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חוברת_עבודה_זו" defaultThemeVersion="124226"/>
  <mc:AlternateContent xmlns:mc="http://schemas.openxmlformats.org/markup-compatibility/2006">
    <mc:Choice Requires="x15">
      <x15ac:absPath xmlns:x15ac="http://schemas.microsoft.com/office/spreadsheetml/2010/11/ac" url="Y:\דוברות משותפת\אתר המשרד\"/>
    </mc:Choice>
  </mc:AlternateContent>
  <bookViews>
    <workbookView xWindow="-120" yWindow="-120" windowWidth="19320" windowHeight="11025" tabRatio="674" firstSheet="8" activeTab="12"/>
  </bookViews>
  <sheets>
    <sheet name="ProtectSettings" sheetId="1" state="veryHidden" r:id="rId1"/>
    <sheet name="הדרכה למשתמש" sheetId="2" r:id="rId2"/>
    <sheet name="פרמטרים לקריטריונים" sheetId="3" r:id="rId3"/>
    <sheet name="הזנה לסיווג רשויות" sheetId="4" r:id="rId4"/>
    <sheet name="הזנה לתנאי סף" sheetId="12" r:id="rId5"/>
    <sheet name="תחום תמיכה א" sheetId="13" r:id="rId6"/>
    <sheet name="תחום תמיכה ב" sheetId="14" r:id="rId7"/>
    <sheet name="גיליון עזר לתחום תמיכה ג" sheetId="16" r:id="rId8"/>
    <sheet name="תחום תמיכה ג" sheetId="18" r:id="rId9"/>
    <sheet name="הזנה לקריטריונים-ארועי תרבות" sheetId="6" state="hidden" r:id="rId10"/>
    <sheet name="גיליון1" sheetId="20" state="hidden" r:id="rId11"/>
    <sheet name="סיכום לוועדה" sheetId="8" r:id="rId12"/>
    <sheet name="החלטת ועדת תמיכות" sheetId="21" r:id="rId13"/>
    <sheet name="הגבלה לסכום מבוקש " sheetId="19" r:id="rId14"/>
    <sheet name="סיכום לוועדה הצגה" sheetId="9" state="hidden" r:id="rId15"/>
    <sheet name="בקשות שאושרו" sheetId="10" state="hidden" r:id="rId16"/>
  </sheets>
  <definedNames>
    <definedName name="_xlnm._FilterDatabase" localSheetId="15" hidden="1">'בקשות שאושרו'!$A$1:$Q$1</definedName>
    <definedName name="_xlnm._FilterDatabase" localSheetId="10" hidden="1">גיליון1!$A$1:$E$1</definedName>
    <definedName name="_xlnm._FilterDatabase" localSheetId="3" hidden="1">'הזנה לסיווג רשויות'!$A$1:$I$300</definedName>
    <definedName name="_xlnm._FilterDatabase" localSheetId="12" hidden="1">'החלטת ועדת תמיכות'!$A$30:$AM$501</definedName>
    <definedName name="_xlnm._FilterDatabase" localSheetId="11" hidden="1">'סיכום לוועדה'!$A$30:$AL$501</definedName>
    <definedName name="_xlnm._FilterDatabase" localSheetId="14" hidden="1">'סיכום לוועדה הצגה'!$A$4:$Q$501</definedName>
    <definedName name="_xlnm._FilterDatabase" localSheetId="6" hidden="1">'תחום תמיכה ב'!$A$29:$AF$501</definedName>
    <definedName name="_xlnm.Print_Area" localSheetId="13">'הגבלה לסכום מבוקש '!$B$1:$AF$501</definedName>
    <definedName name="_xlnm.Print_Area" localSheetId="1">'הדרכה למשתמש'!$B$1:$H$21</definedName>
    <definedName name="_xlnm.Print_Area" localSheetId="3">'הזנה לסיווג רשויות'!$A$1:$J$301</definedName>
    <definedName name="_xlnm.Print_Area" localSheetId="4">'הזנה לתנאי סף'!$B$1:$BN$500</definedName>
    <definedName name="_xlnm.Print_Area" localSheetId="12">'החלטת ועדת תמיכות'!$A$1:$AI$501</definedName>
    <definedName name="_xlnm.Print_Area" localSheetId="11">'סיכום לוועדה'!$A$1:$AH$501</definedName>
    <definedName name="_xlnm.Print_Area" localSheetId="14">'סיכום לוועדה הצגה'!$A$1:$Q$501</definedName>
    <definedName name="_xlnm.Print_Area" localSheetId="2">'פרמטרים לקריטריונים'!$B$1:$I$66</definedName>
    <definedName name="_xlnm.Print_Area" localSheetId="5">'תחום תמיכה א'!$A$1:$AE$501</definedName>
    <definedName name="_xlnm.Print_Titles" localSheetId="13">'הגבלה לסכום מבוקש '!$29:$30</definedName>
    <definedName name="_xlnm.Print_Titles" localSheetId="4">'הזנה לתנאי סף'!$29:$30</definedName>
    <definedName name="_xlnm.Print_Titles" localSheetId="12">'החלטת ועדת תמיכות'!$30:$30</definedName>
    <definedName name="_xlnm.Print_Titles" localSheetId="11">'סיכום לוועדה'!$30:$30</definedName>
    <definedName name="_xlnm.Print_Titles" localSheetId="14">'סיכום לוועדה הצגה'!$4:$4</definedName>
    <definedName name="Z_1FEE78FD_9218_4F4F_A3E9_FCAC81CA362B_.wvu.Cols" localSheetId="7" hidden="1">'גיליון עזר לתחום תמיכה ג'!#REF!,'גיליון עזר לתחום תמיכה ג'!$I:$K</definedName>
    <definedName name="Z_1FEE78FD_9218_4F4F_A3E9_FCAC81CA362B_.wvu.Cols" localSheetId="1" hidden="1">'הדרכה למשתמש'!$A:$A</definedName>
    <definedName name="Z_1FEE78FD_9218_4F4F_A3E9_FCAC81CA362B_.wvu.Cols" localSheetId="3" hidden="1">'הזנה לסיווג רשויות'!$K:$O,'הזנה לסיווג רשויות'!$Q:$Q</definedName>
    <definedName name="Z_1FEE78FD_9218_4F4F_A3E9_FCAC81CA362B_.wvu.Cols" localSheetId="9" hidden="1">'הזנה לקריטריונים-ארועי תרבות'!$AV:$AX</definedName>
    <definedName name="Z_1FEE78FD_9218_4F4F_A3E9_FCAC81CA362B_.wvu.Cols" localSheetId="12" hidden="1">'החלטת ועדת תמיכות'!$AL:$AL</definedName>
    <definedName name="Z_1FEE78FD_9218_4F4F_A3E9_FCAC81CA362B_.wvu.Cols" localSheetId="11" hidden="1">'סיכום לוועדה'!$AK:$AK</definedName>
    <definedName name="Z_1FEE78FD_9218_4F4F_A3E9_FCAC81CA362B_.wvu.Cols" localSheetId="14" hidden="1">'סיכום לוועדה הצגה'!$N:$N</definedName>
    <definedName name="Z_1FEE78FD_9218_4F4F_A3E9_FCAC81CA362B_.wvu.Cols" localSheetId="2" hidden="1">'פרמטרים לקריטריונים'!$A:$A</definedName>
    <definedName name="Z_1FEE78FD_9218_4F4F_A3E9_FCAC81CA362B_.wvu.Cols" localSheetId="5" hidden="1">'תחום תמיכה א'!#REF!,'תחום תמיכה א'!$AF:$AH</definedName>
    <definedName name="Z_1FEE78FD_9218_4F4F_A3E9_FCAC81CA362B_.wvu.Cols" localSheetId="6" hidden="1">'תחום תמיכה ב'!#REF!,'תחום תמיכה ב'!$AG:$AI</definedName>
    <definedName name="Z_1FEE78FD_9218_4F4F_A3E9_FCAC81CA362B_.wvu.Cols" localSheetId="8" hidden="1">'תחום תמיכה ג'!#REF!,'תחום תמיכה ג'!$P:$R</definedName>
    <definedName name="Z_1FEE78FD_9218_4F4F_A3E9_FCAC81CA362B_.wvu.FilterData" localSheetId="15" hidden="1">'בקשות שאושרו'!$A$1:$Q$1</definedName>
    <definedName name="Z_1FEE78FD_9218_4F4F_A3E9_FCAC81CA362B_.wvu.FilterData" localSheetId="3" hidden="1">'הזנה לסיווג רשויות'!$A$1:$I$300</definedName>
    <definedName name="Z_1FEE78FD_9218_4F4F_A3E9_FCAC81CA362B_.wvu.FilterData" localSheetId="12" hidden="1">'החלטת ועדת תמיכות'!$A$30:$AE$30</definedName>
    <definedName name="Z_1FEE78FD_9218_4F4F_A3E9_FCAC81CA362B_.wvu.FilterData" localSheetId="11" hidden="1">'סיכום לוועדה'!$A$30:$AD$30</definedName>
    <definedName name="Z_1FEE78FD_9218_4F4F_A3E9_FCAC81CA362B_.wvu.FilterData" localSheetId="14" hidden="1">'סיכום לוועדה הצגה'!$A$4:$Q$501</definedName>
    <definedName name="Z_1FEE78FD_9218_4F4F_A3E9_FCAC81CA362B_.wvu.PrintArea" localSheetId="1" hidden="1">'הדרכה למשתמש'!$B$1:$H$21</definedName>
    <definedName name="Z_1FEE78FD_9218_4F4F_A3E9_FCAC81CA362B_.wvu.PrintArea" localSheetId="3" hidden="1">'הזנה לסיווג רשויות'!$A$1:$J$300</definedName>
    <definedName name="Z_1FEE78FD_9218_4F4F_A3E9_FCAC81CA362B_.wvu.PrintArea" localSheetId="12" hidden="1">'החלטת ועדת תמיכות'!$A$1:$AE$501</definedName>
    <definedName name="Z_1FEE78FD_9218_4F4F_A3E9_FCAC81CA362B_.wvu.PrintArea" localSheetId="11" hidden="1">'סיכום לוועדה'!$A$1:$AD$501</definedName>
    <definedName name="Z_1FEE78FD_9218_4F4F_A3E9_FCAC81CA362B_.wvu.PrintArea" localSheetId="14" hidden="1">'סיכום לוועדה הצגה'!$A$1:$Q$298</definedName>
    <definedName name="Z_1FEE78FD_9218_4F4F_A3E9_FCAC81CA362B_.wvu.PrintArea" localSheetId="2" hidden="1">'פרמטרים לקריטריונים'!$B$1:$I$66</definedName>
    <definedName name="Z_1FEE78FD_9218_4F4F_A3E9_FCAC81CA362B_.wvu.PrintTitles" localSheetId="12" hidden="1">'החלטת ועדת תמיכות'!$30:$30</definedName>
    <definedName name="Z_1FEE78FD_9218_4F4F_A3E9_FCAC81CA362B_.wvu.PrintTitles" localSheetId="11" hidden="1">'סיכום לוועדה'!$30:$30</definedName>
    <definedName name="Z_1FEE78FD_9218_4F4F_A3E9_FCAC81CA362B_.wvu.PrintTitles" localSheetId="14" hidden="1">'סיכום לוועדה הצגה'!$4:$4</definedName>
    <definedName name="Z_1FEE78FD_9218_4F4F_A3E9_FCAC81CA362B_.wvu.Rows" localSheetId="7" hidden="1">'גיליון עזר לתחום תמיכה ג'!$1:$28</definedName>
    <definedName name="Z_1FEE78FD_9218_4F4F_A3E9_FCAC81CA362B_.wvu.Rows" localSheetId="1" hidden="1">'הדרכה למשתמש'!$20:$21,'הדרכה למשתמש'!$35:$39</definedName>
    <definedName name="Z_1FEE78FD_9218_4F4F_A3E9_FCAC81CA362B_.wvu.Rows" localSheetId="9" hidden="1">'הזנה לקריטריונים-ארועי תרבות'!$1:$15</definedName>
    <definedName name="Z_1FEE78FD_9218_4F4F_A3E9_FCAC81CA362B_.wvu.Rows" localSheetId="2" hidden="1">'פרמטרים לקריטריונים'!$7:$39</definedName>
    <definedName name="Z_1FEE78FD_9218_4F4F_A3E9_FCAC81CA362B_.wvu.Rows" localSheetId="5" hidden="1">'תחום תמיכה א'!$1:$28</definedName>
    <definedName name="Z_1FEE78FD_9218_4F4F_A3E9_FCAC81CA362B_.wvu.Rows" localSheetId="6" hidden="1">'תחום תמיכה ב'!$1:$28</definedName>
    <definedName name="Z_1FEE78FD_9218_4F4F_A3E9_FCAC81CA362B_.wvu.Rows" localSheetId="8" hidden="1">'תחום תמיכה ג'!$1:$28</definedName>
    <definedName name="Z_469C741C_1099_4615_BDAA_CB5CEB586B7F_.wvu.Cols" localSheetId="7" hidden="1">'גיליון עזר לתחום תמיכה ג'!#REF!,'גיליון עזר לתחום תמיכה ג'!$I:$K</definedName>
    <definedName name="Z_469C741C_1099_4615_BDAA_CB5CEB586B7F_.wvu.Cols" localSheetId="1" hidden="1">'הדרכה למשתמש'!$A:$A</definedName>
    <definedName name="Z_469C741C_1099_4615_BDAA_CB5CEB586B7F_.wvu.Cols" localSheetId="3" hidden="1">'הזנה לסיווג רשויות'!$K:$O,'הזנה לסיווג רשויות'!$Q:$Q</definedName>
    <definedName name="Z_469C741C_1099_4615_BDAA_CB5CEB586B7F_.wvu.Cols" localSheetId="9" hidden="1">'הזנה לקריטריונים-ארועי תרבות'!$AV:$AX</definedName>
    <definedName name="Z_469C741C_1099_4615_BDAA_CB5CEB586B7F_.wvu.Cols" localSheetId="12" hidden="1">'החלטת ועדת תמיכות'!$AL:$AL</definedName>
    <definedName name="Z_469C741C_1099_4615_BDAA_CB5CEB586B7F_.wvu.Cols" localSheetId="11" hidden="1">'סיכום לוועדה'!$AK:$AK</definedName>
    <definedName name="Z_469C741C_1099_4615_BDAA_CB5CEB586B7F_.wvu.Cols" localSheetId="14" hidden="1">'סיכום לוועדה הצגה'!$N:$N</definedName>
    <definedName name="Z_469C741C_1099_4615_BDAA_CB5CEB586B7F_.wvu.Cols" localSheetId="2" hidden="1">'פרמטרים לקריטריונים'!$A:$A</definedName>
    <definedName name="Z_469C741C_1099_4615_BDAA_CB5CEB586B7F_.wvu.Cols" localSheetId="5" hidden="1">'תחום תמיכה א'!#REF!,'תחום תמיכה א'!$AF:$AH</definedName>
    <definedName name="Z_469C741C_1099_4615_BDAA_CB5CEB586B7F_.wvu.Cols" localSheetId="6" hidden="1">'תחום תמיכה ב'!#REF!,'תחום תמיכה ב'!$AG:$AI</definedName>
    <definedName name="Z_469C741C_1099_4615_BDAA_CB5CEB586B7F_.wvu.Cols" localSheetId="8" hidden="1">'תחום תמיכה ג'!#REF!,'תחום תמיכה ג'!$P:$R</definedName>
    <definedName name="Z_469C741C_1099_4615_BDAA_CB5CEB586B7F_.wvu.FilterData" localSheetId="15" hidden="1">'בקשות שאושרו'!$A$1:$Q$1</definedName>
    <definedName name="Z_469C741C_1099_4615_BDAA_CB5CEB586B7F_.wvu.FilterData" localSheetId="3" hidden="1">'הזנה לסיווג רשויות'!$A$1:$I$300</definedName>
    <definedName name="Z_469C741C_1099_4615_BDAA_CB5CEB586B7F_.wvu.FilterData" localSheetId="12" hidden="1">'החלטת ועדת תמיכות'!$A$30:$AE$30</definedName>
    <definedName name="Z_469C741C_1099_4615_BDAA_CB5CEB586B7F_.wvu.FilterData" localSheetId="11" hidden="1">'סיכום לוועדה'!$A$30:$AD$30</definedName>
    <definedName name="Z_469C741C_1099_4615_BDAA_CB5CEB586B7F_.wvu.FilterData" localSheetId="14" hidden="1">'סיכום לוועדה הצגה'!$A$4:$Q$501</definedName>
    <definedName name="Z_469C741C_1099_4615_BDAA_CB5CEB586B7F_.wvu.PrintArea" localSheetId="1" hidden="1">'הדרכה למשתמש'!$B$1:$H$21</definedName>
    <definedName name="Z_469C741C_1099_4615_BDAA_CB5CEB586B7F_.wvu.PrintArea" localSheetId="3" hidden="1">'הזנה לסיווג רשויות'!$A$1:$J$300</definedName>
    <definedName name="Z_469C741C_1099_4615_BDAA_CB5CEB586B7F_.wvu.PrintArea" localSheetId="12" hidden="1">'החלטת ועדת תמיכות'!$A$1:$AE$501</definedName>
    <definedName name="Z_469C741C_1099_4615_BDAA_CB5CEB586B7F_.wvu.PrintArea" localSheetId="11" hidden="1">'סיכום לוועדה'!$A$1:$AD$501</definedName>
    <definedName name="Z_469C741C_1099_4615_BDAA_CB5CEB586B7F_.wvu.PrintArea" localSheetId="14" hidden="1">'סיכום לוועדה הצגה'!$A$1:$Q$298</definedName>
    <definedName name="Z_469C741C_1099_4615_BDAA_CB5CEB586B7F_.wvu.PrintArea" localSheetId="2" hidden="1">'פרמטרים לקריטריונים'!$B$1:$I$66</definedName>
    <definedName name="Z_469C741C_1099_4615_BDAA_CB5CEB586B7F_.wvu.PrintTitles" localSheetId="12" hidden="1">'החלטת ועדת תמיכות'!$30:$30</definedName>
    <definedName name="Z_469C741C_1099_4615_BDAA_CB5CEB586B7F_.wvu.PrintTitles" localSheetId="11" hidden="1">'סיכום לוועדה'!$30:$30</definedName>
    <definedName name="Z_469C741C_1099_4615_BDAA_CB5CEB586B7F_.wvu.PrintTitles" localSheetId="14" hidden="1">'סיכום לוועדה הצגה'!$4:$4</definedName>
    <definedName name="Z_469C741C_1099_4615_BDAA_CB5CEB586B7F_.wvu.Rows" localSheetId="7" hidden="1">'גיליון עזר לתחום תמיכה ג'!$1:$28</definedName>
    <definedName name="Z_469C741C_1099_4615_BDAA_CB5CEB586B7F_.wvu.Rows" localSheetId="1" hidden="1">'הדרכה למשתמש'!$20:$21,'הדרכה למשתמש'!$35:$39</definedName>
    <definedName name="Z_469C741C_1099_4615_BDAA_CB5CEB586B7F_.wvu.Rows" localSheetId="9" hidden="1">'הזנה לקריטריונים-ארועי תרבות'!$1:$15</definedName>
    <definedName name="Z_469C741C_1099_4615_BDAA_CB5CEB586B7F_.wvu.Rows" localSheetId="2" hidden="1">'פרמטרים לקריטריונים'!$7:$39</definedName>
    <definedName name="Z_469C741C_1099_4615_BDAA_CB5CEB586B7F_.wvu.Rows" localSheetId="5" hidden="1">'תחום תמיכה א'!$1:$28</definedName>
    <definedName name="Z_469C741C_1099_4615_BDAA_CB5CEB586B7F_.wvu.Rows" localSheetId="6" hidden="1">'תחום תמיכה ב'!$1:$28</definedName>
    <definedName name="Z_469C741C_1099_4615_BDAA_CB5CEB586B7F_.wvu.Rows" localSheetId="8" hidden="1">'תחום תמיכה ג'!$1:$28</definedName>
    <definedName name="Z_6D219446_F28D_45D5_B49F_7CFEDCEF42B5_.wvu.Cols" localSheetId="7" hidden="1">'גיליון עזר לתחום תמיכה ג'!#REF!,'גיליון עזר לתחום תמיכה ג'!$I:$K</definedName>
    <definedName name="Z_6D219446_F28D_45D5_B49F_7CFEDCEF42B5_.wvu.Cols" localSheetId="1" hidden="1">'הדרכה למשתמש'!$A:$A</definedName>
    <definedName name="Z_6D219446_F28D_45D5_B49F_7CFEDCEF42B5_.wvu.Cols" localSheetId="3" hidden="1">'הזנה לסיווג רשויות'!$K:$O,'הזנה לסיווג רשויות'!$Q:$Q</definedName>
    <definedName name="Z_6D219446_F28D_45D5_B49F_7CFEDCEF42B5_.wvu.Cols" localSheetId="9" hidden="1">'הזנה לקריטריונים-ארועי תרבות'!$AV:$AX</definedName>
    <definedName name="Z_6D219446_F28D_45D5_B49F_7CFEDCEF42B5_.wvu.Cols" localSheetId="12" hidden="1">'החלטת ועדת תמיכות'!$AL:$AL</definedName>
    <definedName name="Z_6D219446_F28D_45D5_B49F_7CFEDCEF42B5_.wvu.Cols" localSheetId="11" hidden="1">'סיכום לוועדה'!$AK:$AK</definedName>
    <definedName name="Z_6D219446_F28D_45D5_B49F_7CFEDCEF42B5_.wvu.Cols" localSheetId="14" hidden="1">'סיכום לוועדה הצגה'!$N:$N</definedName>
    <definedName name="Z_6D219446_F28D_45D5_B49F_7CFEDCEF42B5_.wvu.Cols" localSheetId="2" hidden="1">'פרמטרים לקריטריונים'!$A:$A</definedName>
    <definedName name="Z_6D219446_F28D_45D5_B49F_7CFEDCEF42B5_.wvu.Cols" localSheetId="5" hidden="1">'תחום תמיכה א'!#REF!,'תחום תמיכה א'!$AF:$AH</definedName>
    <definedName name="Z_6D219446_F28D_45D5_B49F_7CFEDCEF42B5_.wvu.Cols" localSheetId="6" hidden="1">'תחום תמיכה ב'!#REF!,'תחום תמיכה ב'!$AG:$AI</definedName>
    <definedName name="Z_6D219446_F28D_45D5_B49F_7CFEDCEF42B5_.wvu.Cols" localSheetId="8" hidden="1">'תחום תמיכה ג'!#REF!,'תחום תמיכה ג'!$P:$R</definedName>
    <definedName name="Z_6D219446_F28D_45D5_B49F_7CFEDCEF42B5_.wvu.FilterData" localSheetId="15" hidden="1">'בקשות שאושרו'!$A$1:$Q$1</definedName>
    <definedName name="Z_6D219446_F28D_45D5_B49F_7CFEDCEF42B5_.wvu.FilterData" localSheetId="3" hidden="1">'הזנה לסיווג רשויות'!$A$1:$I$300</definedName>
    <definedName name="Z_6D219446_F28D_45D5_B49F_7CFEDCEF42B5_.wvu.FilterData" localSheetId="12" hidden="1">'החלטת ועדת תמיכות'!$A$30:$AE$30</definedName>
    <definedName name="Z_6D219446_F28D_45D5_B49F_7CFEDCEF42B5_.wvu.FilterData" localSheetId="11" hidden="1">'סיכום לוועדה'!$A$30:$AD$30</definedName>
    <definedName name="Z_6D219446_F28D_45D5_B49F_7CFEDCEF42B5_.wvu.FilterData" localSheetId="14" hidden="1">'סיכום לוועדה הצגה'!$A$4:$Q$501</definedName>
    <definedName name="Z_6D219446_F28D_45D5_B49F_7CFEDCEF42B5_.wvu.PrintArea" localSheetId="1" hidden="1">'הדרכה למשתמש'!$B$1:$H$21</definedName>
    <definedName name="Z_6D219446_F28D_45D5_B49F_7CFEDCEF42B5_.wvu.PrintArea" localSheetId="3" hidden="1">'הזנה לסיווג רשויות'!$A$1:$J$300</definedName>
    <definedName name="Z_6D219446_F28D_45D5_B49F_7CFEDCEF42B5_.wvu.PrintArea" localSheetId="12" hidden="1">'החלטת ועדת תמיכות'!$A$1:$AE$501</definedName>
    <definedName name="Z_6D219446_F28D_45D5_B49F_7CFEDCEF42B5_.wvu.PrintArea" localSheetId="11" hidden="1">'סיכום לוועדה'!$A$1:$AD$501</definedName>
    <definedName name="Z_6D219446_F28D_45D5_B49F_7CFEDCEF42B5_.wvu.PrintArea" localSheetId="14" hidden="1">'סיכום לוועדה הצגה'!$A$1:$Q$298</definedName>
    <definedName name="Z_6D219446_F28D_45D5_B49F_7CFEDCEF42B5_.wvu.PrintArea" localSheetId="2" hidden="1">'פרמטרים לקריטריונים'!$B$1:$I$66</definedName>
    <definedName name="Z_6D219446_F28D_45D5_B49F_7CFEDCEF42B5_.wvu.PrintTitles" localSheetId="12" hidden="1">'החלטת ועדת תמיכות'!$30:$30</definedName>
    <definedName name="Z_6D219446_F28D_45D5_B49F_7CFEDCEF42B5_.wvu.PrintTitles" localSheetId="11" hidden="1">'סיכום לוועדה'!$30:$30</definedName>
    <definedName name="Z_6D219446_F28D_45D5_B49F_7CFEDCEF42B5_.wvu.PrintTitles" localSheetId="14" hidden="1">'סיכום לוועדה הצגה'!$4:$4</definedName>
    <definedName name="Z_6D219446_F28D_45D5_B49F_7CFEDCEF42B5_.wvu.Rows" localSheetId="7" hidden="1">'גיליון עזר לתחום תמיכה ג'!$1:$28</definedName>
    <definedName name="Z_6D219446_F28D_45D5_B49F_7CFEDCEF42B5_.wvu.Rows" localSheetId="1" hidden="1">'הדרכה למשתמש'!$20:$21,'הדרכה למשתמש'!$35:$39</definedName>
    <definedName name="Z_6D219446_F28D_45D5_B49F_7CFEDCEF42B5_.wvu.Rows" localSheetId="9" hidden="1">'הזנה לקריטריונים-ארועי תרבות'!$1:$15</definedName>
    <definedName name="Z_6D219446_F28D_45D5_B49F_7CFEDCEF42B5_.wvu.Rows" localSheetId="2" hidden="1">'פרמטרים לקריטריונים'!$7:$39</definedName>
    <definedName name="Z_6D219446_F28D_45D5_B49F_7CFEDCEF42B5_.wvu.Rows" localSheetId="5" hidden="1">'תחום תמיכה א'!$1:$28</definedName>
    <definedName name="Z_6D219446_F28D_45D5_B49F_7CFEDCEF42B5_.wvu.Rows" localSheetId="6" hidden="1">'תחום תמיכה ב'!$1:$28</definedName>
    <definedName name="Z_6D219446_F28D_45D5_B49F_7CFEDCEF42B5_.wvu.Rows" localSheetId="8" hidden="1">'תחום תמיכה ג'!$1:$28</definedName>
    <definedName name="Z_82A1F10D_6026_46B8_AE8B_529469938F0C_.wvu.Cols" localSheetId="7" hidden="1">'גיליון עזר לתחום תמיכה ג'!#REF!,'גיליון עזר לתחום תמיכה ג'!$I:$K</definedName>
    <definedName name="Z_82A1F10D_6026_46B8_AE8B_529469938F0C_.wvu.Cols" localSheetId="1" hidden="1">'הדרכה למשתמש'!$A:$A</definedName>
    <definedName name="Z_82A1F10D_6026_46B8_AE8B_529469938F0C_.wvu.Cols" localSheetId="3" hidden="1">'הזנה לסיווג רשויות'!$K:$O,'הזנה לסיווג רשויות'!$Q:$Q</definedName>
    <definedName name="Z_82A1F10D_6026_46B8_AE8B_529469938F0C_.wvu.Cols" localSheetId="9" hidden="1">'הזנה לקריטריונים-ארועי תרבות'!$AV:$AX</definedName>
    <definedName name="Z_82A1F10D_6026_46B8_AE8B_529469938F0C_.wvu.Cols" localSheetId="12" hidden="1">'החלטת ועדת תמיכות'!$AL:$AL</definedName>
    <definedName name="Z_82A1F10D_6026_46B8_AE8B_529469938F0C_.wvu.Cols" localSheetId="11" hidden="1">'סיכום לוועדה'!$AK:$AK</definedName>
    <definedName name="Z_82A1F10D_6026_46B8_AE8B_529469938F0C_.wvu.Cols" localSheetId="14" hidden="1">'סיכום לוועדה הצגה'!$N:$N</definedName>
    <definedName name="Z_82A1F10D_6026_46B8_AE8B_529469938F0C_.wvu.Cols" localSheetId="2" hidden="1">'פרמטרים לקריטריונים'!$A:$A</definedName>
    <definedName name="Z_82A1F10D_6026_46B8_AE8B_529469938F0C_.wvu.Cols" localSheetId="5" hidden="1">'תחום תמיכה א'!#REF!,'תחום תמיכה א'!$AF:$AH</definedName>
    <definedName name="Z_82A1F10D_6026_46B8_AE8B_529469938F0C_.wvu.Cols" localSheetId="6" hidden="1">'תחום תמיכה ב'!#REF!,'תחום תמיכה ב'!$AG:$AI</definedName>
    <definedName name="Z_82A1F10D_6026_46B8_AE8B_529469938F0C_.wvu.Cols" localSheetId="8" hidden="1">'תחום תמיכה ג'!#REF!,'תחום תמיכה ג'!$P:$R</definedName>
    <definedName name="Z_82A1F10D_6026_46B8_AE8B_529469938F0C_.wvu.FilterData" localSheetId="15" hidden="1">'בקשות שאושרו'!$A$1:$Q$1</definedName>
    <definedName name="Z_82A1F10D_6026_46B8_AE8B_529469938F0C_.wvu.FilterData" localSheetId="3" hidden="1">'הזנה לסיווג רשויות'!$A$1:$I$300</definedName>
    <definedName name="Z_82A1F10D_6026_46B8_AE8B_529469938F0C_.wvu.FilterData" localSheetId="12" hidden="1">'החלטת ועדת תמיכות'!$A$30:$AE$30</definedName>
    <definedName name="Z_82A1F10D_6026_46B8_AE8B_529469938F0C_.wvu.FilterData" localSheetId="11" hidden="1">'סיכום לוועדה'!$A$30:$AD$30</definedName>
    <definedName name="Z_82A1F10D_6026_46B8_AE8B_529469938F0C_.wvu.FilterData" localSheetId="14" hidden="1">'סיכום לוועדה הצגה'!$A$4:$Q$501</definedName>
    <definedName name="Z_82A1F10D_6026_46B8_AE8B_529469938F0C_.wvu.PrintArea" localSheetId="1" hidden="1">'הדרכה למשתמש'!$B$1:$H$21</definedName>
    <definedName name="Z_82A1F10D_6026_46B8_AE8B_529469938F0C_.wvu.PrintArea" localSheetId="3" hidden="1">'הזנה לסיווג רשויות'!$A$1:$J$300</definedName>
    <definedName name="Z_82A1F10D_6026_46B8_AE8B_529469938F0C_.wvu.PrintArea" localSheetId="12" hidden="1">'החלטת ועדת תמיכות'!$A$1:$AE$501</definedName>
    <definedName name="Z_82A1F10D_6026_46B8_AE8B_529469938F0C_.wvu.PrintArea" localSheetId="11" hidden="1">'סיכום לוועדה'!$A$1:$AD$501</definedName>
    <definedName name="Z_82A1F10D_6026_46B8_AE8B_529469938F0C_.wvu.PrintArea" localSheetId="14" hidden="1">'סיכום לוועדה הצגה'!$A$1:$Q$298</definedName>
    <definedName name="Z_82A1F10D_6026_46B8_AE8B_529469938F0C_.wvu.PrintArea" localSheetId="2" hidden="1">'פרמטרים לקריטריונים'!$B$1:$I$66</definedName>
    <definedName name="Z_82A1F10D_6026_46B8_AE8B_529469938F0C_.wvu.PrintTitles" localSheetId="12" hidden="1">'החלטת ועדת תמיכות'!$30:$30</definedName>
    <definedName name="Z_82A1F10D_6026_46B8_AE8B_529469938F0C_.wvu.PrintTitles" localSheetId="11" hidden="1">'סיכום לוועדה'!$30:$30</definedName>
    <definedName name="Z_82A1F10D_6026_46B8_AE8B_529469938F0C_.wvu.PrintTitles" localSheetId="14" hidden="1">'סיכום לוועדה הצגה'!$4:$4</definedName>
    <definedName name="Z_82A1F10D_6026_46B8_AE8B_529469938F0C_.wvu.Rows" localSheetId="7" hidden="1">'גיליון עזר לתחום תמיכה ג'!$1:$28</definedName>
    <definedName name="Z_82A1F10D_6026_46B8_AE8B_529469938F0C_.wvu.Rows" localSheetId="1" hidden="1">'הדרכה למשתמש'!$20:$21,'הדרכה למשתמש'!$35:$39</definedName>
    <definedName name="Z_82A1F10D_6026_46B8_AE8B_529469938F0C_.wvu.Rows" localSheetId="9" hidden="1">'הזנה לקריטריונים-ארועי תרבות'!$1:$15</definedName>
    <definedName name="Z_82A1F10D_6026_46B8_AE8B_529469938F0C_.wvu.Rows" localSheetId="2" hidden="1">'פרמטרים לקריטריונים'!$7:$39</definedName>
    <definedName name="Z_82A1F10D_6026_46B8_AE8B_529469938F0C_.wvu.Rows" localSheetId="5" hidden="1">'תחום תמיכה א'!$1:$28</definedName>
    <definedName name="Z_82A1F10D_6026_46B8_AE8B_529469938F0C_.wvu.Rows" localSheetId="6" hidden="1">'תחום תמיכה ב'!$1:$28</definedName>
    <definedName name="Z_82A1F10D_6026_46B8_AE8B_529469938F0C_.wvu.Rows" localSheetId="8" hidden="1">'תחום תמיכה ג'!$1:$28</definedName>
    <definedName name="Z_E52326FA_6BA9_4D35_9F97_0FB5A71E7107_.wvu.FilterData" localSheetId="3" hidden="1">'הזנה לסיווג רשויות'!$A$1:$I$300</definedName>
    <definedName name="Z_E5C54765_25B5_4899_A8B4_DC3948A535C4_.wvu.Cols" localSheetId="7" hidden="1">'גיליון עזר לתחום תמיכה ג'!#REF!,'גיליון עזר לתחום תמיכה ג'!$I:$K</definedName>
    <definedName name="Z_E5C54765_25B5_4899_A8B4_DC3948A535C4_.wvu.Cols" localSheetId="1" hidden="1">'הדרכה למשתמש'!$A:$A</definedName>
    <definedName name="Z_E5C54765_25B5_4899_A8B4_DC3948A535C4_.wvu.Cols" localSheetId="3" hidden="1">'הזנה לסיווג רשויות'!$K:$N</definedName>
    <definedName name="Z_E5C54765_25B5_4899_A8B4_DC3948A535C4_.wvu.Cols" localSheetId="9" hidden="1">'הזנה לקריטריונים-ארועי תרבות'!$AV:$AX</definedName>
    <definedName name="Z_E5C54765_25B5_4899_A8B4_DC3948A535C4_.wvu.Cols" localSheetId="12" hidden="1">'החלטת ועדת תמיכות'!$AL:$AL</definedName>
    <definedName name="Z_E5C54765_25B5_4899_A8B4_DC3948A535C4_.wvu.Cols" localSheetId="11" hidden="1">'סיכום לוועדה'!$AK:$AK</definedName>
    <definedName name="Z_E5C54765_25B5_4899_A8B4_DC3948A535C4_.wvu.Cols" localSheetId="14" hidden="1">'סיכום לוועדה הצגה'!$N:$N</definedName>
    <definedName name="Z_E5C54765_25B5_4899_A8B4_DC3948A535C4_.wvu.Cols" localSheetId="2" hidden="1">'פרמטרים לקריטריונים'!$A:$A,'פרמטרים לקריטריונים'!$D:$D</definedName>
    <definedName name="Z_E5C54765_25B5_4899_A8B4_DC3948A535C4_.wvu.Cols" localSheetId="5" hidden="1">'תחום תמיכה א'!#REF!,'תחום תמיכה א'!$AF:$AH</definedName>
    <definedName name="Z_E5C54765_25B5_4899_A8B4_DC3948A535C4_.wvu.Cols" localSheetId="6" hidden="1">'תחום תמיכה ב'!#REF!,'תחום תמיכה ב'!$AG:$AI</definedName>
    <definedName name="Z_E5C54765_25B5_4899_A8B4_DC3948A535C4_.wvu.Cols" localSheetId="8" hidden="1">'תחום תמיכה ג'!#REF!,'תחום תמיכה ג'!$P:$R</definedName>
    <definedName name="Z_E5C54765_25B5_4899_A8B4_DC3948A535C4_.wvu.FilterData" localSheetId="3" hidden="1">'הזנה לסיווג רשויות'!$A$1:$I$300</definedName>
    <definedName name="Z_E5C54765_25B5_4899_A8B4_DC3948A535C4_.wvu.FilterData" localSheetId="12" hidden="1">'החלטת ועדת תמיכות'!$A$30:$AE$30</definedName>
    <definedName name="Z_E5C54765_25B5_4899_A8B4_DC3948A535C4_.wvu.FilterData" localSheetId="11" hidden="1">'סיכום לוועדה'!$A$30:$AD$30</definedName>
    <definedName name="Z_E5C54765_25B5_4899_A8B4_DC3948A535C4_.wvu.FilterData" localSheetId="14" hidden="1">'סיכום לוועדה הצגה'!$A$4:$P$500</definedName>
    <definedName name="Z_E5C54765_25B5_4899_A8B4_DC3948A535C4_.wvu.PrintArea" localSheetId="1" hidden="1">'הדרכה למשתמש'!$B$1:$H$21</definedName>
    <definedName name="Z_E5C54765_25B5_4899_A8B4_DC3948A535C4_.wvu.PrintArea" localSheetId="3" hidden="1">'הזנה לסיווג רשויות'!$A$1:$I$300</definedName>
    <definedName name="Z_E5C54765_25B5_4899_A8B4_DC3948A535C4_.wvu.PrintArea" localSheetId="12" hidden="1">'החלטת ועדת תמיכות'!$A$1:$AE$501</definedName>
    <definedName name="Z_E5C54765_25B5_4899_A8B4_DC3948A535C4_.wvu.PrintArea" localSheetId="11" hidden="1">'סיכום לוועדה'!$A$1:$AD$501</definedName>
    <definedName name="Z_E5C54765_25B5_4899_A8B4_DC3948A535C4_.wvu.PrintArea" localSheetId="14" hidden="1">'סיכום לוועדה הצגה'!$A$1:$P$182</definedName>
    <definedName name="Z_E5C54765_25B5_4899_A8B4_DC3948A535C4_.wvu.PrintArea" localSheetId="2" hidden="1">'פרמטרים לקריטריונים'!$B$1:$I$308</definedName>
    <definedName name="Z_E5C54765_25B5_4899_A8B4_DC3948A535C4_.wvu.PrintTitles" localSheetId="12" hidden="1">'החלטת ועדת תמיכות'!$30:$30</definedName>
    <definedName name="Z_E5C54765_25B5_4899_A8B4_DC3948A535C4_.wvu.PrintTitles" localSheetId="11" hidden="1">'סיכום לוועדה'!$30:$30</definedName>
    <definedName name="Z_E5C54765_25B5_4899_A8B4_DC3948A535C4_.wvu.PrintTitles" localSheetId="14" hidden="1">'סיכום לוועדה הצגה'!$4:$4</definedName>
    <definedName name="Z_E5C54765_25B5_4899_A8B4_DC3948A535C4_.wvu.Rows" localSheetId="7" hidden="1">'גיליון עזר לתחום תמיכה ג'!$1:$28</definedName>
    <definedName name="Z_E5C54765_25B5_4899_A8B4_DC3948A535C4_.wvu.Rows" localSheetId="1" hidden="1">'הדרכה למשתמש'!$20:$21,'הדרכה למשתמש'!$35:$39</definedName>
    <definedName name="Z_E5C54765_25B5_4899_A8B4_DC3948A535C4_.wvu.Rows" localSheetId="9" hidden="1">'הזנה לקריטריונים-ארועי תרבות'!$1:$14</definedName>
    <definedName name="Z_E5C54765_25B5_4899_A8B4_DC3948A535C4_.wvu.Rows" localSheetId="2" hidden="1">'פרמטרים לקריטריונים'!$7:$39,'פרמטרים לקריטריונים'!$45:$45,'פרמטרים לקריטריונים'!$64:$307</definedName>
    <definedName name="Z_E5C54765_25B5_4899_A8B4_DC3948A535C4_.wvu.Rows" localSheetId="5" hidden="1">'תחום תמיכה א'!$1:$28</definedName>
    <definedName name="Z_E5C54765_25B5_4899_A8B4_DC3948A535C4_.wvu.Rows" localSheetId="6" hidden="1">'תחום תמיכה ב'!$1:$28</definedName>
    <definedName name="Z_E5C54765_25B5_4899_A8B4_DC3948A535C4_.wvu.Rows" localSheetId="8" hidden="1">'תחום תמיכה ג'!$1:$28</definedName>
  </definedNames>
  <calcPr calcId="162913"/>
  <customWorkbookViews>
    <customWorkbookView name="Rachel Oren - תצוגה אישית" guid="{6D219446-F28D-45D5-B49F-7CFEDCEF42B5}" mergeInterval="0" personalView="1" maximized="1" xWindow="-8" yWindow="-8" windowWidth="1936" windowHeight="1056" tabRatio="646" activeSheetId="6"/>
    <customWorkbookView name="Keren Or Gadon - תצוגה אישית" guid="{82A1F10D-6026-46B8-AE8B-529469938F0C}" mergeInterval="0" personalView="1" maximized="1" windowWidth="1920" windowHeight="852" activeSheetId="6"/>
    <customWorkbookView name="Dikla Katzuni - תצוגה אישית" guid="{469C741C-1099-4615-BDAA-CB5CEB586B7F}" mergeInterval="0" personalView="1" maximized="1" xWindow="-8" yWindow="-8" windowWidth="1696" windowHeight="1026" activeSheetId="9"/>
    <customWorkbookView name="א. חפץ ושות - Personal View" guid="{E5C54765-25B5-4899-A8B4-DC3948A535C4}" mergeInterval="0" personalView="1" maximized="1" windowWidth="1916" windowHeight="854" activeSheetId="9"/>
    <customWorkbookView name="Osnat Raveh - תצוגה אישית" guid="{1FEE78FD-9218-4F4F-A3E9-FCAC81CA362B}" mergeInterval="0" personalView="1" maximized="1" windowWidth="1920" windowHeight="852" activeSheetId="9"/>
  </customWorkbookViews>
</workbook>
</file>

<file path=xl/calcChain.xml><?xml version="1.0" encoding="utf-8"?>
<calcChain xmlns="http://schemas.openxmlformats.org/spreadsheetml/2006/main">
  <c r="E501" i="21" l="1"/>
  <c r="A501" i="21"/>
  <c r="F500" i="21"/>
  <c r="T500" i="21" s="1"/>
  <c r="A500" i="21"/>
  <c r="F499" i="21"/>
  <c r="A499" i="21"/>
  <c r="R498" i="21"/>
  <c r="Q498" i="21"/>
  <c r="I498" i="21"/>
  <c r="H498" i="21"/>
  <c r="F498" i="21"/>
  <c r="X498" i="21" s="1"/>
  <c r="D498" i="21"/>
  <c r="B498" i="21"/>
  <c r="A498" i="21"/>
  <c r="X497" i="21"/>
  <c r="T497" i="21"/>
  <c r="R497" i="21"/>
  <c r="M497" i="21"/>
  <c r="L497" i="21"/>
  <c r="H497" i="21"/>
  <c r="G497" i="21"/>
  <c r="W497" i="21" s="1"/>
  <c r="F497" i="21"/>
  <c r="S497" i="21" s="1"/>
  <c r="D497" i="21"/>
  <c r="C497" i="21"/>
  <c r="AF497" i="21" s="1"/>
  <c r="B497" i="21"/>
  <c r="A497" i="21"/>
  <c r="X496" i="21"/>
  <c r="G496" i="21"/>
  <c r="F496" i="21"/>
  <c r="S496" i="21" s="1"/>
  <c r="A496" i="21"/>
  <c r="J495" i="21"/>
  <c r="F495" i="21"/>
  <c r="A495" i="21"/>
  <c r="V494" i="21"/>
  <c r="F494" i="21"/>
  <c r="A494" i="21"/>
  <c r="X493" i="21"/>
  <c r="U493" i="21"/>
  <c r="T493" i="21"/>
  <c r="R493" i="21"/>
  <c r="P493" i="21"/>
  <c r="M493" i="21"/>
  <c r="L493" i="21"/>
  <c r="I493" i="21"/>
  <c r="H493" i="21"/>
  <c r="G493" i="21"/>
  <c r="W493" i="21" s="1"/>
  <c r="F493" i="21"/>
  <c r="S493" i="21" s="1"/>
  <c r="E493" i="21"/>
  <c r="D493" i="21"/>
  <c r="C493" i="21"/>
  <c r="AG493" i="21" s="1"/>
  <c r="B493" i="21"/>
  <c r="A493" i="21"/>
  <c r="X492" i="21"/>
  <c r="H492" i="21"/>
  <c r="G492" i="21"/>
  <c r="F492" i="21"/>
  <c r="S492" i="21" s="1"/>
  <c r="A492" i="21"/>
  <c r="S491" i="21"/>
  <c r="F491" i="21"/>
  <c r="C491" i="21" s="1"/>
  <c r="A491" i="21"/>
  <c r="M490" i="21"/>
  <c r="H490" i="21"/>
  <c r="F490" i="21"/>
  <c r="Q490" i="21" s="1"/>
  <c r="A490" i="21"/>
  <c r="Q489" i="21"/>
  <c r="F489" i="21"/>
  <c r="C489" i="21"/>
  <c r="A489" i="21"/>
  <c r="T488" i="21"/>
  <c r="S488" i="21"/>
  <c r="H488" i="21"/>
  <c r="G488" i="21"/>
  <c r="F488" i="21"/>
  <c r="U488" i="21" s="1"/>
  <c r="B488" i="21"/>
  <c r="A488" i="21"/>
  <c r="N487" i="21"/>
  <c r="G487" i="21"/>
  <c r="F487" i="21"/>
  <c r="S487" i="21" s="1"/>
  <c r="A487" i="21"/>
  <c r="R486" i="21"/>
  <c r="F486" i="21"/>
  <c r="A486" i="21"/>
  <c r="X485" i="21"/>
  <c r="T485" i="21"/>
  <c r="R485" i="21"/>
  <c r="M485" i="21"/>
  <c r="L485" i="21"/>
  <c r="H485" i="21"/>
  <c r="G485" i="21"/>
  <c r="F485" i="21"/>
  <c r="S485" i="21" s="1"/>
  <c r="D485" i="21"/>
  <c r="C485" i="21"/>
  <c r="B485" i="21"/>
  <c r="A485" i="21"/>
  <c r="X484" i="21"/>
  <c r="F484" i="21"/>
  <c r="C484" i="21" s="1"/>
  <c r="AI484" i="21" s="1"/>
  <c r="A484" i="21"/>
  <c r="X483" i="21"/>
  <c r="T483" i="21"/>
  <c r="S483" i="21"/>
  <c r="M483" i="21"/>
  <c r="I483" i="21"/>
  <c r="G483" i="21"/>
  <c r="F483" i="21"/>
  <c r="V483" i="21" s="1"/>
  <c r="C483" i="21"/>
  <c r="AI483" i="21" s="1"/>
  <c r="B483" i="21"/>
  <c r="A483" i="21"/>
  <c r="H482" i="21"/>
  <c r="F482" i="21"/>
  <c r="A482" i="21"/>
  <c r="X481" i="21"/>
  <c r="T481" i="21"/>
  <c r="R481" i="21"/>
  <c r="M481" i="21"/>
  <c r="L481" i="21"/>
  <c r="H481" i="21"/>
  <c r="G481" i="21"/>
  <c r="F481" i="21"/>
  <c r="S481" i="21" s="1"/>
  <c r="D481" i="21"/>
  <c r="C481" i="21"/>
  <c r="AG481" i="21" s="1"/>
  <c r="B481" i="21"/>
  <c r="A481" i="21"/>
  <c r="Q480" i="21"/>
  <c r="L480" i="21"/>
  <c r="F480" i="21"/>
  <c r="X480" i="21" s="1"/>
  <c r="A480" i="21"/>
  <c r="U479" i="21"/>
  <c r="T479" i="21"/>
  <c r="F479" i="21"/>
  <c r="D479" i="21"/>
  <c r="A479" i="21"/>
  <c r="J478" i="21"/>
  <c r="F478" i="21"/>
  <c r="A478" i="21"/>
  <c r="J477" i="21"/>
  <c r="F477" i="21"/>
  <c r="A477" i="21"/>
  <c r="V476" i="21"/>
  <c r="U476" i="21"/>
  <c r="K476" i="21"/>
  <c r="I476" i="21"/>
  <c r="F476" i="21"/>
  <c r="B476" i="21"/>
  <c r="A476" i="21"/>
  <c r="L475" i="21"/>
  <c r="K475" i="21"/>
  <c r="F475" i="21"/>
  <c r="T475" i="21" s="1"/>
  <c r="A475" i="21"/>
  <c r="X474" i="21"/>
  <c r="F474" i="21"/>
  <c r="B474" i="21" s="1"/>
  <c r="A474" i="21"/>
  <c r="L473" i="21"/>
  <c r="F473" i="21"/>
  <c r="R473" i="21" s="1"/>
  <c r="A473" i="21"/>
  <c r="V472" i="21"/>
  <c r="U472" i="21"/>
  <c r="K472" i="21"/>
  <c r="I472" i="21"/>
  <c r="F472" i="21"/>
  <c r="P472" i="21" s="1"/>
  <c r="B472" i="21"/>
  <c r="A472" i="21"/>
  <c r="R471" i="21"/>
  <c r="Q471" i="21"/>
  <c r="I471" i="21"/>
  <c r="H471" i="21"/>
  <c r="F471" i="21"/>
  <c r="X471" i="21" s="1"/>
  <c r="D471" i="21"/>
  <c r="B471" i="21"/>
  <c r="A471" i="21"/>
  <c r="X470" i="21"/>
  <c r="T470" i="21"/>
  <c r="R470" i="21"/>
  <c r="M470" i="21"/>
  <c r="L470" i="21"/>
  <c r="H470" i="21"/>
  <c r="G470" i="21"/>
  <c r="F470" i="21"/>
  <c r="S470" i="21" s="1"/>
  <c r="D470" i="21"/>
  <c r="C470" i="21"/>
  <c r="B470" i="21"/>
  <c r="A470" i="21"/>
  <c r="T469" i="21"/>
  <c r="G469" i="21"/>
  <c r="F469" i="21"/>
  <c r="X469" i="21" s="1"/>
  <c r="A469" i="21"/>
  <c r="N468" i="21"/>
  <c r="J468" i="21"/>
  <c r="F468" i="21"/>
  <c r="S468" i="21" s="1"/>
  <c r="A468" i="21"/>
  <c r="V467" i="21"/>
  <c r="Q467" i="21"/>
  <c r="F467" i="21"/>
  <c r="B467" i="21" s="1"/>
  <c r="A467" i="21"/>
  <c r="X466" i="21"/>
  <c r="Q466" i="21"/>
  <c r="L466" i="21"/>
  <c r="F466" i="21"/>
  <c r="C466" i="21"/>
  <c r="AF466" i="21" s="1"/>
  <c r="A466" i="21"/>
  <c r="T465" i="21"/>
  <c r="P465" i="21"/>
  <c r="F465" i="21"/>
  <c r="C465" i="21" s="1"/>
  <c r="A465" i="21"/>
  <c r="N464" i="21"/>
  <c r="J464" i="21"/>
  <c r="F464" i="21"/>
  <c r="S464" i="21" s="1"/>
  <c r="A464" i="21"/>
  <c r="F463" i="21"/>
  <c r="A463" i="21"/>
  <c r="X462" i="21"/>
  <c r="T462" i="21"/>
  <c r="R462" i="21"/>
  <c r="M462" i="21"/>
  <c r="L462" i="21"/>
  <c r="H462" i="21"/>
  <c r="G462" i="21"/>
  <c r="F462" i="21"/>
  <c r="S462" i="21" s="1"/>
  <c r="D462" i="21"/>
  <c r="C462" i="21"/>
  <c r="AG462" i="21" s="1"/>
  <c r="B462" i="21"/>
  <c r="A462" i="21"/>
  <c r="X461" i="21"/>
  <c r="S461" i="21"/>
  <c r="G461" i="21"/>
  <c r="F461" i="21"/>
  <c r="A461" i="21"/>
  <c r="S460" i="21"/>
  <c r="R460" i="21"/>
  <c r="F460" i="21"/>
  <c r="B460" i="21"/>
  <c r="A460" i="21"/>
  <c r="U459" i="21"/>
  <c r="R459" i="21"/>
  <c r="Q459" i="21"/>
  <c r="L459" i="21"/>
  <c r="I459" i="21"/>
  <c r="H459" i="21"/>
  <c r="F459" i="21"/>
  <c r="X459" i="21" s="1"/>
  <c r="E459" i="21"/>
  <c r="D459" i="21"/>
  <c r="B459" i="21"/>
  <c r="A459" i="21"/>
  <c r="X458" i="21"/>
  <c r="U458" i="21"/>
  <c r="T458" i="21"/>
  <c r="R458" i="21"/>
  <c r="P458" i="21"/>
  <c r="M458" i="21"/>
  <c r="L458" i="21"/>
  <c r="I458" i="21"/>
  <c r="H458" i="21"/>
  <c r="G458" i="21"/>
  <c r="W458" i="21" s="1"/>
  <c r="F458" i="21"/>
  <c r="S458" i="21" s="1"/>
  <c r="E458" i="21"/>
  <c r="D458" i="21"/>
  <c r="C458" i="21"/>
  <c r="AG458" i="21" s="1"/>
  <c r="B458" i="21"/>
  <c r="A458" i="21"/>
  <c r="P457" i="21"/>
  <c r="K457" i="21"/>
  <c r="F457" i="21"/>
  <c r="X457" i="21" s="1"/>
  <c r="A457" i="21"/>
  <c r="V456" i="21"/>
  <c r="S456" i="21"/>
  <c r="J456" i="21"/>
  <c r="I456" i="21"/>
  <c r="F456" i="21"/>
  <c r="R456" i="21" s="1"/>
  <c r="B456" i="21"/>
  <c r="A456" i="21"/>
  <c r="R455" i="21"/>
  <c r="Q455" i="21"/>
  <c r="I455" i="21"/>
  <c r="H455" i="21"/>
  <c r="F455" i="21"/>
  <c r="X455" i="21" s="1"/>
  <c r="D455" i="21"/>
  <c r="B455" i="21"/>
  <c r="A455" i="21"/>
  <c r="V454" i="21"/>
  <c r="U454" i="21"/>
  <c r="K454" i="21"/>
  <c r="I454" i="21"/>
  <c r="F454" i="21"/>
  <c r="P454" i="21" s="1"/>
  <c r="B454" i="21"/>
  <c r="A454" i="21"/>
  <c r="L453" i="21"/>
  <c r="G453" i="21"/>
  <c r="F453" i="21"/>
  <c r="U453" i="21" s="1"/>
  <c r="A453" i="21"/>
  <c r="X452" i="21"/>
  <c r="T452" i="21"/>
  <c r="R452" i="21"/>
  <c r="M452" i="21"/>
  <c r="L452" i="21"/>
  <c r="H452" i="21"/>
  <c r="G452" i="21"/>
  <c r="F452" i="21"/>
  <c r="S452" i="21" s="1"/>
  <c r="D452" i="21"/>
  <c r="C452" i="21"/>
  <c r="B452" i="21"/>
  <c r="A452" i="21"/>
  <c r="X451" i="21"/>
  <c r="P451" i="21"/>
  <c r="L451" i="21"/>
  <c r="G451" i="21"/>
  <c r="W451" i="21" s="1"/>
  <c r="F451" i="21"/>
  <c r="B451" i="21"/>
  <c r="A451" i="21"/>
  <c r="G450" i="21"/>
  <c r="F450" i="21"/>
  <c r="A450" i="21"/>
  <c r="V449" i="21"/>
  <c r="S449" i="21"/>
  <c r="M449" i="21"/>
  <c r="J449" i="21"/>
  <c r="I449" i="21"/>
  <c r="F449" i="21"/>
  <c r="R449" i="21" s="1"/>
  <c r="E449" i="21"/>
  <c r="B449" i="21"/>
  <c r="A449" i="21"/>
  <c r="X448" i="21"/>
  <c r="T448" i="21"/>
  <c r="R448" i="21"/>
  <c r="M448" i="21"/>
  <c r="L448" i="21"/>
  <c r="H448" i="21"/>
  <c r="G448" i="21"/>
  <c r="W448" i="21" s="1"/>
  <c r="F448" i="21"/>
  <c r="S448" i="21" s="1"/>
  <c r="D448" i="21"/>
  <c r="C448" i="21"/>
  <c r="AG448" i="21" s="1"/>
  <c r="B448" i="21"/>
  <c r="A448" i="21"/>
  <c r="X447" i="21"/>
  <c r="L447" i="21"/>
  <c r="G447" i="21"/>
  <c r="F447" i="21"/>
  <c r="P447" i="21" s="1"/>
  <c r="A447" i="21"/>
  <c r="F446" i="21"/>
  <c r="A446" i="21"/>
  <c r="V445" i="21"/>
  <c r="N445" i="21"/>
  <c r="M445" i="21"/>
  <c r="F445" i="21"/>
  <c r="E445" i="21"/>
  <c r="A445" i="21"/>
  <c r="X444" i="21"/>
  <c r="U444" i="21"/>
  <c r="T444" i="21"/>
  <c r="R444" i="21"/>
  <c r="P444" i="21"/>
  <c r="M444" i="21"/>
  <c r="L444" i="21"/>
  <c r="I444" i="21"/>
  <c r="H444" i="21"/>
  <c r="G444" i="21"/>
  <c r="F444" i="21"/>
  <c r="S444" i="21" s="1"/>
  <c r="E444" i="21"/>
  <c r="D444" i="21"/>
  <c r="C444" i="21"/>
  <c r="B444" i="21"/>
  <c r="A444" i="21"/>
  <c r="X443" i="21"/>
  <c r="P443" i="21"/>
  <c r="L443" i="21"/>
  <c r="F443" i="21"/>
  <c r="C443" i="21"/>
  <c r="AG443" i="21" s="1"/>
  <c r="A443" i="21"/>
  <c r="F442" i="21"/>
  <c r="A442" i="21"/>
  <c r="F441" i="21"/>
  <c r="A441" i="21"/>
  <c r="X440" i="21"/>
  <c r="U440" i="21"/>
  <c r="T440" i="21"/>
  <c r="R440" i="21"/>
  <c r="P440" i="21"/>
  <c r="M440" i="21"/>
  <c r="L440" i="21"/>
  <c r="I440" i="21"/>
  <c r="H440" i="21"/>
  <c r="G440" i="21"/>
  <c r="W440" i="21" s="1"/>
  <c r="F440" i="21"/>
  <c r="S440" i="21" s="1"/>
  <c r="E440" i="21"/>
  <c r="D440" i="21"/>
  <c r="C440" i="21"/>
  <c r="AF440" i="21" s="1"/>
  <c r="B440" i="21"/>
  <c r="A440" i="21"/>
  <c r="X439" i="21"/>
  <c r="Q439" i="21"/>
  <c r="P439" i="21"/>
  <c r="H439" i="21"/>
  <c r="G439" i="21"/>
  <c r="F439" i="21"/>
  <c r="S439" i="21" s="1"/>
  <c r="C439" i="21"/>
  <c r="B439" i="21"/>
  <c r="A439" i="21"/>
  <c r="F438" i="21"/>
  <c r="A438" i="21"/>
  <c r="V437" i="21"/>
  <c r="F437" i="21"/>
  <c r="E437" i="21" s="1"/>
  <c r="A437" i="21"/>
  <c r="V436" i="21"/>
  <c r="U436" i="21"/>
  <c r="P436" i="21"/>
  <c r="K436" i="21"/>
  <c r="I436" i="21"/>
  <c r="F436" i="21"/>
  <c r="E436" i="21"/>
  <c r="B436" i="21"/>
  <c r="A436" i="21"/>
  <c r="X435" i="21"/>
  <c r="T435" i="21"/>
  <c r="Q435" i="21"/>
  <c r="P435" i="21"/>
  <c r="K435" i="21"/>
  <c r="H435" i="21"/>
  <c r="G435" i="21"/>
  <c r="W435" i="21" s="1"/>
  <c r="F435" i="21"/>
  <c r="S435" i="21" s="1"/>
  <c r="D435" i="21"/>
  <c r="C435" i="21"/>
  <c r="AG435" i="21" s="1"/>
  <c r="B435" i="21"/>
  <c r="A435" i="21"/>
  <c r="X434" i="21"/>
  <c r="T434" i="21"/>
  <c r="S434" i="21"/>
  <c r="K434" i="21"/>
  <c r="J434" i="21"/>
  <c r="G434" i="21"/>
  <c r="F434" i="21"/>
  <c r="P434" i="21" s="1"/>
  <c r="C434" i="21"/>
  <c r="B434" i="21"/>
  <c r="A434" i="21"/>
  <c r="S433" i="21"/>
  <c r="F433" i="21"/>
  <c r="A433" i="21"/>
  <c r="U432" i="21"/>
  <c r="Q432" i="21"/>
  <c r="I432" i="21"/>
  <c r="F432" i="21"/>
  <c r="A432" i="21"/>
  <c r="X431" i="21"/>
  <c r="T431" i="21"/>
  <c r="Q431" i="21"/>
  <c r="P431" i="21"/>
  <c r="K431" i="21"/>
  <c r="H431" i="21"/>
  <c r="G431" i="21"/>
  <c r="F431" i="21"/>
  <c r="S431" i="21" s="1"/>
  <c r="D431" i="21"/>
  <c r="C431" i="21"/>
  <c r="B431" i="21"/>
  <c r="A431" i="21"/>
  <c r="F430" i="21"/>
  <c r="A430" i="21"/>
  <c r="F429" i="21"/>
  <c r="A429" i="21"/>
  <c r="R428" i="21"/>
  <c r="Q428" i="21"/>
  <c r="F428" i="21"/>
  <c r="A428" i="21"/>
  <c r="U427" i="21"/>
  <c r="F427" i="21"/>
  <c r="A427" i="21"/>
  <c r="X426" i="21"/>
  <c r="P426" i="21"/>
  <c r="K426" i="21"/>
  <c r="F426" i="21"/>
  <c r="C426" i="21"/>
  <c r="A426" i="21"/>
  <c r="V425" i="21"/>
  <c r="Q425" i="21"/>
  <c r="J425" i="21"/>
  <c r="F425" i="21"/>
  <c r="E425" i="21"/>
  <c r="A425" i="21"/>
  <c r="V424" i="21"/>
  <c r="U424" i="21"/>
  <c r="K424" i="21"/>
  <c r="I424" i="21"/>
  <c r="F424" i="21"/>
  <c r="P424" i="21" s="1"/>
  <c r="B424" i="21"/>
  <c r="A424" i="21"/>
  <c r="X423" i="21"/>
  <c r="L423" i="21"/>
  <c r="K423" i="21"/>
  <c r="G423" i="21"/>
  <c r="F423" i="21"/>
  <c r="S423" i="21" s="1"/>
  <c r="B423" i="21"/>
  <c r="A423" i="21"/>
  <c r="X422" i="21"/>
  <c r="M422" i="21"/>
  <c r="K422" i="21"/>
  <c r="G422" i="21"/>
  <c r="F422" i="21"/>
  <c r="S422" i="21" s="1"/>
  <c r="B422" i="21"/>
  <c r="A422" i="21"/>
  <c r="R421" i="21"/>
  <c r="F421" i="21"/>
  <c r="A421" i="21"/>
  <c r="X420" i="21"/>
  <c r="U420" i="21"/>
  <c r="T420" i="21"/>
  <c r="R420" i="21"/>
  <c r="P420" i="21"/>
  <c r="M420" i="21"/>
  <c r="L420" i="21"/>
  <c r="I420" i="21"/>
  <c r="H420" i="21"/>
  <c r="G420" i="21"/>
  <c r="W420" i="21" s="1"/>
  <c r="F420" i="21"/>
  <c r="S420" i="21" s="1"/>
  <c r="E420" i="21"/>
  <c r="D420" i="21"/>
  <c r="C420" i="21"/>
  <c r="AI420" i="21" s="1"/>
  <c r="B420" i="21"/>
  <c r="A420" i="21"/>
  <c r="K419" i="21"/>
  <c r="F419" i="21"/>
  <c r="X419" i="21" s="1"/>
  <c r="A419" i="21"/>
  <c r="X418" i="21"/>
  <c r="W418" i="21"/>
  <c r="T418" i="21"/>
  <c r="R418" i="21"/>
  <c r="N418" i="21"/>
  <c r="M418" i="21"/>
  <c r="I418" i="21"/>
  <c r="H418" i="21"/>
  <c r="G418" i="21"/>
  <c r="Z418" i="21" s="1"/>
  <c r="AA418" i="21" s="1"/>
  <c r="AC418" i="21" s="1"/>
  <c r="F418" i="21"/>
  <c r="S418" i="21" s="1"/>
  <c r="E418" i="21"/>
  <c r="D418" i="21"/>
  <c r="C418" i="21"/>
  <c r="AF418" i="21" s="1"/>
  <c r="B418" i="21"/>
  <c r="A418" i="21"/>
  <c r="F417" i="21"/>
  <c r="K417" i="21" s="1"/>
  <c r="A417" i="21"/>
  <c r="V416" i="21"/>
  <c r="S416" i="21"/>
  <c r="J416" i="21"/>
  <c r="I416" i="21"/>
  <c r="F416" i="21"/>
  <c r="R416" i="21" s="1"/>
  <c r="B416" i="21"/>
  <c r="A416" i="21"/>
  <c r="R415" i="21"/>
  <c r="Q415" i="21"/>
  <c r="I415" i="21"/>
  <c r="H415" i="21"/>
  <c r="F415" i="21"/>
  <c r="X415" i="21" s="1"/>
  <c r="D415" i="21"/>
  <c r="B415" i="21"/>
  <c r="A415" i="21"/>
  <c r="T414" i="21"/>
  <c r="M414" i="21"/>
  <c r="K414" i="21"/>
  <c r="F414" i="21"/>
  <c r="E414" i="21"/>
  <c r="A414" i="21"/>
  <c r="S413" i="21"/>
  <c r="F413" i="21"/>
  <c r="B413" i="21" s="1"/>
  <c r="A413" i="21"/>
  <c r="J412" i="21"/>
  <c r="F412" i="21"/>
  <c r="B412" i="21" s="1"/>
  <c r="A412" i="21"/>
  <c r="V411" i="21"/>
  <c r="U411" i="21"/>
  <c r="M411" i="21"/>
  <c r="L411" i="21"/>
  <c r="I411" i="21"/>
  <c r="F411" i="21"/>
  <c r="E411" i="21"/>
  <c r="D411" i="21"/>
  <c r="A411" i="21"/>
  <c r="T410" i="21"/>
  <c r="G410" i="21"/>
  <c r="F410" i="21"/>
  <c r="V410" i="21" s="1"/>
  <c r="A410" i="21"/>
  <c r="F409" i="21"/>
  <c r="A409" i="21"/>
  <c r="F408" i="21"/>
  <c r="A408" i="21"/>
  <c r="Q407" i="21"/>
  <c r="F407" i="21"/>
  <c r="E407" i="21"/>
  <c r="A407" i="21"/>
  <c r="X406" i="21"/>
  <c r="U406" i="21"/>
  <c r="P406" i="21"/>
  <c r="M406" i="21"/>
  <c r="L406" i="21"/>
  <c r="I406" i="21"/>
  <c r="H406" i="21"/>
  <c r="G406" i="21"/>
  <c r="F406" i="21"/>
  <c r="S406" i="21" s="1"/>
  <c r="E406" i="21"/>
  <c r="D406" i="21"/>
  <c r="C406" i="21"/>
  <c r="AI406" i="21" s="1"/>
  <c r="B406" i="21"/>
  <c r="A406" i="21"/>
  <c r="F405" i="21"/>
  <c r="A405" i="21"/>
  <c r="F404" i="21"/>
  <c r="K404" i="21" s="1"/>
  <c r="A404" i="21"/>
  <c r="Q403" i="21"/>
  <c r="M403" i="21"/>
  <c r="J403" i="21"/>
  <c r="F403" i="21"/>
  <c r="E403" i="21"/>
  <c r="B403" i="21"/>
  <c r="A403" i="21"/>
  <c r="X402" i="21"/>
  <c r="U402" i="21"/>
  <c r="P402" i="21"/>
  <c r="M402" i="21"/>
  <c r="L402" i="21"/>
  <c r="I402" i="21"/>
  <c r="H402" i="21"/>
  <c r="G402" i="21"/>
  <c r="F402" i="21"/>
  <c r="S402" i="21" s="1"/>
  <c r="E402" i="21"/>
  <c r="D402" i="21"/>
  <c r="C402" i="21"/>
  <c r="AI402" i="21" s="1"/>
  <c r="B402" i="21"/>
  <c r="A402" i="21"/>
  <c r="N401" i="21"/>
  <c r="K401" i="21"/>
  <c r="F401" i="21"/>
  <c r="C401" i="21"/>
  <c r="A401" i="21"/>
  <c r="F400" i="21"/>
  <c r="C400" i="21"/>
  <c r="A400" i="21"/>
  <c r="Q399" i="21"/>
  <c r="M399" i="21"/>
  <c r="H399" i="21"/>
  <c r="F399" i="21"/>
  <c r="E399" i="21"/>
  <c r="A399" i="21"/>
  <c r="Q398" i="21"/>
  <c r="P398" i="21"/>
  <c r="I398" i="21"/>
  <c r="H398" i="21"/>
  <c r="F398" i="21"/>
  <c r="D398" i="21"/>
  <c r="B398" i="21"/>
  <c r="A398" i="21"/>
  <c r="F397" i="21"/>
  <c r="A397" i="21"/>
  <c r="F396" i="21"/>
  <c r="A396" i="21"/>
  <c r="Q395" i="21"/>
  <c r="M395" i="21"/>
  <c r="J395" i="21"/>
  <c r="F395" i="21"/>
  <c r="E395" i="21"/>
  <c r="B395" i="21"/>
  <c r="A395" i="21"/>
  <c r="X394" i="21"/>
  <c r="U394" i="21"/>
  <c r="P394" i="21"/>
  <c r="M394" i="21"/>
  <c r="L394" i="21"/>
  <c r="I394" i="21"/>
  <c r="H394" i="21"/>
  <c r="G394" i="21"/>
  <c r="F394" i="21"/>
  <c r="S394" i="21" s="1"/>
  <c r="E394" i="21"/>
  <c r="D394" i="21"/>
  <c r="C394" i="21"/>
  <c r="B394" i="21"/>
  <c r="A394" i="21"/>
  <c r="N393" i="21"/>
  <c r="K393" i="21"/>
  <c r="F393" i="21"/>
  <c r="C393" i="21"/>
  <c r="A393" i="21"/>
  <c r="F392" i="21"/>
  <c r="C392" i="21"/>
  <c r="A392" i="21"/>
  <c r="Q391" i="21"/>
  <c r="M391" i="21"/>
  <c r="H391" i="21"/>
  <c r="F391" i="21"/>
  <c r="E391" i="21"/>
  <c r="A391" i="21"/>
  <c r="X390" i="21"/>
  <c r="Q390" i="21"/>
  <c r="P390" i="21"/>
  <c r="K390" i="21"/>
  <c r="I390" i="21"/>
  <c r="G390" i="21"/>
  <c r="F390" i="21"/>
  <c r="E390" i="21"/>
  <c r="C390" i="21"/>
  <c r="B390" i="21"/>
  <c r="A390" i="21"/>
  <c r="F389" i="21"/>
  <c r="A389" i="21"/>
  <c r="F388" i="21"/>
  <c r="A388" i="21"/>
  <c r="S387" i="21"/>
  <c r="Q387" i="21"/>
  <c r="F387" i="21"/>
  <c r="E387" i="21"/>
  <c r="A387" i="21"/>
  <c r="Q386" i="21"/>
  <c r="P386" i="21"/>
  <c r="K386" i="21"/>
  <c r="I386" i="21"/>
  <c r="H386" i="21"/>
  <c r="F386" i="21"/>
  <c r="E386" i="21"/>
  <c r="D386" i="21"/>
  <c r="B386" i="21"/>
  <c r="A386" i="21"/>
  <c r="F385" i="21"/>
  <c r="A385" i="21"/>
  <c r="F384" i="21"/>
  <c r="A384" i="21"/>
  <c r="H383" i="21"/>
  <c r="F383" i="21"/>
  <c r="A383" i="21"/>
  <c r="U382" i="21"/>
  <c r="L382" i="21"/>
  <c r="F382" i="21"/>
  <c r="E382" i="21"/>
  <c r="A382" i="21"/>
  <c r="P381" i="21"/>
  <c r="J381" i="21"/>
  <c r="F381" i="21"/>
  <c r="A381" i="21"/>
  <c r="P380" i="21"/>
  <c r="F380" i="21"/>
  <c r="J380" i="21" s="1"/>
  <c r="E380" i="21"/>
  <c r="A380" i="21"/>
  <c r="N379" i="21"/>
  <c r="I379" i="21"/>
  <c r="F379" i="21"/>
  <c r="Q379" i="21" s="1"/>
  <c r="A379" i="21"/>
  <c r="P378" i="21"/>
  <c r="M378" i="21"/>
  <c r="F378" i="21"/>
  <c r="B378" i="21"/>
  <c r="A378" i="21"/>
  <c r="F377" i="21"/>
  <c r="D377" i="21"/>
  <c r="A377" i="21"/>
  <c r="P376" i="21"/>
  <c r="J376" i="21"/>
  <c r="F376" i="21"/>
  <c r="E376" i="21"/>
  <c r="A376" i="21"/>
  <c r="J375" i="21"/>
  <c r="F375" i="21"/>
  <c r="A375" i="21"/>
  <c r="U374" i="21"/>
  <c r="Q374" i="21"/>
  <c r="P374" i="21"/>
  <c r="K374" i="21"/>
  <c r="I374" i="21"/>
  <c r="G374" i="21"/>
  <c r="Z374" i="21" s="1"/>
  <c r="AA374" i="21" s="1"/>
  <c r="AC374" i="21" s="1"/>
  <c r="F374" i="21"/>
  <c r="E374" i="21"/>
  <c r="C374" i="21"/>
  <c r="B374" i="21"/>
  <c r="A374" i="21"/>
  <c r="P373" i="21"/>
  <c r="J373" i="21"/>
  <c r="F373" i="21"/>
  <c r="A373" i="21"/>
  <c r="P372" i="21"/>
  <c r="F372" i="21"/>
  <c r="J372" i="21" s="1"/>
  <c r="A372" i="21"/>
  <c r="U371" i="21"/>
  <c r="I371" i="21"/>
  <c r="F371" i="21"/>
  <c r="A371" i="21"/>
  <c r="X370" i="21"/>
  <c r="M370" i="21"/>
  <c r="F370" i="21"/>
  <c r="E370" i="21"/>
  <c r="A370" i="21"/>
  <c r="P369" i="21"/>
  <c r="L369" i="21"/>
  <c r="G369" i="21"/>
  <c r="F369" i="21"/>
  <c r="B369" i="21"/>
  <c r="A369" i="21"/>
  <c r="F368" i="21"/>
  <c r="A368" i="21"/>
  <c r="M367" i="21"/>
  <c r="F367" i="21"/>
  <c r="E367" i="21" s="1"/>
  <c r="B367" i="21"/>
  <c r="A367" i="21"/>
  <c r="F366" i="21"/>
  <c r="A366" i="21"/>
  <c r="X365" i="21"/>
  <c r="U365" i="21"/>
  <c r="T365" i="21"/>
  <c r="R365" i="21"/>
  <c r="P365" i="21"/>
  <c r="M365" i="21"/>
  <c r="L365" i="21"/>
  <c r="I365" i="21"/>
  <c r="H365" i="21"/>
  <c r="G365" i="21"/>
  <c r="F365" i="21"/>
  <c r="S365" i="21" s="1"/>
  <c r="E365" i="21"/>
  <c r="D365" i="21"/>
  <c r="C365" i="21"/>
  <c r="B365" i="21"/>
  <c r="A365" i="21"/>
  <c r="F364" i="21"/>
  <c r="A364" i="21"/>
  <c r="M363" i="21"/>
  <c r="I363" i="21"/>
  <c r="F363" i="21"/>
  <c r="U363" i="21" s="1"/>
  <c r="B363" i="21"/>
  <c r="A363" i="21"/>
  <c r="Q362" i="21"/>
  <c r="M362" i="21"/>
  <c r="H362" i="21"/>
  <c r="F362" i="21"/>
  <c r="B362" i="21"/>
  <c r="A362" i="21"/>
  <c r="X361" i="21"/>
  <c r="U361" i="21"/>
  <c r="T361" i="21"/>
  <c r="R361" i="21"/>
  <c r="P361" i="21"/>
  <c r="M361" i="21"/>
  <c r="L361" i="21"/>
  <c r="I361" i="21"/>
  <c r="H361" i="21"/>
  <c r="G361" i="21"/>
  <c r="F361" i="21"/>
  <c r="S361" i="21" s="1"/>
  <c r="E361" i="21"/>
  <c r="D361" i="21"/>
  <c r="C361" i="21"/>
  <c r="B361" i="21"/>
  <c r="A361" i="21"/>
  <c r="S360" i="21"/>
  <c r="J360" i="21"/>
  <c r="F360" i="21"/>
  <c r="N360" i="21" s="1"/>
  <c r="B360" i="21"/>
  <c r="A360" i="21"/>
  <c r="F359" i="21"/>
  <c r="A359" i="21"/>
  <c r="L358" i="21"/>
  <c r="F358" i="21"/>
  <c r="E358" i="21"/>
  <c r="A358" i="21"/>
  <c r="P357" i="21"/>
  <c r="I357" i="21"/>
  <c r="F357" i="21"/>
  <c r="Q357" i="21" s="1"/>
  <c r="A357" i="21"/>
  <c r="N356" i="21"/>
  <c r="F356" i="21"/>
  <c r="S356" i="21" s="1"/>
  <c r="A356" i="21"/>
  <c r="F355" i="21"/>
  <c r="A355" i="21"/>
  <c r="S354" i="21"/>
  <c r="J354" i="21"/>
  <c r="F354" i="21"/>
  <c r="U354" i="21" s="1"/>
  <c r="A354" i="21"/>
  <c r="AF353" i="21"/>
  <c r="X353" i="21"/>
  <c r="U353" i="21"/>
  <c r="T353" i="21"/>
  <c r="R353" i="21"/>
  <c r="P353" i="21"/>
  <c r="M353" i="21"/>
  <c r="L353" i="21"/>
  <c r="I353" i="21"/>
  <c r="H353" i="21"/>
  <c r="G353" i="21"/>
  <c r="F353" i="21"/>
  <c r="S353" i="21" s="1"/>
  <c r="E353" i="21"/>
  <c r="D353" i="21"/>
  <c r="C353" i="21"/>
  <c r="AH353" i="21" s="1"/>
  <c r="B353" i="21"/>
  <c r="A353" i="21"/>
  <c r="U352" i="21"/>
  <c r="H352" i="21"/>
  <c r="F352" i="21"/>
  <c r="A352" i="21"/>
  <c r="X351" i="21"/>
  <c r="P351" i="21"/>
  <c r="K351" i="21"/>
  <c r="I351" i="21"/>
  <c r="G351" i="21"/>
  <c r="F351" i="21"/>
  <c r="U351" i="21" s="1"/>
  <c r="E351" i="21"/>
  <c r="C351" i="21"/>
  <c r="B351" i="21"/>
  <c r="A351" i="21"/>
  <c r="U350" i="21"/>
  <c r="S350" i="21"/>
  <c r="J350" i="21"/>
  <c r="H350" i="21"/>
  <c r="F350" i="21"/>
  <c r="Q350" i="21" s="1"/>
  <c r="B350" i="21"/>
  <c r="A350" i="21"/>
  <c r="L349" i="21"/>
  <c r="K349" i="21"/>
  <c r="F349" i="21"/>
  <c r="Q349" i="21" s="1"/>
  <c r="B349" i="21"/>
  <c r="A349" i="21"/>
  <c r="J348" i="21"/>
  <c r="F348" i="21"/>
  <c r="A348" i="21"/>
  <c r="X347" i="21"/>
  <c r="M347" i="21"/>
  <c r="K347" i="21"/>
  <c r="F347" i="21"/>
  <c r="E347" i="21"/>
  <c r="A347" i="21"/>
  <c r="F346" i="21"/>
  <c r="A346" i="21"/>
  <c r="U345" i="21"/>
  <c r="M345" i="21"/>
  <c r="L345" i="21"/>
  <c r="H345" i="21"/>
  <c r="G345" i="21"/>
  <c r="F345" i="21"/>
  <c r="S345" i="21" s="1"/>
  <c r="D345" i="21"/>
  <c r="C345" i="21"/>
  <c r="B345" i="21"/>
  <c r="A345" i="21"/>
  <c r="S344" i="21"/>
  <c r="Q344" i="21"/>
  <c r="J344" i="21"/>
  <c r="F344" i="21"/>
  <c r="B344" i="21"/>
  <c r="A344" i="21"/>
  <c r="M343" i="21"/>
  <c r="G343" i="21"/>
  <c r="F343" i="21"/>
  <c r="P343" i="21" s="1"/>
  <c r="A343" i="21"/>
  <c r="N342" i="21"/>
  <c r="I342" i="21"/>
  <c r="F342" i="21"/>
  <c r="A342" i="21"/>
  <c r="X341" i="21"/>
  <c r="M341" i="21"/>
  <c r="K341" i="21"/>
  <c r="H341" i="21"/>
  <c r="F341" i="21"/>
  <c r="E341" i="21"/>
  <c r="B341" i="21"/>
  <c r="A341" i="21"/>
  <c r="X340" i="21"/>
  <c r="S340" i="21"/>
  <c r="P340" i="21"/>
  <c r="N340" i="21"/>
  <c r="J340" i="21"/>
  <c r="H340" i="21"/>
  <c r="G340" i="21"/>
  <c r="Z340" i="21" s="1"/>
  <c r="F340" i="21"/>
  <c r="U340" i="21" s="1"/>
  <c r="D340" i="21"/>
  <c r="C340" i="21"/>
  <c r="AH340" i="21" s="1"/>
  <c r="B340" i="21"/>
  <c r="A340" i="21"/>
  <c r="F339" i="21"/>
  <c r="A339" i="21"/>
  <c r="U338" i="21"/>
  <c r="I338" i="21"/>
  <c r="F338" i="21"/>
  <c r="D338" i="21"/>
  <c r="A338" i="21"/>
  <c r="X337" i="21"/>
  <c r="U337" i="21"/>
  <c r="P337" i="21"/>
  <c r="M337" i="21"/>
  <c r="L337" i="21"/>
  <c r="I337" i="21"/>
  <c r="H337" i="21"/>
  <c r="G337" i="21"/>
  <c r="Z337" i="21" s="1"/>
  <c r="AA337" i="21" s="1"/>
  <c r="AC337" i="21" s="1"/>
  <c r="F337" i="21"/>
  <c r="S337" i="21" s="1"/>
  <c r="E337" i="21"/>
  <c r="D337" i="21"/>
  <c r="C337" i="21"/>
  <c r="AF337" i="21" s="1"/>
  <c r="B337" i="21"/>
  <c r="A337" i="21"/>
  <c r="F336" i="21"/>
  <c r="N336" i="21" s="1"/>
  <c r="A336" i="21"/>
  <c r="S335" i="21"/>
  <c r="F335" i="21"/>
  <c r="A335" i="21"/>
  <c r="L334" i="21"/>
  <c r="F334" i="21"/>
  <c r="A334" i="21"/>
  <c r="X333" i="21"/>
  <c r="Q333" i="21"/>
  <c r="I333" i="21"/>
  <c r="H333" i="21"/>
  <c r="F333" i="21"/>
  <c r="M333" i="21" s="1"/>
  <c r="B333" i="21"/>
  <c r="A333" i="21"/>
  <c r="X332" i="21"/>
  <c r="S332" i="21"/>
  <c r="P332" i="21"/>
  <c r="N332" i="21"/>
  <c r="J332" i="21"/>
  <c r="H332" i="21"/>
  <c r="G332" i="21"/>
  <c r="F332" i="21"/>
  <c r="U332" i="21" s="1"/>
  <c r="D332" i="21"/>
  <c r="C332" i="21"/>
  <c r="AH332" i="21" s="1"/>
  <c r="B332" i="21"/>
  <c r="A332" i="21"/>
  <c r="M331" i="21"/>
  <c r="F331" i="21"/>
  <c r="A331" i="21"/>
  <c r="S330" i="21"/>
  <c r="N330" i="21"/>
  <c r="H330" i="21"/>
  <c r="F330" i="21"/>
  <c r="L330" i="21" s="1"/>
  <c r="D330" i="21"/>
  <c r="A330" i="21"/>
  <c r="X329" i="21"/>
  <c r="U329" i="21"/>
  <c r="P329" i="21"/>
  <c r="M329" i="21"/>
  <c r="L329" i="21"/>
  <c r="I329" i="21"/>
  <c r="H329" i="21"/>
  <c r="G329" i="21"/>
  <c r="Z329" i="21" s="1"/>
  <c r="AA329" i="21" s="1"/>
  <c r="AC329" i="21" s="1"/>
  <c r="F329" i="21"/>
  <c r="S329" i="21" s="1"/>
  <c r="E329" i="21"/>
  <c r="D329" i="21"/>
  <c r="C329" i="21"/>
  <c r="AI329" i="21" s="1"/>
  <c r="B329" i="21"/>
  <c r="A329" i="21"/>
  <c r="X328" i="21"/>
  <c r="S328" i="21"/>
  <c r="P328" i="21"/>
  <c r="N328" i="21"/>
  <c r="J328" i="21"/>
  <c r="H328" i="21"/>
  <c r="G328" i="21"/>
  <c r="Z328" i="21" s="1"/>
  <c r="F328" i="21"/>
  <c r="U328" i="21" s="1"/>
  <c r="D328" i="21"/>
  <c r="C328" i="21"/>
  <c r="AG328" i="21" s="1"/>
  <c r="B328" i="21"/>
  <c r="A328" i="21"/>
  <c r="F327" i="21"/>
  <c r="A327" i="21"/>
  <c r="I326" i="21"/>
  <c r="F326" i="21"/>
  <c r="B326" i="21"/>
  <c r="A326" i="21"/>
  <c r="P325" i="21"/>
  <c r="L325" i="21"/>
  <c r="F325" i="21"/>
  <c r="B325" i="21"/>
  <c r="A325" i="21"/>
  <c r="G324" i="21"/>
  <c r="Z324" i="21" s="1"/>
  <c r="F324" i="21"/>
  <c r="A324" i="21"/>
  <c r="X323" i="21"/>
  <c r="S323" i="21"/>
  <c r="P323" i="21"/>
  <c r="N323" i="21"/>
  <c r="J323" i="21"/>
  <c r="I323" i="21"/>
  <c r="G323" i="21"/>
  <c r="F323" i="21"/>
  <c r="E323" i="21"/>
  <c r="C323" i="21"/>
  <c r="AH323" i="21" s="1"/>
  <c r="B323" i="21"/>
  <c r="A323" i="21"/>
  <c r="S322" i="21"/>
  <c r="N322" i="21"/>
  <c r="H322" i="21"/>
  <c r="F322" i="21"/>
  <c r="D322" i="21"/>
  <c r="A322" i="21"/>
  <c r="P321" i="21"/>
  <c r="L321" i="21"/>
  <c r="F321" i="21"/>
  <c r="E321" i="21" s="1"/>
  <c r="A321" i="21"/>
  <c r="U320" i="21"/>
  <c r="P320" i="21"/>
  <c r="F320" i="21"/>
  <c r="D320" i="21"/>
  <c r="A320" i="21"/>
  <c r="X319" i="21"/>
  <c r="P319" i="21"/>
  <c r="M319" i="21"/>
  <c r="I319" i="21"/>
  <c r="G319" i="21"/>
  <c r="F319" i="21"/>
  <c r="C319" i="21"/>
  <c r="AH319" i="21" s="1"/>
  <c r="B319" i="21"/>
  <c r="A319" i="21"/>
  <c r="F318" i="21"/>
  <c r="A318" i="21"/>
  <c r="X317" i="21"/>
  <c r="L317" i="21"/>
  <c r="I317" i="21"/>
  <c r="F317" i="21"/>
  <c r="C317" i="21"/>
  <c r="AI317" i="21" s="1"/>
  <c r="B317" i="21"/>
  <c r="A317" i="21"/>
  <c r="F316" i="21"/>
  <c r="B316" i="21"/>
  <c r="A316" i="21"/>
  <c r="X315" i="21"/>
  <c r="S315" i="21"/>
  <c r="P315" i="21"/>
  <c r="N315" i="21"/>
  <c r="J315" i="21"/>
  <c r="I315" i="21"/>
  <c r="G315" i="21"/>
  <c r="F315" i="21"/>
  <c r="E315" i="21"/>
  <c r="C315" i="21"/>
  <c r="B315" i="21"/>
  <c r="A315" i="21"/>
  <c r="S314" i="21"/>
  <c r="L314" i="21"/>
  <c r="H314" i="21"/>
  <c r="F314" i="21"/>
  <c r="A314" i="21"/>
  <c r="X313" i="21"/>
  <c r="L313" i="21"/>
  <c r="I313" i="21"/>
  <c r="F313" i="21"/>
  <c r="C313" i="21"/>
  <c r="AI313" i="21" s="1"/>
  <c r="B313" i="21"/>
  <c r="A313" i="21"/>
  <c r="P312" i="21"/>
  <c r="L312" i="21"/>
  <c r="F312" i="21"/>
  <c r="D312" i="21"/>
  <c r="A312" i="21"/>
  <c r="N311" i="21"/>
  <c r="M311" i="21"/>
  <c r="F311" i="21"/>
  <c r="C311" i="21"/>
  <c r="AH311" i="21" s="1"/>
  <c r="B311" i="21"/>
  <c r="A311" i="21"/>
  <c r="F310" i="21"/>
  <c r="I310" i="21" s="1"/>
  <c r="B310" i="21"/>
  <c r="A310" i="21"/>
  <c r="U309" i="21"/>
  <c r="P309" i="21"/>
  <c r="M309" i="21"/>
  <c r="L309" i="21"/>
  <c r="I309" i="21"/>
  <c r="H309" i="21"/>
  <c r="G309" i="21"/>
  <c r="F309" i="21"/>
  <c r="S309" i="21" s="1"/>
  <c r="E309" i="21"/>
  <c r="D309" i="21"/>
  <c r="C309" i="21"/>
  <c r="AI309" i="21" s="1"/>
  <c r="B309" i="21"/>
  <c r="A309" i="21"/>
  <c r="X308" i="21"/>
  <c r="N308" i="21"/>
  <c r="L308" i="21"/>
  <c r="G308" i="21"/>
  <c r="F308" i="21"/>
  <c r="C308" i="21"/>
  <c r="AG308" i="21" s="1"/>
  <c r="A308" i="21"/>
  <c r="S307" i="21"/>
  <c r="M307" i="21"/>
  <c r="J307" i="21"/>
  <c r="I307" i="21"/>
  <c r="F307" i="21"/>
  <c r="E307" i="21"/>
  <c r="C307" i="21"/>
  <c r="AH307" i="21" s="1"/>
  <c r="A307" i="21"/>
  <c r="F306" i="21"/>
  <c r="A306" i="21"/>
  <c r="P305" i="21"/>
  <c r="H305" i="21"/>
  <c r="F305" i="21"/>
  <c r="Q305" i="21" s="1"/>
  <c r="A305" i="21"/>
  <c r="X304" i="21"/>
  <c r="S304" i="21"/>
  <c r="P304" i="21"/>
  <c r="N304" i="21"/>
  <c r="J304" i="21"/>
  <c r="H304" i="21"/>
  <c r="G304" i="21"/>
  <c r="F304" i="21"/>
  <c r="U304" i="21" s="1"/>
  <c r="D304" i="21"/>
  <c r="C304" i="21"/>
  <c r="AG304" i="21" s="1"/>
  <c r="B304" i="21"/>
  <c r="A304" i="21"/>
  <c r="N303" i="21"/>
  <c r="J303" i="21"/>
  <c r="G303" i="21"/>
  <c r="F303" i="21"/>
  <c r="B303" i="21"/>
  <c r="A303" i="21"/>
  <c r="F302" i="21"/>
  <c r="A302" i="21"/>
  <c r="V301" i="21"/>
  <c r="U301" i="21"/>
  <c r="L301" i="21"/>
  <c r="I301" i="21"/>
  <c r="F301" i="21"/>
  <c r="C301" i="21"/>
  <c r="AI301" i="21" s="1"/>
  <c r="B301" i="21"/>
  <c r="A301" i="21"/>
  <c r="S300" i="21"/>
  <c r="N300" i="21"/>
  <c r="F300" i="21"/>
  <c r="B300" i="21"/>
  <c r="A300" i="21"/>
  <c r="X299" i="21"/>
  <c r="S299" i="21"/>
  <c r="P299" i="21"/>
  <c r="N299" i="21"/>
  <c r="J299" i="21"/>
  <c r="I299" i="21"/>
  <c r="G299" i="21"/>
  <c r="F299" i="21"/>
  <c r="E299" i="21"/>
  <c r="C299" i="21"/>
  <c r="B299" i="21"/>
  <c r="A299" i="21"/>
  <c r="S298" i="21"/>
  <c r="L298" i="21"/>
  <c r="H298" i="21"/>
  <c r="F298" i="21"/>
  <c r="A298" i="21"/>
  <c r="X297" i="21"/>
  <c r="M297" i="21"/>
  <c r="K297" i="21"/>
  <c r="H297" i="21"/>
  <c r="F297" i="21"/>
  <c r="E297" i="21"/>
  <c r="B297" i="21"/>
  <c r="A297" i="21"/>
  <c r="P296" i="21"/>
  <c r="L296" i="21"/>
  <c r="F296" i="21"/>
  <c r="D296" i="21"/>
  <c r="A296" i="21"/>
  <c r="N295" i="21"/>
  <c r="M295" i="21"/>
  <c r="F295" i="21"/>
  <c r="C295" i="21"/>
  <c r="AH295" i="21" s="1"/>
  <c r="B295" i="21"/>
  <c r="A295" i="21"/>
  <c r="F294" i="21"/>
  <c r="I294" i="21" s="1"/>
  <c r="B294" i="21"/>
  <c r="A294" i="21"/>
  <c r="U293" i="21"/>
  <c r="Q293" i="21"/>
  <c r="M293" i="21"/>
  <c r="K293" i="21"/>
  <c r="H293" i="21"/>
  <c r="G293" i="21"/>
  <c r="F293" i="21"/>
  <c r="D293" i="21"/>
  <c r="C293" i="21"/>
  <c r="AI293" i="21" s="1"/>
  <c r="B293" i="21"/>
  <c r="A293" i="21"/>
  <c r="X292" i="21"/>
  <c r="U292" i="21"/>
  <c r="S292" i="21"/>
  <c r="L292" i="21"/>
  <c r="J292" i="21"/>
  <c r="G292" i="21"/>
  <c r="F292" i="21"/>
  <c r="D292" i="21"/>
  <c r="B292" i="21"/>
  <c r="A292" i="21"/>
  <c r="X291" i="21"/>
  <c r="S291" i="21"/>
  <c r="P291" i="21"/>
  <c r="N291" i="21"/>
  <c r="J291" i="21"/>
  <c r="I291" i="21"/>
  <c r="G291" i="21"/>
  <c r="F291" i="21"/>
  <c r="E291" i="21"/>
  <c r="C291" i="21"/>
  <c r="AH291" i="21" s="1"/>
  <c r="B291" i="21"/>
  <c r="A291" i="21"/>
  <c r="F290" i="21"/>
  <c r="A290" i="21"/>
  <c r="X289" i="21"/>
  <c r="S289" i="21"/>
  <c r="M289" i="21"/>
  <c r="J289" i="21"/>
  <c r="G289" i="21"/>
  <c r="Z289" i="21" s="1"/>
  <c r="F289" i="21"/>
  <c r="P289" i="21" s="1"/>
  <c r="E289" i="21"/>
  <c r="B289" i="21"/>
  <c r="A289" i="21"/>
  <c r="F288" i="21"/>
  <c r="A288" i="21"/>
  <c r="F287" i="21"/>
  <c r="E287" i="21"/>
  <c r="A287" i="21"/>
  <c r="F286" i="21"/>
  <c r="A286" i="21"/>
  <c r="M285" i="21"/>
  <c r="J285" i="21"/>
  <c r="F285" i="21"/>
  <c r="B285" i="21"/>
  <c r="A285" i="21"/>
  <c r="U284" i="21"/>
  <c r="F284" i="21"/>
  <c r="D284" i="21"/>
  <c r="A284" i="21"/>
  <c r="Q283" i="21"/>
  <c r="K283" i="21"/>
  <c r="I283" i="21"/>
  <c r="F283" i="21"/>
  <c r="E283" i="21"/>
  <c r="D283" i="21"/>
  <c r="A283" i="21"/>
  <c r="X282" i="21"/>
  <c r="F282" i="21"/>
  <c r="A282" i="21"/>
  <c r="F281" i="21"/>
  <c r="A281" i="21"/>
  <c r="U280" i="21"/>
  <c r="N280" i="21"/>
  <c r="I280" i="21"/>
  <c r="F280" i="21"/>
  <c r="D280" i="21"/>
  <c r="A280" i="21"/>
  <c r="F279" i="21"/>
  <c r="A279" i="21"/>
  <c r="X278" i="21"/>
  <c r="U278" i="21"/>
  <c r="S278" i="21"/>
  <c r="L278" i="21"/>
  <c r="J278" i="21"/>
  <c r="G278" i="21"/>
  <c r="Z278" i="21" s="1"/>
  <c r="F278" i="21"/>
  <c r="P278" i="21" s="1"/>
  <c r="D278" i="21"/>
  <c r="B278" i="21"/>
  <c r="A278" i="21"/>
  <c r="F277" i="21"/>
  <c r="A277" i="21"/>
  <c r="M276" i="21"/>
  <c r="K276" i="21"/>
  <c r="F276" i="21"/>
  <c r="E276" i="21"/>
  <c r="B276" i="21"/>
  <c r="A276" i="21"/>
  <c r="U275" i="21"/>
  <c r="L275" i="21"/>
  <c r="H275" i="21"/>
  <c r="F275" i="21"/>
  <c r="B275" i="21"/>
  <c r="A275" i="21"/>
  <c r="F274" i="21"/>
  <c r="A274" i="21"/>
  <c r="F273" i="21"/>
  <c r="A273" i="21"/>
  <c r="F272" i="21"/>
  <c r="E272" i="21"/>
  <c r="A272" i="21"/>
  <c r="U271" i="21"/>
  <c r="L271" i="21"/>
  <c r="F271" i="21"/>
  <c r="B271" i="21"/>
  <c r="A271" i="21"/>
  <c r="U270" i="21"/>
  <c r="Q270" i="21"/>
  <c r="P270" i="21"/>
  <c r="K270" i="21"/>
  <c r="I270" i="21"/>
  <c r="G270" i="21"/>
  <c r="F270" i="21"/>
  <c r="E270" i="21"/>
  <c r="C270" i="21"/>
  <c r="B270" i="21"/>
  <c r="A270" i="21"/>
  <c r="F269" i="21"/>
  <c r="A269" i="21"/>
  <c r="M268" i="21"/>
  <c r="K268" i="21"/>
  <c r="F268" i="21"/>
  <c r="E268" i="21"/>
  <c r="B268" i="21"/>
  <c r="A268" i="21"/>
  <c r="U267" i="21"/>
  <c r="L267" i="21"/>
  <c r="H267" i="21"/>
  <c r="F267" i="21"/>
  <c r="B267" i="21"/>
  <c r="A267" i="21"/>
  <c r="L266" i="21"/>
  <c r="G266" i="21"/>
  <c r="F266" i="21"/>
  <c r="P266" i="21" s="1"/>
  <c r="A266" i="21"/>
  <c r="F265" i="21"/>
  <c r="U265" i="21" s="1"/>
  <c r="A265" i="21"/>
  <c r="X264" i="21"/>
  <c r="K264" i="21"/>
  <c r="G264" i="21"/>
  <c r="F264" i="21"/>
  <c r="M264" i="21" s="1"/>
  <c r="B264" i="21"/>
  <c r="A264" i="21"/>
  <c r="H263" i="21"/>
  <c r="F263" i="21"/>
  <c r="A263" i="21"/>
  <c r="Q262" i="21"/>
  <c r="K262" i="21"/>
  <c r="I262" i="21"/>
  <c r="F262" i="21"/>
  <c r="E262" i="21"/>
  <c r="D262" i="21"/>
  <c r="A262" i="21"/>
  <c r="Q261" i="21"/>
  <c r="F261" i="21"/>
  <c r="H261" i="21" s="1"/>
  <c r="A261" i="21"/>
  <c r="P260" i="21"/>
  <c r="M260" i="21"/>
  <c r="F260" i="21"/>
  <c r="E260" i="21" s="1"/>
  <c r="A260" i="21"/>
  <c r="U259" i="21"/>
  <c r="Q259" i="21"/>
  <c r="F259" i="21"/>
  <c r="D259" i="21"/>
  <c r="A259" i="21"/>
  <c r="X258" i="21"/>
  <c r="U258" i="21"/>
  <c r="P258" i="21"/>
  <c r="M258" i="21"/>
  <c r="L258" i="21"/>
  <c r="I258" i="21"/>
  <c r="H258" i="21"/>
  <c r="G258" i="21"/>
  <c r="F258" i="21"/>
  <c r="S258" i="21" s="1"/>
  <c r="E258" i="21"/>
  <c r="D258" i="21"/>
  <c r="C258" i="21"/>
  <c r="AH258" i="21" s="1"/>
  <c r="B258" i="21"/>
  <c r="A258" i="21"/>
  <c r="Q257" i="21"/>
  <c r="H257" i="21"/>
  <c r="F257" i="21"/>
  <c r="S257" i="21" s="1"/>
  <c r="A257" i="21"/>
  <c r="X256" i="21"/>
  <c r="P256" i="21"/>
  <c r="K256" i="21"/>
  <c r="I256" i="21"/>
  <c r="G256" i="21"/>
  <c r="F256" i="21"/>
  <c r="U256" i="21" s="1"/>
  <c r="E256" i="21"/>
  <c r="C256" i="21"/>
  <c r="B256" i="21"/>
  <c r="A256" i="21"/>
  <c r="F255" i="21"/>
  <c r="U255" i="21" s="1"/>
  <c r="A255" i="21"/>
  <c r="Q254" i="21"/>
  <c r="P254" i="21"/>
  <c r="I254" i="21"/>
  <c r="G254" i="21"/>
  <c r="F254" i="21"/>
  <c r="U254" i="21" s="1"/>
  <c r="C254" i="21"/>
  <c r="AH254" i="21" s="1"/>
  <c r="B254" i="21"/>
  <c r="A254" i="21"/>
  <c r="Q253" i="21"/>
  <c r="L253" i="21"/>
  <c r="H253" i="21"/>
  <c r="F253" i="21"/>
  <c r="D253" i="21"/>
  <c r="A253" i="21"/>
  <c r="P252" i="21"/>
  <c r="M252" i="21"/>
  <c r="F252" i="21"/>
  <c r="E252" i="21" s="1"/>
  <c r="A252" i="21"/>
  <c r="Q251" i="21"/>
  <c r="F251" i="21"/>
  <c r="H251" i="21" s="1"/>
  <c r="A251" i="21"/>
  <c r="U250" i="21"/>
  <c r="Q250" i="21"/>
  <c r="K250" i="21"/>
  <c r="I250" i="21"/>
  <c r="F250" i="21"/>
  <c r="E250" i="21"/>
  <c r="C250" i="21"/>
  <c r="A250" i="21"/>
  <c r="F249" i="21"/>
  <c r="N249" i="21" s="1"/>
  <c r="A249" i="21"/>
  <c r="F248" i="21"/>
  <c r="E248" i="21"/>
  <c r="A248" i="21"/>
  <c r="S247" i="21"/>
  <c r="J247" i="21"/>
  <c r="F247" i="21"/>
  <c r="A247" i="21"/>
  <c r="U246" i="21"/>
  <c r="Q246" i="21"/>
  <c r="P246" i="21"/>
  <c r="K246" i="21"/>
  <c r="I246" i="21"/>
  <c r="G246" i="21"/>
  <c r="F246" i="21"/>
  <c r="E246" i="21"/>
  <c r="C246" i="21"/>
  <c r="AH246" i="21" s="1"/>
  <c r="B246" i="21"/>
  <c r="A246" i="21"/>
  <c r="F245" i="21"/>
  <c r="A245" i="21"/>
  <c r="M244" i="21"/>
  <c r="I244" i="21"/>
  <c r="F244" i="21"/>
  <c r="C244" i="21"/>
  <c r="B244" i="21"/>
  <c r="A244" i="21"/>
  <c r="Q243" i="21"/>
  <c r="L243" i="21"/>
  <c r="F243" i="21"/>
  <c r="D243" i="21"/>
  <c r="A243" i="21"/>
  <c r="U242" i="21"/>
  <c r="Q242" i="21"/>
  <c r="K242" i="21"/>
  <c r="I242" i="21"/>
  <c r="F242" i="21"/>
  <c r="E242" i="21"/>
  <c r="C242" i="21"/>
  <c r="A242" i="21"/>
  <c r="Q241" i="21"/>
  <c r="J241" i="21"/>
  <c r="H241" i="21"/>
  <c r="F241" i="21"/>
  <c r="U241" i="21" s="1"/>
  <c r="B241" i="21"/>
  <c r="A241" i="21"/>
  <c r="M240" i="21"/>
  <c r="K240" i="21"/>
  <c r="F240" i="21"/>
  <c r="E240" i="21"/>
  <c r="B240" i="21"/>
  <c r="A240" i="21"/>
  <c r="F239" i="21"/>
  <c r="L239" i="21" s="1"/>
  <c r="A239" i="21"/>
  <c r="X238" i="21"/>
  <c r="U238" i="21"/>
  <c r="P238" i="21"/>
  <c r="M238" i="21"/>
  <c r="L238" i="21"/>
  <c r="I238" i="21"/>
  <c r="H238" i="21"/>
  <c r="G238" i="21"/>
  <c r="F238" i="21"/>
  <c r="S238" i="21" s="1"/>
  <c r="E238" i="21"/>
  <c r="D238" i="21"/>
  <c r="C238" i="21"/>
  <c r="B238" i="21"/>
  <c r="A238" i="21"/>
  <c r="U237" i="21"/>
  <c r="S237" i="21"/>
  <c r="L237" i="21"/>
  <c r="J237" i="21"/>
  <c r="H237" i="21"/>
  <c r="F237" i="21"/>
  <c r="Q237" i="21" s="1"/>
  <c r="D237" i="21"/>
  <c r="B237" i="21"/>
  <c r="A237" i="21"/>
  <c r="X236" i="21"/>
  <c r="P236" i="21"/>
  <c r="K236" i="21"/>
  <c r="I236" i="21"/>
  <c r="G236" i="21"/>
  <c r="F236" i="21"/>
  <c r="U236" i="21" s="1"/>
  <c r="E236" i="21"/>
  <c r="C236" i="21"/>
  <c r="B236" i="21"/>
  <c r="A236" i="21"/>
  <c r="Q235" i="21"/>
  <c r="N235" i="21"/>
  <c r="H235" i="21"/>
  <c r="F235" i="21"/>
  <c r="A235" i="21"/>
  <c r="P234" i="21"/>
  <c r="F234" i="21"/>
  <c r="B234" i="21"/>
  <c r="A234" i="21"/>
  <c r="F233" i="21"/>
  <c r="A233" i="21"/>
  <c r="M232" i="21"/>
  <c r="I232" i="21"/>
  <c r="G232" i="21"/>
  <c r="F232" i="21"/>
  <c r="C232" i="21"/>
  <c r="AH232" i="21" s="1"/>
  <c r="B232" i="21"/>
  <c r="A232" i="21"/>
  <c r="Q231" i="21"/>
  <c r="J231" i="21"/>
  <c r="H231" i="21"/>
  <c r="F231" i="21"/>
  <c r="U231" i="21" s="1"/>
  <c r="B231" i="21"/>
  <c r="A231" i="21"/>
  <c r="F230" i="21"/>
  <c r="G230" i="21" s="1"/>
  <c r="A230" i="21"/>
  <c r="Q229" i="21"/>
  <c r="N229" i="21"/>
  <c r="H229" i="21"/>
  <c r="F229" i="21"/>
  <c r="A229" i="21"/>
  <c r="F228" i="21"/>
  <c r="I228" i="21" s="1"/>
  <c r="A228" i="21"/>
  <c r="U227" i="21"/>
  <c r="S227" i="21"/>
  <c r="L227" i="21"/>
  <c r="J227" i="21"/>
  <c r="H227" i="21"/>
  <c r="F227" i="21"/>
  <c r="Q227" i="21" s="1"/>
  <c r="D227" i="21"/>
  <c r="B227" i="21"/>
  <c r="A227" i="21"/>
  <c r="Q226" i="21"/>
  <c r="L226" i="21"/>
  <c r="H226" i="21"/>
  <c r="G226" i="21"/>
  <c r="F226" i="21"/>
  <c r="C226" i="21"/>
  <c r="AF226" i="21" s="1"/>
  <c r="B226" i="21"/>
  <c r="A226" i="21"/>
  <c r="F225" i="21"/>
  <c r="A225" i="21"/>
  <c r="P224" i="21"/>
  <c r="I224" i="21"/>
  <c r="G224" i="21"/>
  <c r="F224" i="21"/>
  <c r="B224" i="21"/>
  <c r="A224" i="21"/>
  <c r="F223" i="21"/>
  <c r="A223" i="21"/>
  <c r="X222" i="21"/>
  <c r="U222" i="21"/>
  <c r="K222" i="21"/>
  <c r="I222" i="21"/>
  <c r="F222" i="21"/>
  <c r="L222" i="21" s="1"/>
  <c r="C222" i="21"/>
  <c r="A222" i="21"/>
  <c r="F221" i="21"/>
  <c r="A221" i="21"/>
  <c r="F220" i="21"/>
  <c r="A220" i="21"/>
  <c r="N219" i="21"/>
  <c r="F219" i="21"/>
  <c r="Q219" i="21" s="1"/>
  <c r="A219" i="21"/>
  <c r="F218" i="21"/>
  <c r="A218" i="21"/>
  <c r="U217" i="21"/>
  <c r="F217" i="21"/>
  <c r="D217" i="21" s="1"/>
  <c r="A217" i="21"/>
  <c r="K216" i="21"/>
  <c r="G216" i="21"/>
  <c r="F216" i="21"/>
  <c r="P216" i="21" s="1"/>
  <c r="A216" i="21"/>
  <c r="S215" i="21"/>
  <c r="H215" i="21"/>
  <c r="F215" i="21"/>
  <c r="A215" i="21"/>
  <c r="L214" i="21"/>
  <c r="K214" i="21"/>
  <c r="I214" i="21"/>
  <c r="F214" i="21"/>
  <c r="E214" i="21"/>
  <c r="C214" i="21"/>
  <c r="A214" i="21"/>
  <c r="N213" i="21"/>
  <c r="H213" i="21"/>
  <c r="F213" i="21"/>
  <c r="A213" i="21"/>
  <c r="K212" i="21"/>
  <c r="I212" i="21"/>
  <c r="F212" i="21"/>
  <c r="C212" i="21"/>
  <c r="A212" i="21"/>
  <c r="U211" i="21"/>
  <c r="S211" i="21"/>
  <c r="L211" i="21"/>
  <c r="J211" i="21"/>
  <c r="H211" i="21"/>
  <c r="F211" i="21"/>
  <c r="Q211" i="21" s="1"/>
  <c r="D211" i="21"/>
  <c r="B211" i="21"/>
  <c r="A211" i="21"/>
  <c r="X210" i="21"/>
  <c r="U210" i="21"/>
  <c r="P210" i="21"/>
  <c r="M210" i="21"/>
  <c r="L210" i="21"/>
  <c r="I210" i="21"/>
  <c r="H210" i="21"/>
  <c r="G210" i="21"/>
  <c r="F210" i="21"/>
  <c r="S210" i="21" s="1"/>
  <c r="E210" i="21"/>
  <c r="D210" i="21"/>
  <c r="C210" i="21"/>
  <c r="B210" i="21"/>
  <c r="A210" i="21"/>
  <c r="F209" i="21"/>
  <c r="B209" i="21"/>
  <c r="A209" i="21"/>
  <c r="X208" i="21"/>
  <c r="S208" i="21"/>
  <c r="M208" i="21"/>
  <c r="J208" i="21"/>
  <c r="G208" i="21"/>
  <c r="F208" i="21"/>
  <c r="E208" i="21"/>
  <c r="B208" i="21"/>
  <c r="A208" i="21"/>
  <c r="F207" i="21"/>
  <c r="A207" i="21"/>
  <c r="X206" i="21"/>
  <c r="U206" i="21"/>
  <c r="P206" i="21"/>
  <c r="M206" i="21"/>
  <c r="L206" i="21"/>
  <c r="I206" i="21"/>
  <c r="H206" i="21"/>
  <c r="G206" i="21"/>
  <c r="F206" i="21"/>
  <c r="S206" i="21" s="1"/>
  <c r="E206" i="21"/>
  <c r="D206" i="21"/>
  <c r="C206" i="21"/>
  <c r="B206" i="21"/>
  <c r="A206" i="21"/>
  <c r="X205" i="21"/>
  <c r="U205" i="21"/>
  <c r="P205" i="21"/>
  <c r="L205" i="21"/>
  <c r="H205" i="21"/>
  <c r="G205" i="21"/>
  <c r="Z205" i="21" s="1"/>
  <c r="F205" i="21"/>
  <c r="C205" i="21"/>
  <c r="AI205" i="21" s="1"/>
  <c r="B205" i="21"/>
  <c r="A205" i="21"/>
  <c r="P204" i="21"/>
  <c r="F204" i="21"/>
  <c r="E204" i="21"/>
  <c r="A204" i="21"/>
  <c r="N203" i="21"/>
  <c r="H203" i="21"/>
  <c r="F203" i="21"/>
  <c r="S203" i="21" s="1"/>
  <c r="A203" i="21"/>
  <c r="L202" i="21"/>
  <c r="F202" i="21"/>
  <c r="D202" i="21"/>
  <c r="A202" i="21"/>
  <c r="F201" i="21"/>
  <c r="A201" i="21"/>
  <c r="X200" i="21"/>
  <c r="S200" i="21"/>
  <c r="P200" i="21"/>
  <c r="N200" i="21"/>
  <c r="J200" i="21"/>
  <c r="I200" i="21"/>
  <c r="G200" i="21"/>
  <c r="F200" i="21"/>
  <c r="E200" i="21"/>
  <c r="C200" i="21"/>
  <c r="AH200" i="21" s="1"/>
  <c r="B200" i="21"/>
  <c r="A200" i="21"/>
  <c r="F199" i="21"/>
  <c r="M199" i="21" s="1"/>
  <c r="A199" i="21"/>
  <c r="U198" i="21"/>
  <c r="P198" i="21"/>
  <c r="R198" i="21" s="1"/>
  <c r="M198" i="21"/>
  <c r="L198" i="21"/>
  <c r="I198" i="21"/>
  <c r="H198" i="21"/>
  <c r="G198" i="21"/>
  <c r="F198" i="21"/>
  <c r="S198" i="21" s="1"/>
  <c r="E198" i="21"/>
  <c r="D198" i="21"/>
  <c r="C198" i="21"/>
  <c r="B198" i="21"/>
  <c r="A198" i="21"/>
  <c r="U197" i="21"/>
  <c r="N197" i="21"/>
  <c r="H197" i="21"/>
  <c r="G197" i="21"/>
  <c r="F197" i="21"/>
  <c r="B197" i="21"/>
  <c r="A197" i="21"/>
  <c r="M196" i="21"/>
  <c r="J196" i="21"/>
  <c r="F196" i="21"/>
  <c r="P196" i="21" s="1"/>
  <c r="C196" i="21"/>
  <c r="AI196" i="21" s="1"/>
  <c r="A196" i="21"/>
  <c r="S195" i="21"/>
  <c r="N195" i="21"/>
  <c r="H195" i="21"/>
  <c r="F195" i="21"/>
  <c r="L195" i="21" s="1"/>
  <c r="D195" i="21"/>
  <c r="A195" i="21"/>
  <c r="Q194" i="21"/>
  <c r="P194" i="21"/>
  <c r="K194" i="21"/>
  <c r="I194" i="21"/>
  <c r="H194" i="21"/>
  <c r="F194" i="21"/>
  <c r="E194" i="21"/>
  <c r="D194" i="21"/>
  <c r="B194" i="21"/>
  <c r="A194" i="21"/>
  <c r="X193" i="21"/>
  <c r="S193" i="21"/>
  <c r="P193" i="21"/>
  <c r="N193" i="21"/>
  <c r="J193" i="21"/>
  <c r="H193" i="21"/>
  <c r="G193" i="21"/>
  <c r="F193" i="21"/>
  <c r="U193" i="21" s="1"/>
  <c r="D193" i="21"/>
  <c r="C193" i="21"/>
  <c r="AG193" i="21" s="1"/>
  <c r="B193" i="21"/>
  <c r="A193" i="21"/>
  <c r="X192" i="21"/>
  <c r="S192" i="21"/>
  <c r="M192" i="21"/>
  <c r="J192" i="21"/>
  <c r="G192" i="21"/>
  <c r="F192" i="21"/>
  <c r="E192" i="21"/>
  <c r="B192" i="21"/>
  <c r="A192" i="21"/>
  <c r="F191" i="21"/>
  <c r="A191" i="21"/>
  <c r="X190" i="21"/>
  <c r="Q190" i="21"/>
  <c r="M190" i="21"/>
  <c r="I190" i="21"/>
  <c r="H190" i="21"/>
  <c r="F190" i="21"/>
  <c r="D190" i="21"/>
  <c r="B190" i="21"/>
  <c r="A190" i="21"/>
  <c r="X189" i="21"/>
  <c r="S189" i="21"/>
  <c r="P189" i="21"/>
  <c r="N189" i="21"/>
  <c r="J189" i="21"/>
  <c r="H189" i="21"/>
  <c r="G189" i="21"/>
  <c r="Z189" i="21" s="1"/>
  <c r="F189" i="21"/>
  <c r="U189" i="21" s="1"/>
  <c r="D189" i="21"/>
  <c r="C189" i="21"/>
  <c r="AI189" i="21" s="1"/>
  <c r="B189" i="21"/>
  <c r="A189" i="21"/>
  <c r="N188" i="21"/>
  <c r="F188" i="21"/>
  <c r="B188" i="21"/>
  <c r="A188" i="21"/>
  <c r="S187" i="21"/>
  <c r="L187" i="21"/>
  <c r="I187" i="21"/>
  <c r="H187" i="21"/>
  <c r="F187" i="21"/>
  <c r="N187" i="21" s="1"/>
  <c r="D187" i="21"/>
  <c r="B187" i="21"/>
  <c r="A187" i="21"/>
  <c r="F186" i="21"/>
  <c r="A186" i="21"/>
  <c r="U185" i="21"/>
  <c r="J185" i="21"/>
  <c r="G185" i="21"/>
  <c r="F185" i="21"/>
  <c r="N185" i="21" s="1"/>
  <c r="A185" i="21"/>
  <c r="X184" i="21"/>
  <c r="S184" i="21"/>
  <c r="P184" i="21"/>
  <c r="N184" i="21"/>
  <c r="J184" i="21"/>
  <c r="I184" i="21"/>
  <c r="G184" i="21"/>
  <c r="F184" i="21"/>
  <c r="E184" i="21"/>
  <c r="C184" i="21"/>
  <c r="AH184" i="21" s="1"/>
  <c r="B184" i="21"/>
  <c r="A184" i="21"/>
  <c r="F183" i="21"/>
  <c r="A183" i="21"/>
  <c r="F182" i="21"/>
  <c r="A182" i="21"/>
  <c r="U181" i="21"/>
  <c r="S181" i="21"/>
  <c r="L181" i="21"/>
  <c r="J181" i="21"/>
  <c r="H181" i="21"/>
  <c r="F181" i="21"/>
  <c r="D181" i="21"/>
  <c r="C181" i="21"/>
  <c r="AI181" i="21" s="1"/>
  <c r="A181" i="21"/>
  <c r="N180" i="21"/>
  <c r="I180" i="21"/>
  <c r="G180" i="21"/>
  <c r="F180" i="21"/>
  <c r="B180" i="21"/>
  <c r="A180" i="21"/>
  <c r="N179" i="21"/>
  <c r="L179" i="21"/>
  <c r="H179" i="21"/>
  <c r="F179" i="21"/>
  <c r="S179" i="21" s="1"/>
  <c r="D179" i="21"/>
  <c r="A179" i="21"/>
  <c r="Z178" i="21"/>
  <c r="AA178" i="21" s="1"/>
  <c r="AC178" i="21" s="1"/>
  <c r="U178" i="21"/>
  <c r="L178" i="21"/>
  <c r="K178" i="21"/>
  <c r="G178" i="21"/>
  <c r="F178" i="21"/>
  <c r="E178" i="21"/>
  <c r="C178" i="21"/>
  <c r="AI178" i="21" s="1"/>
  <c r="B178" i="21"/>
  <c r="A178" i="21"/>
  <c r="F177" i="21"/>
  <c r="A177" i="21"/>
  <c r="U176" i="21"/>
  <c r="K176" i="21"/>
  <c r="F176" i="21"/>
  <c r="D176" i="21"/>
  <c r="A176" i="21"/>
  <c r="X175" i="21"/>
  <c r="L175" i="21"/>
  <c r="F175" i="21"/>
  <c r="D175" i="21"/>
  <c r="A175" i="21"/>
  <c r="X174" i="21"/>
  <c r="S174" i="21"/>
  <c r="P174" i="21"/>
  <c r="N174" i="21"/>
  <c r="J174" i="21"/>
  <c r="I174" i="21"/>
  <c r="G174" i="21"/>
  <c r="F174" i="21"/>
  <c r="E174" i="21"/>
  <c r="C174" i="21"/>
  <c r="AG174" i="21" s="1"/>
  <c r="B174" i="21"/>
  <c r="A174" i="21"/>
  <c r="F173" i="21"/>
  <c r="A173" i="21"/>
  <c r="Q172" i="21"/>
  <c r="P172" i="21"/>
  <c r="I172" i="21"/>
  <c r="G172" i="21"/>
  <c r="F172" i="21"/>
  <c r="U172" i="21" s="1"/>
  <c r="C172" i="21"/>
  <c r="AI172" i="21" s="1"/>
  <c r="B172" i="21"/>
  <c r="A172" i="21"/>
  <c r="F171" i="21"/>
  <c r="U171" i="21" s="1"/>
  <c r="A171" i="21"/>
  <c r="S170" i="21"/>
  <c r="M170" i="21"/>
  <c r="J170" i="21"/>
  <c r="H170" i="21"/>
  <c r="F170" i="21"/>
  <c r="Q170" i="21" s="1"/>
  <c r="E170" i="21"/>
  <c r="B170" i="21"/>
  <c r="A170" i="21"/>
  <c r="Q169" i="21"/>
  <c r="M169" i="21"/>
  <c r="H169" i="21"/>
  <c r="G169" i="21"/>
  <c r="F169" i="21"/>
  <c r="U169" i="21" s="1"/>
  <c r="C169" i="21"/>
  <c r="B169" i="21"/>
  <c r="A169" i="21"/>
  <c r="F168" i="21"/>
  <c r="N168" i="21" s="1"/>
  <c r="A168" i="21"/>
  <c r="N167" i="21"/>
  <c r="I167" i="21"/>
  <c r="F167" i="21"/>
  <c r="C167" i="21"/>
  <c r="A167" i="21"/>
  <c r="Q166" i="21"/>
  <c r="F166" i="21"/>
  <c r="E166" i="21"/>
  <c r="A166" i="21"/>
  <c r="F165" i="21"/>
  <c r="Q165" i="21" s="1"/>
  <c r="A165" i="21"/>
  <c r="N164" i="21"/>
  <c r="F164" i="21"/>
  <c r="C164" i="21"/>
  <c r="AI164" i="21" s="1"/>
  <c r="A164" i="21"/>
  <c r="I163" i="21"/>
  <c r="F163" i="21"/>
  <c r="C163" i="21"/>
  <c r="AI163" i="21" s="1"/>
  <c r="A163" i="21"/>
  <c r="Q162" i="21"/>
  <c r="J162" i="21"/>
  <c r="H162" i="21"/>
  <c r="F162" i="21"/>
  <c r="B162" i="21"/>
  <c r="A162" i="21"/>
  <c r="Q161" i="21"/>
  <c r="P161" i="21"/>
  <c r="I161" i="21"/>
  <c r="G161" i="21"/>
  <c r="F161" i="21"/>
  <c r="U161" i="21" s="1"/>
  <c r="C161" i="21"/>
  <c r="B161" i="21"/>
  <c r="A161" i="21"/>
  <c r="F160" i="21"/>
  <c r="H160" i="21" s="1"/>
  <c r="C160" i="21"/>
  <c r="AI160" i="21" s="1"/>
  <c r="A160" i="21"/>
  <c r="F159" i="21"/>
  <c r="A159" i="21"/>
  <c r="S158" i="21"/>
  <c r="M158" i="21"/>
  <c r="J158" i="21"/>
  <c r="H158" i="21"/>
  <c r="F158" i="21"/>
  <c r="Q158" i="21" s="1"/>
  <c r="E158" i="21"/>
  <c r="B158" i="21"/>
  <c r="A158" i="21"/>
  <c r="U157" i="21"/>
  <c r="K157" i="21"/>
  <c r="F157" i="21"/>
  <c r="M157" i="21" s="1"/>
  <c r="D157" i="21"/>
  <c r="A157" i="21"/>
  <c r="N156" i="21"/>
  <c r="H156" i="21"/>
  <c r="F156" i="21"/>
  <c r="A156" i="21"/>
  <c r="N155" i="21"/>
  <c r="I155" i="21"/>
  <c r="F155" i="21"/>
  <c r="C155" i="21"/>
  <c r="AI155" i="21" s="1"/>
  <c r="A155" i="21"/>
  <c r="M154" i="21"/>
  <c r="J154" i="21"/>
  <c r="F154" i="21"/>
  <c r="Q154" i="21" s="1"/>
  <c r="B154" i="21"/>
  <c r="A154" i="21"/>
  <c r="X153" i="21"/>
  <c r="U153" i="21"/>
  <c r="P153" i="21"/>
  <c r="M153" i="21"/>
  <c r="L153" i="21"/>
  <c r="I153" i="21"/>
  <c r="H153" i="21"/>
  <c r="G153" i="21"/>
  <c r="F153" i="21"/>
  <c r="S153" i="21" s="1"/>
  <c r="E153" i="21"/>
  <c r="D153" i="21"/>
  <c r="C153" i="21"/>
  <c r="B153" i="21"/>
  <c r="A153" i="21"/>
  <c r="N152" i="21"/>
  <c r="H152" i="21"/>
  <c r="F152" i="21"/>
  <c r="U152" i="21" s="1"/>
  <c r="C152" i="21"/>
  <c r="A152" i="21"/>
  <c r="N151" i="21"/>
  <c r="F151" i="21"/>
  <c r="C151" i="21"/>
  <c r="A151" i="21"/>
  <c r="M150" i="21"/>
  <c r="H150" i="21"/>
  <c r="F150" i="21"/>
  <c r="Q150" i="21" s="1"/>
  <c r="A150" i="21"/>
  <c r="F149" i="21"/>
  <c r="X149" i="21" s="1"/>
  <c r="A149" i="21"/>
  <c r="N148" i="21"/>
  <c r="F148" i="21"/>
  <c r="C148" i="21"/>
  <c r="AI148" i="21" s="1"/>
  <c r="A148" i="21"/>
  <c r="I147" i="21"/>
  <c r="F147" i="21"/>
  <c r="C147" i="21"/>
  <c r="AI147" i="21" s="1"/>
  <c r="A147" i="21"/>
  <c r="Q146" i="21"/>
  <c r="J146" i="21"/>
  <c r="H146" i="21"/>
  <c r="F146" i="21"/>
  <c r="B146" i="21"/>
  <c r="A146" i="21"/>
  <c r="Q145" i="21"/>
  <c r="P145" i="21"/>
  <c r="I145" i="21"/>
  <c r="G145" i="21"/>
  <c r="F145" i="21"/>
  <c r="U145" i="21" s="1"/>
  <c r="C145" i="21"/>
  <c r="B145" i="21"/>
  <c r="A145" i="21"/>
  <c r="F144" i="21"/>
  <c r="C144" i="21"/>
  <c r="AI144" i="21" s="1"/>
  <c r="A144" i="21"/>
  <c r="F143" i="21"/>
  <c r="A143" i="21"/>
  <c r="S142" i="21"/>
  <c r="M142" i="21"/>
  <c r="J142" i="21"/>
  <c r="H142" i="21"/>
  <c r="F142" i="21"/>
  <c r="Q142" i="21" s="1"/>
  <c r="E142" i="21"/>
  <c r="B142" i="21"/>
  <c r="A142" i="21"/>
  <c r="U141" i="21"/>
  <c r="K141" i="21"/>
  <c r="F141" i="21"/>
  <c r="D141" i="21"/>
  <c r="A141" i="21"/>
  <c r="N140" i="21"/>
  <c r="H140" i="21"/>
  <c r="F140" i="21"/>
  <c r="A140" i="21"/>
  <c r="N139" i="21"/>
  <c r="I139" i="21"/>
  <c r="F139" i="21"/>
  <c r="C139" i="21"/>
  <c r="AI139" i="21" s="1"/>
  <c r="A139" i="21"/>
  <c r="M138" i="21"/>
  <c r="J138" i="21"/>
  <c r="F138" i="21"/>
  <c r="Q138" i="21" s="1"/>
  <c r="B138" i="21"/>
  <c r="A138" i="21"/>
  <c r="X137" i="21"/>
  <c r="U137" i="21"/>
  <c r="P137" i="21"/>
  <c r="M137" i="21"/>
  <c r="L137" i="21"/>
  <c r="I137" i="21"/>
  <c r="H137" i="21"/>
  <c r="G137" i="21"/>
  <c r="F137" i="21"/>
  <c r="S137" i="21" s="1"/>
  <c r="E137" i="21"/>
  <c r="D137" i="21"/>
  <c r="C137" i="21"/>
  <c r="B137" i="21"/>
  <c r="A137" i="21"/>
  <c r="N136" i="21"/>
  <c r="H136" i="21"/>
  <c r="F136" i="21"/>
  <c r="U136" i="21" s="1"/>
  <c r="C136" i="21"/>
  <c r="A136" i="21"/>
  <c r="N135" i="21"/>
  <c r="F135" i="21"/>
  <c r="C135" i="21"/>
  <c r="A135" i="21"/>
  <c r="M134" i="21"/>
  <c r="H134" i="21"/>
  <c r="F134" i="21"/>
  <c r="Q134" i="21" s="1"/>
  <c r="A134" i="21"/>
  <c r="F133" i="21"/>
  <c r="A133" i="21"/>
  <c r="N132" i="21"/>
  <c r="F132" i="21"/>
  <c r="C132" i="21"/>
  <c r="AI132" i="21" s="1"/>
  <c r="A132" i="21"/>
  <c r="I131" i="21"/>
  <c r="F131" i="21"/>
  <c r="C131" i="21"/>
  <c r="AI131" i="21" s="1"/>
  <c r="A131" i="21"/>
  <c r="Q130" i="21"/>
  <c r="J130" i="21"/>
  <c r="H130" i="21"/>
  <c r="F130" i="21"/>
  <c r="B130" i="21"/>
  <c r="A130" i="21"/>
  <c r="Q129" i="21"/>
  <c r="P129" i="21"/>
  <c r="I129" i="21"/>
  <c r="G129" i="21"/>
  <c r="F129" i="21"/>
  <c r="U129" i="21" s="1"/>
  <c r="C129" i="21"/>
  <c r="B129" i="21"/>
  <c r="A129" i="21"/>
  <c r="F128" i="21"/>
  <c r="C128" i="21"/>
  <c r="AI128" i="21" s="1"/>
  <c r="A128" i="21"/>
  <c r="F127" i="21"/>
  <c r="I127" i="21" s="1"/>
  <c r="A127" i="21"/>
  <c r="S126" i="21"/>
  <c r="M126" i="21"/>
  <c r="J126" i="21"/>
  <c r="H126" i="21"/>
  <c r="F126" i="21"/>
  <c r="Q126" i="21" s="1"/>
  <c r="E126" i="21"/>
  <c r="B126" i="21"/>
  <c r="A126" i="21"/>
  <c r="U125" i="21"/>
  <c r="K125" i="21"/>
  <c r="F125" i="21"/>
  <c r="D125" i="21"/>
  <c r="A125" i="21"/>
  <c r="N124" i="21"/>
  <c r="H124" i="21"/>
  <c r="F124" i="21"/>
  <c r="A124" i="21"/>
  <c r="N123" i="21"/>
  <c r="I123" i="21"/>
  <c r="F123" i="21"/>
  <c r="C123" i="21"/>
  <c r="AI123" i="21" s="1"/>
  <c r="A123" i="21"/>
  <c r="M122" i="21"/>
  <c r="J122" i="21"/>
  <c r="F122" i="21"/>
  <c r="Q122" i="21" s="1"/>
  <c r="B122" i="21"/>
  <c r="A122" i="21"/>
  <c r="X121" i="21"/>
  <c r="U121" i="21"/>
  <c r="P121" i="21"/>
  <c r="M121" i="21"/>
  <c r="L121" i="21"/>
  <c r="I121" i="21"/>
  <c r="H121" i="21"/>
  <c r="G121" i="21"/>
  <c r="F121" i="21"/>
  <c r="S121" i="21" s="1"/>
  <c r="E121" i="21"/>
  <c r="D121" i="21"/>
  <c r="C121" i="21"/>
  <c r="AG121" i="21" s="1"/>
  <c r="B121" i="21"/>
  <c r="A121" i="21"/>
  <c r="N120" i="21"/>
  <c r="H120" i="21"/>
  <c r="F120" i="21"/>
  <c r="U120" i="21" s="1"/>
  <c r="C120" i="21"/>
  <c r="A120" i="21"/>
  <c r="N119" i="21"/>
  <c r="F119" i="21"/>
  <c r="C119" i="21"/>
  <c r="A119" i="21"/>
  <c r="M118" i="21"/>
  <c r="H118" i="21"/>
  <c r="F118" i="21"/>
  <c r="Q118" i="21" s="1"/>
  <c r="A118" i="21"/>
  <c r="X117" i="21"/>
  <c r="Q117" i="21"/>
  <c r="P117" i="21"/>
  <c r="I117" i="21"/>
  <c r="G117" i="21"/>
  <c r="F117" i="21"/>
  <c r="C117" i="21"/>
  <c r="B117" i="21"/>
  <c r="A117" i="21"/>
  <c r="F116" i="21"/>
  <c r="H116" i="21" s="1"/>
  <c r="C116" i="21"/>
  <c r="AI116" i="21" s="1"/>
  <c r="A116" i="21"/>
  <c r="F115" i="21"/>
  <c r="A115" i="21"/>
  <c r="S114" i="21"/>
  <c r="M114" i="21"/>
  <c r="J114" i="21"/>
  <c r="H114" i="21"/>
  <c r="F114" i="21"/>
  <c r="Q114" i="21" s="1"/>
  <c r="E114" i="21"/>
  <c r="B114" i="21"/>
  <c r="A114" i="21"/>
  <c r="U113" i="21"/>
  <c r="K113" i="21"/>
  <c r="F113" i="21"/>
  <c r="D113" i="21"/>
  <c r="A113" i="21"/>
  <c r="F112" i="21"/>
  <c r="N112" i="21" s="1"/>
  <c r="A112" i="21"/>
  <c r="F111" i="21"/>
  <c r="A111" i="21"/>
  <c r="J110" i="21"/>
  <c r="H110" i="21"/>
  <c r="F110" i="21"/>
  <c r="Q110" i="21" s="1"/>
  <c r="A110" i="21"/>
  <c r="Q109" i="21"/>
  <c r="M109" i="21"/>
  <c r="H109" i="21"/>
  <c r="G109" i="21"/>
  <c r="F109" i="21"/>
  <c r="U109" i="21" s="1"/>
  <c r="C109" i="21"/>
  <c r="AG109" i="21" s="1"/>
  <c r="B109" i="21"/>
  <c r="A109" i="21"/>
  <c r="F108" i="21"/>
  <c r="H108" i="21" s="1"/>
  <c r="A108" i="21"/>
  <c r="F107" i="21"/>
  <c r="K107" i="21" s="1"/>
  <c r="A107" i="21"/>
  <c r="Q106" i="21"/>
  <c r="F106" i="21"/>
  <c r="B106" i="21"/>
  <c r="A106" i="21"/>
  <c r="U105" i="21"/>
  <c r="Q105" i="21"/>
  <c r="P105" i="21"/>
  <c r="K105" i="21"/>
  <c r="I105" i="21"/>
  <c r="G105" i="21"/>
  <c r="F105" i="21"/>
  <c r="E105" i="21"/>
  <c r="C105" i="21"/>
  <c r="B105" i="21"/>
  <c r="A105" i="21"/>
  <c r="F104" i="21"/>
  <c r="N104" i="21" s="1"/>
  <c r="A104" i="21"/>
  <c r="F103" i="21"/>
  <c r="A103" i="21"/>
  <c r="Q102" i="21"/>
  <c r="F102" i="21"/>
  <c r="E102" i="21"/>
  <c r="A102" i="21"/>
  <c r="U101" i="21"/>
  <c r="K101" i="21"/>
  <c r="F101" i="21"/>
  <c r="P101" i="21" s="1"/>
  <c r="E101" i="21"/>
  <c r="A101" i="21"/>
  <c r="H100" i="21"/>
  <c r="F100" i="21"/>
  <c r="K100" i="21" s="1"/>
  <c r="A100" i="21"/>
  <c r="F99" i="21"/>
  <c r="K99" i="21" s="1"/>
  <c r="A99" i="21"/>
  <c r="Q98" i="21"/>
  <c r="M98" i="21"/>
  <c r="H98" i="21"/>
  <c r="F98" i="21"/>
  <c r="E98" i="21"/>
  <c r="A98" i="21"/>
  <c r="Q97" i="21"/>
  <c r="P97" i="21"/>
  <c r="I97" i="21"/>
  <c r="H97" i="21"/>
  <c r="F97" i="21"/>
  <c r="D97" i="21"/>
  <c r="C97" i="21"/>
  <c r="B97" i="21"/>
  <c r="A97" i="21"/>
  <c r="F96" i="21"/>
  <c r="N96" i="21" s="1"/>
  <c r="A96" i="21"/>
  <c r="F95" i="21"/>
  <c r="A95" i="21"/>
  <c r="S94" i="21"/>
  <c r="J94" i="21"/>
  <c r="H94" i="21"/>
  <c r="F94" i="21"/>
  <c r="Q94" i="21" s="1"/>
  <c r="B94" i="21"/>
  <c r="A94" i="21"/>
  <c r="U93" i="21"/>
  <c r="M93" i="21"/>
  <c r="L93" i="21"/>
  <c r="H93" i="21"/>
  <c r="G93" i="21"/>
  <c r="F93" i="21"/>
  <c r="S93" i="21" s="1"/>
  <c r="D93" i="21"/>
  <c r="C93" i="21"/>
  <c r="AG93" i="21" s="1"/>
  <c r="B93" i="21"/>
  <c r="A93" i="21"/>
  <c r="K92" i="21"/>
  <c r="H92" i="21"/>
  <c r="F92" i="21"/>
  <c r="A92" i="21"/>
  <c r="P91" i="21"/>
  <c r="I91" i="21"/>
  <c r="F91" i="21"/>
  <c r="S91" i="21" s="1"/>
  <c r="E91" i="21"/>
  <c r="A91" i="21"/>
  <c r="L90" i="21"/>
  <c r="F90" i="21"/>
  <c r="U90" i="21" s="1"/>
  <c r="D90" i="21"/>
  <c r="A90" i="21"/>
  <c r="X89" i="21"/>
  <c r="P89" i="21"/>
  <c r="K89" i="21"/>
  <c r="I89" i="21"/>
  <c r="G89" i="21"/>
  <c r="F89" i="21"/>
  <c r="S89" i="21" s="1"/>
  <c r="E89" i="21"/>
  <c r="C89" i="21"/>
  <c r="AF89" i="21" s="1"/>
  <c r="B89" i="21"/>
  <c r="A89" i="21"/>
  <c r="Q88" i="21"/>
  <c r="H88" i="21"/>
  <c r="F88" i="21"/>
  <c r="U88" i="21" s="1"/>
  <c r="A88" i="21"/>
  <c r="X87" i="21"/>
  <c r="U87" i="21"/>
  <c r="P87" i="21"/>
  <c r="M87" i="21"/>
  <c r="L87" i="21"/>
  <c r="I87" i="21"/>
  <c r="H87" i="21"/>
  <c r="G87" i="21"/>
  <c r="F87" i="21"/>
  <c r="S87" i="21" s="1"/>
  <c r="E87" i="21"/>
  <c r="D87" i="21"/>
  <c r="C87" i="21"/>
  <c r="AH87" i="21" s="1"/>
  <c r="B87" i="21"/>
  <c r="A87" i="21"/>
  <c r="F86" i="21"/>
  <c r="U86" i="21" s="1"/>
  <c r="A86" i="21"/>
  <c r="X85" i="21"/>
  <c r="K85" i="21"/>
  <c r="F85" i="21"/>
  <c r="S85" i="21" s="1"/>
  <c r="E85" i="21"/>
  <c r="A85" i="21"/>
  <c r="F84" i="21"/>
  <c r="Q84" i="21" s="1"/>
  <c r="A84" i="21"/>
  <c r="X83" i="21"/>
  <c r="P83" i="21"/>
  <c r="I83" i="21"/>
  <c r="F83" i="21"/>
  <c r="S83" i="21" s="1"/>
  <c r="E83" i="21"/>
  <c r="A83" i="21"/>
  <c r="F82" i="21"/>
  <c r="U82" i="21" s="1"/>
  <c r="A82" i="21"/>
  <c r="X81" i="21"/>
  <c r="P81" i="21"/>
  <c r="K81" i="21"/>
  <c r="I81" i="21"/>
  <c r="G81" i="21"/>
  <c r="F81" i="21"/>
  <c r="S81" i="21" s="1"/>
  <c r="E81" i="21"/>
  <c r="C81" i="21"/>
  <c r="AH81" i="21" s="1"/>
  <c r="B81" i="21"/>
  <c r="A81" i="21"/>
  <c r="U80" i="21"/>
  <c r="S80" i="21"/>
  <c r="J80" i="21"/>
  <c r="H80" i="21"/>
  <c r="F80" i="21"/>
  <c r="Q80" i="21" s="1"/>
  <c r="B80" i="21"/>
  <c r="A80" i="21"/>
  <c r="U79" i="21"/>
  <c r="M79" i="21"/>
  <c r="L79" i="21"/>
  <c r="H79" i="21"/>
  <c r="G79" i="21"/>
  <c r="F79" i="21"/>
  <c r="S79" i="21" s="1"/>
  <c r="D79" i="21"/>
  <c r="C79" i="21"/>
  <c r="AH79" i="21" s="1"/>
  <c r="B79" i="21"/>
  <c r="A79" i="21"/>
  <c r="Q78" i="21"/>
  <c r="F78" i="21"/>
  <c r="J78" i="21" s="1"/>
  <c r="B78" i="21"/>
  <c r="A78" i="21"/>
  <c r="P77" i="21"/>
  <c r="I77" i="21"/>
  <c r="G77" i="21"/>
  <c r="F77" i="21"/>
  <c r="S77" i="21" s="1"/>
  <c r="C77" i="21"/>
  <c r="B77" i="21"/>
  <c r="A77" i="21"/>
  <c r="F76" i="21"/>
  <c r="S76" i="21" s="1"/>
  <c r="A76" i="21"/>
  <c r="F75" i="21"/>
  <c r="S75" i="21" s="1"/>
  <c r="A75" i="21"/>
  <c r="F74" i="21"/>
  <c r="L74" i="21" s="1"/>
  <c r="A74" i="21"/>
  <c r="X73" i="21"/>
  <c r="K73" i="21"/>
  <c r="F73" i="21"/>
  <c r="S73" i="21" s="1"/>
  <c r="E73" i="21"/>
  <c r="A73" i="21"/>
  <c r="N72" i="21"/>
  <c r="F72" i="21"/>
  <c r="A72" i="21"/>
  <c r="P71" i="21"/>
  <c r="I71" i="21"/>
  <c r="F71" i="21"/>
  <c r="S71" i="21" s="1"/>
  <c r="E71" i="21"/>
  <c r="A71" i="21"/>
  <c r="S70" i="21"/>
  <c r="J70" i="21"/>
  <c r="F70" i="21"/>
  <c r="P70" i="21" s="1"/>
  <c r="D70" i="21"/>
  <c r="A70" i="21"/>
  <c r="X69" i="21"/>
  <c r="P69" i="21"/>
  <c r="N69" i="21"/>
  <c r="I69" i="21"/>
  <c r="G69" i="21"/>
  <c r="Z69" i="21" s="1"/>
  <c r="AA69" i="21" s="1"/>
  <c r="AC69" i="21" s="1"/>
  <c r="F69" i="21"/>
  <c r="C69" i="21"/>
  <c r="B69" i="21"/>
  <c r="A69" i="21"/>
  <c r="M68" i="21"/>
  <c r="H68" i="21"/>
  <c r="F68" i="21"/>
  <c r="S68" i="21" s="1"/>
  <c r="A68" i="21"/>
  <c r="X67" i="21"/>
  <c r="P67" i="21"/>
  <c r="I67" i="21"/>
  <c r="F67" i="21"/>
  <c r="S67" i="21" s="1"/>
  <c r="E67" i="21"/>
  <c r="A67" i="21"/>
  <c r="X66" i="21"/>
  <c r="S66" i="21"/>
  <c r="P66" i="21"/>
  <c r="N66" i="21"/>
  <c r="J66" i="21"/>
  <c r="H66" i="21"/>
  <c r="G66" i="21"/>
  <c r="Z66" i="21" s="1"/>
  <c r="F66" i="21"/>
  <c r="U66" i="21" s="1"/>
  <c r="D66" i="21"/>
  <c r="C66" i="21"/>
  <c r="B66" i="21"/>
  <c r="A66" i="21"/>
  <c r="X65" i="21"/>
  <c r="P65" i="21"/>
  <c r="N65" i="21"/>
  <c r="I65" i="21"/>
  <c r="G65" i="21"/>
  <c r="Z65" i="21" s="1"/>
  <c r="AA65" i="21" s="1"/>
  <c r="AC65" i="21" s="1"/>
  <c r="F65" i="21"/>
  <c r="C65" i="21"/>
  <c r="B65" i="21"/>
  <c r="A65" i="21"/>
  <c r="M64" i="21"/>
  <c r="H64" i="21"/>
  <c r="F64" i="21"/>
  <c r="S64" i="21" s="1"/>
  <c r="A64" i="21"/>
  <c r="X63" i="21"/>
  <c r="P63" i="21"/>
  <c r="I63" i="21"/>
  <c r="F63" i="21"/>
  <c r="S63" i="21" s="1"/>
  <c r="E63" i="21"/>
  <c r="A63" i="21"/>
  <c r="S62" i="21"/>
  <c r="J62" i="21"/>
  <c r="F62" i="21"/>
  <c r="P62" i="21" s="1"/>
  <c r="D62" i="21"/>
  <c r="A62" i="21"/>
  <c r="X61" i="21"/>
  <c r="S61" i="21"/>
  <c r="P61" i="21"/>
  <c r="N61" i="21"/>
  <c r="J61" i="21"/>
  <c r="I61" i="21"/>
  <c r="G61" i="21"/>
  <c r="Z61" i="21" s="1"/>
  <c r="AA61" i="21" s="1"/>
  <c r="AC61" i="21" s="1"/>
  <c r="F61" i="21"/>
  <c r="E61" i="21"/>
  <c r="C61" i="21"/>
  <c r="AI61" i="21" s="1"/>
  <c r="B61" i="21"/>
  <c r="A61" i="21"/>
  <c r="S60" i="21"/>
  <c r="M60" i="21"/>
  <c r="H60" i="21"/>
  <c r="F60" i="21"/>
  <c r="B60" i="21"/>
  <c r="A60" i="21"/>
  <c r="K59" i="21"/>
  <c r="G59" i="21"/>
  <c r="F59" i="21"/>
  <c r="X59" i="21" s="1"/>
  <c r="B59" i="21"/>
  <c r="A59" i="21"/>
  <c r="F58" i="21"/>
  <c r="J58" i="21" s="1"/>
  <c r="A58" i="21"/>
  <c r="U57" i="21"/>
  <c r="Q57" i="21"/>
  <c r="L57" i="21"/>
  <c r="I57" i="21"/>
  <c r="H57" i="21"/>
  <c r="F57" i="21"/>
  <c r="X57" i="21" s="1"/>
  <c r="E57" i="21"/>
  <c r="D57" i="21"/>
  <c r="B57" i="21"/>
  <c r="A57" i="21"/>
  <c r="X56" i="21"/>
  <c r="U56" i="21"/>
  <c r="P56" i="21"/>
  <c r="M56" i="21"/>
  <c r="L56" i="21"/>
  <c r="I56" i="21"/>
  <c r="H56" i="21"/>
  <c r="G56" i="21"/>
  <c r="F56" i="21"/>
  <c r="S56" i="21" s="1"/>
  <c r="E56" i="21"/>
  <c r="D56" i="21"/>
  <c r="C56" i="21"/>
  <c r="AI56" i="21" s="1"/>
  <c r="B56" i="21"/>
  <c r="A56" i="21"/>
  <c r="F55" i="21"/>
  <c r="X55" i="21" s="1"/>
  <c r="A55" i="21"/>
  <c r="F54" i="21"/>
  <c r="A54" i="21"/>
  <c r="L53" i="21"/>
  <c r="F53" i="21"/>
  <c r="X53" i="21" s="1"/>
  <c r="E53" i="21"/>
  <c r="A53" i="21"/>
  <c r="X52" i="21"/>
  <c r="P52" i="21"/>
  <c r="I52" i="21"/>
  <c r="F52" i="21"/>
  <c r="S52" i="21" s="1"/>
  <c r="E52" i="21"/>
  <c r="A52" i="21"/>
  <c r="X51" i="21"/>
  <c r="S51" i="21"/>
  <c r="P51" i="21"/>
  <c r="N51" i="21"/>
  <c r="J51" i="21"/>
  <c r="H51" i="21"/>
  <c r="G51" i="21"/>
  <c r="F51" i="21"/>
  <c r="U51" i="21" s="1"/>
  <c r="D51" i="21"/>
  <c r="C51" i="21"/>
  <c r="AI51" i="21" s="1"/>
  <c r="B51" i="21"/>
  <c r="A51" i="21"/>
  <c r="F50" i="21"/>
  <c r="S50" i="21" s="1"/>
  <c r="A50" i="21"/>
  <c r="F49" i="21"/>
  <c r="A49" i="21"/>
  <c r="X48" i="21"/>
  <c r="P48" i="21"/>
  <c r="I48" i="21"/>
  <c r="F48" i="21"/>
  <c r="S48" i="21" s="1"/>
  <c r="E48" i="21"/>
  <c r="A48" i="21"/>
  <c r="X47" i="21"/>
  <c r="S47" i="21"/>
  <c r="P47" i="21"/>
  <c r="N47" i="21"/>
  <c r="J47" i="21"/>
  <c r="H47" i="21"/>
  <c r="G47" i="21"/>
  <c r="F47" i="21"/>
  <c r="U47" i="21" s="1"/>
  <c r="D47" i="21"/>
  <c r="C47" i="21"/>
  <c r="AH47" i="21" s="1"/>
  <c r="B47" i="21"/>
  <c r="A47" i="21"/>
  <c r="F46" i="21"/>
  <c r="S46" i="21" s="1"/>
  <c r="A46" i="21"/>
  <c r="F45" i="21"/>
  <c r="L45" i="21" s="1"/>
  <c r="A45" i="21"/>
  <c r="X44" i="21"/>
  <c r="U44" i="21"/>
  <c r="P44" i="21"/>
  <c r="M44" i="21"/>
  <c r="L44" i="21"/>
  <c r="I44" i="21"/>
  <c r="H44" i="21"/>
  <c r="G44" i="21"/>
  <c r="F44" i="21"/>
  <c r="S44" i="21" s="1"/>
  <c r="E44" i="21"/>
  <c r="D44" i="21"/>
  <c r="C44" i="21"/>
  <c r="AI44" i="21" s="1"/>
  <c r="B44" i="21"/>
  <c r="A44" i="21"/>
  <c r="X43" i="21"/>
  <c r="P43" i="21"/>
  <c r="N43" i="21"/>
  <c r="H43" i="21"/>
  <c r="G43" i="21"/>
  <c r="F43" i="21"/>
  <c r="U43" i="21" s="1"/>
  <c r="C43" i="21"/>
  <c r="AH43" i="21" s="1"/>
  <c r="B43" i="21"/>
  <c r="A43" i="21"/>
  <c r="S42" i="21"/>
  <c r="J42" i="21"/>
  <c r="F42" i="21"/>
  <c r="P42" i="21" s="1"/>
  <c r="E42" i="21"/>
  <c r="A42" i="21"/>
  <c r="F41" i="21"/>
  <c r="A41" i="21"/>
  <c r="X40" i="21"/>
  <c r="U40" i="21"/>
  <c r="P40" i="21"/>
  <c r="M40" i="21"/>
  <c r="L40" i="21"/>
  <c r="I40" i="21"/>
  <c r="H40" i="21"/>
  <c r="G40" i="21"/>
  <c r="F40" i="21"/>
  <c r="S40" i="21" s="1"/>
  <c r="E40" i="21"/>
  <c r="D40" i="21"/>
  <c r="C40" i="21"/>
  <c r="AI40" i="21" s="1"/>
  <c r="B40" i="21"/>
  <c r="A40" i="21"/>
  <c r="X39" i="21"/>
  <c r="P39" i="21"/>
  <c r="N39" i="21"/>
  <c r="H39" i="21"/>
  <c r="G39" i="21"/>
  <c r="F39" i="21"/>
  <c r="U39" i="21" s="1"/>
  <c r="C39" i="21"/>
  <c r="AH39" i="21" s="1"/>
  <c r="B39" i="21"/>
  <c r="A39" i="21"/>
  <c r="S38" i="21"/>
  <c r="J38" i="21"/>
  <c r="F38" i="21"/>
  <c r="P38" i="21" s="1"/>
  <c r="E38" i="21"/>
  <c r="A38" i="21"/>
  <c r="F37" i="21"/>
  <c r="A37" i="21"/>
  <c r="P36" i="21"/>
  <c r="J36" i="21"/>
  <c r="F36" i="21"/>
  <c r="X36" i="21" s="1"/>
  <c r="A36" i="21"/>
  <c r="U35" i="21"/>
  <c r="N35" i="21"/>
  <c r="J35" i="21"/>
  <c r="I35" i="21"/>
  <c r="F35" i="21"/>
  <c r="Q35" i="21" s="1"/>
  <c r="E35" i="21"/>
  <c r="D35" i="21"/>
  <c r="A35" i="21"/>
  <c r="F34" i="21"/>
  <c r="S34" i="21" s="1"/>
  <c r="A34" i="21"/>
  <c r="F33" i="21"/>
  <c r="A33" i="21"/>
  <c r="F32" i="21"/>
  <c r="N32" i="21" s="1"/>
  <c r="A32" i="21"/>
  <c r="AA31" i="21"/>
  <c r="P31" i="21"/>
  <c r="N31" i="21"/>
  <c r="I31" i="21"/>
  <c r="O31" i="21" s="1"/>
  <c r="O501" i="21" s="1"/>
  <c r="H31" i="21"/>
  <c r="F31" i="21"/>
  <c r="X31" i="21" s="1"/>
  <c r="D31" i="21"/>
  <c r="B31" i="21"/>
  <c r="A31" i="21"/>
  <c r="M30" i="21"/>
  <c r="L30" i="21"/>
  <c r="K30" i="21"/>
  <c r="I30" i="21"/>
  <c r="D30" i="21"/>
  <c r="C30" i="21"/>
  <c r="B30" i="21"/>
  <c r="R83" i="21" l="1"/>
  <c r="R309" i="21"/>
  <c r="Z497" i="21"/>
  <c r="AA497" i="21" s="1"/>
  <c r="AC497" i="21" s="1"/>
  <c r="R63" i="21"/>
  <c r="R394" i="21"/>
  <c r="AF232" i="21"/>
  <c r="AJ361" i="21"/>
  <c r="AF420" i="21"/>
  <c r="Z458" i="21"/>
  <c r="AA458" i="21" s="1"/>
  <c r="AC458" i="21" s="1"/>
  <c r="AJ488" i="21"/>
  <c r="AG440" i="21"/>
  <c r="AF458" i="21"/>
  <c r="Z493" i="21"/>
  <c r="AA493" i="21" s="1"/>
  <c r="AC493" i="21" s="1"/>
  <c r="AH440" i="21"/>
  <c r="AF481" i="21"/>
  <c r="P32" i="21"/>
  <c r="M46" i="21"/>
  <c r="K75" i="21"/>
  <c r="Q75" i="21"/>
  <c r="V75" i="21"/>
  <c r="C115" i="21"/>
  <c r="AI115" i="21" s="1"/>
  <c r="P201" i="21"/>
  <c r="H201" i="21"/>
  <c r="C201" i="21"/>
  <c r="AG201" i="21" s="1"/>
  <c r="U201" i="21"/>
  <c r="J201" i="21"/>
  <c r="B201" i="21"/>
  <c r="S201" i="21"/>
  <c r="S218" i="21"/>
  <c r="U218" i="21"/>
  <c r="L218" i="21"/>
  <c r="G218" i="21"/>
  <c r="Z218" i="21" s="1"/>
  <c r="AA218" i="21" s="1"/>
  <c r="AC218" i="21" s="1"/>
  <c r="C218" i="21"/>
  <c r="AI218" i="21" s="1"/>
  <c r="Q218" i="21"/>
  <c r="I218" i="21"/>
  <c r="D218" i="21"/>
  <c r="U221" i="21"/>
  <c r="J221" i="21"/>
  <c r="B221" i="21"/>
  <c r="L221" i="21"/>
  <c r="B34" i="21"/>
  <c r="G34" i="21"/>
  <c r="N34" i="21"/>
  <c r="M38" i="21"/>
  <c r="G46" i="21"/>
  <c r="Z46" i="21" s="1"/>
  <c r="AA46" i="21" s="1"/>
  <c r="AC46" i="21" s="1"/>
  <c r="X46" i="21"/>
  <c r="K48" i="21"/>
  <c r="U62" i="21"/>
  <c r="R67" i="21"/>
  <c r="Q71" i="21"/>
  <c r="C75" i="21"/>
  <c r="AF75" i="21" s="1"/>
  <c r="L76" i="21"/>
  <c r="Q83" i="21"/>
  <c r="H84" i="21"/>
  <c r="I99" i="21"/>
  <c r="J102" i="21"/>
  <c r="B102" i="21"/>
  <c r="I107" i="21"/>
  <c r="S113" i="21"/>
  <c r="X113" i="21"/>
  <c r="P113" i="21"/>
  <c r="I113" i="21"/>
  <c r="E113" i="21"/>
  <c r="I115" i="21"/>
  <c r="S125" i="21"/>
  <c r="X125" i="21"/>
  <c r="P125" i="21"/>
  <c r="I125" i="21"/>
  <c r="E125" i="21"/>
  <c r="S234" i="21"/>
  <c r="U234" i="21"/>
  <c r="M234" i="21"/>
  <c r="H234" i="21"/>
  <c r="D234" i="21"/>
  <c r="R234" i="21"/>
  <c r="K234" i="21"/>
  <c r="E234" i="21"/>
  <c r="Q234" i="21"/>
  <c r="I234" i="21"/>
  <c r="C234" i="21"/>
  <c r="AG234" i="21" s="1"/>
  <c r="S273" i="21"/>
  <c r="B273" i="21"/>
  <c r="N273" i="21"/>
  <c r="J273" i="21"/>
  <c r="J281" i="21"/>
  <c r="AF470" i="21"/>
  <c r="AG470" i="21"/>
  <c r="AG485" i="21"/>
  <c r="AF485" i="21"/>
  <c r="L34" i="21"/>
  <c r="U34" i="21"/>
  <c r="M50" i="21"/>
  <c r="Q74" i="21"/>
  <c r="B75" i="21"/>
  <c r="S84" i="21"/>
  <c r="C127" i="21"/>
  <c r="AI127" i="21" s="1"/>
  <c r="S133" i="21"/>
  <c r="U133" i="21"/>
  <c r="L133" i="21"/>
  <c r="G133" i="21"/>
  <c r="C133" i="21"/>
  <c r="AI133" i="21" s="1"/>
  <c r="M133" i="21"/>
  <c r="C143" i="21"/>
  <c r="AI143" i="21" s="1"/>
  <c r="S149" i="21"/>
  <c r="U149" i="21"/>
  <c r="L149" i="21"/>
  <c r="G149" i="21"/>
  <c r="Z149" i="21" s="1"/>
  <c r="AA149" i="21" s="1"/>
  <c r="AC149" i="21" s="1"/>
  <c r="C149" i="21"/>
  <c r="AH149" i="21" s="1"/>
  <c r="M149" i="21"/>
  <c r="C159" i="21"/>
  <c r="AI159" i="21" s="1"/>
  <c r="S182" i="21"/>
  <c r="M182" i="21"/>
  <c r="H182" i="21"/>
  <c r="D182" i="21"/>
  <c r="P182" i="21"/>
  <c r="G182" i="21"/>
  <c r="B182" i="21"/>
  <c r="S186" i="21"/>
  <c r="X186" i="21"/>
  <c r="P186" i="21"/>
  <c r="I186" i="21"/>
  <c r="E186" i="21"/>
  <c r="U186" i="21"/>
  <c r="K186" i="21"/>
  <c r="D186" i="21"/>
  <c r="M186" i="21"/>
  <c r="P218" i="21"/>
  <c r="U220" i="21"/>
  <c r="I220" i="21"/>
  <c r="C220" i="21"/>
  <c r="M220" i="21"/>
  <c r="E220" i="21"/>
  <c r="X220" i="21"/>
  <c r="U225" i="21"/>
  <c r="H225" i="21"/>
  <c r="S225" i="21"/>
  <c r="B225" i="21"/>
  <c r="U228" i="21"/>
  <c r="P228" i="21"/>
  <c r="G228" i="21"/>
  <c r="Z228" i="21" s="1"/>
  <c r="AA228" i="21" s="1"/>
  <c r="AC228" i="21" s="1"/>
  <c r="B228" i="21"/>
  <c r="K228" i="21"/>
  <c r="C228" i="21"/>
  <c r="X228" i="21"/>
  <c r="S230" i="21"/>
  <c r="R230" i="21" s="1"/>
  <c r="X230" i="21"/>
  <c r="P230" i="21"/>
  <c r="I230" i="21"/>
  <c r="E230" i="21"/>
  <c r="U230" i="21"/>
  <c r="K230" i="21"/>
  <c r="D230" i="21"/>
  <c r="Q230" i="21"/>
  <c r="H230" i="21"/>
  <c r="C230" i="21"/>
  <c r="N239" i="21"/>
  <c r="D239" i="21"/>
  <c r="U239" i="21"/>
  <c r="S274" i="21"/>
  <c r="M274" i="21"/>
  <c r="H274" i="21"/>
  <c r="D274" i="21"/>
  <c r="U274" i="21"/>
  <c r="K274" i="21"/>
  <c r="E274" i="21"/>
  <c r="Q274" i="21"/>
  <c r="I274" i="21"/>
  <c r="C274" i="21"/>
  <c r="S279" i="21"/>
  <c r="X279" i="21"/>
  <c r="P279" i="21"/>
  <c r="I279" i="21"/>
  <c r="E279" i="21"/>
  <c r="Q279" i="21"/>
  <c r="H279" i="21"/>
  <c r="C279" i="21"/>
  <c r="M279" i="21"/>
  <c r="G279" i="21"/>
  <c r="Z279" i="21" s="1"/>
  <c r="AA279" i="21" s="1"/>
  <c r="AC279" i="21" s="1"/>
  <c r="B279" i="21"/>
  <c r="U286" i="21"/>
  <c r="J286" i="21"/>
  <c r="B286" i="21"/>
  <c r="P286" i="21"/>
  <c r="D286" i="21"/>
  <c r="L286" i="21"/>
  <c r="G286" i="21"/>
  <c r="Z286" i="21" s="1"/>
  <c r="AA286" i="21" s="1"/>
  <c r="AC286" i="21" s="1"/>
  <c r="S336" i="21"/>
  <c r="J336" i="21"/>
  <c r="D336" i="21"/>
  <c r="P336" i="21"/>
  <c r="R336" i="21" s="1"/>
  <c r="G336" i="21"/>
  <c r="L336" i="21"/>
  <c r="B336" i="21"/>
  <c r="X336" i="21"/>
  <c r="H336" i="21"/>
  <c r="C336" i="21"/>
  <c r="AH336" i="21" s="1"/>
  <c r="U336" i="21"/>
  <c r="M42" i="21"/>
  <c r="B46" i="21"/>
  <c r="N46" i="21"/>
  <c r="B48" i="21"/>
  <c r="Q48" i="21"/>
  <c r="B50" i="21"/>
  <c r="B52" i="21"/>
  <c r="K52" i="21"/>
  <c r="Q52" i="21"/>
  <c r="K67" i="21"/>
  <c r="L70" i="21"/>
  <c r="H74" i="21"/>
  <c r="G75" i="21"/>
  <c r="Z75" i="21" s="1"/>
  <c r="AA75" i="21" s="1"/>
  <c r="AC75" i="21" s="1"/>
  <c r="X75" i="21"/>
  <c r="S78" i="21"/>
  <c r="B91" i="21"/>
  <c r="Q91" i="21"/>
  <c r="X91" i="21"/>
  <c r="L101" i="21"/>
  <c r="L125" i="21"/>
  <c r="U128" i="21"/>
  <c r="N128" i="21"/>
  <c r="H133" i="21"/>
  <c r="S141" i="21"/>
  <c r="X141" i="21"/>
  <c r="P141" i="21"/>
  <c r="I141" i="21"/>
  <c r="E141" i="21"/>
  <c r="L141" i="21"/>
  <c r="I143" i="21"/>
  <c r="U144" i="21"/>
  <c r="N144" i="21"/>
  <c r="S166" i="21"/>
  <c r="H166" i="21"/>
  <c r="H171" i="21"/>
  <c r="S171" i="21"/>
  <c r="R171" i="21" s="1"/>
  <c r="P175" i="21"/>
  <c r="H175" i="21"/>
  <c r="C175" i="21"/>
  <c r="AH175" i="21" s="1"/>
  <c r="N175" i="21"/>
  <c r="S176" i="21"/>
  <c r="X176" i="21"/>
  <c r="P176" i="21"/>
  <c r="I176" i="21"/>
  <c r="E176" i="21"/>
  <c r="L176" i="21"/>
  <c r="I182" i="21"/>
  <c r="G186" i="21"/>
  <c r="Z186" i="21" s="1"/>
  <c r="AA186" i="21" s="1"/>
  <c r="AC186" i="21" s="1"/>
  <c r="Q186" i="21"/>
  <c r="S188" i="21"/>
  <c r="G201" i="21"/>
  <c r="Z201" i="21" s="1"/>
  <c r="AA201" i="21" s="1"/>
  <c r="AC201" i="21" s="1"/>
  <c r="X201" i="21"/>
  <c r="S202" i="21"/>
  <c r="X202" i="21"/>
  <c r="P202" i="21"/>
  <c r="I202" i="21"/>
  <c r="E202" i="21"/>
  <c r="Q202" i="21"/>
  <c r="H202" i="21"/>
  <c r="C202" i="21"/>
  <c r="M202" i="21"/>
  <c r="X204" i="21"/>
  <c r="N204" i="21"/>
  <c r="G204" i="21"/>
  <c r="B204" i="21"/>
  <c r="J204" i="21"/>
  <c r="C204" i="21"/>
  <c r="S204" i="21"/>
  <c r="J209" i="21"/>
  <c r="N209" i="21"/>
  <c r="H218" i="21"/>
  <c r="G220" i="21"/>
  <c r="Z220" i="21" s="1"/>
  <c r="AA220" i="21" s="1"/>
  <c r="AC220" i="21" s="1"/>
  <c r="H221" i="21"/>
  <c r="J225" i="21"/>
  <c r="U248" i="21"/>
  <c r="I248" i="21"/>
  <c r="C248" i="21"/>
  <c r="K248" i="21"/>
  <c r="B248" i="21"/>
  <c r="X248" i="21"/>
  <c r="G248" i="21"/>
  <c r="U272" i="21"/>
  <c r="I272" i="21"/>
  <c r="C272" i="21"/>
  <c r="K272" i="21"/>
  <c r="B272" i="21"/>
  <c r="X272" i="21"/>
  <c r="G272" i="21"/>
  <c r="Z272" i="21" s="1"/>
  <c r="AA272" i="21" s="1"/>
  <c r="AC272" i="21" s="1"/>
  <c r="G274" i="21"/>
  <c r="K279" i="21"/>
  <c r="U282" i="21"/>
  <c r="J282" i="21"/>
  <c r="B282" i="21"/>
  <c r="P282" i="21"/>
  <c r="D282" i="21"/>
  <c r="L282" i="21"/>
  <c r="S286" i="21"/>
  <c r="S287" i="21"/>
  <c r="U287" i="21"/>
  <c r="L287" i="21"/>
  <c r="G287" i="21"/>
  <c r="Z287" i="21" s="1"/>
  <c r="AA287" i="21" s="1"/>
  <c r="AC287" i="21" s="1"/>
  <c r="C287" i="21"/>
  <c r="AF287" i="21" s="1"/>
  <c r="P287" i="21"/>
  <c r="H287" i="21"/>
  <c r="B287" i="21"/>
  <c r="X287" i="21"/>
  <c r="K287" i="21"/>
  <c r="D287" i="21"/>
  <c r="I287" i="21"/>
  <c r="U288" i="21"/>
  <c r="D288" i="21"/>
  <c r="N288" i="21"/>
  <c r="I288" i="21"/>
  <c r="H290" i="21"/>
  <c r="S290" i="21"/>
  <c r="D290" i="21"/>
  <c r="B290" i="21"/>
  <c r="N290" i="21"/>
  <c r="P316" i="21"/>
  <c r="H316" i="21"/>
  <c r="C316" i="21"/>
  <c r="AH316" i="21" s="1"/>
  <c r="X316" i="21"/>
  <c r="L316" i="21"/>
  <c r="D316" i="21"/>
  <c r="J316" i="21"/>
  <c r="U316" i="21"/>
  <c r="G316" i="21"/>
  <c r="Z316" i="21" s="1"/>
  <c r="AA316" i="21" s="1"/>
  <c r="AC316" i="21" s="1"/>
  <c r="E31" i="21"/>
  <c r="J31" i="21"/>
  <c r="U31" i="21"/>
  <c r="C32" i="21"/>
  <c r="AI32" i="21" s="1"/>
  <c r="J32" i="21"/>
  <c r="C34" i="21"/>
  <c r="AI34" i="21" s="1"/>
  <c r="H34" i="21"/>
  <c r="P34" i="21"/>
  <c r="AA34" i="21"/>
  <c r="AC34" i="21" s="1"/>
  <c r="D36" i="21"/>
  <c r="U36" i="21"/>
  <c r="B38" i="21"/>
  <c r="G38" i="21"/>
  <c r="Z38" i="21" s="1"/>
  <c r="AA38" i="21" s="1"/>
  <c r="AC38" i="21" s="1"/>
  <c r="N38" i="21"/>
  <c r="X38" i="21"/>
  <c r="D39" i="21"/>
  <c r="J39" i="21"/>
  <c r="S39" i="21"/>
  <c r="R39" i="21" s="1"/>
  <c r="R40" i="21"/>
  <c r="K40" i="21"/>
  <c r="Q40" i="21"/>
  <c r="AF40" i="21"/>
  <c r="B42" i="21"/>
  <c r="G42" i="21"/>
  <c r="Z42" i="21" s="1"/>
  <c r="AA42" i="21" s="1"/>
  <c r="AC42" i="21" s="1"/>
  <c r="N42" i="21"/>
  <c r="X42" i="21"/>
  <c r="D43" i="21"/>
  <c r="J43" i="21"/>
  <c r="S43" i="21"/>
  <c r="K44" i="21"/>
  <c r="Q44" i="21"/>
  <c r="C46" i="21"/>
  <c r="AG46" i="21" s="1"/>
  <c r="I46" i="21"/>
  <c r="P46" i="21"/>
  <c r="L47" i="21"/>
  <c r="C48" i="21"/>
  <c r="AG48" i="21" s="1"/>
  <c r="G48" i="21"/>
  <c r="L48" i="21"/>
  <c r="U48" i="21"/>
  <c r="C50" i="21"/>
  <c r="AG50" i="21" s="1"/>
  <c r="I50" i="21"/>
  <c r="P50" i="21"/>
  <c r="R50" i="21" s="1"/>
  <c r="L51" i="21"/>
  <c r="C52" i="21"/>
  <c r="AF52" i="21" s="1"/>
  <c r="G52" i="21"/>
  <c r="L52" i="21"/>
  <c r="U52" i="21"/>
  <c r="B53" i="21"/>
  <c r="H53" i="21"/>
  <c r="Q53" i="21"/>
  <c r="R56" i="21"/>
  <c r="K56" i="21"/>
  <c r="Q56" i="21"/>
  <c r="M57" i="21"/>
  <c r="C59" i="21"/>
  <c r="AG59" i="21" s="1"/>
  <c r="P59" i="21"/>
  <c r="M61" i="21"/>
  <c r="B62" i="21"/>
  <c r="G62" i="21"/>
  <c r="Z62" i="21" s="1"/>
  <c r="N62" i="21"/>
  <c r="X62" i="21"/>
  <c r="C63" i="21"/>
  <c r="AF63" i="21" s="1"/>
  <c r="G63" i="21"/>
  <c r="L63" i="21"/>
  <c r="U63" i="21"/>
  <c r="B64" i="21"/>
  <c r="E65" i="21"/>
  <c r="J65" i="21"/>
  <c r="S65" i="21"/>
  <c r="R65" i="21" s="1"/>
  <c r="L66" i="21"/>
  <c r="C67" i="21"/>
  <c r="G67" i="21"/>
  <c r="Z67" i="21" s="1"/>
  <c r="AA67" i="21" s="1"/>
  <c r="AC67" i="21" s="1"/>
  <c r="L67" i="21"/>
  <c r="U67" i="21"/>
  <c r="B68" i="21"/>
  <c r="E69" i="21"/>
  <c r="J69" i="21"/>
  <c r="S69" i="21"/>
  <c r="R69" i="21" s="1"/>
  <c r="B70" i="21"/>
  <c r="G70" i="21"/>
  <c r="Z70" i="21" s="1"/>
  <c r="AA70" i="21" s="1"/>
  <c r="AC70" i="21" s="1"/>
  <c r="N70" i="21"/>
  <c r="X70" i="21"/>
  <c r="C71" i="21"/>
  <c r="G71" i="21"/>
  <c r="Z71" i="21" s="1"/>
  <c r="AA71" i="21" s="1"/>
  <c r="AC71" i="21" s="1"/>
  <c r="L71" i="21"/>
  <c r="R71" i="21"/>
  <c r="B73" i="21"/>
  <c r="G73" i="21"/>
  <c r="P73" i="21"/>
  <c r="B74" i="21"/>
  <c r="J74" i="21"/>
  <c r="U74" i="21"/>
  <c r="D75" i="21"/>
  <c r="H75" i="21"/>
  <c r="M75" i="21"/>
  <c r="T75" i="21"/>
  <c r="U76" i="21"/>
  <c r="E77" i="21"/>
  <c r="K77" i="21"/>
  <c r="X77" i="21"/>
  <c r="H78" i="21"/>
  <c r="E79" i="21"/>
  <c r="I79" i="21"/>
  <c r="P79" i="21"/>
  <c r="R79" i="21" s="1"/>
  <c r="X79" i="21"/>
  <c r="D80" i="21"/>
  <c r="L80" i="21"/>
  <c r="M81" i="21"/>
  <c r="C83" i="21"/>
  <c r="AF83" i="21" s="1"/>
  <c r="G83" i="21"/>
  <c r="Z83" i="21" s="1"/>
  <c r="AA83" i="21" s="1"/>
  <c r="AC83" i="21" s="1"/>
  <c r="L83" i="21"/>
  <c r="U83" i="21"/>
  <c r="J84" i="21"/>
  <c r="B85" i="21"/>
  <c r="G85" i="21"/>
  <c r="P85" i="21"/>
  <c r="R85" i="21" s="1"/>
  <c r="K87" i="21"/>
  <c r="Q87" i="21"/>
  <c r="M89" i="21"/>
  <c r="H90" i="21"/>
  <c r="S90" i="21"/>
  <c r="C91" i="21"/>
  <c r="AI91" i="21" s="1"/>
  <c r="G91" i="21"/>
  <c r="L91" i="21"/>
  <c r="R91" i="21"/>
  <c r="E93" i="21"/>
  <c r="I93" i="21"/>
  <c r="P93" i="21"/>
  <c r="R93" i="21" s="1"/>
  <c r="X93" i="21"/>
  <c r="E94" i="21"/>
  <c r="M94" i="21"/>
  <c r="E97" i="21"/>
  <c r="K97" i="21"/>
  <c r="J98" i="21"/>
  <c r="B98" i="21"/>
  <c r="S98" i="21"/>
  <c r="B101" i="21"/>
  <c r="G101" i="21"/>
  <c r="H102" i="21"/>
  <c r="S105" i="21"/>
  <c r="R105" i="21" s="1"/>
  <c r="M105" i="21"/>
  <c r="H105" i="21"/>
  <c r="D105" i="21"/>
  <c r="L105" i="21"/>
  <c r="X105" i="21"/>
  <c r="H106" i="21"/>
  <c r="K108" i="21"/>
  <c r="D109" i="21"/>
  <c r="K109" i="21"/>
  <c r="B110" i="21"/>
  <c r="B113" i="21"/>
  <c r="G113" i="21"/>
  <c r="M113" i="21"/>
  <c r="N115" i="21"/>
  <c r="E117" i="21"/>
  <c r="K117" i="21"/>
  <c r="E118" i="21"/>
  <c r="I119" i="21"/>
  <c r="E122" i="21"/>
  <c r="U124" i="21"/>
  <c r="C124" i="21"/>
  <c r="AI124" i="21" s="1"/>
  <c r="B125" i="21"/>
  <c r="G125" i="21"/>
  <c r="M125" i="21"/>
  <c r="N127" i="21"/>
  <c r="H128" i="21"/>
  <c r="E129" i="21"/>
  <c r="K129" i="21"/>
  <c r="M130" i="21"/>
  <c r="E130" i="21"/>
  <c r="S130" i="21"/>
  <c r="N131" i="21"/>
  <c r="U132" i="21"/>
  <c r="H132" i="21"/>
  <c r="D133" i="21"/>
  <c r="I133" i="21"/>
  <c r="Q133" i="21"/>
  <c r="E134" i="21"/>
  <c r="I135" i="21"/>
  <c r="E138" i="21"/>
  <c r="U140" i="21"/>
  <c r="C140" i="21"/>
  <c r="AI140" i="21" s="1"/>
  <c r="B141" i="21"/>
  <c r="G141" i="21"/>
  <c r="Z141" i="21" s="1"/>
  <c r="AA141" i="21" s="1"/>
  <c r="AC141" i="21" s="1"/>
  <c r="M141" i="21"/>
  <c r="N143" i="21"/>
  <c r="H144" i="21"/>
  <c r="E145" i="21"/>
  <c r="K145" i="21"/>
  <c r="M146" i="21"/>
  <c r="E146" i="21"/>
  <c r="S146" i="21"/>
  <c r="N147" i="21"/>
  <c r="U148" i="21"/>
  <c r="H148" i="21"/>
  <c r="D149" i="21"/>
  <c r="I149" i="21"/>
  <c r="Q149" i="21"/>
  <c r="E150" i="21"/>
  <c r="I151" i="21"/>
  <c r="E154" i="21"/>
  <c r="U156" i="21"/>
  <c r="C156" i="21"/>
  <c r="AI156" i="21" s="1"/>
  <c r="B157" i="21"/>
  <c r="G157" i="21"/>
  <c r="N159" i="21"/>
  <c r="E161" i="21"/>
  <c r="K161" i="21"/>
  <c r="M162" i="21"/>
  <c r="E162" i="21"/>
  <c r="S162" i="21"/>
  <c r="N163" i="21"/>
  <c r="U164" i="21"/>
  <c r="H164" i="21"/>
  <c r="D165" i="21"/>
  <c r="I165" i="21"/>
  <c r="J166" i="21"/>
  <c r="D169" i="21"/>
  <c r="K169" i="21"/>
  <c r="C171" i="21"/>
  <c r="AI171" i="21" s="1"/>
  <c r="J171" i="21"/>
  <c r="E172" i="21"/>
  <c r="K172" i="21"/>
  <c r="G175" i="21"/>
  <c r="S175" i="21"/>
  <c r="R175" i="21" s="1"/>
  <c r="B176" i="21"/>
  <c r="G176" i="21"/>
  <c r="Z176" i="21" s="1"/>
  <c r="AA176" i="21" s="1"/>
  <c r="AC176" i="21" s="1"/>
  <c r="M176" i="21"/>
  <c r="S178" i="21"/>
  <c r="X178" i="21"/>
  <c r="P178" i="21"/>
  <c r="I178" i="21"/>
  <c r="Q178" i="21"/>
  <c r="H178" i="21"/>
  <c r="D178" i="21"/>
  <c r="M178" i="21"/>
  <c r="S180" i="21"/>
  <c r="J180" i="21"/>
  <c r="E180" i="21"/>
  <c r="X180" i="21"/>
  <c r="M180" i="21"/>
  <c r="C180" i="21"/>
  <c r="AI180" i="21" s="1"/>
  <c r="P180" i="21"/>
  <c r="C182" i="21"/>
  <c r="AI182" i="21" s="1"/>
  <c r="K182" i="21"/>
  <c r="X182" i="21"/>
  <c r="B185" i="21"/>
  <c r="B186" i="21"/>
  <c r="H186" i="21"/>
  <c r="G188" i="21"/>
  <c r="S190" i="21"/>
  <c r="L190" i="21"/>
  <c r="G190" i="21"/>
  <c r="C190" i="21"/>
  <c r="AI190" i="21" s="1"/>
  <c r="U190" i="21"/>
  <c r="K190" i="21"/>
  <c r="E190" i="21"/>
  <c r="P190" i="21"/>
  <c r="E196" i="21"/>
  <c r="S197" i="21"/>
  <c r="J197" i="21"/>
  <c r="D197" i="21"/>
  <c r="X197" i="21"/>
  <c r="L197" i="21"/>
  <c r="C197" i="21"/>
  <c r="AI197" i="21" s="1"/>
  <c r="P197" i="21"/>
  <c r="L201" i="21"/>
  <c r="G202" i="21"/>
  <c r="Z202" i="21" s="1"/>
  <c r="AA202" i="21" s="1"/>
  <c r="AC202" i="21" s="1"/>
  <c r="U202" i="21"/>
  <c r="B203" i="21"/>
  <c r="I204" i="21"/>
  <c r="H209" i="21"/>
  <c r="U212" i="21"/>
  <c r="P212" i="21"/>
  <c r="G212" i="21"/>
  <c r="B212" i="21"/>
  <c r="M212" i="21"/>
  <c r="E212" i="21"/>
  <c r="X212" i="21"/>
  <c r="S214" i="21"/>
  <c r="U214" i="21"/>
  <c r="M214" i="21"/>
  <c r="H214" i="21"/>
  <c r="D214" i="21"/>
  <c r="X214" i="21"/>
  <c r="P214" i="21"/>
  <c r="G214" i="21"/>
  <c r="B214" i="21"/>
  <c r="Q214" i="21"/>
  <c r="N215" i="21"/>
  <c r="B215" i="21"/>
  <c r="J215" i="21"/>
  <c r="B216" i="21"/>
  <c r="B218" i="21"/>
  <c r="K218" i="21"/>
  <c r="X218" i="21"/>
  <c r="K220" i="21"/>
  <c r="Q221" i="21"/>
  <c r="E222" i="21"/>
  <c r="U224" i="21"/>
  <c r="X224" i="21"/>
  <c r="K224" i="21"/>
  <c r="E224" i="21"/>
  <c r="M224" i="21"/>
  <c r="C224" i="21"/>
  <c r="AF224" i="21" s="1"/>
  <c r="Q225" i="21"/>
  <c r="S226" i="21"/>
  <c r="X226" i="21"/>
  <c r="P226" i="21"/>
  <c r="I226" i="21"/>
  <c r="E226" i="21"/>
  <c r="U226" i="21"/>
  <c r="K226" i="21"/>
  <c r="D226" i="21"/>
  <c r="M226" i="21"/>
  <c r="M228" i="21"/>
  <c r="L230" i="21"/>
  <c r="G234" i="21"/>
  <c r="X234" i="21"/>
  <c r="AH236" i="21"/>
  <c r="AF236" i="21"/>
  <c r="Q245" i="21"/>
  <c r="H245" i="21"/>
  <c r="AF246" i="21"/>
  <c r="M248" i="21"/>
  <c r="S259" i="21"/>
  <c r="H259" i="21"/>
  <c r="L259" i="21"/>
  <c r="B259" i="21"/>
  <c r="J259" i="21"/>
  <c r="U263" i="21"/>
  <c r="Q263" i="21"/>
  <c r="B263" i="21"/>
  <c r="S263" i="21"/>
  <c r="J263" i="21"/>
  <c r="B266" i="21"/>
  <c r="M272" i="21"/>
  <c r="L274" i="21"/>
  <c r="L279" i="21"/>
  <c r="G282" i="21"/>
  <c r="Z282" i="21" s="1"/>
  <c r="AA282" i="21" s="1"/>
  <c r="AC282" i="21" s="1"/>
  <c r="X286" i="21"/>
  <c r="M287" i="21"/>
  <c r="L290" i="21"/>
  <c r="P300" i="21"/>
  <c r="R300" i="21" s="1"/>
  <c r="H300" i="21"/>
  <c r="C300" i="21"/>
  <c r="X300" i="21"/>
  <c r="L300" i="21"/>
  <c r="D300" i="21"/>
  <c r="J300" i="21"/>
  <c r="U300" i="21"/>
  <c r="G300" i="21"/>
  <c r="Z300" i="21" s="1"/>
  <c r="N316" i="21"/>
  <c r="X320" i="21"/>
  <c r="N320" i="21"/>
  <c r="G320" i="21"/>
  <c r="Z320" i="21" s="1"/>
  <c r="AA320" i="21" s="1"/>
  <c r="AC320" i="21" s="1"/>
  <c r="B320" i="21"/>
  <c r="S320" i="21"/>
  <c r="H320" i="21"/>
  <c r="L320" i="21"/>
  <c r="C320" i="21"/>
  <c r="AG320" i="21" s="1"/>
  <c r="J320" i="21"/>
  <c r="P324" i="21"/>
  <c r="H324" i="21"/>
  <c r="C324" i="21"/>
  <c r="AG324" i="21" s="1"/>
  <c r="X324" i="21"/>
  <c r="L324" i="21"/>
  <c r="D324" i="21"/>
  <c r="U324" i="21"/>
  <c r="J324" i="21"/>
  <c r="B324" i="21"/>
  <c r="S324" i="21"/>
  <c r="N324" i="21"/>
  <c r="P327" i="21"/>
  <c r="I327" i="21"/>
  <c r="C327" i="21"/>
  <c r="AH327" i="21" s="1"/>
  <c r="X327" i="21"/>
  <c r="M327" i="21"/>
  <c r="E327" i="21"/>
  <c r="J327" i="21"/>
  <c r="B327" i="21"/>
  <c r="S327" i="21"/>
  <c r="N327" i="21"/>
  <c r="K385" i="21"/>
  <c r="C385" i="21"/>
  <c r="N385" i="21"/>
  <c r="X133" i="21"/>
  <c r="S165" i="21"/>
  <c r="L165" i="21"/>
  <c r="G165" i="21"/>
  <c r="C165" i="21"/>
  <c r="AI165" i="21" s="1"/>
  <c r="M165" i="21"/>
  <c r="U168" i="21"/>
  <c r="C168" i="21"/>
  <c r="AF168" i="21" s="1"/>
  <c r="X171" i="21"/>
  <c r="N171" i="21"/>
  <c r="G171" i="21"/>
  <c r="Z171" i="21" s="1"/>
  <c r="AA171" i="21" s="1"/>
  <c r="AC171" i="21" s="1"/>
  <c r="B171" i="21"/>
  <c r="P171" i="21"/>
  <c r="Q182" i="21"/>
  <c r="X274" i="21"/>
  <c r="S281" i="21"/>
  <c r="R281" i="21" s="1"/>
  <c r="G281" i="21"/>
  <c r="Z281" i="21" s="1"/>
  <c r="P281" i="21"/>
  <c r="E281" i="21"/>
  <c r="M281" i="21"/>
  <c r="B281" i="21"/>
  <c r="L306" i="21"/>
  <c r="S306" i="21"/>
  <c r="D306" i="21"/>
  <c r="N306" i="21"/>
  <c r="H306" i="21"/>
  <c r="P339" i="21"/>
  <c r="I339" i="21"/>
  <c r="C339" i="21"/>
  <c r="AG339" i="21" s="1"/>
  <c r="J339" i="21"/>
  <c r="B339" i="21"/>
  <c r="M339" i="21"/>
  <c r="X339" i="21"/>
  <c r="G339" i="21"/>
  <c r="Z339" i="21" s="1"/>
  <c r="AA339" i="21" s="1"/>
  <c r="AC339" i="21" s="1"/>
  <c r="S339" i="21"/>
  <c r="N339" i="21"/>
  <c r="T417" i="21"/>
  <c r="J417" i="21"/>
  <c r="B417" i="21"/>
  <c r="S417" i="21"/>
  <c r="G417" i="21"/>
  <c r="X417" i="21"/>
  <c r="C417" i="21"/>
  <c r="AG417" i="21" s="1"/>
  <c r="P417" i="21"/>
  <c r="X463" i="21"/>
  <c r="R463" i="21"/>
  <c r="I463" i="21"/>
  <c r="D463" i="21"/>
  <c r="Q463" i="21"/>
  <c r="H463" i="21"/>
  <c r="B463" i="21"/>
  <c r="U463" i="21"/>
  <c r="E463" i="21"/>
  <c r="M463" i="21"/>
  <c r="V463" i="21"/>
  <c r="L463" i="21"/>
  <c r="S500" i="21"/>
  <c r="P500" i="21"/>
  <c r="C500" i="21"/>
  <c r="AF500" i="21" s="1"/>
  <c r="K500" i="21"/>
  <c r="B500" i="21"/>
  <c r="X500" i="21"/>
  <c r="G500" i="21"/>
  <c r="Z500" i="21" s="1"/>
  <c r="AA500" i="21" s="1"/>
  <c r="AC500" i="21" s="1"/>
  <c r="I32" i="21"/>
  <c r="X34" i="21"/>
  <c r="R48" i="21"/>
  <c r="G50" i="21"/>
  <c r="Z50" i="21" s="1"/>
  <c r="AA50" i="21" s="1"/>
  <c r="AC50" i="21" s="1"/>
  <c r="N50" i="21"/>
  <c r="X50" i="21"/>
  <c r="M53" i="21"/>
  <c r="L62" i="21"/>
  <c r="B63" i="21"/>
  <c r="K63" i="21"/>
  <c r="Q63" i="21"/>
  <c r="B67" i="21"/>
  <c r="Q67" i="21"/>
  <c r="U70" i="21"/>
  <c r="B71" i="21"/>
  <c r="K71" i="21"/>
  <c r="X71" i="21"/>
  <c r="M73" i="21"/>
  <c r="S74" i="21"/>
  <c r="L75" i="21"/>
  <c r="R75" i="21"/>
  <c r="B83" i="21"/>
  <c r="K83" i="21"/>
  <c r="M85" i="21"/>
  <c r="Q90" i="21"/>
  <c r="K91" i="21"/>
  <c r="S101" i="21"/>
  <c r="R101" i="21" s="1"/>
  <c r="M101" i="21"/>
  <c r="H101" i="21"/>
  <c r="D101" i="21"/>
  <c r="X101" i="21"/>
  <c r="S102" i="21"/>
  <c r="M106" i="21"/>
  <c r="E106" i="21"/>
  <c r="S106" i="21"/>
  <c r="L113" i="21"/>
  <c r="U116" i="21"/>
  <c r="N116" i="21"/>
  <c r="B133" i="21"/>
  <c r="P133" i="21"/>
  <c r="B149" i="21"/>
  <c r="H149" i="21"/>
  <c r="P149" i="21"/>
  <c r="S157" i="21"/>
  <c r="X157" i="21"/>
  <c r="P157" i="21"/>
  <c r="I157" i="21"/>
  <c r="E157" i="21"/>
  <c r="L157" i="21"/>
  <c r="I159" i="21"/>
  <c r="U160" i="21"/>
  <c r="N160" i="21"/>
  <c r="B165" i="21"/>
  <c r="H165" i="21"/>
  <c r="P165" i="21"/>
  <c r="X165" i="21"/>
  <c r="H168" i="21"/>
  <c r="U182" i="21"/>
  <c r="P188" i="21"/>
  <c r="R188" i="21" s="1"/>
  <c r="I188" i="21"/>
  <c r="C188" i="21"/>
  <c r="AI188" i="21" s="1"/>
  <c r="X188" i="21"/>
  <c r="M188" i="21"/>
  <c r="E188" i="21"/>
  <c r="M31" i="21"/>
  <c r="E32" i="21"/>
  <c r="D34" i="21"/>
  <c r="J34" i="21"/>
  <c r="C38" i="21"/>
  <c r="AG38" i="21" s="1"/>
  <c r="I38" i="21"/>
  <c r="L39" i="21"/>
  <c r="C42" i="21"/>
  <c r="AG42" i="21" s="1"/>
  <c r="I42" i="21"/>
  <c r="L43" i="21"/>
  <c r="E46" i="21"/>
  <c r="J46" i="21"/>
  <c r="D48" i="21"/>
  <c r="H48" i="21"/>
  <c r="M48" i="21"/>
  <c r="E50" i="21"/>
  <c r="J50" i="21"/>
  <c r="D52" i="21"/>
  <c r="H52" i="21"/>
  <c r="M52" i="21"/>
  <c r="D53" i="21"/>
  <c r="I53" i="21"/>
  <c r="U53" i="21"/>
  <c r="C62" i="21"/>
  <c r="AF62" i="21" s="1"/>
  <c r="H62" i="21"/>
  <c r="D63" i="21"/>
  <c r="H63" i="21"/>
  <c r="M63" i="21"/>
  <c r="M65" i="21"/>
  <c r="D67" i="21"/>
  <c r="H67" i="21"/>
  <c r="M67" i="21"/>
  <c r="M69" i="21"/>
  <c r="C70" i="21"/>
  <c r="AI70" i="21" s="1"/>
  <c r="H70" i="21"/>
  <c r="D71" i="21"/>
  <c r="H71" i="21"/>
  <c r="M71" i="21"/>
  <c r="U71" i="21"/>
  <c r="C73" i="21"/>
  <c r="AF73" i="21" s="1"/>
  <c r="I73" i="21"/>
  <c r="D74" i="21"/>
  <c r="E75" i="21"/>
  <c r="I75" i="21"/>
  <c r="P75" i="21"/>
  <c r="U75" i="21"/>
  <c r="D76" i="21"/>
  <c r="M77" i="21"/>
  <c r="K79" i="21"/>
  <c r="Q79" i="21"/>
  <c r="AF79" i="21"/>
  <c r="D83" i="21"/>
  <c r="H83" i="21"/>
  <c r="M83" i="21"/>
  <c r="B84" i="21"/>
  <c r="C85" i="21"/>
  <c r="AI85" i="21" s="1"/>
  <c r="I85" i="21"/>
  <c r="B90" i="21"/>
  <c r="J90" i="21"/>
  <c r="D91" i="21"/>
  <c r="H91" i="21"/>
  <c r="M91" i="21"/>
  <c r="U91" i="21"/>
  <c r="K93" i="21"/>
  <c r="Q93" i="21"/>
  <c r="S97" i="21"/>
  <c r="R97" i="21" s="1"/>
  <c r="U97" i="21"/>
  <c r="L97" i="21"/>
  <c r="G97" i="21"/>
  <c r="M97" i="21"/>
  <c r="X97" i="21"/>
  <c r="C101" i="21"/>
  <c r="AG101" i="21" s="1"/>
  <c r="I101" i="21"/>
  <c r="Q101" i="21"/>
  <c r="M102" i="21"/>
  <c r="J106" i="21"/>
  <c r="S109" i="21"/>
  <c r="X109" i="21"/>
  <c r="P109" i="21"/>
  <c r="I109" i="21"/>
  <c r="E109" i="21"/>
  <c r="L109" i="21"/>
  <c r="M110" i="21"/>
  <c r="E110" i="21"/>
  <c r="S110" i="21"/>
  <c r="C113" i="21"/>
  <c r="AH113" i="21" s="1"/>
  <c r="H113" i="21"/>
  <c r="Q113" i="21"/>
  <c r="S117" i="21"/>
  <c r="R117" i="21" s="1"/>
  <c r="U117" i="21"/>
  <c r="M117" i="21"/>
  <c r="H117" i="21"/>
  <c r="D117" i="21"/>
  <c r="L117" i="21"/>
  <c r="J118" i="21"/>
  <c r="B118" i="21"/>
  <c r="S118" i="21"/>
  <c r="S122" i="21"/>
  <c r="H122" i="21"/>
  <c r="C125" i="21"/>
  <c r="AI125" i="21" s="1"/>
  <c r="H125" i="21"/>
  <c r="Q125" i="21"/>
  <c r="S129" i="21"/>
  <c r="R129" i="21" s="1"/>
  <c r="M129" i="21"/>
  <c r="H129" i="21"/>
  <c r="D129" i="21"/>
  <c r="L129" i="21"/>
  <c r="X129" i="21"/>
  <c r="E133" i="21"/>
  <c r="K133" i="21"/>
  <c r="J134" i="21"/>
  <c r="B134" i="21"/>
  <c r="S134" i="21"/>
  <c r="S138" i="21"/>
  <c r="H138" i="21"/>
  <c r="C141" i="21"/>
  <c r="H141" i="21"/>
  <c r="Q141" i="21"/>
  <c r="S145" i="21"/>
  <c r="R145" i="21" s="1"/>
  <c r="M145" i="21"/>
  <c r="H145" i="21"/>
  <c r="D145" i="21"/>
  <c r="L145" i="21"/>
  <c r="X145" i="21"/>
  <c r="E149" i="21"/>
  <c r="K149" i="21"/>
  <c r="J150" i="21"/>
  <c r="B150" i="21"/>
  <c r="S150" i="21"/>
  <c r="S154" i="21"/>
  <c r="H154" i="21"/>
  <c r="C157" i="21"/>
  <c r="H157" i="21"/>
  <c r="Q157" i="21"/>
  <c r="S161" i="21"/>
  <c r="R161" i="21" s="1"/>
  <c r="M161" i="21"/>
  <c r="H161" i="21"/>
  <c r="D161" i="21"/>
  <c r="L161" i="21"/>
  <c r="X161" i="21"/>
  <c r="E165" i="21"/>
  <c r="K165" i="21"/>
  <c r="U165" i="21"/>
  <c r="B166" i="21"/>
  <c r="M166" i="21"/>
  <c r="S169" i="21"/>
  <c r="X169" i="21"/>
  <c r="P169" i="21"/>
  <c r="I169" i="21"/>
  <c r="E169" i="21"/>
  <c r="L169" i="21"/>
  <c r="D171" i="21"/>
  <c r="L171" i="21"/>
  <c r="S172" i="21"/>
  <c r="R172" i="21" s="1"/>
  <c r="M172" i="21"/>
  <c r="H172" i="21"/>
  <c r="D172" i="21"/>
  <c r="L172" i="21"/>
  <c r="X172" i="21"/>
  <c r="B175" i="21"/>
  <c r="J175" i="21"/>
  <c r="U175" i="21"/>
  <c r="C176" i="21"/>
  <c r="AF176" i="21" s="1"/>
  <c r="H176" i="21"/>
  <c r="Q176" i="21"/>
  <c r="E182" i="21"/>
  <c r="L182" i="21"/>
  <c r="P185" i="21"/>
  <c r="H185" i="21"/>
  <c r="C185" i="21"/>
  <c r="AG185" i="21" s="1"/>
  <c r="X185" i="21"/>
  <c r="L185" i="21"/>
  <c r="D185" i="21"/>
  <c r="S185" i="21"/>
  <c r="C186" i="21"/>
  <c r="AI186" i="21" s="1"/>
  <c r="L186" i="21"/>
  <c r="J188" i="21"/>
  <c r="X196" i="21"/>
  <c r="N196" i="21"/>
  <c r="G196" i="21"/>
  <c r="Z196" i="21" s="1"/>
  <c r="AA196" i="21" s="1"/>
  <c r="AC196" i="21" s="1"/>
  <c r="B196" i="21"/>
  <c r="S196" i="21"/>
  <c r="I196" i="21"/>
  <c r="D201" i="21"/>
  <c r="N201" i="21"/>
  <c r="B202" i="21"/>
  <c r="K202" i="21"/>
  <c r="L203" i="21"/>
  <c r="D203" i="21"/>
  <c r="I203" i="21"/>
  <c r="M204" i="21"/>
  <c r="S209" i="21"/>
  <c r="U216" i="21"/>
  <c r="I216" i="21"/>
  <c r="C216" i="21"/>
  <c r="M216" i="21"/>
  <c r="E216" i="21"/>
  <c r="X216" i="21"/>
  <c r="N217" i="21"/>
  <c r="L217" i="21"/>
  <c r="E218" i="21"/>
  <c r="M218" i="21"/>
  <c r="B220" i="21"/>
  <c r="P220" i="21"/>
  <c r="D221" i="21"/>
  <c r="S221" i="21"/>
  <c r="S222" i="21"/>
  <c r="M222" i="21"/>
  <c r="H222" i="21"/>
  <c r="D222" i="21"/>
  <c r="P222" i="21"/>
  <c r="G222" i="21"/>
  <c r="Z222" i="21" s="1"/>
  <c r="AA222" i="21" s="1"/>
  <c r="AC222" i="21" s="1"/>
  <c r="B222" i="21"/>
  <c r="Q222" i="21"/>
  <c r="U223" i="21"/>
  <c r="N223" i="21"/>
  <c r="E228" i="21"/>
  <c r="B230" i="21"/>
  <c r="M230" i="21"/>
  <c r="L234" i="21"/>
  <c r="AH242" i="21"/>
  <c r="AF242" i="21"/>
  <c r="P248" i="21"/>
  <c r="U252" i="21"/>
  <c r="I252" i="21"/>
  <c r="C252" i="21"/>
  <c r="AI252" i="21" s="1"/>
  <c r="K252" i="21"/>
  <c r="B252" i="21"/>
  <c r="X252" i="21"/>
  <c r="G252" i="21"/>
  <c r="Z252" i="21" s="1"/>
  <c r="AA252" i="21" s="1"/>
  <c r="AC252" i="21" s="1"/>
  <c r="U260" i="21"/>
  <c r="I260" i="21"/>
  <c r="C260" i="21"/>
  <c r="AF260" i="21" s="1"/>
  <c r="K260" i="21"/>
  <c r="B260" i="21"/>
  <c r="X260" i="21"/>
  <c r="G260" i="21"/>
  <c r="Z260" i="21" s="1"/>
  <c r="AA260" i="21" s="1"/>
  <c r="AC260" i="21" s="1"/>
  <c r="S266" i="21"/>
  <c r="R266" i="21" s="1"/>
  <c r="M266" i="21"/>
  <c r="H266" i="21"/>
  <c r="D266" i="21"/>
  <c r="U266" i="21"/>
  <c r="K266" i="21"/>
  <c r="E266" i="21"/>
  <c r="Q266" i="21"/>
  <c r="I266" i="21"/>
  <c r="C266" i="21"/>
  <c r="AI266" i="21" s="1"/>
  <c r="X266" i="21"/>
  <c r="P272" i="21"/>
  <c r="B274" i="21"/>
  <c r="P274" i="21"/>
  <c r="D279" i="21"/>
  <c r="U279" i="21"/>
  <c r="X281" i="21"/>
  <c r="S282" i="21"/>
  <c r="R282" i="21" s="1"/>
  <c r="Q287" i="21"/>
  <c r="S305" i="21"/>
  <c r="R305" i="21" s="1"/>
  <c r="U305" i="21"/>
  <c r="L305" i="21"/>
  <c r="G305" i="21"/>
  <c r="Z305" i="21" s="1"/>
  <c r="AA305" i="21" s="1"/>
  <c r="AC305" i="21" s="1"/>
  <c r="C305" i="21"/>
  <c r="AI305" i="21" s="1"/>
  <c r="K305" i="21"/>
  <c r="E305" i="21"/>
  <c r="M305" i="21"/>
  <c r="D305" i="21"/>
  <c r="X305" i="21"/>
  <c r="I305" i="21"/>
  <c r="B305" i="21"/>
  <c r="S316" i="21"/>
  <c r="R316" i="21" s="1"/>
  <c r="S321" i="21"/>
  <c r="R321" i="21" s="1"/>
  <c r="M321" i="21"/>
  <c r="H321" i="21"/>
  <c r="D321" i="21"/>
  <c r="Q321" i="21"/>
  <c r="I321" i="21"/>
  <c r="C321" i="21"/>
  <c r="AI321" i="21" s="1"/>
  <c r="X321" i="21"/>
  <c r="K321" i="21"/>
  <c r="B321" i="21"/>
  <c r="U321" i="21"/>
  <c r="G321" i="21"/>
  <c r="Z321" i="21" s="1"/>
  <c r="AA321" i="21" s="1"/>
  <c r="AC321" i="21" s="1"/>
  <c r="G327" i="21"/>
  <c r="Z327" i="21" s="1"/>
  <c r="AA327" i="21" s="1"/>
  <c r="AC327" i="21" s="1"/>
  <c r="X331" i="21"/>
  <c r="N331" i="21"/>
  <c r="G331" i="21"/>
  <c r="Z331" i="21" s="1"/>
  <c r="AA331" i="21" s="1"/>
  <c r="AC331" i="21" s="1"/>
  <c r="B331" i="21"/>
  <c r="J331" i="21"/>
  <c r="C331" i="21"/>
  <c r="AI331" i="21" s="1"/>
  <c r="S331" i="21"/>
  <c r="I331" i="21"/>
  <c r="E331" i="21"/>
  <c r="P331" i="21"/>
  <c r="E339" i="21"/>
  <c r="N364" i="21"/>
  <c r="J364" i="21"/>
  <c r="S364" i="21"/>
  <c r="B364" i="21"/>
  <c r="AI374" i="21"/>
  <c r="AH374" i="21"/>
  <c r="U240" i="21"/>
  <c r="I240" i="21"/>
  <c r="C240" i="21"/>
  <c r="AI240" i="21" s="1"/>
  <c r="P240" i="21"/>
  <c r="S242" i="21"/>
  <c r="M242" i="21"/>
  <c r="H242" i="21"/>
  <c r="D242" i="21"/>
  <c r="L242" i="21"/>
  <c r="X242" i="21"/>
  <c r="U243" i="21"/>
  <c r="J243" i="21"/>
  <c r="B243" i="21"/>
  <c r="S243" i="21"/>
  <c r="U244" i="21"/>
  <c r="X244" i="21"/>
  <c r="K244" i="21"/>
  <c r="E244" i="21"/>
  <c r="P244" i="21"/>
  <c r="U247" i="21"/>
  <c r="Q247" i="21"/>
  <c r="B247" i="21"/>
  <c r="S250" i="21"/>
  <c r="M250" i="21"/>
  <c r="H250" i="21"/>
  <c r="D250" i="21"/>
  <c r="L250" i="21"/>
  <c r="X250" i="21"/>
  <c r="U253" i="21"/>
  <c r="J253" i="21"/>
  <c r="B253" i="21"/>
  <c r="S253" i="21"/>
  <c r="E254" i="21"/>
  <c r="K254" i="21"/>
  <c r="B257" i="21"/>
  <c r="S262" i="21"/>
  <c r="U262" i="21"/>
  <c r="L262" i="21"/>
  <c r="G262" i="21"/>
  <c r="Z262" i="21" s="1"/>
  <c r="AA262" i="21" s="1"/>
  <c r="AC262" i="21" s="1"/>
  <c r="C262" i="21"/>
  <c r="AH262" i="21" s="1"/>
  <c r="M262" i="21"/>
  <c r="X262" i="21"/>
  <c r="E264" i="21"/>
  <c r="U268" i="21"/>
  <c r="I268" i="21"/>
  <c r="C268" i="21"/>
  <c r="AF268" i="21" s="1"/>
  <c r="P268" i="21"/>
  <c r="X271" i="21"/>
  <c r="Q271" i="21"/>
  <c r="D271" i="21"/>
  <c r="U276" i="21"/>
  <c r="I276" i="21"/>
  <c r="C276" i="21"/>
  <c r="AI276" i="21" s="1"/>
  <c r="P276" i="21"/>
  <c r="S283" i="21"/>
  <c r="U283" i="21"/>
  <c r="L283" i="21"/>
  <c r="G283" i="21"/>
  <c r="Z283" i="21" s="1"/>
  <c r="AA283" i="21" s="1"/>
  <c r="AC283" i="21" s="1"/>
  <c r="C283" i="21"/>
  <c r="AF283" i="21" s="1"/>
  <c r="M283" i="21"/>
  <c r="X283" i="21"/>
  <c r="N284" i="21"/>
  <c r="S295" i="21"/>
  <c r="J295" i="21"/>
  <c r="E295" i="21"/>
  <c r="P295" i="21"/>
  <c r="G295" i="21"/>
  <c r="Z295" i="21" s="1"/>
  <c r="AA295" i="21" s="1"/>
  <c r="AC295" i="21" s="1"/>
  <c r="X296" i="21"/>
  <c r="N296" i="21"/>
  <c r="G296" i="21"/>
  <c r="Z296" i="21" s="1"/>
  <c r="AA296" i="21" s="1"/>
  <c r="AC296" i="21" s="1"/>
  <c r="B296" i="21"/>
  <c r="U296" i="21"/>
  <c r="J296" i="21"/>
  <c r="C296" i="21"/>
  <c r="AG296" i="21" s="1"/>
  <c r="S296" i="21"/>
  <c r="R296" i="21" s="1"/>
  <c r="S301" i="21"/>
  <c r="T301" i="21"/>
  <c r="AJ301" i="21" s="1"/>
  <c r="M301" i="21"/>
  <c r="H301" i="21"/>
  <c r="D301" i="21"/>
  <c r="R301" i="21"/>
  <c r="K301" i="21"/>
  <c r="E301" i="21"/>
  <c r="P301" i="21"/>
  <c r="X301" i="21"/>
  <c r="S311" i="21"/>
  <c r="J311" i="21"/>
  <c r="E311" i="21"/>
  <c r="P311" i="21"/>
  <c r="G311" i="21"/>
  <c r="Z311" i="21" s="1"/>
  <c r="AA311" i="21" s="1"/>
  <c r="AC311" i="21" s="1"/>
  <c r="X312" i="21"/>
  <c r="N312" i="21"/>
  <c r="G312" i="21"/>
  <c r="Z312" i="21" s="1"/>
  <c r="AA312" i="21" s="1"/>
  <c r="AC312" i="21" s="1"/>
  <c r="B312" i="21"/>
  <c r="U312" i="21"/>
  <c r="J312" i="21"/>
  <c r="C312" i="21"/>
  <c r="AG312" i="21" s="1"/>
  <c r="S312" i="21"/>
  <c r="S313" i="21"/>
  <c r="M313" i="21"/>
  <c r="H313" i="21"/>
  <c r="D313" i="21"/>
  <c r="U313" i="21"/>
  <c r="K313" i="21"/>
  <c r="E313" i="21"/>
  <c r="P313" i="21"/>
  <c r="S317" i="21"/>
  <c r="U317" i="21"/>
  <c r="M317" i="21"/>
  <c r="H317" i="21"/>
  <c r="D317" i="21"/>
  <c r="K317" i="21"/>
  <c r="E317" i="21"/>
  <c r="P317" i="21"/>
  <c r="S325" i="21"/>
  <c r="R325" i="21" s="1"/>
  <c r="M325" i="21"/>
  <c r="H325" i="21"/>
  <c r="D325" i="21"/>
  <c r="U325" i="21"/>
  <c r="K325" i="21"/>
  <c r="E325" i="21"/>
  <c r="Q325" i="21"/>
  <c r="I325" i="21"/>
  <c r="C325" i="21"/>
  <c r="AI325" i="21" s="1"/>
  <c r="X325" i="21"/>
  <c r="X335" i="21"/>
  <c r="N335" i="21"/>
  <c r="G335" i="21"/>
  <c r="Z335" i="21" s="1"/>
  <c r="AA335" i="21" s="1"/>
  <c r="AC335" i="21" s="1"/>
  <c r="B335" i="21"/>
  <c r="M335" i="21"/>
  <c r="E335" i="21"/>
  <c r="P335" i="21"/>
  <c r="R335" i="21" s="1"/>
  <c r="C335" i="21"/>
  <c r="AG335" i="21" s="1"/>
  <c r="J335" i="21"/>
  <c r="U355" i="21"/>
  <c r="M355" i="21"/>
  <c r="B355" i="21"/>
  <c r="I355" i="21"/>
  <c r="E355" i="21"/>
  <c r="X366" i="21"/>
  <c r="Q366" i="21"/>
  <c r="V366" i="21"/>
  <c r="L366" i="21"/>
  <c r="E366" i="21"/>
  <c r="U366" i="21"/>
  <c r="I366" i="21"/>
  <c r="D366" i="21"/>
  <c r="H366" i="21"/>
  <c r="B366" i="21"/>
  <c r="R366" i="21"/>
  <c r="Q409" i="21"/>
  <c r="K409" i="21"/>
  <c r="K121" i="21"/>
  <c r="Q121" i="21"/>
  <c r="K137" i="21"/>
  <c r="Q137" i="21"/>
  <c r="R153" i="21"/>
  <c r="K153" i="21"/>
  <c r="Q153" i="21"/>
  <c r="M174" i="21"/>
  <c r="X181" i="21"/>
  <c r="N181" i="21"/>
  <c r="G181" i="21"/>
  <c r="Z181" i="21" s="1"/>
  <c r="AA181" i="21" s="1"/>
  <c r="AC181" i="21" s="1"/>
  <c r="B181" i="21"/>
  <c r="P181" i="21"/>
  <c r="P192" i="21"/>
  <c r="I192" i="21"/>
  <c r="C192" i="21"/>
  <c r="AH192" i="21" s="1"/>
  <c r="N192" i="21"/>
  <c r="S194" i="21"/>
  <c r="R194" i="21" s="1"/>
  <c r="U194" i="21"/>
  <c r="L194" i="21"/>
  <c r="G194" i="21"/>
  <c r="Z194" i="21" s="1"/>
  <c r="AA194" i="21" s="1"/>
  <c r="AC194" i="21" s="1"/>
  <c r="C194" i="21"/>
  <c r="AI194" i="21" s="1"/>
  <c r="M194" i="21"/>
  <c r="X194" i="21"/>
  <c r="S205" i="21"/>
  <c r="J205" i="21"/>
  <c r="D205" i="21"/>
  <c r="N205" i="21"/>
  <c r="P208" i="21"/>
  <c r="I208" i="21"/>
  <c r="C208" i="21"/>
  <c r="AH208" i="21" s="1"/>
  <c r="N208" i="21"/>
  <c r="AH210" i="21"/>
  <c r="AF210" i="21"/>
  <c r="U213" i="21"/>
  <c r="D213" i="21"/>
  <c r="U232" i="21"/>
  <c r="X232" i="21"/>
  <c r="K232" i="21"/>
  <c r="E232" i="21"/>
  <c r="P232" i="21"/>
  <c r="U233" i="21"/>
  <c r="N233" i="21"/>
  <c r="G240" i="21"/>
  <c r="Z240" i="21" s="1"/>
  <c r="AA240" i="21" s="1"/>
  <c r="AC240" i="21" s="1"/>
  <c r="X240" i="21"/>
  <c r="B242" i="21"/>
  <c r="G242" i="21"/>
  <c r="Z242" i="21" s="1"/>
  <c r="AA242" i="21" s="1"/>
  <c r="AC242" i="21" s="1"/>
  <c r="P242" i="21"/>
  <c r="H243" i="21"/>
  <c r="G244" i="21"/>
  <c r="S246" i="21"/>
  <c r="R246" i="21" s="1"/>
  <c r="M246" i="21"/>
  <c r="H246" i="21"/>
  <c r="D246" i="21"/>
  <c r="L246" i="21"/>
  <c r="X246" i="21"/>
  <c r="H247" i="21"/>
  <c r="B250" i="21"/>
  <c r="G250" i="21"/>
  <c r="P250" i="21"/>
  <c r="S254" i="21"/>
  <c r="R254" i="21" s="1"/>
  <c r="M254" i="21"/>
  <c r="H254" i="21"/>
  <c r="D254" i="21"/>
  <c r="L254" i="21"/>
  <c r="X254" i="21"/>
  <c r="U257" i="21"/>
  <c r="J257" i="21"/>
  <c r="B262" i="21"/>
  <c r="H262" i="21"/>
  <c r="P262" i="21"/>
  <c r="U264" i="21"/>
  <c r="I264" i="21"/>
  <c r="C264" i="21"/>
  <c r="P264" i="21"/>
  <c r="X267" i="21"/>
  <c r="Q267" i="21"/>
  <c r="D267" i="21"/>
  <c r="G268" i="21"/>
  <c r="Z268" i="21" s="1"/>
  <c r="AA268" i="21" s="1"/>
  <c r="AC268" i="21" s="1"/>
  <c r="X268" i="21"/>
  <c r="S270" i="21"/>
  <c r="R270" i="21" s="1"/>
  <c r="M270" i="21"/>
  <c r="H270" i="21"/>
  <c r="D270" i="21"/>
  <c r="L270" i="21"/>
  <c r="X270" i="21"/>
  <c r="H271" i="21"/>
  <c r="X275" i="21"/>
  <c r="Q275" i="21"/>
  <c r="D275" i="21"/>
  <c r="G276" i="21"/>
  <c r="Z276" i="21" s="1"/>
  <c r="AA276" i="21" s="1"/>
  <c r="AC276" i="21" s="1"/>
  <c r="X276" i="21"/>
  <c r="B283" i="21"/>
  <c r="H283" i="21"/>
  <c r="P283" i="21"/>
  <c r="I284" i="21"/>
  <c r="S285" i="21"/>
  <c r="G285" i="21"/>
  <c r="Z285" i="21" s="1"/>
  <c r="AA285" i="21" s="1"/>
  <c r="AC285" i="21" s="1"/>
  <c r="P285" i="21"/>
  <c r="E285" i="21"/>
  <c r="X285" i="21"/>
  <c r="I295" i="21"/>
  <c r="X295" i="21"/>
  <c r="H296" i="21"/>
  <c r="S297" i="21"/>
  <c r="U297" i="21"/>
  <c r="L297" i="21"/>
  <c r="G297" i="21"/>
  <c r="Z297" i="21" s="1"/>
  <c r="AA297" i="21" s="1"/>
  <c r="AC297" i="21" s="1"/>
  <c r="C297" i="21"/>
  <c r="AI297" i="21" s="1"/>
  <c r="Q297" i="21"/>
  <c r="I297" i="21"/>
  <c r="D297" i="21"/>
  <c r="P297" i="21"/>
  <c r="I298" i="21"/>
  <c r="B298" i="21"/>
  <c r="N298" i="21"/>
  <c r="D298" i="21"/>
  <c r="G301" i="21"/>
  <c r="W301" i="21" s="1"/>
  <c r="Q301" i="21"/>
  <c r="P303" i="21"/>
  <c r="I303" i="21"/>
  <c r="C303" i="21"/>
  <c r="AH303" i="21" s="1"/>
  <c r="X303" i="21"/>
  <c r="M303" i="21"/>
  <c r="E303" i="21"/>
  <c r="S303" i="21"/>
  <c r="S308" i="21"/>
  <c r="J308" i="21"/>
  <c r="D308" i="21"/>
  <c r="U308" i="21"/>
  <c r="H308" i="21"/>
  <c r="B308" i="21"/>
  <c r="P308" i="21"/>
  <c r="I311" i="21"/>
  <c r="X311" i="21"/>
  <c r="H312" i="21"/>
  <c r="G313" i="21"/>
  <c r="Z313" i="21" s="1"/>
  <c r="AA313" i="21" s="1"/>
  <c r="AC313" i="21" s="1"/>
  <c r="Q313" i="21"/>
  <c r="I314" i="21"/>
  <c r="B314" i="21"/>
  <c r="N314" i="21"/>
  <c r="D314" i="21"/>
  <c r="G317" i="21"/>
  <c r="Q317" i="21"/>
  <c r="I322" i="21"/>
  <c r="B322" i="21"/>
  <c r="L322" i="21"/>
  <c r="G325" i="21"/>
  <c r="I335" i="21"/>
  <c r="M366" i="21"/>
  <c r="M184" i="21"/>
  <c r="L189" i="21"/>
  <c r="L193" i="21"/>
  <c r="K198" i="21"/>
  <c r="Q198" i="21"/>
  <c r="X198" i="21"/>
  <c r="M200" i="21"/>
  <c r="R206" i="21"/>
  <c r="K206" i="21"/>
  <c r="Q206" i="21"/>
  <c r="K210" i="21"/>
  <c r="Q210" i="21"/>
  <c r="S231" i="21"/>
  <c r="M236" i="21"/>
  <c r="K238" i="21"/>
  <c r="Q238" i="21"/>
  <c r="S241" i="21"/>
  <c r="M256" i="21"/>
  <c r="K258" i="21"/>
  <c r="Q258" i="21"/>
  <c r="P292" i="21"/>
  <c r="H292" i="21"/>
  <c r="C292" i="21"/>
  <c r="AG292" i="21" s="1"/>
  <c r="N292" i="21"/>
  <c r="S293" i="21"/>
  <c r="X293" i="21"/>
  <c r="P293" i="21"/>
  <c r="I293" i="21"/>
  <c r="E293" i="21"/>
  <c r="L293" i="21"/>
  <c r="X307" i="21"/>
  <c r="N307" i="21"/>
  <c r="G307" i="21"/>
  <c r="B307" i="21"/>
  <c r="P307" i="21"/>
  <c r="R307" i="21" s="1"/>
  <c r="S319" i="21"/>
  <c r="J319" i="21"/>
  <c r="E319" i="21"/>
  <c r="N319" i="21"/>
  <c r="D333" i="21"/>
  <c r="S341" i="21"/>
  <c r="U341" i="21"/>
  <c r="L341" i="21"/>
  <c r="G341" i="21"/>
  <c r="Z341" i="21" s="1"/>
  <c r="AA341" i="21" s="1"/>
  <c r="AC341" i="21" s="1"/>
  <c r="C341" i="21"/>
  <c r="AF341" i="21" s="1"/>
  <c r="Q341" i="21"/>
  <c r="I341" i="21"/>
  <c r="D341" i="21"/>
  <c r="P341" i="21"/>
  <c r="C343" i="21"/>
  <c r="AH343" i="21" s="1"/>
  <c r="L344" i="21"/>
  <c r="D344" i="21"/>
  <c r="U344" i="21"/>
  <c r="H344" i="21"/>
  <c r="U348" i="21"/>
  <c r="B348" i="21"/>
  <c r="S348" i="21"/>
  <c r="C349" i="21"/>
  <c r="AH349" i="21" s="1"/>
  <c r="E357" i="21"/>
  <c r="X358" i="21"/>
  <c r="U358" i="21"/>
  <c r="I358" i="21"/>
  <c r="D358" i="21"/>
  <c r="Q358" i="21"/>
  <c r="H358" i="21"/>
  <c r="B358" i="21"/>
  <c r="M358" i="21"/>
  <c r="U359" i="21"/>
  <c r="E359" i="21"/>
  <c r="M359" i="21"/>
  <c r="B359" i="21"/>
  <c r="I359" i="21"/>
  <c r="S370" i="21"/>
  <c r="U370" i="21"/>
  <c r="L370" i="21"/>
  <c r="G370" i="21"/>
  <c r="Z370" i="21" s="1"/>
  <c r="AA370" i="21" s="1"/>
  <c r="AC370" i="21" s="1"/>
  <c r="C370" i="21"/>
  <c r="AF370" i="21" s="1"/>
  <c r="Q370" i="21"/>
  <c r="I370" i="21"/>
  <c r="D370" i="21"/>
  <c r="P370" i="21"/>
  <c r="H370" i="21"/>
  <c r="B370" i="21"/>
  <c r="K370" i="21"/>
  <c r="N384" i="21"/>
  <c r="C384" i="21"/>
  <c r="AG384" i="21" s="1"/>
  <c r="K384" i="21"/>
  <c r="M433" i="21"/>
  <c r="E433" i="21"/>
  <c r="V433" i="21"/>
  <c r="J433" i="21"/>
  <c r="B433" i="21"/>
  <c r="R433" i="21"/>
  <c r="I433" i="21"/>
  <c r="X442" i="21"/>
  <c r="K442" i="21"/>
  <c r="C442" i="21"/>
  <c r="AG442" i="21" s="1"/>
  <c r="P442" i="21"/>
  <c r="B442" i="21"/>
  <c r="J442" i="21"/>
  <c r="T442" i="21"/>
  <c r="S442" i="21"/>
  <c r="G442" i="21"/>
  <c r="S333" i="21"/>
  <c r="U333" i="21"/>
  <c r="L333" i="21"/>
  <c r="G333" i="21"/>
  <c r="Z333" i="21" s="1"/>
  <c r="AA333" i="21" s="1"/>
  <c r="AC333" i="21" s="1"/>
  <c r="C333" i="21"/>
  <c r="AF333" i="21" s="1"/>
  <c r="K333" i="21"/>
  <c r="E333" i="21"/>
  <c r="P333" i="21"/>
  <c r="U343" i="21"/>
  <c r="X343" i="21"/>
  <c r="K343" i="21"/>
  <c r="E343" i="21"/>
  <c r="I343" i="21"/>
  <c r="B343" i="21"/>
  <c r="S349" i="21"/>
  <c r="X349" i="21"/>
  <c r="P349" i="21"/>
  <c r="I349" i="21"/>
  <c r="E349" i="21"/>
  <c r="M349" i="21"/>
  <c r="H349" i="21"/>
  <c r="D349" i="21"/>
  <c r="U349" i="21"/>
  <c r="G349" i="21"/>
  <c r="S357" i="21"/>
  <c r="R357" i="21" s="1"/>
  <c r="M357" i="21"/>
  <c r="H357" i="21"/>
  <c r="D357" i="21"/>
  <c r="U357" i="21"/>
  <c r="L357" i="21"/>
  <c r="G357" i="21"/>
  <c r="C357" i="21"/>
  <c r="K357" i="21"/>
  <c r="B357" i="21"/>
  <c r="X357" i="21"/>
  <c r="AJ365" i="21"/>
  <c r="J371" i="21"/>
  <c r="D371" i="21"/>
  <c r="Q371" i="21"/>
  <c r="E371" i="21"/>
  <c r="N371" i="21"/>
  <c r="U375" i="21"/>
  <c r="I375" i="21"/>
  <c r="Q375" i="21"/>
  <c r="E375" i="21"/>
  <c r="N375" i="21"/>
  <c r="D375" i="21"/>
  <c r="L383" i="21"/>
  <c r="D383" i="21"/>
  <c r="Q383" i="21"/>
  <c r="B383" i="21"/>
  <c r="J383" i="21"/>
  <c r="U383" i="21"/>
  <c r="S383" i="21"/>
  <c r="S410" i="21"/>
  <c r="U410" i="21"/>
  <c r="AJ410" i="21" s="1"/>
  <c r="P410" i="21"/>
  <c r="I410" i="21"/>
  <c r="E410" i="21"/>
  <c r="R410" i="21"/>
  <c r="K410" i="21"/>
  <c r="D410" i="21"/>
  <c r="X410" i="21"/>
  <c r="Q410" i="21"/>
  <c r="H410" i="21"/>
  <c r="C410" i="21"/>
  <c r="AG410" i="21" s="1"/>
  <c r="M410" i="21"/>
  <c r="B410" i="21"/>
  <c r="L410" i="21"/>
  <c r="S378" i="21"/>
  <c r="R378" i="21" s="1"/>
  <c r="U378" i="21"/>
  <c r="L378" i="21"/>
  <c r="G378" i="21"/>
  <c r="Z378" i="21" s="1"/>
  <c r="AA378" i="21" s="1"/>
  <c r="AC378" i="21" s="1"/>
  <c r="C378" i="21"/>
  <c r="AF378" i="21" s="1"/>
  <c r="K378" i="21"/>
  <c r="E378" i="21"/>
  <c r="Q378" i="21"/>
  <c r="I378" i="21"/>
  <c r="D378" i="21"/>
  <c r="X378" i="21"/>
  <c r="S382" i="21"/>
  <c r="M382" i="21"/>
  <c r="H382" i="21"/>
  <c r="D382" i="21"/>
  <c r="Q382" i="21"/>
  <c r="I382" i="21"/>
  <c r="C382" i="21"/>
  <c r="AH382" i="21" s="1"/>
  <c r="P382" i="21"/>
  <c r="G382" i="21"/>
  <c r="B382" i="21"/>
  <c r="X382" i="21"/>
  <c r="K392" i="21"/>
  <c r="N392" i="21"/>
  <c r="K400" i="21"/>
  <c r="N400" i="21"/>
  <c r="S427" i="21"/>
  <c r="Q427" i="21"/>
  <c r="H427" i="21"/>
  <c r="C427" i="21"/>
  <c r="AG427" i="21" s="1"/>
  <c r="X427" i="21"/>
  <c r="P427" i="21"/>
  <c r="G427" i="21"/>
  <c r="W427" i="21" s="1"/>
  <c r="B427" i="21"/>
  <c r="T427" i="21"/>
  <c r="AJ427" i="21" s="1"/>
  <c r="D427" i="21"/>
  <c r="L427" i="21"/>
  <c r="S428" i="21"/>
  <c r="U428" i="21"/>
  <c r="P428" i="21"/>
  <c r="I428" i="21"/>
  <c r="E428" i="21"/>
  <c r="T428" i="21"/>
  <c r="AJ428" i="21" s="1"/>
  <c r="M428" i="21"/>
  <c r="H428" i="21"/>
  <c r="D428" i="21"/>
  <c r="X428" i="21"/>
  <c r="L428" i="21"/>
  <c r="C428" i="21"/>
  <c r="AG428" i="21" s="1"/>
  <c r="V428" i="21"/>
  <c r="K428" i="21"/>
  <c r="B428" i="21"/>
  <c r="S441" i="21"/>
  <c r="I441" i="21"/>
  <c r="M441" i="21"/>
  <c r="B441" i="21"/>
  <c r="J441" i="21"/>
  <c r="E441" i="21"/>
  <c r="V441" i="21"/>
  <c r="M291" i="21"/>
  <c r="M299" i="21"/>
  <c r="L304" i="21"/>
  <c r="K309" i="21"/>
  <c r="Q309" i="21"/>
  <c r="X309" i="21"/>
  <c r="M315" i="21"/>
  <c r="M323" i="21"/>
  <c r="L328" i="21"/>
  <c r="R329" i="21"/>
  <c r="K329" i="21"/>
  <c r="Q329" i="21"/>
  <c r="N338" i="21"/>
  <c r="U342" i="21"/>
  <c r="D342" i="21"/>
  <c r="U347" i="21"/>
  <c r="I347" i="21"/>
  <c r="C347" i="21"/>
  <c r="P347" i="21"/>
  <c r="G347" i="21"/>
  <c r="Z347" i="21" s="1"/>
  <c r="AA347" i="21" s="1"/>
  <c r="AC347" i="21" s="1"/>
  <c r="B347" i="21"/>
  <c r="S352" i="21"/>
  <c r="Q352" i="21"/>
  <c r="D352" i="21"/>
  <c r="L352" i="21"/>
  <c r="AJ353" i="21"/>
  <c r="X362" i="21"/>
  <c r="L362" i="21"/>
  <c r="E362" i="21"/>
  <c r="U362" i="21"/>
  <c r="I362" i="21"/>
  <c r="D362" i="21"/>
  <c r="S369" i="21"/>
  <c r="R369" i="21" s="1"/>
  <c r="M369" i="21"/>
  <c r="H369" i="21"/>
  <c r="D369" i="21"/>
  <c r="U369" i="21"/>
  <c r="K369" i="21"/>
  <c r="E369" i="21"/>
  <c r="Q369" i="21"/>
  <c r="I369" i="21"/>
  <c r="C369" i="21"/>
  <c r="AI369" i="21" s="1"/>
  <c r="X369" i="21"/>
  <c r="P377" i="21"/>
  <c r="U377" i="21"/>
  <c r="J377" i="21"/>
  <c r="H378" i="21"/>
  <c r="K382" i="21"/>
  <c r="J387" i="21"/>
  <c r="B387" i="21"/>
  <c r="M387" i="21"/>
  <c r="H387" i="21"/>
  <c r="S407" i="21"/>
  <c r="H407" i="21"/>
  <c r="M407" i="21"/>
  <c r="B407" i="21"/>
  <c r="J407" i="21"/>
  <c r="S414" i="21"/>
  <c r="X414" i="21"/>
  <c r="R414" i="21"/>
  <c r="L414" i="21"/>
  <c r="G414" i="21"/>
  <c r="W414" i="21" s="1"/>
  <c r="C414" i="21"/>
  <c r="AG414" i="21" s="1"/>
  <c r="Q414" i="21"/>
  <c r="I414" i="21"/>
  <c r="D414" i="21"/>
  <c r="V414" i="21"/>
  <c r="P414" i="21"/>
  <c r="H414" i="21"/>
  <c r="B414" i="21"/>
  <c r="U414" i="21"/>
  <c r="AJ414" i="21" s="1"/>
  <c r="K427" i="21"/>
  <c r="G428" i="21"/>
  <c r="Z428" i="21" s="1"/>
  <c r="AA428" i="21" s="1"/>
  <c r="AC428" i="21" s="1"/>
  <c r="V429" i="21"/>
  <c r="E429" i="21"/>
  <c r="N429" i="21"/>
  <c r="M429" i="21"/>
  <c r="S432" i="21"/>
  <c r="T432" i="21"/>
  <c r="AJ432" i="21" s="1"/>
  <c r="M432" i="21"/>
  <c r="H432" i="21"/>
  <c r="D432" i="21"/>
  <c r="X432" i="21"/>
  <c r="R432" i="21"/>
  <c r="L432" i="21"/>
  <c r="G432" i="21"/>
  <c r="W432" i="21" s="1"/>
  <c r="C432" i="21"/>
  <c r="P432" i="21"/>
  <c r="E432" i="21"/>
  <c r="V432" i="21"/>
  <c r="K432" i="21"/>
  <c r="B432" i="21"/>
  <c r="R441" i="21"/>
  <c r="L332" i="21"/>
  <c r="R337" i="21"/>
  <c r="K337" i="21"/>
  <c r="Q337" i="21"/>
  <c r="L340" i="21"/>
  <c r="E345" i="21"/>
  <c r="I345" i="21"/>
  <c r="P345" i="21"/>
  <c r="R345" i="21" s="1"/>
  <c r="X345" i="21"/>
  <c r="D350" i="21"/>
  <c r="L350" i="21"/>
  <c r="M351" i="21"/>
  <c r="K353" i="21"/>
  <c r="Q353" i="21"/>
  <c r="V353" i="21"/>
  <c r="B354" i="21"/>
  <c r="K361" i="21"/>
  <c r="Q361" i="21"/>
  <c r="V361" i="21"/>
  <c r="E363" i="21"/>
  <c r="K365" i="21"/>
  <c r="Q365" i="21"/>
  <c r="V365" i="21"/>
  <c r="E372" i="21"/>
  <c r="S374" i="21"/>
  <c r="R374" i="21" s="1"/>
  <c r="M374" i="21"/>
  <c r="H374" i="21"/>
  <c r="D374" i="21"/>
  <c r="L374" i="21"/>
  <c r="X374" i="21"/>
  <c r="E379" i="21"/>
  <c r="U381" i="21"/>
  <c r="D381" i="21"/>
  <c r="S386" i="21"/>
  <c r="R386" i="21" s="1"/>
  <c r="U386" i="21"/>
  <c r="L386" i="21"/>
  <c r="G386" i="21"/>
  <c r="C386" i="21"/>
  <c r="AH386" i="21" s="1"/>
  <c r="M386" i="21"/>
  <c r="X386" i="21"/>
  <c r="S390" i="21"/>
  <c r="R390" i="21" s="1"/>
  <c r="U390" i="21"/>
  <c r="M390" i="21"/>
  <c r="H390" i="21"/>
  <c r="D390" i="21"/>
  <c r="L390" i="21"/>
  <c r="J391" i="21"/>
  <c r="B391" i="21"/>
  <c r="S391" i="21"/>
  <c r="S395" i="21"/>
  <c r="H395" i="21"/>
  <c r="V395" i="21"/>
  <c r="E398" i="21"/>
  <c r="K398" i="21"/>
  <c r="J399" i="21"/>
  <c r="B399" i="21"/>
  <c r="S399" i="21"/>
  <c r="S403" i="21"/>
  <c r="H403" i="21"/>
  <c r="X411" i="21"/>
  <c r="Q411" i="21"/>
  <c r="H411" i="21"/>
  <c r="B411" i="21"/>
  <c r="R411" i="21"/>
  <c r="E424" i="21"/>
  <c r="T426" i="21"/>
  <c r="J426" i="21"/>
  <c r="B426" i="21"/>
  <c r="S426" i="21"/>
  <c r="G426" i="21"/>
  <c r="Z426" i="21" s="1"/>
  <c r="AA426" i="21" s="1"/>
  <c r="AC426" i="21" s="1"/>
  <c r="S436" i="21"/>
  <c r="T436" i="21"/>
  <c r="AJ436" i="21" s="1"/>
  <c r="M436" i="21"/>
  <c r="H436" i="21"/>
  <c r="D436" i="21"/>
  <c r="X436" i="21"/>
  <c r="R436" i="21"/>
  <c r="L436" i="21"/>
  <c r="G436" i="21"/>
  <c r="W436" i="21" s="1"/>
  <c r="C436" i="21"/>
  <c r="AG436" i="21" s="1"/>
  <c r="Q436" i="21"/>
  <c r="S443" i="21"/>
  <c r="T443" i="21"/>
  <c r="K443" i="21"/>
  <c r="D443" i="21"/>
  <c r="U443" i="21"/>
  <c r="H443" i="21"/>
  <c r="B443" i="21"/>
  <c r="Q443" i="21"/>
  <c r="G443" i="21"/>
  <c r="W443" i="21" s="1"/>
  <c r="X450" i="21"/>
  <c r="K450" i="21"/>
  <c r="C450" i="21"/>
  <c r="AH450" i="21" s="1"/>
  <c r="T450" i="21"/>
  <c r="J450" i="21"/>
  <c r="B450" i="21"/>
  <c r="S450" i="21"/>
  <c r="P450" i="21"/>
  <c r="S466" i="21"/>
  <c r="U466" i="21"/>
  <c r="P466" i="21"/>
  <c r="I466" i="21"/>
  <c r="E466" i="21"/>
  <c r="T466" i="21"/>
  <c r="AJ466" i="21" s="1"/>
  <c r="M466" i="21"/>
  <c r="H466" i="21"/>
  <c r="D466" i="21"/>
  <c r="V466" i="21"/>
  <c r="K466" i="21"/>
  <c r="B466" i="21"/>
  <c r="R466" i="21"/>
  <c r="G466" i="21"/>
  <c r="K345" i="21"/>
  <c r="Q345" i="21"/>
  <c r="U367" i="21"/>
  <c r="I367" i="21"/>
  <c r="U373" i="21"/>
  <c r="D373" i="21"/>
  <c r="J379" i="21"/>
  <c r="D379" i="21"/>
  <c r="U379" i="21"/>
  <c r="S398" i="21"/>
  <c r="R398" i="21" s="1"/>
  <c r="U398" i="21"/>
  <c r="L398" i="21"/>
  <c r="G398" i="21"/>
  <c r="C398" i="21"/>
  <c r="AI398" i="21" s="1"/>
  <c r="M398" i="21"/>
  <c r="X398" i="21"/>
  <c r="V412" i="21"/>
  <c r="S412" i="21"/>
  <c r="T413" i="21"/>
  <c r="J413" i="21"/>
  <c r="S424" i="21"/>
  <c r="T424" i="21"/>
  <c r="AJ424" i="21" s="1"/>
  <c r="M424" i="21"/>
  <c r="H424" i="21"/>
  <c r="D424" i="21"/>
  <c r="X424" i="21"/>
  <c r="R424" i="21"/>
  <c r="L424" i="21"/>
  <c r="G424" i="21"/>
  <c r="W424" i="21" s="1"/>
  <c r="C424" i="21"/>
  <c r="AG424" i="21" s="1"/>
  <c r="Q424" i="21"/>
  <c r="N437" i="21"/>
  <c r="M437" i="21"/>
  <c r="K394" i="21"/>
  <c r="Q394" i="21"/>
  <c r="K402" i="21"/>
  <c r="Q402" i="21"/>
  <c r="K406" i="21"/>
  <c r="Q406" i="21"/>
  <c r="E415" i="21"/>
  <c r="L415" i="21"/>
  <c r="U415" i="21"/>
  <c r="E416" i="21"/>
  <c r="M416" i="21"/>
  <c r="K418" i="21"/>
  <c r="K420" i="21"/>
  <c r="Q420" i="21"/>
  <c r="V420" i="21"/>
  <c r="L431" i="21"/>
  <c r="U431" i="21"/>
  <c r="AJ431" i="21" s="1"/>
  <c r="L435" i="21"/>
  <c r="U435" i="21"/>
  <c r="AJ435" i="21" s="1"/>
  <c r="D439" i="21"/>
  <c r="K439" i="21"/>
  <c r="T439" i="21"/>
  <c r="K440" i="21"/>
  <c r="Q440" i="21"/>
  <c r="V440" i="21"/>
  <c r="AJ444" i="21"/>
  <c r="B447" i="21"/>
  <c r="S451" i="21"/>
  <c r="T451" i="21"/>
  <c r="K451" i="21"/>
  <c r="D451" i="21"/>
  <c r="Q451" i="21"/>
  <c r="H451" i="21"/>
  <c r="C451" i="21"/>
  <c r="AG451" i="21" s="1"/>
  <c r="U451" i="21"/>
  <c r="E454" i="21"/>
  <c r="C457" i="21"/>
  <c r="AF457" i="21" s="1"/>
  <c r="V460" i="21"/>
  <c r="J460" i="21"/>
  <c r="I460" i="21"/>
  <c r="T461" i="21"/>
  <c r="P461" i="21"/>
  <c r="B461" i="21"/>
  <c r="J461" i="21"/>
  <c r="S478" i="21"/>
  <c r="C478" i="21"/>
  <c r="K478" i="21"/>
  <c r="B478" i="21"/>
  <c r="T478" i="21"/>
  <c r="S479" i="21"/>
  <c r="Q479" i="21"/>
  <c r="H479" i="21"/>
  <c r="C479" i="21"/>
  <c r="AG479" i="21" s="1"/>
  <c r="X479" i="21"/>
  <c r="P479" i="21"/>
  <c r="G479" i="21"/>
  <c r="W479" i="21" s="1"/>
  <c r="B479" i="21"/>
  <c r="L479" i="21"/>
  <c r="K479" i="21"/>
  <c r="C480" i="21"/>
  <c r="AI480" i="21" s="1"/>
  <c r="S489" i="21"/>
  <c r="V489" i="21"/>
  <c r="P489" i="21"/>
  <c r="I489" i="21"/>
  <c r="E489" i="21"/>
  <c r="U489" i="21"/>
  <c r="M489" i="21"/>
  <c r="H489" i="21"/>
  <c r="D489" i="21"/>
  <c r="X489" i="21"/>
  <c r="K489" i="21"/>
  <c r="B489" i="21"/>
  <c r="R489" i="21"/>
  <c r="G489" i="21"/>
  <c r="M415" i="21"/>
  <c r="V415" i="21"/>
  <c r="L439" i="21"/>
  <c r="U439" i="21"/>
  <c r="S447" i="21"/>
  <c r="T447" i="21"/>
  <c r="K447" i="21"/>
  <c r="D447" i="21"/>
  <c r="Q447" i="21"/>
  <c r="H447" i="21"/>
  <c r="C447" i="21"/>
  <c r="AH447" i="21" s="1"/>
  <c r="U447" i="21"/>
  <c r="AF448" i="21"/>
  <c r="AH448" i="21"/>
  <c r="S454" i="21"/>
  <c r="T454" i="21"/>
  <c r="AJ454" i="21" s="1"/>
  <c r="M454" i="21"/>
  <c r="H454" i="21"/>
  <c r="D454" i="21"/>
  <c r="X454" i="21"/>
  <c r="R454" i="21"/>
  <c r="L454" i="21"/>
  <c r="G454" i="21"/>
  <c r="W454" i="21" s="1"/>
  <c r="C454" i="21"/>
  <c r="AG454" i="21" s="1"/>
  <c r="Q454" i="21"/>
  <c r="T457" i="21"/>
  <c r="J457" i="21"/>
  <c r="B457" i="21"/>
  <c r="S457" i="21"/>
  <c r="G457" i="21"/>
  <c r="Z457" i="21" s="1"/>
  <c r="AA457" i="21" s="1"/>
  <c r="AC457" i="21" s="1"/>
  <c r="S465" i="21"/>
  <c r="K465" i="21"/>
  <c r="B465" i="21"/>
  <c r="X465" i="21"/>
  <c r="G465" i="21"/>
  <c r="Z465" i="21" s="1"/>
  <c r="AA465" i="21" s="1"/>
  <c r="AC465" i="21" s="1"/>
  <c r="X467" i="21"/>
  <c r="U467" i="21"/>
  <c r="L467" i="21"/>
  <c r="E467" i="21"/>
  <c r="R467" i="21"/>
  <c r="I467" i="21"/>
  <c r="D467" i="21"/>
  <c r="M467" i="21"/>
  <c r="H467" i="21"/>
  <c r="W470" i="21"/>
  <c r="Z470" i="21"/>
  <c r="AA470" i="21" s="1"/>
  <c r="AC470" i="21" s="1"/>
  <c r="S477" i="21"/>
  <c r="E477" i="21"/>
  <c r="M477" i="21"/>
  <c r="B477" i="21"/>
  <c r="V477" i="21"/>
  <c r="AJ479" i="21"/>
  <c r="S480" i="21"/>
  <c r="U480" i="21"/>
  <c r="P480" i="21"/>
  <c r="I480" i="21"/>
  <c r="E480" i="21"/>
  <c r="T480" i="21"/>
  <c r="AJ480" i="21" s="1"/>
  <c r="M480" i="21"/>
  <c r="H480" i="21"/>
  <c r="D480" i="21"/>
  <c r="V480" i="21"/>
  <c r="K480" i="21"/>
  <c r="B480" i="21"/>
  <c r="R480" i="21"/>
  <c r="G480" i="21"/>
  <c r="W480" i="21" s="1"/>
  <c r="U484" i="21"/>
  <c r="T484" i="21"/>
  <c r="H484" i="21"/>
  <c r="B484" i="21"/>
  <c r="S484" i="21"/>
  <c r="G484" i="21"/>
  <c r="W484" i="21" s="1"/>
  <c r="N484" i="21"/>
  <c r="L484" i="21"/>
  <c r="L489" i="21"/>
  <c r="K444" i="21"/>
  <c r="Q444" i="21"/>
  <c r="V444" i="21"/>
  <c r="E448" i="21"/>
  <c r="I448" i="21"/>
  <c r="P448" i="21"/>
  <c r="U448" i="21"/>
  <c r="AJ448" i="21" s="1"/>
  <c r="E452" i="21"/>
  <c r="I452" i="21"/>
  <c r="P452" i="21"/>
  <c r="U452" i="21"/>
  <c r="AJ452" i="21" s="1"/>
  <c r="B453" i="21"/>
  <c r="S453" i="21"/>
  <c r="E455" i="21"/>
  <c r="L455" i="21"/>
  <c r="U455" i="21"/>
  <c r="E456" i="21"/>
  <c r="M456" i="21"/>
  <c r="K458" i="21"/>
  <c r="Q458" i="21"/>
  <c r="V458" i="21"/>
  <c r="M459" i="21"/>
  <c r="V459" i="21"/>
  <c r="E462" i="21"/>
  <c r="I462" i="21"/>
  <c r="P462" i="21"/>
  <c r="U462" i="21"/>
  <c r="AJ462" i="21" s="1"/>
  <c r="E472" i="21"/>
  <c r="D475" i="21"/>
  <c r="E476" i="21"/>
  <c r="P476" i="21"/>
  <c r="X494" i="21"/>
  <c r="U494" i="21"/>
  <c r="L494" i="21"/>
  <c r="E494" i="21"/>
  <c r="R494" i="21"/>
  <c r="I494" i="21"/>
  <c r="D494" i="21"/>
  <c r="Q494" i="21"/>
  <c r="H494" i="21"/>
  <c r="B494" i="21"/>
  <c r="K448" i="21"/>
  <c r="Q448" i="21"/>
  <c r="V448" i="21"/>
  <c r="K452" i="21"/>
  <c r="Q452" i="21"/>
  <c r="V452" i="21"/>
  <c r="X453" i="21"/>
  <c r="M455" i="21"/>
  <c r="V455" i="21"/>
  <c r="K462" i="21"/>
  <c r="Q462" i="21"/>
  <c r="V462" i="21"/>
  <c r="S469" i="21"/>
  <c r="P469" i="21"/>
  <c r="C469" i="21"/>
  <c r="AF469" i="21" s="1"/>
  <c r="K469" i="21"/>
  <c r="B469" i="21"/>
  <c r="S472" i="21"/>
  <c r="T472" i="21"/>
  <c r="AJ472" i="21" s="1"/>
  <c r="M472" i="21"/>
  <c r="H472" i="21"/>
  <c r="D472" i="21"/>
  <c r="X472" i="21"/>
  <c r="R472" i="21"/>
  <c r="L472" i="21"/>
  <c r="G472" i="21"/>
  <c r="W472" i="21" s="1"/>
  <c r="C472" i="21"/>
  <c r="AI472" i="21" s="1"/>
  <c r="Q472" i="21"/>
  <c r="T474" i="21"/>
  <c r="P474" i="21"/>
  <c r="G474" i="21"/>
  <c r="Z474" i="21" s="1"/>
  <c r="AA474" i="21" s="1"/>
  <c r="AC474" i="21" s="1"/>
  <c r="S475" i="21"/>
  <c r="Q475" i="21"/>
  <c r="H475" i="21"/>
  <c r="C475" i="21"/>
  <c r="AI475" i="21" s="1"/>
  <c r="X475" i="21"/>
  <c r="P475" i="21"/>
  <c r="G475" i="21"/>
  <c r="W475" i="21" s="1"/>
  <c r="B475" i="21"/>
  <c r="U475" i="21"/>
  <c r="AJ475" i="21" s="1"/>
  <c r="S476" i="21"/>
  <c r="T476" i="21"/>
  <c r="AJ476" i="21" s="1"/>
  <c r="M476" i="21"/>
  <c r="H476" i="21"/>
  <c r="D476" i="21"/>
  <c r="X476" i="21"/>
  <c r="R476" i="21"/>
  <c r="L476" i="21"/>
  <c r="G476" i="21"/>
  <c r="C476" i="21"/>
  <c r="AF476" i="21" s="1"/>
  <c r="Q476" i="21"/>
  <c r="M482" i="21"/>
  <c r="S482" i="21"/>
  <c r="V487" i="21"/>
  <c r="X487" i="21"/>
  <c r="M487" i="21"/>
  <c r="C487" i="21"/>
  <c r="AG487" i="21" s="1"/>
  <c r="T487" i="21"/>
  <c r="I487" i="21"/>
  <c r="B487" i="21"/>
  <c r="M494" i="21"/>
  <c r="E470" i="21"/>
  <c r="I470" i="21"/>
  <c r="P470" i="21"/>
  <c r="U470" i="21"/>
  <c r="AJ470" i="21" s="1"/>
  <c r="E471" i="21"/>
  <c r="L471" i="21"/>
  <c r="U471" i="21"/>
  <c r="E481" i="21"/>
  <c r="I481" i="21"/>
  <c r="P481" i="21"/>
  <c r="U481" i="21"/>
  <c r="AJ481" i="21" s="1"/>
  <c r="N483" i="21"/>
  <c r="E485" i="21"/>
  <c r="I485" i="21"/>
  <c r="P485" i="21"/>
  <c r="U485" i="21"/>
  <c r="AJ485" i="21" s="1"/>
  <c r="C488" i="21"/>
  <c r="AG488" i="21" s="1"/>
  <c r="L488" i="21"/>
  <c r="X488" i="21"/>
  <c r="B492" i="21"/>
  <c r="N492" i="21"/>
  <c r="K493" i="21"/>
  <c r="Q493" i="21"/>
  <c r="V493" i="21"/>
  <c r="B496" i="21"/>
  <c r="K496" i="21"/>
  <c r="E497" i="21"/>
  <c r="I497" i="21"/>
  <c r="P497" i="21"/>
  <c r="U497" i="21"/>
  <c r="AJ497" i="21" s="1"/>
  <c r="AG497" i="21"/>
  <c r="E498" i="21"/>
  <c r="L498" i="21"/>
  <c r="U498" i="21"/>
  <c r="K470" i="21"/>
  <c r="Q470" i="21"/>
  <c r="V470" i="21"/>
  <c r="M471" i="21"/>
  <c r="V471" i="21"/>
  <c r="K481" i="21"/>
  <c r="Q481" i="21"/>
  <c r="V481" i="21"/>
  <c r="K485" i="21"/>
  <c r="Q485" i="21"/>
  <c r="V485" i="21"/>
  <c r="N488" i="21"/>
  <c r="Q492" i="21"/>
  <c r="C496" i="21"/>
  <c r="AG496" i="21" s="1"/>
  <c r="P496" i="21"/>
  <c r="K497" i="21"/>
  <c r="Q497" i="21"/>
  <c r="V497" i="21"/>
  <c r="M498" i="21"/>
  <c r="V498" i="21"/>
  <c r="T496" i="21"/>
  <c r="AG43" i="21"/>
  <c r="AG56" i="21"/>
  <c r="AG297" i="21"/>
  <c r="W452" i="21"/>
  <c r="Z452" i="21"/>
  <c r="AA452" i="21" s="1"/>
  <c r="AC452" i="21" s="1"/>
  <c r="W462" i="21"/>
  <c r="Z462" i="21"/>
  <c r="AA462" i="21" s="1"/>
  <c r="AC462" i="21" s="1"/>
  <c r="AF435" i="21"/>
  <c r="AF451" i="21"/>
  <c r="AH34" i="21"/>
  <c r="AG39" i="21"/>
  <c r="R44" i="21"/>
  <c r="AF44" i="21"/>
  <c r="AG47" i="21"/>
  <c r="R87" i="21"/>
  <c r="AH89" i="21"/>
  <c r="R137" i="21"/>
  <c r="AH174" i="21"/>
  <c r="AH226" i="21"/>
  <c r="AI279" i="21"/>
  <c r="AH279" i="21"/>
  <c r="AF279" i="21"/>
  <c r="AF428" i="21"/>
  <c r="W428" i="21"/>
  <c r="AF444" i="21"/>
  <c r="AH444" i="21"/>
  <c r="AG444" i="21"/>
  <c r="W444" i="21"/>
  <c r="Z444" i="21"/>
  <c r="AA444" i="21" s="1"/>
  <c r="AC444" i="21" s="1"/>
  <c r="AI287" i="21"/>
  <c r="AH436" i="21"/>
  <c r="AG452" i="21"/>
  <c r="AH452" i="21"/>
  <c r="AH75" i="21"/>
  <c r="R121" i="21"/>
  <c r="AG175" i="21"/>
  <c r="AG178" i="21"/>
  <c r="R210" i="21"/>
  <c r="AH283" i="21"/>
  <c r="Z56" i="21"/>
  <c r="AA56" i="21" s="1"/>
  <c r="AC56" i="21" s="1"/>
  <c r="R73" i="21"/>
  <c r="AH73" i="21"/>
  <c r="R77" i="21"/>
  <c r="AG329" i="21"/>
  <c r="AG332" i="21"/>
  <c r="AI337" i="21"/>
  <c r="AH337" i="21"/>
  <c r="W410" i="21"/>
  <c r="Z410" i="21"/>
  <c r="AA410" i="21" s="1"/>
  <c r="AC410" i="21" s="1"/>
  <c r="AF443" i="21"/>
  <c r="AF313" i="21"/>
  <c r="AG336" i="21"/>
  <c r="AG340" i="21"/>
  <c r="R402" i="21"/>
  <c r="R406" i="21"/>
  <c r="AJ420" i="21"/>
  <c r="AG466" i="21"/>
  <c r="AF493" i="21"/>
  <c r="R81" i="21"/>
  <c r="R89" i="21"/>
  <c r="AG194" i="21"/>
  <c r="R238" i="21"/>
  <c r="R258" i="21"/>
  <c r="AF258" i="21"/>
  <c r="AF293" i="21"/>
  <c r="AG313" i="21"/>
  <c r="AF374" i="21"/>
  <c r="AJ440" i="21"/>
  <c r="Z440" i="21"/>
  <c r="AA440" i="21" s="1"/>
  <c r="AC440" i="21" s="1"/>
  <c r="Z448" i="21"/>
  <c r="AA448" i="21" s="1"/>
  <c r="AC448" i="21" s="1"/>
  <c r="Z475" i="21"/>
  <c r="AA475" i="21" s="1"/>
  <c r="AC475" i="21" s="1"/>
  <c r="AF202" i="21"/>
  <c r="AF309" i="21"/>
  <c r="AG65" i="21"/>
  <c r="AF65" i="21"/>
  <c r="AH65" i="21"/>
  <c r="X33" i="21"/>
  <c r="P33" i="21"/>
  <c r="K33" i="21"/>
  <c r="G33" i="21"/>
  <c r="C33" i="21"/>
  <c r="L33" i="21"/>
  <c r="X37" i="21"/>
  <c r="P37" i="21"/>
  <c r="K37" i="21"/>
  <c r="G37" i="21"/>
  <c r="C37" i="21"/>
  <c r="L37" i="21"/>
  <c r="X49" i="21"/>
  <c r="P49" i="21"/>
  <c r="K49" i="21"/>
  <c r="G49" i="21"/>
  <c r="C49" i="21"/>
  <c r="L49" i="21"/>
  <c r="AG32" i="21"/>
  <c r="B33" i="21"/>
  <c r="H33" i="21"/>
  <c r="M33" i="21"/>
  <c r="S33" i="21"/>
  <c r="AA33" i="21"/>
  <c r="AC33" i="21" s="1"/>
  <c r="Z39" i="21"/>
  <c r="AA39" i="21" s="1"/>
  <c r="AC39" i="21" s="1"/>
  <c r="AI39" i="21"/>
  <c r="AH51" i="21"/>
  <c r="AG51" i="21"/>
  <c r="Z51" i="21"/>
  <c r="AA51" i="21" s="1"/>
  <c r="AC51" i="21" s="1"/>
  <c r="I54" i="21"/>
  <c r="G55" i="21"/>
  <c r="AI59" i="21"/>
  <c r="AH59" i="21"/>
  <c r="AF59" i="21"/>
  <c r="Z63" i="21"/>
  <c r="AA63" i="21" s="1"/>
  <c r="AC63" i="21" s="1"/>
  <c r="AH66" i="21"/>
  <c r="AF66" i="21"/>
  <c r="AG66" i="21"/>
  <c r="AG69" i="21"/>
  <c r="AF69" i="21"/>
  <c r="AH69" i="21"/>
  <c r="M72" i="21"/>
  <c r="I72" i="21"/>
  <c r="E72" i="21"/>
  <c r="X72" i="21"/>
  <c r="P72" i="21"/>
  <c r="K72" i="21"/>
  <c r="G72" i="21"/>
  <c r="C72" i="21"/>
  <c r="S72" i="21"/>
  <c r="R72" i="21" s="1"/>
  <c r="J72" i="21"/>
  <c r="B72" i="21"/>
  <c r="Q72" i="21"/>
  <c r="H72" i="21"/>
  <c r="U72" i="21"/>
  <c r="L72" i="21"/>
  <c r="D72" i="21"/>
  <c r="X45" i="21"/>
  <c r="P45" i="21"/>
  <c r="K45" i="21"/>
  <c r="G45" i="21"/>
  <c r="C45" i="21"/>
  <c r="Z47" i="21"/>
  <c r="AA47" i="21" s="1"/>
  <c r="AC47" i="21" s="1"/>
  <c r="AI47" i="21"/>
  <c r="B49" i="21"/>
  <c r="AA32" i="21"/>
  <c r="U32" i="21"/>
  <c r="Q32" i="21"/>
  <c r="L32" i="21"/>
  <c r="H32" i="21"/>
  <c r="D32" i="21"/>
  <c r="K32" i="21"/>
  <c r="I33" i="21"/>
  <c r="U33" i="21"/>
  <c r="B36" i="21"/>
  <c r="L36" i="21"/>
  <c r="I37" i="21"/>
  <c r="U37" i="21"/>
  <c r="N41" i="21"/>
  <c r="AH44" i="21"/>
  <c r="N45" i="21"/>
  <c r="I49" i="21"/>
  <c r="AI67" i="21"/>
  <c r="AH67" i="21"/>
  <c r="AF67" i="21"/>
  <c r="AF70" i="21"/>
  <c r="X41" i="21"/>
  <c r="P41" i="21"/>
  <c r="K41" i="21"/>
  <c r="G41" i="21"/>
  <c r="C41" i="21"/>
  <c r="L41" i="21"/>
  <c r="U54" i="21"/>
  <c r="Q54" i="21"/>
  <c r="L54" i="21"/>
  <c r="H54" i="21"/>
  <c r="D54" i="21"/>
  <c r="X54" i="21"/>
  <c r="P54" i="21"/>
  <c r="K54" i="21"/>
  <c r="G54" i="21"/>
  <c r="C54" i="21"/>
  <c r="N54" i="21"/>
  <c r="M55" i="21"/>
  <c r="I55" i="21"/>
  <c r="E55" i="21"/>
  <c r="U55" i="21"/>
  <c r="Q55" i="21"/>
  <c r="L55" i="21"/>
  <c r="H55" i="21"/>
  <c r="D55" i="21"/>
  <c r="S55" i="21"/>
  <c r="N55" i="21"/>
  <c r="J55" i="21"/>
  <c r="U58" i="21"/>
  <c r="Q58" i="21"/>
  <c r="L58" i="21"/>
  <c r="H58" i="21"/>
  <c r="D58" i="21"/>
  <c r="X58" i="21"/>
  <c r="P58" i="21"/>
  <c r="K58" i="21"/>
  <c r="G58" i="21"/>
  <c r="C58" i="21"/>
  <c r="M58" i="21"/>
  <c r="I58" i="21"/>
  <c r="E58" i="21"/>
  <c r="M36" i="21"/>
  <c r="I36" i="21"/>
  <c r="E36" i="21"/>
  <c r="K36" i="21"/>
  <c r="Q36" i="21"/>
  <c r="B37" i="21"/>
  <c r="H37" i="21"/>
  <c r="M37" i="21"/>
  <c r="S37" i="21"/>
  <c r="AG40" i="21"/>
  <c r="B41" i="21"/>
  <c r="H41" i="21"/>
  <c r="M41" i="21"/>
  <c r="S41" i="21"/>
  <c r="Z43" i="21"/>
  <c r="AA43" i="21" s="1"/>
  <c r="AC43" i="21" s="1"/>
  <c r="AI43" i="21"/>
  <c r="AG44" i="21"/>
  <c r="B45" i="21"/>
  <c r="H45" i="21"/>
  <c r="M45" i="21"/>
  <c r="S45" i="21"/>
  <c r="H49" i="21"/>
  <c r="M49" i="21"/>
  <c r="S49" i="21"/>
  <c r="AC31" i="21"/>
  <c r="AH32" i="21"/>
  <c r="D33" i="21"/>
  <c r="N33" i="21"/>
  <c r="X35" i="21"/>
  <c r="P35" i="21"/>
  <c r="K35" i="21"/>
  <c r="G35" i="21"/>
  <c r="C35" i="21"/>
  <c r="L35" i="21"/>
  <c r="G36" i="21"/>
  <c r="S36" i="21"/>
  <c r="R36" i="21" s="1"/>
  <c r="D37" i="21"/>
  <c r="N37" i="21"/>
  <c r="Z40" i="21"/>
  <c r="AA40" i="21" s="1"/>
  <c r="AC40" i="21" s="1"/>
  <c r="AH40" i="21"/>
  <c r="D41" i="21"/>
  <c r="I41" i="21"/>
  <c r="U41" i="21"/>
  <c r="Z44" i="21"/>
  <c r="AA44" i="21" s="1"/>
  <c r="AC44" i="21" s="1"/>
  <c r="D45" i="21"/>
  <c r="I45" i="21"/>
  <c r="U45" i="21"/>
  <c r="D49" i="21"/>
  <c r="N49" i="21"/>
  <c r="U49" i="21"/>
  <c r="B54" i="21"/>
  <c r="J54" i="21"/>
  <c r="S54" i="21"/>
  <c r="B55" i="21"/>
  <c r="K55" i="21"/>
  <c r="N58" i="21"/>
  <c r="AI65" i="21"/>
  <c r="AG67" i="21"/>
  <c r="S31" i="21"/>
  <c r="K31" i="21"/>
  <c r="G31" i="21"/>
  <c r="C31" i="21"/>
  <c r="L31" i="21"/>
  <c r="Q31" i="21"/>
  <c r="B32" i="21"/>
  <c r="G32" i="21"/>
  <c r="M32" i="21"/>
  <c r="S32" i="21"/>
  <c r="R32" i="21" s="1"/>
  <c r="X32" i="21"/>
  <c r="E33" i="21"/>
  <c r="J33" i="21"/>
  <c r="Q33" i="21"/>
  <c r="R34" i="21"/>
  <c r="M34" i="21"/>
  <c r="I34" i="21"/>
  <c r="E34" i="21"/>
  <c r="K34" i="21"/>
  <c r="Q34" i="21"/>
  <c r="B35" i="21"/>
  <c r="H35" i="21"/>
  <c r="M35" i="21"/>
  <c r="S35" i="21"/>
  <c r="AA35" i="21"/>
  <c r="AC35" i="21" s="1"/>
  <c r="C36" i="21"/>
  <c r="H36" i="21"/>
  <c r="N36" i="21"/>
  <c r="AA36" i="21"/>
  <c r="AC36" i="21" s="1"/>
  <c r="E37" i="21"/>
  <c r="J37" i="21"/>
  <c r="Q37" i="21"/>
  <c r="U38" i="21"/>
  <c r="Q38" i="21"/>
  <c r="L38" i="21"/>
  <c r="H38" i="21"/>
  <c r="D38" i="21"/>
  <c r="K38" i="21"/>
  <c r="R38" i="21"/>
  <c r="AF38" i="21"/>
  <c r="M39" i="21"/>
  <c r="I39" i="21"/>
  <c r="E39" i="21"/>
  <c r="K39" i="21"/>
  <c r="Q39" i="21"/>
  <c r="AF39" i="21"/>
  <c r="E41" i="21"/>
  <c r="J41" i="21"/>
  <c r="Q41" i="21"/>
  <c r="U42" i="21"/>
  <c r="Q42" i="21"/>
  <c r="L42" i="21"/>
  <c r="H42" i="21"/>
  <c r="D42" i="21"/>
  <c r="K42" i="21"/>
  <c r="R42" i="21"/>
  <c r="R43" i="21"/>
  <c r="M43" i="21"/>
  <c r="I43" i="21"/>
  <c r="E43" i="21"/>
  <c r="K43" i="21"/>
  <c r="Q43" i="21"/>
  <c r="AF43" i="21"/>
  <c r="E45" i="21"/>
  <c r="J45" i="21"/>
  <c r="Q45" i="21"/>
  <c r="U46" i="21"/>
  <c r="Q46" i="21"/>
  <c r="L46" i="21"/>
  <c r="H46" i="21"/>
  <c r="D46" i="21"/>
  <c r="K46" i="21"/>
  <c r="R46" i="21"/>
  <c r="R47" i="21"/>
  <c r="M47" i="21"/>
  <c r="I47" i="21"/>
  <c r="E47" i="21"/>
  <c r="K47" i="21"/>
  <c r="Q47" i="21"/>
  <c r="AF47" i="21"/>
  <c r="E49" i="21"/>
  <c r="J49" i="21"/>
  <c r="Q49" i="21"/>
  <c r="U50" i="21"/>
  <c r="Q50" i="21"/>
  <c r="L50" i="21"/>
  <c r="H50" i="21"/>
  <c r="D50" i="21"/>
  <c r="K50" i="21"/>
  <c r="R51" i="21"/>
  <c r="M51" i="21"/>
  <c r="I51" i="21"/>
  <c r="E51" i="21"/>
  <c r="K51" i="21"/>
  <c r="Q51" i="21"/>
  <c r="AF51" i="21"/>
  <c r="R52" i="21"/>
  <c r="E54" i="21"/>
  <c r="M54" i="21"/>
  <c r="C55" i="21"/>
  <c r="P55" i="21"/>
  <c r="B58" i="21"/>
  <c r="S58" i="21"/>
  <c r="Z59" i="21"/>
  <c r="AA59" i="21" s="1"/>
  <c r="AC59" i="21" s="1"/>
  <c r="AG61" i="21"/>
  <c r="AF61" i="21"/>
  <c r="AH61" i="21"/>
  <c r="AI66" i="21"/>
  <c r="AI69" i="21"/>
  <c r="AG71" i="21"/>
  <c r="AI71" i="21"/>
  <c r="AF71" i="21"/>
  <c r="AH71" i="21"/>
  <c r="AF56" i="21"/>
  <c r="J59" i="21"/>
  <c r="N59" i="21"/>
  <c r="S59" i="21"/>
  <c r="X60" i="21"/>
  <c r="P60" i="21"/>
  <c r="R60" i="21" s="1"/>
  <c r="K60" i="21"/>
  <c r="G60" i="21"/>
  <c r="C60" i="21"/>
  <c r="L60" i="21"/>
  <c r="X64" i="21"/>
  <c r="P64" i="21"/>
  <c r="K64" i="21"/>
  <c r="G64" i="21"/>
  <c r="C64" i="21"/>
  <c r="L64" i="21"/>
  <c r="R64" i="21"/>
  <c r="X68" i="21"/>
  <c r="P68" i="21"/>
  <c r="R68" i="21" s="1"/>
  <c r="K68" i="21"/>
  <c r="G68" i="21"/>
  <c r="C68" i="21"/>
  <c r="L68" i="21"/>
  <c r="B76" i="21"/>
  <c r="J76" i="21"/>
  <c r="Z77" i="21"/>
  <c r="AA77" i="21" s="1"/>
  <c r="AC77" i="21" s="1"/>
  <c r="X78" i="21"/>
  <c r="P78" i="21"/>
  <c r="R78" i="21" s="1"/>
  <c r="K78" i="21"/>
  <c r="G78" i="21"/>
  <c r="C78" i="21"/>
  <c r="M78" i="21"/>
  <c r="I78" i="21"/>
  <c r="E78" i="21"/>
  <c r="N78" i="21"/>
  <c r="D82" i="21"/>
  <c r="L82" i="21"/>
  <c r="AG83" i="21"/>
  <c r="M84" i="21"/>
  <c r="I84" i="21"/>
  <c r="E84" i="21"/>
  <c r="X84" i="21"/>
  <c r="P84" i="21"/>
  <c r="R84" i="21" s="1"/>
  <c r="K84" i="21"/>
  <c r="G84" i="21"/>
  <c r="C84" i="21"/>
  <c r="N84" i="21"/>
  <c r="T84" i="21" s="1"/>
  <c r="B86" i="21"/>
  <c r="J86" i="21"/>
  <c r="S86" i="21"/>
  <c r="D88" i="21"/>
  <c r="L88" i="21"/>
  <c r="AI89" i="21"/>
  <c r="AG89" i="21"/>
  <c r="M92" i="21"/>
  <c r="I92" i="21"/>
  <c r="E92" i="21"/>
  <c r="X92" i="21"/>
  <c r="S92" i="21"/>
  <c r="L92" i="21"/>
  <c r="G92" i="21"/>
  <c r="B92" i="21"/>
  <c r="U92" i="21"/>
  <c r="P92" i="21"/>
  <c r="J92" i="21"/>
  <c r="D92" i="21"/>
  <c r="Q92" i="21"/>
  <c r="AI93" i="21"/>
  <c r="AF93" i="21"/>
  <c r="AH93" i="21"/>
  <c r="Z93" i="21"/>
  <c r="AA93" i="21" s="1"/>
  <c r="AC93" i="21" s="1"/>
  <c r="K95" i="21"/>
  <c r="K96" i="21"/>
  <c r="U99" i="21"/>
  <c r="Q99" i="21"/>
  <c r="L99" i="21"/>
  <c r="H99" i="21"/>
  <c r="D99" i="21"/>
  <c r="X99" i="21"/>
  <c r="S99" i="21"/>
  <c r="M99" i="21"/>
  <c r="G99" i="21"/>
  <c r="B99" i="21"/>
  <c r="P99" i="21"/>
  <c r="J99" i="21"/>
  <c r="E99" i="21"/>
  <c r="M100" i="21"/>
  <c r="I100" i="21"/>
  <c r="E100" i="21"/>
  <c r="X100" i="21"/>
  <c r="S100" i="21"/>
  <c r="L100" i="21"/>
  <c r="G100" i="21"/>
  <c r="B100" i="21"/>
  <c r="U100" i="21"/>
  <c r="P100" i="21"/>
  <c r="J100" i="21"/>
  <c r="D100" i="21"/>
  <c r="Q100" i="21"/>
  <c r="AI101" i="21"/>
  <c r="AF101" i="21"/>
  <c r="Z101" i="21"/>
  <c r="AA101" i="21" s="1"/>
  <c r="AC101" i="21" s="1"/>
  <c r="K103" i="21"/>
  <c r="K104" i="21"/>
  <c r="U107" i="21"/>
  <c r="Q107" i="21"/>
  <c r="L107" i="21"/>
  <c r="H107" i="21"/>
  <c r="D107" i="21"/>
  <c r="X107" i="21"/>
  <c r="S107" i="21"/>
  <c r="M107" i="21"/>
  <c r="G107" i="21"/>
  <c r="B107" i="21"/>
  <c r="P107" i="21"/>
  <c r="J107" i="21"/>
  <c r="E107" i="21"/>
  <c r="M108" i="21"/>
  <c r="I108" i="21"/>
  <c r="E108" i="21"/>
  <c r="X108" i="21"/>
  <c r="S108" i="21"/>
  <c r="L108" i="21"/>
  <c r="G108" i="21"/>
  <c r="B108" i="21"/>
  <c r="U108" i="21"/>
  <c r="P108" i="21"/>
  <c r="J108" i="21"/>
  <c r="D108" i="21"/>
  <c r="Q108" i="21"/>
  <c r="AI109" i="21"/>
  <c r="AF109" i="21"/>
  <c r="AH109" i="21"/>
  <c r="Z109" i="21"/>
  <c r="AA109" i="21" s="1"/>
  <c r="AC109" i="21" s="1"/>
  <c r="K111" i="21"/>
  <c r="K112" i="21"/>
  <c r="AG123" i="21"/>
  <c r="AH123" i="21"/>
  <c r="AF123" i="21"/>
  <c r="AH124" i="21"/>
  <c r="AI129" i="21"/>
  <c r="AF129" i="21"/>
  <c r="AH129" i="21"/>
  <c r="Z129" i="21"/>
  <c r="AA129" i="21" s="1"/>
  <c r="AC129" i="21" s="1"/>
  <c r="AG129" i="21"/>
  <c r="AG139" i="21"/>
  <c r="AH139" i="21"/>
  <c r="AF139" i="21"/>
  <c r="AH140" i="21"/>
  <c r="AG140" i="21"/>
  <c r="AF140" i="21"/>
  <c r="AI145" i="21"/>
  <c r="AF145" i="21"/>
  <c r="AH145" i="21"/>
  <c r="Z145" i="21"/>
  <c r="AA145" i="21" s="1"/>
  <c r="AC145" i="21" s="1"/>
  <c r="AG145" i="21"/>
  <c r="AG155" i="21"/>
  <c r="AH155" i="21"/>
  <c r="AF155" i="21"/>
  <c r="AI161" i="21"/>
  <c r="AF161" i="21"/>
  <c r="AH161" i="21"/>
  <c r="Z161" i="21"/>
  <c r="AA161" i="21" s="1"/>
  <c r="AC161" i="21" s="1"/>
  <c r="AG161" i="21"/>
  <c r="AI77" i="21"/>
  <c r="AG77" i="21"/>
  <c r="Z81" i="21"/>
  <c r="AA81" i="21" s="1"/>
  <c r="AC81" i="21" s="1"/>
  <c r="X82" i="21"/>
  <c r="P82" i="21"/>
  <c r="K82" i="21"/>
  <c r="G82" i="21"/>
  <c r="C82" i="21"/>
  <c r="M82" i="21"/>
  <c r="I82" i="21"/>
  <c r="E82" i="21"/>
  <c r="N82" i="21"/>
  <c r="D86" i="21"/>
  <c r="L86" i="21"/>
  <c r="AG87" i="21"/>
  <c r="AI87" i="21"/>
  <c r="Z87" i="21"/>
  <c r="AA87" i="21" s="1"/>
  <c r="AC87" i="21" s="1"/>
  <c r="M88" i="21"/>
  <c r="I88" i="21"/>
  <c r="E88" i="21"/>
  <c r="X88" i="21"/>
  <c r="P88" i="21"/>
  <c r="K88" i="21"/>
  <c r="G88" i="21"/>
  <c r="C88" i="21"/>
  <c r="N88" i="21"/>
  <c r="C95" i="21"/>
  <c r="N95" i="21"/>
  <c r="C96" i="21"/>
  <c r="C103" i="21"/>
  <c r="N103" i="21"/>
  <c r="C104" i="21"/>
  <c r="C111" i="21"/>
  <c r="N111" i="21"/>
  <c r="C112" i="21"/>
  <c r="AG119" i="21"/>
  <c r="AH119" i="21"/>
  <c r="AF119" i="21"/>
  <c r="AH120" i="21"/>
  <c r="AG120" i="21"/>
  <c r="AF120" i="21"/>
  <c r="AF125" i="21"/>
  <c r="AH125" i="21"/>
  <c r="AG125" i="21"/>
  <c r="AG135" i="21"/>
  <c r="AH135" i="21"/>
  <c r="AF135" i="21"/>
  <c r="AH136" i="21"/>
  <c r="AG136" i="21"/>
  <c r="AF136" i="21"/>
  <c r="AI141" i="21"/>
  <c r="AF141" i="21"/>
  <c r="AH141" i="21"/>
  <c r="AG141" i="21"/>
  <c r="AG151" i="21"/>
  <c r="AH151" i="21"/>
  <c r="AF151" i="21"/>
  <c r="AH152" i="21"/>
  <c r="AG152" i="21"/>
  <c r="AF152" i="21"/>
  <c r="AI157" i="21"/>
  <c r="AF157" i="21"/>
  <c r="AH157" i="21"/>
  <c r="AG157" i="21"/>
  <c r="AG167" i="21"/>
  <c r="AH167" i="21"/>
  <c r="AF167" i="21"/>
  <c r="AG171" i="21"/>
  <c r="J53" i="21"/>
  <c r="N53" i="21"/>
  <c r="S53" i="21"/>
  <c r="AH56" i="21"/>
  <c r="J57" i="21"/>
  <c r="N57" i="21"/>
  <c r="S57" i="21"/>
  <c r="D59" i="21"/>
  <c r="H59" i="21"/>
  <c r="L59" i="21"/>
  <c r="Q59" i="21"/>
  <c r="U59" i="21"/>
  <c r="D60" i="21"/>
  <c r="I60" i="21"/>
  <c r="N60" i="21"/>
  <c r="U60" i="21"/>
  <c r="D64" i="21"/>
  <c r="I64" i="21"/>
  <c r="N64" i="21"/>
  <c r="U64" i="21"/>
  <c r="D68" i="21"/>
  <c r="I68" i="21"/>
  <c r="N68" i="21"/>
  <c r="U68" i="21"/>
  <c r="M76" i="21"/>
  <c r="I76" i="21"/>
  <c r="E76" i="21"/>
  <c r="X76" i="21"/>
  <c r="P76" i="21"/>
  <c r="R76" i="21" s="1"/>
  <c r="K76" i="21"/>
  <c r="G76" i="21"/>
  <c r="C76" i="21"/>
  <c r="N76" i="21"/>
  <c r="AF77" i="21"/>
  <c r="Z121" i="21"/>
  <c r="AA121" i="21" s="1"/>
  <c r="AC121" i="21" s="1"/>
  <c r="AG131" i="21"/>
  <c r="AH131" i="21"/>
  <c r="AF131" i="21"/>
  <c r="AH132" i="21"/>
  <c r="AG132" i="21"/>
  <c r="AF132" i="21"/>
  <c r="AI137" i="21"/>
  <c r="AF137" i="21"/>
  <c r="AH137" i="21"/>
  <c r="Z137" i="21"/>
  <c r="AA137" i="21" s="1"/>
  <c r="AC137" i="21" s="1"/>
  <c r="AG137" i="21"/>
  <c r="AG147" i="21"/>
  <c r="AH147" i="21"/>
  <c r="AF147" i="21"/>
  <c r="AH148" i="21"/>
  <c r="AG148" i="21"/>
  <c r="AF148" i="21"/>
  <c r="AI153" i="21"/>
  <c r="AF153" i="21"/>
  <c r="AH153" i="21"/>
  <c r="Z153" i="21"/>
  <c r="AA153" i="21" s="1"/>
  <c r="AC153" i="21" s="1"/>
  <c r="AG153" i="21"/>
  <c r="AG163" i="21"/>
  <c r="AH163" i="21"/>
  <c r="AF163" i="21"/>
  <c r="AH164" i="21"/>
  <c r="AG164" i="21"/>
  <c r="AF164" i="21"/>
  <c r="AI169" i="21"/>
  <c r="AF169" i="21"/>
  <c r="AH169" i="21"/>
  <c r="Z169" i="21"/>
  <c r="AA169" i="21" s="1"/>
  <c r="AC169" i="21" s="1"/>
  <c r="AG169" i="21"/>
  <c r="AG75" i="21"/>
  <c r="AI75" i="21"/>
  <c r="AI81" i="21"/>
  <c r="AG81" i="21"/>
  <c r="H82" i="21"/>
  <c r="Q82" i="21"/>
  <c r="Z85" i="21"/>
  <c r="AA85" i="21" s="1"/>
  <c r="AC85" i="21" s="1"/>
  <c r="X86" i="21"/>
  <c r="P86" i="21"/>
  <c r="K86" i="21"/>
  <c r="G86" i="21"/>
  <c r="C86" i="21"/>
  <c r="M86" i="21"/>
  <c r="I86" i="21"/>
  <c r="E86" i="21"/>
  <c r="N86" i="21"/>
  <c r="Z91" i="21"/>
  <c r="AA91" i="21" s="1"/>
  <c r="AC91" i="21" s="1"/>
  <c r="U95" i="21"/>
  <c r="Q95" i="21"/>
  <c r="L95" i="21"/>
  <c r="H95" i="21"/>
  <c r="D95" i="21"/>
  <c r="X95" i="21"/>
  <c r="S95" i="21"/>
  <c r="M95" i="21"/>
  <c r="G95" i="21"/>
  <c r="B95" i="21"/>
  <c r="P95" i="21"/>
  <c r="J95" i="21"/>
  <c r="E95" i="21"/>
  <c r="M96" i="21"/>
  <c r="I96" i="21"/>
  <c r="E96" i="21"/>
  <c r="X96" i="21"/>
  <c r="S96" i="21"/>
  <c r="L96" i="21"/>
  <c r="G96" i="21"/>
  <c r="B96" i="21"/>
  <c r="U96" i="21"/>
  <c r="P96" i="21"/>
  <c r="J96" i="21"/>
  <c r="D96" i="21"/>
  <c r="Q96" i="21"/>
  <c r="AI97" i="21"/>
  <c r="AF97" i="21"/>
  <c r="AH97" i="21"/>
  <c r="Z97" i="21"/>
  <c r="AA97" i="21" s="1"/>
  <c r="AC97" i="21" s="1"/>
  <c r="U103" i="21"/>
  <c r="Q103" i="21"/>
  <c r="L103" i="21"/>
  <c r="H103" i="21"/>
  <c r="D103" i="21"/>
  <c r="X103" i="21"/>
  <c r="S103" i="21"/>
  <c r="M103" i="21"/>
  <c r="G103" i="21"/>
  <c r="B103" i="21"/>
  <c r="P103" i="21"/>
  <c r="J103" i="21"/>
  <c r="E103" i="21"/>
  <c r="M104" i="21"/>
  <c r="I104" i="21"/>
  <c r="E104" i="21"/>
  <c r="X104" i="21"/>
  <c r="S104" i="21"/>
  <c r="L104" i="21"/>
  <c r="G104" i="21"/>
  <c r="B104" i="21"/>
  <c r="U104" i="21"/>
  <c r="P104" i="21"/>
  <c r="J104" i="21"/>
  <c r="D104" i="21"/>
  <c r="Q104" i="21"/>
  <c r="AI105" i="21"/>
  <c r="AF105" i="21"/>
  <c r="AH105" i="21"/>
  <c r="Z105" i="21"/>
  <c r="AA105" i="21" s="1"/>
  <c r="AC105" i="21" s="1"/>
  <c r="U111" i="21"/>
  <c r="Q111" i="21"/>
  <c r="L111" i="21"/>
  <c r="H111" i="21"/>
  <c r="D111" i="21"/>
  <c r="X111" i="21"/>
  <c r="S111" i="21"/>
  <c r="M111" i="21"/>
  <c r="G111" i="21"/>
  <c r="B111" i="21"/>
  <c r="P111" i="21"/>
  <c r="J111" i="21"/>
  <c r="E111" i="21"/>
  <c r="M112" i="21"/>
  <c r="I112" i="21"/>
  <c r="E112" i="21"/>
  <c r="X112" i="21"/>
  <c r="S112" i="21"/>
  <c r="L112" i="21"/>
  <c r="G112" i="21"/>
  <c r="B112" i="21"/>
  <c r="U112" i="21"/>
  <c r="P112" i="21"/>
  <c r="J112" i="21"/>
  <c r="D112" i="21"/>
  <c r="Q112" i="21"/>
  <c r="AH116" i="21"/>
  <c r="AG116" i="21"/>
  <c r="AF116" i="21"/>
  <c r="AI121" i="21"/>
  <c r="AF121" i="21"/>
  <c r="AH121" i="21"/>
  <c r="J40" i="21"/>
  <c r="N40" i="21"/>
  <c r="J44" i="21"/>
  <c r="N44" i="21"/>
  <c r="J48" i="21"/>
  <c r="N48" i="21"/>
  <c r="J52" i="21"/>
  <c r="N52" i="21"/>
  <c r="C53" i="21"/>
  <c r="G53" i="21"/>
  <c r="K53" i="21"/>
  <c r="P53" i="21"/>
  <c r="J56" i="21"/>
  <c r="N56" i="21"/>
  <c r="C57" i="21"/>
  <c r="G57" i="21"/>
  <c r="K57" i="21"/>
  <c r="P57" i="21"/>
  <c r="E59" i="21"/>
  <c r="I59" i="21"/>
  <c r="M59" i="21"/>
  <c r="E60" i="21"/>
  <c r="J60" i="21"/>
  <c r="Q60" i="21"/>
  <c r="U61" i="21"/>
  <c r="Q61" i="21"/>
  <c r="L61" i="21"/>
  <c r="H61" i="21"/>
  <c r="D61" i="21"/>
  <c r="K61" i="21"/>
  <c r="R61" i="21"/>
  <c r="AA62" i="21"/>
  <c r="AC62" i="21" s="1"/>
  <c r="R62" i="21"/>
  <c r="M62" i="21"/>
  <c r="I62" i="21"/>
  <c r="E62" i="21"/>
  <c r="K62" i="21"/>
  <c r="Q62" i="21"/>
  <c r="E64" i="21"/>
  <c r="J64" i="21"/>
  <c r="Q64" i="21"/>
  <c r="U65" i="21"/>
  <c r="Q65" i="21"/>
  <c r="L65" i="21"/>
  <c r="H65" i="21"/>
  <c r="D65" i="21"/>
  <c r="K65" i="21"/>
  <c r="AA66" i="21"/>
  <c r="AC66" i="21" s="1"/>
  <c r="R66" i="21"/>
  <c r="M66" i="21"/>
  <c r="I66" i="21"/>
  <c r="E66" i="21"/>
  <c r="K66" i="21"/>
  <c r="Q66" i="21"/>
  <c r="E68" i="21"/>
  <c r="J68" i="21"/>
  <c r="Q68" i="21"/>
  <c r="U69" i="21"/>
  <c r="Q69" i="21"/>
  <c r="L69" i="21"/>
  <c r="H69" i="21"/>
  <c r="D69" i="21"/>
  <c r="K69" i="21"/>
  <c r="R70" i="21"/>
  <c r="M70" i="21"/>
  <c r="I70" i="21"/>
  <c r="E70" i="21"/>
  <c r="K70" i="21"/>
  <c r="Q70" i="21"/>
  <c r="Z73" i="21"/>
  <c r="AA73" i="21" s="1"/>
  <c r="AC73" i="21" s="1"/>
  <c r="X74" i="21"/>
  <c r="P74" i="21"/>
  <c r="K74" i="21"/>
  <c r="G74" i="21"/>
  <c r="C74" i="21"/>
  <c r="M74" i="21"/>
  <c r="I74" i="21"/>
  <c r="E74" i="21"/>
  <c r="N74" i="21"/>
  <c r="H76" i="21"/>
  <c r="Q76" i="21"/>
  <c r="AH77" i="21"/>
  <c r="D78" i="21"/>
  <c r="L78" i="21"/>
  <c r="U78" i="21"/>
  <c r="AG79" i="21"/>
  <c r="AI79" i="21"/>
  <c r="Z79" i="21"/>
  <c r="AA79" i="21" s="1"/>
  <c r="AC79" i="21" s="1"/>
  <c r="M80" i="21"/>
  <c r="I80" i="21"/>
  <c r="E80" i="21"/>
  <c r="X80" i="21"/>
  <c r="P80" i="21"/>
  <c r="R80" i="21" s="1"/>
  <c r="K80" i="21"/>
  <c r="G80" i="21"/>
  <c r="C80" i="21"/>
  <c r="N80" i="21"/>
  <c r="AF81" i="21"/>
  <c r="B82" i="21"/>
  <c r="J82" i="21"/>
  <c r="S82" i="21"/>
  <c r="R82" i="21" s="1"/>
  <c r="D84" i="21"/>
  <c r="L84" i="21"/>
  <c r="U84" i="21"/>
  <c r="H86" i="21"/>
  <c r="Q86" i="21"/>
  <c r="AF87" i="21"/>
  <c r="B88" i="21"/>
  <c r="J88" i="21"/>
  <c r="S88" i="21"/>
  <c r="R88" i="21" s="1"/>
  <c r="Z89" i="21"/>
  <c r="AA89" i="21" s="1"/>
  <c r="AC89" i="21" s="1"/>
  <c r="X90" i="21"/>
  <c r="P90" i="21"/>
  <c r="K90" i="21"/>
  <c r="G90" i="21"/>
  <c r="C90" i="21"/>
  <c r="M90" i="21"/>
  <c r="I90" i="21"/>
  <c r="E90" i="21"/>
  <c r="N90" i="21"/>
  <c r="C92" i="21"/>
  <c r="N92" i="21"/>
  <c r="I95" i="21"/>
  <c r="H96" i="21"/>
  <c r="AG97" i="21"/>
  <c r="C99" i="21"/>
  <c r="N99" i="21"/>
  <c r="C100" i="21"/>
  <c r="N100" i="21"/>
  <c r="I103" i="21"/>
  <c r="H104" i="21"/>
  <c r="AG105" i="21"/>
  <c r="C107" i="21"/>
  <c r="N107" i="21"/>
  <c r="C108" i="21"/>
  <c r="N108" i="21"/>
  <c r="I111" i="21"/>
  <c r="H112" i="21"/>
  <c r="AI117" i="21"/>
  <c r="AF117" i="21"/>
  <c r="AH117" i="21"/>
  <c r="Z117" i="21"/>
  <c r="AA117" i="21" s="1"/>
  <c r="AC117" i="21" s="1"/>
  <c r="AG117" i="21"/>
  <c r="AI119" i="21"/>
  <c r="AI120" i="21"/>
  <c r="AH128" i="21"/>
  <c r="AG128" i="21"/>
  <c r="AF128" i="21"/>
  <c r="AI135" i="21"/>
  <c r="AI136" i="21"/>
  <c r="AH144" i="21"/>
  <c r="AG144" i="21"/>
  <c r="AF144" i="21"/>
  <c r="AI151" i="21"/>
  <c r="AI152" i="21"/>
  <c r="AH160" i="21"/>
  <c r="AG160" i="21"/>
  <c r="AF160" i="21"/>
  <c r="AI167" i="21"/>
  <c r="AH172" i="21"/>
  <c r="X173" i="21"/>
  <c r="P173" i="21"/>
  <c r="K173" i="21"/>
  <c r="G173" i="21"/>
  <c r="C173" i="21"/>
  <c r="Q173" i="21"/>
  <c r="J173" i="21"/>
  <c r="E173" i="21"/>
  <c r="M173" i="21"/>
  <c r="U173" i="21"/>
  <c r="Z174" i="21"/>
  <c r="AA174" i="21" s="1"/>
  <c r="AC174" i="21" s="1"/>
  <c r="X177" i="21"/>
  <c r="P177" i="21"/>
  <c r="K177" i="21"/>
  <c r="G177" i="21"/>
  <c r="C177" i="21"/>
  <c r="Q177" i="21"/>
  <c r="J177" i="21"/>
  <c r="E177" i="21"/>
  <c r="S177" i="21"/>
  <c r="M177" i="21"/>
  <c r="H177" i="21"/>
  <c r="B177" i="21"/>
  <c r="R177" i="21"/>
  <c r="Z182" i="21"/>
  <c r="AA182" i="21" s="1"/>
  <c r="AC182" i="21" s="1"/>
  <c r="X183" i="21"/>
  <c r="P183" i="21"/>
  <c r="R183" i="21" s="1"/>
  <c r="K183" i="21"/>
  <c r="G183" i="21"/>
  <c r="C183" i="21"/>
  <c r="Q183" i="21"/>
  <c r="J183" i="21"/>
  <c r="E183" i="21"/>
  <c r="N183" i="21"/>
  <c r="H183" i="21"/>
  <c r="S183" i="21"/>
  <c r="L183" i="21"/>
  <c r="D183" i="21"/>
  <c r="U183" i="21"/>
  <c r="X191" i="21"/>
  <c r="P191" i="21"/>
  <c r="K191" i="21"/>
  <c r="G191" i="21"/>
  <c r="C191" i="21"/>
  <c r="Q191" i="21"/>
  <c r="J191" i="21"/>
  <c r="E191" i="21"/>
  <c r="S191" i="21"/>
  <c r="R191" i="21" s="1"/>
  <c r="L191" i="21"/>
  <c r="D191" i="21"/>
  <c r="N191" i="21"/>
  <c r="H191" i="21"/>
  <c r="U191" i="21"/>
  <c r="AI198" i="21"/>
  <c r="AG198" i="21"/>
  <c r="Z198" i="21"/>
  <c r="AA198" i="21" s="1"/>
  <c r="AC198" i="21" s="1"/>
  <c r="AF198" i="21"/>
  <c r="X199" i="21"/>
  <c r="P199" i="21"/>
  <c r="K199" i="21"/>
  <c r="G199" i="21"/>
  <c r="C199" i="21"/>
  <c r="Q199" i="21"/>
  <c r="J199" i="21"/>
  <c r="E199" i="21"/>
  <c r="N199" i="21"/>
  <c r="H199" i="21"/>
  <c r="S199" i="21"/>
  <c r="L199" i="21"/>
  <c r="D199" i="21"/>
  <c r="U199" i="21"/>
  <c r="AI206" i="21"/>
  <c r="AG206" i="21"/>
  <c r="Z206" i="21"/>
  <c r="AA206" i="21" s="1"/>
  <c r="AC206" i="21" s="1"/>
  <c r="AF206" i="21"/>
  <c r="X207" i="21"/>
  <c r="P207" i="21"/>
  <c r="K207" i="21"/>
  <c r="G207" i="21"/>
  <c r="C207" i="21"/>
  <c r="Q207" i="21"/>
  <c r="J207" i="21"/>
  <c r="E207" i="21"/>
  <c r="S207" i="21"/>
  <c r="R207" i="21" s="1"/>
  <c r="L207" i="21"/>
  <c r="D207" i="21"/>
  <c r="N207" i="21"/>
  <c r="H207" i="21"/>
  <c r="U207" i="21"/>
  <c r="Z216" i="21"/>
  <c r="AA216" i="21" s="1"/>
  <c r="AC216" i="21" s="1"/>
  <c r="J63" i="21"/>
  <c r="N63" i="21"/>
  <c r="J67" i="21"/>
  <c r="N67" i="21"/>
  <c r="J71" i="21"/>
  <c r="N71" i="21"/>
  <c r="D73" i="21"/>
  <c r="H73" i="21"/>
  <c r="L73" i="21"/>
  <c r="Q73" i="21"/>
  <c r="U73" i="21"/>
  <c r="J75" i="21"/>
  <c r="N75" i="21"/>
  <c r="D77" i="21"/>
  <c r="H77" i="21"/>
  <c r="L77" i="21"/>
  <c r="Q77" i="21"/>
  <c r="U77" i="21"/>
  <c r="J79" i="21"/>
  <c r="N79" i="21"/>
  <c r="D81" i="21"/>
  <c r="H81" i="21"/>
  <c r="L81" i="21"/>
  <c r="Q81" i="21"/>
  <c r="U81" i="21"/>
  <c r="J83" i="21"/>
  <c r="N83" i="21"/>
  <c r="D85" i="21"/>
  <c r="H85" i="21"/>
  <c r="L85" i="21"/>
  <c r="Q85" i="21"/>
  <c r="U85" i="21"/>
  <c r="J87" i="21"/>
  <c r="N87" i="21"/>
  <c r="D89" i="21"/>
  <c r="H89" i="21"/>
  <c r="L89" i="21"/>
  <c r="Q89" i="21"/>
  <c r="U89" i="21"/>
  <c r="J91" i="21"/>
  <c r="N91" i="21"/>
  <c r="D94" i="21"/>
  <c r="I94" i="21"/>
  <c r="N94" i="21"/>
  <c r="U94" i="21"/>
  <c r="D98" i="21"/>
  <c r="I98" i="21"/>
  <c r="N98" i="21"/>
  <c r="U98" i="21"/>
  <c r="D102" i="21"/>
  <c r="I102" i="21"/>
  <c r="N102" i="21"/>
  <c r="U102" i="21"/>
  <c r="D106" i="21"/>
  <c r="I106" i="21"/>
  <c r="N106" i="21"/>
  <c r="U106" i="21"/>
  <c r="D110" i="21"/>
  <c r="I110" i="21"/>
  <c r="N110" i="21"/>
  <c r="U110" i="21"/>
  <c r="D114" i="21"/>
  <c r="I114" i="21"/>
  <c r="N114" i="21"/>
  <c r="U114" i="21"/>
  <c r="E115" i="21"/>
  <c r="J115" i="21"/>
  <c r="P115" i="21"/>
  <c r="D116" i="21"/>
  <c r="J116" i="21"/>
  <c r="P116" i="21"/>
  <c r="D118" i="21"/>
  <c r="I118" i="21"/>
  <c r="N118" i="21"/>
  <c r="U118" i="21"/>
  <c r="E119" i="21"/>
  <c r="J119" i="21"/>
  <c r="P119" i="21"/>
  <c r="D120" i="21"/>
  <c r="J120" i="21"/>
  <c r="P120" i="21"/>
  <c r="D122" i="21"/>
  <c r="I122" i="21"/>
  <c r="N122" i="21"/>
  <c r="U122" i="21"/>
  <c r="E123" i="21"/>
  <c r="J123" i="21"/>
  <c r="P123" i="21"/>
  <c r="D124" i="21"/>
  <c r="J124" i="21"/>
  <c r="P124" i="21"/>
  <c r="D126" i="21"/>
  <c r="I126" i="21"/>
  <c r="N126" i="21"/>
  <c r="U126" i="21"/>
  <c r="E127" i="21"/>
  <c r="J127" i="21"/>
  <c r="P127" i="21"/>
  <c r="D128" i="21"/>
  <c r="J128" i="21"/>
  <c r="P128" i="21"/>
  <c r="D130" i="21"/>
  <c r="I130" i="21"/>
  <c r="N130" i="21"/>
  <c r="U130" i="21"/>
  <c r="E131" i="21"/>
  <c r="J131" i="21"/>
  <c r="P131" i="21"/>
  <c r="D132" i="21"/>
  <c r="J132" i="21"/>
  <c r="P132" i="21"/>
  <c r="D134" i="21"/>
  <c r="I134" i="21"/>
  <c r="N134" i="21"/>
  <c r="U134" i="21"/>
  <c r="E135" i="21"/>
  <c r="J135" i="21"/>
  <c r="P135" i="21"/>
  <c r="D136" i="21"/>
  <c r="J136" i="21"/>
  <c r="P136" i="21"/>
  <c r="D138" i="21"/>
  <c r="I138" i="21"/>
  <c r="N138" i="21"/>
  <c r="U138" i="21"/>
  <c r="E139" i="21"/>
  <c r="J139" i="21"/>
  <c r="P139" i="21"/>
  <c r="D140" i="21"/>
  <c r="J140" i="21"/>
  <c r="P140" i="21"/>
  <c r="D142" i="21"/>
  <c r="I142" i="21"/>
  <c r="N142" i="21"/>
  <c r="U142" i="21"/>
  <c r="E143" i="21"/>
  <c r="J143" i="21"/>
  <c r="P143" i="21"/>
  <c r="D144" i="21"/>
  <c r="J144" i="21"/>
  <c r="P144" i="21"/>
  <c r="D146" i="21"/>
  <c r="I146" i="21"/>
  <c r="N146" i="21"/>
  <c r="U146" i="21"/>
  <c r="E147" i="21"/>
  <c r="J147" i="21"/>
  <c r="P147" i="21"/>
  <c r="D148" i="21"/>
  <c r="J148" i="21"/>
  <c r="P148" i="21"/>
  <c r="D150" i="21"/>
  <c r="I150" i="21"/>
  <c r="N150" i="21"/>
  <c r="U150" i="21"/>
  <c r="E151" i="21"/>
  <c r="J151" i="21"/>
  <c r="P151" i="21"/>
  <c r="D152" i="21"/>
  <c r="J152" i="21"/>
  <c r="P152" i="21"/>
  <c r="D154" i="21"/>
  <c r="I154" i="21"/>
  <c r="N154" i="21"/>
  <c r="U154" i="21"/>
  <c r="E155" i="21"/>
  <c r="J155" i="21"/>
  <c r="P155" i="21"/>
  <c r="D156" i="21"/>
  <c r="J156" i="21"/>
  <c r="P156" i="21"/>
  <c r="D158" i="21"/>
  <c r="I158" i="21"/>
  <c r="N158" i="21"/>
  <c r="U158" i="21"/>
  <c r="E159" i="21"/>
  <c r="J159" i="21"/>
  <c r="P159" i="21"/>
  <c r="D160" i="21"/>
  <c r="J160" i="21"/>
  <c r="P160" i="21"/>
  <c r="D162" i="21"/>
  <c r="I162" i="21"/>
  <c r="N162" i="21"/>
  <c r="U162" i="21"/>
  <c r="E163" i="21"/>
  <c r="J163" i="21"/>
  <c r="P163" i="21"/>
  <c r="D164" i="21"/>
  <c r="J164" i="21"/>
  <c r="P164" i="21"/>
  <c r="D166" i="21"/>
  <c r="I166" i="21"/>
  <c r="N166" i="21"/>
  <c r="U166" i="21"/>
  <c r="E167" i="21"/>
  <c r="J167" i="21"/>
  <c r="P167" i="21"/>
  <c r="D168" i="21"/>
  <c r="J168" i="21"/>
  <c r="P168" i="21"/>
  <c r="D170" i="21"/>
  <c r="I170" i="21"/>
  <c r="N170" i="21"/>
  <c r="U170" i="21"/>
  <c r="Z172" i="21"/>
  <c r="AA172" i="21" s="1"/>
  <c r="AC172" i="21" s="1"/>
  <c r="H173" i="21"/>
  <c r="N173" i="21"/>
  <c r="Z175" i="21"/>
  <c r="AA175" i="21" s="1"/>
  <c r="AC175" i="21" s="1"/>
  <c r="I177" i="21"/>
  <c r="U177" i="21"/>
  <c r="I183" i="21"/>
  <c r="Z184" i="21"/>
  <c r="AA184" i="21" s="1"/>
  <c r="AC184" i="21" s="1"/>
  <c r="AG188" i="21"/>
  <c r="AF188" i="21"/>
  <c r="AH188" i="21"/>
  <c r="I191" i="21"/>
  <c r="Z192" i="21"/>
  <c r="AA192" i="21" s="1"/>
  <c r="AC192" i="21" s="1"/>
  <c r="AH198" i="21"/>
  <c r="I199" i="21"/>
  <c r="Z200" i="21"/>
  <c r="AA200" i="21" s="1"/>
  <c r="AC200" i="21" s="1"/>
  <c r="AG204" i="21"/>
  <c r="AF204" i="21"/>
  <c r="AH204" i="21"/>
  <c r="AH206" i="21"/>
  <c r="I207" i="21"/>
  <c r="Z208" i="21"/>
  <c r="AA208" i="21" s="1"/>
  <c r="AC208" i="21" s="1"/>
  <c r="U115" i="21"/>
  <c r="Q115" i="21"/>
  <c r="L115" i="21"/>
  <c r="H115" i="21"/>
  <c r="D115" i="21"/>
  <c r="K115" i="21"/>
  <c r="M116" i="21"/>
  <c r="I116" i="21"/>
  <c r="E116" i="21"/>
  <c r="K116" i="21"/>
  <c r="Q116" i="21"/>
  <c r="U119" i="21"/>
  <c r="Q119" i="21"/>
  <c r="L119" i="21"/>
  <c r="H119" i="21"/>
  <c r="D119" i="21"/>
  <c r="K119" i="21"/>
  <c r="M120" i="21"/>
  <c r="I120" i="21"/>
  <c r="E120" i="21"/>
  <c r="K120" i="21"/>
  <c r="Q120" i="21"/>
  <c r="U123" i="21"/>
  <c r="Q123" i="21"/>
  <c r="L123" i="21"/>
  <c r="H123" i="21"/>
  <c r="D123" i="21"/>
  <c r="K123" i="21"/>
  <c r="M124" i="21"/>
  <c r="I124" i="21"/>
  <c r="E124" i="21"/>
  <c r="K124" i="21"/>
  <c r="Q124" i="21"/>
  <c r="U127" i="21"/>
  <c r="Q127" i="21"/>
  <c r="L127" i="21"/>
  <c r="H127" i="21"/>
  <c r="D127" i="21"/>
  <c r="K127" i="21"/>
  <c r="M128" i="21"/>
  <c r="I128" i="21"/>
  <c r="E128" i="21"/>
  <c r="K128" i="21"/>
  <c r="Q128" i="21"/>
  <c r="U131" i="21"/>
  <c r="Q131" i="21"/>
  <c r="L131" i="21"/>
  <c r="H131" i="21"/>
  <c r="D131" i="21"/>
  <c r="K131" i="21"/>
  <c r="M132" i="21"/>
  <c r="I132" i="21"/>
  <c r="E132" i="21"/>
  <c r="K132" i="21"/>
  <c r="Q132" i="21"/>
  <c r="U135" i="21"/>
  <c r="Q135" i="21"/>
  <c r="L135" i="21"/>
  <c r="H135" i="21"/>
  <c r="D135" i="21"/>
  <c r="K135" i="21"/>
  <c r="M136" i="21"/>
  <c r="I136" i="21"/>
  <c r="E136" i="21"/>
  <c r="K136" i="21"/>
  <c r="Q136" i="21"/>
  <c r="U139" i="21"/>
  <c r="Q139" i="21"/>
  <c r="L139" i="21"/>
  <c r="H139" i="21"/>
  <c r="D139" i="21"/>
  <c r="K139" i="21"/>
  <c r="M140" i="21"/>
  <c r="I140" i="21"/>
  <c r="E140" i="21"/>
  <c r="K140" i="21"/>
  <c r="Q140" i="21"/>
  <c r="U143" i="21"/>
  <c r="Q143" i="21"/>
  <c r="L143" i="21"/>
  <c r="H143" i="21"/>
  <c r="D143" i="21"/>
  <c r="K143" i="21"/>
  <c r="M144" i="21"/>
  <c r="I144" i="21"/>
  <c r="E144" i="21"/>
  <c r="K144" i="21"/>
  <c r="Q144" i="21"/>
  <c r="U147" i="21"/>
  <c r="Q147" i="21"/>
  <c r="L147" i="21"/>
  <c r="H147" i="21"/>
  <c r="D147" i="21"/>
  <c r="K147" i="21"/>
  <c r="M148" i="21"/>
  <c r="I148" i="21"/>
  <c r="E148" i="21"/>
  <c r="K148" i="21"/>
  <c r="Q148" i="21"/>
  <c r="U151" i="21"/>
  <c r="Q151" i="21"/>
  <c r="L151" i="21"/>
  <c r="H151" i="21"/>
  <c r="D151" i="21"/>
  <c r="K151" i="21"/>
  <c r="M152" i="21"/>
  <c r="I152" i="21"/>
  <c r="E152" i="21"/>
  <c r="K152" i="21"/>
  <c r="Q152" i="21"/>
  <c r="U155" i="21"/>
  <c r="Q155" i="21"/>
  <c r="L155" i="21"/>
  <c r="H155" i="21"/>
  <c r="D155" i="21"/>
  <c r="K155" i="21"/>
  <c r="M156" i="21"/>
  <c r="I156" i="21"/>
  <c r="E156" i="21"/>
  <c r="K156" i="21"/>
  <c r="Q156" i="21"/>
  <c r="U159" i="21"/>
  <c r="Q159" i="21"/>
  <c r="L159" i="21"/>
  <c r="H159" i="21"/>
  <c r="D159" i="21"/>
  <c r="K159" i="21"/>
  <c r="M160" i="21"/>
  <c r="I160" i="21"/>
  <c r="E160" i="21"/>
  <c r="K160" i="21"/>
  <c r="Q160" i="21"/>
  <c r="U163" i="21"/>
  <c r="Q163" i="21"/>
  <c r="L163" i="21"/>
  <c r="H163" i="21"/>
  <c r="D163" i="21"/>
  <c r="K163" i="21"/>
  <c r="M164" i="21"/>
  <c r="I164" i="21"/>
  <c r="E164" i="21"/>
  <c r="K164" i="21"/>
  <c r="Q164" i="21"/>
  <c r="U167" i="21"/>
  <c r="Q167" i="21"/>
  <c r="L167" i="21"/>
  <c r="H167" i="21"/>
  <c r="D167" i="21"/>
  <c r="K167" i="21"/>
  <c r="M168" i="21"/>
  <c r="I168" i="21"/>
  <c r="E168" i="21"/>
  <c r="K168" i="21"/>
  <c r="Q168" i="21"/>
  <c r="AF172" i="21"/>
  <c r="B173" i="21"/>
  <c r="I173" i="21"/>
  <c r="L177" i="21"/>
  <c r="M183" i="21"/>
  <c r="AH189" i="21"/>
  <c r="AF189" i="21"/>
  <c r="AG189" i="21"/>
  <c r="M191" i="21"/>
  <c r="AG196" i="21"/>
  <c r="AF196" i="21"/>
  <c r="AH196" i="21"/>
  <c r="AH205" i="21"/>
  <c r="AF205" i="21"/>
  <c r="AG205" i="21"/>
  <c r="M207" i="21"/>
  <c r="J73" i="21"/>
  <c r="N73" i="21"/>
  <c r="J77" i="21"/>
  <c r="N77" i="21"/>
  <c r="J81" i="21"/>
  <c r="N81" i="21"/>
  <c r="J85" i="21"/>
  <c r="N85" i="21"/>
  <c r="J89" i="21"/>
  <c r="N89" i="21"/>
  <c r="X94" i="21"/>
  <c r="P94" i="21"/>
  <c r="R94" i="21" s="1"/>
  <c r="K94" i="21"/>
  <c r="G94" i="21"/>
  <c r="C94" i="21"/>
  <c r="L94" i="21"/>
  <c r="X98" i="21"/>
  <c r="P98" i="21"/>
  <c r="K98" i="21"/>
  <c r="G98" i="21"/>
  <c r="C98" i="21"/>
  <c r="L98" i="21"/>
  <c r="X102" i="21"/>
  <c r="P102" i="21"/>
  <c r="R102" i="21" s="1"/>
  <c r="K102" i="21"/>
  <c r="G102" i="21"/>
  <c r="C102" i="21"/>
  <c r="L102" i="21"/>
  <c r="X106" i="21"/>
  <c r="P106" i="21"/>
  <c r="K106" i="21"/>
  <c r="G106" i="21"/>
  <c r="C106" i="21"/>
  <c r="L106" i="21"/>
  <c r="X110" i="21"/>
  <c r="P110" i="21"/>
  <c r="K110" i="21"/>
  <c r="G110" i="21"/>
  <c r="C110" i="21"/>
  <c r="L110" i="21"/>
  <c r="X114" i="21"/>
  <c r="P114" i="21"/>
  <c r="R114" i="21" s="1"/>
  <c r="K114" i="21"/>
  <c r="G114" i="21"/>
  <c r="C114" i="21"/>
  <c r="L114" i="21"/>
  <c r="B115" i="21"/>
  <c r="G115" i="21"/>
  <c r="M115" i="21"/>
  <c r="S115" i="21"/>
  <c r="X115" i="21"/>
  <c r="B116" i="21"/>
  <c r="G116" i="21"/>
  <c r="L116" i="21"/>
  <c r="S116" i="21"/>
  <c r="X116" i="21"/>
  <c r="X118" i="21"/>
  <c r="P118" i="21"/>
  <c r="R118" i="21" s="1"/>
  <c r="K118" i="21"/>
  <c r="G118" i="21"/>
  <c r="C118" i="21"/>
  <c r="L118" i="21"/>
  <c r="B119" i="21"/>
  <c r="G119" i="21"/>
  <c r="M119" i="21"/>
  <c r="S119" i="21"/>
  <c r="X119" i="21"/>
  <c r="B120" i="21"/>
  <c r="G120" i="21"/>
  <c r="L120" i="21"/>
  <c r="S120" i="21"/>
  <c r="X120" i="21"/>
  <c r="X122" i="21"/>
  <c r="P122" i="21"/>
  <c r="R122" i="21" s="1"/>
  <c r="K122" i="21"/>
  <c r="G122" i="21"/>
  <c r="C122" i="21"/>
  <c r="L122" i="21"/>
  <c r="B123" i="21"/>
  <c r="G123" i="21"/>
  <c r="M123" i="21"/>
  <c r="S123" i="21"/>
  <c r="X123" i="21"/>
  <c r="B124" i="21"/>
  <c r="G124" i="21"/>
  <c r="L124" i="21"/>
  <c r="S124" i="21"/>
  <c r="X124" i="21"/>
  <c r="X126" i="21"/>
  <c r="P126" i="21"/>
  <c r="R126" i="21" s="1"/>
  <c r="K126" i="21"/>
  <c r="G126" i="21"/>
  <c r="C126" i="21"/>
  <c r="L126" i="21"/>
  <c r="B127" i="21"/>
  <c r="G127" i="21"/>
  <c r="M127" i="21"/>
  <c r="S127" i="21"/>
  <c r="X127" i="21"/>
  <c r="B128" i="21"/>
  <c r="G128" i="21"/>
  <c r="L128" i="21"/>
  <c r="S128" i="21"/>
  <c r="X128" i="21"/>
  <c r="X130" i="21"/>
  <c r="P130" i="21"/>
  <c r="K130" i="21"/>
  <c r="G130" i="21"/>
  <c r="C130" i="21"/>
  <c r="L130" i="21"/>
  <c r="B131" i="21"/>
  <c r="G131" i="21"/>
  <c r="M131" i="21"/>
  <c r="S131" i="21"/>
  <c r="X131" i="21"/>
  <c r="B132" i="21"/>
  <c r="G132" i="21"/>
  <c r="L132" i="21"/>
  <c r="S132" i="21"/>
  <c r="X132" i="21"/>
  <c r="X134" i="21"/>
  <c r="P134" i="21"/>
  <c r="R134" i="21" s="1"/>
  <c r="K134" i="21"/>
  <c r="G134" i="21"/>
  <c r="C134" i="21"/>
  <c r="L134" i="21"/>
  <c r="B135" i="21"/>
  <c r="G135" i="21"/>
  <c r="M135" i="21"/>
  <c r="S135" i="21"/>
  <c r="X135" i="21"/>
  <c r="B136" i="21"/>
  <c r="G136" i="21"/>
  <c r="L136" i="21"/>
  <c r="S136" i="21"/>
  <c r="R136" i="21" s="1"/>
  <c r="X136" i="21"/>
  <c r="X138" i="21"/>
  <c r="P138" i="21"/>
  <c r="R138" i="21" s="1"/>
  <c r="K138" i="21"/>
  <c r="G138" i="21"/>
  <c r="C138" i="21"/>
  <c r="L138" i="21"/>
  <c r="B139" i="21"/>
  <c r="G139" i="21"/>
  <c r="M139" i="21"/>
  <c r="S139" i="21"/>
  <c r="X139" i="21"/>
  <c r="B140" i="21"/>
  <c r="G140" i="21"/>
  <c r="L140" i="21"/>
  <c r="S140" i="21"/>
  <c r="X140" i="21"/>
  <c r="X142" i="21"/>
  <c r="P142" i="21"/>
  <c r="R142" i="21" s="1"/>
  <c r="K142" i="21"/>
  <c r="G142" i="21"/>
  <c r="C142" i="21"/>
  <c r="L142" i="21"/>
  <c r="B143" i="21"/>
  <c r="G143" i="21"/>
  <c r="M143" i="21"/>
  <c r="S143" i="21"/>
  <c r="X143" i="21"/>
  <c r="B144" i="21"/>
  <c r="G144" i="21"/>
  <c r="L144" i="21"/>
  <c r="S144" i="21"/>
  <c r="R144" i="21" s="1"/>
  <c r="X144" i="21"/>
  <c r="X146" i="21"/>
  <c r="P146" i="21"/>
  <c r="K146" i="21"/>
  <c r="G146" i="21"/>
  <c r="C146" i="21"/>
  <c r="L146" i="21"/>
  <c r="B147" i="21"/>
  <c r="G147" i="21"/>
  <c r="M147" i="21"/>
  <c r="S147" i="21"/>
  <c r="X147" i="21"/>
  <c r="B148" i="21"/>
  <c r="G148" i="21"/>
  <c r="L148" i="21"/>
  <c r="S148" i="21"/>
  <c r="X148" i="21"/>
  <c r="X150" i="21"/>
  <c r="P150" i="21"/>
  <c r="R150" i="21" s="1"/>
  <c r="K150" i="21"/>
  <c r="G150" i="21"/>
  <c r="C150" i="21"/>
  <c r="L150" i="21"/>
  <c r="B151" i="21"/>
  <c r="G151" i="21"/>
  <c r="M151" i="21"/>
  <c r="S151" i="21"/>
  <c r="X151" i="21"/>
  <c r="B152" i="21"/>
  <c r="G152" i="21"/>
  <c r="L152" i="21"/>
  <c r="S152" i="21"/>
  <c r="R152" i="21" s="1"/>
  <c r="X152" i="21"/>
  <c r="X154" i="21"/>
  <c r="P154" i="21"/>
  <c r="R154" i="21" s="1"/>
  <c r="K154" i="21"/>
  <c r="G154" i="21"/>
  <c r="C154" i="21"/>
  <c r="L154" i="21"/>
  <c r="B155" i="21"/>
  <c r="G155" i="21"/>
  <c r="M155" i="21"/>
  <c r="S155" i="21"/>
  <c r="X155" i="21"/>
  <c r="B156" i="21"/>
  <c r="G156" i="21"/>
  <c r="L156" i="21"/>
  <c r="S156" i="21"/>
  <c r="X156" i="21"/>
  <c r="X158" i="21"/>
  <c r="P158" i="21"/>
  <c r="K158" i="21"/>
  <c r="G158" i="21"/>
  <c r="C158" i="21"/>
  <c r="L158" i="21"/>
  <c r="R158" i="21"/>
  <c r="T158" i="21" s="1"/>
  <c r="B159" i="21"/>
  <c r="G159" i="21"/>
  <c r="M159" i="21"/>
  <c r="S159" i="21"/>
  <c r="R159" i="21" s="1"/>
  <c r="X159" i="21"/>
  <c r="B160" i="21"/>
  <c r="G160" i="21"/>
  <c r="L160" i="21"/>
  <c r="S160" i="21"/>
  <c r="X160" i="21"/>
  <c r="X162" i="21"/>
  <c r="P162" i="21"/>
  <c r="K162" i="21"/>
  <c r="G162" i="21"/>
  <c r="C162" i="21"/>
  <c r="L162" i="21"/>
  <c r="B163" i="21"/>
  <c r="G163" i="21"/>
  <c r="M163" i="21"/>
  <c r="S163" i="21"/>
  <c r="R163" i="21" s="1"/>
  <c r="X163" i="21"/>
  <c r="B164" i="21"/>
  <c r="G164" i="21"/>
  <c r="L164" i="21"/>
  <c r="S164" i="21"/>
  <c r="X164" i="21"/>
  <c r="X166" i="21"/>
  <c r="P166" i="21"/>
  <c r="R166" i="21" s="1"/>
  <c r="T166" i="21" s="1"/>
  <c r="K166" i="21"/>
  <c r="G166" i="21"/>
  <c r="C166" i="21"/>
  <c r="L166" i="21"/>
  <c r="B167" i="21"/>
  <c r="G167" i="21"/>
  <c r="M167" i="21"/>
  <c r="S167" i="21"/>
  <c r="R167" i="21" s="1"/>
  <c r="X167" i="21"/>
  <c r="B168" i="21"/>
  <c r="G168" i="21"/>
  <c r="L168" i="21"/>
  <c r="S168" i="21"/>
  <c r="X168" i="21"/>
  <c r="X170" i="21"/>
  <c r="P170" i="21"/>
  <c r="R170" i="21" s="1"/>
  <c r="K170" i="21"/>
  <c r="G170" i="21"/>
  <c r="C170" i="21"/>
  <c r="L170" i="21"/>
  <c r="AG172" i="21"/>
  <c r="D173" i="21"/>
  <c r="L173" i="21"/>
  <c r="S173" i="21"/>
  <c r="D177" i="21"/>
  <c r="N177" i="21"/>
  <c r="AH181" i="21"/>
  <c r="AF181" i="21"/>
  <c r="AG181" i="21"/>
  <c r="B183" i="21"/>
  <c r="Z185" i="21"/>
  <c r="AA185" i="21" s="1"/>
  <c r="AC185" i="21" s="1"/>
  <c r="B191" i="21"/>
  <c r="Z193" i="21"/>
  <c r="AA193" i="21" s="1"/>
  <c r="AC193" i="21" s="1"/>
  <c r="B199" i="21"/>
  <c r="AI204" i="21"/>
  <c r="B207" i="21"/>
  <c r="AI174" i="21"/>
  <c r="AI175" i="21"/>
  <c r="AH178" i="21"/>
  <c r="X179" i="21"/>
  <c r="P179" i="21"/>
  <c r="R179" i="21" s="1"/>
  <c r="K179" i="21"/>
  <c r="G179" i="21"/>
  <c r="C179" i="21"/>
  <c r="Q179" i="21"/>
  <c r="J179" i="21"/>
  <c r="E179" i="21"/>
  <c r="M179" i="21"/>
  <c r="U179" i="21"/>
  <c r="Z180" i="21"/>
  <c r="AA180" i="21" s="1"/>
  <c r="AC180" i="21" s="1"/>
  <c r="AH193" i="21"/>
  <c r="AF193" i="21"/>
  <c r="AI193" i="21"/>
  <c r="AH194" i="21"/>
  <c r="X195" i="21"/>
  <c r="P195" i="21"/>
  <c r="R195" i="21" s="1"/>
  <c r="K195" i="21"/>
  <c r="G195" i="21"/>
  <c r="C195" i="21"/>
  <c r="Q195" i="21"/>
  <c r="J195" i="21"/>
  <c r="E195" i="21"/>
  <c r="M195" i="21"/>
  <c r="U195" i="21"/>
  <c r="AI208" i="21"/>
  <c r="AG212" i="21"/>
  <c r="AI212" i="21"/>
  <c r="AF212" i="21"/>
  <c r="AH212" i="21"/>
  <c r="M213" i="21"/>
  <c r="I213" i="21"/>
  <c r="E213" i="21"/>
  <c r="X213" i="21"/>
  <c r="P213" i="21"/>
  <c r="K213" i="21"/>
  <c r="G213" i="21"/>
  <c r="C213" i="21"/>
  <c r="S213" i="21"/>
  <c r="R213" i="21" s="1"/>
  <c r="J213" i="21"/>
  <c r="B213" i="21"/>
  <c r="Q213" i="21"/>
  <c r="AI214" i="21"/>
  <c r="AG214" i="21"/>
  <c r="AH214" i="21"/>
  <c r="Z214" i="21"/>
  <c r="AA214" i="21" s="1"/>
  <c r="AC214" i="21" s="1"/>
  <c r="H219" i="21"/>
  <c r="L223" i="21"/>
  <c r="AG224" i="21"/>
  <c r="AG228" i="21"/>
  <c r="AI228" i="21"/>
  <c r="AH228" i="21"/>
  <c r="AF228" i="21"/>
  <c r="L233" i="21"/>
  <c r="Z234" i="21"/>
  <c r="AA234" i="21" s="1"/>
  <c r="AC234" i="21" s="1"/>
  <c r="X235" i="21"/>
  <c r="P235" i="21"/>
  <c r="K235" i="21"/>
  <c r="G235" i="21"/>
  <c r="C235" i="21"/>
  <c r="M235" i="21"/>
  <c r="I235" i="21"/>
  <c r="E235" i="21"/>
  <c r="U235" i="21"/>
  <c r="L235" i="21"/>
  <c r="D235" i="21"/>
  <c r="S235" i="21"/>
  <c r="J235" i="21"/>
  <c r="B235" i="21"/>
  <c r="AI238" i="21"/>
  <c r="AG238" i="21"/>
  <c r="AF238" i="21"/>
  <c r="Z238" i="21"/>
  <c r="AA238" i="21" s="1"/>
  <c r="AC238" i="21" s="1"/>
  <c r="AH238" i="21"/>
  <c r="X239" i="21"/>
  <c r="P239" i="21"/>
  <c r="K239" i="21"/>
  <c r="G239" i="21"/>
  <c r="C239" i="21"/>
  <c r="M239" i="21"/>
  <c r="I239" i="21"/>
  <c r="E239" i="21"/>
  <c r="S239" i="21"/>
  <c r="R239" i="21" s="1"/>
  <c r="J239" i="21"/>
  <c r="B239" i="21"/>
  <c r="Q239" i="21"/>
  <c r="H239" i="21"/>
  <c r="AG244" i="21"/>
  <c r="AI244" i="21"/>
  <c r="AH244" i="21"/>
  <c r="AF244" i="21"/>
  <c r="Z248" i="21"/>
  <c r="AA248" i="21" s="1"/>
  <c r="AC248" i="21" s="1"/>
  <c r="AG240" i="21"/>
  <c r="J93" i="21"/>
  <c r="N93" i="21"/>
  <c r="J97" i="21"/>
  <c r="N97" i="21"/>
  <c r="J101" i="21"/>
  <c r="N101" i="21"/>
  <c r="J105" i="21"/>
  <c r="N105" i="21"/>
  <c r="J109" i="21"/>
  <c r="N109" i="21"/>
  <c r="J113" i="21"/>
  <c r="N113" i="21"/>
  <c r="J117" i="21"/>
  <c r="N117" i="21"/>
  <c r="J121" i="21"/>
  <c r="N121" i="21"/>
  <c r="J125" i="21"/>
  <c r="N125" i="21"/>
  <c r="J129" i="21"/>
  <c r="N129" i="21"/>
  <c r="J133" i="21"/>
  <c r="N133" i="21"/>
  <c r="J137" i="21"/>
  <c r="N137" i="21"/>
  <c r="J141" i="21"/>
  <c r="N141" i="21"/>
  <c r="J145" i="21"/>
  <c r="N145" i="21"/>
  <c r="J149" i="21"/>
  <c r="N149" i="21"/>
  <c r="J153" i="21"/>
  <c r="N153" i="21"/>
  <c r="J157" i="21"/>
  <c r="N157" i="21"/>
  <c r="J161" i="21"/>
  <c r="N161" i="21"/>
  <c r="J165" i="21"/>
  <c r="N165" i="21"/>
  <c r="J169" i="21"/>
  <c r="N169" i="21"/>
  <c r="M171" i="21"/>
  <c r="I171" i="21"/>
  <c r="E171" i="21"/>
  <c r="K171" i="21"/>
  <c r="Q171" i="21"/>
  <c r="U174" i="21"/>
  <c r="Q174" i="21"/>
  <c r="L174" i="21"/>
  <c r="H174" i="21"/>
  <c r="D174" i="21"/>
  <c r="K174" i="21"/>
  <c r="R174" i="21"/>
  <c r="AF174" i="21"/>
  <c r="M175" i="21"/>
  <c r="I175" i="21"/>
  <c r="E175" i="21"/>
  <c r="K175" i="21"/>
  <c r="Q175" i="21"/>
  <c r="AF178" i="21"/>
  <c r="B179" i="21"/>
  <c r="I179" i="21"/>
  <c r="AG184" i="21"/>
  <c r="AF184" i="21"/>
  <c r="AI184" i="21"/>
  <c r="AH185" i="21"/>
  <c r="AF185" i="21"/>
  <c r="AI185" i="21"/>
  <c r="X187" i="21"/>
  <c r="P187" i="21"/>
  <c r="R187" i="21" s="1"/>
  <c r="K187" i="21"/>
  <c r="G187" i="21"/>
  <c r="C187" i="21"/>
  <c r="Q187" i="21"/>
  <c r="J187" i="21"/>
  <c r="E187" i="21"/>
  <c r="M187" i="21"/>
  <c r="U187" i="21"/>
  <c r="Z188" i="21"/>
  <c r="AA188" i="21" s="1"/>
  <c r="AC188" i="21" s="1"/>
  <c r="AF194" i="21"/>
  <c r="B195" i="21"/>
  <c r="I195" i="21"/>
  <c r="Z197" i="21"/>
  <c r="AA197" i="21" s="1"/>
  <c r="AC197" i="21" s="1"/>
  <c r="AG200" i="21"/>
  <c r="AF200" i="21"/>
  <c r="AI200" i="21"/>
  <c r="AI201" i="21"/>
  <c r="AH202" i="21"/>
  <c r="X203" i="21"/>
  <c r="P203" i="21"/>
  <c r="R203" i="21" s="1"/>
  <c r="K203" i="21"/>
  <c r="G203" i="21"/>
  <c r="C203" i="21"/>
  <c r="Q203" i="21"/>
  <c r="J203" i="21"/>
  <c r="E203" i="21"/>
  <c r="M203" i="21"/>
  <c r="U203" i="21"/>
  <c r="Z204" i="21"/>
  <c r="AA204" i="21" s="1"/>
  <c r="AC204" i="21" s="1"/>
  <c r="AF208" i="21"/>
  <c r="M209" i="21"/>
  <c r="I209" i="21"/>
  <c r="E209" i="21"/>
  <c r="X209" i="21"/>
  <c r="P209" i="21"/>
  <c r="R209" i="21" s="1"/>
  <c r="K209" i="21"/>
  <c r="G209" i="21"/>
  <c r="C209" i="21"/>
  <c r="U209" i="21"/>
  <c r="L209" i="21"/>
  <c r="D209" i="21"/>
  <c r="Q209" i="21"/>
  <c r="L213" i="21"/>
  <c r="AF214" i="21"/>
  <c r="X215" i="21"/>
  <c r="P215" i="21"/>
  <c r="R215" i="21" s="1"/>
  <c r="K215" i="21"/>
  <c r="G215" i="21"/>
  <c r="C215" i="21"/>
  <c r="M215" i="21"/>
  <c r="I215" i="21"/>
  <c r="E215" i="21"/>
  <c r="U215" i="21"/>
  <c r="L215" i="21"/>
  <c r="D215" i="21"/>
  <c r="Q215" i="21"/>
  <c r="M217" i="21"/>
  <c r="I217" i="21"/>
  <c r="E217" i="21"/>
  <c r="X217" i="21"/>
  <c r="P217" i="21"/>
  <c r="K217" i="21"/>
  <c r="G217" i="21"/>
  <c r="C217" i="21"/>
  <c r="S217" i="21"/>
  <c r="R217" i="21" s="1"/>
  <c r="J217" i="21"/>
  <c r="B217" i="21"/>
  <c r="Q217" i="21"/>
  <c r="H217" i="21"/>
  <c r="D223" i="21"/>
  <c r="M229" i="21"/>
  <c r="I229" i="21"/>
  <c r="E229" i="21"/>
  <c r="X229" i="21"/>
  <c r="P229" i="21"/>
  <c r="K229" i="21"/>
  <c r="G229" i="21"/>
  <c r="C229" i="21"/>
  <c r="U229" i="21"/>
  <c r="L229" i="21"/>
  <c r="D229" i="21"/>
  <c r="S229" i="21"/>
  <c r="J229" i="21"/>
  <c r="B229" i="21"/>
  <c r="D233" i="21"/>
  <c r="Z212" i="21"/>
  <c r="AA212" i="21" s="1"/>
  <c r="AC212" i="21" s="1"/>
  <c r="AF218" i="21"/>
  <c r="X219" i="21"/>
  <c r="P219" i="21"/>
  <c r="K219" i="21"/>
  <c r="G219" i="21"/>
  <c r="C219" i="21"/>
  <c r="M219" i="21"/>
  <c r="I219" i="21"/>
  <c r="E219" i="21"/>
  <c r="U219" i="21"/>
  <c r="L219" i="21"/>
  <c r="D219" i="21"/>
  <c r="S219" i="21"/>
  <c r="J219" i="21"/>
  <c r="B219" i="21"/>
  <c r="AI222" i="21"/>
  <c r="AG222" i="21"/>
  <c r="AF222" i="21"/>
  <c r="AH222" i="21"/>
  <c r="X223" i="21"/>
  <c r="T223" i="21"/>
  <c r="P223" i="21"/>
  <c r="K223" i="21"/>
  <c r="G223" i="21"/>
  <c r="C223" i="21"/>
  <c r="V223" i="21"/>
  <c r="R223" i="21"/>
  <c r="M223" i="21"/>
  <c r="I223" i="21"/>
  <c r="E223" i="21"/>
  <c r="S223" i="21"/>
  <c r="J223" i="21"/>
  <c r="B223" i="21"/>
  <c r="Q223" i="21"/>
  <c r="H223" i="21"/>
  <c r="Z232" i="21"/>
  <c r="AA232" i="21" s="1"/>
  <c r="AC232" i="21" s="1"/>
  <c r="M233" i="21"/>
  <c r="I233" i="21"/>
  <c r="E233" i="21"/>
  <c r="X233" i="21"/>
  <c r="P233" i="21"/>
  <c r="K233" i="21"/>
  <c r="G233" i="21"/>
  <c r="C233" i="21"/>
  <c r="S233" i="21"/>
  <c r="R233" i="21" s="1"/>
  <c r="J233" i="21"/>
  <c r="B233" i="21"/>
  <c r="Q233" i="21"/>
  <c r="H233" i="21"/>
  <c r="M249" i="21"/>
  <c r="I249" i="21"/>
  <c r="E249" i="21"/>
  <c r="X249" i="21"/>
  <c r="P249" i="21"/>
  <c r="K249" i="21"/>
  <c r="G249" i="21"/>
  <c r="C249" i="21"/>
  <c r="S249" i="21"/>
  <c r="R249" i="21" s="1"/>
  <c r="J249" i="21"/>
  <c r="B249" i="21"/>
  <c r="Q249" i="21"/>
  <c r="H249" i="21"/>
  <c r="U249" i="21"/>
  <c r="L249" i="21"/>
  <c r="D249" i="21"/>
  <c r="Z244" i="21"/>
  <c r="AA244" i="21" s="1"/>
  <c r="AC244" i="21" s="1"/>
  <c r="M245" i="21"/>
  <c r="I245" i="21"/>
  <c r="E245" i="21"/>
  <c r="X245" i="21"/>
  <c r="P245" i="21"/>
  <c r="K245" i="21"/>
  <c r="G245" i="21"/>
  <c r="C245" i="21"/>
  <c r="N245" i="21"/>
  <c r="AI250" i="21"/>
  <c r="AG250" i="21"/>
  <c r="Z250" i="21"/>
  <c r="AA250" i="21" s="1"/>
  <c r="AC250" i="21" s="1"/>
  <c r="X251" i="21"/>
  <c r="P251" i="21"/>
  <c r="K251" i="21"/>
  <c r="G251" i="21"/>
  <c r="C251" i="21"/>
  <c r="M251" i="21"/>
  <c r="I251" i="21"/>
  <c r="E251" i="21"/>
  <c r="N251" i="21"/>
  <c r="D255" i="21"/>
  <c r="L255" i="21"/>
  <c r="AG256" i="21"/>
  <c r="AI256" i="21"/>
  <c r="M261" i="21"/>
  <c r="I261" i="21"/>
  <c r="E261" i="21"/>
  <c r="X261" i="21"/>
  <c r="P261" i="21"/>
  <c r="K261" i="21"/>
  <c r="G261" i="21"/>
  <c r="C261" i="21"/>
  <c r="N261" i="21"/>
  <c r="D265" i="21"/>
  <c r="L265" i="21"/>
  <c r="Z266" i="21"/>
  <c r="AA266" i="21" s="1"/>
  <c r="AC266" i="21" s="1"/>
  <c r="M269" i="21"/>
  <c r="I269" i="21"/>
  <c r="E269" i="21"/>
  <c r="U269" i="21"/>
  <c r="Q269" i="21"/>
  <c r="L269" i="21"/>
  <c r="H269" i="21"/>
  <c r="D269" i="21"/>
  <c r="X269" i="21"/>
  <c r="P269" i="21"/>
  <c r="K269" i="21"/>
  <c r="G269" i="21"/>
  <c r="C269" i="21"/>
  <c r="M277" i="21"/>
  <c r="I277" i="21"/>
  <c r="E277" i="21"/>
  <c r="U277" i="21"/>
  <c r="Q277" i="21"/>
  <c r="L277" i="21"/>
  <c r="H277" i="21"/>
  <c r="D277" i="21"/>
  <c r="X277" i="21"/>
  <c r="P277" i="21"/>
  <c r="K277" i="21"/>
  <c r="G277" i="21"/>
  <c r="C277" i="21"/>
  <c r="AI254" i="21"/>
  <c r="AG254" i="21"/>
  <c r="Z254" i="21"/>
  <c r="AA254" i="21" s="1"/>
  <c r="AC254" i="21" s="1"/>
  <c r="X255" i="21"/>
  <c r="P255" i="21"/>
  <c r="K255" i="21"/>
  <c r="G255" i="21"/>
  <c r="C255" i="21"/>
  <c r="M255" i="21"/>
  <c r="I255" i="21"/>
  <c r="E255" i="21"/>
  <c r="N255" i="21"/>
  <c r="AF256" i="21"/>
  <c r="Z264" i="21"/>
  <c r="AA264" i="21" s="1"/>
  <c r="AC264" i="21" s="1"/>
  <c r="M265" i="21"/>
  <c r="I265" i="21"/>
  <c r="E265" i="21"/>
  <c r="X265" i="21"/>
  <c r="P265" i="21"/>
  <c r="K265" i="21"/>
  <c r="G265" i="21"/>
  <c r="C265" i="21"/>
  <c r="N265" i="21"/>
  <c r="J269" i="21"/>
  <c r="AI270" i="21"/>
  <c r="AH270" i="21"/>
  <c r="AG270" i="21"/>
  <c r="Z270" i="21"/>
  <c r="AA270" i="21" s="1"/>
  <c r="AC270" i="21" s="1"/>
  <c r="AF270" i="21"/>
  <c r="J277" i="21"/>
  <c r="J172" i="21"/>
  <c r="N172" i="21"/>
  <c r="T172" i="21" s="1"/>
  <c r="AJ172" i="21" s="1"/>
  <c r="J176" i="21"/>
  <c r="N176" i="21"/>
  <c r="U180" i="21"/>
  <c r="Q180" i="21"/>
  <c r="L180" i="21"/>
  <c r="H180" i="21"/>
  <c r="D180" i="21"/>
  <c r="K180" i="21"/>
  <c r="R181" i="21"/>
  <c r="M181" i="21"/>
  <c r="I181" i="21"/>
  <c r="E181" i="21"/>
  <c r="K181" i="21"/>
  <c r="Q181" i="21"/>
  <c r="U184" i="21"/>
  <c r="Q184" i="21"/>
  <c r="L184" i="21"/>
  <c r="H184" i="21"/>
  <c r="D184" i="21"/>
  <c r="K184" i="21"/>
  <c r="R184" i="21"/>
  <c r="M185" i="21"/>
  <c r="I185" i="21"/>
  <c r="E185" i="21"/>
  <c r="K185" i="21"/>
  <c r="Q185" i="21"/>
  <c r="U188" i="21"/>
  <c r="Q188" i="21"/>
  <c r="L188" i="21"/>
  <c r="H188" i="21"/>
  <c r="D188" i="21"/>
  <c r="K188" i="21"/>
  <c r="AA189" i="21"/>
  <c r="AC189" i="21" s="1"/>
  <c r="R189" i="21"/>
  <c r="M189" i="21"/>
  <c r="I189" i="21"/>
  <c r="E189" i="21"/>
  <c r="K189" i="21"/>
  <c r="Q189" i="21"/>
  <c r="U192" i="21"/>
  <c r="Q192" i="21"/>
  <c r="L192" i="21"/>
  <c r="H192" i="21"/>
  <c r="D192" i="21"/>
  <c r="K192" i="21"/>
  <c r="R192" i="21"/>
  <c r="R193" i="21"/>
  <c r="M193" i="21"/>
  <c r="I193" i="21"/>
  <c r="E193" i="21"/>
  <c r="K193" i="21"/>
  <c r="Q193" i="21"/>
  <c r="U196" i="21"/>
  <c r="Q196" i="21"/>
  <c r="L196" i="21"/>
  <c r="H196" i="21"/>
  <c r="D196" i="21"/>
  <c r="K196" i="21"/>
  <c r="R196" i="21"/>
  <c r="M197" i="21"/>
  <c r="I197" i="21"/>
  <c r="E197" i="21"/>
  <c r="K197" i="21"/>
  <c r="Q197" i="21"/>
  <c r="U200" i="21"/>
  <c r="Q200" i="21"/>
  <c r="L200" i="21"/>
  <c r="H200" i="21"/>
  <c r="D200" i="21"/>
  <c r="K200" i="21"/>
  <c r="R200" i="21"/>
  <c r="M201" i="21"/>
  <c r="I201" i="21"/>
  <c r="E201" i="21"/>
  <c r="K201" i="21"/>
  <c r="Q201" i="21"/>
  <c r="U204" i="21"/>
  <c r="Q204" i="21"/>
  <c r="L204" i="21"/>
  <c r="H204" i="21"/>
  <c r="D204" i="21"/>
  <c r="K204" i="21"/>
  <c r="R204" i="21"/>
  <c r="AA205" i="21"/>
  <c r="AC205" i="21" s="1"/>
  <c r="R205" i="21"/>
  <c r="M205" i="21"/>
  <c r="I205" i="21"/>
  <c r="E205" i="21"/>
  <c r="K205" i="21"/>
  <c r="Q205" i="21"/>
  <c r="U208" i="21"/>
  <c r="Q208" i="21"/>
  <c r="L208" i="21"/>
  <c r="H208" i="21"/>
  <c r="D208" i="21"/>
  <c r="K208" i="21"/>
  <c r="R208" i="21"/>
  <c r="AI210" i="21"/>
  <c r="AG210" i="21"/>
  <c r="Z210" i="21"/>
  <c r="AA210" i="21" s="1"/>
  <c r="AC210" i="21" s="1"/>
  <c r="X211" i="21"/>
  <c r="P211" i="21"/>
  <c r="R211" i="21" s="1"/>
  <c r="K211" i="21"/>
  <c r="G211" i="21"/>
  <c r="C211" i="21"/>
  <c r="M211" i="21"/>
  <c r="I211" i="21"/>
  <c r="E211" i="21"/>
  <c r="N211" i="21"/>
  <c r="AG216" i="21"/>
  <c r="AI216" i="21"/>
  <c r="M221" i="21"/>
  <c r="I221" i="21"/>
  <c r="E221" i="21"/>
  <c r="X221" i="21"/>
  <c r="P221" i="21"/>
  <c r="R221" i="21" s="1"/>
  <c r="K221" i="21"/>
  <c r="G221" i="21"/>
  <c r="C221" i="21"/>
  <c r="N221" i="21"/>
  <c r="D225" i="21"/>
  <c r="L225" i="21"/>
  <c r="AI226" i="21"/>
  <c r="AG226" i="21"/>
  <c r="Z226" i="21"/>
  <c r="AA226" i="21" s="1"/>
  <c r="AC226" i="21" s="1"/>
  <c r="X227" i="21"/>
  <c r="P227" i="21"/>
  <c r="R227" i="21" s="1"/>
  <c r="K227" i="21"/>
  <c r="G227" i="21"/>
  <c r="C227" i="21"/>
  <c r="M227" i="21"/>
  <c r="I227" i="21"/>
  <c r="E227" i="21"/>
  <c r="N227" i="21"/>
  <c r="D231" i="21"/>
  <c r="L231" i="21"/>
  <c r="AG232" i="21"/>
  <c r="AI232" i="21"/>
  <c r="Z236" i="21"/>
  <c r="AA236" i="21" s="1"/>
  <c r="AC236" i="21" s="1"/>
  <c r="M237" i="21"/>
  <c r="I237" i="21"/>
  <c r="E237" i="21"/>
  <c r="X237" i="21"/>
  <c r="P237" i="21"/>
  <c r="R237" i="21" s="1"/>
  <c r="K237" i="21"/>
  <c r="G237" i="21"/>
  <c r="C237" i="21"/>
  <c r="N237" i="21"/>
  <c r="D241" i="21"/>
  <c r="L241" i="21"/>
  <c r="AI242" i="21"/>
  <c r="AG242" i="21"/>
  <c r="X243" i="21"/>
  <c r="P243" i="21"/>
  <c r="K243" i="21"/>
  <c r="G243" i="21"/>
  <c r="C243" i="21"/>
  <c r="M243" i="21"/>
  <c r="I243" i="21"/>
  <c r="E243" i="21"/>
  <c r="N243" i="21"/>
  <c r="B245" i="21"/>
  <c r="J245" i="21"/>
  <c r="S245" i="21"/>
  <c r="D247" i="21"/>
  <c r="L247" i="21"/>
  <c r="AG248" i="21"/>
  <c r="AI248" i="21"/>
  <c r="AF250" i="21"/>
  <c r="B251" i="21"/>
  <c r="J251" i="21"/>
  <c r="S251" i="21"/>
  <c r="M253" i="21"/>
  <c r="I253" i="21"/>
  <c r="E253" i="21"/>
  <c r="X253" i="21"/>
  <c r="P253" i="21"/>
  <c r="R253" i="21" s="1"/>
  <c r="K253" i="21"/>
  <c r="G253" i="21"/>
  <c r="C253" i="21"/>
  <c r="N253" i="21"/>
  <c r="T253" i="21" s="1"/>
  <c r="AJ253" i="21" s="1"/>
  <c r="H255" i="21"/>
  <c r="Q255" i="21"/>
  <c r="AH256" i="21"/>
  <c r="D257" i="21"/>
  <c r="L257" i="21"/>
  <c r="AI258" i="21"/>
  <c r="AG258" i="21"/>
  <c r="Z258" i="21"/>
  <c r="AA258" i="21" s="1"/>
  <c r="AC258" i="21" s="1"/>
  <c r="X259" i="21"/>
  <c r="P259" i="21"/>
  <c r="R259" i="21" s="1"/>
  <c r="K259" i="21"/>
  <c r="G259" i="21"/>
  <c r="C259" i="21"/>
  <c r="M259" i="21"/>
  <c r="I259" i="21"/>
  <c r="E259" i="21"/>
  <c r="N259" i="21"/>
  <c r="T259" i="21" s="1"/>
  <c r="AJ259" i="21" s="1"/>
  <c r="B261" i="21"/>
  <c r="J261" i="21"/>
  <c r="S261" i="21"/>
  <c r="R261" i="21" s="1"/>
  <c r="T261" i="21" s="1"/>
  <c r="D263" i="21"/>
  <c r="L263" i="21"/>
  <c r="AG264" i="21"/>
  <c r="AI264" i="21"/>
  <c r="H265" i="21"/>
  <c r="Q265" i="21"/>
  <c r="N269" i="21"/>
  <c r="M273" i="21"/>
  <c r="I273" i="21"/>
  <c r="E273" i="21"/>
  <c r="U273" i="21"/>
  <c r="Q273" i="21"/>
  <c r="L273" i="21"/>
  <c r="H273" i="21"/>
  <c r="D273" i="21"/>
  <c r="X273" i="21"/>
  <c r="P273" i="21"/>
  <c r="R273" i="21" s="1"/>
  <c r="K273" i="21"/>
  <c r="G273" i="21"/>
  <c r="C273" i="21"/>
  <c r="N277" i="21"/>
  <c r="AG220" i="21"/>
  <c r="AI220" i="21"/>
  <c r="Z224" i="21"/>
  <c r="AA224" i="21" s="1"/>
  <c r="AC224" i="21" s="1"/>
  <c r="M225" i="21"/>
  <c r="I225" i="21"/>
  <c r="E225" i="21"/>
  <c r="X225" i="21"/>
  <c r="P225" i="21"/>
  <c r="K225" i="21"/>
  <c r="G225" i="21"/>
  <c r="C225" i="21"/>
  <c r="N225" i="21"/>
  <c r="AI230" i="21"/>
  <c r="AG230" i="21"/>
  <c r="Z230" i="21"/>
  <c r="AA230" i="21" s="1"/>
  <c r="AC230" i="21" s="1"/>
  <c r="X231" i="21"/>
  <c r="P231" i="21"/>
  <c r="R231" i="21" s="1"/>
  <c r="K231" i="21"/>
  <c r="G231" i="21"/>
  <c r="C231" i="21"/>
  <c r="M231" i="21"/>
  <c r="I231" i="21"/>
  <c r="E231" i="21"/>
  <c r="N231" i="21"/>
  <c r="AG236" i="21"/>
  <c r="AI236" i="21"/>
  <c r="M241" i="21"/>
  <c r="I241" i="21"/>
  <c r="E241" i="21"/>
  <c r="X241" i="21"/>
  <c r="P241" i="21"/>
  <c r="R241" i="21" s="1"/>
  <c r="K241" i="21"/>
  <c r="G241" i="21"/>
  <c r="C241" i="21"/>
  <c r="N241" i="21"/>
  <c r="D245" i="21"/>
  <c r="L245" i="21"/>
  <c r="U245" i="21"/>
  <c r="AI246" i="21"/>
  <c r="AG246" i="21"/>
  <c r="Z246" i="21"/>
  <c r="AA246" i="21" s="1"/>
  <c r="AC246" i="21" s="1"/>
  <c r="X247" i="21"/>
  <c r="P247" i="21"/>
  <c r="R247" i="21" s="1"/>
  <c r="K247" i="21"/>
  <c r="G247" i="21"/>
  <c r="C247" i="21"/>
  <c r="M247" i="21"/>
  <c r="I247" i="21"/>
  <c r="E247" i="21"/>
  <c r="N247" i="21"/>
  <c r="T247" i="21" s="1"/>
  <c r="AH250" i="21"/>
  <c r="D251" i="21"/>
  <c r="L251" i="21"/>
  <c r="U251" i="21"/>
  <c r="AF254" i="21"/>
  <c r="B255" i="21"/>
  <c r="J255" i="21"/>
  <c r="S255" i="21"/>
  <c r="Z256" i="21"/>
  <c r="AA256" i="21" s="1"/>
  <c r="AC256" i="21" s="1"/>
  <c r="M257" i="21"/>
  <c r="I257" i="21"/>
  <c r="E257" i="21"/>
  <c r="X257" i="21"/>
  <c r="P257" i="21"/>
  <c r="R257" i="21" s="1"/>
  <c r="K257" i="21"/>
  <c r="G257" i="21"/>
  <c r="C257" i="21"/>
  <c r="N257" i="21"/>
  <c r="D261" i="21"/>
  <c r="L261" i="21"/>
  <c r="U261" i="21"/>
  <c r="AI262" i="21"/>
  <c r="AG262" i="21"/>
  <c r="X263" i="21"/>
  <c r="P263" i="21"/>
  <c r="R263" i="21" s="1"/>
  <c r="K263" i="21"/>
  <c r="G263" i="21"/>
  <c r="C263" i="21"/>
  <c r="M263" i="21"/>
  <c r="I263" i="21"/>
  <c r="E263" i="21"/>
  <c r="N263" i="21"/>
  <c r="B265" i="21"/>
  <c r="J265" i="21"/>
  <c r="S265" i="21"/>
  <c r="AH266" i="21"/>
  <c r="B269" i="21"/>
  <c r="S269" i="21"/>
  <c r="AI274" i="21"/>
  <c r="AH274" i="21"/>
  <c r="AG274" i="21"/>
  <c r="AF274" i="21"/>
  <c r="B277" i="21"/>
  <c r="S277" i="21"/>
  <c r="AG299" i="21"/>
  <c r="AF299" i="21"/>
  <c r="AI299" i="21"/>
  <c r="AH300" i="21"/>
  <c r="AF300" i="21"/>
  <c r="AI300" i="21"/>
  <c r="AH301" i="21"/>
  <c r="X302" i="21"/>
  <c r="P302" i="21"/>
  <c r="K302" i="21"/>
  <c r="G302" i="21"/>
  <c r="C302" i="21"/>
  <c r="Q302" i="21"/>
  <c r="J302" i="21"/>
  <c r="E302" i="21"/>
  <c r="M302" i="21"/>
  <c r="U302" i="21"/>
  <c r="Z303" i="21"/>
  <c r="AA303" i="21" s="1"/>
  <c r="AC303" i="21" s="1"/>
  <c r="AG315" i="21"/>
  <c r="AF315" i="21"/>
  <c r="AI315" i="21"/>
  <c r="AH317" i="21"/>
  <c r="X318" i="21"/>
  <c r="P318" i="21"/>
  <c r="K318" i="21"/>
  <c r="G318" i="21"/>
  <c r="C318" i="21"/>
  <c r="Q318" i="21"/>
  <c r="J318" i="21"/>
  <c r="E318" i="21"/>
  <c r="M318" i="21"/>
  <c r="U318" i="21"/>
  <c r="Z319" i="21"/>
  <c r="AA319" i="21" s="1"/>
  <c r="AC319" i="21" s="1"/>
  <c r="AF331" i="21"/>
  <c r="J212" i="21"/>
  <c r="N212" i="21"/>
  <c r="S212" i="21"/>
  <c r="J216" i="21"/>
  <c r="N216" i="21"/>
  <c r="S216" i="21"/>
  <c r="R216" i="21" s="1"/>
  <c r="J220" i="21"/>
  <c r="N220" i="21"/>
  <c r="S220" i="21"/>
  <c r="J224" i="21"/>
  <c r="N224" i="21"/>
  <c r="S224" i="21"/>
  <c r="R224" i="21" s="1"/>
  <c r="J228" i="21"/>
  <c r="N228" i="21"/>
  <c r="S228" i="21"/>
  <c r="R228" i="21" s="1"/>
  <c r="J232" i="21"/>
  <c r="N232" i="21"/>
  <c r="S232" i="21"/>
  <c r="R232" i="21" s="1"/>
  <c r="J236" i="21"/>
  <c r="N236" i="21"/>
  <c r="S236" i="21"/>
  <c r="R236" i="21" s="1"/>
  <c r="J240" i="21"/>
  <c r="N240" i="21"/>
  <c r="S240" i="21"/>
  <c r="J244" i="21"/>
  <c r="N244" i="21"/>
  <c r="S244" i="21"/>
  <c r="R244" i="21" s="1"/>
  <c r="J248" i="21"/>
  <c r="N248" i="21"/>
  <c r="S248" i="21"/>
  <c r="R248" i="21" s="1"/>
  <c r="J252" i="21"/>
  <c r="N252" i="21"/>
  <c r="S252" i="21"/>
  <c r="R252" i="21" s="1"/>
  <c r="J256" i="21"/>
  <c r="N256" i="21"/>
  <c r="S256" i="21"/>
  <c r="R256" i="21" s="1"/>
  <c r="J260" i="21"/>
  <c r="N260" i="21"/>
  <c r="S260" i="21"/>
  <c r="R260" i="21" s="1"/>
  <c r="J264" i="21"/>
  <c r="N264" i="21"/>
  <c r="S264" i="21"/>
  <c r="E267" i="21"/>
  <c r="I267" i="21"/>
  <c r="M267" i="21"/>
  <c r="J268" i="21"/>
  <c r="N268" i="21"/>
  <c r="S268" i="21"/>
  <c r="R268" i="21" s="1"/>
  <c r="AI268" i="21"/>
  <c r="E271" i="21"/>
  <c r="I271" i="21"/>
  <c r="M271" i="21"/>
  <c r="J272" i="21"/>
  <c r="N272" i="21"/>
  <c r="S272" i="21"/>
  <c r="R272" i="21" s="1"/>
  <c r="AI272" i="21"/>
  <c r="E275" i="21"/>
  <c r="I275" i="21"/>
  <c r="M275" i="21"/>
  <c r="R275" i="21"/>
  <c r="V275" i="21"/>
  <c r="J276" i="21"/>
  <c r="N276" i="21"/>
  <c r="S276" i="21"/>
  <c r="R276" i="21" s="1"/>
  <c r="AA278" i="21"/>
  <c r="AC278" i="21" s="1"/>
  <c r="R278" i="21"/>
  <c r="M278" i="21"/>
  <c r="I278" i="21"/>
  <c r="E278" i="21"/>
  <c r="K278" i="21"/>
  <c r="Q278" i="21"/>
  <c r="E280" i="21"/>
  <c r="J280" i="21"/>
  <c r="Q280" i="21"/>
  <c r="U281" i="21"/>
  <c r="Q281" i="21"/>
  <c r="L281" i="21"/>
  <c r="H281" i="21"/>
  <c r="D281" i="21"/>
  <c r="K281" i="21"/>
  <c r="M282" i="21"/>
  <c r="I282" i="21"/>
  <c r="E282" i="21"/>
  <c r="K282" i="21"/>
  <c r="Q282" i="21"/>
  <c r="E284" i="21"/>
  <c r="J284" i="21"/>
  <c r="Q284" i="21"/>
  <c r="U285" i="21"/>
  <c r="Q285" i="21"/>
  <c r="L285" i="21"/>
  <c r="H285" i="21"/>
  <c r="D285" i="21"/>
  <c r="K285" i="21"/>
  <c r="M286" i="21"/>
  <c r="I286" i="21"/>
  <c r="E286" i="21"/>
  <c r="K286" i="21"/>
  <c r="Q286" i="21"/>
  <c r="E288" i="21"/>
  <c r="J288" i="21"/>
  <c r="Q288" i="21"/>
  <c r="U289" i="21"/>
  <c r="Q289" i="21"/>
  <c r="L289" i="21"/>
  <c r="H289" i="21"/>
  <c r="D289" i="21"/>
  <c r="K289" i="21"/>
  <c r="R289" i="21"/>
  <c r="X290" i="21"/>
  <c r="P290" i="21"/>
  <c r="K290" i="21"/>
  <c r="G290" i="21"/>
  <c r="Q290" i="21"/>
  <c r="J290" i="21"/>
  <c r="E290" i="21"/>
  <c r="M290" i="21"/>
  <c r="U290" i="21"/>
  <c r="Z291" i="21"/>
  <c r="AA291" i="21" s="1"/>
  <c r="AC291" i="21" s="1"/>
  <c r="AG293" i="21"/>
  <c r="D294" i="21"/>
  <c r="L294" i="21"/>
  <c r="S294" i="21"/>
  <c r="H302" i="21"/>
  <c r="N302" i="21"/>
  <c r="AG303" i="21"/>
  <c r="AH304" i="21"/>
  <c r="AF304" i="21"/>
  <c r="AI304" i="21"/>
  <c r="AH305" i="21"/>
  <c r="X306" i="21"/>
  <c r="P306" i="21"/>
  <c r="R306" i="21" s="1"/>
  <c r="K306" i="21"/>
  <c r="G306" i="21"/>
  <c r="C306" i="21"/>
  <c r="Q306" i="21"/>
  <c r="J306" i="21"/>
  <c r="E306" i="21"/>
  <c r="M306" i="21"/>
  <c r="U306" i="21"/>
  <c r="Z307" i="21"/>
  <c r="AA307" i="21" s="1"/>
  <c r="AC307" i="21" s="1"/>
  <c r="AG309" i="21"/>
  <c r="D310" i="21"/>
  <c r="L310" i="21"/>
  <c r="S310" i="21"/>
  <c r="H318" i="21"/>
  <c r="N318" i="21"/>
  <c r="AG319" i="21"/>
  <c r="AF319" i="21"/>
  <c r="AI319" i="21"/>
  <c r="AI320" i="21"/>
  <c r="X322" i="21"/>
  <c r="P322" i="21"/>
  <c r="R322" i="21" s="1"/>
  <c r="K322" i="21"/>
  <c r="G322" i="21"/>
  <c r="C322" i="21"/>
  <c r="Q322" i="21"/>
  <c r="J322" i="21"/>
  <c r="E322" i="21"/>
  <c r="M322" i="21"/>
  <c r="U322" i="21"/>
  <c r="Z323" i="21"/>
  <c r="AA323" i="21" s="1"/>
  <c r="AC323" i="21" s="1"/>
  <c r="D326" i="21"/>
  <c r="L326" i="21"/>
  <c r="S326" i="21"/>
  <c r="AF329" i="21"/>
  <c r="B330" i="21"/>
  <c r="I330" i="21"/>
  <c r="D334" i="21"/>
  <c r="N334" i="21"/>
  <c r="J267" i="21"/>
  <c r="N267" i="21"/>
  <c r="S267" i="21"/>
  <c r="J271" i="21"/>
  <c r="N271" i="21"/>
  <c r="S271" i="21"/>
  <c r="AF272" i="21"/>
  <c r="J275" i="21"/>
  <c r="N275" i="21"/>
  <c r="S275" i="21"/>
  <c r="X280" i="21"/>
  <c r="P280" i="21"/>
  <c r="K280" i="21"/>
  <c r="G280" i="21"/>
  <c r="C280" i="21"/>
  <c r="L280" i="21"/>
  <c r="X284" i="21"/>
  <c r="P284" i="21"/>
  <c r="K284" i="21"/>
  <c r="G284" i="21"/>
  <c r="C284" i="21"/>
  <c r="L284" i="21"/>
  <c r="X288" i="21"/>
  <c r="P288" i="21"/>
  <c r="K288" i="21"/>
  <c r="G288" i="21"/>
  <c r="C288" i="21"/>
  <c r="L288" i="21"/>
  <c r="AG291" i="21"/>
  <c r="AF291" i="21"/>
  <c r="AI291" i="21"/>
  <c r="AF292" i="21"/>
  <c r="AH293" i="21"/>
  <c r="X294" i="21"/>
  <c r="P294" i="21"/>
  <c r="K294" i="21"/>
  <c r="G294" i="21"/>
  <c r="C294" i="21"/>
  <c r="Q294" i="21"/>
  <c r="J294" i="21"/>
  <c r="E294" i="21"/>
  <c r="M294" i="21"/>
  <c r="U294" i="21"/>
  <c r="AF301" i="21"/>
  <c r="B302" i="21"/>
  <c r="I302" i="21"/>
  <c r="Z304" i="21"/>
  <c r="AA304" i="21" s="1"/>
  <c r="AC304" i="21" s="1"/>
  <c r="AG307" i="21"/>
  <c r="AF307" i="21"/>
  <c r="AI307" i="21"/>
  <c r="AH308" i="21"/>
  <c r="AF308" i="21"/>
  <c r="AI308" i="21"/>
  <c r="AH309" i="21"/>
  <c r="X310" i="21"/>
  <c r="P310" i="21"/>
  <c r="K310" i="21"/>
  <c r="G310" i="21"/>
  <c r="C310" i="21"/>
  <c r="Q310" i="21"/>
  <c r="J310" i="21"/>
  <c r="E310" i="21"/>
  <c r="M310" i="21"/>
  <c r="U310" i="21"/>
  <c r="AF317" i="21"/>
  <c r="B318" i="21"/>
  <c r="I318" i="21"/>
  <c r="AG323" i="21"/>
  <c r="AF323" i="21"/>
  <c r="AI323" i="21"/>
  <c r="AH324" i="21"/>
  <c r="X326" i="21"/>
  <c r="P326" i="21"/>
  <c r="K326" i="21"/>
  <c r="G326" i="21"/>
  <c r="C326" i="21"/>
  <c r="Q326" i="21"/>
  <c r="J326" i="21"/>
  <c r="E326" i="21"/>
  <c r="M326" i="21"/>
  <c r="U326" i="21"/>
  <c r="X334" i="21"/>
  <c r="P334" i="21"/>
  <c r="K334" i="21"/>
  <c r="G334" i="21"/>
  <c r="C334" i="21"/>
  <c r="S334" i="21"/>
  <c r="M334" i="21"/>
  <c r="H334" i="21"/>
  <c r="B334" i="21"/>
  <c r="Q334" i="21"/>
  <c r="J334" i="21"/>
  <c r="E334" i="21"/>
  <c r="R334" i="21"/>
  <c r="Z336" i="21"/>
  <c r="AA336" i="21" s="1"/>
  <c r="AC336" i="21" s="1"/>
  <c r="J178" i="21"/>
  <c r="N178" i="21"/>
  <c r="J182" i="21"/>
  <c r="N182" i="21"/>
  <c r="J186" i="21"/>
  <c r="N186" i="21"/>
  <c r="J190" i="21"/>
  <c r="N190" i="21"/>
  <c r="J194" i="21"/>
  <c r="N194" i="21"/>
  <c r="J198" i="21"/>
  <c r="N198" i="21"/>
  <c r="T198" i="21" s="1"/>
  <c r="AJ198" i="21" s="1"/>
  <c r="J202" i="21"/>
  <c r="N202" i="21"/>
  <c r="J206" i="21"/>
  <c r="N206" i="21"/>
  <c r="J210" i="21"/>
  <c r="N210" i="21"/>
  <c r="D212" i="21"/>
  <c r="H212" i="21"/>
  <c r="L212" i="21"/>
  <c r="Q212" i="21"/>
  <c r="J214" i="21"/>
  <c r="N214" i="21"/>
  <c r="D216" i="21"/>
  <c r="H216" i="21"/>
  <c r="L216" i="21"/>
  <c r="Q216" i="21"/>
  <c r="J218" i="21"/>
  <c r="N218" i="21"/>
  <c r="D220" i="21"/>
  <c r="H220" i="21"/>
  <c r="L220" i="21"/>
  <c r="Q220" i="21"/>
  <c r="J222" i="21"/>
  <c r="N222" i="21"/>
  <c r="D224" i="21"/>
  <c r="H224" i="21"/>
  <c r="L224" i="21"/>
  <c r="Q224" i="21"/>
  <c r="J226" i="21"/>
  <c r="N226" i="21"/>
  <c r="D228" i="21"/>
  <c r="H228" i="21"/>
  <c r="L228" i="21"/>
  <c r="Q228" i="21"/>
  <c r="J230" i="21"/>
  <c r="N230" i="21"/>
  <c r="D232" i="21"/>
  <c r="H232" i="21"/>
  <c r="L232" i="21"/>
  <c r="Q232" i="21"/>
  <c r="J234" i="21"/>
  <c r="N234" i="21"/>
  <c r="D236" i="21"/>
  <c r="H236" i="21"/>
  <c r="L236" i="21"/>
  <c r="Q236" i="21"/>
  <c r="J238" i="21"/>
  <c r="N238" i="21"/>
  <c r="D240" i="21"/>
  <c r="H240" i="21"/>
  <c r="L240" i="21"/>
  <c r="Q240" i="21"/>
  <c r="J242" i="21"/>
  <c r="N242" i="21"/>
  <c r="D244" i="21"/>
  <c r="H244" i="21"/>
  <c r="L244" i="21"/>
  <c r="Q244" i="21"/>
  <c r="J246" i="21"/>
  <c r="N246" i="21"/>
  <c r="D248" i="21"/>
  <c r="H248" i="21"/>
  <c r="L248" i="21"/>
  <c r="Q248" i="21"/>
  <c r="J250" i="21"/>
  <c r="N250" i="21"/>
  <c r="D252" i="21"/>
  <c r="H252" i="21"/>
  <c r="L252" i="21"/>
  <c r="Q252" i="21"/>
  <c r="J254" i="21"/>
  <c r="N254" i="21"/>
  <c r="D256" i="21"/>
  <c r="H256" i="21"/>
  <c r="L256" i="21"/>
  <c r="Q256" i="21"/>
  <c r="J258" i="21"/>
  <c r="N258" i="21"/>
  <c r="D260" i="21"/>
  <c r="H260" i="21"/>
  <c r="L260" i="21"/>
  <c r="Q260" i="21"/>
  <c r="J262" i="21"/>
  <c r="N262" i="21"/>
  <c r="D264" i="21"/>
  <c r="H264" i="21"/>
  <c r="L264" i="21"/>
  <c r="Q264" i="21"/>
  <c r="J266" i="21"/>
  <c r="N266" i="21"/>
  <c r="T266" i="21" s="1"/>
  <c r="C267" i="21"/>
  <c r="G267" i="21"/>
  <c r="K267" i="21"/>
  <c r="P267" i="21"/>
  <c r="D268" i="21"/>
  <c r="H268" i="21"/>
  <c r="L268" i="21"/>
  <c r="Q268" i="21"/>
  <c r="J270" i="21"/>
  <c r="N270" i="21"/>
  <c r="C271" i="21"/>
  <c r="G271" i="21"/>
  <c r="K271" i="21"/>
  <c r="P271" i="21"/>
  <c r="D272" i="21"/>
  <c r="H272" i="21"/>
  <c r="L272" i="21"/>
  <c r="Q272" i="21"/>
  <c r="J274" i="21"/>
  <c r="N274" i="21"/>
  <c r="C275" i="21"/>
  <c r="G275" i="21"/>
  <c r="K275" i="21"/>
  <c r="P275" i="21"/>
  <c r="T275" i="21"/>
  <c r="AJ275" i="21" s="1"/>
  <c r="D276" i="21"/>
  <c r="H276" i="21"/>
  <c r="L276" i="21"/>
  <c r="Q276" i="21"/>
  <c r="C278" i="21"/>
  <c r="H278" i="21"/>
  <c r="N278" i="21"/>
  <c r="AG279" i="21"/>
  <c r="B280" i="21"/>
  <c r="H280" i="21"/>
  <c r="M280" i="21"/>
  <c r="S280" i="21"/>
  <c r="C281" i="21"/>
  <c r="I281" i="21"/>
  <c r="N281" i="21"/>
  <c r="AA281" i="21"/>
  <c r="AC281" i="21" s="1"/>
  <c r="C282" i="21"/>
  <c r="H282" i="21"/>
  <c r="N282" i="21"/>
  <c r="B284" i="21"/>
  <c r="H284" i="21"/>
  <c r="M284" i="21"/>
  <c r="S284" i="21"/>
  <c r="C285" i="21"/>
  <c r="I285" i="21"/>
  <c r="N285" i="21"/>
  <c r="C286" i="21"/>
  <c r="H286" i="21"/>
  <c r="N286" i="21"/>
  <c r="B288" i="21"/>
  <c r="H288" i="21"/>
  <c r="M288" i="21"/>
  <c r="S288" i="21"/>
  <c r="C289" i="21"/>
  <c r="I289" i="21"/>
  <c r="N289" i="21"/>
  <c r="AA289" i="21"/>
  <c r="AC289" i="21" s="1"/>
  <c r="C290" i="21"/>
  <c r="I290" i="21"/>
  <c r="Z292" i="21"/>
  <c r="AA292" i="21" s="1"/>
  <c r="AC292" i="21" s="1"/>
  <c r="Z293" i="21"/>
  <c r="AA293" i="21" s="1"/>
  <c r="AC293" i="21" s="1"/>
  <c r="H294" i="21"/>
  <c r="N294" i="21"/>
  <c r="AG295" i="21"/>
  <c r="AF295" i="21"/>
  <c r="AI295" i="21"/>
  <c r="AF296" i="21"/>
  <c r="AH297" i="21"/>
  <c r="X298" i="21"/>
  <c r="P298" i="21"/>
  <c r="R298" i="21" s="1"/>
  <c r="K298" i="21"/>
  <c r="G298" i="21"/>
  <c r="C298" i="21"/>
  <c r="Q298" i="21"/>
  <c r="J298" i="21"/>
  <c r="E298" i="21"/>
  <c r="M298" i="21"/>
  <c r="U298" i="21"/>
  <c r="Z299" i="21"/>
  <c r="AA299" i="21" s="1"/>
  <c r="AC299" i="21" s="1"/>
  <c r="AH299" i="21"/>
  <c r="AG300" i="21"/>
  <c r="AG301" i="21"/>
  <c r="D302" i="21"/>
  <c r="L302" i="21"/>
  <c r="S302" i="21"/>
  <c r="AF305" i="21"/>
  <c r="B306" i="21"/>
  <c r="I306" i="21"/>
  <c r="Z308" i="21"/>
  <c r="AA308" i="21" s="1"/>
  <c r="AC308" i="21" s="1"/>
  <c r="Z309" i="21"/>
  <c r="AA309" i="21" s="1"/>
  <c r="AC309" i="21" s="1"/>
  <c r="H310" i="21"/>
  <c r="N310" i="21"/>
  <c r="AG311" i="21"/>
  <c r="AF311" i="21"/>
  <c r="AI311" i="21"/>
  <c r="AH313" i="21"/>
  <c r="X314" i="21"/>
  <c r="P314" i="21"/>
  <c r="R314" i="21" s="1"/>
  <c r="K314" i="21"/>
  <c r="G314" i="21"/>
  <c r="C314" i="21"/>
  <c r="Q314" i="21"/>
  <c r="J314" i="21"/>
  <c r="E314" i="21"/>
  <c r="M314" i="21"/>
  <c r="U314" i="21"/>
  <c r="Z315" i="21"/>
  <c r="AA315" i="21" s="1"/>
  <c r="AC315" i="21" s="1"/>
  <c r="AH315" i="21"/>
  <c r="AG316" i="21"/>
  <c r="AG317" i="21"/>
  <c r="D318" i="21"/>
  <c r="L318" i="21"/>
  <c r="S318" i="21"/>
  <c r="Z325" i="21"/>
  <c r="AA325" i="21" s="1"/>
  <c r="AC325" i="21" s="1"/>
  <c r="H326" i="21"/>
  <c r="N326" i="21"/>
  <c r="AG327" i="21"/>
  <c r="AH328" i="21"/>
  <c r="AF328" i="21"/>
  <c r="AI328" i="21"/>
  <c r="AH329" i="21"/>
  <c r="X330" i="21"/>
  <c r="P330" i="21"/>
  <c r="R330" i="21" s="1"/>
  <c r="K330" i="21"/>
  <c r="G330" i="21"/>
  <c r="C330" i="21"/>
  <c r="Q330" i="21"/>
  <c r="J330" i="21"/>
  <c r="E330" i="21"/>
  <c r="M330" i="21"/>
  <c r="U330" i="21"/>
  <c r="Z332" i="21"/>
  <c r="AA332" i="21" s="1"/>
  <c r="AC332" i="21" s="1"/>
  <c r="I334" i="21"/>
  <c r="U334" i="21"/>
  <c r="AI345" i="21"/>
  <c r="AG345" i="21"/>
  <c r="Z345" i="21"/>
  <c r="AA345" i="21" s="1"/>
  <c r="AC345" i="21" s="1"/>
  <c r="X346" i="21"/>
  <c r="P346" i="21"/>
  <c r="K346" i="21"/>
  <c r="G346" i="21"/>
  <c r="C346" i="21"/>
  <c r="M346" i="21"/>
  <c r="I346" i="21"/>
  <c r="E346" i="21"/>
  <c r="N346" i="21"/>
  <c r="AG351" i="21"/>
  <c r="AI351" i="21"/>
  <c r="AI361" i="21"/>
  <c r="AH361" i="21"/>
  <c r="AG361" i="21"/>
  <c r="W361" i="21"/>
  <c r="Z361" i="21"/>
  <c r="AA361" i="21" s="1"/>
  <c r="AC361" i="21" s="1"/>
  <c r="M368" i="21"/>
  <c r="I368" i="21"/>
  <c r="E368" i="21"/>
  <c r="U368" i="21"/>
  <c r="Q368" i="21"/>
  <c r="L368" i="21"/>
  <c r="H368" i="21"/>
  <c r="D368" i="21"/>
  <c r="X368" i="21"/>
  <c r="P368" i="21"/>
  <c r="K368" i="21"/>
  <c r="G368" i="21"/>
  <c r="C368" i="21"/>
  <c r="J279" i="21"/>
  <c r="N279" i="21"/>
  <c r="J283" i="21"/>
  <c r="N283" i="21"/>
  <c r="J287" i="21"/>
  <c r="N287" i="21"/>
  <c r="U291" i="21"/>
  <c r="Q291" i="21"/>
  <c r="L291" i="21"/>
  <c r="H291" i="21"/>
  <c r="D291" i="21"/>
  <c r="K291" i="21"/>
  <c r="R291" i="21"/>
  <c r="R292" i="21"/>
  <c r="M292" i="21"/>
  <c r="I292" i="21"/>
  <c r="E292" i="21"/>
  <c r="K292" i="21"/>
  <c r="Q292" i="21"/>
  <c r="U295" i="21"/>
  <c r="Q295" i="21"/>
  <c r="L295" i="21"/>
  <c r="H295" i="21"/>
  <c r="D295" i="21"/>
  <c r="K295" i="21"/>
  <c r="R295" i="21"/>
  <c r="M296" i="21"/>
  <c r="I296" i="21"/>
  <c r="E296" i="21"/>
  <c r="K296" i="21"/>
  <c r="Q296" i="21"/>
  <c r="U299" i="21"/>
  <c r="Q299" i="21"/>
  <c r="L299" i="21"/>
  <c r="H299" i="21"/>
  <c r="D299" i="21"/>
  <c r="K299" i="21"/>
  <c r="R299" i="21"/>
  <c r="AA300" i="21"/>
  <c r="AC300" i="21" s="1"/>
  <c r="M300" i="21"/>
  <c r="I300" i="21"/>
  <c r="E300" i="21"/>
  <c r="K300" i="21"/>
  <c r="Q300" i="21"/>
  <c r="U303" i="21"/>
  <c r="Q303" i="21"/>
  <c r="L303" i="21"/>
  <c r="H303" i="21"/>
  <c r="D303" i="21"/>
  <c r="K303" i="21"/>
  <c r="R304" i="21"/>
  <c r="M304" i="21"/>
  <c r="I304" i="21"/>
  <c r="E304" i="21"/>
  <c r="K304" i="21"/>
  <c r="Q304" i="21"/>
  <c r="U307" i="21"/>
  <c r="Q307" i="21"/>
  <c r="L307" i="21"/>
  <c r="H307" i="21"/>
  <c r="D307" i="21"/>
  <c r="K307" i="21"/>
  <c r="M308" i="21"/>
  <c r="I308" i="21"/>
  <c r="E308" i="21"/>
  <c r="K308" i="21"/>
  <c r="Q308" i="21"/>
  <c r="U311" i="21"/>
  <c r="Q311" i="21"/>
  <c r="L311" i="21"/>
  <c r="H311" i="21"/>
  <c r="D311" i="21"/>
  <c r="K311" i="21"/>
  <c r="R312" i="21"/>
  <c r="M312" i="21"/>
  <c r="I312" i="21"/>
  <c r="E312" i="21"/>
  <c r="K312" i="21"/>
  <c r="Q312" i="21"/>
  <c r="U315" i="21"/>
  <c r="Q315" i="21"/>
  <c r="L315" i="21"/>
  <c r="H315" i="21"/>
  <c r="D315" i="21"/>
  <c r="K315" i="21"/>
  <c r="R315" i="21"/>
  <c r="M316" i="21"/>
  <c r="I316" i="21"/>
  <c r="E316" i="21"/>
  <c r="K316" i="21"/>
  <c r="Q316" i="21"/>
  <c r="U319" i="21"/>
  <c r="Q319" i="21"/>
  <c r="L319" i="21"/>
  <c r="H319" i="21"/>
  <c r="D319" i="21"/>
  <c r="K319" i="21"/>
  <c r="R319" i="21"/>
  <c r="R320" i="21"/>
  <c r="M320" i="21"/>
  <c r="I320" i="21"/>
  <c r="E320" i="21"/>
  <c r="K320" i="21"/>
  <c r="Q320" i="21"/>
  <c r="U323" i="21"/>
  <c r="Q323" i="21"/>
  <c r="L323" i="21"/>
  <c r="H323" i="21"/>
  <c r="D323" i="21"/>
  <c r="K323" i="21"/>
  <c r="R323" i="21"/>
  <c r="AA324" i="21"/>
  <c r="AC324" i="21" s="1"/>
  <c r="M324" i="21"/>
  <c r="I324" i="21"/>
  <c r="E324" i="21"/>
  <c r="K324" i="21"/>
  <c r="Q324" i="21"/>
  <c r="U327" i="21"/>
  <c r="Q327" i="21"/>
  <c r="L327" i="21"/>
  <c r="H327" i="21"/>
  <c r="D327" i="21"/>
  <c r="K327" i="21"/>
  <c r="AA328" i="21"/>
  <c r="AC328" i="21" s="1"/>
  <c r="R328" i="21"/>
  <c r="M328" i="21"/>
  <c r="I328" i="21"/>
  <c r="E328" i="21"/>
  <c r="K328" i="21"/>
  <c r="Q328" i="21"/>
  <c r="U331" i="21"/>
  <c r="Q331" i="21"/>
  <c r="L331" i="21"/>
  <c r="H331" i="21"/>
  <c r="D331" i="21"/>
  <c r="K331" i="21"/>
  <c r="R332" i="21"/>
  <c r="M332" i="21"/>
  <c r="I332" i="21"/>
  <c r="E332" i="21"/>
  <c r="K332" i="21"/>
  <c r="Q332" i="21"/>
  <c r="AF332" i="21"/>
  <c r="U335" i="21"/>
  <c r="Q335" i="21"/>
  <c r="L335" i="21"/>
  <c r="H335" i="21"/>
  <c r="D335" i="21"/>
  <c r="K335" i="21"/>
  <c r="M336" i="21"/>
  <c r="I336" i="21"/>
  <c r="E336" i="21"/>
  <c r="K336" i="21"/>
  <c r="Q336" i="21"/>
  <c r="AF336" i="21"/>
  <c r="E338" i="21"/>
  <c r="J338" i="21"/>
  <c r="Q338" i="21"/>
  <c r="U339" i="21"/>
  <c r="Q339" i="21"/>
  <c r="L339" i="21"/>
  <c r="H339" i="21"/>
  <c r="D339" i="21"/>
  <c r="K339" i="21"/>
  <c r="AF339" i="21"/>
  <c r="AA340" i="21"/>
  <c r="AC340" i="21" s="1"/>
  <c r="R340" i="21"/>
  <c r="M340" i="21"/>
  <c r="I340" i="21"/>
  <c r="E340" i="21"/>
  <c r="K340" i="21"/>
  <c r="Q340" i="21"/>
  <c r="AF340" i="21"/>
  <c r="E342" i="21"/>
  <c r="J342" i="21"/>
  <c r="Q342" i="21"/>
  <c r="Z343" i="21"/>
  <c r="AA343" i="21" s="1"/>
  <c r="AC343" i="21" s="1"/>
  <c r="M344" i="21"/>
  <c r="I344" i="21"/>
  <c r="E344" i="21"/>
  <c r="X344" i="21"/>
  <c r="P344" i="21"/>
  <c r="R344" i="21" s="1"/>
  <c r="K344" i="21"/>
  <c r="G344" i="21"/>
  <c r="C344" i="21"/>
  <c r="N344" i="21"/>
  <c r="H346" i="21"/>
  <c r="Q346" i="21"/>
  <c r="D348" i="21"/>
  <c r="L348" i="21"/>
  <c r="AI349" i="21"/>
  <c r="X350" i="21"/>
  <c r="P350" i="21"/>
  <c r="R350" i="21" s="1"/>
  <c r="K350" i="21"/>
  <c r="G350" i="21"/>
  <c r="C350" i="21"/>
  <c r="M350" i="21"/>
  <c r="I350" i="21"/>
  <c r="E350" i="21"/>
  <c r="N350" i="21"/>
  <c r="AF351" i="21"/>
  <c r="B352" i="21"/>
  <c r="J352" i="21"/>
  <c r="D354" i="21"/>
  <c r="L354" i="21"/>
  <c r="B356" i="21"/>
  <c r="AF361" i="21"/>
  <c r="M364" i="21"/>
  <c r="I364" i="21"/>
  <c r="E364" i="21"/>
  <c r="U364" i="21"/>
  <c r="Q364" i="21"/>
  <c r="L364" i="21"/>
  <c r="H364" i="21"/>
  <c r="D364" i="21"/>
  <c r="X364" i="21"/>
  <c r="P364" i="21"/>
  <c r="K364" i="21"/>
  <c r="G364" i="21"/>
  <c r="C364" i="21"/>
  <c r="J368" i="21"/>
  <c r="AG369" i="21"/>
  <c r="Z369" i="21"/>
  <c r="AA369" i="21" s="1"/>
  <c r="AC369" i="21" s="1"/>
  <c r="X338" i="21"/>
  <c r="P338" i="21"/>
  <c r="K338" i="21"/>
  <c r="G338" i="21"/>
  <c r="C338" i="21"/>
  <c r="L338" i="21"/>
  <c r="X342" i="21"/>
  <c r="P342" i="21"/>
  <c r="K342" i="21"/>
  <c r="G342" i="21"/>
  <c r="C342" i="21"/>
  <c r="L342" i="21"/>
  <c r="AI343" i="21"/>
  <c r="AF345" i="21"/>
  <c r="B346" i="21"/>
  <c r="J346" i="21"/>
  <c r="S346" i="21"/>
  <c r="M348" i="21"/>
  <c r="I348" i="21"/>
  <c r="E348" i="21"/>
  <c r="X348" i="21"/>
  <c r="P348" i="21"/>
  <c r="R348" i="21" s="1"/>
  <c r="K348" i="21"/>
  <c r="G348" i="21"/>
  <c r="C348" i="21"/>
  <c r="N348" i="21"/>
  <c r="AH351" i="21"/>
  <c r="AI353" i="21"/>
  <c r="AG353" i="21"/>
  <c r="W353" i="21"/>
  <c r="Z353" i="21"/>
  <c r="AA353" i="21" s="1"/>
  <c r="AC353" i="21" s="1"/>
  <c r="X354" i="21"/>
  <c r="P354" i="21"/>
  <c r="R354" i="21" s="1"/>
  <c r="K354" i="21"/>
  <c r="G354" i="21"/>
  <c r="C354" i="21"/>
  <c r="M354" i="21"/>
  <c r="I354" i="21"/>
  <c r="E354" i="21"/>
  <c r="N354" i="21"/>
  <c r="M356" i="21"/>
  <c r="I356" i="21"/>
  <c r="E356" i="21"/>
  <c r="U356" i="21"/>
  <c r="Q356" i="21"/>
  <c r="L356" i="21"/>
  <c r="H356" i="21"/>
  <c r="D356" i="21"/>
  <c r="X356" i="21"/>
  <c r="P356" i="21"/>
  <c r="R356" i="21" s="1"/>
  <c r="K356" i="21"/>
  <c r="G356" i="21"/>
  <c r="C356" i="21"/>
  <c r="AI365" i="21"/>
  <c r="AH365" i="21"/>
  <c r="AG365" i="21"/>
  <c r="W365" i="21"/>
  <c r="Z365" i="21"/>
  <c r="AA365" i="21" s="1"/>
  <c r="AC365" i="21" s="1"/>
  <c r="N368" i="21"/>
  <c r="AI332" i="21"/>
  <c r="AG333" i="21"/>
  <c r="AI336" i="21"/>
  <c r="AG337" i="21"/>
  <c r="B338" i="21"/>
  <c r="H338" i="21"/>
  <c r="M338" i="21"/>
  <c r="S338" i="21"/>
  <c r="AI339" i="21"/>
  <c r="AI340" i="21"/>
  <c r="AG341" i="21"/>
  <c r="B342" i="21"/>
  <c r="H342" i="21"/>
  <c r="M342" i="21"/>
  <c r="S342" i="21"/>
  <c r="AH345" i="21"/>
  <c r="D346" i="21"/>
  <c r="L346" i="21"/>
  <c r="U346" i="21"/>
  <c r="AG347" i="21"/>
  <c r="AI347" i="21"/>
  <c r="H348" i="21"/>
  <c r="Q348" i="21"/>
  <c r="Z351" i="21"/>
  <c r="AA351" i="21" s="1"/>
  <c r="AC351" i="21" s="1"/>
  <c r="M352" i="21"/>
  <c r="I352" i="21"/>
  <c r="E352" i="21"/>
  <c r="X352" i="21"/>
  <c r="P352" i="21"/>
  <c r="R352" i="21" s="1"/>
  <c r="K352" i="21"/>
  <c r="G352" i="21"/>
  <c r="C352" i="21"/>
  <c r="N352" i="21"/>
  <c r="H354" i="21"/>
  <c r="Q354" i="21"/>
  <c r="J356" i="21"/>
  <c r="AI357" i="21"/>
  <c r="AH357" i="21"/>
  <c r="AG357" i="21"/>
  <c r="AF357" i="21"/>
  <c r="M360" i="21"/>
  <c r="I360" i="21"/>
  <c r="E360" i="21"/>
  <c r="U360" i="21"/>
  <c r="Q360" i="21"/>
  <c r="L360" i="21"/>
  <c r="H360" i="21"/>
  <c r="D360" i="21"/>
  <c r="X360" i="21"/>
  <c r="P360" i="21"/>
  <c r="R360" i="21" s="1"/>
  <c r="K360" i="21"/>
  <c r="G360" i="21"/>
  <c r="C360" i="21"/>
  <c r="AF365" i="21"/>
  <c r="B368" i="21"/>
  <c r="S368" i="21"/>
  <c r="U388" i="21"/>
  <c r="Q388" i="21"/>
  <c r="L388" i="21"/>
  <c r="H388" i="21"/>
  <c r="D388" i="21"/>
  <c r="P388" i="21"/>
  <c r="J388" i="21"/>
  <c r="E388" i="21"/>
  <c r="X388" i="21"/>
  <c r="S388" i="21"/>
  <c r="R388" i="21" s="1"/>
  <c r="M388" i="21"/>
  <c r="G388" i="21"/>
  <c r="B388" i="21"/>
  <c r="M389" i="21"/>
  <c r="I389" i="21"/>
  <c r="E389" i="21"/>
  <c r="U389" i="21"/>
  <c r="P389" i="21"/>
  <c r="J389" i="21"/>
  <c r="D389" i="21"/>
  <c r="X389" i="21"/>
  <c r="S389" i="21"/>
  <c r="R389" i="21" s="1"/>
  <c r="L389" i="21"/>
  <c r="G389" i="21"/>
  <c r="B389" i="21"/>
  <c r="Q389" i="21"/>
  <c r="AI390" i="21"/>
  <c r="AH390" i="21"/>
  <c r="AF390" i="21"/>
  <c r="Z390" i="21"/>
  <c r="AA390" i="21" s="1"/>
  <c r="AC390" i="21" s="1"/>
  <c r="U396" i="21"/>
  <c r="Q396" i="21"/>
  <c r="L396" i="21"/>
  <c r="H396" i="21"/>
  <c r="D396" i="21"/>
  <c r="P396" i="21"/>
  <c r="J396" i="21"/>
  <c r="E396" i="21"/>
  <c r="X396" i="21"/>
  <c r="S396" i="21"/>
  <c r="R396" i="21" s="1"/>
  <c r="M396" i="21"/>
  <c r="G396" i="21"/>
  <c r="B396" i="21"/>
  <c r="M397" i="21"/>
  <c r="I397" i="21"/>
  <c r="E397" i="21"/>
  <c r="U397" i="21"/>
  <c r="P397" i="21"/>
  <c r="J397" i="21"/>
  <c r="D397" i="21"/>
  <c r="X397" i="21"/>
  <c r="S397" i="21"/>
  <c r="R397" i="21" s="1"/>
  <c r="L397" i="21"/>
  <c r="G397" i="21"/>
  <c r="B397" i="21"/>
  <c r="Q397" i="21"/>
  <c r="AF398" i="21"/>
  <c r="Z398" i="21"/>
  <c r="AA398" i="21" s="1"/>
  <c r="AC398" i="21" s="1"/>
  <c r="Z417" i="21"/>
  <c r="AA417" i="21" s="1"/>
  <c r="AC417" i="21" s="1"/>
  <c r="W417" i="21"/>
  <c r="W439" i="21"/>
  <c r="Z439" i="21"/>
  <c r="AA439" i="21" s="1"/>
  <c r="AC439" i="21" s="1"/>
  <c r="V446" i="21"/>
  <c r="R446" i="21"/>
  <c r="M446" i="21"/>
  <c r="I446" i="21"/>
  <c r="E446" i="21"/>
  <c r="U446" i="21"/>
  <c r="Q446" i="21"/>
  <c r="L446" i="21"/>
  <c r="H446" i="21"/>
  <c r="D446" i="21"/>
  <c r="S446" i="21"/>
  <c r="J446" i="21"/>
  <c r="B446" i="21"/>
  <c r="X446" i="21"/>
  <c r="P446" i="21"/>
  <c r="G446" i="21"/>
  <c r="T446" i="21"/>
  <c r="C446" i="21"/>
  <c r="N446" i="21"/>
  <c r="K446" i="21"/>
  <c r="AH478" i="21"/>
  <c r="AG478" i="21"/>
  <c r="AI478" i="21"/>
  <c r="AF478" i="21"/>
  <c r="AI489" i="21"/>
  <c r="AH489" i="21"/>
  <c r="AG489" i="21"/>
  <c r="AF489" i="21"/>
  <c r="W489" i="21"/>
  <c r="Z489" i="21"/>
  <c r="AA489" i="21" s="1"/>
  <c r="AC489" i="21" s="1"/>
  <c r="J343" i="21"/>
  <c r="N343" i="21"/>
  <c r="S343" i="21"/>
  <c r="R343" i="21" s="1"/>
  <c r="J347" i="21"/>
  <c r="N347" i="21"/>
  <c r="S347" i="21"/>
  <c r="R347" i="21" s="1"/>
  <c r="J351" i="21"/>
  <c r="N351" i="21"/>
  <c r="S351" i="21"/>
  <c r="R351" i="21" s="1"/>
  <c r="J355" i="21"/>
  <c r="N355" i="21"/>
  <c r="S355" i="21"/>
  <c r="J359" i="21"/>
  <c r="N359" i="21"/>
  <c r="S359" i="21"/>
  <c r="J363" i="21"/>
  <c r="N363" i="21"/>
  <c r="S363" i="21"/>
  <c r="J367" i="21"/>
  <c r="N367" i="21"/>
  <c r="S367" i="21"/>
  <c r="U372" i="21"/>
  <c r="Q372" i="21"/>
  <c r="L372" i="21"/>
  <c r="H372" i="21"/>
  <c r="D372" i="21"/>
  <c r="K372" i="21"/>
  <c r="M373" i="21"/>
  <c r="I373" i="21"/>
  <c r="E373" i="21"/>
  <c r="K373" i="21"/>
  <c r="Q373" i="21"/>
  <c r="U376" i="21"/>
  <c r="Q376" i="21"/>
  <c r="L376" i="21"/>
  <c r="H376" i="21"/>
  <c r="D376" i="21"/>
  <c r="K376" i="21"/>
  <c r="M377" i="21"/>
  <c r="I377" i="21"/>
  <c r="E377" i="21"/>
  <c r="K377" i="21"/>
  <c r="Q377" i="21"/>
  <c r="U380" i="21"/>
  <c r="Q380" i="21"/>
  <c r="L380" i="21"/>
  <c r="H380" i="21"/>
  <c r="D380" i="21"/>
  <c r="K380" i="21"/>
  <c r="M381" i="21"/>
  <c r="I381" i="21"/>
  <c r="E381" i="21"/>
  <c r="K381" i="21"/>
  <c r="Q381" i="21"/>
  <c r="AH385" i="21"/>
  <c r="AG385" i="21"/>
  <c r="I388" i="21"/>
  <c r="H389" i="21"/>
  <c r="AG390" i="21"/>
  <c r="AG392" i="21"/>
  <c r="AH392" i="21"/>
  <c r="AH393" i="21"/>
  <c r="AG393" i="21"/>
  <c r="I396" i="21"/>
  <c r="H397" i="21"/>
  <c r="AG398" i="21"/>
  <c r="AG400" i="21"/>
  <c r="AH400" i="21"/>
  <c r="AH401" i="21"/>
  <c r="AG401" i="21"/>
  <c r="M405" i="21"/>
  <c r="I405" i="21"/>
  <c r="E405" i="21"/>
  <c r="U405" i="21"/>
  <c r="P405" i="21"/>
  <c r="J405" i="21"/>
  <c r="D405" i="21"/>
  <c r="N405" i="21"/>
  <c r="H405" i="21"/>
  <c r="C405" i="21"/>
  <c r="X405" i="21"/>
  <c r="S405" i="21"/>
  <c r="L405" i="21"/>
  <c r="G405" i="21"/>
  <c r="B405" i="21"/>
  <c r="U408" i="21"/>
  <c r="Q408" i="21"/>
  <c r="L408" i="21"/>
  <c r="H408" i="21"/>
  <c r="D408" i="21"/>
  <c r="V408" i="21"/>
  <c r="P408" i="21"/>
  <c r="J408" i="21"/>
  <c r="E408" i="21"/>
  <c r="T408" i="21"/>
  <c r="N408" i="21"/>
  <c r="I408" i="21"/>
  <c r="C408" i="21"/>
  <c r="X408" i="21"/>
  <c r="S408" i="21"/>
  <c r="M408" i="21"/>
  <c r="G408" i="21"/>
  <c r="B408" i="21"/>
  <c r="Z422" i="21"/>
  <c r="AA422" i="21" s="1"/>
  <c r="AC422" i="21" s="1"/>
  <c r="W422" i="21"/>
  <c r="W431" i="21"/>
  <c r="Z431" i="21"/>
  <c r="AA431" i="21" s="1"/>
  <c r="AC431" i="21" s="1"/>
  <c r="V438" i="21"/>
  <c r="R438" i="21"/>
  <c r="M438" i="21"/>
  <c r="I438" i="21"/>
  <c r="E438" i="21"/>
  <c r="U438" i="21"/>
  <c r="Q438" i="21"/>
  <c r="L438" i="21"/>
  <c r="H438" i="21"/>
  <c r="D438" i="21"/>
  <c r="S438" i="21"/>
  <c r="J438" i="21"/>
  <c r="B438" i="21"/>
  <c r="X438" i="21"/>
  <c r="P438" i="21"/>
  <c r="G438" i="21"/>
  <c r="T438" i="21"/>
  <c r="C438" i="21"/>
  <c r="N438" i="21"/>
  <c r="K438" i="21"/>
  <c r="C355" i="21"/>
  <c r="G355" i="21"/>
  <c r="K355" i="21"/>
  <c r="P355" i="21"/>
  <c r="X355" i="21"/>
  <c r="J358" i="21"/>
  <c r="N358" i="21"/>
  <c r="S358" i="21"/>
  <c r="C359" i="21"/>
  <c r="G359" i="21"/>
  <c r="K359" i="21"/>
  <c r="P359" i="21"/>
  <c r="X359" i="21"/>
  <c r="J362" i="21"/>
  <c r="N362" i="21"/>
  <c r="S362" i="21"/>
  <c r="C363" i="21"/>
  <c r="G363" i="21"/>
  <c r="K363" i="21"/>
  <c r="P363" i="21"/>
  <c r="X363" i="21"/>
  <c r="J366" i="21"/>
  <c r="N366" i="21"/>
  <c r="S366" i="21"/>
  <c r="C367" i="21"/>
  <c r="G367" i="21"/>
  <c r="K367" i="21"/>
  <c r="P367" i="21"/>
  <c r="X367" i="21"/>
  <c r="X371" i="21"/>
  <c r="P371" i="21"/>
  <c r="K371" i="21"/>
  <c r="G371" i="21"/>
  <c r="C371" i="21"/>
  <c r="L371" i="21"/>
  <c r="B372" i="21"/>
  <c r="G372" i="21"/>
  <c r="M372" i="21"/>
  <c r="S372" i="21"/>
  <c r="R372" i="21" s="1"/>
  <c r="X372" i="21"/>
  <c r="B373" i="21"/>
  <c r="G373" i="21"/>
  <c r="L373" i="21"/>
  <c r="S373" i="21"/>
  <c r="R373" i="21" s="1"/>
  <c r="X373" i="21"/>
  <c r="X375" i="21"/>
  <c r="P375" i="21"/>
  <c r="K375" i="21"/>
  <c r="G375" i="21"/>
  <c r="C375" i="21"/>
  <c r="L375" i="21"/>
  <c r="B376" i="21"/>
  <c r="G376" i="21"/>
  <c r="M376" i="21"/>
  <c r="S376" i="21"/>
  <c r="R376" i="21" s="1"/>
  <c r="X376" i="21"/>
  <c r="B377" i="21"/>
  <c r="G377" i="21"/>
  <c r="L377" i="21"/>
  <c r="S377" i="21"/>
  <c r="R377" i="21" s="1"/>
  <c r="X377" i="21"/>
  <c r="X379" i="21"/>
  <c r="P379" i="21"/>
  <c r="K379" i="21"/>
  <c r="G379" i="21"/>
  <c r="C379" i="21"/>
  <c r="L379" i="21"/>
  <c r="B380" i="21"/>
  <c r="G380" i="21"/>
  <c r="M380" i="21"/>
  <c r="S380" i="21"/>
  <c r="R380" i="21" s="1"/>
  <c r="X380" i="21"/>
  <c r="B381" i="21"/>
  <c r="G381" i="21"/>
  <c r="L381" i="21"/>
  <c r="S381" i="21"/>
  <c r="R381" i="21" s="1"/>
  <c r="X381" i="21"/>
  <c r="U384" i="21"/>
  <c r="Q384" i="21"/>
  <c r="L384" i="21"/>
  <c r="H384" i="21"/>
  <c r="D384" i="21"/>
  <c r="P384" i="21"/>
  <c r="J384" i="21"/>
  <c r="E384" i="21"/>
  <c r="X384" i="21"/>
  <c r="S384" i="21"/>
  <c r="R384" i="21" s="1"/>
  <c r="M384" i="21"/>
  <c r="G384" i="21"/>
  <c r="B384" i="21"/>
  <c r="M385" i="21"/>
  <c r="I385" i="21"/>
  <c r="E385" i="21"/>
  <c r="U385" i="21"/>
  <c r="P385" i="21"/>
  <c r="J385" i="21"/>
  <c r="D385" i="21"/>
  <c r="X385" i="21"/>
  <c r="S385" i="21"/>
  <c r="R385" i="21" s="1"/>
  <c r="L385" i="21"/>
  <c r="G385" i="21"/>
  <c r="B385" i="21"/>
  <c r="Q385" i="21"/>
  <c r="AF385" i="21"/>
  <c r="AI386" i="21"/>
  <c r="Z386" i="21"/>
  <c r="AA386" i="21" s="1"/>
  <c r="AC386" i="21" s="1"/>
  <c r="K388" i="21"/>
  <c r="K389" i="21"/>
  <c r="U392" i="21"/>
  <c r="Q392" i="21"/>
  <c r="L392" i="21"/>
  <c r="H392" i="21"/>
  <c r="D392" i="21"/>
  <c r="P392" i="21"/>
  <c r="J392" i="21"/>
  <c r="E392" i="21"/>
  <c r="X392" i="21"/>
  <c r="S392" i="21"/>
  <c r="R392" i="21" s="1"/>
  <c r="M392" i="21"/>
  <c r="G392" i="21"/>
  <c r="B392" i="21"/>
  <c r="AF392" i="21"/>
  <c r="M393" i="21"/>
  <c r="I393" i="21"/>
  <c r="E393" i="21"/>
  <c r="U393" i="21"/>
  <c r="P393" i="21"/>
  <c r="J393" i="21"/>
  <c r="D393" i="21"/>
  <c r="X393" i="21"/>
  <c r="S393" i="21"/>
  <c r="R393" i="21" s="1"/>
  <c r="L393" i="21"/>
  <c r="G393" i="21"/>
  <c r="B393" i="21"/>
  <c r="Q393" i="21"/>
  <c r="T393" i="21" s="1"/>
  <c r="AF393" i="21"/>
  <c r="AI394" i="21"/>
  <c r="AH394" i="21"/>
  <c r="AF394" i="21"/>
  <c r="Z394" i="21"/>
  <c r="AA394" i="21" s="1"/>
  <c r="AC394" i="21" s="1"/>
  <c r="K396" i="21"/>
  <c r="K397" i="21"/>
  <c r="U400" i="21"/>
  <c r="Q400" i="21"/>
  <c r="L400" i="21"/>
  <c r="H400" i="21"/>
  <c r="D400" i="21"/>
  <c r="P400" i="21"/>
  <c r="J400" i="21"/>
  <c r="E400" i="21"/>
  <c r="X400" i="21"/>
  <c r="S400" i="21"/>
  <c r="R400" i="21" s="1"/>
  <c r="M400" i="21"/>
  <c r="G400" i="21"/>
  <c r="B400" i="21"/>
  <c r="AF400" i="21"/>
  <c r="M401" i="21"/>
  <c r="I401" i="21"/>
  <c r="E401" i="21"/>
  <c r="U401" i="21"/>
  <c r="P401" i="21"/>
  <c r="J401" i="21"/>
  <c r="D401" i="21"/>
  <c r="X401" i="21"/>
  <c r="S401" i="21"/>
  <c r="R401" i="21" s="1"/>
  <c r="L401" i="21"/>
  <c r="G401" i="21"/>
  <c r="B401" i="21"/>
  <c r="Q401" i="21"/>
  <c r="T401" i="21" s="1"/>
  <c r="AF401" i="21"/>
  <c r="K405" i="21"/>
  <c r="K408" i="21"/>
  <c r="Z423" i="21"/>
  <c r="AA423" i="21" s="1"/>
  <c r="AC423" i="21" s="1"/>
  <c r="W423" i="21"/>
  <c r="V430" i="21"/>
  <c r="R430" i="21"/>
  <c r="M430" i="21"/>
  <c r="I430" i="21"/>
  <c r="E430" i="21"/>
  <c r="U430" i="21"/>
  <c r="Q430" i="21"/>
  <c r="L430" i="21"/>
  <c r="H430" i="21"/>
  <c r="D430" i="21"/>
  <c r="S430" i="21"/>
  <c r="J430" i="21"/>
  <c r="B430" i="21"/>
  <c r="X430" i="21"/>
  <c r="P430" i="21"/>
  <c r="G430" i="21"/>
  <c r="T430" i="21"/>
  <c r="C430" i="21"/>
  <c r="N430" i="21"/>
  <c r="K430" i="21"/>
  <c r="J293" i="21"/>
  <c r="N293" i="21"/>
  <c r="J297" i="21"/>
  <c r="N297" i="21"/>
  <c r="J301" i="21"/>
  <c r="N301" i="21"/>
  <c r="J305" i="21"/>
  <c r="N305" i="21"/>
  <c r="T305" i="21" s="1"/>
  <c r="AJ305" i="21" s="1"/>
  <c r="J309" i="21"/>
  <c r="N309" i="21"/>
  <c r="T309" i="21" s="1"/>
  <c r="AJ309" i="21" s="1"/>
  <c r="J313" i="21"/>
  <c r="N313" i="21"/>
  <c r="J317" i="21"/>
  <c r="N317" i="21"/>
  <c r="J321" i="21"/>
  <c r="N321" i="21"/>
  <c r="J325" i="21"/>
  <c r="N325" i="21"/>
  <c r="J329" i="21"/>
  <c r="N329" i="21"/>
  <c r="T329" i="21" s="1"/>
  <c r="AJ329" i="21" s="1"/>
  <c r="J333" i="21"/>
  <c r="N333" i="21"/>
  <c r="J337" i="21"/>
  <c r="N337" i="21"/>
  <c r="J341" i="21"/>
  <c r="N341" i="21"/>
  <c r="D343" i="21"/>
  <c r="H343" i="21"/>
  <c r="L343" i="21"/>
  <c r="Q343" i="21"/>
  <c r="J345" i="21"/>
  <c r="N345" i="21"/>
  <c r="D347" i="21"/>
  <c r="H347" i="21"/>
  <c r="L347" i="21"/>
  <c r="Q347" i="21"/>
  <c r="J349" i="21"/>
  <c r="N349" i="21"/>
  <c r="D351" i="21"/>
  <c r="H351" i="21"/>
  <c r="L351" i="21"/>
  <c r="Q351" i="21"/>
  <c r="J353" i="21"/>
  <c r="N353" i="21"/>
  <c r="D355" i="21"/>
  <c r="H355" i="21"/>
  <c r="L355" i="21"/>
  <c r="Q355" i="21"/>
  <c r="J357" i="21"/>
  <c r="N357" i="21"/>
  <c r="T357" i="21" s="1"/>
  <c r="AJ357" i="21" s="1"/>
  <c r="C358" i="21"/>
  <c r="G358" i="21"/>
  <c r="K358" i="21"/>
  <c r="P358" i="21"/>
  <c r="D359" i="21"/>
  <c r="H359" i="21"/>
  <c r="L359" i="21"/>
  <c r="Q359" i="21"/>
  <c r="J361" i="21"/>
  <c r="N361" i="21"/>
  <c r="C362" i="21"/>
  <c r="G362" i="21"/>
  <c r="K362" i="21"/>
  <c r="P362" i="21"/>
  <c r="D363" i="21"/>
  <c r="H363" i="21"/>
  <c r="L363" i="21"/>
  <c r="Q363" i="21"/>
  <c r="J365" i="21"/>
  <c r="N365" i="21"/>
  <c r="C366" i="21"/>
  <c r="G366" i="21"/>
  <c r="K366" i="21"/>
  <c r="P366" i="21"/>
  <c r="T366" i="21"/>
  <c r="D367" i="21"/>
  <c r="H367" i="21"/>
  <c r="L367" i="21"/>
  <c r="Q367" i="21"/>
  <c r="J369" i="21"/>
  <c r="N369" i="21"/>
  <c r="T369" i="21" s="1"/>
  <c r="AG370" i="21"/>
  <c r="B371" i="21"/>
  <c r="H371" i="21"/>
  <c r="M371" i="21"/>
  <c r="S371" i="21"/>
  <c r="C372" i="21"/>
  <c r="I372" i="21"/>
  <c r="N372" i="21"/>
  <c r="C373" i="21"/>
  <c r="H373" i="21"/>
  <c r="N373" i="21"/>
  <c r="AG374" i="21"/>
  <c r="B375" i="21"/>
  <c r="H375" i="21"/>
  <c r="M375" i="21"/>
  <c r="S375" i="21"/>
  <c r="C376" i="21"/>
  <c r="I376" i="21"/>
  <c r="N376" i="21"/>
  <c r="C377" i="21"/>
  <c r="H377" i="21"/>
  <c r="N377" i="21"/>
  <c r="B379" i="21"/>
  <c r="H379" i="21"/>
  <c r="M379" i="21"/>
  <c r="S379" i="21"/>
  <c r="C380" i="21"/>
  <c r="I380" i="21"/>
  <c r="N380" i="21"/>
  <c r="C381" i="21"/>
  <c r="H381" i="21"/>
  <c r="N381" i="21"/>
  <c r="Z382" i="21"/>
  <c r="AA382" i="21" s="1"/>
  <c r="AC382" i="21" s="1"/>
  <c r="X383" i="21"/>
  <c r="P383" i="21"/>
  <c r="K383" i="21"/>
  <c r="G383" i="21"/>
  <c r="C383" i="21"/>
  <c r="M383" i="21"/>
  <c r="I383" i="21"/>
  <c r="E383" i="21"/>
  <c r="N383" i="21"/>
  <c r="I384" i="21"/>
  <c r="H385" i="21"/>
  <c r="AI385" i="21"/>
  <c r="C388" i="21"/>
  <c r="N388" i="21"/>
  <c r="C389" i="21"/>
  <c r="N389" i="21"/>
  <c r="I392" i="21"/>
  <c r="AI392" i="21"/>
  <c r="H393" i="21"/>
  <c r="AI393" i="21"/>
  <c r="AG394" i="21"/>
  <c r="C396" i="21"/>
  <c r="N396" i="21"/>
  <c r="C397" i="21"/>
  <c r="N397" i="21"/>
  <c r="I400" i="21"/>
  <c r="AI400" i="21"/>
  <c r="H401" i="21"/>
  <c r="AI401" i="21"/>
  <c r="U404" i="21"/>
  <c r="Q404" i="21"/>
  <c r="L404" i="21"/>
  <c r="H404" i="21"/>
  <c r="D404" i="21"/>
  <c r="P404" i="21"/>
  <c r="J404" i="21"/>
  <c r="E404" i="21"/>
  <c r="N404" i="21"/>
  <c r="I404" i="21"/>
  <c r="C404" i="21"/>
  <c r="X404" i="21"/>
  <c r="S404" i="21"/>
  <c r="M404" i="21"/>
  <c r="G404" i="21"/>
  <c r="B404" i="21"/>
  <c r="Q405" i="21"/>
  <c r="R408" i="21"/>
  <c r="V409" i="21"/>
  <c r="R409" i="21"/>
  <c r="M409" i="21"/>
  <c r="I409" i="21"/>
  <c r="E409" i="21"/>
  <c r="U409" i="21"/>
  <c r="P409" i="21"/>
  <c r="J409" i="21"/>
  <c r="D409" i="21"/>
  <c r="T409" i="21"/>
  <c r="AJ409" i="21" s="1"/>
  <c r="N409" i="21"/>
  <c r="H409" i="21"/>
  <c r="C409" i="21"/>
  <c r="X409" i="21"/>
  <c r="S409" i="21"/>
  <c r="L409" i="21"/>
  <c r="G409" i="21"/>
  <c r="B409" i="21"/>
  <c r="X421" i="21"/>
  <c r="T421" i="21"/>
  <c r="P421" i="21"/>
  <c r="K421" i="21"/>
  <c r="G421" i="21"/>
  <c r="C421" i="21"/>
  <c r="U421" i="21"/>
  <c r="N421" i="21"/>
  <c r="I421" i="21"/>
  <c r="D421" i="21"/>
  <c r="S421" i="21"/>
  <c r="M421" i="21"/>
  <c r="H421" i="21"/>
  <c r="B421" i="21"/>
  <c r="Q421" i="21"/>
  <c r="E421" i="21"/>
  <c r="L421" i="21"/>
  <c r="V421" i="21"/>
  <c r="J421" i="21"/>
  <c r="W447" i="21"/>
  <c r="Z447" i="21"/>
  <c r="AA447" i="21" s="1"/>
  <c r="AC447" i="21" s="1"/>
  <c r="X387" i="21"/>
  <c r="P387" i="21"/>
  <c r="R387" i="21" s="1"/>
  <c r="K387" i="21"/>
  <c r="G387" i="21"/>
  <c r="C387" i="21"/>
  <c r="L387" i="21"/>
  <c r="X391" i="21"/>
  <c r="P391" i="21"/>
  <c r="K391" i="21"/>
  <c r="G391" i="21"/>
  <c r="C391" i="21"/>
  <c r="L391" i="21"/>
  <c r="X395" i="21"/>
  <c r="T395" i="21"/>
  <c r="P395" i="21"/>
  <c r="K395" i="21"/>
  <c r="G395" i="21"/>
  <c r="C395" i="21"/>
  <c r="L395" i="21"/>
  <c r="R395" i="21"/>
  <c r="X399" i="21"/>
  <c r="P399" i="21"/>
  <c r="K399" i="21"/>
  <c r="G399" i="21"/>
  <c r="C399" i="21"/>
  <c r="L399" i="21"/>
  <c r="AF402" i="21"/>
  <c r="X403" i="21"/>
  <c r="P403" i="21"/>
  <c r="R403" i="21" s="1"/>
  <c r="K403" i="21"/>
  <c r="G403" i="21"/>
  <c r="C403" i="21"/>
  <c r="L403" i="21"/>
  <c r="AF406" i="21"/>
  <c r="X407" i="21"/>
  <c r="P407" i="21"/>
  <c r="K407" i="21"/>
  <c r="G407" i="21"/>
  <c r="C407" i="21"/>
  <c r="L407" i="21"/>
  <c r="E412" i="21"/>
  <c r="M412" i="21"/>
  <c r="C413" i="21"/>
  <c r="K413" i="21"/>
  <c r="B419" i="21"/>
  <c r="L419" i="21"/>
  <c r="X425" i="21"/>
  <c r="T425" i="21"/>
  <c r="P425" i="21"/>
  <c r="K425" i="21"/>
  <c r="G425" i="21"/>
  <c r="C425" i="21"/>
  <c r="U425" i="21"/>
  <c r="N425" i="21"/>
  <c r="I425" i="21"/>
  <c r="D425" i="21"/>
  <c r="S425" i="21"/>
  <c r="M425" i="21"/>
  <c r="H425" i="21"/>
  <c r="B425" i="21"/>
  <c r="R425" i="21"/>
  <c r="AI431" i="21"/>
  <c r="AH431" i="21"/>
  <c r="AG431" i="21"/>
  <c r="AF431" i="21"/>
  <c r="AI439" i="21"/>
  <c r="AH439" i="21"/>
  <c r="AG439" i="21"/>
  <c r="AF439" i="21"/>
  <c r="AI447" i="21"/>
  <c r="AG402" i="21"/>
  <c r="AG406" i="21"/>
  <c r="U412" i="21"/>
  <c r="Q412" i="21"/>
  <c r="L412" i="21"/>
  <c r="H412" i="21"/>
  <c r="D412" i="21"/>
  <c r="X412" i="21"/>
  <c r="T412" i="21"/>
  <c r="P412" i="21"/>
  <c r="K412" i="21"/>
  <c r="G412" i="21"/>
  <c r="C412" i="21"/>
  <c r="N412" i="21"/>
  <c r="V413" i="21"/>
  <c r="R413" i="21"/>
  <c r="M413" i="21"/>
  <c r="I413" i="21"/>
  <c r="E413" i="21"/>
  <c r="U413" i="21"/>
  <c r="AJ413" i="21" s="1"/>
  <c r="Q413" i="21"/>
  <c r="L413" i="21"/>
  <c r="H413" i="21"/>
  <c r="D413" i="21"/>
  <c r="N413" i="21"/>
  <c r="AI414" i="21"/>
  <c r="AH414" i="21"/>
  <c r="V419" i="21"/>
  <c r="R419" i="21"/>
  <c r="M419" i="21"/>
  <c r="I419" i="21"/>
  <c r="E419" i="21"/>
  <c r="U419" i="21"/>
  <c r="P419" i="21"/>
  <c r="J419" i="21"/>
  <c r="D419" i="21"/>
  <c r="T419" i="21"/>
  <c r="AJ419" i="21" s="1"/>
  <c r="N419" i="21"/>
  <c r="H419" i="21"/>
  <c r="C419" i="21"/>
  <c r="Q419" i="21"/>
  <c r="Z434" i="21"/>
  <c r="AA434" i="21" s="1"/>
  <c r="AC434" i="21" s="1"/>
  <c r="W434" i="21"/>
  <c r="Z442" i="21"/>
  <c r="AA442" i="21" s="1"/>
  <c r="AC442" i="21" s="1"/>
  <c r="W442" i="21"/>
  <c r="Z450" i="21"/>
  <c r="AA450" i="21" s="1"/>
  <c r="AC450" i="21" s="1"/>
  <c r="W450" i="21"/>
  <c r="J370" i="21"/>
  <c r="N370" i="21"/>
  <c r="J374" i="21"/>
  <c r="N374" i="21"/>
  <c r="J378" i="21"/>
  <c r="N378" i="21"/>
  <c r="J382" i="21"/>
  <c r="N382" i="21"/>
  <c r="D387" i="21"/>
  <c r="I387" i="21"/>
  <c r="N387" i="21"/>
  <c r="U387" i="21"/>
  <c r="D391" i="21"/>
  <c r="I391" i="21"/>
  <c r="N391" i="21"/>
  <c r="U391" i="21"/>
  <c r="D395" i="21"/>
  <c r="I395" i="21"/>
  <c r="N395" i="21"/>
  <c r="U395" i="21"/>
  <c r="D399" i="21"/>
  <c r="I399" i="21"/>
  <c r="N399" i="21"/>
  <c r="U399" i="21"/>
  <c r="Z402" i="21"/>
  <c r="AA402" i="21" s="1"/>
  <c r="AC402" i="21" s="1"/>
  <c r="AH402" i="21"/>
  <c r="D403" i="21"/>
  <c r="I403" i="21"/>
  <c r="N403" i="21"/>
  <c r="U403" i="21"/>
  <c r="Z406" i="21"/>
  <c r="AA406" i="21" s="1"/>
  <c r="AC406" i="21" s="1"/>
  <c r="AH406" i="21"/>
  <c r="D407" i="21"/>
  <c r="I407" i="21"/>
  <c r="N407" i="21"/>
  <c r="U407" i="21"/>
  <c r="I412" i="21"/>
  <c r="R412" i="21"/>
  <c r="G413" i="21"/>
  <c r="P413" i="21"/>
  <c r="X413" i="21"/>
  <c r="U416" i="21"/>
  <c r="Q416" i="21"/>
  <c r="L416" i="21"/>
  <c r="H416" i="21"/>
  <c r="D416" i="21"/>
  <c r="X416" i="21"/>
  <c r="T416" i="21"/>
  <c r="P416" i="21"/>
  <c r="K416" i="21"/>
  <c r="G416" i="21"/>
  <c r="C416" i="21"/>
  <c r="N416" i="21"/>
  <c r="V417" i="21"/>
  <c r="R417" i="21"/>
  <c r="M417" i="21"/>
  <c r="I417" i="21"/>
  <c r="E417" i="21"/>
  <c r="U417" i="21"/>
  <c r="AJ417" i="21" s="1"/>
  <c r="Q417" i="21"/>
  <c r="L417" i="21"/>
  <c r="H417" i="21"/>
  <c r="D417" i="21"/>
  <c r="N417" i="21"/>
  <c r="AG418" i="21"/>
  <c r="AI418" i="21"/>
  <c r="AH418" i="21"/>
  <c r="G419" i="21"/>
  <c r="S419" i="21"/>
  <c r="U422" i="21"/>
  <c r="Q422" i="21"/>
  <c r="L422" i="21"/>
  <c r="H422" i="21"/>
  <c r="D422" i="21"/>
  <c r="V422" i="21"/>
  <c r="P422" i="21"/>
  <c r="J422" i="21"/>
  <c r="E422" i="21"/>
  <c r="T422" i="21"/>
  <c r="N422" i="21"/>
  <c r="I422" i="21"/>
  <c r="C422" i="21"/>
  <c r="R422" i="21"/>
  <c r="V423" i="21"/>
  <c r="R423" i="21"/>
  <c r="M423" i="21"/>
  <c r="I423" i="21"/>
  <c r="E423" i="21"/>
  <c r="U423" i="21"/>
  <c r="P423" i="21"/>
  <c r="J423" i="21"/>
  <c r="D423" i="21"/>
  <c r="T423" i="21"/>
  <c r="AJ423" i="21" s="1"/>
  <c r="N423" i="21"/>
  <c r="H423" i="21"/>
  <c r="C423" i="21"/>
  <c r="Q423" i="21"/>
  <c r="L425" i="21"/>
  <c r="U429" i="21"/>
  <c r="Q429" i="21"/>
  <c r="L429" i="21"/>
  <c r="H429" i="21"/>
  <c r="D429" i="21"/>
  <c r="X429" i="21"/>
  <c r="T429" i="21"/>
  <c r="P429" i="21"/>
  <c r="K429" i="21"/>
  <c r="G429" i="21"/>
  <c r="C429" i="21"/>
  <c r="S429" i="21"/>
  <c r="J429" i="21"/>
  <c r="B429" i="21"/>
  <c r="R429" i="21"/>
  <c r="I429" i="21"/>
  <c r="U437" i="21"/>
  <c r="Q437" i="21"/>
  <c r="L437" i="21"/>
  <c r="H437" i="21"/>
  <c r="D437" i="21"/>
  <c r="X437" i="21"/>
  <c r="T437" i="21"/>
  <c r="P437" i="21"/>
  <c r="K437" i="21"/>
  <c r="G437" i="21"/>
  <c r="C437" i="21"/>
  <c r="S437" i="21"/>
  <c r="J437" i="21"/>
  <c r="B437" i="21"/>
  <c r="R437" i="21"/>
  <c r="I437" i="21"/>
  <c r="U445" i="21"/>
  <c r="Q445" i="21"/>
  <c r="L445" i="21"/>
  <c r="H445" i="21"/>
  <c r="D445" i="21"/>
  <c r="X445" i="21"/>
  <c r="T445" i="21"/>
  <c r="P445" i="21"/>
  <c r="K445" i="21"/>
  <c r="G445" i="21"/>
  <c r="C445" i="21"/>
  <c r="S445" i="21"/>
  <c r="J445" i="21"/>
  <c r="B445" i="21"/>
  <c r="R445" i="21"/>
  <c r="I445" i="21"/>
  <c r="AJ458" i="21"/>
  <c r="Z461" i="21"/>
  <c r="AA461" i="21" s="1"/>
  <c r="AC461" i="21" s="1"/>
  <c r="W461" i="21"/>
  <c r="AI465" i="21"/>
  <c r="AH465" i="21"/>
  <c r="AG465" i="21"/>
  <c r="AF465" i="21"/>
  <c r="J411" i="21"/>
  <c r="N411" i="21"/>
  <c r="S411" i="21"/>
  <c r="J415" i="21"/>
  <c r="N415" i="21"/>
  <c r="S415" i="21"/>
  <c r="AG420" i="21"/>
  <c r="AH426" i="21"/>
  <c r="AG426" i="21"/>
  <c r="AF426" i="21"/>
  <c r="AH434" i="21"/>
  <c r="AG434" i="21"/>
  <c r="AF434" i="21"/>
  <c r="AF442" i="21"/>
  <c r="AG469" i="21"/>
  <c r="J386" i="21"/>
  <c r="N386" i="21"/>
  <c r="J390" i="21"/>
  <c r="N390" i="21"/>
  <c r="T390" i="21" s="1"/>
  <c r="AJ390" i="21" s="1"/>
  <c r="J394" i="21"/>
  <c r="N394" i="21"/>
  <c r="T394" i="21" s="1"/>
  <c r="AJ394" i="21" s="1"/>
  <c r="J398" i="21"/>
  <c r="N398" i="21"/>
  <c r="J402" i="21"/>
  <c r="N402" i="21"/>
  <c r="J406" i="21"/>
  <c r="N406" i="21"/>
  <c r="T406" i="21" s="1"/>
  <c r="AJ406" i="21" s="1"/>
  <c r="J410" i="21"/>
  <c r="N410" i="21"/>
  <c r="C411" i="21"/>
  <c r="G411" i="21"/>
  <c r="K411" i="21"/>
  <c r="P411" i="21"/>
  <c r="T411" i="21"/>
  <c r="AJ411" i="21" s="1"/>
  <c r="J414" i="21"/>
  <c r="N414" i="21"/>
  <c r="C415" i="21"/>
  <c r="G415" i="21"/>
  <c r="K415" i="21"/>
  <c r="P415" i="21"/>
  <c r="T415" i="21"/>
  <c r="U418" i="21"/>
  <c r="AJ418" i="21" s="1"/>
  <c r="Q418" i="21"/>
  <c r="L418" i="21"/>
  <c r="J418" i="21"/>
  <c r="P418" i="21"/>
  <c r="V418" i="21"/>
  <c r="Z420" i="21"/>
  <c r="AA420" i="21" s="1"/>
  <c r="AC420" i="21" s="1"/>
  <c r="AH420" i="21"/>
  <c r="V426" i="21"/>
  <c r="R426" i="21"/>
  <c r="M426" i="21"/>
  <c r="I426" i="21"/>
  <c r="E426" i="21"/>
  <c r="U426" i="21"/>
  <c r="AJ426" i="21" s="1"/>
  <c r="Q426" i="21"/>
  <c r="L426" i="21"/>
  <c r="H426" i="21"/>
  <c r="D426" i="21"/>
  <c r="N426" i="21"/>
  <c r="AI426" i="21"/>
  <c r="U433" i="21"/>
  <c r="Q433" i="21"/>
  <c r="L433" i="21"/>
  <c r="H433" i="21"/>
  <c r="D433" i="21"/>
  <c r="X433" i="21"/>
  <c r="T433" i="21"/>
  <c r="P433" i="21"/>
  <c r="K433" i="21"/>
  <c r="G433" i="21"/>
  <c r="C433" i="21"/>
  <c r="N433" i="21"/>
  <c r="V434" i="21"/>
  <c r="R434" i="21"/>
  <c r="M434" i="21"/>
  <c r="I434" i="21"/>
  <c r="E434" i="21"/>
  <c r="U434" i="21"/>
  <c r="AJ434" i="21" s="1"/>
  <c r="Q434" i="21"/>
  <c r="L434" i="21"/>
  <c r="H434" i="21"/>
  <c r="D434" i="21"/>
  <c r="N434" i="21"/>
  <c r="AI434" i="21"/>
  <c r="AI435" i="21"/>
  <c r="AH435" i="21"/>
  <c r="Z435" i="21"/>
  <c r="AA435" i="21" s="1"/>
  <c r="AC435" i="21" s="1"/>
  <c r="U441" i="21"/>
  <c r="Q441" i="21"/>
  <c r="L441" i="21"/>
  <c r="H441" i="21"/>
  <c r="D441" i="21"/>
  <c r="X441" i="21"/>
  <c r="T441" i="21"/>
  <c r="P441" i="21"/>
  <c r="K441" i="21"/>
  <c r="G441" i="21"/>
  <c r="C441" i="21"/>
  <c r="N441" i="21"/>
  <c r="V442" i="21"/>
  <c r="R442" i="21"/>
  <c r="M442" i="21"/>
  <c r="I442" i="21"/>
  <c r="E442" i="21"/>
  <c r="U442" i="21"/>
  <c r="Q442" i="21"/>
  <c r="L442" i="21"/>
  <c r="H442" i="21"/>
  <c r="D442" i="21"/>
  <c r="N442" i="21"/>
  <c r="AI443" i="21"/>
  <c r="AH443" i="21"/>
  <c r="U449" i="21"/>
  <c r="Q449" i="21"/>
  <c r="L449" i="21"/>
  <c r="H449" i="21"/>
  <c r="D449" i="21"/>
  <c r="X449" i="21"/>
  <c r="T449" i="21"/>
  <c r="P449" i="21"/>
  <c r="K449" i="21"/>
  <c r="G449" i="21"/>
  <c r="C449" i="21"/>
  <c r="N449" i="21"/>
  <c r="V450" i="21"/>
  <c r="R450" i="21"/>
  <c r="M450" i="21"/>
  <c r="I450" i="21"/>
  <c r="E450" i="21"/>
  <c r="U450" i="21"/>
  <c r="Q450" i="21"/>
  <c r="L450" i="21"/>
  <c r="H450" i="21"/>
  <c r="D450" i="21"/>
  <c r="N450" i="21"/>
  <c r="AI451" i="21"/>
  <c r="AH451" i="21"/>
  <c r="Z451" i="21"/>
  <c r="AA451" i="21" s="1"/>
  <c r="AC451" i="21" s="1"/>
  <c r="W453" i="21"/>
  <c r="Z453" i="21"/>
  <c r="AA453" i="21" s="1"/>
  <c r="AC453" i="21" s="1"/>
  <c r="AI452" i="21"/>
  <c r="C453" i="21"/>
  <c r="H453" i="21"/>
  <c r="N453" i="21"/>
  <c r="T453" i="21"/>
  <c r="AJ453" i="21" s="1"/>
  <c r="AI454" i="21"/>
  <c r="AH454" i="21"/>
  <c r="AG457" i="21"/>
  <c r="W488" i="21"/>
  <c r="Z488" i="21"/>
  <c r="AA488" i="21" s="1"/>
  <c r="AC488" i="21" s="1"/>
  <c r="J420" i="21"/>
  <c r="N420" i="21"/>
  <c r="J424" i="21"/>
  <c r="N424" i="21"/>
  <c r="E427" i="21"/>
  <c r="I427" i="21"/>
  <c r="M427" i="21"/>
  <c r="R427" i="21"/>
  <c r="V427" i="21"/>
  <c r="J428" i="21"/>
  <c r="N428" i="21"/>
  <c r="AI428" i="21"/>
  <c r="E431" i="21"/>
  <c r="I431" i="21"/>
  <c r="M431" i="21"/>
  <c r="R431" i="21"/>
  <c r="V431" i="21"/>
  <c r="J432" i="21"/>
  <c r="N432" i="21"/>
  <c r="E435" i="21"/>
  <c r="I435" i="21"/>
  <c r="M435" i="21"/>
  <c r="R435" i="21"/>
  <c r="V435" i="21"/>
  <c r="J436" i="21"/>
  <c r="N436" i="21"/>
  <c r="E439" i="21"/>
  <c r="I439" i="21"/>
  <c r="M439" i="21"/>
  <c r="R439" i="21"/>
  <c r="V439" i="21"/>
  <c r="J440" i="21"/>
  <c r="N440" i="21"/>
  <c r="AI440" i="21"/>
  <c r="E443" i="21"/>
  <c r="I443" i="21"/>
  <c r="M443" i="21"/>
  <c r="R443" i="21"/>
  <c r="V443" i="21"/>
  <c r="J444" i="21"/>
  <c r="N444" i="21"/>
  <c r="AI444" i="21"/>
  <c r="E447" i="21"/>
  <c r="I447" i="21"/>
  <c r="M447" i="21"/>
  <c r="R447" i="21"/>
  <c r="V447" i="21"/>
  <c r="J448" i="21"/>
  <c r="N448" i="21"/>
  <c r="AI448" i="21"/>
  <c r="E451" i="21"/>
  <c r="I451" i="21"/>
  <c r="M451" i="21"/>
  <c r="R451" i="21"/>
  <c r="V451" i="21"/>
  <c r="J452" i="21"/>
  <c r="N452" i="21"/>
  <c r="D453" i="21"/>
  <c r="J453" i="21"/>
  <c r="P453" i="21"/>
  <c r="Z454" i="21"/>
  <c r="AA454" i="21" s="1"/>
  <c r="AC454" i="21" s="1"/>
  <c r="U456" i="21"/>
  <c r="Q456" i="21"/>
  <c r="L456" i="21"/>
  <c r="H456" i="21"/>
  <c r="D456" i="21"/>
  <c r="X456" i="21"/>
  <c r="T456" i="21"/>
  <c r="AJ456" i="21" s="1"/>
  <c r="P456" i="21"/>
  <c r="K456" i="21"/>
  <c r="G456" i="21"/>
  <c r="C456" i="21"/>
  <c r="N456" i="21"/>
  <c r="V457" i="21"/>
  <c r="R457" i="21"/>
  <c r="M457" i="21"/>
  <c r="I457" i="21"/>
  <c r="E457" i="21"/>
  <c r="U457" i="21"/>
  <c r="Q457" i="21"/>
  <c r="L457" i="21"/>
  <c r="H457" i="21"/>
  <c r="D457" i="21"/>
  <c r="N457" i="21"/>
  <c r="AI457" i="21"/>
  <c r="AI458" i="21"/>
  <c r="AH458" i="21"/>
  <c r="E460" i="21"/>
  <c r="M460" i="21"/>
  <c r="C461" i="21"/>
  <c r="K461" i="21"/>
  <c r="B464" i="21"/>
  <c r="W465" i="21"/>
  <c r="B468" i="21"/>
  <c r="W469" i="21"/>
  <c r="Z469" i="21"/>
  <c r="AA469" i="21" s="1"/>
  <c r="AC469" i="21" s="1"/>
  <c r="X473" i="21"/>
  <c r="T473" i="21"/>
  <c r="P473" i="21"/>
  <c r="K473" i="21"/>
  <c r="G473" i="21"/>
  <c r="C473" i="21"/>
  <c r="V473" i="21"/>
  <c r="Q473" i="21"/>
  <c r="J473" i="21"/>
  <c r="E473" i="21"/>
  <c r="U473" i="21"/>
  <c r="N473" i="21"/>
  <c r="I473" i="21"/>
  <c r="D473" i="21"/>
  <c r="S473" i="21"/>
  <c r="M473" i="21"/>
  <c r="H473" i="21"/>
  <c r="B473" i="21"/>
  <c r="W474" i="21"/>
  <c r="J427" i="21"/>
  <c r="N427" i="21"/>
  <c r="J431" i="21"/>
  <c r="N431" i="21"/>
  <c r="J435" i="21"/>
  <c r="N435" i="21"/>
  <c r="J439" i="21"/>
  <c r="N439" i="21"/>
  <c r="J443" i="21"/>
  <c r="N443" i="21"/>
  <c r="J447" i="21"/>
  <c r="N447" i="21"/>
  <c r="J451" i="21"/>
  <c r="N451" i="21"/>
  <c r="AF452" i="21"/>
  <c r="V453" i="21"/>
  <c r="R453" i="21"/>
  <c r="M453" i="21"/>
  <c r="I453" i="21"/>
  <c r="E453" i="21"/>
  <c r="K453" i="21"/>
  <c r="Q453" i="21"/>
  <c r="AF454" i="21"/>
  <c r="U460" i="21"/>
  <c r="Q460" i="21"/>
  <c r="L460" i="21"/>
  <c r="H460" i="21"/>
  <c r="D460" i="21"/>
  <c r="X460" i="21"/>
  <c r="T460" i="21"/>
  <c r="P460" i="21"/>
  <c r="K460" i="21"/>
  <c r="G460" i="21"/>
  <c r="C460" i="21"/>
  <c r="N460" i="21"/>
  <c r="V461" i="21"/>
  <c r="R461" i="21"/>
  <c r="M461" i="21"/>
  <c r="I461" i="21"/>
  <c r="E461" i="21"/>
  <c r="U461" i="21"/>
  <c r="Q461" i="21"/>
  <c r="L461" i="21"/>
  <c r="H461" i="21"/>
  <c r="D461" i="21"/>
  <c r="N461" i="21"/>
  <c r="AF462" i="21"/>
  <c r="AI462" i="21"/>
  <c r="AH462" i="21"/>
  <c r="V464" i="21"/>
  <c r="R464" i="21"/>
  <c r="M464" i="21"/>
  <c r="I464" i="21"/>
  <c r="E464" i="21"/>
  <c r="U464" i="21"/>
  <c r="Q464" i="21"/>
  <c r="L464" i="21"/>
  <c r="H464" i="21"/>
  <c r="D464" i="21"/>
  <c r="X464" i="21"/>
  <c r="T464" i="21"/>
  <c r="P464" i="21"/>
  <c r="K464" i="21"/>
  <c r="G464" i="21"/>
  <c r="C464" i="21"/>
  <c r="V468" i="21"/>
  <c r="R468" i="21"/>
  <c r="M468" i="21"/>
  <c r="I468" i="21"/>
  <c r="E468" i="21"/>
  <c r="U468" i="21"/>
  <c r="Q468" i="21"/>
  <c r="L468" i="21"/>
  <c r="H468" i="21"/>
  <c r="D468" i="21"/>
  <c r="X468" i="21"/>
  <c r="T468" i="21"/>
  <c r="P468" i="21"/>
  <c r="K468" i="21"/>
  <c r="G468" i="21"/>
  <c r="C468" i="21"/>
  <c r="X486" i="21"/>
  <c r="T486" i="21"/>
  <c r="P486" i="21"/>
  <c r="K486" i="21"/>
  <c r="G486" i="21"/>
  <c r="C486" i="21"/>
  <c r="V486" i="21"/>
  <c r="Q486" i="21"/>
  <c r="J486" i="21"/>
  <c r="E486" i="21"/>
  <c r="U486" i="21"/>
  <c r="N486" i="21"/>
  <c r="I486" i="21"/>
  <c r="D486" i="21"/>
  <c r="M486" i="21"/>
  <c r="B486" i="21"/>
  <c r="L486" i="21"/>
  <c r="S486" i="21"/>
  <c r="H486" i="21"/>
  <c r="AG491" i="21"/>
  <c r="AI491" i="21"/>
  <c r="AH491" i="21"/>
  <c r="AF491" i="21"/>
  <c r="J455" i="21"/>
  <c r="N455" i="21"/>
  <c r="S455" i="21"/>
  <c r="J459" i="21"/>
  <c r="N459" i="21"/>
  <c r="S459" i="21"/>
  <c r="J463" i="21"/>
  <c r="N463" i="21"/>
  <c r="S463" i="21"/>
  <c r="D465" i="21"/>
  <c r="H465" i="21"/>
  <c r="L465" i="21"/>
  <c r="Q465" i="21"/>
  <c r="U465" i="21"/>
  <c r="AJ465" i="21" s="1"/>
  <c r="AH466" i="21"/>
  <c r="J467" i="21"/>
  <c r="N467" i="21"/>
  <c r="S467" i="21"/>
  <c r="D469" i="21"/>
  <c r="H469" i="21"/>
  <c r="L469" i="21"/>
  <c r="Q469" i="21"/>
  <c r="U469" i="21"/>
  <c r="AJ469" i="21" s="1"/>
  <c r="AH470" i="21"/>
  <c r="J471" i="21"/>
  <c r="N471" i="21"/>
  <c r="S471" i="21"/>
  <c r="AG472" i="21"/>
  <c r="C474" i="21"/>
  <c r="J474" i="21"/>
  <c r="S474" i="21"/>
  <c r="U477" i="21"/>
  <c r="Q477" i="21"/>
  <c r="L477" i="21"/>
  <c r="H477" i="21"/>
  <c r="D477" i="21"/>
  <c r="X477" i="21"/>
  <c r="T477" i="21"/>
  <c r="P477" i="21"/>
  <c r="K477" i="21"/>
  <c r="G477" i="21"/>
  <c r="C477" i="21"/>
  <c r="N477" i="21"/>
  <c r="V478" i="21"/>
  <c r="R478" i="21"/>
  <c r="M478" i="21"/>
  <c r="I478" i="21"/>
  <c r="E478" i="21"/>
  <c r="U478" i="21"/>
  <c r="Q478" i="21"/>
  <c r="L478" i="21"/>
  <c r="H478" i="21"/>
  <c r="D478" i="21"/>
  <c r="N478" i="21"/>
  <c r="AH479" i="21"/>
  <c r="L482" i="21"/>
  <c r="Z483" i="21"/>
  <c r="AA483" i="21" s="1"/>
  <c r="AC483" i="21" s="1"/>
  <c r="W483" i="21"/>
  <c r="AH483" i="21"/>
  <c r="AH484" i="21"/>
  <c r="AF484" i="21"/>
  <c r="U491" i="21"/>
  <c r="Q491" i="21"/>
  <c r="L491" i="21"/>
  <c r="H491" i="21"/>
  <c r="D491" i="21"/>
  <c r="V491" i="21"/>
  <c r="P491" i="21"/>
  <c r="J491" i="21"/>
  <c r="E491" i="21"/>
  <c r="X491" i="21"/>
  <c r="R491" i="21"/>
  <c r="I491" i="21"/>
  <c r="B491" i="21"/>
  <c r="N491" i="21"/>
  <c r="G491" i="21"/>
  <c r="T491" i="21"/>
  <c r="J454" i="21"/>
  <c r="N454" i="21"/>
  <c r="C455" i="21"/>
  <c r="G455" i="21"/>
  <c r="K455" i="21"/>
  <c r="P455" i="21"/>
  <c r="T455" i="21"/>
  <c r="J458" i="21"/>
  <c r="N458" i="21"/>
  <c r="C459" i="21"/>
  <c r="G459" i="21"/>
  <c r="K459" i="21"/>
  <c r="P459" i="21"/>
  <c r="T459" i="21"/>
  <c r="AJ459" i="21" s="1"/>
  <c r="J462" i="21"/>
  <c r="N462" i="21"/>
  <c r="C463" i="21"/>
  <c r="G463" i="21"/>
  <c r="K463" i="21"/>
  <c r="P463" i="21"/>
  <c r="T463" i="21"/>
  <c r="AJ463" i="21" s="1"/>
  <c r="E465" i="21"/>
  <c r="I465" i="21"/>
  <c r="M465" i="21"/>
  <c r="R465" i="21"/>
  <c r="V465" i="21"/>
  <c r="J466" i="21"/>
  <c r="N466" i="21"/>
  <c r="AI466" i="21"/>
  <c r="C467" i="21"/>
  <c r="G467" i="21"/>
  <c r="K467" i="21"/>
  <c r="P467" i="21"/>
  <c r="T467" i="21"/>
  <c r="E469" i="21"/>
  <c r="I469" i="21"/>
  <c r="M469" i="21"/>
  <c r="R469" i="21"/>
  <c r="V469" i="21"/>
  <c r="J470" i="21"/>
  <c r="N470" i="21"/>
  <c r="AI470" i="21"/>
  <c r="C471" i="21"/>
  <c r="G471" i="21"/>
  <c r="K471" i="21"/>
  <c r="P471" i="21"/>
  <c r="T471" i="21"/>
  <c r="AJ471" i="21" s="1"/>
  <c r="E474" i="21"/>
  <c r="K474" i="21"/>
  <c r="I477" i="21"/>
  <c r="R477" i="21"/>
  <c r="G478" i="21"/>
  <c r="P478" i="21"/>
  <c r="X478" i="21"/>
  <c r="AI481" i="21"/>
  <c r="AH481" i="21"/>
  <c r="W481" i="21"/>
  <c r="Z481" i="21"/>
  <c r="AA481" i="21" s="1"/>
  <c r="AC481" i="21" s="1"/>
  <c r="B482" i="21"/>
  <c r="Z484" i="21"/>
  <c r="AA484" i="21" s="1"/>
  <c r="AC484" i="21" s="1"/>
  <c r="Z487" i="21"/>
  <c r="AA487" i="21" s="1"/>
  <c r="AC487" i="21" s="1"/>
  <c r="W487" i="21"/>
  <c r="K491" i="21"/>
  <c r="J465" i="21"/>
  <c r="N465" i="21"/>
  <c r="J469" i="21"/>
  <c r="N469" i="21"/>
  <c r="V474" i="21"/>
  <c r="R474" i="21"/>
  <c r="M474" i="21"/>
  <c r="I474" i="21"/>
  <c r="U474" i="21"/>
  <c r="Q474" i="21"/>
  <c r="L474" i="21"/>
  <c r="H474" i="21"/>
  <c r="D474" i="21"/>
  <c r="N474" i="21"/>
  <c r="AH475" i="21"/>
  <c r="X482" i="21"/>
  <c r="T482" i="21"/>
  <c r="P482" i="21"/>
  <c r="K482" i="21"/>
  <c r="G482" i="21"/>
  <c r="C482" i="21"/>
  <c r="V482" i="21"/>
  <c r="Q482" i="21"/>
  <c r="J482" i="21"/>
  <c r="E482" i="21"/>
  <c r="U482" i="21"/>
  <c r="N482" i="21"/>
  <c r="I482" i="21"/>
  <c r="D482" i="21"/>
  <c r="R482" i="21"/>
  <c r="AG483" i="21"/>
  <c r="AF483" i="21"/>
  <c r="AG484" i="21"/>
  <c r="AI485" i="21"/>
  <c r="AH485" i="21"/>
  <c r="W485" i="21"/>
  <c r="Z485" i="21"/>
  <c r="AA485" i="21" s="1"/>
  <c r="AC485" i="21" s="1"/>
  <c r="X490" i="21"/>
  <c r="T490" i="21"/>
  <c r="P490" i="21"/>
  <c r="K490" i="21"/>
  <c r="G490" i="21"/>
  <c r="C490" i="21"/>
  <c r="U490" i="21"/>
  <c r="N490" i="21"/>
  <c r="I490" i="21"/>
  <c r="D490" i="21"/>
  <c r="S490" i="21"/>
  <c r="L490" i="21"/>
  <c r="E490" i="21"/>
  <c r="R490" i="21"/>
  <c r="J490" i="21"/>
  <c r="B490" i="21"/>
  <c r="V490" i="21"/>
  <c r="M491" i="21"/>
  <c r="Z492" i="21"/>
  <c r="AA492" i="21" s="1"/>
  <c r="AC492" i="21" s="1"/>
  <c r="W492" i="21"/>
  <c r="V499" i="21"/>
  <c r="R499" i="21"/>
  <c r="M499" i="21"/>
  <c r="I499" i="21"/>
  <c r="E499" i="21"/>
  <c r="U499" i="21"/>
  <c r="Q499" i="21"/>
  <c r="L499" i="21"/>
  <c r="H499" i="21"/>
  <c r="D499" i="21"/>
  <c r="X499" i="21"/>
  <c r="T499" i="21"/>
  <c r="P499" i="21"/>
  <c r="K499" i="21"/>
  <c r="G499" i="21"/>
  <c r="C499" i="21"/>
  <c r="S499" i="21"/>
  <c r="B499" i="21"/>
  <c r="N499" i="21"/>
  <c r="J499" i="21"/>
  <c r="J472" i="21"/>
  <c r="N472" i="21"/>
  <c r="E475" i="21"/>
  <c r="I475" i="21"/>
  <c r="M475" i="21"/>
  <c r="R475" i="21"/>
  <c r="V475" i="21"/>
  <c r="J476" i="21"/>
  <c r="N476" i="21"/>
  <c r="E479" i="21"/>
  <c r="I479" i="21"/>
  <c r="M479" i="21"/>
  <c r="R479" i="21"/>
  <c r="V479" i="21"/>
  <c r="J480" i="21"/>
  <c r="N480" i="21"/>
  <c r="E483" i="21"/>
  <c r="J483" i="21"/>
  <c r="P483" i="21"/>
  <c r="D484" i="21"/>
  <c r="J484" i="21"/>
  <c r="P484" i="21"/>
  <c r="E487" i="21"/>
  <c r="J487" i="21"/>
  <c r="P487" i="21"/>
  <c r="D488" i="21"/>
  <c r="J488" i="21"/>
  <c r="P488" i="21"/>
  <c r="C492" i="21"/>
  <c r="K492" i="21"/>
  <c r="V495" i="21"/>
  <c r="R495" i="21"/>
  <c r="M495" i="21"/>
  <c r="I495" i="21"/>
  <c r="E495" i="21"/>
  <c r="U495" i="21"/>
  <c r="Q495" i="21"/>
  <c r="L495" i="21"/>
  <c r="H495" i="21"/>
  <c r="D495" i="21"/>
  <c r="X495" i="21"/>
  <c r="T495" i="21"/>
  <c r="P495" i="21"/>
  <c r="K495" i="21"/>
  <c r="G495" i="21"/>
  <c r="C495" i="21"/>
  <c r="S495" i="21"/>
  <c r="B495" i="21"/>
  <c r="N495" i="21"/>
  <c r="J475" i="21"/>
  <c r="N475" i="21"/>
  <c r="J479" i="21"/>
  <c r="N479" i="21"/>
  <c r="U483" i="21"/>
  <c r="AJ483" i="21" s="1"/>
  <c r="Q483" i="21"/>
  <c r="L483" i="21"/>
  <c r="H483" i="21"/>
  <c r="D483" i="21"/>
  <c r="K483" i="21"/>
  <c r="R483" i="21"/>
  <c r="V484" i="21"/>
  <c r="R484" i="21"/>
  <c r="M484" i="21"/>
  <c r="I484" i="21"/>
  <c r="E484" i="21"/>
  <c r="K484" i="21"/>
  <c r="Q484" i="21"/>
  <c r="U487" i="21"/>
  <c r="AJ487" i="21" s="1"/>
  <c r="Q487" i="21"/>
  <c r="L487" i="21"/>
  <c r="H487" i="21"/>
  <c r="D487" i="21"/>
  <c r="K487" i="21"/>
  <c r="R487" i="21"/>
  <c r="V488" i="21"/>
  <c r="R488" i="21"/>
  <c r="M488" i="21"/>
  <c r="I488" i="21"/>
  <c r="E488" i="21"/>
  <c r="K488" i="21"/>
  <c r="Q488" i="21"/>
  <c r="V492" i="21"/>
  <c r="R492" i="21"/>
  <c r="M492" i="21"/>
  <c r="I492" i="21"/>
  <c r="E492" i="21"/>
  <c r="U492" i="21"/>
  <c r="P492" i="21"/>
  <c r="J492" i="21"/>
  <c r="D492" i="21"/>
  <c r="L492" i="21"/>
  <c r="T492" i="21"/>
  <c r="AJ493" i="21"/>
  <c r="J481" i="21"/>
  <c r="N481" i="21"/>
  <c r="J485" i="21"/>
  <c r="N485" i="21"/>
  <c r="J489" i="21"/>
  <c r="N489" i="21"/>
  <c r="T489" i="21"/>
  <c r="AJ489" i="21" s="1"/>
  <c r="AI493" i="21"/>
  <c r="AH493" i="21"/>
  <c r="W496" i="21"/>
  <c r="Z496" i="21"/>
  <c r="AA496" i="21" s="1"/>
  <c r="AC496" i="21" s="1"/>
  <c r="J494" i="21"/>
  <c r="N494" i="21"/>
  <c r="S494" i="21"/>
  <c r="D496" i="21"/>
  <c r="H496" i="21"/>
  <c r="L496" i="21"/>
  <c r="Q496" i="21"/>
  <c r="U496" i="21"/>
  <c r="AJ496" i="21" s="1"/>
  <c r="AH497" i="21"/>
  <c r="J498" i="21"/>
  <c r="N498" i="21"/>
  <c r="S498" i="21"/>
  <c r="D500" i="21"/>
  <c r="H500" i="21"/>
  <c r="L500" i="21"/>
  <c r="Q500" i="21"/>
  <c r="U500" i="21"/>
  <c r="AJ500" i="21" s="1"/>
  <c r="J493" i="21"/>
  <c r="N493" i="21"/>
  <c r="C494" i="21"/>
  <c r="G494" i="21"/>
  <c r="K494" i="21"/>
  <c r="P494" i="21"/>
  <c r="T494" i="21"/>
  <c r="AJ494" i="21" s="1"/>
  <c r="E496" i="21"/>
  <c r="I496" i="21"/>
  <c r="M496" i="21"/>
  <c r="R496" i="21"/>
  <c r="V496" i="21"/>
  <c r="J497" i="21"/>
  <c r="N497" i="21"/>
  <c r="AI497" i="21"/>
  <c r="C498" i="21"/>
  <c r="G498" i="21"/>
  <c r="K498" i="21"/>
  <c r="P498" i="21"/>
  <c r="T498" i="21"/>
  <c r="E500" i="21"/>
  <c r="I500" i="21"/>
  <c r="M500" i="21"/>
  <c r="R500" i="21"/>
  <c r="V500" i="21"/>
  <c r="J496" i="21"/>
  <c r="N496" i="21"/>
  <c r="J500" i="21"/>
  <c r="N500" i="21"/>
  <c r="H29" i="19"/>
  <c r="F29" i="19"/>
  <c r="G29" i="19"/>
  <c r="B29" i="19"/>
  <c r="AF479" i="21" l="1"/>
  <c r="AH472" i="21"/>
  <c r="AI479" i="21"/>
  <c r="AH398" i="21"/>
  <c r="AF276" i="21"/>
  <c r="AF316" i="21"/>
  <c r="AH260" i="21"/>
  <c r="AG218" i="21"/>
  <c r="AH234" i="21"/>
  <c r="AJ166" i="21"/>
  <c r="R162" i="21"/>
  <c r="T162" i="21" s="1"/>
  <c r="AJ162" i="21" s="1"/>
  <c r="AG133" i="21"/>
  <c r="AG113" i="21"/>
  <c r="AG115" i="21"/>
  <c r="AG63" i="21"/>
  <c r="R327" i="21"/>
  <c r="R324" i="21"/>
  <c r="AF447" i="21"/>
  <c r="AI234" i="21"/>
  <c r="T179" i="21"/>
  <c r="AJ179" i="21" s="1"/>
  <c r="AF113" i="21"/>
  <c r="AH156" i="21"/>
  <c r="AH457" i="21"/>
  <c r="AH469" i="21"/>
  <c r="AI469" i="21"/>
  <c r="AG447" i="21"/>
  <c r="AI410" i="21"/>
  <c r="AG325" i="21"/>
  <c r="AG252" i="21"/>
  <c r="AI260" i="21"/>
  <c r="T203" i="21"/>
  <c r="AJ203" i="21" s="1"/>
  <c r="AJ498" i="21"/>
  <c r="AI500" i="21"/>
  <c r="AJ455" i="21"/>
  <c r="AJ478" i="21"/>
  <c r="AJ461" i="21"/>
  <c r="T398" i="21"/>
  <c r="AJ398" i="21" s="1"/>
  <c r="T330" i="21"/>
  <c r="AI327" i="21"/>
  <c r="T237" i="21"/>
  <c r="AJ237" i="21" s="1"/>
  <c r="AG197" i="21"/>
  <c r="Z190" i="21"/>
  <c r="AA190" i="21" s="1"/>
  <c r="AC190" i="21" s="1"/>
  <c r="AF149" i="21"/>
  <c r="T44" i="21"/>
  <c r="AJ44" i="21" s="1"/>
  <c r="AG91" i="21"/>
  <c r="W75" i="21"/>
  <c r="AH63" i="21"/>
  <c r="R33" i="21"/>
  <c r="AJ484" i="21"/>
  <c r="R262" i="21"/>
  <c r="T262" i="21" s="1"/>
  <c r="AJ262" i="21" s="1"/>
  <c r="T270" i="21"/>
  <c r="AJ270" i="21" s="1"/>
  <c r="T150" i="21"/>
  <c r="T142" i="21"/>
  <c r="R135" i="21"/>
  <c r="T134" i="21"/>
  <c r="R127" i="21"/>
  <c r="T126" i="21"/>
  <c r="AJ126" i="21" s="1"/>
  <c r="T118" i="21"/>
  <c r="R37" i="21"/>
  <c r="AF262" i="21"/>
  <c r="T52" i="21"/>
  <c r="AJ52" i="21" s="1"/>
  <c r="AG73" i="21"/>
  <c r="AI38" i="21"/>
  <c r="AH339" i="21"/>
  <c r="AG305" i="21"/>
  <c r="AF472" i="21"/>
  <c r="AF414" i="21"/>
  <c r="R303" i="21"/>
  <c r="T282" i="21"/>
  <c r="AJ282" i="21" s="1"/>
  <c r="R339" i="21"/>
  <c r="R180" i="21"/>
  <c r="R141" i="21"/>
  <c r="R201" i="21"/>
  <c r="T227" i="21"/>
  <c r="AJ227" i="21" s="1"/>
  <c r="R103" i="21"/>
  <c r="T103" i="21" s="1"/>
  <c r="R96" i="21"/>
  <c r="T96" i="21" s="1"/>
  <c r="AJ96" i="21" s="1"/>
  <c r="AH101" i="21"/>
  <c r="AI73" i="21"/>
  <c r="AH335" i="21"/>
  <c r="AH38" i="21"/>
  <c r="R317" i="21"/>
  <c r="R190" i="21"/>
  <c r="R286" i="21"/>
  <c r="AJ450" i="21"/>
  <c r="AH427" i="21"/>
  <c r="W426" i="21"/>
  <c r="AG386" i="21"/>
  <c r="AG382" i="21"/>
  <c r="T325" i="21"/>
  <c r="AJ325" i="21" s="1"/>
  <c r="R375" i="21"/>
  <c r="T375" i="21" s="1"/>
  <c r="AJ375" i="21" s="1"/>
  <c r="AH487" i="21"/>
  <c r="AG343" i="21"/>
  <c r="AH369" i="21"/>
  <c r="AH331" i="21"/>
  <c r="AI312" i="21"/>
  <c r="AH296" i="21"/>
  <c r="AH292" i="21"/>
  <c r="R264" i="21"/>
  <c r="AG331" i="21"/>
  <c r="AJ223" i="21"/>
  <c r="AF201" i="21"/>
  <c r="T141" i="21"/>
  <c r="AJ141" i="21" s="1"/>
  <c r="AG208" i="21"/>
  <c r="R146" i="21"/>
  <c r="T146" i="21" s="1"/>
  <c r="AJ146" i="21" s="1"/>
  <c r="AJ134" i="21"/>
  <c r="T66" i="21"/>
  <c r="AJ66" i="21" s="1"/>
  <c r="T56" i="21"/>
  <c r="AJ56" i="21" s="1"/>
  <c r="T40" i="21"/>
  <c r="AJ40" i="21" s="1"/>
  <c r="Z48" i="21"/>
  <c r="AA48" i="21" s="1"/>
  <c r="AC48" i="21" s="1"/>
  <c r="Z52" i="21"/>
  <c r="AA52" i="21" s="1"/>
  <c r="AC52" i="21" s="1"/>
  <c r="AF382" i="21"/>
  <c r="AH370" i="21"/>
  <c r="R333" i="21"/>
  <c r="T333" i="21" s="1"/>
  <c r="AJ333" i="21" s="1"/>
  <c r="R250" i="21"/>
  <c r="T250" i="21" s="1"/>
  <c r="AJ250" i="21" s="1"/>
  <c r="R311" i="21"/>
  <c r="T175" i="21"/>
  <c r="AJ175" i="21" s="1"/>
  <c r="AI442" i="21"/>
  <c r="AF312" i="21"/>
  <c r="AG266" i="21"/>
  <c r="AG176" i="21"/>
  <c r="R98" i="21"/>
  <c r="Z165" i="21"/>
  <c r="AA165" i="21" s="1"/>
  <c r="AC165" i="21" s="1"/>
  <c r="AG127" i="21"/>
  <c r="R90" i="21"/>
  <c r="R55" i="21"/>
  <c r="AH62" i="21"/>
  <c r="AF427" i="21"/>
  <c r="AI370" i="21"/>
  <c r="AF186" i="21"/>
  <c r="T194" i="21"/>
  <c r="AJ194" i="21" s="1"/>
  <c r="AH496" i="21"/>
  <c r="R407" i="21"/>
  <c r="AI382" i="21"/>
  <c r="AF386" i="21"/>
  <c r="AF343" i="21"/>
  <c r="AF369" i="21"/>
  <c r="T254" i="21"/>
  <c r="AJ254" i="21" s="1"/>
  <c r="AI303" i="21"/>
  <c r="R251" i="21"/>
  <c r="Z443" i="21"/>
  <c r="AA443" i="21" s="1"/>
  <c r="AC443" i="21" s="1"/>
  <c r="T345" i="21"/>
  <c r="AJ345" i="21" s="1"/>
  <c r="T337" i="21"/>
  <c r="AJ337" i="21" s="1"/>
  <c r="T321" i="21"/>
  <c r="AJ321" i="21" s="1"/>
  <c r="R364" i="21"/>
  <c r="AG349" i="21"/>
  <c r="AH312" i="21"/>
  <c r="AI296" i="21"/>
  <c r="AG287" i="21"/>
  <c r="AI292" i="21"/>
  <c r="AF303" i="21"/>
  <c r="Z301" i="21"/>
  <c r="AA301" i="21" s="1"/>
  <c r="AC301" i="21" s="1"/>
  <c r="R240" i="21"/>
  <c r="T240" i="21" s="1"/>
  <c r="AJ240" i="21" s="1"/>
  <c r="AF266" i="21"/>
  <c r="AH186" i="21"/>
  <c r="AF175" i="21"/>
  <c r="T153" i="21"/>
  <c r="AJ153" i="21" s="1"/>
  <c r="T105" i="21"/>
  <c r="AJ105" i="21" s="1"/>
  <c r="R199" i="21"/>
  <c r="T199" i="21" s="1"/>
  <c r="AJ199" i="21" s="1"/>
  <c r="AG159" i="21"/>
  <c r="AF143" i="21"/>
  <c r="AH83" i="21"/>
  <c r="R112" i="21"/>
  <c r="T112" i="21" s="1"/>
  <c r="AJ112" i="21" s="1"/>
  <c r="AI83" i="21"/>
  <c r="AI341" i="21"/>
  <c r="AH287" i="21"/>
  <c r="AJ443" i="21"/>
  <c r="R308" i="21"/>
  <c r="R285" i="21"/>
  <c r="T285" i="21" s="1"/>
  <c r="AJ285" i="21" s="1"/>
  <c r="R331" i="21"/>
  <c r="R185" i="21"/>
  <c r="R157" i="21"/>
  <c r="T157" i="21" s="1"/>
  <c r="AJ157" i="21" s="1"/>
  <c r="R113" i="21"/>
  <c r="R382" i="21"/>
  <c r="T382" i="21" s="1"/>
  <c r="AJ382" i="21" s="1"/>
  <c r="AJ491" i="21"/>
  <c r="AJ457" i="21"/>
  <c r="T402" i="21"/>
  <c r="AJ402" i="21" s="1"/>
  <c r="T386" i="21"/>
  <c r="AJ386" i="21" s="1"/>
  <c r="Z414" i="21"/>
  <c r="AA414" i="21" s="1"/>
  <c r="AC414" i="21" s="1"/>
  <c r="T378" i="21"/>
  <c r="AJ378" i="21" s="1"/>
  <c r="AH417" i="21"/>
  <c r="AJ401" i="21"/>
  <c r="AF327" i="21"/>
  <c r="Z317" i="21"/>
  <c r="AA317" i="21" s="1"/>
  <c r="AC317" i="21" s="1"/>
  <c r="AI316" i="21"/>
  <c r="T231" i="21"/>
  <c r="AJ231" i="21" s="1"/>
  <c r="T205" i="21"/>
  <c r="AJ205" i="21" s="1"/>
  <c r="AG260" i="21"/>
  <c r="AH218" i="21"/>
  <c r="T171" i="21"/>
  <c r="AJ171" i="21" s="1"/>
  <c r="T161" i="21"/>
  <c r="AJ161" i="21" s="1"/>
  <c r="T145" i="21"/>
  <c r="AJ145" i="21" s="1"/>
  <c r="T129" i="21"/>
  <c r="AJ129" i="21" s="1"/>
  <c r="AF234" i="21"/>
  <c r="AF197" i="21"/>
  <c r="R155" i="21"/>
  <c r="T154" i="21"/>
  <c r="AJ154" i="21" s="1"/>
  <c r="AJ150" i="21"/>
  <c r="R147" i="21"/>
  <c r="AJ142" i="21"/>
  <c r="R139" i="21"/>
  <c r="T138" i="21"/>
  <c r="AJ138" i="21" s="1"/>
  <c r="T102" i="21"/>
  <c r="T94" i="21"/>
  <c r="AJ94" i="21" s="1"/>
  <c r="AH180" i="21"/>
  <c r="T71" i="21"/>
  <c r="AJ71" i="21" s="1"/>
  <c r="AG149" i="21"/>
  <c r="AI149" i="21"/>
  <c r="AH133" i="21"/>
  <c r="Z113" i="21"/>
  <c r="AA113" i="21" s="1"/>
  <c r="AC113" i="21" s="1"/>
  <c r="AI113" i="21"/>
  <c r="AF91" i="21"/>
  <c r="R45" i="21"/>
  <c r="T45" i="21" s="1"/>
  <c r="AJ45" i="21" s="1"/>
  <c r="AF34" i="21"/>
  <c r="AI63" i="21"/>
  <c r="Z432" i="21"/>
  <c r="AA432" i="21" s="1"/>
  <c r="AC432" i="21" s="1"/>
  <c r="AH341" i="21"/>
  <c r="AH42" i="21"/>
  <c r="Z436" i="21"/>
  <c r="AA436" i="21" s="1"/>
  <c r="AC436" i="21" s="1"/>
  <c r="AH428" i="21"/>
  <c r="AI488" i="21"/>
  <c r="Z480" i="21"/>
  <c r="AA480" i="21" s="1"/>
  <c r="AC480" i="21" s="1"/>
  <c r="R222" i="21"/>
  <c r="T222" i="21" s="1"/>
  <c r="AJ222" i="21" s="1"/>
  <c r="R274" i="21"/>
  <c r="R245" i="21"/>
  <c r="T245" i="21" s="1"/>
  <c r="AJ245" i="21" s="1"/>
  <c r="AG192" i="21"/>
  <c r="AH197" i="21"/>
  <c r="R130" i="21"/>
  <c r="T130" i="21" s="1"/>
  <c r="AJ130" i="21" s="1"/>
  <c r="AF180" i="21"/>
  <c r="T91" i="21"/>
  <c r="AJ91" i="21" s="1"/>
  <c r="AH165" i="21"/>
  <c r="AF133" i="21"/>
  <c r="AG85" i="21"/>
  <c r="AF115" i="21"/>
  <c r="Z125" i="21"/>
  <c r="AA125" i="21" s="1"/>
  <c r="AC125" i="21" s="1"/>
  <c r="AF156" i="21"/>
  <c r="AG34" i="21"/>
  <c r="AI42" i="21"/>
  <c r="AF325" i="21"/>
  <c r="AH480" i="21"/>
  <c r="AJ75" i="21"/>
  <c r="R59" i="21"/>
  <c r="R202" i="21"/>
  <c r="R279" i="21"/>
  <c r="T279" i="21" s="1"/>
  <c r="AJ279" i="21" s="1"/>
  <c r="AJ464" i="21"/>
  <c r="AH224" i="21"/>
  <c r="R391" i="21"/>
  <c r="T391" i="21" s="1"/>
  <c r="AJ391" i="21" s="1"/>
  <c r="T384" i="21"/>
  <c r="AJ384" i="21" s="1"/>
  <c r="T373" i="21"/>
  <c r="AJ373" i="21" s="1"/>
  <c r="R302" i="21"/>
  <c r="T302" i="21" s="1"/>
  <c r="AJ302" i="21" s="1"/>
  <c r="T264" i="21"/>
  <c r="AJ264" i="21" s="1"/>
  <c r="T248" i="21"/>
  <c r="AJ248" i="21" s="1"/>
  <c r="T232" i="21"/>
  <c r="AJ232" i="21" s="1"/>
  <c r="T216" i="21"/>
  <c r="AJ216" i="21" s="1"/>
  <c r="AH325" i="21"/>
  <c r="AJ247" i="21"/>
  <c r="T174" i="21"/>
  <c r="AI224" i="21"/>
  <c r="R168" i="21"/>
  <c r="R106" i="21"/>
  <c r="AG180" i="21"/>
  <c r="T90" i="21"/>
  <c r="AJ90" i="21" s="1"/>
  <c r="T70" i="21"/>
  <c r="AJ70" i="21" s="1"/>
  <c r="AH115" i="21"/>
  <c r="R111" i="21"/>
  <c r="T111" i="21" s="1"/>
  <c r="AJ111" i="21" s="1"/>
  <c r="AH91" i="21"/>
  <c r="AG168" i="21"/>
  <c r="AG156" i="21"/>
  <c r="R100" i="21"/>
  <c r="AF42" i="21"/>
  <c r="AF297" i="21"/>
  <c r="R165" i="21"/>
  <c r="T165" i="21" s="1"/>
  <c r="AJ165" i="21" s="1"/>
  <c r="R226" i="21"/>
  <c r="T226" i="21" s="1"/>
  <c r="AJ226" i="21" s="1"/>
  <c r="R197" i="21"/>
  <c r="R176" i="21"/>
  <c r="T176" i="21" s="1"/>
  <c r="AJ176" i="21" s="1"/>
  <c r="AJ408" i="21"/>
  <c r="W500" i="21"/>
  <c r="AG500" i="21"/>
  <c r="AJ492" i="21"/>
  <c r="AI476" i="21"/>
  <c r="AF488" i="21"/>
  <c r="Z472" i="21"/>
  <c r="AA472" i="21" s="1"/>
  <c r="AC472" i="21" s="1"/>
  <c r="W457" i="21"/>
  <c r="Z479" i="21"/>
  <c r="AA479" i="21" s="1"/>
  <c r="AC479" i="21" s="1"/>
  <c r="AJ442" i="21"/>
  <c r="AH424" i="21"/>
  <c r="AG450" i="21"/>
  <c r="AH442" i="21"/>
  <c r="AI417" i="21"/>
  <c r="AF417" i="21"/>
  <c r="AG476" i="21"/>
  <c r="AG480" i="21"/>
  <c r="AF480" i="21"/>
  <c r="AI450" i="21"/>
  <c r="AI427" i="21"/>
  <c r="AF450" i="21"/>
  <c r="AH500" i="21"/>
  <c r="AJ474" i="21"/>
  <c r="AH488" i="21"/>
  <c r="Z427" i="21"/>
  <c r="AA427" i="21" s="1"/>
  <c r="AC427" i="21" s="1"/>
  <c r="AJ415" i="21"/>
  <c r="AH476" i="21"/>
  <c r="AI436" i="21"/>
  <c r="R383" i="21"/>
  <c r="T383" i="21" s="1"/>
  <c r="AJ383" i="21" s="1"/>
  <c r="AJ366" i="21"/>
  <c r="T400" i="21"/>
  <c r="AJ400" i="21" s="1"/>
  <c r="AI335" i="21"/>
  <c r="R280" i="21"/>
  <c r="T280" i="21" s="1"/>
  <c r="AJ280" i="21" s="1"/>
  <c r="T256" i="21"/>
  <c r="AJ256" i="21" s="1"/>
  <c r="T246" i="21"/>
  <c r="AJ246" i="21" s="1"/>
  <c r="T224" i="21"/>
  <c r="AJ224" i="21" s="1"/>
  <c r="T206" i="21"/>
  <c r="AJ206" i="21" s="1"/>
  <c r="T190" i="21"/>
  <c r="AJ190" i="21" s="1"/>
  <c r="T334" i="21"/>
  <c r="AF320" i="21"/>
  <c r="R212" i="21"/>
  <c r="T212" i="21" s="1"/>
  <c r="AJ212" i="21" s="1"/>
  <c r="R235" i="21"/>
  <c r="T235" i="21" s="1"/>
  <c r="AJ235" i="21" s="1"/>
  <c r="R128" i="21"/>
  <c r="T128" i="21" s="1"/>
  <c r="AJ128" i="21" s="1"/>
  <c r="R110" i="21"/>
  <c r="T110" i="21" s="1"/>
  <c r="AJ110" i="21" s="1"/>
  <c r="AJ102" i="21"/>
  <c r="AH182" i="21"/>
  <c r="T79" i="21"/>
  <c r="AJ79" i="21" s="1"/>
  <c r="T67" i="21"/>
  <c r="AJ67" i="21" s="1"/>
  <c r="T191" i="21"/>
  <c r="AJ191" i="21" s="1"/>
  <c r="AG190" i="21"/>
  <c r="AG182" i="21"/>
  <c r="AG165" i="21"/>
  <c r="AF165" i="21"/>
  <c r="AH143" i="21"/>
  <c r="AJ103" i="21"/>
  <c r="AF171" i="21"/>
  <c r="AH168" i="21"/>
  <c r="R92" i="21"/>
  <c r="T78" i="21"/>
  <c r="AF46" i="21"/>
  <c r="AG52" i="21"/>
  <c r="AH48" i="21"/>
  <c r="AH70" i="21"/>
  <c r="T72" i="21"/>
  <c r="AJ72" i="21" s="1"/>
  <c r="AH52" i="21"/>
  <c r="AG321" i="21"/>
  <c r="AH46" i="21"/>
  <c r="AI283" i="21"/>
  <c r="AF436" i="21"/>
  <c r="AH378" i="21"/>
  <c r="AG186" i="21"/>
  <c r="AH347" i="21"/>
  <c r="AF347" i="21"/>
  <c r="R370" i="21"/>
  <c r="R313" i="21"/>
  <c r="AH216" i="21"/>
  <c r="AF216" i="21"/>
  <c r="AG272" i="21"/>
  <c r="AH272" i="21"/>
  <c r="AH248" i="21"/>
  <c r="AF248" i="21"/>
  <c r="AI202" i="21"/>
  <c r="AG202" i="21"/>
  <c r="AH230" i="21"/>
  <c r="AF230" i="21"/>
  <c r="T370" i="21"/>
  <c r="AJ370" i="21" s="1"/>
  <c r="T313" i="21"/>
  <c r="AJ313" i="21" s="1"/>
  <c r="T117" i="21"/>
  <c r="AJ117" i="21" s="1"/>
  <c r="T101" i="21"/>
  <c r="AJ101" i="21" s="1"/>
  <c r="T93" i="21"/>
  <c r="AJ93" i="21" s="1"/>
  <c r="W476" i="21"/>
  <c r="Z476" i="21"/>
  <c r="AA476" i="21" s="1"/>
  <c r="AC476" i="21" s="1"/>
  <c r="AI176" i="21"/>
  <c r="AH176" i="21"/>
  <c r="AJ467" i="21"/>
  <c r="AI496" i="21"/>
  <c r="AF410" i="21"/>
  <c r="AG378" i="21"/>
  <c r="T392" i="21"/>
  <c r="R405" i="21"/>
  <c r="T405" i="21" s="1"/>
  <c r="AJ405" i="21" s="1"/>
  <c r="AI487" i="21"/>
  <c r="Z357" i="21"/>
  <c r="AA357" i="21" s="1"/>
  <c r="AC357" i="21" s="1"/>
  <c r="T238" i="21"/>
  <c r="AJ238" i="21" s="1"/>
  <c r="T230" i="21"/>
  <c r="AJ230" i="21" s="1"/>
  <c r="T208" i="21"/>
  <c r="AJ208" i="21" s="1"/>
  <c r="T196" i="21"/>
  <c r="T184" i="21"/>
  <c r="AJ184" i="21" s="1"/>
  <c r="R265" i="21"/>
  <c r="R219" i="21"/>
  <c r="T219" i="21" s="1"/>
  <c r="AJ219" i="21" s="1"/>
  <c r="AH201" i="21"/>
  <c r="T137" i="21"/>
  <c r="AJ137" i="21" s="1"/>
  <c r="T121" i="21"/>
  <c r="AJ121" i="21" s="1"/>
  <c r="T97" i="21"/>
  <c r="AJ97" i="21" s="1"/>
  <c r="AH240" i="21"/>
  <c r="T195" i="21"/>
  <c r="AJ195" i="21" s="1"/>
  <c r="AI192" i="21"/>
  <c r="R131" i="21"/>
  <c r="T131" i="21" s="1"/>
  <c r="AJ131" i="21" s="1"/>
  <c r="R120" i="21"/>
  <c r="AH190" i="21"/>
  <c r="R148" i="21"/>
  <c r="R116" i="21"/>
  <c r="T116" i="21" s="1"/>
  <c r="AJ116" i="21" s="1"/>
  <c r="T83" i="21"/>
  <c r="AJ83" i="21" s="1"/>
  <c r="AF190" i="21"/>
  <c r="AF182" i="21"/>
  <c r="AF159" i="21"/>
  <c r="AG143" i="21"/>
  <c r="Z133" i="21"/>
  <c r="AA133" i="21" s="1"/>
  <c r="AC133" i="21" s="1"/>
  <c r="AF127" i="21"/>
  <c r="R74" i="21"/>
  <c r="T74" i="21" s="1"/>
  <c r="AJ74" i="21" s="1"/>
  <c r="T62" i="21"/>
  <c r="AJ62" i="21" s="1"/>
  <c r="R86" i="21"/>
  <c r="AH171" i="21"/>
  <c r="Z157" i="21"/>
  <c r="AA157" i="21" s="1"/>
  <c r="AC157" i="21" s="1"/>
  <c r="AF124" i="21"/>
  <c r="R99" i="21"/>
  <c r="T37" i="21"/>
  <c r="AJ37" i="21" s="1"/>
  <c r="R35" i="21"/>
  <c r="T35" i="21" s="1"/>
  <c r="AJ35" i="21" s="1"/>
  <c r="AI62" i="21"/>
  <c r="R54" i="21"/>
  <c r="T54" i="21" s="1"/>
  <c r="AJ54" i="21" s="1"/>
  <c r="R49" i="21"/>
  <c r="AI46" i="21"/>
  <c r="AI52" i="21"/>
  <c r="AF32" i="21"/>
  <c r="AG62" i="21"/>
  <c r="AF349" i="21"/>
  <c r="AH50" i="21"/>
  <c r="AI378" i="21"/>
  <c r="AG475" i="21"/>
  <c r="AF475" i="21"/>
  <c r="AJ439" i="21"/>
  <c r="R349" i="21"/>
  <c r="AI333" i="21"/>
  <c r="AH333" i="21"/>
  <c r="R341" i="21"/>
  <c r="T341" i="21" s="1"/>
  <c r="AJ341" i="21" s="1"/>
  <c r="R297" i="21"/>
  <c r="T297" i="21" s="1"/>
  <c r="AJ297" i="21" s="1"/>
  <c r="AF264" i="21"/>
  <c r="AH264" i="21"/>
  <c r="AG276" i="21"/>
  <c r="AH276" i="21"/>
  <c r="AG268" i="21"/>
  <c r="AH268" i="21"/>
  <c r="R242" i="21"/>
  <c r="T242" i="21" s="1"/>
  <c r="AJ242" i="21" s="1"/>
  <c r="AF252" i="21"/>
  <c r="AH252" i="21"/>
  <c r="R214" i="21"/>
  <c r="T214" i="21" s="1"/>
  <c r="AJ214" i="21" s="1"/>
  <c r="AH220" i="21"/>
  <c r="AF220" i="21"/>
  <c r="R182" i="21"/>
  <c r="T182" i="21" s="1"/>
  <c r="AJ182" i="21" s="1"/>
  <c r="AJ330" i="21"/>
  <c r="AF432" i="21"/>
  <c r="AG432" i="21"/>
  <c r="AH432" i="21"/>
  <c r="R283" i="21"/>
  <c r="T283" i="21" s="1"/>
  <c r="AJ283" i="21" s="1"/>
  <c r="AI48" i="21"/>
  <c r="AF48" i="21"/>
  <c r="T352" i="21"/>
  <c r="AJ352" i="21" s="1"/>
  <c r="AI432" i="21"/>
  <c r="AF496" i="21"/>
  <c r="AJ449" i="21"/>
  <c r="AJ445" i="21"/>
  <c r="T374" i="21"/>
  <c r="AJ374" i="21" s="1"/>
  <c r="T351" i="21"/>
  <c r="AJ351" i="21" s="1"/>
  <c r="T349" i="21"/>
  <c r="AJ349" i="21" s="1"/>
  <c r="T317" i="21"/>
  <c r="AJ317" i="21" s="1"/>
  <c r="AF384" i="21"/>
  <c r="AH384" i="21"/>
  <c r="AF487" i="21"/>
  <c r="R346" i="21"/>
  <c r="T346" i="21" s="1"/>
  <c r="AJ346" i="21" s="1"/>
  <c r="R338" i="21"/>
  <c r="T338" i="21" s="1"/>
  <c r="AJ338" i="21" s="1"/>
  <c r="Z349" i="21"/>
  <c r="AA349" i="21" s="1"/>
  <c r="AC349" i="21" s="1"/>
  <c r="T344" i="21"/>
  <c r="AJ344" i="21" s="1"/>
  <c r="T311" i="21"/>
  <c r="AJ311" i="21" s="1"/>
  <c r="AF321" i="21"/>
  <c r="R288" i="21"/>
  <c r="T288" i="21" s="1"/>
  <c r="AJ288" i="21" s="1"/>
  <c r="AI324" i="21"/>
  <c r="AH321" i="21"/>
  <c r="AH320" i="21"/>
  <c r="Z274" i="21"/>
  <c r="AA274" i="21" s="1"/>
  <c r="AC274" i="21" s="1"/>
  <c r="T241" i="21"/>
  <c r="AJ241" i="21" s="1"/>
  <c r="Z424" i="21"/>
  <c r="AA424" i="21" s="1"/>
  <c r="AC424" i="21" s="1"/>
  <c r="AH410" i="21"/>
  <c r="R399" i="21"/>
  <c r="T399" i="21" s="1"/>
  <c r="AJ399" i="21" s="1"/>
  <c r="T387" i="21"/>
  <c r="AJ387" i="21" s="1"/>
  <c r="T397" i="21"/>
  <c r="AJ397" i="21" s="1"/>
  <c r="AI384" i="21"/>
  <c r="AJ369" i="21"/>
  <c r="AJ438" i="21"/>
  <c r="AJ446" i="21"/>
  <c r="T389" i="21"/>
  <c r="AJ389" i="21" s="1"/>
  <c r="R368" i="21"/>
  <c r="T368" i="21" s="1"/>
  <c r="AJ368" i="21" s="1"/>
  <c r="T356" i="21"/>
  <c r="AJ356" i="21" s="1"/>
  <c r="AF335" i="21"/>
  <c r="T327" i="21"/>
  <c r="AJ327" i="21" s="1"/>
  <c r="T303" i="21"/>
  <c r="AJ303" i="21" s="1"/>
  <c r="T291" i="21"/>
  <c r="R318" i="21"/>
  <c r="T318" i="21" s="1"/>
  <c r="AJ318" i="21" s="1"/>
  <c r="R284" i="21"/>
  <c r="T284" i="21" s="1"/>
  <c r="AJ284" i="21" s="1"/>
  <c r="AG283" i="21"/>
  <c r="T274" i="21"/>
  <c r="AJ274" i="21" s="1"/>
  <c r="AJ266" i="21"/>
  <c r="T234" i="21"/>
  <c r="AJ234" i="21" s="1"/>
  <c r="T210" i="21"/>
  <c r="AJ210" i="21" s="1"/>
  <c r="T202" i="21"/>
  <c r="AJ202" i="21" s="1"/>
  <c r="AF324" i="21"/>
  <c r="R271" i="21"/>
  <c r="T271" i="21" s="1"/>
  <c r="AJ271" i="21" s="1"/>
  <c r="R267" i="21"/>
  <c r="R290" i="21"/>
  <c r="T290" i="21" s="1"/>
  <c r="AJ290" i="21" s="1"/>
  <c r="R220" i="21"/>
  <c r="R277" i="21"/>
  <c r="R269" i="21"/>
  <c r="T269" i="21" s="1"/>
  <c r="AJ269" i="21" s="1"/>
  <c r="T257" i="21"/>
  <c r="AJ257" i="21" s="1"/>
  <c r="R255" i="21"/>
  <c r="T255" i="21" s="1"/>
  <c r="AJ255" i="21" s="1"/>
  <c r="R225" i="21"/>
  <c r="T225" i="21" s="1"/>
  <c r="AJ225" i="21" s="1"/>
  <c r="T273" i="21"/>
  <c r="AJ273" i="21" s="1"/>
  <c r="R243" i="21"/>
  <c r="T243" i="21" s="1"/>
  <c r="AJ243" i="21" s="1"/>
  <c r="T189" i="21"/>
  <c r="AJ189" i="21" s="1"/>
  <c r="AF240" i="21"/>
  <c r="R229" i="21"/>
  <c r="T229" i="21" s="1"/>
  <c r="AJ229" i="21" s="1"/>
  <c r="AF192" i="21"/>
  <c r="R173" i="21"/>
  <c r="T173" i="21" s="1"/>
  <c r="AJ173" i="21" s="1"/>
  <c r="T170" i="21"/>
  <c r="AJ170" i="21" s="1"/>
  <c r="R160" i="21"/>
  <c r="T160" i="21" s="1"/>
  <c r="AJ160" i="21" s="1"/>
  <c r="R123" i="21"/>
  <c r="T122" i="21"/>
  <c r="AJ122" i="21" s="1"/>
  <c r="AJ118" i="21"/>
  <c r="R115" i="21"/>
  <c r="T115" i="21" s="1"/>
  <c r="AJ115" i="21" s="1"/>
  <c r="T114" i="21"/>
  <c r="AJ114" i="21" s="1"/>
  <c r="T106" i="21"/>
  <c r="AJ106" i="21" s="1"/>
  <c r="T98" i="21"/>
  <c r="AJ98" i="21" s="1"/>
  <c r="T87" i="21"/>
  <c r="AJ87" i="21" s="1"/>
  <c r="T63" i="21"/>
  <c r="AJ63" i="21" s="1"/>
  <c r="T207" i="21"/>
  <c r="AJ207" i="21" s="1"/>
  <c r="AI168" i="21"/>
  <c r="AH159" i="21"/>
  <c r="AH127" i="21"/>
  <c r="T68" i="21"/>
  <c r="AJ68" i="21" s="1"/>
  <c r="T64" i="21"/>
  <c r="AJ64" i="21" s="1"/>
  <c r="T48" i="21"/>
  <c r="AJ48" i="21" s="1"/>
  <c r="AG124" i="21"/>
  <c r="R107" i="21"/>
  <c r="AF50" i="21"/>
  <c r="AG70" i="21"/>
  <c r="AI50" i="21"/>
  <c r="AJ447" i="21"/>
  <c r="AJ451" i="21"/>
  <c r="AI424" i="21"/>
  <c r="AF424" i="21"/>
  <c r="W466" i="21"/>
  <c r="Z466" i="21"/>
  <c r="AA466" i="21" s="1"/>
  <c r="AC466" i="21" s="1"/>
  <c r="R293" i="21"/>
  <c r="T293" i="21" s="1"/>
  <c r="AJ293" i="21" s="1"/>
  <c r="R169" i="21"/>
  <c r="T169" i="21" s="1"/>
  <c r="AJ169" i="21" s="1"/>
  <c r="R109" i="21"/>
  <c r="T109" i="21" s="1"/>
  <c r="AJ109" i="21" s="1"/>
  <c r="AH85" i="21"/>
  <c r="AF85" i="21"/>
  <c r="R178" i="21"/>
  <c r="T178" i="21" s="1"/>
  <c r="AJ178" i="21" s="1"/>
  <c r="R287" i="21"/>
  <c r="T287" i="21" s="1"/>
  <c r="AJ287" i="21" s="1"/>
  <c r="R186" i="21"/>
  <c r="T186" i="21" s="1"/>
  <c r="AJ186" i="21" s="1"/>
  <c r="R149" i="21"/>
  <c r="T149" i="21" s="1"/>
  <c r="AJ149" i="21" s="1"/>
  <c r="R133" i="21"/>
  <c r="T133" i="21" s="1"/>
  <c r="AJ133" i="21" s="1"/>
  <c r="R125" i="21"/>
  <c r="T125" i="21" s="1"/>
  <c r="AJ125" i="21" s="1"/>
  <c r="R218" i="21"/>
  <c r="T218" i="21" s="1"/>
  <c r="AJ218" i="21" s="1"/>
  <c r="T403" i="21"/>
  <c r="AJ403" i="21" s="1"/>
  <c r="T385" i="21"/>
  <c r="AJ385" i="21" s="1"/>
  <c r="R164" i="21"/>
  <c r="T164" i="21" s="1"/>
  <c r="AJ164" i="21" s="1"/>
  <c r="T80" i="21"/>
  <c r="AJ80" i="21" s="1"/>
  <c r="T307" i="21"/>
  <c r="AJ307" i="21" s="1"/>
  <c r="AJ261" i="21"/>
  <c r="T221" i="21"/>
  <c r="AJ221" i="21" s="1"/>
  <c r="T200" i="21"/>
  <c r="AJ200" i="21" s="1"/>
  <c r="T251" i="21"/>
  <c r="AJ251" i="21" s="1"/>
  <c r="T215" i="21"/>
  <c r="AJ215" i="21" s="1"/>
  <c r="T209" i="21"/>
  <c r="AJ209" i="21" s="1"/>
  <c r="T187" i="21"/>
  <c r="AJ187" i="21" s="1"/>
  <c r="T113" i="21"/>
  <c r="AJ113" i="21" s="1"/>
  <c r="AJ158" i="21"/>
  <c r="R156" i="21"/>
  <c r="T156" i="21" s="1"/>
  <c r="AJ156" i="21" s="1"/>
  <c r="R124" i="21"/>
  <c r="R104" i="21"/>
  <c r="T104" i="21" s="1"/>
  <c r="AJ104" i="21" s="1"/>
  <c r="R108" i="21"/>
  <c r="T108" i="21" s="1"/>
  <c r="AJ108" i="21" s="1"/>
  <c r="T46" i="21"/>
  <c r="AJ46" i="21" s="1"/>
  <c r="T38" i="21"/>
  <c r="AJ38" i="21" s="1"/>
  <c r="T33" i="21"/>
  <c r="AJ33" i="21" s="1"/>
  <c r="U501" i="21"/>
  <c r="T396" i="21"/>
  <c r="AJ396" i="21" s="1"/>
  <c r="R132" i="21"/>
  <c r="X501" i="21"/>
  <c r="N501" i="21"/>
  <c r="R371" i="21"/>
  <c r="T371" i="21" s="1"/>
  <c r="AJ371" i="21" s="1"/>
  <c r="T377" i="21"/>
  <c r="AJ377" i="21" s="1"/>
  <c r="R363" i="21"/>
  <c r="T363" i="21" s="1"/>
  <c r="AJ363" i="21" s="1"/>
  <c r="T364" i="21"/>
  <c r="AJ364" i="21" s="1"/>
  <c r="T319" i="21"/>
  <c r="T267" i="21"/>
  <c r="AJ267" i="21" s="1"/>
  <c r="T306" i="21"/>
  <c r="AJ306" i="21" s="1"/>
  <c r="T289" i="21"/>
  <c r="AJ289" i="21" s="1"/>
  <c r="AJ495" i="21"/>
  <c r="AJ486" i="21"/>
  <c r="AJ433" i="21"/>
  <c r="AJ393" i="21"/>
  <c r="T348" i="21"/>
  <c r="AJ348" i="21" s="1"/>
  <c r="R342" i="21"/>
  <c r="T342" i="21" s="1"/>
  <c r="AJ342" i="21" s="1"/>
  <c r="T350" i="21"/>
  <c r="AJ350" i="21" s="1"/>
  <c r="T323" i="21"/>
  <c r="AJ323" i="21" s="1"/>
  <c r="T300" i="21"/>
  <c r="AJ300" i="21" s="1"/>
  <c r="T295" i="21"/>
  <c r="AJ295" i="21" s="1"/>
  <c r="T278" i="21"/>
  <c r="AJ278" i="21" s="1"/>
  <c r="T258" i="21"/>
  <c r="AJ258" i="21" s="1"/>
  <c r="R326" i="21"/>
  <c r="T326" i="21" s="1"/>
  <c r="AJ326" i="21" s="1"/>
  <c r="R294" i="21"/>
  <c r="T294" i="21" s="1"/>
  <c r="AJ294" i="21" s="1"/>
  <c r="T286" i="21"/>
  <c r="AJ286" i="21" s="1"/>
  <c r="T263" i="21"/>
  <c r="AJ263" i="21" s="1"/>
  <c r="T192" i="21"/>
  <c r="T180" i="21"/>
  <c r="T239" i="21"/>
  <c r="AJ239" i="21" s="1"/>
  <c r="R151" i="21"/>
  <c r="T151" i="21" s="1"/>
  <c r="AJ151" i="21" s="1"/>
  <c r="R119" i="21"/>
  <c r="T119" i="21" s="1"/>
  <c r="AJ119" i="21" s="1"/>
  <c r="T177" i="21"/>
  <c r="AJ177" i="21" s="1"/>
  <c r="T60" i="21"/>
  <c r="AJ60" i="21" s="1"/>
  <c r="T59" i="21"/>
  <c r="AJ59" i="21" s="1"/>
  <c r="R57" i="21"/>
  <c r="T57" i="21" s="1"/>
  <c r="AJ57" i="21" s="1"/>
  <c r="R53" i="21"/>
  <c r="T53" i="21" s="1"/>
  <c r="AJ53" i="21" s="1"/>
  <c r="AJ84" i="21"/>
  <c r="P501" i="21"/>
  <c r="R41" i="21"/>
  <c r="T41" i="21" s="1"/>
  <c r="AJ41" i="21" s="1"/>
  <c r="T343" i="21"/>
  <c r="AJ343" i="21" s="1"/>
  <c r="T314" i="21"/>
  <c r="AJ314" i="21" s="1"/>
  <c r="AJ477" i="21"/>
  <c r="AJ460" i="21"/>
  <c r="AJ441" i="21"/>
  <c r="AJ416" i="21"/>
  <c r="T388" i="21"/>
  <c r="AJ388" i="21" s="1"/>
  <c r="R379" i="21"/>
  <c r="T379" i="21" s="1"/>
  <c r="AJ379" i="21" s="1"/>
  <c r="T381" i="21"/>
  <c r="AJ381" i="21" s="1"/>
  <c r="T380" i="21"/>
  <c r="AJ380" i="21" s="1"/>
  <c r="T354" i="21"/>
  <c r="AJ354" i="21" s="1"/>
  <c r="T332" i="21"/>
  <c r="AJ332" i="21" s="1"/>
  <c r="T316" i="21"/>
  <c r="AJ316" i="21" s="1"/>
  <c r="T281" i="21"/>
  <c r="AJ281" i="21" s="1"/>
  <c r="T265" i="21"/>
  <c r="AJ265" i="21" s="1"/>
  <c r="T211" i="21"/>
  <c r="AJ211" i="21" s="1"/>
  <c r="R143" i="21"/>
  <c r="R140" i="21"/>
  <c r="T183" i="21"/>
  <c r="AJ183" i="21" s="1"/>
  <c r="T76" i="21"/>
  <c r="AJ76" i="21" s="1"/>
  <c r="T69" i="21"/>
  <c r="AJ69" i="21" s="1"/>
  <c r="T65" i="21"/>
  <c r="AJ65" i="21" s="1"/>
  <c r="T61" i="21"/>
  <c r="AJ61" i="21" s="1"/>
  <c r="T86" i="21"/>
  <c r="AJ86" i="21" s="1"/>
  <c r="R58" i="21"/>
  <c r="T50" i="21"/>
  <c r="AJ50" i="21" s="1"/>
  <c r="T42" i="21"/>
  <c r="AJ42" i="21" s="1"/>
  <c r="T372" i="21"/>
  <c r="AJ372" i="21" s="1"/>
  <c r="T322" i="21"/>
  <c r="AJ322" i="21" s="1"/>
  <c r="T249" i="21"/>
  <c r="AJ249" i="21" s="1"/>
  <c r="T217" i="21"/>
  <c r="AJ217" i="21" s="1"/>
  <c r="T88" i="21"/>
  <c r="AJ88" i="21" s="1"/>
  <c r="T36" i="21"/>
  <c r="AJ36" i="21" s="1"/>
  <c r="T55" i="21"/>
  <c r="AJ55" i="21" s="1"/>
  <c r="T407" i="21"/>
  <c r="AJ407" i="21" s="1"/>
  <c r="T360" i="21"/>
  <c r="AJ360" i="21" s="1"/>
  <c r="T277" i="21"/>
  <c r="AJ277" i="21" s="1"/>
  <c r="T233" i="21"/>
  <c r="AJ233" i="21" s="1"/>
  <c r="T49" i="21"/>
  <c r="AJ49" i="21" s="1"/>
  <c r="T58" i="21"/>
  <c r="AJ58" i="21" s="1"/>
  <c r="T376" i="21"/>
  <c r="AJ376" i="21" s="1"/>
  <c r="T298" i="21"/>
  <c r="AJ298" i="21" s="1"/>
  <c r="T213" i="21"/>
  <c r="AJ213" i="21" s="1"/>
  <c r="T82" i="21"/>
  <c r="AJ82" i="21" s="1"/>
  <c r="AG494" i="21"/>
  <c r="AF494" i="21"/>
  <c r="AI494" i="21"/>
  <c r="AH494" i="21"/>
  <c r="Z495" i="21"/>
  <c r="AA495" i="21" s="1"/>
  <c r="AC495" i="21" s="1"/>
  <c r="W495" i="21"/>
  <c r="AG467" i="21"/>
  <c r="AF467" i="21"/>
  <c r="AI467" i="21"/>
  <c r="AH467" i="21"/>
  <c r="W459" i="21"/>
  <c r="Z459" i="21"/>
  <c r="AA459" i="21" s="1"/>
  <c r="AC459" i="21" s="1"/>
  <c r="AF486" i="21"/>
  <c r="AI486" i="21"/>
  <c r="AH486" i="21"/>
  <c r="AG486" i="21"/>
  <c r="Z464" i="21"/>
  <c r="AA464" i="21" s="1"/>
  <c r="AC464" i="21" s="1"/>
  <c r="W464" i="21"/>
  <c r="AG460" i="21"/>
  <c r="AF460" i="21"/>
  <c r="AI460" i="21"/>
  <c r="AH460" i="21"/>
  <c r="Z441" i="21"/>
  <c r="AA441" i="21" s="1"/>
  <c r="AC441" i="21" s="1"/>
  <c r="W441" i="21"/>
  <c r="AG416" i="21"/>
  <c r="AF416" i="21"/>
  <c r="AI416" i="21"/>
  <c r="AH416" i="21"/>
  <c r="AH377" i="21"/>
  <c r="AI377" i="21"/>
  <c r="AG377" i="21"/>
  <c r="AF377" i="21"/>
  <c r="W366" i="21"/>
  <c r="Z366" i="21"/>
  <c r="AA366" i="21" s="1"/>
  <c r="AC366" i="21" s="1"/>
  <c r="AF362" i="21"/>
  <c r="AI362" i="21"/>
  <c r="AH362" i="21"/>
  <c r="AG362" i="21"/>
  <c r="AH430" i="21"/>
  <c r="AG430" i="21"/>
  <c r="AI430" i="21"/>
  <c r="AF430" i="21"/>
  <c r="Z372" i="21"/>
  <c r="AA372" i="21" s="1"/>
  <c r="AC372" i="21" s="1"/>
  <c r="AF371" i="21"/>
  <c r="AH371" i="21"/>
  <c r="AG371" i="21"/>
  <c r="AI371" i="21"/>
  <c r="AG363" i="21"/>
  <c r="AF363" i="21"/>
  <c r="AI363" i="21"/>
  <c r="AH363" i="21"/>
  <c r="Z360" i="21"/>
  <c r="AA360" i="21" s="1"/>
  <c r="AC360" i="21" s="1"/>
  <c r="AF350" i="21"/>
  <c r="AH350" i="21"/>
  <c r="AI350" i="21"/>
  <c r="AG350" i="21"/>
  <c r="Z344" i="21"/>
  <c r="AA344" i="21" s="1"/>
  <c r="AC344" i="21" s="1"/>
  <c r="Z267" i="21"/>
  <c r="AA267" i="21" s="1"/>
  <c r="AC267" i="21" s="1"/>
  <c r="Z334" i="21"/>
  <c r="AA334" i="21" s="1"/>
  <c r="AC334" i="21" s="1"/>
  <c r="AF294" i="21"/>
  <c r="AH294" i="21"/>
  <c r="AG294" i="21"/>
  <c r="AI294" i="21"/>
  <c r="Z306" i="21"/>
  <c r="AA306" i="21" s="1"/>
  <c r="AC306" i="21" s="1"/>
  <c r="Z115" i="21"/>
  <c r="AA115" i="21" s="1"/>
  <c r="AC115" i="21" s="1"/>
  <c r="AF110" i="21"/>
  <c r="AG110" i="21"/>
  <c r="AI110" i="21"/>
  <c r="AH110" i="21"/>
  <c r="AF106" i="21"/>
  <c r="AG106" i="21"/>
  <c r="AI106" i="21"/>
  <c r="AH106" i="21"/>
  <c r="T140" i="21"/>
  <c r="AJ140" i="21" s="1"/>
  <c r="T135" i="21"/>
  <c r="AJ135" i="21" s="1"/>
  <c r="T124" i="21"/>
  <c r="AJ124" i="21" s="1"/>
  <c r="T85" i="21"/>
  <c r="AJ85" i="21" s="1"/>
  <c r="AF207" i="21"/>
  <c r="AH207" i="21"/>
  <c r="AI207" i="21"/>
  <c r="AG207" i="21"/>
  <c r="AF191" i="21"/>
  <c r="AH191" i="21"/>
  <c r="AI191" i="21"/>
  <c r="AG191" i="21"/>
  <c r="AF173" i="21"/>
  <c r="AI173" i="21"/>
  <c r="AH173" i="21"/>
  <c r="AG173" i="21"/>
  <c r="AH108" i="21"/>
  <c r="AG108" i="21"/>
  <c r="AI108" i="21"/>
  <c r="AF108" i="21"/>
  <c r="Z80" i="21"/>
  <c r="AA80" i="21" s="1"/>
  <c r="AC80" i="21" s="1"/>
  <c r="AF74" i="21"/>
  <c r="AH74" i="21"/>
  <c r="AI74" i="21"/>
  <c r="AG74" i="21"/>
  <c r="Z57" i="21"/>
  <c r="AA57" i="21" s="1"/>
  <c r="AC57" i="21" s="1"/>
  <c r="AF53" i="21"/>
  <c r="AI53" i="21"/>
  <c r="AG53" i="21"/>
  <c r="AH53" i="21"/>
  <c r="AF86" i="21"/>
  <c r="AH86" i="21"/>
  <c r="AI86" i="21"/>
  <c r="AG86" i="21"/>
  <c r="Z108" i="21"/>
  <c r="AA108" i="21" s="1"/>
  <c r="AC108" i="21" s="1"/>
  <c r="Z107" i="21"/>
  <c r="AA107" i="21" s="1"/>
  <c r="AC107" i="21" s="1"/>
  <c r="T92" i="21"/>
  <c r="AJ92" i="21" s="1"/>
  <c r="AF68" i="21"/>
  <c r="AI68" i="21"/>
  <c r="AG68" i="21"/>
  <c r="AH68" i="21"/>
  <c r="AF64" i="21"/>
  <c r="AI64" i="21"/>
  <c r="AG64" i="21"/>
  <c r="AH64" i="21"/>
  <c r="AF60" i="21"/>
  <c r="AI60" i="21"/>
  <c r="AG60" i="21"/>
  <c r="AH60" i="21"/>
  <c r="AI36" i="21"/>
  <c r="AH36" i="21"/>
  <c r="AG36" i="21"/>
  <c r="AF36" i="21"/>
  <c r="Q501" i="21"/>
  <c r="Z58" i="21"/>
  <c r="AA58" i="21" s="1"/>
  <c r="AC58" i="21" s="1"/>
  <c r="AF41" i="21"/>
  <c r="AI41" i="21"/>
  <c r="AH41" i="21"/>
  <c r="AG41" i="21"/>
  <c r="AF45" i="21"/>
  <c r="AI45" i="21"/>
  <c r="AH45" i="21"/>
  <c r="AG45" i="21"/>
  <c r="Z491" i="21"/>
  <c r="AA491" i="21" s="1"/>
  <c r="AC491" i="21" s="1"/>
  <c r="W491" i="21"/>
  <c r="AG477" i="21"/>
  <c r="AF477" i="21"/>
  <c r="AI477" i="21"/>
  <c r="AH477" i="21"/>
  <c r="AG445" i="21"/>
  <c r="AF445" i="21"/>
  <c r="AI445" i="21"/>
  <c r="AH445" i="21"/>
  <c r="Z399" i="21"/>
  <c r="AA399" i="21" s="1"/>
  <c r="AC399" i="21" s="1"/>
  <c r="W395" i="21"/>
  <c r="Z395" i="21"/>
  <c r="AA395" i="21" s="1"/>
  <c r="AC395" i="21" s="1"/>
  <c r="Z391" i="21"/>
  <c r="AA391" i="21" s="1"/>
  <c r="AC391" i="21" s="1"/>
  <c r="Z387" i="21"/>
  <c r="AA387" i="21" s="1"/>
  <c r="AC387" i="21" s="1"/>
  <c r="AG396" i="21"/>
  <c r="AH396" i="21"/>
  <c r="AI396" i="21"/>
  <c r="AF396" i="21"/>
  <c r="AG372" i="21"/>
  <c r="AI372" i="21"/>
  <c r="AH372" i="21"/>
  <c r="AF372" i="21"/>
  <c r="Z380" i="21"/>
  <c r="AA380" i="21" s="1"/>
  <c r="AC380" i="21" s="1"/>
  <c r="AF379" i="21"/>
  <c r="AH379" i="21"/>
  <c r="AG379" i="21"/>
  <c r="AI379" i="21"/>
  <c r="Z359" i="21"/>
  <c r="AA359" i="21" s="1"/>
  <c r="AC359" i="21" s="1"/>
  <c r="Z405" i="21"/>
  <c r="AA405" i="21" s="1"/>
  <c r="AC405" i="21" s="1"/>
  <c r="AH405" i="21"/>
  <c r="AI405" i="21"/>
  <c r="AG405" i="21"/>
  <c r="AF405" i="21"/>
  <c r="R367" i="21"/>
  <c r="T367" i="21" s="1"/>
  <c r="AJ367" i="21" s="1"/>
  <c r="AF342" i="21"/>
  <c r="AH342" i="21"/>
  <c r="AI342" i="21"/>
  <c r="AG342" i="21"/>
  <c r="AF338" i="21"/>
  <c r="AH338" i="21"/>
  <c r="AG338" i="21"/>
  <c r="AI338" i="21"/>
  <c r="Z314" i="21"/>
  <c r="AA314" i="21" s="1"/>
  <c r="AC314" i="21" s="1"/>
  <c r="AH286" i="21"/>
  <c r="AI286" i="21"/>
  <c r="AG286" i="21"/>
  <c r="AF286" i="21"/>
  <c r="Z280" i="21"/>
  <c r="AA280" i="21" s="1"/>
  <c r="AC280" i="21" s="1"/>
  <c r="Z241" i="21"/>
  <c r="AA241" i="21" s="1"/>
  <c r="AC241" i="21" s="1"/>
  <c r="AH221" i="21"/>
  <c r="AF221" i="21"/>
  <c r="AI221" i="21"/>
  <c r="AG221" i="21"/>
  <c r="Z211" i="21"/>
  <c r="AA211" i="21" s="1"/>
  <c r="AC211" i="21" s="1"/>
  <c r="AH249" i="21"/>
  <c r="AF249" i="21"/>
  <c r="AG249" i="21"/>
  <c r="AI249" i="21"/>
  <c r="AF203" i="21"/>
  <c r="AG203" i="21"/>
  <c r="AI203" i="21"/>
  <c r="AH203" i="21"/>
  <c r="AG170" i="21"/>
  <c r="AF170" i="21"/>
  <c r="AH170" i="21"/>
  <c r="AI170" i="21"/>
  <c r="Z163" i="21"/>
  <c r="AA163" i="21" s="1"/>
  <c r="AC163" i="21" s="1"/>
  <c r="AF162" i="21"/>
  <c r="AG162" i="21"/>
  <c r="AI162" i="21"/>
  <c r="AH162" i="21"/>
  <c r="Z155" i="21"/>
  <c r="AA155" i="21" s="1"/>
  <c r="AC155" i="21" s="1"/>
  <c r="AF154" i="21"/>
  <c r="AG154" i="21"/>
  <c r="AI154" i="21"/>
  <c r="AH154" i="21"/>
  <c r="Z147" i="21"/>
  <c r="AA147" i="21" s="1"/>
  <c r="AC147" i="21" s="1"/>
  <c r="AF146" i="21"/>
  <c r="AG146" i="21"/>
  <c r="AI146" i="21"/>
  <c r="AH146" i="21"/>
  <c r="Z139" i="21"/>
  <c r="AA139" i="21" s="1"/>
  <c r="AC139" i="21" s="1"/>
  <c r="AF138" i="21"/>
  <c r="AG138" i="21"/>
  <c r="AI138" i="21"/>
  <c r="AH138" i="21"/>
  <c r="Z131" i="21"/>
  <c r="AA131" i="21" s="1"/>
  <c r="AC131" i="21" s="1"/>
  <c r="AF130" i="21"/>
  <c r="AG130" i="21"/>
  <c r="AI130" i="21"/>
  <c r="AH130" i="21"/>
  <c r="Z123" i="21"/>
  <c r="AA123" i="21" s="1"/>
  <c r="AC123" i="21" s="1"/>
  <c r="AF122" i="21"/>
  <c r="AG122" i="21"/>
  <c r="AI122" i="21"/>
  <c r="AH122" i="21"/>
  <c r="AF114" i="21"/>
  <c r="AG114" i="21"/>
  <c r="AI114" i="21"/>
  <c r="AH114" i="21"/>
  <c r="AF102" i="21"/>
  <c r="AG102" i="21"/>
  <c r="AI102" i="21"/>
  <c r="AH102" i="21"/>
  <c r="AF98" i="21"/>
  <c r="AG98" i="21"/>
  <c r="AI98" i="21"/>
  <c r="AH98" i="21"/>
  <c r="AF94" i="21"/>
  <c r="AG94" i="21"/>
  <c r="AI94" i="21"/>
  <c r="AH94" i="21"/>
  <c r="T167" i="21"/>
  <c r="AJ167" i="21" s="1"/>
  <c r="AG498" i="21"/>
  <c r="AF498" i="21"/>
  <c r="AI498" i="21"/>
  <c r="AH498" i="21"/>
  <c r="AH492" i="21"/>
  <c r="AG492" i="21"/>
  <c r="AI492" i="21"/>
  <c r="AF492" i="21"/>
  <c r="AH499" i="21"/>
  <c r="AG499" i="21"/>
  <c r="AF499" i="21"/>
  <c r="AI499" i="21"/>
  <c r="AJ499" i="21"/>
  <c r="AF490" i="21"/>
  <c r="AI490" i="21"/>
  <c r="AH490" i="21"/>
  <c r="AG490" i="21"/>
  <c r="AJ490" i="21"/>
  <c r="AF482" i="21"/>
  <c r="AI482" i="21"/>
  <c r="AG482" i="21"/>
  <c r="AH482" i="21"/>
  <c r="AJ482" i="21"/>
  <c r="Z478" i="21"/>
  <c r="AA478" i="21" s="1"/>
  <c r="AC478" i="21" s="1"/>
  <c r="W478" i="21"/>
  <c r="Z471" i="21"/>
  <c r="AA471" i="21" s="1"/>
  <c r="AC471" i="21" s="1"/>
  <c r="W471" i="21"/>
  <c r="Z463" i="21"/>
  <c r="AA463" i="21" s="1"/>
  <c r="AC463" i="21" s="1"/>
  <c r="W463" i="21"/>
  <c r="AF459" i="21"/>
  <c r="AI459" i="21"/>
  <c r="AH459" i="21"/>
  <c r="AG459" i="21"/>
  <c r="Z477" i="21"/>
  <c r="AA477" i="21" s="1"/>
  <c r="AC477" i="21" s="1"/>
  <c r="W477" i="21"/>
  <c r="AH474" i="21"/>
  <c r="AG474" i="21"/>
  <c r="AI474" i="21"/>
  <c r="AF474" i="21"/>
  <c r="Z486" i="21"/>
  <c r="AA486" i="21" s="1"/>
  <c r="AC486" i="21" s="1"/>
  <c r="W486" i="21"/>
  <c r="Z460" i="21"/>
  <c r="AA460" i="21" s="1"/>
  <c r="AC460" i="21" s="1"/>
  <c r="W460" i="21"/>
  <c r="Z445" i="21"/>
  <c r="AA445" i="21" s="1"/>
  <c r="AC445" i="21" s="1"/>
  <c r="W445" i="21"/>
  <c r="AG437" i="21"/>
  <c r="AF437" i="21"/>
  <c r="AI437" i="21"/>
  <c r="AH437" i="21"/>
  <c r="AJ437" i="21"/>
  <c r="AJ422" i="21"/>
  <c r="Z419" i="21"/>
  <c r="AA419" i="21" s="1"/>
  <c r="AC419" i="21" s="1"/>
  <c r="W419" i="21"/>
  <c r="Z416" i="21"/>
  <c r="AA416" i="21" s="1"/>
  <c r="AC416" i="21" s="1"/>
  <c r="W416" i="21"/>
  <c r="AF425" i="21"/>
  <c r="AI425" i="21"/>
  <c r="AH425" i="21"/>
  <c r="AG425" i="21"/>
  <c r="AJ425" i="21"/>
  <c r="AF407" i="21"/>
  <c r="AI407" i="21"/>
  <c r="AH407" i="21"/>
  <c r="AG407" i="21"/>
  <c r="AF421" i="21"/>
  <c r="AI421" i="21"/>
  <c r="AH421" i="21"/>
  <c r="AG421" i="21"/>
  <c r="AJ421" i="21"/>
  <c r="Z409" i="21"/>
  <c r="AA409" i="21" s="1"/>
  <c r="AC409" i="21" s="1"/>
  <c r="W409" i="21"/>
  <c r="AH409" i="21"/>
  <c r="AG409" i="21"/>
  <c r="AI409" i="21"/>
  <c r="AF409" i="21"/>
  <c r="R404" i="21"/>
  <c r="T404" i="21" s="1"/>
  <c r="AJ404" i="21" s="1"/>
  <c r="AH397" i="21"/>
  <c r="AG397" i="21"/>
  <c r="AI397" i="21"/>
  <c r="AF397" i="21"/>
  <c r="AG388" i="21"/>
  <c r="AH388" i="21"/>
  <c r="AI388" i="21"/>
  <c r="AF388" i="21"/>
  <c r="Z383" i="21"/>
  <c r="AA383" i="21" s="1"/>
  <c r="AC383" i="21" s="1"/>
  <c r="AH381" i="21"/>
  <c r="AI381" i="21"/>
  <c r="AG381" i="21"/>
  <c r="AF381" i="21"/>
  <c r="AG376" i="21"/>
  <c r="AI376" i="21"/>
  <c r="AH376" i="21"/>
  <c r="AF376" i="21"/>
  <c r="AF366" i="21"/>
  <c r="AI366" i="21"/>
  <c r="AH366" i="21"/>
  <c r="AG366" i="21"/>
  <c r="AJ430" i="21"/>
  <c r="Z379" i="21"/>
  <c r="AA379" i="21" s="1"/>
  <c r="AC379" i="21" s="1"/>
  <c r="Z377" i="21"/>
  <c r="AA377" i="21" s="1"/>
  <c r="AC377" i="21" s="1"/>
  <c r="Z371" i="21"/>
  <c r="AA371" i="21" s="1"/>
  <c r="AC371" i="21" s="1"/>
  <c r="R362" i="21"/>
  <c r="T362" i="21" s="1"/>
  <c r="AJ362" i="21" s="1"/>
  <c r="AG359" i="21"/>
  <c r="AF359" i="21"/>
  <c r="AI359" i="21"/>
  <c r="AH359" i="21"/>
  <c r="Z355" i="21"/>
  <c r="AA355" i="21" s="1"/>
  <c r="AC355" i="21" s="1"/>
  <c r="AH438" i="21"/>
  <c r="AG438" i="21"/>
  <c r="AI438" i="21"/>
  <c r="AF438" i="21"/>
  <c r="Z408" i="21"/>
  <c r="AA408" i="21" s="1"/>
  <c r="AC408" i="21" s="1"/>
  <c r="W408" i="21"/>
  <c r="AG408" i="21"/>
  <c r="AI408" i="21"/>
  <c r="AH408" i="21"/>
  <c r="AF408" i="21"/>
  <c r="R355" i="21"/>
  <c r="T355" i="21" s="1"/>
  <c r="AJ355" i="21" s="1"/>
  <c r="AH446" i="21"/>
  <c r="AG446" i="21"/>
  <c r="AI446" i="21"/>
  <c r="AF446" i="21"/>
  <c r="Z342" i="21"/>
  <c r="AA342" i="21" s="1"/>
  <c r="AC342" i="21" s="1"/>
  <c r="Z338" i="21"/>
  <c r="AA338" i="21" s="1"/>
  <c r="AC338" i="21" s="1"/>
  <c r="AH364" i="21"/>
  <c r="AG364" i="21"/>
  <c r="AF364" i="21"/>
  <c r="AI364" i="21"/>
  <c r="Z350" i="21"/>
  <c r="AA350" i="21" s="1"/>
  <c r="AC350" i="21" s="1"/>
  <c r="T339" i="21"/>
  <c r="AJ339" i="21" s="1"/>
  <c r="T335" i="21"/>
  <c r="AJ335" i="21" s="1"/>
  <c r="T331" i="21"/>
  <c r="AJ331" i="21" s="1"/>
  <c r="T320" i="21"/>
  <c r="AJ320" i="21" s="1"/>
  <c r="T315" i="21"/>
  <c r="AJ315" i="21" s="1"/>
  <c r="T304" i="21"/>
  <c r="AJ304" i="21" s="1"/>
  <c r="T299" i="21"/>
  <c r="AJ299" i="21" s="1"/>
  <c r="AF330" i="21"/>
  <c r="AG330" i="21"/>
  <c r="AI330" i="21"/>
  <c r="AH330" i="21"/>
  <c r="AF298" i="21"/>
  <c r="AG298" i="21"/>
  <c r="AI298" i="21"/>
  <c r="AH298" i="21"/>
  <c r="AF290" i="21"/>
  <c r="AI290" i="21"/>
  <c r="AH290" i="21"/>
  <c r="AG290" i="21"/>
  <c r="AG285" i="21"/>
  <c r="AI285" i="21"/>
  <c r="AH285" i="21"/>
  <c r="AF285" i="21"/>
  <c r="Z271" i="21"/>
  <c r="AA271" i="21" s="1"/>
  <c r="AC271" i="21" s="1"/>
  <c r="T268" i="21"/>
  <c r="AJ268" i="21" s="1"/>
  <c r="AF267" i="21"/>
  <c r="AI267" i="21"/>
  <c r="AH267" i="21"/>
  <c r="AG267" i="21"/>
  <c r="AF310" i="21"/>
  <c r="AH310" i="21"/>
  <c r="AG310" i="21"/>
  <c r="AI310" i="21"/>
  <c r="Z294" i="21"/>
  <c r="AA294" i="21" s="1"/>
  <c r="AC294" i="21" s="1"/>
  <c r="AF322" i="21"/>
  <c r="AI322" i="21"/>
  <c r="AH322" i="21"/>
  <c r="AG322" i="21"/>
  <c r="Z290" i="21"/>
  <c r="AA290" i="21" s="1"/>
  <c r="AC290" i="21" s="1"/>
  <c r="AF318" i="21"/>
  <c r="AI318" i="21"/>
  <c r="AH318" i="21"/>
  <c r="AG318" i="21"/>
  <c r="AF247" i="21"/>
  <c r="AH247" i="21"/>
  <c r="AI247" i="21"/>
  <c r="AG247" i="21"/>
  <c r="AH225" i="21"/>
  <c r="AF225" i="21"/>
  <c r="AI225" i="21"/>
  <c r="AG225" i="21"/>
  <c r="AH273" i="21"/>
  <c r="AG273" i="21"/>
  <c r="AF273" i="21"/>
  <c r="AI273" i="21"/>
  <c r="AF259" i="21"/>
  <c r="AH259" i="21"/>
  <c r="AI259" i="21"/>
  <c r="AG259" i="21"/>
  <c r="AH253" i="21"/>
  <c r="AF253" i="21"/>
  <c r="AI253" i="21"/>
  <c r="AG253" i="21"/>
  <c r="AF243" i="21"/>
  <c r="AH243" i="21"/>
  <c r="AI243" i="21"/>
  <c r="AG243" i="21"/>
  <c r="Z221" i="21"/>
  <c r="AA221" i="21" s="1"/>
  <c r="AC221" i="21" s="1"/>
  <c r="T204" i="21"/>
  <c r="AJ204" i="21" s="1"/>
  <c r="T193" i="21"/>
  <c r="AJ193" i="21" s="1"/>
  <c r="T188" i="21"/>
  <c r="AJ188" i="21" s="1"/>
  <c r="AH265" i="21"/>
  <c r="AF265" i="21"/>
  <c r="AI265" i="21"/>
  <c r="AG265" i="21"/>
  <c r="AF255" i="21"/>
  <c r="AH255" i="21"/>
  <c r="AI255" i="21"/>
  <c r="AG255" i="21"/>
  <c r="AG277" i="21"/>
  <c r="AI277" i="21"/>
  <c r="AH277" i="21"/>
  <c r="AF277" i="21"/>
  <c r="Z249" i="21"/>
  <c r="AA249" i="21" s="1"/>
  <c r="AC249" i="21" s="1"/>
  <c r="AH233" i="21"/>
  <c r="AF233" i="21"/>
  <c r="AI233" i="21"/>
  <c r="AG233" i="21"/>
  <c r="Z223" i="21"/>
  <c r="AA223" i="21" s="1"/>
  <c r="AC223" i="21" s="1"/>
  <c r="W223" i="21"/>
  <c r="Z219" i="21"/>
  <c r="AA219" i="21" s="1"/>
  <c r="AC219" i="21" s="1"/>
  <c r="Z217" i="21"/>
  <c r="AA217" i="21" s="1"/>
  <c r="AC217" i="21" s="1"/>
  <c r="Z203" i="21"/>
  <c r="AA203" i="21" s="1"/>
  <c r="AC203" i="21" s="1"/>
  <c r="Z187" i="21"/>
  <c r="AA187" i="21" s="1"/>
  <c r="AC187" i="21" s="1"/>
  <c r="Z239" i="21"/>
  <c r="AA239" i="21" s="1"/>
  <c r="AC239" i="21" s="1"/>
  <c r="Z235" i="21"/>
  <c r="AA235" i="21" s="1"/>
  <c r="AC235" i="21" s="1"/>
  <c r="Z213" i="21"/>
  <c r="AA213" i="21" s="1"/>
  <c r="AC213" i="21" s="1"/>
  <c r="Z195" i="21"/>
  <c r="AA195" i="21" s="1"/>
  <c r="AC195" i="21" s="1"/>
  <c r="Z170" i="21"/>
  <c r="AA170" i="21" s="1"/>
  <c r="AC170" i="21" s="1"/>
  <c r="Z168" i="21"/>
  <c r="AA168" i="21" s="1"/>
  <c r="AC168" i="21" s="1"/>
  <c r="Z162" i="21"/>
  <c r="AA162" i="21" s="1"/>
  <c r="AC162" i="21" s="1"/>
  <c r="Z160" i="21"/>
  <c r="AA160" i="21" s="1"/>
  <c r="AC160" i="21" s="1"/>
  <c r="Z154" i="21"/>
  <c r="AA154" i="21" s="1"/>
  <c r="AC154" i="21" s="1"/>
  <c r="Z152" i="21"/>
  <c r="AA152" i="21" s="1"/>
  <c r="AC152" i="21" s="1"/>
  <c r="Z146" i="21"/>
  <c r="AA146" i="21" s="1"/>
  <c r="AC146" i="21" s="1"/>
  <c r="Z144" i="21"/>
  <c r="AA144" i="21" s="1"/>
  <c r="AC144" i="21" s="1"/>
  <c r="Z138" i="21"/>
  <c r="AA138" i="21" s="1"/>
  <c r="AC138" i="21" s="1"/>
  <c r="Z136" i="21"/>
  <c r="AA136" i="21" s="1"/>
  <c r="AC136" i="21" s="1"/>
  <c r="Z130" i="21"/>
  <c r="AA130" i="21" s="1"/>
  <c r="AC130" i="21" s="1"/>
  <c r="Z128" i="21"/>
  <c r="AA128" i="21" s="1"/>
  <c r="AC128" i="21" s="1"/>
  <c r="Z122" i="21"/>
  <c r="AA122" i="21" s="1"/>
  <c r="AC122" i="21" s="1"/>
  <c r="Z120" i="21"/>
  <c r="AA120" i="21" s="1"/>
  <c r="AC120" i="21" s="1"/>
  <c r="Z114" i="21"/>
  <c r="AA114" i="21" s="1"/>
  <c r="AC114" i="21" s="1"/>
  <c r="Z110" i="21"/>
  <c r="AA110" i="21" s="1"/>
  <c r="AC110" i="21" s="1"/>
  <c r="Z106" i="21"/>
  <c r="AA106" i="21" s="1"/>
  <c r="AC106" i="21" s="1"/>
  <c r="Z102" i="21"/>
  <c r="AA102" i="21" s="1"/>
  <c r="AC102" i="21" s="1"/>
  <c r="Z98" i="21"/>
  <c r="AA98" i="21" s="1"/>
  <c r="AC98" i="21" s="1"/>
  <c r="Z94" i="21"/>
  <c r="AA94" i="21" s="1"/>
  <c r="AC94" i="21" s="1"/>
  <c r="T155" i="21"/>
  <c r="AJ155" i="21" s="1"/>
  <c r="T144" i="21"/>
  <c r="AJ144" i="21" s="1"/>
  <c r="T139" i="21"/>
  <c r="AJ139" i="21" s="1"/>
  <c r="T123" i="21"/>
  <c r="AJ123" i="21" s="1"/>
  <c r="T89" i="21"/>
  <c r="AJ89" i="21" s="1"/>
  <c r="T73" i="21"/>
  <c r="AJ73" i="21" s="1"/>
  <c r="Z207" i="21"/>
  <c r="AA207" i="21" s="1"/>
  <c r="AC207" i="21" s="1"/>
  <c r="Z191" i="21"/>
  <c r="AA191" i="21" s="1"/>
  <c r="AC191" i="21" s="1"/>
  <c r="Z173" i="21"/>
  <c r="AA173" i="21" s="1"/>
  <c r="AC173" i="21" s="1"/>
  <c r="Z74" i="21"/>
  <c r="AA74" i="21" s="1"/>
  <c r="AC74" i="21" s="1"/>
  <c r="AF57" i="21"/>
  <c r="AI57" i="21"/>
  <c r="AG57" i="21"/>
  <c r="AH57" i="21"/>
  <c r="Z112" i="21"/>
  <c r="AA112" i="21" s="1"/>
  <c r="AC112" i="21" s="1"/>
  <c r="Z111" i="21"/>
  <c r="AA111" i="21" s="1"/>
  <c r="AC111" i="21" s="1"/>
  <c r="R95" i="21"/>
  <c r="T95" i="21" s="1"/>
  <c r="AJ95" i="21" s="1"/>
  <c r="Z86" i="21"/>
  <c r="AA86" i="21" s="1"/>
  <c r="AC86" i="21" s="1"/>
  <c r="AH112" i="21"/>
  <c r="AG112" i="21"/>
  <c r="AI112" i="21"/>
  <c r="AF112" i="21"/>
  <c r="AH104" i="21"/>
  <c r="AG104" i="21"/>
  <c r="AI104" i="21"/>
  <c r="AF104" i="21"/>
  <c r="AH96" i="21"/>
  <c r="AG96" i="21"/>
  <c r="AI96" i="21"/>
  <c r="AF96" i="21"/>
  <c r="AH88" i="21"/>
  <c r="AF88" i="21"/>
  <c r="AI88" i="21"/>
  <c r="AG88" i="21"/>
  <c r="T100" i="21"/>
  <c r="AJ100" i="21" s="1"/>
  <c r="AH84" i="21"/>
  <c r="AF84" i="21"/>
  <c r="AG84" i="21"/>
  <c r="AI84" i="21"/>
  <c r="Z68" i="21"/>
  <c r="AA68" i="21" s="1"/>
  <c r="AC68" i="21" s="1"/>
  <c r="Z64" i="21"/>
  <c r="AA64" i="21" s="1"/>
  <c r="AC64" i="21" s="1"/>
  <c r="Z60" i="21"/>
  <c r="AA60" i="21" s="1"/>
  <c r="AC60" i="21" s="1"/>
  <c r="T51" i="21"/>
  <c r="AJ51" i="21" s="1"/>
  <c r="T43" i="21"/>
  <c r="AJ43" i="21" s="1"/>
  <c r="S501" i="21"/>
  <c r="R31" i="21"/>
  <c r="Z41" i="21"/>
  <c r="AA41" i="21" s="1"/>
  <c r="AC41" i="21" s="1"/>
  <c r="Z45" i="21"/>
  <c r="AA45" i="21" s="1"/>
  <c r="AC45" i="21" s="1"/>
  <c r="AH72" i="21"/>
  <c r="AF72" i="21"/>
  <c r="AG72" i="21"/>
  <c r="AI72" i="21"/>
  <c r="Z498" i="21"/>
  <c r="AA498" i="21" s="1"/>
  <c r="AC498" i="21" s="1"/>
  <c r="W498" i="21"/>
  <c r="AF455" i="21"/>
  <c r="AI455" i="21"/>
  <c r="AH455" i="21"/>
  <c r="AG455" i="21"/>
  <c r="Z456" i="21"/>
  <c r="AA456" i="21" s="1"/>
  <c r="AC456" i="21" s="1"/>
  <c r="W456" i="21"/>
  <c r="Z449" i="21"/>
  <c r="AA449" i="21" s="1"/>
  <c r="AC449" i="21" s="1"/>
  <c r="W449" i="21"/>
  <c r="Z433" i="21"/>
  <c r="AA433" i="21" s="1"/>
  <c r="AC433" i="21" s="1"/>
  <c r="W433" i="21"/>
  <c r="AF415" i="21"/>
  <c r="AI415" i="21"/>
  <c r="AH415" i="21"/>
  <c r="AG415" i="21"/>
  <c r="AF383" i="21"/>
  <c r="AH383" i="21"/>
  <c r="AI383" i="21"/>
  <c r="AG383" i="21"/>
  <c r="Z368" i="21"/>
  <c r="AA368" i="21" s="1"/>
  <c r="AC368" i="21" s="1"/>
  <c r="AG281" i="21"/>
  <c r="AI281" i="21"/>
  <c r="AH281" i="21"/>
  <c r="AF281" i="21"/>
  <c r="Z288" i="21"/>
  <c r="AA288" i="21" s="1"/>
  <c r="AC288" i="21" s="1"/>
  <c r="Z284" i="21"/>
  <c r="AA284" i="21" s="1"/>
  <c r="AC284" i="21" s="1"/>
  <c r="Z302" i="21"/>
  <c r="AA302" i="21" s="1"/>
  <c r="AC302" i="21" s="1"/>
  <c r="Z263" i="21"/>
  <c r="AA263" i="21" s="1"/>
  <c r="AC263" i="21" s="1"/>
  <c r="Z227" i="21"/>
  <c r="AA227" i="21" s="1"/>
  <c r="AC227" i="21" s="1"/>
  <c r="Z251" i="21"/>
  <c r="AA251" i="21" s="1"/>
  <c r="AC251" i="21" s="1"/>
  <c r="AF223" i="21"/>
  <c r="AH223" i="21"/>
  <c r="AG223" i="21"/>
  <c r="AI223" i="21"/>
  <c r="AF219" i="21"/>
  <c r="AH219" i="21"/>
  <c r="AG219" i="21"/>
  <c r="AI219" i="21"/>
  <c r="AH217" i="21"/>
  <c r="AF217" i="21"/>
  <c r="AG217" i="21"/>
  <c r="AI217" i="21"/>
  <c r="AF187" i="21"/>
  <c r="AG187" i="21"/>
  <c r="AI187" i="21"/>
  <c r="AH187" i="21"/>
  <c r="AF239" i="21"/>
  <c r="AH239" i="21"/>
  <c r="AI239" i="21"/>
  <c r="AG239" i="21"/>
  <c r="AF235" i="21"/>
  <c r="AH235" i="21"/>
  <c r="AG235" i="21"/>
  <c r="AI235" i="21"/>
  <c r="AH213" i="21"/>
  <c r="AF213" i="21"/>
  <c r="AG213" i="21"/>
  <c r="AI213" i="21"/>
  <c r="AF195" i="21"/>
  <c r="AI195" i="21"/>
  <c r="AG195" i="21"/>
  <c r="AH195" i="21"/>
  <c r="Z179" i="21"/>
  <c r="AA179" i="21" s="1"/>
  <c r="AC179" i="21" s="1"/>
  <c r="Z494" i="21"/>
  <c r="AA494" i="21" s="1"/>
  <c r="AC494" i="21" s="1"/>
  <c r="W494" i="21"/>
  <c r="Z499" i="21"/>
  <c r="AA499" i="21" s="1"/>
  <c r="AC499" i="21" s="1"/>
  <c r="W499" i="21"/>
  <c r="Z490" i="21"/>
  <c r="AA490" i="21" s="1"/>
  <c r="AC490" i="21" s="1"/>
  <c r="W490" i="21"/>
  <c r="Z482" i="21"/>
  <c r="AA482" i="21" s="1"/>
  <c r="AC482" i="21" s="1"/>
  <c r="W482" i="21"/>
  <c r="AG471" i="21"/>
  <c r="AF471" i="21"/>
  <c r="AI471" i="21"/>
  <c r="AH471" i="21"/>
  <c r="AG463" i="21"/>
  <c r="AF463" i="21"/>
  <c r="AI463" i="21"/>
  <c r="AH463" i="21"/>
  <c r="AH468" i="21"/>
  <c r="AG468" i="21"/>
  <c r="AF468" i="21"/>
  <c r="AI468" i="21"/>
  <c r="AJ468" i="21"/>
  <c r="AF473" i="21"/>
  <c r="AI473" i="21"/>
  <c r="AH473" i="21"/>
  <c r="AG473" i="21"/>
  <c r="AJ473" i="21"/>
  <c r="W411" i="21"/>
  <c r="Z411" i="21"/>
  <c r="AA411" i="21" s="1"/>
  <c r="AC411" i="21" s="1"/>
  <c r="Z437" i="21"/>
  <c r="AA437" i="21" s="1"/>
  <c r="AC437" i="21" s="1"/>
  <c r="W437" i="21"/>
  <c r="AG429" i="21"/>
  <c r="AF429" i="21"/>
  <c r="AI429" i="21"/>
  <c r="AH429" i="21"/>
  <c r="AJ429" i="21"/>
  <c r="AG422" i="21"/>
  <c r="AI422" i="21"/>
  <c r="AF422" i="21"/>
  <c r="AH422" i="21"/>
  <c r="Z413" i="21"/>
  <c r="AA413" i="21" s="1"/>
  <c r="AC413" i="21" s="1"/>
  <c r="W413" i="21"/>
  <c r="AH419" i="21"/>
  <c r="AI419" i="21"/>
  <c r="AG419" i="21"/>
  <c r="AF419" i="21"/>
  <c r="AG412" i="21"/>
  <c r="AF412" i="21"/>
  <c r="AI412" i="21"/>
  <c r="AH412" i="21"/>
  <c r="AJ412" i="21"/>
  <c r="Z425" i="21"/>
  <c r="AA425" i="21" s="1"/>
  <c r="AC425" i="21" s="1"/>
  <c r="W425" i="21"/>
  <c r="AH413" i="21"/>
  <c r="AG413" i="21"/>
  <c r="AI413" i="21"/>
  <c r="AF413" i="21"/>
  <c r="Z407" i="21"/>
  <c r="AA407" i="21" s="1"/>
  <c r="AC407" i="21" s="1"/>
  <c r="AF403" i="21"/>
  <c r="AI403" i="21"/>
  <c r="AH403" i="21"/>
  <c r="AG403" i="21"/>
  <c r="Z421" i="21"/>
  <c r="AA421" i="21" s="1"/>
  <c r="AC421" i="21" s="1"/>
  <c r="W421" i="21"/>
  <c r="AJ392" i="21"/>
  <c r="AH389" i="21"/>
  <c r="AG389" i="21"/>
  <c r="AI389" i="21"/>
  <c r="AF389" i="21"/>
  <c r="AG380" i="21"/>
  <c r="AI380" i="21"/>
  <c r="AH380" i="21"/>
  <c r="AF380" i="21"/>
  <c r="Z358" i="21"/>
  <c r="AA358" i="21" s="1"/>
  <c r="AC358" i="21" s="1"/>
  <c r="T347" i="21"/>
  <c r="AJ347" i="21" s="1"/>
  <c r="Z430" i="21"/>
  <c r="AA430" i="21" s="1"/>
  <c r="AC430" i="21" s="1"/>
  <c r="W430" i="21"/>
  <c r="Z401" i="21"/>
  <c r="AA401" i="21" s="1"/>
  <c r="AC401" i="21" s="1"/>
  <c r="Z393" i="21"/>
  <c r="AA393" i="21" s="1"/>
  <c r="AC393" i="21" s="1"/>
  <c r="Z385" i="21"/>
  <c r="AA385" i="21" s="1"/>
  <c r="AC385" i="21" s="1"/>
  <c r="Z376" i="21"/>
  <c r="AA376" i="21" s="1"/>
  <c r="AC376" i="21" s="1"/>
  <c r="AF375" i="21"/>
  <c r="AH375" i="21"/>
  <c r="AG375" i="21"/>
  <c r="AI375" i="21"/>
  <c r="Z367" i="21"/>
  <c r="AA367" i="21" s="1"/>
  <c r="AC367" i="21" s="1"/>
  <c r="R358" i="21"/>
  <c r="T358" i="21" s="1"/>
  <c r="AJ358" i="21" s="1"/>
  <c r="AG355" i="21"/>
  <c r="AF355" i="21"/>
  <c r="AI355" i="21"/>
  <c r="AH355" i="21"/>
  <c r="R359" i="21"/>
  <c r="T359" i="21" s="1"/>
  <c r="AJ359" i="21" s="1"/>
  <c r="AH352" i="21"/>
  <c r="AF352" i="21"/>
  <c r="AI352" i="21"/>
  <c r="AG352" i="21"/>
  <c r="AH356" i="21"/>
  <c r="AG356" i="21"/>
  <c r="AF356" i="21"/>
  <c r="AI356" i="21"/>
  <c r="AF354" i="21"/>
  <c r="AI354" i="21"/>
  <c r="AH354" i="21"/>
  <c r="AG354" i="21"/>
  <c r="AH348" i="21"/>
  <c r="AF348" i="21"/>
  <c r="AI348" i="21"/>
  <c r="AG348" i="21"/>
  <c r="Z364" i="21"/>
  <c r="AA364" i="21" s="1"/>
  <c r="AC364" i="21" s="1"/>
  <c r="T340" i="21"/>
  <c r="AJ340" i="21" s="1"/>
  <c r="T324" i="21"/>
  <c r="AJ324" i="21" s="1"/>
  <c r="AJ319" i="21"/>
  <c r="T308" i="21"/>
  <c r="AJ308" i="21" s="1"/>
  <c r="T292" i="21"/>
  <c r="AJ292" i="21" s="1"/>
  <c r="AF346" i="21"/>
  <c r="AH346" i="21"/>
  <c r="AG346" i="21"/>
  <c r="AI346" i="21"/>
  <c r="Z330" i="21"/>
  <c r="AA330" i="21" s="1"/>
  <c r="AC330" i="21" s="1"/>
  <c r="Z298" i="21"/>
  <c r="AA298" i="21" s="1"/>
  <c r="AC298" i="21" s="1"/>
  <c r="AG289" i="21"/>
  <c r="AI289" i="21"/>
  <c r="AH289" i="21"/>
  <c r="AF289" i="21"/>
  <c r="AH278" i="21"/>
  <c r="AI278" i="21"/>
  <c r="AG278" i="21"/>
  <c r="AF278" i="21"/>
  <c r="W275" i="21"/>
  <c r="Z275" i="21"/>
  <c r="AA275" i="21" s="1"/>
  <c r="AC275" i="21" s="1"/>
  <c r="T272" i="21"/>
  <c r="AJ272" i="21" s="1"/>
  <c r="AF271" i="21"/>
  <c r="AI271" i="21"/>
  <c r="AH271" i="21"/>
  <c r="AG271" i="21"/>
  <c r="T260" i="21"/>
  <c r="AJ260" i="21" s="1"/>
  <c r="T252" i="21"/>
  <c r="AJ252" i="21" s="1"/>
  <c r="T244" i="21"/>
  <c r="AJ244" i="21" s="1"/>
  <c r="T236" i="21"/>
  <c r="AJ236" i="21" s="1"/>
  <c r="T228" i="21"/>
  <c r="AJ228" i="21" s="1"/>
  <c r="T220" i="21"/>
  <c r="AJ220" i="21" s="1"/>
  <c r="AF326" i="21"/>
  <c r="AH326" i="21"/>
  <c r="AG326" i="21"/>
  <c r="AI326" i="21"/>
  <c r="Z310" i="21"/>
  <c r="AA310" i="21" s="1"/>
  <c r="AC310" i="21" s="1"/>
  <c r="Z322" i="21"/>
  <c r="AA322" i="21" s="1"/>
  <c r="AC322" i="21" s="1"/>
  <c r="R310" i="21"/>
  <c r="T310" i="21" s="1"/>
  <c r="AJ310" i="21" s="1"/>
  <c r="Z318" i="21"/>
  <c r="AA318" i="21" s="1"/>
  <c r="AC318" i="21" s="1"/>
  <c r="AH257" i="21"/>
  <c r="AF257" i="21"/>
  <c r="AI257" i="21"/>
  <c r="AG257" i="21"/>
  <c r="Z247" i="21"/>
  <c r="AA247" i="21" s="1"/>
  <c r="AC247" i="21" s="1"/>
  <c r="AF231" i="21"/>
  <c r="AH231" i="21"/>
  <c r="AI231" i="21"/>
  <c r="AG231" i="21"/>
  <c r="Z225" i="21"/>
  <c r="AA225" i="21" s="1"/>
  <c r="AC225" i="21" s="1"/>
  <c r="Z273" i="21"/>
  <c r="AA273" i="21" s="1"/>
  <c r="AC273" i="21" s="1"/>
  <c r="Z259" i="21"/>
  <c r="AA259" i="21" s="1"/>
  <c r="AC259" i="21" s="1"/>
  <c r="Z253" i="21"/>
  <c r="AA253" i="21" s="1"/>
  <c r="AC253" i="21" s="1"/>
  <c r="Z243" i="21"/>
  <c r="AA243" i="21" s="1"/>
  <c r="AC243" i="21" s="1"/>
  <c r="AH237" i="21"/>
  <c r="AF237" i="21"/>
  <c r="AI237" i="21"/>
  <c r="AG237" i="21"/>
  <c r="T197" i="21"/>
  <c r="AJ197" i="21" s="1"/>
  <c r="AJ192" i="21"/>
  <c r="T181" i="21"/>
  <c r="AJ181" i="21" s="1"/>
  <c r="Z265" i="21"/>
  <c r="AA265" i="21" s="1"/>
  <c r="AC265" i="21" s="1"/>
  <c r="Z255" i="21"/>
  <c r="AA255" i="21" s="1"/>
  <c r="AC255" i="21" s="1"/>
  <c r="Z277" i="21"/>
  <c r="AA277" i="21" s="1"/>
  <c r="AC277" i="21" s="1"/>
  <c r="AH269" i="21"/>
  <c r="AG269" i="21"/>
  <c r="AF269" i="21"/>
  <c r="AI269" i="21"/>
  <c r="AH261" i="21"/>
  <c r="AF261" i="21"/>
  <c r="AG261" i="21"/>
  <c r="AI261" i="21"/>
  <c r="AH245" i="21"/>
  <c r="AF245" i="21"/>
  <c r="AG245" i="21"/>
  <c r="AI245" i="21"/>
  <c r="Z233" i="21"/>
  <c r="AA233" i="21" s="1"/>
  <c r="AC233" i="21" s="1"/>
  <c r="AH229" i="21"/>
  <c r="AF229" i="21"/>
  <c r="AG229" i="21"/>
  <c r="AI229" i="21"/>
  <c r="AF215" i="21"/>
  <c r="AH215" i="21"/>
  <c r="AG215" i="21"/>
  <c r="AI215" i="21"/>
  <c r="AH209" i="21"/>
  <c r="AF209" i="21"/>
  <c r="AG209" i="21"/>
  <c r="AI209" i="21"/>
  <c r="AJ174" i="21"/>
  <c r="Z167" i="21"/>
  <c r="AA167" i="21" s="1"/>
  <c r="AC167" i="21" s="1"/>
  <c r="AF166" i="21"/>
  <c r="AG166" i="21"/>
  <c r="AI166" i="21"/>
  <c r="AH166" i="21"/>
  <c r="Z159" i="21"/>
  <c r="AA159" i="21" s="1"/>
  <c r="AC159" i="21" s="1"/>
  <c r="AF158" i="21"/>
  <c r="AG158" i="21"/>
  <c r="AI158" i="21"/>
  <c r="AH158" i="21"/>
  <c r="Z151" i="21"/>
  <c r="AA151" i="21" s="1"/>
  <c r="AC151" i="21" s="1"/>
  <c r="AF150" i="21"/>
  <c r="AG150" i="21"/>
  <c r="AI150" i="21"/>
  <c r="AH150" i="21"/>
  <c r="Z143" i="21"/>
  <c r="AA143" i="21" s="1"/>
  <c r="AC143" i="21" s="1"/>
  <c r="AF142" i="21"/>
  <c r="AG142" i="21"/>
  <c r="AI142" i="21"/>
  <c r="AH142" i="21"/>
  <c r="Z135" i="21"/>
  <c r="AA135" i="21" s="1"/>
  <c r="AC135" i="21" s="1"/>
  <c r="AF134" i="21"/>
  <c r="AG134" i="21"/>
  <c r="AI134" i="21"/>
  <c r="AH134" i="21"/>
  <c r="Z127" i="21"/>
  <c r="AA127" i="21" s="1"/>
  <c r="AC127" i="21" s="1"/>
  <c r="AF126" i="21"/>
  <c r="AG126" i="21"/>
  <c r="AI126" i="21"/>
  <c r="AH126" i="21"/>
  <c r="Z119" i="21"/>
  <c r="AA119" i="21" s="1"/>
  <c r="AC119" i="21" s="1"/>
  <c r="AF118" i="21"/>
  <c r="AG118" i="21"/>
  <c r="AI118" i="21"/>
  <c r="AH118" i="21"/>
  <c r="T159" i="21"/>
  <c r="AJ159" i="21" s="1"/>
  <c r="T148" i="21"/>
  <c r="AJ148" i="21" s="1"/>
  <c r="T143" i="21"/>
  <c r="AJ143" i="21" s="1"/>
  <c r="T132" i="21"/>
  <c r="AJ132" i="21" s="1"/>
  <c r="T127" i="21"/>
  <c r="AJ127" i="21" s="1"/>
  <c r="T77" i="21"/>
  <c r="AJ77" i="21" s="1"/>
  <c r="AF199" i="21"/>
  <c r="AH199" i="21"/>
  <c r="AI199" i="21"/>
  <c r="AG199" i="21"/>
  <c r="AF183" i="21"/>
  <c r="AH183" i="21"/>
  <c r="AI183" i="21"/>
  <c r="AG183" i="21"/>
  <c r="AH177" i="21"/>
  <c r="AF177" i="21"/>
  <c r="AI177" i="21"/>
  <c r="AG177" i="21"/>
  <c r="AG99" i="21"/>
  <c r="AH99" i="21"/>
  <c r="AI99" i="21"/>
  <c r="AF99" i="21"/>
  <c r="AH92" i="21"/>
  <c r="AG92" i="21"/>
  <c r="AI92" i="21"/>
  <c r="AF92" i="21"/>
  <c r="AF90" i="21"/>
  <c r="AH90" i="21"/>
  <c r="AI90" i="21"/>
  <c r="AG90" i="21"/>
  <c r="Z104" i="21"/>
  <c r="AA104" i="21" s="1"/>
  <c r="AC104" i="21" s="1"/>
  <c r="Z103" i="21"/>
  <c r="AA103" i="21" s="1"/>
  <c r="AC103" i="21" s="1"/>
  <c r="AH76" i="21"/>
  <c r="AF76" i="21"/>
  <c r="AI76" i="21"/>
  <c r="AG76" i="21"/>
  <c r="Z88" i="21"/>
  <c r="AA88" i="21" s="1"/>
  <c r="AC88" i="21" s="1"/>
  <c r="AF82" i="21"/>
  <c r="AH82" i="21"/>
  <c r="AI82" i="21"/>
  <c r="AG82" i="21"/>
  <c r="T99" i="21"/>
  <c r="AJ99" i="21" s="1"/>
  <c r="Z92" i="21"/>
  <c r="AA92" i="21" s="1"/>
  <c r="AC92" i="21" s="1"/>
  <c r="Z84" i="21"/>
  <c r="AA84" i="21" s="1"/>
  <c r="AC84" i="21" s="1"/>
  <c r="AF78" i="21"/>
  <c r="AH78" i="21"/>
  <c r="AG78" i="21"/>
  <c r="AI78" i="21"/>
  <c r="AJ78" i="21"/>
  <c r="AF31" i="21"/>
  <c r="AG31" i="21"/>
  <c r="AH31" i="21"/>
  <c r="AI31" i="21"/>
  <c r="AG54" i="21"/>
  <c r="AF54" i="21"/>
  <c r="AH54" i="21"/>
  <c r="AI54" i="21"/>
  <c r="T32" i="21"/>
  <c r="AJ32" i="21" s="1"/>
  <c r="Z72" i="21"/>
  <c r="AA72" i="21" s="1"/>
  <c r="AC72" i="21" s="1"/>
  <c r="AF49" i="21"/>
  <c r="AI49" i="21"/>
  <c r="AH49" i="21"/>
  <c r="AG49" i="21"/>
  <c r="AF37" i="21"/>
  <c r="AH37" i="21"/>
  <c r="AI37" i="21"/>
  <c r="AG37" i="21"/>
  <c r="AG33" i="21"/>
  <c r="AF33" i="21"/>
  <c r="AI33" i="21"/>
  <c r="AH33" i="21"/>
  <c r="AH495" i="21"/>
  <c r="AG495" i="21"/>
  <c r="AF495" i="21"/>
  <c r="AI495" i="21"/>
  <c r="Z467" i="21"/>
  <c r="AA467" i="21" s="1"/>
  <c r="AC467" i="21" s="1"/>
  <c r="W467" i="21"/>
  <c r="W455" i="21"/>
  <c r="Z455" i="21"/>
  <c r="AA455" i="21" s="1"/>
  <c r="AC455" i="21" s="1"/>
  <c r="Z468" i="21"/>
  <c r="AA468" i="21" s="1"/>
  <c r="AC468" i="21" s="1"/>
  <c r="W468" i="21"/>
  <c r="AH464" i="21"/>
  <c r="AG464" i="21"/>
  <c r="AF464" i="21"/>
  <c r="AI464" i="21"/>
  <c r="Z473" i="21"/>
  <c r="AA473" i="21" s="1"/>
  <c r="AC473" i="21" s="1"/>
  <c r="W473" i="21"/>
  <c r="AH461" i="21"/>
  <c r="AG461" i="21"/>
  <c r="AI461" i="21"/>
  <c r="AF461" i="21"/>
  <c r="AG456" i="21"/>
  <c r="AF456" i="21"/>
  <c r="AI456" i="21"/>
  <c r="AH456" i="21"/>
  <c r="AH453" i="21"/>
  <c r="AF453" i="21"/>
  <c r="AI453" i="21"/>
  <c r="AG453" i="21"/>
  <c r="AG449" i="21"/>
  <c r="AF449" i="21"/>
  <c r="AI449" i="21"/>
  <c r="AH449" i="21"/>
  <c r="AG441" i="21"/>
  <c r="AF441" i="21"/>
  <c r="AI441" i="21"/>
  <c r="AH441" i="21"/>
  <c r="AG433" i="21"/>
  <c r="AF433" i="21"/>
  <c r="AI433" i="21"/>
  <c r="AH433" i="21"/>
  <c r="W415" i="21"/>
  <c r="Z415" i="21"/>
  <c r="AA415" i="21" s="1"/>
  <c r="AC415" i="21" s="1"/>
  <c r="AF411" i="21"/>
  <c r="AI411" i="21"/>
  <c r="AH411" i="21"/>
  <c r="AG411" i="21"/>
  <c r="Z429" i="21"/>
  <c r="AA429" i="21" s="1"/>
  <c r="AC429" i="21" s="1"/>
  <c r="W429" i="21"/>
  <c r="AH423" i="21"/>
  <c r="AI423" i="21"/>
  <c r="AF423" i="21"/>
  <c r="AG423" i="21"/>
  <c r="Z412" i="21"/>
  <c r="AA412" i="21" s="1"/>
  <c r="AC412" i="21" s="1"/>
  <c r="W412" i="21"/>
  <c r="Z403" i="21"/>
  <c r="AA403" i="21" s="1"/>
  <c r="AC403" i="21" s="1"/>
  <c r="AF399" i="21"/>
  <c r="AI399" i="21"/>
  <c r="AG399" i="21"/>
  <c r="AH399" i="21"/>
  <c r="AF395" i="21"/>
  <c r="AI395" i="21"/>
  <c r="AG395" i="21"/>
  <c r="AH395" i="21"/>
  <c r="AJ395" i="21"/>
  <c r="AF391" i="21"/>
  <c r="AI391" i="21"/>
  <c r="AG391" i="21"/>
  <c r="AH391" i="21"/>
  <c r="AF387" i="21"/>
  <c r="AI387" i="21"/>
  <c r="AG387" i="21"/>
  <c r="AH387" i="21"/>
  <c r="Z404" i="21"/>
  <c r="AA404" i="21" s="1"/>
  <c r="AC404" i="21" s="1"/>
  <c r="AG404" i="21"/>
  <c r="AI404" i="21"/>
  <c r="AH404" i="21"/>
  <c r="AF404" i="21"/>
  <c r="AH373" i="21"/>
  <c r="AI373" i="21"/>
  <c r="AG373" i="21"/>
  <c r="AF373" i="21"/>
  <c r="Z362" i="21"/>
  <c r="AA362" i="21" s="1"/>
  <c r="AC362" i="21" s="1"/>
  <c r="AF358" i="21"/>
  <c r="AI358" i="21"/>
  <c r="AH358" i="21"/>
  <c r="AG358" i="21"/>
  <c r="Z400" i="21"/>
  <c r="AA400" i="21" s="1"/>
  <c r="AC400" i="21" s="1"/>
  <c r="Z392" i="21"/>
  <c r="AA392" i="21" s="1"/>
  <c r="AC392" i="21" s="1"/>
  <c r="Z384" i="21"/>
  <c r="AA384" i="21" s="1"/>
  <c r="AC384" i="21" s="1"/>
  <c r="Z381" i="21"/>
  <c r="AA381" i="21" s="1"/>
  <c r="AC381" i="21" s="1"/>
  <c r="Z375" i="21"/>
  <c r="AA375" i="21" s="1"/>
  <c r="AC375" i="21" s="1"/>
  <c r="Z373" i="21"/>
  <c r="AA373" i="21" s="1"/>
  <c r="AC373" i="21" s="1"/>
  <c r="AG367" i="21"/>
  <c r="AF367" i="21"/>
  <c r="AI367" i="21"/>
  <c r="AH367" i="21"/>
  <c r="Z363" i="21"/>
  <c r="AA363" i="21" s="1"/>
  <c r="AC363" i="21" s="1"/>
  <c r="Z438" i="21"/>
  <c r="AA438" i="21" s="1"/>
  <c r="AC438" i="21" s="1"/>
  <c r="W438" i="21"/>
  <c r="Z446" i="21"/>
  <c r="AA446" i="21" s="1"/>
  <c r="AC446" i="21" s="1"/>
  <c r="W446" i="21"/>
  <c r="Z397" i="21"/>
  <c r="AA397" i="21" s="1"/>
  <c r="AC397" i="21" s="1"/>
  <c r="Z396" i="21"/>
  <c r="AA396" i="21" s="1"/>
  <c r="AC396" i="21" s="1"/>
  <c r="Z389" i="21"/>
  <c r="AA389" i="21" s="1"/>
  <c r="AC389" i="21" s="1"/>
  <c r="Z388" i="21"/>
  <c r="AA388" i="21" s="1"/>
  <c r="AC388" i="21" s="1"/>
  <c r="AH360" i="21"/>
  <c r="AG360" i="21"/>
  <c r="AF360" i="21"/>
  <c r="AI360" i="21"/>
  <c r="Z352" i="21"/>
  <c r="AA352" i="21" s="1"/>
  <c r="AC352" i="21" s="1"/>
  <c r="Z356" i="21"/>
  <c r="AA356" i="21" s="1"/>
  <c r="AC356" i="21" s="1"/>
  <c r="Z354" i="21"/>
  <c r="AA354" i="21" s="1"/>
  <c r="AC354" i="21" s="1"/>
  <c r="Z348" i="21"/>
  <c r="AA348" i="21" s="1"/>
  <c r="AC348" i="21" s="1"/>
  <c r="AH344" i="21"/>
  <c r="AF344" i="21"/>
  <c r="AI344" i="21"/>
  <c r="AG344" i="21"/>
  <c r="T336" i="21"/>
  <c r="AJ336" i="21" s="1"/>
  <c r="T328" i="21"/>
  <c r="AJ328" i="21" s="1"/>
  <c r="T312" i="21"/>
  <c r="AJ312" i="21" s="1"/>
  <c r="T296" i="21"/>
  <c r="AJ296" i="21" s="1"/>
  <c r="AJ291" i="21"/>
  <c r="AH368" i="21"/>
  <c r="AG368" i="21"/>
  <c r="AF368" i="21"/>
  <c r="AI368" i="21"/>
  <c r="Z346" i="21"/>
  <c r="AA346" i="21" s="1"/>
  <c r="AC346" i="21" s="1"/>
  <c r="AF314" i="21"/>
  <c r="AG314" i="21"/>
  <c r="AI314" i="21"/>
  <c r="AH314" i="21"/>
  <c r="AH282" i="21"/>
  <c r="AI282" i="21"/>
  <c r="AG282" i="21"/>
  <c r="AF282" i="21"/>
  <c r="T276" i="21"/>
  <c r="AJ276" i="21" s="1"/>
  <c r="AF275" i="21"/>
  <c r="AI275" i="21"/>
  <c r="AH275" i="21"/>
  <c r="AG275" i="21"/>
  <c r="AF334" i="21"/>
  <c r="AH334" i="21"/>
  <c r="AI334" i="21"/>
  <c r="AG334" i="21"/>
  <c r="AJ334" i="21"/>
  <c r="Z326" i="21"/>
  <c r="AA326" i="21" s="1"/>
  <c r="AC326" i="21" s="1"/>
  <c r="AF288" i="21"/>
  <c r="AH288" i="21"/>
  <c r="AG288" i="21"/>
  <c r="AI288" i="21"/>
  <c r="AF284" i="21"/>
  <c r="AH284" i="21"/>
  <c r="AG284" i="21"/>
  <c r="AI284" i="21"/>
  <c r="AF280" i="21"/>
  <c r="AH280" i="21"/>
  <c r="AG280" i="21"/>
  <c r="AI280" i="21"/>
  <c r="AF306" i="21"/>
  <c r="AI306" i="21"/>
  <c r="AH306" i="21"/>
  <c r="AG306" i="21"/>
  <c r="AF302" i="21"/>
  <c r="AI302" i="21"/>
  <c r="AH302" i="21"/>
  <c r="AG302" i="21"/>
  <c r="AF263" i="21"/>
  <c r="AH263" i="21"/>
  <c r="AI263" i="21"/>
  <c r="AG263" i="21"/>
  <c r="Z257" i="21"/>
  <c r="AA257" i="21" s="1"/>
  <c r="AC257" i="21" s="1"/>
  <c r="AH241" i="21"/>
  <c r="AF241" i="21"/>
  <c r="AI241" i="21"/>
  <c r="AG241" i="21"/>
  <c r="Z231" i="21"/>
  <c r="AA231" i="21" s="1"/>
  <c r="AC231" i="21" s="1"/>
  <c r="Z237" i="21"/>
  <c r="AA237" i="21" s="1"/>
  <c r="AC237" i="21" s="1"/>
  <c r="AF227" i="21"/>
  <c r="AH227" i="21"/>
  <c r="AI227" i="21"/>
  <c r="AG227" i="21"/>
  <c r="AF211" i="21"/>
  <c r="AH211" i="21"/>
  <c r="AI211" i="21"/>
  <c r="AG211" i="21"/>
  <c r="T201" i="21"/>
  <c r="AJ201" i="21" s="1"/>
  <c r="AJ196" i="21"/>
  <c r="T185" i="21"/>
  <c r="AJ185" i="21" s="1"/>
  <c r="AJ180" i="21"/>
  <c r="Z269" i="21"/>
  <c r="AA269" i="21" s="1"/>
  <c r="AC269" i="21" s="1"/>
  <c r="Z261" i="21"/>
  <c r="AA261" i="21" s="1"/>
  <c r="AC261" i="21" s="1"/>
  <c r="AF251" i="21"/>
  <c r="AH251" i="21"/>
  <c r="AG251" i="21"/>
  <c r="AI251" i="21"/>
  <c r="Z245" i="21"/>
  <c r="AA245" i="21" s="1"/>
  <c r="AC245" i="21" s="1"/>
  <c r="Z229" i="21"/>
  <c r="AA229" i="21" s="1"/>
  <c r="AC229" i="21" s="1"/>
  <c r="Z215" i="21"/>
  <c r="AA215" i="21" s="1"/>
  <c r="AC215" i="21" s="1"/>
  <c r="Z209" i="21"/>
  <c r="AA209" i="21" s="1"/>
  <c r="AC209" i="21" s="1"/>
  <c r="AF179" i="21"/>
  <c r="AI179" i="21"/>
  <c r="AG179" i="21"/>
  <c r="AH179" i="21"/>
  <c r="Z166" i="21"/>
  <c r="AA166" i="21" s="1"/>
  <c r="AC166" i="21" s="1"/>
  <c r="Z164" i="21"/>
  <c r="AA164" i="21" s="1"/>
  <c r="AC164" i="21" s="1"/>
  <c r="Z158" i="21"/>
  <c r="AA158" i="21" s="1"/>
  <c r="AC158" i="21" s="1"/>
  <c r="Z156" i="21"/>
  <c r="AA156" i="21" s="1"/>
  <c r="AC156" i="21" s="1"/>
  <c r="Z150" i="21"/>
  <c r="AA150" i="21" s="1"/>
  <c r="AC150" i="21" s="1"/>
  <c r="Z148" i="21"/>
  <c r="AA148" i="21" s="1"/>
  <c r="AC148" i="21" s="1"/>
  <c r="Z142" i="21"/>
  <c r="AA142" i="21" s="1"/>
  <c r="AC142" i="21" s="1"/>
  <c r="Z140" i="21"/>
  <c r="AA140" i="21" s="1"/>
  <c r="AC140" i="21" s="1"/>
  <c r="Z134" i="21"/>
  <c r="AA134" i="21" s="1"/>
  <c r="AC134" i="21" s="1"/>
  <c r="Z132" i="21"/>
  <c r="AA132" i="21" s="1"/>
  <c r="AC132" i="21" s="1"/>
  <c r="Z126" i="21"/>
  <c r="AA126" i="21" s="1"/>
  <c r="AC126" i="21" s="1"/>
  <c r="Z124" i="21"/>
  <c r="AA124" i="21" s="1"/>
  <c r="AC124" i="21" s="1"/>
  <c r="Z118" i="21"/>
  <c r="AA118" i="21" s="1"/>
  <c r="AC118" i="21" s="1"/>
  <c r="Z116" i="21"/>
  <c r="AA116" i="21" s="1"/>
  <c r="AC116" i="21" s="1"/>
  <c r="T168" i="21"/>
  <c r="AJ168" i="21" s="1"/>
  <c r="T163" i="21"/>
  <c r="AJ163" i="21" s="1"/>
  <c r="T152" i="21"/>
  <c r="AJ152" i="21" s="1"/>
  <c r="T147" i="21"/>
  <c r="AJ147" i="21" s="1"/>
  <c r="T136" i="21"/>
  <c r="AJ136" i="21" s="1"/>
  <c r="T120" i="21"/>
  <c r="AJ120" i="21" s="1"/>
  <c r="T81" i="21"/>
  <c r="AJ81" i="21" s="1"/>
  <c r="Z199" i="21"/>
  <c r="AA199" i="21" s="1"/>
  <c r="AC199" i="21" s="1"/>
  <c r="Z183" i="21"/>
  <c r="AA183" i="21" s="1"/>
  <c r="AC183" i="21" s="1"/>
  <c r="Z177" i="21"/>
  <c r="AA177" i="21" s="1"/>
  <c r="AC177" i="21" s="1"/>
  <c r="AG107" i="21"/>
  <c r="AH107" i="21"/>
  <c r="AI107" i="21"/>
  <c r="AF107" i="21"/>
  <c r="AH100" i="21"/>
  <c r="AG100" i="21"/>
  <c r="AI100" i="21"/>
  <c r="AF100" i="21"/>
  <c r="Z90" i="21"/>
  <c r="AA90" i="21" s="1"/>
  <c r="AC90" i="21" s="1"/>
  <c r="AH80" i="21"/>
  <c r="AF80" i="21"/>
  <c r="AI80" i="21"/>
  <c r="AG80" i="21"/>
  <c r="Z53" i="21"/>
  <c r="AA53" i="21" s="1"/>
  <c r="AC53" i="21" s="1"/>
  <c r="Z96" i="21"/>
  <c r="AA96" i="21" s="1"/>
  <c r="AC96" i="21" s="1"/>
  <c r="Z95" i="21"/>
  <c r="AA95" i="21" s="1"/>
  <c r="AC95" i="21" s="1"/>
  <c r="Z76" i="21"/>
  <c r="AA76" i="21" s="1"/>
  <c r="AC76" i="21" s="1"/>
  <c r="AG111" i="21"/>
  <c r="AH111" i="21"/>
  <c r="AI111" i="21"/>
  <c r="AF111" i="21"/>
  <c r="AG103" i="21"/>
  <c r="AH103" i="21"/>
  <c r="AI103" i="21"/>
  <c r="AF103" i="21"/>
  <c r="AG95" i="21"/>
  <c r="AH95" i="21"/>
  <c r="AI95" i="21"/>
  <c r="AF95" i="21"/>
  <c r="Z82" i="21"/>
  <c r="AA82" i="21" s="1"/>
  <c r="AC82" i="21" s="1"/>
  <c r="T107" i="21"/>
  <c r="AJ107" i="21" s="1"/>
  <c r="Z100" i="21"/>
  <c r="AA100" i="21" s="1"/>
  <c r="AC100" i="21" s="1"/>
  <c r="Z99" i="21"/>
  <c r="AA99" i="21" s="1"/>
  <c r="AC99" i="21" s="1"/>
  <c r="Z78" i="21"/>
  <c r="AA78" i="21" s="1"/>
  <c r="AC78" i="21" s="1"/>
  <c r="AH55" i="21"/>
  <c r="AG55" i="21"/>
  <c r="AI55" i="21"/>
  <c r="AF55" i="21"/>
  <c r="T47" i="21"/>
  <c r="AJ47" i="21" s="1"/>
  <c r="T39" i="21"/>
  <c r="AJ39" i="21" s="1"/>
  <c r="T34" i="21"/>
  <c r="AJ34" i="21" s="1"/>
  <c r="AG35" i="21"/>
  <c r="AI35" i="21"/>
  <c r="AH35" i="21"/>
  <c r="AF35" i="21"/>
  <c r="AG58" i="21"/>
  <c r="AF58" i="21"/>
  <c r="AH58" i="21"/>
  <c r="AI58" i="21"/>
  <c r="Z54" i="21"/>
  <c r="AA54" i="21" s="1"/>
  <c r="AC54" i="21" s="1"/>
  <c r="Z55" i="21"/>
  <c r="AA55" i="21" s="1"/>
  <c r="AC55" i="21" s="1"/>
  <c r="Z49" i="21"/>
  <c r="AA49" i="21" s="1"/>
  <c r="AC49" i="21" s="1"/>
  <c r="Z37" i="21"/>
  <c r="B28" i="19"/>
  <c r="Z501" i="21" l="1"/>
  <c r="AA37" i="21"/>
  <c r="R501" i="21"/>
  <c r="T31" i="21"/>
  <c r="I349" i="13"/>
  <c r="R355" i="12"/>
  <c r="T501" i="21" l="1"/>
  <c r="AJ31" i="21"/>
  <c r="AC37" i="21"/>
  <c r="AC501" i="21" s="1"/>
  <c r="AA501" i="21"/>
  <c r="S237" i="12"/>
  <c r="O501" i="9" l="1"/>
  <c r="C475" i="9"/>
  <c r="D475" i="9"/>
  <c r="E475" i="9"/>
  <c r="A476" i="9"/>
  <c r="B476" i="9"/>
  <c r="Q476" i="9" s="1"/>
  <c r="C476" i="9"/>
  <c r="D476" i="9"/>
  <c r="E476" i="9"/>
  <c r="P476" i="9"/>
  <c r="A477" i="9"/>
  <c r="B477" i="9"/>
  <c r="Q477" i="9" s="1"/>
  <c r="C477" i="9"/>
  <c r="D477" i="9"/>
  <c r="E477" i="9"/>
  <c r="A478" i="9"/>
  <c r="B478" i="9"/>
  <c r="Q478" i="9" s="1"/>
  <c r="C478" i="9"/>
  <c r="D478" i="9"/>
  <c r="E478" i="9"/>
  <c r="P478" i="9"/>
  <c r="A479" i="9"/>
  <c r="B479" i="9"/>
  <c r="C479" i="9"/>
  <c r="D479" i="9"/>
  <c r="E479" i="9"/>
  <c r="P479" i="9"/>
  <c r="Q479" i="9"/>
  <c r="A480" i="9"/>
  <c r="B480" i="9"/>
  <c r="Q480" i="9" s="1"/>
  <c r="C480" i="9"/>
  <c r="D480" i="9"/>
  <c r="E480" i="9"/>
  <c r="P480" i="9"/>
  <c r="A481" i="9"/>
  <c r="B481" i="9"/>
  <c r="Q481" i="9" s="1"/>
  <c r="C481" i="9"/>
  <c r="D481" i="9"/>
  <c r="E481" i="9"/>
  <c r="P481" i="9"/>
  <c r="A482" i="9"/>
  <c r="B482" i="9"/>
  <c r="Q482" i="9" s="1"/>
  <c r="C482" i="9"/>
  <c r="D482" i="9"/>
  <c r="E482" i="9"/>
  <c r="P482" i="9"/>
  <c r="A483" i="9"/>
  <c r="B483" i="9"/>
  <c r="Q483" i="9" s="1"/>
  <c r="C483" i="9"/>
  <c r="D483" i="9"/>
  <c r="E483" i="9"/>
  <c r="P483" i="9"/>
  <c r="A484" i="9"/>
  <c r="B484" i="9"/>
  <c r="Q484" i="9" s="1"/>
  <c r="C484" i="9"/>
  <c r="D484" i="9"/>
  <c r="E484" i="9"/>
  <c r="P484" i="9"/>
  <c r="A485" i="9"/>
  <c r="B485" i="9"/>
  <c r="Q485" i="9" s="1"/>
  <c r="C485" i="9"/>
  <c r="D485" i="9"/>
  <c r="E485" i="9"/>
  <c r="P485" i="9"/>
  <c r="A486" i="9"/>
  <c r="B486" i="9"/>
  <c r="Q486" i="9" s="1"/>
  <c r="C486" i="9"/>
  <c r="D486" i="9"/>
  <c r="E486" i="9"/>
  <c r="P486" i="9"/>
  <c r="A487" i="9"/>
  <c r="B487" i="9"/>
  <c r="Q487" i="9" s="1"/>
  <c r="C487" i="9"/>
  <c r="D487" i="9"/>
  <c r="E487" i="9"/>
  <c r="A488" i="9"/>
  <c r="B488" i="9"/>
  <c r="Q488" i="9" s="1"/>
  <c r="C488" i="9"/>
  <c r="D488" i="9"/>
  <c r="E488" i="9"/>
  <c r="P488" i="9"/>
  <c r="A489" i="9"/>
  <c r="B489" i="9"/>
  <c r="Q489" i="9" s="1"/>
  <c r="C489" i="9"/>
  <c r="D489" i="9"/>
  <c r="E489" i="9"/>
  <c r="P489" i="9"/>
  <c r="A490" i="9"/>
  <c r="B490" i="9"/>
  <c r="Q490" i="9" s="1"/>
  <c r="C490" i="9"/>
  <c r="D490" i="9"/>
  <c r="E490" i="9"/>
  <c r="P490" i="9"/>
  <c r="A491" i="9"/>
  <c r="B491" i="9"/>
  <c r="Q491" i="9" s="1"/>
  <c r="C491" i="9"/>
  <c r="D491" i="9"/>
  <c r="E491" i="9"/>
  <c r="P491" i="9"/>
  <c r="A492" i="9"/>
  <c r="B492" i="9"/>
  <c r="Q492" i="9" s="1"/>
  <c r="C492" i="9"/>
  <c r="D492" i="9"/>
  <c r="E492" i="9"/>
  <c r="P492" i="9"/>
  <c r="A493" i="9"/>
  <c r="B493" i="9"/>
  <c r="Q493" i="9" s="1"/>
  <c r="C493" i="9"/>
  <c r="D493" i="9"/>
  <c r="E493" i="9"/>
  <c r="P493" i="9"/>
  <c r="A494" i="9"/>
  <c r="B494" i="9"/>
  <c r="Q494" i="9" s="1"/>
  <c r="C494" i="9"/>
  <c r="D494" i="9"/>
  <c r="E494" i="9"/>
  <c r="P494" i="9"/>
  <c r="A495" i="9"/>
  <c r="B495" i="9"/>
  <c r="Q495" i="9" s="1"/>
  <c r="C495" i="9"/>
  <c r="D495" i="9"/>
  <c r="E495" i="9"/>
  <c r="P495" i="9"/>
  <c r="A496" i="9"/>
  <c r="B496" i="9"/>
  <c r="Q496" i="9" s="1"/>
  <c r="C496" i="9"/>
  <c r="D496" i="9"/>
  <c r="E496" i="9"/>
  <c r="P496" i="9"/>
  <c r="A497" i="9"/>
  <c r="B497" i="9"/>
  <c r="Q497" i="9" s="1"/>
  <c r="C497" i="9"/>
  <c r="D497" i="9"/>
  <c r="E497" i="9"/>
  <c r="P497" i="9"/>
  <c r="A498" i="9"/>
  <c r="B498" i="9"/>
  <c r="Q498" i="9" s="1"/>
  <c r="C498" i="9"/>
  <c r="D498" i="9"/>
  <c r="E498" i="9"/>
  <c r="P498" i="9"/>
  <c r="A499" i="9"/>
  <c r="B499" i="9"/>
  <c r="Q499" i="9" s="1"/>
  <c r="C499" i="9"/>
  <c r="D499" i="9"/>
  <c r="E499" i="9"/>
  <c r="P499" i="9"/>
  <c r="A500" i="9"/>
  <c r="B500" i="9"/>
  <c r="Q500" i="9" s="1"/>
  <c r="C500" i="9"/>
  <c r="D500" i="9"/>
  <c r="E500" i="9"/>
  <c r="P500" i="9"/>
  <c r="F330" i="12"/>
  <c r="G330" i="12"/>
  <c r="BF330" i="12"/>
  <c r="BO330" i="12"/>
  <c r="CB330" i="12"/>
  <c r="CD330" i="12"/>
  <c r="CI330" i="12"/>
  <c r="CJ330" i="12"/>
  <c r="CK330" i="12"/>
  <c r="CL330" i="12"/>
  <c r="CM330" i="12"/>
  <c r="CN330" i="12"/>
  <c r="CO330" i="12"/>
  <c r="CP330" i="12"/>
  <c r="CQ330" i="12"/>
  <c r="CR330" i="12"/>
  <c r="CS330" i="12"/>
  <c r="CT330" i="12"/>
  <c r="CU330" i="12"/>
  <c r="CV330" i="12"/>
  <c r="CW330" i="12"/>
  <c r="CX330" i="12"/>
  <c r="CY330" i="12"/>
  <c r="CZ330" i="12"/>
  <c r="DA330" i="12"/>
  <c r="DB330" i="12"/>
  <c r="DV330" i="12"/>
  <c r="DW330" i="12"/>
  <c r="F331" i="12"/>
  <c r="G331" i="12"/>
  <c r="AA331" i="12" s="1"/>
  <c r="BF331" i="12"/>
  <c r="BO331" i="12"/>
  <c r="CB331" i="12"/>
  <c r="CD331" i="12"/>
  <c r="CI331" i="12"/>
  <c r="CJ331" i="12"/>
  <c r="CK331" i="12"/>
  <c r="CL331" i="12"/>
  <c r="CM331" i="12"/>
  <c r="CN331" i="12"/>
  <c r="CO331" i="12"/>
  <c r="CP331" i="12"/>
  <c r="CQ331" i="12"/>
  <c r="CR331" i="12"/>
  <c r="CS331" i="12"/>
  <c r="CT331" i="12"/>
  <c r="CU331" i="12"/>
  <c r="CV331" i="12"/>
  <c r="CW331" i="12"/>
  <c r="CX331" i="12"/>
  <c r="CY331" i="12"/>
  <c r="CZ331" i="12"/>
  <c r="DA331" i="12"/>
  <c r="DB331" i="12"/>
  <c r="DV331" i="12"/>
  <c r="DW331" i="12"/>
  <c r="F332" i="12"/>
  <c r="G332" i="12"/>
  <c r="BF332" i="12"/>
  <c r="BO332" i="12"/>
  <c r="CB332" i="12"/>
  <c r="CD332" i="12"/>
  <c r="CI332" i="12"/>
  <c r="CJ332" i="12"/>
  <c r="CK332" i="12"/>
  <c r="CL332" i="12"/>
  <c r="CM332" i="12"/>
  <c r="CN332" i="12"/>
  <c r="CO332" i="12"/>
  <c r="CP332" i="12"/>
  <c r="CQ332" i="12"/>
  <c r="CR332" i="12"/>
  <c r="CS332" i="12"/>
  <c r="CT332" i="12"/>
  <c r="CU332" i="12"/>
  <c r="CV332" i="12"/>
  <c r="CW332" i="12"/>
  <c r="CX332" i="12"/>
  <c r="CY332" i="12"/>
  <c r="CZ332" i="12"/>
  <c r="DA332" i="12"/>
  <c r="DB332" i="12"/>
  <c r="DV332" i="12"/>
  <c r="DW332" i="12"/>
  <c r="F333" i="12"/>
  <c r="G333" i="12"/>
  <c r="BF333" i="12"/>
  <c r="BO333" i="12"/>
  <c r="CB333" i="12"/>
  <c r="CD333" i="12"/>
  <c r="CI333" i="12"/>
  <c r="CJ333" i="12"/>
  <c r="CK333" i="12"/>
  <c r="CL333" i="12"/>
  <c r="CM333" i="12"/>
  <c r="CN333" i="12"/>
  <c r="CO333" i="12"/>
  <c r="CP333" i="12"/>
  <c r="CQ333" i="12"/>
  <c r="CR333" i="12"/>
  <c r="CS333" i="12"/>
  <c r="CT333" i="12"/>
  <c r="CU333" i="12"/>
  <c r="CV333" i="12"/>
  <c r="CW333" i="12"/>
  <c r="CX333" i="12"/>
  <c r="CY333" i="12"/>
  <c r="CZ333" i="12"/>
  <c r="DA333" i="12"/>
  <c r="DB333" i="12"/>
  <c r="DV333" i="12"/>
  <c r="DW333" i="12"/>
  <c r="F334" i="12"/>
  <c r="G334" i="12"/>
  <c r="BF334" i="12"/>
  <c r="BO334" i="12"/>
  <c r="CB334" i="12"/>
  <c r="CD334" i="12"/>
  <c r="CI334" i="12"/>
  <c r="CJ334" i="12"/>
  <c r="CK334" i="12"/>
  <c r="CL334" i="12"/>
  <c r="CM334" i="12"/>
  <c r="CN334" i="12"/>
  <c r="CO334" i="12"/>
  <c r="CP334" i="12"/>
  <c r="CQ334" i="12"/>
  <c r="CR334" i="12"/>
  <c r="CS334" i="12"/>
  <c r="CT334" i="12"/>
  <c r="CU334" i="12"/>
  <c r="CV334" i="12"/>
  <c r="CW334" i="12"/>
  <c r="CX334" i="12"/>
  <c r="CY334" i="12"/>
  <c r="CZ334" i="12"/>
  <c r="DA334" i="12"/>
  <c r="DB334" i="12"/>
  <c r="DV334" i="12"/>
  <c r="DW334" i="12"/>
  <c r="F335" i="12"/>
  <c r="G335" i="12"/>
  <c r="BF335" i="12"/>
  <c r="BO335" i="12"/>
  <c r="CB335" i="12"/>
  <c r="CD335" i="12"/>
  <c r="CI335" i="12"/>
  <c r="CJ335" i="12"/>
  <c r="CK335" i="12"/>
  <c r="CL335" i="12"/>
  <c r="CM335" i="12"/>
  <c r="CN335" i="12"/>
  <c r="CO335" i="12"/>
  <c r="CP335" i="12"/>
  <c r="CQ335" i="12"/>
  <c r="CR335" i="12"/>
  <c r="CS335" i="12"/>
  <c r="CT335" i="12"/>
  <c r="CU335" i="12"/>
  <c r="CV335" i="12"/>
  <c r="CW335" i="12"/>
  <c r="CX335" i="12"/>
  <c r="CY335" i="12"/>
  <c r="CZ335" i="12"/>
  <c r="DA335" i="12"/>
  <c r="DB335" i="12"/>
  <c r="DV335" i="12"/>
  <c r="DW335" i="12"/>
  <c r="F336" i="12"/>
  <c r="G336" i="12"/>
  <c r="BF336" i="12"/>
  <c r="BO336" i="12"/>
  <c r="CB336" i="12"/>
  <c r="CD336" i="12"/>
  <c r="CI336" i="12"/>
  <c r="CJ336" i="12"/>
  <c r="CK336" i="12"/>
  <c r="CL336" i="12"/>
  <c r="CM336" i="12"/>
  <c r="CN336" i="12"/>
  <c r="CO336" i="12"/>
  <c r="CP336" i="12"/>
  <c r="CQ336" i="12"/>
  <c r="CR336" i="12"/>
  <c r="CS336" i="12"/>
  <c r="CT336" i="12"/>
  <c r="CU336" i="12"/>
  <c r="CV336" i="12"/>
  <c r="CW336" i="12"/>
  <c r="CX336" i="12"/>
  <c r="CY336" i="12"/>
  <c r="CZ336" i="12"/>
  <c r="DA336" i="12"/>
  <c r="DB336" i="12"/>
  <c r="DV336" i="12"/>
  <c r="DW336" i="12"/>
  <c r="F337" i="12"/>
  <c r="G337" i="12"/>
  <c r="BF337" i="12"/>
  <c r="BO337" i="12"/>
  <c r="CB337" i="12"/>
  <c r="CD337" i="12"/>
  <c r="CI337" i="12"/>
  <c r="CJ337" i="12"/>
  <c r="CK337" i="12"/>
  <c r="CL337" i="12"/>
  <c r="CM337" i="12"/>
  <c r="CN337" i="12"/>
  <c r="CO337" i="12"/>
  <c r="CP337" i="12"/>
  <c r="CQ337" i="12"/>
  <c r="CR337" i="12"/>
  <c r="CS337" i="12"/>
  <c r="CT337" i="12"/>
  <c r="CU337" i="12"/>
  <c r="CV337" i="12"/>
  <c r="CW337" i="12"/>
  <c r="CX337" i="12"/>
  <c r="CY337" i="12"/>
  <c r="CZ337" i="12"/>
  <c r="DA337" i="12"/>
  <c r="DB337" i="12"/>
  <c r="DV337" i="12"/>
  <c r="DW337" i="12"/>
  <c r="F338" i="12"/>
  <c r="G338" i="12"/>
  <c r="BF338" i="12"/>
  <c r="BO338" i="12"/>
  <c r="CB338" i="12"/>
  <c r="CD338" i="12"/>
  <c r="CI338" i="12"/>
  <c r="CJ338" i="12"/>
  <c r="CK338" i="12"/>
  <c r="CL338" i="12"/>
  <c r="CM338" i="12"/>
  <c r="CN338" i="12"/>
  <c r="CO338" i="12"/>
  <c r="CP338" i="12"/>
  <c r="CQ338" i="12"/>
  <c r="CR338" i="12"/>
  <c r="CS338" i="12"/>
  <c r="CT338" i="12"/>
  <c r="CU338" i="12"/>
  <c r="CV338" i="12"/>
  <c r="CW338" i="12"/>
  <c r="CX338" i="12"/>
  <c r="CY338" i="12"/>
  <c r="CZ338" i="12"/>
  <c r="DA338" i="12"/>
  <c r="DB338" i="12"/>
  <c r="DV338" i="12"/>
  <c r="DW338" i="12"/>
  <c r="F339" i="12"/>
  <c r="G339" i="12"/>
  <c r="V339" i="12" s="1"/>
  <c r="BF339" i="12"/>
  <c r="BO339" i="12"/>
  <c r="CB339" i="12"/>
  <c r="CD339" i="12"/>
  <c r="CI339" i="12"/>
  <c r="CJ339" i="12"/>
  <c r="CK339" i="12"/>
  <c r="CL339" i="12"/>
  <c r="CM339" i="12"/>
  <c r="CN339" i="12"/>
  <c r="CO339" i="12"/>
  <c r="CP339" i="12"/>
  <c r="CQ339" i="12"/>
  <c r="CR339" i="12"/>
  <c r="CS339" i="12"/>
  <c r="CT339" i="12"/>
  <c r="CU339" i="12"/>
  <c r="CV339" i="12"/>
  <c r="CW339" i="12"/>
  <c r="CX339" i="12"/>
  <c r="CY339" i="12"/>
  <c r="CZ339" i="12"/>
  <c r="DA339" i="12"/>
  <c r="DB339" i="12"/>
  <c r="DV339" i="12"/>
  <c r="DW339" i="12"/>
  <c r="F340" i="12"/>
  <c r="G340" i="12"/>
  <c r="BF340" i="12"/>
  <c r="BO340" i="12"/>
  <c r="CB340" i="12"/>
  <c r="CD340" i="12"/>
  <c r="CI340" i="12"/>
  <c r="CJ340" i="12"/>
  <c r="CK340" i="12"/>
  <c r="CL340" i="12"/>
  <c r="CM340" i="12"/>
  <c r="CN340" i="12"/>
  <c r="CO340" i="12"/>
  <c r="CP340" i="12"/>
  <c r="CQ340" i="12"/>
  <c r="CR340" i="12"/>
  <c r="CS340" i="12"/>
  <c r="CT340" i="12"/>
  <c r="CU340" i="12"/>
  <c r="CV340" i="12"/>
  <c r="CW340" i="12"/>
  <c r="CX340" i="12"/>
  <c r="CY340" i="12"/>
  <c r="CZ340" i="12"/>
  <c r="DA340" i="12"/>
  <c r="DB340" i="12"/>
  <c r="DV340" i="12"/>
  <c r="DW340" i="12"/>
  <c r="F341" i="12"/>
  <c r="G341" i="12"/>
  <c r="BF341" i="12"/>
  <c r="BO341" i="12"/>
  <c r="CB341" i="12"/>
  <c r="CD341" i="12"/>
  <c r="CI341" i="12"/>
  <c r="CJ341" i="12"/>
  <c r="CK341" i="12"/>
  <c r="CL341" i="12"/>
  <c r="CM341" i="12"/>
  <c r="CN341" i="12"/>
  <c r="CO341" i="12"/>
  <c r="CP341" i="12"/>
  <c r="CQ341" i="12"/>
  <c r="CR341" i="12"/>
  <c r="CS341" i="12"/>
  <c r="CT341" i="12"/>
  <c r="CU341" i="12"/>
  <c r="CV341" i="12"/>
  <c r="CW341" i="12"/>
  <c r="CX341" i="12"/>
  <c r="CY341" i="12"/>
  <c r="CZ341" i="12"/>
  <c r="DA341" i="12"/>
  <c r="DB341" i="12"/>
  <c r="DV341" i="12"/>
  <c r="DW341" i="12"/>
  <c r="F342" i="12"/>
  <c r="G342" i="12"/>
  <c r="BF342" i="12"/>
  <c r="BO342" i="12"/>
  <c r="CB342" i="12"/>
  <c r="CD342" i="12"/>
  <c r="CI342" i="12"/>
  <c r="CJ342" i="12"/>
  <c r="CK342" i="12"/>
  <c r="CL342" i="12"/>
  <c r="CM342" i="12"/>
  <c r="CN342" i="12"/>
  <c r="CO342" i="12"/>
  <c r="CP342" i="12"/>
  <c r="CQ342" i="12"/>
  <c r="CR342" i="12"/>
  <c r="CS342" i="12"/>
  <c r="CT342" i="12"/>
  <c r="CU342" i="12"/>
  <c r="CV342" i="12"/>
  <c r="CW342" i="12"/>
  <c r="CX342" i="12"/>
  <c r="CY342" i="12"/>
  <c r="CZ342" i="12"/>
  <c r="DA342" i="12"/>
  <c r="DB342" i="12"/>
  <c r="DV342" i="12"/>
  <c r="DW342" i="12"/>
  <c r="F343" i="12"/>
  <c r="G343" i="12"/>
  <c r="T343" i="12" s="1"/>
  <c r="BF343" i="12"/>
  <c r="BO343" i="12"/>
  <c r="CB343" i="12"/>
  <c r="CD343" i="12"/>
  <c r="CI343" i="12"/>
  <c r="CJ343" i="12"/>
  <c r="CK343" i="12"/>
  <c r="CL343" i="12"/>
  <c r="CM343" i="12"/>
  <c r="CN343" i="12"/>
  <c r="CO343" i="12"/>
  <c r="CP343" i="12"/>
  <c r="CQ343" i="12"/>
  <c r="CR343" i="12"/>
  <c r="CS343" i="12"/>
  <c r="CT343" i="12"/>
  <c r="CU343" i="12"/>
  <c r="CV343" i="12"/>
  <c r="CW343" i="12"/>
  <c r="CX343" i="12"/>
  <c r="CY343" i="12"/>
  <c r="CZ343" i="12"/>
  <c r="DA343" i="12"/>
  <c r="DB343" i="12"/>
  <c r="DV343" i="12"/>
  <c r="DW343" i="12"/>
  <c r="F344" i="12"/>
  <c r="G344" i="12"/>
  <c r="BF344" i="12"/>
  <c r="BO344" i="12"/>
  <c r="CB344" i="12"/>
  <c r="CD344" i="12"/>
  <c r="CI344" i="12"/>
  <c r="CJ344" i="12"/>
  <c r="CK344" i="12"/>
  <c r="CL344" i="12"/>
  <c r="CM344" i="12"/>
  <c r="CN344" i="12"/>
  <c r="CO344" i="12"/>
  <c r="CP344" i="12"/>
  <c r="CQ344" i="12"/>
  <c r="CR344" i="12"/>
  <c r="CS344" i="12"/>
  <c r="CT344" i="12"/>
  <c r="CU344" i="12"/>
  <c r="CV344" i="12"/>
  <c r="CW344" i="12"/>
  <c r="CX344" i="12"/>
  <c r="CY344" i="12"/>
  <c r="CZ344" i="12"/>
  <c r="DA344" i="12"/>
  <c r="DB344" i="12"/>
  <c r="DV344" i="12"/>
  <c r="DW344" i="12"/>
  <c r="F345" i="12"/>
  <c r="G345" i="12"/>
  <c r="BF345" i="12"/>
  <c r="BO345" i="12"/>
  <c r="CB345" i="12"/>
  <c r="CD345" i="12"/>
  <c r="CI345" i="12"/>
  <c r="CJ345" i="12"/>
  <c r="CK345" i="12"/>
  <c r="CL345" i="12"/>
  <c r="CM345" i="12"/>
  <c r="CN345" i="12"/>
  <c r="CO345" i="12"/>
  <c r="CP345" i="12"/>
  <c r="CQ345" i="12"/>
  <c r="CR345" i="12"/>
  <c r="CS345" i="12"/>
  <c r="CT345" i="12"/>
  <c r="CU345" i="12"/>
  <c r="CV345" i="12"/>
  <c r="CW345" i="12"/>
  <c r="CX345" i="12"/>
  <c r="CY345" i="12"/>
  <c r="CZ345" i="12"/>
  <c r="DA345" i="12"/>
  <c r="DB345" i="12"/>
  <c r="DV345" i="12"/>
  <c r="DW345" i="12"/>
  <c r="F346" i="12"/>
  <c r="G346" i="12"/>
  <c r="BF346" i="12"/>
  <c r="BO346" i="12"/>
  <c r="CB346" i="12"/>
  <c r="CD346" i="12"/>
  <c r="CI346" i="12"/>
  <c r="CJ346" i="12"/>
  <c r="CK346" i="12"/>
  <c r="CL346" i="12"/>
  <c r="CM346" i="12"/>
  <c r="CN346" i="12"/>
  <c r="CO346" i="12"/>
  <c r="CP346" i="12"/>
  <c r="CQ346" i="12"/>
  <c r="CR346" i="12"/>
  <c r="CS346" i="12"/>
  <c r="CT346" i="12"/>
  <c r="CU346" i="12"/>
  <c r="CV346" i="12"/>
  <c r="CW346" i="12"/>
  <c r="CX346" i="12"/>
  <c r="CY346" i="12"/>
  <c r="CZ346" i="12"/>
  <c r="DA346" i="12"/>
  <c r="DB346" i="12"/>
  <c r="DV346" i="12"/>
  <c r="DW346" i="12"/>
  <c r="F347" i="12"/>
  <c r="G347" i="12"/>
  <c r="BF347" i="12"/>
  <c r="BO347" i="12"/>
  <c r="CB347" i="12"/>
  <c r="CD347" i="12"/>
  <c r="CI347" i="12"/>
  <c r="CJ347" i="12"/>
  <c r="CK347" i="12"/>
  <c r="CL347" i="12"/>
  <c r="CM347" i="12"/>
  <c r="CN347" i="12"/>
  <c r="CO347" i="12"/>
  <c r="CP347" i="12"/>
  <c r="CQ347" i="12"/>
  <c r="CR347" i="12"/>
  <c r="CS347" i="12"/>
  <c r="CT347" i="12"/>
  <c r="CU347" i="12"/>
  <c r="CV347" i="12"/>
  <c r="CW347" i="12"/>
  <c r="CX347" i="12"/>
  <c r="CY347" i="12"/>
  <c r="CZ347" i="12"/>
  <c r="DA347" i="12"/>
  <c r="DB347" i="12"/>
  <c r="DV347" i="12"/>
  <c r="DW347" i="12"/>
  <c r="F348" i="12"/>
  <c r="G348" i="12"/>
  <c r="BF348" i="12"/>
  <c r="BO348" i="12"/>
  <c r="CB348" i="12"/>
  <c r="CD348" i="12"/>
  <c r="CI348" i="12"/>
  <c r="CJ348" i="12"/>
  <c r="CK348" i="12"/>
  <c r="CL348" i="12"/>
  <c r="CM348" i="12"/>
  <c r="CN348" i="12"/>
  <c r="CO348" i="12"/>
  <c r="CP348" i="12"/>
  <c r="CQ348" i="12"/>
  <c r="CR348" i="12"/>
  <c r="CS348" i="12"/>
  <c r="CT348" i="12"/>
  <c r="CU348" i="12"/>
  <c r="CV348" i="12"/>
  <c r="CW348" i="12"/>
  <c r="CX348" i="12"/>
  <c r="CY348" i="12"/>
  <c r="CZ348" i="12"/>
  <c r="DA348" i="12"/>
  <c r="DB348" i="12"/>
  <c r="DV348" i="12"/>
  <c r="DW348" i="12"/>
  <c r="F349" i="12"/>
  <c r="G349" i="12"/>
  <c r="BF349" i="12"/>
  <c r="BO349" i="12"/>
  <c r="CB349" i="12"/>
  <c r="CD349" i="12"/>
  <c r="CI349" i="12"/>
  <c r="CJ349" i="12"/>
  <c r="CK349" i="12"/>
  <c r="CL349" i="12"/>
  <c r="CM349" i="12"/>
  <c r="CN349" i="12"/>
  <c r="CO349" i="12"/>
  <c r="CP349" i="12"/>
  <c r="CQ349" i="12"/>
  <c r="CR349" i="12"/>
  <c r="CS349" i="12"/>
  <c r="CT349" i="12"/>
  <c r="CU349" i="12"/>
  <c r="CV349" i="12"/>
  <c r="CW349" i="12"/>
  <c r="CX349" i="12"/>
  <c r="CY349" i="12"/>
  <c r="CZ349" i="12"/>
  <c r="DA349" i="12"/>
  <c r="DB349" i="12"/>
  <c r="DV349" i="12"/>
  <c r="DW349" i="12"/>
  <c r="F350" i="12"/>
  <c r="G350" i="12"/>
  <c r="BF350" i="12"/>
  <c r="BO350" i="12"/>
  <c r="CB350" i="12"/>
  <c r="CD350" i="12"/>
  <c r="CI350" i="12"/>
  <c r="CJ350" i="12"/>
  <c r="CK350" i="12"/>
  <c r="CL350" i="12"/>
  <c r="CM350" i="12"/>
  <c r="CN350" i="12"/>
  <c r="CO350" i="12"/>
  <c r="CP350" i="12"/>
  <c r="CQ350" i="12"/>
  <c r="CR350" i="12"/>
  <c r="CS350" i="12"/>
  <c r="CT350" i="12"/>
  <c r="CU350" i="12"/>
  <c r="CV350" i="12"/>
  <c r="CW350" i="12"/>
  <c r="CX350" i="12"/>
  <c r="CY350" i="12"/>
  <c r="CZ350" i="12"/>
  <c r="DA350" i="12"/>
  <c r="DB350" i="12"/>
  <c r="DV350" i="12"/>
  <c r="DW350" i="12"/>
  <c r="F351" i="12"/>
  <c r="G351" i="12"/>
  <c r="BF351" i="12"/>
  <c r="BO351" i="12"/>
  <c r="CB351" i="12"/>
  <c r="CD351" i="12"/>
  <c r="CI351" i="12"/>
  <c r="CJ351" i="12"/>
  <c r="CK351" i="12"/>
  <c r="CL351" i="12"/>
  <c r="CM351" i="12"/>
  <c r="CN351" i="12"/>
  <c r="CO351" i="12"/>
  <c r="CP351" i="12"/>
  <c r="CQ351" i="12"/>
  <c r="CR351" i="12"/>
  <c r="CS351" i="12"/>
  <c r="CT351" i="12"/>
  <c r="CU351" i="12"/>
  <c r="CV351" i="12"/>
  <c r="CW351" i="12"/>
  <c r="CX351" i="12"/>
  <c r="CY351" i="12"/>
  <c r="CZ351" i="12"/>
  <c r="DA351" i="12"/>
  <c r="DB351" i="12"/>
  <c r="DV351" i="12"/>
  <c r="DW351" i="12"/>
  <c r="F352" i="12"/>
  <c r="G352" i="12"/>
  <c r="AA352" i="12" s="1"/>
  <c r="BF352" i="12"/>
  <c r="BO352" i="12"/>
  <c r="CB352" i="12"/>
  <c r="CD352" i="12"/>
  <c r="CI352" i="12"/>
  <c r="CJ352" i="12"/>
  <c r="CK352" i="12"/>
  <c r="CL352" i="12"/>
  <c r="CM352" i="12"/>
  <c r="CN352" i="12"/>
  <c r="CO352" i="12"/>
  <c r="CP352" i="12"/>
  <c r="CQ352" i="12"/>
  <c r="CR352" i="12"/>
  <c r="CS352" i="12"/>
  <c r="CT352" i="12"/>
  <c r="CU352" i="12"/>
  <c r="CV352" i="12"/>
  <c r="CW352" i="12"/>
  <c r="CX352" i="12"/>
  <c r="CY352" i="12"/>
  <c r="CZ352" i="12"/>
  <c r="DA352" i="12"/>
  <c r="DB352" i="12"/>
  <c r="DV352" i="12"/>
  <c r="DW352" i="12"/>
  <c r="F353" i="12"/>
  <c r="G353" i="12"/>
  <c r="AA353" i="12" s="1"/>
  <c r="BF353" i="12"/>
  <c r="BO353" i="12"/>
  <c r="CB353" i="12"/>
  <c r="CD353" i="12"/>
  <c r="CI353" i="12"/>
  <c r="CJ353" i="12"/>
  <c r="CK353" i="12"/>
  <c r="CL353" i="12"/>
  <c r="CM353" i="12"/>
  <c r="CN353" i="12"/>
  <c r="CO353" i="12"/>
  <c r="CP353" i="12"/>
  <c r="CQ353" i="12"/>
  <c r="CR353" i="12"/>
  <c r="CS353" i="12"/>
  <c r="CT353" i="12"/>
  <c r="CU353" i="12"/>
  <c r="CV353" i="12"/>
  <c r="CW353" i="12"/>
  <c r="CX353" i="12"/>
  <c r="CY353" i="12"/>
  <c r="CZ353" i="12"/>
  <c r="DA353" i="12"/>
  <c r="DB353" i="12"/>
  <c r="DV353" i="12"/>
  <c r="DW353" i="12"/>
  <c r="F354" i="12"/>
  <c r="G354" i="12"/>
  <c r="BF354" i="12"/>
  <c r="BO354" i="12"/>
  <c r="CB354" i="12"/>
  <c r="CD354" i="12"/>
  <c r="CI354" i="12"/>
  <c r="CJ354" i="12"/>
  <c r="CK354" i="12"/>
  <c r="CL354" i="12"/>
  <c r="CM354" i="12"/>
  <c r="CN354" i="12"/>
  <c r="CO354" i="12"/>
  <c r="CP354" i="12"/>
  <c r="CQ354" i="12"/>
  <c r="CR354" i="12"/>
  <c r="CS354" i="12"/>
  <c r="CT354" i="12"/>
  <c r="CU354" i="12"/>
  <c r="CV354" i="12"/>
  <c r="CW354" i="12"/>
  <c r="CX354" i="12"/>
  <c r="CY354" i="12"/>
  <c r="CZ354" i="12"/>
  <c r="DA354" i="12"/>
  <c r="DB354" i="12"/>
  <c r="DV354" i="12"/>
  <c r="DW354" i="12"/>
  <c r="F355" i="12"/>
  <c r="G355" i="12"/>
  <c r="BF355" i="12"/>
  <c r="BO355" i="12"/>
  <c r="CB355" i="12"/>
  <c r="CD355" i="12"/>
  <c r="CI355" i="12"/>
  <c r="CJ355" i="12"/>
  <c r="CK355" i="12"/>
  <c r="CL355" i="12"/>
  <c r="CM355" i="12"/>
  <c r="CN355" i="12"/>
  <c r="CO355" i="12"/>
  <c r="CP355" i="12"/>
  <c r="CQ355" i="12"/>
  <c r="CR355" i="12"/>
  <c r="CS355" i="12"/>
  <c r="CT355" i="12"/>
  <c r="CU355" i="12"/>
  <c r="CV355" i="12"/>
  <c r="CW355" i="12"/>
  <c r="CX355" i="12"/>
  <c r="CY355" i="12"/>
  <c r="CZ355" i="12"/>
  <c r="DA355" i="12"/>
  <c r="DB355" i="12"/>
  <c r="DV355" i="12"/>
  <c r="DW355" i="12"/>
  <c r="F356" i="12"/>
  <c r="G356" i="12"/>
  <c r="AA356" i="12" s="1"/>
  <c r="BF356" i="12"/>
  <c r="BO356" i="12"/>
  <c r="CB356" i="12"/>
  <c r="CD356" i="12"/>
  <c r="CI356" i="12"/>
  <c r="CJ356" i="12"/>
  <c r="CK356" i="12"/>
  <c r="CL356" i="12"/>
  <c r="CM356" i="12"/>
  <c r="CN356" i="12"/>
  <c r="CO356" i="12"/>
  <c r="CP356" i="12"/>
  <c r="CQ356" i="12"/>
  <c r="CR356" i="12"/>
  <c r="CS356" i="12"/>
  <c r="CT356" i="12"/>
  <c r="CU356" i="12"/>
  <c r="CV356" i="12"/>
  <c r="CW356" i="12"/>
  <c r="CX356" i="12"/>
  <c r="CY356" i="12"/>
  <c r="CZ356" i="12"/>
  <c r="DA356" i="12"/>
  <c r="DB356" i="12"/>
  <c r="DV356" i="12"/>
  <c r="DW356" i="12"/>
  <c r="F357" i="12"/>
  <c r="G357" i="12"/>
  <c r="BF357" i="12"/>
  <c r="BO357" i="12"/>
  <c r="CB357" i="12"/>
  <c r="CD357" i="12"/>
  <c r="CI357" i="12"/>
  <c r="CJ357" i="12"/>
  <c r="CK357" i="12"/>
  <c r="CL357" i="12"/>
  <c r="CM357" i="12"/>
  <c r="CN357" i="12"/>
  <c r="CO357" i="12"/>
  <c r="CP357" i="12"/>
  <c r="CQ357" i="12"/>
  <c r="CR357" i="12"/>
  <c r="CS357" i="12"/>
  <c r="CT357" i="12"/>
  <c r="CU357" i="12"/>
  <c r="CV357" i="12"/>
  <c r="CW357" i="12"/>
  <c r="CX357" i="12"/>
  <c r="CY357" i="12"/>
  <c r="CZ357" i="12"/>
  <c r="DA357" i="12"/>
  <c r="DB357" i="12"/>
  <c r="DV357" i="12"/>
  <c r="DW357" i="12"/>
  <c r="F358" i="12"/>
  <c r="G358" i="12"/>
  <c r="BF358" i="12"/>
  <c r="BO358" i="12"/>
  <c r="CB358" i="12"/>
  <c r="CD358" i="12"/>
  <c r="CI358" i="12"/>
  <c r="CJ358" i="12"/>
  <c r="CK358" i="12"/>
  <c r="CL358" i="12"/>
  <c r="CM358" i="12"/>
  <c r="CN358" i="12"/>
  <c r="CO358" i="12"/>
  <c r="CP358" i="12"/>
  <c r="CQ358" i="12"/>
  <c r="CR358" i="12"/>
  <c r="CS358" i="12"/>
  <c r="CT358" i="12"/>
  <c r="CU358" i="12"/>
  <c r="CV358" i="12"/>
  <c r="CW358" i="12"/>
  <c r="CX358" i="12"/>
  <c r="CY358" i="12"/>
  <c r="CZ358" i="12"/>
  <c r="DA358" i="12"/>
  <c r="DB358" i="12"/>
  <c r="DV358" i="12"/>
  <c r="DW358" i="12"/>
  <c r="F359" i="12"/>
  <c r="G359" i="12"/>
  <c r="V359" i="12" s="1"/>
  <c r="BF359" i="12"/>
  <c r="BO359" i="12"/>
  <c r="CB359" i="12"/>
  <c r="CD359" i="12"/>
  <c r="CI359" i="12"/>
  <c r="CJ359" i="12"/>
  <c r="CK359" i="12"/>
  <c r="CL359" i="12"/>
  <c r="CM359" i="12"/>
  <c r="CN359" i="12"/>
  <c r="CO359" i="12"/>
  <c r="CP359" i="12"/>
  <c r="CQ359" i="12"/>
  <c r="CR359" i="12"/>
  <c r="CS359" i="12"/>
  <c r="CT359" i="12"/>
  <c r="CU359" i="12"/>
  <c r="CV359" i="12"/>
  <c r="CW359" i="12"/>
  <c r="CX359" i="12"/>
  <c r="CY359" i="12"/>
  <c r="CZ359" i="12"/>
  <c r="DA359" i="12"/>
  <c r="DB359" i="12"/>
  <c r="DV359" i="12"/>
  <c r="DW359" i="12"/>
  <c r="F360" i="12"/>
  <c r="G360" i="12"/>
  <c r="BF360" i="12"/>
  <c r="BO360" i="12"/>
  <c r="CB360" i="12"/>
  <c r="CD360" i="12"/>
  <c r="CI360" i="12"/>
  <c r="CJ360" i="12"/>
  <c r="CK360" i="12"/>
  <c r="CL360" i="12"/>
  <c r="CM360" i="12"/>
  <c r="CN360" i="12"/>
  <c r="CO360" i="12"/>
  <c r="CP360" i="12"/>
  <c r="CQ360" i="12"/>
  <c r="CR360" i="12"/>
  <c r="CS360" i="12"/>
  <c r="CT360" i="12"/>
  <c r="CU360" i="12"/>
  <c r="CV360" i="12"/>
  <c r="CW360" i="12"/>
  <c r="CX360" i="12"/>
  <c r="CY360" i="12"/>
  <c r="CZ360" i="12"/>
  <c r="DA360" i="12"/>
  <c r="DB360" i="12"/>
  <c r="DV360" i="12"/>
  <c r="DW360" i="12"/>
  <c r="F361" i="12"/>
  <c r="G361" i="12"/>
  <c r="BF361" i="12"/>
  <c r="BO361" i="12"/>
  <c r="CB361" i="12"/>
  <c r="CD361" i="12"/>
  <c r="CI361" i="12"/>
  <c r="CJ361" i="12"/>
  <c r="CK361" i="12"/>
  <c r="CL361" i="12"/>
  <c r="CM361" i="12"/>
  <c r="CN361" i="12"/>
  <c r="CO361" i="12"/>
  <c r="CP361" i="12"/>
  <c r="CQ361" i="12"/>
  <c r="CR361" i="12"/>
  <c r="CS361" i="12"/>
  <c r="CT361" i="12"/>
  <c r="CU361" i="12"/>
  <c r="CV361" i="12"/>
  <c r="CW361" i="12"/>
  <c r="CX361" i="12"/>
  <c r="CY361" i="12"/>
  <c r="CZ361" i="12"/>
  <c r="DA361" i="12"/>
  <c r="DB361" i="12"/>
  <c r="DV361" i="12"/>
  <c r="DW361" i="12"/>
  <c r="F362" i="12"/>
  <c r="G362" i="12"/>
  <c r="BF362" i="12"/>
  <c r="BO362" i="12"/>
  <c r="CB362" i="12"/>
  <c r="CD362" i="12"/>
  <c r="CI362" i="12"/>
  <c r="CJ362" i="12"/>
  <c r="CK362" i="12"/>
  <c r="CL362" i="12"/>
  <c r="CM362" i="12"/>
  <c r="CN362" i="12"/>
  <c r="CO362" i="12"/>
  <c r="CP362" i="12"/>
  <c r="CQ362" i="12"/>
  <c r="CR362" i="12"/>
  <c r="CS362" i="12"/>
  <c r="CT362" i="12"/>
  <c r="CU362" i="12"/>
  <c r="CV362" i="12"/>
  <c r="CW362" i="12"/>
  <c r="CX362" i="12"/>
  <c r="CY362" i="12"/>
  <c r="CZ362" i="12"/>
  <c r="DA362" i="12"/>
  <c r="DB362" i="12"/>
  <c r="DV362" i="12"/>
  <c r="DW362" i="12"/>
  <c r="F363" i="12"/>
  <c r="G363" i="12"/>
  <c r="BF363" i="12"/>
  <c r="BO363" i="12"/>
  <c r="CB363" i="12"/>
  <c r="CD363" i="12"/>
  <c r="CI363" i="12"/>
  <c r="CJ363" i="12"/>
  <c r="CK363" i="12"/>
  <c r="CL363" i="12"/>
  <c r="CM363" i="12"/>
  <c r="CN363" i="12"/>
  <c r="CO363" i="12"/>
  <c r="CP363" i="12"/>
  <c r="CQ363" i="12"/>
  <c r="CR363" i="12"/>
  <c r="CS363" i="12"/>
  <c r="CT363" i="12"/>
  <c r="CU363" i="12"/>
  <c r="CV363" i="12"/>
  <c r="CW363" i="12"/>
  <c r="CX363" i="12"/>
  <c r="CY363" i="12"/>
  <c r="CZ363" i="12"/>
  <c r="DA363" i="12"/>
  <c r="DB363" i="12"/>
  <c r="DV363" i="12"/>
  <c r="DW363" i="12"/>
  <c r="F364" i="12"/>
  <c r="G364" i="12"/>
  <c r="AA364" i="12" s="1"/>
  <c r="BF364" i="12"/>
  <c r="BO364" i="12"/>
  <c r="CB364" i="12"/>
  <c r="CD364" i="12"/>
  <c r="CI364" i="12"/>
  <c r="CJ364" i="12"/>
  <c r="CK364" i="12"/>
  <c r="CL364" i="12"/>
  <c r="CM364" i="12"/>
  <c r="CN364" i="12"/>
  <c r="CO364" i="12"/>
  <c r="CP364" i="12"/>
  <c r="CQ364" i="12"/>
  <c r="CR364" i="12"/>
  <c r="CS364" i="12"/>
  <c r="CT364" i="12"/>
  <c r="CU364" i="12"/>
  <c r="CV364" i="12"/>
  <c r="CW364" i="12"/>
  <c r="CX364" i="12"/>
  <c r="CY364" i="12"/>
  <c r="CZ364" i="12"/>
  <c r="DA364" i="12"/>
  <c r="DB364" i="12"/>
  <c r="DV364" i="12"/>
  <c r="DW364" i="12"/>
  <c r="F365" i="12"/>
  <c r="G365" i="12"/>
  <c r="BF365" i="12"/>
  <c r="BO365" i="12"/>
  <c r="CB365" i="12"/>
  <c r="CD365" i="12"/>
  <c r="CI365" i="12"/>
  <c r="CJ365" i="12"/>
  <c r="CK365" i="12"/>
  <c r="CL365" i="12"/>
  <c r="CM365" i="12"/>
  <c r="CN365" i="12"/>
  <c r="CO365" i="12"/>
  <c r="CP365" i="12"/>
  <c r="CQ365" i="12"/>
  <c r="CR365" i="12"/>
  <c r="CS365" i="12"/>
  <c r="CT365" i="12"/>
  <c r="CU365" i="12"/>
  <c r="CV365" i="12"/>
  <c r="CW365" i="12"/>
  <c r="CX365" i="12"/>
  <c r="CY365" i="12"/>
  <c r="CZ365" i="12"/>
  <c r="DA365" i="12"/>
  <c r="DB365" i="12"/>
  <c r="DV365" i="12"/>
  <c r="DW365" i="12"/>
  <c r="F366" i="12"/>
  <c r="G366" i="12"/>
  <c r="BF366" i="12"/>
  <c r="BO366" i="12"/>
  <c r="CB366" i="12"/>
  <c r="CD366" i="12"/>
  <c r="CI366" i="12"/>
  <c r="CJ366" i="12"/>
  <c r="CK366" i="12"/>
  <c r="CL366" i="12"/>
  <c r="CM366" i="12"/>
  <c r="CN366" i="12"/>
  <c r="CO366" i="12"/>
  <c r="CP366" i="12"/>
  <c r="CQ366" i="12"/>
  <c r="CR366" i="12"/>
  <c r="CS366" i="12"/>
  <c r="CT366" i="12"/>
  <c r="CU366" i="12"/>
  <c r="CV366" i="12"/>
  <c r="CW366" i="12"/>
  <c r="CX366" i="12"/>
  <c r="CY366" i="12"/>
  <c r="CZ366" i="12"/>
  <c r="DA366" i="12"/>
  <c r="DB366" i="12"/>
  <c r="DV366" i="12"/>
  <c r="DW366" i="12"/>
  <c r="F367" i="12"/>
  <c r="G367" i="12"/>
  <c r="BF367" i="12"/>
  <c r="BO367" i="12"/>
  <c r="CB367" i="12"/>
  <c r="CD367" i="12"/>
  <c r="CI367" i="12"/>
  <c r="CJ367" i="12"/>
  <c r="CK367" i="12"/>
  <c r="CL367" i="12"/>
  <c r="CM367" i="12"/>
  <c r="CN367" i="12"/>
  <c r="CO367" i="12"/>
  <c r="CP367" i="12"/>
  <c r="CQ367" i="12"/>
  <c r="CR367" i="12"/>
  <c r="CS367" i="12"/>
  <c r="CT367" i="12"/>
  <c r="CU367" i="12"/>
  <c r="CV367" i="12"/>
  <c r="CW367" i="12"/>
  <c r="CX367" i="12"/>
  <c r="CY367" i="12"/>
  <c r="CZ367" i="12"/>
  <c r="DA367" i="12"/>
  <c r="DB367" i="12"/>
  <c r="DV367" i="12"/>
  <c r="DW367" i="12"/>
  <c r="F368" i="12"/>
  <c r="G368" i="12"/>
  <c r="BF368" i="12"/>
  <c r="BO368" i="12"/>
  <c r="CB368" i="12"/>
  <c r="CD368" i="12"/>
  <c r="CI368" i="12"/>
  <c r="CJ368" i="12"/>
  <c r="CK368" i="12"/>
  <c r="CL368" i="12"/>
  <c r="CM368" i="12"/>
  <c r="CN368" i="12"/>
  <c r="CO368" i="12"/>
  <c r="CP368" i="12"/>
  <c r="CQ368" i="12"/>
  <c r="CR368" i="12"/>
  <c r="CS368" i="12"/>
  <c r="CT368" i="12"/>
  <c r="CU368" i="12"/>
  <c r="CV368" i="12"/>
  <c r="CW368" i="12"/>
  <c r="CX368" i="12"/>
  <c r="CY368" i="12"/>
  <c r="CZ368" i="12"/>
  <c r="DA368" i="12"/>
  <c r="DB368" i="12"/>
  <c r="DV368" i="12"/>
  <c r="DW368" i="12"/>
  <c r="F369" i="12"/>
  <c r="G369" i="12"/>
  <c r="BF369" i="12"/>
  <c r="BO369" i="12"/>
  <c r="CB369" i="12"/>
  <c r="CD369" i="12"/>
  <c r="CI369" i="12"/>
  <c r="CJ369" i="12"/>
  <c r="CK369" i="12"/>
  <c r="CL369" i="12"/>
  <c r="CM369" i="12"/>
  <c r="CN369" i="12"/>
  <c r="CO369" i="12"/>
  <c r="CP369" i="12"/>
  <c r="CQ369" i="12"/>
  <c r="CR369" i="12"/>
  <c r="CS369" i="12"/>
  <c r="CT369" i="12"/>
  <c r="CU369" i="12"/>
  <c r="CV369" i="12"/>
  <c r="CW369" i="12"/>
  <c r="CX369" i="12"/>
  <c r="CY369" i="12"/>
  <c r="CZ369" i="12"/>
  <c r="DA369" i="12"/>
  <c r="DB369" i="12"/>
  <c r="DV369" i="12"/>
  <c r="DW369" i="12"/>
  <c r="F370" i="12"/>
  <c r="G370" i="12"/>
  <c r="BF370" i="12"/>
  <c r="BO370" i="12"/>
  <c r="CB370" i="12"/>
  <c r="CD370" i="12"/>
  <c r="CI370" i="12"/>
  <c r="CJ370" i="12"/>
  <c r="CK370" i="12"/>
  <c r="CL370" i="12"/>
  <c r="CM370" i="12"/>
  <c r="CN370" i="12"/>
  <c r="CO370" i="12"/>
  <c r="CP370" i="12"/>
  <c r="CQ370" i="12"/>
  <c r="CR370" i="12"/>
  <c r="CS370" i="12"/>
  <c r="CT370" i="12"/>
  <c r="CU370" i="12"/>
  <c r="CV370" i="12"/>
  <c r="CW370" i="12"/>
  <c r="CX370" i="12"/>
  <c r="CY370" i="12"/>
  <c r="CZ370" i="12"/>
  <c r="DA370" i="12"/>
  <c r="DB370" i="12"/>
  <c r="DV370" i="12"/>
  <c r="DW370" i="12"/>
  <c r="F371" i="12"/>
  <c r="G371" i="12"/>
  <c r="AA371" i="12" s="1"/>
  <c r="BF371" i="12"/>
  <c r="BO371" i="12"/>
  <c r="CB371" i="12"/>
  <c r="CD371" i="12"/>
  <c r="CI371" i="12"/>
  <c r="CJ371" i="12"/>
  <c r="CK371" i="12"/>
  <c r="CL371" i="12"/>
  <c r="CM371" i="12"/>
  <c r="CN371" i="12"/>
  <c r="CO371" i="12"/>
  <c r="CP371" i="12"/>
  <c r="CQ371" i="12"/>
  <c r="CR371" i="12"/>
  <c r="CS371" i="12"/>
  <c r="CT371" i="12"/>
  <c r="CU371" i="12"/>
  <c r="CV371" i="12"/>
  <c r="CW371" i="12"/>
  <c r="CX371" i="12"/>
  <c r="CY371" i="12"/>
  <c r="CZ371" i="12"/>
  <c r="DA371" i="12"/>
  <c r="DB371" i="12"/>
  <c r="DV371" i="12"/>
  <c r="DW371" i="12"/>
  <c r="F372" i="12"/>
  <c r="G372" i="12"/>
  <c r="AA372" i="12" s="1"/>
  <c r="BF372" i="12"/>
  <c r="BO372" i="12"/>
  <c r="CB372" i="12"/>
  <c r="CD372" i="12"/>
  <c r="CI372" i="12"/>
  <c r="CJ372" i="12"/>
  <c r="CK372" i="12"/>
  <c r="CL372" i="12"/>
  <c r="CM372" i="12"/>
  <c r="CN372" i="12"/>
  <c r="CO372" i="12"/>
  <c r="CP372" i="12"/>
  <c r="CQ372" i="12"/>
  <c r="CR372" i="12"/>
  <c r="CS372" i="12"/>
  <c r="CT372" i="12"/>
  <c r="CU372" i="12"/>
  <c r="CV372" i="12"/>
  <c r="CW372" i="12"/>
  <c r="CX372" i="12"/>
  <c r="CY372" i="12"/>
  <c r="CZ372" i="12"/>
  <c r="DA372" i="12"/>
  <c r="DB372" i="12"/>
  <c r="DV372" i="12"/>
  <c r="DW372" i="12"/>
  <c r="F373" i="12"/>
  <c r="G373" i="12"/>
  <c r="BF373" i="12"/>
  <c r="BO373" i="12"/>
  <c r="CB373" i="12"/>
  <c r="CD373" i="12"/>
  <c r="CI373" i="12"/>
  <c r="CJ373" i="12"/>
  <c r="CK373" i="12"/>
  <c r="CL373" i="12"/>
  <c r="CM373" i="12"/>
  <c r="CN373" i="12"/>
  <c r="CO373" i="12"/>
  <c r="CP373" i="12"/>
  <c r="CQ373" i="12"/>
  <c r="CR373" i="12"/>
  <c r="CS373" i="12"/>
  <c r="CT373" i="12"/>
  <c r="CU373" i="12"/>
  <c r="CV373" i="12"/>
  <c r="CW373" i="12"/>
  <c r="CX373" i="12"/>
  <c r="CY373" i="12"/>
  <c r="CZ373" i="12"/>
  <c r="DA373" i="12"/>
  <c r="DB373" i="12"/>
  <c r="DV373" i="12"/>
  <c r="DW373" i="12"/>
  <c r="F374" i="12"/>
  <c r="G374" i="12"/>
  <c r="BF374" i="12"/>
  <c r="BO374" i="12"/>
  <c r="CB374" i="12"/>
  <c r="CD374" i="12"/>
  <c r="CI374" i="12"/>
  <c r="CJ374" i="12"/>
  <c r="CK374" i="12"/>
  <c r="CL374" i="12"/>
  <c r="CM374" i="12"/>
  <c r="CN374" i="12"/>
  <c r="CO374" i="12"/>
  <c r="CP374" i="12"/>
  <c r="CQ374" i="12"/>
  <c r="CR374" i="12"/>
  <c r="CS374" i="12"/>
  <c r="CT374" i="12"/>
  <c r="CU374" i="12"/>
  <c r="CV374" i="12"/>
  <c r="CW374" i="12"/>
  <c r="CX374" i="12"/>
  <c r="CY374" i="12"/>
  <c r="CZ374" i="12"/>
  <c r="DA374" i="12"/>
  <c r="DB374" i="12"/>
  <c r="DV374" i="12"/>
  <c r="DW374" i="12"/>
  <c r="F375" i="12"/>
  <c r="G375" i="12"/>
  <c r="V375" i="12" s="1"/>
  <c r="BF375" i="12"/>
  <c r="BO375" i="12"/>
  <c r="CB375" i="12"/>
  <c r="CD375" i="12"/>
  <c r="CI375" i="12"/>
  <c r="CJ375" i="12"/>
  <c r="CK375" i="12"/>
  <c r="CL375" i="12"/>
  <c r="CM375" i="12"/>
  <c r="CN375" i="12"/>
  <c r="CO375" i="12"/>
  <c r="CP375" i="12"/>
  <c r="CQ375" i="12"/>
  <c r="CR375" i="12"/>
  <c r="CS375" i="12"/>
  <c r="CT375" i="12"/>
  <c r="CU375" i="12"/>
  <c r="CV375" i="12"/>
  <c r="CW375" i="12"/>
  <c r="CX375" i="12"/>
  <c r="CY375" i="12"/>
  <c r="CZ375" i="12"/>
  <c r="DA375" i="12"/>
  <c r="DB375" i="12"/>
  <c r="DV375" i="12"/>
  <c r="DW375" i="12"/>
  <c r="F376" i="12"/>
  <c r="G376" i="12"/>
  <c r="AA376" i="12" s="1"/>
  <c r="BF376" i="12"/>
  <c r="BO376" i="12"/>
  <c r="CB376" i="12"/>
  <c r="CD376" i="12"/>
  <c r="CI376" i="12"/>
  <c r="CJ376" i="12"/>
  <c r="CK376" i="12"/>
  <c r="CL376" i="12"/>
  <c r="CM376" i="12"/>
  <c r="CN376" i="12"/>
  <c r="CO376" i="12"/>
  <c r="CP376" i="12"/>
  <c r="CQ376" i="12"/>
  <c r="CR376" i="12"/>
  <c r="CS376" i="12"/>
  <c r="CT376" i="12"/>
  <c r="CU376" i="12"/>
  <c r="CV376" i="12"/>
  <c r="CW376" i="12"/>
  <c r="CX376" i="12"/>
  <c r="CY376" i="12"/>
  <c r="CZ376" i="12"/>
  <c r="DA376" i="12"/>
  <c r="DB376" i="12"/>
  <c r="DV376" i="12"/>
  <c r="DW376" i="12"/>
  <c r="F377" i="12"/>
  <c r="G377" i="12"/>
  <c r="BF377" i="12"/>
  <c r="BO377" i="12"/>
  <c r="CB377" i="12"/>
  <c r="CD377" i="12"/>
  <c r="CI377" i="12"/>
  <c r="CJ377" i="12"/>
  <c r="CK377" i="12"/>
  <c r="CL377" i="12"/>
  <c r="CM377" i="12"/>
  <c r="CN377" i="12"/>
  <c r="CO377" i="12"/>
  <c r="CP377" i="12"/>
  <c r="CQ377" i="12"/>
  <c r="CR377" i="12"/>
  <c r="CS377" i="12"/>
  <c r="CT377" i="12"/>
  <c r="CU377" i="12"/>
  <c r="CV377" i="12"/>
  <c r="CW377" i="12"/>
  <c r="CX377" i="12"/>
  <c r="CY377" i="12"/>
  <c r="CZ377" i="12"/>
  <c r="DA377" i="12"/>
  <c r="DB377" i="12"/>
  <c r="DV377" i="12"/>
  <c r="DW377" i="12"/>
  <c r="F378" i="12"/>
  <c r="G378" i="12"/>
  <c r="V378" i="12" s="1"/>
  <c r="BF378" i="12"/>
  <c r="BO378" i="12"/>
  <c r="CB378" i="12"/>
  <c r="CD378" i="12"/>
  <c r="CI378" i="12"/>
  <c r="CJ378" i="12"/>
  <c r="CK378" i="12"/>
  <c r="CL378" i="12"/>
  <c r="CM378" i="12"/>
  <c r="CN378" i="12"/>
  <c r="CO378" i="12"/>
  <c r="CP378" i="12"/>
  <c r="CQ378" i="12"/>
  <c r="CR378" i="12"/>
  <c r="CS378" i="12"/>
  <c r="CT378" i="12"/>
  <c r="CU378" i="12"/>
  <c r="CV378" i="12"/>
  <c r="CW378" i="12"/>
  <c r="CX378" i="12"/>
  <c r="CY378" i="12"/>
  <c r="CZ378" i="12"/>
  <c r="DA378" i="12"/>
  <c r="DB378" i="12"/>
  <c r="DV378" i="12"/>
  <c r="DW378" i="12"/>
  <c r="F379" i="12"/>
  <c r="G379" i="12"/>
  <c r="T379" i="12" s="1"/>
  <c r="BF379" i="12"/>
  <c r="BO379" i="12"/>
  <c r="CB379" i="12"/>
  <c r="CD379" i="12"/>
  <c r="CI379" i="12"/>
  <c r="CJ379" i="12"/>
  <c r="CK379" i="12"/>
  <c r="CL379" i="12"/>
  <c r="CM379" i="12"/>
  <c r="CN379" i="12"/>
  <c r="CO379" i="12"/>
  <c r="CP379" i="12"/>
  <c r="CQ379" i="12"/>
  <c r="CR379" i="12"/>
  <c r="CS379" i="12"/>
  <c r="CT379" i="12"/>
  <c r="CU379" i="12"/>
  <c r="CV379" i="12"/>
  <c r="CW379" i="12"/>
  <c r="CX379" i="12"/>
  <c r="CY379" i="12"/>
  <c r="CZ379" i="12"/>
  <c r="DA379" i="12"/>
  <c r="DB379" i="12"/>
  <c r="DV379" i="12"/>
  <c r="DW379" i="12"/>
  <c r="F380" i="12"/>
  <c r="G380" i="12"/>
  <c r="V380" i="12" s="1"/>
  <c r="BF380" i="12"/>
  <c r="BO380" i="12"/>
  <c r="CB380" i="12"/>
  <c r="CD380" i="12"/>
  <c r="CI380" i="12"/>
  <c r="CJ380" i="12"/>
  <c r="CK380" i="12"/>
  <c r="CL380" i="12"/>
  <c r="CM380" i="12"/>
  <c r="CN380" i="12"/>
  <c r="CO380" i="12"/>
  <c r="CP380" i="12"/>
  <c r="CQ380" i="12"/>
  <c r="CR380" i="12"/>
  <c r="CS380" i="12"/>
  <c r="CT380" i="12"/>
  <c r="CU380" i="12"/>
  <c r="CV380" i="12"/>
  <c r="CW380" i="12"/>
  <c r="CX380" i="12"/>
  <c r="CY380" i="12"/>
  <c r="CZ380" i="12"/>
  <c r="DA380" i="12"/>
  <c r="DB380" i="12"/>
  <c r="DV380" i="12"/>
  <c r="DW380" i="12"/>
  <c r="F381" i="12"/>
  <c r="G381" i="12"/>
  <c r="BF381" i="12"/>
  <c r="BO381" i="12"/>
  <c r="CB381" i="12"/>
  <c r="CD381" i="12"/>
  <c r="CI381" i="12"/>
  <c r="CJ381" i="12"/>
  <c r="CK381" i="12"/>
  <c r="CL381" i="12"/>
  <c r="CM381" i="12"/>
  <c r="CN381" i="12"/>
  <c r="CO381" i="12"/>
  <c r="CP381" i="12"/>
  <c r="CQ381" i="12"/>
  <c r="CR381" i="12"/>
  <c r="CS381" i="12"/>
  <c r="CT381" i="12"/>
  <c r="CU381" i="12"/>
  <c r="CV381" i="12"/>
  <c r="CW381" i="12"/>
  <c r="CX381" i="12"/>
  <c r="CY381" i="12"/>
  <c r="CZ381" i="12"/>
  <c r="DA381" i="12"/>
  <c r="DB381" i="12"/>
  <c r="DV381" i="12"/>
  <c r="DW381" i="12"/>
  <c r="F382" i="12"/>
  <c r="G382" i="12"/>
  <c r="V382" i="12" s="1"/>
  <c r="BF382" i="12"/>
  <c r="BO382" i="12"/>
  <c r="CB382" i="12"/>
  <c r="CD382" i="12"/>
  <c r="CI382" i="12"/>
  <c r="CJ382" i="12"/>
  <c r="CK382" i="12"/>
  <c r="CL382" i="12"/>
  <c r="CM382" i="12"/>
  <c r="CN382" i="12"/>
  <c r="CO382" i="12"/>
  <c r="CP382" i="12"/>
  <c r="CQ382" i="12"/>
  <c r="CR382" i="12"/>
  <c r="CS382" i="12"/>
  <c r="CT382" i="12"/>
  <c r="CU382" i="12"/>
  <c r="CV382" i="12"/>
  <c r="CW382" i="12"/>
  <c r="CX382" i="12"/>
  <c r="CY382" i="12"/>
  <c r="CZ382" i="12"/>
  <c r="DA382" i="12"/>
  <c r="DB382" i="12"/>
  <c r="DV382" i="12"/>
  <c r="DW382" i="12"/>
  <c r="F383" i="12"/>
  <c r="G383" i="12"/>
  <c r="BF383" i="12"/>
  <c r="BO383" i="12"/>
  <c r="CB383" i="12"/>
  <c r="CD383" i="12"/>
  <c r="CI383" i="12"/>
  <c r="CJ383" i="12"/>
  <c r="CK383" i="12"/>
  <c r="CL383" i="12"/>
  <c r="CM383" i="12"/>
  <c r="CN383" i="12"/>
  <c r="CO383" i="12"/>
  <c r="CP383" i="12"/>
  <c r="CQ383" i="12"/>
  <c r="CR383" i="12"/>
  <c r="CS383" i="12"/>
  <c r="CT383" i="12"/>
  <c r="CU383" i="12"/>
  <c r="CV383" i="12"/>
  <c r="CW383" i="12"/>
  <c r="CX383" i="12"/>
  <c r="CY383" i="12"/>
  <c r="CZ383" i="12"/>
  <c r="DA383" i="12"/>
  <c r="DB383" i="12"/>
  <c r="DV383" i="12"/>
  <c r="DW383" i="12"/>
  <c r="F384" i="12"/>
  <c r="G384" i="12"/>
  <c r="V384" i="12" s="1"/>
  <c r="BF384" i="12"/>
  <c r="BO384" i="12"/>
  <c r="CB384" i="12"/>
  <c r="CD384" i="12"/>
  <c r="CI384" i="12"/>
  <c r="CJ384" i="12"/>
  <c r="CK384" i="12"/>
  <c r="CL384" i="12"/>
  <c r="CM384" i="12"/>
  <c r="CN384" i="12"/>
  <c r="CO384" i="12"/>
  <c r="CP384" i="12"/>
  <c r="CQ384" i="12"/>
  <c r="CR384" i="12"/>
  <c r="CS384" i="12"/>
  <c r="CT384" i="12"/>
  <c r="CU384" i="12"/>
  <c r="CV384" i="12"/>
  <c r="CW384" i="12"/>
  <c r="CX384" i="12"/>
  <c r="CY384" i="12"/>
  <c r="CZ384" i="12"/>
  <c r="DA384" i="12"/>
  <c r="DB384" i="12"/>
  <c r="DV384" i="12"/>
  <c r="DW384" i="12"/>
  <c r="F385" i="12"/>
  <c r="G385" i="12"/>
  <c r="AA385" i="12" s="1"/>
  <c r="BF385" i="12"/>
  <c r="BO385" i="12"/>
  <c r="CB385" i="12"/>
  <c r="CD385" i="12"/>
  <c r="CI385" i="12"/>
  <c r="CJ385" i="12"/>
  <c r="CK385" i="12"/>
  <c r="CL385" i="12"/>
  <c r="CM385" i="12"/>
  <c r="CN385" i="12"/>
  <c r="CO385" i="12"/>
  <c r="CP385" i="12"/>
  <c r="CQ385" i="12"/>
  <c r="CR385" i="12"/>
  <c r="CS385" i="12"/>
  <c r="CT385" i="12"/>
  <c r="CU385" i="12"/>
  <c r="CV385" i="12"/>
  <c r="CW385" i="12"/>
  <c r="CX385" i="12"/>
  <c r="CY385" i="12"/>
  <c r="CZ385" i="12"/>
  <c r="DA385" i="12"/>
  <c r="DB385" i="12"/>
  <c r="DV385" i="12"/>
  <c r="DW385" i="12"/>
  <c r="F386" i="12"/>
  <c r="G386" i="12"/>
  <c r="V386" i="12" s="1"/>
  <c r="BF386" i="12"/>
  <c r="BO386" i="12"/>
  <c r="CB386" i="12"/>
  <c r="CD386" i="12"/>
  <c r="CI386" i="12"/>
  <c r="CJ386" i="12"/>
  <c r="CK386" i="12"/>
  <c r="CL386" i="12"/>
  <c r="CM386" i="12"/>
  <c r="CN386" i="12"/>
  <c r="CO386" i="12"/>
  <c r="CP386" i="12"/>
  <c r="CQ386" i="12"/>
  <c r="CR386" i="12"/>
  <c r="CS386" i="12"/>
  <c r="CT386" i="12"/>
  <c r="CU386" i="12"/>
  <c r="CV386" i="12"/>
  <c r="CW386" i="12"/>
  <c r="CX386" i="12"/>
  <c r="CY386" i="12"/>
  <c r="CZ386" i="12"/>
  <c r="DA386" i="12"/>
  <c r="DB386" i="12"/>
  <c r="DV386" i="12"/>
  <c r="DW386" i="12"/>
  <c r="F387" i="12"/>
  <c r="G387" i="12"/>
  <c r="AA387" i="12" s="1"/>
  <c r="BF387" i="12"/>
  <c r="BO387" i="12"/>
  <c r="CB387" i="12"/>
  <c r="CD387" i="12"/>
  <c r="CI387" i="12"/>
  <c r="CJ387" i="12"/>
  <c r="CK387" i="12"/>
  <c r="CL387" i="12"/>
  <c r="CM387" i="12"/>
  <c r="CN387" i="12"/>
  <c r="CO387" i="12"/>
  <c r="CP387" i="12"/>
  <c r="CQ387" i="12"/>
  <c r="CR387" i="12"/>
  <c r="CS387" i="12"/>
  <c r="CT387" i="12"/>
  <c r="CU387" i="12"/>
  <c r="CV387" i="12"/>
  <c r="CW387" i="12"/>
  <c r="CX387" i="12"/>
  <c r="CY387" i="12"/>
  <c r="CZ387" i="12"/>
  <c r="DA387" i="12"/>
  <c r="DB387" i="12"/>
  <c r="DV387" i="12"/>
  <c r="DW387" i="12"/>
  <c r="F388" i="12"/>
  <c r="G388" i="12"/>
  <c r="BF388" i="12"/>
  <c r="BO388" i="12"/>
  <c r="CB388" i="12"/>
  <c r="CD388" i="12"/>
  <c r="CI388" i="12"/>
  <c r="CJ388" i="12"/>
  <c r="CK388" i="12"/>
  <c r="CL388" i="12"/>
  <c r="CM388" i="12"/>
  <c r="CN388" i="12"/>
  <c r="CO388" i="12"/>
  <c r="CP388" i="12"/>
  <c r="CQ388" i="12"/>
  <c r="CR388" i="12"/>
  <c r="CS388" i="12"/>
  <c r="CT388" i="12"/>
  <c r="CU388" i="12"/>
  <c r="CV388" i="12"/>
  <c r="CW388" i="12"/>
  <c r="CX388" i="12"/>
  <c r="CY388" i="12"/>
  <c r="CZ388" i="12"/>
  <c r="DA388" i="12"/>
  <c r="DB388" i="12"/>
  <c r="DV388" i="12"/>
  <c r="DW388" i="12"/>
  <c r="F389" i="12"/>
  <c r="G389" i="12"/>
  <c r="AA389" i="12" s="1"/>
  <c r="BF389" i="12"/>
  <c r="BO389" i="12"/>
  <c r="CB389" i="12"/>
  <c r="CD389" i="12"/>
  <c r="CI389" i="12"/>
  <c r="CJ389" i="12"/>
  <c r="CK389" i="12"/>
  <c r="CL389" i="12"/>
  <c r="CM389" i="12"/>
  <c r="CN389" i="12"/>
  <c r="CO389" i="12"/>
  <c r="CP389" i="12"/>
  <c r="CQ389" i="12"/>
  <c r="CR389" i="12"/>
  <c r="CS389" i="12"/>
  <c r="CT389" i="12"/>
  <c r="CU389" i="12"/>
  <c r="CV389" i="12"/>
  <c r="CW389" i="12"/>
  <c r="CX389" i="12"/>
  <c r="CY389" i="12"/>
  <c r="CZ389" i="12"/>
  <c r="DA389" i="12"/>
  <c r="DB389" i="12"/>
  <c r="DV389" i="12"/>
  <c r="DW389" i="12"/>
  <c r="F390" i="12"/>
  <c r="G390" i="12"/>
  <c r="BF390" i="12"/>
  <c r="BO390" i="12"/>
  <c r="CB390" i="12"/>
  <c r="CD390" i="12"/>
  <c r="CI390" i="12"/>
  <c r="CJ390" i="12"/>
  <c r="CK390" i="12"/>
  <c r="CL390" i="12"/>
  <c r="CM390" i="12"/>
  <c r="CN390" i="12"/>
  <c r="CO390" i="12"/>
  <c r="CP390" i="12"/>
  <c r="CQ390" i="12"/>
  <c r="CR390" i="12"/>
  <c r="CS390" i="12"/>
  <c r="CT390" i="12"/>
  <c r="CU390" i="12"/>
  <c r="CV390" i="12"/>
  <c r="CW390" i="12"/>
  <c r="CX390" i="12"/>
  <c r="CY390" i="12"/>
  <c r="CZ390" i="12"/>
  <c r="DA390" i="12"/>
  <c r="DB390" i="12"/>
  <c r="DV390" i="12"/>
  <c r="DW390" i="12"/>
  <c r="F391" i="12"/>
  <c r="G391" i="12"/>
  <c r="AA391" i="12" s="1"/>
  <c r="BF391" i="12"/>
  <c r="BO391" i="12"/>
  <c r="CB391" i="12"/>
  <c r="CD391" i="12"/>
  <c r="CI391" i="12"/>
  <c r="CJ391" i="12"/>
  <c r="CK391" i="12"/>
  <c r="CL391" i="12"/>
  <c r="CM391" i="12"/>
  <c r="CN391" i="12"/>
  <c r="CO391" i="12"/>
  <c r="CP391" i="12"/>
  <c r="CQ391" i="12"/>
  <c r="CR391" i="12"/>
  <c r="CS391" i="12"/>
  <c r="CT391" i="12"/>
  <c r="CU391" i="12"/>
  <c r="CV391" i="12"/>
  <c r="CW391" i="12"/>
  <c r="CX391" i="12"/>
  <c r="CY391" i="12"/>
  <c r="CZ391" i="12"/>
  <c r="DA391" i="12"/>
  <c r="DB391" i="12"/>
  <c r="DV391" i="12"/>
  <c r="DW391" i="12"/>
  <c r="F392" i="12"/>
  <c r="G392" i="12"/>
  <c r="BF392" i="12"/>
  <c r="BO392" i="12"/>
  <c r="CB392" i="12"/>
  <c r="CD392" i="12"/>
  <c r="CI392" i="12"/>
  <c r="CJ392" i="12"/>
  <c r="CK392" i="12"/>
  <c r="CL392" i="12"/>
  <c r="CM392" i="12"/>
  <c r="CN392" i="12"/>
  <c r="CO392" i="12"/>
  <c r="CP392" i="12"/>
  <c r="CQ392" i="12"/>
  <c r="CR392" i="12"/>
  <c r="CS392" i="12"/>
  <c r="CT392" i="12"/>
  <c r="CU392" i="12"/>
  <c r="CV392" i="12"/>
  <c r="CW392" i="12"/>
  <c r="CX392" i="12"/>
  <c r="CY392" i="12"/>
  <c r="CZ392" i="12"/>
  <c r="DA392" i="12"/>
  <c r="DB392" i="12"/>
  <c r="DV392" i="12"/>
  <c r="DW392" i="12"/>
  <c r="F393" i="12"/>
  <c r="G393" i="12"/>
  <c r="AA393" i="12" s="1"/>
  <c r="BF393" i="12"/>
  <c r="BO393" i="12"/>
  <c r="CB393" i="12"/>
  <c r="CD393" i="12"/>
  <c r="CI393" i="12"/>
  <c r="CJ393" i="12"/>
  <c r="CK393" i="12"/>
  <c r="CL393" i="12"/>
  <c r="CM393" i="12"/>
  <c r="CN393" i="12"/>
  <c r="CO393" i="12"/>
  <c r="CP393" i="12"/>
  <c r="CQ393" i="12"/>
  <c r="CR393" i="12"/>
  <c r="CS393" i="12"/>
  <c r="CT393" i="12"/>
  <c r="CU393" i="12"/>
  <c r="CV393" i="12"/>
  <c r="CW393" i="12"/>
  <c r="CX393" i="12"/>
  <c r="CY393" i="12"/>
  <c r="CZ393" i="12"/>
  <c r="DA393" i="12"/>
  <c r="DB393" i="12"/>
  <c r="DV393" i="12"/>
  <c r="DW393" i="12"/>
  <c r="F394" i="12"/>
  <c r="G394" i="12"/>
  <c r="V394" i="12" s="1"/>
  <c r="BF394" i="12"/>
  <c r="BO394" i="12"/>
  <c r="CB394" i="12"/>
  <c r="CD394" i="12"/>
  <c r="CI394" i="12"/>
  <c r="CJ394" i="12"/>
  <c r="CK394" i="12"/>
  <c r="CL394" i="12"/>
  <c r="CM394" i="12"/>
  <c r="CN394" i="12"/>
  <c r="CO394" i="12"/>
  <c r="CP394" i="12"/>
  <c r="CQ394" i="12"/>
  <c r="CR394" i="12"/>
  <c r="CS394" i="12"/>
  <c r="CT394" i="12"/>
  <c r="CU394" i="12"/>
  <c r="CV394" i="12"/>
  <c r="CW394" i="12"/>
  <c r="CX394" i="12"/>
  <c r="CY394" i="12"/>
  <c r="CZ394" i="12"/>
  <c r="DA394" i="12"/>
  <c r="DB394" i="12"/>
  <c r="DV394" i="12"/>
  <c r="DW394" i="12"/>
  <c r="F395" i="12"/>
  <c r="G395" i="12"/>
  <c r="BF395" i="12"/>
  <c r="BO395" i="12"/>
  <c r="CB395" i="12"/>
  <c r="CD395" i="12"/>
  <c r="CI395" i="12"/>
  <c r="CJ395" i="12"/>
  <c r="CK395" i="12"/>
  <c r="CL395" i="12"/>
  <c r="CM395" i="12"/>
  <c r="CN395" i="12"/>
  <c r="CO395" i="12"/>
  <c r="CP395" i="12"/>
  <c r="CQ395" i="12"/>
  <c r="CR395" i="12"/>
  <c r="CS395" i="12"/>
  <c r="CT395" i="12"/>
  <c r="CU395" i="12"/>
  <c r="CV395" i="12"/>
  <c r="CW395" i="12"/>
  <c r="CX395" i="12"/>
  <c r="CY395" i="12"/>
  <c r="CZ395" i="12"/>
  <c r="DA395" i="12"/>
  <c r="DB395" i="12"/>
  <c r="DV395" i="12"/>
  <c r="DW395" i="12"/>
  <c r="F396" i="12"/>
  <c r="G396" i="12"/>
  <c r="BF396" i="12"/>
  <c r="BO396" i="12"/>
  <c r="CB396" i="12"/>
  <c r="CD396" i="12"/>
  <c r="CI396" i="12"/>
  <c r="CJ396" i="12"/>
  <c r="CK396" i="12"/>
  <c r="CL396" i="12"/>
  <c r="CM396" i="12"/>
  <c r="CN396" i="12"/>
  <c r="CO396" i="12"/>
  <c r="CP396" i="12"/>
  <c r="CQ396" i="12"/>
  <c r="CR396" i="12"/>
  <c r="CS396" i="12"/>
  <c r="CT396" i="12"/>
  <c r="CU396" i="12"/>
  <c r="CV396" i="12"/>
  <c r="CW396" i="12"/>
  <c r="CX396" i="12"/>
  <c r="CY396" i="12"/>
  <c r="CZ396" i="12"/>
  <c r="DA396" i="12"/>
  <c r="DB396" i="12"/>
  <c r="DV396" i="12"/>
  <c r="DW396" i="12"/>
  <c r="F397" i="12"/>
  <c r="G397" i="12"/>
  <c r="T397" i="12" s="1"/>
  <c r="BF397" i="12"/>
  <c r="BO397" i="12"/>
  <c r="CB397" i="12"/>
  <c r="CD397" i="12"/>
  <c r="CI397" i="12"/>
  <c r="CJ397" i="12"/>
  <c r="CK397" i="12"/>
  <c r="CL397" i="12"/>
  <c r="CM397" i="12"/>
  <c r="CN397" i="12"/>
  <c r="CO397" i="12"/>
  <c r="CP397" i="12"/>
  <c r="CQ397" i="12"/>
  <c r="CR397" i="12"/>
  <c r="CS397" i="12"/>
  <c r="CT397" i="12"/>
  <c r="CU397" i="12"/>
  <c r="CV397" i="12"/>
  <c r="CW397" i="12"/>
  <c r="CX397" i="12"/>
  <c r="CY397" i="12"/>
  <c r="CZ397" i="12"/>
  <c r="DA397" i="12"/>
  <c r="DB397" i="12"/>
  <c r="DV397" i="12"/>
  <c r="DW397" i="12"/>
  <c r="F398" i="12"/>
  <c r="G398" i="12"/>
  <c r="V398" i="12" s="1"/>
  <c r="BF398" i="12"/>
  <c r="BO398" i="12"/>
  <c r="CB398" i="12"/>
  <c r="CD398" i="12"/>
  <c r="CI398" i="12"/>
  <c r="CJ398" i="12"/>
  <c r="CK398" i="12"/>
  <c r="CL398" i="12"/>
  <c r="CM398" i="12"/>
  <c r="CN398" i="12"/>
  <c r="CO398" i="12"/>
  <c r="CP398" i="12"/>
  <c r="CQ398" i="12"/>
  <c r="CR398" i="12"/>
  <c r="CS398" i="12"/>
  <c r="CT398" i="12"/>
  <c r="CU398" i="12"/>
  <c r="CV398" i="12"/>
  <c r="CW398" i="12"/>
  <c r="CX398" i="12"/>
  <c r="CY398" i="12"/>
  <c r="CZ398" i="12"/>
  <c r="DA398" i="12"/>
  <c r="DB398" i="12"/>
  <c r="DV398" i="12"/>
  <c r="DW398" i="12"/>
  <c r="F399" i="12"/>
  <c r="G399" i="12"/>
  <c r="BF399" i="12"/>
  <c r="BO399" i="12"/>
  <c r="CB399" i="12"/>
  <c r="CD399" i="12"/>
  <c r="CI399" i="12"/>
  <c r="CJ399" i="12"/>
  <c r="CK399" i="12"/>
  <c r="CL399" i="12"/>
  <c r="CM399" i="12"/>
  <c r="CN399" i="12"/>
  <c r="CO399" i="12"/>
  <c r="CP399" i="12"/>
  <c r="CQ399" i="12"/>
  <c r="CR399" i="12"/>
  <c r="CS399" i="12"/>
  <c r="CT399" i="12"/>
  <c r="CU399" i="12"/>
  <c r="CV399" i="12"/>
  <c r="CW399" i="12"/>
  <c r="CX399" i="12"/>
  <c r="CY399" i="12"/>
  <c r="CZ399" i="12"/>
  <c r="DA399" i="12"/>
  <c r="DB399" i="12"/>
  <c r="DV399" i="12"/>
  <c r="DW399" i="12"/>
  <c r="F400" i="12"/>
  <c r="G400" i="12"/>
  <c r="V400" i="12" s="1"/>
  <c r="BF400" i="12"/>
  <c r="BO400" i="12"/>
  <c r="CB400" i="12"/>
  <c r="CD400" i="12"/>
  <c r="CI400" i="12"/>
  <c r="CJ400" i="12"/>
  <c r="CK400" i="12"/>
  <c r="CL400" i="12"/>
  <c r="CM400" i="12"/>
  <c r="CN400" i="12"/>
  <c r="CO400" i="12"/>
  <c r="CP400" i="12"/>
  <c r="CQ400" i="12"/>
  <c r="CR400" i="12"/>
  <c r="CS400" i="12"/>
  <c r="CT400" i="12"/>
  <c r="CU400" i="12"/>
  <c r="CV400" i="12"/>
  <c r="CW400" i="12"/>
  <c r="CX400" i="12"/>
  <c r="CY400" i="12"/>
  <c r="CZ400" i="12"/>
  <c r="DA400" i="12"/>
  <c r="DB400" i="12"/>
  <c r="DV400" i="12"/>
  <c r="DW400" i="12"/>
  <c r="F401" i="12"/>
  <c r="G401" i="12"/>
  <c r="V401" i="12" s="1"/>
  <c r="BF401" i="12"/>
  <c r="BO401" i="12"/>
  <c r="CB401" i="12"/>
  <c r="CD401" i="12"/>
  <c r="CI401" i="12"/>
  <c r="CJ401" i="12"/>
  <c r="CK401" i="12"/>
  <c r="CL401" i="12"/>
  <c r="CM401" i="12"/>
  <c r="CN401" i="12"/>
  <c r="CO401" i="12"/>
  <c r="CP401" i="12"/>
  <c r="CQ401" i="12"/>
  <c r="CR401" i="12"/>
  <c r="CS401" i="12"/>
  <c r="CT401" i="12"/>
  <c r="CU401" i="12"/>
  <c r="CV401" i="12"/>
  <c r="CW401" i="12"/>
  <c r="CX401" i="12"/>
  <c r="CY401" i="12"/>
  <c r="CZ401" i="12"/>
  <c r="DA401" i="12"/>
  <c r="DB401" i="12"/>
  <c r="DV401" i="12"/>
  <c r="DW401" i="12"/>
  <c r="F402" i="12"/>
  <c r="G402" i="12"/>
  <c r="BF402" i="12"/>
  <c r="BO402" i="12"/>
  <c r="CB402" i="12"/>
  <c r="CD402" i="12"/>
  <c r="CI402" i="12"/>
  <c r="CJ402" i="12"/>
  <c r="CK402" i="12"/>
  <c r="CL402" i="12"/>
  <c r="CM402" i="12"/>
  <c r="CN402" i="12"/>
  <c r="CO402" i="12"/>
  <c r="CP402" i="12"/>
  <c r="CQ402" i="12"/>
  <c r="CR402" i="12"/>
  <c r="CS402" i="12"/>
  <c r="CT402" i="12"/>
  <c r="CU402" i="12"/>
  <c r="CV402" i="12"/>
  <c r="CW402" i="12"/>
  <c r="CX402" i="12"/>
  <c r="CY402" i="12"/>
  <c r="CZ402" i="12"/>
  <c r="DA402" i="12"/>
  <c r="DB402" i="12"/>
  <c r="DV402" i="12"/>
  <c r="DW402" i="12"/>
  <c r="F403" i="12"/>
  <c r="G403" i="12"/>
  <c r="BF403" i="12"/>
  <c r="BO403" i="12"/>
  <c r="CB403" i="12"/>
  <c r="CD403" i="12"/>
  <c r="CI403" i="12"/>
  <c r="CJ403" i="12"/>
  <c r="CK403" i="12"/>
  <c r="CL403" i="12"/>
  <c r="CM403" i="12"/>
  <c r="CN403" i="12"/>
  <c r="CO403" i="12"/>
  <c r="CP403" i="12"/>
  <c r="CQ403" i="12"/>
  <c r="CR403" i="12"/>
  <c r="CS403" i="12"/>
  <c r="CT403" i="12"/>
  <c r="CU403" i="12"/>
  <c r="CV403" i="12"/>
  <c r="CW403" i="12"/>
  <c r="CX403" i="12"/>
  <c r="CY403" i="12"/>
  <c r="CZ403" i="12"/>
  <c r="DA403" i="12"/>
  <c r="DB403" i="12"/>
  <c r="DV403" i="12"/>
  <c r="DW403" i="12"/>
  <c r="F404" i="12"/>
  <c r="G404" i="12"/>
  <c r="BF404" i="12"/>
  <c r="BO404" i="12"/>
  <c r="CB404" i="12"/>
  <c r="CD404" i="12"/>
  <c r="CI404" i="12"/>
  <c r="CJ404" i="12"/>
  <c r="CK404" i="12"/>
  <c r="CL404" i="12"/>
  <c r="CM404" i="12"/>
  <c r="CN404" i="12"/>
  <c r="CO404" i="12"/>
  <c r="CP404" i="12"/>
  <c r="CQ404" i="12"/>
  <c r="CR404" i="12"/>
  <c r="CS404" i="12"/>
  <c r="CT404" i="12"/>
  <c r="CU404" i="12"/>
  <c r="CV404" i="12"/>
  <c r="CW404" i="12"/>
  <c r="CX404" i="12"/>
  <c r="CY404" i="12"/>
  <c r="CZ404" i="12"/>
  <c r="DA404" i="12"/>
  <c r="DB404" i="12"/>
  <c r="DV404" i="12"/>
  <c r="DW404" i="12"/>
  <c r="F405" i="12"/>
  <c r="G405" i="12"/>
  <c r="AA405" i="12" s="1"/>
  <c r="BF405" i="12"/>
  <c r="BO405" i="12"/>
  <c r="CB405" i="12"/>
  <c r="CD405" i="12"/>
  <c r="CI405" i="12"/>
  <c r="CJ405" i="12"/>
  <c r="CK405" i="12"/>
  <c r="CL405" i="12"/>
  <c r="CM405" i="12"/>
  <c r="CN405" i="12"/>
  <c r="CO405" i="12"/>
  <c r="CP405" i="12"/>
  <c r="CQ405" i="12"/>
  <c r="CR405" i="12"/>
  <c r="CS405" i="12"/>
  <c r="CT405" i="12"/>
  <c r="CU405" i="12"/>
  <c r="CV405" i="12"/>
  <c r="CW405" i="12"/>
  <c r="CX405" i="12"/>
  <c r="CY405" i="12"/>
  <c r="CZ405" i="12"/>
  <c r="DA405" i="12"/>
  <c r="DB405" i="12"/>
  <c r="DV405" i="12"/>
  <c r="DW405" i="12"/>
  <c r="F406" i="12"/>
  <c r="G406" i="12"/>
  <c r="BF406" i="12"/>
  <c r="BO406" i="12"/>
  <c r="CB406" i="12"/>
  <c r="CD406" i="12"/>
  <c r="CI406" i="12"/>
  <c r="CJ406" i="12"/>
  <c r="CK406" i="12"/>
  <c r="CL406" i="12"/>
  <c r="CM406" i="12"/>
  <c r="CN406" i="12"/>
  <c r="CO406" i="12"/>
  <c r="CP406" i="12"/>
  <c r="CQ406" i="12"/>
  <c r="CR406" i="12"/>
  <c r="CS406" i="12"/>
  <c r="CT406" i="12"/>
  <c r="CU406" i="12"/>
  <c r="CV406" i="12"/>
  <c r="CW406" i="12"/>
  <c r="CX406" i="12"/>
  <c r="CY406" i="12"/>
  <c r="CZ406" i="12"/>
  <c r="DA406" i="12"/>
  <c r="DB406" i="12"/>
  <c r="DV406" i="12"/>
  <c r="DW406" i="12"/>
  <c r="F407" i="12"/>
  <c r="G407" i="12"/>
  <c r="AA407" i="12" s="1"/>
  <c r="BF407" i="12"/>
  <c r="BO407" i="12"/>
  <c r="CB407" i="12"/>
  <c r="CD407" i="12"/>
  <c r="CI407" i="12"/>
  <c r="CJ407" i="12"/>
  <c r="CK407" i="12"/>
  <c r="CL407" i="12"/>
  <c r="CM407" i="12"/>
  <c r="CN407" i="12"/>
  <c r="CO407" i="12"/>
  <c r="CP407" i="12"/>
  <c r="CQ407" i="12"/>
  <c r="CR407" i="12"/>
  <c r="CS407" i="12"/>
  <c r="CT407" i="12"/>
  <c r="CU407" i="12"/>
  <c r="CV407" i="12"/>
  <c r="CW407" i="12"/>
  <c r="CX407" i="12"/>
  <c r="CY407" i="12"/>
  <c r="CZ407" i="12"/>
  <c r="DA407" i="12"/>
  <c r="DB407" i="12"/>
  <c r="DV407" i="12"/>
  <c r="DW407" i="12"/>
  <c r="F408" i="12"/>
  <c r="G408" i="12"/>
  <c r="AA408" i="12" s="1"/>
  <c r="BF408" i="12"/>
  <c r="BO408" i="12"/>
  <c r="BS408" i="12"/>
  <c r="BT408" i="12"/>
  <c r="BU408" i="12"/>
  <c r="BV408" i="12"/>
  <c r="BW408" i="12"/>
  <c r="BX408" i="12"/>
  <c r="BY408" i="12"/>
  <c r="BZ408" i="12"/>
  <c r="CA408" i="12"/>
  <c r="CB408" i="12"/>
  <c r="CC408" i="12"/>
  <c r="CD408" i="12"/>
  <c r="CE408" i="12"/>
  <c r="CF408" i="12"/>
  <c r="CG408" i="12"/>
  <c r="CH408" i="12"/>
  <c r="CI408" i="12"/>
  <c r="CJ408" i="12"/>
  <c r="CK408" i="12"/>
  <c r="CL408" i="12"/>
  <c r="CM408" i="12"/>
  <c r="CN408" i="12"/>
  <c r="CO408" i="12"/>
  <c r="CP408" i="12"/>
  <c r="CQ408" i="12"/>
  <c r="CR408" i="12"/>
  <c r="CS408" i="12"/>
  <c r="CT408" i="12"/>
  <c r="CU408" i="12"/>
  <c r="CV408" i="12"/>
  <c r="CW408" i="12"/>
  <c r="CX408" i="12"/>
  <c r="CY408" i="12"/>
  <c r="CZ408" i="12"/>
  <c r="DA408" i="12"/>
  <c r="DB408" i="12"/>
  <c r="DM408" i="12"/>
  <c r="DV408" i="12"/>
  <c r="DW408" i="12"/>
  <c r="F409" i="12"/>
  <c r="G409" i="12"/>
  <c r="AA409" i="12" s="1"/>
  <c r="BF409" i="12"/>
  <c r="BO409" i="12"/>
  <c r="BS409" i="12"/>
  <c r="BT409" i="12"/>
  <c r="BU409" i="12"/>
  <c r="BV409" i="12"/>
  <c r="BW409" i="12"/>
  <c r="BX409" i="12"/>
  <c r="BY409" i="12"/>
  <c r="BZ409" i="12"/>
  <c r="CA409" i="12"/>
  <c r="CB409" i="12"/>
  <c r="CC409" i="12"/>
  <c r="CD409" i="12"/>
  <c r="CE409" i="12"/>
  <c r="CF409" i="12"/>
  <c r="CG409" i="12"/>
  <c r="CH409" i="12"/>
  <c r="CI409" i="12"/>
  <c r="CJ409" i="12"/>
  <c r="CK409" i="12"/>
  <c r="CL409" i="12"/>
  <c r="CM409" i="12"/>
  <c r="CN409" i="12"/>
  <c r="CO409" i="12"/>
  <c r="CP409" i="12"/>
  <c r="CQ409" i="12"/>
  <c r="CR409" i="12"/>
  <c r="CS409" i="12"/>
  <c r="CT409" i="12"/>
  <c r="CU409" i="12"/>
  <c r="CV409" i="12"/>
  <c r="CW409" i="12"/>
  <c r="CX409" i="12"/>
  <c r="CY409" i="12"/>
  <c r="CZ409" i="12"/>
  <c r="DA409" i="12"/>
  <c r="DB409" i="12"/>
  <c r="DK409" i="12"/>
  <c r="DO409" i="12"/>
  <c r="DV409" i="12"/>
  <c r="DW409" i="12"/>
  <c r="F410" i="12"/>
  <c r="G410" i="12"/>
  <c r="AA410" i="12" s="1"/>
  <c r="BF410" i="12"/>
  <c r="BO410" i="12"/>
  <c r="BS410" i="12"/>
  <c r="BT410" i="12"/>
  <c r="BU410" i="12"/>
  <c r="BV410" i="12"/>
  <c r="BW410" i="12"/>
  <c r="BX410" i="12"/>
  <c r="BY410" i="12"/>
  <c r="BZ410" i="12"/>
  <c r="CA410" i="12"/>
  <c r="CB410" i="12"/>
  <c r="CC410" i="12"/>
  <c r="CD410" i="12"/>
  <c r="CE410" i="12"/>
  <c r="CF410" i="12"/>
  <c r="CG410" i="12"/>
  <c r="CH410" i="12"/>
  <c r="CI410" i="12"/>
  <c r="CJ410" i="12"/>
  <c r="CK410" i="12"/>
  <c r="CL410" i="12"/>
  <c r="CM410" i="12"/>
  <c r="CN410" i="12"/>
  <c r="CO410" i="12"/>
  <c r="CP410" i="12"/>
  <c r="CQ410" i="12"/>
  <c r="CR410" i="12"/>
  <c r="CS410" i="12"/>
  <c r="CT410" i="12"/>
  <c r="CU410" i="12"/>
  <c r="CV410" i="12"/>
  <c r="CW410" i="12"/>
  <c r="CX410" i="12"/>
  <c r="CY410" i="12"/>
  <c r="CZ410" i="12"/>
  <c r="DA410" i="12"/>
  <c r="DB410" i="12"/>
  <c r="DV410" i="12"/>
  <c r="DW410" i="12"/>
  <c r="F411" i="12"/>
  <c r="G411" i="12"/>
  <c r="DO411" i="12" s="1"/>
  <c r="BF411" i="12"/>
  <c r="BO411" i="12"/>
  <c r="BS411" i="12"/>
  <c r="BT411" i="12"/>
  <c r="BU411" i="12"/>
  <c r="BV411" i="12"/>
  <c r="BW411" i="12"/>
  <c r="BX411" i="12"/>
  <c r="BY411" i="12"/>
  <c r="BZ411" i="12"/>
  <c r="CA411" i="12"/>
  <c r="CB411" i="12"/>
  <c r="CC411" i="12"/>
  <c r="CD411" i="12"/>
  <c r="CE411" i="12"/>
  <c r="CF411" i="12"/>
  <c r="CG411" i="12"/>
  <c r="CH411" i="12"/>
  <c r="CI411" i="12"/>
  <c r="CJ411" i="12"/>
  <c r="CK411" i="12"/>
  <c r="CL411" i="12"/>
  <c r="CM411" i="12"/>
  <c r="CN411" i="12"/>
  <c r="CO411" i="12"/>
  <c r="CP411" i="12"/>
  <c r="CQ411" i="12"/>
  <c r="CR411" i="12"/>
  <c r="CS411" i="12"/>
  <c r="CT411" i="12"/>
  <c r="CU411" i="12"/>
  <c r="CV411" i="12"/>
  <c r="CW411" i="12"/>
  <c r="CX411" i="12"/>
  <c r="CY411" i="12"/>
  <c r="CZ411" i="12"/>
  <c r="DA411" i="12"/>
  <c r="DB411" i="12"/>
  <c r="DV411" i="12"/>
  <c r="DW411" i="12"/>
  <c r="F412" i="12"/>
  <c r="G412" i="12"/>
  <c r="BF412" i="12"/>
  <c r="BO412" i="12"/>
  <c r="BS412" i="12"/>
  <c r="BT412" i="12"/>
  <c r="BU412" i="12"/>
  <c r="BV412" i="12"/>
  <c r="BW412" i="12"/>
  <c r="BX412" i="12"/>
  <c r="BY412" i="12"/>
  <c r="BZ412" i="12"/>
  <c r="CA412" i="12"/>
  <c r="CB412" i="12"/>
  <c r="CC412" i="12"/>
  <c r="CD412" i="12"/>
  <c r="CE412" i="12"/>
  <c r="CF412" i="12"/>
  <c r="CG412" i="12"/>
  <c r="CH412" i="12"/>
  <c r="CI412" i="12"/>
  <c r="CJ412" i="12"/>
  <c r="CK412" i="12"/>
  <c r="CL412" i="12"/>
  <c r="CM412" i="12"/>
  <c r="CN412" i="12"/>
  <c r="CO412" i="12"/>
  <c r="CP412" i="12"/>
  <c r="CQ412" i="12"/>
  <c r="CR412" i="12"/>
  <c r="CS412" i="12"/>
  <c r="CT412" i="12"/>
  <c r="CU412" i="12"/>
  <c r="CV412" i="12"/>
  <c r="CW412" i="12"/>
  <c r="CX412" i="12"/>
  <c r="CY412" i="12"/>
  <c r="CZ412" i="12"/>
  <c r="DA412" i="12"/>
  <c r="DB412" i="12"/>
  <c r="DG412" i="12"/>
  <c r="DO412" i="12"/>
  <c r="DV412" i="12"/>
  <c r="DW412" i="12"/>
  <c r="F413" i="12"/>
  <c r="G413" i="12"/>
  <c r="AA413" i="12" s="1"/>
  <c r="BF413" i="12"/>
  <c r="BO413" i="12"/>
  <c r="BS413" i="12"/>
  <c r="BT413" i="12"/>
  <c r="BU413" i="12"/>
  <c r="BV413" i="12"/>
  <c r="BW413" i="12"/>
  <c r="BX413" i="12"/>
  <c r="BY413" i="12"/>
  <c r="BZ413" i="12"/>
  <c r="CA413" i="12"/>
  <c r="CB413" i="12"/>
  <c r="CC413" i="12"/>
  <c r="CD413" i="12"/>
  <c r="CE413" i="12"/>
  <c r="CF413" i="12"/>
  <c r="CG413" i="12"/>
  <c r="CH413" i="12"/>
  <c r="CI413" i="12"/>
  <c r="CJ413" i="12"/>
  <c r="CK413" i="12"/>
  <c r="CL413" i="12"/>
  <c r="CM413" i="12"/>
  <c r="CN413" i="12"/>
  <c r="CO413" i="12"/>
  <c r="CP413" i="12"/>
  <c r="CQ413" i="12"/>
  <c r="CR413" i="12"/>
  <c r="CS413" i="12"/>
  <c r="CT413" i="12"/>
  <c r="CU413" i="12"/>
  <c r="CV413" i="12"/>
  <c r="CW413" i="12"/>
  <c r="CX413" i="12"/>
  <c r="CY413" i="12"/>
  <c r="CZ413" i="12"/>
  <c r="DA413" i="12"/>
  <c r="DB413" i="12"/>
  <c r="DK413" i="12"/>
  <c r="DO413" i="12"/>
  <c r="DV413" i="12"/>
  <c r="DW413" i="12"/>
  <c r="F414" i="12"/>
  <c r="G414" i="12"/>
  <c r="AA414" i="12" s="1"/>
  <c r="BF414" i="12"/>
  <c r="BO414" i="12"/>
  <c r="BS414" i="12"/>
  <c r="BT414" i="12"/>
  <c r="BU414" i="12"/>
  <c r="BV414" i="12"/>
  <c r="BW414" i="12"/>
  <c r="BX414" i="12"/>
  <c r="BY414" i="12"/>
  <c r="BZ414" i="12"/>
  <c r="CA414" i="12"/>
  <c r="CB414" i="12"/>
  <c r="CC414" i="12"/>
  <c r="CD414" i="12"/>
  <c r="CE414" i="12"/>
  <c r="CF414" i="12"/>
  <c r="CG414" i="12"/>
  <c r="CH414" i="12"/>
  <c r="CI414" i="12"/>
  <c r="CJ414" i="12"/>
  <c r="CK414" i="12"/>
  <c r="CL414" i="12"/>
  <c r="CM414" i="12"/>
  <c r="CN414" i="12"/>
  <c r="CO414" i="12"/>
  <c r="CP414" i="12"/>
  <c r="CQ414" i="12"/>
  <c r="CR414" i="12"/>
  <c r="CS414" i="12"/>
  <c r="CT414" i="12"/>
  <c r="CU414" i="12"/>
  <c r="CV414" i="12"/>
  <c r="CW414" i="12"/>
  <c r="CX414" i="12"/>
  <c r="CY414" i="12"/>
  <c r="CZ414" i="12"/>
  <c r="DA414" i="12"/>
  <c r="DB414" i="12"/>
  <c r="DH414" i="12"/>
  <c r="DL414" i="12"/>
  <c r="DV414" i="12"/>
  <c r="DW414" i="12"/>
  <c r="EL414" i="12"/>
  <c r="F415" i="12"/>
  <c r="G415" i="12"/>
  <c r="AA415" i="12" s="1"/>
  <c r="BF415" i="12"/>
  <c r="BO415" i="12"/>
  <c r="BS415" i="12"/>
  <c r="BT415" i="12"/>
  <c r="BU415" i="12"/>
  <c r="BV415" i="12"/>
  <c r="BW415" i="12"/>
  <c r="BX415" i="12"/>
  <c r="BY415" i="12"/>
  <c r="BZ415" i="12"/>
  <c r="CA415" i="12"/>
  <c r="CB415" i="12"/>
  <c r="CC415" i="12"/>
  <c r="CD415" i="12"/>
  <c r="CE415" i="12"/>
  <c r="CF415" i="12"/>
  <c r="CG415" i="12"/>
  <c r="CH415" i="12"/>
  <c r="CI415" i="12"/>
  <c r="CJ415" i="12"/>
  <c r="CK415" i="12"/>
  <c r="CL415" i="12"/>
  <c r="CM415" i="12"/>
  <c r="CN415" i="12"/>
  <c r="CO415" i="12"/>
  <c r="CP415" i="12"/>
  <c r="CQ415" i="12"/>
  <c r="CR415" i="12"/>
  <c r="CS415" i="12"/>
  <c r="CT415" i="12"/>
  <c r="CU415" i="12"/>
  <c r="CV415" i="12"/>
  <c r="CW415" i="12"/>
  <c r="CX415" i="12"/>
  <c r="CY415" i="12"/>
  <c r="CZ415" i="12"/>
  <c r="DA415" i="12"/>
  <c r="DB415" i="12"/>
  <c r="DV415" i="12"/>
  <c r="DW415" i="12"/>
  <c r="F416" i="12"/>
  <c r="G416" i="12"/>
  <c r="AA416" i="12" s="1"/>
  <c r="BF416" i="12"/>
  <c r="BO416" i="12"/>
  <c r="BS416" i="12"/>
  <c r="BT416" i="12"/>
  <c r="BU416" i="12"/>
  <c r="BV416" i="12"/>
  <c r="BW416" i="12"/>
  <c r="BX416" i="12"/>
  <c r="BY416" i="12"/>
  <c r="BZ416" i="12"/>
  <c r="CA416" i="12"/>
  <c r="CB416" i="12"/>
  <c r="CC416" i="12"/>
  <c r="CD416" i="12"/>
  <c r="CE416" i="12"/>
  <c r="CF416" i="12"/>
  <c r="CG416" i="12"/>
  <c r="CH416" i="12"/>
  <c r="CI416" i="12"/>
  <c r="CJ416" i="12"/>
  <c r="CK416" i="12"/>
  <c r="CL416" i="12"/>
  <c r="CM416" i="12"/>
  <c r="CN416" i="12"/>
  <c r="CO416" i="12"/>
  <c r="CP416" i="12"/>
  <c r="CQ416" i="12"/>
  <c r="CR416" i="12"/>
  <c r="CS416" i="12"/>
  <c r="CT416" i="12"/>
  <c r="CU416" i="12"/>
  <c r="CV416" i="12"/>
  <c r="CW416" i="12"/>
  <c r="CX416" i="12"/>
  <c r="CY416" i="12"/>
  <c r="CZ416" i="12"/>
  <c r="DA416" i="12"/>
  <c r="DB416" i="12"/>
  <c r="DI416" i="12"/>
  <c r="DV416" i="12"/>
  <c r="DW416" i="12"/>
  <c r="F417" i="12"/>
  <c r="G417" i="12"/>
  <c r="BF417" i="12"/>
  <c r="BO417" i="12"/>
  <c r="BS417" i="12"/>
  <c r="BT417" i="12"/>
  <c r="BU417" i="12"/>
  <c r="BV417" i="12"/>
  <c r="BW417" i="12"/>
  <c r="BX417" i="12"/>
  <c r="BY417" i="12"/>
  <c r="BZ417" i="12"/>
  <c r="CA417" i="12"/>
  <c r="CB417" i="12"/>
  <c r="CC417" i="12"/>
  <c r="CD417" i="12"/>
  <c r="CE417" i="12"/>
  <c r="CF417" i="12"/>
  <c r="CG417" i="12"/>
  <c r="CH417" i="12"/>
  <c r="CI417" i="12"/>
  <c r="CJ417" i="12"/>
  <c r="CK417" i="12"/>
  <c r="CL417" i="12"/>
  <c r="CM417" i="12"/>
  <c r="CN417" i="12"/>
  <c r="CO417" i="12"/>
  <c r="CP417" i="12"/>
  <c r="CQ417" i="12"/>
  <c r="CR417" i="12"/>
  <c r="CS417" i="12"/>
  <c r="CT417" i="12"/>
  <c r="CU417" i="12"/>
  <c r="CV417" i="12"/>
  <c r="CW417" i="12"/>
  <c r="CX417" i="12"/>
  <c r="CY417" i="12"/>
  <c r="CZ417" i="12"/>
  <c r="DA417" i="12"/>
  <c r="DB417" i="12"/>
  <c r="DV417" i="12"/>
  <c r="DW417" i="12"/>
  <c r="F418" i="12"/>
  <c r="G418" i="12"/>
  <c r="AA418" i="12" s="1"/>
  <c r="BF418" i="12"/>
  <c r="BO418" i="12"/>
  <c r="BS418" i="12"/>
  <c r="BT418" i="12"/>
  <c r="BU418" i="12"/>
  <c r="BV418" i="12"/>
  <c r="BW418" i="12"/>
  <c r="BX418" i="12"/>
  <c r="BY418" i="12"/>
  <c r="BZ418" i="12"/>
  <c r="CA418" i="12"/>
  <c r="CB418" i="12"/>
  <c r="CC418" i="12"/>
  <c r="CD418" i="12"/>
  <c r="CE418" i="12"/>
  <c r="CF418" i="12"/>
  <c r="CG418" i="12"/>
  <c r="CH418" i="12"/>
  <c r="CI418" i="12"/>
  <c r="CJ418" i="12"/>
  <c r="CK418" i="12"/>
  <c r="CL418" i="12"/>
  <c r="CM418" i="12"/>
  <c r="CN418" i="12"/>
  <c r="CO418" i="12"/>
  <c r="CP418" i="12"/>
  <c r="CQ418" i="12"/>
  <c r="CR418" i="12"/>
  <c r="CS418" i="12"/>
  <c r="CT418" i="12"/>
  <c r="CU418" i="12"/>
  <c r="CV418" i="12"/>
  <c r="CW418" i="12"/>
  <c r="CX418" i="12"/>
  <c r="CY418" i="12"/>
  <c r="CZ418" i="12"/>
  <c r="DA418" i="12"/>
  <c r="DB418" i="12"/>
  <c r="DH418" i="12"/>
  <c r="DJ418" i="12"/>
  <c r="DP418" i="12"/>
  <c r="DV418" i="12"/>
  <c r="DW418" i="12"/>
  <c r="F419" i="12"/>
  <c r="G419" i="12"/>
  <c r="AA419" i="12" s="1"/>
  <c r="BF419" i="12"/>
  <c r="BO419" i="12"/>
  <c r="BS419" i="12"/>
  <c r="BT419" i="12"/>
  <c r="BU419" i="12"/>
  <c r="BV419" i="12"/>
  <c r="BW419" i="12"/>
  <c r="BX419" i="12"/>
  <c r="BY419" i="12"/>
  <c r="BZ419" i="12"/>
  <c r="CA419" i="12"/>
  <c r="CB419" i="12"/>
  <c r="CC419" i="12"/>
  <c r="CD419" i="12"/>
  <c r="CE419" i="12"/>
  <c r="CF419" i="12"/>
  <c r="CG419" i="12"/>
  <c r="CH419" i="12"/>
  <c r="CI419" i="12"/>
  <c r="CJ419" i="12"/>
  <c r="CK419" i="12"/>
  <c r="CL419" i="12"/>
  <c r="CM419" i="12"/>
  <c r="CN419" i="12"/>
  <c r="CO419" i="12"/>
  <c r="CP419" i="12"/>
  <c r="CQ419" i="12"/>
  <c r="CR419" i="12"/>
  <c r="CS419" i="12"/>
  <c r="CT419" i="12"/>
  <c r="CU419" i="12"/>
  <c r="CV419" i="12"/>
  <c r="CW419" i="12"/>
  <c r="CX419" i="12"/>
  <c r="CY419" i="12"/>
  <c r="CZ419" i="12"/>
  <c r="DA419" i="12"/>
  <c r="DB419" i="12"/>
  <c r="DK419" i="12"/>
  <c r="DV419" i="12"/>
  <c r="DW419" i="12"/>
  <c r="F420" i="12"/>
  <c r="G420" i="12"/>
  <c r="AA420" i="12" s="1"/>
  <c r="BF420" i="12"/>
  <c r="BO420" i="12"/>
  <c r="BS420" i="12"/>
  <c r="BT420" i="12"/>
  <c r="BU420" i="12"/>
  <c r="BV420" i="12"/>
  <c r="BW420" i="12"/>
  <c r="BX420" i="12"/>
  <c r="BY420" i="12"/>
  <c r="BZ420" i="12"/>
  <c r="CA420" i="12"/>
  <c r="CB420" i="12"/>
  <c r="CC420" i="12"/>
  <c r="CD420" i="12"/>
  <c r="CE420" i="12"/>
  <c r="CF420" i="12"/>
  <c r="CG420" i="12"/>
  <c r="CH420" i="12"/>
  <c r="CI420" i="12"/>
  <c r="CJ420" i="12"/>
  <c r="CK420" i="12"/>
  <c r="CL420" i="12"/>
  <c r="CM420" i="12"/>
  <c r="CN420" i="12"/>
  <c r="CO420" i="12"/>
  <c r="CP420" i="12"/>
  <c r="CQ420" i="12"/>
  <c r="CR420" i="12"/>
  <c r="CS420" i="12"/>
  <c r="CT420" i="12"/>
  <c r="CU420" i="12"/>
  <c r="CV420" i="12"/>
  <c r="CW420" i="12"/>
  <c r="CX420" i="12"/>
  <c r="CY420" i="12"/>
  <c r="CZ420" i="12"/>
  <c r="DA420" i="12"/>
  <c r="DB420" i="12"/>
  <c r="DK420" i="12"/>
  <c r="DL420" i="12"/>
  <c r="DV420" i="12"/>
  <c r="DW420" i="12"/>
  <c r="EL420" i="12"/>
  <c r="F421" i="12"/>
  <c r="G421" i="12"/>
  <c r="AA421" i="12" s="1"/>
  <c r="BF421" i="12"/>
  <c r="BO421" i="12"/>
  <c r="BS421" i="12"/>
  <c r="BT421" i="12"/>
  <c r="BU421" i="12"/>
  <c r="BV421" i="12"/>
  <c r="BW421" i="12"/>
  <c r="BX421" i="12"/>
  <c r="BY421" i="12"/>
  <c r="BZ421" i="12"/>
  <c r="CA421" i="12"/>
  <c r="CB421" i="12"/>
  <c r="CC421" i="12"/>
  <c r="CD421" i="12"/>
  <c r="CE421" i="12"/>
  <c r="CF421" i="12"/>
  <c r="CG421" i="12"/>
  <c r="CH421" i="12"/>
  <c r="CI421" i="12"/>
  <c r="CJ421" i="12"/>
  <c r="CK421" i="12"/>
  <c r="CL421" i="12"/>
  <c r="CM421" i="12"/>
  <c r="CN421" i="12"/>
  <c r="CO421" i="12"/>
  <c r="CP421" i="12"/>
  <c r="CQ421" i="12"/>
  <c r="CR421" i="12"/>
  <c r="CS421" i="12"/>
  <c r="CT421" i="12"/>
  <c r="CU421" i="12"/>
  <c r="CV421" i="12"/>
  <c r="CW421" i="12"/>
  <c r="CX421" i="12"/>
  <c r="CY421" i="12"/>
  <c r="CZ421" i="12"/>
  <c r="DA421" i="12"/>
  <c r="DB421" i="12"/>
  <c r="DV421" i="12"/>
  <c r="DW421" i="12"/>
  <c r="F422" i="12"/>
  <c r="G422" i="12"/>
  <c r="BF422" i="12"/>
  <c r="BO422" i="12"/>
  <c r="BS422" i="12"/>
  <c r="BT422" i="12"/>
  <c r="BU422" i="12"/>
  <c r="BV422" i="12"/>
  <c r="BW422" i="12"/>
  <c r="BX422" i="12"/>
  <c r="BY422" i="12"/>
  <c r="BZ422" i="12"/>
  <c r="CA422" i="12"/>
  <c r="CB422" i="12"/>
  <c r="CC422" i="12"/>
  <c r="CD422" i="12"/>
  <c r="CE422" i="12"/>
  <c r="CF422" i="12"/>
  <c r="CG422" i="12"/>
  <c r="CH422" i="12"/>
  <c r="CI422" i="12"/>
  <c r="CJ422" i="12"/>
  <c r="CK422" i="12"/>
  <c r="CL422" i="12"/>
  <c r="CM422" i="12"/>
  <c r="CN422" i="12"/>
  <c r="CO422" i="12"/>
  <c r="CP422" i="12"/>
  <c r="CQ422" i="12"/>
  <c r="CR422" i="12"/>
  <c r="CS422" i="12"/>
  <c r="CT422" i="12"/>
  <c r="CU422" i="12"/>
  <c r="CV422" i="12"/>
  <c r="CW422" i="12"/>
  <c r="CX422" i="12"/>
  <c r="CY422" i="12"/>
  <c r="CZ422" i="12"/>
  <c r="DA422" i="12"/>
  <c r="DB422" i="12"/>
  <c r="DV422" i="12"/>
  <c r="DW422" i="12"/>
  <c r="F423" i="12"/>
  <c r="G423" i="12"/>
  <c r="AA423" i="12" s="1"/>
  <c r="BF423" i="12"/>
  <c r="BO423" i="12"/>
  <c r="BS423" i="12"/>
  <c r="BT423" i="12"/>
  <c r="BU423" i="12"/>
  <c r="BV423" i="12"/>
  <c r="BW423" i="12"/>
  <c r="BX423" i="12"/>
  <c r="BY423" i="12"/>
  <c r="BZ423" i="12"/>
  <c r="CA423" i="12"/>
  <c r="CB423" i="12"/>
  <c r="CC423" i="12"/>
  <c r="CD423" i="12"/>
  <c r="CE423" i="12"/>
  <c r="CF423" i="12"/>
  <c r="CG423" i="12"/>
  <c r="CH423" i="12"/>
  <c r="CI423" i="12"/>
  <c r="CJ423" i="12"/>
  <c r="CK423" i="12"/>
  <c r="CL423" i="12"/>
  <c r="CM423" i="12"/>
  <c r="CN423" i="12"/>
  <c r="CO423" i="12"/>
  <c r="CP423" i="12"/>
  <c r="CQ423" i="12"/>
  <c r="CR423" i="12"/>
  <c r="CS423" i="12"/>
  <c r="CT423" i="12"/>
  <c r="CU423" i="12"/>
  <c r="CV423" i="12"/>
  <c r="CW423" i="12"/>
  <c r="CX423" i="12"/>
  <c r="CY423" i="12"/>
  <c r="CZ423" i="12"/>
  <c r="DA423" i="12"/>
  <c r="DB423" i="12"/>
  <c r="DH423" i="12"/>
  <c r="DL423" i="12"/>
  <c r="DV423" i="12"/>
  <c r="DW423" i="12"/>
  <c r="F424" i="12"/>
  <c r="G424" i="12"/>
  <c r="AA424" i="12" s="1"/>
  <c r="T424" i="12"/>
  <c r="BF424" i="12"/>
  <c r="BL424" i="12"/>
  <c r="F424" i="13" s="1"/>
  <c r="BO424" i="12"/>
  <c r="BS424" i="12"/>
  <c r="BT424" i="12"/>
  <c r="BU424" i="12"/>
  <c r="BV424" i="12"/>
  <c r="BW424" i="12"/>
  <c r="BX424" i="12"/>
  <c r="BY424" i="12"/>
  <c r="BZ424" i="12"/>
  <c r="CA424" i="12"/>
  <c r="CB424" i="12"/>
  <c r="CC424" i="12"/>
  <c r="CD424" i="12"/>
  <c r="CE424" i="12"/>
  <c r="CF424" i="12"/>
  <c r="CG424" i="12"/>
  <c r="CH424" i="12"/>
  <c r="CI424" i="12"/>
  <c r="CJ424" i="12"/>
  <c r="CK424" i="12"/>
  <c r="CL424" i="12"/>
  <c r="CM424" i="12"/>
  <c r="CN424" i="12"/>
  <c r="CO424" i="12"/>
  <c r="CP424" i="12"/>
  <c r="CQ424" i="12"/>
  <c r="CR424" i="12"/>
  <c r="CS424" i="12"/>
  <c r="CT424" i="12"/>
  <c r="CU424" i="12"/>
  <c r="CV424" i="12"/>
  <c r="CW424" i="12"/>
  <c r="CX424" i="12"/>
  <c r="CY424" i="12"/>
  <c r="CZ424" i="12"/>
  <c r="DA424" i="12"/>
  <c r="DB424" i="12"/>
  <c r="DJ424" i="12"/>
  <c r="DK424" i="12"/>
  <c r="DO424" i="12"/>
  <c r="DV424" i="12"/>
  <c r="DW424" i="12"/>
  <c r="F425" i="12"/>
  <c r="G425" i="12"/>
  <c r="AA425" i="12" s="1"/>
  <c r="BF425" i="12"/>
  <c r="BO425" i="12"/>
  <c r="BS425" i="12"/>
  <c r="BT425" i="12"/>
  <c r="BU425" i="12"/>
  <c r="BV425" i="12"/>
  <c r="BW425" i="12"/>
  <c r="BX425" i="12"/>
  <c r="BY425" i="12"/>
  <c r="BZ425" i="12"/>
  <c r="CA425" i="12"/>
  <c r="CB425" i="12"/>
  <c r="CC425" i="12"/>
  <c r="CD425" i="12"/>
  <c r="CE425" i="12"/>
  <c r="CF425" i="12"/>
  <c r="CG425" i="12"/>
  <c r="CH425" i="12"/>
  <c r="CI425" i="12"/>
  <c r="CJ425" i="12"/>
  <c r="CK425" i="12"/>
  <c r="CL425" i="12"/>
  <c r="CM425" i="12"/>
  <c r="CN425" i="12"/>
  <c r="CO425" i="12"/>
  <c r="CP425" i="12"/>
  <c r="CQ425" i="12"/>
  <c r="CR425" i="12"/>
  <c r="CS425" i="12"/>
  <c r="CT425" i="12"/>
  <c r="CU425" i="12"/>
  <c r="CV425" i="12"/>
  <c r="CW425" i="12"/>
  <c r="CX425" i="12"/>
  <c r="CY425" i="12"/>
  <c r="CZ425" i="12"/>
  <c r="DA425" i="12"/>
  <c r="DB425" i="12"/>
  <c r="DV425" i="12"/>
  <c r="DW425" i="12"/>
  <c r="F426" i="12"/>
  <c r="G426" i="12"/>
  <c r="AA426" i="12" s="1"/>
  <c r="BF426" i="12"/>
  <c r="BO426" i="12"/>
  <c r="BS426" i="12"/>
  <c r="BT426" i="12"/>
  <c r="BU426" i="12"/>
  <c r="BV426" i="12"/>
  <c r="BW426" i="12"/>
  <c r="BX426" i="12"/>
  <c r="BY426" i="12"/>
  <c r="BZ426" i="12"/>
  <c r="CA426" i="12"/>
  <c r="CB426" i="12"/>
  <c r="CC426" i="12"/>
  <c r="CD426" i="12"/>
  <c r="CE426" i="12"/>
  <c r="CF426" i="12"/>
  <c r="CG426" i="12"/>
  <c r="CH426" i="12"/>
  <c r="CI426" i="12"/>
  <c r="CJ426" i="12"/>
  <c r="CK426" i="12"/>
  <c r="CL426" i="12"/>
  <c r="CM426" i="12"/>
  <c r="CN426" i="12"/>
  <c r="CO426" i="12"/>
  <c r="CP426" i="12"/>
  <c r="CQ426" i="12"/>
  <c r="CR426" i="12"/>
  <c r="CS426" i="12"/>
  <c r="CT426" i="12"/>
  <c r="CU426" i="12"/>
  <c r="CV426" i="12"/>
  <c r="CW426" i="12"/>
  <c r="CX426" i="12"/>
  <c r="CY426" i="12"/>
  <c r="CZ426" i="12"/>
  <c r="DA426" i="12"/>
  <c r="DB426" i="12"/>
  <c r="DV426" i="12"/>
  <c r="DW426" i="12"/>
  <c r="F427" i="12"/>
  <c r="G427" i="12"/>
  <c r="AA427" i="12" s="1"/>
  <c r="BF427" i="12"/>
  <c r="BO427" i="12"/>
  <c r="BS427" i="12"/>
  <c r="BT427" i="12"/>
  <c r="BU427" i="12"/>
  <c r="BV427" i="12"/>
  <c r="BW427" i="12"/>
  <c r="BX427" i="12"/>
  <c r="BY427" i="12"/>
  <c r="BZ427" i="12"/>
  <c r="CA427" i="12"/>
  <c r="CB427" i="12"/>
  <c r="CC427" i="12"/>
  <c r="CD427" i="12"/>
  <c r="CE427" i="12"/>
  <c r="CF427" i="12"/>
  <c r="CG427" i="12"/>
  <c r="CH427" i="12"/>
  <c r="CI427" i="12"/>
  <c r="CJ427" i="12"/>
  <c r="CK427" i="12"/>
  <c r="CL427" i="12"/>
  <c r="CM427" i="12"/>
  <c r="CN427" i="12"/>
  <c r="CO427" i="12"/>
  <c r="CP427" i="12"/>
  <c r="CQ427" i="12"/>
  <c r="CR427" i="12"/>
  <c r="CS427" i="12"/>
  <c r="CT427" i="12"/>
  <c r="CU427" i="12"/>
  <c r="CV427" i="12"/>
  <c r="CW427" i="12"/>
  <c r="CX427" i="12"/>
  <c r="CY427" i="12"/>
  <c r="CZ427" i="12"/>
  <c r="DA427" i="12"/>
  <c r="DB427" i="12"/>
  <c r="DK427" i="12"/>
  <c r="DN427" i="12"/>
  <c r="DV427" i="12"/>
  <c r="DW427" i="12"/>
  <c r="F428" i="12"/>
  <c r="G428" i="12"/>
  <c r="AA428" i="12" s="1"/>
  <c r="BF428" i="12"/>
  <c r="BO428" i="12"/>
  <c r="BS428" i="12"/>
  <c r="BT428" i="12"/>
  <c r="BU428" i="12"/>
  <c r="BV428" i="12"/>
  <c r="BW428" i="12"/>
  <c r="BX428" i="12"/>
  <c r="BY428" i="12"/>
  <c r="BZ428" i="12"/>
  <c r="CA428" i="12"/>
  <c r="CB428" i="12"/>
  <c r="CC428" i="12"/>
  <c r="CD428" i="12"/>
  <c r="CE428" i="12"/>
  <c r="CF428" i="12"/>
  <c r="CG428" i="12"/>
  <c r="CH428" i="12"/>
  <c r="CI428" i="12"/>
  <c r="CJ428" i="12"/>
  <c r="CK428" i="12"/>
  <c r="CL428" i="12"/>
  <c r="CM428" i="12"/>
  <c r="CN428" i="12"/>
  <c r="CO428" i="12"/>
  <c r="CP428" i="12"/>
  <c r="CQ428" i="12"/>
  <c r="CR428" i="12"/>
  <c r="CS428" i="12"/>
  <c r="CT428" i="12"/>
  <c r="CU428" i="12"/>
  <c r="CV428" i="12"/>
  <c r="CW428" i="12"/>
  <c r="CX428" i="12"/>
  <c r="CY428" i="12"/>
  <c r="CZ428" i="12"/>
  <c r="DA428" i="12"/>
  <c r="DB428" i="12"/>
  <c r="DG428" i="12"/>
  <c r="DO428" i="12"/>
  <c r="DV428" i="12"/>
  <c r="DW428" i="12"/>
  <c r="F429" i="12"/>
  <c r="G429" i="12"/>
  <c r="BF429" i="12"/>
  <c r="BO429" i="12"/>
  <c r="BS429" i="12"/>
  <c r="BT429" i="12"/>
  <c r="BU429" i="12"/>
  <c r="BV429" i="12"/>
  <c r="BW429" i="12"/>
  <c r="BX429" i="12"/>
  <c r="BY429" i="12"/>
  <c r="BZ429" i="12"/>
  <c r="CA429" i="12"/>
  <c r="CB429" i="12"/>
  <c r="CC429" i="12"/>
  <c r="CD429" i="12"/>
  <c r="CE429" i="12"/>
  <c r="CF429" i="12"/>
  <c r="CG429" i="12"/>
  <c r="CH429" i="12"/>
  <c r="CI429" i="12"/>
  <c r="CJ429" i="12"/>
  <c r="CK429" i="12"/>
  <c r="CL429" i="12"/>
  <c r="CM429" i="12"/>
  <c r="CN429" i="12"/>
  <c r="CO429" i="12"/>
  <c r="CP429" i="12"/>
  <c r="CQ429" i="12"/>
  <c r="CR429" i="12"/>
  <c r="CS429" i="12"/>
  <c r="CT429" i="12"/>
  <c r="CU429" i="12"/>
  <c r="CV429" i="12"/>
  <c r="CW429" i="12"/>
  <c r="CX429" i="12"/>
  <c r="CY429" i="12"/>
  <c r="CZ429" i="12"/>
  <c r="DA429" i="12"/>
  <c r="DB429" i="12"/>
  <c r="DH429" i="12"/>
  <c r="DV429" i="12"/>
  <c r="DW429" i="12"/>
  <c r="F430" i="12"/>
  <c r="G430" i="12"/>
  <c r="DJ430" i="12" s="1"/>
  <c r="BF430" i="12"/>
  <c r="BO430" i="12"/>
  <c r="BS430" i="12"/>
  <c r="BT430" i="12"/>
  <c r="BU430" i="12"/>
  <c r="BV430" i="12"/>
  <c r="BW430" i="12"/>
  <c r="BX430" i="12"/>
  <c r="BY430" i="12"/>
  <c r="BZ430" i="12"/>
  <c r="CA430" i="12"/>
  <c r="CB430" i="12"/>
  <c r="CC430" i="12"/>
  <c r="CD430" i="12"/>
  <c r="CE430" i="12"/>
  <c r="CF430" i="12"/>
  <c r="CG430" i="12"/>
  <c r="CH430" i="12"/>
  <c r="CI430" i="12"/>
  <c r="CJ430" i="12"/>
  <c r="CK430" i="12"/>
  <c r="CL430" i="12"/>
  <c r="CM430" i="12"/>
  <c r="CN430" i="12"/>
  <c r="CO430" i="12"/>
  <c r="CP430" i="12"/>
  <c r="CQ430" i="12"/>
  <c r="CR430" i="12"/>
  <c r="CS430" i="12"/>
  <c r="CT430" i="12"/>
  <c r="CU430" i="12"/>
  <c r="CV430" i="12"/>
  <c r="CW430" i="12"/>
  <c r="CX430" i="12"/>
  <c r="CY430" i="12"/>
  <c r="CZ430" i="12"/>
  <c r="DA430" i="12"/>
  <c r="DB430" i="12"/>
  <c r="DV430" i="12"/>
  <c r="DW430" i="12"/>
  <c r="F431" i="12"/>
  <c r="G431" i="12"/>
  <c r="AA431" i="12" s="1"/>
  <c r="BF431" i="12"/>
  <c r="BO431" i="12"/>
  <c r="BS431" i="12"/>
  <c r="BT431" i="12"/>
  <c r="BU431" i="12"/>
  <c r="BV431" i="12"/>
  <c r="BW431" i="12"/>
  <c r="BX431" i="12"/>
  <c r="BY431" i="12"/>
  <c r="BZ431" i="12"/>
  <c r="CA431" i="12"/>
  <c r="CB431" i="12"/>
  <c r="CC431" i="12"/>
  <c r="CD431" i="12"/>
  <c r="CE431" i="12"/>
  <c r="CF431" i="12"/>
  <c r="CG431" i="12"/>
  <c r="CH431" i="12"/>
  <c r="CI431" i="12"/>
  <c r="CJ431" i="12"/>
  <c r="CK431" i="12"/>
  <c r="CL431" i="12"/>
  <c r="CM431" i="12"/>
  <c r="CN431" i="12"/>
  <c r="CO431" i="12"/>
  <c r="CP431" i="12"/>
  <c r="CQ431" i="12"/>
  <c r="CR431" i="12"/>
  <c r="CS431" i="12"/>
  <c r="CT431" i="12"/>
  <c r="CU431" i="12"/>
  <c r="CV431" i="12"/>
  <c r="CW431" i="12"/>
  <c r="CX431" i="12"/>
  <c r="CY431" i="12"/>
  <c r="CZ431" i="12"/>
  <c r="DA431" i="12"/>
  <c r="DB431" i="12"/>
  <c r="DM431" i="12"/>
  <c r="DV431" i="12"/>
  <c r="DW431" i="12"/>
  <c r="F432" i="12"/>
  <c r="G432" i="12"/>
  <c r="BF432" i="12"/>
  <c r="BO432" i="12"/>
  <c r="BS432" i="12"/>
  <c r="BT432" i="12"/>
  <c r="BU432" i="12"/>
  <c r="BV432" i="12"/>
  <c r="BW432" i="12"/>
  <c r="BX432" i="12"/>
  <c r="BY432" i="12"/>
  <c r="BZ432" i="12"/>
  <c r="CA432" i="12"/>
  <c r="CB432" i="12"/>
  <c r="CC432" i="12"/>
  <c r="CD432" i="12"/>
  <c r="CE432" i="12"/>
  <c r="CF432" i="12"/>
  <c r="CG432" i="12"/>
  <c r="CH432" i="12"/>
  <c r="CI432" i="12"/>
  <c r="CJ432" i="12"/>
  <c r="CK432" i="12"/>
  <c r="CL432" i="12"/>
  <c r="CM432" i="12"/>
  <c r="CN432" i="12"/>
  <c r="CO432" i="12"/>
  <c r="CP432" i="12"/>
  <c r="CQ432" i="12"/>
  <c r="CR432" i="12"/>
  <c r="CS432" i="12"/>
  <c r="CT432" i="12"/>
  <c r="CU432" i="12"/>
  <c r="CV432" i="12"/>
  <c r="CW432" i="12"/>
  <c r="CX432" i="12"/>
  <c r="CY432" i="12"/>
  <c r="CZ432" i="12"/>
  <c r="DA432" i="12"/>
  <c r="DB432" i="12"/>
  <c r="DV432" i="12"/>
  <c r="DW432" i="12"/>
  <c r="F433" i="12"/>
  <c r="G433" i="12"/>
  <c r="T433" i="12" s="1"/>
  <c r="BF433" i="12"/>
  <c r="BO433" i="12"/>
  <c r="BS433" i="12"/>
  <c r="BT433" i="12"/>
  <c r="BU433" i="12"/>
  <c r="BV433" i="12"/>
  <c r="BW433" i="12"/>
  <c r="BX433" i="12"/>
  <c r="BY433" i="12"/>
  <c r="BZ433" i="12"/>
  <c r="CA433" i="12"/>
  <c r="CB433" i="12"/>
  <c r="CC433" i="12"/>
  <c r="CD433" i="12"/>
  <c r="CE433" i="12"/>
  <c r="CF433" i="12"/>
  <c r="CG433" i="12"/>
  <c r="CH433" i="12"/>
  <c r="CI433" i="12"/>
  <c r="CJ433" i="12"/>
  <c r="CK433" i="12"/>
  <c r="CL433" i="12"/>
  <c r="CM433" i="12"/>
  <c r="CN433" i="12"/>
  <c r="CO433" i="12"/>
  <c r="CP433" i="12"/>
  <c r="CQ433" i="12"/>
  <c r="CR433" i="12"/>
  <c r="CS433" i="12"/>
  <c r="CT433" i="12"/>
  <c r="CU433" i="12"/>
  <c r="CV433" i="12"/>
  <c r="CW433" i="12"/>
  <c r="CX433" i="12"/>
  <c r="CY433" i="12"/>
  <c r="CZ433" i="12"/>
  <c r="DA433" i="12"/>
  <c r="DB433" i="12"/>
  <c r="DV433" i="12"/>
  <c r="DW433" i="12"/>
  <c r="F434" i="12"/>
  <c r="G434" i="12"/>
  <c r="BF434" i="12"/>
  <c r="BO434" i="12"/>
  <c r="BS434" i="12"/>
  <c r="BT434" i="12"/>
  <c r="BU434" i="12"/>
  <c r="BV434" i="12"/>
  <c r="BW434" i="12"/>
  <c r="BX434" i="12"/>
  <c r="BY434" i="12"/>
  <c r="BZ434" i="12"/>
  <c r="CA434" i="12"/>
  <c r="CB434" i="12"/>
  <c r="CC434" i="12"/>
  <c r="CD434" i="12"/>
  <c r="CE434" i="12"/>
  <c r="CF434" i="12"/>
  <c r="CG434" i="12"/>
  <c r="CH434" i="12"/>
  <c r="CI434" i="12"/>
  <c r="CJ434" i="12"/>
  <c r="CK434" i="12"/>
  <c r="CL434" i="12"/>
  <c r="CM434" i="12"/>
  <c r="CN434" i="12"/>
  <c r="CO434" i="12"/>
  <c r="CP434" i="12"/>
  <c r="CQ434" i="12"/>
  <c r="CR434" i="12"/>
  <c r="CS434" i="12"/>
  <c r="CT434" i="12"/>
  <c r="CU434" i="12"/>
  <c r="CV434" i="12"/>
  <c r="CW434" i="12"/>
  <c r="CX434" i="12"/>
  <c r="CY434" i="12"/>
  <c r="CZ434" i="12"/>
  <c r="DA434" i="12"/>
  <c r="DB434" i="12"/>
  <c r="DV434" i="12"/>
  <c r="DW434" i="12"/>
  <c r="F435" i="12"/>
  <c r="G435" i="12"/>
  <c r="DK435" i="12" s="1"/>
  <c r="BF435" i="12"/>
  <c r="BO435" i="12"/>
  <c r="BS435" i="12"/>
  <c r="BT435" i="12"/>
  <c r="BU435" i="12"/>
  <c r="BV435" i="12"/>
  <c r="BW435" i="12"/>
  <c r="BX435" i="12"/>
  <c r="BY435" i="12"/>
  <c r="BZ435" i="12"/>
  <c r="CA435" i="12"/>
  <c r="CB435" i="12"/>
  <c r="CC435" i="12"/>
  <c r="CD435" i="12"/>
  <c r="CE435" i="12"/>
  <c r="CF435" i="12"/>
  <c r="CG435" i="12"/>
  <c r="CH435" i="12"/>
  <c r="CI435" i="12"/>
  <c r="CJ435" i="12"/>
  <c r="CK435" i="12"/>
  <c r="CL435" i="12"/>
  <c r="CM435" i="12"/>
  <c r="CN435" i="12"/>
  <c r="CO435" i="12"/>
  <c r="CP435" i="12"/>
  <c r="CQ435" i="12"/>
  <c r="CR435" i="12"/>
  <c r="CS435" i="12"/>
  <c r="CT435" i="12"/>
  <c r="CU435" i="12"/>
  <c r="CV435" i="12"/>
  <c r="CW435" i="12"/>
  <c r="CX435" i="12"/>
  <c r="CY435" i="12"/>
  <c r="CZ435" i="12"/>
  <c r="DA435" i="12"/>
  <c r="DB435" i="12"/>
  <c r="DV435" i="12"/>
  <c r="DW435" i="12"/>
  <c r="F436" i="12"/>
  <c r="G436" i="12"/>
  <c r="DO436" i="12" s="1"/>
  <c r="BF436" i="12"/>
  <c r="BO436" i="12"/>
  <c r="BS436" i="12"/>
  <c r="BT436" i="12"/>
  <c r="BU436" i="12"/>
  <c r="BV436" i="12"/>
  <c r="BW436" i="12"/>
  <c r="BX436" i="12"/>
  <c r="BY436" i="12"/>
  <c r="BZ436" i="12"/>
  <c r="CA436" i="12"/>
  <c r="CB436" i="12"/>
  <c r="CC436" i="12"/>
  <c r="CD436" i="12"/>
  <c r="CE436" i="12"/>
  <c r="CF436" i="12"/>
  <c r="CG436" i="12"/>
  <c r="CH436" i="12"/>
  <c r="CI436" i="12"/>
  <c r="CJ436" i="12"/>
  <c r="CK436" i="12"/>
  <c r="CL436" i="12"/>
  <c r="CM436" i="12"/>
  <c r="CN436" i="12"/>
  <c r="CO436" i="12"/>
  <c r="CP436" i="12"/>
  <c r="CQ436" i="12"/>
  <c r="CR436" i="12"/>
  <c r="CS436" i="12"/>
  <c r="CT436" i="12"/>
  <c r="CU436" i="12"/>
  <c r="CV436" i="12"/>
  <c r="CW436" i="12"/>
  <c r="CX436" i="12"/>
  <c r="CY436" i="12"/>
  <c r="CZ436" i="12"/>
  <c r="DA436" i="12"/>
  <c r="DB436" i="12"/>
  <c r="DV436" i="12"/>
  <c r="DW436" i="12"/>
  <c r="F437" i="12"/>
  <c r="G437" i="12"/>
  <c r="T437" i="12" s="1"/>
  <c r="BF437" i="12"/>
  <c r="BO437" i="12"/>
  <c r="BS437" i="12"/>
  <c r="BT437" i="12"/>
  <c r="BU437" i="12"/>
  <c r="BV437" i="12"/>
  <c r="BW437" i="12"/>
  <c r="BX437" i="12"/>
  <c r="BY437" i="12"/>
  <c r="BZ437" i="12"/>
  <c r="CA437" i="12"/>
  <c r="CB437" i="12"/>
  <c r="CC437" i="12"/>
  <c r="CD437" i="12"/>
  <c r="CE437" i="12"/>
  <c r="CF437" i="12"/>
  <c r="CG437" i="12"/>
  <c r="CH437" i="12"/>
  <c r="CI437" i="12"/>
  <c r="CJ437" i="12"/>
  <c r="CK437" i="12"/>
  <c r="CL437" i="12"/>
  <c r="CM437" i="12"/>
  <c r="CN437" i="12"/>
  <c r="CO437" i="12"/>
  <c r="CP437" i="12"/>
  <c r="CQ437" i="12"/>
  <c r="CR437" i="12"/>
  <c r="CS437" i="12"/>
  <c r="CT437" i="12"/>
  <c r="CU437" i="12"/>
  <c r="CV437" i="12"/>
  <c r="CW437" i="12"/>
  <c r="CX437" i="12"/>
  <c r="CY437" i="12"/>
  <c r="CZ437" i="12"/>
  <c r="DA437" i="12"/>
  <c r="DB437" i="12"/>
  <c r="DV437" i="12"/>
  <c r="DW437" i="12"/>
  <c r="F438" i="12"/>
  <c r="G438" i="12"/>
  <c r="DG438" i="12" s="1"/>
  <c r="BF438" i="12"/>
  <c r="BO438" i="12"/>
  <c r="BS438" i="12"/>
  <c r="BT438" i="12"/>
  <c r="BU438" i="12"/>
  <c r="BV438" i="12"/>
  <c r="BW438" i="12"/>
  <c r="BX438" i="12"/>
  <c r="BY438" i="12"/>
  <c r="BZ438" i="12"/>
  <c r="CA438" i="12"/>
  <c r="CB438" i="12"/>
  <c r="CC438" i="12"/>
  <c r="CD438" i="12"/>
  <c r="CE438" i="12"/>
  <c r="CF438" i="12"/>
  <c r="CG438" i="12"/>
  <c r="CH438" i="12"/>
  <c r="CI438" i="12"/>
  <c r="CJ438" i="12"/>
  <c r="CK438" i="12"/>
  <c r="CL438" i="12"/>
  <c r="CM438" i="12"/>
  <c r="CN438" i="12"/>
  <c r="CO438" i="12"/>
  <c r="CP438" i="12"/>
  <c r="CQ438" i="12"/>
  <c r="CR438" i="12"/>
  <c r="CS438" i="12"/>
  <c r="CT438" i="12"/>
  <c r="CU438" i="12"/>
  <c r="CV438" i="12"/>
  <c r="CW438" i="12"/>
  <c r="CX438" i="12"/>
  <c r="CY438" i="12"/>
  <c r="CZ438" i="12"/>
  <c r="DA438" i="12"/>
  <c r="DB438" i="12"/>
  <c r="DV438" i="12"/>
  <c r="DW438" i="12"/>
  <c r="F439" i="12"/>
  <c r="G439" i="12"/>
  <c r="DO439" i="12" s="1"/>
  <c r="BF439" i="12"/>
  <c r="BO439" i="12"/>
  <c r="BS439" i="12"/>
  <c r="BT439" i="12"/>
  <c r="BU439" i="12"/>
  <c r="BV439" i="12"/>
  <c r="BW439" i="12"/>
  <c r="BX439" i="12"/>
  <c r="BY439" i="12"/>
  <c r="BZ439" i="12"/>
  <c r="CA439" i="12"/>
  <c r="CB439" i="12"/>
  <c r="CC439" i="12"/>
  <c r="CD439" i="12"/>
  <c r="CE439" i="12"/>
  <c r="CF439" i="12"/>
  <c r="CG439" i="12"/>
  <c r="CH439" i="12"/>
  <c r="CI439" i="12"/>
  <c r="CJ439" i="12"/>
  <c r="CK439" i="12"/>
  <c r="CL439" i="12"/>
  <c r="CM439" i="12"/>
  <c r="CN439" i="12"/>
  <c r="CO439" i="12"/>
  <c r="CP439" i="12"/>
  <c r="CQ439" i="12"/>
  <c r="CR439" i="12"/>
  <c r="CS439" i="12"/>
  <c r="CT439" i="12"/>
  <c r="CU439" i="12"/>
  <c r="CV439" i="12"/>
  <c r="CW439" i="12"/>
  <c r="CX439" i="12"/>
  <c r="CY439" i="12"/>
  <c r="CZ439" i="12"/>
  <c r="DA439" i="12"/>
  <c r="DB439" i="12"/>
  <c r="DI439" i="12"/>
  <c r="DV439" i="12"/>
  <c r="DW439" i="12"/>
  <c r="F440" i="12"/>
  <c r="G440" i="12"/>
  <c r="BF440" i="12"/>
  <c r="BO440" i="12"/>
  <c r="BS440" i="12"/>
  <c r="BT440" i="12"/>
  <c r="BU440" i="12"/>
  <c r="BV440" i="12"/>
  <c r="BW440" i="12"/>
  <c r="BX440" i="12"/>
  <c r="BY440" i="12"/>
  <c r="BZ440" i="12"/>
  <c r="CA440" i="12"/>
  <c r="CB440" i="12"/>
  <c r="CC440" i="12"/>
  <c r="CD440" i="12"/>
  <c r="CE440" i="12"/>
  <c r="CF440" i="12"/>
  <c r="CG440" i="12"/>
  <c r="CH440" i="12"/>
  <c r="CI440" i="12"/>
  <c r="CJ440" i="12"/>
  <c r="CK440" i="12"/>
  <c r="CL440" i="12"/>
  <c r="CM440" i="12"/>
  <c r="CN440" i="12"/>
  <c r="CO440" i="12"/>
  <c r="CP440" i="12"/>
  <c r="CQ440" i="12"/>
  <c r="CR440" i="12"/>
  <c r="CS440" i="12"/>
  <c r="CT440" i="12"/>
  <c r="CU440" i="12"/>
  <c r="CV440" i="12"/>
  <c r="CW440" i="12"/>
  <c r="CX440" i="12"/>
  <c r="CY440" i="12"/>
  <c r="CZ440" i="12"/>
  <c r="DA440" i="12"/>
  <c r="DB440" i="12"/>
  <c r="DV440" i="12"/>
  <c r="DW440" i="12"/>
  <c r="F441" i="12"/>
  <c r="G441" i="12"/>
  <c r="DL441" i="12" s="1"/>
  <c r="BF441" i="12"/>
  <c r="BO441" i="12"/>
  <c r="BS441" i="12"/>
  <c r="BT441" i="12"/>
  <c r="BU441" i="12"/>
  <c r="BV441" i="12"/>
  <c r="BW441" i="12"/>
  <c r="BX441" i="12"/>
  <c r="BY441" i="12"/>
  <c r="BZ441" i="12"/>
  <c r="CA441" i="12"/>
  <c r="CB441" i="12"/>
  <c r="CC441" i="12"/>
  <c r="CD441" i="12"/>
  <c r="CE441" i="12"/>
  <c r="CF441" i="12"/>
  <c r="CG441" i="12"/>
  <c r="CH441" i="12"/>
  <c r="CI441" i="12"/>
  <c r="CJ441" i="12"/>
  <c r="CK441" i="12"/>
  <c r="CL441" i="12"/>
  <c r="CM441" i="12"/>
  <c r="CN441" i="12"/>
  <c r="CO441" i="12"/>
  <c r="CP441" i="12"/>
  <c r="CQ441" i="12"/>
  <c r="CR441" i="12"/>
  <c r="CS441" i="12"/>
  <c r="CT441" i="12"/>
  <c r="CU441" i="12"/>
  <c r="CV441" i="12"/>
  <c r="CW441" i="12"/>
  <c r="CX441" i="12"/>
  <c r="CY441" i="12"/>
  <c r="CZ441" i="12"/>
  <c r="DA441" i="12"/>
  <c r="DB441" i="12"/>
  <c r="DV441" i="12"/>
  <c r="DW441" i="12"/>
  <c r="F442" i="12"/>
  <c r="G442" i="12"/>
  <c r="DG442" i="12" s="1"/>
  <c r="BF442" i="12"/>
  <c r="BO442" i="12"/>
  <c r="BS442" i="12"/>
  <c r="BT442" i="12"/>
  <c r="BU442" i="12"/>
  <c r="BV442" i="12"/>
  <c r="BW442" i="12"/>
  <c r="BX442" i="12"/>
  <c r="BY442" i="12"/>
  <c r="BZ442" i="12"/>
  <c r="CA442" i="12"/>
  <c r="CB442" i="12"/>
  <c r="CC442" i="12"/>
  <c r="CD442" i="12"/>
  <c r="CE442" i="12"/>
  <c r="CF442" i="12"/>
  <c r="CG442" i="12"/>
  <c r="CH442" i="12"/>
  <c r="CI442" i="12"/>
  <c r="CJ442" i="12"/>
  <c r="CK442" i="12"/>
  <c r="CL442" i="12"/>
  <c r="CM442" i="12"/>
  <c r="CN442" i="12"/>
  <c r="CO442" i="12"/>
  <c r="CP442" i="12"/>
  <c r="CQ442" i="12"/>
  <c r="CR442" i="12"/>
  <c r="CS442" i="12"/>
  <c r="CT442" i="12"/>
  <c r="CU442" i="12"/>
  <c r="CV442" i="12"/>
  <c r="CW442" i="12"/>
  <c r="CX442" i="12"/>
  <c r="CY442" i="12"/>
  <c r="CZ442" i="12"/>
  <c r="DA442" i="12"/>
  <c r="DB442" i="12"/>
  <c r="DO442" i="12"/>
  <c r="DV442" i="12"/>
  <c r="DW442" i="12"/>
  <c r="F443" i="12"/>
  <c r="G443" i="12"/>
  <c r="DH443" i="12" s="1"/>
  <c r="BF443" i="12"/>
  <c r="BO443" i="12"/>
  <c r="BS443" i="12"/>
  <c r="BT443" i="12"/>
  <c r="BU443" i="12"/>
  <c r="BV443" i="12"/>
  <c r="BW443" i="12"/>
  <c r="BX443" i="12"/>
  <c r="BY443" i="12"/>
  <c r="BZ443" i="12"/>
  <c r="CA443" i="12"/>
  <c r="CB443" i="12"/>
  <c r="CC443" i="12"/>
  <c r="CD443" i="12"/>
  <c r="CE443" i="12"/>
  <c r="CF443" i="12"/>
  <c r="CG443" i="12"/>
  <c r="CH443" i="12"/>
  <c r="CI443" i="12"/>
  <c r="CJ443" i="12"/>
  <c r="CK443" i="12"/>
  <c r="CL443" i="12"/>
  <c r="CM443" i="12"/>
  <c r="CN443" i="12"/>
  <c r="CO443" i="12"/>
  <c r="CP443" i="12"/>
  <c r="CQ443" i="12"/>
  <c r="CR443" i="12"/>
  <c r="CS443" i="12"/>
  <c r="CT443" i="12"/>
  <c r="CU443" i="12"/>
  <c r="CV443" i="12"/>
  <c r="CW443" i="12"/>
  <c r="CX443" i="12"/>
  <c r="CY443" i="12"/>
  <c r="CZ443" i="12"/>
  <c r="DA443" i="12"/>
  <c r="DB443" i="12"/>
  <c r="DI443" i="12"/>
  <c r="DV443" i="12"/>
  <c r="DW443" i="12"/>
  <c r="F444" i="12"/>
  <c r="G444" i="12"/>
  <c r="DO444" i="12" s="1"/>
  <c r="BF444" i="12"/>
  <c r="BO444" i="12"/>
  <c r="BS444" i="12"/>
  <c r="BT444" i="12"/>
  <c r="BU444" i="12"/>
  <c r="BV444" i="12"/>
  <c r="BW444" i="12"/>
  <c r="BX444" i="12"/>
  <c r="BY444" i="12"/>
  <c r="BZ444" i="12"/>
  <c r="CA444" i="12"/>
  <c r="CB444" i="12"/>
  <c r="CC444" i="12"/>
  <c r="CD444" i="12"/>
  <c r="CE444" i="12"/>
  <c r="CF444" i="12"/>
  <c r="CG444" i="12"/>
  <c r="CH444" i="12"/>
  <c r="CI444" i="12"/>
  <c r="CJ444" i="12"/>
  <c r="CK444" i="12"/>
  <c r="CL444" i="12"/>
  <c r="CM444" i="12"/>
  <c r="CN444" i="12"/>
  <c r="CO444" i="12"/>
  <c r="CP444" i="12"/>
  <c r="CQ444" i="12"/>
  <c r="CR444" i="12"/>
  <c r="CS444" i="12"/>
  <c r="CT444" i="12"/>
  <c r="CU444" i="12"/>
  <c r="CV444" i="12"/>
  <c r="CW444" i="12"/>
  <c r="CX444" i="12"/>
  <c r="CY444" i="12"/>
  <c r="CZ444" i="12"/>
  <c r="DA444" i="12"/>
  <c r="DB444" i="12"/>
  <c r="DV444" i="12"/>
  <c r="DW444" i="12"/>
  <c r="F445" i="12"/>
  <c r="G445" i="12"/>
  <c r="V445" i="12" s="1"/>
  <c r="BF445" i="12"/>
  <c r="BO445" i="12"/>
  <c r="BS445" i="12"/>
  <c r="BT445" i="12"/>
  <c r="BU445" i="12"/>
  <c r="BV445" i="12"/>
  <c r="BW445" i="12"/>
  <c r="BX445" i="12"/>
  <c r="BY445" i="12"/>
  <c r="BZ445" i="12"/>
  <c r="CA445" i="12"/>
  <c r="CB445" i="12"/>
  <c r="CC445" i="12"/>
  <c r="CD445" i="12"/>
  <c r="CE445" i="12"/>
  <c r="CF445" i="12"/>
  <c r="CG445" i="12"/>
  <c r="CH445" i="12"/>
  <c r="CI445" i="12"/>
  <c r="CJ445" i="12"/>
  <c r="CK445" i="12"/>
  <c r="CL445" i="12"/>
  <c r="CM445" i="12"/>
  <c r="CN445" i="12"/>
  <c r="CO445" i="12"/>
  <c r="CP445" i="12"/>
  <c r="CQ445" i="12"/>
  <c r="CR445" i="12"/>
  <c r="CS445" i="12"/>
  <c r="CT445" i="12"/>
  <c r="CU445" i="12"/>
  <c r="CV445" i="12"/>
  <c r="CW445" i="12"/>
  <c r="CX445" i="12"/>
  <c r="CY445" i="12"/>
  <c r="CZ445" i="12"/>
  <c r="DA445" i="12"/>
  <c r="DB445" i="12"/>
  <c r="DG445" i="12"/>
  <c r="DV445" i="12"/>
  <c r="DW445" i="12"/>
  <c r="F446" i="12"/>
  <c r="G446" i="12"/>
  <c r="BF446" i="12"/>
  <c r="BO446" i="12"/>
  <c r="BS446" i="12"/>
  <c r="BT446" i="12"/>
  <c r="BU446" i="12"/>
  <c r="BV446" i="12"/>
  <c r="BW446" i="12"/>
  <c r="BX446" i="12"/>
  <c r="BY446" i="12"/>
  <c r="BZ446" i="12"/>
  <c r="CA446" i="12"/>
  <c r="CB446" i="12"/>
  <c r="CC446" i="12"/>
  <c r="CD446" i="12"/>
  <c r="CE446" i="12"/>
  <c r="CF446" i="12"/>
  <c r="CG446" i="12"/>
  <c r="CH446" i="12"/>
  <c r="CI446" i="12"/>
  <c r="CJ446" i="12"/>
  <c r="CK446" i="12"/>
  <c r="CL446" i="12"/>
  <c r="CM446" i="12"/>
  <c r="CN446" i="12"/>
  <c r="CO446" i="12"/>
  <c r="CP446" i="12"/>
  <c r="CQ446" i="12"/>
  <c r="CR446" i="12"/>
  <c r="CS446" i="12"/>
  <c r="CT446" i="12"/>
  <c r="CU446" i="12"/>
  <c r="CV446" i="12"/>
  <c r="CW446" i="12"/>
  <c r="CX446" i="12"/>
  <c r="CY446" i="12"/>
  <c r="CZ446" i="12"/>
  <c r="DA446" i="12"/>
  <c r="DB446" i="12"/>
  <c r="DO446" i="12"/>
  <c r="DV446" i="12"/>
  <c r="DW446" i="12"/>
  <c r="F447" i="12"/>
  <c r="G447" i="12"/>
  <c r="BF447" i="12"/>
  <c r="BO447" i="12"/>
  <c r="BS447" i="12"/>
  <c r="BT447" i="12"/>
  <c r="BU447" i="12"/>
  <c r="BV447" i="12"/>
  <c r="BW447" i="12"/>
  <c r="BX447" i="12"/>
  <c r="BY447" i="12"/>
  <c r="BZ447" i="12"/>
  <c r="CA447" i="12"/>
  <c r="CB447" i="12"/>
  <c r="CC447" i="12"/>
  <c r="CD447" i="12"/>
  <c r="CE447" i="12"/>
  <c r="CF447" i="12"/>
  <c r="CG447" i="12"/>
  <c r="CH447" i="12"/>
  <c r="CI447" i="12"/>
  <c r="CJ447" i="12"/>
  <c r="CK447" i="12"/>
  <c r="CL447" i="12"/>
  <c r="CM447" i="12"/>
  <c r="CN447" i="12"/>
  <c r="CO447" i="12"/>
  <c r="CP447" i="12"/>
  <c r="CQ447" i="12"/>
  <c r="CR447" i="12"/>
  <c r="CS447" i="12"/>
  <c r="CT447" i="12"/>
  <c r="CU447" i="12"/>
  <c r="CV447" i="12"/>
  <c r="CW447" i="12"/>
  <c r="CX447" i="12"/>
  <c r="CY447" i="12"/>
  <c r="CZ447" i="12"/>
  <c r="DA447" i="12"/>
  <c r="DB447" i="12"/>
  <c r="DM447" i="12"/>
  <c r="DV447" i="12"/>
  <c r="DW447" i="12"/>
  <c r="F448" i="12"/>
  <c r="G448" i="12"/>
  <c r="BF448" i="12"/>
  <c r="BO448" i="12"/>
  <c r="BS448" i="12"/>
  <c r="BT448" i="12"/>
  <c r="BU448" i="12"/>
  <c r="BV448" i="12"/>
  <c r="BW448" i="12"/>
  <c r="BX448" i="12"/>
  <c r="BY448" i="12"/>
  <c r="BZ448" i="12"/>
  <c r="CA448" i="12"/>
  <c r="CB448" i="12"/>
  <c r="CC448" i="12"/>
  <c r="CD448" i="12"/>
  <c r="CE448" i="12"/>
  <c r="CF448" i="12"/>
  <c r="CG448" i="12"/>
  <c r="CH448" i="12"/>
  <c r="CI448" i="12"/>
  <c r="CJ448" i="12"/>
  <c r="CK448" i="12"/>
  <c r="CL448" i="12"/>
  <c r="CM448" i="12"/>
  <c r="CN448" i="12"/>
  <c r="CO448" i="12"/>
  <c r="CP448" i="12"/>
  <c r="CQ448" i="12"/>
  <c r="CR448" i="12"/>
  <c r="CS448" i="12"/>
  <c r="CT448" i="12"/>
  <c r="CU448" i="12"/>
  <c r="CV448" i="12"/>
  <c r="CW448" i="12"/>
  <c r="CX448" i="12"/>
  <c r="CY448" i="12"/>
  <c r="CZ448" i="12"/>
  <c r="DA448" i="12"/>
  <c r="DB448" i="12"/>
  <c r="DV448" i="12"/>
  <c r="DW448" i="12"/>
  <c r="F449" i="12"/>
  <c r="G449" i="12"/>
  <c r="BF449" i="12"/>
  <c r="BO449" i="12"/>
  <c r="BS449" i="12"/>
  <c r="BT449" i="12"/>
  <c r="BU449" i="12"/>
  <c r="BV449" i="12"/>
  <c r="BW449" i="12"/>
  <c r="BX449" i="12"/>
  <c r="BY449" i="12"/>
  <c r="BZ449" i="12"/>
  <c r="CA449" i="12"/>
  <c r="CB449" i="12"/>
  <c r="CC449" i="12"/>
  <c r="CD449" i="12"/>
  <c r="CE449" i="12"/>
  <c r="CF449" i="12"/>
  <c r="CG449" i="12"/>
  <c r="CH449" i="12"/>
  <c r="CI449" i="12"/>
  <c r="CJ449" i="12"/>
  <c r="CK449" i="12"/>
  <c r="CL449" i="12"/>
  <c r="CM449" i="12"/>
  <c r="CN449" i="12"/>
  <c r="CO449" i="12"/>
  <c r="CP449" i="12"/>
  <c r="CQ449" i="12"/>
  <c r="CR449" i="12"/>
  <c r="CS449" i="12"/>
  <c r="CT449" i="12"/>
  <c r="CU449" i="12"/>
  <c r="CV449" i="12"/>
  <c r="CW449" i="12"/>
  <c r="CX449" i="12"/>
  <c r="CY449" i="12"/>
  <c r="CZ449" i="12"/>
  <c r="DA449" i="12"/>
  <c r="DB449" i="12"/>
  <c r="DV449" i="12"/>
  <c r="DW449" i="12"/>
  <c r="F450" i="12"/>
  <c r="G450" i="12"/>
  <c r="BF450" i="12"/>
  <c r="BO450" i="12"/>
  <c r="BS450" i="12"/>
  <c r="BT450" i="12"/>
  <c r="BU450" i="12"/>
  <c r="BV450" i="12"/>
  <c r="BW450" i="12"/>
  <c r="BX450" i="12"/>
  <c r="BY450" i="12"/>
  <c r="BZ450" i="12"/>
  <c r="CA450" i="12"/>
  <c r="CB450" i="12"/>
  <c r="CC450" i="12"/>
  <c r="CD450" i="12"/>
  <c r="CE450" i="12"/>
  <c r="CF450" i="12"/>
  <c r="CG450" i="12"/>
  <c r="CH450" i="12"/>
  <c r="CI450" i="12"/>
  <c r="CJ450" i="12"/>
  <c r="CK450" i="12"/>
  <c r="CL450" i="12"/>
  <c r="CM450" i="12"/>
  <c r="CN450" i="12"/>
  <c r="CO450" i="12"/>
  <c r="CP450" i="12"/>
  <c r="CQ450" i="12"/>
  <c r="CR450" i="12"/>
  <c r="CS450" i="12"/>
  <c r="CT450" i="12"/>
  <c r="CU450" i="12"/>
  <c r="CV450" i="12"/>
  <c r="CW450" i="12"/>
  <c r="CX450" i="12"/>
  <c r="CY450" i="12"/>
  <c r="CZ450" i="12"/>
  <c r="DA450" i="12"/>
  <c r="DB450" i="12"/>
  <c r="DV450" i="12"/>
  <c r="DW450" i="12"/>
  <c r="F451" i="12"/>
  <c r="G451" i="12"/>
  <c r="AA451" i="12" s="1"/>
  <c r="BF451" i="12"/>
  <c r="BO451" i="12"/>
  <c r="BS451" i="12"/>
  <c r="BT451" i="12"/>
  <c r="BU451" i="12"/>
  <c r="BV451" i="12"/>
  <c r="BW451" i="12"/>
  <c r="BX451" i="12"/>
  <c r="BY451" i="12"/>
  <c r="BZ451" i="12"/>
  <c r="CA451" i="12"/>
  <c r="CB451" i="12"/>
  <c r="CC451" i="12"/>
  <c r="CD451" i="12"/>
  <c r="CE451" i="12"/>
  <c r="CF451" i="12"/>
  <c r="CG451" i="12"/>
  <c r="CH451" i="12"/>
  <c r="CI451" i="12"/>
  <c r="CJ451" i="12"/>
  <c r="CK451" i="12"/>
  <c r="CL451" i="12"/>
  <c r="CM451" i="12"/>
  <c r="CN451" i="12"/>
  <c r="CO451" i="12"/>
  <c r="CP451" i="12"/>
  <c r="CQ451" i="12"/>
  <c r="CR451" i="12"/>
  <c r="CS451" i="12"/>
  <c r="CT451" i="12"/>
  <c r="CU451" i="12"/>
  <c r="CV451" i="12"/>
  <c r="CW451" i="12"/>
  <c r="CX451" i="12"/>
  <c r="CY451" i="12"/>
  <c r="CZ451" i="12"/>
  <c r="DA451" i="12"/>
  <c r="DB451" i="12"/>
  <c r="DH451" i="12"/>
  <c r="DP451" i="12"/>
  <c r="DV451" i="12"/>
  <c r="DW451" i="12"/>
  <c r="F452" i="12"/>
  <c r="G452" i="12"/>
  <c r="DO452" i="12" s="1"/>
  <c r="BF452" i="12"/>
  <c r="BO452" i="12"/>
  <c r="BS452" i="12"/>
  <c r="BT452" i="12"/>
  <c r="BU452" i="12"/>
  <c r="BV452" i="12"/>
  <c r="BW452" i="12"/>
  <c r="BX452" i="12"/>
  <c r="BY452" i="12"/>
  <c r="BZ452" i="12"/>
  <c r="CA452" i="12"/>
  <c r="CB452" i="12"/>
  <c r="CC452" i="12"/>
  <c r="CD452" i="12"/>
  <c r="CE452" i="12"/>
  <c r="CF452" i="12"/>
  <c r="CG452" i="12"/>
  <c r="CH452" i="12"/>
  <c r="CI452" i="12"/>
  <c r="CJ452" i="12"/>
  <c r="CK452" i="12"/>
  <c r="CL452" i="12"/>
  <c r="CM452" i="12"/>
  <c r="CN452" i="12"/>
  <c r="CO452" i="12"/>
  <c r="CP452" i="12"/>
  <c r="CQ452" i="12"/>
  <c r="CR452" i="12"/>
  <c r="CS452" i="12"/>
  <c r="CT452" i="12"/>
  <c r="CU452" i="12"/>
  <c r="CV452" i="12"/>
  <c r="CW452" i="12"/>
  <c r="CX452" i="12"/>
  <c r="CY452" i="12"/>
  <c r="CZ452" i="12"/>
  <c r="DA452" i="12"/>
  <c r="DB452" i="12"/>
  <c r="DV452" i="12"/>
  <c r="DW452" i="12"/>
  <c r="F453" i="12"/>
  <c r="G453" i="12"/>
  <c r="V453" i="12" s="1"/>
  <c r="BF453" i="12"/>
  <c r="BO453" i="12"/>
  <c r="BS453" i="12"/>
  <c r="BT453" i="12"/>
  <c r="BU453" i="12"/>
  <c r="BV453" i="12"/>
  <c r="BW453" i="12"/>
  <c r="BX453" i="12"/>
  <c r="BY453" i="12"/>
  <c r="BZ453" i="12"/>
  <c r="CA453" i="12"/>
  <c r="CB453" i="12"/>
  <c r="CC453" i="12"/>
  <c r="CD453" i="12"/>
  <c r="CE453" i="12"/>
  <c r="CF453" i="12"/>
  <c r="CG453" i="12"/>
  <c r="CH453" i="12"/>
  <c r="CI453" i="12"/>
  <c r="CJ453" i="12"/>
  <c r="CK453" i="12"/>
  <c r="CL453" i="12"/>
  <c r="CM453" i="12"/>
  <c r="CN453" i="12"/>
  <c r="CO453" i="12"/>
  <c r="CP453" i="12"/>
  <c r="CQ453" i="12"/>
  <c r="CR453" i="12"/>
  <c r="CS453" i="12"/>
  <c r="CT453" i="12"/>
  <c r="CU453" i="12"/>
  <c r="CV453" i="12"/>
  <c r="CW453" i="12"/>
  <c r="CX453" i="12"/>
  <c r="CY453" i="12"/>
  <c r="CZ453" i="12"/>
  <c r="DA453" i="12"/>
  <c r="DB453" i="12"/>
  <c r="DG453" i="12"/>
  <c r="DV453" i="12"/>
  <c r="DW453" i="12"/>
  <c r="F454" i="12"/>
  <c r="G454" i="12"/>
  <c r="BF454" i="12"/>
  <c r="BO454" i="12"/>
  <c r="BS454" i="12"/>
  <c r="BT454" i="12"/>
  <c r="BU454" i="12"/>
  <c r="BV454" i="12"/>
  <c r="BW454" i="12"/>
  <c r="BX454" i="12"/>
  <c r="BY454" i="12"/>
  <c r="BZ454" i="12"/>
  <c r="CA454" i="12"/>
  <c r="CB454" i="12"/>
  <c r="CC454" i="12"/>
  <c r="CD454" i="12"/>
  <c r="CE454" i="12"/>
  <c r="CF454" i="12"/>
  <c r="CG454" i="12"/>
  <c r="CH454" i="12"/>
  <c r="CI454" i="12"/>
  <c r="CJ454" i="12"/>
  <c r="CK454" i="12"/>
  <c r="CL454" i="12"/>
  <c r="CM454" i="12"/>
  <c r="CN454" i="12"/>
  <c r="CO454" i="12"/>
  <c r="CP454" i="12"/>
  <c r="CQ454" i="12"/>
  <c r="CR454" i="12"/>
  <c r="CS454" i="12"/>
  <c r="CT454" i="12"/>
  <c r="CU454" i="12"/>
  <c r="CV454" i="12"/>
  <c r="CW454" i="12"/>
  <c r="CX454" i="12"/>
  <c r="CY454" i="12"/>
  <c r="CZ454" i="12"/>
  <c r="DA454" i="12"/>
  <c r="DB454" i="12"/>
  <c r="DO454" i="12"/>
  <c r="DV454" i="12"/>
  <c r="DW454" i="12"/>
  <c r="F455" i="12"/>
  <c r="G455" i="12"/>
  <c r="BF455" i="12"/>
  <c r="BO455" i="12"/>
  <c r="BS455" i="12"/>
  <c r="BT455" i="12"/>
  <c r="BU455" i="12"/>
  <c r="BV455" i="12"/>
  <c r="BW455" i="12"/>
  <c r="BX455" i="12"/>
  <c r="BY455" i="12"/>
  <c r="BZ455" i="12"/>
  <c r="CA455" i="12"/>
  <c r="CB455" i="12"/>
  <c r="CC455" i="12"/>
  <c r="CD455" i="12"/>
  <c r="CE455" i="12"/>
  <c r="CF455" i="12"/>
  <c r="CG455" i="12"/>
  <c r="CH455" i="12"/>
  <c r="CI455" i="12"/>
  <c r="CJ455" i="12"/>
  <c r="CK455" i="12"/>
  <c r="CL455" i="12"/>
  <c r="CM455" i="12"/>
  <c r="CN455" i="12"/>
  <c r="CO455" i="12"/>
  <c r="CP455" i="12"/>
  <c r="CQ455" i="12"/>
  <c r="CR455" i="12"/>
  <c r="CS455" i="12"/>
  <c r="CT455" i="12"/>
  <c r="CU455" i="12"/>
  <c r="CV455" i="12"/>
  <c r="CW455" i="12"/>
  <c r="CX455" i="12"/>
  <c r="CY455" i="12"/>
  <c r="CZ455" i="12"/>
  <c r="DA455" i="12"/>
  <c r="DB455" i="12"/>
  <c r="DV455" i="12"/>
  <c r="DW455" i="12"/>
  <c r="F456" i="12"/>
  <c r="G456" i="12"/>
  <c r="DO456" i="12" s="1"/>
  <c r="BF456" i="12"/>
  <c r="BO456" i="12"/>
  <c r="BS456" i="12"/>
  <c r="BT456" i="12"/>
  <c r="BU456" i="12"/>
  <c r="BV456" i="12"/>
  <c r="BW456" i="12"/>
  <c r="BX456" i="12"/>
  <c r="BY456" i="12"/>
  <c r="BZ456" i="12"/>
  <c r="CA456" i="12"/>
  <c r="CB456" i="12"/>
  <c r="CC456" i="12"/>
  <c r="CD456" i="12"/>
  <c r="CE456" i="12"/>
  <c r="CF456" i="12"/>
  <c r="CG456" i="12"/>
  <c r="CH456" i="12"/>
  <c r="CI456" i="12"/>
  <c r="CJ456" i="12"/>
  <c r="CK456" i="12"/>
  <c r="CL456" i="12"/>
  <c r="CM456" i="12"/>
  <c r="CN456" i="12"/>
  <c r="CO456" i="12"/>
  <c r="CP456" i="12"/>
  <c r="CQ456" i="12"/>
  <c r="CR456" i="12"/>
  <c r="CS456" i="12"/>
  <c r="CT456" i="12"/>
  <c r="CU456" i="12"/>
  <c r="CV456" i="12"/>
  <c r="CW456" i="12"/>
  <c r="CX456" i="12"/>
  <c r="CY456" i="12"/>
  <c r="CZ456" i="12"/>
  <c r="DA456" i="12"/>
  <c r="DB456" i="12"/>
  <c r="DG456" i="12"/>
  <c r="DK456" i="12"/>
  <c r="DV456" i="12"/>
  <c r="DW456" i="12"/>
  <c r="F457" i="12"/>
  <c r="G457" i="12"/>
  <c r="AA457" i="12" s="1"/>
  <c r="BF457" i="12"/>
  <c r="BO457" i="12"/>
  <c r="BS457" i="12"/>
  <c r="BT457" i="12"/>
  <c r="BU457" i="12"/>
  <c r="BV457" i="12"/>
  <c r="BW457" i="12"/>
  <c r="BX457" i="12"/>
  <c r="BY457" i="12"/>
  <c r="BZ457" i="12"/>
  <c r="CA457" i="12"/>
  <c r="CB457" i="12"/>
  <c r="CC457" i="12"/>
  <c r="CD457" i="12"/>
  <c r="CE457" i="12"/>
  <c r="CF457" i="12"/>
  <c r="CG457" i="12"/>
  <c r="CH457" i="12"/>
  <c r="CI457" i="12"/>
  <c r="CJ457" i="12"/>
  <c r="CK457" i="12"/>
  <c r="CL457" i="12"/>
  <c r="CM457" i="12"/>
  <c r="CN457" i="12"/>
  <c r="CO457" i="12"/>
  <c r="CP457" i="12"/>
  <c r="CQ457" i="12"/>
  <c r="CR457" i="12"/>
  <c r="CS457" i="12"/>
  <c r="CT457" i="12"/>
  <c r="CU457" i="12"/>
  <c r="CV457" i="12"/>
  <c r="CW457" i="12"/>
  <c r="CX457" i="12"/>
  <c r="CY457" i="12"/>
  <c r="CZ457" i="12"/>
  <c r="DA457" i="12"/>
  <c r="DB457" i="12"/>
  <c r="DG457" i="12"/>
  <c r="DI457" i="12"/>
  <c r="DL457" i="12"/>
  <c r="DV457" i="12"/>
  <c r="DW457" i="12"/>
  <c r="EK457" i="12"/>
  <c r="F458" i="12"/>
  <c r="G458" i="12"/>
  <c r="DG458" i="12" s="1"/>
  <c r="BF458" i="12"/>
  <c r="BO458" i="12"/>
  <c r="BS458" i="12"/>
  <c r="BT458" i="12"/>
  <c r="BU458" i="12"/>
  <c r="BV458" i="12"/>
  <c r="BW458" i="12"/>
  <c r="BX458" i="12"/>
  <c r="BY458" i="12"/>
  <c r="BZ458" i="12"/>
  <c r="CA458" i="12"/>
  <c r="CB458" i="12"/>
  <c r="CC458" i="12"/>
  <c r="CD458" i="12"/>
  <c r="CE458" i="12"/>
  <c r="CF458" i="12"/>
  <c r="CG458" i="12"/>
  <c r="CH458" i="12"/>
  <c r="CI458" i="12"/>
  <c r="CJ458" i="12"/>
  <c r="CK458" i="12"/>
  <c r="CL458" i="12"/>
  <c r="CM458" i="12"/>
  <c r="CN458" i="12"/>
  <c r="CO458" i="12"/>
  <c r="CP458" i="12"/>
  <c r="CQ458" i="12"/>
  <c r="CR458" i="12"/>
  <c r="CS458" i="12"/>
  <c r="CT458" i="12"/>
  <c r="CU458" i="12"/>
  <c r="CV458" i="12"/>
  <c r="CW458" i="12"/>
  <c r="CX458" i="12"/>
  <c r="CY458" i="12"/>
  <c r="CZ458" i="12"/>
  <c r="DA458" i="12"/>
  <c r="DB458" i="12"/>
  <c r="DV458" i="12"/>
  <c r="DW458" i="12"/>
  <c r="F459" i="12"/>
  <c r="G459" i="12"/>
  <c r="BF459" i="12"/>
  <c r="BO459" i="12"/>
  <c r="BS459" i="12"/>
  <c r="BT459" i="12"/>
  <c r="BU459" i="12"/>
  <c r="BV459" i="12"/>
  <c r="BW459" i="12"/>
  <c r="BX459" i="12"/>
  <c r="BY459" i="12"/>
  <c r="BZ459" i="12"/>
  <c r="CA459" i="12"/>
  <c r="CB459" i="12"/>
  <c r="CC459" i="12"/>
  <c r="CD459" i="12"/>
  <c r="CE459" i="12"/>
  <c r="CF459" i="12"/>
  <c r="CG459" i="12"/>
  <c r="CH459" i="12"/>
  <c r="CI459" i="12"/>
  <c r="CJ459" i="12"/>
  <c r="CK459" i="12"/>
  <c r="CL459" i="12"/>
  <c r="CM459" i="12"/>
  <c r="CN459" i="12"/>
  <c r="CO459" i="12"/>
  <c r="CP459" i="12"/>
  <c r="CQ459" i="12"/>
  <c r="CR459" i="12"/>
  <c r="CS459" i="12"/>
  <c r="CT459" i="12"/>
  <c r="CU459" i="12"/>
  <c r="CV459" i="12"/>
  <c r="CW459" i="12"/>
  <c r="CX459" i="12"/>
  <c r="CY459" i="12"/>
  <c r="CZ459" i="12"/>
  <c r="DA459" i="12"/>
  <c r="DB459" i="12"/>
  <c r="DV459" i="12"/>
  <c r="DW459" i="12"/>
  <c r="F460" i="12"/>
  <c r="G460" i="12"/>
  <c r="EK460" i="12" s="1"/>
  <c r="BF460" i="12"/>
  <c r="BO460" i="12"/>
  <c r="BS460" i="12"/>
  <c r="BT460" i="12"/>
  <c r="BU460" i="12"/>
  <c r="BV460" i="12"/>
  <c r="BW460" i="12"/>
  <c r="BX460" i="12"/>
  <c r="BY460" i="12"/>
  <c r="BZ460" i="12"/>
  <c r="CA460" i="12"/>
  <c r="CB460" i="12"/>
  <c r="CC460" i="12"/>
  <c r="CD460" i="12"/>
  <c r="CE460" i="12"/>
  <c r="CF460" i="12"/>
  <c r="CG460" i="12"/>
  <c r="CH460" i="12"/>
  <c r="CI460" i="12"/>
  <c r="CJ460" i="12"/>
  <c r="CK460" i="12"/>
  <c r="CL460" i="12"/>
  <c r="CM460" i="12"/>
  <c r="CN460" i="12"/>
  <c r="CO460" i="12"/>
  <c r="CP460" i="12"/>
  <c r="CQ460" i="12"/>
  <c r="CR460" i="12"/>
  <c r="CS460" i="12"/>
  <c r="CT460" i="12"/>
  <c r="CU460" i="12"/>
  <c r="CV460" i="12"/>
  <c r="CW460" i="12"/>
  <c r="CX460" i="12"/>
  <c r="CY460" i="12"/>
  <c r="CZ460" i="12"/>
  <c r="DA460" i="12"/>
  <c r="DB460" i="12"/>
  <c r="DV460" i="12"/>
  <c r="DW460" i="12"/>
  <c r="F461" i="12"/>
  <c r="G461" i="12"/>
  <c r="V461" i="12" s="1"/>
  <c r="BF461" i="12"/>
  <c r="BO461" i="12"/>
  <c r="BS461" i="12"/>
  <c r="BT461" i="12"/>
  <c r="BU461" i="12"/>
  <c r="BV461" i="12"/>
  <c r="BW461" i="12"/>
  <c r="BX461" i="12"/>
  <c r="BY461" i="12"/>
  <c r="BZ461" i="12"/>
  <c r="CA461" i="12"/>
  <c r="CB461" i="12"/>
  <c r="CC461" i="12"/>
  <c r="CD461" i="12"/>
  <c r="CE461" i="12"/>
  <c r="CF461" i="12"/>
  <c r="CG461" i="12"/>
  <c r="CH461" i="12"/>
  <c r="CI461" i="12"/>
  <c r="CJ461" i="12"/>
  <c r="CK461" i="12"/>
  <c r="CL461" i="12"/>
  <c r="CM461" i="12"/>
  <c r="CN461" i="12"/>
  <c r="CO461" i="12"/>
  <c r="CP461" i="12"/>
  <c r="CQ461" i="12"/>
  <c r="CR461" i="12"/>
  <c r="CS461" i="12"/>
  <c r="CT461" i="12"/>
  <c r="CU461" i="12"/>
  <c r="CV461" i="12"/>
  <c r="CW461" i="12"/>
  <c r="CX461" i="12"/>
  <c r="CY461" i="12"/>
  <c r="CZ461" i="12"/>
  <c r="DA461" i="12"/>
  <c r="DB461" i="12"/>
  <c r="DL461" i="12"/>
  <c r="DV461" i="12"/>
  <c r="DW461" i="12"/>
  <c r="EK461" i="12"/>
  <c r="F462" i="12"/>
  <c r="G462" i="12"/>
  <c r="EK462" i="12" s="1"/>
  <c r="BF462" i="12"/>
  <c r="BO462" i="12"/>
  <c r="BS462" i="12"/>
  <c r="BT462" i="12"/>
  <c r="BU462" i="12"/>
  <c r="BV462" i="12"/>
  <c r="BW462" i="12"/>
  <c r="BX462" i="12"/>
  <c r="BY462" i="12"/>
  <c r="BZ462" i="12"/>
  <c r="CA462" i="12"/>
  <c r="CB462" i="12"/>
  <c r="CC462" i="12"/>
  <c r="CD462" i="12"/>
  <c r="CE462" i="12"/>
  <c r="CF462" i="12"/>
  <c r="CG462" i="12"/>
  <c r="CH462" i="12"/>
  <c r="CI462" i="12"/>
  <c r="CJ462" i="12"/>
  <c r="CK462" i="12"/>
  <c r="CL462" i="12"/>
  <c r="CM462" i="12"/>
  <c r="CN462" i="12"/>
  <c r="CO462" i="12"/>
  <c r="CP462" i="12"/>
  <c r="CQ462" i="12"/>
  <c r="CR462" i="12"/>
  <c r="CS462" i="12"/>
  <c r="CT462" i="12"/>
  <c r="CU462" i="12"/>
  <c r="CV462" i="12"/>
  <c r="CW462" i="12"/>
  <c r="CX462" i="12"/>
  <c r="CY462" i="12"/>
  <c r="CZ462" i="12"/>
  <c r="DA462" i="12"/>
  <c r="DB462" i="12"/>
  <c r="DV462" i="12"/>
  <c r="DW462" i="12"/>
  <c r="F463" i="12"/>
  <c r="G463" i="12"/>
  <c r="V463" i="12" s="1"/>
  <c r="BF463" i="12"/>
  <c r="BO463" i="12"/>
  <c r="BS463" i="12"/>
  <c r="BT463" i="12"/>
  <c r="BU463" i="12"/>
  <c r="BV463" i="12"/>
  <c r="BW463" i="12"/>
  <c r="BX463" i="12"/>
  <c r="BY463" i="12"/>
  <c r="BZ463" i="12"/>
  <c r="CA463" i="12"/>
  <c r="CB463" i="12"/>
  <c r="CC463" i="12"/>
  <c r="CD463" i="12"/>
  <c r="CE463" i="12"/>
  <c r="CF463" i="12"/>
  <c r="CG463" i="12"/>
  <c r="CH463" i="12"/>
  <c r="CI463" i="12"/>
  <c r="CJ463" i="12"/>
  <c r="CK463" i="12"/>
  <c r="CL463" i="12"/>
  <c r="CM463" i="12"/>
  <c r="CN463" i="12"/>
  <c r="CO463" i="12"/>
  <c r="CP463" i="12"/>
  <c r="CQ463" i="12"/>
  <c r="CR463" i="12"/>
  <c r="CS463" i="12"/>
  <c r="CT463" i="12"/>
  <c r="CU463" i="12"/>
  <c r="CV463" i="12"/>
  <c r="CW463" i="12"/>
  <c r="CX463" i="12"/>
  <c r="CY463" i="12"/>
  <c r="CZ463" i="12"/>
  <c r="DA463" i="12"/>
  <c r="DB463" i="12"/>
  <c r="DV463" i="12"/>
  <c r="DW463" i="12"/>
  <c r="F464" i="12"/>
  <c r="G464" i="12"/>
  <c r="DO464" i="12" s="1"/>
  <c r="BF464" i="12"/>
  <c r="BO464" i="12"/>
  <c r="BS464" i="12"/>
  <c r="BT464" i="12"/>
  <c r="BU464" i="12"/>
  <c r="BV464" i="12"/>
  <c r="BW464" i="12"/>
  <c r="BX464" i="12"/>
  <c r="BY464" i="12"/>
  <c r="BZ464" i="12"/>
  <c r="CA464" i="12"/>
  <c r="CB464" i="12"/>
  <c r="CC464" i="12"/>
  <c r="CD464" i="12"/>
  <c r="CE464" i="12"/>
  <c r="CF464" i="12"/>
  <c r="CG464" i="12"/>
  <c r="CH464" i="12"/>
  <c r="CI464" i="12"/>
  <c r="CJ464" i="12"/>
  <c r="CK464" i="12"/>
  <c r="CL464" i="12"/>
  <c r="CM464" i="12"/>
  <c r="CN464" i="12"/>
  <c r="CO464" i="12"/>
  <c r="CP464" i="12"/>
  <c r="CQ464" i="12"/>
  <c r="CR464" i="12"/>
  <c r="CS464" i="12"/>
  <c r="CT464" i="12"/>
  <c r="CU464" i="12"/>
  <c r="CV464" i="12"/>
  <c r="CW464" i="12"/>
  <c r="CX464" i="12"/>
  <c r="CY464" i="12"/>
  <c r="CZ464" i="12"/>
  <c r="DA464" i="12"/>
  <c r="DB464" i="12"/>
  <c r="DV464" i="12"/>
  <c r="DW464" i="12"/>
  <c r="F465" i="12"/>
  <c r="G465" i="12"/>
  <c r="BL465" i="12" s="1"/>
  <c r="F465" i="13" s="1"/>
  <c r="BF465" i="12"/>
  <c r="BO465" i="12"/>
  <c r="BS465" i="12"/>
  <c r="BT465" i="12"/>
  <c r="BU465" i="12"/>
  <c r="BV465" i="12"/>
  <c r="BW465" i="12"/>
  <c r="BX465" i="12"/>
  <c r="BY465" i="12"/>
  <c r="BZ465" i="12"/>
  <c r="CA465" i="12"/>
  <c r="CB465" i="12"/>
  <c r="CC465" i="12"/>
  <c r="CD465" i="12"/>
  <c r="CE465" i="12"/>
  <c r="CF465" i="12"/>
  <c r="CG465" i="12"/>
  <c r="CH465" i="12"/>
  <c r="CI465" i="12"/>
  <c r="CJ465" i="12"/>
  <c r="CK465" i="12"/>
  <c r="CL465" i="12"/>
  <c r="CM465" i="12"/>
  <c r="CN465" i="12"/>
  <c r="CO465" i="12"/>
  <c r="CP465" i="12"/>
  <c r="CQ465" i="12"/>
  <c r="CR465" i="12"/>
  <c r="CS465" i="12"/>
  <c r="CT465" i="12"/>
  <c r="CU465" i="12"/>
  <c r="CV465" i="12"/>
  <c r="CW465" i="12"/>
  <c r="CX465" i="12"/>
  <c r="CY465" i="12"/>
  <c r="CZ465" i="12"/>
  <c r="DA465" i="12"/>
  <c r="DB465" i="12"/>
  <c r="DV465" i="12"/>
  <c r="DW465" i="12"/>
  <c r="F466" i="12"/>
  <c r="G466" i="12"/>
  <c r="DN466" i="12" s="1"/>
  <c r="BF466" i="12"/>
  <c r="BO466" i="12"/>
  <c r="BS466" i="12"/>
  <c r="BT466" i="12"/>
  <c r="BU466" i="12"/>
  <c r="BV466" i="12"/>
  <c r="BW466" i="12"/>
  <c r="BX466" i="12"/>
  <c r="BY466" i="12"/>
  <c r="BZ466" i="12"/>
  <c r="CA466" i="12"/>
  <c r="CB466" i="12"/>
  <c r="CC466" i="12"/>
  <c r="CD466" i="12"/>
  <c r="CE466" i="12"/>
  <c r="CF466" i="12"/>
  <c r="CG466" i="12"/>
  <c r="CH466" i="12"/>
  <c r="CI466" i="12"/>
  <c r="CJ466" i="12"/>
  <c r="CK466" i="12"/>
  <c r="CL466" i="12"/>
  <c r="CM466" i="12"/>
  <c r="CN466" i="12"/>
  <c r="CO466" i="12"/>
  <c r="CP466" i="12"/>
  <c r="CQ466" i="12"/>
  <c r="CR466" i="12"/>
  <c r="CS466" i="12"/>
  <c r="CT466" i="12"/>
  <c r="CU466" i="12"/>
  <c r="CV466" i="12"/>
  <c r="CW466" i="12"/>
  <c r="CX466" i="12"/>
  <c r="CY466" i="12"/>
  <c r="CZ466" i="12"/>
  <c r="DA466" i="12"/>
  <c r="DB466" i="12"/>
  <c r="DV466" i="12"/>
  <c r="DW466" i="12"/>
  <c r="F467" i="12"/>
  <c r="G467" i="12"/>
  <c r="DO467" i="12" s="1"/>
  <c r="BF467" i="12"/>
  <c r="BO467" i="12"/>
  <c r="BS467" i="12"/>
  <c r="BT467" i="12"/>
  <c r="BU467" i="12"/>
  <c r="BV467" i="12"/>
  <c r="BW467" i="12"/>
  <c r="BX467" i="12"/>
  <c r="BY467" i="12"/>
  <c r="BZ467" i="12"/>
  <c r="CA467" i="12"/>
  <c r="CB467" i="12"/>
  <c r="CC467" i="12"/>
  <c r="CD467" i="12"/>
  <c r="CE467" i="12"/>
  <c r="CF467" i="12"/>
  <c r="CG467" i="12"/>
  <c r="CH467" i="12"/>
  <c r="CI467" i="12"/>
  <c r="CJ467" i="12"/>
  <c r="CK467" i="12"/>
  <c r="CL467" i="12"/>
  <c r="CM467" i="12"/>
  <c r="CN467" i="12"/>
  <c r="CO467" i="12"/>
  <c r="CP467" i="12"/>
  <c r="CQ467" i="12"/>
  <c r="CR467" i="12"/>
  <c r="CS467" i="12"/>
  <c r="CT467" i="12"/>
  <c r="CU467" i="12"/>
  <c r="CV467" i="12"/>
  <c r="CW467" i="12"/>
  <c r="CX467" i="12"/>
  <c r="CY467" i="12"/>
  <c r="CZ467" i="12"/>
  <c r="DA467" i="12"/>
  <c r="DB467" i="12"/>
  <c r="DV467" i="12"/>
  <c r="DW467" i="12"/>
  <c r="F468" i="12"/>
  <c r="G468" i="12"/>
  <c r="BF468" i="12"/>
  <c r="BO468" i="12"/>
  <c r="BS468" i="12"/>
  <c r="BT468" i="12"/>
  <c r="BU468" i="12"/>
  <c r="BV468" i="12"/>
  <c r="BW468" i="12"/>
  <c r="BX468" i="12"/>
  <c r="BY468" i="12"/>
  <c r="BZ468" i="12"/>
  <c r="CA468" i="12"/>
  <c r="CB468" i="12"/>
  <c r="CC468" i="12"/>
  <c r="CD468" i="12"/>
  <c r="CE468" i="12"/>
  <c r="CF468" i="12"/>
  <c r="CG468" i="12"/>
  <c r="CH468" i="12"/>
  <c r="CI468" i="12"/>
  <c r="CJ468" i="12"/>
  <c r="CK468" i="12"/>
  <c r="CL468" i="12"/>
  <c r="CM468" i="12"/>
  <c r="CN468" i="12"/>
  <c r="CO468" i="12"/>
  <c r="CP468" i="12"/>
  <c r="CQ468" i="12"/>
  <c r="CR468" i="12"/>
  <c r="CS468" i="12"/>
  <c r="CT468" i="12"/>
  <c r="CU468" i="12"/>
  <c r="CV468" i="12"/>
  <c r="CW468" i="12"/>
  <c r="CX468" i="12"/>
  <c r="CY468" i="12"/>
  <c r="CZ468" i="12"/>
  <c r="DA468" i="12"/>
  <c r="DB468" i="12"/>
  <c r="DO468" i="12"/>
  <c r="DV468" i="12"/>
  <c r="DW468" i="12"/>
  <c r="F469" i="12"/>
  <c r="G469" i="12"/>
  <c r="BF469" i="12"/>
  <c r="BO469" i="12"/>
  <c r="BS469" i="12"/>
  <c r="BT469" i="12"/>
  <c r="BU469" i="12"/>
  <c r="BV469" i="12"/>
  <c r="BW469" i="12"/>
  <c r="BX469" i="12"/>
  <c r="BY469" i="12"/>
  <c r="BZ469" i="12"/>
  <c r="CA469" i="12"/>
  <c r="CB469" i="12"/>
  <c r="CC469" i="12"/>
  <c r="CD469" i="12"/>
  <c r="CE469" i="12"/>
  <c r="CF469" i="12"/>
  <c r="CG469" i="12"/>
  <c r="CH469" i="12"/>
  <c r="CI469" i="12"/>
  <c r="CJ469" i="12"/>
  <c r="CK469" i="12"/>
  <c r="CL469" i="12"/>
  <c r="CM469" i="12"/>
  <c r="CN469" i="12"/>
  <c r="CO469" i="12"/>
  <c r="CP469" i="12"/>
  <c r="CQ469" i="12"/>
  <c r="CR469" i="12"/>
  <c r="CS469" i="12"/>
  <c r="CT469" i="12"/>
  <c r="CU469" i="12"/>
  <c r="CV469" i="12"/>
  <c r="CW469" i="12"/>
  <c r="CX469" i="12"/>
  <c r="CY469" i="12"/>
  <c r="CZ469" i="12"/>
  <c r="DA469" i="12"/>
  <c r="DB469" i="12"/>
  <c r="DV469" i="12"/>
  <c r="DW469" i="12"/>
  <c r="F470" i="12"/>
  <c r="G470" i="12"/>
  <c r="DN470" i="12" s="1"/>
  <c r="BF470" i="12"/>
  <c r="BO470" i="12"/>
  <c r="BS470" i="12"/>
  <c r="BT470" i="12"/>
  <c r="BU470" i="12"/>
  <c r="BV470" i="12"/>
  <c r="BW470" i="12"/>
  <c r="BX470" i="12"/>
  <c r="BY470" i="12"/>
  <c r="BZ470" i="12"/>
  <c r="CA470" i="12"/>
  <c r="CB470" i="12"/>
  <c r="CC470" i="12"/>
  <c r="CD470" i="12"/>
  <c r="CE470" i="12"/>
  <c r="CF470" i="12"/>
  <c r="CG470" i="12"/>
  <c r="CH470" i="12"/>
  <c r="CI470" i="12"/>
  <c r="CJ470" i="12"/>
  <c r="CK470" i="12"/>
  <c r="CL470" i="12"/>
  <c r="CM470" i="12"/>
  <c r="CN470" i="12"/>
  <c r="CO470" i="12"/>
  <c r="CP470" i="12"/>
  <c r="CQ470" i="12"/>
  <c r="CR470" i="12"/>
  <c r="CS470" i="12"/>
  <c r="CT470" i="12"/>
  <c r="CU470" i="12"/>
  <c r="CV470" i="12"/>
  <c r="CW470" i="12"/>
  <c r="CX470" i="12"/>
  <c r="CY470" i="12"/>
  <c r="CZ470" i="12"/>
  <c r="DA470" i="12"/>
  <c r="DB470" i="12"/>
  <c r="DV470" i="12"/>
  <c r="DW470" i="12"/>
  <c r="F471" i="12"/>
  <c r="G471" i="12"/>
  <c r="DO471" i="12" s="1"/>
  <c r="BF471" i="12"/>
  <c r="BO471" i="12"/>
  <c r="BS471" i="12"/>
  <c r="BT471" i="12"/>
  <c r="BU471" i="12"/>
  <c r="BV471" i="12"/>
  <c r="BW471" i="12"/>
  <c r="BX471" i="12"/>
  <c r="BY471" i="12"/>
  <c r="BZ471" i="12"/>
  <c r="CA471" i="12"/>
  <c r="CB471" i="12"/>
  <c r="CC471" i="12"/>
  <c r="CD471" i="12"/>
  <c r="CE471" i="12"/>
  <c r="CF471" i="12"/>
  <c r="CG471" i="12"/>
  <c r="CH471" i="12"/>
  <c r="CI471" i="12"/>
  <c r="CJ471" i="12"/>
  <c r="CK471" i="12"/>
  <c r="CL471" i="12"/>
  <c r="CM471" i="12"/>
  <c r="CN471" i="12"/>
  <c r="CO471" i="12"/>
  <c r="CP471" i="12"/>
  <c r="CQ471" i="12"/>
  <c r="CR471" i="12"/>
  <c r="CS471" i="12"/>
  <c r="CT471" i="12"/>
  <c r="CU471" i="12"/>
  <c r="CV471" i="12"/>
  <c r="CW471" i="12"/>
  <c r="CX471" i="12"/>
  <c r="CY471" i="12"/>
  <c r="CZ471" i="12"/>
  <c r="DA471" i="12"/>
  <c r="DB471" i="12"/>
  <c r="DV471" i="12"/>
  <c r="DW471" i="12"/>
  <c r="F472" i="12"/>
  <c r="G472" i="12"/>
  <c r="DO472" i="12" s="1"/>
  <c r="BF472" i="12"/>
  <c r="BO472" i="12"/>
  <c r="BS472" i="12"/>
  <c r="BT472" i="12"/>
  <c r="BU472" i="12"/>
  <c r="BV472" i="12"/>
  <c r="BW472" i="12"/>
  <c r="BX472" i="12"/>
  <c r="BY472" i="12"/>
  <c r="BZ472" i="12"/>
  <c r="CA472" i="12"/>
  <c r="CB472" i="12"/>
  <c r="CC472" i="12"/>
  <c r="CD472" i="12"/>
  <c r="CE472" i="12"/>
  <c r="CF472" i="12"/>
  <c r="CG472" i="12"/>
  <c r="CH472" i="12"/>
  <c r="CI472" i="12"/>
  <c r="CJ472" i="12"/>
  <c r="CK472" i="12"/>
  <c r="CL472" i="12"/>
  <c r="CM472" i="12"/>
  <c r="CN472" i="12"/>
  <c r="CO472" i="12"/>
  <c r="CP472" i="12"/>
  <c r="CQ472" i="12"/>
  <c r="CR472" i="12"/>
  <c r="CS472" i="12"/>
  <c r="CT472" i="12"/>
  <c r="CU472" i="12"/>
  <c r="CV472" i="12"/>
  <c r="CW472" i="12"/>
  <c r="CX472" i="12"/>
  <c r="CY472" i="12"/>
  <c r="CZ472" i="12"/>
  <c r="DA472" i="12"/>
  <c r="DB472" i="12"/>
  <c r="DV472" i="12"/>
  <c r="DW472" i="12"/>
  <c r="F473" i="12"/>
  <c r="G473" i="12"/>
  <c r="BL473" i="12" s="1"/>
  <c r="F473" i="13" s="1"/>
  <c r="BF473" i="12"/>
  <c r="BO473" i="12"/>
  <c r="BS473" i="12"/>
  <c r="BT473" i="12"/>
  <c r="BU473" i="12"/>
  <c r="BV473" i="12"/>
  <c r="BW473" i="12"/>
  <c r="BX473" i="12"/>
  <c r="BY473" i="12"/>
  <c r="BZ473" i="12"/>
  <c r="CA473" i="12"/>
  <c r="CB473" i="12"/>
  <c r="CC473" i="12"/>
  <c r="CD473" i="12"/>
  <c r="CE473" i="12"/>
  <c r="CF473" i="12"/>
  <c r="CG473" i="12"/>
  <c r="CH473" i="12"/>
  <c r="CI473" i="12"/>
  <c r="CJ473" i="12"/>
  <c r="CK473" i="12"/>
  <c r="CL473" i="12"/>
  <c r="CM473" i="12"/>
  <c r="CN473" i="12"/>
  <c r="CO473" i="12"/>
  <c r="CP473" i="12"/>
  <c r="CQ473" i="12"/>
  <c r="CR473" i="12"/>
  <c r="CS473" i="12"/>
  <c r="CT473" i="12"/>
  <c r="CU473" i="12"/>
  <c r="CV473" i="12"/>
  <c r="CW473" i="12"/>
  <c r="CX473" i="12"/>
  <c r="CY473" i="12"/>
  <c r="CZ473" i="12"/>
  <c r="DA473" i="12"/>
  <c r="DB473" i="12"/>
  <c r="DV473" i="12"/>
  <c r="DW473" i="12"/>
  <c r="F474" i="12"/>
  <c r="G474" i="12"/>
  <c r="DN474" i="12" s="1"/>
  <c r="BF474" i="12"/>
  <c r="BO474" i="12"/>
  <c r="BS474" i="12"/>
  <c r="BT474" i="12"/>
  <c r="BU474" i="12"/>
  <c r="BV474" i="12"/>
  <c r="BW474" i="12"/>
  <c r="BX474" i="12"/>
  <c r="BY474" i="12"/>
  <c r="BZ474" i="12"/>
  <c r="CA474" i="12"/>
  <c r="CB474" i="12"/>
  <c r="CC474" i="12"/>
  <c r="CD474" i="12"/>
  <c r="CE474" i="12"/>
  <c r="CF474" i="12"/>
  <c r="CG474" i="12"/>
  <c r="CH474" i="12"/>
  <c r="CI474" i="12"/>
  <c r="CJ474" i="12"/>
  <c r="CK474" i="12"/>
  <c r="CL474" i="12"/>
  <c r="CM474" i="12"/>
  <c r="CN474" i="12"/>
  <c r="CO474" i="12"/>
  <c r="CP474" i="12"/>
  <c r="CQ474" i="12"/>
  <c r="CR474" i="12"/>
  <c r="CS474" i="12"/>
  <c r="CT474" i="12"/>
  <c r="CU474" i="12"/>
  <c r="CV474" i="12"/>
  <c r="CW474" i="12"/>
  <c r="CX474" i="12"/>
  <c r="CY474" i="12"/>
  <c r="CZ474" i="12"/>
  <c r="DA474" i="12"/>
  <c r="DB474" i="12"/>
  <c r="DV474" i="12"/>
  <c r="DW474" i="12"/>
  <c r="F475" i="12"/>
  <c r="G475" i="12"/>
  <c r="DO475" i="12" s="1"/>
  <c r="BF475" i="12"/>
  <c r="BO475" i="12"/>
  <c r="BS475" i="12"/>
  <c r="BT475" i="12"/>
  <c r="BU475" i="12"/>
  <c r="BV475" i="12"/>
  <c r="BW475" i="12"/>
  <c r="BX475" i="12"/>
  <c r="BY475" i="12"/>
  <c r="BZ475" i="12"/>
  <c r="CA475" i="12"/>
  <c r="CB475" i="12"/>
  <c r="CC475" i="12"/>
  <c r="CD475" i="12"/>
  <c r="CE475" i="12"/>
  <c r="CF475" i="12"/>
  <c r="CG475" i="12"/>
  <c r="CH475" i="12"/>
  <c r="CI475" i="12"/>
  <c r="CJ475" i="12"/>
  <c r="CK475" i="12"/>
  <c r="CL475" i="12"/>
  <c r="CM475" i="12"/>
  <c r="CN475" i="12"/>
  <c r="CO475" i="12"/>
  <c r="CP475" i="12"/>
  <c r="CQ475" i="12"/>
  <c r="CR475" i="12"/>
  <c r="CS475" i="12"/>
  <c r="CT475" i="12"/>
  <c r="CU475" i="12"/>
  <c r="CV475" i="12"/>
  <c r="CW475" i="12"/>
  <c r="CX475" i="12"/>
  <c r="CY475" i="12"/>
  <c r="CZ475" i="12"/>
  <c r="DA475" i="12"/>
  <c r="DB475" i="12"/>
  <c r="DV475" i="12"/>
  <c r="DW475" i="12"/>
  <c r="F476" i="12"/>
  <c r="G476" i="12"/>
  <c r="DO476" i="12" s="1"/>
  <c r="BF476" i="12"/>
  <c r="BO476" i="12"/>
  <c r="BS476" i="12"/>
  <c r="BT476" i="12"/>
  <c r="BU476" i="12"/>
  <c r="BV476" i="12"/>
  <c r="BW476" i="12"/>
  <c r="BX476" i="12"/>
  <c r="BY476" i="12"/>
  <c r="BZ476" i="12"/>
  <c r="CA476" i="12"/>
  <c r="CB476" i="12"/>
  <c r="CC476" i="12"/>
  <c r="CD476" i="12"/>
  <c r="CE476" i="12"/>
  <c r="CF476" i="12"/>
  <c r="CG476" i="12"/>
  <c r="CH476" i="12"/>
  <c r="CI476" i="12"/>
  <c r="CJ476" i="12"/>
  <c r="CK476" i="12"/>
  <c r="CL476" i="12"/>
  <c r="CM476" i="12"/>
  <c r="CN476" i="12"/>
  <c r="CO476" i="12"/>
  <c r="CP476" i="12"/>
  <c r="CQ476" i="12"/>
  <c r="CR476" i="12"/>
  <c r="CS476" i="12"/>
  <c r="CT476" i="12"/>
  <c r="CU476" i="12"/>
  <c r="CV476" i="12"/>
  <c r="CW476" i="12"/>
  <c r="CX476" i="12"/>
  <c r="CY476" i="12"/>
  <c r="CZ476" i="12"/>
  <c r="DA476" i="12"/>
  <c r="DB476" i="12"/>
  <c r="DV476" i="12"/>
  <c r="DW476" i="12"/>
  <c r="F477" i="12"/>
  <c r="G477" i="12"/>
  <c r="BF477" i="12"/>
  <c r="BO477" i="12"/>
  <c r="BS477" i="12"/>
  <c r="BT477" i="12"/>
  <c r="BU477" i="12"/>
  <c r="BV477" i="12"/>
  <c r="BW477" i="12"/>
  <c r="BX477" i="12"/>
  <c r="BY477" i="12"/>
  <c r="BZ477" i="12"/>
  <c r="CA477" i="12"/>
  <c r="CB477" i="12"/>
  <c r="CC477" i="12"/>
  <c r="CD477" i="12"/>
  <c r="CE477" i="12"/>
  <c r="CF477" i="12"/>
  <c r="CG477" i="12"/>
  <c r="CH477" i="12"/>
  <c r="CI477" i="12"/>
  <c r="CJ477" i="12"/>
  <c r="CK477" i="12"/>
  <c r="CL477" i="12"/>
  <c r="CM477" i="12"/>
  <c r="CN477" i="12"/>
  <c r="CO477" i="12"/>
  <c r="CP477" i="12"/>
  <c r="CQ477" i="12"/>
  <c r="CR477" i="12"/>
  <c r="CS477" i="12"/>
  <c r="CT477" i="12"/>
  <c r="CU477" i="12"/>
  <c r="CV477" i="12"/>
  <c r="CW477" i="12"/>
  <c r="CX477" i="12"/>
  <c r="CY477" i="12"/>
  <c r="CZ477" i="12"/>
  <c r="DA477" i="12"/>
  <c r="DB477" i="12"/>
  <c r="DV477" i="12"/>
  <c r="DW477" i="12"/>
  <c r="F478" i="12"/>
  <c r="G478" i="12"/>
  <c r="DL478" i="12" s="1"/>
  <c r="BF478" i="12"/>
  <c r="BO478" i="12"/>
  <c r="BS478" i="12"/>
  <c r="BT478" i="12"/>
  <c r="BU478" i="12"/>
  <c r="BV478" i="12"/>
  <c r="BW478" i="12"/>
  <c r="BX478" i="12"/>
  <c r="BY478" i="12"/>
  <c r="BZ478" i="12"/>
  <c r="CA478" i="12"/>
  <c r="CB478" i="12"/>
  <c r="CC478" i="12"/>
  <c r="CD478" i="12"/>
  <c r="CE478" i="12"/>
  <c r="CF478" i="12"/>
  <c r="CG478" i="12"/>
  <c r="CH478" i="12"/>
  <c r="CI478" i="12"/>
  <c r="CJ478" i="12"/>
  <c r="CK478" i="12"/>
  <c r="CL478" i="12"/>
  <c r="CM478" i="12"/>
  <c r="CN478" i="12"/>
  <c r="CO478" i="12"/>
  <c r="CP478" i="12"/>
  <c r="CQ478" i="12"/>
  <c r="CR478" i="12"/>
  <c r="CS478" i="12"/>
  <c r="CT478" i="12"/>
  <c r="CU478" i="12"/>
  <c r="CV478" i="12"/>
  <c r="CW478" i="12"/>
  <c r="CX478" i="12"/>
  <c r="CY478" i="12"/>
  <c r="CZ478" i="12"/>
  <c r="DA478" i="12"/>
  <c r="DB478" i="12"/>
  <c r="DV478" i="12"/>
  <c r="DW478" i="12"/>
  <c r="F479" i="12"/>
  <c r="G479" i="12"/>
  <c r="DK479" i="12" s="1"/>
  <c r="BF479" i="12"/>
  <c r="BO479" i="12"/>
  <c r="BS479" i="12"/>
  <c r="BT479" i="12"/>
  <c r="BU479" i="12"/>
  <c r="BV479" i="12"/>
  <c r="BW479" i="12"/>
  <c r="BX479" i="12"/>
  <c r="BY479" i="12"/>
  <c r="BZ479" i="12"/>
  <c r="CA479" i="12"/>
  <c r="CB479" i="12"/>
  <c r="CC479" i="12"/>
  <c r="CD479" i="12"/>
  <c r="CE479" i="12"/>
  <c r="CF479" i="12"/>
  <c r="CG479" i="12"/>
  <c r="CH479" i="12"/>
  <c r="CI479" i="12"/>
  <c r="CJ479" i="12"/>
  <c r="CK479" i="12"/>
  <c r="CL479" i="12"/>
  <c r="CM479" i="12"/>
  <c r="CN479" i="12"/>
  <c r="CO479" i="12"/>
  <c r="CP479" i="12"/>
  <c r="CQ479" i="12"/>
  <c r="CR479" i="12"/>
  <c r="CS479" i="12"/>
  <c r="CT479" i="12"/>
  <c r="CU479" i="12"/>
  <c r="CV479" i="12"/>
  <c r="CW479" i="12"/>
  <c r="CX479" i="12"/>
  <c r="CY479" i="12"/>
  <c r="CZ479" i="12"/>
  <c r="DA479" i="12"/>
  <c r="DB479" i="12"/>
  <c r="DV479" i="12"/>
  <c r="DW479" i="12"/>
  <c r="F480" i="12"/>
  <c r="G480" i="12"/>
  <c r="EK480" i="12" s="1"/>
  <c r="BF480" i="12"/>
  <c r="BO480" i="12"/>
  <c r="BS480" i="12"/>
  <c r="BT480" i="12"/>
  <c r="BU480" i="12"/>
  <c r="BV480" i="12"/>
  <c r="BW480" i="12"/>
  <c r="BX480" i="12"/>
  <c r="BY480" i="12"/>
  <c r="BZ480" i="12"/>
  <c r="CA480" i="12"/>
  <c r="CB480" i="12"/>
  <c r="CC480" i="12"/>
  <c r="CD480" i="12"/>
  <c r="CE480" i="12"/>
  <c r="CF480" i="12"/>
  <c r="CG480" i="12"/>
  <c r="CH480" i="12"/>
  <c r="CI480" i="12"/>
  <c r="CJ480" i="12"/>
  <c r="CK480" i="12"/>
  <c r="CL480" i="12"/>
  <c r="CM480" i="12"/>
  <c r="CN480" i="12"/>
  <c r="CO480" i="12"/>
  <c r="CP480" i="12"/>
  <c r="CQ480" i="12"/>
  <c r="CR480" i="12"/>
  <c r="CS480" i="12"/>
  <c r="CT480" i="12"/>
  <c r="CU480" i="12"/>
  <c r="CV480" i="12"/>
  <c r="CW480" i="12"/>
  <c r="CX480" i="12"/>
  <c r="CY480" i="12"/>
  <c r="CZ480" i="12"/>
  <c r="DA480" i="12"/>
  <c r="DB480" i="12"/>
  <c r="DV480" i="12"/>
  <c r="DW480" i="12"/>
  <c r="F481" i="12"/>
  <c r="G481" i="12"/>
  <c r="DK481" i="12" s="1"/>
  <c r="BF481" i="12"/>
  <c r="BO481" i="12"/>
  <c r="BS481" i="12"/>
  <c r="BT481" i="12"/>
  <c r="BU481" i="12"/>
  <c r="BV481" i="12"/>
  <c r="BW481" i="12"/>
  <c r="BX481" i="12"/>
  <c r="BY481" i="12"/>
  <c r="BZ481" i="12"/>
  <c r="CA481" i="12"/>
  <c r="CB481" i="12"/>
  <c r="CC481" i="12"/>
  <c r="CD481" i="12"/>
  <c r="CE481" i="12"/>
  <c r="CF481" i="12"/>
  <c r="CG481" i="12"/>
  <c r="CH481" i="12"/>
  <c r="CI481" i="12"/>
  <c r="CJ481" i="12"/>
  <c r="CK481" i="12"/>
  <c r="CL481" i="12"/>
  <c r="CM481" i="12"/>
  <c r="CN481" i="12"/>
  <c r="CO481" i="12"/>
  <c r="CP481" i="12"/>
  <c r="CQ481" i="12"/>
  <c r="CR481" i="12"/>
  <c r="CS481" i="12"/>
  <c r="CT481" i="12"/>
  <c r="CU481" i="12"/>
  <c r="CV481" i="12"/>
  <c r="CW481" i="12"/>
  <c r="CX481" i="12"/>
  <c r="CY481" i="12"/>
  <c r="CZ481" i="12"/>
  <c r="DA481" i="12"/>
  <c r="DB481" i="12"/>
  <c r="DJ481" i="12"/>
  <c r="DV481" i="12"/>
  <c r="DW481" i="12"/>
  <c r="F482" i="12"/>
  <c r="G482" i="12"/>
  <c r="BF482" i="12"/>
  <c r="BO482" i="12"/>
  <c r="BS482" i="12"/>
  <c r="BT482" i="12"/>
  <c r="BU482" i="12"/>
  <c r="BV482" i="12"/>
  <c r="BW482" i="12"/>
  <c r="BX482" i="12"/>
  <c r="BY482" i="12"/>
  <c r="BZ482" i="12"/>
  <c r="CA482" i="12"/>
  <c r="CB482" i="12"/>
  <c r="CC482" i="12"/>
  <c r="CD482" i="12"/>
  <c r="CE482" i="12"/>
  <c r="CF482" i="12"/>
  <c r="CG482" i="12"/>
  <c r="CH482" i="12"/>
  <c r="CI482" i="12"/>
  <c r="CJ482" i="12"/>
  <c r="CK482" i="12"/>
  <c r="CL482" i="12"/>
  <c r="CM482" i="12"/>
  <c r="CN482" i="12"/>
  <c r="CO482" i="12"/>
  <c r="CP482" i="12"/>
  <c r="CQ482" i="12"/>
  <c r="CR482" i="12"/>
  <c r="CS482" i="12"/>
  <c r="CT482" i="12"/>
  <c r="CU482" i="12"/>
  <c r="CV482" i="12"/>
  <c r="CW482" i="12"/>
  <c r="CX482" i="12"/>
  <c r="CY482" i="12"/>
  <c r="CZ482" i="12"/>
  <c r="DA482" i="12"/>
  <c r="DB482" i="12"/>
  <c r="DV482" i="12"/>
  <c r="DW482" i="12"/>
  <c r="F483" i="12"/>
  <c r="G483" i="12"/>
  <c r="BF483" i="12"/>
  <c r="BO483" i="12"/>
  <c r="BS483" i="12"/>
  <c r="BT483" i="12"/>
  <c r="BU483" i="12"/>
  <c r="BV483" i="12"/>
  <c r="BW483" i="12"/>
  <c r="BX483" i="12"/>
  <c r="BY483" i="12"/>
  <c r="BZ483" i="12"/>
  <c r="CA483" i="12"/>
  <c r="CB483" i="12"/>
  <c r="CC483" i="12"/>
  <c r="CD483" i="12"/>
  <c r="CE483" i="12"/>
  <c r="CF483" i="12"/>
  <c r="CG483" i="12"/>
  <c r="CH483" i="12"/>
  <c r="CI483" i="12"/>
  <c r="CJ483" i="12"/>
  <c r="CK483" i="12"/>
  <c r="CL483" i="12"/>
  <c r="CM483" i="12"/>
  <c r="CN483" i="12"/>
  <c r="CO483" i="12"/>
  <c r="CP483" i="12"/>
  <c r="CQ483" i="12"/>
  <c r="CR483" i="12"/>
  <c r="CS483" i="12"/>
  <c r="CT483" i="12"/>
  <c r="CU483" i="12"/>
  <c r="CV483" i="12"/>
  <c r="CW483" i="12"/>
  <c r="CX483" i="12"/>
  <c r="CY483" i="12"/>
  <c r="CZ483" i="12"/>
  <c r="DA483" i="12"/>
  <c r="DB483" i="12"/>
  <c r="DV483" i="12"/>
  <c r="DW483" i="12"/>
  <c r="F484" i="12"/>
  <c r="G484" i="12"/>
  <c r="DI484" i="12" s="1"/>
  <c r="BF484" i="12"/>
  <c r="BO484" i="12"/>
  <c r="BS484" i="12"/>
  <c r="BT484" i="12"/>
  <c r="BU484" i="12"/>
  <c r="BV484" i="12"/>
  <c r="BW484" i="12"/>
  <c r="BX484" i="12"/>
  <c r="BY484" i="12"/>
  <c r="BZ484" i="12"/>
  <c r="CA484" i="12"/>
  <c r="CB484" i="12"/>
  <c r="CC484" i="12"/>
  <c r="CD484" i="12"/>
  <c r="CE484" i="12"/>
  <c r="CF484" i="12"/>
  <c r="CG484" i="12"/>
  <c r="CH484" i="12"/>
  <c r="CI484" i="12"/>
  <c r="CJ484" i="12"/>
  <c r="CK484" i="12"/>
  <c r="CL484" i="12"/>
  <c r="CM484" i="12"/>
  <c r="CN484" i="12"/>
  <c r="CO484" i="12"/>
  <c r="CP484" i="12"/>
  <c r="CQ484" i="12"/>
  <c r="CR484" i="12"/>
  <c r="CS484" i="12"/>
  <c r="CT484" i="12"/>
  <c r="CU484" i="12"/>
  <c r="CV484" i="12"/>
  <c r="CW484" i="12"/>
  <c r="CX484" i="12"/>
  <c r="CY484" i="12"/>
  <c r="CZ484" i="12"/>
  <c r="DA484" i="12"/>
  <c r="DB484" i="12"/>
  <c r="DV484" i="12"/>
  <c r="DW484" i="12"/>
  <c r="F485" i="12"/>
  <c r="G485" i="12"/>
  <c r="DK485" i="12" s="1"/>
  <c r="BF485" i="12"/>
  <c r="BO485" i="12"/>
  <c r="BS485" i="12"/>
  <c r="BT485" i="12"/>
  <c r="BU485" i="12"/>
  <c r="BV485" i="12"/>
  <c r="BW485" i="12"/>
  <c r="BX485" i="12"/>
  <c r="BY485" i="12"/>
  <c r="BZ485" i="12"/>
  <c r="CA485" i="12"/>
  <c r="CB485" i="12"/>
  <c r="CC485" i="12"/>
  <c r="CD485" i="12"/>
  <c r="CE485" i="12"/>
  <c r="CF485" i="12"/>
  <c r="CG485" i="12"/>
  <c r="CH485" i="12"/>
  <c r="CI485" i="12"/>
  <c r="CJ485" i="12"/>
  <c r="CK485" i="12"/>
  <c r="CL485" i="12"/>
  <c r="CM485" i="12"/>
  <c r="CN485" i="12"/>
  <c r="CO485" i="12"/>
  <c r="CP485" i="12"/>
  <c r="CQ485" i="12"/>
  <c r="CR485" i="12"/>
  <c r="CS485" i="12"/>
  <c r="CT485" i="12"/>
  <c r="CU485" i="12"/>
  <c r="CV485" i="12"/>
  <c r="CW485" i="12"/>
  <c r="CX485" i="12"/>
  <c r="CY485" i="12"/>
  <c r="CZ485" i="12"/>
  <c r="DA485" i="12"/>
  <c r="DB485" i="12"/>
  <c r="DJ485" i="12"/>
  <c r="DV485" i="12"/>
  <c r="DW485" i="12"/>
  <c r="F486" i="12"/>
  <c r="G486" i="12"/>
  <c r="BF486" i="12"/>
  <c r="BO486" i="12"/>
  <c r="BS486" i="12"/>
  <c r="BT486" i="12"/>
  <c r="BU486" i="12"/>
  <c r="BV486" i="12"/>
  <c r="BW486" i="12"/>
  <c r="BX486" i="12"/>
  <c r="BY486" i="12"/>
  <c r="BZ486" i="12"/>
  <c r="CA486" i="12"/>
  <c r="CB486" i="12"/>
  <c r="CC486" i="12"/>
  <c r="CD486" i="12"/>
  <c r="CE486" i="12"/>
  <c r="CF486" i="12"/>
  <c r="CG486" i="12"/>
  <c r="CH486" i="12"/>
  <c r="CI486" i="12"/>
  <c r="CJ486" i="12"/>
  <c r="CK486" i="12"/>
  <c r="CL486" i="12"/>
  <c r="CM486" i="12"/>
  <c r="CN486" i="12"/>
  <c r="CO486" i="12"/>
  <c r="CP486" i="12"/>
  <c r="CQ486" i="12"/>
  <c r="CR486" i="12"/>
  <c r="CS486" i="12"/>
  <c r="CT486" i="12"/>
  <c r="CU486" i="12"/>
  <c r="CV486" i="12"/>
  <c r="CW486" i="12"/>
  <c r="CX486" i="12"/>
  <c r="CY486" i="12"/>
  <c r="CZ486" i="12"/>
  <c r="DA486" i="12"/>
  <c r="DB486" i="12"/>
  <c r="DV486" i="12"/>
  <c r="DW486" i="12"/>
  <c r="F487" i="12"/>
  <c r="G487" i="12"/>
  <c r="BF487" i="12"/>
  <c r="BO487" i="12"/>
  <c r="BS487" i="12"/>
  <c r="BT487" i="12"/>
  <c r="BU487" i="12"/>
  <c r="BV487" i="12"/>
  <c r="BW487" i="12"/>
  <c r="BX487" i="12"/>
  <c r="BY487" i="12"/>
  <c r="BZ487" i="12"/>
  <c r="CA487" i="12"/>
  <c r="CB487" i="12"/>
  <c r="CC487" i="12"/>
  <c r="CD487" i="12"/>
  <c r="CE487" i="12"/>
  <c r="CF487" i="12"/>
  <c r="CG487" i="12"/>
  <c r="CH487" i="12"/>
  <c r="CI487" i="12"/>
  <c r="CJ487" i="12"/>
  <c r="CK487" i="12"/>
  <c r="CL487" i="12"/>
  <c r="CM487" i="12"/>
  <c r="CN487" i="12"/>
  <c r="CO487" i="12"/>
  <c r="CP487" i="12"/>
  <c r="CQ487" i="12"/>
  <c r="CR487" i="12"/>
  <c r="CS487" i="12"/>
  <c r="CT487" i="12"/>
  <c r="CU487" i="12"/>
  <c r="CV487" i="12"/>
  <c r="CW487" i="12"/>
  <c r="CX487" i="12"/>
  <c r="CY487" i="12"/>
  <c r="CZ487" i="12"/>
  <c r="DA487" i="12"/>
  <c r="DB487" i="12"/>
  <c r="DO487" i="12"/>
  <c r="DV487" i="12"/>
  <c r="DW487" i="12"/>
  <c r="F488" i="12"/>
  <c r="G488" i="12"/>
  <c r="DI488" i="12" s="1"/>
  <c r="BF488" i="12"/>
  <c r="BO488" i="12"/>
  <c r="BS488" i="12"/>
  <c r="BT488" i="12"/>
  <c r="BU488" i="12"/>
  <c r="BV488" i="12"/>
  <c r="BW488" i="12"/>
  <c r="BX488" i="12"/>
  <c r="BY488" i="12"/>
  <c r="BZ488" i="12"/>
  <c r="CA488" i="12"/>
  <c r="CB488" i="12"/>
  <c r="CC488" i="12"/>
  <c r="CD488" i="12"/>
  <c r="CE488" i="12"/>
  <c r="CF488" i="12"/>
  <c r="CG488" i="12"/>
  <c r="CH488" i="12"/>
  <c r="CI488" i="12"/>
  <c r="CJ488" i="12"/>
  <c r="CK488" i="12"/>
  <c r="CL488" i="12"/>
  <c r="CM488" i="12"/>
  <c r="CN488" i="12"/>
  <c r="CO488" i="12"/>
  <c r="CP488" i="12"/>
  <c r="CQ488" i="12"/>
  <c r="CR488" i="12"/>
  <c r="CS488" i="12"/>
  <c r="CT488" i="12"/>
  <c r="CU488" i="12"/>
  <c r="CV488" i="12"/>
  <c r="CW488" i="12"/>
  <c r="CX488" i="12"/>
  <c r="CY488" i="12"/>
  <c r="CZ488" i="12"/>
  <c r="DA488" i="12"/>
  <c r="DB488" i="12"/>
  <c r="DM488" i="12"/>
  <c r="DV488" i="12"/>
  <c r="DW488" i="12"/>
  <c r="F489" i="12"/>
  <c r="G489" i="12"/>
  <c r="DN489" i="12" s="1"/>
  <c r="BF489" i="12"/>
  <c r="BO489" i="12"/>
  <c r="BS489" i="12"/>
  <c r="BT489" i="12"/>
  <c r="BU489" i="12"/>
  <c r="BV489" i="12"/>
  <c r="BW489" i="12"/>
  <c r="BX489" i="12"/>
  <c r="BY489" i="12"/>
  <c r="BZ489" i="12"/>
  <c r="CA489" i="12"/>
  <c r="CB489" i="12"/>
  <c r="CC489" i="12"/>
  <c r="CD489" i="12"/>
  <c r="CE489" i="12"/>
  <c r="CF489" i="12"/>
  <c r="CG489" i="12"/>
  <c r="CH489" i="12"/>
  <c r="CI489" i="12"/>
  <c r="CJ489" i="12"/>
  <c r="CK489" i="12"/>
  <c r="CL489" i="12"/>
  <c r="CM489" i="12"/>
  <c r="CN489" i="12"/>
  <c r="CO489" i="12"/>
  <c r="CP489" i="12"/>
  <c r="CQ489" i="12"/>
  <c r="CR489" i="12"/>
  <c r="CS489" i="12"/>
  <c r="CT489" i="12"/>
  <c r="CU489" i="12"/>
  <c r="CV489" i="12"/>
  <c r="CW489" i="12"/>
  <c r="CX489" i="12"/>
  <c r="CY489" i="12"/>
  <c r="CZ489" i="12"/>
  <c r="DA489" i="12"/>
  <c r="DB489" i="12"/>
  <c r="DJ489" i="12"/>
  <c r="DK489" i="12"/>
  <c r="DV489" i="12"/>
  <c r="DW489" i="12"/>
  <c r="F490" i="12"/>
  <c r="G490" i="12"/>
  <c r="V490" i="12" s="1"/>
  <c r="BF490" i="12"/>
  <c r="BO490" i="12"/>
  <c r="BS490" i="12"/>
  <c r="BT490" i="12"/>
  <c r="BU490" i="12"/>
  <c r="BV490" i="12"/>
  <c r="BW490" i="12"/>
  <c r="BX490" i="12"/>
  <c r="BY490" i="12"/>
  <c r="BZ490" i="12"/>
  <c r="CA490" i="12"/>
  <c r="CB490" i="12"/>
  <c r="CC490" i="12"/>
  <c r="CD490" i="12"/>
  <c r="CE490" i="12"/>
  <c r="CF490" i="12"/>
  <c r="CG490" i="12"/>
  <c r="CH490" i="12"/>
  <c r="CI490" i="12"/>
  <c r="CJ490" i="12"/>
  <c r="CK490" i="12"/>
  <c r="CL490" i="12"/>
  <c r="CM490" i="12"/>
  <c r="CN490" i="12"/>
  <c r="CO490" i="12"/>
  <c r="CP490" i="12"/>
  <c r="CQ490" i="12"/>
  <c r="CR490" i="12"/>
  <c r="CS490" i="12"/>
  <c r="CT490" i="12"/>
  <c r="CU490" i="12"/>
  <c r="CV490" i="12"/>
  <c r="CW490" i="12"/>
  <c r="CX490" i="12"/>
  <c r="CY490" i="12"/>
  <c r="CZ490" i="12"/>
  <c r="DA490" i="12"/>
  <c r="DB490" i="12"/>
  <c r="DI490" i="12"/>
  <c r="DK490" i="12"/>
  <c r="DV490" i="12"/>
  <c r="DW490" i="12"/>
  <c r="F491" i="12"/>
  <c r="G491" i="12"/>
  <c r="DN491" i="12" s="1"/>
  <c r="BF491" i="12"/>
  <c r="BO491" i="12"/>
  <c r="BS491" i="12"/>
  <c r="BT491" i="12"/>
  <c r="BU491" i="12"/>
  <c r="BV491" i="12"/>
  <c r="BW491" i="12"/>
  <c r="BX491" i="12"/>
  <c r="BY491" i="12"/>
  <c r="BZ491" i="12"/>
  <c r="CA491" i="12"/>
  <c r="CB491" i="12"/>
  <c r="CC491" i="12"/>
  <c r="CD491" i="12"/>
  <c r="CE491" i="12"/>
  <c r="CF491" i="12"/>
  <c r="CG491" i="12"/>
  <c r="CH491" i="12"/>
  <c r="CI491" i="12"/>
  <c r="CJ491" i="12"/>
  <c r="CK491" i="12"/>
  <c r="CL491" i="12"/>
  <c r="CM491" i="12"/>
  <c r="CN491" i="12"/>
  <c r="CO491" i="12"/>
  <c r="CP491" i="12"/>
  <c r="CQ491" i="12"/>
  <c r="CR491" i="12"/>
  <c r="CS491" i="12"/>
  <c r="CT491" i="12"/>
  <c r="CU491" i="12"/>
  <c r="CV491" i="12"/>
  <c r="CW491" i="12"/>
  <c r="CX491" i="12"/>
  <c r="CY491" i="12"/>
  <c r="CZ491" i="12"/>
  <c r="DA491" i="12"/>
  <c r="DB491" i="12"/>
  <c r="DJ491" i="12"/>
  <c r="DK491" i="12"/>
  <c r="DV491" i="12"/>
  <c r="DW491" i="12"/>
  <c r="F492" i="12"/>
  <c r="G492" i="12"/>
  <c r="DI492" i="12" s="1"/>
  <c r="BF492" i="12"/>
  <c r="BO492" i="12"/>
  <c r="BS492" i="12"/>
  <c r="BT492" i="12"/>
  <c r="BU492" i="12"/>
  <c r="BV492" i="12"/>
  <c r="BW492" i="12"/>
  <c r="BX492" i="12"/>
  <c r="BY492" i="12"/>
  <c r="BZ492" i="12"/>
  <c r="CA492" i="12"/>
  <c r="CB492" i="12"/>
  <c r="CC492" i="12"/>
  <c r="CD492" i="12"/>
  <c r="CE492" i="12"/>
  <c r="CF492" i="12"/>
  <c r="CG492" i="12"/>
  <c r="CH492" i="12"/>
  <c r="CI492" i="12"/>
  <c r="CJ492" i="12"/>
  <c r="CK492" i="12"/>
  <c r="CL492" i="12"/>
  <c r="CM492" i="12"/>
  <c r="CN492" i="12"/>
  <c r="CO492" i="12"/>
  <c r="CP492" i="12"/>
  <c r="CQ492" i="12"/>
  <c r="CR492" i="12"/>
  <c r="CS492" i="12"/>
  <c r="CT492" i="12"/>
  <c r="CU492" i="12"/>
  <c r="CV492" i="12"/>
  <c r="CW492" i="12"/>
  <c r="CX492" i="12"/>
  <c r="CY492" i="12"/>
  <c r="CZ492" i="12"/>
  <c r="DA492" i="12"/>
  <c r="DB492" i="12"/>
  <c r="DM492" i="12"/>
  <c r="DV492" i="12"/>
  <c r="DW492" i="12"/>
  <c r="F493" i="12"/>
  <c r="G493" i="12"/>
  <c r="DK493" i="12" s="1"/>
  <c r="BF493" i="12"/>
  <c r="BO493" i="12"/>
  <c r="BS493" i="12"/>
  <c r="BT493" i="12"/>
  <c r="BU493" i="12"/>
  <c r="BV493" i="12"/>
  <c r="BW493" i="12"/>
  <c r="BX493" i="12"/>
  <c r="BY493" i="12"/>
  <c r="BZ493" i="12"/>
  <c r="CA493" i="12"/>
  <c r="CB493" i="12"/>
  <c r="CC493" i="12"/>
  <c r="CD493" i="12"/>
  <c r="CE493" i="12"/>
  <c r="CF493" i="12"/>
  <c r="CG493" i="12"/>
  <c r="CH493" i="12"/>
  <c r="CI493" i="12"/>
  <c r="CJ493" i="12"/>
  <c r="CK493" i="12"/>
  <c r="CL493" i="12"/>
  <c r="CM493" i="12"/>
  <c r="CN493" i="12"/>
  <c r="CO493" i="12"/>
  <c r="CP493" i="12"/>
  <c r="CQ493" i="12"/>
  <c r="CR493" i="12"/>
  <c r="CS493" i="12"/>
  <c r="CT493" i="12"/>
  <c r="CU493" i="12"/>
  <c r="CV493" i="12"/>
  <c r="CW493" i="12"/>
  <c r="CX493" i="12"/>
  <c r="CY493" i="12"/>
  <c r="CZ493" i="12"/>
  <c r="DA493" i="12"/>
  <c r="DB493" i="12"/>
  <c r="DV493" i="12"/>
  <c r="DW493" i="12"/>
  <c r="F494" i="12"/>
  <c r="G494" i="12"/>
  <c r="V494" i="12" s="1"/>
  <c r="BF494" i="12"/>
  <c r="BO494" i="12"/>
  <c r="BS494" i="12"/>
  <c r="BT494" i="12"/>
  <c r="BU494" i="12"/>
  <c r="BV494" i="12"/>
  <c r="BW494" i="12"/>
  <c r="BX494" i="12"/>
  <c r="BY494" i="12"/>
  <c r="BZ494" i="12"/>
  <c r="CA494" i="12"/>
  <c r="CB494" i="12"/>
  <c r="CC494" i="12"/>
  <c r="CD494" i="12"/>
  <c r="CE494" i="12"/>
  <c r="CF494" i="12"/>
  <c r="CG494" i="12"/>
  <c r="CH494" i="12"/>
  <c r="CI494" i="12"/>
  <c r="CJ494" i="12"/>
  <c r="CK494" i="12"/>
  <c r="CL494" i="12"/>
  <c r="CM494" i="12"/>
  <c r="CN494" i="12"/>
  <c r="CO494" i="12"/>
  <c r="CP494" i="12"/>
  <c r="CQ494" i="12"/>
  <c r="CR494" i="12"/>
  <c r="CS494" i="12"/>
  <c r="CT494" i="12"/>
  <c r="CU494" i="12"/>
  <c r="CV494" i="12"/>
  <c r="CW494" i="12"/>
  <c r="CX494" i="12"/>
  <c r="CY494" i="12"/>
  <c r="CZ494" i="12"/>
  <c r="DA494" i="12"/>
  <c r="DB494" i="12"/>
  <c r="DV494" i="12"/>
  <c r="DW494" i="12"/>
  <c r="F495" i="12"/>
  <c r="G495" i="12"/>
  <c r="AA495" i="12" s="1"/>
  <c r="BF495" i="12"/>
  <c r="BO495" i="12"/>
  <c r="BS495" i="12"/>
  <c r="BT495" i="12"/>
  <c r="BU495" i="12"/>
  <c r="BV495" i="12"/>
  <c r="BW495" i="12"/>
  <c r="BX495" i="12"/>
  <c r="BY495" i="12"/>
  <c r="BZ495" i="12"/>
  <c r="CA495" i="12"/>
  <c r="CB495" i="12"/>
  <c r="CC495" i="12"/>
  <c r="CD495" i="12"/>
  <c r="CE495" i="12"/>
  <c r="CF495" i="12"/>
  <c r="CG495" i="12"/>
  <c r="CH495" i="12"/>
  <c r="CI495" i="12"/>
  <c r="CJ495" i="12"/>
  <c r="CK495" i="12"/>
  <c r="CL495" i="12"/>
  <c r="CM495" i="12"/>
  <c r="CN495" i="12"/>
  <c r="CO495" i="12"/>
  <c r="CP495" i="12"/>
  <c r="CQ495" i="12"/>
  <c r="CR495" i="12"/>
  <c r="CS495" i="12"/>
  <c r="CT495" i="12"/>
  <c r="CU495" i="12"/>
  <c r="CV495" i="12"/>
  <c r="CW495" i="12"/>
  <c r="CX495" i="12"/>
  <c r="CY495" i="12"/>
  <c r="CZ495" i="12"/>
  <c r="DA495" i="12"/>
  <c r="DB495" i="12"/>
  <c r="DO495" i="12"/>
  <c r="DV495" i="12"/>
  <c r="DW495" i="12"/>
  <c r="F496" i="12"/>
  <c r="G496" i="12"/>
  <c r="AA496" i="12" s="1"/>
  <c r="BF496" i="12"/>
  <c r="BO496" i="12"/>
  <c r="BS496" i="12"/>
  <c r="BT496" i="12"/>
  <c r="BU496" i="12"/>
  <c r="BV496" i="12"/>
  <c r="BW496" i="12"/>
  <c r="BX496" i="12"/>
  <c r="BY496" i="12"/>
  <c r="BZ496" i="12"/>
  <c r="CA496" i="12"/>
  <c r="CB496" i="12"/>
  <c r="CC496" i="12"/>
  <c r="CD496" i="12"/>
  <c r="CE496" i="12"/>
  <c r="CF496" i="12"/>
  <c r="CG496" i="12"/>
  <c r="CH496" i="12"/>
  <c r="CI496" i="12"/>
  <c r="CJ496" i="12"/>
  <c r="CK496" i="12"/>
  <c r="CL496" i="12"/>
  <c r="CM496" i="12"/>
  <c r="CN496" i="12"/>
  <c r="CO496" i="12"/>
  <c r="CP496" i="12"/>
  <c r="CQ496" i="12"/>
  <c r="CR496" i="12"/>
  <c r="CS496" i="12"/>
  <c r="CT496" i="12"/>
  <c r="CU496" i="12"/>
  <c r="CV496" i="12"/>
  <c r="CW496" i="12"/>
  <c r="CX496" i="12"/>
  <c r="CY496" i="12"/>
  <c r="CZ496" i="12"/>
  <c r="DA496" i="12"/>
  <c r="DB496" i="12"/>
  <c r="DM496" i="12"/>
  <c r="DV496" i="12"/>
  <c r="DW496" i="12"/>
  <c r="EK496" i="12"/>
  <c r="F497" i="12"/>
  <c r="G497" i="12"/>
  <c r="AA497" i="12" s="1"/>
  <c r="BF497" i="12"/>
  <c r="BO497" i="12"/>
  <c r="BS497" i="12"/>
  <c r="BT497" i="12"/>
  <c r="BU497" i="12"/>
  <c r="BV497" i="12"/>
  <c r="BW497" i="12"/>
  <c r="BX497" i="12"/>
  <c r="BY497" i="12"/>
  <c r="BZ497" i="12"/>
  <c r="CA497" i="12"/>
  <c r="CB497" i="12"/>
  <c r="CC497" i="12"/>
  <c r="CD497" i="12"/>
  <c r="CE497" i="12"/>
  <c r="CF497" i="12"/>
  <c r="CG497" i="12"/>
  <c r="CH497" i="12"/>
  <c r="CI497" i="12"/>
  <c r="CJ497" i="12"/>
  <c r="CK497" i="12"/>
  <c r="CL497" i="12"/>
  <c r="CM497" i="12"/>
  <c r="CN497" i="12"/>
  <c r="CO497" i="12"/>
  <c r="CP497" i="12"/>
  <c r="CQ497" i="12"/>
  <c r="CR497" i="12"/>
  <c r="CS497" i="12"/>
  <c r="CT497" i="12"/>
  <c r="CU497" i="12"/>
  <c r="CV497" i="12"/>
  <c r="CW497" i="12"/>
  <c r="CX497" i="12"/>
  <c r="CY497" i="12"/>
  <c r="CZ497" i="12"/>
  <c r="DA497" i="12"/>
  <c r="DB497" i="12"/>
  <c r="DG497" i="12"/>
  <c r="DI497" i="12"/>
  <c r="DJ497" i="12"/>
  <c r="DK497" i="12"/>
  <c r="DM497" i="12"/>
  <c r="DN497" i="12"/>
  <c r="DO497" i="12"/>
  <c r="DP497" i="12"/>
  <c r="DV497" i="12"/>
  <c r="DW497" i="12"/>
  <c r="EK497" i="12"/>
  <c r="EL497" i="12"/>
  <c r="F498" i="12"/>
  <c r="G498" i="12"/>
  <c r="AA498" i="12" s="1"/>
  <c r="V498" i="12"/>
  <c r="BF498" i="12"/>
  <c r="BL498" i="12"/>
  <c r="BO498" i="12"/>
  <c r="BS498" i="12"/>
  <c r="BT498" i="12"/>
  <c r="BU498" i="12"/>
  <c r="BV498" i="12"/>
  <c r="BW498" i="12"/>
  <c r="BX498" i="12"/>
  <c r="BY498" i="12"/>
  <c r="BZ498" i="12"/>
  <c r="CA498" i="12"/>
  <c r="CB498" i="12"/>
  <c r="CC498" i="12"/>
  <c r="CD498" i="12"/>
  <c r="CE498" i="12"/>
  <c r="CF498" i="12"/>
  <c r="CG498" i="12"/>
  <c r="CH498" i="12"/>
  <c r="CI498" i="12"/>
  <c r="CJ498" i="12"/>
  <c r="CK498" i="12"/>
  <c r="CL498" i="12"/>
  <c r="CM498" i="12"/>
  <c r="CN498" i="12"/>
  <c r="CO498" i="12"/>
  <c r="CP498" i="12"/>
  <c r="CQ498" i="12"/>
  <c r="CR498" i="12"/>
  <c r="CS498" i="12"/>
  <c r="CT498" i="12"/>
  <c r="CU498" i="12"/>
  <c r="CV498" i="12"/>
  <c r="CW498" i="12"/>
  <c r="CX498" i="12"/>
  <c r="CY498" i="12"/>
  <c r="CZ498" i="12"/>
  <c r="DA498" i="12"/>
  <c r="DB498" i="12"/>
  <c r="DG498" i="12"/>
  <c r="DI498" i="12"/>
  <c r="DL498" i="12"/>
  <c r="DO498" i="12"/>
  <c r="DV498" i="12"/>
  <c r="DW498" i="12"/>
  <c r="EK498" i="12"/>
  <c r="F499" i="12"/>
  <c r="G499" i="12"/>
  <c r="DK499" i="12" s="1"/>
  <c r="BF499" i="12"/>
  <c r="BO499" i="12"/>
  <c r="BS499" i="12"/>
  <c r="BT499" i="12"/>
  <c r="BU499" i="12"/>
  <c r="BV499" i="12"/>
  <c r="BW499" i="12"/>
  <c r="BX499" i="12"/>
  <c r="BY499" i="12"/>
  <c r="BZ499" i="12"/>
  <c r="CA499" i="12"/>
  <c r="CB499" i="12"/>
  <c r="CC499" i="12"/>
  <c r="CD499" i="12"/>
  <c r="CE499" i="12"/>
  <c r="CF499" i="12"/>
  <c r="CG499" i="12"/>
  <c r="CH499" i="12"/>
  <c r="CI499" i="12"/>
  <c r="CJ499" i="12"/>
  <c r="CK499" i="12"/>
  <c r="CL499" i="12"/>
  <c r="CM499" i="12"/>
  <c r="CN499" i="12"/>
  <c r="CO499" i="12"/>
  <c r="CP499" i="12"/>
  <c r="CQ499" i="12"/>
  <c r="CR499" i="12"/>
  <c r="CS499" i="12"/>
  <c r="CT499" i="12"/>
  <c r="CU499" i="12"/>
  <c r="CV499" i="12"/>
  <c r="CW499" i="12"/>
  <c r="CX499" i="12"/>
  <c r="CY499" i="12"/>
  <c r="CZ499" i="12"/>
  <c r="DA499" i="12"/>
  <c r="DB499" i="12"/>
  <c r="DV499" i="12"/>
  <c r="DW499" i="12"/>
  <c r="F500" i="12"/>
  <c r="G500" i="12"/>
  <c r="AA500" i="12" s="1"/>
  <c r="BF500" i="12"/>
  <c r="BO500" i="12"/>
  <c r="BS500" i="12"/>
  <c r="BT500" i="12"/>
  <c r="BU500" i="12"/>
  <c r="BV500" i="12"/>
  <c r="BW500" i="12"/>
  <c r="BX500" i="12"/>
  <c r="BY500" i="12"/>
  <c r="BZ500" i="12"/>
  <c r="CA500" i="12"/>
  <c r="CB500" i="12"/>
  <c r="CC500" i="12"/>
  <c r="CD500" i="12"/>
  <c r="CE500" i="12"/>
  <c r="CF500" i="12"/>
  <c r="CG500" i="12"/>
  <c r="CH500" i="12"/>
  <c r="CI500" i="12"/>
  <c r="CJ500" i="12"/>
  <c r="CK500" i="12"/>
  <c r="CL500" i="12"/>
  <c r="CM500" i="12"/>
  <c r="CN500" i="12"/>
  <c r="CO500" i="12"/>
  <c r="CP500" i="12"/>
  <c r="CQ500" i="12"/>
  <c r="CR500" i="12"/>
  <c r="CS500" i="12"/>
  <c r="CT500" i="12"/>
  <c r="CU500" i="12"/>
  <c r="CV500" i="12"/>
  <c r="CW500" i="12"/>
  <c r="CX500" i="12"/>
  <c r="CY500" i="12"/>
  <c r="CZ500" i="12"/>
  <c r="DA500" i="12"/>
  <c r="DB500" i="12"/>
  <c r="DV500" i="12"/>
  <c r="DW500" i="12"/>
  <c r="DG448" i="12" l="1"/>
  <c r="DK448" i="12"/>
  <c r="DO440" i="12"/>
  <c r="DG440" i="12"/>
  <c r="DO455" i="12"/>
  <c r="EK455" i="12"/>
  <c r="DP455" i="12"/>
  <c r="DH455" i="12"/>
  <c r="P487" i="9"/>
  <c r="V459" i="12"/>
  <c r="DO459" i="12"/>
  <c r="AA449" i="12"/>
  <c r="DG449" i="12"/>
  <c r="DK440" i="12"/>
  <c r="DP435" i="12"/>
  <c r="AA422" i="12"/>
  <c r="DI422" i="12"/>
  <c r="DK487" i="12"/>
  <c r="DG487" i="12"/>
  <c r="V482" i="12"/>
  <c r="DK482" i="12"/>
  <c r="EK482" i="12"/>
  <c r="BL482" i="12"/>
  <c r="DM482" i="12"/>
  <c r="BL469" i="12"/>
  <c r="F469" i="13" s="1"/>
  <c r="DI469" i="12"/>
  <c r="DO450" i="12"/>
  <c r="DK450" i="12"/>
  <c r="DL449" i="12"/>
  <c r="DG446" i="12"/>
  <c r="DK446" i="12"/>
  <c r="AA417" i="12"/>
  <c r="DK417" i="12"/>
  <c r="V486" i="12"/>
  <c r="EK486" i="12"/>
  <c r="DM486" i="12"/>
  <c r="BL477" i="12"/>
  <c r="F477" i="13" s="1"/>
  <c r="DI477" i="12"/>
  <c r="DI455" i="12"/>
  <c r="DO448" i="12"/>
  <c r="AA441" i="12"/>
  <c r="DM441" i="12"/>
  <c r="DG441" i="12"/>
  <c r="AA435" i="12"/>
  <c r="V435" i="12"/>
  <c r="DG435" i="12"/>
  <c r="DL435" i="12"/>
  <c r="DH435" i="12"/>
  <c r="DM435" i="12"/>
  <c r="BL435" i="12"/>
  <c r="DI435" i="12"/>
  <c r="DO435" i="12"/>
  <c r="EK435" i="12"/>
  <c r="AA430" i="12"/>
  <c r="DM430" i="12"/>
  <c r="BL430" i="12"/>
  <c r="F430" i="18" s="1"/>
  <c r="DO500" i="12"/>
  <c r="EL495" i="12"/>
  <c r="DN495" i="12"/>
  <c r="EK488" i="12"/>
  <c r="DJ487" i="12"/>
  <c r="DN483" i="12"/>
  <c r="DK483" i="12"/>
  <c r="DI482" i="12"/>
  <c r="DG454" i="12"/>
  <c r="DK454" i="12"/>
  <c r="AA447" i="12"/>
  <c r="DH447" i="12"/>
  <c r="EK441" i="12"/>
  <c r="DO432" i="12"/>
  <c r="DK432" i="12"/>
  <c r="AA399" i="12"/>
  <c r="DI437" i="12"/>
  <c r="DK433" i="12"/>
  <c r="EK424" i="12"/>
  <c r="DN424" i="12"/>
  <c r="DI424" i="12"/>
  <c r="DO423" i="12"/>
  <c r="DG423" i="12"/>
  <c r="DG420" i="12"/>
  <c r="DG419" i="12"/>
  <c r="DM418" i="12"/>
  <c r="DG410" i="12"/>
  <c r="DM480" i="12"/>
  <c r="DM457" i="12"/>
  <c r="DK442" i="12"/>
  <c r="DO438" i="12"/>
  <c r="DM426" i="12"/>
  <c r="DM424" i="12"/>
  <c r="DG424" i="12"/>
  <c r="V424" i="12"/>
  <c r="EL423" i="12"/>
  <c r="DN423" i="12"/>
  <c r="DP420" i="12"/>
  <c r="DL418" i="12"/>
  <c r="BL418" i="12"/>
  <c r="F418" i="13" s="1"/>
  <c r="L418" i="13" s="1"/>
  <c r="DO415" i="12"/>
  <c r="DG409" i="12"/>
  <c r="DI408" i="12"/>
  <c r="EL487" i="12"/>
  <c r="DN487" i="12"/>
  <c r="DG481" i="12"/>
  <c r="DI473" i="12"/>
  <c r="DI465" i="12"/>
  <c r="DI461" i="12"/>
  <c r="DO458" i="12"/>
  <c r="DO457" i="12"/>
  <c r="DH457" i="12"/>
  <c r="V457" i="12"/>
  <c r="DH453" i="12"/>
  <c r="DM451" i="12"/>
  <c r="DG451" i="12"/>
  <c r="DI441" i="12"/>
  <c r="DK437" i="12"/>
  <c r="DG432" i="12"/>
  <c r="DK431" i="12"/>
  <c r="DO430" i="12"/>
  <c r="DI430" i="12"/>
  <c r="DP425" i="12"/>
  <c r="DG422" i="12"/>
  <c r="EK420" i="12"/>
  <c r="DO420" i="12"/>
  <c r="DJ420" i="12"/>
  <c r="EL418" i="12"/>
  <c r="DN418" i="12"/>
  <c r="DI418" i="12"/>
  <c r="DJ416" i="12"/>
  <c r="T416" i="12"/>
  <c r="DN410" i="12"/>
  <c r="DO481" i="12"/>
  <c r="DL451" i="12"/>
  <c r="DO441" i="12"/>
  <c r="DH441" i="12"/>
  <c r="V441" i="12"/>
  <c r="EK430" i="12"/>
  <c r="DN430" i="12"/>
  <c r="DG430" i="12"/>
  <c r="V430" i="12"/>
  <c r="DO422" i="12"/>
  <c r="DN420" i="12"/>
  <c r="DH420" i="12"/>
  <c r="V420" i="12"/>
  <c r="DL410" i="12"/>
  <c r="EL481" i="12"/>
  <c r="DN481" i="12"/>
  <c r="DO461" i="12"/>
  <c r="DK451" i="12"/>
  <c r="EK422" i="12"/>
  <c r="DM422" i="12"/>
  <c r="DH410" i="12"/>
  <c r="V410" i="12"/>
  <c r="EK500" i="12"/>
  <c r="DI500" i="12"/>
  <c r="DI478" i="12"/>
  <c r="DJ474" i="12"/>
  <c r="DJ470" i="12"/>
  <c r="DJ466" i="12"/>
  <c r="AA453" i="12"/>
  <c r="DI453" i="12"/>
  <c r="DO453" i="12"/>
  <c r="EK453" i="12"/>
  <c r="DK453" i="12"/>
  <c r="DP453" i="12"/>
  <c r="DK452" i="12"/>
  <c r="DH439" i="12"/>
  <c r="DK438" i="12"/>
  <c r="AA437" i="12"/>
  <c r="DO437" i="12"/>
  <c r="EK437" i="12"/>
  <c r="DP437" i="12"/>
  <c r="AA433" i="12"/>
  <c r="BP433" i="12" s="1"/>
  <c r="V433" i="12"/>
  <c r="DG433" i="12"/>
  <c r="DO433" i="12"/>
  <c r="EK433" i="12"/>
  <c r="DI433" i="12"/>
  <c r="DP433" i="12"/>
  <c r="AA406" i="12"/>
  <c r="T403" i="12"/>
  <c r="BL500" i="12"/>
  <c r="F500" i="8" s="1"/>
  <c r="DG495" i="12"/>
  <c r="DM494" i="12"/>
  <c r="DG500" i="12"/>
  <c r="V500" i="12"/>
  <c r="EK494" i="12"/>
  <c r="DM484" i="12"/>
  <c r="DJ483" i="12"/>
  <c r="DO482" i="12"/>
  <c r="DG482" i="12"/>
  <c r="DJ479" i="12"/>
  <c r="DI475" i="12"/>
  <c r="DI471" i="12"/>
  <c r="DI467" i="12"/>
  <c r="DO463" i="12"/>
  <c r="DK460" i="12"/>
  <c r="EL458" i="12"/>
  <c r="DK458" i="12"/>
  <c r="AA455" i="12"/>
  <c r="DK455" i="12"/>
  <c r="DM455" i="12"/>
  <c r="DM453" i="12"/>
  <c r="DP439" i="12"/>
  <c r="BL433" i="12"/>
  <c r="F433" i="18" s="1"/>
  <c r="H433" i="18" s="1"/>
  <c r="DG461" i="12"/>
  <c r="DL453" i="12"/>
  <c r="DH445" i="12"/>
  <c r="DG444" i="12"/>
  <c r="DK444" i="12"/>
  <c r="AA443" i="12"/>
  <c r="DM443" i="12"/>
  <c r="EK443" i="12"/>
  <c r="DO443" i="12"/>
  <c r="EK439" i="12"/>
  <c r="DO434" i="12"/>
  <c r="DK434" i="12"/>
  <c r="DL433" i="12"/>
  <c r="AA411" i="12"/>
  <c r="DK411" i="12"/>
  <c r="DL500" i="12"/>
  <c r="DJ493" i="12"/>
  <c r="AA445" i="12"/>
  <c r="DL445" i="12"/>
  <c r="DM445" i="12"/>
  <c r="AA439" i="12"/>
  <c r="DK439" i="12"/>
  <c r="DM439" i="12"/>
  <c r="DG436" i="12"/>
  <c r="DK436" i="12"/>
  <c r="AA429" i="12"/>
  <c r="DN429" i="12"/>
  <c r="BL429" i="12"/>
  <c r="F429" i="13" s="1"/>
  <c r="B429" i="13" s="1"/>
  <c r="AA412" i="12"/>
  <c r="V412" i="12"/>
  <c r="DJ412" i="12"/>
  <c r="DK412" i="12"/>
  <c r="DN412" i="12"/>
  <c r="EK412" i="12"/>
  <c r="AA368" i="12"/>
  <c r="V367" i="12"/>
  <c r="EK451" i="12"/>
  <c r="DO451" i="12"/>
  <c r="DI451" i="12"/>
  <c r="DK430" i="12"/>
  <c r="T430" i="12"/>
  <c r="EK428" i="12"/>
  <c r="DM428" i="12"/>
  <c r="V428" i="12"/>
  <c r="DH427" i="12"/>
  <c r="DI426" i="12"/>
  <c r="DN425" i="12"/>
  <c r="DJ423" i="12"/>
  <c r="DK422" i="12"/>
  <c r="DO419" i="12"/>
  <c r="EK418" i="12"/>
  <c r="DO418" i="12"/>
  <c r="DK418" i="12"/>
  <c r="DG418" i="12"/>
  <c r="V418" i="12"/>
  <c r="DN416" i="12"/>
  <c r="DK415" i="12"/>
  <c r="DP414" i="12"/>
  <c r="EL410" i="12"/>
  <c r="DP410" i="12"/>
  <c r="DK410" i="12"/>
  <c r="DP427" i="12"/>
  <c r="DM416" i="12"/>
  <c r="EK410" i="12"/>
  <c r="DO410" i="12"/>
  <c r="DJ410" i="12"/>
  <c r="V390" i="12"/>
  <c r="AA362" i="12"/>
  <c r="V345" i="12"/>
  <c r="V355" i="12"/>
  <c r="P477" i="9"/>
  <c r="DK486" i="12"/>
  <c r="DI480" i="12"/>
  <c r="DO479" i="12"/>
  <c r="DP478" i="12"/>
  <c r="EK463" i="12"/>
  <c r="DL459" i="12"/>
  <c r="DK449" i="12"/>
  <c r="DL447" i="12"/>
  <c r="BL437" i="12"/>
  <c r="F437" i="18" s="1"/>
  <c r="DL426" i="12"/>
  <c r="DK414" i="12"/>
  <c r="AA347" i="12"/>
  <c r="V347" i="12"/>
  <c r="T347" i="12"/>
  <c r="AA337" i="12"/>
  <c r="AA404" i="12"/>
  <c r="AA377" i="12"/>
  <c r="AA363" i="12"/>
  <c r="T363" i="12"/>
  <c r="V363" i="12"/>
  <c r="BL496" i="12"/>
  <c r="F496" i="8" s="1"/>
  <c r="DK494" i="12"/>
  <c r="BL494" i="12"/>
  <c r="F494" i="13" s="1"/>
  <c r="J494" i="13" s="1"/>
  <c r="DO493" i="12"/>
  <c r="BL486" i="12"/>
  <c r="F486" i="18" s="1"/>
  <c r="DO485" i="12"/>
  <c r="DG479" i="12"/>
  <c r="DH478" i="12"/>
  <c r="DI466" i="12"/>
  <c r="BL463" i="12"/>
  <c r="F463" i="13" s="1"/>
  <c r="C463" i="13" s="1"/>
  <c r="DK462" i="12"/>
  <c r="BL459" i="12"/>
  <c r="F459" i="8" s="1"/>
  <c r="DG452" i="12"/>
  <c r="DG450" i="12"/>
  <c r="DP449" i="12"/>
  <c r="DP426" i="12"/>
  <c r="DG417" i="12"/>
  <c r="EK414" i="12"/>
  <c r="DG414" i="12"/>
  <c r="DP408" i="12"/>
  <c r="DH408" i="12"/>
  <c r="V388" i="12"/>
  <c r="AA365" i="12"/>
  <c r="V365" i="12"/>
  <c r="DI496" i="12"/>
  <c r="DI494" i="12"/>
  <c r="EL493" i="12"/>
  <c r="DN493" i="12"/>
  <c r="EK492" i="12"/>
  <c r="DO491" i="12"/>
  <c r="DG491" i="12"/>
  <c r="DO490" i="12"/>
  <c r="DG490" i="12"/>
  <c r="DO489" i="12"/>
  <c r="DG489" i="12"/>
  <c r="DI486" i="12"/>
  <c r="EL485" i="12"/>
  <c r="DN485" i="12"/>
  <c r="EK484" i="12"/>
  <c r="DO483" i="12"/>
  <c r="DG483" i="12"/>
  <c r="EL479" i="12"/>
  <c r="DN479" i="12"/>
  <c r="EK478" i="12"/>
  <c r="DM478" i="12"/>
  <c r="BL475" i="12"/>
  <c r="F475" i="13" s="1"/>
  <c r="Q475" i="13" s="1"/>
  <c r="EL474" i="12"/>
  <c r="DO474" i="12"/>
  <c r="BL471" i="12"/>
  <c r="F471" i="8" s="1"/>
  <c r="EL470" i="12"/>
  <c r="DO470" i="12"/>
  <c r="BL467" i="12"/>
  <c r="F467" i="14" s="1"/>
  <c r="Q467" i="14" s="1"/>
  <c r="EL466" i="12"/>
  <c r="DO466" i="12"/>
  <c r="DI463" i="12"/>
  <c r="DI459" i="12"/>
  <c r="EK449" i="12"/>
  <c r="DO449" i="12"/>
  <c r="DI449" i="12"/>
  <c r="DP447" i="12"/>
  <c r="DK447" i="12"/>
  <c r="DP445" i="12"/>
  <c r="DK445" i="12"/>
  <c r="DL443" i="12"/>
  <c r="DG443" i="12"/>
  <c r="DM437" i="12"/>
  <c r="DH437" i="12"/>
  <c r="DH431" i="12"/>
  <c r="DK428" i="12"/>
  <c r="BL428" i="12"/>
  <c r="F428" i="18" s="1"/>
  <c r="EK426" i="12"/>
  <c r="DO426" i="12"/>
  <c r="DK426" i="12"/>
  <c r="DG426" i="12"/>
  <c r="V426" i="12"/>
  <c r="DJ425" i="12"/>
  <c r="EL416" i="12"/>
  <c r="DP416" i="12"/>
  <c r="DL416" i="12"/>
  <c r="DH416" i="12"/>
  <c r="DN414" i="12"/>
  <c r="DJ414" i="12"/>
  <c r="DG413" i="12"/>
  <c r="DM412" i="12"/>
  <c r="DI412" i="12"/>
  <c r="BL412" i="12"/>
  <c r="F412" i="18" s="1"/>
  <c r="I412" i="18" s="1"/>
  <c r="EK408" i="12"/>
  <c r="DO408" i="12"/>
  <c r="DK408" i="12"/>
  <c r="DG408" i="12"/>
  <c r="V408" i="12"/>
  <c r="V392" i="12"/>
  <c r="AA374" i="12"/>
  <c r="AA373" i="12"/>
  <c r="T373" i="12"/>
  <c r="V373" i="12"/>
  <c r="AA369" i="12"/>
  <c r="AA360" i="12"/>
  <c r="AA354" i="12"/>
  <c r="AA343" i="12"/>
  <c r="V343" i="12"/>
  <c r="BL426" i="12"/>
  <c r="BL408" i="12"/>
  <c r="F408" i="8" s="1"/>
  <c r="AA383" i="12"/>
  <c r="AA333" i="12"/>
  <c r="DK496" i="12"/>
  <c r="DG493" i="12"/>
  <c r="DG485" i="12"/>
  <c r="DI474" i="12"/>
  <c r="DI470" i="12"/>
  <c r="DL463" i="12"/>
  <c r="EK459" i="12"/>
  <c r="DG447" i="12"/>
  <c r="DG434" i="12"/>
  <c r="EL426" i="12"/>
  <c r="DH426" i="12"/>
  <c r="BL416" i="12"/>
  <c r="DO414" i="12"/>
  <c r="EL408" i="12"/>
  <c r="DL408" i="12"/>
  <c r="AA403" i="12"/>
  <c r="AA381" i="12"/>
  <c r="DO496" i="12"/>
  <c r="DG496" i="12"/>
  <c r="V496" i="12"/>
  <c r="DO494" i="12"/>
  <c r="DG494" i="12"/>
  <c r="EL491" i="12"/>
  <c r="EK490" i="12"/>
  <c r="DM490" i="12"/>
  <c r="EL489" i="12"/>
  <c r="DO486" i="12"/>
  <c r="DG486" i="12"/>
  <c r="EL483" i="12"/>
  <c r="EK474" i="12"/>
  <c r="EK470" i="12"/>
  <c r="EK466" i="12"/>
  <c r="DG463" i="12"/>
  <c r="DG459" i="12"/>
  <c r="DP457" i="12"/>
  <c r="DK457" i="12"/>
  <c r="DL455" i="12"/>
  <c r="DG455" i="12"/>
  <c r="DM449" i="12"/>
  <c r="DH449" i="12"/>
  <c r="V449" i="12"/>
  <c r="EK447" i="12"/>
  <c r="DO447" i="12"/>
  <c r="DI447" i="12"/>
  <c r="EK445" i="12"/>
  <c r="DO445" i="12"/>
  <c r="DI445" i="12"/>
  <c r="DP443" i="12"/>
  <c r="DK443" i="12"/>
  <c r="DP441" i="12"/>
  <c r="DK441" i="12"/>
  <c r="DL439" i="12"/>
  <c r="DG439" i="12"/>
  <c r="DL437" i="12"/>
  <c r="DG437" i="12"/>
  <c r="V437" i="12"/>
  <c r="DM433" i="12"/>
  <c r="DH433" i="12"/>
  <c r="DP431" i="12"/>
  <c r="EL430" i="12"/>
  <c r="DP430" i="12"/>
  <c r="DL430" i="12"/>
  <c r="DH430" i="12"/>
  <c r="DI428" i="12"/>
  <c r="DN426" i="12"/>
  <c r="DJ426" i="12"/>
  <c r="T426" i="12"/>
  <c r="EL424" i="12"/>
  <c r="DP424" i="12"/>
  <c r="DL424" i="12"/>
  <c r="DH424" i="12"/>
  <c r="DK421" i="12"/>
  <c r="DM420" i="12"/>
  <c r="DI420" i="12"/>
  <c r="BL420" i="12"/>
  <c r="F420" i="14" s="1"/>
  <c r="W420" i="14" s="1"/>
  <c r="DO417" i="12"/>
  <c r="EK416" i="12"/>
  <c r="DO416" i="12"/>
  <c r="DK416" i="12"/>
  <c r="DG416" i="12"/>
  <c r="V416" i="12"/>
  <c r="DG415" i="12"/>
  <c r="DM414" i="12"/>
  <c r="DI414" i="12"/>
  <c r="EL412" i="12"/>
  <c r="DP412" i="12"/>
  <c r="DL412" i="12"/>
  <c r="DH412" i="12"/>
  <c r="DG411" i="12"/>
  <c r="DM410" i="12"/>
  <c r="DI410" i="12"/>
  <c r="BL410" i="12"/>
  <c r="DN408" i="12"/>
  <c r="DJ408" i="12"/>
  <c r="T408" i="12"/>
  <c r="V404" i="12"/>
  <c r="V403" i="12"/>
  <c r="V402" i="12"/>
  <c r="AA379" i="12"/>
  <c r="AA375" i="12"/>
  <c r="AA361" i="12"/>
  <c r="AA357" i="12"/>
  <c r="V357" i="12"/>
  <c r="AA349" i="12"/>
  <c r="V349" i="12"/>
  <c r="AA341" i="12"/>
  <c r="V341" i="12"/>
  <c r="T391" i="12"/>
  <c r="T387" i="12"/>
  <c r="AA351" i="12"/>
  <c r="AA345" i="12"/>
  <c r="AA335" i="12"/>
  <c r="AA370" i="12"/>
  <c r="AA367" i="12"/>
  <c r="AA366" i="12"/>
  <c r="AA359" i="12"/>
  <c r="AA358" i="12"/>
  <c r="AA355" i="12"/>
  <c r="T355" i="12"/>
  <c r="AA339" i="12"/>
  <c r="V331" i="12"/>
  <c r="BL490" i="12"/>
  <c r="F490" i="14" s="1"/>
  <c r="L490" i="14" s="1"/>
  <c r="BL461" i="12"/>
  <c r="F461" i="13" s="1"/>
  <c r="C461" i="13" s="1"/>
  <c r="V455" i="12"/>
  <c r="V451" i="12"/>
  <c r="V447" i="12"/>
  <c r="V443" i="12"/>
  <c r="V439" i="12"/>
  <c r="T435" i="12"/>
  <c r="BP435" i="12" s="1"/>
  <c r="BL423" i="12"/>
  <c r="F423" i="14" s="1"/>
  <c r="W423" i="14" s="1"/>
  <c r="T423" i="12"/>
  <c r="BL422" i="12"/>
  <c r="F422" i="18" s="1"/>
  <c r="G422" i="18" s="1"/>
  <c r="V422" i="12"/>
  <c r="T420" i="12"/>
  <c r="BL414" i="12"/>
  <c r="F414" i="13" s="1"/>
  <c r="A414" i="13" s="1"/>
  <c r="V414" i="12"/>
  <c r="T412" i="12"/>
  <c r="BP412" i="12" s="1"/>
  <c r="V406" i="12"/>
  <c r="T404" i="12"/>
  <c r="V396" i="12"/>
  <c r="T339" i="12"/>
  <c r="V337" i="12"/>
  <c r="V335" i="12"/>
  <c r="V333" i="12"/>
  <c r="T383" i="12"/>
  <c r="T375" i="12"/>
  <c r="V371" i="12"/>
  <c r="V369" i="12"/>
  <c r="T367" i="12"/>
  <c r="V361" i="12"/>
  <c r="T359" i="12"/>
  <c r="V353" i="12"/>
  <c r="V351" i="12"/>
  <c r="T349" i="12"/>
  <c r="T345" i="12"/>
  <c r="T341" i="12"/>
  <c r="T331" i="12"/>
  <c r="B500" i="12"/>
  <c r="A500" i="8" s="1"/>
  <c r="A474" i="9" s="1"/>
  <c r="V499" i="12"/>
  <c r="AA499" i="12"/>
  <c r="B498" i="12"/>
  <c r="A498" i="8" s="1"/>
  <c r="A472" i="9" s="1"/>
  <c r="B496" i="12"/>
  <c r="A496" i="8" s="1"/>
  <c r="A470" i="9" s="1"/>
  <c r="AA492" i="12"/>
  <c r="T492" i="12"/>
  <c r="DH492" i="12"/>
  <c r="DJ492" i="12"/>
  <c r="DL492" i="12"/>
  <c r="DN492" i="12"/>
  <c r="DP492" i="12"/>
  <c r="EL492" i="12"/>
  <c r="B492" i="12"/>
  <c r="A492" i="8" s="1"/>
  <c r="A466" i="9" s="1"/>
  <c r="AA488" i="12"/>
  <c r="T488" i="12"/>
  <c r="DH488" i="12"/>
  <c r="DJ488" i="12"/>
  <c r="DL488" i="12"/>
  <c r="DN488" i="12"/>
  <c r="DP488" i="12"/>
  <c r="EL488" i="12"/>
  <c r="B488" i="12"/>
  <c r="A488" i="8" s="1"/>
  <c r="A462" i="9" s="1"/>
  <c r="AA484" i="12"/>
  <c r="T484" i="12"/>
  <c r="DH484" i="12"/>
  <c r="DJ484" i="12"/>
  <c r="DL484" i="12"/>
  <c r="DN484" i="12"/>
  <c r="DP484" i="12"/>
  <c r="EL484" i="12"/>
  <c r="B484" i="12"/>
  <c r="A484" i="8" s="1"/>
  <c r="A458" i="9" s="1"/>
  <c r="AA480" i="12"/>
  <c r="T480" i="12"/>
  <c r="DH480" i="12"/>
  <c r="DJ480" i="12"/>
  <c r="DL480" i="12"/>
  <c r="DN480" i="12"/>
  <c r="DP480" i="12"/>
  <c r="EL480" i="12"/>
  <c r="B480" i="12"/>
  <c r="A480" i="8" s="1"/>
  <c r="A454" i="9" s="1"/>
  <c r="V476" i="12"/>
  <c r="AA476" i="12"/>
  <c r="DI476" i="12"/>
  <c r="DN476" i="12"/>
  <c r="EK476" i="12"/>
  <c r="V472" i="12"/>
  <c r="AA472" i="12"/>
  <c r="DI472" i="12"/>
  <c r="DN472" i="12"/>
  <c r="EK472" i="12"/>
  <c r="V468" i="12"/>
  <c r="AA468" i="12"/>
  <c r="DI468" i="12"/>
  <c r="DN468" i="12"/>
  <c r="EK468" i="12"/>
  <c r="V464" i="12"/>
  <c r="AA464" i="12"/>
  <c r="DI464" i="12"/>
  <c r="DN464" i="12"/>
  <c r="EK464" i="12"/>
  <c r="T462" i="12"/>
  <c r="AA462" i="12"/>
  <c r="DG462" i="12"/>
  <c r="DJ462" i="12"/>
  <c r="DM462" i="12"/>
  <c r="DO462" i="12"/>
  <c r="EL462" i="12"/>
  <c r="T460" i="12"/>
  <c r="AA460" i="12"/>
  <c r="DG460" i="12"/>
  <c r="DJ460" i="12"/>
  <c r="DM460" i="12"/>
  <c r="DO460" i="12"/>
  <c r="EL460" i="12"/>
  <c r="DP500" i="12"/>
  <c r="DM500" i="12"/>
  <c r="DK500" i="12"/>
  <c r="DH500" i="12"/>
  <c r="T500" i="12"/>
  <c r="DO499" i="12"/>
  <c r="DG499" i="12"/>
  <c r="DP498" i="12"/>
  <c r="DM498" i="12"/>
  <c r="DK498" i="12"/>
  <c r="DH498" i="12"/>
  <c r="T498" i="12"/>
  <c r="BP498" i="12" s="1"/>
  <c r="EL496" i="12"/>
  <c r="DP496" i="12"/>
  <c r="DN496" i="12"/>
  <c r="DL496" i="12"/>
  <c r="DJ496" i="12"/>
  <c r="DH496" i="12"/>
  <c r="T496" i="12"/>
  <c r="BP496" i="12" s="1"/>
  <c r="AA494" i="12"/>
  <c r="T494" i="12"/>
  <c r="DH494" i="12"/>
  <c r="DJ494" i="12"/>
  <c r="DL494" i="12"/>
  <c r="DN494" i="12"/>
  <c r="DP494" i="12"/>
  <c r="EL494" i="12"/>
  <c r="B494" i="12"/>
  <c r="A494" i="8" s="1"/>
  <c r="A468" i="9" s="1"/>
  <c r="DO492" i="12"/>
  <c r="DK492" i="12"/>
  <c r="DG492" i="12"/>
  <c r="BL492" i="12"/>
  <c r="F492" i="14" s="1"/>
  <c r="X492" i="14" s="1"/>
  <c r="V492" i="12"/>
  <c r="AA490" i="12"/>
  <c r="T490" i="12"/>
  <c r="DH490" i="12"/>
  <c r="DJ490" i="12"/>
  <c r="DL490" i="12"/>
  <c r="DN490" i="12"/>
  <c r="DP490" i="12"/>
  <c r="EL490" i="12"/>
  <c r="B490" i="12"/>
  <c r="A490" i="8" s="1"/>
  <c r="A464" i="9" s="1"/>
  <c r="DO488" i="12"/>
  <c r="DK488" i="12"/>
  <c r="DG488" i="12"/>
  <c r="BL488" i="12"/>
  <c r="F488" i="18" s="1"/>
  <c r="H488" i="18" s="1"/>
  <c r="V488" i="12"/>
  <c r="AA486" i="12"/>
  <c r="T486" i="12"/>
  <c r="DH486" i="12"/>
  <c r="DJ486" i="12"/>
  <c r="DL486" i="12"/>
  <c r="DN486" i="12"/>
  <c r="DP486" i="12"/>
  <c r="EL486" i="12"/>
  <c r="B486" i="12"/>
  <c r="A486" i="8" s="1"/>
  <c r="A460" i="9" s="1"/>
  <c r="DO484" i="12"/>
  <c r="DK484" i="12"/>
  <c r="DG484" i="12"/>
  <c r="BL484" i="12"/>
  <c r="F484" i="18" s="1"/>
  <c r="E484" i="18" s="1"/>
  <c r="V484" i="12"/>
  <c r="AA482" i="12"/>
  <c r="T482" i="12"/>
  <c r="DH482" i="12"/>
  <c r="DJ482" i="12"/>
  <c r="DL482" i="12"/>
  <c r="DN482" i="12"/>
  <c r="DP482" i="12"/>
  <c r="EL482" i="12"/>
  <c r="B482" i="12"/>
  <c r="A482" i="8" s="1"/>
  <c r="A456" i="9" s="1"/>
  <c r="DO480" i="12"/>
  <c r="DK480" i="12"/>
  <c r="DG480" i="12"/>
  <c r="BL480" i="12"/>
  <c r="F480" i="13" s="1"/>
  <c r="V480" i="12"/>
  <c r="T477" i="12"/>
  <c r="AA477" i="12"/>
  <c r="DO477" i="12"/>
  <c r="EL476" i="12"/>
  <c r="DJ476" i="12"/>
  <c r="T473" i="12"/>
  <c r="AA473" i="12"/>
  <c r="DO473" i="12"/>
  <c r="EL472" i="12"/>
  <c r="DJ472" i="12"/>
  <c r="T469" i="12"/>
  <c r="AA469" i="12"/>
  <c r="DO469" i="12"/>
  <c r="EL468" i="12"/>
  <c r="DJ468" i="12"/>
  <c r="T465" i="12"/>
  <c r="AA465" i="12"/>
  <c r="DO465" i="12"/>
  <c r="EL464" i="12"/>
  <c r="DJ464" i="12"/>
  <c r="AA463" i="12"/>
  <c r="T463" i="12"/>
  <c r="DH463" i="12"/>
  <c r="DK463" i="12"/>
  <c r="DM463" i="12"/>
  <c r="DP463" i="12"/>
  <c r="B463" i="12"/>
  <c r="A463" i="8" s="1"/>
  <c r="A437" i="9" s="1"/>
  <c r="DN462" i="12"/>
  <c r="DI462" i="12"/>
  <c r="AA461" i="12"/>
  <c r="T461" i="12"/>
  <c r="DH461" i="12"/>
  <c r="DK461" i="12"/>
  <c r="DM461" i="12"/>
  <c r="DP461" i="12"/>
  <c r="B461" i="12"/>
  <c r="A461" i="8" s="1"/>
  <c r="A435" i="9" s="1"/>
  <c r="DN460" i="12"/>
  <c r="DI460" i="12"/>
  <c r="AA459" i="12"/>
  <c r="T459" i="12"/>
  <c r="DH459" i="12"/>
  <c r="DK459" i="12"/>
  <c r="DM459" i="12"/>
  <c r="DP459" i="12"/>
  <c r="B459" i="12"/>
  <c r="A459" i="8" s="1"/>
  <c r="A433" i="9" s="1"/>
  <c r="B428" i="12"/>
  <c r="A428" i="8" s="1"/>
  <c r="A402" i="9" s="1"/>
  <c r="B422" i="12"/>
  <c r="A422" i="8" s="1"/>
  <c r="A396" i="9" s="1"/>
  <c r="B418" i="12"/>
  <c r="A418" i="8" s="1"/>
  <c r="A392" i="9" s="1"/>
  <c r="B414" i="12"/>
  <c r="A414" i="8" s="1"/>
  <c r="A388" i="9" s="1"/>
  <c r="B410" i="12"/>
  <c r="A410" i="8" s="1"/>
  <c r="A384" i="9" s="1"/>
  <c r="B406" i="12"/>
  <c r="A406" i="8" s="1"/>
  <c r="A380" i="9" s="1"/>
  <c r="B493" i="12"/>
  <c r="A493" i="8" s="1"/>
  <c r="A467" i="9" s="1"/>
  <c r="AA493" i="12"/>
  <c r="B491" i="12"/>
  <c r="A491" i="8" s="1"/>
  <c r="A465" i="9" s="1"/>
  <c r="AA491" i="12"/>
  <c r="B489" i="12"/>
  <c r="A489" i="8" s="1"/>
  <c r="A463" i="9" s="1"/>
  <c r="AA489" i="12"/>
  <c r="B487" i="12"/>
  <c r="A487" i="8" s="1"/>
  <c r="A461" i="9" s="1"/>
  <c r="AA487" i="12"/>
  <c r="B485" i="12"/>
  <c r="A485" i="8" s="1"/>
  <c r="A459" i="9" s="1"/>
  <c r="AA485" i="12"/>
  <c r="B483" i="12"/>
  <c r="A483" i="8" s="1"/>
  <c r="A457" i="9" s="1"/>
  <c r="AA483" i="12"/>
  <c r="B481" i="12"/>
  <c r="A481" i="8" s="1"/>
  <c r="A455" i="9" s="1"/>
  <c r="AA481" i="12"/>
  <c r="B479" i="12"/>
  <c r="A479" i="8" s="1"/>
  <c r="A453" i="9" s="1"/>
  <c r="AA479" i="12"/>
  <c r="V478" i="12"/>
  <c r="AA478" i="12"/>
  <c r="T475" i="12"/>
  <c r="AA475" i="12"/>
  <c r="V474" i="12"/>
  <c r="AA474" i="12"/>
  <c r="T471" i="12"/>
  <c r="AA471" i="12"/>
  <c r="V470" i="12"/>
  <c r="AA470" i="12"/>
  <c r="T467" i="12"/>
  <c r="AA467" i="12"/>
  <c r="V466" i="12"/>
  <c r="AA466" i="12"/>
  <c r="T458" i="12"/>
  <c r="AA458" i="12"/>
  <c r="B457" i="12"/>
  <c r="A457" i="8" s="1"/>
  <c r="A431" i="9" s="1"/>
  <c r="T456" i="12"/>
  <c r="AA456" i="12"/>
  <c r="B455" i="12"/>
  <c r="A455" i="8" s="1"/>
  <c r="A429" i="9" s="1"/>
  <c r="T454" i="12"/>
  <c r="AA454" i="12"/>
  <c r="B453" i="12"/>
  <c r="A453" i="8" s="1"/>
  <c r="A427" i="9" s="1"/>
  <c r="T452" i="12"/>
  <c r="AA452" i="12"/>
  <c r="B451" i="12"/>
  <c r="A451" i="8" s="1"/>
  <c r="A425" i="9" s="1"/>
  <c r="T450" i="12"/>
  <c r="AA450" i="12"/>
  <c r="B449" i="12"/>
  <c r="A449" i="8" s="1"/>
  <c r="A423" i="9" s="1"/>
  <c r="T448" i="12"/>
  <c r="AA448" i="12"/>
  <c r="B447" i="12"/>
  <c r="A447" i="8" s="1"/>
  <c r="A421" i="9" s="1"/>
  <c r="T446" i="12"/>
  <c r="AA446" i="12"/>
  <c r="B445" i="12"/>
  <c r="A445" i="8" s="1"/>
  <c r="A419" i="9" s="1"/>
  <c r="T444" i="12"/>
  <c r="AA444" i="12"/>
  <c r="B443" i="12"/>
  <c r="A443" i="8" s="1"/>
  <c r="A417" i="9" s="1"/>
  <c r="T442" i="12"/>
  <c r="AA442" i="12"/>
  <c r="B441" i="12"/>
  <c r="A441" i="8" s="1"/>
  <c r="A415" i="9" s="1"/>
  <c r="T440" i="12"/>
  <c r="AA440" i="12"/>
  <c r="B439" i="12"/>
  <c r="A439" i="8" s="1"/>
  <c r="A413" i="9" s="1"/>
  <c r="T438" i="12"/>
  <c r="AA438" i="12"/>
  <c r="B437" i="12"/>
  <c r="A437" i="8" s="1"/>
  <c r="A411" i="9" s="1"/>
  <c r="T436" i="12"/>
  <c r="AA436" i="12"/>
  <c r="B435" i="12"/>
  <c r="A435" i="8" s="1"/>
  <c r="A409" i="9" s="1"/>
  <c r="T434" i="12"/>
  <c r="AA434" i="12"/>
  <c r="B433" i="12"/>
  <c r="A433" i="8" s="1"/>
  <c r="A407" i="9" s="1"/>
  <c r="T432" i="12"/>
  <c r="AA432" i="12"/>
  <c r="EK431" i="12"/>
  <c r="DO431" i="12"/>
  <c r="DL431" i="12"/>
  <c r="DI431" i="12"/>
  <c r="DG431" i="12"/>
  <c r="BL431" i="12"/>
  <c r="F431" i="18" s="1"/>
  <c r="T431" i="12"/>
  <c r="B430" i="12"/>
  <c r="A430" i="8" s="1"/>
  <c r="A404" i="9" s="1"/>
  <c r="EL428" i="12"/>
  <c r="DP428" i="12"/>
  <c r="DN428" i="12"/>
  <c r="DL428" i="12"/>
  <c r="DJ428" i="12"/>
  <c r="DH428" i="12"/>
  <c r="T428" i="12"/>
  <c r="BP428" i="12" s="1"/>
  <c r="EL427" i="12"/>
  <c r="DO427" i="12"/>
  <c r="DL427" i="12"/>
  <c r="DJ427" i="12"/>
  <c r="DG427" i="12"/>
  <c r="BL427" i="12"/>
  <c r="F427" i="18" s="1"/>
  <c r="T427" i="12"/>
  <c r="B426" i="12"/>
  <c r="A426" i="8" s="1"/>
  <c r="A400" i="9" s="1"/>
  <c r="DO425" i="12"/>
  <c r="DK425" i="12"/>
  <c r="DH425" i="12"/>
  <c r="BL425" i="12"/>
  <c r="F425" i="8" s="1"/>
  <c r="T425" i="12"/>
  <c r="B424" i="12"/>
  <c r="A424" i="8" s="1"/>
  <c r="A398" i="9" s="1"/>
  <c r="EL422" i="12"/>
  <c r="DP422" i="12"/>
  <c r="DN422" i="12"/>
  <c r="DL422" i="12"/>
  <c r="DJ422" i="12"/>
  <c r="DH422" i="12"/>
  <c r="T422" i="12"/>
  <c r="DO421" i="12"/>
  <c r="DG421" i="12"/>
  <c r="B420" i="12"/>
  <c r="A420" i="8" s="1"/>
  <c r="A394" i="9" s="1"/>
  <c r="T418" i="12"/>
  <c r="B416" i="12"/>
  <c r="A416" i="8" s="1"/>
  <c r="A390" i="9" s="1"/>
  <c r="T414" i="12"/>
  <c r="B412" i="12"/>
  <c r="A412" i="8" s="1"/>
  <c r="A386" i="9" s="1"/>
  <c r="T410" i="12"/>
  <c r="BP410" i="12" s="1"/>
  <c r="B408" i="12"/>
  <c r="A408" i="8" s="1"/>
  <c r="A382" i="9" s="1"/>
  <c r="T406" i="12"/>
  <c r="B404" i="12"/>
  <c r="A404" i="8" s="1"/>
  <c r="A378" i="9" s="1"/>
  <c r="B403" i="12"/>
  <c r="A403" i="8" s="1"/>
  <c r="A377" i="9" s="1"/>
  <c r="AA402" i="12"/>
  <c r="B402" i="12"/>
  <c r="A402" i="8" s="1"/>
  <c r="A376" i="9" s="1"/>
  <c r="AA401" i="12"/>
  <c r="T401" i="12"/>
  <c r="B401" i="12"/>
  <c r="A401" i="8" s="1"/>
  <c r="A375" i="9" s="1"/>
  <c r="T400" i="12"/>
  <c r="AA400" i="12"/>
  <c r="B400" i="12"/>
  <c r="A400" i="8" s="1"/>
  <c r="A374" i="9" s="1"/>
  <c r="T399" i="12"/>
  <c r="AA397" i="12"/>
  <c r="T396" i="12"/>
  <c r="AA396" i="12"/>
  <c r="B396" i="12"/>
  <c r="A396" i="8" s="1"/>
  <c r="A370" i="9" s="1"/>
  <c r="T395" i="12"/>
  <c r="AA395" i="12"/>
  <c r="T394" i="12"/>
  <c r="AA394" i="12"/>
  <c r="B394" i="12"/>
  <c r="A394" i="8" s="1"/>
  <c r="A368" i="9" s="1"/>
  <c r="T393" i="12"/>
  <c r="T390" i="12"/>
  <c r="AA390" i="12"/>
  <c r="B390" i="12"/>
  <c r="A390" i="8" s="1"/>
  <c r="A364" i="9" s="1"/>
  <c r="T389" i="12"/>
  <c r="T386" i="12"/>
  <c r="AA386" i="12"/>
  <c r="B386" i="12"/>
  <c r="A386" i="8" s="1"/>
  <c r="A360" i="9" s="1"/>
  <c r="T385" i="12"/>
  <c r="T382" i="12"/>
  <c r="AA382" i="12"/>
  <c r="B382" i="12"/>
  <c r="A382" i="8" s="1"/>
  <c r="A356" i="9" s="1"/>
  <c r="T381" i="12"/>
  <c r="T378" i="12"/>
  <c r="AA378" i="12"/>
  <c r="B378" i="12"/>
  <c r="A378" i="8" s="1"/>
  <c r="A352" i="9" s="1"/>
  <c r="T377" i="12"/>
  <c r="T376" i="12"/>
  <c r="B375" i="12"/>
  <c r="A375" i="8" s="1"/>
  <c r="A349" i="9" s="1"/>
  <c r="T374" i="12"/>
  <c r="B373" i="12"/>
  <c r="A373" i="8" s="1"/>
  <c r="A347" i="9" s="1"/>
  <c r="T371" i="12"/>
  <c r="T369" i="12"/>
  <c r="B367" i="12"/>
  <c r="A367" i="8" s="1"/>
  <c r="A341" i="9" s="1"/>
  <c r="T365" i="12"/>
  <c r="B363" i="12"/>
  <c r="A363" i="8" s="1"/>
  <c r="A337" i="9" s="1"/>
  <c r="T361" i="12"/>
  <c r="B359" i="12"/>
  <c r="A359" i="8" s="1"/>
  <c r="A333" i="9" s="1"/>
  <c r="T357" i="12"/>
  <c r="B355" i="12"/>
  <c r="A355" i="8" s="1"/>
  <c r="A329" i="9" s="1"/>
  <c r="T353" i="12"/>
  <c r="T351" i="12"/>
  <c r="B349" i="12"/>
  <c r="A349" i="8" s="1"/>
  <c r="A323" i="9" s="1"/>
  <c r="B347" i="12"/>
  <c r="A347" i="8" s="1"/>
  <c r="A321" i="9" s="1"/>
  <c r="B345" i="12"/>
  <c r="A345" i="8" s="1"/>
  <c r="A319" i="9" s="1"/>
  <c r="B343" i="12"/>
  <c r="A343" i="8" s="1"/>
  <c r="A317" i="9" s="1"/>
  <c r="B341" i="12"/>
  <c r="A341" i="8" s="1"/>
  <c r="A315" i="9" s="1"/>
  <c r="B339" i="12"/>
  <c r="A339" i="8" s="1"/>
  <c r="A313" i="9" s="1"/>
  <c r="B337" i="12"/>
  <c r="A337" i="8" s="1"/>
  <c r="A311" i="9" s="1"/>
  <c r="B335" i="12"/>
  <c r="A335" i="8" s="1"/>
  <c r="A309" i="9" s="1"/>
  <c r="B333" i="12"/>
  <c r="A333" i="8" s="1"/>
  <c r="A307" i="9" s="1"/>
  <c r="B331" i="12"/>
  <c r="A331" i="8" s="1"/>
  <c r="A305" i="9" s="1"/>
  <c r="B330" i="12"/>
  <c r="A330" i="8" s="1"/>
  <c r="A304" i="9" s="1"/>
  <c r="AA330" i="12"/>
  <c r="T398" i="12"/>
  <c r="AA398" i="12"/>
  <c r="B398" i="12"/>
  <c r="A398" i="8" s="1"/>
  <c r="A372" i="9" s="1"/>
  <c r="T392" i="12"/>
  <c r="AA392" i="12"/>
  <c r="B392" i="12"/>
  <c r="A392" i="8" s="1"/>
  <c r="A366" i="9" s="1"/>
  <c r="T388" i="12"/>
  <c r="AA388" i="12"/>
  <c r="B388" i="12"/>
  <c r="A388" i="8" s="1"/>
  <c r="A362" i="9" s="1"/>
  <c r="T384" i="12"/>
  <c r="AA384" i="12"/>
  <c r="B384" i="12"/>
  <c r="A384" i="8" s="1"/>
  <c r="A358" i="9" s="1"/>
  <c r="T380" i="12"/>
  <c r="AA380" i="12"/>
  <c r="B380" i="12"/>
  <c r="A380" i="8" s="1"/>
  <c r="A354" i="9" s="1"/>
  <c r="B371" i="12"/>
  <c r="A371" i="8" s="1"/>
  <c r="A345" i="9" s="1"/>
  <c r="B369" i="12"/>
  <c r="A369" i="8" s="1"/>
  <c r="A343" i="9" s="1"/>
  <c r="B365" i="12"/>
  <c r="A365" i="8" s="1"/>
  <c r="A339" i="9" s="1"/>
  <c r="B361" i="12"/>
  <c r="A361" i="8" s="1"/>
  <c r="A335" i="9" s="1"/>
  <c r="B357" i="12"/>
  <c r="A357" i="8" s="1"/>
  <c r="A331" i="9" s="1"/>
  <c r="B353" i="12"/>
  <c r="A353" i="8" s="1"/>
  <c r="A327" i="9" s="1"/>
  <c r="B351" i="12"/>
  <c r="A351" i="8" s="1"/>
  <c r="A325" i="9" s="1"/>
  <c r="AA350" i="12"/>
  <c r="B348" i="12"/>
  <c r="A348" i="8" s="1"/>
  <c r="A322" i="9" s="1"/>
  <c r="AA348" i="12"/>
  <c r="B346" i="12"/>
  <c r="A346" i="8" s="1"/>
  <c r="A320" i="9" s="1"/>
  <c r="AA346" i="12"/>
  <c r="B344" i="12"/>
  <c r="A344" i="8" s="1"/>
  <c r="A318" i="9" s="1"/>
  <c r="AA344" i="12"/>
  <c r="B342" i="12"/>
  <c r="A342" i="8" s="1"/>
  <c r="A316" i="9" s="1"/>
  <c r="AA342" i="12"/>
  <c r="B340" i="12"/>
  <c r="A340" i="8" s="1"/>
  <c r="A314" i="9" s="1"/>
  <c r="AA340" i="12"/>
  <c r="B338" i="12"/>
  <c r="A338" i="8" s="1"/>
  <c r="A312" i="9" s="1"/>
  <c r="AA338" i="12"/>
  <c r="T337" i="12"/>
  <c r="B336" i="12"/>
  <c r="A336" i="8" s="1"/>
  <c r="A310" i="9" s="1"/>
  <c r="AA336" i="12"/>
  <c r="T335" i="12"/>
  <c r="B334" i="12"/>
  <c r="A334" i="8" s="1"/>
  <c r="A308" i="9" s="1"/>
  <c r="AA334" i="12"/>
  <c r="T333" i="12"/>
  <c r="B332" i="12"/>
  <c r="A332" i="8" s="1"/>
  <c r="A306" i="9" s="1"/>
  <c r="AA332" i="12"/>
  <c r="BP424" i="12"/>
  <c r="BP418" i="12"/>
  <c r="BP416" i="12"/>
  <c r="C473" i="13"/>
  <c r="E473" i="13"/>
  <c r="G473" i="13"/>
  <c r="M473" i="13"/>
  <c r="R473" i="13"/>
  <c r="U473" i="13"/>
  <c r="AG473" i="13" s="1"/>
  <c r="B473" i="13"/>
  <c r="L473" i="13"/>
  <c r="O473" i="13"/>
  <c r="T473" i="13"/>
  <c r="C465" i="13"/>
  <c r="E465" i="13"/>
  <c r="G465" i="13"/>
  <c r="M465" i="13"/>
  <c r="R465" i="13"/>
  <c r="U465" i="13"/>
  <c r="AG465" i="13" s="1"/>
  <c r="B465" i="13"/>
  <c r="L465" i="13"/>
  <c r="O465" i="13"/>
  <c r="T465" i="13"/>
  <c r="C477" i="13"/>
  <c r="E477" i="13"/>
  <c r="G477" i="13"/>
  <c r="M477" i="13"/>
  <c r="R477" i="13"/>
  <c r="U477" i="13"/>
  <c r="AG477" i="13" s="1"/>
  <c r="B477" i="13"/>
  <c r="L477" i="13"/>
  <c r="O477" i="13"/>
  <c r="T477" i="13"/>
  <c r="C469" i="13"/>
  <c r="E469" i="13"/>
  <c r="G469" i="13"/>
  <c r="M469" i="13"/>
  <c r="R469" i="13"/>
  <c r="U469" i="13"/>
  <c r="AG469" i="13" s="1"/>
  <c r="B469" i="13"/>
  <c r="L469" i="13"/>
  <c r="O469" i="13"/>
  <c r="T469" i="13"/>
  <c r="L463" i="13"/>
  <c r="B424" i="13"/>
  <c r="D424" i="13"/>
  <c r="G424" i="13"/>
  <c r="L424" i="13"/>
  <c r="N424" i="13"/>
  <c r="R424" i="13"/>
  <c r="U424" i="13"/>
  <c r="AG424" i="13" s="1"/>
  <c r="C424" i="13"/>
  <c r="H424" i="13"/>
  <c r="M424" i="13"/>
  <c r="Q424" i="13"/>
  <c r="S424" i="13"/>
  <c r="V424" i="13"/>
  <c r="Z424" i="13" s="1"/>
  <c r="D418" i="13"/>
  <c r="S418" i="13"/>
  <c r="F498" i="8"/>
  <c r="F498" i="18"/>
  <c r="F498" i="14"/>
  <c r="W498" i="14" s="1"/>
  <c r="F437" i="8"/>
  <c r="F435" i="8"/>
  <c r="F435" i="18"/>
  <c r="F435" i="14"/>
  <c r="O435" i="14" s="1"/>
  <c r="F430" i="8"/>
  <c r="F498" i="13"/>
  <c r="S498" i="13" s="1"/>
  <c r="F435" i="13"/>
  <c r="U435" i="13" s="1"/>
  <c r="AG435" i="13" s="1"/>
  <c r="F482" i="8"/>
  <c r="F482" i="18"/>
  <c r="F482" i="14"/>
  <c r="F477" i="8"/>
  <c r="F477" i="18"/>
  <c r="F477" i="14"/>
  <c r="H477" i="14" s="1"/>
  <c r="F473" i="8"/>
  <c r="F473" i="18"/>
  <c r="I473" i="18" s="1"/>
  <c r="F473" i="14"/>
  <c r="U473" i="14" s="1"/>
  <c r="F469" i="8"/>
  <c r="F469" i="18"/>
  <c r="F469" i="14"/>
  <c r="U469" i="14" s="1"/>
  <c r="F465" i="8"/>
  <c r="F465" i="18"/>
  <c r="I465" i="18" s="1"/>
  <c r="F465" i="14"/>
  <c r="D465" i="14" s="1"/>
  <c r="F463" i="14"/>
  <c r="R463" i="14" s="1"/>
  <c r="BP430" i="12"/>
  <c r="F429" i="18"/>
  <c r="F424" i="8"/>
  <c r="F424" i="18"/>
  <c r="G424" i="18" s="1"/>
  <c r="F424" i="14"/>
  <c r="O424" i="14" s="1"/>
  <c r="F418" i="14"/>
  <c r="O418" i="14" s="1"/>
  <c r="BP414" i="12"/>
  <c r="F412" i="8"/>
  <c r="F482" i="13"/>
  <c r="F430" i="13"/>
  <c r="R430" i="13" s="1"/>
  <c r="AE477" i="13"/>
  <c r="V477" i="13"/>
  <c r="AA477" i="13" s="1"/>
  <c r="AB477" i="13" s="1"/>
  <c r="Q477" i="13"/>
  <c r="J477" i="13"/>
  <c r="AE473" i="13"/>
  <c r="V473" i="13"/>
  <c r="AA473" i="13" s="1"/>
  <c r="AB473" i="13" s="1"/>
  <c r="Q473" i="13"/>
  <c r="J473" i="13"/>
  <c r="AE469" i="13"/>
  <c r="V469" i="13"/>
  <c r="AA469" i="13" s="1"/>
  <c r="AB469" i="13" s="1"/>
  <c r="Q469" i="13"/>
  <c r="J469" i="13"/>
  <c r="AE465" i="13"/>
  <c r="V465" i="13"/>
  <c r="AA465" i="13" s="1"/>
  <c r="AB465" i="13" s="1"/>
  <c r="Q465" i="13"/>
  <c r="J465" i="13"/>
  <c r="D477" i="13"/>
  <c r="H477" i="13"/>
  <c r="N477" i="13"/>
  <c r="S477" i="13"/>
  <c r="A477" i="13"/>
  <c r="D473" i="13"/>
  <c r="H473" i="13"/>
  <c r="N473" i="13"/>
  <c r="S473" i="13"/>
  <c r="A473" i="13"/>
  <c r="D469" i="13"/>
  <c r="H469" i="13"/>
  <c r="N469" i="13"/>
  <c r="S469" i="13"/>
  <c r="A469" i="13"/>
  <c r="D465" i="13"/>
  <c r="H465" i="13"/>
  <c r="N465" i="13"/>
  <c r="S465" i="13"/>
  <c r="A465" i="13"/>
  <c r="J429" i="13"/>
  <c r="A424" i="13"/>
  <c r="E424" i="13"/>
  <c r="J424" i="13"/>
  <c r="O424" i="13"/>
  <c r="T424" i="13"/>
  <c r="AE424" i="13"/>
  <c r="U418" i="13"/>
  <c r="AG418" i="13" s="1"/>
  <c r="O429" i="13"/>
  <c r="A418" i="13"/>
  <c r="T418" i="13"/>
  <c r="H418" i="13"/>
  <c r="BP500" i="12"/>
  <c r="EK499" i="12"/>
  <c r="DM499" i="12"/>
  <c r="B499" i="12"/>
  <c r="A499" i="8" s="1"/>
  <c r="A473" i="9" s="1"/>
  <c r="DK495" i="12"/>
  <c r="EL500" i="12"/>
  <c r="DN500" i="12"/>
  <c r="DJ500" i="12"/>
  <c r="DP499" i="12"/>
  <c r="DL499" i="12"/>
  <c r="DH499" i="12"/>
  <c r="BL499" i="12"/>
  <c r="T499" i="12"/>
  <c r="EL498" i="12"/>
  <c r="DN498" i="12"/>
  <c r="DJ498" i="12"/>
  <c r="B497" i="12"/>
  <c r="A497" i="8" s="1"/>
  <c r="A471" i="9" s="1"/>
  <c r="V497" i="12"/>
  <c r="T497" i="12"/>
  <c r="BL497" i="12"/>
  <c r="DH497" i="12"/>
  <c r="DL497" i="12"/>
  <c r="DJ495" i="12"/>
  <c r="DJ499" i="12"/>
  <c r="B495" i="12"/>
  <c r="A495" i="8" s="1"/>
  <c r="A469" i="9" s="1"/>
  <c r="V495" i="12"/>
  <c r="DI495" i="12"/>
  <c r="DM495" i="12"/>
  <c r="EK495" i="12"/>
  <c r="T495" i="12"/>
  <c r="BP495" i="12" s="1"/>
  <c r="BL495" i="12"/>
  <c r="DH495" i="12"/>
  <c r="DL495" i="12"/>
  <c r="DP495" i="12"/>
  <c r="EL499" i="12"/>
  <c r="DN499" i="12"/>
  <c r="DI499" i="12"/>
  <c r="DP493" i="12"/>
  <c r="DL493" i="12"/>
  <c r="DH493" i="12"/>
  <c r="BL493" i="12"/>
  <c r="T493" i="12"/>
  <c r="DP491" i="12"/>
  <c r="DL491" i="12"/>
  <c r="DH491" i="12"/>
  <c r="BL491" i="12"/>
  <c r="T491" i="12"/>
  <c r="DP489" i="12"/>
  <c r="DL489" i="12"/>
  <c r="DH489" i="12"/>
  <c r="BL489" i="12"/>
  <c r="T489" i="12"/>
  <c r="DP487" i="12"/>
  <c r="DL487" i="12"/>
  <c r="DH487" i="12"/>
  <c r="BL487" i="12"/>
  <c r="T487" i="12"/>
  <c r="DP485" i="12"/>
  <c r="DL485" i="12"/>
  <c r="DH485" i="12"/>
  <c r="BL485" i="12"/>
  <c r="T485" i="12"/>
  <c r="DP483" i="12"/>
  <c r="DL483" i="12"/>
  <c r="DH483" i="12"/>
  <c r="BL483" i="12"/>
  <c r="T483" i="12"/>
  <c r="DP481" i="12"/>
  <c r="DL481" i="12"/>
  <c r="DH481" i="12"/>
  <c r="BL481" i="12"/>
  <c r="T481" i="12"/>
  <c r="DP479" i="12"/>
  <c r="DL479" i="12"/>
  <c r="DH479" i="12"/>
  <c r="BL479" i="12"/>
  <c r="T479" i="12"/>
  <c r="EL478" i="12"/>
  <c r="DN478" i="12"/>
  <c r="DJ478" i="12"/>
  <c r="EK477" i="12"/>
  <c r="DL477" i="12"/>
  <c r="DG477" i="12"/>
  <c r="V477" i="12"/>
  <c r="B477" i="12"/>
  <c r="A477" i="8" s="1"/>
  <c r="A451" i="9" s="1"/>
  <c r="DK476" i="12"/>
  <c r="EK475" i="12"/>
  <c r="DL475" i="12"/>
  <c r="DG475" i="12"/>
  <c r="V475" i="12"/>
  <c r="B475" i="12"/>
  <c r="A475" i="8" s="1"/>
  <c r="A449" i="9" s="1"/>
  <c r="DK474" i="12"/>
  <c r="EK473" i="12"/>
  <c r="DL473" i="12"/>
  <c r="DG473" i="12"/>
  <c r="V473" i="12"/>
  <c r="B473" i="12"/>
  <c r="A473" i="8" s="1"/>
  <c r="A447" i="9" s="1"/>
  <c r="DK472" i="12"/>
  <c r="EK471" i="12"/>
  <c r="DL471" i="12"/>
  <c r="DG471" i="12"/>
  <c r="V471" i="12"/>
  <c r="B471" i="12"/>
  <c r="A471" i="8" s="1"/>
  <c r="A445" i="9" s="1"/>
  <c r="DK470" i="12"/>
  <c r="EK469" i="12"/>
  <c r="DL469" i="12"/>
  <c r="DG469" i="12"/>
  <c r="V469" i="12"/>
  <c r="B469" i="12"/>
  <c r="A469" i="8" s="1"/>
  <c r="A443" i="9" s="1"/>
  <c r="DK468" i="12"/>
  <c r="EK467" i="12"/>
  <c r="DL467" i="12"/>
  <c r="DG467" i="12"/>
  <c r="V467" i="12"/>
  <c r="B467" i="12"/>
  <c r="A467" i="8" s="1"/>
  <c r="A441" i="9" s="1"/>
  <c r="DK466" i="12"/>
  <c r="EK465" i="12"/>
  <c r="DL465" i="12"/>
  <c r="DG465" i="12"/>
  <c r="V465" i="12"/>
  <c r="B465" i="12"/>
  <c r="A465" i="8" s="1"/>
  <c r="A439" i="9" s="1"/>
  <c r="DK464" i="12"/>
  <c r="T478" i="12"/>
  <c r="BL478" i="12"/>
  <c r="DP477" i="12"/>
  <c r="DK477" i="12"/>
  <c r="T476" i="12"/>
  <c r="BL476" i="12"/>
  <c r="DH476" i="12"/>
  <c r="DL476" i="12"/>
  <c r="DP476" i="12"/>
  <c r="DP475" i="12"/>
  <c r="DK475" i="12"/>
  <c r="T474" i="12"/>
  <c r="BL474" i="12"/>
  <c r="DH474" i="12"/>
  <c r="DL474" i="12"/>
  <c r="DP474" i="12"/>
  <c r="DP473" i="12"/>
  <c r="DK473" i="12"/>
  <c r="T472" i="12"/>
  <c r="BL472" i="12"/>
  <c r="DH472" i="12"/>
  <c r="DL472" i="12"/>
  <c r="DP472" i="12"/>
  <c r="DP471" i="12"/>
  <c r="DK471" i="12"/>
  <c r="T470" i="12"/>
  <c r="BL470" i="12"/>
  <c r="DH470" i="12"/>
  <c r="DL470" i="12"/>
  <c r="DP470" i="12"/>
  <c r="DP469" i="12"/>
  <c r="DK469" i="12"/>
  <c r="T468" i="12"/>
  <c r="BL468" i="12"/>
  <c r="DH468" i="12"/>
  <c r="DL468" i="12"/>
  <c r="DP468" i="12"/>
  <c r="DP467" i="12"/>
  <c r="DK467" i="12"/>
  <c r="T466" i="12"/>
  <c r="BL466" i="12"/>
  <c r="DH466" i="12"/>
  <c r="DL466" i="12"/>
  <c r="DP466" i="12"/>
  <c r="DP465" i="12"/>
  <c r="DK465" i="12"/>
  <c r="T464" i="12"/>
  <c r="BL464" i="12"/>
  <c r="DH464" i="12"/>
  <c r="DL464" i="12"/>
  <c r="DP464" i="12"/>
  <c r="B464" i="12"/>
  <c r="A464" i="8" s="1"/>
  <c r="A438" i="9" s="1"/>
  <c r="DJ477" i="12"/>
  <c r="DN477" i="12"/>
  <c r="EL477" i="12"/>
  <c r="DJ475" i="12"/>
  <c r="DN475" i="12"/>
  <c r="EL475" i="12"/>
  <c r="DJ473" i="12"/>
  <c r="DN473" i="12"/>
  <c r="EL473" i="12"/>
  <c r="DJ471" i="12"/>
  <c r="DN471" i="12"/>
  <c r="EL471" i="12"/>
  <c r="DJ469" i="12"/>
  <c r="DN469" i="12"/>
  <c r="EL469" i="12"/>
  <c r="DJ467" i="12"/>
  <c r="DN467" i="12"/>
  <c r="EL467" i="12"/>
  <c r="DJ465" i="12"/>
  <c r="DN465" i="12"/>
  <c r="EL465" i="12"/>
  <c r="EK493" i="12"/>
  <c r="DM493" i="12"/>
  <c r="DI493" i="12"/>
  <c r="V493" i="12"/>
  <c r="EK491" i="12"/>
  <c r="DM491" i="12"/>
  <c r="DI491" i="12"/>
  <c r="V491" i="12"/>
  <c r="EK489" i="12"/>
  <c r="DM489" i="12"/>
  <c r="DI489" i="12"/>
  <c r="V489" i="12"/>
  <c r="EK487" i="12"/>
  <c r="DM487" i="12"/>
  <c r="DI487" i="12"/>
  <c r="V487" i="12"/>
  <c r="EK485" i="12"/>
  <c r="DM485" i="12"/>
  <c r="DI485" i="12"/>
  <c r="V485" i="12"/>
  <c r="EK483" i="12"/>
  <c r="DM483" i="12"/>
  <c r="DI483" i="12"/>
  <c r="V483" i="12"/>
  <c r="EK481" i="12"/>
  <c r="DM481" i="12"/>
  <c r="DI481" i="12"/>
  <c r="V481" i="12"/>
  <c r="EK479" i="12"/>
  <c r="DM479" i="12"/>
  <c r="DI479" i="12"/>
  <c r="V479" i="12"/>
  <c r="DO478" i="12"/>
  <c r="DK478" i="12"/>
  <c r="DG478" i="12"/>
  <c r="B478" i="12"/>
  <c r="A478" i="8" s="1"/>
  <c r="A452" i="9" s="1"/>
  <c r="DM477" i="12"/>
  <c r="DH477" i="12"/>
  <c r="DM476" i="12"/>
  <c r="DG476" i="12"/>
  <c r="B476" i="12"/>
  <c r="A476" i="8" s="1"/>
  <c r="A450" i="9" s="1"/>
  <c r="DM475" i="12"/>
  <c r="DH475" i="12"/>
  <c r="DM474" i="12"/>
  <c r="DG474" i="12"/>
  <c r="B474" i="12"/>
  <c r="A474" i="8" s="1"/>
  <c r="A448" i="9" s="1"/>
  <c r="DM473" i="12"/>
  <c r="DH473" i="12"/>
  <c r="DM472" i="12"/>
  <c r="DG472" i="12"/>
  <c r="B472" i="12"/>
  <c r="A472" i="8" s="1"/>
  <c r="A446" i="9" s="1"/>
  <c r="DM471" i="12"/>
  <c r="DH471" i="12"/>
  <c r="DM470" i="12"/>
  <c r="DG470" i="12"/>
  <c r="B470" i="12"/>
  <c r="A470" i="8" s="1"/>
  <c r="A444" i="9" s="1"/>
  <c r="DM469" i="12"/>
  <c r="DH469" i="12"/>
  <c r="DM468" i="12"/>
  <c r="DG468" i="12"/>
  <c r="B468" i="12"/>
  <c r="A468" i="8" s="1"/>
  <c r="A442" i="9" s="1"/>
  <c r="DM467" i="12"/>
  <c r="DH467" i="12"/>
  <c r="DM466" i="12"/>
  <c r="DG466" i="12"/>
  <c r="B466" i="12"/>
  <c r="A466" i="8" s="1"/>
  <c r="A440" i="9" s="1"/>
  <c r="DM465" i="12"/>
  <c r="DH465" i="12"/>
  <c r="DM464" i="12"/>
  <c r="DG464" i="12"/>
  <c r="B429" i="12"/>
  <c r="A429" i="8" s="1"/>
  <c r="A403" i="9" s="1"/>
  <c r="V429" i="12"/>
  <c r="DI429" i="12"/>
  <c r="DM429" i="12"/>
  <c r="EK429" i="12"/>
  <c r="DN458" i="12"/>
  <c r="DJ458" i="12"/>
  <c r="BL457" i="12"/>
  <c r="T457" i="12"/>
  <c r="BP457" i="12" s="1"/>
  <c r="EL456" i="12"/>
  <c r="DN456" i="12"/>
  <c r="DJ456" i="12"/>
  <c r="BL455" i="12"/>
  <c r="T455" i="12"/>
  <c r="EL454" i="12"/>
  <c r="DN454" i="12"/>
  <c r="DJ454" i="12"/>
  <c r="BL453" i="12"/>
  <c r="T453" i="12"/>
  <c r="EL452" i="12"/>
  <c r="DN452" i="12"/>
  <c r="DJ452" i="12"/>
  <c r="BL451" i="12"/>
  <c r="T451" i="12"/>
  <c r="EL450" i="12"/>
  <c r="DN450" i="12"/>
  <c r="DJ450" i="12"/>
  <c r="BL449" i="12"/>
  <c r="T449" i="12"/>
  <c r="BP449" i="12" s="1"/>
  <c r="EL448" i="12"/>
  <c r="DN448" i="12"/>
  <c r="DJ448" i="12"/>
  <c r="BL447" i="12"/>
  <c r="T447" i="12"/>
  <c r="EL446" i="12"/>
  <c r="DN446" i="12"/>
  <c r="DJ446" i="12"/>
  <c r="BL445" i="12"/>
  <c r="T445" i="12"/>
  <c r="EL444" i="12"/>
  <c r="DN444" i="12"/>
  <c r="DJ444" i="12"/>
  <c r="BL443" i="12"/>
  <c r="T443" i="12"/>
  <c r="EL442" i="12"/>
  <c r="DN442" i="12"/>
  <c r="DJ442" i="12"/>
  <c r="BL441" i="12"/>
  <c r="T441" i="12"/>
  <c r="BP441" i="12" s="1"/>
  <c r="EL440" i="12"/>
  <c r="DN440" i="12"/>
  <c r="DJ440" i="12"/>
  <c r="BL439" i="12"/>
  <c r="T439" i="12"/>
  <c r="EL438" i="12"/>
  <c r="DN438" i="12"/>
  <c r="DJ438" i="12"/>
  <c r="EL436" i="12"/>
  <c r="DN436" i="12"/>
  <c r="DJ436" i="12"/>
  <c r="EL434" i="12"/>
  <c r="DN434" i="12"/>
  <c r="DJ434" i="12"/>
  <c r="EL432" i="12"/>
  <c r="DN432" i="12"/>
  <c r="DJ432" i="12"/>
  <c r="B431" i="12"/>
  <c r="A431" i="8" s="1"/>
  <c r="A405" i="9" s="1"/>
  <c r="V431" i="12"/>
  <c r="EL429" i="12"/>
  <c r="DL429" i="12"/>
  <c r="DG429" i="12"/>
  <c r="B423" i="12"/>
  <c r="A423" i="8" s="1"/>
  <c r="A397" i="9" s="1"/>
  <c r="V423" i="12"/>
  <c r="DI423" i="12"/>
  <c r="DM423" i="12"/>
  <c r="EK423" i="12"/>
  <c r="BP420" i="12"/>
  <c r="V462" i="12"/>
  <c r="B462" i="12"/>
  <c r="A462" i="8" s="1"/>
  <c r="A436" i="9" s="1"/>
  <c r="V460" i="12"/>
  <c r="B460" i="12"/>
  <c r="A460" i="8" s="1"/>
  <c r="A434" i="9" s="1"/>
  <c r="EK458" i="12"/>
  <c r="DM458" i="12"/>
  <c r="DI458" i="12"/>
  <c r="V458" i="12"/>
  <c r="B458" i="12"/>
  <c r="A458" i="8" s="1"/>
  <c r="A432" i="9" s="1"/>
  <c r="EK456" i="12"/>
  <c r="DM456" i="12"/>
  <c r="DI456" i="12"/>
  <c r="V456" i="12"/>
  <c r="B456" i="12"/>
  <c r="A456" i="8" s="1"/>
  <c r="A430" i="9" s="1"/>
  <c r="EK454" i="12"/>
  <c r="DM454" i="12"/>
  <c r="DI454" i="12"/>
  <c r="V454" i="12"/>
  <c r="B454" i="12"/>
  <c r="A454" i="8" s="1"/>
  <c r="A428" i="9" s="1"/>
  <c r="EK452" i="12"/>
  <c r="DM452" i="12"/>
  <c r="DI452" i="12"/>
  <c r="V452" i="12"/>
  <c r="B452" i="12"/>
  <c r="A452" i="8" s="1"/>
  <c r="A426" i="9" s="1"/>
  <c r="EK450" i="12"/>
  <c r="DM450" i="12"/>
  <c r="DI450" i="12"/>
  <c r="V450" i="12"/>
  <c r="B450" i="12"/>
  <c r="A450" i="8" s="1"/>
  <c r="A424" i="9" s="1"/>
  <c r="EK448" i="12"/>
  <c r="DM448" i="12"/>
  <c r="DI448" i="12"/>
  <c r="V448" i="12"/>
  <c r="B448" i="12"/>
  <c r="A448" i="8" s="1"/>
  <c r="A422" i="9" s="1"/>
  <c r="EK446" i="12"/>
  <c r="DM446" i="12"/>
  <c r="DI446" i="12"/>
  <c r="V446" i="12"/>
  <c r="B446" i="12"/>
  <c r="A446" i="8" s="1"/>
  <c r="A420" i="9" s="1"/>
  <c r="EK444" i="12"/>
  <c r="DM444" i="12"/>
  <c r="DI444" i="12"/>
  <c r="V444" i="12"/>
  <c r="B444" i="12"/>
  <c r="A444" i="8" s="1"/>
  <c r="A418" i="9" s="1"/>
  <c r="EK442" i="12"/>
  <c r="DM442" i="12"/>
  <c r="DI442" i="12"/>
  <c r="V442" i="12"/>
  <c r="B442" i="12"/>
  <c r="A442" i="8" s="1"/>
  <c r="A416" i="9" s="1"/>
  <c r="EK440" i="12"/>
  <c r="DM440" i="12"/>
  <c r="DI440" i="12"/>
  <c r="V440" i="12"/>
  <c r="B440" i="12"/>
  <c r="A440" i="8" s="1"/>
  <c r="A414" i="9" s="1"/>
  <c r="EK438" i="12"/>
  <c r="DM438" i="12"/>
  <c r="DI438" i="12"/>
  <c r="V438" i="12"/>
  <c r="B438" i="12"/>
  <c r="A438" i="8" s="1"/>
  <c r="A412" i="9" s="1"/>
  <c r="EK436" i="12"/>
  <c r="DM436" i="12"/>
  <c r="DI436" i="12"/>
  <c r="V436" i="12"/>
  <c r="B436" i="12"/>
  <c r="A436" i="8" s="1"/>
  <c r="A410" i="9" s="1"/>
  <c r="EK434" i="12"/>
  <c r="DM434" i="12"/>
  <c r="DI434" i="12"/>
  <c r="V434" i="12"/>
  <c r="B434" i="12"/>
  <c r="A434" i="8" s="1"/>
  <c r="A408" i="9" s="1"/>
  <c r="EK432" i="12"/>
  <c r="DM432" i="12"/>
  <c r="DI432" i="12"/>
  <c r="V432" i="12"/>
  <c r="B432" i="12"/>
  <c r="A432" i="8" s="1"/>
  <c r="A406" i="9" s="1"/>
  <c r="DP429" i="12"/>
  <c r="DK429" i="12"/>
  <c r="B425" i="12"/>
  <c r="A425" i="8" s="1"/>
  <c r="A399" i="9" s="1"/>
  <c r="V425" i="12"/>
  <c r="BP425" i="12" s="1"/>
  <c r="DI425" i="12"/>
  <c r="DM425" i="12"/>
  <c r="EK425" i="12"/>
  <c r="EL463" i="12"/>
  <c r="DN463" i="12"/>
  <c r="DJ463" i="12"/>
  <c r="DP462" i="12"/>
  <c r="DL462" i="12"/>
  <c r="DH462" i="12"/>
  <c r="BL462" i="12"/>
  <c r="EL461" i="12"/>
  <c r="DN461" i="12"/>
  <c r="DJ461" i="12"/>
  <c r="DP460" i="12"/>
  <c r="DL460" i="12"/>
  <c r="DH460" i="12"/>
  <c r="BL460" i="12"/>
  <c r="EL459" i="12"/>
  <c r="DN459" i="12"/>
  <c r="DJ459" i="12"/>
  <c r="DP458" i="12"/>
  <c r="DL458" i="12"/>
  <c r="DH458" i="12"/>
  <c r="BL458" i="12"/>
  <c r="EL457" i="12"/>
  <c r="DN457" i="12"/>
  <c r="DJ457" i="12"/>
  <c r="DP456" i="12"/>
  <c r="DL456" i="12"/>
  <c r="DH456" i="12"/>
  <c r="BL456" i="12"/>
  <c r="EL455" i="12"/>
  <c r="DN455" i="12"/>
  <c r="DJ455" i="12"/>
  <c r="DP454" i="12"/>
  <c r="DL454" i="12"/>
  <c r="DH454" i="12"/>
  <c r="BL454" i="12"/>
  <c r="EL453" i="12"/>
  <c r="DN453" i="12"/>
  <c r="DJ453" i="12"/>
  <c r="DP452" i="12"/>
  <c r="DL452" i="12"/>
  <c r="DH452" i="12"/>
  <c r="BL452" i="12"/>
  <c r="EL451" i="12"/>
  <c r="DN451" i="12"/>
  <c r="DJ451" i="12"/>
  <c r="DP450" i="12"/>
  <c r="DL450" i="12"/>
  <c r="DH450" i="12"/>
  <c r="BL450" i="12"/>
  <c r="EL449" i="12"/>
  <c r="DN449" i="12"/>
  <c r="DJ449" i="12"/>
  <c r="DP448" i="12"/>
  <c r="DL448" i="12"/>
  <c r="DH448" i="12"/>
  <c r="BL448" i="12"/>
  <c r="EL447" i="12"/>
  <c r="DN447" i="12"/>
  <c r="DJ447" i="12"/>
  <c r="DP446" i="12"/>
  <c r="DL446" i="12"/>
  <c r="DH446" i="12"/>
  <c r="BL446" i="12"/>
  <c r="EL445" i="12"/>
  <c r="DN445" i="12"/>
  <c r="DJ445" i="12"/>
  <c r="DP444" i="12"/>
  <c r="DL444" i="12"/>
  <c r="DH444" i="12"/>
  <c r="BL444" i="12"/>
  <c r="EL443" i="12"/>
  <c r="DN443" i="12"/>
  <c r="DJ443" i="12"/>
  <c r="DP442" i="12"/>
  <c r="DL442" i="12"/>
  <c r="DH442" i="12"/>
  <c r="BL442" i="12"/>
  <c r="EL441" i="12"/>
  <c r="DN441" i="12"/>
  <c r="DJ441" i="12"/>
  <c r="DP440" i="12"/>
  <c r="DL440" i="12"/>
  <c r="DH440" i="12"/>
  <c r="BL440" i="12"/>
  <c r="EL439" i="12"/>
  <c r="DN439" i="12"/>
  <c r="DJ439" i="12"/>
  <c r="DP438" i="12"/>
  <c r="DL438" i="12"/>
  <c r="DH438" i="12"/>
  <c r="BL438" i="12"/>
  <c r="EL437" i="12"/>
  <c r="DN437" i="12"/>
  <c r="DJ437" i="12"/>
  <c r="DP436" i="12"/>
  <c r="DL436" i="12"/>
  <c r="DH436" i="12"/>
  <c r="BL436" i="12"/>
  <c r="EL435" i="12"/>
  <c r="DN435" i="12"/>
  <c r="DJ435" i="12"/>
  <c r="DP434" i="12"/>
  <c r="DL434" i="12"/>
  <c r="DH434" i="12"/>
  <c r="BL434" i="12"/>
  <c r="EL433" i="12"/>
  <c r="DN433" i="12"/>
  <c r="DJ433" i="12"/>
  <c r="DP432" i="12"/>
  <c r="DL432" i="12"/>
  <c r="DH432" i="12"/>
  <c r="BL432" i="12"/>
  <c r="EL431" i="12"/>
  <c r="DN431" i="12"/>
  <c r="DJ431" i="12"/>
  <c r="DO429" i="12"/>
  <c r="DJ429" i="12"/>
  <c r="T429" i="12"/>
  <c r="B427" i="12"/>
  <c r="A427" i="8" s="1"/>
  <c r="A401" i="9" s="1"/>
  <c r="V427" i="12"/>
  <c r="BP427" i="12" s="1"/>
  <c r="DI427" i="12"/>
  <c r="DM427" i="12"/>
  <c r="EK427" i="12"/>
  <c r="EL425" i="12"/>
  <c r="DL425" i="12"/>
  <c r="DG425" i="12"/>
  <c r="DP423" i="12"/>
  <c r="DK423" i="12"/>
  <c r="DJ421" i="12"/>
  <c r="DN421" i="12"/>
  <c r="EL421" i="12"/>
  <c r="T421" i="12"/>
  <c r="BL421" i="12"/>
  <c r="DH421" i="12"/>
  <c r="DL421" i="12"/>
  <c r="DP421" i="12"/>
  <c r="B421" i="12"/>
  <c r="A421" i="8" s="1"/>
  <c r="A395" i="9" s="1"/>
  <c r="V421" i="12"/>
  <c r="DI421" i="12"/>
  <c r="DM421" i="12"/>
  <c r="EK421" i="12"/>
  <c r="EK419" i="12"/>
  <c r="DM419" i="12"/>
  <c r="DI419" i="12"/>
  <c r="V419" i="12"/>
  <c r="B419" i="12"/>
  <c r="A419" i="8" s="1"/>
  <c r="A393" i="9" s="1"/>
  <c r="EK417" i="12"/>
  <c r="DM417" i="12"/>
  <c r="DI417" i="12"/>
  <c r="V417" i="12"/>
  <c r="B417" i="12"/>
  <c r="A417" i="8" s="1"/>
  <c r="A391" i="9" s="1"/>
  <c r="EK415" i="12"/>
  <c r="DM415" i="12"/>
  <c r="DI415" i="12"/>
  <c r="V415" i="12"/>
  <c r="B415" i="12"/>
  <c r="A415" i="8" s="1"/>
  <c r="A389" i="9" s="1"/>
  <c r="EK413" i="12"/>
  <c r="DM413" i="12"/>
  <c r="DI413" i="12"/>
  <c r="V413" i="12"/>
  <c r="B413" i="12"/>
  <c r="A413" i="8" s="1"/>
  <c r="A387" i="9" s="1"/>
  <c r="EK411" i="12"/>
  <c r="DM411" i="12"/>
  <c r="DI411" i="12"/>
  <c r="V411" i="12"/>
  <c r="B411" i="12"/>
  <c r="A411" i="8" s="1"/>
  <c r="A385" i="9" s="1"/>
  <c r="EK409" i="12"/>
  <c r="DM409" i="12"/>
  <c r="DI409" i="12"/>
  <c r="V409" i="12"/>
  <c r="B409" i="12"/>
  <c r="A409" i="8" s="1"/>
  <c r="A383" i="9" s="1"/>
  <c r="V407" i="12"/>
  <c r="B407" i="12"/>
  <c r="A407" i="8" s="1"/>
  <c r="A381" i="9" s="1"/>
  <c r="V405" i="12"/>
  <c r="B405" i="12"/>
  <c r="A405" i="8" s="1"/>
  <c r="A379" i="9" s="1"/>
  <c r="B399" i="12"/>
  <c r="A399" i="8" s="1"/>
  <c r="A373" i="9" s="1"/>
  <c r="V399" i="12"/>
  <c r="DP419" i="12"/>
  <c r="DL419" i="12"/>
  <c r="DH419" i="12"/>
  <c r="BL419" i="12"/>
  <c r="T419" i="12"/>
  <c r="DP417" i="12"/>
  <c r="DL417" i="12"/>
  <c r="DH417" i="12"/>
  <c r="BL417" i="12"/>
  <c r="T417" i="12"/>
  <c r="DP415" i="12"/>
  <c r="DL415" i="12"/>
  <c r="DH415" i="12"/>
  <c r="BL415" i="12"/>
  <c r="T415" i="12"/>
  <c r="DP413" i="12"/>
  <c r="DL413" i="12"/>
  <c r="DH413" i="12"/>
  <c r="BL413" i="12"/>
  <c r="T413" i="12"/>
  <c r="DP411" i="12"/>
  <c r="DL411" i="12"/>
  <c r="DH411" i="12"/>
  <c r="BL411" i="12"/>
  <c r="T411" i="12"/>
  <c r="DP409" i="12"/>
  <c r="DL409" i="12"/>
  <c r="DH409" i="12"/>
  <c r="BL409" i="12"/>
  <c r="T409" i="12"/>
  <c r="T407" i="12"/>
  <c r="T405" i="12"/>
  <c r="B395" i="12"/>
  <c r="A395" i="8" s="1"/>
  <c r="A369" i="9" s="1"/>
  <c r="V395" i="12"/>
  <c r="EL419" i="12"/>
  <c r="DN419" i="12"/>
  <c r="DJ419" i="12"/>
  <c r="EL417" i="12"/>
  <c r="DN417" i="12"/>
  <c r="DJ417" i="12"/>
  <c r="EL415" i="12"/>
  <c r="DN415" i="12"/>
  <c r="DJ415" i="12"/>
  <c r="EL413" i="12"/>
  <c r="DN413" i="12"/>
  <c r="DJ413" i="12"/>
  <c r="EL411" i="12"/>
  <c r="DN411" i="12"/>
  <c r="DJ411" i="12"/>
  <c r="EL409" i="12"/>
  <c r="DN409" i="12"/>
  <c r="DJ409" i="12"/>
  <c r="T402" i="12"/>
  <c r="B397" i="12"/>
  <c r="A397" i="8" s="1"/>
  <c r="A371" i="9" s="1"/>
  <c r="V397" i="12"/>
  <c r="V393" i="12"/>
  <c r="B393" i="12"/>
  <c r="A393" i="8" s="1"/>
  <c r="A367" i="9" s="1"/>
  <c r="V391" i="12"/>
  <c r="B391" i="12"/>
  <c r="A391" i="8" s="1"/>
  <c r="A365" i="9" s="1"/>
  <c r="V389" i="12"/>
  <c r="B389" i="12"/>
  <c r="A389" i="8" s="1"/>
  <c r="A363" i="9" s="1"/>
  <c r="V387" i="12"/>
  <c r="B387" i="12"/>
  <c r="A387" i="8" s="1"/>
  <c r="A361" i="9" s="1"/>
  <c r="V385" i="12"/>
  <c r="B385" i="12"/>
  <c r="A385" i="8" s="1"/>
  <c r="A359" i="9" s="1"/>
  <c r="V383" i="12"/>
  <c r="B383" i="12"/>
  <c r="A383" i="8" s="1"/>
  <c r="A357" i="9" s="1"/>
  <c r="V381" i="12"/>
  <c r="B381" i="12"/>
  <c r="A381" i="8" s="1"/>
  <c r="A355" i="9" s="1"/>
  <c r="V379" i="12"/>
  <c r="B379" i="12"/>
  <c r="A379" i="8" s="1"/>
  <c r="A353" i="9" s="1"/>
  <c r="V377" i="12"/>
  <c r="B377" i="12"/>
  <c r="A377" i="8" s="1"/>
  <c r="A351" i="9" s="1"/>
  <c r="B372" i="12"/>
  <c r="A372" i="8" s="1"/>
  <c r="A346" i="9" s="1"/>
  <c r="V372" i="12"/>
  <c r="T370" i="12"/>
  <c r="B370" i="12"/>
  <c r="A370" i="8" s="1"/>
  <c r="A344" i="9" s="1"/>
  <c r="V370" i="12"/>
  <c r="B374" i="12"/>
  <c r="A374" i="8" s="1"/>
  <c r="A348" i="9" s="1"/>
  <c r="V374" i="12"/>
  <c r="B376" i="12"/>
  <c r="A376" i="8" s="1"/>
  <c r="A350" i="9" s="1"/>
  <c r="V376" i="12"/>
  <c r="T372" i="12"/>
  <c r="V368" i="12"/>
  <c r="B368" i="12"/>
  <c r="A368" i="8" s="1"/>
  <c r="A342" i="9" s="1"/>
  <c r="V366" i="12"/>
  <c r="B366" i="12"/>
  <c r="A366" i="8" s="1"/>
  <c r="A340" i="9" s="1"/>
  <c r="V364" i="12"/>
  <c r="B364" i="12"/>
  <c r="A364" i="8" s="1"/>
  <c r="A338" i="9" s="1"/>
  <c r="V362" i="12"/>
  <c r="B362" i="12"/>
  <c r="A362" i="8" s="1"/>
  <c r="A336" i="9" s="1"/>
  <c r="V360" i="12"/>
  <c r="B360" i="12"/>
  <c r="A360" i="8" s="1"/>
  <c r="A334" i="9" s="1"/>
  <c r="V358" i="12"/>
  <c r="B358" i="12"/>
  <c r="A358" i="8" s="1"/>
  <c r="A332" i="9" s="1"/>
  <c r="V356" i="12"/>
  <c r="B356" i="12"/>
  <c r="A356" i="8" s="1"/>
  <c r="A330" i="9" s="1"/>
  <c r="V354" i="12"/>
  <c r="B354" i="12"/>
  <c r="A354" i="8" s="1"/>
  <c r="A328" i="9" s="1"/>
  <c r="V352" i="12"/>
  <c r="B352" i="12"/>
  <c r="A352" i="8" s="1"/>
  <c r="A326" i="9" s="1"/>
  <c r="T368" i="12"/>
  <c r="T366" i="12"/>
  <c r="T364" i="12"/>
  <c r="T362" i="12"/>
  <c r="T360" i="12"/>
  <c r="T358" i="12"/>
  <c r="T356" i="12"/>
  <c r="T354" i="12"/>
  <c r="T352" i="12"/>
  <c r="B350" i="12"/>
  <c r="A350" i="8" s="1"/>
  <c r="A324" i="9" s="1"/>
  <c r="V350" i="12"/>
  <c r="T350" i="12"/>
  <c r="T348" i="12"/>
  <c r="T346" i="12"/>
  <c r="T344" i="12"/>
  <c r="T342" i="12"/>
  <c r="T340" i="12"/>
  <c r="T338" i="12"/>
  <c r="T336" i="12"/>
  <c r="T334" i="12"/>
  <c r="T332" i="12"/>
  <c r="T330" i="12"/>
  <c r="V348" i="12"/>
  <c r="V346" i="12"/>
  <c r="V344" i="12"/>
  <c r="V342" i="12"/>
  <c r="V340" i="12"/>
  <c r="V338" i="12"/>
  <c r="V336" i="12"/>
  <c r="V334" i="12"/>
  <c r="V332" i="12"/>
  <c r="V330" i="12"/>
  <c r="CE28" i="12"/>
  <c r="CF28" i="12"/>
  <c r="CG28" i="12"/>
  <c r="CH28" i="12"/>
  <c r="CI28" i="12"/>
  <c r="CJ28" i="12"/>
  <c r="CK28" i="12"/>
  <c r="CL28" i="12"/>
  <c r="CM28" i="12"/>
  <c r="CN28" i="12"/>
  <c r="CO28" i="12"/>
  <c r="CP28" i="12"/>
  <c r="CQ28" i="12"/>
  <c r="CR28" i="12"/>
  <c r="CS28" i="12"/>
  <c r="CT28" i="12"/>
  <c r="CU28" i="12"/>
  <c r="CV28" i="12"/>
  <c r="CW28" i="12"/>
  <c r="CX28" i="12"/>
  <c r="CY28" i="12"/>
  <c r="CZ28" i="12"/>
  <c r="DA28" i="12"/>
  <c r="DB28" i="12"/>
  <c r="CE29" i="12"/>
  <c r="CF29" i="12"/>
  <c r="CG29" i="12"/>
  <c r="CH29" i="12"/>
  <c r="CI29" i="12"/>
  <c r="CJ29" i="12"/>
  <c r="CK29" i="12"/>
  <c r="CL29" i="12"/>
  <c r="CM29" i="12"/>
  <c r="CN29" i="12"/>
  <c r="CO29" i="12"/>
  <c r="CP29" i="12"/>
  <c r="CQ29" i="12"/>
  <c r="CR29" i="12"/>
  <c r="CS29" i="12"/>
  <c r="CT29" i="12"/>
  <c r="CU29" i="12"/>
  <c r="CV29" i="12"/>
  <c r="CW29" i="12"/>
  <c r="CX29" i="12"/>
  <c r="CY29" i="12"/>
  <c r="CZ29" i="12"/>
  <c r="DA29" i="12"/>
  <c r="DB29" i="12"/>
  <c r="CF30" i="12"/>
  <c r="CG30" i="12"/>
  <c r="CH30" i="12"/>
  <c r="CI30" i="12"/>
  <c r="CJ30" i="12"/>
  <c r="CK30" i="12"/>
  <c r="CL30" i="12"/>
  <c r="CM30" i="12"/>
  <c r="CN30" i="12"/>
  <c r="CO30" i="12"/>
  <c r="CP30" i="12"/>
  <c r="CQ30" i="12"/>
  <c r="CR30" i="12"/>
  <c r="CS30" i="12"/>
  <c r="CT30" i="12"/>
  <c r="CU30" i="12"/>
  <c r="CV30" i="12"/>
  <c r="CW30" i="12"/>
  <c r="CX30" i="12"/>
  <c r="CY30" i="12"/>
  <c r="CZ30" i="12"/>
  <c r="DA30" i="12"/>
  <c r="DB30" i="12"/>
  <c r="CH31" i="12"/>
  <c r="CI31" i="12"/>
  <c r="CJ31" i="12"/>
  <c r="CK31" i="12"/>
  <c r="CL31" i="12"/>
  <c r="CM31" i="12"/>
  <c r="CN31" i="12"/>
  <c r="CO31" i="12"/>
  <c r="CP31" i="12"/>
  <c r="CQ31" i="12"/>
  <c r="CR31" i="12"/>
  <c r="CS31" i="12"/>
  <c r="CT31" i="12"/>
  <c r="CU31" i="12"/>
  <c r="CV31" i="12"/>
  <c r="CW31" i="12"/>
  <c r="CX31" i="12"/>
  <c r="CY31" i="12"/>
  <c r="CZ31" i="12"/>
  <c r="DA31" i="12"/>
  <c r="DB31" i="12"/>
  <c r="CI32" i="12"/>
  <c r="CJ32" i="12"/>
  <c r="CK32" i="12"/>
  <c r="CL32" i="12"/>
  <c r="CM32" i="12"/>
  <c r="CN32" i="12"/>
  <c r="CO32" i="12"/>
  <c r="CP32" i="12"/>
  <c r="CQ32" i="12"/>
  <c r="CR32" i="12"/>
  <c r="CS32" i="12"/>
  <c r="CT32" i="12"/>
  <c r="CU32" i="12"/>
  <c r="CV32" i="12"/>
  <c r="CW32" i="12"/>
  <c r="CX32" i="12"/>
  <c r="CY32" i="12"/>
  <c r="CZ32" i="12"/>
  <c r="DA32" i="12"/>
  <c r="DB32" i="12"/>
  <c r="CH33" i="12"/>
  <c r="CI33" i="12"/>
  <c r="CJ33" i="12"/>
  <c r="CK33" i="12"/>
  <c r="CL33" i="12"/>
  <c r="CM33" i="12"/>
  <c r="CN33" i="12"/>
  <c r="CO33" i="12"/>
  <c r="CP33" i="12"/>
  <c r="CQ33" i="12"/>
  <c r="CR33" i="12"/>
  <c r="CS33" i="12"/>
  <c r="CT33" i="12"/>
  <c r="CU33" i="12"/>
  <c r="CV33" i="12"/>
  <c r="CW33" i="12"/>
  <c r="CX33" i="12"/>
  <c r="CY33" i="12"/>
  <c r="CZ33" i="12"/>
  <c r="DA33" i="12"/>
  <c r="DB33" i="12"/>
  <c r="CI34" i="12"/>
  <c r="CJ34" i="12"/>
  <c r="CK34" i="12"/>
  <c r="CL34" i="12"/>
  <c r="CM34" i="12"/>
  <c r="CN34" i="12"/>
  <c r="CO34" i="12"/>
  <c r="CP34" i="12"/>
  <c r="CQ34" i="12"/>
  <c r="CR34" i="12"/>
  <c r="CS34" i="12"/>
  <c r="CT34" i="12"/>
  <c r="CU34" i="12"/>
  <c r="CV34" i="12"/>
  <c r="CW34" i="12"/>
  <c r="CX34" i="12"/>
  <c r="CY34" i="12"/>
  <c r="CZ34" i="12"/>
  <c r="DA34" i="12"/>
  <c r="DB34" i="12"/>
  <c r="CH35" i="12"/>
  <c r="CI35" i="12"/>
  <c r="CJ35" i="12"/>
  <c r="CK35" i="12"/>
  <c r="CL35" i="12"/>
  <c r="CM35" i="12"/>
  <c r="CN35" i="12"/>
  <c r="CO35" i="12"/>
  <c r="CP35" i="12"/>
  <c r="CQ35" i="12"/>
  <c r="CR35" i="12"/>
  <c r="CS35" i="12"/>
  <c r="CT35" i="12"/>
  <c r="CU35" i="12"/>
  <c r="CV35" i="12"/>
  <c r="CW35" i="12"/>
  <c r="CX35" i="12"/>
  <c r="CY35" i="12"/>
  <c r="CZ35" i="12"/>
  <c r="DA35" i="12"/>
  <c r="DB35" i="12"/>
  <c r="CI36" i="12"/>
  <c r="CJ36" i="12"/>
  <c r="CK36" i="12"/>
  <c r="CL36" i="12"/>
  <c r="CM36" i="12"/>
  <c r="CN36" i="12"/>
  <c r="CO36" i="12"/>
  <c r="CP36" i="12"/>
  <c r="CQ36" i="12"/>
  <c r="CR36" i="12"/>
  <c r="CS36" i="12"/>
  <c r="CT36" i="12"/>
  <c r="CU36" i="12"/>
  <c r="CV36" i="12"/>
  <c r="CW36" i="12"/>
  <c r="CX36" i="12"/>
  <c r="CY36" i="12"/>
  <c r="CZ36" i="12"/>
  <c r="DA36" i="12"/>
  <c r="DB36" i="12"/>
  <c r="CI37" i="12"/>
  <c r="CJ37" i="12"/>
  <c r="CK37" i="12"/>
  <c r="CL37" i="12"/>
  <c r="CM37" i="12"/>
  <c r="CN37" i="12"/>
  <c r="CO37" i="12"/>
  <c r="CP37" i="12"/>
  <c r="CQ37" i="12"/>
  <c r="CR37" i="12"/>
  <c r="CS37" i="12"/>
  <c r="CT37" i="12"/>
  <c r="CU37" i="12"/>
  <c r="CV37" i="12"/>
  <c r="CW37" i="12"/>
  <c r="CX37" i="12"/>
  <c r="CY37" i="12"/>
  <c r="CZ37" i="12"/>
  <c r="DA37" i="12"/>
  <c r="DB37" i="12"/>
  <c r="CG38" i="12"/>
  <c r="CI38" i="12"/>
  <c r="CJ38" i="12"/>
  <c r="CK38" i="12"/>
  <c r="CL38" i="12"/>
  <c r="CM38" i="12"/>
  <c r="CN38" i="12"/>
  <c r="CO38" i="12"/>
  <c r="CP38" i="12"/>
  <c r="CQ38" i="12"/>
  <c r="CR38" i="12"/>
  <c r="CS38" i="12"/>
  <c r="CT38" i="12"/>
  <c r="CU38" i="12"/>
  <c r="CV38" i="12"/>
  <c r="CW38" i="12"/>
  <c r="CX38" i="12"/>
  <c r="CY38" i="12"/>
  <c r="CZ38" i="12"/>
  <c r="DA38" i="12"/>
  <c r="DB38" i="12"/>
  <c r="CI39" i="12"/>
  <c r="CJ39" i="12"/>
  <c r="CK39" i="12"/>
  <c r="CL39" i="12"/>
  <c r="CM39" i="12"/>
  <c r="CN39" i="12"/>
  <c r="CO39" i="12"/>
  <c r="CP39" i="12"/>
  <c r="CQ39" i="12"/>
  <c r="CR39" i="12"/>
  <c r="CS39" i="12"/>
  <c r="CT39" i="12"/>
  <c r="CU39" i="12"/>
  <c r="CV39" i="12"/>
  <c r="CW39" i="12"/>
  <c r="CX39" i="12"/>
  <c r="CY39" i="12"/>
  <c r="CZ39" i="12"/>
  <c r="DA39" i="12"/>
  <c r="DB39" i="12"/>
  <c r="CG40" i="12"/>
  <c r="CI40" i="12"/>
  <c r="CJ40" i="12"/>
  <c r="CK40" i="12"/>
  <c r="CL40" i="12"/>
  <c r="CM40" i="12"/>
  <c r="CN40" i="12"/>
  <c r="CO40" i="12"/>
  <c r="CP40" i="12"/>
  <c r="CQ40" i="12"/>
  <c r="CR40" i="12"/>
  <c r="CS40" i="12"/>
  <c r="CT40" i="12"/>
  <c r="CU40" i="12"/>
  <c r="CV40" i="12"/>
  <c r="CW40" i="12"/>
  <c r="CX40" i="12"/>
  <c r="CY40" i="12"/>
  <c r="CZ40" i="12"/>
  <c r="DA40" i="12"/>
  <c r="DB40" i="12"/>
  <c r="CH41" i="12"/>
  <c r="CI41" i="12"/>
  <c r="CJ41" i="12"/>
  <c r="CK41" i="12"/>
  <c r="CL41" i="12"/>
  <c r="CM41" i="12"/>
  <c r="CN41" i="12"/>
  <c r="CO41" i="12"/>
  <c r="CP41" i="12"/>
  <c r="CQ41" i="12"/>
  <c r="CR41" i="12"/>
  <c r="CS41" i="12"/>
  <c r="CT41" i="12"/>
  <c r="CU41" i="12"/>
  <c r="CV41" i="12"/>
  <c r="CW41" i="12"/>
  <c r="CX41" i="12"/>
  <c r="CY41" i="12"/>
  <c r="CZ41" i="12"/>
  <c r="DA41" i="12"/>
  <c r="DB41" i="12"/>
  <c r="CG42" i="12"/>
  <c r="CI42" i="12"/>
  <c r="CJ42" i="12"/>
  <c r="CK42" i="12"/>
  <c r="CL42" i="12"/>
  <c r="CM42" i="12"/>
  <c r="CN42" i="12"/>
  <c r="CO42" i="12"/>
  <c r="CP42" i="12"/>
  <c r="CQ42" i="12"/>
  <c r="CR42" i="12"/>
  <c r="CS42" i="12"/>
  <c r="CT42" i="12"/>
  <c r="CU42" i="12"/>
  <c r="CV42" i="12"/>
  <c r="CW42" i="12"/>
  <c r="CX42" i="12"/>
  <c r="CY42" i="12"/>
  <c r="CZ42" i="12"/>
  <c r="DA42" i="12"/>
  <c r="DB42" i="12"/>
  <c r="CI43" i="12"/>
  <c r="CJ43" i="12"/>
  <c r="CK43" i="12"/>
  <c r="CL43" i="12"/>
  <c r="CM43" i="12"/>
  <c r="CN43" i="12"/>
  <c r="CO43" i="12"/>
  <c r="CP43" i="12"/>
  <c r="CQ43" i="12"/>
  <c r="CR43" i="12"/>
  <c r="CS43" i="12"/>
  <c r="CT43" i="12"/>
  <c r="CU43" i="12"/>
  <c r="CV43" i="12"/>
  <c r="CW43" i="12"/>
  <c r="CX43" i="12"/>
  <c r="CY43" i="12"/>
  <c r="CZ43" i="12"/>
  <c r="DA43" i="12"/>
  <c r="DB43" i="12"/>
  <c r="CG44" i="12"/>
  <c r="CI44" i="12"/>
  <c r="CJ44" i="12"/>
  <c r="CK44" i="12"/>
  <c r="CL44" i="12"/>
  <c r="CM44" i="12"/>
  <c r="CN44" i="12"/>
  <c r="CO44" i="12"/>
  <c r="CP44" i="12"/>
  <c r="CQ44" i="12"/>
  <c r="CR44" i="12"/>
  <c r="CS44" i="12"/>
  <c r="CT44" i="12"/>
  <c r="CU44" i="12"/>
  <c r="CV44" i="12"/>
  <c r="CW44" i="12"/>
  <c r="CX44" i="12"/>
  <c r="CY44" i="12"/>
  <c r="CZ44" i="12"/>
  <c r="DA44" i="12"/>
  <c r="DB44" i="12"/>
  <c r="CH45" i="12"/>
  <c r="CI45" i="12"/>
  <c r="CJ45" i="12"/>
  <c r="CK45" i="12"/>
  <c r="CL45" i="12"/>
  <c r="CM45" i="12"/>
  <c r="CN45" i="12"/>
  <c r="CO45" i="12"/>
  <c r="CP45" i="12"/>
  <c r="CQ45" i="12"/>
  <c r="CR45" i="12"/>
  <c r="CS45" i="12"/>
  <c r="CT45" i="12"/>
  <c r="CU45" i="12"/>
  <c r="CV45" i="12"/>
  <c r="CW45" i="12"/>
  <c r="CX45" i="12"/>
  <c r="CY45" i="12"/>
  <c r="CZ45" i="12"/>
  <c r="DA45" i="12"/>
  <c r="DB45" i="12"/>
  <c r="CG46" i="12"/>
  <c r="CI46" i="12"/>
  <c r="CJ46" i="12"/>
  <c r="CK46" i="12"/>
  <c r="CL46" i="12"/>
  <c r="CM46" i="12"/>
  <c r="CN46" i="12"/>
  <c r="CO46" i="12"/>
  <c r="CP46" i="12"/>
  <c r="CQ46" i="12"/>
  <c r="CR46" i="12"/>
  <c r="CS46" i="12"/>
  <c r="CT46" i="12"/>
  <c r="CU46" i="12"/>
  <c r="CV46" i="12"/>
  <c r="CW46" i="12"/>
  <c r="CX46" i="12"/>
  <c r="CY46" i="12"/>
  <c r="CZ46" i="12"/>
  <c r="DA46" i="12"/>
  <c r="DB46" i="12"/>
  <c r="CI47" i="12"/>
  <c r="CJ47" i="12"/>
  <c r="CK47" i="12"/>
  <c r="CL47" i="12"/>
  <c r="CM47" i="12"/>
  <c r="CN47" i="12"/>
  <c r="CO47" i="12"/>
  <c r="CP47" i="12"/>
  <c r="CQ47" i="12"/>
  <c r="CR47" i="12"/>
  <c r="CS47" i="12"/>
  <c r="CT47" i="12"/>
  <c r="CU47" i="12"/>
  <c r="CV47" i="12"/>
  <c r="CW47" i="12"/>
  <c r="CX47" i="12"/>
  <c r="CY47" i="12"/>
  <c r="CZ47" i="12"/>
  <c r="DA47" i="12"/>
  <c r="DB47" i="12"/>
  <c r="CG48" i="12"/>
  <c r="CI48" i="12"/>
  <c r="CJ48" i="12"/>
  <c r="CK48" i="12"/>
  <c r="CL48" i="12"/>
  <c r="CM48" i="12"/>
  <c r="CN48" i="12"/>
  <c r="CO48" i="12"/>
  <c r="CP48" i="12"/>
  <c r="CQ48" i="12"/>
  <c r="CR48" i="12"/>
  <c r="CS48" i="12"/>
  <c r="CT48" i="12"/>
  <c r="CU48" i="12"/>
  <c r="CV48" i="12"/>
  <c r="CW48" i="12"/>
  <c r="CX48" i="12"/>
  <c r="CY48" i="12"/>
  <c r="CZ48" i="12"/>
  <c r="DA48" i="12"/>
  <c r="DB48" i="12"/>
  <c r="CH49" i="12"/>
  <c r="CI49" i="12"/>
  <c r="CJ49" i="12"/>
  <c r="CK49" i="12"/>
  <c r="CL49" i="12"/>
  <c r="CM49" i="12"/>
  <c r="CN49" i="12"/>
  <c r="CO49" i="12"/>
  <c r="CP49" i="12"/>
  <c r="CQ49" i="12"/>
  <c r="CR49" i="12"/>
  <c r="CS49" i="12"/>
  <c r="CT49" i="12"/>
  <c r="CU49" i="12"/>
  <c r="CV49" i="12"/>
  <c r="CW49" i="12"/>
  <c r="CX49" i="12"/>
  <c r="CY49" i="12"/>
  <c r="CZ49" i="12"/>
  <c r="DA49" i="12"/>
  <c r="DB49" i="12"/>
  <c r="CG50" i="12"/>
  <c r="CI50" i="12"/>
  <c r="CJ50" i="12"/>
  <c r="CK50" i="12"/>
  <c r="CL50" i="12"/>
  <c r="CM50" i="12"/>
  <c r="CN50" i="12"/>
  <c r="CO50" i="12"/>
  <c r="CP50" i="12"/>
  <c r="CQ50" i="12"/>
  <c r="CR50" i="12"/>
  <c r="CS50" i="12"/>
  <c r="CT50" i="12"/>
  <c r="CU50" i="12"/>
  <c r="CV50" i="12"/>
  <c r="CW50" i="12"/>
  <c r="CX50" i="12"/>
  <c r="CY50" i="12"/>
  <c r="CZ50" i="12"/>
  <c r="DA50" i="12"/>
  <c r="DB50" i="12"/>
  <c r="CI51" i="12"/>
  <c r="CJ51" i="12"/>
  <c r="CK51" i="12"/>
  <c r="CL51" i="12"/>
  <c r="CM51" i="12"/>
  <c r="CN51" i="12"/>
  <c r="CO51" i="12"/>
  <c r="CP51" i="12"/>
  <c r="CQ51" i="12"/>
  <c r="CR51" i="12"/>
  <c r="CS51" i="12"/>
  <c r="CT51" i="12"/>
  <c r="CU51" i="12"/>
  <c r="CV51" i="12"/>
  <c r="CW51" i="12"/>
  <c r="CX51" i="12"/>
  <c r="CY51" i="12"/>
  <c r="CZ51" i="12"/>
  <c r="DA51" i="12"/>
  <c r="DB51" i="12"/>
  <c r="CG52" i="12"/>
  <c r="CI52" i="12"/>
  <c r="CJ52" i="12"/>
  <c r="CK52" i="12"/>
  <c r="CL52" i="12"/>
  <c r="CM52" i="12"/>
  <c r="CN52" i="12"/>
  <c r="CO52" i="12"/>
  <c r="CP52" i="12"/>
  <c r="CQ52" i="12"/>
  <c r="CR52" i="12"/>
  <c r="CS52" i="12"/>
  <c r="CT52" i="12"/>
  <c r="CU52" i="12"/>
  <c r="CV52" i="12"/>
  <c r="CW52" i="12"/>
  <c r="CX52" i="12"/>
  <c r="CY52" i="12"/>
  <c r="CZ52" i="12"/>
  <c r="DA52" i="12"/>
  <c r="DB52" i="12"/>
  <c r="CH53" i="12"/>
  <c r="CI53" i="12"/>
  <c r="CJ53" i="12"/>
  <c r="CK53" i="12"/>
  <c r="CL53" i="12"/>
  <c r="CM53" i="12"/>
  <c r="CN53" i="12"/>
  <c r="CO53" i="12"/>
  <c r="CP53" i="12"/>
  <c r="CQ53" i="12"/>
  <c r="CR53" i="12"/>
  <c r="CS53" i="12"/>
  <c r="CT53" i="12"/>
  <c r="CU53" i="12"/>
  <c r="CV53" i="12"/>
  <c r="CW53" i="12"/>
  <c r="CX53" i="12"/>
  <c r="CY53" i="12"/>
  <c r="CZ53" i="12"/>
  <c r="DA53" i="12"/>
  <c r="DB53" i="12"/>
  <c r="CG54" i="12"/>
  <c r="CI54" i="12"/>
  <c r="CJ54" i="12"/>
  <c r="CK54" i="12"/>
  <c r="CL54" i="12"/>
  <c r="CM54" i="12"/>
  <c r="CN54" i="12"/>
  <c r="CO54" i="12"/>
  <c r="CP54" i="12"/>
  <c r="CQ54" i="12"/>
  <c r="CR54" i="12"/>
  <c r="CS54" i="12"/>
  <c r="CT54" i="12"/>
  <c r="CU54" i="12"/>
  <c r="CV54" i="12"/>
  <c r="CW54" i="12"/>
  <c r="CX54" i="12"/>
  <c r="CY54" i="12"/>
  <c r="CZ54" i="12"/>
  <c r="DA54" i="12"/>
  <c r="DB54" i="12"/>
  <c r="CI55" i="12"/>
  <c r="CJ55" i="12"/>
  <c r="CK55" i="12"/>
  <c r="CL55" i="12"/>
  <c r="CM55" i="12"/>
  <c r="CN55" i="12"/>
  <c r="CO55" i="12"/>
  <c r="CP55" i="12"/>
  <c r="CQ55" i="12"/>
  <c r="CR55" i="12"/>
  <c r="CS55" i="12"/>
  <c r="CT55" i="12"/>
  <c r="CU55" i="12"/>
  <c r="CV55" i="12"/>
  <c r="CW55" i="12"/>
  <c r="CX55" i="12"/>
  <c r="CY55" i="12"/>
  <c r="CZ55" i="12"/>
  <c r="DA55" i="12"/>
  <c r="DB55" i="12"/>
  <c r="CG56" i="12"/>
  <c r="CI56" i="12"/>
  <c r="CJ56" i="12"/>
  <c r="CK56" i="12"/>
  <c r="CL56" i="12"/>
  <c r="CM56" i="12"/>
  <c r="CN56" i="12"/>
  <c r="CO56" i="12"/>
  <c r="CP56" i="12"/>
  <c r="CQ56" i="12"/>
  <c r="CR56" i="12"/>
  <c r="CS56" i="12"/>
  <c r="CT56" i="12"/>
  <c r="CU56" i="12"/>
  <c r="CV56" i="12"/>
  <c r="CW56" i="12"/>
  <c r="CX56" i="12"/>
  <c r="CY56" i="12"/>
  <c r="CZ56" i="12"/>
  <c r="DA56" i="12"/>
  <c r="DB56" i="12"/>
  <c r="CH57" i="12"/>
  <c r="CI57" i="12"/>
  <c r="CJ57" i="12"/>
  <c r="CK57" i="12"/>
  <c r="CL57" i="12"/>
  <c r="CM57" i="12"/>
  <c r="CN57" i="12"/>
  <c r="CO57" i="12"/>
  <c r="CP57" i="12"/>
  <c r="CQ57" i="12"/>
  <c r="CR57" i="12"/>
  <c r="CS57" i="12"/>
  <c r="CT57" i="12"/>
  <c r="CU57" i="12"/>
  <c r="CV57" i="12"/>
  <c r="CW57" i="12"/>
  <c r="CX57" i="12"/>
  <c r="CY57" i="12"/>
  <c r="CZ57" i="12"/>
  <c r="DA57" i="12"/>
  <c r="DB57" i="12"/>
  <c r="CG58" i="12"/>
  <c r="CI58" i="12"/>
  <c r="CJ58" i="12"/>
  <c r="CK58" i="12"/>
  <c r="CL58" i="12"/>
  <c r="CM58" i="12"/>
  <c r="CN58" i="12"/>
  <c r="CO58" i="12"/>
  <c r="CP58" i="12"/>
  <c r="CQ58" i="12"/>
  <c r="CR58" i="12"/>
  <c r="CS58" i="12"/>
  <c r="CT58" i="12"/>
  <c r="CU58" i="12"/>
  <c r="CV58" i="12"/>
  <c r="CW58" i="12"/>
  <c r="CX58" i="12"/>
  <c r="CY58" i="12"/>
  <c r="CZ58" i="12"/>
  <c r="DA58" i="12"/>
  <c r="DB58" i="12"/>
  <c r="CI59" i="12"/>
  <c r="CJ59" i="12"/>
  <c r="CK59" i="12"/>
  <c r="CL59" i="12"/>
  <c r="CM59" i="12"/>
  <c r="CN59" i="12"/>
  <c r="CO59" i="12"/>
  <c r="CP59" i="12"/>
  <c r="CQ59" i="12"/>
  <c r="CR59" i="12"/>
  <c r="CS59" i="12"/>
  <c r="CT59" i="12"/>
  <c r="CU59" i="12"/>
  <c r="CV59" i="12"/>
  <c r="CW59" i="12"/>
  <c r="CX59" i="12"/>
  <c r="CY59" i="12"/>
  <c r="CZ59" i="12"/>
  <c r="DA59" i="12"/>
  <c r="DB59" i="12"/>
  <c r="CG60" i="12"/>
  <c r="CI60" i="12"/>
  <c r="CJ60" i="12"/>
  <c r="CK60" i="12"/>
  <c r="CL60" i="12"/>
  <c r="CM60" i="12"/>
  <c r="CN60" i="12"/>
  <c r="CO60" i="12"/>
  <c r="CP60" i="12"/>
  <c r="CQ60" i="12"/>
  <c r="CR60" i="12"/>
  <c r="CS60" i="12"/>
  <c r="CT60" i="12"/>
  <c r="CU60" i="12"/>
  <c r="CV60" i="12"/>
  <c r="CW60" i="12"/>
  <c r="CX60" i="12"/>
  <c r="CY60" i="12"/>
  <c r="CZ60" i="12"/>
  <c r="DA60" i="12"/>
  <c r="DB60" i="12"/>
  <c r="CH61" i="12"/>
  <c r="CI61" i="12"/>
  <c r="CJ61" i="12"/>
  <c r="CK61" i="12"/>
  <c r="CL61" i="12"/>
  <c r="CM61" i="12"/>
  <c r="CN61" i="12"/>
  <c r="CO61" i="12"/>
  <c r="CP61" i="12"/>
  <c r="CQ61" i="12"/>
  <c r="CR61" i="12"/>
  <c r="CS61" i="12"/>
  <c r="CT61" i="12"/>
  <c r="CU61" i="12"/>
  <c r="CV61" i="12"/>
  <c r="CW61" i="12"/>
  <c r="CX61" i="12"/>
  <c r="CY61" i="12"/>
  <c r="CZ61" i="12"/>
  <c r="DA61" i="12"/>
  <c r="DB61" i="12"/>
  <c r="CG62" i="12"/>
  <c r="CI62" i="12"/>
  <c r="CJ62" i="12"/>
  <c r="CK62" i="12"/>
  <c r="CL62" i="12"/>
  <c r="CM62" i="12"/>
  <c r="CN62" i="12"/>
  <c r="CO62" i="12"/>
  <c r="CP62" i="12"/>
  <c r="CQ62" i="12"/>
  <c r="CR62" i="12"/>
  <c r="CS62" i="12"/>
  <c r="CT62" i="12"/>
  <c r="CU62" i="12"/>
  <c r="CV62" i="12"/>
  <c r="CW62" i="12"/>
  <c r="CX62" i="12"/>
  <c r="CY62" i="12"/>
  <c r="CZ62" i="12"/>
  <c r="DA62" i="12"/>
  <c r="DB62" i="12"/>
  <c r="CI63" i="12"/>
  <c r="CJ63" i="12"/>
  <c r="CK63" i="12"/>
  <c r="CL63" i="12"/>
  <c r="CM63" i="12"/>
  <c r="CN63" i="12"/>
  <c r="CO63" i="12"/>
  <c r="CP63" i="12"/>
  <c r="CQ63" i="12"/>
  <c r="CR63" i="12"/>
  <c r="CS63" i="12"/>
  <c r="CT63" i="12"/>
  <c r="CU63" i="12"/>
  <c r="CV63" i="12"/>
  <c r="CW63" i="12"/>
  <c r="CX63" i="12"/>
  <c r="CY63" i="12"/>
  <c r="CZ63" i="12"/>
  <c r="DA63" i="12"/>
  <c r="DB63" i="12"/>
  <c r="CG64" i="12"/>
  <c r="CI64" i="12"/>
  <c r="CJ64" i="12"/>
  <c r="CK64" i="12"/>
  <c r="CL64" i="12"/>
  <c r="CM64" i="12"/>
  <c r="CN64" i="12"/>
  <c r="CO64" i="12"/>
  <c r="CP64" i="12"/>
  <c r="CQ64" i="12"/>
  <c r="CR64" i="12"/>
  <c r="CS64" i="12"/>
  <c r="CT64" i="12"/>
  <c r="CU64" i="12"/>
  <c r="CV64" i="12"/>
  <c r="CW64" i="12"/>
  <c r="CX64" i="12"/>
  <c r="CY64" i="12"/>
  <c r="CZ64" i="12"/>
  <c r="DA64" i="12"/>
  <c r="DB64" i="12"/>
  <c r="CH65" i="12"/>
  <c r="CI65" i="12"/>
  <c r="CJ65" i="12"/>
  <c r="CK65" i="12"/>
  <c r="CL65" i="12"/>
  <c r="CM65" i="12"/>
  <c r="CN65" i="12"/>
  <c r="CO65" i="12"/>
  <c r="CP65" i="12"/>
  <c r="CQ65" i="12"/>
  <c r="CR65" i="12"/>
  <c r="CS65" i="12"/>
  <c r="CT65" i="12"/>
  <c r="CU65" i="12"/>
  <c r="CV65" i="12"/>
  <c r="CW65" i="12"/>
  <c r="CX65" i="12"/>
  <c r="CY65" i="12"/>
  <c r="CZ65" i="12"/>
  <c r="DA65" i="12"/>
  <c r="DB65" i="12"/>
  <c r="CG66" i="12"/>
  <c r="CI66" i="12"/>
  <c r="CJ66" i="12"/>
  <c r="CK66" i="12"/>
  <c r="CL66" i="12"/>
  <c r="CM66" i="12"/>
  <c r="CN66" i="12"/>
  <c r="CO66" i="12"/>
  <c r="CP66" i="12"/>
  <c r="CQ66" i="12"/>
  <c r="CR66" i="12"/>
  <c r="CS66" i="12"/>
  <c r="CT66" i="12"/>
  <c r="CU66" i="12"/>
  <c r="CV66" i="12"/>
  <c r="CW66" i="12"/>
  <c r="CX66" i="12"/>
  <c r="CY66" i="12"/>
  <c r="CZ66" i="12"/>
  <c r="DA66" i="12"/>
  <c r="DB66" i="12"/>
  <c r="CI67" i="12"/>
  <c r="CJ67" i="12"/>
  <c r="CK67" i="12"/>
  <c r="CL67" i="12"/>
  <c r="CM67" i="12"/>
  <c r="CN67" i="12"/>
  <c r="CO67" i="12"/>
  <c r="CP67" i="12"/>
  <c r="CQ67" i="12"/>
  <c r="CR67" i="12"/>
  <c r="CS67" i="12"/>
  <c r="CT67" i="12"/>
  <c r="CU67" i="12"/>
  <c r="CV67" i="12"/>
  <c r="CW67" i="12"/>
  <c r="CX67" i="12"/>
  <c r="CY67" i="12"/>
  <c r="CZ67" i="12"/>
  <c r="DA67" i="12"/>
  <c r="DB67" i="12"/>
  <c r="CG68" i="12"/>
  <c r="CI68" i="12"/>
  <c r="CJ68" i="12"/>
  <c r="CK68" i="12"/>
  <c r="CL68" i="12"/>
  <c r="CM68" i="12"/>
  <c r="CN68" i="12"/>
  <c r="CO68" i="12"/>
  <c r="CP68" i="12"/>
  <c r="CQ68" i="12"/>
  <c r="CR68" i="12"/>
  <c r="CS68" i="12"/>
  <c r="CT68" i="12"/>
  <c r="CU68" i="12"/>
  <c r="CV68" i="12"/>
  <c r="CW68" i="12"/>
  <c r="CX68" i="12"/>
  <c r="CY68" i="12"/>
  <c r="CZ68" i="12"/>
  <c r="DA68" i="12"/>
  <c r="DB68" i="12"/>
  <c r="CH69" i="12"/>
  <c r="CI69" i="12"/>
  <c r="CJ69" i="12"/>
  <c r="CK69" i="12"/>
  <c r="CL69" i="12"/>
  <c r="CM69" i="12"/>
  <c r="CN69" i="12"/>
  <c r="CO69" i="12"/>
  <c r="CP69" i="12"/>
  <c r="CQ69" i="12"/>
  <c r="CR69" i="12"/>
  <c r="CS69" i="12"/>
  <c r="CT69" i="12"/>
  <c r="CU69" i="12"/>
  <c r="CV69" i="12"/>
  <c r="CW69" i="12"/>
  <c r="CX69" i="12"/>
  <c r="CY69" i="12"/>
  <c r="CZ69" i="12"/>
  <c r="DA69" i="12"/>
  <c r="DB69" i="12"/>
  <c r="CG70" i="12"/>
  <c r="CI70" i="12"/>
  <c r="CJ70" i="12"/>
  <c r="CK70" i="12"/>
  <c r="CL70" i="12"/>
  <c r="CM70" i="12"/>
  <c r="CN70" i="12"/>
  <c r="CO70" i="12"/>
  <c r="CP70" i="12"/>
  <c r="CQ70" i="12"/>
  <c r="CR70" i="12"/>
  <c r="CS70" i="12"/>
  <c r="CT70" i="12"/>
  <c r="CU70" i="12"/>
  <c r="CV70" i="12"/>
  <c r="CW70" i="12"/>
  <c r="CX70" i="12"/>
  <c r="CY70" i="12"/>
  <c r="CZ70" i="12"/>
  <c r="DA70" i="12"/>
  <c r="DB70" i="12"/>
  <c r="CI71" i="12"/>
  <c r="CJ71" i="12"/>
  <c r="CK71" i="12"/>
  <c r="CL71" i="12"/>
  <c r="CM71" i="12"/>
  <c r="CN71" i="12"/>
  <c r="CO71" i="12"/>
  <c r="CP71" i="12"/>
  <c r="CQ71" i="12"/>
  <c r="CR71" i="12"/>
  <c r="CS71" i="12"/>
  <c r="CT71" i="12"/>
  <c r="CU71" i="12"/>
  <c r="CV71" i="12"/>
  <c r="CW71" i="12"/>
  <c r="CX71" i="12"/>
  <c r="CY71" i="12"/>
  <c r="CZ71" i="12"/>
  <c r="DA71" i="12"/>
  <c r="DB71" i="12"/>
  <c r="CG72" i="12"/>
  <c r="CI72" i="12"/>
  <c r="CJ72" i="12"/>
  <c r="CK72" i="12"/>
  <c r="CL72" i="12"/>
  <c r="CM72" i="12"/>
  <c r="CN72" i="12"/>
  <c r="CO72" i="12"/>
  <c r="CP72" i="12"/>
  <c r="CQ72" i="12"/>
  <c r="CR72" i="12"/>
  <c r="CS72" i="12"/>
  <c r="CT72" i="12"/>
  <c r="CU72" i="12"/>
  <c r="CV72" i="12"/>
  <c r="CW72" i="12"/>
  <c r="CX72" i="12"/>
  <c r="CY72" i="12"/>
  <c r="CZ72" i="12"/>
  <c r="DA72" i="12"/>
  <c r="DB72" i="12"/>
  <c r="CH73" i="12"/>
  <c r="CI73" i="12"/>
  <c r="CJ73" i="12"/>
  <c r="CK73" i="12"/>
  <c r="CL73" i="12"/>
  <c r="CM73" i="12"/>
  <c r="CN73" i="12"/>
  <c r="CO73" i="12"/>
  <c r="CP73" i="12"/>
  <c r="CQ73" i="12"/>
  <c r="CR73" i="12"/>
  <c r="CS73" i="12"/>
  <c r="CT73" i="12"/>
  <c r="CU73" i="12"/>
  <c r="CV73" i="12"/>
  <c r="CW73" i="12"/>
  <c r="CX73" i="12"/>
  <c r="CY73" i="12"/>
  <c r="CZ73" i="12"/>
  <c r="DA73" i="12"/>
  <c r="DB73" i="12"/>
  <c r="CG74" i="12"/>
  <c r="CI74" i="12"/>
  <c r="CJ74" i="12"/>
  <c r="CK74" i="12"/>
  <c r="CL74" i="12"/>
  <c r="CM74" i="12"/>
  <c r="CN74" i="12"/>
  <c r="CO74" i="12"/>
  <c r="CP74" i="12"/>
  <c r="CQ74" i="12"/>
  <c r="CR74" i="12"/>
  <c r="CS74" i="12"/>
  <c r="CT74" i="12"/>
  <c r="CU74" i="12"/>
  <c r="CV74" i="12"/>
  <c r="CW74" i="12"/>
  <c r="CX74" i="12"/>
  <c r="CY74" i="12"/>
  <c r="CZ74" i="12"/>
  <c r="DA74" i="12"/>
  <c r="DB74" i="12"/>
  <c r="CI75" i="12"/>
  <c r="CJ75" i="12"/>
  <c r="CK75" i="12"/>
  <c r="CL75" i="12"/>
  <c r="CM75" i="12"/>
  <c r="CN75" i="12"/>
  <c r="CO75" i="12"/>
  <c r="CP75" i="12"/>
  <c r="CQ75" i="12"/>
  <c r="CR75" i="12"/>
  <c r="CS75" i="12"/>
  <c r="CT75" i="12"/>
  <c r="CU75" i="12"/>
  <c r="CV75" i="12"/>
  <c r="CW75" i="12"/>
  <c r="CX75" i="12"/>
  <c r="CY75" i="12"/>
  <c r="CZ75" i="12"/>
  <c r="DA75" i="12"/>
  <c r="DB75" i="12"/>
  <c r="CG76" i="12"/>
  <c r="CI76" i="12"/>
  <c r="CJ76" i="12"/>
  <c r="CK76" i="12"/>
  <c r="CL76" i="12"/>
  <c r="CM76" i="12"/>
  <c r="CN76" i="12"/>
  <c r="CO76" i="12"/>
  <c r="CP76" i="12"/>
  <c r="CQ76" i="12"/>
  <c r="CR76" i="12"/>
  <c r="CS76" i="12"/>
  <c r="CT76" i="12"/>
  <c r="CU76" i="12"/>
  <c r="CV76" i="12"/>
  <c r="CW76" i="12"/>
  <c r="CX76" i="12"/>
  <c r="CY76" i="12"/>
  <c r="CZ76" i="12"/>
  <c r="DA76" i="12"/>
  <c r="DB76" i="12"/>
  <c r="CH77" i="12"/>
  <c r="CI77" i="12"/>
  <c r="CJ77" i="12"/>
  <c r="CK77" i="12"/>
  <c r="CL77" i="12"/>
  <c r="CM77" i="12"/>
  <c r="CN77" i="12"/>
  <c r="CO77" i="12"/>
  <c r="CP77" i="12"/>
  <c r="CQ77" i="12"/>
  <c r="CR77" i="12"/>
  <c r="CS77" i="12"/>
  <c r="CT77" i="12"/>
  <c r="CU77" i="12"/>
  <c r="CV77" i="12"/>
  <c r="CW77" i="12"/>
  <c r="CX77" i="12"/>
  <c r="CY77" i="12"/>
  <c r="CZ77" i="12"/>
  <c r="DA77" i="12"/>
  <c r="DB77" i="12"/>
  <c r="CG78" i="12"/>
  <c r="CI78" i="12"/>
  <c r="CJ78" i="12"/>
  <c r="CK78" i="12"/>
  <c r="CL78" i="12"/>
  <c r="CM78" i="12"/>
  <c r="CN78" i="12"/>
  <c r="CO78" i="12"/>
  <c r="CP78" i="12"/>
  <c r="CQ78" i="12"/>
  <c r="CR78" i="12"/>
  <c r="CS78" i="12"/>
  <c r="CT78" i="12"/>
  <c r="CU78" i="12"/>
  <c r="CV78" i="12"/>
  <c r="CW78" i="12"/>
  <c r="CX78" i="12"/>
  <c r="CY78" i="12"/>
  <c r="CZ78" i="12"/>
  <c r="DA78" i="12"/>
  <c r="DB78" i="12"/>
  <c r="CI79" i="12"/>
  <c r="CJ79" i="12"/>
  <c r="CK79" i="12"/>
  <c r="CL79" i="12"/>
  <c r="CM79" i="12"/>
  <c r="CN79" i="12"/>
  <c r="CO79" i="12"/>
  <c r="CP79" i="12"/>
  <c r="CQ79" i="12"/>
  <c r="CR79" i="12"/>
  <c r="CS79" i="12"/>
  <c r="CT79" i="12"/>
  <c r="CU79" i="12"/>
  <c r="CV79" i="12"/>
  <c r="CW79" i="12"/>
  <c r="CX79" i="12"/>
  <c r="CY79" i="12"/>
  <c r="CZ79" i="12"/>
  <c r="DA79" i="12"/>
  <c r="DB79" i="12"/>
  <c r="CG80" i="12"/>
  <c r="CI80" i="12"/>
  <c r="CJ80" i="12"/>
  <c r="CK80" i="12"/>
  <c r="CL80" i="12"/>
  <c r="CM80" i="12"/>
  <c r="CN80" i="12"/>
  <c r="CO80" i="12"/>
  <c r="CP80" i="12"/>
  <c r="CQ80" i="12"/>
  <c r="CR80" i="12"/>
  <c r="CS80" i="12"/>
  <c r="CT80" i="12"/>
  <c r="CU80" i="12"/>
  <c r="CV80" i="12"/>
  <c r="CW80" i="12"/>
  <c r="CX80" i="12"/>
  <c r="CY80" i="12"/>
  <c r="CZ80" i="12"/>
  <c r="DA80" i="12"/>
  <c r="DB80" i="12"/>
  <c r="CH81" i="12"/>
  <c r="CI81" i="12"/>
  <c r="CJ81" i="12"/>
  <c r="CK81" i="12"/>
  <c r="CL81" i="12"/>
  <c r="CM81" i="12"/>
  <c r="CN81" i="12"/>
  <c r="CO81" i="12"/>
  <c r="CP81" i="12"/>
  <c r="CQ81" i="12"/>
  <c r="CR81" i="12"/>
  <c r="CS81" i="12"/>
  <c r="CT81" i="12"/>
  <c r="CU81" i="12"/>
  <c r="CV81" i="12"/>
  <c r="CW81" i="12"/>
  <c r="CX81" i="12"/>
  <c r="CY81" i="12"/>
  <c r="CZ81" i="12"/>
  <c r="DA81" i="12"/>
  <c r="DB81" i="12"/>
  <c r="CG82" i="12"/>
  <c r="CI82" i="12"/>
  <c r="CJ82" i="12"/>
  <c r="CK82" i="12"/>
  <c r="CL82" i="12"/>
  <c r="CM82" i="12"/>
  <c r="CN82" i="12"/>
  <c r="CO82" i="12"/>
  <c r="CP82" i="12"/>
  <c r="CQ82" i="12"/>
  <c r="CR82" i="12"/>
  <c r="CS82" i="12"/>
  <c r="CT82" i="12"/>
  <c r="CU82" i="12"/>
  <c r="CV82" i="12"/>
  <c r="CW82" i="12"/>
  <c r="CX82" i="12"/>
  <c r="CY82" i="12"/>
  <c r="CZ82" i="12"/>
  <c r="DA82" i="12"/>
  <c r="DB82" i="12"/>
  <c r="CI83" i="12"/>
  <c r="CJ83" i="12"/>
  <c r="CK83" i="12"/>
  <c r="CL83" i="12"/>
  <c r="CM83" i="12"/>
  <c r="CN83" i="12"/>
  <c r="CO83" i="12"/>
  <c r="CP83" i="12"/>
  <c r="CQ83" i="12"/>
  <c r="CR83" i="12"/>
  <c r="CS83" i="12"/>
  <c r="CT83" i="12"/>
  <c r="CU83" i="12"/>
  <c r="CV83" i="12"/>
  <c r="CW83" i="12"/>
  <c r="CX83" i="12"/>
  <c r="CY83" i="12"/>
  <c r="CZ83" i="12"/>
  <c r="DA83" i="12"/>
  <c r="DB83" i="12"/>
  <c r="CG84" i="12"/>
  <c r="CI84" i="12"/>
  <c r="CJ84" i="12"/>
  <c r="CK84" i="12"/>
  <c r="CL84" i="12"/>
  <c r="CM84" i="12"/>
  <c r="CN84" i="12"/>
  <c r="CO84" i="12"/>
  <c r="CP84" i="12"/>
  <c r="CQ84" i="12"/>
  <c r="CR84" i="12"/>
  <c r="CS84" i="12"/>
  <c r="CT84" i="12"/>
  <c r="CU84" i="12"/>
  <c r="CV84" i="12"/>
  <c r="CW84" i="12"/>
  <c r="CX84" i="12"/>
  <c r="CY84" i="12"/>
  <c r="CZ84" i="12"/>
  <c r="DA84" i="12"/>
  <c r="DB84" i="12"/>
  <c r="CH85" i="12"/>
  <c r="CI85" i="12"/>
  <c r="CJ85" i="12"/>
  <c r="CK85" i="12"/>
  <c r="CL85" i="12"/>
  <c r="CM85" i="12"/>
  <c r="CN85" i="12"/>
  <c r="CO85" i="12"/>
  <c r="CP85" i="12"/>
  <c r="CQ85" i="12"/>
  <c r="CR85" i="12"/>
  <c r="CS85" i="12"/>
  <c r="CT85" i="12"/>
  <c r="CU85" i="12"/>
  <c r="CV85" i="12"/>
  <c r="CW85" i="12"/>
  <c r="CX85" i="12"/>
  <c r="CY85" i="12"/>
  <c r="CZ85" i="12"/>
  <c r="DA85" i="12"/>
  <c r="DB85" i="12"/>
  <c r="CG86" i="12"/>
  <c r="CI86" i="12"/>
  <c r="CJ86" i="12"/>
  <c r="CK86" i="12"/>
  <c r="CL86" i="12"/>
  <c r="CM86" i="12"/>
  <c r="CN86" i="12"/>
  <c r="CO86" i="12"/>
  <c r="CP86" i="12"/>
  <c r="CQ86" i="12"/>
  <c r="CR86" i="12"/>
  <c r="CS86" i="12"/>
  <c r="CT86" i="12"/>
  <c r="CU86" i="12"/>
  <c r="CV86" i="12"/>
  <c r="CW86" i="12"/>
  <c r="CX86" i="12"/>
  <c r="CY86" i="12"/>
  <c r="CZ86" i="12"/>
  <c r="DA86" i="12"/>
  <c r="DB86" i="12"/>
  <c r="CI87" i="12"/>
  <c r="CJ87" i="12"/>
  <c r="CK87" i="12"/>
  <c r="CL87" i="12"/>
  <c r="CM87" i="12"/>
  <c r="CN87" i="12"/>
  <c r="CO87" i="12"/>
  <c r="CP87" i="12"/>
  <c r="CQ87" i="12"/>
  <c r="CR87" i="12"/>
  <c r="CS87" i="12"/>
  <c r="CT87" i="12"/>
  <c r="CU87" i="12"/>
  <c r="CV87" i="12"/>
  <c r="CW87" i="12"/>
  <c r="CX87" i="12"/>
  <c r="CY87" i="12"/>
  <c r="CZ87" i="12"/>
  <c r="DA87" i="12"/>
  <c r="DB87" i="12"/>
  <c r="CG88" i="12"/>
  <c r="CI88" i="12"/>
  <c r="CJ88" i="12"/>
  <c r="CK88" i="12"/>
  <c r="CL88" i="12"/>
  <c r="CM88" i="12"/>
  <c r="CN88" i="12"/>
  <c r="CO88" i="12"/>
  <c r="CP88" i="12"/>
  <c r="CQ88" i="12"/>
  <c r="CR88" i="12"/>
  <c r="CS88" i="12"/>
  <c r="CT88" i="12"/>
  <c r="CU88" i="12"/>
  <c r="CV88" i="12"/>
  <c r="CW88" i="12"/>
  <c r="CX88" i="12"/>
  <c r="CY88" i="12"/>
  <c r="CZ88" i="12"/>
  <c r="DA88" i="12"/>
  <c r="DB88" i="12"/>
  <c r="CH89" i="12"/>
  <c r="CI89" i="12"/>
  <c r="CJ89" i="12"/>
  <c r="CK89" i="12"/>
  <c r="CL89" i="12"/>
  <c r="CM89" i="12"/>
  <c r="CN89" i="12"/>
  <c r="CO89" i="12"/>
  <c r="CP89" i="12"/>
  <c r="CQ89" i="12"/>
  <c r="CR89" i="12"/>
  <c r="CS89" i="12"/>
  <c r="CT89" i="12"/>
  <c r="CU89" i="12"/>
  <c r="CV89" i="12"/>
  <c r="CW89" i="12"/>
  <c r="CX89" i="12"/>
  <c r="CY89" i="12"/>
  <c r="CZ89" i="12"/>
  <c r="DA89" i="12"/>
  <c r="DB89" i="12"/>
  <c r="CG90" i="12"/>
  <c r="CI90" i="12"/>
  <c r="CJ90" i="12"/>
  <c r="CK90" i="12"/>
  <c r="CL90" i="12"/>
  <c r="CM90" i="12"/>
  <c r="CN90" i="12"/>
  <c r="CO90" i="12"/>
  <c r="CP90" i="12"/>
  <c r="CQ90" i="12"/>
  <c r="CR90" i="12"/>
  <c r="CS90" i="12"/>
  <c r="CT90" i="12"/>
  <c r="CU90" i="12"/>
  <c r="CV90" i="12"/>
  <c r="CW90" i="12"/>
  <c r="CX90" i="12"/>
  <c r="CY90" i="12"/>
  <c r="CZ90" i="12"/>
  <c r="DA90" i="12"/>
  <c r="DB90" i="12"/>
  <c r="CI91" i="12"/>
  <c r="CJ91" i="12"/>
  <c r="CK91" i="12"/>
  <c r="CL91" i="12"/>
  <c r="CM91" i="12"/>
  <c r="CN91" i="12"/>
  <c r="CO91" i="12"/>
  <c r="CP91" i="12"/>
  <c r="CQ91" i="12"/>
  <c r="CR91" i="12"/>
  <c r="CS91" i="12"/>
  <c r="CT91" i="12"/>
  <c r="CU91" i="12"/>
  <c r="CV91" i="12"/>
  <c r="CW91" i="12"/>
  <c r="CX91" i="12"/>
  <c r="CY91" i="12"/>
  <c r="CZ91" i="12"/>
  <c r="DA91" i="12"/>
  <c r="DB91" i="12"/>
  <c r="CG92" i="12"/>
  <c r="CI92" i="12"/>
  <c r="CJ92" i="12"/>
  <c r="CK92" i="12"/>
  <c r="CL92" i="12"/>
  <c r="CM92" i="12"/>
  <c r="CN92" i="12"/>
  <c r="CO92" i="12"/>
  <c r="CP92" i="12"/>
  <c r="CQ92" i="12"/>
  <c r="CR92" i="12"/>
  <c r="CS92" i="12"/>
  <c r="CT92" i="12"/>
  <c r="CU92" i="12"/>
  <c r="CV92" i="12"/>
  <c r="CW92" i="12"/>
  <c r="CX92" i="12"/>
  <c r="CY92" i="12"/>
  <c r="CZ92" i="12"/>
  <c r="DA92" i="12"/>
  <c r="DB92" i="12"/>
  <c r="CH93" i="12"/>
  <c r="CI93" i="12"/>
  <c r="CJ93" i="12"/>
  <c r="CK93" i="12"/>
  <c r="CL93" i="12"/>
  <c r="CM93" i="12"/>
  <c r="CN93" i="12"/>
  <c r="CO93" i="12"/>
  <c r="CP93" i="12"/>
  <c r="CQ93" i="12"/>
  <c r="CR93" i="12"/>
  <c r="CS93" i="12"/>
  <c r="CT93" i="12"/>
  <c r="CU93" i="12"/>
  <c r="CV93" i="12"/>
  <c r="CW93" i="12"/>
  <c r="CX93" i="12"/>
  <c r="CY93" i="12"/>
  <c r="CZ93" i="12"/>
  <c r="DA93" i="12"/>
  <c r="DB93" i="12"/>
  <c r="CG94" i="12"/>
  <c r="CI94" i="12"/>
  <c r="CJ94" i="12"/>
  <c r="CK94" i="12"/>
  <c r="CL94" i="12"/>
  <c r="CM94" i="12"/>
  <c r="CN94" i="12"/>
  <c r="CO94" i="12"/>
  <c r="CP94" i="12"/>
  <c r="CQ94" i="12"/>
  <c r="CR94" i="12"/>
  <c r="CS94" i="12"/>
  <c r="CT94" i="12"/>
  <c r="CU94" i="12"/>
  <c r="CV94" i="12"/>
  <c r="CW94" i="12"/>
  <c r="CX94" i="12"/>
  <c r="CY94" i="12"/>
  <c r="CZ94" i="12"/>
  <c r="DA94" i="12"/>
  <c r="DB94" i="12"/>
  <c r="CI95" i="12"/>
  <c r="CJ95" i="12"/>
  <c r="CK95" i="12"/>
  <c r="CL95" i="12"/>
  <c r="CM95" i="12"/>
  <c r="CN95" i="12"/>
  <c r="CO95" i="12"/>
  <c r="CP95" i="12"/>
  <c r="CQ95" i="12"/>
  <c r="CR95" i="12"/>
  <c r="CS95" i="12"/>
  <c r="CT95" i="12"/>
  <c r="CU95" i="12"/>
  <c r="CV95" i="12"/>
  <c r="CW95" i="12"/>
  <c r="CX95" i="12"/>
  <c r="CY95" i="12"/>
  <c r="CZ95" i="12"/>
  <c r="DA95" i="12"/>
  <c r="DB95" i="12"/>
  <c r="CG96" i="12"/>
  <c r="CI96" i="12"/>
  <c r="CJ96" i="12"/>
  <c r="CK96" i="12"/>
  <c r="CL96" i="12"/>
  <c r="CM96" i="12"/>
  <c r="CN96" i="12"/>
  <c r="CO96" i="12"/>
  <c r="CP96" i="12"/>
  <c r="CQ96" i="12"/>
  <c r="CR96" i="12"/>
  <c r="CS96" i="12"/>
  <c r="CT96" i="12"/>
  <c r="CU96" i="12"/>
  <c r="CV96" i="12"/>
  <c r="CW96" i="12"/>
  <c r="CX96" i="12"/>
  <c r="CY96" i="12"/>
  <c r="CZ96" i="12"/>
  <c r="DA96" i="12"/>
  <c r="DB96" i="12"/>
  <c r="CH97" i="12"/>
  <c r="CI97" i="12"/>
  <c r="CJ97" i="12"/>
  <c r="CK97" i="12"/>
  <c r="CL97" i="12"/>
  <c r="CM97" i="12"/>
  <c r="CN97" i="12"/>
  <c r="CO97" i="12"/>
  <c r="CP97" i="12"/>
  <c r="CQ97" i="12"/>
  <c r="CR97" i="12"/>
  <c r="CS97" i="12"/>
  <c r="CT97" i="12"/>
  <c r="CU97" i="12"/>
  <c r="CV97" i="12"/>
  <c r="CW97" i="12"/>
  <c r="CX97" i="12"/>
  <c r="CY97" i="12"/>
  <c r="CZ97" i="12"/>
  <c r="DA97" i="12"/>
  <c r="DB97" i="12"/>
  <c r="CG98" i="12"/>
  <c r="CI98" i="12"/>
  <c r="CJ98" i="12"/>
  <c r="CK98" i="12"/>
  <c r="CL98" i="12"/>
  <c r="CM98" i="12"/>
  <c r="CN98" i="12"/>
  <c r="CO98" i="12"/>
  <c r="CP98" i="12"/>
  <c r="CQ98" i="12"/>
  <c r="CR98" i="12"/>
  <c r="CS98" i="12"/>
  <c r="CT98" i="12"/>
  <c r="CU98" i="12"/>
  <c r="CV98" i="12"/>
  <c r="CW98" i="12"/>
  <c r="CX98" i="12"/>
  <c r="CY98" i="12"/>
  <c r="CZ98" i="12"/>
  <c r="DA98" i="12"/>
  <c r="DB98" i="12"/>
  <c r="CH99" i="12"/>
  <c r="CI99" i="12"/>
  <c r="CJ99" i="12"/>
  <c r="CK99" i="12"/>
  <c r="CL99" i="12"/>
  <c r="CM99" i="12"/>
  <c r="CN99" i="12"/>
  <c r="CO99" i="12"/>
  <c r="CP99" i="12"/>
  <c r="CQ99" i="12"/>
  <c r="CR99" i="12"/>
  <c r="CS99" i="12"/>
  <c r="CT99" i="12"/>
  <c r="CU99" i="12"/>
  <c r="CV99" i="12"/>
  <c r="CW99" i="12"/>
  <c r="CX99" i="12"/>
  <c r="CY99" i="12"/>
  <c r="CZ99" i="12"/>
  <c r="DA99" i="12"/>
  <c r="DB99" i="12"/>
  <c r="CG100" i="12"/>
  <c r="CI100" i="12"/>
  <c r="CJ100" i="12"/>
  <c r="CK100" i="12"/>
  <c r="CL100" i="12"/>
  <c r="CM100" i="12"/>
  <c r="CN100" i="12"/>
  <c r="CO100" i="12"/>
  <c r="CP100" i="12"/>
  <c r="CQ100" i="12"/>
  <c r="CR100" i="12"/>
  <c r="CS100" i="12"/>
  <c r="CT100" i="12"/>
  <c r="CU100" i="12"/>
  <c r="CV100" i="12"/>
  <c r="CW100" i="12"/>
  <c r="CX100" i="12"/>
  <c r="CY100" i="12"/>
  <c r="CZ100" i="12"/>
  <c r="DA100" i="12"/>
  <c r="DB100" i="12"/>
  <c r="CH101" i="12"/>
  <c r="CI101" i="12"/>
  <c r="CJ101" i="12"/>
  <c r="CK101" i="12"/>
  <c r="CL101" i="12"/>
  <c r="CM101" i="12"/>
  <c r="CN101" i="12"/>
  <c r="CO101" i="12"/>
  <c r="CP101" i="12"/>
  <c r="CQ101" i="12"/>
  <c r="CR101" i="12"/>
  <c r="CS101" i="12"/>
  <c r="CT101" i="12"/>
  <c r="CU101" i="12"/>
  <c r="CV101" i="12"/>
  <c r="CW101" i="12"/>
  <c r="CX101" i="12"/>
  <c r="CY101" i="12"/>
  <c r="CZ101" i="12"/>
  <c r="DA101" i="12"/>
  <c r="DB101" i="12"/>
  <c r="CG102" i="12"/>
  <c r="CI102" i="12"/>
  <c r="CJ102" i="12"/>
  <c r="CK102" i="12"/>
  <c r="CL102" i="12"/>
  <c r="CM102" i="12"/>
  <c r="CN102" i="12"/>
  <c r="CO102" i="12"/>
  <c r="CP102" i="12"/>
  <c r="CQ102" i="12"/>
  <c r="CR102" i="12"/>
  <c r="CS102" i="12"/>
  <c r="CT102" i="12"/>
  <c r="CU102" i="12"/>
  <c r="CV102" i="12"/>
  <c r="CW102" i="12"/>
  <c r="CX102" i="12"/>
  <c r="CY102" i="12"/>
  <c r="CZ102" i="12"/>
  <c r="DA102" i="12"/>
  <c r="DB102" i="12"/>
  <c r="CH103" i="12"/>
  <c r="CI103" i="12"/>
  <c r="CJ103" i="12"/>
  <c r="CK103" i="12"/>
  <c r="CL103" i="12"/>
  <c r="CM103" i="12"/>
  <c r="CN103" i="12"/>
  <c r="CO103" i="12"/>
  <c r="CP103" i="12"/>
  <c r="CQ103" i="12"/>
  <c r="CR103" i="12"/>
  <c r="CS103" i="12"/>
  <c r="CT103" i="12"/>
  <c r="CU103" i="12"/>
  <c r="CV103" i="12"/>
  <c r="CW103" i="12"/>
  <c r="CX103" i="12"/>
  <c r="CY103" i="12"/>
  <c r="CZ103" i="12"/>
  <c r="DA103" i="12"/>
  <c r="DB103" i="12"/>
  <c r="CG104" i="12"/>
  <c r="CI104" i="12"/>
  <c r="CJ104" i="12"/>
  <c r="CK104" i="12"/>
  <c r="CL104" i="12"/>
  <c r="CM104" i="12"/>
  <c r="CN104" i="12"/>
  <c r="CO104" i="12"/>
  <c r="CP104" i="12"/>
  <c r="CQ104" i="12"/>
  <c r="CR104" i="12"/>
  <c r="CS104" i="12"/>
  <c r="CT104" i="12"/>
  <c r="CU104" i="12"/>
  <c r="CV104" i="12"/>
  <c r="CW104" i="12"/>
  <c r="CX104" i="12"/>
  <c r="CY104" i="12"/>
  <c r="CZ104" i="12"/>
  <c r="DA104" i="12"/>
  <c r="DB104" i="12"/>
  <c r="CH105" i="12"/>
  <c r="CI105" i="12"/>
  <c r="CJ105" i="12"/>
  <c r="CK105" i="12"/>
  <c r="CL105" i="12"/>
  <c r="CM105" i="12"/>
  <c r="CN105" i="12"/>
  <c r="CO105" i="12"/>
  <c r="CP105" i="12"/>
  <c r="CQ105" i="12"/>
  <c r="CR105" i="12"/>
  <c r="CS105" i="12"/>
  <c r="CT105" i="12"/>
  <c r="CU105" i="12"/>
  <c r="CV105" i="12"/>
  <c r="CW105" i="12"/>
  <c r="CX105" i="12"/>
  <c r="CY105" i="12"/>
  <c r="CZ105" i="12"/>
  <c r="DA105" i="12"/>
  <c r="DB105" i="12"/>
  <c r="CG106" i="12"/>
  <c r="CI106" i="12"/>
  <c r="CJ106" i="12"/>
  <c r="CK106" i="12"/>
  <c r="CL106" i="12"/>
  <c r="CM106" i="12"/>
  <c r="CN106" i="12"/>
  <c r="CO106" i="12"/>
  <c r="CP106" i="12"/>
  <c r="CQ106" i="12"/>
  <c r="CR106" i="12"/>
  <c r="CS106" i="12"/>
  <c r="CT106" i="12"/>
  <c r="CU106" i="12"/>
  <c r="CV106" i="12"/>
  <c r="CW106" i="12"/>
  <c r="CX106" i="12"/>
  <c r="CY106" i="12"/>
  <c r="CZ106" i="12"/>
  <c r="DA106" i="12"/>
  <c r="DB106" i="12"/>
  <c r="CH107" i="12"/>
  <c r="CI107" i="12"/>
  <c r="CJ107" i="12"/>
  <c r="CK107" i="12"/>
  <c r="CL107" i="12"/>
  <c r="CM107" i="12"/>
  <c r="CN107" i="12"/>
  <c r="CO107" i="12"/>
  <c r="CP107" i="12"/>
  <c r="CQ107" i="12"/>
  <c r="CR107" i="12"/>
  <c r="CS107" i="12"/>
  <c r="CT107" i="12"/>
  <c r="CU107" i="12"/>
  <c r="CV107" i="12"/>
  <c r="CW107" i="12"/>
  <c r="CX107" i="12"/>
  <c r="CY107" i="12"/>
  <c r="CZ107" i="12"/>
  <c r="DA107" i="12"/>
  <c r="DB107" i="12"/>
  <c r="CG108" i="12"/>
  <c r="CI108" i="12"/>
  <c r="CJ108" i="12"/>
  <c r="CK108" i="12"/>
  <c r="CL108" i="12"/>
  <c r="CM108" i="12"/>
  <c r="CN108" i="12"/>
  <c r="CO108" i="12"/>
  <c r="CP108" i="12"/>
  <c r="CQ108" i="12"/>
  <c r="CR108" i="12"/>
  <c r="CS108" i="12"/>
  <c r="CT108" i="12"/>
  <c r="CU108" i="12"/>
  <c r="CV108" i="12"/>
  <c r="CW108" i="12"/>
  <c r="CX108" i="12"/>
  <c r="CY108" i="12"/>
  <c r="CZ108" i="12"/>
  <c r="DA108" i="12"/>
  <c r="DB108" i="12"/>
  <c r="CG109" i="12"/>
  <c r="CH109" i="12"/>
  <c r="CI109" i="12"/>
  <c r="CJ109" i="12"/>
  <c r="CK109" i="12"/>
  <c r="CL109" i="12"/>
  <c r="CM109" i="12"/>
  <c r="CN109" i="12"/>
  <c r="CO109" i="12"/>
  <c r="CP109" i="12"/>
  <c r="CQ109" i="12"/>
  <c r="CR109" i="12"/>
  <c r="CS109" i="12"/>
  <c r="CT109" i="12"/>
  <c r="CU109" i="12"/>
  <c r="CV109" i="12"/>
  <c r="CW109" i="12"/>
  <c r="CX109" i="12"/>
  <c r="CY109" i="12"/>
  <c r="CZ109" i="12"/>
  <c r="DA109" i="12"/>
  <c r="DB109" i="12"/>
  <c r="CG110" i="12"/>
  <c r="CI110" i="12"/>
  <c r="CJ110" i="12"/>
  <c r="CK110" i="12"/>
  <c r="CL110" i="12"/>
  <c r="CM110" i="12"/>
  <c r="CN110" i="12"/>
  <c r="CO110" i="12"/>
  <c r="CP110" i="12"/>
  <c r="CQ110" i="12"/>
  <c r="CR110" i="12"/>
  <c r="CS110" i="12"/>
  <c r="CT110" i="12"/>
  <c r="CU110" i="12"/>
  <c r="CV110" i="12"/>
  <c r="CW110" i="12"/>
  <c r="CX110" i="12"/>
  <c r="CY110" i="12"/>
  <c r="CZ110" i="12"/>
  <c r="DA110" i="12"/>
  <c r="DB110" i="12"/>
  <c r="CG111" i="12"/>
  <c r="CH111" i="12"/>
  <c r="CI111" i="12"/>
  <c r="CJ111" i="12"/>
  <c r="CK111" i="12"/>
  <c r="CL111" i="12"/>
  <c r="CM111" i="12"/>
  <c r="CN111" i="12"/>
  <c r="CO111" i="12"/>
  <c r="CP111" i="12"/>
  <c r="CQ111" i="12"/>
  <c r="CR111" i="12"/>
  <c r="CS111" i="12"/>
  <c r="CT111" i="12"/>
  <c r="CU111" i="12"/>
  <c r="CV111" i="12"/>
  <c r="CW111" i="12"/>
  <c r="CX111" i="12"/>
  <c r="CY111" i="12"/>
  <c r="CZ111" i="12"/>
  <c r="DA111" i="12"/>
  <c r="DB111" i="12"/>
  <c r="CG112" i="12"/>
  <c r="CI112" i="12"/>
  <c r="CJ112" i="12"/>
  <c r="CK112" i="12"/>
  <c r="CL112" i="12"/>
  <c r="CM112" i="12"/>
  <c r="CN112" i="12"/>
  <c r="CO112" i="12"/>
  <c r="CP112" i="12"/>
  <c r="CQ112" i="12"/>
  <c r="CR112" i="12"/>
  <c r="CS112" i="12"/>
  <c r="CT112" i="12"/>
  <c r="CU112" i="12"/>
  <c r="CV112" i="12"/>
  <c r="CW112" i="12"/>
  <c r="CX112" i="12"/>
  <c r="CY112" i="12"/>
  <c r="CZ112" i="12"/>
  <c r="DA112" i="12"/>
  <c r="DB112" i="12"/>
  <c r="CG113" i="12"/>
  <c r="CH113" i="12"/>
  <c r="CI113" i="12"/>
  <c r="CJ113" i="12"/>
  <c r="CK113" i="12"/>
  <c r="CL113" i="12"/>
  <c r="CM113" i="12"/>
  <c r="CN113" i="12"/>
  <c r="CO113" i="12"/>
  <c r="CP113" i="12"/>
  <c r="CQ113" i="12"/>
  <c r="CR113" i="12"/>
  <c r="CS113" i="12"/>
  <c r="CT113" i="12"/>
  <c r="CU113" i="12"/>
  <c r="CV113" i="12"/>
  <c r="CW113" i="12"/>
  <c r="CX113" i="12"/>
  <c r="CY113" i="12"/>
  <c r="CZ113" i="12"/>
  <c r="DA113" i="12"/>
  <c r="DB113" i="12"/>
  <c r="CG114" i="12"/>
  <c r="CI114" i="12"/>
  <c r="CJ114" i="12"/>
  <c r="CK114" i="12"/>
  <c r="CL114" i="12"/>
  <c r="CM114" i="12"/>
  <c r="CN114" i="12"/>
  <c r="CO114" i="12"/>
  <c r="CP114" i="12"/>
  <c r="CQ114" i="12"/>
  <c r="CR114" i="12"/>
  <c r="CS114" i="12"/>
  <c r="CT114" i="12"/>
  <c r="CU114" i="12"/>
  <c r="CV114" i="12"/>
  <c r="CW114" i="12"/>
  <c r="CX114" i="12"/>
  <c r="CY114" i="12"/>
  <c r="CZ114" i="12"/>
  <c r="DA114" i="12"/>
  <c r="DB114" i="12"/>
  <c r="CG115" i="12"/>
  <c r="CH115" i="12"/>
  <c r="CI115" i="12"/>
  <c r="CJ115" i="12"/>
  <c r="CK115" i="12"/>
  <c r="CL115" i="12"/>
  <c r="CM115" i="12"/>
  <c r="CN115" i="12"/>
  <c r="CO115" i="12"/>
  <c r="CP115" i="12"/>
  <c r="CQ115" i="12"/>
  <c r="CR115" i="12"/>
  <c r="CS115" i="12"/>
  <c r="CT115" i="12"/>
  <c r="CU115" i="12"/>
  <c r="CV115" i="12"/>
  <c r="CW115" i="12"/>
  <c r="CX115" i="12"/>
  <c r="CY115" i="12"/>
  <c r="CZ115" i="12"/>
  <c r="DA115" i="12"/>
  <c r="DB115" i="12"/>
  <c r="CG116" i="12"/>
  <c r="CI116" i="12"/>
  <c r="CJ116" i="12"/>
  <c r="CK116" i="12"/>
  <c r="CL116" i="12"/>
  <c r="CM116" i="12"/>
  <c r="CN116" i="12"/>
  <c r="CO116" i="12"/>
  <c r="CP116" i="12"/>
  <c r="CQ116" i="12"/>
  <c r="CR116" i="12"/>
  <c r="CS116" i="12"/>
  <c r="CT116" i="12"/>
  <c r="CU116" i="12"/>
  <c r="CV116" i="12"/>
  <c r="CW116" i="12"/>
  <c r="CX116" i="12"/>
  <c r="CY116" i="12"/>
  <c r="CZ116" i="12"/>
  <c r="DA116" i="12"/>
  <c r="DB116" i="12"/>
  <c r="CG117" i="12"/>
  <c r="CH117" i="12"/>
  <c r="CI117" i="12"/>
  <c r="CJ117" i="12"/>
  <c r="CK117" i="12"/>
  <c r="CL117" i="12"/>
  <c r="CM117" i="12"/>
  <c r="CN117" i="12"/>
  <c r="CO117" i="12"/>
  <c r="CP117" i="12"/>
  <c r="CQ117" i="12"/>
  <c r="CR117" i="12"/>
  <c r="CS117" i="12"/>
  <c r="CT117" i="12"/>
  <c r="CU117" i="12"/>
  <c r="CV117" i="12"/>
  <c r="CW117" i="12"/>
  <c r="CX117" i="12"/>
  <c r="CY117" i="12"/>
  <c r="CZ117" i="12"/>
  <c r="DA117" i="12"/>
  <c r="DB117" i="12"/>
  <c r="CG118" i="12"/>
  <c r="CI118" i="12"/>
  <c r="CJ118" i="12"/>
  <c r="CK118" i="12"/>
  <c r="CL118" i="12"/>
  <c r="CM118" i="12"/>
  <c r="CN118" i="12"/>
  <c r="CO118" i="12"/>
  <c r="CP118" i="12"/>
  <c r="CQ118" i="12"/>
  <c r="CR118" i="12"/>
  <c r="CS118" i="12"/>
  <c r="CT118" i="12"/>
  <c r="CU118" i="12"/>
  <c r="CV118" i="12"/>
  <c r="CW118" i="12"/>
  <c r="CX118" i="12"/>
  <c r="CY118" i="12"/>
  <c r="CZ118" i="12"/>
  <c r="DA118" i="12"/>
  <c r="DB118" i="12"/>
  <c r="CG119" i="12"/>
  <c r="CH119" i="12"/>
  <c r="CI119" i="12"/>
  <c r="CJ119" i="12"/>
  <c r="CK119" i="12"/>
  <c r="CL119" i="12"/>
  <c r="CM119" i="12"/>
  <c r="CN119" i="12"/>
  <c r="CO119" i="12"/>
  <c r="CP119" i="12"/>
  <c r="CQ119" i="12"/>
  <c r="CR119" i="12"/>
  <c r="CS119" i="12"/>
  <c r="CT119" i="12"/>
  <c r="CU119" i="12"/>
  <c r="CV119" i="12"/>
  <c r="CW119" i="12"/>
  <c r="CX119" i="12"/>
  <c r="CY119" i="12"/>
  <c r="CZ119" i="12"/>
  <c r="DA119" i="12"/>
  <c r="DB119" i="12"/>
  <c r="CG120" i="12"/>
  <c r="CI120" i="12"/>
  <c r="CJ120" i="12"/>
  <c r="CK120" i="12"/>
  <c r="CL120" i="12"/>
  <c r="CM120" i="12"/>
  <c r="CN120" i="12"/>
  <c r="CO120" i="12"/>
  <c r="CP120" i="12"/>
  <c r="CQ120" i="12"/>
  <c r="CR120" i="12"/>
  <c r="CS120" i="12"/>
  <c r="CT120" i="12"/>
  <c r="CU120" i="12"/>
  <c r="CV120" i="12"/>
  <c r="CW120" i="12"/>
  <c r="CX120" i="12"/>
  <c r="CY120" i="12"/>
  <c r="CZ120" i="12"/>
  <c r="DA120" i="12"/>
  <c r="DB120" i="12"/>
  <c r="CG121" i="12"/>
  <c r="CH121" i="12"/>
  <c r="CI121" i="12"/>
  <c r="CJ121" i="12"/>
  <c r="CK121" i="12"/>
  <c r="CL121" i="12"/>
  <c r="CM121" i="12"/>
  <c r="CN121" i="12"/>
  <c r="CO121" i="12"/>
  <c r="CP121" i="12"/>
  <c r="CQ121" i="12"/>
  <c r="CR121" i="12"/>
  <c r="CS121" i="12"/>
  <c r="CT121" i="12"/>
  <c r="CU121" i="12"/>
  <c r="CV121" i="12"/>
  <c r="CW121" i="12"/>
  <c r="CX121" i="12"/>
  <c r="CY121" i="12"/>
  <c r="CZ121" i="12"/>
  <c r="DA121" i="12"/>
  <c r="DB121" i="12"/>
  <c r="CG122" i="12"/>
  <c r="CI122" i="12"/>
  <c r="CJ122" i="12"/>
  <c r="CK122" i="12"/>
  <c r="CL122" i="12"/>
  <c r="CM122" i="12"/>
  <c r="CN122" i="12"/>
  <c r="CO122" i="12"/>
  <c r="CP122" i="12"/>
  <c r="CQ122" i="12"/>
  <c r="CR122" i="12"/>
  <c r="CS122" i="12"/>
  <c r="CT122" i="12"/>
  <c r="CU122" i="12"/>
  <c r="CV122" i="12"/>
  <c r="CW122" i="12"/>
  <c r="CX122" i="12"/>
  <c r="CY122" i="12"/>
  <c r="CZ122" i="12"/>
  <c r="DA122" i="12"/>
  <c r="DB122" i="12"/>
  <c r="CG123" i="12"/>
  <c r="CH123" i="12"/>
  <c r="CI123" i="12"/>
  <c r="CJ123" i="12"/>
  <c r="CK123" i="12"/>
  <c r="CL123" i="12"/>
  <c r="CM123" i="12"/>
  <c r="CN123" i="12"/>
  <c r="CO123" i="12"/>
  <c r="CP123" i="12"/>
  <c r="CQ123" i="12"/>
  <c r="CR123" i="12"/>
  <c r="CS123" i="12"/>
  <c r="CT123" i="12"/>
  <c r="CU123" i="12"/>
  <c r="CV123" i="12"/>
  <c r="CW123" i="12"/>
  <c r="CX123" i="12"/>
  <c r="CY123" i="12"/>
  <c r="CZ123" i="12"/>
  <c r="DA123" i="12"/>
  <c r="DB123" i="12"/>
  <c r="CG124" i="12"/>
  <c r="CI124" i="12"/>
  <c r="CJ124" i="12"/>
  <c r="CK124" i="12"/>
  <c r="CL124" i="12"/>
  <c r="CM124" i="12"/>
  <c r="CN124" i="12"/>
  <c r="CO124" i="12"/>
  <c r="CP124" i="12"/>
  <c r="CQ124" i="12"/>
  <c r="CR124" i="12"/>
  <c r="CS124" i="12"/>
  <c r="CT124" i="12"/>
  <c r="CU124" i="12"/>
  <c r="CV124" i="12"/>
  <c r="CW124" i="12"/>
  <c r="CX124" i="12"/>
  <c r="CY124" i="12"/>
  <c r="CZ124" i="12"/>
  <c r="DA124" i="12"/>
  <c r="DB124" i="12"/>
  <c r="CG125" i="12"/>
  <c r="CH125" i="12"/>
  <c r="CI125" i="12"/>
  <c r="CJ125" i="12"/>
  <c r="CK125" i="12"/>
  <c r="CL125" i="12"/>
  <c r="CM125" i="12"/>
  <c r="CN125" i="12"/>
  <c r="CO125" i="12"/>
  <c r="CP125" i="12"/>
  <c r="CQ125" i="12"/>
  <c r="CR125" i="12"/>
  <c r="CS125" i="12"/>
  <c r="CT125" i="12"/>
  <c r="CU125" i="12"/>
  <c r="CV125" i="12"/>
  <c r="CW125" i="12"/>
  <c r="CX125" i="12"/>
  <c r="CY125" i="12"/>
  <c r="CZ125" i="12"/>
  <c r="DA125" i="12"/>
  <c r="DB125" i="12"/>
  <c r="CG126" i="12"/>
  <c r="CI126" i="12"/>
  <c r="CJ126" i="12"/>
  <c r="CK126" i="12"/>
  <c r="CL126" i="12"/>
  <c r="CM126" i="12"/>
  <c r="CN126" i="12"/>
  <c r="CO126" i="12"/>
  <c r="CP126" i="12"/>
  <c r="CQ126" i="12"/>
  <c r="CR126" i="12"/>
  <c r="CS126" i="12"/>
  <c r="CT126" i="12"/>
  <c r="CU126" i="12"/>
  <c r="CV126" i="12"/>
  <c r="CW126" i="12"/>
  <c r="CX126" i="12"/>
  <c r="CY126" i="12"/>
  <c r="CZ126" i="12"/>
  <c r="DA126" i="12"/>
  <c r="DB126" i="12"/>
  <c r="CG127" i="12"/>
  <c r="CH127" i="12"/>
  <c r="CI127" i="12"/>
  <c r="CJ127" i="12"/>
  <c r="CK127" i="12"/>
  <c r="CL127" i="12"/>
  <c r="CM127" i="12"/>
  <c r="CN127" i="12"/>
  <c r="CO127" i="12"/>
  <c r="CP127" i="12"/>
  <c r="CQ127" i="12"/>
  <c r="CR127" i="12"/>
  <c r="CS127" i="12"/>
  <c r="CT127" i="12"/>
  <c r="CU127" i="12"/>
  <c r="CV127" i="12"/>
  <c r="CW127" i="12"/>
  <c r="CX127" i="12"/>
  <c r="CY127" i="12"/>
  <c r="CZ127" i="12"/>
  <c r="DA127" i="12"/>
  <c r="DB127" i="12"/>
  <c r="CG128" i="12"/>
  <c r="CI128" i="12"/>
  <c r="CJ128" i="12"/>
  <c r="CK128" i="12"/>
  <c r="CL128" i="12"/>
  <c r="CM128" i="12"/>
  <c r="CN128" i="12"/>
  <c r="CO128" i="12"/>
  <c r="CP128" i="12"/>
  <c r="CQ128" i="12"/>
  <c r="CR128" i="12"/>
  <c r="CS128" i="12"/>
  <c r="CT128" i="12"/>
  <c r="CU128" i="12"/>
  <c r="CV128" i="12"/>
  <c r="CW128" i="12"/>
  <c r="CX128" i="12"/>
  <c r="CY128" i="12"/>
  <c r="CZ128" i="12"/>
  <c r="DA128" i="12"/>
  <c r="DB128" i="12"/>
  <c r="CG129" i="12"/>
  <c r="CH129" i="12"/>
  <c r="CI129" i="12"/>
  <c r="CJ129" i="12"/>
  <c r="CK129" i="12"/>
  <c r="CL129" i="12"/>
  <c r="CM129" i="12"/>
  <c r="CN129" i="12"/>
  <c r="CO129" i="12"/>
  <c r="CP129" i="12"/>
  <c r="CQ129" i="12"/>
  <c r="CR129" i="12"/>
  <c r="CS129" i="12"/>
  <c r="CT129" i="12"/>
  <c r="CU129" i="12"/>
  <c r="CV129" i="12"/>
  <c r="CW129" i="12"/>
  <c r="CX129" i="12"/>
  <c r="CY129" i="12"/>
  <c r="CZ129" i="12"/>
  <c r="DA129" i="12"/>
  <c r="DB129" i="12"/>
  <c r="CG130" i="12"/>
  <c r="CI130" i="12"/>
  <c r="CJ130" i="12"/>
  <c r="CK130" i="12"/>
  <c r="CL130" i="12"/>
  <c r="CM130" i="12"/>
  <c r="CN130" i="12"/>
  <c r="CO130" i="12"/>
  <c r="CP130" i="12"/>
  <c r="CQ130" i="12"/>
  <c r="CR130" i="12"/>
  <c r="CS130" i="12"/>
  <c r="CT130" i="12"/>
  <c r="CU130" i="12"/>
  <c r="CV130" i="12"/>
  <c r="CW130" i="12"/>
  <c r="CX130" i="12"/>
  <c r="CY130" i="12"/>
  <c r="CZ130" i="12"/>
  <c r="DA130" i="12"/>
  <c r="DB130" i="12"/>
  <c r="CG131" i="12"/>
  <c r="CH131" i="12"/>
  <c r="CI131" i="12"/>
  <c r="CJ131" i="12"/>
  <c r="CK131" i="12"/>
  <c r="CL131" i="12"/>
  <c r="CM131" i="12"/>
  <c r="CN131" i="12"/>
  <c r="CO131" i="12"/>
  <c r="CP131" i="12"/>
  <c r="CQ131" i="12"/>
  <c r="CR131" i="12"/>
  <c r="CS131" i="12"/>
  <c r="CT131" i="12"/>
  <c r="CU131" i="12"/>
  <c r="CV131" i="12"/>
  <c r="CW131" i="12"/>
  <c r="CX131" i="12"/>
  <c r="CY131" i="12"/>
  <c r="CZ131" i="12"/>
  <c r="DA131" i="12"/>
  <c r="DB131" i="12"/>
  <c r="CG132" i="12"/>
  <c r="CI132" i="12"/>
  <c r="CJ132" i="12"/>
  <c r="CK132" i="12"/>
  <c r="CL132" i="12"/>
  <c r="CM132" i="12"/>
  <c r="CN132" i="12"/>
  <c r="CO132" i="12"/>
  <c r="CP132" i="12"/>
  <c r="CQ132" i="12"/>
  <c r="CR132" i="12"/>
  <c r="CS132" i="12"/>
  <c r="CT132" i="12"/>
  <c r="CU132" i="12"/>
  <c r="CV132" i="12"/>
  <c r="CW132" i="12"/>
  <c r="CX132" i="12"/>
  <c r="CY132" i="12"/>
  <c r="CZ132" i="12"/>
  <c r="DA132" i="12"/>
  <c r="DB132" i="12"/>
  <c r="CG133" i="12"/>
  <c r="CH133" i="12"/>
  <c r="CI133" i="12"/>
  <c r="CJ133" i="12"/>
  <c r="CK133" i="12"/>
  <c r="CL133" i="12"/>
  <c r="CM133" i="12"/>
  <c r="CN133" i="12"/>
  <c r="CO133" i="12"/>
  <c r="CP133" i="12"/>
  <c r="CQ133" i="12"/>
  <c r="CR133" i="12"/>
  <c r="CS133" i="12"/>
  <c r="CT133" i="12"/>
  <c r="CU133" i="12"/>
  <c r="CV133" i="12"/>
  <c r="CW133" i="12"/>
  <c r="CX133" i="12"/>
  <c r="CY133" i="12"/>
  <c r="CZ133" i="12"/>
  <c r="DA133" i="12"/>
  <c r="DB133" i="12"/>
  <c r="CG134" i="12"/>
  <c r="CI134" i="12"/>
  <c r="CJ134" i="12"/>
  <c r="CK134" i="12"/>
  <c r="CL134" i="12"/>
  <c r="CM134" i="12"/>
  <c r="CN134" i="12"/>
  <c r="CO134" i="12"/>
  <c r="CP134" i="12"/>
  <c r="CQ134" i="12"/>
  <c r="CR134" i="12"/>
  <c r="CS134" i="12"/>
  <c r="CT134" i="12"/>
  <c r="CU134" i="12"/>
  <c r="CV134" i="12"/>
  <c r="CW134" i="12"/>
  <c r="CX134" i="12"/>
  <c r="CY134" i="12"/>
  <c r="CZ134" i="12"/>
  <c r="DA134" i="12"/>
  <c r="DB134" i="12"/>
  <c r="CG135" i="12"/>
  <c r="CH135" i="12"/>
  <c r="CI135" i="12"/>
  <c r="CJ135" i="12"/>
  <c r="CK135" i="12"/>
  <c r="CL135" i="12"/>
  <c r="CM135" i="12"/>
  <c r="CN135" i="12"/>
  <c r="CO135" i="12"/>
  <c r="CP135" i="12"/>
  <c r="CQ135" i="12"/>
  <c r="CR135" i="12"/>
  <c r="CS135" i="12"/>
  <c r="CT135" i="12"/>
  <c r="CU135" i="12"/>
  <c r="CV135" i="12"/>
  <c r="CW135" i="12"/>
  <c r="CX135" i="12"/>
  <c r="CY135" i="12"/>
  <c r="CZ135" i="12"/>
  <c r="DA135" i="12"/>
  <c r="DB135" i="12"/>
  <c r="CG136" i="12"/>
  <c r="CI136" i="12"/>
  <c r="CJ136" i="12"/>
  <c r="CK136" i="12"/>
  <c r="CL136" i="12"/>
  <c r="CM136" i="12"/>
  <c r="CN136" i="12"/>
  <c r="CO136" i="12"/>
  <c r="CP136" i="12"/>
  <c r="CQ136" i="12"/>
  <c r="CR136" i="12"/>
  <c r="CS136" i="12"/>
  <c r="CT136" i="12"/>
  <c r="CU136" i="12"/>
  <c r="CV136" i="12"/>
  <c r="CW136" i="12"/>
  <c r="CX136" i="12"/>
  <c r="CY136" i="12"/>
  <c r="CZ136" i="12"/>
  <c r="DA136" i="12"/>
  <c r="DB136" i="12"/>
  <c r="CG137" i="12"/>
  <c r="CH137" i="12"/>
  <c r="CI137" i="12"/>
  <c r="CJ137" i="12"/>
  <c r="CK137" i="12"/>
  <c r="CL137" i="12"/>
  <c r="CM137" i="12"/>
  <c r="CN137" i="12"/>
  <c r="CO137" i="12"/>
  <c r="CP137" i="12"/>
  <c r="CQ137" i="12"/>
  <c r="CR137" i="12"/>
  <c r="CS137" i="12"/>
  <c r="CT137" i="12"/>
  <c r="CU137" i="12"/>
  <c r="CV137" i="12"/>
  <c r="CW137" i="12"/>
  <c r="CX137" i="12"/>
  <c r="CY137" i="12"/>
  <c r="CZ137" i="12"/>
  <c r="DA137" i="12"/>
  <c r="DB137" i="12"/>
  <c r="CG138" i="12"/>
  <c r="CI138" i="12"/>
  <c r="CJ138" i="12"/>
  <c r="CK138" i="12"/>
  <c r="CL138" i="12"/>
  <c r="CM138" i="12"/>
  <c r="CN138" i="12"/>
  <c r="CO138" i="12"/>
  <c r="CP138" i="12"/>
  <c r="CQ138" i="12"/>
  <c r="CR138" i="12"/>
  <c r="CS138" i="12"/>
  <c r="CT138" i="12"/>
  <c r="CU138" i="12"/>
  <c r="CV138" i="12"/>
  <c r="CW138" i="12"/>
  <c r="CX138" i="12"/>
  <c r="CY138" i="12"/>
  <c r="CZ138" i="12"/>
  <c r="DA138" i="12"/>
  <c r="DB138" i="12"/>
  <c r="CG139" i="12"/>
  <c r="CH139" i="12"/>
  <c r="CI139" i="12"/>
  <c r="CJ139" i="12"/>
  <c r="CK139" i="12"/>
  <c r="CL139" i="12"/>
  <c r="CM139" i="12"/>
  <c r="CN139" i="12"/>
  <c r="CO139" i="12"/>
  <c r="CP139" i="12"/>
  <c r="CQ139" i="12"/>
  <c r="CR139" i="12"/>
  <c r="CS139" i="12"/>
  <c r="CT139" i="12"/>
  <c r="CU139" i="12"/>
  <c r="CV139" i="12"/>
  <c r="CW139" i="12"/>
  <c r="CX139" i="12"/>
  <c r="CY139" i="12"/>
  <c r="CZ139" i="12"/>
  <c r="DA139" i="12"/>
  <c r="DB139" i="12"/>
  <c r="CG140" i="12"/>
  <c r="CI140" i="12"/>
  <c r="CJ140" i="12"/>
  <c r="CK140" i="12"/>
  <c r="CL140" i="12"/>
  <c r="CM140" i="12"/>
  <c r="CN140" i="12"/>
  <c r="CO140" i="12"/>
  <c r="CP140" i="12"/>
  <c r="CQ140" i="12"/>
  <c r="CR140" i="12"/>
  <c r="CS140" i="12"/>
  <c r="CT140" i="12"/>
  <c r="CU140" i="12"/>
  <c r="CV140" i="12"/>
  <c r="CW140" i="12"/>
  <c r="CX140" i="12"/>
  <c r="CY140" i="12"/>
  <c r="CZ140" i="12"/>
  <c r="DA140" i="12"/>
  <c r="DB140" i="12"/>
  <c r="CG141" i="12"/>
  <c r="CH141" i="12"/>
  <c r="CI141" i="12"/>
  <c r="CJ141" i="12"/>
  <c r="CK141" i="12"/>
  <c r="CL141" i="12"/>
  <c r="CM141" i="12"/>
  <c r="CN141" i="12"/>
  <c r="CO141" i="12"/>
  <c r="CP141" i="12"/>
  <c r="CQ141" i="12"/>
  <c r="CR141" i="12"/>
  <c r="CS141" i="12"/>
  <c r="CT141" i="12"/>
  <c r="CU141" i="12"/>
  <c r="CV141" i="12"/>
  <c r="CW141" i="12"/>
  <c r="CX141" i="12"/>
  <c r="CY141" i="12"/>
  <c r="CZ141" i="12"/>
  <c r="DA141" i="12"/>
  <c r="DB141" i="12"/>
  <c r="CG142" i="12"/>
  <c r="CI142" i="12"/>
  <c r="CJ142" i="12"/>
  <c r="CK142" i="12"/>
  <c r="CL142" i="12"/>
  <c r="CM142" i="12"/>
  <c r="CN142" i="12"/>
  <c r="CO142" i="12"/>
  <c r="CP142" i="12"/>
  <c r="CQ142" i="12"/>
  <c r="CR142" i="12"/>
  <c r="CS142" i="12"/>
  <c r="CT142" i="12"/>
  <c r="CU142" i="12"/>
  <c r="CV142" i="12"/>
  <c r="CW142" i="12"/>
  <c r="CX142" i="12"/>
  <c r="CY142" i="12"/>
  <c r="CZ142" i="12"/>
  <c r="DA142" i="12"/>
  <c r="DB142" i="12"/>
  <c r="CG143" i="12"/>
  <c r="CH143" i="12"/>
  <c r="CI143" i="12"/>
  <c r="CJ143" i="12"/>
  <c r="CK143" i="12"/>
  <c r="CL143" i="12"/>
  <c r="CM143" i="12"/>
  <c r="CN143" i="12"/>
  <c r="CO143" i="12"/>
  <c r="CP143" i="12"/>
  <c r="CQ143" i="12"/>
  <c r="CR143" i="12"/>
  <c r="CS143" i="12"/>
  <c r="CT143" i="12"/>
  <c r="CU143" i="12"/>
  <c r="CV143" i="12"/>
  <c r="CW143" i="12"/>
  <c r="CX143" i="12"/>
  <c r="CY143" i="12"/>
  <c r="CZ143" i="12"/>
  <c r="DA143" i="12"/>
  <c r="DB143" i="12"/>
  <c r="CG144" i="12"/>
  <c r="CI144" i="12"/>
  <c r="CJ144" i="12"/>
  <c r="CK144" i="12"/>
  <c r="CL144" i="12"/>
  <c r="CM144" i="12"/>
  <c r="CN144" i="12"/>
  <c r="CO144" i="12"/>
  <c r="CP144" i="12"/>
  <c r="CQ144" i="12"/>
  <c r="CR144" i="12"/>
  <c r="CS144" i="12"/>
  <c r="CT144" i="12"/>
  <c r="CU144" i="12"/>
  <c r="CV144" i="12"/>
  <c r="CW144" i="12"/>
  <c r="CX144" i="12"/>
  <c r="CY144" i="12"/>
  <c r="CZ144" i="12"/>
  <c r="DA144" i="12"/>
  <c r="DB144" i="12"/>
  <c r="CG145" i="12"/>
  <c r="CH145" i="12"/>
  <c r="CI145" i="12"/>
  <c r="CJ145" i="12"/>
  <c r="CK145" i="12"/>
  <c r="CL145" i="12"/>
  <c r="CM145" i="12"/>
  <c r="CN145" i="12"/>
  <c r="CO145" i="12"/>
  <c r="CP145" i="12"/>
  <c r="CQ145" i="12"/>
  <c r="CR145" i="12"/>
  <c r="CS145" i="12"/>
  <c r="CT145" i="12"/>
  <c r="CU145" i="12"/>
  <c r="CV145" i="12"/>
  <c r="CW145" i="12"/>
  <c r="CX145" i="12"/>
  <c r="CY145" i="12"/>
  <c r="CZ145" i="12"/>
  <c r="DA145" i="12"/>
  <c r="DB145" i="12"/>
  <c r="CG146" i="12"/>
  <c r="CI146" i="12"/>
  <c r="CJ146" i="12"/>
  <c r="CK146" i="12"/>
  <c r="CL146" i="12"/>
  <c r="CM146" i="12"/>
  <c r="CN146" i="12"/>
  <c r="CO146" i="12"/>
  <c r="CP146" i="12"/>
  <c r="CQ146" i="12"/>
  <c r="CR146" i="12"/>
  <c r="CS146" i="12"/>
  <c r="CT146" i="12"/>
  <c r="CU146" i="12"/>
  <c r="CV146" i="12"/>
  <c r="CW146" i="12"/>
  <c r="CX146" i="12"/>
  <c r="CY146" i="12"/>
  <c r="CZ146" i="12"/>
  <c r="DA146" i="12"/>
  <c r="DB146" i="12"/>
  <c r="CG147" i="12"/>
  <c r="CH147" i="12"/>
  <c r="CI147" i="12"/>
  <c r="CJ147" i="12"/>
  <c r="CK147" i="12"/>
  <c r="CL147" i="12"/>
  <c r="CM147" i="12"/>
  <c r="CN147" i="12"/>
  <c r="CO147" i="12"/>
  <c r="CP147" i="12"/>
  <c r="CQ147" i="12"/>
  <c r="CR147" i="12"/>
  <c r="CS147" i="12"/>
  <c r="CT147" i="12"/>
  <c r="CU147" i="12"/>
  <c r="CV147" i="12"/>
  <c r="CW147" i="12"/>
  <c r="CX147" i="12"/>
  <c r="CY147" i="12"/>
  <c r="CZ147" i="12"/>
  <c r="DA147" i="12"/>
  <c r="DB147" i="12"/>
  <c r="CG148" i="12"/>
  <c r="CI148" i="12"/>
  <c r="CJ148" i="12"/>
  <c r="CK148" i="12"/>
  <c r="CL148" i="12"/>
  <c r="CM148" i="12"/>
  <c r="CN148" i="12"/>
  <c r="CO148" i="12"/>
  <c r="CP148" i="12"/>
  <c r="CQ148" i="12"/>
  <c r="CR148" i="12"/>
  <c r="CS148" i="12"/>
  <c r="CT148" i="12"/>
  <c r="CU148" i="12"/>
  <c r="CV148" i="12"/>
  <c r="CW148" i="12"/>
  <c r="CX148" i="12"/>
  <c r="CY148" i="12"/>
  <c r="CZ148" i="12"/>
  <c r="DA148" i="12"/>
  <c r="DB148" i="12"/>
  <c r="CG149" i="12"/>
  <c r="CH149" i="12"/>
  <c r="CI149" i="12"/>
  <c r="CJ149" i="12"/>
  <c r="CK149" i="12"/>
  <c r="CL149" i="12"/>
  <c r="CM149" i="12"/>
  <c r="CN149" i="12"/>
  <c r="CO149" i="12"/>
  <c r="CP149" i="12"/>
  <c r="CQ149" i="12"/>
  <c r="CR149" i="12"/>
  <c r="CS149" i="12"/>
  <c r="CT149" i="12"/>
  <c r="CU149" i="12"/>
  <c r="CV149" i="12"/>
  <c r="CW149" i="12"/>
  <c r="CX149" i="12"/>
  <c r="CY149" i="12"/>
  <c r="CZ149" i="12"/>
  <c r="DA149" i="12"/>
  <c r="DB149" i="12"/>
  <c r="CG150" i="12"/>
  <c r="CI150" i="12"/>
  <c r="CJ150" i="12"/>
  <c r="CK150" i="12"/>
  <c r="CL150" i="12"/>
  <c r="CM150" i="12"/>
  <c r="CN150" i="12"/>
  <c r="CO150" i="12"/>
  <c r="CP150" i="12"/>
  <c r="CQ150" i="12"/>
  <c r="CR150" i="12"/>
  <c r="CS150" i="12"/>
  <c r="CT150" i="12"/>
  <c r="CU150" i="12"/>
  <c r="CV150" i="12"/>
  <c r="CW150" i="12"/>
  <c r="CX150" i="12"/>
  <c r="CY150" i="12"/>
  <c r="CZ150" i="12"/>
  <c r="DA150" i="12"/>
  <c r="DB150" i="12"/>
  <c r="CG151" i="12"/>
  <c r="CH151" i="12"/>
  <c r="CI151" i="12"/>
  <c r="CJ151" i="12"/>
  <c r="CK151" i="12"/>
  <c r="CL151" i="12"/>
  <c r="CM151" i="12"/>
  <c r="CN151" i="12"/>
  <c r="CO151" i="12"/>
  <c r="CP151" i="12"/>
  <c r="CQ151" i="12"/>
  <c r="CR151" i="12"/>
  <c r="CS151" i="12"/>
  <c r="CT151" i="12"/>
  <c r="CU151" i="12"/>
  <c r="CV151" i="12"/>
  <c r="CW151" i="12"/>
  <c r="CX151" i="12"/>
  <c r="CY151" i="12"/>
  <c r="CZ151" i="12"/>
  <c r="DA151" i="12"/>
  <c r="DB151" i="12"/>
  <c r="CG152" i="12"/>
  <c r="CI152" i="12"/>
  <c r="CJ152" i="12"/>
  <c r="CK152" i="12"/>
  <c r="CL152" i="12"/>
  <c r="CM152" i="12"/>
  <c r="CN152" i="12"/>
  <c r="CO152" i="12"/>
  <c r="CP152" i="12"/>
  <c r="CQ152" i="12"/>
  <c r="CR152" i="12"/>
  <c r="CS152" i="12"/>
  <c r="CT152" i="12"/>
  <c r="CU152" i="12"/>
  <c r="CV152" i="12"/>
  <c r="CW152" i="12"/>
  <c r="CX152" i="12"/>
  <c r="CY152" i="12"/>
  <c r="CZ152" i="12"/>
  <c r="DA152" i="12"/>
  <c r="DB152" i="12"/>
  <c r="CG153" i="12"/>
  <c r="CH153" i="12"/>
  <c r="CI153" i="12"/>
  <c r="CJ153" i="12"/>
  <c r="CK153" i="12"/>
  <c r="CL153" i="12"/>
  <c r="CM153" i="12"/>
  <c r="CN153" i="12"/>
  <c r="CO153" i="12"/>
  <c r="CP153" i="12"/>
  <c r="CQ153" i="12"/>
  <c r="CR153" i="12"/>
  <c r="CS153" i="12"/>
  <c r="CT153" i="12"/>
  <c r="CU153" i="12"/>
  <c r="CV153" i="12"/>
  <c r="CW153" i="12"/>
  <c r="CX153" i="12"/>
  <c r="CY153" i="12"/>
  <c r="CZ153" i="12"/>
  <c r="DA153" i="12"/>
  <c r="DB153" i="12"/>
  <c r="CG154" i="12"/>
  <c r="CI154" i="12"/>
  <c r="CJ154" i="12"/>
  <c r="CK154" i="12"/>
  <c r="CL154" i="12"/>
  <c r="CM154" i="12"/>
  <c r="CN154" i="12"/>
  <c r="CO154" i="12"/>
  <c r="CP154" i="12"/>
  <c r="CQ154" i="12"/>
  <c r="CR154" i="12"/>
  <c r="CS154" i="12"/>
  <c r="CT154" i="12"/>
  <c r="CU154" i="12"/>
  <c r="CV154" i="12"/>
  <c r="CW154" i="12"/>
  <c r="CX154" i="12"/>
  <c r="CY154" i="12"/>
  <c r="CZ154" i="12"/>
  <c r="DA154" i="12"/>
  <c r="DB154" i="12"/>
  <c r="CG155" i="12"/>
  <c r="CH155" i="12"/>
  <c r="CI155" i="12"/>
  <c r="CJ155" i="12"/>
  <c r="CK155" i="12"/>
  <c r="CL155" i="12"/>
  <c r="CM155" i="12"/>
  <c r="CN155" i="12"/>
  <c r="CO155" i="12"/>
  <c r="CP155" i="12"/>
  <c r="CQ155" i="12"/>
  <c r="CR155" i="12"/>
  <c r="CS155" i="12"/>
  <c r="CT155" i="12"/>
  <c r="CU155" i="12"/>
  <c r="CV155" i="12"/>
  <c r="CW155" i="12"/>
  <c r="CX155" i="12"/>
  <c r="CY155" i="12"/>
  <c r="CZ155" i="12"/>
  <c r="DA155" i="12"/>
  <c r="DB155" i="12"/>
  <c r="CG156" i="12"/>
  <c r="CI156" i="12"/>
  <c r="CJ156" i="12"/>
  <c r="CK156" i="12"/>
  <c r="CL156" i="12"/>
  <c r="CM156" i="12"/>
  <c r="CN156" i="12"/>
  <c r="CO156" i="12"/>
  <c r="CP156" i="12"/>
  <c r="CQ156" i="12"/>
  <c r="CR156" i="12"/>
  <c r="CS156" i="12"/>
  <c r="CT156" i="12"/>
  <c r="CU156" i="12"/>
  <c r="CV156" i="12"/>
  <c r="CW156" i="12"/>
  <c r="CX156" i="12"/>
  <c r="CY156" i="12"/>
  <c r="CZ156" i="12"/>
  <c r="DA156" i="12"/>
  <c r="DB156" i="12"/>
  <c r="CG157" i="12"/>
  <c r="CH157" i="12"/>
  <c r="CI157" i="12"/>
  <c r="CJ157" i="12"/>
  <c r="CK157" i="12"/>
  <c r="CL157" i="12"/>
  <c r="CM157" i="12"/>
  <c r="CN157" i="12"/>
  <c r="CO157" i="12"/>
  <c r="CP157" i="12"/>
  <c r="CQ157" i="12"/>
  <c r="CR157" i="12"/>
  <c r="CS157" i="12"/>
  <c r="CT157" i="12"/>
  <c r="CU157" i="12"/>
  <c r="CV157" i="12"/>
  <c r="CW157" i="12"/>
  <c r="CX157" i="12"/>
  <c r="CY157" i="12"/>
  <c r="CZ157" i="12"/>
  <c r="DA157" i="12"/>
  <c r="DB157" i="12"/>
  <c r="CG158" i="12"/>
  <c r="CI158" i="12"/>
  <c r="CJ158" i="12"/>
  <c r="CK158" i="12"/>
  <c r="CL158" i="12"/>
  <c r="CM158" i="12"/>
  <c r="CN158" i="12"/>
  <c r="CO158" i="12"/>
  <c r="CP158" i="12"/>
  <c r="CQ158" i="12"/>
  <c r="CR158" i="12"/>
  <c r="CS158" i="12"/>
  <c r="CT158" i="12"/>
  <c r="CU158" i="12"/>
  <c r="CV158" i="12"/>
  <c r="CW158" i="12"/>
  <c r="CX158" i="12"/>
  <c r="CY158" i="12"/>
  <c r="CZ158" i="12"/>
  <c r="DA158" i="12"/>
  <c r="DB158" i="12"/>
  <c r="CG159" i="12"/>
  <c r="CH159" i="12"/>
  <c r="CI159" i="12"/>
  <c r="CJ159" i="12"/>
  <c r="CK159" i="12"/>
  <c r="CL159" i="12"/>
  <c r="CM159" i="12"/>
  <c r="CN159" i="12"/>
  <c r="CO159" i="12"/>
  <c r="CP159" i="12"/>
  <c r="CQ159" i="12"/>
  <c r="CR159" i="12"/>
  <c r="CS159" i="12"/>
  <c r="CT159" i="12"/>
  <c r="CU159" i="12"/>
  <c r="CV159" i="12"/>
  <c r="CW159" i="12"/>
  <c r="CX159" i="12"/>
  <c r="CY159" i="12"/>
  <c r="CZ159" i="12"/>
  <c r="DA159" i="12"/>
  <c r="DB159" i="12"/>
  <c r="CG160" i="12"/>
  <c r="CI160" i="12"/>
  <c r="CJ160" i="12"/>
  <c r="CK160" i="12"/>
  <c r="CL160" i="12"/>
  <c r="CM160" i="12"/>
  <c r="CN160" i="12"/>
  <c r="CO160" i="12"/>
  <c r="CP160" i="12"/>
  <c r="CQ160" i="12"/>
  <c r="CR160" i="12"/>
  <c r="CS160" i="12"/>
  <c r="CT160" i="12"/>
  <c r="CU160" i="12"/>
  <c r="CV160" i="12"/>
  <c r="CW160" i="12"/>
  <c r="CX160" i="12"/>
  <c r="CY160" i="12"/>
  <c r="CZ160" i="12"/>
  <c r="DA160" i="12"/>
  <c r="DB160" i="12"/>
  <c r="CG161" i="12"/>
  <c r="CH161" i="12"/>
  <c r="CI161" i="12"/>
  <c r="CJ161" i="12"/>
  <c r="CK161" i="12"/>
  <c r="CL161" i="12"/>
  <c r="CM161" i="12"/>
  <c r="CN161" i="12"/>
  <c r="CO161" i="12"/>
  <c r="CP161" i="12"/>
  <c r="CQ161" i="12"/>
  <c r="CR161" i="12"/>
  <c r="CS161" i="12"/>
  <c r="CT161" i="12"/>
  <c r="CU161" i="12"/>
  <c r="CV161" i="12"/>
  <c r="CW161" i="12"/>
  <c r="CX161" i="12"/>
  <c r="CY161" i="12"/>
  <c r="CZ161" i="12"/>
  <c r="DA161" i="12"/>
  <c r="DB161" i="12"/>
  <c r="CG162" i="12"/>
  <c r="CI162" i="12"/>
  <c r="CJ162" i="12"/>
  <c r="CK162" i="12"/>
  <c r="CL162" i="12"/>
  <c r="CM162" i="12"/>
  <c r="CN162" i="12"/>
  <c r="CO162" i="12"/>
  <c r="CP162" i="12"/>
  <c r="CQ162" i="12"/>
  <c r="CR162" i="12"/>
  <c r="CS162" i="12"/>
  <c r="CT162" i="12"/>
  <c r="CU162" i="12"/>
  <c r="CV162" i="12"/>
  <c r="CW162" i="12"/>
  <c r="CX162" i="12"/>
  <c r="CY162" i="12"/>
  <c r="CZ162" i="12"/>
  <c r="DA162" i="12"/>
  <c r="DB162" i="12"/>
  <c r="CG163" i="12"/>
  <c r="CH163" i="12"/>
  <c r="CI163" i="12"/>
  <c r="CJ163" i="12"/>
  <c r="CK163" i="12"/>
  <c r="CL163" i="12"/>
  <c r="CM163" i="12"/>
  <c r="CN163" i="12"/>
  <c r="CO163" i="12"/>
  <c r="CP163" i="12"/>
  <c r="CQ163" i="12"/>
  <c r="CR163" i="12"/>
  <c r="CS163" i="12"/>
  <c r="CT163" i="12"/>
  <c r="CU163" i="12"/>
  <c r="CV163" i="12"/>
  <c r="CW163" i="12"/>
  <c r="CX163" i="12"/>
  <c r="CY163" i="12"/>
  <c r="CZ163" i="12"/>
  <c r="DA163" i="12"/>
  <c r="DB163" i="12"/>
  <c r="CG164" i="12"/>
  <c r="CI164" i="12"/>
  <c r="CJ164" i="12"/>
  <c r="CK164" i="12"/>
  <c r="CL164" i="12"/>
  <c r="CM164" i="12"/>
  <c r="CN164" i="12"/>
  <c r="CO164" i="12"/>
  <c r="CP164" i="12"/>
  <c r="CQ164" i="12"/>
  <c r="CR164" i="12"/>
  <c r="CS164" i="12"/>
  <c r="CT164" i="12"/>
  <c r="CU164" i="12"/>
  <c r="CV164" i="12"/>
  <c r="CW164" i="12"/>
  <c r="CX164" i="12"/>
  <c r="CY164" i="12"/>
  <c r="CZ164" i="12"/>
  <c r="DA164" i="12"/>
  <c r="DB164" i="12"/>
  <c r="CG165" i="12"/>
  <c r="CH165" i="12"/>
  <c r="CI165" i="12"/>
  <c r="CJ165" i="12"/>
  <c r="CK165" i="12"/>
  <c r="CL165" i="12"/>
  <c r="CM165" i="12"/>
  <c r="CN165" i="12"/>
  <c r="CO165" i="12"/>
  <c r="CP165" i="12"/>
  <c r="CQ165" i="12"/>
  <c r="CR165" i="12"/>
  <c r="CS165" i="12"/>
  <c r="CT165" i="12"/>
  <c r="CU165" i="12"/>
  <c r="CV165" i="12"/>
  <c r="CW165" i="12"/>
  <c r="CX165" i="12"/>
  <c r="CY165" i="12"/>
  <c r="CZ165" i="12"/>
  <c r="DA165" i="12"/>
  <c r="DB165" i="12"/>
  <c r="CG166" i="12"/>
  <c r="CI166" i="12"/>
  <c r="CJ166" i="12"/>
  <c r="CK166" i="12"/>
  <c r="CL166" i="12"/>
  <c r="CM166" i="12"/>
  <c r="CN166" i="12"/>
  <c r="CO166" i="12"/>
  <c r="CP166" i="12"/>
  <c r="CQ166" i="12"/>
  <c r="CR166" i="12"/>
  <c r="CS166" i="12"/>
  <c r="CT166" i="12"/>
  <c r="CU166" i="12"/>
  <c r="CV166" i="12"/>
  <c r="CW166" i="12"/>
  <c r="CX166" i="12"/>
  <c r="CY166" i="12"/>
  <c r="CZ166" i="12"/>
  <c r="DA166" i="12"/>
  <c r="DB166" i="12"/>
  <c r="CG167" i="12"/>
  <c r="CH167" i="12"/>
  <c r="CI167" i="12"/>
  <c r="CJ167" i="12"/>
  <c r="CK167" i="12"/>
  <c r="CL167" i="12"/>
  <c r="CM167" i="12"/>
  <c r="CN167" i="12"/>
  <c r="CO167" i="12"/>
  <c r="CP167" i="12"/>
  <c r="CQ167" i="12"/>
  <c r="CR167" i="12"/>
  <c r="CS167" i="12"/>
  <c r="CT167" i="12"/>
  <c r="CU167" i="12"/>
  <c r="CV167" i="12"/>
  <c r="CW167" i="12"/>
  <c r="CX167" i="12"/>
  <c r="CY167" i="12"/>
  <c r="CZ167" i="12"/>
  <c r="DA167" i="12"/>
  <c r="DB167" i="12"/>
  <c r="CG168" i="12"/>
  <c r="CI168" i="12"/>
  <c r="CJ168" i="12"/>
  <c r="CK168" i="12"/>
  <c r="CL168" i="12"/>
  <c r="CM168" i="12"/>
  <c r="CN168" i="12"/>
  <c r="CO168" i="12"/>
  <c r="CP168" i="12"/>
  <c r="CQ168" i="12"/>
  <c r="CR168" i="12"/>
  <c r="CS168" i="12"/>
  <c r="CT168" i="12"/>
  <c r="CU168" i="12"/>
  <c r="CV168" i="12"/>
  <c r="CW168" i="12"/>
  <c r="CX168" i="12"/>
  <c r="CY168" i="12"/>
  <c r="CZ168" i="12"/>
  <c r="DA168" i="12"/>
  <c r="DB168" i="12"/>
  <c r="CG169" i="12"/>
  <c r="CH169" i="12"/>
  <c r="CI169" i="12"/>
  <c r="CJ169" i="12"/>
  <c r="CK169" i="12"/>
  <c r="CL169" i="12"/>
  <c r="CM169" i="12"/>
  <c r="CN169" i="12"/>
  <c r="CO169" i="12"/>
  <c r="CP169" i="12"/>
  <c r="CQ169" i="12"/>
  <c r="CR169" i="12"/>
  <c r="CS169" i="12"/>
  <c r="CT169" i="12"/>
  <c r="CU169" i="12"/>
  <c r="CV169" i="12"/>
  <c r="CW169" i="12"/>
  <c r="CX169" i="12"/>
  <c r="CY169" i="12"/>
  <c r="CZ169" i="12"/>
  <c r="DA169" i="12"/>
  <c r="DB169" i="12"/>
  <c r="CG170" i="12"/>
  <c r="CI170" i="12"/>
  <c r="CJ170" i="12"/>
  <c r="CK170" i="12"/>
  <c r="CL170" i="12"/>
  <c r="CM170" i="12"/>
  <c r="CN170" i="12"/>
  <c r="CO170" i="12"/>
  <c r="CP170" i="12"/>
  <c r="CQ170" i="12"/>
  <c r="CR170" i="12"/>
  <c r="CS170" i="12"/>
  <c r="CT170" i="12"/>
  <c r="CU170" i="12"/>
  <c r="CV170" i="12"/>
  <c r="CW170" i="12"/>
  <c r="CX170" i="12"/>
  <c r="CY170" i="12"/>
  <c r="CZ170" i="12"/>
  <c r="DA170" i="12"/>
  <c r="DB170" i="12"/>
  <c r="CG171" i="12"/>
  <c r="CH171" i="12"/>
  <c r="CI171" i="12"/>
  <c r="CJ171" i="12"/>
  <c r="CK171" i="12"/>
  <c r="CL171" i="12"/>
  <c r="CM171" i="12"/>
  <c r="CN171" i="12"/>
  <c r="CO171" i="12"/>
  <c r="CP171" i="12"/>
  <c r="CQ171" i="12"/>
  <c r="CR171" i="12"/>
  <c r="CS171" i="12"/>
  <c r="CT171" i="12"/>
  <c r="CU171" i="12"/>
  <c r="CV171" i="12"/>
  <c r="CW171" i="12"/>
  <c r="CX171" i="12"/>
  <c r="CY171" i="12"/>
  <c r="CZ171" i="12"/>
  <c r="DA171" i="12"/>
  <c r="DB171" i="12"/>
  <c r="CG172" i="12"/>
  <c r="CI172" i="12"/>
  <c r="CJ172" i="12"/>
  <c r="CK172" i="12"/>
  <c r="CL172" i="12"/>
  <c r="CM172" i="12"/>
  <c r="CN172" i="12"/>
  <c r="CO172" i="12"/>
  <c r="CP172" i="12"/>
  <c r="CQ172" i="12"/>
  <c r="CR172" i="12"/>
  <c r="CS172" i="12"/>
  <c r="CT172" i="12"/>
  <c r="CU172" i="12"/>
  <c r="CV172" i="12"/>
  <c r="CW172" i="12"/>
  <c r="CX172" i="12"/>
  <c r="CY172" i="12"/>
  <c r="CZ172" i="12"/>
  <c r="DA172" i="12"/>
  <c r="DB172" i="12"/>
  <c r="CG173" i="12"/>
  <c r="CH173" i="12"/>
  <c r="CI173" i="12"/>
  <c r="CJ173" i="12"/>
  <c r="CK173" i="12"/>
  <c r="CL173" i="12"/>
  <c r="CM173" i="12"/>
  <c r="CN173" i="12"/>
  <c r="CO173" i="12"/>
  <c r="CP173" i="12"/>
  <c r="CQ173" i="12"/>
  <c r="CR173" i="12"/>
  <c r="CS173" i="12"/>
  <c r="CT173" i="12"/>
  <c r="CU173" i="12"/>
  <c r="CV173" i="12"/>
  <c r="CW173" i="12"/>
  <c r="CX173" i="12"/>
  <c r="CY173" i="12"/>
  <c r="CZ173" i="12"/>
  <c r="DA173" i="12"/>
  <c r="DB173" i="12"/>
  <c r="CG174" i="12"/>
  <c r="CI174" i="12"/>
  <c r="CJ174" i="12"/>
  <c r="CK174" i="12"/>
  <c r="CL174" i="12"/>
  <c r="CM174" i="12"/>
  <c r="CN174" i="12"/>
  <c r="CO174" i="12"/>
  <c r="CP174" i="12"/>
  <c r="CQ174" i="12"/>
  <c r="CR174" i="12"/>
  <c r="CS174" i="12"/>
  <c r="CT174" i="12"/>
  <c r="CU174" i="12"/>
  <c r="CV174" i="12"/>
  <c r="CW174" i="12"/>
  <c r="CX174" i="12"/>
  <c r="CY174" i="12"/>
  <c r="CZ174" i="12"/>
  <c r="DA174" i="12"/>
  <c r="DB174" i="12"/>
  <c r="CG175" i="12"/>
  <c r="CH175" i="12"/>
  <c r="CI175" i="12"/>
  <c r="CJ175" i="12"/>
  <c r="CK175" i="12"/>
  <c r="CL175" i="12"/>
  <c r="CM175" i="12"/>
  <c r="CN175" i="12"/>
  <c r="CO175" i="12"/>
  <c r="CP175" i="12"/>
  <c r="CQ175" i="12"/>
  <c r="CR175" i="12"/>
  <c r="CS175" i="12"/>
  <c r="CT175" i="12"/>
  <c r="CU175" i="12"/>
  <c r="CV175" i="12"/>
  <c r="CW175" i="12"/>
  <c r="CX175" i="12"/>
  <c r="CY175" i="12"/>
  <c r="CZ175" i="12"/>
  <c r="DA175" i="12"/>
  <c r="DB175" i="12"/>
  <c r="CG176" i="12"/>
  <c r="CI176" i="12"/>
  <c r="CJ176" i="12"/>
  <c r="CK176" i="12"/>
  <c r="CL176" i="12"/>
  <c r="CM176" i="12"/>
  <c r="CN176" i="12"/>
  <c r="CO176" i="12"/>
  <c r="CP176" i="12"/>
  <c r="CQ176" i="12"/>
  <c r="CR176" i="12"/>
  <c r="CS176" i="12"/>
  <c r="CT176" i="12"/>
  <c r="CU176" i="12"/>
  <c r="CV176" i="12"/>
  <c r="CW176" i="12"/>
  <c r="CX176" i="12"/>
  <c r="CY176" i="12"/>
  <c r="CZ176" i="12"/>
  <c r="DA176" i="12"/>
  <c r="DB176" i="12"/>
  <c r="CG177" i="12"/>
  <c r="CH177" i="12"/>
  <c r="CI177" i="12"/>
  <c r="CJ177" i="12"/>
  <c r="CK177" i="12"/>
  <c r="CL177" i="12"/>
  <c r="CM177" i="12"/>
  <c r="CN177" i="12"/>
  <c r="CO177" i="12"/>
  <c r="CP177" i="12"/>
  <c r="CQ177" i="12"/>
  <c r="CR177" i="12"/>
  <c r="CS177" i="12"/>
  <c r="CT177" i="12"/>
  <c r="CU177" i="12"/>
  <c r="CV177" i="12"/>
  <c r="CW177" i="12"/>
  <c r="CX177" i="12"/>
  <c r="CY177" i="12"/>
  <c r="CZ177" i="12"/>
  <c r="DA177" i="12"/>
  <c r="DB177" i="12"/>
  <c r="CG178" i="12"/>
  <c r="CI178" i="12"/>
  <c r="CJ178" i="12"/>
  <c r="CK178" i="12"/>
  <c r="CL178" i="12"/>
  <c r="CM178" i="12"/>
  <c r="CN178" i="12"/>
  <c r="CO178" i="12"/>
  <c r="CP178" i="12"/>
  <c r="CQ178" i="12"/>
  <c r="CR178" i="12"/>
  <c r="CS178" i="12"/>
  <c r="CT178" i="12"/>
  <c r="CU178" i="12"/>
  <c r="CV178" i="12"/>
  <c r="CW178" i="12"/>
  <c r="CX178" i="12"/>
  <c r="CY178" i="12"/>
  <c r="CZ178" i="12"/>
  <c r="DA178" i="12"/>
  <c r="DB178" i="12"/>
  <c r="CG179" i="12"/>
  <c r="CH179" i="12"/>
  <c r="CI179" i="12"/>
  <c r="CJ179" i="12"/>
  <c r="CK179" i="12"/>
  <c r="CL179" i="12"/>
  <c r="CM179" i="12"/>
  <c r="CN179" i="12"/>
  <c r="CO179" i="12"/>
  <c r="CP179" i="12"/>
  <c r="CQ179" i="12"/>
  <c r="CR179" i="12"/>
  <c r="CS179" i="12"/>
  <c r="CT179" i="12"/>
  <c r="CU179" i="12"/>
  <c r="CV179" i="12"/>
  <c r="CW179" i="12"/>
  <c r="CX179" i="12"/>
  <c r="CY179" i="12"/>
  <c r="CZ179" i="12"/>
  <c r="DA179" i="12"/>
  <c r="DB179" i="12"/>
  <c r="CG180" i="12"/>
  <c r="CI180" i="12"/>
  <c r="CJ180" i="12"/>
  <c r="CK180" i="12"/>
  <c r="CL180" i="12"/>
  <c r="CM180" i="12"/>
  <c r="CN180" i="12"/>
  <c r="CO180" i="12"/>
  <c r="CP180" i="12"/>
  <c r="CQ180" i="12"/>
  <c r="CR180" i="12"/>
  <c r="CS180" i="12"/>
  <c r="CT180" i="12"/>
  <c r="CU180" i="12"/>
  <c r="CV180" i="12"/>
  <c r="CW180" i="12"/>
  <c r="CX180" i="12"/>
  <c r="CY180" i="12"/>
  <c r="CZ180" i="12"/>
  <c r="DA180" i="12"/>
  <c r="DB180" i="12"/>
  <c r="CG181" i="12"/>
  <c r="CH181" i="12"/>
  <c r="CI181" i="12"/>
  <c r="CJ181" i="12"/>
  <c r="CK181" i="12"/>
  <c r="CL181" i="12"/>
  <c r="CM181" i="12"/>
  <c r="CN181" i="12"/>
  <c r="CO181" i="12"/>
  <c r="CP181" i="12"/>
  <c r="CQ181" i="12"/>
  <c r="CR181" i="12"/>
  <c r="CS181" i="12"/>
  <c r="CT181" i="12"/>
  <c r="CU181" i="12"/>
  <c r="CV181" i="12"/>
  <c r="CW181" i="12"/>
  <c r="CX181" i="12"/>
  <c r="CY181" i="12"/>
  <c r="CZ181" i="12"/>
  <c r="DA181" i="12"/>
  <c r="DB181" i="12"/>
  <c r="CG182" i="12"/>
  <c r="CI182" i="12"/>
  <c r="CJ182" i="12"/>
  <c r="CK182" i="12"/>
  <c r="CL182" i="12"/>
  <c r="CM182" i="12"/>
  <c r="CN182" i="12"/>
  <c r="CO182" i="12"/>
  <c r="CP182" i="12"/>
  <c r="CQ182" i="12"/>
  <c r="CR182" i="12"/>
  <c r="CS182" i="12"/>
  <c r="CT182" i="12"/>
  <c r="CU182" i="12"/>
  <c r="CV182" i="12"/>
  <c r="CW182" i="12"/>
  <c r="CX182" i="12"/>
  <c r="CY182" i="12"/>
  <c r="CZ182" i="12"/>
  <c r="DA182" i="12"/>
  <c r="DB182" i="12"/>
  <c r="CG183" i="12"/>
  <c r="CH183" i="12"/>
  <c r="CI183" i="12"/>
  <c r="CJ183" i="12"/>
  <c r="CK183" i="12"/>
  <c r="CL183" i="12"/>
  <c r="CM183" i="12"/>
  <c r="CN183" i="12"/>
  <c r="CO183" i="12"/>
  <c r="CP183" i="12"/>
  <c r="CQ183" i="12"/>
  <c r="CR183" i="12"/>
  <c r="CS183" i="12"/>
  <c r="CT183" i="12"/>
  <c r="CU183" i="12"/>
  <c r="CV183" i="12"/>
  <c r="CW183" i="12"/>
  <c r="CX183" i="12"/>
  <c r="CY183" i="12"/>
  <c r="CZ183" i="12"/>
  <c r="DA183" i="12"/>
  <c r="DB183" i="12"/>
  <c r="CG184" i="12"/>
  <c r="CI184" i="12"/>
  <c r="CJ184" i="12"/>
  <c r="CK184" i="12"/>
  <c r="CL184" i="12"/>
  <c r="CM184" i="12"/>
  <c r="CN184" i="12"/>
  <c r="CO184" i="12"/>
  <c r="CP184" i="12"/>
  <c r="CQ184" i="12"/>
  <c r="CR184" i="12"/>
  <c r="CS184" i="12"/>
  <c r="CT184" i="12"/>
  <c r="CU184" i="12"/>
  <c r="CV184" i="12"/>
  <c r="CW184" i="12"/>
  <c r="CX184" i="12"/>
  <c r="CY184" i="12"/>
  <c r="CZ184" i="12"/>
  <c r="DA184" i="12"/>
  <c r="DB184" i="12"/>
  <c r="CG185" i="12"/>
  <c r="CH185" i="12"/>
  <c r="CI185" i="12"/>
  <c r="CJ185" i="12"/>
  <c r="CK185" i="12"/>
  <c r="CL185" i="12"/>
  <c r="CM185" i="12"/>
  <c r="CN185" i="12"/>
  <c r="CO185" i="12"/>
  <c r="CP185" i="12"/>
  <c r="CQ185" i="12"/>
  <c r="CR185" i="12"/>
  <c r="CS185" i="12"/>
  <c r="CT185" i="12"/>
  <c r="CU185" i="12"/>
  <c r="CV185" i="12"/>
  <c r="CW185" i="12"/>
  <c r="CX185" i="12"/>
  <c r="CY185" i="12"/>
  <c r="CZ185" i="12"/>
  <c r="DA185" i="12"/>
  <c r="DB185" i="12"/>
  <c r="CG186" i="12"/>
  <c r="CI186" i="12"/>
  <c r="CJ186" i="12"/>
  <c r="CK186" i="12"/>
  <c r="CL186" i="12"/>
  <c r="CM186" i="12"/>
  <c r="CN186" i="12"/>
  <c r="CO186" i="12"/>
  <c r="CP186" i="12"/>
  <c r="CQ186" i="12"/>
  <c r="CR186" i="12"/>
  <c r="CS186" i="12"/>
  <c r="CT186" i="12"/>
  <c r="CU186" i="12"/>
  <c r="CV186" i="12"/>
  <c r="CW186" i="12"/>
  <c r="CX186" i="12"/>
  <c r="CY186" i="12"/>
  <c r="CZ186" i="12"/>
  <c r="DA186" i="12"/>
  <c r="DB186" i="12"/>
  <c r="CG187" i="12"/>
  <c r="CH187" i="12"/>
  <c r="CI187" i="12"/>
  <c r="CJ187" i="12"/>
  <c r="CK187" i="12"/>
  <c r="CL187" i="12"/>
  <c r="CM187" i="12"/>
  <c r="CN187" i="12"/>
  <c r="CO187" i="12"/>
  <c r="CP187" i="12"/>
  <c r="CQ187" i="12"/>
  <c r="CR187" i="12"/>
  <c r="CS187" i="12"/>
  <c r="CT187" i="12"/>
  <c r="CU187" i="12"/>
  <c r="CV187" i="12"/>
  <c r="CW187" i="12"/>
  <c r="CX187" i="12"/>
  <c r="CY187" i="12"/>
  <c r="CZ187" i="12"/>
  <c r="DA187" i="12"/>
  <c r="DB187" i="12"/>
  <c r="CG188" i="12"/>
  <c r="CI188" i="12"/>
  <c r="CJ188" i="12"/>
  <c r="CK188" i="12"/>
  <c r="CL188" i="12"/>
  <c r="CM188" i="12"/>
  <c r="CN188" i="12"/>
  <c r="CO188" i="12"/>
  <c r="CP188" i="12"/>
  <c r="CQ188" i="12"/>
  <c r="CR188" i="12"/>
  <c r="CS188" i="12"/>
  <c r="CT188" i="12"/>
  <c r="CU188" i="12"/>
  <c r="CV188" i="12"/>
  <c r="CW188" i="12"/>
  <c r="CX188" i="12"/>
  <c r="CY188" i="12"/>
  <c r="CZ188" i="12"/>
  <c r="DA188" i="12"/>
  <c r="DB188" i="12"/>
  <c r="CG189" i="12"/>
  <c r="CH189" i="12"/>
  <c r="CI189" i="12"/>
  <c r="CJ189" i="12"/>
  <c r="CK189" i="12"/>
  <c r="CL189" i="12"/>
  <c r="CM189" i="12"/>
  <c r="CN189" i="12"/>
  <c r="CO189" i="12"/>
  <c r="CP189" i="12"/>
  <c r="CQ189" i="12"/>
  <c r="CR189" i="12"/>
  <c r="CS189" i="12"/>
  <c r="CT189" i="12"/>
  <c r="CU189" i="12"/>
  <c r="CV189" i="12"/>
  <c r="CW189" i="12"/>
  <c r="CX189" i="12"/>
  <c r="CY189" i="12"/>
  <c r="CZ189" i="12"/>
  <c r="DA189" i="12"/>
  <c r="DB189" i="12"/>
  <c r="CG190" i="12"/>
  <c r="CI190" i="12"/>
  <c r="CJ190" i="12"/>
  <c r="CK190" i="12"/>
  <c r="CL190" i="12"/>
  <c r="CM190" i="12"/>
  <c r="CN190" i="12"/>
  <c r="CO190" i="12"/>
  <c r="CP190" i="12"/>
  <c r="CQ190" i="12"/>
  <c r="CR190" i="12"/>
  <c r="CS190" i="12"/>
  <c r="CT190" i="12"/>
  <c r="CU190" i="12"/>
  <c r="CV190" i="12"/>
  <c r="CW190" i="12"/>
  <c r="CX190" i="12"/>
  <c r="CY190" i="12"/>
  <c r="CZ190" i="12"/>
  <c r="DA190" i="12"/>
  <c r="DB190" i="12"/>
  <c r="CG191" i="12"/>
  <c r="CH191" i="12"/>
  <c r="CI191" i="12"/>
  <c r="CJ191" i="12"/>
  <c r="CK191" i="12"/>
  <c r="CL191" i="12"/>
  <c r="CM191" i="12"/>
  <c r="CN191" i="12"/>
  <c r="CO191" i="12"/>
  <c r="CP191" i="12"/>
  <c r="CQ191" i="12"/>
  <c r="CR191" i="12"/>
  <c r="CS191" i="12"/>
  <c r="CT191" i="12"/>
  <c r="CU191" i="12"/>
  <c r="CV191" i="12"/>
  <c r="CW191" i="12"/>
  <c r="CX191" i="12"/>
  <c r="CY191" i="12"/>
  <c r="CZ191" i="12"/>
  <c r="DA191" i="12"/>
  <c r="DB191" i="12"/>
  <c r="CH192" i="12"/>
  <c r="CI192" i="12"/>
  <c r="CJ192" i="12"/>
  <c r="CK192" i="12"/>
  <c r="CL192" i="12"/>
  <c r="CM192" i="12"/>
  <c r="CN192" i="12"/>
  <c r="CO192" i="12"/>
  <c r="CP192" i="12"/>
  <c r="CQ192" i="12"/>
  <c r="CR192" i="12"/>
  <c r="CS192" i="12"/>
  <c r="CT192" i="12"/>
  <c r="CU192" i="12"/>
  <c r="CV192" i="12"/>
  <c r="CW192" i="12"/>
  <c r="CX192" i="12"/>
  <c r="CY192" i="12"/>
  <c r="CZ192" i="12"/>
  <c r="DA192" i="12"/>
  <c r="DB192" i="12"/>
  <c r="CF193" i="12"/>
  <c r="CG193" i="12"/>
  <c r="CH193" i="12"/>
  <c r="CI193" i="12"/>
  <c r="CJ193" i="12"/>
  <c r="CK193" i="12"/>
  <c r="CL193" i="12"/>
  <c r="CM193" i="12"/>
  <c r="CN193" i="12"/>
  <c r="CO193" i="12"/>
  <c r="CP193" i="12"/>
  <c r="CQ193" i="12"/>
  <c r="CR193" i="12"/>
  <c r="CS193" i="12"/>
  <c r="CT193" i="12"/>
  <c r="CU193" i="12"/>
  <c r="CV193" i="12"/>
  <c r="CW193" i="12"/>
  <c r="CX193" i="12"/>
  <c r="CY193" i="12"/>
  <c r="CZ193" i="12"/>
  <c r="DA193" i="12"/>
  <c r="DB193" i="12"/>
  <c r="CG194" i="12"/>
  <c r="CH194" i="12"/>
  <c r="CI194" i="12"/>
  <c r="CJ194" i="12"/>
  <c r="CK194" i="12"/>
  <c r="CL194" i="12"/>
  <c r="CM194" i="12"/>
  <c r="CN194" i="12"/>
  <c r="CO194" i="12"/>
  <c r="CP194" i="12"/>
  <c r="CQ194" i="12"/>
  <c r="CR194" i="12"/>
  <c r="CS194" i="12"/>
  <c r="CT194" i="12"/>
  <c r="CU194" i="12"/>
  <c r="CV194" i="12"/>
  <c r="CW194" i="12"/>
  <c r="CX194" i="12"/>
  <c r="CY194" i="12"/>
  <c r="CZ194" i="12"/>
  <c r="DA194" i="12"/>
  <c r="DB194" i="12"/>
  <c r="CG195" i="12"/>
  <c r="CH195" i="12"/>
  <c r="CI195" i="12"/>
  <c r="CJ195" i="12"/>
  <c r="CK195" i="12"/>
  <c r="CL195" i="12"/>
  <c r="CM195" i="12"/>
  <c r="CN195" i="12"/>
  <c r="CO195" i="12"/>
  <c r="CP195" i="12"/>
  <c r="CQ195" i="12"/>
  <c r="CR195" i="12"/>
  <c r="CS195" i="12"/>
  <c r="CT195" i="12"/>
  <c r="CU195" i="12"/>
  <c r="CV195" i="12"/>
  <c r="CW195" i="12"/>
  <c r="CX195" i="12"/>
  <c r="CY195" i="12"/>
  <c r="CZ195" i="12"/>
  <c r="DA195" i="12"/>
  <c r="DB195" i="12"/>
  <c r="CF196" i="12"/>
  <c r="CH196" i="12"/>
  <c r="CI196" i="12"/>
  <c r="CJ196" i="12"/>
  <c r="CK196" i="12"/>
  <c r="CL196" i="12"/>
  <c r="CM196" i="12"/>
  <c r="CN196" i="12"/>
  <c r="CO196" i="12"/>
  <c r="CP196" i="12"/>
  <c r="CQ196" i="12"/>
  <c r="CR196" i="12"/>
  <c r="CS196" i="12"/>
  <c r="CT196" i="12"/>
  <c r="CU196" i="12"/>
  <c r="CV196" i="12"/>
  <c r="CW196" i="12"/>
  <c r="CX196" i="12"/>
  <c r="CY196" i="12"/>
  <c r="CZ196" i="12"/>
  <c r="DA196" i="12"/>
  <c r="DB196" i="12"/>
  <c r="CG197" i="12"/>
  <c r="CH197" i="12"/>
  <c r="CI197" i="12"/>
  <c r="CJ197" i="12"/>
  <c r="CK197" i="12"/>
  <c r="CL197" i="12"/>
  <c r="CM197" i="12"/>
  <c r="CN197" i="12"/>
  <c r="CO197" i="12"/>
  <c r="CP197" i="12"/>
  <c r="CQ197" i="12"/>
  <c r="CR197" i="12"/>
  <c r="CS197" i="12"/>
  <c r="CT197" i="12"/>
  <c r="CU197" i="12"/>
  <c r="CV197" i="12"/>
  <c r="CW197" i="12"/>
  <c r="CX197" i="12"/>
  <c r="CY197" i="12"/>
  <c r="CZ197" i="12"/>
  <c r="DA197" i="12"/>
  <c r="DB197" i="12"/>
  <c r="CG198" i="12"/>
  <c r="CH198" i="12"/>
  <c r="CI198" i="12"/>
  <c r="CJ198" i="12"/>
  <c r="CK198" i="12"/>
  <c r="CL198" i="12"/>
  <c r="CM198" i="12"/>
  <c r="CN198" i="12"/>
  <c r="CO198" i="12"/>
  <c r="CP198" i="12"/>
  <c r="CQ198" i="12"/>
  <c r="CR198" i="12"/>
  <c r="CS198" i="12"/>
  <c r="CT198" i="12"/>
  <c r="CU198" i="12"/>
  <c r="CV198" i="12"/>
  <c r="CW198" i="12"/>
  <c r="CX198" i="12"/>
  <c r="CY198" i="12"/>
  <c r="CZ198" i="12"/>
  <c r="DA198" i="12"/>
  <c r="DB198" i="12"/>
  <c r="CG199" i="12"/>
  <c r="CH199" i="12"/>
  <c r="CI199" i="12"/>
  <c r="CJ199" i="12"/>
  <c r="CK199" i="12"/>
  <c r="CL199" i="12"/>
  <c r="CM199" i="12"/>
  <c r="CN199" i="12"/>
  <c r="CO199" i="12"/>
  <c r="CP199" i="12"/>
  <c r="CQ199" i="12"/>
  <c r="CR199" i="12"/>
  <c r="CS199" i="12"/>
  <c r="CT199" i="12"/>
  <c r="CU199" i="12"/>
  <c r="CV199" i="12"/>
  <c r="CW199" i="12"/>
  <c r="CX199" i="12"/>
  <c r="CY199" i="12"/>
  <c r="CZ199" i="12"/>
  <c r="DA199" i="12"/>
  <c r="DB199" i="12"/>
  <c r="CH200" i="12"/>
  <c r="CI200" i="12"/>
  <c r="CJ200" i="12"/>
  <c r="CK200" i="12"/>
  <c r="CL200" i="12"/>
  <c r="CM200" i="12"/>
  <c r="CN200" i="12"/>
  <c r="CO200" i="12"/>
  <c r="CP200" i="12"/>
  <c r="CQ200" i="12"/>
  <c r="CR200" i="12"/>
  <c r="CS200" i="12"/>
  <c r="CT200" i="12"/>
  <c r="CU200" i="12"/>
  <c r="CV200" i="12"/>
  <c r="CW200" i="12"/>
  <c r="CX200" i="12"/>
  <c r="CY200" i="12"/>
  <c r="CZ200" i="12"/>
  <c r="DA200" i="12"/>
  <c r="DB200" i="12"/>
  <c r="CF201" i="12"/>
  <c r="CG201" i="12"/>
  <c r="CH201" i="12"/>
  <c r="CI201" i="12"/>
  <c r="CJ201" i="12"/>
  <c r="CK201" i="12"/>
  <c r="CL201" i="12"/>
  <c r="CM201" i="12"/>
  <c r="CN201" i="12"/>
  <c r="CO201" i="12"/>
  <c r="CP201" i="12"/>
  <c r="CQ201" i="12"/>
  <c r="CR201" i="12"/>
  <c r="CS201" i="12"/>
  <c r="CT201" i="12"/>
  <c r="CU201" i="12"/>
  <c r="CV201" i="12"/>
  <c r="CW201" i="12"/>
  <c r="CX201" i="12"/>
  <c r="CY201" i="12"/>
  <c r="CZ201" i="12"/>
  <c r="DA201" i="12"/>
  <c r="DB201" i="12"/>
  <c r="CG202" i="12"/>
  <c r="CH202" i="12"/>
  <c r="CI202" i="12"/>
  <c r="CJ202" i="12"/>
  <c r="CK202" i="12"/>
  <c r="CL202" i="12"/>
  <c r="CM202" i="12"/>
  <c r="CN202" i="12"/>
  <c r="CO202" i="12"/>
  <c r="CP202" i="12"/>
  <c r="CQ202" i="12"/>
  <c r="CR202" i="12"/>
  <c r="CS202" i="12"/>
  <c r="CT202" i="12"/>
  <c r="CU202" i="12"/>
  <c r="CV202" i="12"/>
  <c r="CW202" i="12"/>
  <c r="CX202" i="12"/>
  <c r="CY202" i="12"/>
  <c r="CZ202" i="12"/>
  <c r="DA202" i="12"/>
  <c r="DB202" i="12"/>
  <c r="CG203" i="12"/>
  <c r="CH203" i="12"/>
  <c r="CI203" i="12"/>
  <c r="CJ203" i="12"/>
  <c r="CK203" i="12"/>
  <c r="CL203" i="12"/>
  <c r="CM203" i="12"/>
  <c r="CN203" i="12"/>
  <c r="CO203" i="12"/>
  <c r="CP203" i="12"/>
  <c r="CQ203" i="12"/>
  <c r="CR203" i="12"/>
  <c r="CS203" i="12"/>
  <c r="CT203" i="12"/>
  <c r="CU203" i="12"/>
  <c r="CV203" i="12"/>
  <c r="CW203" i="12"/>
  <c r="CX203" i="12"/>
  <c r="CY203" i="12"/>
  <c r="CZ203" i="12"/>
  <c r="DA203" i="12"/>
  <c r="DB203" i="12"/>
  <c r="CF204" i="12"/>
  <c r="CH204" i="12"/>
  <c r="CI204" i="12"/>
  <c r="CJ204" i="12"/>
  <c r="CK204" i="12"/>
  <c r="CL204" i="12"/>
  <c r="CM204" i="12"/>
  <c r="CN204" i="12"/>
  <c r="CO204" i="12"/>
  <c r="CP204" i="12"/>
  <c r="CQ204" i="12"/>
  <c r="CR204" i="12"/>
  <c r="CS204" i="12"/>
  <c r="CT204" i="12"/>
  <c r="CU204" i="12"/>
  <c r="CV204" i="12"/>
  <c r="CW204" i="12"/>
  <c r="CX204" i="12"/>
  <c r="CY204" i="12"/>
  <c r="CZ204" i="12"/>
  <c r="DA204" i="12"/>
  <c r="DB204" i="12"/>
  <c r="CG205" i="12"/>
  <c r="CH205" i="12"/>
  <c r="CI205" i="12"/>
  <c r="CJ205" i="12"/>
  <c r="CK205" i="12"/>
  <c r="CL205" i="12"/>
  <c r="CM205" i="12"/>
  <c r="CN205" i="12"/>
  <c r="CO205" i="12"/>
  <c r="CP205" i="12"/>
  <c r="CQ205" i="12"/>
  <c r="CR205" i="12"/>
  <c r="CS205" i="12"/>
  <c r="CT205" i="12"/>
  <c r="CU205" i="12"/>
  <c r="CV205" i="12"/>
  <c r="CW205" i="12"/>
  <c r="CX205" i="12"/>
  <c r="CY205" i="12"/>
  <c r="CZ205" i="12"/>
  <c r="DA205" i="12"/>
  <c r="DB205" i="12"/>
  <c r="CG206" i="12"/>
  <c r="CH206" i="12"/>
  <c r="CI206" i="12"/>
  <c r="CJ206" i="12"/>
  <c r="CK206" i="12"/>
  <c r="CL206" i="12"/>
  <c r="CM206" i="12"/>
  <c r="CN206" i="12"/>
  <c r="CO206" i="12"/>
  <c r="CP206" i="12"/>
  <c r="CQ206" i="12"/>
  <c r="CR206" i="12"/>
  <c r="CS206" i="12"/>
  <c r="CT206" i="12"/>
  <c r="CU206" i="12"/>
  <c r="CV206" i="12"/>
  <c r="CW206" i="12"/>
  <c r="CX206" i="12"/>
  <c r="CY206" i="12"/>
  <c r="CZ206" i="12"/>
  <c r="DA206" i="12"/>
  <c r="DB206" i="12"/>
  <c r="CG207" i="12"/>
  <c r="CH207" i="12"/>
  <c r="CI207" i="12"/>
  <c r="CJ207" i="12"/>
  <c r="CK207" i="12"/>
  <c r="CL207" i="12"/>
  <c r="CM207" i="12"/>
  <c r="CN207" i="12"/>
  <c r="CO207" i="12"/>
  <c r="CP207" i="12"/>
  <c r="CQ207" i="12"/>
  <c r="CR207" i="12"/>
  <c r="CS207" i="12"/>
  <c r="CT207" i="12"/>
  <c r="CU207" i="12"/>
  <c r="CV207" i="12"/>
  <c r="CW207" i="12"/>
  <c r="CX207" i="12"/>
  <c r="CY207" i="12"/>
  <c r="CZ207" i="12"/>
  <c r="DA207" i="12"/>
  <c r="DB207" i="12"/>
  <c r="CH208" i="12"/>
  <c r="CI208" i="12"/>
  <c r="CJ208" i="12"/>
  <c r="CK208" i="12"/>
  <c r="CL208" i="12"/>
  <c r="CM208" i="12"/>
  <c r="CN208" i="12"/>
  <c r="CO208" i="12"/>
  <c r="CP208" i="12"/>
  <c r="CQ208" i="12"/>
  <c r="CR208" i="12"/>
  <c r="CS208" i="12"/>
  <c r="CT208" i="12"/>
  <c r="CU208" i="12"/>
  <c r="CV208" i="12"/>
  <c r="CW208" i="12"/>
  <c r="CX208" i="12"/>
  <c r="CY208" i="12"/>
  <c r="CZ208" i="12"/>
  <c r="DA208" i="12"/>
  <c r="DB208" i="12"/>
  <c r="CF209" i="12"/>
  <c r="CG209" i="12"/>
  <c r="CH209" i="12"/>
  <c r="CI209" i="12"/>
  <c r="CJ209" i="12"/>
  <c r="CK209" i="12"/>
  <c r="CL209" i="12"/>
  <c r="CM209" i="12"/>
  <c r="CN209" i="12"/>
  <c r="CO209" i="12"/>
  <c r="CP209" i="12"/>
  <c r="CQ209" i="12"/>
  <c r="CR209" i="12"/>
  <c r="CS209" i="12"/>
  <c r="CT209" i="12"/>
  <c r="CU209" i="12"/>
  <c r="CV209" i="12"/>
  <c r="CW209" i="12"/>
  <c r="CX209" i="12"/>
  <c r="CY209" i="12"/>
  <c r="CZ209" i="12"/>
  <c r="DA209" i="12"/>
  <c r="DB209" i="12"/>
  <c r="CG210" i="12"/>
  <c r="CH210" i="12"/>
  <c r="CI210" i="12"/>
  <c r="CJ210" i="12"/>
  <c r="CK210" i="12"/>
  <c r="CL210" i="12"/>
  <c r="CM210" i="12"/>
  <c r="CN210" i="12"/>
  <c r="CO210" i="12"/>
  <c r="CP210" i="12"/>
  <c r="CQ210" i="12"/>
  <c r="CR210" i="12"/>
  <c r="CS210" i="12"/>
  <c r="CT210" i="12"/>
  <c r="CU210" i="12"/>
  <c r="CV210" i="12"/>
  <c r="CW210" i="12"/>
  <c r="CX210" i="12"/>
  <c r="CY210" i="12"/>
  <c r="CZ210" i="12"/>
  <c r="DA210" i="12"/>
  <c r="DB210" i="12"/>
  <c r="CG211" i="12"/>
  <c r="CH211" i="12"/>
  <c r="CI211" i="12"/>
  <c r="CJ211" i="12"/>
  <c r="CK211" i="12"/>
  <c r="CL211" i="12"/>
  <c r="CM211" i="12"/>
  <c r="CN211" i="12"/>
  <c r="CO211" i="12"/>
  <c r="CP211" i="12"/>
  <c r="CQ211" i="12"/>
  <c r="CR211" i="12"/>
  <c r="CS211" i="12"/>
  <c r="CT211" i="12"/>
  <c r="CU211" i="12"/>
  <c r="CV211" i="12"/>
  <c r="CW211" i="12"/>
  <c r="CX211" i="12"/>
  <c r="CY211" i="12"/>
  <c r="CZ211" i="12"/>
  <c r="DA211" i="12"/>
  <c r="DB211" i="12"/>
  <c r="CF212" i="12"/>
  <c r="CH212" i="12"/>
  <c r="CI212" i="12"/>
  <c r="CJ212" i="12"/>
  <c r="CK212" i="12"/>
  <c r="CL212" i="12"/>
  <c r="CM212" i="12"/>
  <c r="CN212" i="12"/>
  <c r="CO212" i="12"/>
  <c r="CP212" i="12"/>
  <c r="CQ212" i="12"/>
  <c r="CR212" i="12"/>
  <c r="CS212" i="12"/>
  <c r="CT212" i="12"/>
  <c r="CU212" i="12"/>
  <c r="CV212" i="12"/>
  <c r="CW212" i="12"/>
  <c r="CX212" i="12"/>
  <c r="CY212" i="12"/>
  <c r="CZ212" i="12"/>
  <c r="DA212" i="12"/>
  <c r="DB212" i="12"/>
  <c r="CG213" i="12"/>
  <c r="CH213" i="12"/>
  <c r="CI213" i="12"/>
  <c r="CJ213" i="12"/>
  <c r="CK213" i="12"/>
  <c r="CL213" i="12"/>
  <c r="CM213" i="12"/>
  <c r="CN213" i="12"/>
  <c r="CO213" i="12"/>
  <c r="CP213" i="12"/>
  <c r="CQ213" i="12"/>
  <c r="CR213" i="12"/>
  <c r="CS213" i="12"/>
  <c r="CT213" i="12"/>
  <c r="CU213" i="12"/>
  <c r="CV213" i="12"/>
  <c r="CW213" i="12"/>
  <c r="CX213" i="12"/>
  <c r="CY213" i="12"/>
  <c r="CZ213" i="12"/>
  <c r="DA213" i="12"/>
  <c r="DB213" i="12"/>
  <c r="CG214" i="12"/>
  <c r="CH214" i="12"/>
  <c r="CI214" i="12"/>
  <c r="CJ214" i="12"/>
  <c r="CK214" i="12"/>
  <c r="CL214" i="12"/>
  <c r="CM214" i="12"/>
  <c r="CN214" i="12"/>
  <c r="CO214" i="12"/>
  <c r="CP214" i="12"/>
  <c r="CQ214" i="12"/>
  <c r="CR214" i="12"/>
  <c r="CS214" i="12"/>
  <c r="CT214" i="12"/>
  <c r="CU214" i="12"/>
  <c r="CV214" i="12"/>
  <c r="CW214" i="12"/>
  <c r="CX214" i="12"/>
  <c r="CY214" i="12"/>
  <c r="CZ214" i="12"/>
  <c r="DA214" i="12"/>
  <c r="DB214" i="12"/>
  <c r="CG215" i="12"/>
  <c r="CH215" i="12"/>
  <c r="CI215" i="12"/>
  <c r="CJ215" i="12"/>
  <c r="CK215" i="12"/>
  <c r="CL215" i="12"/>
  <c r="CM215" i="12"/>
  <c r="CN215" i="12"/>
  <c r="CO215" i="12"/>
  <c r="CP215" i="12"/>
  <c r="CQ215" i="12"/>
  <c r="CR215" i="12"/>
  <c r="CS215" i="12"/>
  <c r="CT215" i="12"/>
  <c r="CU215" i="12"/>
  <c r="CV215" i="12"/>
  <c r="CW215" i="12"/>
  <c r="CX215" i="12"/>
  <c r="CY215" i="12"/>
  <c r="CZ215" i="12"/>
  <c r="DA215" i="12"/>
  <c r="DB215" i="12"/>
  <c r="CH216" i="12"/>
  <c r="CI216" i="12"/>
  <c r="CJ216" i="12"/>
  <c r="CK216" i="12"/>
  <c r="CL216" i="12"/>
  <c r="CM216" i="12"/>
  <c r="CN216" i="12"/>
  <c r="CO216" i="12"/>
  <c r="CP216" i="12"/>
  <c r="CQ216" i="12"/>
  <c r="CR216" i="12"/>
  <c r="CS216" i="12"/>
  <c r="CT216" i="12"/>
  <c r="CU216" i="12"/>
  <c r="CV216" i="12"/>
  <c r="CW216" i="12"/>
  <c r="CX216" i="12"/>
  <c r="CY216" i="12"/>
  <c r="CZ216" i="12"/>
  <c r="DA216" i="12"/>
  <c r="DB216" i="12"/>
  <c r="CF217" i="12"/>
  <c r="CG217" i="12"/>
  <c r="CH217" i="12"/>
  <c r="CI217" i="12"/>
  <c r="CJ217" i="12"/>
  <c r="CK217" i="12"/>
  <c r="CL217" i="12"/>
  <c r="CM217" i="12"/>
  <c r="CN217" i="12"/>
  <c r="CO217" i="12"/>
  <c r="CP217" i="12"/>
  <c r="CQ217" i="12"/>
  <c r="CR217" i="12"/>
  <c r="CS217" i="12"/>
  <c r="CT217" i="12"/>
  <c r="CU217" i="12"/>
  <c r="CV217" i="12"/>
  <c r="CW217" i="12"/>
  <c r="CX217" i="12"/>
  <c r="CY217" i="12"/>
  <c r="CZ217" i="12"/>
  <c r="DA217" i="12"/>
  <c r="DB217" i="12"/>
  <c r="CG218" i="12"/>
  <c r="CH218" i="12"/>
  <c r="CI218" i="12"/>
  <c r="CJ218" i="12"/>
  <c r="CK218" i="12"/>
  <c r="CL218" i="12"/>
  <c r="CM218" i="12"/>
  <c r="CN218" i="12"/>
  <c r="CO218" i="12"/>
  <c r="CP218" i="12"/>
  <c r="CQ218" i="12"/>
  <c r="CR218" i="12"/>
  <c r="CS218" i="12"/>
  <c r="CT218" i="12"/>
  <c r="CU218" i="12"/>
  <c r="CV218" i="12"/>
  <c r="CW218" i="12"/>
  <c r="CX218" i="12"/>
  <c r="CY218" i="12"/>
  <c r="CZ218" i="12"/>
  <c r="DA218" i="12"/>
  <c r="DB218" i="12"/>
  <c r="CG219" i="12"/>
  <c r="CH219" i="12"/>
  <c r="CI219" i="12"/>
  <c r="CJ219" i="12"/>
  <c r="CK219" i="12"/>
  <c r="CL219" i="12"/>
  <c r="CM219" i="12"/>
  <c r="CN219" i="12"/>
  <c r="CO219" i="12"/>
  <c r="CP219" i="12"/>
  <c r="CQ219" i="12"/>
  <c r="CR219" i="12"/>
  <c r="CS219" i="12"/>
  <c r="CT219" i="12"/>
  <c r="CU219" i="12"/>
  <c r="CV219" i="12"/>
  <c r="CW219" i="12"/>
  <c r="CX219" i="12"/>
  <c r="CY219" i="12"/>
  <c r="CZ219" i="12"/>
  <c r="DA219" i="12"/>
  <c r="DB219" i="12"/>
  <c r="CF220" i="12"/>
  <c r="CH220" i="12"/>
  <c r="CI220" i="12"/>
  <c r="CJ220" i="12"/>
  <c r="CK220" i="12"/>
  <c r="CL220" i="12"/>
  <c r="CM220" i="12"/>
  <c r="CN220" i="12"/>
  <c r="CO220" i="12"/>
  <c r="CP220" i="12"/>
  <c r="CQ220" i="12"/>
  <c r="CR220" i="12"/>
  <c r="CS220" i="12"/>
  <c r="CT220" i="12"/>
  <c r="CU220" i="12"/>
  <c r="CV220" i="12"/>
  <c r="CW220" i="12"/>
  <c r="CX220" i="12"/>
  <c r="CY220" i="12"/>
  <c r="CZ220" i="12"/>
  <c r="DA220" i="12"/>
  <c r="DB220" i="12"/>
  <c r="CG221" i="12"/>
  <c r="CH221" i="12"/>
  <c r="CI221" i="12"/>
  <c r="CJ221" i="12"/>
  <c r="CK221" i="12"/>
  <c r="CL221" i="12"/>
  <c r="CM221" i="12"/>
  <c r="CN221" i="12"/>
  <c r="CO221" i="12"/>
  <c r="CP221" i="12"/>
  <c r="CQ221" i="12"/>
  <c r="CR221" i="12"/>
  <c r="CS221" i="12"/>
  <c r="CT221" i="12"/>
  <c r="CU221" i="12"/>
  <c r="CV221" i="12"/>
  <c r="CW221" i="12"/>
  <c r="CX221" i="12"/>
  <c r="CY221" i="12"/>
  <c r="CZ221" i="12"/>
  <c r="DA221" i="12"/>
  <c r="DB221" i="12"/>
  <c r="CG222" i="12"/>
  <c r="CH222" i="12"/>
  <c r="CI222" i="12"/>
  <c r="CJ222" i="12"/>
  <c r="CK222" i="12"/>
  <c r="CL222" i="12"/>
  <c r="CM222" i="12"/>
  <c r="CN222" i="12"/>
  <c r="CO222" i="12"/>
  <c r="CP222" i="12"/>
  <c r="CQ222" i="12"/>
  <c r="CR222" i="12"/>
  <c r="CS222" i="12"/>
  <c r="CT222" i="12"/>
  <c r="CU222" i="12"/>
  <c r="CV222" i="12"/>
  <c r="CW222" i="12"/>
  <c r="CX222" i="12"/>
  <c r="CY222" i="12"/>
  <c r="CZ222" i="12"/>
  <c r="DA222" i="12"/>
  <c r="DB222" i="12"/>
  <c r="CG223" i="12"/>
  <c r="CH223" i="12"/>
  <c r="CI223" i="12"/>
  <c r="CJ223" i="12"/>
  <c r="CK223" i="12"/>
  <c r="CL223" i="12"/>
  <c r="CM223" i="12"/>
  <c r="CN223" i="12"/>
  <c r="CO223" i="12"/>
  <c r="CP223" i="12"/>
  <c r="CQ223" i="12"/>
  <c r="CR223" i="12"/>
  <c r="CS223" i="12"/>
  <c r="CT223" i="12"/>
  <c r="CU223" i="12"/>
  <c r="CV223" i="12"/>
  <c r="CW223" i="12"/>
  <c r="CX223" i="12"/>
  <c r="CY223" i="12"/>
  <c r="CZ223" i="12"/>
  <c r="DA223" i="12"/>
  <c r="DB223" i="12"/>
  <c r="CH224" i="12"/>
  <c r="CI224" i="12"/>
  <c r="CJ224" i="12"/>
  <c r="CK224" i="12"/>
  <c r="CL224" i="12"/>
  <c r="CM224" i="12"/>
  <c r="CN224" i="12"/>
  <c r="CO224" i="12"/>
  <c r="CP224" i="12"/>
  <c r="CQ224" i="12"/>
  <c r="CR224" i="12"/>
  <c r="CS224" i="12"/>
  <c r="CT224" i="12"/>
  <c r="CU224" i="12"/>
  <c r="CV224" i="12"/>
  <c r="CW224" i="12"/>
  <c r="CX224" i="12"/>
  <c r="CY224" i="12"/>
  <c r="CZ224" i="12"/>
  <c r="DA224" i="12"/>
  <c r="DB224" i="12"/>
  <c r="CF225" i="12"/>
  <c r="CG225" i="12"/>
  <c r="CH225" i="12"/>
  <c r="CI225" i="12"/>
  <c r="CJ225" i="12"/>
  <c r="CK225" i="12"/>
  <c r="CL225" i="12"/>
  <c r="CM225" i="12"/>
  <c r="CN225" i="12"/>
  <c r="CO225" i="12"/>
  <c r="CP225" i="12"/>
  <c r="CQ225" i="12"/>
  <c r="CR225" i="12"/>
  <c r="CS225" i="12"/>
  <c r="CT225" i="12"/>
  <c r="CU225" i="12"/>
  <c r="CV225" i="12"/>
  <c r="CW225" i="12"/>
  <c r="CX225" i="12"/>
  <c r="CY225" i="12"/>
  <c r="CZ225" i="12"/>
  <c r="DA225" i="12"/>
  <c r="DB225" i="12"/>
  <c r="CG226" i="12"/>
  <c r="CH226" i="12"/>
  <c r="CI226" i="12"/>
  <c r="CJ226" i="12"/>
  <c r="CK226" i="12"/>
  <c r="CL226" i="12"/>
  <c r="CM226" i="12"/>
  <c r="CN226" i="12"/>
  <c r="CO226" i="12"/>
  <c r="CP226" i="12"/>
  <c r="CQ226" i="12"/>
  <c r="CR226" i="12"/>
  <c r="CS226" i="12"/>
  <c r="CT226" i="12"/>
  <c r="CU226" i="12"/>
  <c r="CV226" i="12"/>
  <c r="CW226" i="12"/>
  <c r="CX226" i="12"/>
  <c r="CY226" i="12"/>
  <c r="CZ226" i="12"/>
  <c r="DA226" i="12"/>
  <c r="DB226" i="12"/>
  <c r="CG227" i="12"/>
  <c r="CH227" i="12"/>
  <c r="CI227" i="12"/>
  <c r="CJ227" i="12"/>
  <c r="CK227" i="12"/>
  <c r="CL227" i="12"/>
  <c r="CM227" i="12"/>
  <c r="CN227" i="12"/>
  <c r="CO227" i="12"/>
  <c r="CP227" i="12"/>
  <c r="CQ227" i="12"/>
  <c r="CR227" i="12"/>
  <c r="CS227" i="12"/>
  <c r="CT227" i="12"/>
  <c r="CU227" i="12"/>
  <c r="CV227" i="12"/>
  <c r="CW227" i="12"/>
  <c r="CX227" i="12"/>
  <c r="CY227" i="12"/>
  <c r="CZ227" i="12"/>
  <c r="DA227" i="12"/>
  <c r="DB227" i="12"/>
  <c r="CF228" i="12"/>
  <c r="CH228" i="12"/>
  <c r="CI228" i="12"/>
  <c r="CJ228" i="12"/>
  <c r="CK228" i="12"/>
  <c r="CL228" i="12"/>
  <c r="CM228" i="12"/>
  <c r="CN228" i="12"/>
  <c r="CO228" i="12"/>
  <c r="CP228" i="12"/>
  <c r="CQ228" i="12"/>
  <c r="CR228" i="12"/>
  <c r="CS228" i="12"/>
  <c r="CT228" i="12"/>
  <c r="CU228" i="12"/>
  <c r="CV228" i="12"/>
  <c r="CW228" i="12"/>
  <c r="CX228" i="12"/>
  <c r="CY228" i="12"/>
  <c r="CZ228" i="12"/>
  <c r="DA228" i="12"/>
  <c r="DB228" i="12"/>
  <c r="CG229" i="12"/>
  <c r="CH229" i="12"/>
  <c r="CI229" i="12"/>
  <c r="CJ229" i="12"/>
  <c r="CK229" i="12"/>
  <c r="CL229" i="12"/>
  <c r="CM229" i="12"/>
  <c r="CN229" i="12"/>
  <c r="CO229" i="12"/>
  <c r="CP229" i="12"/>
  <c r="CQ229" i="12"/>
  <c r="CR229" i="12"/>
  <c r="CS229" i="12"/>
  <c r="CT229" i="12"/>
  <c r="CU229" i="12"/>
  <c r="CV229" i="12"/>
  <c r="CW229" i="12"/>
  <c r="CX229" i="12"/>
  <c r="CY229" i="12"/>
  <c r="CZ229" i="12"/>
  <c r="DA229" i="12"/>
  <c r="DB229" i="12"/>
  <c r="CG230" i="12"/>
  <c r="CH230" i="12"/>
  <c r="CI230" i="12"/>
  <c r="CJ230" i="12"/>
  <c r="CK230" i="12"/>
  <c r="CL230" i="12"/>
  <c r="CM230" i="12"/>
  <c r="CN230" i="12"/>
  <c r="CO230" i="12"/>
  <c r="CP230" i="12"/>
  <c r="CQ230" i="12"/>
  <c r="CR230" i="12"/>
  <c r="CS230" i="12"/>
  <c r="CT230" i="12"/>
  <c r="CU230" i="12"/>
  <c r="CV230" i="12"/>
  <c r="CW230" i="12"/>
  <c r="CX230" i="12"/>
  <c r="CY230" i="12"/>
  <c r="CZ230" i="12"/>
  <c r="DA230" i="12"/>
  <c r="DB230" i="12"/>
  <c r="CG231" i="12"/>
  <c r="CH231" i="12"/>
  <c r="CI231" i="12"/>
  <c r="CJ231" i="12"/>
  <c r="CK231" i="12"/>
  <c r="CL231" i="12"/>
  <c r="CM231" i="12"/>
  <c r="CN231" i="12"/>
  <c r="CO231" i="12"/>
  <c r="CP231" i="12"/>
  <c r="CQ231" i="12"/>
  <c r="CR231" i="12"/>
  <c r="CS231" i="12"/>
  <c r="CT231" i="12"/>
  <c r="CU231" i="12"/>
  <c r="CV231" i="12"/>
  <c r="CW231" i="12"/>
  <c r="CX231" i="12"/>
  <c r="CY231" i="12"/>
  <c r="CZ231" i="12"/>
  <c r="DA231" i="12"/>
  <c r="DB231" i="12"/>
  <c r="CH232" i="12"/>
  <c r="CI232" i="12"/>
  <c r="CJ232" i="12"/>
  <c r="CK232" i="12"/>
  <c r="CL232" i="12"/>
  <c r="CM232" i="12"/>
  <c r="CN232" i="12"/>
  <c r="CO232" i="12"/>
  <c r="CP232" i="12"/>
  <c r="CQ232" i="12"/>
  <c r="CR232" i="12"/>
  <c r="CS232" i="12"/>
  <c r="CT232" i="12"/>
  <c r="CU232" i="12"/>
  <c r="CV232" i="12"/>
  <c r="CW232" i="12"/>
  <c r="CX232" i="12"/>
  <c r="CY232" i="12"/>
  <c r="CZ232" i="12"/>
  <c r="DA232" i="12"/>
  <c r="DB232" i="12"/>
  <c r="CF233" i="12"/>
  <c r="CG233" i="12"/>
  <c r="CH233" i="12"/>
  <c r="CI233" i="12"/>
  <c r="CJ233" i="12"/>
  <c r="CK233" i="12"/>
  <c r="CL233" i="12"/>
  <c r="CM233" i="12"/>
  <c r="CN233" i="12"/>
  <c r="CO233" i="12"/>
  <c r="CP233" i="12"/>
  <c r="CQ233" i="12"/>
  <c r="CR233" i="12"/>
  <c r="CS233" i="12"/>
  <c r="CT233" i="12"/>
  <c r="CU233" i="12"/>
  <c r="CV233" i="12"/>
  <c r="CW233" i="12"/>
  <c r="CX233" i="12"/>
  <c r="CY233" i="12"/>
  <c r="CZ233" i="12"/>
  <c r="DA233" i="12"/>
  <c r="DB233" i="12"/>
  <c r="CG234" i="12"/>
  <c r="CH234" i="12"/>
  <c r="CI234" i="12"/>
  <c r="CJ234" i="12"/>
  <c r="CK234" i="12"/>
  <c r="CL234" i="12"/>
  <c r="CM234" i="12"/>
  <c r="CN234" i="12"/>
  <c r="CO234" i="12"/>
  <c r="CP234" i="12"/>
  <c r="CQ234" i="12"/>
  <c r="CR234" i="12"/>
  <c r="CS234" i="12"/>
  <c r="CT234" i="12"/>
  <c r="CU234" i="12"/>
  <c r="CV234" i="12"/>
  <c r="CW234" i="12"/>
  <c r="CX234" i="12"/>
  <c r="CY234" i="12"/>
  <c r="CZ234" i="12"/>
  <c r="DA234" i="12"/>
  <c r="DB234" i="12"/>
  <c r="CG235" i="12"/>
  <c r="CH235" i="12"/>
  <c r="CI235" i="12"/>
  <c r="CJ235" i="12"/>
  <c r="CK235" i="12"/>
  <c r="CL235" i="12"/>
  <c r="CM235" i="12"/>
  <c r="CN235" i="12"/>
  <c r="CO235" i="12"/>
  <c r="CP235" i="12"/>
  <c r="CQ235" i="12"/>
  <c r="CR235" i="12"/>
  <c r="CS235" i="12"/>
  <c r="CT235" i="12"/>
  <c r="CU235" i="12"/>
  <c r="CV235" i="12"/>
  <c r="CW235" i="12"/>
  <c r="CX235" i="12"/>
  <c r="CY235" i="12"/>
  <c r="CZ235" i="12"/>
  <c r="DA235" i="12"/>
  <c r="DB235" i="12"/>
  <c r="CF236" i="12"/>
  <c r="CH236" i="12"/>
  <c r="CI236" i="12"/>
  <c r="CJ236" i="12"/>
  <c r="CK236" i="12"/>
  <c r="CL236" i="12"/>
  <c r="CM236" i="12"/>
  <c r="CN236" i="12"/>
  <c r="CO236" i="12"/>
  <c r="CP236" i="12"/>
  <c r="CQ236" i="12"/>
  <c r="CR236" i="12"/>
  <c r="CS236" i="12"/>
  <c r="CT236" i="12"/>
  <c r="CU236" i="12"/>
  <c r="CV236" i="12"/>
  <c r="CW236" i="12"/>
  <c r="CX236" i="12"/>
  <c r="CY236" i="12"/>
  <c r="CZ236" i="12"/>
  <c r="DA236" i="12"/>
  <c r="DB236" i="12"/>
  <c r="CG237" i="12"/>
  <c r="CH237" i="12"/>
  <c r="CI237" i="12"/>
  <c r="CJ237" i="12"/>
  <c r="CK237" i="12"/>
  <c r="CL237" i="12"/>
  <c r="CM237" i="12"/>
  <c r="CN237" i="12"/>
  <c r="CO237" i="12"/>
  <c r="CP237" i="12"/>
  <c r="CQ237" i="12"/>
  <c r="CR237" i="12"/>
  <c r="CS237" i="12"/>
  <c r="CT237" i="12"/>
  <c r="CU237" i="12"/>
  <c r="CV237" i="12"/>
  <c r="CW237" i="12"/>
  <c r="CX237" i="12"/>
  <c r="CY237" i="12"/>
  <c r="CZ237" i="12"/>
  <c r="DA237" i="12"/>
  <c r="DB237" i="12"/>
  <c r="CG238" i="12"/>
  <c r="CH238" i="12"/>
  <c r="CI238" i="12"/>
  <c r="CJ238" i="12"/>
  <c r="CK238" i="12"/>
  <c r="CL238" i="12"/>
  <c r="CM238" i="12"/>
  <c r="CN238" i="12"/>
  <c r="CO238" i="12"/>
  <c r="CP238" i="12"/>
  <c r="CQ238" i="12"/>
  <c r="CR238" i="12"/>
  <c r="CS238" i="12"/>
  <c r="CT238" i="12"/>
  <c r="CU238" i="12"/>
  <c r="CV238" i="12"/>
  <c r="CW238" i="12"/>
  <c r="CX238" i="12"/>
  <c r="CY238" i="12"/>
  <c r="CZ238" i="12"/>
  <c r="DA238" i="12"/>
  <c r="DB238" i="12"/>
  <c r="CG239" i="12"/>
  <c r="CH239" i="12"/>
  <c r="CI239" i="12"/>
  <c r="CJ239" i="12"/>
  <c r="CK239" i="12"/>
  <c r="CL239" i="12"/>
  <c r="CM239" i="12"/>
  <c r="CN239" i="12"/>
  <c r="CO239" i="12"/>
  <c r="CP239" i="12"/>
  <c r="CQ239" i="12"/>
  <c r="CR239" i="12"/>
  <c r="CS239" i="12"/>
  <c r="CT239" i="12"/>
  <c r="CU239" i="12"/>
  <c r="CV239" i="12"/>
  <c r="CW239" i="12"/>
  <c r="CX239" i="12"/>
  <c r="CY239" i="12"/>
  <c r="CZ239" i="12"/>
  <c r="DA239" i="12"/>
  <c r="DB239" i="12"/>
  <c r="CH240" i="12"/>
  <c r="CI240" i="12"/>
  <c r="CJ240" i="12"/>
  <c r="CK240" i="12"/>
  <c r="CL240" i="12"/>
  <c r="CM240" i="12"/>
  <c r="CN240" i="12"/>
  <c r="CO240" i="12"/>
  <c r="CP240" i="12"/>
  <c r="CQ240" i="12"/>
  <c r="CR240" i="12"/>
  <c r="CS240" i="12"/>
  <c r="CT240" i="12"/>
  <c r="CU240" i="12"/>
  <c r="CV240" i="12"/>
  <c r="CW240" i="12"/>
  <c r="CX240" i="12"/>
  <c r="CY240" i="12"/>
  <c r="CZ240" i="12"/>
  <c r="DA240" i="12"/>
  <c r="DB240" i="12"/>
  <c r="CF241" i="12"/>
  <c r="CG241" i="12"/>
  <c r="CH241" i="12"/>
  <c r="CI241" i="12"/>
  <c r="CJ241" i="12"/>
  <c r="CK241" i="12"/>
  <c r="CL241" i="12"/>
  <c r="CM241" i="12"/>
  <c r="CN241" i="12"/>
  <c r="CO241" i="12"/>
  <c r="CP241" i="12"/>
  <c r="CQ241" i="12"/>
  <c r="CR241" i="12"/>
  <c r="CS241" i="12"/>
  <c r="CT241" i="12"/>
  <c r="CU241" i="12"/>
  <c r="CV241" i="12"/>
  <c r="CW241" i="12"/>
  <c r="CX241" i="12"/>
  <c r="CY241" i="12"/>
  <c r="CZ241" i="12"/>
  <c r="DA241" i="12"/>
  <c r="DB241" i="12"/>
  <c r="CG242" i="12"/>
  <c r="CH242" i="12"/>
  <c r="CI242" i="12"/>
  <c r="CJ242" i="12"/>
  <c r="CK242" i="12"/>
  <c r="CL242" i="12"/>
  <c r="CM242" i="12"/>
  <c r="CN242" i="12"/>
  <c r="CO242" i="12"/>
  <c r="CP242" i="12"/>
  <c r="CQ242" i="12"/>
  <c r="CR242" i="12"/>
  <c r="CS242" i="12"/>
  <c r="CT242" i="12"/>
  <c r="CU242" i="12"/>
  <c r="CV242" i="12"/>
  <c r="CW242" i="12"/>
  <c r="CX242" i="12"/>
  <c r="CY242" i="12"/>
  <c r="CZ242" i="12"/>
  <c r="DA242" i="12"/>
  <c r="DB242" i="12"/>
  <c r="CG243" i="12"/>
  <c r="CH243" i="12"/>
  <c r="CI243" i="12"/>
  <c r="CJ243" i="12"/>
  <c r="CK243" i="12"/>
  <c r="CL243" i="12"/>
  <c r="CM243" i="12"/>
  <c r="CN243" i="12"/>
  <c r="CO243" i="12"/>
  <c r="CP243" i="12"/>
  <c r="CQ243" i="12"/>
  <c r="CR243" i="12"/>
  <c r="CS243" i="12"/>
  <c r="CT243" i="12"/>
  <c r="CU243" i="12"/>
  <c r="CV243" i="12"/>
  <c r="CW243" i="12"/>
  <c r="CX243" i="12"/>
  <c r="CY243" i="12"/>
  <c r="CZ243" i="12"/>
  <c r="DA243" i="12"/>
  <c r="DB243" i="12"/>
  <c r="CF244" i="12"/>
  <c r="CH244" i="12"/>
  <c r="CI244" i="12"/>
  <c r="CJ244" i="12"/>
  <c r="CK244" i="12"/>
  <c r="CL244" i="12"/>
  <c r="CM244" i="12"/>
  <c r="CN244" i="12"/>
  <c r="CO244" i="12"/>
  <c r="CP244" i="12"/>
  <c r="CQ244" i="12"/>
  <c r="CR244" i="12"/>
  <c r="CS244" i="12"/>
  <c r="CT244" i="12"/>
  <c r="CU244" i="12"/>
  <c r="CV244" i="12"/>
  <c r="CW244" i="12"/>
  <c r="CX244" i="12"/>
  <c r="CY244" i="12"/>
  <c r="CZ244" i="12"/>
  <c r="DA244" i="12"/>
  <c r="DB244" i="12"/>
  <c r="CG245" i="12"/>
  <c r="CH245" i="12"/>
  <c r="CI245" i="12"/>
  <c r="CJ245" i="12"/>
  <c r="CK245" i="12"/>
  <c r="CL245" i="12"/>
  <c r="CM245" i="12"/>
  <c r="CN245" i="12"/>
  <c r="CO245" i="12"/>
  <c r="CP245" i="12"/>
  <c r="CQ245" i="12"/>
  <c r="CR245" i="12"/>
  <c r="CS245" i="12"/>
  <c r="CT245" i="12"/>
  <c r="CU245" i="12"/>
  <c r="CV245" i="12"/>
  <c r="CW245" i="12"/>
  <c r="CX245" i="12"/>
  <c r="CY245" i="12"/>
  <c r="CZ245" i="12"/>
  <c r="DA245" i="12"/>
  <c r="DB245" i="12"/>
  <c r="CG246" i="12"/>
  <c r="CH246" i="12"/>
  <c r="CI246" i="12"/>
  <c r="CJ246" i="12"/>
  <c r="CK246" i="12"/>
  <c r="CL246" i="12"/>
  <c r="CM246" i="12"/>
  <c r="CN246" i="12"/>
  <c r="CO246" i="12"/>
  <c r="CP246" i="12"/>
  <c r="CQ246" i="12"/>
  <c r="CR246" i="12"/>
  <c r="CS246" i="12"/>
  <c r="CT246" i="12"/>
  <c r="CU246" i="12"/>
  <c r="CV246" i="12"/>
  <c r="CW246" i="12"/>
  <c r="CX246" i="12"/>
  <c r="CY246" i="12"/>
  <c r="CZ246" i="12"/>
  <c r="DA246" i="12"/>
  <c r="DB246" i="12"/>
  <c r="CG247" i="12"/>
  <c r="CH247" i="12"/>
  <c r="CI247" i="12"/>
  <c r="CJ247" i="12"/>
  <c r="CK247" i="12"/>
  <c r="CL247" i="12"/>
  <c r="CM247" i="12"/>
  <c r="CN247" i="12"/>
  <c r="CO247" i="12"/>
  <c r="CP247" i="12"/>
  <c r="CQ247" i="12"/>
  <c r="CR247" i="12"/>
  <c r="CS247" i="12"/>
  <c r="CT247" i="12"/>
  <c r="CU247" i="12"/>
  <c r="CV247" i="12"/>
  <c r="CW247" i="12"/>
  <c r="CX247" i="12"/>
  <c r="CY247" i="12"/>
  <c r="CZ247" i="12"/>
  <c r="DA247" i="12"/>
  <c r="DB247" i="12"/>
  <c r="CH248" i="12"/>
  <c r="CI248" i="12"/>
  <c r="CJ248" i="12"/>
  <c r="CK248" i="12"/>
  <c r="CL248" i="12"/>
  <c r="CM248" i="12"/>
  <c r="CN248" i="12"/>
  <c r="CO248" i="12"/>
  <c r="CP248" i="12"/>
  <c r="CQ248" i="12"/>
  <c r="CR248" i="12"/>
  <c r="CS248" i="12"/>
  <c r="CT248" i="12"/>
  <c r="CU248" i="12"/>
  <c r="CV248" i="12"/>
  <c r="CW248" i="12"/>
  <c r="CX248" i="12"/>
  <c r="CY248" i="12"/>
  <c r="CZ248" i="12"/>
  <c r="DA248" i="12"/>
  <c r="DB248" i="12"/>
  <c r="CF249" i="12"/>
  <c r="CG249" i="12"/>
  <c r="CH249" i="12"/>
  <c r="CI249" i="12"/>
  <c r="CJ249" i="12"/>
  <c r="CK249" i="12"/>
  <c r="CL249" i="12"/>
  <c r="CM249" i="12"/>
  <c r="CN249" i="12"/>
  <c r="CO249" i="12"/>
  <c r="CP249" i="12"/>
  <c r="CQ249" i="12"/>
  <c r="CR249" i="12"/>
  <c r="CS249" i="12"/>
  <c r="CT249" i="12"/>
  <c r="CU249" i="12"/>
  <c r="CV249" i="12"/>
  <c r="CW249" i="12"/>
  <c r="CX249" i="12"/>
  <c r="CY249" i="12"/>
  <c r="CZ249" i="12"/>
  <c r="DA249" i="12"/>
  <c r="DB249" i="12"/>
  <c r="CG250" i="12"/>
  <c r="CH250" i="12"/>
  <c r="CI250" i="12"/>
  <c r="CJ250" i="12"/>
  <c r="CK250" i="12"/>
  <c r="CL250" i="12"/>
  <c r="CM250" i="12"/>
  <c r="CN250" i="12"/>
  <c r="CO250" i="12"/>
  <c r="CP250" i="12"/>
  <c r="CQ250" i="12"/>
  <c r="CR250" i="12"/>
  <c r="CS250" i="12"/>
  <c r="CT250" i="12"/>
  <c r="CU250" i="12"/>
  <c r="CV250" i="12"/>
  <c r="CW250" i="12"/>
  <c r="CX250" i="12"/>
  <c r="CY250" i="12"/>
  <c r="CZ250" i="12"/>
  <c r="DA250" i="12"/>
  <c r="DB250" i="12"/>
  <c r="CG251" i="12"/>
  <c r="CH251" i="12"/>
  <c r="CI251" i="12"/>
  <c r="CJ251" i="12"/>
  <c r="CK251" i="12"/>
  <c r="CL251" i="12"/>
  <c r="CM251" i="12"/>
  <c r="CN251" i="12"/>
  <c r="CO251" i="12"/>
  <c r="CP251" i="12"/>
  <c r="CQ251" i="12"/>
  <c r="CR251" i="12"/>
  <c r="CS251" i="12"/>
  <c r="CT251" i="12"/>
  <c r="CU251" i="12"/>
  <c r="CV251" i="12"/>
  <c r="CW251" i="12"/>
  <c r="CX251" i="12"/>
  <c r="CY251" i="12"/>
  <c r="CZ251" i="12"/>
  <c r="DA251" i="12"/>
  <c r="DB251" i="12"/>
  <c r="CF252" i="12"/>
  <c r="CH252" i="12"/>
  <c r="CI252" i="12"/>
  <c r="CJ252" i="12"/>
  <c r="CK252" i="12"/>
  <c r="CL252" i="12"/>
  <c r="CM252" i="12"/>
  <c r="CN252" i="12"/>
  <c r="CO252" i="12"/>
  <c r="CP252" i="12"/>
  <c r="CQ252" i="12"/>
  <c r="CR252" i="12"/>
  <c r="CS252" i="12"/>
  <c r="CT252" i="12"/>
  <c r="CU252" i="12"/>
  <c r="CV252" i="12"/>
  <c r="CW252" i="12"/>
  <c r="CX252" i="12"/>
  <c r="CY252" i="12"/>
  <c r="CZ252" i="12"/>
  <c r="DA252" i="12"/>
  <c r="DB252" i="12"/>
  <c r="CG253" i="12"/>
  <c r="CH253" i="12"/>
  <c r="CI253" i="12"/>
  <c r="CJ253" i="12"/>
  <c r="CK253" i="12"/>
  <c r="CL253" i="12"/>
  <c r="CM253" i="12"/>
  <c r="CN253" i="12"/>
  <c r="CO253" i="12"/>
  <c r="CP253" i="12"/>
  <c r="CQ253" i="12"/>
  <c r="CR253" i="12"/>
  <c r="CS253" i="12"/>
  <c r="CT253" i="12"/>
  <c r="CU253" i="12"/>
  <c r="CV253" i="12"/>
  <c r="CW253" i="12"/>
  <c r="CX253" i="12"/>
  <c r="CY253" i="12"/>
  <c r="CZ253" i="12"/>
  <c r="DA253" i="12"/>
  <c r="DB253" i="12"/>
  <c r="CG254" i="12"/>
  <c r="CH254" i="12"/>
  <c r="CI254" i="12"/>
  <c r="CJ254" i="12"/>
  <c r="CK254" i="12"/>
  <c r="CL254" i="12"/>
  <c r="CM254" i="12"/>
  <c r="CN254" i="12"/>
  <c r="CO254" i="12"/>
  <c r="CP254" i="12"/>
  <c r="CQ254" i="12"/>
  <c r="CR254" i="12"/>
  <c r="CS254" i="12"/>
  <c r="CT254" i="12"/>
  <c r="CU254" i="12"/>
  <c r="CV254" i="12"/>
  <c r="CW254" i="12"/>
  <c r="CX254" i="12"/>
  <c r="CY254" i="12"/>
  <c r="CZ254" i="12"/>
  <c r="DA254" i="12"/>
  <c r="DB254" i="12"/>
  <c r="CG255" i="12"/>
  <c r="CH255" i="12"/>
  <c r="CI255" i="12"/>
  <c r="CJ255" i="12"/>
  <c r="CK255" i="12"/>
  <c r="CL255" i="12"/>
  <c r="CM255" i="12"/>
  <c r="CN255" i="12"/>
  <c r="CO255" i="12"/>
  <c r="CP255" i="12"/>
  <c r="CQ255" i="12"/>
  <c r="CR255" i="12"/>
  <c r="CS255" i="12"/>
  <c r="CT255" i="12"/>
  <c r="CU255" i="12"/>
  <c r="CV255" i="12"/>
  <c r="CW255" i="12"/>
  <c r="CX255" i="12"/>
  <c r="CY255" i="12"/>
  <c r="CZ255" i="12"/>
  <c r="DA255" i="12"/>
  <c r="DB255" i="12"/>
  <c r="CH256" i="12"/>
  <c r="CI256" i="12"/>
  <c r="CJ256" i="12"/>
  <c r="CK256" i="12"/>
  <c r="CL256" i="12"/>
  <c r="CM256" i="12"/>
  <c r="CN256" i="12"/>
  <c r="CO256" i="12"/>
  <c r="CP256" i="12"/>
  <c r="CQ256" i="12"/>
  <c r="CR256" i="12"/>
  <c r="CS256" i="12"/>
  <c r="CT256" i="12"/>
  <c r="CU256" i="12"/>
  <c r="CV256" i="12"/>
  <c r="CW256" i="12"/>
  <c r="CX256" i="12"/>
  <c r="CY256" i="12"/>
  <c r="CZ256" i="12"/>
  <c r="DA256" i="12"/>
  <c r="DB256" i="12"/>
  <c r="CF257" i="12"/>
  <c r="CG257" i="12"/>
  <c r="CH257" i="12"/>
  <c r="CI257" i="12"/>
  <c r="CJ257" i="12"/>
  <c r="CK257" i="12"/>
  <c r="CL257" i="12"/>
  <c r="CM257" i="12"/>
  <c r="CN257" i="12"/>
  <c r="CO257" i="12"/>
  <c r="CP257" i="12"/>
  <c r="CQ257" i="12"/>
  <c r="CR257" i="12"/>
  <c r="CS257" i="12"/>
  <c r="CT257" i="12"/>
  <c r="CU257" i="12"/>
  <c r="CV257" i="12"/>
  <c r="CW257" i="12"/>
  <c r="CX257" i="12"/>
  <c r="CY257" i="12"/>
  <c r="CZ257" i="12"/>
  <c r="DA257" i="12"/>
  <c r="DB257" i="12"/>
  <c r="CG258" i="12"/>
  <c r="CH258" i="12"/>
  <c r="CI258" i="12"/>
  <c r="CJ258" i="12"/>
  <c r="CK258" i="12"/>
  <c r="CL258" i="12"/>
  <c r="CM258" i="12"/>
  <c r="CN258" i="12"/>
  <c r="CO258" i="12"/>
  <c r="CP258" i="12"/>
  <c r="CQ258" i="12"/>
  <c r="CR258" i="12"/>
  <c r="CS258" i="12"/>
  <c r="CT258" i="12"/>
  <c r="CU258" i="12"/>
  <c r="CV258" i="12"/>
  <c r="CW258" i="12"/>
  <c r="CX258" i="12"/>
  <c r="CY258" i="12"/>
  <c r="CZ258" i="12"/>
  <c r="DA258" i="12"/>
  <c r="DB258" i="12"/>
  <c r="CG259" i="12"/>
  <c r="CH259" i="12"/>
  <c r="CI259" i="12"/>
  <c r="CJ259" i="12"/>
  <c r="CK259" i="12"/>
  <c r="CL259" i="12"/>
  <c r="CM259" i="12"/>
  <c r="CN259" i="12"/>
  <c r="CO259" i="12"/>
  <c r="CP259" i="12"/>
  <c r="CQ259" i="12"/>
  <c r="CR259" i="12"/>
  <c r="CS259" i="12"/>
  <c r="CT259" i="12"/>
  <c r="CU259" i="12"/>
  <c r="CV259" i="12"/>
  <c r="CW259" i="12"/>
  <c r="CX259" i="12"/>
  <c r="CY259" i="12"/>
  <c r="CZ259" i="12"/>
  <c r="DA259" i="12"/>
  <c r="DB259" i="12"/>
  <c r="CF260" i="12"/>
  <c r="CG260" i="12"/>
  <c r="CH260" i="12"/>
  <c r="CI260" i="12"/>
  <c r="CJ260" i="12"/>
  <c r="CK260" i="12"/>
  <c r="CL260" i="12"/>
  <c r="CM260" i="12"/>
  <c r="CN260" i="12"/>
  <c r="CO260" i="12"/>
  <c r="CP260" i="12"/>
  <c r="CQ260" i="12"/>
  <c r="CR260" i="12"/>
  <c r="CS260" i="12"/>
  <c r="CT260" i="12"/>
  <c r="CU260" i="12"/>
  <c r="CV260" i="12"/>
  <c r="CW260" i="12"/>
  <c r="CX260" i="12"/>
  <c r="CY260" i="12"/>
  <c r="CZ260" i="12"/>
  <c r="DA260" i="12"/>
  <c r="DB260" i="12"/>
  <c r="CG261" i="12"/>
  <c r="CH261" i="12"/>
  <c r="CI261" i="12"/>
  <c r="CJ261" i="12"/>
  <c r="CK261" i="12"/>
  <c r="CL261" i="12"/>
  <c r="CM261" i="12"/>
  <c r="CN261" i="12"/>
  <c r="CO261" i="12"/>
  <c r="CP261" i="12"/>
  <c r="CQ261" i="12"/>
  <c r="CR261" i="12"/>
  <c r="CS261" i="12"/>
  <c r="CT261" i="12"/>
  <c r="CU261" i="12"/>
  <c r="CV261" i="12"/>
  <c r="CW261" i="12"/>
  <c r="CX261" i="12"/>
  <c r="CY261" i="12"/>
  <c r="CZ261" i="12"/>
  <c r="DA261" i="12"/>
  <c r="DB261" i="12"/>
  <c r="CG262" i="12"/>
  <c r="CH262" i="12"/>
  <c r="CI262" i="12"/>
  <c r="CJ262" i="12"/>
  <c r="CK262" i="12"/>
  <c r="CL262" i="12"/>
  <c r="CM262" i="12"/>
  <c r="CN262" i="12"/>
  <c r="CO262" i="12"/>
  <c r="CP262" i="12"/>
  <c r="CQ262" i="12"/>
  <c r="CR262" i="12"/>
  <c r="CS262" i="12"/>
  <c r="CT262" i="12"/>
  <c r="CU262" i="12"/>
  <c r="CV262" i="12"/>
  <c r="CW262" i="12"/>
  <c r="CX262" i="12"/>
  <c r="CY262" i="12"/>
  <c r="CZ262" i="12"/>
  <c r="DA262" i="12"/>
  <c r="DB262" i="12"/>
  <c r="CG263" i="12"/>
  <c r="CH263" i="12"/>
  <c r="CI263" i="12"/>
  <c r="CJ263" i="12"/>
  <c r="CK263" i="12"/>
  <c r="CL263" i="12"/>
  <c r="CM263" i="12"/>
  <c r="CN263" i="12"/>
  <c r="CO263" i="12"/>
  <c r="CP263" i="12"/>
  <c r="CQ263" i="12"/>
  <c r="CR263" i="12"/>
  <c r="CS263" i="12"/>
  <c r="CT263" i="12"/>
  <c r="CU263" i="12"/>
  <c r="CV263" i="12"/>
  <c r="CW263" i="12"/>
  <c r="CX263" i="12"/>
  <c r="CY263" i="12"/>
  <c r="CZ263" i="12"/>
  <c r="DA263" i="12"/>
  <c r="DB263" i="12"/>
  <c r="CF264" i="12"/>
  <c r="CG264" i="12"/>
  <c r="CH264" i="12"/>
  <c r="CI264" i="12"/>
  <c r="CJ264" i="12"/>
  <c r="CK264" i="12"/>
  <c r="CL264" i="12"/>
  <c r="CM264" i="12"/>
  <c r="CN264" i="12"/>
  <c r="CO264" i="12"/>
  <c r="CP264" i="12"/>
  <c r="CQ264" i="12"/>
  <c r="CR264" i="12"/>
  <c r="CS264" i="12"/>
  <c r="CT264" i="12"/>
  <c r="CU264" i="12"/>
  <c r="CV264" i="12"/>
  <c r="CW264" i="12"/>
  <c r="CX264" i="12"/>
  <c r="CY264" i="12"/>
  <c r="CZ264" i="12"/>
  <c r="DA264" i="12"/>
  <c r="DB264" i="12"/>
  <c r="CG265" i="12"/>
  <c r="CH265" i="12"/>
  <c r="CI265" i="12"/>
  <c r="CJ265" i="12"/>
  <c r="CK265" i="12"/>
  <c r="CL265" i="12"/>
  <c r="CM265" i="12"/>
  <c r="CN265" i="12"/>
  <c r="CO265" i="12"/>
  <c r="CP265" i="12"/>
  <c r="CQ265" i="12"/>
  <c r="CR265" i="12"/>
  <c r="CS265" i="12"/>
  <c r="CT265" i="12"/>
  <c r="CU265" i="12"/>
  <c r="CV265" i="12"/>
  <c r="CW265" i="12"/>
  <c r="CX265" i="12"/>
  <c r="CY265" i="12"/>
  <c r="CZ265" i="12"/>
  <c r="DA265" i="12"/>
  <c r="DB265" i="12"/>
  <c r="CG266" i="12"/>
  <c r="CH266" i="12"/>
  <c r="CI266" i="12"/>
  <c r="CJ266" i="12"/>
  <c r="CK266" i="12"/>
  <c r="CL266" i="12"/>
  <c r="CM266" i="12"/>
  <c r="CN266" i="12"/>
  <c r="CO266" i="12"/>
  <c r="CP266" i="12"/>
  <c r="CQ266" i="12"/>
  <c r="CR266" i="12"/>
  <c r="CS266" i="12"/>
  <c r="CT266" i="12"/>
  <c r="CU266" i="12"/>
  <c r="CV266" i="12"/>
  <c r="CW266" i="12"/>
  <c r="CX266" i="12"/>
  <c r="CY266" i="12"/>
  <c r="CZ266" i="12"/>
  <c r="DA266" i="12"/>
  <c r="DB266" i="12"/>
  <c r="CG267" i="12"/>
  <c r="CH267" i="12"/>
  <c r="CI267" i="12"/>
  <c r="CJ267" i="12"/>
  <c r="CK267" i="12"/>
  <c r="CL267" i="12"/>
  <c r="CM267" i="12"/>
  <c r="CN267" i="12"/>
  <c r="CO267" i="12"/>
  <c r="CP267" i="12"/>
  <c r="CQ267" i="12"/>
  <c r="CR267" i="12"/>
  <c r="CS267" i="12"/>
  <c r="CT267" i="12"/>
  <c r="CU267" i="12"/>
  <c r="CV267" i="12"/>
  <c r="CW267" i="12"/>
  <c r="CX267" i="12"/>
  <c r="CY267" i="12"/>
  <c r="CZ267" i="12"/>
  <c r="DA267" i="12"/>
  <c r="DB267" i="12"/>
  <c r="CF268" i="12"/>
  <c r="CG268" i="12"/>
  <c r="CH268" i="12"/>
  <c r="CI268" i="12"/>
  <c r="CJ268" i="12"/>
  <c r="CK268" i="12"/>
  <c r="CL268" i="12"/>
  <c r="CM268" i="12"/>
  <c r="CN268" i="12"/>
  <c r="CO268" i="12"/>
  <c r="CP268" i="12"/>
  <c r="CQ268" i="12"/>
  <c r="CR268" i="12"/>
  <c r="CS268" i="12"/>
  <c r="CT268" i="12"/>
  <c r="CU268" i="12"/>
  <c r="CV268" i="12"/>
  <c r="CW268" i="12"/>
  <c r="CX268" i="12"/>
  <c r="CY268" i="12"/>
  <c r="CZ268" i="12"/>
  <c r="DA268" i="12"/>
  <c r="DB268" i="12"/>
  <c r="CG269" i="12"/>
  <c r="CH269" i="12"/>
  <c r="CI269" i="12"/>
  <c r="CJ269" i="12"/>
  <c r="CK269" i="12"/>
  <c r="CL269" i="12"/>
  <c r="CM269" i="12"/>
  <c r="CN269" i="12"/>
  <c r="CO269" i="12"/>
  <c r="CP269" i="12"/>
  <c r="CQ269" i="12"/>
  <c r="CR269" i="12"/>
  <c r="CS269" i="12"/>
  <c r="CT269" i="12"/>
  <c r="CU269" i="12"/>
  <c r="CV269" i="12"/>
  <c r="CW269" i="12"/>
  <c r="CX269" i="12"/>
  <c r="CY269" i="12"/>
  <c r="CZ269" i="12"/>
  <c r="DA269" i="12"/>
  <c r="DB269" i="12"/>
  <c r="CG270" i="12"/>
  <c r="CH270" i="12"/>
  <c r="CI270" i="12"/>
  <c r="CJ270" i="12"/>
  <c r="CK270" i="12"/>
  <c r="CL270" i="12"/>
  <c r="CM270" i="12"/>
  <c r="CN270" i="12"/>
  <c r="CO270" i="12"/>
  <c r="CP270" i="12"/>
  <c r="CQ270" i="12"/>
  <c r="CR270" i="12"/>
  <c r="CS270" i="12"/>
  <c r="CT270" i="12"/>
  <c r="CU270" i="12"/>
  <c r="CV270" i="12"/>
  <c r="CW270" i="12"/>
  <c r="CX270" i="12"/>
  <c r="CY270" i="12"/>
  <c r="CZ270" i="12"/>
  <c r="DA270" i="12"/>
  <c r="DB270" i="12"/>
  <c r="CG271" i="12"/>
  <c r="CH271" i="12"/>
  <c r="CI271" i="12"/>
  <c r="CJ271" i="12"/>
  <c r="CK271" i="12"/>
  <c r="CL271" i="12"/>
  <c r="CM271" i="12"/>
  <c r="CN271" i="12"/>
  <c r="CO271" i="12"/>
  <c r="CP271" i="12"/>
  <c r="CQ271" i="12"/>
  <c r="CR271" i="12"/>
  <c r="CS271" i="12"/>
  <c r="CT271" i="12"/>
  <c r="CU271" i="12"/>
  <c r="CV271" i="12"/>
  <c r="CW271" i="12"/>
  <c r="CX271" i="12"/>
  <c r="CY271" i="12"/>
  <c r="CZ271" i="12"/>
  <c r="DA271" i="12"/>
  <c r="DB271" i="12"/>
  <c r="CF272" i="12"/>
  <c r="CG272" i="12"/>
  <c r="CH272" i="12"/>
  <c r="CI272" i="12"/>
  <c r="CJ272" i="12"/>
  <c r="CK272" i="12"/>
  <c r="CL272" i="12"/>
  <c r="CM272" i="12"/>
  <c r="CN272" i="12"/>
  <c r="CO272" i="12"/>
  <c r="CP272" i="12"/>
  <c r="CQ272" i="12"/>
  <c r="CR272" i="12"/>
  <c r="CS272" i="12"/>
  <c r="CT272" i="12"/>
  <c r="CU272" i="12"/>
  <c r="CV272" i="12"/>
  <c r="CW272" i="12"/>
  <c r="CX272" i="12"/>
  <c r="CY272" i="12"/>
  <c r="CZ272" i="12"/>
  <c r="DA272" i="12"/>
  <c r="DB272" i="12"/>
  <c r="CG273" i="12"/>
  <c r="CH273" i="12"/>
  <c r="CI273" i="12"/>
  <c r="CJ273" i="12"/>
  <c r="CK273" i="12"/>
  <c r="CL273" i="12"/>
  <c r="CM273" i="12"/>
  <c r="CN273" i="12"/>
  <c r="CO273" i="12"/>
  <c r="CP273" i="12"/>
  <c r="CQ273" i="12"/>
  <c r="CR273" i="12"/>
  <c r="CS273" i="12"/>
  <c r="CT273" i="12"/>
  <c r="CU273" i="12"/>
  <c r="CV273" i="12"/>
  <c r="CW273" i="12"/>
  <c r="CX273" i="12"/>
  <c r="CY273" i="12"/>
  <c r="CZ273" i="12"/>
  <c r="DA273" i="12"/>
  <c r="DB273" i="12"/>
  <c r="CG274" i="12"/>
  <c r="CH274" i="12"/>
  <c r="CI274" i="12"/>
  <c r="CJ274" i="12"/>
  <c r="CK274" i="12"/>
  <c r="CL274" i="12"/>
  <c r="CM274" i="12"/>
  <c r="CN274" i="12"/>
  <c r="CO274" i="12"/>
  <c r="CP274" i="12"/>
  <c r="CQ274" i="12"/>
  <c r="CR274" i="12"/>
  <c r="CS274" i="12"/>
  <c r="CT274" i="12"/>
  <c r="CU274" i="12"/>
  <c r="CV274" i="12"/>
  <c r="CW274" i="12"/>
  <c r="CX274" i="12"/>
  <c r="CY274" i="12"/>
  <c r="CZ274" i="12"/>
  <c r="DA274" i="12"/>
  <c r="DB274" i="12"/>
  <c r="CG275" i="12"/>
  <c r="CH275" i="12"/>
  <c r="CI275" i="12"/>
  <c r="CJ275" i="12"/>
  <c r="CK275" i="12"/>
  <c r="CL275" i="12"/>
  <c r="CM275" i="12"/>
  <c r="CN275" i="12"/>
  <c r="CO275" i="12"/>
  <c r="CP275" i="12"/>
  <c r="CQ275" i="12"/>
  <c r="CR275" i="12"/>
  <c r="CS275" i="12"/>
  <c r="CT275" i="12"/>
  <c r="CU275" i="12"/>
  <c r="CV275" i="12"/>
  <c r="CW275" i="12"/>
  <c r="CX275" i="12"/>
  <c r="CY275" i="12"/>
  <c r="CZ275" i="12"/>
  <c r="DA275" i="12"/>
  <c r="DB275" i="12"/>
  <c r="CF276" i="12"/>
  <c r="CG276" i="12"/>
  <c r="CH276" i="12"/>
  <c r="CI276" i="12"/>
  <c r="CJ276" i="12"/>
  <c r="CK276" i="12"/>
  <c r="CL276" i="12"/>
  <c r="CM276" i="12"/>
  <c r="CN276" i="12"/>
  <c r="CO276" i="12"/>
  <c r="CP276" i="12"/>
  <c r="CQ276" i="12"/>
  <c r="CR276" i="12"/>
  <c r="CS276" i="12"/>
  <c r="CT276" i="12"/>
  <c r="CU276" i="12"/>
  <c r="CV276" i="12"/>
  <c r="CW276" i="12"/>
  <c r="CX276" i="12"/>
  <c r="CY276" i="12"/>
  <c r="CZ276" i="12"/>
  <c r="DA276" i="12"/>
  <c r="DB276" i="12"/>
  <c r="CG277" i="12"/>
  <c r="CH277" i="12"/>
  <c r="CI277" i="12"/>
  <c r="CJ277" i="12"/>
  <c r="CK277" i="12"/>
  <c r="CL277" i="12"/>
  <c r="CM277" i="12"/>
  <c r="CN277" i="12"/>
  <c r="CO277" i="12"/>
  <c r="CP277" i="12"/>
  <c r="CQ277" i="12"/>
  <c r="CR277" i="12"/>
  <c r="CS277" i="12"/>
  <c r="CT277" i="12"/>
  <c r="CU277" i="12"/>
  <c r="CV277" i="12"/>
  <c r="CW277" i="12"/>
  <c r="CX277" i="12"/>
  <c r="CY277" i="12"/>
  <c r="CZ277" i="12"/>
  <c r="DA277" i="12"/>
  <c r="DB277" i="12"/>
  <c r="CG278" i="12"/>
  <c r="CH278" i="12"/>
  <c r="CI278" i="12"/>
  <c r="CJ278" i="12"/>
  <c r="CK278" i="12"/>
  <c r="CL278" i="12"/>
  <c r="CM278" i="12"/>
  <c r="CN278" i="12"/>
  <c r="CO278" i="12"/>
  <c r="CP278" i="12"/>
  <c r="CQ278" i="12"/>
  <c r="CR278" i="12"/>
  <c r="CS278" i="12"/>
  <c r="CT278" i="12"/>
  <c r="CU278" i="12"/>
  <c r="CV278" i="12"/>
  <c r="CW278" i="12"/>
  <c r="CX278" i="12"/>
  <c r="CY278" i="12"/>
  <c r="CZ278" i="12"/>
  <c r="DA278" i="12"/>
  <c r="DB278" i="12"/>
  <c r="CG279" i="12"/>
  <c r="CH279" i="12"/>
  <c r="CI279" i="12"/>
  <c r="CJ279" i="12"/>
  <c r="CK279" i="12"/>
  <c r="CL279" i="12"/>
  <c r="CM279" i="12"/>
  <c r="CN279" i="12"/>
  <c r="CO279" i="12"/>
  <c r="CP279" i="12"/>
  <c r="CQ279" i="12"/>
  <c r="CR279" i="12"/>
  <c r="CS279" i="12"/>
  <c r="CT279" i="12"/>
  <c r="CU279" i="12"/>
  <c r="CV279" i="12"/>
  <c r="CW279" i="12"/>
  <c r="CX279" i="12"/>
  <c r="CY279" i="12"/>
  <c r="CZ279" i="12"/>
  <c r="DA279" i="12"/>
  <c r="DB279" i="12"/>
  <c r="CF280" i="12"/>
  <c r="CG280" i="12"/>
  <c r="CH280" i="12"/>
  <c r="CI280" i="12"/>
  <c r="CJ280" i="12"/>
  <c r="CK280" i="12"/>
  <c r="CL280" i="12"/>
  <c r="CM280" i="12"/>
  <c r="CN280" i="12"/>
  <c r="CO280" i="12"/>
  <c r="CP280" i="12"/>
  <c r="CQ280" i="12"/>
  <c r="CR280" i="12"/>
  <c r="CS280" i="12"/>
  <c r="CT280" i="12"/>
  <c r="CU280" i="12"/>
  <c r="CV280" i="12"/>
  <c r="CW280" i="12"/>
  <c r="CX280" i="12"/>
  <c r="CY280" i="12"/>
  <c r="CZ280" i="12"/>
  <c r="DA280" i="12"/>
  <c r="DB280" i="12"/>
  <c r="CG281" i="12"/>
  <c r="CH281" i="12"/>
  <c r="CI281" i="12"/>
  <c r="CJ281" i="12"/>
  <c r="CK281" i="12"/>
  <c r="CL281" i="12"/>
  <c r="CM281" i="12"/>
  <c r="CN281" i="12"/>
  <c r="CO281" i="12"/>
  <c r="CP281" i="12"/>
  <c r="CQ281" i="12"/>
  <c r="CR281" i="12"/>
  <c r="CS281" i="12"/>
  <c r="CT281" i="12"/>
  <c r="CU281" i="12"/>
  <c r="CV281" i="12"/>
  <c r="CW281" i="12"/>
  <c r="CX281" i="12"/>
  <c r="CY281" i="12"/>
  <c r="CZ281" i="12"/>
  <c r="DA281" i="12"/>
  <c r="DB281" i="12"/>
  <c r="CG282" i="12"/>
  <c r="CH282" i="12"/>
  <c r="CI282" i="12"/>
  <c r="CJ282" i="12"/>
  <c r="CK282" i="12"/>
  <c r="CL282" i="12"/>
  <c r="CM282" i="12"/>
  <c r="CN282" i="12"/>
  <c r="CO282" i="12"/>
  <c r="CP282" i="12"/>
  <c r="CQ282" i="12"/>
  <c r="CR282" i="12"/>
  <c r="CS282" i="12"/>
  <c r="CT282" i="12"/>
  <c r="CU282" i="12"/>
  <c r="CV282" i="12"/>
  <c r="CW282" i="12"/>
  <c r="CX282" i="12"/>
  <c r="CY282" i="12"/>
  <c r="CZ282" i="12"/>
  <c r="DA282" i="12"/>
  <c r="DB282" i="12"/>
  <c r="CG283" i="12"/>
  <c r="CH283" i="12"/>
  <c r="CI283" i="12"/>
  <c r="CJ283" i="12"/>
  <c r="CK283" i="12"/>
  <c r="CL283" i="12"/>
  <c r="CM283" i="12"/>
  <c r="CN283" i="12"/>
  <c r="CO283" i="12"/>
  <c r="CP283" i="12"/>
  <c r="CQ283" i="12"/>
  <c r="CR283" i="12"/>
  <c r="CS283" i="12"/>
  <c r="CT283" i="12"/>
  <c r="CU283" i="12"/>
  <c r="CV283" i="12"/>
  <c r="CW283" i="12"/>
  <c r="CX283" i="12"/>
  <c r="CY283" i="12"/>
  <c r="CZ283" i="12"/>
  <c r="DA283" i="12"/>
  <c r="DB283" i="12"/>
  <c r="CF284" i="12"/>
  <c r="CG284" i="12"/>
  <c r="CH284" i="12"/>
  <c r="CI284" i="12"/>
  <c r="CJ284" i="12"/>
  <c r="CK284" i="12"/>
  <c r="CL284" i="12"/>
  <c r="CM284" i="12"/>
  <c r="CN284" i="12"/>
  <c r="CO284" i="12"/>
  <c r="CP284" i="12"/>
  <c r="CQ284" i="12"/>
  <c r="CR284" i="12"/>
  <c r="CS284" i="12"/>
  <c r="CT284" i="12"/>
  <c r="CU284" i="12"/>
  <c r="CV284" i="12"/>
  <c r="CW284" i="12"/>
  <c r="CX284" i="12"/>
  <c r="CY284" i="12"/>
  <c r="CZ284" i="12"/>
  <c r="DA284" i="12"/>
  <c r="DB284" i="12"/>
  <c r="CG285" i="12"/>
  <c r="CH285" i="12"/>
  <c r="CI285" i="12"/>
  <c r="CJ285" i="12"/>
  <c r="CK285" i="12"/>
  <c r="CL285" i="12"/>
  <c r="CM285" i="12"/>
  <c r="CN285" i="12"/>
  <c r="CO285" i="12"/>
  <c r="CP285" i="12"/>
  <c r="CQ285" i="12"/>
  <c r="CR285" i="12"/>
  <c r="CS285" i="12"/>
  <c r="CT285" i="12"/>
  <c r="CU285" i="12"/>
  <c r="CV285" i="12"/>
  <c r="CW285" i="12"/>
  <c r="CX285" i="12"/>
  <c r="CY285" i="12"/>
  <c r="CZ285" i="12"/>
  <c r="DA285" i="12"/>
  <c r="DB285" i="12"/>
  <c r="CG286" i="12"/>
  <c r="CH286" i="12"/>
  <c r="CI286" i="12"/>
  <c r="CJ286" i="12"/>
  <c r="CK286" i="12"/>
  <c r="CL286" i="12"/>
  <c r="CM286" i="12"/>
  <c r="CN286" i="12"/>
  <c r="CO286" i="12"/>
  <c r="CP286" i="12"/>
  <c r="CQ286" i="12"/>
  <c r="CR286" i="12"/>
  <c r="CS286" i="12"/>
  <c r="CT286" i="12"/>
  <c r="CU286" i="12"/>
  <c r="CV286" i="12"/>
  <c r="CW286" i="12"/>
  <c r="CX286" i="12"/>
  <c r="CY286" i="12"/>
  <c r="CZ286" i="12"/>
  <c r="DA286" i="12"/>
  <c r="DB286" i="12"/>
  <c r="CG287" i="12"/>
  <c r="CH287" i="12"/>
  <c r="CI287" i="12"/>
  <c r="CJ287" i="12"/>
  <c r="CK287" i="12"/>
  <c r="CL287" i="12"/>
  <c r="CM287" i="12"/>
  <c r="CN287" i="12"/>
  <c r="CO287" i="12"/>
  <c r="CP287" i="12"/>
  <c r="CQ287" i="12"/>
  <c r="CR287" i="12"/>
  <c r="CS287" i="12"/>
  <c r="CT287" i="12"/>
  <c r="CU287" i="12"/>
  <c r="CV287" i="12"/>
  <c r="CW287" i="12"/>
  <c r="CX287" i="12"/>
  <c r="CY287" i="12"/>
  <c r="CZ287" i="12"/>
  <c r="DA287" i="12"/>
  <c r="DB287" i="12"/>
  <c r="CF288" i="12"/>
  <c r="CG288" i="12"/>
  <c r="CH288" i="12"/>
  <c r="CI288" i="12"/>
  <c r="CJ288" i="12"/>
  <c r="CK288" i="12"/>
  <c r="CL288" i="12"/>
  <c r="CM288" i="12"/>
  <c r="CN288" i="12"/>
  <c r="CO288" i="12"/>
  <c r="CP288" i="12"/>
  <c r="CQ288" i="12"/>
  <c r="CR288" i="12"/>
  <c r="CS288" i="12"/>
  <c r="CT288" i="12"/>
  <c r="CU288" i="12"/>
  <c r="CV288" i="12"/>
  <c r="CW288" i="12"/>
  <c r="CX288" i="12"/>
  <c r="CY288" i="12"/>
  <c r="CZ288" i="12"/>
  <c r="DA288" i="12"/>
  <c r="DB288" i="12"/>
  <c r="CG289" i="12"/>
  <c r="CH289" i="12"/>
  <c r="CI289" i="12"/>
  <c r="CJ289" i="12"/>
  <c r="CK289" i="12"/>
  <c r="CL289" i="12"/>
  <c r="CM289" i="12"/>
  <c r="CN289" i="12"/>
  <c r="CO289" i="12"/>
  <c r="CP289" i="12"/>
  <c r="CQ289" i="12"/>
  <c r="CR289" i="12"/>
  <c r="CS289" i="12"/>
  <c r="CT289" i="12"/>
  <c r="CU289" i="12"/>
  <c r="CV289" i="12"/>
  <c r="CW289" i="12"/>
  <c r="CX289" i="12"/>
  <c r="CY289" i="12"/>
  <c r="CZ289" i="12"/>
  <c r="DA289" i="12"/>
  <c r="DB289" i="12"/>
  <c r="CG290" i="12"/>
  <c r="CH290" i="12"/>
  <c r="CI290" i="12"/>
  <c r="CJ290" i="12"/>
  <c r="CK290" i="12"/>
  <c r="CL290" i="12"/>
  <c r="CM290" i="12"/>
  <c r="CN290" i="12"/>
  <c r="CO290" i="12"/>
  <c r="CP290" i="12"/>
  <c r="CQ290" i="12"/>
  <c r="CR290" i="12"/>
  <c r="CS290" i="12"/>
  <c r="CT290" i="12"/>
  <c r="CU290" i="12"/>
  <c r="CV290" i="12"/>
  <c r="CW290" i="12"/>
  <c r="CX290" i="12"/>
  <c r="CY290" i="12"/>
  <c r="CZ290" i="12"/>
  <c r="DA290" i="12"/>
  <c r="DB290" i="12"/>
  <c r="CG291" i="12"/>
  <c r="CH291" i="12"/>
  <c r="CI291" i="12"/>
  <c r="CJ291" i="12"/>
  <c r="CK291" i="12"/>
  <c r="CL291" i="12"/>
  <c r="CM291" i="12"/>
  <c r="CN291" i="12"/>
  <c r="CO291" i="12"/>
  <c r="CP291" i="12"/>
  <c r="CQ291" i="12"/>
  <c r="CR291" i="12"/>
  <c r="CS291" i="12"/>
  <c r="CT291" i="12"/>
  <c r="CU291" i="12"/>
  <c r="CV291" i="12"/>
  <c r="CW291" i="12"/>
  <c r="CX291" i="12"/>
  <c r="CY291" i="12"/>
  <c r="CZ291" i="12"/>
  <c r="DA291" i="12"/>
  <c r="DB291" i="12"/>
  <c r="CF292" i="12"/>
  <c r="CG292" i="12"/>
  <c r="CH292" i="12"/>
  <c r="CI292" i="12"/>
  <c r="CJ292" i="12"/>
  <c r="CK292" i="12"/>
  <c r="CL292" i="12"/>
  <c r="CM292" i="12"/>
  <c r="CN292" i="12"/>
  <c r="CO292" i="12"/>
  <c r="CP292" i="12"/>
  <c r="CQ292" i="12"/>
  <c r="CR292" i="12"/>
  <c r="CS292" i="12"/>
  <c r="CT292" i="12"/>
  <c r="CU292" i="12"/>
  <c r="CV292" i="12"/>
  <c r="CW292" i="12"/>
  <c r="CX292" i="12"/>
  <c r="CY292" i="12"/>
  <c r="CZ292" i="12"/>
  <c r="DA292" i="12"/>
  <c r="DB292" i="12"/>
  <c r="CG293" i="12"/>
  <c r="CH293" i="12"/>
  <c r="CI293" i="12"/>
  <c r="CJ293" i="12"/>
  <c r="CK293" i="12"/>
  <c r="CL293" i="12"/>
  <c r="CM293" i="12"/>
  <c r="CN293" i="12"/>
  <c r="CO293" i="12"/>
  <c r="CP293" i="12"/>
  <c r="CQ293" i="12"/>
  <c r="CR293" i="12"/>
  <c r="CS293" i="12"/>
  <c r="CT293" i="12"/>
  <c r="CU293" i="12"/>
  <c r="CV293" i="12"/>
  <c r="CW293" i="12"/>
  <c r="CX293" i="12"/>
  <c r="CY293" i="12"/>
  <c r="CZ293" i="12"/>
  <c r="DA293" i="12"/>
  <c r="DB293" i="12"/>
  <c r="CG294" i="12"/>
  <c r="CH294" i="12"/>
  <c r="CI294" i="12"/>
  <c r="CJ294" i="12"/>
  <c r="CK294" i="12"/>
  <c r="CL294" i="12"/>
  <c r="CM294" i="12"/>
  <c r="CN294" i="12"/>
  <c r="CO294" i="12"/>
  <c r="CP294" i="12"/>
  <c r="CQ294" i="12"/>
  <c r="CR294" i="12"/>
  <c r="CS294" i="12"/>
  <c r="CT294" i="12"/>
  <c r="CU294" i="12"/>
  <c r="CV294" i="12"/>
  <c r="CW294" i="12"/>
  <c r="CX294" i="12"/>
  <c r="CY294" i="12"/>
  <c r="CZ294" i="12"/>
  <c r="DA294" i="12"/>
  <c r="DB294" i="12"/>
  <c r="CG295" i="12"/>
  <c r="CH295" i="12"/>
  <c r="CI295" i="12"/>
  <c r="CJ295" i="12"/>
  <c r="CK295" i="12"/>
  <c r="CL295" i="12"/>
  <c r="CM295" i="12"/>
  <c r="CN295" i="12"/>
  <c r="CO295" i="12"/>
  <c r="CP295" i="12"/>
  <c r="CQ295" i="12"/>
  <c r="CR295" i="12"/>
  <c r="CS295" i="12"/>
  <c r="CT295" i="12"/>
  <c r="CU295" i="12"/>
  <c r="CV295" i="12"/>
  <c r="CW295" i="12"/>
  <c r="CX295" i="12"/>
  <c r="CY295" i="12"/>
  <c r="CZ295" i="12"/>
  <c r="DA295" i="12"/>
  <c r="DB295" i="12"/>
  <c r="CF296" i="12"/>
  <c r="CG296" i="12"/>
  <c r="CH296" i="12"/>
  <c r="CI296" i="12"/>
  <c r="CJ296" i="12"/>
  <c r="CK296" i="12"/>
  <c r="CL296" i="12"/>
  <c r="CM296" i="12"/>
  <c r="CN296" i="12"/>
  <c r="CO296" i="12"/>
  <c r="CP296" i="12"/>
  <c r="CQ296" i="12"/>
  <c r="CR296" i="12"/>
  <c r="CS296" i="12"/>
  <c r="CT296" i="12"/>
  <c r="CU296" i="12"/>
  <c r="CV296" i="12"/>
  <c r="CW296" i="12"/>
  <c r="CX296" i="12"/>
  <c r="CY296" i="12"/>
  <c r="CZ296" i="12"/>
  <c r="DA296" i="12"/>
  <c r="DB296" i="12"/>
  <c r="CG297" i="12"/>
  <c r="CH297" i="12"/>
  <c r="CI297" i="12"/>
  <c r="CJ297" i="12"/>
  <c r="CK297" i="12"/>
  <c r="CL297" i="12"/>
  <c r="CM297" i="12"/>
  <c r="CN297" i="12"/>
  <c r="CO297" i="12"/>
  <c r="CP297" i="12"/>
  <c r="CQ297" i="12"/>
  <c r="CR297" i="12"/>
  <c r="CS297" i="12"/>
  <c r="CT297" i="12"/>
  <c r="CU297" i="12"/>
  <c r="CV297" i="12"/>
  <c r="CW297" i="12"/>
  <c r="CX297" i="12"/>
  <c r="CY297" i="12"/>
  <c r="CZ297" i="12"/>
  <c r="DA297" i="12"/>
  <c r="DB297" i="12"/>
  <c r="CG298" i="12"/>
  <c r="CH298" i="12"/>
  <c r="CI298" i="12"/>
  <c r="CJ298" i="12"/>
  <c r="CK298" i="12"/>
  <c r="CL298" i="12"/>
  <c r="CM298" i="12"/>
  <c r="CN298" i="12"/>
  <c r="CO298" i="12"/>
  <c r="CP298" i="12"/>
  <c r="CQ298" i="12"/>
  <c r="CR298" i="12"/>
  <c r="CS298" i="12"/>
  <c r="CT298" i="12"/>
  <c r="CU298" i="12"/>
  <c r="CV298" i="12"/>
  <c r="CW298" i="12"/>
  <c r="CX298" i="12"/>
  <c r="CY298" i="12"/>
  <c r="CZ298" i="12"/>
  <c r="DA298" i="12"/>
  <c r="DB298" i="12"/>
  <c r="CG299" i="12"/>
  <c r="CH299" i="12"/>
  <c r="CI299" i="12"/>
  <c r="CJ299" i="12"/>
  <c r="CK299" i="12"/>
  <c r="CL299" i="12"/>
  <c r="CM299" i="12"/>
  <c r="CN299" i="12"/>
  <c r="CO299" i="12"/>
  <c r="CP299" i="12"/>
  <c r="CQ299" i="12"/>
  <c r="CR299" i="12"/>
  <c r="CS299" i="12"/>
  <c r="CT299" i="12"/>
  <c r="CU299" i="12"/>
  <c r="CV299" i="12"/>
  <c r="CW299" i="12"/>
  <c r="CX299" i="12"/>
  <c r="CY299" i="12"/>
  <c r="CZ299" i="12"/>
  <c r="DA299" i="12"/>
  <c r="DB299" i="12"/>
  <c r="CF300" i="12"/>
  <c r="CG300" i="12"/>
  <c r="CH300" i="12"/>
  <c r="CI300" i="12"/>
  <c r="CJ300" i="12"/>
  <c r="CK300" i="12"/>
  <c r="CL300" i="12"/>
  <c r="CM300" i="12"/>
  <c r="CN300" i="12"/>
  <c r="CO300" i="12"/>
  <c r="CP300" i="12"/>
  <c r="CQ300" i="12"/>
  <c r="CR300" i="12"/>
  <c r="CS300" i="12"/>
  <c r="CT300" i="12"/>
  <c r="CU300" i="12"/>
  <c r="CV300" i="12"/>
  <c r="CW300" i="12"/>
  <c r="CX300" i="12"/>
  <c r="CY300" i="12"/>
  <c r="CZ300" i="12"/>
  <c r="DA300" i="12"/>
  <c r="DB300" i="12"/>
  <c r="CG301" i="12"/>
  <c r="CH301" i="12"/>
  <c r="CI301" i="12"/>
  <c r="CJ301" i="12"/>
  <c r="CK301" i="12"/>
  <c r="CL301" i="12"/>
  <c r="CM301" i="12"/>
  <c r="CN301" i="12"/>
  <c r="CO301" i="12"/>
  <c r="CP301" i="12"/>
  <c r="CQ301" i="12"/>
  <c r="CR301" i="12"/>
  <c r="CS301" i="12"/>
  <c r="CT301" i="12"/>
  <c r="CU301" i="12"/>
  <c r="CV301" i="12"/>
  <c r="CW301" i="12"/>
  <c r="CX301" i="12"/>
  <c r="CY301" i="12"/>
  <c r="CZ301" i="12"/>
  <c r="DA301" i="12"/>
  <c r="DB301" i="12"/>
  <c r="CG302" i="12"/>
  <c r="CH302" i="12"/>
  <c r="CI302" i="12"/>
  <c r="CJ302" i="12"/>
  <c r="CK302" i="12"/>
  <c r="CL302" i="12"/>
  <c r="CM302" i="12"/>
  <c r="CN302" i="12"/>
  <c r="CO302" i="12"/>
  <c r="CP302" i="12"/>
  <c r="CQ302" i="12"/>
  <c r="CR302" i="12"/>
  <c r="CS302" i="12"/>
  <c r="CT302" i="12"/>
  <c r="CU302" i="12"/>
  <c r="CV302" i="12"/>
  <c r="CW302" i="12"/>
  <c r="CX302" i="12"/>
  <c r="CY302" i="12"/>
  <c r="CZ302" i="12"/>
  <c r="DA302" i="12"/>
  <c r="DB302" i="12"/>
  <c r="CG303" i="12"/>
  <c r="CH303" i="12"/>
  <c r="CI303" i="12"/>
  <c r="CJ303" i="12"/>
  <c r="CK303" i="12"/>
  <c r="CL303" i="12"/>
  <c r="CM303" i="12"/>
  <c r="CN303" i="12"/>
  <c r="CO303" i="12"/>
  <c r="CP303" i="12"/>
  <c r="CQ303" i="12"/>
  <c r="CR303" i="12"/>
  <c r="CS303" i="12"/>
  <c r="CT303" i="12"/>
  <c r="CU303" i="12"/>
  <c r="CV303" i="12"/>
  <c r="CW303" i="12"/>
  <c r="CX303" i="12"/>
  <c r="CY303" i="12"/>
  <c r="CZ303" i="12"/>
  <c r="DA303" i="12"/>
  <c r="DB303" i="12"/>
  <c r="CF304" i="12"/>
  <c r="CG304" i="12"/>
  <c r="CH304" i="12"/>
  <c r="CI304" i="12"/>
  <c r="CJ304" i="12"/>
  <c r="CK304" i="12"/>
  <c r="CL304" i="12"/>
  <c r="CM304" i="12"/>
  <c r="CN304" i="12"/>
  <c r="CO304" i="12"/>
  <c r="CP304" i="12"/>
  <c r="CQ304" i="12"/>
  <c r="CR304" i="12"/>
  <c r="CS304" i="12"/>
  <c r="CT304" i="12"/>
  <c r="CU304" i="12"/>
  <c r="CV304" i="12"/>
  <c r="CW304" i="12"/>
  <c r="CX304" i="12"/>
  <c r="CY304" i="12"/>
  <c r="CZ304" i="12"/>
  <c r="DA304" i="12"/>
  <c r="DB304" i="12"/>
  <c r="CG305" i="12"/>
  <c r="CH305" i="12"/>
  <c r="CI305" i="12"/>
  <c r="CJ305" i="12"/>
  <c r="CK305" i="12"/>
  <c r="CL305" i="12"/>
  <c r="CM305" i="12"/>
  <c r="CN305" i="12"/>
  <c r="CO305" i="12"/>
  <c r="CP305" i="12"/>
  <c r="CQ305" i="12"/>
  <c r="CR305" i="12"/>
  <c r="CS305" i="12"/>
  <c r="CT305" i="12"/>
  <c r="CU305" i="12"/>
  <c r="CV305" i="12"/>
  <c r="CW305" i="12"/>
  <c r="CX305" i="12"/>
  <c r="CY305" i="12"/>
  <c r="CZ305" i="12"/>
  <c r="DA305" i="12"/>
  <c r="DB305" i="12"/>
  <c r="CG306" i="12"/>
  <c r="CH306" i="12"/>
  <c r="CI306" i="12"/>
  <c r="CJ306" i="12"/>
  <c r="CK306" i="12"/>
  <c r="CL306" i="12"/>
  <c r="CM306" i="12"/>
  <c r="CN306" i="12"/>
  <c r="CO306" i="12"/>
  <c r="CP306" i="12"/>
  <c r="CQ306" i="12"/>
  <c r="CR306" i="12"/>
  <c r="CS306" i="12"/>
  <c r="CT306" i="12"/>
  <c r="CU306" i="12"/>
  <c r="CV306" i="12"/>
  <c r="CW306" i="12"/>
  <c r="CX306" i="12"/>
  <c r="CY306" i="12"/>
  <c r="CZ306" i="12"/>
  <c r="DA306" i="12"/>
  <c r="DB306" i="12"/>
  <c r="CG307" i="12"/>
  <c r="CH307" i="12"/>
  <c r="CI307" i="12"/>
  <c r="CJ307" i="12"/>
  <c r="CK307" i="12"/>
  <c r="CL307" i="12"/>
  <c r="CM307" i="12"/>
  <c r="CN307" i="12"/>
  <c r="CO307" i="12"/>
  <c r="CP307" i="12"/>
  <c r="CQ307" i="12"/>
  <c r="CR307" i="12"/>
  <c r="CS307" i="12"/>
  <c r="CT307" i="12"/>
  <c r="CU307" i="12"/>
  <c r="CV307" i="12"/>
  <c r="CW307" i="12"/>
  <c r="CX307" i="12"/>
  <c r="CY307" i="12"/>
  <c r="CZ307" i="12"/>
  <c r="DA307" i="12"/>
  <c r="DB307" i="12"/>
  <c r="CF308" i="12"/>
  <c r="CG308" i="12"/>
  <c r="CH308" i="12"/>
  <c r="CI308" i="12"/>
  <c r="CJ308" i="12"/>
  <c r="CK308" i="12"/>
  <c r="CL308" i="12"/>
  <c r="CM308" i="12"/>
  <c r="CN308" i="12"/>
  <c r="CO308" i="12"/>
  <c r="CP308" i="12"/>
  <c r="CQ308" i="12"/>
  <c r="CR308" i="12"/>
  <c r="CS308" i="12"/>
  <c r="CT308" i="12"/>
  <c r="CU308" i="12"/>
  <c r="CV308" i="12"/>
  <c r="CW308" i="12"/>
  <c r="CX308" i="12"/>
  <c r="CY308" i="12"/>
  <c r="CZ308" i="12"/>
  <c r="DA308" i="12"/>
  <c r="DB308" i="12"/>
  <c r="CG309" i="12"/>
  <c r="CH309" i="12"/>
  <c r="CI309" i="12"/>
  <c r="CJ309" i="12"/>
  <c r="CK309" i="12"/>
  <c r="CL309" i="12"/>
  <c r="CM309" i="12"/>
  <c r="CN309" i="12"/>
  <c r="CO309" i="12"/>
  <c r="CP309" i="12"/>
  <c r="CQ309" i="12"/>
  <c r="CR309" i="12"/>
  <c r="CS309" i="12"/>
  <c r="CT309" i="12"/>
  <c r="CU309" i="12"/>
  <c r="CV309" i="12"/>
  <c r="CW309" i="12"/>
  <c r="CX309" i="12"/>
  <c r="CY309" i="12"/>
  <c r="CZ309" i="12"/>
  <c r="DA309" i="12"/>
  <c r="DB309" i="12"/>
  <c r="CG310" i="12"/>
  <c r="CH310" i="12"/>
  <c r="CI310" i="12"/>
  <c r="CJ310" i="12"/>
  <c r="CK310" i="12"/>
  <c r="CL310" i="12"/>
  <c r="CM310" i="12"/>
  <c r="CN310" i="12"/>
  <c r="CO310" i="12"/>
  <c r="CP310" i="12"/>
  <c r="CQ310" i="12"/>
  <c r="CR310" i="12"/>
  <c r="CS310" i="12"/>
  <c r="CT310" i="12"/>
  <c r="CU310" i="12"/>
  <c r="CV310" i="12"/>
  <c r="CW310" i="12"/>
  <c r="CX310" i="12"/>
  <c r="CY310" i="12"/>
  <c r="CZ310" i="12"/>
  <c r="DA310" i="12"/>
  <c r="DB310" i="12"/>
  <c r="CG311" i="12"/>
  <c r="CH311" i="12"/>
  <c r="CI311" i="12"/>
  <c r="CJ311" i="12"/>
  <c r="CK311" i="12"/>
  <c r="CL311" i="12"/>
  <c r="CM311" i="12"/>
  <c r="CN311" i="12"/>
  <c r="CO311" i="12"/>
  <c r="CP311" i="12"/>
  <c r="CQ311" i="12"/>
  <c r="CR311" i="12"/>
  <c r="CS311" i="12"/>
  <c r="CT311" i="12"/>
  <c r="CU311" i="12"/>
  <c r="CV311" i="12"/>
  <c r="CW311" i="12"/>
  <c r="CX311" i="12"/>
  <c r="CY311" i="12"/>
  <c r="CZ311" i="12"/>
  <c r="DA311" i="12"/>
  <c r="DB311" i="12"/>
  <c r="CF312" i="12"/>
  <c r="CG312" i="12"/>
  <c r="CH312" i="12"/>
  <c r="CI312" i="12"/>
  <c r="CJ312" i="12"/>
  <c r="CK312" i="12"/>
  <c r="CL312" i="12"/>
  <c r="CM312" i="12"/>
  <c r="CN312" i="12"/>
  <c r="CO312" i="12"/>
  <c r="CP312" i="12"/>
  <c r="CQ312" i="12"/>
  <c r="CR312" i="12"/>
  <c r="CS312" i="12"/>
  <c r="CT312" i="12"/>
  <c r="CU312" i="12"/>
  <c r="CV312" i="12"/>
  <c r="CW312" i="12"/>
  <c r="CX312" i="12"/>
  <c r="CY312" i="12"/>
  <c r="CZ312" i="12"/>
  <c r="DA312" i="12"/>
  <c r="DB312" i="12"/>
  <c r="CG313" i="12"/>
  <c r="CH313" i="12"/>
  <c r="CI313" i="12"/>
  <c r="CJ313" i="12"/>
  <c r="CK313" i="12"/>
  <c r="CL313" i="12"/>
  <c r="CM313" i="12"/>
  <c r="CN313" i="12"/>
  <c r="CO313" i="12"/>
  <c r="CP313" i="12"/>
  <c r="CQ313" i="12"/>
  <c r="CR313" i="12"/>
  <c r="CS313" i="12"/>
  <c r="CT313" i="12"/>
  <c r="CU313" i="12"/>
  <c r="CV313" i="12"/>
  <c r="CW313" i="12"/>
  <c r="CX313" i="12"/>
  <c r="CY313" i="12"/>
  <c r="CZ313" i="12"/>
  <c r="DA313" i="12"/>
  <c r="DB313" i="12"/>
  <c r="CG314" i="12"/>
  <c r="CH314" i="12"/>
  <c r="CI314" i="12"/>
  <c r="CJ314" i="12"/>
  <c r="CK314" i="12"/>
  <c r="CL314" i="12"/>
  <c r="CM314" i="12"/>
  <c r="CN314" i="12"/>
  <c r="CO314" i="12"/>
  <c r="CP314" i="12"/>
  <c r="CQ314" i="12"/>
  <c r="CR314" i="12"/>
  <c r="CS314" i="12"/>
  <c r="CT314" i="12"/>
  <c r="CU314" i="12"/>
  <c r="CV314" i="12"/>
  <c r="CW314" i="12"/>
  <c r="CX314" i="12"/>
  <c r="CY314" i="12"/>
  <c r="CZ314" i="12"/>
  <c r="DA314" i="12"/>
  <c r="DB314" i="12"/>
  <c r="CG315" i="12"/>
  <c r="CH315" i="12"/>
  <c r="CI315" i="12"/>
  <c r="CJ315" i="12"/>
  <c r="CK315" i="12"/>
  <c r="CL315" i="12"/>
  <c r="CM315" i="12"/>
  <c r="CN315" i="12"/>
  <c r="CO315" i="12"/>
  <c r="CP315" i="12"/>
  <c r="CQ315" i="12"/>
  <c r="CR315" i="12"/>
  <c r="CS315" i="12"/>
  <c r="CT315" i="12"/>
  <c r="CU315" i="12"/>
  <c r="CV315" i="12"/>
  <c r="CW315" i="12"/>
  <c r="CX315" i="12"/>
  <c r="CY315" i="12"/>
  <c r="CZ315" i="12"/>
  <c r="DA315" i="12"/>
  <c r="DB315" i="12"/>
  <c r="CF316" i="12"/>
  <c r="CG316" i="12"/>
  <c r="CH316" i="12"/>
  <c r="CI316" i="12"/>
  <c r="CJ316" i="12"/>
  <c r="CK316" i="12"/>
  <c r="CL316" i="12"/>
  <c r="CM316" i="12"/>
  <c r="CN316" i="12"/>
  <c r="CO316" i="12"/>
  <c r="CP316" i="12"/>
  <c r="CQ316" i="12"/>
  <c r="CR316" i="12"/>
  <c r="CS316" i="12"/>
  <c r="CT316" i="12"/>
  <c r="CU316" i="12"/>
  <c r="CV316" i="12"/>
  <c r="CW316" i="12"/>
  <c r="CX316" i="12"/>
  <c r="CY316" i="12"/>
  <c r="CZ316" i="12"/>
  <c r="DA316" i="12"/>
  <c r="DB316" i="12"/>
  <c r="CG317" i="12"/>
  <c r="CH317" i="12"/>
  <c r="CI317" i="12"/>
  <c r="CJ317" i="12"/>
  <c r="CK317" i="12"/>
  <c r="CL317" i="12"/>
  <c r="CM317" i="12"/>
  <c r="CN317" i="12"/>
  <c r="CO317" i="12"/>
  <c r="CP317" i="12"/>
  <c r="CQ317" i="12"/>
  <c r="CR317" i="12"/>
  <c r="CS317" i="12"/>
  <c r="CT317" i="12"/>
  <c r="CU317" i="12"/>
  <c r="CV317" i="12"/>
  <c r="CW317" i="12"/>
  <c r="CX317" i="12"/>
  <c r="CY317" i="12"/>
  <c r="CZ317" i="12"/>
  <c r="DA317" i="12"/>
  <c r="DB317" i="12"/>
  <c r="CG318" i="12"/>
  <c r="CH318" i="12"/>
  <c r="CI318" i="12"/>
  <c r="CJ318" i="12"/>
  <c r="CK318" i="12"/>
  <c r="CL318" i="12"/>
  <c r="CM318" i="12"/>
  <c r="CN318" i="12"/>
  <c r="CO318" i="12"/>
  <c r="CP318" i="12"/>
  <c r="CQ318" i="12"/>
  <c r="CR318" i="12"/>
  <c r="CS318" i="12"/>
  <c r="CT318" i="12"/>
  <c r="CU318" i="12"/>
  <c r="CV318" i="12"/>
  <c r="CW318" i="12"/>
  <c r="CX318" i="12"/>
  <c r="CY318" i="12"/>
  <c r="CZ318" i="12"/>
  <c r="DA318" i="12"/>
  <c r="DB318" i="12"/>
  <c r="CG319" i="12"/>
  <c r="CH319" i="12"/>
  <c r="CI319" i="12"/>
  <c r="CJ319" i="12"/>
  <c r="CK319" i="12"/>
  <c r="CL319" i="12"/>
  <c r="CM319" i="12"/>
  <c r="CN319" i="12"/>
  <c r="CO319" i="12"/>
  <c r="CP319" i="12"/>
  <c r="CQ319" i="12"/>
  <c r="CR319" i="12"/>
  <c r="CS319" i="12"/>
  <c r="CT319" i="12"/>
  <c r="CU319" i="12"/>
  <c r="CV319" i="12"/>
  <c r="CW319" i="12"/>
  <c r="CX319" i="12"/>
  <c r="CY319" i="12"/>
  <c r="CZ319" i="12"/>
  <c r="DA319" i="12"/>
  <c r="DB319" i="12"/>
  <c r="CF320" i="12"/>
  <c r="CG320" i="12"/>
  <c r="CH320" i="12"/>
  <c r="CI320" i="12"/>
  <c r="CJ320" i="12"/>
  <c r="CK320" i="12"/>
  <c r="CL320" i="12"/>
  <c r="CM320" i="12"/>
  <c r="CN320" i="12"/>
  <c r="CO320" i="12"/>
  <c r="CP320" i="12"/>
  <c r="CQ320" i="12"/>
  <c r="CR320" i="12"/>
  <c r="CS320" i="12"/>
  <c r="CT320" i="12"/>
  <c r="CU320" i="12"/>
  <c r="CV320" i="12"/>
  <c r="CW320" i="12"/>
  <c r="CX320" i="12"/>
  <c r="CY320" i="12"/>
  <c r="CZ320" i="12"/>
  <c r="DA320" i="12"/>
  <c r="DB320" i="12"/>
  <c r="CG321" i="12"/>
  <c r="CH321" i="12"/>
  <c r="CI321" i="12"/>
  <c r="CJ321" i="12"/>
  <c r="CK321" i="12"/>
  <c r="CL321" i="12"/>
  <c r="CM321" i="12"/>
  <c r="CN321" i="12"/>
  <c r="CO321" i="12"/>
  <c r="CP321" i="12"/>
  <c r="CQ321" i="12"/>
  <c r="CR321" i="12"/>
  <c r="CS321" i="12"/>
  <c r="CT321" i="12"/>
  <c r="CU321" i="12"/>
  <c r="CV321" i="12"/>
  <c r="CW321" i="12"/>
  <c r="CX321" i="12"/>
  <c r="CY321" i="12"/>
  <c r="CZ321" i="12"/>
  <c r="DA321" i="12"/>
  <c r="DB321" i="12"/>
  <c r="CG322" i="12"/>
  <c r="CH322" i="12"/>
  <c r="CI322" i="12"/>
  <c r="CJ322" i="12"/>
  <c r="CK322" i="12"/>
  <c r="CL322" i="12"/>
  <c r="CM322" i="12"/>
  <c r="CN322" i="12"/>
  <c r="CO322" i="12"/>
  <c r="CP322" i="12"/>
  <c r="CQ322" i="12"/>
  <c r="CR322" i="12"/>
  <c r="CS322" i="12"/>
  <c r="CT322" i="12"/>
  <c r="CU322" i="12"/>
  <c r="CV322" i="12"/>
  <c r="CW322" i="12"/>
  <c r="CX322" i="12"/>
  <c r="CY322" i="12"/>
  <c r="CZ322" i="12"/>
  <c r="DA322" i="12"/>
  <c r="DB322" i="12"/>
  <c r="CG323" i="12"/>
  <c r="CH323" i="12"/>
  <c r="CI323" i="12"/>
  <c r="CJ323" i="12"/>
  <c r="CK323" i="12"/>
  <c r="CL323" i="12"/>
  <c r="CM323" i="12"/>
  <c r="CN323" i="12"/>
  <c r="CO323" i="12"/>
  <c r="CP323" i="12"/>
  <c r="CQ323" i="12"/>
  <c r="CR323" i="12"/>
  <c r="CS323" i="12"/>
  <c r="CT323" i="12"/>
  <c r="CU323" i="12"/>
  <c r="CV323" i="12"/>
  <c r="CW323" i="12"/>
  <c r="CX323" i="12"/>
  <c r="CY323" i="12"/>
  <c r="CZ323" i="12"/>
  <c r="DA323" i="12"/>
  <c r="DB323" i="12"/>
  <c r="CF324" i="12"/>
  <c r="CG324" i="12"/>
  <c r="CH324" i="12"/>
  <c r="CI324" i="12"/>
  <c r="CJ324" i="12"/>
  <c r="CK324" i="12"/>
  <c r="CL324" i="12"/>
  <c r="CM324" i="12"/>
  <c r="CN324" i="12"/>
  <c r="CO324" i="12"/>
  <c r="CP324" i="12"/>
  <c r="CQ324" i="12"/>
  <c r="CR324" i="12"/>
  <c r="CS324" i="12"/>
  <c r="CT324" i="12"/>
  <c r="CU324" i="12"/>
  <c r="CV324" i="12"/>
  <c r="CW324" i="12"/>
  <c r="CX324" i="12"/>
  <c r="CY324" i="12"/>
  <c r="CZ324" i="12"/>
  <c r="DA324" i="12"/>
  <c r="DB324" i="12"/>
  <c r="CG325" i="12"/>
  <c r="CH325" i="12"/>
  <c r="CI325" i="12"/>
  <c r="CJ325" i="12"/>
  <c r="CK325" i="12"/>
  <c r="CL325" i="12"/>
  <c r="CM325" i="12"/>
  <c r="CN325" i="12"/>
  <c r="CO325" i="12"/>
  <c r="CP325" i="12"/>
  <c r="CQ325" i="12"/>
  <c r="CR325" i="12"/>
  <c r="CS325" i="12"/>
  <c r="CT325" i="12"/>
  <c r="CU325" i="12"/>
  <c r="CV325" i="12"/>
  <c r="CW325" i="12"/>
  <c r="CX325" i="12"/>
  <c r="CY325" i="12"/>
  <c r="CZ325" i="12"/>
  <c r="DA325" i="12"/>
  <c r="DB325" i="12"/>
  <c r="CG326" i="12"/>
  <c r="CH326" i="12"/>
  <c r="CI326" i="12"/>
  <c r="CJ326" i="12"/>
  <c r="CK326" i="12"/>
  <c r="CL326" i="12"/>
  <c r="CM326" i="12"/>
  <c r="CN326" i="12"/>
  <c r="CO326" i="12"/>
  <c r="CP326" i="12"/>
  <c r="CQ326" i="12"/>
  <c r="CR326" i="12"/>
  <c r="CS326" i="12"/>
  <c r="CT326" i="12"/>
  <c r="CU326" i="12"/>
  <c r="CV326" i="12"/>
  <c r="CW326" i="12"/>
  <c r="CX326" i="12"/>
  <c r="CY326" i="12"/>
  <c r="CZ326" i="12"/>
  <c r="DA326" i="12"/>
  <c r="DB326" i="12"/>
  <c r="CG327" i="12"/>
  <c r="CH327" i="12"/>
  <c r="CI327" i="12"/>
  <c r="CJ327" i="12"/>
  <c r="CK327" i="12"/>
  <c r="CL327" i="12"/>
  <c r="CM327" i="12"/>
  <c r="CN327" i="12"/>
  <c r="CO327" i="12"/>
  <c r="CP327" i="12"/>
  <c r="CQ327" i="12"/>
  <c r="CR327" i="12"/>
  <c r="CS327" i="12"/>
  <c r="CT327" i="12"/>
  <c r="CU327" i="12"/>
  <c r="CV327" i="12"/>
  <c r="CW327" i="12"/>
  <c r="CX327" i="12"/>
  <c r="CY327" i="12"/>
  <c r="CZ327" i="12"/>
  <c r="DA327" i="12"/>
  <c r="DB327" i="12"/>
  <c r="CF328" i="12"/>
  <c r="CG328" i="12"/>
  <c r="CH328" i="12"/>
  <c r="CI328" i="12"/>
  <c r="CJ328" i="12"/>
  <c r="CK328" i="12"/>
  <c r="CL328" i="12"/>
  <c r="CM328" i="12"/>
  <c r="CN328" i="12"/>
  <c r="CO328" i="12"/>
  <c r="CP328" i="12"/>
  <c r="CQ328" i="12"/>
  <c r="CR328" i="12"/>
  <c r="CS328" i="12"/>
  <c r="CT328" i="12"/>
  <c r="CU328" i="12"/>
  <c r="CV328" i="12"/>
  <c r="CW328" i="12"/>
  <c r="CX328" i="12"/>
  <c r="CY328" i="12"/>
  <c r="CZ328" i="12"/>
  <c r="DA328" i="12"/>
  <c r="DB328" i="12"/>
  <c r="CG329" i="12"/>
  <c r="CH329" i="12"/>
  <c r="CI329" i="12"/>
  <c r="CJ329" i="12"/>
  <c r="CK329" i="12"/>
  <c r="CL329" i="12"/>
  <c r="CM329" i="12"/>
  <c r="CN329" i="12"/>
  <c r="CO329" i="12"/>
  <c r="CP329" i="12"/>
  <c r="CQ329" i="12"/>
  <c r="CR329" i="12"/>
  <c r="CS329" i="12"/>
  <c r="CT329" i="12"/>
  <c r="CU329" i="12"/>
  <c r="CV329" i="12"/>
  <c r="CW329" i="12"/>
  <c r="CX329" i="12"/>
  <c r="CY329" i="12"/>
  <c r="CZ329" i="12"/>
  <c r="DA329" i="12"/>
  <c r="DB329" i="12"/>
  <c r="CH39" i="12" l="1"/>
  <c r="CH400" i="12"/>
  <c r="CH396" i="12"/>
  <c r="CH399" i="12"/>
  <c r="CH403" i="12"/>
  <c r="CH405" i="12"/>
  <c r="CH398" i="12"/>
  <c r="CH402" i="12"/>
  <c r="CH406" i="12"/>
  <c r="CH407" i="12"/>
  <c r="CH404" i="12"/>
  <c r="CH397" i="12"/>
  <c r="CH401" i="12"/>
  <c r="Q418" i="13"/>
  <c r="O418" i="13"/>
  <c r="F418" i="18"/>
  <c r="C418" i="18" s="1"/>
  <c r="M418" i="13"/>
  <c r="B418" i="13"/>
  <c r="CE397" i="12"/>
  <c r="CE401" i="12"/>
  <c r="CE404" i="12"/>
  <c r="CE406" i="12"/>
  <c r="CE407" i="12"/>
  <c r="CE400" i="12"/>
  <c r="CE396" i="12"/>
  <c r="CE399" i="12"/>
  <c r="CE403" i="12"/>
  <c r="CE405" i="12"/>
  <c r="CE398" i="12"/>
  <c r="CE402" i="12"/>
  <c r="CH37" i="12"/>
  <c r="CG32" i="12"/>
  <c r="CG396" i="12"/>
  <c r="CG399" i="12"/>
  <c r="CG403" i="12"/>
  <c r="CG405" i="12"/>
  <c r="CG398" i="12"/>
  <c r="CG402" i="12"/>
  <c r="CG397" i="12"/>
  <c r="CG401" i="12"/>
  <c r="CG404" i="12"/>
  <c r="CG406" i="12"/>
  <c r="CG407" i="12"/>
  <c r="CG400" i="12"/>
  <c r="V418" i="13"/>
  <c r="Z418" i="13" s="1"/>
  <c r="J418" i="13"/>
  <c r="G418" i="13"/>
  <c r="F418" i="8"/>
  <c r="F430" i="14"/>
  <c r="W430" i="14" s="1"/>
  <c r="R418" i="13"/>
  <c r="CF398" i="12"/>
  <c r="CF402" i="12"/>
  <c r="CF397" i="12"/>
  <c r="CF401" i="12"/>
  <c r="CF404" i="12"/>
  <c r="CF406" i="12"/>
  <c r="CF407" i="12"/>
  <c r="CF400" i="12"/>
  <c r="CF396" i="12"/>
  <c r="CF399" i="12"/>
  <c r="CF403" i="12"/>
  <c r="CF405" i="12"/>
  <c r="BP439" i="12"/>
  <c r="BP447" i="12"/>
  <c r="BP455" i="12"/>
  <c r="C418" i="13"/>
  <c r="AE418" i="13"/>
  <c r="E418" i="13"/>
  <c r="N418" i="13"/>
  <c r="S429" i="13"/>
  <c r="J463" i="13"/>
  <c r="F486" i="13"/>
  <c r="F437" i="14"/>
  <c r="F412" i="13"/>
  <c r="F437" i="13"/>
  <c r="F475" i="8"/>
  <c r="F500" i="18"/>
  <c r="C500" i="18" s="1"/>
  <c r="K473" i="8"/>
  <c r="G473" i="19"/>
  <c r="V473" i="8"/>
  <c r="G475" i="8"/>
  <c r="D449" i="9" s="1"/>
  <c r="P412" i="8"/>
  <c r="G412" i="19"/>
  <c r="V412" i="8"/>
  <c r="C418" i="8"/>
  <c r="G418" i="19"/>
  <c r="V418" i="8"/>
  <c r="G469" i="8"/>
  <c r="D443" i="9" s="1"/>
  <c r="G469" i="19"/>
  <c r="V469" i="8"/>
  <c r="G496" i="19"/>
  <c r="V496" i="8"/>
  <c r="G430" i="19"/>
  <c r="V430" i="8"/>
  <c r="P465" i="8"/>
  <c r="G465" i="19"/>
  <c r="V465" i="8"/>
  <c r="G482" i="19"/>
  <c r="V482" i="8"/>
  <c r="G425" i="19"/>
  <c r="V425" i="8"/>
  <c r="G408" i="19"/>
  <c r="V408" i="8"/>
  <c r="C471" i="8"/>
  <c r="G471" i="19"/>
  <c r="V471" i="8"/>
  <c r="G459" i="19"/>
  <c r="V459" i="8"/>
  <c r="G424" i="19"/>
  <c r="V424" i="8"/>
  <c r="G435" i="19"/>
  <c r="V435" i="8"/>
  <c r="E477" i="8"/>
  <c r="G477" i="19"/>
  <c r="V477" i="8"/>
  <c r="G437" i="19"/>
  <c r="V437" i="8"/>
  <c r="C498" i="8"/>
  <c r="G498" i="19"/>
  <c r="V498" i="8"/>
  <c r="G500" i="19"/>
  <c r="V500" i="8"/>
  <c r="M429" i="13"/>
  <c r="S463" i="13"/>
  <c r="F408" i="13"/>
  <c r="F433" i="8"/>
  <c r="R433" i="8" s="1"/>
  <c r="N429" i="13"/>
  <c r="M463" i="13"/>
  <c r="BP443" i="12"/>
  <c r="E429" i="13"/>
  <c r="V429" i="13"/>
  <c r="C429" i="13"/>
  <c r="AE429" i="13"/>
  <c r="H463" i="13"/>
  <c r="V463" i="13"/>
  <c r="F408" i="18"/>
  <c r="I408" i="18" s="1"/>
  <c r="F463" i="8"/>
  <c r="F490" i="8"/>
  <c r="U490" i="8" s="1"/>
  <c r="I490" i="19" s="1"/>
  <c r="F433" i="14"/>
  <c r="F471" i="18"/>
  <c r="G471" i="18" s="1"/>
  <c r="F492" i="8"/>
  <c r="T463" i="13"/>
  <c r="U463" i="13"/>
  <c r="AG463" i="13" s="1"/>
  <c r="E463" i="13"/>
  <c r="BP445" i="12"/>
  <c r="BP453" i="12"/>
  <c r="L429" i="13"/>
  <c r="A429" i="13"/>
  <c r="R429" i="13"/>
  <c r="G429" i="13"/>
  <c r="H429" i="13"/>
  <c r="U429" i="13"/>
  <c r="AG429" i="13" s="1"/>
  <c r="D429" i="13"/>
  <c r="Q429" i="13"/>
  <c r="A463" i="13"/>
  <c r="N463" i="13"/>
  <c r="D463" i="13"/>
  <c r="Q463" i="13"/>
  <c r="AE463" i="13"/>
  <c r="F433" i="13"/>
  <c r="C433" i="13" s="1"/>
  <c r="F408" i="14"/>
  <c r="F423" i="8"/>
  <c r="F429" i="14"/>
  <c r="F429" i="8"/>
  <c r="K429" i="8" s="1"/>
  <c r="F459" i="18"/>
  <c r="F463" i="18"/>
  <c r="C463" i="18" s="1"/>
  <c r="F484" i="8"/>
  <c r="F471" i="14"/>
  <c r="T429" i="13"/>
  <c r="O463" i="13"/>
  <c r="B463" i="13"/>
  <c r="R463" i="13"/>
  <c r="G463" i="13"/>
  <c r="CG107" i="12"/>
  <c r="CH95" i="12"/>
  <c r="CH91" i="12"/>
  <c r="CH87" i="12"/>
  <c r="CH83" i="12"/>
  <c r="CH79" i="12"/>
  <c r="CH75" i="12"/>
  <c r="CH71" i="12"/>
  <c r="CH67" i="12"/>
  <c r="CH63" i="12"/>
  <c r="CH59" i="12"/>
  <c r="CH55" i="12"/>
  <c r="CH51" i="12"/>
  <c r="CH47" i="12"/>
  <c r="CH43" i="12"/>
  <c r="CG34" i="12"/>
  <c r="BP497" i="12"/>
  <c r="CG36" i="12"/>
  <c r="G494" i="13"/>
  <c r="Q494" i="13"/>
  <c r="H494" i="13"/>
  <c r="F500" i="13"/>
  <c r="F467" i="18"/>
  <c r="H467" i="18" s="1"/>
  <c r="AE494" i="13"/>
  <c r="N494" i="13"/>
  <c r="F420" i="18"/>
  <c r="I420" i="18" s="1"/>
  <c r="F467" i="8"/>
  <c r="C441" i="9" s="1"/>
  <c r="F500" i="14"/>
  <c r="T494" i="13"/>
  <c r="M494" i="13"/>
  <c r="F494" i="8"/>
  <c r="F467" i="13"/>
  <c r="L467" i="13" s="1"/>
  <c r="B494" i="13"/>
  <c r="BP437" i="12"/>
  <c r="BP459" i="12"/>
  <c r="BP488" i="12"/>
  <c r="CF332" i="12"/>
  <c r="CF335" i="12"/>
  <c r="CF338" i="12"/>
  <c r="CF340" i="12"/>
  <c r="CF347" i="12"/>
  <c r="CF348" i="12"/>
  <c r="CF331" i="12"/>
  <c r="CF342" i="12"/>
  <c r="CF343" i="12"/>
  <c r="CF345" i="12"/>
  <c r="CF349" i="12"/>
  <c r="CF352" i="12"/>
  <c r="CF355" i="12"/>
  <c r="CF333" i="12"/>
  <c r="CF337" i="12"/>
  <c r="CF339" i="12"/>
  <c r="CF344" i="12"/>
  <c r="CF353" i="12"/>
  <c r="CF354" i="12"/>
  <c r="CF357" i="12"/>
  <c r="CF330" i="12"/>
  <c r="CF346" i="12"/>
  <c r="CF334" i="12"/>
  <c r="CF364" i="12"/>
  <c r="CF371" i="12"/>
  <c r="CF373" i="12"/>
  <c r="CF374" i="12"/>
  <c r="CF378" i="12"/>
  <c r="CF380" i="12"/>
  <c r="CF382" i="12"/>
  <c r="CF383" i="12"/>
  <c r="CF386" i="12"/>
  <c r="CF336" i="12"/>
  <c r="CF356" i="12"/>
  <c r="CF358" i="12"/>
  <c r="CF360" i="12"/>
  <c r="CF376" i="12"/>
  <c r="CF377" i="12"/>
  <c r="CF350" i="12"/>
  <c r="CF351" i="12"/>
  <c r="CF363" i="12"/>
  <c r="CF370" i="12"/>
  <c r="CF379" i="12"/>
  <c r="CF388" i="12"/>
  <c r="CF390" i="12"/>
  <c r="CF341" i="12"/>
  <c r="CF393" i="12"/>
  <c r="CF366" i="12"/>
  <c r="CF367" i="12"/>
  <c r="CF368" i="12"/>
  <c r="CF369" i="12"/>
  <c r="CF372" i="12"/>
  <c r="CF375" i="12"/>
  <c r="CF387" i="12"/>
  <c r="CF391" i="12"/>
  <c r="CF359" i="12"/>
  <c r="CF361" i="12"/>
  <c r="CF362" i="12"/>
  <c r="CF365" i="12"/>
  <c r="CF381" i="12"/>
  <c r="CF384" i="12"/>
  <c r="CF385" i="12"/>
  <c r="CF389" i="12"/>
  <c r="CF392" i="12"/>
  <c r="CF394" i="12"/>
  <c r="CF395" i="12"/>
  <c r="CF297" i="12"/>
  <c r="CF293" i="12"/>
  <c r="CF289" i="12"/>
  <c r="CF285" i="12"/>
  <c r="CF281" i="12"/>
  <c r="CF277" i="12"/>
  <c r="CF273" i="12"/>
  <c r="CF269" i="12"/>
  <c r="CF265" i="12"/>
  <c r="CF261" i="12"/>
  <c r="CF258" i="12"/>
  <c r="CF250" i="12"/>
  <c r="CF242" i="12"/>
  <c r="CF234" i="12"/>
  <c r="CF226" i="12"/>
  <c r="CF218" i="12"/>
  <c r="CF210" i="12"/>
  <c r="CF202" i="12"/>
  <c r="CF194" i="12"/>
  <c r="CE331" i="12"/>
  <c r="CE334" i="12"/>
  <c r="CE336" i="12"/>
  <c r="CE344" i="12"/>
  <c r="CE346" i="12"/>
  <c r="CE330" i="12"/>
  <c r="CE333" i="12"/>
  <c r="CE337" i="12"/>
  <c r="CE339" i="12"/>
  <c r="CE341" i="12"/>
  <c r="CE340" i="12"/>
  <c r="CE353" i="12"/>
  <c r="CE354" i="12"/>
  <c r="CE332" i="12"/>
  <c r="CE342" i="12"/>
  <c r="CE347" i="12"/>
  <c r="CE348" i="12"/>
  <c r="CE358" i="12"/>
  <c r="CE338" i="12"/>
  <c r="CE343" i="12"/>
  <c r="CE345" i="12"/>
  <c r="CE350" i="12"/>
  <c r="CE351" i="12"/>
  <c r="CE355" i="12"/>
  <c r="CE356" i="12"/>
  <c r="CE360" i="12"/>
  <c r="CE376" i="12"/>
  <c r="CE377" i="12"/>
  <c r="CE385" i="12"/>
  <c r="CE388" i="12"/>
  <c r="CE390" i="12"/>
  <c r="CE357" i="12"/>
  <c r="CE363" i="12"/>
  <c r="CE370" i="12"/>
  <c r="CE372" i="12"/>
  <c r="CE379" i="12"/>
  <c r="CE381" i="12"/>
  <c r="CE349" i="12"/>
  <c r="CE359" i="12"/>
  <c r="CE361" i="12"/>
  <c r="CE362" i="12"/>
  <c r="CE365" i="12"/>
  <c r="CE366" i="12"/>
  <c r="CE367" i="12"/>
  <c r="CE368" i="12"/>
  <c r="CE369" i="12"/>
  <c r="CE393" i="12"/>
  <c r="CE335" i="12"/>
  <c r="CE373" i="12"/>
  <c r="CE374" i="12"/>
  <c r="CE375" i="12"/>
  <c r="CE378" i="12"/>
  <c r="CE387" i="12"/>
  <c r="CE391" i="12"/>
  <c r="CE371" i="12"/>
  <c r="CE382" i="12"/>
  <c r="CE383" i="12"/>
  <c r="CE384" i="12"/>
  <c r="CE386" i="12"/>
  <c r="CE389" i="12"/>
  <c r="CE392" i="12"/>
  <c r="CE394" i="12"/>
  <c r="CE395" i="12"/>
  <c r="CE352" i="12"/>
  <c r="CE364" i="12"/>
  <c r="CE380" i="12"/>
  <c r="CF321" i="12"/>
  <c r="CF318" i="12"/>
  <c r="CF314" i="12"/>
  <c r="CF248" i="12"/>
  <c r="CF245" i="12"/>
  <c r="CF240" i="12"/>
  <c r="CF237" i="12"/>
  <c r="CF232" i="12"/>
  <c r="CF229" i="12"/>
  <c r="CF224" i="12"/>
  <c r="CF221" i="12"/>
  <c r="CF216" i="12"/>
  <c r="CF213" i="12"/>
  <c r="CF208" i="12"/>
  <c r="CF205" i="12"/>
  <c r="CF200" i="12"/>
  <c r="CF197" i="12"/>
  <c r="CF192" i="12"/>
  <c r="CH32" i="12"/>
  <c r="CH342" i="12"/>
  <c r="CH343" i="12"/>
  <c r="CH345" i="12"/>
  <c r="CH330" i="12"/>
  <c r="CH332" i="12"/>
  <c r="CH335" i="12"/>
  <c r="CH338" i="12"/>
  <c r="CH340" i="12"/>
  <c r="CH331" i="12"/>
  <c r="CH334" i="12"/>
  <c r="CH336" i="12"/>
  <c r="CH341" i="12"/>
  <c r="CH346" i="12"/>
  <c r="CH350" i="12"/>
  <c r="CH351" i="12"/>
  <c r="CH333" i="12"/>
  <c r="CH337" i="12"/>
  <c r="CH339" i="12"/>
  <c r="CH344" i="12"/>
  <c r="CH349" i="12"/>
  <c r="CH352" i="12"/>
  <c r="CH355" i="12"/>
  <c r="CH354" i="12"/>
  <c r="CH363" i="12"/>
  <c r="CH370" i="12"/>
  <c r="CH372" i="12"/>
  <c r="CH379" i="12"/>
  <c r="CH381" i="12"/>
  <c r="CH387" i="12"/>
  <c r="CH359" i="12"/>
  <c r="CH361" i="12"/>
  <c r="CH362" i="12"/>
  <c r="CH365" i="12"/>
  <c r="CH366" i="12"/>
  <c r="CH367" i="12"/>
  <c r="CH368" i="12"/>
  <c r="CH369" i="12"/>
  <c r="CH375" i="12"/>
  <c r="CH384" i="12"/>
  <c r="CH347" i="12"/>
  <c r="CH348" i="12"/>
  <c r="CH356" i="12"/>
  <c r="CH364" i="12"/>
  <c r="CH371" i="12"/>
  <c r="CH358" i="12"/>
  <c r="CH360" i="12"/>
  <c r="CH376" i="12"/>
  <c r="CH380" i="12"/>
  <c r="CH386" i="12"/>
  <c r="CH389" i="12"/>
  <c r="CH391" i="12"/>
  <c r="CH353" i="12"/>
  <c r="CH357" i="12"/>
  <c r="CH385" i="12"/>
  <c r="CH392" i="12"/>
  <c r="CH394" i="12"/>
  <c r="CH395" i="12"/>
  <c r="CH373" i="12"/>
  <c r="CH374" i="12"/>
  <c r="CH378" i="12"/>
  <c r="CH388" i="12"/>
  <c r="CH390" i="12"/>
  <c r="CH377" i="12"/>
  <c r="CH382" i="12"/>
  <c r="CH383" i="12"/>
  <c r="CH393" i="12"/>
  <c r="CF329" i="12"/>
  <c r="CF325" i="12"/>
  <c r="CF317" i="12"/>
  <c r="CF313" i="12"/>
  <c r="CF309" i="12"/>
  <c r="CF305" i="12"/>
  <c r="CF301" i="12"/>
  <c r="CF326" i="12"/>
  <c r="CF322" i="12"/>
  <c r="CF310" i="12"/>
  <c r="CF306" i="12"/>
  <c r="CF302" i="12"/>
  <c r="CF298" i="12"/>
  <c r="CF294" i="12"/>
  <c r="CF290" i="12"/>
  <c r="CF286" i="12"/>
  <c r="CF282" i="12"/>
  <c r="CF278" i="12"/>
  <c r="CF274" i="12"/>
  <c r="CF270" i="12"/>
  <c r="CF266" i="12"/>
  <c r="CF262" i="12"/>
  <c r="CF256" i="12"/>
  <c r="CF253" i="12"/>
  <c r="CF327" i="12"/>
  <c r="CF323" i="12"/>
  <c r="CF319" i="12"/>
  <c r="CF315" i="12"/>
  <c r="CF311" i="12"/>
  <c r="CF307" i="12"/>
  <c r="CF303" i="12"/>
  <c r="CF299" i="12"/>
  <c r="CF295" i="12"/>
  <c r="CF291" i="12"/>
  <c r="CF287" i="12"/>
  <c r="CF283" i="12"/>
  <c r="CF279" i="12"/>
  <c r="CF275" i="12"/>
  <c r="CF271" i="12"/>
  <c r="CF267" i="12"/>
  <c r="CF263" i="12"/>
  <c r="CF254" i="12"/>
  <c r="CF246" i="12"/>
  <c r="CF238" i="12"/>
  <c r="CF230" i="12"/>
  <c r="CF222" i="12"/>
  <c r="CF214" i="12"/>
  <c r="CF206" i="12"/>
  <c r="CF198" i="12"/>
  <c r="CG330" i="12"/>
  <c r="CG333" i="12"/>
  <c r="CG337" i="12"/>
  <c r="CG339" i="12"/>
  <c r="CG341" i="12"/>
  <c r="CG332" i="12"/>
  <c r="CG331" i="12"/>
  <c r="CG334" i="12"/>
  <c r="CG336" i="12"/>
  <c r="CG344" i="12"/>
  <c r="CG335" i="12"/>
  <c r="CG350" i="12"/>
  <c r="CG351" i="12"/>
  <c r="CG340" i="12"/>
  <c r="CG349" i="12"/>
  <c r="CG352" i="12"/>
  <c r="CG355" i="12"/>
  <c r="CG356" i="12"/>
  <c r="CG342" i="12"/>
  <c r="CG347" i="12"/>
  <c r="CG348" i="12"/>
  <c r="CG353" i="12"/>
  <c r="CG354" i="12"/>
  <c r="CG343" i="12"/>
  <c r="CG345" i="12"/>
  <c r="CG359" i="12"/>
  <c r="CG361" i="12"/>
  <c r="CG362" i="12"/>
  <c r="CG365" i="12"/>
  <c r="CG366" i="12"/>
  <c r="CG367" i="12"/>
  <c r="CG368" i="12"/>
  <c r="CG369" i="12"/>
  <c r="CG375" i="12"/>
  <c r="CG384" i="12"/>
  <c r="CG389" i="12"/>
  <c r="CG338" i="12"/>
  <c r="CG364" i="12"/>
  <c r="CG371" i="12"/>
  <c r="CG373" i="12"/>
  <c r="CG374" i="12"/>
  <c r="CG378" i="12"/>
  <c r="CG380" i="12"/>
  <c r="CG382" i="12"/>
  <c r="CG383" i="12"/>
  <c r="CG346" i="12"/>
  <c r="CG357" i="12"/>
  <c r="CG358" i="12"/>
  <c r="CG360" i="12"/>
  <c r="CG381" i="12"/>
  <c r="CG385" i="12"/>
  <c r="CG392" i="12"/>
  <c r="CG394" i="12"/>
  <c r="CG395" i="12"/>
  <c r="CG379" i="12"/>
  <c r="CG388" i="12"/>
  <c r="CG390" i="12"/>
  <c r="CG370" i="12"/>
  <c r="CG377" i="12"/>
  <c r="CG393" i="12"/>
  <c r="CG363" i="12"/>
  <c r="CG372" i="12"/>
  <c r="CG376" i="12"/>
  <c r="CG386" i="12"/>
  <c r="CG387" i="12"/>
  <c r="CG391" i="12"/>
  <c r="BP467" i="12"/>
  <c r="BP465" i="12"/>
  <c r="BP469" i="12"/>
  <c r="BP426" i="12"/>
  <c r="R494" i="13"/>
  <c r="F459" i="14"/>
  <c r="AA459" i="14" s="1"/>
  <c r="AB459" i="14" s="1"/>
  <c r="U494" i="13"/>
  <c r="AG494" i="13" s="1"/>
  <c r="O494" i="13"/>
  <c r="F420" i="13"/>
  <c r="F459" i="13"/>
  <c r="R459" i="13" s="1"/>
  <c r="F412" i="14"/>
  <c r="F420" i="8"/>
  <c r="F428" i="14"/>
  <c r="F475" i="14"/>
  <c r="D494" i="13"/>
  <c r="F422" i="13"/>
  <c r="F494" i="18"/>
  <c r="F471" i="13"/>
  <c r="H471" i="13" s="1"/>
  <c r="F428" i="8"/>
  <c r="F475" i="18"/>
  <c r="L494" i="13"/>
  <c r="E494" i="13"/>
  <c r="F416" i="13"/>
  <c r="F416" i="8"/>
  <c r="F416" i="18"/>
  <c r="F416" i="14"/>
  <c r="F426" i="13"/>
  <c r="F426" i="14"/>
  <c r="F426" i="8"/>
  <c r="F496" i="18"/>
  <c r="G496" i="18" s="1"/>
  <c r="F496" i="14"/>
  <c r="F496" i="13"/>
  <c r="BP422" i="12"/>
  <c r="BP408" i="12"/>
  <c r="CG192" i="12"/>
  <c r="CG196" i="12"/>
  <c r="CG200" i="12"/>
  <c r="CG204" i="12"/>
  <c r="CG208" i="12"/>
  <c r="CG212" i="12"/>
  <c r="CG216" i="12"/>
  <c r="CG220" i="12"/>
  <c r="CG224" i="12"/>
  <c r="CG228" i="12"/>
  <c r="CG232" i="12"/>
  <c r="CG236" i="12"/>
  <c r="CG240" i="12"/>
  <c r="CG244" i="12"/>
  <c r="CG248" i="12"/>
  <c r="CG252" i="12"/>
  <c r="CG256" i="12"/>
  <c r="CG31" i="12"/>
  <c r="CG33" i="12"/>
  <c r="CG35" i="12"/>
  <c r="CG37" i="12"/>
  <c r="CG39" i="12"/>
  <c r="CG41" i="12"/>
  <c r="CG43" i="12"/>
  <c r="CG45" i="12"/>
  <c r="CG47" i="12"/>
  <c r="CG49" i="12"/>
  <c r="CG51" i="12"/>
  <c r="CG53" i="12"/>
  <c r="CG55" i="12"/>
  <c r="CG57" i="12"/>
  <c r="CG59" i="12"/>
  <c r="CG61" i="12"/>
  <c r="CG63" i="12"/>
  <c r="CG65" i="12"/>
  <c r="CG67" i="12"/>
  <c r="CG69" i="12"/>
  <c r="CG71" i="12"/>
  <c r="CG73" i="12"/>
  <c r="CG75" i="12"/>
  <c r="CG77" i="12"/>
  <c r="CG79" i="12"/>
  <c r="CG81" i="12"/>
  <c r="CG83" i="12"/>
  <c r="CG85" i="12"/>
  <c r="CG87" i="12"/>
  <c r="CG89" i="12"/>
  <c r="CG91" i="12"/>
  <c r="CG93" i="12"/>
  <c r="CG95" i="12"/>
  <c r="CG97" i="12"/>
  <c r="CG99" i="12"/>
  <c r="CG101" i="12"/>
  <c r="CG103" i="12"/>
  <c r="CG105" i="12"/>
  <c r="F426" i="18"/>
  <c r="C426" i="18" s="1"/>
  <c r="F410" i="13"/>
  <c r="Q410" i="13" s="1"/>
  <c r="F410" i="8"/>
  <c r="F410" i="18"/>
  <c r="B410" i="18" s="1"/>
  <c r="F486" i="14"/>
  <c r="R486" i="14" s="1"/>
  <c r="F486" i="8"/>
  <c r="CF32" i="12"/>
  <c r="CF31" i="12"/>
  <c r="CF33" i="12"/>
  <c r="CF35" i="12"/>
  <c r="CF37" i="12"/>
  <c r="CF39" i="12"/>
  <c r="CF41" i="12"/>
  <c r="CF43" i="12"/>
  <c r="CF45" i="12"/>
  <c r="CF47" i="12"/>
  <c r="CF49" i="12"/>
  <c r="CF51" i="12"/>
  <c r="CF53" i="12"/>
  <c r="CF55" i="12"/>
  <c r="CF57" i="12"/>
  <c r="CF59" i="12"/>
  <c r="CF61" i="12"/>
  <c r="CF63" i="12"/>
  <c r="CF65" i="12"/>
  <c r="CF67" i="12"/>
  <c r="CF69" i="12"/>
  <c r="CF71" i="12"/>
  <c r="CF73" i="12"/>
  <c r="CF75" i="12"/>
  <c r="CF77" i="12"/>
  <c r="CF79" i="12"/>
  <c r="CF81" i="12"/>
  <c r="CF83" i="12"/>
  <c r="CF85" i="12"/>
  <c r="CF87" i="12"/>
  <c r="CF89" i="12"/>
  <c r="CF91" i="12"/>
  <c r="CF93" i="12"/>
  <c r="CF95" i="12"/>
  <c r="CF97" i="12"/>
  <c r="CF99" i="12"/>
  <c r="CF101" i="12"/>
  <c r="CF103" i="12"/>
  <c r="CF105" i="12"/>
  <c r="CF107" i="12"/>
  <c r="CF109" i="12"/>
  <c r="CF111" i="12"/>
  <c r="CF113" i="12"/>
  <c r="CF115" i="12"/>
  <c r="CF117" i="12"/>
  <c r="CF119" i="12"/>
  <c r="CF121" i="12"/>
  <c r="CF123" i="12"/>
  <c r="CF125" i="12"/>
  <c r="CF127" i="12"/>
  <c r="CF129" i="12"/>
  <c r="CF131" i="12"/>
  <c r="CF133" i="12"/>
  <c r="CF135" i="12"/>
  <c r="CF137" i="12"/>
  <c r="CF139" i="12"/>
  <c r="CF141" i="12"/>
  <c r="CF143" i="12"/>
  <c r="CF145" i="12"/>
  <c r="CF147" i="12"/>
  <c r="CF149" i="12"/>
  <c r="CF151" i="12"/>
  <c r="CF153" i="12"/>
  <c r="CF155" i="12"/>
  <c r="CF157" i="12"/>
  <c r="CF159" i="12"/>
  <c r="CF161" i="12"/>
  <c r="CF163" i="12"/>
  <c r="CF165" i="12"/>
  <c r="CF167" i="12"/>
  <c r="CF169" i="12"/>
  <c r="CF171" i="12"/>
  <c r="CF173" i="12"/>
  <c r="CF175" i="12"/>
  <c r="CF177" i="12"/>
  <c r="CF179" i="12"/>
  <c r="CF181" i="12"/>
  <c r="CF183" i="12"/>
  <c r="CF185" i="12"/>
  <c r="CF187" i="12"/>
  <c r="CF189" i="12"/>
  <c r="CF191" i="12"/>
  <c r="CF195" i="12"/>
  <c r="CF199" i="12"/>
  <c r="CF203" i="12"/>
  <c r="CF207" i="12"/>
  <c r="CF211" i="12"/>
  <c r="CF215" i="12"/>
  <c r="CF219" i="12"/>
  <c r="CF223" i="12"/>
  <c r="CF227" i="12"/>
  <c r="CF231" i="12"/>
  <c r="CF235" i="12"/>
  <c r="CF239" i="12"/>
  <c r="CF243" i="12"/>
  <c r="CF247" i="12"/>
  <c r="CF251" i="12"/>
  <c r="CF255" i="12"/>
  <c r="CF259" i="12"/>
  <c r="BP451" i="12"/>
  <c r="F410" i="14"/>
  <c r="I410" i="14" s="1"/>
  <c r="BP490" i="12"/>
  <c r="BP480" i="12"/>
  <c r="BP461" i="12"/>
  <c r="BP492" i="12"/>
  <c r="BP484" i="12"/>
  <c r="C494" i="13"/>
  <c r="V494" i="13"/>
  <c r="AA494" i="13" s="1"/>
  <c r="AB494" i="13" s="1"/>
  <c r="S494" i="13"/>
  <c r="F428" i="13"/>
  <c r="N428" i="13" s="1"/>
  <c r="F480" i="18"/>
  <c r="D480" i="18" s="1"/>
  <c r="F494" i="14"/>
  <c r="A494" i="13"/>
  <c r="BP486" i="12"/>
  <c r="F425" i="18"/>
  <c r="A425" i="18" s="1"/>
  <c r="E461" i="13"/>
  <c r="F484" i="13"/>
  <c r="AE484" i="13" s="1"/>
  <c r="F488" i="13"/>
  <c r="S488" i="13" s="1"/>
  <c r="F484" i="14"/>
  <c r="H414" i="13"/>
  <c r="AE414" i="13"/>
  <c r="AE461" i="13"/>
  <c r="S498" i="8"/>
  <c r="F425" i="13"/>
  <c r="T425" i="13" s="1"/>
  <c r="F414" i="8"/>
  <c r="F461" i="18"/>
  <c r="C461" i="18" s="1"/>
  <c r="F427" i="13"/>
  <c r="Q414" i="13"/>
  <c r="T461" i="13"/>
  <c r="E414" i="13"/>
  <c r="G414" i="13"/>
  <c r="H461" i="13"/>
  <c r="U461" i="13"/>
  <c r="AG461" i="13" s="1"/>
  <c r="V414" i="13"/>
  <c r="AA414" i="13" s="1"/>
  <c r="AB414" i="13" s="1"/>
  <c r="U414" i="13"/>
  <c r="AG414" i="13" s="1"/>
  <c r="S414" i="13"/>
  <c r="J414" i="13"/>
  <c r="L414" i="13"/>
  <c r="S461" i="13"/>
  <c r="Q461" i="13"/>
  <c r="F414" i="14"/>
  <c r="M414" i="14" s="1"/>
  <c r="F427" i="8"/>
  <c r="L461" i="13"/>
  <c r="M461" i="13"/>
  <c r="F431" i="8"/>
  <c r="F431" i="14"/>
  <c r="J431" i="14" s="1"/>
  <c r="F431" i="13"/>
  <c r="G431" i="13" s="1"/>
  <c r="F480" i="8"/>
  <c r="F480" i="14"/>
  <c r="F488" i="8"/>
  <c r="F488" i="14"/>
  <c r="P488" i="14" s="1"/>
  <c r="F492" i="18"/>
  <c r="B492" i="18" s="1"/>
  <c r="F492" i="13"/>
  <c r="L492" i="13" s="1"/>
  <c r="F422" i="8"/>
  <c r="F422" i="14"/>
  <c r="M422" i="14" s="1"/>
  <c r="F423" i="13"/>
  <c r="F423" i="18"/>
  <c r="B423" i="18" s="1"/>
  <c r="F490" i="13"/>
  <c r="F490" i="18"/>
  <c r="B490" i="18" s="1"/>
  <c r="BP463" i="12"/>
  <c r="BP482" i="12"/>
  <c r="BP494" i="12"/>
  <c r="BP460" i="12"/>
  <c r="M414" i="13"/>
  <c r="O414" i="13"/>
  <c r="B414" i="13"/>
  <c r="N414" i="13"/>
  <c r="D414" i="13"/>
  <c r="R414" i="13"/>
  <c r="C414" i="13"/>
  <c r="T414" i="13"/>
  <c r="A461" i="13"/>
  <c r="N461" i="13"/>
  <c r="D461" i="13"/>
  <c r="J461" i="13"/>
  <c r="V461" i="13"/>
  <c r="F414" i="18"/>
  <c r="B414" i="18" s="1"/>
  <c r="F461" i="14"/>
  <c r="Z461" i="14" s="1"/>
  <c r="F461" i="8"/>
  <c r="F427" i="14"/>
  <c r="AD427" i="14" s="1"/>
  <c r="O461" i="13"/>
  <c r="B461" i="13"/>
  <c r="R461" i="13"/>
  <c r="G461" i="13"/>
  <c r="BP477" i="12"/>
  <c r="BP429" i="12"/>
  <c r="CH190" i="12"/>
  <c r="CF190" i="12"/>
  <c r="CH188" i="12"/>
  <c r="CF188" i="12"/>
  <c r="CH186" i="12"/>
  <c r="CF186" i="12"/>
  <c r="CH184" i="12"/>
  <c r="CF184" i="12"/>
  <c r="CH182" i="12"/>
  <c r="CF182" i="12"/>
  <c r="CH180" i="12"/>
  <c r="CF180" i="12"/>
  <c r="CH178" i="12"/>
  <c r="CF178" i="12"/>
  <c r="CH176" i="12"/>
  <c r="CF176" i="12"/>
  <c r="CH174" i="12"/>
  <c r="CF174" i="12"/>
  <c r="CH172" i="12"/>
  <c r="CF172" i="12"/>
  <c r="CH170" i="12"/>
  <c r="CF170" i="12"/>
  <c r="CH168" i="12"/>
  <c r="CF168" i="12"/>
  <c r="CH166" i="12"/>
  <c r="CF166" i="12"/>
  <c r="CH164" i="12"/>
  <c r="CF164" i="12"/>
  <c r="CH162" i="12"/>
  <c r="CF162" i="12"/>
  <c r="CH160" i="12"/>
  <c r="CF160" i="12"/>
  <c r="CH158" i="12"/>
  <c r="CF158" i="12"/>
  <c r="CH156" i="12"/>
  <c r="CF156" i="12"/>
  <c r="CH154" i="12"/>
  <c r="CF154" i="12"/>
  <c r="CH152" i="12"/>
  <c r="CF152" i="12"/>
  <c r="CH150" i="12"/>
  <c r="CF150" i="12"/>
  <c r="CH148" i="12"/>
  <c r="CF148" i="12"/>
  <c r="CH146" i="12"/>
  <c r="CF146" i="12"/>
  <c r="CH144" i="12"/>
  <c r="CF144" i="12"/>
  <c r="CH142" i="12"/>
  <c r="CF142" i="12"/>
  <c r="CH140" i="12"/>
  <c r="CF140" i="12"/>
  <c r="CH138" i="12"/>
  <c r="CF138" i="12"/>
  <c r="CH136" i="12"/>
  <c r="CF136" i="12"/>
  <c r="CH134" i="12"/>
  <c r="CF134" i="12"/>
  <c r="CH132" i="12"/>
  <c r="CF132" i="12"/>
  <c r="CH130" i="12"/>
  <c r="CF130" i="12"/>
  <c r="CH128" i="12"/>
  <c r="CF128" i="12"/>
  <c r="CH126" i="12"/>
  <c r="CF126" i="12"/>
  <c r="CH124" i="12"/>
  <c r="CF124" i="12"/>
  <c r="CH122" i="12"/>
  <c r="CF122" i="12"/>
  <c r="CH120" i="12"/>
  <c r="CF120" i="12"/>
  <c r="CH118" i="12"/>
  <c r="CF118" i="12"/>
  <c r="CH116" i="12"/>
  <c r="CF116" i="12"/>
  <c r="CH114" i="12"/>
  <c r="CF114" i="12"/>
  <c r="CH112" i="12"/>
  <c r="CF112" i="12"/>
  <c r="CH110" i="12"/>
  <c r="CF110" i="12"/>
  <c r="CH108" i="12"/>
  <c r="CF108" i="12"/>
  <c r="CH106" i="12"/>
  <c r="CF106" i="12"/>
  <c r="CH104" i="12"/>
  <c r="CF104" i="12"/>
  <c r="CH102" i="12"/>
  <c r="CF102" i="12"/>
  <c r="CH100" i="12"/>
  <c r="CF100" i="12"/>
  <c r="CH98" i="12"/>
  <c r="CF98" i="12"/>
  <c r="CH96" i="12"/>
  <c r="CF96" i="12"/>
  <c r="CH94" i="12"/>
  <c r="CF94" i="12"/>
  <c r="CH92" i="12"/>
  <c r="CF92" i="12"/>
  <c r="CH90" i="12"/>
  <c r="CF90" i="12"/>
  <c r="CH88" i="12"/>
  <c r="CF88" i="12"/>
  <c r="CH86" i="12"/>
  <c r="CF86" i="12"/>
  <c r="CH84" i="12"/>
  <c r="CF84" i="12"/>
  <c r="CH82" i="12"/>
  <c r="CF82" i="12"/>
  <c r="CH80" i="12"/>
  <c r="CF80" i="12"/>
  <c r="CH78" i="12"/>
  <c r="CF78" i="12"/>
  <c r="CH76" i="12"/>
  <c r="CF76" i="12"/>
  <c r="CH74" i="12"/>
  <c r="CF74" i="12"/>
  <c r="CH72" i="12"/>
  <c r="CF72" i="12"/>
  <c r="CH70" i="12"/>
  <c r="CF70" i="12"/>
  <c r="CH68" i="12"/>
  <c r="CF68" i="12"/>
  <c r="CH66" i="12"/>
  <c r="CF66" i="12"/>
  <c r="CH64" i="12"/>
  <c r="CF64" i="12"/>
  <c r="CH62" i="12"/>
  <c r="CF62" i="12"/>
  <c r="CH60" i="12"/>
  <c r="CF60" i="12"/>
  <c r="CH58" i="12"/>
  <c r="CF58" i="12"/>
  <c r="CH56" i="12"/>
  <c r="CF56" i="12"/>
  <c r="CH54" i="12"/>
  <c r="CF54" i="12"/>
  <c r="CH52" i="12"/>
  <c r="CF52" i="12"/>
  <c r="CH50" i="12"/>
  <c r="CF50" i="12"/>
  <c r="CH48" i="12"/>
  <c r="CF48" i="12"/>
  <c r="CH46" i="12"/>
  <c r="CF46" i="12"/>
  <c r="CH44" i="12"/>
  <c r="CF44" i="12"/>
  <c r="CH42" i="12"/>
  <c r="CF42" i="12"/>
  <c r="CH40" i="12"/>
  <c r="CF40" i="12"/>
  <c r="CH38" i="12"/>
  <c r="CF38" i="12"/>
  <c r="CH36" i="12"/>
  <c r="CF36" i="12"/>
  <c r="CH34" i="12"/>
  <c r="CF34" i="12"/>
  <c r="BP434" i="12"/>
  <c r="BP438" i="12"/>
  <c r="BP442" i="12"/>
  <c r="BP446" i="12"/>
  <c r="BP450" i="12"/>
  <c r="BP454" i="12"/>
  <c r="BP458" i="12"/>
  <c r="BP431" i="12"/>
  <c r="BP487" i="12"/>
  <c r="BP471" i="12"/>
  <c r="BP473" i="12"/>
  <c r="BP475" i="12"/>
  <c r="BP499" i="12"/>
  <c r="F425" i="14"/>
  <c r="R425" i="14" s="1"/>
  <c r="AE430" i="13"/>
  <c r="A475" i="13"/>
  <c r="Y477" i="14"/>
  <c r="Q435" i="13"/>
  <c r="Z465" i="14"/>
  <c r="P435" i="14"/>
  <c r="A435" i="14"/>
  <c r="E469" i="14"/>
  <c r="E430" i="13"/>
  <c r="M435" i="13"/>
  <c r="L430" i="13"/>
  <c r="O435" i="13"/>
  <c r="D475" i="13"/>
  <c r="G423" i="14"/>
  <c r="BP411" i="12"/>
  <c r="BP419" i="12"/>
  <c r="BP413" i="12"/>
  <c r="BP483" i="12"/>
  <c r="BP491" i="12"/>
  <c r="BP485" i="12"/>
  <c r="BP493" i="12"/>
  <c r="BP415" i="12"/>
  <c r="BP479" i="12"/>
  <c r="BP409" i="12"/>
  <c r="BP417" i="12"/>
  <c r="BP421" i="12"/>
  <c r="BP481" i="12"/>
  <c r="BP489" i="12"/>
  <c r="AA463" i="14"/>
  <c r="AB463" i="14" s="1"/>
  <c r="I463" i="14"/>
  <c r="P463" i="14"/>
  <c r="G465" i="14"/>
  <c r="M465" i="14"/>
  <c r="Y465" i="14"/>
  <c r="C473" i="14"/>
  <c r="E473" i="14"/>
  <c r="J473" i="14"/>
  <c r="E437" i="14"/>
  <c r="E471" i="14"/>
  <c r="C492" i="14"/>
  <c r="Y492" i="14"/>
  <c r="T492" i="14"/>
  <c r="O430" i="13"/>
  <c r="D435" i="13"/>
  <c r="V435" i="13"/>
  <c r="AA435" i="13" s="1"/>
  <c r="AB435" i="13" s="1"/>
  <c r="AC435" i="13" s="1"/>
  <c r="AD435" i="13" s="1"/>
  <c r="C435" i="13"/>
  <c r="AA424" i="13"/>
  <c r="AB424" i="13" s="1"/>
  <c r="AC424" i="13" s="1"/>
  <c r="AD424" i="13" s="1"/>
  <c r="N475" i="13"/>
  <c r="G420" i="14"/>
  <c r="G430" i="14"/>
  <c r="U471" i="14"/>
  <c r="I492" i="14"/>
  <c r="W473" i="14"/>
  <c r="W492" i="14"/>
  <c r="AD463" i="14"/>
  <c r="K463" i="14"/>
  <c r="W465" i="14"/>
  <c r="X473" i="14"/>
  <c r="E488" i="18"/>
  <c r="D486" i="13"/>
  <c r="C408" i="8"/>
  <c r="K408" i="8"/>
  <c r="T408" i="8"/>
  <c r="J408" i="19" s="1"/>
  <c r="P408" i="8"/>
  <c r="G408" i="8"/>
  <c r="W408" i="8" s="1"/>
  <c r="Q412" i="8"/>
  <c r="E412" i="8"/>
  <c r="J412" i="8"/>
  <c r="S412" i="8"/>
  <c r="H412" i="8"/>
  <c r="E386" i="9" s="1"/>
  <c r="C412" i="8"/>
  <c r="K412" i="8"/>
  <c r="T412" i="8"/>
  <c r="J412" i="19" s="1"/>
  <c r="M412" i="8"/>
  <c r="G412" i="8"/>
  <c r="W412" i="8" s="1"/>
  <c r="D416" i="8"/>
  <c r="E416" i="19" s="1"/>
  <c r="G418" i="18"/>
  <c r="E418" i="18"/>
  <c r="A418" i="18"/>
  <c r="C420" i="14"/>
  <c r="K420" i="14"/>
  <c r="S420" i="14"/>
  <c r="AA420" i="14"/>
  <c r="AB420" i="14" s="1"/>
  <c r="J422" i="18"/>
  <c r="L422" i="18" s="1"/>
  <c r="C422" i="18"/>
  <c r="A422" i="18"/>
  <c r="I422" i="18"/>
  <c r="E422" i="18"/>
  <c r="C423" i="14"/>
  <c r="K423" i="14"/>
  <c r="S423" i="14"/>
  <c r="AA423" i="14"/>
  <c r="AB423" i="14" s="1"/>
  <c r="Q423" i="8"/>
  <c r="B424" i="18"/>
  <c r="J424" i="18"/>
  <c r="L424" i="18" s="1"/>
  <c r="D424" i="18"/>
  <c r="C424" i="18"/>
  <c r="A424" i="18"/>
  <c r="E424" i="18"/>
  <c r="I424" i="18"/>
  <c r="H424" i="18"/>
  <c r="D429" i="18"/>
  <c r="A429" i="18"/>
  <c r="H429" i="18"/>
  <c r="G463" i="14"/>
  <c r="O463" i="14"/>
  <c r="W463" i="14"/>
  <c r="B463" i="14"/>
  <c r="M463" i="14"/>
  <c r="X463" i="14"/>
  <c r="D463" i="14"/>
  <c r="N463" i="14"/>
  <c r="Y463" i="14"/>
  <c r="Z463" i="14"/>
  <c r="E463" i="14"/>
  <c r="C465" i="14"/>
  <c r="K465" i="14"/>
  <c r="S465" i="14"/>
  <c r="AA465" i="14"/>
  <c r="AB465" i="14" s="1"/>
  <c r="H465" i="14"/>
  <c r="R465" i="14"/>
  <c r="AC465" i="14"/>
  <c r="I465" i="14"/>
  <c r="T465" i="14"/>
  <c r="AD465" i="14"/>
  <c r="P465" i="14"/>
  <c r="S465" i="8"/>
  <c r="C465" i="8"/>
  <c r="K465" i="8"/>
  <c r="T465" i="8"/>
  <c r="J465" i="19" s="1"/>
  <c r="H465" i="8"/>
  <c r="E439" i="9" s="1"/>
  <c r="Q465" i="8"/>
  <c r="E465" i="8"/>
  <c r="M465" i="8"/>
  <c r="G465" i="8"/>
  <c r="W465" i="8" s="1"/>
  <c r="D465" i="8"/>
  <c r="E465" i="19" s="1"/>
  <c r="U465" i="8"/>
  <c r="I465" i="19" s="1"/>
  <c r="R465" i="8"/>
  <c r="L465" i="8"/>
  <c r="H469" i="18"/>
  <c r="E469" i="18"/>
  <c r="D469" i="18"/>
  <c r="I469" i="18"/>
  <c r="AD473" i="14"/>
  <c r="S473" i="14"/>
  <c r="H473" i="14"/>
  <c r="R473" i="14"/>
  <c r="G473" i="14"/>
  <c r="A473" i="14"/>
  <c r="I473" i="14"/>
  <c r="Q473" i="14"/>
  <c r="Y473" i="14"/>
  <c r="Z473" i="14"/>
  <c r="O473" i="14"/>
  <c r="D473" i="14"/>
  <c r="G473" i="8"/>
  <c r="W473" i="8" s="1"/>
  <c r="P473" i="8"/>
  <c r="D473" i="8"/>
  <c r="E473" i="19" s="1"/>
  <c r="L473" i="8"/>
  <c r="U473" i="8"/>
  <c r="I473" i="19" s="1"/>
  <c r="I473" i="8"/>
  <c r="R473" i="8"/>
  <c r="C473" i="8"/>
  <c r="T473" i="8"/>
  <c r="Q473" i="8"/>
  <c r="M473" i="8"/>
  <c r="S473" i="8"/>
  <c r="H473" i="8"/>
  <c r="E447" i="9" s="1"/>
  <c r="A477" i="18"/>
  <c r="I477" i="18"/>
  <c r="E477" i="18"/>
  <c r="G488" i="18"/>
  <c r="D488" i="18"/>
  <c r="A488" i="18"/>
  <c r="J488" i="18"/>
  <c r="N488" i="18" s="1"/>
  <c r="O488" i="18" s="1"/>
  <c r="V475" i="13"/>
  <c r="AA475" i="13" s="1"/>
  <c r="AB475" i="13" s="1"/>
  <c r="J475" i="13"/>
  <c r="B428" i="18"/>
  <c r="E428" i="18"/>
  <c r="D428" i="18"/>
  <c r="H428" i="18"/>
  <c r="G428" i="18"/>
  <c r="A428" i="18"/>
  <c r="C430" i="14"/>
  <c r="K430" i="14"/>
  <c r="S430" i="14"/>
  <c r="AA430" i="14"/>
  <c r="AB430" i="14" s="1"/>
  <c r="I430" i="8"/>
  <c r="R430" i="8"/>
  <c r="E430" i="8"/>
  <c r="Q437" i="14"/>
  <c r="C437" i="14"/>
  <c r="J437" i="14"/>
  <c r="S471" i="14"/>
  <c r="R471" i="14"/>
  <c r="A471" i="14"/>
  <c r="Q471" i="14"/>
  <c r="T471" i="14"/>
  <c r="P471" i="8"/>
  <c r="G471" i="8"/>
  <c r="W471" i="8" s="1"/>
  <c r="K471" i="8"/>
  <c r="T471" i="8"/>
  <c r="AD492" i="14"/>
  <c r="S492" i="14"/>
  <c r="H492" i="14"/>
  <c r="R492" i="14"/>
  <c r="G492" i="14"/>
  <c r="E492" i="14"/>
  <c r="M492" i="14"/>
  <c r="U492" i="14"/>
  <c r="AC492" i="14"/>
  <c r="Z492" i="14"/>
  <c r="O492" i="14"/>
  <c r="D492" i="14"/>
  <c r="H498" i="18"/>
  <c r="D498" i="18"/>
  <c r="T430" i="13"/>
  <c r="J430" i="13"/>
  <c r="A430" i="13"/>
  <c r="J435" i="13"/>
  <c r="AE435" i="13"/>
  <c r="A435" i="13"/>
  <c r="R435" i="13"/>
  <c r="G435" i="13"/>
  <c r="H435" i="13"/>
  <c r="S475" i="13"/>
  <c r="H475" i="13"/>
  <c r="AC465" i="13"/>
  <c r="AD465" i="13" s="1"/>
  <c r="AC469" i="13"/>
  <c r="AD469" i="13" s="1"/>
  <c r="AE475" i="13"/>
  <c r="A408" i="14"/>
  <c r="A420" i="14"/>
  <c r="O420" i="14"/>
  <c r="A423" i="14"/>
  <c r="O423" i="14"/>
  <c r="O426" i="14"/>
  <c r="A430" i="14"/>
  <c r="O430" i="14"/>
  <c r="V437" i="14"/>
  <c r="D471" i="14"/>
  <c r="T473" i="14"/>
  <c r="J492" i="14"/>
  <c r="AC471" i="14"/>
  <c r="AC473" i="14"/>
  <c r="M473" i="14"/>
  <c r="Q492" i="14"/>
  <c r="A492" i="14"/>
  <c r="E465" i="14"/>
  <c r="L473" i="14"/>
  <c r="L492" i="14"/>
  <c r="T463" i="14"/>
  <c r="AC463" i="14"/>
  <c r="H463" i="14"/>
  <c r="S463" i="14"/>
  <c r="C463" i="14"/>
  <c r="N465" i="14"/>
  <c r="X465" i="14"/>
  <c r="B465" i="14"/>
  <c r="O465" i="14"/>
  <c r="X471" i="14"/>
  <c r="N473" i="14"/>
  <c r="N492" i="14"/>
  <c r="S500" i="14"/>
  <c r="C428" i="18"/>
  <c r="I418" i="18"/>
  <c r="I428" i="18"/>
  <c r="B422" i="18"/>
  <c r="J428" i="18"/>
  <c r="L428" i="18" s="1"/>
  <c r="C469" i="18"/>
  <c r="A469" i="18"/>
  <c r="H477" i="18"/>
  <c r="E416" i="8"/>
  <c r="M430" i="8"/>
  <c r="I465" i="8"/>
  <c r="E473" i="8"/>
  <c r="AC473" i="13"/>
  <c r="AD473" i="13" s="1"/>
  <c r="AC477" i="13"/>
  <c r="AD477" i="13" s="1"/>
  <c r="V496" i="13"/>
  <c r="AA496" i="13" s="1"/>
  <c r="AB496" i="13" s="1"/>
  <c r="B412" i="18"/>
  <c r="H428" i="13"/>
  <c r="R498" i="13"/>
  <c r="N498" i="13"/>
  <c r="B465" i="18"/>
  <c r="M459" i="14"/>
  <c r="AD477" i="14"/>
  <c r="L477" i="14"/>
  <c r="I477" i="14"/>
  <c r="T477" i="14"/>
  <c r="I482" i="14"/>
  <c r="J482" i="14"/>
  <c r="S490" i="14"/>
  <c r="I490" i="14"/>
  <c r="O408" i="13"/>
  <c r="M496" i="13"/>
  <c r="G498" i="13"/>
  <c r="D496" i="13"/>
  <c r="D498" i="13"/>
  <c r="A418" i="14"/>
  <c r="A424" i="14"/>
  <c r="T490" i="14"/>
  <c r="Y482" i="14"/>
  <c r="Y490" i="14"/>
  <c r="L482" i="14"/>
  <c r="D459" i="14"/>
  <c r="S482" i="14"/>
  <c r="G498" i="14"/>
  <c r="D433" i="18"/>
  <c r="D465" i="18"/>
  <c r="J498" i="8"/>
  <c r="G412" i="18"/>
  <c r="E412" i="18"/>
  <c r="C418" i="14"/>
  <c r="K418" i="14"/>
  <c r="S418" i="14"/>
  <c r="AA418" i="14"/>
  <c r="AB418" i="14" s="1"/>
  <c r="G418" i="8"/>
  <c r="W418" i="8" s="1"/>
  <c r="P418" i="8"/>
  <c r="E418" i="8"/>
  <c r="M418" i="8"/>
  <c r="Q418" i="8"/>
  <c r="K418" i="8"/>
  <c r="I418" i="8"/>
  <c r="T418" i="8"/>
  <c r="J418" i="19" s="1"/>
  <c r="C424" i="14"/>
  <c r="K424" i="14"/>
  <c r="S424" i="14"/>
  <c r="AA424" i="14"/>
  <c r="AB424" i="14" s="1"/>
  <c r="C424" i="8"/>
  <c r="K424" i="8"/>
  <c r="T424" i="8"/>
  <c r="J424" i="19" s="1"/>
  <c r="P424" i="8"/>
  <c r="G424" i="8"/>
  <c r="W424" i="8" s="1"/>
  <c r="P459" i="8"/>
  <c r="G459" i="8"/>
  <c r="W459" i="8" s="1"/>
  <c r="T459" i="8"/>
  <c r="J459" i="19" s="1"/>
  <c r="C459" i="8"/>
  <c r="K459" i="8"/>
  <c r="J465" i="18"/>
  <c r="N465" i="18" s="1"/>
  <c r="O465" i="18" s="1"/>
  <c r="G465" i="18"/>
  <c r="H465" i="18"/>
  <c r="E465" i="18"/>
  <c r="B469" i="14"/>
  <c r="Y469" i="14"/>
  <c r="Q469" i="14"/>
  <c r="I469" i="14"/>
  <c r="C469" i="8"/>
  <c r="K469" i="8"/>
  <c r="T469" i="8"/>
  <c r="J469" i="19" s="1"/>
  <c r="H469" i="8"/>
  <c r="E443" i="9" s="1"/>
  <c r="Q469" i="8"/>
  <c r="E469" i="8"/>
  <c r="M469" i="8"/>
  <c r="S469" i="8"/>
  <c r="N469" i="8"/>
  <c r="P469" i="8"/>
  <c r="L469" i="8"/>
  <c r="I469" i="8"/>
  <c r="D469" i="8"/>
  <c r="E469" i="19" s="1"/>
  <c r="R469" i="8"/>
  <c r="B469" i="8"/>
  <c r="C469" i="19" s="1"/>
  <c r="H473" i="18"/>
  <c r="E473" i="18"/>
  <c r="X477" i="14"/>
  <c r="N477" i="14"/>
  <c r="C477" i="14"/>
  <c r="R477" i="14"/>
  <c r="G477" i="14"/>
  <c r="E477" i="14"/>
  <c r="M477" i="14"/>
  <c r="U477" i="14"/>
  <c r="AC477" i="14"/>
  <c r="Z477" i="14"/>
  <c r="O477" i="14"/>
  <c r="D477" i="14"/>
  <c r="D477" i="8"/>
  <c r="E477" i="19" s="1"/>
  <c r="L477" i="8"/>
  <c r="U477" i="8"/>
  <c r="I477" i="19" s="1"/>
  <c r="I477" i="8"/>
  <c r="R477" i="8"/>
  <c r="Q477" i="8"/>
  <c r="M477" i="8"/>
  <c r="H477" i="8"/>
  <c r="E451" i="9" s="1"/>
  <c r="X482" i="14"/>
  <c r="N482" i="14"/>
  <c r="C482" i="14"/>
  <c r="R482" i="14"/>
  <c r="G482" i="14"/>
  <c r="E482" i="14"/>
  <c r="M482" i="14"/>
  <c r="U482" i="14"/>
  <c r="AC482" i="14"/>
  <c r="Z482" i="14"/>
  <c r="O482" i="14"/>
  <c r="D482" i="14"/>
  <c r="M482" i="8"/>
  <c r="H482" i="8"/>
  <c r="E456" i="9" s="1"/>
  <c r="Q482" i="8"/>
  <c r="J482" i="8"/>
  <c r="N482" i="8"/>
  <c r="C482" i="8"/>
  <c r="G482" i="8"/>
  <c r="W482" i="8" s="1"/>
  <c r="D482" i="8"/>
  <c r="E482" i="19" s="1"/>
  <c r="U482" i="8"/>
  <c r="I482" i="19" s="1"/>
  <c r="E482" i="8"/>
  <c r="T482" i="8"/>
  <c r="J482" i="19" s="1"/>
  <c r="L482" i="8"/>
  <c r="I482" i="8"/>
  <c r="X490" i="14"/>
  <c r="N490" i="14"/>
  <c r="C490" i="14"/>
  <c r="R490" i="14"/>
  <c r="G490" i="14"/>
  <c r="E490" i="14"/>
  <c r="M490" i="14"/>
  <c r="U490" i="14"/>
  <c r="AC490" i="14"/>
  <c r="Z490" i="14"/>
  <c r="O490" i="14"/>
  <c r="D490" i="14"/>
  <c r="Q494" i="8"/>
  <c r="U494" i="8"/>
  <c r="I494" i="19" s="1"/>
  <c r="E494" i="8"/>
  <c r="G484" i="18"/>
  <c r="D484" i="18"/>
  <c r="A484" i="18"/>
  <c r="H484" i="18"/>
  <c r="J484" i="18"/>
  <c r="M484" i="18" s="1"/>
  <c r="G430" i="18"/>
  <c r="A430" i="18"/>
  <c r="I430" i="18"/>
  <c r="C435" i="14"/>
  <c r="K435" i="14"/>
  <c r="S435" i="14"/>
  <c r="AA435" i="14"/>
  <c r="AB435" i="14" s="1"/>
  <c r="AF435" i="14"/>
  <c r="M435" i="19" s="1"/>
  <c r="U435" i="14"/>
  <c r="J435" i="14"/>
  <c r="D435" i="8"/>
  <c r="E435" i="19" s="1"/>
  <c r="L435" i="8"/>
  <c r="U435" i="8"/>
  <c r="I435" i="19" s="1"/>
  <c r="Q435" i="8"/>
  <c r="D437" i="18"/>
  <c r="A437" i="18"/>
  <c r="AC467" i="14"/>
  <c r="U467" i="14"/>
  <c r="M467" i="14"/>
  <c r="E467" i="14"/>
  <c r="T475" i="8"/>
  <c r="J475" i="19" s="1"/>
  <c r="AA498" i="14"/>
  <c r="AB498" i="14" s="1"/>
  <c r="S498" i="14"/>
  <c r="K498" i="14"/>
  <c r="C498" i="14"/>
  <c r="M498" i="8"/>
  <c r="D498" i="8"/>
  <c r="E498" i="19" s="1"/>
  <c r="L498" i="8"/>
  <c r="U498" i="8"/>
  <c r="I498" i="19" s="1"/>
  <c r="P498" i="8"/>
  <c r="E498" i="8"/>
  <c r="T498" i="8"/>
  <c r="I498" i="8"/>
  <c r="G498" i="8"/>
  <c r="W498" i="8" s="1"/>
  <c r="H498" i="8"/>
  <c r="E472" i="9" s="1"/>
  <c r="N498" i="8"/>
  <c r="E408" i="13"/>
  <c r="Z469" i="13"/>
  <c r="R496" i="13"/>
  <c r="C498" i="13"/>
  <c r="M498" i="13"/>
  <c r="V498" i="13"/>
  <c r="AA498" i="13" s="1"/>
  <c r="AB498" i="13" s="1"/>
  <c r="H496" i="13"/>
  <c r="H498" i="13"/>
  <c r="E435" i="14"/>
  <c r="Z435" i="14"/>
  <c r="W418" i="14"/>
  <c r="G418" i="14"/>
  <c r="W424" i="14"/>
  <c r="G424" i="14"/>
  <c r="G429" i="14"/>
  <c r="W435" i="14"/>
  <c r="G435" i="14"/>
  <c r="I467" i="14"/>
  <c r="Y467" i="14"/>
  <c r="M469" i="14"/>
  <c r="AC469" i="14"/>
  <c r="B467" i="14"/>
  <c r="J477" i="14"/>
  <c r="T482" i="14"/>
  <c r="J490" i="14"/>
  <c r="Q477" i="14"/>
  <c r="A477" i="14"/>
  <c r="Q482" i="14"/>
  <c r="A482" i="14"/>
  <c r="Q490" i="14"/>
  <c r="A490" i="14"/>
  <c r="W477" i="14"/>
  <c r="W482" i="14"/>
  <c r="W490" i="14"/>
  <c r="S477" i="14"/>
  <c r="H482" i="14"/>
  <c r="AD482" i="14"/>
  <c r="H490" i="14"/>
  <c r="AD490" i="14"/>
  <c r="O498" i="14"/>
  <c r="G408" i="18"/>
  <c r="C412" i="18"/>
  <c r="E430" i="18"/>
  <c r="A433" i="18"/>
  <c r="H437" i="18"/>
  <c r="A473" i="18"/>
  <c r="A465" i="18"/>
  <c r="C465" i="18"/>
  <c r="R418" i="8"/>
  <c r="H435" i="8"/>
  <c r="E409" i="9" s="1"/>
  <c r="P482" i="8"/>
  <c r="U469" i="8"/>
  <c r="I469" i="19" s="1"/>
  <c r="Q498" i="8"/>
  <c r="S482" i="8"/>
  <c r="Z477" i="13"/>
  <c r="F409" i="8"/>
  <c r="F409" i="18"/>
  <c r="F409" i="14"/>
  <c r="F409" i="13"/>
  <c r="F413" i="8"/>
  <c r="F413" i="18"/>
  <c r="F413" i="14"/>
  <c r="F413" i="13"/>
  <c r="F417" i="8"/>
  <c r="F417" i="18"/>
  <c r="F417" i="14"/>
  <c r="F417" i="13"/>
  <c r="F434" i="8"/>
  <c r="F434" i="18"/>
  <c r="F434" i="14"/>
  <c r="F434" i="13"/>
  <c r="F438" i="8"/>
  <c r="F438" i="18"/>
  <c r="F438" i="14"/>
  <c r="F438" i="13"/>
  <c r="F442" i="8"/>
  <c r="F442" i="18"/>
  <c r="F442" i="14"/>
  <c r="F442" i="13"/>
  <c r="F446" i="8"/>
  <c r="F446" i="18"/>
  <c r="F446" i="14"/>
  <c r="F446" i="13"/>
  <c r="F450" i="8"/>
  <c r="F450" i="18"/>
  <c r="F450" i="14"/>
  <c r="F450" i="13"/>
  <c r="F454" i="8"/>
  <c r="F454" i="18"/>
  <c r="F454" i="14"/>
  <c r="F454" i="13"/>
  <c r="F458" i="8"/>
  <c r="F458" i="18"/>
  <c r="F458" i="14"/>
  <c r="F458" i="13"/>
  <c r="F462" i="8"/>
  <c r="F462" i="18"/>
  <c r="F462" i="14"/>
  <c r="F462" i="13"/>
  <c r="BP432" i="12"/>
  <c r="BP436" i="12"/>
  <c r="BP440" i="12"/>
  <c r="BP444" i="12"/>
  <c r="BP448" i="12"/>
  <c r="BP452" i="12"/>
  <c r="BP456" i="12"/>
  <c r="BP462" i="12"/>
  <c r="BP423" i="12"/>
  <c r="F439" i="8"/>
  <c r="F439" i="18"/>
  <c r="F439" i="14"/>
  <c r="F439" i="13"/>
  <c r="F441" i="8"/>
  <c r="F441" i="18"/>
  <c r="F441" i="14"/>
  <c r="F441" i="13"/>
  <c r="F443" i="8"/>
  <c r="F443" i="18"/>
  <c r="F443" i="14"/>
  <c r="F443" i="13"/>
  <c r="F445" i="8"/>
  <c r="F445" i="18"/>
  <c r="F445" i="14"/>
  <c r="F445" i="13"/>
  <c r="F447" i="8"/>
  <c r="F447" i="18"/>
  <c r="F447" i="14"/>
  <c r="F447" i="13"/>
  <c r="F449" i="8"/>
  <c r="F449" i="18"/>
  <c r="F449" i="14"/>
  <c r="F449" i="13"/>
  <c r="F451" i="8"/>
  <c r="F451" i="18"/>
  <c r="F451" i="14"/>
  <c r="F451" i="13"/>
  <c r="F453" i="8"/>
  <c r="F453" i="18"/>
  <c r="F453" i="14"/>
  <c r="F453" i="13"/>
  <c r="F455" i="8"/>
  <c r="F455" i="18"/>
  <c r="F455" i="14"/>
  <c r="F455" i="13"/>
  <c r="F457" i="8"/>
  <c r="F457" i="18"/>
  <c r="F457" i="14"/>
  <c r="F457" i="13"/>
  <c r="BP464" i="12"/>
  <c r="F466" i="8"/>
  <c r="F466" i="18"/>
  <c r="F466" i="14"/>
  <c r="F466" i="13"/>
  <c r="BP468" i="12"/>
  <c r="F470" i="8"/>
  <c r="F470" i="18"/>
  <c r="F470" i="14"/>
  <c r="F470" i="13"/>
  <c r="BP472" i="12"/>
  <c r="F474" i="8"/>
  <c r="F474" i="18"/>
  <c r="F474" i="14"/>
  <c r="F474" i="13"/>
  <c r="BP476" i="12"/>
  <c r="BP478" i="12"/>
  <c r="F479" i="8"/>
  <c r="F479" i="18"/>
  <c r="F479" i="14"/>
  <c r="F479" i="13"/>
  <c r="F483" i="8"/>
  <c r="F483" i="18"/>
  <c r="F483" i="14"/>
  <c r="F483" i="13"/>
  <c r="F487" i="8"/>
  <c r="F487" i="18"/>
  <c r="F487" i="14"/>
  <c r="F487" i="13"/>
  <c r="F491" i="8"/>
  <c r="F491" i="18"/>
  <c r="F491" i="14"/>
  <c r="F491" i="13"/>
  <c r="F497" i="8"/>
  <c r="F497" i="18"/>
  <c r="F497" i="14"/>
  <c r="F497" i="13"/>
  <c r="F499" i="8"/>
  <c r="F499" i="18"/>
  <c r="F499" i="14"/>
  <c r="F499" i="13"/>
  <c r="AA418" i="13"/>
  <c r="AB418" i="13" s="1"/>
  <c r="AC418" i="13" s="1"/>
  <c r="AD418" i="13" s="1"/>
  <c r="F411" i="8"/>
  <c r="F411" i="18"/>
  <c r="F411" i="14"/>
  <c r="F411" i="13"/>
  <c r="F415" i="8"/>
  <c r="F415" i="18"/>
  <c r="F415" i="14"/>
  <c r="F415" i="13"/>
  <c r="F419" i="8"/>
  <c r="F419" i="18"/>
  <c r="F419" i="14"/>
  <c r="F419" i="13"/>
  <c r="F421" i="8"/>
  <c r="F421" i="18"/>
  <c r="F421" i="14"/>
  <c r="F421" i="13"/>
  <c r="F432" i="8"/>
  <c r="F432" i="18"/>
  <c r="F432" i="14"/>
  <c r="F432" i="13"/>
  <c r="F436" i="8"/>
  <c r="F436" i="18"/>
  <c r="F436" i="14"/>
  <c r="F436" i="13"/>
  <c r="F440" i="8"/>
  <c r="F440" i="18"/>
  <c r="F440" i="14"/>
  <c r="F440" i="13"/>
  <c r="F444" i="8"/>
  <c r="F444" i="18"/>
  <c r="F444" i="14"/>
  <c r="F444" i="13"/>
  <c r="F448" i="8"/>
  <c r="F448" i="18"/>
  <c r="F448" i="14"/>
  <c r="F448" i="13"/>
  <c r="F452" i="8"/>
  <c r="F452" i="18"/>
  <c r="F452" i="14"/>
  <c r="F452" i="13"/>
  <c r="F456" i="8"/>
  <c r="F456" i="18"/>
  <c r="F456" i="14"/>
  <c r="F456" i="13"/>
  <c r="F460" i="8"/>
  <c r="F460" i="18"/>
  <c r="F460" i="14"/>
  <c r="F460" i="13"/>
  <c r="F464" i="8"/>
  <c r="F464" i="18"/>
  <c r="F464" i="14"/>
  <c r="F464" i="13"/>
  <c r="BP466" i="12"/>
  <c r="F468" i="8"/>
  <c r="F468" i="18"/>
  <c r="F468" i="14"/>
  <c r="F468" i="13"/>
  <c r="BP470" i="12"/>
  <c r="F472" i="8"/>
  <c r="F472" i="18"/>
  <c r="F472" i="14"/>
  <c r="F472" i="13"/>
  <c r="BP474" i="12"/>
  <c r="F476" i="8"/>
  <c r="F476" i="18"/>
  <c r="F476" i="14"/>
  <c r="F476" i="13"/>
  <c r="F478" i="8"/>
  <c r="F478" i="18"/>
  <c r="F478" i="14"/>
  <c r="F478" i="13"/>
  <c r="F481" i="8"/>
  <c r="F481" i="18"/>
  <c r="F481" i="14"/>
  <c r="F481" i="13"/>
  <c r="F485" i="8"/>
  <c r="F485" i="18"/>
  <c r="F485" i="14"/>
  <c r="F485" i="13"/>
  <c r="F489" i="8"/>
  <c r="F489" i="18"/>
  <c r="F489" i="14"/>
  <c r="F489" i="13"/>
  <c r="F493" i="8"/>
  <c r="F493" i="18"/>
  <c r="F493" i="14"/>
  <c r="F493" i="13"/>
  <c r="F495" i="8"/>
  <c r="F495" i="18"/>
  <c r="F495" i="14"/>
  <c r="F495" i="13"/>
  <c r="D430" i="13"/>
  <c r="B430" i="13"/>
  <c r="H430" i="13"/>
  <c r="N430" i="13"/>
  <c r="S430" i="13"/>
  <c r="V430" i="13"/>
  <c r="C430" i="13"/>
  <c r="G430" i="13"/>
  <c r="M430" i="13"/>
  <c r="Q430" i="13"/>
  <c r="U430" i="13"/>
  <c r="AG430" i="13" s="1"/>
  <c r="B482" i="13"/>
  <c r="A482" i="13"/>
  <c r="D482" i="13"/>
  <c r="H482" i="13"/>
  <c r="L482" i="13"/>
  <c r="N482" i="13"/>
  <c r="Q482" i="13"/>
  <c r="S482" i="13"/>
  <c r="U482" i="13"/>
  <c r="AG482" i="13" s="1"/>
  <c r="C482" i="13"/>
  <c r="E482" i="13"/>
  <c r="G482" i="13"/>
  <c r="J482" i="13"/>
  <c r="M482" i="13"/>
  <c r="O482" i="13"/>
  <c r="R482" i="13"/>
  <c r="T482" i="13"/>
  <c r="V482" i="13"/>
  <c r="Z482" i="13" s="1"/>
  <c r="AE482" i="13"/>
  <c r="B486" i="13"/>
  <c r="Q486" i="13"/>
  <c r="A486" i="13"/>
  <c r="O486" i="13"/>
  <c r="L500" i="13"/>
  <c r="E408" i="14"/>
  <c r="Z408" i="14"/>
  <c r="V408" i="14"/>
  <c r="C382" i="9"/>
  <c r="B408" i="8"/>
  <c r="C408" i="19" s="1"/>
  <c r="E408" i="8"/>
  <c r="H408" i="8"/>
  <c r="E382" i="9" s="1"/>
  <c r="J408" i="8"/>
  <c r="M408" i="8"/>
  <c r="Q408" i="8"/>
  <c r="S408" i="8"/>
  <c r="D408" i="8"/>
  <c r="E408" i="19" s="1"/>
  <c r="I408" i="8"/>
  <c r="L408" i="8"/>
  <c r="N408" i="8"/>
  <c r="R408" i="8"/>
  <c r="U408" i="8"/>
  <c r="I408" i="19" s="1"/>
  <c r="X408" i="8"/>
  <c r="M410" i="14"/>
  <c r="AF410" i="14"/>
  <c r="M410" i="19" s="1"/>
  <c r="Z412" i="14"/>
  <c r="B412" i="8"/>
  <c r="C412" i="19" s="1"/>
  <c r="C386" i="9"/>
  <c r="L412" i="8"/>
  <c r="R412" i="8"/>
  <c r="X412" i="8"/>
  <c r="D412" i="8"/>
  <c r="E412" i="19" s="1"/>
  <c r="I412" i="8"/>
  <c r="N412" i="8"/>
  <c r="U412" i="8"/>
  <c r="I412" i="19" s="1"/>
  <c r="AD416" i="14"/>
  <c r="C390" i="9"/>
  <c r="S416" i="8"/>
  <c r="H418" i="18"/>
  <c r="D418" i="18"/>
  <c r="J418" i="18"/>
  <c r="B418" i="18"/>
  <c r="B420" i="14"/>
  <c r="E420" i="14"/>
  <c r="H420" i="14"/>
  <c r="J420" i="14"/>
  <c r="M420" i="14"/>
  <c r="P420" i="14"/>
  <c r="R420" i="14"/>
  <c r="U420" i="14"/>
  <c r="X420" i="14"/>
  <c r="Z420" i="14"/>
  <c r="AD420" i="14"/>
  <c r="D420" i="14"/>
  <c r="I420" i="14"/>
  <c r="L420" i="14"/>
  <c r="N420" i="14"/>
  <c r="Q420" i="14"/>
  <c r="T420" i="14"/>
  <c r="V420" i="14"/>
  <c r="Y420" i="14"/>
  <c r="AC420" i="14"/>
  <c r="AF420" i="14"/>
  <c r="M420" i="19" s="1"/>
  <c r="H422" i="18"/>
  <c r="D422" i="18"/>
  <c r="B423" i="14"/>
  <c r="E423" i="14"/>
  <c r="H423" i="14"/>
  <c r="J423" i="14"/>
  <c r="M423" i="14"/>
  <c r="P423" i="14"/>
  <c r="R423" i="14"/>
  <c r="U423" i="14"/>
  <c r="X423" i="14"/>
  <c r="Z423" i="14"/>
  <c r="AD423" i="14"/>
  <c r="D423" i="14"/>
  <c r="I423" i="14"/>
  <c r="L423" i="14"/>
  <c r="N423" i="14"/>
  <c r="Q423" i="14"/>
  <c r="T423" i="14"/>
  <c r="V423" i="14"/>
  <c r="Y423" i="14"/>
  <c r="AC423" i="14"/>
  <c r="AF423" i="14"/>
  <c r="M423" i="19" s="1"/>
  <c r="J426" i="14"/>
  <c r="P426" i="14"/>
  <c r="U426" i="14"/>
  <c r="Z426" i="14"/>
  <c r="D426" i="14"/>
  <c r="L426" i="14"/>
  <c r="Q426" i="14"/>
  <c r="V426" i="14"/>
  <c r="AC426" i="14"/>
  <c r="B429" i="18"/>
  <c r="E429" i="18"/>
  <c r="G429" i="18"/>
  <c r="J429" i="18"/>
  <c r="N429" i="18" s="1"/>
  <c r="O429" i="18" s="1"/>
  <c r="C429" i="18"/>
  <c r="I429" i="18"/>
  <c r="I459" i="18"/>
  <c r="L463" i="14"/>
  <c r="U463" i="14"/>
  <c r="AF463" i="14"/>
  <c r="M463" i="19" s="1"/>
  <c r="A463" i="14"/>
  <c r="J463" i="14"/>
  <c r="Q463" i="14"/>
  <c r="V463" i="14"/>
  <c r="J463" i="8"/>
  <c r="L465" i="14"/>
  <c r="U465" i="14"/>
  <c r="AF465" i="14"/>
  <c r="M465" i="19" s="1"/>
  <c r="A465" i="14"/>
  <c r="J465" i="14"/>
  <c r="Q465" i="14"/>
  <c r="V465" i="14"/>
  <c r="B465" i="8"/>
  <c r="C465" i="19" s="1"/>
  <c r="C439" i="9"/>
  <c r="N465" i="8"/>
  <c r="J465" i="8"/>
  <c r="X465" i="8"/>
  <c r="G469" i="18"/>
  <c r="B469" i="18"/>
  <c r="J469" i="18"/>
  <c r="B473" i="14"/>
  <c r="P473" i="14"/>
  <c r="AA473" i="14"/>
  <c r="AB473" i="14" s="1"/>
  <c r="K473" i="14"/>
  <c r="V473" i="14"/>
  <c r="AF473" i="14"/>
  <c r="M473" i="19" s="1"/>
  <c r="B473" i="8"/>
  <c r="C473" i="19" s="1"/>
  <c r="C447" i="9"/>
  <c r="N473" i="8"/>
  <c r="J473" i="8"/>
  <c r="X473" i="8"/>
  <c r="C477" i="18"/>
  <c r="D477" i="18"/>
  <c r="G477" i="18"/>
  <c r="B477" i="18"/>
  <c r="J477" i="18"/>
  <c r="B482" i="18"/>
  <c r="A482" i="18"/>
  <c r="D482" i="18"/>
  <c r="H482" i="18"/>
  <c r="J482" i="18"/>
  <c r="L482" i="18" s="1"/>
  <c r="C482" i="18"/>
  <c r="E482" i="18"/>
  <c r="G482" i="18"/>
  <c r="I482" i="18"/>
  <c r="G494" i="18"/>
  <c r="B496" i="8"/>
  <c r="C496" i="19" s="1"/>
  <c r="C470" i="9"/>
  <c r="D496" i="8"/>
  <c r="E496" i="19" s="1"/>
  <c r="H496" i="8"/>
  <c r="E470" i="9" s="1"/>
  <c r="J496" i="8"/>
  <c r="L496" i="8"/>
  <c r="N496" i="8"/>
  <c r="Q496" i="8"/>
  <c r="S496" i="8"/>
  <c r="U496" i="8"/>
  <c r="I496" i="19" s="1"/>
  <c r="X496" i="8"/>
  <c r="C496" i="8"/>
  <c r="E496" i="8"/>
  <c r="G496" i="8"/>
  <c r="I496" i="8"/>
  <c r="K496" i="8"/>
  <c r="M496" i="8"/>
  <c r="P496" i="8"/>
  <c r="R496" i="8"/>
  <c r="T496" i="8"/>
  <c r="J496" i="19" s="1"/>
  <c r="H484" i="8"/>
  <c r="E458" i="9" s="1"/>
  <c r="Q484" i="8"/>
  <c r="C484" i="8"/>
  <c r="K484" i="8"/>
  <c r="T484" i="8"/>
  <c r="B488" i="18"/>
  <c r="C488" i="18"/>
  <c r="I488" i="18"/>
  <c r="B435" i="13"/>
  <c r="E435" i="13"/>
  <c r="L435" i="13"/>
  <c r="S435" i="13"/>
  <c r="N435" i="13"/>
  <c r="T435" i="13"/>
  <c r="C475" i="13"/>
  <c r="E475" i="13"/>
  <c r="G475" i="13"/>
  <c r="M475" i="13"/>
  <c r="R475" i="13"/>
  <c r="U475" i="13"/>
  <c r="AG475" i="13" s="1"/>
  <c r="B475" i="13"/>
  <c r="L475" i="13"/>
  <c r="O475" i="13"/>
  <c r="T475" i="13"/>
  <c r="B430" i="14"/>
  <c r="E430" i="14"/>
  <c r="H430" i="14"/>
  <c r="J430" i="14"/>
  <c r="M430" i="14"/>
  <c r="P430" i="14"/>
  <c r="R430" i="14"/>
  <c r="U430" i="14"/>
  <c r="X430" i="14"/>
  <c r="Z430" i="14"/>
  <c r="AD430" i="14"/>
  <c r="D430" i="14"/>
  <c r="I430" i="14"/>
  <c r="L430" i="14"/>
  <c r="N430" i="14"/>
  <c r="Q430" i="14"/>
  <c r="T430" i="14"/>
  <c r="V430" i="14"/>
  <c r="Y430" i="14"/>
  <c r="AC430" i="14"/>
  <c r="AF430" i="14"/>
  <c r="M430" i="19" s="1"/>
  <c r="C404" i="9"/>
  <c r="B430" i="8"/>
  <c r="C430" i="19" s="1"/>
  <c r="D430" i="8"/>
  <c r="E430" i="19" s="1"/>
  <c r="G430" i="8"/>
  <c r="J430" i="8"/>
  <c r="L430" i="8"/>
  <c r="P430" i="8"/>
  <c r="S430" i="8"/>
  <c r="U430" i="8"/>
  <c r="I430" i="19" s="1"/>
  <c r="C430" i="8"/>
  <c r="H430" i="8"/>
  <c r="E404" i="9" s="1"/>
  <c r="K430" i="8"/>
  <c r="N430" i="8"/>
  <c r="Q430" i="8"/>
  <c r="T430" i="8"/>
  <c r="J430" i="19" s="1"/>
  <c r="X430" i="8"/>
  <c r="B431" i="18"/>
  <c r="C431" i="18"/>
  <c r="E431" i="18"/>
  <c r="G431" i="18"/>
  <c r="I431" i="18"/>
  <c r="A431" i="18"/>
  <c r="D431" i="18"/>
  <c r="H431" i="18"/>
  <c r="J431" i="18"/>
  <c r="K431" i="18" s="1"/>
  <c r="B433" i="14"/>
  <c r="M433" i="14"/>
  <c r="X433" i="14"/>
  <c r="I433" i="14"/>
  <c r="T433" i="14"/>
  <c r="AF433" i="14"/>
  <c r="M433" i="19" s="1"/>
  <c r="B435" i="18"/>
  <c r="C435" i="18"/>
  <c r="E435" i="18"/>
  <c r="G435" i="18"/>
  <c r="I435" i="18"/>
  <c r="A435" i="18"/>
  <c r="D435" i="18"/>
  <c r="H435" i="18"/>
  <c r="J435" i="18"/>
  <c r="M435" i="18" s="1"/>
  <c r="L437" i="14"/>
  <c r="T437" i="14"/>
  <c r="B437" i="8"/>
  <c r="C437" i="19" s="1"/>
  <c r="C411" i="9"/>
  <c r="D437" i="8"/>
  <c r="E437" i="19" s="1"/>
  <c r="H437" i="8"/>
  <c r="E411" i="9" s="1"/>
  <c r="J437" i="8"/>
  <c r="L437" i="8"/>
  <c r="N437" i="8"/>
  <c r="Q437" i="8"/>
  <c r="S437" i="8"/>
  <c r="U437" i="8"/>
  <c r="I437" i="19" s="1"/>
  <c r="X437" i="8"/>
  <c r="C437" i="8"/>
  <c r="E437" i="8"/>
  <c r="G437" i="8"/>
  <c r="I437" i="8"/>
  <c r="K437" i="8"/>
  <c r="M437" i="8"/>
  <c r="P437" i="8"/>
  <c r="R437" i="8"/>
  <c r="T437" i="8"/>
  <c r="P471" i="14"/>
  <c r="K471" i="14"/>
  <c r="AF471" i="14"/>
  <c r="M471" i="19" s="1"/>
  <c r="B471" i="8"/>
  <c r="C471" i="19" s="1"/>
  <c r="C445" i="9"/>
  <c r="D471" i="8"/>
  <c r="E471" i="19" s="1"/>
  <c r="I471" i="8"/>
  <c r="L471" i="8"/>
  <c r="N471" i="8"/>
  <c r="R471" i="8"/>
  <c r="U471" i="8"/>
  <c r="I471" i="19" s="1"/>
  <c r="X471" i="8"/>
  <c r="E471" i="8"/>
  <c r="H471" i="8"/>
  <c r="E445" i="9" s="1"/>
  <c r="J471" i="8"/>
  <c r="M471" i="8"/>
  <c r="Q471" i="8"/>
  <c r="S471" i="8"/>
  <c r="B475" i="18"/>
  <c r="H475" i="18"/>
  <c r="D475" i="18"/>
  <c r="B492" i="14"/>
  <c r="P492" i="14"/>
  <c r="AA492" i="14"/>
  <c r="AB492" i="14" s="1"/>
  <c r="K492" i="14"/>
  <c r="V492" i="14"/>
  <c r="AF492" i="14"/>
  <c r="M492" i="19" s="1"/>
  <c r="I492" i="8"/>
  <c r="B498" i="18"/>
  <c r="C498" i="18"/>
  <c r="I498" i="18"/>
  <c r="A498" i="18"/>
  <c r="E498" i="18"/>
  <c r="G498" i="18"/>
  <c r="J498" i="18"/>
  <c r="L498" i="18" s="1"/>
  <c r="D500" i="14"/>
  <c r="Q500" i="14"/>
  <c r="Y500" i="14"/>
  <c r="AF500" i="14"/>
  <c r="M500" i="19" s="1"/>
  <c r="E500" i="14"/>
  <c r="J500" i="14"/>
  <c r="P500" i="14"/>
  <c r="U500" i="14"/>
  <c r="Z500" i="14"/>
  <c r="B500" i="8"/>
  <c r="C500" i="19" s="1"/>
  <c r="C474" i="9"/>
  <c r="C500" i="8"/>
  <c r="E500" i="8"/>
  <c r="G500" i="8"/>
  <c r="I500" i="8"/>
  <c r="K500" i="8"/>
  <c r="M500" i="8"/>
  <c r="P500" i="8"/>
  <c r="R500" i="8"/>
  <c r="T500" i="8"/>
  <c r="J500" i="19" s="1"/>
  <c r="D500" i="8"/>
  <c r="E500" i="19" s="1"/>
  <c r="H500" i="8"/>
  <c r="E474" i="9" s="1"/>
  <c r="J500" i="8"/>
  <c r="L500" i="8"/>
  <c r="N500" i="8"/>
  <c r="Q500" i="8"/>
  <c r="S500" i="8"/>
  <c r="U500" i="8"/>
  <c r="I500" i="19" s="1"/>
  <c r="X500" i="8"/>
  <c r="M408" i="13"/>
  <c r="AE408" i="13"/>
  <c r="J408" i="13"/>
  <c r="V408" i="13"/>
  <c r="T412" i="13"/>
  <c r="J412" i="13"/>
  <c r="S422" i="13"/>
  <c r="N433" i="13"/>
  <c r="B480" i="13"/>
  <c r="A480" i="13"/>
  <c r="D480" i="13"/>
  <c r="H480" i="13"/>
  <c r="L480" i="13"/>
  <c r="N480" i="13"/>
  <c r="Q480" i="13"/>
  <c r="S480" i="13"/>
  <c r="U480" i="13"/>
  <c r="AG480" i="13" s="1"/>
  <c r="C480" i="13"/>
  <c r="E480" i="13"/>
  <c r="G480" i="13"/>
  <c r="J480" i="13"/>
  <c r="M480" i="13"/>
  <c r="O480" i="13"/>
  <c r="R480" i="13"/>
  <c r="T480" i="13"/>
  <c r="V480" i="13"/>
  <c r="Z480" i="13" s="1"/>
  <c r="AE480" i="13"/>
  <c r="B496" i="13"/>
  <c r="L496" i="13"/>
  <c r="U496" i="13"/>
  <c r="AG496" i="13" s="1"/>
  <c r="J496" i="13"/>
  <c r="O496" i="13"/>
  <c r="T496" i="13"/>
  <c r="AE496" i="13"/>
  <c r="A412" i="18"/>
  <c r="D412" i="18"/>
  <c r="H412" i="18"/>
  <c r="J412" i="18"/>
  <c r="L412" i="18" s="1"/>
  <c r="B418" i="14"/>
  <c r="E418" i="14"/>
  <c r="H418" i="14"/>
  <c r="J418" i="14"/>
  <c r="M418" i="14"/>
  <c r="P418" i="14"/>
  <c r="R418" i="14"/>
  <c r="U418" i="14"/>
  <c r="X418" i="14"/>
  <c r="Z418" i="14"/>
  <c r="AD418" i="14"/>
  <c r="D418" i="14"/>
  <c r="I418" i="14"/>
  <c r="L418" i="14"/>
  <c r="N418" i="14"/>
  <c r="Q418" i="14"/>
  <c r="T418" i="14"/>
  <c r="V418" i="14"/>
  <c r="Y418" i="14"/>
  <c r="AC418" i="14"/>
  <c r="AF418" i="14"/>
  <c r="M418" i="19" s="1"/>
  <c r="H418" i="8"/>
  <c r="E392" i="9" s="1"/>
  <c r="C392" i="9"/>
  <c r="B418" i="8"/>
  <c r="C418" i="19" s="1"/>
  <c r="L418" i="8"/>
  <c r="S418" i="8"/>
  <c r="X418" i="8"/>
  <c r="D418" i="8"/>
  <c r="E418" i="19" s="1"/>
  <c r="J418" i="8"/>
  <c r="N418" i="8"/>
  <c r="U418" i="8"/>
  <c r="I418" i="19" s="1"/>
  <c r="B424" i="14"/>
  <c r="E424" i="14"/>
  <c r="H424" i="14"/>
  <c r="J424" i="14"/>
  <c r="M424" i="14"/>
  <c r="P424" i="14"/>
  <c r="R424" i="14"/>
  <c r="U424" i="14"/>
  <c r="X424" i="14"/>
  <c r="Z424" i="14"/>
  <c r="AD424" i="14"/>
  <c r="D424" i="14"/>
  <c r="I424" i="14"/>
  <c r="L424" i="14"/>
  <c r="N424" i="14"/>
  <c r="Q424" i="14"/>
  <c r="T424" i="14"/>
  <c r="V424" i="14"/>
  <c r="Y424" i="14"/>
  <c r="AC424" i="14"/>
  <c r="AF424" i="14"/>
  <c r="M424" i="19" s="1"/>
  <c r="C398" i="9"/>
  <c r="D424" i="8"/>
  <c r="E424" i="19" s="1"/>
  <c r="I424" i="8"/>
  <c r="L424" i="8"/>
  <c r="N424" i="8"/>
  <c r="R424" i="8"/>
  <c r="U424" i="8"/>
  <c r="I424" i="19" s="1"/>
  <c r="X424" i="8"/>
  <c r="B424" i="8"/>
  <c r="C424" i="19" s="1"/>
  <c r="E424" i="8"/>
  <c r="H424" i="8"/>
  <c r="E398" i="9" s="1"/>
  <c r="J424" i="8"/>
  <c r="M424" i="8"/>
  <c r="Q424" i="8"/>
  <c r="S424" i="8"/>
  <c r="D426" i="18"/>
  <c r="E429" i="14"/>
  <c r="J429" i="14"/>
  <c r="P429" i="14"/>
  <c r="U429" i="14"/>
  <c r="Z429" i="14"/>
  <c r="D429" i="14"/>
  <c r="L429" i="14"/>
  <c r="Q429" i="14"/>
  <c r="V429" i="14"/>
  <c r="AC429" i="14"/>
  <c r="N429" i="8"/>
  <c r="J459" i="14"/>
  <c r="A459" i="14"/>
  <c r="AF459" i="14"/>
  <c r="M459" i="19" s="1"/>
  <c r="B459" i="8"/>
  <c r="C459" i="19" s="1"/>
  <c r="C433" i="9"/>
  <c r="E459" i="8"/>
  <c r="H459" i="8"/>
  <c r="E433" i="9" s="1"/>
  <c r="J459" i="8"/>
  <c r="M459" i="8"/>
  <c r="Q459" i="8"/>
  <c r="S459" i="8"/>
  <c r="D459" i="8"/>
  <c r="E459" i="19" s="1"/>
  <c r="I459" i="8"/>
  <c r="L459" i="8"/>
  <c r="N459" i="8"/>
  <c r="R459" i="8"/>
  <c r="U459" i="8"/>
  <c r="I459" i="19" s="1"/>
  <c r="X459" i="8"/>
  <c r="A463" i="18"/>
  <c r="A469" i="14"/>
  <c r="D469" i="14"/>
  <c r="G469" i="14"/>
  <c r="J469" i="14"/>
  <c r="L469" i="14"/>
  <c r="O469" i="14"/>
  <c r="R469" i="14"/>
  <c r="T469" i="14"/>
  <c r="W469" i="14"/>
  <c r="Z469" i="14"/>
  <c r="AD469" i="14"/>
  <c r="C469" i="14"/>
  <c r="H469" i="14"/>
  <c r="K469" i="14"/>
  <c r="N469" i="14"/>
  <c r="P469" i="14"/>
  <c r="S469" i="14"/>
  <c r="V469" i="14"/>
  <c r="X469" i="14"/>
  <c r="AA469" i="14"/>
  <c r="AB469" i="14" s="1"/>
  <c r="AF469" i="14"/>
  <c r="M469" i="19" s="1"/>
  <c r="J469" i="8"/>
  <c r="C443" i="9"/>
  <c r="X469" i="8"/>
  <c r="C473" i="18"/>
  <c r="D473" i="18"/>
  <c r="G473" i="18"/>
  <c r="B473" i="18"/>
  <c r="J473" i="18"/>
  <c r="B477" i="14"/>
  <c r="P477" i="14"/>
  <c r="AA477" i="14"/>
  <c r="AB477" i="14" s="1"/>
  <c r="K477" i="14"/>
  <c r="V477" i="14"/>
  <c r="AF477" i="14"/>
  <c r="M477" i="19" s="1"/>
  <c r="C451" i="9"/>
  <c r="C477" i="8"/>
  <c r="G477" i="8"/>
  <c r="K477" i="8"/>
  <c r="P477" i="8"/>
  <c r="T477" i="8"/>
  <c r="J477" i="19" s="1"/>
  <c r="B477" i="8"/>
  <c r="C477" i="19" s="1"/>
  <c r="J477" i="8"/>
  <c r="N477" i="8"/>
  <c r="S477" i="8"/>
  <c r="X477" i="8"/>
  <c r="B482" i="14"/>
  <c r="P482" i="14"/>
  <c r="AA482" i="14"/>
  <c r="AB482" i="14" s="1"/>
  <c r="K482" i="14"/>
  <c r="V482" i="14"/>
  <c r="AF482" i="14"/>
  <c r="M482" i="19" s="1"/>
  <c r="B482" i="8"/>
  <c r="C482" i="19" s="1"/>
  <c r="C456" i="9"/>
  <c r="K482" i="8"/>
  <c r="X482" i="8"/>
  <c r="R482" i="8"/>
  <c r="B486" i="18"/>
  <c r="A486" i="18"/>
  <c r="D486" i="18"/>
  <c r="H486" i="18"/>
  <c r="J486" i="18"/>
  <c r="L486" i="18" s="1"/>
  <c r="C486" i="18"/>
  <c r="E486" i="18"/>
  <c r="G486" i="18"/>
  <c r="I486" i="18"/>
  <c r="B490" i="14"/>
  <c r="P490" i="14"/>
  <c r="AA490" i="14"/>
  <c r="AB490" i="14" s="1"/>
  <c r="K490" i="14"/>
  <c r="V490" i="14"/>
  <c r="AF490" i="14"/>
  <c r="M490" i="19" s="1"/>
  <c r="B494" i="14"/>
  <c r="A494" i="14"/>
  <c r="D494" i="14"/>
  <c r="H494" i="14"/>
  <c r="J494" i="14"/>
  <c r="L494" i="14"/>
  <c r="N494" i="14"/>
  <c r="P494" i="14"/>
  <c r="R494" i="14"/>
  <c r="T494" i="14"/>
  <c r="V494" i="14"/>
  <c r="X494" i="14"/>
  <c r="Z494" i="14"/>
  <c r="AD494" i="14"/>
  <c r="C494" i="14"/>
  <c r="E494" i="14"/>
  <c r="G494" i="14"/>
  <c r="I494" i="14"/>
  <c r="K494" i="14"/>
  <c r="M494" i="14"/>
  <c r="O494" i="14"/>
  <c r="Q494" i="14"/>
  <c r="S494" i="14"/>
  <c r="U494" i="14"/>
  <c r="W494" i="14"/>
  <c r="Y494" i="14"/>
  <c r="AA494" i="14"/>
  <c r="AB494" i="14" s="1"/>
  <c r="AC494" i="14"/>
  <c r="AF494" i="14"/>
  <c r="M494" i="19" s="1"/>
  <c r="C494" i="8"/>
  <c r="C468" i="9"/>
  <c r="B494" i="8"/>
  <c r="C494" i="19" s="1"/>
  <c r="G494" i="8"/>
  <c r="M494" i="8"/>
  <c r="S494" i="8"/>
  <c r="K494" i="8"/>
  <c r="R494" i="8"/>
  <c r="X494" i="8"/>
  <c r="E496" i="18"/>
  <c r="B484" i="18"/>
  <c r="C484" i="18"/>
  <c r="I484" i="18"/>
  <c r="M471" i="13"/>
  <c r="L471" i="13"/>
  <c r="B498" i="13"/>
  <c r="E498" i="13"/>
  <c r="J498" i="13"/>
  <c r="O498" i="13"/>
  <c r="T498" i="13"/>
  <c r="AE498" i="13"/>
  <c r="A498" i="13"/>
  <c r="L498" i="13"/>
  <c r="Q498" i="13"/>
  <c r="U498" i="13"/>
  <c r="AG498" i="13" s="1"/>
  <c r="B425" i="8"/>
  <c r="C425" i="19" s="1"/>
  <c r="C399" i="9"/>
  <c r="C425" i="8"/>
  <c r="E425" i="8"/>
  <c r="G425" i="8"/>
  <c r="I425" i="8"/>
  <c r="K425" i="8"/>
  <c r="M425" i="8"/>
  <c r="P425" i="8"/>
  <c r="R425" i="8"/>
  <c r="T425" i="8"/>
  <c r="J425" i="19" s="1"/>
  <c r="D425" i="8"/>
  <c r="E425" i="19" s="1"/>
  <c r="H425" i="8"/>
  <c r="E399" i="9" s="1"/>
  <c r="J425" i="8"/>
  <c r="L425" i="8"/>
  <c r="N425" i="8"/>
  <c r="Q425" i="8"/>
  <c r="S425" i="8"/>
  <c r="U425" i="8"/>
  <c r="I425" i="19" s="1"/>
  <c r="X425" i="8"/>
  <c r="B427" i="18"/>
  <c r="C427" i="18"/>
  <c r="E427" i="18"/>
  <c r="G427" i="18"/>
  <c r="I427" i="18"/>
  <c r="A427" i="18"/>
  <c r="D427" i="18"/>
  <c r="H427" i="18"/>
  <c r="J427" i="18"/>
  <c r="M427" i="18" s="1"/>
  <c r="B428" i="14"/>
  <c r="H428" i="14"/>
  <c r="M428" i="14"/>
  <c r="R428" i="14"/>
  <c r="X428" i="14"/>
  <c r="AD428" i="14"/>
  <c r="I428" i="14"/>
  <c r="N428" i="14"/>
  <c r="T428" i="14"/>
  <c r="Y428" i="14"/>
  <c r="AF428" i="14"/>
  <c r="M428" i="19" s="1"/>
  <c r="B430" i="18"/>
  <c r="D430" i="18"/>
  <c r="H430" i="18"/>
  <c r="C430" i="18"/>
  <c r="J430" i="18"/>
  <c r="E431" i="14"/>
  <c r="I431" i="14"/>
  <c r="AF431" i="14"/>
  <c r="M431" i="19" s="1"/>
  <c r="B433" i="18"/>
  <c r="E433" i="18"/>
  <c r="G433" i="18"/>
  <c r="J433" i="18"/>
  <c r="M433" i="18" s="1"/>
  <c r="C433" i="18"/>
  <c r="I433" i="18"/>
  <c r="B435" i="14"/>
  <c r="I435" i="14"/>
  <c r="M435" i="14"/>
  <c r="Q435" i="14"/>
  <c r="T435" i="14"/>
  <c r="X435" i="14"/>
  <c r="AC435" i="14"/>
  <c r="D435" i="14"/>
  <c r="H435" i="14"/>
  <c r="L435" i="14"/>
  <c r="N435" i="14"/>
  <c r="R435" i="14"/>
  <c r="V435" i="14"/>
  <c r="Y435" i="14"/>
  <c r="AD435" i="14"/>
  <c r="C409" i="9"/>
  <c r="C435" i="8"/>
  <c r="I435" i="8"/>
  <c r="K435" i="8"/>
  <c r="N435" i="8"/>
  <c r="R435" i="8"/>
  <c r="T435" i="8"/>
  <c r="X435" i="8"/>
  <c r="B435" i="8"/>
  <c r="C435" i="19" s="1"/>
  <c r="E435" i="8"/>
  <c r="G435" i="8"/>
  <c r="J435" i="8"/>
  <c r="M435" i="8"/>
  <c r="P435" i="8"/>
  <c r="S435" i="8"/>
  <c r="B437" i="18"/>
  <c r="E437" i="18"/>
  <c r="G437" i="18"/>
  <c r="J437" i="18"/>
  <c r="M437" i="18" s="1"/>
  <c r="C437" i="18"/>
  <c r="I437" i="18"/>
  <c r="A467" i="14"/>
  <c r="D467" i="14"/>
  <c r="G467" i="14"/>
  <c r="J467" i="14"/>
  <c r="L467" i="14"/>
  <c r="O467" i="14"/>
  <c r="R467" i="14"/>
  <c r="T467" i="14"/>
  <c r="W467" i="14"/>
  <c r="Z467" i="14"/>
  <c r="AF467" i="14"/>
  <c r="M467" i="19" s="1"/>
  <c r="C467" i="14"/>
  <c r="H467" i="14"/>
  <c r="K467" i="14"/>
  <c r="N467" i="14"/>
  <c r="P467" i="14"/>
  <c r="S467" i="14"/>
  <c r="V467" i="14"/>
  <c r="X467" i="14"/>
  <c r="AA467" i="14"/>
  <c r="AB467" i="14" s="1"/>
  <c r="AD467" i="14"/>
  <c r="E467" i="8"/>
  <c r="E471" i="18"/>
  <c r="B475" i="8"/>
  <c r="C475" i="19" s="1"/>
  <c r="E475" i="8"/>
  <c r="J475" i="8"/>
  <c r="Q475" i="8"/>
  <c r="D475" i="8"/>
  <c r="E475" i="19" s="1"/>
  <c r="L475" i="8"/>
  <c r="R475" i="8"/>
  <c r="X475" i="8"/>
  <c r="B498" i="14"/>
  <c r="D498" i="14"/>
  <c r="I498" i="14"/>
  <c r="L498" i="14"/>
  <c r="N498" i="14"/>
  <c r="Q498" i="14"/>
  <c r="T498" i="14"/>
  <c r="V498" i="14"/>
  <c r="Y498" i="14"/>
  <c r="AC498" i="14"/>
  <c r="AF498" i="14"/>
  <c r="M498" i="19" s="1"/>
  <c r="A498" i="14"/>
  <c r="E498" i="14"/>
  <c r="H498" i="14"/>
  <c r="J498" i="14"/>
  <c r="M498" i="14"/>
  <c r="P498" i="14"/>
  <c r="R498" i="14"/>
  <c r="U498" i="14"/>
  <c r="X498" i="14"/>
  <c r="Z498" i="14"/>
  <c r="AD498" i="14"/>
  <c r="B498" i="8"/>
  <c r="C498" i="19" s="1"/>
  <c r="C472" i="9"/>
  <c r="R498" i="8"/>
  <c r="K498" i="8"/>
  <c r="X498" i="8"/>
  <c r="B500" i="18"/>
  <c r="I500" i="18"/>
  <c r="J500" i="18"/>
  <c r="M500" i="18" s="1"/>
  <c r="Z465" i="13"/>
  <c r="Z473" i="13"/>
  <c r="Z494" i="13"/>
  <c r="C30" i="8"/>
  <c r="D29" i="19" s="1"/>
  <c r="D30" i="8"/>
  <c r="E29" i="19" s="1"/>
  <c r="B30" i="8"/>
  <c r="C29" i="19" s="1"/>
  <c r="D412" i="19" l="1"/>
  <c r="AF412" i="8"/>
  <c r="AH412" i="8"/>
  <c r="AG412" i="8"/>
  <c r="AE412" i="8"/>
  <c r="D471" i="19"/>
  <c r="AF471" i="8"/>
  <c r="AG471" i="8"/>
  <c r="AH471" i="8"/>
  <c r="AE471" i="8"/>
  <c r="D435" i="19"/>
  <c r="AF435" i="8"/>
  <c r="AH435" i="8"/>
  <c r="AG435" i="8"/>
  <c r="AE435" i="8"/>
  <c r="D425" i="19"/>
  <c r="AF425" i="8"/>
  <c r="AH425" i="8"/>
  <c r="AG425" i="8"/>
  <c r="AE425" i="8"/>
  <c r="D477" i="19"/>
  <c r="AF477" i="8"/>
  <c r="AH477" i="8"/>
  <c r="AG477" i="8"/>
  <c r="AE477" i="8"/>
  <c r="D496" i="19"/>
  <c r="AF496" i="8"/>
  <c r="AH496" i="8"/>
  <c r="AG496" i="8"/>
  <c r="AE496" i="8"/>
  <c r="D469" i="19"/>
  <c r="AF469" i="8"/>
  <c r="AG469" i="8"/>
  <c r="AH469" i="8"/>
  <c r="AE469" i="8"/>
  <c r="D494" i="19"/>
  <c r="AF494" i="8"/>
  <c r="AG494" i="8"/>
  <c r="AH494" i="8"/>
  <c r="AE494" i="8"/>
  <c r="D437" i="19"/>
  <c r="AF437" i="8"/>
  <c r="AH437" i="8"/>
  <c r="AG437" i="8"/>
  <c r="AE437" i="8"/>
  <c r="D430" i="19"/>
  <c r="AF430" i="8"/>
  <c r="AH430" i="8"/>
  <c r="AG430" i="8"/>
  <c r="AE430" i="8"/>
  <c r="D484" i="19"/>
  <c r="AF484" i="8"/>
  <c r="AH484" i="8"/>
  <c r="AG484" i="8"/>
  <c r="AE484" i="8"/>
  <c r="Y469" i="8"/>
  <c r="Z469" i="8" s="1"/>
  <c r="AB469" i="8" s="1"/>
  <c r="D408" i="19"/>
  <c r="AF408" i="8"/>
  <c r="AG408" i="8"/>
  <c r="AH408" i="8"/>
  <c r="AE408" i="8"/>
  <c r="D498" i="19"/>
  <c r="AF498" i="8"/>
  <c r="AH498" i="8"/>
  <c r="AG498" i="8"/>
  <c r="AE498" i="8"/>
  <c r="D473" i="19"/>
  <c r="AF473" i="8"/>
  <c r="AG473" i="8"/>
  <c r="AH473" i="8"/>
  <c r="AE473" i="8"/>
  <c r="D500" i="19"/>
  <c r="AF500" i="8"/>
  <c r="AH500" i="8"/>
  <c r="AG500" i="8"/>
  <c r="AE500" i="8"/>
  <c r="D482" i="19"/>
  <c r="AF482" i="8"/>
  <c r="AH482" i="8"/>
  <c r="AG482" i="8"/>
  <c r="AE482" i="8"/>
  <c r="D459" i="19"/>
  <c r="AF459" i="8"/>
  <c r="AH459" i="8"/>
  <c r="AG459" i="8"/>
  <c r="AE459" i="8"/>
  <c r="D424" i="19"/>
  <c r="AF424" i="8"/>
  <c r="AH424" i="8"/>
  <c r="AG424" i="8"/>
  <c r="AE424" i="8"/>
  <c r="D465" i="19"/>
  <c r="AF465" i="8"/>
  <c r="AG465" i="8"/>
  <c r="AH465" i="8"/>
  <c r="AE465" i="8"/>
  <c r="D418" i="19"/>
  <c r="AF418" i="8"/>
  <c r="AH418" i="8"/>
  <c r="AG418" i="8"/>
  <c r="AE418" i="8"/>
  <c r="G471" i="13"/>
  <c r="Z459" i="14"/>
  <c r="J426" i="18"/>
  <c r="B426" i="18"/>
  <c r="V486" i="14"/>
  <c r="O471" i="13"/>
  <c r="R471" i="13"/>
  <c r="C471" i="13"/>
  <c r="D496" i="18"/>
  <c r="R490" i="8"/>
  <c r="L459" i="14"/>
  <c r="P459" i="14"/>
  <c r="H426" i="18"/>
  <c r="D420" i="18"/>
  <c r="C407" i="9"/>
  <c r="E426" i="18"/>
  <c r="N486" i="14"/>
  <c r="E459" i="14"/>
  <c r="U433" i="8"/>
  <c r="I433" i="19" s="1"/>
  <c r="J490" i="8"/>
  <c r="I459" i="14"/>
  <c r="B471" i="13"/>
  <c r="V459" i="14"/>
  <c r="T471" i="13"/>
  <c r="U471" i="13"/>
  <c r="AG471" i="13" s="1"/>
  <c r="E471" i="13"/>
  <c r="Q459" i="14"/>
  <c r="U459" i="14"/>
  <c r="B420" i="18"/>
  <c r="B459" i="14"/>
  <c r="G475" i="19"/>
  <c r="V475" i="8"/>
  <c r="C475" i="8"/>
  <c r="Z437" i="14"/>
  <c r="H437" i="14"/>
  <c r="AD437" i="14"/>
  <c r="B437" i="14"/>
  <c r="N437" i="14"/>
  <c r="K437" i="14"/>
  <c r="AA437" i="14"/>
  <c r="AB437" i="14" s="1"/>
  <c r="U437" i="14"/>
  <c r="P437" i="14"/>
  <c r="G437" i="14"/>
  <c r="I437" i="14"/>
  <c r="D437" i="14"/>
  <c r="R437" i="14"/>
  <c r="M437" i="14"/>
  <c r="U475" i="8"/>
  <c r="I475" i="19" s="1"/>
  <c r="N475" i="8"/>
  <c r="I475" i="8"/>
  <c r="S475" i="8"/>
  <c r="M475" i="8"/>
  <c r="H475" i="8"/>
  <c r="E449" i="9" s="1"/>
  <c r="C449" i="9"/>
  <c r="Y437" i="14"/>
  <c r="A437" i="14"/>
  <c r="W437" i="14"/>
  <c r="AF437" i="14"/>
  <c r="M437" i="19" s="1"/>
  <c r="S437" i="14"/>
  <c r="AC437" i="14"/>
  <c r="O437" i="14"/>
  <c r="X437" i="14"/>
  <c r="U427" i="13"/>
  <c r="AG427" i="13" s="1"/>
  <c r="C427" i="13"/>
  <c r="C425" i="13"/>
  <c r="D425" i="13"/>
  <c r="E428" i="13"/>
  <c r="S428" i="13"/>
  <c r="D486" i="14"/>
  <c r="B486" i="14"/>
  <c r="A496" i="13"/>
  <c r="Q496" i="13"/>
  <c r="E496" i="13"/>
  <c r="AA426" i="14"/>
  <c r="AB426" i="14" s="1"/>
  <c r="E426" i="14"/>
  <c r="M426" i="14"/>
  <c r="R426" i="14"/>
  <c r="X426" i="14"/>
  <c r="AD426" i="14"/>
  <c r="I426" i="14"/>
  <c r="N426" i="14"/>
  <c r="T426" i="14"/>
  <c r="Y426" i="14"/>
  <c r="AF426" i="14"/>
  <c r="M426" i="19" s="1"/>
  <c r="H416" i="14"/>
  <c r="Y416" i="14"/>
  <c r="G416" i="8"/>
  <c r="W416" i="8" s="1"/>
  <c r="X416" i="8"/>
  <c r="E475" i="18"/>
  <c r="J475" i="18"/>
  <c r="M475" i="18" s="1"/>
  <c r="I475" i="18"/>
  <c r="Y475" i="14"/>
  <c r="A475" i="14"/>
  <c r="AD475" i="14"/>
  <c r="K459" i="14"/>
  <c r="R459" i="14"/>
  <c r="AD459" i="14"/>
  <c r="N459" i="14"/>
  <c r="I494" i="8"/>
  <c r="J494" i="8"/>
  <c r="N494" i="8"/>
  <c r="N471" i="14"/>
  <c r="W471" i="14"/>
  <c r="O471" i="14"/>
  <c r="AD471" i="14"/>
  <c r="H471" i="14"/>
  <c r="G471" i="14"/>
  <c r="I471" i="14"/>
  <c r="Y471" i="14"/>
  <c r="J471" i="14"/>
  <c r="Z471" i="14"/>
  <c r="M471" i="14"/>
  <c r="L471" i="14"/>
  <c r="C471" i="14"/>
  <c r="B471" i="14"/>
  <c r="AA471" i="14"/>
  <c r="AB471" i="14" s="1"/>
  <c r="V471" i="14"/>
  <c r="E433" i="8"/>
  <c r="I433" i="8"/>
  <c r="L433" i="8"/>
  <c r="B494" i="18"/>
  <c r="A494" i="18"/>
  <c r="C494" i="18"/>
  <c r="A428" i="14"/>
  <c r="C428" i="14"/>
  <c r="W428" i="14"/>
  <c r="S412" i="14"/>
  <c r="G412" i="14"/>
  <c r="C412" i="14"/>
  <c r="A412" i="14"/>
  <c r="P412" i="14"/>
  <c r="L412" i="14"/>
  <c r="H420" i="13"/>
  <c r="R420" i="13"/>
  <c r="U420" i="13"/>
  <c r="AG420" i="13" s="1"/>
  <c r="B420" i="13"/>
  <c r="W500" i="14"/>
  <c r="B500" i="14"/>
  <c r="I500" i="14"/>
  <c r="N500" i="14"/>
  <c r="T500" i="14"/>
  <c r="N500" i="13"/>
  <c r="M500" i="13"/>
  <c r="S500" i="13"/>
  <c r="B500" i="13"/>
  <c r="U500" i="13"/>
  <c r="AG500" i="13" s="1"/>
  <c r="T500" i="13"/>
  <c r="B484" i="8"/>
  <c r="C484" i="19" s="1"/>
  <c r="D484" i="8"/>
  <c r="E484" i="19" s="1"/>
  <c r="J484" i="8"/>
  <c r="N484" i="8"/>
  <c r="S484" i="8"/>
  <c r="X484" i="8"/>
  <c r="E484" i="8"/>
  <c r="I484" i="8"/>
  <c r="M484" i="8"/>
  <c r="R484" i="8"/>
  <c r="C459" i="18"/>
  <c r="B459" i="18"/>
  <c r="E459" i="18"/>
  <c r="O429" i="14"/>
  <c r="AA429" i="14"/>
  <c r="AB429" i="14" s="1"/>
  <c r="W408" i="14"/>
  <c r="AA408" i="14"/>
  <c r="AB408" i="14" s="1"/>
  <c r="J408" i="14"/>
  <c r="U408" i="14"/>
  <c r="D408" i="14"/>
  <c r="Q408" i="14"/>
  <c r="AC408" i="14"/>
  <c r="D492" i="8"/>
  <c r="E492" i="19" s="1"/>
  <c r="X492" i="8"/>
  <c r="R492" i="8"/>
  <c r="W433" i="14"/>
  <c r="G433" i="14"/>
  <c r="S433" i="14"/>
  <c r="A433" i="14"/>
  <c r="E433" i="14"/>
  <c r="J433" i="14"/>
  <c r="P433" i="14"/>
  <c r="U433" i="14"/>
  <c r="Z433" i="14"/>
  <c r="D433" i="14"/>
  <c r="L433" i="14"/>
  <c r="Q433" i="14"/>
  <c r="V433" i="14"/>
  <c r="AC433" i="14"/>
  <c r="P463" i="8"/>
  <c r="U463" i="8"/>
  <c r="I463" i="19" s="1"/>
  <c r="AA463" i="13"/>
  <c r="AB463" i="13" s="1"/>
  <c r="AC463" i="13" s="1"/>
  <c r="AD463" i="13" s="1"/>
  <c r="Z463" i="13"/>
  <c r="Z429" i="13"/>
  <c r="AA429" i="13"/>
  <c r="AB429" i="13" s="1"/>
  <c r="D408" i="13"/>
  <c r="H408" i="13"/>
  <c r="G408" i="13"/>
  <c r="AE437" i="13"/>
  <c r="C437" i="13"/>
  <c r="H437" i="13"/>
  <c r="D437" i="13"/>
  <c r="E437" i="13"/>
  <c r="R437" i="13"/>
  <c r="D412" i="13"/>
  <c r="B412" i="13"/>
  <c r="H486" i="13"/>
  <c r="N486" i="13"/>
  <c r="C486" i="13"/>
  <c r="M486" i="13"/>
  <c r="T486" i="13"/>
  <c r="AE486" i="13"/>
  <c r="E486" i="13"/>
  <c r="L486" i="13"/>
  <c r="R486" i="13"/>
  <c r="D500" i="18"/>
  <c r="E500" i="18"/>
  <c r="T431" i="14"/>
  <c r="X431" i="14"/>
  <c r="AC428" i="14"/>
  <c r="V428" i="14"/>
  <c r="Q428" i="14"/>
  <c r="L428" i="14"/>
  <c r="D428" i="14"/>
  <c r="Z428" i="14"/>
  <c r="U428" i="14"/>
  <c r="P428" i="14"/>
  <c r="J428" i="14"/>
  <c r="E428" i="14"/>
  <c r="N437" i="13"/>
  <c r="AF429" i="14"/>
  <c r="M429" i="19" s="1"/>
  <c r="Y429" i="14"/>
  <c r="T429" i="14"/>
  <c r="N429" i="14"/>
  <c r="I429" i="14"/>
  <c r="AD429" i="14"/>
  <c r="X429" i="14"/>
  <c r="R429" i="14"/>
  <c r="M429" i="14"/>
  <c r="H429" i="14"/>
  <c r="B429" i="14"/>
  <c r="J420" i="18"/>
  <c r="N420" i="18" s="1"/>
  <c r="O420" i="18" s="1"/>
  <c r="H420" i="18"/>
  <c r="R412" i="13"/>
  <c r="A412" i="13"/>
  <c r="L412" i="13"/>
  <c r="Q408" i="13"/>
  <c r="C408" i="13"/>
  <c r="T408" i="13"/>
  <c r="A408" i="13"/>
  <c r="AD500" i="14"/>
  <c r="X500" i="14"/>
  <c r="R500" i="14"/>
  <c r="M500" i="14"/>
  <c r="H500" i="14"/>
  <c r="A500" i="14"/>
  <c r="AC500" i="14"/>
  <c r="V500" i="14"/>
  <c r="L500" i="14"/>
  <c r="N492" i="8"/>
  <c r="Y433" i="14"/>
  <c r="N433" i="14"/>
  <c r="AD433" i="14"/>
  <c r="R433" i="14"/>
  <c r="H433" i="14"/>
  <c r="P484" i="8"/>
  <c r="G484" i="8"/>
  <c r="U484" i="8"/>
  <c r="I484" i="19" s="1"/>
  <c r="L484" i="8"/>
  <c r="C458" i="9"/>
  <c r="H494" i="18"/>
  <c r="I463" i="8"/>
  <c r="J459" i="18"/>
  <c r="K459" i="18" s="1"/>
  <c r="V412" i="14"/>
  <c r="E412" i="14"/>
  <c r="L408" i="14"/>
  <c r="P408" i="14"/>
  <c r="J500" i="13"/>
  <c r="U486" i="13"/>
  <c r="AG486" i="13" s="1"/>
  <c r="G486" i="13"/>
  <c r="V486" i="13"/>
  <c r="Z486" i="13" s="1"/>
  <c r="J486" i="13"/>
  <c r="J437" i="13"/>
  <c r="K429" i="14"/>
  <c r="G412" i="13"/>
  <c r="L437" i="13"/>
  <c r="S412" i="13"/>
  <c r="S486" i="13"/>
  <c r="T420" i="13"/>
  <c r="G500" i="14"/>
  <c r="C433" i="14"/>
  <c r="K463" i="8"/>
  <c r="K408" i="14"/>
  <c r="AE420" i="13"/>
  <c r="G459" i="18"/>
  <c r="H500" i="13"/>
  <c r="Y425" i="14"/>
  <c r="I494" i="18"/>
  <c r="E494" i="18"/>
  <c r="J494" i="18"/>
  <c r="L494" i="18" s="1"/>
  <c r="D494" i="18"/>
  <c r="H459" i="18"/>
  <c r="A459" i="18"/>
  <c r="D459" i="18"/>
  <c r="AC412" i="14"/>
  <c r="Q412" i="14"/>
  <c r="D412" i="14"/>
  <c r="U412" i="14"/>
  <c r="J412" i="14"/>
  <c r="AF408" i="14"/>
  <c r="M408" i="19" s="1"/>
  <c r="Y408" i="14"/>
  <c r="T408" i="14"/>
  <c r="N408" i="14"/>
  <c r="I408" i="14"/>
  <c r="AD408" i="14"/>
  <c r="X408" i="14"/>
  <c r="R408" i="14"/>
  <c r="M408" i="14"/>
  <c r="H408" i="14"/>
  <c r="B408" i="14"/>
  <c r="M420" i="13"/>
  <c r="W429" i="14"/>
  <c r="N408" i="13"/>
  <c r="R408" i="13"/>
  <c r="U408" i="13"/>
  <c r="AG408" i="13" s="1"/>
  <c r="P475" i="8"/>
  <c r="K475" i="8"/>
  <c r="S428" i="14"/>
  <c r="S429" i="14"/>
  <c r="C429" i="14"/>
  <c r="L408" i="13"/>
  <c r="A429" i="14"/>
  <c r="B408" i="13"/>
  <c r="O433" i="14"/>
  <c r="O408" i="14"/>
  <c r="C420" i="13"/>
  <c r="A420" i="13"/>
  <c r="AA433" i="14"/>
  <c r="AB433" i="14" s="1"/>
  <c r="K433" i="14"/>
  <c r="S408" i="14"/>
  <c r="C408" i="14"/>
  <c r="V420" i="13"/>
  <c r="AA420" i="13" s="1"/>
  <c r="AB420" i="13" s="1"/>
  <c r="D420" i="13"/>
  <c r="S408" i="13"/>
  <c r="G408" i="14"/>
  <c r="H500" i="18"/>
  <c r="A500" i="18"/>
  <c r="G500" i="18"/>
  <c r="AA475" i="14"/>
  <c r="AB475" i="14" s="1"/>
  <c r="B471" i="18"/>
  <c r="T437" i="13"/>
  <c r="B437" i="13"/>
  <c r="K490" i="8"/>
  <c r="C464" i="9"/>
  <c r="H408" i="18"/>
  <c r="V412" i="13"/>
  <c r="AA412" i="13" s="1"/>
  <c r="AB412" i="13" s="1"/>
  <c r="M412" i="13"/>
  <c r="E412" i="13"/>
  <c r="AE412" i="13"/>
  <c r="Q412" i="13"/>
  <c r="C412" i="13"/>
  <c r="Q433" i="8"/>
  <c r="H433" i="8"/>
  <c r="E407" i="9" s="1"/>
  <c r="M433" i="8"/>
  <c r="M467" i="13"/>
  <c r="N412" i="13"/>
  <c r="O412" i="13"/>
  <c r="O437" i="13"/>
  <c r="G437" i="13"/>
  <c r="A437" i="13"/>
  <c r="S437" i="13"/>
  <c r="H412" i="13"/>
  <c r="M437" i="13"/>
  <c r="G463" i="18"/>
  <c r="Q437" i="13"/>
  <c r="U412" i="13"/>
  <c r="AG412" i="13" s="1"/>
  <c r="V437" i="13"/>
  <c r="Z437" i="13" s="1"/>
  <c r="U437" i="13"/>
  <c r="AG437" i="13" s="1"/>
  <c r="J459" i="13"/>
  <c r="D467" i="13"/>
  <c r="G467" i="18"/>
  <c r="H425" i="19"/>
  <c r="AF425" i="19" s="1"/>
  <c r="W425" i="8"/>
  <c r="H430" i="19"/>
  <c r="Q430" i="19" s="1"/>
  <c r="W430" i="8"/>
  <c r="H475" i="19"/>
  <c r="S475" i="19" s="1"/>
  <c r="W475" i="8"/>
  <c r="H435" i="19"/>
  <c r="W435" i="19" s="1"/>
  <c r="W435" i="8"/>
  <c r="H494" i="19"/>
  <c r="T494" i="19" s="1"/>
  <c r="W494" i="8"/>
  <c r="H477" i="19"/>
  <c r="P477" i="19" s="1"/>
  <c r="W477" i="8"/>
  <c r="H500" i="19"/>
  <c r="N500" i="19" s="1"/>
  <c r="W500" i="8"/>
  <c r="H437" i="19"/>
  <c r="Q437" i="19" s="1"/>
  <c r="W437" i="8"/>
  <c r="H484" i="19"/>
  <c r="P484" i="19" s="1"/>
  <c r="W484" i="8"/>
  <c r="H496" i="19"/>
  <c r="K496" i="19" s="1"/>
  <c r="W496" i="8"/>
  <c r="H469" i="19"/>
  <c r="W469" i="8"/>
  <c r="B445" i="9"/>
  <c r="Q445" i="9" s="1"/>
  <c r="F471" i="19"/>
  <c r="G456" i="19"/>
  <c r="V456" i="8"/>
  <c r="G440" i="19"/>
  <c r="V440" i="8"/>
  <c r="G421" i="19"/>
  <c r="V421" i="8"/>
  <c r="G462" i="19"/>
  <c r="V462" i="8"/>
  <c r="G450" i="19"/>
  <c r="V450" i="8"/>
  <c r="G438" i="19"/>
  <c r="V438" i="8"/>
  <c r="G413" i="19"/>
  <c r="V413" i="8"/>
  <c r="B456" i="9"/>
  <c r="P456" i="9" s="1"/>
  <c r="F482" i="19"/>
  <c r="B386" i="9"/>
  <c r="Q386" i="9" s="1"/>
  <c r="F412" i="19"/>
  <c r="J488" i="8"/>
  <c r="G488" i="19"/>
  <c r="V488" i="8"/>
  <c r="G492" i="19"/>
  <c r="V492" i="8"/>
  <c r="B441" i="9"/>
  <c r="P441" i="9" s="1"/>
  <c r="F467" i="19"/>
  <c r="B433" i="9"/>
  <c r="P433" i="9" s="1"/>
  <c r="F459" i="19"/>
  <c r="Y475" i="8"/>
  <c r="Z475" i="8" s="1"/>
  <c r="AB475" i="8" s="1"/>
  <c r="P492" i="8"/>
  <c r="G492" i="8"/>
  <c r="Y492" i="8" s="1"/>
  <c r="Z492" i="8" s="1"/>
  <c r="AB492" i="8" s="1"/>
  <c r="U492" i="8"/>
  <c r="I492" i="19" s="1"/>
  <c r="L492" i="8"/>
  <c r="C466" i="9"/>
  <c r="B458" i="9"/>
  <c r="Q458" i="9" s="1"/>
  <c r="F484" i="19"/>
  <c r="B470" i="9"/>
  <c r="Q470" i="9" s="1"/>
  <c r="F496" i="19"/>
  <c r="S463" i="8"/>
  <c r="H463" i="8"/>
  <c r="E437" i="9" s="1"/>
  <c r="R463" i="8"/>
  <c r="D463" i="8"/>
  <c r="E463" i="19" s="1"/>
  <c r="G495" i="19"/>
  <c r="V495" i="8"/>
  <c r="G493" i="19"/>
  <c r="V493" i="8"/>
  <c r="G489" i="19"/>
  <c r="V489" i="8"/>
  <c r="G485" i="19"/>
  <c r="V485" i="8"/>
  <c r="G481" i="19"/>
  <c r="V481" i="8"/>
  <c r="G478" i="19"/>
  <c r="V478" i="8"/>
  <c r="G476" i="19"/>
  <c r="V476" i="8"/>
  <c r="G470" i="19"/>
  <c r="V470" i="8"/>
  <c r="B472" i="9"/>
  <c r="P472" i="9" s="1"/>
  <c r="F498" i="19"/>
  <c r="B443" i="9"/>
  <c r="Q443" i="9" s="1"/>
  <c r="F469" i="19"/>
  <c r="B392" i="9"/>
  <c r="Q392" i="9" s="1"/>
  <c r="F418" i="19"/>
  <c r="B404" i="9"/>
  <c r="P404" i="9" s="1"/>
  <c r="F430" i="19"/>
  <c r="G463" i="8"/>
  <c r="W463" i="8" s="1"/>
  <c r="T463" i="8"/>
  <c r="J463" i="19" s="1"/>
  <c r="H422" i="8"/>
  <c r="E396" i="9" s="1"/>
  <c r="G422" i="19"/>
  <c r="V422" i="8"/>
  <c r="G431" i="8"/>
  <c r="G431" i="19"/>
  <c r="V431" i="8"/>
  <c r="B426" i="8"/>
  <c r="C426" i="19" s="1"/>
  <c r="G426" i="19"/>
  <c r="V426" i="8"/>
  <c r="P467" i="8"/>
  <c r="G467" i="19"/>
  <c r="V467" i="8"/>
  <c r="C429" i="8"/>
  <c r="G429" i="19"/>
  <c r="V429" i="8"/>
  <c r="G464" i="19"/>
  <c r="V464" i="8"/>
  <c r="G452" i="19"/>
  <c r="V452" i="8"/>
  <c r="G444" i="19"/>
  <c r="V444" i="8"/>
  <c r="G432" i="19"/>
  <c r="V432" i="8"/>
  <c r="G415" i="19"/>
  <c r="V415" i="8"/>
  <c r="G474" i="19"/>
  <c r="V474" i="8"/>
  <c r="G454" i="19"/>
  <c r="V454" i="8"/>
  <c r="G442" i="19"/>
  <c r="V442" i="8"/>
  <c r="G417" i="19"/>
  <c r="V417" i="8"/>
  <c r="G409" i="19"/>
  <c r="V409" i="8"/>
  <c r="E427" i="8"/>
  <c r="G427" i="19"/>
  <c r="V427" i="8"/>
  <c r="B399" i="9"/>
  <c r="F425" i="19"/>
  <c r="B474" i="9"/>
  <c r="F500" i="19"/>
  <c r="M492" i="8"/>
  <c r="E492" i="8"/>
  <c r="S492" i="8"/>
  <c r="J492" i="8"/>
  <c r="B492" i="8"/>
  <c r="C492" i="19" s="1"/>
  <c r="Q463" i="8"/>
  <c r="E463" i="8"/>
  <c r="N463" i="8"/>
  <c r="C437" i="9"/>
  <c r="G472" i="19"/>
  <c r="V472" i="8"/>
  <c r="G499" i="19"/>
  <c r="V499" i="8"/>
  <c r="G497" i="19"/>
  <c r="V497" i="8"/>
  <c r="G491" i="19"/>
  <c r="V491" i="8"/>
  <c r="G487" i="19"/>
  <c r="V487" i="8"/>
  <c r="G483" i="19"/>
  <c r="V483" i="8"/>
  <c r="G479" i="19"/>
  <c r="V479" i="8"/>
  <c r="G466" i="19"/>
  <c r="V466" i="8"/>
  <c r="B468" i="9"/>
  <c r="P468" i="9" s="1"/>
  <c r="F494" i="19"/>
  <c r="G461" i="19"/>
  <c r="V461" i="8"/>
  <c r="J480" i="8"/>
  <c r="G480" i="19"/>
  <c r="V480" i="8"/>
  <c r="G410" i="19"/>
  <c r="V410" i="8"/>
  <c r="G416" i="19"/>
  <c r="V416" i="8"/>
  <c r="G494" i="19"/>
  <c r="V494" i="8"/>
  <c r="G484" i="19"/>
  <c r="V484" i="8"/>
  <c r="B451" i="9"/>
  <c r="F477" i="19"/>
  <c r="G460" i="19"/>
  <c r="V460" i="8"/>
  <c r="G448" i="19"/>
  <c r="V448" i="8"/>
  <c r="G436" i="19"/>
  <c r="V436" i="8"/>
  <c r="G419" i="19"/>
  <c r="V419" i="8"/>
  <c r="G411" i="19"/>
  <c r="V411" i="8"/>
  <c r="G458" i="19"/>
  <c r="V458" i="8"/>
  <c r="G446" i="19"/>
  <c r="V446" i="8"/>
  <c r="G434" i="19"/>
  <c r="V434" i="8"/>
  <c r="B447" i="9"/>
  <c r="Q447" i="9" s="1"/>
  <c r="F473" i="19"/>
  <c r="G463" i="19"/>
  <c r="V463" i="8"/>
  <c r="B449" i="9"/>
  <c r="P449" i="9" s="1"/>
  <c r="F475" i="19"/>
  <c r="B409" i="9"/>
  <c r="P409" i="9" s="1"/>
  <c r="F435" i="19"/>
  <c r="B398" i="9"/>
  <c r="P398" i="9" s="1"/>
  <c r="F424" i="19"/>
  <c r="T492" i="8"/>
  <c r="J492" i="19" s="1"/>
  <c r="K492" i="8"/>
  <c r="C492" i="8"/>
  <c r="Q492" i="8"/>
  <c r="H492" i="8"/>
  <c r="E466" i="9" s="1"/>
  <c r="B411" i="9"/>
  <c r="F437" i="19"/>
  <c r="B407" i="9"/>
  <c r="P407" i="9" s="1"/>
  <c r="F433" i="19"/>
  <c r="M463" i="8"/>
  <c r="X463" i="8"/>
  <c r="L463" i="8"/>
  <c r="B463" i="8"/>
  <c r="C463" i="19" s="1"/>
  <c r="B382" i="9"/>
  <c r="F408" i="19"/>
  <c r="G468" i="19"/>
  <c r="V468" i="8"/>
  <c r="G457" i="19"/>
  <c r="V457" i="8"/>
  <c r="G455" i="19"/>
  <c r="V455" i="8"/>
  <c r="G453" i="19"/>
  <c r="V453" i="8"/>
  <c r="G451" i="19"/>
  <c r="V451" i="8"/>
  <c r="G449" i="19"/>
  <c r="V449" i="8"/>
  <c r="G447" i="19"/>
  <c r="V447" i="8"/>
  <c r="G445" i="19"/>
  <c r="V445" i="8"/>
  <c r="G443" i="19"/>
  <c r="V443" i="8"/>
  <c r="G441" i="19"/>
  <c r="V441" i="8"/>
  <c r="G439" i="19"/>
  <c r="V439" i="8"/>
  <c r="B390" i="9"/>
  <c r="P390" i="9" s="1"/>
  <c r="F416" i="19"/>
  <c r="B439" i="9"/>
  <c r="Q439" i="9" s="1"/>
  <c r="F465" i="19"/>
  <c r="C463" i="8"/>
  <c r="U414" i="8"/>
  <c r="I414" i="19" s="1"/>
  <c r="G414" i="19"/>
  <c r="V414" i="8"/>
  <c r="B486" i="8"/>
  <c r="C486" i="19" s="1"/>
  <c r="G486" i="19"/>
  <c r="V486" i="8"/>
  <c r="C402" i="9"/>
  <c r="G428" i="19"/>
  <c r="V428" i="8"/>
  <c r="C394" i="9"/>
  <c r="G420" i="19"/>
  <c r="V420" i="8"/>
  <c r="L423" i="8"/>
  <c r="G423" i="19"/>
  <c r="V423" i="8"/>
  <c r="P490" i="8"/>
  <c r="G490" i="19"/>
  <c r="V490" i="8"/>
  <c r="B433" i="8"/>
  <c r="C433" i="19" s="1"/>
  <c r="G433" i="19"/>
  <c r="V433" i="8"/>
  <c r="W496" i="19"/>
  <c r="Y496" i="19"/>
  <c r="Y459" i="8"/>
  <c r="Z459" i="8" s="1"/>
  <c r="AB459" i="8" s="1"/>
  <c r="H459" i="19"/>
  <c r="Y424" i="8"/>
  <c r="Z424" i="8" s="1"/>
  <c r="AB424" i="8" s="1"/>
  <c r="H424" i="19"/>
  <c r="Z477" i="19"/>
  <c r="AA477" i="19"/>
  <c r="T430" i="19"/>
  <c r="Y430" i="19"/>
  <c r="Y498" i="8"/>
  <c r="Z498" i="8" s="1"/>
  <c r="AB498" i="8" s="1"/>
  <c r="H498" i="19"/>
  <c r="D447" i="9"/>
  <c r="H473" i="19"/>
  <c r="N425" i="19"/>
  <c r="Y482" i="8"/>
  <c r="Z482" i="8" s="1"/>
  <c r="AB482" i="8" s="1"/>
  <c r="H482" i="19"/>
  <c r="Y418" i="8"/>
  <c r="Z418" i="8" s="1"/>
  <c r="AB418" i="8" s="1"/>
  <c r="H418" i="19"/>
  <c r="Y471" i="8"/>
  <c r="Z471" i="8" s="1"/>
  <c r="AB471" i="8" s="1"/>
  <c r="H471" i="19"/>
  <c r="D439" i="9"/>
  <c r="H465" i="19"/>
  <c r="Y412" i="8"/>
  <c r="Z412" i="8" s="1"/>
  <c r="AB412" i="8" s="1"/>
  <c r="H412" i="19"/>
  <c r="Q435" i="19"/>
  <c r="AA435" i="19"/>
  <c r="Y500" i="19"/>
  <c r="L437" i="19"/>
  <c r="Y484" i="19"/>
  <c r="D437" i="9"/>
  <c r="Y408" i="8"/>
  <c r="Z408" i="8" s="1"/>
  <c r="AB408" i="8" s="1"/>
  <c r="H408" i="19"/>
  <c r="AI435" i="8"/>
  <c r="J435" i="19"/>
  <c r="AI498" i="8"/>
  <c r="J498" i="19"/>
  <c r="AI471" i="8"/>
  <c r="J471" i="19"/>
  <c r="AI437" i="8"/>
  <c r="J437" i="19"/>
  <c r="J484" i="19"/>
  <c r="AI473" i="8"/>
  <c r="J473" i="19"/>
  <c r="AI425" i="8"/>
  <c r="AI477" i="8"/>
  <c r="AI430" i="8"/>
  <c r="AI496" i="8"/>
  <c r="AI482" i="8"/>
  <c r="AI469" i="8"/>
  <c r="AI424" i="8"/>
  <c r="AI418" i="8"/>
  <c r="AI459" i="8"/>
  <c r="AI465" i="8"/>
  <c r="AI500" i="8"/>
  <c r="AI412" i="8"/>
  <c r="AI408" i="8"/>
  <c r="J471" i="18"/>
  <c r="K471" i="18" s="1"/>
  <c r="I471" i="18"/>
  <c r="Q467" i="8"/>
  <c r="N467" i="8"/>
  <c r="J431" i="13"/>
  <c r="S490" i="8"/>
  <c r="C490" i="8"/>
  <c r="I490" i="8"/>
  <c r="B480" i="18"/>
  <c r="X429" i="8"/>
  <c r="D429" i="8"/>
  <c r="E429" i="19" s="1"/>
  <c r="A408" i="18"/>
  <c r="O433" i="13"/>
  <c r="D467" i="18"/>
  <c r="X433" i="8"/>
  <c r="S433" i="8"/>
  <c r="N433" i="8"/>
  <c r="J433" i="8"/>
  <c r="D433" i="8"/>
  <c r="E433" i="19" s="1"/>
  <c r="T433" i="8"/>
  <c r="P433" i="8"/>
  <c r="K433" i="8"/>
  <c r="G433" i="8"/>
  <c r="D407" i="9" s="1"/>
  <c r="C433" i="8"/>
  <c r="C460" i="9"/>
  <c r="B423" i="8"/>
  <c r="C423" i="19" s="1"/>
  <c r="AF414" i="14"/>
  <c r="M414" i="19" s="1"/>
  <c r="H490" i="8"/>
  <c r="E464" i="9" s="1"/>
  <c r="D490" i="8"/>
  <c r="E490" i="19" s="1"/>
  <c r="B408" i="18"/>
  <c r="C423" i="8"/>
  <c r="V475" i="14"/>
  <c r="B475" i="14"/>
  <c r="H471" i="18"/>
  <c r="A471" i="18"/>
  <c r="D471" i="18"/>
  <c r="J467" i="8"/>
  <c r="U467" i="8"/>
  <c r="I467" i="19" s="1"/>
  <c r="I467" i="8"/>
  <c r="X490" i="8"/>
  <c r="N490" i="8"/>
  <c r="G490" i="8"/>
  <c r="D464" i="9" s="1"/>
  <c r="T490" i="8"/>
  <c r="M490" i="8"/>
  <c r="B490" i="8"/>
  <c r="C490" i="19" s="1"/>
  <c r="E490" i="8"/>
  <c r="H463" i="18"/>
  <c r="D463" i="18"/>
  <c r="S429" i="8"/>
  <c r="J429" i="8"/>
  <c r="T429" i="8"/>
  <c r="J429" i="19" s="1"/>
  <c r="J408" i="18"/>
  <c r="K408" i="18" s="1"/>
  <c r="D408" i="18"/>
  <c r="B433" i="13"/>
  <c r="X423" i="8"/>
  <c r="Q490" i="8"/>
  <c r="C471" i="18"/>
  <c r="U475" i="14"/>
  <c r="L490" i="8"/>
  <c r="E408" i="18"/>
  <c r="C408" i="18"/>
  <c r="B484" i="13"/>
  <c r="E484" i="13"/>
  <c r="D486" i="8"/>
  <c r="E486" i="19" s="1"/>
  <c r="C486" i="8"/>
  <c r="R486" i="8"/>
  <c r="E486" i="8"/>
  <c r="P486" i="8"/>
  <c r="E410" i="18"/>
  <c r="J410" i="18"/>
  <c r="N410" i="18" s="1"/>
  <c r="O410" i="18" s="1"/>
  <c r="AE410" i="13"/>
  <c r="U410" i="13"/>
  <c r="AG410" i="13" s="1"/>
  <c r="R410" i="13"/>
  <c r="N410" i="13"/>
  <c r="L410" i="13"/>
  <c r="D496" i="14"/>
  <c r="A496" i="14"/>
  <c r="I496" i="14"/>
  <c r="L426" i="8"/>
  <c r="K426" i="8"/>
  <c r="U426" i="8"/>
  <c r="I426" i="19" s="1"/>
  <c r="A416" i="18"/>
  <c r="D416" i="18"/>
  <c r="H416" i="18"/>
  <c r="Q428" i="8"/>
  <c r="J428" i="8"/>
  <c r="R422" i="13"/>
  <c r="T422" i="13"/>
  <c r="N422" i="13"/>
  <c r="G422" i="13"/>
  <c r="L475" i="14"/>
  <c r="R475" i="14"/>
  <c r="G420" i="8"/>
  <c r="W420" i="8" s="1"/>
  <c r="L420" i="8"/>
  <c r="H459" i="13"/>
  <c r="Q459" i="13"/>
  <c r="V467" i="13"/>
  <c r="AA467" i="13" s="1"/>
  <c r="AB467" i="13" s="1"/>
  <c r="AE467" i="13"/>
  <c r="Z467" i="13"/>
  <c r="C467" i="13"/>
  <c r="G467" i="13"/>
  <c r="R467" i="13"/>
  <c r="B467" i="13"/>
  <c r="O467" i="13"/>
  <c r="C467" i="18"/>
  <c r="B467" i="18"/>
  <c r="I467" i="18"/>
  <c r="E467" i="18"/>
  <c r="J467" i="18"/>
  <c r="K467" i="18" s="1"/>
  <c r="C403" i="9"/>
  <c r="E429" i="8"/>
  <c r="I429" i="8"/>
  <c r="M429" i="8"/>
  <c r="R429" i="8"/>
  <c r="P423" i="8"/>
  <c r="N423" i="8"/>
  <c r="S423" i="8"/>
  <c r="D423" i="8"/>
  <c r="E423" i="19" s="1"/>
  <c r="U423" i="8"/>
  <c r="I423" i="19" s="1"/>
  <c r="T423" i="8"/>
  <c r="J423" i="19" s="1"/>
  <c r="J423" i="8"/>
  <c r="H423" i="8"/>
  <c r="E397" i="9" s="1"/>
  <c r="C397" i="9"/>
  <c r="K423" i="8"/>
  <c r="G433" i="13"/>
  <c r="V433" i="13"/>
  <c r="Z433" i="13" s="1"/>
  <c r="R433" i="13"/>
  <c r="J433" i="13"/>
  <c r="Q433" i="13"/>
  <c r="AE433" i="13"/>
  <c r="E433" i="13"/>
  <c r="L433" i="13"/>
  <c r="S433" i="13"/>
  <c r="AF475" i="14"/>
  <c r="M475" i="19" s="1"/>
  <c r="K475" i="14"/>
  <c r="P475" i="14"/>
  <c r="S467" i="8"/>
  <c r="M467" i="8"/>
  <c r="H467" i="8"/>
  <c r="E441" i="9" s="1"/>
  <c r="X467" i="8"/>
  <c r="R467" i="8"/>
  <c r="L467" i="8"/>
  <c r="D467" i="8"/>
  <c r="E467" i="19" s="1"/>
  <c r="B467" i="8"/>
  <c r="C467" i="19" s="1"/>
  <c r="R428" i="8"/>
  <c r="B428" i="8"/>
  <c r="C428" i="19" s="1"/>
  <c r="J463" i="18"/>
  <c r="K463" i="18" s="1"/>
  <c r="E463" i="18"/>
  <c r="I463" i="18"/>
  <c r="B463" i="18"/>
  <c r="U429" i="8"/>
  <c r="I429" i="19" s="1"/>
  <c r="Q429" i="8"/>
  <c r="L429" i="8"/>
  <c r="H429" i="8"/>
  <c r="E403" i="9" s="1"/>
  <c r="P429" i="8"/>
  <c r="G429" i="8"/>
  <c r="W429" i="8" s="1"/>
  <c r="B429" i="8"/>
  <c r="C429" i="19" s="1"/>
  <c r="D484" i="13"/>
  <c r="U433" i="13"/>
  <c r="AG433" i="13" s="1"/>
  <c r="H433" i="13"/>
  <c r="T433" i="13"/>
  <c r="D433" i="13"/>
  <c r="M422" i="13"/>
  <c r="D422" i="13"/>
  <c r="A467" i="18"/>
  <c r="T467" i="13"/>
  <c r="U467" i="13"/>
  <c r="AG467" i="13" s="1"/>
  <c r="E467" i="13"/>
  <c r="AD496" i="14"/>
  <c r="M486" i="8"/>
  <c r="N486" i="8"/>
  <c r="C426" i="8"/>
  <c r="R423" i="8"/>
  <c r="A480" i="18"/>
  <c r="J416" i="18"/>
  <c r="N416" i="18" s="1"/>
  <c r="O416" i="18" s="1"/>
  <c r="A433" i="13"/>
  <c r="G467" i="8"/>
  <c r="W467" i="8" s="1"/>
  <c r="S475" i="14"/>
  <c r="M433" i="13"/>
  <c r="M423" i="8"/>
  <c r="S426" i="8"/>
  <c r="I423" i="8"/>
  <c r="G423" i="8"/>
  <c r="W423" i="8" s="1"/>
  <c r="E423" i="8"/>
  <c r="D459" i="13"/>
  <c r="C410" i="13"/>
  <c r="AC429" i="13"/>
  <c r="AD429" i="13" s="1"/>
  <c r="X484" i="14"/>
  <c r="J484" i="14"/>
  <c r="Q428" i="13"/>
  <c r="T428" i="13"/>
  <c r="L428" i="13"/>
  <c r="W410" i="14"/>
  <c r="AA410" i="14"/>
  <c r="AB410" i="14" s="1"/>
  <c r="B410" i="14"/>
  <c r="X410" i="14"/>
  <c r="T410" i="14"/>
  <c r="I486" i="14"/>
  <c r="U486" i="14"/>
  <c r="T486" i="14"/>
  <c r="X486" i="14"/>
  <c r="M410" i="8"/>
  <c r="U410" i="8"/>
  <c r="I410" i="19" s="1"/>
  <c r="A426" i="18"/>
  <c r="G426" i="18"/>
  <c r="I426" i="18"/>
  <c r="S496" i="13"/>
  <c r="N496" i="13"/>
  <c r="C496" i="13"/>
  <c r="G496" i="13"/>
  <c r="W426" i="14"/>
  <c r="B426" i="14"/>
  <c r="H426" i="14"/>
  <c r="W416" i="14"/>
  <c r="C416" i="14"/>
  <c r="R416" i="14"/>
  <c r="N416" i="14"/>
  <c r="P416" i="8"/>
  <c r="K416" i="8"/>
  <c r="H416" i="8"/>
  <c r="E390" i="9" s="1"/>
  <c r="N416" i="8"/>
  <c r="J416" i="8"/>
  <c r="G475" i="18"/>
  <c r="A475" i="18"/>
  <c r="AE471" i="13"/>
  <c r="D471" i="13"/>
  <c r="O428" i="14"/>
  <c r="K428" i="14"/>
  <c r="AA428" i="14"/>
  <c r="AB428" i="14" s="1"/>
  <c r="G428" i="14"/>
  <c r="W412" i="14"/>
  <c r="K412" i="14"/>
  <c r="AA412" i="14"/>
  <c r="AB412" i="14" s="1"/>
  <c r="O412" i="14"/>
  <c r="B412" i="14"/>
  <c r="H412" i="14"/>
  <c r="M412" i="14"/>
  <c r="R412" i="14"/>
  <c r="X412" i="14"/>
  <c r="AD412" i="14"/>
  <c r="I412" i="14"/>
  <c r="N412" i="14"/>
  <c r="T412" i="14"/>
  <c r="Y412" i="14"/>
  <c r="AF412" i="14"/>
  <c r="M412" i="19" s="1"/>
  <c r="Q420" i="13"/>
  <c r="O420" i="13"/>
  <c r="N420" i="13"/>
  <c r="E420" i="13"/>
  <c r="L420" i="13"/>
  <c r="J420" i="13"/>
  <c r="G420" i="13"/>
  <c r="S420" i="13"/>
  <c r="W459" i="14"/>
  <c r="G459" i="14"/>
  <c r="Y459" i="14"/>
  <c r="C459" i="14"/>
  <c r="S459" i="14"/>
  <c r="H459" i="14"/>
  <c r="AC459" i="14"/>
  <c r="T459" i="14"/>
  <c r="X459" i="14"/>
  <c r="O459" i="14"/>
  <c r="T494" i="8"/>
  <c r="H494" i="8"/>
  <c r="E468" i="9" s="1"/>
  <c r="D494" i="8"/>
  <c r="E494" i="19" s="1"/>
  <c r="P494" i="8"/>
  <c r="L494" i="8"/>
  <c r="K500" i="14"/>
  <c r="AA500" i="14"/>
  <c r="AB500" i="14" s="1"/>
  <c r="O500" i="14"/>
  <c r="C500" i="14"/>
  <c r="E420" i="18"/>
  <c r="A420" i="18"/>
  <c r="G420" i="18"/>
  <c r="C420" i="18"/>
  <c r="G500" i="13"/>
  <c r="R500" i="13"/>
  <c r="D500" i="13"/>
  <c r="C500" i="13"/>
  <c r="V500" i="13"/>
  <c r="AA500" i="13" s="1"/>
  <c r="AB500" i="13" s="1"/>
  <c r="A500" i="13"/>
  <c r="Q500" i="13"/>
  <c r="E500" i="13"/>
  <c r="O500" i="13"/>
  <c r="AE500" i="13"/>
  <c r="J461" i="18"/>
  <c r="K461" i="18" s="1"/>
  <c r="Q426" i="8"/>
  <c r="X426" i="8"/>
  <c r="H426" i="8"/>
  <c r="E400" i="9" s="1"/>
  <c r="L459" i="13"/>
  <c r="M459" i="13"/>
  <c r="I416" i="18"/>
  <c r="D410" i="18"/>
  <c r="H475" i="14"/>
  <c r="W475" i="14"/>
  <c r="Q475" i="14"/>
  <c r="O475" i="14"/>
  <c r="J475" i="14"/>
  <c r="M475" i="14"/>
  <c r="C475" i="14"/>
  <c r="C467" i="8"/>
  <c r="C416" i="18"/>
  <c r="V488" i="13"/>
  <c r="AA488" i="13" s="1"/>
  <c r="AB488" i="13" s="1"/>
  <c r="J467" i="13"/>
  <c r="B459" i="13"/>
  <c r="N467" i="13"/>
  <c r="M426" i="8"/>
  <c r="C459" i="13"/>
  <c r="S459" i="13"/>
  <c r="R426" i="8"/>
  <c r="O488" i="13"/>
  <c r="C425" i="18"/>
  <c r="B461" i="18"/>
  <c r="N426" i="8"/>
  <c r="T426" i="8"/>
  <c r="D426" i="8"/>
  <c r="E426" i="19" s="1"/>
  <c r="E459" i="13"/>
  <c r="A459" i="13"/>
  <c r="T475" i="14"/>
  <c r="E475" i="14"/>
  <c r="N475" i="14"/>
  <c r="K467" i="8"/>
  <c r="E416" i="18"/>
  <c r="D475" i="14"/>
  <c r="N459" i="13"/>
  <c r="A467" i="13"/>
  <c r="E426" i="8"/>
  <c r="AE459" i="13"/>
  <c r="H467" i="13"/>
  <c r="T459" i="13"/>
  <c r="S467" i="13"/>
  <c r="Q488" i="13"/>
  <c r="J426" i="8"/>
  <c r="P426" i="8"/>
  <c r="C400" i="9"/>
  <c r="U459" i="13"/>
  <c r="AG459" i="13" s="1"/>
  <c r="V459" i="13"/>
  <c r="AA459" i="13" s="1"/>
  <c r="AB459" i="13" s="1"/>
  <c r="AC475" i="14"/>
  <c r="G475" i="14"/>
  <c r="X475" i="14"/>
  <c r="T467" i="8"/>
  <c r="B416" i="18"/>
  <c r="C410" i="18"/>
  <c r="I475" i="14"/>
  <c r="G416" i="18"/>
  <c r="H425" i="18"/>
  <c r="Q467" i="13"/>
  <c r="E461" i="18"/>
  <c r="I426" i="8"/>
  <c r="G426" i="8"/>
  <c r="W426" i="8" s="1"/>
  <c r="O459" i="13"/>
  <c r="G459" i="13"/>
  <c r="Z475" i="14"/>
  <c r="X428" i="8"/>
  <c r="N431" i="13"/>
  <c r="AF488" i="14"/>
  <c r="M488" i="19" s="1"/>
  <c r="I480" i="18"/>
  <c r="V461" i="14"/>
  <c r="U422" i="13"/>
  <c r="AG422" i="13" s="1"/>
  <c r="C422" i="13"/>
  <c r="H422" i="13"/>
  <c r="N427" i="13"/>
  <c r="Y496" i="14"/>
  <c r="T496" i="14"/>
  <c r="J486" i="8"/>
  <c r="X486" i="8"/>
  <c r="K486" i="8"/>
  <c r="U425" i="13"/>
  <c r="AG425" i="13" s="1"/>
  <c r="A410" i="13"/>
  <c r="R488" i="14"/>
  <c r="O422" i="13"/>
  <c r="B410" i="13"/>
  <c r="M410" i="13"/>
  <c r="R420" i="8"/>
  <c r="G425" i="13"/>
  <c r="V410" i="13"/>
  <c r="AA410" i="13" s="1"/>
  <c r="AB410" i="13" s="1"/>
  <c r="R427" i="13"/>
  <c r="L428" i="8"/>
  <c r="C480" i="18"/>
  <c r="Q422" i="13"/>
  <c r="V422" i="13"/>
  <c r="Z422" i="13" s="1"/>
  <c r="B422" i="13"/>
  <c r="B427" i="13"/>
  <c r="Q496" i="14"/>
  <c r="L496" i="14"/>
  <c r="S486" i="8"/>
  <c r="G486" i="8"/>
  <c r="W486" i="8" s="1"/>
  <c r="T486" i="8"/>
  <c r="J486" i="19" s="1"/>
  <c r="I486" i="8"/>
  <c r="H425" i="13"/>
  <c r="A422" i="13"/>
  <c r="D428" i="8"/>
  <c r="E428" i="19" s="1"/>
  <c r="L422" i="13"/>
  <c r="AE422" i="13"/>
  <c r="E422" i="13"/>
  <c r="H427" i="13"/>
  <c r="O410" i="13"/>
  <c r="U486" i="8"/>
  <c r="I486" i="19" s="1"/>
  <c r="U420" i="8"/>
  <c r="I420" i="19" s="1"/>
  <c r="H410" i="13"/>
  <c r="G410" i="13"/>
  <c r="J422" i="13"/>
  <c r="G480" i="18"/>
  <c r="J410" i="13"/>
  <c r="D410" i="13"/>
  <c r="A427" i="13"/>
  <c r="S410" i="13"/>
  <c r="J427" i="13"/>
  <c r="E410" i="13"/>
  <c r="T410" i="13"/>
  <c r="H420" i="8"/>
  <c r="E394" i="9" s="1"/>
  <c r="M420" i="8"/>
  <c r="E420" i="8"/>
  <c r="T420" i="8"/>
  <c r="I420" i="8"/>
  <c r="T410" i="8"/>
  <c r="J410" i="19" s="1"/>
  <c r="X420" i="8"/>
  <c r="K410" i="8"/>
  <c r="D420" i="8"/>
  <c r="E420" i="19" s="1"/>
  <c r="Q420" i="8"/>
  <c r="K420" i="8"/>
  <c r="J420" i="8"/>
  <c r="D410" i="8"/>
  <c r="E410" i="19" s="1"/>
  <c r="N420" i="8"/>
  <c r="B420" i="8"/>
  <c r="C420" i="19" s="1"/>
  <c r="P420" i="8"/>
  <c r="S420" i="8"/>
  <c r="C420" i="8"/>
  <c r="G410" i="8"/>
  <c r="W410" i="8" s="1"/>
  <c r="AF496" i="14"/>
  <c r="M496" i="19" s="1"/>
  <c r="W496" i="14"/>
  <c r="O496" i="14"/>
  <c r="G496" i="14"/>
  <c r="Z496" i="14"/>
  <c r="R496" i="14"/>
  <c r="J496" i="14"/>
  <c r="B496" i="14"/>
  <c r="K486" i="14"/>
  <c r="C428" i="8"/>
  <c r="S471" i="13"/>
  <c r="T428" i="8"/>
  <c r="K428" i="8"/>
  <c r="P428" i="8"/>
  <c r="N428" i="8"/>
  <c r="H410" i="18"/>
  <c r="C486" i="14"/>
  <c r="A486" i="14"/>
  <c r="O486" i="14"/>
  <c r="M486" i="14"/>
  <c r="H486" i="14"/>
  <c r="J486" i="14"/>
  <c r="AC496" i="14"/>
  <c r="U496" i="14"/>
  <c r="M496" i="14"/>
  <c r="E496" i="14"/>
  <c r="X496" i="14"/>
  <c r="P496" i="14"/>
  <c r="H496" i="14"/>
  <c r="AA486" i="14"/>
  <c r="AB486" i="14" s="1"/>
  <c r="Q471" i="13"/>
  <c r="S428" i="8"/>
  <c r="H428" i="8"/>
  <c r="E402" i="9" s="1"/>
  <c r="G428" i="8"/>
  <c r="W428" i="8" s="1"/>
  <c r="E428" i="8"/>
  <c r="J480" i="18"/>
  <c r="K480" i="18" s="1"/>
  <c r="A410" i="18"/>
  <c r="N471" i="13"/>
  <c r="A471" i="13"/>
  <c r="Q486" i="14"/>
  <c r="Z486" i="14"/>
  <c r="E486" i="14"/>
  <c r="S486" i="14"/>
  <c r="Y486" i="14"/>
  <c r="AA496" i="14"/>
  <c r="AB496" i="14" s="1"/>
  <c r="S496" i="14"/>
  <c r="K496" i="14"/>
  <c r="C496" i="14"/>
  <c r="V496" i="14"/>
  <c r="N496" i="14"/>
  <c r="AF486" i="14"/>
  <c r="M486" i="19" s="1"/>
  <c r="P486" i="14"/>
  <c r="E480" i="18"/>
  <c r="G410" i="18"/>
  <c r="U428" i="8"/>
  <c r="I428" i="19" s="1"/>
  <c r="I428" i="8"/>
  <c r="M428" i="8"/>
  <c r="H480" i="18"/>
  <c r="I410" i="18"/>
  <c r="J471" i="13"/>
  <c r="L486" i="14"/>
  <c r="AC486" i="14"/>
  <c r="G486" i="14"/>
  <c r="AD486" i="14"/>
  <c r="W486" i="14"/>
  <c r="V471" i="13"/>
  <c r="AA471" i="13" s="1"/>
  <c r="AB471" i="13" s="1"/>
  <c r="AC471" i="13" s="1"/>
  <c r="AD471" i="13" s="1"/>
  <c r="AC494" i="13"/>
  <c r="AD494" i="13" s="1"/>
  <c r="C475" i="18"/>
  <c r="L486" i="8"/>
  <c r="H461" i="18"/>
  <c r="S426" i="14"/>
  <c r="U416" i="8"/>
  <c r="I416" i="19" s="1"/>
  <c r="M416" i="8"/>
  <c r="C416" i="8"/>
  <c r="Q416" i="8"/>
  <c r="G426" i="14"/>
  <c r="A426" i="14"/>
  <c r="Q486" i="8"/>
  <c r="I461" i="18"/>
  <c r="G461" i="18"/>
  <c r="K426" i="14"/>
  <c r="L416" i="8"/>
  <c r="R416" i="8"/>
  <c r="A461" i="18"/>
  <c r="H486" i="8"/>
  <c r="E460" i="9" s="1"/>
  <c r="D461" i="18"/>
  <c r="C426" i="14"/>
  <c r="B416" i="8"/>
  <c r="C416" i="19" s="1"/>
  <c r="T416" i="8"/>
  <c r="I416" i="8"/>
  <c r="C431" i="8"/>
  <c r="A496" i="18"/>
  <c r="C496" i="18"/>
  <c r="J488" i="13"/>
  <c r="L488" i="13"/>
  <c r="B428" i="13"/>
  <c r="Y427" i="14"/>
  <c r="S427" i="13"/>
  <c r="V416" i="14"/>
  <c r="L416" i="14"/>
  <c r="Z416" i="14"/>
  <c r="P416" i="14"/>
  <c r="E416" i="14"/>
  <c r="Q410" i="8"/>
  <c r="AC410" i="14"/>
  <c r="Q410" i="14"/>
  <c r="D410" i="14"/>
  <c r="U410" i="14"/>
  <c r="J410" i="14"/>
  <c r="S425" i="13"/>
  <c r="E425" i="13"/>
  <c r="Q425" i="13"/>
  <c r="O428" i="13"/>
  <c r="D488" i="13"/>
  <c r="M488" i="13"/>
  <c r="U428" i="13"/>
  <c r="AG428" i="13" s="1"/>
  <c r="N488" i="13"/>
  <c r="H410" i="8"/>
  <c r="E384" i="9" s="1"/>
  <c r="M425" i="13"/>
  <c r="M427" i="13"/>
  <c r="AA416" i="14"/>
  <c r="AB416" i="14" s="1"/>
  <c r="J410" i="8"/>
  <c r="P410" i="8"/>
  <c r="R410" i="8"/>
  <c r="S410" i="14"/>
  <c r="G410" i="14"/>
  <c r="A425" i="13"/>
  <c r="L427" i="13"/>
  <c r="AF416" i="14"/>
  <c r="M416" i="19" s="1"/>
  <c r="T416" i="14"/>
  <c r="I416" i="14"/>
  <c r="X416" i="14"/>
  <c r="M416" i="14"/>
  <c r="B416" i="14"/>
  <c r="C384" i="9"/>
  <c r="Y410" i="14"/>
  <c r="N410" i="14"/>
  <c r="AD410" i="14"/>
  <c r="R410" i="14"/>
  <c r="H410" i="14"/>
  <c r="J492" i="13"/>
  <c r="O425" i="13"/>
  <c r="B425" i="13"/>
  <c r="N425" i="13"/>
  <c r="R488" i="13"/>
  <c r="C428" i="13"/>
  <c r="V428" i="13"/>
  <c r="Z428" i="13" s="1"/>
  <c r="D428" i="13"/>
  <c r="AE428" i="13"/>
  <c r="C488" i="13"/>
  <c r="G428" i="13"/>
  <c r="S410" i="8"/>
  <c r="O416" i="14"/>
  <c r="O410" i="14"/>
  <c r="V425" i="13"/>
  <c r="V427" i="13"/>
  <c r="AA427" i="13" s="1"/>
  <c r="AB427" i="13" s="1"/>
  <c r="AC427" i="13" s="1"/>
  <c r="AD427" i="13" s="1"/>
  <c r="Q427" i="13"/>
  <c r="S416" i="14"/>
  <c r="C410" i="8"/>
  <c r="I410" i="8"/>
  <c r="K410" i="14"/>
  <c r="R425" i="13"/>
  <c r="AE427" i="13"/>
  <c r="J496" i="18"/>
  <c r="I496" i="18"/>
  <c r="B496" i="18"/>
  <c r="AE488" i="13"/>
  <c r="E488" i="13"/>
  <c r="A488" i="13"/>
  <c r="P431" i="8"/>
  <c r="H496" i="18"/>
  <c r="T488" i="13"/>
  <c r="U488" i="13"/>
  <c r="AG488" i="13" s="1"/>
  <c r="B488" i="13"/>
  <c r="M428" i="13"/>
  <c r="T427" i="13"/>
  <c r="E427" i="13"/>
  <c r="AC416" i="14"/>
  <c r="Q416" i="14"/>
  <c r="D416" i="14"/>
  <c r="U416" i="14"/>
  <c r="J416" i="14"/>
  <c r="X410" i="8"/>
  <c r="B410" i="8"/>
  <c r="C410" i="19" s="1"/>
  <c r="V410" i="14"/>
  <c r="L410" i="14"/>
  <c r="Z410" i="14"/>
  <c r="P410" i="14"/>
  <c r="E410" i="14"/>
  <c r="L425" i="13"/>
  <c r="AE425" i="13"/>
  <c r="J425" i="13"/>
  <c r="H488" i="13"/>
  <c r="G488" i="13"/>
  <c r="A428" i="13"/>
  <c r="R428" i="13"/>
  <c r="A416" i="14"/>
  <c r="A410" i="14"/>
  <c r="D427" i="13"/>
  <c r="K416" i="14"/>
  <c r="N410" i="8"/>
  <c r="E410" i="8"/>
  <c r="L410" i="8"/>
  <c r="C410" i="14"/>
  <c r="O427" i="13"/>
  <c r="G427" i="13"/>
  <c r="J428" i="13"/>
  <c r="G416" i="14"/>
  <c r="R426" i="13"/>
  <c r="G426" i="13"/>
  <c r="O426" i="13"/>
  <c r="H426" i="13"/>
  <c r="B426" i="13"/>
  <c r="M426" i="13"/>
  <c r="A426" i="13"/>
  <c r="T426" i="13"/>
  <c r="C426" i="13"/>
  <c r="D426" i="13"/>
  <c r="S426" i="13"/>
  <c r="U426" i="13"/>
  <c r="AG426" i="13" s="1"/>
  <c r="E426" i="13"/>
  <c r="AE426" i="13"/>
  <c r="V426" i="13"/>
  <c r="L426" i="13"/>
  <c r="J426" i="13"/>
  <c r="Q426" i="13"/>
  <c r="N426" i="13"/>
  <c r="J416" i="13"/>
  <c r="C416" i="13"/>
  <c r="AE416" i="13"/>
  <c r="N416" i="13"/>
  <c r="O416" i="13"/>
  <c r="M416" i="13"/>
  <c r="L416" i="13"/>
  <c r="S416" i="13"/>
  <c r="U416" i="13"/>
  <c r="AG416" i="13" s="1"/>
  <c r="A416" i="13"/>
  <c r="R416" i="13"/>
  <c r="Q416" i="13"/>
  <c r="D416" i="13"/>
  <c r="B416" i="13"/>
  <c r="E416" i="13"/>
  <c r="G416" i="13"/>
  <c r="V416" i="13"/>
  <c r="T416" i="13"/>
  <c r="H416" i="13"/>
  <c r="B425" i="18"/>
  <c r="B484" i="14"/>
  <c r="I490" i="18"/>
  <c r="E480" i="8"/>
  <c r="H484" i="14"/>
  <c r="C492" i="18"/>
  <c r="Y431" i="14"/>
  <c r="N431" i="14"/>
  <c r="AD431" i="14"/>
  <c r="P431" i="14"/>
  <c r="AD425" i="14"/>
  <c r="K488" i="8"/>
  <c r="J423" i="18"/>
  <c r="K423" i="18" s="1"/>
  <c r="I422" i="14"/>
  <c r="O484" i="13"/>
  <c r="Q484" i="13"/>
  <c r="G425" i="18"/>
  <c r="V484" i="14"/>
  <c r="D484" i="14"/>
  <c r="M484" i="14"/>
  <c r="I492" i="18"/>
  <c r="AC431" i="14"/>
  <c r="V431" i="14"/>
  <c r="Q431" i="14"/>
  <c r="L431" i="14"/>
  <c r="D431" i="14"/>
  <c r="Z431" i="14"/>
  <c r="U431" i="14"/>
  <c r="N425" i="14"/>
  <c r="AF422" i="14"/>
  <c r="M422" i="19" s="1"/>
  <c r="T484" i="13"/>
  <c r="J484" i="13"/>
  <c r="U484" i="13"/>
  <c r="AG484" i="13" s="1"/>
  <c r="L484" i="13"/>
  <c r="I425" i="18"/>
  <c r="J425" i="18"/>
  <c r="M425" i="18" s="1"/>
  <c r="E425" i="18"/>
  <c r="AA484" i="14"/>
  <c r="AB484" i="14" s="1"/>
  <c r="C414" i="18"/>
  <c r="N484" i="14"/>
  <c r="Q484" i="14"/>
  <c r="D425" i="18"/>
  <c r="AC484" i="14"/>
  <c r="G484" i="14"/>
  <c r="AD484" i="14"/>
  <c r="B425" i="14"/>
  <c r="H425" i="14"/>
  <c r="X425" i="14"/>
  <c r="I425" i="14"/>
  <c r="T425" i="14"/>
  <c r="AF425" i="14"/>
  <c r="M425" i="19" s="1"/>
  <c r="R461" i="8"/>
  <c r="S461" i="8"/>
  <c r="D490" i="18"/>
  <c r="J490" i="18"/>
  <c r="E423" i="18"/>
  <c r="I423" i="18"/>
  <c r="H422" i="14"/>
  <c r="B422" i="14"/>
  <c r="X422" i="14"/>
  <c r="T422" i="14"/>
  <c r="B488" i="8"/>
  <c r="C488" i="19" s="1"/>
  <c r="C488" i="8"/>
  <c r="T488" i="8"/>
  <c r="S488" i="8"/>
  <c r="D480" i="8"/>
  <c r="E480" i="19" s="1"/>
  <c r="B480" i="8"/>
  <c r="C480" i="19" s="1"/>
  <c r="S480" i="8"/>
  <c r="M480" i="8"/>
  <c r="K431" i="14"/>
  <c r="B431" i="14"/>
  <c r="H431" i="14"/>
  <c r="M431" i="14"/>
  <c r="R431" i="14"/>
  <c r="D427" i="8"/>
  <c r="E427" i="19" s="1"/>
  <c r="K427" i="8"/>
  <c r="B414" i="8"/>
  <c r="C414" i="19" s="1"/>
  <c r="M414" i="8"/>
  <c r="D414" i="8"/>
  <c r="E414" i="19" s="1"/>
  <c r="X414" i="8"/>
  <c r="C484" i="14"/>
  <c r="W484" i="14"/>
  <c r="Y484" i="14"/>
  <c r="O484" i="14"/>
  <c r="I484" i="14"/>
  <c r="S484" i="14"/>
  <c r="R484" i="14"/>
  <c r="E484" i="14"/>
  <c r="U484" i="14"/>
  <c r="T484" i="14"/>
  <c r="Z484" i="14"/>
  <c r="A484" i="14"/>
  <c r="L484" i="14"/>
  <c r="P484" i="14"/>
  <c r="K484" i="14"/>
  <c r="AF484" i="14"/>
  <c r="M484" i="19" s="1"/>
  <c r="A484" i="13"/>
  <c r="H484" i="13"/>
  <c r="N484" i="13"/>
  <c r="S484" i="13"/>
  <c r="C484" i="13"/>
  <c r="G484" i="13"/>
  <c r="M484" i="13"/>
  <c r="R484" i="13"/>
  <c r="V484" i="13"/>
  <c r="Z484" i="13" s="1"/>
  <c r="AC425" i="14"/>
  <c r="V425" i="14"/>
  <c r="Q425" i="14"/>
  <c r="L425" i="14"/>
  <c r="D425" i="14"/>
  <c r="Z425" i="14"/>
  <c r="U425" i="14"/>
  <c r="M425" i="14"/>
  <c r="X488" i="8"/>
  <c r="N488" i="8"/>
  <c r="D488" i="8"/>
  <c r="E488" i="19" s="1"/>
  <c r="P488" i="8"/>
  <c r="G488" i="8"/>
  <c r="X461" i="8"/>
  <c r="C435" i="9"/>
  <c r="D423" i="18"/>
  <c r="Y422" i="14"/>
  <c r="N422" i="14"/>
  <c r="AD422" i="14"/>
  <c r="R422" i="14"/>
  <c r="X427" i="8"/>
  <c r="P427" i="8"/>
  <c r="B427" i="8"/>
  <c r="C427" i="19" s="1"/>
  <c r="E490" i="18"/>
  <c r="R480" i="8"/>
  <c r="I480" i="8"/>
  <c r="X480" i="8"/>
  <c r="N480" i="8"/>
  <c r="N414" i="8"/>
  <c r="L414" i="8"/>
  <c r="W431" i="14"/>
  <c r="AA425" i="14"/>
  <c r="AB425" i="14" s="1"/>
  <c r="W425" i="14"/>
  <c r="K425" i="14"/>
  <c r="E425" i="14"/>
  <c r="J425" i="14"/>
  <c r="P425" i="14"/>
  <c r="E461" i="8"/>
  <c r="K461" i="8"/>
  <c r="D461" i="8"/>
  <c r="E461" i="19" s="1"/>
  <c r="H461" i="8"/>
  <c r="E435" i="9" s="1"/>
  <c r="L461" i="8"/>
  <c r="P461" i="8"/>
  <c r="B461" i="8"/>
  <c r="C461" i="19" s="1"/>
  <c r="J461" i="8"/>
  <c r="N461" i="8"/>
  <c r="A414" i="18"/>
  <c r="G414" i="18"/>
  <c r="J414" i="18"/>
  <c r="M414" i="18" s="1"/>
  <c r="AA461" i="13"/>
  <c r="AB461" i="13" s="1"/>
  <c r="AC461" i="13" s="1"/>
  <c r="AD461" i="13" s="1"/>
  <c r="Z461" i="13"/>
  <c r="A490" i="18"/>
  <c r="H490" i="18"/>
  <c r="C490" i="18"/>
  <c r="G490" i="18"/>
  <c r="C423" i="18"/>
  <c r="G423" i="18"/>
  <c r="A423" i="18"/>
  <c r="H423" i="18"/>
  <c r="S422" i="14"/>
  <c r="C422" i="14"/>
  <c r="W422" i="14"/>
  <c r="E422" i="14"/>
  <c r="J422" i="14"/>
  <c r="P422" i="14"/>
  <c r="U422" i="14"/>
  <c r="Z422" i="14"/>
  <c r="D422" i="14"/>
  <c r="L422" i="14"/>
  <c r="Q422" i="14"/>
  <c r="V422" i="14"/>
  <c r="AC422" i="14"/>
  <c r="H492" i="18"/>
  <c r="E492" i="18"/>
  <c r="D492" i="18"/>
  <c r="C462" i="9"/>
  <c r="E488" i="8"/>
  <c r="I488" i="8"/>
  <c r="M488" i="8"/>
  <c r="R488" i="8"/>
  <c r="H488" i="8"/>
  <c r="E462" i="9" s="1"/>
  <c r="L488" i="8"/>
  <c r="Q488" i="8"/>
  <c r="U488" i="8"/>
  <c r="I488" i="19" s="1"/>
  <c r="C454" i="9"/>
  <c r="H480" i="8"/>
  <c r="E454" i="9" s="1"/>
  <c r="L480" i="8"/>
  <c r="Q480" i="8"/>
  <c r="U480" i="8"/>
  <c r="I480" i="19" s="1"/>
  <c r="C480" i="8"/>
  <c r="G480" i="8"/>
  <c r="W480" i="8" s="1"/>
  <c r="K480" i="8"/>
  <c r="P480" i="8"/>
  <c r="T480" i="8"/>
  <c r="J480" i="19" s="1"/>
  <c r="AA431" i="14"/>
  <c r="AB431" i="14" s="1"/>
  <c r="A431" i="14"/>
  <c r="I427" i="8"/>
  <c r="C427" i="8"/>
  <c r="N427" i="8"/>
  <c r="H427" i="8"/>
  <c r="E401" i="9" s="1"/>
  <c r="L427" i="8"/>
  <c r="C401" i="9"/>
  <c r="J427" i="8"/>
  <c r="R427" i="8"/>
  <c r="G414" i="8"/>
  <c r="W414" i="8" s="1"/>
  <c r="T414" i="8"/>
  <c r="P414" i="8"/>
  <c r="C414" i="8"/>
  <c r="C388" i="9"/>
  <c r="H414" i="8"/>
  <c r="E388" i="9" s="1"/>
  <c r="Q414" i="8"/>
  <c r="J414" i="8"/>
  <c r="S414" i="8"/>
  <c r="O425" i="14"/>
  <c r="C425" i="14"/>
  <c r="S425" i="14"/>
  <c r="G425" i="14"/>
  <c r="I461" i="8"/>
  <c r="M461" i="8"/>
  <c r="Q461" i="8"/>
  <c r="T461" i="8"/>
  <c r="C461" i="8"/>
  <c r="U461" i="8"/>
  <c r="I461" i="19" s="1"/>
  <c r="G461" i="8"/>
  <c r="W461" i="8" s="1"/>
  <c r="H414" i="18"/>
  <c r="D414" i="18"/>
  <c r="I414" i="18"/>
  <c r="E414" i="18"/>
  <c r="O422" i="14"/>
  <c r="A422" i="14"/>
  <c r="K422" i="14"/>
  <c r="AA422" i="14"/>
  <c r="AB422" i="14" s="1"/>
  <c r="G422" i="14"/>
  <c r="G492" i="18"/>
  <c r="A492" i="18"/>
  <c r="J492" i="18"/>
  <c r="L492" i="18" s="1"/>
  <c r="O431" i="14"/>
  <c r="C431" i="14"/>
  <c r="S431" i="14"/>
  <c r="G431" i="14"/>
  <c r="T427" i="8"/>
  <c r="J427" i="19" s="1"/>
  <c r="M427" i="8"/>
  <c r="Q427" i="8"/>
  <c r="S427" i="8"/>
  <c r="U427" i="8"/>
  <c r="I427" i="19" s="1"/>
  <c r="G427" i="8"/>
  <c r="W427" i="8" s="1"/>
  <c r="R414" i="8"/>
  <c r="E414" i="8"/>
  <c r="K414" i="8"/>
  <c r="I414" i="8"/>
  <c r="AC414" i="13"/>
  <c r="AD414" i="13" s="1"/>
  <c r="H427" i="14"/>
  <c r="X427" i="14"/>
  <c r="I427" i="14"/>
  <c r="T427" i="14"/>
  <c r="AF427" i="14"/>
  <c r="M427" i="19" s="1"/>
  <c r="C461" i="14"/>
  <c r="M461" i="14"/>
  <c r="E461" i="14"/>
  <c r="G422" i="8"/>
  <c r="W422" i="8" s="1"/>
  <c r="N422" i="8"/>
  <c r="U422" i="8"/>
  <c r="I422" i="19" s="1"/>
  <c r="J488" i="14"/>
  <c r="O488" i="14"/>
  <c r="Q488" i="14"/>
  <c r="T480" i="14"/>
  <c r="J480" i="14"/>
  <c r="K480" i="14"/>
  <c r="K414" i="14"/>
  <c r="B414" i="14"/>
  <c r="X414" i="14"/>
  <c r="T414" i="14"/>
  <c r="X431" i="8"/>
  <c r="I431" i="8"/>
  <c r="N431" i="8"/>
  <c r="B431" i="8"/>
  <c r="C431" i="19" s="1"/>
  <c r="T431" i="13"/>
  <c r="U431" i="13"/>
  <c r="AG431" i="13" s="1"/>
  <c r="D431" i="13"/>
  <c r="K488" i="14"/>
  <c r="L461" i="14"/>
  <c r="P461" i="14"/>
  <c r="D422" i="8"/>
  <c r="E422" i="19" s="1"/>
  <c r="N427" i="14"/>
  <c r="R427" i="14"/>
  <c r="I414" i="14"/>
  <c r="AA461" i="14"/>
  <c r="AB461" i="14" s="1"/>
  <c r="M431" i="8"/>
  <c r="B422" i="8"/>
  <c r="C422" i="19" s="1"/>
  <c r="C427" i="14"/>
  <c r="E480" i="14"/>
  <c r="W427" i="14"/>
  <c r="G427" i="14"/>
  <c r="K427" i="14"/>
  <c r="AA427" i="14"/>
  <c r="AB427" i="14" s="1"/>
  <c r="O427" i="14"/>
  <c r="S427" i="14"/>
  <c r="A427" i="14"/>
  <c r="E427" i="14"/>
  <c r="J427" i="14"/>
  <c r="P427" i="14"/>
  <c r="H461" i="14"/>
  <c r="AC461" i="14"/>
  <c r="T461" i="14"/>
  <c r="O461" i="14"/>
  <c r="B461" i="14"/>
  <c r="X461" i="14"/>
  <c r="N461" i="14"/>
  <c r="S461" i="14"/>
  <c r="W461" i="14"/>
  <c r="D461" i="14"/>
  <c r="AD461" i="14"/>
  <c r="R461" i="14"/>
  <c r="K461" i="14"/>
  <c r="S422" i="8"/>
  <c r="Q422" i="8"/>
  <c r="C422" i="8"/>
  <c r="T422" i="8"/>
  <c r="R422" i="8"/>
  <c r="P422" i="8"/>
  <c r="E422" i="8"/>
  <c r="J422" i="8"/>
  <c r="I422" i="8"/>
  <c r="M422" i="8"/>
  <c r="H492" i="13"/>
  <c r="G492" i="13"/>
  <c r="N492" i="13"/>
  <c r="C492" i="13"/>
  <c r="V492" i="13"/>
  <c r="AA492" i="13" s="1"/>
  <c r="AB492" i="13" s="1"/>
  <c r="S492" i="13"/>
  <c r="M492" i="13"/>
  <c r="A492" i="13"/>
  <c r="Q492" i="13"/>
  <c r="E492" i="13"/>
  <c r="O492" i="13"/>
  <c r="AE492" i="13"/>
  <c r="AD488" i="14"/>
  <c r="Y488" i="14"/>
  <c r="L488" i="14"/>
  <c r="Z488" i="14"/>
  <c r="X488" i="14"/>
  <c r="C488" i="14"/>
  <c r="G488" i="14"/>
  <c r="M488" i="14"/>
  <c r="AC488" i="14"/>
  <c r="D488" i="14"/>
  <c r="I488" i="14"/>
  <c r="N488" i="14"/>
  <c r="E488" i="14"/>
  <c r="T488" i="14"/>
  <c r="A488" i="14"/>
  <c r="W488" i="14"/>
  <c r="S488" i="14"/>
  <c r="I480" i="14"/>
  <c r="N480" i="14"/>
  <c r="Y480" i="14"/>
  <c r="AD480" i="14"/>
  <c r="H480" i="14"/>
  <c r="G480" i="14"/>
  <c r="M480" i="14"/>
  <c r="AC480" i="14"/>
  <c r="O480" i="14"/>
  <c r="Q480" i="14"/>
  <c r="X480" i="14"/>
  <c r="W480" i="14"/>
  <c r="R480" i="14"/>
  <c r="U480" i="14"/>
  <c r="D480" i="14"/>
  <c r="A480" i="14"/>
  <c r="L480" i="14"/>
  <c r="C480" i="14"/>
  <c r="B480" i="14"/>
  <c r="AA480" i="14"/>
  <c r="AB480" i="14" s="1"/>
  <c r="V480" i="14"/>
  <c r="L431" i="13"/>
  <c r="M431" i="13"/>
  <c r="S431" i="13"/>
  <c r="R431" i="13"/>
  <c r="D431" i="8"/>
  <c r="E431" i="19" s="1"/>
  <c r="U431" i="8"/>
  <c r="I431" i="19" s="1"/>
  <c r="Q431" i="8"/>
  <c r="W414" i="14"/>
  <c r="G414" i="14"/>
  <c r="C414" i="14"/>
  <c r="S414" i="14"/>
  <c r="O414" i="14"/>
  <c r="AA414" i="14"/>
  <c r="AB414" i="14" s="1"/>
  <c r="E414" i="14"/>
  <c r="J414" i="14"/>
  <c r="P414" i="14"/>
  <c r="U414" i="14"/>
  <c r="Z414" i="14"/>
  <c r="D414" i="14"/>
  <c r="L414" i="14"/>
  <c r="Q414" i="14"/>
  <c r="V414" i="14"/>
  <c r="AC414" i="14"/>
  <c r="T431" i="8"/>
  <c r="J431" i="19" s="1"/>
  <c r="K431" i="8"/>
  <c r="E431" i="8"/>
  <c r="R431" i="8"/>
  <c r="J431" i="8"/>
  <c r="C405" i="9"/>
  <c r="AE431" i="13"/>
  <c r="O431" i="13"/>
  <c r="B431" i="13"/>
  <c r="Q431" i="13"/>
  <c r="H431" i="13"/>
  <c r="E431" i="13"/>
  <c r="V488" i="14"/>
  <c r="AA488" i="14"/>
  <c r="AB488" i="14" s="1"/>
  <c r="B488" i="14"/>
  <c r="AF461" i="14"/>
  <c r="M461" i="19" s="1"/>
  <c r="Q461" i="14"/>
  <c r="A461" i="14"/>
  <c r="U461" i="14"/>
  <c r="J461" i="14"/>
  <c r="L422" i="8"/>
  <c r="X422" i="8"/>
  <c r="C396" i="9"/>
  <c r="AC427" i="14"/>
  <c r="V427" i="14"/>
  <c r="Q427" i="14"/>
  <c r="L427" i="14"/>
  <c r="D427" i="14"/>
  <c r="Z427" i="14"/>
  <c r="U427" i="14"/>
  <c r="M427" i="14"/>
  <c r="B427" i="14"/>
  <c r="AF480" i="14"/>
  <c r="M480" i="19" s="1"/>
  <c r="P480" i="14"/>
  <c r="Y414" i="14"/>
  <c r="N414" i="14"/>
  <c r="AD414" i="14"/>
  <c r="R414" i="14"/>
  <c r="H414" i="14"/>
  <c r="T492" i="13"/>
  <c r="U492" i="13"/>
  <c r="AG492" i="13" s="1"/>
  <c r="B492" i="13"/>
  <c r="Z414" i="13"/>
  <c r="H431" i="8"/>
  <c r="E405" i="9" s="1"/>
  <c r="I461" i="14"/>
  <c r="A431" i="13"/>
  <c r="S431" i="8"/>
  <c r="L431" i="8"/>
  <c r="U488" i="14"/>
  <c r="Y461" i="14"/>
  <c r="G461" i="14"/>
  <c r="K422" i="8"/>
  <c r="H488" i="14"/>
  <c r="V431" i="13"/>
  <c r="Z431" i="13" s="1"/>
  <c r="C431" i="13"/>
  <c r="A414" i="14"/>
  <c r="Z480" i="14"/>
  <c r="S480" i="14"/>
  <c r="D492" i="13"/>
  <c r="R492" i="13"/>
  <c r="A425" i="14"/>
  <c r="E490" i="13"/>
  <c r="O490" i="13"/>
  <c r="AE490" i="13"/>
  <c r="L490" i="13"/>
  <c r="U490" i="13"/>
  <c r="AG490" i="13" s="1"/>
  <c r="J490" i="13"/>
  <c r="A490" i="13"/>
  <c r="N490" i="13"/>
  <c r="D490" i="13"/>
  <c r="V490" i="13"/>
  <c r="M490" i="13"/>
  <c r="C490" i="13"/>
  <c r="B490" i="13"/>
  <c r="T490" i="13"/>
  <c r="Q490" i="13"/>
  <c r="S490" i="13"/>
  <c r="H490" i="13"/>
  <c r="R490" i="13"/>
  <c r="G490" i="13"/>
  <c r="E423" i="13"/>
  <c r="H423" i="13"/>
  <c r="Q423" i="13"/>
  <c r="B423" i="13"/>
  <c r="O423" i="13"/>
  <c r="AE423" i="13"/>
  <c r="N423" i="13"/>
  <c r="J423" i="13"/>
  <c r="L423" i="13"/>
  <c r="G423" i="13"/>
  <c r="R423" i="13"/>
  <c r="A423" i="13"/>
  <c r="D423" i="13"/>
  <c r="U423" i="13"/>
  <c r="AG423" i="13" s="1"/>
  <c r="T423" i="13"/>
  <c r="S423" i="13"/>
  <c r="C423" i="13"/>
  <c r="M423" i="13"/>
  <c r="V423" i="13"/>
  <c r="D456" i="9"/>
  <c r="D386" i="9"/>
  <c r="P439" i="9"/>
  <c r="Z496" i="13"/>
  <c r="Y423" i="8"/>
  <c r="Z423" i="8" s="1"/>
  <c r="AB423" i="8" s="1"/>
  <c r="Y473" i="8"/>
  <c r="Z473" i="8" s="1"/>
  <c r="AB473" i="8" s="1"/>
  <c r="D390" i="9"/>
  <c r="Q390" i="9"/>
  <c r="Z435" i="13"/>
  <c r="Y465" i="8"/>
  <c r="Z465" i="8" s="1"/>
  <c r="AB465" i="8" s="1"/>
  <c r="P447" i="9"/>
  <c r="D445" i="9"/>
  <c r="D433" i="9"/>
  <c r="D382" i="9"/>
  <c r="Z427" i="13"/>
  <c r="Z500" i="13"/>
  <c r="Z475" i="13"/>
  <c r="M488" i="18"/>
  <c r="N424" i="18"/>
  <c r="O424" i="18" s="1"/>
  <c r="K424" i="18"/>
  <c r="K428" i="18"/>
  <c r="L488" i="18"/>
  <c r="K488" i="18"/>
  <c r="K422" i="18"/>
  <c r="N422" i="18"/>
  <c r="O422" i="18" s="1"/>
  <c r="M424" i="18"/>
  <c r="M422" i="18"/>
  <c r="N428" i="18"/>
  <c r="O428" i="18" s="1"/>
  <c r="M428" i="18"/>
  <c r="D392" i="9"/>
  <c r="D472" i="9"/>
  <c r="Y431" i="8"/>
  <c r="Z431" i="8" s="1"/>
  <c r="AB431" i="8" s="1"/>
  <c r="D398" i="9"/>
  <c r="P392" i="9"/>
  <c r="Z498" i="13"/>
  <c r="L484" i="18"/>
  <c r="N484" i="18"/>
  <c r="O484" i="18" s="1"/>
  <c r="L465" i="18"/>
  <c r="K484" i="18"/>
  <c r="K465" i="18"/>
  <c r="M465" i="18"/>
  <c r="AA482" i="13"/>
  <c r="AB482" i="13" s="1"/>
  <c r="AC482" i="13" s="1"/>
  <c r="AD482" i="13" s="1"/>
  <c r="N435" i="18"/>
  <c r="O435" i="18" s="1"/>
  <c r="N500" i="18"/>
  <c r="O500" i="18" s="1"/>
  <c r="N433" i="18"/>
  <c r="O433" i="18" s="1"/>
  <c r="N486" i="18"/>
  <c r="O486" i="18" s="1"/>
  <c r="M486" i="18"/>
  <c r="L500" i="18"/>
  <c r="N427" i="18"/>
  <c r="O427" i="18" s="1"/>
  <c r="M482" i="18"/>
  <c r="M429" i="18"/>
  <c r="AA486" i="13"/>
  <c r="AB486" i="13" s="1"/>
  <c r="AC486" i="13" s="1"/>
  <c r="AD486" i="13" s="1"/>
  <c r="N412" i="18"/>
  <c r="O412" i="18" s="1"/>
  <c r="AA480" i="13"/>
  <c r="AB480" i="13" s="1"/>
  <c r="AC480" i="13" s="1"/>
  <c r="AD480" i="13" s="1"/>
  <c r="L435" i="18"/>
  <c r="L471" i="18"/>
  <c r="K500" i="18"/>
  <c r="M471" i="18"/>
  <c r="L427" i="18"/>
  <c r="M498" i="18"/>
  <c r="K435" i="18"/>
  <c r="N431" i="18"/>
  <c r="O431" i="18" s="1"/>
  <c r="N482" i="18"/>
  <c r="O482" i="18" s="1"/>
  <c r="K427" i="18"/>
  <c r="K498" i="18"/>
  <c r="P399" i="9"/>
  <c r="Q399" i="9"/>
  <c r="K473" i="18"/>
  <c r="L473" i="18"/>
  <c r="N473" i="18"/>
  <c r="O473" i="18" s="1"/>
  <c r="M473" i="18"/>
  <c r="Q433" i="9"/>
  <c r="M408" i="18"/>
  <c r="Z408" i="13"/>
  <c r="AA408" i="13"/>
  <c r="AB408" i="13" s="1"/>
  <c r="Q474" i="9"/>
  <c r="P474" i="9"/>
  <c r="D411" i="9"/>
  <c r="Y437" i="8"/>
  <c r="Z437" i="8" s="1"/>
  <c r="AB437" i="8" s="1"/>
  <c r="Y433" i="8"/>
  <c r="Z433" i="8" s="1"/>
  <c r="AB433" i="8" s="1"/>
  <c r="M431" i="18"/>
  <c r="P458" i="9"/>
  <c r="N459" i="18"/>
  <c r="O459" i="18" s="1"/>
  <c r="Q382" i="9"/>
  <c r="P382" i="9"/>
  <c r="AC475" i="13"/>
  <c r="AD475" i="13" s="1"/>
  <c r="AC496" i="13"/>
  <c r="AD496" i="13" s="1"/>
  <c r="B495" i="14"/>
  <c r="A495" i="14"/>
  <c r="D495" i="14"/>
  <c r="H495" i="14"/>
  <c r="J495" i="14"/>
  <c r="L495" i="14"/>
  <c r="N495" i="14"/>
  <c r="P495" i="14"/>
  <c r="R495" i="14"/>
  <c r="T495" i="14"/>
  <c r="V495" i="14"/>
  <c r="X495" i="14"/>
  <c r="Z495" i="14"/>
  <c r="AD495" i="14"/>
  <c r="C495" i="14"/>
  <c r="E495" i="14"/>
  <c r="G495" i="14"/>
  <c r="I495" i="14"/>
  <c r="K495" i="14"/>
  <c r="M495" i="14"/>
  <c r="O495" i="14"/>
  <c r="Q495" i="14"/>
  <c r="S495" i="14"/>
  <c r="U495" i="14"/>
  <c r="W495" i="14"/>
  <c r="Y495" i="14"/>
  <c r="AA495" i="14"/>
  <c r="AB495" i="14" s="1"/>
  <c r="AC495" i="14"/>
  <c r="AF495" i="14"/>
  <c r="M495" i="19" s="1"/>
  <c r="E495" i="8"/>
  <c r="C469" i="9"/>
  <c r="B495" i="8"/>
  <c r="C495" i="19" s="1"/>
  <c r="I495" i="8"/>
  <c r="M495" i="8"/>
  <c r="R495" i="8"/>
  <c r="U495" i="8"/>
  <c r="I495" i="19" s="1"/>
  <c r="D495" i="8"/>
  <c r="E495" i="19" s="1"/>
  <c r="H495" i="8"/>
  <c r="E469" i="9" s="1"/>
  <c r="L495" i="8"/>
  <c r="N495" i="8"/>
  <c r="S495" i="8"/>
  <c r="X495" i="8"/>
  <c r="Q495" i="8"/>
  <c r="G495" i="8"/>
  <c r="P495" i="8"/>
  <c r="J495" i="8"/>
  <c r="C495" i="8"/>
  <c r="K495" i="8"/>
  <c r="T495" i="8"/>
  <c r="B493" i="14"/>
  <c r="P493" i="14"/>
  <c r="Y493" i="14"/>
  <c r="K493" i="14"/>
  <c r="U493" i="14"/>
  <c r="AC493" i="14"/>
  <c r="AA493" i="14"/>
  <c r="S493" i="14"/>
  <c r="H493" i="14"/>
  <c r="Z493" i="14"/>
  <c r="R493" i="14"/>
  <c r="G493" i="14"/>
  <c r="E493" i="14"/>
  <c r="M493" i="14"/>
  <c r="AB493" i="14"/>
  <c r="T493" i="14"/>
  <c r="J493" i="14"/>
  <c r="W493" i="14"/>
  <c r="N493" i="14"/>
  <c r="C493" i="14"/>
  <c r="AD493" i="14"/>
  <c r="V493" i="14"/>
  <c r="L493" i="14"/>
  <c r="A493" i="14"/>
  <c r="I493" i="14"/>
  <c r="Q493" i="14"/>
  <c r="AF493" i="14"/>
  <c r="M493" i="19" s="1"/>
  <c r="X493" i="14"/>
  <c r="O493" i="14"/>
  <c r="D493" i="14"/>
  <c r="B493" i="8"/>
  <c r="C493" i="19" s="1"/>
  <c r="C467" i="9"/>
  <c r="K493" i="8"/>
  <c r="X493" i="8"/>
  <c r="Q493" i="8"/>
  <c r="L493" i="8"/>
  <c r="E493" i="8"/>
  <c r="M493" i="8"/>
  <c r="P493" i="8"/>
  <c r="D493" i="8"/>
  <c r="E493" i="19" s="1"/>
  <c r="N493" i="8"/>
  <c r="C493" i="8"/>
  <c r="S493" i="8"/>
  <c r="G493" i="8"/>
  <c r="I493" i="8"/>
  <c r="R493" i="8"/>
  <c r="U493" i="8"/>
  <c r="I493" i="19" s="1"/>
  <c r="J493" i="8"/>
  <c r="T493" i="8"/>
  <c r="J493" i="19" s="1"/>
  <c r="H493" i="8"/>
  <c r="E467" i="9" s="1"/>
  <c r="B489" i="14"/>
  <c r="P489" i="14"/>
  <c r="AA489" i="14"/>
  <c r="AB489" i="14" s="1"/>
  <c r="K489" i="14"/>
  <c r="V489" i="14"/>
  <c r="AF489" i="14"/>
  <c r="M489" i="19" s="1"/>
  <c r="AD489" i="14"/>
  <c r="S489" i="14"/>
  <c r="H489" i="14"/>
  <c r="R489" i="14"/>
  <c r="G489" i="14"/>
  <c r="A489" i="14"/>
  <c r="I489" i="14"/>
  <c r="Q489" i="14"/>
  <c r="Y489" i="14"/>
  <c r="T489" i="14"/>
  <c r="J489" i="14"/>
  <c r="X489" i="14"/>
  <c r="N489" i="14"/>
  <c r="C489" i="14"/>
  <c r="W489" i="14"/>
  <c r="L489" i="14"/>
  <c r="E489" i="14"/>
  <c r="M489" i="14"/>
  <c r="U489" i="14"/>
  <c r="AC489" i="14"/>
  <c r="Z489" i="14"/>
  <c r="O489" i="14"/>
  <c r="D489" i="14"/>
  <c r="C489" i="8"/>
  <c r="C463" i="9"/>
  <c r="B489" i="8"/>
  <c r="C489" i="19" s="1"/>
  <c r="G489" i="8"/>
  <c r="L489" i="8"/>
  <c r="S489" i="8"/>
  <c r="K489" i="8"/>
  <c r="Q489" i="8"/>
  <c r="X489" i="8"/>
  <c r="N489" i="8"/>
  <c r="I489" i="8"/>
  <c r="R489" i="8"/>
  <c r="P489" i="8"/>
  <c r="D489" i="8"/>
  <c r="E489" i="19" s="1"/>
  <c r="T489" i="8"/>
  <c r="J489" i="19" s="1"/>
  <c r="H489" i="8"/>
  <c r="E463" i="9" s="1"/>
  <c r="E489" i="8"/>
  <c r="M489" i="8"/>
  <c r="U489" i="8"/>
  <c r="I489" i="19" s="1"/>
  <c r="J489" i="8"/>
  <c r="B485" i="14"/>
  <c r="P485" i="14"/>
  <c r="AA485" i="14"/>
  <c r="AB485" i="14" s="1"/>
  <c r="K485" i="14"/>
  <c r="V485" i="14"/>
  <c r="AF485" i="14"/>
  <c r="M485" i="19" s="1"/>
  <c r="AD485" i="14"/>
  <c r="S485" i="14"/>
  <c r="H485" i="14"/>
  <c r="R485" i="14"/>
  <c r="G485" i="14"/>
  <c r="A485" i="14"/>
  <c r="I485" i="14"/>
  <c r="Q485" i="14"/>
  <c r="Y485" i="14"/>
  <c r="T485" i="14"/>
  <c r="J485" i="14"/>
  <c r="X485" i="14"/>
  <c r="N485" i="14"/>
  <c r="C485" i="14"/>
  <c r="W485" i="14"/>
  <c r="L485" i="14"/>
  <c r="E485" i="14"/>
  <c r="M485" i="14"/>
  <c r="U485" i="14"/>
  <c r="AC485" i="14"/>
  <c r="Z485" i="14"/>
  <c r="O485" i="14"/>
  <c r="D485" i="14"/>
  <c r="D485" i="8"/>
  <c r="E485" i="19" s="1"/>
  <c r="C459" i="9"/>
  <c r="B485" i="8"/>
  <c r="C485" i="19" s="1"/>
  <c r="H485" i="8"/>
  <c r="E459" i="9" s="1"/>
  <c r="L485" i="8"/>
  <c r="Q485" i="8"/>
  <c r="T485" i="8"/>
  <c r="C485" i="8"/>
  <c r="G485" i="8"/>
  <c r="K485" i="8"/>
  <c r="N485" i="8"/>
  <c r="S485" i="8"/>
  <c r="X485" i="8"/>
  <c r="P485" i="8"/>
  <c r="I485" i="8"/>
  <c r="R485" i="8"/>
  <c r="U485" i="8"/>
  <c r="I485" i="19" s="1"/>
  <c r="J485" i="8"/>
  <c r="E485" i="8"/>
  <c r="M485" i="8"/>
  <c r="B481" i="14"/>
  <c r="P481" i="14"/>
  <c r="AA481" i="14"/>
  <c r="AB481" i="14" s="1"/>
  <c r="K481" i="14"/>
  <c r="V481" i="14"/>
  <c r="AF481" i="14"/>
  <c r="M481" i="19" s="1"/>
  <c r="AD481" i="14"/>
  <c r="S481" i="14"/>
  <c r="H481" i="14"/>
  <c r="R481" i="14"/>
  <c r="G481" i="14"/>
  <c r="A481" i="14"/>
  <c r="I481" i="14"/>
  <c r="Q481" i="14"/>
  <c r="Y481" i="14"/>
  <c r="T481" i="14"/>
  <c r="J481" i="14"/>
  <c r="X481" i="14"/>
  <c r="N481" i="14"/>
  <c r="C481" i="14"/>
  <c r="W481" i="14"/>
  <c r="L481" i="14"/>
  <c r="E481" i="14"/>
  <c r="M481" i="14"/>
  <c r="U481" i="14"/>
  <c r="AC481" i="14"/>
  <c r="Z481" i="14"/>
  <c r="O481" i="14"/>
  <c r="D481" i="14"/>
  <c r="C455" i="9"/>
  <c r="B481" i="8"/>
  <c r="C481" i="19" s="1"/>
  <c r="D481" i="8"/>
  <c r="E481" i="19" s="1"/>
  <c r="G481" i="8"/>
  <c r="J481" i="8"/>
  <c r="L481" i="8"/>
  <c r="P481" i="8"/>
  <c r="S481" i="8"/>
  <c r="U481" i="8"/>
  <c r="I481" i="19" s="1"/>
  <c r="C481" i="8"/>
  <c r="H481" i="8"/>
  <c r="E455" i="9" s="1"/>
  <c r="K481" i="8"/>
  <c r="N481" i="8"/>
  <c r="Q481" i="8"/>
  <c r="T481" i="8"/>
  <c r="J481" i="19" s="1"/>
  <c r="X481" i="8"/>
  <c r="E481" i="8"/>
  <c r="M481" i="8"/>
  <c r="I481" i="8"/>
  <c r="R481" i="8"/>
  <c r="B478" i="14"/>
  <c r="P478" i="14"/>
  <c r="AA478" i="14"/>
  <c r="AB478" i="14" s="1"/>
  <c r="K478" i="14"/>
  <c r="V478" i="14"/>
  <c r="AF478" i="14"/>
  <c r="M478" i="19" s="1"/>
  <c r="AD478" i="14"/>
  <c r="S478" i="14"/>
  <c r="H478" i="14"/>
  <c r="W478" i="14"/>
  <c r="L478" i="14"/>
  <c r="A478" i="14"/>
  <c r="I478" i="14"/>
  <c r="Q478" i="14"/>
  <c r="Y478" i="14"/>
  <c r="Z478" i="14"/>
  <c r="O478" i="14"/>
  <c r="D478" i="14"/>
  <c r="X478" i="14"/>
  <c r="N478" i="14"/>
  <c r="C478" i="14"/>
  <c r="R478" i="14"/>
  <c r="G478" i="14"/>
  <c r="E478" i="14"/>
  <c r="M478" i="14"/>
  <c r="U478" i="14"/>
  <c r="AC478" i="14"/>
  <c r="T478" i="14"/>
  <c r="J478" i="14"/>
  <c r="E478" i="8"/>
  <c r="C452" i="9"/>
  <c r="B478" i="8"/>
  <c r="C478" i="19" s="1"/>
  <c r="I478" i="8"/>
  <c r="N478" i="8"/>
  <c r="S478" i="8"/>
  <c r="J478" i="8"/>
  <c r="R478" i="8"/>
  <c r="X478" i="8"/>
  <c r="M478" i="8"/>
  <c r="C478" i="8"/>
  <c r="K478" i="8"/>
  <c r="T478" i="8"/>
  <c r="J478" i="19" s="1"/>
  <c r="H478" i="8"/>
  <c r="E452" i="9" s="1"/>
  <c r="Q478" i="8"/>
  <c r="G478" i="8"/>
  <c r="P478" i="8"/>
  <c r="D478" i="8"/>
  <c r="E478" i="19" s="1"/>
  <c r="L478" i="8"/>
  <c r="U478" i="8"/>
  <c r="I478" i="19" s="1"/>
  <c r="B476" i="14"/>
  <c r="P476" i="14"/>
  <c r="AA476" i="14"/>
  <c r="AB476" i="14" s="1"/>
  <c r="K476" i="14"/>
  <c r="V476" i="14"/>
  <c r="AF476" i="14"/>
  <c r="M476" i="19" s="1"/>
  <c r="AD476" i="14"/>
  <c r="S476" i="14"/>
  <c r="H476" i="14"/>
  <c r="W476" i="14"/>
  <c r="L476" i="14"/>
  <c r="A476" i="14"/>
  <c r="I476" i="14"/>
  <c r="Q476" i="14"/>
  <c r="Y476" i="14"/>
  <c r="Z476" i="14"/>
  <c r="O476" i="14"/>
  <c r="D476" i="14"/>
  <c r="X476" i="14"/>
  <c r="N476" i="14"/>
  <c r="C476" i="14"/>
  <c r="R476" i="14"/>
  <c r="G476" i="14"/>
  <c r="E476" i="14"/>
  <c r="M476" i="14"/>
  <c r="U476" i="14"/>
  <c r="AC476" i="14"/>
  <c r="T476" i="14"/>
  <c r="J476" i="14"/>
  <c r="B476" i="8"/>
  <c r="C476" i="19" s="1"/>
  <c r="C450" i="9"/>
  <c r="D476" i="8"/>
  <c r="E476" i="19" s="1"/>
  <c r="H476" i="8"/>
  <c r="E450" i="9" s="1"/>
  <c r="J476" i="8"/>
  <c r="L476" i="8"/>
  <c r="N476" i="8"/>
  <c r="Q476" i="8"/>
  <c r="S476" i="8"/>
  <c r="U476" i="8"/>
  <c r="I476" i="19" s="1"/>
  <c r="X476" i="8"/>
  <c r="C476" i="8"/>
  <c r="E476" i="8"/>
  <c r="G476" i="8"/>
  <c r="I476" i="8"/>
  <c r="K476" i="8"/>
  <c r="M476" i="8"/>
  <c r="P476" i="8"/>
  <c r="R476" i="8"/>
  <c r="T476" i="8"/>
  <c r="B472" i="13"/>
  <c r="A472" i="13"/>
  <c r="D472" i="13"/>
  <c r="H472" i="13"/>
  <c r="L472" i="13"/>
  <c r="N472" i="13"/>
  <c r="Q472" i="13"/>
  <c r="S472" i="13"/>
  <c r="U472" i="13"/>
  <c r="AG472" i="13" s="1"/>
  <c r="C472" i="13"/>
  <c r="E472" i="13"/>
  <c r="G472" i="13"/>
  <c r="J472" i="13"/>
  <c r="M472" i="13"/>
  <c r="O472" i="13"/>
  <c r="R472" i="13"/>
  <c r="T472" i="13"/>
  <c r="V472" i="13"/>
  <c r="Z472" i="13" s="1"/>
  <c r="AE472" i="13"/>
  <c r="B472" i="18"/>
  <c r="J472" i="18"/>
  <c r="M472" i="18" s="1"/>
  <c r="A472" i="18"/>
  <c r="E472" i="18"/>
  <c r="I472" i="18"/>
  <c r="G472" i="18"/>
  <c r="H472" i="18"/>
  <c r="C472" i="18"/>
  <c r="D472" i="18"/>
  <c r="L472" i="18"/>
  <c r="A468" i="14"/>
  <c r="D468" i="14"/>
  <c r="G468" i="14"/>
  <c r="J468" i="14"/>
  <c r="L468" i="14"/>
  <c r="O468" i="14"/>
  <c r="R468" i="14"/>
  <c r="T468" i="14"/>
  <c r="W468" i="14"/>
  <c r="Z468" i="14"/>
  <c r="AF468" i="14"/>
  <c r="M468" i="19" s="1"/>
  <c r="C468" i="14"/>
  <c r="H468" i="14"/>
  <c r="K468" i="14"/>
  <c r="N468" i="14"/>
  <c r="P468" i="14"/>
  <c r="S468" i="14"/>
  <c r="V468" i="14"/>
  <c r="X468" i="14"/>
  <c r="AA468" i="14"/>
  <c r="AB468" i="14" s="1"/>
  <c r="AD468" i="14"/>
  <c r="B468" i="14"/>
  <c r="Y468" i="14"/>
  <c r="Q468" i="14"/>
  <c r="I468" i="14"/>
  <c r="AC468" i="14"/>
  <c r="U468" i="14"/>
  <c r="M468" i="14"/>
  <c r="E468" i="14"/>
  <c r="B468" i="8"/>
  <c r="C468" i="19" s="1"/>
  <c r="C442" i="9"/>
  <c r="C468" i="8"/>
  <c r="E468" i="8"/>
  <c r="G468" i="8"/>
  <c r="I468" i="8"/>
  <c r="K468" i="8"/>
  <c r="M468" i="8"/>
  <c r="P468" i="8"/>
  <c r="R468" i="8"/>
  <c r="T468" i="8"/>
  <c r="J468" i="19" s="1"/>
  <c r="D468" i="8"/>
  <c r="E468" i="19" s="1"/>
  <c r="H468" i="8"/>
  <c r="E442" i="9" s="1"/>
  <c r="J468" i="8"/>
  <c r="L468" i="8"/>
  <c r="N468" i="8"/>
  <c r="Q468" i="8"/>
  <c r="S468" i="8"/>
  <c r="U468" i="8"/>
  <c r="I468" i="19" s="1"/>
  <c r="X468" i="8"/>
  <c r="B464" i="13"/>
  <c r="A464" i="13"/>
  <c r="D464" i="13"/>
  <c r="H464" i="13"/>
  <c r="L464" i="13"/>
  <c r="N464" i="13"/>
  <c r="Q464" i="13"/>
  <c r="S464" i="13"/>
  <c r="U464" i="13"/>
  <c r="AG464" i="13" s="1"/>
  <c r="C464" i="13"/>
  <c r="E464" i="13"/>
  <c r="G464" i="13"/>
  <c r="J464" i="13"/>
  <c r="M464" i="13"/>
  <c r="O464" i="13"/>
  <c r="R464" i="13"/>
  <c r="T464" i="13"/>
  <c r="V464" i="13"/>
  <c r="Z464" i="13" s="1"/>
  <c r="AE464" i="13"/>
  <c r="B464" i="18"/>
  <c r="E464" i="18"/>
  <c r="I464" i="18"/>
  <c r="A464" i="18"/>
  <c r="J464" i="18"/>
  <c r="M464" i="18" s="1"/>
  <c r="D464" i="18"/>
  <c r="G464" i="18"/>
  <c r="H464" i="18"/>
  <c r="C464" i="18"/>
  <c r="B460" i="13"/>
  <c r="A460" i="13"/>
  <c r="D460" i="13"/>
  <c r="H460" i="13"/>
  <c r="L460" i="13"/>
  <c r="N460" i="13"/>
  <c r="Q460" i="13"/>
  <c r="S460" i="13"/>
  <c r="U460" i="13"/>
  <c r="AG460" i="13" s="1"/>
  <c r="C460" i="13"/>
  <c r="E460" i="13"/>
  <c r="G460" i="13"/>
  <c r="J460" i="13"/>
  <c r="M460" i="13"/>
  <c r="O460" i="13"/>
  <c r="R460" i="13"/>
  <c r="T460" i="13"/>
  <c r="V460" i="13"/>
  <c r="Z460" i="13" s="1"/>
  <c r="AE460" i="13"/>
  <c r="B460" i="18"/>
  <c r="E460" i="18"/>
  <c r="I460" i="18"/>
  <c r="A460" i="18"/>
  <c r="J460" i="18"/>
  <c r="M460" i="18" s="1"/>
  <c r="D460" i="18"/>
  <c r="C460" i="18"/>
  <c r="H460" i="18"/>
  <c r="G460" i="18"/>
  <c r="B456" i="13"/>
  <c r="D456" i="13"/>
  <c r="G456" i="13"/>
  <c r="L456" i="13"/>
  <c r="N456" i="13"/>
  <c r="R456" i="13"/>
  <c r="U456" i="13"/>
  <c r="AG456" i="13" s="1"/>
  <c r="C456" i="13"/>
  <c r="H456" i="13"/>
  <c r="M456" i="13"/>
  <c r="Q456" i="13"/>
  <c r="S456" i="13"/>
  <c r="V456" i="13"/>
  <c r="Z456" i="13" s="1"/>
  <c r="A456" i="13"/>
  <c r="J456" i="13"/>
  <c r="T456" i="13"/>
  <c r="AE456" i="13"/>
  <c r="E456" i="13"/>
  <c r="O456" i="13"/>
  <c r="B456" i="18"/>
  <c r="E456" i="18"/>
  <c r="I456" i="18"/>
  <c r="A456" i="18"/>
  <c r="J456" i="18"/>
  <c r="M456" i="18" s="1"/>
  <c r="D456" i="18"/>
  <c r="G456" i="18"/>
  <c r="H456" i="18"/>
  <c r="C456" i="18"/>
  <c r="G452" i="13"/>
  <c r="M452" i="13"/>
  <c r="S452" i="13"/>
  <c r="U452" i="13"/>
  <c r="AG452" i="13" s="1"/>
  <c r="A452" i="13"/>
  <c r="J452" i="13"/>
  <c r="T452" i="13"/>
  <c r="AE452" i="13"/>
  <c r="L452" i="13"/>
  <c r="C452" i="13"/>
  <c r="Q452" i="13"/>
  <c r="E452" i="13"/>
  <c r="O452" i="13"/>
  <c r="D452" i="13"/>
  <c r="R452" i="13"/>
  <c r="B452" i="13"/>
  <c r="H452" i="13"/>
  <c r="V452" i="13"/>
  <c r="Z452" i="13" s="1"/>
  <c r="N452" i="13"/>
  <c r="B452" i="18"/>
  <c r="J452" i="18"/>
  <c r="L452" i="18" s="1"/>
  <c r="I452" i="18"/>
  <c r="G452" i="18"/>
  <c r="A452" i="18"/>
  <c r="E452" i="18"/>
  <c r="D452" i="18"/>
  <c r="H452" i="18"/>
  <c r="C452" i="18"/>
  <c r="C448" i="13"/>
  <c r="H448" i="13"/>
  <c r="M448" i="13"/>
  <c r="Q448" i="13"/>
  <c r="S448" i="13"/>
  <c r="V448" i="13"/>
  <c r="Z448" i="13" s="1"/>
  <c r="B448" i="13"/>
  <c r="D448" i="13"/>
  <c r="G448" i="13"/>
  <c r="L448" i="13"/>
  <c r="N448" i="13"/>
  <c r="R448" i="13"/>
  <c r="U448" i="13"/>
  <c r="AG448" i="13" s="1"/>
  <c r="A448" i="13"/>
  <c r="J448" i="13"/>
  <c r="T448" i="13"/>
  <c r="AE448" i="13"/>
  <c r="E448" i="13"/>
  <c r="O448" i="13"/>
  <c r="B448" i="18"/>
  <c r="J448" i="18"/>
  <c r="I448" i="18"/>
  <c r="H448" i="18"/>
  <c r="G448" i="18"/>
  <c r="A448" i="18"/>
  <c r="E448" i="18"/>
  <c r="D448" i="18"/>
  <c r="C448" i="18"/>
  <c r="K448" i="18"/>
  <c r="B444" i="13"/>
  <c r="S444" i="13"/>
  <c r="M444" i="13"/>
  <c r="Q444" i="13"/>
  <c r="C444" i="13"/>
  <c r="N444" i="13"/>
  <c r="E444" i="13"/>
  <c r="O444" i="13"/>
  <c r="AE444" i="13"/>
  <c r="R444" i="13"/>
  <c r="D444" i="13"/>
  <c r="V444" i="13"/>
  <c r="AA444" i="13" s="1"/>
  <c r="AB444" i="13" s="1"/>
  <c r="H444" i="13"/>
  <c r="U444" i="13"/>
  <c r="AG444" i="13" s="1"/>
  <c r="G444" i="13"/>
  <c r="A444" i="13"/>
  <c r="J444" i="13"/>
  <c r="T444" i="13"/>
  <c r="L444" i="13"/>
  <c r="B444" i="18"/>
  <c r="J444" i="18"/>
  <c r="L444" i="18" s="1"/>
  <c r="D444" i="18"/>
  <c r="H444" i="18"/>
  <c r="G444" i="18"/>
  <c r="A444" i="18"/>
  <c r="E444" i="18"/>
  <c r="I444" i="18"/>
  <c r="C444" i="18"/>
  <c r="K444" i="18"/>
  <c r="B440" i="13"/>
  <c r="D440" i="13"/>
  <c r="G440" i="13"/>
  <c r="L440" i="13"/>
  <c r="N440" i="13"/>
  <c r="R440" i="13"/>
  <c r="U440" i="13"/>
  <c r="AG440" i="13" s="1"/>
  <c r="C440" i="13"/>
  <c r="H440" i="13"/>
  <c r="M440" i="13"/>
  <c r="Q440" i="13"/>
  <c r="S440" i="13"/>
  <c r="V440" i="13"/>
  <c r="Z440" i="13" s="1"/>
  <c r="E440" i="13"/>
  <c r="O440" i="13"/>
  <c r="A440" i="13"/>
  <c r="J440" i="13"/>
  <c r="T440" i="13"/>
  <c r="AE440" i="13"/>
  <c r="B440" i="18"/>
  <c r="J440" i="18"/>
  <c r="N440" i="18" s="1"/>
  <c r="O440" i="18" s="1"/>
  <c r="I440" i="18"/>
  <c r="G440" i="18"/>
  <c r="A440" i="18"/>
  <c r="E440" i="18"/>
  <c r="D440" i="18"/>
  <c r="H440" i="18"/>
  <c r="C440" i="18"/>
  <c r="B436" i="13"/>
  <c r="S436" i="13"/>
  <c r="M436" i="13"/>
  <c r="Q436" i="13"/>
  <c r="C436" i="13"/>
  <c r="N436" i="13"/>
  <c r="E436" i="13"/>
  <c r="O436" i="13"/>
  <c r="L436" i="13"/>
  <c r="V436" i="13"/>
  <c r="Z436" i="13" s="1"/>
  <c r="H436" i="13"/>
  <c r="U436" i="13"/>
  <c r="AG436" i="13" s="1"/>
  <c r="G436" i="13"/>
  <c r="A436" i="13"/>
  <c r="J436" i="13"/>
  <c r="T436" i="13"/>
  <c r="AE436" i="13"/>
  <c r="R436" i="13"/>
  <c r="D436" i="13"/>
  <c r="B436" i="18"/>
  <c r="J436" i="18"/>
  <c r="L436" i="18" s="1"/>
  <c r="D436" i="18"/>
  <c r="G436" i="18"/>
  <c r="A436" i="18"/>
  <c r="E436" i="18"/>
  <c r="I436" i="18"/>
  <c r="H436" i="18"/>
  <c r="C436" i="18"/>
  <c r="B432" i="13"/>
  <c r="D432" i="13"/>
  <c r="G432" i="13"/>
  <c r="L432" i="13"/>
  <c r="N432" i="13"/>
  <c r="R432" i="13"/>
  <c r="U432" i="13"/>
  <c r="AG432" i="13" s="1"/>
  <c r="C432" i="13"/>
  <c r="H432" i="13"/>
  <c r="M432" i="13"/>
  <c r="Q432" i="13"/>
  <c r="S432" i="13"/>
  <c r="V432" i="13"/>
  <c r="Z432" i="13" s="1"/>
  <c r="E432" i="13"/>
  <c r="O432" i="13"/>
  <c r="A432" i="13"/>
  <c r="J432" i="13"/>
  <c r="T432" i="13"/>
  <c r="AE432" i="13"/>
  <c r="B432" i="18"/>
  <c r="J432" i="18"/>
  <c r="D432" i="18"/>
  <c r="H432" i="18"/>
  <c r="G432" i="18"/>
  <c r="A432" i="18"/>
  <c r="E432" i="18"/>
  <c r="I432" i="18"/>
  <c r="C432" i="18"/>
  <c r="K432" i="18"/>
  <c r="B421" i="13"/>
  <c r="N421" i="13"/>
  <c r="T421" i="13"/>
  <c r="Q421" i="13"/>
  <c r="D421" i="13"/>
  <c r="U421" i="13"/>
  <c r="AG421" i="13" s="1"/>
  <c r="H421" i="13"/>
  <c r="G421" i="13"/>
  <c r="R421" i="13"/>
  <c r="A421" i="13"/>
  <c r="L421" i="13"/>
  <c r="AE421" i="13"/>
  <c r="J421" i="13"/>
  <c r="O421" i="13"/>
  <c r="C421" i="13"/>
  <c r="M421" i="13"/>
  <c r="V421" i="13"/>
  <c r="Z421" i="13" s="1"/>
  <c r="S421" i="13"/>
  <c r="E421" i="13"/>
  <c r="B421" i="18"/>
  <c r="A421" i="18"/>
  <c r="E421" i="18"/>
  <c r="G421" i="18"/>
  <c r="J421" i="18"/>
  <c r="M421" i="18" s="1"/>
  <c r="C421" i="18"/>
  <c r="I421" i="18"/>
  <c r="D421" i="18"/>
  <c r="H421" i="18"/>
  <c r="B419" i="13"/>
  <c r="E419" i="13"/>
  <c r="L419" i="13"/>
  <c r="S419" i="13"/>
  <c r="N419" i="13"/>
  <c r="T419" i="13"/>
  <c r="O419" i="13"/>
  <c r="C419" i="13"/>
  <c r="M419" i="13"/>
  <c r="V419" i="13"/>
  <c r="AE419" i="13"/>
  <c r="J419" i="13"/>
  <c r="U419" i="13"/>
  <c r="AG419" i="13" s="1"/>
  <c r="H419" i="13"/>
  <c r="G419" i="13"/>
  <c r="R419" i="13"/>
  <c r="A419" i="13"/>
  <c r="Q419" i="13"/>
  <c r="D419" i="13"/>
  <c r="B419" i="18"/>
  <c r="C419" i="18"/>
  <c r="E419" i="18"/>
  <c r="G419" i="18"/>
  <c r="I419" i="18"/>
  <c r="A419" i="18"/>
  <c r="D419" i="18"/>
  <c r="H419" i="18"/>
  <c r="J419" i="18"/>
  <c r="M419" i="18" s="1"/>
  <c r="B415" i="13"/>
  <c r="C415" i="13"/>
  <c r="E415" i="13"/>
  <c r="G415" i="13"/>
  <c r="J415" i="13"/>
  <c r="M415" i="13"/>
  <c r="O415" i="13"/>
  <c r="R415" i="13"/>
  <c r="T415" i="13"/>
  <c r="V415" i="13"/>
  <c r="AA415" i="13" s="1"/>
  <c r="AB415" i="13" s="1"/>
  <c r="AE415" i="13"/>
  <c r="A415" i="13"/>
  <c r="D415" i="13"/>
  <c r="H415" i="13"/>
  <c r="L415" i="13"/>
  <c r="N415" i="13"/>
  <c r="Q415" i="13"/>
  <c r="S415" i="13"/>
  <c r="U415" i="13"/>
  <c r="AG415" i="13" s="1"/>
  <c r="B415" i="18"/>
  <c r="C415" i="18"/>
  <c r="E415" i="18"/>
  <c r="G415" i="18"/>
  <c r="I415" i="18"/>
  <c r="A415" i="18"/>
  <c r="D415" i="18"/>
  <c r="H415" i="18"/>
  <c r="J415" i="18"/>
  <c r="M415" i="18" s="1"/>
  <c r="B411" i="13"/>
  <c r="A411" i="13"/>
  <c r="D411" i="13"/>
  <c r="H411" i="13"/>
  <c r="L411" i="13"/>
  <c r="N411" i="13"/>
  <c r="Q411" i="13"/>
  <c r="S411" i="13"/>
  <c r="U411" i="13"/>
  <c r="AG411" i="13" s="1"/>
  <c r="C411" i="13"/>
  <c r="E411" i="13"/>
  <c r="G411" i="13"/>
  <c r="J411" i="13"/>
  <c r="M411" i="13"/>
  <c r="O411" i="13"/>
  <c r="R411" i="13"/>
  <c r="T411" i="13"/>
  <c r="V411" i="13"/>
  <c r="Z411" i="13" s="1"/>
  <c r="AE411" i="13"/>
  <c r="B411" i="18"/>
  <c r="A411" i="18"/>
  <c r="D411" i="18"/>
  <c r="H411" i="18"/>
  <c r="J411" i="18"/>
  <c r="L411" i="18" s="1"/>
  <c r="C411" i="18"/>
  <c r="E411" i="18"/>
  <c r="G411" i="18"/>
  <c r="I411" i="18"/>
  <c r="AC498" i="13"/>
  <c r="AD498" i="13" s="1"/>
  <c r="B499" i="14"/>
  <c r="D499" i="14"/>
  <c r="I499" i="14"/>
  <c r="L499" i="14"/>
  <c r="N499" i="14"/>
  <c r="Q499" i="14"/>
  <c r="T499" i="14"/>
  <c r="V499" i="14"/>
  <c r="Y499" i="14"/>
  <c r="AC499" i="14"/>
  <c r="AF499" i="14"/>
  <c r="M499" i="19" s="1"/>
  <c r="A499" i="14"/>
  <c r="E499" i="14"/>
  <c r="H499" i="14"/>
  <c r="J499" i="14"/>
  <c r="M499" i="14"/>
  <c r="P499" i="14"/>
  <c r="R499" i="14"/>
  <c r="U499" i="14"/>
  <c r="X499" i="14"/>
  <c r="Z499" i="14"/>
  <c r="AD499" i="14"/>
  <c r="W499" i="14"/>
  <c r="O499" i="14"/>
  <c r="G499" i="14"/>
  <c r="AA499" i="14"/>
  <c r="AB499" i="14" s="1"/>
  <c r="S499" i="14"/>
  <c r="K499" i="14"/>
  <c r="C499" i="14"/>
  <c r="D499" i="8"/>
  <c r="E499" i="19" s="1"/>
  <c r="C473" i="9"/>
  <c r="L499" i="8"/>
  <c r="R499" i="8"/>
  <c r="X499" i="8"/>
  <c r="B499" i="8"/>
  <c r="C499" i="19" s="1"/>
  <c r="H499" i="8"/>
  <c r="E473" i="9" s="1"/>
  <c r="M499" i="8"/>
  <c r="S499" i="8"/>
  <c r="U499" i="8"/>
  <c r="I499" i="19" s="1"/>
  <c r="I499" i="8"/>
  <c r="C499" i="8"/>
  <c r="K499" i="8"/>
  <c r="T499" i="8"/>
  <c r="Q499" i="8"/>
  <c r="E499" i="8"/>
  <c r="N499" i="8"/>
  <c r="G499" i="8"/>
  <c r="P499" i="8"/>
  <c r="J499" i="8"/>
  <c r="B497" i="14"/>
  <c r="A497" i="14"/>
  <c r="E497" i="14"/>
  <c r="H497" i="14"/>
  <c r="J497" i="14"/>
  <c r="M497" i="14"/>
  <c r="O497" i="14"/>
  <c r="Q497" i="14"/>
  <c r="S497" i="14"/>
  <c r="U497" i="14"/>
  <c r="W497" i="14"/>
  <c r="Y497" i="14"/>
  <c r="AA497" i="14"/>
  <c r="AB497" i="14" s="1"/>
  <c r="AC497" i="14"/>
  <c r="AF497" i="14"/>
  <c r="M497" i="19" s="1"/>
  <c r="D497" i="14"/>
  <c r="I497" i="14"/>
  <c r="L497" i="14"/>
  <c r="N497" i="14"/>
  <c r="P497" i="14"/>
  <c r="R497" i="14"/>
  <c r="T497" i="14"/>
  <c r="V497" i="14"/>
  <c r="X497" i="14"/>
  <c r="Z497" i="14"/>
  <c r="AD497" i="14"/>
  <c r="G497" i="14"/>
  <c r="K497" i="14"/>
  <c r="C497" i="14"/>
  <c r="C471" i="9"/>
  <c r="C497" i="8"/>
  <c r="H497" i="8"/>
  <c r="E471" i="9" s="1"/>
  <c r="K497" i="8"/>
  <c r="N497" i="8"/>
  <c r="Q497" i="8"/>
  <c r="T497" i="8"/>
  <c r="J497" i="19" s="1"/>
  <c r="X497" i="8"/>
  <c r="B497" i="8"/>
  <c r="C497" i="19" s="1"/>
  <c r="D497" i="8"/>
  <c r="E497" i="19" s="1"/>
  <c r="G497" i="8"/>
  <c r="J497" i="8"/>
  <c r="L497" i="8"/>
  <c r="P497" i="8"/>
  <c r="S497" i="8"/>
  <c r="U497" i="8"/>
  <c r="I497" i="19" s="1"/>
  <c r="E497" i="8"/>
  <c r="M497" i="8"/>
  <c r="I497" i="8"/>
  <c r="R497" i="8"/>
  <c r="B491" i="14"/>
  <c r="P491" i="14"/>
  <c r="AA491" i="14"/>
  <c r="AB491" i="14" s="1"/>
  <c r="K491" i="14"/>
  <c r="V491" i="14"/>
  <c r="AF491" i="14"/>
  <c r="M491" i="19" s="1"/>
  <c r="AD491" i="14"/>
  <c r="S491" i="14"/>
  <c r="H491" i="14"/>
  <c r="R491" i="14"/>
  <c r="G491" i="14"/>
  <c r="A491" i="14"/>
  <c r="I491" i="14"/>
  <c r="Q491" i="14"/>
  <c r="Y491" i="14"/>
  <c r="T491" i="14"/>
  <c r="J491" i="14"/>
  <c r="X491" i="14"/>
  <c r="N491" i="14"/>
  <c r="C491" i="14"/>
  <c r="W491" i="14"/>
  <c r="L491" i="14"/>
  <c r="E491" i="14"/>
  <c r="M491" i="14"/>
  <c r="U491" i="14"/>
  <c r="AC491" i="14"/>
  <c r="Z491" i="14"/>
  <c r="O491" i="14"/>
  <c r="D491" i="14"/>
  <c r="C465" i="9"/>
  <c r="B491" i="8"/>
  <c r="C491" i="19" s="1"/>
  <c r="E491" i="8"/>
  <c r="H491" i="8"/>
  <c r="E465" i="9" s="1"/>
  <c r="J491" i="8"/>
  <c r="M491" i="8"/>
  <c r="Q491" i="8"/>
  <c r="S491" i="8"/>
  <c r="D491" i="8"/>
  <c r="E491" i="19" s="1"/>
  <c r="I491" i="8"/>
  <c r="L491" i="8"/>
  <c r="N491" i="8"/>
  <c r="R491" i="8"/>
  <c r="U491" i="8"/>
  <c r="I491" i="19" s="1"/>
  <c r="X491" i="8"/>
  <c r="C491" i="8"/>
  <c r="K491" i="8"/>
  <c r="T491" i="8"/>
  <c r="G491" i="8"/>
  <c r="P491" i="8"/>
  <c r="B487" i="14"/>
  <c r="P487" i="14"/>
  <c r="AA487" i="14"/>
  <c r="AB487" i="14" s="1"/>
  <c r="K487" i="14"/>
  <c r="V487" i="14"/>
  <c r="AF487" i="14"/>
  <c r="M487" i="19" s="1"/>
  <c r="AD487" i="14"/>
  <c r="S487" i="14"/>
  <c r="H487" i="14"/>
  <c r="R487" i="14"/>
  <c r="G487" i="14"/>
  <c r="A487" i="14"/>
  <c r="I487" i="14"/>
  <c r="Q487" i="14"/>
  <c r="Y487" i="14"/>
  <c r="T487" i="14"/>
  <c r="J487" i="14"/>
  <c r="X487" i="14"/>
  <c r="N487" i="14"/>
  <c r="C487" i="14"/>
  <c r="W487" i="14"/>
  <c r="L487" i="14"/>
  <c r="E487" i="14"/>
  <c r="M487" i="14"/>
  <c r="U487" i="14"/>
  <c r="AC487" i="14"/>
  <c r="Z487" i="14"/>
  <c r="O487" i="14"/>
  <c r="D487" i="14"/>
  <c r="B487" i="8"/>
  <c r="C487" i="19" s="1"/>
  <c r="C461" i="9"/>
  <c r="L487" i="8"/>
  <c r="X487" i="8"/>
  <c r="R487" i="8"/>
  <c r="S487" i="8"/>
  <c r="H487" i="8"/>
  <c r="E461" i="9" s="1"/>
  <c r="G487" i="8"/>
  <c r="P487" i="8"/>
  <c r="J487" i="8"/>
  <c r="N487" i="8"/>
  <c r="D487" i="8"/>
  <c r="E487" i="19" s="1"/>
  <c r="M487" i="8"/>
  <c r="C487" i="8"/>
  <c r="K487" i="8"/>
  <c r="T487" i="8"/>
  <c r="J487" i="19" s="1"/>
  <c r="Q487" i="8"/>
  <c r="E487" i="8"/>
  <c r="U487" i="8"/>
  <c r="I487" i="19" s="1"/>
  <c r="I487" i="8"/>
  <c r="B483" i="14"/>
  <c r="P483" i="14"/>
  <c r="AA483" i="14"/>
  <c r="AB483" i="14" s="1"/>
  <c r="K483" i="14"/>
  <c r="V483" i="14"/>
  <c r="AF483" i="14"/>
  <c r="M483" i="19" s="1"/>
  <c r="AD483" i="14"/>
  <c r="S483" i="14"/>
  <c r="H483" i="14"/>
  <c r="R483" i="14"/>
  <c r="G483" i="14"/>
  <c r="A483" i="14"/>
  <c r="I483" i="14"/>
  <c r="Q483" i="14"/>
  <c r="Y483" i="14"/>
  <c r="T483" i="14"/>
  <c r="J483" i="14"/>
  <c r="X483" i="14"/>
  <c r="N483" i="14"/>
  <c r="C483" i="14"/>
  <c r="W483" i="14"/>
  <c r="L483" i="14"/>
  <c r="E483" i="14"/>
  <c r="M483" i="14"/>
  <c r="U483" i="14"/>
  <c r="AC483" i="14"/>
  <c r="Z483" i="14"/>
  <c r="O483" i="14"/>
  <c r="D483" i="14"/>
  <c r="D483" i="8"/>
  <c r="E483" i="19" s="1"/>
  <c r="C457" i="9"/>
  <c r="B483" i="8"/>
  <c r="C483" i="19" s="1"/>
  <c r="H483" i="8"/>
  <c r="E457" i="9" s="1"/>
  <c r="M483" i="8"/>
  <c r="S483" i="8"/>
  <c r="L483" i="8"/>
  <c r="R483" i="8"/>
  <c r="X483" i="8"/>
  <c r="U483" i="8"/>
  <c r="I483" i="19" s="1"/>
  <c r="I483" i="8"/>
  <c r="C483" i="8"/>
  <c r="K483" i="8"/>
  <c r="T483" i="8"/>
  <c r="J483" i="8"/>
  <c r="N483" i="8"/>
  <c r="G483" i="8"/>
  <c r="P483" i="8"/>
  <c r="Q483" i="8"/>
  <c r="E483" i="8"/>
  <c r="B479" i="14"/>
  <c r="P479" i="14"/>
  <c r="AA479" i="14"/>
  <c r="AB479" i="14" s="1"/>
  <c r="K479" i="14"/>
  <c r="V479" i="14"/>
  <c r="AF479" i="14"/>
  <c r="M479" i="19" s="1"/>
  <c r="AD479" i="14"/>
  <c r="S479" i="14"/>
  <c r="H479" i="14"/>
  <c r="R479" i="14"/>
  <c r="G479" i="14"/>
  <c r="A479" i="14"/>
  <c r="I479" i="14"/>
  <c r="Q479" i="14"/>
  <c r="Y479" i="14"/>
  <c r="T479" i="14"/>
  <c r="J479" i="14"/>
  <c r="X479" i="14"/>
  <c r="N479" i="14"/>
  <c r="C479" i="14"/>
  <c r="W479" i="14"/>
  <c r="L479" i="14"/>
  <c r="E479" i="14"/>
  <c r="M479" i="14"/>
  <c r="U479" i="14"/>
  <c r="AC479" i="14"/>
  <c r="Z479" i="14"/>
  <c r="O479" i="14"/>
  <c r="D479" i="14"/>
  <c r="B479" i="8"/>
  <c r="C479" i="19" s="1"/>
  <c r="C453" i="9"/>
  <c r="E479" i="8"/>
  <c r="H479" i="8"/>
  <c r="E453" i="9" s="1"/>
  <c r="J479" i="8"/>
  <c r="M479" i="8"/>
  <c r="Q479" i="8"/>
  <c r="S479" i="8"/>
  <c r="D479" i="8"/>
  <c r="E479" i="19" s="1"/>
  <c r="I479" i="8"/>
  <c r="L479" i="8"/>
  <c r="N479" i="8"/>
  <c r="R479" i="8"/>
  <c r="U479" i="8"/>
  <c r="I479" i="19" s="1"/>
  <c r="X479" i="8"/>
  <c r="T479" i="8"/>
  <c r="J479" i="19" s="1"/>
  <c r="K479" i="8"/>
  <c r="C479" i="8"/>
  <c r="P479" i="8"/>
  <c r="G479" i="8"/>
  <c r="B474" i="14"/>
  <c r="P474" i="14"/>
  <c r="AA474" i="14"/>
  <c r="AB474" i="14" s="1"/>
  <c r="K474" i="14"/>
  <c r="V474" i="14"/>
  <c r="AF474" i="14"/>
  <c r="M474" i="19" s="1"/>
  <c r="AD474" i="14"/>
  <c r="S474" i="14"/>
  <c r="H474" i="14"/>
  <c r="W474" i="14"/>
  <c r="L474" i="14"/>
  <c r="A474" i="14"/>
  <c r="I474" i="14"/>
  <c r="Q474" i="14"/>
  <c r="Y474" i="14"/>
  <c r="Z474" i="14"/>
  <c r="O474" i="14"/>
  <c r="D474" i="14"/>
  <c r="X474" i="14"/>
  <c r="N474" i="14"/>
  <c r="C474" i="14"/>
  <c r="R474" i="14"/>
  <c r="G474" i="14"/>
  <c r="E474" i="14"/>
  <c r="M474" i="14"/>
  <c r="U474" i="14"/>
  <c r="AC474" i="14"/>
  <c r="T474" i="14"/>
  <c r="J474" i="14"/>
  <c r="B474" i="8"/>
  <c r="C474" i="19" s="1"/>
  <c r="C448" i="9"/>
  <c r="I474" i="8"/>
  <c r="R474" i="8"/>
  <c r="N474" i="8"/>
  <c r="X474" i="8"/>
  <c r="S474" i="8"/>
  <c r="G474" i="8"/>
  <c r="P474" i="8"/>
  <c r="D474" i="8"/>
  <c r="E474" i="19" s="1"/>
  <c r="L474" i="8"/>
  <c r="U474" i="8"/>
  <c r="I474" i="19" s="1"/>
  <c r="M474" i="8"/>
  <c r="J474" i="8"/>
  <c r="C474" i="8"/>
  <c r="K474" i="8"/>
  <c r="T474" i="8"/>
  <c r="H474" i="8"/>
  <c r="E448" i="9" s="1"/>
  <c r="Q474" i="8"/>
  <c r="E474" i="8"/>
  <c r="B470" i="13"/>
  <c r="A470" i="13"/>
  <c r="D470" i="13"/>
  <c r="H470" i="13"/>
  <c r="L470" i="13"/>
  <c r="N470" i="13"/>
  <c r="Q470" i="13"/>
  <c r="S470" i="13"/>
  <c r="U470" i="13"/>
  <c r="AG470" i="13" s="1"/>
  <c r="C470" i="13"/>
  <c r="E470" i="13"/>
  <c r="G470" i="13"/>
  <c r="J470" i="13"/>
  <c r="M470" i="13"/>
  <c r="O470" i="13"/>
  <c r="R470" i="13"/>
  <c r="T470" i="13"/>
  <c r="V470" i="13"/>
  <c r="Z470" i="13" s="1"/>
  <c r="AE470" i="13"/>
  <c r="B470" i="18"/>
  <c r="C470" i="18"/>
  <c r="E470" i="18"/>
  <c r="G470" i="18"/>
  <c r="I470" i="18"/>
  <c r="A470" i="18"/>
  <c r="D470" i="18"/>
  <c r="H470" i="18"/>
  <c r="J470" i="18"/>
  <c r="M470" i="18" s="1"/>
  <c r="A466" i="14"/>
  <c r="D466" i="14"/>
  <c r="G466" i="14"/>
  <c r="J466" i="14"/>
  <c r="L466" i="14"/>
  <c r="O466" i="14"/>
  <c r="R466" i="14"/>
  <c r="T466" i="14"/>
  <c r="W466" i="14"/>
  <c r="Z466" i="14"/>
  <c r="AF466" i="14"/>
  <c r="M466" i="19" s="1"/>
  <c r="C466" i="14"/>
  <c r="H466" i="14"/>
  <c r="K466" i="14"/>
  <c r="N466" i="14"/>
  <c r="P466" i="14"/>
  <c r="S466" i="14"/>
  <c r="V466" i="14"/>
  <c r="X466" i="14"/>
  <c r="AA466" i="14"/>
  <c r="AB466" i="14" s="1"/>
  <c r="AD466" i="14"/>
  <c r="B466" i="14"/>
  <c r="Y466" i="14"/>
  <c r="Q466" i="14"/>
  <c r="I466" i="14"/>
  <c r="AC466" i="14"/>
  <c r="U466" i="14"/>
  <c r="M466" i="14"/>
  <c r="E466" i="14"/>
  <c r="B466" i="8"/>
  <c r="C466" i="19" s="1"/>
  <c r="C440" i="9"/>
  <c r="J466" i="8"/>
  <c r="N466" i="8"/>
  <c r="S466" i="8"/>
  <c r="X466" i="8"/>
  <c r="E466" i="8"/>
  <c r="I466" i="8"/>
  <c r="M466" i="8"/>
  <c r="R466" i="8"/>
  <c r="Q466" i="8"/>
  <c r="H466" i="8"/>
  <c r="E440" i="9" s="1"/>
  <c r="T466" i="8"/>
  <c r="J466" i="19" s="1"/>
  <c r="K466" i="8"/>
  <c r="C466" i="8"/>
  <c r="U466" i="8"/>
  <c r="I466" i="19" s="1"/>
  <c r="L466" i="8"/>
  <c r="D466" i="8"/>
  <c r="E466" i="19" s="1"/>
  <c r="P466" i="8"/>
  <c r="G466" i="8"/>
  <c r="B457" i="13"/>
  <c r="E457" i="13"/>
  <c r="H457" i="13"/>
  <c r="L457" i="13"/>
  <c r="O457" i="13"/>
  <c r="S457" i="13"/>
  <c r="U457" i="13"/>
  <c r="AG457" i="13" s="1"/>
  <c r="D457" i="13"/>
  <c r="J457" i="13"/>
  <c r="N457" i="13"/>
  <c r="Q457" i="13"/>
  <c r="T457" i="13"/>
  <c r="AE457" i="13"/>
  <c r="C457" i="13"/>
  <c r="M457" i="13"/>
  <c r="V457" i="13"/>
  <c r="G457" i="13"/>
  <c r="R457" i="13"/>
  <c r="A457" i="13"/>
  <c r="J457" i="18"/>
  <c r="L457" i="18" s="1"/>
  <c r="B457" i="18"/>
  <c r="G457" i="18"/>
  <c r="D457" i="18"/>
  <c r="E457" i="18"/>
  <c r="C457" i="18"/>
  <c r="H457" i="18"/>
  <c r="A457" i="18"/>
  <c r="I457" i="18"/>
  <c r="E455" i="13"/>
  <c r="D455" i="13"/>
  <c r="H455" i="13"/>
  <c r="N455" i="13"/>
  <c r="Q455" i="13"/>
  <c r="U455" i="13"/>
  <c r="AG455" i="13" s="1"/>
  <c r="B455" i="13"/>
  <c r="J455" i="13"/>
  <c r="O455" i="13"/>
  <c r="T455" i="13"/>
  <c r="AE455" i="13"/>
  <c r="L455" i="13"/>
  <c r="G455" i="13"/>
  <c r="R455" i="13"/>
  <c r="A455" i="13"/>
  <c r="S455" i="13"/>
  <c r="C455" i="13"/>
  <c r="M455" i="13"/>
  <c r="V455" i="13"/>
  <c r="B455" i="18"/>
  <c r="D455" i="18"/>
  <c r="I455" i="18"/>
  <c r="A455" i="18"/>
  <c r="E455" i="18"/>
  <c r="H455" i="18"/>
  <c r="J455" i="18"/>
  <c r="N455" i="18" s="1"/>
  <c r="O455" i="18" s="1"/>
  <c r="G455" i="18"/>
  <c r="C455" i="18"/>
  <c r="H453" i="13"/>
  <c r="T453" i="13"/>
  <c r="O453" i="13"/>
  <c r="N453" i="13"/>
  <c r="U453" i="13"/>
  <c r="AG453" i="13" s="1"/>
  <c r="G453" i="13"/>
  <c r="R453" i="13"/>
  <c r="E453" i="13"/>
  <c r="S453" i="13"/>
  <c r="D453" i="13"/>
  <c r="Q453" i="13"/>
  <c r="AE453" i="13"/>
  <c r="B453" i="13"/>
  <c r="A453" i="13"/>
  <c r="C453" i="13"/>
  <c r="M453" i="13"/>
  <c r="V453" i="13"/>
  <c r="AA453" i="13" s="1"/>
  <c r="AB453" i="13" s="1"/>
  <c r="AC453" i="13" s="1"/>
  <c r="AD453" i="13" s="1"/>
  <c r="L453" i="13"/>
  <c r="J453" i="13"/>
  <c r="B453" i="18"/>
  <c r="J453" i="18"/>
  <c r="N453" i="18" s="1"/>
  <c r="O453" i="18" s="1"/>
  <c r="E453" i="18"/>
  <c r="D453" i="18"/>
  <c r="G453" i="18"/>
  <c r="I453" i="18"/>
  <c r="A453" i="18"/>
  <c r="H453" i="18"/>
  <c r="C453" i="18"/>
  <c r="B451" i="13"/>
  <c r="N451" i="13"/>
  <c r="T451" i="13"/>
  <c r="E451" i="13"/>
  <c r="L451" i="13"/>
  <c r="S451" i="13"/>
  <c r="U451" i="13"/>
  <c r="AG451" i="13" s="1"/>
  <c r="H451" i="13"/>
  <c r="C451" i="13"/>
  <c r="M451" i="13"/>
  <c r="V451" i="13"/>
  <c r="AE451" i="13"/>
  <c r="J451" i="13"/>
  <c r="O451" i="13"/>
  <c r="G451" i="13"/>
  <c r="R451" i="13"/>
  <c r="A451" i="13"/>
  <c r="Q451" i="13"/>
  <c r="D451" i="13"/>
  <c r="B451" i="18"/>
  <c r="C451" i="18"/>
  <c r="E451" i="18"/>
  <c r="G451" i="18"/>
  <c r="I451" i="18"/>
  <c r="A451" i="18"/>
  <c r="D451" i="18"/>
  <c r="H451" i="18"/>
  <c r="J451" i="18"/>
  <c r="M451" i="18" s="1"/>
  <c r="B449" i="13"/>
  <c r="E449" i="13"/>
  <c r="H449" i="13"/>
  <c r="L449" i="13"/>
  <c r="O449" i="13"/>
  <c r="S449" i="13"/>
  <c r="U449" i="13"/>
  <c r="AG449" i="13" s="1"/>
  <c r="D449" i="13"/>
  <c r="J449" i="13"/>
  <c r="N449" i="13"/>
  <c r="Q449" i="13"/>
  <c r="T449" i="13"/>
  <c r="AE449" i="13"/>
  <c r="C449" i="13"/>
  <c r="M449" i="13"/>
  <c r="V449" i="13"/>
  <c r="G449" i="13"/>
  <c r="R449" i="13"/>
  <c r="A449" i="13"/>
  <c r="B449" i="18"/>
  <c r="E449" i="18"/>
  <c r="G449" i="18"/>
  <c r="J449" i="18"/>
  <c r="K449" i="18" s="1"/>
  <c r="C449" i="18"/>
  <c r="I449" i="18"/>
  <c r="D449" i="18"/>
  <c r="H449" i="18"/>
  <c r="A449" i="18"/>
  <c r="E447" i="13"/>
  <c r="B447" i="13"/>
  <c r="J447" i="13"/>
  <c r="O447" i="13"/>
  <c r="T447" i="13"/>
  <c r="AE447" i="13"/>
  <c r="D447" i="13"/>
  <c r="H447" i="13"/>
  <c r="N447" i="13"/>
  <c r="Q447" i="13"/>
  <c r="U447" i="13"/>
  <c r="AG447" i="13" s="1"/>
  <c r="S447" i="13"/>
  <c r="C447" i="13"/>
  <c r="M447" i="13"/>
  <c r="V447" i="13"/>
  <c r="Z447" i="13" s="1"/>
  <c r="L447" i="13"/>
  <c r="G447" i="13"/>
  <c r="R447" i="13"/>
  <c r="A447" i="13"/>
  <c r="B447" i="18"/>
  <c r="C447" i="18"/>
  <c r="E447" i="18"/>
  <c r="G447" i="18"/>
  <c r="I447" i="18"/>
  <c r="A447" i="18"/>
  <c r="D447" i="18"/>
  <c r="H447" i="18"/>
  <c r="J447" i="18"/>
  <c r="M447" i="18" s="1"/>
  <c r="N445" i="13"/>
  <c r="T445" i="13"/>
  <c r="C445" i="13"/>
  <c r="M445" i="13"/>
  <c r="V445" i="13"/>
  <c r="Z445" i="13" s="1"/>
  <c r="L445" i="13"/>
  <c r="H445" i="13"/>
  <c r="U445" i="13"/>
  <c r="AG445" i="13" s="1"/>
  <c r="J445" i="13"/>
  <c r="AE445" i="13"/>
  <c r="A445" i="13"/>
  <c r="G445" i="13"/>
  <c r="R445" i="13"/>
  <c r="E445" i="13"/>
  <c r="S445" i="13"/>
  <c r="B445" i="13"/>
  <c r="O445" i="13"/>
  <c r="D445" i="13"/>
  <c r="Q445" i="13"/>
  <c r="B445" i="18"/>
  <c r="E445" i="18"/>
  <c r="G445" i="18"/>
  <c r="J445" i="18"/>
  <c r="K445" i="18" s="1"/>
  <c r="C445" i="18"/>
  <c r="I445" i="18"/>
  <c r="D445" i="18"/>
  <c r="H445" i="18"/>
  <c r="A445" i="18"/>
  <c r="B443" i="13"/>
  <c r="E443" i="13"/>
  <c r="L443" i="13"/>
  <c r="S443" i="13"/>
  <c r="N443" i="13"/>
  <c r="T443" i="13"/>
  <c r="O443" i="13"/>
  <c r="C443" i="13"/>
  <c r="M443" i="13"/>
  <c r="V443" i="13"/>
  <c r="AA443" i="13" s="1"/>
  <c r="AB443" i="13" s="1"/>
  <c r="J443" i="13"/>
  <c r="U443" i="13"/>
  <c r="AG443" i="13" s="1"/>
  <c r="H443" i="13"/>
  <c r="G443" i="13"/>
  <c r="R443" i="13"/>
  <c r="A443" i="13"/>
  <c r="AE443" i="13"/>
  <c r="Q443" i="13"/>
  <c r="D443" i="13"/>
  <c r="B443" i="18"/>
  <c r="C443" i="18"/>
  <c r="E443" i="18"/>
  <c r="G443" i="18"/>
  <c r="I443" i="18"/>
  <c r="A443" i="18"/>
  <c r="D443" i="18"/>
  <c r="H443" i="18"/>
  <c r="J443" i="18"/>
  <c r="M443" i="18" s="1"/>
  <c r="D441" i="13"/>
  <c r="J441" i="13"/>
  <c r="N441" i="13"/>
  <c r="Q441" i="13"/>
  <c r="T441" i="13"/>
  <c r="AE441" i="13"/>
  <c r="B441" i="13"/>
  <c r="E441" i="13"/>
  <c r="H441" i="13"/>
  <c r="L441" i="13"/>
  <c r="O441" i="13"/>
  <c r="S441" i="13"/>
  <c r="U441" i="13"/>
  <c r="AG441" i="13" s="1"/>
  <c r="G441" i="13"/>
  <c r="R441" i="13"/>
  <c r="A441" i="13"/>
  <c r="C441" i="13"/>
  <c r="M441" i="13"/>
  <c r="V441" i="13"/>
  <c r="B441" i="18"/>
  <c r="E441" i="18"/>
  <c r="G441" i="18"/>
  <c r="J441" i="18"/>
  <c r="K441" i="18" s="1"/>
  <c r="C441" i="18"/>
  <c r="I441" i="18"/>
  <c r="D441" i="18"/>
  <c r="H441" i="18"/>
  <c r="A441" i="18"/>
  <c r="E439" i="13"/>
  <c r="D439" i="13"/>
  <c r="H439" i="13"/>
  <c r="N439" i="13"/>
  <c r="Q439" i="13"/>
  <c r="U439" i="13"/>
  <c r="AG439" i="13" s="1"/>
  <c r="B439" i="13"/>
  <c r="J439" i="13"/>
  <c r="O439" i="13"/>
  <c r="T439" i="13"/>
  <c r="AE439" i="13"/>
  <c r="S439" i="13"/>
  <c r="C439" i="13"/>
  <c r="M439" i="13"/>
  <c r="V439" i="13"/>
  <c r="L439" i="13"/>
  <c r="G439" i="13"/>
  <c r="R439" i="13"/>
  <c r="A439" i="13"/>
  <c r="B439" i="18"/>
  <c r="C439" i="18"/>
  <c r="E439" i="18"/>
  <c r="G439" i="18"/>
  <c r="I439" i="18"/>
  <c r="A439" i="18"/>
  <c r="D439" i="18"/>
  <c r="H439" i="18"/>
  <c r="J439" i="18"/>
  <c r="M439" i="18" s="1"/>
  <c r="A462" i="14"/>
  <c r="L462" i="14"/>
  <c r="Q462" i="14"/>
  <c r="V462" i="14"/>
  <c r="AF462" i="14"/>
  <c r="M462" i="19" s="1"/>
  <c r="E462" i="14"/>
  <c r="J462" i="14"/>
  <c r="P462" i="14"/>
  <c r="U462" i="14"/>
  <c r="Z462" i="14"/>
  <c r="G462" i="14"/>
  <c r="O462" i="14"/>
  <c r="W462" i="14"/>
  <c r="B462" i="14"/>
  <c r="M462" i="14"/>
  <c r="X462" i="14"/>
  <c r="D462" i="14"/>
  <c r="N462" i="14"/>
  <c r="Y462" i="14"/>
  <c r="C462" i="14"/>
  <c r="K462" i="14"/>
  <c r="S462" i="14"/>
  <c r="AA462" i="14"/>
  <c r="AB462" i="14" s="1"/>
  <c r="H462" i="14"/>
  <c r="R462" i="14"/>
  <c r="AC462" i="14"/>
  <c r="I462" i="14"/>
  <c r="T462" i="14"/>
  <c r="AD462" i="14"/>
  <c r="B462" i="8"/>
  <c r="C462" i="19" s="1"/>
  <c r="C436" i="9"/>
  <c r="J462" i="8"/>
  <c r="N462" i="8"/>
  <c r="S462" i="8"/>
  <c r="X462" i="8"/>
  <c r="E462" i="8"/>
  <c r="I462" i="8"/>
  <c r="M462" i="8"/>
  <c r="R462" i="8"/>
  <c r="U462" i="8"/>
  <c r="I462" i="19" s="1"/>
  <c r="L462" i="8"/>
  <c r="D462" i="8"/>
  <c r="E462" i="19" s="1"/>
  <c r="P462" i="8"/>
  <c r="G462" i="8"/>
  <c r="Q462" i="8"/>
  <c r="H462" i="8"/>
  <c r="E436" i="9" s="1"/>
  <c r="T462" i="8"/>
  <c r="K462" i="8"/>
  <c r="C462" i="8"/>
  <c r="A458" i="14"/>
  <c r="I458" i="14"/>
  <c r="N458" i="14"/>
  <c r="T458" i="14"/>
  <c r="V458" i="14"/>
  <c r="Z458" i="14"/>
  <c r="AF458" i="14"/>
  <c r="M458" i="19" s="1"/>
  <c r="B458" i="14"/>
  <c r="H458" i="14"/>
  <c r="M458" i="14"/>
  <c r="Q458" i="14"/>
  <c r="U458" i="14"/>
  <c r="Y458" i="14"/>
  <c r="AD458" i="14"/>
  <c r="G458" i="14"/>
  <c r="O458" i="14"/>
  <c r="W458" i="14"/>
  <c r="E458" i="14"/>
  <c r="P458" i="14"/>
  <c r="AC458" i="14"/>
  <c r="R458" i="14"/>
  <c r="D458" i="14"/>
  <c r="C458" i="14"/>
  <c r="K458" i="14"/>
  <c r="S458" i="14"/>
  <c r="AA458" i="14"/>
  <c r="AB458" i="14" s="1"/>
  <c r="J458" i="14"/>
  <c r="X458" i="14"/>
  <c r="L458" i="14"/>
  <c r="B458" i="8"/>
  <c r="C458" i="19" s="1"/>
  <c r="C432" i="9"/>
  <c r="E458" i="8"/>
  <c r="I458" i="8"/>
  <c r="M458" i="8"/>
  <c r="R458" i="8"/>
  <c r="J458" i="8"/>
  <c r="N458" i="8"/>
  <c r="S458" i="8"/>
  <c r="X458" i="8"/>
  <c r="Q458" i="8"/>
  <c r="H458" i="8"/>
  <c r="E432" i="9" s="1"/>
  <c r="P458" i="8"/>
  <c r="G458" i="8"/>
  <c r="U458" i="8"/>
  <c r="I458" i="19" s="1"/>
  <c r="L458" i="8"/>
  <c r="D458" i="8"/>
  <c r="E458" i="19" s="1"/>
  <c r="T458" i="8"/>
  <c r="J458" i="19" s="1"/>
  <c r="K458" i="8"/>
  <c r="C458" i="8"/>
  <c r="B454" i="14"/>
  <c r="H454" i="14"/>
  <c r="M454" i="14"/>
  <c r="Q454" i="14"/>
  <c r="V454" i="14"/>
  <c r="AC454" i="14"/>
  <c r="A454" i="14"/>
  <c r="I454" i="14"/>
  <c r="N454" i="14"/>
  <c r="T454" i="14"/>
  <c r="X454" i="14"/>
  <c r="AD454" i="14"/>
  <c r="C454" i="14"/>
  <c r="K454" i="14"/>
  <c r="S454" i="14"/>
  <c r="AA454" i="14"/>
  <c r="AB454" i="14" s="1"/>
  <c r="J454" i="14"/>
  <c r="U454" i="14"/>
  <c r="AF454" i="14"/>
  <c r="M454" i="19" s="1"/>
  <c r="R454" i="14"/>
  <c r="D454" i="14"/>
  <c r="G454" i="14"/>
  <c r="O454" i="14"/>
  <c r="W454" i="14"/>
  <c r="E454" i="14"/>
  <c r="P454" i="14"/>
  <c r="Z454" i="14"/>
  <c r="Y454" i="14"/>
  <c r="L454" i="14"/>
  <c r="B454" i="8"/>
  <c r="C454" i="19" s="1"/>
  <c r="C428" i="9"/>
  <c r="J454" i="8"/>
  <c r="N454" i="8"/>
  <c r="S454" i="8"/>
  <c r="X454" i="8"/>
  <c r="E454" i="8"/>
  <c r="I454" i="8"/>
  <c r="M454" i="8"/>
  <c r="R454" i="8"/>
  <c r="U454" i="8"/>
  <c r="I454" i="19" s="1"/>
  <c r="L454" i="8"/>
  <c r="D454" i="8"/>
  <c r="E454" i="19" s="1"/>
  <c r="T454" i="8"/>
  <c r="K454" i="8"/>
  <c r="C454" i="8"/>
  <c r="Q454" i="8"/>
  <c r="H454" i="8"/>
  <c r="E428" i="9" s="1"/>
  <c r="P454" i="8"/>
  <c r="G454" i="8"/>
  <c r="B450" i="14"/>
  <c r="H450" i="14"/>
  <c r="M450" i="14"/>
  <c r="Q450" i="14"/>
  <c r="V450" i="14"/>
  <c r="AC450" i="14"/>
  <c r="A450" i="14"/>
  <c r="I450" i="14"/>
  <c r="N450" i="14"/>
  <c r="T450" i="14"/>
  <c r="X450" i="14"/>
  <c r="AD450" i="14"/>
  <c r="C450" i="14"/>
  <c r="K450" i="14"/>
  <c r="S450" i="14"/>
  <c r="AA450" i="14"/>
  <c r="AB450" i="14" s="1"/>
  <c r="J450" i="14"/>
  <c r="U450" i="14"/>
  <c r="AF450" i="14"/>
  <c r="M450" i="19" s="1"/>
  <c r="R450" i="14"/>
  <c r="D450" i="14"/>
  <c r="G450" i="14"/>
  <c r="O450" i="14"/>
  <c r="W450" i="14"/>
  <c r="E450" i="14"/>
  <c r="P450" i="14"/>
  <c r="Z450" i="14"/>
  <c r="Y450" i="14"/>
  <c r="L450" i="14"/>
  <c r="B450" i="8"/>
  <c r="C450" i="19" s="1"/>
  <c r="C424" i="9"/>
  <c r="E450" i="8"/>
  <c r="I450" i="8"/>
  <c r="M450" i="8"/>
  <c r="R450" i="8"/>
  <c r="J450" i="8"/>
  <c r="N450" i="8"/>
  <c r="S450" i="8"/>
  <c r="X450" i="8"/>
  <c r="Q450" i="8"/>
  <c r="H450" i="8"/>
  <c r="E424" i="9" s="1"/>
  <c r="T450" i="8"/>
  <c r="J450" i="19" s="1"/>
  <c r="K450" i="8"/>
  <c r="C450" i="8"/>
  <c r="U450" i="8"/>
  <c r="I450" i="19" s="1"/>
  <c r="L450" i="8"/>
  <c r="D450" i="8"/>
  <c r="E450" i="19" s="1"/>
  <c r="P450" i="8"/>
  <c r="G450" i="8"/>
  <c r="B446" i="14"/>
  <c r="I446" i="14"/>
  <c r="M446" i="14"/>
  <c r="Q446" i="14"/>
  <c r="T446" i="14"/>
  <c r="X446" i="14"/>
  <c r="AC446" i="14"/>
  <c r="A446" i="14"/>
  <c r="D446" i="14"/>
  <c r="H446" i="14"/>
  <c r="L446" i="14"/>
  <c r="N446" i="14"/>
  <c r="R446" i="14"/>
  <c r="V446" i="14"/>
  <c r="Y446" i="14"/>
  <c r="AD446" i="14"/>
  <c r="C446" i="14"/>
  <c r="K446" i="14"/>
  <c r="S446" i="14"/>
  <c r="AA446" i="14"/>
  <c r="AB446" i="14" s="1"/>
  <c r="J446" i="14"/>
  <c r="U446" i="14"/>
  <c r="AF446" i="14"/>
  <c r="M446" i="19" s="1"/>
  <c r="G446" i="14"/>
  <c r="O446" i="14"/>
  <c r="W446" i="14"/>
  <c r="E446" i="14"/>
  <c r="P446" i="14"/>
  <c r="Z446" i="14"/>
  <c r="C420" i="9"/>
  <c r="B446" i="8"/>
  <c r="C446" i="19" s="1"/>
  <c r="D446" i="8"/>
  <c r="E446" i="19" s="1"/>
  <c r="G446" i="8"/>
  <c r="J446" i="8"/>
  <c r="L446" i="8"/>
  <c r="P446" i="8"/>
  <c r="S446" i="8"/>
  <c r="U446" i="8"/>
  <c r="I446" i="19" s="1"/>
  <c r="C446" i="8"/>
  <c r="H446" i="8"/>
  <c r="E420" i="9" s="1"/>
  <c r="K446" i="8"/>
  <c r="N446" i="8"/>
  <c r="Q446" i="8"/>
  <c r="T446" i="8"/>
  <c r="X446" i="8"/>
  <c r="I446" i="8"/>
  <c r="R446" i="8"/>
  <c r="E446" i="8"/>
  <c r="M446" i="8"/>
  <c r="B442" i="14"/>
  <c r="I442" i="14"/>
  <c r="M442" i="14"/>
  <c r="Q442" i="14"/>
  <c r="T442" i="14"/>
  <c r="X442" i="14"/>
  <c r="AC442" i="14"/>
  <c r="A442" i="14"/>
  <c r="D442" i="14"/>
  <c r="H442" i="14"/>
  <c r="L442" i="14"/>
  <c r="N442" i="14"/>
  <c r="R442" i="14"/>
  <c r="V442" i="14"/>
  <c r="Y442" i="14"/>
  <c r="AD442" i="14"/>
  <c r="C442" i="14"/>
  <c r="K442" i="14"/>
  <c r="S442" i="14"/>
  <c r="AA442" i="14"/>
  <c r="AB442" i="14" s="1"/>
  <c r="J442" i="14"/>
  <c r="U442" i="14"/>
  <c r="AF442" i="14"/>
  <c r="M442" i="19" s="1"/>
  <c r="G442" i="14"/>
  <c r="O442" i="14"/>
  <c r="W442" i="14"/>
  <c r="E442" i="14"/>
  <c r="P442" i="14"/>
  <c r="Z442" i="14"/>
  <c r="B442" i="8"/>
  <c r="C442" i="19" s="1"/>
  <c r="C416" i="9"/>
  <c r="D442" i="8"/>
  <c r="E442" i="19" s="1"/>
  <c r="H442" i="8"/>
  <c r="E416" i="9" s="1"/>
  <c r="K442" i="8"/>
  <c r="P442" i="8"/>
  <c r="T442" i="8"/>
  <c r="J442" i="19" s="1"/>
  <c r="X442" i="8"/>
  <c r="C442" i="8"/>
  <c r="J442" i="8"/>
  <c r="N442" i="8"/>
  <c r="Q442" i="8"/>
  <c r="U442" i="8"/>
  <c r="I442" i="19" s="1"/>
  <c r="S442" i="8"/>
  <c r="G442" i="8"/>
  <c r="I442" i="8"/>
  <c r="R442" i="8"/>
  <c r="L442" i="8"/>
  <c r="E442" i="8"/>
  <c r="M442" i="8"/>
  <c r="B438" i="14"/>
  <c r="I438" i="14"/>
  <c r="M438" i="14"/>
  <c r="Q438" i="14"/>
  <c r="T438" i="14"/>
  <c r="X438" i="14"/>
  <c r="AC438" i="14"/>
  <c r="A438" i="14"/>
  <c r="D438" i="14"/>
  <c r="H438" i="14"/>
  <c r="L438" i="14"/>
  <c r="N438" i="14"/>
  <c r="R438" i="14"/>
  <c r="V438" i="14"/>
  <c r="Y438" i="14"/>
  <c r="AD438" i="14"/>
  <c r="C438" i="14"/>
  <c r="K438" i="14"/>
  <c r="S438" i="14"/>
  <c r="AA438" i="14"/>
  <c r="AB438" i="14" s="1"/>
  <c r="J438" i="14"/>
  <c r="U438" i="14"/>
  <c r="AF438" i="14"/>
  <c r="M438" i="19" s="1"/>
  <c r="G438" i="14"/>
  <c r="O438" i="14"/>
  <c r="W438" i="14"/>
  <c r="E438" i="14"/>
  <c r="P438" i="14"/>
  <c r="Z438" i="14"/>
  <c r="B438" i="8"/>
  <c r="C438" i="19" s="1"/>
  <c r="C412" i="9"/>
  <c r="K438" i="8"/>
  <c r="Q438" i="8"/>
  <c r="X438" i="8"/>
  <c r="D438" i="8"/>
  <c r="E438" i="19" s="1"/>
  <c r="J438" i="8"/>
  <c r="P438" i="8"/>
  <c r="U438" i="8"/>
  <c r="I438" i="19" s="1"/>
  <c r="T438" i="8"/>
  <c r="H438" i="8"/>
  <c r="E412" i="9" s="1"/>
  <c r="S438" i="8"/>
  <c r="G438" i="8"/>
  <c r="E438" i="8"/>
  <c r="M438" i="8"/>
  <c r="N438" i="8"/>
  <c r="C438" i="8"/>
  <c r="L438" i="8"/>
  <c r="I438" i="8"/>
  <c r="R438" i="8"/>
  <c r="B434" i="14"/>
  <c r="E434" i="14"/>
  <c r="H434" i="14"/>
  <c r="J434" i="14"/>
  <c r="M434" i="14"/>
  <c r="P434" i="14"/>
  <c r="R434" i="14"/>
  <c r="U434" i="14"/>
  <c r="X434" i="14"/>
  <c r="Z434" i="14"/>
  <c r="AD434" i="14"/>
  <c r="D434" i="14"/>
  <c r="I434" i="14"/>
  <c r="L434" i="14"/>
  <c r="N434" i="14"/>
  <c r="Q434" i="14"/>
  <c r="T434" i="14"/>
  <c r="V434" i="14"/>
  <c r="Y434" i="14"/>
  <c r="AC434" i="14"/>
  <c r="AF434" i="14"/>
  <c r="M434" i="19" s="1"/>
  <c r="C434" i="14"/>
  <c r="K434" i="14"/>
  <c r="S434" i="14"/>
  <c r="AA434" i="14"/>
  <c r="AB434" i="14" s="1"/>
  <c r="G434" i="14"/>
  <c r="O434" i="14"/>
  <c r="W434" i="14"/>
  <c r="A434" i="14"/>
  <c r="B434" i="8"/>
  <c r="C434" i="19" s="1"/>
  <c r="C408" i="9"/>
  <c r="Q434" i="8"/>
  <c r="K434" i="8"/>
  <c r="X434" i="8"/>
  <c r="P434" i="8"/>
  <c r="D434" i="8"/>
  <c r="E434" i="19" s="1"/>
  <c r="N434" i="8"/>
  <c r="C434" i="8"/>
  <c r="L434" i="8"/>
  <c r="I434" i="8"/>
  <c r="R434" i="8"/>
  <c r="U434" i="8"/>
  <c r="I434" i="19" s="1"/>
  <c r="J434" i="8"/>
  <c r="T434" i="8"/>
  <c r="J434" i="19" s="1"/>
  <c r="H434" i="8"/>
  <c r="E408" i="9" s="1"/>
  <c r="S434" i="8"/>
  <c r="G434" i="8"/>
  <c r="E434" i="8"/>
  <c r="M434" i="8"/>
  <c r="B417" i="14"/>
  <c r="E417" i="14"/>
  <c r="H417" i="14"/>
  <c r="J417" i="14"/>
  <c r="M417" i="14"/>
  <c r="P417" i="14"/>
  <c r="R417" i="14"/>
  <c r="U417" i="14"/>
  <c r="X417" i="14"/>
  <c r="Z417" i="14"/>
  <c r="AD417" i="14"/>
  <c r="D417" i="14"/>
  <c r="I417" i="14"/>
  <c r="L417" i="14"/>
  <c r="N417" i="14"/>
  <c r="Q417" i="14"/>
  <c r="T417" i="14"/>
  <c r="V417" i="14"/>
  <c r="Y417" i="14"/>
  <c r="AC417" i="14"/>
  <c r="AF417" i="14"/>
  <c r="M417" i="19" s="1"/>
  <c r="C417" i="14"/>
  <c r="K417" i="14"/>
  <c r="S417" i="14"/>
  <c r="AA417" i="14"/>
  <c r="AB417" i="14" s="1"/>
  <c r="G417" i="14"/>
  <c r="O417" i="14"/>
  <c r="W417" i="14"/>
  <c r="A417" i="14"/>
  <c r="B417" i="8"/>
  <c r="C417" i="19" s="1"/>
  <c r="C391" i="9"/>
  <c r="C417" i="8"/>
  <c r="E417" i="8"/>
  <c r="G417" i="8"/>
  <c r="I417" i="8"/>
  <c r="K417" i="8"/>
  <c r="M417" i="8"/>
  <c r="P417" i="8"/>
  <c r="R417" i="8"/>
  <c r="T417" i="8"/>
  <c r="D417" i="8"/>
  <c r="E417" i="19" s="1"/>
  <c r="H417" i="8"/>
  <c r="E391" i="9" s="1"/>
  <c r="J417" i="8"/>
  <c r="L417" i="8"/>
  <c r="N417" i="8"/>
  <c r="Q417" i="8"/>
  <c r="S417" i="8"/>
  <c r="U417" i="8"/>
  <c r="I417" i="19" s="1"/>
  <c r="X417" i="8"/>
  <c r="B413" i="14"/>
  <c r="E413" i="14"/>
  <c r="H413" i="14"/>
  <c r="J413" i="14"/>
  <c r="M413" i="14"/>
  <c r="P413" i="14"/>
  <c r="R413" i="14"/>
  <c r="U413" i="14"/>
  <c r="X413" i="14"/>
  <c r="Z413" i="14"/>
  <c r="AD413" i="14"/>
  <c r="D413" i="14"/>
  <c r="I413" i="14"/>
  <c r="L413" i="14"/>
  <c r="N413" i="14"/>
  <c r="Q413" i="14"/>
  <c r="T413" i="14"/>
  <c r="V413" i="14"/>
  <c r="Y413" i="14"/>
  <c r="AC413" i="14"/>
  <c r="AF413" i="14"/>
  <c r="M413" i="19" s="1"/>
  <c r="C413" i="14"/>
  <c r="K413" i="14"/>
  <c r="S413" i="14"/>
  <c r="AA413" i="14"/>
  <c r="AB413" i="14" s="1"/>
  <c r="G413" i="14"/>
  <c r="O413" i="14"/>
  <c r="W413" i="14"/>
  <c r="A413" i="14"/>
  <c r="B413" i="8"/>
  <c r="C413" i="19" s="1"/>
  <c r="C387" i="9"/>
  <c r="C413" i="8"/>
  <c r="E413" i="8"/>
  <c r="G413" i="8"/>
  <c r="I413" i="8"/>
  <c r="K413" i="8"/>
  <c r="M413" i="8"/>
  <c r="P413" i="8"/>
  <c r="R413" i="8"/>
  <c r="T413" i="8"/>
  <c r="J413" i="19" s="1"/>
  <c r="D413" i="8"/>
  <c r="E413" i="19" s="1"/>
  <c r="H413" i="8"/>
  <c r="E387" i="9" s="1"/>
  <c r="J413" i="8"/>
  <c r="L413" i="8"/>
  <c r="N413" i="8"/>
  <c r="Q413" i="8"/>
  <c r="S413" i="8"/>
  <c r="U413" i="8"/>
  <c r="I413" i="19" s="1"/>
  <c r="X413" i="8"/>
  <c r="B409" i="14"/>
  <c r="E409" i="14"/>
  <c r="H409" i="14"/>
  <c r="J409" i="14"/>
  <c r="M409" i="14"/>
  <c r="P409" i="14"/>
  <c r="R409" i="14"/>
  <c r="U409" i="14"/>
  <c r="X409" i="14"/>
  <c r="Z409" i="14"/>
  <c r="AD409" i="14"/>
  <c r="D409" i="14"/>
  <c r="I409" i="14"/>
  <c r="L409" i="14"/>
  <c r="N409" i="14"/>
  <c r="Q409" i="14"/>
  <c r="T409" i="14"/>
  <c r="V409" i="14"/>
  <c r="Y409" i="14"/>
  <c r="AC409" i="14"/>
  <c r="AF409" i="14"/>
  <c r="M409" i="19" s="1"/>
  <c r="C409" i="14"/>
  <c r="K409" i="14"/>
  <c r="S409" i="14"/>
  <c r="AA409" i="14"/>
  <c r="AB409" i="14" s="1"/>
  <c r="G409" i="14"/>
  <c r="O409" i="14"/>
  <c r="W409" i="14"/>
  <c r="A409" i="14"/>
  <c r="B409" i="8"/>
  <c r="C409" i="19" s="1"/>
  <c r="C383" i="9"/>
  <c r="D409" i="8"/>
  <c r="E409" i="19" s="1"/>
  <c r="H409" i="8"/>
  <c r="E383" i="9" s="1"/>
  <c r="J409" i="8"/>
  <c r="L409" i="8"/>
  <c r="N409" i="8"/>
  <c r="Q409" i="8"/>
  <c r="S409" i="8"/>
  <c r="U409" i="8"/>
  <c r="I409" i="19" s="1"/>
  <c r="X409" i="8"/>
  <c r="C409" i="8"/>
  <c r="E409" i="8"/>
  <c r="G409" i="8"/>
  <c r="I409" i="8"/>
  <c r="K409" i="8"/>
  <c r="M409" i="8"/>
  <c r="P409" i="8"/>
  <c r="R409" i="8"/>
  <c r="T409" i="8"/>
  <c r="J409" i="19" s="1"/>
  <c r="K437" i="18"/>
  <c r="L437" i="18"/>
  <c r="Q409" i="9"/>
  <c r="N437" i="18"/>
  <c r="O437" i="18" s="1"/>
  <c r="D409" i="9"/>
  <c r="Y435" i="8"/>
  <c r="Z435" i="8" s="1"/>
  <c r="AB435" i="8" s="1"/>
  <c r="K433" i="18"/>
  <c r="L433" i="18"/>
  <c r="K430" i="18"/>
  <c r="L430" i="18"/>
  <c r="M430" i="18"/>
  <c r="N430" i="18"/>
  <c r="O430" i="18" s="1"/>
  <c r="D399" i="9"/>
  <c r="Y425" i="8"/>
  <c r="Z425" i="8" s="1"/>
  <c r="AB425" i="8" s="1"/>
  <c r="D468" i="9"/>
  <c r="Y494" i="8"/>
  <c r="Z494" i="8" s="1"/>
  <c r="AB494" i="8" s="1"/>
  <c r="Y490" i="8"/>
  <c r="Z490" i="8" s="1"/>
  <c r="AB490" i="8" s="1"/>
  <c r="K486" i="18"/>
  <c r="D451" i="9"/>
  <c r="Y477" i="8"/>
  <c r="Z477" i="8" s="1"/>
  <c r="AB477" i="8" s="1"/>
  <c r="K426" i="18"/>
  <c r="L426" i="18"/>
  <c r="M426" i="18"/>
  <c r="N426" i="18"/>
  <c r="O426" i="18" s="1"/>
  <c r="Q398" i="9"/>
  <c r="M420" i="18"/>
  <c r="K412" i="18"/>
  <c r="M412" i="18"/>
  <c r="K410" i="18"/>
  <c r="Z412" i="13"/>
  <c r="D474" i="9"/>
  <c r="Y500" i="8"/>
  <c r="Z500" i="8" s="1"/>
  <c r="AB500" i="8" s="1"/>
  <c r="N498" i="18"/>
  <c r="O498" i="18" s="1"/>
  <c r="N475" i="18"/>
  <c r="O475" i="18" s="1"/>
  <c r="K475" i="18"/>
  <c r="P445" i="9"/>
  <c r="P411" i="9"/>
  <c r="Q411" i="9"/>
  <c r="L431" i="18"/>
  <c r="D404" i="9"/>
  <c r="Y430" i="8"/>
  <c r="Z430" i="8" s="1"/>
  <c r="AB430" i="8" s="1"/>
  <c r="D458" i="9"/>
  <c r="Y484" i="8"/>
  <c r="Z484" i="8" s="1"/>
  <c r="AB484" i="8" s="1"/>
  <c r="D470" i="9"/>
  <c r="Y496" i="8"/>
  <c r="Z496" i="8" s="1"/>
  <c r="AB496" i="8" s="1"/>
  <c r="Y486" i="8"/>
  <c r="Z486" i="8" s="1"/>
  <c r="AB486" i="8" s="1"/>
  <c r="K482" i="18"/>
  <c r="K477" i="18"/>
  <c r="L477" i="18"/>
  <c r="N477" i="18"/>
  <c r="O477" i="18" s="1"/>
  <c r="M477" i="18"/>
  <c r="N469" i="18"/>
  <c r="O469" i="18" s="1"/>
  <c r="K469" i="18"/>
  <c r="L469" i="18"/>
  <c r="M469" i="18"/>
  <c r="M459" i="18"/>
  <c r="L459" i="18"/>
  <c r="K429" i="18"/>
  <c r="L429" i="18"/>
  <c r="L418" i="18"/>
  <c r="K418" i="18"/>
  <c r="M418" i="18"/>
  <c r="N418" i="18"/>
  <c r="O418" i="18" s="1"/>
  <c r="Z430" i="13"/>
  <c r="AA430" i="13"/>
  <c r="AB430" i="13" s="1"/>
  <c r="AC430" i="13" s="1"/>
  <c r="AD430" i="13" s="1"/>
  <c r="AC500" i="13"/>
  <c r="AD500" i="13" s="1"/>
  <c r="B495" i="13"/>
  <c r="A495" i="13"/>
  <c r="D495" i="13"/>
  <c r="H495" i="13"/>
  <c r="L495" i="13"/>
  <c r="N495" i="13"/>
  <c r="Q495" i="13"/>
  <c r="S495" i="13"/>
  <c r="U495" i="13"/>
  <c r="AG495" i="13" s="1"/>
  <c r="AE495" i="13"/>
  <c r="C495" i="13"/>
  <c r="E495" i="13"/>
  <c r="G495" i="13"/>
  <c r="J495" i="13"/>
  <c r="M495" i="13"/>
  <c r="O495" i="13"/>
  <c r="R495" i="13"/>
  <c r="T495" i="13"/>
  <c r="V495" i="13"/>
  <c r="Z495" i="13" s="1"/>
  <c r="B495" i="18"/>
  <c r="J495" i="18"/>
  <c r="N495" i="18" s="1"/>
  <c r="O495" i="18" s="1"/>
  <c r="I495" i="18"/>
  <c r="A495" i="18"/>
  <c r="H495" i="18"/>
  <c r="G495" i="18"/>
  <c r="E495" i="18"/>
  <c r="D495" i="18"/>
  <c r="C495" i="18"/>
  <c r="B493" i="13"/>
  <c r="C493" i="13"/>
  <c r="E493" i="13"/>
  <c r="G493" i="13"/>
  <c r="J493" i="13"/>
  <c r="M493" i="13"/>
  <c r="O493" i="13"/>
  <c r="R493" i="13"/>
  <c r="T493" i="13"/>
  <c r="V493" i="13"/>
  <c r="Z493" i="13" s="1"/>
  <c r="A493" i="13"/>
  <c r="D493" i="13"/>
  <c r="H493" i="13"/>
  <c r="L493" i="13"/>
  <c r="N493" i="13"/>
  <c r="Q493" i="13"/>
  <c r="S493" i="13"/>
  <c r="U493" i="13"/>
  <c r="AG493" i="13" s="1"/>
  <c r="AE493" i="13"/>
  <c r="C493" i="18"/>
  <c r="D493" i="18"/>
  <c r="G493" i="18"/>
  <c r="B493" i="18"/>
  <c r="J493" i="18"/>
  <c r="K493" i="18" s="1"/>
  <c r="H493" i="18"/>
  <c r="A493" i="18"/>
  <c r="I493" i="18"/>
  <c r="E493" i="18"/>
  <c r="B489" i="13"/>
  <c r="C489" i="13"/>
  <c r="E489" i="13"/>
  <c r="G489" i="13"/>
  <c r="J489" i="13"/>
  <c r="M489" i="13"/>
  <c r="O489" i="13"/>
  <c r="R489" i="13"/>
  <c r="T489" i="13"/>
  <c r="V489" i="13"/>
  <c r="Z489" i="13" s="1"/>
  <c r="A489" i="13"/>
  <c r="D489" i="13"/>
  <c r="H489" i="13"/>
  <c r="L489" i="13"/>
  <c r="N489" i="13"/>
  <c r="Q489" i="13"/>
  <c r="S489" i="13"/>
  <c r="U489" i="13"/>
  <c r="AG489" i="13" s="1"/>
  <c r="AE489" i="13"/>
  <c r="C489" i="18"/>
  <c r="D489" i="18"/>
  <c r="G489" i="18"/>
  <c r="B489" i="18"/>
  <c r="J489" i="18"/>
  <c r="K489" i="18" s="1"/>
  <c r="H489" i="18"/>
  <c r="A489" i="18"/>
  <c r="I489" i="18"/>
  <c r="E489" i="18"/>
  <c r="B485" i="13"/>
  <c r="C485" i="13"/>
  <c r="E485" i="13"/>
  <c r="G485" i="13"/>
  <c r="J485" i="13"/>
  <c r="M485" i="13"/>
  <c r="O485" i="13"/>
  <c r="R485" i="13"/>
  <c r="T485" i="13"/>
  <c r="V485" i="13"/>
  <c r="Z485" i="13" s="1"/>
  <c r="A485" i="13"/>
  <c r="D485" i="13"/>
  <c r="H485" i="13"/>
  <c r="L485" i="13"/>
  <c r="N485" i="13"/>
  <c r="Q485" i="13"/>
  <c r="S485" i="13"/>
  <c r="U485" i="13"/>
  <c r="AG485" i="13" s="1"/>
  <c r="AE485" i="13"/>
  <c r="C485" i="18"/>
  <c r="D485" i="18"/>
  <c r="G485" i="18"/>
  <c r="B485" i="18"/>
  <c r="J485" i="18"/>
  <c r="K485" i="18" s="1"/>
  <c r="H485" i="18"/>
  <c r="A485" i="18"/>
  <c r="I485" i="18"/>
  <c r="E485" i="18"/>
  <c r="C481" i="13"/>
  <c r="E481" i="13"/>
  <c r="G481" i="13"/>
  <c r="M481" i="13"/>
  <c r="R481" i="13"/>
  <c r="U481" i="13"/>
  <c r="AG481" i="13" s="1"/>
  <c r="B481" i="13"/>
  <c r="L481" i="13"/>
  <c r="O481" i="13"/>
  <c r="T481" i="13"/>
  <c r="AE481" i="13"/>
  <c r="Q481" i="13"/>
  <c r="J481" i="13"/>
  <c r="D481" i="13"/>
  <c r="N481" i="13"/>
  <c r="V481" i="13"/>
  <c r="H481" i="13"/>
  <c r="S481" i="13"/>
  <c r="A481" i="13"/>
  <c r="C481" i="18"/>
  <c r="D481" i="18"/>
  <c r="G481" i="18"/>
  <c r="B481" i="18"/>
  <c r="J481" i="18"/>
  <c r="K481" i="18" s="1"/>
  <c r="H481" i="18"/>
  <c r="A481" i="18"/>
  <c r="I481" i="18"/>
  <c r="E481" i="18"/>
  <c r="B478" i="13"/>
  <c r="A478" i="13"/>
  <c r="D478" i="13"/>
  <c r="H478" i="13"/>
  <c r="L478" i="13"/>
  <c r="N478" i="13"/>
  <c r="Q478" i="13"/>
  <c r="S478" i="13"/>
  <c r="U478" i="13"/>
  <c r="AG478" i="13" s="1"/>
  <c r="C478" i="13"/>
  <c r="E478" i="13"/>
  <c r="G478" i="13"/>
  <c r="J478" i="13"/>
  <c r="M478" i="13"/>
  <c r="O478" i="13"/>
  <c r="R478" i="13"/>
  <c r="T478" i="13"/>
  <c r="V478" i="13"/>
  <c r="Z478" i="13" s="1"/>
  <c r="AE478" i="13"/>
  <c r="B478" i="18"/>
  <c r="A478" i="18"/>
  <c r="D478" i="18"/>
  <c r="H478" i="18"/>
  <c r="J478" i="18"/>
  <c r="L478" i="18" s="1"/>
  <c r="C478" i="18"/>
  <c r="E478" i="18"/>
  <c r="G478" i="18"/>
  <c r="I478" i="18"/>
  <c r="B476" i="13"/>
  <c r="A476" i="13"/>
  <c r="D476" i="13"/>
  <c r="H476" i="13"/>
  <c r="L476" i="13"/>
  <c r="N476" i="13"/>
  <c r="Q476" i="13"/>
  <c r="S476" i="13"/>
  <c r="U476" i="13"/>
  <c r="AG476" i="13" s="1"/>
  <c r="C476" i="13"/>
  <c r="E476" i="13"/>
  <c r="G476" i="13"/>
  <c r="J476" i="13"/>
  <c r="M476" i="13"/>
  <c r="O476" i="13"/>
  <c r="R476" i="13"/>
  <c r="T476" i="13"/>
  <c r="V476" i="13"/>
  <c r="Z476" i="13" s="1"/>
  <c r="AE476" i="13"/>
  <c r="B476" i="18"/>
  <c r="C476" i="18"/>
  <c r="I476" i="18"/>
  <c r="H476" i="18"/>
  <c r="J476" i="18"/>
  <c r="G476" i="18"/>
  <c r="D476" i="18"/>
  <c r="A476" i="18"/>
  <c r="E476" i="18"/>
  <c r="B472" i="14"/>
  <c r="P472" i="14"/>
  <c r="AA472" i="14"/>
  <c r="AB472" i="14" s="1"/>
  <c r="K472" i="14"/>
  <c r="V472" i="14"/>
  <c r="AF472" i="14"/>
  <c r="M472" i="19" s="1"/>
  <c r="AD472" i="14"/>
  <c r="S472" i="14"/>
  <c r="H472" i="14"/>
  <c r="W472" i="14"/>
  <c r="L472" i="14"/>
  <c r="A472" i="14"/>
  <c r="I472" i="14"/>
  <c r="Q472" i="14"/>
  <c r="Y472" i="14"/>
  <c r="Z472" i="14"/>
  <c r="O472" i="14"/>
  <c r="D472" i="14"/>
  <c r="X472" i="14"/>
  <c r="N472" i="14"/>
  <c r="C472" i="14"/>
  <c r="R472" i="14"/>
  <c r="G472" i="14"/>
  <c r="E472" i="14"/>
  <c r="M472" i="14"/>
  <c r="U472" i="14"/>
  <c r="AC472" i="14"/>
  <c r="T472" i="14"/>
  <c r="J472" i="14"/>
  <c r="B472" i="8"/>
  <c r="C472" i="19" s="1"/>
  <c r="C446" i="9"/>
  <c r="C472" i="8"/>
  <c r="E472" i="8"/>
  <c r="G472" i="8"/>
  <c r="I472" i="8"/>
  <c r="K472" i="8"/>
  <c r="M472" i="8"/>
  <c r="P472" i="8"/>
  <c r="R472" i="8"/>
  <c r="T472" i="8"/>
  <c r="D472" i="8"/>
  <c r="E472" i="19" s="1"/>
  <c r="H472" i="8"/>
  <c r="E446" i="9" s="1"/>
  <c r="J472" i="8"/>
  <c r="L472" i="8"/>
  <c r="N472" i="8"/>
  <c r="Q472" i="8"/>
  <c r="S472" i="8"/>
  <c r="U472" i="8"/>
  <c r="I472" i="19" s="1"/>
  <c r="X472" i="8"/>
  <c r="B468" i="13"/>
  <c r="A468" i="13"/>
  <c r="D468" i="13"/>
  <c r="H468" i="13"/>
  <c r="L468" i="13"/>
  <c r="N468" i="13"/>
  <c r="Q468" i="13"/>
  <c r="S468" i="13"/>
  <c r="U468" i="13"/>
  <c r="AG468" i="13" s="1"/>
  <c r="C468" i="13"/>
  <c r="E468" i="13"/>
  <c r="G468" i="13"/>
  <c r="J468" i="13"/>
  <c r="M468" i="13"/>
  <c r="O468" i="13"/>
  <c r="R468" i="13"/>
  <c r="T468" i="13"/>
  <c r="V468" i="13"/>
  <c r="Z468" i="13" s="1"/>
  <c r="AE468" i="13"/>
  <c r="B468" i="18"/>
  <c r="E468" i="18"/>
  <c r="I468" i="18"/>
  <c r="A468" i="18"/>
  <c r="J468" i="18"/>
  <c r="M468" i="18" s="1"/>
  <c r="D468" i="18"/>
  <c r="C468" i="18"/>
  <c r="H468" i="18"/>
  <c r="G468" i="18"/>
  <c r="L464" i="14"/>
  <c r="U464" i="14"/>
  <c r="AF464" i="14"/>
  <c r="M464" i="19" s="1"/>
  <c r="A464" i="14"/>
  <c r="J464" i="14"/>
  <c r="Q464" i="14"/>
  <c r="V464" i="14"/>
  <c r="G464" i="14"/>
  <c r="O464" i="14"/>
  <c r="W464" i="14"/>
  <c r="B464" i="14"/>
  <c r="M464" i="14"/>
  <c r="X464" i="14"/>
  <c r="D464" i="14"/>
  <c r="N464" i="14"/>
  <c r="Y464" i="14"/>
  <c r="P464" i="14"/>
  <c r="C464" i="14"/>
  <c r="K464" i="14"/>
  <c r="S464" i="14"/>
  <c r="AA464" i="14"/>
  <c r="AB464" i="14" s="1"/>
  <c r="H464" i="14"/>
  <c r="R464" i="14"/>
  <c r="AC464" i="14"/>
  <c r="I464" i="14"/>
  <c r="T464" i="14"/>
  <c r="AD464" i="14"/>
  <c r="Z464" i="14"/>
  <c r="E464" i="14"/>
  <c r="B464" i="8"/>
  <c r="C464" i="19" s="1"/>
  <c r="C438" i="9"/>
  <c r="C464" i="8"/>
  <c r="E464" i="8"/>
  <c r="G464" i="8"/>
  <c r="I464" i="8"/>
  <c r="K464" i="8"/>
  <c r="M464" i="8"/>
  <c r="P464" i="8"/>
  <c r="R464" i="8"/>
  <c r="T464" i="8"/>
  <c r="J464" i="19" s="1"/>
  <c r="D464" i="8"/>
  <c r="E464" i="19" s="1"/>
  <c r="H464" i="8"/>
  <c r="E438" i="9" s="1"/>
  <c r="J464" i="8"/>
  <c r="L464" i="8"/>
  <c r="N464" i="8"/>
  <c r="Q464" i="8"/>
  <c r="S464" i="8"/>
  <c r="U464" i="8"/>
  <c r="I464" i="19" s="1"/>
  <c r="X464" i="8"/>
  <c r="A460" i="14"/>
  <c r="L460" i="14"/>
  <c r="Q460" i="14"/>
  <c r="V460" i="14"/>
  <c r="AF460" i="14"/>
  <c r="M460" i="19" s="1"/>
  <c r="E460" i="14"/>
  <c r="J460" i="14"/>
  <c r="P460" i="14"/>
  <c r="U460" i="14"/>
  <c r="Z460" i="14"/>
  <c r="G460" i="14"/>
  <c r="O460" i="14"/>
  <c r="W460" i="14"/>
  <c r="B460" i="14"/>
  <c r="M460" i="14"/>
  <c r="X460" i="14"/>
  <c r="D460" i="14"/>
  <c r="N460" i="14"/>
  <c r="Y460" i="14"/>
  <c r="C460" i="14"/>
  <c r="K460" i="14"/>
  <c r="S460" i="14"/>
  <c r="AA460" i="14"/>
  <c r="AB460" i="14" s="1"/>
  <c r="H460" i="14"/>
  <c r="R460" i="14"/>
  <c r="AC460" i="14"/>
  <c r="I460" i="14"/>
  <c r="T460" i="14"/>
  <c r="AD460" i="14"/>
  <c r="B460" i="8"/>
  <c r="C460" i="19" s="1"/>
  <c r="C434" i="9"/>
  <c r="D460" i="8"/>
  <c r="E460" i="19" s="1"/>
  <c r="H460" i="8"/>
  <c r="E434" i="9" s="1"/>
  <c r="J460" i="8"/>
  <c r="L460" i="8"/>
  <c r="N460" i="8"/>
  <c r="Q460" i="8"/>
  <c r="S460" i="8"/>
  <c r="U460" i="8"/>
  <c r="I460" i="19" s="1"/>
  <c r="X460" i="8"/>
  <c r="C460" i="8"/>
  <c r="E460" i="8"/>
  <c r="G460" i="8"/>
  <c r="I460" i="8"/>
  <c r="K460" i="8"/>
  <c r="M460" i="8"/>
  <c r="P460" i="8"/>
  <c r="R460" i="8"/>
  <c r="T460" i="8"/>
  <c r="J460" i="19" s="1"/>
  <c r="A456" i="14"/>
  <c r="I456" i="14"/>
  <c r="N456" i="14"/>
  <c r="T456" i="14"/>
  <c r="X456" i="14"/>
  <c r="AD456" i="14"/>
  <c r="B456" i="14"/>
  <c r="H456" i="14"/>
  <c r="M456" i="14"/>
  <c r="Q456" i="14"/>
  <c r="V456" i="14"/>
  <c r="AC456" i="14"/>
  <c r="G456" i="14"/>
  <c r="O456" i="14"/>
  <c r="W456" i="14"/>
  <c r="E456" i="14"/>
  <c r="P456" i="14"/>
  <c r="Z456" i="14"/>
  <c r="R456" i="14"/>
  <c r="D456" i="14"/>
  <c r="C456" i="14"/>
  <c r="K456" i="14"/>
  <c r="S456" i="14"/>
  <c r="AA456" i="14"/>
  <c r="AB456" i="14" s="1"/>
  <c r="J456" i="14"/>
  <c r="U456" i="14"/>
  <c r="AF456" i="14"/>
  <c r="M456" i="19" s="1"/>
  <c r="Y456" i="14"/>
  <c r="L456" i="14"/>
  <c r="B456" i="8"/>
  <c r="C456" i="19" s="1"/>
  <c r="C430" i="9"/>
  <c r="C456" i="8"/>
  <c r="E456" i="8"/>
  <c r="G456" i="8"/>
  <c r="I456" i="8"/>
  <c r="K456" i="8"/>
  <c r="M456" i="8"/>
  <c r="P456" i="8"/>
  <c r="R456" i="8"/>
  <c r="T456" i="8"/>
  <c r="J456" i="19" s="1"/>
  <c r="D456" i="8"/>
  <c r="E456" i="19" s="1"/>
  <c r="H456" i="8"/>
  <c r="E430" i="9" s="1"/>
  <c r="J456" i="8"/>
  <c r="L456" i="8"/>
  <c r="N456" i="8"/>
  <c r="Q456" i="8"/>
  <c r="S456" i="8"/>
  <c r="U456" i="8"/>
  <c r="I456" i="19" s="1"/>
  <c r="X456" i="8"/>
  <c r="B452" i="14"/>
  <c r="H452" i="14"/>
  <c r="M452" i="14"/>
  <c r="Q452" i="14"/>
  <c r="V452" i="14"/>
  <c r="AC452" i="14"/>
  <c r="A452" i="14"/>
  <c r="I452" i="14"/>
  <c r="N452" i="14"/>
  <c r="T452" i="14"/>
  <c r="X452" i="14"/>
  <c r="AD452" i="14"/>
  <c r="C452" i="14"/>
  <c r="K452" i="14"/>
  <c r="S452" i="14"/>
  <c r="AA452" i="14"/>
  <c r="AB452" i="14" s="1"/>
  <c r="J452" i="14"/>
  <c r="U452" i="14"/>
  <c r="AF452" i="14"/>
  <c r="M452" i="19" s="1"/>
  <c r="R452" i="14"/>
  <c r="D452" i="14"/>
  <c r="G452" i="14"/>
  <c r="O452" i="14"/>
  <c r="W452" i="14"/>
  <c r="E452" i="14"/>
  <c r="P452" i="14"/>
  <c r="Z452" i="14"/>
  <c r="Y452" i="14"/>
  <c r="L452" i="14"/>
  <c r="B452" i="8"/>
  <c r="C452" i="19" s="1"/>
  <c r="C426" i="9"/>
  <c r="D452" i="8"/>
  <c r="E452" i="19" s="1"/>
  <c r="H452" i="8"/>
  <c r="E426" i="9" s="1"/>
  <c r="J452" i="8"/>
  <c r="L452" i="8"/>
  <c r="N452" i="8"/>
  <c r="Q452" i="8"/>
  <c r="S452" i="8"/>
  <c r="U452" i="8"/>
  <c r="I452" i="19" s="1"/>
  <c r="X452" i="8"/>
  <c r="C452" i="8"/>
  <c r="E452" i="8"/>
  <c r="G452" i="8"/>
  <c r="I452" i="8"/>
  <c r="K452" i="8"/>
  <c r="M452" i="8"/>
  <c r="P452" i="8"/>
  <c r="R452" i="8"/>
  <c r="T452" i="8"/>
  <c r="J452" i="19" s="1"/>
  <c r="B448" i="14"/>
  <c r="H448" i="14"/>
  <c r="M448" i="14"/>
  <c r="Q448" i="14"/>
  <c r="T448" i="14"/>
  <c r="X448" i="14"/>
  <c r="AC448" i="14"/>
  <c r="A448" i="14"/>
  <c r="I448" i="14"/>
  <c r="N448" i="14"/>
  <c r="R448" i="14"/>
  <c r="V448" i="14"/>
  <c r="Y448" i="14"/>
  <c r="AD448" i="14"/>
  <c r="C448" i="14"/>
  <c r="K448" i="14"/>
  <c r="S448" i="14"/>
  <c r="AA448" i="14"/>
  <c r="AB448" i="14" s="1"/>
  <c r="J448" i="14"/>
  <c r="U448" i="14"/>
  <c r="AF448" i="14"/>
  <c r="M448" i="19" s="1"/>
  <c r="D448" i="14"/>
  <c r="G448" i="14"/>
  <c r="O448" i="14"/>
  <c r="W448" i="14"/>
  <c r="E448" i="14"/>
  <c r="P448" i="14"/>
  <c r="Z448" i="14"/>
  <c r="L448" i="14"/>
  <c r="B448" i="8"/>
  <c r="C448" i="19" s="1"/>
  <c r="C422" i="9"/>
  <c r="L448" i="8"/>
  <c r="R448" i="8"/>
  <c r="X448" i="8"/>
  <c r="E448" i="8"/>
  <c r="J448" i="8"/>
  <c r="Q448" i="8"/>
  <c r="U448" i="8"/>
  <c r="I448" i="19" s="1"/>
  <c r="I448" i="8"/>
  <c r="S448" i="8"/>
  <c r="H448" i="8"/>
  <c r="E422" i="9" s="1"/>
  <c r="C448" i="8"/>
  <c r="K448" i="8"/>
  <c r="T448" i="8"/>
  <c r="N448" i="8"/>
  <c r="D448" i="8"/>
  <c r="E448" i="19" s="1"/>
  <c r="M448" i="8"/>
  <c r="G448" i="8"/>
  <c r="P448" i="8"/>
  <c r="B444" i="14"/>
  <c r="I444" i="14"/>
  <c r="M444" i="14"/>
  <c r="Q444" i="14"/>
  <c r="T444" i="14"/>
  <c r="X444" i="14"/>
  <c r="AC444" i="14"/>
  <c r="A444" i="14"/>
  <c r="D444" i="14"/>
  <c r="H444" i="14"/>
  <c r="L444" i="14"/>
  <c r="N444" i="14"/>
  <c r="R444" i="14"/>
  <c r="V444" i="14"/>
  <c r="Y444" i="14"/>
  <c r="AD444" i="14"/>
  <c r="C444" i="14"/>
  <c r="K444" i="14"/>
  <c r="S444" i="14"/>
  <c r="AA444" i="14"/>
  <c r="AB444" i="14" s="1"/>
  <c r="J444" i="14"/>
  <c r="U444" i="14"/>
  <c r="AF444" i="14"/>
  <c r="M444" i="19" s="1"/>
  <c r="G444" i="14"/>
  <c r="O444" i="14"/>
  <c r="W444" i="14"/>
  <c r="E444" i="14"/>
  <c r="P444" i="14"/>
  <c r="Z444" i="14"/>
  <c r="B444" i="8"/>
  <c r="C444" i="19" s="1"/>
  <c r="C418" i="9"/>
  <c r="L444" i="8"/>
  <c r="X444" i="8"/>
  <c r="R444" i="8"/>
  <c r="J444" i="8"/>
  <c r="U444" i="8"/>
  <c r="I444" i="19" s="1"/>
  <c r="I444" i="8"/>
  <c r="M444" i="8"/>
  <c r="C444" i="8"/>
  <c r="K444" i="8"/>
  <c r="T444" i="8"/>
  <c r="Q444" i="8"/>
  <c r="E444" i="8"/>
  <c r="N444" i="8"/>
  <c r="D444" i="8"/>
  <c r="E444" i="19" s="1"/>
  <c r="S444" i="8"/>
  <c r="H444" i="8"/>
  <c r="E418" i="9" s="1"/>
  <c r="G444" i="8"/>
  <c r="P444" i="8"/>
  <c r="B440" i="14"/>
  <c r="I440" i="14"/>
  <c r="M440" i="14"/>
  <c r="Q440" i="14"/>
  <c r="T440" i="14"/>
  <c r="X440" i="14"/>
  <c r="AC440" i="14"/>
  <c r="A440" i="14"/>
  <c r="D440" i="14"/>
  <c r="H440" i="14"/>
  <c r="L440" i="14"/>
  <c r="N440" i="14"/>
  <c r="R440" i="14"/>
  <c r="V440" i="14"/>
  <c r="Y440" i="14"/>
  <c r="AD440" i="14"/>
  <c r="C440" i="14"/>
  <c r="K440" i="14"/>
  <c r="S440" i="14"/>
  <c r="AA440" i="14"/>
  <c r="AB440" i="14" s="1"/>
  <c r="J440" i="14"/>
  <c r="U440" i="14"/>
  <c r="AF440" i="14"/>
  <c r="M440" i="19" s="1"/>
  <c r="G440" i="14"/>
  <c r="O440" i="14"/>
  <c r="W440" i="14"/>
  <c r="E440" i="14"/>
  <c r="P440" i="14"/>
  <c r="Z440" i="14"/>
  <c r="C414" i="9"/>
  <c r="D440" i="8"/>
  <c r="E440" i="19" s="1"/>
  <c r="I440" i="8"/>
  <c r="L440" i="8"/>
  <c r="N440" i="8"/>
  <c r="R440" i="8"/>
  <c r="U440" i="8"/>
  <c r="I440" i="19" s="1"/>
  <c r="X440" i="8"/>
  <c r="B440" i="8"/>
  <c r="C440" i="19" s="1"/>
  <c r="E440" i="8"/>
  <c r="H440" i="8"/>
  <c r="E414" i="9" s="1"/>
  <c r="J440" i="8"/>
  <c r="M440" i="8"/>
  <c r="Q440" i="8"/>
  <c r="S440" i="8"/>
  <c r="G440" i="8"/>
  <c r="P440" i="8"/>
  <c r="C440" i="8"/>
  <c r="K440" i="8"/>
  <c r="T440" i="8"/>
  <c r="B436" i="14"/>
  <c r="I436" i="14"/>
  <c r="M436" i="14"/>
  <c r="Q436" i="14"/>
  <c r="T436" i="14"/>
  <c r="X436" i="14"/>
  <c r="AC436" i="14"/>
  <c r="D436" i="14"/>
  <c r="H436" i="14"/>
  <c r="L436" i="14"/>
  <c r="N436" i="14"/>
  <c r="R436" i="14"/>
  <c r="V436" i="14"/>
  <c r="Y436" i="14"/>
  <c r="AD436" i="14"/>
  <c r="C436" i="14"/>
  <c r="K436" i="14"/>
  <c r="S436" i="14"/>
  <c r="AA436" i="14"/>
  <c r="AB436" i="14" s="1"/>
  <c r="AF436" i="14"/>
  <c r="M436" i="19" s="1"/>
  <c r="U436" i="14"/>
  <c r="J436" i="14"/>
  <c r="G436" i="14"/>
  <c r="O436" i="14"/>
  <c r="W436" i="14"/>
  <c r="A436" i="14"/>
  <c r="Z436" i="14"/>
  <c r="P436" i="14"/>
  <c r="E436" i="14"/>
  <c r="B436" i="8"/>
  <c r="C436" i="19" s="1"/>
  <c r="C410" i="9"/>
  <c r="E436" i="8"/>
  <c r="I436" i="8"/>
  <c r="L436" i="8"/>
  <c r="Q436" i="8"/>
  <c r="U436" i="8"/>
  <c r="I436" i="19" s="1"/>
  <c r="X436" i="8"/>
  <c r="D436" i="8"/>
  <c r="E436" i="19" s="1"/>
  <c r="J436" i="8"/>
  <c r="N436" i="8"/>
  <c r="R436" i="8"/>
  <c r="S436" i="8"/>
  <c r="H436" i="8"/>
  <c r="E410" i="9" s="1"/>
  <c r="G436" i="8"/>
  <c r="P436" i="8"/>
  <c r="M436" i="8"/>
  <c r="C436" i="8"/>
  <c r="K436" i="8"/>
  <c r="T436" i="8"/>
  <c r="J436" i="19" s="1"/>
  <c r="B432" i="14"/>
  <c r="E432" i="14"/>
  <c r="H432" i="14"/>
  <c r="J432" i="14"/>
  <c r="M432" i="14"/>
  <c r="P432" i="14"/>
  <c r="R432" i="14"/>
  <c r="U432" i="14"/>
  <c r="X432" i="14"/>
  <c r="Z432" i="14"/>
  <c r="AD432" i="14"/>
  <c r="D432" i="14"/>
  <c r="I432" i="14"/>
  <c r="L432" i="14"/>
  <c r="N432" i="14"/>
  <c r="Q432" i="14"/>
  <c r="T432" i="14"/>
  <c r="V432" i="14"/>
  <c r="Y432" i="14"/>
  <c r="AC432" i="14"/>
  <c r="AF432" i="14"/>
  <c r="M432" i="19" s="1"/>
  <c r="C432" i="14"/>
  <c r="K432" i="14"/>
  <c r="S432" i="14"/>
  <c r="AA432" i="14"/>
  <c r="AB432" i="14" s="1"/>
  <c r="G432" i="14"/>
  <c r="O432" i="14"/>
  <c r="W432" i="14"/>
  <c r="A432" i="14"/>
  <c r="B432" i="8"/>
  <c r="C432" i="19" s="1"/>
  <c r="C406" i="9"/>
  <c r="L432" i="8"/>
  <c r="R432" i="8"/>
  <c r="X432" i="8"/>
  <c r="E432" i="8"/>
  <c r="J432" i="8"/>
  <c r="Q432" i="8"/>
  <c r="N432" i="8"/>
  <c r="D432" i="8"/>
  <c r="E432" i="19" s="1"/>
  <c r="M432" i="8"/>
  <c r="C432" i="8"/>
  <c r="K432" i="8"/>
  <c r="T432" i="8"/>
  <c r="J432" i="19" s="1"/>
  <c r="U432" i="8"/>
  <c r="I432" i="19" s="1"/>
  <c r="I432" i="8"/>
  <c r="S432" i="8"/>
  <c r="H432" i="8"/>
  <c r="E406" i="9" s="1"/>
  <c r="G432" i="8"/>
  <c r="P432" i="8"/>
  <c r="B421" i="14"/>
  <c r="E421" i="14"/>
  <c r="H421" i="14"/>
  <c r="J421" i="14"/>
  <c r="M421" i="14"/>
  <c r="P421" i="14"/>
  <c r="R421" i="14"/>
  <c r="U421" i="14"/>
  <c r="X421" i="14"/>
  <c r="Z421" i="14"/>
  <c r="AD421" i="14"/>
  <c r="D421" i="14"/>
  <c r="I421" i="14"/>
  <c r="L421" i="14"/>
  <c r="N421" i="14"/>
  <c r="Q421" i="14"/>
  <c r="T421" i="14"/>
  <c r="V421" i="14"/>
  <c r="Y421" i="14"/>
  <c r="AC421" i="14"/>
  <c r="AF421" i="14"/>
  <c r="M421" i="19" s="1"/>
  <c r="C421" i="14"/>
  <c r="K421" i="14"/>
  <c r="S421" i="14"/>
  <c r="AA421" i="14"/>
  <c r="AB421" i="14" s="1"/>
  <c r="G421" i="14"/>
  <c r="O421" i="14"/>
  <c r="W421" i="14"/>
  <c r="A421" i="14"/>
  <c r="B421" i="8"/>
  <c r="C421" i="19" s="1"/>
  <c r="C395" i="9"/>
  <c r="D421" i="8"/>
  <c r="E421" i="19" s="1"/>
  <c r="H421" i="8"/>
  <c r="E395" i="9" s="1"/>
  <c r="J421" i="8"/>
  <c r="L421" i="8"/>
  <c r="N421" i="8"/>
  <c r="Q421" i="8"/>
  <c r="S421" i="8"/>
  <c r="U421" i="8"/>
  <c r="I421" i="19" s="1"/>
  <c r="X421" i="8"/>
  <c r="C421" i="8"/>
  <c r="E421" i="8"/>
  <c r="G421" i="8"/>
  <c r="I421" i="8"/>
  <c r="K421" i="8"/>
  <c r="M421" i="8"/>
  <c r="P421" i="8"/>
  <c r="R421" i="8"/>
  <c r="T421" i="8"/>
  <c r="B419" i="14"/>
  <c r="E419" i="14"/>
  <c r="H419" i="14"/>
  <c r="J419" i="14"/>
  <c r="M419" i="14"/>
  <c r="P419" i="14"/>
  <c r="R419" i="14"/>
  <c r="U419" i="14"/>
  <c r="X419" i="14"/>
  <c r="Z419" i="14"/>
  <c r="AD419" i="14"/>
  <c r="D419" i="14"/>
  <c r="I419" i="14"/>
  <c r="L419" i="14"/>
  <c r="N419" i="14"/>
  <c r="Q419" i="14"/>
  <c r="T419" i="14"/>
  <c r="V419" i="14"/>
  <c r="Y419" i="14"/>
  <c r="AC419" i="14"/>
  <c r="AF419" i="14"/>
  <c r="M419" i="19" s="1"/>
  <c r="C419" i="14"/>
  <c r="K419" i="14"/>
  <c r="S419" i="14"/>
  <c r="AA419" i="14"/>
  <c r="AB419" i="14" s="1"/>
  <c r="G419" i="14"/>
  <c r="O419" i="14"/>
  <c r="W419" i="14"/>
  <c r="A419" i="14"/>
  <c r="B419" i="8"/>
  <c r="C419" i="19" s="1"/>
  <c r="C393" i="9"/>
  <c r="C419" i="8"/>
  <c r="I419" i="8"/>
  <c r="K419" i="8"/>
  <c r="N419" i="8"/>
  <c r="R419" i="8"/>
  <c r="T419" i="8"/>
  <c r="J419" i="19" s="1"/>
  <c r="X419" i="8"/>
  <c r="E419" i="8"/>
  <c r="G419" i="8"/>
  <c r="J419" i="8"/>
  <c r="M419" i="8"/>
  <c r="P419" i="8"/>
  <c r="S419" i="8"/>
  <c r="U419" i="8"/>
  <c r="I419" i="19" s="1"/>
  <c r="L419" i="8"/>
  <c r="D419" i="8"/>
  <c r="E419" i="19" s="1"/>
  <c r="Q419" i="8"/>
  <c r="H419" i="8"/>
  <c r="E393" i="9" s="1"/>
  <c r="B415" i="14"/>
  <c r="E415" i="14"/>
  <c r="H415" i="14"/>
  <c r="J415" i="14"/>
  <c r="M415" i="14"/>
  <c r="P415" i="14"/>
  <c r="R415" i="14"/>
  <c r="U415" i="14"/>
  <c r="X415" i="14"/>
  <c r="Z415" i="14"/>
  <c r="AD415" i="14"/>
  <c r="D415" i="14"/>
  <c r="I415" i="14"/>
  <c r="L415" i="14"/>
  <c r="N415" i="14"/>
  <c r="Q415" i="14"/>
  <c r="T415" i="14"/>
  <c r="V415" i="14"/>
  <c r="Y415" i="14"/>
  <c r="AC415" i="14"/>
  <c r="AF415" i="14"/>
  <c r="M415" i="19" s="1"/>
  <c r="C415" i="14"/>
  <c r="K415" i="14"/>
  <c r="S415" i="14"/>
  <c r="AA415" i="14"/>
  <c r="AB415" i="14" s="1"/>
  <c r="G415" i="14"/>
  <c r="O415" i="14"/>
  <c r="W415" i="14"/>
  <c r="A415" i="14"/>
  <c r="B415" i="8"/>
  <c r="C415" i="19" s="1"/>
  <c r="C389" i="9"/>
  <c r="E415" i="8"/>
  <c r="G415" i="8"/>
  <c r="J415" i="8"/>
  <c r="M415" i="8"/>
  <c r="P415" i="8"/>
  <c r="S415" i="8"/>
  <c r="C415" i="8"/>
  <c r="I415" i="8"/>
  <c r="K415" i="8"/>
  <c r="N415" i="8"/>
  <c r="R415" i="8"/>
  <c r="T415" i="8"/>
  <c r="X415" i="8"/>
  <c r="U415" i="8"/>
  <c r="I415" i="19" s="1"/>
  <c r="L415" i="8"/>
  <c r="D415" i="8"/>
  <c r="E415" i="19" s="1"/>
  <c r="Q415" i="8"/>
  <c r="H415" i="8"/>
  <c r="E389" i="9" s="1"/>
  <c r="B411" i="14"/>
  <c r="E411" i="14"/>
  <c r="H411" i="14"/>
  <c r="J411" i="14"/>
  <c r="M411" i="14"/>
  <c r="P411" i="14"/>
  <c r="R411" i="14"/>
  <c r="U411" i="14"/>
  <c r="X411" i="14"/>
  <c r="Z411" i="14"/>
  <c r="AD411" i="14"/>
  <c r="D411" i="14"/>
  <c r="I411" i="14"/>
  <c r="L411" i="14"/>
  <c r="N411" i="14"/>
  <c r="Q411" i="14"/>
  <c r="T411" i="14"/>
  <c r="V411" i="14"/>
  <c r="Y411" i="14"/>
  <c r="AC411" i="14"/>
  <c r="AF411" i="14"/>
  <c r="M411" i="19" s="1"/>
  <c r="C411" i="14"/>
  <c r="K411" i="14"/>
  <c r="S411" i="14"/>
  <c r="AA411" i="14"/>
  <c r="AB411" i="14" s="1"/>
  <c r="G411" i="14"/>
  <c r="O411" i="14"/>
  <c r="W411" i="14"/>
  <c r="A411" i="14"/>
  <c r="C411" i="8"/>
  <c r="C385" i="9"/>
  <c r="E411" i="8"/>
  <c r="G411" i="8"/>
  <c r="K411" i="8"/>
  <c r="P411" i="8"/>
  <c r="S411" i="8"/>
  <c r="X411" i="8"/>
  <c r="B411" i="8"/>
  <c r="C411" i="19" s="1"/>
  <c r="J411" i="8"/>
  <c r="M411" i="8"/>
  <c r="R411" i="8"/>
  <c r="T411" i="8"/>
  <c r="J411" i="19" s="1"/>
  <c r="I411" i="8"/>
  <c r="D411" i="8"/>
  <c r="E411" i="19" s="1"/>
  <c r="L411" i="8"/>
  <c r="U411" i="8"/>
  <c r="I411" i="19" s="1"/>
  <c r="N411" i="8"/>
  <c r="H411" i="8"/>
  <c r="E385" i="9" s="1"/>
  <c r="Q411" i="8"/>
  <c r="B499" i="13"/>
  <c r="A499" i="13"/>
  <c r="D499" i="13"/>
  <c r="H499" i="13"/>
  <c r="L499" i="13"/>
  <c r="N499" i="13"/>
  <c r="Q499" i="13"/>
  <c r="S499" i="13"/>
  <c r="U499" i="13"/>
  <c r="AG499" i="13" s="1"/>
  <c r="AE499" i="13"/>
  <c r="C499" i="13"/>
  <c r="E499" i="13"/>
  <c r="G499" i="13"/>
  <c r="J499" i="13"/>
  <c r="M499" i="13"/>
  <c r="O499" i="13"/>
  <c r="R499" i="13"/>
  <c r="T499" i="13"/>
  <c r="V499" i="13"/>
  <c r="Z499" i="13" s="1"/>
  <c r="B499" i="18"/>
  <c r="J499" i="18"/>
  <c r="N499" i="18" s="1"/>
  <c r="O499" i="18" s="1"/>
  <c r="I499" i="18"/>
  <c r="A499" i="18"/>
  <c r="H499" i="18"/>
  <c r="G499" i="18"/>
  <c r="E499" i="18"/>
  <c r="D499" i="18"/>
  <c r="C499" i="18"/>
  <c r="B497" i="13"/>
  <c r="C497" i="13"/>
  <c r="E497" i="13"/>
  <c r="G497" i="13"/>
  <c r="J497" i="13"/>
  <c r="M497" i="13"/>
  <c r="O497" i="13"/>
  <c r="R497" i="13"/>
  <c r="T497" i="13"/>
  <c r="V497" i="13"/>
  <c r="Z497" i="13" s="1"/>
  <c r="A497" i="13"/>
  <c r="D497" i="13"/>
  <c r="H497" i="13"/>
  <c r="L497" i="13"/>
  <c r="N497" i="13"/>
  <c r="Q497" i="13"/>
  <c r="S497" i="13"/>
  <c r="U497" i="13"/>
  <c r="AG497" i="13" s="1"/>
  <c r="AE497" i="13"/>
  <c r="A497" i="18"/>
  <c r="J497" i="18"/>
  <c r="N497" i="18" s="1"/>
  <c r="O497" i="18" s="1"/>
  <c r="D497" i="18"/>
  <c r="H497" i="18"/>
  <c r="C497" i="18"/>
  <c r="B497" i="18"/>
  <c r="E497" i="18"/>
  <c r="G497" i="18"/>
  <c r="I497" i="18"/>
  <c r="B491" i="13"/>
  <c r="A491" i="13"/>
  <c r="D491" i="13"/>
  <c r="H491" i="13"/>
  <c r="L491" i="13"/>
  <c r="N491" i="13"/>
  <c r="Q491" i="13"/>
  <c r="S491" i="13"/>
  <c r="U491" i="13"/>
  <c r="AG491" i="13" s="1"/>
  <c r="AE491" i="13"/>
  <c r="C491" i="13"/>
  <c r="E491" i="13"/>
  <c r="G491" i="13"/>
  <c r="J491" i="13"/>
  <c r="M491" i="13"/>
  <c r="O491" i="13"/>
  <c r="R491" i="13"/>
  <c r="T491" i="13"/>
  <c r="V491" i="13"/>
  <c r="Z491" i="13" s="1"/>
  <c r="B491" i="18"/>
  <c r="E491" i="18"/>
  <c r="H491" i="18"/>
  <c r="J491" i="18"/>
  <c r="N491" i="18" s="1"/>
  <c r="O491" i="18" s="1"/>
  <c r="D491" i="18"/>
  <c r="I491" i="18"/>
  <c r="G491" i="18"/>
  <c r="A491" i="18"/>
  <c r="C491" i="18"/>
  <c r="B487" i="13"/>
  <c r="A487" i="13"/>
  <c r="D487" i="13"/>
  <c r="H487" i="13"/>
  <c r="L487" i="13"/>
  <c r="N487" i="13"/>
  <c r="Q487" i="13"/>
  <c r="S487" i="13"/>
  <c r="U487" i="13"/>
  <c r="AG487" i="13" s="1"/>
  <c r="AE487" i="13"/>
  <c r="C487" i="13"/>
  <c r="E487" i="13"/>
  <c r="G487" i="13"/>
  <c r="J487" i="13"/>
  <c r="M487" i="13"/>
  <c r="O487" i="13"/>
  <c r="R487" i="13"/>
  <c r="T487" i="13"/>
  <c r="V487" i="13"/>
  <c r="Z487" i="13" s="1"/>
  <c r="B487" i="18"/>
  <c r="E487" i="18"/>
  <c r="H487" i="18"/>
  <c r="J487" i="18"/>
  <c r="N487" i="18" s="1"/>
  <c r="O487" i="18" s="1"/>
  <c r="D487" i="18"/>
  <c r="I487" i="18"/>
  <c r="G487" i="18"/>
  <c r="A487" i="18"/>
  <c r="C487" i="18"/>
  <c r="C483" i="13"/>
  <c r="E483" i="13"/>
  <c r="G483" i="13"/>
  <c r="M483" i="13"/>
  <c r="R483" i="13"/>
  <c r="U483" i="13"/>
  <c r="AG483" i="13" s="1"/>
  <c r="B483" i="13"/>
  <c r="L483" i="13"/>
  <c r="O483" i="13"/>
  <c r="T483" i="13"/>
  <c r="AE483" i="13"/>
  <c r="Q483" i="13"/>
  <c r="J483" i="13"/>
  <c r="H483" i="13"/>
  <c r="S483" i="13"/>
  <c r="V483" i="13"/>
  <c r="AA483" i="13" s="1"/>
  <c r="AB483" i="13" s="1"/>
  <c r="D483" i="13"/>
  <c r="N483" i="13"/>
  <c r="A483" i="13"/>
  <c r="B483" i="18"/>
  <c r="E483" i="18"/>
  <c r="H483" i="18"/>
  <c r="J483" i="18"/>
  <c r="N483" i="18" s="1"/>
  <c r="O483" i="18" s="1"/>
  <c r="D483" i="18"/>
  <c r="I483" i="18"/>
  <c r="G483" i="18"/>
  <c r="A483" i="18"/>
  <c r="C483" i="18"/>
  <c r="C479" i="13"/>
  <c r="E479" i="13"/>
  <c r="G479" i="13"/>
  <c r="M479" i="13"/>
  <c r="R479" i="13"/>
  <c r="U479" i="13"/>
  <c r="AG479" i="13" s="1"/>
  <c r="B479" i="13"/>
  <c r="L479" i="13"/>
  <c r="O479" i="13"/>
  <c r="T479" i="13"/>
  <c r="AE479" i="13"/>
  <c r="Q479" i="13"/>
  <c r="J479" i="13"/>
  <c r="D479" i="13"/>
  <c r="N479" i="13"/>
  <c r="V479" i="13"/>
  <c r="AA479" i="13" s="1"/>
  <c r="AB479" i="13" s="1"/>
  <c r="H479" i="13"/>
  <c r="S479" i="13"/>
  <c r="A479" i="13"/>
  <c r="B479" i="18"/>
  <c r="E479" i="18"/>
  <c r="H479" i="18"/>
  <c r="J479" i="18"/>
  <c r="N479" i="18" s="1"/>
  <c r="O479" i="18" s="1"/>
  <c r="D479" i="18"/>
  <c r="I479" i="18"/>
  <c r="G479" i="18"/>
  <c r="A479" i="18"/>
  <c r="C479" i="18"/>
  <c r="B474" i="13"/>
  <c r="A474" i="13"/>
  <c r="D474" i="13"/>
  <c r="H474" i="13"/>
  <c r="L474" i="13"/>
  <c r="N474" i="13"/>
  <c r="Q474" i="13"/>
  <c r="S474" i="13"/>
  <c r="U474" i="13"/>
  <c r="AG474" i="13" s="1"/>
  <c r="C474" i="13"/>
  <c r="E474" i="13"/>
  <c r="G474" i="13"/>
  <c r="J474" i="13"/>
  <c r="M474" i="13"/>
  <c r="O474" i="13"/>
  <c r="R474" i="13"/>
  <c r="T474" i="13"/>
  <c r="V474" i="13"/>
  <c r="Z474" i="13" s="1"/>
  <c r="AE474" i="13"/>
  <c r="B474" i="18"/>
  <c r="A474" i="18"/>
  <c r="D474" i="18"/>
  <c r="H474" i="18"/>
  <c r="J474" i="18"/>
  <c r="L474" i="18" s="1"/>
  <c r="C474" i="18"/>
  <c r="E474" i="18"/>
  <c r="G474" i="18"/>
  <c r="I474" i="18"/>
  <c r="B470" i="14"/>
  <c r="P470" i="14"/>
  <c r="AA470" i="14"/>
  <c r="AB470" i="14" s="1"/>
  <c r="K470" i="14"/>
  <c r="V470" i="14"/>
  <c r="AF470" i="14"/>
  <c r="M470" i="19" s="1"/>
  <c r="AD470" i="14"/>
  <c r="S470" i="14"/>
  <c r="H470" i="14"/>
  <c r="W470" i="14"/>
  <c r="L470" i="14"/>
  <c r="A470" i="14"/>
  <c r="I470" i="14"/>
  <c r="Q470" i="14"/>
  <c r="Y470" i="14"/>
  <c r="Z470" i="14"/>
  <c r="O470" i="14"/>
  <c r="D470" i="14"/>
  <c r="X470" i="14"/>
  <c r="N470" i="14"/>
  <c r="C470" i="14"/>
  <c r="R470" i="14"/>
  <c r="G470" i="14"/>
  <c r="E470" i="14"/>
  <c r="M470" i="14"/>
  <c r="U470" i="14"/>
  <c r="AC470" i="14"/>
  <c r="T470" i="14"/>
  <c r="J470" i="14"/>
  <c r="B470" i="8"/>
  <c r="C470" i="19" s="1"/>
  <c r="C444" i="9"/>
  <c r="J470" i="8"/>
  <c r="N470" i="8"/>
  <c r="S470" i="8"/>
  <c r="X470" i="8"/>
  <c r="E470" i="8"/>
  <c r="I470" i="8"/>
  <c r="M470" i="8"/>
  <c r="R470" i="8"/>
  <c r="Q470" i="8"/>
  <c r="H470" i="8"/>
  <c r="E444" i="9" s="1"/>
  <c r="P470" i="8"/>
  <c r="G470" i="8"/>
  <c r="U470" i="8"/>
  <c r="I470" i="19" s="1"/>
  <c r="L470" i="8"/>
  <c r="D470" i="8"/>
  <c r="E470" i="19" s="1"/>
  <c r="T470" i="8"/>
  <c r="K470" i="8"/>
  <c r="C470" i="8"/>
  <c r="B466" i="13"/>
  <c r="A466" i="13"/>
  <c r="D466" i="13"/>
  <c r="H466" i="13"/>
  <c r="L466" i="13"/>
  <c r="N466" i="13"/>
  <c r="Q466" i="13"/>
  <c r="S466" i="13"/>
  <c r="U466" i="13"/>
  <c r="AG466" i="13" s="1"/>
  <c r="C466" i="13"/>
  <c r="E466" i="13"/>
  <c r="G466" i="13"/>
  <c r="J466" i="13"/>
  <c r="M466" i="13"/>
  <c r="O466" i="13"/>
  <c r="R466" i="13"/>
  <c r="T466" i="13"/>
  <c r="V466" i="13"/>
  <c r="Z466" i="13" s="1"/>
  <c r="AE466" i="13"/>
  <c r="B466" i="18"/>
  <c r="C466" i="18"/>
  <c r="E466" i="18"/>
  <c r="G466" i="18"/>
  <c r="I466" i="18"/>
  <c r="A466" i="18"/>
  <c r="D466" i="18"/>
  <c r="H466" i="18"/>
  <c r="J466" i="18"/>
  <c r="M466" i="18" s="1"/>
  <c r="L457" i="14"/>
  <c r="R457" i="14"/>
  <c r="D457" i="14"/>
  <c r="M457" i="14"/>
  <c r="T457" i="14"/>
  <c r="G457" i="14"/>
  <c r="O457" i="14"/>
  <c r="W457" i="14"/>
  <c r="E457" i="14"/>
  <c r="P457" i="14"/>
  <c r="Z457" i="14"/>
  <c r="A457" i="14"/>
  <c r="N457" i="14"/>
  <c r="AC457" i="14"/>
  <c r="I457" i="14"/>
  <c r="X457" i="14"/>
  <c r="Y457" i="14"/>
  <c r="C457" i="14"/>
  <c r="K457" i="14"/>
  <c r="S457" i="14"/>
  <c r="AA457" i="14"/>
  <c r="AB457" i="14" s="1"/>
  <c r="J457" i="14"/>
  <c r="U457" i="14"/>
  <c r="AF457" i="14"/>
  <c r="M457" i="19" s="1"/>
  <c r="H457" i="14"/>
  <c r="V457" i="14"/>
  <c r="B457" i="14"/>
  <c r="Q457" i="14"/>
  <c r="AD457" i="14"/>
  <c r="B457" i="8"/>
  <c r="C457" i="19" s="1"/>
  <c r="C431" i="9"/>
  <c r="N457" i="8"/>
  <c r="X457" i="8"/>
  <c r="J457" i="8"/>
  <c r="S457" i="8"/>
  <c r="M457" i="8"/>
  <c r="E457" i="8"/>
  <c r="Q457" i="8"/>
  <c r="H457" i="8"/>
  <c r="E431" i="9" s="1"/>
  <c r="T457" i="8"/>
  <c r="K457" i="8"/>
  <c r="C457" i="8"/>
  <c r="R457" i="8"/>
  <c r="I457" i="8"/>
  <c r="U457" i="8"/>
  <c r="I457" i="19" s="1"/>
  <c r="L457" i="8"/>
  <c r="D457" i="8"/>
  <c r="E457" i="19" s="1"/>
  <c r="P457" i="8"/>
  <c r="G457" i="8"/>
  <c r="L455" i="14"/>
  <c r="T455" i="14"/>
  <c r="M455" i="14"/>
  <c r="Y455" i="14"/>
  <c r="C455" i="14"/>
  <c r="K455" i="14"/>
  <c r="S455" i="14"/>
  <c r="AA455" i="14"/>
  <c r="AB455" i="14" s="1"/>
  <c r="J455" i="14"/>
  <c r="U455" i="14"/>
  <c r="AF455" i="14"/>
  <c r="M455" i="19" s="1"/>
  <c r="H455" i="14"/>
  <c r="V455" i="14"/>
  <c r="B455" i="14"/>
  <c r="Q455" i="14"/>
  <c r="AD455" i="14"/>
  <c r="D455" i="14"/>
  <c r="G455" i="14"/>
  <c r="O455" i="14"/>
  <c r="W455" i="14"/>
  <c r="E455" i="14"/>
  <c r="P455" i="14"/>
  <c r="Z455" i="14"/>
  <c r="A455" i="14"/>
  <c r="N455" i="14"/>
  <c r="AC455" i="14"/>
  <c r="I455" i="14"/>
  <c r="X455" i="14"/>
  <c r="R455" i="14"/>
  <c r="B455" i="8"/>
  <c r="C455" i="19" s="1"/>
  <c r="C429" i="9"/>
  <c r="D455" i="8"/>
  <c r="E455" i="19" s="1"/>
  <c r="I455" i="8"/>
  <c r="L455" i="8"/>
  <c r="N455" i="8"/>
  <c r="R455" i="8"/>
  <c r="U455" i="8"/>
  <c r="I455" i="19" s="1"/>
  <c r="X455" i="8"/>
  <c r="E455" i="8"/>
  <c r="H455" i="8"/>
  <c r="E429" i="9" s="1"/>
  <c r="J455" i="8"/>
  <c r="M455" i="8"/>
  <c r="Q455" i="8"/>
  <c r="S455" i="8"/>
  <c r="P455" i="8"/>
  <c r="G455" i="8"/>
  <c r="T455" i="8"/>
  <c r="K455" i="8"/>
  <c r="C455" i="8"/>
  <c r="A453" i="14"/>
  <c r="D453" i="14"/>
  <c r="L453" i="14"/>
  <c r="R453" i="14"/>
  <c r="Y453" i="14"/>
  <c r="M453" i="14"/>
  <c r="T453" i="14"/>
  <c r="X453" i="14"/>
  <c r="I453" i="14"/>
  <c r="V453" i="14"/>
  <c r="H453" i="14"/>
  <c r="G453" i="14"/>
  <c r="O453" i="14"/>
  <c r="W453" i="14"/>
  <c r="E453" i="14"/>
  <c r="P453" i="14"/>
  <c r="Z453" i="14"/>
  <c r="AD453" i="14"/>
  <c r="Q453" i="14"/>
  <c r="B453" i="14"/>
  <c r="AC453" i="14"/>
  <c r="N453" i="14"/>
  <c r="C453" i="14"/>
  <c r="K453" i="14"/>
  <c r="S453" i="14"/>
  <c r="AA453" i="14"/>
  <c r="AB453" i="14" s="1"/>
  <c r="J453" i="14"/>
  <c r="U453" i="14"/>
  <c r="AF453" i="14"/>
  <c r="M453" i="19" s="1"/>
  <c r="B453" i="8"/>
  <c r="C453" i="19" s="1"/>
  <c r="C427" i="9"/>
  <c r="J453" i="8"/>
  <c r="S453" i="8"/>
  <c r="N453" i="8"/>
  <c r="X453" i="8"/>
  <c r="R453" i="8"/>
  <c r="I453" i="8"/>
  <c r="Q453" i="8"/>
  <c r="H453" i="8"/>
  <c r="E427" i="9" s="1"/>
  <c r="P453" i="8"/>
  <c r="G453" i="8"/>
  <c r="M453" i="8"/>
  <c r="E453" i="8"/>
  <c r="U453" i="8"/>
  <c r="I453" i="19" s="1"/>
  <c r="L453" i="8"/>
  <c r="D453" i="8"/>
  <c r="E453" i="19" s="1"/>
  <c r="T453" i="8"/>
  <c r="J453" i="19" s="1"/>
  <c r="K453" i="8"/>
  <c r="C453" i="8"/>
  <c r="A451" i="14"/>
  <c r="D451" i="14"/>
  <c r="L451" i="14"/>
  <c r="R451" i="14"/>
  <c r="Y451" i="14"/>
  <c r="M451" i="14"/>
  <c r="T451" i="14"/>
  <c r="X451" i="14"/>
  <c r="I451" i="14"/>
  <c r="V451" i="14"/>
  <c r="H451" i="14"/>
  <c r="C451" i="14"/>
  <c r="K451" i="14"/>
  <c r="S451" i="14"/>
  <c r="AA451" i="14"/>
  <c r="AB451" i="14" s="1"/>
  <c r="J451" i="14"/>
  <c r="U451" i="14"/>
  <c r="AF451" i="14"/>
  <c r="M451" i="19" s="1"/>
  <c r="AD451" i="14"/>
  <c r="Q451" i="14"/>
  <c r="B451" i="14"/>
  <c r="AC451" i="14"/>
  <c r="N451" i="14"/>
  <c r="G451" i="14"/>
  <c r="O451" i="14"/>
  <c r="W451" i="14"/>
  <c r="E451" i="14"/>
  <c r="P451" i="14"/>
  <c r="Z451" i="14"/>
  <c r="B451" i="8"/>
  <c r="C451" i="19" s="1"/>
  <c r="C425" i="9"/>
  <c r="E451" i="8"/>
  <c r="H451" i="8"/>
  <c r="E425" i="9" s="1"/>
  <c r="J451" i="8"/>
  <c r="M451" i="8"/>
  <c r="Q451" i="8"/>
  <c r="S451" i="8"/>
  <c r="D451" i="8"/>
  <c r="E451" i="19" s="1"/>
  <c r="I451" i="8"/>
  <c r="L451" i="8"/>
  <c r="N451" i="8"/>
  <c r="R451" i="8"/>
  <c r="U451" i="8"/>
  <c r="I451" i="19" s="1"/>
  <c r="X451" i="8"/>
  <c r="T451" i="8"/>
  <c r="J451" i="19" s="1"/>
  <c r="K451" i="8"/>
  <c r="C451" i="8"/>
  <c r="P451" i="8"/>
  <c r="G451" i="8"/>
  <c r="A449" i="14"/>
  <c r="D449" i="14"/>
  <c r="L449" i="14"/>
  <c r="R449" i="14"/>
  <c r="Y449" i="14"/>
  <c r="M449" i="14"/>
  <c r="T449" i="14"/>
  <c r="X449" i="14"/>
  <c r="I449" i="14"/>
  <c r="V449" i="14"/>
  <c r="H449" i="14"/>
  <c r="G449" i="14"/>
  <c r="O449" i="14"/>
  <c r="W449" i="14"/>
  <c r="E449" i="14"/>
  <c r="P449" i="14"/>
  <c r="Z449" i="14"/>
  <c r="AD449" i="14"/>
  <c r="Q449" i="14"/>
  <c r="B449" i="14"/>
  <c r="AC449" i="14"/>
  <c r="N449" i="14"/>
  <c r="C449" i="14"/>
  <c r="K449" i="14"/>
  <c r="S449" i="14"/>
  <c r="AA449" i="14"/>
  <c r="AB449" i="14" s="1"/>
  <c r="J449" i="14"/>
  <c r="U449" i="14"/>
  <c r="AF449" i="14"/>
  <c r="M449" i="19" s="1"/>
  <c r="B449" i="8"/>
  <c r="C449" i="19" s="1"/>
  <c r="C423" i="9"/>
  <c r="C449" i="8"/>
  <c r="E449" i="8"/>
  <c r="G449" i="8"/>
  <c r="I449" i="8"/>
  <c r="K449" i="8"/>
  <c r="M449" i="8"/>
  <c r="P449" i="8"/>
  <c r="R449" i="8"/>
  <c r="T449" i="8"/>
  <c r="J449" i="19" s="1"/>
  <c r="D449" i="8"/>
  <c r="E449" i="19" s="1"/>
  <c r="H449" i="8"/>
  <c r="E423" i="9" s="1"/>
  <c r="J449" i="8"/>
  <c r="L449" i="8"/>
  <c r="N449" i="8"/>
  <c r="Q449" i="8"/>
  <c r="S449" i="8"/>
  <c r="U449" i="8"/>
  <c r="I449" i="19" s="1"/>
  <c r="X449" i="8"/>
  <c r="A447" i="14"/>
  <c r="D447" i="14"/>
  <c r="L447" i="14"/>
  <c r="R447" i="14"/>
  <c r="Y447" i="14"/>
  <c r="M447" i="14"/>
  <c r="T447" i="14"/>
  <c r="X447" i="14"/>
  <c r="I447" i="14"/>
  <c r="V447" i="14"/>
  <c r="H447" i="14"/>
  <c r="C447" i="14"/>
  <c r="K447" i="14"/>
  <c r="S447" i="14"/>
  <c r="AA447" i="14"/>
  <c r="AB447" i="14" s="1"/>
  <c r="J447" i="14"/>
  <c r="U447" i="14"/>
  <c r="AF447" i="14"/>
  <c r="M447" i="19" s="1"/>
  <c r="AD447" i="14"/>
  <c r="Q447" i="14"/>
  <c r="B447" i="14"/>
  <c r="AC447" i="14"/>
  <c r="N447" i="14"/>
  <c r="G447" i="14"/>
  <c r="O447" i="14"/>
  <c r="W447" i="14"/>
  <c r="E447" i="14"/>
  <c r="P447" i="14"/>
  <c r="Z447" i="14"/>
  <c r="B447" i="8"/>
  <c r="C447" i="19" s="1"/>
  <c r="C421" i="9"/>
  <c r="C447" i="8"/>
  <c r="J447" i="8"/>
  <c r="N447" i="8"/>
  <c r="R447" i="8"/>
  <c r="E447" i="8"/>
  <c r="I447" i="8"/>
  <c r="K447" i="8"/>
  <c r="P447" i="8"/>
  <c r="T447" i="8"/>
  <c r="J447" i="19" s="1"/>
  <c r="X447" i="8"/>
  <c r="S447" i="8"/>
  <c r="G447" i="8"/>
  <c r="H447" i="8"/>
  <c r="E421" i="9" s="1"/>
  <c r="Q447" i="8"/>
  <c r="M447" i="8"/>
  <c r="D447" i="8"/>
  <c r="E447" i="19" s="1"/>
  <c r="L447" i="8"/>
  <c r="U447" i="8"/>
  <c r="I447" i="19" s="1"/>
  <c r="A445" i="14"/>
  <c r="D445" i="14"/>
  <c r="L445" i="14"/>
  <c r="R445" i="14"/>
  <c r="Y445" i="14"/>
  <c r="M445" i="14"/>
  <c r="T445" i="14"/>
  <c r="X445" i="14"/>
  <c r="I445" i="14"/>
  <c r="V445" i="14"/>
  <c r="H445" i="14"/>
  <c r="G445" i="14"/>
  <c r="O445" i="14"/>
  <c r="W445" i="14"/>
  <c r="E445" i="14"/>
  <c r="P445" i="14"/>
  <c r="Z445" i="14"/>
  <c r="AD445" i="14"/>
  <c r="Q445" i="14"/>
  <c r="B445" i="14"/>
  <c r="AC445" i="14"/>
  <c r="N445" i="14"/>
  <c r="C445" i="14"/>
  <c r="K445" i="14"/>
  <c r="S445" i="14"/>
  <c r="AA445" i="14"/>
  <c r="AB445" i="14" s="1"/>
  <c r="J445" i="14"/>
  <c r="U445" i="14"/>
  <c r="AF445" i="14"/>
  <c r="M445" i="19" s="1"/>
  <c r="B445" i="8"/>
  <c r="C445" i="19" s="1"/>
  <c r="C419" i="9"/>
  <c r="C445" i="8"/>
  <c r="E445" i="8"/>
  <c r="G445" i="8"/>
  <c r="I445" i="8"/>
  <c r="K445" i="8"/>
  <c r="M445" i="8"/>
  <c r="P445" i="8"/>
  <c r="R445" i="8"/>
  <c r="T445" i="8"/>
  <c r="J445" i="19" s="1"/>
  <c r="D445" i="8"/>
  <c r="E445" i="19" s="1"/>
  <c r="H445" i="8"/>
  <c r="E419" i="9" s="1"/>
  <c r="J445" i="8"/>
  <c r="L445" i="8"/>
  <c r="N445" i="8"/>
  <c r="Q445" i="8"/>
  <c r="S445" i="8"/>
  <c r="U445" i="8"/>
  <c r="I445" i="19" s="1"/>
  <c r="X445" i="8"/>
  <c r="A443" i="14"/>
  <c r="D443" i="14"/>
  <c r="L443" i="14"/>
  <c r="R443" i="14"/>
  <c r="Y443" i="14"/>
  <c r="M443" i="14"/>
  <c r="T443" i="14"/>
  <c r="X443" i="14"/>
  <c r="I443" i="14"/>
  <c r="V443" i="14"/>
  <c r="H443" i="14"/>
  <c r="C443" i="14"/>
  <c r="K443" i="14"/>
  <c r="S443" i="14"/>
  <c r="AA443" i="14"/>
  <c r="AB443" i="14" s="1"/>
  <c r="J443" i="14"/>
  <c r="U443" i="14"/>
  <c r="AF443" i="14"/>
  <c r="M443" i="19" s="1"/>
  <c r="AD443" i="14"/>
  <c r="Q443" i="14"/>
  <c r="B443" i="14"/>
  <c r="AC443" i="14"/>
  <c r="N443" i="14"/>
  <c r="G443" i="14"/>
  <c r="O443" i="14"/>
  <c r="W443" i="14"/>
  <c r="E443" i="14"/>
  <c r="P443" i="14"/>
  <c r="Z443" i="14"/>
  <c r="B443" i="8"/>
  <c r="C443" i="19" s="1"/>
  <c r="C417" i="9"/>
  <c r="E443" i="8"/>
  <c r="J443" i="8"/>
  <c r="P443" i="8"/>
  <c r="K443" i="8"/>
  <c r="R443" i="8"/>
  <c r="X443" i="8"/>
  <c r="T443" i="8"/>
  <c r="I443" i="8"/>
  <c r="S443" i="8"/>
  <c r="G443" i="8"/>
  <c r="D443" i="8"/>
  <c r="E443" i="19" s="1"/>
  <c r="L443" i="8"/>
  <c r="U443" i="8"/>
  <c r="I443" i="19" s="1"/>
  <c r="N443" i="8"/>
  <c r="C443" i="8"/>
  <c r="M443" i="8"/>
  <c r="H443" i="8"/>
  <c r="E417" i="9" s="1"/>
  <c r="Q443" i="8"/>
  <c r="A441" i="14"/>
  <c r="D441" i="14"/>
  <c r="L441" i="14"/>
  <c r="R441" i="14"/>
  <c r="Y441" i="14"/>
  <c r="M441" i="14"/>
  <c r="T441" i="14"/>
  <c r="X441" i="14"/>
  <c r="I441" i="14"/>
  <c r="V441" i="14"/>
  <c r="H441" i="14"/>
  <c r="G441" i="14"/>
  <c r="O441" i="14"/>
  <c r="W441" i="14"/>
  <c r="E441" i="14"/>
  <c r="P441" i="14"/>
  <c r="Z441" i="14"/>
  <c r="AD441" i="14"/>
  <c r="Q441" i="14"/>
  <c r="B441" i="14"/>
  <c r="AC441" i="14"/>
  <c r="N441" i="14"/>
  <c r="C441" i="14"/>
  <c r="K441" i="14"/>
  <c r="S441" i="14"/>
  <c r="AA441" i="14"/>
  <c r="AB441" i="14" s="1"/>
  <c r="J441" i="14"/>
  <c r="U441" i="14"/>
  <c r="AF441" i="14"/>
  <c r="M441" i="19" s="1"/>
  <c r="B441" i="8"/>
  <c r="C441" i="19" s="1"/>
  <c r="C415" i="9"/>
  <c r="C441" i="8"/>
  <c r="E441" i="8"/>
  <c r="G441" i="8"/>
  <c r="I441" i="8"/>
  <c r="K441" i="8"/>
  <c r="M441" i="8"/>
  <c r="P441" i="8"/>
  <c r="R441" i="8"/>
  <c r="T441" i="8"/>
  <c r="J441" i="19" s="1"/>
  <c r="D441" i="8"/>
  <c r="E441" i="19" s="1"/>
  <c r="H441" i="8"/>
  <c r="E415" i="9" s="1"/>
  <c r="J441" i="8"/>
  <c r="L441" i="8"/>
  <c r="N441" i="8"/>
  <c r="Q441" i="8"/>
  <c r="S441" i="8"/>
  <c r="U441" i="8"/>
  <c r="I441" i="19" s="1"/>
  <c r="X441" i="8"/>
  <c r="A439" i="14"/>
  <c r="D439" i="14"/>
  <c r="L439" i="14"/>
  <c r="R439" i="14"/>
  <c r="Y439" i="14"/>
  <c r="M439" i="14"/>
  <c r="T439" i="14"/>
  <c r="X439" i="14"/>
  <c r="I439" i="14"/>
  <c r="V439" i="14"/>
  <c r="H439" i="14"/>
  <c r="C439" i="14"/>
  <c r="K439" i="14"/>
  <c r="S439" i="14"/>
  <c r="AA439" i="14"/>
  <c r="AB439" i="14" s="1"/>
  <c r="J439" i="14"/>
  <c r="U439" i="14"/>
  <c r="AF439" i="14"/>
  <c r="M439" i="19" s="1"/>
  <c r="AD439" i="14"/>
  <c r="Q439" i="14"/>
  <c r="B439" i="14"/>
  <c r="AC439" i="14"/>
  <c r="N439" i="14"/>
  <c r="G439" i="14"/>
  <c r="O439" i="14"/>
  <c r="W439" i="14"/>
  <c r="E439" i="14"/>
  <c r="P439" i="14"/>
  <c r="Z439" i="14"/>
  <c r="B439" i="8"/>
  <c r="C439" i="19" s="1"/>
  <c r="C413" i="9"/>
  <c r="R439" i="8"/>
  <c r="K439" i="8"/>
  <c r="X439" i="8"/>
  <c r="J439" i="8"/>
  <c r="T439" i="8"/>
  <c r="J439" i="19" s="1"/>
  <c r="I439" i="8"/>
  <c r="M439" i="8"/>
  <c r="H439" i="8"/>
  <c r="E413" i="9" s="1"/>
  <c r="Q439" i="8"/>
  <c r="P439" i="8"/>
  <c r="E439" i="8"/>
  <c r="N439" i="8"/>
  <c r="C439" i="8"/>
  <c r="S439" i="8"/>
  <c r="G439" i="8"/>
  <c r="D439" i="8"/>
  <c r="E439" i="19" s="1"/>
  <c r="L439" i="8"/>
  <c r="U439" i="8"/>
  <c r="I439" i="19" s="1"/>
  <c r="B462" i="13"/>
  <c r="A462" i="13"/>
  <c r="D462" i="13"/>
  <c r="H462" i="13"/>
  <c r="L462" i="13"/>
  <c r="N462" i="13"/>
  <c r="Q462" i="13"/>
  <c r="S462" i="13"/>
  <c r="U462" i="13"/>
  <c r="AG462" i="13" s="1"/>
  <c r="C462" i="13"/>
  <c r="E462" i="13"/>
  <c r="G462" i="13"/>
  <c r="J462" i="13"/>
  <c r="M462" i="13"/>
  <c r="O462" i="13"/>
  <c r="R462" i="13"/>
  <c r="T462" i="13"/>
  <c r="V462" i="13"/>
  <c r="Z462" i="13" s="1"/>
  <c r="AE462" i="13"/>
  <c r="B462" i="18"/>
  <c r="C462" i="18"/>
  <c r="E462" i="18"/>
  <c r="G462" i="18"/>
  <c r="I462" i="18"/>
  <c r="A462" i="18"/>
  <c r="D462" i="18"/>
  <c r="H462" i="18"/>
  <c r="J462" i="18"/>
  <c r="M462" i="18" s="1"/>
  <c r="M458" i="13"/>
  <c r="R458" i="13"/>
  <c r="D458" i="13"/>
  <c r="L458" i="13"/>
  <c r="S458" i="13"/>
  <c r="E458" i="13"/>
  <c r="O458" i="13"/>
  <c r="C458" i="13"/>
  <c r="Q458" i="13"/>
  <c r="B458" i="13"/>
  <c r="N458" i="13"/>
  <c r="A458" i="13"/>
  <c r="J458" i="13"/>
  <c r="T458" i="13"/>
  <c r="AE458" i="13"/>
  <c r="H458" i="13"/>
  <c r="V458" i="13"/>
  <c r="Z458" i="13" s="1"/>
  <c r="G458" i="13"/>
  <c r="U458" i="13"/>
  <c r="AG458" i="13" s="1"/>
  <c r="B458" i="18"/>
  <c r="C458" i="18"/>
  <c r="E458" i="18"/>
  <c r="G458" i="18"/>
  <c r="I458" i="18"/>
  <c r="A458" i="18"/>
  <c r="D458" i="18"/>
  <c r="H458" i="18"/>
  <c r="J458" i="18"/>
  <c r="M458" i="18" s="1"/>
  <c r="D454" i="13"/>
  <c r="B454" i="13"/>
  <c r="H454" i="13"/>
  <c r="N454" i="13"/>
  <c r="S454" i="13"/>
  <c r="V454" i="13"/>
  <c r="AA454" i="13" s="1"/>
  <c r="AB454" i="13" s="1"/>
  <c r="C454" i="13"/>
  <c r="G454" i="13"/>
  <c r="M454" i="13"/>
  <c r="Q454" i="13"/>
  <c r="U454" i="13"/>
  <c r="AG454" i="13" s="1"/>
  <c r="R454" i="13"/>
  <c r="E454" i="13"/>
  <c r="O454" i="13"/>
  <c r="L454" i="13"/>
  <c r="A454" i="13"/>
  <c r="J454" i="13"/>
  <c r="T454" i="13"/>
  <c r="AE454" i="13"/>
  <c r="B454" i="18"/>
  <c r="C454" i="18"/>
  <c r="E454" i="18"/>
  <c r="G454" i="18"/>
  <c r="I454" i="18"/>
  <c r="A454" i="18"/>
  <c r="D454" i="18"/>
  <c r="H454" i="18"/>
  <c r="J454" i="18"/>
  <c r="M454" i="18" s="1"/>
  <c r="B450" i="13"/>
  <c r="M450" i="13"/>
  <c r="S450" i="13"/>
  <c r="D450" i="13"/>
  <c r="L450" i="13"/>
  <c r="R450" i="13"/>
  <c r="N450" i="13"/>
  <c r="A450" i="13"/>
  <c r="J450" i="13"/>
  <c r="T450" i="13"/>
  <c r="AE450" i="13"/>
  <c r="V450" i="13"/>
  <c r="Z450" i="13" s="1"/>
  <c r="H450" i="13"/>
  <c r="U450" i="13"/>
  <c r="AG450" i="13" s="1"/>
  <c r="G450" i="13"/>
  <c r="E450" i="13"/>
  <c r="O450" i="13"/>
  <c r="Q450" i="13"/>
  <c r="C450" i="13"/>
  <c r="B450" i="18"/>
  <c r="D450" i="18"/>
  <c r="H450" i="18"/>
  <c r="C450" i="18"/>
  <c r="J450" i="18"/>
  <c r="K450" i="18" s="1"/>
  <c r="A450" i="18"/>
  <c r="I450" i="18"/>
  <c r="G450" i="18"/>
  <c r="E450" i="18"/>
  <c r="D446" i="13"/>
  <c r="C446" i="13"/>
  <c r="G446" i="13"/>
  <c r="M446" i="13"/>
  <c r="Q446" i="13"/>
  <c r="U446" i="13"/>
  <c r="AG446" i="13" s="1"/>
  <c r="B446" i="13"/>
  <c r="H446" i="13"/>
  <c r="N446" i="13"/>
  <c r="S446" i="13"/>
  <c r="V446" i="13"/>
  <c r="Z446" i="13" s="1"/>
  <c r="L446" i="13"/>
  <c r="A446" i="13"/>
  <c r="J446" i="13"/>
  <c r="T446" i="13"/>
  <c r="AE446" i="13"/>
  <c r="R446" i="13"/>
  <c r="E446" i="13"/>
  <c r="O446" i="13"/>
  <c r="B446" i="18"/>
  <c r="D446" i="18"/>
  <c r="H446" i="18"/>
  <c r="C446" i="18"/>
  <c r="J446" i="18"/>
  <c r="K446" i="18" s="1"/>
  <c r="A446" i="18"/>
  <c r="I446" i="18"/>
  <c r="G446" i="18"/>
  <c r="E446" i="18"/>
  <c r="B442" i="13"/>
  <c r="D442" i="13"/>
  <c r="L442" i="13"/>
  <c r="R442" i="13"/>
  <c r="M442" i="13"/>
  <c r="S442" i="13"/>
  <c r="U442" i="13"/>
  <c r="AG442" i="13" s="1"/>
  <c r="G442" i="13"/>
  <c r="A442" i="13"/>
  <c r="J442" i="13"/>
  <c r="T442" i="13"/>
  <c r="V442" i="13"/>
  <c r="H442" i="13"/>
  <c r="N442" i="13"/>
  <c r="E442" i="13"/>
  <c r="O442" i="13"/>
  <c r="AE442" i="13"/>
  <c r="Q442" i="13"/>
  <c r="C442" i="13"/>
  <c r="B442" i="18"/>
  <c r="D442" i="18"/>
  <c r="H442" i="18"/>
  <c r="C442" i="18"/>
  <c r="J442" i="18"/>
  <c r="K442" i="18" s="1"/>
  <c r="E442" i="18"/>
  <c r="G442" i="18"/>
  <c r="A442" i="18"/>
  <c r="I442" i="18"/>
  <c r="D438" i="13"/>
  <c r="B438" i="13"/>
  <c r="H438" i="13"/>
  <c r="N438" i="13"/>
  <c r="S438" i="13"/>
  <c r="V438" i="13"/>
  <c r="AA438" i="13" s="1"/>
  <c r="AB438" i="13" s="1"/>
  <c r="C438" i="13"/>
  <c r="G438" i="13"/>
  <c r="M438" i="13"/>
  <c r="Q438" i="13"/>
  <c r="U438" i="13"/>
  <c r="AG438" i="13" s="1"/>
  <c r="L438" i="13"/>
  <c r="A438" i="13"/>
  <c r="J438" i="13"/>
  <c r="T438" i="13"/>
  <c r="AE438" i="13"/>
  <c r="R438" i="13"/>
  <c r="E438" i="13"/>
  <c r="O438" i="13"/>
  <c r="B438" i="18"/>
  <c r="D438" i="18"/>
  <c r="H438" i="18"/>
  <c r="C438" i="18"/>
  <c r="J438" i="18"/>
  <c r="K438" i="18" s="1"/>
  <c r="A438" i="18"/>
  <c r="I438" i="18"/>
  <c r="G438" i="18"/>
  <c r="E438" i="18"/>
  <c r="B434" i="13"/>
  <c r="D434" i="13"/>
  <c r="L434" i="13"/>
  <c r="R434" i="13"/>
  <c r="M434" i="13"/>
  <c r="S434" i="13"/>
  <c r="U434" i="13"/>
  <c r="AG434" i="13" s="1"/>
  <c r="G434" i="13"/>
  <c r="A434" i="13"/>
  <c r="J434" i="13"/>
  <c r="T434" i="13"/>
  <c r="V434" i="13"/>
  <c r="H434" i="13"/>
  <c r="N434" i="13"/>
  <c r="E434" i="13"/>
  <c r="O434" i="13"/>
  <c r="AE434" i="13"/>
  <c r="Q434" i="13"/>
  <c r="C434" i="13"/>
  <c r="B434" i="18"/>
  <c r="D434" i="18"/>
  <c r="H434" i="18"/>
  <c r="C434" i="18"/>
  <c r="J434" i="18"/>
  <c r="K434" i="18" s="1"/>
  <c r="E434" i="18"/>
  <c r="G434" i="18"/>
  <c r="A434" i="18"/>
  <c r="I434" i="18"/>
  <c r="B417" i="13"/>
  <c r="A417" i="13"/>
  <c r="D417" i="13"/>
  <c r="H417" i="13"/>
  <c r="L417" i="13"/>
  <c r="N417" i="13"/>
  <c r="Q417" i="13"/>
  <c r="S417" i="13"/>
  <c r="U417" i="13"/>
  <c r="AG417" i="13" s="1"/>
  <c r="AE417" i="13"/>
  <c r="C417" i="13"/>
  <c r="E417" i="13"/>
  <c r="G417" i="13"/>
  <c r="J417" i="13"/>
  <c r="M417" i="13"/>
  <c r="O417" i="13"/>
  <c r="R417" i="13"/>
  <c r="T417" i="13"/>
  <c r="V417" i="13"/>
  <c r="Z417" i="13" s="1"/>
  <c r="B417" i="18"/>
  <c r="A417" i="18"/>
  <c r="E417" i="18"/>
  <c r="G417" i="18"/>
  <c r="J417" i="18"/>
  <c r="M417" i="18" s="1"/>
  <c r="C417" i="18"/>
  <c r="I417" i="18"/>
  <c r="H417" i="18"/>
  <c r="D417" i="18"/>
  <c r="B413" i="13"/>
  <c r="C413" i="13"/>
  <c r="E413" i="13"/>
  <c r="G413" i="13"/>
  <c r="J413" i="13"/>
  <c r="M413" i="13"/>
  <c r="O413" i="13"/>
  <c r="R413" i="13"/>
  <c r="T413" i="13"/>
  <c r="V413" i="13"/>
  <c r="AA413" i="13" s="1"/>
  <c r="AB413" i="13" s="1"/>
  <c r="A413" i="13"/>
  <c r="D413" i="13"/>
  <c r="H413" i="13"/>
  <c r="L413" i="13"/>
  <c r="N413" i="13"/>
  <c r="Q413" i="13"/>
  <c r="S413" i="13"/>
  <c r="U413" i="13"/>
  <c r="AG413" i="13" s="1"/>
  <c r="AE413" i="13"/>
  <c r="B413" i="18"/>
  <c r="A413" i="18"/>
  <c r="E413" i="18"/>
  <c r="G413" i="18"/>
  <c r="J413" i="18"/>
  <c r="M413" i="18" s="1"/>
  <c r="C413" i="18"/>
  <c r="I413" i="18"/>
  <c r="D413" i="18"/>
  <c r="H413" i="18"/>
  <c r="B409" i="13"/>
  <c r="C409" i="13"/>
  <c r="E409" i="13"/>
  <c r="G409" i="13"/>
  <c r="J409" i="13"/>
  <c r="M409" i="13"/>
  <c r="O409" i="13"/>
  <c r="R409" i="13"/>
  <c r="T409" i="13"/>
  <c r="V409" i="13"/>
  <c r="AA409" i="13" s="1"/>
  <c r="AB409" i="13" s="1"/>
  <c r="AE409" i="13"/>
  <c r="A409" i="13"/>
  <c r="D409" i="13"/>
  <c r="H409" i="13"/>
  <c r="L409" i="13"/>
  <c r="N409" i="13"/>
  <c r="Q409" i="13"/>
  <c r="S409" i="13"/>
  <c r="U409" i="13"/>
  <c r="AG409" i="13" s="1"/>
  <c r="B409" i="18"/>
  <c r="A409" i="18"/>
  <c r="E409" i="18"/>
  <c r="G409" i="18"/>
  <c r="J409" i="18"/>
  <c r="M409" i="18" s="1"/>
  <c r="C409" i="18"/>
  <c r="I409" i="18"/>
  <c r="D409" i="18"/>
  <c r="H409" i="18"/>
  <c r="BT28" i="12"/>
  <c r="BT74" i="12" s="1"/>
  <c r="BU28" i="12"/>
  <c r="BV28" i="12"/>
  <c r="BV74" i="12" s="1"/>
  <c r="BW28" i="12"/>
  <c r="BX28" i="12"/>
  <c r="BX73" i="12" s="1"/>
  <c r="BY28" i="12"/>
  <c r="BZ28" i="12"/>
  <c r="BZ73" i="12" s="1"/>
  <c r="CA28" i="12"/>
  <c r="CB28" i="12"/>
  <c r="CC28" i="12"/>
  <c r="CD28" i="12"/>
  <c r="BT29" i="12"/>
  <c r="BU29" i="12"/>
  <c r="BV29" i="12"/>
  <c r="BW29" i="12"/>
  <c r="BX29" i="12"/>
  <c r="BY29" i="12"/>
  <c r="BZ29" i="12"/>
  <c r="CA29" i="12"/>
  <c r="CB29" i="12"/>
  <c r="CC29" i="12"/>
  <c r="CD29" i="12"/>
  <c r="BS28" i="12"/>
  <c r="BT30" i="12"/>
  <c r="BU30" i="12"/>
  <c r="BV30" i="12"/>
  <c r="BW30" i="12"/>
  <c r="BX30" i="12"/>
  <c r="BY30" i="12"/>
  <c r="BZ30" i="12"/>
  <c r="CA30" i="12"/>
  <c r="CB30" i="12"/>
  <c r="CC30" i="12"/>
  <c r="CD30" i="12"/>
  <c r="CE30" i="12"/>
  <c r="BY31" i="12"/>
  <c r="CA31" i="12"/>
  <c r="CB31" i="12"/>
  <c r="CD31" i="12"/>
  <c r="CE31" i="12"/>
  <c r="BU32" i="12"/>
  <c r="BY32" i="12"/>
  <c r="CA32" i="12"/>
  <c r="CB32" i="12"/>
  <c r="CD32" i="12"/>
  <c r="CE32" i="12"/>
  <c r="BY33" i="12"/>
  <c r="CA33" i="12"/>
  <c r="CB33" i="12"/>
  <c r="CD33" i="12"/>
  <c r="CE33" i="12"/>
  <c r="BU34" i="12"/>
  <c r="BY34" i="12"/>
  <c r="CA34" i="12"/>
  <c r="CB34" i="12"/>
  <c r="CD34" i="12"/>
  <c r="CE34" i="12"/>
  <c r="BY35" i="12"/>
  <c r="CA35" i="12"/>
  <c r="CB35" i="12"/>
  <c r="CD35" i="12"/>
  <c r="CE35" i="12"/>
  <c r="BU36" i="12"/>
  <c r="BW36" i="12"/>
  <c r="CA36" i="12"/>
  <c r="CB36" i="12"/>
  <c r="CD36" i="12"/>
  <c r="CE36" i="12"/>
  <c r="BU37" i="12"/>
  <c r="BW37" i="12"/>
  <c r="BY37" i="12"/>
  <c r="CA37" i="12"/>
  <c r="CB37" i="12"/>
  <c r="CD37" i="12"/>
  <c r="CE37" i="12"/>
  <c r="BU38" i="12"/>
  <c r="BW38" i="12"/>
  <c r="BY38" i="12"/>
  <c r="CA38" i="12"/>
  <c r="CB38" i="12"/>
  <c r="CC38" i="12"/>
  <c r="CD38" i="12"/>
  <c r="CE38" i="12"/>
  <c r="BU39" i="12"/>
  <c r="BW39" i="12"/>
  <c r="BY39" i="12"/>
  <c r="CA39" i="12"/>
  <c r="CB39" i="12"/>
  <c r="CC39" i="12"/>
  <c r="CD39" i="12"/>
  <c r="CE39" i="12"/>
  <c r="BU40" i="12"/>
  <c r="BW40" i="12"/>
  <c r="BY40" i="12"/>
  <c r="CA40" i="12"/>
  <c r="CB40" i="12"/>
  <c r="CC40" i="12"/>
  <c r="CD40" i="12"/>
  <c r="CE40" i="12"/>
  <c r="BU41" i="12"/>
  <c r="BW41" i="12"/>
  <c r="BY41" i="12"/>
  <c r="CA41" i="12"/>
  <c r="CB41" i="12"/>
  <c r="CC41" i="12"/>
  <c r="CD41" i="12"/>
  <c r="CE41" i="12"/>
  <c r="BU42" i="12"/>
  <c r="BW42" i="12"/>
  <c r="BY42" i="12"/>
  <c r="CA42" i="12"/>
  <c r="CB42" i="12"/>
  <c r="CC42" i="12"/>
  <c r="CD42" i="12"/>
  <c r="CE42" i="12"/>
  <c r="BU43" i="12"/>
  <c r="BW43" i="12"/>
  <c r="BY43" i="12"/>
  <c r="CA43" i="12"/>
  <c r="CB43" i="12"/>
  <c r="CC43" i="12"/>
  <c r="CD43" i="12"/>
  <c r="CE43" i="12"/>
  <c r="BU44" i="12"/>
  <c r="BW44" i="12"/>
  <c r="BY44" i="12"/>
  <c r="CA44" i="12"/>
  <c r="CB44" i="12"/>
  <c r="CC44" i="12"/>
  <c r="CD44" i="12"/>
  <c r="CE44" i="12"/>
  <c r="BU45" i="12"/>
  <c r="BW45" i="12"/>
  <c r="BY45" i="12"/>
  <c r="CA45" i="12"/>
  <c r="CB45" i="12"/>
  <c r="CC45" i="12"/>
  <c r="CD45" i="12"/>
  <c r="CE45" i="12"/>
  <c r="BU46" i="12"/>
  <c r="BW46" i="12"/>
  <c r="BY46" i="12"/>
  <c r="CA46" i="12"/>
  <c r="CB46" i="12"/>
  <c r="CC46" i="12"/>
  <c r="CD46" i="12"/>
  <c r="CE46" i="12"/>
  <c r="BU47" i="12"/>
  <c r="BW47" i="12"/>
  <c r="BY47" i="12"/>
  <c r="CA47" i="12"/>
  <c r="CB47" i="12"/>
  <c r="CC47" i="12"/>
  <c r="CD47" i="12"/>
  <c r="CE47" i="12"/>
  <c r="BU48" i="12"/>
  <c r="BW48" i="12"/>
  <c r="BY48" i="12"/>
  <c r="CA48" i="12"/>
  <c r="CB48" i="12"/>
  <c r="CC48" i="12"/>
  <c r="CD48" i="12"/>
  <c r="CE48" i="12"/>
  <c r="BU49" i="12"/>
  <c r="BW49" i="12"/>
  <c r="BY49" i="12"/>
  <c r="CA49" i="12"/>
  <c r="CB49" i="12"/>
  <c r="CC49" i="12"/>
  <c r="CD49" i="12"/>
  <c r="CE49" i="12"/>
  <c r="BU50" i="12"/>
  <c r="BW50" i="12"/>
  <c r="BY50" i="12"/>
  <c r="CA50" i="12"/>
  <c r="CB50" i="12"/>
  <c r="CC50" i="12"/>
  <c r="CD50" i="12"/>
  <c r="CE50" i="12"/>
  <c r="BU51" i="12"/>
  <c r="BW51" i="12"/>
  <c r="BY51" i="12"/>
  <c r="CA51" i="12"/>
  <c r="CB51" i="12"/>
  <c r="CC51" i="12"/>
  <c r="CD51" i="12"/>
  <c r="CE51" i="12"/>
  <c r="BU52" i="12"/>
  <c r="BW52" i="12"/>
  <c r="BY52" i="12"/>
  <c r="CA52" i="12"/>
  <c r="CB52" i="12"/>
  <c r="CC52" i="12"/>
  <c r="CD52" i="12"/>
  <c r="CE52" i="12"/>
  <c r="BU53" i="12"/>
  <c r="BW53" i="12"/>
  <c r="BY53" i="12"/>
  <c r="CA53" i="12"/>
  <c r="CB53" i="12"/>
  <c r="CC53" i="12"/>
  <c r="CD53" i="12"/>
  <c r="CE53" i="12"/>
  <c r="BU54" i="12"/>
  <c r="BW54" i="12"/>
  <c r="BY54" i="12"/>
  <c r="CA54" i="12"/>
  <c r="CB54" i="12"/>
  <c r="CC54" i="12"/>
  <c r="CD54" i="12"/>
  <c r="CE54" i="12"/>
  <c r="BU55" i="12"/>
  <c r="BW55" i="12"/>
  <c r="BY55" i="12"/>
  <c r="CA55" i="12"/>
  <c r="CB55" i="12"/>
  <c r="CC55" i="12"/>
  <c r="CD55" i="12"/>
  <c r="CE55" i="12"/>
  <c r="BU56" i="12"/>
  <c r="BW56" i="12"/>
  <c r="BY56" i="12"/>
  <c r="CA56" i="12"/>
  <c r="CB56" i="12"/>
  <c r="CC56" i="12"/>
  <c r="CD56" i="12"/>
  <c r="CE56" i="12"/>
  <c r="BU57" i="12"/>
  <c r="BW57" i="12"/>
  <c r="BY57" i="12"/>
  <c r="CA57" i="12"/>
  <c r="CB57" i="12"/>
  <c r="CC57" i="12"/>
  <c r="CD57" i="12"/>
  <c r="CE57" i="12"/>
  <c r="BU58" i="12"/>
  <c r="BW58" i="12"/>
  <c r="BY58" i="12"/>
  <c r="CA58" i="12"/>
  <c r="CB58" i="12"/>
  <c r="CC58" i="12"/>
  <c r="CD58" i="12"/>
  <c r="CE58" i="12"/>
  <c r="BU59" i="12"/>
  <c r="BW59" i="12"/>
  <c r="BY59" i="12"/>
  <c r="CA59" i="12"/>
  <c r="CB59" i="12"/>
  <c r="CC59" i="12"/>
  <c r="CD59" i="12"/>
  <c r="CE59" i="12"/>
  <c r="BU60" i="12"/>
  <c r="BW60" i="12"/>
  <c r="BY60" i="12"/>
  <c r="CA60" i="12"/>
  <c r="CB60" i="12"/>
  <c r="CC60" i="12"/>
  <c r="CD60" i="12"/>
  <c r="CE60" i="12"/>
  <c r="BU61" i="12"/>
  <c r="BW61" i="12"/>
  <c r="BY61" i="12"/>
  <c r="CA61" i="12"/>
  <c r="CB61" i="12"/>
  <c r="CC61" i="12"/>
  <c r="CD61" i="12"/>
  <c r="CE61" i="12"/>
  <c r="BU62" i="12"/>
  <c r="BW62" i="12"/>
  <c r="BY62" i="12"/>
  <c r="CA62" i="12"/>
  <c r="CB62" i="12"/>
  <c r="CC62" i="12"/>
  <c r="CD62" i="12"/>
  <c r="CE62" i="12"/>
  <c r="BU63" i="12"/>
  <c r="BW63" i="12"/>
  <c r="BY63" i="12"/>
  <c r="CA63" i="12"/>
  <c r="CB63" i="12"/>
  <c r="CC63" i="12"/>
  <c r="CD63" i="12"/>
  <c r="CE63" i="12"/>
  <c r="BU64" i="12"/>
  <c r="BW64" i="12"/>
  <c r="BY64" i="12"/>
  <c r="CA64" i="12"/>
  <c r="CB64" i="12"/>
  <c r="CC64" i="12"/>
  <c r="CD64" i="12"/>
  <c r="CE64" i="12"/>
  <c r="BU65" i="12"/>
  <c r="BW65" i="12"/>
  <c r="BY65" i="12"/>
  <c r="CA65" i="12"/>
  <c r="CB65" i="12"/>
  <c r="CC65" i="12"/>
  <c r="CD65" i="12"/>
  <c r="CE65" i="12"/>
  <c r="BU66" i="12"/>
  <c r="BW66" i="12"/>
  <c r="BY66" i="12"/>
  <c r="CA66" i="12"/>
  <c r="CB66" i="12"/>
  <c r="CC66" i="12"/>
  <c r="CD66" i="12"/>
  <c r="CE66" i="12"/>
  <c r="BU67" i="12"/>
  <c r="BW67" i="12"/>
  <c r="BY67" i="12"/>
  <c r="CA67" i="12"/>
  <c r="CB67" i="12"/>
  <c r="CC67" i="12"/>
  <c r="CD67" i="12"/>
  <c r="CE67" i="12"/>
  <c r="BU68" i="12"/>
  <c r="BW68" i="12"/>
  <c r="BY68" i="12"/>
  <c r="CA68" i="12"/>
  <c r="CB68" i="12"/>
  <c r="CC68" i="12"/>
  <c r="CD68" i="12"/>
  <c r="CE68" i="12"/>
  <c r="BU69" i="12"/>
  <c r="BW69" i="12"/>
  <c r="BY69" i="12"/>
  <c r="CA69" i="12"/>
  <c r="CB69" i="12"/>
  <c r="CC69" i="12"/>
  <c r="CD69" i="12"/>
  <c r="CE69" i="12"/>
  <c r="BU70" i="12"/>
  <c r="BW70" i="12"/>
  <c r="BY70" i="12"/>
  <c r="CA70" i="12"/>
  <c r="CB70" i="12"/>
  <c r="CC70" i="12"/>
  <c r="CD70" i="12"/>
  <c r="CE70" i="12"/>
  <c r="BU71" i="12"/>
  <c r="BW71" i="12"/>
  <c r="BY71" i="12"/>
  <c r="CA71" i="12"/>
  <c r="CB71" i="12"/>
  <c r="CC71" i="12"/>
  <c r="CD71" i="12"/>
  <c r="CE71" i="12"/>
  <c r="BU72" i="12"/>
  <c r="BW72" i="12"/>
  <c r="BY72" i="12"/>
  <c r="CA72" i="12"/>
  <c r="CB72" i="12"/>
  <c r="CC72" i="12"/>
  <c r="CD72" i="12"/>
  <c r="CE72" i="12"/>
  <c r="BU73" i="12"/>
  <c r="BW73" i="12"/>
  <c r="BY73" i="12"/>
  <c r="CA73" i="12"/>
  <c r="CB73" i="12"/>
  <c r="CC73" i="12"/>
  <c r="CD73" i="12"/>
  <c r="CE73" i="12"/>
  <c r="BU74" i="12"/>
  <c r="BW74" i="12"/>
  <c r="BY74" i="12"/>
  <c r="CA74" i="12"/>
  <c r="CB74" i="12"/>
  <c r="CC74" i="12"/>
  <c r="CD74" i="12"/>
  <c r="CE74" i="12"/>
  <c r="BT75" i="12"/>
  <c r="BU75" i="12"/>
  <c r="BV75" i="12"/>
  <c r="BW75" i="12"/>
  <c r="BX75" i="12"/>
  <c r="BY75" i="12"/>
  <c r="BZ75" i="12"/>
  <c r="CA75" i="12"/>
  <c r="CB75" i="12"/>
  <c r="CC75" i="12"/>
  <c r="CD75" i="12"/>
  <c r="CE75" i="12"/>
  <c r="BU76" i="12"/>
  <c r="BW76" i="12"/>
  <c r="BY76" i="12"/>
  <c r="CA76" i="12"/>
  <c r="CB76" i="12"/>
  <c r="CC76" i="12"/>
  <c r="CD76" i="12"/>
  <c r="CE76" i="12"/>
  <c r="BU77" i="12"/>
  <c r="BV77" i="12"/>
  <c r="BW77" i="12"/>
  <c r="BY77" i="12"/>
  <c r="CA77" i="12"/>
  <c r="CB77" i="12"/>
  <c r="CC77" i="12"/>
  <c r="CD77" i="12"/>
  <c r="CE77" i="12"/>
  <c r="BU78" i="12"/>
  <c r="BV78" i="12"/>
  <c r="BW78" i="12"/>
  <c r="BY78" i="12"/>
  <c r="CA78" i="12"/>
  <c r="CB78" i="12"/>
  <c r="CC78" i="12"/>
  <c r="CD78" i="12"/>
  <c r="CE78" i="12"/>
  <c r="BU79" i="12"/>
  <c r="BV79" i="12"/>
  <c r="BW79" i="12"/>
  <c r="BY79" i="12"/>
  <c r="CA79" i="12"/>
  <c r="CB79" i="12"/>
  <c r="CC79" i="12"/>
  <c r="CD79" i="12"/>
  <c r="CE79" i="12"/>
  <c r="BU80" i="12"/>
  <c r="BV80" i="12"/>
  <c r="BW80" i="12"/>
  <c r="BY80" i="12"/>
  <c r="CA80" i="12"/>
  <c r="CB80" i="12"/>
  <c r="CC80" i="12"/>
  <c r="CD80" i="12"/>
  <c r="CE80" i="12"/>
  <c r="BU81" i="12"/>
  <c r="BV81" i="12"/>
  <c r="BW81" i="12"/>
  <c r="BY81" i="12"/>
  <c r="CA81" i="12"/>
  <c r="CB81" i="12"/>
  <c r="CC81" i="12"/>
  <c r="CD81" i="12"/>
  <c r="CE81" i="12"/>
  <c r="BU82" i="12"/>
  <c r="BV82" i="12"/>
  <c r="BW82" i="12"/>
  <c r="BY82" i="12"/>
  <c r="BZ82" i="12"/>
  <c r="CA82" i="12"/>
  <c r="CB82" i="12"/>
  <c r="CC82" i="12"/>
  <c r="CD82" i="12"/>
  <c r="CE82" i="12"/>
  <c r="BU83" i="12"/>
  <c r="BV83" i="12"/>
  <c r="BW83" i="12"/>
  <c r="BY83" i="12"/>
  <c r="BZ83" i="12"/>
  <c r="CA83" i="12"/>
  <c r="CB83" i="12"/>
  <c r="CC83" i="12"/>
  <c r="CD83" i="12"/>
  <c r="CE83" i="12"/>
  <c r="BU84" i="12"/>
  <c r="BV84" i="12"/>
  <c r="BW84" i="12"/>
  <c r="BY84" i="12"/>
  <c r="BZ84" i="12"/>
  <c r="CA84" i="12"/>
  <c r="CB84" i="12"/>
  <c r="CC84" i="12"/>
  <c r="CD84" i="12"/>
  <c r="CE84" i="12"/>
  <c r="BU85" i="12"/>
  <c r="BV85" i="12"/>
  <c r="BW85" i="12"/>
  <c r="BY85" i="12"/>
  <c r="BZ85" i="12"/>
  <c r="CA85" i="12"/>
  <c r="CB85" i="12"/>
  <c r="CC85" i="12"/>
  <c r="CD85" i="12"/>
  <c r="CE85" i="12"/>
  <c r="BU86" i="12"/>
  <c r="BV86" i="12"/>
  <c r="BW86" i="12"/>
  <c r="BY86" i="12"/>
  <c r="BZ86" i="12"/>
  <c r="CA86" i="12"/>
  <c r="CB86" i="12"/>
  <c r="CC86" i="12"/>
  <c r="CD86" i="12"/>
  <c r="CE86" i="12"/>
  <c r="BU87" i="12"/>
  <c r="BV87" i="12"/>
  <c r="BW87" i="12"/>
  <c r="BY87" i="12"/>
  <c r="BZ87" i="12"/>
  <c r="CA87" i="12"/>
  <c r="CB87" i="12"/>
  <c r="CC87" i="12"/>
  <c r="CD87" i="12"/>
  <c r="CE87" i="12"/>
  <c r="BU88" i="12"/>
  <c r="BV88" i="12"/>
  <c r="BW88" i="12"/>
  <c r="BY88" i="12"/>
  <c r="BZ88" i="12"/>
  <c r="CA88" i="12"/>
  <c r="CB88" i="12"/>
  <c r="CC88" i="12"/>
  <c r="CD88" i="12"/>
  <c r="CE88" i="12"/>
  <c r="BU89" i="12"/>
  <c r="BV89" i="12"/>
  <c r="BW89" i="12"/>
  <c r="BY89" i="12"/>
  <c r="BZ89" i="12"/>
  <c r="CA89" i="12"/>
  <c r="CB89" i="12"/>
  <c r="CC89" i="12"/>
  <c r="CD89" i="12"/>
  <c r="CE89" i="12"/>
  <c r="BU90" i="12"/>
  <c r="BV90" i="12"/>
  <c r="BW90" i="12"/>
  <c r="BY90" i="12"/>
  <c r="BZ90" i="12"/>
  <c r="CA90" i="12"/>
  <c r="CB90" i="12"/>
  <c r="CC90" i="12"/>
  <c r="CD90" i="12"/>
  <c r="CE90" i="12"/>
  <c r="BU91" i="12"/>
  <c r="BV91" i="12"/>
  <c r="BW91" i="12"/>
  <c r="BY91" i="12"/>
  <c r="BZ91" i="12"/>
  <c r="CA91" i="12"/>
  <c r="CB91" i="12"/>
  <c r="CC91" i="12"/>
  <c r="CD91" i="12"/>
  <c r="CE91" i="12"/>
  <c r="BU92" i="12"/>
  <c r="BV92" i="12"/>
  <c r="BW92" i="12"/>
  <c r="BY92" i="12"/>
  <c r="BZ92" i="12"/>
  <c r="CA92" i="12"/>
  <c r="CB92" i="12"/>
  <c r="CC92" i="12"/>
  <c r="CD92" i="12"/>
  <c r="CE92" i="12"/>
  <c r="BU93" i="12"/>
  <c r="BV93" i="12"/>
  <c r="BW93" i="12"/>
  <c r="BY93" i="12"/>
  <c r="BZ93" i="12"/>
  <c r="CA93" i="12"/>
  <c r="CB93" i="12"/>
  <c r="CC93" i="12"/>
  <c r="CD93" i="12"/>
  <c r="CE93" i="12"/>
  <c r="BU94" i="12"/>
  <c r="BV94" i="12"/>
  <c r="BW94" i="12"/>
  <c r="BY94" i="12"/>
  <c r="BZ94" i="12"/>
  <c r="CA94" i="12"/>
  <c r="CB94" i="12"/>
  <c r="CC94" i="12"/>
  <c r="CD94" i="12"/>
  <c r="CE94" i="12"/>
  <c r="BT95" i="12"/>
  <c r="BU95" i="12"/>
  <c r="BV95" i="12"/>
  <c r="BW95" i="12"/>
  <c r="BX95" i="12"/>
  <c r="BY95" i="12"/>
  <c r="BZ95" i="12"/>
  <c r="CA95" i="12"/>
  <c r="CB95" i="12"/>
  <c r="CC95" i="12"/>
  <c r="CD95" i="12"/>
  <c r="CE95" i="12"/>
  <c r="BT96" i="12"/>
  <c r="BU96" i="12"/>
  <c r="BV96" i="12"/>
  <c r="BW96" i="12"/>
  <c r="BX96" i="12"/>
  <c r="BY96" i="12"/>
  <c r="BZ96" i="12"/>
  <c r="CA96" i="12"/>
  <c r="CB96" i="12"/>
  <c r="CC96" i="12"/>
  <c r="CD96" i="12"/>
  <c r="CE96" i="12"/>
  <c r="BT97" i="12"/>
  <c r="BU97" i="12"/>
  <c r="BV97" i="12"/>
  <c r="BW97" i="12"/>
  <c r="BX97" i="12"/>
  <c r="BY97" i="12"/>
  <c r="BZ97" i="12"/>
  <c r="CA97" i="12"/>
  <c r="CB97" i="12"/>
  <c r="CC97" i="12"/>
  <c r="CD97" i="12"/>
  <c r="CE97" i="12"/>
  <c r="BT98" i="12"/>
  <c r="BU98" i="12"/>
  <c r="BV98" i="12"/>
  <c r="BW98" i="12"/>
  <c r="BX98" i="12"/>
  <c r="BY98" i="12"/>
  <c r="BZ98" i="12"/>
  <c r="CA98" i="12"/>
  <c r="CB98" i="12"/>
  <c r="CC98" i="12"/>
  <c r="CD98" i="12"/>
  <c r="CE98" i="12"/>
  <c r="BT99" i="12"/>
  <c r="BU99" i="12"/>
  <c r="BV99" i="12"/>
  <c r="BW99" i="12"/>
  <c r="BX99" i="12"/>
  <c r="BY99" i="12"/>
  <c r="BZ99" i="12"/>
  <c r="CA99" i="12"/>
  <c r="CB99" i="12"/>
  <c r="CC99" i="12"/>
  <c r="CD99" i="12"/>
  <c r="CE99" i="12"/>
  <c r="BT100" i="12"/>
  <c r="BU100" i="12"/>
  <c r="BV100" i="12"/>
  <c r="BW100" i="12"/>
  <c r="BX100" i="12"/>
  <c r="BY100" i="12"/>
  <c r="BZ100" i="12"/>
  <c r="CA100" i="12"/>
  <c r="CB100" i="12"/>
  <c r="CC100" i="12"/>
  <c r="CD100" i="12"/>
  <c r="CE100" i="12"/>
  <c r="BT101" i="12"/>
  <c r="BU101" i="12"/>
  <c r="BV101" i="12"/>
  <c r="BW101" i="12"/>
  <c r="BX101" i="12"/>
  <c r="BY101" i="12"/>
  <c r="BZ101" i="12"/>
  <c r="CA101" i="12"/>
  <c r="CB101" i="12"/>
  <c r="CC101" i="12"/>
  <c r="CD101" i="12"/>
  <c r="CE101" i="12"/>
  <c r="BT102" i="12"/>
  <c r="BU102" i="12"/>
  <c r="BV102" i="12"/>
  <c r="BW102" i="12"/>
  <c r="BX102" i="12"/>
  <c r="BY102" i="12"/>
  <c r="BZ102" i="12"/>
  <c r="CA102" i="12"/>
  <c r="CB102" i="12"/>
  <c r="CC102" i="12"/>
  <c r="CD102" i="12"/>
  <c r="CE102" i="12"/>
  <c r="BT103" i="12"/>
  <c r="BU103" i="12"/>
  <c r="BV103" i="12"/>
  <c r="BW103" i="12"/>
  <c r="BX103" i="12"/>
  <c r="BY103" i="12"/>
  <c r="BZ103" i="12"/>
  <c r="CA103" i="12"/>
  <c r="CB103" i="12"/>
  <c r="CC103" i="12"/>
  <c r="CD103" i="12"/>
  <c r="CE103" i="12"/>
  <c r="BT104" i="12"/>
  <c r="BU104" i="12"/>
  <c r="BV104" i="12"/>
  <c r="BW104" i="12"/>
  <c r="BX104" i="12"/>
  <c r="BY104" i="12"/>
  <c r="BZ104" i="12"/>
  <c r="CA104" i="12"/>
  <c r="CB104" i="12"/>
  <c r="CC104" i="12"/>
  <c r="CD104" i="12"/>
  <c r="CE104" i="12"/>
  <c r="BT105" i="12"/>
  <c r="BU105" i="12"/>
  <c r="BV105" i="12"/>
  <c r="BW105" i="12"/>
  <c r="BX105" i="12"/>
  <c r="BY105" i="12"/>
  <c r="BZ105" i="12"/>
  <c r="CA105" i="12"/>
  <c r="CB105" i="12"/>
  <c r="CC105" i="12"/>
  <c r="CD105" i="12"/>
  <c r="CE105" i="12"/>
  <c r="BT106" i="12"/>
  <c r="BU106" i="12"/>
  <c r="BV106" i="12"/>
  <c r="BW106" i="12"/>
  <c r="BX106" i="12"/>
  <c r="BY106" i="12"/>
  <c r="BZ106" i="12"/>
  <c r="CA106" i="12"/>
  <c r="CB106" i="12"/>
  <c r="CC106" i="12"/>
  <c r="CD106" i="12"/>
  <c r="CE106" i="12"/>
  <c r="BT107" i="12"/>
  <c r="BU107" i="12"/>
  <c r="BV107" i="12"/>
  <c r="BW107" i="12"/>
  <c r="BX107" i="12"/>
  <c r="BY107" i="12"/>
  <c r="BZ107" i="12"/>
  <c r="CA107" i="12"/>
  <c r="CB107" i="12"/>
  <c r="CC107" i="12"/>
  <c r="CD107" i="12"/>
  <c r="CE107" i="12"/>
  <c r="BT108" i="12"/>
  <c r="BU108" i="12"/>
  <c r="BV108" i="12"/>
  <c r="BW108" i="12"/>
  <c r="BX108" i="12"/>
  <c r="BY108" i="12"/>
  <c r="BZ108" i="12"/>
  <c r="CA108" i="12"/>
  <c r="CB108" i="12"/>
  <c r="CC108" i="12"/>
  <c r="CD108" i="12"/>
  <c r="CE108" i="12"/>
  <c r="BT109" i="12"/>
  <c r="BU109" i="12"/>
  <c r="BV109" i="12"/>
  <c r="BW109" i="12"/>
  <c r="BX109" i="12"/>
  <c r="BY109" i="12"/>
  <c r="BZ109" i="12"/>
  <c r="CA109" i="12"/>
  <c r="CB109" i="12"/>
  <c r="CC109" i="12"/>
  <c r="CD109" i="12"/>
  <c r="CE109" i="12"/>
  <c r="BT110" i="12"/>
  <c r="BU110" i="12"/>
  <c r="BV110" i="12"/>
  <c r="BW110" i="12"/>
  <c r="BX110" i="12"/>
  <c r="BY110" i="12"/>
  <c r="BZ110" i="12"/>
  <c r="CA110" i="12"/>
  <c r="CB110" i="12"/>
  <c r="CC110" i="12"/>
  <c r="CD110" i="12"/>
  <c r="CE110" i="12"/>
  <c r="BT111" i="12"/>
  <c r="BU111" i="12"/>
  <c r="BV111" i="12"/>
  <c r="BW111" i="12"/>
  <c r="BX111" i="12"/>
  <c r="BY111" i="12"/>
  <c r="BZ111" i="12"/>
  <c r="CA111" i="12"/>
  <c r="CB111" i="12"/>
  <c r="CC111" i="12"/>
  <c r="CD111" i="12"/>
  <c r="CE111" i="12"/>
  <c r="BT112" i="12"/>
  <c r="BU112" i="12"/>
  <c r="BV112" i="12"/>
  <c r="BW112" i="12"/>
  <c r="BX112" i="12"/>
  <c r="BY112" i="12"/>
  <c r="BZ112" i="12"/>
  <c r="CA112" i="12"/>
  <c r="CB112" i="12"/>
  <c r="CC112" i="12"/>
  <c r="CD112" i="12"/>
  <c r="CE112" i="12"/>
  <c r="BT113" i="12"/>
  <c r="BU113" i="12"/>
  <c r="BV113" i="12"/>
  <c r="BW113" i="12"/>
  <c r="BX113" i="12"/>
  <c r="BY113" i="12"/>
  <c r="BZ113" i="12"/>
  <c r="CA113" i="12"/>
  <c r="CB113" i="12"/>
  <c r="CC113" i="12"/>
  <c r="CD113" i="12"/>
  <c r="CE113" i="12"/>
  <c r="BT114" i="12"/>
  <c r="BU114" i="12"/>
  <c r="BV114" i="12"/>
  <c r="BW114" i="12"/>
  <c r="BX114" i="12"/>
  <c r="BY114" i="12"/>
  <c r="BZ114" i="12"/>
  <c r="CA114" i="12"/>
  <c r="CB114" i="12"/>
  <c r="CC114" i="12"/>
  <c r="CD114" i="12"/>
  <c r="CE114" i="12"/>
  <c r="BT115" i="12"/>
  <c r="BU115" i="12"/>
  <c r="BV115" i="12"/>
  <c r="BW115" i="12"/>
  <c r="BX115" i="12"/>
  <c r="BY115" i="12"/>
  <c r="BZ115" i="12"/>
  <c r="CA115" i="12"/>
  <c r="CB115" i="12"/>
  <c r="CC115" i="12"/>
  <c r="CD115" i="12"/>
  <c r="CE115" i="12"/>
  <c r="BT116" i="12"/>
  <c r="BU116" i="12"/>
  <c r="BV116" i="12"/>
  <c r="BW116" i="12"/>
  <c r="BX116" i="12"/>
  <c r="BY116" i="12"/>
  <c r="BZ116" i="12"/>
  <c r="CA116" i="12"/>
  <c r="CB116" i="12"/>
  <c r="CC116" i="12"/>
  <c r="CD116" i="12"/>
  <c r="CE116" i="12"/>
  <c r="BT117" i="12"/>
  <c r="BU117" i="12"/>
  <c r="BV117" i="12"/>
  <c r="BW117" i="12"/>
  <c r="BX117" i="12"/>
  <c r="BY117" i="12"/>
  <c r="BZ117" i="12"/>
  <c r="CA117" i="12"/>
  <c r="CB117" i="12"/>
  <c r="CC117" i="12"/>
  <c r="CD117" i="12"/>
  <c r="CE117" i="12"/>
  <c r="BT118" i="12"/>
  <c r="BU118" i="12"/>
  <c r="BV118" i="12"/>
  <c r="BW118" i="12"/>
  <c r="BX118" i="12"/>
  <c r="BY118" i="12"/>
  <c r="BZ118" i="12"/>
  <c r="CA118" i="12"/>
  <c r="CB118" i="12"/>
  <c r="CC118" i="12"/>
  <c r="CD118" i="12"/>
  <c r="CE118" i="12"/>
  <c r="BT119" i="12"/>
  <c r="BU119" i="12"/>
  <c r="BV119" i="12"/>
  <c r="BW119" i="12"/>
  <c r="BX119" i="12"/>
  <c r="BY119" i="12"/>
  <c r="BZ119" i="12"/>
  <c r="CA119" i="12"/>
  <c r="CB119" i="12"/>
  <c r="CC119" i="12"/>
  <c r="CD119" i="12"/>
  <c r="CE119" i="12"/>
  <c r="BT120" i="12"/>
  <c r="BU120" i="12"/>
  <c r="BV120" i="12"/>
  <c r="BW120" i="12"/>
  <c r="BX120" i="12"/>
  <c r="BY120" i="12"/>
  <c r="BZ120" i="12"/>
  <c r="CA120" i="12"/>
  <c r="CB120" i="12"/>
  <c r="CC120" i="12"/>
  <c r="CD120" i="12"/>
  <c r="CE120" i="12"/>
  <c r="BT121" i="12"/>
  <c r="BU121" i="12"/>
  <c r="BV121" i="12"/>
  <c r="BW121" i="12"/>
  <c r="BX121" i="12"/>
  <c r="BY121" i="12"/>
  <c r="BZ121" i="12"/>
  <c r="CA121" i="12"/>
  <c r="CB121" i="12"/>
  <c r="CC121" i="12"/>
  <c r="CD121" i="12"/>
  <c r="CE121" i="12"/>
  <c r="BT122" i="12"/>
  <c r="BU122" i="12"/>
  <c r="BV122" i="12"/>
  <c r="BW122" i="12"/>
  <c r="BX122" i="12"/>
  <c r="BY122" i="12"/>
  <c r="BZ122" i="12"/>
  <c r="CA122" i="12"/>
  <c r="CB122" i="12"/>
  <c r="CC122" i="12"/>
  <c r="CD122" i="12"/>
  <c r="CE122" i="12"/>
  <c r="BT123" i="12"/>
  <c r="BU123" i="12"/>
  <c r="BV123" i="12"/>
  <c r="BW123" i="12"/>
  <c r="BX123" i="12"/>
  <c r="BY123" i="12"/>
  <c r="BZ123" i="12"/>
  <c r="CA123" i="12"/>
  <c r="CB123" i="12"/>
  <c r="CC123" i="12"/>
  <c r="CD123" i="12"/>
  <c r="CE123" i="12"/>
  <c r="BT124" i="12"/>
  <c r="BU124" i="12"/>
  <c r="BV124" i="12"/>
  <c r="BW124" i="12"/>
  <c r="BX124" i="12"/>
  <c r="BY124" i="12"/>
  <c r="BZ124" i="12"/>
  <c r="CA124" i="12"/>
  <c r="CB124" i="12"/>
  <c r="CC124" i="12"/>
  <c r="CD124" i="12"/>
  <c r="CE124" i="12"/>
  <c r="BT125" i="12"/>
  <c r="BU125" i="12"/>
  <c r="BV125" i="12"/>
  <c r="BW125" i="12"/>
  <c r="BX125" i="12"/>
  <c r="BY125" i="12"/>
  <c r="BZ125" i="12"/>
  <c r="CA125" i="12"/>
  <c r="CB125" i="12"/>
  <c r="CC125" i="12"/>
  <c r="CD125" i="12"/>
  <c r="CE125" i="12"/>
  <c r="BT126" i="12"/>
  <c r="BU126" i="12"/>
  <c r="BV126" i="12"/>
  <c r="BW126" i="12"/>
  <c r="BX126" i="12"/>
  <c r="BY126" i="12"/>
  <c r="BZ126" i="12"/>
  <c r="CA126" i="12"/>
  <c r="CB126" i="12"/>
  <c r="CC126" i="12"/>
  <c r="CD126" i="12"/>
  <c r="CE126" i="12"/>
  <c r="BT127" i="12"/>
  <c r="BU127" i="12"/>
  <c r="BV127" i="12"/>
  <c r="BW127" i="12"/>
  <c r="BX127" i="12"/>
  <c r="BY127" i="12"/>
  <c r="BZ127" i="12"/>
  <c r="CA127" i="12"/>
  <c r="CB127" i="12"/>
  <c r="CC127" i="12"/>
  <c r="CD127" i="12"/>
  <c r="CE127" i="12"/>
  <c r="BT128" i="12"/>
  <c r="BU128" i="12"/>
  <c r="BV128" i="12"/>
  <c r="BW128" i="12"/>
  <c r="BX128" i="12"/>
  <c r="BY128" i="12"/>
  <c r="BZ128" i="12"/>
  <c r="CA128" i="12"/>
  <c r="CB128" i="12"/>
  <c r="CC128" i="12"/>
  <c r="CD128" i="12"/>
  <c r="CE128" i="12"/>
  <c r="BT129" i="12"/>
  <c r="BU129" i="12"/>
  <c r="BV129" i="12"/>
  <c r="BW129" i="12"/>
  <c r="BX129" i="12"/>
  <c r="BY129" i="12"/>
  <c r="BZ129" i="12"/>
  <c r="CA129" i="12"/>
  <c r="CB129" i="12"/>
  <c r="CC129" i="12"/>
  <c r="CD129" i="12"/>
  <c r="CE129" i="12"/>
  <c r="BT130" i="12"/>
  <c r="BU130" i="12"/>
  <c r="BV130" i="12"/>
  <c r="BW130" i="12"/>
  <c r="BX130" i="12"/>
  <c r="BY130" i="12"/>
  <c r="BZ130" i="12"/>
  <c r="CA130" i="12"/>
  <c r="CB130" i="12"/>
  <c r="CC130" i="12"/>
  <c r="CD130" i="12"/>
  <c r="CE130" i="12"/>
  <c r="BT131" i="12"/>
  <c r="BU131" i="12"/>
  <c r="BV131" i="12"/>
  <c r="BW131" i="12"/>
  <c r="BX131" i="12"/>
  <c r="BY131" i="12"/>
  <c r="BZ131" i="12"/>
  <c r="CA131" i="12"/>
  <c r="CB131" i="12"/>
  <c r="CC131" i="12"/>
  <c r="CD131" i="12"/>
  <c r="CE131" i="12"/>
  <c r="BT132" i="12"/>
  <c r="BU132" i="12"/>
  <c r="BV132" i="12"/>
  <c r="BW132" i="12"/>
  <c r="BX132" i="12"/>
  <c r="BY132" i="12"/>
  <c r="BZ132" i="12"/>
  <c r="CA132" i="12"/>
  <c r="CB132" i="12"/>
  <c r="CC132" i="12"/>
  <c r="CD132" i="12"/>
  <c r="CE132" i="12"/>
  <c r="BT133" i="12"/>
  <c r="BU133" i="12"/>
  <c r="BV133" i="12"/>
  <c r="BW133" i="12"/>
  <c r="BX133" i="12"/>
  <c r="BY133" i="12"/>
  <c r="BZ133" i="12"/>
  <c r="CA133" i="12"/>
  <c r="CB133" i="12"/>
  <c r="CC133" i="12"/>
  <c r="CD133" i="12"/>
  <c r="CE133" i="12"/>
  <c r="BT134" i="12"/>
  <c r="BU134" i="12"/>
  <c r="BV134" i="12"/>
  <c r="BW134" i="12"/>
  <c r="BX134" i="12"/>
  <c r="BY134" i="12"/>
  <c r="BZ134" i="12"/>
  <c r="CA134" i="12"/>
  <c r="CB134" i="12"/>
  <c r="CC134" i="12"/>
  <c r="CD134" i="12"/>
  <c r="CE134" i="12"/>
  <c r="BT135" i="12"/>
  <c r="BU135" i="12"/>
  <c r="BV135" i="12"/>
  <c r="BW135" i="12"/>
  <c r="BX135" i="12"/>
  <c r="BY135" i="12"/>
  <c r="BZ135" i="12"/>
  <c r="CA135" i="12"/>
  <c r="CB135" i="12"/>
  <c r="CC135" i="12"/>
  <c r="CD135" i="12"/>
  <c r="CE135" i="12"/>
  <c r="BT136" i="12"/>
  <c r="BU136" i="12"/>
  <c r="BV136" i="12"/>
  <c r="BW136" i="12"/>
  <c r="BX136" i="12"/>
  <c r="BY136" i="12"/>
  <c r="BZ136" i="12"/>
  <c r="CA136" i="12"/>
  <c r="CB136" i="12"/>
  <c r="CC136" i="12"/>
  <c r="CD136" i="12"/>
  <c r="CE136" i="12"/>
  <c r="BT137" i="12"/>
  <c r="BU137" i="12"/>
  <c r="BV137" i="12"/>
  <c r="BW137" i="12"/>
  <c r="BX137" i="12"/>
  <c r="BY137" i="12"/>
  <c r="BZ137" i="12"/>
  <c r="CA137" i="12"/>
  <c r="CB137" i="12"/>
  <c r="CC137" i="12"/>
  <c r="CD137" i="12"/>
  <c r="CE137" i="12"/>
  <c r="BT138" i="12"/>
  <c r="BU138" i="12"/>
  <c r="BV138" i="12"/>
  <c r="BW138" i="12"/>
  <c r="BX138" i="12"/>
  <c r="BY138" i="12"/>
  <c r="BZ138" i="12"/>
  <c r="CA138" i="12"/>
  <c r="CB138" i="12"/>
  <c r="CC138" i="12"/>
  <c r="CD138" i="12"/>
  <c r="CE138" i="12"/>
  <c r="BT139" i="12"/>
  <c r="BU139" i="12"/>
  <c r="BV139" i="12"/>
  <c r="BW139" i="12"/>
  <c r="BX139" i="12"/>
  <c r="BY139" i="12"/>
  <c r="BZ139" i="12"/>
  <c r="CA139" i="12"/>
  <c r="CB139" i="12"/>
  <c r="CC139" i="12"/>
  <c r="CD139" i="12"/>
  <c r="CE139" i="12"/>
  <c r="BT140" i="12"/>
  <c r="BU140" i="12"/>
  <c r="BV140" i="12"/>
  <c r="BW140" i="12"/>
  <c r="BX140" i="12"/>
  <c r="BY140" i="12"/>
  <c r="BZ140" i="12"/>
  <c r="CA140" i="12"/>
  <c r="CB140" i="12"/>
  <c r="CC140" i="12"/>
  <c r="CD140" i="12"/>
  <c r="CE140" i="12"/>
  <c r="BT141" i="12"/>
  <c r="BU141" i="12"/>
  <c r="BV141" i="12"/>
  <c r="BW141" i="12"/>
  <c r="BX141" i="12"/>
  <c r="BY141" i="12"/>
  <c r="BZ141" i="12"/>
  <c r="CA141" i="12"/>
  <c r="CB141" i="12"/>
  <c r="CC141" i="12"/>
  <c r="CD141" i="12"/>
  <c r="CE141" i="12"/>
  <c r="BT142" i="12"/>
  <c r="BU142" i="12"/>
  <c r="BV142" i="12"/>
  <c r="BW142" i="12"/>
  <c r="BX142" i="12"/>
  <c r="BY142" i="12"/>
  <c r="BZ142" i="12"/>
  <c r="CA142" i="12"/>
  <c r="CB142" i="12"/>
  <c r="CC142" i="12"/>
  <c r="CD142" i="12"/>
  <c r="CE142" i="12"/>
  <c r="BT143" i="12"/>
  <c r="BU143" i="12"/>
  <c r="BV143" i="12"/>
  <c r="BW143" i="12"/>
  <c r="BX143" i="12"/>
  <c r="BY143" i="12"/>
  <c r="BZ143" i="12"/>
  <c r="CA143" i="12"/>
  <c r="CB143" i="12"/>
  <c r="CC143" i="12"/>
  <c r="CD143" i="12"/>
  <c r="CE143" i="12"/>
  <c r="BT144" i="12"/>
  <c r="BU144" i="12"/>
  <c r="BV144" i="12"/>
  <c r="BW144" i="12"/>
  <c r="BX144" i="12"/>
  <c r="BY144" i="12"/>
  <c r="BZ144" i="12"/>
  <c r="CA144" i="12"/>
  <c r="CB144" i="12"/>
  <c r="CC144" i="12"/>
  <c r="CD144" i="12"/>
  <c r="CE144" i="12"/>
  <c r="BT145" i="12"/>
  <c r="BU145" i="12"/>
  <c r="BV145" i="12"/>
  <c r="BW145" i="12"/>
  <c r="BX145" i="12"/>
  <c r="BY145" i="12"/>
  <c r="BZ145" i="12"/>
  <c r="CA145" i="12"/>
  <c r="CB145" i="12"/>
  <c r="CC145" i="12"/>
  <c r="CD145" i="12"/>
  <c r="CE145" i="12"/>
  <c r="BT146" i="12"/>
  <c r="BU146" i="12"/>
  <c r="BV146" i="12"/>
  <c r="BW146" i="12"/>
  <c r="BX146" i="12"/>
  <c r="BY146" i="12"/>
  <c r="BZ146" i="12"/>
  <c r="CA146" i="12"/>
  <c r="CB146" i="12"/>
  <c r="CC146" i="12"/>
  <c r="CD146" i="12"/>
  <c r="CE146" i="12"/>
  <c r="BT147" i="12"/>
  <c r="BU147" i="12"/>
  <c r="BV147" i="12"/>
  <c r="BW147" i="12"/>
  <c r="BX147" i="12"/>
  <c r="BY147" i="12"/>
  <c r="BZ147" i="12"/>
  <c r="CA147" i="12"/>
  <c r="CB147" i="12"/>
  <c r="CC147" i="12"/>
  <c r="CD147" i="12"/>
  <c r="CE147" i="12"/>
  <c r="BT148" i="12"/>
  <c r="BU148" i="12"/>
  <c r="BV148" i="12"/>
  <c r="BW148" i="12"/>
  <c r="BX148" i="12"/>
  <c r="BY148" i="12"/>
  <c r="BZ148" i="12"/>
  <c r="CA148" i="12"/>
  <c r="CB148" i="12"/>
  <c r="CC148" i="12"/>
  <c r="CD148" i="12"/>
  <c r="CE148" i="12"/>
  <c r="BT149" i="12"/>
  <c r="BU149" i="12"/>
  <c r="BV149" i="12"/>
  <c r="BW149" i="12"/>
  <c r="BX149" i="12"/>
  <c r="BY149" i="12"/>
  <c r="BZ149" i="12"/>
  <c r="CA149" i="12"/>
  <c r="CB149" i="12"/>
  <c r="CC149" i="12"/>
  <c r="CD149" i="12"/>
  <c r="CE149" i="12"/>
  <c r="BT150" i="12"/>
  <c r="BU150" i="12"/>
  <c r="BV150" i="12"/>
  <c r="BW150" i="12"/>
  <c r="BX150" i="12"/>
  <c r="BY150" i="12"/>
  <c r="BZ150" i="12"/>
  <c r="CA150" i="12"/>
  <c r="CB150" i="12"/>
  <c r="CC150" i="12"/>
  <c r="CD150" i="12"/>
  <c r="CE150" i="12"/>
  <c r="BT151" i="12"/>
  <c r="BU151" i="12"/>
  <c r="BV151" i="12"/>
  <c r="BW151" i="12"/>
  <c r="BX151" i="12"/>
  <c r="BY151" i="12"/>
  <c r="BZ151" i="12"/>
  <c r="CA151" i="12"/>
  <c r="CB151" i="12"/>
  <c r="CC151" i="12"/>
  <c r="CD151" i="12"/>
  <c r="CE151" i="12"/>
  <c r="BT152" i="12"/>
  <c r="BU152" i="12"/>
  <c r="BV152" i="12"/>
  <c r="BW152" i="12"/>
  <c r="BX152" i="12"/>
  <c r="BY152" i="12"/>
  <c r="BZ152" i="12"/>
  <c r="CA152" i="12"/>
  <c r="CB152" i="12"/>
  <c r="CC152" i="12"/>
  <c r="CD152" i="12"/>
  <c r="CE152" i="12"/>
  <c r="BT153" i="12"/>
  <c r="BU153" i="12"/>
  <c r="BV153" i="12"/>
  <c r="BW153" i="12"/>
  <c r="BX153" i="12"/>
  <c r="BY153" i="12"/>
  <c r="BZ153" i="12"/>
  <c r="CA153" i="12"/>
  <c r="CB153" i="12"/>
  <c r="CC153" i="12"/>
  <c r="CD153" i="12"/>
  <c r="CE153" i="12"/>
  <c r="BT154" i="12"/>
  <c r="BU154" i="12"/>
  <c r="BV154" i="12"/>
  <c r="BW154" i="12"/>
  <c r="BX154" i="12"/>
  <c r="BY154" i="12"/>
  <c r="BZ154" i="12"/>
  <c r="CA154" i="12"/>
  <c r="CB154" i="12"/>
  <c r="CC154" i="12"/>
  <c r="CD154" i="12"/>
  <c r="CE154" i="12"/>
  <c r="BT155" i="12"/>
  <c r="BU155" i="12"/>
  <c r="BV155" i="12"/>
  <c r="BW155" i="12"/>
  <c r="BX155" i="12"/>
  <c r="BY155" i="12"/>
  <c r="BZ155" i="12"/>
  <c r="CA155" i="12"/>
  <c r="CB155" i="12"/>
  <c r="CC155" i="12"/>
  <c r="CD155" i="12"/>
  <c r="CE155" i="12"/>
  <c r="BT156" i="12"/>
  <c r="BU156" i="12"/>
  <c r="BV156" i="12"/>
  <c r="BW156" i="12"/>
  <c r="BX156" i="12"/>
  <c r="BY156" i="12"/>
  <c r="BZ156" i="12"/>
  <c r="CA156" i="12"/>
  <c r="CB156" i="12"/>
  <c r="CC156" i="12"/>
  <c r="CD156" i="12"/>
  <c r="CE156" i="12"/>
  <c r="BT157" i="12"/>
  <c r="BU157" i="12"/>
  <c r="BV157" i="12"/>
  <c r="BW157" i="12"/>
  <c r="BX157" i="12"/>
  <c r="BY157" i="12"/>
  <c r="BZ157" i="12"/>
  <c r="CA157" i="12"/>
  <c r="CB157" i="12"/>
  <c r="CC157" i="12"/>
  <c r="CD157" i="12"/>
  <c r="CE157" i="12"/>
  <c r="BT158" i="12"/>
  <c r="BU158" i="12"/>
  <c r="BV158" i="12"/>
  <c r="BW158" i="12"/>
  <c r="BX158" i="12"/>
  <c r="BY158" i="12"/>
  <c r="BZ158" i="12"/>
  <c r="CA158" i="12"/>
  <c r="CB158" i="12"/>
  <c r="CC158" i="12"/>
  <c r="CD158" i="12"/>
  <c r="CE158" i="12"/>
  <c r="BT159" i="12"/>
  <c r="BU159" i="12"/>
  <c r="BV159" i="12"/>
  <c r="BW159" i="12"/>
  <c r="BX159" i="12"/>
  <c r="BY159" i="12"/>
  <c r="BZ159" i="12"/>
  <c r="CA159" i="12"/>
  <c r="CB159" i="12"/>
  <c r="CC159" i="12"/>
  <c r="CD159" i="12"/>
  <c r="CE159" i="12"/>
  <c r="BT160" i="12"/>
  <c r="BU160" i="12"/>
  <c r="BV160" i="12"/>
  <c r="BW160" i="12"/>
  <c r="BX160" i="12"/>
  <c r="BY160" i="12"/>
  <c r="BZ160" i="12"/>
  <c r="CA160" i="12"/>
  <c r="CB160" i="12"/>
  <c r="CC160" i="12"/>
  <c r="CD160" i="12"/>
  <c r="CE160" i="12"/>
  <c r="BT161" i="12"/>
  <c r="BU161" i="12"/>
  <c r="BV161" i="12"/>
  <c r="BW161" i="12"/>
  <c r="BX161" i="12"/>
  <c r="BY161" i="12"/>
  <c r="BZ161" i="12"/>
  <c r="CA161" i="12"/>
  <c r="CB161" i="12"/>
  <c r="CC161" i="12"/>
  <c r="CD161" i="12"/>
  <c r="CE161" i="12"/>
  <c r="BT162" i="12"/>
  <c r="BU162" i="12"/>
  <c r="BV162" i="12"/>
  <c r="BW162" i="12"/>
  <c r="BX162" i="12"/>
  <c r="BY162" i="12"/>
  <c r="BZ162" i="12"/>
  <c r="CA162" i="12"/>
  <c r="CB162" i="12"/>
  <c r="CC162" i="12"/>
  <c r="CD162" i="12"/>
  <c r="CE162" i="12"/>
  <c r="BT163" i="12"/>
  <c r="BU163" i="12"/>
  <c r="BV163" i="12"/>
  <c r="BW163" i="12"/>
  <c r="BX163" i="12"/>
  <c r="BY163" i="12"/>
  <c r="BZ163" i="12"/>
  <c r="CA163" i="12"/>
  <c r="CB163" i="12"/>
  <c r="CC163" i="12"/>
  <c r="CD163" i="12"/>
  <c r="CE163" i="12"/>
  <c r="BT164" i="12"/>
  <c r="BU164" i="12"/>
  <c r="BV164" i="12"/>
  <c r="BW164" i="12"/>
  <c r="BX164" i="12"/>
  <c r="BY164" i="12"/>
  <c r="BZ164" i="12"/>
  <c r="CA164" i="12"/>
  <c r="CB164" i="12"/>
  <c r="CC164" i="12"/>
  <c r="CD164" i="12"/>
  <c r="CE164" i="12"/>
  <c r="BT165" i="12"/>
  <c r="BU165" i="12"/>
  <c r="BV165" i="12"/>
  <c r="BW165" i="12"/>
  <c r="BX165" i="12"/>
  <c r="BY165" i="12"/>
  <c r="BZ165" i="12"/>
  <c r="CA165" i="12"/>
  <c r="CB165" i="12"/>
  <c r="CC165" i="12"/>
  <c r="CD165" i="12"/>
  <c r="CE165" i="12"/>
  <c r="BT166" i="12"/>
  <c r="BU166" i="12"/>
  <c r="BV166" i="12"/>
  <c r="BW166" i="12"/>
  <c r="BX166" i="12"/>
  <c r="BY166" i="12"/>
  <c r="BZ166" i="12"/>
  <c r="CA166" i="12"/>
  <c r="CB166" i="12"/>
  <c r="CC166" i="12"/>
  <c r="CD166" i="12"/>
  <c r="CE166" i="12"/>
  <c r="BT167" i="12"/>
  <c r="BU167" i="12"/>
  <c r="BV167" i="12"/>
  <c r="BW167" i="12"/>
  <c r="BX167" i="12"/>
  <c r="BY167" i="12"/>
  <c r="BZ167" i="12"/>
  <c r="CA167" i="12"/>
  <c r="CB167" i="12"/>
  <c r="CC167" i="12"/>
  <c r="CD167" i="12"/>
  <c r="CE167" i="12"/>
  <c r="BT168" i="12"/>
  <c r="BU168" i="12"/>
  <c r="BV168" i="12"/>
  <c r="BW168" i="12"/>
  <c r="BX168" i="12"/>
  <c r="BY168" i="12"/>
  <c r="BZ168" i="12"/>
  <c r="CA168" i="12"/>
  <c r="CB168" i="12"/>
  <c r="CC168" i="12"/>
  <c r="CD168" i="12"/>
  <c r="CE168" i="12"/>
  <c r="BT169" i="12"/>
  <c r="BU169" i="12"/>
  <c r="BV169" i="12"/>
  <c r="BW169" i="12"/>
  <c r="BX169" i="12"/>
  <c r="BY169" i="12"/>
  <c r="BZ169" i="12"/>
  <c r="CA169" i="12"/>
  <c r="CB169" i="12"/>
  <c r="CC169" i="12"/>
  <c r="CD169" i="12"/>
  <c r="CE169" i="12"/>
  <c r="BT170" i="12"/>
  <c r="BU170" i="12"/>
  <c r="BV170" i="12"/>
  <c r="BW170" i="12"/>
  <c r="BX170" i="12"/>
  <c r="BY170" i="12"/>
  <c r="BZ170" i="12"/>
  <c r="CA170" i="12"/>
  <c r="CB170" i="12"/>
  <c r="CC170" i="12"/>
  <c r="CD170" i="12"/>
  <c r="CE170" i="12"/>
  <c r="BT171" i="12"/>
  <c r="BU171" i="12"/>
  <c r="BV171" i="12"/>
  <c r="BW171" i="12"/>
  <c r="BX171" i="12"/>
  <c r="BY171" i="12"/>
  <c r="BZ171" i="12"/>
  <c r="CA171" i="12"/>
  <c r="CB171" i="12"/>
  <c r="CC171" i="12"/>
  <c r="CD171" i="12"/>
  <c r="CE171" i="12"/>
  <c r="BT172" i="12"/>
  <c r="BU172" i="12"/>
  <c r="BV172" i="12"/>
  <c r="BW172" i="12"/>
  <c r="BX172" i="12"/>
  <c r="BY172" i="12"/>
  <c r="BZ172" i="12"/>
  <c r="CA172" i="12"/>
  <c r="CB172" i="12"/>
  <c r="CC172" i="12"/>
  <c r="CD172" i="12"/>
  <c r="CE172" i="12"/>
  <c r="BT173" i="12"/>
  <c r="BU173" i="12"/>
  <c r="BV173" i="12"/>
  <c r="BW173" i="12"/>
  <c r="BX173" i="12"/>
  <c r="BY173" i="12"/>
  <c r="BZ173" i="12"/>
  <c r="CA173" i="12"/>
  <c r="CB173" i="12"/>
  <c r="CC173" i="12"/>
  <c r="CD173" i="12"/>
  <c r="CE173" i="12"/>
  <c r="BT174" i="12"/>
  <c r="BU174" i="12"/>
  <c r="BV174" i="12"/>
  <c r="BW174" i="12"/>
  <c r="BX174" i="12"/>
  <c r="BY174" i="12"/>
  <c r="BZ174" i="12"/>
  <c r="CA174" i="12"/>
  <c r="CB174" i="12"/>
  <c r="CC174" i="12"/>
  <c r="CD174" i="12"/>
  <c r="CE174" i="12"/>
  <c r="BT175" i="12"/>
  <c r="BU175" i="12"/>
  <c r="BV175" i="12"/>
  <c r="BW175" i="12"/>
  <c r="BX175" i="12"/>
  <c r="BY175" i="12"/>
  <c r="BZ175" i="12"/>
  <c r="CA175" i="12"/>
  <c r="CB175" i="12"/>
  <c r="CC175" i="12"/>
  <c r="CD175" i="12"/>
  <c r="CE175" i="12"/>
  <c r="BT176" i="12"/>
  <c r="BU176" i="12"/>
  <c r="BV176" i="12"/>
  <c r="BW176" i="12"/>
  <c r="BX176" i="12"/>
  <c r="BY176" i="12"/>
  <c r="BZ176" i="12"/>
  <c r="CA176" i="12"/>
  <c r="CB176" i="12"/>
  <c r="CC176" i="12"/>
  <c r="CD176" i="12"/>
  <c r="CE176" i="12"/>
  <c r="BT177" i="12"/>
  <c r="BU177" i="12"/>
  <c r="BV177" i="12"/>
  <c r="BW177" i="12"/>
  <c r="BX177" i="12"/>
  <c r="BY177" i="12"/>
  <c r="BZ177" i="12"/>
  <c r="CA177" i="12"/>
  <c r="CB177" i="12"/>
  <c r="CC177" i="12"/>
  <c r="CD177" i="12"/>
  <c r="CE177" i="12"/>
  <c r="BT178" i="12"/>
  <c r="BU178" i="12"/>
  <c r="BV178" i="12"/>
  <c r="BW178" i="12"/>
  <c r="BX178" i="12"/>
  <c r="BY178" i="12"/>
  <c r="BZ178" i="12"/>
  <c r="CA178" i="12"/>
  <c r="CB178" i="12"/>
  <c r="CC178" i="12"/>
  <c r="CD178" i="12"/>
  <c r="CE178" i="12"/>
  <c r="BT179" i="12"/>
  <c r="BU179" i="12"/>
  <c r="BV179" i="12"/>
  <c r="BW179" i="12"/>
  <c r="BX179" i="12"/>
  <c r="BY179" i="12"/>
  <c r="BZ179" i="12"/>
  <c r="CA179" i="12"/>
  <c r="CB179" i="12"/>
  <c r="CC179" i="12"/>
  <c r="CD179" i="12"/>
  <c r="CE179" i="12"/>
  <c r="BT180" i="12"/>
  <c r="BU180" i="12"/>
  <c r="BV180" i="12"/>
  <c r="BW180" i="12"/>
  <c r="BX180" i="12"/>
  <c r="BY180" i="12"/>
  <c r="BZ180" i="12"/>
  <c r="CA180" i="12"/>
  <c r="CB180" i="12"/>
  <c r="CC180" i="12"/>
  <c r="CD180" i="12"/>
  <c r="CE180" i="12"/>
  <c r="BT181" i="12"/>
  <c r="BU181" i="12"/>
  <c r="BV181" i="12"/>
  <c r="BW181" i="12"/>
  <c r="BX181" i="12"/>
  <c r="BY181" i="12"/>
  <c r="BZ181" i="12"/>
  <c r="CA181" i="12"/>
  <c r="CB181" i="12"/>
  <c r="CC181" i="12"/>
  <c r="CD181" i="12"/>
  <c r="CE181" i="12"/>
  <c r="BT182" i="12"/>
  <c r="BU182" i="12"/>
  <c r="BV182" i="12"/>
  <c r="BW182" i="12"/>
  <c r="BX182" i="12"/>
  <c r="BY182" i="12"/>
  <c r="BZ182" i="12"/>
  <c r="CA182" i="12"/>
  <c r="CB182" i="12"/>
  <c r="CC182" i="12"/>
  <c r="CD182" i="12"/>
  <c r="CE182" i="12"/>
  <c r="BT183" i="12"/>
  <c r="BU183" i="12"/>
  <c r="BV183" i="12"/>
  <c r="BW183" i="12"/>
  <c r="BX183" i="12"/>
  <c r="BY183" i="12"/>
  <c r="BZ183" i="12"/>
  <c r="CA183" i="12"/>
  <c r="CB183" i="12"/>
  <c r="CC183" i="12"/>
  <c r="CD183" i="12"/>
  <c r="CE183" i="12"/>
  <c r="BT184" i="12"/>
  <c r="BU184" i="12"/>
  <c r="BV184" i="12"/>
  <c r="BW184" i="12"/>
  <c r="BX184" i="12"/>
  <c r="BY184" i="12"/>
  <c r="BZ184" i="12"/>
  <c r="CA184" i="12"/>
  <c r="CB184" i="12"/>
  <c r="CC184" i="12"/>
  <c r="CD184" i="12"/>
  <c r="CE184" i="12"/>
  <c r="BT185" i="12"/>
  <c r="BU185" i="12"/>
  <c r="BV185" i="12"/>
  <c r="BW185" i="12"/>
  <c r="BX185" i="12"/>
  <c r="BY185" i="12"/>
  <c r="BZ185" i="12"/>
  <c r="CA185" i="12"/>
  <c r="CB185" i="12"/>
  <c r="CC185" i="12"/>
  <c r="CD185" i="12"/>
  <c r="CE185" i="12"/>
  <c r="BT186" i="12"/>
  <c r="BU186" i="12"/>
  <c r="BV186" i="12"/>
  <c r="BW186" i="12"/>
  <c r="BX186" i="12"/>
  <c r="BY186" i="12"/>
  <c r="BZ186" i="12"/>
  <c r="CA186" i="12"/>
  <c r="CB186" i="12"/>
  <c r="CC186" i="12"/>
  <c r="CD186" i="12"/>
  <c r="CE186" i="12"/>
  <c r="BT187" i="12"/>
  <c r="BU187" i="12"/>
  <c r="BV187" i="12"/>
  <c r="BW187" i="12"/>
  <c r="BX187" i="12"/>
  <c r="BY187" i="12"/>
  <c r="BZ187" i="12"/>
  <c r="CA187" i="12"/>
  <c r="CB187" i="12"/>
  <c r="CC187" i="12"/>
  <c r="CD187" i="12"/>
  <c r="CE187" i="12"/>
  <c r="BT188" i="12"/>
  <c r="BU188" i="12"/>
  <c r="BV188" i="12"/>
  <c r="BW188" i="12"/>
  <c r="BX188" i="12"/>
  <c r="BY188" i="12"/>
  <c r="BZ188" i="12"/>
  <c r="CA188" i="12"/>
  <c r="CB188" i="12"/>
  <c r="CC188" i="12"/>
  <c r="CD188" i="12"/>
  <c r="CE188" i="12"/>
  <c r="BT189" i="12"/>
  <c r="BU189" i="12"/>
  <c r="BV189" i="12"/>
  <c r="BW189" i="12"/>
  <c r="BX189" i="12"/>
  <c r="BY189" i="12"/>
  <c r="BZ189" i="12"/>
  <c r="CA189" i="12"/>
  <c r="CB189" i="12"/>
  <c r="CC189" i="12"/>
  <c r="CD189" i="12"/>
  <c r="CE189" i="12"/>
  <c r="BT190" i="12"/>
  <c r="BU190" i="12"/>
  <c r="BV190" i="12"/>
  <c r="BW190" i="12"/>
  <c r="BX190" i="12"/>
  <c r="BY190" i="12"/>
  <c r="BZ190" i="12"/>
  <c r="CA190" i="12"/>
  <c r="CB190" i="12"/>
  <c r="CC190" i="12"/>
  <c r="CD190" i="12"/>
  <c r="CE190" i="12"/>
  <c r="BT191" i="12"/>
  <c r="BU191" i="12"/>
  <c r="BV191" i="12"/>
  <c r="BW191" i="12"/>
  <c r="BX191" i="12"/>
  <c r="BY191" i="12"/>
  <c r="BZ191" i="12"/>
  <c r="CA191" i="12"/>
  <c r="CB191" i="12"/>
  <c r="CC191" i="12"/>
  <c r="CD191" i="12"/>
  <c r="CE191" i="12"/>
  <c r="BT192" i="12"/>
  <c r="BU192" i="12"/>
  <c r="BV192" i="12"/>
  <c r="BW192" i="12"/>
  <c r="BX192" i="12"/>
  <c r="BY192" i="12"/>
  <c r="BZ192" i="12"/>
  <c r="CA192" i="12"/>
  <c r="CB192" i="12"/>
  <c r="CC192" i="12"/>
  <c r="CD192" i="12"/>
  <c r="CE192" i="12"/>
  <c r="BT193" i="12"/>
  <c r="BU193" i="12"/>
  <c r="BV193" i="12"/>
  <c r="BW193" i="12"/>
  <c r="BX193" i="12"/>
  <c r="BY193" i="12"/>
  <c r="BZ193" i="12"/>
  <c r="CA193" i="12"/>
  <c r="CB193" i="12"/>
  <c r="CC193" i="12"/>
  <c r="CD193" i="12"/>
  <c r="CE193" i="12"/>
  <c r="BT194" i="12"/>
  <c r="BU194" i="12"/>
  <c r="BV194" i="12"/>
  <c r="BW194" i="12"/>
  <c r="BX194" i="12"/>
  <c r="BY194" i="12"/>
  <c r="BZ194" i="12"/>
  <c r="CA194" i="12"/>
  <c r="CB194" i="12"/>
  <c r="CC194" i="12"/>
  <c r="CD194" i="12"/>
  <c r="CE194" i="12"/>
  <c r="BT195" i="12"/>
  <c r="BU195" i="12"/>
  <c r="BV195" i="12"/>
  <c r="BW195" i="12"/>
  <c r="BX195" i="12"/>
  <c r="BY195" i="12"/>
  <c r="BZ195" i="12"/>
  <c r="CA195" i="12"/>
  <c r="CB195" i="12"/>
  <c r="CC195" i="12"/>
  <c r="CD195" i="12"/>
  <c r="CE195" i="12"/>
  <c r="BT196" i="12"/>
  <c r="BU196" i="12"/>
  <c r="BV196" i="12"/>
  <c r="BW196" i="12"/>
  <c r="BX196" i="12"/>
  <c r="BY196" i="12"/>
  <c r="BZ196" i="12"/>
  <c r="CA196" i="12"/>
  <c r="CB196" i="12"/>
  <c r="CC196" i="12"/>
  <c r="CD196" i="12"/>
  <c r="CE196" i="12"/>
  <c r="BT197" i="12"/>
  <c r="BU197" i="12"/>
  <c r="BV197" i="12"/>
  <c r="BW197" i="12"/>
  <c r="BX197" i="12"/>
  <c r="BY197" i="12"/>
  <c r="BZ197" i="12"/>
  <c r="CA197" i="12"/>
  <c r="CB197" i="12"/>
  <c r="CC197" i="12"/>
  <c r="CD197" i="12"/>
  <c r="CE197" i="12"/>
  <c r="BT198" i="12"/>
  <c r="BU198" i="12"/>
  <c r="BV198" i="12"/>
  <c r="BW198" i="12"/>
  <c r="BX198" i="12"/>
  <c r="BY198" i="12"/>
  <c r="BZ198" i="12"/>
  <c r="CA198" i="12"/>
  <c r="CB198" i="12"/>
  <c r="CC198" i="12"/>
  <c r="CD198" i="12"/>
  <c r="CE198" i="12"/>
  <c r="BT199" i="12"/>
  <c r="BU199" i="12"/>
  <c r="BV199" i="12"/>
  <c r="BW199" i="12"/>
  <c r="BX199" i="12"/>
  <c r="BY199" i="12"/>
  <c r="BZ199" i="12"/>
  <c r="CA199" i="12"/>
  <c r="CB199" i="12"/>
  <c r="CC199" i="12"/>
  <c r="CD199" i="12"/>
  <c r="CE199" i="12"/>
  <c r="BT200" i="12"/>
  <c r="BU200" i="12"/>
  <c r="BV200" i="12"/>
  <c r="BW200" i="12"/>
  <c r="BX200" i="12"/>
  <c r="BY200" i="12"/>
  <c r="BZ200" i="12"/>
  <c r="CA200" i="12"/>
  <c r="CB200" i="12"/>
  <c r="CC200" i="12"/>
  <c r="CD200" i="12"/>
  <c r="CE200" i="12"/>
  <c r="BT201" i="12"/>
  <c r="BU201" i="12"/>
  <c r="BV201" i="12"/>
  <c r="BW201" i="12"/>
  <c r="BX201" i="12"/>
  <c r="BY201" i="12"/>
  <c r="BZ201" i="12"/>
  <c r="CA201" i="12"/>
  <c r="CB201" i="12"/>
  <c r="CC201" i="12"/>
  <c r="CD201" i="12"/>
  <c r="CE201" i="12"/>
  <c r="BT202" i="12"/>
  <c r="BU202" i="12"/>
  <c r="BV202" i="12"/>
  <c r="BW202" i="12"/>
  <c r="BX202" i="12"/>
  <c r="BY202" i="12"/>
  <c r="BZ202" i="12"/>
  <c r="CA202" i="12"/>
  <c r="CB202" i="12"/>
  <c r="CC202" i="12"/>
  <c r="CD202" i="12"/>
  <c r="CE202" i="12"/>
  <c r="BT203" i="12"/>
  <c r="BU203" i="12"/>
  <c r="BV203" i="12"/>
  <c r="BW203" i="12"/>
  <c r="BX203" i="12"/>
  <c r="BY203" i="12"/>
  <c r="BZ203" i="12"/>
  <c r="CA203" i="12"/>
  <c r="CB203" i="12"/>
  <c r="CC203" i="12"/>
  <c r="CD203" i="12"/>
  <c r="CE203" i="12"/>
  <c r="BT204" i="12"/>
  <c r="BU204" i="12"/>
  <c r="BV204" i="12"/>
  <c r="BW204" i="12"/>
  <c r="BX204" i="12"/>
  <c r="BY204" i="12"/>
  <c r="BZ204" i="12"/>
  <c r="CA204" i="12"/>
  <c r="CB204" i="12"/>
  <c r="CC204" i="12"/>
  <c r="CD204" i="12"/>
  <c r="CE204" i="12"/>
  <c r="BT205" i="12"/>
  <c r="BU205" i="12"/>
  <c r="BV205" i="12"/>
  <c r="BW205" i="12"/>
  <c r="BX205" i="12"/>
  <c r="BY205" i="12"/>
  <c r="BZ205" i="12"/>
  <c r="CA205" i="12"/>
  <c r="CB205" i="12"/>
  <c r="CC205" i="12"/>
  <c r="CD205" i="12"/>
  <c r="CE205" i="12"/>
  <c r="BT206" i="12"/>
  <c r="BU206" i="12"/>
  <c r="BV206" i="12"/>
  <c r="BW206" i="12"/>
  <c r="BX206" i="12"/>
  <c r="BY206" i="12"/>
  <c r="BZ206" i="12"/>
  <c r="CA206" i="12"/>
  <c r="CB206" i="12"/>
  <c r="CC206" i="12"/>
  <c r="CD206" i="12"/>
  <c r="CE206" i="12"/>
  <c r="BT207" i="12"/>
  <c r="BU207" i="12"/>
  <c r="BV207" i="12"/>
  <c r="BW207" i="12"/>
  <c r="BX207" i="12"/>
  <c r="BY207" i="12"/>
  <c r="BZ207" i="12"/>
  <c r="CA207" i="12"/>
  <c r="CB207" i="12"/>
  <c r="CC207" i="12"/>
  <c r="CD207" i="12"/>
  <c r="CE207" i="12"/>
  <c r="BT208" i="12"/>
  <c r="BU208" i="12"/>
  <c r="BV208" i="12"/>
  <c r="BW208" i="12"/>
  <c r="BX208" i="12"/>
  <c r="BY208" i="12"/>
  <c r="BZ208" i="12"/>
  <c r="CA208" i="12"/>
  <c r="CB208" i="12"/>
  <c r="CC208" i="12"/>
  <c r="CD208" i="12"/>
  <c r="CE208" i="12"/>
  <c r="BT209" i="12"/>
  <c r="BU209" i="12"/>
  <c r="BV209" i="12"/>
  <c r="BW209" i="12"/>
  <c r="BX209" i="12"/>
  <c r="BY209" i="12"/>
  <c r="BZ209" i="12"/>
  <c r="CA209" i="12"/>
  <c r="CB209" i="12"/>
  <c r="CC209" i="12"/>
  <c r="CD209" i="12"/>
  <c r="CE209" i="12"/>
  <c r="BT210" i="12"/>
  <c r="BU210" i="12"/>
  <c r="BV210" i="12"/>
  <c r="BW210" i="12"/>
  <c r="BX210" i="12"/>
  <c r="BY210" i="12"/>
  <c r="BZ210" i="12"/>
  <c r="CA210" i="12"/>
  <c r="CB210" i="12"/>
  <c r="CC210" i="12"/>
  <c r="CD210" i="12"/>
  <c r="CE210" i="12"/>
  <c r="BT211" i="12"/>
  <c r="BU211" i="12"/>
  <c r="BV211" i="12"/>
  <c r="BW211" i="12"/>
  <c r="BX211" i="12"/>
  <c r="BY211" i="12"/>
  <c r="BZ211" i="12"/>
  <c r="CA211" i="12"/>
  <c r="CB211" i="12"/>
  <c r="CC211" i="12"/>
  <c r="CD211" i="12"/>
  <c r="CE211" i="12"/>
  <c r="BT212" i="12"/>
  <c r="BU212" i="12"/>
  <c r="BV212" i="12"/>
  <c r="BW212" i="12"/>
  <c r="BX212" i="12"/>
  <c r="BY212" i="12"/>
  <c r="BZ212" i="12"/>
  <c r="CA212" i="12"/>
  <c r="CB212" i="12"/>
  <c r="CC212" i="12"/>
  <c r="CD212" i="12"/>
  <c r="CE212" i="12"/>
  <c r="BT213" i="12"/>
  <c r="BU213" i="12"/>
  <c r="BV213" i="12"/>
  <c r="BW213" i="12"/>
  <c r="BX213" i="12"/>
  <c r="BY213" i="12"/>
  <c r="BZ213" i="12"/>
  <c r="CA213" i="12"/>
  <c r="CB213" i="12"/>
  <c r="CC213" i="12"/>
  <c r="CD213" i="12"/>
  <c r="CE213" i="12"/>
  <c r="BT214" i="12"/>
  <c r="BU214" i="12"/>
  <c r="BV214" i="12"/>
  <c r="BW214" i="12"/>
  <c r="BX214" i="12"/>
  <c r="BY214" i="12"/>
  <c r="BZ214" i="12"/>
  <c r="CA214" i="12"/>
  <c r="CB214" i="12"/>
  <c r="CC214" i="12"/>
  <c r="CD214" i="12"/>
  <c r="CE214" i="12"/>
  <c r="BT215" i="12"/>
  <c r="BU215" i="12"/>
  <c r="BV215" i="12"/>
  <c r="BW215" i="12"/>
  <c r="BX215" i="12"/>
  <c r="BY215" i="12"/>
  <c r="BZ215" i="12"/>
  <c r="CA215" i="12"/>
  <c r="CB215" i="12"/>
  <c r="CC215" i="12"/>
  <c r="CD215" i="12"/>
  <c r="CE215" i="12"/>
  <c r="BT216" i="12"/>
  <c r="BU216" i="12"/>
  <c r="BV216" i="12"/>
  <c r="BW216" i="12"/>
  <c r="BX216" i="12"/>
  <c r="BY216" i="12"/>
  <c r="BZ216" i="12"/>
  <c r="CA216" i="12"/>
  <c r="CB216" i="12"/>
  <c r="CC216" i="12"/>
  <c r="CD216" i="12"/>
  <c r="CE216" i="12"/>
  <c r="BT217" i="12"/>
  <c r="BU217" i="12"/>
  <c r="BV217" i="12"/>
  <c r="BW217" i="12"/>
  <c r="BX217" i="12"/>
  <c r="BY217" i="12"/>
  <c r="BZ217" i="12"/>
  <c r="CA217" i="12"/>
  <c r="CB217" i="12"/>
  <c r="CC217" i="12"/>
  <c r="CD217" i="12"/>
  <c r="CE217" i="12"/>
  <c r="BT218" i="12"/>
  <c r="BU218" i="12"/>
  <c r="BV218" i="12"/>
  <c r="BW218" i="12"/>
  <c r="BX218" i="12"/>
  <c r="BY218" i="12"/>
  <c r="BZ218" i="12"/>
  <c r="CA218" i="12"/>
  <c r="CB218" i="12"/>
  <c r="CC218" i="12"/>
  <c r="CD218" i="12"/>
  <c r="CE218" i="12"/>
  <c r="BT219" i="12"/>
  <c r="BU219" i="12"/>
  <c r="BV219" i="12"/>
  <c r="BW219" i="12"/>
  <c r="BX219" i="12"/>
  <c r="BY219" i="12"/>
  <c r="BZ219" i="12"/>
  <c r="CA219" i="12"/>
  <c r="CB219" i="12"/>
  <c r="CC219" i="12"/>
  <c r="CD219" i="12"/>
  <c r="CE219" i="12"/>
  <c r="BT220" i="12"/>
  <c r="BU220" i="12"/>
  <c r="BV220" i="12"/>
  <c r="BW220" i="12"/>
  <c r="BX220" i="12"/>
  <c r="BY220" i="12"/>
  <c r="BZ220" i="12"/>
  <c r="CA220" i="12"/>
  <c r="CB220" i="12"/>
  <c r="CC220" i="12"/>
  <c r="CD220" i="12"/>
  <c r="CE220" i="12"/>
  <c r="BT221" i="12"/>
  <c r="BU221" i="12"/>
  <c r="BV221" i="12"/>
  <c r="BW221" i="12"/>
  <c r="BX221" i="12"/>
  <c r="BY221" i="12"/>
  <c r="BZ221" i="12"/>
  <c r="CA221" i="12"/>
  <c r="CB221" i="12"/>
  <c r="CC221" i="12"/>
  <c r="CD221" i="12"/>
  <c r="CE221" i="12"/>
  <c r="BT222" i="12"/>
  <c r="BU222" i="12"/>
  <c r="BV222" i="12"/>
  <c r="BW222" i="12"/>
  <c r="BX222" i="12"/>
  <c r="BY222" i="12"/>
  <c r="BZ222" i="12"/>
  <c r="CA222" i="12"/>
  <c r="CB222" i="12"/>
  <c r="CC222" i="12"/>
  <c r="CD222" i="12"/>
  <c r="CE222" i="12"/>
  <c r="BT223" i="12"/>
  <c r="BU223" i="12"/>
  <c r="BV223" i="12"/>
  <c r="BW223" i="12"/>
  <c r="BX223" i="12"/>
  <c r="BY223" i="12"/>
  <c r="BZ223" i="12"/>
  <c r="CA223" i="12"/>
  <c r="CB223" i="12"/>
  <c r="CC223" i="12"/>
  <c r="CD223" i="12"/>
  <c r="CE223" i="12"/>
  <c r="BT224" i="12"/>
  <c r="BU224" i="12"/>
  <c r="BV224" i="12"/>
  <c r="BW224" i="12"/>
  <c r="BX224" i="12"/>
  <c r="BY224" i="12"/>
  <c r="BZ224" i="12"/>
  <c r="CA224" i="12"/>
  <c r="CB224" i="12"/>
  <c r="CC224" i="12"/>
  <c r="CD224" i="12"/>
  <c r="CE224" i="12"/>
  <c r="BT225" i="12"/>
  <c r="BU225" i="12"/>
  <c r="BV225" i="12"/>
  <c r="BW225" i="12"/>
  <c r="BX225" i="12"/>
  <c r="BY225" i="12"/>
  <c r="BZ225" i="12"/>
  <c r="CA225" i="12"/>
  <c r="CB225" i="12"/>
  <c r="CC225" i="12"/>
  <c r="CD225" i="12"/>
  <c r="CE225" i="12"/>
  <c r="BT226" i="12"/>
  <c r="BU226" i="12"/>
  <c r="BV226" i="12"/>
  <c r="BW226" i="12"/>
  <c r="BX226" i="12"/>
  <c r="BY226" i="12"/>
  <c r="BZ226" i="12"/>
  <c r="CA226" i="12"/>
  <c r="CB226" i="12"/>
  <c r="CC226" i="12"/>
  <c r="CD226" i="12"/>
  <c r="CE226" i="12"/>
  <c r="BT227" i="12"/>
  <c r="BU227" i="12"/>
  <c r="BV227" i="12"/>
  <c r="BW227" i="12"/>
  <c r="BX227" i="12"/>
  <c r="BY227" i="12"/>
  <c r="BZ227" i="12"/>
  <c r="CA227" i="12"/>
  <c r="CB227" i="12"/>
  <c r="CC227" i="12"/>
  <c r="CD227" i="12"/>
  <c r="CE227" i="12"/>
  <c r="BT228" i="12"/>
  <c r="BU228" i="12"/>
  <c r="BV228" i="12"/>
  <c r="BW228" i="12"/>
  <c r="BX228" i="12"/>
  <c r="BY228" i="12"/>
  <c r="BZ228" i="12"/>
  <c r="CA228" i="12"/>
  <c r="CB228" i="12"/>
  <c r="CC228" i="12"/>
  <c r="CD228" i="12"/>
  <c r="CE228" i="12"/>
  <c r="BT229" i="12"/>
  <c r="BU229" i="12"/>
  <c r="BV229" i="12"/>
  <c r="BW229" i="12"/>
  <c r="BX229" i="12"/>
  <c r="BY229" i="12"/>
  <c r="BZ229" i="12"/>
  <c r="CA229" i="12"/>
  <c r="CB229" i="12"/>
  <c r="CC229" i="12"/>
  <c r="CD229" i="12"/>
  <c r="CE229" i="12"/>
  <c r="BT230" i="12"/>
  <c r="BU230" i="12"/>
  <c r="BV230" i="12"/>
  <c r="BW230" i="12"/>
  <c r="BX230" i="12"/>
  <c r="BY230" i="12"/>
  <c r="BZ230" i="12"/>
  <c r="CA230" i="12"/>
  <c r="CB230" i="12"/>
  <c r="CC230" i="12"/>
  <c r="CD230" i="12"/>
  <c r="CE230" i="12"/>
  <c r="BT231" i="12"/>
  <c r="BU231" i="12"/>
  <c r="BV231" i="12"/>
  <c r="BW231" i="12"/>
  <c r="BX231" i="12"/>
  <c r="BY231" i="12"/>
  <c r="BZ231" i="12"/>
  <c r="CA231" i="12"/>
  <c r="CB231" i="12"/>
  <c r="CC231" i="12"/>
  <c r="CD231" i="12"/>
  <c r="CE231" i="12"/>
  <c r="BT232" i="12"/>
  <c r="BU232" i="12"/>
  <c r="BV232" i="12"/>
  <c r="BW232" i="12"/>
  <c r="BX232" i="12"/>
  <c r="BY232" i="12"/>
  <c r="BZ232" i="12"/>
  <c r="CA232" i="12"/>
  <c r="CB232" i="12"/>
  <c r="CC232" i="12"/>
  <c r="CD232" i="12"/>
  <c r="CE232" i="12"/>
  <c r="BT233" i="12"/>
  <c r="BU233" i="12"/>
  <c r="BV233" i="12"/>
  <c r="BW233" i="12"/>
  <c r="BX233" i="12"/>
  <c r="BY233" i="12"/>
  <c r="BZ233" i="12"/>
  <c r="CA233" i="12"/>
  <c r="CB233" i="12"/>
  <c r="CC233" i="12"/>
  <c r="CD233" i="12"/>
  <c r="CE233" i="12"/>
  <c r="BT234" i="12"/>
  <c r="BU234" i="12"/>
  <c r="BV234" i="12"/>
  <c r="BW234" i="12"/>
  <c r="BX234" i="12"/>
  <c r="BY234" i="12"/>
  <c r="BZ234" i="12"/>
  <c r="CA234" i="12"/>
  <c r="CB234" i="12"/>
  <c r="CC234" i="12"/>
  <c r="CD234" i="12"/>
  <c r="CE234" i="12"/>
  <c r="BT235" i="12"/>
  <c r="BU235" i="12"/>
  <c r="BV235" i="12"/>
  <c r="BW235" i="12"/>
  <c r="BX235" i="12"/>
  <c r="BY235" i="12"/>
  <c r="BZ235" i="12"/>
  <c r="CA235" i="12"/>
  <c r="CB235" i="12"/>
  <c r="CC235" i="12"/>
  <c r="CD235" i="12"/>
  <c r="CE235" i="12"/>
  <c r="BT236" i="12"/>
  <c r="BU236" i="12"/>
  <c r="BV236" i="12"/>
  <c r="BW236" i="12"/>
  <c r="BX236" i="12"/>
  <c r="BY236" i="12"/>
  <c r="BZ236" i="12"/>
  <c r="CA236" i="12"/>
  <c r="CB236" i="12"/>
  <c r="CC236" i="12"/>
  <c r="CD236" i="12"/>
  <c r="CE236" i="12"/>
  <c r="BT237" i="12"/>
  <c r="BU237" i="12"/>
  <c r="BV237" i="12"/>
  <c r="BW237" i="12"/>
  <c r="BX237" i="12"/>
  <c r="BY237" i="12"/>
  <c r="BZ237" i="12"/>
  <c r="CA237" i="12"/>
  <c r="CB237" i="12"/>
  <c r="CC237" i="12"/>
  <c r="CD237" i="12"/>
  <c r="CE237" i="12"/>
  <c r="BT238" i="12"/>
  <c r="BU238" i="12"/>
  <c r="BV238" i="12"/>
  <c r="BW238" i="12"/>
  <c r="BX238" i="12"/>
  <c r="BY238" i="12"/>
  <c r="BZ238" i="12"/>
  <c r="CA238" i="12"/>
  <c r="CB238" i="12"/>
  <c r="CC238" i="12"/>
  <c r="CD238" i="12"/>
  <c r="CE238" i="12"/>
  <c r="BT239" i="12"/>
  <c r="BU239" i="12"/>
  <c r="BV239" i="12"/>
  <c r="BW239" i="12"/>
  <c r="BX239" i="12"/>
  <c r="BY239" i="12"/>
  <c r="BZ239" i="12"/>
  <c r="CA239" i="12"/>
  <c r="CB239" i="12"/>
  <c r="CC239" i="12"/>
  <c r="CD239" i="12"/>
  <c r="CE239" i="12"/>
  <c r="BT240" i="12"/>
  <c r="BU240" i="12"/>
  <c r="BV240" i="12"/>
  <c r="BW240" i="12"/>
  <c r="BX240" i="12"/>
  <c r="BY240" i="12"/>
  <c r="BZ240" i="12"/>
  <c r="CA240" i="12"/>
  <c r="CB240" i="12"/>
  <c r="CC240" i="12"/>
  <c r="CD240" i="12"/>
  <c r="CE240" i="12"/>
  <c r="BT241" i="12"/>
  <c r="BU241" i="12"/>
  <c r="BV241" i="12"/>
  <c r="BW241" i="12"/>
  <c r="BX241" i="12"/>
  <c r="BY241" i="12"/>
  <c r="BZ241" i="12"/>
  <c r="CA241" i="12"/>
  <c r="CB241" i="12"/>
  <c r="CC241" i="12"/>
  <c r="CD241" i="12"/>
  <c r="CE241" i="12"/>
  <c r="BT242" i="12"/>
  <c r="BU242" i="12"/>
  <c r="BV242" i="12"/>
  <c r="BW242" i="12"/>
  <c r="BX242" i="12"/>
  <c r="BY242" i="12"/>
  <c r="BZ242" i="12"/>
  <c r="CA242" i="12"/>
  <c r="CB242" i="12"/>
  <c r="CC242" i="12"/>
  <c r="CD242" i="12"/>
  <c r="CE242" i="12"/>
  <c r="BT243" i="12"/>
  <c r="BU243" i="12"/>
  <c r="BV243" i="12"/>
  <c r="BW243" i="12"/>
  <c r="BX243" i="12"/>
  <c r="BY243" i="12"/>
  <c r="BZ243" i="12"/>
  <c r="CA243" i="12"/>
  <c r="CB243" i="12"/>
  <c r="CC243" i="12"/>
  <c r="CD243" i="12"/>
  <c r="CE243" i="12"/>
  <c r="BT244" i="12"/>
  <c r="BU244" i="12"/>
  <c r="BV244" i="12"/>
  <c r="BW244" i="12"/>
  <c r="BX244" i="12"/>
  <c r="BY244" i="12"/>
  <c r="BZ244" i="12"/>
  <c r="CA244" i="12"/>
  <c r="CB244" i="12"/>
  <c r="CC244" i="12"/>
  <c r="CD244" i="12"/>
  <c r="CE244" i="12"/>
  <c r="BT245" i="12"/>
  <c r="BU245" i="12"/>
  <c r="BV245" i="12"/>
  <c r="BW245" i="12"/>
  <c r="BX245" i="12"/>
  <c r="BY245" i="12"/>
  <c r="BZ245" i="12"/>
  <c r="CA245" i="12"/>
  <c r="CB245" i="12"/>
  <c r="CC245" i="12"/>
  <c r="CD245" i="12"/>
  <c r="CE245" i="12"/>
  <c r="BT246" i="12"/>
  <c r="BU246" i="12"/>
  <c r="BV246" i="12"/>
  <c r="BW246" i="12"/>
  <c r="BX246" i="12"/>
  <c r="BY246" i="12"/>
  <c r="BZ246" i="12"/>
  <c r="CA246" i="12"/>
  <c r="CB246" i="12"/>
  <c r="CC246" i="12"/>
  <c r="CD246" i="12"/>
  <c r="CE246" i="12"/>
  <c r="BT247" i="12"/>
  <c r="BU247" i="12"/>
  <c r="BV247" i="12"/>
  <c r="BW247" i="12"/>
  <c r="BX247" i="12"/>
  <c r="BY247" i="12"/>
  <c r="BZ247" i="12"/>
  <c r="CA247" i="12"/>
  <c r="CB247" i="12"/>
  <c r="CC247" i="12"/>
  <c r="CD247" i="12"/>
  <c r="CE247" i="12"/>
  <c r="BT248" i="12"/>
  <c r="BU248" i="12"/>
  <c r="BV248" i="12"/>
  <c r="BW248" i="12"/>
  <c r="BX248" i="12"/>
  <c r="BY248" i="12"/>
  <c r="BZ248" i="12"/>
  <c r="CA248" i="12"/>
  <c r="CB248" i="12"/>
  <c r="CC248" i="12"/>
  <c r="CD248" i="12"/>
  <c r="CE248" i="12"/>
  <c r="BT249" i="12"/>
  <c r="BU249" i="12"/>
  <c r="BV249" i="12"/>
  <c r="BW249" i="12"/>
  <c r="BX249" i="12"/>
  <c r="BY249" i="12"/>
  <c r="BZ249" i="12"/>
  <c r="CA249" i="12"/>
  <c r="CB249" i="12"/>
  <c r="CC249" i="12"/>
  <c r="CD249" i="12"/>
  <c r="CE249" i="12"/>
  <c r="BT250" i="12"/>
  <c r="BU250" i="12"/>
  <c r="BV250" i="12"/>
  <c r="BW250" i="12"/>
  <c r="BX250" i="12"/>
  <c r="BY250" i="12"/>
  <c r="BZ250" i="12"/>
  <c r="CA250" i="12"/>
  <c r="CB250" i="12"/>
  <c r="CC250" i="12"/>
  <c r="CD250" i="12"/>
  <c r="CE250" i="12"/>
  <c r="BT251" i="12"/>
  <c r="BU251" i="12"/>
  <c r="BV251" i="12"/>
  <c r="BW251" i="12"/>
  <c r="BX251" i="12"/>
  <c r="BY251" i="12"/>
  <c r="BZ251" i="12"/>
  <c r="CA251" i="12"/>
  <c r="CB251" i="12"/>
  <c r="CC251" i="12"/>
  <c r="CD251" i="12"/>
  <c r="CE251" i="12"/>
  <c r="BT252" i="12"/>
  <c r="BU252" i="12"/>
  <c r="BV252" i="12"/>
  <c r="BW252" i="12"/>
  <c r="BX252" i="12"/>
  <c r="BY252" i="12"/>
  <c r="BZ252" i="12"/>
  <c r="CA252" i="12"/>
  <c r="CB252" i="12"/>
  <c r="CC252" i="12"/>
  <c r="CD252" i="12"/>
  <c r="CE252" i="12"/>
  <c r="BT253" i="12"/>
  <c r="BU253" i="12"/>
  <c r="BV253" i="12"/>
  <c r="BW253" i="12"/>
  <c r="BX253" i="12"/>
  <c r="BY253" i="12"/>
  <c r="BZ253" i="12"/>
  <c r="CA253" i="12"/>
  <c r="CB253" i="12"/>
  <c r="CC253" i="12"/>
  <c r="CD253" i="12"/>
  <c r="CE253" i="12"/>
  <c r="BT254" i="12"/>
  <c r="BU254" i="12"/>
  <c r="BV254" i="12"/>
  <c r="BW254" i="12"/>
  <c r="BX254" i="12"/>
  <c r="BY254" i="12"/>
  <c r="BZ254" i="12"/>
  <c r="CA254" i="12"/>
  <c r="CB254" i="12"/>
  <c r="CC254" i="12"/>
  <c r="CD254" i="12"/>
  <c r="CE254" i="12"/>
  <c r="BT255" i="12"/>
  <c r="BU255" i="12"/>
  <c r="BV255" i="12"/>
  <c r="BW255" i="12"/>
  <c r="BX255" i="12"/>
  <c r="BY255" i="12"/>
  <c r="BZ255" i="12"/>
  <c r="CA255" i="12"/>
  <c r="CB255" i="12"/>
  <c r="CC255" i="12"/>
  <c r="CD255" i="12"/>
  <c r="CE255" i="12"/>
  <c r="BT256" i="12"/>
  <c r="BU256" i="12"/>
  <c r="BV256" i="12"/>
  <c r="BW256" i="12"/>
  <c r="BX256" i="12"/>
  <c r="BY256" i="12"/>
  <c r="BZ256" i="12"/>
  <c r="CA256" i="12"/>
  <c r="CB256" i="12"/>
  <c r="CC256" i="12"/>
  <c r="CD256" i="12"/>
  <c r="CE256" i="12"/>
  <c r="BT257" i="12"/>
  <c r="BU257" i="12"/>
  <c r="BV257" i="12"/>
  <c r="BW257" i="12"/>
  <c r="BX257" i="12"/>
  <c r="BY257" i="12"/>
  <c r="BZ257" i="12"/>
  <c r="CA257" i="12"/>
  <c r="CB257" i="12"/>
  <c r="CC257" i="12"/>
  <c r="CD257" i="12"/>
  <c r="CE257" i="12"/>
  <c r="BT258" i="12"/>
  <c r="BU258" i="12"/>
  <c r="BV258" i="12"/>
  <c r="BW258" i="12"/>
  <c r="BX258" i="12"/>
  <c r="BY258" i="12"/>
  <c r="BZ258" i="12"/>
  <c r="CA258" i="12"/>
  <c r="CB258" i="12"/>
  <c r="CC258" i="12"/>
  <c r="CD258" i="12"/>
  <c r="CE258" i="12"/>
  <c r="BT259" i="12"/>
  <c r="BU259" i="12"/>
  <c r="BV259" i="12"/>
  <c r="BW259" i="12"/>
  <c r="BX259" i="12"/>
  <c r="BY259" i="12"/>
  <c r="BZ259" i="12"/>
  <c r="CA259" i="12"/>
  <c r="CB259" i="12"/>
  <c r="CC259" i="12"/>
  <c r="CD259" i="12"/>
  <c r="CE259" i="12"/>
  <c r="BT260" i="12"/>
  <c r="BU260" i="12"/>
  <c r="BV260" i="12"/>
  <c r="BW260" i="12"/>
  <c r="BX260" i="12"/>
  <c r="BY260" i="12"/>
  <c r="BZ260" i="12"/>
  <c r="CA260" i="12"/>
  <c r="CB260" i="12"/>
  <c r="CC260" i="12"/>
  <c r="CD260" i="12"/>
  <c r="CE260" i="12"/>
  <c r="BT261" i="12"/>
  <c r="BU261" i="12"/>
  <c r="BV261" i="12"/>
  <c r="BW261" i="12"/>
  <c r="BX261" i="12"/>
  <c r="BY261" i="12"/>
  <c r="BZ261" i="12"/>
  <c r="CA261" i="12"/>
  <c r="CB261" i="12"/>
  <c r="CC261" i="12"/>
  <c r="CD261" i="12"/>
  <c r="CE261" i="12"/>
  <c r="BT262" i="12"/>
  <c r="BU262" i="12"/>
  <c r="BV262" i="12"/>
  <c r="BW262" i="12"/>
  <c r="BX262" i="12"/>
  <c r="BY262" i="12"/>
  <c r="BZ262" i="12"/>
  <c r="CA262" i="12"/>
  <c r="CB262" i="12"/>
  <c r="CC262" i="12"/>
  <c r="CD262" i="12"/>
  <c r="CE262" i="12"/>
  <c r="BT263" i="12"/>
  <c r="BU263" i="12"/>
  <c r="BV263" i="12"/>
  <c r="BW263" i="12"/>
  <c r="BX263" i="12"/>
  <c r="BY263" i="12"/>
  <c r="BZ263" i="12"/>
  <c r="CA263" i="12"/>
  <c r="CB263" i="12"/>
  <c r="CC263" i="12"/>
  <c r="CD263" i="12"/>
  <c r="CE263" i="12"/>
  <c r="BT264" i="12"/>
  <c r="BU264" i="12"/>
  <c r="BV264" i="12"/>
  <c r="BW264" i="12"/>
  <c r="BX264" i="12"/>
  <c r="BY264" i="12"/>
  <c r="BZ264" i="12"/>
  <c r="CA264" i="12"/>
  <c r="CB264" i="12"/>
  <c r="CC264" i="12"/>
  <c r="CD264" i="12"/>
  <c r="CE264" i="12"/>
  <c r="BT265" i="12"/>
  <c r="BU265" i="12"/>
  <c r="BV265" i="12"/>
  <c r="BW265" i="12"/>
  <c r="BX265" i="12"/>
  <c r="BY265" i="12"/>
  <c r="BZ265" i="12"/>
  <c r="CA265" i="12"/>
  <c r="CB265" i="12"/>
  <c r="CC265" i="12"/>
  <c r="CD265" i="12"/>
  <c r="CE265" i="12"/>
  <c r="BT266" i="12"/>
  <c r="BU266" i="12"/>
  <c r="BV266" i="12"/>
  <c r="BW266" i="12"/>
  <c r="BX266" i="12"/>
  <c r="BY266" i="12"/>
  <c r="BZ266" i="12"/>
  <c r="CA266" i="12"/>
  <c r="CB266" i="12"/>
  <c r="CC266" i="12"/>
  <c r="CD266" i="12"/>
  <c r="CE266" i="12"/>
  <c r="BT267" i="12"/>
  <c r="BU267" i="12"/>
  <c r="BV267" i="12"/>
  <c r="BW267" i="12"/>
  <c r="BX267" i="12"/>
  <c r="BY267" i="12"/>
  <c r="BZ267" i="12"/>
  <c r="CA267" i="12"/>
  <c r="CB267" i="12"/>
  <c r="CC267" i="12"/>
  <c r="CD267" i="12"/>
  <c r="CE267" i="12"/>
  <c r="BT268" i="12"/>
  <c r="BU268" i="12"/>
  <c r="BV268" i="12"/>
  <c r="BW268" i="12"/>
  <c r="BX268" i="12"/>
  <c r="BY268" i="12"/>
  <c r="BZ268" i="12"/>
  <c r="CA268" i="12"/>
  <c r="CB268" i="12"/>
  <c r="CC268" i="12"/>
  <c r="CD268" i="12"/>
  <c r="CE268" i="12"/>
  <c r="BT269" i="12"/>
  <c r="BU269" i="12"/>
  <c r="BV269" i="12"/>
  <c r="BW269" i="12"/>
  <c r="BX269" i="12"/>
  <c r="BY269" i="12"/>
  <c r="BZ269" i="12"/>
  <c r="CA269" i="12"/>
  <c r="CB269" i="12"/>
  <c r="CC269" i="12"/>
  <c r="CD269" i="12"/>
  <c r="CE269" i="12"/>
  <c r="BT270" i="12"/>
  <c r="BU270" i="12"/>
  <c r="BV270" i="12"/>
  <c r="BW270" i="12"/>
  <c r="BX270" i="12"/>
  <c r="BY270" i="12"/>
  <c r="BZ270" i="12"/>
  <c r="CA270" i="12"/>
  <c r="CB270" i="12"/>
  <c r="CC270" i="12"/>
  <c r="CD270" i="12"/>
  <c r="CE270" i="12"/>
  <c r="BT271" i="12"/>
  <c r="BU271" i="12"/>
  <c r="BV271" i="12"/>
  <c r="BW271" i="12"/>
  <c r="BX271" i="12"/>
  <c r="BY271" i="12"/>
  <c r="BZ271" i="12"/>
  <c r="CA271" i="12"/>
  <c r="CB271" i="12"/>
  <c r="CC271" i="12"/>
  <c r="CD271" i="12"/>
  <c r="CE271" i="12"/>
  <c r="BT272" i="12"/>
  <c r="BU272" i="12"/>
  <c r="BV272" i="12"/>
  <c r="BW272" i="12"/>
  <c r="BX272" i="12"/>
  <c r="BY272" i="12"/>
  <c r="BZ272" i="12"/>
  <c r="CA272" i="12"/>
  <c r="CB272" i="12"/>
  <c r="CC272" i="12"/>
  <c r="CD272" i="12"/>
  <c r="CE272" i="12"/>
  <c r="BT273" i="12"/>
  <c r="BU273" i="12"/>
  <c r="BV273" i="12"/>
  <c r="BW273" i="12"/>
  <c r="BX273" i="12"/>
  <c r="BY273" i="12"/>
  <c r="BZ273" i="12"/>
  <c r="CA273" i="12"/>
  <c r="CB273" i="12"/>
  <c r="CC273" i="12"/>
  <c r="CD273" i="12"/>
  <c r="CE273" i="12"/>
  <c r="BT274" i="12"/>
  <c r="BU274" i="12"/>
  <c r="BV274" i="12"/>
  <c r="BW274" i="12"/>
  <c r="BX274" i="12"/>
  <c r="BY274" i="12"/>
  <c r="BZ274" i="12"/>
  <c r="CA274" i="12"/>
  <c r="CB274" i="12"/>
  <c r="CC274" i="12"/>
  <c r="CD274" i="12"/>
  <c r="CE274" i="12"/>
  <c r="BT275" i="12"/>
  <c r="BU275" i="12"/>
  <c r="BV275" i="12"/>
  <c r="BW275" i="12"/>
  <c r="BX275" i="12"/>
  <c r="BY275" i="12"/>
  <c r="BZ275" i="12"/>
  <c r="CA275" i="12"/>
  <c r="CB275" i="12"/>
  <c r="CC275" i="12"/>
  <c r="CD275" i="12"/>
  <c r="CE275" i="12"/>
  <c r="BT276" i="12"/>
  <c r="BU276" i="12"/>
  <c r="BV276" i="12"/>
  <c r="BW276" i="12"/>
  <c r="BX276" i="12"/>
  <c r="BY276" i="12"/>
  <c r="BZ276" i="12"/>
  <c r="CA276" i="12"/>
  <c r="CB276" i="12"/>
  <c r="CC276" i="12"/>
  <c r="CD276" i="12"/>
  <c r="CE276" i="12"/>
  <c r="BT277" i="12"/>
  <c r="BU277" i="12"/>
  <c r="BV277" i="12"/>
  <c r="BW277" i="12"/>
  <c r="BX277" i="12"/>
  <c r="BY277" i="12"/>
  <c r="BZ277" i="12"/>
  <c r="CA277" i="12"/>
  <c r="CB277" i="12"/>
  <c r="CC277" i="12"/>
  <c r="CD277" i="12"/>
  <c r="CE277" i="12"/>
  <c r="BT278" i="12"/>
  <c r="BU278" i="12"/>
  <c r="BV278" i="12"/>
  <c r="BW278" i="12"/>
  <c r="BX278" i="12"/>
  <c r="BY278" i="12"/>
  <c r="BZ278" i="12"/>
  <c r="CA278" i="12"/>
  <c r="CB278" i="12"/>
  <c r="CC278" i="12"/>
  <c r="CD278" i="12"/>
  <c r="CE278" i="12"/>
  <c r="BT279" i="12"/>
  <c r="BU279" i="12"/>
  <c r="BV279" i="12"/>
  <c r="BW279" i="12"/>
  <c r="BX279" i="12"/>
  <c r="BY279" i="12"/>
  <c r="BZ279" i="12"/>
  <c r="CA279" i="12"/>
  <c r="CB279" i="12"/>
  <c r="CC279" i="12"/>
  <c r="CD279" i="12"/>
  <c r="CE279" i="12"/>
  <c r="BT280" i="12"/>
  <c r="BU280" i="12"/>
  <c r="BV280" i="12"/>
  <c r="BW280" i="12"/>
  <c r="BX280" i="12"/>
  <c r="BY280" i="12"/>
  <c r="BZ280" i="12"/>
  <c r="CA280" i="12"/>
  <c r="CB280" i="12"/>
  <c r="CC280" i="12"/>
  <c r="CD280" i="12"/>
  <c r="CE280" i="12"/>
  <c r="BT281" i="12"/>
  <c r="BU281" i="12"/>
  <c r="BV281" i="12"/>
  <c r="BW281" i="12"/>
  <c r="BX281" i="12"/>
  <c r="BY281" i="12"/>
  <c r="BZ281" i="12"/>
  <c r="CA281" i="12"/>
  <c r="CB281" i="12"/>
  <c r="CC281" i="12"/>
  <c r="CD281" i="12"/>
  <c r="CE281" i="12"/>
  <c r="BT282" i="12"/>
  <c r="BU282" i="12"/>
  <c r="BV282" i="12"/>
  <c r="BW282" i="12"/>
  <c r="BX282" i="12"/>
  <c r="BY282" i="12"/>
  <c r="BZ282" i="12"/>
  <c r="CA282" i="12"/>
  <c r="CB282" i="12"/>
  <c r="CC282" i="12"/>
  <c r="CD282" i="12"/>
  <c r="CE282" i="12"/>
  <c r="BT283" i="12"/>
  <c r="BU283" i="12"/>
  <c r="BV283" i="12"/>
  <c r="BW283" i="12"/>
  <c r="BX283" i="12"/>
  <c r="BY283" i="12"/>
  <c r="BZ283" i="12"/>
  <c r="CA283" i="12"/>
  <c r="CB283" i="12"/>
  <c r="CC283" i="12"/>
  <c r="CD283" i="12"/>
  <c r="CE283" i="12"/>
  <c r="BT284" i="12"/>
  <c r="BU284" i="12"/>
  <c r="BV284" i="12"/>
  <c r="BW284" i="12"/>
  <c r="BX284" i="12"/>
  <c r="BY284" i="12"/>
  <c r="BZ284" i="12"/>
  <c r="CA284" i="12"/>
  <c r="CB284" i="12"/>
  <c r="CC284" i="12"/>
  <c r="CD284" i="12"/>
  <c r="CE284" i="12"/>
  <c r="BT285" i="12"/>
  <c r="BU285" i="12"/>
  <c r="BV285" i="12"/>
  <c r="BW285" i="12"/>
  <c r="BX285" i="12"/>
  <c r="BY285" i="12"/>
  <c r="BZ285" i="12"/>
  <c r="CA285" i="12"/>
  <c r="CB285" i="12"/>
  <c r="CC285" i="12"/>
  <c r="CD285" i="12"/>
  <c r="CE285" i="12"/>
  <c r="BT286" i="12"/>
  <c r="BU286" i="12"/>
  <c r="BV286" i="12"/>
  <c r="BW286" i="12"/>
  <c r="BX286" i="12"/>
  <c r="BY286" i="12"/>
  <c r="BZ286" i="12"/>
  <c r="CA286" i="12"/>
  <c r="CB286" i="12"/>
  <c r="CC286" i="12"/>
  <c r="CD286" i="12"/>
  <c r="CE286" i="12"/>
  <c r="BT287" i="12"/>
  <c r="BU287" i="12"/>
  <c r="BV287" i="12"/>
  <c r="BW287" i="12"/>
  <c r="BX287" i="12"/>
  <c r="BY287" i="12"/>
  <c r="BZ287" i="12"/>
  <c r="CA287" i="12"/>
  <c r="CB287" i="12"/>
  <c r="CC287" i="12"/>
  <c r="CD287" i="12"/>
  <c r="CE287" i="12"/>
  <c r="BT288" i="12"/>
  <c r="BU288" i="12"/>
  <c r="BV288" i="12"/>
  <c r="BW288" i="12"/>
  <c r="BX288" i="12"/>
  <c r="BY288" i="12"/>
  <c r="BZ288" i="12"/>
  <c r="CA288" i="12"/>
  <c r="CB288" i="12"/>
  <c r="CC288" i="12"/>
  <c r="CD288" i="12"/>
  <c r="CE288" i="12"/>
  <c r="BT289" i="12"/>
  <c r="BU289" i="12"/>
  <c r="BV289" i="12"/>
  <c r="BW289" i="12"/>
  <c r="BX289" i="12"/>
  <c r="BY289" i="12"/>
  <c r="BZ289" i="12"/>
  <c r="CA289" i="12"/>
  <c r="CB289" i="12"/>
  <c r="CC289" i="12"/>
  <c r="CD289" i="12"/>
  <c r="CE289" i="12"/>
  <c r="BT290" i="12"/>
  <c r="BU290" i="12"/>
  <c r="BV290" i="12"/>
  <c r="BW290" i="12"/>
  <c r="BX290" i="12"/>
  <c r="BY290" i="12"/>
  <c r="BZ290" i="12"/>
  <c r="CA290" i="12"/>
  <c r="CB290" i="12"/>
  <c r="CC290" i="12"/>
  <c r="CD290" i="12"/>
  <c r="CE290" i="12"/>
  <c r="BT291" i="12"/>
  <c r="BU291" i="12"/>
  <c r="BV291" i="12"/>
  <c r="BW291" i="12"/>
  <c r="BX291" i="12"/>
  <c r="BY291" i="12"/>
  <c r="BZ291" i="12"/>
  <c r="CA291" i="12"/>
  <c r="CB291" i="12"/>
  <c r="CC291" i="12"/>
  <c r="CD291" i="12"/>
  <c r="CE291" i="12"/>
  <c r="BT292" i="12"/>
  <c r="BU292" i="12"/>
  <c r="BV292" i="12"/>
  <c r="BW292" i="12"/>
  <c r="BX292" i="12"/>
  <c r="BY292" i="12"/>
  <c r="BZ292" i="12"/>
  <c r="CA292" i="12"/>
  <c r="CB292" i="12"/>
  <c r="CC292" i="12"/>
  <c r="CD292" i="12"/>
  <c r="CE292" i="12"/>
  <c r="BT293" i="12"/>
  <c r="BU293" i="12"/>
  <c r="BV293" i="12"/>
  <c r="BW293" i="12"/>
  <c r="BX293" i="12"/>
  <c r="BY293" i="12"/>
  <c r="BZ293" i="12"/>
  <c r="CA293" i="12"/>
  <c r="CB293" i="12"/>
  <c r="CC293" i="12"/>
  <c r="CD293" i="12"/>
  <c r="CE293" i="12"/>
  <c r="BT294" i="12"/>
  <c r="BU294" i="12"/>
  <c r="BV294" i="12"/>
  <c r="BW294" i="12"/>
  <c r="BX294" i="12"/>
  <c r="BY294" i="12"/>
  <c r="BZ294" i="12"/>
  <c r="CA294" i="12"/>
  <c r="CB294" i="12"/>
  <c r="CC294" i="12"/>
  <c r="CD294" i="12"/>
  <c r="CE294" i="12"/>
  <c r="BT295" i="12"/>
  <c r="BU295" i="12"/>
  <c r="BV295" i="12"/>
  <c r="BW295" i="12"/>
  <c r="BX295" i="12"/>
  <c r="BY295" i="12"/>
  <c r="BZ295" i="12"/>
  <c r="CA295" i="12"/>
  <c r="CB295" i="12"/>
  <c r="CC295" i="12"/>
  <c r="CD295" i="12"/>
  <c r="CE295" i="12"/>
  <c r="BT296" i="12"/>
  <c r="BU296" i="12"/>
  <c r="BV296" i="12"/>
  <c r="BW296" i="12"/>
  <c r="BX296" i="12"/>
  <c r="BY296" i="12"/>
  <c r="BZ296" i="12"/>
  <c r="CA296" i="12"/>
  <c r="CB296" i="12"/>
  <c r="CC296" i="12"/>
  <c r="CD296" i="12"/>
  <c r="CE296" i="12"/>
  <c r="BT297" i="12"/>
  <c r="BU297" i="12"/>
  <c r="BV297" i="12"/>
  <c r="BW297" i="12"/>
  <c r="BX297" i="12"/>
  <c r="BY297" i="12"/>
  <c r="BZ297" i="12"/>
  <c r="CA297" i="12"/>
  <c r="CB297" i="12"/>
  <c r="CC297" i="12"/>
  <c r="CD297" i="12"/>
  <c r="CE297" i="12"/>
  <c r="BT298" i="12"/>
  <c r="BU298" i="12"/>
  <c r="BV298" i="12"/>
  <c r="BW298" i="12"/>
  <c r="BX298" i="12"/>
  <c r="BY298" i="12"/>
  <c r="BZ298" i="12"/>
  <c r="CA298" i="12"/>
  <c r="CB298" i="12"/>
  <c r="CC298" i="12"/>
  <c r="CD298" i="12"/>
  <c r="CE298" i="12"/>
  <c r="BT299" i="12"/>
  <c r="BU299" i="12"/>
  <c r="BV299" i="12"/>
  <c r="BW299" i="12"/>
  <c r="BX299" i="12"/>
  <c r="BY299" i="12"/>
  <c r="BZ299" i="12"/>
  <c r="CA299" i="12"/>
  <c r="CB299" i="12"/>
  <c r="CC299" i="12"/>
  <c r="CD299" i="12"/>
  <c r="CE299" i="12"/>
  <c r="BT300" i="12"/>
  <c r="BU300" i="12"/>
  <c r="BV300" i="12"/>
  <c r="BW300" i="12"/>
  <c r="BX300" i="12"/>
  <c r="BY300" i="12"/>
  <c r="BZ300" i="12"/>
  <c r="CA300" i="12"/>
  <c r="CB300" i="12"/>
  <c r="CC300" i="12"/>
  <c r="CD300" i="12"/>
  <c r="CE300" i="12"/>
  <c r="BT301" i="12"/>
  <c r="BU301" i="12"/>
  <c r="BV301" i="12"/>
  <c r="BW301" i="12"/>
  <c r="BX301" i="12"/>
  <c r="BY301" i="12"/>
  <c r="BZ301" i="12"/>
  <c r="CA301" i="12"/>
  <c r="CB301" i="12"/>
  <c r="CC301" i="12"/>
  <c r="CD301" i="12"/>
  <c r="CE301" i="12"/>
  <c r="BT302" i="12"/>
  <c r="BU302" i="12"/>
  <c r="BV302" i="12"/>
  <c r="BW302" i="12"/>
  <c r="BX302" i="12"/>
  <c r="BY302" i="12"/>
  <c r="BZ302" i="12"/>
  <c r="CA302" i="12"/>
  <c r="CB302" i="12"/>
  <c r="CC302" i="12"/>
  <c r="CD302" i="12"/>
  <c r="CE302" i="12"/>
  <c r="BT303" i="12"/>
  <c r="BU303" i="12"/>
  <c r="BV303" i="12"/>
  <c r="BW303" i="12"/>
  <c r="BX303" i="12"/>
  <c r="BY303" i="12"/>
  <c r="BZ303" i="12"/>
  <c r="CA303" i="12"/>
  <c r="CB303" i="12"/>
  <c r="CC303" i="12"/>
  <c r="CD303" i="12"/>
  <c r="CE303" i="12"/>
  <c r="BT304" i="12"/>
  <c r="BU304" i="12"/>
  <c r="BV304" i="12"/>
  <c r="BW304" i="12"/>
  <c r="BX304" i="12"/>
  <c r="BY304" i="12"/>
  <c r="BZ304" i="12"/>
  <c r="CA304" i="12"/>
  <c r="CB304" i="12"/>
  <c r="CC304" i="12"/>
  <c r="CD304" i="12"/>
  <c r="CE304" i="12"/>
  <c r="BT305" i="12"/>
  <c r="BU305" i="12"/>
  <c r="BV305" i="12"/>
  <c r="BW305" i="12"/>
  <c r="BX305" i="12"/>
  <c r="BY305" i="12"/>
  <c r="BZ305" i="12"/>
  <c r="CA305" i="12"/>
  <c r="CB305" i="12"/>
  <c r="CC305" i="12"/>
  <c r="CD305" i="12"/>
  <c r="CE305" i="12"/>
  <c r="BT306" i="12"/>
  <c r="BU306" i="12"/>
  <c r="BV306" i="12"/>
  <c r="BW306" i="12"/>
  <c r="BX306" i="12"/>
  <c r="BY306" i="12"/>
  <c r="BZ306" i="12"/>
  <c r="CA306" i="12"/>
  <c r="CB306" i="12"/>
  <c r="CC306" i="12"/>
  <c r="CD306" i="12"/>
  <c r="CE306" i="12"/>
  <c r="BT307" i="12"/>
  <c r="BU307" i="12"/>
  <c r="BV307" i="12"/>
  <c r="BW307" i="12"/>
  <c r="BX307" i="12"/>
  <c r="BY307" i="12"/>
  <c r="BZ307" i="12"/>
  <c r="CA307" i="12"/>
  <c r="CB307" i="12"/>
  <c r="CC307" i="12"/>
  <c r="CD307" i="12"/>
  <c r="CE307" i="12"/>
  <c r="BT308" i="12"/>
  <c r="BU308" i="12"/>
  <c r="BV308" i="12"/>
  <c r="BW308" i="12"/>
  <c r="BX308" i="12"/>
  <c r="BY308" i="12"/>
  <c r="BZ308" i="12"/>
  <c r="CA308" i="12"/>
  <c r="CB308" i="12"/>
  <c r="CC308" i="12"/>
  <c r="CD308" i="12"/>
  <c r="CE308" i="12"/>
  <c r="BT309" i="12"/>
  <c r="BU309" i="12"/>
  <c r="BV309" i="12"/>
  <c r="BW309" i="12"/>
  <c r="BX309" i="12"/>
  <c r="BY309" i="12"/>
  <c r="BZ309" i="12"/>
  <c r="CA309" i="12"/>
  <c r="CB309" i="12"/>
  <c r="CC309" i="12"/>
  <c r="CD309" i="12"/>
  <c r="CE309" i="12"/>
  <c r="BT310" i="12"/>
  <c r="BU310" i="12"/>
  <c r="BV310" i="12"/>
  <c r="BW310" i="12"/>
  <c r="BX310" i="12"/>
  <c r="BY310" i="12"/>
  <c r="BZ310" i="12"/>
  <c r="CA310" i="12"/>
  <c r="CB310" i="12"/>
  <c r="CC310" i="12"/>
  <c r="CD310" i="12"/>
  <c r="CE310" i="12"/>
  <c r="BT311" i="12"/>
  <c r="BU311" i="12"/>
  <c r="BV311" i="12"/>
  <c r="BW311" i="12"/>
  <c r="BX311" i="12"/>
  <c r="BY311" i="12"/>
  <c r="BZ311" i="12"/>
  <c r="CA311" i="12"/>
  <c r="CB311" i="12"/>
  <c r="CC311" i="12"/>
  <c r="CD311" i="12"/>
  <c r="CE311" i="12"/>
  <c r="BT312" i="12"/>
  <c r="BU312" i="12"/>
  <c r="BV312" i="12"/>
  <c r="BW312" i="12"/>
  <c r="BX312" i="12"/>
  <c r="BY312" i="12"/>
  <c r="BZ312" i="12"/>
  <c r="CA312" i="12"/>
  <c r="CB312" i="12"/>
  <c r="CC312" i="12"/>
  <c r="CD312" i="12"/>
  <c r="CE312" i="12"/>
  <c r="BT313" i="12"/>
  <c r="BU313" i="12"/>
  <c r="BV313" i="12"/>
  <c r="BW313" i="12"/>
  <c r="BX313" i="12"/>
  <c r="BY313" i="12"/>
  <c r="BZ313" i="12"/>
  <c r="CA313" i="12"/>
  <c r="CB313" i="12"/>
  <c r="CC313" i="12"/>
  <c r="CD313" i="12"/>
  <c r="CE313" i="12"/>
  <c r="BT314" i="12"/>
  <c r="BU314" i="12"/>
  <c r="BV314" i="12"/>
  <c r="BW314" i="12"/>
  <c r="BX314" i="12"/>
  <c r="BY314" i="12"/>
  <c r="BZ314" i="12"/>
  <c r="CA314" i="12"/>
  <c r="CB314" i="12"/>
  <c r="CC314" i="12"/>
  <c r="CD314" i="12"/>
  <c r="CE314" i="12"/>
  <c r="BT315" i="12"/>
  <c r="BU315" i="12"/>
  <c r="BV315" i="12"/>
  <c r="BW315" i="12"/>
  <c r="BX315" i="12"/>
  <c r="BY315" i="12"/>
  <c r="BZ315" i="12"/>
  <c r="CA315" i="12"/>
  <c r="CB315" i="12"/>
  <c r="CC315" i="12"/>
  <c r="CD315" i="12"/>
  <c r="CE315" i="12"/>
  <c r="BT316" i="12"/>
  <c r="BU316" i="12"/>
  <c r="BV316" i="12"/>
  <c r="BW316" i="12"/>
  <c r="BX316" i="12"/>
  <c r="BY316" i="12"/>
  <c r="BZ316" i="12"/>
  <c r="CA316" i="12"/>
  <c r="CB316" i="12"/>
  <c r="CC316" i="12"/>
  <c r="CD316" i="12"/>
  <c r="CE316" i="12"/>
  <c r="BT317" i="12"/>
  <c r="BU317" i="12"/>
  <c r="BV317" i="12"/>
  <c r="BW317" i="12"/>
  <c r="BX317" i="12"/>
  <c r="BY317" i="12"/>
  <c r="BZ317" i="12"/>
  <c r="CA317" i="12"/>
  <c r="CB317" i="12"/>
  <c r="CC317" i="12"/>
  <c r="CD317" i="12"/>
  <c r="CE317" i="12"/>
  <c r="BT318" i="12"/>
  <c r="BU318" i="12"/>
  <c r="BV318" i="12"/>
  <c r="BW318" i="12"/>
  <c r="BX318" i="12"/>
  <c r="BY318" i="12"/>
  <c r="BZ318" i="12"/>
  <c r="CA318" i="12"/>
  <c r="CB318" i="12"/>
  <c r="CC318" i="12"/>
  <c r="CD318" i="12"/>
  <c r="CE318" i="12"/>
  <c r="BT319" i="12"/>
  <c r="BU319" i="12"/>
  <c r="BV319" i="12"/>
  <c r="BW319" i="12"/>
  <c r="BX319" i="12"/>
  <c r="BY319" i="12"/>
  <c r="BZ319" i="12"/>
  <c r="CA319" i="12"/>
  <c r="CB319" i="12"/>
  <c r="CC319" i="12"/>
  <c r="CD319" i="12"/>
  <c r="CE319" i="12"/>
  <c r="BT320" i="12"/>
  <c r="BU320" i="12"/>
  <c r="BV320" i="12"/>
  <c r="BW320" i="12"/>
  <c r="BX320" i="12"/>
  <c r="BY320" i="12"/>
  <c r="BZ320" i="12"/>
  <c r="CA320" i="12"/>
  <c r="CB320" i="12"/>
  <c r="CC320" i="12"/>
  <c r="CD320" i="12"/>
  <c r="CE320" i="12"/>
  <c r="BT321" i="12"/>
  <c r="BU321" i="12"/>
  <c r="BV321" i="12"/>
  <c r="BW321" i="12"/>
  <c r="BX321" i="12"/>
  <c r="BY321" i="12"/>
  <c r="BZ321" i="12"/>
  <c r="CA321" i="12"/>
  <c r="CB321" i="12"/>
  <c r="CC321" i="12"/>
  <c r="CD321" i="12"/>
  <c r="CE321" i="12"/>
  <c r="BT322" i="12"/>
  <c r="BU322" i="12"/>
  <c r="BV322" i="12"/>
  <c r="BW322" i="12"/>
  <c r="BX322" i="12"/>
  <c r="BY322" i="12"/>
  <c r="BZ322" i="12"/>
  <c r="CA322" i="12"/>
  <c r="CB322" i="12"/>
  <c r="CC322" i="12"/>
  <c r="CD322" i="12"/>
  <c r="CE322" i="12"/>
  <c r="BT323" i="12"/>
  <c r="BU323" i="12"/>
  <c r="BV323" i="12"/>
  <c r="BW323" i="12"/>
  <c r="BX323" i="12"/>
  <c r="BY323" i="12"/>
  <c r="BZ323" i="12"/>
  <c r="CA323" i="12"/>
  <c r="CB323" i="12"/>
  <c r="CC323" i="12"/>
  <c r="CD323" i="12"/>
  <c r="CE323" i="12"/>
  <c r="BT324" i="12"/>
  <c r="BU324" i="12"/>
  <c r="BV324" i="12"/>
  <c r="BW324" i="12"/>
  <c r="BX324" i="12"/>
  <c r="BY324" i="12"/>
  <c r="BZ324" i="12"/>
  <c r="CA324" i="12"/>
  <c r="CB324" i="12"/>
  <c r="CC324" i="12"/>
  <c r="CD324" i="12"/>
  <c r="CE324" i="12"/>
  <c r="BT325" i="12"/>
  <c r="BU325" i="12"/>
  <c r="BV325" i="12"/>
  <c r="BW325" i="12"/>
  <c r="BX325" i="12"/>
  <c r="BY325" i="12"/>
  <c r="BZ325" i="12"/>
  <c r="CA325" i="12"/>
  <c r="CB325" i="12"/>
  <c r="CC325" i="12"/>
  <c r="CD325" i="12"/>
  <c r="CE325" i="12"/>
  <c r="BT326" i="12"/>
  <c r="BU326" i="12"/>
  <c r="BV326" i="12"/>
  <c r="BW326" i="12"/>
  <c r="BX326" i="12"/>
  <c r="BY326" i="12"/>
  <c r="BZ326" i="12"/>
  <c r="CA326" i="12"/>
  <c r="CB326" i="12"/>
  <c r="CC326" i="12"/>
  <c r="CD326" i="12"/>
  <c r="CE326" i="12"/>
  <c r="BT327" i="12"/>
  <c r="BU327" i="12"/>
  <c r="BV327" i="12"/>
  <c r="BW327" i="12"/>
  <c r="BX327" i="12"/>
  <c r="BY327" i="12"/>
  <c r="BZ327" i="12"/>
  <c r="CA327" i="12"/>
  <c r="CB327" i="12"/>
  <c r="CC327" i="12"/>
  <c r="CD327" i="12"/>
  <c r="CE327" i="12"/>
  <c r="BT328" i="12"/>
  <c r="BU328" i="12"/>
  <c r="BV328" i="12"/>
  <c r="BW328" i="12"/>
  <c r="BX328" i="12"/>
  <c r="BY328" i="12"/>
  <c r="BZ328" i="12"/>
  <c r="CA328" i="12"/>
  <c r="CB328" i="12"/>
  <c r="CC328" i="12"/>
  <c r="CD328" i="12"/>
  <c r="CE328" i="12"/>
  <c r="BT329" i="12"/>
  <c r="BU329" i="12"/>
  <c r="BV329" i="12"/>
  <c r="BW329" i="12"/>
  <c r="BX329" i="12"/>
  <c r="BY329" i="12"/>
  <c r="BZ329" i="12"/>
  <c r="CA329" i="12"/>
  <c r="CB329" i="12"/>
  <c r="CC329" i="12"/>
  <c r="CD329" i="12"/>
  <c r="CE329" i="12"/>
  <c r="BS32" i="12"/>
  <c r="BS33" i="12"/>
  <c r="BS34" i="12"/>
  <c r="BS35" i="12"/>
  <c r="BS36" i="12"/>
  <c r="BS37" i="12"/>
  <c r="BS38" i="12"/>
  <c r="BS39" i="12"/>
  <c r="BS40" i="12"/>
  <c r="BS41" i="12"/>
  <c r="BS42" i="12"/>
  <c r="BS43" i="12"/>
  <c r="BS44" i="12"/>
  <c r="BS45" i="12"/>
  <c r="BS46" i="12"/>
  <c r="BS47" i="12"/>
  <c r="BS48" i="12"/>
  <c r="BS49" i="12"/>
  <c r="BS50" i="12"/>
  <c r="BS51" i="12"/>
  <c r="BS52" i="12"/>
  <c r="BS53" i="12"/>
  <c r="BS54" i="12"/>
  <c r="BS55" i="12"/>
  <c r="BS56" i="12"/>
  <c r="BS57" i="12"/>
  <c r="BS58" i="12"/>
  <c r="BS59" i="12"/>
  <c r="BS60" i="12"/>
  <c r="BS61" i="12"/>
  <c r="BS62" i="12"/>
  <c r="BS63" i="12"/>
  <c r="BS64" i="12"/>
  <c r="BS65" i="12"/>
  <c r="BS66" i="12"/>
  <c r="BS67" i="12"/>
  <c r="BS68" i="12"/>
  <c r="BS69" i="12"/>
  <c r="BS70" i="12"/>
  <c r="BS71" i="12"/>
  <c r="BS72" i="12"/>
  <c r="BS73" i="12"/>
  <c r="BS74" i="12"/>
  <c r="BS75" i="12"/>
  <c r="BS76" i="12"/>
  <c r="BS77" i="12"/>
  <c r="BS78" i="12"/>
  <c r="BS79" i="12"/>
  <c r="BS80" i="12"/>
  <c r="BS81" i="12"/>
  <c r="BS82" i="12"/>
  <c r="BS83" i="12"/>
  <c r="BS84" i="12"/>
  <c r="BS85" i="12"/>
  <c r="BS86" i="12"/>
  <c r="BS87" i="12"/>
  <c r="BS88" i="12"/>
  <c r="BS89" i="12"/>
  <c r="BS90" i="12"/>
  <c r="BS91" i="12"/>
  <c r="BS92" i="12"/>
  <c r="BS93" i="12"/>
  <c r="BS94" i="12"/>
  <c r="BS95" i="12"/>
  <c r="BS96" i="12"/>
  <c r="BS97" i="12"/>
  <c r="BS98" i="12"/>
  <c r="BS99" i="12"/>
  <c r="BS100" i="12"/>
  <c r="BS101" i="12"/>
  <c r="BS102" i="12"/>
  <c r="BS103" i="12"/>
  <c r="BS104" i="12"/>
  <c r="BS105" i="12"/>
  <c r="BS106" i="12"/>
  <c r="BS107" i="12"/>
  <c r="BS108" i="12"/>
  <c r="BS109" i="12"/>
  <c r="BS110" i="12"/>
  <c r="BS111" i="12"/>
  <c r="BS112" i="12"/>
  <c r="BS113" i="12"/>
  <c r="BS114" i="12"/>
  <c r="BS115" i="12"/>
  <c r="BS116" i="12"/>
  <c r="BS117" i="12"/>
  <c r="BS118" i="12"/>
  <c r="BS119" i="12"/>
  <c r="BS120" i="12"/>
  <c r="BS121" i="12"/>
  <c r="BS122" i="12"/>
  <c r="BS123" i="12"/>
  <c r="BS124" i="12"/>
  <c r="BS125" i="12"/>
  <c r="BS126" i="12"/>
  <c r="BS127" i="12"/>
  <c r="BS128" i="12"/>
  <c r="BS129" i="12"/>
  <c r="BS130" i="12"/>
  <c r="BS131" i="12"/>
  <c r="BS132" i="12"/>
  <c r="BS133" i="12"/>
  <c r="BS134" i="12"/>
  <c r="BS135" i="12"/>
  <c r="BS136" i="12"/>
  <c r="BS137" i="12"/>
  <c r="BS138" i="12"/>
  <c r="BS139" i="12"/>
  <c r="BS140" i="12"/>
  <c r="BS141" i="12"/>
  <c r="BS142" i="12"/>
  <c r="BS143" i="12"/>
  <c r="BS144" i="12"/>
  <c r="BS145" i="12"/>
  <c r="BS146" i="12"/>
  <c r="BS147" i="12"/>
  <c r="BS148" i="12"/>
  <c r="BS149" i="12"/>
  <c r="BS150" i="12"/>
  <c r="BS151" i="12"/>
  <c r="BS152" i="12"/>
  <c r="BS153" i="12"/>
  <c r="BS154" i="12"/>
  <c r="BS155" i="12"/>
  <c r="BS156" i="12"/>
  <c r="BS157" i="12"/>
  <c r="BS158" i="12"/>
  <c r="BS159" i="12"/>
  <c r="BS160" i="12"/>
  <c r="BS161" i="12"/>
  <c r="BS162" i="12"/>
  <c r="BS163" i="12"/>
  <c r="BS164" i="12"/>
  <c r="BS165" i="12"/>
  <c r="BS166" i="12"/>
  <c r="BS167" i="12"/>
  <c r="BS168" i="12"/>
  <c r="BS169" i="12"/>
  <c r="BS170" i="12"/>
  <c r="BS171" i="12"/>
  <c r="BS172" i="12"/>
  <c r="BS173" i="12"/>
  <c r="BS174" i="12"/>
  <c r="BS175" i="12"/>
  <c r="BS176" i="12"/>
  <c r="BS177" i="12"/>
  <c r="BS178" i="12"/>
  <c r="BS179" i="12"/>
  <c r="BS180" i="12"/>
  <c r="BS181" i="12"/>
  <c r="BS182" i="12"/>
  <c r="BS183" i="12"/>
  <c r="BS184" i="12"/>
  <c r="BS185" i="12"/>
  <c r="BS186" i="12"/>
  <c r="BS187" i="12"/>
  <c r="BS188" i="12"/>
  <c r="BS189" i="12"/>
  <c r="BS190" i="12"/>
  <c r="BS191" i="12"/>
  <c r="BS192" i="12"/>
  <c r="BS193" i="12"/>
  <c r="BS194" i="12"/>
  <c r="BS195" i="12"/>
  <c r="BS196" i="12"/>
  <c r="BS197" i="12"/>
  <c r="BS198" i="12"/>
  <c r="BS199" i="12"/>
  <c r="BS200" i="12"/>
  <c r="BS201" i="12"/>
  <c r="BS202" i="12"/>
  <c r="BS203" i="12"/>
  <c r="BS204" i="12"/>
  <c r="BS205" i="12"/>
  <c r="BS206" i="12"/>
  <c r="BS207" i="12"/>
  <c r="BS208" i="12"/>
  <c r="BS209" i="12"/>
  <c r="BS210" i="12"/>
  <c r="BS211" i="12"/>
  <c r="BS212" i="12"/>
  <c r="BS213" i="12"/>
  <c r="BS214" i="12"/>
  <c r="BS215" i="12"/>
  <c r="BS216" i="12"/>
  <c r="BS217" i="12"/>
  <c r="BS218" i="12"/>
  <c r="BS219" i="12"/>
  <c r="BS220" i="12"/>
  <c r="BS221" i="12"/>
  <c r="BS222" i="12"/>
  <c r="BS223" i="12"/>
  <c r="BS224" i="12"/>
  <c r="BS225" i="12"/>
  <c r="BS226" i="12"/>
  <c r="BS227" i="12"/>
  <c r="BS228" i="12"/>
  <c r="BS229" i="12"/>
  <c r="BS230" i="12"/>
  <c r="BS231" i="12"/>
  <c r="BS232" i="12"/>
  <c r="BS233" i="12"/>
  <c r="BS234" i="12"/>
  <c r="BS235" i="12"/>
  <c r="BS236" i="12"/>
  <c r="BS237" i="12"/>
  <c r="BS238" i="12"/>
  <c r="BS239" i="12"/>
  <c r="BS240" i="12"/>
  <c r="BS241" i="12"/>
  <c r="BS242" i="12"/>
  <c r="BS243" i="12"/>
  <c r="BS244" i="12"/>
  <c r="BS245" i="12"/>
  <c r="BS246" i="12"/>
  <c r="BS247" i="12"/>
  <c r="BS248" i="12"/>
  <c r="BS249" i="12"/>
  <c r="BS250" i="12"/>
  <c r="BS251" i="12"/>
  <c r="BS252" i="12"/>
  <c r="BS253" i="12"/>
  <c r="BS254" i="12"/>
  <c r="BS255" i="12"/>
  <c r="BS256" i="12"/>
  <c r="BS257" i="12"/>
  <c r="BS258" i="12"/>
  <c r="BS259" i="12"/>
  <c r="BS260" i="12"/>
  <c r="BS261" i="12"/>
  <c r="BS262" i="12"/>
  <c r="BS263" i="12"/>
  <c r="BS264" i="12"/>
  <c r="BS265" i="12"/>
  <c r="BS266" i="12"/>
  <c r="BS267" i="12"/>
  <c r="BS268" i="12"/>
  <c r="BS269" i="12"/>
  <c r="BS270" i="12"/>
  <c r="BS271" i="12"/>
  <c r="BS272" i="12"/>
  <c r="BS273" i="12"/>
  <c r="BS274" i="12"/>
  <c r="BS275" i="12"/>
  <c r="BS276" i="12"/>
  <c r="BS277" i="12"/>
  <c r="BS278" i="12"/>
  <c r="BS279" i="12"/>
  <c r="BS280" i="12"/>
  <c r="BS281" i="12"/>
  <c r="BS282" i="12"/>
  <c r="BS283" i="12"/>
  <c r="BS284" i="12"/>
  <c r="BS285" i="12"/>
  <c r="BS286" i="12"/>
  <c r="BS287" i="12"/>
  <c r="BS288" i="12"/>
  <c r="BS289" i="12"/>
  <c r="BS290" i="12"/>
  <c r="BS291" i="12"/>
  <c r="BS292" i="12"/>
  <c r="BS293" i="12"/>
  <c r="BS294" i="12"/>
  <c r="BS295" i="12"/>
  <c r="BS296" i="12"/>
  <c r="BS297" i="12"/>
  <c r="BS298" i="12"/>
  <c r="BS299" i="12"/>
  <c r="BS300" i="12"/>
  <c r="BS301" i="12"/>
  <c r="BS302" i="12"/>
  <c r="BS303" i="12"/>
  <c r="BS304" i="12"/>
  <c r="BS305" i="12"/>
  <c r="BS306" i="12"/>
  <c r="BS307" i="12"/>
  <c r="BS308" i="12"/>
  <c r="BS309" i="12"/>
  <c r="BS310" i="12"/>
  <c r="BS311" i="12"/>
  <c r="BS312" i="12"/>
  <c r="BS313" i="12"/>
  <c r="BS314" i="12"/>
  <c r="BS315" i="12"/>
  <c r="BS316" i="12"/>
  <c r="BS317" i="12"/>
  <c r="BS318" i="12"/>
  <c r="BS319" i="12"/>
  <c r="BS320" i="12"/>
  <c r="BS321" i="12"/>
  <c r="BS322" i="12"/>
  <c r="BS323" i="12"/>
  <c r="BS324" i="12"/>
  <c r="BS325" i="12"/>
  <c r="BS326" i="12"/>
  <c r="BS327" i="12"/>
  <c r="BS328" i="12"/>
  <c r="BS329" i="12"/>
  <c r="BS31" i="12"/>
  <c r="BS30" i="12"/>
  <c r="D445" i="19" l="1"/>
  <c r="AF445" i="8"/>
  <c r="AH445" i="8"/>
  <c r="AG445" i="8"/>
  <c r="AE445" i="8"/>
  <c r="D452" i="19"/>
  <c r="AF452" i="8"/>
  <c r="AH452" i="8"/>
  <c r="AG452" i="8"/>
  <c r="AE452" i="8"/>
  <c r="D497" i="19"/>
  <c r="AF497" i="8"/>
  <c r="AG497" i="8"/>
  <c r="AH497" i="8"/>
  <c r="AE497" i="8"/>
  <c r="D428" i="19"/>
  <c r="AF428" i="8"/>
  <c r="AG428" i="8"/>
  <c r="AH428" i="8"/>
  <c r="AE428" i="8"/>
  <c r="D486" i="19"/>
  <c r="AF486" i="8"/>
  <c r="AH486" i="8"/>
  <c r="AG486" i="8"/>
  <c r="AE486" i="8"/>
  <c r="D439" i="19"/>
  <c r="AF439" i="8"/>
  <c r="AH439" i="8"/>
  <c r="AG439" i="8"/>
  <c r="AE439" i="8"/>
  <c r="D443" i="19"/>
  <c r="AF443" i="8"/>
  <c r="AH443" i="8"/>
  <c r="AG443" i="8"/>
  <c r="AE443" i="8"/>
  <c r="D447" i="19"/>
  <c r="AF447" i="8"/>
  <c r="AG447" i="8"/>
  <c r="AH447" i="8"/>
  <c r="AE447" i="8"/>
  <c r="D472" i="19"/>
  <c r="AF472" i="8"/>
  <c r="AH472" i="8"/>
  <c r="AG472" i="8"/>
  <c r="AE472" i="8"/>
  <c r="Q407" i="9"/>
  <c r="D409" i="19"/>
  <c r="AF409" i="8"/>
  <c r="AH409" i="8"/>
  <c r="AG409" i="8"/>
  <c r="AE409" i="8"/>
  <c r="D442" i="19"/>
  <c r="AF442" i="8"/>
  <c r="AG442" i="8"/>
  <c r="AH442" i="8"/>
  <c r="AE442" i="8"/>
  <c r="D446" i="19"/>
  <c r="AF446" i="8"/>
  <c r="AH446" i="8"/>
  <c r="AG446" i="8"/>
  <c r="AE446" i="8"/>
  <c r="D450" i="19"/>
  <c r="AF450" i="8"/>
  <c r="AH450" i="8"/>
  <c r="AG450" i="8"/>
  <c r="AE450" i="8"/>
  <c r="D454" i="19"/>
  <c r="AF454" i="8"/>
  <c r="AH454" i="8"/>
  <c r="AG454" i="8"/>
  <c r="AE454" i="8"/>
  <c r="D466" i="19"/>
  <c r="AF466" i="8"/>
  <c r="AH466" i="8"/>
  <c r="AG466" i="8"/>
  <c r="AE466" i="8"/>
  <c r="D491" i="19"/>
  <c r="AF491" i="8"/>
  <c r="AH491" i="8"/>
  <c r="AG491" i="8"/>
  <c r="AE491" i="8"/>
  <c r="D468" i="19"/>
  <c r="AF468" i="8"/>
  <c r="AH468" i="8"/>
  <c r="AG468" i="8"/>
  <c r="AE468" i="8"/>
  <c r="D485" i="19"/>
  <c r="AF485" i="8"/>
  <c r="AG485" i="8"/>
  <c r="AH485" i="8"/>
  <c r="AE485" i="8"/>
  <c r="D489" i="19"/>
  <c r="AF489" i="8"/>
  <c r="AH489" i="8"/>
  <c r="AG489" i="8"/>
  <c r="AE489" i="8"/>
  <c r="D441" i="9"/>
  <c r="P386" i="9"/>
  <c r="D461" i="19"/>
  <c r="AF461" i="8"/>
  <c r="AH461" i="8"/>
  <c r="AG461" i="8"/>
  <c r="AE461" i="8"/>
  <c r="D427" i="19"/>
  <c r="AF427" i="8"/>
  <c r="AH427" i="8"/>
  <c r="AG427" i="8"/>
  <c r="AE427" i="8"/>
  <c r="D480" i="19"/>
  <c r="AF480" i="8"/>
  <c r="AG480" i="8"/>
  <c r="AH480" i="8"/>
  <c r="AE480" i="8"/>
  <c r="D488" i="19"/>
  <c r="AF488" i="8"/>
  <c r="AH488" i="8"/>
  <c r="AG488" i="8"/>
  <c r="AE488" i="8"/>
  <c r="D394" i="9"/>
  <c r="D426" i="19"/>
  <c r="AF426" i="8"/>
  <c r="AG426" i="8"/>
  <c r="AH426" i="8"/>
  <c r="AE426" i="8"/>
  <c r="D433" i="19"/>
  <c r="AF433" i="8"/>
  <c r="AG433" i="8"/>
  <c r="AH433" i="8"/>
  <c r="AE433" i="8"/>
  <c r="T484" i="19"/>
  <c r="B494" i="19"/>
  <c r="H416" i="19"/>
  <c r="Z416" i="19" s="1"/>
  <c r="D492" i="19"/>
  <c r="AF492" i="8"/>
  <c r="AG492" i="8"/>
  <c r="AH492" i="8"/>
  <c r="AE492" i="8"/>
  <c r="D429" i="19"/>
  <c r="AF429" i="8"/>
  <c r="AH429" i="8"/>
  <c r="AG429" i="8"/>
  <c r="AE429" i="8"/>
  <c r="D455" i="19"/>
  <c r="AF455" i="8"/>
  <c r="AH455" i="8"/>
  <c r="AG455" i="8"/>
  <c r="AE455" i="8"/>
  <c r="D444" i="19"/>
  <c r="AF444" i="8"/>
  <c r="AG444" i="8"/>
  <c r="AH444" i="8"/>
  <c r="AE444" i="8"/>
  <c r="D464" i="19"/>
  <c r="AF464" i="8"/>
  <c r="AH464" i="8"/>
  <c r="AG464" i="8"/>
  <c r="AE464" i="8"/>
  <c r="D479" i="19"/>
  <c r="AF479" i="8"/>
  <c r="AH479" i="8"/>
  <c r="AG479" i="8"/>
  <c r="AE479" i="8"/>
  <c r="D478" i="19"/>
  <c r="AF478" i="8"/>
  <c r="AG478" i="8"/>
  <c r="AH478" i="8"/>
  <c r="AE478" i="8"/>
  <c r="D441" i="19"/>
  <c r="AF441" i="8"/>
  <c r="AH441" i="8"/>
  <c r="AG441" i="8"/>
  <c r="AE441" i="8"/>
  <c r="D470" i="19"/>
  <c r="AF470" i="8"/>
  <c r="AH470" i="8"/>
  <c r="AG470" i="8"/>
  <c r="AE470" i="8"/>
  <c r="D411" i="19"/>
  <c r="AF411" i="8"/>
  <c r="AG411" i="8"/>
  <c r="AH411" i="8"/>
  <c r="AE411" i="8"/>
  <c r="D419" i="19"/>
  <c r="AF419" i="8"/>
  <c r="AG419" i="8"/>
  <c r="AH419" i="8"/>
  <c r="AE419" i="8"/>
  <c r="D421" i="19"/>
  <c r="AF421" i="8"/>
  <c r="AG421" i="8"/>
  <c r="AH421" i="8"/>
  <c r="AE421" i="8"/>
  <c r="D436" i="19"/>
  <c r="AF436" i="8"/>
  <c r="AG436" i="8"/>
  <c r="AH436" i="8"/>
  <c r="AE436" i="8"/>
  <c r="D448" i="19"/>
  <c r="AF448" i="8"/>
  <c r="AH448" i="8"/>
  <c r="AG448" i="8"/>
  <c r="AE448" i="8"/>
  <c r="D456" i="19"/>
  <c r="AF456" i="8"/>
  <c r="AG456" i="8"/>
  <c r="AH456" i="8"/>
  <c r="AE456" i="8"/>
  <c r="D460" i="19"/>
  <c r="AF460" i="8"/>
  <c r="AG460" i="8"/>
  <c r="AH460" i="8"/>
  <c r="AE460" i="8"/>
  <c r="D458" i="19"/>
  <c r="AF458" i="8"/>
  <c r="AG458" i="8"/>
  <c r="AH458" i="8"/>
  <c r="AE458" i="8"/>
  <c r="D474" i="19"/>
  <c r="AF474" i="8"/>
  <c r="AH474" i="8"/>
  <c r="AG474" i="8"/>
  <c r="AE474" i="8"/>
  <c r="D487" i="19"/>
  <c r="AF487" i="8"/>
  <c r="AG487" i="8"/>
  <c r="AH487" i="8"/>
  <c r="AE487" i="8"/>
  <c r="D476" i="19"/>
  <c r="AF476" i="8"/>
  <c r="AG476" i="8"/>
  <c r="AH476" i="8"/>
  <c r="AE476" i="8"/>
  <c r="D481" i="19"/>
  <c r="AF481" i="8"/>
  <c r="AH481" i="8"/>
  <c r="AG481" i="8"/>
  <c r="AE481" i="8"/>
  <c r="D422" i="19"/>
  <c r="AF422" i="8"/>
  <c r="AH422" i="8"/>
  <c r="AG422" i="8"/>
  <c r="AE422" i="8"/>
  <c r="D423" i="19"/>
  <c r="AF423" i="8"/>
  <c r="AH423" i="8"/>
  <c r="AG423" i="8"/>
  <c r="AE423" i="8"/>
  <c r="D490" i="19"/>
  <c r="AF490" i="8"/>
  <c r="AG490" i="8"/>
  <c r="AH490" i="8"/>
  <c r="AE490" i="8"/>
  <c r="N494" i="19"/>
  <c r="Y416" i="8"/>
  <c r="Z416" i="8" s="1"/>
  <c r="AB416" i="8" s="1"/>
  <c r="D463" i="19"/>
  <c r="AF463" i="8"/>
  <c r="AH463" i="8"/>
  <c r="AG463" i="8"/>
  <c r="AE463" i="8"/>
  <c r="D475" i="19"/>
  <c r="AF475" i="8"/>
  <c r="AH475" i="8"/>
  <c r="AG475" i="8"/>
  <c r="AE475" i="8"/>
  <c r="D451" i="19"/>
  <c r="AF451" i="8"/>
  <c r="AG451" i="8"/>
  <c r="AH451" i="8"/>
  <c r="AE451" i="8"/>
  <c r="D457" i="19"/>
  <c r="AF457" i="8"/>
  <c r="AH457" i="8"/>
  <c r="AG457" i="8"/>
  <c r="AE457" i="8"/>
  <c r="D417" i="19"/>
  <c r="AF417" i="8"/>
  <c r="AG417" i="8"/>
  <c r="AH417" i="8"/>
  <c r="AE417" i="8"/>
  <c r="D438" i="19"/>
  <c r="AF438" i="8"/>
  <c r="AG438" i="8"/>
  <c r="AH438" i="8"/>
  <c r="AE438" i="8"/>
  <c r="D416" i="19"/>
  <c r="AF416" i="8"/>
  <c r="AH416" i="8"/>
  <c r="AG416" i="8"/>
  <c r="AE416" i="8"/>
  <c r="D449" i="19"/>
  <c r="AF449" i="8"/>
  <c r="AG449" i="8"/>
  <c r="AH449" i="8"/>
  <c r="AE449" i="8"/>
  <c r="D453" i="19"/>
  <c r="AF453" i="8"/>
  <c r="AG453" i="8"/>
  <c r="AH453" i="8"/>
  <c r="AE453" i="8"/>
  <c r="D415" i="19"/>
  <c r="AF415" i="8"/>
  <c r="AG415" i="8"/>
  <c r="AH415" i="8"/>
  <c r="AE415" i="8"/>
  <c r="D432" i="19"/>
  <c r="AF432" i="8"/>
  <c r="AH432" i="8"/>
  <c r="AG432" i="8"/>
  <c r="AE432" i="8"/>
  <c r="D440" i="19"/>
  <c r="AF440" i="8"/>
  <c r="AG440" i="8"/>
  <c r="AH440" i="8"/>
  <c r="AE440" i="8"/>
  <c r="D413" i="19"/>
  <c r="AF413" i="8"/>
  <c r="AG413" i="8"/>
  <c r="AH413" i="8"/>
  <c r="AE413" i="8"/>
  <c r="D434" i="19"/>
  <c r="AF434" i="8"/>
  <c r="AH434" i="8"/>
  <c r="AG434" i="8"/>
  <c r="AE434" i="8"/>
  <c r="D462" i="19"/>
  <c r="AF462" i="8"/>
  <c r="AG462" i="8"/>
  <c r="AH462" i="8"/>
  <c r="AE462" i="8"/>
  <c r="D483" i="19"/>
  <c r="AF483" i="8"/>
  <c r="AG483" i="8"/>
  <c r="AH483" i="8"/>
  <c r="AE483" i="8"/>
  <c r="D499" i="19"/>
  <c r="AF499" i="8"/>
  <c r="AG499" i="8"/>
  <c r="AH499" i="8"/>
  <c r="AE499" i="8"/>
  <c r="D493" i="19"/>
  <c r="AF493" i="8"/>
  <c r="AH493" i="8"/>
  <c r="AG493" i="8"/>
  <c r="AE493" i="8"/>
  <c r="D495" i="19"/>
  <c r="AF495" i="8"/>
  <c r="AH495" i="8"/>
  <c r="AG495" i="8"/>
  <c r="AE495" i="8"/>
  <c r="D414" i="19"/>
  <c r="AF414" i="8"/>
  <c r="AH414" i="8"/>
  <c r="AG414" i="8"/>
  <c r="AE414" i="8"/>
  <c r="D410" i="19"/>
  <c r="AF410" i="8"/>
  <c r="AH410" i="8"/>
  <c r="AG410" i="8"/>
  <c r="AE410" i="8"/>
  <c r="D431" i="19"/>
  <c r="AF431" i="8"/>
  <c r="AG431" i="8"/>
  <c r="AH431" i="8"/>
  <c r="AE431" i="8"/>
  <c r="D420" i="19"/>
  <c r="AF420" i="8"/>
  <c r="AH420" i="8"/>
  <c r="AG420" i="8"/>
  <c r="AE420" i="8"/>
  <c r="D467" i="19"/>
  <c r="AF467" i="8"/>
  <c r="AG467" i="8"/>
  <c r="AH467" i="8"/>
  <c r="AE467" i="8"/>
  <c r="S500" i="19"/>
  <c r="S425" i="19"/>
  <c r="BZ81" i="12"/>
  <c r="BZ80" i="12"/>
  <c r="BZ79" i="12"/>
  <c r="BZ78" i="12"/>
  <c r="BZ77" i="12"/>
  <c r="BZ76" i="12"/>
  <c r="BV76" i="12"/>
  <c r="BZ74" i="12"/>
  <c r="CA397" i="12"/>
  <c r="CA401" i="12"/>
  <c r="CA404" i="12"/>
  <c r="CA406" i="12"/>
  <c r="CA407" i="12"/>
  <c r="CA400" i="12"/>
  <c r="CA396" i="12"/>
  <c r="CA399" i="12"/>
  <c r="CA403" i="12"/>
  <c r="CA405" i="12"/>
  <c r="CA398" i="12"/>
  <c r="CA402" i="12"/>
  <c r="BW31" i="12"/>
  <c r="BW397" i="12"/>
  <c r="BW401" i="12"/>
  <c r="BW404" i="12"/>
  <c r="BW406" i="12"/>
  <c r="BW407" i="12"/>
  <c r="BW400" i="12"/>
  <c r="BW396" i="12"/>
  <c r="BW399" i="12"/>
  <c r="BW403" i="12"/>
  <c r="BW405" i="12"/>
  <c r="BW398" i="12"/>
  <c r="BW402" i="12"/>
  <c r="BS397" i="12"/>
  <c r="BS401" i="12"/>
  <c r="BS404" i="12"/>
  <c r="BS406" i="12"/>
  <c r="BS407" i="12"/>
  <c r="BS400" i="12"/>
  <c r="BS396" i="12"/>
  <c r="BS399" i="12"/>
  <c r="BS403" i="12"/>
  <c r="BS405" i="12"/>
  <c r="BS402" i="12"/>
  <c r="BS398" i="12"/>
  <c r="BZ400" i="12"/>
  <c r="BZ396" i="12"/>
  <c r="BZ399" i="12"/>
  <c r="BZ403" i="12"/>
  <c r="BZ405" i="12"/>
  <c r="BZ398" i="12"/>
  <c r="BZ402" i="12"/>
  <c r="BZ397" i="12"/>
  <c r="BZ401" i="12"/>
  <c r="BZ404" i="12"/>
  <c r="BZ406" i="12"/>
  <c r="BZ407" i="12"/>
  <c r="BV400" i="12"/>
  <c r="BV396" i="12"/>
  <c r="BV399" i="12"/>
  <c r="BV403" i="12"/>
  <c r="BV405" i="12"/>
  <c r="BV398" i="12"/>
  <c r="BV402" i="12"/>
  <c r="BV406" i="12"/>
  <c r="BV407" i="12"/>
  <c r="BV401" i="12"/>
  <c r="BV404" i="12"/>
  <c r="BV397" i="12"/>
  <c r="BX94" i="12"/>
  <c r="BT94" i="12"/>
  <c r="BX93" i="12"/>
  <c r="BT93" i="12"/>
  <c r="BX92" i="12"/>
  <c r="BT92" i="12"/>
  <c r="BX91" i="12"/>
  <c r="BT91" i="12"/>
  <c r="BX90" i="12"/>
  <c r="BT90" i="12"/>
  <c r="BX89" i="12"/>
  <c r="BT89" i="12"/>
  <c r="BX88" i="12"/>
  <c r="BT88" i="12"/>
  <c r="BX87" i="12"/>
  <c r="BT87" i="12"/>
  <c r="BX86" i="12"/>
  <c r="BT86" i="12"/>
  <c r="BX85" i="12"/>
  <c r="BT85" i="12"/>
  <c r="BX84" i="12"/>
  <c r="BT84" i="12"/>
  <c r="BX83" i="12"/>
  <c r="BT83" i="12"/>
  <c r="BX82" i="12"/>
  <c r="BT82" i="12"/>
  <c r="BX81" i="12"/>
  <c r="BT81" i="12"/>
  <c r="BX80" i="12"/>
  <c r="BT80" i="12"/>
  <c r="BX79" i="12"/>
  <c r="BT79" i="12"/>
  <c r="BX78" i="12"/>
  <c r="BT78" i="12"/>
  <c r="BX77" i="12"/>
  <c r="BT77" i="12"/>
  <c r="BX76" i="12"/>
  <c r="BT76" i="12"/>
  <c r="BX74" i="12"/>
  <c r="CC31" i="12"/>
  <c r="CC396" i="12"/>
  <c r="CC399" i="12"/>
  <c r="CC403" i="12"/>
  <c r="CC405" i="12"/>
  <c r="CC398" i="12"/>
  <c r="CC402" i="12"/>
  <c r="CC397" i="12"/>
  <c r="CC401" i="12"/>
  <c r="CC404" i="12"/>
  <c r="CC406" i="12"/>
  <c r="CC407" i="12"/>
  <c r="CC400" i="12"/>
  <c r="BY36" i="12"/>
  <c r="BY396" i="12"/>
  <c r="BY399" i="12"/>
  <c r="BY403" i="12"/>
  <c r="BY405" i="12"/>
  <c r="BY398" i="12"/>
  <c r="BY402" i="12"/>
  <c r="BY397" i="12"/>
  <c r="BY401" i="12"/>
  <c r="BY404" i="12"/>
  <c r="BY406" i="12"/>
  <c r="BY407" i="12"/>
  <c r="BY400" i="12"/>
  <c r="BU31" i="12"/>
  <c r="BU396" i="12"/>
  <c r="BU399" i="12"/>
  <c r="BU403" i="12"/>
  <c r="BU405" i="12"/>
  <c r="BU398" i="12"/>
  <c r="BU402" i="12"/>
  <c r="BU397" i="12"/>
  <c r="BU401" i="12"/>
  <c r="BU404" i="12"/>
  <c r="BU406" i="12"/>
  <c r="BU407" i="12"/>
  <c r="BU400" i="12"/>
  <c r="BX398" i="12"/>
  <c r="BX402" i="12"/>
  <c r="BX397" i="12"/>
  <c r="BX401" i="12"/>
  <c r="BX404" i="12"/>
  <c r="BX406" i="12"/>
  <c r="BX407" i="12"/>
  <c r="BX400" i="12"/>
  <c r="BX399" i="12"/>
  <c r="BX403" i="12"/>
  <c r="BX396" i="12"/>
  <c r="BX405" i="12"/>
  <c r="BT398" i="12"/>
  <c r="BT402" i="12"/>
  <c r="BT397" i="12"/>
  <c r="BT401" i="12"/>
  <c r="BT404" i="12"/>
  <c r="BT406" i="12"/>
  <c r="BT407" i="12"/>
  <c r="BT400" i="12"/>
  <c r="BT399" i="12"/>
  <c r="BT403" i="12"/>
  <c r="BT405" i="12"/>
  <c r="BT396" i="12"/>
  <c r="AA428" i="13"/>
  <c r="AB428" i="13" s="1"/>
  <c r="D401" i="9"/>
  <c r="AC410" i="13"/>
  <c r="AD410" i="13" s="1"/>
  <c r="S484" i="19"/>
  <c r="S437" i="19"/>
  <c r="B500" i="19"/>
  <c r="S494" i="19"/>
  <c r="K435" i="19"/>
  <c r="AF430" i="19"/>
  <c r="B477" i="19"/>
  <c r="AA496" i="19"/>
  <c r="AA475" i="19"/>
  <c r="P475" i="19"/>
  <c r="AC420" i="13"/>
  <c r="AD420" i="13" s="1"/>
  <c r="L475" i="18"/>
  <c r="D466" i="9"/>
  <c r="L420" i="18"/>
  <c r="Q449" i="9"/>
  <c r="Q441" i="9"/>
  <c r="P470" i="9"/>
  <c r="AC428" i="13"/>
  <c r="AD428" i="13" s="1"/>
  <c r="AI475" i="8"/>
  <c r="K420" i="18"/>
  <c r="AC467" i="13"/>
  <c r="AD467" i="13" s="1"/>
  <c r="AC408" i="13"/>
  <c r="AD408" i="13" s="1"/>
  <c r="AA433" i="13"/>
  <c r="AB433" i="13" s="1"/>
  <c r="AC433" i="13" s="1"/>
  <c r="AD433" i="13" s="1"/>
  <c r="AA437" i="13"/>
  <c r="AB437" i="13" s="1"/>
  <c r="P443" i="9"/>
  <c r="Q468" i="9"/>
  <c r="Q472" i="9"/>
  <c r="Y463" i="8"/>
  <c r="Z463" i="8" s="1"/>
  <c r="AB463" i="8" s="1"/>
  <c r="Q404" i="9"/>
  <c r="Z420" i="13"/>
  <c r="AI484" i="8"/>
  <c r="N408" i="18"/>
  <c r="O408" i="18" s="1"/>
  <c r="L463" i="18"/>
  <c r="K494" i="18"/>
  <c r="N494" i="18"/>
  <c r="O494" i="18" s="1"/>
  <c r="M494" i="18"/>
  <c r="L416" i="18"/>
  <c r="M416" i="18"/>
  <c r="H463" i="19"/>
  <c r="AC412" i="13"/>
  <c r="AD412" i="13" s="1"/>
  <c r="W431" i="8"/>
  <c r="D405" i="9"/>
  <c r="V469" i="19"/>
  <c r="N469" i="19"/>
  <c r="Z496" i="19"/>
  <c r="Q496" i="19"/>
  <c r="N496" i="19"/>
  <c r="O496" i="19" s="1"/>
  <c r="AI496" i="19"/>
  <c r="B496" i="19"/>
  <c r="AF496" i="19"/>
  <c r="S496" i="19"/>
  <c r="Z484" i="19"/>
  <c r="Q484" i="19"/>
  <c r="N484" i="19"/>
  <c r="L484" i="19"/>
  <c r="B484" i="19"/>
  <c r="V484" i="19"/>
  <c r="AF484" i="19"/>
  <c r="W437" i="19"/>
  <c r="T437" i="19"/>
  <c r="N437" i="19"/>
  <c r="B437" i="19"/>
  <c r="Y437" i="19"/>
  <c r="V437" i="19"/>
  <c r="AA437" i="19"/>
  <c r="AI437" i="19"/>
  <c r="Z500" i="19"/>
  <c r="W500" i="19"/>
  <c r="P500" i="19"/>
  <c r="AI500" i="19"/>
  <c r="K500" i="19"/>
  <c r="O500" i="19" s="1"/>
  <c r="AA500" i="19"/>
  <c r="AF500" i="19"/>
  <c r="W477" i="19"/>
  <c r="T477" i="19"/>
  <c r="N477" i="19"/>
  <c r="S477" i="19"/>
  <c r="K477" i="19"/>
  <c r="Y477" i="19"/>
  <c r="L477" i="19"/>
  <c r="V477" i="19"/>
  <c r="Z494" i="19"/>
  <c r="W494" i="19"/>
  <c r="Q494" i="19"/>
  <c r="L494" i="19"/>
  <c r="Y494" i="19"/>
  <c r="AF494" i="19"/>
  <c r="AA494" i="19"/>
  <c r="V494" i="19"/>
  <c r="T435" i="19"/>
  <c r="N435" i="19"/>
  <c r="O435" i="19" s="1"/>
  <c r="R435" i="19" s="1"/>
  <c r="P435" i="19"/>
  <c r="Y435" i="19"/>
  <c r="L435" i="19"/>
  <c r="AF435" i="19"/>
  <c r="B435" i="19"/>
  <c r="Y475" i="19"/>
  <c r="AF475" i="19"/>
  <c r="T475" i="19"/>
  <c r="K475" i="19"/>
  <c r="Q475" i="19"/>
  <c r="Z430" i="19"/>
  <c r="W430" i="19"/>
  <c r="N430" i="19"/>
  <c r="L430" i="19"/>
  <c r="S430" i="19"/>
  <c r="V430" i="19"/>
  <c r="AI430" i="19"/>
  <c r="W425" i="19"/>
  <c r="Q425" i="19"/>
  <c r="T425" i="19"/>
  <c r="L425" i="19"/>
  <c r="Y425" i="19"/>
  <c r="AI425" i="19"/>
  <c r="AA425" i="19"/>
  <c r="V425" i="19"/>
  <c r="Q456" i="9"/>
  <c r="AC437" i="13"/>
  <c r="AD437" i="13" s="1"/>
  <c r="AI463" i="8"/>
  <c r="K484" i="19"/>
  <c r="AA484" i="19"/>
  <c r="AI484" i="19"/>
  <c r="W484" i="19"/>
  <c r="AF437" i="19"/>
  <c r="K437" i="19"/>
  <c r="P437" i="19"/>
  <c r="Z437" i="19"/>
  <c r="V500" i="19"/>
  <c r="L500" i="19"/>
  <c r="Q500" i="19"/>
  <c r="T500" i="19"/>
  <c r="K494" i="19"/>
  <c r="AI494" i="19"/>
  <c r="P494" i="19"/>
  <c r="S435" i="19"/>
  <c r="V435" i="19"/>
  <c r="AI435" i="19"/>
  <c r="Z435" i="19"/>
  <c r="B425" i="19"/>
  <c r="K425" i="19"/>
  <c r="O425" i="19" s="1"/>
  <c r="P425" i="19"/>
  <c r="Z425" i="19"/>
  <c r="B430" i="19"/>
  <c r="AA430" i="19"/>
  <c r="P430" i="19"/>
  <c r="K430" i="19"/>
  <c r="AF477" i="19"/>
  <c r="AI477" i="19"/>
  <c r="Q477" i="19"/>
  <c r="H431" i="19"/>
  <c r="Q431" i="19" s="1"/>
  <c r="V496" i="19"/>
  <c r="L496" i="19"/>
  <c r="P496" i="19"/>
  <c r="T496" i="19"/>
  <c r="B475" i="19"/>
  <c r="Z475" i="19"/>
  <c r="B469" i="19"/>
  <c r="L461" i="18"/>
  <c r="L408" i="18"/>
  <c r="N471" i="18"/>
  <c r="O471" i="18" s="1"/>
  <c r="L410" i="18"/>
  <c r="M410" i="18"/>
  <c r="N467" i="18"/>
  <c r="O467" i="18" s="1"/>
  <c r="H441" i="19"/>
  <c r="W441" i="8"/>
  <c r="H443" i="19"/>
  <c r="W443" i="8"/>
  <c r="H445" i="19"/>
  <c r="W445" i="8"/>
  <c r="H447" i="19"/>
  <c r="K447" i="19" s="1"/>
  <c r="W447" i="8"/>
  <c r="H449" i="19"/>
  <c r="W449" i="8"/>
  <c r="H451" i="19"/>
  <c r="Z451" i="19" s="1"/>
  <c r="W451" i="8"/>
  <c r="H470" i="19"/>
  <c r="W470" i="8"/>
  <c r="H411" i="19"/>
  <c r="Q411" i="19" s="1"/>
  <c r="W411" i="8"/>
  <c r="H436" i="19"/>
  <c r="W436" i="8"/>
  <c r="H440" i="19"/>
  <c r="Y440" i="19" s="1"/>
  <c r="W440" i="8"/>
  <c r="H444" i="19"/>
  <c r="W444" i="8"/>
  <c r="H472" i="19"/>
  <c r="P472" i="19" s="1"/>
  <c r="W472" i="8"/>
  <c r="H417" i="19"/>
  <c r="S417" i="19" s="1"/>
  <c r="W417" i="8"/>
  <c r="H434" i="19"/>
  <c r="N434" i="19" s="1"/>
  <c r="W434" i="8"/>
  <c r="H438" i="19"/>
  <c r="B438" i="19" s="1"/>
  <c r="W438" i="8"/>
  <c r="H450" i="19"/>
  <c r="Z450" i="19" s="1"/>
  <c r="W450" i="8"/>
  <c r="H458" i="19"/>
  <c r="K458" i="19" s="1"/>
  <c r="W458" i="8"/>
  <c r="H462" i="19"/>
  <c r="AF462" i="19" s="1"/>
  <c r="W462" i="8"/>
  <c r="H466" i="19"/>
  <c r="W466" i="8"/>
  <c r="H479" i="19"/>
  <c r="V479" i="19" s="1"/>
  <c r="W479" i="8"/>
  <c r="H483" i="19"/>
  <c r="W483" i="8"/>
  <c r="H487" i="19"/>
  <c r="W487" i="19" s="1"/>
  <c r="W487" i="8"/>
  <c r="H491" i="19"/>
  <c r="Y491" i="19" s="1"/>
  <c r="W491" i="8"/>
  <c r="H476" i="19"/>
  <c r="P476" i="19" s="1"/>
  <c r="W476" i="8"/>
  <c r="H481" i="19"/>
  <c r="W481" i="8"/>
  <c r="H485" i="19"/>
  <c r="AA485" i="19" s="1"/>
  <c r="W485" i="8"/>
  <c r="H489" i="19"/>
  <c r="W489" i="8"/>
  <c r="H495" i="19"/>
  <c r="L495" i="19" s="1"/>
  <c r="W495" i="8"/>
  <c r="H488" i="19"/>
  <c r="W488" i="8"/>
  <c r="AC459" i="13"/>
  <c r="AD459" i="13" s="1"/>
  <c r="H492" i="19"/>
  <c r="W492" i="8"/>
  <c r="H439" i="19"/>
  <c r="W439" i="8"/>
  <c r="H453" i="19"/>
  <c r="W453" i="8"/>
  <c r="H455" i="19"/>
  <c r="W455" i="8"/>
  <c r="H457" i="19"/>
  <c r="W457" i="8"/>
  <c r="H415" i="19"/>
  <c r="W415" i="8"/>
  <c r="H419" i="19"/>
  <c r="W419" i="8"/>
  <c r="H421" i="19"/>
  <c r="K421" i="19" s="1"/>
  <c r="W421" i="8"/>
  <c r="H432" i="19"/>
  <c r="W432" i="8"/>
  <c r="H448" i="19"/>
  <c r="W448" i="19" s="1"/>
  <c r="W448" i="8"/>
  <c r="H452" i="19"/>
  <c r="W452" i="8"/>
  <c r="H456" i="19"/>
  <c r="AF456" i="19" s="1"/>
  <c r="W456" i="8"/>
  <c r="H460" i="19"/>
  <c r="W460" i="8"/>
  <c r="H464" i="19"/>
  <c r="AF464" i="19" s="1"/>
  <c r="W464" i="8"/>
  <c r="H409" i="19"/>
  <c r="W409" i="8"/>
  <c r="H413" i="19"/>
  <c r="W413" i="8"/>
  <c r="H442" i="19"/>
  <c r="W442" i="8"/>
  <c r="H446" i="19"/>
  <c r="Q446" i="19" s="1"/>
  <c r="W446" i="8"/>
  <c r="H454" i="19"/>
  <c r="W454" i="8"/>
  <c r="H474" i="19"/>
  <c r="K474" i="19" s="1"/>
  <c r="W474" i="8"/>
  <c r="H497" i="19"/>
  <c r="W497" i="8"/>
  <c r="H499" i="19"/>
  <c r="W499" i="19" s="1"/>
  <c r="W499" i="8"/>
  <c r="H468" i="19"/>
  <c r="W468" i="8"/>
  <c r="H478" i="19"/>
  <c r="Y478" i="19" s="1"/>
  <c r="W478" i="8"/>
  <c r="H493" i="19"/>
  <c r="W493" i="8"/>
  <c r="H490" i="19"/>
  <c r="AA490" i="19" s="1"/>
  <c r="W490" i="8"/>
  <c r="H433" i="19"/>
  <c r="AI433" i="19" s="1"/>
  <c r="W433" i="8"/>
  <c r="W469" i="19"/>
  <c r="T469" i="19"/>
  <c r="P469" i="19"/>
  <c r="L469" i="19"/>
  <c r="Y469" i="19"/>
  <c r="AA469" i="19"/>
  <c r="Z469" i="19"/>
  <c r="Q469" i="19"/>
  <c r="AF469" i="19"/>
  <c r="K469" i="19"/>
  <c r="AI469" i="19"/>
  <c r="S469" i="19"/>
  <c r="W475" i="19"/>
  <c r="N475" i="19"/>
  <c r="V475" i="19"/>
  <c r="L475" i="19"/>
  <c r="AI475" i="19"/>
  <c r="AI492" i="8"/>
  <c r="B438" i="9"/>
  <c r="P438" i="9" s="1"/>
  <c r="F464" i="19"/>
  <c r="B450" i="9"/>
  <c r="Q450" i="9" s="1"/>
  <c r="F476" i="19"/>
  <c r="B396" i="9"/>
  <c r="P396" i="9" s="1"/>
  <c r="F422" i="19"/>
  <c r="B388" i="9"/>
  <c r="Q388" i="9" s="1"/>
  <c r="F414" i="19"/>
  <c r="B389" i="9"/>
  <c r="Q389" i="9" s="1"/>
  <c r="F415" i="19"/>
  <c r="B395" i="9"/>
  <c r="P395" i="9" s="1"/>
  <c r="F421" i="19"/>
  <c r="B406" i="9"/>
  <c r="Q406" i="9" s="1"/>
  <c r="F432" i="19"/>
  <c r="B410" i="9"/>
  <c r="Q410" i="9" s="1"/>
  <c r="F436" i="19"/>
  <c r="B422" i="9"/>
  <c r="P422" i="9" s="1"/>
  <c r="F448" i="19"/>
  <c r="B430" i="9"/>
  <c r="P430" i="9" s="1"/>
  <c r="F456" i="19"/>
  <c r="B434" i="9"/>
  <c r="P434" i="9" s="1"/>
  <c r="F460" i="19"/>
  <c r="B408" i="9"/>
  <c r="Q408" i="9" s="1"/>
  <c r="F434" i="19"/>
  <c r="B424" i="9"/>
  <c r="Q424" i="9" s="1"/>
  <c r="F450" i="19"/>
  <c r="B440" i="9"/>
  <c r="P440" i="9" s="1"/>
  <c r="F466" i="19"/>
  <c r="B448" i="9"/>
  <c r="Q448" i="9" s="1"/>
  <c r="F474" i="19"/>
  <c r="B471" i="9"/>
  <c r="Q471" i="9" s="1"/>
  <c r="F497" i="19"/>
  <c r="B455" i="9"/>
  <c r="Q455" i="9" s="1"/>
  <c r="F481" i="19"/>
  <c r="B405" i="9"/>
  <c r="P405" i="9" s="1"/>
  <c r="F431" i="19"/>
  <c r="B435" i="9"/>
  <c r="Q435" i="9" s="1"/>
  <c r="F461" i="19"/>
  <c r="B400" i="9"/>
  <c r="F426" i="19"/>
  <c r="B403" i="9"/>
  <c r="F429" i="19"/>
  <c r="B391" i="9"/>
  <c r="Q391" i="9" s="1"/>
  <c r="F417" i="19"/>
  <c r="B416" i="9"/>
  <c r="P416" i="9" s="1"/>
  <c r="F442" i="19"/>
  <c r="B453" i="9"/>
  <c r="Q453" i="9" s="1"/>
  <c r="F479" i="19"/>
  <c r="B415" i="9"/>
  <c r="Q415" i="9" s="1"/>
  <c r="F441" i="19"/>
  <c r="B421" i="9"/>
  <c r="P421" i="9" s="1"/>
  <c r="F447" i="19"/>
  <c r="B423" i="9"/>
  <c r="P423" i="9" s="1"/>
  <c r="F449" i="19"/>
  <c r="B427" i="9"/>
  <c r="Q427" i="9" s="1"/>
  <c r="F453" i="19"/>
  <c r="B431" i="9"/>
  <c r="P431" i="9" s="1"/>
  <c r="F457" i="19"/>
  <c r="B387" i="9"/>
  <c r="Q387" i="9" s="1"/>
  <c r="F413" i="19"/>
  <c r="B428" i="9"/>
  <c r="Q428" i="9" s="1"/>
  <c r="F454" i="19"/>
  <c r="B461" i="9"/>
  <c r="Q461" i="9" s="1"/>
  <c r="F487" i="19"/>
  <c r="B465" i="9"/>
  <c r="P465" i="9" s="1"/>
  <c r="F491" i="19"/>
  <c r="B442" i="9"/>
  <c r="P442" i="9" s="1"/>
  <c r="F468" i="19"/>
  <c r="B467" i="9"/>
  <c r="Q467" i="9" s="1"/>
  <c r="F493" i="19"/>
  <c r="B469" i="9"/>
  <c r="Q469" i="9" s="1"/>
  <c r="F495" i="19"/>
  <c r="B437" i="9"/>
  <c r="F463" i="19"/>
  <c r="B462" i="9"/>
  <c r="Q462" i="9" s="1"/>
  <c r="F488" i="19"/>
  <c r="B454" i="9"/>
  <c r="F480" i="19"/>
  <c r="B384" i="9"/>
  <c r="Q384" i="9" s="1"/>
  <c r="F410" i="19"/>
  <c r="B466" i="9"/>
  <c r="F492" i="19"/>
  <c r="B401" i="9"/>
  <c r="F427" i="19"/>
  <c r="B429" i="9"/>
  <c r="F455" i="19"/>
  <c r="B393" i="9"/>
  <c r="F419" i="19"/>
  <c r="B414" i="9"/>
  <c r="P414" i="9" s="1"/>
  <c r="F440" i="19"/>
  <c r="B426" i="9"/>
  <c r="F452" i="19"/>
  <c r="B412" i="9"/>
  <c r="F438" i="19"/>
  <c r="B432" i="9"/>
  <c r="Q432" i="9" s="1"/>
  <c r="F458" i="19"/>
  <c r="B457" i="9"/>
  <c r="F483" i="19"/>
  <c r="B473" i="9"/>
  <c r="P473" i="9" s="1"/>
  <c r="F499" i="19"/>
  <c r="B463" i="9"/>
  <c r="F489" i="19"/>
  <c r="B413" i="9"/>
  <c r="F439" i="19"/>
  <c r="B417" i="9"/>
  <c r="P417" i="9" s="1"/>
  <c r="F443" i="19"/>
  <c r="B419" i="9"/>
  <c r="F445" i="19"/>
  <c r="B425" i="9"/>
  <c r="P425" i="9" s="1"/>
  <c r="F451" i="19"/>
  <c r="B444" i="9"/>
  <c r="F470" i="19"/>
  <c r="B385" i="9"/>
  <c r="F411" i="19"/>
  <c r="B418" i="9"/>
  <c r="P418" i="9" s="1"/>
  <c r="F444" i="19"/>
  <c r="B446" i="9"/>
  <c r="F472" i="19"/>
  <c r="B383" i="9"/>
  <c r="Q383" i="9" s="1"/>
  <c r="F409" i="19"/>
  <c r="B420" i="9"/>
  <c r="F446" i="19"/>
  <c r="B436" i="9"/>
  <c r="P436" i="9" s="1"/>
  <c r="F462" i="19"/>
  <c r="B452" i="9"/>
  <c r="F478" i="19"/>
  <c r="B459" i="9"/>
  <c r="P459" i="9" s="1"/>
  <c r="F485" i="19"/>
  <c r="B402" i="9"/>
  <c r="F428" i="19"/>
  <c r="B394" i="9"/>
  <c r="Q394" i="9" s="1"/>
  <c r="F420" i="19"/>
  <c r="B397" i="9"/>
  <c r="Q397" i="9" s="1"/>
  <c r="F423" i="19"/>
  <c r="B460" i="9"/>
  <c r="Q460" i="9" s="1"/>
  <c r="F486" i="19"/>
  <c r="B464" i="9"/>
  <c r="F490" i="19"/>
  <c r="Q451" i="9"/>
  <c r="P451" i="9"/>
  <c r="Z456" i="19"/>
  <c r="W411" i="19"/>
  <c r="N411" i="19"/>
  <c r="S411" i="19"/>
  <c r="B411" i="19"/>
  <c r="AF421" i="19"/>
  <c r="L448" i="19"/>
  <c r="AF417" i="19"/>
  <c r="T458" i="19"/>
  <c r="Y428" i="8"/>
  <c r="Z428" i="8" s="1"/>
  <c r="AB428" i="8" s="1"/>
  <c r="H428" i="19"/>
  <c r="Y426" i="8"/>
  <c r="Z426" i="8" s="1"/>
  <c r="AB426" i="8" s="1"/>
  <c r="H426" i="19"/>
  <c r="T463" i="19"/>
  <c r="P463" i="19"/>
  <c r="AF463" i="19"/>
  <c r="S463" i="19"/>
  <c r="Z453" i="19"/>
  <c r="Q453" i="19"/>
  <c r="P453" i="19"/>
  <c r="B453" i="19"/>
  <c r="K453" i="19"/>
  <c r="AI453" i="19"/>
  <c r="S453" i="19"/>
  <c r="Y455" i="19"/>
  <c r="T455" i="19"/>
  <c r="P455" i="19"/>
  <c r="Z455" i="19"/>
  <c r="V455" i="19"/>
  <c r="AA455" i="19"/>
  <c r="AF455" i="19"/>
  <c r="K455" i="19"/>
  <c r="W472" i="19"/>
  <c r="Y472" i="19"/>
  <c r="AA472" i="19"/>
  <c r="AI472" i="19"/>
  <c r="N462" i="19"/>
  <c r="V474" i="19"/>
  <c r="Z478" i="19"/>
  <c r="W485" i="19"/>
  <c r="Y427" i="8"/>
  <c r="Z427" i="8" s="1"/>
  <c r="AB427" i="8" s="1"/>
  <c r="H427" i="19"/>
  <c r="D397" i="9"/>
  <c r="H423" i="19"/>
  <c r="Y467" i="8"/>
  <c r="Z467" i="8" s="1"/>
  <c r="AB467" i="8" s="1"/>
  <c r="H467" i="19"/>
  <c r="Y420" i="8"/>
  <c r="Z420" i="8" s="1"/>
  <c r="AB420" i="8" s="1"/>
  <c r="H420" i="19"/>
  <c r="K490" i="19"/>
  <c r="Z433" i="19"/>
  <c r="T412" i="19"/>
  <c r="Z412" i="19"/>
  <c r="N412" i="19"/>
  <c r="P412" i="19"/>
  <c r="Q412" i="19"/>
  <c r="W412" i="19"/>
  <c r="S412" i="19"/>
  <c r="L412" i="19"/>
  <c r="AI412" i="19"/>
  <c r="K412" i="19"/>
  <c r="AF412" i="19"/>
  <c r="B412" i="19"/>
  <c r="Y412" i="19"/>
  <c r="AA412" i="19"/>
  <c r="V412" i="19"/>
  <c r="L471" i="19"/>
  <c r="W471" i="19"/>
  <c r="T471" i="19"/>
  <c r="Q471" i="19"/>
  <c r="P471" i="19"/>
  <c r="N471" i="19"/>
  <c r="Z471" i="19"/>
  <c r="AI471" i="19"/>
  <c r="Y471" i="19"/>
  <c r="S471" i="19"/>
  <c r="B471" i="19"/>
  <c r="AA471" i="19"/>
  <c r="AF471" i="19"/>
  <c r="K471" i="19"/>
  <c r="O471" i="19" s="1"/>
  <c r="V471" i="19"/>
  <c r="L482" i="19"/>
  <c r="Z482" i="19"/>
  <c r="T482" i="19"/>
  <c r="W482" i="19"/>
  <c r="P482" i="19"/>
  <c r="Q482" i="19"/>
  <c r="N482" i="19"/>
  <c r="Y482" i="19"/>
  <c r="B482" i="19"/>
  <c r="AI482" i="19"/>
  <c r="AF482" i="19"/>
  <c r="K482" i="19"/>
  <c r="AA482" i="19"/>
  <c r="V482" i="19"/>
  <c r="S482" i="19"/>
  <c r="L498" i="19"/>
  <c r="Z498" i="19"/>
  <c r="T498" i="19"/>
  <c r="W498" i="19"/>
  <c r="P498" i="19"/>
  <c r="Q498" i="19"/>
  <c r="N498" i="19"/>
  <c r="AI498" i="19"/>
  <c r="B498" i="19"/>
  <c r="AF498" i="19"/>
  <c r="K498" i="19"/>
  <c r="AA498" i="19"/>
  <c r="V498" i="19"/>
  <c r="Y498" i="19"/>
  <c r="S498" i="19"/>
  <c r="T431" i="19"/>
  <c r="AI431" i="19"/>
  <c r="T424" i="19"/>
  <c r="Z424" i="19"/>
  <c r="W424" i="19"/>
  <c r="N424" i="19"/>
  <c r="P424" i="19"/>
  <c r="Q424" i="19"/>
  <c r="Y424" i="19"/>
  <c r="B424" i="19"/>
  <c r="L424" i="19"/>
  <c r="AA424" i="19"/>
  <c r="AI424" i="19"/>
  <c r="AF424" i="19"/>
  <c r="S424" i="19"/>
  <c r="K424" i="19"/>
  <c r="V424" i="19"/>
  <c r="T439" i="19"/>
  <c r="P439" i="19"/>
  <c r="Z439" i="19"/>
  <c r="L439" i="19"/>
  <c r="S439" i="19"/>
  <c r="AF439" i="19"/>
  <c r="K439" i="19"/>
  <c r="W440" i="19"/>
  <c r="AF440" i="19"/>
  <c r="AA440" i="19"/>
  <c r="Z441" i="19"/>
  <c r="AI441" i="19"/>
  <c r="T445" i="19"/>
  <c r="K445" i="19"/>
  <c r="AA445" i="19"/>
  <c r="W449" i="19"/>
  <c r="T449" i="19"/>
  <c r="S449" i="19"/>
  <c r="Y449" i="19"/>
  <c r="Z457" i="19"/>
  <c r="T457" i="19"/>
  <c r="N457" i="19"/>
  <c r="AA457" i="19"/>
  <c r="AI457" i="19"/>
  <c r="L457" i="19"/>
  <c r="B457" i="19"/>
  <c r="Y457" i="19"/>
  <c r="AF457" i="19"/>
  <c r="V457" i="19"/>
  <c r="Z470" i="19"/>
  <c r="Q470" i="19"/>
  <c r="Y470" i="19"/>
  <c r="L470" i="19"/>
  <c r="Q415" i="19"/>
  <c r="L415" i="19"/>
  <c r="V415" i="19"/>
  <c r="AA415" i="19"/>
  <c r="T436" i="19"/>
  <c r="Z436" i="19"/>
  <c r="W436" i="19"/>
  <c r="Q436" i="19"/>
  <c r="P436" i="19"/>
  <c r="N436" i="19"/>
  <c r="K436" i="19"/>
  <c r="AI436" i="19"/>
  <c r="Y436" i="19"/>
  <c r="L436" i="19"/>
  <c r="B436" i="19"/>
  <c r="AF436" i="19"/>
  <c r="AA436" i="19"/>
  <c r="V436" i="19"/>
  <c r="S436" i="19"/>
  <c r="T444" i="19"/>
  <c r="Z444" i="19"/>
  <c r="Q444" i="19"/>
  <c r="P444" i="19"/>
  <c r="W444" i="19"/>
  <c r="N444" i="19"/>
  <c r="AF444" i="19"/>
  <c r="L444" i="19"/>
  <c r="B444" i="19"/>
  <c r="Y444" i="19"/>
  <c r="S444" i="19"/>
  <c r="K444" i="19"/>
  <c r="V444" i="19"/>
  <c r="AI444" i="19"/>
  <c r="AA444" i="19"/>
  <c r="Q413" i="19"/>
  <c r="AI413" i="19"/>
  <c r="L413" i="19"/>
  <c r="Y450" i="19"/>
  <c r="T466" i="19"/>
  <c r="K479" i="19"/>
  <c r="AF476" i="19"/>
  <c r="AA495" i="19"/>
  <c r="Y461" i="8"/>
  <c r="Z461" i="8" s="1"/>
  <c r="AB461" i="8" s="1"/>
  <c r="H461" i="19"/>
  <c r="D454" i="9"/>
  <c r="H480" i="19"/>
  <c r="Q488" i="19"/>
  <c r="AA488" i="19"/>
  <c r="Y410" i="8"/>
  <c r="Z410" i="8" s="1"/>
  <c r="AB410" i="8" s="1"/>
  <c r="H410" i="19"/>
  <c r="D460" i="9"/>
  <c r="H486" i="19"/>
  <c r="D403" i="9"/>
  <c r="H429" i="19"/>
  <c r="T408" i="19"/>
  <c r="Z408" i="19"/>
  <c r="Q408" i="19"/>
  <c r="W408" i="19"/>
  <c r="N408" i="19"/>
  <c r="P408" i="19"/>
  <c r="S408" i="19"/>
  <c r="AF408" i="19"/>
  <c r="L408" i="19"/>
  <c r="K408" i="19"/>
  <c r="B408" i="19"/>
  <c r="AA408" i="19"/>
  <c r="AI408" i="19"/>
  <c r="V408" i="19"/>
  <c r="Y408" i="19"/>
  <c r="AF409" i="19"/>
  <c r="L483" i="19"/>
  <c r="Z487" i="19"/>
  <c r="K487" i="19"/>
  <c r="L499" i="19"/>
  <c r="T499" i="19"/>
  <c r="N499" i="19"/>
  <c r="P499" i="19"/>
  <c r="Y499" i="19"/>
  <c r="B499" i="19"/>
  <c r="V499" i="19"/>
  <c r="S499" i="19"/>
  <c r="B493" i="19"/>
  <c r="Y422" i="8"/>
  <c r="Z422" i="8" s="1"/>
  <c r="AB422" i="8" s="1"/>
  <c r="H422" i="19"/>
  <c r="D388" i="9"/>
  <c r="H414" i="19"/>
  <c r="W465" i="19"/>
  <c r="Z465" i="19"/>
  <c r="Q465" i="19"/>
  <c r="P465" i="19"/>
  <c r="N465" i="19"/>
  <c r="T465" i="19"/>
  <c r="K465" i="19"/>
  <c r="AF465" i="19"/>
  <c r="S465" i="19"/>
  <c r="L465" i="19"/>
  <c r="AA465" i="19"/>
  <c r="AI465" i="19"/>
  <c r="B465" i="19"/>
  <c r="V465" i="19"/>
  <c r="Y465" i="19"/>
  <c r="Z418" i="19"/>
  <c r="T418" i="19"/>
  <c r="W418" i="19"/>
  <c r="P418" i="19"/>
  <c r="Q418" i="19"/>
  <c r="N418" i="19"/>
  <c r="Y418" i="19"/>
  <c r="S418" i="19"/>
  <c r="B418" i="19"/>
  <c r="AI418" i="19"/>
  <c r="L418" i="19"/>
  <c r="AA418" i="19"/>
  <c r="K418" i="19"/>
  <c r="V418" i="19"/>
  <c r="AF418" i="19"/>
  <c r="W473" i="19"/>
  <c r="Z473" i="19"/>
  <c r="Q473" i="19"/>
  <c r="T473" i="19"/>
  <c r="P473" i="19"/>
  <c r="N473" i="19"/>
  <c r="L473" i="19"/>
  <c r="AF473" i="19"/>
  <c r="Y473" i="19"/>
  <c r="S473" i="19"/>
  <c r="B473" i="19"/>
  <c r="AA473" i="19"/>
  <c r="AI473" i="19"/>
  <c r="K473" i="19"/>
  <c r="V473" i="19"/>
  <c r="T416" i="19"/>
  <c r="Q416" i="19"/>
  <c r="B416" i="19"/>
  <c r="V416" i="19"/>
  <c r="W459" i="19"/>
  <c r="T459" i="19"/>
  <c r="Z459" i="19"/>
  <c r="N459" i="19"/>
  <c r="Q459" i="19"/>
  <c r="P459" i="19"/>
  <c r="AI459" i="19"/>
  <c r="AA459" i="19"/>
  <c r="AF459" i="19"/>
  <c r="S459" i="19"/>
  <c r="B459" i="19"/>
  <c r="V459" i="19"/>
  <c r="Y459" i="19"/>
  <c r="K459" i="19"/>
  <c r="L459" i="19"/>
  <c r="AI448" i="8"/>
  <c r="J448" i="19"/>
  <c r="AI474" i="8"/>
  <c r="J474" i="19"/>
  <c r="AI476" i="8"/>
  <c r="J476" i="19"/>
  <c r="AI495" i="8"/>
  <c r="J495" i="19"/>
  <c r="AI490" i="8"/>
  <c r="J490" i="19"/>
  <c r="AI433" i="8"/>
  <c r="J433" i="19"/>
  <c r="AI444" i="8"/>
  <c r="J444" i="19"/>
  <c r="AI422" i="8"/>
  <c r="J422" i="19"/>
  <c r="AI461" i="8"/>
  <c r="J461" i="19"/>
  <c r="AI426" i="8"/>
  <c r="J426" i="19"/>
  <c r="AI455" i="8"/>
  <c r="J455" i="19"/>
  <c r="AI470" i="8"/>
  <c r="J470" i="19"/>
  <c r="AI421" i="8"/>
  <c r="J421" i="19"/>
  <c r="AI417" i="8"/>
  <c r="J417" i="19"/>
  <c r="AI446" i="8"/>
  <c r="J446" i="19"/>
  <c r="AI454" i="8"/>
  <c r="J454" i="19"/>
  <c r="AI462" i="8"/>
  <c r="J462" i="19"/>
  <c r="AI491" i="8"/>
  <c r="J491" i="19"/>
  <c r="AI414" i="8"/>
  <c r="J414" i="19"/>
  <c r="AI488" i="8"/>
  <c r="J488" i="19"/>
  <c r="AI416" i="8"/>
  <c r="J416" i="19"/>
  <c r="AI428" i="8"/>
  <c r="J428" i="19"/>
  <c r="AI420" i="8"/>
  <c r="J420" i="19"/>
  <c r="AI467" i="8"/>
  <c r="J467" i="19"/>
  <c r="AI443" i="8"/>
  <c r="J443" i="19"/>
  <c r="AI457" i="8"/>
  <c r="J457" i="19"/>
  <c r="AI415" i="8"/>
  <c r="J415" i="19"/>
  <c r="AI440" i="8"/>
  <c r="J440" i="19"/>
  <c r="AI472" i="8"/>
  <c r="J472" i="19"/>
  <c r="AI438" i="8"/>
  <c r="J438" i="19"/>
  <c r="AI483" i="8"/>
  <c r="J483" i="19"/>
  <c r="AI499" i="8"/>
  <c r="J499" i="19"/>
  <c r="AI485" i="8"/>
  <c r="J485" i="19"/>
  <c r="AI494" i="8"/>
  <c r="J494" i="19"/>
  <c r="AI439" i="8"/>
  <c r="AI447" i="8"/>
  <c r="AI432" i="8"/>
  <c r="AI436" i="8"/>
  <c r="AI456" i="8"/>
  <c r="AI464" i="8"/>
  <c r="AI409" i="8"/>
  <c r="AI450" i="8"/>
  <c r="AI466" i="8"/>
  <c r="AI478" i="8"/>
  <c r="AI481" i="8"/>
  <c r="AI489" i="8"/>
  <c r="AI410" i="8"/>
  <c r="AI429" i="8"/>
  <c r="AI411" i="8"/>
  <c r="AI452" i="8"/>
  <c r="AI460" i="8"/>
  <c r="AI479" i="8"/>
  <c r="AI487" i="8"/>
  <c r="AI468" i="8"/>
  <c r="AI493" i="8"/>
  <c r="AI431" i="8"/>
  <c r="AI486" i="8"/>
  <c r="AI427" i="8"/>
  <c r="AI441" i="8"/>
  <c r="AI445" i="8"/>
  <c r="AI449" i="8"/>
  <c r="AI451" i="8"/>
  <c r="AI453" i="8"/>
  <c r="AI419" i="8"/>
  <c r="AI413" i="8"/>
  <c r="AI434" i="8"/>
  <c r="AI442" i="8"/>
  <c r="AI458" i="8"/>
  <c r="AI497" i="8"/>
  <c r="AI480" i="8"/>
  <c r="AI423" i="8"/>
  <c r="AA422" i="13"/>
  <c r="AB422" i="13" s="1"/>
  <c r="AC422" i="13" s="1"/>
  <c r="AD422" i="13" s="1"/>
  <c r="Z471" i="13"/>
  <c r="Z488" i="13"/>
  <c r="L467" i="18"/>
  <c r="Y429" i="8"/>
  <c r="Z429" i="8" s="1"/>
  <c r="AB429" i="8" s="1"/>
  <c r="Z459" i="13"/>
  <c r="N463" i="18"/>
  <c r="O463" i="18" s="1"/>
  <c r="M467" i="18"/>
  <c r="M463" i="18"/>
  <c r="K416" i="18"/>
  <c r="D402" i="9"/>
  <c r="D384" i="9"/>
  <c r="D400" i="9"/>
  <c r="N461" i="18"/>
  <c r="O461" i="18" s="1"/>
  <c r="M461" i="18"/>
  <c r="M480" i="18"/>
  <c r="N480" i="18"/>
  <c r="O480" i="18" s="1"/>
  <c r="BU35" i="12"/>
  <c r="BU33" i="12"/>
  <c r="CC37" i="12"/>
  <c r="CC36" i="12"/>
  <c r="CC35" i="12"/>
  <c r="BW35" i="12"/>
  <c r="CC34" i="12"/>
  <c r="BW34" i="12"/>
  <c r="CC33" i="12"/>
  <c r="BW33" i="12"/>
  <c r="CC32" i="12"/>
  <c r="BW32" i="12"/>
  <c r="Y480" i="8"/>
  <c r="Z480" i="8" s="1"/>
  <c r="AB480" i="8" s="1"/>
  <c r="L480" i="18"/>
  <c r="Z410" i="13"/>
  <c r="K425" i="18"/>
  <c r="N423" i="18"/>
  <c r="O423" i="18" s="1"/>
  <c r="AA489" i="13"/>
  <c r="AB489" i="13" s="1"/>
  <c r="AC489" i="13" s="1"/>
  <c r="AD489" i="13" s="1"/>
  <c r="BS331" i="12"/>
  <c r="BS334" i="12"/>
  <c r="BS336" i="12"/>
  <c r="BS344" i="12"/>
  <c r="BS346" i="12"/>
  <c r="BS330" i="12"/>
  <c r="BS333" i="12"/>
  <c r="BS337" i="12"/>
  <c r="BS339" i="12"/>
  <c r="BS341" i="12"/>
  <c r="BS332" i="12"/>
  <c r="BS340" i="12"/>
  <c r="BS353" i="12"/>
  <c r="BS354" i="12"/>
  <c r="BS342" i="12"/>
  <c r="BS358" i="12"/>
  <c r="BS359" i="12"/>
  <c r="BS338" i="12"/>
  <c r="BS343" i="12"/>
  <c r="BS345" i="12"/>
  <c r="BS350" i="12"/>
  <c r="BS351" i="12"/>
  <c r="BS360" i="12"/>
  <c r="BS376" i="12"/>
  <c r="BS377" i="12"/>
  <c r="BS385" i="12"/>
  <c r="BS388" i="12"/>
  <c r="BS390" i="12"/>
  <c r="BS347" i="12"/>
  <c r="BS348" i="12"/>
  <c r="BS349" i="12"/>
  <c r="BS356" i="12"/>
  <c r="BS363" i="12"/>
  <c r="BS370" i="12"/>
  <c r="BS372" i="12"/>
  <c r="BS379" i="12"/>
  <c r="BS381" i="12"/>
  <c r="BS352" i="12"/>
  <c r="BS361" i="12"/>
  <c r="BS362" i="12"/>
  <c r="BS365" i="12"/>
  <c r="BS366" i="12"/>
  <c r="BS367" i="12"/>
  <c r="BS368" i="12"/>
  <c r="BS369" i="12"/>
  <c r="BS357" i="12"/>
  <c r="BS380" i="12"/>
  <c r="BS386" i="12"/>
  <c r="BS393" i="12"/>
  <c r="BS355" i="12"/>
  <c r="BS371" i="12"/>
  <c r="BS389" i="12"/>
  <c r="BS391" i="12"/>
  <c r="BS335" i="12"/>
  <c r="BS364" i="12"/>
  <c r="BS373" i="12"/>
  <c r="BS374" i="12"/>
  <c r="BS375" i="12"/>
  <c r="BS378" i="12"/>
  <c r="BS392" i="12"/>
  <c r="BS394" i="12"/>
  <c r="BS395" i="12"/>
  <c r="BS382" i="12"/>
  <c r="BS383" i="12"/>
  <c r="BS384" i="12"/>
  <c r="BS387" i="12"/>
  <c r="BZ342" i="12"/>
  <c r="BZ343" i="12"/>
  <c r="BZ345" i="12"/>
  <c r="BZ330" i="12"/>
  <c r="BZ333" i="12"/>
  <c r="BZ332" i="12"/>
  <c r="BZ335" i="12"/>
  <c r="BZ338" i="12"/>
  <c r="BZ340" i="12"/>
  <c r="BZ334" i="12"/>
  <c r="BZ336" i="12"/>
  <c r="BZ341" i="12"/>
  <c r="BZ347" i="12"/>
  <c r="BZ348" i="12"/>
  <c r="BZ331" i="12"/>
  <c r="BZ350" i="12"/>
  <c r="BZ351" i="12"/>
  <c r="BZ337" i="12"/>
  <c r="BZ339" i="12"/>
  <c r="BZ344" i="12"/>
  <c r="BZ346" i="12"/>
  <c r="BZ349" i="12"/>
  <c r="BZ352" i="12"/>
  <c r="BZ355" i="12"/>
  <c r="BZ356" i="12"/>
  <c r="BZ353" i="12"/>
  <c r="BZ357" i="12"/>
  <c r="BZ363" i="12"/>
  <c r="BZ370" i="12"/>
  <c r="BZ372" i="12"/>
  <c r="BZ379" i="12"/>
  <c r="BZ381" i="12"/>
  <c r="BZ387" i="12"/>
  <c r="BZ354" i="12"/>
  <c r="BZ358" i="12"/>
  <c r="BZ359" i="12"/>
  <c r="BZ361" i="12"/>
  <c r="BZ362" i="12"/>
  <c r="BZ365" i="12"/>
  <c r="BZ366" i="12"/>
  <c r="BZ367" i="12"/>
  <c r="BZ368" i="12"/>
  <c r="BZ369" i="12"/>
  <c r="BZ375" i="12"/>
  <c r="BZ384" i="12"/>
  <c r="BZ364" i="12"/>
  <c r="BZ371" i="12"/>
  <c r="BZ388" i="12"/>
  <c r="BZ390" i="12"/>
  <c r="BZ391" i="12"/>
  <c r="BZ360" i="12"/>
  <c r="BZ373" i="12"/>
  <c r="BZ374" i="12"/>
  <c r="BZ378" i="12"/>
  <c r="BZ386" i="12"/>
  <c r="BZ392" i="12"/>
  <c r="BZ394" i="12"/>
  <c r="BZ395" i="12"/>
  <c r="BZ377" i="12"/>
  <c r="BZ382" i="12"/>
  <c r="BZ383" i="12"/>
  <c r="BZ389" i="12"/>
  <c r="BZ376" i="12"/>
  <c r="BZ380" i="12"/>
  <c r="BZ385" i="12"/>
  <c r="BZ393" i="12"/>
  <c r="BV342" i="12"/>
  <c r="BV343" i="12"/>
  <c r="BV345" i="12"/>
  <c r="BV330" i="12"/>
  <c r="BV333" i="12"/>
  <c r="BV332" i="12"/>
  <c r="BV335" i="12"/>
  <c r="BV338" i="12"/>
  <c r="BV340" i="12"/>
  <c r="BV331" i="12"/>
  <c r="BV337" i="12"/>
  <c r="BV339" i="12"/>
  <c r="BV344" i="12"/>
  <c r="BV347" i="12"/>
  <c r="BV348" i="12"/>
  <c r="BV350" i="12"/>
  <c r="BV351" i="12"/>
  <c r="BV334" i="12"/>
  <c r="BV336" i="12"/>
  <c r="BV341" i="12"/>
  <c r="BV349" i="12"/>
  <c r="BV352" i="12"/>
  <c r="BV355" i="12"/>
  <c r="BV356" i="12"/>
  <c r="BV354" i="12"/>
  <c r="BV363" i="12"/>
  <c r="BV370" i="12"/>
  <c r="BV372" i="12"/>
  <c r="BV379" i="12"/>
  <c r="BV381" i="12"/>
  <c r="BV387" i="12"/>
  <c r="BV357" i="12"/>
  <c r="BV359" i="12"/>
  <c r="BV361" i="12"/>
  <c r="BV362" i="12"/>
  <c r="BV365" i="12"/>
  <c r="BV366" i="12"/>
  <c r="BV367" i="12"/>
  <c r="BV368" i="12"/>
  <c r="BV369" i="12"/>
  <c r="BV375" i="12"/>
  <c r="BV384" i="12"/>
  <c r="BV358" i="12"/>
  <c r="BV364" i="12"/>
  <c r="BV371" i="12"/>
  <c r="BV360" i="12"/>
  <c r="BV377" i="12"/>
  <c r="BV382" i="12"/>
  <c r="BV383" i="12"/>
  <c r="BV385" i="12"/>
  <c r="BV391" i="12"/>
  <c r="BV346" i="12"/>
  <c r="BV376" i="12"/>
  <c r="BV380" i="12"/>
  <c r="BV388" i="12"/>
  <c r="BV390" i="12"/>
  <c r="BV392" i="12"/>
  <c r="BV394" i="12"/>
  <c r="BV395" i="12"/>
  <c r="BV353" i="12"/>
  <c r="BV386" i="12"/>
  <c r="BV373" i="12"/>
  <c r="BV374" i="12"/>
  <c r="BV378" i="12"/>
  <c r="BV389" i="12"/>
  <c r="BV393" i="12"/>
  <c r="CC330" i="12"/>
  <c r="CC333" i="12"/>
  <c r="CC337" i="12"/>
  <c r="CC339" i="12"/>
  <c r="CC341" i="12"/>
  <c r="CC332" i="12"/>
  <c r="CC331" i="12"/>
  <c r="CC334" i="12"/>
  <c r="CC336" i="12"/>
  <c r="CC344" i="12"/>
  <c r="CC338" i="12"/>
  <c r="CC343" i="12"/>
  <c r="CC345" i="12"/>
  <c r="CC346" i="12"/>
  <c r="CC350" i="12"/>
  <c r="CC351" i="12"/>
  <c r="CC335" i="12"/>
  <c r="CC349" i="12"/>
  <c r="CC352" i="12"/>
  <c r="CC355" i="12"/>
  <c r="CC356" i="12"/>
  <c r="CC340" i="12"/>
  <c r="CC353" i="12"/>
  <c r="CC354" i="12"/>
  <c r="CC342" i="12"/>
  <c r="CC347" i="12"/>
  <c r="CC348" i="12"/>
  <c r="CC359" i="12"/>
  <c r="CC361" i="12"/>
  <c r="CC362" i="12"/>
  <c r="CC365" i="12"/>
  <c r="CC366" i="12"/>
  <c r="CC367" i="12"/>
  <c r="CC368" i="12"/>
  <c r="CC369" i="12"/>
  <c r="CC375" i="12"/>
  <c r="CC384" i="12"/>
  <c r="CC389" i="12"/>
  <c r="CC364" i="12"/>
  <c r="CC371" i="12"/>
  <c r="CC373" i="12"/>
  <c r="CC374" i="12"/>
  <c r="CC378" i="12"/>
  <c r="CC380" i="12"/>
  <c r="CC382" i="12"/>
  <c r="CC383" i="12"/>
  <c r="CC360" i="12"/>
  <c r="CC370" i="12"/>
  <c r="CC372" i="12"/>
  <c r="CC377" i="12"/>
  <c r="CC386" i="12"/>
  <c r="CC392" i="12"/>
  <c r="CC394" i="12"/>
  <c r="CC395" i="12"/>
  <c r="CC363" i="12"/>
  <c r="CC376" i="12"/>
  <c r="CC381" i="12"/>
  <c r="CC385" i="12"/>
  <c r="CC358" i="12"/>
  <c r="CC379" i="12"/>
  <c r="CC388" i="12"/>
  <c r="CC390" i="12"/>
  <c r="CC393" i="12"/>
  <c r="CC357" i="12"/>
  <c r="CC387" i="12"/>
  <c r="CC391" i="12"/>
  <c r="BY330" i="12"/>
  <c r="BY333" i="12"/>
  <c r="BY337" i="12"/>
  <c r="BY339" i="12"/>
  <c r="BY341" i="12"/>
  <c r="BY332" i="12"/>
  <c r="BY331" i="12"/>
  <c r="BY334" i="12"/>
  <c r="BY336" i="12"/>
  <c r="BY344" i="12"/>
  <c r="BY342" i="12"/>
  <c r="BY350" i="12"/>
  <c r="BY351" i="12"/>
  <c r="BY338" i="12"/>
  <c r="BY343" i="12"/>
  <c r="BY345" i="12"/>
  <c r="BY346" i="12"/>
  <c r="BY349" i="12"/>
  <c r="BY352" i="12"/>
  <c r="BY355" i="12"/>
  <c r="BY356" i="12"/>
  <c r="BY335" i="12"/>
  <c r="BY353" i="12"/>
  <c r="BY354" i="12"/>
  <c r="BY358" i="12"/>
  <c r="BY359" i="12"/>
  <c r="BY361" i="12"/>
  <c r="BY362" i="12"/>
  <c r="BY365" i="12"/>
  <c r="BY366" i="12"/>
  <c r="BY367" i="12"/>
  <c r="BY368" i="12"/>
  <c r="BY369" i="12"/>
  <c r="BY375" i="12"/>
  <c r="BY384" i="12"/>
  <c r="BY389" i="12"/>
  <c r="BY364" i="12"/>
  <c r="BY371" i="12"/>
  <c r="BY373" i="12"/>
  <c r="BY374" i="12"/>
  <c r="BY378" i="12"/>
  <c r="BY380" i="12"/>
  <c r="BY382" i="12"/>
  <c r="BY383" i="12"/>
  <c r="BY347" i="12"/>
  <c r="BY348" i="12"/>
  <c r="BY360" i="12"/>
  <c r="BY379" i="12"/>
  <c r="BY386" i="12"/>
  <c r="BY387" i="12"/>
  <c r="BY392" i="12"/>
  <c r="BY394" i="12"/>
  <c r="BY395" i="12"/>
  <c r="BY357" i="12"/>
  <c r="BY377" i="12"/>
  <c r="BY340" i="12"/>
  <c r="BY370" i="12"/>
  <c r="BY372" i="12"/>
  <c r="BY376" i="12"/>
  <c r="BY385" i="12"/>
  <c r="BY393" i="12"/>
  <c r="BY363" i="12"/>
  <c r="BY381" i="12"/>
  <c r="BY388" i="12"/>
  <c r="BY390" i="12"/>
  <c r="BY391" i="12"/>
  <c r="BU330" i="12"/>
  <c r="BU333" i="12"/>
  <c r="BU337" i="12"/>
  <c r="BU339" i="12"/>
  <c r="BU341" i="12"/>
  <c r="BU332" i="12"/>
  <c r="BU331" i="12"/>
  <c r="BU334" i="12"/>
  <c r="BU336" i="12"/>
  <c r="BU344" i="12"/>
  <c r="BU335" i="12"/>
  <c r="BU347" i="12"/>
  <c r="BU348" i="12"/>
  <c r="BU350" i="12"/>
  <c r="BU351" i="12"/>
  <c r="BU340" i="12"/>
  <c r="BU349" i="12"/>
  <c r="BU352" i="12"/>
  <c r="BU355" i="12"/>
  <c r="BU356" i="12"/>
  <c r="BU342" i="12"/>
  <c r="BU346" i="12"/>
  <c r="BU353" i="12"/>
  <c r="BU354" i="12"/>
  <c r="BU357" i="12"/>
  <c r="BU359" i="12"/>
  <c r="BU361" i="12"/>
  <c r="BU362" i="12"/>
  <c r="BU365" i="12"/>
  <c r="BU366" i="12"/>
  <c r="BU367" i="12"/>
  <c r="BU368" i="12"/>
  <c r="BU369" i="12"/>
  <c r="BU375" i="12"/>
  <c r="BU384" i="12"/>
  <c r="BU389" i="12"/>
  <c r="BU343" i="12"/>
  <c r="BU345" i="12"/>
  <c r="BU358" i="12"/>
  <c r="BU364" i="12"/>
  <c r="BU371" i="12"/>
  <c r="BU373" i="12"/>
  <c r="BU374" i="12"/>
  <c r="BU378" i="12"/>
  <c r="BU380" i="12"/>
  <c r="BU382" i="12"/>
  <c r="BU383" i="12"/>
  <c r="BU338" i="12"/>
  <c r="BU360" i="12"/>
  <c r="BU376" i="12"/>
  <c r="BU388" i="12"/>
  <c r="BU390" i="12"/>
  <c r="BU392" i="12"/>
  <c r="BU394" i="12"/>
  <c r="BU395" i="12"/>
  <c r="BU370" i="12"/>
  <c r="BU372" i="12"/>
  <c r="BU381" i="12"/>
  <c r="BU386" i="12"/>
  <c r="BU387" i="12"/>
  <c r="BU363" i="12"/>
  <c r="BU379" i="12"/>
  <c r="BU393" i="12"/>
  <c r="BU377" i="12"/>
  <c r="BU385" i="12"/>
  <c r="BU391" i="12"/>
  <c r="BX332" i="12"/>
  <c r="BX335" i="12"/>
  <c r="BX338" i="12"/>
  <c r="BX340" i="12"/>
  <c r="BX347" i="12"/>
  <c r="BX348" i="12"/>
  <c r="BX331" i="12"/>
  <c r="BX342" i="12"/>
  <c r="BX343" i="12"/>
  <c r="BX345" i="12"/>
  <c r="BX346" i="12"/>
  <c r="BX349" i="12"/>
  <c r="BX352" i="12"/>
  <c r="BX355" i="12"/>
  <c r="BX337" i="12"/>
  <c r="BX339" i="12"/>
  <c r="BX344" i="12"/>
  <c r="BX353" i="12"/>
  <c r="BX354" i="12"/>
  <c r="BX357" i="12"/>
  <c r="BX333" i="12"/>
  <c r="BX341" i="12"/>
  <c r="BX356" i="12"/>
  <c r="BX364" i="12"/>
  <c r="BX371" i="12"/>
  <c r="BX373" i="12"/>
  <c r="BX374" i="12"/>
  <c r="BX378" i="12"/>
  <c r="BX380" i="12"/>
  <c r="BX382" i="12"/>
  <c r="BX383" i="12"/>
  <c r="BX386" i="12"/>
  <c r="BX334" i="12"/>
  <c r="BX360" i="12"/>
  <c r="BX376" i="12"/>
  <c r="BX377" i="12"/>
  <c r="BX330" i="12"/>
  <c r="BX336" i="12"/>
  <c r="BX363" i="12"/>
  <c r="BX370" i="12"/>
  <c r="BX372" i="12"/>
  <c r="BX350" i="12"/>
  <c r="BX358" i="12"/>
  <c r="BX359" i="12"/>
  <c r="BX361" i="12"/>
  <c r="BX362" i="12"/>
  <c r="BX365" i="12"/>
  <c r="BX375" i="12"/>
  <c r="BX385" i="12"/>
  <c r="BX389" i="12"/>
  <c r="BX393" i="12"/>
  <c r="BX351" i="12"/>
  <c r="BX381" i="12"/>
  <c r="BX384" i="12"/>
  <c r="BX388" i="12"/>
  <c r="BX390" i="12"/>
  <c r="BX391" i="12"/>
  <c r="BX366" i="12"/>
  <c r="BX367" i="12"/>
  <c r="BX368" i="12"/>
  <c r="BX369" i="12"/>
  <c r="BX379" i="12"/>
  <c r="BX387" i="12"/>
  <c r="BX392" i="12"/>
  <c r="BX394" i="12"/>
  <c r="BX395" i="12"/>
  <c r="BT332" i="12"/>
  <c r="BT335" i="12"/>
  <c r="BT338" i="12"/>
  <c r="BT340" i="12"/>
  <c r="BT347" i="12"/>
  <c r="BT348" i="12"/>
  <c r="BT331" i="12"/>
  <c r="BT342" i="12"/>
  <c r="BT343" i="12"/>
  <c r="BT345" i="12"/>
  <c r="BT349" i="12"/>
  <c r="BT352" i="12"/>
  <c r="BT355" i="12"/>
  <c r="BT333" i="12"/>
  <c r="BT334" i="12"/>
  <c r="BT336" i="12"/>
  <c r="BT341" i="12"/>
  <c r="BT346" i="12"/>
  <c r="BT353" i="12"/>
  <c r="BT354" i="12"/>
  <c r="BT357" i="12"/>
  <c r="BT330" i="12"/>
  <c r="BT337" i="12"/>
  <c r="BT358" i="12"/>
  <c r="BT364" i="12"/>
  <c r="BT371" i="12"/>
  <c r="BT373" i="12"/>
  <c r="BT374" i="12"/>
  <c r="BT378" i="12"/>
  <c r="BT380" i="12"/>
  <c r="BT382" i="12"/>
  <c r="BT383" i="12"/>
  <c r="BT386" i="12"/>
  <c r="BT339" i="12"/>
  <c r="BT360" i="12"/>
  <c r="BT376" i="12"/>
  <c r="BT377" i="12"/>
  <c r="BT350" i="12"/>
  <c r="BT351" i="12"/>
  <c r="BT356" i="12"/>
  <c r="BT363" i="12"/>
  <c r="BT370" i="12"/>
  <c r="BT372" i="12"/>
  <c r="BT344" i="12"/>
  <c r="BT381" i="12"/>
  <c r="BT384" i="12"/>
  <c r="BT387" i="12"/>
  <c r="BT379" i="12"/>
  <c r="BT393" i="12"/>
  <c r="BT366" i="12"/>
  <c r="BT367" i="12"/>
  <c r="BT368" i="12"/>
  <c r="BT369" i="12"/>
  <c r="BT385" i="12"/>
  <c r="BT389" i="12"/>
  <c r="BT391" i="12"/>
  <c r="BT359" i="12"/>
  <c r="BT361" i="12"/>
  <c r="BT362" i="12"/>
  <c r="BT365" i="12"/>
  <c r="BT375" i="12"/>
  <c r="BT388" i="12"/>
  <c r="BT390" i="12"/>
  <c r="BT392" i="12"/>
  <c r="BT394" i="12"/>
  <c r="BT395" i="12"/>
  <c r="CA331" i="12"/>
  <c r="CA334" i="12"/>
  <c r="CA336" i="12"/>
  <c r="CA344" i="12"/>
  <c r="CA346" i="12"/>
  <c r="CA330" i="12"/>
  <c r="CA333" i="12"/>
  <c r="CA337" i="12"/>
  <c r="CA339" i="12"/>
  <c r="CA341" i="12"/>
  <c r="CA340" i="12"/>
  <c r="CA353" i="12"/>
  <c r="CA354" i="12"/>
  <c r="CA342" i="12"/>
  <c r="CA347" i="12"/>
  <c r="CA348" i="12"/>
  <c r="CA358" i="12"/>
  <c r="CA332" i="12"/>
  <c r="CA338" i="12"/>
  <c r="CA343" i="12"/>
  <c r="CA345" i="12"/>
  <c r="CA350" i="12"/>
  <c r="CA351" i="12"/>
  <c r="CA335" i="12"/>
  <c r="CA352" i="12"/>
  <c r="CA360" i="12"/>
  <c r="CA376" i="12"/>
  <c r="CA377" i="12"/>
  <c r="CA385" i="12"/>
  <c r="CA388" i="12"/>
  <c r="CA390" i="12"/>
  <c r="CA355" i="12"/>
  <c r="CA356" i="12"/>
  <c r="CA357" i="12"/>
  <c r="CA363" i="12"/>
  <c r="CA370" i="12"/>
  <c r="CA372" i="12"/>
  <c r="CA379" i="12"/>
  <c r="CA381" i="12"/>
  <c r="CA359" i="12"/>
  <c r="CA361" i="12"/>
  <c r="CA362" i="12"/>
  <c r="CA365" i="12"/>
  <c r="CA366" i="12"/>
  <c r="CA367" i="12"/>
  <c r="CA368" i="12"/>
  <c r="CA369" i="12"/>
  <c r="CA364" i="12"/>
  <c r="CA380" i="12"/>
  <c r="CA393" i="12"/>
  <c r="CA387" i="12"/>
  <c r="CA391" i="12"/>
  <c r="CA349" i="12"/>
  <c r="CA373" i="12"/>
  <c r="CA374" i="12"/>
  <c r="CA375" i="12"/>
  <c r="CA378" i="12"/>
  <c r="CA386" i="12"/>
  <c r="CA392" i="12"/>
  <c r="CA394" i="12"/>
  <c r="CA395" i="12"/>
  <c r="CA371" i="12"/>
  <c r="CA382" i="12"/>
  <c r="CA383" i="12"/>
  <c r="CA384" i="12"/>
  <c r="CA389" i="12"/>
  <c r="BW331" i="12"/>
  <c r="BW334" i="12"/>
  <c r="BW336" i="12"/>
  <c r="BW344" i="12"/>
  <c r="BW346" i="12"/>
  <c r="BW330" i="12"/>
  <c r="BW333" i="12"/>
  <c r="BW337" i="12"/>
  <c r="BW339" i="12"/>
  <c r="BW341" i="12"/>
  <c r="BW338" i="12"/>
  <c r="BW343" i="12"/>
  <c r="BW345" i="12"/>
  <c r="BW353" i="12"/>
  <c r="BW354" i="12"/>
  <c r="BW332" i="12"/>
  <c r="BW335" i="12"/>
  <c r="BW358" i="12"/>
  <c r="BW340" i="12"/>
  <c r="BW347" i="12"/>
  <c r="BW348" i="12"/>
  <c r="BW350" i="12"/>
  <c r="BW351" i="12"/>
  <c r="BW355" i="12"/>
  <c r="BW360" i="12"/>
  <c r="BW376" i="12"/>
  <c r="BW377" i="12"/>
  <c r="BW385" i="12"/>
  <c r="BW388" i="12"/>
  <c r="BW390" i="12"/>
  <c r="BW363" i="12"/>
  <c r="BW370" i="12"/>
  <c r="BW372" i="12"/>
  <c r="BW379" i="12"/>
  <c r="BW381" i="12"/>
  <c r="BW342" i="12"/>
  <c r="BW349" i="12"/>
  <c r="BW357" i="12"/>
  <c r="BW359" i="12"/>
  <c r="BW361" i="12"/>
  <c r="BW362" i="12"/>
  <c r="BW365" i="12"/>
  <c r="BW366" i="12"/>
  <c r="BW367" i="12"/>
  <c r="BW368" i="12"/>
  <c r="BW369" i="12"/>
  <c r="BW352" i="12"/>
  <c r="BW373" i="12"/>
  <c r="BW374" i="12"/>
  <c r="BW375" i="12"/>
  <c r="BW378" i="12"/>
  <c r="BW389" i="12"/>
  <c r="BW393" i="12"/>
  <c r="BW382" i="12"/>
  <c r="BW383" i="12"/>
  <c r="BW384" i="12"/>
  <c r="BW391" i="12"/>
  <c r="BW356" i="12"/>
  <c r="BW371" i="12"/>
  <c r="BW380" i="12"/>
  <c r="BW387" i="12"/>
  <c r="BW392" i="12"/>
  <c r="BW394" i="12"/>
  <c r="BW395" i="12"/>
  <c r="BW364" i="12"/>
  <c r="BW386" i="12"/>
  <c r="P394" i="9"/>
  <c r="D462" i="9"/>
  <c r="Y488" i="8"/>
  <c r="Z488" i="8" s="1"/>
  <c r="AB488" i="8" s="1"/>
  <c r="M496" i="18"/>
  <c r="K496" i="18"/>
  <c r="L496" i="18"/>
  <c r="AA425" i="13"/>
  <c r="AB425" i="13" s="1"/>
  <c r="AC425" i="13" s="1"/>
  <c r="AD425" i="13" s="1"/>
  <c r="Z425" i="13"/>
  <c r="BX31" i="12"/>
  <c r="BX32" i="12"/>
  <c r="BX33" i="12"/>
  <c r="BX34" i="12"/>
  <c r="BX35" i="12"/>
  <c r="BX36" i="12"/>
  <c r="BX37" i="12"/>
  <c r="BX38" i="12"/>
  <c r="BX39" i="12"/>
  <c r="BX40" i="12"/>
  <c r="BX41" i="12"/>
  <c r="BX42" i="12"/>
  <c r="BX43" i="12"/>
  <c r="BX44" i="12"/>
  <c r="BX45" i="12"/>
  <c r="BX46" i="12"/>
  <c r="BX47" i="12"/>
  <c r="BX48" i="12"/>
  <c r="BX49" i="12"/>
  <c r="BX50" i="12"/>
  <c r="BX51" i="12"/>
  <c r="BX52" i="12"/>
  <c r="BX53" i="12"/>
  <c r="BX54" i="12"/>
  <c r="BX55" i="12"/>
  <c r="BX56" i="12"/>
  <c r="BX57" i="12"/>
  <c r="BX58" i="12"/>
  <c r="BX59" i="12"/>
  <c r="BX60" i="12"/>
  <c r="BX61" i="12"/>
  <c r="BX62" i="12"/>
  <c r="BX63" i="12"/>
  <c r="BX64" i="12"/>
  <c r="BX65" i="12"/>
  <c r="BX66" i="12"/>
  <c r="BX67" i="12"/>
  <c r="BX68" i="12"/>
  <c r="BX69" i="12"/>
  <c r="BX70" i="12"/>
  <c r="BX71" i="12"/>
  <c r="BX72" i="12"/>
  <c r="BT31" i="12"/>
  <c r="BT32" i="12"/>
  <c r="BT33" i="12"/>
  <c r="BT34" i="12"/>
  <c r="BT35" i="12"/>
  <c r="BT36" i="12"/>
  <c r="BT37" i="12"/>
  <c r="BT38" i="12"/>
  <c r="BT39" i="12"/>
  <c r="BT40" i="12"/>
  <c r="BT41" i="12"/>
  <c r="BT42" i="12"/>
  <c r="BT43" i="12"/>
  <c r="BT44" i="12"/>
  <c r="BT45" i="12"/>
  <c r="BT46" i="12"/>
  <c r="BT47" i="12"/>
  <c r="BT48" i="12"/>
  <c r="BT49" i="12"/>
  <c r="BT50" i="12"/>
  <c r="BT51" i="12"/>
  <c r="BT52" i="12"/>
  <c r="BT53" i="12"/>
  <c r="BT54" i="12"/>
  <c r="BT55" i="12"/>
  <c r="BT56" i="12"/>
  <c r="BT57" i="12"/>
  <c r="BT58" i="12"/>
  <c r="BT59" i="12"/>
  <c r="BT60" i="12"/>
  <c r="BT61" i="12"/>
  <c r="BT62" i="12"/>
  <c r="BT63" i="12"/>
  <c r="BT64" i="12"/>
  <c r="BT65" i="12"/>
  <c r="BT66" i="12"/>
  <c r="BT67" i="12"/>
  <c r="BT68" i="12"/>
  <c r="BT69" i="12"/>
  <c r="BT70" i="12"/>
  <c r="BT71" i="12"/>
  <c r="BT72" i="12"/>
  <c r="BT73" i="12"/>
  <c r="N496" i="18"/>
  <c r="O496" i="18" s="1"/>
  <c r="P384" i="9"/>
  <c r="AC488" i="13"/>
  <c r="AD488" i="13" s="1"/>
  <c r="L490" i="18"/>
  <c r="N490" i="18"/>
  <c r="O490" i="18" s="1"/>
  <c r="BZ31" i="12"/>
  <c r="BZ32" i="12"/>
  <c r="BZ33" i="12"/>
  <c r="BZ34" i="12"/>
  <c r="BZ35" i="12"/>
  <c r="BZ36" i="12"/>
  <c r="BZ37" i="12"/>
  <c r="BZ38" i="12"/>
  <c r="BZ39" i="12"/>
  <c r="BZ40" i="12"/>
  <c r="BZ41" i="12"/>
  <c r="BZ42" i="12"/>
  <c r="BZ43" i="12"/>
  <c r="BZ44" i="12"/>
  <c r="BZ45" i="12"/>
  <c r="BZ46" i="12"/>
  <c r="BZ47" i="12"/>
  <c r="BZ48" i="12"/>
  <c r="BZ49" i="12"/>
  <c r="BZ50" i="12"/>
  <c r="BZ51" i="12"/>
  <c r="BZ52" i="12"/>
  <c r="BZ53" i="12"/>
  <c r="BZ54" i="12"/>
  <c r="BZ55" i="12"/>
  <c r="BZ56" i="12"/>
  <c r="BZ57" i="12"/>
  <c r="BZ58" i="12"/>
  <c r="BZ59" i="12"/>
  <c r="BZ60" i="12"/>
  <c r="BZ61" i="12"/>
  <c r="BZ62" i="12"/>
  <c r="BZ63" i="12"/>
  <c r="BZ64" i="12"/>
  <c r="BZ65" i="12"/>
  <c r="BZ66" i="12"/>
  <c r="BZ67" i="12"/>
  <c r="BZ68" i="12"/>
  <c r="BZ69" i="12"/>
  <c r="BZ70" i="12"/>
  <c r="BZ71" i="12"/>
  <c r="BZ72" i="12"/>
  <c r="BV31" i="12"/>
  <c r="BV32" i="12"/>
  <c r="BV33" i="12"/>
  <c r="BV34" i="12"/>
  <c r="BV35" i="12"/>
  <c r="BV36" i="12"/>
  <c r="BV37" i="12"/>
  <c r="BV38" i="12"/>
  <c r="BV39" i="12"/>
  <c r="BV40" i="12"/>
  <c r="BV41" i="12"/>
  <c r="BV42" i="12"/>
  <c r="BV43" i="12"/>
  <c r="BV44" i="12"/>
  <c r="BV45" i="12"/>
  <c r="BV46" i="12"/>
  <c r="BV47" i="12"/>
  <c r="BV48" i="12"/>
  <c r="BV49" i="12"/>
  <c r="BV50" i="12"/>
  <c r="BV51" i="12"/>
  <c r="BV52" i="12"/>
  <c r="BV53" i="12"/>
  <c r="BV54" i="12"/>
  <c r="BV55" i="12"/>
  <c r="BV56" i="12"/>
  <c r="BV57" i="12"/>
  <c r="BV58" i="12"/>
  <c r="BV59" i="12"/>
  <c r="BV60" i="12"/>
  <c r="BV61" i="12"/>
  <c r="BV62" i="12"/>
  <c r="BV63" i="12"/>
  <c r="BV64" i="12"/>
  <c r="BV65" i="12"/>
  <c r="BV66" i="12"/>
  <c r="BV67" i="12"/>
  <c r="BV68" i="12"/>
  <c r="BV69" i="12"/>
  <c r="BV70" i="12"/>
  <c r="BV71" i="12"/>
  <c r="BV72" i="12"/>
  <c r="BV73" i="12"/>
  <c r="AA416" i="13"/>
  <c r="AB416" i="13" s="1"/>
  <c r="AC416" i="13" s="1"/>
  <c r="AD416" i="13" s="1"/>
  <c r="Z416" i="13"/>
  <c r="Z426" i="13"/>
  <c r="AA426" i="13"/>
  <c r="AB426" i="13" s="1"/>
  <c r="AC426" i="13" s="1"/>
  <c r="AD426" i="13" s="1"/>
  <c r="AC492" i="13"/>
  <c r="AD492" i="13" s="1"/>
  <c r="L423" i="18"/>
  <c r="M423" i="18"/>
  <c r="Y414" i="8"/>
  <c r="Z414" i="8" s="1"/>
  <c r="AB414" i="8" s="1"/>
  <c r="N425" i="18"/>
  <c r="O425" i="18" s="1"/>
  <c r="L425" i="18"/>
  <c r="N414" i="18"/>
  <c r="O414" i="18" s="1"/>
  <c r="M490" i="18"/>
  <c r="K490" i="18"/>
  <c r="AA484" i="13"/>
  <c r="AB484" i="13" s="1"/>
  <c r="AC484" i="13" s="1"/>
  <c r="AD484" i="13" s="1"/>
  <c r="L414" i="18"/>
  <c r="K492" i="18"/>
  <c r="D435" i="9"/>
  <c r="P435" i="9"/>
  <c r="P388" i="9"/>
  <c r="K414" i="18"/>
  <c r="N492" i="18"/>
  <c r="O492" i="18" s="1"/>
  <c r="Z492" i="13"/>
  <c r="M492" i="18"/>
  <c r="Q405" i="9"/>
  <c r="D396" i="9"/>
  <c r="AA431" i="13"/>
  <c r="AB431" i="13" s="1"/>
  <c r="AC431" i="13" s="1"/>
  <c r="AD431" i="13" s="1"/>
  <c r="Z423" i="13"/>
  <c r="AA423" i="13"/>
  <c r="AB423" i="13" s="1"/>
  <c r="AC423" i="13" s="1"/>
  <c r="AD423" i="13" s="1"/>
  <c r="AA490" i="13"/>
  <c r="AB490" i="13" s="1"/>
  <c r="AC490" i="13" s="1"/>
  <c r="AD490" i="13" s="1"/>
  <c r="Z490" i="13"/>
  <c r="Z453" i="13"/>
  <c r="M436" i="18"/>
  <c r="L485" i="18"/>
  <c r="AA497" i="13"/>
  <c r="AB497" i="13" s="1"/>
  <c r="AC497" i="13" s="1"/>
  <c r="AD497" i="13" s="1"/>
  <c r="Z438" i="13"/>
  <c r="L493" i="18"/>
  <c r="AA468" i="13"/>
  <c r="AB468" i="13" s="1"/>
  <c r="AC468" i="13" s="1"/>
  <c r="AD468" i="13" s="1"/>
  <c r="AA495" i="13"/>
  <c r="AB495" i="13" s="1"/>
  <c r="AC495" i="13" s="1"/>
  <c r="AD495" i="13" s="1"/>
  <c r="K440" i="18"/>
  <c r="K460" i="18"/>
  <c r="M444" i="18"/>
  <c r="K479" i="18"/>
  <c r="L479" i="18"/>
  <c r="K487" i="18"/>
  <c r="L487" i="18"/>
  <c r="L421" i="18"/>
  <c r="L413" i="18"/>
  <c r="M446" i="18"/>
  <c r="M487" i="18"/>
  <c r="K495" i="18"/>
  <c r="L441" i="18"/>
  <c r="M441" i="18"/>
  <c r="L445" i="18"/>
  <c r="M445" i="18"/>
  <c r="N451" i="18"/>
  <c r="O451" i="18" s="1"/>
  <c r="M411" i="18"/>
  <c r="L446" i="18"/>
  <c r="N466" i="18"/>
  <c r="O466" i="18" s="1"/>
  <c r="Z479" i="13"/>
  <c r="M495" i="18"/>
  <c r="L451" i="18"/>
  <c r="AA411" i="13"/>
  <c r="AB411" i="13" s="1"/>
  <c r="AC411" i="13" s="1"/>
  <c r="AD411" i="13" s="1"/>
  <c r="K464" i="18"/>
  <c r="L464" i="18"/>
  <c r="AA450" i="13"/>
  <c r="AB450" i="13" s="1"/>
  <c r="AC450" i="13" s="1"/>
  <c r="AD450" i="13" s="1"/>
  <c r="Z454" i="13"/>
  <c r="L466" i="18"/>
  <c r="AA466" i="13"/>
  <c r="AB466" i="13" s="1"/>
  <c r="AC466" i="13" s="1"/>
  <c r="AD466" i="13" s="1"/>
  <c r="M474" i="18"/>
  <c r="K491" i="18"/>
  <c r="L491" i="18"/>
  <c r="Z444" i="13"/>
  <c r="AA464" i="13"/>
  <c r="AB464" i="13" s="1"/>
  <c r="AC464" i="13" s="1"/>
  <c r="AD464" i="13" s="1"/>
  <c r="AA446" i="13"/>
  <c r="AB446" i="13" s="1"/>
  <c r="AC446" i="13" s="1"/>
  <c r="AD446" i="13" s="1"/>
  <c r="N474" i="18"/>
  <c r="O474" i="18" s="1"/>
  <c r="AC483" i="13"/>
  <c r="AD483" i="13" s="1"/>
  <c r="L489" i="18"/>
  <c r="L495" i="18"/>
  <c r="N439" i="18"/>
  <c r="O439" i="18" s="1"/>
  <c r="N441" i="18"/>
  <c r="O441" i="18" s="1"/>
  <c r="N443" i="18"/>
  <c r="O443" i="18" s="1"/>
  <c r="M449" i="18"/>
  <c r="K421" i="18"/>
  <c r="K436" i="18"/>
  <c r="AA448" i="13"/>
  <c r="AB448" i="13" s="1"/>
  <c r="AC448" i="13" s="1"/>
  <c r="AD448" i="13" s="1"/>
  <c r="K452" i="18"/>
  <c r="N452" i="18"/>
  <c r="O452" i="18" s="1"/>
  <c r="M452" i="18"/>
  <c r="L460" i="18"/>
  <c r="Z413" i="13"/>
  <c r="L481" i="18"/>
  <c r="AA485" i="13"/>
  <c r="AB485" i="13" s="1"/>
  <c r="AC485" i="13" s="1"/>
  <c r="AD485" i="13" s="1"/>
  <c r="AA493" i="13"/>
  <c r="AB493" i="13" s="1"/>
  <c r="AC493" i="13" s="1"/>
  <c r="AD493" i="13" s="1"/>
  <c r="AA445" i="13"/>
  <c r="AB445" i="13" s="1"/>
  <c r="AC445" i="13" s="1"/>
  <c r="AD445" i="13" s="1"/>
  <c r="N457" i="18"/>
  <c r="O457" i="18" s="1"/>
  <c r="N460" i="18"/>
  <c r="O460" i="18" s="1"/>
  <c r="L449" i="18"/>
  <c r="L409" i="18"/>
  <c r="M497" i="18"/>
  <c r="AA476" i="13"/>
  <c r="AB476" i="13" s="1"/>
  <c r="AC476" i="13" s="1"/>
  <c r="AD476" i="13" s="1"/>
  <c r="M478" i="18"/>
  <c r="K457" i="18"/>
  <c r="M457" i="18"/>
  <c r="N411" i="18"/>
  <c r="O411" i="18" s="1"/>
  <c r="AA421" i="13"/>
  <c r="AB421" i="13" s="1"/>
  <c r="AC421" i="13" s="1"/>
  <c r="AD421" i="13" s="1"/>
  <c r="K456" i="18"/>
  <c r="L456" i="18"/>
  <c r="K472" i="18"/>
  <c r="N472" i="18"/>
  <c r="O472" i="18" s="1"/>
  <c r="AC409" i="13"/>
  <c r="AD409" i="13" s="1"/>
  <c r="AC413" i="13"/>
  <c r="AD413" i="13" s="1"/>
  <c r="M438" i="18"/>
  <c r="AC438" i="13"/>
  <c r="AD438" i="13" s="1"/>
  <c r="AC454" i="13"/>
  <c r="AD454" i="13" s="1"/>
  <c r="N462" i="18"/>
  <c r="O462" i="18" s="1"/>
  <c r="AA462" i="13"/>
  <c r="AB462" i="13" s="1"/>
  <c r="AC462" i="13" s="1"/>
  <c r="AD462" i="13" s="1"/>
  <c r="K474" i="18"/>
  <c r="AA474" i="13"/>
  <c r="AB474" i="13" s="1"/>
  <c r="AC474" i="13" s="1"/>
  <c r="AD474" i="13" s="1"/>
  <c r="Z443" i="13"/>
  <c r="N447" i="18"/>
  <c r="O447" i="18" s="1"/>
  <c r="AA447" i="13"/>
  <c r="AB447" i="13" s="1"/>
  <c r="AC447" i="13" s="1"/>
  <c r="AD447" i="13" s="1"/>
  <c r="AC415" i="13"/>
  <c r="AD415" i="13" s="1"/>
  <c r="N419" i="18"/>
  <c r="O419" i="18" s="1"/>
  <c r="N436" i="18"/>
  <c r="O436" i="18" s="1"/>
  <c r="K409" i="18"/>
  <c r="K413" i="18"/>
  <c r="K417" i="18"/>
  <c r="L438" i="18"/>
  <c r="M450" i="18"/>
  <c r="N454" i="18"/>
  <c r="O454" i="18" s="1"/>
  <c r="N458" i="18"/>
  <c r="O458" i="18" s="1"/>
  <c r="L462" i="18"/>
  <c r="K468" i="18"/>
  <c r="L468" i="18"/>
  <c r="N478" i="18"/>
  <c r="O478" i="18" s="1"/>
  <c r="L439" i="18"/>
  <c r="N445" i="18"/>
  <c r="O445" i="18" s="1"/>
  <c r="L447" i="18"/>
  <c r="L455" i="18"/>
  <c r="K462" i="18"/>
  <c r="K466" i="18"/>
  <c r="K483" i="18"/>
  <c r="L483" i="18"/>
  <c r="M491" i="18"/>
  <c r="L497" i="18"/>
  <c r="K439" i="18"/>
  <c r="K447" i="18"/>
  <c r="K451" i="18"/>
  <c r="K453" i="18"/>
  <c r="L453" i="18"/>
  <c r="M453" i="18"/>
  <c r="K455" i="18"/>
  <c r="M455" i="18"/>
  <c r="N470" i="18"/>
  <c r="O470" i="18" s="1"/>
  <c r="N415" i="18"/>
  <c r="O415" i="18" s="1"/>
  <c r="N444" i="18"/>
  <c r="O444" i="18" s="1"/>
  <c r="N456" i="18"/>
  <c r="O456" i="18" s="1"/>
  <c r="N409" i="18"/>
  <c r="O409" i="18" s="1"/>
  <c r="Z409" i="13"/>
  <c r="N413" i="18"/>
  <c r="O413" i="18" s="1"/>
  <c r="L417" i="18"/>
  <c r="N417" i="18"/>
  <c r="O417" i="18" s="1"/>
  <c r="AA417" i="13"/>
  <c r="AB417" i="13" s="1"/>
  <c r="AC417" i="13" s="1"/>
  <c r="AD417" i="13" s="1"/>
  <c r="M434" i="18"/>
  <c r="L434" i="18"/>
  <c r="Z434" i="13"/>
  <c r="AA434" i="13"/>
  <c r="AB434" i="13" s="1"/>
  <c r="AC434" i="13" s="1"/>
  <c r="AD434" i="13" s="1"/>
  <c r="N438" i="18"/>
  <c r="O438" i="18" s="1"/>
  <c r="M442" i="18"/>
  <c r="L442" i="18"/>
  <c r="Z442" i="13"/>
  <c r="AA442" i="13"/>
  <c r="AB442" i="13" s="1"/>
  <c r="AC442" i="13" s="1"/>
  <c r="AD442" i="13" s="1"/>
  <c r="N446" i="18"/>
  <c r="O446" i="18" s="1"/>
  <c r="L450" i="18"/>
  <c r="L454" i="18"/>
  <c r="K454" i="18"/>
  <c r="L458" i="18"/>
  <c r="K458" i="18"/>
  <c r="AA458" i="13"/>
  <c r="AB458" i="13" s="1"/>
  <c r="AC458" i="13" s="1"/>
  <c r="AD458" i="13" s="1"/>
  <c r="Y439" i="8"/>
  <c r="Z439" i="8" s="1"/>
  <c r="AB439" i="8" s="1"/>
  <c r="D413" i="9"/>
  <c r="Q413" i="9"/>
  <c r="P413" i="9"/>
  <c r="P415" i="9"/>
  <c r="P419" i="9"/>
  <c r="Q419" i="9"/>
  <c r="Q421" i="9"/>
  <c r="Q423" i="9"/>
  <c r="Y453" i="8"/>
  <c r="Z453" i="8" s="1"/>
  <c r="AB453" i="8" s="1"/>
  <c r="D427" i="9"/>
  <c r="Y455" i="8"/>
  <c r="Z455" i="8" s="1"/>
  <c r="AB455" i="8" s="1"/>
  <c r="D429" i="9"/>
  <c r="Q429" i="9"/>
  <c r="P429" i="9"/>
  <c r="Q431" i="9"/>
  <c r="M479" i="18"/>
  <c r="AC479" i="13"/>
  <c r="AD479" i="13" s="1"/>
  <c r="M483" i="18"/>
  <c r="Z483" i="13"/>
  <c r="AA487" i="13"/>
  <c r="AB487" i="13" s="1"/>
  <c r="AC487" i="13" s="1"/>
  <c r="AD487" i="13" s="1"/>
  <c r="AA491" i="13"/>
  <c r="AB491" i="13" s="1"/>
  <c r="AC491" i="13" s="1"/>
  <c r="AD491" i="13" s="1"/>
  <c r="K497" i="18"/>
  <c r="K499" i="18"/>
  <c r="L499" i="18"/>
  <c r="M499" i="18"/>
  <c r="AA499" i="13"/>
  <c r="AB499" i="13" s="1"/>
  <c r="AC499" i="13" s="1"/>
  <c r="AD499" i="13" s="1"/>
  <c r="D385" i="9"/>
  <c r="Y411" i="8"/>
  <c r="Z411" i="8" s="1"/>
  <c r="AB411" i="8" s="1"/>
  <c r="P389" i="9"/>
  <c r="Q393" i="9"/>
  <c r="P393" i="9"/>
  <c r="D395" i="9"/>
  <c r="Y421" i="8"/>
  <c r="Z421" i="8" s="1"/>
  <c r="AB421" i="8" s="1"/>
  <c r="Y432" i="8"/>
  <c r="Z432" i="8" s="1"/>
  <c r="AB432" i="8" s="1"/>
  <c r="D406" i="9"/>
  <c r="P406" i="9"/>
  <c r="Y436" i="8"/>
  <c r="Z436" i="8" s="1"/>
  <c r="AB436" i="8" s="1"/>
  <c r="D410" i="9"/>
  <c r="Q414" i="9"/>
  <c r="Y444" i="8"/>
  <c r="Z444" i="8" s="1"/>
  <c r="AB444" i="8" s="1"/>
  <c r="D418" i="9"/>
  <c r="Y448" i="8"/>
  <c r="Z448" i="8" s="1"/>
  <c r="AB448" i="8" s="1"/>
  <c r="D422" i="9"/>
  <c r="Q426" i="9"/>
  <c r="P426" i="9"/>
  <c r="D430" i="9"/>
  <c r="Y456" i="8"/>
  <c r="Z456" i="8" s="1"/>
  <c r="AB456" i="8" s="1"/>
  <c r="Q434" i="9"/>
  <c r="D438" i="9"/>
  <c r="Y464" i="8"/>
  <c r="Z464" i="8" s="1"/>
  <c r="AB464" i="8" s="1"/>
  <c r="N468" i="18"/>
  <c r="O468" i="18" s="1"/>
  <c r="Q446" i="9"/>
  <c r="P446" i="9"/>
  <c r="L476" i="18"/>
  <c r="K476" i="18"/>
  <c r="M476" i="18"/>
  <c r="N476" i="18"/>
  <c r="O476" i="18" s="1"/>
  <c r="K478" i="18"/>
  <c r="AA478" i="13"/>
  <c r="AB478" i="13" s="1"/>
  <c r="AC478" i="13" s="1"/>
  <c r="AD478" i="13" s="1"/>
  <c r="M481" i="18"/>
  <c r="N481" i="18"/>
  <c r="O481" i="18" s="1"/>
  <c r="M485" i="18"/>
  <c r="N485" i="18"/>
  <c r="O485" i="18" s="1"/>
  <c r="M489" i="18"/>
  <c r="N489" i="18"/>
  <c r="O489" i="18" s="1"/>
  <c r="M493" i="18"/>
  <c r="N493" i="18"/>
  <c r="O493" i="18" s="1"/>
  <c r="D383" i="9"/>
  <c r="Y409" i="8"/>
  <c r="Z409" i="8" s="1"/>
  <c r="AB409" i="8" s="1"/>
  <c r="D387" i="9"/>
  <c r="Y413" i="8"/>
  <c r="Z413" i="8" s="1"/>
  <c r="AB413" i="8" s="1"/>
  <c r="D391" i="9"/>
  <c r="Y417" i="8"/>
  <c r="Z417" i="8" s="1"/>
  <c r="AB417" i="8" s="1"/>
  <c r="P408" i="9"/>
  <c r="Q412" i="9"/>
  <c r="P412" i="9"/>
  <c r="D420" i="9"/>
  <c r="Y446" i="8"/>
  <c r="Z446" i="8" s="1"/>
  <c r="AB446" i="8" s="1"/>
  <c r="AA441" i="13"/>
  <c r="AB441" i="13" s="1"/>
  <c r="AC441" i="13" s="1"/>
  <c r="AD441" i="13" s="1"/>
  <c r="Z441" i="13"/>
  <c r="L443" i="18"/>
  <c r="K443" i="18"/>
  <c r="AC443" i="13"/>
  <c r="AD443" i="13" s="1"/>
  <c r="N449" i="18"/>
  <c r="O449" i="18" s="1"/>
  <c r="AA449" i="13"/>
  <c r="AB449" i="13" s="1"/>
  <c r="AC449" i="13" s="1"/>
  <c r="AD449" i="13" s="1"/>
  <c r="Z449" i="13"/>
  <c r="Z457" i="13"/>
  <c r="AA457" i="13"/>
  <c r="AB457" i="13" s="1"/>
  <c r="AC457" i="13" s="1"/>
  <c r="AD457" i="13" s="1"/>
  <c r="Y466" i="8"/>
  <c r="Z466" i="8" s="1"/>
  <c r="AB466" i="8" s="1"/>
  <c r="D440" i="9"/>
  <c r="Q440" i="9"/>
  <c r="L470" i="18"/>
  <c r="K470" i="18"/>
  <c r="AA470" i="13"/>
  <c r="AB470" i="13" s="1"/>
  <c r="AC470" i="13" s="1"/>
  <c r="AD470" i="13" s="1"/>
  <c r="P448" i="9"/>
  <c r="Q457" i="9"/>
  <c r="P457" i="9"/>
  <c r="Y487" i="8"/>
  <c r="Z487" i="8" s="1"/>
  <c r="AB487" i="8" s="1"/>
  <c r="D461" i="9"/>
  <c r="Q465" i="9"/>
  <c r="Y499" i="8"/>
  <c r="Z499" i="8" s="1"/>
  <c r="AB499" i="8" s="1"/>
  <c r="D473" i="9"/>
  <c r="K411" i="18"/>
  <c r="L415" i="18"/>
  <c r="K415" i="18"/>
  <c r="Z415" i="13"/>
  <c r="L419" i="18"/>
  <c r="K419" i="18"/>
  <c r="N421" i="18"/>
  <c r="O421" i="18" s="1"/>
  <c r="L432" i="18"/>
  <c r="M432" i="18"/>
  <c r="N432" i="18"/>
  <c r="O432" i="18" s="1"/>
  <c r="AA432" i="13"/>
  <c r="AB432" i="13" s="1"/>
  <c r="AC432" i="13" s="1"/>
  <c r="AD432" i="13" s="1"/>
  <c r="AA436" i="13"/>
  <c r="AB436" i="13" s="1"/>
  <c r="AC436" i="13" s="1"/>
  <c r="AD436" i="13" s="1"/>
  <c r="L440" i="18"/>
  <c r="M440" i="18"/>
  <c r="AA440" i="13"/>
  <c r="AB440" i="13" s="1"/>
  <c r="AC440" i="13" s="1"/>
  <c r="AD440" i="13" s="1"/>
  <c r="AC444" i="13"/>
  <c r="AD444" i="13" s="1"/>
  <c r="L448" i="18"/>
  <c r="M448" i="18"/>
  <c r="N448" i="18"/>
  <c r="O448" i="18" s="1"/>
  <c r="AA452" i="13"/>
  <c r="AB452" i="13" s="1"/>
  <c r="AC452" i="13" s="1"/>
  <c r="AD452" i="13" s="1"/>
  <c r="AA456" i="13"/>
  <c r="AB456" i="13" s="1"/>
  <c r="AC456" i="13" s="1"/>
  <c r="AD456" i="13" s="1"/>
  <c r="AA460" i="13"/>
  <c r="AB460" i="13" s="1"/>
  <c r="AC460" i="13" s="1"/>
  <c r="AD460" i="13" s="1"/>
  <c r="N464" i="18"/>
  <c r="O464" i="18" s="1"/>
  <c r="Q442" i="9"/>
  <c r="AA472" i="13"/>
  <c r="AB472" i="13" s="1"/>
  <c r="AC472" i="13" s="1"/>
  <c r="AD472" i="13" s="1"/>
  <c r="P450" i="9"/>
  <c r="P452" i="9"/>
  <c r="Q452" i="9"/>
  <c r="D459" i="9"/>
  <c r="Y485" i="8"/>
  <c r="Z485" i="8" s="1"/>
  <c r="AB485" i="8" s="1"/>
  <c r="P467" i="9"/>
  <c r="N434" i="18"/>
  <c r="O434" i="18" s="1"/>
  <c r="N442" i="18"/>
  <c r="O442" i="18" s="1"/>
  <c r="N450" i="18"/>
  <c r="O450" i="18" s="1"/>
  <c r="D415" i="9"/>
  <c r="Y441" i="8"/>
  <c r="Z441" i="8" s="1"/>
  <c r="AB441" i="8" s="1"/>
  <c r="Y443" i="8"/>
  <c r="Z443" i="8" s="1"/>
  <c r="AB443" i="8" s="1"/>
  <c r="D417" i="9"/>
  <c r="Q417" i="9"/>
  <c r="D419" i="9"/>
  <c r="Y445" i="8"/>
  <c r="Z445" i="8" s="1"/>
  <c r="AB445" i="8" s="1"/>
  <c r="Y447" i="8"/>
  <c r="Z447" i="8" s="1"/>
  <c r="AB447" i="8" s="1"/>
  <c r="D421" i="9"/>
  <c r="D423" i="9"/>
  <c r="Y449" i="8"/>
  <c r="Z449" i="8" s="1"/>
  <c r="AB449" i="8" s="1"/>
  <c r="Y451" i="8"/>
  <c r="Z451" i="8" s="1"/>
  <c r="AB451" i="8" s="1"/>
  <c r="D425" i="9"/>
  <c r="P427" i="9"/>
  <c r="Y457" i="8"/>
  <c r="Z457" i="8" s="1"/>
  <c r="AB457" i="8" s="1"/>
  <c r="D431" i="9"/>
  <c r="Y470" i="8"/>
  <c r="Z470" i="8" s="1"/>
  <c r="AB470" i="8" s="1"/>
  <c r="D444" i="9"/>
  <c r="P444" i="9"/>
  <c r="Q444" i="9"/>
  <c r="Q385" i="9"/>
  <c r="P385" i="9"/>
  <c r="D389" i="9"/>
  <c r="Y415" i="8"/>
  <c r="Z415" i="8" s="1"/>
  <c r="AB415" i="8" s="1"/>
  <c r="D393" i="9"/>
  <c r="Y419" i="8"/>
  <c r="Z419" i="8" s="1"/>
  <c r="AB419" i="8" s="1"/>
  <c r="Q395" i="9"/>
  <c r="P410" i="9"/>
  <c r="Y440" i="8"/>
  <c r="Z440" i="8" s="1"/>
  <c r="AB440" i="8" s="1"/>
  <c r="D414" i="9"/>
  <c r="Q418" i="9"/>
  <c r="Q422" i="9"/>
  <c r="D426" i="9"/>
  <c r="Y452" i="8"/>
  <c r="Z452" i="8" s="1"/>
  <c r="AB452" i="8" s="1"/>
  <c r="Q430" i="9"/>
  <c r="D434" i="9"/>
  <c r="Y460" i="8"/>
  <c r="Z460" i="8" s="1"/>
  <c r="AB460" i="8" s="1"/>
  <c r="Q438" i="9"/>
  <c r="D446" i="9"/>
  <c r="Y472" i="8"/>
  <c r="Z472" i="8" s="1"/>
  <c r="AB472" i="8" s="1"/>
  <c r="AA481" i="13"/>
  <c r="AB481" i="13" s="1"/>
  <c r="AC481" i="13" s="1"/>
  <c r="AD481" i="13" s="1"/>
  <c r="Z481" i="13"/>
  <c r="P387" i="9"/>
  <c r="P391" i="9"/>
  <c r="Y434" i="8"/>
  <c r="Z434" i="8" s="1"/>
  <c r="AB434" i="8" s="1"/>
  <c r="D408" i="9"/>
  <c r="Y438" i="8"/>
  <c r="Z438" i="8" s="1"/>
  <c r="AB438" i="8" s="1"/>
  <c r="D412" i="9"/>
  <c r="Q416" i="9"/>
  <c r="Y442" i="8"/>
  <c r="Z442" i="8" s="1"/>
  <c r="AB442" i="8" s="1"/>
  <c r="D416" i="9"/>
  <c r="Q420" i="9"/>
  <c r="P420" i="9"/>
  <c r="Y450" i="8"/>
  <c r="Z450" i="8" s="1"/>
  <c r="AB450" i="8" s="1"/>
  <c r="D424" i="9"/>
  <c r="P424" i="9"/>
  <c r="Y454" i="8"/>
  <c r="Z454" i="8" s="1"/>
  <c r="AB454" i="8" s="1"/>
  <c r="D428" i="9"/>
  <c r="P428" i="9"/>
  <c r="Y458" i="8"/>
  <c r="Z458" i="8" s="1"/>
  <c r="AB458" i="8" s="1"/>
  <c r="D432" i="9"/>
  <c r="P432" i="9"/>
  <c r="Y462" i="8"/>
  <c r="Z462" i="8" s="1"/>
  <c r="AB462" i="8" s="1"/>
  <c r="D436" i="9"/>
  <c r="Z439" i="13"/>
  <c r="AA439" i="13"/>
  <c r="AB439" i="13" s="1"/>
  <c r="AC439" i="13" s="1"/>
  <c r="AD439" i="13" s="1"/>
  <c r="AA451" i="13"/>
  <c r="AB451" i="13" s="1"/>
  <c r="AC451" i="13" s="1"/>
  <c r="AD451" i="13" s="1"/>
  <c r="Z451" i="13"/>
  <c r="Z455" i="13"/>
  <c r="AA455" i="13"/>
  <c r="AB455" i="13" s="1"/>
  <c r="AC455" i="13" s="1"/>
  <c r="AD455" i="13" s="1"/>
  <c r="Y474" i="8"/>
  <c r="Z474" i="8" s="1"/>
  <c r="AB474" i="8" s="1"/>
  <c r="D448" i="9"/>
  <c r="Y479" i="8"/>
  <c r="Z479" i="8" s="1"/>
  <c r="AB479" i="8" s="1"/>
  <c r="D453" i="9"/>
  <c r="P453" i="9"/>
  <c r="Y483" i="8"/>
  <c r="Z483" i="8" s="1"/>
  <c r="AB483" i="8" s="1"/>
  <c r="D457" i="9"/>
  <c r="P461" i="9"/>
  <c r="Y491" i="8"/>
  <c r="Z491" i="8" s="1"/>
  <c r="AB491" i="8" s="1"/>
  <c r="D465" i="9"/>
  <c r="P471" i="9"/>
  <c r="D471" i="9"/>
  <c r="Y497" i="8"/>
  <c r="Z497" i="8" s="1"/>
  <c r="AB497" i="8" s="1"/>
  <c r="AA419" i="13"/>
  <c r="AB419" i="13" s="1"/>
  <c r="AC419" i="13" s="1"/>
  <c r="AD419" i="13" s="1"/>
  <c r="Z419" i="13"/>
  <c r="D442" i="9"/>
  <c r="Y468" i="8"/>
  <c r="Z468" i="8" s="1"/>
  <c r="AB468" i="8" s="1"/>
  <c r="D450" i="9"/>
  <c r="Y476" i="8"/>
  <c r="Z476" i="8" s="1"/>
  <c r="AB476" i="8" s="1"/>
  <c r="Y478" i="8"/>
  <c r="Z478" i="8" s="1"/>
  <c r="AB478" i="8" s="1"/>
  <c r="D452" i="9"/>
  <c r="P455" i="9"/>
  <c r="D455" i="9"/>
  <c r="Y481" i="8"/>
  <c r="Z481" i="8" s="1"/>
  <c r="AB481" i="8" s="1"/>
  <c r="Q463" i="9"/>
  <c r="P463" i="9"/>
  <c r="D463" i="9"/>
  <c r="Y489" i="8"/>
  <c r="Z489" i="8" s="1"/>
  <c r="AB489" i="8" s="1"/>
  <c r="Y493" i="8"/>
  <c r="Z493" i="8" s="1"/>
  <c r="AB493" i="8" s="1"/>
  <c r="D467" i="9"/>
  <c r="Y495" i="8"/>
  <c r="Z495" i="8" s="1"/>
  <c r="AB495" i="8" s="1"/>
  <c r="D469" i="9"/>
  <c r="P469" i="9"/>
  <c r="BL2" i="12"/>
  <c r="K446" i="19" l="1"/>
  <c r="W464" i="19"/>
  <c r="AA416" i="19"/>
  <c r="Y416" i="19"/>
  <c r="N416" i="19"/>
  <c r="K416" i="19"/>
  <c r="AI487" i="19"/>
  <c r="P487" i="19"/>
  <c r="AF495" i="19"/>
  <c r="B476" i="19"/>
  <c r="P479" i="19"/>
  <c r="L450" i="19"/>
  <c r="V440" i="19"/>
  <c r="B440" i="19"/>
  <c r="Q440" i="19"/>
  <c r="Z440" i="19"/>
  <c r="Y431" i="19"/>
  <c r="V472" i="19"/>
  <c r="K472" i="19"/>
  <c r="N472" i="19"/>
  <c r="Z472" i="19"/>
  <c r="Y411" i="19"/>
  <c r="K411" i="19"/>
  <c r="Z411" i="19"/>
  <c r="V451" i="19"/>
  <c r="AI416" i="19"/>
  <c r="AF416" i="19"/>
  <c r="W416" i="19"/>
  <c r="V487" i="19"/>
  <c r="T487" i="19"/>
  <c r="N495" i="19"/>
  <c r="T479" i="19"/>
  <c r="Q450" i="19"/>
  <c r="K440" i="19"/>
  <c r="L440" i="19"/>
  <c r="N440" i="19"/>
  <c r="T440" i="19"/>
  <c r="S431" i="19"/>
  <c r="N431" i="19"/>
  <c r="S434" i="19"/>
  <c r="AF472" i="19"/>
  <c r="B472" i="19"/>
  <c r="Q472" i="19"/>
  <c r="T472" i="19"/>
  <c r="V411" i="19"/>
  <c r="AF411" i="19"/>
  <c r="AI411" i="19"/>
  <c r="T411" i="19"/>
  <c r="S416" i="19"/>
  <c r="L416" i="19"/>
  <c r="P416" i="19"/>
  <c r="L487" i="19"/>
  <c r="S440" i="19"/>
  <c r="AI440" i="19"/>
  <c r="P440" i="19"/>
  <c r="K431" i="19"/>
  <c r="S472" i="19"/>
  <c r="L472" i="19"/>
  <c r="L411" i="19"/>
  <c r="AA411" i="19"/>
  <c r="P411" i="19"/>
  <c r="T488" i="19"/>
  <c r="P488" i="19"/>
  <c r="V488" i="19"/>
  <c r="Y488" i="19"/>
  <c r="Z488" i="19"/>
  <c r="AF488" i="19"/>
  <c r="P489" i="19"/>
  <c r="S489" i="19"/>
  <c r="L481" i="19"/>
  <c r="V481" i="19"/>
  <c r="W483" i="19"/>
  <c r="T483" i="19"/>
  <c r="K483" i="19"/>
  <c r="N483" i="19"/>
  <c r="AF483" i="19"/>
  <c r="P483" i="19"/>
  <c r="AA483" i="19"/>
  <c r="N466" i="19"/>
  <c r="AF466" i="19"/>
  <c r="AI466" i="19"/>
  <c r="BP402" i="12"/>
  <c r="BL402" i="12" s="1"/>
  <c r="BP396" i="12"/>
  <c r="BL396" i="12" s="1"/>
  <c r="BP404" i="12"/>
  <c r="BL404" i="12" s="1"/>
  <c r="P400" i="9"/>
  <c r="Q400" i="9"/>
  <c r="W493" i="19"/>
  <c r="N493" i="19"/>
  <c r="L493" i="19"/>
  <c r="AI493" i="19"/>
  <c r="Z493" i="19"/>
  <c r="AA493" i="19"/>
  <c r="V468" i="19"/>
  <c r="P468" i="19"/>
  <c r="AI497" i="19"/>
  <c r="N497" i="19"/>
  <c r="Y454" i="19"/>
  <c r="W454" i="19"/>
  <c r="V442" i="19"/>
  <c r="T442" i="19"/>
  <c r="Q409" i="19"/>
  <c r="W409" i="19"/>
  <c r="AI409" i="19"/>
  <c r="T409" i="19"/>
  <c r="V409" i="19"/>
  <c r="P409" i="19"/>
  <c r="AA409" i="19"/>
  <c r="W460" i="19"/>
  <c r="AI460" i="19"/>
  <c r="Q452" i="19"/>
  <c r="K452" i="19"/>
  <c r="Z432" i="19"/>
  <c r="B432" i="19"/>
  <c r="Q419" i="19"/>
  <c r="AF419" i="19"/>
  <c r="Q493" i="19"/>
  <c r="AI483" i="19"/>
  <c r="P481" i="19"/>
  <c r="Z447" i="19"/>
  <c r="L447" i="19"/>
  <c r="W443" i="19"/>
  <c r="AA443" i="19"/>
  <c r="BP405" i="12"/>
  <c r="BL405" i="12" s="1"/>
  <c r="BP400" i="12"/>
  <c r="BL400" i="12" s="1"/>
  <c r="BP401" i="12"/>
  <c r="BL401" i="12" s="1"/>
  <c r="BP403" i="12"/>
  <c r="BL403" i="12" s="1"/>
  <c r="BP407" i="12"/>
  <c r="BL407" i="12" s="1"/>
  <c r="BP397" i="12"/>
  <c r="BL397" i="12" s="1"/>
  <c r="BP398" i="12"/>
  <c r="BL398" i="12" s="1"/>
  <c r="BP399" i="12"/>
  <c r="BL399" i="12" s="1"/>
  <c r="BP406" i="12"/>
  <c r="BL406" i="12" s="1"/>
  <c r="P397" i="9"/>
  <c r="W413" i="19"/>
  <c r="Z413" i="19"/>
  <c r="N413" i="19"/>
  <c r="AA413" i="19"/>
  <c r="AF413" i="19"/>
  <c r="T415" i="19"/>
  <c r="W415" i="19"/>
  <c r="P415" i="19"/>
  <c r="K415" i="19"/>
  <c r="Y415" i="19"/>
  <c r="W495" i="19"/>
  <c r="T495" i="19"/>
  <c r="P495" i="19"/>
  <c r="Y495" i="19"/>
  <c r="S495" i="19"/>
  <c r="W489" i="19"/>
  <c r="AA489" i="19"/>
  <c r="N485" i="19"/>
  <c r="AF485" i="19"/>
  <c r="T476" i="19"/>
  <c r="Z476" i="19"/>
  <c r="N476" i="19"/>
  <c r="O476" i="19" s="1"/>
  <c r="S476" i="19"/>
  <c r="K476" i="19"/>
  <c r="Z491" i="19"/>
  <c r="AF491" i="19"/>
  <c r="W479" i="19"/>
  <c r="L479" i="19"/>
  <c r="Z479" i="19"/>
  <c r="Y479" i="19"/>
  <c r="B479" i="19"/>
  <c r="Z466" i="19"/>
  <c r="P466" i="19"/>
  <c r="Y466" i="19"/>
  <c r="V466" i="19"/>
  <c r="T462" i="19"/>
  <c r="Y462" i="19"/>
  <c r="N458" i="19"/>
  <c r="O458" i="19" s="1"/>
  <c r="V458" i="19"/>
  <c r="T450" i="19"/>
  <c r="W450" i="19"/>
  <c r="V450" i="19"/>
  <c r="K450" i="19"/>
  <c r="AF450" i="19"/>
  <c r="W438" i="19"/>
  <c r="K438" i="19"/>
  <c r="T434" i="19"/>
  <c r="AI434" i="19"/>
  <c r="Q417" i="19"/>
  <c r="K417" i="19"/>
  <c r="K470" i="19"/>
  <c r="W470" i="19"/>
  <c r="S470" i="19"/>
  <c r="AA470" i="19"/>
  <c r="AI451" i="19"/>
  <c r="B451" i="19"/>
  <c r="Z449" i="19"/>
  <c r="Q449" i="19"/>
  <c r="L449" i="19"/>
  <c r="K449" i="19"/>
  <c r="AI449" i="19"/>
  <c r="W447" i="19"/>
  <c r="T447" i="19"/>
  <c r="P447" i="19"/>
  <c r="AF447" i="19"/>
  <c r="S447" i="19"/>
  <c r="Y445" i="19"/>
  <c r="V445" i="19"/>
  <c r="Q443" i="19"/>
  <c r="K443" i="19"/>
  <c r="N441" i="19"/>
  <c r="L441" i="19"/>
  <c r="P433" i="19"/>
  <c r="AF433" i="19"/>
  <c r="K433" i="19"/>
  <c r="T490" i="19"/>
  <c r="N490" i="19"/>
  <c r="O490" i="19" s="1"/>
  <c r="S490" i="19"/>
  <c r="B490" i="19"/>
  <c r="W478" i="19"/>
  <c r="L478" i="19"/>
  <c r="B478" i="19"/>
  <c r="V478" i="19"/>
  <c r="W468" i="19"/>
  <c r="L468" i="19"/>
  <c r="AI468" i="19"/>
  <c r="Q497" i="19"/>
  <c r="Y497" i="19"/>
  <c r="V497" i="19"/>
  <c r="S497" i="19"/>
  <c r="Z474" i="19"/>
  <c r="Q474" i="19"/>
  <c r="S474" i="19"/>
  <c r="AI474" i="19"/>
  <c r="Z454" i="19"/>
  <c r="Q454" i="19"/>
  <c r="AA454" i="19"/>
  <c r="AI454" i="19"/>
  <c r="W446" i="19"/>
  <c r="L446" i="19"/>
  <c r="AA446" i="19"/>
  <c r="AI446" i="19"/>
  <c r="P442" i="19"/>
  <c r="B442" i="19"/>
  <c r="AI442" i="19"/>
  <c r="T464" i="19"/>
  <c r="P464" i="19"/>
  <c r="B464" i="19"/>
  <c r="AA464" i="19"/>
  <c r="Q460" i="19"/>
  <c r="K460" i="19"/>
  <c r="AF460" i="19"/>
  <c r="V460" i="19"/>
  <c r="N456" i="19"/>
  <c r="AI456" i="19"/>
  <c r="L456" i="19"/>
  <c r="Z452" i="19"/>
  <c r="N452" i="19"/>
  <c r="O452" i="19" s="1"/>
  <c r="R452" i="19" s="1"/>
  <c r="B452" i="19"/>
  <c r="V452" i="19"/>
  <c r="T448" i="19"/>
  <c r="Q448" i="19"/>
  <c r="AI448" i="19"/>
  <c r="AF448" i="19"/>
  <c r="N432" i="19"/>
  <c r="L432" i="19"/>
  <c r="K432" i="19"/>
  <c r="Z421" i="19"/>
  <c r="P421" i="19"/>
  <c r="B421" i="19"/>
  <c r="Y421" i="19"/>
  <c r="W419" i="19"/>
  <c r="N419" i="19"/>
  <c r="S419" i="19"/>
  <c r="V419" i="19"/>
  <c r="Z489" i="19"/>
  <c r="T489" i="19"/>
  <c r="N489" i="19"/>
  <c r="AI489" i="19"/>
  <c r="Y489" i="19"/>
  <c r="V489" i="19"/>
  <c r="L489" i="19"/>
  <c r="Z485" i="19"/>
  <c r="Q485" i="19"/>
  <c r="P485" i="19"/>
  <c r="AI485" i="19"/>
  <c r="B485" i="19"/>
  <c r="S485" i="19"/>
  <c r="V485" i="19"/>
  <c r="W481" i="19"/>
  <c r="Q481" i="19"/>
  <c r="T481" i="19"/>
  <c r="Y481" i="19"/>
  <c r="AF481" i="19"/>
  <c r="AA481" i="19"/>
  <c r="AI481" i="19"/>
  <c r="K481" i="19"/>
  <c r="L491" i="19"/>
  <c r="T491" i="19"/>
  <c r="N491" i="19"/>
  <c r="P491" i="19"/>
  <c r="AI491" i="19"/>
  <c r="AA491" i="19"/>
  <c r="S491" i="19"/>
  <c r="V491" i="19"/>
  <c r="Z462" i="19"/>
  <c r="W462" i="19"/>
  <c r="Q462" i="19"/>
  <c r="V462" i="19"/>
  <c r="AA462" i="19"/>
  <c r="B462" i="19"/>
  <c r="S462" i="19"/>
  <c r="Z458" i="19"/>
  <c r="W458" i="19"/>
  <c r="Q458" i="19"/>
  <c r="Y458" i="19"/>
  <c r="AI458" i="19"/>
  <c r="S458" i="19"/>
  <c r="AF458" i="19"/>
  <c r="AA458" i="19"/>
  <c r="S438" i="19"/>
  <c r="T438" i="19"/>
  <c r="P438" i="19"/>
  <c r="N438" i="19"/>
  <c r="Y438" i="19"/>
  <c r="AI438" i="19"/>
  <c r="V438" i="19"/>
  <c r="AF438" i="19"/>
  <c r="Z434" i="19"/>
  <c r="W434" i="19"/>
  <c r="Q434" i="19"/>
  <c r="L434" i="19"/>
  <c r="V434" i="19"/>
  <c r="AF434" i="19"/>
  <c r="Y434" i="19"/>
  <c r="B434" i="19"/>
  <c r="Z417" i="19"/>
  <c r="P417" i="19"/>
  <c r="N417" i="19"/>
  <c r="Y417" i="19"/>
  <c r="L417" i="19"/>
  <c r="B417" i="19"/>
  <c r="V417" i="19"/>
  <c r="T451" i="19"/>
  <c r="N451" i="19"/>
  <c r="P451" i="19"/>
  <c r="Y451" i="19"/>
  <c r="L451" i="19"/>
  <c r="AF451" i="19"/>
  <c r="S451" i="19"/>
  <c r="Z445" i="19"/>
  <c r="Q445" i="19"/>
  <c r="N445" i="19"/>
  <c r="O445" i="19" s="1"/>
  <c r="AF445" i="19"/>
  <c r="B445" i="19"/>
  <c r="AI443" i="19"/>
  <c r="T443" i="19"/>
  <c r="N443" i="19"/>
  <c r="P443" i="19"/>
  <c r="L443" i="19"/>
  <c r="AF443" i="19"/>
  <c r="B443" i="19"/>
  <c r="V443" i="19"/>
  <c r="W441" i="19"/>
  <c r="Q441" i="19"/>
  <c r="P441" i="19"/>
  <c r="K441" i="19"/>
  <c r="O441" i="19" s="1"/>
  <c r="S441" i="19"/>
  <c r="AF441" i="19"/>
  <c r="Y441" i="19"/>
  <c r="V441" i="19"/>
  <c r="W463" i="19"/>
  <c r="Z463" i="19"/>
  <c r="Q463" i="19"/>
  <c r="AI463" i="19"/>
  <c r="Y463" i="19"/>
  <c r="B463" i="19"/>
  <c r="AA463" i="19"/>
  <c r="V463" i="19"/>
  <c r="Q396" i="9"/>
  <c r="P462" i="9"/>
  <c r="P460" i="9"/>
  <c r="V493" i="19"/>
  <c r="AF493" i="19"/>
  <c r="Y493" i="19"/>
  <c r="K493" i="19"/>
  <c r="S493" i="19"/>
  <c r="P493" i="19"/>
  <c r="T493" i="19"/>
  <c r="AF499" i="19"/>
  <c r="AA499" i="19"/>
  <c r="K499" i="19"/>
  <c r="AI499" i="19"/>
  <c r="Q499" i="19"/>
  <c r="Z499" i="19"/>
  <c r="AA487" i="19"/>
  <c r="AF487" i="19"/>
  <c r="Y487" i="19"/>
  <c r="S487" i="19"/>
  <c r="B487" i="19"/>
  <c r="N487" i="19"/>
  <c r="O487" i="19" s="1"/>
  <c r="Q487" i="19"/>
  <c r="S483" i="19"/>
  <c r="V483" i="19"/>
  <c r="B483" i="19"/>
  <c r="Y483" i="19"/>
  <c r="Q483" i="19"/>
  <c r="Z483" i="19"/>
  <c r="B409" i="19"/>
  <c r="K409" i="19"/>
  <c r="Y409" i="19"/>
  <c r="L409" i="19"/>
  <c r="S409" i="19"/>
  <c r="N409" i="19"/>
  <c r="Z409" i="19"/>
  <c r="B488" i="19"/>
  <c r="S488" i="19"/>
  <c r="AI488" i="19"/>
  <c r="L488" i="19"/>
  <c r="K488" i="19"/>
  <c r="N488" i="19"/>
  <c r="O488" i="19" s="1"/>
  <c r="R488" i="19" s="1"/>
  <c r="W488" i="19"/>
  <c r="B495" i="19"/>
  <c r="K495" i="19"/>
  <c r="V495" i="19"/>
  <c r="AI495" i="19"/>
  <c r="Q495" i="19"/>
  <c r="Z495" i="19"/>
  <c r="V476" i="19"/>
  <c r="AA476" i="19"/>
  <c r="AI476" i="19"/>
  <c r="L476" i="19"/>
  <c r="Y476" i="19"/>
  <c r="W476" i="19"/>
  <c r="Q476" i="19"/>
  <c r="S479" i="19"/>
  <c r="AA479" i="19"/>
  <c r="AF479" i="19"/>
  <c r="AI479" i="19"/>
  <c r="Q479" i="19"/>
  <c r="N479" i="19"/>
  <c r="O479" i="19" s="1"/>
  <c r="R479" i="19" s="1"/>
  <c r="U479" i="19" s="1"/>
  <c r="X479" i="19" s="1"/>
  <c r="B466" i="19"/>
  <c r="AA466" i="19"/>
  <c r="L466" i="19"/>
  <c r="S466" i="19"/>
  <c r="K466" i="19"/>
  <c r="O466" i="19" s="1"/>
  <c r="Q466" i="19"/>
  <c r="W466" i="19"/>
  <c r="B450" i="19"/>
  <c r="S450" i="19"/>
  <c r="AA450" i="19"/>
  <c r="AI450" i="19"/>
  <c r="N450" i="19"/>
  <c r="O450" i="19" s="1"/>
  <c r="R450" i="19" s="1"/>
  <c r="P450" i="19"/>
  <c r="B413" i="19"/>
  <c r="Y413" i="19"/>
  <c r="S413" i="19"/>
  <c r="K413" i="19"/>
  <c r="O413" i="19" s="1"/>
  <c r="R413" i="19" s="1"/>
  <c r="V413" i="19"/>
  <c r="P413" i="19"/>
  <c r="T413" i="19"/>
  <c r="S415" i="19"/>
  <c r="B415" i="19"/>
  <c r="AI415" i="19"/>
  <c r="AF415" i="19"/>
  <c r="N415" i="19"/>
  <c r="Z415" i="19"/>
  <c r="AF470" i="19"/>
  <c r="B470" i="19"/>
  <c r="V470" i="19"/>
  <c r="AI470" i="19"/>
  <c r="N470" i="19"/>
  <c r="P470" i="19"/>
  <c r="T470" i="19"/>
  <c r="AA449" i="19"/>
  <c r="V449" i="19"/>
  <c r="B449" i="19"/>
  <c r="AF449" i="19"/>
  <c r="N449" i="19"/>
  <c r="O449" i="19" s="1"/>
  <c r="P449" i="19"/>
  <c r="V447" i="19"/>
  <c r="AA447" i="19"/>
  <c r="B447" i="19"/>
  <c r="AI447" i="19"/>
  <c r="Y447" i="19"/>
  <c r="Q447" i="19"/>
  <c r="N447" i="19"/>
  <c r="O447" i="19" s="1"/>
  <c r="AI445" i="19"/>
  <c r="S445" i="19"/>
  <c r="L445" i="19"/>
  <c r="P445" i="19"/>
  <c r="W445" i="19"/>
  <c r="B441" i="19"/>
  <c r="AA441" i="19"/>
  <c r="T441" i="19"/>
  <c r="Y433" i="19"/>
  <c r="T433" i="19"/>
  <c r="AI490" i="19"/>
  <c r="P490" i="19"/>
  <c r="Y485" i="19"/>
  <c r="K485" i="19"/>
  <c r="L485" i="19"/>
  <c r="T485" i="19"/>
  <c r="K478" i="19"/>
  <c r="Q478" i="19"/>
  <c r="K491" i="19"/>
  <c r="O491" i="19" s="1"/>
  <c r="R491" i="19" s="1"/>
  <c r="U491" i="19" s="1"/>
  <c r="B491" i="19"/>
  <c r="Q491" i="19"/>
  <c r="W491" i="19"/>
  <c r="Y474" i="19"/>
  <c r="W474" i="19"/>
  <c r="AI462" i="19"/>
  <c r="L462" i="19"/>
  <c r="P462" i="19"/>
  <c r="K462" i="19"/>
  <c r="O462" i="19" s="1"/>
  <c r="R462" i="19" s="1"/>
  <c r="U462" i="19" s="1"/>
  <c r="B446" i="19"/>
  <c r="Z446" i="19"/>
  <c r="K434" i="19"/>
  <c r="O434" i="19" s="1"/>
  <c r="AA434" i="19"/>
  <c r="P434" i="19"/>
  <c r="B419" i="19"/>
  <c r="L419" i="19"/>
  <c r="K463" i="19"/>
  <c r="L463" i="19"/>
  <c r="N463" i="19"/>
  <c r="O463" i="19" s="1"/>
  <c r="K489" i="19"/>
  <c r="AF489" i="19"/>
  <c r="B489" i="19"/>
  <c r="Q489" i="19"/>
  <c r="S481" i="19"/>
  <c r="B481" i="19"/>
  <c r="N481" i="19"/>
  <c r="Z481" i="19"/>
  <c r="K468" i="19"/>
  <c r="Z468" i="19"/>
  <c r="L497" i="19"/>
  <c r="W497" i="19"/>
  <c r="B458" i="19"/>
  <c r="L458" i="19"/>
  <c r="P458" i="19"/>
  <c r="AF454" i="19"/>
  <c r="V454" i="19"/>
  <c r="S442" i="19"/>
  <c r="N442" i="19"/>
  <c r="AA438" i="19"/>
  <c r="L438" i="19"/>
  <c r="Q438" i="19"/>
  <c r="Z438" i="19"/>
  <c r="AA417" i="19"/>
  <c r="AI417" i="19"/>
  <c r="T417" i="19"/>
  <c r="W417" i="19"/>
  <c r="L460" i="19"/>
  <c r="T460" i="19"/>
  <c r="AF452" i="19"/>
  <c r="S448" i="19"/>
  <c r="Y448" i="19"/>
  <c r="AF432" i="19"/>
  <c r="P432" i="19"/>
  <c r="AI421" i="19"/>
  <c r="Q421" i="19"/>
  <c r="AA451" i="19"/>
  <c r="K451" i="19"/>
  <c r="Q451" i="19"/>
  <c r="W451" i="19"/>
  <c r="S443" i="19"/>
  <c r="Y443" i="19"/>
  <c r="Z443" i="19"/>
  <c r="S464" i="19"/>
  <c r="Y464" i="19"/>
  <c r="V456" i="19"/>
  <c r="P456" i="19"/>
  <c r="O475" i="19"/>
  <c r="R475" i="19" s="1"/>
  <c r="U475" i="19" s="1"/>
  <c r="O469" i="19"/>
  <c r="R469" i="19" s="1"/>
  <c r="U469" i="19" s="1"/>
  <c r="O477" i="19"/>
  <c r="R477" i="19" s="1"/>
  <c r="O484" i="19"/>
  <c r="R425" i="19"/>
  <c r="U425" i="19" s="1"/>
  <c r="X425" i="19" s="1"/>
  <c r="R500" i="19"/>
  <c r="U500" i="19" s="1"/>
  <c r="X500" i="19" s="1"/>
  <c r="O430" i="19"/>
  <c r="R430" i="19" s="1"/>
  <c r="U430" i="19" s="1"/>
  <c r="X430" i="19" s="1"/>
  <c r="R496" i="19"/>
  <c r="O437" i="19"/>
  <c r="R437" i="19" s="1"/>
  <c r="U437" i="19" s="1"/>
  <c r="U496" i="19"/>
  <c r="R484" i="19"/>
  <c r="U484" i="19" s="1"/>
  <c r="W433" i="19"/>
  <c r="Q433" i="19"/>
  <c r="N433" i="19"/>
  <c r="O433" i="19" s="1"/>
  <c r="S433" i="19"/>
  <c r="L433" i="19"/>
  <c r="AA433" i="19"/>
  <c r="V433" i="19"/>
  <c r="B433" i="19"/>
  <c r="Z490" i="19"/>
  <c r="W490" i="19"/>
  <c r="Q490" i="19"/>
  <c r="L490" i="19"/>
  <c r="V490" i="19"/>
  <c r="Y490" i="19"/>
  <c r="AF490" i="19"/>
  <c r="T478" i="19"/>
  <c r="P478" i="19"/>
  <c r="N478" i="19"/>
  <c r="O478" i="19" s="1"/>
  <c r="AI478" i="19"/>
  <c r="S478" i="19"/>
  <c r="AF478" i="19"/>
  <c r="AA478" i="19"/>
  <c r="T468" i="19"/>
  <c r="N468" i="19"/>
  <c r="Q468" i="19"/>
  <c r="AF468" i="19"/>
  <c r="B468" i="19"/>
  <c r="Y468" i="19"/>
  <c r="AA468" i="19"/>
  <c r="S468" i="19"/>
  <c r="Z497" i="19"/>
  <c r="P497" i="19"/>
  <c r="T497" i="19"/>
  <c r="AF497" i="19"/>
  <c r="K497" i="19"/>
  <c r="O497" i="19" s="1"/>
  <c r="R497" i="19" s="1"/>
  <c r="B497" i="19"/>
  <c r="AA497" i="19"/>
  <c r="T474" i="19"/>
  <c r="P474" i="19"/>
  <c r="N474" i="19"/>
  <c r="O474" i="19" s="1"/>
  <c r="R474" i="19" s="1"/>
  <c r="AF474" i="19"/>
  <c r="L474" i="19"/>
  <c r="B474" i="19"/>
  <c r="AA474" i="19"/>
  <c r="T454" i="19"/>
  <c r="P454" i="19"/>
  <c r="N454" i="19"/>
  <c r="L454" i="19"/>
  <c r="S454" i="19"/>
  <c r="B454" i="19"/>
  <c r="K454" i="19"/>
  <c r="O454" i="19" s="1"/>
  <c r="T446" i="19"/>
  <c r="P446" i="19"/>
  <c r="N446" i="19"/>
  <c r="O446" i="19" s="1"/>
  <c r="R446" i="19" s="1"/>
  <c r="AF446" i="19"/>
  <c r="V446" i="19"/>
  <c r="S446" i="19"/>
  <c r="Y446" i="19"/>
  <c r="Z442" i="19"/>
  <c r="W442" i="19"/>
  <c r="Q442" i="19"/>
  <c r="AF442" i="19"/>
  <c r="L442" i="19"/>
  <c r="Y442" i="19"/>
  <c r="AA442" i="19"/>
  <c r="K442" i="19"/>
  <c r="O442" i="19" s="1"/>
  <c r="Z464" i="19"/>
  <c r="Q464" i="19"/>
  <c r="N464" i="19"/>
  <c r="L464" i="19"/>
  <c r="AI464" i="19"/>
  <c r="V464" i="19"/>
  <c r="K464" i="19"/>
  <c r="O464" i="19" s="1"/>
  <c r="Z460" i="19"/>
  <c r="P460" i="19"/>
  <c r="N460" i="19"/>
  <c r="Y460" i="19"/>
  <c r="B460" i="19"/>
  <c r="S460" i="19"/>
  <c r="AA460" i="19"/>
  <c r="T456" i="19"/>
  <c r="W456" i="19"/>
  <c r="Q456" i="19"/>
  <c r="Y456" i="19"/>
  <c r="B456" i="19"/>
  <c r="AA456" i="19"/>
  <c r="S456" i="19"/>
  <c r="K456" i="19"/>
  <c r="T452" i="19"/>
  <c r="W452" i="19"/>
  <c r="P452" i="19"/>
  <c r="L452" i="19"/>
  <c r="Y452" i="19"/>
  <c r="AI452" i="19"/>
  <c r="AA452" i="19"/>
  <c r="S452" i="19"/>
  <c r="Z448" i="19"/>
  <c r="N448" i="19"/>
  <c r="P448" i="19"/>
  <c r="K448" i="19"/>
  <c r="B448" i="19"/>
  <c r="V448" i="19"/>
  <c r="AA448" i="19"/>
  <c r="T432" i="19"/>
  <c r="W432" i="19"/>
  <c r="Q432" i="19"/>
  <c r="Y432" i="19"/>
  <c r="AI432" i="19"/>
  <c r="V432" i="19"/>
  <c r="AA432" i="19"/>
  <c r="S432" i="19"/>
  <c r="W421" i="19"/>
  <c r="T421" i="19"/>
  <c r="N421" i="19"/>
  <c r="O421" i="19" s="1"/>
  <c r="L421" i="19"/>
  <c r="S421" i="19"/>
  <c r="V421" i="19"/>
  <c r="AA421" i="19"/>
  <c r="T419" i="19"/>
  <c r="Z419" i="19"/>
  <c r="P419" i="19"/>
  <c r="AI419" i="19"/>
  <c r="Y419" i="19"/>
  <c r="AA419" i="19"/>
  <c r="K419" i="19"/>
  <c r="W457" i="19"/>
  <c r="Q457" i="19"/>
  <c r="P457" i="19"/>
  <c r="K457" i="19"/>
  <c r="O457" i="19" s="1"/>
  <c r="S457" i="19"/>
  <c r="W455" i="19"/>
  <c r="Q455" i="19"/>
  <c r="N455" i="19"/>
  <c r="O455" i="19" s="1"/>
  <c r="S455" i="19"/>
  <c r="L455" i="19"/>
  <c r="AI455" i="19"/>
  <c r="B455" i="19"/>
  <c r="W453" i="19"/>
  <c r="T453" i="19"/>
  <c r="N453" i="19"/>
  <c r="O453" i="19" s="1"/>
  <c r="R453" i="19" s="1"/>
  <c r="L453" i="19"/>
  <c r="Y453" i="19"/>
  <c r="AF453" i="19"/>
  <c r="V453" i="19"/>
  <c r="AA453" i="19"/>
  <c r="W439" i="19"/>
  <c r="Q439" i="19"/>
  <c r="N439" i="19"/>
  <c r="O439" i="19" s="1"/>
  <c r="Y439" i="19"/>
  <c r="AI439" i="19"/>
  <c r="V439" i="19"/>
  <c r="B439" i="19"/>
  <c r="AA439" i="19"/>
  <c r="W431" i="19"/>
  <c r="Z431" i="19"/>
  <c r="P431" i="19"/>
  <c r="L431" i="19"/>
  <c r="B431" i="19"/>
  <c r="AF431" i="19"/>
  <c r="AA431" i="19"/>
  <c r="V431" i="19"/>
  <c r="O494" i="19"/>
  <c r="R494" i="19" s="1"/>
  <c r="Z492" i="19"/>
  <c r="P492" i="19"/>
  <c r="N492" i="19"/>
  <c r="AI492" i="19"/>
  <c r="K492" i="19"/>
  <c r="AF492" i="19"/>
  <c r="AA492" i="19"/>
  <c r="T492" i="19"/>
  <c r="Q492" i="19"/>
  <c r="W492" i="19"/>
  <c r="Y492" i="19"/>
  <c r="S492" i="19"/>
  <c r="L492" i="19"/>
  <c r="B492" i="19"/>
  <c r="V492" i="19"/>
  <c r="O408" i="19"/>
  <c r="R408" i="19" s="1"/>
  <c r="O424" i="19"/>
  <c r="R424" i="19" s="1"/>
  <c r="U424" i="19" s="1"/>
  <c r="X424" i="19" s="1"/>
  <c r="P401" i="9"/>
  <c r="Q401" i="9"/>
  <c r="Q459" i="9"/>
  <c r="P383" i="9"/>
  <c r="Q425" i="9"/>
  <c r="Q473" i="9"/>
  <c r="Q436" i="9"/>
  <c r="U435" i="19"/>
  <c r="X435" i="19" s="1"/>
  <c r="P466" i="9"/>
  <c r="Q466" i="9"/>
  <c r="P454" i="9"/>
  <c r="Q454" i="9"/>
  <c r="Q464" i="9"/>
  <c r="P464" i="9"/>
  <c r="Q402" i="9"/>
  <c r="P402" i="9"/>
  <c r="P403" i="9"/>
  <c r="Q403" i="9"/>
  <c r="P437" i="9"/>
  <c r="Q437" i="9"/>
  <c r="O415" i="19"/>
  <c r="R415" i="19" s="1"/>
  <c r="O459" i="19"/>
  <c r="R459" i="19" s="1"/>
  <c r="U459" i="19" s="1"/>
  <c r="X459" i="19" s="1"/>
  <c r="O465" i="19"/>
  <c r="R465" i="19" s="1"/>
  <c r="U465" i="19" s="1"/>
  <c r="X465" i="19" s="1"/>
  <c r="O493" i="19"/>
  <c r="R493" i="19" s="1"/>
  <c r="O431" i="19"/>
  <c r="R431" i="19" s="1"/>
  <c r="U431" i="19" s="1"/>
  <c r="Z414" i="19"/>
  <c r="T414" i="19"/>
  <c r="W414" i="19"/>
  <c r="P414" i="19"/>
  <c r="N414" i="19"/>
  <c r="Q414" i="19"/>
  <c r="S414" i="19"/>
  <c r="AI414" i="19"/>
  <c r="L414" i="19"/>
  <c r="Y414" i="19"/>
  <c r="V414" i="19"/>
  <c r="AA414" i="19"/>
  <c r="B414" i="19"/>
  <c r="AF414" i="19"/>
  <c r="K414" i="19"/>
  <c r="W461" i="19"/>
  <c r="Z461" i="19"/>
  <c r="T461" i="19"/>
  <c r="Q461" i="19"/>
  <c r="P461" i="19"/>
  <c r="N461" i="19"/>
  <c r="L461" i="19"/>
  <c r="AF461" i="19"/>
  <c r="B461" i="19"/>
  <c r="K461" i="19"/>
  <c r="O461" i="19" s="1"/>
  <c r="Y461" i="19"/>
  <c r="AI461" i="19"/>
  <c r="AA461" i="19"/>
  <c r="V461" i="19"/>
  <c r="S461" i="19"/>
  <c r="O499" i="19"/>
  <c r="Z486" i="19"/>
  <c r="T486" i="19"/>
  <c r="W486" i="19"/>
  <c r="P486" i="19"/>
  <c r="Q486" i="19"/>
  <c r="N486" i="19"/>
  <c r="L486" i="19"/>
  <c r="Y486" i="19"/>
  <c r="S486" i="19"/>
  <c r="AF486" i="19"/>
  <c r="AA486" i="19"/>
  <c r="K486" i="19"/>
  <c r="AI486" i="19"/>
  <c r="V486" i="19"/>
  <c r="B486" i="19"/>
  <c r="O482" i="19"/>
  <c r="R482" i="19" s="1"/>
  <c r="U482" i="19" s="1"/>
  <c r="X482" i="19" s="1"/>
  <c r="T420" i="19"/>
  <c r="Z420" i="19"/>
  <c r="N420" i="19"/>
  <c r="W420" i="19"/>
  <c r="Q420" i="19"/>
  <c r="P420" i="19"/>
  <c r="AF420" i="19"/>
  <c r="L420" i="19"/>
  <c r="B420" i="19"/>
  <c r="S420" i="19"/>
  <c r="AI420" i="19"/>
  <c r="AA420" i="19"/>
  <c r="Y420" i="19"/>
  <c r="K420" i="19"/>
  <c r="V420" i="19"/>
  <c r="L467" i="19"/>
  <c r="W467" i="19"/>
  <c r="T467" i="19"/>
  <c r="Z467" i="19"/>
  <c r="N467" i="19"/>
  <c r="Q467" i="19"/>
  <c r="P467" i="19"/>
  <c r="AI467" i="19"/>
  <c r="K467" i="19"/>
  <c r="V467" i="19"/>
  <c r="B467" i="19"/>
  <c r="AF467" i="19"/>
  <c r="Y467" i="19"/>
  <c r="AA467" i="19"/>
  <c r="S467" i="19"/>
  <c r="Z426" i="19"/>
  <c r="T426" i="19"/>
  <c r="W426" i="19"/>
  <c r="P426" i="19"/>
  <c r="N426" i="19"/>
  <c r="Q426" i="19"/>
  <c r="K426" i="19"/>
  <c r="AF426" i="19"/>
  <c r="AI426" i="19"/>
  <c r="S426" i="19"/>
  <c r="L426" i="19"/>
  <c r="Y426" i="19"/>
  <c r="B426" i="19"/>
  <c r="V426" i="19"/>
  <c r="AA426" i="19"/>
  <c r="O473" i="19"/>
  <c r="R473" i="19" s="1"/>
  <c r="U473" i="19" s="1"/>
  <c r="X473" i="19" s="1"/>
  <c r="O418" i="19"/>
  <c r="Z422" i="19"/>
  <c r="T422" i="19"/>
  <c r="W422" i="19"/>
  <c r="P422" i="19"/>
  <c r="N422" i="19"/>
  <c r="Q422" i="19"/>
  <c r="AI422" i="19"/>
  <c r="S422" i="19"/>
  <c r="Y422" i="19"/>
  <c r="L422" i="19"/>
  <c r="AF422" i="19"/>
  <c r="K422" i="19"/>
  <c r="AA422" i="19"/>
  <c r="V422" i="19"/>
  <c r="B422" i="19"/>
  <c r="T480" i="19"/>
  <c r="Z480" i="19"/>
  <c r="W480" i="19"/>
  <c r="N480" i="19"/>
  <c r="Q480" i="19"/>
  <c r="P480" i="19"/>
  <c r="Y480" i="19"/>
  <c r="K480" i="19"/>
  <c r="AI480" i="19"/>
  <c r="L480" i="19"/>
  <c r="AF480" i="19"/>
  <c r="V480" i="19"/>
  <c r="AA480" i="19"/>
  <c r="B480" i="19"/>
  <c r="S480" i="19"/>
  <c r="O495" i="19"/>
  <c r="O436" i="19"/>
  <c r="R436" i="19" s="1"/>
  <c r="U436" i="19" s="1"/>
  <c r="O498" i="19"/>
  <c r="R498" i="19" s="1"/>
  <c r="O472" i="19"/>
  <c r="R472" i="19" s="1"/>
  <c r="U472" i="19" s="1"/>
  <c r="O411" i="19"/>
  <c r="R411" i="19" s="1"/>
  <c r="U411" i="19" s="1"/>
  <c r="X411" i="19" s="1"/>
  <c r="AF429" i="19"/>
  <c r="W429" i="19"/>
  <c r="Z429" i="19"/>
  <c r="T429" i="19"/>
  <c r="Q429" i="19"/>
  <c r="P429" i="19"/>
  <c r="N429" i="19"/>
  <c r="L429" i="19"/>
  <c r="S429" i="19"/>
  <c r="AI429" i="19"/>
  <c r="AA429" i="19"/>
  <c r="B429" i="19"/>
  <c r="Y429" i="19"/>
  <c r="V429" i="19"/>
  <c r="K429" i="19"/>
  <c r="Z410" i="19"/>
  <c r="T410" i="19"/>
  <c r="W410" i="19"/>
  <c r="Q410" i="19"/>
  <c r="P410" i="19"/>
  <c r="N410" i="19"/>
  <c r="S410" i="19"/>
  <c r="B410" i="19"/>
  <c r="Y410" i="19"/>
  <c r="AI410" i="19"/>
  <c r="AA410" i="19"/>
  <c r="AF410" i="19"/>
  <c r="L410" i="19"/>
  <c r="V410" i="19"/>
  <c r="K410" i="19"/>
  <c r="O444" i="19"/>
  <c r="R444" i="19" s="1"/>
  <c r="U444" i="19" s="1"/>
  <c r="O470" i="19"/>
  <c r="R470" i="19" s="1"/>
  <c r="R471" i="19"/>
  <c r="U471" i="19" s="1"/>
  <c r="X471" i="19" s="1"/>
  <c r="O412" i="19"/>
  <c r="R412" i="19" s="1"/>
  <c r="U412" i="19" s="1"/>
  <c r="X412" i="19" s="1"/>
  <c r="W423" i="19"/>
  <c r="T423" i="19"/>
  <c r="Q423" i="19"/>
  <c r="P423" i="19"/>
  <c r="Z423" i="19"/>
  <c r="N423" i="19"/>
  <c r="Y423" i="19"/>
  <c r="L423" i="19"/>
  <c r="B423" i="19"/>
  <c r="S423" i="19"/>
  <c r="V423" i="19"/>
  <c r="AF423" i="19"/>
  <c r="AI423" i="19"/>
  <c r="K423" i="19"/>
  <c r="AA423" i="19"/>
  <c r="W427" i="19"/>
  <c r="T427" i="19"/>
  <c r="Z427" i="19"/>
  <c r="N427" i="19"/>
  <c r="Q427" i="19"/>
  <c r="P427" i="19"/>
  <c r="AI427" i="19"/>
  <c r="B427" i="19"/>
  <c r="L427" i="19"/>
  <c r="AA427" i="19"/>
  <c r="AF427" i="19"/>
  <c r="S427" i="19"/>
  <c r="Y427" i="19"/>
  <c r="K427" i="19"/>
  <c r="V427" i="19"/>
  <c r="T428" i="19"/>
  <c r="Z428" i="19"/>
  <c r="N428" i="19"/>
  <c r="Q428" i="19"/>
  <c r="P428" i="19"/>
  <c r="W428" i="19"/>
  <c r="L428" i="19"/>
  <c r="Y428" i="19"/>
  <c r="K428" i="19"/>
  <c r="AF428" i="19"/>
  <c r="B428" i="19"/>
  <c r="S428" i="19"/>
  <c r="AI428" i="19"/>
  <c r="V428" i="19"/>
  <c r="AA428" i="19"/>
  <c r="BP383" i="12"/>
  <c r="BL383" i="12" s="1"/>
  <c r="BP392" i="12"/>
  <c r="BL392" i="12" s="1"/>
  <c r="BP373" i="12"/>
  <c r="BL373" i="12" s="1"/>
  <c r="BP389" i="12"/>
  <c r="BL389" i="12" s="1"/>
  <c r="BP386" i="12"/>
  <c r="BL386" i="12" s="1"/>
  <c r="BP368" i="12"/>
  <c r="BL368" i="12" s="1"/>
  <c r="BP362" i="12"/>
  <c r="BL362" i="12" s="1"/>
  <c r="BP379" i="12"/>
  <c r="BL379" i="12" s="1"/>
  <c r="BP356" i="12"/>
  <c r="BL356" i="12" s="1"/>
  <c r="BP390" i="12"/>
  <c r="BL390" i="12" s="1"/>
  <c r="BP376" i="12"/>
  <c r="BL376" i="12" s="1"/>
  <c r="BP345" i="12"/>
  <c r="BL345" i="12" s="1"/>
  <c r="BP358" i="12"/>
  <c r="BL358" i="12" s="1"/>
  <c r="BP340" i="12"/>
  <c r="BL340" i="12" s="1"/>
  <c r="BP337" i="12"/>
  <c r="BL337" i="12" s="1"/>
  <c r="BP344" i="12"/>
  <c r="BL344" i="12" s="1"/>
  <c r="BP382" i="12"/>
  <c r="BL382" i="12" s="1"/>
  <c r="BP378" i="12"/>
  <c r="BL378" i="12" s="1"/>
  <c r="BP364" i="12"/>
  <c r="BL364" i="12" s="1"/>
  <c r="BP371" i="12"/>
  <c r="BL371" i="12" s="1"/>
  <c r="BP380" i="12"/>
  <c r="BL380" i="12" s="1"/>
  <c r="BP367" i="12"/>
  <c r="BL367" i="12" s="1"/>
  <c r="BP361" i="12"/>
  <c r="BL361" i="12" s="1"/>
  <c r="BP372" i="12"/>
  <c r="BL372" i="12" s="1"/>
  <c r="BP349" i="12"/>
  <c r="BL349" i="12" s="1"/>
  <c r="BP388" i="12"/>
  <c r="BL388" i="12" s="1"/>
  <c r="BP360" i="12"/>
  <c r="BL360" i="12" s="1"/>
  <c r="BP343" i="12"/>
  <c r="BL343" i="12" s="1"/>
  <c r="BP342" i="12"/>
  <c r="BL342" i="12" s="1"/>
  <c r="BP332" i="12"/>
  <c r="BL332" i="12" s="1"/>
  <c r="BP333" i="12"/>
  <c r="BL333" i="12" s="1"/>
  <c r="BP336" i="12"/>
  <c r="BL336" i="12" s="1"/>
  <c r="BP387" i="12"/>
  <c r="BL387" i="12" s="1"/>
  <c r="BP395" i="12"/>
  <c r="BL395" i="12" s="1"/>
  <c r="BP375" i="12"/>
  <c r="BL375" i="12" s="1"/>
  <c r="BP335" i="12"/>
  <c r="BL335" i="12" s="1"/>
  <c r="BP355" i="12"/>
  <c r="BL355" i="12" s="1"/>
  <c r="BP357" i="12"/>
  <c r="BL357" i="12" s="1"/>
  <c r="BP366" i="12"/>
  <c r="BL366" i="12" s="1"/>
  <c r="BP352" i="12"/>
  <c r="BL352" i="12" s="1"/>
  <c r="BP370" i="12"/>
  <c r="BL370" i="12" s="1"/>
  <c r="BP348" i="12"/>
  <c r="BL348" i="12" s="1"/>
  <c r="BP385" i="12"/>
  <c r="BL385" i="12" s="1"/>
  <c r="BP351" i="12"/>
  <c r="BL351" i="12" s="1"/>
  <c r="BP338" i="12"/>
  <c r="BL338" i="12" s="1"/>
  <c r="BP354" i="12"/>
  <c r="BL354" i="12" s="1"/>
  <c r="BP341" i="12"/>
  <c r="BL341" i="12" s="1"/>
  <c r="BP330" i="12"/>
  <c r="BL330" i="12" s="1"/>
  <c r="BP334" i="12"/>
  <c r="BL334" i="12" s="1"/>
  <c r="BP384" i="12"/>
  <c r="BL384" i="12" s="1"/>
  <c r="BP394" i="12"/>
  <c r="BL394" i="12" s="1"/>
  <c r="BP374" i="12"/>
  <c r="BL374" i="12" s="1"/>
  <c r="BP391" i="12"/>
  <c r="BL391" i="12" s="1"/>
  <c r="BP393" i="12"/>
  <c r="BL393" i="12" s="1"/>
  <c r="BP369" i="12"/>
  <c r="BL369" i="12" s="1"/>
  <c r="BP365" i="12"/>
  <c r="BL365" i="12" s="1"/>
  <c r="BP381" i="12"/>
  <c r="BL381" i="12" s="1"/>
  <c r="BP363" i="12"/>
  <c r="BL363" i="12" s="1"/>
  <c r="BP347" i="12"/>
  <c r="BL347" i="12" s="1"/>
  <c r="BP377" i="12"/>
  <c r="BL377" i="12" s="1"/>
  <c r="BP350" i="12"/>
  <c r="BL350" i="12" s="1"/>
  <c r="BP359" i="12"/>
  <c r="BL359" i="12" s="1"/>
  <c r="BP353" i="12"/>
  <c r="BL353" i="12" s="1"/>
  <c r="BP339" i="12"/>
  <c r="BL339" i="12" s="1"/>
  <c r="BP346" i="12"/>
  <c r="BL346" i="12" s="1"/>
  <c r="BP331" i="12"/>
  <c r="BL331" i="12" s="1"/>
  <c r="M30" i="8"/>
  <c r="O419" i="19" l="1"/>
  <c r="X491" i="19"/>
  <c r="U413" i="19"/>
  <c r="X413" i="19" s="1"/>
  <c r="O489" i="19"/>
  <c r="O417" i="19"/>
  <c r="R417" i="19" s="1"/>
  <c r="U417" i="19" s="1"/>
  <c r="X417" i="19" s="1"/>
  <c r="O485" i="19"/>
  <c r="R485" i="19" s="1"/>
  <c r="O483" i="19"/>
  <c r="O440" i="19"/>
  <c r="R440" i="19" s="1"/>
  <c r="U488" i="19"/>
  <c r="O416" i="19"/>
  <c r="R416" i="19" s="1"/>
  <c r="U416" i="19" s="1"/>
  <c r="X416" i="19" s="1"/>
  <c r="R499" i="19"/>
  <c r="U499" i="19" s="1"/>
  <c r="X499" i="19" s="1"/>
  <c r="O456" i="19"/>
  <c r="U474" i="19"/>
  <c r="O468" i="19"/>
  <c r="R468" i="19" s="1"/>
  <c r="U468" i="19" s="1"/>
  <c r="U477" i="19"/>
  <c r="X477" i="19" s="1"/>
  <c r="U470" i="19"/>
  <c r="R419" i="19"/>
  <c r="R463" i="19"/>
  <c r="U463" i="19" s="1"/>
  <c r="U497" i="19"/>
  <c r="X497" i="19" s="1"/>
  <c r="R441" i="19"/>
  <c r="O432" i="19"/>
  <c r="R432" i="19" s="1"/>
  <c r="U432" i="19" s="1"/>
  <c r="R457" i="19"/>
  <c r="U446" i="19"/>
  <c r="X446" i="19" s="1"/>
  <c r="R445" i="19"/>
  <c r="U445" i="19" s="1"/>
  <c r="F398" i="14"/>
  <c r="F398" i="8"/>
  <c r="F398" i="18"/>
  <c r="F398" i="13"/>
  <c r="F401" i="14"/>
  <c r="F401" i="8"/>
  <c r="F401" i="13"/>
  <c r="F401" i="18"/>
  <c r="U419" i="19"/>
  <c r="X419" i="19" s="1"/>
  <c r="R447" i="19"/>
  <c r="U447" i="19" s="1"/>
  <c r="X447" i="19" s="1"/>
  <c r="F397" i="18"/>
  <c r="F397" i="14"/>
  <c r="F397" i="13"/>
  <c r="F397" i="8"/>
  <c r="F400" i="8"/>
  <c r="F400" i="14"/>
  <c r="F400" i="18"/>
  <c r="F400" i="13"/>
  <c r="F404" i="18"/>
  <c r="F404" i="14"/>
  <c r="F404" i="8"/>
  <c r="F404" i="13"/>
  <c r="O443" i="19"/>
  <c r="R443" i="19" s="1"/>
  <c r="O438" i="19"/>
  <c r="R438" i="19" s="1"/>
  <c r="R476" i="19"/>
  <c r="U476" i="19" s="1"/>
  <c r="F406" i="14"/>
  <c r="F406" i="8"/>
  <c r="F406" i="13"/>
  <c r="F406" i="18"/>
  <c r="F407" i="18"/>
  <c r="F407" i="8"/>
  <c r="F407" i="14"/>
  <c r="F407" i="13"/>
  <c r="F405" i="13"/>
  <c r="F405" i="8"/>
  <c r="F405" i="18"/>
  <c r="F405" i="14"/>
  <c r="F396" i="8"/>
  <c r="F396" i="18"/>
  <c r="F396" i="13"/>
  <c r="F396" i="14"/>
  <c r="R487" i="19"/>
  <c r="U487" i="19" s="1"/>
  <c r="X487" i="19" s="1"/>
  <c r="F399" i="13"/>
  <c r="F399" i="18"/>
  <c r="F399" i="14"/>
  <c r="F399" i="8"/>
  <c r="F403" i="8"/>
  <c r="F403" i="13"/>
  <c r="F403" i="14"/>
  <c r="F403" i="18"/>
  <c r="F402" i="18"/>
  <c r="F402" i="13"/>
  <c r="F402" i="8"/>
  <c r="F402" i="14"/>
  <c r="U415" i="19"/>
  <c r="X415" i="19" s="1"/>
  <c r="O451" i="19"/>
  <c r="R451" i="19" s="1"/>
  <c r="O481" i="19"/>
  <c r="R481" i="19" s="1"/>
  <c r="U481" i="19" s="1"/>
  <c r="R458" i="19"/>
  <c r="U458" i="19" s="1"/>
  <c r="X458" i="19" s="1"/>
  <c r="R434" i="19"/>
  <c r="U434" i="19" s="1"/>
  <c r="X434" i="19" s="1"/>
  <c r="R495" i="19"/>
  <c r="U495" i="19" s="1"/>
  <c r="X495" i="19" s="1"/>
  <c r="R466" i="19"/>
  <c r="U466" i="19" s="1"/>
  <c r="R489" i="19"/>
  <c r="U489" i="19" s="1"/>
  <c r="X489" i="19" s="1"/>
  <c r="R421" i="19"/>
  <c r="U421" i="19" s="1"/>
  <c r="X421" i="19" s="1"/>
  <c r="O460" i="19"/>
  <c r="R460" i="19" s="1"/>
  <c r="U460" i="19" s="1"/>
  <c r="X460" i="19" s="1"/>
  <c r="X474" i="19"/>
  <c r="R478" i="19"/>
  <c r="O409" i="19"/>
  <c r="R409" i="19" s="1"/>
  <c r="U409" i="19" s="1"/>
  <c r="X409" i="19" s="1"/>
  <c r="X437" i="19"/>
  <c r="X496" i="19"/>
  <c r="X469" i="19"/>
  <c r="X475" i="19"/>
  <c r="U457" i="19"/>
  <c r="X457" i="19" s="1"/>
  <c r="R490" i="19"/>
  <c r="U490" i="19" s="1"/>
  <c r="X431" i="19"/>
  <c r="O448" i="19"/>
  <c r="R448" i="19" s="1"/>
  <c r="U448" i="19" s="1"/>
  <c r="R439" i="19"/>
  <c r="U439" i="19" s="1"/>
  <c r="X439" i="19" s="1"/>
  <c r="U453" i="19"/>
  <c r="X453" i="19" s="1"/>
  <c r="U452" i="19"/>
  <c r="X452" i="19" s="1"/>
  <c r="X476" i="19"/>
  <c r="R433" i="19"/>
  <c r="U433" i="19" s="1"/>
  <c r="X433" i="19" s="1"/>
  <c r="R442" i="19"/>
  <c r="U442" i="19" s="1"/>
  <c r="X442" i="19" s="1"/>
  <c r="R454" i="19"/>
  <c r="U454" i="19" s="1"/>
  <c r="X454" i="19" s="1"/>
  <c r="R455" i="19"/>
  <c r="U455" i="19" s="1"/>
  <c r="X455" i="19" s="1"/>
  <c r="X484" i="19"/>
  <c r="R456" i="19"/>
  <c r="U456" i="19" s="1"/>
  <c r="X456" i="19" s="1"/>
  <c r="R464" i="19"/>
  <c r="U464" i="19" s="1"/>
  <c r="X464" i="19" s="1"/>
  <c r="U494" i="19"/>
  <c r="X494" i="19" s="1"/>
  <c r="O492" i="19"/>
  <c r="U451" i="19"/>
  <c r="X451" i="19" s="1"/>
  <c r="U408" i="19"/>
  <c r="X408" i="19" s="1"/>
  <c r="U478" i="19"/>
  <c r="X478" i="19" s="1"/>
  <c r="U485" i="19"/>
  <c r="X485" i="19" s="1"/>
  <c r="U441" i="19"/>
  <c r="X441" i="19" s="1"/>
  <c r="U493" i="19"/>
  <c r="X493" i="19" s="1"/>
  <c r="X445" i="19"/>
  <c r="O428" i="19"/>
  <c r="U450" i="19"/>
  <c r="X450" i="19" s="1"/>
  <c r="O486" i="19"/>
  <c r="R486" i="19" s="1"/>
  <c r="U486" i="19" s="1"/>
  <c r="X486" i="19" s="1"/>
  <c r="U440" i="19"/>
  <c r="X440" i="19" s="1"/>
  <c r="X462" i="19"/>
  <c r="O429" i="19"/>
  <c r="R429" i="19" s="1"/>
  <c r="R483" i="19"/>
  <c r="U483" i="19" s="1"/>
  <c r="X483" i="19" s="1"/>
  <c r="X472" i="19"/>
  <c r="R449" i="19"/>
  <c r="U449" i="19" s="1"/>
  <c r="X449" i="19" s="1"/>
  <c r="O410" i="19"/>
  <c r="R410" i="19" s="1"/>
  <c r="U410" i="19" s="1"/>
  <c r="X410" i="19" s="1"/>
  <c r="U498" i="19"/>
  <c r="X498" i="19" s="1"/>
  <c r="X470" i="19"/>
  <c r="O422" i="19"/>
  <c r="R422" i="19" s="1"/>
  <c r="U422" i="19" s="1"/>
  <c r="X422" i="19" s="1"/>
  <c r="R418" i="19"/>
  <c r="U418" i="19" s="1"/>
  <c r="X418" i="19" s="1"/>
  <c r="O467" i="19"/>
  <c r="R467" i="19" s="1"/>
  <c r="U467" i="19" s="1"/>
  <c r="X467" i="19" s="1"/>
  <c r="X463" i="19"/>
  <c r="O427" i="19"/>
  <c r="R427" i="19" s="1"/>
  <c r="O420" i="19"/>
  <c r="R420" i="19" s="1"/>
  <c r="U420" i="19" s="1"/>
  <c r="X420" i="19" s="1"/>
  <c r="X488" i="19"/>
  <c r="X444" i="19"/>
  <c r="O423" i="19"/>
  <c r="R423" i="19" s="1"/>
  <c r="U438" i="19"/>
  <c r="X438" i="19" s="1"/>
  <c r="O480" i="19"/>
  <c r="O426" i="19"/>
  <c r="R426" i="19" s="1"/>
  <c r="X436" i="19"/>
  <c r="X466" i="19"/>
  <c r="R461" i="19"/>
  <c r="U461" i="19" s="1"/>
  <c r="X461" i="19" s="1"/>
  <c r="O414" i="19"/>
  <c r="F339" i="13"/>
  <c r="F339" i="14"/>
  <c r="F339" i="18"/>
  <c r="F339" i="8"/>
  <c r="G339" i="19" s="1"/>
  <c r="F374" i="18"/>
  <c r="F374" i="8"/>
  <c r="G374" i="19" s="1"/>
  <c r="F374" i="14"/>
  <c r="F374" i="13"/>
  <c r="F352" i="8"/>
  <c r="G352" i="19" s="1"/>
  <c r="F352" i="18"/>
  <c r="F352" i="14"/>
  <c r="F352" i="13"/>
  <c r="F343" i="13"/>
  <c r="F343" i="8"/>
  <c r="G343" i="19" s="1"/>
  <c r="F343" i="18"/>
  <c r="F343" i="14"/>
  <c r="F344" i="8"/>
  <c r="G344" i="19" s="1"/>
  <c r="F344" i="14"/>
  <c r="F344" i="18"/>
  <c r="F344" i="13"/>
  <c r="F379" i="13"/>
  <c r="F379" i="18"/>
  <c r="F379" i="8"/>
  <c r="G379" i="19" s="1"/>
  <c r="F379" i="14"/>
  <c r="F353" i="13"/>
  <c r="F353" i="8"/>
  <c r="F353" i="14"/>
  <c r="F353" i="18"/>
  <c r="F347" i="13"/>
  <c r="F347" i="8"/>
  <c r="G347" i="19" s="1"/>
  <c r="F347" i="18"/>
  <c r="F347" i="14"/>
  <c r="F369" i="8"/>
  <c r="G369" i="19" s="1"/>
  <c r="F369" i="13"/>
  <c r="F369" i="14"/>
  <c r="F369" i="18"/>
  <c r="F394" i="8"/>
  <c r="G394" i="19" s="1"/>
  <c r="F394" i="18"/>
  <c r="F394" i="14"/>
  <c r="F394" i="13"/>
  <c r="F341" i="14"/>
  <c r="F341" i="13"/>
  <c r="F341" i="8"/>
  <c r="G341" i="19" s="1"/>
  <c r="F341" i="18"/>
  <c r="F385" i="14"/>
  <c r="F385" i="13"/>
  <c r="F385" i="8"/>
  <c r="G385" i="19" s="1"/>
  <c r="F385" i="18"/>
  <c r="F366" i="18"/>
  <c r="F366" i="14"/>
  <c r="F366" i="13"/>
  <c r="F366" i="8"/>
  <c r="F375" i="8"/>
  <c r="G375" i="19" s="1"/>
  <c r="F375" i="13"/>
  <c r="F375" i="14"/>
  <c r="F375" i="18"/>
  <c r="F333" i="13"/>
  <c r="F333" i="8"/>
  <c r="G333" i="19" s="1"/>
  <c r="F333" i="18"/>
  <c r="F333" i="14"/>
  <c r="F360" i="8"/>
  <c r="G360" i="19" s="1"/>
  <c r="F360" i="18"/>
  <c r="F360" i="14"/>
  <c r="F360" i="13"/>
  <c r="F361" i="8"/>
  <c r="F361" i="14"/>
  <c r="F361" i="18"/>
  <c r="F361" i="13"/>
  <c r="F364" i="8"/>
  <c r="G364" i="19" s="1"/>
  <c r="F364" i="18"/>
  <c r="F364" i="14"/>
  <c r="F364" i="13"/>
  <c r="F337" i="14"/>
  <c r="F337" i="8"/>
  <c r="G337" i="19" s="1"/>
  <c r="F337" i="18"/>
  <c r="F337" i="13"/>
  <c r="F376" i="18"/>
  <c r="F376" i="14"/>
  <c r="F376" i="8"/>
  <c r="G376" i="19" s="1"/>
  <c r="F376" i="13"/>
  <c r="F362" i="18"/>
  <c r="F362" i="14"/>
  <c r="F362" i="13"/>
  <c r="F362" i="8"/>
  <c r="G362" i="19" s="1"/>
  <c r="F373" i="18"/>
  <c r="F373" i="14"/>
  <c r="F373" i="13"/>
  <c r="F373" i="8"/>
  <c r="G373" i="19" s="1"/>
  <c r="F377" i="13"/>
  <c r="F377" i="8"/>
  <c r="G377" i="19" s="1"/>
  <c r="F377" i="18"/>
  <c r="F377" i="14"/>
  <c r="F330" i="14"/>
  <c r="F330" i="13"/>
  <c r="F330" i="8"/>
  <c r="G330" i="19" s="1"/>
  <c r="F330" i="18"/>
  <c r="F335" i="14"/>
  <c r="F335" i="13"/>
  <c r="F335" i="8"/>
  <c r="G335" i="19" s="1"/>
  <c r="F335" i="18"/>
  <c r="F372" i="14"/>
  <c r="F372" i="8"/>
  <c r="G372" i="19" s="1"/>
  <c r="F372" i="13"/>
  <c r="F372" i="18"/>
  <c r="F345" i="13"/>
  <c r="F345" i="14"/>
  <c r="F345" i="18"/>
  <c r="F345" i="8"/>
  <c r="G345" i="19" s="1"/>
  <c r="F389" i="13"/>
  <c r="F389" i="14"/>
  <c r="F389" i="18"/>
  <c r="F389" i="8"/>
  <c r="G389" i="19" s="1"/>
  <c r="F331" i="8"/>
  <c r="G331" i="19" s="1"/>
  <c r="F331" i="14"/>
  <c r="F331" i="18"/>
  <c r="F331" i="13"/>
  <c r="F359" i="13"/>
  <c r="F359" i="14"/>
  <c r="F359" i="8"/>
  <c r="G359" i="19" s="1"/>
  <c r="F359" i="18"/>
  <c r="F363" i="13"/>
  <c r="F363" i="18"/>
  <c r="F363" i="14"/>
  <c r="F363" i="8"/>
  <c r="G363" i="19" s="1"/>
  <c r="F393" i="18"/>
  <c r="F393" i="14"/>
  <c r="F393" i="13"/>
  <c r="F393" i="8"/>
  <c r="G393" i="19" s="1"/>
  <c r="F384" i="13"/>
  <c r="F384" i="8"/>
  <c r="G384" i="19" s="1"/>
  <c r="F384" i="18"/>
  <c r="F384" i="14"/>
  <c r="F354" i="18"/>
  <c r="F354" i="14"/>
  <c r="F354" i="13"/>
  <c r="F354" i="8"/>
  <c r="G354" i="19" s="1"/>
  <c r="F348" i="8"/>
  <c r="F348" i="18"/>
  <c r="F348" i="14"/>
  <c r="F348" i="13"/>
  <c r="F357" i="13"/>
  <c r="F357" i="14"/>
  <c r="F357" i="8"/>
  <c r="G357" i="19" s="1"/>
  <c r="F357" i="18"/>
  <c r="F395" i="18"/>
  <c r="F395" i="14"/>
  <c r="F395" i="13"/>
  <c r="F395" i="8"/>
  <c r="F332" i="18"/>
  <c r="F332" i="14"/>
  <c r="F332" i="13"/>
  <c r="F332" i="8"/>
  <c r="G332" i="19" s="1"/>
  <c r="F388" i="14"/>
  <c r="F388" i="18"/>
  <c r="F388" i="8"/>
  <c r="G388" i="19" s="1"/>
  <c r="F388" i="13"/>
  <c r="F367" i="14"/>
  <c r="F367" i="8"/>
  <c r="G367" i="19" s="1"/>
  <c r="F367" i="13"/>
  <c r="F367" i="18"/>
  <c r="F378" i="8"/>
  <c r="G378" i="19" s="1"/>
  <c r="F378" i="18"/>
  <c r="F378" i="14"/>
  <c r="F378" i="13"/>
  <c r="F340" i="14"/>
  <c r="F340" i="8"/>
  <c r="G340" i="19" s="1"/>
  <c r="F340" i="18"/>
  <c r="F340" i="13"/>
  <c r="F390" i="8"/>
  <c r="G390" i="19" s="1"/>
  <c r="F390" i="18"/>
  <c r="F390" i="14"/>
  <c r="F390" i="13"/>
  <c r="F368" i="8"/>
  <c r="G368" i="19" s="1"/>
  <c r="F368" i="18"/>
  <c r="F368" i="14"/>
  <c r="F368" i="13"/>
  <c r="F392" i="13"/>
  <c r="F392" i="8"/>
  <c r="G392" i="19" s="1"/>
  <c r="F392" i="18"/>
  <c r="F392" i="14"/>
  <c r="F365" i="8"/>
  <c r="F365" i="14"/>
  <c r="F365" i="13"/>
  <c r="F365" i="18"/>
  <c r="F351" i="18"/>
  <c r="F351" i="13"/>
  <c r="F351" i="8"/>
  <c r="G351" i="19" s="1"/>
  <c r="F351" i="14"/>
  <c r="F336" i="18"/>
  <c r="F336" i="14"/>
  <c r="F336" i="13"/>
  <c r="F336" i="8"/>
  <c r="G336" i="19" s="1"/>
  <c r="F371" i="14"/>
  <c r="F371" i="13"/>
  <c r="F371" i="18"/>
  <c r="F371" i="8"/>
  <c r="G371" i="19" s="1"/>
  <c r="F346" i="14"/>
  <c r="F346" i="18"/>
  <c r="F346" i="13"/>
  <c r="F346" i="8"/>
  <c r="G346" i="19" s="1"/>
  <c r="F350" i="14"/>
  <c r="F350" i="13"/>
  <c r="F350" i="8"/>
  <c r="G350" i="19" s="1"/>
  <c r="F350" i="18"/>
  <c r="F381" i="8"/>
  <c r="G381" i="19" s="1"/>
  <c r="F381" i="14"/>
  <c r="F381" i="18"/>
  <c r="F381" i="13"/>
  <c r="F391" i="13"/>
  <c r="F391" i="14"/>
  <c r="F391" i="18"/>
  <c r="F391" i="8"/>
  <c r="G391" i="19" s="1"/>
  <c r="F334" i="13"/>
  <c r="F334" i="8"/>
  <c r="G334" i="19" s="1"/>
  <c r="F334" i="18"/>
  <c r="F334" i="14"/>
  <c r="F338" i="8"/>
  <c r="G338" i="19" s="1"/>
  <c r="F338" i="18"/>
  <c r="F338" i="14"/>
  <c r="F338" i="13"/>
  <c r="F370" i="13"/>
  <c r="F370" i="8"/>
  <c r="G370" i="19" s="1"/>
  <c r="F370" i="18"/>
  <c r="F370" i="14"/>
  <c r="F355" i="18"/>
  <c r="F355" i="13"/>
  <c r="F355" i="14"/>
  <c r="F355" i="8"/>
  <c r="G355" i="19" s="1"/>
  <c r="F387" i="18"/>
  <c r="F387" i="13"/>
  <c r="F387" i="8"/>
  <c r="G387" i="19" s="1"/>
  <c r="F387" i="14"/>
  <c r="F342" i="13"/>
  <c r="F342" i="8"/>
  <c r="G342" i="19" s="1"/>
  <c r="F342" i="18"/>
  <c r="F342" i="14"/>
  <c r="F349" i="13"/>
  <c r="F349" i="8"/>
  <c r="G349" i="19" s="1"/>
  <c r="F349" i="14"/>
  <c r="F349" i="18"/>
  <c r="F380" i="18"/>
  <c r="F380" i="14"/>
  <c r="F380" i="13"/>
  <c r="F380" i="8"/>
  <c r="G380" i="19" s="1"/>
  <c r="F382" i="8"/>
  <c r="G382" i="19" s="1"/>
  <c r="F382" i="18"/>
  <c r="F382" i="14"/>
  <c r="F382" i="13"/>
  <c r="F358" i="18"/>
  <c r="F358" i="14"/>
  <c r="F358" i="13"/>
  <c r="F358" i="8"/>
  <c r="G358" i="19" s="1"/>
  <c r="F356" i="8"/>
  <c r="G356" i="19" s="1"/>
  <c r="F356" i="18"/>
  <c r="F356" i="14"/>
  <c r="F356" i="13"/>
  <c r="F386" i="8"/>
  <c r="G386" i="19" s="1"/>
  <c r="F386" i="18"/>
  <c r="F386" i="13"/>
  <c r="F386" i="14"/>
  <c r="F383" i="8"/>
  <c r="G383" i="19" s="1"/>
  <c r="F383" i="14"/>
  <c r="F383" i="13"/>
  <c r="F383" i="18"/>
  <c r="BV2" i="12"/>
  <c r="X481" i="19" l="1"/>
  <c r="U443" i="19"/>
  <c r="X443" i="19" s="1"/>
  <c r="G402" i="19"/>
  <c r="X402" i="8"/>
  <c r="J402" i="8"/>
  <c r="D402" i="8"/>
  <c r="E402" i="19" s="1"/>
  <c r="C376" i="9"/>
  <c r="H402" i="8"/>
  <c r="E376" i="9" s="1"/>
  <c r="E402" i="8"/>
  <c r="I402" i="8"/>
  <c r="K402" i="8"/>
  <c r="M402" i="8"/>
  <c r="C402" i="8"/>
  <c r="L402" i="8"/>
  <c r="U402" i="8"/>
  <c r="I402" i="19" s="1"/>
  <c r="B402" i="8"/>
  <c r="C402" i="19" s="1"/>
  <c r="G402" i="8"/>
  <c r="U403" i="14"/>
  <c r="T403" i="14"/>
  <c r="G403" i="14"/>
  <c r="B403" i="14"/>
  <c r="E403" i="14"/>
  <c r="S403" i="14"/>
  <c r="W403" i="14"/>
  <c r="A403" i="14"/>
  <c r="V403" i="14"/>
  <c r="K403" i="14"/>
  <c r="D403" i="14"/>
  <c r="I403" i="14"/>
  <c r="C403" i="14"/>
  <c r="H403" i="14"/>
  <c r="U399" i="14"/>
  <c r="C399" i="14"/>
  <c r="K399" i="14"/>
  <c r="W399" i="14"/>
  <c r="D399" i="14"/>
  <c r="V399" i="14"/>
  <c r="E399" i="14"/>
  <c r="I399" i="14"/>
  <c r="H399" i="14"/>
  <c r="A399" i="14"/>
  <c r="G399" i="14"/>
  <c r="T399" i="14"/>
  <c r="B399" i="14"/>
  <c r="S399" i="14"/>
  <c r="E396" i="14"/>
  <c r="A396" i="14"/>
  <c r="W396" i="14"/>
  <c r="B396" i="14"/>
  <c r="S396" i="14"/>
  <c r="K396" i="14"/>
  <c r="V396" i="14"/>
  <c r="G396" i="14"/>
  <c r="D396" i="14"/>
  <c r="I396" i="14"/>
  <c r="H396" i="14"/>
  <c r="U396" i="14"/>
  <c r="C396" i="14"/>
  <c r="T396" i="14"/>
  <c r="E405" i="14"/>
  <c r="T405" i="14"/>
  <c r="S405" i="14"/>
  <c r="H405" i="14"/>
  <c r="D405" i="14"/>
  <c r="G405" i="14"/>
  <c r="U405" i="14"/>
  <c r="B405" i="14"/>
  <c r="K405" i="14"/>
  <c r="W405" i="14"/>
  <c r="V405" i="14"/>
  <c r="A405" i="14"/>
  <c r="I405" i="14"/>
  <c r="C405" i="14"/>
  <c r="E407" i="13"/>
  <c r="A407" i="13"/>
  <c r="G407" i="13"/>
  <c r="D407" i="13"/>
  <c r="B407" i="13"/>
  <c r="J407" i="13"/>
  <c r="L407" i="13" s="1"/>
  <c r="M407" i="13" s="1"/>
  <c r="H407" i="13"/>
  <c r="C407" i="13"/>
  <c r="V407" i="13"/>
  <c r="AA407" i="13" s="1"/>
  <c r="U407" i="13"/>
  <c r="AG407" i="13" s="1"/>
  <c r="N407" i="13"/>
  <c r="O407" i="13" s="1"/>
  <c r="Q407" i="13" s="1"/>
  <c r="A406" i="18"/>
  <c r="G406" i="18"/>
  <c r="H406" i="18"/>
  <c r="E406" i="18"/>
  <c r="B406" i="18"/>
  <c r="I406" i="18"/>
  <c r="J406" i="18"/>
  <c r="K406" i="18" s="1"/>
  <c r="C406" i="18"/>
  <c r="D406" i="18"/>
  <c r="L406" i="18"/>
  <c r="I404" i="8"/>
  <c r="X404" i="8"/>
  <c r="C378" i="9"/>
  <c r="M404" i="8"/>
  <c r="H404" i="8"/>
  <c r="E378" i="9" s="1"/>
  <c r="J404" i="8"/>
  <c r="K404" i="8"/>
  <c r="L404" i="8"/>
  <c r="C404" i="8"/>
  <c r="G404" i="19"/>
  <c r="G404" i="8"/>
  <c r="U404" i="8"/>
  <c r="I404" i="19" s="1"/>
  <c r="E404" i="8"/>
  <c r="B404" i="8"/>
  <c r="C404" i="19" s="1"/>
  <c r="D404" i="8"/>
  <c r="E404" i="19" s="1"/>
  <c r="B400" i="18"/>
  <c r="H400" i="18"/>
  <c r="C400" i="18"/>
  <c r="J400" i="18"/>
  <c r="K400" i="18" s="1"/>
  <c r="A400" i="18"/>
  <c r="E400" i="18"/>
  <c r="D400" i="18"/>
  <c r="G400" i="18"/>
  <c r="I400" i="18"/>
  <c r="M400" i="18"/>
  <c r="G397" i="13"/>
  <c r="E397" i="13"/>
  <c r="C397" i="13"/>
  <c r="A397" i="13"/>
  <c r="U397" i="13"/>
  <c r="AG397" i="13" s="1"/>
  <c r="B397" i="13"/>
  <c r="J397" i="13"/>
  <c r="D397" i="13"/>
  <c r="H397" i="13"/>
  <c r="V397" i="13"/>
  <c r="Z397" i="13" s="1"/>
  <c r="X397" i="14" s="1"/>
  <c r="L397" i="13"/>
  <c r="U401" i="14"/>
  <c r="H401" i="14"/>
  <c r="E401" i="14"/>
  <c r="C401" i="14"/>
  <c r="B401" i="14"/>
  <c r="I401" i="14"/>
  <c r="W401" i="14"/>
  <c r="K401" i="14"/>
  <c r="A401" i="14"/>
  <c r="S401" i="14"/>
  <c r="V401" i="14"/>
  <c r="D401" i="14"/>
  <c r="G401" i="14"/>
  <c r="T401" i="14"/>
  <c r="V398" i="14"/>
  <c r="T398" i="14"/>
  <c r="I398" i="14"/>
  <c r="U398" i="14"/>
  <c r="W398" i="14"/>
  <c r="C398" i="14"/>
  <c r="A398" i="14"/>
  <c r="B398" i="14"/>
  <c r="E398" i="14"/>
  <c r="H398" i="14"/>
  <c r="D398" i="14"/>
  <c r="K398" i="14"/>
  <c r="G398" i="14"/>
  <c r="S398" i="14"/>
  <c r="C402" i="13"/>
  <c r="U402" i="13"/>
  <c r="AG402" i="13" s="1"/>
  <c r="L402" i="13"/>
  <c r="M402" i="13" s="1"/>
  <c r="J402" i="13"/>
  <c r="H402" i="13"/>
  <c r="V402" i="13"/>
  <c r="Z402" i="13" s="1"/>
  <c r="X402" i="14" s="1"/>
  <c r="B402" i="13"/>
  <c r="A402" i="13"/>
  <c r="G402" i="13"/>
  <c r="AA402" i="13"/>
  <c r="AB402" i="13" s="1"/>
  <c r="N402" i="13"/>
  <c r="O402" i="13" s="1"/>
  <c r="Q402" i="13" s="1"/>
  <c r="D402" i="13"/>
  <c r="E402" i="13"/>
  <c r="B403" i="13"/>
  <c r="A403" i="13"/>
  <c r="V403" i="13"/>
  <c r="J403" i="13"/>
  <c r="L403" i="13" s="1"/>
  <c r="M403" i="13" s="1"/>
  <c r="E403" i="13"/>
  <c r="C403" i="13"/>
  <c r="G403" i="13"/>
  <c r="Z403" i="13"/>
  <c r="X403" i="14" s="1"/>
  <c r="U403" i="13"/>
  <c r="AG403" i="13" s="1"/>
  <c r="D403" i="13"/>
  <c r="H403" i="13"/>
  <c r="N403" i="13"/>
  <c r="O403" i="13" s="1"/>
  <c r="Q403" i="13" s="1"/>
  <c r="AA403" i="13"/>
  <c r="C399" i="18"/>
  <c r="D399" i="18"/>
  <c r="I399" i="18"/>
  <c r="G399" i="18"/>
  <c r="N399" i="18"/>
  <c r="O399" i="18" s="1"/>
  <c r="Q399" i="8" s="1"/>
  <c r="E399" i="18"/>
  <c r="H399" i="18"/>
  <c r="J399" i="18"/>
  <c r="M399" i="18" s="1"/>
  <c r="B399" i="18"/>
  <c r="A399" i="18"/>
  <c r="K399" i="18"/>
  <c r="G396" i="13"/>
  <c r="B396" i="13"/>
  <c r="C396" i="13"/>
  <c r="E396" i="13"/>
  <c r="A396" i="13"/>
  <c r="H396" i="13"/>
  <c r="V396" i="13"/>
  <c r="Z396" i="13" s="1"/>
  <c r="M396" i="13"/>
  <c r="J396" i="13"/>
  <c r="L396" i="13" s="1"/>
  <c r="N396" i="13"/>
  <c r="O396" i="13" s="1"/>
  <c r="Q396" i="13" s="1"/>
  <c r="D396" i="13"/>
  <c r="U396" i="13"/>
  <c r="AG396" i="13" s="1"/>
  <c r="E405" i="18"/>
  <c r="I405" i="18"/>
  <c r="G405" i="18"/>
  <c r="D405" i="18"/>
  <c r="J405" i="18"/>
  <c r="M405" i="18" s="1"/>
  <c r="H405" i="18"/>
  <c r="A405" i="18"/>
  <c r="C405" i="18"/>
  <c r="B405" i="18"/>
  <c r="L405" i="18"/>
  <c r="K405" i="18"/>
  <c r="E407" i="14"/>
  <c r="U407" i="14"/>
  <c r="S407" i="14"/>
  <c r="B407" i="14"/>
  <c r="V407" i="14"/>
  <c r="H407" i="14"/>
  <c r="A407" i="14"/>
  <c r="T407" i="14"/>
  <c r="W407" i="14"/>
  <c r="G407" i="14"/>
  <c r="D407" i="14"/>
  <c r="C407" i="14"/>
  <c r="K407" i="14"/>
  <c r="J407" i="14"/>
  <c r="I407" i="14"/>
  <c r="Y407" i="14"/>
  <c r="J406" i="13"/>
  <c r="L406" i="13" s="1"/>
  <c r="B406" i="13"/>
  <c r="V406" i="13"/>
  <c r="Z406" i="13" s="1"/>
  <c r="X406" i="14" s="1"/>
  <c r="U406" i="13"/>
  <c r="AG406" i="13" s="1"/>
  <c r="D406" i="13"/>
  <c r="E406" i="13"/>
  <c r="H406" i="13"/>
  <c r="A406" i="13"/>
  <c r="G406" i="13"/>
  <c r="N406" i="13"/>
  <c r="O406" i="13" s="1"/>
  <c r="Q406" i="13" s="1"/>
  <c r="C406" i="13"/>
  <c r="M406" i="13"/>
  <c r="H404" i="14"/>
  <c r="B404" i="14"/>
  <c r="W404" i="14"/>
  <c r="K404" i="14"/>
  <c r="C404" i="14"/>
  <c r="E404" i="14"/>
  <c r="T404" i="14"/>
  <c r="S404" i="14"/>
  <c r="D404" i="14"/>
  <c r="A404" i="14"/>
  <c r="V404" i="14"/>
  <c r="I404" i="14"/>
  <c r="U404" i="14"/>
  <c r="G404" i="14"/>
  <c r="V400" i="14"/>
  <c r="W400" i="14"/>
  <c r="I400" i="14"/>
  <c r="S400" i="14"/>
  <c r="T400" i="14"/>
  <c r="E400" i="14"/>
  <c r="C400" i="14"/>
  <c r="G400" i="14"/>
  <c r="K400" i="14"/>
  <c r="U400" i="14"/>
  <c r="A400" i="14"/>
  <c r="B400" i="14"/>
  <c r="D400" i="14"/>
  <c r="H400" i="14"/>
  <c r="T397" i="14"/>
  <c r="E397" i="14"/>
  <c r="I397" i="14"/>
  <c r="K397" i="14"/>
  <c r="G397" i="14"/>
  <c r="V397" i="14"/>
  <c r="U397" i="14"/>
  <c r="B397" i="14"/>
  <c r="C397" i="14"/>
  <c r="A397" i="14"/>
  <c r="S397" i="14"/>
  <c r="D397" i="14"/>
  <c r="W397" i="14"/>
  <c r="H397" i="14"/>
  <c r="J397" i="14"/>
  <c r="L397" i="14" s="1"/>
  <c r="M397" i="14" s="1"/>
  <c r="N397" i="14" s="1"/>
  <c r="O397" i="14" s="1"/>
  <c r="P397" i="14" s="1"/>
  <c r="A401" i="18"/>
  <c r="D401" i="18"/>
  <c r="C401" i="18"/>
  <c r="B401" i="18"/>
  <c r="H401" i="18"/>
  <c r="I401" i="18"/>
  <c r="J401" i="18"/>
  <c r="K401" i="18" s="1"/>
  <c r="E401" i="18"/>
  <c r="G401" i="18"/>
  <c r="M401" i="18"/>
  <c r="B398" i="13"/>
  <c r="A398" i="13"/>
  <c r="C398" i="13"/>
  <c r="G398" i="13"/>
  <c r="E398" i="13"/>
  <c r="J398" i="13"/>
  <c r="L398" i="13" s="1"/>
  <c r="H398" i="13"/>
  <c r="U398" i="13"/>
  <c r="AG398" i="13" s="1"/>
  <c r="M398" i="13"/>
  <c r="D398" i="13"/>
  <c r="V398" i="13"/>
  <c r="Z398" i="13" s="1"/>
  <c r="X398" i="14" s="1"/>
  <c r="N398" i="13"/>
  <c r="O398" i="13" s="1"/>
  <c r="Q398" i="13" s="1"/>
  <c r="E402" i="18"/>
  <c r="D402" i="18"/>
  <c r="G402" i="18"/>
  <c r="H402" i="18"/>
  <c r="B402" i="18"/>
  <c r="A402" i="18"/>
  <c r="J402" i="18"/>
  <c r="K402" i="18" s="1"/>
  <c r="C402" i="18"/>
  <c r="I402" i="18"/>
  <c r="N402" i="18"/>
  <c r="O402" i="18" s="1"/>
  <c r="Q402" i="8" s="1"/>
  <c r="L402" i="18"/>
  <c r="M402" i="18"/>
  <c r="E403" i="8"/>
  <c r="U403" i="8"/>
  <c r="I403" i="19" s="1"/>
  <c r="G403" i="8"/>
  <c r="G403" i="19"/>
  <c r="C403" i="8"/>
  <c r="X403" i="8"/>
  <c r="C377" i="9"/>
  <c r="D403" i="8"/>
  <c r="E403" i="19" s="1"/>
  <c r="M403" i="8"/>
  <c r="J403" i="8"/>
  <c r="B403" i="8"/>
  <c r="C403" i="19" s="1"/>
  <c r="H403" i="8"/>
  <c r="E377" i="9" s="1"/>
  <c r="L403" i="8"/>
  <c r="K403" i="8"/>
  <c r="I403" i="8"/>
  <c r="B399" i="13"/>
  <c r="J399" i="13"/>
  <c r="L399" i="13" s="1"/>
  <c r="M399" i="13" s="1"/>
  <c r="V399" i="13"/>
  <c r="Z399" i="13" s="1"/>
  <c r="X399" i="14" s="1"/>
  <c r="D399" i="13"/>
  <c r="A399" i="13"/>
  <c r="U399" i="13"/>
  <c r="AG399" i="13" s="1"/>
  <c r="C399" i="13"/>
  <c r="H399" i="13"/>
  <c r="E399" i="13"/>
  <c r="G399" i="13"/>
  <c r="AA399" i="13"/>
  <c r="AB399" i="13" s="1"/>
  <c r="N399" i="13"/>
  <c r="O399" i="13" s="1"/>
  <c r="Q399" i="13" s="1"/>
  <c r="C396" i="18"/>
  <c r="B396" i="18"/>
  <c r="H396" i="18"/>
  <c r="G396" i="18"/>
  <c r="A396" i="18"/>
  <c r="I396" i="18"/>
  <c r="D396" i="18"/>
  <c r="E396" i="18"/>
  <c r="J396" i="18"/>
  <c r="K396" i="18" s="1"/>
  <c r="C379" i="9"/>
  <c r="C405" i="8"/>
  <c r="K405" i="8"/>
  <c r="B405" i="8"/>
  <c r="C405" i="19" s="1"/>
  <c r="G405" i="19"/>
  <c r="J405" i="8"/>
  <c r="U405" i="8"/>
  <c r="I405" i="19" s="1"/>
  <c r="X405" i="8"/>
  <c r="D405" i="8"/>
  <c r="E405" i="19" s="1"/>
  <c r="M405" i="8"/>
  <c r="L405" i="8"/>
  <c r="I405" i="8"/>
  <c r="H405" i="8"/>
  <c r="E379" i="9" s="1"/>
  <c r="G405" i="8"/>
  <c r="E405" i="8"/>
  <c r="C381" i="9"/>
  <c r="I407" i="8"/>
  <c r="L407" i="8"/>
  <c r="H407" i="8"/>
  <c r="E381" i="9" s="1"/>
  <c r="G407" i="19"/>
  <c r="X407" i="8"/>
  <c r="G407" i="8"/>
  <c r="J407" i="8"/>
  <c r="C407" i="8"/>
  <c r="M407" i="8"/>
  <c r="E407" i="8"/>
  <c r="B407" i="8"/>
  <c r="C407" i="19" s="1"/>
  <c r="D407" i="8"/>
  <c r="E407" i="19" s="1"/>
  <c r="K407" i="8"/>
  <c r="U407" i="8"/>
  <c r="I407" i="19" s="1"/>
  <c r="C406" i="8"/>
  <c r="K406" i="8"/>
  <c r="C380" i="9"/>
  <c r="I406" i="8"/>
  <c r="D406" i="8"/>
  <c r="E406" i="19" s="1"/>
  <c r="G406" i="8"/>
  <c r="H406" i="8"/>
  <c r="E380" i="9" s="1"/>
  <c r="G406" i="19"/>
  <c r="L406" i="8"/>
  <c r="U406" i="8"/>
  <c r="I406" i="19" s="1"/>
  <c r="X406" i="8"/>
  <c r="B406" i="8"/>
  <c r="C406" i="19" s="1"/>
  <c r="M406" i="8"/>
  <c r="J406" i="8"/>
  <c r="E406" i="8"/>
  <c r="J404" i="18"/>
  <c r="E404" i="18"/>
  <c r="M404" i="18"/>
  <c r="D404" i="18"/>
  <c r="B404" i="18"/>
  <c r="I404" i="18"/>
  <c r="L404" i="18"/>
  <c r="H404" i="18"/>
  <c r="G404" i="18"/>
  <c r="A404" i="18"/>
  <c r="N404" i="18"/>
  <c r="O404" i="18" s="1"/>
  <c r="Q404" i="8" s="1"/>
  <c r="C404" i="18"/>
  <c r="K404" i="18"/>
  <c r="G400" i="19"/>
  <c r="H400" i="8"/>
  <c r="E374" i="9" s="1"/>
  <c r="J400" i="8"/>
  <c r="G400" i="8"/>
  <c r="C374" i="9"/>
  <c r="X400" i="8"/>
  <c r="U400" i="8"/>
  <c r="I400" i="19" s="1"/>
  <c r="K400" i="8"/>
  <c r="B400" i="8"/>
  <c r="C400" i="19" s="1"/>
  <c r="D400" i="8"/>
  <c r="E400" i="19" s="1"/>
  <c r="M400" i="8"/>
  <c r="E400" i="8"/>
  <c r="I400" i="8"/>
  <c r="L400" i="8"/>
  <c r="C400" i="8"/>
  <c r="D397" i="18"/>
  <c r="B397" i="18"/>
  <c r="G397" i="18"/>
  <c r="H397" i="18"/>
  <c r="J397" i="18"/>
  <c r="I397" i="18"/>
  <c r="A397" i="18"/>
  <c r="C397" i="18"/>
  <c r="E397" i="18"/>
  <c r="K397" i="18"/>
  <c r="M397" i="18"/>
  <c r="N397" i="18"/>
  <c r="O397" i="18" s="1"/>
  <c r="Q397" i="8" s="1"/>
  <c r="L397" i="18"/>
  <c r="D401" i="13"/>
  <c r="E401" i="13"/>
  <c r="B401" i="13"/>
  <c r="G401" i="13"/>
  <c r="U401" i="13"/>
  <c r="AG401" i="13" s="1"/>
  <c r="C401" i="13"/>
  <c r="J401" i="13"/>
  <c r="L401" i="13" s="1"/>
  <c r="N401" i="13" s="1"/>
  <c r="O401" i="13" s="1"/>
  <c r="Q401" i="13" s="1"/>
  <c r="H401" i="13"/>
  <c r="A401" i="13"/>
  <c r="V401" i="13"/>
  <c r="Z401" i="13" s="1"/>
  <c r="X401" i="14" s="1"/>
  <c r="M401" i="13"/>
  <c r="AA401" i="13"/>
  <c r="AB401" i="13" s="1"/>
  <c r="C398" i="18"/>
  <c r="A398" i="18"/>
  <c r="E398" i="18"/>
  <c r="D398" i="18"/>
  <c r="G398" i="18"/>
  <c r="H398" i="18"/>
  <c r="B398" i="18"/>
  <c r="I398" i="18"/>
  <c r="J398" i="18"/>
  <c r="M398" i="18" s="1"/>
  <c r="K398" i="18"/>
  <c r="V402" i="14"/>
  <c r="K402" i="14"/>
  <c r="T402" i="14"/>
  <c r="A402" i="14"/>
  <c r="E402" i="14"/>
  <c r="J402" i="14"/>
  <c r="B402" i="14"/>
  <c r="S402" i="14"/>
  <c r="U402" i="14"/>
  <c r="I402" i="14"/>
  <c r="C402" i="14"/>
  <c r="G402" i="14"/>
  <c r="L402" i="14"/>
  <c r="M402" i="14" s="1"/>
  <c r="N402" i="14" s="1"/>
  <c r="O402" i="14" s="1"/>
  <c r="P402" i="14" s="1"/>
  <c r="D402" i="14"/>
  <c r="W402" i="14"/>
  <c r="H402" i="14"/>
  <c r="Y402" i="14"/>
  <c r="I403" i="18"/>
  <c r="E403" i="18"/>
  <c r="B403" i="18"/>
  <c r="C403" i="18"/>
  <c r="J403" i="18"/>
  <c r="L403" i="18" s="1"/>
  <c r="D403" i="18"/>
  <c r="G403" i="18"/>
  <c r="M403" i="18"/>
  <c r="A403" i="18"/>
  <c r="N403" i="18"/>
  <c r="O403" i="18" s="1"/>
  <c r="Q403" i="8" s="1"/>
  <c r="H403" i="18"/>
  <c r="E399" i="8"/>
  <c r="J399" i="8"/>
  <c r="K399" i="8"/>
  <c r="M399" i="8"/>
  <c r="B399" i="8"/>
  <c r="C399" i="19" s="1"/>
  <c r="C373" i="9"/>
  <c r="H399" i="8"/>
  <c r="E373" i="9" s="1"/>
  <c r="L399" i="8"/>
  <c r="G399" i="8"/>
  <c r="G399" i="19"/>
  <c r="U399" i="8"/>
  <c r="I399" i="19" s="1"/>
  <c r="D399" i="8"/>
  <c r="E399" i="19" s="1"/>
  <c r="X399" i="8"/>
  <c r="C399" i="8"/>
  <c r="I399" i="8"/>
  <c r="G396" i="19"/>
  <c r="B396" i="8"/>
  <c r="C396" i="19" s="1"/>
  <c r="D396" i="8"/>
  <c r="E396" i="19" s="1"/>
  <c r="M396" i="8"/>
  <c r="C396" i="8"/>
  <c r="C370" i="9"/>
  <c r="I396" i="8"/>
  <c r="G396" i="8"/>
  <c r="K396" i="8"/>
  <c r="L396" i="8"/>
  <c r="U396" i="8"/>
  <c r="I396" i="19" s="1"/>
  <c r="J396" i="8"/>
  <c r="X396" i="8"/>
  <c r="E396" i="8"/>
  <c r="H396" i="8"/>
  <c r="E370" i="9" s="1"/>
  <c r="H405" i="13"/>
  <c r="G405" i="13"/>
  <c r="B405" i="13"/>
  <c r="U405" i="13"/>
  <c r="AG405" i="13" s="1"/>
  <c r="J405" i="13"/>
  <c r="L405" i="13" s="1"/>
  <c r="N405" i="13" s="1"/>
  <c r="O405" i="13" s="1"/>
  <c r="Q405" i="13" s="1"/>
  <c r="A405" i="13"/>
  <c r="C405" i="13"/>
  <c r="V405" i="13"/>
  <c r="Z405" i="13" s="1"/>
  <c r="X405" i="14" s="1"/>
  <c r="D405" i="13"/>
  <c r="E405" i="13"/>
  <c r="AA405" i="13"/>
  <c r="AB405" i="13" s="1"/>
  <c r="B407" i="18"/>
  <c r="C407" i="18"/>
  <c r="A407" i="18"/>
  <c r="E407" i="18"/>
  <c r="D407" i="18"/>
  <c r="G407" i="18"/>
  <c r="H407" i="18"/>
  <c r="C406" i="14"/>
  <c r="I406" i="14"/>
  <c r="U406" i="14"/>
  <c r="V406" i="14"/>
  <c r="W406" i="14"/>
  <c r="A406" i="14"/>
  <c r="T406" i="14"/>
  <c r="E406" i="14"/>
  <c r="G406" i="14"/>
  <c r="B406" i="14"/>
  <c r="S406" i="14"/>
  <c r="K406" i="14"/>
  <c r="H406" i="14"/>
  <c r="D406" i="14"/>
  <c r="J406" i="14"/>
  <c r="L406" i="14" s="1"/>
  <c r="M406" i="14" s="1"/>
  <c r="N406" i="14" s="1"/>
  <c r="O406" i="14" s="1"/>
  <c r="P406" i="14" s="1"/>
  <c r="J404" i="13"/>
  <c r="J404" i="14" s="1"/>
  <c r="L404" i="14" s="1"/>
  <c r="M404" i="14" s="1"/>
  <c r="N404" i="14" s="1"/>
  <c r="O404" i="14" s="1"/>
  <c r="P404" i="14" s="1"/>
  <c r="G404" i="13"/>
  <c r="U404" i="13"/>
  <c r="AG404" i="13" s="1"/>
  <c r="H404" i="13"/>
  <c r="A404" i="13"/>
  <c r="D404" i="13"/>
  <c r="E404" i="13"/>
  <c r="C404" i="13"/>
  <c r="V404" i="13"/>
  <c r="B404" i="13"/>
  <c r="L404" i="13"/>
  <c r="M404" i="13" s="1"/>
  <c r="Z404" i="13"/>
  <c r="X404" i="14" s="1"/>
  <c r="C400" i="13"/>
  <c r="J400" i="13"/>
  <c r="L400" i="13" s="1"/>
  <c r="N400" i="13" s="1"/>
  <c r="O400" i="13" s="1"/>
  <c r="Q400" i="13" s="1"/>
  <c r="A400" i="13"/>
  <c r="U400" i="13"/>
  <c r="AG400" i="13" s="1"/>
  <c r="D400" i="13"/>
  <c r="B400" i="13"/>
  <c r="E400" i="13"/>
  <c r="H400" i="13"/>
  <c r="G400" i="13"/>
  <c r="V400" i="13"/>
  <c r="Z400" i="13" s="1"/>
  <c r="X400" i="14" s="1"/>
  <c r="AA400" i="13"/>
  <c r="G397" i="19"/>
  <c r="E397" i="8"/>
  <c r="X397" i="8"/>
  <c r="L397" i="8"/>
  <c r="C397" i="8"/>
  <c r="K397" i="8"/>
  <c r="M397" i="8"/>
  <c r="B397" i="8"/>
  <c r="C397" i="19" s="1"/>
  <c r="I397" i="8"/>
  <c r="D397" i="8"/>
  <c r="E397" i="19" s="1"/>
  <c r="C371" i="9"/>
  <c r="G397" i="8"/>
  <c r="U397" i="8"/>
  <c r="I397" i="19" s="1"/>
  <c r="J397" i="8"/>
  <c r="H397" i="8"/>
  <c r="E371" i="9" s="1"/>
  <c r="I401" i="8"/>
  <c r="L401" i="8"/>
  <c r="G401" i="8"/>
  <c r="C375" i="9"/>
  <c r="J401" i="8"/>
  <c r="H401" i="8"/>
  <c r="E375" i="9" s="1"/>
  <c r="X401" i="8"/>
  <c r="D401" i="8"/>
  <c r="E401" i="19" s="1"/>
  <c r="B401" i="8"/>
  <c r="C401" i="19" s="1"/>
  <c r="C401" i="8"/>
  <c r="M401" i="8"/>
  <c r="E401" i="8"/>
  <c r="K401" i="8"/>
  <c r="G401" i="19"/>
  <c r="U401" i="8"/>
  <c r="I401" i="19" s="1"/>
  <c r="G398" i="19"/>
  <c r="C372" i="9"/>
  <c r="J398" i="8"/>
  <c r="H398" i="8"/>
  <c r="E372" i="9" s="1"/>
  <c r="M398" i="8"/>
  <c r="B398" i="8"/>
  <c r="C398" i="19" s="1"/>
  <c r="L398" i="8"/>
  <c r="K398" i="8"/>
  <c r="I398" i="8"/>
  <c r="D398" i="8"/>
  <c r="E398" i="19" s="1"/>
  <c r="U398" i="8"/>
  <c r="I398" i="19" s="1"/>
  <c r="X398" i="8"/>
  <c r="G398" i="8"/>
  <c r="C398" i="8"/>
  <c r="E398" i="8"/>
  <c r="X432" i="19"/>
  <c r="X468" i="19"/>
  <c r="X448" i="19"/>
  <c r="X490" i="19"/>
  <c r="R492" i="19"/>
  <c r="U492" i="19" s="1"/>
  <c r="G365" i="19"/>
  <c r="V365" i="8"/>
  <c r="G395" i="19"/>
  <c r="V395" i="8"/>
  <c r="G366" i="19"/>
  <c r="V366" i="8"/>
  <c r="C348" i="8"/>
  <c r="G348" i="19"/>
  <c r="G361" i="19"/>
  <c r="V361" i="8"/>
  <c r="G353" i="19"/>
  <c r="V353" i="8"/>
  <c r="R428" i="19"/>
  <c r="U428" i="19" s="1"/>
  <c r="U429" i="19"/>
  <c r="X429" i="19" s="1"/>
  <c r="U423" i="19"/>
  <c r="X423" i="19" s="1"/>
  <c r="R414" i="19"/>
  <c r="U414" i="19" s="1"/>
  <c r="U426" i="19"/>
  <c r="X426" i="19" s="1"/>
  <c r="U427" i="19"/>
  <c r="X427" i="19" s="1"/>
  <c r="R480" i="19"/>
  <c r="U480" i="19" s="1"/>
  <c r="J383" i="18"/>
  <c r="K383" i="18" s="1"/>
  <c r="B383" i="18"/>
  <c r="A383" i="18"/>
  <c r="H383" i="18"/>
  <c r="I383" i="18"/>
  <c r="C383" i="18"/>
  <c r="D383" i="18"/>
  <c r="E383" i="18"/>
  <c r="G383" i="18"/>
  <c r="B386" i="14"/>
  <c r="A386" i="14"/>
  <c r="V386" i="14"/>
  <c r="U386" i="14"/>
  <c r="I386" i="14"/>
  <c r="C386" i="14"/>
  <c r="H386" i="14"/>
  <c r="D386" i="14"/>
  <c r="S386" i="14"/>
  <c r="G386" i="14"/>
  <c r="T386" i="14"/>
  <c r="W386" i="14"/>
  <c r="K386" i="14"/>
  <c r="E386" i="14"/>
  <c r="E382" i="13"/>
  <c r="U382" i="13"/>
  <c r="AG382" i="13" s="1"/>
  <c r="H382" i="13"/>
  <c r="C382" i="13"/>
  <c r="B382" i="13"/>
  <c r="G382" i="13"/>
  <c r="J382" i="13"/>
  <c r="L382" i="13" s="1"/>
  <c r="M382" i="13" s="1"/>
  <c r="D382" i="13"/>
  <c r="V382" i="13"/>
  <c r="Z382" i="13" s="1"/>
  <c r="X382" i="14" s="1"/>
  <c r="A382" i="13"/>
  <c r="K370" i="14"/>
  <c r="B370" i="14"/>
  <c r="U370" i="14"/>
  <c r="S370" i="14"/>
  <c r="E370" i="14"/>
  <c r="W370" i="14"/>
  <c r="D370" i="14"/>
  <c r="C370" i="14"/>
  <c r="V370" i="14"/>
  <c r="G370" i="14"/>
  <c r="T370" i="14"/>
  <c r="I370" i="14"/>
  <c r="H370" i="14"/>
  <c r="A370" i="14"/>
  <c r="U338" i="13"/>
  <c r="AG338" i="13" s="1"/>
  <c r="C338" i="13"/>
  <c r="G338" i="13"/>
  <c r="V338" i="13"/>
  <c r="Z338" i="13" s="1"/>
  <c r="D338" i="13"/>
  <c r="A338" i="13"/>
  <c r="H338" i="13"/>
  <c r="B338" i="13"/>
  <c r="J338" i="13"/>
  <c r="L338" i="13" s="1"/>
  <c r="M338" i="13" s="1"/>
  <c r="E338" i="13"/>
  <c r="K334" i="14"/>
  <c r="I334" i="14"/>
  <c r="V334" i="14"/>
  <c r="B334" i="14"/>
  <c r="A334" i="14"/>
  <c r="S334" i="14"/>
  <c r="D334" i="14"/>
  <c r="W334" i="14"/>
  <c r="H334" i="14"/>
  <c r="C334" i="14"/>
  <c r="G334" i="14"/>
  <c r="U334" i="14"/>
  <c r="T334" i="14"/>
  <c r="E334" i="14"/>
  <c r="G350" i="18"/>
  <c r="C350" i="18"/>
  <c r="D350" i="18"/>
  <c r="B350" i="18"/>
  <c r="H350" i="18"/>
  <c r="E350" i="18"/>
  <c r="A350" i="18"/>
  <c r="H371" i="8"/>
  <c r="E345" i="9" s="1"/>
  <c r="B371" i="8"/>
  <c r="C371" i="19" s="1"/>
  <c r="J371" i="8"/>
  <c r="E371" i="8"/>
  <c r="K371" i="8"/>
  <c r="C371" i="8"/>
  <c r="G371" i="8"/>
  <c r="H371" i="19" s="1"/>
  <c r="L371" i="8"/>
  <c r="C345" i="9"/>
  <c r="U371" i="8"/>
  <c r="I371" i="19" s="1"/>
  <c r="D371" i="8"/>
  <c r="E371" i="19" s="1"/>
  <c r="X371" i="8"/>
  <c r="M371" i="8"/>
  <c r="I371" i="8"/>
  <c r="H365" i="18"/>
  <c r="C365" i="18"/>
  <c r="G365" i="18"/>
  <c r="I365" i="18"/>
  <c r="A365" i="18"/>
  <c r="B365" i="18"/>
  <c r="J365" i="18"/>
  <c r="L365" i="18" s="1"/>
  <c r="E365" i="18"/>
  <c r="D365" i="18"/>
  <c r="J390" i="13"/>
  <c r="L390" i="13" s="1"/>
  <c r="N390" i="13" s="1"/>
  <c r="O390" i="13" s="1"/>
  <c r="Q390" i="13" s="1"/>
  <c r="E390" i="13"/>
  <c r="B390" i="13"/>
  <c r="D390" i="13"/>
  <c r="H390" i="13"/>
  <c r="U390" i="13"/>
  <c r="AG390" i="13" s="1"/>
  <c r="V390" i="13"/>
  <c r="G390" i="13"/>
  <c r="A390" i="13"/>
  <c r="C390" i="13"/>
  <c r="Z390" i="13"/>
  <c r="X390" i="14" s="1"/>
  <c r="V378" i="13"/>
  <c r="AA378" i="13" s="1"/>
  <c r="AB378" i="13" s="1"/>
  <c r="A378" i="13"/>
  <c r="E378" i="13"/>
  <c r="U378" i="13"/>
  <c r="AG378" i="13" s="1"/>
  <c r="AB407" i="13" s="1"/>
  <c r="D378" i="13"/>
  <c r="C378" i="13"/>
  <c r="B378" i="13"/>
  <c r="G378" i="13"/>
  <c r="J378" i="13"/>
  <c r="L378" i="13" s="1"/>
  <c r="H378" i="13"/>
  <c r="C332" i="8"/>
  <c r="K332" i="8"/>
  <c r="J332" i="8"/>
  <c r="E332" i="8"/>
  <c r="M332" i="8"/>
  <c r="L332" i="8"/>
  <c r="B332" i="8"/>
  <c r="C332" i="19" s="1"/>
  <c r="G332" i="8"/>
  <c r="H332" i="19" s="1"/>
  <c r="D332" i="8"/>
  <c r="E332" i="19" s="1"/>
  <c r="U332" i="8"/>
  <c r="I332" i="19" s="1"/>
  <c r="C306" i="9"/>
  <c r="I332" i="8"/>
  <c r="H332" i="8"/>
  <c r="E306" i="9" s="1"/>
  <c r="X332" i="8"/>
  <c r="E348" i="13"/>
  <c r="H348" i="13"/>
  <c r="D348" i="13"/>
  <c r="C348" i="13"/>
  <c r="G348" i="13"/>
  <c r="A348" i="13"/>
  <c r="B348" i="13"/>
  <c r="U348" i="13"/>
  <c r="AG348" i="13" s="1"/>
  <c r="V348" i="13"/>
  <c r="Z348" i="13" s="1"/>
  <c r="X348" i="14" s="1"/>
  <c r="J348" i="13"/>
  <c r="L348" i="13" s="1"/>
  <c r="D393" i="8"/>
  <c r="E393" i="19" s="1"/>
  <c r="G393" i="8"/>
  <c r="H393" i="19" s="1"/>
  <c r="X393" i="8"/>
  <c r="K393" i="8"/>
  <c r="B393" i="8"/>
  <c r="C393" i="19" s="1"/>
  <c r="M393" i="8"/>
  <c r="C367" i="9"/>
  <c r="U393" i="8"/>
  <c r="I393" i="19" s="1"/>
  <c r="I393" i="8"/>
  <c r="C393" i="8"/>
  <c r="L393" i="8"/>
  <c r="E393" i="8"/>
  <c r="J393" i="8"/>
  <c r="H393" i="8"/>
  <c r="E367" i="9" s="1"/>
  <c r="B331" i="13"/>
  <c r="A331" i="13"/>
  <c r="V331" i="13"/>
  <c r="H331" i="13"/>
  <c r="U331" i="13"/>
  <c r="AG331" i="13" s="1"/>
  <c r="J331" i="13"/>
  <c r="L331" i="13" s="1"/>
  <c r="C331" i="13"/>
  <c r="E331" i="13"/>
  <c r="G331" i="13"/>
  <c r="D331" i="13"/>
  <c r="Z331" i="13"/>
  <c r="X331" i="14" s="1"/>
  <c r="L345" i="8"/>
  <c r="G345" i="8"/>
  <c r="H345" i="19" s="1"/>
  <c r="C345" i="8"/>
  <c r="X345" i="8"/>
  <c r="I345" i="8"/>
  <c r="B345" i="8"/>
  <c r="C345" i="19" s="1"/>
  <c r="D345" i="8"/>
  <c r="E345" i="19" s="1"/>
  <c r="H345" i="8"/>
  <c r="E319" i="9" s="1"/>
  <c r="C319" i="9"/>
  <c r="J345" i="8"/>
  <c r="E345" i="8"/>
  <c r="M345" i="8"/>
  <c r="K345" i="8"/>
  <c r="U345" i="8"/>
  <c r="I345" i="19" s="1"/>
  <c r="D330" i="18"/>
  <c r="H330" i="18"/>
  <c r="G330" i="18"/>
  <c r="C330" i="18"/>
  <c r="A330" i="18"/>
  <c r="B330" i="18"/>
  <c r="E330" i="18"/>
  <c r="J330" i="18"/>
  <c r="N330" i="18" s="1"/>
  <c r="O330" i="18" s="1"/>
  <c r="Q330" i="8" s="1"/>
  <c r="I330" i="18"/>
  <c r="J373" i="8"/>
  <c r="L373" i="8"/>
  <c r="I373" i="8"/>
  <c r="U373" i="8"/>
  <c r="I373" i="19" s="1"/>
  <c r="C373" i="8"/>
  <c r="G373" i="8"/>
  <c r="H373" i="19" s="1"/>
  <c r="E373" i="8"/>
  <c r="M373" i="8"/>
  <c r="D373" i="8"/>
  <c r="E373" i="19" s="1"/>
  <c r="K373" i="8"/>
  <c r="C347" i="9"/>
  <c r="B373" i="8"/>
  <c r="C373" i="19" s="1"/>
  <c r="H373" i="8"/>
  <c r="E347" i="9" s="1"/>
  <c r="X373" i="8"/>
  <c r="C337" i="13"/>
  <c r="E337" i="13"/>
  <c r="B337" i="13"/>
  <c r="D337" i="13"/>
  <c r="J337" i="13"/>
  <c r="J337" i="14" s="1"/>
  <c r="G337" i="13"/>
  <c r="V337" i="13"/>
  <c r="Z337" i="13" s="1"/>
  <c r="X337" i="14" s="1"/>
  <c r="A337" i="13"/>
  <c r="U337" i="13"/>
  <c r="AG337" i="13" s="1"/>
  <c r="H337" i="13"/>
  <c r="AA337" i="13"/>
  <c r="Y337" i="14" s="1"/>
  <c r="B360" i="13"/>
  <c r="V360" i="13"/>
  <c r="AA360" i="13" s="1"/>
  <c r="AB360" i="13" s="1"/>
  <c r="Z360" i="14" s="1"/>
  <c r="D360" i="13"/>
  <c r="C360" i="13"/>
  <c r="A360" i="13"/>
  <c r="U360" i="13"/>
  <c r="AG360" i="13" s="1"/>
  <c r="J360" i="13"/>
  <c r="L360" i="13" s="1"/>
  <c r="E360" i="13"/>
  <c r="H360" i="13"/>
  <c r="G360" i="13"/>
  <c r="D385" i="18"/>
  <c r="H385" i="18"/>
  <c r="A385" i="18"/>
  <c r="C385" i="18"/>
  <c r="G385" i="18"/>
  <c r="E385" i="18"/>
  <c r="B385" i="18"/>
  <c r="C369" i="18"/>
  <c r="H369" i="18"/>
  <c r="E369" i="18"/>
  <c r="G369" i="18"/>
  <c r="A369" i="18"/>
  <c r="B369" i="18"/>
  <c r="J369" i="18"/>
  <c r="K369" i="18" s="1"/>
  <c r="D369" i="18"/>
  <c r="I369" i="18"/>
  <c r="U379" i="14"/>
  <c r="H379" i="14"/>
  <c r="S379" i="14"/>
  <c r="W379" i="14"/>
  <c r="A379" i="14"/>
  <c r="G379" i="14"/>
  <c r="D379" i="14"/>
  <c r="K379" i="14"/>
  <c r="C379" i="14"/>
  <c r="V379" i="14"/>
  <c r="E379" i="14"/>
  <c r="T379" i="14"/>
  <c r="B379" i="14"/>
  <c r="I379" i="14"/>
  <c r="D344" i="13"/>
  <c r="E344" i="13"/>
  <c r="H344" i="13"/>
  <c r="C344" i="13"/>
  <c r="G344" i="13"/>
  <c r="V344" i="13"/>
  <c r="Z344" i="13" s="1"/>
  <c r="X344" i="14" s="1"/>
  <c r="B344" i="13"/>
  <c r="U344" i="13"/>
  <c r="AG344" i="13" s="1"/>
  <c r="J344" i="13"/>
  <c r="J344" i="14" s="1"/>
  <c r="A344" i="13"/>
  <c r="B343" i="14"/>
  <c r="W343" i="14"/>
  <c r="H343" i="14"/>
  <c r="S343" i="14"/>
  <c r="A343" i="14"/>
  <c r="V343" i="14"/>
  <c r="G343" i="14"/>
  <c r="U343" i="14"/>
  <c r="C343" i="14"/>
  <c r="T343" i="14"/>
  <c r="D343" i="14"/>
  <c r="E343" i="14"/>
  <c r="K343" i="14"/>
  <c r="I343" i="14"/>
  <c r="B374" i="13"/>
  <c r="A374" i="13"/>
  <c r="G374" i="13"/>
  <c r="U374" i="13"/>
  <c r="AG374" i="13" s="1"/>
  <c r="V374" i="13"/>
  <c r="AA374" i="13" s="1"/>
  <c r="H374" i="13"/>
  <c r="C374" i="13"/>
  <c r="J374" i="13"/>
  <c r="J374" i="14" s="1"/>
  <c r="E374" i="13"/>
  <c r="D374" i="13"/>
  <c r="G383" i="13"/>
  <c r="B383" i="13"/>
  <c r="E383" i="13"/>
  <c r="V383" i="13"/>
  <c r="Z383" i="13" s="1"/>
  <c r="J383" i="13"/>
  <c r="L383" i="13" s="1"/>
  <c r="M383" i="13" s="1"/>
  <c r="U383" i="13"/>
  <c r="AG383" i="13" s="1"/>
  <c r="A383" i="13"/>
  <c r="D383" i="13"/>
  <c r="C383" i="13"/>
  <c r="H383" i="13"/>
  <c r="D386" i="13"/>
  <c r="U386" i="13"/>
  <c r="AG386" i="13" s="1"/>
  <c r="V386" i="13"/>
  <c r="Z386" i="13" s="1"/>
  <c r="X386" i="14" s="1"/>
  <c r="B386" i="13"/>
  <c r="C386" i="13"/>
  <c r="H386" i="13"/>
  <c r="E386" i="13"/>
  <c r="A386" i="13"/>
  <c r="G386" i="13"/>
  <c r="J386" i="13"/>
  <c r="L386" i="13" s="1"/>
  <c r="M386" i="13" s="1"/>
  <c r="AA386" i="13"/>
  <c r="AB386" i="13" s="1"/>
  <c r="Z386" i="14" s="1"/>
  <c r="C356" i="14"/>
  <c r="V356" i="14"/>
  <c r="I356" i="14"/>
  <c r="A356" i="14"/>
  <c r="U356" i="14"/>
  <c r="D356" i="14"/>
  <c r="K356" i="14"/>
  <c r="E356" i="14"/>
  <c r="W356" i="14"/>
  <c r="H356" i="14"/>
  <c r="B356" i="14"/>
  <c r="S356" i="14"/>
  <c r="G356" i="14"/>
  <c r="T356" i="14"/>
  <c r="B358" i="13"/>
  <c r="U358" i="13"/>
  <c r="AG358" i="13" s="1"/>
  <c r="V358" i="13"/>
  <c r="AA358" i="13" s="1"/>
  <c r="AB358" i="13" s="1"/>
  <c r="A358" i="13"/>
  <c r="C358" i="13"/>
  <c r="H358" i="13"/>
  <c r="E358" i="13"/>
  <c r="J358" i="13"/>
  <c r="L358" i="13" s="1"/>
  <c r="M358" i="13" s="1"/>
  <c r="G358" i="13"/>
  <c r="D358" i="13"/>
  <c r="S382" i="14"/>
  <c r="G382" i="14"/>
  <c r="E382" i="14"/>
  <c r="W382" i="14"/>
  <c r="K382" i="14"/>
  <c r="U382" i="14"/>
  <c r="B382" i="14"/>
  <c r="A382" i="14"/>
  <c r="V382" i="14"/>
  <c r="D382" i="14"/>
  <c r="I382" i="14"/>
  <c r="C382" i="14"/>
  <c r="H382" i="14"/>
  <c r="T382" i="14"/>
  <c r="B380" i="13"/>
  <c r="G380" i="13"/>
  <c r="D380" i="13"/>
  <c r="E380" i="13"/>
  <c r="C380" i="13"/>
  <c r="A380" i="13"/>
  <c r="J380" i="13"/>
  <c r="L380" i="13" s="1"/>
  <c r="V380" i="13"/>
  <c r="Z380" i="13" s="1"/>
  <c r="X380" i="14" s="1"/>
  <c r="H380" i="13"/>
  <c r="U380" i="13"/>
  <c r="AG380" i="13" s="1"/>
  <c r="B349" i="14"/>
  <c r="W349" i="14"/>
  <c r="H349" i="14"/>
  <c r="S349" i="14"/>
  <c r="E349" i="14"/>
  <c r="U349" i="14"/>
  <c r="I349" i="14"/>
  <c r="C349" i="14"/>
  <c r="V349" i="14"/>
  <c r="T349" i="14"/>
  <c r="G349" i="14"/>
  <c r="K349" i="14"/>
  <c r="A349" i="14"/>
  <c r="D349" i="14"/>
  <c r="E342" i="18"/>
  <c r="I342" i="18"/>
  <c r="G342" i="18"/>
  <c r="H342" i="18"/>
  <c r="B342" i="18"/>
  <c r="J342" i="18"/>
  <c r="M342" i="18" s="1"/>
  <c r="D342" i="18"/>
  <c r="A342" i="18"/>
  <c r="C342" i="18"/>
  <c r="N342" i="18"/>
  <c r="O342" i="18" s="1"/>
  <c r="Q342" i="8" s="1"/>
  <c r="B387" i="8"/>
  <c r="C387" i="19" s="1"/>
  <c r="J387" i="8"/>
  <c r="X387" i="8"/>
  <c r="E387" i="8"/>
  <c r="C387" i="8"/>
  <c r="G387" i="8"/>
  <c r="H387" i="19" s="1"/>
  <c r="L387" i="8"/>
  <c r="M387" i="8"/>
  <c r="D387" i="8"/>
  <c r="E387" i="19" s="1"/>
  <c r="U387" i="8"/>
  <c r="I387" i="19" s="1"/>
  <c r="C361" i="9"/>
  <c r="I387" i="8"/>
  <c r="H387" i="8"/>
  <c r="E361" i="9" s="1"/>
  <c r="K387" i="8"/>
  <c r="B355" i="14"/>
  <c r="I355" i="14"/>
  <c r="K355" i="14"/>
  <c r="D355" i="14"/>
  <c r="E355" i="14"/>
  <c r="S355" i="14"/>
  <c r="W355" i="14"/>
  <c r="H355" i="14"/>
  <c r="C355" i="14"/>
  <c r="U355" i="14"/>
  <c r="V355" i="14"/>
  <c r="T355" i="14"/>
  <c r="G355" i="14"/>
  <c r="A355" i="14"/>
  <c r="B370" i="18"/>
  <c r="J370" i="18"/>
  <c r="L370" i="18" s="1"/>
  <c r="I370" i="18"/>
  <c r="A370" i="18"/>
  <c r="C370" i="18"/>
  <c r="D370" i="18"/>
  <c r="E370" i="18"/>
  <c r="H370" i="18"/>
  <c r="G370" i="18"/>
  <c r="N370" i="18"/>
  <c r="O370" i="18" s="1"/>
  <c r="Q370" i="8" s="1"/>
  <c r="S338" i="14"/>
  <c r="H338" i="14"/>
  <c r="V338" i="14"/>
  <c r="E338" i="14"/>
  <c r="B338" i="14"/>
  <c r="G338" i="14"/>
  <c r="K338" i="14"/>
  <c r="I338" i="14"/>
  <c r="U338" i="14"/>
  <c r="D338" i="14"/>
  <c r="A338" i="14"/>
  <c r="W338" i="14"/>
  <c r="C338" i="14"/>
  <c r="T338" i="14"/>
  <c r="A334" i="18"/>
  <c r="C334" i="18"/>
  <c r="E334" i="18"/>
  <c r="I334" i="18"/>
  <c r="G334" i="18"/>
  <c r="D334" i="18"/>
  <c r="B334" i="18"/>
  <c r="J334" i="18"/>
  <c r="M334" i="18" s="1"/>
  <c r="H334" i="18"/>
  <c r="G391" i="18"/>
  <c r="B391" i="18"/>
  <c r="D391" i="18"/>
  <c r="E391" i="18"/>
  <c r="H391" i="18"/>
  <c r="C391" i="18"/>
  <c r="A391" i="18"/>
  <c r="J381" i="18"/>
  <c r="L381" i="18" s="1"/>
  <c r="D381" i="18"/>
  <c r="C381" i="18"/>
  <c r="B381" i="18"/>
  <c r="I381" i="18"/>
  <c r="H381" i="18"/>
  <c r="G381" i="18"/>
  <c r="A381" i="18"/>
  <c r="E381" i="18"/>
  <c r="J350" i="8"/>
  <c r="M350" i="8"/>
  <c r="U350" i="8"/>
  <c r="I350" i="19" s="1"/>
  <c r="K350" i="8"/>
  <c r="C324" i="9"/>
  <c r="G350" i="8"/>
  <c r="H350" i="19" s="1"/>
  <c r="B350" i="8"/>
  <c r="C350" i="19" s="1"/>
  <c r="H350" i="8"/>
  <c r="E324" i="9" s="1"/>
  <c r="X350" i="8"/>
  <c r="D350" i="8"/>
  <c r="E350" i="19" s="1"/>
  <c r="I350" i="8"/>
  <c r="E350" i="8"/>
  <c r="L350" i="8"/>
  <c r="C350" i="8"/>
  <c r="C346" i="13"/>
  <c r="G346" i="13"/>
  <c r="A346" i="13"/>
  <c r="B346" i="13"/>
  <c r="U346" i="13"/>
  <c r="AG346" i="13" s="1"/>
  <c r="V346" i="13"/>
  <c r="Z346" i="13" s="1"/>
  <c r="J346" i="13"/>
  <c r="L346" i="13" s="1"/>
  <c r="M346" i="13" s="1"/>
  <c r="E346" i="13"/>
  <c r="H346" i="13"/>
  <c r="D346" i="13"/>
  <c r="J371" i="18"/>
  <c r="M371" i="18" s="1"/>
  <c r="E371" i="18"/>
  <c r="G371" i="18"/>
  <c r="H371" i="18"/>
  <c r="C371" i="18"/>
  <c r="A371" i="18"/>
  <c r="I371" i="18"/>
  <c r="B371" i="18"/>
  <c r="D371" i="18"/>
  <c r="J336" i="13"/>
  <c r="L336" i="13" s="1"/>
  <c r="N336" i="13" s="1"/>
  <c r="O336" i="13" s="1"/>
  <c r="Q336" i="13" s="1"/>
  <c r="B336" i="13"/>
  <c r="U336" i="13"/>
  <c r="AG336" i="13" s="1"/>
  <c r="H336" i="13"/>
  <c r="E336" i="13"/>
  <c r="D336" i="13"/>
  <c r="V336" i="13"/>
  <c r="A336" i="13"/>
  <c r="G336" i="13"/>
  <c r="C336" i="13"/>
  <c r="Z336" i="13"/>
  <c r="X336" i="14" s="1"/>
  <c r="M351" i="8"/>
  <c r="L351" i="8"/>
  <c r="X351" i="8"/>
  <c r="I351" i="8"/>
  <c r="D351" i="8"/>
  <c r="E351" i="19" s="1"/>
  <c r="G351" i="8"/>
  <c r="H351" i="19" s="1"/>
  <c r="U351" i="8"/>
  <c r="I351" i="19" s="1"/>
  <c r="H351" i="8"/>
  <c r="E325" i="9" s="1"/>
  <c r="K351" i="8"/>
  <c r="E351" i="8"/>
  <c r="B351" i="8"/>
  <c r="C351" i="19" s="1"/>
  <c r="C325" i="9"/>
  <c r="J351" i="8"/>
  <c r="C351" i="8"/>
  <c r="H365" i="13"/>
  <c r="O365" i="13"/>
  <c r="D365" i="13"/>
  <c r="V365" i="13"/>
  <c r="AA365" i="13" s="1"/>
  <c r="AB365" i="13" s="1"/>
  <c r="A365" i="13"/>
  <c r="J365" i="13"/>
  <c r="M365" i="13"/>
  <c r="U365" i="13"/>
  <c r="AG365" i="13" s="1"/>
  <c r="R365" i="13"/>
  <c r="Q365" i="13"/>
  <c r="C365" i="13"/>
  <c r="L365" i="13"/>
  <c r="G365" i="13"/>
  <c r="E365" i="13"/>
  <c r="AE365" i="13"/>
  <c r="N365" i="13"/>
  <c r="T365" i="13"/>
  <c r="B365" i="13"/>
  <c r="S365" i="13"/>
  <c r="Z365" i="13"/>
  <c r="C392" i="18"/>
  <c r="G392" i="18"/>
  <c r="A392" i="18"/>
  <c r="E392" i="18"/>
  <c r="H392" i="18"/>
  <c r="D392" i="18"/>
  <c r="B392" i="18"/>
  <c r="K368" i="14"/>
  <c r="B368" i="14"/>
  <c r="U368" i="14"/>
  <c r="D368" i="14"/>
  <c r="S368" i="14"/>
  <c r="E368" i="14"/>
  <c r="W368" i="14"/>
  <c r="T368" i="14"/>
  <c r="C368" i="14"/>
  <c r="V368" i="14"/>
  <c r="G368" i="14"/>
  <c r="A368" i="14"/>
  <c r="I368" i="14"/>
  <c r="H368" i="14"/>
  <c r="K390" i="14"/>
  <c r="I390" i="14"/>
  <c r="C390" i="14"/>
  <c r="A390" i="14"/>
  <c r="V390" i="14"/>
  <c r="G390" i="14"/>
  <c r="W390" i="14"/>
  <c r="E390" i="14"/>
  <c r="U390" i="14"/>
  <c r="H390" i="14"/>
  <c r="D390" i="14"/>
  <c r="B390" i="14"/>
  <c r="S390" i="14"/>
  <c r="T390" i="14"/>
  <c r="D340" i="18"/>
  <c r="E340" i="18"/>
  <c r="H340" i="18"/>
  <c r="G340" i="18"/>
  <c r="B340" i="18"/>
  <c r="J340" i="18"/>
  <c r="L340" i="18" s="1"/>
  <c r="I340" i="18"/>
  <c r="A340" i="18"/>
  <c r="C340" i="18"/>
  <c r="K340" i="18"/>
  <c r="I378" i="14"/>
  <c r="G378" i="14"/>
  <c r="H378" i="14"/>
  <c r="T378" i="14"/>
  <c r="S378" i="14"/>
  <c r="K378" i="14"/>
  <c r="Z378" i="14"/>
  <c r="A378" i="14"/>
  <c r="W378" i="14"/>
  <c r="V378" i="14"/>
  <c r="E378" i="14"/>
  <c r="U378" i="14"/>
  <c r="B378" i="14"/>
  <c r="C378" i="14"/>
  <c r="Y378" i="14"/>
  <c r="D378" i="14"/>
  <c r="V367" i="13"/>
  <c r="AA367" i="13" s="1"/>
  <c r="D367" i="13"/>
  <c r="C367" i="13"/>
  <c r="E367" i="13"/>
  <c r="G367" i="13"/>
  <c r="B367" i="13"/>
  <c r="H367" i="13"/>
  <c r="A367" i="13"/>
  <c r="J367" i="13"/>
  <c r="J367" i="14" s="1"/>
  <c r="U367" i="13"/>
  <c r="AG367" i="13" s="1"/>
  <c r="C362" i="9"/>
  <c r="M388" i="8"/>
  <c r="U388" i="8"/>
  <c r="I388" i="19" s="1"/>
  <c r="C388" i="8"/>
  <c r="E388" i="8"/>
  <c r="D388" i="8"/>
  <c r="E388" i="19" s="1"/>
  <c r="X388" i="8"/>
  <c r="H388" i="8"/>
  <c r="E362" i="9" s="1"/>
  <c r="I388" i="8"/>
  <c r="G388" i="8"/>
  <c r="H388" i="19" s="1"/>
  <c r="B388" i="19" s="1"/>
  <c r="B388" i="8"/>
  <c r="C388" i="19" s="1"/>
  <c r="J388" i="8"/>
  <c r="L388" i="8"/>
  <c r="K388" i="8"/>
  <c r="E332" i="13"/>
  <c r="B332" i="13"/>
  <c r="U332" i="13"/>
  <c r="AG332" i="13" s="1"/>
  <c r="H332" i="13"/>
  <c r="J332" i="13"/>
  <c r="L332" i="13" s="1"/>
  <c r="M332" i="13" s="1"/>
  <c r="D332" i="13"/>
  <c r="V332" i="13"/>
  <c r="A332" i="13"/>
  <c r="G332" i="13"/>
  <c r="C332" i="13"/>
  <c r="Z332" i="13"/>
  <c r="X332" i="14" s="1"/>
  <c r="C395" i="13"/>
  <c r="M395" i="13"/>
  <c r="V395" i="13"/>
  <c r="AA395" i="13" s="1"/>
  <c r="AB395" i="13" s="1"/>
  <c r="L395" i="13"/>
  <c r="U395" i="13"/>
  <c r="AG395" i="13" s="1"/>
  <c r="E395" i="13"/>
  <c r="O395" i="13"/>
  <c r="A395" i="13"/>
  <c r="N395" i="13"/>
  <c r="AE395" i="13"/>
  <c r="G395" i="13"/>
  <c r="R395" i="13"/>
  <c r="D395" i="13"/>
  <c r="Q395" i="13"/>
  <c r="B395" i="13"/>
  <c r="J395" i="13"/>
  <c r="T395" i="13"/>
  <c r="H395" i="13"/>
  <c r="S395" i="13"/>
  <c r="L357" i="8"/>
  <c r="C331" i="9"/>
  <c r="B357" i="8"/>
  <c r="C357" i="19" s="1"/>
  <c r="X357" i="8"/>
  <c r="G357" i="8"/>
  <c r="H357" i="19" s="1"/>
  <c r="K357" i="8"/>
  <c r="H357" i="8"/>
  <c r="E331" i="9" s="1"/>
  <c r="E357" i="8"/>
  <c r="M357" i="8"/>
  <c r="J357" i="8"/>
  <c r="U357" i="8"/>
  <c r="I357" i="19" s="1"/>
  <c r="I357" i="8"/>
  <c r="C357" i="8"/>
  <c r="D357" i="8"/>
  <c r="E357" i="19" s="1"/>
  <c r="S348" i="14"/>
  <c r="G348" i="14"/>
  <c r="E348" i="14"/>
  <c r="C348" i="14"/>
  <c r="V348" i="14"/>
  <c r="J348" i="14"/>
  <c r="U348" i="14"/>
  <c r="H348" i="14"/>
  <c r="B348" i="14"/>
  <c r="T348" i="14"/>
  <c r="A348" i="14"/>
  <c r="K348" i="14"/>
  <c r="D348" i="14"/>
  <c r="W348" i="14"/>
  <c r="I348" i="14"/>
  <c r="A354" i="13"/>
  <c r="U354" i="13"/>
  <c r="AG354" i="13" s="1"/>
  <c r="V354" i="13"/>
  <c r="E354" i="13"/>
  <c r="C354" i="13"/>
  <c r="H354" i="13"/>
  <c r="G354" i="13"/>
  <c r="J354" i="13"/>
  <c r="L354" i="13" s="1"/>
  <c r="D354" i="13"/>
  <c r="B354" i="13"/>
  <c r="Z354" i="13"/>
  <c r="X354" i="14" s="1"/>
  <c r="J384" i="18"/>
  <c r="K384" i="18" s="1"/>
  <c r="I384" i="18"/>
  <c r="C384" i="18"/>
  <c r="B384" i="18"/>
  <c r="D384" i="18"/>
  <c r="E384" i="18"/>
  <c r="G384" i="18"/>
  <c r="H384" i="18"/>
  <c r="A384" i="18"/>
  <c r="V393" i="13"/>
  <c r="Z393" i="13" s="1"/>
  <c r="X393" i="14" s="1"/>
  <c r="B393" i="13"/>
  <c r="A393" i="13"/>
  <c r="D393" i="13"/>
  <c r="J393" i="13"/>
  <c r="J393" i="14" s="1"/>
  <c r="C393" i="13"/>
  <c r="H393" i="13"/>
  <c r="G393" i="13"/>
  <c r="U393" i="13"/>
  <c r="AG393" i="13" s="1"/>
  <c r="E393" i="13"/>
  <c r="S363" i="14"/>
  <c r="W363" i="14"/>
  <c r="E363" i="14"/>
  <c r="D363" i="14"/>
  <c r="K363" i="14"/>
  <c r="A363" i="14"/>
  <c r="U363" i="14"/>
  <c r="H363" i="14"/>
  <c r="T363" i="14"/>
  <c r="B363" i="14"/>
  <c r="I363" i="14"/>
  <c r="G363" i="14"/>
  <c r="C363" i="14"/>
  <c r="V363" i="14"/>
  <c r="C359" i="8"/>
  <c r="E359" i="8"/>
  <c r="H359" i="8"/>
  <c r="E333" i="9" s="1"/>
  <c r="K359" i="8"/>
  <c r="C333" i="9"/>
  <c r="I359" i="8"/>
  <c r="G359" i="8"/>
  <c r="H359" i="19" s="1"/>
  <c r="B359" i="8"/>
  <c r="C359" i="19" s="1"/>
  <c r="M359" i="8"/>
  <c r="U359" i="8"/>
  <c r="I359" i="19" s="1"/>
  <c r="L359" i="8"/>
  <c r="J359" i="8"/>
  <c r="D359" i="8"/>
  <c r="E359" i="19" s="1"/>
  <c r="X359" i="8"/>
  <c r="C331" i="18"/>
  <c r="A331" i="18"/>
  <c r="H331" i="18"/>
  <c r="G331" i="18"/>
  <c r="I331" i="18"/>
  <c r="B331" i="18"/>
  <c r="E331" i="18"/>
  <c r="J331" i="18"/>
  <c r="N331" i="18" s="1"/>
  <c r="O331" i="18" s="1"/>
  <c r="Q331" i="8" s="1"/>
  <c r="D331" i="18"/>
  <c r="I389" i="18"/>
  <c r="B389" i="18"/>
  <c r="G389" i="18"/>
  <c r="J389" i="18"/>
  <c r="K389" i="18" s="1"/>
  <c r="H389" i="18"/>
  <c r="E389" i="18"/>
  <c r="A389" i="18"/>
  <c r="D389" i="18"/>
  <c r="C389" i="18"/>
  <c r="E345" i="18"/>
  <c r="B345" i="18"/>
  <c r="H345" i="18"/>
  <c r="A345" i="18"/>
  <c r="J345" i="18"/>
  <c r="L345" i="18" s="1"/>
  <c r="I345" i="18"/>
  <c r="D345" i="18"/>
  <c r="C345" i="18"/>
  <c r="G345" i="18"/>
  <c r="B372" i="13"/>
  <c r="A372" i="13"/>
  <c r="H372" i="13"/>
  <c r="V372" i="13"/>
  <c r="AA372" i="13" s="1"/>
  <c r="J372" i="13"/>
  <c r="L372" i="13" s="1"/>
  <c r="N372" i="13" s="1"/>
  <c r="O372" i="13" s="1"/>
  <c r="Q372" i="13" s="1"/>
  <c r="D372" i="13"/>
  <c r="C372" i="13"/>
  <c r="E372" i="13"/>
  <c r="G372" i="13"/>
  <c r="U372" i="13"/>
  <c r="AG372" i="13" s="1"/>
  <c r="C309" i="9"/>
  <c r="E335" i="8"/>
  <c r="K335" i="8"/>
  <c r="X335" i="8"/>
  <c r="U335" i="8"/>
  <c r="I335" i="19" s="1"/>
  <c r="L335" i="8"/>
  <c r="I335" i="8"/>
  <c r="H335" i="8"/>
  <c r="E309" i="9" s="1"/>
  <c r="B335" i="8"/>
  <c r="C335" i="19" s="1"/>
  <c r="D335" i="8"/>
  <c r="E335" i="19" s="1"/>
  <c r="M335" i="8"/>
  <c r="J335" i="8"/>
  <c r="C335" i="8"/>
  <c r="G335" i="8"/>
  <c r="H335" i="19" s="1"/>
  <c r="J330" i="8"/>
  <c r="X330" i="8"/>
  <c r="C330" i="8"/>
  <c r="G330" i="8"/>
  <c r="H330" i="19" s="1"/>
  <c r="E330" i="8"/>
  <c r="U330" i="8"/>
  <c r="I330" i="19" s="1"/>
  <c r="B330" i="8"/>
  <c r="C330" i="19" s="1"/>
  <c r="I330" i="8"/>
  <c r="H330" i="8"/>
  <c r="E304" i="9" s="1"/>
  <c r="L330" i="8"/>
  <c r="C304" i="9"/>
  <c r="M330" i="8"/>
  <c r="K330" i="8"/>
  <c r="D330" i="8"/>
  <c r="E330" i="19" s="1"/>
  <c r="E377" i="18"/>
  <c r="A377" i="18"/>
  <c r="H377" i="18"/>
  <c r="C377" i="18"/>
  <c r="B377" i="18"/>
  <c r="D377" i="18"/>
  <c r="G377" i="18"/>
  <c r="A373" i="13"/>
  <c r="B373" i="13"/>
  <c r="C373" i="13"/>
  <c r="E373" i="13"/>
  <c r="U373" i="13"/>
  <c r="AG373" i="13" s="1"/>
  <c r="V373" i="13"/>
  <c r="Z373" i="13" s="1"/>
  <c r="X373" i="14" s="1"/>
  <c r="H373" i="13"/>
  <c r="J373" i="13"/>
  <c r="L373" i="13" s="1"/>
  <c r="N373" i="13" s="1"/>
  <c r="O373" i="13" s="1"/>
  <c r="Q373" i="13" s="1"/>
  <c r="D373" i="13"/>
  <c r="G373" i="13"/>
  <c r="B362" i="13"/>
  <c r="U362" i="13"/>
  <c r="AG362" i="13" s="1"/>
  <c r="V362" i="13"/>
  <c r="A362" i="13"/>
  <c r="C362" i="13"/>
  <c r="H362" i="13"/>
  <c r="E362" i="13"/>
  <c r="J362" i="13"/>
  <c r="L362" i="13" s="1"/>
  <c r="M362" i="13" s="1"/>
  <c r="D362" i="13"/>
  <c r="G362" i="13"/>
  <c r="M376" i="8"/>
  <c r="J376" i="8"/>
  <c r="G376" i="8"/>
  <c r="H376" i="19" s="1"/>
  <c r="I376" i="8"/>
  <c r="K376" i="8"/>
  <c r="H376" i="8"/>
  <c r="E350" i="9" s="1"/>
  <c r="B376" i="8"/>
  <c r="C376" i="19" s="1"/>
  <c r="D376" i="8"/>
  <c r="E376" i="19" s="1"/>
  <c r="L376" i="8"/>
  <c r="E376" i="8"/>
  <c r="X376" i="8"/>
  <c r="C376" i="8"/>
  <c r="C350" i="9"/>
  <c r="U376" i="8"/>
  <c r="I376" i="19" s="1"/>
  <c r="A337" i="18"/>
  <c r="E337" i="18"/>
  <c r="D337" i="18"/>
  <c r="J337" i="18"/>
  <c r="L337" i="18" s="1"/>
  <c r="I337" i="18"/>
  <c r="H337" i="18"/>
  <c r="B337" i="18"/>
  <c r="C337" i="18"/>
  <c r="G337" i="18"/>
  <c r="U364" i="14"/>
  <c r="D364" i="14"/>
  <c r="S364" i="14"/>
  <c r="B364" i="14"/>
  <c r="A364" i="14"/>
  <c r="T364" i="14"/>
  <c r="H364" i="14"/>
  <c r="E364" i="14"/>
  <c r="G364" i="14"/>
  <c r="C364" i="14"/>
  <c r="V364" i="14"/>
  <c r="I364" i="14"/>
  <c r="W364" i="14"/>
  <c r="K364" i="14"/>
  <c r="C361" i="18"/>
  <c r="I361" i="18"/>
  <c r="B361" i="18"/>
  <c r="G361" i="18"/>
  <c r="E361" i="18"/>
  <c r="H361" i="18"/>
  <c r="J361" i="18"/>
  <c r="L361" i="18" s="1"/>
  <c r="A361" i="18"/>
  <c r="D361" i="18"/>
  <c r="B360" i="14"/>
  <c r="S360" i="14"/>
  <c r="J360" i="14"/>
  <c r="T360" i="14"/>
  <c r="G360" i="14"/>
  <c r="E360" i="14"/>
  <c r="V360" i="14"/>
  <c r="U360" i="14"/>
  <c r="D360" i="14"/>
  <c r="I360" i="14"/>
  <c r="W360" i="14"/>
  <c r="C360" i="14"/>
  <c r="K360" i="14"/>
  <c r="A360" i="14"/>
  <c r="H360" i="14"/>
  <c r="H333" i="18"/>
  <c r="J333" i="18"/>
  <c r="M333" i="18" s="1"/>
  <c r="A333" i="18"/>
  <c r="I333" i="18"/>
  <c r="C333" i="18"/>
  <c r="D333" i="18"/>
  <c r="E333" i="18"/>
  <c r="B333" i="18"/>
  <c r="G333" i="18"/>
  <c r="K333" i="18"/>
  <c r="D375" i="14"/>
  <c r="K375" i="14"/>
  <c r="E375" i="14"/>
  <c r="W375" i="14"/>
  <c r="H375" i="14"/>
  <c r="A375" i="14"/>
  <c r="S375" i="14"/>
  <c r="G375" i="14"/>
  <c r="C375" i="14"/>
  <c r="V375" i="14"/>
  <c r="T375" i="14"/>
  <c r="I375" i="14"/>
  <c r="B375" i="14"/>
  <c r="U375" i="14"/>
  <c r="M366" i="13"/>
  <c r="G366" i="13"/>
  <c r="Q366" i="13"/>
  <c r="J366" i="13"/>
  <c r="R366" i="13"/>
  <c r="D366" i="13"/>
  <c r="U366" i="13"/>
  <c r="AG366" i="13" s="1"/>
  <c r="O366" i="13"/>
  <c r="H366" i="13"/>
  <c r="N366" i="13"/>
  <c r="E366" i="13"/>
  <c r="AE366" i="13"/>
  <c r="T366" i="13"/>
  <c r="S366" i="13"/>
  <c r="A366" i="13"/>
  <c r="C366" i="13"/>
  <c r="B366" i="13"/>
  <c r="V366" i="13"/>
  <c r="AA366" i="13" s="1"/>
  <c r="AB366" i="13" s="1"/>
  <c r="L366" i="13"/>
  <c r="E385" i="8"/>
  <c r="K385" i="8"/>
  <c r="J385" i="8"/>
  <c r="G385" i="8"/>
  <c r="H385" i="19" s="1"/>
  <c r="L385" i="8"/>
  <c r="I385" i="8"/>
  <c r="C385" i="8"/>
  <c r="H385" i="8"/>
  <c r="E359" i="9" s="1"/>
  <c r="B385" i="8"/>
  <c r="C385" i="19" s="1"/>
  <c r="M385" i="8"/>
  <c r="C359" i="9"/>
  <c r="X385" i="8"/>
  <c r="D385" i="8"/>
  <c r="E385" i="19" s="1"/>
  <c r="U385" i="8"/>
  <c r="I385" i="19" s="1"/>
  <c r="X341" i="8"/>
  <c r="H341" i="8"/>
  <c r="E315" i="9" s="1"/>
  <c r="C315" i="9"/>
  <c r="K341" i="8"/>
  <c r="E341" i="8"/>
  <c r="B341" i="8"/>
  <c r="C341" i="19" s="1"/>
  <c r="L341" i="8"/>
  <c r="M341" i="8"/>
  <c r="I341" i="8"/>
  <c r="U341" i="8"/>
  <c r="I341" i="19" s="1"/>
  <c r="J341" i="8"/>
  <c r="C341" i="8"/>
  <c r="D341" i="8"/>
  <c r="E341" i="19" s="1"/>
  <c r="G341" i="8"/>
  <c r="H341" i="19" s="1"/>
  <c r="T394" i="14"/>
  <c r="H394" i="14"/>
  <c r="S394" i="14"/>
  <c r="G394" i="14"/>
  <c r="B394" i="14"/>
  <c r="V394" i="14"/>
  <c r="K394" i="14"/>
  <c r="D394" i="14"/>
  <c r="A394" i="14"/>
  <c r="U394" i="14"/>
  <c r="C394" i="14"/>
  <c r="I394" i="14"/>
  <c r="E394" i="14"/>
  <c r="W394" i="14"/>
  <c r="C369" i="14"/>
  <c r="W369" i="14"/>
  <c r="K369" i="14"/>
  <c r="V369" i="14"/>
  <c r="B369" i="14"/>
  <c r="G369" i="14"/>
  <c r="D369" i="14"/>
  <c r="E369" i="14"/>
  <c r="H369" i="14"/>
  <c r="S369" i="14"/>
  <c r="A369" i="14"/>
  <c r="U369" i="14"/>
  <c r="I369" i="14"/>
  <c r="T369" i="14"/>
  <c r="G347" i="18"/>
  <c r="A347" i="18"/>
  <c r="B347" i="18"/>
  <c r="D347" i="18"/>
  <c r="E347" i="18"/>
  <c r="H347" i="18"/>
  <c r="J347" i="18"/>
  <c r="M347" i="18" s="1"/>
  <c r="C347" i="18"/>
  <c r="I347" i="18"/>
  <c r="G353" i="14"/>
  <c r="H353" i="14"/>
  <c r="W353" i="14"/>
  <c r="L353" i="14"/>
  <c r="AD353" i="14"/>
  <c r="S353" i="14"/>
  <c r="B353" i="14"/>
  <c r="R353" i="14"/>
  <c r="U353" i="14"/>
  <c r="P353" i="14"/>
  <c r="T353" i="14"/>
  <c r="Q353" i="14"/>
  <c r="X353" i="14"/>
  <c r="E353" i="14"/>
  <c r="K353" i="14"/>
  <c r="O353" i="14"/>
  <c r="N353" i="14"/>
  <c r="A353" i="14"/>
  <c r="Y353" i="14"/>
  <c r="AA353" i="14"/>
  <c r="AB353" i="14" s="1"/>
  <c r="C353" i="14"/>
  <c r="J353" i="14"/>
  <c r="AF353" i="14"/>
  <c r="M353" i="19" s="1"/>
  <c r="M353" i="14"/>
  <c r="I353" i="14"/>
  <c r="V353" i="14"/>
  <c r="Z353" i="14"/>
  <c r="D353" i="14"/>
  <c r="AC353" i="14"/>
  <c r="G379" i="8"/>
  <c r="H379" i="19" s="1"/>
  <c r="L379" i="8"/>
  <c r="K379" i="8"/>
  <c r="D379" i="8"/>
  <c r="E379" i="19" s="1"/>
  <c r="U379" i="8"/>
  <c r="I379" i="19" s="1"/>
  <c r="I379" i="8"/>
  <c r="X379" i="8"/>
  <c r="E379" i="8"/>
  <c r="M379" i="8"/>
  <c r="H379" i="8"/>
  <c r="E353" i="9" s="1"/>
  <c r="C379" i="8"/>
  <c r="J379" i="8"/>
  <c r="B379" i="8"/>
  <c r="C379" i="19" s="1"/>
  <c r="C353" i="9"/>
  <c r="B344" i="18"/>
  <c r="J344" i="18"/>
  <c r="L344" i="18" s="1"/>
  <c r="I344" i="18"/>
  <c r="A344" i="18"/>
  <c r="C344" i="18"/>
  <c r="D344" i="18"/>
  <c r="E344" i="18"/>
  <c r="H344" i="18"/>
  <c r="G344" i="18"/>
  <c r="M344" i="18"/>
  <c r="A343" i="18"/>
  <c r="C343" i="18"/>
  <c r="B343" i="18"/>
  <c r="H343" i="18"/>
  <c r="J343" i="18"/>
  <c r="K343" i="18" s="1"/>
  <c r="D343" i="18"/>
  <c r="E343" i="18"/>
  <c r="G343" i="18"/>
  <c r="I343" i="18"/>
  <c r="K352" i="14"/>
  <c r="D352" i="14"/>
  <c r="W352" i="14"/>
  <c r="I352" i="14"/>
  <c r="S352" i="14"/>
  <c r="G352" i="14"/>
  <c r="E352" i="14"/>
  <c r="C352" i="14"/>
  <c r="V352" i="14"/>
  <c r="U352" i="14"/>
  <c r="H352" i="14"/>
  <c r="B352" i="14"/>
  <c r="T352" i="14"/>
  <c r="A352" i="14"/>
  <c r="E374" i="14"/>
  <c r="U374" i="14"/>
  <c r="I374" i="14"/>
  <c r="A374" i="14"/>
  <c r="V374" i="14"/>
  <c r="S374" i="14"/>
  <c r="T374" i="14"/>
  <c r="W374" i="14"/>
  <c r="K374" i="14"/>
  <c r="D374" i="14"/>
  <c r="G374" i="14"/>
  <c r="C374" i="14"/>
  <c r="H374" i="14"/>
  <c r="B374" i="14"/>
  <c r="H339" i="18"/>
  <c r="J339" i="18"/>
  <c r="N339" i="18" s="1"/>
  <c r="O339" i="18" s="1"/>
  <c r="Q339" i="8" s="1"/>
  <c r="E339" i="18"/>
  <c r="A339" i="18"/>
  <c r="G339" i="18"/>
  <c r="D339" i="18"/>
  <c r="C339" i="18"/>
  <c r="I339" i="18"/>
  <c r="B339" i="18"/>
  <c r="K339" i="18"/>
  <c r="X358" i="8"/>
  <c r="K358" i="8"/>
  <c r="G358" i="8"/>
  <c r="H358" i="19" s="1"/>
  <c r="M358" i="8"/>
  <c r="H358" i="8"/>
  <c r="E332" i="9" s="1"/>
  <c r="D358" i="8"/>
  <c r="E358" i="19" s="1"/>
  <c r="I358" i="8"/>
  <c r="J358" i="8"/>
  <c r="E358" i="8"/>
  <c r="L358" i="8"/>
  <c r="C332" i="9"/>
  <c r="C358" i="8"/>
  <c r="B358" i="8"/>
  <c r="C358" i="19" s="1"/>
  <c r="U358" i="8"/>
  <c r="I358" i="19" s="1"/>
  <c r="C349" i="18"/>
  <c r="D349" i="18"/>
  <c r="G349" i="18"/>
  <c r="E349" i="18"/>
  <c r="H349" i="18"/>
  <c r="A349" i="18"/>
  <c r="B349" i="18"/>
  <c r="K342" i="14"/>
  <c r="D342" i="14"/>
  <c r="W342" i="14"/>
  <c r="I342" i="14"/>
  <c r="S342" i="14"/>
  <c r="G342" i="14"/>
  <c r="E342" i="14"/>
  <c r="C342" i="14"/>
  <c r="V342" i="14"/>
  <c r="U342" i="14"/>
  <c r="H342" i="14"/>
  <c r="B342" i="14"/>
  <c r="T342" i="14"/>
  <c r="A342" i="14"/>
  <c r="D355" i="8"/>
  <c r="E355" i="19" s="1"/>
  <c r="J355" i="8"/>
  <c r="M355" i="8"/>
  <c r="K355" i="8"/>
  <c r="H355" i="8"/>
  <c r="E329" i="9" s="1"/>
  <c r="B355" i="8"/>
  <c r="C355" i="19" s="1"/>
  <c r="E355" i="8"/>
  <c r="G355" i="8"/>
  <c r="H355" i="19" s="1"/>
  <c r="I355" i="8"/>
  <c r="L355" i="8"/>
  <c r="C329" i="9"/>
  <c r="C355" i="8"/>
  <c r="U355" i="8"/>
  <c r="I355" i="19" s="1"/>
  <c r="X355" i="8"/>
  <c r="U381" i="13"/>
  <c r="AG381" i="13" s="1"/>
  <c r="A381" i="13"/>
  <c r="J381" i="13"/>
  <c r="J381" i="14" s="1"/>
  <c r="C381" i="13"/>
  <c r="E381" i="13"/>
  <c r="B381" i="13"/>
  <c r="H381" i="13"/>
  <c r="V381" i="13"/>
  <c r="G381" i="13"/>
  <c r="D381" i="13"/>
  <c r="H351" i="14"/>
  <c r="B351" i="14"/>
  <c r="E351" i="14"/>
  <c r="D351" i="14"/>
  <c r="K351" i="14"/>
  <c r="W351" i="14"/>
  <c r="U351" i="14"/>
  <c r="V351" i="14"/>
  <c r="S351" i="14"/>
  <c r="A351" i="14"/>
  <c r="T351" i="14"/>
  <c r="I351" i="14"/>
  <c r="C351" i="14"/>
  <c r="G351" i="14"/>
  <c r="V368" i="13"/>
  <c r="AA368" i="13" s="1"/>
  <c r="AB368" i="13" s="1"/>
  <c r="U368" i="13"/>
  <c r="AG368" i="13" s="1"/>
  <c r="E368" i="13"/>
  <c r="C368" i="13"/>
  <c r="D368" i="13"/>
  <c r="B368" i="13"/>
  <c r="G368" i="13"/>
  <c r="A368" i="13"/>
  <c r="J368" i="13"/>
  <c r="L368" i="13" s="1"/>
  <c r="M368" i="13" s="1"/>
  <c r="H368" i="13"/>
  <c r="D367" i="18"/>
  <c r="C367" i="18"/>
  <c r="E367" i="18"/>
  <c r="G367" i="18"/>
  <c r="H367" i="18"/>
  <c r="B367" i="18"/>
  <c r="A367" i="18"/>
  <c r="H357" i="18"/>
  <c r="A357" i="18"/>
  <c r="E357" i="18"/>
  <c r="G357" i="18"/>
  <c r="C357" i="18"/>
  <c r="B357" i="18"/>
  <c r="D357" i="18"/>
  <c r="C328" i="9"/>
  <c r="I354" i="8"/>
  <c r="E354" i="8"/>
  <c r="L354" i="8"/>
  <c r="X354" i="8"/>
  <c r="C354" i="8"/>
  <c r="M354" i="8"/>
  <c r="U354" i="8"/>
  <c r="I354" i="19" s="1"/>
  <c r="B354" i="8"/>
  <c r="C354" i="19" s="1"/>
  <c r="K354" i="8"/>
  <c r="G354" i="8"/>
  <c r="H354" i="19" s="1"/>
  <c r="J354" i="8"/>
  <c r="H354" i="8"/>
  <c r="E328" i="9" s="1"/>
  <c r="D354" i="8"/>
  <c r="E354" i="19" s="1"/>
  <c r="D359" i="18"/>
  <c r="I359" i="18"/>
  <c r="H359" i="18"/>
  <c r="J359" i="18"/>
  <c r="L359" i="18" s="1"/>
  <c r="G359" i="18"/>
  <c r="C359" i="18"/>
  <c r="A359" i="18"/>
  <c r="E359" i="18"/>
  <c r="B359" i="18"/>
  <c r="C372" i="18"/>
  <c r="B372" i="18"/>
  <c r="E372" i="18"/>
  <c r="G372" i="18"/>
  <c r="H372" i="18"/>
  <c r="D372" i="18"/>
  <c r="A372" i="18"/>
  <c r="E377" i="14"/>
  <c r="S377" i="14"/>
  <c r="G377" i="14"/>
  <c r="A377" i="14"/>
  <c r="C377" i="14"/>
  <c r="I377" i="14"/>
  <c r="T377" i="14"/>
  <c r="B377" i="14"/>
  <c r="K377" i="14"/>
  <c r="H377" i="14"/>
  <c r="D377" i="14"/>
  <c r="U377" i="14"/>
  <c r="W377" i="14"/>
  <c r="V377" i="14"/>
  <c r="C336" i="9"/>
  <c r="D362" i="8"/>
  <c r="E362" i="19" s="1"/>
  <c r="G362" i="8"/>
  <c r="H362" i="19" s="1"/>
  <c r="I362" i="8"/>
  <c r="X362" i="8"/>
  <c r="H362" i="8"/>
  <c r="E336" i="9" s="1"/>
  <c r="L362" i="8"/>
  <c r="C362" i="8"/>
  <c r="M362" i="8"/>
  <c r="K362" i="8"/>
  <c r="E362" i="8"/>
  <c r="B362" i="8"/>
  <c r="C362" i="19" s="1"/>
  <c r="J362" i="8"/>
  <c r="U362" i="8"/>
  <c r="I362" i="19" s="1"/>
  <c r="B364" i="13"/>
  <c r="V364" i="13"/>
  <c r="AA364" i="13" s="1"/>
  <c r="AB364" i="13" s="1"/>
  <c r="C364" i="13"/>
  <c r="A364" i="13"/>
  <c r="U364" i="13"/>
  <c r="AG364" i="13" s="1"/>
  <c r="J364" i="13"/>
  <c r="J364" i="14" s="1"/>
  <c r="E364" i="13"/>
  <c r="H364" i="13"/>
  <c r="G364" i="13"/>
  <c r="D364" i="13"/>
  <c r="D333" i="14"/>
  <c r="W333" i="14"/>
  <c r="A333" i="14"/>
  <c r="T333" i="14"/>
  <c r="B333" i="14"/>
  <c r="C333" i="14"/>
  <c r="U333" i="14"/>
  <c r="K333" i="14"/>
  <c r="H333" i="14"/>
  <c r="S333" i="14"/>
  <c r="I333" i="14"/>
  <c r="E333" i="14"/>
  <c r="V333" i="14"/>
  <c r="G333" i="14"/>
  <c r="R366" i="8"/>
  <c r="J366" i="8"/>
  <c r="G366" i="8"/>
  <c r="P366" i="8"/>
  <c r="M366" i="8"/>
  <c r="K366" i="8"/>
  <c r="N366" i="8"/>
  <c r="D366" i="8"/>
  <c r="E366" i="19" s="1"/>
  <c r="E366" i="8"/>
  <c r="H366" i="8"/>
  <c r="E340" i="9" s="1"/>
  <c r="B366" i="8"/>
  <c r="C366" i="19" s="1"/>
  <c r="X366" i="8"/>
  <c r="C366" i="8"/>
  <c r="L366" i="8"/>
  <c r="T366" i="8"/>
  <c r="Q366" i="8"/>
  <c r="C340" i="9"/>
  <c r="S366" i="8"/>
  <c r="U366" i="8"/>
  <c r="I366" i="19" s="1"/>
  <c r="I366" i="8"/>
  <c r="B394" i="13"/>
  <c r="D394" i="13"/>
  <c r="J394" i="13"/>
  <c r="J394" i="14" s="1"/>
  <c r="V394" i="13"/>
  <c r="Z394" i="13" s="1"/>
  <c r="X394" i="14" s="1"/>
  <c r="H394" i="13"/>
  <c r="G394" i="13"/>
  <c r="U394" i="13"/>
  <c r="AG394" i="13" s="1"/>
  <c r="C394" i="13"/>
  <c r="E394" i="13"/>
  <c r="A394" i="13"/>
  <c r="C353" i="18"/>
  <c r="B353" i="18"/>
  <c r="G353" i="18"/>
  <c r="E353" i="18"/>
  <c r="H353" i="18"/>
  <c r="D353" i="18"/>
  <c r="I353" i="18"/>
  <c r="J353" i="18"/>
  <c r="L353" i="18" s="1"/>
  <c r="A353" i="18"/>
  <c r="I339" i="8"/>
  <c r="U339" i="8"/>
  <c r="I339" i="19" s="1"/>
  <c r="J339" i="8"/>
  <c r="C339" i="8"/>
  <c r="B339" i="8"/>
  <c r="C339" i="19" s="1"/>
  <c r="G339" i="8"/>
  <c r="H339" i="19" s="1"/>
  <c r="H339" i="8"/>
  <c r="E313" i="9" s="1"/>
  <c r="E339" i="8"/>
  <c r="M339" i="8"/>
  <c r="D339" i="8"/>
  <c r="E339" i="19" s="1"/>
  <c r="C313" i="9"/>
  <c r="X339" i="8"/>
  <c r="L339" i="8"/>
  <c r="K339" i="8"/>
  <c r="T383" i="14"/>
  <c r="G383" i="14"/>
  <c r="J383" i="14"/>
  <c r="C383" i="14"/>
  <c r="B383" i="14"/>
  <c r="E383" i="14"/>
  <c r="K383" i="14"/>
  <c r="A383" i="14"/>
  <c r="V383" i="14"/>
  <c r="U383" i="14"/>
  <c r="W383" i="14"/>
  <c r="I383" i="14"/>
  <c r="D383" i="14"/>
  <c r="H383" i="14"/>
  <c r="S383" i="14"/>
  <c r="A386" i="18"/>
  <c r="C386" i="18"/>
  <c r="D386" i="18"/>
  <c r="E386" i="18"/>
  <c r="H386" i="18"/>
  <c r="G386" i="18"/>
  <c r="B386" i="18"/>
  <c r="J386" i="18"/>
  <c r="L386" i="18" s="1"/>
  <c r="I386" i="18"/>
  <c r="B356" i="18"/>
  <c r="J356" i="18"/>
  <c r="L356" i="18" s="1"/>
  <c r="I356" i="18"/>
  <c r="A356" i="18"/>
  <c r="C356" i="18"/>
  <c r="D356" i="18"/>
  <c r="E356" i="18"/>
  <c r="H356" i="18"/>
  <c r="G356" i="18"/>
  <c r="M356" i="18"/>
  <c r="K358" i="14"/>
  <c r="A358" i="14"/>
  <c r="U358" i="14"/>
  <c r="B358" i="14"/>
  <c r="S358" i="14"/>
  <c r="E358" i="14"/>
  <c r="W358" i="14"/>
  <c r="H358" i="14"/>
  <c r="C358" i="14"/>
  <c r="V358" i="14"/>
  <c r="G358" i="14"/>
  <c r="T358" i="14"/>
  <c r="I358" i="14"/>
  <c r="D358" i="14"/>
  <c r="B382" i="18"/>
  <c r="J382" i="18"/>
  <c r="L382" i="18" s="1"/>
  <c r="I382" i="18"/>
  <c r="A382" i="18"/>
  <c r="C382" i="18"/>
  <c r="D382" i="18"/>
  <c r="E382" i="18"/>
  <c r="H382" i="18"/>
  <c r="G382" i="18"/>
  <c r="K382" i="18"/>
  <c r="B380" i="14"/>
  <c r="C380" i="14"/>
  <c r="H380" i="14"/>
  <c r="D380" i="14"/>
  <c r="I380" i="14"/>
  <c r="G380" i="14"/>
  <c r="T380" i="14"/>
  <c r="S380" i="14"/>
  <c r="K380" i="14"/>
  <c r="U380" i="14"/>
  <c r="E380" i="14"/>
  <c r="W380" i="14"/>
  <c r="V380" i="14"/>
  <c r="A380" i="14"/>
  <c r="H349" i="8"/>
  <c r="E323" i="9" s="1"/>
  <c r="C323" i="9"/>
  <c r="U349" i="8"/>
  <c r="I349" i="19" s="1"/>
  <c r="J349" i="8"/>
  <c r="X349" i="8"/>
  <c r="C349" i="8"/>
  <c r="B349" i="8"/>
  <c r="C349" i="19" s="1"/>
  <c r="D349" i="8"/>
  <c r="E349" i="19" s="1"/>
  <c r="M349" i="8"/>
  <c r="L349" i="8"/>
  <c r="I349" i="8"/>
  <c r="E349" i="8"/>
  <c r="K349" i="8"/>
  <c r="G349" i="8"/>
  <c r="H349" i="19" s="1"/>
  <c r="M342" i="8"/>
  <c r="G342" i="8"/>
  <c r="H342" i="19" s="1"/>
  <c r="D342" i="8"/>
  <c r="E342" i="19" s="1"/>
  <c r="C316" i="9"/>
  <c r="X342" i="8"/>
  <c r="H342" i="8"/>
  <c r="E316" i="9" s="1"/>
  <c r="L342" i="8"/>
  <c r="E342" i="8"/>
  <c r="B342" i="8"/>
  <c r="C342" i="19" s="1"/>
  <c r="C342" i="8"/>
  <c r="U342" i="8"/>
  <c r="I342" i="19" s="1"/>
  <c r="I342" i="8"/>
  <c r="J342" i="8"/>
  <c r="K342" i="8"/>
  <c r="C387" i="13"/>
  <c r="U387" i="13"/>
  <c r="AG387" i="13" s="1"/>
  <c r="B387" i="13"/>
  <c r="E387" i="13"/>
  <c r="D387" i="13"/>
  <c r="A387" i="13"/>
  <c r="J387" i="13"/>
  <c r="L387" i="13" s="1"/>
  <c r="N387" i="13" s="1"/>
  <c r="O387" i="13" s="1"/>
  <c r="Q387" i="13" s="1"/>
  <c r="H387" i="13"/>
  <c r="G387" i="13"/>
  <c r="V387" i="13"/>
  <c r="Z387" i="13" s="1"/>
  <c r="X387" i="14" s="1"/>
  <c r="G355" i="13"/>
  <c r="U355" i="13"/>
  <c r="AG355" i="13" s="1"/>
  <c r="H355" i="13"/>
  <c r="B355" i="13"/>
  <c r="E355" i="13"/>
  <c r="J355" i="13"/>
  <c r="J355" i="14" s="1"/>
  <c r="D355" i="13"/>
  <c r="A355" i="13"/>
  <c r="V355" i="13"/>
  <c r="AA355" i="13" s="1"/>
  <c r="C355" i="13"/>
  <c r="B370" i="8"/>
  <c r="C370" i="19" s="1"/>
  <c r="K370" i="8"/>
  <c r="D370" i="8"/>
  <c r="E370" i="19" s="1"/>
  <c r="G370" i="8"/>
  <c r="H370" i="19" s="1"/>
  <c r="C344" i="9"/>
  <c r="X370" i="8"/>
  <c r="L370" i="8"/>
  <c r="H370" i="8"/>
  <c r="E344" i="9" s="1"/>
  <c r="E370" i="8"/>
  <c r="I370" i="8"/>
  <c r="U370" i="8"/>
  <c r="I370" i="19" s="1"/>
  <c r="J370" i="8"/>
  <c r="M370" i="8"/>
  <c r="C370" i="8"/>
  <c r="E338" i="18"/>
  <c r="I338" i="18"/>
  <c r="G338" i="18"/>
  <c r="D338" i="18"/>
  <c r="B338" i="18"/>
  <c r="J338" i="18"/>
  <c r="M338" i="18" s="1"/>
  <c r="H338" i="18"/>
  <c r="A338" i="18"/>
  <c r="C338" i="18"/>
  <c r="L338" i="18"/>
  <c r="B334" i="8"/>
  <c r="C334" i="19" s="1"/>
  <c r="E334" i="8"/>
  <c r="L334" i="8"/>
  <c r="K334" i="8"/>
  <c r="C308" i="9"/>
  <c r="I334" i="8"/>
  <c r="D334" i="8"/>
  <c r="E334" i="19" s="1"/>
  <c r="C334" i="8"/>
  <c r="J334" i="8"/>
  <c r="M334" i="8"/>
  <c r="G334" i="8"/>
  <c r="H334" i="19" s="1"/>
  <c r="X334" i="8"/>
  <c r="U334" i="8"/>
  <c r="I334" i="19" s="1"/>
  <c r="H334" i="8"/>
  <c r="E308" i="9" s="1"/>
  <c r="I391" i="14"/>
  <c r="K391" i="14"/>
  <c r="H391" i="14"/>
  <c r="V391" i="14"/>
  <c r="T391" i="14"/>
  <c r="B391" i="14"/>
  <c r="G391" i="14"/>
  <c r="U391" i="14"/>
  <c r="C391" i="14"/>
  <c r="A391" i="14"/>
  <c r="D391" i="14"/>
  <c r="E391" i="14"/>
  <c r="W391" i="14"/>
  <c r="S391" i="14"/>
  <c r="T381" i="14"/>
  <c r="U381" i="14"/>
  <c r="A381" i="14"/>
  <c r="H381" i="14"/>
  <c r="G381" i="14"/>
  <c r="C381" i="14"/>
  <c r="W381" i="14"/>
  <c r="E381" i="14"/>
  <c r="D381" i="14"/>
  <c r="K381" i="14"/>
  <c r="B381" i="14"/>
  <c r="V381" i="14"/>
  <c r="I381" i="14"/>
  <c r="S381" i="14"/>
  <c r="G350" i="13"/>
  <c r="A350" i="13"/>
  <c r="C350" i="13"/>
  <c r="U350" i="13"/>
  <c r="AG350" i="13" s="1"/>
  <c r="V350" i="13"/>
  <c r="AA350" i="13" s="1"/>
  <c r="AB350" i="13" s="1"/>
  <c r="Z350" i="14" s="1"/>
  <c r="B350" i="13"/>
  <c r="J350" i="13"/>
  <c r="L350" i="13" s="1"/>
  <c r="N350" i="13" s="1"/>
  <c r="O350" i="13" s="1"/>
  <c r="Q350" i="13" s="1"/>
  <c r="E350" i="13"/>
  <c r="H350" i="13"/>
  <c r="D350" i="13"/>
  <c r="B346" i="18"/>
  <c r="D346" i="18"/>
  <c r="E346" i="18"/>
  <c r="H346" i="18"/>
  <c r="C346" i="18"/>
  <c r="G346" i="18"/>
  <c r="A346" i="18"/>
  <c r="I346" i="18"/>
  <c r="J346" i="18"/>
  <c r="N346" i="18" s="1"/>
  <c r="O346" i="18" s="1"/>
  <c r="Q346" i="8" s="1"/>
  <c r="H371" i="13"/>
  <c r="V371" i="13"/>
  <c r="Z371" i="13" s="1"/>
  <c r="C371" i="13"/>
  <c r="D371" i="13"/>
  <c r="J371" i="13"/>
  <c r="L371" i="13" s="1"/>
  <c r="A371" i="13"/>
  <c r="B371" i="13"/>
  <c r="E371" i="13"/>
  <c r="G371" i="13"/>
  <c r="U371" i="13"/>
  <c r="AG371" i="13" s="1"/>
  <c r="D336" i="14"/>
  <c r="C336" i="14"/>
  <c r="G336" i="14"/>
  <c r="U336" i="14"/>
  <c r="T336" i="14"/>
  <c r="E336" i="14"/>
  <c r="I336" i="14"/>
  <c r="K336" i="14"/>
  <c r="B336" i="14"/>
  <c r="V336" i="14"/>
  <c r="S336" i="14"/>
  <c r="A336" i="14"/>
  <c r="W336" i="14"/>
  <c r="H336" i="14"/>
  <c r="C351" i="13"/>
  <c r="V351" i="13"/>
  <c r="Z351" i="13" s="1"/>
  <c r="X351" i="14" s="1"/>
  <c r="E351" i="13"/>
  <c r="A351" i="13"/>
  <c r="G351" i="13"/>
  <c r="D351" i="13"/>
  <c r="U351" i="13"/>
  <c r="AG351" i="13" s="1"/>
  <c r="H351" i="13"/>
  <c r="J351" i="13"/>
  <c r="J351" i="14" s="1"/>
  <c r="B351" i="13"/>
  <c r="L365" i="14"/>
  <c r="D365" i="14"/>
  <c r="B365" i="14"/>
  <c r="E365" i="14"/>
  <c r="J365" i="14"/>
  <c r="I365" i="14"/>
  <c r="AA365" i="14"/>
  <c r="AB365" i="14" s="1"/>
  <c r="V365" i="14"/>
  <c r="U365" i="14"/>
  <c r="W365" i="14"/>
  <c r="Z365" i="14"/>
  <c r="Y365" i="14"/>
  <c r="X365" i="14"/>
  <c r="M365" i="14"/>
  <c r="K365" i="14"/>
  <c r="AF365" i="14"/>
  <c r="M365" i="19" s="1"/>
  <c r="S365" i="14"/>
  <c r="AC365" i="14"/>
  <c r="R365" i="14"/>
  <c r="T365" i="14"/>
  <c r="C365" i="14"/>
  <c r="N365" i="14"/>
  <c r="G365" i="14"/>
  <c r="A365" i="14"/>
  <c r="H365" i="14"/>
  <c r="O365" i="14"/>
  <c r="AD365" i="14"/>
  <c r="P365" i="14"/>
  <c r="Q365" i="14"/>
  <c r="L392" i="8"/>
  <c r="E392" i="8"/>
  <c r="G392" i="8"/>
  <c r="H392" i="19" s="1"/>
  <c r="C366" i="9"/>
  <c r="U392" i="8"/>
  <c r="I392" i="19" s="1"/>
  <c r="H392" i="8"/>
  <c r="E366" i="9" s="1"/>
  <c r="C392" i="8"/>
  <c r="D392" i="8"/>
  <c r="E392" i="19" s="1"/>
  <c r="X392" i="8"/>
  <c r="J392" i="8"/>
  <c r="K392" i="8"/>
  <c r="I392" i="8"/>
  <c r="B392" i="8"/>
  <c r="C392" i="19" s="1"/>
  <c r="M392" i="8"/>
  <c r="B368" i="18"/>
  <c r="H368" i="18"/>
  <c r="A368" i="18"/>
  <c r="G368" i="18"/>
  <c r="D368" i="18"/>
  <c r="E368" i="18"/>
  <c r="C368" i="18"/>
  <c r="E390" i="18"/>
  <c r="D390" i="18"/>
  <c r="G390" i="18"/>
  <c r="H390" i="18"/>
  <c r="B390" i="18"/>
  <c r="I390" i="18"/>
  <c r="J390" i="18"/>
  <c r="M390" i="18" s="1"/>
  <c r="C390" i="18"/>
  <c r="A390" i="18"/>
  <c r="B340" i="8"/>
  <c r="C340" i="19" s="1"/>
  <c r="G340" i="8"/>
  <c r="H340" i="19" s="1"/>
  <c r="D340" i="8"/>
  <c r="E340" i="19" s="1"/>
  <c r="U340" i="8"/>
  <c r="I340" i="19" s="1"/>
  <c r="C314" i="9"/>
  <c r="I340" i="8"/>
  <c r="H340" i="8"/>
  <c r="E314" i="9" s="1"/>
  <c r="X340" i="8"/>
  <c r="C340" i="8"/>
  <c r="K340" i="8"/>
  <c r="J340" i="8"/>
  <c r="E340" i="8"/>
  <c r="M340" i="8"/>
  <c r="L340" i="8"/>
  <c r="G378" i="18"/>
  <c r="B378" i="18"/>
  <c r="A378" i="18"/>
  <c r="C378" i="18"/>
  <c r="D378" i="18"/>
  <c r="E378" i="18"/>
  <c r="H378" i="18"/>
  <c r="K367" i="8"/>
  <c r="L367" i="8"/>
  <c r="M367" i="8"/>
  <c r="X367" i="8"/>
  <c r="J367" i="8"/>
  <c r="B367" i="8"/>
  <c r="C367" i="19" s="1"/>
  <c r="C341" i="9"/>
  <c r="E367" i="8"/>
  <c r="C367" i="8"/>
  <c r="H367" i="8"/>
  <c r="E341" i="9" s="1"/>
  <c r="D367" i="8"/>
  <c r="E367" i="19" s="1"/>
  <c r="U367" i="8"/>
  <c r="I367" i="19" s="1"/>
  <c r="I367" i="8"/>
  <c r="G367" i="8"/>
  <c r="H367" i="19" s="1"/>
  <c r="B367" i="19" s="1"/>
  <c r="G388" i="18"/>
  <c r="D388" i="18"/>
  <c r="C388" i="18"/>
  <c r="J388" i="18"/>
  <c r="K388" i="18" s="1"/>
  <c r="A388" i="18"/>
  <c r="E388" i="18"/>
  <c r="I388" i="18"/>
  <c r="B388" i="18"/>
  <c r="H388" i="18"/>
  <c r="A332" i="14"/>
  <c r="W332" i="14"/>
  <c r="H332" i="14"/>
  <c r="D332" i="14"/>
  <c r="C332" i="14"/>
  <c r="G332" i="14"/>
  <c r="U332" i="14"/>
  <c r="T332" i="14"/>
  <c r="E332" i="14"/>
  <c r="I332" i="14"/>
  <c r="K332" i="14"/>
  <c r="B332" i="14"/>
  <c r="V332" i="14"/>
  <c r="S332" i="14"/>
  <c r="D395" i="14"/>
  <c r="N395" i="14"/>
  <c r="Y395" i="14"/>
  <c r="J395" i="14"/>
  <c r="U395" i="14"/>
  <c r="W395" i="14"/>
  <c r="S395" i="14"/>
  <c r="H395" i="14"/>
  <c r="E395" i="14"/>
  <c r="Q395" i="14"/>
  <c r="AC395" i="14"/>
  <c r="M395" i="14"/>
  <c r="X395" i="14"/>
  <c r="O395" i="14"/>
  <c r="K395" i="14"/>
  <c r="I395" i="14"/>
  <c r="T395" i="14"/>
  <c r="AF395" i="14"/>
  <c r="M395" i="19" s="1"/>
  <c r="P395" i="14"/>
  <c r="Z395" i="14"/>
  <c r="G395" i="14"/>
  <c r="C395" i="14"/>
  <c r="L395" i="14"/>
  <c r="V395" i="14"/>
  <c r="A395" i="14"/>
  <c r="R395" i="14"/>
  <c r="AD395" i="14"/>
  <c r="AA395" i="14"/>
  <c r="AB395" i="14" s="1"/>
  <c r="B395" i="14"/>
  <c r="G357" i="14"/>
  <c r="H357" i="14"/>
  <c r="A357" i="14"/>
  <c r="D357" i="14"/>
  <c r="U357" i="14"/>
  <c r="B357" i="14"/>
  <c r="W357" i="14"/>
  <c r="I357" i="14"/>
  <c r="T357" i="14"/>
  <c r="E357" i="14"/>
  <c r="C357" i="14"/>
  <c r="S357" i="14"/>
  <c r="V357" i="14"/>
  <c r="K357" i="14"/>
  <c r="H348" i="18"/>
  <c r="G348" i="18"/>
  <c r="B348" i="18"/>
  <c r="J348" i="18"/>
  <c r="L348" i="18" s="1"/>
  <c r="I348" i="18"/>
  <c r="A348" i="18"/>
  <c r="C348" i="18"/>
  <c r="D348" i="18"/>
  <c r="E348" i="18"/>
  <c r="B354" i="14"/>
  <c r="S354" i="14"/>
  <c r="G354" i="14"/>
  <c r="T354" i="14"/>
  <c r="C354" i="14"/>
  <c r="V354" i="14"/>
  <c r="I354" i="14"/>
  <c r="A354" i="14"/>
  <c r="U354" i="14"/>
  <c r="D354" i="14"/>
  <c r="K354" i="14"/>
  <c r="E354" i="14"/>
  <c r="W354" i="14"/>
  <c r="H354" i="14"/>
  <c r="C358" i="9"/>
  <c r="E384" i="8"/>
  <c r="G384" i="8"/>
  <c r="H384" i="19" s="1"/>
  <c r="D384" i="8"/>
  <c r="E384" i="19" s="1"/>
  <c r="H384" i="8"/>
  <c r="E358" i="9" s="1"/>
  <c r="I384" i="8"/>
  <c r="U384" i="8"/>
  <c r="I384" i="19" s="1"/>
  <c r="J384" i="8"/>
  <c r="K384" i="8"/>
  <c r="B384" i="8"/>
  <c r="C384" i="19" s="1"/>
  <c r="L384" i="8"/>
  <c r="X384" i="8"/>
  <c r="M384" i="8"/>
  <c r="C384" i="8"/>
  <c r="D393" i="14"/>
  <c r="K393" i="14"/>
  <c r="E393" i="14"/>
  <c r="S393" i="14"/>
  <c r="B393" i="14"/>
  <c r="U393" i="14"/>
  <c r="C393" i="14"/>
  <c r="W393" i="14"/>
  <c r="I393" i="14"/>
  <c r="A393" i="14"/>
  <c r="V393" i="14"/>
  <c r="H393" i="14"/>
  <c r="G393" i="14"/>
  <c r="T393" i="14"/>
  <c r="G363" i="18"/>
  <c r="H363" i="18"/>
  <c r="D363" i="18"/>
  <c r="A363" i="18"/>
  <c r="E363" i="18"/>
  <c r="C363" i="18"/>
  <c r="B363" i="18"/>
  <c r="S359" i="14"/>
  <c r="A359" i="14"/>
  <c r="E359" i="14"/>
  <c r="U359" i="14"/>
  <c r="W359" i="14"/>
  <c r="H359" i="14"/>
  <c r="T359" i="14"/>
  <c r="K359" i="14"/>
  <c r="D359" i="14"/>
  <c r="G359" i="14"/>
  <c r="I359" i="14"/>
  <c r="V359" i="14"/>
  <c r="B359" i="14"/>
  <c r="C359" i="14"/>
  <c r="T331" i="14"/>
  <c r="G331" i="14"/>
  <c r="U331" i="14"/>
  <c r="D331" i="14"/>
  <c r="B331" i="14"/>
  <c r="E331" i="14"/>
  <c r="C331" i="14"/>
  <c r="W331" i="14"/>
  <c r="H331" i="14"/>
  <c r="V331" i="14"/>
  <c r="I331" i="14"/>
  <c r="J331" i="14"/>
  <c r="S331" i="14"/>
  <c r="A331" i="14"/>
  <c r="K331" i="14"/>
  <c r="U389" i="14"/>
  <c r="V389" i="14"/>
  <c r="I389" i="14"/>
  <c r="K389" i="14"/>
  <c r="G389" i="14"/>
  <c r="T389" i="14"/>
  <c r="A389" i="14"/>
  <c r="H389" i="14"/>
  <c r="D389" i="14"/>
  <c r="S389" i="14"/>
  <c r="W389" i="14"/>
  <c r="B389" i="14"/>
  <c r="E389" i="14"/>
  <c r="C389" i="14"/>
  <c r="A345" i="14"/>
  <c r="W345" i="14"/>
  <c r="V345" i="14"/>
  <c r="H345" i="14"/>
  <c r="B345" i="14"/>
  <c r="K345" i="14"/>
  <c r="E345" i="14"/>
  <c r="S345" i="14"/>
  <c r="D345" i="14"/>
  <c r="C345" i="14"/>
  <c r="G345" i="14"/>
  <c r="T345" i="14"/>
  <c r="U345" i="14"/>
  <c r="I345" i="14"/>
  <c r="C372" i="8"/>
  <c r="M372" i="8"/>
  <c r="X372" i="8"/>
  <c r="C346" i="9"/>
  <c r="K372" i="8"/>
  <c r="L372" i="8"/>
  <c r="D372" i="8"/>
  <c r="E372" i="19" s="1"/>
  <c r="I372" i="8"/>
  <c r="J372" i="8"/>
  <c r="U372" i="8"/>
  <c r="I372" i="19" s="1"/>
  <c r="B372" i="8"/>
  <c r="C372" i="19" s="1"/>
  <c r="H372" i="8"/>
  <c r="E346" i="9" s="1"/>
  <c r="E372" i="8"/>
  <c r="G372" i="8"/>
  <c r="H372" i="19" s="1"/>
  <c r="G335" i="13"/>
  <c r="E335" i="13"/>
  <c r="A335" i="13"/>
  <c r="B335" i="13"/>
  <c r="U335" i="13"/>
  <c r="AG335" i="13" s="1"/>
  <c r="V335" i="13"/>
  <c r="Z335" i="13" s="1"/>
  <c r="X335" i="14" s="1"/>
  <c r="H335" i="13"/>
  <c r="J335" i="13"/>
  <c r="J335" i="14" s="1"/>
  <c r="D335" i="13"/>
  <c r="C335" i="13"/>
  <c r="A330" i="13"/>
  <c r="D330" i="13"/>
  <c r="G330" i="13"/>
  <c r="V330" i="13"/>
  <c r="Z330" i="13" s="1"/>
  <c r="E330" i="13"/>
  <c r="J330" i="13"/>
  <c r="L330" i="13" s="1"/>
  <c r="U330" i="13"/>
  <c r="AG330" i="13" s="1"/>
  <c r="C330" i="13"/>
  <c r="H330" i="13"/>
  <c r="B330" i="13"/>
  <c r="D377" i="8"/>
  <c r="E377" i="19" s="1"/>
  <c r="C377" i="8"/>
  <c r="K377" i="8"/>
  <c r="C351" i="9"/>
  <c r="I377" i="8"/>
  <c r="M377" i="8"/>
  <c r="B377" i="8"/>
  <c r="C377" i="19" s="1"/>
  <c r="G377" i="8"/>
  <c r="H377" i="19" s="1"/>
  <c r="E377" i="8"/>
  <c r="U377" i="8"/>
  <c r="I377" i="19" s="1"/>
  <c r="X377" i="8"/>
  <c r="H377" i="8"/>
  <c r="E351" i="9" s="1"/>
  <c r="L377" i="8"/>
  <c r="J377" i="8"/>
  <c r="D373" i="14"/>
  <c r="U373" i="14"/>
  <c r="B373" i="14"/>
  <c r="H373" i="14"/>
  <c r="I373" i="14"/>
  <c r="A373" i="14"/>
  <c r="W373" i="14"/>
  <c r="C373" i="14"/>
  <c r="S373" i="14"/>
  <c r="K373" i="14"/>
  <c r="T373" i="14"/>
  <c r="G373" i="14"/>
  <c r="V373" i="14"/>
  <c r="E373" i="14"/>
  <c r="A362" i="14"/>
  <c r="I362" i="14"/>
  <c r="W362" i="14"/>
  <c r="K362" i="14"/>
  <c r="U362" i="14"/>
  <c r="G362" i="14"/>
  <c r="C362" i="14"/>
  <c r="V362" i="14"/>
  <c r="T362" i="14"/>
  <c r="H362" i="14"/>
  <c r="B362" i="14"/>
  <c r="E362" i="14"/>
  <c r="D362" i="14"/>
  <c r="S362" i="14"/>
  <c r="G376" i="14"/>
  <c r="I376" i="14"/>
  <c r="U376" i="14"/>
  <c r="B376" i="14"/>
  <c r="T376" i="14"/>
  <c r="S376" i="14"/>
  <c r="A376" i="14"/>
  <c r="W376" i="14"/>
  <c r="E376" i="14"/>
  <c r="K376" i="14"/>
  <c r="C376" i="14"/>
  <c r="D376" i="14"/>
  <c r="V376" i="14"/>
  <c r="H376" i="14"/>
  <c r="L337" i="8"/>
  <c r="M337" i="8"/>
  <c r="X337" i="8"/>
  <c r="D337" i="8"/>
  <c r="E337" i="19" s="1"/>
  <c r="G337" i="8"/>
  <c r="H337" i="19" s="1"/>
  <c r="C311" i="9"/>
  <c r="E337" i="8"/>
  <c r="K337" i="8"/>
  <c r="B337" i="8"/>
  <c r="C337" i="19" s="1"/>
  <c r="J337" i="8"/>
  <c r="I337" i="8"/>
  <c r="U337" i="8"/>
  <c r="I337" i="19" s="1"/>
  <c r="C337" i="8"/>
  <c r="H337" i="8"/>
  <c r="E311" i="9" s="1"/>
  <c r="B364" i="18"/>
  <c r="H364" i="18"/>
  <c r="A364" i="18"/>
  <c r="C364" i="18"/>
  <c r="D364" i="18"/>
  <c r="E364" i="18"/>
  <c r="G364" i="18"/>
  <c r="I361" i="14"/>
  <c r="H361" i="14"/>
  <c r="D361" i="14"/>
  <c r="R361" i="14"/>
  <c r="M361" i="14"/>
  <c r="O361" i="14"/>
  <c r="AD361" i="14"/>
  <c r="AF361" i="14"/>
  <c r="M361" i="19" s="1"/>
  <c r="G361" i="14"/>
  <c r="T361" i="14"/>
  <c r="J361" i="14"/>
  <c r="E361" i="14"/>
  <c r="S361" i="14"/>
  <c r="X361" i="14"/>
  <c r="N361" i="14"/>
  <c r="P361" i="14"/>
  <c r="K361" i="14"/>
  <c r="AC361" i="14"/>
  <c r="Y361" i="14"/>
  <c r="W361" i="14"/>
  <c r="AA361" i="14"/>
  <c r="AB361" i="14" s="1"/>
  <c r="Z361" i="14"/>
  <c r="U361" i="14"/>
  <c r="L361" i="14"/>
  <c r="V361" i="14"/>
  <c r="C361" i="14"/>
  <c r="Q361" i="14"/>
  <c r="B361" i="14"/>
  <c r="A361" i="14"/>
  <c r="E360" i="18"/>
  <c r="C360" i="18"/>
  <c r="B360" i="18"/>
  <c r="H360" i="18"/>
  <c r="A360" i="18"/>
  <c r="G360" i="18"/>
  <c r="D360" i="18"/>
  <c r="H333" i="8"/>
  <c r="E307" i="9" s="1"/>
  <c r="U333" i="8"/>
  <c r="I333" i="19" s="1"/>
  <c r="G333" i="8"/>
  <c r="H333" i="19" s="1"/>
  <c r="M333" i="8"/>
  <c r="C333" i="8"/>
  <c r="K333" i="8"/>
  <c r="J333" i="8"/>
  <c r="C307" i="9"/>
  <c r="X333" i="8"/>
  <c r="L333" i="8"/>
  <c r="E333" i="8"/>
  <c r="B333" i="8"/>
  <c r="C333" i="19" s="1"/>
  <c r="D333" i="8"/>
  <c r="E333" i="19" s="1"/>
  <c r="I333" i="8"/>
  <c r="G375" i="13"/>
  <c r="D375" i="13"/>
  <c r="U375" i="13"/>
  <c r="AG375" i="13" s="1"/>
  <c r="A375" i="13"/>
  <c r="B375" i="13"/>
  <c r="J375" i="13"/>
  <c r="J375" i="14" s="1"/>
  <c r="H375" i="13"/>
  <c r="C375" i="13"/>
  <c r="V375" i="13"/>
  <c r="AA375" i="13" s="1"/>
  <c r="AB375" i="13" s="1"/>
  <c r="Z375" i="14" s="1"/>
  <c r="L375" i="13"/>
  <c r="N375" i="13" s="1"/>
  <c r="O375" i="13" s="1"/>
  <c r="Q375" i="13" s="1"/>
  <c r="E375" i="13"/>
  <c r="J366" i="14"/>
  <c r="Z366" i="14"/>
  <c r="Q366" i="14"/>
  <c r="G366" i="14"/>
  <c r="L366" i="14"/>
  <c r="K366" i="14"/>
  <c r="P366" i="14"/>
  <c r="B366" i="14"/>
  <c r="N366" i="14"/>
  <c r="AD366" i="14"/>
  <c r="U366" i="14"/>
  <c r="O366" i="14"/>
  <c r="T366" i="14"/>
  <c r="S366" i="14"/>
  <c r="X366" i="14"/>
  <c r="A366" i="14"/>
  <c r="R366" i="14"/>
  <c r="I366" i="14"/>
  <c r="Y366" i="14"/>
  <c r="W366" i="14"/>
  <c r="AF366" i="14"/>
  <c r="M366" i="19" s="1"/>
  <c r="AA366" i="14"/>
  <c r="AB366" i="14" s="1"/>
  <c r="E366" i="14"/>
  <c r="V366" i="14"/>
  <c r="M366" i="14"/>
  <c r="AC366" i="14"/>
  <c r="D366" i="14"/>
  <c r="C366" i="14"/>
  <c r="H366" i="14"/>
  <c r="H385" i="13"/>
  <c r="A385" i="13"/>
  <c r="E385" i="13"/>
  <c r="D385" i="13"/>
  <c r="V385" i="13"/>
  <c r="AA385" i="13" s="1"/>
  <c r="AB385" i="13" s="1"/>
  <c r="Z385" i="14" s="1"/>
  <c r="C385" i="13"/>
  <c r="U385" i="13"/>
  <c r="AG385" i="13" s="1"/>
  <c r="B385" i="13"/>
  <c r="G385" i="13"/>
  <c r="J385" i="13"/>
  <c r="J385" i="14" s="1"/>
  <c r="E341" i="13"/>
  <c r="A341" i="13"/>
  <c r="G341" i="13"/>
  <c r="D341" i="13"/>
  <c r="C341" i="13"/>
  <c r="B341" i="13"/>
  <c r="J341" i="13"/>
  <c r="J341" i="14" s="1"/>
  <c r="H341" i="13"/>
  <c r="U341" i="13"/>
  <c r="AG341" i="13" s="1"/>
  <c r="V341" i="13"/>
  <c r="Z341" i="13" s="1"/>
  <c r="X341" i="14" s="1"/>
  <c r="L341" i="13"/>
  <c r="M341" i="13" s="1"/>
  <c r="D394" i="18"/>
  <c r="E394" i="18"/>
  <c r="H394" i="18"/>
  <c r="G394" i="18"/>
  <c r="B394" i="18"/>
  <c r="A394" i="18"/>
  <c r="C394" i="18"/>
  <c r="A369" i="13"/>
  <c r="U369" i="13"/>
  <c r="AG369" i="13" s="1"/>
  <c r="C369" i="13"/>
  <c r="G369" i="13"/>
  <c r="B369" i="13"/>
  <c r="E369" i="13"/>
  <c r="V369" i="13"/>
  <c r="D369" i="13"/>
  <c r="J369" i="13"/>
  <c r="L369" i="13" s="1"/>
  <c r="M369" i="13" s="1"/>
  <c r="H369" i="13"/>
  <c r="Z369" i="13"/>
  <c r="X369" i="14" s="1"/>
  <c r="K347" i="8"/>
  <c r="J347" i="8"/>
  <c r="E347" i="8"/>
  <c r="L347" i="8"/>
  <c r="G347" i="8"/>
  <c r="H347" i="19" s="1"/>
  <c r="H347" i="8"/>
  <c r="E321" i="9" s="1"/>
  <c r="X347" i="8"/>
  <c r="C321" i="9"/>
  <c r="U347" i="8"/>
  <c r="I347" i="19" s="1"/>
  <c r="D347" i="8"/>
  <c r="E347" i="19" s="1"/>
  <c r="C347" i="8"/>
  <c r="B347" i="8"/>
  <c r="C347" i="19" s="1"/>
  <c r="M347" i="8"/>
  <c r="I347" i="8"/>
  <c r="J353" i="8"/>
  <c r="B353" i="8"/>
  <c r="C353" i="19" s="1"/>
  <c r="G353" i="8"/>
  <c r="I353" i="8"/>
  <c r="S353" i="8"/>
  <c r="E353" i="8"/>
  <c r="C327" i="9"/>
  <c r="P353" i="8"/>
  <c r="M353" i="8"/>
  <c r="T353" i="8"/>
  <c r="D353" i="8"/>
  <c r="E353" i="19" s="1"/>
  <c r="K353" i="8"/>
  <c r="L353" i="8"/>
  <c r="N353" i="8"/>
  <c r="C353" i="8"/>
  <c r="H353" i="8"/>
  <c r="E327" i="9" s="1"/>
  <c r="U353" i="8"/>
  <c r="I353" i="19" s="1"/>
  <c r="X353" i="8"/>
  <c r="R353" i="8"/>
  <c r="Q353" i="8"/>
  <c r="B379" i="18"/>
  <c r="A379" i="18"/>
  <c r="E379" i="18"/>
  <c r="D379" i="18"/>
  <c r="C379" i="18"/>
  <c r="G379" i="18"/>
  <c r="H379" i="18"/>
  <c r="K344" i="14"/>
  <c r="B344" i="14"/>
  <c r="T344" i="14"/>
  <c r="A344" i="14"/>
  <c r="S344" i="14"/>
  <c r="D344" i="14"/>
  <c r="W344" i="14"/>
  <c r="I344" i="14"/>
  <c r="C344" i="14"/>
  <c r="V344" i="14"/>
  <c r="G344" i="14"/>
  <c r="E344" i="14"/>
  <c r="H344" i="14"/>
  <c r="U344" i="14"/>
  <c r="C317" i="9"/>
  <c r="J343" i="8"/>
  <c r="L343" i="8"/>
  <c r="B343" i="8"/>
  <c r="C343" i="19" s="1"/>
  <c r="M343" i="8"/>
  <c r="U343" i="8"/>
  <c r="I343" i="19" s="1"/>
  <c r="E343" i="8"/>
  <c r="D343" i="8"/>
  <c r="E343" i="19" s="1"/>
  <c r="X343" i="8"/>
  <c r="C343" i="8"/>
  <c r="H343" i="8"/>
  <c r="E317" i="9" s="1"/>
  <c r="I343" i="8"/>
  <c r="K343" i="8"/>
  <c r="G343" i="8"/>
  <c r="H343" i="19" s="1"/>
  <c r="B352" i="18"/>
  <c r="A352" i="18"/>
  <c r="C352" i="18"/>
  <c r="D352" i="18"/>
  <c r="E352" i="18"/>
  <c r="H352" i="18"/>
  <c r="G352" i="18"/>
  <c r="C348" i="9"/>
  <c r="H374" i="8"/>
  <c r="E348" i="9" s="1"/>
  <c r="B374" i="8"/>
  <c r="C374" i="19" s="1"/>
  <c r="K374" i="8"/>
  <c r="C374" i="8"/>
  <c r="G374" i="8"/>
  <c r="H374" i="19" s="1"/>
  <c r="E374" i="8"/>
  <c r="U374" i="8"/>
  <c r="I374" i="19" s="1"/>
  <c r="I374" i="8"/>
  <c r="J374" i="8"/>
  <c r="D374" i="8"/>
  <c r="E374" i="19" s="1"/>
  <c r="X374" i="8"/>
  <c r="M374" i="8"/>
  <c r="L374" i="8"/>
  <c r="A339" i="14"/>
  <c r="C339" i="14"/>
  <c r="S339" i="14"/>
  <c r="V339" i="14"/>
  <c r="U339" i="14"/>
  <c r="H339" i="14"/>
  <c r="T339" i="14"/>
  <c r="W339" i="14"/>
  <c r="B339" i="14"/>
  <c r="I339" i="14"/>
  <c r="K339" i="14"/>
  <c r="E339" i="14"/>
  <c r="G339" i="14"/>
  <c r="D339" i="14"/>
  <c r="G356" i="13"/>
  <c r="B356" i="13"/>
  <c r="V356" i="13"/>
  <c r="U356" i="13"/>
  <c r="AG356" i="13" s="1"/>
  <c r="C356" i="13"/>
  <c r="A356" i="13"/>
  <c r="H356" i="13"/>
  <c r="J356" i="13"/>
  <c r="L356" i="13" s="1"/>
  <c r="M356" i="13" s="1"/>
  <c r="E356" i="13"/>
  <c r="D356" i="13"/>
  <c r="Z356" i="13"/>
  <c r="X356" i="14" s="1"/>
  <c r="C354" i="9"/>
  <c r="U380" i="8"/>
  <c r="I380" i="19" s="1"/>
  <c r="J380" i="8"/>
  <c r="C380" i="8"/>
  <c r="D380" i="8"/>
  <c r="E380" i="19" s="1"/>
  <c r="X380" i="8"/>
  <c r="M380" i="8"/>
  <c r="I380" i="8"/>
  <c r="E380" i="8"/>
  <c r="G380" i="8"/>
  <c r="H380" i="19" s="1"/>
  <c r="B380" i="8"/>
  <c r="C380" i="19" s="1"/>
  <c r="L380" i="8"/>
  <c r="H380" i="8"/>
  <c r="E354" i="9" s="1"/>
  <c r="K380" i="8"/>
  <c r="B387" i="14"/>
  <c r="E387" i="14"/>
  <c r="H387" i="14"/>
  <c r="D387" i="14"/>
  <c r="C387" i="14"/>
  <c r="K387" i="14"/>
  <c r="T387" i="14"/>
  <c r="S387" i="14"/>
  <c r="V387" i="14"/>
  <c r="U387" i="14"/>
  <c r="A387" i="14"/>
  <c r="G387" i="14"/>
  <c r="W387" i="14"/>
  <c r="I387" i="14"/>
  <c r="D391" i="8"/>
  <c r="E391" i="19" s="1"/>
  <c r="H391" i="8"/>
  <c r="E365" i="9" s="1"/>
  <c r="J391" i="8"/>
  <c r="X391" i="8"/>
  <c r="L391" i="8"/>
  <c r="E391" i="8"/>
  <c r="G391" i="8"/>
  <c r="H391" i="19" s="1"/>
  <c r="U391" i="8"/>
  <c r="I391" i="19" s="1"/>
  <c r="C365" i="9"/>
  <c r="I391" i="8"/>
  <c r="K391" i="8"/>
  <c r="C391" i="8"/>
  <c r="B391" i="8"/>
  <c r="C391" i="19" s="1"/>
  <c r="M391" i="8"/>
  <c r="B346" i="8"/>
  <c r="C346" i="19" s="1"/>
  <c r="L346" i="8"/>
  <c r="G346" i="8"/>
  <c r="H346" i="19" s="1"/>
  <c r="X346" i="8"/>
  <c r="K346" i="8"/>
  <c r="E346" i="8"/>
  <c r="M346" i="8"/>
  <c r="H346" i="8"/>
  <c r="E320" i="9" s="1"/>
  <c r="I346" i="8"/>
  <c r="C320" i="9"/>
  <c r="U346" i="8"/>
  <c r="I346" i="19" s="1"/>
  <c r="D346" i="8"/>
  <c r="E346" i="19" s="1"/>
  <c r="J346" i="8"/>
  <c r="C346" i="8"/>
  <c r="E336" i="8"/>
  <c r="M336" i="8"/>
  <c r="L336" i="8"/>
  <c r="B336" i="8"/>
  <c r="C336" i="19" s="1"/>
  <c r="G336" i="8"/>
  <c r="H336" i="19" s="1"/>
  <c r="D336" i="8"/>
  <c r="E336" i="19" s="1"/>
  <c r="U336" i="8"/>
  <c r="I336" i="19" s="1"/>
  <c r="C310" i="9"/>
  <c r="I336" i="8"/>
  <c r="H336" i="8"/>
  <c r="E310" i="9" s="1"/>
  <c r="X336" i="8"/>
  <c r="C336" i="8"/>
  <c r="K336" i="8"/>
  <c r="J336" i="8"/>
  <c r="V392" i="14"/>
  <c r="H392" i="14"/>
  <c r="D392" i="14"/>
  <c r="S392" i="14"/>
  <c r="E392" i="14"/>
  <c r="T392" i="14"/>
  <c r="B392" i="14"/>
  <c r="I392" i="14"/>
  <c r="C392" i="14"/>
  <c r="A392" i="14"/>
  <c r="K392" i="14"/>
  <c r="G392" i="14"/>
  <c r="W392" i="14"/>
  <c r="U392" i="14"/>
  <c r="J340" i="13"/>
  <c r="L340" i="13" s="1"/>
  <c r="N340" i="13" s="1"/>
  <c r="O340" i="13" s="1"/>
  <c r="Q340" i="13" s="1"/>
  <c r="B340" i="13"/>
  <c r="C340" i="13"/>
  <c r="G340" i="13"/>
  <c r="H340" i="13"/>
  <c r="E340" i="13"/>
  <c r="D340" i="13"/>
  <c r="A340" i="13"/>
  <c r="U340" i="13"/>
  <c r="AG340" i="13" s="1"/>
  <c r="V340" i="13"/>
  <c r="Z340" i="13" s="1"/>
  <c r="X340" i="14" s="1"/>
  <c r="U388" i="13"/>
  <c r="AG388" i="13" s="1"/>
  <c r="V388" i="13"/>
  <c r="Z388" i="13" s="1"/>
  <c r="X388" i="14" s="1"/>
  <c r="D388" i="13"/>
  <c r="G388" i="13"/>
  <c r="B388" i="13"/>
  <c r="J388" i="13"/>
  <c r="L388" i="13" s="1"/>
  <c r="E388" i="13"/>
  <c r="A388" i="13"/>
  <c r="C388" i="13"/>
  <c r="H388" i="13"/>
  <c r="G395" i="8"/>
  <c r="X395" i="8"/>
  <c r="U395" i="8"/>
  <c r="I395" i="19" s="1"/>
  <c r="H395" i="8"/>
  <c r="E369" i="9" s="1"/>
  <c r="C395" i="8"/>
  <c r="K395" i="8"/>
  <c r="J395" i="8"/>
  <c r="N395" i="8"/>
  <c r="E395" i="8"/>
  <c r="Q395" i="8"/>
  <c r="C369" i="9"/>
  <c r="P395" i="8"/>
  <c r="M395" i="8"/>
  <c r="D395" i="8"/>
  <c r="E395" i="19" s="1"/>
  <c r="T395" i="8"/>
  <c r="B395" i="8"/>
  <c r="C395" i="19" s="1"/>
  <c r="S395" i="8"/>
  <c r="R395" i="8"/>
  <c r="L395" i="8"/>
  <c r="I395" i="8"/>
  <c r="K384" i="14"/>
  <c r="D384" i="14"/>
  <c r="E384" i="14"/>
  <c r="B384" i="14"/>
  <c r="S384" i="14"/>
  <c r="A384" i="14"/>
  <c r="I384" i="14"/>
  <c r="W384" i="14"/>
  <c r="C384" i="14"/>
  <c r="H384" i="14"/>
  <c r="T384" i="14"/>
  <c r="G384" i="14"/>
  <c r="V384" i="14"/>
  <c r="U384" i="14"/>
  <c r="H363" i="8"/>
  <c r="E337" i="9" s="1"/>
  <c r="I363" i="8"/>
  <c r="K363" i="8"/>
  <c r="J363" i="8"/>
  <c r="C363" i="8"/>
  <c r="X363" i="8"/>
  <c r="M363" i="8"/>
  <c r="U363" i="8"/>
  <c r="I363" i="19" s="1"/>
  <c r="G363" i="8"/>
  <c r="H363" i="19" s="1"/>
  <c r="C337" i="9"/>
  <c r="D363" i="8"/>
  <c r="E363" i="19" s="1"/>
  <c r="B363" i="8"/>
  <c r="C363" i="19" s="1"/>
  <c r="L363" i="8"/>
  <c r="E363" i="8"/>
  <c r="H389" i="8"/>
  <c r="E363" i="9" s="1"/>
  <c r="X389" i="8"/>
  <c r="I389" i="8"/>
  <c r="B389" i="8"/>
  <c r="C389" i="19" s="1"/>
  <c r="J389" i="8"/>
  <c r="C389" i="8"/>
  <c r="K389" i="8"/>
  <c r="C363" i="9"/>
  <c r="L389" i="8"/>
  <c r="E389" i="8"/>
  <c r="M389" i="8"/>
  <c r="G389" i="8"/>
  <c r="H389" i="19" s="1"/>
  <c r="D389" i="8"/>
  <c r="E389" i="19" s="1"/>
  <c r="U389" i="8"/>
  <c r="I389" i="19" s="1"/>
  <c r="E335" i="18"/>
  <c r="D335" i="18"/>
  <c r="C335" i="18"/>
  <c r="B335" i="18"/>
  <c r="J335" i="18"/>
  <c r="M335" i="18" s="1"/>
  <c r="A335" i="18"/>
  <c r="G335" i="18"/>
  <c r="I335" i="18"/>
  <c r="H335" i="18"/>
  <c r="B376" i="13"/>
  <c r="U376" i="13"/>
  <c r="AG376" i="13" s="1"/>
  <c r="C376" i="13"/>
  <c r="J376" i="13"/>
  <c r="J376" i="14" s="1"/>
  <c r="G376" i="13"/>
  <c r="V376" i="13"/>
  <c r="Z376" i="13" s="1"/>
  <c r="X376" i="14" s="1"/>
  <c r="D376" i="13"/>
  <c r="E376" i="13"/>
  <c r="A376" i="13"/>
  <c r="H376" i="13"/>
  <c r="D361" i="13"/>
  <c r="V361" i="13"/>
  <c r="AA361" i="13" s="1"/>
  <c r="AB361" i="13" s="1"/>
  <c r="O361" i="13"/>
  <c r="G361" i="13"/>
  <c r="J361" i="13"/>
  <c r="Q361" i="13"/>
  <c r="H361" i="13"/>
  <c r="B361" i="13"/>
  <c r="R361" i="13"/>
  <c r="A361" i="13"/>
  <c r="C361" i="13"/>
  <c r="S361" i="13"/>
  <c r="L361" i="13"/>
  <c r="AE361" i="13"/>
  <c r="T361" i="13"/>
  <c r="M361" i="13"/>
  <c r="E361" i="13"/>
  <c r="U361" i="13"/>
  <c r="AG361" i="13" s="1"/>
  <c r="N361" i="13"/>
  <c r="H375" i="18"/>
  <c r="E375" i="18"/>
  <c r="B375" i="18"/>
  <c r="D375" i="18"/>
  <c r="C375" i="18"/>
  <c r="A375" i="18"/>
  <c r="G375" i="18"/>
  <c r="A341" i="18"/>
  <c r="J341" i="18"/>
  <c r="N341" i="18" s="1"/>
  <c r="O341" i="18" s="1"/>
  <c r="Q341" i="8" s="1"/>
  <c r="G341" i="18"/>
  <c r="D341" i="18"/>
  <c r="B341" i="18"/>
  <c r="E341" i="18"/>
  <c r="H341" i="18"/>
  <c r="C341" i="18"/>
  <c r="I341" i="18"/>
  <c r="K341" i="18"/>
  <c r="I347" i="14"/>
  <c r="E347" i="14"/>
  <c r="U347" i="14"/>
  <c r="B347" i="14"/>
  <c r="K347" i="14"/>
  <c r="V347" i="14"/>
  <c r="G347" i="14"/>
  <c r="W347" i="14"/>
  <c r="T347" i="14"/>
  <c r="H347" i="14"/>
  <c r="C347" i="14"/>
  <c r="A347" i="14"/>
  <c r="S347" i="14"/>
  <c r="D347" i="14"/>
  <c r="B352" i="13"/>
  <c r="V352" i="13"/>
  <c r="AA352" i="13" s="1"/>
  <c r="AB352" i="13" s="1"/>
  <c r="C352" i="13"/>
  <c r="A352" i="13"/>
  <c r="U352" i="13"/>
  <c r="AG352" i="13" s="1"/>
  <c r="J352" i="13"/>
  <c r="J352" i="14" s="1"/>
  <c r="E352" i="13"/>
  <c r="H352" i="13"/>
  <c r="G352" i="13"/>
  <c r="D352" i="13"/>
  <c r="C357" i="9"/>
  <c r="J383" i="8"/>
  <c r="C383" i="8"/>
  <c r="L383" i="8"/>
  <c r="B383" i="8"/>
  <c r="C383" i="19" s="1"/>
  <c r="D383" i="8"/>
  <c r="E383" i="19" s="1"/>
  <c r="U383" i="8"/>
  <c r="I383" i="19" s="1"/>
  <c r="X383" i="8"/>
  <c r="M383" i="8"/>
  <c r="E383" i="8"/>
  <c r="G383" i="8"/>
  <c r="H383" i="19" s="1"/>
  <c r="H383" i="8"/>
  <c r="E357" i="9" s="1"/>
  <c r="I383" i="8"/>
  <c r="K383" i="8"/>
  <c r="C360" i="9"/>
  <c r="G386" i="8"/>
  <c r="H386" i="19" s="1"/>
  <c r="E386" i="8"/>
  <c r="H386" i="8"/>
  <c r="E360" i="9" s="1"/>
  <c r="B386" i="8"/>
  <c r="C386" i="19" s="1"/>
  <c r="D386" i="8"/>
  <c r="E386" i="19" s="1"/>
  <c r="M386" i="8"/>
  <c r="I386" i="8"/>
  <c r="J386" i="8"/>
  <c r="L386" i="8"/>
  <c r="C386" i="8"/>
  <c r="X386" i="8"/>
  <c r="U386" i="8"/>
  <c r="I386" i="19" s="1"/>
  <c r="K386" i="8"/>
  <c r="C330" i="9"/>
  <c r="I356" i="8"/>
  <c r="H356" i="8"/>
  <c r="E330" i="9" s="1"/>
  <c r="X356" i="8"/>
  <c r="C356" i="8"/>
  <c r="K356" i="8"/>
  <c r="J356" i="8"/>
  <c r="E356" i="8"/>
  <c r="M356" i="8"/>
  <c r="L356" i="8"/>
  <c r="B356" i="8"/>
  <c r="C356" i="19" s="1"/>
  <c r="G356" i="8"/>
  <c r="H356" i="19" s="1"/>
  <c r="D356" i="8"/>
  <c r="E356" i="19" s="1"/>
  <c r="U356" i="8"/>
  <c r="I356" i="19" s="1"/>
  <c r="D358" i="18"/>
  <c r="E358" i="18"/>
  <c r="C358" i="18"/>
  <c r="G358" i="18"/>
  <c r="H358" i="18"/>
  <c r="A358" i="18"/>
  <c r="B358" i="18"/>
  <c r="X382" i="8"/>
  <c r="U382" i="8"/>
  <c r="I382" i="19" s="1"/>
  <c r="K382" i="8"/>
  <c r="C356" i="9"/>
  <c r="G382" i="8"/>
  <c r="H382" i="19" s="1"/>
  <c r="E382" i="8"/>
  <c r="H382" i="8"/>
  <c r="E356" i="9" s="1"/>
  <c r="B382" i="8"/>
  <c r="C382" i="19" s="1"/>
  <c r="D382" i="8"/>
  <c r="E382" i="19" s="1"/>
  <c r="M382" i="8"/>
  <c r="I382" i="8"/>
  <c r="J382" i="8"/>
  <c r="L382" i="8"/>
  <c r="C382" i="8"/>
  <c r="A380" i="18"/>
  <c r="D380" i="18"/>
  <c r="H380" i="18"/>
  <c r="G380" i="18"/>
  <c r="C380" i="18"/>
  <c r="E380" i="18"/>
  <c r="B380" i="18"/>
  <c r="J380" i="18"/>
  <c r="L380" i="18" s="1"/>
  <c r="I380" i="18"/>
  <c r="C349" i="13"/>
  <c r="H349" i="13"/>
  <c r="U349" i="13"/>
  <c r="AG349" i="13" s="1"/>
  <c r="B349" i="13"/>
  <c r="E349" i="13"/>
  <c r="V349" i="13"/>
  <c r="Z349" i="13" s="1"/>
  <c r="X349" i="14" s="1"/>
  <c r="J349" i="13"/>
  <c r="J349" i="14" s="1"/>
  <c r="G349" i="13"/>
  <c r="A349" i="13"/>
  <c r="D349" i="13"/>
  <c r="H342" i="13"/>
  <c r="J342" i="13"/>
  <c r="L342" i="13" s="1"/>
  <c r="N342" i="13" s="1"/>
  <c r="O342" i="13" s="1"/>
  <c r="Q342" i="13" s="1"/>
  <c r="B342" i="13"/>
  <c r="V342" i="13"/>
  <c r="Z342" i="13" s="1"/>
  <c r="D342" i="13"/>
  <c r="U342" i="13"/>
  <c r="AG342" i="13" s="1"/>
  <c r="C342" i="13"/>
  <c r="G342" i="13"/>
  <c r="E342" i="13"/>
  <c r="A342" i="13"/>
  <c r="B387" i="18"/>
  <c r="D387" i="18"/>
  <c r="E387" i="18"/>
  <c r="A387" i="18"/>
  <c r="I387" i="18"/>
  <c r="G387" i="18"/>
  <c r="H387" i="18"/>
  <c r="C387" i="18"/>
  <c r="J387" i="18"/>
  <c r="L387" i="18" s="1"/>
  <c r="E355" i="18"/>
  <c r="B355" i="18"/>
  <c r="A355" i="18"/>
  <c r="C355" i="18"/>
  <c r="D355" i="18"/>
  <c r="H355" i="18"/>
  <c r="G355" i="18"/>
  <c r="C370" i="13"/>
  <c r="B370" i="13"/>
  <c r="G370" i="13"/>
  <c r="J370" i="13"/>
  <c r="J370" i="14" s="1"/>
  <c r="V370" i="13"/>
  <c r="H370" i="13"/>
  <c r="E370" i="13"/>
  <c r="U370" i="13"/>
  <c r="AG370" i="13" s="1"/>
  <c r="D370" i="13"/>
  <c r="A370" i="13"/>
  <c r="J338" i="8"/>
  <c r="M338" i="8"/>
  <c r="U338" i="8"/>
  <c r="I338" i="19" s="1"/>
  <c r="X338" i="8"/>
  <c r="H338" i="8"/>
  <c r="E312" i="9" s="1"/>
  <c r="L338" i="8"/>
  <c r="B338" i="8"/>
  <c r="C338" i="19" s="1"/>
  <c r="E338" i="8"/>
  <c r="K338" i="8"/>
  <c r="D338" i="8"/>
  <c r="E338" i="19" s="1"/>
  <c r="C312" i="9"/>
  <c r="I338" i="8"/>
  <c r="C338" i="8"/>
  <c r="G338" i="8"/>
  <c r="H338" i="19" s="1"/>
  <c r="V334" i="13"/>
  <c r="Z334" i="13" s="1"/>
  <c r="X334" i="14" s="1"/>
  <c r="H334" i="13"/>
  <c r="U334" i="13"/>
  <c r="AG334" i="13" s="1"/>
  <c r="C334" i="13"/>
  <c r="G334" i="13"/>
  <c r="B334" i="13"/>
  <c r="J334" i="13"/>
  <c r="L334" i="13" s="1"/>
  <c r="A334" i="13"/>
  <c r="D334" i="13"/>
  <c r="E334" i="13"/>
  <c r="C391" i="13"/>
  <c r="H391" i="13"/>
  <c r="B391" i="13"/>
  <c r="J391" i="13"/>
  <c r="L391" i="13" s="1"/>
  <c r="D391" i="13"/>
  <c r="E391" i="13"/>
  <c r="G391" i="13"/>
  <c r="V391" i="13"/>
  <c r="AA391" i="13" s="1"/>
  <c r="AB391" i="13" s="1"/>
  <c r="A391" i="13"/>
  <c r="U391" i="13"/>
  <c r="AG391" i="13" s="1"/>
  <c r="B381" i="8"/>
  <c r="C381" i="19" s="1"/>
  <c r="K381" i="8"/>
  <c r="J381" i="8"/>
  <c r="C381" i="8"/>
  <c r="X381" i="8"/>
  <c r="I381" i="8"/>
  <c r="U381" i="8"/>
  <c r="I381" i="19" s="1"/>
  <c r="D381" i="8"/>
  <c r="E381" i="19" s="1"/>
  <c r="M381" i="8"/>
  <c r="G381" i="8"/>
  <c r="H381" i="19" s="1"/>
  <c r="C355" i="9"/>
  <c r="H381" i="8"/>
  <c r="E355" i="9" s="1"/>
  <c r="E381" i="8"/>
  <c r="L381" i="8"/>
  <c r="H350" i="14"/>
  <c r="B350" i="14"/>
  <c r="T350" i="14"/>
  <c r="U350" i="14"/>
  <c r="K350" i="14"/>
  <c r="D350" i="14"/>
  <c r="W350" i="14"/>
  <c r="A350" i="14"/>
  <c r="S350" i="14"/>
  <c r="G350" i="14"/>
  <c r="I350" i="14"/>
  <c r="C350" i="14"/>
  <c r="V350" i="14"/>
  <c r="E350" i="14"/>
  <c r="K346" i="14"/>
  <c r="B346" i="14"/>
  <c r="U346" i="14"/>
  <c r="S346" i="14"/>
  <c r="D346" i="14"/>
  <c r="T346" i="14"/>
  <c r="A346" i="14"/>
  <c r="C346" i="14"/>
  <c r="V346" i="14"/>
  <c r="G346" i="14"/>
  <c r="W346" i="14"/>
  <c r="I346" i="14"/>
  <c r="H346" i="14"/>
  <c r="E346" i="14"/>
  <c r="T371" i="14"/>
  <c r="W371" i="14"/>
  <c r="H371" i="14"/>
  <c r="K371" i="14"/>
  <c r="E371" i="14"/>
  <c r="V371" i="14"/>
  <c r="S371" i="14"/>
  <c r="B371" i="14"/>
  <c r="G371" i="14"/>
  <c r="A371" i="14"/>
  <c r="D371" i="14"/>
  <c r="U371" i="14"/>
  <c r="I371" i="14"/>
  <c r="C371" i="14"/>
  <c r="D336" i="18"/>
  <c r="E336" i="18"/>
  <c r="H336" i="18"/>
  <c r="G336" i="18"/>
  <c r="B336" i="18"/>
  <c r="J336" i="18"/>
  <c r="L336" i="18" s="1"/>
  <c r="I336" i="18"/>
  <c r="A336" i="18"/>
  <c r="C336" i="18"/>
  <c r="J351" i="18"/>
  <c r="K351" i="18" s="1"/>
  <c r="H351" i="18"/>
  <c r="B351" i="18"/>
  <c r="G351" i="18"/>
  <c r="A351" i="18"/>
  <c r="D351" i="18"/>
  <c r="E351" i="18"/>
  <c r="I351" i="18"/>
  <c r="C351" i="18"/>
  <c r="B365" i="8"/>
  <c r="C365" i="19" s="1"/>
  <c r="X365" i="8"/>
  <c r="U365" i="8"/>
  <c r="I365" i="19" s="1"/>
  <c r="C339" i="9"/>
  <c r="D365" i="8"/>
  <c r="E365" i="19" s="1"/>
  <c r="S365" i="8"/>
  <c r="K365" i="8"/>
  <c r="J365" i="8"/>
  <c r="P365" i="8"/>
  <c r="Q365" i="8"/>
  <c r="H365" i="8"/>
  <c r="E339" i="9" s="1"/>
  <c r="L365" i="8"/>
  <c r="T365" i="8"/>
  <c r="G365" i="8"/>
  <c r="N365" i="8"/>
  <c r="C365" i="8"/>
  <c r="E365" i="8"/>
  <c r="M365" i="8"/>
  <c r="R365" i="8"/>
  <c r="I365" i="8"/>
  <c r="G392" i="13"/>
  <c r="U392" i="13"/>
  <c r="AG392" i="13" s="1"/>
  <c r="E392" i="13"/>
  <c r="B392" i="13"/>
  <c r="J392" i="13"/>
  <c r="J392" i="14" s="1"/>
  <c r="V392" i="13"/>
  <c r="Z392" i="13" s="1"/>
  <c r="X392" i="14" s="1"/>
  <c r="D392" i="13"/>
  <c r="C392" i="13"/>
  <c r="A392" i="13"/>
  <c r="H392" i="13"/>
  <c r="C342" i="9"/>
  <c r="I368" i="8"/>
  <c r="H368" i="8"/>
  <c r="E342" i="9" s="1"/>
  <c r="X368" i="8"/>
  <c r="C368" i="8"/>
  <c r="K368" i="8"/>
  <c r="J368" i="8"/>
  <c r="E368" i="8"/>
  <c r="M368" i="8"/>
  <c r="L368" i="8"/>
  <c r="B368" i="8"/>
  <c r="C368" i="19" s="1"/>
  <c r="G368" i="8"/>
  <c r="H368" i="19" s="1"/>
  <c r="D368" i="8"/>
  <c r="E368" i="19" s="1"/>
  <c r="U368" i="8"/>
  <c r="I368" i="19" s="1"/>
  <c r="X390" i="8"/>
  <c r="B390" i="8"/>
  <c r="C390" i="19" s="1"/>
  <c r="E390" i="8"/>
  <c r="H390" i="8"/>
  <c r="E364" i="9" s="1"/>
  <c r="D390" i="8"/>
  <c r="E390" i="19" s="1"/>
  <c r="M390" i="8"/>
  <c r="G390" i="8"/>
  <c r="H390" i="19" s="1"/>
  <c r="I390" i="8"/>
  <c r="L390" i="8"/>
  <c r="K390" i="8"/>
  <c r="C364" i="9"/>
  <c r="C390" i="8"/>
  <c r="U390" i="8"/>
  <c r="I390" i="19" s="1"/>
  <c r="J390" i="8"/>
  <c r="A340" i="14"/>
  <c r="S340" i="14"/>
  <c r="V340" i="14"/>
  <c r="B340" i="14"/>
  <c r="H340" i="14"/>
  <c r="G340" i="14"/>
  <c r="U340" i="14"/>
  <c r="I340" i="14"/>
  <c r="E340" i="14"/>
  <c r="D340" i="14"/>
  <c r="W340" i="14"/>
  <c r="C340" i="14"/>
  <c r="T340" i="14"/>
  <c r="K340" i="14"/>
  <c r="C352" i="9"/>
  <c r="X378" i="8"/>
  <c r="J378" i="8"/>
  <c r="U378" i="8"/>
  <c r="I378" i="19" s="1"/>
  <c r="C378" i="8"/>
  <c r="B378" i="8"/>
  <c r="C378" i="19" s="1"/>
  <c r="M378" i="8"/>
  <c r="H378" i="8"/>
  <c r="E352" i="9" s="1"/>
  <c r="I378" i="8"/>
  <c r="E378" i="8"/>
  <c r="D378" i="8"/>
  <c r="E378" i="19" s="1"/>
  <c r="K378" i="8"/>
  <c r="G378" i="8"/>
  <c r="H378" i="19" s="1"/>
  <c r="L378" i="8"/>
  <c r="T367" i="14"/>
  <c r="S367" i="14"/>
  <c r="G367" i="14"/>
  <c r="K367" i="14"/>
  <c r="C367" i="14"/>
  <c r="B367" i="14"/>
  <c r="V367" i="14"/>
  <c r="U367" i="14"/>
  <c r="E367" i="14"/>
  <c r="I367" i="14"/>
  <c r="A367" i="14"/>
  <c r="W367" i="14"/>
  <c r="D367" i="14"/>
  <c r="H367" i="14"/>
  <c r="I388" i="14"/>
  <c r="C388" i="14"/>
  <c r="H388" i="14"/>
  <c r="D388" i="14"/>
  <c r="S388" i="14"/>
  <c r="G388" i="14"/>
  <c r="T388" i="14"/>
  <c r="W388" i="14"/>
  <c r="K388" i="14"/>
  <c r="E388" i="14"/>
  <c r="B388" i="14"/>
  <c r="A388" i="14"/>
  <c r="V388" i="14"/>
  <c r="U388" i="14"/>
  <c r="D332" i="18"/>
  <c r="E332" i="18"/>
  <c r="H332" i="18"/>
  <c r="G332" i="18"/>
  <c r="B332" i="18"/>
  <c r="J332" i="18"/>
  <c r="L332" i="18" s="1"/>
  <c r="I332" i="18"/>
  <c r="A332" i="18"/>
  <c r="C332" i="18"/>
  <c r="I395" i="18"/>
  <c r="C395" i="18"/>
  <c r="G395" i="18"/>
  <c r="A395" i="18"/>
  <c r="B395" i="18"/>
  <c r="J395" i="18"/>
  <c r="N395" i="18" s="1"/>
  <c r="O395" i="18" s="1"/>
  <c r="E395" i="18"/>
  <c r="D395" i="18"/>
  <c r="H395" i="18"/>
  <c r="L395" i="18"/>
  <c r="A357" i="13"/>
  <c r="C357" i="13"/>
  <c r="U357" i="13"/>
  <c r="AG357" i="13" s="1"/>
  <c r="J357" i="13"/>
  <c r="J357" i="14" s="1"/>
  <c r="V357" i="13"/>
  <c r="AA357" i="13" s="1"/>
  <c r="G357" i="13"/>
  <c r="D357" i="13"/>
  <c r="H357" i="13"/>
  <c r="B357" i="13"/>
  <c r="E357" i="13"/>
  <c r="B348" i="8"/>
  <c r="C348" i="19" s="1"/>
  <c r="G348" i="8"/>
  <c r="H348" i="19" s="1"/>
  <c r="D348" i="8"/>
  <c r="E348" i="19" s="1"/>
  <c r="U348" i="8"/>
  <c r="I348" i="19" s="1"/>
  <c r="C322" i="9"/>
  <c r="I348" i="8"/>
  <c r="H348" i="8"/>
  <c r="E322" i="9" s="1"/>
  <c r="X348" i="8"/>
  <c r="K348" i="8"/>
  <c r="J348" i="8"/>
  <c r="E348" i="8"/>
  <c r="M348" i="8"/>
  <c r="L348" i="8"/>
  <c r="I354" i="18"/>
  <c r="J354" i="18"/>
  <c r="N354" i="18" s="1"/>
  <c r="O354" i="18" s="1"/>
  <c r="Q354" i="8" s="1"/>
  <c r="B354" i="18"/>
  <c r="D354" i="18"/>
  <c r="E354" i="18"/>
  <c r="H354" i="18"/>
  <c r="C354" i="18"/>
  <c r="G354" i="18"/>
  <c r="A354" i="18"/>
  <c r="L354" i="18"/>
  <c r="B384" i="13"/>
  <c r="V384" i="13"/>
  <c r="D384" i="13"/>
  <c r="H384" i="13"/>
  <c r="G384" i="13"/>
  <c r="A384" i="13"/>
  <c r="E384" i="13"/>
  <c r="C384" i="13"/>
  <c r="U384" i="13"/>
  <c r="AG384" i="13" s="1"/>
  <c r="J384" i="13"/>
  <c r="J384" i="14" s="1"/>
  <c r="B393" i="18"/>
  <c r="A393" i="18"/>
  <c r="D393" i="18"/>
  <c r="G393" i="18"/>
  <c r="H393" i="18"/>
  <c r="C393" i="18"/>
  <c r="E393" i="18"/>
  <c r="C363" i="13"/>
  <c r="J363" i="13"/>
  <c r="L363" i="13" s="1"/>
  <c r="N363" i="13" s="1"/>
  <c r="O363" i="13" s="1"/>
  <c r="Q363" i="13" s="1"/>
  <c r="E363" i="13"/>
  <c r="G363" i="13"/>
  <c r="H363" i="13"/>
  <c r="A363" i="13"/>
  <c r="D363" i="13"/>
  <c r="V363" i="13"/>
  <c r="AA363" i="13" s="1"/>
  <c r="B363" i="13"/>
  <c r="U363" i="13"/>
  <c r="AG363" i="13" s="1"/>
  <c r="B359" i="13"/>
  <c r="V359" i="13"/>
  <c r="Z359" i="13" s="1"/>
  <c r="X359" i="14" s="1"/>
  <c r="D359" i="13"/>
  <c r="J359" i="13"/>
  <c r="J359" i="14" s="1"/>
  <c r="E359" i="13"/>
  <c r="H359" i="13"/>
  <c r="U359" i="13"/>
  <c r="AG359" i="13" s="1"/>
  <c r="A359" i="13"/>
  <c r="C359" i="13"/>
  <c r="G359" i="13"/>
  <c r="C331" i="8"/>
  <c r="C305" i="9"/>
  <c r="H331" i="8"/>
  <c r="E305" i="9" s="1"/>
  <c r="I331" i="8"/>
  <c r="G331" i="8"/>
  <c r="H331" i="19" s="1"/>
  <c r="M331" i="8"/>
  <c r="U331" i="8"/>
  <c r="I331" i="19" s="1"/>
  <c r="E331" i="8"/>
  <c r="J331" i="8"/>
  <c r="X331" i="8"/>
  <c r="K331" i="8"/>
  <c r="D331" i="8"/>
  <c r="E331" i="19" s="1"/>
  <c r="B331" i="8"/>
  <c r="C331" i="19" s="1"/>
  <c r="L331" i="8"/>
  <c r="D389" i="13"/>
  <c r="E389" i="13"/>
  <c r="H389" i="13"/>
  <c r="C389" i="13"/>
  <c r="A389" i="13"/>
  <c r="G389" i="13"/>
  <c r="B389" i="13"/>
  <c r="V389" i="13"/>
  <c r="Z389" i="13" s="1"/>
  <c r="X389" i="14" s="1"/>
  <c r="U389" i="13"/>
  <c r="AG389" i="13" s="1"/>
  <c r="J389" i="13"/>
  <c r="J389" i="14" s="1"/>
  <c r="C345" i="13"/>
  <c r="V345" i="13"/>
  <c r="Z345" i="13" s="1"/>
  <c r="X345" i="14" s="1"/>
  <c r="E345" i="13"/>
  <c r="A345" i="13"/>
  <c r="J345" i="13"/>
  <c r="J345" i="14" s="1"/>
  <c r="G345" i="13"/>
  <c r="D345" i="13"/>
  <c r="U345" i="13"/>
  <c r="AG345" i="13" s="1"/>
  <c r="B345" i="13"/>
  <c r="H345" i="13"/>
  <c r="H372" i="14"/>
  <c r="V372" i="14"/>
  <c r="C372" i="14"/>
  <c r="I372" i="14"/>
  <c r="T372" i="14"/>
  <c r="B372" i="14"/>
  <c r="G372" i="14"/>
  <c r="U372" i="14"/>
  <c r="A372" i="14"/>
  <c r="W372" i="14"/>
  <c r="S372" i="14"/>
  <c r="D372" i="14"/>
  <c r="K372" i="14"/>
  <c r="E372" i="14"/>
  <c r="D335" i="14"/>
  <c r="U335" i="14"/>
  <c r="I335" i="14"/>
  <c r="W335" i="14"/>
  <c r="H335" i="14"/>
  <c r="S335" i="14"/>
  <c r="B335" i="14"/>
  <c r="T335" i="14"/>
  <c r="C335" i="14"/>
  <c r="V335" i="14"/>
  <c r="A335" i="14"/>
  <c r="E335" i="14"/>
  <c r="G335" i="14"/>
  <c r="K335" i="14"/>
  <c r="V330" i="14"/>
  <c r="I330" i="14"/>
  <c r="E330" i="14"/>
  <c r="T330" i="14"/>
  <c r="U330" i="14"/>
  <c r="G330" i="14"/>
  <c r="C330" i="14"/>
  <c r="A330" i="14"/>
  <c r="B330" i="14"/>
  <c r="H330" i="14"/>
  <c r="W330" i="14"/>
  <c r="K330" i="14"/>
  <c r="S330" i="14"/>
  <c r="X330" i="14"/>
  <c r="D330" i="14"/>
  <c r="C377" i="13"/>
  <c r="V377" i="13"/>
  <c r="AA377" i="13" s="1"/>
  <c r="AB377" i="13" s="1"/>
  <c r="D377" i="13"/>
  <c r="J377" i="13"/>
  <c r="L377" i="13" s="1"/>
  <c r="M377" i="13" s="1"/>
  <c r="A377" i="13"/>
  <c r="U377" i="13"/>
  <c r="AG377" i="13" s="1"/>
  <c r="G377" i="13"/>
  <c r="B377" i="13"/>
  <c r="E377" i="13"/>
  <c r="H377" i="13"/>
  <c r="C373" i="18"/>
  <c r="E373" i="18"/>
  <c r="G373" i="18"/>
  <c r="B373" i="18"/>
  <c r="A373" i="18"/>
  <c r="D373" i="18"/>
  <c r="H373" i="18"/>
  <c r="A362" i="18"/>
  <c r="C362" i="18"/>
  <c r="D362" i="18"/>
  <c r="E362" i="18"/>
  <c r="H362" i="18"/>
  <c r="G362" i="18"/>
  <c r="B362" i="18"/>
  <c r="J362" i="18"/>
  <c r="L362" i="18" s="1"/>
  <c r="I362" i="18"/>
  <c r="G376" i="18"/>
  <c r="D376" i="18"/>
  <c r="B376" i="18"/>
  <c r="C376" i="18"/>
  <c r="A376" i="18"/>
  <c r="H376" i="18"/>
  <c r="E376" i="18"/>
  <c r="D337" i="14"/>
  <c r="B337" i="14"/>
  <c r="H337" i="14"/>
  <c r="T337" i="14"/>
  <c r="S337" i="14"/>
  <c r="V337" i="14"/>
  <c r="W337" i="14"/>
  <c r="E337" i="14"/>
  <c r="U337" i="14"/>
  <c r="C337" i="14"/>
  <c r="A337" i="14"/>
  <c r="G337" i="14"/>
  <c r="I337" i="14"/>
  <c r="K337" i="14"/>
  <c r="D364" i="8"/>
  <c r="E364" i="19" s="1"/>
  <c r="U364" i="8"/>
  <c r="I364" i="19" s="1"/>
  <c r="G364" i="8"/>
  <c r="H364" i="19" s="1"/>
  <c r="H364" i="8"/>
  <c r="E338" i="9" s="1"/>
  <c r="X364" i="8"/>
  <c r="I364" i="8"/>
  <c r="B364" i="8"/>
  <c r="C364" i="19" s="1"/>
  <c r="J364" i="8"/>
  <c r="C364" i="8"/>
  <c r="K364" i="8"/>
  <c r="C338" i="9"/>
  <c r="L364" i="8"/>
  <c r="E364" i="8"/>
  <c r="M364" i="8"/>
  <c r="X361" i="8"/>
  <c r="G361" i="8"/>
  <c r="H361" i="8"/>
  <c r="E335" i="9" s="1"/>
  <c r="D361" i="8"/>
  <c r="E361" i="19" s="1"/>
  <c r="Q361" i="8"/>
  <c r="U361" i="8"/>
  <c r="I361" i="19" s="1"/>
  <c r="S361" i="8"/>
  <c r="C335" i="9"/>
  <c r="R361" i="8"/>
  <c r="C361" i="8"/>
  <c r="E361" i="8"/>
  <c r="I361" i="8"/>
  <c r="B361" i="8"/>
  <c r="C361" i="19" s="1"/>
  <c r="N361" i="8"/>
  <c r="L361" i="8"/>
  <c r="K361" i="8"/>
  <c r="T361" i="8"/>
  <c r="M361" i="8"/>
  <c r="P361" i="8"/>
  <c r="J361" i="8"/>
  <c r="H360" i="8"/>
  <c r="E334" i="9" s="1"/>
  <c r="X360" i="8"/>
  <c r="I360" i="8"/>
  <c r="B360" i="8"/>
  <c r="C360" i="19" s="1"/>
  <c r="J360" i="8"/>
  <c r="C360" i="8"/>
  <c r="K360" i="8"/>
  <c r="C334" i="9"/>
  <c r="L360" i="8"/>
  <c r="E360" i="8"/>
  <c r="M360" i="8"/>
  <c r="D360" i="8"/>
  <c r="E360" i="19" s="1"/>
  <c r="U360" i="8"/>
  <c r="I360" i="19" s="1"/>
  <c r="G360" i="8"/>
  <c r="H360" i="19" s="1"/>
  <c r="H333" i="13"/>
  <c r="B333" i="13"/>
  <c r="G333" i="13"/>
  <c r="A333" i="13"/>
  <c r="V333" i="13"/>
  <c r="Z333" i="13" s="1"/>
  <c r="X333" i="14" s="1"/>
  <c r="U333" i="13"/>
  <c r="AG333" i="13" s="1"/>
  <c r="E333" i="13"/>
  <c r="D333" i="13"/>
  <c r="J333" i="13"/>
  <c r="J333" i="14" s="1"/>
  <c r="C333" i="13"/>
  <c r="H375" i="8"/>
  <c r="E349" i="9" s="1"/>
  <c r="B375" i="8"/>
  <c r="C375" i="19" s="1"/>
  <c r="I375" i="8"/>
  <c r="E375" i="8"/>
  <c r="X375" i="8"/>
  <c r="U375" i="8"/>
  <c r="I375" i="19" s="1"/>
  <c r="C349" i="9"/>
  <c r="D375" i="8"/>
  <c r="E375" i="19" s="1"/>
  <c r="K375" i="8"/>
  <c r="G375" i="8"/>
  <c r="H375" i="19" s="1"/>
  <c r="M375" i="8"/>
  <c r="C375" i="8"/>
  <c r="L375" i="8"/>
  <c r="J375" i="8"/>
  <c r="A366" i="18"/>
  <c r="C366" i="18"/>
  <c r="D366" i="18"/>
  <c r="E366" i="18"/>
  <c r="H366" i="18"/>
  <c r="G366" i="18"/>
  <c r="B366" i="18"/>
  <c r="J366" i="18"/>
  <c r="L366" i="18" s="1"/>
  <c r="I366" i="18"/>
  <c r="G385" i="14"/>
  <c r="K385" i="14"/>
  <c r="H385" i="14"/>
  <c r="I385" i="14"/>
  <c r="A385" i="14"/>
  <c r="D385" i="14"/>
  <c r="V385" i="14"/>
  <c r="S385" i="14"/>
  <c r="B385" i="14"/>
  <c r="W385" i="14"/>
  <c r="T385" i="14"/>
  <c r="U385" i="14"/>
  <c r="C385" i="14"/>
  <c r="E385" i="14"/>
  <c r="A341" i="14"/>
  <c r="D341" i="14"/>
  <c r="T341" i="14"/>
  <c r="K341" i="14"/>
  <c r="U341" i="14"/>
  <c r="I341" i="14"/>
  <c r="G341" i="14"/>
  <c r="W341" i="14"/>
  <c r="S341" i="14"/>
  <c r="E341" i="14"/>
  <c r="C341" i="14"/>
  <c r="V341" i="14"/>
  <c r="B341" i="14"/>
  <c r="H341" i="14"/>
  <c r="X394" i="8"/>
  <c r="U394" i="8"/>
  <c r="I394" i="19" s="1"/>
  <c r="I394" i="8"/>
  <c r="B394" i="8"/>
  <c r="C394" i="19" s="1"/>
  <c r="G394" i="8"/>
  <c r="H394" i="19" s="1"/>
  <c r="J394" i="8"/>
  <c r="D394" i="8"/>
  <c r="E394" i="19" s="1"/>
  <c r="C368" i="9"/>
  <c r="E394" i="8"/>
  <c r="H394" i="8"/>
  <c r="E368" i="9" s="1"/>
  <c r="C394" i="8"/>
  <c r="K394" i="8"/>
  <c r="M394" i="8"/>
  <c r="L394" i="8"/>
  <c r="I369" i="8"/>
  <c r="M369" i="8"/>
  <c r="H369" i="8"/>
  <c r="E343" i="9" s="1"/>
  <c r="J369" i="8"/>
  <c r="L369" i="8"/>
  <c r="B369" i="8"/>
  <c r="C369" i="19" s="1"/>
  <c r="K369" i="8"/>
  <c r="U369" i="8"/>
  <c r="I369" i="19" s="1"/>
  <c r="E369" i="8"/>
  <c r="C343" i="9"/>
  <c r="X369" i="8"/>
  <c r="G369" i="8"/>
  <c r="H369" i="19" s="1"/>
  <c r="C369" i="8"/>
  <c r="D369" i="8"/>
  <c r="E369" i="19" s="1"/>
  <c r="C347" i="13"/>
  <c r="E347" i="13"/>
  <c r="D347" i="13"/>
  <c r="G347" i="13"/>
  <c r="U347" i="13"/>
  <c r="AG347" i="13" s="1"/>
  <c r="V347" i="13"/>
  <c r="Z347" i="13" s="1"/>
  <c r="X347" i="14" s="1"/>
  <c r="J347" i="13"/>
  <c r="L347" i="13" s="1"/>
  <c r="H347" i="13"/>
  <c r="B347" i="13"/>
  <c r="A347" i="13"/>
  <c r="H353" i="13"/>
  <c r="S353" i="13"/>
  <c r="E353" i="13"/>
  <c r="O353" i="13"/>
  <c r="Q353" i="13"/>
  <c r="B353" i="13"/>
  <c r="L353" i="13"/>
  <c r="U353" i="13"/>
  <c r="AG353" i="13" s="1"/>
  <c r="G353" i="13"/>
  <c r="R353" i="13"/>
  <c r="D353" i="13"/>
  <c r="C353" i="13"/>
  <c r="A353" i="13"/>
  <c r="N353" i="13"/>
  <c r="AE353" i="13"/>
  <c r="J353" i="13"/>
  <c r="T353" i="13"/>
  <c r="M353" i="13"/>
  <c r="V353" i="13"/>
  <c r="Z353" i="13" s="1"/>
  <c r="U379" i="13"/>
  <c r="AG379" i="13" s="1"/>
  <c r="G379" i="13"/>
  <c r="D379" i="13"/>
  <c r="B379" i="13"/>
  <c r="V379" i="13"/>
  <c r="AA379" i="13" s="1"/>
  <c r="E379" i="13"/>
  <c r="A379" i="13"/>
  <c r="H379" i="13"/>
  <c r="J379" i="13"/>
  <c r="J379" i="14" s="1"/>
  <c r="C379" i="13"/>
  <c r="D344" i="8"/>
  <c r="E344" i="19" s="1"/>
  <c r="U344" i="8"/>
  <c r="I344" i="19" s="1"/>
  <c r="G344" i="8"/>
  <c r="H344" i="19" s="1"/>
  <c r="H344" i="8"/>
  <c r="E318" i="9" s="1"/>
  <c r="X344" i="8"/>
  <c r="I344" i="8"/>
  <c r="B344" i="8"/>
  <c r="C344" i="19" s="1"/>
  <c r="J344" i="8"/>
  <c r="C344" i="8"/>
  <c r="K344" i="8"/>
  <c r="C318" i="9"/>
  <c r="L344" i="8"/>
  <c r="E344" i="8"/>
  <c r="M344" i="8"/>
  <c r="U343" i="13"/>
  <c r="AG343" i="13" s="1"/>
  <c r="B343" i="13"/>
  <c r="E343" i="13"/>
  <c r="H343" i="13"/>
  <c r="G343" i="13"/>
  <c r="V343" i="13"/>
  <c r="Z343" i="13" s="1"/>
  <c r="X343" i="14" s="1"/>
  <c r="D343" i="13"/>
  <c r="C343" i="13"/>
  <c r="J343" i="13"/>
  <c r="L343" i="13" s="1"/>
  <c r="M343" i="13" s="1"/>
  <c r="A343" i="13"/>
  <c r="E352" i="8"/>
  <c r="M352" i="8"/>
  <c r="L352" i="8"/>
  <c r="B352" i="8"/>
  <c r="C352" i="19" s="1"/>
  <c r="G352" i="8"/>
  <c r="H352" i="19" s="1"/>
  <c r="D352" i="8"/>
  <c r="E352" i="19" s="1"/>
  <c r="U352" i="8"/>
  <c r="I352" i="19" s="1"/>
  <c r="C326" i="9"/>
  <c r="I352" i="8"/>
  <c r="H352" i="8"/>
  <c r="E326" i="9" s="1"/>
  <c r="X352" i="8"/>
  <c r="C352" i="8"/>
  <c r="K352" i="8"/>
  <c r="J352" i="8"/>
  <c r="A374" i="18"/>
  <c r="C374" i="18"/>
  <c r="D374" i="18"/>
  <c r="E374" i="18"/>
  <c r="H374" i="18"/>
  <c r="G374" i="18"/>
  <c r="B374" i="18"/>
  <c r="E339" i="13"/>
  <c r="A339" i="13"/>
  <c r="G339" i="13"/>
  <c r="D339" i="13"/>
  <c r="U339" i="13"/>
  <c r="AG339" i="13" s="1"/>
  <c r="V339" i="13"/>
  <c r="Z339" i="13" s="1"/>
  <c r="X339" i="14" s="1"/>
  <c r="B339" i="13"/>
  <c r="J339" i="13"/>
  <c r="J339" i="14" s="1"/>
  <c r="H339" i="13"/>
  <c r="C339" i="13"/>
  <c r="A1" i="13"/>
  <c r="L30" i="8"/>
  <c r="K30" i="8"/>
  <c r="C4" i="9"/>
  <c r="D4" i="9"/>
  <c r="E4" i="9"/>
  <c r="B4" i="9"/>
  <c r="I30" i="8"/>
  <c r="E501" i="8"/>
  <c r="B475" i="9" s="1"/>
  <c r="A501" i="8"/>
  <c r="A475" i="9" s="1"/>
  <c r="D333" i="19" l="1"/>
  <c r="AH333" i="8"/>
  <c r="AE333" i="8"/>
  <c r="AF333" i="8"/>
  <c r="AG333" i="8"/>
  <c r="D377" i="19"/>
  <c r="AH377" i="8"/>
  <c r="AE377" i="8"/>
  <c r="AF377" i="8"/>
  <c r="AG377" i="8"/>
  <c r="D349" i="19"/>
  <c r="AH349" i="8"/>
  <c r="AE349" i="8"/>
  <c r="AF349" i="8"/>
  <c r="AG349" i="8"/>
  <c r="D339" i="19"/>
  <c r="AH339" i="8"/>
  <c r="AE339" i="8"/>
  <c r="AF339" i="8"/>
  <c r="AG339" i="8"/>
  <c r="D385" i="19"/>
  <c r="AH385" i="8"/>
  <c r="AE385" i="8"/>
  <c r="AF385" i="8"/>
  <c r="AG385" i="8"/>
  <c r="D345" i="19"/>
  <c r="AH345" i="8"/>
  <c r="AE345" i="8"/>
  <c r="AF345" i="8"/>
  <c r="AG345" i="8"/>
  <c r="D403" i="19"/>
  <c r="AF403" i="8"/>
  <c r="AH403" i="8"/>
  <c r="AG403" i="8"/>
  <c r="AE403" i="8"/>
  <c r="D378" i="19"/>
  <c r="AH378" i="8"/>
  <c r="AE378" i="8"/>
  <c r="AF378" i="8"/>
  <c r="AG378" i="8"/>
  <c r="D382" i="19"/>
  <c r="AH382" i="8"/>
  <c r="AE382" i="8"/>
  <c r="AF382" i="8"/>
  <c r="AG382" i="8"/>
  <c r="D383" i="19"/>
  <c r="AH383" i="8"/>
  <c r="AE383" i="8"/>
  <c r="AF383" i="8"/>
  <c r="AG383" i="8"/>
  <c r="D336" i="19"/>
  <c r="AH336" i="8"/>
  <c r="AE336" i="8"/>
  <c r="AF336" i="8"/>
  <c r="AG336" i="8"/>
  <c r="D337" i="19"/>
  <c r="AH337" i="8"/>
  <c r="AE337" i="8"/>
  <c r="AF337" i="8"/>
  <c r="AG337" i="8"/>
  <c r="D404" i="19"/>
  <c r="AF404" i="8"/>
  <c r="AG404" i="8"/>
  <c r="AH404" i="8"/>
  <c r="AE404" i="8"/>
  <c r="D344" i="19"/>
  <c r="AH344" i="8"/>
  <c r="AE344" i="8"/>
  <c r="AF344" i="8"/>
  <c r="AG344" i="8"/>
  <c r="D364" i="19"/>
  <c r="AH364" i="8"/>
  <c r="AE364" i="8"/>
  <c r="AF364" i="8"/>
  <c r="AG364" i="8"/>
  <c r="D331" i="19"/>
  <c r="AH331" i="8"/>
  <c r="AE331" i="8"/>
  <c r="AF331" i="8"/>
  <c r="AG331" i="8"/>
  <c r="D390" i="19"/>
  <c r="AF390" i="8"/>
  <c r="AG390" i="8"/>
  <c r="AH390" i="8"/>
  <c r="AE390" i="8"/>
  <c r="D365" i="19"/>
  <c r="AH365" i="8"/>
  <c r="AE365" i="8"/>
  <c r="AF365" i="8"/>
  <c r="AG365" i="8"/>
  <c r="D363" i="19"/>
  <c r="AH363" i="8"/>
  <c r="AE363" i="8"/>
  <c r="AF363" i="8"/>
  <c r="AG363" i="8"/>
  <c r="D384" i="19"/>
  <c r="AH384" i="8"/>
  <c r="AE384" i="8"/>
  <c r="AF384" i="8"/>
  <c r="AG384" i="8"/>
  <c r="D367" i="19"/>
  <c r="AH367" i="8"/>
  <c r="AE367" i="8"/>
  <c r="AF367" i="8"/>
  <c r="AG367" i="8"/>
  <c r="D334" i="19"/>
  <c r="AH334" i="8"/>
  <c r="AE334" i="8"/>
  <c r="AF334" i="8"/>
  <c r="AG334" i="8"/>
  <c r="D342" i="19"/>
  <c r="AH342" i="8"/>
  <c r="AE342" i="8"/>
  <c r="AF342" i="8"/>
  <c r="AG342" i="8"/>
  <c r="D366" i="19"/>
  <c r="AH366" i="8"/>
  <c r="AE366" i="8"/>
  <c r="AF366" i="8"/>
  <c r="AG366" i="8"/>
  <c r="D358" i="19"/>
  <c r="AH358" i="8"/>
  <c r="AE358" i="8"/>
  <c r="AF358" i="8"/>
  <c r="AG358" i="8"/>
  <c r="D379" i="19"/>
  <c r="AH379" i="8"/>
  <c r="AE379" i="8"/>
  <c r="AF379" i="8"/>
  <c r="AG379" i="8"/>
  <c r="D388" i="19"/>
  <c r="AF388" i="8"/>
  <c r="AG388" i="8"/>
  <c r="AH388" i="8"/>
  <c r="AE388" i="8"/>
  <c r="D393" i="19"/>
  <c r="AF393" i="8"/>
  <c r="AH393" i="8"/>
  <c r="AG393" i="8"/>
  <c r="AE393" i="8"/>
  <c r="D371" i="19"/>
  <c r="AH371" i="8"/>
  <c r="AE371" i="8"/>
  <c r="AF371" i="8"/>
  <c r="AG371" i="8"/>
  <c r="D348" i="19"/>
  <c r="AH348" i="8"/>
  <c r="AE348" i="8"/>
  <c r="AF348" i="8"/>
  <c r="AG348" i="8"/>
  <c r="D401" i="19"/>
  <c r="AF401" i="8"/>
  <c r="AH401" i="8"/>
  <c r="AG401" i="8"/>
  <c r="AE401" i="8"/>
  <c r="D397" i="19"/>
  <c r="AF397" i="8"/>
  <c r="AG397" i="8"/>
  <c r="AH397" i="8"/>
  <c r="AE397" i="8"/>
  <c r="D406" i="19"/>
  <c r="AF406" i="8"/>
  <c r="AG406" i="8"/>
  <c r="AH406" i="8"/>
  <c r="AE406" i="8"/>
  <c r="D381" i="19"/>
  <c r="AH381" i="8"/>
  <c r="AE381" i="8"/>
  <c r="AF381" i="8"/>
  <c r="AG381" i="8"/>
  <c r="D395" i="19"/>
  <c r="AF395" i="8"/>
  <c r="AG395" i="8"/>
  <c r="AH395" i="8"/>
  <c r="AE395" i="8"/>
  <c r="D370" i="19"/>
  <c r="AH370" i="8"/>
  <c r="AE370" i="8"/>
  <c r="AF370" i="8"/>
  <c r="AG370" i="8"/>
  <c r="D359" i="19"/>
  <c r="AH359" i="8"/>
  <c r="AE359" i="8"/>
  <c r="AF359" i="8"/>
  <c r="AG359" i="8"/>
  <c r="D400" i="19"/>
  <c r="AF400" i="8"/>
  <c r="AH400" i="8"/>
  <c r="AG400" i="8"/>
  <c r="AE400" i="8"/>
  <c r="D375" i="19"/>
  <c r="AH375" i="8"/>
  <c r="AE375" i="8"/>
  <c r="AF375" i="8"/>
  <c r="AG375" i="8"/>
  <c r="D338" i="19"/>
  <c r="AH338" i="8"/>
  <c r="AE338" i="8"/>
  <c r="AF338" i="8"/>
  <c r="AG338" i="8"/>
  <c r="D346" i="19"/>
  <c r="AH346" i="8"/>
  <c r="AE346" i="8"/>
  <c r="AF346" i="8"/>
  <c r="AG346" i="8"/>
  <c r="D391" i="19"/>
  <c r="AF391" i="8"/>
  <c r="AH391" i="8"/>
  <c r="AG391" i="8"/>
  <c r="AE391" i="8"/>
  <c r="D380" i="19"/>
  <c r="AH380" i="8"/>
  <c r="AE380" i="8"/>
  <c r="AF380" i="8"/>
  <c r="AG380" i="8"/>
  <c r="D347" i="19"/>
  <c r="AH347" i="8"/>
  <c r="AE347" i="8"/>
  <c r="AF347" i="8"/>
  <c r="AG347" i="8"/>
  <c r="D362" i="19"/>
  <c r="AH362" i="8"/>
  <c r="AE362" i="8"/>
  <c r="AF362" i="8"/>
  <c r="AG362" i="8"/>
  <c r="D341" i="19"/>
  <c r="AH341" i="8"/>
  <c r="AE341" i="8"/>
  <c r="AF341" i="8"/>
  <c r="AG341" i="8"/>
  <c r="D330" i="19"/>
  <c r="AH330" i="8"/>
  <c r="AE330" i="8"/>
  <c r="AF330" i="8"/>
  <c r="AG330" i="8"/>
  <c r="D335" i="19"/>
  <c r="AH335" i="8"/>
  <c r="AE335" i="8"/>
  <c r="AF335" i="8"/>
  <c r="AG335" i="8"/>
  <c r="D357" i="19"/>
  <c r="AH357" i="8"/>
  <c r="AE357" i="8"/>
  <c r="AF357" i="8"/>
  <c r="AG357" i="8"/>
  <c r="D351" i="19"/>
  <c r="AH351" i="8"/>
  <c r="AE351" i="8"/>
  <c r="AF351" i="8"/>
  <c r="AG351" i="8"/>
  <c r="D350" i="19"/>
  <c r="AH350" i="8"/>
  <c r="AE350" i="8"/>
  <c r="AF350" i="8"/>
  <c r="AG350" i="8"/>
  <c r="D396" i="19"/>
  <c r="AF396" i="8"/>
  <c r="AH396" i="8"/>
  <c r="AG396" i="8"/>
  <c r="AE396" i="8"/>
  <c r="D407" i="19"/>
  <c r="AF407" i="8"/>
  <c r="AH407" i="8"/>
  <c r="AG407" i="8"/>
  <c r="AE407" i="8"/>
  <c r="D352" i="19"/>
  <c r="AH352" i="8"/>
  <c r="AE352" i="8"/>
  <c r="AF352" i="8"/>
  <c r="AG352" i="8"/>
  <c r="D369" i="19"/>
  <c r="AH369" i="8"/>
  <c r="AE369" i="8"/>
  <c r="AF369" i="8"/>
  <c r="AG369" i="8"/>
  <c r="D394" i="19"/>
  <c r="AF394" i="8"/>
  <c r="AH394" i="8"/>
  <c r="AG394" i="8"/>
  <c r="AE394" i="8"/>
  <c r="D360" i="19"/>
  <c r="AH360" i="8"/>
  <c r="AE360" i="8"/>
  <c r="AF360" i="8"/>
  <c r="AG360" i="8"/>
  <c r="D361" i="19"/>
  <c r="AH361" i="8"/>
  <c r="AE361" i="8"/>
  <c r="AF361" i="8"/>
  <c r="AG361" i="8"/>
  <c r="D368" i="19"/>
  <c r="AH368" i="8"/>
  <c r="AE368" i="8"/>
  <c r="AF368" i="8"/>
  <c r="AG368" i="8"/>
  <c r="D356" i="19"/>
  <c r="AH356" i="8"/>
  <c r="AE356" i="8"/>
  <c r="AF356" i="8"/>
  <c r="AG356" i="8"/>
  <c r="D386" i="19"/>
  <c r="AH386" i="8"/>
  <c r="AE386" i="8"/>
  <c r="AF386" i="8"/>
  <c r="AG386" i="8"/>
  <c r="D389" i="19"/>
  <c r="AF389" i="8"/>
  <c r="AH389" i="8"/>
  <c r="AG389" i="8"/>
  <c r="AE389" i="8"/>
  <c r="D374" i="19"/>
  <c r="AH374" i="8"/>
  <c r="AE374" i="8"/>
  <c r="AF374" i="8"/>
  <c r="AG374" i="8"/>
  <c r="D343" i="19"/>
  <c r="AH343" i="8"/>
  <c r="AE343" i="8"/>
  <c r="AF343" i="8"/>
  <c r="AG343" i="8"/>
  <c r="D353" i="19"/>
  <c r="AH353" i="8"/>
  <c r="AE353" i="8"/>
  <c r="AF353" i="8"/>
  <c r="AG353" i="8"/>
  <c r="D372" i="19"/>
  <c r="AH372" i="8"/>
  <c r="AE372" i="8"/>
  <c r="AF372" i="8"/>
  <c r="AG372" i="8"/>
  <c r="D340" i="19"/>
  <c r="AH340" i="8"/>
  <c r="AE340" i="8"/>
  <c r="AF340" i="8"/>
  <c r="AG340" i="8"/>
  <c r="D392" i="19"/>
  <c r="AF392" i="8"/>
  <c r="AG392" i="8"/>
  <c r="AH392" i="8"/>
  <c r="AE392" i="8"/>
  <c r="D354" i="19"/>
  <c r="AH354" i="8"/>
  <c r="AE354" i="8"/>
  <c r="AF354" i="8"/>
  <c r="AG354" i="8"/>
  <c r="D355" i="19"/>
  <c r="AH355" i="8"/>
  <c r="AE355" i="8"/>
  <c r="AF355" i="8"/>
  <c r="AG355" i="8"/>
  <c r="D376" i="19"/>
  <c r="AH376" i="8"/>
  <c r="AE376" i="8"/>
  <c r="AF376" i="8"/>
  <c r="AG376" i="8"/>
  <c r="D387" i="19"/>
  <c r="AH387" i="8"/>
  <c r="AE387" i="8"/>
  <c r="AG387" i="8"/>
  <c r="AF387" i="8"/>
  <c r="D373" i="19"/>
  <c r="AH373" i="8"/>
  <c r="AE373" i="8"/>
  <c r="AF373" i="8"/>
  <c r="AG373" i="8"/>
  <c r="D332" i="19"/>
  <c r="AH332" i="8"/>
  <c r="AE332" i="8"/>
  <c r="AF332" i="8"/>
  <c r="AG332" i="8"/>
  <c r="D398" i="19"/>
  <c r="AF398" i="8"/>
  <c r="AH398" i="8"/>
  <c r="AG398" i="8"/>
  <c r="AE398" i="8"/>
  <c r="D399" i="19"/>
  <c r="AF399" i="8"/>
  <c r="AG399" i="8"/>
  <c r="AH399" i="8"/>
  <c r="AE399" i="8"/>
  <c r="D405" i="19"/>
  <c r="AF405" i="8"/>
  <c r="AH405" i="8"/>
  <c r="AG405" i="8"/>
  <c r="AE405" i="8"/>
  <c r="D402" i="19"/>
  <c r="AF402" i="8"/>
  <c r="AG402" i="8"/>
  <c r="AH402" i="8"/>
  <c r="AE402" i="8"/>
  <c r="X396" i="14"/>
  <c r="AA396" i="13"/>
  <c r="R400" i="13"/>
  <c r="D371" i="9"/>
  <c r="H397" i="19"/>
  <c r="Y397" i="8"/>
  <c r="Z397" i="8" s="1"/>
  <c r="AB397" i="8" s="1"/>
  <c r="AB400" i="13"/>
  <c r="Y400" i="14"/>
  <c r="Z405" i="14"/>
  <c r="AC405" i="13"/>
  <c r="AA405" i="14" s="1"/>
  <c r="H396" i="19"/>
  <c r="Y396" i="8"/>
  <c r="Z396" i="8" s="1"/>
  <c r="AB396" i="8" s="1"/>
  <c r="D370" i="9"/>
  <c r="Z401" i="14"/>
  <c r="AC401" i="13"/>
  <c r="AA401" i="14" s="1"/>
  <c r="B379" i="9"/>
  <c r="F405" i="19"/>
  <c r="AC399" i="13"/>
  <c r="AA399" i="14" s="1"/>
  <c r="Z399" i="14"/>
  <c r="L407" i="14"/>
  <c r="M407" i="14" s="1"/>
  <c r="N407" i="14" s="1"/>
  <c r="O407" i="14" s="1"/>
  <c r="P407" i="14" s="1"/>
  <c r="R396" i="13"/>
  <c r="L400" i="18"/>
  <c r="B378" i="9"/>
  <c r="F404" i="19"/>
  <c r="J405" i="14"/>
  <c r="L405" i="14" s="1"/>
  <c r="M405" i="14" s="1"/>
  <c r="N405" i="14" s="1"/>
  <c r="O405" i="14" s="1"/>
  <c r="P405" i="14" s="1"/>
  <c r="Y399" i="14"/>
  <c r="J403" i="14"/>
  <c r="L403" i="14" s="1"/>
  <c r="M403" i="14" s="1"/>
  <c r="N403" i="14" s="1"/>
  <c r="O403" i="14" s="1"/>
  <c r="P403" i="14" s="1"/>
  <c r="H398" i="19"/>
  <c r="D372" i="9"/>
  <c r="Y398" i="8"/>
  <c r="Z398" i="8" s="1"/>
  <c r="AB398" i="8" s="1"/>
  <c r="B375" i="9"/>
  <c r="F401" i="19"/>
  <c r="M400" i="13"/>
  <c r="AA404" i="13"/>
  <c r="M405" i="13"/>
  <c r="K403" i="18"/>
  <c r="L398" i="18"/>
  <c r="F400" i="19"/>
  <c r="B374" i="9"/>
  <c r="H400" i="19"/>
  <c r="Y400" i="8"/>
  <c r="Z400" i="8" s="1"/>
  <c r="AB400" i="8" s="1"/>
  <c r="D374" i="9"/>
  <c r="B381" i="9"/>
  <c r="F407" i="19"/>
  <c r="H407" i="19"/>
  <c r="D381" i="9"/>
  <c r="Y407" i="8"/>
  <c r="Z407" i="8" s="1"/>
  <c r="AB407" i="8" s="1"/>
  <c r="H405" i="19"/>
  <c r="D379" i="9"/>
  <c r="Y405" i="8"/>
  <c r="Z405" i="8" s="1"/>
  <c r="AB405" i="8" s="1"/>
  <c r="M396" i="18"/>
  <c r="B377" i="9"/>
  <c r="F403" i="19"/>
  <c r="J400" i="14"/>
  <c r="L400" i="14" s="1"/>
  <c r="M400" i="14" s="1"/>
  <c r="N400" i="14" s="1"/>
  <c r="O400" i="14" s="1"/>
  <c r="P400" i="14" s="1"/>
  <c r="AA406" i="13"/>
  <c r="N405" i="18"/>
  <c r="O405" i="18" s="1"/>
  <c r="Q405" i="8" s="1"/>
  <c r="L399" i="18"/>
  <c r="Y401" i="14"/>
  <c r="N406" i="18"/>
  <c r="O406" i="18" s="1"/>
  <c r="Q406" i="8" s="1"/>
  <c r="Z407" i="13"/>
  <c r="X407" i="14" s="1"/>
  <c r="Y405" i="14"/>
  <c r="H402" i="19"/>
  <c r="Y402" i="8"/>
  <c r="Z402" i="8" s="1"/>
  <c r="AB402" i="8" s="1"/>
  <c r="D376" i="9"/>
  <c r="F402" i="19"/>
  <c r="B376" i="9"/>
  <c r="H401" i="19"/>
  <c r="Y401" i="8"/>
  <c r="Z401" i="8" s="1"/>
  <c r="AB401" i="8" s="1"/>
  <c r="D375" i="9"/>
  <c r="F397" i="19"/>
  <c r="B371" i="9"/>
  <c r="F396" i="19"/>
  <c r="B370" i="9"/>
  <c r="H399" i="19"/>
  <c r="B399" i="19" s="1"/>
  <c r="Y399" i="8"/>
  <c r="Z399" i="8" s="1"/>
  <c r="AB399" i="8" s="1"/>
  <c r="D373" i="9"/>
  <c r="F399" i="19"/>
  <c r="B373" i="9"/>
  <c r="N398" i="18"/>
  <c r="O398" i="18" s="1"/>
  <c r="Q398" i="8" s="1"/>
  <c r="B380" i="9"/>
  <c r="F406" i="19"/>
  <c r="N396" i="18"/>
  <c r="O396" i="18" s="1"/>
  <c r="Q396" i="8" s="1"/>
  <c r="AA398" i="13"/>
  <c r="L401" i="18"/>
  <c r="AB403" i="13"/>
  <c r="Y403" i="14"/>
  <c r="J398" i="14"/>
  <c r="L398" i="14" s="1"/>
  <c r="M398" i="14" s="1"/>
  <c r="N398" i="14" s="1"/>
  <c r="O398" i="14" s="1"/>
  <c r="P398" i="14" s="1"/>
  <c r="N397" i="13"/>
  <c r="O397" i="13" s="1"/>
  <c r="Q397" i="13" s="1"/>
  <c r="M397" i="13"/>
  <c r="D378" i="9"/>
  <c r="Y404" i="8"/>
  <c r="Z404" i="8" s="1"/>
  <c r="AB404" i="8" s="1"/>
  <c r="H404" i="19"/>
  <c r="J396" i="14"/>
  <c r="L396" i="14" s="1"/>
  <c r="M396" i="14" s="1"/>
  <c r="N396" i="14" s="1"/>
  <c r="O396" i="14" s="1"/>
  <c r="P396" i="14" s="1"/>
  <c r="B372" i="9"/>
  <c r="F398" i="19"/>
  <c r="N404" i="13"/>
  <c r="O404" i="13" s="1"/>
  <c r="Q404" i="13" s="1"/>
  <c r="D380" i="9"/>
  <c r="H406" i="19"/>
  <c r="Y406" i="8"/>
  <c r="Z406" i="8" s="1"/>
  <c r="AB406" i="8" s="1"/>
  <c r="L396" i="18"/>
  <c r="H403" i="19"/>
  <c r="D377" i="9"/>
  <c r="Y403" i="8"/>
  <c r="Z403" i="8" s="1"/>
  <c r="AB403" i="8" s="1"/>
  <c r="N401" i="18"/>
  <c r="O401" i="18" s="1"/>
  <c r="Q401" i="8" s="1"/>
  <c r="AC402" i="13"/>
  <c r="AA402" i="14" s="1"/>
  <c r="Z402" i="14"/>
  <c r="J401" i="14"/>
  <c r="L401" i="14" s="1"/>
  <c r="M401" i="14" s="1"/>
  <c r="N401" i="14" s="1"/>
  <c r="O401" i="14" s="1"/>
  <c r="P401" i="14" s="1"/>
  <c r="AA397" i="13"/>
  <c r="N400" i="18"/>
  <c r="O400" i="18" s="1"/>
  <c r="Q400" i="8" s="1"/>
  <c r="M406" i="18"/>
  <c r="J399" i="14"/>
  <c r="L399" i="14" s="1"/>
  <c r="M399" i="14" s="1"/>
  <c r="N399" i="14" s="1"/>
  <c r="O399" i="14" s="1"/>
  <c r="P399" i="14" s="1"/>
  <c r="L345" i="14"/>
  <c r="M345" i="14" s="1"/>
  <c r="N345" i="14" s="1"/>
  <c r="O345" i="14" s="1"/>
  <c r="P345" i="14" s="1"/>
  <c r="J373" i="14"/>
  <c r="Z407" i="14"/>
  <c r="AC407" i="13"/>
  <c r="H353" i="19"/>
  <c r="Q353" i="19" s="1"/>
  <c r="W353" i="8"/>
  <c r="X492" i="19"/>
  <c r="H361" i="19"/>
  <c r="W361" i="19" s="1"/>
  <c r="W361" i="8"/>
  <c r="H365" i="19"/>
  <c r="K365" i="19" s="1"/>
  <c r="W365" i="8"/>
  <c r="H395" i="19"/>
  <c r="Z395" i="19" s="1"/>
  <c r="W395" i="8"/>
  <c r="H366" i="19"/>
  <c r="T366" i="19" s="1"/>
  <c r="W366" i="8"/>
  <c r="B343" i="9"/>
  <c r="P343" i="9" s="1"/>
  <c r="F369" i="19"/>
  <c r="B307" i="9"/>
  <c r="P307" i="9" s="1"/>
  <c r="F333" i="19"/>
  <c r="B351" i="9"/>
  <c r="P351" i="9" s="1"/>
  <c r="F377" i="19"/>
  <c r="B344" i="9"/>
  <c r="Q344" i="9" s="1"/>
  <c r="F370" i="19"/>
  <c r="B329" i="9"/>
  <c r="P329" i="9" s="1"/>
  <c r="F355" i="19"/>
  <c r="B324" i="9"/>
  <c r="Q324" i="9" s="1"/>
  <c r="F350" i="19"/>
  <c r="B305" i="9"/>
  <c r="P305" i="9" s="1"/>
  <c r="F331" i="19"/>
  <c r="B364" i="9"/>
  <c r="P364" i="9" s="1"/>
  <c r="F390" i="19"/>
  <c r="B355" i="9"/>
  <c r="Q355" i="9" s="1"/>
  <c r="F381" i="19"/>
  <c r="B360" i="9"/>
  <c r="P360" i="9" s="1"/>
  <c r="F386" i="19"/>
  <c r="B363" i="9"/>
  <c r="Q363" i="9" s="1"/>
  <c r="F389" i="19"/>
  <c r="B365" i="9"/>
  <c r="Q365" i="9" s="1"/>
  <c r="F391" i="19"/>
  <c r="B311" i="9"/>
  <c r="P311" i="9" s="1"/>
  <c r="F337" i="19"/>
  <c r="B358" i="9"/>
  <c r="Q358" i="9" s="1"/>
  <c r="F384" i="19"/>
  <c r="B323" i="9"/>
  <c r="Q323" i="9" s="1"/>
  <c r="F349" i="19"/>
  <c r="B332" i="9"/>
  <c r="Q332" i="9" s="1"/>
  <c r="F358" i="19"/>
  <c r="B353" i="9"/>
  <c r="Q353" i="9" s="1"/>
  <c r="F379" i="19"/>
  <c r="B309" i="9"/>
  <c r="Q309" i="9" s="1"/>
  <c r="F335" i="19"/>
  <c r="B361" i="9"/>
  <c r="P361" i="9" s="1"/>
  <c r="F387" i="19"/>
  <c r="B319" i="9"/>
  <c r="P319" i="9" s="1"/>
  <c r="F345" i="19"/>
  <c r="B367" i="9"/>
  <c r="P367" i="9" s="1"/>
  <c r="F393" i="19"/>
  <c r="B306" i="9"/>
  <c r="P306" i="9" s="1"/>
  <c r="F332" i="19"/>
  <c r="B345" i="9"/>
  <c r="Q345" i="9" s="1"/>
  <c r="F371" i="19"/>
  <c r="B334" i="9"/>
  <c r="Q334" i="9" s="1"/>
  <c r="F360" i="19"/>
  <c r="B312" i="9"/>
  <c r="P312" i="9" s="1"/>
  <c r="F338" i="19"/>
  <c r="B368" i="9"/>
  <c r="Q368" i="9" s="1"/>
  <c r="F394" i="19"/>
  <c r="B349" i="9"/>
  <c r="Q349" i="9" s="1"/>
  <c r="F375" i="19"/>
  <c r="B322" i="9"/>
  <c r="Q322" i="9" s="1"/>
  <c r="F348" i="19"/>
  <c r="B352" i="9"/>
  <c r="Q352" i="9" s="1"/>
  <c r="F378" i="19"/>
  <c r="B342" i="9"/>
  <c r="Q342" i="9" s="1"/>
  <c r="F368" i="19"/>
  <c r="B330" i="9"/>
  <c r="Q330" i="9" s="1"/>
  <c r="F356" i="19"/>
  <c r="B369" i="9"/>
  <c r="P369" i="9" s="1"/>
  <c r="F395" i="19"/>
  <c r="B310" i="9"/>
  <c r="P310" i="9" s="1"/>
  <c r="F336" i="19"/>
  <c r="B354" i="9"/>
  <c r="P354" i="9" s="1"/>
  <c r="F380" i="19"/>
  <c r="B327" i="9"/>
  <c r="P327" i="9" s="1"/>
  <c r="F353" i="19"/>
  <c r="B346" i="9"/>
  <c r="Q346" i="9" s="1"/>
  <c r="F372" i="19"/>
  <c r="B341" i="9"/>
  <c r="Q341" i="9" s="1"/>
  <c r="F367" i="19"/>
  <c r="B340" i="9"/>
  <c r="Q340" i="9" s="1"/>
  <c r="F366" i="19"/>
  <c r="B336" i="9"/>
  <c r="P336" i="9" s="1"/>
  <c r="F362" i="19"/>
  <c r="B328" i="9"/>
  <c r="P328" i="9" s="1"/>
  <c r="F354" i="19"/>
  <c r="B359" i="9"/>
  <c r="P359" i="9" s="1"/>
  <c r="F385" i="19"/>
  <c r="B350" i="9"/>
  <c r="Q350" i="9" s="1"/>
  <c r="F376" i="19"/>
  <c r="B362" i="9"/>
  <c r="P362" i="9" s="1"/>
  <c r="F388" i="19"/>
  <c r="B325" i="9"/>
  <c r="Q325" i="9" s="1"/>
  <c r="F351" i="19"/>
  <c r="B347" i="9"/>
  <c r="Q347" i="9" s="1"/>
  <c r="F373" i="19"/>
  <c r="B357" i="9"/>
  <c r="Q357" i="9" s="1"/>
  <c r="F383" i="19"/>
  <c r="B317" i="9"/>
  <c r="P317" i="9" s="1"/>
  <c r="F343" i="19"/>
  <c r="B315" i="9"/>
  <c r="P315" i="9" s="1"/>
  <c r="F341" i="19"/>
  <c r="B304" i="9"/>
  <c r="Q304" i="9" s="1"/>
  <c r="F330" i="19"/>
  <c r="B333" i="9"/>
  <c r="P333" i="9" s="1"/>
  <c r="F359" i="19"/>
  <c r="B326" i="9"/>
  <c r="P326" i="9" s="1"/>
  <c r="F352" i="19"/>
  <c r="B318" i="9"/>
  <c r="Q318" i="9" s="1"/>
  <c r="F344" i="19"/>
  <c r="B335" i="9"/>
  <c r="Q335" i="9" s="1"/>
  <c r="F361" i="19"/>
  <c r="B338" i="9"/>
  <c r="Q338" i="9" s="1"/>
  <c r="F364" i="19"/>
  <c r="B339" i="9"/>
  <c r="Q339" i="9" s="1"/>
  <c r="F365" i="19"/>
  <c r="B356" i="9"/>
  <c r="P356" i="9" s="1"/>
  <c r="F382" i="19"/>
  <c r="B337" i="9"/>
  <c r="P337" i="9" s="1"/>
  <c r="F363" i="19"/>
  <c r="B320" i="9"/>
  <c r="P320" i="9" s="1"/>
  <c r="F346" i="19"/>
  <c r="B348" i="9"/>
  <c r="P348" i="9" s="1"/>
  <c r="F374" i="19"/>
  <c r="B321" i="9"/>
  <c r="P321" i="9" s="1"/>
  <c r="F347" i="19"/>
  <c r="B314" i="9"/>
  <c r="P314" i="9" s="1"/>
  <c r="F340" i="19"/>
  <c r="B366" i="9"/>
  <c r="Q366" i="9" s="1"/>
  <c r="F392" i="19"/>
  <c r="B308" i="9"/>
  <c r="Q308" i="9" s="1"/>
  <c r="F334" i="19"/>
  <c r="B316" i="9"/>
  <c r="P316" i="9" s="1"/>
  <c r="F342" i="19"/>
  <c r="B313" i="9"/>
  <c r="P313" i="9" s="1"/>
  <c r="F339" i="19"/>
  <c r="B331" i="9"/>
  <c r="P331" i="9" s="1"/>
  <c r="F357" i="19"/>
  <c r="AI367" i="19"/>
  <c r="X428" i="19"/>
  <c r="X414" i="19"/>
  <c r="AI381" i="19"/>
  <c r="B381" i="19"/>
  <c r="B382" i="19"/>
  <c r="AI382" i="19"/>
  <c r="AI360" i="19"/>
  <c r="B360" i="19"/>
  <c r="B378" i="19"/>
  <c r="AI378" i="19"/>
  <c r="T365" i="19"/>
  <c r="AI365" i="19"/>
  <c r="AI356" i="19"/>
  <c r="B356" i="19"/>
  <c r="B386" i="19"/>
  <c r="AI386" i="19"/>
  <c r="AI380" i="19"/>
  <c r="B380" i="19"/>
  <c r="AI343" i="19"/>
  <c r="B343" i="19"/>
  <c r="B333" i="19"/>
  <c r="AI333" i="19"/>
  <c r="AI384" i="19"/>
  <c r="B384" i="19"/>
  <c r="AI355" i="19"/>
  <c r="B355" i="19"/>
  <c r="B358" i="19"/>
  <c r="AI358" i="19"/>
  <c r="B341" i="19"/>
  <c r="AI341" i="19"/>
  <c r="AI385" i="19"/>
  <c r="B385" i="19"/>
  <c r="AI359" i="19"/>
  <c r="B359" i="19"/>
  <c r="B387" i="19"/>
  <c r="AI387" i="19"/>
  <c r="B373" i="19"/>
  <c r="AI373" i="19"/>
  <c r="B393" i="19"/>
  <c r="AI393" i="19"/>
  <c r="B363" i="19"/>
  <c r="AI363" i="19"/>
  <c r="B375" i="19"/>
  <c r="AI375" i="19"/>
  <c r="B348" i="19"/>
  <c r="AI348" i="19"/>
  <c r="B338" i="19"/>
  <c r="AI338" i="19"/>
  <c r="B344" i="19"/>
  <c r="AI344" i="19"/>
  <c r="AI369" i="19"/>
  <c r="B369" i="19"/>
  <c r="K361" i="19"/>
  <c r="Q361" i="19"/>
  <c r="L361" i="19"/>
  <c r="AI331" i="19"/>
  <c r="B331" i="19"/>
  <c r="B383" i="19"/>
  <c r="AI383" i="19"/>
  <c r="B389" i="19"/>
  <c r="AI389" i="19"/>
  <c r="P395" i="19"/>
  <c r="AA395" i="19"/>
  <c r="Y395" i="19"/>
  <c r="B336" i="19"/>
  <c r="AI336" i="19"/>
  <c r="B346" i="19"/>
  <c r="AI346" i="19"/>
  <c r="B347" i="19"/>
  <c r="AI347" i="19"/>
  <c r="B377" i="19"/>
  <c r="AI377" i="19"/>
  <c r="AI372" i="19"/>
  <c r="B372" i="19"/>
  <c r="B340" i="19"/>
  <c r="AI340" i="19"/>
  <c r="B370" i="19"/>
  <c r="AI370" i="19"/>
  <c r="AI342" i="19"/>
  <c r="B342" i="19"/>
  <c r="B339" i="19"/>
  <c r="AI339" i="19"/>
  <c r="Z366" i="19"/>
  <c r="W366" i="19"/>
  <c r="B366" i="19"/>
  <c r="AF366" i="19"/>
  <c r="Y366" i="19"/>
  <c r="B379" i="19"/>
  <c r="AI379" i="19"/>
  <c r="AI388" i="19"/>
  <c r="AI334" i="19"/>
  <c r="B334" i="19"/>
  <c r="AI376" i="19"/>
  <c r="B376" i="19"/>
  <c r="B330" i="19"/>
  <c r="AI330" i="19"/>
  <c r="AI335" i="19"/>
  <c r="B335" i="19"/>
  <c r="B332" i="19"/>
  <c r="AI332" i="19"/>
  <c r="X480" i="19"/>
  <c r="B394" i="19"/>
  <c r="AI394" i="19"/>
  <c r="AI364" i="19"/>
  <c r="B364" i="19"/>
  <c r="B390" i="19"/>
  <c r="AI390" i="19"/>
  <c r="AI392" i="19"/>
  <c r="B392" i="19"/>
  <c r="AI352" i="19"/>
  <c r="B352" i="19"/>
  <c r="B368" i="19"/>
  <c r="AI368" i="19"/>
  <c r="B391" i="19"/>
  <c r="AI391" i="19"/>
  <c r="B374" i="19"/>
  <c r="AI374" i="19"/>
  <c r="AI337" i="19"/>
  <c r="B337" i="19"/>
  <c r="AI349" i="19"/>
  <c r="B349" i="19"/>
  <c r="B362" i="19"/>
  <c r="AI362" i="19"/>
  <c r="B354" i="19"/>
  <c r="AI354" i="19"/>
  <c r="B357" i="19"/>
  <c r="AI357" i="19"/>
  <c r="AI351" i="19"/>
  <c r="B351" i="19"/>
  <c r="AI350" i="19"/>
  <c r="B350" i="19"/>
  <c r="AI345" i="19"/>
  <c r="B345" i="19"/>
  <c r="B371" i="19"/>
  <c r="AI371" i="19"/>
  <c r="AI395" i="8"/>
  <c r="J395" i="19"/>
  <c r="AI361" i="8"/>
  <c r="J361" i="19"/>
  <c r="AI365" i="8"/>
  <c r="J365" i="19"/>
  <c r="AI353" i="8"/>
  <c r="J353" i="19"/>
  <c r="AI366" i="8"/>
  <c r="J366" i="19"/>
  <c r="L375" i="14"/>
  <c r="M375" i="14" s="1"/>
  <c r="N375" i="14" s="1"/>
  <c r="O375" i="14" s="1"/>
  <c r="P375" i="14" s="1"/>
  <c r="Y385" i="14"/>
  <c r="L389" i="14"/>
  <c r="M389" i="14" s="1"/>
  <c r="N389" i="14" s="1"/>
  <c r="O389" i="14" s="1"/>
  <c r="P389" i="14" s="1"/>
  <c r="J388" i="14"/>
  <c r="L388" i="14" s="1"/>
  <c r="M388" i="14" s="1"/>
  <c r="N388" i="14" s="1"/>
  <c r="O388" i="14" s="1"/>
  <c r="P388" i="14" s="1"/>
  <c r="J346" i="14"/>
  <c r="L346" i="14" s="1"/>
  <c r="M346" i="14" s="1"/>
  <c r="N346" i="14" s="1"/>
  <c r="O346" i="14" s="1"/>
  <c r="P346" i="14" s="1"/>
  <c r="Y350" i="14"/>
  <c r="L370" i="14"/>
  <c r="M370" i="14" s="1"/>
  <c r="N370" i="14" s="1"/>
  <c r="O370" i="14" s="1"/>
  <c r="P370" i="14" s="1"/>
  <c r="J380" i="14"/>
  <c r="L380" i="14" s="1"/>
  <c r="M380" i="14" s="1"/>
  <c r="N380" i="14" s="1"/>
  <c r="O380" i="14" s="1"/>
  <c r="P380" i="14" s="1"/>
  <c r="J358" i="14"/>
  <c r="J338" i="14"/>
  <c r="L338" i="14" s="1"/>
  <c r="M338" i="14" s="1"/>
  <c r="N338" i="14" s="1"/>
  <c r="O338" i="14" s="1"/>
  <c r="P338" i="14" s="1"/>
  <c r="J382" i="14"/>
  <c r="J372" i="14"/>
  <c r="L372" i="14" s="1"/>
  <c r="M372" i="14" s="1"/>
  <c r="N372" i="14" s="1"/>
  <c r="O372" i="14" s="1"/>
  <c r="P372" i="14" s="1"/>
  <c r="L349" i="14"/>
  <c r="M349" i="14" s="1"/>
  <c r="N349" i="14" s="1"/>
  <c r="O349" i="14" s="1"/>
  <c r="P349" i="14" s="1"/>
  <c r="J362" i="14"/>
  <c r="L362" i="14" s="1"/>
  <c r="M362" i="14" s="1"/>
  <c r="N362" i="14" s="1"/>
  <c r="O362" i="14" s="1"/>
  <c r="P362" i="14" s="1"/>
  <c r="J354" i="14"/>
  <c r="J332" i="14"/>
  <c r="L332" i="14" s="1"/>
  <c r="M332" i="14" s="1"/>
  <c r="N332" i="14" s="1"/>
  <c r="O332" i="14" s="1"/>
  <c r="P332" i="14" s="1"/>
  <c r="N390" i="18"/>
  <c r="O390" i="18" s="1"/>
  <c r="Q390" i="8" s="1"/>
  <c r="Y358" i="14"/>
  <c r="Y360" i="14"/>
  <c r="N358" i="13"/>
  <c r="O358" i="13" s="1"/>
  <c r="Q358" i="13" s="1"/>
  <c r="N386" i="18"/>
  <c r="O386" i="18" s="1"/>
  <c r="Q386" i="8" s="1"/>
  <c r="M353" i="18"/>
  <c r="L384" i="14"/>
  <c r="M384" i="14" s="1"/>
  <c r="N384" i="14" s="1"/>
  <c r="O384" i="14" s="1"/>
  <c r="P384" i="14" s="1"/>
  <c r="L384" i="13"/>
  <c r="K390" i="18"/>
  <c r="M336" i="18"/>
  <c r="J330" i="14"/>
  <c r="L330" i="14" s="1"/>
  <c r="M330" i="14" s="1"/>
  <c r="N330" i="14" s="1"/>
  <c r="O330" i="14" s="1"/>
  <c r="P330" i="14" s="1"/>
  <c r="L331" i="14"/>
  <c r="M331" i="14" s="1"/>
  <c r="N331" i="14" s="1"/>
  <c r="O331" i="14" s="1"/>
  <c r="P331" i="14" s="1"/>
  <c r="M332" i="18"/>
  <c r="J340" i="14"/>
  <c r="L340" i="14" s="1"/>
  <c r="M340" i="14" s="1"/>
  <c r="N340" i="14" s="1"/>
  <c r="O340" i="14" s="1"/>
  <c r="P340" i="14" s="1"/>
  <c r="Z364" i="13"/>
  <c r="X364" i="14" s="1"/>
  <c r="L379" i="13"/>
  <c r="N379" i="13" s="1"/>
  <c r="O379" i="13" s="1"/>
  <c r="Q379" i="13" s="1"/>
  <c r="AA345" i="13"/>
  <c r="Y345" i="14" s="1"/>
  <c r="L348" i="14"/>
  <c r="M348" i="14" s="1"/>
  <c r="N348" i="14" s="1"/>
  <c r="O348" i="14" s="1"/>
  <c r="P348" i="14" s="1"/>
  <c r="L371" i="18"/>
  <c r="AA390" i="13"/>
  <c r="Y390" i="14" s="1"/>
  <c r="N377" i="13"/>
  <c r="O377" i="13" s="1"/>
  <c r="Q377" i="13" s="1"/>
  <c r="X383" i="14"/>
  <c r="AA383" i="13"/>
  <c r="AB383" i="13" s="1"/>
  <c r="AC383" i="13" s="1"/>
  <c r="AA383" i="14" s="1"/>
  <c r="N362" i="13"/>
  <c r="O362" i="13" s="1"/>
  <c r="Q362" i="13" s="1"/>
  <c r="M383" i="18"/>
  <c r="Z357" i="13"/>
  <c r="X357" i="14" s="1"/>
  <c r="AA392" i="13"/>
  <c r="AB392" i="13" s="1"/>
  <c r="AC392" i="13" s="1"/>
  <c r="N380" i="18"/>
  <c r="O380" i="18" s="1"/>
  <c r="Q380" i="8" s="1"/>
  <c r="M372" i="13"/>
  <c r="N332" i="18"/>
  <c r="O332" i="18" s="1"/>
  <c r="Q332" i="8" s="1"/>
  <c r="K387" i="18"/>
  <c r="AA349" i="13"/>
  <c r="AB349" i="13" s="1"/>
  <c r="AC349" i="13" s="1"/>
  <c r="M380" i="18"/>
  <c r="L385" i="13"/>
  <c r="M385" i="13" s="1"/>
  <c r="N344" i="18"/>
  <c r="O344" i="18" s="1"/>
  <c r="Q344" i="8" s="1"/>
  <c r="M345" i="18"/>
  <c r="L393" i="14"/>
  <c r="M393" i="14" s="1"/>
  <c r="N393" i="14" s="1"/>
  <c r="O393" i="14" s="1"/>
  <c r="P393" i="14" s="1"/>
  <c r="K344" i="18"/>
  <c r="M373" i="13"/>
  <c r="K381" i="18"/>
  <c r="K348" i="18"/>
  <c r="Z355" i="13"/>
  <c r="X355" i="14" s="1"/>
  <c r="K380" i="18"/>
  <c r="N382" i="18"/>
  <c r="O382" i="18" s="1"/>
  <c r="Q382" i="8" s="1"/>
  <c r="L347" i="18"/>
  <c r="K347" i="18"/>
  <c r="N333" i="18"/>
  <c r="O333" i="18" s="1"/>
  <c r="Q333" i="8" s="1"/>
  <c r="K361" i="18"/>
  <c r="K345" i="18"/>
  <c r="K331" i="18"/>
  <c r="M384" i="18"/>
  <c r="L367" i="13"/>
  <c r="N367" i="13" s="1"/>
  <c r="O367" i="13" s="1"/>
  <c r="Q367" i="13" s="1"/>
  <c r="N371" i="18"/>
  <c r="O371" i="18" s="1"/>
  <c r="Q371" i="8" s="1"/>
  <c r="N383" i="13"/>
  <c r="O383" i="13" s="1"/>
  <c r="Q383" i="13" s="1"/>
  <c r="N369" i="18"/>
  <c r="O369" i="18" s="1"/>
  <c r="Q369" i="8" s="1"/>
  <c r="M348" i="13"/>
  <c r="N348" i="13"/>
  <c r="O348" i="13" s="1"/>
  <c r="Q348" i="13" s="1"/>
  <c r="X338" i="14"/>
  <c r="AA338" i="13"/>
  <c r="Y338" i="14" s="1"/>
  <c r="L341" i="14"/>
  <c r="M341" i="14" s="1"/>
  <c r="N341" i="14" s="1"/>
  <c r="O341" i="14" s="1"/>
  <c r="P341" i="14" s="1"/>
  <c r="M362" i="18"/>
  <c r="L392" i="13"/>
  <c r="M392" i="13" s="1"/>
  <c r="AA330" i="13"/>
  <c r="Y330" i="14" s="1"/>
  <c r="N348" i="18"/>
  <c r="O348" i="18" s="1"/>
  <c r="Q348" i="8" s="1"/>
  <c r="N388" i="18"/>
  <c r="O388" i="18" s="1"/>
  <c r="Q388" i="8" s="1"/>
  <c r="L355" i="13"/>
  <c r="M355" i="13" s="1"/>
  <c r="L394" i="13"/>
  <c r="M394" i="13" s="1"/>
  <c r="AC368" i="13"/>
  <c r="AD368" i="13" s="1"/>
  <c r="AA373" i="13"/>
  <c r="Y373" i="14" s="1"/>
  <c r="AA393" i="13"/>
  <c r="L384" i="18"/>
  <c r="Z367" i="13"/>
  <c r="X367" i="14" s="1"/>
  <c r="L374" i="13"/>
  <c r="M369" i="18"/>
  <c r="AA348" i="13"/>
  <c r="Y348" i="14" s="1"/>
  <c r="M363" i="13"/>
  <c r="M341" i="18"/>
  <c r="L376" i="13"/>
  <c r="M376" i="13" s="1"/>
  <c r="K335" i="18"/>
  <c r="L388" i="18"/>
  <c r="K346" i="18"/>
  <c r="K359" i="18"/>
  <c r="L355" i="14"/>
  <c r="M355" i="14" s="1"/>
  <c r="N355" i="14" s="1"/>
  <c r="O355" i="14" s="1"/>
  <c r="P355" i="14" s="1"/>
  <c r="N335" i="18"/>
  <c r="O335" i="18" s="1"/>
  <c r="Q335" i="8" s="1"/>
  <c r="K353" i="18"/>
  <c r="M339" i="18"/>
  <c r="L360" i="14"/>
  <c r="M360" i="14" s="1"/>
  <c r="N360" i="14" s="1"/>
  <c r="O360" i="14" s="1"/>
  <c r="P360" i="14" s="1"/>
  <c r="M361" i="18"/>
  <c r="M337" i="18"/>
  <c r="Z395" i="13"/>
  <c r="N332" i="13"/>
  <c r="O332" i="13" s="1"/>
  <c r="Q332" i="13" s="1"/>
  <c r="K370" i="18"/>
  <c r="N365" i="18"/>
  <c r="O365" i="18" s="1"/>
  <c r="AA382" i="13"/>
  <c r="AB382" i="13" s="1"/>
  <c r="AC382" i="13" s="1"/>
  <c r="AA382" i="14" s="1"/>
  <c r="AA346" i="13"/>
  <c r="Y346" i="14" s="1"/>
  <c r="X346" i="14"/>
  <c r="X342" i="14"/>
  <c r="AA342" i="13"/>
  <c r="Y342" i="14" s="1"/>
  <c r="K362" i="18"/>
  <c r="AC377" i="13"/>
  <c r="AD377" i="13" s="1"/>
  <c r="K354" i="18"/>
  <c r="N336" i="18"/>
  <c r="O336" i="18" s="1"/>
  <c r="Q336" i="8" s="1"/>
  <c r="N368" i="13"/>
  <c r="O368" i="13" s="1"/>
  <c r="Q368" i="13" s="1"/>
  <c r="L381" i="14"/>
  <c r="M381" i="14" s="1"/>
  <c r="N381" i="14" s="1"/>
  <c r="O381" i="14" s="1"/>
  <c r="P381" i="14" s="1"/>
  <c r="N343" i="18"/>
  <c r="O343" i="18" s="1"/>
  <c r="Q343" i="8" s="1"/>
  <c r="N345" i="18"/>
  <c r="O345" i="18" s="1"/>
  <c r="Q345" i="8" s="1"/>
  <c r="L389" i="18"/>
  <c r="AA332" i="13"/>
  <c r="Y332" i="14" s="1"/>
  <c r="M340" i="18"/>
  <c r="K371" i="18"/>
  <c r="K334" i="18"/>
  <c r="Z358" i="13"/>
  <c r="X358" i="14" s="1"/>
  <c r="K330" i="18"/>
  <c r="AA331" i="13"/>
  <c r="Y331" i="14" s="1"/>
  <c r="L333" i="13"/>
  <c r="N362" i="18"/>
  <c r="O362" i="18" s="1"/>
  <c r="Q362" i="8" s="1"/>
  <c r="AA389" i="13"/>
  <c r="Y389" i="14" s="1"/>
  <c r="M395" i="18"/>
  <c r="AC391" i="13"/>
  <c r="AD391" i="13" s="1"/>
  <c r="AA334" i="13"/>
  <c r="Y334" i="14" s="1"/>
  <c r="N387" i="18"/>
  <c r="O387" i="18" s="1"/>
  <c r="Q387" i="8" s="1"/>
  <c r="AA356" i="13"/>
  <c r="Y356" i="14" s="1"/>
  <c r="Z385" i="13"/>
  <c r="X385" i="14" s="1"/>
  <c r="Z375" i="13"/>
  <c r="X375" i="14" s="1"/>
  <c r="L373" i="14"/>
  <c r="M373" i="14" s="1"/>
  <c r="N373" i="14" s="1"/>
  <c r="O373" i="14" s="1"/>
  <c r="P373" i="14" s="1"/>
  <c r="M348" i="18"/>
  <c r="M359" i="18"/>
  <c r="Y352" i="14"/>
  <c r="L343" i="18"/>
  <c r="L333" i="18"/>
  <c r="N337" i="18"/>
  <c r="O337" i="18" s="1"/>
  <c r="Q337" i="8" s="1"/>
  <c r="N340" i="18"/>
  <c r="O340" i="18" s="1"/>
  <c r="Q340" i="8" s="1"/>
  <c r="AA336" i="13"/>
  <c r="Y336" i="14" s="1"/>
  <c r="AC378" i="13"/>
  <c r="N338" i="13"/>
  <c r="O338" i="13" s="1"/>
  <c r="Q338" i="13" s="1"/>
  <c r="AA353" i="13"/>
  <c r="AB353" i="13" s="1"/>
  <c r="AC353" i="13" s="1"/>
  <c r="AD353" i="13" s="1"/>
  <c r="L357" i="13"/>
  <c r="N357" i="13" s="1"/>
  <c r="O357" i="13" s="1"/>
  <c r="Q357" i="13" s="1"/>
  <c r="K395" i="18"/>
  <c r="L341" i="18"/>
  <c r="AC361" i="13"/>
  <c r="AD361" i="13" s="1"/>
  <c r="L392" i="14"/>
  <c r="M392" i="14" s="1"/>
  <c r="N392" i="14" s="1"/>
  <c r="O392" i="14" s="1"/>
  <c r="P392" i="14" s="1"/>
  <c r="L335" i="13"/>
  <c r="M388" i="18"/>
  <c r="L390" i="18"/>
  <c r="AA387" i="13"/>
  <c r="Y387" i="14" s="1"/>
  <c r="K356" i="18"/>
  <c r="N353" i="18"/>
  <c r="O353" i="18" s="1"/>
  <c r="Y364" i="14"/>
  <c r="K337" i="18"/>
  <c r="AA380" i="13"/>
  <c r="Y380" i="14" s="1"/>
  <c r="L344" i="14"/>
  <c r="M344" i="14" s="1"/>
  <c r="N344" i="14" s="1"/>
  <c r="O344" i="14" s="1"/>
  <c r="P344" i="14" s="1"/>
  <c r="AA333" i="13"/>
  <c r="Y333" i="14" s="1"/>
  <c r="Z363" i="13"/>
  <c r="X363" i="14" s="1"/>
  <c r="L354" i="14"/>
  <c r="M354" i="14" s="1"/>
  <c r="N354" i="14" s="1"/>
  <c r="O354" i="14" s="1"/>
  <c r="P354" i="14" s="1"/>
  <c r="AA351" i="13"/>
  <c r="Y351" i="14" s="1"/>
  <c r="N338" i="18"/>
  <c r="O338" i="18" s="1"/>
  <c r="Q338" i="8" s="1"/>
  <c r="L383" i="14"/>
  <c r="M383" i="14" s="1"/>
  <c r="N383" i="14" s="1"/>
  <c r="O383" i="14" s="1"/>
  <c r="P383" i="14" s="1"/>
  <c r="N347" i="18"/>
  <c r="O347" i="18" s="1"/>
  <c r="Q347" i="8" s="1"/>
  <c r="AC366" i="13"/>
  <c r="AD366" i="13" s="1"/>
  <c r="N361" i="18"/>
  <c r="O361" i="18" s="1"/>
  <c r="L331" i="18"/>
  <c r="L393" i="13"/>
  <c r="N334" i="18"/>
  <c r="O334" i="18" s="1"/>
  <c r="Q334" i="8" s="1"/>
  <c r="L382" i="14"/>
  <c r="M382" i="14" s="1"/>
  <c r="N382" i="14" s="1"/>
  <c r="O382" i="14" s="1"/>
  <c r="P382" i="14" s="1"/>
  <c r="Z374" i="13"/>
  <c r="X374" i="14" s="1"/>
  <c r="Z360" i="13"/>
  <c r="X360" i="14" s="1"/>
  <c r="L330" i="18"/>
  <c r="Z378" i="13"/>
  <c r="X378" i="14" s="1"/>
  <c r="M365" i="18"/>
  <c r="AB379" i="13"/>
  <c r="Y379" i="14"/>
  <c r="M330" i="13"/>
  <c r="N330" i="13"/>
  <c r="O330" i="13" s="1"/>
  <c r="Q330" i="13" s="1"/>
  <c r="N354" i="13"/>
  <c r="O354" i="13" s="1"/>
  <c r="Q354" i="13" s="1"/>
  <c r="M354" i="13"/>
  <c r="AB363" i="13"/>
  <c r="Y363" i="14"/>
  <c r="N391" i="13"/>
  <c r="O391" i="13" s="1"/>
  <c r="Q391" i="13" s="1"/>
  <c r="M391" i="13"/>
  <c r="M388" i="13"/>
  <c r="N388" i="13"/>
  <c r="O388" i="13" s="1"/>
  <c r="Q388" i="13" s="1"/>
  <c r="L357" i="14"/>
  <c r="M357" i="14" s="1"/>
  <c r="N357" i="14" s="1"/>
  <c r="O357" i="14" s="1"/>
  <c r="P357" i="14" s="1"/>
  <c r="M331" i="13"/>
  <c r="N331" i="13"/>
  <c r="O331" i="13" s="1"/>
  <c r="Q331" i="13" s="1"/>
  <c r="N378" i="13"/>
  <c r="O378" i="13" s="1"/>
  <c r="Q378" i="13" s="1"/>
  <c r="M378" i="13"/>
  <c r="M371" i="13"/>
  <c r="N371" i="13"/>
  <c r="O371" i="13" s="1"/>
  <c r="Q371" i="13" s="1"/>
  <c r="M334" i="13"/>
  <c r="N334" i="13"/>
  <c r="O334" i="13" s="1"/>
  <c r="Q334" i="13" s="1"/>
  <c r="AB374" i="13"/>
  <c r="Y374" i="14"/>
  <c r="N347" i="13"/>
  <c r="O347" i="13" s="1"/>
  <c r="Q347" i="13" s="1"/>
  <c r="M347" i="13"/>
  <c r="AB372" i="13"/>
  <c r="Y372" i="14"/>
  <c r="X371" i="14"/>
  <c r="AA371" i="13"/>
  <c r="N380" i="13"/>
  <c r="O380" i="13" s="1"/>
  <c r="Q380" i="13" s="1"/>
  <c r="M380" i="13"/>
  <c r="M360" i="13"/>
  <c r="N360" i="13"/>
  <c r="O360" i="13" s="1"/>
  <c r="Q360" i="13" s="1"/>
  <c r="P368" i="9"/>
  <c r="K366" i="18"/>
  <c r="Y375" i="8"/>
  <c r="Z375" i="8" s="1"/>
  <c r="AB375" i="8" s="1"/>
  <c r="D349" i="9"/>
  <c r="D355" i="9"/>
  <c r="Y381" i="8"/>
  <c r="Z381" i="8" s="1"/>
  <c r="AB381" i="8" s="1"/>
  <c r="D312" i="9"/>
  <c r="Y338" i="8"/>
  <c r="Z338" i="8" s="1"/>
  <c r="AB338" i="8" s="1"/>
  <c r="Y383" i="8"/>
  <c r="Z383" i="8" s="1"/>
  <c r="AB383" i="8" s="1"/>
  <c r="D357" i="9"/>
  <c r="Q320" i="9"/>
  <c r="D354" i="9"/>
  <c r="Y380" i="8"/>
  <c r="Z380" i="8" s="1"/>
  <c r="AB380" i="8" s="1"/>
  <c r="Y353" i="8"/>
  <c r="Z353" i="8" s="1"/>
  <c r="AB353" i="8" s="1"/>
  <c r="D327" i="9"/>
  <c r="Y377" i="8"/>
  <c r="Z377" i="8" s="1"/>
  <c r="AB377" i="8" s="1"/>
  <c r="D351" i="9"/>
  <c r="P340" i="9"/>
  <c r="L364" i="13"/>
  <c r="Y354" i="8"/>
  <c r="Z354" i="8" s="1"/>
  <c r="AB354" i="8" s="1"/>
  <c r="D328" i="9"/>
  <c r="Q328" i="9"/>
  <c r="J342" i="14"/>
  <c r="P332" i="9"/>
  <c r="Y359" i="8"/>
  <c r="Z359" i="8" s="1"/>
  <c r="AB359" i="8" s="1"/>
  <c r="D333" i="9"/>
  <c r="J363" i="14"/>
  <c r="L363" i="14" s="1"/>
  <c r="M363" i="14" s="1"/>
  <c r="N363" i="14" s="1"/>
  <c r="O363" i="14" s="1"/>
  <c r="P363" i="14" s="1"/>
  <c r="Y368" i="14"/>
  <c r="P324" i="9"/>
  <c r="Y387" i="8"/>
  <c r="Z387" i="8" s="1"/>
  <c r="AB387" i="8" s="1"/>
  <c r="D361" i="9"/>
  <c r="L344" i="13"/>
  <c r="Y373" i="8"/>
  <c r="Z373" i="8" s="1"/>
  <c r="AB373" i="8" s="1"/>
  <c r="D347" i="9"/>
  <c r="Y352" i="8"/>
  <c r="Z352" i="8" s="1"/>
  <c r="AB352" i="8" s="1"/>
  <c r="D326" i="9"/>
  <c r="P318" i="9"/>
  <c r="N366" i="18"/>
  <c r="O366" i="18" s="1"/>
  <c r="P334" i="9"/>
  <c r="L345" i="13"/>
  <c r="D342" i="9"/>
  <c r="Y368" i="8"/>
  <c r="Z368" i="8" s="1"/>
  <c r="AB368" i="8" s="1"/>
  <c r="M351" i="18"/>
  <c r="M342" i="13"/>
  <c r="P357" i="9"/>
  <c r="D365" i="9"/>
  <c r="Y391" i="8"/>
  <c r="Z391" i="8" s="1"/>
  <c r="AB391" i="8" s="1"/>
  <c r="J387" i="14"/>
  <c r="L387" i="14" s="1"/>
  <c r="M387" i="14" s="1"/>
  <c r="N387" i="14" s="1"/>
  <c r="O387" i="14" s="1"/>
  <c r="P387" i="14" s="1"/>
  <c r="Q354" i="9"/>
  <c r="N356" i="13"/>
  <c r="O356" i="13" s="1"/>
  <c r="Q356" i="13" s="1"/>
  <c r="L339" i="14"/>
  <c r="M339" i="14" s="1"/>
  <c r="N339" i="14" s="1"/>
  <c r="O339" i="14" s="1"/>
  <c r="P339" i="14" s="1"/>
  <c r="Q348" i="9"/>
  <c r="Q327" i="9"/>
  <c r="Y347" i="8"/>
  <c r="Z347" i="8" s="1"/>
  <c r="AB347" i="8" s="1"/>
  <c r="D321" i="9"/>
  <c r="N369" i="13"/>
  <c r="O369" i="13" s="1"/>
  <c r="Q369" i="13" s="1"/>
  <c r="AC375" i="13"/>
  <c r="L376" i="14"/>
  <c r="M376" i="14" s="1"/>
  <c r="N376" i="14" s="1"/>
  <c r="O376" i="14" s="1"/>
  <c r="P376" i="14" s="1"/>
  <c r="L359" i="14"/>
  <c r="M359" i="14" s="1"/>
  <c r="N359" i="14" s="1"/>
  <c r="O359" i="14" s="1"/>
  <c r="P359" i="14" s="1"/>
  <c r="Y384" i="8"/>
  <c r="Z384" i="8" s="1"/>
  <c r="AB384" i="8" s="1"/>
  <c r="D358" i="9"/>
  <c r="Q314" i="9"/>
  <c r="Z391" i="14"/>
  <c r="J391" i="14"/>
  <c r="L391" i="14" s="1"/>
  <c r="M391" i="14" s="1"/>
  <c r="N391" i="14" s="1"/>
  <c r="O391" i="14" s="1"/>
  <c r="P391" i="14" s="1"/>
  <c r="AB355" i="13"/>
  <c r="Y355" i="14"/>
  <c r="M387" i="13"/>
  <c r="Z383" i="14"/>
  <c r="L333" i="14"/>
  <c r="M333" i="14" s="1"/>
  <c r="N333" i="14" s="1"/>
  <c r="O333" i="14" s="1"/>
  <c r="P333" i="14" s="1"/>
  <c r="AC364" i="13"/>
  <c r="Z377" i="14"/>
  <c r="Z368" i="13"/>
  <c r="X368" i="14" s="1"/>
  <c r="L351" i="14"/>
  <c r="M351" i="14" s="1"/>
  <c r="N351" i="14" s="1"/>
  <c r="O351" i="14" s="1"/>
  <c r="P351" i="14" s="1"/>
  <c r="D353" i="9"/>
  <c r="Y379" i="8"/>
  <c r="Z379" i="8" s="1"/>
  <c r="AB379" i="8" s="1"/>
  <c r="J369" i="14"/>
  <c r="L369" i="14" s="1"/>
  <c r="M369" i="14" s="1"/>
  <c r="N369" i="14" s="1"/>
  <c r="O369" i="14" s="1"/>
  <c r="P369" i="14" s="1"/>
  <c r="Q359" i="9"/>
  <c r="AB373" i="13"/>
  <c r="N389" i="18"/>
  <c r="O389" i="18" s="1"/>
  <c r="Q389" i="8" s="1"/>
  <c r="Q333" i="9"/>
  <c r="D331" i="9"/>
  <c r="Y357" i="8"/>
  <c r="Z357" i="8" s="1"/>
  <c r="AB357" i="8" s="1"/>
  <c r="D362" i="9"/>
  <c r="Y388" i="8"/>
  <c r="Z388" i="8" s="1"/>
  <c r="AB388" i="8" s="1"/>
  <c r="Y367" i="14"/>
  <c r="AB367" i="13"/>
  <c r="AC365" i="13"/>
  <c r="AD365" i="13" s="1"/>
  <c r="P325" i="9"/>
  <c r="Y351" i="8"/>
  <c r="Z351" i="8" s="1"/>
  <c r="AB351" i="8" s="1"/>
  <c r="D325" i="9"/>
  <c r="M336" i="13"/>
  <c r="N381" i="18"/>
  <c r="O381" i="18" s="1"/>
  <c r="Q381" i="8" s="1"/>
  <c r="AC386" i="13"/>
  <c r="AA386" i="14" s="1"/>
  <c r="L379" i="14"/>
  <c r="M379" i="14" s="1"/>
  <c r="N379" i="14" s="1"/>
  <c r="O379" i="14" s="1"/>
  <c r="P379" i="14" s="1"/>
  <c r="L337" i="14"/>
  <c r="M337" i="14" s="1"/>
  <c r="N337" i="14" s="1"/>
  <c r="O337" i="14" s="1"/>
  <c r="P337" i="14" s="1"/>
  <c r="Q319" i="9"/>
  <c r="D306" i="9"/>
  <c r="Y332" i="8"/>
  <c r="Z332" i="8" s="1"/>
  <c r="AB332" i="8" s="1"/>
  <c r="N383" i="18"/>
  <c r="O383" i="18" s="1"/>
  <c r="Q383" i="8" s="1"/>
  <c r="L383" i="18"/>
  <c r="Y394" i="8"/>
  <c r="Z394" i="8" s="1"/>
  <c r="AB394" i="8" s="1"/>
  <c r="D368" i="9"/>
  <c r="Y390" i="8"/>
  <c r="Z390" i="8" s="1"/>
  <c r="AB390" i="8" s="1"/>
  <c r="D364" i="9"/>
  <c r="L352" i="13"/>
  <c r="M350" i="13"/>
  <c r="D316" i="9"/>
  <c r="Y342" i="8"/>
  <c r="Z342" i="8" s="1"/>
  <c r="AB342" i="8" s="1"/>
  <c r="P338" i="9"/>
  <c r="P322" i="9"/>
  <c r="Z352" i="14"/>
  <c r="AC352" i="13"/>
  <c r="Z361" i="13"/>
  <c r="L339" i="13"/>
  <c r="N343" i="13"/>
  <c r="O343" i="13" s="1"/>
  <c r="Q343" i="13" s="1"/>
  <c r="Z379" i="13"/>
  <c r="X379" i="14" s="1"/>
  <c r="M366" i="18"/>
  <c r="P349" i="9"/>
  <c r="D335" i="9"/>
  <c r="Y361" i="8"/>
  <c r="Z361" i="8" s="1"/>
  <c r="AB361" i="8" s="1"/>
  <c r="Z377" i="13"/>
  <c r="X377" i="14" s="1"/>
  <c r="L389" i="13"/>
  <c r="K332" i="18"/>
  <c r="D352" i="9"/>
  <c r="Y378" i="8"/>
  <c r="Z378" i="8" s="1"/>
  <c r="AB378" i="8" s="1"/>
  <c r="L351" i="18"/>
  <c r="K336" i="18"/>
  <c r="J371" i="14"/>
  <c r="L371" i="14" s="1"/>
  <c r="M371" i="14" s="1"/>
  <c r="N371" i="14" s="1"/>
  <c r="O371" i="14" s="1"/>
  <c r="P371" i="14" s="1"/>
  <c r="L370" i="13"/>
  <c r="M387" i="18"/>
  <c r="L349" i="13"/>
  <c r="Q356" i="9"/>
  <c r="Z352" i="13"/>
  <c r="X352" i="14" s="1"/>
  <c r="J347" i="14"/>
  <c r="AA376" i="13"/>
  <c r="L335" i="18"/>
  <c r="D363" i="9"/>
  <c r="Y389" i="8"/>
  <c r="Z389" i="8" s="1"/>
  <c r="AB389" i="8" s="1"/>
  <c r="Q337" i="9"/>
  <c r="D369" i="9"/>
  <c r="Y395" i="8"/>
  <c r="Z395" i="8" s="1"/>
  <c r="AB395" i="8" s="1"/>
  <c r="AA340" i="13"/>
  <c r="Y340" i="14" s="1"/>
  <c r="D310" i="9"/>
  <c r="Y336" i="8"/>
  <c r="Z336" i="8" s="1"/>
  <c r="AB336" i="8" s="1"/>
  <c r="P365" i="9"/>
  <c r="D348" i="9"/>
  <c r="Y374" i="8"/>
  <c r="Z374" i="8" s="1"/>
  <c r="AB374" i="8" s="1"/>
  <c r="Y343" i="8"/>
  <c r="Z343" i="8" s="1"/>
  <c r="AB343" i="8" s="1"/>
  <c r="D317" i="9"/>
  <c r="AA369" i="13"/>
  <c r="AC385" i="13"/>
  <c r="M375" i="13"/>
  <c r="Q307" i="9"/>
  <c r="Y333" i="8"/>
  <c r="Z333" i="8" s="1"/>
  <c r="AB333" i="8" s="1"/>
  <c r="D307" i="9"/>
  <c r="Y372" i="8"/>
  <c r="Z372" i="8" s="1"/>
  <c r="AB372" i="8" s="1"/>
  <c r="D346" i="9"/>
  <c r="Y392" i="8"/>
  <c r="Z392" i="8" s="1"/>
  <c r="AB392" i="8" s="1"/>
  <c r="D366" i="9"/>
  <c r="L351" i="13"/>
  <c r="L346" i="18"/>
  <c r="Z350" i="13"/>
  <c r="X350" i="14" s="1"/>
  <c r="Y334" i="8"/>
  <c r="Z334" i="8" s="1"/>
  <c r="AB334" i="8" s="1"/>
  <c r="D308" i="9"/>
  <c r="K338" i="18"/>
  <c r="P344" i="9"/>
  <c r="Q316" i="9"/>
  <c r="D323" i="9"/>
  <c r="Y349" i="8"/>
  <c r="Z349" i="8" s="1"/>
  <c r="AB349" i="8" s="1"/>
  <c r="N356" i="18"/>
  <c r="O356" i="18" s="1"/>
  <c r="Q356" i="8" s="1"/>
  <c r="K386" i="18"/>
  <c r="Y383" i="14"/>
  <c r="AA394" i="13"/>
  <c r="Y366" i="8"/>
  <c r="Z366" i="8" s="1"/>
  <c r="AB366" i="8" s="1"/>
  <c r="D340" i="9"/>
  <c r="Y362" i="8"/>
  <c r="Z362" i="8" s="1"/>
  <c r="AB362" i="8" s="1"/>
  <c r="D336" i="9"/>
  <c r="Y377" i="14"/>
  <c r="N359" i="18"/>
  <c r="O359" i="18" s="1"/>
  <c r="Q359" i="8" s="1"/>
  <c r="Z381" i="13"/>
  <c r="X381" i="14" s="1"/>
  <c r="L381" i="13"/>
  <c r="Y355" i="8"/>
  <c r="Z355" i="8" s="1"/>
  <c r="AB355" i="8" s="1"/>
  <c r="D329" i="9"/>
  <c r="L342" i="14"/>
  <c r="M342" i="14" s="1"/>
  <c r="N342" i="14" s="1"/>
  <c r="O342" i="14" s="1"/>
  <c r="P342" i="14" s="1"/>
  <c r="D332" i="9"/>
  <c r="Y358" i="8"/>
  <c r="Z358" i="8" s="1"/>
  <c r="AB358" i="8" s="1"/>
  <c r="L339" i="18"/>
  <c r="L352" i="14"/>
  <c r="M352" i="14" s="1"/>
  <c r="N352" i="14" s="1"/>
  <c r="O352" i="14" s="1"/>
  <c r="P352" i="14" s="1"/>
  <c r="M343" i="18"/>
  <c r="P353" i="9"/>
  <c r="L394" i="14"/>
  <c r="M394" i="14" s="1"/>
  <c r="N394" i="14" s="1"/>
  <c r="O394" i="14" s="1"/>
  <c r="P394" i="14" s="1"/>
  <c r="Y341" i="8"/>
  <c r="Z341" i="8" s="1"/>
  <c r="AB341" i="8" s="1"/>
  <c r="D315" i="9"/>
  <c r="D359" i="9"/>
  <c r="Y385" i="8"/>
  <c r="Z385" i="8" s="1"/>
  <c r="AB385" i="8" s="1"/>
  <c r="Z366" i="13"/>
  <c r="L364" i="14"/>
  <c r="M364" i="14" s="1"/>
  <c r="N364" i="14" s="1"/>
  <c r="O364" i="14" s="1"/>
  <c r="P364" i="14" s="1"/>
  <c r="Z364" i="14"/>
  <c r="Y376" i="8"/>
  <c r="Z376" i="8" s="1"/>
  <c r="AB376" i="8" s="1"/>
  <c r="D350" i="9"/>
  <c r="Z362" i="13"/>
  <c r="X362" i="14" s="1"/>
  <c r="P304" i="9"/>
  <c r="Z372" i="13"/>
  <c r="X372" i="14" s="1"/>
  <c r="M389" i="18"/>
  <c r="M331" i="18"/>
  <c r="Q331" i="9"/>
  <c r="J390" i="14"/>
  <c r="L390" i="14" s="1"/>
  <c r="M390" i="14" s="1"/>
  <c r="N390" i="14" s="1"/>
  <c r="O390" i="14" s="1"/>
  <c r="P390" i="14" s="1"/>
  <c r="N346" i="13"/>
  <c r="O346" i="13" s="1"/>
  <c r="Q346" i="13" s="1"/>
  <c r="Y350" i="8"/>
  <c r="Z350" i="8" s="1"/>
  <c r="AB350" i="8" s="1"/>
  <c r="D324" i="9"/>
  <c r="M381" i="18"/>
  <c r="Q361" i="9"/>
  <c r="L342" i="18"/>
  <c r="Z358" i="14"/>
  <c r="AC358" i="13"/>
  <c r="J356" i="14"/>
  <c r="L356" i="14" s="1"/>
  <c r="M356" i="14" s="1"/>
  <c r="N356" i="14" s="1"/>
  <c r="O356" i="14" s="1"/>
  <c r="P356" i="14" s="1"/>
  <c r="N386" i="13"/>
  <c r="O386" i="13" s="1"/>
  <c r="Q386" i="13" s="1"/>
  <c r="AA344" i="13"/>
  <c r="Y344" i="14" s="1"/>
  <c r="D319" i="9"/>
  <c r="Y345" i="8"/>
  <c r="Z345" i="8" s="1"/>
  <c r="AB345" i="8" s="1"/>
  <c r="D367" i="9"/>
  <c r="Y393" i="8"/>
  <c r="Z393" i="8" s="1"/>
  <c r="AB393" i="8" s="1"/>
  <c r="M390" i="13"/>
  <c r="K365" i="18"/>
  <c r="J334" i="14"/>
  <c r="L334" i="14" s="1"/>
  <c r="M334" i="14" s="1"/>
  <c r="N334" i="14" s="1"/>
  <c r="O334" i="14" s="1"/>
  <c r="P334" i="14" s="1"/>
  <c r="Y386" i="14"/>
  <c r="J386" i="14"/>
  <c r="L386" i="14" s="1"/>
  <c r="M386" i="14" s="1"/>
  <c r="N386" i="14" s="1"/>
  <c r="O386" i="14" s="1"/>
  <c r="P386" i="14" s="1"/>
  <c r="Y331" i="8"/>
  <c r="Z331" i="8" s="1"/>
  <c r="AB331" i="8" s="1"/>
  <c r="D305" i="9"/>
  <c r="AA391" i="14"/>
  <c r="AB391" i="14" s="1"/>
  <c r="D334" i="9"/>
  <c r="Y360" i="8"/>
  <c r="Z360" i="8" s="1"/>
  <c r="AB360" i="8" s="1"/>
  <c r="P352" i="9"/>
  <c r="J350" i="14"/>
  <c r="L350" i="14" s="1"/>
  <c r="M350" i="14" s="1"/>
  <c r="N350" i="14" s="1"/>
  <c r="O350" i="14" s="1"/>
  <c r="P350" i="14" s="1"/>
  <c r="Z370" i="13"/>
  <c r="X370" i="14" s="1"/>
  <c r="AA339" i="13"/>
  <c r="Y339" i="14" s="1"/>
  <c r="AA343" i="13"/>
  <c r="Y343" i="14" s="1"/>
  <c r="D318" i="9"/>
  <c r="Y344" i="8"/>
  <c r="Z344" i="8" s="1"/>
  <c r="AB344" i="8" s="1"/>
  <c r="AA347" i="13"/>
  <c r="Y347" i="14" s="1"/>
  <c r="D343" i="9"/>
  <c r="Y369" i="8"/>
  <c r="Z369" i="8" s="1"/>
  <c r="AB369" i="8" s="1"/>
  <c r="D338" i="9"/>
  <c r="Y364" i="8"/>
  <c r="Z364" i="8" s="1"/>
  <c r="AB364" i="8" s="1"/>
  <c r="AA359" i="13"/>
  <c r="L359" i="13"/>
  <c r="Z384" i="13"/>
  <c r="X384" i="14" s="1"/>
  <c r="M354" i="18"/>
  <c r="D322" i="9"/>
  <c r="Y348" i="8"/>
  <c r="Z348" i="8" s="1"/>
  <c r="AB348" i="8" s="1"/>
  <c r="Y357" i="14"/>
  <c r="AB357" i="13"/>
  <c r="Y365" i="8"/>
  <c r="Z365" i="8" s="1"/>
  <c r="AB365" i="8" s="1"/>
  <c r="D339" i="9"/>
  <c r="N351" i="18"/>
  <c r="O351" i="18" s="1"/>
  <c r="Q351" i="8" s="1"/>
  <c r="Z391" i="13"/>
  <c r="X391" i="14" s="1"/>
  <c r="Z349" i="14"/>
  <c r="Y382" i="8"/>
  <c r="Z382" i="8" s="1"/>
  <c r="AB382" i="8" s="1"/>
  <c r="D356" i="9"/>
  <c r="Y356" i="8"/>
  <c r="Z356" i="8" s="1"/>
  <c r="AB356" i="8" s="1"/>
  <c r="D330" i="9"/>
  <c r="P330" i="9"/>
  <c r="Y386" i="8"/>
  <c r="Z386" i="8" s="1"/>
  <c r="AB386" i="8" s="1"/>
  <c r="D360" i="9"/>
  <c r="L347" i="14"/>
  <c r="M347" i="14" s="1"/>
  <c r="N347" i="14" s="1"/>
  <c r="O347" i="14" s="1"/>
  <c r="P347" i="14" s="1"/>
  <c r="Y363" i="8"/>
  <c r="Z363" i="8" s="1"/>
  <c r="AB363" i="8" s="1"/>
  <c r="D337" i="9"/>
  <c r="AA388" i="13"/>
  <c r="M340" i="13"/>
  <c r="D320" i="9"/>
  <c r="Y346" i="8"/>
  <c r="Z346" i="8" s="1"/>
  <c r="AB346" i="8" s="1"/>
  <c r="Q321" i="9"/>
  <c r="AA341" i="13"/>
  <c r="Y341" i="14" s="1"/>
  <c r="N341" i="13"/>
  <c r="O341" i="13" s="1"/>
  <c r="Q341" i="13" s="1"/>
  <c r="L385" i="14"/>
  <c r="M385" i="14" s="1"/>
  <c r="N385" i="14" s="1"/>
  <c r="O385" i="14" s="1"/>
  <c r="P385" i="14" s="1"/>
  <c r="Y337" i="8"/>
  <c r="Z337" i="8" s="1"/>
  <c r="AB337" i="8" s="1"/>
  <c r="D311" i="9"/>
  <c r="Q351" i="9"/>
  <c r="AA335" i="13"/>
  <c r="Y335" i="14" s="1"/>
  <c r="L335" i="14"/>
  <c r="M335" i="14" s="1"/>
  <c r="N335" i="14" s="1"/>
  <c r="O335" i="14" s="1"/>
  <c r="P335" i="14" s="1"/>
  <c r="P346" i="9"/>
  <c r="P358" i="9"/>
  <c r="Y367" i="8"/>
  <c r="Z367" i="8" s="1"/>
  <c r="AB367" i="8" s="1"/>
  <c r="D341" i="9"/>
  <c r="D314" i="9"/>
  <c r="Y340" i="8"/>
  <c r="Z340" i="8" s="1"/>
  <c r="AB340" i="8" s="1"/>
  <c r="P366" i="9"/>
  <c r="J336" i="14"/>
  <c r="L336" i="14" s="1"/>
  <c r="M336" i="14" s="1"/>
  <c r="N336" i="14" s="1"/>
  <c r="O336" i="14" s="1"/>
  <c r="P336" i="14" s="1"/>
  <c r="M346" i="18"/>
  <c r="AC350" i="13"/>
  <c r="Y391" i="14"/>
  <c r="D344" i="9"/>
  <c r="Y370" i="8"/>
  <c r="Z370" i="8" s="1"/>
  <c r="AB370" i="8" s="1"/>
  <c r="M382" i="18"/>
  <c r="L358" i="14"/>
  <c r="M358" i="14" s="1"/>
  <c r="N358" i="14" s="1"/>
  <c r="O358" i="14" s="1"/>
  <c r="P358" i="14" s="1"/>
  <c r="M386" i="18"/>
  <c r="Y339" i="8"/>
  <c r="Z339" i="8" s="1"/>
  <c r="AB339" i="8" s="1"/>
  <c r="D313" i="9"/>
  <c r="N394" i="13"/>
  <c r="O394" i="13" s="1"/>
  <c r="Q394" i="13" s="1"/>
  <c r="J377" i="14"/>
  <c r="L377" i="14" s="1"/>
  <c r="M377" i="14" s="1"/>
  <c r="N377" i="14" s="1"/>
  <c r="O377" i="14" s="1"/>
  <c r="P377" i="14" s="1"/>
  <c r="Q315" i="9"/>
  <c r="Y375" i="14"/>
  <c r="Y330" i="8"/>
  <c r="Z330" i="8" s="1"/>
  <c r="AB330" i="8" s="1"/>
  <c r="D304" i="9"/>
  <c r="D309" i="9"/>
  <c r="Y335" i="8"/>
  <c r="Z335" i="8" s="1"/>
  <c r="AB335" i="8" s="1"/>
  <c r="P309" i="9"/>
  <c r="N384" i="18"/>
  <c r="O384" i="18" s="1"/>
  <c r="Q384" i="8" s="1"/>
  <c r="AA354" i="13"/>
  <c r="Y354" i="14" s="1"/>
  <c r="AC395" i="13"/>
  <c r="AD395" i="13" s="1"/>
  <c r="M367" i="13"/>
  <c r="L367" i="14"/>
  <c r="M367" i="14" s="1"/>
  <c r="N367" i="14" s="1"/>
  <c r="O367" i="14" s="1"/>
  <c r="P367" i="14" s="1"/>
  <c r="J378" i="14"/>
  <c r="L378" i="14" s="1"/>
  <c r="M378" i="14" s="1"/>
  <c r="N378" i="14" s="1"/>
  <c r="O378" i="14" s="1"/>
  <c r="P378" i="14" s="1"/>
  <c r="J368" i="14"/>
  <c r="L368" i="14" s="1"/>
  <c r="M368" i="14" s="1"/>
  <c r="N368" i="14" s="1"/>
  <c r="O368" i="14" s="1"/>
  <c r="P368" i="14" s="1"/>
  <c r="Z368" i="14"/>
  <c r="L334" i="18"/>
  <c r="M370" i="18"/>
  <c r="K342" i="18"/>
  <c r="L374" i="14"/>
  <c r="M374" i="14" s="1"/>
  <c r="N374" i="14" s="1"/>
  <c r="O374" i="14" s="1"/>
  <c r="P374" i="14" s="1"/>
  <c r="J343" i="14"/>
  <c r="L343" i="14" s="1"/>
  <c r="M343" i="14" s="1"/>
  <c r="N343" i="14" s="1"/>
  <c r="O343" i="14" s="1"/>
  <c r="P343" i="14" s="1"/>
  <c r="L369" i="18"/>
  <c r="AC360" i="13"/>
  <c r="L337" i="13"/>
  <c r="M330" i="18"/>
  <c r="Y371" i="8"/>
  <c r="Z371" i="8" s="1"/>
  <c r="AB371" i="8" s="1"/>
  <c r="D345" i="9"/>
  <c r="N382" i="13"/>
  <c r="O382" i="13" s="1"/>
  <c r="Q382" i="13" s="1"/>
  <c r="Q475" i="9"/>
  <c r="P475" i="9"/>
  <c r="F4" i="18"/>
  <c r="E4" i="18"/>
  <c r="G331" i="16"/>
  <c r="F331" i="16"/>
  <c r="B32" i="16"/>
  <c r="C32" i="16"/>
  <c r="D32" i="16"/>
  <c r="B33" i="16"/>
  <c r="C33" i="16"/>
  <c r="D33" i="16"/>
  <c r="B34" i="16"/>
  <c r="C34" i="16"/>
  <c r="D34" i="16"/>
  <c r="B35" i="16"/>
  <c r="C35" i="16"/>
  <c r="A35" i="16" s="1"/>
  <c r="D35" i="16"/>
  <c r="B36" i="16"/>
  <c r="C36" i="16"/>
  <c r="D36" i="16"/>
  <c r="B37" i="16"/>
  <c r="C37" i="16"/>
  <c r="D37" i="16"/>
  <c r="B38" i="16"/>
  <c r="C38" i="16"/>
  <c r="D38" i="16"/>
  <c r="B39" i="16"/>
  <c r="C39" i="16"/>
  <c r="A39" i="16" s="1"/>
  <c r="D39" i="16"/>
  <c r="B40" i="16"/>
  <c r="C40" i="16"/>
  <c r="D40" i="16"/>
  <c r="B41" i="16"/>
  <c r="C41" i="16"/>
  <c r="D41" i="16"/>
  <c r="B42" i="16"/>
  <c r="C42" i="16"/>
  <c r="D42" i="16"/>
  <c r="B43" i="16"/>
  <c r="C43" i="16"/>
  <c r="A43" i="16" s="1"/>
  <c r="D43" i="16"/>
  <c r="B44" i="16"/>
  <c r="C44" i="16"/>
  <c r="D44" i="16"/>
  <c r="B45" i="16"/>
  <c r="C45" i="16"/>
  <c r="D45" i="16"/>
  <c r="B46" i="16"/>
  <c r="C46" i="16"/>
  <c r="D46" i="16"/>
  <c r="B47" i="16"/>
  <c r="C47" i="16"/>
  <c r="A47" i="16" s="1"/>
  <c r="D47" i="16"/>
  <c r="B48" i="16"/>
  <c r="C48" i="16"/>
  <c r="D48" i="16"/>
  <c r="B49" i="16"/>
  <c r="C49" i="16"/>
  <c r="D49" i="16"/>
  <c r="B50" i="16"/>
  <c r="C50" i="16"/>
  <c r="D50" i="16"/>
  <c r="B51" i="16"/>
  <c r="C51" i="16"/>
  <c r="D51" i="16"/>
  <c r="B52" i="16"/>
  <c r="C52" i="16"/>
  <c r="D52" i="16"/>
  <c r="B53" i="16"/>
  <c r="C53" i="16"/>
  <c r="D53" i="16"/>
  <c r="B54" i="16"/>
  <c r="C54" i="16"/>
  <c r="A54" i="16" s="1"/>
  <c r="D54" i="16"/>
  <c r="B55" i="16"/>
  <c r="C55" i="16"/>
  <c r="D55" i="16"/>
  <c r="B56" i="16"/>
  <c r="C56" i="16"/>
  <c r="D56" i="16"/>
  <c r="B57" i="16"/>
  <c r="C57" i="16"/>
  <c r="D57" i="16"/>
  <c r="B58" i="16"/>
  <c r="C58" i="16"/>
  <c r="A58" i="16" s="1"/>
  <c r="D58" i="16"/>
  <c r="B59" i="16"/>
  <c r="C59" i="16"/>
  <c r="D59" i="16"/>
  <c r="B60" i="16"/>
  <c r="C60" i="16"/>
  <c r="D60" i="16"/>
  <c r="B61" i="16"/>
  <c r="C61" i="16"/>
  <c r="D61" i="16"/>
  <c r="B62" i="16"/>
  <c r="C62" i="16"/>
  <c r="A62" i="16" s="1"/>
  <c r="D62" i="16"/>
  <c r="B63" i="16"/>
  <c r="C63" i="16"/>
  <c r="D63" i="16"/>
  <c r="B64" i="16"/>
  <c r="C64" i="16"/>
  <c r="D64" i="16"/>
  <c r="B65" i="16"/>
  <c r="C65" i="16"/>
  <c r="D65" i="16"/>
  <c r="B66" i="16"/>
  <c r="C66" i="16"/>
  <c r="D66" i="16"/>
  <c r="B67" i="16"/>
  <c r="C67" i="16"/>
  <c r="D67" i="16"/>
  <c r="B68" i="16"/>
  <c r="C68" i="16"/>
  <c r="D68" i="16"/>
  <c r="B69" i="16"/>
  <c r="C69" i="16"/>
  <c r="D69" i="16"/>
  <c r="B70" i="16"/>
  <c r="C70" i="16"/>
  <c r="A70" i="16" s="1"/>
  <c r="D70" i="16"/>
  <c r="B71" i="16"/>
  <c r="C71" i="16"/>
  <c r="D71" i="16"/>
  <c r="B72" i="16"/>
  <c r="C72" i="16"/>
  <c r="D72" i="16"/>
  <c r="B73" i="16"/>
  <c r="C73" i="16"/>
  <c r="D73" i="16"/>
  <c r="B74" i="16"/>
  <c r="C74" i="16"/>
  <c r="A74" i="16" s="1"/>
  <c r="D74" i="16"/>
  <c r="B75" i="16"/>
  <c r="C75" i="16"/>
  <c r="D75" i="16"/>
  <c r="B76" i="16"/>
  <c r="C76" i="16"/>
  <c r="D76" i="16"/>
  <c r="B77" i="16"/>
  <c r="C77" i="16"/>
  <c r="D77" i="16"/>
  <c r="B78" i="16"/>
  <c r="C78" i="16"/>
  <c r="A78" i="16" s="1"/>
  <c r="D78" i="16"/>
  <c r="B79" i="16"/>
  <c r="C79" i="16"/>
  <c r="D79" i="16"/>
  <c r="B80" i="16"/>
  <c r="C80" i="16"/>
  <c r="D80" i="16"/>
  <c r="B81" i="16"/>
  <c r="C81" i="16"/>
  <c r="A81" i="16" s="1"/>
  <c r="D81" i="16"/>
  <c r="B82" i="16"/>
  <c r="C82" i="16"/>
  <c r="A82" i="16" s="1"/>
  <c r="D82" i="16"/>
  <c r="B83" i="16"/>
  <c r="C83" i="16"/>
  <c r="D83" i="16"/>
  <c r="B84" i="16"/>
  <c r="C84" i="16"/>
  <c r="D84" i="16"/>
  <c r="B85" i="16"/>
  <c r="C85" i="16"/>
  <c r="A85" i="16" s="1"/>
  <c r="D85" i="16"/>
  <c r="B86" i="16"/>
  <c r="C86" i="16"/>
  <c r="D86" i="16"/>
  <c r="B87" i="16"/>
  <c r="C87" i="16"/>
  <c r="D87" i="16"/>
  <c r="B88" i="16"/>
  <c r="C88" i="16"/>
  <c r="D88" i="16"/>
  <c r="B89" i="16"/>
  <c r="C89" i="16"/>
  <c r="A89" i="16" s="1"/>
  <c r="D89" i="16"/>
  <c r="B90" i="16"/>
  <c r="C90" i="16"/>
  <c r="A90" i="16" s="1"/>
  <c r="D90" i="16"/>
  <c r="B91" i="16"/>
  <c r="C91" i="16"/>
  <c r="D91" i="16"/>
  <c r="B92" i="16"/>
  <c r="C92" i="16"/>
  <c r="D92" i="16"/>
  <c r="B93" i="16"/>
  <c r="C93" i="16"/>
  <c r="A93" i="16" s="1"/>
  <c r="D93" i="16"/>
  <c r="B94" i="16"/>
  <c r="C94" i="16"/>
  <c r="A94" i="16" s="1"/>
  <c r="D94" i="16"/>
  <c r="B95" i="16"/>
  <c r="C95" i="16"/>
  <c r="D95" i="16"/>
  <c r="B96" i="16"/>
  <c r="C96" i="16"/>
  <c r="D96" i="16"/>
  <c r="B97" i="16"/>
  <c r="C97" i="16"/>
  <c r="D97" i="16"/>
  <c r="B98" i="16"/>
  <c r="C98" i="16"/>
  <c r="A98" i="16" s="1"/>
  <c r="D98" i="16"/>
  <c r="B99" i="16"/>
  <c r="C99" i="16"/>
  <c r="D99" i="16"/>
  <c r="B100" i="16"/>
  <c r="C100" i="16"/>
  <c r="D100" i="16"/>
  <c r="B101" i="16"/>
  <c r="C101" i="16"/>
  <c r="A101" i="16" s="1"/>
  <c r="D101" i="16"/>
  <c r="B102" i="16"/>
  <c r="C102" i="16"/>
  <c r="A102" i="16" s="1"/>
  <c r="D102" i="16"/>
  <c r="B103" i="16"/>
  <c r="C103" i="16"/>
  <c r="D103" i="16"/>
  <c r="B104" i="16"/>
  <c r="C104" i="16"/>
  <c r="D104" i="16"/>
  <c r="B105" i="16"/>
  <c r="C105" i="16"/>
  <c r="D105" i="16"/>
  <c r="B106" i="16"/>
  <c r="C106" i="16"/>
  <c r="A106" i="16" s="1"/>
  <c r="D106" i="16"/>
  <c r="B107" i="16"/>
  <c r="C107" i="16"/>
  <c r="D107" i="16"/>
  <c r="B108" i="16"/>
  <c r="C108" i="16"/>
  <c r="D108" i="16"/>
  <c r="B109" i="16"/>
  <c r="C109" i="16"/>
  <c r="D109" i="16"/>
  <c r="B110" i="16"/>
  <c r="C110" i="16"/>
  <c r="A110" i="16" s="1"/>
  <c r="D110" i="16"/>
  <c r="B111" i="16"/>
  <c r="C111" i="16"/>
  <c r="D111" i="16"/>
  <c r="B112" i="16"/>
  <c r="C112" i="16"/>
  <c r="D112" i="16"/>
  <c r="B113" i="16"/>
  <c r="C113" i="16"/>
  <c r="D113" i="16"/>
  <c r="B114" i="16"/>
  <c r="C114" i="16"/>
  <c r="A114" i="16" s="1"/>
  <c r="D114" i="16"/>
  <c r="B115" i="16"/>
  <c r="C115" i="16"/>
  <c r="D115" i="16"/>
  <c r="B116" i="16"/>
  <c r="C116" i="16"/>
  <c r="D116" i="16"/>
  <c r="B117" i="16"/>
  <c r="C117" i="16"/>
  <c r="D117" i="16"/>
  <c r="B118" i="16"/>
  <c r="C118" i="16"/>
  <c r="A118" i="16" s="1"/>
  <c r="D118" i="16"/>
  <c r="B119" i="16"/>
  <c r="C119" i="16"/>
  <c r="A119" i="16" s="1"/>
  <c r="D119" i="16"/>
  <c r="B120" i="16"/>
  <c r="C120" i="16"/>
  <c r="D120" i="16"/>
  <c r="B121" i="16"/>
  <c r="C121" i="16"/>
  <c r="D121" i="16"/>
  <c r="B122" i="16"/>
  <c r="C122" i="16"/>
  <c r="A122" i="16" s="1"/>
  <c r="D122" i="16"/>
  <c r="B123" i="16"/>
  <c r="C123" i="16"/>
  <c r="A123" i="16" s="1"/>
  <c r="D123" i="16"/>
  <c r="B124" i="16"/>
  <c r="C124" i="16"/>
  <c r="D124" i="16"/>
  <c r="B125" i="16"/>
  <c r="C125" i="16"/>
  <c r="D125" i="16"/>
  <c r="B126" i="16"/>
  <c r="C126" i="16"/>
  <c r="D126" i="16"/>
  <c r="B127" i="16"/>
  <c r="C127" i="16"/>
  <c r="A127" i="16" s="1"/>
  <c r="D127" i="16"/>
  <c r="B128" i="16"/>
  <c r="C128" i="16"/>
  <c r="D128" i="16"/>
  <c r="B129" i="16"/>
  <c r="C129" i="16"/>
  <c r="D129" i="16"/>
  <c r="B130" i="16"/>
  <c r="C130" i="16"/>
  <c r="A130" i="16" s="1"/>
  <c r="D130" i="16"/>
  <c r="B131" i="16"/>
  <c r="C131" i="16"/>
  <c r="A131" i="16" s="1"/>
  <c r="D131" i="16"/>
  <c r="B132" i="16"/>
  <c r="C132" i="16"/>
  <c r="D132" i="16"/>
  <c r="B133" i="16"/>
  <c r="C133" i="16"/>
  <c r="D133" i="16"/>
  <c r="B134" i="16"/>
  <c r="C134" i="16"/>
  <c r="A134" i="16" s="1"/>
  <c r="D134" i="16"/>
  <c r="B135" i="16"/>
  <c r="C135" i="16"/>
  <c r="D135" i="16"/>
  <c r="B136" i="16"/>
  <c r="C136" i="16"/>
  <c r="D136" i="16"/>
  <c r="B137" i="16"/>
  <c r="C137" i="16"/>
  <c r="D137" i="16"/>
  <c r="B138" i="16"/>
  <c r="C138" i="16"/>
  <c r="A138" i="16" s="1"/>
  <c r="D138" i="16"/>
  <c r="B139" i="16"/>
  <c r="C139" i="16"/>
  <c r="A139" i="16" s="1"/>
  <c r="D139" i="16"/>
  <c r="B140" i="16"/>
  <c r="C140" i="16"/>
  <c r="D140" i="16"/>
  <c r="B141" i="16"/>
  <c r="C141" i="16"/>
  <c r="D141" i="16"/>
  <c r="B142" i="16"/>
  <c r="C142" i="16"/>
  <c r="A142" i="16" s="1"/>
  <c r="D142" i="16"/>
  <c r="B143" i="16"/>
  <c r="C143" i="16"/>
  <c r="A143" i="16" s="1"/>
  <c r="D143" i="16"/>
  <c r="B144" i="16"/>
  <c r="C144" i="16"/>
  <c r="D144" i="16"/>
  <c r="B145" i="16"/>
  <c r="C145" i="16"/>
  <c r="D145" i="16"/>
  <c r="B146" i="16"/>
  <c r="C146" i="16"/>
  <c r="A146" i="16" s="1"/>
  <c r="D146" i="16"/>
  <c r="B147" i="16"/>
  <c r="C147" i="16"/>
  <c r="A147" i="16" s="1"/>
  <c r="D147" i="16"/>
  <c r="B148" i="16"/>
  <c r="C148" i="16"/>
  <c r="D148" i="16"/>
  <c r="B149" i="16"/>
  <c r="C149" i="16"/>
  <c r="D149" i="16"/>
  <c r="B150" i="16"/>
  <c r="C150" i="16"/>
  <c r="D150" i="16"/>
  <c r="B151" i="16"/>
  <c r="C151" i="16"/>
  <c r="A151" i="16" s="1"/>
  <c r="D151" i="16"/>
  <c r="B152" i="16"/>
  <c r="C152" i="16"/>
  <c r="D152" i="16"/>
  <c r="B153" i="16"/>
  <c r="C153" i="16"/>
  <c r="D153" i="16"/>
  <c r="B154" i="16"/>
  <c r="C154" i="16"/>
  <c r="D154" i="16"/>
  <c r="B155" i="16"/>
  <c r="C155" i="16"/>
  <c r="A155" i="16" s="1"/>
  <c r="D155" i="16"/>
  <c r="B156" i="16"/>
  <c r="C156" i="16"/>
  <c r="D156" i="16"/>
  <c r="B157" i="16"/>
  <c r="C157" i="16"/>
  <c r="D157" i="16"/>
  <c r="B158" i="16"/>
  <c r="C158" i="16"/>
  <c r="D158" i="16"/>
  <c r="B159" i="16"/>
  <c r="C159" i="16"/>
  <c r="A159" i="16" s="1"/>
  <c r="D159" i="16"/>
  <c r="B160" i="16"/>
  <c r="C160" i="16"/>
  <c r="D160" i="16"/>
  <c r="B161" i="16"/>
  <c r="C161" i="16"/>
  <c r="D161" i="16"/>
  <c r="B162" i="16"/>
  <c r="C162" i="16"/>
  <c r="D162" i="16"/>
  <c r="B163" i="16"/>
  <c r="C163" i="16"/>
  <c r="D163" i="16"/>
  <c r="B164" i="16"/>
  <c r="C164" i="16"/>
  <c r="D164" i="16"/>
  <c r="B165" i="16"/>
  <c r="C165" i="16"/>
  <c r="D165" i="16"/>
  <c r="B166" i="16"/>
  <c r="C166" i="16"/>
  <c r="A166" i="16" s="1"/>
  <c r="D166" i="16"/>
  <c r="B167" i="16"/>
  <c r="C167" i="16"/>
  <c r="A167" i="16" s="1"/>
  <c r="D167" i="16"/>
  <c r="B168" i="16"/>
  <c r="C168" i="16"/>
  <c r="D168" i="16"/>
  <c r="B169" i="16"/>
  <c r="C169" i="16"/>
  <c r="D169" i="16"/>
  <c r="B170" i="16"/>
  <c r="C170" i="16"/>
  <c r="D170" i="16"/>
  <c r="B171" i="16"/>
  <c r="C171" i="16"/>
  <c r="A171" i="16" s="1"/>
  <c r="D171" i="16"/>
  <c r="B172" i="16"/>
  <c r="C172" i="16"/>
  <c r="D172" i="16"/>
  <c r="B173" i="16"/>
  <c r="C173" i="16"/>
  <c r="D173" i="16"/>
  <c r="B174" i="16"/>
  <c r="C174" i="16"/>
  <c r="D174" i="16"/>
  <c r="B175" i="16"/>
  <c r="C175" i="16"/>
  <c r="A175" i="16" s="1"/>
  <c r="D175" i="16"/>
  <c r="B176" i="16"/>
  <c r="C176" i="16"/>
  <c r="D176" i="16"/>
  <c r="B177" i="16"/>
  <c r="C177" i="16"/>
  <c r="D177" i="16"/>
  <c r="B178" i="16"/>
  <c r="C178" i="16"/>
  <c r="D178" i="16"/>
  <c r="B179" i="16"/>
  <c r="C179" i="16"/>
  <c r="D179" i="16"/>
  <c r="B180" i="16"/>
  <c r="C180" i="16"/>
  <c r="D180" i="16"/>
  <c r="B181" i="16"/>
  <c r="C181" i="16"/>
  <c r="D181" i="16"/>
  <c r="B182" i="16"/>
  <c r="C182" i="16"/>
  <c r="A182" i="16" s="1"/>
  <c r="D182" i="16"/>
  <c r="B183" i="16"/>
  <c r="C183" i="16"/>
  <c r="A183" i="16" s="1"/>
  <c r="D183" i="16"/>
  <c r="B184" i="16"/>
  <c r="C184" i="16"/>
  <c r="D184" i="16"/>
  <c r="B185" i="16"/>
  <c r="C185" i="16"/>
  <c r="D185" i="16"/>
  <c r="B186" i="16"/>
  <c r="C186" i="16"/>
  <c r="D186" i="16"/>
  <c r="B187" i="16"/>
  <c r="C187" i="16"/>
  <c r="A187" i="16" s="1"/>
  <c r="D187" i="16"/>
  <c r="B188" i="16"/>
  <c r="C188" i="16"/>
  <c r="D188" i="16"/>
  <c r="B189" i="16"/>
  <c r="C189" i="16"/>
  <c r="D189" i="16"/>
  <c r="B190" i="16"/>
  <c r="C190" i="16"/>
  <c r="D190" i="16"/>
  <c r="B191" i="16"/>
  <c r="C191" i="16"/>
  <c r="A191" i="16" s="1"/>
  <c r="D191" i="16"/>
  <c r="B192" i="16"/>
  <c r="C192" i="16"/>
  <c r="D192" i="16"/>
  <c r="B193" i="16"/>
  <c r="C193" i="16"/>
  <c r="D193" i="16"/>
  <c r="B194" i="16"/>
  <c r="C194" i="16"/>
  <c r="D194" i="16"/>
  <c r="B195" i="16"/>
  <c r="C195" i="16"/>
  <c r="A195" i="16" s="1"/>
  <c r="D195" i="16"/>
  <c r="B196" i="16"/>
  <c r="C196" i="16"/>
  <c r="D196" i="16"/>
  <c r="B197" i="16"/>
  <c r="C197" i="16"/>
  <c r="D197" i="16"/>
  <c r="B198" i="16"/>
  <c r="C198" i="16"/>
  <c r="A198" i="16" s="1"/>
  <c r="D198" i="16"/>
  <c r="B199" i="16"/>
  <c r="C199" i="16"/>
  <c r="A199" i="16" s="1"/>
  <c r="D199" i="16"/>
  <c r="B200" i="16"/>
  <c r="C200" i="16"/>
  <c r="D200" i="16"/>
  <c r="B201" i="16"/>
  <c r="C201" i="16"/>
  <c r="D201" i="16"/>
  <c r="B202" i="16"/>
  <c r="C202" i="16"/>
  <c r="D202" i="16"/>
  <c r="B203" i="16"/>
  <c r="C203" i="16"/>
  <c r="D203" i="16"/>
  <c r="B204" i="16"/>
  <c r="C204" i="16"/>
  <c r="D204" i="16"/>
  <c r="B205" i="16"/>
  <c r="C205" i="16"/>
  <c r="D205" i="16"/>
  <c r="B206" i="16"/>
  <c r="C206" i="16"/>
  <c r="A206" i="16" s="1"/>
  <c r="D206" i="16"/>
  <c r="B207" i="16"/>
  <c r="C207" i="16"/>
  <c r="D207" i="16"/>
  <c r="B208" i="16"/>
  <c r="C208" i="16"/>
  <c r="D208" i="16"/>
  <c r="B209" i="16"/>
  <c r="C209" i="16"/>
  <c r="D209" i="16"/>
  <c r="B210" i="16"/>
  <c r="C210" i="16"/>
  <c r="D210" i="16"/>
  <c r="B211" i="16"/>
  <c r="C211" i="16"/>
  <c r="D211" i="16"/>
  <c r="B212" i="16"/>
  <c r="C212" i="16"/>
  <c r="D212" i="16"/>
  <c r="B213" i="16"/>
  <c r="C213" i="16"/>
  <c r="D213" i="16"/>
  <c r="B214" i="16"/>
  <c r="C214" i="16"/>
  <c r="D214" i="16"/>
  <c r="B215" i="16"/>
  <c r="C215" i="16"/>
  <c r="D215" i="16"/>
  <c r="B216" i="16"/>
  <c r="C216" i="16"/>
  <c r="D216" i="16"/>
  <c r="B217" i="16"/>
  <c r="C217" i="16"/>
  <c r="D217" i="16"/>
  <c r="B218" i="16"/>
  <c r="C218" i="16"/>
  <c r="D218" i="16"/>
  <c r="B219" i="16"/>
  <c r="C219" i="16"/>
  <c r="D219" i="16"/>
  <c r="B220" i="16"/>
  <c r="C220" i="16"/>
  <c r="D220" i="16"/>
  <c r="B221" i="16"/>
  <c r="C221" i="16"/>
  <c r="D221" i="16"/>
  <c r="B222" i="16"/>
  <c r="C222" i="16"/>
  <c r="D222" i="16"/>
  <c r="B223" i="16"/>
  <c r="C223" i="16"/>
  <c r="D223" i="16"/>
  <c r="B224" i="16"/>
  <c r="C224" i="16"/>
  <c r="D224" i="16"/>
  <c r="B225" i="16"/>
  <c r="C225" i="16"/>
  <c r="D225" i="16"/>
  <c r="B226" i="16"/>
  <c r="C226" i="16"/>
  <c r="D226" i="16"/>
  <c r="B227" i="16"/>
  <c r="C227" i="16"/>
  <c r="D227" i="16"/>
  <c r="B228" i="16"/>
  <c r="C228" i="16"/>
  <c r="D228" i="16"/>
  <c r="B229" i="16"/>
  <c r="C229" i="16"/>
  <c r="D229" i="16"/>
  <c r="B230" i="16"/>
  <c r="C230" i="16"/>
  <c r="D230" i="16"/>
  <c r="B231" i="16"/>
  <c r="C231" i="16"/>
  <c r="D231" i="16"/>
  <c r="B232" i="16"/>
  <c r="C232" i="16"/>
  <c r="D232" i="16"/>
  <c r="B233" i="16"/>
  <c r="C233" i="16"/>
  <c r="D233" i="16"/>
  <c r="B234" i="16"/>
  <c r="C234" i="16"/>
  <c r="A234" i="16" s="1"/>
  <c r="D234" i="16"/>
  <c r="B235" i="16"/>
  <c r="C235" i="16"/>
  <c r="A235" i="16" s="1"/>
  <c r="D235" i="16"/>
  <c r="B236" i="16"/>
  <c r="C236" i="16"/>
  <c r="D236" i="16"/>
  <c r="B237" i="16"/>
  <c r="C237" i="16"/>
  <c r="D237" i="16"/>
  <c r="B238" i="16"/>
  <c r="C238" i="16"/>
  <c r="A238" i="16" s="1"/>
  <c r="D238" i="16"/>
  <c r="B239" i="16"/>
  <c r="C239" i="16"/>
  <c r="D239" i="16"/>
  <c r="B240" i="16"/>
  <c r="C240" i="16"/>
  <c r="D240" i="16"/>
  <c r="B241" i="16"/>
  <c r="C241" i="16"/>
  <c r="D241" i="16"/>
  <c r="B242" i="16"/>
  <c r="C242" i="16"/>
  <c r="D242" i="16"/>
  <c r="B243" i="16"/>
  <c r="C243" i="16"/>
  <c r="A243" i="16" s="1"/>
  <c r="D243" i="16"/>
  <c r="B244" i="16"/>
  <c r="C244" i="16"/>
  <c r="D244" i="16"/>
  <c r="B245" i="16"/>
  <c r="C245" i="16"/>
  <c r="D245" i="16"/>
  <c r="B246" i="16"/>
  <c r="C246" i="16"/>
  <c r="D246" i="16"/>
  <c r="B247" i="16"/>
  <c r="C247" i="16"/>
  <c r="A247" i="16" s="1"/>
  <c r="D247" i="16"/>
  <c r="B248" i="16"/>
  <c r="C248" i="16"/>
  <c r="D248" i="16"/>
  <c r="B249" i="16"/>
  <c r="C249" i="16"/>
  <c r="D249" i="16"/>
  <c r="B250" i="16"/>
  <c r="C250" i="16"/>
  <c r="A250" i="16" s="1"/>
  <c r="D250" i="16"/>
  <c r="B251" i="16"/>
  <c r="C251" i="16"/>
  <c r="A251" i="16" s="1"/>
  <c r="D251" i="16"/>
  <c r="B252" i="16"/>
  <c r="C252" i="16"/>
  <c r="D252" i="16"/>
  <c r="B253" i="16"/>
  <c r="C253" i="16"/>
  <c r="D253" i="16"/>
  <c r="B254" i="16"/>
  <c r="C254" i="16"/>
  <c r="D254" i="16"/>
  <c r="B255" i="16"/>
  <c r="C255" i="16"/>
  <c r="D255" i="16"/>
  <c r="B256" i="16"/>
  <c r="C256" i="16"/>
  <c r="D256" i="16"/>
  <c r="B257" i="16"/>
  <c r="C257" i="16"/>
  <c r="D257" i="16"/>
  <c r="B258" i="16"/>
  <c r="C258" i="16"/>
  <c r="D258" i="16"/>
  <c r="B259" i="16"/>
  <c r="C259" i="16"/>
  <c r="A259" i="16" s="1"/>
  <c r="D259" i="16"/>
  <c r="B260" i="16"/>
  <c r="C260" i="16"/>
  <c r="D260" i="16"/>
  <c r="B261" i="16"/>
  <c r="C261" i="16"/>
  <c r="D261" i="16"/>
  <c r="B262" i="16"/>
  <c r="C262" i="16"/>
  <c r="D262" i="16"/>
  <c r="B263" i="16"/>
  <c r="C263" i="16"/>
  <c r="A263" i="16" s="1"/>
  <c r="D263" i="16"/>
  <c r="B264" i="16"/>
  <c r="C264" i="16"/>
  <c r="D264" i="16"/>
  <c r="B265" i="16"/>
  <c r="C265" i="16"/>
  <c r="D265" i="16"/>
  <c r="B266" i="16"/>
  <c r="C266" i="16"/>
  <c r="D266" i="16"/>
  <c r="B267" i="16"/>
  <c r="C267" i="16"/>
  <c r="A267" i="16" s="1"/>
  <c r="D267" i="16"/>
  <c r="B268" i="16"/>
  <c r="C268" i="16"/>
  <c r="D268" i="16"/>
  <c r="B269" i="16"/>
  <c r="C269" i="16"/>
  <c r="D269" i="16"/>
  <c r="B270" i="16"/>
  <c r="C270" i="16"/>
  <c r="D270" i="16"/>
  <c r="B271" i="16"/>
  <c r="C271" i="16"/>
  <c r="A271" i="16" s="1"/>
  <c r="D271" i="16"/>
  <c r="B272" i="16"/>
  <c r="C272" i="16"/>
  <c r="D272" i="16"/>
  <c r="B273" i="16"/>
  <c r="C273" i="16"/>
  <c r="D273" i="16"/>
  <c r="B274" i="16"/>
  <c r="C274" i="16"/>
  <c r="D274" i="16"/>
  <c r="B275" i="16"/>
  <c r="C275" i="16"/>
  <c r="A275" i="16" s="1"/>
  <c r="D275" i="16"/>
  <c r="B276" i="16"/>
  <c r="C276" i="16"/>
  <c r="D276" i="16"/>
  <c r="B277" i="16"/>
  <c r="C277" i="16"/>
  <c r="D277" i="16"/>
  <c r="B278" i="16"/>
  <c r="C278" i="16"/>
  <c r="D278" i="16"/>
  <c r="B279" i="16"/>
  <c r="C279" i="16"/>
  <c r="A279" i="16" s="1"/>
  <c r="D279" i="16"/>
  <c r="B280" i="16"/>
  <c r="C280" i="16"/>
  <c r="D280" i="16"/>
  <c r="B281" i="16"/>
  <c r="C281" i="16"/>
  <c r="A281" i="16" s="1"/>
  <c r="D281" i="16"/>
  <c r="B282" i="16"/>
  <c r="C282" i="16"/>
  <c r="D282" i="16"/>
  <c r="B283" i="16"/>
  <c r="C283" i="16"/>
  <c r="A283" i="16" s="1"/>
  <c r="D283" i="16"/>
  <c r="B284" i="16"/>
  <c r="C284" i="16"/>
  <c r="D284" i="16"/>
  <c r="B285" i="16"/>
  <c r="C285" i="16"/>
  <c r="D285" i="16"/>
  <c r="B286" i="16"/>
  <c r="C286" i="16"/>
  <c r="A286" i="16" s="1"/>
  <c r="D286" i="16"/>
  <c r="B287" i="16"/>
  <c r="C287" i="16"/>
  <c r="A287" i="16" s="1"/>
  <c r="D287" i="16"/>
  <c r="E287" i="16" s="1"/>
  <c r="H287" i="16" s="1"/>
  <c r="B288" i="16"/>
  <c r="C288" i="16"/>
  <c r="D288" i="16"/>
  <c r="E288" i="16" s="1"/>
  <c r="H288" i="16" s="1"/>
  <c r="B289" i="16"/>
  <c r="C289" i="16"/>
  <c r="D289" i="16"/>
  <c r="E289" i="16" s="1"/>
  <c r="H289" i="16" s="1"/>
  <c r="B290" i="16"/>
  <c r="C290" i="16"/>
  <c r="D290" i="16"/>
  <c r="E290" i="16" s="1"/>
  <c r="H290" i="16" s="1"/>
  <c r="B291" i="16"/>
  <c r="C291" i="16"/>
  <c r="A291" i="16" s="1"/>
  <c r="D291" i="16"/>
  <c r="E291" i="16" s="1"/>
  <c r="H291" i="16" s="1"/>
  <c r="B292" i="16"/>
  <c r="C292" i="16"/>
  <c r="D292" i="16"/>
  <c r="E292" i="16" s="1"/>
  <c r="H292" i="16" s="1"/>
  <c r="B293" i="16"/>
  <c r="C293" i="16"/>
  <c r="D293" i="16"/>
  <c r="E293" i="16" s="1"/>
  <c r="H293" i="16" s="1"/>
  <c r="B294" i="16"/>
  <c r="C294" i="16"/>
  <c r="D294" i="16"/>
  <c r="E294" i="16" s="1"/>
  <c r="H294" i="16" s="1"/>
  <c r="B295" i="16"/>
  <c r="C295" i="16"/>
  <c r="A295" i="16" s="1"/>
  <c r="D295" i="16"/>
  <c r="E295" i="16" s="1"/>
  <c r="H295" i="16" s="1"/>
  <c r="B296" i="16"/>
  <c r="C296" i="16"/>
  <c r="D296" i="16"/>
  <c r="E296" i="16" s="1"/>
  <c r="H296" i="16" s="1"/>
  <c r="B297" i="16"/>
  <c r="C297" i="16"/>
  <c r="D297" i="16"/>
  <c r="E297" i="16" s="1"/>
  <c r="H297" i="16" s="1"/>
  <c r="B298" i="16"/>
  <c r="C298" i="16"/>
  <c r="D298" i="16"/>
  <c r="E298" i="16" s="1"/>
  <c r="H298" i="16" s="1"/>
  <c r="B299" i="16"/>
  <c r="C299" i="16"/>
  <c r="A299" i="16" s="1"/>
  <c r="D299" i="16"/>
  <c r="E299" i="16" s="1"/>
  <c r="H299" i="16" s="1"/>
  <c r="B300" i="16"/>
  <c r="C300" i="16"/>
  <c r="D300" i="16"/>
  <c r="E300" i="16" s="1"/>
  <c r="H300" i="16" s="1"/>
  <c r="B301" i="16"/>
  <c r="C301" i="16"/>
  <c r="D301" i="16"/>
  <c r="E301" i="16" s="1"/>
  <c r="H301" i="16" s="1"/>
  <c r="B302" i="16"/>
  <c r="C302" i="16"/>
  <c r="D302" i="16"/>
  <c r="E302" i="16" s="1"/>
  <c r="H302" i="16" s="1"/>
  <c r="B303" i="16"/>
  <c r="C303" i="16"/>
  <c r="D303" i="16"/>
  <c r="E303" i="16" s="1"/>
  <c r="H303" i="16" s="1"/>
  <c r="B304" i="16"/>
  <c r="C304" i="16"/>
  <c r="D304" i="16"/>
  <c r="E304" i="16" s="1"/>
  <c r="H304" i="16" s="1"/>
  <c r="B305" i="16"/>
  <c r="C305" i="16"/>
  <c r="D305" i="16"/>
  <c r="E305" i="16" s="1"/>
  <c r="H305" i="16" s="1"/>
  <c r="B306" i="16"/>
  <c r="C306" i="16"/>
  <c r="D306" i="16"/>
  <c r="E306" i="16" s="1"/>
  <c r="H306" i="16" s="1"/>
  <c r="B307" i="16"/>
  <c r="C307" i="16"/>
  <c r="A307" i="16" s="1"/>
  <c r="D307" i="16"/>
  <c r="E307" i="16" s="1"/>
  <c r="H307" i="16" s="1"/>
  <c r="B308" i="16"/>
  <c r="C308" i="16"/>
  <c r="D308" i="16"/>
  <c r="E308" i="16" s="1"/>
  <c r="H308" i="16" s="1"/>
  <c r="B309" i="16"/>
  <c r="C309" i="16"/>
  <c r="D309" i="16"/>
  <c r="E309" i="16" s="1"/>
  <c r="H309" i="16" s="1"/>
  <c r="B310" i="16"/>
  <c r="C310" i="16"/>
  <c r="D310" i="16"/>
  <c r="E310" i="16" s="1"/>
  <c r="H310" i="16" s="1"/>
  <c r="B311" i="16"/>
  <c r="C311" i="16"/>
  <c r="A311" i="16" s="1"/>
  <c r="D311" i="16"/>
  <c r="E311" i="16" s="1"/>
  <c r="H311" i="16" s="1"/>
  <c r="B312" i="16"/>
  <c r="C312" i="16"/>
  <c r="D312" i="16"/>
  <c r="E312" i="16" s="1"/>
  <c r="H312" i="16" s="1"/>
  <c r="B313" i="16"/>
  <c r="C313" i="16"/>
  <c r="D313" i="16"/>
  <c r="E313" i="16" s="1"/>
  <c r="H313" i="16" s="1"/>
  <c r="B314" i="16"/>
  <c r="C314" i="16"/>
  <c r="D314" i="16"/>
  <c r="E314" i="16" s="1"/>
  <c r="H314" i="16" s="1"/>
  <c r="B315" i="16"/>
  <c r="C315" i="16"/>
  <c r="D315" i="16"/>
  <c r="E315" i="16" s="1"/>
  <c r="H315" i="16" s="1"/>
  <c r="B316" i="16"/>
  <c r="C316" i="16"/>
  <c r="D316" i="16"/>
  <c r="E316" i="16" s="1"/>
  <c r="H316" i="16" s="1"/>
  <c r="B317" i="16"/>
  <c r="C317" i="16"/>
  <c r="D317" i="16"/>
  <c r="E317" i="16" s="1"/>
  <c r="H317" i="16" s="1"/>
  <c r="B318" i="16"/>
  <c r="C318" i="16"/>
  <c r="D318" i="16"/>
  <c r="E318" i="16" s="1"/>
  <c r="H318" i="16" s="1"/>
  <c r="B319" i="16"/>
  <c r="C319" i="16"/>
  <c r="D319" i="16"/>
  <c r="E319" i="16" s="1"/>
  <c r="H319" i="16" s="1"/>
  <c r="B320" i="16"/>
  <c r="C320" i="16"/>
  <c r="D320" i="16"/>
  <c r="E320" i="16" s="1"/>
  <c r="H320" i="16" s="1"/>
  <c r="B321" i="16"/>
  <c r="C321" i="16"/>
  <c r="D321" i="16"/>
  <c r="E321" i="16" s="1"/>
  <c r="H321" i="16" s="1"/>
  <c r="B322" i="16"/>
  <c r="C322" i="16"/>
  <c r="D322" i="16"/>
  <c r="E322" i="16" s="1"/>
  <c r="H322" i="16" s="1"/>
  <c r="B323" i="16"/>
  <c r="C323" i="16"/>
  <c r="D323" i="16"/>
  <c r="E323" i="16" s="1"/>
  <c r="H323" i="16" s="1"/>
  <c r="B324" i="16"/>
  <c r="C324" i="16"/>
  <c r="D324" i="16"/>
  <c r="E324" i="16" s="1"/>
  <c r="H324" i="16" s="1"/>
  <c r="B325" i="16"/>
  <c r="C325" i="16"/>
  <c r="D325" i="16"/>
  <c r="E325" i="16" s="1"/>
  <c r="H325" i="16" s="1"/>
  <c r="B326" i="16"/>
  <c r="C326" i="16"/>
  <c r="D326" i="16"/>
  <c r="E326" i="16" s="1"/>
  <c r="H326" i="16" s="1"/>
  <c r="B327" i="16"/>
  <c r="C327" i="16"/>
  <c r="A327" i="16" s="1"/>
  <c r="D327" i="16"/>
  <c r="E327" i="16" s="1"/>
  <c r="H327" i="16" s="1"/>
  <c r="B328" i="16"/>
  <c r="C328" i="16"/>
  <c r="D328" i="16"/>
  <c r="E328" i="16" s="1"/>
  <c r="H328" i="16" s="1"/>
  <c r="B329" i="16"/>
  <c r="C329" i="16"/>
  <c r="D329" i="16"/>
  <c r="E329" i="16" s="1"/>
  <c r="H329" i="16" s="1"/>
  <c r="B330" i="16"/>
  <c r="C330" i="16"/>
  <c r="D330" i="16"/>
  <c r="E330" i="16" s="1"/>
  <c r="H330" i="16" s="1"/>
  <c r="C31" i="16"/>
  <c r="D31" i="16"/>
  <c r="B31" i="16"/>
  <c r="F3" i="18"/>
  <c r="E3" i="18"/>
  <c r="A1" i="18"/>
  <c r="A303" i="16"/>
  <c r="A255" i="16"/>
  <c r="A239" i="16"/>
  <c r="A179" i="16"/>
  <c r="A163" i="16"/>
  <c r="A135" i="16"/>
  <c r="A126" i="16"/>
  <c r="A86" i="16"/>
  <c r="A77" i="16"/>
  <c r="A66" i="16"/>
  <c r="A51" i="16"/>
  <c r="C4" i="16"/>
  <c r="B4" i="16"/>
  <c r="C3" i="16"/>
  <c r="B3" i="16"/>
  <c r="A1" i="16"/>
  <c r="B4" i="13"/>
  <c r="C4" i="13"/>
  <c r="C3" i="13"/>
  <c r="B3" i="13"/>
  <c r="E4" i="14"/>
  <c r="F3" i="14"/>
  <c r="E3" i="14"/>
  <c r="H1" i="19" s="1"/>
  <c r="A1" i="14"/>
  <c r="AC29" i="13"/>
  <c r="C6" i="3"/>
  <c r="F4" i="14" s="1"/>
  <c r="C26" i="3"/>
  <c r="R390" i="13" s="1"/>
  <c r="G33" i="12"/>
  <c r="AA33" i="12" s="1"/>
  <c r="F33" i="12"/>
  <c r="BO32" i="12"/>
  <c r="BO33" i="12"/>
  <c r="BO34" i="12"/>
  <c r="BO35" i="12"/>
  <c r="BO36" i="12"/>
  <c r="BO37" i="12"/>
  <c r="BO38" i="12"/>
  <c r="BO39" i="12"/>
  <c r="BO40" i="12"/>
  <c r="BO41" i="12"/>
  <c r="BO42" i="12"/>
  <c r="BO43" i="12"/>
  <c r="BO44" i="12"/>
  <c r="BO45" i="12"/>
  <c r="BO46" i="12"/>
  <c r="BO47" i="12"/>
  <c r="BO48" i="12"/>
  <c r="BO49" i="12"/>
  <c r="BO50" i="12"/>
  <c r="BO51" i="12"/>
  <c r="BO52" i="12"/>
  <c r="BO53" i="12"/>
  <c r="BO54" i="12"/>
  <c r="BO55" i="12"/>
  <c r="BO56" i="12"/>
  <c r="BO57" i="12"/>
  <c r="BO58" i="12"/>
  <c r="BO59" i="12"/>
  <c r="BO60" i="12"/>
  <c r="BO61" i="12"/>
  <c r="BO62" i="12"/>
  <c r="BO63" i="12"/>
  <c r="BO64" i="12"/>
  <c r="BO65" i="12"/>
  <c r="BO66" i="12"/>
  <c r="BO67" i="12"/>
  <c r="BO68" i="12"/>
  <c r="BO69" i="12"/>
  <c r="BO70" i="12"/>
  <c r="BO71" i="12"/>
  <c r="BO72" i="12"/>
  <c r="BO73" i="12"/>
  <c r="BO74" i="12"/>
  <c r="BO75" i="12"/>
  <c r="BO76" i="12"/>
  <c r="BO77" i="12"/>
  <c r="BO78" i="12"/>
  <c r="BO79" i="12"/>
  <c r="BO80" i="12"/>
  <c r="BO81" i="12"/>
  <c r="BO82" i="12"/>
  <c r="BO83" i="12"/>
  <c r="BO84" i="12"/>
  <c r="BO85" i="12"/>
  <c r="BO86" i="12"/>
  <c r="BO87" i="12"/>
  <c r="BO88" i="12"/>
  <c r="BO89" i="12"/>
  <c r="BO90" i="12"/>
  <c r="BO91" i="12"/>
  <c r="BO92" i="12"/>
  <c r="BO93" i="12"/>
  <c r="BO94" i="12"/>
  <c r="BO95" i="12"/>
  <c r="BO96" i="12"/>
  <c r="BO97" i="12"/>
  <c r="BO98" i="12"/>
  <c r="BO99" i="12"/>
  <c r="BO100" i="12"/>
  <c r="BO101" i="12"/>
  <c r="BO102" i="12"/>
  <c r="BO103" i="12"/>
  <c r="BO104" i="12"/>
  <c r="BO105" i="12"/>
  <c r="BO106" i="12"/>
  <c r="BO107" i="12"/>
  <c r="BO108" i="12"/>
  <c r="BO109" i="12"/>
  <c r="BO110" i="12"/>
  <c r="BO111" i="12"/>
  <c r="BO112" i="12"/>
  <c r="BO113" i="12"/>
  <c r="BO114" i="12"/>
  <c r="BO115" i="12"/>
  <c r="BO116" i="12"/>
  <c r="BO117" i="12"/>
  <c r="BO118" i="12"/>
  <c r="BO119" i="12"/>
  <c r="BO120" i="12"/>
  <c r="BO121" i="12"/>
  <c r="BO122" i="12"/>
  <c r="BO123" i="12"/>
  <c r="BO124" i="12"/>
  <c r="BO125" i="12"/>
  <c r="BO126" i="12"/>
  <c r="BO127" i="12"/>
  <c r="BO128" i="12"/>
  <c r="BO129" i="12"/>
  <c r="BO130" i="12"/>
  <c r="BO131" i="12"/>
  <c r="BO132" i="12"/>
  <c r="BO133" i="12"/>
  <c r="BO134" i="12"/>
  <c r="BO135" i="12"/>
  <c r="BO136" i="12"/>
  <c r="BO137" i="12"/>
  <c r="BO138" i="12"/>
  <c r="BO139" i="12"/>
  <c r="BO140" i="12"/>
  <c r="BO141" i="12"/>
  <c r="BO142" i="12"/>
  <c r="BO143" i="12"/>
  <c r="BO144" i="12"/>
  <c r="BO145" i="12"/>
  <c r="BO146" i="12"/>
  <c r="BO147" i="12"/>
  <c r="BO148" i="12"/>
  <c r="BO149" i="12"/>
  <c r="BO150" i="12"/>
  <c r="BO151" i="12"/>
  <c r="BO152" i="12"/>
  <c r="BO153" i="12"/>
  <c r="BO154" i="12"/>
  <c r="BO155" i="12"/>
  <c r="BO156" i="12"/>
  <c r="BO157" i="12"/>
  <c r="BO158" i="12"/>
  <c r="BO159" i="12"/>
  <c r="BO160" i="12"/>
  <c r="BO161" i="12"/>
  <c r="BO162" i="12"/>
  <c r="BO163" i="12"/>
  <c r="BO164" i="12"/>
  <c r="BO165" i="12"/>
  <c r="BO166" i="12"/>
  <c r="BO167" i="12"/>
  <c r="BO168" i="12"/>
  <c r="BO169" i="12"/>
  <c r="BO170" i="12"/>
  <c r="BO171" i="12"/>
  <c r="BO172" i="12"/>
  <c r="BO173" i="12"/>
  <c r="BO174" i="12"/>
  <c r="BO175" i="12"/>
  <c r="BO176" i="12"/>
  <c r="BO177" i="12"/>
  <c r="BO178" i="12"/>
  <c r="BO179" i="12"/>
  <c r="BO180" i="12"/>
  <c r="BO181" i="12"/>
  <c r="BO182" i="12"/>
  <c r="BO183" i="12"/>
  <c r="BO184" i="12"/>
  <c r="BO185" i="12"/>
  <c r="BO186" i="12"/>
  <c r="BO187" i="12"/>
  <c r="BO188" i="12"/>
  <c r="BO189" i="12"/>
  <c r="BO190" i="12"/>
  <c r="BO191" i="12"/>
  <c r="BO192" i="12"/>
  <c r="BO193" i="12"/>
  <c r="BO194" i="12"/>
  <c r="BO195" i="12"/>
  <c r="BO196" i="12"/>
  <c r="BO197" i="12"/>
  <c r="BO198" i="12"/>
  <c r="BO199" i="12"/>
  <c r="BO200" i="12"/>
  <c r="BO201" i="12"/>
  <c r="BO202" i="12"/>
  <c r="BO203" i="12"/>
  <c r="BO204" i="12"/>
  <c r="BO205" i="12"/>
  <c r="BO206" i="12"/>
  <c r="BO207" i="12"/>
  <c r="BO208" i="12"/>
  <c r="BO209" i="12"/>
  <c r="BO210" i="12"/>
  <c r="BO211" i="12"/>
  <c r="BO212" i="12"/>
  <c r="BO213" i="12"/>
  <c r="BO214" i="12"/>
  <c r="BO215" i="12"/>
  <c r="BO216" i="12"/>
  <c r="BO217" i="12"/>
  <c r="BO218" i="12"/>
  <c r="BO219" i="12"/>
  <c r="BO220" i="12"/>
  <c r="BO221" i="12"/>
  <c r="BO222" i="12"/>
  <c r="BO223" i="12"/>
  <c r="BO224" i="12"/>
  <c r="BO225" i="12"/>
  <c r="BO226" i="12"/>
  <c r="BO227" i="12"/>
  <c r="BO228" i="12"/>
  <c r="BO229" i="12"/>
  <c r="BO230" i="12"/>
  <c r="BO231" i="12"/>
  <c r="BO232" i="12"/>
  <c r="BO233" i="12"/>
  <c r="BO234" i="12"/>
  <c r="BO235" i="12"/>
  <c r="BO236" i="12"/>
  <c r="BO237" i="12"/>
  <c r="BO238" i="12"/>
  <c r="BO239" i="12"/>
  <c r="BO240" i="12"/>
  <c r="BO241" i="12"/>
  <c r="BO242" i="12"/>
  <c r="BO243" i="12"/>
  <c r="BO244" i="12"/>
  <c r="BO245" i="12"/>
  <c r="BO246" i="12"/>
  <c r="BO247" i="12"/>
  <c r="BO248" i="12"/>
  <c r="BO249" i="12"/>
  <c r="BO250" i="12"/>
  <c r="BO251" i="12"/>
  <c r="BO252" i="12"/>
  <c r="BO253" i="12"/>
  <c r="BO254" i="12"/>
  <c r="BO255" i="12"/>
  <c r="BO256" i="12"/>
  <c r="BO257" i="12"/>
  <c r="BO258" i="12"/>
  <c r="BO259" i="12"/>
  <c r="BO260" i="12"/>
  <c r="BO261" i="12"/>
  <c r="BO262" i="12"/>
  <c r="BO263" i="12"/>
  <c r="BO264" i="12"/>
  <c r="BO265" i="12"/>
  <c r="BO266" i="12"/>
  <c r="BO267" i="12"/>
  <c r="BO268" i="12"/>
  <c r="BO269" i="12"/>
  <c r="BO270" i="12"/>
  <c r="BO271" i="12"/>
  <c r="BO272" i="12"/>
  <c r="BO273" i="12"/>
  <c r="BO274" i="12"/>
  <c r="BO275" i="12"/>
  <c r="BO276" i="12"/>
  <c r="BO277" i="12"/>
  <c r="BO278" i="12"/>
  <c r="BO279" i="12"/>
  <c r="BO280" i="12"/>
  <c r="BO281" i="12"/>
  <c r="BO282" i="12"/>
  <c r="BO283" i="12"/>
  <c r="BO284" i="12"/>
  <c r="BO285" i="12"/>
  <c r="BO286" i="12"/>
  <c r="BO287" i="12"/>
  <c r="BO288" i="12"/>
  <c r="BO289" i="12"/>
  <c r="BO290" i="12"/>
  <c r="BO291" i="12"/>
  <c r="BO292" i="12"/>
  <c r="BO293" i="12"/>
  <c r="BO294" i="12"/>
  <c r="BO295" i="12"/>
  <c r="BO296" i="12"/>
  <c r="BO297" i="12"/>
  <c r="BO298" i="12"/>
  <c r="BO299" i="12"/>
  <c r="BO300" i="12"/>
  <c r="BO301" i="12"/>
  <c r="BO302" i="12"/>
  <c r="BO303" i="12"/>
  <c r="BO304" i="12"/>
  <c r="BO305" i="12"/>
  <c r="BO306" i="12"/>
  <c r="BO307" i="12"/>
  <c r="BO308" i="12"/>
  <c r="BO309" i="12"/>
  <c r="BO310" i="12"/>
  <c r="BO311" i="12"/>
  <c r="BO312" i="12"/>
  <c r="BO313" i="12"/>
  <c r="BO314" i="12"/>
  <c r="BO315" i="12"/>
  <c r="BO316" i="12"/>
  <c r="BO317" i="12"/>
  <c r="BO318" i="12"/>
  <c r="BO319" i="12"/>
  <c r="BO320" i="12"/>
  <c r="BO321" i="12"/>
  <c r="BO322" i="12"/>
  <c r="BO323" i="12"/>
  <c r="BO324" i="12"/>
  <c r="BO325" i="12"/>
  <c r="BO326" i="12"/>
  <c r="BO327" i="12"/>
  <c r="BO328" i="12"/>
  <c r="BO329" i="12"/>
  <c r="BO31" i="12"/>
  <c r="P350" i="9" l="1"/>
  <c r="Q329" i="9"/>
  <c r="Q310" i="9"/>
  <c r="Q312" i="9"/>
  <c r="P335" i="9"/>
  <c r="Q313" i="9"/>
  <c r="P341" i="9"/>
  <c r="Q367" i="9"/>
  <c r="Q364" i="9"/>
  <c r="V366" i="19"/>
  <c r="P366" i="19"/>
  <c r="K366" i="19"/>
  <c r="S395" i="19"/>
  <c r="K395" i="19"/>
  <c r="W395" i="19"/>
  <c r="S361" i="19"/>
  <c r="AF361" i="19"/>
  <c r="P361" i="19"/>
  <c r="Y365" i="19"/>
  <c r="W365" i="19"/>
  <c r="P347" i="9"/>
  <c r="P339" i="9"/>
  <c r="P345" i="9"/>
  <c r="Q362" i="9"/>
  <c r="Q343" i="9"/>
  <c r="Q305" i="9"/>
  <c r="Q326" i="9"/>
  <c r="Q317" i="9"/>
  <c r="L395" i="19"/>
  <c r="T395" i="19"/>
  <c r="Q395" i="19"/>
  <c r="Y361" i="19"/>
  <c r="V361" i="19"/>
  <c r="T361" i="19"/>
  <c r="P308" i="9"/>
  <c r="P342" i="9"/>
  <c r="Q336" i="9"/>
  <c r="Q360" i="9"/>
  <c r="Q369" i="9"/>
  <c r="P355" i="9"/>
  <c r="P363" i="9"/>
  <c r="Q306" i="9"/>
  <c r="Q311" i="9"/>
  <c r="P323" i="9"/>
  <c r="S366" i="19"/>
  <c r="AI366" i="19"/>
  <c r="Q366" i="19"/>
  <c r="AI395" i="19"/>
  <c r="N395" i="19"/>
  <c r="AI361" i="19"/>
  <c r="N361" i="19"/>
  <c r="Z361" i="19"/>
  <c r="L365" i="19"/>
  <c r="L366" i="19"/>
  <c r="AA366" i="19"/>
  <c r="N366" i="19"/>
  <c r="O366" i="19" s="1"/>
  <c r="B395" i="19"/>
  <c r="AF395" i="19"/>
  <c r="V395" i="19"/>
  <c r="B361" i="19"/>
  <c r="AA361" i="19"/>
  <c r="AA365" i="19"/>
  <c r="N365" i="19"/>
  <c r="P380" i="9"/>
  <c r="Q380" i="9"/>
  <c r="P377" i="9"/>
  <c r="Q377" i="9"/>
  <c r="AI405" i="19"/>
  <c r="B405" i="19"/>
  <c r="B400" i="19"/>
  <c r="AI400" i="19"/>
  <c r="AI398" i="19"/>
  <c r="B398" i="19"/>
  <c r="V353" i="19"/>
  <c r="R398" i="13"/>
  <c r="R399" i="13"/>
  <c r="R402" i="13"/>
  <c r="AB398" i="13"/>
  <c r="Y398" i="14"/>
  <c r="Q371" i="9"/>
  <c r="P371" i="9"/>
  <c r="AI401" i="19"/>
  <c r="B401" i="19"/>
  <c r="AB406" i="13"/>
  <c r="Y406" i="14"/>
  <c r="P381" i="9"/>
  <c r="Q381" i="9"/>
  <c r="P374" i="9"/>
  <c r="Q374" i="9"/>
  <c r="P375" i="9"/>
  <c r="Q375" i="9"/>
  <c r="Q378" i="9"/>
  <c r="P378" i="9"/>
  <c r="AI399" i="19"/>
  <c r="Z400" i="14"/>
  <c r="AC400" i="13"/>
  <c r="AA400" i="14" s="1"/>
  <c r="AB397" i="13"/>
  <c r="Y397" i="14"/>
  <c r="AI403" i="19"/>
  <c r="B403" i="19"/>
  <c r="AI406" i="19"/>
  <c r="B406" i="19"/>
  <c r="Q372" i="9"/>
  <c r="P372" i="9"/>
  <c r="Y353" i="19"/>
  <c r="R404" i="13"/>
  <c r="R407" i="13"/>
  <c r="P373" i="9"/>
  <c r="Q373" i="9"/>
  <c r="P376" i="9"/>
  <c r="Q376" i="9"/>
  <c r="B402" i="19"/>
  <c r="AI402" i="19"/>
  <c r="AB404" i="13"/>
  <c r="Y404" i="14"/>
  <c r="R406" i="13"/>
  <c r="Q379" i="9"/>
  <c r="P379" i="9"/>
  <c r="R405" i="13"/>
  <c r="AB396" i="13"/>
  <c r="Y396" i="14"/>
  <c r="B396" i="19"/>
  <c r="AI396" i="19"/>
  <c r="T353" i="19"/>
  <c r="B404" i="19"/>
  <c r="AI404" i="19"/>
  <c r="R397" i="13"/>
  <c r="Z403" i="14"/>
  <c r="AC403" i="13"/>
  <c r="AA403" i="14" s="1"/>
  <c r="Q370" i="9"/>
  <c r="P370" i="9"/>
  <c r="AI407" i="19"/>
  <c r="B407" i="19"/>
  <c r="R403" i="13"/>
  <c r="B397" i="19"/>
  <c r="AI397" i="19"/>
  <c r="R401" i="13"/>
  <c r="B365" i="19"/>
  <c r="S365" i="19"/>
  <c r="V365" i="19"/>
  <c r="AF365" i="19"/>
  <c r="P365" i="19"/>
  <c r="Z365" i="19"/>
  <c r="Q365" i="19"/>
  <c r="N355" i="13"/>
  <c r="O355" i="13" s="1"/>
  <c r="Q355" i="13" s="1"/>
  <c r="R355" i="13" s="1"/>
  <c r="AB380" i="13"/>
  <c r="AC380" i="13" s="1"/>
  <c r="AA380" i="14" s="1"/>
  <c r="K353" i="19"/>
  <c r="S353" i="19"/>
  <c r="P353" i="19"/>
  <c r="W353" i="19"/>
  <c r="AD407" i="13"/>
  <c r="AA407" i="14"/>
  <c r="AB407" i="14" s="1"/>
  <c r="AB390" i="13"/>
  <c r="AC390" i="13" s="1"/>
  <c r="AA390" i="14" s="1"/>
  <c r="N392" i="13"/>
  <c r="O392" i="13" s="1"/>
  <c r="Q392" i="13" s="1"/>
  <c r="R392" i="13" s="1"/>
  <c r="B353" i="19"/>
  <c r="AA353" i="19"/>
  <c r="AI353" i="19"/>
  <c r="AF353" i="19"/>
  <c r="L353" i="19"/>
  <c r="N353" i="19"/>
  <c r="Z353" i="19"/>
  <c r="O395" i="19"/>
  <c r="R395" i="19" s="1"/>
  <c r="U395" i="19" s="1"/>
  <c r="X395" i="19" s="1"/>
  <c r="O365" i="19"/>
  <c r="R365" i="19" s="1"/>
  <c r="U365" i="19" s="1"/>
  <c r="O361" i="19"/>
  <c r="R361" i="19" s="1"/>
  <c r="U361" i="19" s="1"/>
  <c r="X361" i="19" s="1"/>
  <c r="M357" i="13"/>
  <c r="Z392" i="14"/>
  <c r="Y382" i="14"/>
  <c r="AA377" i="14"/>
  <c r="AB377" i="14" s="1"/>
  <c r="Y349" i="14"/>
  <c r="N376" i="13"/>
  <c r="O376" i="13" s="1"/>
  <c r="Q376" i="13" s="1"/>
  <c r="R376" i="13" s="1"/>
  <c r="AA368" i="14"/>
  <c r="AB368" i="14" s="1"/>
  <c r="AA362" i="13"/>
  <c r="AA384" i="13"/>
  <c r="R350" i="13"/>
  <c r="R341" i="13"/>
  <c r="R348" i="13"/>
  <c r="R379" i="13"/>
  <c r="R342" i="13"/>
  <c r="R394" i="13"/>
  <c r="R387" i="13"/>
  <c r="R368" i="13"/>
  <c r="M384" i="13"/>
  <c r="N384" i="13"/>
  <c r="O384" i="13" s="1"/>
  <c r="Q384" i="13" s="1"/>
  <c r="R384" i="13" s="1"/>
  <c r="AB389" i="13"/>
  <c r="AC389" i="13" s="1"/>
  <c r="AA389" i="14" s="1"/>
  <c r="AB387" i="13"/>
  <c r="AC387" i="13" s="1"/>
  <c r="AA387" i="14" s="1"/>
  <c r="Z382" i="14"/>
  <c r="M379" i="13"/>
  <c r="N385" i="13"/>
  <c r="O385" i="13" s="1"/>
  <c r="Q385" i="13" s="1"/>
  <c r="R385" i="13" s="1"/>
  <c r="Y392" i="14"/>
  <c r="AD392" i="13"/>
  <c r="AA392" i="14"/>
  <c r="AB392" i="14" s="1"/>
  <c r="AB393" i="13"/>
  <c r="Y393" i="14"/>
  <c r="M374" i="13"/>
  <c r="N374" i="13"/>
  <c r="O374" i="13" s="1"/>
  <c r="Q374" i="13" s="1"/>
  <c r="R374" i="13" s="1"/>
  <c r="M335" i="13"/>
  <c r="N335" i="13"/>
  <c r="O335" i="13" s="1"/>
  <c r="Q335" i="13" s="1"/>
  <c r="R335" i="13" s="1"/>
  <c r="M333" i="13"/>
  <c r="N333" i="13"/>
  <c r="O333" i="13" s="1"/>
  <c r="Q333" i="13" s="1"/>
  <c r="R333" i="13" s="1"/>
  <c r="AA378" i="14"/>
  <c r="AB378" i="14" s="1"/>
  <c r="AD378" i="13"/>
  <c r="M393" i="13"/>
  <c r="N393" i="13"/>
  <c r="O393" i="13" s="1"/>
  <c r="Q393" i="13" s="1"/>
  <c r="R393" i="13" s="1"/>
  <c r="M345" i="13"/>
  <c r="N345" i="13"/>
  <c r="O345" i="13" s="1"/>
  <c r="Q345" i="13" s="1"/>
  <c r="R345" i="13" s="1"/>
  <c r="R382" i="13"/>
  <c r="M359" i="13"/>
  <c r="N359" i="13"/>
  <c r="O359" i="13" s="1"/>
  <c r="Q359" i="13" s="1"/>
  <c r="R359" i="13" s="1"/>
  <c r="N351" i="13"/>
  <c r="O351" i="13" s="1"/>
  <c r="Q351" i="13" s="1"/>
  <c r="R351" i="13" s="1"/>
  <c r="M351" i="13"/>
  <c r="N370" i="13"/>
  <c r="O370" i="13" s="1"/>
  <c r="Q370" i="13" s="1"/>
  <c r="R370" i="13" s="1"/>
  <c r="M370" i="13"/>
  <c r="R369" i="13"/>
  <c r="M344" i="13"/>
  <c r="N344" i="13"/>
  <c r="O344" i="13" s="1"/>
  <c r="Q344" i="13" s="1"/>
  <c r="R344" i="13" s="1"/>
  <c r="R332" i="13"/>
  <c r="AA381" i="13"/>
  <c r="R375" i="13"/>
  <c r="R373" i="13"/>
  <c r="R334" i="13"/>
  <c r="R354" i="13"/>
  <c r="AB369" i="13"/>
  <c r="Y369" i="14"/>
  <c r="M389" i="13"/>
  <c r="N389" i="13"/>
  <c r="O389" i="13" s="1"/>
  <c r="Q389" i="13" s="1"/>
  <c r="R389" i="13" s="1"/>
  <c r="M339" i="13"/>
  <c r="N339" i="13"/>
  <c r="O339" i="13" s="1"/>
  <c r="Q339" i="13" s="1"/>
  <c r="R339" i="13" s="1"/>
  <c r="Z367" i="14"/>
  <c r="AC367" i="13"/>
  <c r="AC373" i="13"/>
  <c r="Z373" i="14"/>
  <c r="AA375" i="14"/>
  <c r="AB375" i="14" s="1"/>
  <c r="AD375" i="13"/>
  <c r="AC372" i="13"/>
  <c r="Z372" i="14"/>
  <c r="R386" i="13"/>
  <c r="R388" i="13"/>
  <c r="R347" i="13"/>
  <c r="R377" i="13"/>
  <c r="R371" i="13"/>
  <c r="R330" i="13"/>
  <c r="R380" i="13"/>
  <c r="AD349" i="13"/>
  <c r="AA349" i="14"/>
  <c r="AB349" i="14" s="1"/>
  <c r="AB359" i="13"/>
  <c r="Y359" i="14"/>
  <c r="AA370" i="13"/>
  <c r="AB394" i="13"/>
  <c r="Y394" i="14"/>
  <c r="M352" i="13"/>
  <c r="N352" i="13"/>
  <c r="O352" i="13" s="1"/>
  <c r="Q352" i="13" s="1"/>
  <c r="R352" i="13" s="1"/>
  <c r="AA364" i="14"/>
  <c r="AB364" i="14" s="1"/>
  <c r="AD364" i="13"/>
  <c r="AC355" i="13"/>
  <c r="Z355" i="14"/>
  <c r="R383" i="13"/>
  <c r="R360" i="13"/>
  <c r="AB371" i="13"/>
  <c r="Y371" i="14"/>
  <c r="Z374" i="14"/>
  <c r="AC374" i="13"/>
  <c r="R378" i="13"/>
  <c r="R358" i="13"/>
  <c r="AC363" i="13"/>
  <c r="Z363" i="14"/>
  <c r="R372" i="13"/>
  <c r="AD360" i="13"/>
  <c r="AA360" i="14"/>
  <c r="AB360" i="14" s="1"/>
  <c r="AB376" i="13"/>
  <c r="Y376" i="14"/>
  <c r="AD352" i="13"/>
  <c r="AA352" i="14"/>
  <c r="AB352" i="14" s="1"/>
  <c r="Z380" i="14"/>
  <c r="A31" i="16"/>
  <c r="M337" i="13"/>
  <c r="N337" i="13"/>
  <c r="O337" i="13" s="1"/>
  <c r="Q337" i="13" s="1"/>
  <c r="R337" i="13" s="1"/>
  <c r="AA350" i="14"/>
  <c r="AB350" i="14" s="1"/>
  <c r="AD350" i="13"/>
  <c r="AB388" i="13"/>
  <c r="Y388" i="14"/>
  <c r="AC357" i="13"/>
  <c r="Z357" i="14"/>
  <c r="AA358" i="14"/>
  <c r="AB358" i="14" s="1"/>
  <c r="AD358" i="13"/>
  <c r="R346" i="13"/>
  <c r="M381" i="13"/>
  <c r="N381" i="13"/>
  <c r="O381" i="13" s="1"/>
  <c r="Q381" i="13" s="1"/>
  <c r="R381" i="13" s="1"/>
  <c r="AD385" i="13"/>
  <c r="AA385" i="14"/>
  <c r="AB385" i="14" s="1"/>
  <c r="N349" i="13"/>
  <c r="O349" i="13" s="1"/>
  <c r="Q349" i="13" s="1"/>
  <c r="R349" i="13" s="1"/>
  <c r="M349" i="13"/>
  <c r="R343" i="13"/>
  <c r="R340" i="13"/>
  <c r="R356" i="13"/>
  <c r="Z390" i="14"/>
  <c r="R362" i="13"/>
  <c r="M364" i="13"/>
  <c r="N364" i="13"/>
  <c r="O364" i="13" s="1"/>
  <c r="Q364" i="13" s="1"/>
  <c r="R364" i="13" s="1"/>
  <c r="R336" i="13"/>
  <c r="R363" i="13"/>
  <c r="R367" i="13"/>
  <c r="R357" i="13"/>
  <c r="R338" i="13"/>
  <c r="R331" i="13"/>
  <c r="R391" i="13"/>
  <c r="AC379" i="13"/>
  <c r="Z379" i="14"/>
  <c r="T33" i="12"/>
  <c r="V33" i="12"/>
  <c r="A117" i="16"/>
  <c r="A158" i="16"/>
  <c r="A162" i="16"/>
  <c r="A170" i="16"/>
  <c r="A174" i="16"/>
  <c r="A178" i="16"/>
  <c r="A258" i="16"/>
  <c r="A150" i="16"/>
  <c r="A154" i="16"/>
  <c r="A213" i="16"/>
  <c r="A253" i="16"/>
  <c r="A274" i="16"/>
  <c r="A262" i="16"/>
  <c r="A265" i="16"/>
  <c r="A278" i="16"/>
  <c r="A254" i="16"/>
  <c r="A186" i="16"/>
  <c r="A194" i="16"/>
  <c r="A202" i="16"/>
  <c r="A214" i="16"/>
  <c r="A218" i="16"/>
  <c r="A222" i="16"/>
  <c r="A226" i="16"/>
  <c r="A273" i="16"/>
  <c r="A269" i="16"/>
  <c r="A282" i="16"/>
  <c r="A270" i="16"/>
  <c r="A246" i="16"/>
  <c r="A190" i="16"/>
  <c r="A210" i="16"/>
  <c r="A230" i="16"/>
  <c r="A242" i="16"/>
  <c r="A249" i="16"/>
  <c r="A257" i="16"/>
  <c r="A266" i="16"/>
  <c r="A277" i="16"/>
  <c r="A261" i="16"/>
  <c r="A245" i="16"/>
  <c r="A328" i="16"/>
  <c r="A324" i="16"/>
  <c r="A320" i="16"/>
  <c r="A316" i="16"/>
  <c r="A312" i="16"/>
  <c r="A308" i="16"/>
  <c r="A304" i="16"/>
  <c r="A300" i="16"/>
  <c r="A296" i="16"/>
  <c r="A292" i="16"/>
  <c r="A288" i="16"/>
  <c r="A32" i="16"/>
  <c r="A36" i="16"/>
  <c r="A38" i="16"/>
  <c r="A40" i="16"/>
  <c r="A46" i="16"/>
  <c r="A48" i="16"/>
  <c r="A50" i="16"/>
  <c r="A33" i="16"/>
  <c r="A52" i="16"/>
  <c r="A53" i="16"/>
  <c r="A55" i="16"/>
  <c r="A56" i="16"/>
  <c r="A57" i="16"/>
  <c r="A59" i="16"/>
  <c r="A42" i="16"/>
  <c r="A44" i="16"/>
  <c r="A34" i="16"/>
  <c r="A37" i="16"/>
  <c r="A41" i="16"/>
  <c r="A45" i="16"/>
  <c r="A49" i="16"/>
  <c r="A61" i="16"/>
  <c r="A65" i="16"/>
  <c r="A69" i="16"/>
  <c r="A73" i="16"/>
  <c r="A103" i="16"/>
  <c r="A104" i="16"/>
  <c r="A105" i="16"/>
  <c r="A107" i="16"/>
  <c r="A63" i="16"/>
  <c r="A67" i="16"/>
  <c r="A71" i="16"/>
  <c r="A75" i="16"/>
  <c r="A76" i="16"/>
  <c r="A79" i="16"/>
  <c r="A80" i="16"/>
  <c r="A83" i="16"/>
  <c r="A84" i="16"/>
  <c r="A87" i="16"/>
  <c r="A88" i="16"/>
  <c r="A91" i="16"/>
  <c r="A92" i="16"/>
  <c r="A95" i="16"/>
  <c r="A97" i="16"/>
  <c r="A99" i="16"/>
  <c r="A100" i="16"/>
  <c r="A60" i="16"/>
  <c r="A64" i="16"/>
  <c r="A68" i="16"/>
  <c r="A72" i="16"/>
  <c r="A96" i="16"/>
  <c r="A111" i="16"/>
  <c r="A115" i="16"/>
  <c r="A108" i="16"/>
  <c r="A112" i="16"/>
  <c r="A116" i="16"/>
  <c r="A121" i="16"/>
  <c r="A125" i="16"/>
  <c r="A109" i="16"/>
  <c r="A113" i="16"/>
  <c r="A120" i="16"/>
  <c r="A124" i="16"/>
  <c r="A128" i="16"/>
  <c r="A132" i="16"/>
  <c r="A136" i="16"/>
  <c r="A140" i="16"/>
  <c r="A144" i="16"/>
  <c r="A148" i="16"/>
  <c r="A152" i="16"/>
  <c r="A156" i="16"/>
  <c r="A160" i="16"/>
  <c r="A164" i="16"/>
  <c r="A168" i="16"/>
  <c r="A173" i="16"/>
  <c r="A181" i="16"/>
  <c r="A129" i="16"/>
  <c r="A133" i="16"/>
  <c r="A137" i="16"/>
  <c r="A141" i="16"/>
  <c r="A145" i="16"/>
  <c r="A149" i="16"/>
  <c r="A153" i="16"/>
  <c r="A157" i="16"/>
  <c r="A161" i="16"/>
  <c r="A165" i="16"/>
  <c r="A172" i="16"/>
  <c r="A177" i="16"/>
  <c r="A176" i="16"/>
  <c r="A189" i="16"/>
  <c r="A169" i="16"/>
  <c r="A185" i="16"/>
  <c r="A193" i="16"/>
  <c r="A197" i="16"/>
  <c r="A221" i="16"/>
  <c r="A223" i="16"/>
  <c r="A224" i="16"/>
  <c r="A225" i="16"/>
  <c r="A227" i="16"/>
  <c r="A228" i="16"/>
  <c r="A229" i="16"/>
  <c r="A201" i="16"/>
  <c r="A205" i="16"/>
  <c r="A209" i="16"/>
  <c r="A217" i="16"/>
  <c r="A219" i="16"/>
  <c r="A220" i="16"/>
  <c r="A200" i="16"/>
  <c r="A203" i="16"/>
  <c r="A204" i="16"/>
  <c r="A207" i="16"/>
  <c r="A208" i="16"/>
  <c r="A211" i="16"/>
  <c r="A215" i="16"/>
  <c r="A216" i="16"/>
  <c r="A180" i="16"/>
  <c r="A184" i="16"/>
  <c r="A188" i="16"/>
  <c r="A192" i="16"/>
  <c r="A196" i="16"/>
  <c r="A212" i="16"/>
  <c r="A233" i="16"/>
  <c r="A237" i="16"/>
  <c r="A241" i="16"/>
  <c r="A231" i="16"/>
  <c r="A236" i="16"/>
  <c r="A240" i="16"/>
  <c r="A232" i="16"/>
  <c r="A244" i="16"/>
  <c r="A248" i="16"/>
  <c r="A252" i="16"/>
  <c r="A256" i="16"/>
  <c r="A260" i="16"/>
  <c r="A264" i="16"/>
  <c r="A268" i="16"/>
  <c r="A272" i="16"/>
  <c r="A276" i="16"/>
  <c r="A280" i="16"/>
  <c r="A285" i="16"/>
  <c r="A284" i="16"/>
  <c r="A289" i="16"/>
  <c r="A293" i="16"/>
  <c r="A297" i="16"/>
  <c r="A301" i="16"/>
  <c r="A305" i="16"/>
  <c r="A309" i="16"/>
  <c r="A290" i="16"/>
  <c r="A294" i="16"/>
  <c r="A298" i="16"/>
  <c r="A302" i="16"/>
  <c r="A306" i="16"/>
  <c r="A314" i="16"/>
  <c r="A315" i="16"/>
  <c r="A317" i="16"/>
  <c r="A318" i="16"/>
  <c r="A310" i="16"/>
  <c r="A319" i="16"/>
  <c r="A323" i="16"/>
  <c r="A321" i="16"/>
  <c r="A325" i="16"/>
  <c r="A326" i="16"/>
  <c r="A322" i="16"/>
  <c r="A313" i="16"/>
  <c r="A330" i="16"/>
  <c r="A329" i="16"/>
  <c r="R366" i="19" l="1"/>
  <c r="U366" i="19" s="1"/>
  <c r="X366" i="19" s="1"/>
  <c r="Z404" i="14"/>
  <c r="AC404" i="13"/>
  <c r="AA404" i="14" s="1"/>
  <c r="AC398" i="13"/>
  <c r="AA398" i="14" s="1"/>
  <c r="Z398" i="14"/>
  <c r="Z397" i="14"/>
  <c r="AC397" i="13"/>
  <c r="AA397" i="14" s="1"/>
  <c r="Z396" i="14"/>
  <c r="AC396" i="13"/>
  <c r="AA396" i="14" s="1"/>
  <c r="AC406" i="13"/>
  <c r="AA406" i="14" s="1"/>
  <c r="Z406" i="14"/>
  <c r="O353" i="19"/>
  <c r="R353" i="19" s="1"/>
  <c r="U353" i="19" s="1"/>
  <c r="X353" i="19" s="1"/>
  <c r="Z387" i="14"/>
  <c r="X365" i="19"/>
  <c r="Y362" i="14"/>
  <c r="AB362" i="13"/>
  <c r="AB384" i="13"/>
  <c r="Y384" i="14"/>
  <c r="Z389" i="14"/>
  <c r="AC393" i="13"/>
  <c r="Z393" i="14"/>
  <c r="AB370" i="13"/>
  <c r="Y370" i="14"/>
  <c r="Z371" i="14"/>
  <c r="AC371" i="13"/>
  <c r="AA371" i="14" s="1"/>
  <c r="AA355" i="14"/>
  <c r="AB355" i="14" s="1"/>
  <c r="AD355" i="13"/>
  <c r="Y381" i="14"/>
  <c r="AB381" i="13"/>
  <c r="AD379" i="13"/>
  <c r="AA379" i="14"/>
  <c r="AB379" i="14" s="1"/>
  <c r="AC376" i="13"/>
  <c r="Z376" i="14"/>
  <c r="AD374" i="13"/>
  <c r="AA374" i="14"/>
  <c r="AB374" i="14" s="1"/>
  <c r="AD372" i="13"/>
  <c r="AA372" i="14"/>
  <c r="AB372" i="14" s="1"/>
  <c r="AA373" i="14"/>
  <c r="AB373" i="14" s="1"/>
  <c r="AD373" i="13"/>
  <c r="Z369" i="14"/>
  <c r="AC369" i="13"/>
  <c r="AA369" i="14" s="1"/>
  <c r="AD357" i="13"/>
  <c r="AA357" i="14"/>
  <c r="AB357" i="14" s="1"/>
  <c r="Z388" i="14"/>
  <c r="AC388" i="13"/>
  <c r="AA388" i="14" s="1"/>
  <c r="AA363" i="14"/>
  <c r="AB363" i="14" s="1"/>
  <c r="AD363" i="13"/>
  <c r="Z394" i="14"/>
  <c r="AC394" i="13"/>
  <c r="AC359" i="13"/>
  <c r="AA359" i="14" s="1"/>
  <c r="Z359" i="14"/>
  <c r="AD367" i="13"/>
  <c r="AA367" i="14"/>
  <c r="AB367" i="14" s="1"/>
  <c r="F32" i="12"/>
  <c r="G32" i="12"/>
  <c r="AA32" i="12" s="1"/>
  <c r="F34" i="12"/>
  <c r="G34" i="12"/>
  <c r="AA34" i="12" s="1"/>
  <c r="F35" i="12"/>
  <c r="G35" i="12"/>
  <c r="AA35" i="12" s="1"/>
  <c r="F36" i="12"/>
  <c r="G36" i="12"/>
  <c r="AA36" i="12" s="1"/>
  <c r="F37" i="12"/>
  <c r="G37" i="12"/>
  <c r="AA37" i="12" s="1"/>
  <c r="F38" i="12"/>
  <c r="G38" i="12"/>
  <c r="AA38" i="12" s="1"/>
  <c r="F39" i="12"/>
  <c r="G39" i="12"/>
  <c r="AA39" i="12" s="1"/>
  <c r="F40" i="12"/>
  <c r="G40" i="12"/>
  <c r="AA40" i="12" s="1"/>
  <c r="F41" i="12"/>
  <c r="G41" i="12"/>
  <c r="AA41" i="12" s="1"/>
  <c r="F42" i="12"/>
  <c r="G42" i="12"/>
  <c r="AA42" i="12" s="1"/>
  <c r="F43" i="12"/>
  <c r="G43" i="12"/>
  <c r="AA43" i="12" s="1"/>
  <c r="F44" i="12"/>
  <c r="G44" i="12"/>
  <c r="AA44" i="12" s="1"/>
  <c r="F45" i="12"/>
  <c r="G45" i="12"/>
  <c r="AA45" i="12" s="1"/>
  <c r="F46" i="12"/>
  <c r="G46" i="12"/>
  <c r="AA46" i="12" s="1"/>
  <c r="F47" i="12"/>
  <c r="G47" i="12"/>
  <c r="AA47" i="12" s="1"/>
  <c r="F48" i="12"/>
  <c r="G48" i="12"/>
  <c r="AA48" i="12" s="1"/>
  <c r="F49" i="12"/>
  <c r="G49" i="12"/>
  <c r="AA49" i="12" s="1"/>
  <c r="F50" i="12"/>
  <c r="G50" i="12"/>
  <c r="AA50" i="12" s="1"/>
  <c r="F51" i="12"/>
  <c r="G51" i="12"/>
  <c r="AA51" i="12" s="1"/>
  <c r="F52" i="12"/>
  <c r="G52" i="12"/>
  <c r="AA52" i="12" s="1"/>
  <c r="F53" i="12"/>
  <c r="G53" i="12"/>
  <c r="AA53" i="12" s="1"/>
  <c r="F54" i="12"/>
  <c r="G54" i="12"/>
  <c r="AA54" i="12" s="1"/>
  <c r="F55" i="12"/>
  <c r="G55" i="12"/>
  <c r="AA55" i="12" s="1"/>
  <c r="F56" i="12"/>
  <c r="G56" i="12"/>
  <c r="AA56" i="12" s="1"/>
  <c r="F57" i="12"/>
  <c r="G57" i="12"/>
  <c r="AA57" i="12" s="1"/>
  <c r="F58" i="12"/>
  <c r="G58" i="12"/>
  <c r="AA58" i="12" s="1"/>
  <c r="F59" i="12"/>
  <c r="G59" i="12"/>
  <c r="AA59" i="12" s="1"/>
  <c r="F60" i="12"/>
  <c r="G60" i="12"/>
  <c r="AA60" i="12" s="1"/>
  <c r="F61" i="12"/>
  <c r="G61" i="12"/>
  <c r="AA61" i="12" s="1"/>
  <c r="F62" i="12"/>
  <c r="G62" i="12"/>
  <c r="AA62" i="12" s="1"/>
  <c r="F63" i="12"/>
  <c r="G63" i="12"/>
  <c r="AA63" i="12" s="1"/>
  <c r="F64" i="12"/>
  <c r="G64" i="12"/>
  <c r="AA64" i="12" s="1"/>
  <c r="F65" i="12"/>
  <c r="G65" i="12"/>
  <c r="AA65" i="12" s="1"/>
  <c r="F66" i="12"/>
  <c r="G66" i="12"/>
  <c r="AA66" i="12" s="1"/>
  <c r="F67" i="12"/>
  <c r="G67" i="12"/>
  <c r="AA67" i="12" s="1"/>
  <c r="F68" i="12"/>
  <c r="G68" i="12"/>
  <c r="AA68" i="12" s="1"/>
  <c r="F69" i="12"/>
  <c r="G69" i="12"/>
  <c r="AA69" i="12" s="1"/>
  <c r="F70" i="12"/>
  <c r="G70" i="12"/>
  <c r="AA70" i="12" s="1"/>
  <c r="F71" i="12"/>
  <c r="G71" i="12"/>
  <c r="AA71" i="12" s="1"/>
  <c r="F72" i="12"/>
  <c r="G72" i="12"/>
  <c r="AA72" i="12" s="1"/>
  <c r="F73" i="12"/>
  <c r="G73" i="12"/>
  <c r="AA73" i="12" s="1"/>
  <c r="F74" i="12"/>
  <c r="G74" i="12"/>
  <c r="AA74" i="12" s="1"/>
  <c r="F75" i="12"/>
  <c r="G75" i="12"/>
  <c r="AA75" i="12" s="1"/>
  <c r="F76" i="12"/>
  <c r="G76" i="12"/>
  <c r="AA76" i="12" s="1"/>
  <c r="F77" i="12"/>
  <c r="G77" i="12"/>
  <c r="AA77" i="12" s="1"/>
  <c r="F78" i="12"/>
  <c r="G78" i="12"/>
  <c r="AA78" i="12" s="1"/>
  <c r="F79" i="12"/>
  <c r="G79" i="12"/>
  <c r="AA79" i="12" s="1"/>
  <c r="F80" i="12"/>
  <c r="G80" i="12"/>
  <c r="AA80" i="12" s="1"/>
  <c r="F81" i="12"/>
  <c r="G81" i="12"/>
  <c r="AA81" i="12" s="1"/>
  <c r="F82" i="12"/>
  <c r="G82" i="12"/>
  <c r="AA82" i="12" s="1"/>
  <c r="F83" i="12"/>
  <c r="G83" i="12"/>
  <c r="AA83" i="12" s="1"/>
  <c r="F84" i="12"/>
  <c r="G84" i="12"/>
  <c r="AA84" i="12" s="1"/>
  <c r="F85" i="12"/>
  <c r="G85" i="12"/>
  <c r="AA85" i="12" s="1"/>
  <c r="F86" i="12"/>
  <c r="G86" i="12"/>
  <c r="AA86" i="12" s="1"/>
  <c r="F87" i="12"/>
  <c r="G87" i="12"/>
  <c r="AA87" i="12" s="1"/>
  <c r="F88" i="12"/>
  <c r="G88" i="12"/>
  <c r="AA88" i="12" s="1"/>
  <c r="F89" i="12"/>
  <c r="G89" i="12"/>
  <c r="AA89" i="12" s="1"/>
  <c r="F90" i="12"/>
  <c r="G90" i="12"/>
  <c r="AA90" i="12" s="1"/>
  <c r="F91" i="12"/>
  <c r="G91" i="12"/>
  <c r="AA91" i="12" s="1"/>
  <c r="F92" i="12"/>
  <c r="G92" i="12"/>
  <c r="AA92" i="12" s="1"/>
  <c r="F93" i="12"/>
  <c r="G93" i="12"/>
  <c r="AA93" i="12" s="1"/>
  <c r="F94" i="12"/>
  <c r="G94" i="12"/>
  <c r="AA94" i="12" s="1"/>
  <c r="F95" i="12"/>
  <c r="G95" i="12"/>
  <c r="AA95" i="12" s="1"/>
  <c r="F96" i="12"/>
  <c r="G96" i="12"/>
  <c r="AA96" i="12" s="1"/>
  <c r="F97" i="12"/>
  <c r="G97" i="12"/>
  <c r="AA97" i="12" s="1"/>
  <c r="F98" i="12"/>
  <c r="G98" i="12"/>
  <c r="AA98" i="12" s="1"/>
  <c r="F99" i="12"/>
  <c r="G99" i="12"/>
  <c r="AA99" i="12" s="1"/>
  <c r="F100" i="12"/>
  <c r="G100" i="12"/>
  <c r="AA100" i="12" s="1"/>
  <c r="F101" i="12"/>
  <c r="G101" i="12"/>
  <c r="AA101" i="12" s="1"/>
  <c r="F102" i="12"/>
  <c r="G102" i="12"/>
  <c r="AA102" i="12" s="1"/>
  <c r="F103" i="12"/>
  <c r="G103" i="12"/>
  <c r="AA103" i="12" s="1"/>
  <c r="F104" i="12"/>
  <c r="G104" i="12"/>
  <c r="AA104" i="12" s="1"/>
  <c r="F105" i="12"/>
  <c r="G105" i="12"/>
  <c r="AA105" i="12" s="1"/>
  <c r="F106" i="12"/>
  <c r="G106" i="12"/>
  <c r="AA106" i="12" s="1"/>
  <c r="F107" i="12"/>
  <c r="G107" i="12"/>
  <c r="AA107" i="12" s="1"/>
  <c r="F108" i="12"/>
  <c r="G108" i="12"/>
  <c r="AA108" i="12" s="1"/>
  <c r="F109" i="12"/>
  <c r="G109" i="12"/>
  <c r="AA109" i="12" s="1"/>
  <c r="F110" i="12"/>
  <c r="G110" i="12"/>
  <c r="AA110" i="12" s="1"/>
  <c r="F111" i="12"/>
  <c r="G111" i="12"/>
  <c r="AA111" i="12" s="1"/>
  <c r="F112" i="12"/>
  <c r="G112" i="12"/>
  <c r="AA112" i="12" s="1"/>
  <c r="F113" i="12"/>
  <c r="G113" i="12"/>
  <c r="AA113" i="12" s="1"/>
  <c r="F114" i="12"/>
  <c r="G114" i="12"/>
  <c r="AA114" i="12" s="1"/>
  <c r="F115" i="12"/>
  <c r="G115" i="12"/>
  <c r="AA115" i="12" s="1"/>
  <c r="F116" i="12"/>
  <c r="G116" i="12"/>
  <c r="AA116" i="12" s="1"/>
  <c r="F117" i="12"/>
  <c r="G117" i="12"/>
  <c r="AA117" i="12" s="1"/>
  <c r="F118" i="12"/>
  <c r="G118" i="12"/>
  <c r="AA118" i="12" s="1"/>
  <c r="F119" i="12"/>
  <c r="G119" i="12"/>
  <c r="AA119" i="12" s="1"/>
  <c r="F120" i="12"/>
  <c r="G120" i="12"/>
  <c r="AA120" i="12" s="1"/>
  <c r="F121" i="12"/>
  <c r="G121" i="12"/>
  <c r="AA121" i="12" s="1"/>
  <c r="F122" i="12"/>
  <c r="G122" i="12"/>
  <c r="AA122" i="12" s="1"/>
  <c r="F123" i="12"/>
  <c r="G123" i="12"/>
  <c r="AA123" i="12" s="1"/>
  <c r="F124" i="12"/>
  <c r="G124" i="12"/>
  <c r="AA124" i="12" s="1"/>
  <c r="F125" i="12"/>
  <c r="G125" i="12"/>
  <c r="AA125" i="12" s="1"/>
  <c r="F126" i="12"/>
  <c r="G126" i="12"/>
  <c r="AA126" i="12" s="1"/>
  <c r="F127" i="12"/>
  <c r="G127" i="12"/>
  <c r="AA127" i="12" s="1"/>
  <c r="F128" i="12"/>
  <c r="G128" i="12"/>
  <c r="AA128" i="12" s="1"/>
  <c r="F129" i="12"/>
  <c r="G129" i="12"/>
  <c r="AA129" i="12" s="1"/>
  <c r="F130" i="12"/>
  <c r="G130" i="12"/>
  <c r="AA130" i="12" s="1"/>
  <c r="F131" i="12"/>
  <c r="G131" i="12"/>
  <c r="AA131" i="12" s="1"/>
  <c r="F132" i="12"/>
  <c r="G132" i="12"/>
  <c r="AA132" i="12" s="1"/>
  <c r="F133" i="12"/>
  <c r="G133" i="12"/>
  <c r="AA133" i="12" s="1"/>
  <c r="F134" i="12"/>
  <c r="G134" i="12"/>
  <c r="AA134" i="12" s="1"/>
  <c r="F135" i="12"/>
  <c r="G135" i="12"/>
  <c r="AA135" i="12" s="1"/>
  <c r="F136" i="12"/>
  <c r="G136" i="12"/>
  <c r="AA136" i="12" s="1"/>
  <c r="F137" i="12"/>
  <c r="G137" i="12"/>
  <c r="AA137" i="12" s="1"/>
  <c r="F138" i="12"/>
  <c r="G138" i="12"/>
  <c r="AA138" i="12" s="1"/>
  <c r="F139" i="12"/>
  <c r="G139" i="12"/>
  <c r="AA139" i="12" s="1"/>
  <c r="F140" i="12"/>
  <c r="G140" i="12"/>
  <c r="AA140" i="12" s="1"/>
  <c r="F141" i="12"/>
  <c r="G141" i="12"/>
  <c r="AA141" i="12" s="1"/>
  <c r="F142" i="12"/>
  <c r="G142" i="12"/>
  <c r="AA142" i="12" s="1"/>
  <c r="F143" i="12"/>
  <c r="G143" i="12"/>
  <c r="AA143" i="12" s="1"/>
  <c r="F144" i="12"/>
  <c r="G144" i="12"/>
  <c r="AA144" i="12" s="1"/>
  <c r="F145" i="12"/>
  <c r="G145" i="12"/>
  <c r="AA145" i="12" s="1"/>
  <c r="F146" i="12"/>
  <c r="G146" i="12"/>
  <c r="AA146" i="12" s="1"/>
  <c r="F147" i="12"/>
  <c r="G147" i="12"/>
  <c r="AA147" i="12" s="1"/>
  <c r="F148" i="12"/>
  <c r="G148" i="12"/>
  <c r="AA148" i="12" s="1"/>
  <c r="F149" i="12"/>
  <c r="G149" i="12"/>
  <c r="AA149" i="12" s="1"/>
  <c r="F150" i="12"/>
  <c r="G150" i="12"/>
  <c r="AA150" i="12" s="1"/>
  <c r="F151" i="12"/>
  <c r="G151" i="12"/>
  <c r="AA151" i="12" s="1"/>
  <c r="F152" i="12"/>
  <c r="G152" i="12"/>
  <c r="AA152" i="12" s="1"/>
  <c r="F153" i="12"/>
  <c r="G153" i="12"/>
  <c r="AA153" i="12" s="1"/>
  <c r="F154" i="12"/>
  <c r="G154" i="12"/>
  <c r="AA154" i="12" s="1"/>
  <c r="F155" i="12"/>
  <c r="G155" i="12"/>
  <c r="AA155" i="12" s="1"/>
  <c r="F156" i="12"/>
  <c r="G156" i="12"/>
  <c r="AA156" i="12" s="1"/>
  <c r="F157" i="12"/>
  <c r="G157" i="12"/>
  <c r="AA157" i="12" s="1"/>
  <c r="F158" i="12"/>
  <c r="G158" i="12"/>
  <c r="AA158" i="12" s="1"/>
  <c r="F159" i="12"/>
  <c r="G159" i="12"/>
  <c r="AA159" i="12" s="1"/>
  <c r="F160" i="12"/>
  <c r="G160" i="12"/>
  <c r="AA160" i="12" s="1"/>
  <c r="F161" i="12"/>
  <c r="G161" i="12"/>
  <c r="AA161" i="12" s="1"/>
  <c r="F162" i="12"/>
  <c r="G162" i="12"/>
  <c r="AA162" i="12" s="1"/>
  <c r="F163" i="12"/>
  <c r="G163" i="12"/>
  <c r="AA163" i="12" s="1"/>
  <c r="F164" i="12"/>
  <c r="G164" i="12"/>
  <c r="AA164" i="12" s="1"/>
  <c r="F165" i="12"/>
  <c r="G165" i="12"/>
  <c r="AA165" i="12" s="1"/>
  <c r="F166" i="12"/>
  <c r="G166" i="12"/>
  <c r="AA166" i="12" s="1"/>
  <c r="F167" i="12"/>
  <c r="G167" i="12"/>
  <c r="AA167" i="12" s="1"/>
  <c r="F168" i="12"/>
  <c r="G168" i="12"/>
  <c r="AA168" i="12" s="1"/>
  <c r="F169" i="12"/>
  <c r="G169" i="12"/>
  <c r="AA169" i="12" s="1"/>
  <c r="F170" i="12"/>
  <c r="G170" i="12"/>
  <c r="AA170" i="12" s="1"/>
  <c r="F171" i="12"/>
  <c r="G171" i="12"/>
  <c r="AA171" i="12" s="1"/>
  <c r="F172" i="12"/>
  <c r="G172" i="12"/>
  <c r="AA172" i="12" s="1"/>
  <c r="F173" i="12"/>
  <c r="G173" i="12"/>
  <c r="AA173" i="12" s="1"/>
  <c r="F174" i="12"/>
  <c r="G174" i="12"/>
  <c r="AA174" i="12" s="1"/>
  <c r="F175" i="12"/>
  <c r="G175" i="12"/>
  <c r="AA175" i="12" s="1"/>
  <c r="F176" i="12"/>
  <c r="G176" i="12"/>
  <c r="AA176" i="12" s="1"/>
  <c r="F177" i="12"/>
  <c r="G177" i="12"/>
  <c r="AA177" i="12" s="1"/>
  <c r="F178" i="12"/>
  <c r="G178" i="12"/>
  <c r="AA178" i="12" s="1"/>
  <c r="F179" i="12"/>
  <c r="G179" i="12"/>
  <c r="AA179" i="12" s="1"/>
  <c r="F180" i="12"/>
  <c r="G180" i="12"/>
  <c r="AA180" i="12" s="1"/>
  <c r="F181" i="12"/>
  <c r="G181" i="12"/>
  <c r="AA181" i="12" s="1"/>
  <c r="F182" i="12"/>
  <c r="G182" i="12"/>
  <c r="AA182" i="12" s="1"/>
  <c r="F183" i="12"/>
  <c r="G183" i="12"/>
  <c r="AA183" i="12" s="1"/>
  <c r="F184" i="12"/>
  <c r="G184" i="12"/>
  <c r="AA184" i="12" s="1"/>
  <c r="F185" i="12"/>
  <c r="G185" i="12"/>
  <c r="AA185" i="12" s="1"/>
  <c r="F186" i="12"/>
  <c r="G186" i="12"/>
  <c r="AA186" i="12" s="1"/>
  <c r="F187" i="12"/>
  <c r="G187" i="12"/>
  <c r="AA187" i="12" s="1"/>
  <c r="F188" i="12"/>
  <c r="G188" i="12"/>
  <c r="AA188" i="12" s="1"/>
  <c r="F189" i="12"/>
  <c r="G189" i="12"/>
  <c r="AA189" i="12" s="1"/>
  <c r="F190" i="12"/>
  <c r="G190" i="12"/>
  <c r="AA190" i="12" s="1"/>
  <c r="F191" i="12"/>
  <c r="G191" i="12"/>
  <c r="AA191" i="12" s="1"/>
  <c r="F192" i="12"/>
  <c r="G192" i="12"/>
  <c r="AA192" i="12" s="1"/>
  <c r="F193" i="12"/>
  <c r="G193" i="12"/>
  <c r="AA193" i="12" s="1"/>
  <c r="F194" i="12"/>
  <c r="G194" i="12"/>
  <c r="AA194" i="12" s="1"/>
  <c r="F195" i="12"/>
  <c r="G195" i="12"/>
  <c r="AA195" i="12" s="1"/>
  <c r="F196" i="12"/>
  <c r="G196" i="12"/>
  <c r="AA196" i="12" s="1"/>
  <c r="F197" i="12"/>
  <c r="G197" i="12"/>
  <c r="AA197" i="12" s="1"/>
  <c r="F198" i="12"/>
  <c r="G198" i="12"/>
  <c r="AA198" i="12" s="1"/>
  <c r="F199" i="12"/>
  <c r="G199" i="12"/>
  <c r="AA199" i="12" s="1"/>
  <c r="F200" i="12"/>
  <c r="G200" i="12"/>
  <c r="AA200" i="12" s="1"/>
  <c r="F201" i="12"/>
  <c r="G201" i="12"/>
  <c r="AA201" i="12" s="1"/>
  <c r="F202" i="12"/>
  <c r="G202" i="12"/>
  <c r="AA202" i="12" s="1"/>
  <c r="F203" i="12"/>
  <c r="G203" i="12"/>
  <c r="AA203" i="12" s="1"/>
  <c r="F204" i="12"/>
  <c r="G204" i="12"/>
  <c r="AA204" i="12" s="1"/>
  <c r="F205" i="12"/>
  <c r="G205" i="12"/>
  <c r="AA205" i="12" s="1"/>
  <c r="F206" i="12"/>
  <c r="G206" i="12"/>
  <c r="AA206" i="12" s="1"/>
  <c r="F207" i="12"/>
  <c r="G207" i="12"/>
  <c r="AA207" i="12" s="1"/>
  <c r="F208" i="12"/>
  <c r="G208" i="12"/>
  <c r="AA208" i="12" s="1"/>
  <c r="F209" i="12"/>
  <c r="G209" i="12"/>
  <c r="AA209" i="12" s="1"/>
  <c r="F210" i="12"/>
  <c r="G210" i="12"/>
  <c r="AA210" i="12" s="1"/>
  <c r="F211" i="12"/>
  <c r="G211" i="12"/>
  <c r="AA211" i="12" s="1"/>
  <c r="F212" i="12"/>
  <c r="G212" i="12"/>
  <c r="AA212" i="12" s="1"/>
  <c r="F213" i="12"/>
  <c r="G213" i="12"/>
  <c r="AA213" i="12" s="1"/>
  <c r="F214" i="12"/>
  <c r="G214" i="12"/>
  <c r="AA214" i="12" s="1"/>
  <c r="F215" i="12"/>
  <c r="G215" i="12"/>
  <c r="AA215" i="12" s="1"/>
  <c r="F216" i="12"/>
  <c r="G216" i="12"/>
  <c r="AA216" i="12" s="1"/>
  <c r="F217" i="12"/>
  <c r="G217" i="12"/>
  <c r="AA217" i="12" s="1"/>
  <c r="F218" i="12"/>
  <c r="G218" i="12"/>
  <c r="AA218" i="12" s="1"/>
  <c r="F219" i="12"/>
  <c r="G219" i="12"/>
  <c r="AA219" i="12" s="1"/>
  <c r="F220" i="12"/>
  <c r="G220" i="12"/>
  <c r="AA220" i="12" s="1"/>
  <c r="F221" i="12"/>
  <c r="G221" i="12"/>
  <c r="AA221" i="12" s="1"/>
  <c r="F222" i="12"/>
  <c r="G222" i="12"/>
  <c r="AA222" i="12" s="1"/>
  <c r="F223" i="12"/>
  <c r="G223" i="12"/>
  <c r="AA223" i="12" s="1"/>
  <c r="F224" i="12"/>
  <c r="G224" i="12"/>
  <c r="AA224" i="12" s="1"/>
  <c r="F225" i="12"/>
  <c r="G225" i="12"/>
  <c r="AA225" i="12" s="1"/>
  <c r="F226" i="12"/>
  <c r="G226" i="12"/>
  <c r="AA226" i="12" s="1"/>
  <c r="F227" i="12"/>
  <c r="G227" i="12"/>
  <c r="AA227" i="12" s="1"/>
  <c r="F228" i="12"/>
  <c r="G228" i="12"/>
  <c r="AA228" i="12" s="1"/>
  <c r="F229" i="12"/>
  <c r="G229" i="12"/>
  <c r="AA229" i="12" s="1"/>
  <c r="F230" i="12"/>
  <c r="G230" i="12"/>
  <c r="AA230" i="12" s="1"/>
  <c r="F231" i="12"/>
  <c r="G231" i="12"/>
  <c r="AA231" i="12" s="1"/>
  <c r="F232" i="12"/>
  <c r="G232" i="12"/>
  <c r="AA232" i="12" s="1"/>
  <c r="F233" i="12"/>
  <c r="G233" i="12"/>
  <c r="AA233" i="12" s="1"/>
  <c r="F234" i="12"/>
  <c r="G234" i="12"/>
  <c r="AA234" i="12" s="1"/>
  <c r="F235" i="12"/>
  <c r="G235" i="12"/>
  <c r="AA235" i="12" s="1"/>
  <c r="F236" i="12"/>
  <c r="G236" i="12"/>
  <c r="AA236" i="12" s="1"/>
  <c r="F237" i="12"/>
  <c r="G237" i="12"/>
  <c r="AA237" i="12" s="1"/>
  <c r="F238" i="12"/>
  <c r="G238" i="12"/>
  <c r="AA238" i="12" s="1"/>
  <c r="F239" i="12"/>
  <c r="G239" i="12"/>
  <c r="AA239" i="12" s="1"/>
  <c r="F240" i="12"/>
  <c r="G240" i="12"/>
  <c r="AA240" i="12" s="1"/>
  <c r="F241" i="12"/>
  <c r="G241" i="12"/>
  <c r="AA241" i="12" s="1"/>
  <c r="F242" i="12"/>
  <c r="G242" i="12"/>
  <c r="AA242" i="12" s="1"/>
  <c r="F243" i="12"/>
  <c r="G243" i="12"/>
  <c r="AA243" i="12" s="1"/>
  <c r="F244" i="12"/>
  <c r="G244" i="12"/>
  <c r="AA244" i="12" s="1"/>
  <c r="F245" i="12"/>
  <c r="G245" i="12"/>
  <c r="AA245" i="12" s="1"/>
  <c r="F246" i="12"/>
  <c r="G246" i="12"/>
  <c r="AA246" i="12" s="1"/>
  <c r="F247" i="12"/>
  <c r="G247" i="12"/>
  <c r="AA247" i="12" s="1"/>
  <c r="F248" i="12"/>
  <c r="G248" i="12"/>
  <c r="AA248" i="12" s="1"/>
  <c r="F249" i="12"/>
  <c r="G249" i="12"/>
  <c r="AA249" i="12" s="1"/>
  <c r="F250" i="12"/>
  <c r="G250" i="12"/>
  <c r="AA250" i="12" s="1"/>
  <c r="F251" i="12"/>
  <c r="G251" i="12"/>
  <c r="AA251" i="12" s="1"/>
  <c r="F252" i="12"/>
  <c r="G252" i="12"/>
  <c r="AA252" i="12" s="1"/>
  <c r="F253" i="12"/>
  <c r="G253" i="12"/>
  <c r="AA253" i="12" s="1"/>
  <c r="F254" i="12"/>
  <c r="G254" i="12"/>
  <c r="AA254" i="12" s="1"/>
  <c r="F255" i="12"/>
  <c r="G255" i="12"/>
  <c r="AA255" i="12" s="1"/>
  <c r="F256" i="12"/>
  <c r="G256" i="12"/>
  <c r="AA256" i="12" s="1"/>
  <c r="F257" i="12"/>
  <c r="G257" i="12"/>
  <c r="AA257" i="12" s="1"/>
  <c r="F258" i="12"/>
  <c r="G258" i="12"/>
  <c r="AA258" i="12" s="1"/>
  <c r="F259" i="12"/>
  <c r="G259" i="12"/>
  <c r="AA259" i="12" s="1"/>
  <c r="F260" i="12"/>
  <c r="G260" i="12"/>
  <c r="AA260" i="12" s="1"/>
  <c r="F261" i="12"/>
  <c r="G261" i="12"/>
  <c r="AA261" i="12" s="1"/>
  <c r="F262" i="12"/>
  <c r="G262" i="12"/>
  <c r="AA262" i="12" s="1"/>
  <c r="F263" i="12"/>
  <c r="G263" i="12"/>
  <c r="AA263" i="12" s="1"/>
  <c r="F264" i="12"/>
  <c r="G264" i="12"/>
  <c r="AA264" i="12" s="1"/>
  <c r="F265" i="12"/>
  <c r="G265" i="12"/>
  <c r="AA265" i="12" s="1"/>
  <c r="F266" i="12"/>
  <c r="G266" i="12"/>
  <c r="AA266" i="12" s="1"/>
  <c r="F267" i="12"/>
  <c r="G267" i="12"/>
  <c r="AA267" i="12" s="1"/>
  <c r="F268" i="12"/>
  <c r="G268" i="12"/>
  <c r="AA268" i="12" s="1"/>
  <c r="F269" i="12"/>
  <c r="G269" i="12"/>
  <c r="AA269" i="12" s="1"/>
  <c r="F270" i="12"/>
  <c r="G270" i="12"/>
  <c r="AA270" i="12" s="1"/>
  <c r="F271" i="12"/>
  <c r="G271" i="12"/>
  <c r="AA271" i="12" s="1"/>
  <c r="F272" i="12"/>
  <c r="G272" i="12"/>
  <c r="AA272" i="12" s="1"/>
  <c r="F273" i="12"/>
  <c r="G273" i="12"/>
  <c r="AA273" i="12" s="1"/>
  <c r="F274" i="12"/>
  <c r="G274" i="12"/>
  <c r="AA274" i="12" s="1"/>
  <c r="F275" i="12"/>
  <c r="G275" i="12"/>
  <c r="AA275" i="12" s="1"/>
  <c r="F276" i="12"/>
  <c r="G276" i="12"/>
  <c r="AA276" i="12" s="1"/>
  <c r="F277" i="12"/>
  <c r="G277" i="12"/>
  <c r="AA277" i="12" s="1"/>
  <c r="F278" i="12"/>
  <c r="G278" i="12"/>
  <c r="AA278" i="12" s="1"/>
  <c r="F279" i="12"/>
  <c r="G279" i="12"/>
  <c r="AA279" i="12" s="1"/>
  <c r="F280" i="12"/>
  <c r="G280" i="12"/>
  <c r="AA280" i="12" s="1"/>
  <c r="F281" i="12"/>
  <c r="G281" i="12"/>
  <c r="AA281" i="12" s="1"/>
  <c r="F282" i="12"/>
  <c r="G282" i="12"/>
  <c r="AA282" i="12" s="1"/>
  <c r="F283" i="12"/>
  <c r="G283" i="12"/>
  <c r="AA283" i="12" s="1"/>
  <c r="F284" i="12"/>
  <c r="G284" i="12"/>
  <c r="AA284" i="12" s="1"/>
  <c r="F285" i="12"/>
  <c r="G285" i="12"/>
  <c r="AA285" i="12" s="1"/>
  <c r="F286" i="12"/>
  <c r="G286" i="12"/>
  <c r="AA286" i="12" s="1"/>
  <c r="F287" i="12"/>
  <c r="G287" i="12"/>
  <c r="AA287" i="12" s="1"/>
  <c r="F288" i="12"/>
  <c r="G288" i="12"/>
  <c r="AA288" i="12" s="1"/>
  <c r="F289" i="12"/>
  <c r="G289" i="12"/>
  <c r="AA289" i="12" s="1"/>
  <c r="F290" i="12"/>
  <c r="G290" i="12"/>
  <c r="AA290" i="12" s="1"/>
  <c r="F291" i="12"/>
  <c r="G291" i="12"/>
  <c r="AA291" i="12" s="1"/>
  <c r="F292" i="12"/>
  <c r="G292" i="12"/>
  <c r="AA292" i="12" s="1"/>
  <c r="F293" i="12"/>
  <c r="G293" i="12"/>
  <c r="AA293" i="12" s="1"/>
  <c r="F294" i="12"/>
  <c r="G294" i="12"/>
  <c r="AA294" i="12" s="1"/>
  <c r="F295" i="12"/>
  <c r="G295" i="12"/>
  <c r="AA295" i="12" s="1"/>
  <c r="F296" i="12"/>
  <c r="G296" i="12"/>
  <c r="AA296" i="12" s="1"/>
  <c r="F297" i="12"/>
  <c r="G297" i="12"/>
  <c r="AA297" i="12" s="1"/>
  <c r="F298" i="12"/>
  <c r="G298" i="12"/>
  <c r="AA298" i="12" s="1"/>
  <c r="F299" i="12"/>
  <c r="G299" i="12"/>
  <c r="AA299" i="12" s="1"/>
  <c r="F300" i="12"/>
  <c r="G300" i="12"/>
  <c r="AA300" i="12" s="1"/>
  <c r="F301" i="12"/>
  <c r="G301" i="12"/>
  <c r="AA301" i="12" s="1"/>
  <c r="F302" i="12"/>
  <c r="G302" i="12"/>
  <c r="AA302" i="12" s="1"/>
  <c r="F303" i="12"/>
  <c r="G303" i="12"/>
  <c r="AA303" i="12" s="1"/>
  <c r="F304" i="12"/>
  <c r="G304" i="12"/>
  <c r="AA304" i="12" s="1"/>
  <c r="F305" i="12"/>
  <c r="G305" i="12"/>
  <c r="AA305" i="12" s="1"/>
  <c r="F306" i="12"/>
  <c r="G306" i="12"/>
  <c r="AA306" i="12" s="1"/>
  <c r="F307" i="12"/>
  <c r="G307" i="12"/>
  <c r="AA307" i="12" s="1"/>
  <c r="F308" i="12"/>
  <c r="G308" i="12"/>
  <c r="AA308" i="12" s="1"/>
  <c r="F309" i="12"/>
  <c r="G309" i="12"/>
  <c r="AA309" i="12" s="1"/>
  <c r="F310" i="12"/>
  <c r="G310" i="12"/>
  <c r="AA310" i="12" s="1"/>
  <c r="F311" i="12"/>
  <c r="G311" i="12"/>
  <c r="AA311" i="12" s="1"/>
  <c r="F312" i="12"/>
  <c r="G312" i="12"/>
  <c r="AA312" i="12" s="1"/>
  <c r="F313" i="12"/>
  <c r="G313" i="12"/>
  <c r="AA313" i="12" s="1"/>
  <c r="F314" i="12"/>
  <c r="G314" i="12"/>
  <c r="AA314" i="12" s="1"/>
  <c r="F315" i="12"/>
  <c r="G315" i="12"/>
  <c r="AA315" i="12" s="1"/>
  <c r="F316" i="12"/>
  <c r="G316" i="12"/>
  <c r="AA316" i="12" s="1"/>
  <c r="F317" i="12"/>
  <c r="G317" i="12"/>
  <c r="AA317" i="12" s="1"/>
  <c r="F318" i="12"/>
  <c r="G318" i="12"/>
  <c r="AA318" i="12" s="1"/>
  <c r="F319" i="12"/>
  <c r="G319" i="12"/>
  <c r="AA319" i="12" s="1"/>
  <c r="F320" i="12"/>
  <c r="G320" i="12"/>
  <c r="AA320" i="12" s="1"/>
  <c r="F321" i="12"/>
  <c r="G321" i="12"/>
  <c r="AA321" i="12" s="1"/>
  <c r="F322" i="12"/>
  <c r="G322" i="12"/>
  <c r="AA322" i="12" s="1"/>
  <c r="F323" i="12"/>
  <c r="G323" i="12"/>
  <c r="AA323" i="12" s="1"/>
  <c r="F324" i="12"/>
  <c r="G324" i="12"/>
  <c r="AA324" i="12" s="1"/>
  <c r="F325" i="12"/>
  <c r="G325" i="12"/>
  <c r="AA325" i="12" s="1"/>
  <c r="F326" i="12"/>
  <c r="G326" i="12"/>
  <c r="AA326" i="12" s="1"/>
  <c r="F327" i="12"/>
  <c r="G327" i="12"/>
  <c r="AA327" i="12" s="1"/>
  <c r="F328" i="12"/>
  <c r="G328" i="12"/>
  <c r="AA328" i="12" s="1"/>
  <c r="F329" i="12"/>
  <c r="G329" i="12"/>
  <c r="AA329" i="12" s="1"/>
  <c r="F31" i="12"/>
  <c r="G31" i="12"/>
  <c r="AA31" i="12" s="1"/>
  <c r="Z362" i="14" l="1"/>
  <c r="AC362" i="13"/>
  <c r="AA362" i="14" s="1"/>
  <c r="Z384" i="14"/>
  <c r="AC384" i="13"/>
  <c r="AA384" i="14" s="1"/>
  <c r="AD393" i="13"/>
  <c r="AA393" i="14"/>
  <c r="AB393" i="14" s="1"/>
  <c r="AA394" i="14"/>
  <c r="AB394" i="14" s="1"/>
  <c r="AD394" i="13"/>
  <c r="AC381" i="13"/>
  <c r="AA381" i="14" s="1"/>
  <c r="Z381" i="14"/>
  <c r="AD376" i="13"/>
  <c r="AA376" i="14"/>
  <c r="AB376" i="14" s="1"/>
  <c r="AC370" i="13"/>
  <c r="AA370" i="14" s="1"/>
  <c r="Z370" i="14"/>
  <c r="E286" i="16"/>
  <c r="H286" i="16" s="1"/>
  <c r="V304" i="12"/>
  <c r="T304" i="12"/>
  <c r="T302" i="12"/>
  <c r="V302" i="12"/>
  <c r="V300" i="12"/>
  <c r="T300" i="12"/>
  <c r="T298" i="12"/>
  <c r="V298" i="12"/>
  <c r="V296" i="12"/>
  <c r="T296" i="12"/>
  <c r="T294" i="12"/>
  <c r="V294" i="12"/>
  <c r="V292" i="12"/>
  <c r="T292" i="12"/>
  <c r="T290" i="12"/>
  <c r="V290" i="12"/>
  <c r="V288" i="12"/>
  <c r="T288" i="12"/>
  <c r="T286" i="12"/>
  <c r="V286" i="12"/>
  <c r="V284" i="12"/>
  <c r="T284" i="12"/>
  <c r="T282" i="12"/>
  <c r="V282" i="12"/>
  <c r="V280" i="12"/>
  <c r="T280" i="12"/>
  <c r="T278" i="12"/>
  <c r="V278" i="12"/>
  <c r="V276" i="12"/>
  <c r="T276" i="12"/>
  <c r="T274" i="12"/>
  <c r="V274" i="12"/>
  <c r="V272" i="12"/>
  <c r="T272" i="12"/>
  <c r="T270" i="12"/>
  <c r="V270" i="12"/>
  <c r="V268" i="12"/>
  <c r="T268" i="12"/>
  <c r="T266" i="12"/>
  <c r="V266" i="12"/>
  <c r="V264" i="12"/>
  <c r="T264" i="12"/>
  <c r="T262" i="12"/>
  <c r="V262" i="12"/>
  <c r="V260" i="12"/>
  <c r="T260" i="12"/>
  <c r="T258" i="12"/>
  <c r="V258" i="12"/>
  <c r="V256" i="12"/>
  <c r="T256" i="12"/>
  <c r="T254" i="12"/>
  <c r="V254" i="12"/>
  <c r="V252" i="12"/>
  <c r="T252" i="12"/>
  <c r="T250" i="12"/>
  <c r="V250" i="12"/>
  <c r="V248" i="12"/>
  <c r="T248" i="12"/>
  <c r="T246" i="12"/>
  <c r="V246" i="12"/>
  <c r="V244" i="12"/>
  <c r="T244" i="12"/>
  <c r="T242" i="12"/>
  <c r="V242" i="12"/>
  <c r="V240" i="12"/>
  <c r="T240" i="12"/>
  <c r="T238" i="12"/>
  <c r="V238" i="12"/>
  <c r="V236" i="12"/>
  <c r="T236" i="12"/>
  <c r="T234" i="12"/>
  <c r="V234" i="12"/>
  <c r="V232" i="12"/>
  <c r="T232" i="12"/>
  <c r="T230" i="12"/>
  <c r="V230" i="12"/>
  <c r="V228" i="12"/>
  <c r="T228" i="12"/>
  <c r="T226" i="12"/>
  <c r="V226" i="12"/>
  <c r="V224" i="12"/>
  <c r="T224" i="12"/>
  <c r="T222" i="12"/>
  <c r="V222" i="12"/>
  <c r="V220" i="12"/>
  <c r="T220" i="12"/>
  <c r="T218" i="12"/>
  <c r="V218" i="12"/>
  <c r="V216" i="12"/>
  <c r="T216" i="12"/>
  <c r="T214" i="12"/>
  <c r="V214" i="12"/>
  <c r="V212" i="12"/>
  <c r="T212" i="12"/>
  <c r="T210" i="12"/>
  <c r="V210" i="12"/>
  <c r="V208" i="12"/>
  <c r="T208" i="12"/>
  <c r="T206" i="12"/>
  <c r="V206" i="12"/>
  <c r="V204" i="12"/>
  <c r="T204" i="12"/>
  <c r="T202" i="12"/>
  <c r="V202" i="12"/>
  <c r="V200" i="12"/>
  <c r="T200" i="12"/>
  <c r="T198" i="12"/>
  <c r="V198" i="12"/>
  <c r="V196" i="12"/>
  <c r="T196" i="12"/>
  <c r="T194" i="12"/>
  <c r="V194" i="12"/>
  <c r="V192" i="12"/>
  <c r="T192" i="12"/>
  <c r="T190" i="12"/>
  <c r="V190" i="12"/>
  <c r="V188" i="12"/>
  <c r="T188" i="12"/>
  <c r="T186" i="12"/>
  <c r="V186" i="12"/>
  <c r="V184" i="12"/>
  <c r="T184" i="12"/>
  <c r="T182" i="12"/>
  <c r="V182" i="12"/>
  <c r="V180" i="12"/>
  <c r="T180" i="12"/>
  <c r="T178" i="12"/>
  <c r="V178" i="12"/>
  <c r="V176" i="12"/>
  <c r="T176" i="12"/>
  <c r="T174" i="12"/>
  <c r="V174" i="12"/>
  <c r="V172" i="12"/>
  <c r="T172" i="12"/>
  <c r="T170" i="12"/>
  <c r="V170" i="12"/>
  <c r="V168" i="12"/>
  <c r="T168" i="12"/>
  <c r="T166" i="12"/>
  <c r="V166" i="12"/>
  <c r="V164" i="12"/>
  <c r="T164" i="12"/>
  <c r="T162" i="12"/>
  <c r="V162" i="12"/>
  <c r="V160" i="12"/>
  <c r="T160" i="12"/>
  <c r="T158" i="12"/>
  <c r="V158" i="12"/>
  <c r="V156" i="12"/>
  <c r="T156" i="12"/>
  <c r="T154" i="12"/>
  <c r="V154" i="12"/>
  <c r="V152" i="12"/>
  <c r="T152" i="12"/>
  <c r="T150" i="12"/>
  <c r="V150" i="12"/>
  <c r="V148" i="12"/>
  <c r="T148" i="12"/>
  <c r="T146" i="12"/>
  <c r="V146" i="12"/>
  <c r="V144" i="12"/>
  <c r="T144" i="12"/>
  <c r="T142" i="12"/>
  <c r="V142" i="12"/>
  <c r="V140" i="12"/>
  <c r="T140" i="12"/>
  <c r="T138" i="12"/>
  <c r="V138" i="12"/>
  <c r="V136" i="12"/>
  <c r="T136" i="12"/>
  <c r="T134" i="12"/>
  <c r="V134" i="12"/>
  <c r="V132" i="12"/>
  <c r="T132" i="12"/>
  <c r="T130" i="12"/>
  <c r="V130" i="12"/>
  <c r="V128" i="12"/>
  <c r="T128" i="12"/>
  <c r="T126" i="12"/>
  <c r="V126" i="12"/>
  <c r="V124" i="12"/>
  <c r="T124" i="12"/>
  <c r="T122" i="12"/>
  <c r="V122" i="12"/>
  <c r="V120" i="12"/>
  <c r="T120" i="12"/>
  <c r="T118" i="12"/>
  <c r="V118" i="12"/>
  <c r="V116" i="12"/>
  <c r="T116" i="12"/>
  <c r="T114" i="12"/>
  <c r="V114" i="12"/>
  <c r="V112" i="12"/>
  <c r="T112" i="12"/>
  <c r="T110" i="12"/>
  <c r="V110" i="12"/>
  <c r="V108" i="12"/>
  <c r="T108" i="12"/>
  <c r="T106" i="12"/>
  <c r="V106" i="12"/>
  <c r="V104" i="12"/>
  <c r="T104" i="12"/>
  <c r="T102" i="12"/>
  <c r="V102" i="12"/>
  <c r="V100" i="12"/>
  <c r="T100" i="12"/>
  <c r="T98" i="12"/>
  <c r="V98" i="12"/>
  <c r="V96" i="12"/>
  <c r="T96" i="12"/>
  <c r="T94" i="12"/>
  <c r="V94" i="12"/>
  <c r="V92" i="12"/>
  <c r="T92" i="12"/>
  <c r="T90" i="12"/>
  <c r="V90" i="12"/>
  <c r="V88" i="12"/>
  <c r="T88" i="12"/>
  <c r="T86" i="12"/>
  <c r="V86" i="12"/>
  <c r="V84" i="12"/>
  <c r="T84" i="12"/>
  <c r="T82" i="12"/>
  <c r="V82" i="12"/>
  <c r="V80" i="12"/>
  <c r="T80" i="12"/>
  <c r="T78" i="12"/>
  <c r="V78" i="12"/>
  <c r="V76" i="12"/>
  <c r="T76" i="12"/>
  <c r="T74" i="12"/>
  <c r="V74" i="12"/>
  <c r="V72" i="12"/>
  <c r="T72" i="12"/>
  <c r="T70" i="12"/>
  <c r="V70" i="12"/>
  <c r="V68" i="12"/>
  <c r="T68" i="12"/>
  <c r="T66" i="12"/>
  <c r="V66" i="12"/>
  <c r="V64" i="12"/>
  <c r="T64" i="12"/>
  <c r="T62" i="12"/>
  <c r="V62" i="12"/>
  <c r="V60" i="12"/>
  <c r="T60" i="12"/>
  <c r="T58" i="12"/>
  <c r="V58" i="12"/>
  <c r="V56" i="12"/>
  <c r="T56" i="12"/>
  <c r="T54" i="12"/>
  <c r="V54" i="12"/>
  <c r="V52" i="12"/>
  <c r="T52" i="12"/>
  <c r="T50" i="12"/>
  <c r="V50" i="12"/>
  <c r="V48" i="12"/>
  <c r="T48" i="12"/>
  <c r="T46" i="12"/>
  <c r="V46" i="12"/>
  <c r="V44" i="12"/>
  <c r="T44" i="12"/>
  <c r="T42" i="12"/>
  <c r="V42" i="12"/>
  <c r="V40" i="12"/>
  <c r="T40" i="12"/>
  <c r="T38" i="12"/>
  <c r="V38" i="12"/>
  <c r="V36" i="12"/>
  <c r="T36" i="12"/>
  <c r="T34" i="12"/>
  <c r="V34" i="12"/>
  <c r="V328" i="12"/>
  <c r="T328" i="12"/>
  <c r="V324" i="12"/>
  <c r="T324" i="12"/>
  <c r="V320" i="12"/>
  <c r="T320" i="12"/>
  <c r="V316" i="12"/>
  <c r="T316" i="12"/>
  <c r="V312" i="12"/>
  <c r="T312" i="12"/>
  <c r="V308" i="12"/>
  <c r="T308" i="12"/>
  <c r="V325" i="12"/>
  <c r="T325" i="12"/>
  <c r="V319" i="12"/>
  <c r="T319" i="12"/>
  <c r="V315" i="12"/>
  <c r="T315" i="12"/>
  <c r="V309" i="12"/>
  <c r="T309" i="12"/>
  <c r="V305" i="12"/>
  <c r="T305" i="12"/>
  <c r="V301" i="12"/>
  <c r="T301" i="12"/>
  <c r="V297" i="12"/>
  <c r="T297" i="12"/>
  <c r="V291" i="12"/>
  <c r="T291" i="12"/>
  <c r="V287" i="12"/>
  <c r="T287" i="12"/>
  <c r="V281" i="12"/>
  <c r="T281" i="12"/>
  <c r="V277" i="12"/>
  <c r="T277" i="12"/>
  <c r="V273" i="12"/>
  <c r="T273" i="12"/>
  <c r="V269" i="12"/>
  <c r="T269" i="12"/>
  <c r="V267" i="12"/>
  <c r="T267" i="12"/>
  <c r="V265" i="12"/>
  <c r="T265" i="12"/>
  <c r="V263" i="12"/>
  <c r="T263" i="12"/>
  <c r="V259" i="12"/>
  <c r="T259" i="12"/>
  <c r="V257" i="12"/>
  <c r="T257" i="12"/>
  <c r="V255" i="12"/>
  <c r="T255" i="12"/>
  <c r="V253" i="12"/>
  <c r="T253" i="12"/>
  <c r="V251" i="12"/>
  <c r="T251" i="12"/>
  <c r="V249" i="12"/>
  <c r="T249" i="12"/>
  <c r="V247" i="12"/>
  <c r="T247" i="12"/>
  <c r="V245" i="12"/>
  <c r="T245" i="12"/>
  <c r="V243" i="12"/>
  <c r="T243" i="12"/>
  <c r="V241" i="12"/>
  <c r="T241" i="12"/>
  <c r="V239" i="12"/>
  <c r="T239" i="12"/>
  <c r="V237" i="12"/>
  <c r="T237" i="12"/>
  <c r="V235" i="12"/>
  <c r="T235" i="12"/>
  <c r="V233" i="12"/>
  <c r="T233" i="12"/>
  <c r="V231" i="12"/>
  <c r="T231" i="12"/>
  <c r="V229" i="12"/>
  <c r="T229" i="12"/>
  <c r="V227" i="12"/>
  <c r="T227" i="12"/>
  <c r="V225" i="12"/>
  <c r="T225" i="12"/>
  <c r="V223" i="12"/>
  <c r="T223" i="12"/>
  <c r="V221" i="12"/>
  <c r="T221" i="12"/>
  <c r="V219" i="12"/>
  <c r="T219" i="12"/>
  <c r="V217" i="12"/>
  <c r="T217" i="12"/>
  <c r="V215" i="12"/>
  <c r="T215" i="12"/>
  <c r="V213" i="12"/>
  <c r="T213" i="12"/>
  <c r="V211" i="12"/>
  <c r="T211" i="12"/>
  <c r="V209" i="12"/>
  <c r="T209" i="12"/>
  <c r="V207" i="12"/>
  <c r="T207" i="12"/>
  <c r="V205" i="12"/>
  <c r="T205" i="12"/>
  <c r="V203" i="12"/>
  <c r="T203" i="12"/>
  <c r="V201" i="12"/>
  <c r="T201" i="12"/>
  <c r="V199" i="12"/>
  <c r="T199" i="12"/>
  <c r="V197" i="12"/>
  <c r="T197" i="12"/>
  <c r="V195" i="12"/>
  <c r="T195" i="12"/>
  <c r="V193" i="12"/>
  <c r="T193" i="12"/>
  <c r="V191" i="12"/>
  <c r="T191" i="12"/>
  <c r="V189" i="12"/>
  <c r="T189" i="12"/>
  <c r="V187" i="12"/>
  <c r="T187" i="12"/>
  <c r="V185" i="12"/>
  <c r="T185" i="12"/>
  <c r="V183" i="12"/>
  <c r="T183" i="12"/>
  <c r="V181" i="12"/>
  <c r="T181" i="12"/>
  <c r="V179" i="12"/>
  <c r="T179" i="12"/>
  <c r="V177" i="12"/>
  <c r="T177" i="12"/>
  <c r="V175" i="12"/>
  <c r="T175" i="12"/>
  <c r="V173" i="12"/>
  <c r="T173" i="12"/>
  <c r="V171" i="12"/>
  <c r="T171" i="12"/>
  <c r="V169" i="12"/>
  <c r="T169" i="12"/>
  <c r="V167" i="12"/>
  <c r="T167" i="12"/>
  <c r="V165" i="12"/>
  <c r="T165" i="12"/>
  <c r="V163" i="12"/>
  <c r="T163" i="12"/>
  <c r="T161" i="12"/>
  <c r="V161" i="12"/>
  <c r="V159" i="12"/>
  <c r="T159" i="12"/>
  <c r="V157" i="12"/>
  <c r="T157" i="12"/>
  <c r="V155" i="12"/>
  <c r="T155" i="12"/>
  <c r="T153" i="12"/>
  <c r="V153" i="12"/>
  <c r="V151" i="12"/>
  <c r="T151" i="12"/>
  <c r="V149" i="12"/>
  <c r="T149" i="12"/>
  <c r="V147" i="12"/>
  <c r="T147" i="12"/>
  <c r="T145" i="12"/>
  <c r="V145" i="12"/>
  <c r="V143" i="12"/>
  <c r="T143" i="12"/>
  <c r="T141" i="12"/>
  <c r="V141" i="12"/>
  <c r="V139" i="12"/>
  <c r="T139" i="12"/>
  <c r="V137" i="12"/>
  <c r="T137" i="12"/>
  <c r="V135" i="12"/>
  <c r="T135" i="12"/>
  <c r="T133" i="12"/>
  <c r="V133" i="12"/>
  <c r="V131" i="12"/>
  <c r="T131" i="12"/>
  <c r="T129" i="12"/>
  <c r="V129" i="12"/>
  <c r="V127" i="12"/>
  <c r="T127" i="12"/>
  <c r="V125" i="12"/>
  <c r="T125" i="12"/>
  <c r="V123" i="12"/>
  <c r="T123" i="12"/>
  <c r="T121" i="12"/>
  <c r="V121" i="12"/>
  <c r="V119" i="12"/>
  <c r="T119" i="12"/>
  <c r="V117" i="12"/>
  <c r="T117" i="12"/>
  <c r="V115" i="12"/>
  <c r="T115" i="12"/>
  <c r="T113" i="12"/>
  <c r="V113" i="12"/>
  <c r="V111" i="12"/>
  <c r="T111" i="12"/>
  <c r="V109" i="12"/>
  <c r="T109" i="12"/>
  <c r="V107" i="12"/>
  <c r="T107" i="12"/>
  <c r="T105" i="12"/>
  <c r="V105" i="12"/>
  <c r="V103" i="12"/>
  <c r="T103" i="12"/>
  <c r="T101" i="12"/>
  <c r="V101" i="12"/>
  <c r="V99" i="12"/>
  <c r="T99" i="12"/>
  <c r="V97" i="12"/>
  <c r="T97" i="12"/>
  <c r="V95" i="12"/>
  <c r="T95" i="12"/>
  <c r="T93" i="12"/>
  <c r="V93" i="12"/>
  <c r="V91" i="12"/>
  <c r="T91" i="12"/>
  <c r="T89" i="12"/>
  <c r="V89" i="12"/>
  <c r="V87" i="12"/>
  <c r="T87" i="12"/>
  <c r="V85" i="12"/>
  <c r="T85" i="12"/>
  <c r="V83" i="12"/>
  <c r="T83" i="12"/>
  <c r="T81" i="12"/>
  <c r="V81" i="12"/>
  <c r="V79" i="12"/>
  <c r="T79" i="12"/>
  <c r="T77" i="12"/>
  <c r="V77" i="12"/>
  <c r="V75" i="12"/>
  <c r="T75" i="12"/>
  <c r="V73" i="12"/>
  <c r="T73" i="12"/>
  <c r="V71" i="12"/>
  <c r="T71" i="12"/>
  <c r="T69" i="12"/>
  <c r="V69" i="12"/>
  <c r="V67" i="12"/>
  <c r="T67" i="12"/>
  <c r="T65" i="12"/>
  <c r="V65" i="12"/>
  <c r="V63" i="12"/>
  <c r="T63" i="12"/>
  <c r="T61" i="12"/>
  <c r="V61" i="12"/>
  <c r="V59" i="12"/>
  <c r="T59" i="12"/>
  <c r="T57" i="12"/>
  <c r="V57" i="12"/>
  <c r="V55" i="12"/>
  <c r="T55" i="12"/>
  <c r="T53" i="12"/>
  <c r="V53" i="12"/>
  <c r="V51" i="12"/>
  <c r="T51" i="12"/>
  <c r="T49" i="12"/>
  <c r="V49" i="12"/>
  <c r="V47" i="12"/>
  <c r="T47" i="12"/>
  <c r="T45" i="12"/>
  <c r="V45" i="12"/>
  <c r="V43" i="12"/>
  <c r="T43" i="12"/>
  <c r="V41" i="12"/>
  <c r="T41" i="12"/>
  <c r="V39" i="12"/>
  <c r="T39" i="12"/>
  <c r="T37" i="12"/>
  <c r="V37" i="12"/>
  <c r="V35" i="12"/>
  <c r="T35" i="12"/>
  <c r="V32" i="12"/>
  <c r="T32" i="12"/>
  <c r="T326" i="12"/>
  <c r="V326" i="12"/>
  <c r="T322" i="12"/>
  <c r="V322" i="12"/>
  <c r="T318" i="12"/>
  <c r="V318" i="12"/>
  <c r="T314" i="12"/>
  <c r="V314" i="12"/>
  <c r="T310" i="12"/>
  <c r="V310" i="12"/>
  <c r="T306" i="12"/>
  <c r="V306" i="12"/>
  <c r="V329" i="12"/>
  <c r="T329" i="12"/>
  <c r="V327" i="12"/>
  <c r="T327" i="12"/>
  <c r="V323" i="12"/>
  <c r="T323" i="12"/>
  <c r="V321" i="12"/>
  <c r="T321" i="12"/>
  <c r="V317" i="12"/>
  <c r="T317" i="12"/>
  <c r="V313" i="12"/>
  <c r="T313" i="12"/>
  <c r="V311" i="12"/>
  <c r="T311" i="12"/>
  <c r="V307" i="12"/>
  <c r="T307" i="12"/>
  <c r="V303" i="12"/>
  <c r="T303" i="12"/>
  <c r="V299" i="12"/>
  <c r="T299" i="12"/>
  <c r="V295" i="12"/>
  <c r="T295" i="12"/>
  <c r="V293" i="12"/>
  <c r="T293" i="12"/>
  <c r="V289" i="12"/>
  <c r="T289" i="12"/>
  <c r="V285" i="12"/>
  <c r="T285" i="12"/>
  <c r="V283" i="12"/>
  <c r="T283" i="12"/>
  <c r="V279" i="12"/>
  <c r="T279" i="12"/>
  <c r="V275" i="12"/>
  <c r="T275" i="12"/>
  <c r="V271" i="12"/>
  <c r="T271" i="12"/>
  <c r="V261" i="12"/>
  <c r="T261" i="12"/>
  <c r="T31" i="12"/>
  <c r="V31" i="12"/>
  <c r="E31" i="16"/>
  <c r="H31" i="16" s="1"/>
  <c r="E272" i="16"/>
  <c r="H272" i="16" s="1"/>
  <c r="E256" i="16"/>
  <c r="H256" i="16" s="1"/>
  <c r="E240" i="16"/>
  <c r="H240" i="16" s="1"/>
  <c r="E224" i="16"/>
  <c r="H224" i="16" s="1"/>
  <c r="E208" i="16"/>
  <c r="H208" i="16" s="1"/>
  <c r="E192" i="16"/>
  <c r="H192" i="16" s="1"/>
  <c r="E32" i="16"/>
  <c r="H32" i="16" s="1"/>
  <c r="E273" i="16"/>
  <c r="H273" i="16" s="1"/>
  <c r="E257" i="16"/>
  <c r="H257" i="16" s="1"/>
  <c r="E241" i="16"/>
  <c r="H241" i="16" s="1"/>
  <c r="E225" i="16"/>
  <c r="H225" i="16" s="1"/>
  <c r="E209" i="16"/>
  <c r="H209" i="16" s="1"/>
  <c r="E193" i="16"/>
  <c r="H193" i="16" s="1"/>
  <c r="E45" i="16"/>
  <c r="H45" i="16" s="1"/>
  <c r="E282" i="16"/>
  <c r="H282" i="16" s="1"/>
  <c r="J407" i="18" s="1"/>
  <c r="E266" i="16"/>
  <c r="H266" i="16" s="1"/>
  <c r="E250" i="16"/>
  <c r="H250" i="16" s="1"/>
  <c r="E234" i="16"/>
  <c r="H234" i="16" s="1"/>
  <c r="E218" i="16"/>
  <c r="H218" i="16" s="1"/>
  <c r="E202" i="16"/>
  <c r="H202" i="16" s="1"/>
  <c r="E186" i="16"/>
  <c r="H186" i="16" s="1"/>
  <c r="E170" i="16"/>
  <c r="H170" i="16" s="1"/>
  <c r="E154" i="16"/>
  <c r="H154" i="16" s="1"/>
  <c r="E138" i="16"/>
  <c r="H138" i="16" s="1"/>
  <c r="E122" i="16"/>
  <c r="H122" i="16" s="1"/>
  <c r="E106" i="16"/>
  <c r="H106" i="16" s="1"/>
  <c r="E90" i="16"/>
  <c r="H90" i="16" s="1"/>
  <c r="E74" i="16"/>
  <c r="H74" i="16" s="1"/>
  <c r="E58" i="16"/>
  <c r="H58" i="16" s="1"/>
  <c r="J379" i="18" s="1"/>
  <c r="E42" i="16"/>
  <c r="H42" i="16" s="1"/>
  <c r="E279" i="16"/>
  <c r="H279" i="16" s="1"/>
  <c r="E263" i="16"/>
  <c r="H263" i="16" s="1"/>
  <c r="E247" i="16"/>
  <c r="H247" i="16" s="1"/>
  <c r="E231" i="16"/>
  <c r="H231" i="16" s="1"/>
  <c r="E215" i="16"/>
  <c r="H215" i="16" s="1"/>
  <c r="E199" i="16"/>
  <c r="H199" i="16" s="1"/>
  <c r="E183" i="16"/>
  <c r="H183" i="16" s="1"/>
  <c r="E167" i="16"/>
  <c r="H167" i="16" s="1"/>
  <c r="E151" i="16"/>
  <c r="H151" i="16" s="1"/>
  <c r="E135" i="16"/>
  <c r="H135" i="16" s="1"/>
  <c r="E119" i="16"/>
  <c r="H119" i="16" s="1"/>
  <c r="E103" i="16"/>
  <c r="H103" i="16" s="1"/>
  <c r="E87" i="16"/>
  <c r="H87" i="16" s="1"/>
  <c r="E71" i="16"/>
  <c r="H71" i="16" s="1"/>
  <c r="E55" i="16"/>
  <c r="H55" i="16" s="1"/>
  <c r="E39" i="16"/>
  <c r="H39" i="16" s="1"/>
  <c r="E172" i="16"/>
  <c r="H172" i="16" s="1"/>
  <c r="E156" i="16"/>
  <c r="H156" i="16" s="1"/>
  <c r="E140" i="16"/>
  <c r="H140" i="16" s="1"/>
  <c r="E124" i="16"/>
  <c r="H124" i="16" s="1"/>
  <c r="E108" i="16"/>
  <c r="H108" i="16" s="1"/>
  <c r="E92" i="16"/>
  <c r="H92" i="16" s="1"/>
  <c r="E76" i="16"/>
  <c r="H76" i="16" s="1"/>
  <c r="E60" i="16"/>
  <c r="H60" i="16" s="1"/>
  <c r="E44" i="16"/>
  <c r="H44" i="16" s="1"/>
  <c r="E173" i="16"/>
  <c r="H173" i="16" s="1"/>
  <c r="E157" i="16"/>
  <c r="H157" i="16" s="1"/>
  <c r="E141" i="16"/>
  <c r="H141" i="16" s="1"/>
  <c r="E125" i="16"/>
  <c r="H125" i="16" s="1"/>
  <c r="E109" i="16"/>
  <c r="H109" i="16" s="1"/>
  <c r="E93" i="16"/>
  <c r="H93" i="16" s="1"/>
  <c r="E77" i="16"/>
  <c r="H77" i="16" s="1"/>
  <c r="E61" i="16"/>
  <c r="H61" i="16" s="1"/>
  <c r="E284" i="16"/>
  <c r="H284" i="16" s="1"/>
  <c r="E268" i="16"/>
  <c r="H268" i="16" s="1"/>
  <c r="E252" i="16"/>
  <c r="H252" i="16" s="1"/>
  <c r="E236" i="16"/>
  <c r="H236" i="16" s="1"/>
  <c r="E220" i="16"/>
  <c r="H220" i="16" s="1"/>
  <c r="E204" i="16"/>
  <c r="H204" i="16" s="1"/>
  <c r="E188" i="16"/>
  <c r="H188" i="16" s="1"/>
  <c r="E285" i="16"/>
  <c r="H285" i="16" s="1"/>
  <c r="E269" i="16"/>
  <c r="H269" i="16" s="1"/>
  <c r="E253" i="16"/>
  <c r="H253" i="16" s="1"/>
  <c r="E237" i="16"/>
  <c r="H237" i="16" s="1"/>
  <c r="E221" i="16"/>
  <c r="H221" i="16" s="1"/>
  <c r="E205" i="16"/>
  <c r="H205" i="16" s="1"/>
  <c r="E189" i="16"/>
  <c r="H189" i="16" s="1"/>
  <c r="E41" i="16"/>
  <c r="H41" i="16" s="1"/>
  <c r="E278" i="16"/>
  <c r="H278" i="16" s="1"/>
  <c r="E262" i="16"/>
  <c r="H262" i="16" s="1"/>
  <c r="E246" i="16"/>
  <c r="H246" i="16" s="1"/>
  <c r="E230" i="16"/>
  <c r="H230" i="16" s="1"/>
  <c r="E214" i="16"/>
  <c r="H214" i="16" s="1"/>
  <c r="E198" i="16"/>
  <c r="H198" i="16" s="1"/>
  <c r="E182" i="16"/>
  <c r="H182" i="16" s="1"/>
  <c r="E166" i="16"/>
  <c r="H166" i="16" s="1"/>
  <c r="E150" i="16"/>
  <c r="H150" i="16" s="1"/>
  <c r="E134" i="16"/>
  <c r="H134" i="16" s="1"/>
  <c r="E118" i="16"/>
  <c r="H118" i="16" s="1"/>
  <c r="E102" i="16"/>
  <c r="H102" i="16" s="1"/>
  <c r="E86" i="16"/>
  <c r="H86" i="16" s="1"/>
  <c r="E70" i="16"/>
  <c r="H70" i="16" s="1"/>
  <c r="E54" i="16"/>
  <c r="H54" i="16" s="1"/>
  <c r="E38" i="16"/>
  <c r="H38" i="16" s="1"/>
  <c r="E275" i="16"/>
  <c r="H275" i="16" s="1"/>
  <c r="E259" i="16"/>
  <c r="H259" i="16" s="1"/>
  <c r="E243" i="16"/>
  <c r="H243" i="16" s="1"/>
  <c r="E227" i="16"/>
  <c r="H227" i="16" s="1"/>
  <c r="E211" i="16"/>
  <c r="H211" i="16" s="1"/>
  <c r="E195" i="16"/>
  <c r="H195" i="16" s="1"/>
  <c r="E179" i="16"/>
  <c r="H179" i="16" s="1"/>
  <c r="E163" i="16"/>
  <c r="H163" i="16" s="1"/>
  <c r="E147" i="16"/>
  <c r="H147" i="16" s="1"/>
  <c r="E131" i="16"/>
  <c r="H131" i="16" s="1"/>
  <c r="E115" i="16"/>
  <c r="H115" i="16" s="1"/>
  <c r="E99" i="16"/>
  <c r="H99" i="16" s="1"/>
  <c r="E83" i="16"/>
  <c r="H83" i="16" s="1"/>
  <c r="E67" i="16"/>
  <c r="H67" i="16" s="1"/>
  <c r="E51" i="16"/>
  <c r="H51" i="16" s="1"/>
  <c r="E35" i="16"/>
  <c r="H35" i="16" s="1"/>
  <c r="E168" i="16"/>
  <c r="H168" i="16" s="1"/>
  <c r="E152" i="16"/>
  <c r="H152" i="16" s="1"/>
  <c r="E136" i="16"/>
  <c r="H136" i="16" s="1"/>
  <c r="E120" i="16"/>
  <c r="H120" i="16" s="1"/>
  <c r="E104" i="16"/>
  <c r="H104" i="16" s="1"/>
  <c r="E88" i="16"/>
  <c r="H88" i="16" s="1"/>
  <c r="E72" i="16"/>
  <c r="H72" i="16" s="1"/>
  <c r="E56" i="16"/>
  <c r="H56" i="16" s="1"/>
  <c r="E40" i="16"/>
  <c r="H40" i="16" s="1"/>
  <c r="E169" i="16"/>
  <c r="H169" i="16" s="1"/>
  <c r="E153" i="16"/>
  <c r="H153" i="16" s="1"/>
  <c r="E137" i="16"/>
  <c r="H137" i="16" s="1"/>
  <c r="E121" i="16"/>
  <c r="H121" i="16" s="1"/>
  <c r="E105" i="16"/>
  <c r="H105" i="16" s="1"/>
  <c r="E89" i="16"/>
  <c r="H89" i="16" s="1"/>
  <c r="E73" i="16"/>
  <c r="H73" i="16" s="1"/>
  <c r="E57" i="16"/>
  <c r="H57" i="16" s="1"/>
  <c r="E280" i="16"/>
  <c r="H280" i="16" s="1"/>
  <c r="E264" i="16"/>
  <c r="H264" i="16" s="1"/>
  <c r="E248" i="16"/>
  <c r="H248" i="16" s="1"/>
  <c r="E232" i="16"/>
  <c r="H232" i="16" s="1"/>
  <c r="E216" i="16"/>
  <c r="H216" i="16" s="1"/>
  <c r="E200" i="16"/>
  <c r="H200" i="16" s="1"/>
  <c r="E184" i="16"/>
  <c r="H184" i="16" s="1"/>
  <c r="E281" i="16"/>
  <c r="H281" i="16" s="1"/>
  <c r="E265" i="16"/>
  <c r="H265" i="16" s="1"/>
  <c r="E249" i="16"/>
  <c r="H249" i="16" s="1"/>
  <c r="E233" i="16"/>
  <c r="H233" i="16" s="1"/>
  <c r="E217" i="16"/>
  <c r="H217" i="16" s="1"/>
  <c r="E201" i="16"/>
  <c r="H201" i="16" s="1"/>
  <c r="E185" i="16"/>
  <c r="H185" i="16" s="1"/>
  <c r="E37" i="16"/>
  <c r="H37" i="16" s="1"/>
  <c r="E274" i="16"/>
  <c r="H274" i="16" s="1"/>
  <c r="E258" i="16"/>
  <c r="H258" i="16" s="1"/>
  <c r="E242" i="16"/>
  <c r="H242" i="16" s="1"/>
  <c r="E226" i="16"/>
  <c r="H226" i="16" s="1"/>
  <c r="E210" i="16"/>
  <c r="H210" i="16" s="1"/>
  <c r="E194" i="16"/>
  <c r="H194" i="16" s="1"/>
  <c r="E178" i="16"/>
  <c r="H178" i="16" s="1"/>
  <c r="E162" i="16"/>
  <c r="H162" i="16" s="1"/>
  <c r="E146" i="16"/>
  <c r="H146" i="16" s="1"/>
  <c r="E130" i="16"/>
  <c r="H130" i="16" s="1"/>
  <c r="E114" i="16"/>
  <c r="H114" i="16" s="1"/>
  <c r="E98" i="16"/>
  <c r="H98" i="16" s="1"/>
  <c r="E82" i="16"/>
  <c r="H82" i="16" s="1"/>
  <c r="E66" i="16"/>
  <c r="H66" i="16" s="1"/>
  <c r="E50" i="16"/>
  <c r="H50" i="16" s="1"/>
  <c r="E34" i="16"/>
  <c r="H34" i="16" s="1"/>
  <c r="E271" i="16"/>
  <c r="H271" i="16" s="1"/>
  <c r="E255" i="16"/>
  <c r="H255" i="16" s="1"/>
  <c r="E239" i="16"/>
  <c r="H239" i="16" s="1"/>
  <c r="E223" i="16"/>
  <c r="H223" i="16" s="1"/>
  <c r="E207" i="16"/>
  <c r="H207" i="16" s="1"/>
  <c r="E191" i="16"/>
  <c r="H191" i="16" s="1"/>
  <c r="E175" i="16"/>
  <c r="H175" i="16" s="1"/>
  <c r="E159" i="16"/>
  <c r="H159" i="16" s="1"/>
  <c r="E143" i="16"/>
  <c r="H143" i="16" s="1"/>
  <c r="E127" i="16"/>
  <c r="H127" i="16" s="1"/>
  <c r="E111" i="16"/>
  <c r="H111" i="16" s="1"/>
  <c r="E95" i="16"/>
  <c r="H95" i="16" s="1"/>
  <c r="E79" i="16"/>
  <c r="H79" i="16" s="1"/>
  <c r="E63" i="16"/>
  <c r="H63" i="16" s="1"/>
  <c r="E47" i="16"/>
  <c r="H47" i="16" s="1"/>
  <c r="E180" i="16"/>
  <c r="H180" i="16" s="1"/>
  <c r="E164" i="16"/>
  <c r="H164" i="16" s="1"/>
  <c r="E148" i="16"/>
  <c r="H148" i="16" s="1"/>
  <c r="E132" i="16"/>
  <c r="H132" i="16" s="1"/>
  <c r="E116" i="16"/>
  <c r="H116" i="16" s="1"/>
  <c r="E100" i="16"/>
  <c r="H100" i="16" s="1"/>
  <c r="E84" i="16"/>
  <c r="H84" i="16" s="1"/>
  <c r="E68" i="16"/>
  <c r="H68" i="16" s="1"/>
  <c r="E52" i="16"/>
  <c r="H52" i="16" s="1"/>
  <c r="E181" i="16"/>
  <c r="H181" i="16" s="1"/>
  <c r="E165" i="16"/>
  <c r="H165" i="16" s="1"/>
  <c r="E149" i="16"/>
  <c r="H149" i="16" s="1"/>
  <c r="E133" i="16"/>
  <c r="H133" i="16" s="1"/>
  <c r="E117" i="16"/>
  <c r="H117" i="16" s="1"/>
  <c r="E101" i="16"/>
  <c r="H101" i="16" s="1"/>
  <c r="E85" i="16"/>
  <c r="H85" i="16" s="1"/>
  <c r="E69" i="16"/>
  <c r="H69" i="16" s="1"/>
  <c r="E53" i="16"/>
  <c r="H53" i="16" s="1"/>
  <c r="E276" i="16"/>
  <c r="H276" i="16" s="1"/>
  <c r="E260" i="16"/>
  <c r="H260" i="16" s="1"/>
  <c r="E244" i="16"/>
  <c r="H244" i="16" s="1"/>
  <c r="E228" i="16"/>
  <c r="H228" i="16" s="1"/>
  <c r="E212" i="16"/>
  <c r="H212" i="16" s="1"/>
  <c r="E196" i="16"/>
  <c r="H196" i="16" s="1"/>
  <c r="E36" i="16"/>
  <c r="H36" i="16" s="1"/>
  <c r="E277" i="16"/>
  <c r="H277" i="16" s="1"/>
  <c r="E261" i="16"/>
  <c r="H261" i="16" s="1"/>
  <c r="E245" i="16"/>
  <c r="H245" i="16" s="1"/>
  <c r="E229" i="16"/>
  <c r="H229" i="16" s="1"/>
  <c r="E213" i="16"/>
  <c r="H213" i="16" s="1"/>
  <c r="E197" i="16"/>
  <c r="H197" i="16" s="1"/>
  <c r="E49" i="16"/>
  <c r="H49" i="16" s="1"/>
  <c r="E33" i="16"/>
  <c r="H33" i="16" s="1"/>
  <c r="E270" i="16"/>
  <c r="H270" i="16" s="1"/>
  <c r="E254" i="16"/>
  <c r="H254" i="16" s="1"/>
  <c r="E238" i="16"/>
  <c r="H238" i="16" s="1"/>
  <c r="E222" i="16"/>
  <c r="H222" i="16" s="1"/>
  <c r="E206" i="16"/>
  <c r="H206" i="16" s="1"/>
  <c r="E190" i="16"/>
  <c r="H190" i="16" s="1"/>
  <c r="E174" i="16"/>
  <c r="H174" i="16" s="1"/>
  <c r="E158" i="16"/>
  <c r="H158" i="16" s="1"/>
  <c r="E142" i="16"/>
  <c r="H142" i="16" s="1"/>
  <c r="E126" i="16"/>
  <c r="H126" i="16" s="1"/>
  <c r="E110" i="16"/>
  <c r="H110" i="16" s="1"/>
  <c r="E94" i="16"/>
  <c r="H94" i="16" s="1"/>
  <c r="E78" i="16"/>
  <c r="H78" i="16" s="1"/>
  <c r="E62" i="16"/>
  <c r="H62" i="16" s="1"/>
  <c r="E46" i="16"/>
  <c r="H46" i="16" s="1"/>
  <c r="E283" i="16"/>
  <c r="H283" i="16" s="1"/>
  <c r="E267" i="16"/>
  <c r="H267" i="16" s="1"/>
  <c r="E251" i="16"/>
  <c r="H251" i="16" s="1"/>
  <c r="E235" i="16"/>
  <c r="H235" i="16" s="1"/>
  <c r="E219" i="16"/>
  <c r="H219" i="16" s="1"/>
  <c r="E203" i="16"/>
  <c r="H203" i="16" s="1"/>
  <c r="E187" i="16"/>
  <c r="H187" i="16" s="1"/>
  <c r="E171" i="16"/>
  <c r="H171" i="16" s="1"/>
  <c r="E155" i="16"/>
  <c r="H155" i="16" s="1"/>
  <c r="E139" i="16"/>
  <c r="H139" i="16" s="1"/>
  <c r="E123" i="16"/>
  <c r="H123" i="16" s="1"/>
  <c r="E107" i="16"/>
  <c r="H107" i="16" s="1"/>
  <c r="E91" i="16"/>
  <c r="H91" i="16" s="1"/>
  <c r="E75" i="16"/>
  <c r="H75" i="16" s="1"/>
  <c r="E59" i="16"/>
  <c r="H59" i="16" s="1"/>
  <c r="E43" i="16"/>
  <c r="H43" i="16" s="1"/>
  <c r="E176" i="16"/>
  <c r="H176" i="16" s="1"/>
  <c r="E160" i="16"/>
  <c r="H160" i="16" s="1"/>
  <c r="E144" i="16"/>
  <c r="H144" i="16" s="1"/>
  <c r="E128" i="16"/>
  <c r="H128" i="16" s="1"/>
  <c r="E112" i="16"/>
  <c r="H112" i="16" s="1"/>
  <c r="E96" i="16"/>
  <c r="H96" i="16" s="1"/>
  <c r="E80" i="16"/>
  <c r="H80" i="16" s="1"/>
  <c r="E64" i="16"/>
  <c r="H64" i="16" s="1"/>
  <c r="E48" i="16"/>
  <c r="H48" i="16" s="1"/>
  <c r="E177" i="16"/>
  <c r="H177" i="16" s="1"/>
  <c r="E161" i="16"/>
  <c r="H161" i="16" s="1"/>
  <c r="E145" i="16"/>
  <c r="H145" i="16" s="1"/>
  <c r="E129" i="16"/>
  <c r="H129" i="16" s="1"/>
  <c r="E113" i="16"/>
  <c r="H113" i="16" s="1"/>
  <c r="E97" i="16"/>
  <c r="H97" i="16" s="1"/>
  <c r="E81" i="16"/>
  <c r="H81" i="16" s="1"/>
  <c r="E65" i="16"/>
  <c r="H65" i="16" s="1"/>
  <c r="I407" i="18" l="1"/>
  <c r="K407" i="18" s="1"/>
  <c r="I379" i="18"/>
  <c r="K379" i="18" s="1"/>
  <c r="J363" i="18"/>
  <c r="J377" i="18"/>
  <c r="J364" i="18"/>
  <c r="J378" i="18"/>
  <c r="J368" i="18"/>
  <c r="J374" i="18"/>
  <c r="J391" i="18"/>
  <c r="I391" i="18" s="1"/>
  <c r="K391" i="18" s="1"/>
  <c r="J375" i="18"/>
  <c r="I375" i="18" s="1"/>
  <c r="K375" i="18" s="1"/>
  <c r="J385" i="18"/>
  <c r="I385" i="18" s="1"/>
  <c r="K385" i="18" s="1"/>
  <c r="J373" i="18"/>
  <c r="J376" i="18"/>
  <c r="J392" i="18"/>
  <c r="J358" i="18"/>
  <c r="J372" i="18"/>
  <c r="J367" i="18"/>
  <c r="J352" i="18"/>
  <c r="J355" i="18"/>
  <c r="I355" i="18" s="1"/>
  <c r="K355" i="18" s="1"/>
  <c r="J393" i="18"/>
  <c r="I393" i="18" s="1"/>
  <c r="K393" i="18" s="1"/>
  <c r="J349" i="18"/>
  <c r="J394" i="18"/>
  <c r="J350" i="18"/>
  <c r="J360" i="18"/>
  <c r="J357" i="18"/>
  <c r="H331" i="16"/>
  <c r="BF32" i="12"/>
  <c r="BF33" i="12"/>
  <c r="BF34" i="12"/>
  <c r="BF35" i="12"/>
  <c r="BF36" i="12"/>
  <c r="BF37" i="12"/>
  <c r="BF38" i="12"/>
  <c r="BF39" i="12"/>
  <c r="BF40" i="12"/>
  <c r="BF41" i="12"/>
  <c r="BF42" i="12"/>
  <c r="BF43" i="12"/>
  <c r="BF44" i="12"/>
  <c r="BF45" i="12"/>
  <c r="BF46" i="12"/>
  <c r="BF47" i="12"/>
  <c r="BF48" i="12"/>
  <c r="BF49" i="12"/>
  <c r="BF50" i="12"/>
  <c r="BF51" i="12"/>
  <c r="BF52" i="12"/>
  <c r="BF53" i="12"/>
  <c r="BF54" i="12"/>
  <c r="BF55" i="12"/>
  <c r="BF56" i="12"/>
  <c r="BF57" i="12"/>
  <c r="BF58" i="12"/>
  <c r="BF59" i="12"/>
  <c r="BF60" i="12"/>
  <c r="BF61" i="12"/>
  <c r="BF62" i="12"/>
  <c r="BF63" i="12"/>
  <c r="BF64" i="12"/>
  <c r="BF65" i="12"/>
  <c r="BF66" i="12"/>
  <c r="BF67" i="12"/>
  <c r="BF68" i="12"/>
  <c r="BF69" i="12"/>
  <c r="BF70" i="12"/>
  <c r="BF71" i="12"/>
  <c r="BF72" i="12"/>
  <c r="BF73" i="12"/>
  <c r="BF74" i="12"/>
  <c r="BF75" i="12"/>
  <c r="BF76" i="12"/>
  <c r="BF77" i="12"/>
  <c r="BF78" i="12"/>
  <c r="BF79" i="12"/>
  <c r="BF80" i="12"/>
  <c r="BF81" i="12"/>
  <c r="BF82" i="12"/>
  <c r="BF83" i="12"/>
  <c r="BF84" i="12"/>
  <c r="BF85" i="12"/>
  <c r="BF86" i="12"/>
  <c r="BF87" i="12"/>
  <c r="BF88" i="12"/>
  <c r="BF89" i="12"/>
  <c r="BF90" i="12"/>
  <c r="BF91" i="12"/>
  <c r="BF92" i="12"/>
  <c r="BF93" i="12"/>
  <c r="BF94" i="12"/>
  <c r="BF95" i="12"/>
  <c r="BF96" i="12"/>
  <c r="BF97" i="12"/>
  <c r="BF98" i="12"/>
  <c r="BF99" i="12"/>
  <c r="BF100" i="12"/>
  <c r="BF101" i="12"/>
  <c r="BF102" i="12"/>
  <c r="BF103" i="12"/>
  <c r="BF104" i="12"/>
  <c r="BF105" i="12"/>
  <c r="BF106" i="12"/>
  <c r="BF107" i="12"/>
  <c r="BF108" i="12"/>
  <c r="BF109" i="12"/>
  <c r="BF110" i="12"/>
  <c r="BF111" i="12"/>
  <c r="BF112" i="12"/>
  <c r="BF113" i="12"/>
  <c r="BF114" i="12"/>
  <c r="BF115" i="12"/>
  <c r="BF116" i="12"/>
  <c r="BF117" i="12"/>
  <c r="BF118" i="12"/>
  <c r="BF119" i="12"/>
  <c r="BF120" i="12"/>
  <c r="BF121" i="12"/>
  <c r="BF122" i="12"/>
  <c r="BF123" i="12"/>
  <c r="BF124" i="12"/>
  <c r="BF125" i="12"/>
  <c r="BF126" i="12"/>
  <c r="BF127" i="12"/>
  <c r="BF128" i="12"/>
  <c r="BF129" i="12"/>
  <c r="BF130" i="12"/>
  <c r="BF131" i="12"/>
  <c r="BF132" i="12"/>
  <c r="BF133" i="12"/>
  <c r="BF134" i="12"/>
  <c r="BF135" i="12"/>
  <c r="BF136" i="12"/>
  <c r="BF137" i="12"/>
  <c r="BF138" i="12"/>
  <c r="BF139" i="12"/>
  <c r="BF140" i="12"/>
  <c r="BF141" i="12"/>
  <c r="BF142" i="12"/>
  <c r="BF143" i="12"/>
  <c r="BF144" i="12"/>
  <c r="BF145" i="12"/>
  <c r="BF146" i="12"/>
  <c r="BF147" i="12"/>
  <c r="BF148" i="12"/>
  <c r="BF149" i="12"/>
  <c r="BF150" i="12"/>
  <c r="BF151" i="12"/>
  <c r="BF152" i="12"/>
  <c r="BF153" i="12"/>
  <c r="BF154" i="12"/>
  <c r="BF155" i="12"/>
  <c r="BF156" i="12"/>
  <c r="BF157" i="12"/>
  <c r="BF158" i="12"/>
  <c r="BF159" i="12"/>
  <c r="BF160" i="12"/>
  <c r="BF161" i="12"/>
  <c r="BF162" i="12"/>
  <c r="BF163" i="12"/>
  <c r="BF164" i="12"/>
  <c r="BF165" i="12"/>
  <c r="BF166" i="12"/>
  <c r="BF167" i="12"/>
  <c r="BF168" i="12"/>
  <c r="BF169" i="12"/>
  <c r="BF170" i="12"/>
  <c r="BF171" i="12"/>
  <c r="BF172" i="12"/>
  <c r="BF173" i="12"/>
  <c r="BF174" i="12"/>
  <c r="BF175" i="12"/>
  <c r="BF176" i="12"/>
  <c r="BF177" i="12"/>
  <c r="BF178" i="12"/>
  <c r="BF179" i="12"/>
  <c r="BF180" i="12"/>
  <c r="BF181" i="12"/>
  <c r="BF182" i="12"/>
  <c r="BF183" i="12"/>
  <c r="BF184" i="12"/>
  <c r="BF185" i="12"/>
  <c r="BF186" i="12"/>
  <c r="BF187" i="12"/>
  <c r="BF188" i="12"/>
  <c r="BF189" i="12"/>
  <c r="BF190" i="12"/>
  <c r="BF191" i="12"/>
  <c r="BF192" i="12"/>
  <c r="BF193" i="12"/>
  <c r="BF194" i="12"/>
  <c r="BF195" i="12"/>
  <c r="BF196" i="12"/>
  <c r="BF197" i="12"/>
  <c r="BF198" i="12"/>
  <c r="BF199" i="12"/>
  <c r="BF200" i="12"/>
  <c r="BF201" i="12"/>
  <c r="BF202" i="12"/>
  <c r="BF203" i="12"/>
  <c r="BF204" i="12"/>
  <c r="BF205" i="12"/>
  <c r="BF206" i="12"/>
  <c r="BF207" i="12"/>
  <c r="BF208" i="12"/>
  <c r="BF209" i="12"/>
  <c r="BF210" i="12"/>
  <c r="BF211" i="12"/>
  <c r="BF212" i="12"/>
  <c r="BF213" i="12"/>
  <c r="BF214" i="12"/>
  <c r="BF215" i="12"/>
  <c r="BF216" i="12"/>
  <c r="BF217" i="12"/>
  <c r="BF218" i="12"/>
  <c r="BF219" i="12"/>
  <c r="BF220" i="12"/>
  <c r="BF221" i="12"/>
  <c r="BF222" i="12"/>
  <c r="BF223" i="12"/>
  <c r="BF224" i="12"/>
  <c r="BF225" i="12"/>
  <c r="BF226" i="12"/>
  <c r="BF227" i="12"/>
  <c r="BF228" i="12"/>
  <c r="BF229" i="12"/>
  <c r="BF230" i="12"/>
  <c r="BF231" i="12"/>
  <c r="BF232" i="12"/>
  <c r="BF233" i="12"/>
  <c r="BF234" i="12"/>
  <c r="BF235" i="12"/>
  <c r="BF236" i="12"/>
  <c r="BF237" i="12"/>
  <c r="BF238" i="12"/>
  <c r="BF239" i="12"/>
  <c r="BF240" i="12"/>
  <c r="BF241" i="12"/>
  <c r="BF242" i="12"/>
  <c r="BF243" i="12"/>
  <c r="BF244" i="12"/>
  <c r="BF245" i="12"/>
  <c r="BF246" i="12"/>
  <c r="BF247" i="12"/>
  <c r="BF248" i="12"/>
  <c r="BF249" i="12"/>
  <c r="BF250" i="12"/>
  <c r="BF251" i="12"/>
  <c r="BF252" i="12"/>
  <c r="BF253" i="12"/>
  <c r="BF254" i="12"/>
  <c r="BF255" i="12"/>
  <c r="BF256" i="12"/>
  <c r="BF257" i="12"/>
  <c r="BF258" i="12"/>
  <c r="BF259" i="12"/>
  <c r="BF260" i="12"/>
  <c r="BF261" i="12"/>
  <c r="BF262" i="12"/>
  <c r="BF263" i="12"/>
  <c r="BF264" i="12"/>
  <c r="BF265" i="12"/>
  <c r="BF266" i="12"/>
  <c r="BF267" i="12"/>
  <c r="BF268" i="12"/>
  <c r="BF269" i="12"/>
  <c r="BF270" i="12"/>
  <c r="BF271" i="12"/>
  <c r="BF272" i="12"/>
  <c r="BF273" i="12"/>
  <c r="BF274" i="12"/>
  <c r="BF275" i="12"/>
  <c r="BF276" i="12"/>
  <c r="BF277" i="12"/>
  <c r="BF278" i="12"/>
  <c r="BF279" i="12"/>
  <c r="BF280" i="12"/>
  <c r="BF281" i="12"/>
  <c r="BF282" i="12"/>
  <c r="BF283" i="12"/>
  <c r="BF284" i="12"/>
  <c r="BF285" i="12"/>
  <c r="BF286" i="12"/>
  <c r="BF287" i="12"/>
  <c r="BF288" i="12"/>
  <c r="BF289" i="12"/>
  <c r="BF290" i="12"/>
  <c r="BF291" i="12"/>
  <c r="BF292" i="12"/>
  <c r="BF293" i="12"/>
  <c r="BF294" i="12"/>
  <c r="BF295" i="12"/>
  <c r="BF296" i="12"/>
  <c r="BF297" i="12"/>
  <c r="BF298" i="12"/>
  <c r="BF299" i="12"/>
  <c r="BF300" i="12"/>
  <c r="BF301" i="12"/>
  <c r="BF302" i="12"/>
  <c r="BF303" i="12"/>
  <c r="BF304" i="12"/>
  <c r="BF305" i="12"/>
  <c r="BF306" i="12"/>
  <c r="BF307" i="12"/>
  <c r="BF308" i="12"/>
  <c r="BF309" i="12"/>
  <c r="BF310" i="12"/>
  <c r="BF311" i="12"/>
  <c r="BF312" i="12"/>
  <c r="BF313" i="12"/>
  <c r="BF314" i="12"/>
  <c r="BF315" i="12"/>
  <c r="BF316" i="12"/>
  <c r="BF317" i="12"/>
  <c r="BF318" i="12"/>
  <c r="BF319" i="12"/>
  <c r="BF320" i="12"/>
  <c r="BF321" i="12"/>
  <c r="BF322" i="12"/>
  <c r="BF323" i="12"/>
  <c r="BF324" i="12"/>
  <c r="BF325" i="12"/>
  <c r="BF326" i="12"/>
  <c r="BF327" i="12"/>
  <c r="BF328" i="12"/>
  <c r="BF329" i="12"/>
  <c r="BF31" i="12"/>
  <c r="I372" i="18" l="1"/>
  <c r="K372" i="18" s="1"/>
  <c r="I377" i="18"/>
  <c r="K377" i="18" s="1"/>
  <c r="I350" i="18"/>
  <c r="K350" i="18" s="1"/>
  <c r="I358" i="18"/>
  <c r="K358" i="18" s="1"/>
  <c r="I368" i="18"/>
  <c r="K368" i="18" s="1"/>
  <c r="I363" i="18"/>
  <c r="K363" i="18" s="1"/>
  <c r="I360" i="18"/>
  <c r="K360" i="18" s="1"/>
  <c r="I374" i="18"/>
  <c r="K374" i="18" s="1"/>
  <c r="I394" i="18"/>
  <c r="K394" i="18" s="1"/>
  <c r="I352" i="18"/>
  <c r="K352" i="18" s="1"/>
  <c r="I392" i="18"/>
  <c r="K392" i="18" s="1"/>
  <c r="I378" i="18"/>
  <c r="K378" i="18" s="1"/>
  <c r="I373" i="18"/>
  <c r="K373" i="18" s="1"/>
  <c r="I357" i="18"/>
  <c r="K357" i="18" s="1"/>
  <c r="I349" i="18"/>
  <c r="K349" i="18" s="1"/>
  <c r="I367" i="18"/>
  <c r="K367" i="18" s="1"/>
  <c r="I376" i="18"/>
  <c r="K376" i="18" s="1"/>
  <c r="I364" i="18"/>
  <c r="K364" i="18" s="1"/>
  <c r="B1" i="12"/>
  <c r="U4" i="6" l="1"/>
  <c r="V4" i="6"/>
  <c r="U5" i="6"/>
  <c r="V5" i="6"/>
  <c r="U6" i="6"/>
  <c r="V6" i="6"/>
  <c r="T5" i="6"/>
  <c r="T6" i="6"/>
  <c r="T4" i="6"/>
  <c r="A301" i="4" l="1"/>
  <c r="B318" i="6" l="1"/>
  <c r="D318" i="6"/>
  <c r="E318" i="6" s="1"/>
  <c r="C318" i="6" s="1"/>
  <c r="Z318" i="6" l="1" a="1"/>
  <c r="Z318" i="6" s="1"/>
  <c r="BM2" i="12" l="1"/>
  <c r="K29" i="12" s="1"/>
  <c r="BS29" i="12" s="1"/>
  <c r="DV32" i="12"/>
  <c r="DW32" i="12"/>
  <c r="DV33" i="12"/>
  <c r="DW33" i="12"/>
  <c r="DV34" i="12"/>
  <c r="DW34" i="12"/>
  <c r="DV35" i="12"/>
  <c r="DW35" i="12"/>
  <c r="DV36" i="12"/>
  <c r="DW36" i="12"/>
  <c r="DV37" i="12"/>
  <c r="DW37" i="12"/>
  <c r="DV38" i="12"/>
  <c r="DW38" i="12"/>
  <c r="DV39" i="12"/>
  <c r="DW39" i="12"/>
  <c r="DV40" i="12"/>
  <c r="DW40" i="12"/>
  <c r="DV41" i="12"/>
  <c r="DW41" i="12"/>
  <c r="DV42" i="12"/>
  <c r="DW42" i="12"/>
  <c r="DV43" i="12"/>
  <c r="DW43" i="12"/>
  <c r="DV44" i="12"/>
  <c r="DW44" i="12"/>
  <c r="DV45" i="12"/>
  <c r="DW45" i="12"/>
  <c r="DV46" i="12"/>
  <c r="DW46" i="12"/>
  <c r="DV47" i="12"/>
  <c r="DW47" i="12"/>
  <c r="DV48" i="12"/>
  <c r="DW48" i="12"/>
  <c r="DV49" i="12"/>
  <c r="DW49" i="12"/>
  <c r="DV50" i="12"/>
  <c r="DW50" i="12"/>
  <c r="DV51" i="12"/>
  <c r="DW51" i="12"/>
  <c r="DV52" i="12"/>
  <c r="DW52" i="12"/>
  <c r="DV53" i="12"/>
  <c r="DW53" i="12"/>
  <c r="DV54" i="12"/>
  <c r="DW54" i="12"/>
  <c r="DV55" i="12"/>
  <c r="DW55" i="12"/>
  <c r="DV56" i="12"/>
  <c r="DW56" i="12"/>
  <c r="DV57" i="12"/>
  <c r="DW57" i="12"/>
  <c r="DV58" i="12"/>
  <c r="DW58" i="12"/>
  <c r="DV59" i="12"/>
  <c r="DW59" i="12"/>
  <c r="DV60" i="12"/>
  <c r="DW60" i="12"/>
  <c r="DV61" i="12"/>
  <c r="DW61" i="12"/>
  <c r="DV62" i="12"/>
  <c r="DW62" i="12"/>
  <c r="DV63" i="12"/>
  <c r="DW63" i="12"/>
  <c r="DV64" i="12"/>
  <c r="DW64" i="12"/>
  <c r="DV65" i="12"/>
  <c r="DW65" i="12"/>
  <c r="DV66" i="12"/>
  <c r="DW66" i="12"/>
  <c r="DV67" i="12"/>
  <c r="DW67" i="12"/>
  <c r="DV68" i="12"/>
  <c r="DW68" i="12"/>
  <c r="DV69" i="12"/>
  <c r="DW69" i="12"/>
  <c r="DV70" i="12"/>
  <c r="DW70" i="12"/>
  <c r="DV71" i="12"/>
  <c r="DW71" i="12"/>
  <c r="DV72" i="12"/>
  <c r="DW72" i="12"/>
  <c r="DV73" i="12"/>
  <c r="DW73" i="12"/>
  <c r="DV74" i="12"/>
  <c r="DW74" i="12"/>
  <c r="DV75" i="12"/>
  <c r="DW75" i="12"/>
  <c r="DV76" i="12"/>
  <c r="DW76" i="12"/>
  <c r="DV77" i="12"/>
  <c r="DW77" i="12"/>
  <c r="DV78" i="12"/>
  <c r="DW78" i="12"/>
  <c r="DV79" i="12"/>
  <c r="DW79" i="12"/>
  <c r="DV80" i="12"/>
  <c r="DW80" i="12"/>
  <c r="DV81" i="12"/>
  <c r="DW81" i="12"/>
  <c r="DV82" i="12"/>
  <c r="DW82" i="12"/>
  <c r="DV83" i="12"/>
  <c r="DW83" i="12"/>
  <c r="DV84" i="12"/>
  <c r="DW84" i="12"/>
  <c r="DV85" i="12"/>
  <c r="DW85" i="12"/>
  <c r="DV86" i="12"/>
  <c r="DW86" i="12"/>
  <c r="DV87" i="12"/>
  <c r="DW87" i="12"/>
  <c r="DV88" i="12"/>
  <c r="DW88" i="12"/>
  <c r="DV89" i="12"/>
  <c r="DW89" i="12"/>
  <c r="DV90" i="12"/>
  <c r="DW90" i="12"/>
  <c r="DV91" i="12"/>
  <c r="DW91" i="12"/>
  <c r="DV92" i="12"/>
  <c r="DW92" i="12"/>
  <c r="DV93" i="12"/>
  <c r="DW93" i="12"/>
  <c r="DV94" i="12"/>
  <c r="DW94" i="12"/>
  <c r="DV95" i="12"/>
  <c r="DW95" i="12"/>
  <c r="DV96" i="12"/>
  <c r="DW96" i="12"/>
  <c r="DV97" i="12"/>
  <c r="DW97" i="12"/>
  <c r="DV98" i="12"/>
  <c r="DW98" i="12"/>
  <c r="DV99" i="12"/>
  <c r="DW99" i="12"/>
  <c r="DV100" i="12"/>
  <c r="DW100" i="12"/>
  <c r="DV101" i="12"/>
  <c r="DW101" i="12"/>
  <c r="DV102" i="12"/>
  <c r="DW102" i="12"/>
  <c r="DV103" i="12"/>
  <c r="DW103" i="12"/>
  <c r="DV104" i="12"/>
  <c r="DW104" i="12"/>
  <c r="DV105" i="12"/>
  <c r="DW105" i="12"/>
  <c r="DV106" i="12"/>
  <c r="DW106" i="12"/>
  <c r="DV107" i="12"/>
  <c r="DW107" i="12"/>
  <c r="DV108" i="12"/>
  <c r="DW108" i="12"/>
  <c r="DV109" i="12"/>
  <c r="DW109" i="12"/>
  <c r="DV110" i="12"/>
  <c r="DW110" i="12"/>
  <c r="DV111" i="12"/>
  <c r="DW111" i="12"/>
  <c r="DV112" i="12"/>
  <c r="DW112" i="12"/>
  <c r="DV113" i="12"/>
  <c r="DW113" i="12"/>
  <c r="DV114" i="12"/>
  <c r="DW114" i="12"/>
  <c r="DV115" i="12"/>
  <c r="DW115" i="12"/>
  <c r="DV116" i="12"/>
  <c r="DW116" i="12"/>
  <c r="DV117" i="12"/>
  <c r="DW117" i="12"/>
  <c r="DV118" i="12"/>
  <c r="DW118" i="12"/>
  <c r="DV119" i="12"/>
  <c r="DW119" i="12"/>
  <c r="DV120" i="12"/>
  <c r="DW120" i="12"/>
  <c r="DV121" i="12"/>
  <c r="DW121" i="12"/>
  <c r="DV122" i="12"/>
  <c r="DW122" i="12"/>
  <c r="DV123" i="12"/>
  <c r="DW123" i="12"/>
  <c r="DV124" i="12"/>
  <c r="DW124" i="12"/>
  <c r="DV125" i="12"/>
  <c r="DW125" i="12"/>
  <c r="DV126" i="12"/>
  <c r="DW126" i="12"/>
  <c r="DV127" i="12"/>
  <c r="DW127" i="12"/>
  <c r="DV128" i="12"/>
  <c r="DW128" i="12"/>
  <c r="DV129" i="12"/>
  <c r="DW129" i="12"/>
  <c r="DV130" i="12"/>
  <c r="DW130" i="12"/>
  <c r="DV131" i="12"/>
  <c r="DW131" i="12"/>
  <c r="DV132" i="12"/>
  <c r="DW132" i="12"/>
  <c r="DV133" i="12"/>
  <c r="DW133" i="12"/>
  <c r="DV134" i="12"/>
  <c r="DW134" i="12"/>
  <c r="DV135" i="12"/>
  <c r="DW135" i="12"/>
  <c r="DV136" i="12"/>
  <c r="DW136" i="12"/>
  <c r="DV137" i="12"/>
  <c r="DW137" i="12"/>
  <c r="DV138" i="12"/>
  <c r="DW138" i="12"/>
  <c r="DV139" i="12"/>
  <c r="DW139" i="12"/>
  <c r="DV140" i="12"/>
  <c r="DW140" i="12"/>
  <c r="DV141" i="12"/>
  <c r="DW141" i="12"/>
  <c r="DV142" i="12"/>
  <c r="DW142" i="12"/>
  <c r="DV143" i="12"/>
  <c r="DW143" i="12"/>
  <c r="DV144" i="12"/>
  <c r="DW144" i="12"/>
  <c r="DV145" i="12"/>
  <c r="DW145" i="12"/>
  <c r="DV146" i="12"/>
  <c r="DW146" i="12"/>
  <c r="DV147" i="12"/>
  <c r="DW147" i="12"/>
  <c r="DV148" i="12"/>
  <c r="DW148" i="12"/>
  <c r="DV149" i="12"/>
  <c r="DW149" i="12"/>
  <c r="DV150" i="12"/>
  <c r="DW150" i="12"/>
  <c r="DV151" i="12"/>
  <c r="DW151" i="12"/>
  <c r="DV152" i="12"/>
  <c r="DW152" i="12"/>
  <c r="DV153" i="12"/>
  <c r="DW153" i="12"/>
  <c r="DV154" i="12"/>
  <c r="DW154" i="12"/>
  <c r="DV155" i="12"/>
  <c r="DW155" i="12"/>
  <c r="DV156" i="12"/>
  <c r="DW156" i="12"/>
  <c r="DV157" i="12"/>
  <c r="DW157" i="12"/>
  <c r="DV158" i="12"/>
  <c r="DW158" i="12"/>
  <c r="DV159" i="12"/>
  <c r="DW159" i="12"/>
  <c r="DV160" i="12"/>
  <c r="DW160" i="12"/>
  <c r="DV161" i="12"/>
  <c r="DW161" i="12"/>
  <c r="DV162" i="12"/>
  <c r="DW162" i="12"/>
  <c r="DV163" i="12"/>
  <c r="DW163" i="12"/>
  <c r="DV164" i="12"/>
  <c r="DW164" i="12"/>
  <c r="DV165" i="12"/>
  <c r="DW165" i="12"/>
  <c r="DV166" i="12"/>
  <c r="DW166" i="12"/>
  <c r="DV167" i="12"/>
  <c r="DW167" i="12"/>
  <c r="DV168" i="12"/>
  <c r="DW168" i="12"/>
  <c r="DV169" i="12"/>
  <c r="DW169" i="12"/>
  <c r="DV170" i="12"/>
  <c r="DW170" i="12"/>
  <c r="DV171" i="12"/>
  <c r="DW171" i="12"/>
  <c r="DV172" i="12"/>
  <c r="DW172" i="12"/>
  <c r="DV173" i="12"/>
  <c r="DW173" i="12"/>
  <c r="DV174" i="12"/>
  <c r="DW174" i="12"/>
  <c r="DV175" i="12"/>
  <c r="DW175" i="12"/>
  <c r="DV176" i="12"/>
  <c r="DW176" i="12"/>
  <c r="DV177" i="12"/>
  <c r="DW177" i="12"/>
  <c r="DV178" i="12"/>
  <c r="DW178" i="12"/>
  <c r="DV179" i="12"/>
  <c r="DW179" i="12"/>
  <c r="DV180" i="12"/>
  <c r="DW180" i="12"/>
  <c r="DV181" i="12"/>
  <c r="DW181" i="12"/>
  <c r="DV182" i="12"/>
  <c r="DW182" i="12"/>
  <c r="DV183" i="12"/>
  <c r="DW183" i="12"/>
  <c r="DV184" i="12"/>
  <c r="DW184" i="12"/>
  <c r="DV185" i="12"/>
  <c r="DW185" i="12"/>
  <c r="DV186" i="12"/>
  <c r="DW186" i="12"/>
  <c r="DV187" i="12"/>
  <c r="DW187" i="12"/>
  <c r="DV188" i="12"/>
  <c r="DW188" i="12"/>
  <c r="DV189" i="12"/>
  <c r="DW189" i="12"/>
  <c r="DV190" i="12"/>
  <c r="DW190" i="12"/>
  <c r="DV191" i="12"/>
  <c r="DW191" i="12"/>
  <c r="DV192" i="12"/>
  <c r="DW192" i="12"/>
  <c r="DV193" i="12"/>
  <c r="DW193" i="12"/>
  <c r="DV194" i="12"/>
  <c r="DW194" i="12"/>
  <c r="DV195" i="12"/>
  <c r="DW195" i="12"/>
  <c r="DV196" i="12"/>
  <c r="DW196" i="12"/>
  <c r="DV197" i="12"/>
  <c r="DW197" i="12"/>
  <c r="DV198" i="12"/>
  <c r="DW198" i="12"/>
  <c r="DV199" i="12"/>
  <c r="DW199" i="12"/>
  <c r="DV200" i="12"/>
  <c r="DW200" i="12"/>
  <c r="DV201" i="12"/>
  <c r="DW201" i="12"/>
  <c r="DV202" i="12"/>
  <c r="DW202" i="12"/>
  <c r="DV203" i="12"/>
  <c r="DW203" i="12"/>
  <c r="DV204" i="12"/>
  <c r="DW204" i="12"/>
  <c r="DV205" i="12"/>
  <c r="DW205" i="12"/>
  <c r="DV206" i="12"/>
  <c r="DW206" i="12"/>
  <c r="DV207" i="12"/>
  <c r="DW207" i="12"/>
  <c r="DV208" i="12"/>
  <c r="DW208" i="12"/>
  <c r="DV209" i="12"/>
  <c r="DW209" i="12"/>
  <c r="DV210" i="12"/>
  <c r="DW210" i="12"/>
  <c r="DV211" i="12"/>
  <c r="DW211" i="12"/>
  <c r="DV212" i="12"/>
  <c r="DW212" i="12"/>
  <c r="DV213" i="12"/>
  <c r="DW213" i="12"/>
  <c r="DV214" i="12"/>
  <c r="DW214" i="12"/>
  <c r="DV215" i="12"/>
  <c r="DW215" i="12"/>
  <c r="DV216" i="12"/>
  <c r="DW216" i="12"/>
  <c r="DV217" i="12"/>
  <c r="DW217" i="12"/>
  <c r="DV218" i="12"/>
  <c r="DW218" i="12"/>
  <c r="DV219" i="12"/>
  <c r="DW219" i="12"/>
  <c r="DV220" i="12"/>
  <c r="DW220" i="12"/>
  <c r="DV221" i="12"/>
  <c r="DW221" i="12"/>
  <c r="DV222" i="12"/>
  <c r="DW222" i="12"/>
  <c r="DV223" i="12"/>
  <c r="DW223" i="12"/>
  <c r="DV224" i="12"/>
  <c r="DW224" i="12"/>
  <c r="DV225" i="12"/>
  <c r="DW225" i="12"/>
  <c r="DV226" i="12"/>
  <c r="DW226" i="12"/>
  <c r="DV227" i="12"/>
  <c r="DW227" i="12"/>
  <c r="DV228" i="12"/>
  <c r="DW228" i="12"/>
  <c r="DV229" i="12"/>
  <c r="DW229" i="12"/>
  <c r="DV230" i="12"/>
  <c r="DW230" i="12"/>
  <c r="DV231" i="12"/>
  <c r="DW231" i="12"/>
  <c r="DV232" i="12"/>
  <c r="DW232" i="12"/>
  <c r="DV233" i="12"/>
  <c r="DW233" i="12"/>
  <c r="DV234" i="12"/>
  <c r="DW234" i="12"/>
  <c r="DV235" i="12"/>
  <c r="DW235" i="12"/>
  <c r="DV236" i="12"/>
  <c r="DW236" i="12"/>
  <c r="DV237" i="12"/>
  <c r="DW237" i="12"/>
  <c r="DV238" i="12"/>
  <c r="DW238" i="12"/>
  <c r="DV239" i="12"/>
  <c r="DW239" i="12"/>
  <c r="DV240" i="12"/>
  <c r="DW240" i="12"/>
  <c r="DV241" i="12"/>
  <c r="DW241" i="12"/>
  <c r="DV242" i="12"/>
  <c r="DW242" i="12"/>
  <c r="DV243" i="12"/>
  <c r="DW243" i="12"/>
  <c r="DV244" i="12"/>
  <c r="DW244" i="12"/>
  <c r="DV245" i="12"/>
  <c r="DW245" i="12"/>
  <c r="DV246" i="12"/>
  <c r="DW246" i="12"/>
  <c r="DV247" i="12"/>
  <c r="DW247" i="12"/>
  <c r="DV248" i="12"/>
  <c r="DW248" i="12"/>
  <c r="DV249" i="12"/>
  <c r="DW249" i="12"/>
  <c r="DV250" i="12"/>
  <c r="DW250" i="12"/>
  <c r="DV251" i="12"/>
  <c r="DW251" i="12"/>
  <c r="DV252" i="12"/>
  <c r="DW252" i="12"/>
  <c r="DV253" i="12"/>
  <c r="DW253" i="12"/>
  <c r="DV254" i="12"/>
  <c r="DW254" i="12"/>
  <c r="DV255" i="12"/>
  <c r="DW255" i="12"/>
  <c r="DV256" i="12"/>
  <c r="DW256" i="12"/>
  <c r="DV257" i="12"/>
  <c r="DW257" i="12"/>
  <c r="DV258" i="12"/>
  <c r="DW258" i="12"/>
  <c r="DV259" i="12"/>
  <c r="DW259" i="12"/>
  <c r="DV260" i="12"/>
  <c r="DW260" i="12"/>
  <c r="DV261" i="12"/>
  <c r="DW261" i="12"/>
  <c r="DV262" i="12"/>
  <c r="DW262" i="12"/>
  <c r="DV263" i="12"/>
  <c r="DW263" i="12"/>
  <c r="DV264" i="12"/>
  <c r="DW264" i="12"/>
  <c r="DV265" i="12"/>
  <c r="DW265" i="12"/>
  <c r="DV266" i="12"/>
  <c r="DW266" i="12"/>
  <c r="DV267" i="12"/>
  <c r="DW267" i="12"/>
  <c r="DV268" i="12"/>
  <c r="DW268" i="12"/>
  <c r="DV269" i="12"/>
  <c r="DW269" i="12"/>
  <c r="DV270" i="12"/>
  <c r="DW270" i="12"/>
  <c r="DV271" i="12"/>
  <c r="DW271" i="12"/>
  <c r="DV272" i="12"/>
  <c r="DW272" i="12"/>
  <c r="DV273" i="12"/>
  <c r="DW273" i="12"/>
  <c r="DV274" i="12"/>
  <c r="DW274" i="12"/>
  <c r="DV275" i="12"/>
  <c r="DW275" i="12"/>
  <c r="DV276" i="12"/>
  <c r="DW276" i="12"/>
  <c r="DV277" i="12"/>
  <c r="DW277" i="12"/>
  <c r="DV278" i="12"/>
  <c r="DW278" i="12"/>
  <c r="DV279" i="12"/>
  <c r="DW279" i="12"/>
  <c r="DV280" i="12"/>
  <c r="DW280" i="12"/>
  <c r="DV281" i="12"/>
  <c r="DW281" i="12"/>
  <c r="DV282" i="12"/>
  <c r="DW282" i="12"/>
  <c r="DV283" i="12"/>
  <c r="DW283" i="12"/>
  <c r="DV284" i="12"/>
  <c r="DW284" i="12"/>
  <c r="DV285" i="12"/>
  <c r="DW285" i="12"/>
  <c r="DV286" i="12"/>
  <c r="DW286" i="12"/>
  <c r="DV287" i="12"/>
  <c r="DW287" i="12"/>
  <c r="DV288" i="12"/>
  <c r="DW288" i="12"/>
  <c r="DV289" i="12"/>
  <c r="DW289" i="12"/>
  <c r="DV290" i="12"/>
  <c r="DW290" i="12"/>
  <c r="DV291" i="12"/>
  <c r="DW291" i="12"/>
  <c r="DV292" i="12"/>
  <c r="DW292" i="12"/>
  <c r="DV293" i="12"/>
  <c r="DW293" i="12"/>
  <c r="DV294" i="12"/>
  <c r="DW294" i="12"/>
  <c r="DV295" i="12"/>
  <c r="DW295" i="12"/>
  <c r="DV296" i="12"/>
  <c r="DW296" i="12"/>
  <c r="DV297" i="12"/>
  <c r="DW297" i="12"/>
  <c r="DV298" i="12"/>
  <c r="DW298" i="12"/>
  <c r="DV299" i="12"/>
  <c r="DW299" i="12"/>
  <c r="DV300" i="12"/>
  <c r="DW300" i="12"/>
  <c r="DV301" i="12"/>
  <c r="DW301" i="12"/>
  <c r="DV302" i="12"/>
  <c r="DW302" i="12"/>
  <c r="DV303" i="12"/>
  <c r="DW303" i="12"/>
  <c r="DV304" i="12"/>
  <c r="DW304" i="12"/>
  <c r="DV305" i="12"/>
  <c r="DW305" i="12"/>
  <c r="DV306" i="12"/>
  <c r="DW306" i="12"/>
  <c r="DV307" i="12"/>
  <c r="DW307" i="12"/>
  <c r="DV308" i="12"/>
  <c r="DW308" i="12"/>
  <c r="DV309" i="12"/>
  <c r="DW309" i="12"/>
  <c r="DV310" i="12"/>
  <c r="DW310" i="12"/>
  <c r="DV311" i="12"/>
  <c r="DW311" i="12"/>
  <c r="DV312" i="12"/>
  <c r="DW312" i="12"/>
  <c r="DV313" i="12"/>
  <c r="DW313" i="12"/>
  <c r="DV314" i="12"/>
  <c r="DW314" i="12"/>
  <c r="DV315" i="12"/>
  <c r="DW315" i="12"/>
  <c r="DV316" i="12"/>
  <c r="DW316" i="12"/>
  <c r="DV317" i="12"/>
  <c r="DW317" i="12"/>
  <c r="DV318" i="12"/>
  <c r="DW318" i="12"/>
  <c r="DV319" i="12"/>
  <c r="DW319" i="12"/>
  <c r="DV320" i="12"/>
  <c r="DW320" i="12"/>
  <c r="DV321" i="12"/>
  <c r="DW321" i="12"/>
  <c r="DV322" i="12"/>
  <c r="DW322" i="12"/>
  <c r="DV323" i="12"/>
  <c r="DW323" i="12"/>
  <c r="DV324" i="12"/>
  <c r="DW324" i="12"/>
  <c r="DV325" i="12"/>
  <c r="DW325" i="12"/>
  <c r="DV326" i="12"/>
  <c r="DW326" i="12"/>
  <c r="DV327" i="12"/>
  <c r="DW327" i="12"/>
  <c r="DV328" i="12"/>
  <c r="DW328" i="12"/>
  <c r="DV329" i="12"/>
  <c r="DW329" i="12"/>
  <c r="DW31" i="12"/>
  <c r="DV31" i="12"/>
  <c r="DP30" i="12"/>
  <c r="DO30" i="12"/>
  <c r="DN30" i="12"/>
  <c r="DM30" i="12"/>
  <c r="DL30" i="12"/>
  <c r="DK30" i="12"/>
  <c r="DJ30" i="12"/>
  <c r="DI30" i="12"/>
  <c r="DH30" i="12"/>
  <c r="DG30" i="12"/>
  <c r="EC5" i="12"/>
  <c r="EB5" i="12"/>
  <c r="DW5" i="12"/>
  <c r="DH407" i="12" l="1"/>
  <c r="DH405" i="12"/>
  <c r="DH406" i="12"/>
  <c r="DH403" i="12"/>
  <c r="DH402" i="12"/>
  <c r="DH396" i="12"/>
  <c r="DH400" i="12"/>
  <c r="DH397" i="12"/>
  <c r="DH401" i="12"/>
  <c r="DH398" i="12"/>
  <c r="DH399" i="12"/>
  <c r="DH404" i="12"/>
  <c r="DI296" i="12"/>
  <c r="DI401" i="12"/>
  <c r="DI399" i="12"/>
  <c r="DI405" i="12"/>
  <c r="DI400" i="12"/>
  <c r="DI406" i="12"/>
  <c r="DI403" i="12"/>
  <c r="DI402" i="12"/>
  <c r="DI397" i="12"/>
  <c r="DI407" i="12"/>
  <c r="DI404" i="12"/>
  <c r="DI396" i="12"/>
  <c r="DI398" i="12"/>
  <c r="DM294" i="12"/>
  <c r="DM402" i="12"/>
  <c r="DM401" i="12"/>
  <c r="DM403" i="12"/>
  <c r="DM400" i="12"/>
  <c r="DM398" i="12"/>
  <c r="DM404" i="12"/>
  <c r="DM407" i="12"/>
  <c r="DM399" i="12"/>
  <c r="DM406" i="12"/>
  <c r="DM405" i="12"/>
  <c r="DM397" i="12"/>
  <c r="DM396" i="12"/>
  <c r="DL397" i="12"/>
  <c r="DL404" i="12"/>
  <c r="DL396" i="12"/>
  <c r="DL407" i="12"/>
  <c r="DL406" i="12"/>
  <c r="DL399" i="12"/>
  <c r="DL398" i="12"/>
  <c r="DL405" i="12"/>
  <c r="DL401" i="12"/>
  <c r="DL403" i="12"/>
  <c r="DL402" i="12"/>
  <c r="DL400" i="12"/>
  <c r="DN400" i="12"/>
  <c r="DN406" i="12"/>
  <c r="DN399" i="12"/>
  <c r="DN396" i="12"/>
  <c r="DN403" i="12"/>
  <c r="DN398" i="12"/>
  <c r="DN401" i="12"/>
  <c r="DN397" i="12"/>
  <c r="DN407" i="12"/>
  <c r="DN404" i="12"/>
  <c r="DN405" i="12"/>
  <c r="DN402" i="12"/>
  <c r="DP401" i="12"/>
  <c r="DP398" i="12"/>
  <c r="DP402" i="12"/>
  <c r="DP406" i="12"/>
  <c r="DP404" i="12"/>
  <c r="DP399" i="12"/>
  <c r="DP400" i="12"/>
  <c r="DP397" i="12"/>
  <c r="DP407" i="12"/>
  <c r="DP405" i="12"/>
  <c r="DP396" i="12"/>
  <c r="DP403" i="12"/>
  <c r="DJ329" i="12"/>
  <c r="DJ398" i="12"/>
  <c r="DJ396" i="12"/>
  <c r="DJ402" i="12"/>
  <c r="DJ401" i="12"/>
  <c r="DJ407" i="12"/>
  <c r="DJ397" i="12"/>
  <c r="DJ399" i="12"/>
  <c r="DJ405" i="12"/>
  <c r="DJ403" i="12"/>
  <c r="DJ400" i="12"/>
  <c r="DJ406" i="12"/>
  <c r="DJ404" i="12"/>
  <c r="DG286" i="12"/>
  <c r="DG397" i="12"/>
  <c r="DG405" i="12"/>
  <c r="DG407" i="12"/>
  <c r="DG402" i="12"/>
  <c r="DG401" i="12"/>
  <c r="DG406" i="12"/>
  <c r="DG403" i="12"/>
  <c r="DG400" i="12"/>
  <c r="DG398" i="12"/>
  <c r="DG404" i="12"/>
  <c r="DG399" i="12"/>
  <c r="DG396" i="12"/>
  <c r="DK302" i="12"/>
  <c r="DK402" i="12"/>
  <c r="DK397" i="12"/>
  <c r="DK404" i="12"/>
  <c r="DK399" i="12"/>
  <c r="DK400" i="12"/>
  <c r="DK406" i="12"/>
  <c r="DK396" i="12"/>
  <c r="DK398" i="12"/>
  <c r="DK407" i="12"/>
  <c r="DK405" i="12"/>
  <c r="DK403" i="12"/>
  <c r="DK401" i="12"/>
  <c r="DO286" i="12"/>
  <c r="DO407" i="12"/>
  <c r="DO401" i="12"/>
  <c r="DO403" i="12"/>
  <c r="DO405" i="12"/>
  <c r="DO399" i="12"/>
  <c r="DO398" i="12"/>
  <c r="DO404" i="12"/>
  <c r="DO402" i="12"/>
  <c r="DO396" i="12"/>
  <c r="DO400" i="12"/>
  <c r="DO397" i="12"/>
  <c r="DO406" i="12"/>
  <c r="DH353" i="12"/>
  <c r="DH339" i="12"/>
  <c r="DH352" i="12"/>
  <c r="DH376" i="12"/>
  <c r="DH349" i="12"/>
  <c r="DH391" i="12"/>
  <c r="DH381" i="12"/>
  <c r="DH333" i="12"/>
  <c r="DH337" i="12"/>
  <c r="DH379" i="12"/>
  <c r="DH374" i="12"/>
  <c r="DH367" i="12"/>
  <c r="DH331" i="12"/>
  <c r="DH372" i="12"/>
  <c r="DH371" i="12"/>
  <c r="DH351" i="12"/>
  <c r="DH373" i="12"/>
  <c r="DH361" i="12"/>
  <c r="DH341" i="12"/>
  <c r="DH345" i="12"/>
  <c r="DH335" i="12"/>
  <c r="DH393" i="12"/>
  <c r="DH385" i="12"/>
  <c r="DH375" i="12"/>
  <c r="DH359" i="12"/>
  <c r="DH392" i="12"/>
  <c r="DH350" i="12"/>
  <c r="DH383" i="12"/>
  <c r="DH355" i="12"/>
  <c r="DH387" i="12"/>
  <c r="DH347" i="12"/>
  <c r="DH363" i="12"/>
  <c r="DH365" i="12"/>
  <c r="DH377" i="12"/>
  <c r="DH369" i="12"/>
  <c r="DH343" i="12"/>
  <c r="DH357" i="12"/>
  <c r="DH389" i="12"/>
  <c r="DH386" i="12"/>
  <c r="DH384" i="12"/>
  <c r="DH364" i="12"/>
  <c r="DH356" i="12"/>
  <c r="DH354" i="12"/>
  <c r="DH370" i="12"/>
  <c r="DH394" i="12"/>
  <c r="DH382" i="12"/>
  <c r="DH380" i="12"/>
  <c r="DH366" i="12"/>
  <c r="DH358" i="12"/>
  <c r="DH395" i="12"/>
  <c r="DH378" i="12"/>
  <c r="DH368" i="12"/>
  <c r="DH360" i="12"/>
  <c r="DH390" i="12"/>
  <c r="DH388" i="12"/>
  <c r="DH362" i="12"/>
  <c r="DH348" i="12"/>
  <c r="DH346" i="12"/>
  <c r="DH344" i="12"/>
  <c r="DH342" i="12"/>
  <c r="DH340" i="12"/>
  <c r="DH338" i="12"/>
  <c r="DH336" i="12"/>
  <c r="DH334" i="12"/>
  <c r="DH332" i="12"/>
  <c r="DH330" i="12"/>
  <c r="DL347" i="12"/>
  <c r="DL339" i="12"/>
  <c r="DL352" i="12"/>
  <c r="DL353" i="12"/>
  <c r="DL355" i="12"/>
  <c r="DL361" i="12"/>
  <c r="DL383" i="12"/>
  <c r="DL387" i="12"/>
  <c r="DL391" i="12"/>
  <c r="DL341" i="12"/>
  <c r="DL376" i="12"/>
  <c r="DL389" i="12"/>
  <c r="DL379" i="12"/>
  <c r="DL343" i="12"/>
  <c r="DL395" i="12"/>
  <c r="DL385" i="12"/>
  <c r="DL349" i="12"/>
  <c r="DL370" i="12"/>
  <c r="DL388" i="12"/>
  <c r="DL384" i="12"/>
  <c r="DL380" i="12"/>
  <c r="DL368" i="12"/>
  <c r="DL366" i="12"/>
  <c r="DL364" i="12"/>
  <c r="DL362" i="12"/>
  <c r="DL360" i="12"/>
  <c r="DL358" i="12"/>
  <c r="DL356" i="12"/>
  <c r="DL357" i="12"/>
  <c r="DL372" i="12"/>
  <c r="DL350" i="12"/>
  <c r="DL337" i="12"/>
  <c r="DL377" i="12"/>
  <c r="DL373" i="12"/>
  <c r="DL369" i="12"/>
  <c r="DL345" i="12"/>
  <c r="DL351" i="12"/>
  <c r="DL367" i="12"/>
  <c r="DL365" i="12"/>
  <c r="DL381" i="12"/>
  <c r="DL393" i="12"/>
  <c r="DL371" i="12"/>
  <c r="DL335" i="12"/>
  <c r="DL331" i="12"/>
  <c r="DL363" i="12"/>
  <c r="DL333" i="12"/>
  <c r="DL375" i="12"/>
  <c r="DL359" i="12"/>
  <c r="DL394" i="12"/>
  <c r="DL382" i="12"/>
  <c r="DL374" i="12"/>
  <c r="DL392" i="12"/>
  <c r="DL378" i="12"/>
  <c r="DL390" i="12"/>
  <c r="DL348" i="12"/>
  <c r="DL346" i="12"/>
  <c r="DL344" i="12"/>
  <c r="DL342" i="12"/>
  <c r="DL340" i="12"/>
  <c r="DL338" i="12"/>
  <c r="DL336" i="12"/>
  <c r="DL334" i="12"/>
  <c r="DL332" i="12"/>
  <c r="DL330" i="12"/>
  <c r="DL386" i="12"/>
  <c r="DL354" i="12"/>
  <c r="DP353" i="12"/>
  <c r="DP331" i="12"/>
  <c r="DP339" i="12"/>
  <c r="DP341" i="12"/>
  <c r="DP357" i="12"/>
  <c r="DP376" i="12"/>
  <c r="DP350" i="12"/>
  <c r="DP391" i="12"/>
  <c r="DP355" i="12"/>
  <c r="DP387" i="12"/>
  <c r="DP363" i="12"/>
  <c r="DP369" i="12"/>
  <c r="DP383" i="12"/>
  <c r="DP333" i="12"/>
  <c r="DP361" i="12"/>
  <c r="DP349" i="12"/>
  <c r="DP393" i="12"/>
  <c r="DP385" i="12"/>
  <c r="DP367" i="12"/>
  <c r="DP351" i="12"/>
  <c r="DP352" i="12"/>
  <c r="DP371" i="12"/>
  <c r="DP373" i="12"/>
  <c r="DP343" i="12"/>
  <c r="DP381" i="12"/>
  <c r="DP379" i="12"/>
  <c r="DP375" i="12"/>
  <c r="DP372" i="12"/>
  <c r="DP359" i="12"/>
  <c r="DP394" i="12"/>
  <c r="DP335" i="12"/>
  <c r="DP347" i="12"/>
  <c r="DP389" i="12"/>
  <c r="DP337" i="12"/>
  <c r="DP377" i="12"/>
  <c r="DP365" i="12"/>
  <c r="DP345" i="12"/>
  <c r="DP392" i="12"/>
  <c r="DP380" i="12"/>
  <c r="DP378" i="12"/>
  <c r="DP366" i="12"/>
  <c r="DP358" i="12"/>
  <c r="DP395" i="12"/>
  <c r="DP390" i="12"/>
  <c r="DP368" i="12"/>
  <c r="DP360" i="12"/>
  <c r="DP348" i="12"/>
  <c r="DP346" i="12"/>
  <c r="DP344" i="12"/>
  <c r="DP342" i="12"/>
  <c r="DP340" i="12"/>
  <c r="DP338" i="12"/>
  <c r="DP336" i="12"/>
  <c r="DP334" i="12"/>
  <c r="DP332" i="12"/>
  <c r="DP330" i="12"/>
  <c r="DP374" i="12"/>
  <c r="DP370" i="12"/>
  <c r="DP388" i="12"/>
  <c r="DP386" i="12"/>
  <c r="DP362" i="12"/>
  <c r="DP354" i="12"/>
  <c r="DP384" i="12"/>
  <c r="DP382" i="12"/>
  <c r="DP364" i="12"/>
  <c r="DP356" i="12"/>
  <c r="DI328" i="12"/>
  <c r="DH327" i="12"/>
  <c r="DM326" i="12"/>
  <c r="DK322" i="12"/>
  <c r="DK318" i="12"/>
  <c r="DI314" i="12"/>
  <c r="DI310" i="12"/>
  <c r="DM307" i="12"/>
  <c r="DO306" i="12"/>
  <c r="DG306" i="12"/>
  <c r="DM303" i="12"/>
  <c r="DO302" i="12"/>
  <c r="DG302" i="12"/>
  <c r="DH299" i="12"/>
  <c r="DM298" i="12"/>
  <c r="DH295" i="12"/>
  <c r="DK290" i="12"/>
  <c r="DK286" i="12"/>
  <c r="DI349" i="12"/>
  <c r="DI380" i="12"/>
  <c r="DI373" i="12"/>
  <c r="DI330" i="12"/>
  <c r="DI345" i="12"/>
  <c r="DI355" i="12"/>
  <c r="DI347" i="12"/>
  <c r="DI337" i="12"/>
  <c r="DI357" i="12"/>
  <c r="DI382" i="12"/>
  <c r="DI384" i="12"/>
  <c r="DI395" i="12"/>
  <c r="DI391" i="12"/>
  <c r="DI383" i="12"/>
  <c r="DI378" i="12"/>
  <c r="DI353" i="12"/>
  <c r="DI375" i="12"/>
  <c r="DI390" i="12"/>
  <c r="DI389" i="12"/>
  <c r="DI381" i="12"/>
  <c r="DI372" i="12"/>
  <c r="DI370" i="12"/>
  <c r="DI364" i="12"/>
  <c r="DI356" i="12"/>
  <c r="DI351" i="12"/>
  <c r="DI331" i="12"/>
  <c r="DI343" i="12"/>
  <c r="DI333" i="12"/>
  <c r="DI341" i="12"/>
  <c r="DI376" i="12"/>
  <c r="DI339" i="12"/>
  <c r="DI361" i="12"/>
  <c r="DI388" i="12"/>
  <c r="DI350" i="12"/>
  <c r="DI363" i="12"/>
  <c r="DI335" i="12"/>
  <c r="DI365" i="12"/>
  <c r="DI394" i="12"/>
  <c r="DI386" i="12"/>
  <c r="DI367" i="12"/>
  <c r="DI359" i="12"/>
  <c r="DI371" i="12"/>
  <c r="DI369" i="12"/>
  <c r="DI392" i="12"/>
  <c r="DI387" i="12"/>
  <c r="DI385" i="12"/>
  <c r="DI358" i="12"/>
  <c r="DI354" i="12"/>
  <c r="DI352" i="12"/>
  <c r="DI374" i="12"/>
  <c r="DI393" i="12"/>
  <c r="DI368" i="12"/>
  <c r="DI379" i="12"/>
  <c r="DI377" i="12"/>
  <c r="DI366" i="12"/>
  <c r="DI362" i="12"/>
  <c r="DI360" i="12"/>
  <c r="DI348" i="12"/>
  <c r="DI346" i="12"/>
  <c r="DI344" i="12"/>
  <c r="DI342" i="12"/>
  <c r="DI340" i="12"/>
  <c r="DI338" i="12"/>
  <c r="DI336" i="12"/>
  <c r="DI334" i="12"/>
  <c r="DI332" i="12"/>
  <c r="DM380" i="12"/>
  <c r="DM359" i="12"/>
  <c r="DM375" i="12"/>
  <c r="DM390" i="12"/>
  <c r="DM349" i="12"/>
  <c r="DM353" i="12"/>
  <c r="DM365" i="12"/>
  <c r="DM335" i="12"/>
  <c r="DM361" i="12"/>
  <c r="DM389" i="12"/>
  <c r="DM381" i="12"/>
  <c r="DM367" i="12"/>
  <c r="DM351" i="12"/>
  <c r="DM337" i="12"/>
  <c r="DM373" i="12"/>
  <c r="DM343" i="12"/>
  <c r="DM357" i="12"/>
  <c r="DM382" i="12"/>
  <c r="DM376" i="12"/>
  <c r="DM371" i="12"/>
  <c r="DM369" i="12"/>
  <c r="DM395" i="12"/>
  <c r="DM387" i="12"/>
  <c r="DM379" i="12"/>
  <c r="DM362" i="12"/>
  <c r="DM354" i="12"/>
  <c r="DM392" i="12"/>
  <c r="DM330" i="12"/>
  <c r="DM331" i="12"/>
  <c r="DM386" i="12"/>
  <c r="DM378" i="12"/>
  <c r="DM363" i="12"/>
  <c r="DM388" i="12"/>
  <c r="DM345" i="12"/>
  <c r="DM355" i="12"/>
  <c r="DM394" i="12"/>
  <c r="DM347" i="12"/>
  <c r="DM333" i="12"/>
  <c r="DM341" i="12"/>
  <c r="DM339" i="12"/>
  <c r="DM384" i="12"/>
  <c r="DM383" i="12"/>
  <c r="DM372" i="12"/>
  <c r="DM356" i="12"/>
  <c r="DM350" i="12"/>
  <c r="DM393" i="12"/>
  <c r="DM370" i="12"/>
  <c r="DM368" i="12"/>
  <c r="DM391" i="12"/>
  <c r="DM377" i="12"/>
  <c r="DM374" i="12"/>
  <c r="DM366" i="12"/>
  <c r="DM360" i="12"/>
  <c r="DM348" i="12"/>
  <c r="DM346" i="12"/>
  <c r="DM344" i="12"/>
  <c r="DM342" i="12"/>
  <c r="DM340" i="12"/>
  <c r="DM338" i="12"/>
  <c r="DM336" i="12"/>
  <c r="DM334" i="12"/>
  <c r="DM332" i="12"/>
  <c r="DM385" i="12"/>
  <c r="DM364" i="12"/>
  <c r="DM358" i="12"/>
  <c r="DM352" i="12"/>
  <c r="DK326" i="12"/>
  <c r="DI322" i="12"/>
  <c r="DI318" i="12"/>
  <c r="DM315" i="12"/>
  <c r="DO314" i="12"/>
  <c r="DG314" i="12"/>
  <c r="DM311" i="12"/>
  <c r="DO310" i="12"/>
  <c r="DG310" i="12"/>
  <c r="DH307" i="12"/>
  <c r="DM306" i="12"/>
  <c r="DI304" i="12"/>
  <c r="DH303" i="12"/>
  <c r="DM302" i="12"/>
  <c r="DK298" i="12"/>
  <c r="DK294" i="12"/>
  <c r="DI290" i="12"/>
  <c r="DI286" i="12"/>
  <c r="DJ332" i="12"/>
  <c r="DJ348" i="12"/>
  <c r="DJ331" i="12"/>
  <c r="DJ343" i="12"/>
  <c r="DJ347" i="12"/>
  <c r="DJ335" i="12"/>
  <c r="DJ353" i="12"/>
  <c r="DJ382" i="12"/>
  <c r="DJ344" i="12"/>
  <c r="DJ390" i="12"/>
  <c r="DJ339" i="12"/>
  <c r="DJ365" i="12"/>
  <c r="DJ333" i="12"/>
  <c r="DJ363" i="12"/>
  <c r="DJ380" i="12"/>
  <c r="DJ355" i="12"/>
  <c r="DJ345" i="12"/>
  <c r="DJ375" i="12"/>
  <c r="DJ359" i="12"/>
  <c r="DJ330" i="12"/>
  <c r="DJ394" i="12"/>
  <c r="DJ337" i="12"/>
  <c r="DJ376" i="12"/>
  <c r="DJ388" i="12"/>
  <c r="DJ369" i="12"/>
  <c r="DJ357" i="12"/>
  <c r="DJ351" i="12"/>
  <c r="DJ391" i="12"/>
  <c r="DJ387" i="12"/>
  <c r="DJ383" i="12"/>
  <c r="DJ379" i="12"/>
  <c r="DJ361" i="12"/>
  <c r="DJ346" i="12"/>
  <c r="DJ392" i="12"/>
  <c r="DJ334" i="12"/>
  <c r="DJ373" i="12"/>
  <c r="DJ336" i="12"/>
  <c r="DJ342" i="12"/>
  <c r="DJ386" i="12"/>
  <c r="DJ371" i="12"/>
  <c r="DJ384" i="12"/>
  <c r="DJ374" i="12"/>
  <c r="DJ338" i="12"/>
  <c r="DJ378" i="12"/>
  <c r="DJ349" i="12"/>
  <c r="DJ341" i="12"/>
  <c r="DJ350" i="12"/>
  <c r="DJ340" i="12"/>
  <c r="DJ367" i="12"/>
  <c r="DJ395" i="12"/>
  <c r="DJ372" i="12"/>
  <c r="DJ377" i="12"/>
  <c r="DJ366" i="12"/>
  <c r="DJ358" i="12"/>
  <c r="DJ389" i="12"/>
  <c r="DJ368" i="12"/>
  <c r="DJ360" i="12"/>
  <c r="DJ352" i="12"/>
  <c r="DJ370" i="12"/>
  <c r="DJ385" i="12"/>
  <c r="DJ362" i="12"/>
  <c r="DJ354" i="12"/>
  <c r="DJ393" i="12"/>
  <c r="DJ381" i="12"/>
  <c r="DJ364" i="12"/>
  <c r="DJ356" i="12"/>
  <c r="DN335" i="12"/>
  <c r="DN332" i="12"/>
  <c r="DN339" i="12"/>
  <c r="DN340" i="12"/>
  <c r="DN349" i="12"/>
  <c r="DN353" i="12"/>
  <c r="DN373" i="12"/>
  <c r="DN337" i="12"/>
  <c r="DN330" i="12"/>
  <c r="DN380" i="12"/>
  <c r="DN378" i="12"/>
  <c r="DN371" i="12"/>
  <c r="DN342" i="12"/>
  <c r="DN336" i="12"/>
  <c r="DN363" i="12"/>
  <c r="DN334" i="12"/>
  <c r="DN357" i="12"/>
  <c r="DN390" i="12"/>
  <c r="DN350" i="12"/>
  <c r="DN388" i="12"/>
  <c r="DN395" i="12"/>
  <c r="DN333" i="12"/>
  <c r="DN376" i="12"/>
  <c r="DN331" i="12"/>
  <c r="DN347" i="12"/>
  <c r="DN355" i="12"/>
  <c r="DN367" i="12"/>
  <c r="DN392" i="12"/>
  <c r="DN372" i="12"/>
  <c r="DN370" i="12"/>
  <c r="DN393" i="12"/>
  <c r="DN345" i="12"/>
  <c r="DN338" i="12"/>
  <c r="DN361" i="12"/>
  <c r="DN341" i="12"/>
  <c r="DN394" i="12"/>
  <c r="DN386" i="12"/>
  <c r="DN351" i="12"/>
  <c r="DN346" i="12"/>
  <c r="DN382" i="12"/>
  <c r="DN375" i="12"/>
  <c r="DN359" i="12"/>
  <c r="DN384" i="12"/>
  <c r="DN369" i="12"/>
  <c r="DN365" i="12"/>
  <c r="DN343" i="12"/>
  <c r="DN348" i="12"/>
  <c r="DN344" i="12"/>
  <c r="DN374" i="12"/>
  <c r="DN391" i="12"/>
  <c r="DN389" i="12"/>
  <c r="DN368" i="12"/>
  <c r="DN360" i="12"/>
  <c r="DN352" i="12"/>
  <c r="DN387" i="12"/>
  <c r="DN385" i="12"/>
  <c r="DN362" i="12"/>
  <c r="DN354" i="12"/>
  <c r="DN383" i="12"/>
  <c r="DN381" i="12"/>
  <c r="DN364" i="12"/>
  <c r="DN356" i="12"/>
  <c r="DN379" i="12"/>
  <c r="DN377" i="12"/>
  <c r="DN366" i="12"/>
  <c r="DN358" i="12"/>
  <c r="DI326" i="12"/>
  <c r="DM323" i="12"/>
  <c r="DO322" i="12"/>
  <c r="DG322" i="12"/>
  <c r="DM319" i="12"/>
  <c r="DO318" i="12"/>
  <c r="DG318" i="12"/>
  <c r="DH315" i="12"/>
  <c r="DM314" i="12"/>
  <c r="DI312" i="12"/>
  <c r="DH311" i="12"/>
  <c r="DM310" i="12"/>
  <c r="DK306" i="12"/>
  <c r="DI298" i="12"/>
  <c r="DI294" i="12"/>
  <c r="DM291" i="12"/>
  <c r="DO290" i="12"/>
  <c r="DG290" i="12"/>
  <c r="DM287" i="12"/>
  <c r="DG339" i="12"/>
  <c r="DG348" i="12"/>
  <c r="DG332" i="12"/>
  <c r="DG357" i="12"/>
  <c r="DG355" i="12"/>
  <c r="DG382" i="12"/>
  <c r="DG356" i="12"/>
  <c r="DG375" i="12"/>
  <c r="DG344" i="12"/>
  <c r="DG359" i="12"/>
  <c r="DG373" i="12"/>
  <c r="DG343" i="12"/>
  <c r="DG354" i="12"/>
  <c r="DG335" i="12"/>
  <c r="DG384" i="12"/>
  <c r="DG371" i="12"/>
  <c r="DG369" i="12"/>
  <c r="DG385" i="12"/>
  <c r="DG368" i="12"/>
  <c r="DG345" i="12"/>
  <c r="DG380" i="12"/>
  <c r="DG353" i="12"/>
  <c r="DG347" i="12"/>
  <c r="DG337" i="12"/>
  <c r="DG363" i="12"/>
  <c r="DG388" i="12"/>
  <c r="DG338" i="12"/>
  <c r="DG336" i="12"/>
  <c r="DG391" i="12"/>
  <c r="DG340" i="12"/>
  <c r="DG366" i="12"/>
  <c r="DG358" i="12"/>
  <c r="DG350" i="12"/>
  <c r="DG342" i="12"/>
  <c r="DG331" i="12"/>
  <c r="DG362" i="12"/>
  <c r="DG389" i="12"/>
  <c r="DG395" i="12"/>
  <c r="DG390" i="12"/>
  <c r="DG341" i="12"/>
  <c r="DG376" i="12"/>
  <c r="DG378" i="12"/>
  <c r="DG365" i="12"/>
  <c r="DG360" i="12"/>
  <c r="DG334" i="12"/>
  <c r="DG346" i="12"/>
  <c r="DG370" i="12"/>
  <c r="DG393" i="12"/>
  <c r="DG330" i="12"/>
  <c r="DG386" i="12"/>
  <c r="DG379" i="12"/>
  <c r="DG394" i="12"/>
  <c r="DG352" i="12"/>
  <c r="DG333" i="12"/>
  <c r="DG377" i="12"/>
  <c r="DG392" i="12"/>
  <c r="DG349" i="12"/>
  <c r="DG387" i="12"/>
  <c r="DG367" i="12"/>
  <c r="DG351" i="12"/>
  <c r="DG383" i="12"/>
  <c r="DG381" i="12"/>
  <c r="DG364" i="12"/>
  <c r="DG361" i="12"/>
  <c r="DG374" i="12"/>
  <c r="DG372" i="12"/>
  <c r="DK357" i="12"/>
  <c r="DK356" i="12"/>
  <c r="DK380" i="12"/>
  <c r="DK342" i="12"/>
  <c r="DK364" i="12"/>
  <c r="DK368" i="12"/>
  <c r="DK394" i="12"/>
  <c r="DK366" i="12"/>
  <c r="DK330" i="12"/>
  <c r="DK377" i="12"/>
  <c r="DK358" i="12"/>
  <c r="DK334" i="12"/>
  <c r="DK354" i="12"/>
  <c r="DK340" i="12"/>
  <c r="DK332" i="12"/>
  <c r="DK391" i="12"/>
  <c r="DK353" i="12"/>
  <c r="DK343" i="12"/>
  <c r="DK373" i="12"/>
  <c r="DK349" i="12"/>
  <c r="DK331" i="12"/>
  <c r="DK389" i="12"/>
  <c r="DK395" i="12"/>
  <c r="DK351" i="12"/>
  <c r="DK365" i="12"/>
  <c r="DK362" i="12"/>
  <c r="DK345" i="12"/>
  <c r="DK339" i="12"/>
  <c r="DK390" i="12"/>
  <c r="DK387" i="12"/>
  <c r="DK344" i="12"/>
  <c r="DK335" i="12"/>
  <c r="DK370" i="12"/>
  <c r="DK361" i="12"/>
  <c r="DK393" i="12"/>
  <c r="DK388" i="12"/>
  <c r="DK376" i="12"/>
  <c r="DK386" i="12"/>
  <c r="DK359" i="12"/>
  <c r="DK352" i="12"/>
  <c r="DK347" i="12"/>
  <c r="DK337" i="12"/>
  <c r="DK379" i="12"/>
  <c r="DK378" i="12"/>
  <c r="DK375" i="12"/>
  <c r="DK348" i="12"/>
  <c r="DK383" i="12"/>
  <c r="DK381" i="12"/>
  <c r="DK372" i="12"/>
  <c r="DK371" i="12"/>
  <c r="DK369" i="12"/>
  <c r="DK392" i="12"/>
  <c r="DK367" i="12"/>
  <c r="DK350" i="12"/>
  <c r="DK355" i="12"/>
  <c r="DK346" i="12"/>
  <c r="DK341" i="12"/>
  <c r="DK336" i="12"/>
  <c r="DK363" i="12"/>
  <c r="DK360" i="12"/>
  <c r="DK333" i="12"/>
  <c r="DK338" i="12"/>
  <c r="DK382" i="12"/>
  <c r="DK385" i="12"/>
  <c r="DK384" i="12"/>
  <c r="DK374" i="12"/>
  <c r="DO332" i="12"/>
  <c r="DO359" i="12"/>
  <c r="DO366" i="12"/>
  <c r="DO367" i="12"/>
  <c r="DO358" i="12"/>
  <c r="DO384" i="12"/>
  <c r="DO379" i="12"/>
  <c r="DO376" i="12"/>
  <c r="DO351" i="12"/>
  <c r="DO377" i="12"/>
  <c r="DO388" i="12"/>
  <c r="DO378" i="12"/>
  <c r="DO373" i="12"/>
  <c r="DO341" i="12"/>
  <c r="DO337" i="12"/>
  <c r="DO391" i="12"/>
  <c r="DO350" i="12"/>
  <c r="DO371" i="12"/>
  <c r="DO369" i="12"/>
  <c r="DO362" i="12"/>
  <c r="DO393" i="12"/>
  <c r="DO395" i="12"/>
  <c r="DO390" i="12"/>
  <c r="DO355" i="12"/>
  <c r="DO365" i="12"/>
  <c r="DO354" i="12"/>
  <c r="DO333" i="12"/>
  <c r="DO349" i="12"/>
  <c r="DO348" i="12"/>
  <c r="DO383" i="12"/>
  <c r="DO381" i="12"/>
  <c r="DO372" i="12"/>
  <c r="DO330" i="12"/>
  <c r="DO375" i="12"/>
  <c r="DO386" i="12"/>
  <c r="DO394" i="12"/>
  <c r="DO339" i="12"/>
  <c r="DO352" i="12"/>
  <c r="DO336" i="12"/>
  <c r="DO392" i="12"/>
  <c r="DO338" i="12"/>
  <c r="DO360" i="12"/>
  <c r="DO357" i="12"/>
  <c r="DO344" i="12"/>
  <c r="DO387" i="12"/>
  <c r="DO340" i="12"/>
  <c r="DO335" i="12"/>
  <c r="DO342" i="12"/>
  <c r="DO364" i="12"/>
  <c r="DO385" i="12"/>
  <c r="DO356" i="12"/>
  <c r="DO382" i="12"/>
  <c r="DO346" i="12"/>
  <c r="DO368" i="12"/>
  <c r="DO353" i="12"/>
  <c r="DO347" i="12"/>
  <c r="DO363" i="12"/>
  <c r="DO334" i="12"/>
  <c r="DO374" i="12"/>
  <c r="DO343" i="12"/>
  <c r="DO380" i="12"/>
  <c r="DO345" i="12"/>
  <c r="DO331" i="12"/>
  <c r="DO361" i="12"/>
  <c r="DO389" i="12"/>
  <c r="DO370" i="12"/>
  <c r="DM327" i="12"/>
  <c r="DO326" i="12"/>
  <c r="DG326" i="12"/>
  <c r="DH323" i="12"/>
  <c r="DM322" i="12"/>
  <c r="DI320" i="12"/>
  <c r="DH319" i="12"/>
  <c r="DM318" i="12"/>
  <c r="DK314" i="12"/>
  <c r="DK310" i="12"/>
  <c r="DI306" i="12"/>
  <c r="DI302" i="12"/>
  <c r="DM299" i="12"/>
  <c r="DO298" i="12"/>
  <c r="DG298" i="12"/>
  <c r="DM295" i="12"/>
  <c r="DO294" i="12"/>
  <c r="DG294" i="12"/>
  <c r="DH291" i="12"/>
  <c r="DM290" i="12"/>
  <c r="DI288" i="12"/>
  <c r="DH287" i="12"/>
  <c r="DM286" i="12"/>
  <c r="ED196" i="12"/>
  <c r="ED331" i="12"/>
  <c r="ED333" i="12"/>
  <c r="ED335" i="12"/>
  <c r="ED337" i="12"/>
  <c r="ED339" i="12"/>
  <c r="ED341" i="12"/>
  <c r="ED343" i="12"/>
  <c r="ED345" i="12"/>
  <c r="ED347" i="12"/>
  <c r="ED351" i="12"/>
  <c r="ED356" i="12"/>
  <c r="ED357" i="12"/>
  <c r="ED364" i="12"/>
  <c r="ED365" i="12"/>
  <c r="ED370" i="12"/>
  <c r="ED371" i="12"/>
  <c r="ED381" i="12"/>
  <c r="ED382" i="12"/>
  <c r="ED389" i="12"/>
  <c r="ED390" i="12"/>
  <c r="ED397" i="12"/>
  <c r="ED354" i="12"/>
  <c r="ED355" i="12"/>
  <c r="ED362" i="12"/>
  <c r="ED363" i="12"/>
  <c r="ED374" i="12"/>
  <c r="ED375" i="12"/>
  <c r="ED376" i="12"/>
  <c r="ED383" i="12"/>
  <c r="ED384" i="12"/>
  <c r="ED391" i="12"/>
  <c r="ED392" i="12"/>
  <c r="ED330" i="12"/>
  <c r="ED332" i="12"/>
  <c r="ED334" i="12"/>
  <c r="ED336" i="12"/>
  <c r="ED338" i="12"/>
  <c r="ED340" i="12"/>
  <c r="ED342" i="12"/>
  <c r="ED344" i="12"/>
  <c r="ED346" i="12"/>
  <c r="ED348" i="12"/>
  <c r="ED352" i="12"/>
  <c r="ED353" i="12"/>
  <c r="ED360" i="12"/>
  <c r="ED361" i="12"/>
  <c r="ED368" i="12"/>
  <c r="ED369" i="12"/>
  <c r="ED372" i="12"/>
  <c r="ED377" i="12"/>
  <c r="ED378" i="12"/>
  <c r="ED385" i="12"/>
  <c r="ED386" i="12"/>
  <c r="ED393" i="12"/>
  <c r="ED349" i="12"/>
  <c r="ED350" i="12"/>
  <c r="ED358" i="12"/>
  <c r="ED359" i="12"/>
  <c r="ED366" i="12"/>
  <c r="ED367" i="12"/>
  <c r="ED373" i="12"/>
  <c r="ED379" i="12"/>
  <c r="ED380" i="12"/>
  <c r="ED387" i="12"/>
  <c r="ED388" i="12"/>
  <c r="ED395" i="12"/>
  <c r="ED399" i="12"/>
  <c r="ED400" i="12"/>
  <c r="ED401" i="12"/>
  <c r="ED405" i="12"/>
  <c r="ED406" i="12"/>
  <c r="ED413" i="12"/>
  <c r="ED414" i="12"/>
  <c r="ED421" i="12"/>
  <c r="ED422" i="12"/>
  <c r="ED423" i="12"/>
  <c r="ED394" i="12"/>
  <c r="ED396" i="12"/>
  <c r="ED404" i="12"/>
  <c r="ED411" i="12"/>
  <c r="ED412" i="12"/>
  <c r="ED419" i="12"/>
  <c r="ED420" i="12"/>
  <c r="ED424" i="12"/>
  <c r="ED428" i="12"/>
  <c r="ED429" i="12"/>
  <c r="ED430" i="12"/>
  <c r="ED432" i="12"/>
  <c r="ED434" i="12"/>
  <c r="ED436" i="12"/>
  <c r="ED438" i="12"/>
  <c r="ED439" i="12"/>
  <c r="ED442" i="12"/>
  <c r="ED443" i="12"/>
  <c r="ED446" i="12"/>
  <c r="ED447" i="12"/>
  <c r="ED450" i="12"/>
  <c r="ED451" i="12"/>
  <c r="ED454" i="12"/>
  <c r="ED455" i="12"/>
  <c r="ED402" i="12"/>
  <c r="ED409" i="12"/>
  <c r="ED410" i="12"/>
  <c r="ED417" i="12"/>
  <c r="ED418" i="12"/>
  <c r="ED425" i="12"/>
  <c r="ED427" i="12"/>
  <c r="ED398" i="12"/>
  <c r="ED403" i="12"/>
  <c r="ED407" i="12"/>
  <c r="ED408" i="12"/>
  <c r="ED415" i="12"/>
  <c r="ED416" i="12"/>
  <c r="ED426" i="12"/>
  <c r="ED431" i="12"/>
  <c r="ED433" i="12"/>
  <c r="ED435" i="12"/>
  <c r="ED437" i="12"/>
  <c r="ED440" i="12"/>
  <c r="ED441" i="12"/>
  <c r="ED444" i="12"/>
  <c r="ED445" i="12"/>
  <c r="ED448" i="12"/>
  <c r="ED449" i="12"/>
  <c r="ED452" i="12"/>
  <c r="ED453" i="12"/>
  <c r="ED456" i="12"/>
  <c r="ED457" i="12"/>
  <c r="ED464" i="12"/>
  <c r="ED467" i="12"/>
  <c r="ED472" i="12"/>
  <c r="ED475" i="12"/>
  <c r="ED480" i="12"/>
  <c r="ED482" i="12"/>
  <c r="ED484" i="12"/>
  <c r="ED486" i="12"/>
  <c r="ED488" i="12"/>
  <c r="ED490" i="12"/>
  <c r="ED492" i="12"/>
  <c r="ED494" i="12"/>
  <c r="ED495" i="12"/>
  <c r="ED500" i="12"/>
  <c r="ED459" i="12"/>
  <c r="ED462" i="12"/>
  <c r="ED463" i="12"/>
  <c r="ED466" i="12"/>
  <c r="ED469" i="12"/>
  <c r="ED474" i="12"/>
  <c r="ED477" i="12"/>
  <c r="ED478" i="12"/>
  <c r="ED496" i="12"/>
  <c r="ED497" i="12"/>
  <c r="ED498" i="12"/>
  <c r="ED458" i="12"/>
  <c r="ED468" i="12"/>
  <c r="ED471" i="12"/>
  <c r="ED476" i="12"/>
  <c r="ED479" i="12"/>
  <c r="ED481" i="12"/>
  <c r="ED483" i="12"/>
  <c r="ED485" i="12"/>
  <c r="ED487" i="12"/>
  <c r="ED489" i="12"/>
  <c r="ED491" i="12"/>
  <c r="ED493" i="12"/>
  <c r="ED460" i="12"/>
  <c r="ED461" i="12"/>
  <c r="ED465" i="12"/>
  <c r="ED470" i="12"/>
  <c r="ED473" i="12"/>
  <c r="ED499" i="12"/>
  <c r="DX330" i="12"/>
  <c r="EB330" i="12" s="1"/>
  <c r="EK330" i="12" s="1"/>
  <c r="DX332" i="12"/>
  <c r="EB332" i="12" s="1"/>
  <c r="EK332" i="12" s="1"/>
  <c r="DX334" i="12"/>
  <c r="EB334" i="12" s="1"/>
  <c r="EK334" i="12" s="1"/>
  <c r="DX336" i="12"/>
  <c r="EB336" i="12" s="1"/>
  <c r="EK336" i="12" s="1"/>
  <c r="DX338" i="12"/>
  <c r="EB338" i="12" s="1"/>
  <c r="EK338" i="12" s="1"/>
  <c r="DX340" i="12"/>
  <c r="EB340" i="12" s="1"/>
  <c r="EK340" i="12" s="1"/>
  <c r="DX342" i="12"/>
  <c r="EB342" i="12" s="1"/>
  <c r="EK342" i="12" s="1"/>
  <c r="DX344" i="12"/>
  <c r="EB344" i="12" s="1"/>
  <c r="EK344" i="12" s="1"/>
  <c r="DX346" i="12"/>
  <c r="EB346" i="12" s="1"/>
  <c r="EK346" i="12" s="1"/>
  <c r="DX348" i="12"/>
  <c r="EB348" i="12" s="1"/>
  <c r="EK348" i="12" s="1"/>
  <c r="DX352" i="12"/>
  <c r="EB352" i="12" s="1"/>
  <c r="EK352" i="12" s="1"/>
  <c r="DX353" i="12"/>
  <c r="EB353" i="12" s="1"/>
  <c r="EK353" i="12" s="1"/>
  <c r="DX360" i="12"/>
  <c r="EB360" i="12" s="1"/>
  <c r="EK360" i="12" s="1"/>
  <c r="DX361" i="12"/>
  <c r="EB361" i="12" s="1"/>
  <c r="EK361" i="12" s="1"/>
  <c r="DX368" i="12"/>
  <c r="EB368" i="12" s="1"/>
  <c r="EK368" i="12" s="1"/>
  <c r="DX369" i="12"/>
  <c r="EB369" i="12" s="1"/>
  <c r="EK369" i="12" s="1"/>
  <c r="DX378" i="12"/>
  <c r="EB378" i="12" s="1"/>
  <c r="EK378" i="12" s="1"/>
  <c r="DX379" i="12"/>
  <c r="EB379" i="12" s="1"/>
  <c r="EK379" i="12" s="1"/>
  <c r="DX386" i="12"/>
  <c r="EB386" i="12" s="1"/>
  <c r="EK386" i="12" s="1"/>
  <c r="DX387" i="12"/>
  <c r="EB387" i="12" s="1"/>
  <c r="EK387" i="12" s="1"/>
  <c r="DX394" i="12"/>
  <c r="EB394" i="12" s="1"/>
  <c r="EK394" i="12" s="1"/>
  <c r="DX396" i="12"/>
  <c r="EB396" i="12" s="1"/>
  <c r="EK396" i="12" s="1"/>
  <c r="DX333" i="12"/>
  <c r="EB333" i="12" s="1"/>
  <c r="EK333" i="12" s="1"/>
  <c r="DX335" i="12"/>
  <c r="EB335" i="12" s="1"/>
  <c r="EK335" i="12" s="1"/>
  <c r="DX337" i="12"/>
  <c r="EB337" i="12" s="1"/>
  <c r="EK337" i="12" s="1"/>
  <c r="DX339" i="12"/>
  <c r="EB339" i="12" s="1"/>
  <c r="EK339" i="12" s="1"/>
  <c r="DX341" i="12"/>
  <c r="EB341" i="12" s="1"/>
  <c r="EK341" i="12" s="1"/>
  <c r="DX343" i="12"/>
  <c r="EB343" i="12" s="1"/>
  <c r="EK343" i="12" s="1"/>
  <c r="DX345" i="12"/>
  <c r="EB345" i="12" s="1"/>
  <c r="EK345" i="12" s="1"/>
  <c r="DX347" i="12"/>
  <c r="EB347" i="12" s="1"/>
  <c r="EK347" i="12" s="1"/>
  <c r="DX349" i="12"/>
  <c r="EB349" i="12" s="1"/>
  <c r="EK349" i="12" s="1"/>
  <c r="DX350" i="12"/>
  <c r="EB350" i="12" s="1"/>
  <c r="EK350" i="12" s="1"/>
  <c r="DX358" i="12"/>
  <c r="EB358" i="12" s="1"/>
  <c r="EK358" i="12" s="1"/>
  <c r="DX359" i="12"/>
  <c r="EB359" i="12" s="1"/>
  <c r="EK359" i="12" s="1"/>
  <c r="DX366" i="12"/>
  <c r="EB366" i="12" s="1"/>
  <c r="EK366" i="12" s="1"/>
  <c r="DX367" i="12"/>
  <c r="EB367" i="12" s="1"/>
  <c r="EK367" i="12" s="1"/>
  <c r="DX373" i="12"/>
  <c r="EB373" i="12" s="1"/>
  <c r="EK373" i="12" s="1"/>
  <c r="DX380" i="12"/>
  <c r="EB380" i="12" s="1"/>
  <c r="EK380" i="12" s="1"/>
  <c r="DX381" i="12"/>
  <c r="EB381" i="12" s="1"/>
  <c r="EK381" i="12" s="1"/>
  <c r="DX388" i="12"/>
  <c r="EB388" i="12" s="1"/>
  <c r="EK388" i="12" s="1"/>
  <c r="DX389" i="12"/>
  <c r="EB389" i="12" s="1"/>
  <c r="EK389" i="12" s="1"/>
  <c r="DX331" i="12"/>
  <c r="EB331" i="12" s="1"/>
  <c r="EK331" i="12" s="1"/>
  <c r="DX351" i="12"/>
  <c r="EB351" i="12" s="1"/>
  <c r="EK351" i="12" s="1"/>
  <c r="DX356" i="12"/>
  <c r="EB356" i="12" s="1"/>
  <c r="EK356" i="12" s="1"/>
  <c r="DX357" i="12"/>
  <c r="EB357" i="12" s="1"/>
  <c r="EK357" i="12" s="1"/>
  <c r="DX364" i="12"/>
  <c r="EB364" i="12" s="1"/>
  <c r="EK364" i="12" s="1"/>
  <c r="DX365" i="12"/>
  <c r="EB365" i="12" s="1"/>
  <c r="EK365" i="12" s="1"/>
  <c r="DX370" i="12"/>
  <c r="EB370" i="12" s="1"/>
  <c r="EK370" i="12" s="1"/>
  <c r="DX371" i="12"/>
  <c r="EB371" i="12" s="1"/>
  <c r="EK371" i="12" s="1"/>
  <c r="DX382" i="12"/>
  <c r="EB382" i="12" s="1"/>
  <c r="EK382" i="12" s="1"/>
  <c r="DX383" i="12"/>
  <c r="EB383" i="12" s="1"/>
  <c r="EK383" i="12" s="1"/>
  <c r="DX390" i="12"/>
  <c r="EB390" i="12" s="1"/>
  <c r="EK390" i="12" s="1"/>
  <c r="DX391" i="12"/>
  <c r="EB391" i="12" s="1"/>
  <c r="EK391" i="12" s="1"/>
  <c r="DX354" i="12"/>
  <c r="EB354" i="12" s="1"/>
  <c r="EK354" i="12" s="1"/>
  <c r="DX355" i="12"/>
  <c r="EB355" i="12" s="1"/>
  <c r="EK355" i="12" s="1"/>
  <c r="DX362" i="12"/>
  <c r="EB362" i="12" s="1"/>
  <c r="EK362" i="12" s="1"/>
  <c r="DX363" i="12"/>
  <c r="EB363" i="12" s="1"/>
  <c r="EK363" i="12" s="1"/>
  <c r="DX372" i="12"/>
  <c r="EB372" i="12" s="1"/>
  <c r="EK372" i="12" s="1"/>
  <c r="DX374" i="12"/>
  <c r="EB374" i="12" s="1"/>
  <c r="EK374" i="12" s="1"/>
  <c r="DX375" i="12"/>
  <c r="EB375" i="12" s="1"/>
  <c r="EK375" i="12" s="1"/>
  <c r="DX376" i="12"/>
  <c r="EB376" i="12" s="1"/>
  <c r="EK376" i="12" s="1"/>
  <c r="DX377" i="12"/>
  <c r="EB377" i="12" s="1"/>
  <c r="EK377" i="12" s="1"/>
  <c r="DX384" i="12"/>
  <c r="EB384" i="12" s="1"/>
  <c r="EK384" i="12" s="1"/>
  <c r="DX385" i="12"/>
  <c r="EB385" i="12" s="1"/>
  <c r="EK385" i="12" s="1"/>
  <c r="DX392" i="12"/>
  <c r="EB392" i="12" s="1"/>
  <c r="EK392" i="12" s="1"/>
  <c r="DX393" i="12"/>
  <c r="EB393" i="12" s="1"/>
  <c r="EK393" i="12" s="1"/>
  <c r="DX397" i="12"/>
  <c r="EB397" i="12" s="1"/>
  <c r="EK397" i="12" s="1"/>
  <c r="DX402" i="12"/>
  <c r="EB402" i="12" s="1"/>
  <c r="EK402" i="12" s="1"/>
  <c r="DX409" i="12"/>
  <c r="EB409" i="12" s="1"/>
  <c r="DX410" i="12"/>
  <c r="EB410" i="12" s="1"/>
  <c r="DX417" i="12"/>
  <c r="EB417" i="12" s="1"/>
  <c r="DX418" i="12"/>
  <c r="EB418" i="12" s="1"/>
  <c r="DX398" i="12"/>
  <c r="EB398" i="12" s="1"/>
  <c r="EK398" i="12" s="1"/>
  <c r="DX399" i="12"/>
  <c r="EB399" i="12" s="1"/>
  <c r="EK399" i="12" s="1"/>
  <c r="DX403" i="12"/>
  <c r="EB403" i="12" s="1"/>
  <c r="EK403" i="12" s="1"/>
  <c r="DX407" i="12"/>
  <c r="EB407" i="12" s="1"/>
  <c r="EK407" i="12" s="1"/>
  <c r="DX408" i="12"/>
  <c r="EB408" i="12" s="1"/>
  <c r="DX415" i="12"/>
  <c r="EB415" i="12" s="1"/>
  <c r="DX416" i="12"/>
  <c r="EB416" i="12" s="1"/>
  <c r="DX426" i="12"/>
  <c r="EB426" i="12" s="1"/>
  <c r="DX431" i="12"/>
  <c r="EB431" i="12" s="1"/>
  <c r="DX433" i="12"/>
  <c r="EB433" i="12" s="1"/>
  <c r="DX435" i="12"/>
  <c r="EB435" i="12" s="1"/>
  <c r="DX437" i="12"/>
  <c r="EB437" i="12" s="1"/>
  <c r="DX440" i="12"/>
  <c r="EB440" i="12" s="1"/>
  <c r="DX441" i="12"/>
  <c r="EB441" i="12" s="1"/>
  <c r="DX444" i="12"/>
  <c r="EB444" i="12" s="1"/>
  <c r="DX445" i="12"/>
  <c r="EB445" i="12" s="1"/>
  <c r="DX448" i="12"/>
  <c r="EB448" i="12" s="1"/>
  <c r="DX449" i="12"/>
  <c r="EB449" i="12" s="1"/>
  <c r="DX452" i="12"/>
  <c r="EB452" i="12" s="1"/>
  <c r="DX453" i="12"/>
  <c r="EB453" i="12" s="1"/>
  <c r="DX400" i="12"/>
  <c r="EB400" i="12" s="1"/>
  <c r="EK400" i="12" s="1"/>
  <c r="DX401" i="12"/>
  <c r="EB401" i="12" s="1"/>
  <c r="EK401" i="12" s="1"/>
  <c r="DX405" i="12"/>
  <c r="EB405" i="12" s="1"/>
  <c r="EK405" i="12" s="1"/>
  <c r="DX406" i="12"/>
  <c r="EB406" i="12" s="1"/>
  <c r="EK406" i="12" s="1"/>
  <c r="DX413" i="12"/>
  <c r="EB413" i="12" s="1"/>
  <c r="DX414" i="12"/>
  <c r="EB414" i="12" s="1"/>
  <c r="DX421" i="12"/>
  <c r="EB421" i="12" s="1"/>
  <c r="DX422" i="12"/>
  <c r="EB422" i="12" s="1"/>
  <c r="DX423" i="12"/>
  <c r="EB423" i="12" s="1"/>
  <c r="DX428" i="12"/>
  <c r="EB428" i="12" s="1"/>
  <c r="DX395" i="12"/>
  <c r="EB395" i="12" s="1"/>
  <c r="EK395" i="12" s="1"/>
  <c r="DX404" i="12"/>
  <c r="EB404" i="12" s="1"/>
  <c r="EK404" i="12" s="1"/>
  <c r="DX411" i="12"/>
  <c r="EB411" i="12" s="1"/>
  <c r="DX412" i="12"/>
  <c r="EB412" i="12" s="1"/>
  <c r="DX419" i="12"/>
  <c r="EB419" i="12" s="1"/>
  <c r="DX420" i="12"/>
  <c r="EB420" i="12" s="1"/>
  <c r="DX424" i="12"/>
  <c r="EB424" i="12" s="1"/>
  <c r="DX425" i="12"/>
  <c r="EB425" i="12" s="1"/>
  <c r="DX427" i="12"/>
  <c r="EB427" i="12" s="1"/>
  <c r="DX429" i="12"/>
  <c r="EB429" i="12" s="1"/>
  <c r="DX430" i="12"/>
  <c r="EB430" i="12" s="1"/>
  <c r="DX432" i="12"/>
  <c r="EB432" i="12" s="1"/>
  <c r="DX434" i="12"/>
  <c r="EB434" i="12" s="1"/>
  <c r="DX436" i="12"/>
  <c r="EB436" i="12" s="1"/>
  <c r="DX438" i="12"/>
  <c r="EB438" i="12" s="1"/>
  <c r="DX439" i="12"/>
  <c r="EB439" i="12" s="1"/>
  <c r="DX442" i="12"/>
  <c r="EB442" i="12" s="1"/>
  <c r="DX443" i="12"/>
  <c r="EB443" i="12" s="1"/>
  <c r="DX446" i="12"/>
  <c r="EB446" i="12" s="1"/>
  <c r="DX447" i="12"/>
  <c r="EB447" i="12" s="1"/>
  <c r="DX450" i="12"/>
  <c r="EB450" i="12" s="1"/>
  <c r="DX451" i="12"/>
  <c r="EB451" i="12" s="1"/>
  <c r="DX454" i="12"/>
  <c r="EB454" i="12" s="1"/>
  <c r="DX455" i="12"/>
  <c r="EB455" i="12" s="1"/>
  <c r="DX458" i="12"/>
  <c r="EB458" i="12" s="1"/>
  <c r="DX468" i="12"/>
  <c r="EB468" i="12" s="1"/>
  <c r="DX471" i="12"/>
  <c r="EB471" i="12" s="1"/>
  <c r="DX476" i="12"/>
  <c r="EB476" i="12" s="1"/>
  <c r="DX479" i="12"/>
  <c r="EB479" i="12" s="1"/>
  <c r="DX481" i="12"/>
  <c r="EB481" i="12" s="1"/>
  <c r="DX483" i="12"/>
  <c r="EB483" i="12" s="1"/>
  <c r="DX485" i="12"/>
  <c r="EB485" i="12" s="1"/>
  <c r="DX487" i="12"/>
  <c r="EB487" i="12" s="1"/>
  <c r="DX489" i="12"/>
  <c r="EB489" i="12" s="1"/>
  <c r="DX491" i="12"/>
  <c r="EB491" i="12" s="1"/>
  <c r="DX493" i="12"/>
  <c r="EB493" i="12" s="1"/>
  <c r="DX460" i="12"/>
  <c r="EB460" i="12" s="1"/>
  <c r="DX461" i="12"/>
  <c r="EB461" i="12" s="1"/>
  <c r="DX465" i="12"/>
  <c r="EB465" i="12" s="1"/>
  <c r="DX470" i="12"/>
  <c r="EB470" i="12" s="1"/>
  <c r="DX473" i="12"/>
  <c r="EB473" i="12" s="1"/>
  <c r="DX480" i="12"/>
  <c r="EB480" i="12" s="1"/>
  <c r="DX482" i="12"/>
  <c r="EB482" i="12" s="1"/>
  <c r="DX484" i="12"/>
  <c r="EB484" i="12" s="1"/>
  <c r="DX486" i="12"/>
  <c r="EB486" i="12" s="1"/>
  <c r="DX488" i="12"/>
  <c r="EB488" i="12" s="1"/>
  <c r="DX490" i="12"/>
  <c r="EB490" i="12" s="1"/>
  <c r="DX492" i="12"/>
  <c r="EB492" i="12" s="1"/>
  <c r="DX494" i="12"/>
  <c r="EB494" i="12" s="1"/>
  <c r="DX499" i="12"/>
  <c r="EB499" i="12" s="1"/>
  <c r="DX456" i="12"/>
  <c r="EB456" i="12" s="1"/>
  <c r="DX457" i="12"/>
  <c r="EB457" i="12" s="1"/>
  <c r="DX464" i="12"/>
  <c r="EB464" i="12" s="1"/>
  <c r="DX467" i="12"/>
  <c r="EB467" i="12" s="1"/>
  <c r="DX472" i="12"/>
  <c r="EB472" i="12" s="1"/>
  <c r="DX475" i="12"/>
  <c r="EB475" i="12" s="1"/>
  <c r="DX478" i="12"/>
  <c r="EB478" i="12" s="1"/>
  <c r="DX495" i="12"/>
  <c r="EB495" i="12" s="1"/>
  <c r="DX500" i="12"/>
  <c r="EB500" i="12" s="1"/>
  <c r="DX459" i="12"/>
  <c r="EB459" i="12" s="1"/>
  <c r="DX462" i="12"/>
  <c r="EB462" i="12" s="1"/>
  <c r="DX463" i="12"/>
  <c r="EB463" i="12" s="1"/>
  <c r="DX466" i="12"/>
  <c r="EB466" i="12" s="1"/>
  <c r="DX469" i="12"/>
  <c r="EB469" i="12" s="1"/>
  <c r="DX474" i="12"/>
  <c r="EB474" i="12" s="1"/>
  <c r="DX477" i="12"/>
  <c r="EB477" i="12" s="1"/>
  <c r="DX496" i="12"/>
  <c r="EB496" i="12" s="1"/>
  <c r="DX497" i="12"/>
  <c r="EB497" i="12" s="1"/>
  <c r="DX498" i="12"/>
  <c r="EB498" i="12" s="1"/>
  <c r="EC192" i="12"/>
  <c r="EC354" i="12"/>
  <c r="EC355" i="12"/>
  <c r="EC362" i="12"/>
  <c r="EC363" i="12"/>
  <c r="EC374" i="12"/>
  <c r="EC375" i="12"/>
  <c r="EC376" i="12"/>
  <c r="EC383" i="12"/>
  <c r="EC384" i="12"/>
  <c r="EC391" i="12"/>
  <c r="EC392" i="12"/>
  <c r="EC330" i="12"/>
  <c r="EC332" i="12"/>
  <c r="EC334" i="12"/>
  <c r="EC336" i="12"/>
  <c r="EC338" i="12"/>
  <c r="EC340" i="12"/>
  <c r="EC342" i="12"/>
  <c r="EC344" i="12"/>
  <c r="EC346" i="12"/>
  <c r="EC348" i="12"/>
  <c r="EC352" i="12"/>
  <c r="EC353" i="12"/>
  <c r="EC360" i="12"/>
  <c r="EC361" i="12"/>
  <c r="EC368" i="12"/>
  <c r="EC369" i="12"/>
  <c r="EC372" i="12"/>
  <c r="EC377" i="12"/>
  <c r="EC378" i="12"/>
  <c r="EC385" i="12"/>
  <c r="EC386" i="12"/>
  <c r="EC349" i="12"/>
  <c r="EC350" i="12"/>
  <c r="EC358" i="12"/>
  <c r="EC359" i="12"/>
  <c r="EC366" i="12"/>
  <c r="EC367" i="12"/>
  <c r="EC373" i="12"/>
  <c r="EC379" i="12"/>
  <c r="EC380" i="12"/>
  <c r="EC387" i="12"/>
  <c r="EC388" i="12"/>
  <c r="EC331" i="12"/>
  <c r="EC333" i="12"/>
  <c r="EC335" i="12"/>
  <c r="EC337" i="12"/>
  <c r="EC339" i="12"/>
  <c r="EC341" i="12"/>
  <c r="EC343" i="12"/>
  <c r="EC345" i="12"/>
  <c r="EC347" i="12"/>
  <c r="EC351" i="12"/>
  <c r="EC356" i="12"/>
  <c r="EC357" i="12"/>
  <c r="EC364" i="12"/>
  <c r="EC365" i="12"/>
  <c r="EC370" i="12"/>
  <c r="EC371" i="12"/>
  <c r="EC381" i="12"/>
  <c r="EC382" i="12"/>
  <c r="EC389" i="12"/>
  <c r="EC390" i="12"/>
  <c r="EC397" i="12"/>
  <c r="EC393" i="12"/>
  <c r="EC394" i="12"/>
  <c r="EC395" i="12"/>
  <c r="EC396" i="12"/>
  <c r="EC404" i="12"/>
  <c r="EC411" i="12"/>
  <c r="EC412" i="12"/>
  <c r="EC419" i="12"/>
  <c r="EC420" i="12"/>
  <c r="EC424" i="12"/>
  <c r="EC428" i="12"/>
  <c r="EC429" i="12"/>
  <c r="EC430" i="12"/>
  <c r="EC432" i="12"/>
  <c r="EC434" i="12"/>
  <c r="EC436" i="12"/>
  <c r="EC438" i="12"/>
  <c r="EC439" i="12"/>
  <c r="EC442" i="12"/>
  <c r="EC443" i="12"/>
  <c r="EC446" i="12"/>
  <c r="EC447" i="12"/>
  <c r="EC450" i="12"/>
  <c r="EC451" i="12"/>
  <c r="EC402" i="12"/>
  <c r="EC409" i="12"/>
  <c r="EC410" i="12"/>
  <c r="EC417" i="12"/>
  <c r="EC418" i="12"/>
  <c r="EC425" i="12"/>
  <c r="EC427" i="12"/>
  <c r="EC398" i="12"/>
  <c r="EC403" i="12"/>
  <c r="EC407" i="12"/>
  <c r="EC408" i="12"/>
  <c r="EC415" i="12"/>
  <c r="EC416" i="12"/>
  <c r="EC426" i="12"/>
  <c r="EC431" i="12"/>
  <c r="EC433" i="12"/>
  <c r="EC435" i="12"/>
  <c r="EC437" i="12"/>
  <c r="EC440" i="12"/>
  <c r="EC441" i="12"/>
  <c r="EC444" i="12"/>
  <c r="EC445" i="12"/>
  <c r="EC448" i="12"/>
  <c r="EC449" i="12"/>
  <c r="EC452" i="12"/>
  <c r="EC399" i="12"/>
  <c r="EC400" i="12"/>
  <c r="EC401" i="12"/>
  <c r="EC405" i="12"/>
  <c r="EC406" i="12"/>
  <c r="EC413" i="12"/>
  <c r="EC414" i="12"/>
  <c r="EC421" i="12"/>
  <c r="EC422" i="12"/>
  <c r="EC423" i="12"/>
  <c r="EC453" i="12"/>
  <c r="EC454" i="12"/>
  <c r="EC459" i="12"/>
  <c r="EC462" i="12"/>
  <c r="EC463" i="12"/>
  <c r="EC466" i="12"/>
  <c r="EC469" i="12"/>
  <c r="EC474" i="12"/>
  <c r="EC477" i="12"/>
  <c r="EC478" i="12"/>
  <c r="EC496" i="12"/>
  <c r="EC497" i="12"/>
  <c r="EC498" i="12"/>
  <c r="EC500" i="12"/>
  <c r="EC499" i="12"/>
  <c r="EC458" i="12"/>
  <c r="EC468" i="12"/>
  <c r="EC471" i="12"/>
  <c r="EC476" i="12"/>
  <c r="EC479" i="12"/>
  <c r="EC481" i="12"/>
  <c r="EC483" i="12"/>
  <c r="EC485" i="12"/>
  <c r="EC487" i="12"/>
  <c r="EC489" i="12"/>
  <c r="EC491" i="12"/>
  <c r="EC493" i="12"/>
  <c r="EC455" i="12"/>
  <c r="EC460" i="12"/>
  <c r="EC461" i="12"/>
  <c r="EC465" i="12"/>
  <c r="EC470" i="12"/>
  <c r="EC473" i="12"/>
  <c r="EC456" i="12"/>
  <c r="EC457" i="12"/>
  <c r="EC464" i="12"/>
  <c r="EC467" i="12"/>
  <c r="EC472" i="12"/>
  <c r="EC475" i="12"/>
  <c r="EC480" i="12"/>
  <c r="EC482" i="12"/>
  <c r="EC484" i="12"/>
  <c r="EC486" i="12"/>
  <c r="EC488" i="12"/>
  <c r="EC490" i="12"/>
  <c r="EC492" i="12"/>
  <c r="EC494" i="12"/>
  <c r="EC495" i="12"/>
  <c r="DK321" i="12"/>
  <c r="DN297" i="12"/>
  <c r="DX289" i="12"/>
  <c r="EB289" i="12" s="1"/>
  <c r="EK289" i="12" s="1"/>
  <c r="DX328" i="12"/>
  <c r="EB328" i="12" s="1"/>
  <c r="EK328" i="12" s="1"/>
  <c r="DX320" i="12"/>
  <c r="EB320" i="12" s="1"/>
  <c r="EK320" i="12" s="1"/>
  <c r="DX312" i="12"/>
  <c r="EB312" i="12" s="1"/>
  <c r="EK312" i="12" s="1"/>
  <c r="BP308" i="12"/>
  <c r="BL308" i="12" s="1"/>
  <c r="F308" i="13" s="1"/>
  <c r="DX304" i="12"/>
  <c r="EB304" i="12" s="1"/>
  <c r="EK304" i="12" s="1"/>
  <c r="BP296" i="12"/>
  <c r="BL296" i="12" s="1"/>
  <c r="F296" i="13" s="1"/>
  <c r="DX296" i="12"/>
  <c r="EB296" i="12" s="1"/>
  <c r="EK296" i="12" s="1"/>
  <c r="DX288" i="12"/>
  <c r="EB288" i="12" s="1"/>
  <c r="EK288" i="12" s="1"/>
  <c r="DX317" i="12"/>
  <c r="EB317" i="12" s="1"/>
  <c r="EK317" i="12" s="1"/>
  <c r="DX293" i="12"/>
  <c r="EB293" i="12" s="1"/>
  <c r="EK293" i="12" s="1"/>
  <c r="DL317" i="12"/>
  <c r="DH313" i="12"/>
  <c r="DN301" i="12"/>
  <c r="DG293" i="12"/>
  <c r="BP319" i="12"/>
  <c r="BL319" i="12" s="1"/>
  <c r="F319" i="13" s="1"/>
  <c r="DX322" i="12"/>
  <c r="EB322" i="12" s="1"/>
  <c r="EK322" i="12" s="1"/>
  <c r="DX314" i="12"/>
  <c r="EB314" i="12" s="1"/>
  <c r="EK314" i="12" s="1"/>
  <c r="DX306" i="12"/>
  <c r="EB306" i="12" s="1"/>
  <c r="EK306" i="12" s="1"/>
  <c r="DX290" i="12"/>
  <c r="EB290" i="12" s="1"/>
  <c r="EK290" i="12" s="1"/>
  <c r="DO325" i="12"/>
  <c r="DG321" i="12"/>
  <c r="DH317" i="12"/>
  <c r="DM309" i="12"/>
  <c r="DJ301" i="12"/>
  <c r="DJ297" i="12"/>
  <c r="DO289" i="12"/>
  <c r="DK325" i="12"/>
  <c r="DP313" i="12"/>
  <c r="DI309" i="12"/>
  <c r="DM305" i="12"/>
  <c r="DO293" i="12"/>
  <c r="DK289" i="12"/>
  <c r="DN329" i="12"/>
  <c r="DG325" i="12"/>
  <c r="DO321" i="12"/>
  <c r="DP317" i="12"/>
  <c r="DL313" i="12"/>
  <c r="DI305" i="12"/>
  <c r="DK293" i="12"/>
  <c r="DG289" i="12"/>
  <c r="BP329" i="12"/>
  <c r="BL329" i="12" s="1"/>
  <c r="DI317" i="12"/>
  <c r="DI313" i="12"/>
  <c r="BP313" i="12"/>
  <c r="BL313" i="12" s="1"/>
  <c r="F313" i="13" s="1"/>
  <c r="DJ309" i="12"/>
  <c r="DJ305" i="12"/>
  <c r="BP301" i="12"/>
  <c r="BL301" i="12" s="1"/>
  <c r="F301" i="13" s="1"/>
  <c r="BP293" i="12"/>
  <c r="BL293" i="12" s="1"/>
  <c r="F293" i="13" s="1"/>
  <c r="DM328" i="12"/>
  <c r="BP328" i="12"/>
  <c r="BL328" i="12" s="1"/>
  <c r="DI324" i="12"/>
  <c r="DM320" i="12"/>
  <c r="DI316" i="12"/>
  <c r="BP316" i="12"/>
  <c r="BL316" i="12" s="1"/>
  <c r="F316" i="13" s="1"/>
  <c r="DM312" i="12"/>
  <c r="DI308" i="12"/>
  <c r="DM304" i="12"/>
  <c r="BP304" i="12"/>
  <c r="BL304" i="12" s="1"/>
  <c r="DI300" i="12"/>
  <c r="DM296" i="12"/>
  <c r="DI292" i="12"/>
  <c r="DM288" i="12"/>
  <c r="DJ327" i="12"/>
  <c r="DL319" i="12"/>
  <c r="DJ315" i="12"/>
  <c r="DL307" i="12"/>
  <c r="DJ303" i="12"/>
  <c r="BP303" i="12"/>
  <c r="BL303" i="12" s="1"/>
  <c r="DL295" i="12"/>
  <c r="DJ291" i="12"/>
  <c r="EC324" i="12"/>
  <c r="EC320" i="12"/>
  <c r="ED316" i="12"/>
  <c r="ED312" i="12"/>
  <c r="EC311" i="12"/>
  <c r="EC310" i="12"/>
  <c r="EC309" i="12"/>
  <c r="EC308" i="12"/>
  <c r="ED303" i="12"/>
  <c r="ED302" i="12"/>
  <c r="ED301" i="12"/>
  <c r="ED300" i="12"/>
  <c r="EC292" i="12"/>
  <c r="EC288" i="12"/>
  <c r="EC284" i="12"/>
  <c r="ED283" i="12"/>
  <c r="ED281" i="12"/>
  <c r="EC279" i="12"/>
  <c r="ED278" i="12"/>
  <c r="EC276" i="12"/>
  <c r="ED275" i="12"/>
  <c r="ED273" i="12"/>
  <c r="ED270" i="12"/>
  <c r="EC269" i="12"/>
  <c r="ED268" i="12"/>
  <c r="ED264" i="12"/>
  <c r="ED262" i="12"/>
  <c r="ED261" i="12"/>
  <c r="EC258" i="12"/>
  <c r="EC256" i="12"/>
  <c r="ED255" i="12"/>
  <c r="ED252" i="12"/>
  <c r="EC248" i="12"/>
  <c r="ED247" i="12"/>
  <c r="EC244" i="12"/>
  <c r="ED243" i="12"/>
  <c r="ED241" i="12"/>
  <c r="ED238" i="12"/>
  <c r="ED237" i="12"/>
  <c r="EC235" i="12"/>
  <c r="ED234" i="12"/>
  <c r="EC233" i="12"/>
  <c r="ED230" i="12"/>
  <c r="ED229" i="12"/>
  <c r="EC226" i="12"/>
  <c r="EC224" i="12"/>
  <c r="EC220" i="12"/>
  <c r="ED219" i="12"/>
  <c r="EC217" i="12"/>
  <c r="EC215" i="12"/>
  <c r="ED213" i="12"/>
  <c r="EC212" i="12"/>
  <c r="ED211" i="12"/>
  <c r="EC209" i="12"/>
  <c r="ED208" i="12"/>
  <c r="EC206" i="12"/>
  <c r="ED205" i="12"/>
  <c r="ED203" i="12"/>
  <c r="EC202" i="12"/>
  <c r="ED201" i="12"/>
  <c r="ED199" i="12"/>
  <c r="EC197" i="12"/>
  <c r="EC195" i="12"/>
  <c r="EC193" i="12"/>
  <c r="ED192" i="12"/>
  <c r="ED327" i="12"/>
  <c r="ED326" i="12"/>
  <c r="ED325" i="12"/>
  <c r="ED323" i="12"/>
  <c r="ED322" i="12"/>
  <c r="ED321" i="12"/>
  <c r="EC316" i="12"/>
  <c r="EC312" i="12"/>
  <c r="ED307" i="12"/>
  <c r="ED306" i="12"/>
  <c r="ED305" i="12"/>
  <c r="ED304" i="12"/>
  <c r="EC303" i="12"/>
  <c r="EC302" i="12"/>
  <c r="EC301" i="12"/>
  <c r="EC300" i="12"/>
  <c r="ED295" i="12"/>
  <c r="ED294" i="12"/>
  <c r="ED293" i="12"/>
  <c r="ED291" i="12"/>
  <c r="ED290" i="12"/>
  <c r="ED289" i="12"/>
  <c r="EC283" i="12"/>
  <c r="ED282" i="12"/>
  <c r="EC281" i="12"/>
  <c r="EC278" i="12"/>
  <c r="EC275" i="12"/>
  <c r="ED274" i="12"/>
  <c r="EC273" i="12"/>
  <c r="ED272" i="12"/>
  <c r="EC270" i="12"/>
  <c r="EC268" i="12"/>
  <c r="ED267" i="12"/>
  <c r="ED265" i="12"/>
  <c r="EC264" i="12"/>
  <c r="EC262" i="12"/>
  <c r="EC261" i="12"/>
  <c r="ED260" i="12"/>
  <c r="EC255" i="12"/>
  <c r="EC252" i="12"/>
  <c r="ED251" i="12"/>
  <c r="ED249" i="12"/>
  <c r="EC247" i="12"/>
  <c r="EC243" i="12"/>
  <c r="ED242" i="12"/>
  <c r="EC241" i="12"/>
  <c r="ED240" i="12"/>
  <c r="EC238" i="12"/>
  <c r="EC237" i="12"/>
  <c r="EC234" i="12"/>
  <c r="ED232" i="12"/>
  <c r="EC230" i="12"/>
  <c r="EC229" i="12"/>
  <c r="ED228" i="12"/>
  <c r="ED223" i="12"/>
  <c r="ED221" i="12"/>
  <c r="EC219" i="12"/>
  <c r="ED216" i="12"/>
  <c r="EC213" i="12"/>
  <c r="EC211" i="12"/>
  <c r="ED210" i="12"/>
  <c r="EC208" i="12"/>
  <c r="ED207" i="12"/>
  <c r="EC205" i="12"/>
  <c r="EC203" i="12"/>
  <c r="EC201" i="12"/>
  <c r="EC199" i="12"/>
  <c r="ED194" i="12"/>
  <c r="EC32" i="12"/>
  <c r="EC34" i="12"/>
  <c r="EC40" i="12"/>
  <c r="EC42" i="12"/>
  <c r="EC50" i="12"/>
  <c r="EC53" i="12"/>
  <c r="EC57" i="12"/>
  <c r="EC64" i="12"/>
  <c r="EC67" i="12"/>
  <c r="EC75" i="12"/>
  <c r="EC81" i="12"/>
  <c r="EC84" i="12"/>
  <c r="EC87" i="12"/>
  <c r="EC91" i="12"/>
  <c r="EC97" i="12"/>
  <c r="EC98" i="12"/>
  <c r="EC104" i="12"/>
  <c r="EC106" i="12"/>
  <c r="EC110" i="12"/>
  <c r="EC113" i="12"/>
  <c r="EC115" i="12"/>
  <c r="EC118" i="12"/>
  <c r="EC123" i="12"/>
  <c r="EC126" i="12"/>
  <c r="EC129" i="12"/>
  <c r="EC133" i="12"/>
  <c r="EC140" i="12"/>
  <c r="EC142" i="12"/>
  <c r="EC151" i="12"/>
  <c r="EC154" i="12"/>
  <c r="EC156" i="12"/>
  <c r="EC158" i="12"/>
  <c r="EC161" i="12"/>
  <c r="EC167" i="12"/>
  <c r="EC169" i="12"/>
  <c r="EC175" i="12"/>
  <c r="EC178" i="12"/>
  <c r="EC182" i="12"/>
  <c r="EC185" i="12"/>
  <c r="EC33" i="12"/>
  <c r="EC35" i="12"/>
  <c r="EC41" i="12"/>
  <c r="EC43" i="12"/>
  <c r="EC48" i="12"/>
  <c r="EC51" i="12"/>
  <c r="EC54" i="12"/>
  <c r="EC58" i="12"/>
  <c r="EC61" i="12"/>
  <c r="EC65" i="12"/>
  <c r="EC68" i="12"/>
  <c r="EC70" i="12"/>
  <c r="EC73" i="12"/>
  <c r="EC76" i="12"/>
  <c r="EC78" i="12"/>
  <c r="EC85" i="12"/>
  <c r="EC88" i="12"/>
  <c r="EC90" i="12"/>
  <c r="EC95" i="12"/>
  <c r="EC99" i="12"/>
  <c r="EC105" i="12"/>
  <c r="EC107" i="12"/>
  <c r="EC109" i="12"/>
  <c r="EC111" i="12"/>
  <c r="EC117" i="12"/>
  <c r="EC119" i="12"/>
  <c r="EC125" i="12"/>
  <c r="EC127" i="12"/>
  <c r="EC132" i="12"/>
  <c r="EC136" i="12"/>
  <c r="EC138" i="12"/>
  <c r="EC143" i="12"/>
  <c r="EC147" i="12"/>
  <c r="EC149" i="12"/>
  <c r="EC152" i="12"/>
  <c r="EC159" i="12"/>
  <c r="EC164" i="12"/>
  <c r="EC173" i="12"/>
  <c r="EC179" i="12"/>
  <c r="EC183" i="12"/>
  <c r="EC186" i="12"/>
  <c r="EC188" i="12"/>
  <c r="EC191" i="12"/>
  <c r="EC36" i="12"/>
  <c r="EC38" i="12"/>
  <c r="EC44" i="12"/>
  <c r="EC46" i="12"/>
  <c r="EC49" i="12"/>
  <c r="EC52" i="12"/>
  <c r="EC55" i="12"/>
  <c r="EC59" i="12"/>
  <c r="EC62" i="12"/>
  <c r="EC71" i="12"/>
  <c r="EC77" i="12"/>
  <c r="EC79" i="12"/>
  <c r="EC82" i="12"/>
  <c r="EC89" i="12"/>
  <c r="EC92" i="12"/>
  <c r="EC96" i="12"/>
  <c r="EC100" i="12"/>
  <c r="EC102" i="12"/>
  <c r="EC112" i="12"/>
  <c r="EC116" i="12"/>
  <c r="EC120" i="12"/>
  <c r="EC122" i="12"/>
  <c r="EC124" i="12"/>
  <c r="EC128" i="12"/>
  <c r="EC130" i="12"/>
  <c r="EC134" i="12"/>
  <c r="EC141" i="12"/>
  <c r="EC144" i="12"/>
  <c r="EC146" i="12"/>
  <c r="EC153" i="12"/>
  <c r="EC155" i="12"/>
  <c r="EC157" i="12"/>
  <c r="EC163" i="12"/>
  <c r="EC165" i="12"/>
  <c r="EC168" i="12"/>
  <c r="EC170" i="12"/>
  <c r="EC172" i="12"/>
  <c r="EC174" i="12"/>
  <c r="EC176" i="12"/>
  <c r="EC180" i="12"/>
  <c r="EC184" i="12"/>
  <c r="EC189" i="12"/>
  <c r="EC37" i="12"/>
  <c r="EC39" i="12"/>
  <c r="EC45" i="12"/>
  <c r="EC47" i="12"/>
  <c r="EC56" i="12"/>
  <c r="EC60" i="12"/>
  <c r="EC63" i="12"/>
  <c r="EC66" i="12"/>
  <c r="EC69" i="12"/>
  <c r="EC72" i="12"/>
  <c r="EC74" i="12"/>
  <c r="EC80" i="12"/>
  <c r="EC83" i="12"/>
  <c r="EC86" i="12"/>
  <c r="EC93" i="12"/>
  <c r="EC94" i="12"/>
  <c r="EC101" i="12"/>
  <c r="EC103" i="12"/>
  <c r="EC108" i="12"/>
  <c r="EC114" i="12"/>
  <c r="EC121" i="12"/>
  <c r="EC131" i="12"/>
  <c r="EC135" i="12"/>
  <c r="EC137" i="12"/>
  <c r="EC139" i="12"/>
  <c r="EC145" i="12"/>
  <c r="EC148" i="12"/>
  <c r="EC150" i="12"/>
  <c r="EC160" i="12"/>
  <c r="EC162" i="12"/>
  <c r="EC166" i="12"/>
  <c r="EC171" i="12"/>
  <c r="EC177" i="12"/>
  <c r="EC181" i="12"/>
  <c r="EC187" i="12"/>
  <c r="EC190" i="12"/>
  <c r="ED329" i="12"/>
  <c r="ED328" i="12"/>
  <c r="EC327" i="12"/>
  <c r="EC326" i="12"/>
  <c r="EC325" i="12"/>
  <c r="EC323" i="12"/>
  <c r="EC322" i="12"/>
  <c r="EC321" i="12"/>
  <c r="ED319" i="12"/>
  <c r="ED318" i="12"/>
  <c r="ED317" i="12"/>
  <c r="ED315" i="12"/>
  <c r="ED314" i="12"/>
  <c r="ED313" i="12"/>
  <c r="EC307" i="12"/>
  <c r="EC306" i="12"/>
  <c r="EC305" i="12"/>
  <c r="EC304" i="12"/>
  <c r="ED299" i="12"/>
  <c r="ED298" i="12"/>
  <c r="ED297" i="12"/>
  <c r="ED296" i="12"/>
  <c r="EC295" i="12"/>
  <c r="EC294" i="12"/>
  <c r="EC293" i="12"/>
  <c r="EC291" i="12"/>
  <c r="EC290" i="12"/>
  <c r="EC289" i="12"/>
  <c r="ED287" i="12"/>
  <c r="ED286" i="12"/>
  <c r="ED285" i="12"/>
  <c r="EC282" i="12"/>
  <c r="ED280" i="12"/>
  <c r="ED277" i="12"/>
  <c r="EC274" i="12"/>
  <c r="EC272" i="12"/>
  <c r="ED271" i="12"/>
  <c r="EC267" i="12"/>
  <c r="ED266" i="12"/>
  <c r="EC265" i="12"/>
  <c r="ED263" i="12"/>
  <c r="EC260" i="12"/>
  <c r="ED259" i="12"/>
  <c r="ED257" i="12"/>
  <c r="ED254" i="12"/>
  <c r="ED253" i="12"/>
  <c r="EC251" i="12"/>
  <c r="ED250" i="12"/>
  <c r="EC249" i="12"/>
  <c r="ED246" i="12"/>
  <c r="ED245" i="12"/>
  <c r="EC242" i="12"/>
  <c r="EC240" i="12"/>
  <c r="ED239" i="12"/>
  <c r="ED236" i="12"/>
  <c r="EC232" i="12"/>
  <c r="ED231" i="12"/>
  <c r="EC228" i="12"/>
  <c r="ED227" i="12"/>
  <c r="ED225" i="12"/>
  <c r="EC223" i="12"/>
  <c r="ED222" i="12"/>
  <c r="EC221" i="12"/>
  <c r="ED218" i="12"/>
  <c r="EC216" i="12"/>
  <c r="ED214" i="12"/>
  <c r="EC210" i="12"/>
  <c r="EC207" i="12"/>
  <c r="ED204" i="12"/>
  <c r="ED200" i="12"/>
  <c r="ED198" i="12"/>
  <c r="EC194" i="12"/>
  <c r="ED37" i="12"/>
  <c r="ED39" i="12"/>
  <c r="ED45" i="12"/>
  <c r="ED47" i="12"/>
  <c r="ED56" i="12"/>
  <c r="ED60" i="12"/>
  <c r="ED63" i="12"/>
  <c r="ED66" i="12"/>
  <c r="ED69" i="12"/>
  <c r="ED72" i="12"/>
  <c r="ED74" i="12"/>
  <c r="ED80" i="12"/>
  <c r="ED83" i="12"/>
  <c r="ED86" i="12"/>
  <c r="ED93" i="12"/>
  <c r="ED94" i="12"/>
  <c r="ED101" i="12"/>
  <c r="ED103" i="12"/>
  <c r="ED108" i="12"/>
  <c r="ED114" i="12"/>
  <c r="ED121" i="12"/>
  <c r="ED131" i="12"/>
  <c r="ED135" i="12"/>
  <c r="ED137" i="12"/>
  <c r="ED139" i="12"/>
  <c r="ED145" i="12"/>
  <c r="ED148" i="12"/>
  <c r="ED150" i="12"/>
  <c r="ED160" i="12"/>
  <c r="ED162" i="12"/>
  <c r="ED166" i="12"/>
  <c r="ED171" i="12"/>
  <c r="ED177" i="12"/>
  <c r="ED181" i="12"/>
  <c r="ED187" i="12"/>
  <c r="ED190" i="12"/>
  <c r="ED32" i="12"/>
  <c r="ED34" i="12"/>
  <c r="ED40" i="12"/>
  <c r="ED42" i="12"/>
  <c r="ED50" i="12"/>
  <c r="ED53" i="12"/>
  <c r="ED57" i="12"/>
  <c r="ED64" i="12"/>
  <c r="ED67" i="12"/>
  <c r="ED75" i="12"/>
  <c r="ED81" i="12"/>
  <c r="ED84" i="12"/>
  <c r="ED87" i="12"/>
  <c r="ED91" i="12"/>
  <c r="ED97" i="12"/>
  <c r="ED98" i="12"/>
  <c r="ED104" i="12"/>
  <c r="ED106" i="12"/>
  <c r="ED110" i="12"/>
  <c r="ED113" i="12"/>
  <c r="ED115" i="12"/>
  <c r="ED118" i="12"/>
  <c r="ED123" i="12"/>
  <c r="ED126" i="12"/>
  <c r="ED129" i="12"/>
  <c r="ED133" i="12"/>
  <c r="ED140" i="12"/>
  <c r="ED142" i="12"/>
  <c r="ED151" i="12"/>
  <c r="ED154" i="12"/>
  <c r="ED156" i="12"/>
  <c r="ED158" i="12"/>
  <c r="ED161" i="12"/>
  <c r="ED167" i="12"/>
  <c r="ED169" i="12"/>
  <c r="ED175" i="12"/>
  <c r="ED178" i="12"/>
  <c r="ED182" i="12"/>
  <c r="ED185" i="12"/>
  <c r="ED33" i="12"/>
  <c r="ED35" i="12"/>
  <c r="ED41" i="12"/>
  <c r="ED43" i="12"/>
  <c r="ED48" i="12"/>
  <c r="ED51" i="12"/>
  <c r="ED54" i="12"/>
  <c r="ED58" i="12"/>
  <c r="ED61" i="12"/>
  <c r="ED65" i="12"/>
  <c r="ED68" i="12"/>
  <c r="ED70" i="12"/>
  <c r="ED73" i="12"/>
  <c r="ED76" i="12"/>
  <c r="ED78" i="12"/>
  <c r="ED85" i="12"/>
  <c r="ED88" i="12"/>
  <c r="ED90" i="12"/>
  <c r="ED95" i="12"/>
  <c r="ED99" i="12"/>
  <c r="ED105" i="12"/>
  <c r="ED107" i="12"/>
  <c r="ED109" i="12"/>
  <c r="ED111" i="12"/>
  <c r="ED117" i="12"/>
  <c r="ED119" i="12"/>
  <c r="ED125" i="12"/>
  <c r="ED127" i="12"/>
  <c r="ED132" i="12"/>
  <c r="ED136" i="12"/>
  <c r="ED138" i="12"/>
  <c r="ED143" i="12"/>
  <c r="ED147" i="12"/>
  <c r="ED149" i="12"/>
  <c r="ED152" i="12"/>
  <c r="ED159" i="12"/>
  <c r="ED164" i="12"/>
  <c r="ED173" i="12"/>
  <c r="ED179" i="12"/>
  <c r="ED183" i="12"/>
  <c r="ED186" i="12"/>
  <c r="ED188" i="12"/>
  <c r="ED191" i="12"/>
  <c r="ED36" i="12"/>
  <c r="ED38" i="12"/>
  <c r="ED44" i="12"/>
  <c r="ED46" i="12"/>
  <c r="ED49" i="12"/>
  <c r="ED52" i="12"/>
  <c r="ED55" i="12"/>
  <c r="ED59" i="12"/>
  <c r="ED62" i="12"/>
  <c r="ED71" i="12"/>
  <c r="ED77" i="12"/>
  <c r="ED79" i="12"/>
  <c r="ED82" i="12"/>
  <c r="ED89" i="12"/>
  <c r="ED92" i="12"/>
  <c r="ED96" i="12"/>
  <c r="ED100" i="12"/>
  <c r="ED102" i="12"/>
  <c r="ED112" i="12"/>
  <c r="ED116" i="12"/>
  <c r="ED120" i="12"/>
  <c r="ED122" i="12"/>
  <c r="ED124" i="12"/>
  <c r="ED128" i="12"/>
  <c r="ED130" i="12"/>
  <c r="ED134" i="12"/>
  <c r="ED141" i="12"/>
  <c r="ED144" i="12"/>
  <c r="ED146" i="12"/>
  <c r="ED153" i="12"/>
  <c r="ED155" i="12"/>
  <c r="ED157" i="12"/>
  <c r="ED163" i="12"/>
  <c r="ED165" i="12"/>
  <c r="ED168" i="12"/>
  <c r="ED170" i="12"/>
  <c r="ED172" i="12"/>
  <c r="ED174" i="12"/>
  <c r="ED176" i="12"/>
  <c r="ED180" i="12"/>
  <c r="ED184" i="12"/>
  <c r="ED189" i="12"/>
  <c r="EC329" i="12"/>
  <c r="EC328" i="12"/>
  <c r="ED324" i="12"/>
  <c r="ED320" i="12"/>
  <c r="EC319" i="12"/>
  <c r="EC318" i="12"/>
  <c r="EC317" i="12"/>
  <c r="EC315" i="12"/>
  <c r="EC314" i="12"/>
  <c r="EC313" i="12"/>
  <c r="ED311" i="12"/>
  <c r="ED310" i="12"/>
  <c r="ED309" i="12"/>
  <c r="ED308" i="12"/>
  <c r="EC299" i="12"/>
  <c r="EC298" i="12"/>
  <c r="EC297" i="12"/>
  <c r="EC296" i="12"/>
  <c r="ED292" i="12"/>
  <c r="ED288" i="12"/>
  <c r="EC287" i="12"/>
  <c r="EC286" i="12"/>
  <c r="EC285" i="12"/>
  <c r="ED284" i="12"/>
  <c r="EC280" i="12"/>
  <c r="ED279" i="12"/>
  <c r="EC277" i="12"/>
  <c r="ED276" i="12"/>
  <c r="EC271" i="12"/>
  <c r="ED269" i="12"/>
  <c r="EC266" i="12"/>
  <c r="EC263" i="12"/>
  <c r="EC259" i="12"/>
  <c r="ED258" i="12"/>
  <c r="EC257" i="12"/>
  <c r="ED256" i="12"/>
  <c r="EC254" i="12"/>
  <c r="EC253" i="12"/>
  <c r="EC250" i="12"/>
  <c r="ED248" i="12"/>
  <c r="EC246" i="12"/>
  <c r="EC245" i="12"/>
  <c r="ED244" i="12"/>
  <c r="EC239" i="12"/>
  <c r="EC236" i="12"/>
  <c r="ED235" i="12"/>
  <c r="ED233" i="12"/>
  <c r="EC231" i="12"/>
  <c r="EC227" i="12"/>
  <c r="ED226" i="12"/>
  <c r="EC225" i="12"/>
  <c r="ED224" i="12"/>
  <c r="EC222" i="12"/>
  <c r="ED220" i="12"/>
  <c r="EC218" i="12"/>
  <c r="ED217" i="12"/>
  <c r="ED215" i="12"/>
  <c r="EC214" i="12"/>
  <c r="ED212" i="12"/>
  <c r="ED209" i="12"/>
  <c r="ED206" i="12"/>
  <c r="EC204" i="12"/>
  <c r="ED202" i="12"/>
  <c r="EC200" i="12"/>
  <c r="EC198" i="12"/>
  <c r="ED197" i="12"/>
  <c r="EC196" i="12"/>
  <c r="ED195" i="12"/>
  <c r="ED193" i="12"/>
  <c r="DM329" i="12"/>
  <c r="DI329" i="12"/>
  <c r="DN325" i="12"/>
  <c r="DJ325" i="12"/>
  <c r="DN321" i="12"/>
  <c r="DJ321" i="12"/>
  <c r="DO317" i="12"/>
  <c r="DK317" i="12"/>
  <c r="DG317" i="12"/>
  <c r="DO313" i="12"/>
  <c r="DK313" i="12"/>
  <c r="DG313" i="12"/>
  <c r="DP309" i="12"/>
  <c r="DL309" i="12"/>
  <c r="DH309" i="12"/>
  <c r="DP305" i="12"/>
  <c r="DL305" i="12"/>
  <c r="DH305" i="12"/>
  <c r="DM301" i="12"/>
  <c r="DI301" i="12"/>
  <c r="DM297" i="12"/>
  <c r="DI297" i="12"/>
  <c r="DN293" i="12"/>
  <c r="DJ293" i="12"/>
  <c r="DN289" i="12"/>
  <c r="DJ289" i="12"/>
  <c r="DP329" i="12"/>
  <c r="DL329" i="12"/>
  <c r="DH329" i="12"/>
  <c r="DM325" i="12"/>
  <c r="DI325" i="12"/>
  <c r="DM321" i="12"/>
  <c r="DI321" i="12"/>
  <c r="DN317" i="12"/>
  <c r="DJ317" i="12"/>
  <c r="DN313" i="12"/>
  <c r="DJ313" i="12"/>
  <c r="DO309" i="12"/>
  <c r="DK309" i="12"/>
  <c r="DG309" i="12"/>
  <c r="DO305" i="12"/>
  <c r="DK305" i="12"/>
  <c r="DG305" i="12"/>
  <c r="DP301" i="12"/>
  <c r="DL301" i="12"/>
  <c r="DH301" i="12"/>
  <c r="DP297" i="12"/>
  <c r="DL297" i="12"/>
  <c r="DH297" i="12"/>
  <c r="DM293" i="12"/>
  <c r="DI293" i="12"/>
  <c r="DM289" i="12"/>
  <c r="DI289" i="12"/>
  <c r="DO329" i="12"/>
  <c r="DK329" i="12"/>
  <c r="DG329" i="12"/>
  <c r="DP325" i="12"/>
  <c r="DL325" i="12"/>
  <c r="DH325" i="12"/>
  <c r="DP321" i="12"/>
  <c r="DL321" i="12"/>
  <c r="DH321" i="12"/>
  <c r="DM317" i="12"/>
  <c r="DM313" i="12"/>
  <c r="DN309" i="12"/>
  <c r="DN305" i="12"/>
  <c r="DO301" i="12"/>
  <c r="DK301" i="12"/>
  <c r="DG301" i="12"/>
  <c r="DO297" i="12"/>
  <c r="DK297" i="12"/>
  <c r="DG297" i="12"/>
  <c r="DP293" i="12"/>
  <c r="DL293" i="12"/>
  <c r="DH293" i="12"/>
  <c r="DP289" i="12"/>
  <c r="DL289" i="12"/>
  <c r="DH289" i="12"/>
  <c r="DM324" i="12"/>
  <c r="DM316" i="12"/>
  <c r="DM308" i="12"/>
  <c r="DM300" i="12"/>
  <c r="DM292" i="12"/>
  <c r="B323" i="12"/>
  <c r="A323" i="8" s="1"/>
  <c r="A297" i="9" s="1"/>
  <c r="B311" i="12"/>
  <c r="A311" i="8" s="1"/>
  <c r="A285" i="9" s="1"/>
  <c r="B299" i="12"/>
  <c r="A299" i="8" s="1"/>
  <c r="A273" i="9" s="1"/>
  <c r="B287" i="12"/>
  <c r="A287" i="8" s="1"/>
  <c r="A261" i="9" s="1"/>
  <c r="DL327" i="12"/>
  <c r="DL323" i="12"/>
  <c r="DL315" i="12"/>
  <c r="DL311" i="12"/>
  <c r="DL303" i="12"/>
  <c r="DL299" i="12"/>
  <c r="DL291" i="12"/>
  <c r="DL287" i="12"/>
  <c r="B326" i="12"/>
  <c r="A326" i="8" s="1"/>
  <c r="A300" i="9" s="1"/>
  <c r="B322" i="12"/>
  <c r="A322" i="8" s="1"/>
  <c r="A296" i="9" s="1"/>
  <c r="B318" i="12"/>
  <c r="A318" i="8" s="1"/>
  <c r="A292" i="9" s="1"/>
  <c r="B314" i="12"/>
  <c r="A314" i="8" s="1"/>
  <c r="A288" i="9" s="1"/>
  <c r="B310" i="12"/>
  <c r="A310" i="8" s="1"/>
  <c r="A284" i="9" s="1"/>
  <c r="B306" i="12"/>
  <c r="A306" i="8" s="1"/>
  <c r="A280" i="9" s="1"/>
  <c r="B302" i="12"/>
  <c r="A302" i="8" s="1"/>
  <c r="A276" i="9" s="1"/>
  <c r="B298" i="12"/>
  <c r="A298" i="8" s="1"/>
  <c r="A272" i="9" s="1"/>
  <c r="B294" i="12"/>
  <c r="A294" i="8" s="1"/>
  <c r="A268" i="9" s="1"/>
  <c r="B290" i="12"/>
  <c r="A290" i="8" s="1"/>
  <c r="A264" i="9" s="1"/>
  <c r="B286" i="12"/>
  <c r="A286" i="8" s="1"/>
  <c r="A260" i="9" s="1"/>
  <c r="B319" i="12"/>
  <c r="A319" i="8" s="1"/>
  <c r="A293" i="9" s="1"/>
  <c r="B307" i="12"/>
  <c r="A307" i="8" s="1"/>
  <c r="A281" i="9" s="1"/>
  <c r="B295" i="12"/>
  <c r="A295" i="8" s="1"/>
  <c r="A269" i="9" s="1"/>
  <c r="DP327" i="12"/>
  <c r="DP323" i="12"/>
  <c r="DJ323" i="12"/>
  <c r="DP319" i="12"/>
  <c r="DJ319" i="12"/>
  <c r="DP315" i="12"/>
  <c r="DP311" i="12"/>
  <c r="DJ311" i="12"/>
  <c r="DP307" i="12"/>
  <c r="DJ307" i="12"/>
  <c r="DP303" i="12"/>
  <c r="DP299" i="12"/>
  <c r="DJ299" i="12"/>
  <c r="DP295" i="12"/>
  <c r="DJ295" i="12"/>
  <c r="DP291" i="12"/>
  <c r="DP287" i="12"/>
  <c r="DJ287" i="12"/>
  <c r="B325" i="12"/>
  <c r="A325" i="8" s="1"/>
  <c r="A299" i="9" s="1"/>
  <c r="B321" i="12"/>
  <c r="A321" i="8" s="1"/>
  <c r="A295" i="9" s="1"/>
  <c r="B317" i="12"/>
  <c r="A317" i="8" s="1"/>
  <c r="A291" i="9" s="1"/>
  <c r="B313" i="12"/>
  <c r="A313" i="8" s="1"/>
  <c r="A287" i="9" s="1"/>
  <c r="B309" i="12"/>
  <c r="A309" i="8" s="1"/>
  <c r="A283" i="9" s="1"/>
  <c r="B305" i="12"/>
  <c r="A305" i="8" s="1"/>
  <c r="A279" i="9" s="1"/>
  <c r="B301" i="12"/>
  <c r="A301" i="8" s="1"/>
  <c r="A275" i="9" s="1"/>
  <c r="B297" i="12"/>
  <c r="A297" i="8" s="1"/>
  <c r="A271" i="9" s="1"/>
  <c r="B293" i="12"/>
  <c r="A293" i="8" s="1"/>
  <c r="A267" i="9" s="1"/>
  <c r="B289" i="12"/>
  <c r="A289" i="8" s="1"/>
  <c r="A263" i="9" s="1"/>
  <c r="B327" i="12"/>
  <c r="A327" i="8" s="1"/>
  <c r="A301" i="9" s="1"/>
  <c r="B315" i="12"/>
  <c r="A315" i="8" s="1"/>
  <c r="A289" i="9" s="1"/>
  <c r="B303" i="12"/>
  <c r="A303" i="8" s="1"/>
  <c r="A277" i="9" s="1"/>
  <c r="B291" i="12"/>
  <c r="A291" i="8" s="1"/>
  <c r="A265" i="9" s="1"/>
  <c r="DN327" i="12"/>
  <c r="DI327" i="12"/>
  <c r="DN323" i="12"/>
  <c r="DI323" i="12"/>
  <c r="DN319" i="12"/>
  <c r="DI319" i="12"/>
  <c r="DN315" i="12"/>
  <c r="DI315" i="12"/>
  <c r="DN311" i="12"/>
  <c r="DI311" i="12"/>
  <c r="DN307" i="12"/>
  <c r="DI307" i="12"/>
  <c r="DN303" i="12"/>
  <c r="DI303" i="12"/>
  <c r="DN299" i="12"/>
  <c r="DI299" i="12"/>
  <c r="DN295" i="12"/>
  <c r="DI295" i="12"/>
  <c r="DN291" i="12"/>
  <c r="DI291" i="12"/>
  <c r="DN287" i="12"/>
  <c r="DI287" i="12"/>
  <c r="B328" i="12"/>
  <c r="A328" i="8" s="1"/>
  <c r="A302" i="9" s="1"/>
  <c r="B324" i="12"/>
  <c r="A324" i="8" s="1"/>
  <c r="A298" i="9" s="1"/>
  <c r="B320" i="12"/>
  <c r="A320" i="8" s="1"/>
  <c r="A294" i="9" s="1"/>
  <c r="B316" i="12"/>
  <c r="A316" i="8" s="1"/>
  <c r="A290" i="9" s="1"/>
  <c r="B312" i="12"/>
  <c r="A312" i="8" s="1"/>
  <c r="A286" i="9" s="1"/>
  <c r="B308" i="12"/>
  <c r="A308" i="8" s="1"/>
  <c r="A282" i="9" s="1"/>
  <c r="B304" i="12"/>
  <c r="A304" i="8" s="1"/>
  <c r="A278" i="9" s="1"/>
  <c r="B300" i="12"/>
  <c r="A300" i="8" s="1"/>
  <c r="A274" i="9" s="1"/>
  <c r="B296" i="12"/>
  <c r="A296" i="8" s="1"/>
  <c r="A270" i="9" s="1"/>
  <c r="B292" i="12"/>
  <c r="A292" i="8" s="1"/>
  <c r="A266" i="9" s="1"/>
  <c r="B288" i="12"/>
  <c r="A288" i="8" s="1"/>
  <c r="A262" i="9" s="1"/>
  <c r="B329" i="12"/>
  <c r="A329" i="8" s="1"/>
  <c r="A303" i="9" s="1"/>
  <c r="DX323" i="12"/>
  <c r="EB323" i="12" s="1"/>
  <c r="EK323" i="12" s="1"/>
  <c r="DX327" i="12"/>
  <c r="EB327" i="12" s="1"/>
  <c r="EK327" i="12" s="1"/>
  <c r="DX326" i="12"/>
  <c r="EB326" i="12" s="1"/>
  <c r="EK326" i="12" s="1"/>
  <c r="DX319" i="12"/>
  <c r="EB319" i="12" s="1"/>
  <c r="EK319" i="12" s="1"/>
  <c r="DX329" i="12"/>
  <c r="EB329" i="12" s="1"/>
  <c r="EK329" i="12" s="1"/>
  <c r="DX318" i="12"/>
  <c r="EB318" i="12" s="1"/>
  <c r="EK318" i="12" s="1"/>
  <c r="DX309" i="12"/>
  <c r="EB309" i="12" s="1"/>
  <c r="EK309" i="12" s="1"/>
  <c r="DX324" i="12"/>
  <c r="EB324" i="12" s="1"/>
  <c r="EK324" i="12" s="1"/>
  <c r="DX321" i="12"/>
  <c r="EB321" i="12" s="1"/>
  <c r="EK321" i="12" s="1"/>
  <c r="DX299" i="12"/>
  <c r="EB299" i="12" s="1"/>
  <c r="EK299" i="12" s="1"/>
  <c r="DX300" i="12"/>
  <c r="EB300" i="12" s="1"/>
  <c r="EK300" i="12" s="1"/>
  <c r="DX286" i="12"/>
  <c r="EB286" i="12" s="1"/>
  <c r="EK286" i="12" s="1"/>
  <c r="DX295" i="12"/>
  <c r="EB295" i="12" s="1"/>
  <c r="EK295" i="12" s="1"/>
  <c r="DX302" i="12"/>
  <c r="EB302" i="12" s="1"/>
  <c r="EK302" i="12" s="1"/>
  <c r="DX305" i="12"/>
  <c r="EB305" i="12" s="1"/>
  <c r="EK305" i="12" s="1"/>
  <c r="DX291" i="12"/>
  <c r="EB291" i="12" s="1"/>
  <c r="EK291" i="12" s="1"/>
  <c r="DX292" i="12"/>
  <c r="EB292" i="12" s="1"/>
  <c r="EK292" i="12" s="1"/>
  <c r="DX298" i="12"/>
  <c r="EB298" i="12" s="1"/>
  <c r="EK298" i="12" s="1"/>
  <c r="DX301" i="12"/>
  <c r="EB301" i="12" s="1"/>
  <c r="EK301" i="12" s="1"/>
  <c r="DX287" i="12"/>
  <c r="EB287" i="12" s="1"/>
  <c r="EK287" i="12" s="1"/>
  <c r="DX294" i="12"/>
  <c r="EB294" i="12" s="1"/>
  <c r="EK294" i="12" s="1"/>
  <c r="DX297" i="12"/>
  <c r="EB297" i="12" s="1"/>
  <c r="EK297" i="12" s="1"/>
  <c r="DX303" i="12"/>
  <c r="EB303" i="12" s="1"/>
  <c r="EK303" i="12" s="1"/>
  <c r="DX310" i="12"/>
  <c r="EB310" i="12" s="1"/>
  <c r="EK310" i="12" s="1"/>
  <c r="DX325" i="12"/>
  <c r="EB325" i="12" s="1"/>
  <c r="EK325" i="12" s="1"/>
  <c r="DX316" i="12"/>
  <c r="EB316" i="12" s="1"/>
  <c r="EK316" i="12" s="1"/>
  <c r="DX315" i="12"/>
  <c r="EB315" i="12" s="1"/>
  <c r="EK315" i="12" s="1"/>
  <c r="DX307" i="12"/>
  <c r="EB307" i="12" s="1"/>
  <c r="EK307" i="12" s="1"/>
  <c r="DX311" i="12"/>
  <c r="EB311" i="12" s="1"/>
  <c r="EK311" i="12" s="1"/>
  <c r="DX308" i="12"/>
  <c r="EB308" i="12" s="1"/>
  <c r="EK308" i="12" s="1"/>
  <c r="DP328" i="12"/>
  <c r="DL328" i="12"/>
  <c r="DH328" i="12"/>
  <c r="DO327" i="12"/>
  <c r="DK327" i="12"/>
  <c r="DG327" i="12"/>
  <c r="DN326" i="12"/>
  <c r="DJ326" i="12"/>
  <c r="DP324" i="12"/>
  <c r="DL324" i="12"/>
  <c r="DH324" i="12"/>
  <c r="DO323" i="12"/>
  <c r="DK323" i="12"/>
  <c r="DG323" i="12"/>
  <c r="DN322" i="12"/>
  <c r="DJ322" i="12"/>
  <c r="DP320" i="12"/>
  <c r="DL320" i="12"/>
  <c r="DH320" i="12"/>
  <c r="DO319" i="12"/>
  <c r="DK319" i="12"/>
  <c r="DG319" i="12"/>
  <c r="DN318" i="12"/>
  <c r="DJ318" i="12"/>
  <c r="DP316" i="12"/>
  <c r="DL316" i="12"/>
  <c r="DH316" i="12"/>
  <c r="DO315" i="12"/>
  <c r="DK315" i="12"/>
  <c r="DG315" i="12"/>
  <c r="DN314" i="12"/>
  <c r="DJ314" i="12"/>
  <c r="DP312" i="12"/>
  <c r="DL312" i="12"/>
  <c r="DH312" i="12"/>
  <c r="DO311" i="12"/>
  <c r="DK311" i="12"/>
  <c r="DG311" i="12"/>
  <c r="DN310" i="12"/>
  <c r="DJ310" i="12"/>
  <c r="DP308" i="12"/>
  <c r="DL308" i="12"/>
  <c r="DH308" i="12"/>
  <c r="DO307" i="12"/>
  <c r="DK307" i="12"/>
  <c r="DG307" i="12"/>
  <c r="DN306" i="12"/>
  <c r="DJ306" i="12"/>
  <c r="DP304" i="12"/>
  <c r="DL304" i="12"/>
  <c r="DH304" i="12"/>
  <c r="DO303" i="12"/>
  <c r="DK303" i="12"/>
  <c r="DG303" i="12"/>
  <c r="DN302" i="12"/>
  <c r="DJ302" i="12"/>
  <c r="DP300" i="12"/>
  <c r="DL300" i="12"/>
  <c r="DH300" i="12"/>
  <c r="DO299" i="12"/>
  <c r="DK299" i="12"/>
  <c r="DG299" i="12"/>
  <c r="DN298" i="12"/>
  <c r="DJ298" i="12"/>
  <c r="DP296" i="12"/>
  <c r="DL296" i="12"/>
  <c r="DH296" i="12"/>
  <c r="DO295" i="12"/>
  <c r="DK295" i="12"/>
  <c r="DG295" i="12"/>
  <c r="DN294" i="12"/>
  <c r="DJ294" i="12"/>
  <c r="DP292" i="12"/>
  <c r="DL292" i="12"/>
  <c r="DH292" i="12"/>
  <c r="DO291" i="12"/>
  <c r="DK291" i="12"/>
  <c r="DG291" i="12"/>
  <c r="DN290" i="12"/>
  <c r="DJ290" i="12"/>
  <c r="DP288" i="12"/>
  <c r="DL288" i="12"/>
  <c r="DH288" i="12"/>
  <c r="DO287" i="12"/>
  <c r="DK287" i="12"/>
  <c r="DG287" i="12"/>
  <c r="DN286" i="12"/>
  <c r="DJ286" i="12"/>
  <c r="DO328" i="12"/>
  <c r="DG328" i="12"/>
  <c r="DK324" i="12"/>
  <c r="DK320" i="12"/>
  <c r="DO316" i="12"/>
  <c r="DK316" i="12"/>
  <c r="DG316" i="12"/>
  <c r="DO312" i="12"/>
  <c r="DK312" i="12"/>
  <c r="DG312" i="12"/>
  <c r="DO308" i="12"/>
  <c r="DK308" i="12"/>
  <c r="DG308" i="12"/>
  <c r="DO304" i="12"/>
  <c r="DK304" i="12"/>
  <c r="DG304" i="12"/>
  <c r="DO300" i="12"/>
  <c r="DK300" i="12"/>
  <c r="DG300" i="12"/>
  <c r="DO296" i="12"/>
  <c r="DK296" i="12"/>
  <c r="DG296" i="12"/>
  <c r="DO292" i="12"/>
  <c r="DK292" i="12"/>
  <c r="DG292" i="12"/>
  <c r="DO288" i="12"/>
  <c r="DK288" i="12"/>
  <c r="DG288" i="12"/>
  <c r="DK328" i="12"/>
  <c r="DO324" i="12"/>
  <c r="DG324" i="12"/>
  <c r="DO320" i="12"/>
  <c r="DG320" i="12"/>
  <c r="DN328" i="12"/>
  <c r="DJ328" i="12"/>
  <c r="DP326" i="12"/>
  <c r="DL326" i="12"/>
  <c r="DH326" i="12"/>
  <c r="DN324" i="12"/>
  <c r="DJ324" i="12"/>
  <c r="DP322" i="12"/>
  <c r="DL322" i="12"/>
  <c r="DH322" i="12"/>
  <c r="DN320" i="12"/>
  <c r="DJ320" i="12"/>
  <c r="DP318" i="12"/>
  <c r="DL318" i="12"/>
  <c r="DH318" i="12"/>
  <c r="DN316" i="12"/>
  <c r="DJ316" i="12"/>
  <c r="DP314" i="12"/>
  <c r="DL314" i="12"/>
  <c r="DH314" i="12"/>
  <c r="DN312" i="12"/>
  <c r="DJ312" i="12"/>
  <c r="DP310" i="12"/>
  <c r="DL310" i="12"/>
  <c r="DH310" i="12"/>
  <c r="DN308" i="12"/>
  <c r="DJ308" i="12"/>
  <c r="DP306" i="12"/>
  <c r="DL306" i="12"/>
  <c r="DH306" i="12"/>
  <c r="DN304" i="12"/>
  <c r="DJ304" i="12"/>
  <c r="DP302" i="12"/>
  <c r="DL302" i="12"/>
  <c r="DH302" i="12"/>
  <c r="DN300" i="12"/>
  <c r="DJ300" i="12"/>
  <c r="DP298" i="12"/>
  <c r="DL298" i="12"/>
  <c r="DH298" i="12"/>
  <c r="DN296" i="12"/>
  <c r="DJ296" i="12"/>
  <c r="DP294" i="12"/>
  <c r="DL294" i="12"/>
  <c r="DH294" i="12"/>
  <c r="DN292" i="12"/>
  <c r="DJ292" i="12"/>
  <c r="DP290" i="12"/>
  <c r="DL290" i="12"/>
  <c r="DH290" i="12"/>
  <c r="DN288" i="12"/>
  <c r="DJ288" i="12"/>
  <c r="DP286" i="12"/>
  <c r="DL286" i="12"/>
  <c r="DH286" i="12"/>
  <c r="EC31" i="12"/>
  <c r="ED5" i="12"/>
  <c r="ED31" i="12"/>
  <c r="F304" i="18" l="1"/>
  <c r="F304" i="8"/>
  <c r="G304" i="19" s="1"/>
  <c r="F304" i="14"/>
  <c r="F316" i="18"/>
  <c r="F316" i="14"/>
  <c r="F316" i="8"/>
  <c r="G316" i="19" s="1"/>
  <c r="F328" i="18"/>
  <c r="F328" i="14"/>
  <c r="F328" i="8"/>
  <c r="G328" i="19" s="1"/>
  <c r="F296" i="18"/>
  <c r="F296" i="8"/>
  <c r="G296" i="19" s="1"/>
  <c r="F296" i="14"/>
  <c r="F329" i="18"/>
  <c r="F329" i="8"/>
  <c r="G329" i="19" s="1"/>
  <c r="F329" i="14"/>
  <c r="F303" i="18"/>
  <c r="F303" i="14"/>
  <c r="F303" i="8"/>
  <c r="G303" i="19" s="1"/>
  <c r="F293" i="18"/>
  <c r="F293" i="8"/>
  <c r="G293" i="19" s="1"/>
  <c r="F293" i="14"/>
  <c r="F313" i="18"/>
  <c r="F313" i="14"/>
  <c r="F313" i="8"/>
  <c r="G313" i="19" s="1"/>
  <c r="F308" i="18"/>
  <c r="F308" i="8"/>
  <c r="G308" i="19" s="1"/>
  <c r="F308" i="14"/>
  <c r="F304" i="13"/>
  <c r="D304" i="13" s="1"/>
  <c r="F303" i="13"/>
  <c r="B303" i="13" s="1"/>
  <c r="F301" i="18"/>
  <c r="F301" i="8"/>
  <c r="F301" i="14"/>
  <c r="F319" i="18"/>
  <c r="F319" i="8"/>
  <c r="G319" i="19" s="1"/>
  <c r="F319" i="14"/>
  <c r="EE349" i="12"/>
  <c r="EJ349" i="12" s="1"/>
  <c r="EL349" i="12" s="1"/>
  <c r="EE350" i="12"/>
  <c r="EJ350" i="12" s="1"/>
  <c r="EL350" i="12" s="1"/>
  <c r="EE358" i="12"/>
  <c r="EJ358" i="12" s="1"/>
  <c r="EL358" i="12" s="1"/>
  <c r="EE359" i="12"/>
  <c r="EJ359" i="12" s="1"/>
  <c r="EL359" i="12" s="1"/>
  <c r="EE366" i="12"/>
  <c r="EJ366" i="12" s="1"/>
  <c r="EL366" i="12" s="1"/>
  <c r="EE367" i="12"/>
  <c r="EJ367" i="12" s="1"/>
  <c r="EL367" i="12" s="1"/>
  <c r="EE373" i="12"/>
  <c r="EE379" i="12"/>
  <c r="EJ379" i="12" s="1"/>
  <c r="EL379" i="12" s="1"/>
  <c r="EE380" i="12"/>
  <c r="EE387" i="12"/>
  <c r="EE388" i="12"/>
  <c r="EJ388" i="12" s="1"/>
  <c r="EL388" i="12" s="1"/>
  <c r="EE395" i="12"/>
  <c r="EJ395" i="12" s="1"/>
  <c r="EL395" i="12" s="1"/>
  <c r="EE331" i="12"/>
  <c r="EJ331" i="12" s="1"/>
  <c r="EL331" i="12" s="1"/>
  <c r="EE333" i="12"/>
  <c r="EJ333" i="12" s="1"/>
  <c r="EL333" i="12" s="1"/>
  <c r="EE335" i="12"/>
  <c r="EJ335" i="12" s="1"/>
  <c r="EL335" i="12" s="1"/>
  <c r="EE337" i="12"/>
  <c r="EJ337" i="12" s="1"/>
  <c r="EL337" i="12" s="1"/>
  <c r="EE339" i="12"/>
  <c r="EE341" i="12"/>
  <c r="EE343" i="12"/>
  <c r="EJ343" i="12" s="1"/>
  <c r="EL343" i="12" s="1"/>
  <c r="EE345" i="12"/>
  <c r="EJ345" i="12" s="1"/>
  <c r="EL345" i="12" s="1"/>
  <c r="EE347" i="12"/>
  <c r="EJ347" i="12" s="1"/>
  <c r="EL347" i="12" s="1"/>
  <c r="EE351" i="12"/>
  <c r="EJ351" i="12" s="1"/>
  <c r="EL351" i="12" s="1"/>
  <c r="EE356" i="12"/>
  <c r="EJ356" i="12" s="1"/>
  <c r="EL356" i="12" s="1"/>
  <c r="EE357" i="12"/>
  <c r="EJ357" i="12" s="1"/>
  <c r="EL357" i="12" s="1"/>
  <c r="EE364" i="12"/>
  <c r="EJ364" i="12" s="1"/>
  <c r="EL364" i="12" s="1"/>
  <c r="EE365" i="12"/>
  <c r="EJ365" i="12" s="1"/>
  <c r="EL365" i="12" s="1"/>
  <c r="EE370" i="12"/>
  <c r="EJ370" i="12" s="1"/>
  <c r="EL370" i="12" s="1"/>
  <c r="EE371" i="12"/>
  <c r="EJ371" i="12" s="1"/>
  <c r="EL371" i="12" s="1"/>
  <c r="EE381" i="12"/>
  <c r="EJ381" i="12" s="1"/>
  <c r="EL381" i="12" s="1"/>
  <c r="EE382" i="12"/>
  <c r="EE389" i="12"/>
  <c r="EJ389" i="12" s="1"/>
  <c r="EL389" i="12" s="1"/>
  <c r="EE390" i="12"/>
  <c r="EJ390" i="12" s="1"/>
  <c r="EL390" i="12" s="1"/>
  <c r="EE354" i="12"/>
  <c r="EJ354" i="12" s="1"/>
  <c r="EL354" i="12" s="1"/>
  <c r="EE355" i="12"/>
  <c r="EE362" i="12"/>
  <c r="EJ362" i="12" s="1"/>
  <c r="EL362" i="12" s="1"/>
  <c r="EE363" i="12"/>
  <c r="EJ363" i="12" s="1"/>
  <c r="EL363" i="12" s="1"/>
  <c r="EE374" i="12"/>
  <c r="EJ374" i="12" s="1"/>
  <c r="EL374" i="12" s="1"/>
  <c r="EE375" i="12"/>
  <c r="EJ375" i="12" s="1"/>
  <c r="EL375" i="12" s="1"/>
  <c r="EE376" i="12"/>
  <c r="EJ376" i="12" s="1"/>
  <c r="EL376" i="12" s="1"/>
  <c r="EE383" i="12"/>
  <c r="EJ383" i="12" s="1"/>
  <c r="EL383" i="12" s="1"/>
  <c r="EE384" i="12"/>
  <c r="EJ384" i="12" s="1"/>
  <c r="EL384" i="12" s="1"/>
  <c r="EE391" i="12"/>
  <c r="EE392" i="12"/>
  <c r="EE330" i="12"/>
  <c r="EJ330" i="12" s="1"/>
  <c r="EL330" i="12" s="1"/>
  <c r="EE332" i="12"/>
  <c r="EJ332" i="12" s="1"/>
  <c r="EL332" i="12" s="1"/>
  <c r="EE334" i="12"/>
  <c r="EJ334" i="12" s="1"/>
  <c r="EL334" i="12" s="1"/>
  <c r="EE336" i="12"/>
  <c r="EJ336" i="12" s="1"/>
  <c r="EL336" i="12" s="1"/>
  <c r="EE338" i="12"/>
  <c r="EJ338" i="12" s="1"/>
  <c r="EL338" i="12" s="1"/>
  <c r="EE340" i="12"/>
  <c r="EJ340" i="12" s="1"/>
  <c r="EL340" i="12" s="1"/>
  <c r="EE342" i="12"/>
  <c r="EE344" i="12"/>
  <c r="EJ344" i="12" s="1"/>
  <c r="EL344" i="12" s="1"/>
  <c r="EE346" i="12"/>
  <c r="EJ346" i="12" s="1"/>
  <c r="EL346" i="12" s="1"/>
  <c r="EE348" i="12"/>
  <c r="EJ348" i="12" s="1"/>
  <c r="EL348" i="12" s="1"/>
  <c r="EE352" i="12"/>
  <c r="EJ352" i="12" s="1"/>
  <c r="EL352" i="12" s="1"/>
  <c r="EE353" i="12"/>
  <c r="EJ353" i="12" s="1"/>
  <c r="EL353" i="12" s="1"/>
  <c r="EE360" i="12"/>
  <c r="EJ360" i="12" s="1"/>
  <c r="EL360" i="12" s="1"/>
  <c r="EE361" i="12"/>
  <c r="EJ361" i="12" s="1"/>
  <c r="EL361" i="12" s="1"/>
  <c r="EE368" i="12"/>
  <c r="EJ368" i="12" s="1"/>
  <c r="EL368" i="12" s="1"/>
  <c r="EE369" i="12"/>
  <c r="EJ369" i="12" s="1"/>
  <c r="EL369" i="12" s="1"/>
  <c r="EE372" i="12"/>
  <c r="EJ372" i="12" s="1"/>
  <c r="EL372" i="12" s="1"/>
  <c r="EE377" i="12"/>
  <c r="EJ377" i="12" s="1"/>
  <c r="EL377" i="12" s="1"/>
  <c r="EE378" i="12"/>
  <c r="EJ378" i="12" s="1"/>
  <c r="EL378" i="12" s="1"/>
  <c r="EE385" i="12"/>
  <c r="EE386" i="12"/>
  <c r="EJ386" i="12" s="1"/>
  <c r="EL386" i="12" s="1"/>
  <c r="EE393" i="12"/>
  <c r="EJ393" i="12" s="1"/>
  <c r="EL393" i="12" s="1"/>
  <c r="EE394" i="12"/>
  <c r="EJ394" i="12" s="1"/>
  <c r="EL394" i="12" s="1"/>
  <c r="EE396" i="12"/>
  <c r="EJ396" i="12" s="1"/>
  <c r="EL396" i="12" s="1"/>
  <c r="EE398" i="12"/>
  <c r="EJ398" i="12" s="1"/>
  <c r="EL398" i="12" s="1"/>
  <c r="EE403" i="12"/>
  <c r="EJ403" i="12" s="1"/>
  <c r="EL403" i="12" s="1"/>
  <c r="EE407" i="12"/>
  <c r="EJ407" i="12" s="1"/>
  <c r="EL407" i="12" s="1"/>
  <c r="EE408" i="12"/>
  <c r="EJ408" i="12" s="1"/>
  <c r="EE415" i="12"/>
  <c r="EJ415" i="12" s="1"/>
  <c r="EE416" i="12"/>
  <c r="EJ416" i="12" s="1"/>
  <c r="EE426" i="12"/>
  <c r="EJ426" i="12" s="1"/>
  <c r="EE431" i="12"/>
  <c r="EJ431" i="12" s="1"/>
  <c r="EE433" i="12"/>
  <c r="EE435" i="12"/>
  <c r="EJ435" i="12" s="1"/>
  <c r="EE437" i="12"/>
  <c r="EE440" i="12"/>
  <c r="EJ440" i="12" s="1"/>
  <c r="EE441" i="12"/>
  <c r="EJ441" i="12" s="1"/>
  <c r="EE444" i="12"/>
  <c r="EE445" i="12"/>
  <c r="EJ445" i="12" s="1"/>
  <c r="EE448" i="12"/>
  <c r="EE449" i="12"/>
  <c r="EJ449" i="12" s="1"/>
  <c r="EE452" i="12"/>
  <c r="EJ452" i="12" s="1"/>
  <c r="EE397" i="12"/>
  <c r="EJ397" i="12" s="1"/>
  <c r="EL397" i="12" s="1"/>
  <c r="EE399" i="12"/>
  <c r="EJ399" i="12" s="1"/>
  <c r="EL399" i="12" s="1"/>
  <c r="EE400" i="12"/>
  <c r="EJ400" i="12" s="1"/>
  <c r="EL400" i="12" s="1"/>
  <c r="EE401" i="12"/>
  <c r="EJ401" i="12" s="1"/>
  <c r="EL401" i="12" s="1"/>
  <c r="EE405" i="12"/>
  <c r="EJ405" i="12" s="1"/>
  <c r="EL405" i="12" s="1"/>
  <c r="EE406" i="12"/>
  <c r="EJ406" i="12" s="1"/>
  <c r="EL406" i="12" s="1"/>
  <c r="EE413" i="12"/>
  <c r="EJ413" i="12" s="1"/>
  <c r="EE414" i="12"/>
  <c r="EJ414" i="12" s="1"/>
  <c r="EE421" i="12"/>
  <c r="EE422" i="12"/>
  <c r="EE423" i="12"/>
  <c r="EJ423" i="12" s="1"/>
  <c r="EE404" i="12"/>
  <c r="EJ404" i="12" s="1"/>
  <c r="EL404" i="12" s="1"/>
  <c r="EE411" i="12"/>
  <c r="EE412" i="12"/>
  <c r="EE419" i="12"/>
  <c r="EJ419" i="12" s="1"/>
  <c r="EE420" i="12"/>
  <c r="EE424" i="12"/>
  <c r="EE428" i="12"/>
  <c r="EE429" i="12"/>
  <c r="EJ429" i="12" s="1"/>
  <c r="EE430" i="12"/>
  <c r="EJ430" i="12" s="1"/>
  <c r="EE432" i="12"/>
  <c r="EJ432" i="12" s="1"/>
  <c r="EE434" i="12"/>
  <c r="EJ434" i="12" s="1"/>
  <c r="EE436" i="12"/>
  <c r="EJ436" i="12" s="1"/>
  <c r="EE438" i="12"/>
  <c r="EJ438" i="12" s="1"/>
  <c r="EE439" i="12"/>
  <c r="EJ439" i="12" s="1"/>
  <c r="EE442" i="12"/>
  <c r="EJ442" i="12" s="1"/>
  <c r="EE443" i="12"/>
  <c r="EJ443" i="12" s="1"/>
  <c r="EE446" i="12"/>
  <c r="EJ446" i="12" s="1"/>
  <c r="EE447" i="12"/>
  <c r="EE450" i="12"/>
  <c r="EJ450" i="12" s="1"/>
  <c r="EE451" i="12"/>
  <c r="EJ451" i="12" s="1"/>
  <c r="EE402" i="12"/>
  <c r="EJ402" i="12" s="1"/>
  <c r="EL402" i="12" s="1"/>
  <c r="EE409" i="12"/>
  <c r="EJ409" i="12" s="1"/>
  <c r="EE410" i="12"/>
  <c r="EE417" i="12"/>
  <c r="EJ417" i="12" s="1"/>
  <c r="EE418" i="12"/>
  <c r="EJ418" i="12" s="1"/>
  <c r="EE425" i="12"/>
  <c r="EJ425" i="12" s="1"/>
  <c r="EE427" i="12"/>
  <c r="EE460" i="12"/>
  <c r="EE461" i="12"/>
  <c r="EJ461" i="12" s="1"/>
  <c r="EE465" i="12"/>
  <c r="EJ465" i="12" s="1"/>
  <c r="EE470" i="12"/>
  <c r="EJ470" i="12" s="1"/>
  <c r="EE473" i="12"/>
  <c r="EJ473" i="12" s="1"/>
  <c r="EE499" i="12"/>
  <c r="EJ499" i="12" s="1"/>
  <c r="EE453" i="12"/>
  <c r="EJ453" i="12" s="1"/>
  <c r="EE454" i="12"/>
  <c r="EJ454" i="12" s="1"/>
  <c r="EE456" i="12"/>
  <c r="EJ456" i="12" s="1"/>
  <c r="EE457" i="12"/>
  <c r="EJ457" i="12" s="1"/>
  <c r="EE464" i="12"/>
  <c r="EJ464" i="12" s="1"/>
  <c r="EE467" i="12"/>
  <c r="EJ467" i="12" s="1"/>
  <c r="EE472" i="12"/>
  <c r="EJ472" i="12" s="1"/>
  <c r="EE475" i="12"/>
  <c r="EJ475" i="12" s="1"/>
  <c r="EE480" i="12"/>
  <c r="EJ480" i="12" s="1"/>
  <c r="EE482" i="12"/>
  <c r="EJ482" i="12" s="1"/>
  <c r="EE484" i="12"/>
  <c r="EJ484" i="12" s="1"/>
  <c r="EE486" i="12"/>
  <c r="EJ486" i="12" s="1"/>
  <c r="EE488" i="12"/>
  <c r="EE490" i="12"/>
  <c r="EJ490" i="12" s="1"/>
  <c r="EE492" i="12"/>
  <c r="EJ492" i="12" s="1"/>
  <c r="EE494" i="12"/>
  <c r="EJ494" i="12" s="1"/>
  <c r="EE495" i="12"/>
  <c r="EJ495" i="12" s="1"/>
  <c r="EE459" i="12"/>
  <c r="EJ459" i="12" s="1"/>
  <c r="EE462" i="12"/>
  <c r="EJ462" i="12" s="1"/>
  <c r="EE463" i="12"/>
  <c r="EJ463" i="12" s="1"/>
  <c r="EE466" i="12"/>
  <c r="EJ466" i="12" s="1"/>
  <c r="EE469" i="12"/>
  <c r="EJ469" i="12" s="1"/>
  <c r="EE474" i="12"/>
  <c r="EJ474" i="12" s="1"/>
  <c r="EE477" i="12"/>
  <c r="EJ477" i="12" s="1"/>
  <c r="EE478" i="12"/>
  <c r="EE496" i="12"/>
  <c r="EJ496" i="12" s="1"/>
  <c r="EE497" i="12"/>
  <c r="EJ497" i="12" s="1"/>
  <c r="EE498" i="12"/>
  <c r="EJ498" i="12" s="1"/>
  <c r="EE500" i="12"/>
  <c r="EJ500" i="12" s="1"/>
  <c r="EE455" i="12"/>
  <c r="EJ455" i="12" s="1"/>
  <c r="EE458" i="12"/>
  <c r="EJ458" i="12" s="1"/>
  <c r="EE468" i="12"/>
  <c r="EJ468" i="12" s="1"/>
  <c r="EE471" i="12"/>
  <c r="EJ471" i="12" s="1"/>
  <c r="EE476" i="12"/>
  <c r="EJ476" i="12" s="1"/>
  <c r="EE479" i="12"/>
  <c r="EJ479" i="12" s="1"/>
  <c r="EE481" i="12"/>
  <c r="EJ481" i="12" s="1"/>
  <c r="EE483" i="12"/>
  <c r="EJ483" i="12" s="1"/>
  <c r="EE485" i="12"/>
  <c r="EE487" i="12"/>
  <c r="EJ487" i="12" s="1"/>
  <c r="EE489" i="12"/>
  <c r="EE491" i="12"/>
  <c r="EJ491" i="12" s="1"/>
  <c r="EE493" i="12"/>
  <c r="EJ493" i="12" s="1"/>
  <c r="EJ460" i="12"/>
  <c r="EJ489" i="12"/>
  <c r="EJ433" i="12"/>
  <c r="EJ339" i="12"/>
  <c r="EL339" i="12" s="1"/>
  <c r="EJ342" i="12"/>
  <c r="EL342" i="12" s="1"/>
  <c r="EJ488" i="12"/>
  <c r="EJ448" i="12"/>
  <c r="EJ427" i="12"/>
  <c r="EJ410" i="12"/>
  <c r="EJ428" i="12"/>
  <c r="EJ412" i="12"/>
  <c r="EJ373" i="12"/>
  <c r="EL373" i="12" s="1"/>
  <c r="EJ385" i="12"/>
  <c r="EL385" i="12" s="1"/>
  <c r="EJ392" i="12"/>
  <c r="EL392" i="12" s="1"/>
  <c r="EJ485" i="12"/>
  <c r="EJ422" i="12"/>
  <c r="EJ437" i="12"/>
  <c r="EJ447" i="12"/>
  <c r="EJ424" i="12"/>
  <c r="EJ387" i="12"/>
  <c r="EL387" i="12" s="1"/>
  <c r="EJ391" i="12"/>
  <c r="EL391" i="12" s="1"/>
  <c r="EJ355" i="12"/>
  <c r="EL355" i="12" s="1"/>
  <c r="EJ478" i="12"/>
  <c r="EJ421" i="12"/>
  <c r="EJ444" i="12"/>
  <c r="EJ420" i="12"/>
  <c r="EJ382" i="12"/>
  <c r="EL382" i="12" s="1"/>
  <c r="EJ341" i="12"/>
  <c r="EL341" i="12" s="1"/>
  <c r="EJ380" i="12"/>
  <c r="EL380" i="12" s="1"/>
  <c r="EJ411" i="12"/>
  <c r="D296" i="13"/>
  <c r="B296" i="13"/>
  <c r="C296" i="13"/>
  <c r="B293" i="13"/>
  <c r="C293" i="13"/>
  <c r="D293" i="13"/>
  <c r="B301" i="13"/>
  <c r="C301" i="13"/>
  <c r="D301" i="13"/>
  <c r="C319" i="13"/>
  <c r="D319" i="13"/>
  <c r="B319" i="13"/>
  <c r="D316" i="13"/>
  <c r="B316" i="13"/>
  <c r="C316" i="13"/>
  <c r="B313" i="13"/>
  <c r="C313" i="13"/>
  <c r="D313" i="13"/>
  <c r="D308" i="13"/>
  <c r="B308" i="13"/>
  <c r="C308" i="13"/>
  <c r="J296" i="13"/>
  <c r="L296" i="13" s="1"/>
  <c r="M296" i="13" s="1"/>
  <c r="J293" i="13"/>
  <c r="L293" i="13" s="1"/>
  <c r="M293" i="13" s="1"/>
  <c r="AE301" i="13"/>
  <c r="J301" i="13"/>
  <c r="J319" i="13"/>
  <c r="L319" i="13" s="1"/>
  <c r="M319" i="13" s="1"/>
  <c r="J316" i="13"/>
  <c r="J313" i="13"/>
  <c r="L313" i="13" s="1"/>
  <c r="N313" i="13" s="1"/>
  <c r="O313" i="13" s="1"/>
  <c r="Q313" i="13" s="1"/>
  <c r="R313" i="13" s="1"/>
  <c r="J308" i="13"/>
  <c r="L308" i="13" s="1"/>
  <c r="N308" i="13" s="1"/>
  <c r="O308" i="13" s="1"/>
  <c r="Q308" i="13" s="1"/>
  <c r="R308" i="13" s="1"/>
  <c r="N301" i="13"/>
  <c r="R301" i="13"/>
  <c r="Q301" i="13"/>
  <c r="T301" i="13"/>
  <c r="S301" i="13"/>
  <c r="O301" i="13"/>
  <c r="E316" i="13"/>
  <c r="G316" i="13"/>
  <c r="H316" i="13"/>
  <c r="L316" i="13"/>
  <c r="N316" i="13" s="1"/>
  <c r="O316" i="13" s="1"/>
  <c r="Q316" i="13" s="1"/>
  <c r="R316" i="13" s="1"/>
  <c r="U316" i="13"/>
  <c r="AG316" i="13" s="1"/>
  <c r="AB345" i="13" s="1"/>
  <c r="V316" i="13"/>
  <c r="Z316" i="13" s="1"/>
  <c r="E313" i="13"/>
  <c r="G313" i="13"/>
  <c r="H313" i="13"/>
  <c r="U313" i="13"/>
  <c r="AG313" i="13" s="1"/>
  <c r="AB342" i="13" s="1"/>
  <c r="V313" i="13"/>
  <c r="E308" i="13"/>
  <c r="G308" i="13"/>
  <c r="H308" i="13"/>
  <c r="U308" i="13"/>
  <c r="AG308" i="13" s="1"/>
  <c r="AB337" i="13" s="1"/>
  <c r="V308" i="13"/>
  <c r="E296" i="13"/>
  <c r="G296" i="13"/>
  <c r="H296" i="13"/>
  <c r="U296" i="13"/>
  <c r="AG296" i="13" s="1"/>
  <c r="V296" i="13"/>
  <c r="E293" i="13"/>
  <c r="G293" i="13"/>
  <c r="H293" i="13"/>
  <c r="U293" i="13"/>
  <c r="AG293" i="13" s="1"/>
  <c r="V293" i="13"/>
  <c r="E301" i="13"/>
  <c r="G301" i="13"/>
  <c r="H301" i="13"/>
  <c r="L301" i="13"/>
  <c r="M301" i="13"/>
  <c r="U301" i="13"/>
  <c r="AG301" i="13" s="1"/>
  <c r="AB330" i="13" s="1"/>
  <c r="V301" i="13"/>
  <c r="Z301" i="13" s="1"/>
  <c r="E319" i="13"/>
  <c r="G319" i="13"/>
  <c r="H319" i="13"/>
  <c r="V319" i="13"/>
  <c r="U319" i="13"/>
  <c r="AG319" i="13" s="1"/>
  <c r="AB348" i="13" s="1"/>
  <c r="A293" i="13"/>
  <c r="A301" i="13"/>
  <c r="A319" i="13"/>
  <c r="A316" i="13"/>
  <c r="F329" i="13"/>
  <c r="A308" i="13"/>
  <c r="A313" i="13"/>
  <c r="A296" i="13"/>
  <c r="F328" i="13"/>
  <c r="BP291" i="12"/>
  <c r="BL291" i="12" s="1"/>
  <c r="BP297" i="12"/>
  <c r="BL297" i="12" s="1"/>
  <c r="BP300" i="12"/>
  <c r="BL300" i="12" s="1"/>
  <c r="BP307" i="12"/>
  <c r="BL307" i="12" s="1"/>
  <c r="BP312" i="12"/>
  <c r="BL312" i="12" s="1"/>
  <c r="BP315" i="12"/>
  <c r="BL315" i="12" s="1"/>
  <c r="BP317" i="12"/>
  <c r="BL317" i="12" s="1"/>
  <c r="BP323" i="12"/>
  <c r="BL323" i="12" s="1"/>
  <c r="BP295" i="12"/>
  <c r="BL295" i="12" s="1"/>
  <c r="BP286" i="12"/>
  <c r="BL286" i="12" s="1"/>
  <c r="BP294" i="12"/>
  <c r="BL294" i="12" s="1"/>
  <c r="BP302" i="12"/>
  <c r="BL302" i="12" s="1"/>
  <c r="BP310" i="12"/>
  <c r="BL310" i="12" s="1"/>
  <c r="BP318" i="12"/>
  <c r="BL318" i="12" s="1"/>
  <c r="BP326" i="12"/>
  <c r="BL326" i="12" s="1"/>
  <c r="BP299" i="12"/>
  <c r="BL299" i="12" s="1"/>
  <c r="BP321" i="12"/>
  <c r="BL321" i="12" s="1"/>
  <c r="BP288" i="12"/>
  <c r="BL288" i="12" s="1"/>
  <c r="BP320" i="12"/>
  <c r="BL320" i="12" s="1"/>
  <c r="BP325" i="12"/>
  <c r="BL325" i="12" s="1"/>
  <c r="BP311" i="12"/>
  <c r="BL311" i="12" s="1"/>
  <c r="BP327" i="12"/>
  <c r="BL327" i="12" s="1"/>
  <c r="BP309" i="12"/>
  <c r="BL309" i="12" s="1"/>
  <c r="BP290" i="12"/>
  <c r="BL290" i="12" s="1"/>
  <c r="BP298" i="12"/>
  <c r="BL298" i="12" s="1"/>
  <c r="BP306" i="12"/>
  <c r="BL306" i="12" s="1"/>
  <c r="BP314" i="12"/>
  <c r="BL314" i="12" s="1"/>
  <c r="BP322" i="12"/>
  <c r="BL322" i="12" s="1"/>
  <c r="BP287" i="12"/>
  <c r="BL287" i="12" s="1"/>
  <c r="BP305" i="12"/>
  <c r="BL305" i="12" s="1"/>
  <c r="BP292" i="12"/>
  <c r="BL292" i="12" s="1"/>
  <c r="BP324" i="12"/>
  <c r="BL324" i="12" s="1"/>
  <c r="BP289" i="12"/>
  <c r="BL289" i="12" s="1"/>
  <c r="DX313" i="12"/>
  <c r="EB313" i="12" s="1"/>
  <c r="EK313" i="12" s="1"/>
  <c r="D317" i="6"/>
  <c r="E317" i="6" s="1"/>
  <c r="C317" i="6" s="1"/>
  <c r="B317" i="6"/>
  <c r="EE286" i="12"/>
  <c r="EJ286" i="12" s="1"/>
  <c r="EL286" i="12" s="1"/>
  <c r="EE289" i="12"/>
  <c r="EJ289" i="12" s="1"/>
  <c r="EL289" i="12" s="1"/>
  <c r="EE296" i="12"/>
  <c r="EJ296" i="12" s="1"/>
  <c r="EL296" i="12" s="1"/>
  <c r="EE299" i="12"/>
  <c r="EJ299" i="12" s="1"/>
  <c r="EL299" i="12" s="1"/>
  <c r="EE302" i="12"/>
  <c r="EJ302" i="12" s="1"/>
  <c r="EL302" i="12" s="1"/>
  <c r="EE305" i="12"/>
  <c r="EJ305" i="12" s="1"/>
  <c r="EL305" i="12" s="1"/>
  <c r="EE292" i="12"/>
  <c r="EJ292" i="12" s="1"/>
  <c r="EL292" i="12" s="1"/>
  <c r="EE295" i="12"/>
  <c r="EJ295" i="12" s="1"/>
  <c r="EL295" i="12" s="1"/>
  <c r="EE298" i="12"/>
  <c r="EJ298" i="12" s="1"/>
  <c r="EL298" i="12" s="1"/>
  <c r="EE301" i="12"/>
  <c r="EJ301" i="12" s="1"/>
  <c r="EL301" i="12" s="1"/>
  <c r="EE308" i="12"/>
  <c r="EJ308" i="12" s="1"/>
  <c r="EL308" i="12" s="1"/>
  <c r="EE288" i="12"/>
  <c r="EJ288" i="12" s="1"/>
  <c r="EL288" i="12" s="1"/>
  <c r="EE291" i="12"/>
  <c r="EJ291" i="12" s="1"/>
  <c r="EL291" i="12" s="1"/>
  <c r="EE294" i="12"/>
  <c r="EJ294" i="12" s="1"/>
  <c r="EL294" i="12" s="1"/>
  <c r="EE297" i="12"/>
  <c r="EJ297" i="12" s="1"/>
  <c r="EL297" i="12" s="1"/>
  <c r="EE287" i="12"/>
  <c r="EJ287" i="12" s="1"/>
  <c r="EL287" i="12" s="1"/>
  <c r="EE290" i="12"/>
  <c r="EJ290" i="12" s="1"/>
  <c r="EL290" i="12" s="1"/>
  <c r="EE293" i="12"/>
  <c r="EJ293" i="12" s="1"/>
  <c r="EL293" i="12" s="1"/>
  <c r="EE300" i="12"/>
  <c r="EJ300" i="12" s="1"/>
  <c r="EL300" i="12" s="1"/>
  <c r="EE303" i="12"/>
  <c r="EJ303" i="12" s="1"/>
  <c r="EL303" i="12" s="1"/>
  <c r="EE306" i="12"/>
  <c r="EJ306" i="12" s="1"/>
  <c r="EL306" i="12" s="1"/>
  <c r="EE309" i="12"/>
  <c r="EJ309" i="12" s="1"/>
  <c r="EL309" i="12" s="1"/>
  <c r="EE312" i="12"/>
  <c r="EJ312" i="12" s="1"/>
  <c r="EL312" i="12" s="1"/>
  <c r="EE314" i="12"/>
  <c r="EJ314" i="12" s="1"/>
  <c r="EL314" i="12" s="1"/>
  <c r="EE317" i="12"/>
  <c r="EJ317" i="12" s="1"/>
  <c r="EL317" i="12" s="1"/>
  <c r="EE324" i="12"/>
  <c r="EJ324" i="12" s="1"/>
  <c r="EL324" i="12" s="1"/>
  <c r="EE322" i="12"/>
  <c r="EJ322" i="12" s="1"/>
  <c r="EL322" i="12" s="1"/>
  <c r="EE311" i="12"/>
  <c r="EJ311" i="12" s="1"/>
  <c r="EL311" i="12" s="1"/>
  <c r="EE313" i="12"/>
  <c r="EJ313" i="12" s="1"/>
  <c r="EE320" i="12"/>
  <c r="EJ320" i="12" s="1"/>
  <c r="EL320" i="12" s="1"/>
  <c r="EE323" i="12"/>
  <c r="EJ323" i="12" s="1"/>
  <c r="EL323" i="12" s="1"/>
  <c r="EE326" i="12"/>
  <c r="EJ326" i="12" s="1"/>
  <c r="EL326" i="12" s="1"/>
  <c r="EE329" i="12"/>
  <c r="EJ329" i="12" s="1"/>
  <c r="EL329" i="12" s="1"/>
  <c r="EE307" i="12"/>
  <c r="EJ307" i="12" s="1"/>
  <c r="EL307" i="12" s="1"/>
  <c r="EE319" i="12"/>
  <c r="EJ319" i="12" s="1"/>
  <c r="EL319" i="12" s="1"/>
  <c r="EE325" i="12"/>
  <c r="EJ325" i="12" s="1"/>
  <c r="EL325" i="12" s="1"/>
  <c r="EE304" i="12"/>
  <c r="EJ304" i="12" s="1"/>
  <c r="EL304" i="12" s="1"/>
  <c r="EE315" i="12"/>
  <c r="EJ315" i="12" s="1"/>
  <c r="EL315" i="12" s="1"/>
  <c r="EE318" i="12"/>
  <c r="EJ318" i="12" s="1"/>
  <c r="EL318" i="12" s="1"/>
  <c r="EE321" i="12"/>
  <c r="EJ321" i="12" s="1"/>
  <c r="EL321" i="12" s="1"/>
  <c r="EE328" i="12"/>
  <c r="EJ328" i="12" s="1"/>
  <c r="EL328" i="12" s="1"/>
  <c r="EE327" i="12"/>
  <c r="EJ327" i="12" s="1"/>
  <c r="EL327" i="12" s="1"/>
  <c r="EE310" i="12"/>
  <c r="EJ310" i="12" s="1"/>
  <c r="EL310" i="12" s="1"/>
  <c r="EE316" i="12"/>
  <c r="EJ316" i="12" s="1"/>
  <c r="EL316" i="12" s="1"/>
  <c r="H304" i="13" l="1"/>
  <c r="E303" i="13"/>
  <c r="G301" i="19"/>
  <c r="V301" i="8"/>
  <c r="A304" i="13"/>
  <c r="EL313" i="12"/>
  <c r="A303" i="13"/>
  <c r="V303" i="13"/>
  <c r="Z303" i="13" s="1"/>
  <c r="X303" i="14" s="1"/>
  <c r="U304" i="13"/>
  <c r="AG304" i="13" s="1"/>
  <c r="AB333" i="13" s="1"/>
  <c r="Z333" i="14" s="1"/>
  <c r="G304" i="13"/>
  <c r="C304" i="13"/>
  <c r="V304" i="13"/>
  <c r="Z304" i="13" s="1"/>
  <c r="X304" i="14" s="1"/>
  <c r="E304" i="13"/>
  <c r="J304" i="13"/>
  <c r="L304" i="13" s="1"/>
  <c r="N304" i="13" s="1"/>
  <c r="O304" i="13" s="1"/>
  <c r="Q304" i="13" s="1"/>
  <c r="R304" i="13" s="1"/>
  <c r="B304" i="13"/>
  <c r="D303" i="13"/>
  <c r="J303" i="13"/>
  <c r="L303" i="13" s="1"/>
  <c r="N303" i="13" s="1"/>
  <c r="O303" i="13" s="1"/>
  <c r="Q303" i="13" s="1"/>
  <c r="R303" i="13" s="1"/>
  <c r="H303" i="13"/>
  <c r="C303" i="13"/>
  <c r="U303" i="13"/>
  <c r="AG303" i="13" s="1"/>
  <c r="AB332" i="13" s="1"/>
  <c r="AC332" i="13" s="1"/>
  <c r="G303" i="13"/>
  <c r="M313" i="13"/>
  <c r="M308" i="13"/>
  <c r="M316" i="13"/>
  <c r="F292" i="18"/>
  <c r="F292" i="8"/>
  <c r="G292" i="19" s="1"/>
  <c r="F292" i="14"/>
  <c r="F292" i="13"/>
  <c r="F314" i="18"/>
  <c r="F314" i="8"/>
  <c r="G314" i="19" s="1"/>
  <c r="F314" i="14"/>
  <c r="F314" i="13"/>
  <c r="F309" i="18"/>
  <c r="F309" i="8"/>
  <c r="G309" i="19" s="1"/>
  <c r="F309" i="14"/>
  <c r="F309" i="13"/>
  <c r="F320" i="18"/>
  <c r="F320" i="14"/>
  <c r="F320" i="8"/>
  <c r="G320" i="19" s="1"/>
  <c r="F320" i="13"/>
  <c r="F326" i="18"/>
  <c r="F326" i="14"/>
  <c r="F326" i="8"/>
  <c r="G326" i="19" s="1"/>
  <c r="F326" i="13"/>
  <c r="F294" i="18"/>
  <c r="F294" i="14"/>
  <c r="F294" i="8"/>
  <c r="G294" i="19" s="1"/>
  <c r="F294" i="13"/>
  <c r="F317" i="18"/>
  <c r="F317" i="8"/>
  <c r="G317" i="19" s="1"/>
  <c r="F317" i="14"/>
  <c r="F317" i="13"/>
  <c r="F300" i="18"/>
  <c r="F300" i="8"/>
  <c r="G300" i="19" s="1"/>
  <c r="F300" i="14"/>
  <c r="F300" i="13"/>
  <c r="N319" i="13"/>
  <c r="O319" i="13" s="1"/>
  <c r="Q319" i="13" s="1"/>
  <c r="R319" i="13" s="1"/>
  <c r="N293" i="13"/>
  <c r="O293" i="13" s="1"/>
  <c r="Q293" i="13" s="1"/>
  <c r="R293" i="13" s="1"/>
  <c r="N296" i="13"/>
  <c r="O296" i="13" s="1"/>
  <c r="Q296" i="13" s="1"/>
  <c r="R296" i="13" s="1"/>
  <c r="M301" i="14"/>
  <c r="D301" i="14"/>
  <c r="B301" i="14"/>
  <c r="C301" i="14"/>
  <c r="G301" i="14"/>
  <c r="T301" i="14"/>
  <c r="Y301" i="14"/>
  <c r="I301" i="14"/>
  <c r="W301" i="14"/>
  <c r="Q301" i="14"/>
  <c r="A301" i="14"/>
  <c r="E301" i="14"/>
  <c r="J301" i="14"/>
  <c r="H301" i="14"/>
  <c r="AA301" i="14"/>
  <c r="AB301" i="14" s="1"/>
  <c r="AD301" i="14"/>
  <c r="V301" i="14"/>
  <c r="L301" i="14"/>
  <c r="K301" i="14"/>
  <c r="Z301" i="14"/>
  <c r="R301" i="14"/>
  <c r="P301" i="14"/>
  <c r="O301" i="14"/>
  <c r="N301" i="14"/>
  <c r="X301" i="14"/>
  <c r="AF301" i="14"/>
  <c r="M301" i="19" s="1"/>
  <c r="AC301" i="14"/>
  <c r="S301" i="14"/>
  <c r="U301" i="14"/>
  <c r="B313" i="8"/>
  <c r="C313" i="19" s="1"/>
  <c r="X313" i="8"/>
  <c r="D313" i="8"/>
  <c r="E313" i="19" s="1"/>
  <c r="C313" i="8"/>
  <c r="M313" i="8"/>
  <c r="J313" i="8"/>
  <c r="H313" i="8"/>
  <c r="E313" i="8"/>
  <c r="F313" i="19" s="1"/>
  <c r="L313" i="8"/>
  <c r="I313" i="8"/>
  <c r="K313" i="8"/>
  <c r="U313" i="8"/>
  <c r="I313" i="19" s="1"/>
  <c r="G313" i="8"/>
  <c r="H313" i="19" s="1"/>
  <c r="I293" i="8"/>
  <c r="G293" i="8"/>
  <c r="H293" i="19" s="1"/>
  <c r="K293" i="8"/>
  <c r="J293" i="8"/>
  <c r="H293" i="8"/>
  <c r="L293" i="8"/>
  <c r="E293" i="8"/>
  <c r="F293" i="19" s="1"/>
  <c r="B293" i="8"/>
  <c r="C293" i="19" s="1"/>
  <c r="D293" i="8"/>
  <c r="E293" i="19" s="1"/>
  <c r="C293" i="8"/>
  <c r="U293" i="8"/>
  <c r="I293" i="19" s="1"/>
  <c r="M293" i="8"/>
  <c r="X293" i="8"/>
  <c r="G303" i="18"/>
  <c r="D303" i="18"/>
  <c r="J303" i="18"/>
  <c r="L303" i="18" s="1"/>
  <c r="B303" i="18"/>
  <c r="C303" i="18"/>
  <c r="A303" i="18"/>
  <c r="E303" i="18"/>
  <c r="H303" i="18"/>
  <c r="I303" i="18"/>
  <c r="K296" i="14"/>
  <c r="S296" i="14"/>
  <c r="A296" i="14"/>
  <c r="J296" i="14"/>
  <c r="U296" i="14"/>
  <c r="E296" i="14"/>
  <c r="H296" i="14"/>
  <c r="W296" i="14"/>
  <c r="D296" i="14"/>
  <c r="B296" i="14"/>
  <c r="I296" i="14"/>
  <c r="C296" i="14"/>
  <c r="T296" i="14"/>
  <c r="G296" i="14"/>
  <c r="V296" i="14"/>
  <c r="H328" i="14"/>
  <c r="G328" i="14"/>
  <c r="U328" i="14"/>
  <c r="E328" i="14"/>
  <c r="C328" i="14"/>
  <c r="D328" i="14"/>
  <c r="B328" i="14"/>
  <c r="T328" i="14"/>
  <c r="V328" i="14"/>
  <c r="K328" i="14"/>
  <c r="W328" i="14"/>
  <c r="A328" i="14"/>
  <c r="I328" i="14"/>
  <c r="S328" i="14"/>
  <c r="G316" i="18"/>
  <c r="J316" i="18"/>
  <c r="L316" i="18" s="1"/>
  <c r="H316" i="18"/>
  <c r="E316" i="18"/>
  <c r="A316" i="18"/>
  <c r="B316" i="18"/>
  <c r="C316" i="18"/>
  <c r="D316" i="18"/>
  <c r="I316" i="18"/>
  <c r="F289" i="18"/>
  <c r="F289" i="8"/>
  <c r="G289" i="19" s="1"/>
  <c r="F289" i="14"/>
  <c r="F289" i="13"/>
  <c r="F305" i="18"/>
  <c r="F305" i="14"/>
  <c r="F305" i="8"/>
  <c r="G305" i="19" s="1"/>
  <c r="F305" i="13"/>
  <c r="F306" i="18"/>
  <c r="F306" i="8"/>
  <c r="G306" i="19" s="1"/>
  <c r="F306" i="14"/>
  <c r="F306" i="13"/>
  <c r="F327" i="18"/>
  <c r="F327" i="14"/>
  <c r="F327" i="8"/>
  <c r="G327" i="19" s="1"/>
  <c r="F327" i="13"/>
  <c r="F288" i="18"/>
  <c r="F288" i="8"/>
  <c r="G288" i="19" s="1"/>
  <c r="F288" i="14"/>
  <c r="F288" i="13"/>
  <c r="F318" i="18"/>
  <c r="F318" i="14"/>
  <c r="F318" i="8"/>
  <c r="G318" i="19" s="1"/>
  <c r="F318" i="13"/>
  <c r="F286" i="18"/>
  <c r="F286" i="8"/>
  <c r="G286" i="19" s="1"/>
  <c r="F286" i="14"/>
  <c r="F286" i="13"/>
  <c r="F315" i="18"/>
  <c r="F315" i="8"/>
  <c r="G315" i="19" s="1"/>
  <c r="F315" i="14"/>
  <c r="F315" i="13"/>
  <c r="F297" i="18"/>
  <c r="F297" i="14"/>
  <c r="F297" i="8"/>
  <c r="G297" i="19" s="1"/>
  <c r="F297" i="13"/>
  <c r="D319" i="14"/>
  <c r="C319" i="14"/>
  <c r="B319" i="14"/>
  <c r="G319" i="14"/>
  <c r="E319" i="14"/>
  <c r="V319" i="14"/>
  <c r="T319" i="14"/>
  <c r="K319" i="14"/>
  <c r="W319" i="14"/>
  <c r="H319" i="14"/>
  <c r="S319" i="14"/>
  <c r="U319" i="14"/>
  <c r="J319" i="14"/>
  <c r="A319" i="14"/>
  <c r="I319" i="14"/>
  <c r="E301" i="8"/>
  <c r="F301" i="19" s="1"/>
  <c r="H301" i="8"/>
  <c r="C301" i="8"/>
  <c r="B301" i="8"/>
  <c r="C301" i="19" s="1"/>
  <c r="D301" i="8"/>
  <c r="E301" i="19" s="1"/>
  <c r="P301" i="8"/>
  <c r="J301" i="8"/>
  <c r="S301" i="8"/>
  <c r="M301" i="8"/>
  <c r="G301" i="8"/>
  <c r="L301" i="8"/>
  <c r="T301" i="8"/>
  <c r="Q301" i="8"/>
  <c r="K301" i="8"/>
  <c r="I301" i="8"/>
  <c r="N301" i="8"/>
  <c r="U301" i="8"/>
  <c r="I301" i="19" s="1"/>
  <c r="X301" i="8"/>
  <c r="R301" i="8"/>
  <c r="C308" i="14"/>
  <c r="D308" i="14"/>
  <c r="B308" i="14"/>
  <c r="G308" i="14"/>
  <c r="J308" i="14"/>
  <c r="U308" i="14"/>
  <c r="T308" i="14"/>
  <c r="E308" i="14"/>
  <c r="I308" i="14"/>
  <c r="V308" i="14"/>
  <c r="A308" i="14"/>
  <c r="S308" i="14"/>
  <c r="H308" i="14"/>
  <c r="K308" i="14"/>
  <c r="W308" i="14"/>
  <c r="A313" i="14"/>
  <c r="U313" i="14"/>
  <c r="E313" i="14"/>
  <c r="K313" i="14"/>
  <c r="G313" i="14"/>
  <c r="J313" i="14"/>
  <c r="H313" i="14"/>
  <c r="S313" i="14"/>
  <c r="I313" i="14"/>
  <c r="T313" i="14"/>
  <c r="V313" i="14"/>
  <c r="W313" i="14"/>
  <c r="B313" i="14"/>
  <c r="C313" i="14"/>
  <c r="D313" i="14"/>
  <c r="B293" i="18"/>
  <c r="E293" i="18"/>
  <c r="C293" i="18"/>
  <c r="D293" i="18"/>
  <c r="I293" i="18"/>
  <c r="A293" i="18"/>
  <c r="H293" i="18"/>
  <c r="G293" i="18"/>
  <c r="J293" i="18"/>
  <c r="L293" i="18" s="1"/>
  <c r="V329" i="14"/>
  <c r="T329" i="14"/>
  <c r="W329" i="14"/>
  <c r="K329" i="14"/>
  <c r="G329" i="14"/>
  <c r="S329" i="14"/>
  <c r="H329" i="14"/>
  <c r="B329" i="14"/>
  <c r="I329" i="14"/>
  <c r="U329" i="14"/>
  <c r="C329" i="14"/>
  <c r="D329" i="14"/>
  <c r="E329" i="14"/>
  <c r="A329" i="14"/>
  <c r="C296" i="8"/>
  <c r="B296" i="8"/>
  <c r="C296" i="19" s="1"/>
  <c r="X296" i="8"/>
  <c r="D296" i="8"/>
  <c r="E296" i="19" s="1"/>
  <c r="M296" i="8"/>
  <c r="K296" i="8"/>
  <c r="U296" i="8"/>
  <c r="I296" i="19" s="1"/>
  <c r="L296" i="8"/>
  <c r="E296" i="8"/>
  <c r="F296" i="19" s="1"/>
  <c r="J296" i="8"/>
  <c r="G296" i="8"/>
  <c r="H296" i="19" s="1"/>
  <c r="H296" i="8"/>
  <c r="I296" i="8"/>
  <c r="C328" i="18"/>
  <c r="B328" i="18"/>
  <c r="D328" i="18"/>
  <c r="G328" i="18"/>
  <c r="J328" i="18"/>
  <c r="L328" i="18" s="1"/>
  <c r="E328" i="18"/>
  <c r="I328" i="18"/>
  <c r="H328" i="18"/>
  <c r="A328" i="18"/>
  <c r="T304" i="14"/>
  <c r="G304" i="14"/>
  <c r="A304" i="14"/>
  <c r="W304" i="14"/>
  <c r="S304" i="14"/>
  <c r="E304" i="14"/>
  <c r="B304" i="14"/>
  <c r="D304" i="14"/>
  <c r="K304" i="14"/>
  <c r="V304" i="14"/>
  <c r="C304" i="14"/>
  <c r="H304" i="14"/>
  <c r="I304" i="14"/>
  <c r="U304" i="14"/>
  <c r="F287" i="18"/>
  <c r="F287" i="8"/>
  <c r="G287" i="19" s="1"/>
  <c r="F287" i="14"/>
  <c r="F287" i="13"/>
  <c r="F298" i="18"/>
  <c r="F298" i="14"/>
  <c r="F298" i="8"/>
  <c r="G298" i="19" s="1"/>
  <c r="F298" i="13"/>
  <c r="F311" i="18"/>
  <c r="F311" i="14"/>
  <c r="F311" i="8"/>
  <c r="G311" i="19" s="1"/>
  <c r="F311" i="13"/>
  <c r="F321" i="18"/>
  <c r="F321" i="14"/>
  <c r="F321" i="8"/>
  <c r="G321" i="19" s="1"/>
  <c r="F321" i="13"/>
  <c r="F310" i="18"/>
  <c r="F310" i="14"/>
  <c r="F310" i="8"/>
  <c r="G310" i="19" s="1"/>
  <c r="F310" i="13"/>
  <c r="F295" i="18"/>
  <c r="F295" i="14"/>
  <c r="F295" i="8"/>
  <c r="G295" i="19" s="1"/>
  <c r="F295" i="13"/>
  <c r="F312" i="18"/>
  <c r="F312" i="14"/>
  <c r="F312" i="8"/>
  <c r="G312" i="19" s="1"/>
  <c r="F312" i="13"/>
  <c r="F291" i="18"/>
  <c r="F291" i="8"/>
  <c r="G291" i="19" s="1"/>
  <c r="F291" i="14"/>
  <c r="F291" i="13"/>
  <c r="AC348" i="13"/>
  <c r="Z348" i="14"/>
  <c r="AC337" i="13"/>
  <c r="Z337" i="14"/>
  <c r="L319" i="8"/>
  <c r="E319" i="8"/>
  <c r="F319" i="19" s="1"/>
  <c r="K319" i="8"/>
  <c r="H319" i="8"/>
  <c r="J319" i="8"/>
  <c r="I319" i="8"/>
  <c r="G319" i="8"/>
  <c r="H319" i="19" s="1"/>
  <c r="B319" i="8"/>
  <c r="C319" i="19" s="1"/>
  <c r="U319" i="8"/>
  <c r="I319" i="19" s="1"/>
  <c r="X319" i="8"/>
  <c r="M319" i="8"/>
  <c r="D319" i="8"/>
  <c r="E319" i="19" s="1"/>
  <c r="C319" i="8"/>
  <c r="C301" i="18"/>
  <c r="D301" i="18"/>
  <c r="B301" i="18"/>
  <c r="E301" i="18"/>
  <c r="G301" i="18"/>
  <c r="A301" i="18"/>
  <c r="H301" i="18"/>
  <c r="J301" i="18"/>
  <c r="L301" i="18" s="1"/>
  <c r="I301" i="18"/>
  <c r="L308" i="8"/>
  <c r="X308" i="8"/>
  <c r="C308" i="8"/>
  <c r="B308" i="8"/>
  <c r="C308" i="19" s="1"/>
  <c r="D308" i="8"/>
  <c r="E308" i="19" s="1"/>
  <c r="I308" i="8"/>
  <c r="K308" i="8"/>
  <c r="M308" i="8"/>
  <c r="J308" i="8"/>
  <c r="H308" i="8"/>
  <c r="E308" i="8"/>
  <c r="F308" i="19" s="1"/>
  <c r="U308" i="8"/>
  <c r="I308" i="19" s="1"/>
  <c r="G308" i="8"/>
  <c r="H308" i="19" s="1"/>
  <c r="C313" i="18"/>
  <c r="D313" i="18"/>
  <c r="B313" i="18"/>
  <c r="H313" i="18"/>
  <c r="I313" i="18"/>
  <c r="E313" i="18"/>
  <c r="G313" i="18"/>
  <c r="J313" i="18"/>
  <c r="L313" i="18" s="1"/>
  <c r="A313" i="18"/>
  <c r="I303" i="8"/>
  <c r="K303" i="8"/>
  <c r="E303" i="8"/>
  <c r="F303" i="19" s="1"/>
  <c r="H303" i="8"/>
  <c r="G303" i="8"/>
  <c r="H303" i="19" s="1"/>
  <c r="L303" i="8"/>
  <c r="J303" i="8"/>
  <c r="X303" i="8"/>
  <c r="M303" i="8"/>
  <c r="D303" i="8"/>
  <c r="E303" i="19" s="1"/>
  <c r="U303" i="8"/>
  <c r="I303" i="19" s="1"/>
  <c r="B303" i="8"/>
  <c r="C303" i="19" s="1"/>
  <c r="C303" i="8"/>
  <c r="C303" i="9"/>
  <c r="B329" i="8"/>
  <c r="C329" i="19" s="1"/>
  <c r="D329" i="8"/>
  <c r="E329" i="19" s="1"/>
  <c r="C329" i="8"/>
  <c r="H329" i="8"/>
  <c r="E303" i="9" s="1"/>
  <c r="I329" i="8"/>
  <c r="K329" i="8"/>
  <c r="E329" i="8"/>
  <c r="U329" i="8"/>
  <c r="I329" i="19" s="1"/>
  <c r="G329" i="8"/>
  <c r="M329" i="8"/>
  <c r="X329" i="8"/>
  <c r="J329" i="8"/>
  <c r="L329" i="8"/>
  <c r="C296" i="18"/>
  <c r="B296" i="18"/>
  <c r="D296" i="18"/>
  <c r="I296" i="18"/>
  <c r="E296" i="18"/>
  <c r="H296" i="18"/>
  <c r="J296" i="18"/>
  <c r="L296" i="18" s="1"/>
  <c r="A296" i="18"/>
  <c r="G296" i="18"/>
  <c r="E316" i="8"/>
  <c r="F316" i="19" s="1"/>
  <c r="D316" i="8"/>
  <c r="E316" i="19" s="1"/>
  <c r="B316" i="8"/>
  <c r="C316" i="19" s="1"/>
  <c r="X316" i="8"/>
  <c r="C316" i="8"/>
  <c r="M316" i="8"/>
  <c r="U316" i="8"/>
  <c r="I316" i="19" s="1"/>
  <c r="K316" i="8"/>
  <c r="J316" i="8"/>
  <c r="I316" i="8"/>
  <c r="L316" i="8"/>
  <c r="G316" i="8"/>
  <c r="H316" i="19" s="1"/>
  <c r="H316" i="8"/>
  <c r="I304" i="8"/>
  <c r="H304" i="8"/>
  <c r="K304" i="8"/>
  <c r="G304" i="8"/>
  <c r="H304" i="19" s="1"/>
  <c r="L304" i="8"/>
  <c r="J304" i="8"/>
  <c r="E304" i="8"/>
  <c r="F304" i="19" s="1"/>
  <c r="B304" i="8"/>
  <c r="C304" i="19" s="1"/>
  <c r="D304" i="8"/>
  <c r="E304" i="19" s="1"/>
  <c r="C304" i="8"/>
  <c r="X304" i="8"/>
  <c r="M304" i="8"/>
  <c r="U304" i="8"/>
  <c r="I304" i="19" s="1"/>
  <c r="F324" i="18"/>
  <c r="F324" i="8"/>
  <c r="G324" i="19" s="1"/>
  <c r="F324" i="14"/>
  <c r="F324" i="13"/>
  <c r="F322" i="18"/>
  <c r="F322" i="14"/>
  <c r="F322" i="8"/>
  <c r="G322" i="19" s="1"/>
  <c r="F322" i="13"/>
  <c r="F290" i="18"/>
  <c r="F290" i="8"/>
  <c r="G290" i="19" s="1"/>
  <c r="F290" i="14"/>
  <c r="F290" i="13"/>
  <c r="F325" i="18"/>
  <c r="F325" i="8"/>
  <c r="G325" i="19" s="1"/>
  <c r="F325" i="14"/>
  <c r="F325" i="13"/>
  <c r="F299" i="18"/>
  <c r="F299" i="8"/>
  <c r="G299" i="19" s="1"/>
  <c r="F299" i="14"/>
  <c r="F299" i="13"/>
  <c r="F302" i="18"/>
  <c r="F302" i="14"/>
  <c r="F302" i="8"/>
  <c r="G302" i="19" s="1"/>
  <c r="F302" i="13"/>
  <c r="F323" i="18"/>
  <c r="F323" i="14"/>
  <c r="F323" i="8"/>
  <c r="G323" i="19" s="1"/>
  <c r="F323" i="13"/>
  <c r="F307" i="18"/>
  <c r="F307" i="8"/>
  <c r="G307" i="19" s="1"/>
  <c r="F307" i="14"/>
  <c r="F307" i="13"/>
  <c r="AC330" i="13"/>
  <c r="Z330" i="14"/>
  <c r="Z342" i="14"/>
  <c r="AC342" i="13"/>
  <c r="Z345" i="14"/>
  <c r="AC345" i="13"/>
  <c r="G319" i="18"/>
  <c r="D319" i="18"/>
  <c r="J319" i="18"/>
  <c r="L319" i="18" s="1"/>
  <c r="B319" i="18"/>
  <c r="C319" i="18"/>
  <c r="A319" i="18"/>
  <c r="E319" i="18"/>
  <c r="H319" i="18"/>
  <c r="I319" i="18"/>
  <c r="B308" i="18"/>
  <c r="D308" i="18"/>
  <c r="C308" i="18"/>
  <c r="E308" i="18"/>
  <c r="H308" i="18"/>
  <c r="G308" i="18"/>
  <c r="J308" i="18"/>
  <c r="N308" i="18" s="1"/>
  <c r="A308" i="18"/>
  <c r="I308" i="18"/>
  <c r="C293" i="14"/>
  <c r="D293" i="14"/>
  <c r="B293" i="14"/>
  <c r="G293" i="14"/>
  <c r="K293" i="14"/>
  <c r="U293" i="14"/>
  <c r="S293" i="14"/>
  <c r="H293" i="14"/>
  <c r="W293" i="14"/>
  <c r="T293" i="14"/>
  <c r="J293" i="14"/>
  <c r="V293" i="14"/>
  <c r="E293" i="14"/>
  <c r="A293" i="14"/>
  <c r="I293" i="14"/>
  <c r="B303" i="14"/>
  <c r="C303" i="14"/>
  <c r="D303" i="14"/>
  <c r="E303" i="14"/>
  <c r="V303" i="14"/>
  <c r="H303" i="14"/>
  <c r="A303" i="14"/>
  <c r="K303" i="14"/>
  <c r="G303" i="14"/>
  <c r="I303" i="14"/>
  <c r="T303" i="14"/>
  <c r="J303" i="14"/>
  <c r="U303" i="14"/>
  <c r="S303" i="14"/>
  <c r="W303" i="14"/>
  <c r="C329" i="18"/>
  <c r="D329" i="18"/>
  <c r="B329" i="18"/>
  <c r="I329" i="18"/>
  <c r="E329" i="18"/>
  <c r="G329" i="18"/>
  <c r="J329" i="18"/>
  <c r="L329" i="18" s="1"/>
  <c r="A329" i="18"/>
  <c r="H329" i="18"/>
  <c r="C302" i="9"/>
  <c r="H328" i="8"/>
  <c r="E302" i="9" s="1"/>
  <c r="L328" i="8"/>
  <c r="E328" i="8"/>
  <c r="G328" i="8"/>
  <c r="I328" i="8"/>
  <c r="J328" i="8"/>
  <c r="K328" i="8"/>
  <c r="D328" i="8"/>
  <c r="E328" i="19" s="1"/>
  <c r="X328" i="8"/>
  <c r="C328" i="8"/>
  <c r="B328" i="8"/>
  <c r="C328" i="19" s="1"/>
  <c r="M328" i="8"/>
  <c r="U328" i="8"/>
  <c r="I328" i="19" s="1"/>
  <c r="C316" i="14"/>
  <c r="D316" i="14"/>
  <c r="B316" i="14"/>
  <c r="T316" i="14"/>
  <c r="A316" i="14"/>
  <c r="J316" i="14"/>
  <c r="K316" i="14"/>
  <c r="V316" i="14"/>
  <c r="E316" i="14"/>
  <c r="G316" i="14"/>
  <c r="I316" i="14"/>
  <c r="W316" i="14"/>
  <c r="U316" i="14"/>
  <c r="S316" i="14"/>
  <c r="H316" i="14"/>
  <c r="X316" i="14"/>
  <c r="C304" i="18"/>
  <c r="D304" i="18"/>
  <c r="B304" i="18"/>
  <c r="J304" i="18"/>
  <c r="M304" i="18" s="1"/>
  <c r="H304" i="18"/>
  <c r="G304" i="18"/>
  <c r="I304" i="18"/>
  <c r="E304" i="18"/>
  <c r="A304" i="18"/>
  <c r="D328" i="13"/>
  <c r="B328" i="13"/>
  <c r="C328" i="13"/>
  <c r="B329" i="13"/>
  <c r="C329" i="13"/>
  <c r="D329" i="13"/>
  <c r="J329" i="13"/>
  <c r="J329" i="14" s="1"/>
  <c r="J328" i="13"/>
  <c r="J328" i="14" s="1"/>
  <c r="Z296" i="13"/>
  <c r="X296" i="14" s="1"/>
  <c r="Z308" i="13"/>
  <c r="X308" i="14" s="1"/>
  <c r="AA301" i="13"/>
  <c r="AB301" i="13" s="1"/>
  <c r="AC301" i="13" s="1"/>
  <c r="AD301" i="13" s="1"/>
  <c r="AA316" i="13"/>
  <c r="Z319" i="13"/>
  <c r="X319" i="14" s="1"/>
  <c r="Z293" i="13"/>
  <c r="X293" i="14" s="1"/>
  <c r="Z313" i="13"/>
  <c r="X313" i="14" s="1"/>
  <c r="E329" i="13"/>
  <c r="G329" i="13"/>
  <c r="H329" i="13"/>
  <c r="U329" i="13"/>
  <c r="AG329" i="13" s="1"/>
  <c r="V329" i="13"/>
  <c r="E328" i="13"/>
  <c r="G328" i="13"/>
  <c r="H328" i="13"/>
  <c r="U328" i="13"/>
  <c r="AG328" i="13" s="1"/>
  <c r="V328" i="13"/>
  <c r="B316" i="6"/>
  <c r="D316" i="6"/>
  <c r="E316" i="6" s="1"/>
  <c r="A328" i="13"/>
  <c r="A329" i="13"/>
  <c r="Z317" i="6" a="1"/>
  <c r="Z317" i="6" s="1"/>
  <c r="D328" i="19" l="1"/>
  <c r="AH328" i="8"/>
  <c r="AE328" i="8"/>
  <c r="AF328" i="8"/>
  <c r="AG328" i="8"/>
  <c r="D313" i="19"/>
  <c r="AH313" i="8"/>
  <c r="AE313" i="8"/>
  <c r="AF313" i="8"/>
  <c r="AG313" i="8"/>
  <c r="D304" i="19"/>
  <c r="AH304" i="8"/>
  <c r="AE304" i="8"/>
  <c r="AG304" i="8"/>
  <c r="AF304" i="8"/>
  <c r="D301" i="19"/>
  <c r="AE301" i="8"/>
  <c r="AH301" i="8"/>
  <c r="AF301" i="8"/>
  <c r="AG301" i="8"/>
  <c r="D293" i="19"/>
  <c r="AH293" i="8"/>
  <c r="AE293" i="8"/>
  <c r="AF293" i="8"/>
  <c r="AG293" i="8"/>
  <c r="D316" i="19"/>
  <c r="AH316" i="8"/>
  <c r="AE316" i="8"/>
  <c r="AF316" i="8"/>
  <c r="AG316" i="8"/>
  <c r="D329" i="19"/>
  <c r="AH329" i="8"/>
  <c r="AE329" i="8"/>
  <c r="AF329" i="8"/>
  <c r="AG329" i="8"/>
  <c r="D303" i="19"/>
  <c r="AH303" i="8"/>
  <c r="AE303" i="8"/>
  <c r="AF303" i="8"/>
  <c r="AG303" i="8"/>
  <c r="D308" i="19"/>
  <c r="AH308" i="8"/>
  <c r="AE308" i="8"/>
  <c r="AF308" i="8"/>
  <c r="AG308" i="8"/>
  <c r="D319" i="19"/>
  <c r="AH319" i="8"/>
  <c r="AE319" i="8"/>
  <c r="AF319" i="8"/>
  <c r="AG319" i="8"/>
  <c r="D296" i="19"/>
  <c r="AH296" i="8"/>
  <c r="AE296" i="8"/>
  <c r="AF296" i="8"/>
  <c r="AG296" i="8"/>
  <c r="J304" i="14"/>
  <c r="L304" i="14" s="1"/>
  <c r="M304" i="14" s="1"/>
  <c r="N304" i="14" s="1"/>
  <c r="O304" i="14" s="1"/>
  <c r="P304" i="14" s="1"/>
  <c r="H301" i="19"/>
  <c r="Z301" i="19" s="1"/>
  <c r="W301" i="8"/>
  <c r="B302" i="9"/>
  <c r="P302" i="9" s="1"/>
  <c r="F328" i="19"/>
  <c r="B303" i="9"/>
  <c r="P303" i="9" s="1"/>
  <c r="F329" i="19"/>
  <c r="B304" i="19"/>
  <c r="AI304" i="19"/>
  <c r="AI303" i="19"/>
  <c r="B303" i="19"/>
  <c r="T301" i="19"/>
  <c r="AI293" i="19"/>
  <c r="B293" i="19"/>
  <c r="D302" i="9"/>
  <c r="H328" i="19"/>
  <c r="B316" i="19"/>
  <c r="AI316" i="19"/>
  <c r="B296" i="19"/>
  <c r="AI296" i="19"/>
  <c r="D303" i="9"/>
  <c r="H329" i="19"/>
  <c r="B308" i="19"/>
  <c r="AI308" i="19"/>
  <c r="AI319" i="19"/>
  <c r="B319" i="19"/>
  <c r="AI313" i="19"/>
  <c r="B313" i="19"/>
  <c r="L328" i="14"/>
  <c r="M328" i="14" s="1"/>
  <c r="N328" i="14" s="1"/>
  <c r="O328" i="14" s="1"/>
  <c r="P328" i="14" s="1"/>
  <c r="AI301" i="8"/>
  <c r="J301" i="19"/>
  <c r="L329" i="14"/>
  <c r="M329" i="14" s="1"/>
  <c r="N329" i="14" s="1"/>
  <c r="O329" i="14" s="1"/>
  <c r="P329" i="14" s="1"/>
  <c r="AC333" i="13"/>
  <c r="AA333" i="14" s="1"/>
  <c r="Z332" i="14"/>
  <c r="L328" i="13"/>
  <c r="N328" i="13" s="1"/>
  <c r="O328" i="13" s="1"/>
  <c r="Q328" i="13" s="1"/>
  <c r="R328" i="13" s="1"/>
  <c r="L308" i="18"/>
  <c r="M308" i="18"/>
  <c r="M329" i="18"/>
  <c r="N319" i="18"/>
  <c r="M304" i="13"/>
  <c r="K329" i="18"/>
  <c r="N316" i="18"/>
  <c r="L329" i="13"/>
  <c r="N329" i="13" s="1"/>
  <c r="O329" i="13" s="1"/>
  <c r="Q329" i="13" s="1"/>
  <c r="R329" i="13" s="1"/>
  <c r="L293" i="14"/>
  <c r="M293" i="14" s="1"/>
  <c r="N293" i="14" s="1"/>
  <c r="O293" i="14" s="1"/>
  <c r="P293" i="14" s="1"/>
  <c r="M316" i="18"/>
  <c r="N329" i="18"/>
  <c r="N301" i="18"/>
  <c r="M313" i="18"/>
  <c r="K301" i="18"/>
  <c r="K328" i="18"/>
  <c r="M328" i="13"/>
  <c r="AA308" i="13"/>
  <c r="Y308" i="14" s="1"/>
  <c r="N328" i="18"/>
  <c r="M303" i="13"/>
  <c r="N304" i="18"/>
  <c r="L316" i="14"/>
  <c r="M316" i="14" s="1"/>
  <c r="N316" i="14" s="1"/>
  <c r="O316" i="14" s="1"/>
  <c r="P316" i="14" s="1"/>
  <c r="K308" i="18"/>
  <c r="N293" i="18"/>
  <c r="K316" i="18"/>
  <c r="M303" i="18"/>
  <c r="AA313" i="13"/>
  <c r="Y313" i="14" s="1"/>
  <c r="N296" i="18"/>
  <c r="AA319" i="13"/>
  <c r="Y319" i="14" s="1"/>
  <c r="M319" i="18"/>
  <c r="AA303" i="13"/>
  <c r="Y303" i="14" s="1"/>
  <c r="AA296" i="13"/>
  <c r="Y296" i="14" s="1"/>
  <c r="AA293" i="13"/>
  <c r="Y293" i="14" s="1"/>
  <c r="AA304" i="13"/>
  <c r="Y304" i="14" s="1"/>
  <c r="L313" i="14"/>
  <c r="M313" i="14" s="1"/>
  <c r="N313" i="14" s="1"/>
  <c r="O313" i="14" s="1"/>
  <c r="P313" i="14" s="1"/>
  <c r="L308" i="14"/>
  <c r="M308" i="14" s="1"/>
  <c r="N308" i="14" s="1"/>
  <c r="O308" i="14" s="1"/>
  <c r="P308" i="14" s="1"/>
  <c r="L319" i="14"/>
  <c r="M319" i="14" s="1"/>
  <c r="N319" i="14" s="1"/>
  <c r="O319" i="14" s="1"/>
  <c r="P319" i="14" s="1"/>
  <c r="L296" i="14"/>
  <c r="M296" i="14" s="1"/>
  <c r="N296" i="14" s="1"/>
  <c r="O296" i="14" s="1"/>
  <c r="P296" i="14" s="1"/>
  <c r="K304" i="18"/>
  <c r="L303" i="14"/>
  <c r="M303" i="14" s="1"/>
  <c r="N303" i="14" s="1"/>
  <c r="O303" i="14" s="1"/>
  <c r="P303" i="14" s="1"/>
  <c r="AA345" i="14"/>
  <c r="G307" i="8"/>
  <c r="H307" i="19" s="1"/>
  <c r="L307" i="8"/>
  <c r="B307" i="8"/>
  <c r="C307" i="19" s="1"/>
  <c r="J307" i="8"/>
  <c r="E307" i="8"/>
  <c r="F307" i="19" s="1"/>
  <c r="H307" i="8"/>
  <c r="I307" i="8"/>
  <c r="D307" i="8"/>
  <c r="E307" i="19" s="1"/>
  <c r="C307" i="8"/>
  <c r="K307" i="8"/>
  <c r="X307" i="8"/>
  <c r="U307" i="8"/>
  <c r="I307" i="19" s="1"/>
  <c r="M307" i="8"/>
  <c r="A323" i="14"/>
  <c r="W323" i="14"/>
  <c r="S323" i="14"/>
  <c r="I323" i="14"/>
  <c r="T323" i="14"/>
  <c r="V323" i="14"/>
  <c r="E323" i="14"/>
  <c r="U323" i="14"/>
  <c r="H323" i="14"/>
  <c r="K323" i="14"/>
  <c r="G323" i="14"/>
  <c r="D323" i="14"/>
  <c r="B323" i="14"/>
  <c r="C323" i="14"/>
  <c r="D302" i="14"/>
  <c r="B302" i="14"/>
  <c r="C302" i="14"/>
  <c r="T302" i="14"/>
  <c r="E302" i="14"/>
  <c r="I302" i="14"/>
  <c r="W302" i="14"/>
  <c r="U302" i="14"/>
  <c r="A302" i="14"/>
  <c r="H302" i="14"/>
  <c r="K302" i="14"/>
  <c r="G302" i="14"/>
  <c r="V302" i="14"/>
  <c r="S302" i="14"/>
  <c r="J299" i="8"/>
  <c r="L299" i="8"/>
  <c r="I299" i="8"/>
  <c r="E299" i="8"/>
  <c r="F299" i="19" s="1"/>
  <c r="H299" i="8"/>
  <c r="G299" i="8"/>
  <c r="H299" i="19" s="1"/>
  <c r="K299" i="8"/>
  <c r="C299" i="8"/>
  <c r="X299" i="8"/>
  <c r="D299" i="8"/>
  <c r="E299" i="19" s="1"/>
  <c r="B299" i="8"/>
  <c r="C299" i="19" s="1"/>
  <c r="M299" i="8"/>
  <c r="U299" i="8"/>
  <c r="I299" i="19" s="1"/>
  <c r="E325" i="8"/>
  <c r="F325" i="19" s="1"/>
  <c r="G325" i="8"/>
  <c r="H325" i="19" s="1"/>
  <c r="L325" i="8"/>
  <c r="I325" i="8"/>
  <c r="X325" i="8"/>
  <c r="C325" i="8"/>
  <c r="J325" i="8"/>
  <c r="B325" i="8"/>
  <c r="C325" i="19" s="1"/>
  <c r="K325" i="8"/>
  <c r="H325" i="8"/>
  <c r="D325" i="8"/>
  <c r="E325" i="19" s="1"/>
  <c r="U325" i="8"/>
  <c r="I325" i="19" s="1"/>
  <c r="M325" i="8"/>
  <c r="J290" i="8"/>
  <c r="L290" i="8"/>
  <c r="H290" i="8"/>
  <c r="I290" i="8"/>
  <c r="E290" i="8"/>
  <c r="F290" i="19" s="1"/>
  <c r="K290" i="8"/>
  <c r="G290" i="8"/>
  <c r="H290" i="19" s="1"/>
  <c r="D290" i="8"/>
  <c r="E290" i="19" s="1"/>
  <c r="C290" i="8"/>
  <c r="B290" i="8"/>
  <c r="C290" i="19" s="1"/>
  <c r="X290" i="8"/>
  <c r="M290" i="8"/>
  <c r="U290" i="8"/>
  <c r="I290" i="19" s="1"/>
  <c r="E322" i="14"/>
  <c r="A322" i="14"/>
  <c r="T322" i="14"/>
  <c r="S322" i="14"/>
  <c r="U322" i="14"/>
  <c r="K322" i="14"/>
  <c r="I322" i="14"/>
  <c r="B322" i="14"/>
  <c r="C322" i="14"/>
  <c r="G322" i="14"/>
  <c r="H322" i="14"/>
  <c r="V322" i="14"/>
  <c r="D322" i="14"/>
  <c r="W322" i="14"/>
  <c r="K324" i="8"/>
  <c r="I324" i="8"/>
  <c r="G324" i="8"/>
  <c r="H324" i="19" s="1"/>
  <c r="L324" i="8"/>
  <c r="E324" i="8"/>
  <c r="F324" i="19" s="1"/>
  <c r="H324" i="8"/>
  <c r="J324" i="8"/>
  <c r="B324" i="8"/>
  <c r="C324" i="19" s="1"/>
  <c r="D324" i="8"/>
  <c r="E324" i="19" s="1"/>
  <c r="X324" i="8"/>
  <c r="C324" i="8"/>
  <c r="M324" i="8"/>
  <c r="U324" i="8"/>
  <c r="I324" i="19" s="1"/>
  <c r="H291" i="8"/>
  <c r="C291" i="8"/>
  <c r="K291" i="8"/>
  <c r="X291" i="8"/>
  <c r="D291" i="8"/>
  <c r="E291" i="19" s="1"/>
  <c r="E291" i="8"/>
  <c r="F291" i="19" s="1"/>
  <c r="B291" i="8"/>
  <c r="C291" i="19" s="1"/>
  <c r="J291" i="8"/>
  <c r="M291" i="8"/>
  <c r="I291" i="8"/>
  <c r="L291" i="8"/>
  <c r="U291" i="8"/>
  <c r="I291" i="19" s="1"/>
  <c r="G291" i="8"/>
  <c r="H291" i="19" s="1"/>
  <c r="G312" i="14"/>
  <c r="D312" i="14"/>
  <c r="C312" i="14"/>
  <c r="B312" i="14"/>
  <c r="V312" i="14"/>
  <c r="S312" i="14"/>
  <c r="E312" i="14"/>
  <c r="T312" i="14"/>
  <c r="I312" i="14"/>
  <c r="A312" i="14"/>
  <c r="K312" i="14"/>
  <c r="H312" i="14"/>
  <c r="U312" i="14"/>
  <c r="W312" i="14"/>
  <c r="C295" i="14"/>
  <c r="D295" i="14"/>
  <c r="B295" i="14"/>
  <c r="E295" i="14"/>
  <c r="V295" i="14"/>
  <c r="T295" i="14"/>
  <c r="W295" i="14"/>
  <c r="A295" i="14"/>
  <c r="S295" i="14"/>
  <c r="U295" i="14"/>
  <c r="H295" i="14"/>
  <c r="G295" i="14"/>
  <c r="K295" i="14"/>
  <c r="I295" i="14"/>
  <c r="C310" i="14"/>
  <c r="B310" i="14"/>
  <c r="D310" i="14"/>
  <c r="K310" i="14"/>
  <c r="H310" i="14"/>
  <c r="I310" i="14"/>
  <c r="V310" i="14"/>
  <c r="E310" i="14"/>
  <c r="U310" i="14"/>
  <c r="T310" i="14"/>
  <c r="A310" i="14"/>
  <c r="G310" i="14"/>
  <c r="W310" i="14"/>
  <c r="S310" i="14"/>
  <c r="C321" i="14"/>
  <c r="B321" i="14"/>
  <c r="D321" i="14"/>
  <c r="H321" i="14"/>
  <c r="K321" i="14"/>
  <c r="U321" i="14"/>
  <c r="A321" i="14"/>
  <c r="S321" i="14"/>
  <c r="V321" i="14"/>
  <c r="E321" i="14"/>
  <c r="T321" i="14"/>
  <c r="I321" i="14"/>
  <c r="G321" i="14"/>
  <c r="W321" i="14"/>
  <c r="B311" i="14"/>
  <c r="C311" i="14"/>
  <c r="D311" i="14"/>
  <c r="T311" i="14"/>
  <c r="S311" i="14"/>
  <c r="I311" i="14"/>
  <c r="V311" i="14"/>
  <c r="G311" i="14"/>
  <c r="A311" i="14"/>
  <c r="U311" i="14"/>
  <c r="K311" i="14"/>
  <c r="E311" i="14"/>
  <c r="W311" i="14"/>
  <c r="H311" i="14"/>
  <c r="C298" i="14"/>
  <c r="B298" i="14"/>
  <c r="D298" i="14"/>
  <c r="K298" i="14"/>
  <c r="U298" i="14"/>
  <c r="A298" i="14"/>
  <c r="W298" i="14"/>
  <c r="V298" i="14"/>
  <c r="H298" i="14"/>
  <c r="E298" i="14"/>
  <c r="T298" i="14"/>
  <c r="I298" i="14"/>
  <c r="G298" i="14"/>
  <c r="S298" i="14"/>
  <c r="K287" i="8"/>
  <c r="E287" i="8"/>
  <c r="F287" i="19" s="1"/>
  <c r="J287" i="8"/>
  <c r="H287" i="8"/>
  <c r="G287" i="8"/>
  <c r="H287" i="19" s="1"/>
  <c r="I287" i="8"/>
  <c r="L287" i="8"/>
  <c r="B287" i="8"/>
  <c r="C287" i="19" s="1"/>
  <c r="X287" i="8"/>
  <c r="D287" i="8"/>
  <c r="E287" i="19" s="1"/>
  <c r="C287" i="8"/>
  <c r="U287" i="8"/>
  <c r="I287" i="19" s="1"/>
  <c r="M287" i="8"/>
  <c r="C297" i="13"/>
  <c r="E297" i="13"/>
  <c r="D297" i="13"/>
  <c r="G297" i="13"/>
  <c r="U297" i="13"/>
  <c r="AG297" i="13" s="1"/>
  <c r="A297" i="13"/>
  <c r="H297" i="13"/>
  <c r="V297" i="13"/>
  <c r="B297" i="13"/>
  <c r="J297" i="13"/>
  <c r="L297" i="13" s="1"/>
  <c r="J315" i="13"/>
  <c r="L315" i="13" s="1"/>
  <c r="H315" i="13"/>
  <c r="U315" i="13"/>
  <c r="AG315" i="13" s="1"/>
  <c r="AB344" i="13" s="1"/>
  <c r="C315" i="13"/>
  <c r="D315" i="13"/>
  <c r="E315" i="13"/>
  <c r="B315" i="13"/>
  <c r="G315" i="13"/>
  <c r="V315" i="13"/>
  <c r="A315" i="13"/>
  <c r="D286" i="13"/>
  <c r="E286" i="13"/>
  <c r="G286" i="13"/>
  <c r="V286" i="13"/>
  <c r="B286" i="13"/>
  <c r="J286" i="13"/>
  <c r="L286" i="13" s="1"/>
  <c r="U286" i="13"/>
  <c r="AG286" i="13" s="1"/>
  <c r="A286" i="13"/>
  <c r="C286" i="13"/>
  <c r="H286" i="13"/>
  <c r="D318" i="13"/>
  <c r="E318" i="13"/>
  <c r="G318" i="13"/>
  <c r="V318" i="13"/>
  <c r="B318" i="13"/>
  <c r="J318" i="13"/>
  <c r="L318" i="13" s="1"/>
  <c r="N318" i="13" s="1"/>
  <c r="O318" i="13" s="1"/>
  <c r="Q318" i="13" s="1"/>
  <c r="R318" i="13" s="1"/>
  <c r="U318" i="13"/>
  <c r="AG318" i="13" s="1"/>
  <c r="AB347" i="13" s="1"/>
  <c r="A318" i="13"/>
  <c r="C318" i="13"/>
  <c r="H318" i="13"/>
  <c r="B288" i="13"/>
  <c r="J288" i="13"/>
  <c r="L288" i="13" s="1"/>
  <c r="M288" i="13" s="1"/>
  <c r="E288" i="13"/>
  <c r="C288" i="13"/>
  <c r="G288" i="13"/>
  <c r="V288" i="13"/>
  <c r="A288" i="13"/>
  <c r="H288" i="13"/>
  <c r="U288" i="13"/>
  <c r="AG288" i="13" s="1"/>
  <c r="D288" i="13"/>
  <c r="B327" i="13"/>
  <c r="H327" i="13"/>
  <c r="V327" i="13"/>
  <c r="A327" i="13"/>
  <c r="C327" i="13"/>
  <c r="J327" i="13"/>
  <c r="L327" i="13" s="1"/>
  <c r="M327" i="13" s="1"/>
  <c r="E327" i="13"/>
  <c r="D327" i="13"/>
  <c r="G327" i="13"/>
  <c r="U327" i="13"/>
  <c r="AG327" i="13" s="1"/>
  <c r="AB356" i="13" s="1"/>
  <c r="B306" i="13"/>
  <c r="E306" i="13"/>
  <c r="C306" i="13"/>
  <c r="G306" i="13"/>
  <c r="U306" i="13"/>
  <c r="AG306" i="13" s="1"/>
  <c r="AB335" i="13" s="1"/>
  <c r="D306" i="13"/>
  <c r="J306" i="13"/>
  <c r="L306" i="13" s="1"/>
  <c r="H306" i="13"/>
  <c r="V306" i="13"/>
  <c r="A306" i="13"/>
  <c r="D305" i="13"/>
  <c r="H305" i="13"/>
  <c r="V305" i="13"/>
  <c r="B305" i="13"/>
  <c r="J305" i="13"/>
  <c r="L305" i="13" s="1"/>
  <c r="N305" i="13" s="1"/>
  <c r="O305" i="13" s="1"/>
  <c r="Q305" i="13" s="1"/>
  <c r="R305" i="13" s="1"/>
  <c r="E305" i="13"/>
  <c r="A305" i="13"/>
  <c r="C305" i="13"/>
  <c r="G305" i="13"/>
  <c r="U305" i="13"/>
  <c r="AG305" i="13" s="1"/>
  <c r="AB334" i="13" s="1"/>
  <c r="B289" i="13"/>
  <c r="A289" i="13"/>
  <c r="C289" i="13"/>
  <c r="J289" i="13"/>
  <c r="L289" i="13" s="1"/>
  <c r="E289" i="13"/>
  <c r="D289" i="13"/>
  <c r="G289" i="13"/>
  <c r="U289" i="13"/>
  <c r="AG289" i="13" s="1"/>
  <c r="H289" i="13"/>
  <c r="V289" i="13"/>
  <c r="K303" i="18"/>
  <c r="D300" i="13"/>
  <c r="E300" i="13"/>
  <c r="A300" i="13"/>
  <c r="B300" i="13"/>
  <c r="G300" i="13"/>
  <c r="U300" i="13"/>
  <c r="AG300" i="13" s="1"/>
  <c r="C300" i="13"/>
  <c r="J300" i="13"/>
  <c r="L300" i="13" s="1"/>
  <c r="H300" i="13"/>
  <c r="V300" i="13"/>
  <c r="D317" i="13"/>
  <c r="E317" i="13"/>
  <c r="A317" i="13"/>
  <c r="B317" i="13"/>
  <c r="J317" i="13"/>
  <c r="L317" i="13" s="1"/>
  <c r="G317" i="13"/>
  <c r="U317" i="13"/>
  <c r="AG317" i="13" s="1"/>
  <c r="AB346" i="13" s="1"/>
  <c r="C317" i="13"/>
  <c r="H317" i="13"/>
  <c r="V317" i="13"/>
  <c r="J294" i="13"/>
  <c r="L294" i="13" s="1"/>
  <c r="G294" i="13"/>
  <c r="V294" i="13"/>
  <c r="B294" i="13"/>
  <c r="H294" i="13"/>
  <c r="U294" i="13"/>
  <c r="AG294" i="13" s="1"/>
  <c r="C294" i="13"/>
  <c r="D294" i="13"/>
  <c r="E294" i="13"/>
  <c r="A294" i="13"/>
  <c r="J326" i="13"/>
  <c r="L326" i="13" s="1"/>
  <c r="M326" i="13" s="1"/>
  <c r="G326" i="13"/>
  <c r="V326" i="13"/>
  <c r="B326" i="13"/>
  <c r="H326" i="13"/>
  <c r="U326" i="13"/>
  <c r="AG326" i="13" s="1"/>
  <c r="C326" i="13"/>
  <c r="D326" i="13"/>
  <c r="E326" i="13"/>
  <c r="A326" i="13"/>
  <c r="J320" i="13"/>
  <c r="L320" i="13" s="1"/>
  <c r="H320" i="13"/>
  <c r="U320" i="13"/>
  <c r="AG320" i="13" s="1"/>
  <c r="D320" i="13"/>
  <c r="B320" i="13"/>
  <c r="E320" i="13"/>
  <c r="C320" i="13"/>
  <c r="G320" i="13"/>
  <c r="V320" i="13"/>
  <c r="A320" i="13"/>
  <c r="C309" i="13"/>
  <c r="H309" i="13"/>
  <c r="V309" i="13"/>
  <c r="A309" i="13"/>
  <c r="D309" i="13"/>
  <c r="E309" i="13"/>
  <c r="B309" i="13"/>
  <c r="J309" i="13"/>
  <c r="L309" i="13" s="1"/>
  <c r="N309" i="13" s="1"/>
  <c r="O309" i="13" s="1"/>
  <c r="Q309" i="13" s="1"/>
  <c r="R309" i="13" s="1"/>
  <c r="G309" i="13"/>
  <c r="U309" i="13"/>
  <c r="AG309" i="13" s="1"/>
  <c r="AB338" i="13" s="1"/>
  <c r="C314" i="13"/>
  <c r="J314" i="13"/>
  <c r="L314" i="13" s="1"/>
  <c r="N314" i="13" s="1"/>
  <c r="O314" i="13" s="1"/>
  <c r="Q314" i="13" s="1"/>
  <c r="R314" i="13" s="1"/>
  <c r="G314" i="13"/>
  <c r="V314" i="13"/>
  <c r="A314" i="13"/>
  <c r="D314" i="13"/>
  <c r="U314" i="13"/>
  <c r="AG314" i="13" s="1"/>
  <c r="AB343" i="13" s="1"/>
  <c r="B314" i="13"/>
  <c r="E314" i="13"/>
  <c r="H314" i="13"/>
  <c r="C292" i="13"/>
  <c r="J292" i="13"/>
  <c r="L292" i="13" s="1"/>
  <c r="M292" i="13" s="1"/>
  <c r="H292" i="13"/>
  <c r="E292" i="13"/>
  <c r="D292" i="13"/>
  <c r="G292" i="13"/>
  <c r="U292" i="13"/>
  <c r="AG292" i="13" s="1"/>
  <c r="B292" i="13"/>
  <c r="V292" i="13"/>
  <c r="A292" i="13"/>
  <c r="L304" i="18"/>
  <c r="AA330" i="14"/>
  <c r="D307" i="18"/>
  <c r="B307" i="18"/>
  <c r="C307" i="18"/>
  <c r="I307" i="18"/>
  <c r="E307" i="18"/>
  <c r="H307" i="18"/>
  <c r="G307" i="18"/>
  <c r="A307" i="18"/>
  <c r="J307" i="18"/>
  <c r="L307" i="18" s="1"/>
  <c r="C323" i="18"/>
  <c r="B323" i="18"/>
  <c r="D323" i="18"/>
  <c r="I323" i="18"/>
  <c r="G323" i="18"/>
  <c r="H323" i="18"/>
  <c r="E323" i="18"/>
  <c r="J323" i="18"/>
  <c r="L323" i="18" s="1"/>
  <c r="A323" i="18"/>
  <c r="E302" i="18"/>
  <c r="A302" i="18"/>
  <c r="J302" i="18"/>
  <c r="L302" i="18" s="1"/>
  <c r="G302" i="18"/>
  <c r="H302" i="18"/>
  <c r="D302" i="18"/>
  <c r="B302" i="18"/>
  <c r="C302" i="18"/>
  <c r="I302" i="18"/>
  <c r="B299" i="18"/>
  <c r="C299" i="18"/>
  <c r="D299" i="18"/>
  <c r="H299" i="18"/>
  <c r="I299" i="18"/>
  <c r="G299" i="18"/>
  <c r="E299" i="18"/>
  <c r="J299" i="18"/>
  <c r="L299" i="18" s="1"/>
  <c r="A299" i="18"/>
  <c r="D325" i="18"/>
  <c r="B325" i="18"/>
  <c r="C325" i="18"/>
  <c r="G325" i="18"/>
  <c r="E325" i="18"/>
  <c r="J325" i="18"/>
  <c r="M325" i="18" s="1"/>
  <c r="I325" i="18"/>
  <c r="H325" i="18"/>
  <c r="A325" i="18"/>
  <c r="K325" i="18"/>
  <c r="B290" i="18"/>
  <c r="D290" i="18"/>
  <c r="C290" i="18"/>
  <c r="E290" i="18"/>
  <c r="J290" i="18"/>
  <c r="L290" i="18" s="1"/>
  <c r="G290" i="18"/>
  <c r="I290" i="18"/>
  <c r="A290" i="18"/>
  <c r="H290" i="18"/>
  <c r="B322" i="18"/>
  <c r="C322" i="18"/>
  <c r="D322" i="18"/>
  <c r="H322" i="18"/>
  <c r="J322" i="18"/>
  <c r="L322" i="18" s="1"/>
  <c r="I322" i="18"/>
  <c r="G322" i="18"/>
  <c r="E322" i="18"/>
  <c r="A322" i="18"/>
  <c r="E324" i="18"/>
  <c r="C324" i="18"/>
  <c r="B324" i="18"/>
  <c r="D324" i="18"/>
  <c r="J324" i="18"/>
  <c r="L324" i="18" s="1"/>
  <c r="A324" i="18"/>
  <c r="G324" i="18"/>
  <c r="H324" i="18"/>
  <c r="I324" i="18"/>
  <c r="M296" i="18"/>
  <c r="Q303" i="9"/>
  <c r="K313" i="18"/>
  <c r="AA337" i="14"/>
  <c r="B291" i="18"/>
  <c r="D291" i="18"/>
  <c r="C291" i="18"/>
  <c r="G291" i="18"/>
  <c r="I291" i="18"/>
  <c r="J291" i="18"/>
  <c r="L291" i="18" s="1"/>
  <c r="A291" i="18"/>
  <c r="E291" i="18"/>
  <c r="H291" i="18"/>
  <c r="N291" i="18"/>
  <c r="C312" i="18"/>
  <c r="B312" i="18"/>
  <c r="D312" i="18"/>
  <c r="I312" i="18"/>
  <c r="J312" i="18"/>
  <c r="K312" i="18" s="1"/>
  <c r="H312" i="18"/>
  <c r="E312" i="18"/>
  <c r="A312" i="18"/>
  <c r="G312" i="18"/>
  <c r="G295" i="18"/>
  <c r="A295" i="18"/>
  <c r="C295" i="18"/>
  <c r="B295" i="18"/>
  <c r="J295" i="18"/>
  <c r="L295" i="18" s="1"/>
  <c r="D295" i="18"/>
  <c r="E295" i="18"/>
  <c r="H295" i="18"/>
  <c r="I295" i="18"/>
  <c r="C310" i="18"/>
  <c r="D310" i="18"/>
  <c r="B310" i="18"/>
  <c r="J310" i="18"/>
  <c r="L310" i="18" s="1"/>
  <c r="A310" i="18"/>
  <c r="G310" i="18"/>
  <c r="E310" i="18"/>
  <c r="H310" i="18"/>
  <c r="I310" i="18"/>
  <c r="D321" i="18"/>
  <c r="B321" i="18"/>
  <c r="C321" i="18"/>
  <c r="I321" i="18"/>
  <c r="A321" i="18"/>
  <c r="E321" i="18"/>
  <c r="H321" i="18"/>
  <c r="G321" i="18"/>
  <c r="J321" i="18"/>
  <c r="L321" i="18" s="1"/>
  <c r="H311" i="18"/>
  <c r="A311" i="18"/>
  <c r="C311" i="18"/>
  <c r="J311" i="18"/>
  <c r="M311" i="18" s="1"/>
  <c r="B311" i="18"/>
  <c r="G311" i="18"/>
  <c r="E311" i="18"/>
  <c r="D311" i="18"/>
  <c r="I311" i="18"/>
  <c r="D298" i="18"/>
  <c r="B298" i="18"/>
  <c r="C298" i="18"/>
  <c r="H298" i="18"/>
  <c r="J298" i="18"/>
  <c r="L298" i="18" s="1"/>
  <c r="I298" i="18"/>
  <c r="G298" i="18"/>
  <c r="A298" i="18"/>
  <c r="E298" i="18"/>
  <c r="J287" i="18"/>
  <c r="L287" i="18" s="1"/>
  <c r="E287" i="18"/>
  <c r="G287" i="18"/>
  <c r="D287" i="18"/>
  <c r="B287" i="18"/>
  <c r="C287" i="18"/>
  <c r="H287" i="18"/>
  <c r="A287" i="18"/>
  <c r="I287" i="18"/>
  <c r="M328" i="18"/>
  <c r="K293" i="18"/>
  <c r="X297" i="8"/>
  <c r="D297" i="8"/>
  <c r="E297" i="19" s="1"/>
  <c r="C297" i="8"/>
  <c r="B297" i="8"/>
  <c r="C297" i="19" s="1"/>
  <c r="I297" i="8"/>
  <c r="U297" i="8"/>
  <c r="I297" i="19" s="1"/>
  <c r="M297" i="8"/>
  <c r="J297" i="8"/>
  <c r="E297" i="8"/>
  <c r="F297" i="19" s="1"/>
  <c r="L297" i="8"/>
  <c r="K297" i="8"/>
  <c r="H297" i="8"/>
  <c r="G297" i="8"/>
  <c r="H297" i="19" s="1"/>
  <c r="E315" i="14"/>
  <c r="A315" i="14"/>
  <c r="U315" i="14"/>
  <c r="D315" i="14"/>
  <c r="K315" i="14"/>
  <c r="V315" i="14"/>
  <c r="I315" i="14"/>
  <c r="S315" i="14"/>
  <c r="T315" i="14"/>
  <c r="H315" i="14"/>
  <c r="G315" i="14"/>
  <c r="W315" i="14"/>
  <c r="C315" i="14"/>
  <c r="B315" i="14"/>
  <c r="C286" i="14"/>
  <c r="D286" i="14"/>
  <c r="B286" i="14"/>
  <c r="K286" i="14"/>
  <c r="T286" i="14"/>
  <c r="I286" i="14"/>
  <c r="V286" i="14"/>
  <c r="A286" i="14"/>
  <c r="W286" i="14"/>
  <c r="U286" i="14"/>
  <c r="H286" i="14"/>
  <c r="G286" i="14"/>
  <c r="S286" i="14"/>
  <c r="E286" i="14"/>
  <c r="H318" i="8"/>
  <c r="G318" i="8"/>
  <c r="H318" i="19" s="1"/>
  <c r="J318" i="8"/>
  <c r="K318" i="8"/>
  <c r="L318" i="8"/>
  <c r="I318" i="8"/>
  <c r="E318" i="8"/>
  <c r="F318" i="19" s="1"/>
  <c r="B318" i="8"/>
  <c r="C318" i="19" s="1"/>
  <c r="M318" i="8"/>
  <c r="D318" i="8"/>
  <c r="E318" i="19" s="1"/>
  <c r="U318" i="8"/>
  <c r="I318" i="19" s="1"/>
  <c r="X318" i="8"/>
  <c r="C318" i="8"/>
  <c r="D288" i="14"/>
  <c r="B288" i="14"/>
  <c r="C288" i="14"/>
  <c r="I288" i="14"/>
  <c r="K288" i="14"/>
  <c r="W288" i="14"/>
  <c r="E288" i="14"/>
  <c r="H288" i="14"/>
  <c r="V288" i="14"/>
  <c r="A288" i="14"/>
  <c r="S288" i="14"/>
  <c r="G288" i="14"/>
  <c r="U288" i="14"/>
  <c r="T288" i="14"/>
  <c r="I327" i="8"/>
  <c r="H327" i="8"/>
  <c r="K327" i="8"/>
  <c r="L327" i="8"/>
  <c r="J327" i="8"/>
  <c r="E327" i="8"/>
  <c r="F327" i="19" s="1"/>
  <c r="G327" i="8"/>
  <c r="H327" i="19" s="1"/>
  <c r="B327" i="8"/>
  <c r="C327" i="19" s="1"/>
  <c r="X327" i="8"/>
  <c r="C327" i="8"/>
  <c r="D327" i="8"/>
  <c r="E327" i="19" s="1"/>
  <c r="M327" i="8"/>
  <c r="U327" i="8"/>
  <c r="I327" i="19" s="1"/>
  <c r="I306" i="14"/>
  <c r="K306" i="14"/>
  <c r="H306" i="14"/>
  <c r="E306" i="14"/>
  <c r="W306" i="14"/>
  <c r="S306" i="14"/>
  <c r="G306" i="14"/>
  <c r="V306" i="14"/>
  <c r="T306" i="14"/>
  <c r="D306" i="14"/>
  <c r="U306" i="14"/>
  <c r="A306" i="14"/>
  <c r="B306" i="14"/>
  <c r="C306" i="14"/>
  <c r="J305" i="8"/>
  <c r="K305" i="8"/>
  <c r="G305" i="8"/>
  <c r="H305" i="19" s="1"/>
  <c r="L305" i="8"/>
  <c r="I305" i="8"/>
  <c r="H305" i="8"/>
  <c r="E305" i="8"/>
  <c r="F305" i="19" s="1"/>
  <c r="C305" i="8"/>
  <c r="M305" i="8"/>
  <c r="B305" i="8"/>
  <c r="C305" i="19" s="1"/>
  <c r="U305" i="8"/>
  <c r="I305" i="19" s="1"/>
  <c r="X305" i="8"/>
  <c r="D305" i="8"/>
  <c r="E305" i="19" s="1"/>
  <c r="B289" i="14"/>
  <c r="C289" i="14"/>
  <c r="D289" i="14"/>
  <c r="K289" i="14"/>
  <c r="T289" i="14"/>
  <c r="V289" i="14"/>
  <c r="E289" i="14"/>
  <c r="H289" i="14"/>
  <c r="S289" i="14"/>
  <c r="I289" i="14"/>
  <c r="U289" i="14"/>
  <c r="G289" i="14"/>
  <c r="W289" i="14"/>
  <c r="A289" i="14"/>
  <c r="C300" i="14"/>
  <c r="D300" i="14"/>
  <c r="B300" i="14"/>
  <c r="T300" i="14"/>
  <c r="E300" i="14"/>
  <c r="A300" i="14"/>
  <c r="I300" i="14"/>
  <c r="U300" i="14"/>
  <c r="S300" i="14"/>
  <c r="W300" i="14"/>
  <c r="K300" i="14"/>
  <c r="H300" i="14"/>
  <c r="V300" i="14"/>
  <c r="G300" i="14"/>
  <c r="B317" i="14"/>
  <c r="C317" i="14"/>
  <c r="D317" i="14"/>
  <c r="V317" i="14"/>
  <c r="H317" i="14"/>
  <c r="S317" i="14"/>
  <c r="I317" i="14"/>
  <c r="T317" i="14"/>
  <c r="K317" i="14"/>
  <c r="E317" i="14"/>
  <c r="U317" i="14"/>
  <c r="W317" i="14"/>
  <c r="G317" i="14"/>
  <c r="A317" i="14"/>
  <c r="B294" i="8"/>
  <c r="C294" i="19" s="1"/>
  <c r="D294" i="8"/>
  <c r="E294" i="19" s="1"/>
  <c r="C294" i="8"/>
  <c r="X294" i="8"/>
  <c r="G294" i="8"/>
  <c r="H294" i="19" s="1"/>
  <c r="H294" i="8"/>
  <c r="K294" i="8"/>
  <c r="L294" i="8"/>
  <c r="U294" i="8"/>
  <c r="I294" i="19" s="1"/>
  <c r="M294" i="8"/>
  <c r="J294" i="8"/>
  <c r="E294" i="8"/>
  <c r="F294" i="19" s="1"/>
  <c r="I294" i="8"/>
  <c r="J326" i="8"/>
  <c r="I326" i="8"/>
  <c r="H326" i="8"/>
  <c r="E326" i="8"/>
  <c r="F326" i="19" s="1"/>
  <c r="K326" i="8"/>
  <c r="G326" i="8"/>
  <c r="H326" i="19" s="1"/>
  <c r="L326" i="8"/>
  <c r="C326" i="8"/>
  <c r="B326" i="8"/>
  <c r="C326" i="19" s="1"/>
  <c r="X326" i="8"/>
  <c r="D326" i="8"/>
  <c r="E326" i="19" s="1"/>
  <c r="U326" i="8"/>
  <c r="I326" i="19" s="1"/>
  <c r="M326" i="8"/>
  <c r="G320" i="8"/>
  <c r="H320" i="19" s="1"/>
  <c r="L320" i="8"/>
  <c r="K320" i="8"/>
  <c r="C320" i="8"/>
  <c r="J320" i="8"/>
  <c r="X320" i="8"/>
  <c r="I320" i="8"/>
  <c r="E320" i="8"/>
  <c r="F320" i="19" s="1"/>
  <c r="M320" i="8"/>
  <c r="D320" i="8"/>
  <c r="E320" i="19" s="1"/>
  <c r="H320" i="8"/>
  <c r="B320" i="8"/>
  <c r="C320" i="19" s="1"/>
  <c r="U320" i="8"/>
  <c r="I320" i="19" s="1"/>
  <c r="B309" i="14"/>
  <c r="C309" i="14"/>
  <c r="D309" i="14"/>
  <c r="A309" i="14"/>
  <c r="U309" i="14"/>
  <c r="S309" i="14"/>
  <c r="K309" i="14"/>
  <c r="V309" i="14"/>
  <c r="E309" i="14"/>
  <c r="H309" i="14"/>
  <c r="I309" i="14"/>
  <c r="W309" i="14"/>
  <c r="G309" i="14"/>
  <c r="T309" i="14"/>
  <c r="H314" i="14"/>
  <c r="V314" i="14"/>
  <c r="I314" i="14"/>
  <c r="G314" i="14"/>
  <c r="U314" i="14"/>
  <c r="E314" i="14"/>
  <c r="T314" i="14"/>
  <c r="S314" i="14"/>
  <c r="A314" i="14"/>
  <c r="W314" i="14"/>
  <c r="K314" i="14"/>
  <c r="D314" i="14"/>
  <c r="C314" i="14"/>
  <c r="B314" i="14"/>
  <c r="D292" i="14"/>
  <c r="B292" i="14"/>
  <c r="C292" i="14"/>
  <c r="A292" i="14"/>
  <c r="W292" i="14"/>
  <c r="U292" i="14"/>
  <c r="H292" i="14"/>
  <c r="G292" i="14"/>
  <c r="V292" i="14"/>
  <c r="E292" i="14"/>
  <c r="I292" i="14"/>
  <c r="S292" i="14"/>
  <c r="K292" i="14"/>
  <c r="T292" i="14"/>
  <c r="K319" i="18"/>
  <c r="AA342" i="14"/>
  <c r="D307" i="13"/>
  <c r="J307" i="13"/>
  <c r="L307" i="13" s="1"/>
  <c r="M307" i="13" s="1"/>
  <c r="B307" i="13"/>
  <c r="E307" i="13"/>
  <c r="A307" i="13"/>
  <c r="G307" i="13"/>
  <c r="U307" i="13"/>
  <c r="AG307" i="13" s="1"/>
  <c r="AB336" i="13" s="1"/>
  <c r="C307" i="13"/>
  <c r="H307" i="13"/>
  <c r="V307" i="13"/>
  <c r="D323" i="13"/>
  <c r="J323" i="13"/>
  <c r="J323" i="14" s="1"/>
  <c r="B323" i="13"/>
  <c r="E323" i="13"/>
  <c r="A323" i="13"/>
  <c r="G323" i="13"/>
  <c r="U323" i="13"/>
  <c r="AG323" i="13" s="1"/>
  <c r="C323" i="13"/>
  <c r="H323" i="13"/>
  <c r="V323" i="13"/>
  <c r="B302" i="13"/>
  <c r="U302" i="13"/>
  <c r="AG302" i="13" s="1"/>
  <c r="AB331" i="13" s="1"/>
  <c r="A302" i="13"/>
  <c r="C302" i="13"/>
  <c r="H302" i="13"/>
  <c r="D302" i="13"/>
  <c r="J302" i="13"/>
  <c r="J302" i="14" s="1"/>
  <c r="E302" i="13"/>
  <c r="G302" i="13"/>
  <c r="V302" i="13"/>
  <c r="C299" i="13"/>
  <c r="H299" i="13"/>
  <c r="U299" i="13"/>
  <c r="AG299" i="13" s="1"/>
  <c r="A299" i="13"/>
  <c r="D299" i="13"/>
  <c r="B299" i="13"/>
  <c r="J299" i="13"/>
  <c r="L299" i="13" s="1"/>
  <c r="E299" i="13"/>
  <c r="G299" i="13"/>
  <c r="V299" i="13"/>
  <c r="J325" i="13"/>
  <c r="L325" i="13" s="1"/>
  <c r="B325" i="13"/>
  <c r="E325" i="13"/>
  <c r="C325" i="13"/>
  <c r="G325" i="13"/>
  <c r="U325" i="13"/>
  <c r="AG325" i="13" s="1"/>
  <c r="AB354" i="13" s="1"/>
  <c r="A325" i="13"/>
  <c r="D325" i="13"/>
  <c r="H325" i="13"/>
  <c r="V325" i="13"/>
  <c r="D290" i="13"/>
  <c r="H290" i="13"/>
  <c r="V290" i="13"/>
  <c r="A290" i="13"/>
  <c r="B290" i="13"/>
  <c r="J290" i="13"/>
  <c r="L290" i="13" s="1"/>
  <c r="N290" i="13" s="1"/>
  <c r="O290" i="13" s="1"/>
  <c r="Q290" i="13" s="1"/>
  <c r="R290" i="13" s="1"/>
  <c r="E290" i="13"/>
  <c r="C290" i="13"/>
  <c r="G290" i="13"/>
  <c r="U290" i="13"/>
  <c r="AG290" i="13" s="1"/>
  <c r="D322" i="13"/>
  <c r="H322" i="13"/>
  <c r="V322" i="13"/>
  <c r="A322" i="13"/>
  <c r="B322" i="13"/>
  <c r="J322" i="13"/>
  <c r="J322" i="14" s="1"/>
  <c r="E322" i="13"/>
  <c r="C322" i="13"/>
  <c r="G322" i="13"/>
  <c r="U322" i="13"/>
  <c r="AG322" i="13" s="1"/>
  <c r="AB351" i="13" s="1"/>
  <c r="D324" i="13"/>
  <c r="G324" i="13"/>
  <c r="U324" i="13"/>
  <c r="AG324" i="13" s="1"/>
  <c r="B324" i="13"/>
  <c r="V324" i="13"/>
  <c r="A324" i="13"/>
  <c r="C324" i="13"/>
  <c r="J324" i="13"/>
  <c r="L324" i="13" s="1"/>
  <c r="H324" i="13"/>
  <c r="E324" i="13"/>
  <c r="K296" i="18"/>
  <c r="N313" i="18"/>
  <c r="M301" i="18"/>
  <c r="B291" i="13"/>
  <c r="G291" i="13"/>
  <c r="U291" i="13"/>
  <c r="AG291" i="13" s="1"/>
  <c r="H291" i="13"/>
  <c r="V291" i="13"/>
  <c r="C291" i="13"/>
  <c r="J291" i="13"/>
  <c r="L291" i="13" s="1"/>
  <c r="A291" i="13"/>
  <c r="D291" i="13"/>
  <c r="E291" i="13"/>
  <c r="D312" i="13"/>
  <c r="G312" i="13"/>
  <c r="U312" i="13"/>
  <c r="AG312" i="13" s="1"/>
  <c r="AB341" i="13" s="1"/>
  <c r="B312" i="13"/>
  <c r="J312" i="13"/>
  <c r="J312" i="14" s="1"/>
  <c r="H312" i="13"/>
  <c r="V312" i="13"/>
  <c r="C312" i="13"/>
  <c r="L312" i="13"/>
  <c r="N312" i="13" s="1"/>
  <c r="O312" i="13" s="1"/>
  <c r="Q312" i="13" s="1"/>
  <c r="R312" i="13" s="1"/>
  <c r="E312" i="13"/>
  <c r="A312" i="13"/>
  <c r="C295" i="13"/>
  <c r="E295" i="13"/>
  <c r="D295" i="13"/>
  <c r="G295" i="13"/>
  <c r="U295" i="13"/>
  <c r="AG295" i="13" s="1"/>
  <c r="B295" i="13"/>
  <c r="J295" i="13"/>
  <c r="J295" i="14" s="1"/>
  <c r="H295" i="13"/>
  <c r="V295" i="13"/>
  <c r="A295" i="13"/>
  <c r="C310" i="13"/>
  <c r="J310" i="13"/>
  <c r="J310" i="14" s="1"/>
  <c r="D310" i="13"/>
  <c r="E310" i="13"/>
  <c r="A310" i="13"/>
  <c r="G310" i="13"/>
  <c r="V310" i="13"/>
  <c r="B310" i="13"/>
  <c r="H310" i="13"/>
  <c r="U310" i="13"/>
  <c r="AG310" i="13" s="1"/>
  <c r="AB339" i="13" s="1"/>
  <c r="B321" i="13"/>
  <c r="H321" i="13"/>
  <c r="V321" i="13"/>
  <c r="A321" i="13"/>
  <c r="C321" i="13"/>
  <c r="J321" i="13"/>
  <c r="J321" i="14" s="1"/>
  <c r="D321" i="13"/>
  <c r="E321" i="13"/>
  <c r="G321" i="13"/>
  <c r="U321" i="13"/>
  <c r="AG321" i="13" s="1"/>
  <c r="C311" i="13"/>
  <c r="E311" i="13"/>
  <c r="D311" i="13"/>
  <c r="G311" i="13"/>
  <c r="U311" i="13"/>
  <c r="AG311" i="13" s="1"/>
  <c r="AB340" i="13" s="1"/>
  <c r="B311" i="13"/>
  <c r="J311" i="13"/>
  <c r="J311" i="14" s="1"/>
  <c r="H311" i="13"/>
  <c r="V311" i="13"/>
  <c r="A311" i="13"/>
  <c r="J298" i="13"/>
  <c r="J298" i="14" s="1"/>
  <c r="B298" i="13"/>
  <c r="E298" i="13"/>
  <c r="H298" i="13"/>
  <c r="C298" i="13"/>
  <c r="G298" i="13"/>
  <c r="V298" i="13"/>
  <c r="A298" i="13"/>
  <c r="D298" i="13"/>
  <c r="U298" i="13"/>
  <c r="AG298" i="13" s="1"/>
  <c r="C287" i="13"/>
  <c r="E287" i="13"/>
  <c r="H287" i="13"/>
  <c r="D287" i="13"/>
  <c r="G287" i="13"/>
  <c r="V287" i="13"/>
  <c r="A287" i="13"/>
  <c r="B287" i="13"/>
  <c r="J287" i="13"/>
  <c r="L287" i="13" s="1"/>
  <c r="U287" i="13"/>
  <c r="AG287" i="13" s="1"/>
  <c r="AB316" i="13" s="1"/>
  <c r="M293" i="18"/>
  <c r="D297" i="14"/>
  <c r="B297" i="14"/>
  <c r="C297" i="14"/>
  <c r="K297" i="14"/>
  <c r="E297" i="14"/>
  <c r="W297" i="14"/>
  <c r="U297" i="14"/>
  <c r="S297" i="14"/>
  <c r="I297" i="14"/>
  <c r="T297" i="14"/>
  <c r="H297" i="14"/>
  <c r="V297" i="14"/>
  <c r="A297" i="14"/>
  <c r="G297" i="14"/>
  <c r="L315" i="8"/>
  <c r="G315" i="8"/>
  <c r="H315" i="19" s="1"/>
  <c r="K315" i="8"/>
  <c r="H315" i="8"/>
  <c r="I315" i="8"/>
  <c r="E315" i="8"/>
  <c r="F315" i="19" s="1"/>
  <c r="J315" i="8"/>
  <c r="B315" i="8"/>
  <c r="C315" i="19" s="1"/>
  <c r="X315" i="8"/>
  <c r="D315" i="8"/>
  <c r="E315" i="19" s="1"/>
  <c r="C315" i="8"/>
  <c r="U315" i="8"/>
  <c r="I315" i="19" s="1"/>
  <c r="M315" i="8"/>
  <c r="G286" i="8"/>
  <c r="H286" i="19" s="1"/>
  <c r="X286" i="8"/>
  <c r="D286" i="8"/>
  <c r="E286" i="19" s="1"/>
  <c r="C286" i="8"/>
  <c r="B286" i="8"/>
  <c r="C286" i="19" s="1"/>
  <c r="I286" i="8"/>
  <c r="H286" i="8"/>
  <c r="J286" i="8"/>
  <c r="U286" i="8"/>
  <c r="I286" i="19" s="1"/>
  <c r="L286" i="8"/>
  <c r="M286" i="8"/>
  <c r="K286" i="8"/>
  <c r="E286" i="8"/>
  <c r="F286" i="19" s="1"/>
  <c r="C318" i="14"/>
  <c r="D318" i="14"/>
  <c r="B318" i="14"/>
  <c r="U318" i="14"/>
  <c r="T318" i="14"/>
  <c r="A318" i="14"/>
  <c r="V318" i="14"/>
  <c r="E318" i="14"/>
  <c r="K318" i="14"/>
  <c r="W318" i="14"/>
  <c r="G318" i="14"/>
  <c r="H318" i="14"/>
  <c r="S318" i="14"/>
  <c r="I318" i="14"/>
  <c r="L288" i="8"/>
  <c r="G288" i="8"/>
  <c r="H288" i="19" s="1"/>
  <c r="C288" i="8"/>
  <c r="H288" i="8"/>
  <c r="X288" i="8"/>
  <c r="D288" i="8"/>
  <c r="E288" i="19" s="1"/>
  <c r="B288" i="8"/>
  <c r="C288" i="19" s="1"/>
  <c r="E288" i="8"/>
  <c r="F288" i="19" s="1"/>
  <c r="M288" i="8"/>
  <c r="J288" i="8"/>
  <c r="K288" i="8"/>
  <c r="I288" i="8"/>
  <c r="U288" i="8"/>
  <c r="I288" i="19" s="1"/>
  <c r="C327" i="14"/>
  <c r="B327" i="14"/>
  <c r="D327" i="14"/>
  <c r="K327" i="14"/>
  <c r="E327" i="14"/>
  <c r="A327" i="14"/>
  <c r="U327" i="14"/>
  <c r="G327" i="14"/>
  <c r="H327" i="14"/>
  <c r="S327" i="14"/>
  <c r="I327" i="14"/>
  <c r="T327" i="14"/>
  <c r="W327" i="14"/>
  <c r="J327" i="14"/>
  <c r="V327" i="14"/>
  <c r="E306" i="8"/>
  <c r="F306" i="19" s="1"/>
  <c r="L306" i="8"/>
  <c r="J306" i="8"/>
  <c r="I306" i="8"/>
  <c r="G306" i="8"/>
  <c r="H306" i="19" s="1"/>
  <c r="K306" i="8"/>
  <c r="H306" i="8"/>
  <c r="D306" i="8"/>
  <c r="E306" i="19" s="1"/>
  <c r="C306" i="8"/>
  <c r="B306" i="8"/>
  <c r="C306" i="19" s="1"/>
  <c r="X306" i="8"/>
  <c r="M306" i="8"/>
  <c r="U306" i="8"/>
  <c r="I306" i="19" s="1"/>
  <c r="D305" i="14"/>
  <c r="B305" i="14"/>
  <c r="C305" i="14"/>
  <c r="I305" i="14"/>
  <c r="S305" i="14"/>
  <c r="H305" i="14"/>
  <c r="V305" i="14"/>
  <c r="K305" i="14"/>
  <c r="G305" i="14"/>
  <c r="W305" i="14"/>
  <c r="U305" i="14"/>
  <c r="T305" i="14"/>
  <c r="E305" i="14"/>
  <c r="A305" i="14"/>
  <c r="C289" i="8"/>
  <c r="J289" i="8"/>
  <c r="B289" i="8"/>
  <c r="C289" i="19" s="1"/>
  <c r="G289" i="8"/>
  <c r="H289" i="19" s="1"/>
  <c r="U289" i="8"/>
  <c r="I289" i="19" s="1"/>
  <c r="H289" i="8"/>
  <c r="X289" i="8"/>
  <c r="K289" i="8"/>
  <c r="M289" i="8"/>
  <c r="I289" i="8"/>
  <c r="D289" i="8"/>
  <c r="E289" i="19" s="1"/>
  <c r="L289" i="8"/>
  <c r="E289" i="8"/>
  <c r="F289" i="19" s="1"/>
  <c r="N303" i="18"/>
  <c r="AA332" i="14"/>
  <c r="C300" i="8"/>
  <c r="B300" i="8"/>
  <c r="C300" i="19" s="1"/>
  <c r="D300" i="8"/>
  <c r="E300" i="19" s="1"/>
  <c r="U300" i="8"/>
  <c r="I300" i="19" s="1"/>
  <c r="M300" i="8"/>
  <c r="J300" i="8"/>
  <c r="X300" i="8"/>
  <c r="I300" i="8"/>
  <c r="G300" i="8"/>
  <c r="H300" i="19" s="1"/>
  <c r="K300" i="8"/>
  <c r="E300" i="8"/>
  <c r="F300" i="19" s="1"/>
  <c r="L300" i="8"/>
  <c r="H300" i="8"/>
  <c r="J317" i="8"/>
  <c r="G317" i="8"/>
  <c r="H317" i="19" s="1"/>
  <c r="H317" i="8"/>
  <c r="K317" i="8"/>
  <c r="E317" i="8"/>
  <c r="F317" i="19" s="1"/>
  <c r="I317" i="8"/>
  <c r="L317" i="8"/>
  <c r="X317" i="8"/>
  <c r="D317" i="8"/>
  <c r="E317" i="19" s="1"/>
  <c r="C317" i="8"/>
  <c r="B317" i="8"/>
  <c r="C317" i="19" s="1"/>
  <c r="U317" i="8"/>
  <c r="I317" i="19" s="1"/>
  <c r="M317" i="8"/>
  <c r="B294" i="14"/>
  <c r="C294" i="14"/>
  <c r="D294" i="14"/>
  <c r="S294" i="14"/>
  <c r="J294" i="14"/>
  <c r="W294" i="14"/>
  <c r="U294" i="14"/>
  <c r="E294" i="14"/>
  <c r="H294" i="14"/>
  <c r="A294" i="14"/>
  <c r="I294" i="14"/>
  <c r="T294" i="14"/>
  <c r="G294" i="14"/>
  <c r="K294" i="14"/>
  <c r="V294" i="14"/>
  <c r="B326" i="14"/>
  <c r="C326" i="14"/>
  <c r="D326" i="14"/>
  <c r="E326" i="14"/>
  <c r="S326" i="14"/>
  <c r="U326" i="14"/>
  <c r="T326" i="14"/>
  <c r="I326" i="14"/>
  <c r="W326" i="14"/>
  <c r="G326" i="14"/>
  <c r="K326" i="14"/>
  <c r="J326" i="14"/>
  <c r="H326" i="14"/>
  <c r="V326" i="14"/>
  <c r="A326" i="14"/>
  <c r="D320" i="14"/>
  <c r="B320" i="14"/>
  <c r="C320" i="14"/>
  <c r="H320" i="14"/>
  <c r="J320" i="14"/>
  <c r="T320" i="14"/>
  <c r="W320" i="14"/>
  <c r="A320" i="14"/>
  <c r="U320" i="14"/>
  <c r="I320" i="14"/>
  <c r="E320" i="14"/>
  <c r="G320" i="14"/>
  <c r="K320" i="14"/>
  <c r="V320" i="14"/>
  <c r="S320" i="14"/>
  <c r="K309" i="8"/>
  <c r="H309" i="8"/>
  <c r="J309" i="8"/>
  <c r="C309" i="8"/>
  <c r="L309" i="8"/>
  <c r="B309" i="8"/>
  <c r="C309" i="19" s="1"/>
  <c r="G309" i="8"/>
  <c r="H309" i="19" s="1"/>
  <c r="I309" i="8"/>
  <c r="X309" i="8"/>
  <c r="E309" i="8"/>
  <c r="F309" i="19" s="1"/>
  <c r="D309" i="8"/>
  <c r="E309" i="19" s="1"/>
  <c r="M309" i="8"/>
  <c r="U309" i="8"/>
  <c r="I309" i="19" s="1"/>
  <c r="B314" i="8"/>
  <c r="C314" i="19" s="1"/>
  <c r="C314" i="8"/>
  <c r="X314" i="8"/>
  <c r="D314" i="8"/>
  <c r="E314" i="19" s="1"/>
  <c r="M314" i="8"/>
  <c r="H314" i="8"/>
  <c r="J314" i="8"/>
  <c r="E314" i="8"/>
  <c r="F314" i="19" s="1"/>
  <c r="G314" i="8"/>
  <c r="H314" i="19" s="1"/>
  <c r="K314" i="8"/>
  <c r="U314" i="8"/>
  <c r="I314" i="19" s="1"/>
  <c r="L314" i="8"/>
  <c r="I314" i="8"/>
  <c r="J292" i="8"/>
  <c r="I292" i="8"/>
  <c r="L292" i="8"/>
  <c r="E292" i="8"/>
  <c r="F292" i="19" s="1"/>
  <c r="G292" i="8"/>
  <c r="H292" i="19" s="1"/>
  <c r="K292" i="8"/>
  <c r="H292" i="8"/>
  <c r="X292" i="8"/>
  <c r="M292" i="8"/>
  <c r="D292" i="8"/>
  <c r="E292" i="19" s="1"/>
  <c r="U292" i="8"/>
  <c r="I292" i="19" s="1"/>
  <c r="B292" i="8"/>
  <c r="C292" i="19" s="1"/>
  <c r="C292" i="8"/>
  <c r="Y316" i="14"/>
  <c r="H307" i="14"/>
  <c r="W307" i="14"/>
  <c r="K307" i="14"/>
  <c r="J307" i="14"/>
  <c r="E307" i="14"/>
  <c r="V307" i="14"/>
  <c r="A307" i="14"/>
  <c r="T307" i="14"/>
  <c r="I307" i="14"/>
  <c r="S307" i="14"/>
  <c r="G307" i="14"/>
  <c r="U307" i="14"/>
  <c r="B307" i="14"/>
  <c r="C307" i="14"/>
  <c r="D307" i="14"/>
  <c r="K323" i="8"/>
  <c r="I323" i="8"/>
  <c r="G323" i="8"/>
  <c r="H323" i="19" s="1"/>
  <c r="E323" i="8"/>
  <c r="F323" i="19" s="1"/>
  <c r="J323" i="8"/>
  <c r="H323" i="8"/>
  <c r="L323" i="8"/>
  <c r="B323" i="8"/>
  <c r="C323" i="19" s="1"/>
  <c r="X323" i="8"/>
  <c r="D323" i="8"/>
  <c r="E323" i="19" s="1"/>
  <c r="C323" i="8"/>
  <c r="M323" i="8"/>
  <c r="U323" i="8"/>
  <c r="I323" i="19" s="1"/>
  <c r="G302" i="8"/>
  <c r="H302" i="19" s="1"/>
  <c r="K302" i="8"/>
  <c r="E302" i="8"/>
  <c r="F302" i="19" s="1"/>
  <c r="L302" i="8"/>
  <c r="C302" i="8"/>
  <c r="H302" i="8"/>
  <c r="B302" i="8"/>
  <c r="C302" i="19" s="1"/>
  <c r="J302" i="8"/>
  <c r="X302" i="8"/>
  <c r="I302" i="8"/>
  <c r="D302" i="8"/>
  <c r="E302" i="19" s="1"/>
  <c r="M302" i="8"/>
  <c r="U302" i="8"/>
  <c r="I302" i="19" s="1"/>
  <c r="E299" i="14"/>
  <c r="K299" i="14"/>
  <c r="V299" i="14"/>
  <c r="W299" i="14"/>
  <c r="G299" i="14"/>
  <c r="U299" i="14"/>
  <c r="D299" i="14"/>
  <c r="C299" i="14"/>
  <c r="H299" i="14"/>
  <c r="T299" i="14"/>
  <c r="B299" i="14"/>
  <c r="I299" i="14"/>
  <c r="A299" i="14"/>
  <c r="S299" i="14"/>
  <c r="D325" i="14"/>
  <c r="B325" i="14"/>
  <c r="C325" i="14"/>
  <c r="A325" i="14"/>
  <c r="E325" i="14"/>
  <c r="K325" i="14"/>
  <c r="U325" i="14"/>
  <c r="T325" i="14"/>
  <c r="W325" i="14"/>
  <c r="V325" i="14"/>
  <c r="I325" i="14"/>
  <c r="S325" i="14"/>
  <c r="H325" i="14"/>
  <c r="G325" i="14"/>
  <c r="E290" i="14"/>
  <c r="A290" i="14"/>
  <c r="G290" i="14"/>
  <c r="K290" i="14"/>
  <c r="S290" i="14"/>
  <c r="I290" i="14"/>
  <c r="T290" i="14"/>
  <c r="H290" i="14"/>
  <c r="W290" i="14"/>
  <c r="V290" i="14"/>
  <c r="U290" i="14"/>
  <c r="D290" i="14"/>
  <c r="B290" i="14"/>
  <c r="C290" i="14"/>
  <c r="E322" i="8"/>
  <c r="F322" i="19" s="1"/>
  <c r="B322" i="8"/>
  <c r="C322" i="19" s="1"/>
  <c r="D322" i="8"/>
  <c r="E322" i="19" s="1"/>
  <c r="C322" i="8"/>
  <c r="X322" i="8"/>
  <c r="H322" i="8"/>
  <c r="M322" i="8"/>
  <c r="G322" i="8"/>
  <c r="H322" i="19" s="1"/>
  <c r="I322" i="8"/>
  <c r="K322" i="8"/>
  <c r="U322" i="8"/>
  <c r="I322" i="19" s="1"/>
  <c r="J322" i="8"/>
  <c r="L322" i="8"/>
  <c r="C324" i="14"/>
  <c r="B324" i="14"/>
  <c r="D324" i="14"/>
  <c r="T324" i="14"/>
  <c r="H324" i="14"/>
  <c r="A324" i="14"/>
  <c r="E324" i="14"/>
  <c r="V324" i="14"/>
  <c r="W324" i="14"/>
  <c r="S324" i="14"/>
  <c r="I324" i="14"/>
  <c r="U324" i="14"/>
  <c r="G324" i="14"/>
  <c r="K324" i="14"/>
  <c r="AA348" i="14"/>
  <c r="H291" i="14"/>
  <c r="E291" i="14"/>
  <c r="I291" i="14"/>
  <c r="A291" i="14"/>
  <c r="V291" i="14"/>
  <c r="K291" i="14"/>
  <c r="T291" i="14"/>
  <c r="W291" i="14"/>
  <c r="S291" i="14"/>
  <c r="G291" i="14"/>
  <c r="U291" i="14"/>
  <c r="B291" i="14"/>
  <c r="C291" i="14"/>
  <c r="D291" i="14"/>
  <c r="E312" i="8"/>
  <c r="F312" i="19" s="1"/>
  <c r="X312" i="8"/>
  <c r="D312" i="8"/>
  <c r="E312" i="19" s="1"/>
  <c r="C312" i="8"/>
  <c r="B312" i="8"/>
  <c r="C312" i="19" s="1"/>
  <c r="K312" i="8"/>
  <c r="J312" i="8"/>
  <c r="L312" i="8"/>
  <c r="I312" i="8"/>
  <c r="U312" i="8"/>
  <c r="I312" i="19" s="1"/>
  <c r="H312" i="8"/>
  <c r="M312" i="8"/>
  <c r="G312" i="8"/>
  <c r="H312" i="19" s="1"/>
  <c r="E295" i="8"/>
  <c r="F295" i="19" s="1"/>
  <c r="X295" i="8"/>
  <c r="B295" i="8"/>
  <c r="C295" i="19" s="1"/>
  <c r="D295" i="8"/>
  <c r="E295" i="19" s="1"/>
  <c r="C295" i="8"/>
  <c r="L295" i="8"/>
  <c r="J295" i="8"/>
  <c r="U295" i="8"/>
  <c r="I295" i="19" s="1"/>
  <c r="M295" i="8"/>
  <c r="K295" i="8"/>
  <c r="I295" i="8"/>
  <c r="G295" i="8"/>
  <c r="H295" i="19" s="1"/>
  <c r="B295" i="19" s="1"/>
  <c r="H295" i="8"/>
  <c r="K310" i="8"/>
  <c r="B310" i="8"/>
  <c r="C310" i="19" s="1"/>
  <c r="C310" i="8"/>
  <c r="D310" i="8"/>
  <c r="E310" i="19" s="1"/>
  <c r="L310" i="8"/>
  <c r="X310" i="8"/>
  <c r="M310" i="8"/>
  <c r="U310" i="8"/>
  <c r="I310" i="19" s="1"/>
  <c r="G310" i="8"/>
  <c r="H310" i="19" s="1"/>
  <c r="H310" i="8"/>
  <c r="J310" i="8"/>
  <c r="E310" i="8"/>
  <c r="F310" i="19" s="1"/>
  <c r="I310" i="8"/>
  <c r="J321" i="8"/>
  <c r="I321" i="8"/>
  <c r="L321" i="8"/>
  <c r="H321" i="8"/>
  <c r="G321" i="8"/>
  <c r="H321" i="19" s="1"/>
  <c r="E321" i="8"/>
  <c r="F321" i="19" s="1"/>
  <c r="K321" i="8"/>
  <c r="D321" i="8"/>
  <c r="E321" i="19" s="1"/>
  <c r="B321" i="8"/>
  <c r="C321" i="19" s="1"/>
  <c r="X321" i="8"/>
  <c r="C321" i="8"/>
  <c r="U321" i="8"/>
  <c r="I321" i="19" s="1"/>
  <c r="M321" i="8"/>
  <c r="L311" i="8"/>
  <c r="B311" i="8"/>
  <c r="C311" i="19" s="1"/>
  <c r="X311" i="8"/>
  <c r="D311" i="8"/>
  <c r="E311" i="19" s="1"/>
  <c r="C311" i="8"/>
  <c r="M311" i="8"/>
  <c r="I311" i="8"/>
  <c r="J311" i="8"/>
  <c r="H311" i="8"/>
  <c r="U311" i="8"/>
  <c r="I311" i="19" s="1"/>
  <c r="G311" i="8"/>
  <c r="H311" i="19" s="1"/>
  <c r="K311" i="8"/>
  <c r="E311" i="8"/>
  <c r="F311" i="19" s="1"/>
  <c r="C298" i="8"/>
  <c r="X298" i="8"/>
  <c r="D298" i="8"/>
  <c r="E298" i="19" s="1"/>
  <c r="B298" i="8"/>
  <c r="C298" i="19" s="1"/>
  <c r="M298" i="8"/>
  <c r="L298" i="8"/>
  <c r="K298" i="8"/>
  <c r="U298" i="8"/>
  <c r="I298" i="19" s="1"/>
  <c r="G298" i="8"/>
  <c r="H298" i="19" s="1"/>
  <c r="E298" i="8"/>
  <c r="F298" i="19" s="1"/>
  <c r="H298" i="8"/>
  <c r="J298" i="8"/>
  <c r="I298" i="8"/>
  <c r="D287" i="14"/>
  <c r="C287" i="14"/>
  <c r="B287" i="14"/>
  <c r="H287" i="14"/>
  <c r="S287" i="14"/>
  <c r="T287" i="14"/>
  <c r="V287" i="14"/>
  <c r="G287" i="14"/>
  <c r="K287" i="14"/>
  <c r="A287" i="14"/>
  <c r="W287" i="14"/>
  <c r="I287" i="14"/>
  <c r="E287" i="14"/>
  <c r="U287" i="14"/>
  <c r="C297" i="18"/>
  <c r="D297" i="18"/>
  <c r="B297" i="18"/>
  <c r="E297" i="18"/>
  <c r="A297" i="18"/>
  <c r="I297" i="18"/>
  <c r="J297" i="18"/>
  <c r="K297" i="18" s="1"/>
  <c r="G297" i="18"/>
  <c r="H297" i="18"/>
  <c r="D315" i="18"/>
  <c r="C315" i="18"/>
  <c r="B315" i="18"/>
  <c r="G315" i="18"/>
  <c r="H315" i="18"/>
  <c r="J315" i="18"/>
  <c r="L315" i="18" s="1"/>
  <c r="A315" i="18"/>
  <c r="I315" i="18"/>
  <c r="E315" i="18"/>
  <c r="B286" i="18"/>
  <c r="C286" i="18"/>
  <c r="D286" i="18"/>
  <c r="A286" i="18"/>
  <c r="G286" i="18"/>
  <c r="E286" i="18"/>
  <c r="J286" i="18"/>
  <c r="L286" i="18" s="1"/>
  <c r="H286" i="18"/>
  <c r="I286" i="18"/>
  <c r="A318" i="18"/>
  <c r="G318" i="18"/>
  <c r="E318" i="18"/>
  <c r="H318" i="18"/>
  <c r="J318" i="18"/>
  <c r="L318" i="18" s="1"/>
  <c r="D318" i="18"/>
  <c r="B318" i="18"/>
  <c r="C318" i="18"/>
  <c r="I318" i="18"/>
  <c r="B288" i="18"/>
  <c r="C288" i="18"/>
  <c r="D288" i="18"/>
  <c r="J288" i="18"/>
  <c r="L288" i="18" s="1"/>
  <c r="A288" i="18"/>
  <c r="I288" i="18"/>
  <c r="G288" i="18"/>
  <c r="H288" i="18"/>
  <c r="E288" i="18"/>
  <c r="H327" i="18"/>
  <c r="D327" i="18"/>
  <c r="J327" i="18"/>
  <c r="L327" i="18" s="1"/>
  <c r="B327" i="18"/>
  <c r="C327" i="18"/>
  <c r="A327" i="18"/>
  <c r="E327" i="18"/>
  <c r="I327" i="18"/>
  <c r="G327" i="18"/>
  <c r="B306" i="18"/>
  <c r="C306" i="18"/>
  <c r="D306" i="18"/>
  <c r="J306" i="18"/>
  <c r="K306" i="18" s="1"/>
  <c r="I306" i="18"/>
  <c r="G306" i="18"/>
  <c r="H306" i="18"/>
  <c r="A306" i="18"/>
  <c r="E306" i="18"/>
  <c r="D305" i="18"/>
  <c r="B305" i="18"/>
  <c r="C305" i="18"/>
  <c r="I305" i="18"/>
  <c r="J305" i="18"/>
  <c r="M305" i="18" s="1"/>
  <c r="E305" i="18"/>
  <c r="H305" i="18"/>
  <c r="A305" i="18"/>
  <c r="G305" i="18"/>
  <c r="D289" i="18"/>
  <c r="B289" i="18"/>
  <c r="C289" i="18"/>
  <c r="J289" i="18"/>
  <c r="L289" i="18" s="1"/>
  <c r="H289" i="18"/>
  <c r="I289" i="18"/>
  <c r="G289" i="18"/>
  <c r="E289" i="18"/>
  <c r="A289" i="18"/>
  <c r="G300" i="18"/>
  <c r="C300" i="18"/>
  <c r="B300" i="18"/>
  <c r="D300" i="18"/>
  <c r="E300" i="18"/>
  <c r="A300" i="18"/>
  <c r="J300" i="18"/>
  <c r="L300" i="18" s="1"/>
  <c r="H300" i="18"/>
  <c r="I300" i="18"/>
  <c r="C317" i="18"/>
  <c r="D317" i="18"/>
  <c r="B317" i="18"/>
  <c r="A317" i="18"/>
  <c r="G317" i="18"/>
  <c r="J317" i="18"/>
  <c r="L317" i="18" s="1"/>
  <c r="H317" i="18"/>
  <c r="E317" i="18"/>
  <c r="I317" i="18"/>
  <c r="G294" i="18"/>
  <c r="J294" i="18"/>
  <c r="L294" i="18" s="1"/>
  <c r="E294" i="18"/>
  <c r="C294" i="18"/>
  <c r="A294" i="18"/>
  <c r="D294" i="18"/>
  <c r="B294" i="18"/>
  <c r="H294" i="18"/>
  <c r="I294" i="18"/>
  <c r="B326" i="18"/>
  <c r="C326" i="18"/>
  <c r="D326" i="18"/>
  <c r="G326" i="18"/>
  <c r="A326" i="18"/>
  <c r="J326" i="18"/>
  <c r="N326" i="18" s="1"/>
  <c r="E326" i="18"/>
  <c r="H326" i="18"/>
  <c r="I326" i="18"/>
  <c r="C320" i="18"/>
  <c r="D320" i="18"/>
  <c r="B320" i="18"/>
  <c r="I320" i="18"/>
  <c r="E320" i="18"/>
  <c r="J320" i="18"/>
  <c r="L320" i="18" s="1"/>
  <c r="H320" i="18"/>
  <c r="G320" i="18"/>
  <c r="A320" i="18"/>
  <c r="E309" i="18"/>
  <c r="H309" i="18"/>
  <c r="A309" i="18"/>
  <c r="G309" i="18"/>
  <c r="J309" i="18"/>
  <c r="L309" i="18" s="1"/>
  <c r="B309" i="18"/>
  <c r="D309" i="18"/>
  <c r="C309" i="18"/>
  <c r="K309" i="18"/>
  <c r="I309" i="18"/>
  <c r="C314" i="18"/>
  <c r="B314" i="18"/>
  <c r="D314" i="18"/>
  <c r="H314" i="18"/>
  <c r="G314" i="18"/>
  <c r="J314" i="18"/>
  <c r="N314" i="18" s="1"/>
  <c r="E314" i="18"/>
  <c r="I314" i="18"/>
  <c r="A314" i="18"/>
  <c r="A292" i="18"/>
  <c r="D292" i="18"/>
  <c r="G292" i="18"/>
  <c r="B292" i="18"/>
  <c r="C292" i="18"/>
  <c r="J292" i="18"/>
  <c r="L292" i="18" s="1"/>
  <c r="H292" i="18"/>
  <c r="E292" i="18"/>
  <c r="I292" i="18"/>
  <c r="Z329" i="13"/>
  <c r="X329" i="14" s="1"/>
  <c r="Z328" i="13"/>
  <c r="X328" i="14" s="1"/>
  <c r="Z316" i="6" a="1"/>
  <c r="Z316" i="6" s="1"/>
  <c r="C316" i="6"/>
  <c r="C270" i="9"/>
  <c r="C283" i="9"/>
  <c r="C271" i="9"/>
  <c r="C261" i="9"/>
  <c r="C268" i="9"/>
  <c r="C300" i="9"/>
  <c r="C274" i="9"/>
  <c r="C286" i="9"/>
  <c r="C281" i="9"/>
  <c r="C279" i="9"/>
  <c r="C265" i="9"/>
  <c r="C294" i="9"/>
  <c r="C288" i="9"/>
  <c r="C275" i="9"/>
  <c r="C289" i="9"/>
  <c r="C299" i="9"/>
  <c r="C293" i="9"/>
  <c r="C266" i="9"/>
  <c r="C296" i="9"/>
  <c r="C262" i="9"/>
  <c r="C278" i="9"/>
  <c r="C301" i="9"/>
  <c r="C263" i="9"/>
  <c r="C290" i="9"/>
  <c r="C282" i="9"/>
  <c r="C280" i="9"/>
  <c r="C284" i="9"/>
  <c r="C272" i="9"/>
  <c r="C277" i="9"/>
  <c r="C291" i="9"/>
  <c r="C287" i="9"/>
  <c r="C297" i="9"/>
  <c r="C276" i="9"/>
  <c r="C264" i="9"/>
  <c r="C292" i="9"/>
  <c r="C267" i="9"/>
  <c r="C295" i="9"/>
  <c r="C273" i="9"/>
  <c r="C298" i="9"/>
  <c r="C269" i="9"/>
  <c r="C285" i="9"/>
  <c r="C260" i="9"/>
  <c r="Y328" i="8"/>
  <c r="Z328" i="8" s="1"/>
  <c r="D310" i="19" l="1"/>
  <c r="AH310" i="8"/>
  <c r="AE310" i="8"/>
  <c r="AG310" i="8"/>
  <c r="AF310" i="8"/>
  <c r="D323" i="19"/>
  <c r="AH323" i="8"/>
  <c r="AE323" i="8"/>
  <c r="AF323" i="8"/>
  <c r="AG323" i="8"/>
  <c r="D292" i="19"/>
  <c r="AH292" i="8"/>
  <c r="AE292" i="8"/>
  <c r="AF292" i="8"/>
  <c r="AG292" i="8"/>
  <c r="D314" i="19"/>
  <c r="AH314" i="8"/>
  <c r="AE314" i="8"/>
  <c r="AF314" i="8"/>
  <c r="AG314" i="8"/>
  <c r="D289" i="19"/>
  <c r="AH289" i="8"/>
  <c r="AE289" i="8"/>
  <c r="AF289" i="8"/>
  <c r="AG289" i="8"/>
  <c r="D320" i="19"/>
  <c r="AH320" i="8"/>
  <c r="AE320" i="8"/>
  <c r="AF320" i="8"/>
  <c r="AG320" i="8"/>
  <c r="D312" i="19"/>
  <c r="AH312" i="8"/>
  <c r="AE312" i="8"/>
  <c r="AF312" i="8"/>
  <c r="AG312" i="8"/>
  <c r="D300" i="19"/>
  <c r="AH300" i="8"/>
  <c r="AE300" i="8"/>
  <c r="AF300" i="8"/>
  <c r="AG300" i="8"/>
  <c r="D305" i="19"/>
  <c r="AH305" i="8"/>
  <c r="AE305" i="8"/>
  <c r="AF305" i="8"/>
  <c r="AG305" i="8"/>
  <c r="D297" i="19"/>
  <c r="AH297" i="8"/>
  <c r="AE297" i="8"/>
  <c r="AF297" i="8"/>
  <c r="AG297" i="8"/>
  <c r="D291" i="19"/>
  <c r="AH291" i="8"/>
  <c r="AE291" i="8"/>
  <c r="AF291" i="8"/>
  <c r="AG291" i="8"/>
  <c r="D324" i="19"/>
  <c r="AH324" i="8"/>
  <c r="AE324" i="8"/>
  <c r="AF324" i="8"/>
  <c r="AG324" i="8"/>
  <c r="D299" i="19"/>
  <c r="AH299" i="8"/>
  <c r="AE299" i="8"/>
  <c r="AF299" i="8"/>
  <c r="AG299" i="8"/>
  <c r="D307" i="19"/>
  <c r="AH307" i="8"/>
  <c r="AE307" i="8"/>
  <c r="AF307" i="8"/>
  <c r="AG307" i="8"/>
  <c r="Q302" i="9"/>
  <c r="D327" i="19"/>
  <c r="AH327" i="8"/>
  <c r="AE327" i="8"/>
  <c r="AF327" i="8"/>
  <c r="AG327" i="8"/>
  <c r="D318" i="19"/>
  <c r="AH318" i="8"/>
  <c r="AE318" i="8"/>
  <c r="AF318" i="8"/>
  <c r="AG318" i="8"/>
  <c r="D290" i="19"/>
  <c r="AH290" i="8"/>
  <c r="AE290" i="8"/>
  <c r="AF290" i="8"/>
  <c r="AG290" i="8"/>
  <c r="D325" i="19"/>
  <c r="AH325" i="8"/>
  <c r="AE325" i="8"/>
  <c r="AF325" i="8"/>
  <c r="AG325" i="8"/>
  <c r="D311" i="19"/>
  <c r="AH311" i="8"/>
  <c r="AE311" i="8"/>
  <c r="AF311" i="8"/>
  <c r="AG311" i="8"/>
  <c r="D302" i="19"/>
  <c r="AH302" i="8"/>
  <c r="AE302" i="8"/>
  <c r="AF302" i="8"/>
  <c r="AG302" i="8"/>
  <c r="D288" i="19"/>
  <c r="AH288" i="8"/>
  <c r="AE288" i="8"/>
  <c r="AF288" i="8"/>
  <c r="AG288" i="8"/>
  <c r="D315" i="19"/>
  <c r="AH315" i="8"/>
  <c r="AE315" i="8"/>
  <c r="AF315" i="8"/>
  <c r="AG315" i="8"/>
  <c r="D326" i="19"/>
  <c r="AH326" i="8"/>
  <c r="AE326" i="8"/>
  <c r="AF326" i="8"/>
  <c r="AG326" i="8"/>
  <c r="D298" i="19"/>
  <c r="AH298" i="8"/>
  <c r="AE298" i="8"/>
  <c r="AF298" i="8"/>
  <c r="AG298" i="8"/>
  <c r="D321" i="19"/>
  <c r="AH321" i="8"/>
  <c r="AE321" i="8"/>
  <c r="AF321" i="8"/>
  <c r="AG321" i="8"/>
  <c r="D295" i="19"/>
  <c r="AH295" i="8"/>
  <c r="AE295" i="8"/>
  <c r="AF295" i="8"/>
  <c r="AG295" i="8"/>
  <c r="D322" i="19"/>
  <c r="AH322" i="8"/>
  <c r="AE322" i="8"/>
  <c r="AF322" i="8"/>
  <c r="AG322" i="8"/>
  <c r="D309" i="19"/>
  <c r="AH309" i="8"/>
  <c r="AE309" i="8"/>
  <c r="AF309" i="8"/>
  <c r="AG309" i="8"/>
  <c r="D317" i="19"/>
  <c r="AH317" i="8"/>
  <c r="AE317" i="8"/>
  <c r="AF317" i="8"/>
  <c r="AG317" i="8"/>
  <c r="D306" i="19"/>
  <c r="AH306" i="8"/>
  <c r="AE306" i="8"/>
  <c r="AF306" i="8"/>
  <c r="AG306" i="8"/>
  <c r="D286" i="19"/>
  <c r="AH286" i="8"/>
  <c r="AE286" i="8"/>
  <c r="AF286" i="8"/>
  <c r="AG286" i="8"/>
  <c r="D294" i="19"/>
  <c r="AH294" i="8"/>
  <c r="AE294" i="8"/>
  <c r="AF294" i="8"/>
  <c r="AG294" i="8"/>
  <c r="D287" i="19"/>
  <c r="AH287" i="8"/>
  <c r="AE287" i="8"/>
  <c r="AF287" i="8"/>
  <c r="AG287" i="8"/>
  <c r="K315" i="18"/>
  <c r="V301" i="19"/>
  <c r="J292" i="14"/>
  <c r="L292" i="14" s="1"/>
  <c r="M292" i="14" s="1"/>
  <c r="N292" i="14" s="1"/>
  <c r="O292" i="14" s="1"/>
  <c r="P292" i="14" s="1"/>
  <c r="B301" i="19"/>
  <c r="S301" i="19"/>
  <c r="AA301" i="19"/>
  <c r="N301" i="19"/>
  <c r="AF301" i="19"/>
  <c r="K301" i="19"/>
  <c r="L301" i="19"/>
  <c r="Y301" i="19"/>
  <c r="Q301" i="19"/>
  <c r="N317" i="18"/>
  <c r="AI301" i="19"/>
  <c r="W301" i="19"/>
  <c r="P301" i="19"/>
  <c r="AI287" i="19"/>
  <c r="B287" i="19"/>
  <c r="AI311" i="19"/>
  <c r="B311" i="19"/>
  <c r="B310" i="19"/>
  <c r="AI310" i="19"/>
  <c r="B314" i="19"/>
  <c r="AI314" i="19"/>
  <c r="B300" i="19"/>
  <c r="AI300" i="19"/>
  <c r="AI289" i="19"/>
  <c r="B289" i="19"/>
  <c r="B320" i="19"/>
  <c r="AI320" i="19"/>
  <c r="AI326" i="19"/>
  <c r="B326" i="19"/>
  <c r="AI297" i="19"/>
  <c r="B297" i="19"/>
  <c r="AI291" i="19"/>
  <c r="B291" i="19"/>
  <c r="B325" i="19"/>
  <c r="AI325" i="19"/>
  <c r="AI328" i="19"/>
  <c r="B328" i="19"/>
  <c r="AI321" i="19"/>
  <c r="B321" i="19"/>
  <c r="B302" i="19"/>
  <c r="AI302" i="19"/>
  <c r="B292" i="19"/>
  <c r="AI292" i="19"/>
  <c r="B309" i="19"/>
  <c r="AI309" i="19"/>
  <c r="B324" i="19"/>
  <c r="AI324" i="19"/>
  <c r="B298" i="19"/>
  <c r="AI298" i="19"/>
  <c r="B322" i="19"/>
  <c r="AI322" i="19"/>
  <c r="B288" i="19"/>
  <c r="AI288" i="19"/>
  <c r="B286" i="19"/>
  <c r="AI286" i="19"/>
  <c r="AI315" i="19"/>
  <c r="B315" i="19"/>
  <c r="AI299" i="19"/>
  <c r="B299" i="19"/>
  <c r="B305" i="19"/>
  <c r="AI305" i="19"/>
  <c r="AI307" i="19"/>
  <c r="B307" i="19"/>
  <c r="AI295" i="19"/>
  <c r="B312" i="19"/>
  <c r="AI312" i="19"/>
  <c r="AI323" i="19"/>
  <c r="B323" i="19"/>
  <c r="B317" i="19"/>
  <c r="AI317" i="19"/>
  <c r="B306" i="19"/>
  <c r="AI306" i="19"/>
  <c r="B294" i="19"/>
  <c r="AI294" i="19"/>
  <c r="AI327" i="19"/>
  <c r="B327" i="19"/>
  <c r="AI318" i="19"/>
  <c r="B318" i="19"/>
  <c r="B290" i="19"/>
  <c r="AI290" i="19"/>
  <c r="AI329" i="19"/>
  <c r="B329" i="19"/>
  <c r="J297" i="14"/>
  <c r="L297" i="14" s="1"/>
  <c r="M297" i="14" s="1"/>
  <c r="N297" i="14" s="1"/>
  <c r="O297" i="14" s="1"/>
  <c r="P297" i="14" s="1"/>
  <c r="J287" i="14"/>
  <c r="L287" i="14" s="1"/>
  <c r="M287" i="14" s="1"/>
  <c r="N287" i="14" s="1"/>
  <c r="O287" i="14" s="1"/>
  <c r="P287" i="14" s="1"/>
  <c r="J325" i="14"/>
  <c r="L325" i="14" s="1"/>
  <c r="M325" i="14" s="1"/>
  <c r="N325" i="14" s="1"/>
  <c r="O325" i="14" s="1"/>
  <c r="P325" i="14" s="1"/>
  <c r="J299" i="14"/>
  <c r="L299" i="14" s="1"/>
  <c r="M299" i="14" s="1"/>
  <c r="N299" i="14" s="1"/>
  <c r="O299" i="14" s="1"/>
  <c r="P299" i="14" s="1"/>
  <c r="J318" i="14"/>
  <c r="L318" i="14" s="1"/>
  <c r="M318" i="14" s="1"/>
  <c r="N318" i="14" s="1"/>
  <c r="O318" i="14" s="1"/>
  <c r="P318" i="14" s="1"/>
  <c r="L321" i="14"/>
  <c r="M321" i="14" s="1"/>
  <c r="N321" i="14" s="1"/>
  <c r="O321" i="14" s="1"/>
  <c r="P321" i="14" s="1"/>
  <c r="L312" i="14"/>
  <c r="M312" i="14" s="1"/>
  <c r="N312" i="14" s="1"/>
  <c r="O312" i="14" s="1"/>
  <c r="P312" i="14" s="1"/>
  <c r="L322" i="14"/>
  <c r="J317" i="14"/>
  <c r="L317" i="14" s="1"/>
  <c r="M317" i="14" s="1"/>
  <c r="N317" i="14" s="1"/>
  <c r="O317" i="14" s="1"/>
  <c r="P317" i="14" s="1"/>
  <c r="J289" i="14"/>
  <c r="J286" i="14"/>
  <c r="L286" i="14" s="1"/>
  <c r="M286" i="14" s="1"/>
  <c r="N286" i="14" s="1"/>
  <c r="O286" i="14" s="1"/>
  <c r="P286" i="14" s="1"/>
  <c r="N292" i="18"/>
  <c r="J290" i="14"/>
  <c r="L290" i="14" s="1"/>
  <c r="M290" i="14" s="1"/>
  <c r="N290" i="14" s="1"/>
  <c r="O290" i="14" s="1"/>
  <c r="P290" i="14" s="1"/>
  <c r="J305" i="14"/>
  <c r="L305" i="14" s="1"/>
  <c r="M305" i="14" s="1"/>
  <c r="N305" i="14" s="1"/>
  <c r="O305" i="14" s="1"/>
  <c r="P305" i="14" s="1"/>
  <c r="L298" i="14"/>
  <c r="M298" i="14" s="1"/>
  <c r="N298" i="14" s="1"/>
  <c r="O298" i="14" s="1"/>
  <c r="P298" i="14" s="1"/>
  <c r="L311" i="14"/>
  <c r="M311" i="14" s="1"/>
  <c r="N311" i="14" s="1"/>
  <c r="O311" i="14" s="1"/>
  <c r="P311" i="14" s="1"/>
  <c r="J314" i="14"/>
  <c r="L314" i="14" s="1"/>
  <c r="M314" i="14" s="1"/>
  <c r="N314" i="14" s="1"/>
  <c r="O314" i="14" s="1"/>
  <c r="P314" i="14" s="1"/>
  <c r="J309" i="14"/>
  <c r="N294" i="18"/>
  <c r="K326" i="18"/>
  <c r="AB319" i="13"/>
  <c r="Z319" i="14" s="1"/>
  <c r="M314" i="18"/>
  <c r="K320" i="18"/>
  <c r="J300" i="14"/>
  <c r="L300" i="14" s="1"/>
  <c r="M300" i="14" s="1"/>
  <c r="N300" i="14" s="1"/>
  <c r="O300" i="14" s="1"/>
  <c r="P300" i="14" s="1"/>
  <c r="J291" i="14"/>
  <c r="L291" i="14" s="1"/>
  <c r="M291" i="14" s="1"/>
  <c r="N291" i="14" s="1"/>
  <c r="O291" i="14" s="1"/>
  <c r="P291" i="14" s="1"/>
  <c r="L310" i="14"/>
  <c r="M310" i="14" s="1"/>
  <c r="N310" i="14" s="1"/>
  <c r="O310" i="14" s="1"/>
  <c r="P310" i="14" s="1"/>
  <c r="L323" i="14"/>
  <c r="M323" i="14" s="1"/>
  <c r="N323" i="14" s="1"/>
  <c r="O323" i="14" s="1"/>
  <c r="P323" i="14" s="1"/>
  <c r="J306" i="14"/>
  <c r="L306" i="14" s="1"/>
  <c r="M306" i="14" s="1"/>
  <c r="N306" i="14" s="1"/>
  <c r="O306" i="14" s="1"/>
  <c r="P306" i="14" s="1"/>
  <c r="J288" i="14"/>
  <c r="L288" i="14" s="1"/>
  <c r="M288" i="14" s="1"/>
  <c r="N288" i="14" s="1"/>
  <c r="O288" i="14" s="1"/>
  <c r="P288" i="14" s="1"/>
  <c r="J324" i="14"/>
  <c r="L295" i="14"/>
  <c r="M295" i="14" s="1"/>
  <c r="N295" i="14" s="1"/>
  <c r="O295" i="14" s="1"/>
  <c r="P295" i="14" s="1"/>
  <c r="J315" i="14"/>
  <c r="L315" i="14" s="1"/>
  <c r="M315" i="14" s="1"/>
  <c r="N315" i="14" s="1"/>
  <c r="O315" i="14" s="1"/>
  <c r="P315" i="14" s="1"/>
  <c r="L311" i="13"/>
  <c r="M311" i="13" s="1"/>
  <c r="M329" i="13"/>
  <c r="M306" i="18"/>
  <c r="K318" i="18"/>
  <c r="K302" i="18"/>
  <c r="L322" i="13"/>
  <c r="M322" i="13" s="1"/>
  <c r="L312" i="18"/>
  <c r="M300" i="18"/>
  <c r="N290" i="18"/>
  <c r="L309" i="14"/>
  <c r="M309" i="14" s="1"/>
  <c r="N309" i="14" s="1"/>
  <c r="O309" i="14" s="1"/>
  <c r="P309" i="14" s="1"/>
  <c r="N294" i="13"/>
  <c r="O294" i="13" s="1"/>
  <c r="Q294" i="13" s="1"/>
  <c r="R294" i="13" s="1"/>
  <c r="M294" i="13"/>
  <c r="K314" i="18"/>
  <c r="K300" i="18"/>
  <c r="K322" i="18"/>
  <c r="K290" i="18"/>
  <c r="N302" i="18"/>
  <c r="L314" i="18"/>
  <c r="K294" i="18"/>
  <c r="N322" i="18"/>
  <c r="M302" i="18"/>
  <c r="M309" i="18"/>
  <c r="M326" i="18"/>
  <c r="N300" i="18"/>
  <c r="L298" i="13"/>
  <c r="M298" i="13" s="1"/>
  <c r="N289" i="18"/>
  <c r="N306" i="18"/>
  <c r="K288" i="18"/>
  <c r="N297" i="18"/>
  <c r="N323" i="18"/>
  <c r="L306" i="18"/>
  <c r="M288" i="18"/>
  <c r="L320" i="14"/>
  <c r="M320" i="14" s="1"/>
  <c r="N320" i="14" s="1"/>
  <c r="O320" i="14" s="1"/>
  <c r="P320" i="14" s="1"/>
  <c r="M312" i="18"/>
  <c r="M291" i="13"/>
  <c r="N291" i="13"/>
  <c r="O291" i="13" s="1"/>
  <c r="Q291" i="13" s="1"/>
  <c r="R291" i="13" s="1"/>
  <c r="L302" i="13"/>
  <c r="N302" i="13" s="1"/>
  <c r="O302" i="13" s="1"/>
  <c r="Q302" i="13" s="1"/>
  <c r="R302" i="13" s="1"/>
  <c r="N310" i="18"/>
  <c r="M317" i="18"/>
  <c r="K327" i="18"/>
  <c r="N288" i="18"/>
  <c r="N318" i="18"/>
  <c r="N315" i="18"/>
  <c r="M297" i="18"/>
  <c r="L321" i="13"/>
  <c r="N321" i="13" s="1"/>
  <c r="O321" i="13" s="1"/>
  <c r="Q321" i="13" s="1"/>
  <c r="R321" i="13" s="1"/>
  <c r="L310" i="13"/>
  <c r="N310" i="13" s="1"/>
  <c r="O310" i="13" s="1"/>
  <c r="Q310" i="13" s="1"/>
  <c r="R310" i="13" s="1"/>
  <c r="K311" i="18"/>
  <c r="N324" i="18"/>
  <c r="N288" i="13"/>
  <c r="O288" i="13" s="1"/>
  <c r="Q288" i="13" s="1"/>
  <c r="R288" i="13" s="1"/>
  <c r="M320" i="18"/>
  <c r="N305" i="18"/>
  <c r="M324" i="18"/>
  <c r="L325" i="18"/>
  <c r="K299" i="18"/>
  <c r="N320" i="18"/>
  <c r="L326" i="18"/>
  <c r="L305" i="18"/>
  <c r="M318" i="18"/>
  <c r="M286" i="18"/>
  <c r="M290" i="13"/>
  <c r="N325" i="18"/>
  <c r="AA328" i="13"/>
  <c r="AB328" i="13" s="1"/>
  <c r="AA329" i="13"/>
  <c r="L294" i="14"/>
  <c r="M294" i="14" s="1"/>
  <c r="N294" i="14" s="1"/>
  <c r="O294" i="14" s="1"/>
  <c r="P294" i="14" s="1"/>
  <c r="L307" i="14"/>
  <c r="M307" i="14" s="1"/>
  <c r="N307" i="14" s="1"/>
  <c r="O307" i="14" s="1"/>
  <c r="P307" i="14" s="1"/>
  <c r="L326" i="14"/>
  <c r="M326" i="14" s="1"/>
  <c r="N326" i="14" s="1"/>
  <c r="O326" i="14" s="1"/>
  <c r="P326" i="14" s="1"/>
  <c r="L327" i="14"/>
  <c r="M327" i="14" s="1"/>
  <c r="N327" i="14" s="1"/>
  <c r="O327" i="14" s="1"/>
  <c r="P327" i="14" s="1"/>
  <c r="N292" i="13"/>
  <c r="O292" i="13" s="1"/>
  <c r="Q292" i="13" s="1"/>
  <c r="R292" i="13" s="1"/>
  <c r="N327" i="13"/>
  <c r="O327" i="13" s="1"/>
  <c r="Q327" i="13" s="1"/>
  <c r="R327" i="13" s="1"/>
  <c r="AC316" i="13"/>
  <c r="Z316" i="14"/>
  <c r="N320" i="13"/>
  <c r="O320" i="13" s="1"/>
  <c r="Q320" i="13" s="1"/>
  <c r="R320" i="13" s="1"/>
  <c r="M320" i="13"/>
  <c r="M287" i="13"/>
  <c r="N287" i="13"/>
  <c r="O287" i="13" s="1"/>
  <c r="Q287" i="13" s="1"/>
  <c r="R287" i="13" s="1"/>
  <c r="N324" i="13"/>
  <c r="O324" i="13" s="1"/>
  <c r="Q324" i="13" s="1"/>
  <c r="R324" i="13" s="1"/>
  <c r="M324" i="13"/>
  <c r="N297" i="13"/>
  <c r="O297" i="13" s="1"/>
  <c r="Q297" i="13" s="1"/>
  <c r="R297" i="13" s="1"/>
  <c r="M297" i="13"/>
  <c r="M325" i="13"/>
  <c r="N325" i="13"/>
  <c r="O325" i="13" s="1"/>
  <c r="Q325" i="13" s="1"/>
  <c r="R325" i="13" s="1"/>
  <c r="M317" i="13"/>
  <c r="N317" i="13"/>
  <c r="O317" i="13" s="1"/>
  <c r="Q317" i="13" s="1"/>
  <c r="R317" i="13" s="1"/>
  <c r="M300" i="13"/>
  <c r="N300" i="13"/>
  <c r="O300" i="13" s="1"/>
  <c r="Q300" i="13" s="1"/>
  <c r="R300" i="13" s="1"/>
  <c r="M289" i="13"/>
  <c r="N289" i="13"/>
  <c r="O289" i="13" s="1"/>
  <c r="Q289" i="13" s="1"/>
  <c r="R289" i="13" s="1"/>
  <c r="N286" i="13"/>
  <c r="O286" i="13" s="1"/>
  <c r="Q286" i="13" s="1"/>
  <c r="R286" i="13" s="1"/>
  <c r="M286" i="13"/>
  <c r="N299" i="13"/>
  <c r="O299" i="13" s="1"/>
  <c r="Q299" i="13" s="1"/>
  <c r="R299" i="13" s="1"/>
  <c r="M299" i="13"/>
  <c r="N306" i="13"/>
  <c r="O306" i="13" s="1"/>
  <c r="Q306" i="13" s="1"/>
  <c r="R306" i="13" s="1"/>
  <c r="M306" i="13"/>
  <c r="N315" i="13"/>
  <c r="O315" i="13" s="1"/>
  <c r="Q315" i="13" s="1"/>
  <c r="R315" i="13" s="1"/>
  <c r="M315" i="13"/>
  <c r="M322" i="14"/>
  <c r="N322" i="14" s="1"/>
  <c r="O322" i="14" s="1"/>
  <c r="P322" i="14" s="1"/>
  <c r="K292" i="18"/>
  <c r="N327" i="18"/>
  <c r="K286" i="18"/>
  <c r="L324" i="14"/>
  <c r="M324" i="14" s="1"/>
  <c r="N324" i="14" s="1"/>
  <c r="O324" i="14" s="1"/>
  <c r="P324" i="14" s="1"/>
  <c r="Z287" i="13"/>
  <c r="X287" i="14" s="1"/>
  <c r="AC340" i="13"/>
  <c r="Z340" i="14"/>
  <c r="M312" i="13"/>
  <c r="Z312" i="13"/>
  <c r="X312" i="14" s="1"/>
  <c r="Z291" i="13"/>
  <c r="X291" i="14" s="1"/>
  <c r="Z354" i="14"/>
  <c r="AC354" i="13"/>
  <c r="Z299" i="13"/>
  <c r="X299" i="14" s="1"/>
  <c r="L323" i="13"/>
  <c r="N307" i="13"/>
  <c r="O307" i="13" s="1"/>
  <c r="Q307" i="13" s="1"/>
  <c r="R307" i="13" s="1"/>
  <c r="M287" i="18"/>
  <c r="M298" i="18"/>
  <c r="M321" i="18"/>
  <c r="M295" i="18"/>
  <c r="N307" i="18"/>
  <c r="Z314" i="13"/>
  <c r="X314" i="14" s="1"/>
  <c r="M309" i="13"/>
  <c r="N326" i="13"/>
  <c r="O326" i="13" s="1"/>
  <c r="Q326" i="13" s="1"/>
  <c r="R326" i="13" s="1"/>
  <c r="AC334" i="13"/>
  <c r="Z334" i="14"/>
  <c r="AC335" i="13"/>
  <c r="Z335" i="14"/>
  <c r="Z347" i="14"/>
  <c r="AC347" i="13"/>
  <c r="Z344" i="14"/>
  <c r="AC344" i="13"/>
  <c r="L302" i="14"/>
  <c r="M302" i="14" s="1"/>
  <c r="N302" i="14" s="1"/>
  <c r="O302" i="14" s="1"/>
  <c r="P302" i="14" s="1"/>
  <c r="M292" i="18"/>
  <c r="N309" i="18"/>
  <c r="M294" i="18"/>
  <c r="K317" i="18"/>
  <c r="K289" i="18"/>
  <c r="K305" i="18"/>
  <c r="L297" i="18"/>
  <c r="Z321" i="13"/>
  <c r="X321" i="14" s="1"/>
  <c r="AC339" i="13"/>
  <c r="Z339" i="14"/>
  <c r="L295" i="13"/>
  <c r="Z324" i="13"/>
  <c r="X324" i="14" s="1"/>
  <c r="Z290" i="13"/>
  <c r="X290" i="14" s="1"/>
  <c r="Z325" i="13"/>
  <c r="X325" i="14" s="1"/>
  <c r="Z307" i="13"/>
  <c r="X307" i="14" s="1"/>
  <c r="L289" i="14"/>
  <c r="M289" i="14" s="1"/>
  <c r="N289" i="14" s="1"/>
  <c r="O289" i="14" s="1"/>
  <c r="P289" i="14" s="1"/>
  <c r="N287" i="18"/>
  <c r="N298" i="18"/>
  <c r="N311" i="18"/>
  <c r="N321" i="18"/>
  <c r="K310" i="18"/>
  <c r="N295" i="18"/>
  <c r="N312" i="18"/>
  <c r="K291" i="18"/>
  <c r="K324" i="18"/>
  <c r="M322" i="18"/>
  <c r="M290" i="18"/>
  <c r="N299" i="18"/>
  <c r="M323" i="18"/>
  <c r="M307" i="18"/>
  <c r="Z292" i="13"/>
  <c r="X292" i="14" s="1"/>
  <c r="M314" i="13"/>
  <c r="Z294" i="13"/>
  <c r="X294" i="14" s="1"/>
  <c r="Z289" i="13"/>
  <c r="X289" i="14" s="1"/>
  <c r="M305" i="13"/>
  <c r="Z327" i="13"/>
  <c r="X327" i="14" s="1"/>
  <c r="M318" i="13"/>
  <c r="Z286" i="13"/>
  <c r="X286" i="14" s="1"/>
  <c r="M289" i="18"/>
  <c r="M327" i="18"/>
  <c r="N286" i="18"/>
  <c r="M315" i="18"/>
  <c r="Z311" i="13"/>
  <c r="X311" i="14" s="1"/>
  <c r="Z341" i="14"/>
  <c r="AC341" i="13"/>
  <c r="Z322" i="13"/>
  <c r="X322" i="14" s="1"/>
  <c r="AC331" i="13"/>
  <c r="Z331" i="14"/>
  <c r="Z323" i="13"/>
  <c r="X323" i="14" s="1"/>
  <c r="K287" i="18"/>
  <c r="K298" i="18"/>
  <c r="L311" i="18"/>
  <c r="K321" i="18"/>
  <c r="M310" i="18"/>
  <c r="K295" i="18"/>
  <c r="M291" i="18"/>
  <c r="M299" i="18"/>
  <c r="K323" i="18"/>
  <c r="K307" i="18"/>
  <c r="AC338" i="13"/>
  <c r="Z338" i="14"/>
  <c r="Z320" i="13"/>
  <c r="X320" i="14" s="1"/>
  <c r="Z326" i="13"/>
  <c r="X326" i="14" s="1"/>
  <c r="Z317" i="13"/>
  <c r="X317" i="14" s="1"/>
  <c r="Z346" i="14"/>
  <c r="AC346" i="13"/>
  <c r="Z306" i="13"/>
  <c r="X306" i="14" s="1"/>
  <c r="Z356" i="14"/>
  <c r="AC356" i="13"/>
  <c r="Z288" i="13"/>
  <c r="X288" i="14" s="1"/>
  <c r="Z318" i="13"/>
  <c r="X318" i="14" s="1"/>
  <c r="Z297" i="13"/>
  <c r="X297" i="14" s="1"/>
  <c r="Z298" i="13"/>
  <c r="X298" i="14" s="1"/>
  <c r="Z310" i="13"/>
  <c r="X310" i="14" s="1"/>
  <c r="Z295" i="13"/>
  <c r="X295" i="14" s="1"/>
  <c r="AC351" i="13"/>
  <c r="Z351" i="14"/>
  <c r="Z302" i="13"/>
  <c r="X302" i="14" s="1"/>
  <c r="AC336" i="13"/>
  <c r="Z336" i="14"/>
  <c r="AC343" i="13"/>
  <c r="Z343" i="14"/>
  <c r="Z309" i="13"/>
  <c r="X309" i="14" s="1"/>
  <c r="Z300" i="13"/>
  <c r="X300" i="14" s="1"/>
  <c r="Z305" i="13"/>
  <c r="X305" i="14" s="1"/>
  <c r="Z315" i="13"/>
  <c r="X315" i="14" s="1"/>
  <c r="Y329" i="8"/>
  <c r="Z329" i="8" s="1"/>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61" i="4"/>
  <c r="A260" i="4"/>
  <c r="A259" i="4"/>
  <c r="A258" i="4"/>
  <c r="A3" i="4"/>
  <c r="A4" i="4" s="1"/>
  <c r="A5" i="4" s="1"/>
  <c r="O301" i="19" l="1"/>
  <c r="R301" i="19" s="1"/>
  <c r="U301" i="19" s="1"/>
  <c r="X301" i="19" s="1"/>
  <c r="AC319" i="13"/>
  <c r="Y328" i="14"/>
  <c r="M321" i="13"/>
  <c r="N311" i="13"/>
  <c r="O311" i="13" s="1"/>
  <c r="Q311" i="13" s="1"/>
  <c r="R311" i="13" s="1"/>
  <c r="N322" i="13"/>
  <c r="O322" i="13" s="1"/>
  <c r="Q322" i="13" s="1"/>
  <c r="R322" i="13" s="1"/>
  <c r="M310" i="13"/>
  <c r="AA298" i="13"/>
  <c r="Y298" i="14" s="1"/>
  <c r="AA320" i="13"/>
  <c r="Y320" i="14" s="1"/>
  <c r="N298" i="13"/>
  <c r="O298" i="13" s="1"/>
  <c r="Q298" i="13" s="1"/>
  <c r="R298" i="13" s="1"/>
  <c r="M302" i="13"/>
  <c r="AA322" i="13"/>
  <c r="AB322" i="13" s="1"/>
  <c r="AA311" i="13"/>
  <c r="Y311" i="14" s="1"/>
  <c r="AA315" i="13"/>
  <c r="Y315" i="14" s="1"/>
  <c r="AA318" i="13"/>
  <c r="AB318" i="13" s="1"/>
  <c r="AA289" i="13"/>
  <c r="Y289" i="14" s="1"/>
  <c r="AA302" i="13"/>
  <c r="Y302" i="14" s="1"/>
  <c r="AA326" i="13"/>
  <c r="AB326" i="13" s="1"/>
  <c r="AA323" i="13"/>
  <c r="Y323" i="14" s="1"/>
  <c r="AA287" i="13"/>
  <c r="Y287" i="14" s="1"/>
  <c r="AA310" i="13"/>
  <c r="Y310" i="14" s="1"/>
  <c r="AA297" i="13"/>
  <c r="Y297" i="14" s="1"/>
  <c r="AA327" i="13"/>
  <c r="AB327" i="13" s="1"/>
  <c r="AA294" i="13"/>
  <c r="Y294" i="14" s="1"/>
  <c r="AA292" i="13"/>
  <c r="AB292" i="13" s="1"/>
  <c r="AA321" i="13"/>
  <c r="AB321" i="13" s="1"/>
  <c r="AA299" i="13"/>
  <c r="Y299" i="14" s="1"/>
  <c r="AA291" i="13"/>
  <c r="AB291" i="13" s="1"/>
  <c r="AA305" i="13"/>
  <c r="Y305" i="14" s="1"/>
  <c r="AA309" i="13"/>
  <c r="Y309" i="14" s="1"/>
  <c r="AA288" i="13"/>
  <c r="AB288" i="13" s="1"/>
  <c r="AA306" i="13"/>
  <c r="Y306" i="14" s="1"/>
  <c r="AA317" i="13"/>
  <c r="AB317" i="13" s="1"/>
  <c r="AA286" i="13"/>
  <c r="AB286" i="13" s="1"/>
  <c r="AA307" i="13"/>
  <c r="Y307" i="14" s="1"/>
  <c r="AA290" i="13"/>
  <c r="AB290" i="13" s="1"/>
  <c r="AA300" i="13"/>
  <c r="Y300" i="14" s="1"/>
  <c r="AA295" i="13"/>
  <c r="Y295" i="14" s="1"/>
  <c r="AA325" i="13"/>
  <c r="Y325" i="14" s="1"/>
  <c r="AA324" i="13"/>
  <c r="AB324" i="13" s="1"/>
  <c r="AA314" i="13"/>
  <c r="Y314" i="14" s="1"/>
  <c r="AA312" i="13"/>
  <c r="Y312" i="14" s="1"/>
  <c r="Y329" i="14"/>
  <c r="AB329" i="13"/>
  <c r="AA351" i="14"/>
  <c r="AB315" i="13"/>
  <c r="AA343" i="14"/>
  <c r="AA356" i="14"/>
  <c r="AA346" i="14"/>
  <c r="AA341" i="14"/>
  <c r="AA338" i="14"/>
  <c r="AA319" i="14"/>
  <c r="AA339" i="14"/>
  <c r="AA344" i="14"/>
  <c r="AA354" i="14"/>
  <c r="N323" i="13"/>
  <c r="O323" i="13" s="1"/>
  <c r="Q323" i="13" s="1"/>
  <c r="R323" i="13" s="1"/>
  <c r="M323" i="13"/>
  <c r="AA340" i="14"/>
  <c r="AA336" i="14"/>
  <c r="AA335" i="14"/>
  <c r="AB320" i="13"/>
  <c r="AA331" i="14"/>
  <c r="AC328" i="13"/>
  <c r="Z328" i="14"/>
  <c r="M295" i="13"/>
  <c r="N295" i="13"/>
  <c r="O295" i="13" s="1"/>
  <c r="Q295" i="13" s="1"/>
  <c r="R295" i="13" s="1"/>
  <c r="AA347" i="14"/>
  <c r="AA334" i="14"/>
  <c r="AA316" i="14"/>
  <c r="AB328" i="8"/>
  <c r="N300" i="4"/>
  <c r="N299" i="4"/>
  <c r="N298" i="4"/>
  <c r="N297" i="4"/>
  <c r="N296" i="4"/>
  <c r="N295" i="4"/>
  <c r="N294" i="4"/>
  <c r="N293" i="4"/>
  <c r="N292" i="4"/>
  <c r="N291" i="4"/>
  <c r="N290" i="4"/>
  <c r="N289" i="4"/>
  <c r="N288" i="4"/>
  <c r="N287" i="4"/>
  <c r="N286" i="4"/>
  <c r="N285" i="4"/>
  <c r="N284" i="4"/>
  <c r="N283" i="4"/>
  <c r="N282" i="4"/>
  <c r="N281" i="4"/>
  <c r="N280" i="4"/>
  <c r="N279" i="4"/>
  <c r="N278" i="4"/>
  <c r="N277" i="4"/>
  <c r="N276" i="4"/>
  <c r="N275" i="4"/>
  <c r="N274" i="4"/>
  <c r="N273" i="4"/>
  <c r="N272" i="4"/>
  <c r="N271" i="4"/>
  <c r="N270" i="4"/>
  <c r="N269" i="4"/>
  <c r="N268" i="4"/>
  <c r="N267" i="4"/>
  <c r="N266" i="4"/>
  <c r="N265" i="4"/>
  <c r="N264" i="4"/>
  <c r="N263" i="4"/>
  <c r="N262" i="4"/>
  <c r="N261" i="4"/>
  <c r="N260" i="4"/>
  <c r="N259" i="4"/>
  <c r="N258" i="4"/>
  <c r="N257" i="4"/>
  <c r="N256" i="4"/>
  <c r="N255" i="4"/>
  <c r="N254" i="4"/>
  <c r="N253" i="4"/>
  <c r="N252" i="4"/>
  <c r="N251" i="4"/>
  <c r="N250" i="4"/>
  <c r="N249" i="4"/>
  <c r="N248" i="4"/>
  <c r="N247" i="4"/>
  <c r="N246" i="4"/>
  <c r="N245" i="4"/>
  <c r="N244" i="4"/>
  <c r="N243" i="4"/>
  <c r="N242" i="4"/>
  <c r="N241" i="4"/>
  <c r="N240" i="4"/>
  <c r="N239" i="4"/>
  <c r="N238" i="4"/>
  <c r="N237" i="4"/>
  <c r="N236" i="4"/>
  <c r="N235" i="4"/>
  <c r="N234" i="4"/>
  <c r="N233" i="4"/>
  <c r="N232" i="4"/>
  <c r="N231" i="4"/>
  <c r="N230" i="4"/>
  <c r="N229" i="4"/>
  <c r="N228" i="4"/>
  <c r="N227" i="4"/>
  <c r="N226" i="4"/>
  <c r="N225" i="4"/>
  <c r="N224" i="4"/>
  <c r="N223" i="4"/>
  <c r="N222" i="4"/>
  <c r="N221" i="4"/>
  <c r="N220" i="4"/>
  <c r="N219" i="4"/>
  <c r="N218" i="4"/>
  <c r="N217" i="4"/>
  <c r="N216" i="4"/>
  <c r="N215" i="4"/>
  <c r="N214" i="4"/>
  <c r="N213" i="4"/>
  <c r="N212" i="4"/>
  <c r="N211" i="4"/>
  <c r="N210" i="4"/>
  <c r="N209" i="4"/>
  <c r="N208" i="4"/>
  <c r="N207" i="4"/>
  <c r="N206" i="4"/>
  <c r="N205" i="4"/>
  <c r="N204" i="4"/>
  <c r="N203" i="4"/>
  <c r="N202" i="4"/>
  <c r="N201" i="4"/>
  <c r="N200" i="4"/>
  <c r="N199" i="4"/>
  <c r="N198" i="4"/>
  <c r="N197" i="4"/>
  <c r="N196" i="4"/>
  <c r="N195" i="4"/>
  <c r="N194" i="4"/>
  <c r="N193" i="4"/>
  <c r="N192" i="4"/>
  <c r="N191" i="4"/>
  <c r="N190" i="4"/>
  <c r="N189" i="4"/>
  <c r="N188" i="4"/>
  <c r="N187" i="4"/>
  <c r="N186" i="4"/>
  <c r="N185" i="4"/>
  <c r="N184" i="4"/>
  <c r="N183" i="4"/>
  <c r="N182" i="4"/>
  <c r="N181" i="4"/>
  <c r="N180" i="4"/>
  <c r="N179" i="4"/>
  <c r="N178" i="4"/>
  <c r="N177" i="4"/>
  <c r="N176" i="4"/>
  <c r="N175" i="4"/>
  <c r="N174" i="4"/>
  <c r="N173" i="4"/>
  <c r="N172" i="4"/>
  <c r="N171" i="4"/>
  <c r="N170" i="4"/>
  <c r="N169" i="4"/>
  <c r="N168" i="4"/>
  <c r="N167" i="4"/>
  <c r="N166" i="4"/>
  <c r="N165" i="4"/>
  <c r="N164" i="4"/>
  <c r="N163" i="4"/>
  <c r="N162" i="4"/>
  <c r="N161" i="4"/>
  <c r="N160" i="4"/>
  <c r="N159" i="4"/>
  <c r="N158" i="4"/>
  <c r="N157" i="4"/>
  <c r="N156" i="4"/>
  <c r="N155" i="4"/>
  <c r="N154" i="4"/>
  <c r="N153" i="4"/>
  <c r="N152" i="4"/>
  <c r="N151" i="4"/>
  <c r="N150" i="4"/>
  <c r="N149" i="4"/>
  <c r="N148" i="4"/>
  <c r="N147" i="4"/>
  <c r="N146" i="4"/>
  <c r="N145" i="4"/>
  <c r="N144" i="4"/>
  <c r="N143" i="4"/>
  <c r="N142" i="4"/>
  <c r="N141" i="4"/>
  <c r="N140" i="4"/>
  <c r="N139" i="4"/>
  <c r="N138" i="4"/>
  <c r="N137" i="4"/>
  <c r="N136" i="4"/>
  <c r="N135" i="4"/>
  <c r="N134" i="4"/>
  <c r="N133" i="4"/>
  <c r="N132" i="4"/>
  <c r="N131" i="4"/>
  <c r="N130" i="4"/>
  <c r="N129" i="4"/>
  <c r="N128" i="4"/>
  <c r="N127" i="4"/>
  <c r="N126" i="4"/>
  <c r="N125" i="4"/>
  <c r="N124" i="4"/>
  <c r="N123" i="4"/>
  <c r="N122" i="4"/>
  <c r="N121" i="4"/>
  <c r="N120" i="4"/>
  <c r="N119" i="4"/>
  <c r="N118" i="4"/>
  <c r="N117" i="4"/>
  <c r="N116" i="4"/>
  <c r="N115" i="4"/>
  <c r="N114" i="4"/>
  <c r="N113" i="4"/>
  <c r="N112" i="4"/>
  <c r="N111" i="4"/>
  <c r="N110" i="4"/>
  <c r="N109" i="4"/>
  <c r="N108" i="4"/>
  <c r="N107" i="4"/>
  <c r="N106" i="4"/>
  <c r="N105" i="4"/>
  <c r="N104" i="4"/>
  <c r="N103" i="4"/>
  <c r="N102" i="4"/>
  <c r="N101" i="4"/>
  <c r="N100" i="4"/>
  <c r="N99" i="4"/>
  <c r="N98" i="4"/>
  <c r="N97" i="4"/>
  <c r="N96" i="4"/>
  <c r="N95" i="4"/>
  <c r="N94" i="4"/>
  <c r="N93" i="4"/>
  <c r="N92" i="4"/>
  <c r="N91" i="4"/>
  <c r="N90" i="4"/>
  <c r="N89" i="4"/>
  <c r="N88" i="4"/>
  <c r="N87" i="4"/>
  <c r="N86" i="4"/>
  <c r="N85" i="4"/>
  <c r="N84" i="4"/>
  <c r="N83" i="4"/>
  <c r="N82" i="4"/>
  <c r="N81" i="4"/>
  <c r="N80" i="4"/>
  <c r="N79" i="4"/>
  <c r="N78" i="4"/>
  <c r="N77" i="4"/>
  <c r="N76" i="4"/>
  <c r="N75" i="4"/>
  <c r="N74" i="4"/>
  <c r="N73" i="4"/>
  <c r="N72" i="4"/>
  <c r="N71" i="4"/>
  <c r="N70" i="4"/>
  <c r="N69" i="4"/>
  <c r="N68" i="4"/>
  <c r="N67" i="4"/>
  <c r="N66" i="4"/>
  <c r="N65" i="4"/>
  <c r="N64" i="4"/>
  <c r="N63" i="4"/>
  <c r="N62" i="4"/>
  <c r="N61" i="4"/>
  <c r="N60" i="4"/>
  <c r="N59" i="4"/>
  <c r="N58" i="4"/>
  <c r="N57" i="4"/>
  <c r="N56" i="4"/>
  <c r="N55" i="4"/>
  <c r="N54" i="4"/>
  <c r="N53" i="4"/>
  <c r="N52" i="4"/>
  <c r="N51" i="4"/>
  <c r="N50" i="4"/>
  <c r="N49" i="4"/>
  <c r="N48" i="4"/>
  <c r="N47" i="4"/>
  <c r="N46" i="4"/>
  <c r="N45" i="4"/>
  <c r="N44" i="4"/>
  <c r="N43" i="4"/>
  <c r="N42" i="4"/>
  <c r="N41" i="4"/>
  <c r="N40" i="4"/>
  <c r="N39" i="4"/>
  <c r="N38" i="4"/>
  <c r="N37" i="4"/>
  <c r="N36" i="4"/>
  <c r="N35" i="4"/>
  <c r="N34" i="4"/>
  <c r="N33" i="4"/>
  <c r="N32" i="4"/>
  <c r="N31" i="4"/>
  <c r="N30" i="4"/>
  <c r="N29" i="4"/>
  <c r="N28" i="4"/>
  <c r="N27" i="4"/>
  <c r="N26" i="4"/>
  <c r="N25" i="4"/>
  <c r="N24" i="4"/>
  <c r="N23" i="4"/>
  <c r="N22" i="4"/>
  <c r="N21" i="4"/>
  <c r="N20" i="4"/>
  <c r="N19" i="4"/>
  <c r="N18" i="4"/>
  <c r="N17" i="4"/>
  <c r="N16" i="4"/>
  <c r="N15" i="4"/>
  <c r="N14" i="4"/>
  <c r="N13" i="4"/>
  <c r="N12" i="4"/>
  <c r="N11" i="4"/>
  <c r="N10" i="4"/>
  <c r="N9" i="4"/>
  <c r="N8" i="4"/>
  <c r="N7" i="4"/>
  <c r="N6" i="4"/>
  <c r="N5" i="4"/>
  <c r="N4" i="4"/>
  <c r="N3" i="4"/>
  <c r="N2"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7" i="4"/>
  <c r="L6" i="4"/>
  <c r="L5" i="4"/>
  <c r="L4" i="4"/>
  <c r="L3" i="4"/>
  <c r="L2" i="4"/>
  <c r="Y326" i="14" l="1"/>
  <c r="AB287" i="13"/>
  <c r="Z287" i="14" s="1"/>
  <c r="AB289" i="13"/>
  <c r="AC289" i="13" s="1"/>
  <c r="Y286" i="14"/>
  <c r="Y321" i="14"/>
  <c r="Y322" i="14"/>
  <c r="Y290" i="14"/>
  <c r="Y327" i="14"/>
  <c r="Y291" i="14"/>
  <c r="Y317" i="14"/>
  <c r="Y324" i="14"/>
  <c r="Y292" i="14"/>
  <c r="AB325" i="13"/>
  <c r="AC325" i="13" s="1"/>
  <c r="Y288" i="14"/>
  <c r="AB323" i="13"/>
  <c r="Z323" i="14" s="1"/>
  <c r="Y318" i="14"/>
  <c r="AC329" i="13"/>
  <c r="AA329" i="14" s="1"/>
  <c r="Z329" i="14"/>
  <c r="AC326" i="13"/>
  <c r="Z326" i="14"/>
  <c r="AC315" i="13"/>
  <c r="Z315" i="14"/>
  <c r="AC290" i="13"/>
  <c r="Z290" i="14"/>
  <c r="AC286" i="13"/>
  <c r="Z286" i="14"/>
  <c r="AC292" i="13"/>
  <c r="Z292" i="14"/>
  <c r="AA328" i="14"/>
  <c r="AC322" i="13"/>
  <c r="Z322" i="14"/>
  <c r="AC320" i="13"/>
  <c r="Z320" i="14"/>
  <c r="AC324" i="13"/>
  <c r="Z324" i="14"/>
  <c r="AC288" i="13"/>
  <c r="Z288" i="14"/>
  <c r="AC317" i="13"/>
  <c r="Z317" i="14"/>
  <c r="AC291" i="13"/>
  <c r="Z291" i="14"/>
  <c r="AC327" i="13"/>
  <c r="Z327" i="14"/>
  <c r="AC318" i="13"/>
  <c r="Z318" i="14"/>
  <c r="AC321" i="13"/>
  <c r="Z321" i="14"/>
  <c r="AB329" i="8"/>
  <c r="K300" i="4"/>
  <c r="K299" i="4"/>
  <c r="K298" i="4"/>
  <c r="K297" i="4"/>
  <c r="K296" i="4"/>
  <c r="K295" i="4"/>
  <c r="K294" i="4"/>
  <c r="K293" i="4"/>
  <c r="K292" i="4"/>
  <c r="K291" i="4"/>
  <c r="K290" i="4"/>
  <c r="K289" i="4"/>
  <c r="K288" i="4"/>
  <c r="K287" i="4"/>
  <c r="K286" i="4"/>
  <c r="K285" i="4"/>
  <c r="K284" i="4"/>
  <c r="K283" i="4"/>
  <c r="K282" i="4"/>
  <c r="K281" i="4"/>
  <c r="K280" i="4"/>
  <c r="K279" i="4"/>
  <c r="K278" i="4"/>
  <c r="K277" i="4"/>
  <c r="K276" i="4"/>
  <c r="K275" i="4"/>
  <c r="K274" i="4"/>
  <c r="K273" i="4"/>
  <c r="K272" i="4"/>
  <c r="K271" i="4"/>
  <c r="K270" i="4"/>
  <c r="K269" i="4"/>
  <c r="K268" i="4"/>
  <c r="K267" i="4"/>
  <c r="K266" i="4"/>
  <c r="K265" i="4"/>
  <c r="K264" i="4"/>
  <c r="K263" i="4"/>
  <c r="K262" i="4"/>
  <c r="K261" i="4"/>
  <c r="K260" i="4"/>
  <c r="K259" i="4"/>
  <c r="K258" i="4"/>
  <c r="K257" i="4"/>
  <c r="K256" i="4"/>
  <c r="K255" i="4"/>
  <c r="K254" i="4"/>
  <c r="K253" i="4"/>
  <c r="K252" i="4"/>
  <c r="K251" i="4"/>
  <c r="K250" i="4"/>
  <c r="K249" i="4"/>
  <c r="K248" i="4"/>
  <c r="K247" i="4"/>
  <c r="K246" i="4"/>
  <c r="K245" i="4"/>
  <c r="K244" i="4"/>
  <c r="K243" i="4"/>
  <c r="K242" i="4"/>
  <c r="K241" i="4"/>
  <c r="K240" i="4"/>
  <c r="K239" i="4"/>
  <c r="K238" i="4"/>
  <c r="K237" i="4"/>
  <c r="K236" i="4"/>
  <c r="K235" i="4"/>
  <c r="K234" i="4"/>
  <c r="K233" i="4"/>
  <c r="K232" i="4"/>
  <c r="K231" i="4"/>
  <c r="K230" i="4"/>
  <c r="K229" i="4"/>
  <c r="K228" i="4"/>
  <c r="K227" i="4"/>
  <c r="K226" i="4"/>
  <c r="K225" i="4"/>
  <c r="K224" i="4"/>
  <c r="K223" i="4"/>
  <c r="K222" i="4"/>
  <c r="K221" i="4"/>
  <c r="K220" i="4"/>
  <c r="K219" i="4"/>
  <c r="K218" i="4"/>
  <c r="K217" i="4"/>
  <c r="K216" i="4"/>
  <c r="K215" i="4"/>
  <c r="K214" i="4"/>
  <c r="K213" i="4"/>
  <c r="K212" i="4"/>
  <c r="K211" i="4"/>
  <c r="K210" i="4"/>
  <c r="K209" i="4"/>
  <c r="K208" i="4"/>
  <c r="K207" i="4"/>
  <c r="K206" i="4"/>
  <c r="K205" i="4"/>
  <c r="K204" i="4"/>
  <c r="K203" i="4"/>
  <c r="K202" i="4"/>
  <c r="K201" i="4"/>
  <c r="K200" i="4"/>
  <c r="K199" i="4"/>
  <c r="K198" i="4"/>
  <c r="K197" i="4"/>
  <c r="K196" i="4"/>
  <c r="K195" i="4"/>
  <c r="K194" i="4"/>
  <c r="K193" i="4"/>
  <c r="K192" i="4"/>
  <c r="K191" i="4"/>
  <c r="K190" i="4"/>
  <c r="K189" i="4"/>
  <c r="K188" i="4"/>
  <c r="K187" i="4"/>
  <c r="K186" i="4"/>
  <c r="K185" i="4"/>
  <c r="K184" i="4"/>
  <c r="K183" i="4"/>
  <c r="K182" i="4"/>
  <c r="K181" i="4"/>
  <c r="K180" i="4"/>
  <c r="K179" i="4"/>
  <c r="K178" i="4"/>
  <c r="K177" i="4"/>
  <c r="K176" i="4"/>
  <c r="K175" i="4"/>
  <c r="K174" i="4"/>
  <c r="K173" i="4"/>
  <c r="K172" i="4"/>
  <c r="K171" i="4"/>
  <c r="K170" i="4"/>
  <c r="K169" i="4"/>
  <c r="K168" i="4"/>
  <c r="K167" i="4"/>
  <c r="K166" i="4"/>
  <c r="K165" i="4"/>
  <c r="K164" i="4"/>
  <c r="K163" i="4"/>
  <c r="K162" i="4"/>
  <c r="K161" i="4"/>
  <c r="K160" i="4"/>
  <c r="K159" i="4"/>
  <c r="K158" i="4"/>
  <c r="K157" i="4"/>
  <c r="K156" i="4"/>
  <c r="K155" i="4"/>
  <c r="K154" i="4"/>
  <c r="K153" i="4"/>
  <c r="K152" i="4"/>
  <c r="K151" i="4"/>
  <c r="K150" i="4"/>
  <c r="K149" i="4"/>
  <c r="K148" i="4"/>
  <c r="K147" i="4"/>
  <c r="K146" i="4"/>
  <c r="K145" i="4"/>
  <c r="K144" i="4"/>
  <c r="K143" i="4"/>
  <c r="K142" i="4"/>
  <c r="K141" i="4"/>
  <c r="K140" i="4"/>
  <c r="K139" i="4"/>
  <c r="K138" i="4"/>
  <c r="K137" i="4"/>
  <c r="K136" i="4"/>
  <c r="K135" i="4"/>
  <c r="K134" i="4"/>
  <c r="K133" i="4"/>
  <c r="K132" i="4"/>
  <c r="K131" i="4"/>
  <c r="K130" i="4"/>
  <c r="K129" i="4"/>
  <c r="K128" i="4"/>
  <c r="K127" i="4"/>
  <c r="K126" i="4"/>
  <c r="K125" i="4"/>
  <c r="K124" i="4"/>
  <c r="K123" i="4"/>
  <c r="K122" i="4"/>
  <c r="K121" i="4"/>
  <c r="K120" i="4"/>
  <c r="K119" i="4"/>
  <c r="K118" i="4"/>
  <c r="K117" i="4"/>
  <c r="K116" i="4"/>
  <c r="K115" i="4"/>
  <c r="K114" i="4"/>
  <c r="K113" i="4"/>
  <c r="K112" i="4"/>
  <c r="K111" i="4"/>
  <c r="K110" i="4"/>
  <c r="K109" i="4"/>
  <c r="K108" i="4"/>
  <c r="K107" i="4"/>
  <c r="K106" i="4"/>
  <c r="K105" i="4"/>
  <c r="K104" i="4"/>
  <c r="K103" i="4"/>
  <c r="K102" i="4"/>
  <c r="K101" i="4"/>
  <c r="K100" i="4"/>
  <c r="K99" i="4"/>
  <c r="K98" i="4"/>
  <c r="K97" i="4"/>
  <c r="K96" i="4"/>
  <c r="K95" i="4"/>
  <c r="K94" i="4"/>
  <c r="K93" i="4"/>
  <c r="K92" i="4"/>
  <c r="K91" i="4"/>
  <c r="K90" i="4"/>
  <c r="K89" i="4"/>
  <c r="K88" i="4"/>
  <c r="K87" i="4"/>
  <c r="K86" i="4"/>
  <c r="K85" i="4"/>
  <c r="K84" i="4"/>
  <c r="K83" i="4"/>
  <c r="K82" i="4"/>
  <c r="K81" i="4"/>
  <c r="K80" i="4"/>
  <c r="K79" i="4"/>
  <c r="K78" i="4"/>
  <c r="K77" i="4"/>
  <c r="K76" i="4"/>
  <c r="K75" i="4"/>
  <c r="K74" i="4"/>
  <c r="K73" i="4"/>
  <c r="K72" i="4"/>
  <c r="K71" i="4"/>
  <c r="K70" i="4"/>
  <c r="K69" i="4"/>
  <c r="K68" i="4"/>
  <c r="K67" i="4"/>
  <c r="K66" i="4"/>
  <c r="K65" i="4"/>
  <c r="K64" i="4"/>
  <c r="K63" i="4"/>
  <c r="K62" i="4"/>
  <c r="K61" i="4"/>
  <c r="K60" i="4"/>
  <c r="K59" i="4"/>
  <c r="K58" i="4"/>
  <c r="K57" i="4"/>
  <c r="K56" i="4"/>
  <c r="K55" i="4"/>
  <c r="K54" i="4"/>
  <c r="K53" i="4"/>
  <c r="K52" i="4"/>
  <c r="K51" i="4"/>
  <c r="K50" i="4"/>
  <c r="K49" i="4"/>
  <c r="K48" i="4"/>
  <c r="K47" i="4"/>
  <c r="K46" i="4"/>
  <c r="K45" i="4"/>
  <c r="K44" i="4"/>
  <c r="K43" i="4"/>
  <c r="K42" i="4"/>
  <c r="K41" i="4"/>
  <c r="K40" i="4"/>
  <c r="K39" i="4"/>
  <c r="K38" i="4"/>
  <c r="K37" i="4"/>
  <c r="K36" i="4"/>
  <c r="K35" i="4"/>
  <c r="K34" i="4"/>
  <c r="K33" i="4"/>
  <c r="K32" i="4"/>
  <c r="K31" i="4"/>
  <c r="K30" i="4"/>
  <c r="K29" i="4"/>
  <c r="K28" i="4"/>
  <c r="K27" i="4"/>
  <c r="K26" i="4"/>
  <c r="K25" i="4"/>
  <c r="K24" i="4"/>
  <c r="K23" i="4"/>
  <c r="K22" i="4"/>
  <c r="K21" i="4"/>
  <c r="K20" i="4"/>
  <c r="K19" i="4"/>
  <c r="K18" i="4"/>
  <c r="K17" i="4"/>
  <c r="K16" i="4"/>
  <c r="K15" i="4"/>
  <c r="K14" i="4"/>
  <c r="K13" i="4"/>
  <c r="K12" i="4"/>
  <c r="K11" i="4"/>
  <c r="K10" i="4"/>
  <c r="K9" i="4"/>
  <c r="K8" i="4"/>
  <c r="K7" i="4"/>
  <c r="K6" i="4"/>
  <c r="K5" i="4"/>
  <c r="K4" i="4"/>
  <c r="K3" i="4"/>
  <c r="K2" i="4"/>
  <c r="AC287" i="13" l="1"/>
  <c r="AC323" i="13"/>
  <c r="AA323" i="14" s="1"/>
  <c r="Z289" i="14"/>
  <c r="Z325" i="14"/>
  <c r="AA322" i="14"/>
  <c r="AA325" i="14"/>
  <c r="AA318" i="14"/>
  <c r="AA327" i="14"/>
  <c r="AA291" i="14"/>
  <c r="AA315" i="14"/>
  <c r="AA324" i="14"/>
  <c r="AA286" i="14"/>
  <c r="AA288" i="14"/>
  <c r="AA320" i="14"/>
  <c r="AA292" i="14"/>
  <c r="AA290" i="14"/>
  <c r="AA287" i="14"/>
  <c r="AA321" i="14"/>
  <c r="AA289" i="14"/>
  <c r="AA317" i="14"/>
  <c r="AA326" i="14"/>
  <c r="D278" i="6"/>
  <c r="E278" i="6" s="1"/>
  <c r="D290" i="6"/>
  <c r="E290" i="6" s="1"/>
  <c r="B302" i="6"/>
  <c r="D310" i="6"/>
  <c r="E310" i="6" s="1"/>
  <c r="D277" i="6"/>
  <c r="E277" i="6" s="1"/>
  <c r="D281" i="6"/>
  <c r="E281" i="6" s="1"/>
  <c r="B285" i="6"/>
  <c r="B289" i="6"/>
  <c r="D293" i="6"/>
  <c r="E293" i="6" s="1"/>
  <c r="B297" i="6"/>
  <c r="B301" i="6"/>
  <c r="D305" i="6"/>
  <c r="E305" i="6" s="1"/>
  <c r="Z305" i="6" s="1" a="1"/>
  <c r="Z305" i="6" s="1"/>
  <c r="B305" i="6"/>
  <c r="D309" i="6"/>
  <c r="E309" i="6" s="1"/>
  <c r="B313" i="6"/>
  <c r="B282" i="6"/>
  <c r="B294" i="6"/>
  <c r="D314" i="6"/>
  <c r="E314" i="6" s="1"/>
  <c r="B275" i="6"/>
  <c r="B279" i="6"/>
  <c r="D283" i="6"/>
  <c r="E283" i="6" s="1"/>
  <c r="Z283" i="6" s="1" a="1"/>
  <c r="Z283" i="6" s="1"/>
  <c r="B283" i="6"/>
  <c r="D287" i="6"/>
  <c r="E287" i="6" s="1"/>
  <c r="B291" i="6"/>
  <c r="B295" i="6"/>
  <c r="B299" i="6"/>
  <c r="D303" i="6"/>
  <c r="E303" i="6" s="1"/>
  <c r="B307" i="6"/>
  <c r="B311" i="6"/>
  <c r="D315" i="6"/>
  <c r="E315" i="6" s="1"/>
  <c r="Z315" i="6" s="1" a="1"/>
  <c r="Z315" i="6" s="1"/>
  <c r="B315" i="6"/>
  <c r="D274" i="6"/>
  <c r="E274" i="6" s="1"/>
  <c r="B286" i="6"/>
  <c r="B298" i="6"/>
  <c r="D306" i="6"/>
  <c r="E306" i="6" s="1"/>
  <c r="C306" i="6" s="1"/>
  <c r="B306" i="6"/>
  <c r="D276" i="6"/>
  <c r="E276" i="6" s="1"/>
  <c r="B280" i="6"/>
  <c r="B284" i="6"/>
  <c r="D288" i="6"/>
  <c r="E288" i="6" s="1"/>
  <c r="C288" i="6" s="1"/>
  <c r="B288" i="6"/>
  <c r="D292" i="6"/>
  <c r="E292" i="6" s="1"/>
  <c r="B296" i="6"/>
  <c r="B300" i="6"/>
  <c r="D304" i="6"/>
  <c r="E304" i="6" s="1"/>
  <c r="Z304" i="6" s="1" a="1"/>
  <c r="Z304" i="6" s="1"/>
  <c r="B304" i="6"/>
  <c r="D308" i="6"/>
  <c r="E308" i="6" s="1"/>
  <c r="B312" i="6"/>
  <c r="B271" i="9"/>
  <c r="B279" i="9"/>
  <c r="B295" i="9"/>
  <c r="B260" i="9"/>
  <c r="B264" i="9"/>
  <c r="B268" i="9"/>
  <c r="B272" i="9"/>
  <c r="B276" i="9"/>
  <c r="B280" i="9"/>
  <c r="B284" i="9"/>
  <c r="B288" i="9"/>
  <c r="B292" i="9"/>
  <c r="B296" i="9"/>
  <c r="B300" i="9"/>
  <c r="B263" i="9"/>
  <c r="B275" i="9"/>
  <c r="B287" i="9"/>
  <c r="B299" i="9"/>
  <c r="B261" i="9"/>
  <c r="B265" i="9"/>
  <c r="B269" i="9"/>
  <c r="B273" i="9"/>
  <c r="B277" i="9"/>
  <c r="B281" i="9"/>
  <c r="B285" i="9"/>
  <c r="B289" i="9"/>
  <c r="B293" i="9"/>
  <c r="B297" i="9"/>
  <c r="B301" i="9"/>
  <c r="B267" i="9"/>
  <c r="B283" i="9"/>
  <c r="B291" i="9"/>
  <c r="B262" i="9"/>
  <c r="B266" i="9"/>
  <c r="B270" i="9"/>
  <c r="B274" i="9"/>
  <c r="B278" i="9"/>
  <c r="B282" i="9"/>
  <c r="B286" i="9"/>
  <c r="B290" i="9"/>
  <c r="B294" i="9"/>
  <c r="B298" i="9"/>
  <c r="C315" i="6" l="1"/>
  <c r="C283" i="6"/>
  <c r="C304" i="6"/>
  <c r="Z306" i="6" a="1"/>
  <c r="Z306" i="6" s="1"/>
  <c r="C305" i="6"/>
  <c r="Z288" i="6" a="1"/>
  <c r="Z288" i="6" s="1"/>
  <c r="D299" i="6"/>
  <c r="E299" i="6" s="1"/>
  <c r="D294" i="6"/>
  <c r="E294" i="6" s="1"/>
  <c r="D289" i="6"/>
  <c r="E289" i="6" s="1"/>
  <c r="D312" i="6"/>
  <c r="E312" i="6" s="1"/>
  <c r="D280" i="6"/>
  <c r="E280" i="6" s="1"/>
  <c r="D307" i="6"/>
  <c r="E307" i="6" s="1"/>
  <c r="D275" i="6"/>
  <c r="E275" i="6" s="1"/>
  <c r="Z275" i="6" s="1" a="1"/>
  <c r="Z275" i="6" s="1"/>
  <c r="D297" i="6"/>
  <c r="E297" i="6" s="1"/>
  <c r="D296" i="6"/>
  <c r="E296" i="6" s="1"/>
  <c r="D286" i="6"/>
  <c r="E286" i="6" s="1"/>
  <c r="D291" i="6"/>
  <c r="E291" i="6" s="1"/>
  <c r="Z291" i="6" s="1" a="1"/>
  <c r="Z291" i="6" s="1"/>
  <c r="D313" i="6"/>
  <c r="E313" i="6" s="1"/>
  <c r="Z281" i="6" a="1"/>
  <c r="Z281" i="6" s="1"/>
  <c r="C281" i="6"/>
  <c r="Z290" i="6" a="1"/>
  <c r="Z290" i="6" s="1"/>
  <c r="C290" i="6"/>
  <c r="B290" i="6"/>
  <c r="B281" i="6"/>
  <c r="B310" i="6"/>
  <c r="C308" i="6"/>
  <c r="Z308" i="6" a="1"/>
  <c r="Z308" i="6" s="1"/>
  <c r="C292" i="6"/>
  <c r="Z292" i="6" a="1"/>
  <c r="Z292" i="6" s="1"/>
  <c r="C276" i="6"/>
  <c r="Z276" i="6" a="1"/>
  <c r="Z276" i="6" s="1"/>
  <c r="C274" i="6"/>
  <c r="Z274" i="6" a="1"/>
  <c r="Z274" i="6" s="1"/>
  <c r="Z303" i="6" a="1"/>
  <c r="Z303" i="6" s="1"/>
  <c r="C303" i="6"/>
  <c r="Z287" i="6" a="1"/>
  <c r="Z287" i="6" s="1"/>
  <c r="C287" i="6"/>
  <c r="Z314" i="6" a="1"/>
  <c r="Z314" i="6" s="1"/>
  <c r="C314" i="6"/>
  <c r="Z309" i="6" a="1"/>
  <c r="Z309" i="6" s="1"/>
  <c r="C309" i="6"/>
  <c r="Z293" i="6" a="1"/>
  <c r="Z293" i="6" s="1"/>
  <c r="C293" i="6"/>
  <c r="Z277" i="6" a="1"/>
  <c r="Z277" i="6" s="1"/>
  <c r="C277" i="6"/>
  <c r="C310" i="6"/>
  <c r="Z310" i="6" a="1"/>
  <c r="Z310" i="6" s="1"/>
  <c r="C278" i="6"/>
  <c r="Z278" i="6" a="1"/>
  <c r="Z278" i="6" s="1"/>
  <c r="B308" i="6"/>
  <c r="D300" i="6"/>
  <c r="E300" i="6" s="1"/>
  <c r="B292" i="6"/>
  <c r="D284" i="6"/>
  <c r="E284" i="6" s="1"/>
  <c r="B276" i="6"/>
  <c r="D298" i="6"/>
  <c r="E298" i="6" s="1"/>
  <c r="B274" i="6"/>
  <c r="D311" i="6"/>
  <c r="E311" i="6" s="1"/>
  <c r="B303" i="6"/>
  <c r="D295" i="6"/>
  <c r="E295" i="6" s="1"/>
  <c r="B287" i="6"/>
  <c r="D279" i="6"/>
  <c r="E279" i="6" s="1"/>
  <c r="B314" i="6"/>
  <c r="D282" i="6"/>
  <c r="E282" i="6" s="1"/>
  <c r="B309" i="6"/>
  <c r="D301" i="6"/>
  <c r="E301" i="6" s="1"/>
  <c r="B293" i="6"/>
  <c r="D285" i="6"/>
  <c r="E285" i="6" s="1"/>
  <c r="B277" i="6"/>
  <c r="D302" i="6"/>
  <c r="E302" i="6" s="1"/>
  <c r="B278" i="6"/>
  <c r="B171" i="12"/>
  <c r="A171" i="8" s="1"/>
  <c r="A145" i="9" s="1"/>
  <c r="DO171" i="12"/>
  <c r="DM171" i="12"/>
  <c r="DJ171" i="12"/>
  <c r="DG171" i="12"/>
  <c r="DK171" i="12"/>
  <c r="DL171" i="12"/>
  <c r="DN171" i="12"/>
  <c r="DI171" i="12"/>
  <c r="DH171" i="12"/>
  <c r="DP171" i="12"/>
  <c r="B111" i="12"/>
  <c r="A111" i="8" s="1"/>
  <c r="A85" i="9" s="1"/>
  <c r="DL111" i="12"/>
  <c r="DP111" i="12"/>
  <c r="DI111" i="12"/>
  <c r="DM111" i="12"/>
  <c r="DH111" i="12"/>
  <c r="DK111" i="12"/>
  <c r="DJ111" i="12"/>
  <c r="DO111" i="12"/>
  <c r="DN111" i="12"/>
  <c r="DG111" i="12"/>
  <c r="BP47" i="12"/>
  <c r="BL47" i="12" s="1"/>
  <c r="B47" i="12"/>
  <c r="A47" i="8" s="1"/>
  <c r="A21" i="9" s="1"/>
  <c r="DG47" i="12"/>
  <c r="DK47" i="12"/>
  <c r="DO47" i="12"/>
  <c r="DJ47" i="12"/>
  <c r="DI47" i="12"/>
  <c r="DM47" i="12"/>
  <c r="DL47" i="12"/>
  <c r="DP47" i="12"/>
  <c r="DH47" i="12"/>
  <c r="DN47" i="12"/>
  <c r="B186" i="12"/>
  <c r="A186" i="8" s="1"/>
  <c r="A160" i="9" s="1"/>
  <c r="DJ186" i="12"/>
  <c r="DK186" i="12"/>
  <c r="DL186" i="12"/>
  <c r="DI186" i="12"/>
  <c r="DH186" i="12"/>
  <c r="DM186" i="12"/>
  <c r="DO186" i="12"/>
  <c r="DN186" i="12"/>
  <c r="DG186" i="12"/>
  <c r="DP186" i="12"/>
  <c r="BP154" i="12"/>
  <c r="BL154" i="12" s="1"/>
  <c r="B154" i="12"/>
  <c r="A154" i="8" s="1"/>
  <c r="A128" i="9" s="1"/>
  <c r="DH154" i="12"/>
  <c r="DL154" i="12"/>
  <c r="DM154" i="12"/>
  <c r="DJ154" i="12"/>
  <c r="DN154" i="12"/>
  <c r="DP154" i="12"/>
  <c r="DG154" i="12"/>
  <c r="DI154" i="12"/>
  <c r="DO154" i="12"/>
  <c r="DK154" i="12"/>
  <c r="BP106" i="12"/>
  <c r="BL106" i="12" s="1"/>
  <c r="DH106" i="12"/>
  <c r="B106" i="12"/>
  <c r="A106" i="8" s="1"/>
  <c r="A80" i="9" s="1"/>
  <c r="DG106" i="12"/>
  <c r="DL106" i="12"/>
  <c r="DM106" i="12"/>
  <c r="DP106" i="12"/>
  <c r="DI106" i="12"/>
  <c r="DK106" i="12"/>
  <c r="DO106" i="12"/>
  <c r="DJ106" i="12"/>
  <c r="DN106" i="12"/>
  <c r="DG74" i="12"/>
  <c r="BP74" i="12"/>
  <c r="BL74" i="12" s="1"/>
  <c r="DK74" i="12"/>
  <c r="DP74" i="12"/>
  <c r="DO74" i="12"/>
  <c r="DI74" i="12"/>
  <c r="DL74" i="12"/>
  <c r="DN74" i="12"/>
  <c r="B74" i="12"/>
  <c r="A74" i="8" s="1"/>
  <c r="A48" i="9" s="1"/>
  <c r="DM74" i="12"/>
  <c r="DH74" i="12"/>
  <c r="DJ74" i="12"/>
  <c r="B265" i="12"/>
  <c r="A265" i="8" s="1"/>
  <c r="A239" i="9" s="1"/>
  <c r="DM265" i="12"/>
  <c r="DK265" i="12"/>
  <c r="DH265" i="12"/>
  <c r="DO265" i="12"/>
  <c r="DI265" i="12"/>
  <c r="DP265" i="12"/>
  <c r="DJ265" i="12"/>
  <c r="DL265" i="12"/>
  <c r="DN265" i="12"/>
  <c r="DG265" i="12"/>
  <c r="B233" i="12"/>
  <c r="A233" i="8" s="1"/>
  <c r="A207" i="9" s="1"/>
  <c r="DM233" i="12"/>
  <c r="DI233" i="12"/>
  <c r="DO233" i="12"/>
  <c r="DL233" i="12"/>
  <c r="DG233" i="12"/>
  <c r="DN233" i="12"/>
  <c r="DH233" i="12"/>
  <c r="DJ233" i="12"/>
  <c r="DP233" i="12"/>
  <c r="DK233" i="12"/>
  <c r="BP217" i="12"/>
  <c r="BL217" i="12" s="1"/>
  <c r="B217" i="12"/>
  <c r="A217" i="8" s="1"/>
  <c r="A191" i="9" s="1"/>
  <c r="DM217" i="12"/>
  <c r="DP217" i="12"/>
  <c r="DG217" i="12"/>
  <c r="DN217" i="12"/>
  <c r="DO217" i="12"/>
  <c r="DL217" i="12"/>
  <c r="DH217" i="12"/>
  <c r="DI217" i="12"/>
  <c r="DK217" i="12"/>
  <c r="DJ217" i="12"/>
  <c r="DL201" i="12"/>
  <c r="DP201" i="12"/>
  <c r="B201" i="12"/>
  <c r="A201" i="8" s="1"/>
  <c r="A175" i="9" s="1"/>
  <c r="DH201" i="12"/>
  <c r="DI201" i="12"/>
  <c r="DN201" i="12"/>
  <c r="DM201" i="12"/>
  <c r="DG201" i="12"/>
  <c r="DO201" i="12"/>
  <c r="DJ201" i="12"/>
  <c r="DK201" i="12"/>
  <c r="BP169" i="12"/>
  <c r="BL169" i="12" s="1"/>
  <c r="DP169" i="12"/>
  <c r="DG169" i="12"/>
  <c r="DH169" i="12"/>
  <c r="DO169" i="12"/>
  <c r="B169" i="12"/>
  <c r="A169" i="8" s="1"/>
  <c r="A143" i="9" s="1"/>
  <c r="DL169" i="12"/>
  <c r="DK169" i="12"/>
  <c r="DM169" i="12"/>
  <c r="DJ169" i="12"/>
  <c r="DI169" i="12"/>
  <c r="DN169" i="12"/>
  <c r="BP121" i="12"/>
  <c r="BL121" i="12" s="1"/>
  <c r="DH121" i="12"/>
  <c r="B121" i="12"/>
  <c r="A121" i="8" s="1"/>
  <c r="A95" i="9" s="1"/>
  <c r="DG121" i="12"/>
  <c r="DP121" i="12"/>
  <c r="DI121" i="12"/>
  <c r="DK121" i="12"/>
  <c r="DJ121" i="12"/>
  <c r="DL121" i="12"/>
  <c r="DN121" i="12"/>
  <c r="DO121" i="12"/>
  <c r="DM121" i="12"/>
  <c r="BP89" i="12"/>
  <c r="BL89" i="12" s="1"/>
  <c r="B89" i="12"/>
  <c r="A89" i="8" s="1"/>
  <c r="A63" i="9" s="1"/>
  <c r="DI89" i="12"/>
  <c r="DG89" i="12"/>
  <c r="DH89" i="12"/>
  <c r="DN89" i="12"/>
  <c r="DO89" i="12"/>
  <c r="DP89" i="12"/>
  <c r="DM89" i="12"/>
  <c r="DK89" i="12"/>
  <c r="DL89" i="12"/>
  <c r="DJ89" i="12"/>
  <c r="BP57" i="12"/>
  <c r="BL57" i="12" s="1"/>
  <c r="B57" i="12"/>
  <c r="A57" i="8" s="1"/>
  <c r="A31" i="9" s="1"/>
  <c r="DL57" i="12"/>
  <c r="DP57" i="12"/>
  <c r="DI57" i="12"/>
  <c r="DH57" i="12"/>
  <c r="DM57" i="12"/>
  <c r="DG57" i="12"/>
  <c r="DO57" i="12"/>
  <c r="DK57" i="12"/>
  <c r="DJ57" i="12"/>
  <c r="DN57" i="12"/>
  <c r="BP41" i="12"/>
  <c r="BL41" i="12" s="1"/>
  <c r="B41" i="12"/>
  <c r="A41" i="8" s="1"/>
  <c r="A15" i="9" s="1"/>
  <c r="DK41" i="12"/>
  <c r="DJ41" i="12"/>
  <c r="DL41" i="12"/>
  <c r="DO41" i="12"/>
  <c r="DM41" i="12"/>
  <c r="DI41" i="12"/>
  <c r="DH41" i="12"/>
  <c r="DG41" i="12"/>
  <c r="DN41" i="12"/>
  <c r="DP41" i="12"/>
  <c r="DI284" i="12"/>
  <c r="B284" i="12"/>
  <c r="A284" i="8" s="1"/>
  <c r="A258" i="9" s="1"/>
  <c r="DM284" i="12"/>
  <c r="DP284" i="12"/>
  <c r="DH284" i="12"/>
  <c r="DG284" i="12"/>
  <c r="DO284" i="12"/>
  <c r="DK284" i="12"/>
  <c r="DL284" i="12"/>
  <c r="DJ284" i="12"/>
  <c r="DN284" i="12"/>
  <c r="BP268" i="12"/>
  <c r="BL268" i="12" s="1"/>
  <c r="B268" i="12"/>
  <c r="A268" i="8" s="1"/>
  <c r="A242" i="9" s="1"/>
  <c r="DO268" i="12"/>
  <c r="DP268" i="12"/>
  <c r="DN268" i="12"/>
  <c r="DG268" i="12"/>
  <c r="DL268" i="12"/>
  <c r="DJ268" i="12"/>
  <c r="DI268" i="12"/>
  <c r="DM268" i="12"/>
  <c r="DH268" i="12"/>
  <c r="DK268" i="12"/>
  <c r="BP252" i="12"/>
  <c r="BL252" i="12" s="1"/>
  <c r="B252" i="12"/>
  <c r="A252" i="8" s="1"/>
  <c r="A226" i="9" s="1"/>
  <c r="DM252" i="12"/>
  <c r="DI252" i="12"/>
  <c r="DN252" i="12"/>
  <c r="DO252" i="12"/>
  <c r="DP252" i="12"/>
  <c r="DH252" i="12"/>
  <c r="DK252" i="12"/>
  <c r="DJ252" i="12"/>
  <c r="DG252" i="12"/>
  <c r="DL252" i="12"/>
  <c r="DM236" i="12"/>
  <c r="DI236" i="12"/>
  <c r="DN236" i="12"/>
  <c r="DO236" i="12"/>
  <c r="DP236" i="12"/>
  <c r="DK236" i="12"/>
  <c r="B236" i="12"/>
  <c r="A236" i="8" s="1"/>
  <c r="A210" i="9" s="1"/>
  <c r="DH236" i="12"/>
  <c r="DG236" i="12"/>
  <c r="DL236" i="12"/>
  <c r="DJ236" i="12"/>
  <c r="BP220" i="12"/>
  <c r="BL220" i="12" s="1"/>
  <c r="B220" i="12"/>
  <c r="A220" i="8" s="1"/>
  <c r="A194" i="9" s="1"/>
  <c r="DM220" i="12"/>
  <c r="DO220" i="12"/>
  <c r="DN220" i="12"/>
  <c r="DG220" i="12"/>
  <c r="DL220" i="12"/>
  <c r="DI220" i="12"/>
  <c r="DK220" i="12"/>
  <c r="DJ220" i="12"/>
  <c r="DP220" i="12"/>
  <c r="DH220" i="12"/>
  <c r="DM204" i="12"/>
  <c r="B204" i="12"/>
  <c r="A204" i="8" s="1"/>
  <c r="A178" i="9" s="1"/>
  <c r="DG204" i="12"/>
  <c r="DK204" i="12"/>
  <c r="DN204" i="12"/>
  <c r="DL204" i="12"/>
  <c r="DI204" i="12"/>
  <c r="DO204" i="12"/>
  <c r="DP204" i="12"/>
  <c r="DH204" i="12"/>
  <c r="DJ204" i="12"/>
  <c r="DG188" i="12"/>
  <c r="B188" i="12"/>
  <c r="A188" i="8" s="1"/>
  <c r="A162" i="9" s="1"/>
  <c r="DI188" i="12"/>
  <c r="DO188" i="12"/>
  <c r="DN188" i="12"/>
  <c r="DL188" i="12"/>
  <c r="DM188" i="12"/>
  <c r="DK188" i="12"/>
  <c r="DJ188" i="12"/>
  <c r="DP188" i="12"/>
  <c r="DH188" i="12"/>
  <c r="BP172" i="12"/>
  <c r="BL172" i="12" s="1"/>
  <c r="B172" i="12"/>
  <c r="A172" i="8" s="1"/>
  <c r="A146" i="9" s="1"/>
  <c r="DG172" i="12"/>
  <c r="DL172" i="12"/>
  <c r="DP172" i="12"/>
  <c r="DH172" i="12"/>
  <c r="DM172" i="12"/>
  <c r="DN172" i="12"/>
  <c r="DI172" i="12"/>
  <c r="DJ172" i="12"/>
  <c r="DK172" i="12"/>
  <c r="DO172" i="12"/>
  <c r="B156" i="12"/>
  <c r="A156" i="8" s="1"/>
  <c r="A130" i="9" s="1"/>
  <c r="DG156" i="12"/>
  <c r="DP156" i="12"/>
  <c r="DH156" i="12"/>
  <c r="DJ156" i="12"/>
  <c r="DO156" i="12"/>
  <c r="DN156" i="12"/>
  <c r="DI156" i="12"/>
  <c r="DK156" i="12"/>
  <c r="DL156" i="12"/>
  <c r="DM156" i="12"/>
  <c r="BP140" i="12"/>
  <c r="BL140" i="12" s="1"/>
  <c r="DG140" i="12"/>
  <c r="DL140" i="12"/>
  <c r="DH140" i="12"/>
  <c r="DJ140" i="12"/>
  <c r="DO140" i="12"/>
  <c r="DP140" i="12"/>
  <c r="DN140" i="12"/>
  <c r="DK140" i="12"/>
  <c r="B140" i="12"/>
  <c r="A140" i="8" s="1"/>
  <c r="A114" i="9" s="1"/>
  <c r="DI140" i="12"/>
  <c r="DM140" i="12"/>
  <c r="B124" i="12"/>
  <c r="A124" i="8" s="1"/>
  <c r="A98" i="9" s="1"/>
  <c r="DJ124" i="12"/>
  <c r="DN124" i="12"/>
  <c r="DM124" i="12"/>
  <c r="DI124" i="12"/>
  <c r="DG124" i="12"/>
  <c r="DH124" i="12"/>
  <c r="DO124" i="12"/>
  <c r="DP124" i="12"/>
  <c r="DK124" i="12"/>
  <c r="DL124" i="12"/>
  <c r="BP108" i="12"/>
  <c r="BL108" i="12" s="1"/>
  <c r="B108" i="12"/>
  <c r="A108" i="8" s="1"/>
  <c r="A82" i="9" s="1"/>
  <c r="DI108" i="12"/>
  <c r="DN108" i="12"/>
  <c r="DO108" i="12"/>
  <c r="DP108" i="12"/>
  <c r="DG108" i="12"/>
  <c r="DH108" i="12"/>
  <c r="DM108" i="12"/>
  <c r="DJ108" i="12"/>
  <c r="DK108" i="12"/>
  <c r="DL108" i="12"/>
  <c r="BP92" i="12"/>
  <c r="BL92" i="12" s="1"/>
  <c r="DH92" i="12"/>
  <c r="DP92" i="12"/>
  <c r="DL92" i="12"/>
  <c r="DI92" i="12"/>
  <c r="B92" i="12"/>
  <c r="A92" i="8" s="1"/>
  <c r="A66" i="9" s="1"/>
  <c r="DM92" i="12"/>
  <c r="DG92" i="12"/>
  <c r="DN92" i="12"/>
  <c r="DO92" i="12"/>
  <c r="DK92" i="12"/>
  <c r="DJ92" i="12"/>
  <c r="B76" i="12"/>
  <c r="A76" i="8" s="1"/>
  <c r="A50" i="9" s="1"/>
  <c r="DG76" i="12"/>
  <c r="DM76" i="12"/>
  <c r="DK76" i="12"/>
  <c r="DI76" i="12"/>
  <c r="DL76" i="12"/>
  <c r="DJ76" i="12"/>
  <c r="DN76" i="12"/>
  <c r="DH76" i="12"/>
  <c r="DO76" i="12"/>
  <c r="DP76" i="12"/>
  <c r="BP60" i="12"/>
  <c r="BL60" i="12" s="1"/>
  <c r="DH60" i="12"/>
  <c r="B60" i="12"/>
  <c r="A60" i="8" s="1"/>
  <c r="A34" i="9" s="1"/>
  <c r="DG60" i="12"/>
  <c r="DP60" i="12"/>
  <c r="DJ60" i="12"/>
  <c r="DK60" i="12"/>
  <c r="DO60" i="12"/>
  <c r="DL60" i="12"/>
  <c r="DI60" i="12"/>
  <c r="DM60" i="12"/>
  <c r="DN60" i="12"/>
  <c r="B44" i="12"/>
  <c r="A44" i="8" s="1"/>
  <c r="A18" i="9" s="1"/>
  <c r="DH44" i="12"/>
  <c r="DL44" i="12"/>
  <c r="DI44" i="12"/>
  <c r="DN44" i="12"/>
  <c r="DM44" i="12"/>
  <c r="DJ44" i="12"/>
  <c r="DP44" i="12"/>
  <c r="DK44" i="12"/>
  <c r="DO44" i="12"/>
  <c r="DG44" i="12"/>
  <c r="BP199" i="12"/>
  <c r="BL199" i="12" s="1"/>
  <c r="B199" i="12"/>
  <c r="A199" i="8" s="1"/>
  <c r="A173" i="9" s="1"/>
  <c r="DP199" i="12"/>
  <c r="DH199" i="12"/>
  <c r="DJ199" i="12"/>
  <c r="DI199" i="12"/>
  <c r="DM199" i="12"/>
  <c r="DK199" i="12"/>
  <c r="DG199" i="12"/>
  <c r="DO199" i="12"/>
  <c r="DN199" i="12"/>
  <c r="DL199" i="12"/>
  <c r="BP179" i="12"/>
  <c r="BL179" i="12" s="1"/>
  <c r="DH179" i="12"/>
  <c r="B179" i="12"/>
  <c r="A179" i="8" s="1"/>
  <c r="A153" i="9" s="1"/>
  <c r="DG179" i="12"/>
  <c r="DJ179" i="12"/>
  <c r="DI179" i="12"/>
  <c r="DL179" i="12"/>
  <c r="DO179" i="12"/>
  <c r="DP179" i="12"/>
  <c r="DN179" i="12"/>
  <c r="DM179" i="12"/>
  <c r="DK179" i="12"/>
  <c r="B95" i="12"/>
  <c r="A95" i="8" s="1"/>
  <c r="A69" i="9" s="1"/>
  <c r="DI95" i="12"/>
  <c r="DH95" i="12"/>
  <c r="DP95" i="12"/>
  <c r="DK95" i="12"/>
  <c r="DM95" i="12"/>
  <c r="DG95" i="12"/>
  <c r="DN95" i="12"/>
  <c r="DL95" i="12"/>
  <c r="DO95" i="12"/>
  <c r="DJ95" i="12"/>
  <c r="BP63" i="12"/>
  <c r="BL63" i="12" s="1"/>
  <c r="B63" i="12"/>
  <c r="A63" i="8" s="1"/>
  <c r="A37" i="9" s="1"/>
  <c r="DH63" i="12"/>
  <c r="DP63" i="12"/>
  <c r="DI63" i="12"/>
  <c r="DM63" i="12"/>
  <c r="DJ63" i="12"/>
  <c r="DN63" i="12"/>
  <c r="DL63" i="12"/>
  <c r="DO63" i="12"/>
  <c r="DG63" i="12"/>
  <c r="DK63" i="12"/>
  <c r="BP282" i="12"/>
  <c r="BL282" i="12" s="1"/>
  <c r="DI282" i="12"/>
  <c r="B282" i="12"/>
  <c r="A282" i="8" s="1"/>
  <c r="A256" i="9" s="1"/>
  <c r="DO282" i="12"/>
  <c r="DN282" i="12"/>
  <c r="DP282" i="12"/>
  <c r="DG282" i="12"/>
  <c r="DM282" i="12"/>
  <c r="DH282" i="12"/>
  <c r="DJ282" i="12"/>
  <c r="DK282" i="12"/>
  <c r="DL282" i="12"/>
  <c r="BP234" i="12"/>
  <c r="BL234" i="12" s="1"/>
  <c r="B234" i="12"/>
  <c r="A234" i="8" s="1"/>
  <c r="A208" i="9" s="1"/>
  <c r="DK234" i="12"/>
  <c r="DI234" i="12"/>
  <c r="DO234" i="12"/>
  <c r="DL234" i="12"/>
  <c r="DM234" i="12"/>
  <c r="DH234" i="12"/>
  <c r="DN234" i="12"/>
  <c r="DP234" i="12"/>
  <c r="DG234" i="12"/>
  <c r="DJ234" i="12"/>
  <c r="B202" i="12"/>
  <c r="A202" i="8" s="1"/>
  <c r="A176" i="9" s="1"/>
  <c r="DI202" i="12"/>
  <c r="DG202" i="12"/>
  <c r="DH202" i="12"/>
  <c r="DL202" i="12"/>
  <c r="DM202" i="12"/>
  <c r="DJ202" i="12"/>
  <c r="DO202" i="12"/>
  <c r="DN202" i="12"/>
  <c r="DK202" i="12"/>
  <c r="DP202" i="12"/>
  <c r="B138" i="12"/>
  <c r="A138" i="8" s="1"/>
  <c r="A112" i="9" s="1"/>
  <c r="DH138" i="12"/>
  <c r="DL138" i="12"/>
  <c r="DP138" i="12"/>
  <c r="DM138" i="12"/>
  <c r="DJ138" i="12"/>
  <c r="DI138" i="12"/>
  <c r="DN138" i="12"/>
  <c r="DG138" i="12"/>
  <c r="DO138" i="12"/>
  <c r="DK138" i="12"/>
  <c r="BP122" i="12"/>
  <c r="BL122" i="12" s="1"/>
  <c r="B122" i="12"/>
  <c r="A122" i="8" s="1"/>
  <c r="A96" i="9" s="1"/>
  <c r="DG122" i="12"/>
  <c r="DL122" i="12"/>
  <c r="DP122" i="12"/>
  <c r="DH122" i="12"/>
  <c r="DK122" i="12"/>
  <c r="DM122" i="12"/>
  <c r="DO122" i="12"/>
  <c r="DJ122" i="12"/>
  <c r="DI122" i="12"/>
  <c r="DN122" i="12"/>
  <c r="DH90" i="12"/>
  <c r="DP90" i="12"/>
  <c r="B90" i="12"/>
  <c r="A90" i="8" s="1"/>
  <c r="A64" i="9" s="1"/>
  <c r="DG90" i="12"/>
  <c r="DL90" i="12"/>
  <c r="DN90" i="12"/>
  <c r="DM90" i="12"/>
  <c r="DO90" i="12"/>
  <c r="DJ90" i="12"/>
  <c r="DK90" i="12"/>
  <c r="DI90" i="12"/>
  <c r="BP42" i="12"/>
  <c r="BL42" i="12" s="1"/>
  <c r="DL42" i="12"/>
  <c r="B42" i="12"/>
  <c r="A42" i="8" s="1"/>
  <c r="A16" i="9" s="1"/>
  <c r="DG42" i="12"/>
  <c r="DH42" i="12"/>
  <c r="DP42" i="12"/>
  <c r="DI42" i="12"/>
  <c r="DO42" i="12"/>
  <c r="DJ42" i="12"/>
  <c r="DN42" i="12"/>
  <c r="DM42" i="12"/>
  <c r="DK42" i="12"/>
  <c r="DN281" i="12"/>
  <c r="B281" i="12"/>
  <c r="A281" i="8" s="1"/>
  <c r="A255" i="9" s="1"/>
  <c r="DJ281" i="12"/>
  <c r="DM281" i="12"/>
  <c r="DP281" i="12"/>
  <c r="DI281" i="12"/>
  <c r="DL281" i="12"/>
  <c r="DG281" i="12"/>
  <c r="DO281" i="12"/>
  <c r="DK281" i="12"/>
  <c r="DH281" i="12"/>
  <c r="B137" i="12"/>
  <c r="A137" i="8" s="1"/>
  <c r="A111" i="9" s="1"/>
  <c r="DG137" i="12"/>
  <c r="DI137" i="12"/>
  <c r="DK137" i="12"/>
  <c r="DO137" i="12"/>
  <c r="DM137" i="12"/>
  <c r="DN137" i="12"/>
  <c r="DL137" i="12"/>
  <c r="DJ137" i="12"/>
  <c r="DH137" i="12"/>
  <c r="DP137" i="12"/>
  <c r="B255" i="12"/>
  <c r="A255" i="8" s="1"/>
  <c r="A229" i="9" s="1"/>
  <c r="DI255" i="12"/>
  <c r="DP255" i="12"/>
  <c r="DM255" i="12"/>
  <c r="DH255" i="12"/>
  <c r="DL255" i="12"/>
  <c r="DK255" i="12"/>
  <c r="DG255" i="12"/>
  <c r="DJ255" i="12"/>
  <c r="DO255" i="12"/>
  <c r="DN255" i="12"/>
  <c r="BP191" i="12"/>
  <c r="BL191" i="12" s="1"/>
  <c r="B191" i="12"/>
  <c r="A191" i="8" s="1"/>
  <c r="A165" i="9" s="1"/>
  <c r="DG191" i="12"/>
  <c r="DP191" i="12"/>
  <c r="DL191" i="12"/>
  <c r="DJ191" i="12"/>
  <c r="DN191" i="12"/>
  <c r="DH191" i="12"/>
  <c r="DI191" i="12"/>
  <c r="DK191" i="12"/>
  <c r="DO191" i="12"/>
  <c r="DM191" i="12"/>
  <c r="B143" i="12"/>
  <c r="A143" i="8" s="1"/>
  <c r="A117" i="9" s="1"/>
  <c r="DI143" i="12"/>
  <c r="DM143" i="12"/>
  <c r="DK143" i="12"/>
  <c r="DH143" i="12"/>
  <c r="DG143" i="12"/>
  <c r="DN143" i="12"/>
  <c r="DP143" i="12"/>
  <c r="DO143" i="12"/>
  <c r="DJ143" i="12"/>
  <c r="DL143" i="12"/>
  <c r="BP235" i="12"/>
  <c r="BL235" i="12" s="1"/>
  <c r="B235" i="12"/>
  <c r="A235" i="8" s="1"/>
  <c r="A209" i="9" s="1"/>
  <c r="DM235" i="12"/>
  <c r="DP235" i="12"/>
  <c r="DH235" i="12"/>
  <c r="DN235" i="12"/>
  <c r="DL235" i="12"/>
  <c r="DI235" i="12"/>
  <c r="DK235" i="12"/>
  <c r="DG235" i="12"/>
  <c r="DJ235" i="12"/>
  <c r="DO235" i="12"/>
  <c r="B263" i="12"/>
  <c r="A263" i="8" s="1"/>
  <c r="A237" i="9" s="1"/>
  <c r="DM263" i="12"/>
  <c r="DI263" i="12"/>
  <c r="DP263" i="12"/>
  <c r="DK263" i="12"/>
  <c r="DL263" i="12"/>
  <c r="DO263" i="12"/>
  <c r="DN263" i="12"/>
  <c r="DH263" i="12"/>
  <c r="DG263" i="12"/>
  <c r="DJ263" i="12"/>
  <c r="DI135" i="12"/>
  <c r="DM135" i="12"/>
  <c r="DJ135" i="12"/>
  <c r="DK135" i="12"/>
  <c r="DL135" i="12"/>
  <c r="DO135" i="12"/>
  <c r="B135" i="12"/>
  <c r="A135" i="8" s="1"/>
  <c r="A109" i="9" s="1"/>
  <c r="DH135" i="12"/>
  <c r="DG135" i="12"/>
  <c r="DP135" i="12"/>
  <c r="DN135" i="12"/>
  <c r="BP243" i="12"/>
  <c r="BL243" i="12" s="1"/>
  <c r="B243" i="12"/>
  <c r="A243" i="8" s="1"/>
  <c r="A217" i="9" s="1"/>
  <c r="DI243" i="12"/>
  <c r="DP243" i="12"/>
  <c r="DL243" i="12"/>
  <c r="DN243" i="12"/>
  <c r="DO243" i="12"/>
  <c r="DM243" i="12"/>
  <c r="DG243" i="12"/>
  <c r="DJ243" i="12"/>
  <c r="DH243" i="12"/>
  <c r="DK243" i="12"/>
  <c r="B127" i="12"/>
  <c r="A127" i="8" s="1"/>
  <c r="A101" i="9" s="1"/>
  <c r="DH127" i="12"/>
  <c r="DM127" i="12"/>
  <c r="DO127" i="12"/>
  <c r="DJ127" i="12"/>
  <c r="DG127" i="12"/>
  <c r="DI127" i="12"/>
  <c r="DL127" i="12"/>
  <c r="DK127" i="12"/>
  <c r="DN127" i="12"/>
  <c r="DP127" i="12"/>
  <c r="DH79" i="12"/>
  <c r="DM79" i="12"/>
  <c r="B79" i="12"/>
  <c r="A79" i="8" s="1"/>
  <c r="A53" i="9" s="1"/>
  <c r="DK79" i="12"/>
  <c r="DN79" i="12"/>
  <c r="DP79" i="12"/>
  <c r="DG79" i="12"/>
  <c r="DI79" i="12"/>
  <c r="DL79" i="12"/>
  <c r="DO79" i="12"/>
  <c r="DJ79" i="12"/>
  <c r="DP266" i="12"/>
  <c r="DK266" i="12"/>
  <c r="DI266" i="12"/>
  <c r="DG266" i="12"/>
  <c r="B266" i="12"/>
  <c r="A266" i="8" s="1"/>
  <c r="A240" i="9" s="1"/>
  <c r="DM266" i="12"/>
  <c r="DH266" i="12"/>
  <c r="DL266" i="12"/>
  <c r="DO266" i="12"/>
  <c r="DN266" i="12"/>
  <c r="DJ266" i="12"/>
  <c r="B250" i="12"/>
  <c r="A250" i="8" s="1"/>
  <c r="A224" i="9" s="1"/>
  <c r="DK250" i="12"/>
  <c r="DO250" i="12"/>
  <c r="DM250" i="12"/>
  <c r="DL250" i="12"/>
  <c r="BP250" i="12"/>
  <c r="BL250" i="12" s="1"/>
  <c r="DG250" i="12"/>
  <c r="DP250" i="12"/>
  <c r="DH250" i="12"/>
  <c r="DI250" i="12"/>
  <c r="DN250" i="12"/>
  <c r="DJ250" i="12"/>
  <c r="B218" i="12"/>
  <c r="A218" i="8" s="1"/>
  <c r="A192" i="9" s="1"/>
  <c r="DM218" i="12"/>
  <c r="DK218" i="12"/>
  <c r="DN218" i="12"/>
  <c r="DL218" i="12"/>
  <c r="DG218" i="12"/>
  <c r="DP218" i="12"/>
  <c r="DO218" i="12"/>
  <c r="DJ218" i="12"/>
  <c r="DI218" i="12"/>
  <c r="DH218" i="12"/>
  <c r="BP170" i="12"/>
  <c r="BL170" i="12" s="1"/>
  <c r="DL170" i="12"/>
  <c r="B170" i="12"/>
  <c r="A170" i="8" s="1"/>
  <c r="A144" i="9" s="1"/>
  <c r="DH170" i="12"/>
  <c r="DM170" i="12"/>
  <c r="DP170" i="12"/>
  <c r="DN170" i="12"/>
  <c r="DG170" i="12"/>
  <c r="DI170" i="12"/>
  <c r="DO170" i="12"/>
  <c r="DJ170" i="12"/>
  <c r="DK170" i="12"/>
  <c r="BP58" i="12"/>
  <c r="BL58" i="12" s="1"/>
  <c r="DH58" i="12"/>
  <c r="B58" i="12"/>
  <c r="A58" i="8" s="1"/>
  <c r="A32" i="9" s="1"/>
  <c r="DL58" i="12"/>
  <c r="DP58" i="12"/>
  <c r="DG58" i="12"/>
  <c r="DM58" i="12"/>
  <c r="DN58" i="12"/>
  <c r="DO58" i="12"/>
  <c r="DJ58" i="12"/>
  <c r="DI58" i="12"/>
  <c r="DK58" i="12"/>
  <c r="B249" i="12"/>
  <c r="A249" i="8" s="1"/>
  <c r="A223" i="9" s="1"/>
  <c r="DM249" i="12"/>
  <c r="DI249" i="12"/>
  <c r="DL249" i="12"/>
  <c r="DO249" i="12"/>
  <c r="DN249" i="12"/>
  <c r="DP249" i="12"/>
  <c r="DG249" i="12"/>
  <c r="DH249" i="12"/>
  <c r="DK249" i="12"/>
  <c r="DJ249" i="12"/>
  <c r="B185" i="12"/>
  <c r="A185" i="8" s="1"/>
  <c r="A159" i="9" s="1"/>
  <c r="BP185" i="12"/>
  <c r="BL185" i="12" s="1"/>
  <c r="DL185" i="12"/>
  <c r="DP185" i="12"/>
  <c r="DI185" i="12"/>
  <c r="DM185" i="12"/>
  <c r="DH185" i="12"/>
  <c r="DJ185" i="12"/>
  <c r="DG185" i="12"/>
  <c r="DO185" i="12"/>
  <c r="DN185" i="12"/>
  <c r="DK185" i="12"/>
  <c r="B153" i="12"/>
  <c r="A153" i="8" s="1"/>
  <c r="A127" i="9" s="1"/>
  <c r="DG153" i="12"/>
  <c r="DO153" i="12"/>
  <c r="DI153" i="12"/>
  <c r="DK153" i="12"/>
  <c r="DJ153" i="12"/>
  <c r="DN153" i="12"/>
  <c r="DM153" i="12"/>
  <c r="DL153" i="12"/>
  <c r="DP153" i="12"/>
  <c r="DH153" i="12"/>
  <c r="B105" i="12"/>
  <c r="A105" i="8" s="1"/>
  <c r="A79" i="9" s="1"/>
  <c r="DG105" i="12"/>
  <c r="DH105" i="12"/>
  <c r="BP105" i="12"/>
  <c r="BL105" i="12" s="1"/>
  <c r="DL105" i="12"/>
  <c r="DP105" i="12"/>
  <c r="DI105" i="12"/>
  <c r="DJ105" i="12"/>
  <c r="DM105" i="12"/>
  <c r="DN105" i="12"/>
  <c r="DK105" i="12"/>
  <c r="DO105" i="12"/>
  <c r="BP73" i="12"/>
  <c r="BL73" i="12" s="1"/>
  <c r="B73" i="12"/>
  <c r="A73" i="8" s="1"/>
  <c r="A47" i="9" s="1"/>
  <c r="DG73" i="12"/>
  <c r="DH73" i="12"/>
  <c r="DI73" i="12"/>
  <c r="DO73" i="12"/>
  <c r="DP73" i="12"/>
  <c r="DN73" i="12"/>
  <c r="DM73" i="12"/>
  <c r="DJ73" i="12"/>
  <c r="DK73" i="12"/>
  <c r="DL73" i="12"/>
  <c r="BP175" i="12"/>
  <c r="BL175" i="12" s="1"/>
  <c r="B175" i="12"/>
  <c r="A175" i="8" s="1"/>
  <c r="A149" i="9" s="1"/>
  <c r="DG175" i="12"/>
  <c r="DM175" i="12"/>
  <c r="DO175" i="12"/>
  <c r="DK175" i="12"/>
  <c r="DL175" i="12"/>
  <c r="DP175" i="12"/>
  <c r="DJ175" i="12"/>
  <c r="DI175" i="12"/>
  <c r="DH175" i="12"/>
  <c r="DN175" i="12"/>
  <c r="DI239" i="12"/>
  <c r="B239" i="12"/>
  <c r="A239" i="8" s="1"/>
  <c r="A213" i="9" s="1"/>
  <c r="DH239" i="12"/>
  <c r="DK239" i="12"/>
  <c r="DM239" i="12"/>
  <c r="DP239" i="12"/>
  <c r="DJ239" i="12"/>
  <c r="DL239" i="12"/>
  <c r="DG239" i="12"/>
  <c r="DN239" i="12"/>
  <c r="DO239" i="12"/>
  <c r="BP159" i="12"/>
  <c r="BL159" i="12" s="1"/>
  <c r="B159" i="12"/>
  <c r="A159" i="8" s="1"/>
  <c r="A133" i="9" s="1"/>
  <c r="DI159" i="12"/>
  <c r="DM159" i="12"/>
  <c r="DK159" i="12"/>
  <c r="DH159" i="12"/>
  <c r="DG159" i="12"/>
  <c r="DN159" i="12"/>
  <c r="DP159" i="12"/>
  <c r="DJ159" i="12"/>
  <c r="DO159" i="12"/>
  <c r="DL159" i="12"/>
  <c r="BP271" i="12"/>
  <c r="BL271" i="12" s="1"/>
  <c r="DN271" i="12"/>
  <c r="DM271" i="12"/>
  <c r="DH271" i="12"/>
  <c r="DL271" i="12"/>
  <c r="DJ271" i="12"/>
  <c r="DO271" i="12"/>
  <c r="B271" i="12"/>
  <c r="A271" i="8" s="1"/>
  <c r="A245" i="9" s="1"/>
  <c r="DI271" i="12"/>
  <c r="DP271" i="12"/>
  <c r="DG271" i="12"/>
  <c r="DK271" i="12"/>
  <c r="B267" i="12"/>
  <c r="A267" i="8" s="1"/>
  <c r="A241" i="9" s="1"/>
  <c r="DL267" i="12"/>
  <c r="DM267" i="12"/>
  <c r="DI267" i="12"/>
  <c r="DG267" i="12"/>
  <c r="DK267" i="12"/>
  <c r="DO267" i="12"/>
  <c r="DP267" i="12"/>
  <c r="DN267" i="12"/>
  <c r="DH267" i="12"/>
  <c r="DJ267" i="12"/>
  <c r="BP203" i="12"/>
  <c r="BL203" i="12" s="1"/>
  <c r="DH203" i="12"/>
  <c r="B203" i="12"/>
  <c r="A203" i="8" s="1"/>
  <c r="A177" i="9" s="1"/>
  <c r="DN203" i="12"/>
  <c r="DP203" i="12"/>
  <c r="DL203" i="12"/>
  <c r="DI203" i="12"/>
  <c r="DK203" i="12"/>
  <c r="DJ203" i="12"/>
  <c r="DG203" i="12"/>
  <c r="DM203" i="12"/>
  <c r="DO203" i="12"/>
  <c r="B139" i="12"/>
  <c r="A139" i="8" s="1"/>
  <c r="A113" i="9" s="1"/>
  <c r="DI139" i="12"/>
  <c r="DM139" i="12"/>
  <c r="DK139" i="12"/>
  <c r="DG139" i="12"/>
  <c r="DN139" i="12"/>
  <c r="DP139" i="12"/>
  <c r="DH139" i="12"/>
  <c r="DO139" i="12"/>
  <c r="DJ139" i="12"/>
  <c r="DL139" i="12"/>
  <c r="B231" i="12"/>
  <c r="A231" i="8" s="1"/>
  <c r="A205" i="9" s="1"/>
  <c r="DM231" i="12"/>
  <c r="DL231" i="12"/>
  <c r="DP231" i="12"/>
  <c r="DI231" i="12"/>
  <c r="DK231" i="12"/>
  <c r="DH231" i="12"/>
  <c r="DO231" i="12"/>
  <c r="DN231" i="12"/>
  <c r="DG231" i="12"/>
  <c r="DJ231" i="12"/>
  <c r="B167" i="12"/>
  <c r="A167" i="8" s="1"/>
  <c r="A141" i="9" s="1"/>
  <c r="DG167" i="12"/>
  <c r="DJ167" i="12"/>
  <c r="DO167" i="12"/>
  <c r="DN167" i="12"/>
  <c r="DH167" i="12"/>
  <c r="DI167" i="12"/>
  <c r="DK167" i="12"/>
  <c r="DM167" i="12"/>
  <c r="DP167" i="12"/>
  <c r="DL167" i="12"/>
  <c r="DM275" i="12"/>
  <c r="DL275" i="12"/>
  <c r="DN275" i="12"/>
  <c r="DH275" i="12"/>
  <c r="DP275" i="12"/>
  <c r="DO275" i="12"/>
  <c r="B275" i="12"/>
  <c r="A275" i="8" s="1"/>
  <c r="A249" i="9" s="1"/>
  <c r="DJ275" i="12"/>
  <c r="DG275" i="12"/>
  <c r="DI275" i="12"/>
  <c r="DK275" i="12"/>
  <c r="BP211" i="12"/>
  <c r="BL211" i="12" s="1"/>
  <c r="B211" i="12"/>
  <c r="A211" i="8" s="1"/>
  <c r="A185" i="9" s="1"/>
  <c r="DI211" i="12"/>
  <c r="DK211" i="12"/>
  <c r="DP211" i="12"/>
  <c r="DL211" i="12"/>
  <c r="DG211" i="12"/>
  <c r="DN211" i="12"/>
  <c r="DM211" i="12"/>
  <c r="DO211" i="12"/>
  <c r="DJ211" i="12"/>
  <c r="DH211" i="12"/>
  <c r="BP147" i="12"/>
  <c r="BL147" i="12" s="1"/>
  <c r="B147" i="12"/>
  <c r="A147" i="8" s="1"/>
  <c r="A121" i="9" s="1"/>
  <c r="DK147" i="12"/>
  <c r="DM147" i="12"/>
  <c r="DG147" i="12"/>
  <c r="DN147" i="12"/>
  <c r="DP147" i="12"/>
  <c r="DI147" i="12"/>
  <c r="DH147" i="12"/>
  <c r="DO147" i="12"/>
  <c r="DJ147" i="12"/>
  <c r="DL147" i="12"/>
  <c r="DP119" i="12"/>
  <c r="B119" i="12"/>
  <c r="A119" i="8" s="1"/>
  <c r="A93" i="9" s="1"/>
  <c r="DH119" i="12"/>
  <c r="DL119" i="12"/>
  <c r="DI119" i="12"/>
  <c r="DM119" i="12"/>
  <c r="BP119" i="12"/>
  <c r="BL119" i="12" s="1"/>
  <c r="DK119" i="12"/>
  <c r="DJ119" i="12"/>
  <c r="DO119" i="12"/>
  <c r="DN119" i="12"/>
  <c r="DG119" i="12"/>
  <c r="B103" i="12"/>
  <c r="A103" i="8" s="1"/>
  <c r="A77" i="9" s="1"/>
  <c r="DG103" i="12"/>
  <c r="DJ103" i="12"/>
  <c r="DM103" i="12"/>
  <c r="DP103" i="12"/>
  <c r="DO103" i="12"/>
  <c r="DL103" i="12"/>
  <c r="DH103" i="12"/>
  <c r="DK103" i="12"/>
  <c r="DN103" i="12"/>
  <c r="DI103" i="12"/>
  <c r="BP87" i="12"/>
  <c r="BL87" i="12" s="1"/>
  <c r="DG87" i="12"/>
  <c r="B87" i="12"/>
  <c r="A87" i="8" s="1"/>
  <c r="A61" i="9" s="1"/>
  <c r="DK87" i="12"/>
  <c r="DO87" i="12"/>
  <c r="DH87" i="12"/>
  <c r="DM87" i="12"/>
  <c r="DP87" i="12"/>
  <c r="DN87" i="12"/>
  <c r="DI87" i="12"/>
  <c r="DL87" i="12"/>
  <c r="DJ87" i="12"/>
  <c r="B71" i="12"/>
  <c r="A71" i="8" s="1"/>
  <c r="A45" i="9" s="1"/>
  <c r="DH71" i="12"/>
  <c r="DL71" i="12"/>
  <c r="DP71" i="12"/>
  <c r="DJ71" i="12"/>
  <c r="DN71" i="12"/>
  <c r="DI71" i="12"/>
  <c r="DO71" i="12"/>
  <c r="DM71" i="12"/>
  <c r="DG71" i="12"/>
  <c r="DK71" i="12"/>
  <c r="B55" i="12"/>
  <c r="A55" i="8" s="1"/>
  <c r="A29" i="9" s="1"/>
  <c r="DI55" i="12"/>
  <c r="DM55" i="12"/>
  <c r="DG55" i="12"/>
  <c r="DH55" i="12"/>
  <c r="DO55" i="12"/>
  <c r="DP55" i="12"/>
  <c r="DN55" i="12"/>
  <c r="DJ55" i="12"/>
  <c r="DK55" i="12"/>
  <c r="DL55" i="12"/>
  <c r="B39" i="12"/>
  <c r="A39" i="8" s="1"/>
  <c r="A13" i="9" s="1"/>
  <c r="DI39" i="12"/>
  <c r="DM39" i="12"/>
  <c r="DJ39" i="12"/>
  <c r="DK39" i="12"/>
  <c r="DL39" i="12"/>
  <c r="DO39" i="12"/>
  <c r="DP39" i="12"/>
  <c r="DH39" i="12"/>
  <c r="DN39" i="12"/>
  <c r="DG39" i="12"/>
  <c r="B274" i="12"/>
  <c r="A274" i="8" s="1"/>
  <c r="A248" i="9" s="1"/>
  <c r="DM274" i="12"/>
  <c r="DI274" i="12"/>
  <c r="DK274" i="12"/>
  <c r="DH274" i="12"/>
  <c r="DO274" i="12"/>
  <c r="DP274" i="12"/>
  <c r="DN274" i="12"/>
  <c r="DJ274" i="12"/>
  <c r="DL274" i="12"/>
  <c r="DG274" i="12"/>
  <c r="B258" i="12"/>
  <c r="A258" i="8" s="1"/>
  <c r="A232" i="9" s="1"/>
  <c r="DH258" i="12"/>
  <c r="DL258" i="12"/>
  <c r="DK258" i="12"/>
  <c r="DM258" i="12"/>
  <c r="DI258" i="12"/>
  <c r="DG258" i="12"/>
  <c r="DP258" i="12"/>
  <c r="DO258" i="12"/>
  <c r="DJ258" i="12"/>
  <c r="DN258" i="12"/>
  <c r="BP242" i="12"/>
  <c r="BL242" i="12" s="1"/>
  <c r="B242" i="12"/>
  <c r="A242" i="8" s="1"/>
  <c r="A216" i="9" s="1"/>
  <c r="DH242" i="12"/>
  <c r="DI242" i="12"/>
  <c r="DM242" i="12"/>
  <c r="DL242" i="12"/>
  <c r="DP242" i="12"/>
  <c r="DK242" i="12"/>
  <c r="DG242" i="12"/>
  <c r="DO242" i="12"/>
  <c r="DJ242" i="12"/>
  <c r="DN242" i="12"/>
  <c r="BP226" i="12"/>
  <c r="BL226" i="12" s="1"/>
  <c r="DH226" i="12"/>
  <c r="DL226" i="12"/>
  <c r="DM226" i="12"/>
  <c r="DG226" i="12"/>
  <c r="DP226" i="12"/>
  <c r="DI226" i="12"/>
  <c r="DK226" i="12"/>
  <c r="B226" i="12"/>
  <c r="A226" i="8" s="1"/>
  <c r="A200" i="9" s="1"/>
  <c r="DO226" i="12"/>
  <c r="DJ226" i="12"/>
  <c r="DN226" i="12"/>
  <c r="B210" i="12"/>
  <c r="A210" i="8" s="1"/>
  <c r="A184" i="9" s="1"/>
  <c r="DI210" i="12"/>
  <c r="DN210" i="12"/>
  <c r="DO210" i="12"/>
  <c r="DP210" i="12"/>
  <c r="DK210" i="12"/>
  <c r="DM210" i="12"/>
  <c r="DJ210" i="12"/>
  <c r="DH210" i="12"/>
  <c r="DG210" i="12"/>
  <c r="DL210" i="12"/>
  <c r="B194" i="12"/>
  <c r="A194" i="8" s="1"/>
  <c r="A168" i="9" s="1"/>
  <c r="DM194" i="12"/>
  <c r="DN194" i="12"/>
  <c r="DH194" i="12"/>
  <c r="DL194" i="12"/>
  <c r="DK194" i="12"/>
  <c r="DP194" i="12"/>
  <c r="DI194" i="12"/>
  <c r="DJ194" i="12"/>
  <c r="DO194" i="12"/>
  <c r="DG194" i="12"/>
  <c r="B178" i="12"/>
  <c r="A178" i="8" s="1"/>
  <c r="A152" i="9" s="1"/>
  <c r="DI178" i="12"/>
  <c r="DM178" i="12"/>
  <c r="DJ178" i="12"/>
  <c r="DK178" i="12"/>
  <c r="DL178" i="12"/>
  <c r="DH178" i="12"/>
  <c r="DO178" i="12"/>
  <c r="DN178" i="12"/>
  <c r="DG178" i="12"/>
  <c r="DP178" i="12"/>
  <c r="BP162" i="12"/>
  <c r="BL162" i="12" s="1"/>
  <c r="B162" i="12"/>
  <c r="A162" i="8" s="1"/>
  <c r="A136" i="9" s="1"/>
  <c r="DH162" i="12"/>
  <c r="DP162" i="12"/>
  <c r="DL162" i="12"/>
  <c r="DM162" i="12"/>
  <c r="DN162" i="12"/>
  <c r="DJ162" i="12"/>
  <c r="DG162" i="12"/>
  <c r="DI162" i="12"/>
  <c r="DO162" i="12"/>
  <c r="DK162" i="12"/>
  <c r="B146" i="12"/>
  <c r="A146" i="8" s="1"/>
  <c r="A120" i="9" s="1"/>
  <c r="DL146" i="12"/>
  <c r="DP146" i="12"/>
  <c r="DI146" i="12"/>
  <c r="DM146" i="12"/>
  <c r="DJ146" i="12"/>
  <c r="DH146" i="12"/>
  <c r="DG146" i="12"/>
  <c r="DN146" i="12"/>
  <c r="DO146" i="12"/>
  <c r="DK146" i="12"/>
  <c r="B130" i="12"/>
  <c r="A130" i="8" s="1"/>
  <c r="A104" i="9" s="1"/>
  <c r="DP130" i="12"/>
  <c r="DL130" i="12"/>
  <c r="DN130" i="12"/>
  <c r="DJ130" i="12"/>
  <c r="DH130" i="12"/>
  <c r="DG130" i="12"/>
  <c r="DO130" i="12"/>
  <c r="DI130" i="12"/>
  <c r="DK130" i="12"/>
  <c r="DM130" i="12"/>
  <c r="B114" i="12"/>
  <c r="A114" i="8" s="1"/>
  <c r="A88" i="9" s="1"/>
  <c r="DH114" i="12"/>
  <c r="DL114" i="12"/>
  <c r="DG114" i="12"/>
  <c r="DP114" i="12"/>
  <c r="DI114" i="12"/>
  <c r="DK114" i="12"/>
  <c r="DO114" i="12"/>
  <c r="DM114" i="12"/>
  <c r="DJ114" i="12"/>
  <c r="DN114" i="12"/>
  <c r="B98" i="12"/>
  <c r="A98" i="8" s="1"/>
  <c r="A72" i="9" s="1"/>
  <c r="DH98" i="12"/>
  <c r="DI98" i="12"/>
  <c r="DN98" i="12"/>
  <c r="DG98" i="12"/>
  <c r="DL98" i="12"/>
  <c r="DP98" i="12"/>
  <c r="DM98" i="12"/>
  <c r="DK98" i="12"/>
  <c r="DO98" i="12"/>
  <c r="DJ98" i="12"/>
  <c r="B82" i="12"/>
  <c r="A82" i="8" s="1"/>
  <c r="A56" i="9" s="1"/>
  <c r="DL82" i="12"/>
  <c r="DG82" i="12"/>
  <c r="DP82" i="12"/>
  <c r="DI82" i="12"/>
  <c r="DK82" i="12"/>
  <c r="DJ82" i="12"/>
  <c r="DO82" i="12"/>
  <c r="DH82" i="12"/>
  <c r="DM82" i="12"/>
  <c r="DN82" i="12"/>
  <c r="B66" i="12"/>
  <c r="A66" i="8" s="1"/>
  <c r="A40" i="9" s="1"/>
  <c r="DG66" i="12"/>
  <c r="DI66" i="12"/>
  <c r="DO66" i="12"/>
  <c r="DM66" i="12"/>
  <c r="DK66" i="12"/>
  <c r="DN66" i="12"/>
  <c r="DL66" i="12"/>
  <c r="DJ66" i="12"/>
  <c r="DH66" i="12"/>
  <c r="DP66" i="12"/>
  <c r="BP50" i="12"/>
  <c r="BL50" i="12" s="1"/>
  <c r="B50" i="12"/>
  <c r="A50" i="8" s="1"/>
  <c r="A24" i="9" s="1"/>
  <c r="DH50" i="12"/>
  <c r="DL50" i="12"/>
  <c r="DM50" i="12"/>
  <c r="DP50" i="12"/>
  <c r="DG50" i="12"/>
  <c r="DI50" i="12"/>
  <c r="DO50" i="12"/>
  <c r="DN50" i="12"/>
  <c r="DK50" i="12"/>
  <c r="DJ50" i="12"/>
  <c r="B34" i="12"/>
  <c r="A34" i="8" s="1"/>
  <c r="A8" i="9" s="1"/>
  <c r="DH34" i="12"/>
  <c r="DP34" i="12"/>
  <c r="DL34" i="12"/>
  <c r="DM34" i="12"/>
  <c r="DJ34" i="12"/>
  <c r="DI34" i="12"/>
  <c r="DK34" i="12"/>
  <c r="DG34" i="12"/>
  <c r="DO34" i="12"/>
  <c r="DN34" i="12"/>
  <c r="B273" i="12"/>
  <c r="A273" i="8" s="1"/>
  <c r="A247" i="9" s="1"/>
  <c r="DH273" i="12"/>
  <c r="DP273" i="12"/>
  <c r="DO273" i="12"/>
  <c r="DM273" i="12"/>
  <c r="DG273" i="12"/>
  <c r="DN273" i="12"/>
  <c r="DJ273" i="12"/>
  <c r="DL273" i="12"/>
  <c r="DK273" i="12"/>
  <c r="DI273" i="12"/>
  <c r="B257" i="12"/>
  <c r="A257" i="8" s="1"/>
  <c r="A231" i="9" s="1"/>
  <c r="DO257" i="12"/>
  <c r="BP257" i="12"/>
  <c r="BL257" i="12" s="1"/>
  <c r="DK257" i="12"/>
  <c r="DN257" i="12"/>
  <c r="DL257" i="12"/>
  <c r="DM257" i="12"/>
  <c r="DI257" i="12"/>
  <c r="DP257" i="12"/>
  <c r="DG257" i="12"/>
  <c r="DH257" i="12"/>
  <c r="DJ257" i="12"/>
  <c r="DO241" i="12"/>
  <c r="BP241" i="12"/>
  <c r="BL241" i="12" s="1"/>
  <c r="DK241" i="12"/>
  <c r="DN241" i="12"/>
  <c r="DJ241" i="12"/>
  <c r="DM241" i="12"/>
  <c r="DL241" i="12"/>
  <c r="DG241" i="12"/>
  <c r="DH241" i="12"/>
  <c r="DP241" i="12"/>
  <c r="B241" i="12"/>
  <c r="A241" i="8" s="1"/>
  <c r="A215" i="9" s="1"/>
  <c r="DI241" i="12"/>
  <c r="DO225" i="12"/>
  <c r="B225" i="12"/>
  <c r="A225" i="8" s="1"/>
  <c r="A199" i="9" s="1"/>
  <c r="DK225" i="12"/>
  <c r="DJ225" i="12"/>
  <c r="DM225" i="12"/>
  <c r="DL225" i="12"/>
  <c r="DN225" i="12"/>
  <c r="DP225" i="12"/>
  <c r="DG225" i="12"/>
  <c r="BP225" i="12"/>
  <c r="BL225" i="12" s="1"/>
  <c r="DI225" i="12"/>
  <c r="DH225" i="12"/>
  <c r="B209" i="12"/>
  <c r="A209" i="8" s="1"/>
  <c r="A183" i="9" s="1"/>
  <c r="DN209" i="12"/>
  <c r="DH209" i="12"/>
  <c r="DM209" i="12"/>
  <c r="DP209" i="12"/>
  <c r="DJ209" i="12"/>
  <c r="DG209" i="12"/>
  <c r="DI209" i="12"/>
  <c r="DK209" i="12"/>
  <c r="DL209" i="12"/>
  <c r="DO209" i="12"/>
  <c r="BP193" i="12"/>
  <c r="BL193" i="12" s="1"/>
  <c r="DH193" i="12"/>
  <c r="DI193" i="12"/>
  <c r="DM193" i="12"/>
  <c r="DJ193" i="12"/>
  <c r="B193" i="12"/>
  <c r="A193" i="8" s="1"/>
  <c r="A167" i="9" s="1"/>
  <c r="DN193" i="12"/>
  <c r="DG193" i="12"/>
  <c r="DL193" i="12"/>
  <c r="DK193" i="12"/>
  <c r="DP193" i="12"/>
  <c r="DO193" i="12"/>
  <c r="BP177" i="12"/>
  <c r="BL177" i="12" s="1"/>
  <c r="DG177" i="12"/>
  <c r="DH177" i="12"/>
  <c r="DL177" i="12"/>
  <c r="B177" i="12"/>
  <c r="A177" i="8" s="1"/>
  <c r="A151" i="9" s="1"/>
  <c r="DJ177" i="12"/>
  <c r="DN177" i="12"/>
  <c r="DK177" i="12"/>
  <c r="DI177" i="12"/>
  <c r="DP177" i="12"/>
  <c r="DM177" i="12"/>
  <c r="DO177" i="12"/>
  <c r="BP161" i="12"/>
  <c r="BL161" i="12" s="1"/>
  <c r="B161" i="12"/>
  <c r="A161" i="8" s="1"/>
  <c r="A135" i="9" s="1"/>
  <c r="DM161" i="12"/>
  <c r="DG161" i="12"/>
  <c r="DK161" i="12"/>
  <c r="DJ161" i="12"/>
  <c r="DI161" i="12"/>
  <c r="DO161" i="12"/>
  <c r="DN161" i="12"/>
  <c r="DL161" i="12"/>
  <c r="DP161" i="12"/>
  <c r="DH161" i="12"/>
  <c r="DG145" i="12"/>
  <c r="DO145" i="12"/>
  <c r="DM145" i="12"/>
  <c r="DJ145" i="12"/>
  <c r="DI145" i="12"/>
  <c r="DK145" i="12"/>
  <c r="DN145" i="12"/>
  <c r="B145" i="12"/>
  <c r="A145" i="8" s="1"/>
  <c r="A119" i="9" s="1"/>
  <c r="DL145" i="12"/>
  <c r="DP145" i="12"/>
  <c r="DH145" i="12"/>
  <c r="B129" i="12"/>
  <c r="A129" i="8" s="1"/>
  <c r="A103" i="9" s="1"/>
  <c r="DG129" i="12"/>
  <c r="DH129" i="12"/>
  <c r="DL129" i="12"/>
  <c r="DM129" i="12"/>
  <c r="DJ129" i="12"/>
  <c r="DO129" i="12"/>
  <c r="DN129" i="12"/>
  <c r="DP129" i="12"/>
  <c r="DI129" i="12"/>
  <c r="DK129" i="12"/>
  <c r="DH113" i="12"/>
  <c r="B113" i="12"/>
  <c r="A113" i="8" s="1"/>
  <c r="A87" i="9" s="1"/>
  <c r="DG113" i="12"/>
  <c r="DL113" i="12"/>
  <c r="DM113" i="12"/>
  <c r="DO113" i="12"/>
  <c r="DP113" i="12"/>
  <c r="DI113" i="12"/>
  <c r="DJ113" i="12"/>
  <c r="DK113" i="12"/>
  <c r="DN113" i="12"/>
  <c r="BP97" i="12"/>
  <c r="BL97" i="12" s="1"/>
  <c r="B97" i="12"/>
  <c r="A97" i="8" s="1"/>
  <c r="A71" i="9" s="1"/>
  <c r="DG97" i="12"/>
  <c r="DI97" i="12"/>
  <c r="DM97" i="12"/>
  <c r="DJ97" i="12"/>
  <c r="DN97" i="12"/>
  <c r="DK97" i="12"/>
  <c r="DL97" i="12"/>
  <c r="DO97" i="12"/>
  <c r="DH97" i="12"/>
  <c r="DP97" i="12"/>
  <c r="BP81" i="12"/>
  <c r="BL81" i="12" s="1"/>
  <c r="DH81" i="12"/>
  <c r="DL81" i="12"/>
  <c r="DG81" i="12"/>
  <c r="DP81" i="12"/>
  <c r="DI81" i="12"/>
  <c r="DM81" i="12"/>
  <c r="DN81" i="12"/>
  <c r="B81" i="12"/>
  <c r="A81" i="8" s="1"/>
  <c r="A55" i="9" s="1"/>
  <c r="DJ81" i="12"/>
  <c r="DO81" i="12"/>
  <c r="DK81" i="12"/>
  <c r="DG65" i="12"/>
  <c r="DL65" i="12"/>
  <c r="DH65" i="12"/>
  <c r="DI65" i="12"/>
  <c r="B65" i="12"/>
  <c r="A65" i="8" s="1"/>
  <c r="A39" i="9" s="1"/>
  <c r="DN65" i="12"/>
  <c r="DP65" i="12"/>
  <c r="DM65" i="12"/>
  <c r="DO65" i="12"/>
  <c r="DJ65" i="12"/>
  <c r="DK65" i="12"/>
  <c r="B49" i="12"/>
  <c r="A49" i="8" s="1"/>
  <c r="A23" i="9" s="1"/>
  <c r="DG49" i="12"/>
  <c r="DI49" i="12"/>
  <c r="DK49" i="12"/>
  <c r="DL49" i="12"/>
  <c r="DJ49" i="12"/>
  <c r="DP49" i="12"/>
  <c r="DN49" i="12"/>
  <c r="DO49" i="12"/>
  <c r="DH49" i="12"/>
  <c r="DM49" i="12"/>
  <c r="B33" i="12"/>
  <c r="A33" i="8" s="1"/>
  <c r="A7" i="9" s="1"/>
  <c r="DG33" i="12"/>
  <c r="DJ33" i="12"/>
  <c r="DN33" i="12"/>
  <c r="DI33" i="12"/>
  <c r="DK33" i="12"/>
  <c r="DL33" i="12"/>
  <c r="DO33" i="12"/>
  <c r="DM33" i="12"/>
  <c r="DP33" i="12"/>
  <c r="DH33" i="12"/>
  <c r="BP276" i="12"/>
  <c r="BL276" i="12" s="1"/>
  <c r="B276" i="12"/>
  <c r="A276" i="8" s="1"/>
  <c r="A250" i="9" s="1"/>
  <c r="DI276" i="12"/>
  <c r="DP276" i="12"/>
  <c r="DG276" i="12"/>
  <c r="DM276" i="12"/>
  <c r="DH276" i="12"/>
  <c r="DO276" i="12"/>
  <c r="DN276" i="12"/>
  <c r="DK276" i="12"/>
  <c r="DJ276" i="12"/>
  <c r="DL276" i="12"/>
  <c r="B260" i="12"/>
  <c r="A260" i="8" s="1"/>
  <c r="A234" i="9" s="1"/>
  <c r="DM260" i="12"/>
  <c r="DI260" i="12"/>
  <c r="DN260" i="12"/>
  <c r="DO260" i="12"/>
  <c r="DP260" i="12"/>
  <c r="DJ260" i="12"/>
  <c r="DG260" i="12"/>
  <c r="DL260" i="12"/>
  <c r="DK260" i="12"/>
  <c r="DH260" i="12"/>
  <c r="BP244" i="12"/>
  <c r="BL244" i="12" s="1"/>
  <c r="B244" i="12"/>
  <c r="A244" i="8" s="1"/>
  <c r="A218" i="9" s="1"/>
  <c r="DM244" i="12"/>
  <c r="DN244" i="12"/>
  <c r="DO244" i="12"/>
  <c r="DP244" i="12"/>
  <c r="DG244" i="12"/>
  <c r="DL244" i="12"/>
  <c r="DJ244" i="12"/>
  <c r="DI244" i="12"/>
  <c r="DH244" i="12"/>
  <c r="DK244" i="12"/>
  <c r="BP228" i="12"/>
  <c r="BL228" i="12" s="1"/>
  <c r="B228" i="12"/>
  <c r="A228" i="8" s="1"/>
  <c r="A202" i="9" s="1"/>
  <c r="DM228" i="12"/>
  <c r="DN228" i="12"/>
  <c r="DO228" i="12"/>
  <c r="DP228" i="12"/>
  <c r="DI228" i="12"/>
  <c r="DJ228" i="12"/>
  <c r="DG228" i="12"/>
  <c r="DL228" i="12"/>
  <c r="DK228" i="12"/>
  <c r="DH228" i="12"/>
  <c r="DI212" i="12"/>
  <c r="B212" i="12"/>
  <c r="A212" i="8" s="1"/>
  <c r="A186" i="9" s="1"/>
  <c r="DO212" i="12"/>
  <c r="DM212" i="12"/>
  <c r="DG212" i="12"/>
  <c r="DN212" i="12"/>
  <c r="DK212" i="12"/>
  <c r="DJ212" i="12"/>
  <c r="DL212" i="12"/>
  <c r="DH212" i="12"/>
  <c r="DP212" i="12"/>
  <c r="B196" i="12"/>
  <c r="A196" i="8" s="1"/>
  <c r="A170" i="9" s="1"/>
  <c r="DG196" i="12"/>
  <c r="DN196" i="12"/>
  <c r="DI196" i="12"/>
  <c r="DM196" i="12"/>
  <c r="DO196" i="12"/>
  <c r="DJ196" i="12"/>
  <c r="DL196" i="12"/>
  <c r="DK196" i="12"/>
  <c r="DH196" i="12"/>
  <c r="DP196" i="12"/>
  <c r="B180" i="12"/>
  <c r="A180" i="8" s="1"/>
  <c r="A154" i="9" s="1"/>
  <c r="DH180" i="12"/>
  <c r="DL180" i="12"/>
  <c r="DP180" i="12"/>
  <c r="DG180" i="12"/>
  <c r="DI180" i="12"/>
  <c r="DO180" i="12"/>
  <c r="DM180" i="12"/>
  <c r="DK180" i="12"/>
  <c r="DN180" i="12"/>
  <c r="DJ180" i="12"/>
  <c r="DG164" i="12"/>
  <c r="DL164" i="12"/>
  <c r="DP164" i="12"/>
  <c r="DH164" i="12"/>
  <c r="DI164" i="12"/>
  <c r="DN164" i="12"/>
  <c r="B164" i="12"/>
  <c r="A164" i="8" s="1"/>
  <c r="A138" i="9" s="1"/>
  <c r="DJ164" i="12"/>
  <c r="DK164" i="12"/>
  <c r="DM164" i="12"/>
  <c r="DO164" i="12"/>
  <c r="B148" i="12"/>
  <c r="A148" i="8" s="1"/>
  <c r="A122" i="9" s="1"/>
  <c r="BP148" i="12"/>
  <c r="BL148" i="12" s="1"/>
  <c r="DG148" i="12"/>
  <c r="DL148" i="12"/>
  <c r="DP148" i="12"/>
  <c r="DM148" i="12"/>
  <c r="DH148" i="12"/>
  <c r="DO148" i="12"/>
  <c r="DJ148" i="12"/>
  <c r="DI148" i="12"/>
  <c r="DK148" i="12"/>
  <c r="DN148" i="12"/>
  <c r="B132" i="12"/>
  <c r="A132" i="8" s="1"/>
  <c r="A106" i="9" s="1"/>
  <c r="DI132" i="12"/>
  <c r="DG132" i="12"/>
  <c r="DH132" i="12"/>
  <c r="DP132" i="12"/>
  <c r="DM132" i="12"/>
  <c r="DL132" i="12"/>
  <c r="DN132" i="12"/>
  <c r="DK132" i="12"/>
  <c r="DJ132" i="12"/>
  <c r="DO132" i="12"/>
  <c r="BP116" i="12"/>
  <c r="BL116" i="12" s="1"/>
  <c r="B116" i="12"/>
  <c r="A116" i="8" s="1"/>
  <c r="A90" i="9" s="1"/>
  <c r="DI116" i="12"/>
  <c r="DM116" i="12"/>
  <c r="DN116" i="12"/>
  <c r="DO116" i="12"/>
  <c r="DP116" i="12"/>
  <c r="DG116" i="12"/>
  <c r="DH116" i="12"/>
  <c r="DJ116" i="12"/>
  <c r="DK116" i="12"/>
  <c r="DL116" i="12"/>
  <c r="B100" i="12"/>
  <c r="A100" i="8" s="1"/>
  <c r="A74" i="9" s="1"/>
  <c r="DP100" i="12"/>
  <c r="DH100" i="12"/>
  <c r="DL100" i="12"/>
  <c r="DJ100" i="12"/>
  <c r="DM100" i="12"/>
  <c r="DI100" i="12"/>
  <c r="DK100" i="12"/>
  <c r="DN100" i="12"/>
  <c r="DO100" i="12"/>
  <c r="DG100" i="12"/>
  <c r="BP84" i="12"/>
  <c r="BL84" i="12" s="1"/>
  <c r="DG84" i="12"/>
  <c r="B84" i="12"/>
  <c r="A84" i="8" s="1"/>
  <c r="A58" i="9" s="1"/>
  <c r="DK84" i="12"/>
  <c r="DM84" i="12"/>
  <c r="DJ84" i="12"/>
  <c r="DL84" i="12"/>
  <c r="DI84" i="12"/>
  <c r="DO84" i="12"/>
  <c r="DH84" i="12"/>
  <c r="DP84" i="12"/>
  <c r="DN84" i="12"/>
  <c r="BP68" i="12"/>
  <c r="BL68" i="12" s="1"/>
  <c r="B68" i="12"/>
  <c r="A68" i="8" s="1"/>
  <c r="A42" i="9" s="1"/>
  <c r="DI68" i="12"/>
  <c r="DM68" i="12"/>
  <c r="DJ68" i="12"/>
  <c r="DK68" i="12"/>
  <c r="DL68" i="12"/>
  <c r="DN68" i="12"/>
  <c r="DO68" i="12"/>
  <c r="DP68" i="12"/>
  <c r="DG68" i="12"/>
  <c r="DH68" i="12"/>
  <c r="BP52" i="12"/>
  <c r="BL52" i="12" s="1"/>
  <c r="B52" i="12"/>
  <c r="A52" i="8" s="1"/>
  <c r="A26" i="9" s="1"/>
  <c r="DH52" i="12"/>
  <c r="DL52" i="12"/>
  <c r="DI52" i="12"/>
  <c r="DG52" i="12"/>
  <c r="DM52" i="12"/>
  <c r="DJ52" i="12"/>
  <c r="DN52" i="12"/>
  <c r="DK52" i="12"/>
  <c r="DO52" i="12"/>
  <c r="DP52" i="12"/>
  <c r="B36" i="12"/>
  <c r="A36" i="8" s="1"/>
  <c r="A10" i="9" s="1"/>
  <c r="DP36" i="12"/>
  <c r="DM36" i="12"/>
  <c r="DI36" i="12"/>
  <c r="DL36" i="12"/>
  <c r="DN36" i="12"/>
  <c r="DK36" i="12"/>
  <c r="DH36" i="12"/>
  <c r="DJ36" i="12"/>
  <c r="DO36" i="12"/>
  <c r="DG36" i="12"/>
  <c r="BP207" i="12"/>
  <c r="BL207" i="12" s="1"/>
  <c r="B207" i="12"/>
  <c r="A207" i="8" s="1"/>
  <c r="A181" i="9" s="1"/>
  <c r="DN207" i="12"/>
  <c r="DJ207" i="12"/>
  <c r="DM207" i="12"/>
  <c r="DL207" i="12"/>
  <c r="DK207" i="12"/>
  <c r="DP207" i="12"/>
  <c r="DG207" i="12"/>
  <c r="DH207" i="12"/>
  <c r="DO207" i="12"/>
  <c r="DI207" i="12"/>
  <c r="B251" i="12"/>
  <c r="A251" i="8" s="1"/>
  <c r="A225" i="9" s="1"/>
  <c r="DM251" i="12"/>
  <c r="DL251" i="12"/>
  <c r="DP251" i="12"/>
  <c r="DN251" i="12"/>
  <c r="DH251" i="12"/>
  <c r="DK251" i="12"/>
  <c r="DI251" i="12"/>
  <c r="DO251" i="12"/>
  <c r="DJ251" i="12"/>
  <c r="DG251" i="12"/>
  <c r="DG187" i="12"/>
  <c r="DH187" i="12"/>
  <c r="B187" i="12"/>
  <c r="A187" i="8" s="1"/>
  <c r="A161" i="9" s="1"/>
  <c r="DL187" i="12"/>
  <c r="DP187" i="12"/>
  <c r="DM187" i="12"/>
  <c r="DN187" i="12"/>
  <c r="DK187" i="12"/>
  <c r="DJ187" i="12"/>
  <c r="DI187" i="12"/>
  <c r="DO187" i="12"/>
  <c r="BP279" i="12"/>
  <c r="BL279" i="12" s="1"/>
  <c r="DN279" i="12"/>
  <c r="B279" i="12"/>
  <c r="A279" i="8" s="1"/>
  <c r="A253" i="9" s="1"/>
  <c r="DL279" i="12"/>
  <c r="DJ279" i="12"/>
  <c r="DM279" i="12"/>
  <c r="DG279" i="12"/>
  <c r="DI279" i="12"/>
  <c r="DH279" i="12"/>
  <c r="DP279" i="12"/>
  <c r="DK279" i="12"/>
  <c r="DO279" i="12"/>
  <c r="BP215" i="12"/>
  <c r="BL215" i="12" s="1"/>
  <c r="DN215" i="12"/>
  <c r="DI215" i="12"/>
  <c r="DL215" i="12"/>
  <c r="DK215" i="12"/>
  <c r="B215" i="12"/>
  <c r="A215" i="8" s="1"/>
  <c r="A189" i="9" s="1"/>
  <c r="DP215" i="12"/>
  <c r="DG215" i="12"/>
  <c r="DM215" i="12"/>
  <c r="DJ215" i="12"/>
  <c r="DH215" i="12"/>
  <c r="DO215" i="12"/>
  <c r="BP151" i="12"/>
  <c r="BL151" i="12" s="1"/>
  <c r="B151" i="12"/>
  <c r="A151" i="8" s="1"/>
  <c r="A125" i="9" s="1"/>
  <c r="DI151" i="12"/>
  <c r="DM151" i="12"/>
  <c r="DK151" i="12"/>
  <c r="DH151" i="12"/>
  <c r="DG151" i="12"/>
  <c r="DN151" i="12"/>
  <c r="DP151" i="12"/>
  <c r="DL151" i="12"/>
  <c r="DJ151" i="12"/>
  <c r="DO151" i="12"/>
  <c r="B259" i="12"/>
  <c r="A259" i="8" s="1"/>
  <c r="A233" i="9" s="1"/>
  <c r="DI259" i="12"/>
  <c r="DM259" i="12"/>
  <c r="DL259" i="12"/>
  <c r="DH259" i="12"/>
  <c r="DN259" i="12"/>
  <c r="DG259" i="12"/>
  <c r="DJ259" i="12"/>
  <c r="DP259" i="12"/>
  <c r="DO259" i="12"/>
  <c r="DK259" i="12"/>
  <c r="B195" i="12"/>
  <c r="A195" i="8" s="1"/>
  <c r="A169" i="9" s="1"/>
  <c r="DG195" i="12"/>
  <c r="DH195" i="12"/>
  <c r="DL195" i="12"/>
  <c r="DJ195" i="12"/>
  <c r="DN195" i="12"/>
  <c r="DO195" i="12"/>
  <c r="DI195" i="12"/>
  <c r="DM195" i="12"/>
  <c r="DK195" i="12"/>
  <c r="DP195" i="12"/>
  <c r="B131" i="12"/>
  <c r="A131" i="8" s="1"/>
  <c r="A105" i="9" s="1"/>
  <c r="DI131" i="12"/>
  <c r="DM131" i="12"/>
  <c r="DK131" i="12"/>
  <c r="DP131" i="12"/>
  <c r="DN131" i="12"/>
  <c r="DH131" i="12"/>
  <c r="DG131" i="12"/>
  <c r="DL131" i="12"/>
  <c r="DJ131" i="12"/>
  <c r="DO131" i="12"/>
  <c r="DH115" i="12"/>
  <c r="DP115" i="12"/>
  <c r="B115" i="12"/>
  <c r="A115" i="8" s="1"/>
  <c r="A89" i="9" s="1"/>
  <c r="DL115" i="12"/>
  <c r="DM115" i="12"/>
  <c r="DI115" i="12"/>
  <c r="DK115" i="12"/>
  <c r="DJ115" i="12"/>
  <c r="DG115" i="12"/>
  <c r="DN115" i="12"/>
  <c r="DO115" i="12"/>
  <c r="B99" i="12"/>
  <c r="A99" i="8" s="1"/>
  <c r="A73" i="9" s="1"/>
  <c r="DN99" i="12"/>
  <c r="DI99" i="12"/>
  <c r="DG99" i="12"/>
  <c r="DM99" i="12"/>
  <c r="DL99" i="12"/>
  <c r="DK99" i="12"/>
  <c r="DH99" i="12"/>
  <c r="DP99" i="12"/>
  <c r="DJ99" i="12"/>
  <c r="DO99" i="12"/>
  <c r="B83" i="12"/>
  <c r="A83" i="8" s="1"/>
  <c r="A57" i="9" s="1"/>
  <c r="DH83" i="12"/>
  <c r="DP83" i="12"/>
  <c r="DM83" i="12"/>
  <c r="DK83" i="12"/>
  <c r="DN83" i="12"/>
  <c r="DO83" i="12"/>
  <c r="DJ83" i="12"/>
  <c r="DI83" i="12"/>
  <c r="DL83" i="12"/>
  <c r="DG83" i="12"/>
  <c r="DL67" i="12"/>
  <c r="DH67" i="12"/>
  <c r="DP67" i="12"/>
  <c r="DI67" i="12"/>
  <c r="DM67" i="12"/>
  <c r="B67" i="12"/>
  <c r="A67" i="8" s="1"/>
  <c r="A41" i="9" s="1"/>
  <c r="DN67" i="12"/>
  <c r="DJ67" i="12"/>
  <c r="DG67" i="12"/>
  <c r="DO67" i="12"/>
  <c r="DK67" i="12"/>
  <c r="BP51" i="12"/>
  <c r="BL51" i="12" s="1"/>
  <c r="B51" i="12"/>
  <c r="A51" i="8" s="1"/>
  <c r="A25" i="9" s="1"/>
  <c r="DI51" i="12"/>
  <c r="DG51" i="12"/>
  <c r="DH51" i="12"/>
  <c r="DN51" i="12"/>
  <c r="DO51" i="12"/>
  <c r="DP51" i="12"/>
  <c r="DM51" i="12"/>
  <c r="DK51" i="12"/>
  <c r="DJ51" i="12"/>
  <c r="DL51" i="12"/>
  <c r="DI35" i="12"/>
  <c r="B35" i="12"/>
  <c r="A35" i="8" s="1"/>
  <c r="A9" i="9" s="1"/>
  <c r="DG35" i="12"/>
  <c r="DH35" i="12"/>
  <c r="DN35" i="12"/>
  <c r="DO35" i="12"/>
  <c r="DP35" i="12"/>
  <c r="DJ35" i="12"/>
  <c r="DK35" i="12"/>
  <c r="DL35" i="12"/>
  <c r="DM35" i="12"/>
  <c r="B270" i="12"/>
  <c r="A270" i="8" s="1"/>
  <c r="A244" i="9" s="1"/>
  <c r="DL270" i="12"/>
  <c r="DG270" i="12"/>
  <c r="DP270" i="12"/>
  <c r="DM270" i="12"/>
  <c r="DI270" i="12"/>
  <c r="DJ270" i="12"/>
  <c r="DH270" i="12"/>
  <c r="DO270" i="12"/>
  <c r="DK270" i="12"/>
  <c r="DN270" i="12"/>
  <c r="BP254" i="12"/>
  <c r="BL254" i="12" s="1"/>
  <c r="B254" i="12"/>
  <c r="A254" i="8" s="1"/>
  <c r="A228" i="9" s="1"/>
  <c r="DO254" i="12"/>
  <c r="DI254" i="12"/>
  <c r="DH254" i="12"/>
  <c r="DP254" i="12"/>
  <c r="DG254" i="12"/>
  <c r="DJ254" i="12"/>
  <c r="DM254" i="12"/>
  <c r="DL254" i="12"/>
  <c r="DN254" i="12"/>
  <c r="DK254" i="12"/>
  <c r="BP238" i="12"/>
  <c r="BL238" i="12" s="1"/>
  <c r="DO238" i="12"/>
  <c r="B238" i="12"/>
  <c r="A238" i="8" s="1"/>
  <c r="A212" i="9" s="1"/>
  <c r="DI238" i="12"/>
  <c r="DM238" i="12"/>
  <c r="DL238" i="12"/>
  <c r="DP238" i="12"/>
  <c r="DH238" i="12"/>
  <c r="DJ238" i="12"/>
  <c r="DK238" i="12"/>
  <c r="DG238" i="12"/>
  <c r="DN238" i="12"/>
  <c r="B222" i="12"/>
  <c r="A222" i="8" s="1"/>
  <c r="A196" i="9" s="1"/>
  <c r="DM222" i="12"/>
  <c r="DH222" i="12"/>
  <c r="DP222" i="12"/>
  <c r="DI222" i="12"/>
  <c r="DL222" i="12"/>
  <c r="DJ222" i="12"/>
  <c r="DG222" i="12"/>
  <c r="DO222" i="12"/>
  <c r="DK222" i="12"/>
  <c r="DN222" i="12"/>
  <c r="B206" i="12"/>
  <c r="A206" i="8" s="1"/>
  <c r="A180" i="9" s="1"/>
  <c r="DM206" i="12"/>
  <c r="DI206" i="12"/>
  <c r="DJ206" i="12"/>
  <c r="DK206" i="12"/>
  <c r="DL206" i="12"/>
  <c r="DH206" i="12"/>
  <c r="DO206" i="12"/>
  <c r="DN206" i="12"/>
  <c r="DP206" i="12"/>
  <c r="DG206" i="12"/>
  <c r="B190" i="12"/>
  <c r="A190" i="8" s="1"/>
  <c r="A164" i="9" s="1"/>
  <c r="DM190" i="12"/>
  <c r="DI190" i="12"/>
  <c r="DN190" i="12"/>
  <c r="DO190" i="12"/>
  <c r="DP190" i="12"/>
  <c r="DH190" i="12"/>
  <c r="DK190" i="12"/>
  <c r="DJ190" i="12"/>
  <c r="DG190" i="12"/>
  <c r="DL190" i="12"/>
  <c r="B174" i="12"/>
  <c r="A174" i="8" s="1"/>
  <c r="A148" i="9" s="1"/>
  <c r="DL174" i="12"/>
  <c r="DM174" i="12"/>
  <c r="DN174" i="12"/>
  <c r="DJ174" i="12"/>
  <c r="DH174" i="12"/>
  <c r="DK174" i="12"/>
  <c r="DP174" i="12"/>
  <c r="DO174" i="12"/>
  <c r="DG174" i="12"/>
  <c r="DI174" i="12"/>
  <c r="B158" i="12"/>
  <c r="A158" i="8" s="1"/>
  <c r="A132" i="9" s="1"/>
  <c r="DH158" i="12"/>
  <c r="DL158" i="12"/>
  <c r="DP158" i="12"/>
  <c r="DJ158" i="12"/>
  <c r="DM158" i="12"/>
  <c r="DI158" i="12"/>
  <c r="DN158" i="12"/>
  <c r="DG158" i="12"/>
  <c r="DO158" i="12"/>
  <c r="DK158" i="12"/>
  <c r="B142" i="12"/>
  <c r="A142" i="8" s="1"/>
  <c r="A116" i="9" s="1"/>
  <c r="DH142" i="12"/>
  <c r="DP142" i="12"/>
  <c r="DL142" i="12"/>
  <c r="DM142" i="12"/>
  <c r="DN142" i="12"/>
  <c r="DJ142" i="12"/>
  <c r="DI142" i="12"/>
  <c r="DG142" i="12"/>
  <c r="DO142" i="12"/>
  <c r="DK142" i="12"/>
  <c r="DG126" i="12"/>
  <c r="DH126" i="12"/>
  <c r="DL126" i="12"/>
  <c r="B126" i="12"/>
  <c r="A126" i="8" s="1"/>
  <c r="A100" i="9" s="1"/>
  <c r="DP126" i="12"/>
  <c r="DI126" i="12"/>
  <c r="DM126" i="12"/>
  <c r="DK126" i="12"/>
  <c r="DO126" i="12"/>
  <c r="DJ126" i="12"/>
  <c r="DN126" i="12"/>
  <c r="DG110" i="12"/>
  <c r="DP110" i="12"/>
  <c r="BP110" i="12"/>
  <c r="BL110" i="12" s="1"/>
  <c r="DM110" i="12"/>
  <c r="B110" i="12"/>
  <c r="A110" i="8" s="1"/>
  <c r="A84" i="9" s="1"/>
  <c r="DL110" i="12"/>
  <c r="DH110" i="12"/>
  <c r="DK110" i="12"/>
  <c r="DI110" i="12"/>
  <c r="DO110" i="12"/>
  <c r="DJ110" i="12"/>
  <c r="DN110" i="12"/>
  <c r="DL94" i="12"/>
  <c r="DP94" i="12"/>
  <c r="B94" i="12"/>
  <c r="A94" i="8" s="1"/>
  <c r="A68" i="9" s="1"/>
  <c r="DI94" i="12"/>
  <c r="DH94" i="12"/>
  <c r="DM94" i="12"/>
  <c r="DG94" i="12"/>
  <c r="DJ94" i="12"/>
  <c r="DO94" i="12"/>
  <c r="DN94" i="12"/>
  <c r="DK94" i="12"/>
  <c r="B78" i="12"/>
  <c r="A78" i="8" s="1"/>
  <c r="A52" i="9" s="1"/>
  <c r="DG78" i="12"/>
  <c r="DP78" i="12"/>
  <c r="DK78" i="12"/>
  <c r="DO78" i="12"/>
  <c r="DI78" i="12"/>
  <c r="DL78" i="12"/>
  <c r="DM78" i="12"/>
  <c r="DN78" i="12"/>
  <c r="DH78" i="12"/>
  <c r="DJ78" i="12"/>
  <c r="B62" i="12"/>
  <c r="A62" i="8" s="1"/>
  <c r="A36" i="9" s="1"/>
  <c r="DP62" i="12"/>
  <c r="DH62" i="12"/>
  <c r="DM62" i="12"/>
  <c r="DJ62" i="12"/>
  <c r="BP62" i="12"/>
  <c r="BL62" i="12" s="1"/>
  <c r="DL62" i="12"/>
  <c r="DO62" i="12"/>
  <c r="DG62" i="12"/>
  <c r="DI62" i="12"/>
  <c r="DK62" i="12"/>
  <c r="DN62" i="12"/>
  <c r="BP46" i="12"/>
  <c r="BL46" i="12" s="1"/>
  <c r="DL46" i="12"/>
  <c r="DG46" i="12"/>
  <c r="DH46" i="12"/>
  <c r="DI46" i="12"/>
  <c r="DJ46" i="12"/>
  <c r="B46" i="12"/>
  <c r="A46" i="8" s="1"/>
  <c r="A20" i="9" s="1"/>
  <c r="DN46" i="12"/>
  <c r="DO46" i="12"/>
  <c r="DM46" i="12"/>
  <c r="DK46" i="12"/>
  <c r="DP46" i="12"/>
  <c r="B285" i="12"/>
  <c r="A285" i="8" s="1"/>
  <c r="A259" i="9" s="1"/>
  <c r="DH285" i="12"/>
  <c r="DP285" i="12"/>
  <c r="DG285" i="12"/>
  <c r="DJ285" i="12"/>
  <c r="DK285" i="12"/>
  <c r="DN285" i="12"/>
  <c r="DM285" i="12"/>
  <c r="DL285" i="12"/>
  <c r="DO285" i="12"/>
  <c r="DI285" i="12"/>
  <c r="BP269" i="12"/>
  <c r="BL269" i="12" s="1"/>
  <c r="DN269" i="12"/>
  <c r="DI269" i="12"/>
  <c r="DP269" i="12"/>
  <c r="DH269" i="12"/>
  <c r="DG269" i="12"/>
  <c r="B269" i="12"/>
  <c r="A269" i="8" s="1"/>
  <c r="A243" i="9" s="1"/>
  <c r="DM269" i="12"/>
  <c r="DO269" i="12"/>
  <c r="DK269" i="12"/>
  <c r="DL269" i="12"/>
  <c r="DJ269" i="12"/>
  <c r="BP253" i="12"/>
  <c r="BL253" i="12" s="1"/>
  <c r="DI253" i="12"/>
  <c r="B253" i="12"/>
  <c r="A253" i="8" s="1"/>
  <c r="A227" i="9" s="1"/>
  <c r="DP253" i="12"/>
  <c r="DK253" i="12"/>
  <c r="DG253" i="12"/>
  <c r="DM253" i="12"/>
  <c r="DH253" i="12"/>
  <c r="DN253" i="12"/>
  <c r="DO253" i="12"/>
  <c r="DJ253" i="12"/>
  <c r="DL253" i="12"/>
  <c r="BP237" i="12"/>
  <c r="BL237" i="12" s="1"/>
  <c r="B237" i="12"/>
  <c r="A237" i="8" s="1"/>
  <c r="A211" i="9" s="1"/>
  <c r="DI237" i="12"/>
  <c r="DH237" i="12"/>
  <c r="DM237" i="12"/>
  <c r="DP237" i="12"/>
  <c r="DG237" i="12"/>
  <c r="DN237" i="12"/>
  <c r="DO237" i="12"/>
  <c r="DK237" i="12"/>
  <c r="DL237" i="12"/>
  <c r="DJ237" i="12"/>
  <c r="B221" i="12"/>
  <c r="A221" i="8" s="1"/>
  <c r="A195" i="9" s="1"/>
  <c r="DK221" i="12"/>
  <c r="DG221" i="12"/>
  <c r="DN221" i="12"/>
  <c r="DJ221" i="12"/>
  <c r="DO221" i="12"/>
  <c r="DM221" i="12"/>
  <c r="DL221" i="12"/>
  <c r="DI221" i="12"/>
  <c r="DH221" i="12"/>
  <c r="DP221" i="12"/>
  <c r="BP205" i="12"/>
  <c r="BL205" i="12" s="1"/>
  <c r="B205" i="12"/>
  <c r="A205" i="8" s="1"/>
  <c r="A179" i="9" s="1"/>
  <c r="DP205" i="12"/>
  <c r="DN205" i="12"/>
  <c r="DJ205" i="12"/>
  <c r="DH205" i="12"/>
  <c r="DL205" i="12"/>
  <c r="DI205" i="12"/>
  <c r="DM205" i="12"/>
  <c r="DO205" i="12"/>
  <c r="DK205" i="12"/>
  <c r="DG205" i="12"/>
  <c r="BP189" i="12"/>
  <c r="BL189" i="12" s="1"/>
  <c r="B189" i="12"/>
  <c r="A189" i="8" s="1"/>
  <c r="A163" i="9" s="1"/>
  <c r="DH189" i="12"/>
  <c r="DL189" i="12"/>
  <c r="DP189" i="12"/>
  <c r="DM189" i="12"/>
  <c r="DN189" i="12"/>
  <c r="DI189" i="12"/>
  <c r="DO189" i="12"/>
  <c r="DK189" i="12"/>
  <c r="DJ189" i="12"/>
  <c r="DG189" i="12"/>
  <c r="B173" i="12"/>
  <c r="A173" i="8" s="1"/>
  <c r="A147" i="9" s="1"/>
  <c r="DG173" i="12"/>
  <c r="DL173" i="12"/>
  <c r="DM173" i="12"/>
  <c r="DP173" i="12"/>
  <c r="DK173" i="12"/>
  <c r="DO173" i="12"/>
  <c r="DI173" i="12"/>
  <c r="DN173" i="12"/>
  <c r="DH173" i="12"/>
  <c r="DJ173" i="12"/>
  <c r="DG157" i="12"/>
  <c r="B157" i="12"/>
  <c r="A157" i="8" s="1"/>
  <c r="A131" i="9" s="1"/>
  <c r="DI157" i="12"/>
  <c r="DM157" i="12"/>
  <c r="DJ157" i="12"/>
  <c r="DK157" i="12"/>
  <c r="DL157" i="12"/>
  <c r="DO157" i="12"/>
  <c r="DN157" i="12"/>
  <c r="DH157" i="12"/>
  <c r="DP157" i="12"/>
  <c r="BP141" i="12"/>
  <c r="BL141" i="12" s="1"/>
  <c r="B141" i="12"/>
  <c r="A141" i="8" s="1"/>
  <c r="A115" i="9" s="1"/>
  <c r="DG141" i="12"/>
  <c r="DO141" i="12"/>
  <c r="DI141" i="12"/>
  <c r="DM141" i="12"/>
  <c r="DK141" i="12"/>
  <c r="DJ141" i="12"/>
  <c r="DL141" i="12"/>
  <c r="DN141" i="12"/>
  <c r="DH141" i="12"/>
  <c r="DP141" i="12"/>
  <c r="BP125" i="12"/>
  <c r="BL125" i="12" s="1"/>
  <c r="B125" i="12"/>
  <c r="A125" i="8" s="1"/>
  <c r="A99" i="9" s="1"/>
  <c r="DH125" i="12"/>
  <c r="DL125" i="12"/>
  <c r="DP125" i="12"/>
  <c r="DG125" i="12"/>
  <c r="DM125" i="12"/>
  <c r="DN125" i="12"/>
  <c r="DI125" i="12"/>
  <c r="DJ125" i="12"/>
  <c r="DK125" i="12"/>
  <c r="DO125" i="12"/>
  <c r="DG109" i="12"/>
  <c r="B109" i="12"/>
  <c r="A109" i="8" s="1"/>
  <c r="A83" i="9" s="1"/>
  <c r="DP109" i="12"/>
  <c r="DN109" i="12"/>
  <c r="DH109" i="12"/>
  <c r="DO109" i="12"/>
  <c r="DL109" i="12"/>
  <c r="DK109" i="12"/>
  <c r="DI109" i="12"/>
  <c r="DM109" i="12"/>
  <c r="DJ109" i="12"/>
  <c r="B93" i="12"/>
  <c r="A93" i="8" s="1"/>
  <c r="A67" i="9" s="1"/>
  <c r="DM93" i="12"/>
  <c r="DK93" i="12"/>
  <c r="DP93" i="12"/>
  <c r="DN93" i="12"/>
  <c r="DH93" i="12"/>
  <c r="DG93" i="12"/>
  <c r="DL93" i="12"/>
  <c r="DI93" i="12"/>
  <c r="DJ93" i="12"/>
  <c r="DO93" i="12"/>
  <c r="BP77" i="12"/>
  <c r="BL77" i="12" s="1"/>
  <c r="B77" i="12"/>
  <c r="A77" i="8" s="1"/>
  <c r="A51" i="9" s="1"/>
  <c r="DL77" i="12"/>
  <c r="DP77" i="12"/>
  <c r="DH77" i="12"/>
  <c r="DI77" i="12"/>
  <c r="DG77" i="12"/>
  <c r="DN77" i="12"/>
  <c r="DM77" i="12"/>
  <c r="DJ77" i="12"/>
  <c r="DK77" i="12"/>
  <c r="DO77" i="12"/>
  <c r="B61" i="12"/>
  <c r="A61" i="8" s="1"/>
  <c r="A35" i="9" s="1"/>
  <c r="DL61" i="12"/>
  <c r="DP61" i="12"/>
  <c r="DG61" i="12"/>
  <c r="DJ61" i="12"/>
  <c r="DH61" i="12"/>
  <c r="DI61" i="12"/>
  <c r="DO61" i="12"/>
  <c r="DK61" i="12"/>
  <c r="DM61" i="12"/>
  <c r="DN61" i="12"/>
  <c r="B45" i="12"/>
  <c r="A45" i="8" s="1"/>
  <c r="A19" i="9" s="1"/>
  <c r="DK45" i="12"/>
  <c r="DH45" i="12"/>
  <c r="DG45" i="12"/>
  <c r="DN45" i="12"/>
  <c r="DP45" i="12"/>
  <c r="DM45" i="12"/>
  <c r="DI45" i="12"/>
  <c r="DL45" i="12"/>
  <c r="DJ45" i="12"/>
  <c r="DO45" i="12"/>
  <c r="BP272" i="12"/>
  <c r="BL272" i="12" s="1"/>
  <c r="B272" i="12"/>
  <c r="A272" i="8" s="1"/>
  <c r="A246" i="9" s="1"/>
  <c r="DM272" i="12"/>
  <c r="DG272" i="12"/>
  <c r="DO272" i="12"/>
  <c r="DJ272" i="12"/>
  <c r="DN272" i="12"/>
  <c r="DL272" i="12"/>
  <c r="DK272" i="12"/>
  <c r="DI272" i="12"/>
  <c r="DH272" i="12"/>
  <c r="DP272" i="12"/>
  <c r="BP256" i="12"/>
  <c r="BL256" i="12" s="1"/>
  <c r="B256" i="12"/>
  <c r="A256" i="8" s="1"/>
  <c r="A230" i="9" s="1"/>
  <c r="DM256" i="12"/>
  <c r="DI256" i="12"/>
  <c r="DG256" i="12"/>
  <c r="DH256" i="12"/>
  <c r="DN256" i="12"/>
  <c r="DK256" i="12"/>
  <c r="DP256" i="12"/>
  <c r="DJ256" i="12"/>
  <c r="DO256" i="12"/>
  <c r="DL256" i="12"/>
  <c r="B240" i="12"/>
  <c r="A240" i="8" s="1"/>
  <c r="A214" i="9" s="1"/>
  <c r="DI240" i="12"/>
  <c r="DM240" i="12"/>
  <c r="DG240" i="12"/>
  <c r="DH240" i="12"/>
  <c r="DK240" i="12"/>
  <c r="DP240" i="12"/>
  <c r="DN240" i="12"/>
  <c r="DL240" i="12"/>
  <c r="DJ240" i="12"/>
  <c r="DO240" i="12"/>
  <c r="BP224" i="12"/>
  <c r="BL224" i="12" s="1"/>
  <c r="B224" i="12"/>
  <c r="A224" i="8" s="1"/>
  <c r="A198" i="9" s="1"/>
  <c r="DI224" i="12"/>
  <c r="DG224" i="12"/>
  <c r="DH224" i="12"/>
  <c r="DM224" i="12"/>
  <c r="DN224" i="12"/>
  <c r="DK224" i="12"/>
  <c r="DP224" i="12"/>
  <c r="DJ224" i="12"/>
  <c r="DO224" i="12"/>
  <c r="DL224" i="12"/>
  <c r="BP208" i="12"/>
  <c r="BL208" i="12" s="1"/>
  <c r="B208" i="12"/>
  <c r="A208" i="8" s="1"/>
  <c r="A182" i="9" s="1"/>
  <c r="DO208" i="12"/>
  <c r="DM208" i="12"/>
  <c r="DG208" i="12"/>
  <c r="DK208" i="12"/>
  <c r="DI208" i="12"/>
  <c r="DN208" i="12"/>
  <c r="DP208" i="12"/>
  <c r="DH208" i="12"/>
  <c r="DJ208" i="12"/>
  <c r="DL208" i="12"/>
  <c r="BP192" i="12"/>
  <c r="BL192" i="12" s="1"/>
  <c r="B192" i="12"/>
  <c r="A192" i="8" s="1"/>
  <c r="A166" i="9" s="1"/>
  <c r="DM192" i="12"/>
  <c r="DO192" i="12"/>
  <c r="DK192" i="12"/>
  <c r="DP192" i="12"/>
  <c r="DG192" i="12"/>
  <c r="DN192" i="12"/>
  <c r="DH192" i="12"/>
  <c r="DI192" i="12"/>
  <c r="DJ192" i="12"/>
  <c r="DL192" i="12"/>
  <c r="BP176" i="12"/>
  <c r="BL176" i="12" s="1"/>
  <c r="DP176" i="12"/>
  <c r="B176" i="12"/>
  <c r="A176" i="8" s="1"/>
  <c r="A150" i="9" s="1"/>
  <c r="DG176" i="12"/>
  <c r="DH176" i="12"/>
  <c r="DL176" i="12"/>
  <c r="DJ176" i="12"/>
  <c r="DN176" i="12"/>
  <c r="DK176" i="12"/>
  <c r="DI176" i="12"/>
  <c r="DM176" i="12"/>
  <c r="DO176" i="12"/>
  <c r="B160" i="12"/>
  <c r="A160" i="8" s="1"/>
  <c r="A134" i="9" s="1"/>
  <c r="DH160" i="12"/>
  <c r="DG160" i="12"/>
  <c r="DL160" i="12"/>
  <c r="DP160" i="12"/>
  <c r="DK160" i="12"/>
  <c r="DM160" i="12"/>
  <c r="DJ160" i="12"/>
  <c r="DN160" i="12"/>
  <c r="DO160" i="12"/>
  <c r="DI160" i="12"/>
  <c r="BP144" i="12"/>
  <c r="BL144" i="12" s="1"/>
  <c r="DH144" i="12"/>
  <c r="DL144" i="12"/>
  <c r="DG144" i="12"/>
  <c r="DP144" i="12"/>
  <c r="B144" i="12"/>
  <c r="A144" i="8" s="1"/>
  <c r="A118" i="9" s="1"/>
  <c r="DI144" i="12"/>
  <c r="DJ144" i="12"/>
  <c r="DK144" i="12"/>
  <c r="DO144" i="12"/>
  <c r="DM144" i="12"/>
  <c r="DN144" i="12"/>
  <c r="BP128" i="12"/>
  <c r="BL128" i="12" s="1"/>
  <c r="B128" i="12"/>
  <c r="A128" i="8" s="1"/>
  <c r="A102" i="9" s="1"/>
  <c r="DK128" i="12"/>
  <c r="DG128" i="12"/>
  <c r="DI128" i="12"/>
  <c r="DM128" i="12"/>
  <c r="DH128" i="12"/>
  <c r="DO128" i="12"/>
  <c r="DP128" i="12"/>
  <c r="DN128" i="12"/>
  <c r="DJ128" i="12"/>
  <c r="DL128" i="12"/>
  <c r="B112" i="12"/>
  <c r="A112" i="8" s="1"/>
  <c r="A86" i="9" s="1"/>
  <c r="DI112" i="12"/>
  <c r="DM112" i="12"/>
  <c r="DG112" i="12"/>
  <c r="DH112" i="12"/>
  <c r="DN112" i="12"/>
  <c r="DO112" i="12"/>
  <c r="DP112" i="12"/>
  <c r="DJ112" i="12"/>
  <c r="DK112" i="12"/>
  <c r="DL112" i="12"/>
  <c r="B96" i="12"/>
  <c r="A96" i="8" s="1"/>
  <c r="A70" i="9" s="1"/>
  <c r="DP96" i="12"/>
  <c r="DG96" i="12"/>
  <c r="DH96" i="12"/>
  <c r="DN96" i="12"/>
  <c r="DO96" i="12"/>
  <c r="DL96" i="12"/>
  <c r="DI96" i="12"/>
  <c r="DK96" i="12"/>
  <c r="DM96" i="12"/>
  <c r="DJ96" i="12"/>
  <c r="B80" i="12"/>
  <c r="A80" i="8" s="1"/>
  <c r="A54" i="9" s="1"/>
  <c r="DG80" i="12"/>
  <c r="DM80" i="12"/>
  <c r="DK80" i="12"/>
  <c r="DO80" i="12"/>
  <c r="DL80" i="12"/>
  <c r="DN80" i="12"/>
  <c r="DI80" i="12"/>
  <c r="DH80" i="12"/>
  <c r="DJ80" i="12"/>
  <c r="DP80" i="12"/>
  <c r="B64" i="12"/>
  <c r="A64" i="8" s="1"/>
  <c r="A38" i="9" s="1"/>
  <c r="DG64" i="12"/>
  <c r="DH64" i="12"/>
  <c r="DI64" i="12"/>
  <c r="DN64" i="12"/>
  <c r="DO64" i="12"/>
  <c r="DP64" i="12"/>
  <c r="DJ64" i="12"/>
  <c r="DL64" i="12"/>
  <c r="DK64" i="12"/>
  <c r="DM64" i="12"/>
  <c r="BP48" i="12"/>
  <c r="BL48" i="12" s="1"/>
  <c r="DL48" i="12"/>
  <c r="DG48" i="12"/>
  <c r="B48" i="12"/>
  <c r="A48" i="8" s="1"/>
  <c r="A22" i="9" s="1"/>
  <c r="DH48" i="12"/>
  <c r="DP48" i="12"/>
  <c r="DN48" i="12"/>
  <c r="DM48" i="12"/>
  <c r="DJ48" i="12"/>
  <c r="DK48" i="12"/>
  <c r="DI48" i="12"/>
  <c r="DO48" i="12"/>
  <c r="DH32" i="12"/>
  <c r="DL32" i="12"/>
  <c r="B32" i="12"/>
  <c r="A32" i="8" s="1"/>
  <c r="A6" i="9" s="1"/>
  <c r="DP32" i="12"/>
  <c r="DJ32" i="12"/>
  <c r="DI32" i="12"/>
  <c r="DM32" i="12"/>
  <c r="DN32" i="12"/>
  <c r="DK32" i="12"/>
  <c r="DO32" i="12"/>
  <c r="DG32" i="12"/>
  <c r="B31" i="12"/>
  <c r="A31" i="8" s="1"/>
  <c r="BP223" i="12"/>
  <c r="BL223" i="12" s="1"/>
  <c r="B223" i="12"/>
  <c r="A223" i="8" s="1"/>
  <c r="A197" i="9" s="1"/>
  <c r="DI223" i="12"/>
  <c r="DP223" i="12"/>
  <c r="DL223" i="12"/>
  <c r="DK223" i="12"/>
  <c r="DM223" i="12"/>
  <c r="DG223" i="12"/>
  <c r="DH223" i="12"/>
  <c r="DJ223" i="12"/>
  <c r="DO223" i="12"/>
  <c r="DN223" i="12"/>
  <c r="B283" i="12"/>
  <c r="A283" i="8" s="1"/>
  <c r="A257" i="9" s="1"/>
  <c r="DM283" i="12"/>
  <c r="DI283" i="12"/>
  <c r="DJ283" i="12"/>
  <c r="DO283" i="12"/>
  <c r="DH283" i="12"/>
  <c r="DN283" i="12"/>
  <c r="DK283" i="12"/>
  <c r="DP283" i="12"/>
  <c r="DL283" i="12"/>
  <c r="DG283" i="12"/>
  <c r="DM219" i="12"/>
  <c r="DI219" i="12"/>
  <c r="DL219" i="12"/>
  <c r="B219" i="12"/>
  <c r="A219" i="8" s="1"/>
  <c r="A193" i="9" s="1"/>
  <c r="DG219" i="12"/>
  <c r="DP219" i="12"/>
  <c r="DO219" i="12"/>
  <c r="DN219" i="12"/>
  <c r="DH219" i="12"/>
  <c r="DK219" i="12"/>
  <c r="DJ219" i="12"/>
  <c r="B155" i="12"/>
  <c r="A155" i="8" s="1"/>
  <c r="A129" i="9" s="1"/>
  <c r="DM155" i="12"/>
  <c r="DI155" i="12"/>
  <c r="DG155" i="12"/>
  <c r="DN155" i="12"/>
  <c r="DP155" i="12"/>
  <c r="DK155" i="12"/>
  <c r="DH155" i="12"/>
  <c r="DO155" i="12"/>
  <c r="DJ155" i="12"/>
  <c r="DL155" i="12"/>
  <c r="B247" i="12"/>
  <c r="A247" i="8" s="1"/>
  <c r="A221" i="9" s="1"/>
  <c r="DM247" i="12"/>
  <c r="DP247" i="12"/>
  <c r="DI247" i="12"/>
  <c r="DK247" i="12"/>
  <c r="DH247" i="12"/>
  <c r="DO247" i="12"/>
  <c r="DN247" i="12"/>
  <c r="BP247" i="12"/>
  <c r="BL247" i="12" s="1"/>
  <c r="DL247" i="12"/>
  <c r="DG247" i="12"/>
  <c r="DJ247" i="12"/>
  <c r="B183" i="12"/>
  <c r="A183" i="8" s="1"/>
  <c r="A157" i="9" s="1"/>
  <c r="DH183" i="12"/>
  <c r="DP183" i="12"/>
  <c r="BP183" i="12"/>
  <c r="BL183" i="12" s="1"/>
  <c r="DL183" i="12"/>
  <c r="DJ183" i="12"/>
  <c r="DI183" i="12"/>
  <c r="DN183" i="12"/>
  <c r="DG183" i="12"/>
  <c r="DK183" i="12"/>
  <c r="DO183" i="12"/>
  <c r="DM183" i="12"/>
  <c r="B227" i="12"/>
  <c r="A227" i="8" s="1"/>
  <c r="A201" i="9" s="1"/>
  <c r="DI227" i="12"/>
  <c r="DP227" i="12"/>
  <c r="DL227" i="12"/>
  <c r="DN227" i="12"/>
  <c r="DH227" i="12"/>
  <c r="DM227" i="12"/>
  <c r="DG227" i="12"/>
  <c r="DJ227" i="12"/>
  <c r="DO227" i="12"/>
  <c r="DK227" i="12"/>
  <c r="B163" i="12"/>
  <c r="A163" i="8" s="1"/>
  <c r="A137" i="9" s="1"/>
  <c r="DI163" i="12"/>
  <c r="DM163" i="12"/>
  <c r="DG163" i="12"/>
  <c r="DN163" i="12"/>
  <c r="DP163" i="12"/>
  <c r="DK163" i="12"/>
  <c r="DH163" i="12"/>
  <c r="DO163" i="12"/>
  <c r="DJ163" i="12"/>
  <c r="DL163" i="12"/>
  <c r="BP123" i="12"/>
  <c r="BL123" i="12" s="1"/>
  <c r="B123" i="12"/>
  <c r="A123" i="8" s="1"/>
  <c r="A97" i="9" s="1"/>
  <c r="DL123" i="12"/>
  <c r="DM123" i="12"/>
  <c r="DI123" i="12"/>
  <c r="DN123" i="12"/>
  <c r="DO123" i="12"/>
  <c r="DH123" i="12"/>
  <c r="DG123" i="12"/>
  <c r="DJ123" i="12"/>
  <c r="DK123" i="12"/>
  <c r="DP123" i="12"/>
  <c r="BP107" i="12"/>
  <c r="BL107" i="12" s="1"/>
  <c r="DH107" i="12"/>
  <c r="DP107" i="12"/>
  <c r="B107" i="12"/>
  <c r="A107" i="8" s="1"/>
  <c r="A81" i="9" s="1"/>
  <c r="DL107" i="12"/>
  <c r="DI107" i="12"/>
  <c r="DM107" i="12"/>
  <c r="DK107" i="12"/>
  <c r="DJ107" i="12"/>
  <c r="DG107" i="12"/>
  <c r="DO107" i="12"/>
  <c r="DN107" i="12"/>
  <c r="BP91" i="12"/>
  <c r="BL91" i="12" s="1"/>
  <c r="B91" i="12"/>
  <c r="A91" i="8" s="1"/>
  <c r="A65" i="9" s="1"/>
  <c r="DG91" i="12"/>
  <c r="DH91" i="12"/>
  <c r="DP91" i="12"/>
  <c r="DL91" i="12"/>
  <c r="DI91" i="12"/>
  <c r="DO91" i="12"/>
  <c r="DK91" i="12"/>
  <c r="DM91" i="12"/>
  <c r="DN91" i="12"/>
  <c r="DJ91" i="12"/>
  <c r="B75" i="12"/>
  <c r="A75" i="8" s="1"/>
  <c r="A49" i="9" s="1"/>
  <c r="DP75" i="12"/>
  <c r="DK75" i="12"/>
  <c r="DN75" i="12"/>
  <c r="DM75" i="12"/>
  <c r="DH75" i="12"/>
  <c r="DO75" i="12"/>
  <c r="DJ75" i="12"/>
  <c r="DG75" i="12"/>
  <c r="DI75" i="12"/>
  <c r="DL75" i="12"/>
  <c r="B59" i="12"/>
  <c r="A59" i="8" s="1"/>
  <c r="A33" i="9" s="1"/>
  <c r="DI59" i="12"/>
  <c r="DM59" i="12"/>
  <c r="DO59" i="12"/>
  <c r="DP59" i="12"/>
  <c r="DJ59" i="12"/>
  <c r="DG59" i="12"/>
  <c r="DH59" i="12"/>
  <c r="DK59" i="12"/>
  <c r="DL59" i="12"/>
  <c r="DN59" i="12"/>
  <c r="BP43" i="12"/>
  <c r="BL43" i="12" s="1"/>
  <c r="B43" i="12"/>
  <c r="A43" i="8" s="1"/>
  <c r="A17" i="9" s="1"/>
  <c r="DG43" i="12"/>
  <c r="DI43" i="12"/>
  <c r="DK43" i="12"/>
  <c r="DO43" i="12"/>
  <c r="DL43" i="12"/>
  <c r="DJ43" i="12"/>
  <c r="DM43" i="12"/>
  <c r="DH43" i="12"/>
  <c r="DN43" i="12"/>
  <c r="DP43" i="12"/>
  <c r="BP278" i="12"/>
  <c r="BL278" i="12" s="1"/>
  <c r="B278" i="12"/>
  <c r="A278" i="8" s="1"/>
  <c r="A252" i="9" s="1"/>
  <c r="DO278" i="12"/>
  <c r="DG278" i="12"/>
  <c r="DM278" i="12"/>
  <c r="DK278" i="12"/>
  <c r="DI278" i="12"/>
  <c r="DN278" i="12"/>
  <c r="DH278" i="12"/>
  <c r="DJ278" i="12"/>
  <c r="DL278" i="12"/>
  <c r="DP278" i="12"/>
  <c r="B262" i="12"/>
  <c r="A262" i="8" s="1"/>
  <c r="A236" i="9" s="1"/>
  <c r="DL262" i="12"/>
  <c r="DG262" i="12"/>
  <c r="DO262" i="12"/>
  <c r="DP262" i="12"/>
  <c r="DM262" i="12"/>
  <c r="DJ262" i="12"/>
  <c r="DK262" i="12"/>
  <c r="DH262" i="12"/>
  <c r="DI262" i="12"/>
  <c r="DN262" i="12"/>
  <c r="B246" i="12"/>
  <c r="A246" i="8" s="1"/>
  <c r="A220" i="9" s="1"/>
  <c r="DL246" i="12"/>
  <c r="DG246" i="12"/>
  <c r="DP246" i="12"/>
  <c r="DO246" i="12"/>
  <c r="DM246" i="12"/>
  <c r="DK246" i="12"/>
  <c r="DJ246" i="12"/>
  <c r="DI246" i="12"/>
  <c r="DH246" i="12"/>
  <c r="DN246" i="12"/>
  <c r="B230" i="12"/>
  <c r="A230" i="8" s="1"/>
  <c r="A204" i="9" s="1"/>
  <c r="DL230" i="12"/>
  <c r="DG230" i="12"/>
  <c r="DO230" i="12"/>
  <c r="DK230" i="12"/>
  <c r="DM230" i="12"/>
  <c r="DH230" i="12"/>
  <c r="DJ230" i="12"/>
  <c r="DP230" i="12"/>
  <c r="DI230" i="12"/>
  <c r="DN230" i="12"/>
  <c r="B214" i="12"/>
  <c r="A214" i="8" s="1"/>
  <c r="A188" i="9" s="1"/>
  <c r="DK214" i="12"/>
  <c r="DI214" i="12"/>
  <c r="DM214" i="12"/>
  <c r="DO214" i="12"/>
  <c r="DG214" i="12"/>
  <c r="DH214" i="12"/>
  <c r="DJ214" i="12"/>
  <c r="DP214" i="12"/>
  <c r="DN214" i="12"/>
  <c r="DL214" i="12"/>
  <c r="B198" i="12"/>
  <c r="A198" i="8" s="1"/>
  <c r="A172" i="9" s="1"/>
  <c r="DI198" i="12"/>
  <c r="DK198" i="12"/>
  <c r="DP198" i="12"/>
  <c r="DM198" i="12"/>
  <c r="DN198" i="12"/>
  <c r="DH198" i="12"/>
  <c r="DG198" i="12"/>
  <c r="DL198" i="12"/>
  <c r="DJ198" i="12"/>
  <c r="DO198" i="12"/>
  <c r="B182" i="12"/>
  <c r="A182" i="8" s="1"/>
  <c r="A156" i="9" s="1"/>
  <c r="DM182" i="12"/>
  <c r="DI182" i="12"/>
  <c r="DN182" i="12"/>
  <c r="DH182" i="12"/>
  <c r="DK182" i="12"/>
  <c r="DP182" i="12"/>
  <c r="DJ182" i="12"/>
  <c r="DO182" i="12"/>
  <c r="DL182" i="12"/>
  <c r="DG182" i="12"/>
  <c r="DH166" i="12"/>
  <c r="B166" i="12"/>
  <c r="A166" i="8" s="1"/>
  <c r="A140" i="9" s="1"/>
  <c r="DL166" i="12"/>
  <c r="DM166" i="12"/>
  <c r="DJ166" i="12"/>
  <c r="DI166" i="12"/>
  <c r="DG166" i="12"/>
  <c r="DP166" i="12"/>
  <c r="DO166" i="12"/>
  <c r="DN166" i="12"/>
  <c r="DK166" i="12"/>
  <c r="B150" i="12"/>
  <c r="A150" i="8" s="1"/>
  <c r="A124" i="9" s="1"/>
  <c r="DH150" i="12"/>
  <c r="DL150" i="12"/>
  <c r="DJ150" i="12"/>
  <c r="DN150" i="12"/>
  <c r="DM150" i="12"/>
  <c r="DP150" i="12"/>
  <c r="DI150" i="12"/>
  <c r="DG150" i="12"/>
  <c r="DO150" i="12"/>
  <c r="DK150" i="12"/>
  <c r="B134" i="12"/>
  <c r="A134" i="8" s="1"/>
  <c r="A108" i="9" s="1"/>
  <c r="DJ134" i="12"/>
  <c r="DH134" i="12"/>
  <c r="DI134" i="12"/>
  <c r="DN134" i="12"/>
  <c r="DL134" i="12"/>
  <c r="DM134" i="12"/>
  <c r="DP134" i="12"/>
  <c r="DO134" i="12"/>
  <c r="DG134" i="12"/>
  <c r="DK134" i="12"/>
  <c r="B118" i="12"/>
  <c r="A118" i="8" s="1"/>
  <c r="A92" i="9" s="1"/>
  <c r="DP118" i="12"/>
  <c r="DG118" i="12"/>
  <c r="DH118" i="12"/>
  <c r="DI118" i="12"/>
  <c r="DL118" i="12"/>
  <c r="DK118" i="12"/>
  <c r="DJ118" i="12"/>
  <c r="DM118" i="12"/>
  <c r="DO118" i="12"/>
  <c r="DN118" i="12"/>
  <c r="B102" i="12"/>
  <c r="A102" i="8" s="1"/>
  <c r="A76" i="9" s="1"/>
  <c r="DL102" i="12"/>
  <c r="DG102" i="12"/>
  <c r="DP102" i="12"/>
  <c r="DI102" i="12"/>
  <c r="DH102" i="12"/>
  <c r="DO102" i="12"/>
  <c r="DM102" i="12"/>
  <c r="DN102" i="12"/>
  <c r="DJ102" i="12"/>
  <c r="DK102" i="12"/>
  <c r="B86" i="12"/>
  <c r="A86" i="8" s="1"/>
  <c r="A60" i="9" s="1"/>
  <c r="BP86" i="12"/>
  <c r="BL86" i="12" s="1"/>
  <c r="DG86" i="12"/>
  <c r="DL86" i="12"/>
  <c r="DP86" i="12"/>
  <c r="DI86" i="12"/>
  <c r="DK86" i="12"/>
  <c r="DO86" i="12"/>
  <c r="DM86" i="12"/>
  <c r="DN86" i="12"/>
  <c r="DJ86" i="12"/>
  <c r="DH86" i="12"/>
  <c r="BP70" i="12"/>
  <c r="BL70" i="12" s="1"/>
  <c r="B70" i="12"/>
  <c r="A70" i="8" s="1"/>
  <c r="A44" i="9" s="1"/>
  <c r="DG70" i="12"/>
  <c r="DI70" i="12"/>
  <c r="DM70" i="12"/>
  <c r="DK70" i="12"/>
  <c r="DN70" i="12"/>
  <c r="DO70" i="12"/>
  <c r="DL70" i="12"/>
  <c r="DH70" i="12"/>
  <c r="DJ70" i="12"/>
  <c r="DP70" i="12"/>
  <c r="DH54" i="12"/>
  <c r="DP54" i="12"/>
  <c r="B54" i="12"/>
  <c r="A54" i="8" s="1"/>
  <c r="A28" i="9" s="1"/>
  <c r="DL54" i="12"/>
  <c r="DI54" i="12"/>
  <c r="DM54" i="12"/>
  <c r="DN54" i="12"/>
  <c r="DO54" i="12"/>
  <c r="DG54" i="12"/>
  <c r="DJ54" i="12"/>
  <c r="DK54" i="12"/>
  <c r="BP38" i="12"/>
  <c r="BL38" i="12" s="1"/>
  <c r="B38" i="12"/>
  <c r="A38" i="8" s="1"/>
  <c r="A12" i="9" s="1"/>
  <c r="DL38" i="12"/>
  <c r="DH38" i="12"/>
  <c r="DP38" i="12"/>
  <c r="DI38" i="12"/>
  <c r="DJ38" i="12"/>
  <c r="DM38" i="12"/>
  <c r="DN38" i="12"/>
  <c r="DK38" i="12"/>
  <c r="DO38" i="12"/>
  <c r="DG38" i="12"/>
  <c r="BP277" i="12"/>
  <c r="BL277" i="12" s="1"/>
  <c r="B277" i="12"/>
  <c r="A277" i="8" s="1"/>
  <c r="A251" i="9" s="1"/>
  <c r="DH277" i="12"/>
  <c r="DP277" i="12"/>
  <c r="DJ277" i="12"/>
  <c r="DK277" i="12"/>
  <c r="DI277" i="12"/>
  <c r="DO277" i="12"/>
  <c r="DG277" i="12"/>
  <c r="DM277" i="12"/>
  <c r="DL277" i="12"/>
  <c r="DN277" i="12"/>
  <c r="BP261" i="12"/>
  <c r="BL261" i="12" s="1"/>
  <c r="B261" i="12"/>
  <c r="A261" i="8" s="1"/>
  <c r="A235" i="9" s="1"/>
  <c r="DK261" i="12"/>
  <c r="DG261" i="12"/>
  <c r="DN261" i="12"/>
  <c r="DI261" i="12"/>
  <c r="DJ261" i="12"/>
  <c r="DP261" i="12"/>
  <c r="DM261" i="12"/>
  <c r="DH261" i="12"/>
  <c r="DO261" i="12"/>
  <c r="DL261" i="12"/>
  <c r="BP245" i="12"/>
  <c r="BL245" i="12" s="1"/>
  <c r="B245" i="12"/>
  <c r="A245" i="8" s="1"/>
  <c r="A219" i="9" s="1"/>
  <c r="DK245" i="12"/>
  <c r="DG245" i="12"/>
  <c r="DJ245" i="12"/>
  <c r="DH245" i="12"/>
  <c r="DM245" i="12"/>
  <c r="DP245" i="12"/>
  <c r="DN245" i="12"/>
  <c r="DL245" i="12"/>
  <c r="DI245" i="12"/>
  <c r="DO245" i="12"/>
  <c r="BP229" i="12"/>
  <c r="BL229" i="12" s="1"/>
  <c r="B229" i="12"/>
  <c r="A229" i="8" s="1"/>
  <c r="A203" i="9" s="1"/>
  <c r="DK229" i="12"/>
  <c r="DG229" i="12"/>
  <c r="DN229" i="12"/>
  <c r="DP229" i="12"/>
  <c r="DM229" i="12"/>
  <c r="DH229" i="12"/>
  <c r="DO229" i="12"/>
  <c r="DJ229" i="12"/>
  <c r="DI229" i="12"/>
  <c r="DL229" i="12"/>
  <c r="BP213" i="12"/>
  <c r="BL213" i="12" s="1"/>
  <c r="DJ213" i="12"/>
  <c r="DL213" i="12"/>
  <c r="B213" i="12"/>
  <c r="A213" i="8" s="1"/>
  <c r="A187" i="9" s="1"/>
  <c r="DN213" i="12"/>
  <c r="DH213" i="12"/>
  <c r="DO213" i="12"/>
  <c r="DP213" i="12"/>
  <c r="DI213" i="12"/>
  <c r="DG213" i="12"/>
  <c r="DM213" i="12"/>
  <c r="DK213" i="12"/>
  <c r="B197" i="12"/>
  <c r="A197" i="8" s="1"/>
  <c r="A171" i="9" s="1"/>
  <c r="DH197" i="12"/>
  <c r="DP197" i="12"/>
  <c r="DJ197" i="12"/>
  <c r="DN197" i="12"/>
  <c r="DL197" i="12"/>
  <c r="DI197" i="12"/>
  <c r="DO197" i="12"/>
  <c r="DG197" i="12"/>
  <c r="DM197" i="12"/>
  <c r="DK197" i="12"/>
  <c r="BP181" i="12"/>
  <c r="BL181" i="12" s="1"/>
  <c r="DP181" i="12"/>
  <c r="B181" i="12"/>
  <c r="A181" i="8" s="1"/>
  <c r="A155" i="9" s="1"/>
  <c r="DH181" i="12"/>
  <c r="DL181" i="12"/>
  <c r="DM181" i="12"/>
  <c r="DO181" i="12"/>
  <c r="DJ181" i="12"/>
  <c r="DN181" i="12"/>
  <c r="DI181" i="12"/>
  <c r="DG181" i="12"/>
  <c r="DK181" i="12"/>
  <c r="BP165" i="12"/>
  <c r="BL165" i="12" s="1"/>
  <c r="B165" i="12"/>
  <c r="A165" i="8" s="1"/>
  <c r="A139" i="9" s="1"/>
  <c r="DG165" i="12"/>
  <c r="DP165" i="12"/>
  <c r="DI165" i="12"/>
  <c r="DM165" i="12"/>
  <c r="DK165" i="12"/>
  <c r="DO165" i="12"/>
  <c r="DJ165" i="12"/>
  <c r="DH165" i="12"/>
  <c r="DN165" i="12"/>
  <c r="DL165" i="12"/>
  <c r="B149" i="12"/>
  <c r="A149" i="8" s="1"/>
  <c r="A123" i="9" s="1"/>
  <c r="DI149" i="12"/>
  <c r="DG149" i="12"/>
  <c r="DK149" i="12"/>
  <c r="DJ149" i="12"/>
  <c r="DM149" i="12"/>
  <c r="DO149" i="12"/>
  <c r="DL149" i="12"/>
  <c r="DN149" i="12"/>
  <c r="DH149" i="12"/>
  <c r="DP149" i="12"/>
  <c r="B133" i="12"/>
  <c r="A133" i="8" s="1"/>
  <c r="A107" i="9" s="1"/>
  <c r="DI133" i="12"/>
  <c r="DG133" i="12"/>
  <c r="DO133" i="12"/>
  <c r="DM133" i="12"/>
  <c r="DN133" i="12"/>
  <c r="DL133" i="12"/>
  <c r="DK133" i="12"/>
  <c r="DH133" i="12"/>
  <c r="DJ133" i="12"/>
  <c r="DP133" i="12"/>
  <c r="B117" i="12"/>
  <c r="A117" i="8" s="1"/>
  <c r="A91" i="9" s="1"/>
  <c r="DG117" i="12"/>
  <c r="DH117" i="12"/>
  <c r="DL117" i="12"/>
  <c r="DP117" i="12"/>
  <c r="DI117" i="12"/>
  <c r="DN117" i="12"/>
  <c r="DO117" i="12"/>
  <c r="DJ117" i="12"/>
  <c r="DM117" i="12"/>
  <c r="DK117" i="12"/>
  <c r="DG101" i="12"/>
  <c r="DI101" i="12"/>
  <c r="DN101" i="12"/>
  <c r="DJ101" i="12"/>
  <c r="DM101" i="12"/>
  <c r="DK101" i="12"/>
  <c r="B101" i="12"/>
  <c r="A101" i="8" s="1"/>
  <c r="A75" i="9" s="1"/>
  <c r="DO101" i="12"/>
  <c r="DH101" i="12"/>
  <c r="DP101" i="12"/>
  <c r="DL101" i="12"/>
  <c r="B85" i="12"/>
  <c r="A85" i="8" s="1"/>
  <c r="A59" i="9" s="1"/>
  <c r="DH85" i="12"/>
  <c r="BP85" i="12"/>
  <c r="BL85" i="12" s="1"/>
  <c r="DG85" i="12"/>
  <c r="DL85" i="12"/>
  <c r="DP85" i="12"/>
  <c r="DM85" i="12"/>
  <c r="DO85" i="12"/>
  <c r="DJ85" i="12"/>
  <c r="DK85" i="12"/>
  <c r="DN85" i="12"/>
  <c r="DI85" i="12"/>
  <c r="B69" i="12"/>
  <c r="A69" i="8" s="1"/>
  <c r="A43" i="9" s="1"/>
  <c r="DP69" i="12"/>
  <c r="DL69" i="12"/>
  <c r="DG69" i="12"/>
  <c r="DH69" i="12"/>
  <c r="DJ69" i="12"/>
  <c r="DI69" i="12"/>
  <c r="DM69" i="12"/>
  <c r="DK69" i="12"/>
  <c r="DO69" i="12"/>
  <c r="DN69" i="12"/>
  <c r="DL53" i="12"/>
  <c r="DP53" i="12"/>
  <c r="DH53" i="12"/>
  <c r="DG53" i="12"/>
  <c r="DM53" i="12"/>
  <c r="DJ53" i="12"/>
  <c r="DN53" i="12"/>
  <c r="DK53" i="12"/>
  <c r="DI53" i="12"/>
  <c r="DO53" i="12"/>
  <c r="B53" i="12"/>
  <c r="A53" i="8" s="1"/>
  <c r="A27" i="9" s="1"/>
  <c r="B37" i="12"/>
  <c r="A37" i="8" s="1"/>
  <c r="A11" i="9" s="1"/>
  <c r="DG37" i="12"/>
  <c r="DI37" i="12"/>
  <c r="DK37" i="12"/>
  <c r="DM37" i="12"/>
  <c r="DO37" i="12"/>
  <c r="DN37" i="12"/>
  <c r="DL37" i="12"/>
  <c r="DJ37" i="12"/>
  <c r="DP37" i="12"/>
  <c r="DH37" i="12"/>
  <c r="DM280" i="12"/>
  <c r="DH280" i="12"/>
  <c r="DG280" i="12"/>
  <c r="DN280" i="12"/>
  <c r="B280" i="12"/>
  <c r="A280" i="8" s="1"/>
  <c r="A254" i="9" s="1"/>
  <c r="DI280" i="12"/>
  <c r="DL280" i="12"/>
  <c r="DK280" i="12"/>
  <c r="DJ280" i="12"/>
  <c r="DP280" i="12"/>
  <c r="DO280" i="12"/>
  <c r="BP264" i="12"/>
  <c r="BL264" i="12" s="1"/>
  <c r="B264" i="12"/>
  <c r="A264" i="8" s="1"/>
  <c r="A238" i="9" s="1"/>
  <c r="DN264" i="12"/>
  <c r="DJ264" i="12"/>
  <c r="DI264" i="12"/>
  <c r="DG264" i="12"/>
  <c r="DH264" i="12"/>
  <c r="DM264" i="12"/>
  <c r="DO264" i="12"/>
  <c r="DL264" i="12"/>
  <c r="DK264" i="12"/>
  <c r="DP264" i="12"/>
  <c r="B248" i="12"/>
  <c r="A248" i="8" s="1"/>
  <c r="A222" i="9" s="1"/>
  <c r="DM248" i="12"/>
  <c r="DI248" i="12"/>
  <c r="DG248" i="12"/>
  <c r="DH248" i="12"/>
  <c r="DL248" i="12"/>
  <c r="DJ248" i="12"/>
  <c r="DO248" i="12"/>
  <c r="DN248" i="12"/>
  <c r="DK248" i="12"/>
  <c r="DP248" i="12"/>
  <c r="B232" i="12"/>
  <c r="A232" i="8" s="1"/>
  <c r="A206" i="9" s="1"/>
  <c r="DI232" i="12"/>
  <c r="DM232" i="12"/>
  <c r="DG232" i="12"/>
  <c r="DH232" i="12"/>
  <c r="DJ232" i="12"/>
  <c r="DO232" i="12"/>
  <c r="DL232" i="12"/>
  <c r="DK232" i="12"/>
  <c r="DP232" i="12"/>
  <c r="DN232" i="12"/>
  <c r="BP216" i="12"/>
  <c r="BL216" i="12" s="1"/>
  <c r="B216" i="12"/>
  <c r="A216" i="8" s="1"/>
  <c r="A190" i="9" s="1"/>
  <c r="DP216" i="12"/>
  <c r="DI216" i="12"/>
  <c r="DO216" i="12"/>
  <c r="DK216" i="12"/>
  <c r="DG216" i="12"/>
  <c r="DL216" i="12"/>
  <c r="DH216" i="12"/>
  <c r="DN216" i="12"/>
  <c r="DM216" i="12"/>
  <c r="DJ216" i="12"/>
  <c r="BP200" i="12"/>
  <c r="BL200" i="12" s="1"/>
  <c r="B200" i="12"/>
  <c r="A200" i="8" s="1"/>
  <c r="A174" i="9" s="1"/>
  <c r="DG200" i="12"/>
  <c r="DI200" i="12"/>
  <c r="DM200" i="12"/>
  <c r="DK200" i="12"/>
  <c r="DH200" i="12"/>
  <c r="DJ200" i="12"/>
  <c r="DP200" i="12"/>
  <c r="DO200" i="12"/>
  <c r="DL200" i="12"/>
  <c r="DN200" i="12"/>
  <c r="BP184" i="12"/>
  <c r="BL184" i="12" s="1"/>
  <c r="DG184" i="12"/>
  <c r="DL184" i="12"/>
  <c r="DP184" i="12"/>
  <c r="DI184" i="12"/>
  <c r="DO184" i="12"/>
  <c r="B184" i="12"/>
  <c r="A184" i="8" s="1"/>
  <c r="A158" i="9" s="1"/>
  <c r="DJ184" i="12"/>
  <c r="DH184" i="12"/>
  <c r="DM184" i="12"/>
  <c r="DK184" i="12"/>
  <c r="DN184" i="12"/>
  <c r="B168" i="12"/>
  <c r="A168" i="8" s="1"/>
  <c r="A142" i="9" s="1"/>
  <c r="DG168" i="12"/>
  <c r="DL168" i="12"/>
  <c r="DP168" i="12"/>
  <c r="DI168" i="12"/>
  <c r="DN168" i="12"/>
  <c r="DK168" i="12"/>
  <c r="DM168" i="12"/>
  <c r="DH168" i="12"/>
  <c r="DO168" i="12"/>
  <c r="DJ168" i="12"/>
  <c r="B152" i="12"/>
  <c r="A152" i="8" s="1"/>
  <c r="A126" i="9" s="1"/>
  <c r="DG152" i="12"/>
  <c r="DL152" i="12"/>
  <c r="DP152" i="12"/>
  <c r="DH152" i="12"/>
  <c r="DI152" i="12"/>
  <c r="DN152" i="12"/>
  <c r="DJ152" i="12"/>
  <c r="DK152" i="12"/>
  <c r="DO152" i="12"/>
  <c r="DM152" i="12"/>
  <c r="B136" i="12"/>
  <c r="A136" i="8" s="1"/>
  <c r="A110" i="9" s="1"/>
  <c r="DH136" i="12"/>
  <c r="DL136" i="12"/>
  <c r="DI136" i="12"/>
  <c r="DN136" i="12"/>
  <c r="DM136" i="12"/>
  <c r="DO136" i="12"/>
  <c r="DJ136" i="12"/>
  <c r="DG136" i="12"/>
  <c r="DP136" i="12"/>
  <c r="DK136" i="12"/>
  <c r="B120" i="12"/>
  <c r="A120" i="8" s="1"/>
  <c r="A94" i="9" s="1"/>
  <c r="DI120" i="12"/>
  <c r="DM120" i="12"/>
  <c r="DG120" i="12"/>
  <c r="DH120" i="12"/>
  <c r="DN120" i="12"/>
  <c r="DO120" i="12"/>
  <c r="DP120" i="12"/>
  <c r="DK120" i="12"/>
  <c r="DJ120" i="12"/>
  <c r="DL120" i="12"/>
  <c r="B104" i="12"/>
  <c r="A104" i="8" s="1"/>
  <c r="A78" i="9" s="1"/>
  <c r="DM104" i="12"/>
  <c r="DK104" i="12"/>
  <c r="DG104" i="12"/>
  <c r="DO104" i="12"/>
  <c r="DI104" i="12"/>
  <c r="DJ104" i="12"/>
  <c r="DN104" i="12"/>
  <c r="DL104" i="12"/>
  <c r="DP104" i="12"/>
  <c r="DH104" i="12"/>
  <c r="B88" i="12"/>
  <c r="A88" i="8" s="1"/>
  <c r="A62" i="9" s="1"/>
  <c r="DH88" i="12"/>
  <c r="DL88" i="12"/>
  <c r="DI88" i="12"/>
  <c r="DN88" i="12"/>
  <c r="DO88" i="12"/>
  <c r="DP88" i="12"/>
  <c r="DG88" i="12"/>
  <c r="DJ88" i="12"/>
  <c r="DM88" i="12"/>
  <c r="DK88" i="12"/>
  <c r="BP72" i="12"/>
  <c r="BL72" i="12" s="1"/>
  <c r="B72" i="12"/>
  <c r="A72" i="8" s="1"/>
  <c r="A46" i="9" s="1"/>
  <c r="DK72" i="12"/>
  <c r="DG72" i="12"/>
  <c r="DO72" i="12"/>
  <c r="DM72" i="12"/>
  <c r="DI72" i="12"/>
  <c r="DN72" i="12"/>
  <c r="DL72" i="12"/>
  <c r="DJ72" i="12"/>
  <c r="DH72" i="12"/>
  <c r="DP72" i="12"/>
  <c r="DG56" i="12"/>
  <c r="B56" i="12"/>
  <c r="A56" i="8" s="1"/>
  <c r="A30" i="9" s="1"/>
  <c r="DL56" i="12"/>
  <c r="DP56" i="12"/>
  <c r="DI56" i="12"/>
  <c r="BP56" i="12"/>
  <c r="BL56" i="12" s="1"/>
  <c r="DH56" i="12"/>
  <c r="DO56" i="12"/>
  <c r="DJ56" i="12"/>
  <c r="DM56" i="12"/>
  <c r="DK56" i="12"/>
  <c r="DN56" i="12"/>
  <c r="B40" i="12"/>
  <c r="A40" i="8" s="1"/>
  <c r="A14" i="9" s="1"/>
  <c r="DP40" i="12"/>
  <c r="DH40" i="12"/>
  <c r="DL40" i="12"/>
  <c r="DM40" i="12"/>
  <c r="DN40" i="12"/>
  <c r="DJ40" i="12"/>
  <c r="DK40" i="12"/>
  <c r="DI40" i="12"/>
  <c r="DO40" i="12"/>
  <c r="DG40" i="12"/>
  <c r="F264" i="18" l="1"/>
  <c r="F264" i="8"/>
  <c r="G264" i="19" s="1"/>
  <c r="F264" i="14"/>
  <c r="F279" i="18"/>
  <c r="F279" i="14"/>
  <c r="F279" i="8"/>
  <c r="G279" i="19" s="1"/>
  <c r="F271" i="18"/>
  <c r="F271" i="14"/>
  <c r="F271" i="8"/>
  <c r="G271" i="19" s="1"/>
  <c r="F282" i="18"/>
  <c r="F282" i="8"/>
  <c r="G282" i="19" s="1"/>
  <c r="F282" i="14"/>
  <c r="F272" i="18"/>
  <c r="F272" i="14"/>
  <c r="F272" i="8"/>
  <c r="G272" i="19" s="1"/>
  <c r="F276" i="18"/>
  <c r="F276" i="8"/>
  <c r="G276" i="19" s="1"/>
  <c r="F276" i="14"/>
  <c r="F268" i="18"/>
  <c r="F268" i="8"/>
  <c r="G268" i="19" s="1"/>
  <c r="F268" i="14"/>
  <c r="F277" i="18"/>
  <c r="F277" i="8"/>
  <c r="G277" i="19" s="1"/>
  <c r="F277" i="14"/>
  <c r="F278" i="18"/>
  <c r="F278" i="14"/>
  <c r="F278" i="8"/>
  <c r="G278" i="19" s="1"/>
  <c r="F269" i="18"/>
  <c r="F269" i="14"/>
  <c r="F269" i="8"/>
  <c r="G269" i="19" s="1"/>
  <c r="F261" i="18"/>
  <c r="F261" i="8"/>
  <c r="G261" i="19" s="1"/>
  <c r="F261" i="14"/>
  <c r="F257" i="18"/>
  <c r="F257" i="8"/>
  <c r="G257" i="19" s="1"/>
  <c r="F257" i="14"/>
  <c r="F256" i="18"/>
  <c r="F256" i="8"/>
  <c r="G256" i="19" s="1"/>
  <c r="F256" i="14"/>
  <c r="F254" i="18"/>
  <c r="F254" i="14"/>
  <c r="F254" i="8"/>
  <c r="G254" i="19" s="1"/>
  <c r="F247" i="18"/>
  <c r="F247" i="8"/>
  <c r="G247" i="19" s="1"/>
  <c r="F247" i="14"/>
  <c r="F241" i="18"/>
  <c r="F241" i="8"/>
  <c r="G241" i="19" s="1"/>
  <c r="F241" i="14"/>
  <c r="F242" i="18"/>
  <c r="F242" i="14"/>
  <c r="F242" i="8"/>
  <c r="G242" i="19" s="1"/>
  <c r="F250" i="18"/>
  <c r="F250" i="14"/>
  <c r="F250" i="8"/>
  <c r="G250" i="19" s="1"/>
  <c r="F243" i="18"/>
  <c r="F243" i="8"/>
  <c r="G243" i="19" s="1"/>
  <c r="F243" i="14"/>
  <c r="F235" i="18"/>
  <c r="F235" i="14"/>
  <c r="F235" i="8"/>
  <c r="G235" i="19" s="1"/>
  <c r="F245" i="18"/>
  <c r="F245" i="8"/>
  <c r="G245" i="19" s="1"/>
  <c r="F245" i="14"/>
  <c r="F237" i="18"/>
  <c r="F237" i="14"/>
  <c r="F237" i="8"/>
  <c r="G237" i="19" s="1"/>
  <c r="F253" i="18"/>
  <c r="F253" i="14"/>
  <c r="F253" i="8"/>
  <c r="G253" i="19" s="1"/>
  <c r="F238" i="18"/>
  <c r="F238" i="14"/>
  <c r="F238" i="8"/>
  <c r="G238" i="19" s="1"/>
  <c r="F244" i="18"/>
  <c r="F244" i="8"/>
  <c r="G244" i="19" s="1"/>
  <c r="F244" i="14"/>
  <c r="F234" i="18"/>
  <c r="F234" i="8"/>
  <c r="G234" i="19" s="1"/>
  <c r="F234" i="14"/>
  <c r="F252" i="18"/>
  <c r="F252" i="8"/>
  <c r="G252" i="19" s="1"/>
  <c r="F252" i="14"/>
  <c r="F229" i="18"/>
  <c r="F229" i="14"/>
  <c r="F229" i="8"/>
  <c r="G229" i="19" s="1"/>
  <c r="F228" i="18"/>
  <c r="F228" i="8"/>
  <c r="G228" i="19" s="1"/>
  <c r="F228" i="14"/>
  <c r="F226" i="18"/>
  <c r="F226" i="14"/>
  <c r="F226" i="8"/>
  <c r="G226" i="19" s="1"/>
  <c r="F225" i="18"/>
  <c r="F225" i="14"/>
  <c r="F225" i="8"/>
  <c r="G225" i="19" s="1"/>
  <c r="F224" i="18"/>
  <c r="F224" i="14"/>
  <c r="F224" i="8"/>
  <c r="G224" i="19" s="1"/>
  <c r="F223" i="18"/>
  <c r="F223" i="14"/>
  <c r="F223" i="8"/>
  <c r="G223" i="19" s="1"/>
  <c r="F220" i="18"/>
  <c r="F220" i="14"/>
  <c r="F220" i="8"/>
  <c r="G220" i="19" s="1"/>
  <c r="F217" i="18"/>
  <c r="F217" i="8"/>
  <c r="G217" i="19" s="1"/>
  <c r="F217" i="14"/>
  <c r="F216" i="18"/>
  <c r="F216" i="14"/>
  <c r="F216" i="8"/>
  <c r="G216" i="19" s="1"/>
  <c r="F215" i="18"/>
  <c r="F215" i="14"/>
  <c r="F215" i="8"/>
  <c r="G215" i="19" s="1"/>
  <c r="F213" i="18"/>
  <c r="F213" i="14"/>
  <c r="F213" i="8"/>
  <c r="G213" i="19" s="1"/>
  <c r="F211" i="18"/>
  <c r="F211" i="14"/>
  <c r="F211" i="8"/>
  <c r="G211" i="19" s="1"/>
  <c r="F208" i="18"/>
  <c r="F208" i="14"/>
  <c r="F208" i="8"/>
  <c r="G208" i="19" s="1"/>
  <c r="F207" i="18"/>
  <c r="F207" i="8"/>
  <c r="G207" i="19" s="1"/>
  <c r="F207" i="14"/>
  <c r="F205" i="18"/>
  <c r="F205" i="8"/>
  <c r="G205" i="19" s="1"/>
  <c r="F205" i="14"/>
  <c r="F203" i="18"/>
  <c r="F203" i="8"/>
  <c r="G203" i="19" s="1"/>
  <c r="F203" i="14"/>
  <c r="F200" i="18"/>
  <c r="F200" i="8"/>
  <c r="G200" i="19" s="1"/>
  <c r="F200" i="14"/>
  <c r="F199" i="18"/>
  <c r="F199" i="8"/>
  <c r="G199" i="19" s="1"/>
  <c r="F199" i="14"/>
  <c r="F193" i="18"/>
  <c r="F193" i="8"/>
  <c r="G193" i="19" s="1"/>
  <c r="F193" i="14"/>
  <c r="F192" i="18"/>
  <c r="F192" i="14"/>
  <c r="F192" i="8"/>
  <c r="G192" i="19" s="1"/>
  <c r="F191" i="18"/>
  <c r="F191" i="8"/>
  <c r="G191" i="19" s="1"/>
  <c r="F191" i="14"/>
  <c r="F189" i="18"/>
  <c r="F189" i="8"/>
  <c r="G189" i="19" s="1"/>
  <c r="F189" i="14"/>
  <c r="F185" i="18"/>
  <c r="F185" i="14"/>
  <c r="F185" i="8"/>
  <c r="G185" i="19" s="1"/>
  <c r="F184" i="18"/>
  <c r="F184" i="14"/>
  <c r="F184" i="8"/>
  <c r="G184" i="19" s="1"/>
  <c r="F183" i="18"/>
  <c r="F183" i="14"/>
  <c r="F183" i="8"/>
  <c r="G183" i="19" s="1"/>
  <c r="F181" i="18"/>
  <c r="F181" i="8"/>
  <c r="G181" i="19" s="1"/>
  <c r="F181" i="14"/>
  <c r="F179" i="18"/>
  <c r="F179" i="14"/>
  <c r="F179" i="8"/>
  <c r="G179" i="19" s="1"/>
  <c r="F177" i="18"/>
  <c r="F177" i="8"/>
  <c r="G177" i="19" s="1"/>
  <c r="F177" i="14"/>
  <c r="F176" i="18"/>
  <c r="F176" i="8"/>
  <c r="G176" i="19" s="1"/>
  <c r="F176" i="14"/>
  <c r="F175" i="18"/>
  <c r="F175" i="14"/>
  <c r="F175" i="8"/>
  <c r="G175" i="19" s="1"/>
  <c r="F172" i="18"/>
  <c r="F172" i="14"/>
  <c r="F172" i="8"/>
  <c r="G172" i="19" s="1"/>
  <c r="F170" i="18"/>
  <c r="F170" i="14"/>
  <c r="F170" i="8"/>
  <c r="G170" i="19" s="1"/>
  <c r="F169" i="18"/>
  <c r="F169" i="8"/>
  <c r="G169" i="19" s="1"/>
  <c r="F169" i="14"/>
  <c r="F165" i="18"/>
  <c r="F165" i="14"/>
  <c r="F165" i="8"/>
  <c r="G165" i="19" s="1"/>
  <c r="F162" i="18"/>
  <c r="F162" i="8"/>
  <c r="G162" i="19" s="1"/>
  <c r="F162" i="14"/>
  <c r="F161" i="18"/>
  <c r="F161" i="8"/>
  <c r="G161" i="19" s="1"/>
  <c r="F161" i="14"/>
  <c r="F159" i="18"/>
  <c r="F159" i="8"/>
  <c r="G159" i="19" s="1"/>
  <c r="F159" i="14"/>
  <c r="F154" i="18"/>
  <c r="F154" i="14"/>
  <c r="F154" i="8"/>
  <c r="G154" i="19" s="1"/>
  <c r="F151" i="18"/>
  <c r="F151" i="8"/>
  <c r="G151" i="19" s="1"/>
  <c r="F151" i="14"/>
  <c r="F148" i="18"/>
  <c r="F148" i="14"/>
  <c r="F148" i="8"/>
  <c r="G148" i="19" s="1"/>
  <c r="F147" i="18"/>
  <c r="F147" i="8"/>
  <c r="G147" i="19" s="1"/>
  <c r="F147" i="14"/>
  <c r="F144" i="18"/>
  <c r="F144" i="14"/>
  <c r="F144" i="8"/>
  <c r="G144" i="19" s="1"/>
  <c r="F141" i="18"/>
  <c r="F141" i="14"/>
  <c r="F141" i="8"/>
  <c r="G141" i="19" s="1"/>
  <c r="F140" i="18"/>
  <c r="F140" i="14"/>
  <c r="F140" i="8"/>
  <c r="G140" i="19" s="1"/>
  <c r="F128" i="18"/>
  <c r="F128" i="14"/>
  <c r="F128" i="8"/>
  <c r="G128" i="19" s="1"/>
  <c r="F125" i="18"/>
  <c r="F125" i="8"/>
  <c r="G125" i="19" s="1"/>
  <c r="F125" i="14"/>
  <c r="F123" i="18"/>
  <c r="F123" i="8"/>
  <c r="G123" i="19" s="1"/>
  <c r="F123" i="14"/>
  <c r="F122" i="18"/>
  <c r="F122" i="8"/>
  <c r="G122" i="19" s="1"/>
  <c r="F122" i="14"/>
  <c r="F121" i="18"/>
  <c r="F121" i="8"/>
  <c r="G121" i="19" s="1"/>
  <c r="F121" i="14"/>
  <c r="F119" i="18"/>
  <c r="F119" i="8"/>
  <c r="G119" i="19" s="1"/>
  <c r="F119" i="14"/>
  <c r="F116" i="18"/>
  <c r="F116" i="14"/>
  <c r="F116" i="8"/>
  <c r="G116" i="19" s="1"/>
  <c r="F110" i="18"/>
  <c r="F110" i="14"/>
  <c r="F110" i="8"/>
  <c r="G110" i="19" s="1"/>
  <c r="F108" i="18"/>
  <c r="F108" i="14"/>
  <c r="F108" i="8"/>
  <c r="G108" i="19" s="1"/>
  <c r="F107" i="18"/>
  <c r="F107" i="8"/>
  <c r="G107" i="19" s="1"/>
  <c r="F107" i="14"/>
  <c r="F106" i="18"/>
  <c r="F106" i="8"/>
  <c r="G106" i="19" s="1"/>
  <c r="F106" i="14"/>
  <c r="F105" i="18"/>
  <c r="F105" i="8"/>
  <c r="G105" i="19" s="1"/>
  <c r="F105" i="14"/>
  <c r="F97" i="18"/>
  <c r="F97" i="8"/>
  <c r="G97" i="19" s="1"/>
  <c r="F97" i="14"/>
  <c r="F92" i="18"/>
  <c r="F92" i="14"/>
  <c r="F92" i="8"/>
  <c r="G92" i="19" s="1"/>
  <c r="F91" i="18"/>
  <c r="F91" i="8"/>
  <c r="G91" i="19" s="1"/>
  <c r="F91" i="14"/>
  <c r="F89" i="18"/>
  <c r="F89" i="8"/>
  <c r="G89" i="19" s="1"/>
  <c r="F89" i="14"/>
  <c r="F87" i="18"/>
  <c r="F87" i="14"/>
  <c r="F87" i="8"/>
  <c r="G87" i="19" s="1"/>
  <c r="F86" i="18"/>
  <c r="F86" i="8"/>
  <c r="G86" i="19" s="1"/>
  <c r="F86" i="14"/>
  <c r="F85" i="18"/>
  <c r="F85" i="8"/>
  <c r="G85" i="19" s="1"/>
  <c r="F85" i="14"/>
  <c r="F84" i="18"/>
  <c r="F84" i="14"/>
  <c r="F84" i="8"/>
  <c r="G84" i="19" s="1"/>
  <c r="F81" i="18"/>
  <c r="F81" i="14"/>
  <c r="F81" i="8"/>
  <c r="G81" i="19" s="1"/>
  <c r="F77" i="18"/>
  <c r="F77" i="8"/>
  <c r="G77" i="19" s="1"/>
  <c r="F77" i="14"/>
  <c r="F74" i="18"/>
  <c r="F74" i="8"/>
  <c r="G74" i="19" s="1"/>
  <c r="F74" i="14"/>
  <c r="F73" i="18"/>
  <c r="F73" i="8"/>
  <c r="G73" i="19" s="1"/>
  <c r="F73" i="14"/>
  <c r="F72" i="18"/>
  <c r="F72" i="14"/>
  <c r="F72" i="8"/>
  <c r="G72" i="19" s="1"/>
  <c r="F70" i="18"/>
  <c r="F70" i="8"/>
  <c r="G70" i="19" s="1"/>
  <c r="F70" i="14"/>
  <c r="F68" i="18"/>
  <c r="F68" i="8"/>
  <c r="G68" i="19" s="1"/>
  <c r="F68" i="14"/>
  <c r="F63" i="18"/>
  <c r="F63" i="14"/>
  <c r="F63" i="8"/>
  <c r="G63" i="19" s="1"/>
  <c r="F62" i="18"/>
  <c r="F62" i="14"/>
  <c r="F62" i="8"/>
  <c r="G62" i="19" s="1"/>
  <c r="F60" i="18"/>
  <c r="F60" i="8"/>
  <c r="G60" i="19" s="1"/>
  <c r="F60" i="14"/>
  <c r="F58" i="18"/>
  <c r="F58" i="14"/>
  <c r="F58" i="8"/>
  <c r="G58" i="19" s="1"/>
  <c r="F57" i="18"/>
  <c r="F57" i="8"/>
  <c r="G57" i="19" s="1"/>
  <c r="F57" i="14"/>
  <c r="F56" i="18"/>
  <c r="F56" i="14"/>
  <c r="F56" i="8"/>
  <c r="G56" i="19" s="1"/>
  <c r="F52" i="18"/>
  <c r="F52" i="14"/>
  <c r="F52" i="8"/>
  <c r="G52" i="19" s="1"/>
  <c r="F51" i="18"/>
  <c r="F51" i="8"/>
  <c r="G51" i="19" s="1"/>
  <c r="F51" i="14"/>
  <c r="F50" i="18"/>
  <c r="F50" i="8"/>
  <c r="G50" i="19" s="1"/>
  <c r="F50" i="14"/>
  <c r="F48" i="18"/>
  <c r="F48" i="14"/>
  <c r="F48" i="8"/>
  <c r="G48" i="19" s="1"/>
  <c r="F47" i="18"/>
  <c r="F47" i="8"/>
  <c r="G47" i="19" s="1"/>
  <c r="F47" i="14"/>
  <c r="F46" i="18"/>
  <c r="F46" i="14"/>
  <c r="F46" i="8"/>
  <c r="G46" i="19" s="1"/>
  <c r="F43" i="18"/>
  <c r="F43" i="8"/>
  <c r="G43" i="19" s="1"/>
  <c r="F43" i="14"/>
  <c r="F42" i="18"/>
  <c r="F42" i="14"/>
  <c r="F42" i="8"/>
  <c r="G42" i="19" s="1"/>
  <c r="F41" i="18"/>
  <c r="F41" i="14"/>
  <c r="F41" i="8"/>
  <c r="G41" i="19" s="1"/>
  <c r="F38" i="18"/>
  <c r="F38" i="8"/>
  <c r="G38" i="19" s="1"/>
  <c r="F38" i="14"/>
  <c r="F56" i="13"/>
  <c r="B202" i="6"/>
  <c r="F224" i="13"/>
  <c r="D225" i="6"/>
  <c r="E225" i="6" s="1"/>
  <c r="Z225" i="6" s="1" a="1"/>
  <c r="Z225" i="6" s="1"/>
  <c r="C225" i="6" s="1"/>
  <c r="F237" i="13"/>
  <c r="B226" i="6"/>
  <c r="F238" i="13"/>
  <c r="F161" i="13"/>
  <c r="B131" i="6"/>
  <c r="D270" i="6"/>
  <c r="E270" i="6" s="1"/>
  <c r="Z270" i="6" s="1" a="1"/>
  <c r="Z270" i="6" s="1"/>
  <c r="C270" i="6" s="1"/>
  <c r="F282" i="13"/>
  <c r="F165" i="13"/>
  <c r="F70" i="13"/>
  <c r="D74" i="6"/>
  <c r="E74" i="6" s="1"/>
  <c r="Z74" i="6" s="1" a="1"/>
  <c r="Z74" i="6" s="1"/>
  <c r="C74" i="6" s="1"/>
  <c r="F86" i="13"/>
  <c r="F247" i="13"/>
  <c r="B271" i="6"/>
  <c r="F223" i="13"/>
  <c r="B36" i="6"/>
  <c r="F48" i="13"/>
  <c r="F241" i="13"/>
  <c r="F162" i="13"/>
  <c r="B166" i="6"/>
  <c r="F87" i="13"/>
  <c r="F185" i="13"/>
  <c r="F58" i="13"/>
  <c r="F170" i="13"/>
  <c r="B112" i="6"/>
  <c r="F252" i="13"/>
  <c r="D256" i="6"/>
  <c r="E256" i="6" s="1"/>
  <c r="Z256" i="6" s="1" a="1"/>
  <c r="Z256" i="6" s="1"/>
  <c r="C256" i="6" s="1"/>
  <c r="F268" i="13"/>
  <c r="F184" i="13"/>
  <c r="D26" i="6"/>
  <c r="E26" i="6" s="1"/>
  <c r="Z26" i="6" s="1" a="1"/>
  <c r="Z26" i="6" s="1"/>
  <c r="C26" i="6" s="1"/>
  <c r="F38" i="13"/>
  <c r="B82" i="6"/>
  <c r="F52" i="13"/>
  <c r="D232" i="6"/>
  <c r="E232" i="6" s="1"/>
  <c r="Z232" i="6" s="1" a="1"/>
  <c r="Z232" i="6" s="1"/>
  <c r="C232" i="6" s="1"/>
  <c r="F244" i="13"/>
  <c r="D197" i="6"/>
  <c r="E197" i="6" s="1"/>
  <c r="Z197" i="6" s="1" a="1"/>
  <c r="Z197" i="6" s="1"/>
  <c r="C197" i="6" s="1"/>
  <c r="D255" i="6"/>
  <c r="E255" i="6" s="1"/>
  <c r="Z255" i="6" s="1" a="1"/>
  <c r="Z255" i="6" s="1"/>
  <c r="C255" i="6" s="1"/>
  <c r="F73" i="13"/>
  <c r="F105" i="13"/>
  <c r="F92" i="13"/>
  <c r="F47" i="13"/>
  <c r="D99" i="6"/>
  <c r="E99" i="6" s="1"/>
  <c r="Z99" i="6" s="1" a="1"/>
  <c r="Z99" i="6" s="1"/>
  <c r="C99" i="6" s="1"/>
  <c r="B140" i="6"/>
  <c r="D95" i="6"/>
  <c r="E95" i="6" s="1"/>
  <c r="Z95" i="6" s="1" a="1"/>
  <c r="Z95" i="6" s="1"/>
  <c r="C95" i="6" s="1"/>
  <c r="F107" i="13"/>
  <c r="F77" i="13"/>
  <c r="F207" i="13"/>
  <c r="F116" i="13"/>
  <c r="B135" i="6"/>
  <c r="F147" i="13"/>
  <c r="F211" i="13"/>
  <c r="F57" i="13"/>
  <c r="F89" i="13"/>
  <c r="D109" i="6"/>
  <c r="E109" i="6" s="1"/>
  <c r="Z109" i="6" s="1" a="1"/>
  <c r="Z109" i="6" s="1"/>
  <c r="C109" i="6" s="1"/>
  <c r="F121" i="13"/>
  <c r="F154" i="13"/>
  <c r="C291" i="6"/>
  <c r="C275" i="6"/>
  <c r="Z313" i="6" a="1"/>
  <c r="Z313" i="6" s="1"/>
  <c r="C313" i="6"/>
  <c r="C297" i="6"/>
  <c r="Z297" i="6" a="1"/>
  <c r="Z297" i="6" s="1"/>
  <c r="Z312" i="6" a="1"/>
  <c r="Z312" i="6" s="1"/>
  <c r="C312" i="6"/>
  <c r="Z289" i="6" a="1"/>
  <c r="Z289" i="6" s="1"/>
  <c r="C289" i="6"/>
  <c r="C286" i="6"/>
  <c r="Z286" i="6" a="1"/>
  <c r="Z286" i="6" s="1"/>
  <c r="C307" i="6"/>
  <c r="Z307" i="6" a="1"/>
  <c r="Z307" i="6" s="1"/>
  <c r="Z294" i="6" a="1"/>
  <c r="Z294" i="6" s="1"/>
  <c r="C294" i="6"/>
  <c r="Z296" i="6" a="1"/>
  <c r="Z296" i="6" s="1"/>
  <c r="C296" i="6"/>
  <c r="Z280" i="6" a="1"/>
  <c r="Z280" i="6" s="1"/>
  <c r="C280" i="6"/>
  <c r="C299" i="6"/>
  <c r="Z299" i="6" a="1"/>
  <c r="Z299" i="6" s="1"/>
  <c r="C285" i="6"/>
  <c r="Z285" i="6" a="1"/>
  <c r="Z285" i="6" s="1"/>
  <c r="Z282" i="6" a="1"/>
  <c r="Z282" i="6" s="1"/>
  <c r="C282" i="6"/>
  <c r="C295" i="6"/>
  <c r="Z295" i="6" a="1"/>
  <c r="Z295" i="6" s="1"/>
  <c r="Z298" i="6" a="1"/>
  <c r="Z298" i="6" s="1"/>
  <c r="C298" i="6"/>
  <c r="Z300" i="6" a="1"/>
  <c r="Z300" i="6" s="1"/>
  <c r="C300" i="6"/>
  <c r="Z302" i="6" a="1"/>
  <c r="Z302" i="6" s="1"/>
  <c r="C302" i="6"/>
  <c r="C301" i="6"/>
  <c r="Z301" i="6" a="1"/>
  <c r="Z301" i="6" s="1"/>
  <c r="C279" i="6"/>
  <c r="Z279" i="6" a="1"/>
  <c r="Z279" i="6" s="1"/>
  <c r="C311" i="6"/>
  <c r="Z311" i="6" a="1"/>
  <c r="Z311" i="6" s="1"/>
  <c r="C284" i="6"/>
  <c r="Z284" i="6" a="1"/>
  <c r="Z284" i="6" s="1"/>
  <c r="BP61" i="12"/>
  <c r="BL61" i="12" s="1"/>
  <c r="BP53" i="12"/>
  <c r="BL53" i="12" s="1"/>
  <c r="BP45" i="12"/>
  <c r="BL45" i="12" s="1"/>
  <c r="BP136" i="12"/>
  <c r="BL136" i="12" s="1"/>
  <c r="BP232" i="12"/>
  <c r="BL232" i="12" s="1"/>
  <c r="BP248" i="12"/>
  <c r="BL248" i="12" s="1"/>
  <c r="BP280" i="12"/>
  <c r="BL280" i="12" s="1"/>
  <c r="BP69" i="12"/>
  <c r="BL69" i="12" s="1"/>
  <c r="BP101" i="12"/>
  <c r="BL101" i="12" s="1"/>
  <c r="F101" i="13" s="1"/>
  <c r="BP117" i="12"/>
  <c r="BL117" i="12" s="1"/>
  <c r="BP133" i="12"/>
  <c r="BL133" i="12" s="1"/>
  <c r="BP149" i="12"/>
  <c r="BL149" i="12" s="1"/>
  <c r="BP54" i="12"/>
  <c r="BL54" i="12" s="1"/>
  <c r="F54" i="13" s="1"/>
  <c r="BP166" i="12"/>
  <c r="BL166" i="12" s="1"/>
  <c r="BP182" i="12"/>
  <c r="BL182" i="12" s="1"/>
  <c r="BP198" i="12"/>
  <c r="BL198" i="12" s="1"/>
  <c r="BP214" i="12"/>
  <c r="BL214" i="12" s="1"/>
  <c r="BP262" i="12"/>
  <c r="BL262" i="12" s="1"/>
  <c r="F262" i="13" s="1"/>
  <c r="BP64" i="12"/>
  <c r="BL64" i="12" s="1"/>
  <c r="BP80" i="12"/>
  <c r="BL80" i="12" s="1"/>
  <c r="BP96" i="12"/>
  <c r="BL96" i="12" s="1"/>
  <c r="BP112" i="12"/>
  <c r="BL112" i="12" s="1"/>
  <c r="BP93" i="12"/>
  <c r="BL93" i="12" s="1"/>
  <c r="F93" i="13" s="1"/>
  <c r="BP158" i="12"/>
  <c r="BL158" i="12" s="1"/>
  <c r="BP222" i="12"/>
  <c r="BL222" i="12" s="1"/>
  <c r="BP83" i="12"/>
  <c r="BL83" i="12" s="1"/>
  <c r="BP99" i="12"/>
  <c r="BL99" i="12" s="1"/>
  <c r="BP115" i="12"/>
  <c r="BL115" i="12" s="1"/>
  <c r="BP131" i="12"/>
  <c r="BL131" i="12" s="1"/>
  <c r="BP259" i="12"/>
  <c r="BL259" i="12" s="1"/>
  <c r="BP187" i="12"/>
  <c r="BL187" i="12" s="1"/>
  <c r="BP251" i="12"/>
  <c r="BL251" i="12" s="1"/>
  <c r="BP164" i="12"/>
  <c r="BL164" i="12" s="1"/>
  <c r="BP260" i="12"/>
  <c r="BL260" i="12" s="1"/>
  <c r="BP49" i="12"/>
  <c r="BL49" i="12" s="1"/>
  <c r="BP273" i="12"/>
  <c r="BL273" i="12" s="1"/>
  <c r="BP66" i="12"/>
  <c r="BL66" i="12" s="1"/>
  <c r="BP82" i="12"/>
  <c r="BL82" i="12" s="1"/>
  <c r="BP130" i="12"/>
  <c r="BL130" i="12" s="1"/>
  <c r="BP146" i="12"/>
  <c r="BL146" i="12" s="1"/>
  <c r="BP103" i="12"/>
  <c r="BL103" i="12" s="1"/>
  <c r="BP167" i="12"/>
  <c r="BL167" i="12" s="1"/>
  <c r="BP231" i="12"/>
  <c r="BL231" i="12" s="1"/>
  <c r="BP267" i="12"/>
  <c r="BL267" i="12" s="1"/>
  <c r="BP239" i="12"/>
  <c r="BL239" i="12" s="1"/>
  <c r="BP249" i="12"/>
  <c r="BL249" i="12" s="1"/>
  <c r="BP79" i="12"/>
  <c r="BL79" i="12" s="1"/>
  <c r="BP127" i="12"/>
  <c r="BL127" i="12" s="1"/>
  <c r="BP135" i="12"/>
  <c r="BL135" i="12" s="1"/>
  <c r="BP143" i="12"/>
  <c r="BL143" i="12" s="1"/>
  <c r="BP255" i="12"/>
  <c r="BL255" i="12" s="1"/>
  <c r="BP202" i="12"/>
  <c r="BL202" i="12" s="1"/>
  <c r="BP44" i="12"/>
  <c r="BL44" i="12" s="1"/>
  <c r="F44" i="13" s="1"/>
  <c r="BP236" i="12"/>
  <c r="BL236" i="12" s="1"/>
  <c r="F236" i="13" s="1"/>
  <c r="BP233" i="12"/>
  <c r="BL233" i="12" s="1"/>
  <c r="BP265" i="12"/>
  <c r="BL265" i="12" s="1"/>
  <c r="BP186" i="12"/>
  <c r="BL186" i="12" s="1"/>
  <c r="F186" i="13" s="1"/>
  <c r="BP102" i="12"/>
  <c r="BL102" i="12" s="1"/>
  <c r="BP173" i="12"/>
  <c r="BL173" i="12" s="1"/>
  <c r="BP95" i="12"/>
  <c r="BL95" i="12" s="1"/>
  <c r="BP240" i="12"/>
  <c r="BL240" i="12" s="1"/>
  <c r="BP168" i="12"/>
  <c r="BL168" i="12" s="1"/>
  <c r="BP59" i="12"/>
  <c r="BL59" i="12" s="1"/>
  <c r="BP163" i="12"/>
  <c r="BL163" i="12" s="1"/>
  <c r="BP160" i="12"/>
  <c r="BL160" i="12" s="1"/>
  <c r="BP285" i="12"/>
  <c r="BL285" i="12" s="1"/>
  <c r="BP78" i="12"/>
  <c r="BL78" i="12" s="1"/>
  <c r="BP94" i="12"/>
  <c r="BL94" i="12" s="1"/>
  <c r="F94" i="13" s="1"/>
  <c r="BP126" i="12"/>
  <c r="BL126" i="12" s="1"/>
  <c r="BP174" i="12"/>
  <c r="BL174" i="12" s="1"/>
  <c r="BP190" i="12"/>
  <c r="BL190" i="12" s="1"/>
  <c r="BP206" i="12"/>
  <c r="BL206" i="12" s="1"/>
  <c r="BP270" i="12"/>
  <c r="BL270" i="12" s="1"/>
  <c r="F270" i="13" s="1"/>
  <c r="BP180" i="12"/>
  <c r="BL180" i="12" s="1"/>
  <c r="BP212" i="12"/>
  <c r="BL212" i="12" s="1"/>
  <c r="BP65" i="12"/>
  <c r="BL65" i="12" s="1"/>
  <c r="BP258" i="12"/>
  <c r="BL258" i="12" s="1"/>
  <c r="BP274" i="12"/>
  <c r="BL274" i="12" s="1"/>
  <c r="BP39" i="12"/>
  <c r="BL39" i="12" s="1"/>
  <c r="BP275" i="12"/>
  <c r="BL275" i="12" s="1"/>
  <c r="BP153" i="12"/>
  <c r="BL153" i="12" s="1"/>
  <c r="BP218" i="12"/>
  <c r="BL218" i="12" s="1"/>
  <c r="BP266" i="12"/>
  <c r="BL266" i="12" s="1"/>
  <c r="BP281" i="12"/>
  <c r="BL281" i="12" s="1"/>
  <c r="BP156" i="12"/>
  <c r="BL156" i="12" s="1"/>
  <c r="BP188" i="12"/>
  <c r="BL188" i="12" s="1"/>
  <c r="BP204" i="12"/>
  <c r="BL204" i="12" s="1"/>
  <c r="BP201" i="12"/>
  <c r="BL201" i="12" s="1"/>
  <c r="BP111" i="12"/>
  <c r="BL111" i="12" s="1"/>
  <c r="BP171" i="12"/>
  <c r="BL171" i="12" s="1"/>
  <c r="BP104" i="12"/>
  <c r="BL104" i="12" s="1"/>
  <c r="BP197" i="12"/>
  <c r="BL197" i="12" s="1"/>
  <c r="BP120" i="12"/>
  <c r="BL120" i="12" s="1"/>
  <c r="BP118" i="12"/>
  <c r="BL118" i="12" s="1"/>
  <c r="BP75" i="12"/>
  <c r="BL75" i="12" s="1"/>
  <c r="BP88" i="12"/>
  <c r="BL88" i="12" s="1"/>
  <c r="F88" i="13" s="1"/>
  <c r="BP152" i="12"/>
  <c r="BL152" i="12" s="1"/>
  <c r="BP134" i="12"/>
  <c r="BL134" i="12" s="1"/>
  <c r="BP150" i="12"/>
  <c r="BL150" i="12" s="1"/>
  <c r="BP230" i="12"/>
  <c r="BL230" i="12" s="1"/>
  <c r="BP246" i="12"/>
  <c r="BL246" i="12" s="1"/>
  <c r="BP227" i="12"/>
  <c r="BL227" i="12" s="1"/>
  <c r="BP155" i="12"/>
  <c r="BL155" i="12" s="1"/>
  <c r="BP219" i="12"/>
  <c r="BL219" i="12" s="1"/>
  <c r="BP283" i="12"/>
  <c r="BL283" i="12" s="1"/>
  <c r="F283" i="13" s="1"/>
  <c r="BP109" i="12"/>
  <c r="BL109" i="12" s="1"/>
  <c r="BP157" i="12"/>
  <c r="BL157" i="12" s="1"/>
  <c r="BP221" i="12"/>
  <c r="BL221" i="12" s="1"/>
  <c r="BP142" i="12"/>
  <c r="BL142" i="12" s="1"/>
  <c r="BP67" i="12"/>
  <c r="BL67" i="12" s="1"/>
  <c r="BP195" i="12"/>
  <c r="BL195" i="12" s="1"/>
  <c r="BP100" i="12"/>
  <c r="BL100" i="12" s="1"/>
  <c r="BP132" i="12"/>
  <c r="BL132" i="12" s="1"/>
  <c r="BP196" i="12"/>
  <c r="BL196" i="12" s="1"/>
  <c r="BP113" i="12"/>
  <c r="BL113" i="12" s="1"/>
  <c r="BP129" i="12"/>
  <c r="BL129" i="12" s="1"/>
  <c r="BP145" i="12"/>
  <c r="BL145" i="12" s="1"/>
  <c r="BP209" i="12"/>
  <c r="BL209" i="12" s="1"/>
  <c r="F209" i="13" s="1"/>
  <c r="BP98" i="12"/>
  <c r="BL98" i="12" s="1"/>
  <c r="BP114" i="12"/>
  <c r="BL114" i="12" s="1"/>
  <c r="BP178" i="12"/>
  <c r="BL178" i="12" s="1"/>
  <c r="F178" i="13" s="1"/>
  <c r="BP194" i="12"/>
  <c r="BL194" i="12" s="1"/>
  <c r="BP210" i="12"/>
  <c r="BL210" i="12" s="1"/>
  <c r="BP55" i="12"/>
  <c r="BL55" i="12" s="1"/>
  <c r="BP71" i="12"/>
  <c r="BL71" i="12" s="1"/>
  <c r="BP139" i="12"/>
  <c r="BL139" i="12" s="1"/>
  <c r="F139" i="13" s="1"/>
  <c r="BP263" i="12"/>
  <c r="BL263" i="12" s="1"/>
  <c r="BP137" i="12"/>
  <c r="BL137" i="12" s="1"/>
  <c r="BP90" i="12"/>
  <c r="BL90" i="12" s="1"/>
  <c r="BP138" i="12"/>
  <c r="BL138" i="12" s="1"/>
  <c r="F138" i="13" s="1"/>
  <c r="BP76" i="12"/>
  <c r="BL76" i="12" s="1"/>
  <c r="BP124" i="12"/>
  <c r="BL124" i="12" s="1"/>
  <c r="BP284" i="12"/>
  <c r="BL284" i="12" s="1"/>
  <c r="BP40" i="12"/>
  <c r="BL40" i="12" s="1"/>
  <c r="BP37" i="12"/>
  <c r="BL37" i="12" s="1"/>
  <c r="BP35" i="12"/>
  <c r="BL35" i="12" s="1"/>
  <c r="BP36" i="12"/>
  <c r="BL36" i="12" s="1"/>
  <c r="BP32" i="12"/>
  <c r="BL32" i="12" s="1"/>
  <c r="F32" i="18" s="1"/>
  <c r="BP31" i="12"/>
  <c r="BL31" i="12" s="1"/>
  <c r="F31" i="18" s="1"/>
  <c r="D292" i="9"/>
  <c r="D283" i="9"/>
  <c r="D264" i="9"/>
  <c r="D261" i="9"/>
  <c r="D281" i="9"/>
  <c r="D274" i="9"/>
  <c r="D263" i="9"/>
  <c r="D291" i="9"/>
  <c r="D269" i="9"/>
  <c r="D270" i="9"/>
  <c r="D280" i="9"/>
  <c r="D296" i="9"/>
  <c r="D271" i="9"/>
  <c r="D289" i="9"/>
  <c r="D290" i="9"/>
  <c r="D275" i="9"/>
  <c r="D265" i="9"/>
  <c r="D298" i="9"/>
  <c r="D267" i="9"/>
  <c r="D266" i="9"/>
  <c r="D300" i="9"/>
  <c r="D278" i="9"/>
  <c r="D260" i="9"/>
  <c r="D293" i="9"/>
  <c r="D286" i="9"/>
  <c r="D285" i="9"/>
  <c r="D276" i="9"/>
  <c r="D273" i="9"/>
  <c r="D282" i="9"/>
  <c r="D295" i="9"/>
  <c r="D268" i="9"/>
  <c r="D284" i="9"/>
  <c r="D277" i="9"/>
  <c r="D262" i="9"/>
  <c r="D299" i="9"/>
  <c r="D272" i="9"/>
  <c r="D287" i="9"/>
  <c r="D294" i="9"/>
  <c r="D288" i="9"/>
  <c r="D301" i="9"/>
  <c r="D279" i="9"/>
  <c r="D297" i="9"/>
  <c r="BP34" i="12"/>
  <c r="BL34" i="12" s="1"/>
  <c r="F34" i="18" s="1"/>
  <c r="BP33" i="12"/>
  <c r="BL33" i="12" s="1"/>
  <c r="F33" i="18" s="1"/>
  <c r="DX37" i="12"/>
  <c r="EB37" i="12" s="1"/>
  <c r="EK37" i="12" s="1"/>
  <c r="EE37" i="12"/>
  <c r="EJ37" i="12" s="1"/>
  <c r="DX146" i="12"/>
  <c r="EB146" i="12" s="1"/>
  <c r="EK146" i="12" s="1"/>
  <c r="EE146" i="12"/>
  <c r="EJ146" i="12" s="1"/>
  <c r="DX178" i="12"/>
  <c r="EB178" i="12" s="1"/>
  <c r="EK178" i="12" s="1"/>
  <c r="EE178" i="12"/>
  <c r="EJ178" i="12" s="1"/>
  <c r="B254" i="6"/>
  <c r="D254" i="6"/>
  <c r="E254" i="6" s="1"/>
  <c r="Z254" i="6" s="1" a="1"/>
  <c r="Z254" i="6" s="1"/>
  <c r="C254" i="6" s="1"/>
  <c r="DX85" i="12"/>
  <c r="EB85" i="12" s="1"/>
  <c r="EK85" i="12" s="1"/>
  <c r="EE85" i="12"/>
  <c r="EJ85" i="12" s="1"/>
  <c r="DX246" i="12"/>
  <c r="EB246" i="12" s="1"/>
  <c r="EK246" i="12" s="1"/>
  <c r="EE246" i="12"/>
  <c r="EJ246" i="12" s="1"/>
  <c r="DX141" i="12"/>
  <c r="EB141" i="12" s="1"/>
  <c r="EK141" i="12" s="1"/>
  <c r="EE141" i="12"/>
  <c r="EJ141" i="12" s="1"/>
  <c r="DX269" i="12"/>
  <c r="EB269" i="12" s="1"/>
  <c r="EK269" i="12" s="1"/>
  <c r="EE269" i="12"/>
  <c r="EJ269" i="12" s="1"/>
  <c r="DX206" i="12"/>
  <c r="EB206" i="12" s="1"/>
  <c r="EK206" i="12" s="1"/>
  <c r="EE206" i="12"/>
  <c r="EJ206" i="12" s="1"/>
  <c r="DX83" i="12"/>
  <c r="EB83" i="12" s="1"/>
  <c r="EK83" i="12" s="1"/>
  <c r="EE83" i="12"/>
  <c r="EJ83" i="12" s="1"/>
  <c r="DX279" i="12"/>
  <c r="EB279" i="12" s="1"/>
  <c r="EK279" i="12" s="1"/>
  <c r="EE279" i="12"/>
  <c r="EJ279" i="12" s="1"/>
  <c r="DX145" i="12"/>
  <c r="EB145" i="12" s="1"/>
  <c r="EK145" i="12" s="1"/>
  <c r="EE145" i="12"/>
  <c r="EJ145" i="12" s="1"/>
  <c r="DX177" i="12"/>
  <c r="EB177" i="12" s="1"/>
  <c r="EK177" i="12" s="1"/>
  <c r="EE177" i="12"/>
  <c r="EJ177" i="12" s="1"/>
  <c r="DX50" i="12"/>
  <c r="EB50" i="12" s="1"/>
  <c r="EK50" i="12" s="1"/>
  <c r="EE50" i="12"/>
  <c r="EJ50" i="12" s="1"/>
  <c r="DX82" i="12"/>
  <c r="EB82" i="12" s="1"/>
  <c r="EK82" i="12" s="1"/>
  <c r="EE82" i="12"/>
  <c r="EJ82" i="12" s="1"/>
  <c r="DX242" i="12"/>
  <c r="EB242" i="12" s="1"/>
  <c r="EK242" i="12" s="1"/>
  <c r="EE242" i="12"/>
  <c r="EJ242" i="12" s="1"/>
  <c r="DX274" i="12"/>
  <c r="EB274" i="12" s="1"/>
  <c r="EK274" i="12" s="1"/>
  <c r="EE274" i="12"/>
  <c r="EJ274" i="12" s="1"/>
  <c r="DX55" i="12"/>
  <c r="EB55" i="12" s="1"/>
  <c r="EK55" i="12" s="1"/>
  <c r="EE55" i="12"/>
  <c r="EJ55" i="12" s="1"/>
  <c r="DX175" i="12"/>
  <c r="EB175" i="12" s="1"/>
  <c r="EK175" i="12" s="1"/>
  <c r="EE175" i="12"/>
  <c r="EJ175" i="12" s="1"/>
  <c r="B93" i="6"/>
  <c r="DX105" i="12"/>
  <c r="EB105" i="12" s="1"/>
  <c r="EK105" i="12" s="1"/>
  <c r="EE105" i="12"/>
  <c r="EJ105" i="12" s="1"/>
  <c r="DX235" i="12"/>
  <c r="EB235" i="12" s="1"/>
  <c r="EK235" i="12" s="1"/>
  <c r="EE235" i="12"/>
  <c r="EJ235" i="12" s="1"/>
  <c r="DX191" i="12"/>
  <c r="EB191" i="12" s="1"/>
  <c r="EK191" i="12" s="1"/>
  <c r="EE191" i="12"/>
  <c r="EJ191" i="12" s="1"/>
  <c r="DX282" i="12"/>
  <c r="EB282" i="12" s="1"/>
  <c r="EK282" i="12" s="1"/>
  <c r="EE282" i="12"/>
  <c r="EJ282" i="12" s="1"/>
  <c r="DX140" i="12"/>
  <c r="EB140" i="12" s="1"/>
  <c r="EK140" i="12" s="1"/>
  <c r="EE140" i="12"/>
  <c r="EJ140" i="12" s="1"/>
  <c r="DX233" i="12"/>
  <c r="EB233" i="12" s="1"/>
  <c r="EK233" i="12" s="1"/>
  <c r="EE233" i="12"/>
  <c r="EJ233" i="12" s="1"/>
  <c r="DX280" i="12"/>
  <c r="EB280" i="12" s="1"/>
  <c r="EK280" i="12" s="1"/>
  <c r="EE280" i="12"/>
  <c r="EJ280" i="12" s="1"/>
  <c r="DX245" i="12"/>
  <c r="EB245" i="12" s="1"/>
  <c r="EK245" i="12" s="1"/>
  <c r="EE245" i="12"/>
  <c r="EJ245" i="12" s="1"/>
  <c r="DX123" i="12"/>
  <c r="EB123" i="12" s="1"/>
  <c r="EK123" i="12" s="1"/>
  <c r="EE123" i="12"/>
  <c r="EJ123" i="12" s="1"/>
  <c r="B66" i="6"/>
  <c r="D66" i="6"/>
  <c r="E66" i="6" s="1"/>
  <c r="Z66" i="6" s="1" a="1"/>
  <c r="Z66" i="6" s="1"/>
  <c r="C66" i="6" s="1"/>
  <c r="DX78" i="12"/>
  <c r="EB78" i="12" s="1"/>
  <c r="EK78" i="12" s="1"/>
  <c r="EE78" i="12"/>
  <c r="EJ78" i="12" s="1"/>
  <c r="DX270" i="12"/>
  <c r="EB270" i="12" s="1"/>
  <c r="EK270" i="12" s="1"/>
  <c r="EE270" i="12"/>
  <c r="EJ270" i="12" s="1"/>
  <c r="DX195" i="12"/>
  <c r="EB195" i="12" s="1"/>
  <c r="EK195" i="12" s="1"/>
  <c r="EE195" i="12"/>
  <c r="EJ195" i="12" s="1"/>
  <c r="DX241" i="12"/>
  <c r="EB241" i="12" s="1"/>
  <c r="EK241" i="12" s="1"/>
  <c r="EE241" i="12"/>
  <c r="EJ241" i="12" s="1"/>
  <c r="DX266" i="12"/>
  <c r="EB266" i="12" s="1"/>
  <c r="EK266" i="12" s="1"/>
  <c r="EE266" i="12"/>
  <c r="EJ266" i="12" s="1"/>
  <c r="DX42" i="12"/>
  <c r="EB42" i="12" s="1"/>
  <c r="EK42" i="12" s="1"/>
  <c r="EE42" i="12"/>
  <c r="EJ42" i="12" s="1"/>
  <c r="B76" i="6"/>
  <c r="D76" i="6"/>
  <c r="E76" i="6" s="1"/>
  <c r="Z76" i="6" s="1" a="1"/>
  <c r="Z76" i="6" s="1"/>
  <c r="C76" i="6" s="1"/>
  <c r="DX88" i="12"/>
  <c r="EB88" i="12" s="1"/>
  <c r="EK88" i="12" s="1"/>
  <c r="EE88" i="12"/>
  <c r="EJ88" i="12" s="1"/>
  <c r="DX216" i="12"/>
  <c r="EB216" i="12" s="1"/>
  <c r="EK216" i="12" s="1"/>
  <c r="EE216" i="12"/>
  <c r="EJ216" i="12" s="1"/>
  <c r="DX149" i="12"/>
  <c r="EB149" i="12" s="1"/>
  <c r="EK149" i="12" s="1"/>
  <c r="EE149" i="12"/>
  <c r="EJ149" i="12" s="1"/>
  <c r="DX181" i="12"/>
  <c r="EB181" i="12" s="1"/>
  <c r="EK181" i="12" s="1"/>
  <c r="EE181" i="12"/>
  <c r="EJ181" i="12" s="1"/>
  <c r="D106" i="6"/>
  <c r="E106" i="6" s="1"/>
  <c r="Z106" i="6" s="1" a="1"/>
  <c r="Z106" i="6" s="1"/>
  <c r="C106" i="6" s="1"/>
  <c r="DX118" i="12"/>
  <c r="EB118" i="12" s="1"/>
  <c r="EK118" i="12" s="1"/>
  <c r="EE118" i="12"/>
  <c r="EJ118" i="12" s="1"/>
  <c r="DX278" i="12"/>
  <c r="EB278" i="12" s="1"/>
  <c r="EK278" i="12" s="1"/>
  <c r="EE278" i="12"/>
  <c r="EJ278" i="12" s="1"/>
  <c r="B235" i="6"/>
  <c r="D235" i="6"/>
  <c r="E235" i="6" s="1"/>
  <c r="Z235" i="6" s="1" a="1"/>
  <c r="Z235" i="6" s="1"/>
  <c r="C235" i="6" s="1"/>
  <c r="DX247" i="12"/>
  <c r="EB247" i="12" s="1"/>
  <c r="EK247" i="12" s="1"/>
  <c r="EE247" i="12"/>
  <c r="EJ247" i="12" s="1"/>
  <c r="B44" i="6"/>
  <c r="D44" i="6"/>
  <c r="E44" i="6" s="1"/>
  <c r="Z44" i="6" s="1" a="1"/>
  <c r="Z44" i="6" s="1"/>
  <c r="C44" i="6" s="1"/>
  <c r="DX56" i="12"/>
  <c r="EB56" i="12" s="1"/>
  <c r="EK56" i="12" s="1"/>
  <c r="EE56" i="12"/>
  <c r="EJ56" i="12" s="1"/>
  <c r="B172" i="6"/>
  <c r="D172" i="6"/>
  <c r="E172" i="6" s="1"/>
  <c r="Z172" i="6" s="1" a="1"/>
  <c r="Z172" i="6" s="1"/>
  <c r="C172" i="6" s="1"/>
  <c r="DX184" i="12"/>
  <c r="EB184" i="12" s="1"/>
  <c r="EK184" i="12" s="1"/>
  <c r="EE184" i="12"/>
  <c r="EJ184" i="12" s="1"/>
  <c r="DX53" i="12"/>
  <c r="EB53" i="12" s="1"/>
  <c r="EK53" i="12" s="1"/>
  <c r="EE53" i="12"/>
  <c r="EJ53" i="12" s="1"/>
  <c r="DX117" i="12"/>
  <c r="EB117" i="12" s="1"/>
  <c r="EK117" i="12" s="1"/>
  <c r="EE117" i="12"/>
  <c r="EJ117" i="12" s="1"/>
  <c r="DX277" i="12"/>
  <c r="EB277" i="12" s="1"/>
  <c r="EK277" i="12" s="1"/>
  <c r="EE277" i="12"/>
  <c r="EJ277" i="12" s="1"/>
  <c r="B42" i="6"/>
  <c r="D42" i="6"/>
  <c r="E42" i="6" s="1"/>
  <c r="Z42" i="6" s="1" a="1"/>
  <c r="Z42" i="6" s="1"/>
  <c r="C42" i="6" s="1"/>
  <c r="DX54" i="12"/>
  <c r="EB54" i="12" s="1"/>
  <c r="EK54" i="12" s="1"/>
  <c r="EE54" i="12"/>
  <c r="EJ54" i="12" s="1"/>
  <c r="DX86" i="12"/>
  <c r="EB86" i="12" s="1"/>
  <c r="EK86" i="12" s="1"/>
  <c r="EE86" i="12"/>
  <c r="EJ86" i="12" s="1"/>
  <c r="DX214" i="12"/>
  <c r="EB214" i="12" s="1"/>
  <c r="EK214" i="12" s="1"/>
  <c r="EE214" i="12"/>
  <c r="EJ214" i="12" s="1"/>
  <c r="DX227" i="12"/>
  <c r="EB227" i="12" s="1"/>
  <c r="EK227" i="12" s="1"/>
  <c r="EE227" i="12"/>
  <c r="EJ227" i="12" s="1"/>
  <c r="DX45" i="12"/>
  <c r="EB45" i="12" s="1"/>
  <c r="EK45" i="12" s="1"/>
  <c r="EE45" i="12"/>
  <c r="EJ45" i="12" s="1"/>
  <c r="DX77" i="12"/>
  <c r="EB77" i="12" s="1"/>
  <c r="EK77" i="12" s="1"/>
  <c r="EE77" i="12"/>
  <c r="EJ77" i="12" s="1"/>
  <c r="B97" i="6"/>
  <c r="DX109" i="12"/>
  <c r="EB109" i="12" s="1"/>
  <c r="EK109" i="12" s="1"/>
  <c r="EE109" i="12"/>
  <c r="EJ109" i="12" s="1"/>
  <c r="DX237" i="12"/>
  <c r="EB237" i="12" s="1"/>
  <c r="EK237" i="12" s="1"/>
  <c r="EE237" i="12"/>
  <c r="EJ237" i="12" s="1"/>
  <c r="DX142" i="12"/>
  <c r="EB142" i="12" s="1"/>
  <c r="EK142" i="12" s="1"/>
  <c r="EE142" i="12"/>
  <c r="EJ142" i="12" s="1"/>
  <c r="B162" i="6"/>
  <c r="DX174" i="12"/>
  <c r="EB174" i="12" s="1"/>
  <c r="EK174" i="12" s="1"/>
  <c r="EE174" i="12"/>
  <c r="EJ174" i="12" s="1"/>
  <c r="DX51" i="12"/>
  <c r="EB51" i="12" s="1"/>
  <c r="EK51" i="12" s="1"/>
  <c r="EE51" i="12"/>
  <c r="EJ51" i="12" s="1"/>
  <c r="DX151" i="12"/>
  <c r="EB151" i="12" s="1"/>
  <c r="EK151" i="12" s="1"/>
  <c r="EE151" i="12"/>
  <c r="EJ151" i="12" s="1"/>
  <c r="DX113" i="12"/>
  <c r="EB113" i="12" s="1"/>
  <c r="EK113" i="12" s="1"/>
  <c r="EE113" i="12"/>
  <c r="EJ113" i="12" s="1"/>
  <c r="DX273" i="12"/>
  <c r="EB273" i="12" s="1"/>
  <c r="EK273" i="12" s="1"/>
  <c r="EE273" i="12"/>
  <c r="EJ273" i="12" s="1"/>
  <c r="DX210" i="12"/>
  <c r="EB210" i="12" s="1"/>
  <c r="EK210" i="12" s="1"/>
  <c r="EE210" i="12"/>
  <c r="EJ210" i="12" s="1"/>
  <c r="DX159" i="12"/>
  <c r="EB159" i="12" s="1"/>
  <c r="EK159" i="12" s="1"/>
  <c r="EE159" i="12"/>
  <c r="EJ159" i="12" s="1"/>
  <c r="DX135" i="12"/>
  <c r="EB135" i="12" s="1"/>
  <c r="EK135" i="12" s="1"/>
  <c r="EE135" i="12"/>
  <c r="EJ135" i="12" s="1"/>
  <c r="DX122" i="12"/>
  <c r="EB122" i="12" s="1"/>
  <c r="EK122" i="12" s="1"/>
  <c r="EE122" i="12"/>
  <c r="EJ122" i="12" s="1"/>
  <c r="DX202" i="12"/>
  <c r="EB202" i="12" s="1"/>
  <c r="EK202" i="12" s="1"/>
  <c r="EE202" i="12"/>
  <c r="EJ202" i="12" s="1"/>
  <c r="B80" i="6"/>
  <c r="D80" i="6"/>
  <c r="E80" i="6" s="1"/>
  <c r="Z80" i="6" s="1" a="1"/>
  <c r="Z80" i="6" s="1"/>
  <c r="C80" i="6" s="1"/>
  <c r="DX92" i="12"/>
  <c r="EB92" i="12" s="1"/>
  <c r="EK92" i="12" s="1"/>
  <c r="EE92" i="12"/>
  <c r="EJ92" i="12" s="1"/>
  <c r="DX236" i="12"/>
  <c r="EB236" i="12" s="1"/>
  <c r="EK236" i="12" s="1"/>
  <c r="EE236" i="12"/>
  <c r="EJ236" i="12" s="1"/>
  <c r="DX201" i="12"/>
  <c r="EB201" i="12" s="1"/>
  <c r="EK201" i="12" s="1"/>
  <c r="EE201" i="12"/>
  <c r="EJ201" i="12" s="1"/>
  <c r="DX152" i="12"/>
  <c r="EB152" i="12" s="1"/>
  <c r="EK152" i="12" s="1"/>
  <c r="EE152" i="12"/>
  <c r="EJ152" i="12" s="1"/>
  <c r="DX182" i="12"/>
  <c r="EB182" i="12" s="1"/>
  <c r="EK182" i="12" s="1"/>
  <c r="EE182" i="12"/>
  <c r="EJ182" i="12" s="1"/>
  <c r="DX91" i="12"/>
  <c r="EB91" i="12" s="1"/>
  <c r="EK91" i="12" s="1"/>
  <c r="EE91" i="12"/>
  <c r="EJ91" i="12" s="1"/>
  <c r="DX205" i="12"/>
  <c r="EB205" i="12" s="1"/>
  <c r="EK205" i="12" s="1"/>
  <c r="EE205" i="12"/>
  <c r="EJ205" i="12" s="1"/>
  <c r="DX110" i="12"/>
  <c r="EB110" i="12" s="1"/>
  <c r="EK110" i="12" s="1"/>
  <c r="EE110" i="12"/>
  <c r="EJ110" i="12" s="1"/>
  <c r="B258" i="6"/>
  <c r="D258" i="6"/>
  <c r="E258" i="6" s="1"/>
  <c r="Z258" i="6" s="1" a="1"/>
  <c r="Z258" i="6" s="1"/>
  <c r="C258" i="6" s="1"/>
  <c r="DX267" i="12"/>
  <c r="EB267" i="12" s="1"/>
  <c r="EK267" i="12" s="1"/>
  <c r="EE267" i="12"/>
  <c r="EJ267" i="12" s="1"/>
  <c r="DX127" i="12"/>
  <c r="EB127" i="12" s="1"/>
  <c r="EK127" i="12" s="1"/>
  <c r="EE127" i="12"/>
  <c r="EJ127" i="12" s="1"/>
  <c r="DX199" i="12"/>
  <c r="EB199" i="12" s="1"/>
  <c r="EK199" i="12" s="1"/>
  <c r="EE199" i="12"/>
  <c r="EJ199" i="12" s="1"/>
  <c r="DX60" i="12"/>
  <c r="EB60" i="12" s="1"/>
  <c r="EK60" i="12" s="1"/>
  <c r="EE60" i="12"/>
  <c r="EJ60" i="12" s="1"/>
  <c r="DX204" i="12"/>
  <c r="EB204" i="12" s="1"/>
  <c r="EK204" i="12" s="1"/>
  <c r="EE204" i="12"/>
  <c r="EJ204" i="12" s="1"/>
  <c r="DX57" i="12"/>
  <c r="EB57" i="12" s="1"/>
  <c r="EK57" i="12" s="1"/>
  <c r="EE57" i="12"/>
  <c r="EJ57" i="12" s="1"/>
  <c r="DX121" i="12"/>
  <c r="EB121" i="12" s="1"/>
  <c r="EK121" i="12" s="1"/>
  <c r="EE121" i="12"/>
  <c r="EJ121" i="12" s="1"/>
  <c r="B142" i="6"/>
  <c r="D142" i="6"/>
  <c r="E142" i="6" s="1"/>
  <c r="Z142" i="6" s="1" a="1"/>
  <c r="Z142" i="6" s="1"/>
  <c r="C142" i="6" s="1"/>
  <c r="DX154" i="12"/>
  <c r="EB154" i="12" s="1"/>
  <c r="EK154" i="12" s="1"/>
  <c r="EE154" i="12"/>
  <c r="EJ154" i="12" s="1"/>
  <c r="B35" i="6"/>
  <c r="D35" i="6"/>
  <c r="E35" i="6" s="1"/>
  <c r="Z35" i="6" s="1" a="1"/>
  <c r="Z35" i="6" s="1"/>
  <c r="C35" i="6" s="1"/>
  <c r="DX47" i="12"/>
  <c r="EB47" i="12" s="1"/>
  <c r="EK47" i="12" s="1"/>
  <c r="EE47" i="12"/>
  <c r="EJ47" i="12" s="1"/>
  <c r="DX171" i="12"/>
  <c r="EB171" i="12" s="1"/>
  <c r="EK171" i="12" s="1"/>
  <c r="EE171" i="12"/>
  <c r="EJ171" i="12" s="1"/>
  <c r="B108" i="6"/>
  <c r="D108" i="6"/>
  <c r="E108" i="6" s="1"/>
  <c r="Z108" i="6" s="1" a="1"/>
  <c r="Z108" i="6" s="1"/>
  <c r="C108" i="6" s="1"/>
  <c r="DX120" i="12"/>
  <c r="EB120" i="12" s="1"/>
  <c r="EK120" i="12" s="1"/>
  <c r="EE120" i="12"/>
  <c r="EJ120" i="12" s="1"/>
  <c r="DX248" i="12"/>
  <c r="EB248" i="12" s="1"/>
  <c r="EK248" i="12" s="1"/>
  <c r="EE248" i="12"/>
  <c r="EJ248" i="12" s="1"/>
  <c r="DX213" i="12"/>
  <c r="EB213" i="12" s="1"/>
  <c r="EK213" i="12" s="1"/>
  <c r="EE213" i="12"/>
  <c r="EJ213" i="12" s="1"/>
  <c r="DX150" i="12"/>
  <c r="EB150" i="12" s="1"/>
  <c r="EK150" i="12" s="1"/>
  <c r="EE150" i="12"/>
  <c r="EJ150" i="12" s="1"/>
  <c r="DX59" i="12"/>
  <c r="EB59" i="12" s="1"/>
  <c r="EK59" i="12" s="1"/>
  <c r="EE59" i="12"/>
  <c r="EJ59" i="12" s="1"/>
  <c r="DX219" i="12"/>
  <c r="EB219" i="12" s="1"/>
  <c r="EK219" i="12" s="1"/>
  <c r="EE219" i="12"/>
  <c r="EJ219" i="12" s="1"/>
  <c r="B211" i="6"/>
  <c r="D211" i="6"/>
  <c r="E211" i="6" s="1"/>
  <c r="Z211" i="6" s="1" a="1"/>
  <c r="Z211" i="6" s="1"/>
  <c r="C211" i="6" s="1"/>
  <c r="DX223" i="12"/>
  <c r="EB223" i="12" s="1"/>
  <c r="EK223" i="12" s="1"/>
  <c r="EE223" i="12"/>
  <c r="EJ223" i="12" s="1"/>
  <c r="DX173" i="12"/>
  <c r="EB173" i="12" s="1"/>
  <c r="EK173" i="12" s="1"/>
  <c r="EE173" i="12"/>
  <c r="EJ173" i="12" s="1"/>
  <c r="DX46" i="12"/>
  <c r="EB46" i="12" s="1"/>
  <c r="EK46" i="12" s="1"/>
  <c r="EE46" i="12"/>
  <c r="EJ46" i="12" s="1"/>
  <c r="DX238" i="12"/>
  <c r="EB238" i="12" s="1"/>
  <c r="EK238" i="12" s="1"/>
  <c r="EE238" i="12"/>
  <c r="EJ238" i="12" s="1"/>
  <c r="DX115" i="12"/>
  <c r="EB115" i="12" s="1"/>
  <c r="EK115" i="12" s="1"/>
  <c r="EE115" i="12"/>
  <c r="EJ115" i="12" s="1"/>
  <c r="DX251" i="12"/>
  <c r="EB251" i="12" s="1"/>
  <c r="EK251" i="12" s="1"/>
  <c r="EE251" i="12"/>
  <c r="EJ251" i="12" s="1"/>
  <c r="DX36" i="12"/>
  <c r="EB36" i="12" s="1"/>
  <c r="EK36" i="12" s="1"/>
  <c r="EE36" i="12"/>
  <c r="EJ36" i="12" s="1"/>
  <c r="DX209" i="12"/>
  <c r="EB209" i="12" s="1"/>
  <c r="EK209" i="12" s="1"/>
  <c r="EE209" i="12"/>
  <c r="EJ209" i="12" s="1"/>
  <c r="DX114" i="12"/>
  <c r="EB114" i="12" s="1"/>
  <c r="EK114" i="12" s="1"/>
  <c r="EE114" i="12"/>
  <c r="EJ114" i="12" s="1"/>
  <c r="B75" i="6"/>
  <c r="D75" i="6"/>
  <c r="E75" i="6" s="1"/>
  <c r="Z75" i="6" s="1" a="1"/>
  <c r="Z75" i="6" s="1"/>
  <c r="C75" i="6" s="1"/>
  <c r="DX87" i="12"/>
  <c r="EB87" i="12" s="1"/>
  <c r="EK87" i="12" s="1"/>
  <c r="EE87" i="12"/>
  <c r="EJ87" i="12" s="1"/>
  <c r="DX119" i="12"/>
  <c r="EB119" i="12" s="1"/>
  <c r="EK119" i="12" s="1"/>
  <c r="EE119" i="12"/>
  <c r="EJ119" i="12" s="1"/>
  <c r="B199" i="6"/>
  <c r="D199" i="6"/>
  <c r="E199" i="6" s="1"/>
  <c r="Z199" i="6" s="1" a="1"/>
  <c r="Z199" i="6" s="1"/>
  <c r="C199" i="6" s="1"/>
  <c r="DX211" i="12"/>
  <c r="EB211" i="12" s="1"/>
  <c r="EK211" i="12" s="1"/>
  <c r="EE211" i="12"/>
  <c r="EJ211" i="12" s="1"/>
  <c r="DX167" i="12"/>
  <c r="EB167" i="12" s="1"/>
  <c r="EK167" i="12" s="1"/>
  <c r="EE167" i="12"/>
  <c r="EJ167" i="12" s="1"/>
  <c r="B127" i="6"/>
  <c r="D127" i="6"/>
  <c r="E127" i="6" s="1"/>
  <c r="Z127" i="6" s="1" a="1"/>
  <c r="Z127" i="6" s="1"/>
  <c r="C127" i="6" s="1"/>
  <c r="DX139" i="12"/>
  <c r="EB139" i="12" s="1"/>
  <c r="EK139" i="12" s="1"/>
  <c r="EE139" i="12"/>
  <c r="EJ139" i="12" s="1"/>
  <c r="DX185" i="12"/>
  <c r="EB185" i="12" s="1"/>
  <c r="EK185" i="12" s="1"/>
  <c r="EE185" i="12"/>
  <c r="EJ185" i="12" s="1"/>
  <c r="B46" i="6"/>
  <c r="DX58" i="12"/>
  <c r="EB58" i="12" s="1"/>
  <c r="EK58" i="12" s="1"/>
  <c r="EE58" i="12"/>
  <c r="EJ58" i="12" s="1"/>
  <c r="DX218" i="12"/>
  <c r="EB218" i="12" s="1"/>
  <c r="EK218" i="12" s="1"/>
  <c r="EE218" i="12"/>
  <c r="EJ218" i="12" s="1"/>
  <c r="DX137" i="12"/>
  <c r="EB137" i="12" s="1"/>
  <c r="EK137" i="12" s="1"/>
  <c r="EE137" i="12"/>
  <c r="EJ137" i="12" s="1"/>
  <c r="B83" i="6"/>
  <c r="D83" i="6"/>
  <c r="E83" i="6" s="1"/>
  <c r="Z83" i="6" s="1" a="1"/>
  <c r="Z83" i="6" s="1"/>
  <c r="C83" i="6" s="1"/>
  <c r="DX95" i="12"/>
  <c r="EB95" i="12" s="1"/>
  <c r="EK95" i="12" s="1"/>
  <c r="EE95" i="12"/>
  <c r="EJ95" i="12" s="1"/>
  <c r="DX172" i="12"/>
  <c r="EB172" i="12" s="1"/>
  <c r="EK172" i="12" s="1"/>
  <c r="EE172" i="12"/>
  <c r="EJ172" i="12" s="1"/>
  <c r="DX74" i="12"/>
  <c r="EB74" i="12" s="1"/>
  <c r="EK74" i="12" s="1"/>
  <c r="EE74" i="12"/>
  <c r="EJ74" i="12" s="1"/>
  <c r="DX101" i="12"/>
  <c r="EB101" i="12" s="1"/>
  <c r="EK101" i="12" s="1"/>
  <c r="EE101" i="12"/>
  <c r="EJ101" i="12" s="1"/>
  <c r="DX133" i="12"/>
  <c r="EB133" i="12" s="1"/>
  <c r="EK133" i="12" s="1"/>
  <c r="EE133" i="12"/>
  <c r="EJ133" i="12" s="1"/>
  <c r="B153" i="6"/>
  <c r="DX165" i="12"/>
  <c r="EB165" i="12" s="1"/>
  <c r="EK165" i="12" s="1"/>
  <c r="EE165" i="12"/>
  <c r="EJ165" i="12" s="1"/>
  <c r="DX197" i="12"/>
  <c r="EB197" i="12" s="1"/>
  <c r="EK197" i="12" s="1"/>
  <c r="EE197" i="12"/>
  <c r="EJ197" i="12" s="1"/>
  <c r="DX229" i="12"/>
  <c r="EB229" i="12" s="1"/>
  <c r="EK229" i="12" s="1"/>
  <c r="EE229" i="12"/>
  <c r="EJ229" i="12" s="1"/>
  <c r="DX261" i="12"/>
  <c r="EB261" i="12" s="1"/>
  <c r="EK261" i="12" s="1"/>
  <c r="EE261" i="12"/>
  <c r="EJ261" i="12" s="1"/>
  <c r="DX38" i="12"/>
  <c r="EB38" i="12" s="1"/>
  <c r="EK38" i="12" s="1"/>
  <c r="EE38" i="12"/>
  <c r="EJ38" i="12" s="1"/>
  <c r="B58" i="6"/>
  <c r="D58" i="6"/>
  <c r="E58" i="6" s="1"/>
  <c r="Z58" i="6" s="1" a="1"/>
  <c r="Z58" i="6" s="1"/>
  <c r="C58" i="6" s="1"/>
  <c r="DX70" i="12"/>
  <c r="EB70" i="12" s="1"/>
  <c r="EK70" i="12" s="1"/>
  <c r="EE70" i="12"/>
  <c r="EJ70" i="12" s="1"/>
  <c r="DX102" i="12"/>
  <c r="EB102" i="12" s="1"/>
  <c r="EK102" i="12" s="1"/>
  <c r="EE102" i="12"/>
  <c r="EJ102" i="12" s="1"/>
  <c r="DX134" i="12"/>
  <c r="EB134" i="12" s="1"/>
  <c r="EK134" i="12" s="1"/>
  <c r="EE134" i="12"/>
  <c r="EJ134" i="12" s="1"/>
  <c r="DX166" i="12"/>
  <c r="EB166" i="12" s="1"/>
  <c r="EK166" i="12" s="1"/>
  <c r="EE166" i="12"/>
  <c r="EJ166" i="12" s="1"/>
  <c r="DX198" i="12"/>
  <c r="EB198" i="12" s="1"/>
  <c r="EK198" i="12" s="1"/>
  <c r="EE198" i="12"/>
  <c r="EJ198" i="12" s="1"/>
  <c r="DX230" i="12"/>
  <c r="EB230" i="12" s="1"/>
  <c r="EK230" i="12" s="1"/>
  <c r="EE230" i="12"/>
  <c r="EJ230" i="12" s="1"/>
  <c r="B250" i="6"/>
  <c r="D250" i="6"/>
  <c r="E250" i="6" s="1"/>
  <c r="Z250" i="6" s="1" a="1"/>
  <c r="Z250" i="6" s="1"/>
  <c r="C250" i="6" s="1"/>
  <c r="DX262" i="12"/>
  <c r="EB262" i="12" s="1"/>
  <c r="EK262" i="12" s="1"/>
  <c r="EE262" i="12"/>
  <c r="EJ262" i="12" s="1"/>
  <c r="DX43" i="12"/>
  <c r="EB43" i="12" s="1"/>
  <c r="EK43" i="12" s="1"/>
  <c r="EE43" i="12"/>
  <c r="EJ43" i="12" s="1"/>
  <c r="DX75" i="12"/>
  <c r="EB75" i="12" s="1"/>
  <c r="EK75" i="12" s="1"/>
  <c r="EE75" i="12"/>
  <c r="EJ75" i="12" s="1"/>
  <c r="DX107" i="12"/>
  <c r="EB107" i="12" s="1"/>
  <c r="EK107" i="12" s="1"/>
  <c r="EE107" i="12"/>
  <c r="EJ107" i="12" s="1"/>
  <c r="DX163" i="12"/>
  <c r="EB163" i="12" s="1"/>
  <c r="EK163" i="12" s="1"/>
  <c r="EE163" i="12"/>
  <c r="EJ163" i="12" s="1"/>
  <c r="DX183" i="12"/>
  <c r="EB183" i="12" s="1"/>
  <c r="EK183" i="12" s="1"/>
  <c r="EE183" i="12"/>
  <c r="EJ183" i="12" s="1"/>
  <c r="DX155" i="12"/>
  <c r="EB155" i="12" s="1"/>
  <c r="EK155" i="12" s="1"/>
  <c r="EE155" i="12"/>
  <c r="EJ155" i="12" s="1"/>
  <c r="DX283" i="12"/>
  <c r="EB283" i="12" s="1"/>
  <c r="EK283" i="12" s="1"/>
  <c r="EE283" i="12"/>
  <c r="EJ283" i="12" s="1"/>
  <c r="BX2" i="12"/>
  <c r="BZ2" i="12"/>
  <c r="BT2" i="12"/>
  <c r="BU2" i="12"/>
  <c r="CA2" i="12"/>
  <c r="BY2" i="12"/>
  <c r="BW2" i="12"/>
  <c r="DX272" i="12"/>
  <c r="EB272" i="12" s="1"/>
  <c r="EK272" i="12" s="1"/>
  <c r="EE272" i="12"/>
  <c r="EJ272" i="12" s="1"/>
  <c r="B49" i="6"/>
  <c r="D49" i="6"/>
  <c r="E49" i="6" s="1"/>
  <c r="Z49" i="6" s="1" a="1"/>
  <c r="Z49" i="6" s="1"/>
  <c r="C49" i="6" s="1"/>
  <c r="DX61" i="12"/>
  <c r="EB61" i="12" s="1"/>
  <c r="EK61" i="12" s="1"/>
  <c r="EE61" i="12"/>
  <c r="EJ61" i="12" s="1"/>
  <c r="B81" i="6"/>
  <c r="D81" i="6"/>
  <c r="E81" i="6" s="1"/>
  <c r="Z81" i="6" s="1" a="1"/>
  <c r="Z81" i="6" s="1"/>
  <c r="C81" i="6" s="1"/>
  <c r="DX93" i="12"/>
  <c r="EB93" i="12" s="1"/>
  <c r="EK93" i="12" s="1"/>
  <c r="EE93" i="12"/>
  <c r="EJ93" i="12" s="1"/>
  <c r="DX125" i="12"/>
  <c r="EB125" i="12" s="1"/>
  <c r="EK125" i="12" s="1"/>
  <c r="EE125" i="12"/>
  <c r="EJ125" i="12" s="1"/>
  <c r="DX157" i="12"/>
  <c r="EB157" i="12" s="1"/>
  <c r="EK157" i="12" s="1"/>
  <c r="EE157" i="12"/>
  <c r="EJ157" i="12" s="1"/>
  <c r="DX189" i="12"/>
  <c r="EB189" i="12" s="1"/>
  <c r="EK189" i="12" s="1"/>
  <c r="EE189" i="12"/>
  <c r="EJ189" i="12" s="1"/>
  <c r="DX221" i="12"/>
  <c r="EB221" i="12" s="1"/>
  <c r="EK221" i="12" s="1"/>
  <c r="EE221" i="12"/>
  <c r="EJ221" i="12" s="1"/>
  <c r="DX253" i="12"/>
  <c r="EB253" i="12" s="1"/>
  <c r="EK253" i="12" s="1"/>
  <c r="EE253" i="12"/>
  <c r="EJ253" i="12" s="1"/>
  <c r="DX285" i="12"/>
  <c r="EB285" i="12" s="1"/>
  <c r="EK285" i="12" s="1"/>
  <c r="EE285" i="12"/>
  <c r="EJ285" i="12" s="1"/>
  <c r="DX62" i="12"/>
  <c r="EB62" i="12" s="1"/>
  <c r="EK62" i="12" s="1"/>
  <c r="EE62" i="12"/>
  <c r="EJ62" i="12" s="1"/>
  <c r="DX94" i="12"/>
  <c r="EB94" i="12" s="1"/>
  <c r="EK94" i="12" s="1"/>
  <c r="EE94" i="12"/>
  <c r="EJ94" i="12" s="1"/>
  <c r="DX126" i="12"/>
  <c r="EB126" i="12" s="1"/>
  <c r="EK126" i="12" s="1"/>
  <c r="EE126" i="12"/>
  <c r="EJ126" i="12" s="1"/>
  <c r="B146" i="6"/>
  <c r="D146" i="6"/>
  <c r="E146" i="6" s="1"/>
  <c r="Z146" i="6" s="1" a="1"/>
  <c r="Z146" i="6" s="1"/>
  <c r="C146" i="6" s="1"/>
  <c r="DX158" i="12"/>
  <c r="EB158" i="12" s="1"/>
  <c r="EK158" i="12" s="1"/>
  <c r="EE158" i="12"/>
  <c r="EJ158" i="12" s="1"/>
  <c r="DX190" i="12"/>
  <c r="EB190" i="12" s="1"/>
  <c r="EK190" i="12" s="1"/>
  <c r="EE190" i="12"/>
  <c r="EJ190" i="12" s="1"/>
  <c r="DX222" i="12"/>
  <c r="EB222" i="12" s="1"/>
  <c r="EK222" i="12" s="1"/>
  <c r="EE222" i="12"/>
  <c r="EJ222" i="12" s="1"/>
  <c r="DX254" i="12"/>
  <c r="EB254" i="12" s="1"/>
  <c r="EK254" i="12" s="1"/>
  <c r="EE254" i="12"/>
  <c r="EJ254" i="12" s="1"/>
  <c r="DX35" i="12"/>
  <c r="EB35" i="12" s="1"/>
  <c r="EK35" i="12" s="1"/>
  <c r="EE35" i="12"/>
  <c r="EJ35" i="12" s="1"/>
  <c r="DX67" i="12"/>
  <c r="EB67" i="12" s="1"/>
  <c r="EK67" i="12" s="1"/>
  <c r="EE67" i="12"/>
  <c r="EJ67" i="12" s="1"/>
  <c r="DX99" i="12"/>
  <c r="EB99" i="12" s="1"/>
  <c r="EK99" i="12" s="1"/>
  <c r="EE99" i="12"/>
  <c r="EJ99" i="12" s="1"/>
  <c r="DX131" i="12"/>
  <c r="EB131" i="12" s="1"/>
  <c r="EK131" i="12" s="1"/>
  <c r="EE131" i="12"/>
  <c r="EJ131" i="12" s="1"/>
  <c r="DX259" i="12"/>
  <c r="EB259" i="12" s="1"/>
  <c r="EK259" i="12" s="1"/>
  <c r="EE259" i="12"/>
  <c r="EJ259" i="12" s="1"/>
  <c r="DX215" i="12"/>
  <c r="EB215" i="12" s="1"/>
  <c r="EK215" i="12" s="1"/>
  <c r="EE215" i="12"/>
  <c r="EJ215" i="12" s="1"/>
  <c r="DX187" i="12"/>
  <c r="EB187" i="12" s="1"/>
  <c r="EK187" i="12" s="1"/>
  <c r="EE187" i="12"/>
  <c r="EJ187" i="12" s="1"/>
  <c r="DX207" i="12"/>
  <c r="EB207" i="12" s="1"/>
  <c r="EK207" i="12" s="1"/>
  <c r="EE207" i="12"/>
  <c r="EJ207" i="12" s="1"/>
  <c r="B40" i="6"/>
  <c r="D40" i="6"/>
  <c r="E40" i="6" s="1"/>
  <c r="Z40" i="6" s="1" a="1"/>
  <c r="Z40" i="6" s="1"/>
  <c r="C40" i="6" s="1"/>
  <c r="DX97" i="12"/>
  <c r="EB97" i="12" s="1"/>
  <c r="EK97" i="12" s="1"/>
  <c r="EE97" i="12"/>
  <c r="EJ97" i="12" s="1"/>
  <c r="DX129" i="12"/>
  <c r="EB129" i="12" s="1"/>
  <c r="EK129" i="12" s="1"/>
  <c r="EE129" i="12"/>
  <c r="EJ129" i="12" s="1"/>
  <c r="B149" i="6"/>
  <c r="D149" i="6"/>
  <c r="E149" i="6" s="1"/>
  <c r="Z149" i="6" s="1" a="1"/>
  <c r="Z149" i="6" s="1"/>
  <c r="C149" i="6" s="1"/>
  <c r="DX161" i="12"/>
  <c r="EB161" i="12" s="1"/>
  <c r="EK161" i="12" s="1"/>
  <c r="EE161" i="12"/>
  <c r="EJ161" i="12" s="1"/>
  <c r="DX193" i="12"/>
  <c r="EB193" i="12" s="1"/>
  <c r="EK193" i="12" s="1"/>
  <c r="EE193" i="12"/>
  <c r="EJ193" i="12" s="1"/>
  <c r="DX225" i="12"/>
  <c r="EB225" i="12" s="1"/>
  <c r="EK225" i="12" s="1"/>
  <c r="EE225" i="12"/>
  <c r="EJ225" i="12" s="1"/>
  <c r="DX257" i="12"/>
  <c r="EB257" i="12" s="1"/>
  <c r="EK257" i="12" s="1"/>
  <c r="EE257" i="12"/>
  <c r="EJ257" i="12" s="1"/>
  <c r="DX34" i="12"/>
  <c r="EB34" i="12" s="1"/>
  <c r="EK34" i="12" s="1"/>
  <c r="EE34" i="12"/>
  <c r="EJ34" i="12" s="1"/>
  <c r="DX66" i="12"/>
  <c r="EB66" i="12" s="1"/>
  <c r="EK66" i="12" s="1"/>
  <c r="EE66" i="12"/>
  <c r="EJ66" i="12" s="1"/>
  <c r="DX98" i="12"/>
  <c r="EB98" i="12" s="1"/>
  <c r="EK98" i="12" s="1"/>
  <c r="EE98" i="12"/>
  <c r="EJ98" i="12" s="1"/>
  <c r="DX130" i="12"/>
  <c r="EB130" i="12" s="1"/>
  <c r="EK130" i="12" s="1"/>
  <c r="EE130" i="12"/>
  <c r="EJ130" i="12" s="1"/>
  <c r="B150" i="6"/>
  <c r="D150" i="6"/>
  <c r="E150" i="6" s="1"/>
  <c r="Z150" i="6" s="1" a="1"/>
  <c r="Z150" i="6" s="1"/>
  <c r="C150" i="6" s="1"/>
  <c r="DX162" i="12"/>
  <c r="EB162" i="12" s="1"/>
  <c r="EK162" i="12" s="1"/>
  <c r="EE162" i="12"/>
  <c r="EJ162" i="12" s="1"/>
  <c r="DX194" i="12"/>
  <c r="EB194" i="12" s="1"/>
  <c r="EK194" i="12" s="1"/>
  <c r="EE194" i="12"/>
  <c r="EJ194" i="12" s="1"/>
  <c r="DX226" i="12"/>
  <c r="EB226" i="12" s="1"/>
  <c r="EK226" i="12" s="1"/>
  <c r="EE226" i="12"/>
  <c r="EJ226" i="12" s="1"/>
  <c r="B246" i="6"/>
  <c r="D246" i="6"/>
  <c r="E246" i="6" s="1"/>
  <c r="Z246" i="6" s="1" a="1"/>
  <c r="Z246" i="6" s="1"/>
  <c r="C246" i="6" s="1"/>
  <c r="DX258" i="12"/>
  <c r="EB258" i="12" s="1"/>
  <c r="EK258" i="12" s="1"/>
  <c r="EE258" i="12"/>
  <c r="EJ258" i="12" s="1"/>
  <c r="B27" i="6"/>
  <c r="D27" i="6"/>
  <c r="E27" i="6" s="1"/>
  <c r="Z27" i="6" s="1" a="1"/>
  <c r="Z27" i="6" s="1"/>
  <c r="C27" i="6" s="1"/>
  <c r="DX39" i="12"/>
  <c r="EB39" i="12" s="1"/>
  <c r="EK39" i="12" s="1"/>
  <c r="EE39" i="12"/>
  <c r="EJ39" i="12" s="1"/>
  <c r="DX71" i="12"/>
  <c r="EB71" i="12" s="1"/>
  <c r="EK71" i="12" s="1"/>
  <c r="EE71" i="12"/>
  <c r="EJ71" i="12" s="1"/>
  <c r="DX103" i="12"/>
  <c r="EB103" i="12" s="1"/>
  <c r="EK103" i="12" s="1"/>
  <c r="EE103" i="12"/>
  <c r="EJ103" i="12" s="1"/>
  <c r="DX147" i="12"/>
  <c r="EB147" i="12" s="1"/>
  <c r="EK147" i="12" s="1"/>
  <c r="EE147" i="12"/>
  <c r="EJ147" i="12" s="1"/>
  <c r="D263" i="6"/>
  <c r="E263" i="6" s="1"/>
  <c r="Z263" i="6" s="1" a="1"/>
  <c r="Z263" i="6" s="1"/>
  <c r="C263" i="6" s="1"/>
  <c r="DX275" i="12"/>
  <c r="EB275" i="12" s="1"/>
  <c r="EK275" i="12" s="1"/>
  <c r="EE275" i="12"/>
  <c r="EJ275" i="12" s="1"/>
  <c r="DX231" i="12"/>
  <c r="EB231" i="12" s="1"/>
  <c r="EK231" i="12" s="1"/>
  <c r="EE231" i="12"/>
  <c r="EJ231" i="12" s="1"/>
  <c r="DX203" i="12"/>
  <c r="EB203" i="12" s="1"/>
  <c r="EK203" i="12" s="1"/>
  <c r="EE203" i="12"/>
  <c r="EJ203" i="12" s="1"/>
  <c r="DX271" i="12"/>
  <c r="EB271" i="12" s="1"/>
  <c r="EK271" i="12" s="1"/>
  <c r="EE271" i="12"/>
  <c r="EJ271" i="12" s="1"/>
  <c r="DX239" i="12"/>
  <c r="EB239" i="12" s="1"/>
  <c r="EK239" i="12" s="1"/>
  <c r="EE239" i="12"/>
  <c r="EJ239" i="12" s="1"/>
  <c r="B61" i="6"/>
  <c r="D61" i="6"/>
  <c r="E61" i="6" s="1"/>
  <c r="Z61" i="6" s="1" a="1"/>
  <c r="Z61" i="6" s="1"/>
  <c r="C61" i="6" s="1"/>
  <c r="DX73" i="12"/>
  <c r="EB73" i="12" s="1"/>
  <c r="EK73" i="12" s="1"/>
  <c r="EE73" i="12"/>
  <c r="EJ73" i="12" s="1"/>
  <c r="DX153" i="12"/>
  <c r="EB153" i="12" s="1"/>
  <c r="EK153" i="12" s="1"/>
  <c r="EE153" i="12"/>
  <c r="EJ153" i="12" s="1"/>
  <c r="B237" i="6"/>
  <c r="D237" i="6"/>
  <c r="E237" i="6" s="1"/>
  <c r="Z237" i="6" s="1" a="1"/>
  <c r="Z237" i="6" s="1"/>
  <c r="C237" i="6" s="1"/>
  <c r="DX249" i="12"/>
  <c r="EB249" i="12" s="1"/>
  <c r="EK249" i="12" s="1"/>
  <c r="EE249" i="12"/>
  <c r="EJ249" i="12" s="1"/>
  <c r="B158" i="6"/>
  <c r="D158" i="6"/>
  <c r="E158" i="6" s="1"/>
  <c r="Z158" i="6" s="1" a="1"/>
  <c r="Z158" i="6" s="1"/>
  <c r="C158" i="6" s="1"/>
  <c r="DX170" i="12"/>
  <c r="EB170" i="12" s="1"/>
  <c r="EK170" i="12" s="1"/>
  <c r="EE170" i="12"/>
  <c r="EJ170" i="12" s="1"/>
  <c r="DX250" i="12"/>
  <c r="EB250" i="12" s="1"/>
  <c r="EK250" i="12" s="1"/>
  <c r="EE250" i="12"/>
  <c r="EJ250" i="12" s="1"/>
  <c r="DX79" i="12"/>
  <c r="EB79" i="12" s="1"/>
  <c r="EK79" i="12" s="1"/>
  <c r="EE79" i="12"/>
  <c r="EJ79" i="12" s="1"/>
  <c r="DX243" i="12"/>
  <c r="EB243" i="12" s="1"/>
  <c r="EK243" i="12" s="1"/>
  <c r="EE243" i="12"/>
  <c r="EJ243" i="12" s="1"/>
  <c r="DX263" i="12"/>
  <c r="EB263" i="12" s="1"/>
  <c r="EK263" i="12" s="1"/>
  <c r="EE263" i="12"/>
  <c r="EJ263" i="12" s="1"/>
  <c r="DX143" i="12"/>
  <c r="EB143" i="12" s="1"/>
  <c r="EK143" i="12" s="1"/>
  <c r="EE143" i="12"/>
  <c r="EJ143" i="12" s="1"/>
  <c r="DX255" i="12"/>
  <c r="EB255" i="12" s="1"/>
  <c r="EK255" i="12" s="1"/>
  <c r="EE255" i="12"/>
  <c r="EJ255" i="12" s="1"/>
  <c r="DX281" i="12"/>
  <c r="EB281" i="12" s="1"/>
  <c r="EK281" i="12" s="1"/>
  <c r="EE281" i="12"/>
  <c r="EJ281" i="12" s="1"/>
  <c r="DX90" i="12"/>
  <c r="EB90" i="12" s="1"/>
  <c r="EK90" i="12" s="1"/>
  <c r="EE90" i="12"/>
  <c r="EJ90" i="12" s="1"/>
  <c r="B126" i="6"/>
  <c r="D126" i="6"/>
  <c r="E126" i="6" s="1"/>
  <c r="Z126" i="6" s="1" a="1"/>
  <c r="Z126" i="6" s="1"/>
  <c r="C126" i="6" s="1"/>
  <c r="DX138" i="12"/>
  <c r="EB138" i="12" s="1"/>
  <c r="EK138" i="12" s="1"/>
  <c r="EE138" i="12"/>
  <c r="EJ138" i="12" s="1"/>
  <c r="DX234" i="12"/>
  <c r="EB234" i="12" s="1"/>
  <c r="EK234" i="12" s="1"/>
  <c r="EE234" i="12"/>
  <c r="EJ234" i="12" s="1"/>
  <c r="DX63" i="12"/>
  <c r="EB63" i="12" s="1"/>
  <c r="EK63" i="12" s="1"/>
  <c r="EE63" i="12"/>
  <c r="EJ63" i="12" s="1"/>
  <c r="DX179" i="12"/>
  <c r="EB179" i="12" s="1"/>
  <c r="EK179" i="12" s="1"/>
  <c r="EE179" i="12"/>
  <c r="EJ179" i="12" s="1"/>
  <c r="B32" i="6"/>
  <c r="D32" i="6"/>
  <c r="E32" i="6" s="1"/>
  <c r="Z32" i="6" s="1" a="1"/>
  <c r="Z32" i="6" s="1"/>
  <c r="C32" i="6" s="1"/>
  <c r="DX44" i="12"/>
  <c r="EB44" i="12" s="1"/>
  <c r="EK44" i="12" s="1"/>
  <c r="EE44" i="12"/>
  <c r="EJ44" i="12" s="1"/>
  <c r="DX76" i="12"/>
  <c r="EB76" i="12" s="1"/>
  <c r="EK76" i="12" s="1"/>
  <c r="EE76" i="12"/>
  <c r="EJ76" i="12" s="1"/>
  <c r="DX108" i="12"/>
  <c r="EB108" i="12" s="1"/>
  <c r="EK108" i="12" s="1"/>
  <c r="EE108" i="12"/>
  <c r="EJ108" i="12" s="1"/>
  <c r="DX124" i="12"/>
  <c r="EB124" i="12" s="1"/>
  <c r="EK124" i="12" s="1"/>
  <c r="EE124" i="12"/>
  <c r="EJ124" i="12" s="1"/>
  <c r="DX156" i="12"/>
  <c r="EB156" i="12" s="1"/>
  <c r="EK156" i="12" s="1"/>
  <c r="EE156" i="12"/>
  <c r="EJ156" i="12" s="1"/>
  <c r="DX188" i="12"/>
  <c r="EB188" i="12" s="1"/>
  <c r="EK188" i="12" s="1"/>
  <c r="EE188" i="12"/>
  <c r="EJ188" i="12" s="1"/>
  <c r="DX220" i="12"/>
  <c r="EB220" i="12" s="1"/>
  <c r="EK220" i="12" s="1"/>
  <c r="EE220" i="12"/>
  <c r="EJ220" i="12" s="1"/>
  <c r="B240" i="6"/>
  <c r="D240" i="6"/>
  <c r="E240" i="6" s="1"/>
  <c r="Z240" i="6" s="1" a="1"/>
  <c r="Z240" i="6" s="1"/>
  <c r="C240" i="6" s="1"/>
  <c r="DX252" i="12"/>
  <c r="EB252" i="12" s="1"/>
  <c r="EK252" i="12" s="1"/>
  <c r="EE252" i="12"/>
  <c r="EJ252" i="12" s="1"/>
  <c r="DX41" i="12"/>
  <c r="EB41" i="12" s="1"/>
  <c r="EK41" i="12" s="1"/>
  <c r="EE41" i="12"/>
  <c r="EJ41" i="12" s="1"/>
  <c r="B77" i="6"/>
  <c r="D77" i="6"/>
  <c r="E77" i="6" s="1"/>
  <c r="Z77" i="6" s="1" a="1"/>
  <c r="Z77" i="6" s="1"/>
  <c r="C77" i="6" s="1"/>
  <c r="DX89" i="12"/>
  <c r="EB89" i="12" s="1"/>
  <c r="EK89" i="12" s="1"/>
  <c r="EE89" i="12"/>
  <c r="EJ89" i="12" s="1"/>
  <c r="DX169" i="12"/>
  <c r="EB169" i="12" s="1"/>
  <c r="EK169" i="12" s="1"/>
  <c r="EE169" i="12"/>
  <c r="EJ169" i="12" s="1"/>
  <c r="DX217" i="12"/>
  <c r="EB217" i="12" s="1"/>
  <c r="EK217" i="12" s="1"/>
  <c r="EE217" i="12"/>
  <c r="EJ217" i="12" s="1"/>
  <c r="DX265" i="12"/>
  <c r="EB265" i="12" s="1"/>
  <c r="EK265" i="12" s="1"/>
  <c r="EE265" i="12"/>
  <c r="EJ265" i="12" s="1"/>
  <c r="DX106" i="12"/>
  <c r="EB106" i="12" s="1"/>
  <c r="EK106" i="12" s="1"/>
  <c r="EE106" i="12"/>
  <c r="EJ106" i="12" s="1"/>
  <c r="DX186" i="12"/>
  <c r="EB186" i="12" s="1"/>
  <c r="EK186" i="12" s="1"/>
  <c r="EE186" i="12"/>
  <c r="EJ186" i="12" s="1"/>
  <c r="DX111" i="12"/>
  <c r="EB111" i="12" s="1"/>
  <c r="EK111" i="12" s="1"/>
  <c r="EE111" i="12"/>
  <c r="EJ111" i="12" s="1"/>
  <c r="DX32" i="12"/>
  <c r="EB32" i="12" s="1"/>
  <c r="EK32" i="12" s="1"/>
  <c r="EE32" i="12"/>
  <c r="EJ32" i="12" s="1"/>
  <c r="B52" i="6"/>
  <c r="D52" i="6"/>
  <c r="E52" i="6" s="1"/>
  <c r="Z52" i="6" s="1" a="1"/>
  <c r="Z52" i="6" s="1"/>
  <c r="C52" i="6" s="1"/>
  <c r="DX64" i="12"/>
  <c r="EB64" i="12" s="1"/>
  <c r="EK64" i="12" s="1"/>
  <c r="EE64" i="12"/>
  <c r="EJ64" i="12" s="1"/>
  <c r="DX96" i="12"/>
  <c r="EB96" i="12" s="1"/>
  <c r="EK96" i="12" s="1"/>
  <c r="EE96" i="12"/>
  <c r="EJ96" i="12" s="1"/>
  <c r="DX128" i="12"/>
  <c r="EB128" i="12" s="1"/>
  <c r="EK128" i="12" s="1"/>
  <c r="EE128" i="12"/>
  <c r="EJ128" i="12" s="1"/>
  <c r="DX160" i="12"/>
  <c r="EB160" i="12" s="1"/>
  <c r="EK160" i="12" s="1"/>
  <c r="EE160" i="12"/>
  <c r="EJ160" i="12" s="1"/>
  <c r="DX192" i="12"/>
  <c r="EB192" i="12" s="1"/>
  <c r="EK192" i="12" s="1"/>
  <c r="EE192" i="12"/>
  <c r="EJ192" i="12" s="1"/>
  <c r="B212" i="6"/>
  <c r="D212" i="6"/>
  <c r="E212" i="6" s="1"/>
  <c r="Z212" i="6" s="1" a="1"/>
  <c r="Z212" i="6" s="1"/>
  <c r="C212" i="6" s="1"/>
  <c r="DX224" i="12"/>
  <c r="EB224" i="12" s="1"/>
  <c r="EK224" i="12" s="1"/>
  <c r="EE224" i="12"/>
  <c r="EJ224" i="12" s="1"/>
  <c r="DX256" i="12"/>
  <c r="EB256" i="12" s="1"/>
  <c r="EK256" i="12" s="1"/>
  <c r="EE256" i="12"/>
  <c r="EJ256" i="12" s="1"/>
  <c r="DX52" i="12"/>
  <c r="EB52" i="12" s="1"/>
  <c r="EK52" i="12" s="1"/>
  <c r="EE52" i="12"/>
  <c r="EJ52" i="12" s="1"/>
  <c r="DX84" i="12"/>
  <c r="EB84" i="12" s="1"/>
  <c r="EK84" i="12" s="1"/>
  <c r="EE84" i="12"/>
  <c r="EJ84" i="12" s="1"/>
  <c r="B104" i="6"/>
  <c r="D104" i="6"/>
  <c r="E104" i="6" s="1"/>
  <c r="Z104" i="6" s="1" a="1"/>
  <c r="Z104" i="6" s="1"/>
  <c r="C104" i="6" s="1"/>
  <c r="DX116" i="12"/>
  <c r="EB116" i="12" s="1"/>
  <c r="EK116" i="12" s="1"/>
  <c r="EE116" i="12"/>
  <c r="EJ116" i="12" s="1"/>
  <c r="DX148" i="12"/>
  <c r="EB148" i="12" s="1"/>
  <c r="EK148" i="12" s="1"/>
  <c r="EE148" i="12"/>
  <c r="EJ148" i="12" s="1"/>
  <c r="B168" i="6"/>
  <c r="D168" i="6"/>
  <c r="E168" i="6" s="1"/>
  <c r="Z168" i="6" s="1" a="1"/>
  <c r="Z168" i="6" s="1"/>
  <c r="C168" i="6" s="1"/>
  <c r="DX180" i="12"/>
  <c r="EB180" i="12" s="1"/>
  <c r="EK180" i="12" s="1"/>
  <c r="EE180" i="12"/>
  <c r="EJ180" i="12" s="1"/>
  <c r="DX212" i="12"/>
  <c r="EB212" i="12" s="1"/>
  <c r="EK212" i="12" s="1"/>
  <c r="EE212" i="12"/>
  <c r="EJ212" i="12" s="1"/>
  <c r="DX244" i="12"/>
  <c r="EB244" i="12" s="1"/>
  <c r="EK244" i="12" s="1"/>
  <c r="EE244" i="12"/>
  <c r="EJ244" i="12" s="1"/>
  <c r="DX276" i="12"/>
  <c r="EB276" i="12" s="1"/>
  <c r="EK276" i="12" s="1"/>
  <c r="EE276" i="12"/>
  <c r="EJ276" i="12" s="1"/>
  <c r="B37" i="6"/>
  <c r="DX49" i="12"/>
  <c r="EB49" i="12" s="1"/>
  <c r="EK49" i="12" s="1"/>
  <c r="EE49" i="12"/>
  <c r="EJ49" i="12" s="1"/>
  <c r="DX81" i="12"/>
  <c r="EB81" i="12" s="1"/>
  <c r="EK81" i="12" s="1"/>
  <c r="EE81" i="12"/>
  <c r="EJ81" i="12" s="1"/>
  <c r="DX284" i="12"/>
  <c r="EB284" i="12" s="1"/>
  <c r="EK284" i="12" s="1"/>
  <c r="EE284" i="12"/>
  <c r="EJ284" i="12" s="1"/>
  <c r="DX40" i="12"/>
  <c r="EB40" i="12" s="1"/>
  <c r="EK40" i="12" s="1"/>
  <c r="EE40" i="12"/>
  <c r="EJ40" i="12" s="1"/>
  <c r="DX72" i="12"/>
  <c r="EB72" i="12" s="1"/>
  <c r="EK72" i="12" s="1"/>
  <c r="EE72" i="12"/>
  <c r="EJ72" i="12" s="1"/>
  <c r="DX104" i="12"/>
  <c r="EB104" i="12" s="1"/>
  <c r="EK104" i="12" s="1"/>
  <c r="EE104" i="12"/>
  <c r="EJ104" i="12" s="1"/>
  <c r="DX136" i="12"/>
  <c r="EB136" i="12" s="1"/>
  <c r="EK136" i="12" s="1"/>
  <c r="EE136" i="12"/>
  <c r="EJ136" i="12" s="1"/>
  <c r="DX168" i="12"/>
  <c r="EB168" i="12" s="1"/>
  <c r="EK168" i="12" s="1"/>
  <c r="EE168" i="12"/>
  <c r="EJ168" i="12" s="1"/>
  <c r="DX200" i="12"/>
  <c r="EB200" i="12" s="1"/>
  <c r="EK200" i="12" s="1"/>
  <c r="EE200" i="12"/>
  <c r="EJ200" i="12" s="1"/>
  <c r="DX232" i="12"/>
  <c r="EB232" i="12" s="1"/>
  <c r="EK232" i="12" s="1"/>
  <c r="EE232" i="12"/>
  <c r="EJ232" i="12" s="1"/>
  <c r="DX264" i="12"/>
  <c r="EB264" i="12" s="1"/>
  <c r="EK264" i="12" s="1"/>
  <c r="EE264" i="12"/>
  <c r="EJ264" i="12" s="1"/>
  <c r="DX69" i="12"/>
  <c r="EB69" i="12" s="1"/>
  <c r="EK69" i="12" s="1"/>
  <c r="EE69" i="12"/>
  <c r="EJ69" i="12" s="1"/>
  <c r="B89" i="6"/>
  <c r="D89" i="6"/>
  <c r="E89" i="6" s="1"/>
  <c r="Z89" i="6" s="1" a="1"/>
  <c r="Z89" i="6" s="1"/>
  <c r="C89" i="6" s="1"/>
  <c r="DX31" i="12"/>
  <c r="EB31" i="12" s="1"/>
  <c r="EE31" i="12"/>
  <c r="EJ31" i="12" s="1"/>
  <c r="DX48" i="12"/>
  <c r="EB48" i="12" s="1"/>
  <c r="EK48" i="12" s="1"/>
  <c r="EE48" i="12"/>
  <c r="EJ48" i="12" s="1"/>
  <c r="DX80" i="12"/>
  <c r="EB80" i="12" s="1"/>
  <c r="EK80" i="12" s="1"/>
  <c r="EE80" i="12"/>
  <c r="EJ80" i="12" s="1"/>
  <c r="DX112" i="12"/>
  <c r="EB112" i="12" s="1"/>
  <c r="EK112" i="12" s="1"/>
  <c r="EE112" i="12"/>
  <c r="EJ112" i="12" s="1"/>
  <c r="DX144" i="12"/>
  <c r="EB144" i="12" s="1"/>
  <c r="EK144" i="12" s="1"/>
  <c r="EE144" i="12"/>
  <c r="EJ144" i="12" s="1"/>
  <c r="DX176" i="12"/>
  <c r="EB176" i="12" s="1"/>
  <c r="EK176" i="12" s="1"/>
  <c r="EE176" i="12"/>
  <c r="EJ176" i="12" s="1"/>
  <c r="DX208" i="12"/>
  <c r="EB208" i="12" s="1"/>
  <c r="EK208" i="12" s="1"/>
  <c r="EE208" i="12"/>
  <c r="EJ208" i="12" s="1"/>
  <c r="DX240" i="12"/>
  <c r="EB240" i="12" s="1"/>
  <c r="EK240" i="12" s="1"/>
  <c r="EE240" i="12"/>
  <c r="EJ240" i="12" s="1"/>
  <c r="DX68" i="12"/>
  <c r="EB68" i="12" s="1"/>
  <c r="EK68" i="12" s="1"/>
  <c r="EE68" i="12"/>
  <c r="EJ68" i="12" s="1"/>
  <c r="DX100" i="12"/>
  <c r="EB100" i="12" s="1"/>
  <c r="EK100" i="12" s="1"/>
  <c r="EE100" i="12"/>
  <c r="EJ100" i="12" s="1"/>
  <c r="DX132" i="12"/>
  <c r="EB132" i="12" s="1"/>
  <c r="EK132" i="12" s="1"/>
  <c r="EE132" i="12"/>
  <c r="EJ132" i="12" s="1"/>
  <c r="D152" i="6"/>
  <c r="E152" i="6" s="1"/>
  <c r="Z152" i="6" s="1" a="1"/>
  <c r="Z152" i="6" s="1"/>
  <c r="C152" i="6" s="1"/>
  <c r="DX164" i="12"/>
  <c r="EB164" i="12" s="1"/>
  <c r="EK164" i="12" s="1"/>
  <c r="EE164" i="12"/>
  <c r="EJ164" i="12" s="1"/>
  <c r="DX196" i="12"/>
  <c r="EB196" i="12" s="1"/>
  <c r="EK196" i="12" s="1"/>
  <c r="EE196" i="12"/>
  <c r="EJ196" i="12" s="1"/>
  <c r="DX228" i="12"/>
  <c r="EB228" i="12" s="1"/>
  <c r="EK228" i="12" s="1"/>
  <c r="EE228" i="12"/>
  <c r="EJ228" i="12" s="1"/>
  <c r="B248" i="6"/>
  <c r="D248" i="6"/>
  <c r="E248" i="6" s="1"/>
  <c r="Z248" i="6" s="1" a="1"/>
  <c r="Z248" i="6" s="1"/>
  <c r="C248" i="6" s="1"/>
  <c r="DX260" i="12"/>
  <c r="EB260" i="12" s="1"/>
  <c r="EK260" i="12" s="1"/>
  <c r="EE260" i="12"/>
  <c r="EJ260" i="12" s="1"/>
  <c r="DX33" i="12"/>
  <c r="EB33" i="12" s="1"/>
  <c r="EK33" i="12" s="1"/>
  <c r="EE33" i="12"/>
  <c r="EJ33" i="12" s="1"/>
  <c r="DX65" i="12"/>
  <c r="EB65" i="12" s="1"/>
  <c r="EK65" i="12" s="1"/>
  <c r="EE65" i="12"/>
  <c r="EJ65" i="12" s="1"/>
  <c r="DX268" i="12"/>
  <c r="EB268" i="12" s="1"/>
  <c r="EK268" i="12" s="1"/>
  <c r="EE268" i="12"/>
  <c r="EJ268" i="12" s="1"/>
  <c r="Y314" i="8"/>
  <c r="Z314" i="8" s="1"/>
  <c r="Y293" i="8"/>
  <c r="Z293" i="8" s="1"/>
  <c r="Y292" i="8"/>
  <c r="Z292" i="8" s="1"/>
  <c r="Y326" i="8"/>
  <c r="Z326" i="8" s="1"/>
  <c r="Y304" i="8"/>
  <c r="Z304" i="8" s="1"/>
  <c r="Y286" i="8"/>
  <c r="Z286" i="8" s="1"/>
  <c r="Y319" i="8"/>
  <c r="Z319" i="8" s="1"/>
  <c r="Y312" i="8"/>
  <c r="Z312" i="8" s="1"/>
  <c r="Y311" i="8"/>
  <c r="Z311" i="8" s="1"/>
  <c r="Y299" i="8"/>
  <c r="Z299" i="8" s="1"/>
  <c r="Y308" i="8"/>
  <c r="Z308" i="8" s="1"/>
  <c r="Y321" i="8"/>
  <c r="Z321" i="8" s="1"/>
  <c r="Y294" i="8"/>
  <c r="Z294" i="8" s="1"/>
  <c r="Y310" i="8"/>
  <c r="Z310" i="8" s="1"/>
  <c r="Y303" i="8"/>
  <c r="Z303" i="8" s="1"/>
  <c r="Y288" i="8"/>
  <c r="Z288" i="8" s="1"/>
  <c r="Y325" i="8"/>
  <c r="Z325" i="8" s="1"/>
  <c r="Y298" i="8"/>
  <c r="Z298" i="8" s="1"/>
  <c r="Y313" i="8"/>
  <c r="Z313" i="8" s="1"/>
  <c r="Y320" i="8"/>
  <c r="Z320" i="8" s="1"/>
  <c r="Y318" i="8"/>
  <c r="Z318" i="8" s="1"/>
  <c r="Y327" i="8"/>
  <c r="Z327" i="8" s="1"/>
  <c r="Y309" i="8"/>
  <c r="Z309" i="8" s="1"/>
  <c r="Y305" i="8"/>
  <c r="Z305" i="8" s="1"/>
  <c r="Y290" i="8"/>
  <c r="Z290" i="8" s="1"/>
  <c r="Y287" i="8"/>
  <c r="Z287" i="8" s="1"/>
  <c r="Y307" i="8"/>
  <c r="Z307" i="8" s="1"/>
  <c r="Y300" i="8"/>
  <c r="Z300" i="8" s="1"/>
  <c r="Y289" i="8"/>
  <c r="Z289" i="8" s="1"/>
  <c r="Y317" i="8"/>
  <c r="Z317" i="8" s="1"/>
  <c r="Y323" i="8"/>
  <c r="Z323" i="8" s="1"/>
  <c r="Y302" i="8"/>
  <c r="Z302" i="8" s="1"/>
  <c r="Y295" i="8"/>
  <c r="Z295" i="8" s="1"/>
  <c r="Y296" i="8"/>
  <c r="Z296" i="8" s="1"/>
  <c r="Y306" i="8"/>
  <c r="Z306" i="8" s="1"/>
  <c r="Y322" i="8"/>
  <c r="Z322" i="8" s="1"/>
  <c r="Y297" i="8"/>
  <c r="Z297" i="8" s="1"/>
  <c r="Y315" i="8"/>
  <c r="Z315" i="8" s="1"/>
  <c r="Y316" i="8"/>
  <c r="Z316" i="8" s="1"/>
  <c r="Y301" i="8"/>
  <c r="Z301" i="8" s="1"/>
  <c r="Y291" i="8"/>
  <c r="Z291" i="8" s="1"/>
  <c r="Y324" i="8"/>
  <c r="Z324" i="8" s="1"/>
  <c r="M3" i="4"/>
  <c r="M4" i="4"/>
  <c r="M5" i="4"/>
  <c r="M6" i="4"/>
  <c r="M7" i="4"/>
  <c r="M8" i="4"/>
  <c r="M9" i="4"/>
  <c r="M1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4" i="4"/>
  <c r="M215" i="4"/>
  <c r="M216" i="4"/>
  <c r="M217" i="4"/>
  <c r="M218" i="4"/>
  <c r="M219" i="4"/>
  <c r="M220" i="4"/>
  <c r="M221" i="4"/>
  <c r="M222" i="4"/>
  <c r="M223" i="4"/>
  <c r="M224" i="4"/>
  <c r="M225" i="4"/>
  <c r="M226" i="4"/>
  <c r="M227" i="4"/>
  <c r="M228" i="4"/>
  <c r="M229" i="4"/>
  <c r="M230" i="4"/>
  <c r="M231" i="4"/>
  <c r="M232" i="4"/>
  <c r="M233" i="4"/>
  <c r="M234" i="4"/>
  <c r="M235" i="4"/>
  <c r="M236" i="4"/>
  <c r="M237" i="4"/>
  <c r="M238" i="4"/>
  <c r="M239" i="4"/>
  <c r="M240" i="4"/>
  <c r="M241" i="4"/>
  <c r="M242" i="4"/>
  <c r="M243" i="4"/>
  <c r="M244" i="4"/>
  <c r="M245" i="4"/>
  <c r="M246" i="4"/>
  <c r="M247" i="4"/>
  <c r="M248" i="4"/>
  <c r="M249" i="4"/>
  <c r="M250" i="4"/>
  <c r="M251" i="4"/>
  <c r="M252" i="4"/>
  <c r="M253" i="4"/>
  <c r="M254" i="4"/>
  <c r="M255" i="4"/>
  <c r="M256" i="4"/>
  <c r="M257" i="4"/>
  <c r="M258" i="4"/>
  <c r="M259" i="4"/>
  <c r="M260" i="4"/>
  <c r="M261" i="4"/>
  <c r="M262" i="4"/>
  <c r="M263" i="4"/>
  <c r="M264" i="4"/>
  <c r="M265" i="4"/>
  <c r="M266" i="4"/>
  <c r="M267" i="4"/>
  <c r="M268" i="4"/>
  <c r="M269" i="4"/>
  <c r="M270" i="4"/>
  <c r="M271" i="4"/>
  <c r="M272" i="4"/>
  <c r="M273" i="4"/>
  <c r="M274" i="4"/>
  <c r="M275" i="4"/>
  <c r="M276" i="4"/>
  <c r="M277" i="4"/>
  <c r="M278" i="4"/>
  <c r="M279" i="4"/>
  <c r="M280" i="4"/>
  <c r="M281" i="4"/>
  <c r="M282" i="4"/>
  <c r="M283" i="4"/>
  <c r="M284" i="4"/>
  <c r="M285" i="4"/>
  <c r="M286" i="4"/>
  <c r="M287" i="4"/>
  <c r="M288" i="4"/>
  <c r="M289" i="4"/>
  <c r="M290" i="4"/>
  <c r="M291" i="4"/>
  <c r="M292" i="4"/>
  <c r="M293" i="4"/>
  <c r="M294" i="4"/>
  <c r="M295" i="4"/>
  <c r="M296" i="4"/>
  <c r="M297" i="4"/>
  <c r="M298" i="4"/>
  <c r="M299" i="4"/>
  <c r="M300" i="4"/>
  <c r="M2" i="4"/>
  <c r="EL266" i="12" l="1"/>
  <c r="EL267" i="12"/>
  <c r="EL268" i="12"/>
  <c r="EL244" i="12"/>
  <c r="EL180" i="12"/>
  <c r="EL52" i="12"/>
  <c r="EL224" i="12"/>
  <c r="EL64" i="12"/>
  <c r="EL186" i="12"/>
  <c r="EL252" i="12"/>
  <c r="EL44" i="12"/>
  <c r="EL143" i="12"/>
  <c r="EL73" i="12"/>
  <c r="EL275" i="12"/>
  <c r="EL262" i="12"/>
  <c r="EL185" i="12"/>
  <c r="EL211" i="12"/>
  <c r="EL209" i="12"/>
  <c r="EL238" i="12"/>
  <c r="EL120" i="12"/>
  <c r="EL57" i="12"/>
  <c r="EL92" i="12"/>
  <c r="EL77" i="12"/>
  <c r="EL86" i="12"/>
  <c r="EL184" i="12"/>
  <c r="EL56" i="12"/>
  <c r="EL247" i="12"/>
  <c r="EL178" i="12"/>
  <c r="EL283" i="12"/>
  <c r="EL194" i="12"/>
  <c r="EL237" i="12"/>
  <c r="EL241" i="12"/>
  <c r="EL270" i="12"/>
  <c r="EL282" i="12"/>
  <c r="F281" i="18"/>
  <c r="F281" i="8"/>
  <c r="F281" i="14"/>
  <c r="F275" i="18"/>
  <c r="F275" i="8"/>
  <c r="F275" i="14"/>
  <c r="F265" i="18"/>
  <c r="F265" i="8"/>
  <c r="G265" i="19" s="1"/>
  <c r="F265" i="14"/>
  <c r="F267" i="18"/>
  <c r="F267" i="8"/>
  <c r="G267" i="19" s="1"/>
  <c r="F267" i="14"/>
  <c r="F273" i="18"/>
  <c r="F273" i="14"/>
  <c r="F273" i="8"/>
  <c r="G273" i="19" s="1"/>
  <c r="F267" i="13"/>
  <c r="B267" i="13" s="1"/>
  <c r="C269" i="18"/>
  <c r="D269" i="18"/>
  <c r="B269" i="18"/>
  <c r="H269" i="18"/>
  <c r="A269" i="18"/>
  <c r="G269" i="18"/>
  <c r="E269" i="18"/>
  <c r="J269" i="18" s="1"/>
  <c r="C277" i="14"/>
  <c r="D277" i="14"/>
  <c r="B277" i="14"/>
  <c r="A277" i="14"/>
  <c r="E277" i="14"/>
  <c r="G277" i="14"/>
  <c r="S277" i="14"/>
  <c r="T277" i="14"/>
  <c r="V277" i="14"/>
  <c r="K277" i="14"/>
  <c r="W277" i="14"/>
  <c r="H277" i="14"/>
  <c r="I277" i="14"/>
  <c r="U277" i="14"/>
  <c r="I268" i="8"/>
  <c r="H268" i="8"/>
  <c r="J268" i="8"/>
  <c r="G268" i="8"/>
  <c r="H268" i="19" s="1"/>
  <c r="K268" i="8"/>
  <c r="E268" i="8"/>
  <c r="F268" i="19" s="1"/>
  <c r="L268" i="8"/>
  <c r="C268" i="8"/>
  <c r="M268" i="8"/>
  <c r="X268" i="8"/>
  <c r="B268" i="8"/>
  <c r="C268" i="19" s="1"/>
  <c r="U268" i="8"/>
  <c r="I268" i="19" s="1"/>
  <c r="D268" i="8"/>
  <c r="E268" i="19" s="1"/>
  <c r="B276" i="18"/>
  <c r="C276" i="18"/>
  <c r="D276" i="18"/>
  <c r="E276" i="18"/>
  <c r="J276" i="18" s="1"/>
  <c r="H276" i="18"/>
  <c r="A276" i="18"/>
  <c r="G276" i="18"/>
  <c r="A282" i="14"/>
  <c r="G282" i="14"/>
  <c r="U282" i="14"/>
  <c r="V282" i="14"/>
  <c r="H282" i="14"/>
  <c r="T282" i="14"/>
  <c r="I282" i="14"/>
  <c r="K282" i="14"/>
  <c r="W282" i="14"/>
  <c r="S282" i="14"/>
  <c r="E282" i="14"/>
  <c r="C282" i="14"/>
  <c r="D282" i="14"/>
  <c r="B282" i="14"/>
  <c r="C271" i="14"/>
  <c r="D271" i="14"/>
  <c r="B271" i="14"/>
  <c r="G271" i="14"/>
  <c r="A271" i="14"/>
  <c r="W271" i="14"/>
  <c r="I271" i="14"/>
  <c r="U271" i="14"/>
  <c r="V271" i="14"/>
  <c r="H271" i="14"/>
  <c r="T271" i="14"/>
  <c r="K271" i="14"/>
  <c r="E271" i="14"/>
  <c r="S271" i="14"/>
  <c r="A279" i="18"/>
  <c r="G279" i="18"/>
  <c r="H279" i="18"/>
  <c r="E279" i="18"/>
  <c r="J279" i="18" s="1"/>
  <c r="C279" i="18"/>
  <c r="D279" i="18"/>
  <c r="B279" i="18"/>
  <c r="F266" i="18"/>
  <c r="F266" i="14"/>
  <c r="F266" i="8"/>
  <c r="G266" i="19" s="1"/>
  <c r="F280" i="18"/>
  <c r="F280" i="14"/>
  <c r="F280" i="8"/>
  <c r="G280" i="19" s="1"/>
  <c r="F266" i="13"/>
  <c r="D266" i="13" s="1"/>
  <c r="K278" i="8"/>
  <c r="I278" i="8"/>
  <c r="H278" i="8"/>
  <c r="J278" i="8"/>
  <c r="X278" i="8"/>
  <c r="B278" i="8"/>
  <c r="C278" i="19" s="1"/>
  <c r="G278" i="8"/>
  <c r="H278" i="19" s="1"/>
  <c r="E278" i="8"/>
  <c r="F278" i="19" s="1"/>
  <c r="D278" i="8"/>
  <c r="E278" i="19" s="1"/>
  <c r="L278" i="8"/>
  <c r="C278" i="8"/>
  <c r="M278" i="8"/>
  <c r="U278" i="8"/>
  <c r="I278" i="19" s="1"/>
  <c r="H277" i="8"/>
  <c r="U277" i="8"/>
  <c r="I277" i="19" s="1"/>
  <c r="L277" i="8"/>
  <c r="G277" i="8"/>
  <c r="H277" i="19" s="1"/>
  <c r="I277" i="8"/>
  <c r="X277" i="8"/>
  <c r="M277" i="8"/>
  <c r="E277" i="8"/>
  <c r="F277" i="19" s="1"/>
  <c r="C277" i="8"/>
  <c r="B277" i="8"/>
  <c r="C277" i="19" s="1"/>
  <c r="K277" i="8"/>
  <c r="J277" i="8"/>
  <c r="D277" i="8"/>
  <c r="E277" i="19" s="1"/>
  <c r="A268" i="18"/>
  <c r="B268" i="18"/>
  <c r="C268" i="18"/>
  <c r="D268" i="18"/>
  <c r="H268" i="18"/>
  <c r="E268" i="18"/>
  <c r="J268" i="18" s="1"/>
  <c r="G268" i="18"/>
  <c r="H272" i="8"/>
  <c r="G272" i="8"/>
  <c r="H272" i="19" s="1"/>
  <c r="L272" i="8"/>
  <c r="K272" i="8"/>
  <c r="I272" i="8"/>
  <c r="J272" i="8"/>
  <c r="E272" i="8"/>
  <c r="F272" i="19" s="1"/>
  <c r="D272" i="8"/>
  <c r="E272" i="19" s="1"/>
  <c r="B272" i="8"/>
  <c r="C272" i="19" s="1"/>
  <c r="X272" i="8"/>
  <c r="C272" i="8"/>
  <c r="M272" i="8"/>
  <c r="U272" i="8"/>
  <c r="I272" i="19" s="1"/>
  <c r="I282" i="8"/>
  <c r="E282" i="8"/>
  <c r="F282" i="19" s="1"/>
  <c r="H282" i="8"/>
  <c r="X282" i="8"/>
  <c r="L282" i="8"/>
  <c r="K282" i="8"/>
  <c r="C282" i="8"/>
  <c r="G282" i="8"/>
  <c r="H282" i="19" s="1"/>
  <c r="B282" i="8"/>
  <c r="C282" i="19" s="1"/>
  <c r="J282" i="8"/>
  <c r="D282" i="8"/>
  <c r="E282" i="19" s="1"/>
  <c r="U282" i="8"/>
  <c r="I282" i="19" s="1"/>
  <c r="M282" i="8"/>
  <c r="H271" i="18"/>
  <c r="B271" i="18"/>
  <c r="A271" i="18"/>
  <c r="D271" i="18"/>
  <c r="C271" i="18"/>
  <c r="E271" i="18"/>
  <c r="J271" i="18" s="1"/>
  <c r="G271" i="18"/>
  <c r="S264" i="14"/>
  <c r="B264" i="14"/>
  <c r="W264" i="14"/>
  <c r="D264" i="14"/>
  <c r="C264" i="14"/>
  <c r="U264" i="14"/>
  <c r="V264" i="14"/>
  <c r="I264" i="14"/>
  <c r="E264" i="14"/>
  <c r="T264" i="14"/>
  <c r="G264" i="14"/>
  <c r="A264" i="14"/>
  <c r="H264" i="14"/>
  <c r="K264" i="14"/>
  <c r="F274" i="18"/>
  <c r="F274" i="8"/>
  <c r="G274" i="19" s="1"/>
  <c r="F274" i="14"/>
  <c r="F285" i="18"/>
  <c r="F285" i="14"/>
  <c r="F285" i="8"/>
  <c r="G285" i="19" s="1"/>
  <c r="E269" i="8"/>
  <c r="F269" i="19" s="1"/>
  <c r="U269" i="8"/>
  <c r="I269" i="19" s="1"/>
  <c r="L269" i="8"/>
  <c r="G269" i="8"/>
  <c r="H269" i="19" s="1"/>
  <c r="B269" i="8"/>
  <c r="C269" i="19" s="1"/>
  <c r="D269" i="8"/>
  <c r="E269" i="19" s="1"/>
  <c r="M269" i="8"/>
  <c r="C269" i="8"/>
  <c r="K269" i="8"/>
  <c r="J269" i="8"/>
  <c r="X269" i="8"/>
  <c r="H269" i="8"/>
  <c r="I269" i="8"/>
  <c r="B278" i="14"/>
  <c r="C278" i="14"/>
  <c r="D278" i="14"/>
  <c r="T278" i="14"/>
  <c r="G278" i="14"/>
  <c r="U278" i="14"/>
  <c r="K278" i="14"/>
  <c r="A278" i="14"/>
  <c r="W278" i="14"/>
  <c r="H278" i="14"/>
  <c r="E278" i="14"/>
  <c r="V278" i="14"/>
  <c r="S278" i="14"/>
  <c r="I278" i="14"/>
  <c r="C277" i="18"/>
  <c r="D277" i="18"/>
  <c r="B277" i="18"/>
  <c r="G277" i="18"/>
  <c r="H277" i="18"/>
  <c r="A277" i="18"/>
  <c r="E277" i="18"/>
  <c r="J277" i="18" s="1"/>
  <c r="I277" i="18" s="1"/>
  <c r="K277" i="18" s="1"/>
  <c r="D276" i="14"/>
  <c r="C276" i="14"/>
  <c r="B276" i="14"/>
  <c r="A276" i="14"/>
  <c r="S276" i="14"/>
  <c r="T276" i="14"/>
  <c r="H276" i="14"/>
  <c r="U276" i="14"/>
  <c r="I276" i="14"/>
  <c r="G276" i="14"/>
  <c r="W276" i="14"/>
  <c r="E276" i="14"/>
  <c r="V276" i="14"/>
  <c r="K276" i="14"/>
  <c r="G272" i="14"/>
  <c r="H272" i="14"/>
  <c r="V272" i="14"/>
  <c r="E272" i="14"/>
  <c r="T272" i="14"/>
  <c r="U272" i="14"/>
  <c r="S272" i="14"/>
  <c r="D272" i="14"/>
  <c r="B272" i="14"/>
  <c r="W272" i="14"/>
  <c r="C272" i="14"/>
  <c r="K272" i="14"/>
  <c r="I272" i="14"/>
  <c r="A272" i="14"/>
  <c r="C282" i="18"/>
  <c r="D282" i="18"/>
  <c r="B282" i="18"/>
  <c r="I282" i="18"/>
  <c r="J282" i="18"/>
  <c r="L282" i="18" s="1"/>
  <c r="E282" i="18"/>
  <c r="G282" i="18"/>
  <c r="H282" i="18"/>
  <c r="A282" i="18"/>
  <c r="K279" i="8"/>
  <c r="X279" i="8"/>
  <c r="I279" i="8"/>
  <c r="H279" i="8"/>
  <c r="D279" i="8"/>
  <c r="E279" i="19" s="1"/>
  <c r="B279" i="8"/>
  <c r="C279" i="19" s="1"/>
  <c r="G279" i="8"/>
  <c r="H279" i="19" s="1"/>
  <c r="J279" i="8"/>
  <c r="M279" i="8"/>
  <c r="C279" i="8"/>
  <c r="L279" i="8"/>
  <c r="E279" i="8"/>
  <c r="F279" i="19" s="1"/>
  <c r="U279" i="8"/>
  <c r="I279" i="19" s="1"/>
  <c r="D264" i="8"/>
  <c r="E264" i="19" s="1"/>
  <c r="B264" i="8"/>
  <c r="C264" i="19" s="1"/>
  <c r="C264" i="8"/>
  <c r="X264" i="8"/>
  <c r="L264" i="8"/>
  <c r="E264" i="8"/>
  <c r="F264" i="19" s="1"/>
  <c r="I264" i="8"/>
  <c r="K264" i="8"/>
  <c r="J264" i="8"/>
  <c r="U264" i="8"/>
  <c r="I264" i="19" s="1"/>
  <c r="G264" i="8"/>
  <c r="H264" i="19" s="1"/>
  <c r="H264" i="8"/>
  <c r="M264" i="8"/>
  <c r="F284" i="18"/>
  <c r="F284" i="14"/>
  <c r="F284" i="8"/>
  <c r="G284" i="19" s="1"/>
  <c r="F283" i="18"/>
  <c r="F283" i="14"/>
  <c r="F283" i="8"/>
  <c r="F270" i="18"/>
  <c r="F270" i="8"/>
  <c r="F270" i="14"/>
  <c r="F275" i="13"/>
  <c r="D275" i="13" s="1"/>
  <c r="B269" i="14"/>
  <c r="C269" i="14"/>
  <c r="D269" i="14"/>
  <c r="K269" i="14"/>
  <c r="E269" i="14"/>
  <c r="I269" i="14"/>
  <c r="G269" i="14"/>
  <c r="V269" i="14"/>
  <c r="T269" i="14"/>
  <c r="W269" i="14"/>
  <c r="S269" i="14"/>
  <c r="H269" i="14"/>
  <c r="A269" i="14"/>
  <c r="U269" i="14"/>
  <c r="E278" i="18"/>
  <c r="G278" i="18"/>
  <c r="J278" i="18"/>
  <c r="L278" i="18" s="1"/>
  <c r="H278" i="18"/>
  <c r="A278" i="18"/>
  <c r="C278" i="18"/>
  <c r="D278" i="18"/>
  <c r="B278" i="18"/>
  <c r="I278" i="18"/>
  <c r="B268" i="14"/>
  <c r="D268" i="14"/>
  <c r="C268" i="14"/>
  <c r="H268" i="14"/>
  <c r="A268" i="14"/>
  <c r="W268" i="14"/>
  <c r="U268" i="14"/>
  <c r="E268" i="14"/>
  <c r="S268" i="14"/>
  <c r="V268" i="14"/>
  <c r="G268" i="14"/>
  <c r="K268" i="14"/>
  <c r="I268" i="14"/>
  <c r="T268" i="14"/>
  <c r="L276" i="8"/>
  <c r="H276" i="8"/>
  <c r="I276" i="8"/>
  <c r="K276" i="8"/>
  <c r="J276" i="8"/>
  <c r="E276" i="8"/>
  <c r="F276" i="19" s="1"/>
  <c r="G276" i="8"/>
  <c r="H276" i="19" s="1"/>
  <c r="X276" i="8"/>
  <c r="D276" i="8"/>
  <c r="E276" i="19" s="1"/>
  <c r="B276" i="8"/>
  <c r="C276" i="19" s="1"/>
  <c r="M276" i="8"/>
  <c r="C276" i="8"/>
  <c r="U276" i="8"/>
  <c r="I276" i="19" s="1"/>
  <c r="B272" i="18"/>
  <c r="D272" i="18"/>
  <c r="C272" i="18"/>
  <c r="A272" i="18"/>
  <c r="G272" i="18"/>
  <c r="E272" i="18"/>
  <c r="J272" i="18" s="1"/>
  <c r="H272" i="18"/>
  <c r="C271" i="8"/>
  <c r="I271" i="8"/>
  <c r="D271" i="8"/>
  <c r="E271" i="19" s="1"/>
  <c r="K271" i="8"/>
  <c r="B271" i="8"/>
  <c r="C271" i="19" s="1"/>
  <c r="X271" i="8"/>
  <c r="M271" i="8"/>
  <c r="U271" i="8"/>
  <c r="I271" i="19" s="1"/>
  <c r="H271" i="8"/>
  <c r="G271" i="8"/>
  <c r="H271" i="19" s="1"/>
  <c r="L271" i="8"/>
  <c r="E271" i="8"/>
  <c r="F271" i="19" s="1"/>
  <c r="J271" i="8"/>
  <c r="D279" i="14"/>
  <c r="C279" i="14"/>
  <c r="B279" i="14"/>
  <c r="H279" i="14"/>
  <c r="I279" i="14"/>
  <c r="U279" i="14"/>
  <c r="T279" i="14"/>
  <c r="G279" i="14"/>
  <c r="S279" i="14"/>
  <c r="K279" i="14"/>
  <c r="E279" i="14"/>
  <c r="W279" i="14"/>
  <c r="V279" i="14"/>
  <c r="A279" i="14"/>
  <c r="C264" i="18"/>
  <c r="B264" i="18"/>
  <c r="D264" i="18"/>
  <c r="E264" i="18"/>
  <c r="J264" i="18" s="1"/>
  <c r="G264" i="18"/>
  <c r="H264" i="18"/>
  <c r="A264" i="18"/>
  <c r="EL258" i="12"/>
  <c r="EL207" i="12"/>
  <c r="EL260" i="12"/>
  <c r="EL164" i="12"/>
  <c r="EL116" i="12"/>
  <c r="EL111" i="12"/>
  <c r="EL89" i="12"/>
  <c r="EL124" i="12"/>
  <c r="EL138" i="12"/>
  <c r="EL79" i="12"/>
  <c r="EL170" i="12"/>
  <c r="EL249" i="12"/>
  <c r="EL183" i="12"/>
  <c r="EL107" i="12"/>
  <c r="EL134" i="12"/>
  <c r="EL70" i="12"/>
  <c r="EL165" i="12"/>
  <c r="EL139" i="12"/>
  <c r="EL87" i="12"/>
  <c r="EL223" i="12"/>
  <c r="EL154" i="12"/>
  <c r="EL121" i="12"/>
  <c r="EL152" i="12"/>
  <c r="EL236" i="12"/>
  <c r="EL174" i="12"/>
  <c r="EL214" i="12"/>
  <c r="EL118" i="12"/>
  <c r="F263" i="18"/>
  <c r="F263" i="14"/>
  <c r="F263" i="8"/>
  <c r="G263" i="19" s="1"/>
  <c r="F262" i="18"/>
  <c r="F262" i="8"/>
  <c r="G262" i="19" s="1"/>
  <c r="F262" i="14"/>
  <c r="C261" i="8"/>
  <c r="J261" i="8"/>
  <c r="D261" i="8"/>
  <c r="E261" i="19" s="1"/>
  <c r="U261" i="8"/>
  <c r="I261" i="19" s="1"/>
  <c r="X261" i="8"/>
  <c r="L261" i="8"/>
  <c r="G261" i="8"/>
  <c r="H261" i="19" s="1"/>
  <c r="K261" i="8"/>
  <c r="I261" i="8"/>
  <c r="H261" i="8"/>
  <c r="B261" i="8"/>
  <c r="C261" i="19" s="1"/>
  <c r="M261" i="8"/>
  <c r="E261" i="8"/>
  <c r="F261" i="19" s="1"/>
  <c r="C261" i="14"/>
  <c r="H261" i="14"/>
  <c r="T261" i="14"/>
  <c r="S261" i="14"/>
  <c r="K261" i="14"/>
  <c r="I261" i="14"/>
  <c r="W261" i="14"/>
  <c r="U261" i="14"/>
  <c r="B261" i="14"/>
  <c r="D261" i="14"/>
  <c r="E261" i="14"/>
  <c r="A261" i="14"/>
  <c r="G261" i="14"/>
  <c r="V261" i="14"/>
  <c r="C261" i="18"/>
  <c r="H261" i="18"/>
  <c r="E261" i="18"/>
  <c r="G261" i="18"/>
  <c r="B261" i="18"/>
  <c r="D261" i="18"/>
  <c r="J261" i="18"/>
  <c r="I261" i="18" s="1"/>
  <c r="K261" i="18" s="1"/>
  <c r="A261" i="18"/>
  <c r="F260" i="18"/>
  <c r="F260" i="8"/>
  <c r="F260" i="14"/>
  <c r="F260" i="13"/>
  <c r="B260" i="13" s="1"/>
  <c r="F259" i="18"/>
  <c r="F259" i="8"/>
  <c r="G259" i="19" s="1"/>
  <c r="F259" i="14"/>
  <c r="F258" i="18"/>
  <c r="F258" i="14"/>
  <c r="F258" i="8"/>
  <c r="F258" i="13"/>
  <c r="B258" i="13" s="1"/>
  <c r="X257" i="8"/>
  <c r="D257" i="8"/>
  <c r="E257" i="19" s="1"/>
  <c r="H257" i="8"/>
  <c r="K257" i="8"/>
  <c r="U257" i="8"/>
  <c r="I257" i="19" s="1"/>
  <c r="M257" i="8"/>
  <c r="C257" i="8"/>
  <c r="L257" i="8"/>
  <c r="E257" i="8"/>
  <c r="F257" i="19" s="1"/>
  <c r="I257" i="8"/>
  <c r="G257" i="8"/>
  <c r="H257" i="19" s="1"/>
  <c r="J257" i="8"/>
  <c r="B257" i="8"/>
  <c r="C257" i="19" s="1"/>
  <c r="S257" i="14"/>
  <c r="C257" i="14"/>
  <c r="K257" i="14"/>
  <c r="U257" i="14"/>
  <c r="A257" i="14"/>
  <c r="W257" i="14"/>
  <c r="E257" i="14"/>
  <c r="B257" i="14"/>
  <c r="D257" i="14"/>
  <c r="G257" i="14"/>
  <c r="T257" i="14"/>
  <c r="H257" i="14"/>
  <c r="V257" i="14"/>
  <c r="I257" i="14"/>
  <c r="B257" i="18"/>
  <c r="D257" i="18"/>
  <c r="E257" i="18"/>
  <c r="J257" i="18" s="1"/>
  <c r="I257" i="18" s="1"/>
  <c r="H257" i="18"/>
  <c r="C257" i="18"/>
  <c r="A257" i="18"/>
  <c r="G257" i="18"/>
  <c r="K256" i="14"/>
  <c r="G256" i="14"/>
  <c r="T256" i="14"/>
  <c r="U256" i="14"/>
  <c r="B256" i="14"/>
  <c r="A256" i="14"/>
  <c r="H256" i="14"/>
  <c r="S256" i="14"/>
  <c r="I256" i="14"/>
  <c r="V256" i="14"/>
  <c r="W256" i="14"/>
  <c r="E256" i="14"/>
  <c r="D256" i="14"/>
  <c r="C256" i="14"/>
  <c r="D256" i="18"/>
  <c r="E256" i="18"/>
  <c r="J256" i="18" s="1"/>
  <c r="G256" i="18"/>
  <c r="C256" i="18"/>
  <c r="B256" i="18"/>
  <c r="H256" i="18"/>
  <c r="A256" i="18"/>
  <c r="J256" i="8"/>
  <c r="K256" i="8"/>
  <c r="D256" i="8"/>
  <c r="E256" i="19" s="1"/>
  <c r="B256" i="8"/>
  <c r="C256" i="19" s="1"/>
  <c r="M256" i="8"/>
  <c r="E256" i="8"/>
  <c r="F256" i="19" s="1"/>
  <c r="I256" i="8"/>
  <c r="H256" i="8"/>
  <c r="G256" i="8"/>
  <c r="H256" i="19" s="1"/>
  <c r="L256" i="8"/>
  <c r="X256" i="8"/>
  <c r="C256" i="8"/>
  <c r="U256" i="8"/>
  <c r="I256" i="19" s="1"/>
  <c r="F255" i="18"/>
  <c r="F255" i="8"/>
  <c r="G255" i="19" s="1"/>
  <c r="F255" i="14"/>
  <c r="B254" i="14"/>
  <c r="D254" i="14"/>
  <c r="I254" i="14"/>
  <c r="K254" i="14"/>
  <c r="S254" i="14"/>
  <c r="A254" i="14"/>
  <c r="W254" i="14"/>
  <c r="U254" i="14"/>
  <c r="V254" i="14"/>
  <c r="C254" i="14"/>
  <c r="G254" i="14"/>
  <c r="H254" i="14"/>
  <c r="T254" i="14"/>
  <c r="E254" i="14"/>
  <c r="G254" i="8"/>
  <c r="H254" i="19" s="1"/>
  <c r="E254" i="8"/>
  <c r="F254" i="19" s="1"/>
  <c r="X254" i="8"/>
  <c r="C254" i="8"/>
  <c r="M254" i="8"/>
  <c r="H254" i="8"/>
  <c r="K254" i="8"/>
  <c r="I254" i="8"/>
  <c r="J254" i="8"/>
  <c r="L254" i="8"/>
  <c r="D254" i="8"/>
  <c r="E254" i="19" s="1"/>
  <c r="B254" i="8"/>
  <c r="C254" i="19" s="1"/>
  <c r="U254" i="8"/>
  <c r="I254" i="19" s="1"/>
  <c r="J254" i="18"/>
  <c r="L254" i="18" s="1"/>
  <c r="C254" i="18"/>
  <c r="B254" i="18"/>
  <c r="H254" i="18"/>
  <c r="K254" i="18"/>
  <c r="A254" i="18"/>
  <c r="D254" i="18"/>
  <c r="G254" i="18"/>
  <c r="E254" i="18"/>
  <c r="I254" i="18"/>
  <c r="F246" i="18"/>
  <c r="F246" i="8"/>
  <c r="G246" i="19" s="1"/>
  <c r="F246" i="14"/>
  <c r="F240" i="18"/>
  <c r="F240" i="8"/>
  <c r="G240" i="19" s="1"/>
  <c r="F240" i="14"/>
  <c r="F239" i="18"/>
  <c r="F239" i="8"/>
  <c r="F239" i="14"/>
  <c r="X252" i="8"/>
  <c r="C252" i="8"/>
  <c r="D252" i="8"/>
  <c r="E252" i="19" s="1"/>
  <c r="B252" i="8"/>
  <c r="C252" i="19" s="1"/>
  <c r="K252" i="8"/>
  <c r="G252" i="8"/>
  <c r="H252" i="19" s="1"/>
  <c r="H252" i="8"/>
  <c r="U252" i="8"/>
  <c r="I252" i="19" s="1"/>
  <c r="M252" i="8"/>
  <c r="I252" i="8"/>
  <c r="L252" i="8"/>
  <c r="E252" i="8"/>
  <c r="J252" i="8"/>
  <c r="K234" i="14"/>
  <c r="S234" i="14"/>
  <c r="U234" i="14"/>
  <c r="A234" i="14"/>
  <c r="E234" i="14"/>
  <c r="G234" i="14"/>
  <c r="V234" i="14"/>
  <c r="T234" i="14"/>
  <c r="C234" i="14"/>
  <c r="I234" i="14"/>
  <c r="W234" i="14"/>
  <c r="H234" i="14"/>
  <c r="B234" i="14"/>
  <c r="D234" i="14"/>
  <c r="C234" i="18"/>
  <c r="B234" i="18"/>
  <c r="I234" i="18"/>
  <c r="J234" i="18"/>
  <c r="L234" i="18" s="1"/>
  <c r="G234" i="18"/>
  <c r="E234" i="18"/>
  <c r="D234" i="18"/>
  <c r="A234" i="18"/>
  <c r="H234" i="18"/>
  <c r="E244" i="8"/>
  <c r="X244" i="8"/>
  <c r="B244" i="8"/>
  <c r="C244" i="19" s="1"/>
  <c r="D244" i="8"/>
  <c r="E244" i="19" s="1"/>
  <c r="C244" i="8"/>
  <c r="H244" i="8"/>
  <c r="G244" i="8"/>
  <c r="H244" i="19" s="1"/>
  <c r="K244" i="8"/>
  <c r="J244" i="8"/>
  <c r="I244" i="8"/>
  <c r="U244" i="8"/>
  <c r="I244" i="19" s="1"/>
  <c r="M244" i="8"/>
  <c r="L244" i="8"/>
  <c r="K238" i="8"/>
  <c r="D238" i="8"/>
  <c r="E238" i="19" s="1"/>
  <c r="B238" i="8"/>
  <c r="C238" i="19" s="1"/>
  <c r="X238" i="8"/>
  <c r="C238" i="8"/>
  <c r="L238" i="8"/>
  <c r="J238" i="8"/>
  <c r="H238" i="8"/>
  <c r="E238" i="8"/>
  <c r="F238" i="19" s="1"/>
  <c r="G238" i="8"/>
  <c r="H238" i="19" s="1"/>
  <c r="I238" i="8"/>
  <c r="U238" i="8"/>
  <c r="I238" i="19" s="1"/>
  <c r="M238" i="8"/>
  <c r="C238" i="18"/>
  <c r="D238" i="18"/>
  <c r="B238" i="18"/>
  <c r="A238" i="18"/>
  <c r="E238" i="18"/>
  <c r="I238" i="18"/>
  <c r="H238" i="18"/>
  <c r="J238" i="18"/>
  <c r="L238" i="18" s="1"/>
  <c r="G238" i="18"/>
  <c r="C253" i="14"/>
  <c r="B253" i="14"/>
  <c r="D253" i="14"/>
  <c r="I253" i="14"/>
  <c r="G253" i="14"/>
  <c r="T253" i="14"/>
  <c r="W253" i="14"/>
  <c r="K253" i="14"/>
  <c r="S253" i="14"/>
  <c r="V253" i="14"/>
  <c r="A253" i="14"/>
  <c r="U253" i="14"/>
  <c r="H253" i="14"/>
  <c r="E253" i="14"/>
  <c r="G237" i="8"/>
  <c r="H237" i="19" s="1"/>
  <c r="X237" i="8"/>
  <c r="M237" i="8"/>
  <c r="J237" i="8"/>
  <c r="D237" i="8"/>
  <c r="E237" i="19" s="1"/>
  <c r="U237" i="8"/>
  <c r="I237" i="19" s="1"/>
  <c r="I237" i="8"/>
  <c r="E237" i="8"/>
  <c r="F237" i="19" s="1"/>
  <c r="C237" i="8"/>
  <c r="H237" i="8"/>
  <c r="B237" i="8"/>
  <c r="C237" i="19" s="1"/>
  <c r="L237" i="8"/>
  <c r="K237" i="8"/>
  <c r="C237" i="18"/>
  <c r="B237" i="18"/>
  <c r="D237" i="18"/>
  <c r="I237" i="18"/>
  <c r="J237" i="18"/>
  <c r="L237" i="18" s="1"/>
  <c r="E237" i="18"/>
  <c r="H237" i="18"/>
  <c r="G237" i="18"/>
  <c r="A237" i="18"/>
  <c r="U245" i="8"/>
  <c r="I245" i="19" s="1"/>
  <c r="I245" i="8"/>
  <c r="X245" i="8"/>
  <c r="D245" i="8"/>
  <c r="E245" i="19" s="1"/>
  <c r="J245" i="8"/>
  <c r="G245" i="8"/>
  <c r="H245" i="19" s="1"/>
  <c r="H245" i="8"/>
  <c r="M245" i="8"/>
  <c r="E245" i="8"/>
  <c r="F245" i="19" s="1"/>
  <c r="C245" i="8"/>
  <c r="K245" i="8"/>
  <c r="L245" i="8"/>
  <c r="B245" i="8"/>
  <c r="C245" i="19" s="1"/>
  <c r="B235" i="8"/>
  <c r="C235" i="19" s="1"/>
  <c r="I235" i="8"/>
  <c r="D235" i="8"/>
  <c r="E235" i="19" s="1"/>
  <c r="U235" i="8"/>
  <c r="I235" i="19" s="1"/>
  <c r="H235" i="8"/>
  <c r="E235" i="8"/>
  <c r="F235" i="19" s="1"/>
  <c r="K235" i="8"/>
  <c r="J235" i="8"/>
  <c r="M235" i="8"/>
  <c r="X235" i="8"/>
  <c r="C235" i="8"/>
  <c r="G235" i="8"/>
  <c r="H235" i="19" s="1"/>
  <c r="L235" i="8"/>
  <c r="B235" i="18"/>
  <c r="D235" i="18"/>
  <c r="C235" i="18"/>
  <c r="H235" i="18"/>
  <c r="E235" i="18"/>
  <c r="J235" i="18" s="1"/>
  <c r="G235" i="18"/>
  <c r="A235" i="18"/>
  <c r="H243" i="8"/>
  <c r="E243" i="8"/>
  <c r="F243" i="19" s="1"/>
  <c r="J243" i="8"/>
  <c r="D243" i="8"/>
  <c r="E243" i="19" s="1"/>
  <c r="U243" i="8"/>
  <c r="I243" i="19" s="1"/>
  <c r="L243" i="8"/>
  <c r="B243" i="8"/>
  <c r="C243" i="19" s="1"/>
  <c r="K243" i="8"/>
  <c r="X243" i="8"/>
  <c r="M243" i="8"/>
  <c r="G243" i="8"/>
  <c r="H243" i="19" s="1"/>
  <c r="I243" i="8"/>
  <c r="C243" i="8"/>
  <c r="G250" i="8"/>
  <c r="H250" i="19" s="1"/>
  <c r="K250" i="8"/>
  <c r="H250" i="8"/>
  <c r="E250" i="8"/>
  <c r="L250" i="8"/>
  <c r="J250" i="8"/>
  <c r="I250" i="8"/>
  <c r="X250" i="8"/>
  <c r="C250" i="8"/>
  <c r="D250" i="8"/>
  <c r="E250" i="19" s="1"/>
  <c r="B250" i="8"/>
  <c r="C250" i="19" s="1"/>
  <c r="U250" i="8"/>
  <c r="I250" i="19" s="1"/>
  <c r="M250" i="8"/>
  <c r="C250" i="18"/>
  <c r="D250" i="18"/>
  <c r="B250" i="18"/>
  <c r="G250" i="18"/>
  <c r="H250" i="18"/>
  <c r="A250" i="18"/>
  <c r="E250" i="18"/>
  <c r="J250" i="18" s="1"/>
  <c r="A242" i="14"/>
  <c r="K242" i="14"/>
  <c r="U242" i="14"/>
  <c r="G242" i="14"/>
  <c r="E242" i="14"/>
  <c r="W242" i="14"/>
  <c r="T242" i="14"/>
  <c r="I242" i="14"/>
  <c r="V242" i="14"/>
  <c r="S242" i="14"/>
  <c r="C242" i="14"/>
  <c r="H242" i="14"/>
  <c r="B242" i="14"/>
  <c r="D242" i="14"/>
  <c r="B241" i="14"/>
  <c r="D241" i="14"/>
  <c r="C241" i="14"/>
  <c r="S241" i="14"/>
  <c r="A241" i="14"/>
  <c r="G241" i="14"/>
  <c r="T241" i="14"/>
  <c r="W241" i="14"/>
  <c r="I241" i="14"/>
  <c r="V241" i="14"/>
  <c r="E241" i="14"/>
  <c r="K241" i="14"/>
  <c r="H241" i="14"/>
  <c r="U241" i="14"/>
  <c r="B241" i="18"/>
  <c r="C241" i="18"/>
  <c r="D241" i="18"/>
  <c r="G241" i="18"/>
  <c r="A241" i="18"/>
  <c r="E241" i="18"/>
  <c r="J241" i="18" s="1"/>
  <c r="I241" i="18" s="1"/>
  <c r="H241" i="18"/>
  <c r="G247" i="8"/>
  <c r="H247" i="19" s="1"/>
  <c r="K247" i="8"/>
  <c r="J247" i="8"/>
  <c r="X247" i="8"/>
  <c r="U247" i="8"/>
  <c r="I247" i="19" s="1"/>
  <c r="C247" i="8"/>
  <c r="H247" i="8"/>
  <c r="L247" i="8"/>
  <c r="D247" i="8"/>
  <c r="E247" i="19" s="1"/>
  <c r="B247" i="8"/>
  <c r="C247" i="19" s="1"/>
  <c r="M247" i="8"/>
  <c r="I247" i="8"/>
  <c r="E247" i="8"/>
  <c r="F236" i="18"/>
  <c r="F236" i="14"/>
  <c r="F236" i="8"/>
  <c r="F249" i="18"/>
  <c r="F249" i="8"/>
  <c r="F249" i="14"/>
  <c r="F251" i="18"/>
  <c r="F251" i="14"/>
  <c r="F251" i="8"/>
  <c r="G251" i="19" s="1"/>
  <c r="F248" i="18"/>
  <c r="F248" i="8"/>
  <c r="G248" i="19" s="1"/>
  <c r="F248" i="14"/>
  <c r="F249" i="13"/>
  <c r="B249" i="13" s="1"/>
  <c r="B252" i="14"/>
  <c r="D252" i="14"/>
  <c r="C252" i="14"/>
  <c r="H252" i="14"/>
  <c r="A252" i="14"/>
  <c r="E252" i="14"/>
  <c r="G252" i="14"/>
  <c r="T252" i="14"/>
  <c r="I252" i="14"/>
  <c r="W252" i="14"/>
  <c r="U252" i="14"/>
  <c r="K252" i="14"/>
  <c r="V252" i="14"/>
  <c r="S252" i="14"/>
  <c r="E252" i="18"/>
  <c r="J252" i="18" s="1"/>
  <c r="I252" i="18" s="1"/>
  <c r="D252" i="18"/>
  <c r="C252" i="18"/>
  <c r="B252" i="18"/>
  <c r="H252" i="18"/>
  <c r="G252" i="18"/>
  <c r="A252" i="18"/>
  <c r="I234" i="8"/>
  <c r="H234" i="8"/>
  <c r="G234" i="8"/>
  <c r="H234" i="19" s="1"/>
  <c r="J234" i="8"/>
  <c r="D234" i="8"/>
  <c r="E234" i="19" s="1"/>
  <c r="B234" i="8"/>
  <c r="C234" i="19" s="1"/>
  <c r="L234" i="8"/>
  <c r="E234" i="8"/>
  <c r="F234" i="19" s="1"/>
  <c r="K234" i="8"/>
  <c r="X234" i="8"/>
  <c r="C234" i="8"/>
  <c r="U234" i="8"/>
  <c r="I234" i="19" s="1"/>
  <c r="M234" i="8"/>
  <c r="B244" i="14"/>
  <c r="T244" i="14"/>
  <c r="E244" i="14"/>
  <c r="S244" i="14"/>
  <c r="I244" i="14"/>
  <c r="U244" i="14"/>
  <c r="D244" i="14"/>
  <c r="C244" i="14"/>
  <c r="K244" i="14"/>
  <c r="V244" i="14"/>
  <c r="H244" i="14"/>
  <c r="A244" i="14"/>
  <c r="G244" i="14"/>
  <c r="W244" i="14"/>
  <c r="A244" i="18"/>
  <c r="E244" i="18"/>
  <c r="H244" i="18"/>
  <c r="B244" i="18"/>
  <c r="D244" i="18"/>
  <c r="J244" i="18"/>
  <c r="L244" i="18" s="1"/>
  <c r="G244" i="18"/>
  <c r="C244" i="18"/>
  <c r="I244" i="18"/>
  <c r="B238" i="14"/>
  <c r="D238" i="14"/>
  <c r="C238" i="14"/>
  <c r="A238" i="14"/>
  <c r="T238" i="14"/>
  <c r="H238" i="14"/>
  <c r="I238" i="14"/>
  <c r="K238" i="14"/>
  <c r="W238" i="14"/>
  <c r="E238" i="14"/>
  <c r="S238" i="14"/>
  <c r="V238" i="14"/>
  <c r="G238" i="14"/>
  <c r="U238" i="14"/>
  <c r="K253" i="8"/>
  <c r="D253" i="8"/>
  <c r="E253" i="19" s="1"/>
  <c r="B253" i="8"/>
  <c r="C253" i="19" s="1"/>
  <c r="E253" i="8"/>
  <c r="H253" i="8"/>
  <c r="L253" i="8"/>
  <c r="X253" i="8"/>
  <c r="I253" i="8"/>
  <c r="G253" i="8"/>
  <c r="H253" i="19" s="1"/>
  <c r="C253" i="8"/>
  <c r="J253" i="8"/>
  <c r="M253" i="8"/>
  <c r="U253" i="8"/>
  <c r="I253" i="19" s="1"/>
  <c r="B253" i="18"/>
  <c r="D253" i="18"/>
  <c r="C253" i="18"/>
  <c r="H253" i="18"/>
  <c r="G253" i="18"/>
  <c r="A253" i="18"/>
  <c r="E253" i="18"/>
  <c r="J253" i="18" s="1"/>
  <c r="C237" i="14"/>
  <c r="B237" i="14"/>
  <c r="D237" i="14"/>
  <c r="S237" i="14"/>
  <c r="A237" i="14"/>
  <c r="K237" i="14"/>
  <c r="I237" i="14"/>
  <c r="V237" i="14"/>
  <c r="T237" i="14"/>
  <c r="U237" i="14"/>
  <c r="H237" i="14"/>
  <c r="G237" i="14"/>
  <c r="W237" i="14"/>
  <c r="E237" i="14"/>
  <c r="C245" i="14"/>
  <c r="B245" i="14"/>
  <c r="D245" i="14"/>
  <c r="E245" i="14"/>
  <c r="T245" i="14"/>
  <c r="H245" i="14"/>
  <c r="G245" i="14"/>
  <c r="K245" i="14"/>
  <c r="V245" i="14"/>
  <c r="I245" i="14"/>
  <c r="A245" i="14"/>
  <c r="W245" i="14"/>
  <c r="S245" i="14"/>
  <c r="U245" i="14"/>
  <c r="D245" i="18"/>
  <c r="B245" i="18"/>
  <c r="C245" i="18"/>
  <c r="I245" i="18"/>
  <c r="G245" i="18"/>
  <c r="E245" i="18"/>
  <c r="H245" i="18"/>
  <c r="A245" i="18"/>
  <c r="J245" i="18"/>
  <c r="L245" i="18" s="1"/>
  <c r="A235" i="14"/>
  <c r="H235" i="14"/>
  <c r="T235" i="14"/>
  <c r="W235" i="14"/>
  <c r="G235" i="14"/>
  <c r="K235" i="14"/>
  <c r="S235" i="14"/>
  <c r="V235" i="14"/>
  <c r="U235" i="14"/>
  <c r="E235" i="14"/>
  <c r="I235" i="14"/>
  <c r="C235" i="14"/>
  <c r="B235" i="14"/>
  <c r="D235" i="14"/>
  <c r="D243" i="14"/>
  <c r="H243" i="14"/>
  <c r="A243" i="14"/>
  <c r="C243" i="14"/>
  <c r="B243" i="14"/>
  <c r="W243" i="14"/>
  <c r="T243" i="14"/>
  <c r="U243" i="14"/>
  <c r="G243" i="14"/>
  <c r="S243" i="14"/>
  <c r="V243" i="14"/>
  <c r="E243" i="14"/>
  <c r="K243" i="14"/>
  <c r="I243" i="14"/>
  <c r="D243" i="18"/>
  <c r="B243" i="18"/>
  <c r="C243" i="18"/>
  <c r="A243" i="18"/>
  <c r="H243" i="18"/>
  <c r="E243" i="18"/>
  <c r="J243" i="18" s="1"/>
  <c r="G243" i="18"/>
  <c r="C250" i="14"/>
  <c r="B250" i="14"/>
  <c r="D250" i="14"/>
  <c r="A250" i="14"/>
  <c r="K250" i="14"/>
  <c r="I250" i="14"/>
  <c r="E250" i="14"/>
  <c r="W250" i="14"/>
  <c r="U250" i="14"/>
  <c r="S250" i="14"/>
  <c r="H250" i="14"/>
  <c r="V250" i="14"/>
  <c r="G250" i="14"/>
  <c r="T250" i="14"/>
  <c r="I242" i="8"/>
  <c r="K242" i="8"/>
  <c r="D242" i="8"/>
  <c r="E242" i="19" s="1"/>
  <c r="B242" i="8"/>
  <c r="C242" i="19" s="1"/>
  <c r="E242" i="8"/>
  <c r="F242" i="19" s="1"/>
  <c r="G242" i="8"/>
  <c r="H242" i="19" s="1"/>
  <c r="J242" i="8"/>
  <c r="H242" i="8"/>
  <c r="L242" i="8"/>
  <c r="X242" i="8"/>
  <c r="C242" i="8"/>
  <c r="U242" i="8"/>
  <c r="I242" i="19" s="1"/>
  <c r="M242" i="8"/>
  <c r="C242" i="18"/>
  <c r="D242" i="18"/>
  <c r="H242" i="18"/>
  <c r="G242" i="18"/>
  <c r="E242" i="18"/>
  <c r="J242" i="18" s="1"/>
  <c r="B242" i="18"/>
  <c r="A242" i="18"/>
  <c r="G241" i="8"/>
  <c r="H241" i="19" s="1"/>
  <c r="B241" i="8"/>
  <c r="C241" i="19" s="1"/>
  <c r="M241" i="8"/>
  <c r="K241" i="8"/>
  <c r="I241" i="8"/>
  <c r="H241" i="8"/>
  <c r="E241" i="8"/>
  <c r="D241" i="8"/>
  <c r="E241" i="19" s="1"/>
  <c r="U241" i="8"/>
  <c r="I241" i="19" s="1"/>
  <c r="X241" i="8"/>
  <c r="J241" i="8"/>
  <c r="L241" i="8"/>
  <c r="C241" i="8"/>
  <c r="C247" i="14"/>
  <c r="B247" i="14"/>
  <c r="D247" i="14"/>
  <c r="H247" i="14"/>
  <c r="W247" i="14"/>
  <c r="G247" i="14"/>
  <c r="A247" i="14"/>
  <c r="U247" i="14"/>
  <c r="K247" i="14"/>
  <c r="S247" i="14"/>
  <c r="T247" i="14"/>
  <c r="I247" i="14"/>
  <c r="E247" i="14"/>
  <c r="V247" i="14"/>
  <c r="H247" i="18"/>
  <c r="A247" i="18"/>
  <c r="G247" i="18"/>
  <c r="C247" i="18"/>
  <c r="D247" i="18"/>
  <c r="B247" i="18"/>
  <c r="J247" i="18"/>
  <c r="L247" i="18" s="1"/>
  <c r="I247" i="18"/>
  <c r="E247" i="18"/>
  <c r="F233" i="18"/>
  <c r="F233" i="8"/>
  <c r="G233" i="19" s="1"/>
  <c r="F233" i="14"/>
  <c r="F232" i="18"/>
  <c r="F232" i="14"/>
  <c r="F232" i="8"/>
  <c r="G232" i="19" s="1"/>
  <c r="F231" i="18"/>
  <c r="F231" i="8"/>
  <c r="F231" i="14"/>
  <c r="F230" i="18"/>
  <c r="F230" i="14"/>
  <c r="F230" i="8"/>
  <c r="B229" i="14"/>
  <c r="D229" i="14"/>
  <c r="G229" i="14"/>
  <c r="A229" i="14"/>
  <c r="S229" i="14"/>
  <c r="U229" i="14"/>
  <c r="I229" i="14"/>
  <c r="C229" i="14"/>
  <c r="H229" i="14"/>
  <c r="E229" i="14"/>
  <c r="T229" i="14"/>
  <c r="K229" i="14"/>
  <c r="W229" i="14"/>
  <c r="V229" i="14"/>
  <c r="I229" i="8"/>
  <c r="J229" i="8"/>
  <c r="L229" i="8"/>
  <c r="B229" i="8"/>
  <c r="C229" i="19" s="1"/>
  <c r="U229" i="8"/>
  <c r="I229" i="19" s="1"/>
  <c r="C229" i="8"/>
  <c r="K229" i="8"/>
  <c r="E229" i="8"/>
  <c r="F229" i="19" s="1"/>
  <c r="G229" i="8"/>
  <c r="H229" i="19" s="1"/>
  <c r="B229" i="19" s="1"/>
  <c r="D229" i="8"/>
  <c r="E229" i="19" s="1"/>
  <c r="X229" i="8"/>
  <c r="M229" i="8"/>
  <c r="H229" i="8"/>
  <c r="C229" i="18"/>
  <c r="H229" i="18"/>
  <c r="A229" i="18"/>
  <c r="B229" i="18"/>
  <c r="D229" i="18"/>
  <c r="G229" i="18"/>
  <c r="E229" i="18"/>
  <c r="J229" i="18" s="1"/>
  <c r="H228" i="8"/>
  <c r="K228" i="8"/>
  <c r="J228" i="8"/>
  <c r="X228" i="8"/>
  <c r="B228" i="8"/>
  <c r="C228" i="19" s="1"/>
  <c r="L228" i="8"/>
  <c r="E228" i="8"/>
  <c r="F228" i="19" s="1"/>
  <c r="I228" i="8"/>
  <c r="G228" i="8"/>
  <c r="H228" i="19" s="1"/>
  <c r="D228" i="8"/>
  <c r="E228" i="19" s="1"/>
  <c r="C228" i="8"/>
  <c r="U228" i="8"/>
  <c r="I228" i="19" s="1"/>
  <c r="M228" i="8"/>
  <c r="B228" i="14"/>
  <c r="T228" i="14"/>
  <c r="E228" i="14"/>
  <c r="K228" i="14"/>
  <c r="U228" i="14"/>
  <c r="W228" i="14"/>
  <c r="D228" i="14"/>
  <c r="C228" i="14"/>
  <c r="S228" i="14"/>
  <c r="G228" i="14"/>
  <c r="A228" i="14"/>
  <c r="H228" i="14"/>
  <c r="I228" i="14"/>
  <c r="V228" i="14"/>
  <c r="C228" i="18"/>
  <c r="G228" i="18"/>
  <c r="E228" i="18"/>
  <c r="B228" i="18"/>
  <c r="D228" i="18"/>
  <c r="J228" i="18"/>
  <c r="L228" i="18" s="1"/>
  <c r="A228" i="18"/>
  <c r="H228" i="18"/>
  <c r="I228" i="18"/>
  <c r="F227" i="18"/>
  <c r="F227" i="14"/>
  <c r="F227" i="8"/>
  <c r="G227" i="19" s="1"/>
  <c r="T226" i="14"/>
  <c r="G226" i="14"/>
  <c r="W226" i="14"/>
  <c r="V226" i="14"/>
  <c r="U226" i="14"/>
  <c r="C226" i="14"/>
  <c r="E226" i="14"/>
  <c r="A226" i="14"/>
  <c r="H226" i="14"/>
  <c r="S226" i="14"/>
  <c r="K226" i="14"/>
  <c r="I226" i="14"/>
  <c r="B226" i="14"/>
  <c r="D226" i="14"/>
  <c r="D226" i="8"/>
  <c r="E226" i="19" s="1"/>
  <c r="B226" i="8"/>
  <c r="C226" i="19" s="1"/>
  <c r="J226" i="8"/>
  <c r="I226" i="8"/>
  <c r="X226" i="8"/>
  <c r="C226" i="8"/>
  <c r="U226" i="8"/>
  <c r="I226" i="19" s="1"/>
  <c r="M226" i="8"/>
  <c r="L226" i="8"/>
  <c r="K226" i="8"/>
  <c r="E226" i="8"/>
  <c r="F226" i="19" s="1"/>
  <c r="H226" i="8"/>
  <c r="G226" i="8"/>
  <c r="H226" i="19" s="1"/>
  <c r="C226" i="18"/>
  <c r="D226" i="18"/>
  <c r="I226" i="18"/>
  <c r="H226" i="18"/>
  <c r="A226" i="18"/>
  <c r="E226" i="18"/>
  <c r="B226" i="18"/>
  <c r="G226" i="18"/>
  <c r="J226" i="18"/>
  <c r="N226" i="18" s="1"/>
  <c r="D225" i="8"/>
  <c r="E225" i="19" s="1"/>
  <c r="G225" i="8"/>
  <c r="H225" i="19" s="1"/>
  <c r="C225" i="8"/>
  <c r="U225" i="8"/>
  <c r="I225" i="19" s="1"/>
  <c r="I225" i="8"/>
  <c r="J225" i="8"/>
  <c r="X225" i="8"/>
  <c r="B225" i="8"/>
  <c r="C225" i="19" s="1"/>
  <c r="M225" i="8"/>
  <c r="L225" i="8"/>
  <c r="H225" i="8"/>
  <c r="E225" i="8"/>
  <c r="F225" i="19" s="1"/>
  <c r="K225" i="8"/>
  <c r="B225" i="18"/>
  <c r="C225" i="18"/>
  <c r="G225" i="18"/>
  <c r="E225" i="18"/>
  <c r="J225" i="18" s="1"/>
  <c r="A225" i="18"/>
  <c r="D225" i="18"/>
  <c r="H225" i="18"/>
  <c r="V225" i="14"/>
  <c r="B225" i="14"/>
  <c r="D225" i="14"/>
  <c r="A225" i="14"/>
  <c r="K225" i="14"/>
  <c r="H225" i="14"/>
  <c r="G225" i="14"/>
  <c r="W225" i="14"/>
  <c r="U225" i="14"/>
  <c r="C225" i="14"/>
  <c r="E225" i="14"/>
  <c r="T225" i="14"/>
  <c r="I225" i="14"/>
  <c r="S225" i="14"/>
  <c r="H224" i="8"/>
  <c r="D224" i="8"/>
  <c r="E224" i="19" s="1"/>
  <c r="B224" i="8"/>
  <c r="C224" i="19" s="1"/>
  <c r="J224" i="8"/>
  <c r="M224" i="8"/>
  <c r="I224" i="8"/>
  <c r="G224" i="8"/>
  <c r="H224" i="19" s="1"/>
  <c r="K224" i="8"/>
  <c r="X224" i="8"/>
  <c r="C224" i="8"/>
  <c r="U224" i="8"/>
  <c r="I224" i="19" s="1"/>
  <c r="E224" i="8"/>
  <c r="F224" i="19" s="1"/>
  <c r="L224" i="8"/>
  <c r="B224" i="18"/>
  <c r="D224" i="18"/>
  <c r="I224" i="18"/>
  <c r="J224" i="18"/>
  <c r="N224" i="18" s="1"/>
  <c r="A224" i="18"/>
  <c r="G224" i="18"/>
  <c r="C224" i="18"/>
  <c r="H224" i="18"/>
  <c r="E224" i="18"/>
  <c r="K224" i="14"/>
  <c r="S224" i="14"/>
  <c r="A224" i="14"/>
  <c r="T224" i="14"/>
  <c r="B224" i="14"/>
  <c r="V224" i="14"/>
  <c r="G224" i="14"/>
  <c r="H224" i="14"/>
  <c r="U224" i="14"/>
  <c r="D224" i="14"/>
  <c r="C224" i="14"/>
  <c r="W224" i="14"/>
  <c r="E224" i="14"/>
  <c r="I224" i="14"/>
  <c r="U223" i="8"/>
  <c r="I223" i="19" s="1"/>
  <c r="I223" i="8"/>
  <c r="J223" i="8"/>
  <c r="X223" i="8"/>
  <c r="M223" i="8"/>
  <c r="K223" i="8"/>
  <c r="L223" i="8"/>
  <c r="B223" i="8"/>
  <c r="C223" i="19" s="1"/>
  <c r="D223" i="8"/>
  <c r="E223" i="19" s="1"/>
  <c r="E223" i="8"/>
  <c r="C223" i="8"/>
  <c r="G223" i="8"/>
  <c r="H223" i="19" s="1"/>
  <c r="H223" i="8"/>
  <c r="G223" i="18"/>
  <c r="D223" i="18"/>
  <c r="C223" i="18"/>
  <c r="J223" i="18"/>
  <c r="N223" i="18" s="1"/>
  <c r="E223" i="18"/>
  <c r="H223" i="18"/>
  <c r="B223" i="18"/>
  <c r="A223" i="18"/>
  <c r="I223" i="18"/>
  <c r="C223" i="14"/>
  <c r="B223" i="14"/>
  <c r="G223" i="14"/>
  <c r="A223" i="14"/>
  <c r="W223" i="14"/>
  <c r="D223" i="14"/>
  <c r="T223" i="14"/>
  <c r="S223" i="14"/>
  <c r="H223" i="14"/>
  <c r="E223" i="14"/>
  <c r="I223" i="14"/>
  <c r="K223" i="14"/>
  <c r="U223" i="14"/>
  <c r="V223" i="14"/>
  <c r="F222" i="18"/>
  <c r="F222" i="14"/>
  <c r="F222" i="8"/>
  <c r="G222" i="19" s="1"/>
  <c r="F221" i="18"/>
  <c r="F221" i="8"/>
  <c r="G221" i="19" s="1"/>
  <c r="F221" i="14"/>
  <c r="B220" i="14"/>
  <c r="D220" i="14"/>
  <c r="C220" i="14"/>
  <c r="T220" i="14"/>
  <c r="H220" i="14"/>
  <c r="E220" i="14"/>
  <c r="W220" i="14"/>
  <c r="V220" i="14"/>
  <c r="G220" i="14"/>
  <c r="A220" i="14"/>
  <c r="S220" i="14"/>
  <c r="K220" i="14"/>
  <c r="I220" i="14"/>
  <c r="U220" i="14"/>
  <c r="E220" i="8"/>
  <c r="K220" i="8"/>
  <c r="I220" i="8"/>
  <c r="L220" i="8"/>
  <c r="D220" i="8"/>
  <c r="E220" i="19" s="1"/>
  <c r="B220" i="8"/>
  <c r="C220" i="19" s="1"/>
  <c r="M220" i="8"/>
  <c r="G220" i="8"/>
  <c r="H220" i="19" s="1"/>
  <c r="H220" i="8"/>
  <c r="J220" i="8"/>
  <c r="X220" i="8"/>
  <c r="C220" i="8"/>
  <c r="U220" i="8"/>
  <c r="I220" i="19" s="1"/>
  <c r="E220" i="18"/>
  <c r="C220" i="18"/>
  <c r="B220" i="18"/>
  <c r="G220" i="18"/>
  <c r="J220" i="18"/>
  <c r="L220" i="18" s="1"/>
  <c r="D220" i="18"/>
  <c r="A220" i="18"/>
  <c r="H220" i="18"/>
  <c r="I220" i="18"/>
  <c r="F219" i="18"/>
  <c r="F219" i="8"/>
  <c r="G219" i="19" s="1"/>
  <c r="F219" i="14"/>
  <c r="F218" i="18"/>
  <c r="F218" i="14"/>
  <c r="F218" i="8"/>
  <c r="G218" i="19" s="1"/>
  <c r="E217" i="8"/>
  <c r="F217" i="19" s="1"/>
  <c r="I217" i="8"/>
  <c r="H217" i="8"/>
  <c r="K217" i="8"/>
  <c r="L217" i="8"/>
  <c r="J217" i="8"/>
  <c r="D217" i="8"/>
  <c r="E217" i="19" s="1"/>
  <c r="B217" i="8"/>
  <c r="C217" i="19" s="1"/>
  <c r="G217" i="8"/>
  <c r="H217" i="19" s="1"/>
  <c r="M217" i="8"/>
  <c r="U217" i="8"/>
  <c r="I217" i="19" s="1"/>
  <c r="X217" i="8"/>
  <c r="C217" i="8"/>
  <c r="C217" i="14"/>
  <c r="T217" i="14"/>
  <c r="E217" i="14"/>
  <c r="G217" i="14"/>
  <c r="A217" i="14"/>
  <c r="I217" i="14"/>
  <c r="W217" i="14"/>
  <c r="U217" i="14"/>
  <c r="B217" i="14"/>
  <c r="D217" i="14"/>
  <c r="S217" i="14"/>
  <c r="H217" i="14"/>
  <c r="K217" i="14"/>
  <c r="V217" i="14"/>
  <c r="B217" i="18"/>
  <c r="D217" i="18"/>
  <c r="E217" i="18"/>
  <c r="J217" i="18" s="1"/>
  <c r="A217" i="18"/>
  <c r="C217" i="18"/>
  <c r="G217" i="18"/>
  <c r="H217" i="18"/>
  <c r="H216" i="14"/>
  <c r="B216" i="14"/>
  <c r="A216" i="14"/>
  <c r="T216" i="14"/>
  <c r="K216" i="14"/>
  <c r="S216" i="14"/>
  <c r="V216" i="14"/>
  <c r="E216" i="14"/>
  <c r="I216" i="14"/>
  <c r="D216" i="14"/>
  <c r="C216" i="14"/>
  <c r="U216" i="14"/>
  <c r="W216" i="14"/>
  <c r="G216" i="14"/>
  <c r="H216" i="8"/>
  <c r="B216" i="8"/>
  <c r="C216" i="19" s="1"/>
  <c r="X216" i="8"/>
  <c r="K216" i="8"/>
  <c r="E216" i="8"/>
  <c r="F216" i="19" s="1"/>
  <c r="G216" i="8"/>
  <c r="H216" i="19" s="1"/>
  <c r="J216" i="8"/>
  <c r="M216" i="8"/>
  <c r="D216" i="8"/>
  <c r="E216" i="19" s="1"/>
  <c r="C216" i="8"/>
  <c r="I216" i="8"/>
  <c r="L216" i="8"/>
  <c r="U216" i="8"/>
  <c r="I216" i="19" s="1"/>
  <c r="B216" i="18"/>
  <c r="I216" i="18"/>
  <c r="G216" i="18"/>
  <c r="H216" i="18"/>
  <c r="E216" i="18"/>
  <c r="D216" i="18"/>
  <c r="C216" i="18"/>
  <c r="J216" i="18"/>
  <c r="L216" i="18" s="1"/>
  <c r="A216" i="18"/>
  <c r="D215" i="14"/>
  <c r="I215" i="14"/>
  <c r="T215" i="14"/>
  <c r="E215" i="14"/>
  <c r="H215" i="14"/>
  <c r="S215" i="14"/>
  <c r="V215" i="14"/>
  <c r="C215" i="14"/>
  <c r="B215" i="14"/>
  <c r="G215" i="14"/>
  <c r="A215" i="14"/>
  <c r="W215" i="14"/>
  <c r="K215" i="14"/>
  <c r="U215" i="14"/>
  <c r="G215" i="8"/>
  <c r="H215" i="19" s="1"/>
  <c r="I215" i="8"/>
  <c r="E215" i="8"/>
  <c r="F215" i="19" s="1"/>
  <c r="K215" i="8"/>
  <c r="L215" i="8"/>
  <c r="J215" i="8"/>
  <c r="D215" i="8"/>
  <c r="E215" i="19" s="1"/>
  <c r="B215" i="8"/>
  <c r="C215" i="19" s="1"/>
  <c r="U215" i="8"/>
  <c r="I215" i="19" s="1"/>
  <c r="H215" i="8"/>
  <c r="X215" i="8"/>
  <c r="C215" i="8"/>
  <c r="M215" i="8"/>
  <c r="B215" i="18"/>
  <c r="G215" i="18"/>
  <c r="E215" i="18"/>
  <c r="H215" i="18"/>
  <c r="D215" i="18"/>
  <c r="C215" i="18"/>
  <c r="J215" i="18"/>
  <c r="A215" i="18"/>
  <c r="F214" i="18"/>
  <c r="F214" i="14"/>
  <c r="F214" i="8"/>
  <c r="F214" i="13"/>
  <c r="B214" i="13" s="1"/>
  <c r="C213" i="14"/>
  <c r="G213" i="14"/>
  <c r="S213" i="14"/>
  <c r="E213" i="14"/>
  <c r="W213" i="14"/>
  <c r="V213" i="14"/>
  <c r="B213" i="14"/>
  <c r="D213" i="14"/>
  <c r="H213" i="14"/>
  <c r="T213" i="14"/>
  <c r="A213" i="14"/>
  <c r="K213" i="14"/>
  <c r="I213" i="14"/>
  <c r="U213" i="14"/>
  <c r="J213" i="8"/>
  <c r="E213" i="8"/>
  <c r="F213" i="19" s="1"/>
  <c r="H213" i="8"/>
  <c r="G213" i="8"/>
  <c r="H213" i="19" s="1"/>
  <c r="X213" i="8"/>
  <c r="C213" i="8"/>
  <c r="M213" i="8"/>
  <c r="L213" i="8"/>
  <c r="I213" i="8"/>
  <c r="K213" i="8"/>
  <c r="D213" i="8"/>
  <c r="E213" i="19" s="1"/>
  <c r="B213" i="8"/>
  <c r="C213" i="19" s="1"/>
  <c r="U213" i="8"/>
  <c r="I213" i="19" s="1"/>
  <c r="B213" i="18"/>
  <c r="D213" i="18"/>
  <c r="H213" i="18"/>
  <c r="G213" i="18"/>
  <c r="C213" i="18"/>
  <c r="E213" i="18"/>
  <c r="J213" i="18" s="1"/>
  <c r="A213" i="18"/>
  <c r="F212" i="18"/>
  <c r="F212" i="8"/>
  <c r="G212" i="19" s="1"/>
  <c r="F212" i="14"/>
  <c r="I211" i="14"/>
  <c r="D211" i="14"/>
  <c r="E211" i="14"/>
  <c r="V211" i="14"/>
  <c r="S211" i="14"/>
  <c r="K211" i="14"/>
  <c r="G211" i="14"/>
  <c r="A211" i="14"/>
  <c r="C211" i="14"/>
  <c r="B211" i="14"/>
  <c r="T211" i="14"/>
  <c r="H211" i="14"/>
  <c r="U211" i="14"/>
  <c r="W211" i="14"/>
  <c r="K211" i="8"/>
  <c r="I211" i="8"/>
  <c r="J211" i="8"/>
  <c r="E211" i="8"/>
  <c r="L211" i="8"/>
  <c r="X211" i="8"/>
  <c r="B211" i="8"/>
  <c r="C211" i="19" s="1"/>
  <c r="M211" i="8"/>
  <c r="H211" i="8"/>
  <c r="G211" i="8"/>
  <c r="H211" i="19" s="1"/>
  <c r="D211" i="8"/>
  <c r="E211" i="19" s="1"/>
  <c r="C211" i="8"/>
  <c r="U211" i="8"/>
  <c r="I211" i="19" s="1"/>
  <c r="C211" i="18"/>
  <c r="D211" i="18"/>
  <c r="B211" i="18"/>
  <c r="H211" i="18"/>
  <c r="E211" i="18"/>
  <c r="J211" i="18" s="1"/>
  <c r="A211" i="18"/>
  <c r="G211" i="18"/>
  <c r="F210" i="18"/>
  <c r="F210" i="8"/>
  <c r="G210" i="19" s="1"/>
  <c r="F210" i="14"/>
  <c r="F209" i="18"/>
  <c r="F209" i="8"/>
  <c r="F209" i="14"/>
  <c r="K208" i="14"/>
  <c r="T208" i="14"/>
  <c r="G208" i="14"/>
  <c r="W208" i="14"/>
  <c r="S208" i="14"/>
  <c r="V208" i="14"/>
  <c r="D208" i="14"/>
  <c r="C208" i="14"/>
  <c r="H208" i="14"/>
  <c r="A208" i="14"/>
  <c r="E208" i="14"/>
  <c r="U208" i="14"/>
  <c r="I208" i="14"/>
  <c r="B208" i="14"/>
  <c r="J208" i="8"/>
  <c r="G208" i="8"/>
  <c r="H208" i="19" s="1"/>
  <c r="B208" i="19" s="1"/>
  <c r="K208" i="8"/>
  <c r="L208" i="8"/>
  <c r="H208" i="8"/>
  <c r="E208" i="8"/>
  <c r="F208" i="19" s="1"/>
  <c r="X208" i="8"/>
  <c r="C208" i="8"/>
  <c r="M208" i="8"/>
  <c r="I208" i="8"/>
  <c r="D208" i="8"/>
  <c r="E208" i="19" s="1"/>
  <c r="B208" i="8"/>
  <c r="C208" i="19" s="1"/>
  <c r="U208" i="8"/>
  <c r="I208" i="19" s="1"/>
  <c r="B208" i="18"/>
  <c r="D208" i="18"/>
  <c r="J208" i="18"/>
  <c r="K208" i="18" s="1"/>
  <c r="G208" i="18"/>
  <c r="C208" i="18"/>
  <c r="I208" i="18"/>
  <c r="A208" i="18"/>
  <c r="H208" i="18"/>
  <c r="E208" i="18"/>
  <c r="D207" i="14"/>
  <c r="E207" i="14"/>
  <c r="I207" i="14"/>
  <c r="U207" i="14"/>
  <c r="W207" i="14"/>
  <c r="C207" i="14"/>
  <c r="B207" i="14"/>
  <c r="K207" i="14"/>
  <c r="S207" i="14"/>
  <c r="G207" i="14"/>
  <c r="T207" i="14"/>
  <c r="A207" i="14"/>
  <c r="H207" i="14"/>
  <c r="V207" i="14"/>
  <c r="B207" i="18"/>
  <c r="A207" i="18"/>
  <c r="H207" i="18"/>
  <c r="D207" i="18"/>
  <c r="C207" i="18"/>
  <c r="G207" i="18"/>
  <c r="E207" i="18"/>
  <c r="J207" i="18" s="1"/>
  <c r="H207" i="8"/>
  <c r="L207" i="8"/>
  <c r="D207" i="8"/>
  <c r="E207" i="19" s="1"/>
  <c r="U207" i="8"/>
  <c r="I207" i="19" s="1"/>
  <c r="J207" i="8"/>
  <c r="I207" i="8"/>
  <c r="C207" i="8"/>
  <c r="G207" i="8"/>
  <c r="H207" i="19" s="1"/>
  <c r="X207" i="8"/>
  <c r="K207" i="8"/>
  <c r="B207" i="8"/>
  <c r="C207" i="19" s="1"/>
  <c r="E207" i="8"/>
  <c r="M207" i="8"/>
  <c r="F206" i="18"/>
  <c r="F206" i="14"/>
  <c r="F206" i="8"/>
  <c r="G206" i="19" s="1"/>
  <c r="J205" i="8"/>
  <c r="X205" i="8"/>
  <c r="U205" i="8"/>
  <c r="I205" i="19" s="1"/>
  <c r="C205" i="8"/>
  <c r="I205" i="8"/>
  <c r="G205" i="8"/>
  <c r="H205" i="19" s="1"/>
  <c r="L205" i="8"/>
  <c r="D205" i="8"/>
  <c r="E205" i="19" s="1"/>
  <c r="B205" i="8"/>
  <c r="C205" i="19" s="1"/>
  <c r="M205" i="8"/>
  <c r="E205" i="8"/>
  <c r="F205" i="19" s="1"/>
  <c r="K205" i="8"/>
  <c r="H205" i="8"/>
  <c r="B205" i="14"/>
  <c r="D205" i="14"/>
  <c r="T205" i="14"/>
  <c r="G205" i="14"/>
  <c r="E205" i="14"/>
  <c r="I205" i="14"/>
  <c r="W205" i="14"/>
  <c r="U205" i="14"/>
  <c r="C205" i="14"/>
  <c r="K205" i="14"/>
  <c r="S205" i="14"/>
  <c r="H205" i="14"/>
  <c r="A205" i="14"/>
  <c r="V205" i="14"/>
  <c r="H205" i="18"/>
  <c r="E205" i="18"/>
  <c r="J205" i="18" s="1"/>
  <c r="G205" i="18"/>
  <c r="A205" i="18"/>
  <c r="B205" i="18"/>
  <c r="D205" i="18"/>
  <c r="C205" i="18"/>
  <c r="F204" i="18"/>
  <c r="F204" i="8"/>
  <c r="G204" i="19" s="1"/>
  <c r="F204" i="14"/>
  <c r="H203" i="14"/>
  <c r="A203" i="14"/>
  <c r="K203" i="14"/>
  <c r="W203" i="14"/>
  <c r="E203" i="14"/>
  <c r="S203" i="14"/>
  <c r="V203" i="14"/>
  <c r="G203" i="14"/>
  <c r="T203" i="14"/>
  <c r="D203" i="14"/>
  <c r="U203" i="14"/>
  <c r="I203" i="14"/>
  <c r="C203" i="14"/>
  <c r="B203" i="14"/>
  <c r="D203" i="18"/>
  <c r="C203" i="18"/>
  <c r="A203" i="18"/>
  <c r="G203" i="18"/>
  <c r="E203" i="18"/>
  <c r="J203" i="18" s="1"/>
  <c r="H203" i="18"/>
  <c r="B203" i="18"/>
  <c r="H203" i="8"/>
  <c r="E203" i="8"/>
  <c r="F203" i="19" s="1"/>
  <c r="K203" i="8"/>
  <c r="D203" i="8"/>
  <c r="E203" i="19" s="1"/>
  <c r="X203" i="8"/>
  <c r="M203" i="8"/>
  <c r="G203" i="8"/>
  <c r="H203" i="19" s="1"/>
  <c r="L203" i="8"/>
  <c r="I203" i="8"/>
  <c r="B203" i="8"/>
  <c r="C203" i="19" s="1"/>
  <c r="U203" i="8"/>
  <c r="I203" i="19" s="1"/>
  <c r="C203" i="8"/>
  <c r="J203" i="8"/>
  <c r="F202" i="18"/>
  <c r="F202" i="14"/>
  <c r="F202" i="8"/>
  <c r="G202" i="19" s="1"/>
  <c r="F201" i="18"/>
  <c r="F201" i="14"/>
  <c r="F201" i="8"/>
  <c r="G201" i="19" s="1"/>
  <c r="K200" i="14"/>
  <c r="T200" i="14"/>
  <c r="W200" i="14"/>
  <c r="I200" i="14"/>
  <c r="V200" i="14"/>
  <c r="D200" i="14"/>
  <c r="C200" i="14"/>
  <c r="E200" i="14"/>
  <c r="A200" i="14"/>
  <c r="H200" i="14"/>
  <c r="S200" i="14"/>
  <c r="U200" i="14"/>
  <c r="B200" i="14"/>
  <c r="G200" i="14"/>
  <c r="D200" i="18"/>
  <c r="C200" i="18"/>
  <c r="I200" i="18"/>
  <c r="G200" i="18"/>
  <c r="E200" i="18"/>
  <c r="B200" i="18"/>
  <c r="A200" i="18"/>
  <c r="H200" i="18"/>
  <c r="J200" i="18"/>
  <c r="L200" i="18" s="1"/>
  <c r="D200" i="8"/>
  <c r="E200" i="19" s="1"/>
  <c r="C200" i="8"/>
  <c r="X200" i="8"/>
  <c r="I200" i="8"/>
  <c r="U200" i="8"/>
  <c r="I200" i="19" s="1"/>
  <c r="M200" i="8"/>
  <c r="H200" i="8"/>
  <c r="G200" i="8"/>
  <c r="H200" i="19" s="1"/>
  <c r="B200" i="19" s="1"/>
  <c r="L200" i="8"/>
  <c r="B200" i="8"/>
  <c r="C200" i="19" s="1"/>
  <c r="E200" i="8"/>
  <c r="F200" i="19" s="1"/>
  <c r="J200" i="8"/>
  <c r="K200" i="8"/>
  <c r="D199" i="14"/>
  <c r="A199" i="14"/>
  <c r="S199" i="14"/>
  <c r="G199" i="14"/>
  <c r="I199" i="14"/>
  <c r="V199" i="14"/>
  <c r="C199" i="14"/>
  <c r="B199" i="14"/>
  <c r="H199" i="14"/>
  <c r="T199" i="14"/>
  <c r="E199" i="14"/>
  <c r="W199" i="14"/>
  <c r="K199" i="14"/>
  <c r="U199" i="14"/>
  <c r="A199" i="18"/>
  <c r="D199" i="18"/>
  <c r="C199" i="18"/>
  <c r="E199" i="18"/>
  <c r="J199" i="18" s="1"/>
  <c r="H199" i="18"/>
  <c r="B199" i="18"/>
  <c r="G199" i="18"/>
  <c r="X199" i="8"/>
  <c r="K199" i="8"/>
  <c r="B199" i="8"/>
  <c r="C199" i="19" s="1"/>
  <c r="H199" i="8"/>
  <c r="G199" i="8"/>
  <c r="H199" i="19" s="1"/>
  <c r="L199" i="8"/>
  <c r="C199" i="8"/>
  <c r="E199" i="8"/>
  <c r="F199" i="19" s="1"/>
  <c r="D199" i="8"/>
  <c r="E199" i="19" s="1"/>
  <c r="U199" i="8"/>
  <c r="I199" i="19" s="1"/>
  <c r="I199" i="8"/>
  <c r="J199" i="8"/>
  <c r="M199" i="8"/>
  <c r="F198" i="18"/>
  <c r="F198" i="8"/>
  <c r="G198" i="19" s="1"/>
  <c r="F198" i="14"/>
  <c r="F197" i="18"/>
  <c r="F197" i="8"/>
  <c r="G197" i="19" s="1"/>
  <c r="F197" i="14"/>
  <c r="F196" i="18"/>
  <c r="F196" i="14"/>
  <c r="F196" i="8"/>
  <c r="G196" i="19" s="1"/>
  <c r="F195" i="18"/>
  <c r="F195" i="8"/>
  <c r="G195" i="19" s="1"/>
  <c r="F195" i="14"/>
  <c r="F194" i="18"/>
  <c r="F194" i="8"/>
  <c r="G194" i="19" s="1"/>
  <c r="F194" i="14"/>
  <c r="X193" i="8"/>
  <c r="L193" i="8"/>
  <c r="U193" i="8"/>
  <c r="I193" i="19" s="1"/>
  <c r="M193" i="8"/>
  <c r="D193" i="8"/>
  <c r="E193" i="19" s="1"/>
  <c r="E193" i="8"/>
  <c r="F193" i="19" s="1"/>
  <c r="H193" i="8"/>
  <c r="J193" i="8"/>
  <c r="C193" i="8"/>
  <c r="K193" i="8"/>
  <c r="G193" i="8"/>
  <c r="H193" i="19" s="1"/>
  <c r="B193" i="8"/>
  <c r="C193" i="19" s="1"/>
  <c r="I193" i="8"/>
  <c r="C193" i="14"/>
  <c r="U193" i="14"/>
  <c r="K193" i="14"/>
  <c r="A193" i="14"/>
  <c r="B193" i="14"/>
  <c r="D193" i="14"/>
  <c r="H193" i="14"/>
  <c r="V193" i="14"/>
  <c r="W193" i="14"/>
  <c r="S193" i="14"/>
  <c r="G193" i="14"/>
  <c r="I193" i="14"/>
  <c r="T193" i="14"/>
  <c r="E193" i="14"/>
  <c r="B193" i="18"/>
  <c r="E193" i="18"/>
  <c r="J193" i="18" s="1"/>
  <c r="A193" i="18"/>
  <c r="D193" i="18"/>
  <c r="C193" i="18"/>
  <c r="G193" i="18"/>
  <c r="H193" i="18"/>
  <c r="D192" i="14"/>
  <c r="C192" i="14"/>
  <c r="T192" i="14"/>
  <c r="H192" i="14"/>
  <c r="S192" i="14"/>
  <c r="V192" i="14"/>
  <c r="G192" i="14"/>
  <c r="W192" i="14"/>
  <c r="A192" i="14"/>
  <c r="B192" i="14"/>
  <c r="I192" i="14"/>
  <c r="E192" i="14"/>
  <c r="K192" i="14"/>
  <c r="U192" i="14"/>
  <c r="J192" i="8"/>
  <c r="G192" i="8"/>
  <c r="H192" i="19" s="1"/>
  <c r="X192" i="8"/>
  <c r="C192" i="8"/>
  <c r="K192" i="8"/>
  <c r="L192" i="8"/>
  <c r="H192" i="8"/>
  <c r="U192" i="8"/>
  <c r="I192" i="19" s="1"/>
  <c r="M192" i="8"/>
  <c r="D192" i="8"/>
  <c r="E192" i="19" s="1"/>
  <c r="B192" i="8"/>
  <c r="C192" i="19" s="1"/>
  <c r="I192" i="8"/>
  <c r="E192" i="8"/>
  <c r="F192" i="19" s="1"/>
  <c r="D192" i="18"/>
  <c r="E192" i="18"/>
  <c r="J192" i="18" s="1"/>
  <c r="C192" i="18"/>
  <c r="B192" i="18"/>
  <c r="H192" i="18"/>
  <c r="G192" i="18"/>
  <c r="A192" i="18"/>
  <c r="EL48" i="12"/>
  <c r="EL49" i="12"/>
  <c r="EL147" i="12"/>
  <c r="EL162" i="12"/>
  <c r="EL130" i="12"/>
  <c r="EL161" i="12"/>
  <c r="EL158" i="12"/>
  <c r="EL94" i="12"/>
  <c r="EL93" i="12"/>
  <c r="EL101" i="12"/>
  <c r="EL95" i="12"/>
  <c r="EL137" i="12"/>
  <c r="EL109" i="12"/>
  <c r="EL88" i="12"/>
  <c r="EL78" i="12"/>
  <c r="EL105" i="12"/>
  <c r="D191" i="14"/>
  <c r="H191" i="14"/>
  <c r="A191" i="14"/>
  <c r="I191" i="14"/>
  <c r="G191" i="14"/>
  <c r="V191" i="14"/>
  <c r="C191" i="14"/>
  <c r="B191" i="14"/>
  <c r="T191" i="14"/>
  <c r="S191" i="14"/>
  <c r="E191" i="14"/>
  <c r="W191" i="14"/>
  <c r="U191" i="14"/>
  <c r="K191" i="14"/>
  <c r="B191" i="18"/>
  <c r="C191" i="18"/>
  <c r="E191" i="18"/>
  <c r="J191" i="18" s="1"/>
  <c r="A191" i="18"/>
  <c r="D191" i="18"/>
  <c r="G191" i="18"/>
  <c r="H191" i="18"/>
  <c r="X191" i="8"/>
  <c r="M191" i="8"/>
  <c r="U191" i="8"/>
  <c r="I191" i="19" s="1"/>
  <c r="K191" i="8"/>
  <c r="L191" i="8"/>
  <c r="E191" i="8"/>
  <c r="D191" i="8"/>
  <c r="E191" i="19" s="1"/>
  <c r="J191" i="8"/>
  <c r="I191" i="8"/>
  <c r="B191" i="8"/>
  <c r="C191" i="19" s="1"/>
  <c r="G191" i="8"/>
  <c r="H191" i="19" s="1"/>
  <c r="H191" i="8"/>
  <c r="C191" i="8"/>
  <c r="F190" i="18"/>
  <c r="F190" i="14"/>
  <c r="F190" i="8"/>
  <c r="G190" i="19" s="1"/>
  <c r="C189" i="8"/>
  <c r="E189" i="8"/>
  <c r="F189" i="19" s="1"/>
  <c r="D189" i="8"/>
  <c r="E189" i="19" s="1"/>
  <c r="X189" i="8"/>
  <c r="M189" i="8"/>
  <c r="H189" i="8"/>
  <c r="K189" i="8"/>
  <c r="B189" i="8"/>
  <c r="C189" i="19" s="1"/>
  <c r="U189" i="8"/>
  <c r="I189" i="19" s="1"/>
  <c r="L189" i="8"/>
  <c r="G189" i="8"/>
  <c r="H189" i="19" s="1"/>
  <c r="J189" i="8"/>
  <c r="I189" i="8"/>
  <c r="B189" i="14"/>
  <c r="D189" i="14"/>
  <c r="E189" i="14"/>
  <c r="G189" i="14"/>
  <c r="I189" i="14"/>
  <c r="V189" i="14"/>
  <c r="C189" i="14"/>
  <c r="A189" i="14"/>
  <c r="T189" i="14"/>
  <c r="S189" i="14"/>
  <c r="W189" i="14"/>
  <c r="H189" i="14"/>
  <c r="K189" i="14"/>
  <c r="U189" i="14"/>
  <c r="D189" i="18"/>
  <c r="C189" i="18"/>
  <c r="A189" i="18"/>
  <c r="H189" i="18"/>
  <c r="B189" i="18"/>
  <c r="G189" i="18"/>
  <c r="E189" i="18"/>
  <c r="J189" i="18" s="1"/>
  <c r="F188" i="18"/>
  <c r="F188" i="14"/>
  <c r="F188" i="8"/>
  <c r="G188" i="19" s="1"/>
  <c r="F187" i="18"/>
  <c r="F187" i="8"/>
  <c r="G187" i="19" s="1"/>
  <c r="F187" i="14"/>
  <c r="F186" i="18"/>
  <c r="F186" i="14"/>
  <c r="F186" i="8"/>
  <c r="G186" i="19" s="1"/>
  <c r="H185" i="8"/>
  <c r="D185" i="8"/>
  <c r="E185" i="19" s="1"/>
  <c r="B185" i="8"/>
  <c r="C185" i="19" s="1"/>
  <c r="E185" i="8"/>
  <c r="I185" i="8"/>
  <c r="X185" i="8"/>
  <c r="C185" i="8"/>
  <c r="U185" i="8"/>
  <c r="I185" i="19" s="1"/>
  <c r="M185" i="8"/>
  <c r="G185" i="8"/>
  <c r="H185" i="19" s="1"/>
  <c r="L185" i="8"/>
  <c r="K185" i="8"/>
  <c r="J185" i="8"/>
  <c r="D185" i="18"/>
  <c r="C185" i="18"/>
  <c r="B185" i="18"/>
  <c r="I185" i="18"/>
  <c r="A185" i="18"/>
  <c r="E185" i="18"/>
  <c r="J185" i="18"/>
  <c r="L185" i="18" s="1"/>
  <c r="G185" i="18"/>
  <c r="H185" i="18"/>
  <c r="C185" i="14"/>
  <c r="G185" i="14"/>
  <c r="I185" i="14"/>
  <c r="W185" i="14"/>
  <c r="H185" i="14"/>
  <c r="U185" i="14"/>
  <c r="B185" i="14"/>
  <c r="D185" i="14"/>
  <c r="K185" i="14"/>
  <c r="T185" i="14"/>
  <c r="S185" i="14"/>
  <c r="A185" i="14"/>
  <c r="V185" i="14"/>
  <c r="E185" i="14"/>
  <c r="A184" i="14"/>
  <c r="V184" i="14"/>
  <c r="G184" i="14"/>
  <c r="U184" i="14"/>
  <c r="W184" i="14"/>
  <c r="H184" i="14"/>
  <c r="B184" i="14"/>
  <c r="T184" i="14"/>
  <c r="I184" i="14"/>
  <c r="K184" i="14"/>
  <c r="S184" i="14"/>
  <c r="E184" i="14"/>
  <c r="D184" i="14"/>
  <c r="C184" i="14"/>
  <c r="I184" i="8"/>
  <c r="J184" i="8"/>
  <c r="H184" i="8"/>
  <c r="G184" i="8"/>
  <c r="H184" i="19" s="1"/>
  <c r="L184" i="8"/>
  <c r="X184" i="8"/>
  <c r="B184" i="8"/>
  <c r="C184" i="19" s="1"/>
  <c r="U184" i="8"/>
  <c r="I184" i="19" s="1"/>
  <c r="M184" i="8"/>
  <c r="E184" i="8"/>
  <c r="K184" i="8"/>
  <c r="D184" i="8"/>
  <c r="E184" i="19" s="1"/>
  <c r="C184" i="8"/>
  <c r="C184" i="18"/>
  <c r="B184" i="18"/>
  <c r="H184" i="18"/>
  <c r="E184" i="18"/>
  <c r="J184" i="18" s="1"/>
  <c r="D184" i="18"/>
  <c r="G184" i="18"/>
  <c r="A184" i="18"/>
  <c r="C183" i="14"/>
  <c r="B183" i="14"/>
  <c r="A183" i="14"/>
  <c r="G183" i="14"/>
  <c r="H183" i="14"/>
  <c r="S183" i="14"/>
  <c r="K183" i="14"/>
  <c r="I183" i="14"/>
  <c r="D183" i="14"/>
  <c r="T183" i="14"/>
  <c r="E183" i="14"/>
  <c r="W183" i="14"/>
  <c r="U183" i="14"/>
  <c r="V183" i="14"/>
  <c r="J183" i="8"/>
  <c r="D183" i="8"/>
  <c r="E183" i="19" s="1"/>
  <c r="C183" i="8"/>
  <c r="I183" i="8"/>
  <c r="E183" i="8"/>
  <c r="K183" i="8"/>
  <c r="X183" i="8"/>
  <c r="B183" i="8"/>
  <c r="C183" i="19" s="1"/>
  <c r="H183" i="8"/>
  <c r="U183" i="8"/>
  <c r="I183" i="19" s="1"/>
  <c r="M183" i="8"/>
  <c r="G183" i="8"/>
  <c r="H183" i="19" s="1"/>
  <c r="L183" i="8"/>
  <c r="D183" i="18"/>
  <c r="A183" i="18"/>
  <c r="G183" i="18"/>
  <c r="E183" i="18"/>
  <c r="B183" i="18"/>
  <c r="C183" i="18"/>
  <c r="J183" i="18"/>
  <c r="L183" i="18" s="1"/>
  <c r="H183" i="18"/>
  <c r="I183" i="18"/>
  <c r="F182" i="18"/>
  <c r="F182" i="14"/>
  <c r="F182" i="8"/>
  <c r="G182" i="19" s="1"/>
  <c r="B181" i="14"/>
  <c r="D181" i="14"/>
  <c r="G181" i="14"/>
  <c r="E181" i="14"/>
  <c r="S181" i="14"/>
  <c r="W181" i="14"/>
  <c r="U181" i="14"/>
  <c r="C181" i="14"/>
  <c r="T181" i="14"/>
  <c r="H181" i="14"/>
  <c r="A181" i="14"/>
  <c r="K181" i="14"/>
  <c r="I181" i="14"/>
  <c r="V181" i="14"/>
  <c r="D181" i="18"/>
  <c r="C181" i="18"/>
  <c r="I181" i="18"/>
  <c r="H181" i="18"/>
  <c r="A181" i="18"/>
  <c r="B181" i="18"/>
  <c r="J181" i="18"/>
  <c r="L181" i="18" s="1"/>
  <c r="E181" i="18"/>
  <c r="G181" i="18"/>
  <c r="J181" i="8"/>
  <c r="L181" i="8"/>
  <c r="C181" i="8"/>
  <c r="U181" i="8"/>
  <c r="I181" i="19" s="1"/>
  <c r="X181" i="8"/>
  <c r="K181" i="8"/>
  <c r="I181" i="8"/>
  <c r="D181" i="8"/>
  <c r="E181" i="19" s="1"/>
  <c r="B181" i="8"/>
  <c r="C181" i="19" s="1"/>
  <c r="M181" i="8"/>
  <c r="H181" i="8"/>
  <c r="E181" i="8"/>
  <c r="F181" i="19" s="1"/>
  <c r="G181" i="8"/>
  <c r="H181" i="19" s="1"/>
  <c r="F174" i="18"/>
  <c r="F174" i="8"/>
  <c r="G174" i="19" s="1"/>
  <c r="F174" i="14"/>
  <c r="F174" i="13"/>
  <c r="B174" i="13" s="1"/>
  <c r="F180" i="18"/>
  <c r="F180" i="14"/>
  <c r="F180" i="8"/>
  <c r="F180" i="13"/>
  <c r="D180" i="13" s="1"/>
  <c r="V179" i="14"/>
  <c r="C179" i="14"/>
  <c r="B179" i="14"/>
  <c r="K179" i="14"/>
  <c r="H179" i="14"/>
  <c r="U179" i="14"/>
  <c r="A179" i="14"/>
  <c r="D179" i="14"/>
  <c r="E179" i="14"/>
  <c r="W179" i="14"/>
  <c r="I179" i="14"/>
  <c r="T179" i="14"/>
  <c r="S179" i="14"/>
  <c r="G179" i="14"/>
  <c r="M179" i="8"/>
  <c r="J179" i="8"/>
  <c r="G179" i="8"/>
  <c r="H179" i="19" s="1"/>
  <c r="L179" i="8"/>
  <c r="C179" i="8"/>
  <c r="I179" i="8"/>
  <c r="B179" i="8"/>
  <c r="C179" i="19" s="1"/>
  <c r="K179" i="8"/>
  <c r="X179" i="8"/>
  <c r="U179" i="8"/>
  <c r="I179" i="19" s="1"/>
  <c r="H179" i="8"/>
  <c r="E179" i="8"/>
  <c r="F179" i="19" s="1"/>
  <c r="D179" i="8"/>
  <c r="E179" i="19" s="1"/>
  <c r="B179" i="18"/>
  <c r="C179" i="18"/>
  <c r="J179" i="18"/>
  <c r="N179" i="18" s="1"/>
  <c r="G179" i="18"/>
  <c r="E179" i="18"/>
  <c r="D179" i="18"/>
  <c r="I179" i="18"/>
  <c r="A179" i="18"/>
  <c r="H179" i="18"/>
  <c r="F178" i="18"/>
  <c r="F178" i="8"/>
  <c r="G178" i="19" s="1"/>
  <c r="F178" i="14"/>
  <c r="J177" i="8"/>
  <c r="H177" i="8"/>
  <c r="D177" i="8"/>
  <c r="E177" i="19" s="1"/>
  <c r="X177" i="8"/>
  <c r="M177" i="8"/>
  <c r="L177" i="8"/>
  <c r="K177" i="8"/>
  <c r="G177" i="8"/>
  <c r="H177" i="19" s="1"/>
  <c r="B177" i="19" s="1"/>
  <c r="B177" i="8"/>
  <c r="C177" i="19" s="1"/>
  <c r="U177" i="8"/>
  <c r="I177" i="19" s="1"/>
  <c r="C177" i="8"/>
  <c r="E177" i="8"/>
  <c r="F177" i="19" s="1"/>
  <c r="I177" i="8"/>
  <c r="I177" i="14"/>
  <c r="C177" i="14"/>
  <c r="G177" i="14"/>
  <c r="A177" i="14"/>
  <c r="V177" i="14"/>
  <c r="S177" i="14"/>
  <c r="B177" i="14"/>
  <c r="D177" i="14"/>
  <c r="K177" i="14"/>
  <c r="W177" i="14"/>
  <c r="U177" i="14"/>
  <c r="H177" i="14"/>
  <c r="T177" i="14"/>
  <c r="E177" i="14"/>
  <c r="D177" i="18"/>
  <c r="C177" i="18"/>
  <c r="G177" i="18"/>
  <c r="H177" i="18"/>
  <c r="B177" i="18"/>
  <c r="E177" i="18"/>
  <c r="J177" i="18" s="1"/>
  <c r="A177" i="18"/>
  <c r="J176" i="8"/>
  <c r="E176" i="8"/>
  <c r="F176" i="19" s="1"/>
  <c r="K176" i="8"/>
  <c r="X176" i="8"/>
  <c r="C176" i="8"/>
  <c r="H176" i="8"/>
  <c r="G176" i="8"/>
  <c r="H176" i="19" s="1"/>
  <c r="I176" i="8"/>
  <c r="L176" i="8"/>
  <c r="D176" i="8"/>
  <c r="E176" i="19" s="1"/>
  <c r="B176" i="8"/>
  <c r="C176" i="19" s="1"/>
  <c r="U176" i="8"/>
  <c r="I176" i="19" s="1"/>
  <c r="M176" i="8"/>
  <c r="A176" i="14"/>
  <c r="T176" i="14"/>
  <c r="D176" i="14"/>
  <c r="C176" i="14"/>
  <c r="K176" i="14"/>
  <c r="G176" i="14"/>
  <c r="V176" i="14"/>
  <c r="B176" i="14"/>
  <c r="U176" i="14"/>
  <c r="S176" i="14"/>
  <c r="E176" i="14"/>
  <c r="H176" i="14"/>
  <c r="I176" i="14"/>
  <c r="W176" i="14"/>
  <c r="D176" i="18"/>
  <c r="G176" i="18"/>
  <c r="E176" i="18"/>
  <c r="C176" i="18"/>
  <c r="B176" i="18"/>
  <c r="I176" i="18"/>
  <c r="J176" i="18"/>
  <c r="K176" i="18" s="1"/>
  <c r="H176" i="18"/>
  <c r="A176" i="18"/>
  <c r="C175" i="14"/>
  <c r="B175" i="14"/>
  <c r="H175" i="14"/>
  <c r="A175" i="14"/>
  <c r="K175" i="14"/>
  <c r="W175" i="14"/>
  <c r="G175" i="14"/>
  <c r="U175" i="14"/>
  <c r="D175" i="14"/>
  <c r="S175" i="14"/>
  <c r="E175" i="14"/>
  <c r="T175" i="14"/>
  <c r="I175" i="14"/>
  <c r="V175" i="14"/>
  <c r="G175" i="8"/>
  <c r="H175" i="19" s="1"/>
  <c r="B175" i="19" s="1"/>
  <c r="K175" i="8"/>
  <c r="X175" i="8"/>
  <c r="C175" i="8"/>
  <c r="M175" i="8"/>
  <c r="I175" i="8"/>
  <c r="L175" i="8"/>
  <c r="H175" i="8"/>
  <c r="B175" i="8"/>
  <c r="C175" i="19" s="1"/>
  <c r="U175" i="8"/>
  <c r="I175" i="19" s="1"/>
  <c r="D175" i="8"/>
  <c r="E175" i="19" s="1"/>
  <c r="J175" i="8"/>
  <c r="E175" i="8"/>
  <c r="F175" i="19" s="1"/>
  <c r="G175" i="18"/>
  <c r="B175" i="18"/>
  <c r="C175" i="18"/>
  <c r="E175" i="18"/>
  <c r="J175" i="18" s="1"/>
  <c r="A175" i="18"/>
  <c r="D175" i="18"/>
  <c r="H175" i="18"/>
  <c r="F173" i="18"/>
  <c r="F173" i="14"/>
  <c r="F173" i="8"/>
  <c r="G173" i="19" s="1"/>
  <c r="D172" i="14"/>
  <c r="C172" i="14"/>
  <c r="T172" i="14"/>
  <c r="E172" i="14"/>
  <c r="W172" i="14"/>
  <c r="I172" i="14"/>
  <c r="U172" i="14"/>
  <c r="B172" i="14"/>
  <c r="S172" i="14"/>
  <c r="H172" i="14"/>
  <c r="G172" i="14"/>
  <c r="A172" i="14"/>
  <c r="K172" i="14"/>
  <c r="V172" i="14"/>
  <c r="K172" i="8"/>
  <c r="J172" i="8"/>
  <c r="I172" i="8"/>
  <c r="D172" i="8"/>
  <c r="E172" i="19" s="1"/>
  <c r="B172" i="8"/>
  <c r="C172" i="19" s="1"/>
  <c r="U172" i="8"/>
  <c r="I172" i="19" s="1"/>
  <c r="M172" i="8"/>
  <c r="G172" i="8"/>
  <c r="H172" i="19" s="1"/>
  <c r="H172" i="8"/>
  <c r="L172" i="8"/>
  <c r="E172" i="8"/>
  <c r="F172" i="19" s="1"/>
  <c r="X172" i="8"/>
  <c r="C172" i="8"/>
  <c r="H172" i="18"/>
  <c r="J172" i="18"/>
  <c r="L172" i="18" s="1"/>
  <c r="B172" i="18"/>
  <c r="G172" i="18"/>
  <c r="A172" i="18"/>
  <c r="C172" i="18"/>
  <c r="D172" i="18"/>
  <c r="E172" i="18"/>
  <c r="I172" i="18"/>
  <c r="F171" i="18"/>
  <c r="F171" i="14"/>
  <c r="F171" i="8"/>
  <c r="G171" i="19" s="1"/>
  <c r="T170" i="14"/>
  <c r="C170" i="14"/>
  <c r="G170" i="14"/>
  <c r="W170" i="14"/>
  <c r="H170" i="14"/>
  <c r="V170" i="14"/>
  <c r="K170" i="14"/>
  <c r="I170" i="14"/>
  <c r="A170" i="14"/>
  <c r="B170" i="14"/>
  <c r="D170" i="14"/>
  <c r="U170" i="14"/>
  <c r="E170" i="14"/>
  <c r="S170" i="14"/>
  <c r="D170" i="8"/>
  <c r="E170" i="19" s="1"/>
  <c r="B170" i="8"/>
  <c r="C170" i="19" s="1"/>
  <c r="L170" i="8"/>
  <c r="E170" i="8"/>
  <c r="C170" i="8"/>
  <c r="X170" i="8"/>
  <c r="J170" i="8"/>
  <c r="H170" i="8"/>
  <c r="I170" i="8"/>
  <c r="K170" i="8"/>
  <c r="G170" i="8"/>
  <c r="H170" i="19" s="1"/>
  <c r="U170" i="8"/>
  <c r="I170" i="19" s="1"/>
  <c r="M170" i="8"/>
  <c r="C170" i="18"/>
  <c r="D170" i="18"/>
  <c r="G170" i="18"/>
  <c r="E170" i="18"/>
  <c r="J170" i="18" s="1"/>
  <c r="B170" i="18"/>
  <c r="A170" i="18"/>
  <c r="H170" i="18"/>
  <c r="G169" i="8"/>
  <c r="H169" i="19" s="1"/>
  <c r="U169" i="8"/>
  <c r="I169" i="19" s="1"/>
  <c r="C169" i="8"/>
  <c r="I169" i="8"/>
  <c r="H169" i="8"/>
  <c r="E169" i="8"/>
  <c r="F169" i="19" s="1"/>
  <c r="M169" i="8"/>
  <c r="D169" i="8"/>
  <c r="E169" i="19" s="1"/>
  <c r="K169" i="8"/>
  <c r="L169" i="8"/>
  <c r="J169" i="8"/>
  <c r="B169" i="8"/>
  <c r="C169" i="19" s="1"/>
  <c r="X169" i="8"/>
  <c r="C169" i="14"/>
  <c r="W169" i="14"/>
  <c r="T169" i="14"/>
  <c r="V169" i="14"/>
  <c r="S169" i="14"/>
  <c r="B169" i="14"/>
  <c r="D169" i="14"/>
  <c r="K169" i="14"/>
  <c r="I169" i="14"/>
  <c r="U169" i="14"/>
  <c r="E169" i="14"/>
  <c r="H169" i="14"/>
  <c r="G169" i="14"/>
  <c r="A169" i="14"/>
  <c r="D169" i="18"/>
  <c r="C169" i="18"/>
  <c r="H169" i="18"/>
  <c r="E169" i="18"/>
  <c r="J169" i="18" s="1"/>
  <c r="B169" i="18"/>
  <c r="G169" i="18"/>
  <c r="A169" i="18"/>
  <c r="F168" i="18"/>
  <c r="F168" i="14"/>
  <c r="F168" i="8"/>
  <c r="G168" i="19" s="1"/>
  <c r="F167" i="18"/>
  <c r="F167" i="8"/>
  <c r="G167" i="19" s="1"/>
  <c r="F167" i="14"/>
  <c r="F166" i="18"/>
  <c r="F166" i="14"/>
  <c r="F166" i="8"/>
  <c r="G166" i="19" s="1"/>
  <c r="C165" i="14"/>
  <c r="T165" i="14"/>
  <c r="G165" i="14"/>
  <c r="E165" i="14"/>
  <c r="S165" i="14"/>
  <c r="W165" i="14"/>
  <c r="V165" i="14"/>
  <c r="B165" i="14"/>
  <c r="D165" i="14"/>
  <c r="A165" i="14"/>
  <c r="H165" i="14"/>
  <c r="K165" i="14"/>
  <c r="I165" i="14"/>
  <c r="U165" i="14"/>
  <c r="L165" i="8"/>
  <c r="I165" i="8"/>
  <c r="B165" i="8"/>
  <c r="C165" i="19" s="1"/>
  <c r="U165" i="8"/>
  <c r="I165" i="19" s="1"/>
  <c r="K165" i="8"/>
  <c r="E165" i="8"/>
  <c r="G165" i="8"/>
  <c r="H165" i="19" s="1"/>
  <c r="J165" i="8"/>
  <c r="C165" i="8"/>
  <c r="M165" i="8"/>
  <c r="H165" i="8"/>
  <c r="D165" i="8"/>
  <c r="E165" i="19" s="1"/>
  <c r="X165" i="8"/>
  <c r="B165" i="18"/>
  <c r="G165" i="18"/>
  <c r="D165" i="18"/>
  <c r="C165" i="18"/>
  <c r="A165" i="18"/>
  <c r="H165" i="18"/>
  <c r="E165" i="18"/>
  <c r="J165" i="18" s="1"/>
  <c r="F164" i="18"/>
  <c r="F164" i="8"/>
  <c r="F164" i="14"/>
  <c r="F164" i="13"/>
  <c r="B164" i="13" s="1"/>
  <c r="F163" i="18"/>
  <c r="F163" i="8"/>
  <c r="G163" i="19" s="1"/>
  <c r="F163" i="14"/>
  <c r="X162" i="8"/>
  <c r="C162" i="8"/>
  <c r="U162" i="8"/>
  <c r="I162" i="19" s="1"/>
  <c r="H162" i="8"/>
  <c r="L162" i="8"/>
  <c r="D162" i="8"/>
  <c r="E162" i="19" s="1"/>
  <c r="B162" i="8"/>
  <c r="C162" i="19" s="1"/>
  <c r="M162" i="8"/>
  <c r="K162" i="8"/>
  <c r="E162" i="8"/>
  <c r="J162" i="8"/>
  <c r="I162" i="8"/>
  <c r="G162" i="8"/>
  <c r="H162" i="19" s="1"/>
  <c r="B162" i="14"/>
  <c r="D162" i="14"/>
  <c r="G162" i="14"/>
  <c r="V162" i="14"/>
  <c r="U162" i="14"/>
  <c r="W162" i="14"/>
  <c r="T162" i="14"/>
  <c r="A162" i="14"/>
  <c r="C162" i="14"/>
  <c r="I162" i="14"/>
  <c r="S162" i="14"/>
  <c r="K162" i="14"/>
  <c r="H162" i="14"/>
  <c r="E162" i="14"/>
  <c r="B162" i="18"/>
  <c r="G162" i="18"/>
  <c r="A162" i="18"/>
  <c r="C162" i="18"/>
  <c r="D162" i="18"/>
  <c r="I162" i="18"/>
  <c r="J162" i="18"/>
  <c r="L162" i="18" s="1"/>
  <c r="E162" i="18"/>
  <c r="H162" i="18"/>
  <c r="G161" i="8"/>
  <c r="H161" i="19" s="1"/>
  <c r="J161" i="8"/>
  <c r="H161" i="8"/>
  <c r="D161" i="8"/>
  <c r="E161" i="19" s="1"/>
  <c r="X161" i="8"/>
  <c r="M161" i="8"/>
  <c r="L161" i="8"/>
  <c r="K161" i="8"/>
  <c r="E161" i="8"/>
  <c r="C161" i="8"/>
  <c r="B161" i="8"/>
  <c r="C161" i="19" s="1"/>
  <c r="U161" i="8"/>
  <c r="I161" i="19" s="1"/>
  <c r="I161" i="8"/>
  <c r="D161" i="14"/>
  <c r="C161" i="14"/>
  <c r="W161" i="14"/>
  <c r="E161" i="14"/>
  <c r="V161" i="14"/>
  <c r="T161" i="14"/>
  <c r="G161" i="14"/>
  <c r="I161" i="14"/>
  <c r="A161" i="14"/>
  <c r="S161" i="14"/>
  <c r="H161" i="14"/>
  <c r="K161" i="14"/>
  <c r="U161" i="14"/>
  <c r="B161" i="14"/>
  <c r="D161" i="18"/>
  <c r="C161" i="18"/>
  <c r="I161" i="18"/>
  <c r="G161" i="18"/>
  <c r="A161" i="18"/>
  <c r="J161" i="18"/>
  <c r="L161" i="18" s="1"/>
  <c r="H161" i="18"/>
  <c r="E161" i="18"/>
  <c r="B161" i="18"/>
  <c r="K161" i="18"/>
  <c r="F160" i="18"/>
  <c r="F160" i="14"/>
  <c r="F160" i="8"/>
  <c r="G160" i="19" s="1"/>
  <c r="K159" i="8"/>
  <c r="G159" i="8"/>
  <c r="H159" i="19" s="1"/>
  <c r="H159" i="8"/>
  <c r="B159" i="8"/>
  <c r="C159" i="19" s="1"/>
  <c r="I159" i="8"/>
  <c r="X159" i="8"/>
  <c r="C159" i="8"/>
  <c r="L159" i="8"/>
  <c r="D159" i="8"/>
  <c r="E159" i="19" s="1"/>
  <c r="U159" i="8"/>
  <c r="I159" i="19" s="1"/>
  <c r="J159" i="8"/>
  <c r="E159" i="8"/>
  <c r="F159" i="19" s="1"/>
  <c r="M159" i="8"/>
  <c r="C159" i="14"/>
  <c r="S159" i="14"/>
  <c r="A159" i="14"/>
  <c r="G159" i="14"/>
  <c r="T159" i="14"/>
  <c r="K159" i="14"/>
  <c r="U159" i="14"/>
  <c r="I159" i="14"/>
  <c r="V159" i="14"/>
  <c r="B159" i="14"/>
  <c r="D159" i="14"/>
  <c r="H159" i="14"/>
  <c r="E159" i="14"/>
  <c r="W159" i="14"/>
  <c r="A159" i="18"/>
  <c r="H159" i="18"/>
  <c r="D159" i="18"/>
  <c r="G159" i="18"/>
  <c r="J159" i="18"/>
  <c r="L159" i="18" s="1"/>
  <c r="I159" i="18"/>
  <c r="B159" i="18"/>
  <c r="C159" i="18"/>
  <c r="E159" i="18"/>
  <c r="F158" i="18"/>
  <c r="F158" i="14"/>
  <c r="F158" i="8"/>
  <c r="F158" i="13"/>
  <c r="B158" i="13" s="1"/>
  <c r="F157" i="18"/>
  <c r="F157" i="8"/>
  <c r="G157" i="19" s="1"/>
  <c r="F157" i="14"/>
  <c r="F156" i="18"/>
  <c r="F156" i="14"/>
  <c r="F156" i="8"/>
  <c r="G156" i="19" s="1"/>
  <c r="F155" i="18"/>
  <c r="F155" i="14"/>
  <c r="F155" i="8"/>
  <c r="G155" i="19" s="1"/>
  <c r="D154" i="14"/>
  <c r="C154" i="14"/>
  <c r="G154" i="14"/>
  <c r="E154" i="14"/>
  <c r="I154" i="14"/>
  <c r="U154" i="14"/>
  <c r="B154" i="14"/>
  <c r="T154" i="14"/>
  <c r="H154" i="14"/>
  <c r="A154" i="14"/>
  <c r="S154" i="14"/>
  <c r="W154" i="14"/>
  <c r="K154" i="14"/>
  <c r="V154" i="14"/>
  <c r="E154" i="8"/>
  <c r="H154" i="8"/>
  <c r="I154" i="8"/>
  <c r="L154" i="8"/>
  <c r="G154" i="8"/>
  <c r="H154" i="19" s="1"/>
  <c r="B154" i="19" s="1"/>
  <c r="D154" i="8"/>
  <c r="E154" i="19" s="1"/>
  <c r="B154" i="8"/>
  <c r="C154" i="19" s="1"/>
  <c r="U154" i="8"/>
  <c r="I154" i="19" s="1"/>
  <c r="J154" i="8"/>
  <c r="K154" i="8"/>
  <c r="X154" i="8"/>
  <c r="C154" i="8"/>
  <c r="M154" i="8"/>
  <c r="B154" i="18"/>
  <c r="A154" i="18"/>
  <c r="G154" i="18"/>
  <c r="C154" i="18"/>
  <c r="D154" i="18"/>
  <c r="I154" i="18"/>
  <c r="H154" i="18"/>
  <c r="E154" i="18"/>
  <c r="J154" i="18"/>
  <c r="N154" i="18" s="1"/>
  <c r="F153" i="18"/>
  <c r="F153" i="8"/>
  <c r="G153" i="19" s="1"/>
  <c r="F153" i="14"/>
  <c r="F152" i="18"/>
  <c r="F152" i="14"/>
  <c r="F152" i="8"/>
  <c r="G152" i="19" s="1"/>
  <c r="F152" i="13"/>
  <c r="C152" i="13" s="1"/>
  <c r="G151" i="8"/>
  <c r="H151" i="19" s="1"/>
  <c r="I151" i="8"/>
  <c r="C151" i="8"/>
  <c r="U151" i="8"/>
  <c r="I151" i="19" s="1"/>
  <c r="J151" i="8"/>
  <c r="L151" i="8"/>
  <c r="X151" i="8"/>
  <c r="B151" i="8"/>
  <c r="C151" i="19" s="1"/>
  <c r="M151" i="8"/>
  <c r="H151" i="8"/>
  <c r="E151" i="8"/>
  <c r="F151" i="19" s="1"/>
  <c r="K151" i="8"/>
  <c r="D151" i="8"/>
  <c r="E151" i="19" s="1"/>
  <c r="B151" i="14"/>
  <c r="D151" i="14"/>
  <c r="S151" i="14"/>
  <c r="E151" i="14"/>
  <c r="G151" i="14"/>
  <c r="W151" i="14"/>
  <c r="U151" i="14"/>
  <c r="V151" i="14"/>
  <c r="C151" i="14"/>
  <c r="A151" i="14"/>
  <c r="H151" i="14"/>
  <c r="K151" i="14"/>
  <c r="I151" i="14"/>
  <c r="T151" i="14"/>
  <c r="D151" i="18"/>
  <c r="A151" i="18"/>
  <c r="G151" i="18"/>
  <c r="B151" i="18"/>
  <c r="C151" i="18"/>
  <c r="H151" i="18"/>
  <c r="E151" i="18"/>
  <c r="J151" i="18" s="1"/>
  <c r="F150" i="18"/>
  <c r="F150" i="8"/>
  <c r="G150" i="19" s="1"/>
  <c r="F150" i="14"/>
  <c r="F149" i="18"/>
  <c r="F149" i="8"/>
  <c r="G149" i="19" s="1"/>
  <c r="F149" i="14"/>
  <c r="D148" i="8"/>
  <c r="E148" i="19" s="1"/>
  <c r="C148" i="8"/>
  <c r="U148" i="8"/>
  <c r="I148" i="19" s="1"/>
  <c r="M148" i="8"/>
  <c r="I148" i="8"/>
  <c r="J148" i="8"/>
  <c r="E148" i="8"/>
  <c r="F148" i="19" s="1"/>
  <c r="G148" i="8"/>
  <c r="H148" i="19" s="1"/>
  <c r="K148" i="8"/>
  <c r="X148" i="8"/>
  <c r="B148" i="8"/>
  <c r="C148" i="19" s="1"/>
  <c r="L148" i="8"/>
  <c r="H148" i="8"/>
  <c r="C148" i="18"/>
  <c r="B148" i="18"/>
  <c r="I148" i="18"/>
  <c r="J148" i="18"/>
  <c r="M148" i="18" s="1"/>
  <c r="G148" i="18"/>
  <c r="D148" i="18"/>
  <c r="A148" i="18"/>
  <c r="H148" i="18"/>
  <c r="E148" i="18"/>
  <c r="V148" i="14"/>
  <c r="T148" i="14"/>
  <c r="K148" i="14"/>
  <c r="W148" i="14"/>
  <c r="E148" i="14"/>
  <c r="C148" i="14"/>
  <c r="D148" i="14"/>
  <c r="I148" i="14"/>
  <c r="H148" i="14"/>
  <c r="S148" i="14"/>
  <c r="U148" i="14"/>
  <c r="A148" i="14"/>
  <c r="B148" i="14"/>
  <c r="G148" i="14"/>
  <c r="C147" i="8"/>
  <c r="J147" i="8"/>
  <c r="E147" i="8"/>
  <c r="U147" i="8"/>
  <c r="I147" i="19" s="1"/>
  <c r="X147" i="8"/>
  <c r="G147" i="8"/>
  <c r="H147" i="19" s="1"/>
  <c r="D147" i="8"/>
  <c r="E147" i="19" s="1"/>
  <c r="I147" i="8"/>
  <c r="H147" i="8"/>
  <c r="B147" i="8"/>
  <c r="C147" i="19" s="1"/>
  <c r="M147" i="8"/>
  <c r="L147" i="8"/>
  <c r="K147" i="8"/>
  <c r="B147" i="14"/>
  <c r="C147" i="14"/>
  <c r="A147" i="14"/>
  <c r="U147" i="14"/>
  <c r="W147" i="14"/>
  <c r="S147" i="14"/>
  <c r="K147" i="14"/>
  <c r="V147" i="14"/>
  <c r="E147" i="14"/>
  <c r="D147" i="14"/>
  <c r="T147" i="14"/>
  <c r="G147" i="14"/>
  <c r="I147" i="14"/>
  <c r="H147" i="14"/>
  <c r="B147" i="18"/>
  <c r="D147" i="18"/>
  <c r="G147" i="18"/>
  <c r="A147" i="18"/>
  <c r="C147" i="18"/>
  <c r="I147" i="18"/>
  <c r="J147" i="18"/>
  <c r="L147" i="18" s="1"/>
  <c r="E147" i="18"/>
  <c r="H147" i="18"/>
  <c r="F146" i="18"/>
  <c r="F146" i="14"/>
  <c r="F146" i="8"/>
  <c r="G146" i="19" s="1"/>
  <c r="F145" i="18"/>
  <c r="F145" i="8"/>
  <c r="G145" i="19" s="1"/>
  <c r="F145" i="14"/>
  <c r="B144" i="14"/>
  <c r="A144" i="14"/>
  <c r="T144" i="14"/>
  <c r="G144" i="14"/>
  <c r="E144" i="14"/>
  <c r="I144" i="14"/>
  <c r="V144" i="14"/>
  <c r="C144" i="14"/>
  <c r="D144" i="14"/>
  <c r="S144" i="14"/>
  <c r="H144" i="14"/>
  <c r="W144" i="14"/>
  <c r="K144" i="14"/>
  <c r="U144" i="14"/>
  <c r="C144" i="8"/>
  <c r="X144" i="8"/>
  <c r="L144" i="8"/>
  <c r="J144" i="8"/>
  <c r="K144" i="8"/>
  <c r="G144" i="8"/>
  <c r="H144" i="19" s="1"/>
  <c r="D144" i="8"/>
  <c r="E144" i="19" s="1"/>
  <c r="B144" i="8"/>
  <c r="C144" i="19" s="1"/>
  <c r="E144" i="8"/>
  <c r="F144" i="19" s="1"/>
  <c r="I144" i="8"/>
  <c r="H144" i="8"/>
  <c r="U144" i="8"/>
  <c r="I144" i="19" s="1"/>
  <c r="M144" i="8"/>
  <c r="B144" i="18"/>
  <c r="D144" i="18"/>
  <c r="A144" i="18"/>
  <c r="C144" i="18"/>
  <c r="G144" i="18"/>
  <c r="H144" i="18"/>
  <c r="E144" i="18"/>
  <c r="J144" i="18" s="1"/>
  <c r="F143" i="18"/>
  <c r="F143" i="8"/>
  <c r="G143" i="19" s="1"/>
  <c r="F143" i="14"/>
  <c r="F143" i="13"/>
  <c r="B143" i="13" s="1"/>
  <c r="F142" i="18"/>
  <c r="F142" i="8"/>
  <c r="G142" i="19" s="1"/>
  <c r="F142" i="14"/>
  <c r="B141" i="14"/>
  <c r="E141" i="14"/>
  <c r="S141" i="14"/>
  <c r="T141" i="14"/>
  <c r="K141" i="14"/>
  <c r="I141" i="14"/>
  <c r="W141" i="14"/>
  <c r="U141" i="14"/>
  <c r="D141" i="14"/>
  <c r="C141" i="14"/>
  <c r="G141" i="14"/>
  <c r="A141" i="14"/>
  <c r="H141" i="14"/>
  <c r="V141" i="14"/>
  <c r="K141" i="8"/>
  <c r="D141" i="8"/>
  <c r="E141" i="19" s="1"/>
  <c r="I141" i="8"/>
  <c r="E141" i="8"/>
  <c r="F141" i="19" s="1"/>
  <c r="J141" i="8"/>
  <c r="G141" i="8"/>
  <c r="H141" i="19" s="1"/>
  <c r="L141" i="8"/>
  <c r="C141" i="8"/>
  <c r="U141" i="8"/>
  <c r="I141" i="19" s="1"/>
  <c r="X141" i="8"/>
  <c r="H141" i="8"/>
  <c r="M141" i="8"/>
  <c r="B141" i="8"/>
  <c r="C141" i="19" s="1"/>
  <c r="C141" i="18"/>
  <c r="B141" i="18"/>
  <c r="A141" i="18"/>
  <c r="H141" i="18"/>
  <c r="D141" i="18"/>
  <c r="E141" i="18"/>
  <c r="J141" i="18" s="1"/>
  <c r="G141" i="18"/>
  <c r="K140" i="14"/>
  <c r="G140" i="14"/>
  <c r="E140" i="14"/>
  <c r="W140" i="14"/>
  <c r="I140" i="14"/>
  <c r="C140" i="14"/>
  <c r="B140" i="14"/>
  <c r="H140" i="14"/>
  <c r="V140" i="14"/>
  <c r="A140" i="14"/>
  <c r="S140" i="14"/>
  <c r="U140" i="14"/>
  <c r="T140" i="14"/>
  <c r="D140" i="14"/>
  <c r="K140" i="8"/>
  <c r="L140" i="8"/>
  <c r="I140" i="8"/>
  <c r="D140" i="8"/>
  <c r="E140" i="19" s="1"/>
  <c r="B140" i="8"/>
  <c r="C140" i="19" s="1"/>
  <c r="G140" i="8"/>
  <c r="H140" i="19" s="1"/>
  <c r="H140" i="8"/>
  <c r="J140" i="8"/>
  <c r="E140" i="8"/>
  <c r="F140" i="19" s="1"/>
  <c r="X140" i="8"/>
  <c r="C140" i="8"/>
  <c r="U140" i="8"/>
  <c r="I140" i="19" s="1"/>
  <c r="M140" i="8"/>
  <c r="C140" i="18"/>
  <c r="I140" i="18"/>
  <c r="G140" i="18"/>
  <c r="H140" i="18"/>
  <c r="E140" i="18"/>
  <c r="B140" i="18"/>
  <c r="D140" i="18"/>
  <c r="J140" i="18"/>
  <c r="M140" i="18" s="1"/>
  <c r="A140" i="18"/>
  <c r="F139" i="18"/>
  <c r="F139" i="8"/>
  <c r="G139" i="19" s="1"/>
  <c r="F139" i="14"/>
  <c r="F138" i="18"/>
  <c r="F138" i="14"/>
  <c r="F138" i="8"/>
  <c r="F137" i="18"/>
  <c r="F137" i="8"/>
  <c r="G137" i="19" s="1"/>
  <c r="F137" i="14"/>
  <c r="F137" i="13"/>
  <c r="B137" i="13" s="1"/>
  <c r="F136" i="18"/>
  <c r="F136" i="8"/>
  <c r="G136" i="19" s="1"/>
  <c r="F136" i="14"/>
  <c r="F135" i="18"/>
  <c r="F135" i="8"/>
  <c r="G135" i="19" s="1"/>
  <c r="F135" i="14"/>
  <c r="F134" i="18"/>
  <c r="F134" i="14"/>
  <c r="F134" i="8"/>
  <c r="G134" i="19" s="1"/>
  <c r="F133" i="18"/>
  <c r="F133" i="8"/>
  <c r="G133" i="19" s="1"/>
  <c r="F133" i="14"/>
  <c r="F132" i="18"/>
  <c r="F132" i="14"/>
  <c r="F132" i="8"/>
  <c r="G132" i="19" s="1"/>
  <c r="F131" i="18"/>
  <c r="F131" i="14"/>
  <c r="F131" i="8"/>
  <c r="G131" i="19" s="1"/>
  <c r="F130" i="18"/>
  <c r="F130" i="8"/>
  <c r="G130" i="19" s="1"/>
  <c r="F130" i="14"/>
  <c r="F129" i="18"/>
  <c r="F129" i="8"/>
  <c r="F129" i="14"/>
  <c r="B128" i="14"/>
  <c r="I128" i="14"/>
  <c r="T128" i="14"/>
  <c r="G128" i="14"/>
  <c r="A128" i="14"/>
  <c r="H128" i="14"/>
  <c r="K128" i="14"/>
  <c r="U128" i="14"/>
  <c r="C128" i="14"/>
  <c r="D128" i="14"/>
  <c r="S128" i="14"/>
  <c r="E128" i="14"/>
  <c r="W128" i="14"/>
  <c r="V128" i="14"/>
  <c r="X128" i="8"/>
  <c r="C128" i="8"/>
  <c r="U128" i="8"/>
  <c r="I128" i="19" s="1"/>
  <c r="J128" i="8"/>
  <c r="L128" i="8"/>
  <c r="K128" i="8"/>
  <c r="E128" i="8"/>
  <c r="F128" i="19" s="1"/>
  <c r="D128" i="8"/>
  <c r="E128" i="19" s="1"/>
  <c r="B128" i="8"/>
  <c r="C128" i="19" s="1"/>
  <c r="M128" i="8"/>
  <c r="G128" i="8"/>
  <c r="H128" i="19" s="1"/>
  <c r="I128" i="8"/>
  <c r="H128" i="8"/>
  <c r="E128" i="18"/>
  <c r="G128" i="18"/>
  <c r="C128" i="18"/>
  <c r="I128" i="18"/>
  <c r="H128" i="18"/>
  <c r="J128" i="18"/>
  <c r="L128" i="18" s="1"/>
  <c r="A128" i="18"/>
  <c r="B128" i="18"/>
  <c r="D128" i="18"/>
  <c r="N128" i="18"/>
  <c r="F127" i="18"/>
  <c r="F127" i="8"/>
  <c r="G127" i="19" s="1"/>
  <c r="F127" i="14"/>
  <c r="F126" i="18"/>
  <c r="F126" i="14"/>
  <c r="F126" i="8"/>
  <c r="G126" i="19" s="1"/>
  <c r="F35" i="18"/>
  <c r="F35" i="8"/>
  <c r="G35" i="19" s="1"/>
  <c r="F35" i="14"/>
  <c r="B125" i="14"/>
  <c r="K125" i="14"/>
  <c r="A125" i="14"/>
  <c r="S125" i="14"/>
  <c r="I125" i="14"/>
  <c r="U125" i="14"/>
  <c r="D125" i="14"/>
  <c r="C125" i="14"/>
  <c r="G125" i="14"/>
  <c r="T125" i="14"/>
  <c r="H125" i="14"/>
  <c r="W125" i="14"/>
  <c r="E125" i="14"/>
  <c r="V125" i="14"/>
  <c r="C125" i="18"/>
  <c r="B125" i="18"/>
  <c r="G125" i="18"/>
  <c r="E125" i="18"/>
  <c r="J125" i="18"/>
  <c r="L125" i="18" s="1"/>
  <c r="D125" i="18"/>
  <c r="H125" i="18"/>
  <c r="A125" i="18"/>
  <c r="I125" i="18"/>
  <c r="H125" i="8"/>
  <c r="B125" i="8"/>
  <c r="C125" i="19" s="1"/>
  <c r="L125" i="8"/>
  <c r="J125" i="8"/>
  <c r="K125" i="8"/>
  <c r="E125" i="8"/>
  <c r="F125" i="19" s="1"/>
  <c r="M125" i="8"/>
  <c r="C125" i="8"/>
  <c r="G125" i="8"/>
  <c r="H125" i="19" s="1"/>
  <c r="I125" i="8"/>
  <c r="D125" i="8"/>
  <c r="E125" i="19" s="1"/>
  <c r="U125" i="8"/>
  <c r="I125" i="19" s="1"/>
  <c r="X125" i="8"/>
  <c r="F124" i="18"/>
  <c r="F124" i="14"/>
  <c r="F124" i="8"/>
  <c r="F124" i="13"/>
  <c r="C124" i="13" s="1"/>
  <c r="S123" i="14"/>
  <c r="K123" i="14"/>
  <c r="G123" i="14"/>
  <c r="E123" i="14"/>
  <c r="V123" i="14"/>
  <c r="I123" i="14"/>
  <c r="H123" i="14"/>
  <c r="B123" i="14"/>
  <c r="D123" i="14"/>
  <c r="W123" i="14"/>
  <c r="T123" i="14"/>
  <c r="A123" i="14"/>
  <c r="U123" i="14"/>
  <c r="C123" i="14"/>
  <c r="B123" i="18"/>
  <c r="D123" i="18"/>
  <c r="A123" i="18"/>
  <c r="C123" i="18"/>
  <c r="G123" i="18"/>
  <c r="H123" i="18"/>
  <c r="E123" i="18"/>
  <c r="J123" i="18" s="1"/>
  <c r="D123" i="8"/>
  <c r="E123" i="19" s="1"/>
  <c r="E123" i="8"/>
  <c r="F123" i="19" s="1"/>
  <c r="G123" i="8"/>
  <c r="H123" i="19" s="1"/>
  <c r="K123" i="8"/>
  <c r="H123" i="8"/>
  <c r="J123" i="8"/>
  <c r="B123" i="8"/>
  <c r="C123" i="19" s="1"/>
  <c r="C123" i="8"/>
  <c r="I123" i="8"/>
  <c r="M123" i="8"/>
  <c r="X123" i="8"/>
  <c r="L123" i="8"/>
  <c r="U123" i="8"/>
  <c r="I123" i="19" s="1"/>
  <c r="I122" i="8"/>
  <c r="L122" i="8"/>
  <c r="E122" i="8"/>
  <c r="F122" i="19" s="1"/>
  <c r="D122" i="8"/>
  <c r="E122" i="19" s="1"/>
  <c r="B122" i="8"/>
  <c r="C122" i="19" s="1"/>
  <c r="U122" i="8"/>
  <c r="I122" i="19" s="1"/>
  <c r="K122" i="8"/>
  <c r="G122" i="8"/>
  <c r="H122" i="19" s="1"/>
  <c r="J122" i="8"/>
  <c r="H122" i="8"/>
  <c r="X122" i="8"/>
  <c r="C122" i="8"/>
  <c r="M122" i="8"/>
  <c r="D122" i="14"/>
  <c r="C122" i="14"/>
  <c r="I122" i="14"/>
  <c r="G122" i="14"/>
  <c r="U122" i="14"/>
  <c r="E122" i="14"/>
  <c r="V122" i="14"/>
  <c r="B122" i="14"/>
  <c r="H122" i="14"/>
  <c r="K122" i="14"/>
  <c r="T122" i="14"/>
  <c r="W122" i="14"/>
  <c r="S122" i="14"/>
  <c r="A122" i="14"/>
  <c r="B122" i="18"/>
  <c r="H122" i="18"/>
  <c r="E122" i="18"/>
  <c r="D122" i="18"/>
  <c r="C122" i="18"/>
  <c r="I122" i="18"/>
  <c r="A122" i="18"/>
  <c r="J122" i="18"/>
  <c r="M122" i="18" s="1"/>
  <c r="G122" i="18"/>
  <c r="G121" i="8"/>
  <c r="H121" i="19" s="1"/>
  <c r="J121" i="8"/>
  <c r="B121" i="8"/>
  <c r="C121" i="19" s="1"/>
  <c r="L121" i="8"/>
  <c r="E121" i="8"/>
  <c r="K121" i="8"/>
  <c r="D121" i="8"/>
  <c r="E121" i="19" s="1"/>
  <c r="M121" i="8"/>
  <c r="C121" i="8"/>
  <c r="X121" i="8"/>
  <c r="I121" i="8"/>
  <c r="H121" i="8"/>
  <c r="U121" i="8"/>
  <c r="I121" i="19" s="1"/>
  <c r="D121" i="14"/>
  <c r="C121" i="14"/>
  <c r="H121" i="14"/>
  <c r="G121" i="14"/>
  <c r="I121" i="14"/>
  <c r="W121" i="14"/>
  <c r="E121" i="14"/>
  <c r="T121" i="14"/>
  <c r="B121" i="14"/>
  <c r="A121" i="14"/>
  <c r="V121" i="14"/>
  <c r="S121" i="14"/>
  <c r="K121" i="14"/>
  <c r="U121" i="14"/>
  <c r="C121" i="18"/>
  <c r="B121" i="18"/>
  <c r="J121" i="18"/>
  <c r="L121" i="18" s="1"/>
  <c r="A121" i="18"/>
  <c r="H121" i="18"/>
  <c r="D121" i="18"/>
  <c r="I121" i="18"/>
  <c r="E121" i="18"/>
  <c r="G121" i="18"/>
  <c r="F120" i="18"/>
  <c r="F120" i="14"/>
  <c r="F120" i="8"/>
  <c r="G120" i="19" s="1"/>
  <c r="F120" i="13"/>
  <c r="C120" i="13" s="1"/>
  <c r="C119" i="14"/>
  <c r="H119" i="14"/>
  <c r="T119" i="14"/>
  <c r="E119" i="14"/>
  <c r="I119" i="14"/>
  <c r="U119" i="14"/>
  <c r="B119" i="14"/>
  <c r="D119" i="14"/>
  <c r="G119" i="14"/>
  <c r="A119" i="14"/>
  <c r="S119" i="14"/>
  <c r="W119" i="14"/>
  <c r="K119" i="14"/>
  <c r="V119" i="14"/>
  <c r="A119" i="18"/>
  <c r="B119" i="18"/>
  <c r="D119" i="18"/>
  <c r="E119" i="18"/>
  <c r="J119" i="18"/>
  <c r="L119" i="18" s="1"/>
  <c r="I119" i="18"/>
  <c r="C119" i="18"/>
  <c r="G119" i="18"/>
  <c r="H119" i="18"/>
  <c r="D119" i="8"/>
  <c r="E119" i="19" s="1"/>
  <c r="X119" i="8"/>
  <c r="C119" i="8"/>
  <c r="M119" i="8"/>
  <c r="K119" i="8"/>
  <c r="E119" i="8"/>
  <c r="F119" i="19" s="1"/>
  <c r="L119" i="8"/>
  <c r="B119" i="8"/>
  <c r="C119" i="19" s="1"/>
  <c r="U119" i="8"/>
  <c r="I119" i="19" s="1"/>
  <c r="G119" i="8"/>
  <c r="H119" i="19" s="1"/>
  <c r="I119" i="8"/>
  <c r="H119" i="8"/>
  <c r="J119" i="8"/>
  <c r="F118" i="18"/>
  <c r="F118" i="14"/>
  <c r="F118" i="8"/>
  <c r="F118" i="13"/>
  <c r="B118" i="13" s="1"/>
  <c r="F117" i="18"/>
  <c r="F117" i="8"/>
  <c r="G117" i="19" s="1"/>
  <c r="F117" i="14"/>
  <c r="I116" i="8"/>
  <c r="J116" i="8"/>
  <c r="G116" i="8"/>
  <c r="H116" i="19" s="1"/>
  <c r="K116" i="8"/>
  <c r="E116" i="8"/>
  <c r="D116" i="8"/>
  <c r="E116" i="19" s="1"/>
  <c r="C116" i="8"/>
  <c r="U116" i="8"/>
  <c r="I116" i="19" s="1"/>
  <c r="M116" i="8"/>
  <c r="L116" i="8"/>
  <c r="H116" i="8"/>
  <c r="X116" i="8"/>
  <c r="B116" i="8"/>
  <c r="C116" i="19" s="1"/>
  <c r="C116" i="18"/>
  <c r="I116" i="18"/>
  <c r="A116" i="18"/>
  <c r="G116" i="18"/>
  <c r="B116" i="18"/>
  <c r="D116" i="18"/>
  <c r="J116" i="18"/>
  <c r="L116" i="18" s="1"/>
  <c r="E116" i="18"/>
  <c r="H116" i="18"/>
  <c r="C116" i="14"/>
  <c r="D116" i="14"/>
  <c r="S116" i="14"/>
  <c r="A116" i="14"/>
  <c r="I116" i="14"/>
  <c r="K116" i="14"/>
  <c r="V116" i="14"/>
  <c r="B116" i="14"/>
  <c r="G116" i="14"/>
  <c r="H116" i="14"/>
  <c r="T116" i="14"/>
  <c r="E116" i="14"/>
  <c r="W116" i="14"/>
  <c r="U116" i="14"/>
  <c r="F115" i="18"/>
  <c r="F115" i="8"/>
  <c r="G115" i="19" s="1"/>
  <c r="F115" i="14"/>
  <c r="F114" i="18"/>
  <c r="F114" i="14"/>
  <c r="F114" i="8"/>
  <c r="G114" i="19" s="1"/>
  <c r="F113" i="18"/>
  <c r="F113" i="8"/>
  <c r="G113" i="19" s="1"/>
  <c r="F113" i="14"/>
  <c r="F112" i="18"/>
  <c r="F112" i="14"/>
  <c r="F112" i="8"/>
  <c r="G112" i="19" s="1"/>
  <c r="F111" i="18"/>
  <c r="F111" i="8"/>
  <c r="F111" i="14"/>
  <c r="F111" i="13"/>
  <c r="C111" i="13" s="1"/>
  <c r="D110" i="14"/>
  <c r="K110" i="14"/>
  <c r="H110" i="14"/>
  <c r="T110" i="14"/>
  <c r="G110" i="14"/>
  <c r="W110" i="14"/>
  <c r="V110" i="14"/>
  <c r="U110" i="14"/>
  <c r="C110" i="14"/>
  <c r="B110" i="14"/>
  <c r="S110" i="14"/>
  <c r="E110" i="14"/>
  <c r="A110" i="14"/>
  <c r="I110" i="14"/>
  <c r="J110" i="8"/>
  <c r="G110" i="8"/>
  <c r="H110" i="19" s="1"/>
  <c r="I110" i="8"/>
  <c r="K110" i="8"/>
  <c r="D110" i="8"/>
  <c r="E110" i="19" s="1"/>
  <c r="B110" i="8"/>
  <c r="C110" i="19" s="1"/>
  <c r="U110" i="8"/>
  <c r="I110" i="19" s="1"/>
  <c r="M110" i="8"/>
  <c r="E110" i="8"/>
  <c r="F110" i="19" s="1"/>
  <c r="L110" i="8"/>
  <c r="H110" i="8"/>
  <c r="X110" i="8"/>
  <c r="C110" i="8"/>
  <c r="D110" i="18"/>
  <c r="C110" i="18"/>
  <c r="A110" i="18"/>
  <c r="E110" i="18"/>
  <c r="J110" i="18" s="1"/>
  <c r="B110" i="18"/>
  <c r="G110" i="18"/>
  <c r="H110" i="18"/>
  <c r="F109" i="18"/>
  <c r="F109" i="8"/>
  <c r="G109" i="19" s="1"/>
  <c r="F109" i="14"/>
  <c r="F109" i="13"/>
  <c r="B109" i="13" s="1"/>
  <c r="I108" i="14"/>
  <c r="H108" i="14"/>
  <c r="U108" i="14"/>
  <c r="S108" i="14"/>
  <c r="A108" i="14"/>
  <c r="B108" i="14"/>
  <c r="D108" i="14"/>
  <c r="E108" i="14"/>
  <c r="W108" i="14"/>
  <c r="T108" i="14"/>
  <c r="V108" i="14"/>
  <c r="K108" i="14"/>
  <c r="G108" i="14"/>
  <c r="C108" i="14"/>
  <c r="D108" i="8"/>
  <c r="E108" i="19" s="1"/>
  <c r="B108" i="8"/>
  <c r="C108" i="19" s="1"/>
  <c r="G108" i="8"/>
  <c r="H108" i="19" s="1"/>
  <c r="I108" i="8"/>
  <c r="E108" i="8"/>
  <c r="X108" i="8"/>
  <c r="C108" i="8"/>
  <c r="U108" i="8"/>
  <c r="I108" i="19" s="1"/>
  <c r="M108" i="8"/>
  <c r="K108" i="8"/>
  <c r="J108" i="8"/>
  <c r="H108" i="8"/>
  <c r="L108" i="8"/>
  <c r="B108" i="18"/>
  <c r="D108" i="18"/>
  <c r="I108" i="18"/>
  <c r="J108" i="18"/>
  <c r="L108" i="18" s="1"/>
  <c r="A108" i="18"/>
  <c r="C108" i="18"/>
  <c r="G108" i="18"/>
  <c r="H108" i="18"/>
  <c r="E108" i="18"/>
  <c r="S107" i="14"/>
  <c r="W107" i="14"/>
  <c r="U107" i="14"/>
  <c r="V107" i="14"/>
  <c r="H107" i="14"/>
  <c r="B107" i="14"/>
  <c r="T107" i="14"/>
  <c r="K107" i="14"/>
  <c r="A107" i="14"/>
  <c r="E107" i="14"/>
  <c r="I107" i="14"/>
  <c r="G107" i="14"/>
  <c r="D107" i="14"/>
  <c r="C107" i="14"/>
  <c r="C107" i="18"/>
  <c r="G107" i="18"/>
  <c r="H107" i="18"/>
  <c r="E107" i="18"/>
  <c r="B107" i="18"/>
  <c r="D107" i="18"/>
  <c r="I107" i="18"/>
  <c r="J107" i="18"/>
  <c r="K107" i="18" s="1"/>
  <c r="A107" i="18"/>
  <c r="D107" i="8"/>
  <c r="E107" i="19" s="1"/>
  <c r="J107" i="8"/>
  <c r="G107" i="8"/>
  <c r="H107" i="19" s="1"/>
  <c r="C107" i="8"/>
  <c r="E107" i="8"/>
  <c r="M107" i="8"/>
  <c r="L107" i="8"/>
  <c r="X107" i="8"/>
  <c r="U107" i="8"/>
  <c r="I107" i="19" s="1"/>
  <c r="K107" i="8"/>
  <c r="I107" i="8"/>
  <c r="H107" i="8"/>
  <c r="B107" i="8"/>
  <c r="C107" i="19" s="1"/>
  <c r="D106" i="8"/>
  <c r="E106" i="19" s="1"/>
  <c r="B106" i="8"/>
  <c r="C106" i="19" s="1"/>
  <c r="U106" i="8"/>
  <c r="I106" i="19" s="1"/>
  <c r="M106" i="8"/>
  <c r="E106" i="8"/>
  <c r="F106" i="19" s="1"/>
  <c r="G106" i="8"/>
  <c r="H106" i="19" s="1"/>
  <c r="X106" i="8"/>
  <c r="C106" i="8"/>
  <c r="L106" i="8"/>
  <c r="J106" i="8"/>
  <c r="K106" i="8"/>
  <c r="H106" i="8"/>
  <c r="I106" i="8"/>
  <c r="D106" i="14"/>
  <c r="I106" i="14"/>
  <c r="G106" i="14"/>
  <c r="S106" i="14"/>
  <c r="E106" i="14"/>
  <c r="H106" i="14"/>
  <c r="C106" i="14"/>
  <c r="B106" i="14"/>
  <c r="W106" i="14"/>
  <c r="A106" i="14"/>
  <c r="K106" i="14"/>
  <c r="T106" i="14"/>
  <c r="V106" i="14"/>
  <c r="U106" i="14"/>
  <c r="D106" i="18"/>
  <c r="C106" i="18"/>
  <c r="A106" i="18"/>
  <c r="J106" i="18"/>
  <c r="L106" i="18" s="1"/>
  <c r="G106" i="18"/>
  <c r="B106" i="18"/>
  <c r="I106" i="18"/>
  <c r="E106" i="18"/>
  <c r="H106" i="18"/>
  <c r="C105" i="8"/>
  <c r="I105" i="8"/>
  <c r="M105" i="8"/>
  <c r="X105" i="8"/>
  <c r="E105" i="8"/>
  <c r="G105" i="8"/>
  <c r="H105" i="19" s="1"/>
  <c r="L105" i="8"/>
  <c r="U105" i="8"/>
  <c r="I105" i="19" s="1"/>
  <c r="B105" i="8"/>
  <c r="C105" i="19" s="1"/>
  <c r="H105" i="8"/>
  <c r="J105" i="8"/>
  <c r="K105" i="8"/>
  <c r="D105" i="8"/>
  <c r="E105" i="19" s="1"/>
  <c r="C105" i="14"/>
  <c r="T105" i="14"/>
  <c r="S105" i="14"/>
  <c r="I105" i="14"/>
  <c r="E105" i="14"/>
  <c r="G105" i="14"/>
  <c r="U105" i="14"/>
  <c r="H105" i="14"/>
  <c r="B105" i="14"/>
  <c r="D105" i="14"/>
  <c r="W105" i="14"/>
  <c r="K105" i="14"/>
  <c r="V105" i="14"/>
  <c r="A105" i="14"/>
  <c r="C105" i="18"/>
  <c r="B105" i="18"/>
  <c r="H105" i="18"/>
  <c r="E105" i="18"/>
  <c r="J105" i="18" s="1"/>
  <c r="D105" i="18"/>
  <c r="A105" i="18"/>
  <c r="G105" i="18"/>
  <c r="F104" i="18"/>
  <c r="F104" i="14"/>
  <c r="F104" i="8"/>
  <c r="F103" i="18"/>
  <c r="F103" i="8"/>
  <c r="G103" i="19" s="1"/>
  <c r="F103" i="14"/>
  <c r="F102" i="18"/>
  <c r="F102" i="8"/>
  <c r="G102" i="19" s="1"/>
  <c r="F102" i="14"/>
  <c r="F101" i="18"/>
  <c r="F101" i="8"/>
  <c r="F101" i="14"/>
  <c r="F100" i="18"/>
  <c r="F100" i="8"/>
  <c r="G100" i="19" s="1"/>
  <c r="F100" i="14"/>
  <c r="F99" i="18"/>
  <c r="F99" i="14"/>
  <c r="F99" i="8"/>
  <c r="G99" i="19" s="1"/>
  <c r="H97" i="8"/>
  <c r="E97" i="8"/>
  <c r="F97" i="19" s="1"/>
  <c r="J97" i="8"/>
  <c r="D97" i="8"/>
  <c r="E97" i="19" s="1"/>
  <c r="X97" i="8"/>
  <c r="M97" i="8"/>
  <c r="I97" i="8"/>
  <c r="B97" i="8"/>
  <c r="C97" i="19" s="1"/>
  <c r="U97" i="8"/>
  <c r="I97" i="19" s="1"/>
  <c r="C97" i="8"/>
  <c r="K97" i="8"/>
  <c r="L97" i="8"/>
  <c r="G97" i="8"/>
  <c r="H97" i="19" s="1"/>
  <c r="F96" i="18"/>
  <c r="F96" i="8"/>
  <c r="G96" i="19" s="1"/>
  <c r="F96" i="14"/>
  <c r="B97" i="14"/>
  <c r="D97" i="14"/>
  <c r="T97" i="14"/>
  <c r="E97" i="14"/>
  <c r="A97" i="14"/>
  <c r="W97" i="14"/>
  <c r="U97" i="14"/>
  <c r="C97" i="14"/>
  <c r="K97" i="14"/>
  <c r="G97" i="14"/>
  <c r="H97" i="14"/>
  <c r="S97" i="14"/>
  <c r="I97" i="14"/>
  <c r="V97" i="14"/>
  <c r="C97" i="18"/>
  <c r="B97" i="18"/>
  <c r="H97" i="18"/>
  <c r="E97" i="18"/>
  <c r="D97" i="18"/>
  <c r="I97" i="18"/>
  <c r="J97" i="18"/>
  <c r="L97" i="18" s="1"/>
  <c r="A97" i="18"/>
  <c r="G97" i="18"/>
  <c r="F98" i="18"/>
  <c r="F98" i="14"/>
  <c r="F98" i="8"/>
  <c r="F95" i="18"/>
  <c r="F95" i="14"/>
  <c r="F95" i="8"/>
  <c r="F95" i="13"/>
  <c r="B95" i="13" s="1"/>
  <c r="F94" i="18"/>
  <c r="F94" i="14"/>
  <c r="F94" i="8"/>
  <c r="F93" i="18"/>
  <c r="F93" i="8"/>
  <c r="G93" i="19" s="1"/>
  <c r="F93" i="14"/>
  <c r="G92" i="8"/>
  <c r="H92" i="19" s="1"/>
  <c r="X92" i="8"/>
  <c r="C92" i="8"/>
  <c r="U92" i="8"/>
  <c r="I92" i="19" s="1"/>
  <c r="M92" i="8"/>
  <c r="J92" i="8"/>
  <c r="K92" i="8"/>
  <c r="H92" i="8"/>
  <c r="L92" i="8"/>
  <c r="D92" i="8"/>
  <c r="E92" i="19" s="1"/>
  <c r="B92" i="8"/>
  <c r="C92" i="19" s="1"/>
  <c r="I92" i="8"/>
  <c r="E92" i="8"/>
  <c r="C92" i="18"/>
  <c r="I92" i="18"/>
  <c r="J92" i="18"/>
  <c r="L92" i="18" s="1"/>
  <c r="H92" i="18"/>
  <c r="A92" i="18"/>
  <c r="B92" i="18"/>
  <c r="D92" i="18"/>
  <c r="G92" i="18"/>
  <c r="E92" i="18"/>
  <c r="W92" i="14"/>
  <c r="A92" i="14"/>
  <c r="T92" i="14"/>
  <c r="U92" i="14"/>
  <c r="G92" i="14"/>
  <c r="S92" i="14"/>
  <c r="B92" i="14"/>
  <c r="H92" i="14"/>
  <c r="K92" i="14"/>
  <c r="V92" i="14"/>
  <c r="I92" i="14"/>
  <c r="E92" i="14"/>
  <c r="D92" i="14"/>
  <c r="C92" i="14"/>
  <c r="J91" i="8"/>
  <c r="U91" i="8"/>
  <c r="I91" i="19" s="1"/>
  <c r="D91" i="8"/>
  <c r="E91" i="19" s="1"/>
  <c r="G91" i="8"/>
  <c r="H91" i="19" s="1"/>
  <c r="I91" i="8"/>
  <c r="H91" i="8"/>
  <c r="X91" i="8"/>
  <c r="L91" i="8"/>
  <c r="C91" i="8"/>
  <c r="M91" i="8"/>
  <c r="K91" i="8"/>
  <c r="E91" i="8"/>
  <c r="F91" i="19" s="1"/>
  <c r="B91" i="8"/>
  <c r="C91" i="19" s="1"/>
  <c r="S91" i="14"/>
  <c r="V91" i="14"/>
  <c r="A91" i="14"/>
  <c r="I91" i="14"/>
  <c r="K91" i="14"/>
  <c r="T91" i="14"/>
  <c r="C91" i="14"/>
  <c r="B91" i="14"/>
  <c r="H91" i="14"/>
  <c r="W91" i="14"/>
  <c r="U91" i="14"/>
  <c r="E91" i="14"/>
  <c r="G91" i="14"/>
  <c r="D91" i="14"/>
  <c r="B91" i="18"/>
  <c r="D91" i="18"/>
  <c r="H91" i="18"/>
  <c r="J91" i="18"/>
  <c r="L91" i="18" s="1"/>
  <c r="G91" i="18"/>
  <c r="C91" i="18"/>
  <c r="I91" i="18"/>
  <c r="A91" i="18"/>
  <c r="E91" i="18"/>
  <c r="F90" i="18"/>
  <c r="F90" i="8"/>
  <c r="G90" i="19" s="1"/>
  <c r="F90" i="14"/>
  <c r="K89" i="8"/>
  <c r="B89" i="8"/>
  <c r="C89" i="19" s="1"/>
  <c r="G89" i="8"/>
  <c r="H89" i="19" s="1"/>
  <c r="X89" i="8"/>
  <c r="E89" i="8"/>
  <c r="L89" i="8"/>
  <c r="C89" i="8"/>
  <c r="H89" i="8"/>
  <c r="J89" i="8"/>
  <c r="I89" i="8"/>
  <c r="M89" i="8"/>
  <c r="U89" i="8"/>
  <c r="I89" i="19" s="1"/>
  <c r="D89" i="8"/>
  <c r="E89" i="19" s="1"/>
  <c r="K89" i="14"/>
  <c r="B89" i="14"/>
  <c r="D89" i="14"/>
  <c r="E89" i="14"/>
  <c r="S89" i="14"/>
  <c r="C89" i="14"/>
  <c r="A89" i="14"/>
  <c r="I89" i="14"/>
  <c r="V89" i="14"/>
  <c r="W89" i="14"/>
  <c r="U89" i="14"/>
  <c r="H89" i="14"/>
  <c r="G89" i="14"/>
  <c r="T89" i="14"/>
  <c r="C89" i="18"/>
  <c r="B89" i="18"/>
  <c r="A89" i="18"/>
  <c r="G89" i="18"/>
  <c r="D89" i="18"/>
  <c r="H89" i="18"/>
  <c r="E89" i="18"/>
  <c r="J89" i="18" s="1"/>
  <c r="F88" i="18"/>
  <c r="F88" i="14"/>
  <c r="F88" i="8"/>
  <c r="I87" i="8"/>
  <c r="G87" i="8"/>
  <c r="H87" i="19" s="1"/>
  <c r="X87" i="8"/>
  <c r="M87" i="8"/>
  <c r="H87" i="8"/>
  <c r="E87" i="8"/>
  <c r="K87" i="8"/>
  <c r="D87" i="8"/>
  <c r="E87" i="19" s="1"/>
  <c r="U87" i="8"/>
  <c r="I87" i="19" s="1"/>
  <c r="B87" i="8"/>
  <c r="C87" i="19" s="1"/>
  <c r="J87" i="8"/>
  <c r="L87" i="8"/>
  <c r="C87" i="8"/>
  <c r="B87" i="18"/>
  <c r="D87" i="18"/>
  <c r="G87" i="18"/>
  <c r="E87" i="18"/>
  <c r="J87" i="18" s="1"/>
  <c r="H87" i="18"/>
  <c r="C87" i="18"/>
  <c r="A87" i="18"/>
  <c r="D87" i="14"/>
  <c r="A87" i="14"/>
  <c r="E87" i="14"/>
  <c r="H87" i="14"/>
  <c r="G87" i="14"/>
  <c r="W87" i="14"/>
  <c r="V87" i="14"/>
  <c r="C87" i="14"/>
  <c r="B87" i="14"/>
  <c r="S87" i="14"/>
  <c r="T87" i="14"/>
  <c r="K87" i="14"/>
  <c r="U87" i="14"/>
  <c r="I87" i="14"/>
  <c r="L86" i="8"/>
  <c r="X86" i="8"/>
  <c r="C86" i="8"/>
  <c r="H86" i="8"/>
  <c r="M86" i="8"/>
  <c r="I86" i="8"/>
  <c r="K86" i="8"/>
  <c r="J86" i="8"/>
  <c r="D86" i="8"/>
  <c r="E86" i="19" s="1"/>
  <c r="B86" i="8"/>
  <c r="C86" i="19" s="1"/>
  <c r="U86" i="8"/>
  <c r="I86" i="19" s="1"/>
  <c r="G86" i="8"/>
  <c r="H86" i="19" s="1"/>
  <c r="E86" i="8"/>
  <c r="C86" i="14"/>
  <c r="T86" i="14"/>
  <c r="H86" i="14"/>
  <c r="A86" i="14"/>
  <c r="K86" i="14"/>
  <c r="W86" i="14"/>
  <c r="B86" i="14"/>
  <c r="D86" i="14"/>
  <c r="S86" i="14"/>
  <c r="G86" i="14"/>
  <c r="E86" i="14"/>
  <c r="I86" i="14"/>
  <c r="U86" i="14"/>
  <c r="V86" i="14"/>
  <c r="D86" i="18"/>
  <c r="C86" i="18"/>
  <c r="I86" i="18"/>
  <c r="J86" i="18"/>
  <c r="L86" i="18" s="1"/>
  <c r="G86" i="18"/>
  <c r="B86" i="18"/>
  <c r="E86" i="18"/>
  <c r="H86" i="18"/>
  <c r="A86" i="18"/>
  <c r="K85" i="8"/>
  <c r="L85" i="8"/>
  <c r="B85" i="8"/>
  <c r="C85" i="19" s="1"/>
  <c r="U85" i="8"/>
  <c r="I85" i="19" s="1"/>
  <c r="C85" i="8"/>
  <c r="G85" i="8"/>
  <c r="H85" i="19" s="1"/>
  <c r="E85" i="8"/>
  <c r="F85" i="19" s="1"/>
  <c r="D85" i="8"/>
  <c r="E85" i="19" s="1"/>
  <c r="X85" i="8"/>
  <c r="M85" i="8"/>
  <c r="I85" i="8"/>
  <c r="H85" i="8"/>
  <c r="J85" i="8"/>
  <c r="C85" i="14"/>
  <c r="T85" i="14"/>
  <c r="A85" i="14"/>
  <c r="S85" i="14"/>
  <c r="K85" i="14"/>
  <c r="E85" i="14"/>
  <c r="V85" i="14"/>
  <c r="B85" i="14"/>
  <c r="D85" i="14"/>
  <c r="H85" i="14"/>
  <c r="G85" i="14"/>
  <c r="I85" i="14"/>
  <c r="W85" i="14"/>
  <c r="U85" i="14"/>
  <c r="J85" i="18"/>
  <c r="L85" i="18" s="1"/>
  <c r="D85" i="18"/>
  <c r="A85" i="18"/>
  <c r="E85" i="18"/>
  <c r="G85" i="18"/>
  <c r="C85" i="18"/>
  <c r="B85" i="18"/>
  <c r="I85" i="18"/>
  <c r="H85" i="18"/>
  <c r="F82" i="18"/>
  <c r="F82" i="8"/>
  <c r="G82" i="19" s="1"/>
  <c r="F82" i="14"/>
  <c r="V84" i="14"/>
  <c r="E84" i="14"/>
  <c r="G84" i="14"/>
  <c r="B84" i="14"/>
  <c r="W84" i="14"/>
  <c r="S84" i="14"/>
  <c r="U84" i="14"/>
  <c r="D84" i="14"/>
  <c r="C84" i="14"/>
  <c r="K84" i="14"/>
  <c r="T84" i="14"/>
  <c r="A84" i="14"/>
  <c r="I84" i="14"/>
  <c r="H84" i="14"/>
  <c r="G84" i="8"/>
  <c r="H84" i="19" s="1"/>
  <c r="I84" i="8"/>
  <c r="J84" i="8"/>
  <c r="D84" i="8"/>
  <c r="E84" i="19" s="1"/>
  <c r="C84" i="8"/>
  <c r="H84" i="8"/>
  <c r="E84" i="8"/>
  <c r="F84" i="19" s="1"/>
  <c r="K84" i="8"/>
  <c r="L84" i="8"/>
  <c r="X84" i="8"/>
  <c r="B84" i="8"/>
  <c r="C84" i="19" s="1"/>
  <c r="U84" i="8"/>
  <c r="I84" i="19" s="1"/>
  <c r="M84" i="8"/>
  <c r="B84" i="18"/>
  <c r="D84" i="18"/>
  <c r="I84" i="18"/>
  <c r="J84" i="18"/>
  <c r="N84" i="18" s="1"/>
  <c r="A84" i="18"/>
  <c r="H84" i="18"/>
  <c r="C84" i="18"/>
  <c r="E84" i="18"/>
  <c r="G84" i="18"/>
  <c r="F83" i="18"/>
  <c r="F83" i="8"/>
  <c r="G83" i="19" s="1"/>
  <c r="F83" i="14"/>
  <c r="C81" i="14"/>
  <c r="H81" i="14"/>
  <c r="T81" i="14"/>
  <c r="G81" i="14"/>
  <c r="U81" i="14"/>
  <c r="A81" i="14"/>
  <c r="B81" i="14"/>
  <c r="D81" i="14"/>
  <c r="K81" i="14"/>
  <c r="I81" i="14"/>
  <c r="E81" i="14"/>
  <c r="W81" i="14"/>
  <c r="V81" i="14"/>
  <c r="S81" i="14"/>
  <c r="J81" i="8"/>
  <c r="D81" i="8"/>
  <c r="E81" i="19" s="1"/>
  <c r="B81" i="8"/>
  <c r="C81" i="19" s="1"/>
  <c r="U81" i="8"/>
  <c r="I81" i="19" s="1"/>
  <c r="H81" i="8"/>
  <c r="E81" i="8"/>
  <c r="F81" i="19" s="1"/>
  <c r="L81" i="8"/>
  <c r="I81" i="8"/>
  <c r="X81" i="8"/>
  <c r="C81" i="8"/>
  <c r="M81" i="8"/>
  <c r="G81" i="8"/>
  <c r="H81" i="19" s="1"/>
  <c r="K81" i="8"/>
  <c r="C81" i="18"/>
  <c r="B81" i="18"/>
  <c r="A81" i="18"/>
  <c r="E81" i="18"/>
  <c r="J81" i="18" s="1"/>
  <c r="D81" i="18"/>
  <c r="H81" i="18"/>
  <c r="G81" i="18"/>
  <c r="F80" i="18"/>
  <c r="F80" i="14"/>
  <c r="F80" i="8"/>
  <c r="G80" i="19" s="1"/>
  <c r="F79" i="18"/>
  <c r="F79" i="8"/>
  <c r="F79" i="14"/>
  <c r="F79" i="13"/>
  <c r="B79" i="13" s="1"/>
  <c r="F78" i="18"/>
  <c r="F78" i="14"/>
  <c r="F78" i="8"/>
  <c r="F78" i="13"/>
  <c r="B78" i="13" s="1"/>
  <c r="B77" i="14"/>
  <c r="D77" i="14"/>
  <c r="T77" i="14"/>
  <c r="A77" i="14"/>
  <c r="E77" i="14"/>
  <c r="V77" i="14"/>
  <c r="C77" i="14"/>
  <c r="I77" i="14"/>
  <c r="G77" i="14"/>
  <c r="S77" i="14"/>
  <c r="H77" i="14"/>
  <c r="W77" i="14"/>
  <c r="K77" i="14"/>
  <c r="U77" i="14"/>
  <c r="D77" i="18"/>
  <c r="G77" i="18"/>
  <c r="H77" i="18"/>
  <c r="C77" i="18"/>
  <c r="B77" i="18"/>
  <c r="E77" i="18"/>
  <c r="J77" i="18" s="1"/>
  <c r="A77" i="18"/>
  <c r="U77" i="8"/>
  <c r="I77" i="19" s="1"/>
  <c r="K77" i="8"/>
  <c r="H77" i="8"/>
  <c r="J77" i="8"/>
  <c r="I77" i="8"/>
  <c r="B77" i="8"/>
  <c r="C77" i="19" s="1"/>
  <c r="M77" i="8"/>
  <c r="X77" i="8"/>
  <c r="C77" i="8"/>
  <c r="D77" i="8"/>
  <c r="E77" i="19" s="1"/>
  <c r="L77" i="8"/>
  <c r="G77" i="8"/>
  <c r="H77" i="19" s="1"/>
  <c r="E77" i="8"/>
  <c r="F76" i="18"/>
  <c r="F76" i="14"/>
  <c r="F76" i="8"/>
  <c r="G76" i="19" s="1"/>
  <c r="F75" i="18"/>
  <c r="F75" i="8"/>
  <c r="F75" i="14"/>
  <c r="G74" i="8"/>
  <c r="H74" i="19" s="1"/>
  <c r="J74" i="8"/>
  <c r="K74" i="8"/>
  <c r="D74" i="8"/>
  <c r="E74" i="19" s="1"/>
  <c r="B74" i="8"/>
  <c r="C74" i="19" s="1"/>
  <c r="E74" i="8"/>
  <c r="F74" i="19" s="1"/>
  <c r="L74" i="8"/>
  <c r="H74" i="8"/>
  <c r="C74" i="8"/>
  <c r="X74" i="8"/>
  <c r="I74" i="8"/>
  <c r="U74" i="8"/>
  <c r="I74" i="19" s="1"/>
  <c r="M74" i="8"/>
  <c r="C74" i="14"/>
  <c r="K74" i="14"/>
  <c r="U74" i="14"/>
  <c r="T74" i="14"/>
  <c r="A74" i="14"/>
  <c r="V74" i="14"/>
  <c r="B74" i="14"/>
  <c r="D74" i="14"/>
  <c r="W74" i="14"/>
  <c r="I74" i="14"/>
  <c r="G74" i="14"/>
  <c r="H74" i="14"/>
  <c r="S74" i="14"/>
  <c r="E74" i="14"/>
  <c r="D74" i="18"/>
  <c r="C74" i="18"/>
  <c r="J74" i="18"/>
  <c r="L74" i="18" s="1"/>
  <c r="G74" i="18"/>
  <c r="H74" i="18"/>
  <c r="B74" i="18"/>
  <c r="I74" i="18"/>
  <c r="E74" i="18"/>
  <c r="A74" i="18"/>
  <c r="D73" i="8"/>
  <c r="E73" i="19" s="1"/>
  <c r="K73" i="8"/>
  <c r="B73" i="8"/>
  <c r="C73" i="19" s="1"/>
  <c r="M73" i="8"/>
  <c r="H73" i="8"/>
  <c r="J73" i="8"/>
  <c r="G73" i="8"/>
  <c r="H73" i="19" s="1"/>
  <c r="L73" i="8"/>
  <c r="X73" i="8"/>
  <c r="U73" i="8"/>
  <c r="I73" i="19" s="1"/>
  <c r="E73" i="8"/>
  <c r="I73" i="8"/>
  <c r="C73" i="8"/>
  <c r="C73" i="14"/>
  <c r="A73" i="14"/>
  <c r="S73" i="14"/>
  <c r="W73" i="14"/>
  <c r="I73" i="14"/>
  <c r="T73" i="14"/>
  <c r="V73" i="14"/>
  <c r="E73" i="14"/>
  <c r="B73" i="14"/>
  <c r="D73" i="14"/>
  <c r="G73" i="14"/>
  <c r="U73" i="14"/>
  <c r="K73" i="14"/>
  <c r="H73" i="14"/>
  <c r="C73" i="18"/>
  <c r="B73" i="18"/>
  <c r="E73" i="18"/>
  <c r="J73" i="18" s="1"/>
  <c r="L73" i="18" s="1"/>
  <c r="G73" i="18"/>
  <c r="D73" i="18"/>
  <c r="A73" i="18"/>
  <c r="H73" i="18"/>
  <c r="B72" i="14"/>
  <c r="G72" i="14"/>
  <c r="S72" i="14"/>
  <c r="I72" i="14"/>
  <c r="K72" i="14"/>
  <c r="V72" i="14"/>
  <c r="D72" i="14"/>
  <c r="C72" i="14"/>
  <c r="T72" i="14"/>
  <c r="E72" i="14"/>
  <c r="A72" i="14"/>
  <c r="H72" i="14"/>
  <c r="U72" i="14"/>
  <c r="W72" i="14"/>
  <c r="E72" i="8"/>
  <c r="H72" i="8"/>
  <c r="L72" i="8"/>
  <c r="J72" i="8"/>
  <c r="X72" i="8"/>
  <c r="B72" i="8"/>
  <c r="C72" i="19" s="1"/>
  <c r="U72" i="8"/>
  <c r="I72" i="19" s="1"/>
  <c r="I72" i="8"/>
  <c r="K72" i="8"/>
  <c r="G72" i="8"/>
  <c r="H72" i="19" s="1"/>
  <c r="D72" i="8"/>
  <c r="E72" i="19" s="1"/>
  <c r="C72" i="8"/>
  <c r="M72" i="8"/>
  <c r="G72" i="18"/>
  <c r="C72" i="18"/>
  <c r="A72" i="18"/>
  <c r="E72" i="18"/>
  <c r="J72" i="18" s="1"/>
  <c r="H72" i="18"/>
  <c r="B72" i="18"/>
  <c r="D72" i="18"/>
  <c r="F71" i="18"/>
  <c r="F71" i="8"/>
  <c r="F71" i="14"/>
  <c r="I70" i="8"/>
  <c r="H70" i="8"/>
  <c r="E70" i="8"/>
  <c r="K70" i="8"/>
  <c r="X70" i="8"/>
  <c r="C70" i="8"/>
  <c r="U70" i="8"/>
  <c r="I70" i="19" s="1"/>
  <c r="L70" i="8"/>
  <c r="J70" i="8"/>
  <c r="G70" i="8"/>
  <c r="H70" i="19" s="1"/>
  <c r="D70" i="8"/>
  <c r="E70" i="19" s="1"/>
  <c r="B70" i="8"/>
  <c r="C70" i="19" s="1"/>
  <c r="M70" i="8"/>
  <c r="S70" i="14"/>
  <c r="E70" i="14"/>
  <c r="A70" i="14"/>
  <c r="I70" i="14"/>
  <c r="U70" i="14"/>
  <c r="B70" i="14"/>
  <c r="D70" i="14"/>
  <c r="T70" i="14"/>
  <c r="H70" i="14"/>
  <c r="K70" i="14"/>
  <c r="W70" i="14"/>
  <c r="V70" i="14"/>
  <c r="C70" i="14"/>
  <c r="G70" i="14"/>
  <c r="B70" i="18"/>
  <c r="E70" i="18"/>
  <c r="J70" i="18" s="1"/>
  <c r="A70" i="18"/>
  <c r="H70" i="18"/>
  <c r="D70" i="18"/>
  <c r="C70" i="18"/>
  <c r="G70" i="18"/>
  <c r="F69" i="18"/>
  <c r="F69" i="8"/>
  <c r="G69" i="19" s="1"/>
  <c r="F69" i="14"/>
  <c r="EL39" i="12"/>
  <c r="EL66" i="12"/>
  <c r="EL61" i="12"/>
  <c r="EL58" i="12"/>
  <c r="EL38" i="12"/>
  <c r="EL47" i="12"/>
  <c r="EL54" i="12"/>
  <c r="F37" i="18"/>
  <c r="F37" i="8"/>
  <c r="G37" i="19" s="1"/>
  <c r="F37" i="14"/>
  <c r="X68" i="8"/>
  <c r="C68" i="8"/>
  <c r="M68" i="8"/>
  <c r="L68" i="8"/>
  <c r="K68" i="8"/>
  <c r="I68" i="8"/>
  <c r="D68" i="8"/>
  <c r="E68" i="19" s="1"/>
  <c r="B68" i="8"/>
  <c r="C68" i="19" s="1"/>
  <c r="U68" i="8"/>
  <c r="I68" i="19" s="1"/>
  <c r="E68" i="8"/>
  <c r="F68" i="19" s="1"/>
  <c r="H68" i="8"/>
  <c r="J68" i="8"/>
  <c r="G68" i="8"/>
  <c r="H68" i="19" s="1"/>
  <c r="H68" i="14"/>
  <c r="G68" i="14"/>
  <c r="A68" i="14"/>
  <c r="I68" i="14"/>
  <c r="V68" i="14"/>
  <c r="S68" i="14"/>
  <c r="K68" i="14"/>
  <c r="D68" i="14"/>
  <c r="C68" i="14"/>
  <c r="T68" i="14"/>
  <c r="E68" i="14"/>
  <c r="W68" i="14"/>
  <c r="U68" i="14"/>
  <c r="B68" i="14"/>
  <c r="C68" i="18"/>
  <c r="A68" i="18"/>
  <c r="B68" i="18"/>
  <c r="D68" i="18"/>
  <c r="G68" i="18"/>
  <c r="E68" i="18"/>
  <c r="J68" i="18" s="1"/>
  <c r="H68" i="18"/>
  <c r="F67" i="18"/>
  <c r="F67" i="14"/>
  <c r="F67" i="8"/>
  <c r="G67" i="19" s="1"/>
  <c r="F66" i="18"/>
  <c r="F66" i="8"/>
  <c r="F66" i="14"/>
  <c r="F66" i="13"/>
  <c r="C66" i="13" s="1"/>
  <c r="F65" i="18"/>
  <c r="F65" i="8"/>
  <c r="G65" i="19" s="1"/>
  <c r="F65" i="14"/>
  <c r="F64" i="18"/>
  <c r="F64" i="14"/>
  <c r="F64" i="8"/>
  <c r="F64" i="13"/>
  <c r="C64" i="13" s="1"/>
  <c r="D63" i="14"/>
  <c r="H63" i="14"/>
  <c r="T63" i="14"/>
  <c r="G63" i="14"/>
  <c r="I63" i="14"/>
  <c r="V63" i="14"/>
  <c r="C63" i="14"/>
  <c r="B63" i="14"/>
  <c r="E63" i="14"/>
  <c r="S63" i="14"/>
  <c r="A63" i="14"/>
  <c r="W63" i="14"/>
  <c r="K63" i="14"/>
  <c r="U63" i="14"/>
  <c r="X63" i="8"/>
  <c r="I63" i="8"/>
  <c r="C63" i="8"/>
  <c r="E63" i="8"/>
  <c r="F63" i="19" s="1"/>
  <c r="L63" i="8"/>
  <c r="K63" i="8"/>
  <c r="M63" i="8"/>
  <c r="B63" i="8"/>
  <c r="C63" i="19" s="1"/>
  <c r="J63" i="8"/>
  <c r="D63" i="8"/>
  <c r="E63" i="19" s="1"/>
  <c r="G63" i="8"/>
  <c r="H63" i="19" s="1"/>
  <c r="H63" i="8"/>
  <c r="U63" i="8"/>
  <c r="I63" i="19" s="1"/>
  <c r="A63" i="18"/>
  <c r="C63" i="18"/>
  <c r="E63" i="18"/>
  <c r="J63" i="18" s="1"/>
  <c r="B63" i="18"/>
  <c r="D63" i="18"/>
  <c r="H63" i="18"/>
  <c r="G63" i="18"/>
  <c r="C62" i="14"/>
  <c r="A62" i="14"/>
  <c r="G62" i="14"/>
  <c r="E62" i="14"/>
  <c r="T62" i="14"/>
  <c r="W62" i="14"/>
  <c r="U62" i="14"/>
  <c r="V62" i="14"/>
  <c r="B62" i="14"/>
  <c r="D62" i="14"/>
  <c r="K62" i="14"/>
  <c r="H62" i="14"/>
  <c r="S62" i="14"/>
  <c r="I62" i="14"/>
  <c r="C62" i="8"/>
  <c r="U62" i="8"/>
  <c r="I62" i="19" s="1"/>
  <c r="I62" i="8"/>
  <c r="G62" i="8"/>
  <c r="H62" i="19" s="1"/>
  <c r="L62" i="8"/>
  <c r="J62" i="8"/>
  <c r="D62" i="8"/>
  <c r="E62" i="19" s="1"/>
  <c r="B62" i="8"/>
  <c r="C62" i="19" s="1"/>
  <c r="X62" i="8"/>
  <c r="M62" i="8"/>
  <c r="H62" i="8"/>
  <c r="E62" i="8"/>
  <c r="F62" i="19" s="1"/>
  <c r="K62" i="8"/>
  <c r="E62" i="18"/>
  <c r="J62" i="18" s="1"/>
  <c r="G62" i="18"/>
  <c r="A62" i="18"/>
  <c r="H62" i="18"/>
  <c r="D62" i="18"/>
  <c r="C62" i="18"/>
  <c r="B62" i="18"/>
  <c r="F61" i="18"/>
  <c r="F61" i="8"/>
  <c r="F61" i="14"/>
  <c r="F61" i="13"/>
  <c r="D61" i="13" s="1"/>
  <c r="X60" i="8"/>
  <c r="C60" i="8"/>
  <c r="U60" i="8"/>
  <c r="I60" i="19" s="1"/>
  <c r="I60" i="8"/>
  <c r="K60" i="8"/>
  <c r="G60" i="8"/>
  <c r="H60" i="19" s="1"/>
  <c r="D60" i="8"/>
  <c r="E60" i="19" s="1"/>
  <c r="B60" i="8"/>
  <c r="C60" i="19" s="1"/>
  <c r="M60" i="8"/>
  <c r="L60" i="8"/>
  <c r="E60" i="8"/>
  <c r="F60" i="19" s="1"/>
  <c r="J60" i="8"/>
  <c r="H60" i="8"/>
  <c r="A60" i="14"/>
  <c r="E60" i="14"/>
  <c r="W60" i="14"/>
  <c r="K60" i="14"/>
  <c r="H60" i="14"/>
  <c r="D60" i="14"/>
  <c r="C60" i="14"/>
  <c r="T60" i="14"/>
  <c r="U60" i="14"/>
  <c r="G60" i="14"/>
  <c r="V60" i="14"/>
  <c r="S60" i="14"/>
  <c r="I60" i="14"/>
  <c r="B60" i="14"/>
  <c r="B60" i="18"/>
  <c r="D60" i="18"/>
  <c r="G60" i="18"/>
  <c r="A60" i="18"/>
  <c r="H60" i="18"/>
  <c r="C60" i="18"/>
  <c r="E60" i="18"/>
  <c r="J60" i="18" s="1"/>
  <c r="F59" i="18"/>
  <c r="F59" i="8"/>
  <c r="G59" i="19" s="1"/>
  <c r="F59" i="14"/>
  <c r="G58" i="14"/>
  <c r="B58" i="14"/>
  <c r="D58" i="14"/>
  <c r="W58" i="14"/>
  <c r="H58" i="14"/>
  <c r="S58" i="14"/>
  <c r="A58" i="14"/>
  <c r="K58" i="14"/>
  <c r="C58" i="14"/>
  <c r="E58" i="14"/>
  <c r="V58" i="14"/>
  <c r="T58" i="14"/>
  <c r="U58" i="14"/>
  <c r="I58" i="14"/>
  <c r="J58" i="8"/>
  <c r="I58" i="8"/>
  <c r="E58" i="8"/>
  <c r="G58" i="8"/>
  <c r="H58" i="19" s="1"/>
  <c r="D58" i="8"/>
  <c r="E58" i="19" s="1"/>
  <c r="B58" i="8"/>
  <c r="C58" i="19" s="1"/>
  <c r="M58" i="8"/>
  <c r="K58" i="8"/>
  <c r="L58" i="8"/>
  <c r="H58" i="8"/>
  <c r="X58" i="8"/>
  <c r="C58" i="8"/>
  <c r="U58" i="8"/>
  <c r="I58" i="19" s="1"/>
  <c r="B58" i="18"/>
  <c r="E58" i="18"/>
  <c r="H58" i="18"/>
  <c r="D58" i="18"/>
  <c r="C58" i="18"/>
  <c r="J58" i="18"/>
  <c r="G58" i="18"/>
  <c r="A58" i="18"/>
  <c r="G57" i="8"/>
  <c r="H57" i="19" s="1"/>
  <c r="E57" i="8"/>
  <c r="M57" i="8"/>
  <c r="X57" i="8"/>
  <c r="U57" i="8"/>
  <c r="I57" i="19" s="1"/>
  <c r="I57" i="8"/>
  <c r="J57" i="8"/>
  <c r="C57" i="8"/>
  <c r="D57" i="8"/>
  <c r="E57" i="19" s="1"/>
  <c r="B57" i="8"/>
  <c r="C57" i="19" s="1"/>
  <c r="K57" i="8"/>
  <c r="L57" i="8"/>
  <c r="H57" i="8"/>
  <c r="B57" i="14"/>
  <c r="D57" i="14"/>
  <c r="T57" i="14"/>
  <c r="H57" i="14"/>
  <c r="W57" i="14"/>
  <c r="I57" i="14"/>
  <c r="K57" i="14"/>
  <c r="V57" i="14"/>
  <c r="C57" i="14"/>
  <c r="G57" i="14"/>
  <c r="E57" i="14"/>
  <c r="S57" i="14"/>
  <c r="A57" i="14"/>
  <c r="U57" i="14"/>
  <c r="D57" i="18"/>
  <c r="A57" i="18"/>
  <c r="G57" i="18"/>
  <c r="C57" i="18"/>
  <c r="B57" i="18"/>
  <c r="H57" i="18"/>
  <c r="E57" i="18"/>
  <c r="J57" i="18" s="1"/>
  <c r="B56" i="14"/>
  <c r="A56" i="14"/>
  <c r="T56" i="14"/>
  <c r="S56" i="14"/>
  <c r="I56" i="14"/>
  <c r="K56" i="14"/>
  <c r="W56" i="14"/>
  <c r="V56" i="14"/>
  <c r="D56" i="14"/>
  <c r="C56" i="14"/>
  <c r="H56" i="14"/>
  <c r="G56" i="14"/>
  <c r="E56" i="14"/>
  <c r="U56" i="14"/>
  <c r="J56" i="8"/>
  <c r="G56" i="8"/>
  <c r="H56" i="19" s="1"/>
  <c r="E56" i="8"/>
  <c r="X56" i="8"/>
  <c r="B56" i="8"/>
  <c r="C56" i="19" s="1"/>
  <c r="U56" i="8"/>
  <c r="I56" i="19" s="1"/>
  <c r="H56" i="8"/>
  <c r="I56" i="8"/>
  <c r="K56" i="8"/>
  <c r="L56" i="8"/>
  <c r="D56" i="8"/>
  <c r="E56" i="19" s="1"/>
  <c r="C56" i="8"/>
  <c r="M56" i="8"/>
  <c r="E56" i="18"/>
  <c r="J56" i="18" s="1"/>
  <c r="A56" i="18"/>
  <c r="H56" i="18"/>
  <c r="G56" i="18"/>
  <c r="C56" i="18"/>
  <c r="B56" i="18"/>
  <c r="D56" i="18"/>
  <c r="F55" i="18"/>
  <c r="F55" i="8"/>
  <c r="G55" i="19" s="1"/>
  <c r="F55" i="14"/>
  <c r="F54" i="18"/>
  <c r="F54" i="8"/>
  <c r="F54" i="14"/>
  <c r="F53" i="18"/>
  <c r="F53" i="8"/>
  <c r="G53" i="19" s="1"/>
  <c r="F53" i="14"/>
  <c r="H52" i="14"/>
  <c r="A52" i="14"/>
  <c r="W52" i="14"/>
  <c r="T52" i="14"/>
  <c r="V52" i="14"/>
  <c r="K52" i="14"/>
  <c r="D52" i="14"/>
  <c r="C52" i="14"/>
  <c r="I52" i="14"/>
  <c r="S52" i="14"/>
  <c r="U52" i="14"/>
  <c r="G52" i="14"/>
  <c r="E52" i="14"/>
  <c r="B52" i="14"/>
  <c r="D52" i="8"/>
  <c r="E52" i="19" s="1"/>
  <c r="C52" i="8"/>
  <c r="U52" i="8"/>
  <c r="I52" i="19" s="1"/>
  <c r="M52" i="8"/>
  <c r="L52" i="8"/>
  <c r="H52" i="8"/>
  <c r="G52" i="8"/>
  <c r="H52" i="19" s="1"/>
  <c r="I52" i="8"/>
  <c r="B52" i="8"/>
  <c r="C52" i="19" s="1"/>
  <c r="X52" i="8"/>
  <c r="K52" i="8"/>
  <c r="E52" i="8"/>
  <c r="J52" i="8"/>
  <c r="B52" i="18"/>
  <c r="D52" i="18"/>
  <c r="H52" i="18"/>
  <c r="G52" i="18"/>
  <c r="C52" i="18"/>
  <c r="I52" i="18"/>
  <c r="A52" i="18"/>
  <c r="J52" i="18"/>
  <c r="L52" i="18" s="1"/>
  <c r="E52" i="18"/>
  <c r="X51" i="8"/>
  <c r="L51" i="8"/>
  <c r="C51" i="8"/>
  <c r="K51" i="8"/>
  <c r="J51" i="8"/>
  <c r="D51" i="8"/>
  <c r="E51" i="19" s="1"/>
  <c r="I51" i="8"/>
  <c r="U51" i="8"/>
  <c r="I51" i="19" s="1"/>
  <c r="G51" i="8"/>
  <c r="H51" i="19" s="1"/>
  <c r="H51" i="8"/>
  <c r="E51" i="8"/>
  <c r="F51" i="19" s="1"/>
  <c r="M51" i="8"/>
  <c r="B51" i="8"/>
  <c r="C51" i="19" s="1"/>
  <c r="C51" i="14"/>
  <c r="B51" i="14"/>
  <c r="H51" i="14"/>
  <c r="A51" i="14"/>
  <c r="K51" i="14"/>
  <c r="S51" i="14"/>
  <c r="W51" i="14"/>
  <c r="T51" i="14"/>
  <c r="G51" i="14"/>
  <c r="D51" i="14"/>
  <c r="U51" i="14"/>
  <c r="I51" i="14"/>
  <c r="E51" i="14"/>
  <c r="V51" i="14"/>
  <c r="B51" i="18"/>
  <c r="D51" i="18"/>
  <c r="H51" i="18"/>
  <c r="C51" i="18"/>
  <c r="A51" i="18"/>
  <c r="G51" i="18"/>
  <c r="E51" i="18"/>
  <c r="J51" i="18" s="1"/>
  <c r="C50" i="8"/>
  <c r="I50" i="8"/>
  <c r="H50" i="8"/>
  <c r="E50" i="8"/>
  <c r="F50" i="19" s="1"/>
  <c r="G50" i="8"/>
  <c r="H50" i="19" s="1"/>
  <c r="L50" i="8"/>
  <c r="M50" i="8"/>
  <c r="K50" i="8"/>
  <c r="D50" i="8"/>
  <c r="E50" i="19" s="1"/>
  <c r="B50" i="8"/>
  <c r="C50" i="19" s="1"/>
  <c r="X50" i="8"/>
  <c r="J50" i="8"/>
  <c r="U50" i="8"/>
  <c r="I50" i="19" s="1"/>
  <c r="V50" i="14"/>
  <c r="G50" i="14"/>
  <c r="U50" i="14"/>
  <c r="I50" i="14"/>
  <c r="H50" i="14"/>
  <c r="S50" i="14"/>
  <c r="B50" i="14"/>
  <c r="D50" i="14"/>
  <c r="W50" i="14"/>
  <c r="T50" i="14"/>
  <c r="A50" i="14"/>
  <c r="K50" i="14"/>
  <c r="E50" i="14"/>
  <c r="C50" i="14"/>
  <c r="D50" i="18"/>
  <c r="C50" i="18"/>
  <c r="I50" i="18"/>
  <c r="G50" i="18"/>
  <c r="E50" i="18"/>
  <c r="J50" i="18"/>
  <c r="N50" i="18" s="1"/>
  <c r="A50" i="18"/>
  <c r="H50" i="18"/>
  <c r="B50" i="18"/>
  <c r="L50" i="18"/>
  <c r="F49" i="18"/>
  <c r="F49" i="8"/>
  <c r="F49" i="14"/>
  <c r="F49" i="13"/>
  <c r="D49" i="13" s="1"/>
  <c r="B48" i="14"/>
  <c r="E48" i="14"/>
  <c r="V48" i="14"/>
  <c r="D48" i="14"/>
  <c r="C48" i="14"/>
  <c r="S48" i="14"/>
  <c r="G48" i="14"/>
  <c r="T48" i="14"/>
  <c r="W48" i="14"/>
  <c r="I48" i="14"/>
  <c r="K48" i="14"/>
  <c r="A48" i="14"/>
  <c r="U48" i="14"/>
  <c r="H48" i="14"/>
  <c r="E48" i="8"/>
  <c r="C48" i="8"/>
  <c r="U48" i="8"/>
  <c r="I48" i="19" s="1"/>
  <c r="M48" i="8"/>
  <c r="I48" i="8"/>
  <c r="G48" i="8"/>
  <c r="H48" i="19" s="1"/>
  <c r="L48" i="8"/>
  <c r="D48" i="8"/>
  <c r="E48" i="19" s="1"/>
  <c r="B48" i="8"/>
  <c r="C48" i="19" s="1"/>
  <c r="X48" i="8"/>
  <c r="K48" i="8"/>
  <c r="H48" i="8"/>
  <c r="J48" i="8"/>
  <c r="H48" i="18"/>
  <c r="A48" i="18"/>
  <c r="G48" i="18"/>
  <c r="E48" i="18"/>
  <c r="J48" i="18" s="1"/>
  <c r="C48" i="18"/>
  <c r="B48" i="18"/>
  <c r="D48" i="18"/>
  <c r="E47" i="8"/>
  <c r="J47" i="8"/>
  <c r="B47" i="8"/>
  <c r="C47" i="19" s="1"/>
  <c r="U47" i="8"/>
  <c r="I47" i="19" s="1"/>
  <c r="H47" i="8"/>
  <c r="G47" i="8"/>
  <c r="H47" i="19" s="1"/>
  <c r="I47" i="8"/>
  <c r="C47" i="8"/>
  <c r="D47" i="8"/>
  <c r="E47" i="19" s="1"/>
  <c r="M47" i="8"/>
  <c r="L47" i="8"/>
  <c r="K47" i="8"/>
  <c r="X47" i="8"/>
  <c r="C47" i="14"/>
  <c r="B47" i="14"/>
  <c r="E47" i="14"/>
  <c r="T47" i="14"/>
  <c r="G47" i="14"/>
  <c r="H47" i="14"/>
  <c r="W47" i="14"/>
  <c r="D47" i="14"/>
  <c r="A47" i="14"/>
  <c r="S47" i="14"/>
  <c r="K47" i="14"/>
  <c r="I47" i="14"/>
  <c r="U47" i="14"/>
  <c r="V47" i="14"/>
  <c r="G47" i="18"/>
  <c r="B47" i="18"/>
  <c r="D47" i="18"/>
  <c r="E47" i="18"/>
  <c r="J47" i="18" s="1"/>
  <c r="H47" i="18"/>
  <c r="C47" i="18"/>
  <c r="A47" i="18"/>
  <c r="C46" i="14"/>
  <c r="H46" i="14"/>
  <c r="S46" i="14"/>
  <c r="I46" i="14"/>
  <c r="K46" i="14"/>
  <c r="V46" i="14"/>
  <c r="B46" i="14"/>
  <c r="D46" i="14"/>
  <c r="A46" i="14"/>
  <c r="G46" i="14"/>
  <c r="E46" i="14"/>
  <c r="T46" i="14"/>
  <c r="W46" i="14"/>
  <c r="U46" i="14"/>
  <c r="E46" i="8"/>
  <c r="F46" i="19" s="1"/>
  <c r="X46" i="8"/>
  <c r="C46" i="8"/>
  <c r="H46" i="8"/>
  <c r="I46" i="8"/>
  <c r="J46" i="8"/>
  <c r="M46" i="8"/>
  <c r="D46" i="8"/>
  <c r="E46" i="19" s="1"/>
  <c r="B46" i="8"/>
  <c r="C46" i="19" s="1"/>
  <c r="G46" i="8"/>
  <c r="H46" i="19" s="1"/>
  <c r="K46" i="8"/>
  <c r="L46" i="8"/>
  <c r="U46" i="8"/>
  <c r="I46" i="19" s="1"/>
  <c r="D46" i="18"/>
  <c r="C46" i="18"/>
  <c r="E46" i="18"/>
  <c r="J46" i="18" s="1"/>
  <c r="H46" i="18"/>
  <c r="A46" i="18"/>
  <c r="B46" i="18"/>
  <c r="G46" i="18"/>
  <c r="F45" i="18"/>
  <c r="F45" i="8"/>
  <c r="G45" i="19" s="1"/>
  <c r="F45" i="14"/>
  <c r="F44" i="18"/>
  <c r="F44" i="8"/>
  <c r="G44" i="19" s="1"/>
  <c r="F44" i="14"/>
  <c r="X43" i="8"/>
  <c r="K43" i="8"/>
  <c r="D43" i="8"/>
  <c r="E43" i="19" s="1"/>
  <c r="E43" i="8"/>
  <c r="F43" i="19" s="1"/>
  <c r="J43" i="8"/>
  <c r="U43" i="8"/>
  <c r="I43" i="19" s="1"/>
  <c r="H43" i="8"/>
  <c r="B43" i="8"/>
  <c r="C43" i="19" s="1"/>
  <c r="L43" i="8"/>
  <c r="G43" i="8"/>
  <c r="H43" i="19" s="1"/>
  <c r="I43" i="8"/>
  <c r="M43" i="8"/>
  <c r="C43" i="8"/>
  <c r="I43" i="14"/>
  <c r="V43" i="14"/>
  <c r="K43" i="14"/>
  <c r="T43" i="14"/>
  <c r="A43" i="14"/>
  <c r="D43" i="14"/>
  <c r="G43" i="14"/>
  <c r="U43" i="14"/>
  <c r="H43" i="14"/>
  <c r="W43" i="14"/>
  <c r="E43" i="14"/>
  <c r="S43" i="14"/>
  <c r="C43" i="14"/>
  <c r="B43" i="14"/>
  <c r="C43" i="18"/>
  <c r="A43" i="18"/>
  <c r="H43" i="18"/>
  <c r="B43" i="18"/>
  <c r="D43" i="18"/>
  <c r="E43" i="18"/>
  <c r="J43" i="18" s="1"/>
  <c r="G43" i="18"/>
  <c r="S42" i="14"/>
  <c r="W42" i="14"/>
  <c r="U42" i="14"/>
  <c r="H42" i="14"/>
  <c r="A42" i="14"/>
  <c r="G42" i="14"/>
  <c r="I42" i="14"/>
  <c r="E42" i="14"/>
  <c r="T42" i="14"/>
  <c r="B42" i="14"/>
  <c r="D42" i="14"/>
  <c r="V42" i="14"/>
  <c r="K42" i="14"/>
  <c r="C42" i="14"/>
  <c r="E42" i="8"/>
  <c r="H42" i="8"/>
  <c r="J42" i="8"/>
  <c r="K42" i="8"/>
  <c r="X42" i="8"/>
  <c r="C42" i="8"/>
  <c r="U42" i="8"/>
  <c r="I42" i="19" s="1"/>
  <c r="I42" i="8"/>
  <c r="G42" i="8"/>
  <c r="H42" i="19" s="1"/>
  <c r="L42" i="8"/>
  <c r="D42" i="8"/>
  <c r="E42" i="19" s="1"/>
  <c r="B42" i="8"/>
  <c r="C42" i="19" s="1"/>
  <c r="M42" i="8"/>
  <c r="D42" i="18"/>
  <c r="C42" i="18"/>
  <c r="E42" i="18"/>
  <c r="J42" i="18" s="1"/>
  <c r="L42" i="18" s="1"/>
  <c r="H42" i="18"/>
  <c r="B42" i="18"/>
  <c r="A42" i="18"/>
  <c r="G42" i="18"/>
  <c r="F40" i="18"/>
  <c r="F40" i="14"/>
  <c r="F40" i="8"/>
  <c r="G40" i="19" s="1"/>
  <c r="V41" i="14"/>
  <c r="S41" i="14"/>
  <c r="D41" i="14"/>
  <c r="C41" i="14"/>
  <c r="T41" i="14"/>
  <c r="H41" i="14"/>
  <c r="K41" i="14"/>
  <c r="A41" i="14"/>
  <c r="G41" i="14"/>
  <c r="I41" i="14"/>
  <c r="B41" i="14"/>
  <c r="E41" i="14"/>
  <c r="W41" i="14"/>
  <c r="U41" i="14"/>
  <c r="F36" i="18"/>
  <c r="F36" i="14"/>
  <c r="F36" i="8"/>
  <c r="G36" i="19" s="1"/>
  <c r="X41" i="8"/>
  <c r="C41" i="8"/>
  <c r="M41" i="8"/>
  <c r="H41" i="8"/>
  <c r="E41" i="8"/>
  <c r="F41" i="19" s="1"/>
  <c r="J41" i="8"/>
  <c r="G41" i="8"/>
  <c r="H41" i="19" s="1"/>
  <c r="D41" i="8"/>
  <c r="E41" i="19" s="1"/>
  <c r="B41" i="8"/>
  <c r="C41" i="19" s="1"/>
  <c r="U41" i="8"/>
  <c r="I41" i="19" s="1"/>
  <c r="I41" i="8"/>
  <c r="K41" i="8"/>
  <c r="L41" i="8"/>
  <c r="C41" i="18"/>
  <c r="B41" i="18"/>
  <c r="H41" i="18"/>
  <c r="A41" i="18"/>
  <c r="G41" i="18"/>
  <c r="D41" i="18"/>
  <c r="I41" i="18"/>
  <c r="J41" i="18"/>
  <c r="K41" i="18" s="1"/>
  <c r="E41" i="18"/>
  <c r="D38" i="14"/>
  <c r="T38" i="14"/>
  <c r="W38" i="14"/>
  <c r="B38" i="14"/>
  <c r="S38" i="14"/>
  <c r="G38" i="14"/>
  <c r="A38" i="14"/>
  <c r="I38" i="14"/>
  <c r="U38" i="14"/>
  <c r="H38" i="14"/>
  <c r="K38" i="14"/>
  <c r="C38" i="14"/>
  <c r="E38" i="14"/>
  <c r="V38" i="14"/>
  <c r="H38" i="8"/>
  <c r="E38" i="8"/>
  <c r="L38" i="8"/>
  <c r="G38" i="8"/>
  <c r="H38" i="19" s="1"/>
  <c r="J38" i="8"/>
  <c r="K38" i="8"/>
  <c r="I38" i="8"/>
  <c r="D38" i="8"/>
  <c r="E38" i="19" s="1"/>
  <c r="C38" i="8"/>
  <c r="B38" i="8"/>
  <c r="C38" i="19" s="1"/>
  <c r="X38" i="8"/>
  <c r="U38" i="8"/>
  <c r="I38" i="19" s="1"/>
  <c r="M38" i="8"/>
  <c r="F39" i="18"/>
  <c r="F39" i="8"/>
  <c r="F39" i="14"/>
  <c r="F39" i="13"/>
  <c r="C39" i="13" s="1"/>
  <c r="H38" i="18"/>
  <c r="D38" i="18"/>
  <c r="B38" i="18"/>
  <c r="A38" i="18"/>
  <c r="C38" i="18"/>
  <c r="E38" i="18"/>
  <c r="J38" i="18" s="1"/>
  <c r="G38" i="18"/>
  <c r="B154" i="13"/>
  <c r="C154" i="13"/>
  <c r="D154" i="13"/>
  <c r="D57" i="13"/>
  <c r="B57" i="13"/>
  <c r="C57" i="13"/>
  <c r="B147" i="13"/>
  <c r="C147" i="13"/>
  <c r="D147" i="13"/>
  <c r="C116" i="13"/>
  <c r="D116" i="13"/>
  <c r="B116" i="13"/>
  <c r="C88" i="13"/>
  <c r="D88" i="13"/>
  <c r="B88" i="13"/>
  <c r="B236" i="13"/>
  <c r="C236" i="13"/>
  <c r="D236" i="13"/>
  <c r="D105" i="13"/>
  <c r="B105" i="13"/>
  <c r="C105" i="13"/>
  <c r="B244" i="13"/>
  <c r="C244" i="13"/>
  <c r="D244" i="13"/>
  <c r="D184" i="13"/>
  <c r="B184" i="13"/>
  <c r="C184" i="13"/>
  <c r="B170" i="13"/>
  <c r="D170" i="13"/>
  <c r="C170" i="13"/>
  <c r="B87" i="13"/>
  <c r="C87" i="13"/>
  <c r="D87" i="13"/>
  <c r="C241" i="13"/>
  <c r="D241" i="13"/>
  <c r="B241" i="13"/>
  <c r="B48" i="13"/>
  <c r="C48" i="13"/>
  <c r="D48" i="13"/>
  <c r="B70" i="13"/>
  <c r="C70" i="13"/>
  <c r="D70" i="13"/>
  <c r="B139" i="13"/>
  <c r="C139" i="13"/>
  <c r="D139" i="13"/>
  <c r="B224" i="13"/>
  <c r="C224" i="13"/>
  <c r="D224" i="13"/>
  <c r="D121" i="13"/>
  <c r="B121" i="13"/>
  <c r="C121" i="13"/>
  <c r="D207" i="13"/>
  <c r="B207" i="13"/>
  <c r="C207" i="13"/>
  <c r="B107" i="13"/>
  <c r="C107" i="13"/>
  <c r="D107" i="13"/>
  <c r="D101" i="13"/>
  <c r="B101" i="13"/>
  <c r="C101" i="13"/>
  <c r="C92" i="13"/>
  <c r="D92" i="13"/>
  <c r="B92" i="13"/>
  <c r="D73" i="13"/>
  <c r="B73" i="13"/>
  <c r="C73" i="13"/>
  <c r="C209" i="13"/>
  <c r="D209" i="13"/>
  <c r="B209" i="13"/>
  <c r="B54" i="13"/>
  <c r="C54" i="13"/>
  <c r="D54" i="13"/>
  <c r="B268" i="13"/>
  <c r="C268" i="13"/>
  <c r="D268" i="13"/>
  <c r="B58" i="13"/>
  <c r="C58" i="13"/>
  <c r="D58" i="13"/>
  <c r="B178" i="13"/>
  <c r="D178" i="13"/>
  <c r="C178" i="13"/>
  <c r="B247" i="13"/>
  <c r="C247" i="13"/>
  <c r="D247" i="13"/>
  <c r="B165" i="13"/>
  <c r="C165" i="13"/>
  <c r="D165" i="13"/>
  <c r="B138" i="13"/>
  <c r="C138" i="13"/>
  <c r="D138" i="13"/>
  <c r="C275" i="13"/>
  <c r="D270" i="13"/>
  <c r="B270" i="13"/>
  <c r="C270" i="13"/>
  <c r="D93" i="13"/>
  <c r="B93" i="13"/>
  <c r="C93" i="13"/>
  <c r="C52" i="13"/>
  <c r="D52" i="13"/>
  <c r="B52" i="13"/>
  <c r="B38" i="13"/>
  <c r="C38" i="13"/>
  <c r="D38" i="13"/>
  <c r="D44" i="13"/>
  <c r="B44" i="13"/>
  <c r="C44" i="13"/>
  <c r="D223" i="13"/>
  <c r="B223" i="13"/>
  <c r="C223" i="13"/>
  <c r="B86" i="13"/>
  <c r="C86" i="13"/>
  <c r="D86" i="13"/>
  <c r="D161" i="13"/>
  <c r="B161" i="13"/>
  <c r="C161" i="13"/>
  <c r="C237" i="13"/>
  <c r="B237" i="13"/>
  <c r="D237" i="13"/>
  <c r="B186" i="13"/>
  <c r="D186" i="13"/>
  <c r="C186" i="13"/>
  <c r="D89" i="13"/>
  <c r="B89" i="13"/>
  <c r="C89" i="13"/>
  <c r="C211" i="13"/>
  <c r="D211" i="13"/>
  <c r="B211" i="13"/>
  <c r="D77" i="13"/>
  <c r="B77" i="13"/>
  <c r="C77" i="13"/>
  <c r="D262" i="13"/>
  <c r="B262" i="13"/>
  <c r="C262" i="13"/>
  <c r="C47" i="13"/>
  <c r="D47" i="13"/>
  <c r="B47" i="13"/>
  <c r="C266" i="13"/>
  <c r="B94" i="13"/>
  <c r="C94" i="13"/>
  <c r="D94" i="13"/>
  <c r="B252" i="13"/>
  <c r="C252" i="13"/>
  <c r="D252" i="13"/>
  <c r="C185" i="13"/>
  <c r="B185" i="13"/>
  <c r="D185" i="13"/>
  <c r="B162" i="13"/>
  <c r="C162" i="13"/>
  <c r="D162" i="13"/>
  <c r="C283" i="13"/>
  <c r="D283" i="13"/>
  <c r="B283" i="13"/>
  <c r="B282" i="13"/>
  <c r="C282" i="13"/>
  <c r="D282" i="13"/>
  <c r="D238" i="13"/>
  <c r="B238" i="13"/>
  <c r="C238" i="13"/>
  <c r="C56" i="13"/>
  <c r="D56" i="13"/>
  <c r="B56" i="13"/>
  <c r="J154" i="13"/>
  <c r="L154" i="13" s="1"/>
  <c r="J57" i="13"/>
  <c r="L57" i="13" s="1"/>
  <c r="J147" i="13"/>
  <c r="J147" i="14" s="1"/>
  <c r="J116" i="13"/>
  <c r="J116" i="14" s="1"/>
  <c r="J88" i="13"/>
  <c r="L88" i="13" s="1"/>
  <c r="J236" i="13"/>
  <c r="L236" i="13" s="1"/>
  <c r="M236" i="13" s="1"/>
  <c r="J105" i="13"/>
  <c r="J105" i="14" s="1"/>
  <c r="J244" i="13"/>
  <c r="J244" i="14" s="1"/>
  <c r="J184" i="13"/>
  <c r="J184" i="14" s="1"/>
  <c r="J170" i="13"/>
  <c r="L170" i="13" s="1"/>
  <c r="J87" i="13"/>
  <c r="J87" i="14" s="1"/>
  <c r="J241" i="13"/>
  <c r="J241" i="14" s="1"/>
  <c r="J48" i="13"/>
  <c r="J48" i="14" s="1"/>
  <c r="J70" i="13"/>
  <c r="J70" i="14" s="1"/>
  <c r="J139" i="13"/>
  <c r="L139" i="13" s="1"/>
  <c r="N139" i="13" s="1"/>
  <c r="O139" i="13" s="1"/>
  <c r="Q139" i="13" s="1"/>
  <c r="R139" i="13" s="1"/>
  <c r="J224" i="13"/>
  <c r="J224" i="14" s="1"/>
  <c r="J121" i="13"/>
  <c r="J121" i="14" s="1"/>
  <c r="J207" i="13"/>
  <c r="J207" i="14" s="1"/>
  <c r="J107" i="13"/>
  <c r="J107" i="14" s="1"/>
  <c r="J101" i="13"/>
  <c r="L101" i="13" s="1"/>
  <c r="J92" i="13"/>
  <c r="J92" i="14" s="1"/>
  <c r="J73" i="13"/>
  <c r="J73" i="14" s="1"/>
  <c r="J209" i="13"/>
  <c r="L209" i="13" s="1"/>
  <c r="N209" i="13" s="1"/>
  <c r="O209" i="13" s="1"/>
  <c r="Q209" i="13" s="1"/>
  <c r="R209" i="13" s="1"/>
  <c r="J54" i="13"/>
  <c r="L54" i="13" s="1"/>
  <c r="N54" i="13" s="1"/>
  <c r="O54" i="13" s="1"/>
  <c r="Q54" i="13" s="1"/>
  <c r="R54" i="13" s="1"/>
  <c r="J268" i="13"/>
  <c r="J268" i="14" s="1"/>
  <c r="J58" i="13"/>
  <c r="J58" i="14" s="1"/>
  <c r="J178" i="13"/>
  <c r="L178" i="13" s="1"/>
  <c r="M178" i="13" s="1"/>
  <c r="J247" i="13"/>
  <c r="J247" i="14" s="1"/>
  <c r="J165" i="13"/>
  <c r="J165" i="14" s="1"/>
  <c r="J138" i="13"/>
  <c r="L138" i="13" s="1"/>
  <c r="J270" i="13"/>
  <c r="L270" i="13" s="1"/>
  <c r="J93" i="13"/>
  <c r="L93" i="13" s="1"/>
  <c r="N93" i="13" s="1"/>
  <c r="O93" i="13" s="1"/>
  <c r="Q93" i="13" s="1"/>
  <c r="R93" i="13" s="1"/>
  <c r="J52" i="13"/>
  <c r="J52" i="14" s="1"/>
  <c r="J38" i="13"/>
  <c r="J38" i="14" s="1"/>
  <c r="J44" i="13"/>
  <c r="L44" i="13" s="1"/>
  <c r="M44" i="13" s="1"/>
  <c r="J223" i="13"/>
  <c r="J223" i="14" s="1"/>
  <c r="J86" i="13"/>
  <c r="J86" i="14" s="1"/>
  <c r="J161" i="13"/>
  <c r="J161" i="14" s="1"/>
  <c r="J237" i="13"/>
  <c r="J237" i="14" s="1"/>
  <c r="J186" i="13"/>
  <c r="L186" i="13" s="1"/>
  <c r="N186" i="13" s="1"/>
  <c r="O186" i="13" s="1"/>
  <c r="Q186" i="13" s="1"/>
  <c r="R186" i="13" s="1"/>
  <c r="J89" i="13"/>
  <c r="J89" i="14" s="1"/>
  <c r="J211" i="13"/>
  <c r="J211" i="14" s="1"/>
  <c r="J77" i="13"/>
  <c r="L77" i="13" s="1"/>
  <c r="J262" i="13"/>
  <c r="L262" i="13" s="1"/>
  <c r="N262" i="13" s="1"/>
  <c r="O262" i="13" s="1"/>
  <c r="Q262" i="13" s="1"/>
  <c r="R262" i="13" s="1"/>
  <c r="J47" i="13"/>
  <c r="J47" i="14" s="1"/>
  <c r="J94" i="13"/>
  <c r="L94" i="13" s="1"/>
  <c r="N94" i="13" s="1"/>
  <c r="O94" i="13" s="1"/>
  <c r="Q94" i="13" s="1"/>
  <c r="R94" i="13" s="1"/>
  <c r="J252" i="13"/>
  <c r="J252" i="14" s="1"/>
  <c r="J185" i="13"/>
  <c r="J185" i="14" s="1"/>
  <c r="J162" i="13"/>
  <c r="J162" i="14" s="1"/>
  <c r="J283" i="13"/>
  <c r="L283" i="13" s="1"/>
  <c r="N283" i="13" s="1"/>
  <c r="O283" i="13" s="1"/>
  <c r="Q283" i="13" s="1"/>
  <c r="R283" i="13" s="1"/>
  <c r="J282" i="13"/>
  <c r="J282" i="14" s="1"/>
  <c r="J238" i="13"/>
  <c r="J238" i="14" s="1"/>
  <c r="J56" i="13"/>
  <c r="J56" i="14" s="1"/>
  <c r="F34" i="14"/>
  <c r="F34" i="8"/>
  <c r="E186" i="13"/>
  <c r="G186" i="13"/>
  <c r="H186" i="13"/>
  <c r="V186" i="13"/>
  <c r="U186" i="13"/>
  <c r="AG186" i="13" s="1"/>
  <c r="G121" i="13"/>
  <c r="E121" i="13"/>
  <c r="H121" i="13"/>
  <c r="U121" i="13"/>
  <c r="AG121" i="13" s="1"/>
  <c r="V121" i="13"/>
  <c r="E57" i="13"/>
  <c r="G57" i="13"/>
  <c r="H57" i="13"/>
  <c r="U57" i="13"/>
  <c r="AG57" i="13" s="1"/>
  <c r="V57" i="13"/>
  <c r="Z57" i="13" s="1"/>
  <c r="X57" i="14" s="1"/>
  <c r="E147" i="13"/>
  <c r="G147" i="13"/>
  <c r="H147" i="13"/>
  <c r="U147" i="13"/>
  <c r="AG147" i="13" s="1"/>
  <c r="V147" i="13"/>
  <c r="E207" i="13"/>
  <c r="G207" i="13"/>
  <c r="H207" i="13"/>
  <c r="V207" i="13"/>
  <c r="AA207" i="13" s="1"/>
  <c r="Y207" i="14" s="1"/>
  <c r="U207" i="13"/>
  <c r="AG207" i="13" s="1"/>
  <c r="E77" i="13"/>
  <c r="G77" i="13"/>
  <c r="H77" i="13"/>
  <c r="U77" i="13"/>
  <c r="AG77" i="13" s="1"/>
  <c r="V77" i="13"/>
  <c r="E107" i="13"/>
  <c r="G107" i="13"/>
  <c r="H107" i="13"/>
  <c r="V107" i="13"/>
  <c r="U107" i="13"/>
  <c r="AG107" i="13" s="1"/>
  <c r="E236" i="13"/>
  <c r="G236" i="13"/>
  <c r="H236" i="13"/>
  <c r="U236" i="13"/>
  <c r="AG236" i="13" s="1"/>
  <c r="V236" i="13"/>
  <c r="G105" i="13"/>
  <c r="E105" i="13"/>
  <c r="H105" i="13"/>
  <c r="U105" i="13"/>
  <c r="AG105" i="13" s="1"/>
  <c r="V105" i="13"/>
  <c r="AA105" i="13" s="1"/>
  <c r="Y105" i="14" s="1"/>
  <c r="E209" i="13"/>
  <c r="G209" i="13"/>
  <c r="H209" i="13"/>
  <c r="U209" i="13"/>
  <c r="AG209" i="13" s="1"/>
  <c r="V209" i="13"/>
  <c r="E244" i="13"/>
  <c r="G244" i="13"/>
  <c r="H244" i="13"/>
  <c r="U244" i="13"/>
  <c r="AG244" i="13" s="1"/>
  <c r="V244" i="13"/>
  <c r="E94" i="13"/>
  <c r="G94" i="13"/>
  <c r="H94" i="13"/>
  <c r="U94" i="13"/>
  <c r="AG94" i="13" s="1"/>
  <c r="V94" i="13"/>
  <c r="Z94" i="13" s="1"/>
  <c r="E38" i="13"/>
  <c r="G38" i="13"/>
  <c r="H38" i="13"/>
  <c r="V38" i="13"/>
  <c r="U38" i="13"/>
  <c r="AG38" i="13" s="1"/>
  <c r="E268" i="13"/>
  <c r="G268" i="13"/>
  <c r="H268" i="13"/>
  <c r="U268" i="13"/>
  <c r="AG268" i="13" s="1"/>
  <c r="AB297" i="13" s="1"/>
  <c r="V268" i="13"/>
  <c r="E58" i="13"/>
  <c r="G58" i="13"/>
  <c r="H58" i="13"/>
  <c r="U58" i="13"/>
  <c r="AG58" i="13" s="1"/>
  <c r="V58" i="13"/>
  <c r="G185" i="13"/>
  <c r="E185" i="13"/>
  <c r="H185" i="13"/>
  <c r="U185" i="13"/>
  <c r="AG185" i="13" s="1"/>
  <c r="V185" i="13"/>
  <c r="Z185" i="13" s="1"/>
  <c r="X185" i="14" s="1"/>
  <c r="E178" i="13"/>
  <c r="G178" i="13"/>
  <c r="H178" i="13"/>
  <c r="U178" i="13"/>
  <c r="AG178" i="13" s="1"/>
  <c r="V178" i="13"/>
  <c r="E241" i="13"/>
  <c r="G241" i="13"/>
  <c r="H241" i="13"/>
  <c r="U241" i="13"/>
  <c r="AG241" i="13" s="1"/>
  <c r="V241" i="13"/>
  <c r="Z241" i="13" s="1"/>
  <c r="X241" i="14" s="1"/>
  <c r="E48" i="13"/>
  <c r="G48" i="13"/>
  <c r="H48" i="13"/>
  <c r="V48" i="13"/>
  <c r="AA48" i="13" s="1"/>
  <c r="Y48" i="14" s="1"/>
  <c r="U48" i="13"/>
  <c r="AG48" i="13" s="1"/>
  <c r="E283" i="13"/>
  <c r="G283" i="13"/>
  <c r="H283" i="13"/>
  <c r="V283" i="13"/>
  <c r="U283" i="13"/>
  <c r="AG283" i="13" s="1"/>
  <c r="AB312" i="13" s="1"/>
  <c r="E86" i="13"/>
  <c r="G86" i="13"/>
  <c r="H86" i="13"/>
  <c r="V86" i="13"/>
  <c r="U86" i="13"/>
  <c r="AG86" i="13" s="1"/>
  <c r="E165" i="13"/>
  <c r="G165" i="13"/>
  <c r="H165" i="13"/>
  <c r="U165" i="13"/>
  <c r="AG165" i="13" s="1"/>
  <c r="V165" i="13"/>
  <c r="E282" i="13"/>
  <c r="G282" i="13"/>
  <c r="H282" i="13"/>
  <c r="V282" i="13"/>
  <c r="U282" i="13"/>
  <c r="AG282" i="13" s="1"/>
  <c r="AB311" i="13" s="1"/>
  <c r="E238" i="13"/>
  <c r="G238" i="13"/>
  <c r="H238" i="13"/>
  <c r="V238" i="13"/>
  <c r="U238" i="13"/>
  <c r="AG238" i="13" s="1"/>
  <c r="E237" i="13"/>
  <c r="G237" i="13"/>
  <c r="H237" i="13"/>
  <c r="U237" i="13"/>
  <c r="AG237" i="13" s="1"/>
  <c r="V237" i="13"/>
  <c r="Z237" i="13" s="1"/>
  <c r="X237" i="14" s="1"/>
  <c r="E154" i="13"/>
  <c r="G154" i="13"/>
  <c r="H154" i="13"/>
  <c r="U154" i="13"/>
  <c r="AG154" i="13" s="1"/>
  <c r="V154" i="13"/>
  <c r="Z154" i="13" s="1"/>
  <c r="X154" i="14" s="1"/>
  <c r="G89" i="13"/>
  <c r="E89" i="13"/>
  <c r="H89" i="13"/>
  <c r="U89" i="13"/>
  <c r="AG89" i="13" s="1"/>
  <c r="V89" i="13"/>
  <c r="E211" i="13"/>
  <c r="G211" i="13"/>
  <c r="H211" i="13"/>
  <c r="U211" i="13"/>
  <c r="AG211" i="13" s="1"/>
  <c r="V211" i="13"/>
  <c r="G116" i="13"/>
  <c r="E116" i="13"/>
  <c r="H116" i="13"/>
  <c r="U116" i="13"/>
  <c r="AG116" i="13" s="1"/>
  <c r="V116" i="13"/>
  <c r="E270" i="13"/>
  <c r="G270" i="13"/>
  <c r="H270" i="13"/>
  <c r="V270" i="13"/>
  <c r="U270" i="13"/>
  <c r="AG270" i="13" s="1"/>
  <c r="AB299" i="13" s="1"/>
  <c r="E93" i="13"/>
  <c r="G93" i="13"/>
  <c r="H93" i="13"/>
  <c r="U93" i="13"/>
  <c r="AG93" i="13" s="1"/>
  <c r="V93" i="13"/>
  <c r="E262" i="13"/>
  <c r="G262" i="13"/>
  <c r="H262" i="13"/>
  <c r="V262" i="13"/>
  <c r="U262" i="13"/>
  <c r="AG262" i="13" s="1"/>
  <c r="E101" i="13"/>
  <c r="G101" i="13"/>
  <c r="H101" i="13"/>
  <c r="U101" i="13"/>
  <c r="AG101" i="13" s="1"/>
  <c r="V101" i="13"/>
  <c r="AA101" i="13" s="1"/>
  <c r="E88" i="13"/>
  <c r="G88" i="13"/>
  <c r="H88" i="13"/>
  <c r="U88" i="13"/>
  <c r="AG88" i="13" s="1"/>
  <c r="V88" i="13"/>
  <c r="AA88" i="13" s="1"/>
  <c r="E47" i="13"/>
  <c r="G47" i="13"/>
  <c r="H47" i="13"/>
  <c r="U47" i="13"/>
  <c r="AG47" i="13" s="1"/>
  <c r="V47" i="13"/>
  <c r="AA47" i="13" s="1"/>
  <c r="Y47" i="14" s="1"/>
  <c r="E92" i="13"/>
  <c r="G92" i="13"/>
  <c r="H92" i="13"/>
  <c r="U92" i="13"/>
  <c r="AG92" i="13" s="1"/>
  <c r="V92" i="13"/>
  <c r="G266" i="13"/>
  <c r="V266" i="13"/>
  <c r="Z266" i="13" s="1"/>
  <c r="G73" i="13"/>
  <c r="E73" i="13"/>
  <c r="H73" i="13"/>
  <c r="U73" i="13"/>
  <c r="AG73" i="13" s="1"/>
  <c r="V73" i="13"/>
  <c r="AA73" i="13" s="1"/>
  <c r="Y73" i="14" s="1"/>
  <c r="E52" i="13"/>
  <c r="G52" i="13"/>
  <c r="H52" i="13"/>
  <c r="U52" i="13"/>
  <c r="AG52" i="13" s="1"/>
  <c r="V52" i="13"/>
  <c r="E54" i="13"/>
  <c r="G54" i="13"/>
  <c r="H54" i="13"/>
  <c r="V54" i="13"/>
  <c r="U54" i="13"/>
  <c r="AG54" i="13" s="1"/>
  <c r="E184" i="13"/>
  <c r="G184" i="13"/>
  <c r="H184" i="13"/>
  <c r="U184" i="13"/>
  <c r="AG184" i="13" s="1"/>
  <c r="V184" i="13"/>
  <c r="E252" i="13"/>
  <c r="G252" i="13"/>
  <c r="H252" i="13"/>
  <c r="U252" i="13"/>
  <c r="AG252" i="13" s="1"/>
  <c r="V252" i="13"/>
  <c r="E44" i="13"/>
  <c r="G44" i="13"/>
  <c r="H44" i="13"/>
  <c r="U44" i="13"/>
  <c r="AG44" i="13" s="1"/>
  <c r="V44" i="13"/>
  <c r="AA44" i="13" s="1"/>
  <c r="E170" i="13"/>
  <c r="G170" i="13"/>
  <c r="H170" i="13"/>
  <c r="V170" i="13"/>
  <c r="AA170" i="13" s="1"/>
  <c r="Y170" i="14" s="1"/>
  <c r="U170" i="13"/>
  <c r="AG170" i="13" s="1"/>
  <c r="G249" i="13"/>
  <c r="E87" i="13"/>
  <c r="G87" i="13"/>
  <c r="H87" i="13"/>
  <c r="U87" i="13"/>
  <c r="AG87" i="13" s="1"/>
  <c r="V87" i="13"/>
  <c r="Z87" i="13" s="1"/>
  <c r="X87" i="14" s="1"/>
  <c r="E162" i="13"/>
  <c r="G162" i="13"/>
  <c r="H162" i="13"/>
  <c r="U162" i="13"/>
  <c r="AG162" i="13" s="1"/>
  <c r="V162" i="13"/>
  <c r="E223" i="13"/>
  <c r="G223" i="13"/>
  <c r="H223" i="13"/>
  <c r="V223" i="13"/>
  <c r="U223" i="13"/>
  <c r="AG223" i="13" s="1"/>
  <c r="E247" i="13"/>
  <c r="G247" i="13"/>
  <c r="H247" i="13"/>
  <c r="U247" i="13"/>
  <c r="AG247" i="13" s="1"/>
  <c r="V247" i="13"/>
  <c r="E70" i="13"/>
  <c r="G70" i="13"/>
  <c r="H70" i="13"/>
  <c r="V70" i="13"/>
  <c r="AA70" i="13" s="1"/>
  <c r="Y70" i="14" s="1"/>
  <c r="U70" i="13"/>
  <c r="AG70" i="13" s="1"/>
  <c r="E138" i="13"/>
  <c r="G138" i="13"/>
  <c r="H138" i="13"/>
  <c r="U138" i="13"/>
  <c r="AG138" i="13" s="1"/>
  <c r="V138" i="13"/>
  <c r="E139" i="13"/>
  <c r="G139" i="13"/>
  <c r="H139" i="13"/>
  <c r="V139" i="13"/>
  <c r="U139" i="13"/>
  <c r="AG139" i="13" s="1"/>
  <c r="E161" i="13"/>
  <c r="G161" i="13"/>
  <c r="H161" i="13"/>
  <c r="U161" i="13"/>
  <c r="AG161" i="13" s="1"/>
  <c r="V161" i="13"/>
  <c r="Z161" i="13" s="1"/>
  <c r="X161" i="14" s="1"/>
  <c r="E224" i="13"/>
  <c r="G224" i="13"/>
  <c r="H224" i="13"/>
  <c r="V224" i="13"/>
  <c r="U224" i="13"/>
  <c r="AG224" i="13" s="1"/>
  <c r="E56" i="13"/>
  <c r="G56" i="13"/>
  <c r="H56" i="13"/>
  <c r="U56" i="13"/>
  <c r="AG56" i="13" s="1"/>
  <c r="V56" i="13"/>
  <c r="AA56" i="13" s="1"/>
  <c r="Y56" i="14" s="1"/>
  <c r="D125" i="6"/>
  <c r="E125" i="6" s="1"/>
  <c r="Z125" i="6" s="1" a="1"/>
  <c r="Z125" i="6" s="1"/>
  <c r="C125" i="6" s="1"/>
  <c r="D173" i="6"/>
  <c r="E173" i="6" s="1"/>
  <c r="Z173" i="6" s="1" a="1"/>
  <c r="Z173" i="6" s="1"/>
  <c r="C173" i="6" s="1"/>
  <c r="D65" i="6"/>
  <c r="E65" i="6" s="1"/>
  <c r="Z65" i="6" s="1" a="1"/>
  <c r="Z65" i="6" s="1"/>
  <c r="C65" i="6" s="1"/>
  <c r="B229" i="6"/>
  <c r="B152" i="6"/>
  <c r="D36" i="6"/>
  <c r="E36" i="6" s="1"/>
  <c r="Z36" i="6" s="1" a="1"/>
  <c r="Z36" i="6" s="1"/>
  <c r="C36" i="6" s="1"/>
  <c r="D195" i="6"/>
  <c r="E195" i="6" s="1"/>
  <c r="Z195" i="6" s="1" a="1"/>
  <c r="Z195" i="6" s="1"/>
  <c r="C195" i="6" s="1"/>
  <c r="B45" i="6"/>
  <c r="C211" i="9"/>
  <c r="B174" i="6"/>
  <c r="D67" i="6"/>
  <c r="E67" i="6" s="1"/>
  <c r="Z67" i="6" s="1" a="1"/>
  <c r="Z67" i="6" s="1"/>
  <c r="C67" i="6" s="1"/>
  <c r="B54" i="6"/>
  <c r="B224" i="6"/>
  <c r="D37" i="6"/>
  <c r="E37" i="6" s="1"/>
  <c r="Z37" i="6" s="1" a="1"/>
  <c r="Z37" i="6" s="1"/>
  <c r="C37" i="6" s="1"/>
  <c r="B232" i="6"/>
  <c r="B99" i="6"/>
  <c r="D174" i="6"/>
  <c r="E174" i="6" s="1"/>
  <c r="Z174" i="6" s="1" a="1"/>
  <c r="Z174" i="6" s="1"/>
  <c r="C174" i="6" s="1"/>
  <c r="D54" i="6"/>
  <c r="E54" i="6" s="1"/>
  <c r="Z54" i="6" s="1" a="1"/>
  <c r="Z54" i="6" s="1"/>
  <c r="C54" i="6" s="1"/>
  <c r="B95" i="6"/>
  <c r="B26" i="6"/>
  <c r="D153" i="6"/>
  <c r="E153" i="6" s="1"/>
  <c r="Z153" i="6" s="1" a="1"/>
  <c r="Z153" i="6" s="1"/>
  <c r="C153" i="6" s="1"/>
  <c r="D46" i="6"/>
  <c r="E46" i="6" s="1"/>
  <c r="Z46" i="6" s="1" a="1"/>
  <c r="Z46" i="6" s="1"/>
  <c r="C46" i="6" s="1"/>
  <c r="B197" i="6"/>
  <c r="B109" i="6"/>
  <c r="D45" i="6"/>
  <c r="E45" i="6" s="1"/>
  <c r="Z45" i="6" s="1" a="1"/>
  <c r="Z45" i="6" s="1"/>
  <c r="C45" i="6" s="1"/>
  <c r="B256" i="6"/>
  <c r="D224" i="6"/>
  <c r="E224" i="6" s="1"/>
  <c r="Z224" i="6" s="1" a="1"/>
  <c r="Z224" i="6" s="1"/>
  <c r="C224" i="6" s="1"/>
  <c r="D162" i="6"/>
  <c r="E162" i="6" s="1"/>
  <c r="Z162" i="6" s="1" a="1"/>
  <c r="Z162" i="6" s="1"/>
  <c r="C162" i="6" s="1"/>
  <c r="B225" i="6"/>
  <c r="D97" i="6"/>
  <c r="E97" i="6" s="1"/>
  <c r="Z97" i="6" s="1" a="1"/>
  <c r="Z97" i="6" s="1"/>
  <c r="C97" i="6" s="1"/>
  <c r="B74" i="6"/>
  <c r="B255" i="6"/>
  <c r="D229" i="6"/>
  <c r="E229" i="6" s="1"/>
  <c r="Z229" i="6" s="1" a="1"/>
  <c r="Z229" i="6" s="1"/>
  <c r="C229" i="6" s="1"/>
  <c r="B270" i="6"/>
  <c r="D93" i="6"/>
  <c r="E93" i="6" s="1"/>
  <c r="Z93" i="6" s="1" a="1"/>
  <c r="Z93" i="6" s="1"/>
  <c r="C93" i="6" s="1"/>
  <c r="D131" i="6"/>
  <c r="E131" i="6" s="1"/>
  <c r="Z131" i="6" s="1" a="1"/>
  <c r="Z131" i="6" s="1"/>
  <c r="C131" i="6" s="1"/>
  <c r="B67" i="6"/>
  <c r="B263" i="6"/>
  <c r="D135" i="6"/>
  <c r="E135" i="6" s="1"/>
  <c r="Z135" i="6" s="1" a="1"/>
  <c r="Z135" i="6" s="1"/>
  <c r="C135" i="6" s="1"/>
  <c r="B195" i="6"/>
  <c r="D82" i="6"/>
  <c r="E82" i="6" s="1"/>
  <c r="Z82" i="6" s="1" a="1"/>
  <c r="Z82" i="6" s="1"/>
  <c r="C82" i="6" s="1"/>
  <c r="D271" i="6"/>
  <c r="E271" i="6" s="1"/>
  <c r="Z271" i="6" s="1" a="1"/>
  <c r="Z271" i="6" s="1"/>
  <c r="C271" i="6" s="1"/>
  <c r="B125" i="6"/>
  <c r="B173" i="6"/>
  <c r="D226" i="6"/>
  <c r="E226" i="6" s="1"/>
  <c r="Z226" i="6" s="1" a="1"/>
  <c r="Z226" i="6" s="1"/>
  <c r="C226" i="6" s="1"/>
  <c r="D140" i="6"/>
  <c r="E140" i="6" s="1"/>
  <c r="Z140" i="6" s="1" a="1"/>
  <c r="Z140" i="6" s="1"/>
  <c r="C140" i="6" s="1"/>
  <c r="B65" i="6"/>
  <c r="D202" i="6"/>
  <c r="E202" i="6" s="1"/>
  <c r="Z202" i="6" s="1" a="1"/>
  <c r="Z202" i="6" s="1"/>
  <c r="C202" i="6" s="1"/>
  <c r="B106" i="6"/>
  <c r="D112" i="6"/>
  <c r="E112" i="6" s="1"/>
  <c r="Z112" i="6" s="1" a="1"/>
  <c r="Z112" i="6" s="1"/>
  <c r="C112" i="6" s="1"/>
  <c r="D166" i="6"/>
  <c r="E166" i="6" s="1"/>
  <c r="Z166" i="6" s="1" a="1"/>
  <c r="Z166" i="6" s="1"/>
  <c r="C166" i="6" s="1"/>
  <c r="F233" i="13"/>
  <c r="D160" i="6"/>
  <c r="E160" i="6" s="1"/>
  <c r="Z160" i="6" s="1" a="1"/>
  <c r="Z160" i="6" s="1"/>
  <c r="C160" i="6" s="1"/>
  <c r="F172" i="13"/>
  <c r="F90" i="13"/>
  <c r="B102" i="6"/>
  <c r="F114" i="13"/>
  <c r="F97" i="13"/>
  <c r="D184" i="6"/>
  <c r="E184" i="6" s="1"/>
  <c r="Z184" i="6" s="1" a="1"/>
  <c r="Z184" i="6" s="1"/>
  <c r="C184" i="6" s="1"/>
  <c r="F196" i="13"/>
  <c r="F190" i="13"/>
  <c r="F205" i="13"/>
  <c r="F192" i="13"/>
  <c r="F198" i="13"/>
  <c r="F149" i="13"/>
  <c r="F171" i="13"/>
  <c r="F63" i="13"/>
  <c r="B163" i="6"/>
  <c r="F175" i="13"/>
  <c r="F119" i="13"/>
  <c r="F51" i="13"/>
  <c r="F106" i="13"/>
  <c r="F140" i="13"/>
  <c r="F199" i="13"/>
  <c r="F82" i="13"/>
  <c r="F215" i="13"/>
  <c r="D183" i="6"/>
  <c r="E183" i="6" s="1"/>
  <c r="Z183" i="6" s="1" a="1"/>
  <c r="Z183" i="6" s="1"/>
  <c r="C183" i="6" s="1"/>
  <c r="F195" i="13"/>
  <c r="F142" i="13"/>
  <c r="B257" i="6"/>
  <c r="F269" i="13"/>
  <c r="F208" i="13"/>
  <c r="F219" i="13"/>
  <c r="F245" i="13"/>
  <c r="F136" i="13"/>
  <c r="F216" i="13"/>
  <c r="F281" i="13"/>
  <c r="F129" i="13"/>
  <c r="F229" i="13"/>
  <c r="F239" i="13"/>
  <c r="F155" i="13"/>
  <c r="F191" i="13"/>
  <c r="C167" i="9"/>
  <c r="F193" i="13"/>
  <c r="B220" i="6"/>
  <c r="F232" i="13"/>
  <c r="F265" i="13"/>
  <c r="F153" i="13"/>
  <c r="B148" i="6"/>
  <c r="F160" i="13"/>
  <c r="F240" i="13"/>
  <c r="B91" i="6"/>
  <c r="F103" i="13"/>
  <c r="A186" i="13"/>
  <c r="A121" i="13"/>
  <c r="A57" i="13"/>
  <c r="A147" i="13"/>
  <c r="A207" i="13"/>
  <c r="A77" i="13"/>
  <c r="A107" i="13"/>
  <c r="A236" i="13"/>
  <c r="A105" i="13"/>
  <c r="A209" i="13"/>
  <c r="A244" i="13"/>
  <c r="A94" i="13"/>
  <c r="A38" i="13"/>
  <c r="A268" i="13"/>
  <c r="A58" i="13"/>
  <c r="A185" i="13"/>
  <c r="A178" i="13"/>
  <c r="A241" i="13"/>
  <c r="A48" i="13"/>
  <c r="A283" i="13"/>
  <c r="A86" i="13"/>
  <c r="A165" i="13"/>
  <c r="A282" i="13"/>
  <c r="A238" i="13"/>
  <c r="A237" i="13"/>
  <c r="F41" i="13"/>
  <c r="D64" i="6"/>
  <c r="E64" i="6" s="1"/>
  <c r="Z64" i="6" s="1" a="1"/>
  <c r="Z64" i="6" s="1"/>
  <c r="C64" i="6" s="1"/>
  <c r="F76" i="13"/>
  <c r="F243" i="13"/>
  <c r="D213" i="6"/>
  <c r="E213" i="6" s="1"/>
  <c r="Z213" i="6" s="1" a="1"/>
  <c r="Z213" i="6" s="1"/>
  <c r="C213" i="6" s="1"/>
  <c r="F225" i="13"/>
  <c r="F36" i="13"/>
  <c r="F110" i="13"/>
  <c r="F141" i="13"/>
  <c r="D116" i="6"/>
  <c r="E116" i="6" s="1"/>
  <c r="Z116" i="6" s="1" a="1"/>
  <c r="Z116" i="6" s="1"/>
  <c r="C116" i="6" s="1"/>
  <c r="F128" i="13"/>
  <c r="F75" i="13"/>
  <c r="B154" i="6"/>
  <c r="F166" i="13"/>
  <c r="F117" i="13"/>
  <c r="F85" i="13"/>
  <c r="F201" i="13"/>
  <c r="F202" i="13"/>
  <c r="F159" i="13"/>
  <c r="D198" i="6"/>
  <c r="E198" i="6" s="1"/>
  <c r="Z198" i="6" s="1" a="1"/>
  <c r="Z198" i="6" s="1"/>
  <c r="C198" i="6" s="1"/>
  <c r="F210" i="13"/>
  <c r="F228" i="13"/>
  <c r="F251" i="13"/>
  <c r="F206" i="13"/>
  <c r="F74" i="13"/>
  <c r="F127" i="13"/>
  <c r="D69" i="6"/>
  <c r="E69" i="6" s="1"/>
  <c r="Z69" i="6" s="1" a="1"/>
  <c r="Z69" i="6" s="1"/>
  <c r="C69" i="6" s="1"/>
  <c r="F81" i="13"/>
  <c r="F279" i="13"/>
  <c r="D139" i="6"/>
  <c r="E139" i="6" s="1"/>
  <c r="Z139" i="6" s="1" a="1"/>
  <c r="Z139" i="6" s="1"/>
  <c r="C139" i="6" s="1"/>
  <c r="F151" i="13"/>
  <c r="F176" i="13"/>
  <c r="F91" i="13"/>
  <c r="F277" i="13"/>
  <c r="B205" i="6"/>
  <c r="F217" i="13"/>
  <c r="F71" i="13"/>
  <c r="F132" i="13"/>
  <c r="D57" i="6"/>
  <c r="E57" i="6" s="1"/>
  <c r="Z57" i="6" s="1" a="1"/>
  <c r="Z57" i="6" s="1"/>
  <c r="C57" i="6" s="1"/>
  <c r="F69" i="13"/>
  <c r="D242" i="6"/>
  <c r="E242" i="6" s="1"/>
  <c r="Z242" i="6" s="1" a="1"/>
  <c r="Z242" i="6" s="1"/>
  <c r="C242" i="6" s="1"/>
  <c r="F254" i="13"/>
  <c r="F183" i="13"/>
  <c r="B251" i="6"/>
  <c r="F263" i="13"/>
  <c r="D88" i="6"/>
  <c r="E88" i="6" s="1"/>
  <c r="Z88" i="6" s="1" a="1"/>
  <c r="Z88" i="6" s="1"/>
  <c r="C88" i="6" s="1"/>
  <c r="F100" i="13"/>
  <c r="F126" i="13"/>
  <c r="D208" i="6"/>
  <c r="E208" i="6" s="1"/>
  <c r="Z208" i="6" s="1" a="1"/>
  <c r="Z208" i="6" s="1"/>
  <c r="C208" i="6" s="1"/>
  <c r="F220" i="13"/>
  <c r="D23" i="6"/>
  <c r="E23" i="6" s="1"/>
  <c r="Z23" i="6" s="1" a="1"/>
  <c r="Z23" i="6" s="1"/>
  <c r="C23" i="6" s="1"/>
  <c r="F35" i="13"/>
  <c r="F230" i="13"/>
  <c r="B185" i="6"/>
  <c r="F197" i="13"/>
  <c r="F163" i="13"/>
  <c r="B48" i="6"/>
  <c r="F60" i="13"/>
  <c r="F55" i="13"/>
  <c r="F145" i="13"/>
  <c r="F276" i="13"/>
  <c r="F84" i="13"/>
  <c r="F259" i="13"/>
  <c r="B50" i="6"/>
  <c r="F62" i="13"/>
  <c r="F125" i="13"/>
  <c r="F43" i="13"/>
  <c r="F213" i="13"/>
  <c r="B243" i="6"/>
  <c r="F255" i="13"/>
  <c r="F271" i="13"/>
  <c r="D261" i="6"/>
  <c r="E261" i="6" s="1"/>
  <c r="Z261" i="6" s="1" a="1"/>
  <c r="Z261" i="6" s="1"/>
  <c r="C261" i="6" s="1"/>
  <c r="F273" i="13"/>
  <c r="F68" i="13"/>
  <c r="F115" i="13"/>
  <c r="F189" i="13"/>
  <c r="B123" i="6"/>
  <c r="F135" i="13"/>
  <c r="F50" i="13"/>
  <c r="F148" i="13"/>
  <c r="F96" i="13"/>
  <c r="B266" i="6"/>
  <c r="F278" i="13"/>
  <c r="F150" i="13"/>
  <c r="F53" i="13"/>
  <c r="B96" i="6"/>
  <c r="F108" i="13"/>
  <c r="B214" i="6"/>
  <c r="F226" i="13"/>
  <c r="B210" i="6"/>
  <c r="F222" i="13"/>
  <c r="B157" i="6"/>
  <c r="F169" i="13"/>
  <c r="F253" i="13"/>
  <c r="D252" i="6"/>
  <c r="E252" i="6" s="1"/>
  <c r="Z252" i="6" s="1" a="1"/>
  <c r="Z252" i="6" s="1"/>
  <c r="C252" i="6" s="1"/>
  <c r="F264" i="13"/>
  <c r="B238" i="6"/>
  <c r="F250" i="13"/>
  <c r="D100" i="6"/>
  <c r="E100" i="6" s="1"/>
  <c r="Z100" i="6" s="1" a="1"/>
  <c r="Z100" i="6" s="1"/>
  <c r="C100" i="6" s="1"/>
  <c r="F112" i="13"/>
  <c r="B60" i="6"/>
  <c r="F72" i="13"/>
  <c r="F33" i="13"/>
  <c r="F37" i="13"/>
  <c r="B145" i="6"/>
  <c r="F157" i="13"/>
  <c r="F104" i="13"/>
  <c r="B200" i="6"/>
  <c r="F212" i="13"/>
  <c r="D219" i="6"/>
  <c r="E219" i="6" s="1"/>
  <c r="Z219" i="6" s="1" a="1"/>
  <c r="Z219" i="6" s="1"/>
  <c r="C219" i="6" s="1"/>
  <c r="F231" i="13"/>
  <c r="A154" i="13"/>
  <c r="A89" i="13"/>
  <c r="A211" i="13"/>
  <c r="A116" i="13"/>
  <c r="A270" i="13"/>
  <c r="A93" i="13"/>
  <c r="A262" i="13"/>
  <c r="A101" i="13"/>
  <c r="A88" i="13"/>
  <c r="A47" i="13"/>
  <c r="A92" i="13"/>
  <c r="A266" i="13"/>
  <c r="A73" i="13"/>
  <c r="A52" i="13"/>
  <c r="A54" i="13"/>
  <c r="A184" i="13"/>
  <c r="A252" i="13"/>
  <c r="A44" i="13"/>
  <c r="A170" i="13"/>
  <c r="A87" i="13"/>
  <c r="A162" i="13"/>
  <c r="A223" i="13"/>
  <c r="A247" i="13"/>
  <c r="A70" i="13"/>
  <c r="A138" i="13"/>
  <c r="A139" i="13"/>
  <c r="A161" i="13"/>
  <c r="A224" i="13"/>
  <c r="A56" i="13"/>
  <c r="F122" i="13"/>
  <c r="F242" i="13"/>
  <c r="B101" i="6"/>
  <c r="F113" i="13"/>
  <c r="F65" i="13"/>
  <c r="F131" i="13"/>
  <c r="F46" i="13"/>
  <c r="B260" i="6"/>
  <c r="F272" i="13"/>
  <c r="F246" i="13"/>
  <c r="F181" i="13"/>
  <c r="F235" i="13"/>
  <c r="F203" i="13"/>
  <c r="F83" i="13"/>
  <c r="F173" i="13"/>
  <c r="F144" i="13"/>
  <c r="D47" i="6"/>
  <c r="E47" i="6" s="1"/>
  <c r="Z47" i="6" s="1" a="1"/>
  <c r="Z47" i="6" s="1"/>
  <c r="C47" i="6" s="1"/>
  <c r="F59" i="13"/>
  <c r="F284" i="13"/>
  <c r="F204" i="13"/>
  <c r="F234" i="13"/>
  <c r="F146" i="13"/>
  <c r="F177" i="13"/>
  <c r="B244" i="6"/>
  <c r="F256" i="13"/>
  <c r="F123" i="13"/>
  <c r="B236" i="6"/>
  <c r="F248" i="13"/>
  <c r="D167" i="6"/>
  <c r="E167" i="6" s="1"/>
  <c r="Z167" i="6" s="1" a="1"/>
  <c r="Z167" i="6" s="1"/>
  <c r="C167" i="6" s="1"/>
  <c r="F179" i="13"/>
  <c r="B245" i="6"/>
  <c r="F257" i="13"/>
  <c r="B68" i="6"/>
  <c r="F80" i="13"/>
  <c r="D144" i="6"/>
  <c r="E144" i="6" s="1"/>
  <c r="Z144" i="6" s="1" a="1"/>
  <c r="Z144" i="6" s="1"/>
  <c r="C144" i="6" s="1"/>
  <c r="F156" i="13"/>
  <c r="D209" i="6"/>
  <c r="E209" i="6" s="1"/>
  <c r="Z209" i="6" s="1" a="1"/>
  <c r="Z209" i="6" s="1"/>
  <c r="C209" i="6" s="1"/>
  <c r="F221" i="13"/>
  <c r="D188" i="6"/>
  <c r="E188" i="6" s="1"/>
  <c r="Z188" i="6" s="1" a="1"/>
  <c r="Z188" i="6" s="1"/>
  <c r="C188" i="6" s="1"/>
  <c r="F200" i="13"/>
  <c r="F98" i="13"/>
  <c r="D249" i="6"/>
  <c r="E249" i="6" s="1"/>
  <c r="Z249" i="6" s="1" a="1"/>
  <c r="Z249" i="6" s="1"/>
  <c r="C249" i="6" s="1"/>
  <c r="F261" i="13"/>
  <c r="D30" i="6"/>
  <c r="E30" i="6" s="1"/>
  <c r="Z30" i="6" s="1" a="1"/>
  <c r="Z30" i="6" s="1"/>
  <c r="C30" i="6" s="1"/>
  <c r="F42" i="13"/>
  <c r="F34" i="13"/>
  <c r="D28" i="6"/>
  <c r="E28" i="6" s="1"/>
  <c r="Z28" i="6" s="1" a="1"/>
  <c r="Z28" i="6" s="1"/>
  <c r="C28" i="6" s="1"/>
  <c r="F40" i="13"/>
  <c r="F194" i="13"/>
  <c r="F67" i="13"/>
  <c r="F227" i="13"/>
  <c r="F134" i="13"/>
  <c r="F188" i="13"/>
  <c r="B206" i="6"/>
  <c r="F218" i="13"/>
  <c r="F274" i="13"/>
  <c r="F285" i="13"/>
  <c r="F168" i="13"/>
  <c r="F102" i="13"/>
  <c r="F167" i="13"/>
  <c r="B118" i="6"/>
  <c r="F130" i="13"/>
  <c r="F187" i="13"/>
  <c r="D87" i="6"/>
  <c r="E87" i="6" s="1"/>
  <c r="Z87" i="6" s="1" a="1"/>
  <c r="Z87" i="6" s="1"/>
  <c r="C87" i="6" s="1"/>
  <c r="F99" i="13"/>
  <c r="F182" i="13"/>
  <c r="B121" i="6"/>
  <c r="F133" i="13"/>
  <c r="F280" i="13"/>
  <c r="F45" i="13"/>
  <c r="D238" i="6"/>
  <c r="E238" i="6" s="1"/>
  <c r="Z238" i="6" s="1" a="1"/>
  <c r="Z238" i="6" s="1"/>
  <c r="C238" i="6" s="1"/>
  <c r="B219" i="6"/>
  <c r="B167" i="6"/>
  <c r="B117" i="6"/>
  <c r="D227" i="6"/>
  <c r="E227" i="6" s="1"/>
  <c r="Z227" i="6" s="1" a="1"/>
  <c r="Z227" i="6" s="1"/>
  <c r="C227" i="6" s="1"/>
  <c r="D86" i="6"/>
  <c r="E86" i="6" s="1"/>
  <c r="Z86" i="6" s="1" a="1"/>
  <c r="Z86" i="6" s="1"/>
  <c r="C86" i="6" s="1"/>
  <c r="D171" i="6"/>
  <c r="E171" i="6" s="1"/>
  <c r="Z171" i="6" s="1" a="1"/>
  <c r="Z171" i="6" s="1"/>
  <c r="C171" i="6" s="1"/>
  <c r="D59" i="6"/>
  <c r="E59" i="6" s="1"/>
  <c r="Z59" i="6" s="1" a="1"/>
  <c r="Z59" i="6" s="1"/>
  <c r="C59" i="6" s="1"/>
  <c r="B208" i="6"/>
  <c r="B88" i="6"/>
  <c r="B171" i="6"/>
  <c r="B59" i="6"/>
  <c r="B227" i="6"/>
  <c r="D220" i="6"/>
  <c r="E220" i="6" s="1"/>
  <c r="Z220" i="6" s="1" a="1"/>
  <c r="Z220" i="6" s="1"/>
  <c r="C220" i="6" s="1"/>
  <c r="D179" i="6"/>
  <c r="E179" i="6" s="1"/>
  <c r="Z179" i="6" s="1" a="1"/>
  <c r="Z179" i="6" s="1"/>
  <c r="C179" i="6" s="1"/>
  <c r="D241" i="6"/>
  <c r="E241" i="6" s="1"/>
  <c r="Z241" i="6" s="1" a="1"/>
  <c r="Z241" i="6" s="1"/>
  <c r="C241" i="6" s="1"/>
  <c r="D60" i="6"/>
  <c r="E60" i="6" s="1"/>
  <c r="Z60" i="6" s="1" a="1"/>
  <c r="Z60" i="6" s="1"/>
  <c r="C60" i="6" s="1"/>
  <c r="D210" i="6"/>
  <c r="E210" i="6" s="1"/>
  <c r="Z210" i="6" s="1" a="1"/>
  <c r="Z210" i="6" s="1"/>
  <c r="C210" i="6" s="1"/>
  <c r="D96" i="6"/>
  <c r="E96" i="6" s="1"/>
  <c r="Z96" i="6" s="1" a="1"/>
  <c r="Z96" i="6" s="1"/>
  <c r="C96" i="6" s="1"/>
  <c r="B241" i="6"/>
  <c r="D156" i="6"/>
  <c r="E156" i="6" s="1"/>
  <c r="Z156" i="6" s="1" a="1"/>
  <c r="Z156" i="6" s="1"/>
  <c r="C156" i="6" s="1"/>
  <c r="EL221" i="12"/>
  <c r="EL157" i="12"/>
  <c r="EL198" i="12"/>
  <c r="EL261" i="12"/>
  <c r="EL133" i="12"/>
  <c r="EL167" i="12"/>
  <c r="D117" i="6"/>
  <c r="E117" i="6" s="1"/>
  <c r="Z117" i="6" s="1" a="1"/>
  <c r="Z117" i="6" s="1"/>
  <c r="C117" i="6" s="1"/>
  <c r="B86" i="6"/>
  <c r="EL74" i="12"/>
  <c r="EL279" i="12"/>
  <c r="B209" i="6"/>
  <c r="EL246" i="12"/>
  <c r="EL196" i="12"/>
  <c r="EL132" i="12"/>
  <c r="EL276" i="12"/>
  <c r="EL181" i="12"/>
  <c r="EL216" i="12"/>
  <c r="EL195" i="12"/>
  <c r="EL123" i="12"/>
  <c r="EL63" i="12"/>
  <c r="EL281" i="12"/>
  <c r="EL243" i="12"/>
  <c r="EL250" i="12"/>
  <c r="EL103" i="12"/>
  <c r="EL277" i="12"/>
  <c r="EL233" i="12"/>
  <c r="EL140" i="12"/>
  <c r="EL69" i="12"/>
  <c r="EL232" i="12"/>
  <c r="EL212" i="12"/>
  <c r="EL229" i="12"/>
  <c r="EL218" i="12"/>
  <c r="EL274" i="12"/>
  <c r="EL82" i="12"/>
  <c r="EL177" i="12"/>
  <c r="EL269" i="12"/>
  <c r="EL141" i="12"/>
  <c r="D218" i="6"/>
  <c r="E218" i="6" s="1"/>
  <c r="Z218" i="6" s="1" a="1"/>
  <c r="Z218" i="6" s="1"/>
  <c r="C218" i="6" s="1"/>
  <c r="B228" i="6"/>
  <c r="C214" i="9"/>
  <c r="D92" i="6"/>
  <c r="E92" i="6" s="1"/>
  <c r="Z92" i="6" s="1" a="1"/>
  <c r="Z92" i="6" s="1"/>
  <c r="C92" i="6" s="1"/>
  <c r="B92" i="6"/>
  <c r="D151" i="6"/>
  <c r="E151" i="6" s="1"/>
  <c r="Z151" i="6" s="1" a="1"/>
  <c r="Z151" i="6" s="1"/>
  <c r="C151" i="6" s="1"/>
  <c r="B151" i="6"/>
  <c r="B176" i="6"/>
  <c r="D176" i="6"/>
  <c r="E176" i="6" s="1"/>
  <c r="Z176" i="6" s="1" a="1"/>
  <c r="Z176" i="6" s="1"/>
  <c r="C176" i="6" s="1"/>
  <c r="B141" i="6"/>
  <c r="D141" i="6"/>
  <c r="E141" i="6" s="1"/>
  <c r="Z141" i="6" s="1" a="1"/>
  <c r="Z141" i="6" s="1"/>
  <c r="C141" i="6" s="1"/>
  <c r="EL240" i="12"/>
  <c r="EL80" i="12"/>
  <c r="EL136" i="12"/>
  <c r="EL72" i="12"/>
  <c r="EL256" i="12"/>
  <c r="EL156" i="12"/>
  <c r="B218" i="6"/>
  <c r="B156" i="6"/>
  <c r="B179" i="6"/>
  <c r="EL46" i="12"/>
  <c r="EL219" i="12"/>
  <c r="EL59" i="12"/>
  <c r="EL248" i="12"/>
  <c r="EL204" i="12"/>
  <c r="EL127" i="12"/>
  <c r="EL110" i="12"/>
  <c r="EL210" i="12"/>
  <c r="D68" i="6"/>
  <c r="E68" i="6" s="1"/>
  <c r="Z68" i="6" s="1" a="1"/>
  <c r="Z68" i="6" s="1"/>
  <c r="C68" i="6" s="1"/>
  <c r="D228" i="6"/>
  <c r="E228" i="6" s="1"/>
  <c r="Z228" i="6" s="1" a="1"/>
  <c r="Z228" i="6" s="1"/>
  <c r="C228" i="6" s="1"/>
  <c r="EL144" i="12"/>
  <c r="EL81" i="12"/>
  <c r="EL192" i="12"/>
  <c r="EL76" i="12"/>
  <c r="EL230" i="12"/>
  <c r="EL280" i="12"/>
  <c r="EL43" i="12"/>
  <c r="B30" i="6"/>
  <c r="B57" i="6"/>
  <c r="EL65" i="12"/>
  <c r="EL228" i="12"/>
  <c r="EL100" i="12"/>
  <c r="EL208" i="12"/>
  <c r="EL112" i="12"/>
  <c r="EL264" i="12"/>
  <c r="EL200" i="12"/>
  <c r="EL284" i="12"/>
  <c r="EL148" i="12"/>
  <c r="EL96" i="12"/>
  <c r="EL106" i="12"/>
  <c r="EL265" i="12"/>
  <c r="EL169" i="12"/>
  <c r="EL41" i="12"/>
  <c r="EL220" i="12"/>
  <c r="EL271" i="12"/>
  <c r="EL34" i="12"/>
  <c r="EL225" i="12"/>
  <c r="EL97" i="12"/>
  <c r="EL187" i="12"/>
  <c r="EL99" i="12"/>
  <c r="EL35" i="12"/>
  <c r="EL222" i="12"/>
  <c r="EL285" i="12"/>
  <c r="EL75" i="12"/>
  <c r="EL102" i="12"/>
  <c r="EL119" i="12"/>
  <c r="EL251" i="12"/>
  <c r="EL213" i="12"/>
  <c r="EL171" i="12"/>
  <c r="EL199" i="12"/>
  <c r="EL91" i="12"/>
  <c r="EL201" i="12"/>
  <c r="EL122" i="12"/>
  <c r="EL113" i="12"/>
  <c r="EL51" i="12"/>
  <c r="EL227" i="12"/>
  <c r="B262" i="6"/>
  <c r="D262" i="6"/>
  <c r="E262" i="6" s="1"/>
  <c r="Z262" i="6" s="1" a="1"/>
  <c r="Z262" i="6" s="1"/>
  <c r="C262" i="6" s="1"/>
  <c r="B51" i="6"/>
  <c r="D51" i="6"/>
  <c r="E51" i="6" s="1"/>
  <c r="Z51" i="6" s="1" a="1"/>
  <c r="Z51" i="6" s="1"/>
  <c r="C51" i="6" s="1"/>
  <c r="B259" i="6"/>
  <c r="D259" i="6"/>
  <c r="E259" i="6" s="1"/>
  <c r="Z259" i="6" s="1" a="1"/>
  <c r="Z259" i="6" s="1"/>
  <c r="C259" i="6" s="1"/>
  <c r="B198" i="9"/>
  <c r="C198" i="9"/>
  <c r="C12" i="9"/>
  <c r="C227" i="9"/>
  <c r="B155" i="6"/>
  <c r="D155" i="6"/>
  <c r="E155" i="6" s="1"/>
  <c r="Z155" i="6" s="1" a="1"/>
  <c r="Z155" i="6" s="1"/>
  <c r="C155" i="6" s="1"/>
  <c r="B264" i="6"/>
  <c r="D264" i="6"/>
  <c r="E264" i="6" s="1"/>
  <c r="Z264" i="6" s="1" a="1"/>
  <c r="Z264" i="6" s="1"/>
  <c r="C264" i="6" s="1"/>
  <c r="B105" i="6"/>
  <c r="D105" i="6"/>
  <c r="E105" i="6" s="1"/>
  <c r="Z105" i="6" s="1" a="1"/>
  <c r="Z105" i="6" s="1"/>
  <c r="C105" i="6" s="1"/>
  <c r="B223" i="6"/>
  <c r="D223" i="6"/>
  <c r="E223" i="6" s="1"/>
  <c r="Z223" i="6" s="1" a="1"/>
  <c r="Z223" i="6" s="1"/>
  <c r="C223" i="6" s="1"/>
  <c r="B170" i="6"/>
  <c r="D170" i="6"/>
  <c r="E170" i="6" s="1"/>
  <c r="Z170" i="6" s="1" a="1"/>
  <c r="Z170" i="6" s="1"/>
  <c r="C170" i="6" s="1"/>
  <c r="B187" i="6"/>
  <c r="D187" i="6"/>
  <c r="E187" i="6" s="1"/>
  <c r="Z187" i="6" s="1" a="1"/>
  <c r="Z187" i="6" s="1"/>
  <c r="C187" i="6" s="1"/>
  <c r="C47" i="9"/>
  <c r="B203" i="6"/>
  <c r="D203" i="6"/>
  <c r="E203" i="6" s="1"/>
  <c r="Z203" i="6" s="1" a="1"/>
  <c r="Z203" i="6" s="1"/>
  <c r="C203" i="6" s="1"/>
  <c r="B130" i="6"/>
  <c r="D130" i="6"/>
  <c r="E130" i="6" s="1"/>
  <c r="Z130" i="6" s="1" a="1"/>
  <c r="Z130" i="6" s="1"/>
  <c r="C130" i="6" s="1"/>
  <c r="B84" i="6"/>
  <c r="D84" i="6"/>
  <c r="E84" i="6" s="1"/>
  <c r="Z84" i="6" s="1" a="1"/>
  <c r="Z84" i="6" s="1"/>
  <c r="C84" i="6" s="1"/>
  <c r="B265" i="6"/>
  <c r="D265" i="6"/>
  <c r="E265" i="6" s="1"/>
  <c r="Z265" i="6" s="1" a="1"/>
  <c r="Z265" i="6" s="1"/>
  <c r="C265" i="6" s="1"/>
  <c r="C139" i="9"/>
  <c r="B25" i="6"/>
  <c r="D25" i="6"/>
  <c r="E25" i="6" s="1"/>
  <c r="Z25" i="6" s="1" a="1"/>
  <c r="Z25" i="6" s="1"/>
  <c r="C25" i="6" s="1"/>
  <c r="B256" i="9"/>
  <c r="C256" i="9"/>
  <c r="B221" i="6"/>
  <c r="D221" i="6"/>
  <c r="E221" i="6" s="1"/>
  <c r="Z221" i="6" s="1" a="1"/>
  <c r="Z221" i="6" s="1"/>
  <c r="C221" i="6" s="1"/>
  <c r="B78" i="6"/>
  <c r="D78" i="6"/>
  <c r="E78" i="6" s="1"/>
  <c r="Z78" i="6" s="1" a="1"/>
  <c r="Z78" i="6" s="1"/>
  <c r="C78" i="6" s="1"/>
  <c r="B43" i="6"/>
  <c r="D43" i="6"/>
  <c r="E43" i="6" s="1"/>
  <c r="Z43" i="6" s="1" a="1"/>
  <c r="Z43" i="6" s="1"/>
  <c r="C43" i="6" s="1"/>
  <c r="B85" i="6"/>
  <c r="D85" i="6"/>
  <c r="E85" i="6" s="1"/>
  <c r="Z85" i="6" s="1" a="1"/>
  <c r="Z85" i="6" s="1"/>
  <c r="C85" i="6" s="1"/>
  <c r="EL33" i="12"/>
  <c r="EL68" i="12"/>
  <c r="B247" i="6"/>
  <c r="D247" i="6"/>
  <c r="E247" i="6" s="1"/>
  <c r="Z247" i="6" s="1" a="1"/>
  <c r="Z247" i="6" s="1"/>
  <c r="C247" i="6" s="1"/>
  <c r="B129" i="6"/>
  <c r="D129" i="6"/>
  <c r="E129" i="6" s="1"/>
  <c r="Z129" i="6" s="1" a="1"/>
  <c r="Z129" i="6" s="1"/>
  <c r="C129" i="6" s="1"/>
  <c r="EL176" i="12"/>
  <c r="EL168" i="12"/>
  <c r="EL104" i="12"/>
  <c r="EL40" i="12"/>
  <c r="B189" i="6"/>
  <c r="D189" i="6"/>
  <c r="E189" i="6" s="1"/>
  <c r="Z189" i="6" s="1" a="1"/>
  <c r="Z189" i="6" s="1"/>
  <c r="C189" i="6" s="1"/>
  <c r="B147" i="6"/>
  <c r="D147" i="6"/>
  <c r="E147" i="6" s="1"/>
  <c r="Z147" i="6" s="1" a="1"/>
  <c r="Z147" i="6" s="1"/>
  <c r="C147" i="6" s="1"/>
  <c r="B107" i="6"/>
  <c r="D107" i="6"/>
  <c r="E107" i="6" s="1"/>
  <c r="Z107" i="6" s="1" a="1"/>
  <c r="Z107" i="6" s="1"/>
  <c r="C107" i="6" s="1"/>
  <c r="EL84" i="12"/>
  <c r="B71" i="6"/>
  <c r="D71" i="6"/>
  <c r="E71" i="6" s="1"/>
  <c r="Z71" i="6" s="1" a="1"/>
  <c r="Z71" i="6" s="1"/>
  <c r="C71" i="6" s="1"/>
  <c r="EL160" i="12"/>
  <c r="EL32" i="12"/>
  <c r="C63" i="9"/>
  <c r="C226" i="9"/>
  <c r="EL188" i="12"/>
  <c r="D128" i="6"/>
  <c r="E128" i="6" s="1"/>
  <c r="Z128" i="6" s="1" a="1"/>
  <c r="Z128" i="6" s="1"/>
  <c r="C128" i="6" s="1"/>
  <c r="EL234" i="12"/>
  <c r="EL90" i="12"/>
  <c r="EL255" i="12"/>
  <c r="B115" i="6"/>
  <c r="D115" i="6"/>
  <c r="E115" i="6" s="1"/>
  <c r="Z115" i="6" s="1" a="1"/>
  <c r="Z115" i="6" s="1"/>
  <c r="C115" i="6" s="1"/>
  <c r="EL153" i="12"/>
  <c r="EL203" i="12"/>
  <c r="C249" i="9"/>
  <c r="EL71" i="12"/>
  <c r="EL226" i="12"/>
  <c r="C136" i="9"/>
  <c r="EL98" i="12"/>
  <c r="B38" i="6"/>
  <c r="D38" i="6"/>
  <c r="E38" i="6" s="1"/>
  <c r="Z38" i="6" s="1" a="1"/>
  <c r="Z38" i="6" s="1"/>
  <c r="C38" i="6" s="1"/>
  <c r="C181" i="9"/>
  <c r="EL215" i="12"/>
  <c r="EL259" i="12"/>
  <c r="EL253" i="12"/>
  <c r="EL189" i="12"/>
  <c r="EL125" i="12"/>
  <c r="EL272" i="12"/>
  <c r="B196" i="6"/>
  <c r="D196" i="6"/>
  <c r="E196" i="6" s="1"/>
  <c r="Z196" i="6" s="1" a="1"/>
  <c r="Z196" i="6" s="1"/>
  <c r="C196" i="6" s="1"/>
  <c r="B20" i="6"/>
  <c r="D20" i="6"/>
  <c r="E20" i="6" s="1"/>
  <c r="Z20" i="6" s="1" a="1"/>
  <c r="Z20" i="6" s="1"/>
  <c r="C20" i="6" s="1"/>
  <c r="EL155" i="12"/>
  <c r="EL163" i="12"/>
  <c r="EL166" i="12"/>
  <c r="C44" i="9"/>
  <c r="EL197" i="12"/>
  <c r="B268" i="6"/>
  <c r="D268" i="6"/>
  <c r="E268" i="6" s="1"/>
  <c r="Z268" i="6" s="1" a="1"/>
  <c r="Z268" i="6" s="1"/>
  <c r="C268" i="6" s="1"/>
  <c r="EL172" i="12"/>
  <c r="C32" i="9"/>
  <c r="C185" i="9"/>
  <c r="EL173" i="12"/>
  <c r="C128" i="9"/>
  <c r="C95" i="9"/>
  <c r="EL205" i="12"/>
  <c r="EL159" i="12"/>
  <c r="EL273" i="12"/>
  <c r="EL45" i="12"/>
  <c r="EL53" i="12"/>
  <c r="C158" i="9"/>
  <c r="EL149" i="12"/>
  <c r="C241" i="9"/>
  <c r="EL245" i="12"/>
  <c r="EL235" i="12"/>
  <c r="EL55" i="12"/>
  <c r="EL242" i="12"/>
  <c r="EL50" i="12"/>
  <c r="EL145" i="12"/>
  <c r="EL206" i="12"/>
  <c r="EL37" i="12"/>
  <c r="B231" i="6"/>
  <c r="D231" i="6"/>
  <c r="E231" i="6" s="1"/>
  <c r="Z231" i="6" s="1" a="1"/>
  <c r="Z231" i="6" s="1"/>
  <c r="C231" i="6" s="1"/>
  <c r="B34" i="6"/>
  <c r="D34" i="6"/>
  <c r="E34" i="6" s="1"/>
  <c r="Z34" i="6" s="1" a="1"/>
  <c r="Z34" i="6" s="1"/>
  <c r="C34" i="6" s="1"/>
  <c r="B63" i="6"/>
  <c r="D63" i="6"/>
  <c r="E63" i="6" s="1"/>
  <c r="Z63" i="6" s="1" a="1"/>
  <c r="Z63" i="6" s="1"/>
  <c r="C63" i="6" s="1"/>
  <c r="B177" i="6"/>
  <c r="D177" i="6"/>
  <c r="E177" i="6" s="1"/>
  <c r="Z177" i="6" s="1" a="1"/>
  <c r="Z177" i="6" s="1"/>
  <c r="C177" i="6" s="1"/>
  <c r="B164" i="6"/>
  <c r="D164" i="6"/>
  <c r="E164" i="6" s="1"/>
  <c r="Z164" i="6" s="1" a="1"/>
  <c r="Z164" i="6" s="1"/>
  <c r="C164" i="6" s="1"/>
  <c r="B233" i="6"/>
  <c r="D233" i="6"/>
  <c r="E233" i="6" s="1"/>
  <c r="Z233" i="6" s="1" a="1"/>
  <c r="Z233" i="6" s="1"/>
  <c r="C233" i="6" s="1"/>
  <c r="C159" i="9"/>
  <c r="C197" i="9"/>
  <c r="C157" i="9"/>
  <c r="C240" i="9"/>
  <c r="B113" i="6"/>
  <c r="D113" i="6"/>
  <c r="E113" i="6" s="1"/>
  <c r="Z113" i="6" s="1" a="1"/>
  <c r="Z113" i="6" s="1"/>
  <c r="C113" i="6" s="1"/>
  <c r="C22" i="9"/>
  <c r="B137" i="6"/>
  <c r="D137" i="6"/>
  <c r="E137" i="6" s="1"/>
  <c r="Z137" i="6" s="1" a="1"/>
  <c r="Z137" i="6" s="1"/>
  <c r="C137" i="6" s="1"/>
  <c r="B216" i="6"/>
  <c r="D216" i="6"/>
  <c r="E216" i="6" s="1"/>
  <c r="Z216" i="6" s="1" a="1"/>
  <c r="Z216" i="6" s="1"/>
  <c r="C216" i="6" s="1"/>
  <c r="C144" i="9"/>
  <c r="B165" i="6"/>
  <c r="D165" i="6"/>
  <c r="E165" i="6" s="1"/>
  <c r="Z165" i="6" s="1" a="1"/>
  <c r="Z165" i="6" s="1"/>
  <c r="C165" i="6" s="1"/>
  <c r="C31" i="9"/>
  <c r="C30" i="9"/>
  <c r="C215" i="9"/>
  <c r="B230" i="6"/>
  <c r="D230" i="6"/>
  <c r="E230" i="6" s="1"/>
  <c r="Z230" i="6" s="1" a="1"/>
  <c r="Z230" i="6" s="1"/>
  <c r="C230" i="6" s="1"/>
  <c r="B24" i="6"/>
  <c r="D24" i="6"/>
  <c r="E24" i="6" s="1"/>
  <c r="Z24" i="6" s="1" a="1"/>
  <c r="Z24" i="6" s="1"/>
  <c r="C24" i="6" s="1"/>
  <c r="B178" i="6"/>
  <c r="D178" i="6"/>
  <c r="E178" i="6" s="1"/>
  <c r="Z178" i="6" s="1" a="1"/>
  <c r="Z178" i="6" s="1"/>
  <c r="C178" i="6" s="1"/>
  <c r="D73" i="6"/>
  <c r="E73" i="6" s="1"/>
  <c r="Z73" i="6" s="1" a="1"/>
  <c r="Z73" i="6" s="1"/>
  <c r="C73" i="6" s="1"/>
  <c r="B56" i="6"/>
  <c r="D56" i="6"/>
  <c r="E56" i="6" s="1"/>
  <c r="Z56" i="6" s="1" a="1"/>
  <c r="Z56" i="6" s="1"/>
  <c r="C56" i="6" s="1"/>
  <c r="B194" i="6"/>
  <c r="D194" i="6"/>
  <c r="E194" i="6" s="1"/>
  <c r="Z194" i="6" s="1" a="1"/>
  <c r="Z194" i="6" s="1"/>
  <c r="C194" i="6" s="1"/>
  <c r="B132" i="6"/>
  <c r="D132" i="6"/>
  <c r="E132" i="6" s="1"/>
  <c r="Z132" i="6" s="1" a="1"/>
  <c r="Z132" i="6" s="1"/>
  <c r="C132" i="6" s="1"/>
  <c r="B222" i="6"/>
  <c r="D222" i="6"/>
  <c r="E222" i="6" s="1"/>
  <c r="Z222" i="6" s="1" a="1"/>
  <c r="Z222" i="6" s="1"/>
  <c r="C222" i="6" s="1"/>
  <c r="C135" i="9"/>
  <c r="B111" i="6"/>
  <c r="D111" i="6"/>
  <c r="E111" i="6" s="1"/>
  <c r="Z111" i="6" s="1" a="1"/>
  <c r="Z111" i="6" s="1"/>
  <c r="C111" i="6" s="1"/>
  <c r="B138" i="6"/>
  <c r="D138" i="6"/>
  <c r="E138" i="6" s="1"/>
  <c r="Z138" i="6" s="1" a="1"/>
  <c r="Z138" i="6" s="1"/>
  <c r="C138" i="6" s="1"/>
  <c r="C66" i="9"/>
  <c r="C148" i="9"/>
  <c r="C221" i="9"/>
  <c r="C79" i="9"/>
  <c r="B29" i="6"/>
  <c r="D29" i="6"/>
  <c r="E29" i="6" s="1"/>
  <c r="Z29" i="6" s="1" a="1"/>
  <c r="Z29" i="6" s="1"/>
  <c r="C29" i="6" s="1"/>
  <c r="B182" i="6"/>
  <c r="D182" i="6"/>
  <c r="E182" i="6" s="1"/>
  <c r="Z182" i="6" s="1" a="1"/>
  <c r="Z182" i="6" s="1"/>
  <c r="C182" i="6" s="1"/>
  <c r="B53" i="6"/>
  <c r="D53" i="6"/>
  <c r="E53" i="6" s="1"/>
  <c r="Z53" i="6" s="1" a="1"/>
  <c r="Z53" i="6" s="1"/>
  <c r="C53" i="6" s="1"/>
  <c r="B175" i="6"/>
  <c r="D175" i="6"/>
  <c r="E175" i="6" s="1"/>
  <c r="Z175" i="6" s="1" a="1"/>
  <c r="Z175" i="6" s="1"/>
  <c r="C175" i="6" s="1"/>
  <c r="B23" i="6"/>
  <c r="B180" i="6"/>
  <c r="D180" i="6"/>
  <c r="E180" i="6" s="1"/>
  <c r="Z180" i="6" s="1" a="1"/>
  <c r="Z180" i="6" s="1"/>
  <c r="C180" i="6" s="1"/>
  <c r="B234" i="6"/>
  <c r="D234" i="6"/>
  <c r="E234" i="6" s="1"/>
  <c r="Z234" i="6" s="1" a="1"/>
  <c r="Z234" i="6" s="1"/>
  <c r="C234" i="6" s="1"/>
  <c r="B201" i="6"/>
  <c r="D201" i="6"/>
  <c r="E201" i="6" s="1"/>
  <c r="Z201" i="6" s="1" a="1"/>
  <c r="Z201" i="6" s="1"/>
  <c r="C201" i="6" s="1"/>
  <c r="C90" i="9"/>
  <c r="EL128" i="12"/>
  <c r="B215" i="6"/>
  <c r="D215" i="6"/>
  <c r="E215" i="6" s="1"/>
  <c r="Z215" i="6" s="1" a="1"/>
  <c r="Z215" i="6" s="1"/>
  <c r="C215" i="6" s="1"/>
  <c r="B94" i="6"/>
  <c r="D94" i="6"/>
  <c r="E94" i="6" s="1"/>
  <c r="Z94" i="6" s="1" a="1"/>
  <c r="Z94" i="6" s="1"/>
  <c r="C94" i="6" s="1"/>
  <c r="EL217" i="12"/>
  <c r="B272" i="6"/>
  <c r="D272" i="6"/>
  <c r="E272" i="6" s="1"/>
  <c r="Z272" i="6" s="1" a="1"/>
  <c r="Z272" i="6" s="1"/>
  <c r="C272" i="6" s="1"/>
  <c r="EL108" i="12"/>
  <c r="EL179" i="12"/>
  <c r="EL263" i="12"/>
  <c r="EL239" i="12"/>
  <c r="EL231" i="12"/>
  <c r="EL257" i="12"/>
  <c r="EL193" i="12"/>
  <c r="EL129" i="12"/>
  <c r="D136" i="6"/>
  <c r="E136" i="6" s="1"/>
  <c r="Z136" i="6" s="1" a="1"/>
  <c r="Z136" i="6" s="1"/>
  <c r="C136" i="6" s="1"/>
  <c r="C26" i="9"/>
  <c r="B267" i="6"/>
  <c r="D267" i="6"/>
  <c r="E267" i="6" s="1"/>
  <c r="Z267" i="6" s="1" a="1"/>
  <c r="Z267" i="6" s="1"/>
  <c r="C267" i="6" s="1"/>
  <c r="EL131" i="12"/>
  <c r="EL67" i="12"/>
  <c r="EL254" i="12"/>
  <c r="EL190" i="12"/>
  <c r="EL126" i="12"/>
  <c r="EL62" i="12"/>
  <c r="C81" i="9"/>
  <c r="D41" i="6"/>
  <c r="E41" i="6" s="1"/>
  <c r="Z41" i="6" s="1" a="1"/>
  <c r="Z41" i="6" s="1"/>
  <c r="C41" i="6" s="1"/>
  <c r="C61" i="9"/>
  <c r="EL114" i="12"/>
  <c r="EL36" i="12"/>
  <c r="EL115" i="12"/>
  <c r="EL150" i="12"/>
  <c r="C21" i="9"/>
  <c r="EL60" i="12"/>
  <c r="EL182" i="12"/>
  <c r="EL202" i="12"/>
  <c r="EL135" i="12"/>
  <c r="EL151" i="12"/>
  <c r="EL142" i="12"/>
  <c r="C51" i="9"/>
  <c r="C60" i="9"/>
  <c r="EL117" i="12"/>
  <c r="B204" i="6"/>
  <c r="D204" i="6"/>
  <c r="E204" i="6" s="1"/>
  <c r="Z204" i="6" s="1" a="1"/>
  <c r="Z204" i="6" s="1"/>
  <c r="C204" i="6" s="1"/>
  <c r="EL278" i="12"/>
  <c r="EL42" i="12"/>
  <c r="EL191" i="12"/>
  <c r="C165" i="9"/>
  <c r="EL175" i="12"/>
  <c r="EL83" i="12"/>
  <c r="EL85" i="12"/>
  <c r="EL146" i="12"/>
  <c r="A5" i="9"/>
  <c r="D125" i="19" l="1"/>
  <c r="AE125" i="8"/>
  <c r="AF125" i="8"/>
  <c r="AG125" i="8"/>
  <c r="AH125" i="8"/>
  <c r="D175" i="19"/>
  <c r="AH175" i="8"/>
  <c r="AE175" i="8"/>
  <c r="AF175" i="8"/>
  <c r="AG175" i="8"/>
  <c r="D179" i="19"/>
  <c r="AH179" i="8"/>
  <c r="AE179" i="8"/>
  <c r="AG179" i="8"/>
  <c r="AF179" i="8"/>
  <c r="D192" i="19"/>
  <c r="AH192" i="8"/>
  <c r="AE192" i="8"/>
  <c r="AF192" i="8"/>
  <c r="AG192" i="8"/>
  <c r="D200" i="19"/>
  <c r="AH200" i="8"/>
  <c r="AE200" i="8"/>
  <c r="AF200" i="8"/>
  <c r="AG200" i="8"/>
  <c r="D203" i="19"/>
  <c r="AH203" i="8"/>
  <c r="AE203" i="8"/>
  <c r="AF203" i="8"/>
  <c r="AG203" i="8"/>
  <c r="D225" i="19"/>
  <c r="AH225" i="8"/>
  <c r="AE225" i="8"/>
  <c r="AF225" i="8"/>
  <c r="AG225" i="8"/>
  <c r="D279" i="19"/>
  <c r="AH279" i="8"/>
  <c r="AE279" i="8"/>
  <c r="AF279" i="8"/>
  <c r="AG279" i="8"/>
  <c r="D278" i="19"/>
  <c r="AH278" i="8"/>
  <c r="AE278" i="8"/>
  <c r="AF278" i="8"/>
  <c r="AG278" i="8"/>
  <c r="D48" i="19"/>
  <c r="AE48" i="8"/>
  <c r="AF48" i="8"/>
  <c r="AG48" i="8"/>
  <c r="AH48" i="8"/>
  <c r="D50" i="19"/>
  <c r="AE50" i="8"/>
  <c r="AF50" i="8"/>
  <c r="AG50" i="8"/>
  <c r="AH50" i="8"/>
  <c r="D51" i="19"/>
  <c r="AE51" i="8"/>
  <c r="AF51" i="8"/>
  <c r="AG51" i="8"/>
  <c r="AH51" i="8"/>
  <c r="D56" i="19"/>
  <c r="AE56" i="8"/>
  <c r="AF56" i="8"/>
  <c r="AG56" i="8"/>
  <c r="AH56" i="8"/>
  <c r="D57" i="19"/>
  <c r="AE57" i="8"/>
  <c r="AF57" i="8"/>
  <c r="AG57" i="8"/>
  <c r="AH57" i="8"/>
  <c r="D77" i="19"/>
  <c r="AE77" i="8"/>
  <c r="AF77" i="8"/>
  <c r="AG77" i="8"/>
  <c r="AH77" i="8"/>
  <c r="D85" i="19"/>
  <c r="AF85" i="8"/>
  <c r="AG85" i="8"/>
  <c r="AE85" i="8"/>
  <c r="AH85" i="8"/>
  <c r="D92" i="19"/>
  <c r="AF92" i="8"/>
  <c r="AG92" i="8"/>
  <c r="AE92" i="8"/>
  <c r="AH92" i="8"/>
  <c r="D107" i="19"/>
  <c r="AF107" i="8"/>
  <c r="AG107" i="8"/>
  <c r="AE107" i="8"/>
  <c r="AH107" i="8"/>
  <c r="D122" i="19"/>
  <c r="AE122" i="8"/>
  <c r="AF122" i="8"/>
  <c r="AG122" i="8"/>
  <c r="AH122" i="8"/>
  <c r="D128" i="19"/>
  <c r="AE128" i="8"/>
  <c r="AF128" i="8"/>
  <c r="AG128" i="8"/>
  <c r="AH128" i="8"/>
  <c r="D151" i="19"/>
  <c r="AE151" i="8"/>
  <c r="AF151" i="8"/>
  <c r="AG151" i="8"/>
  <c r="AH151" i="8"/>
  <c r="D154" i="19"/>
  <c r="AE154" i="8"/>
  <c r="AF154" i="8"/>
  <c r="AG154" i="8"/>
  <c r="AH154" i="8"/>
  <c r="D159" i="19"/>
  <c r="AE159" i="8"/>
  <c r="AF159" i="8"/>
  <c r="AG159" i="8"/>
  <c r="AH159" i="8"/>
  <c r="D169" i="19"/>
  <c r="AE169" i="8"/>
  <c r="AF169" i="8"/>
  <c r="AG169" i="8"/>
  <c r="AH169" i="8"/>
  <c r="D176" i="19"/>
  <c r="AH176" i="8"/>
  <c r="AE176" i="8"/>
  <c r="AF176" i="8"/>
  <c r="AG176" i="8"/>
  <c r="D177" i="19"/>
  <c r="AH177" i="8"/>
  <c r="AE177" i="8"/>
  <c r="AF177" i="8"/>
  <c r="AG177" i="8"/>
  <c r="D181" i="19"/>
  <c r="AH181" i="8"/>
  <c r="AE181" i="8"/>
  <c r="AF181" i="8"/>
  <c r="AG181" i="8"/>
  <c r="D183" i="19"/>
  <c r="AH183" i="8"/>
  <c r="AE183" i="8"/>
  <c r="AF183" i="8"/>
  <c r="AG183" i="8"/>
  <c r="D184" i="19"/>
  <c r="AH184" i="8"/>
  <c r="AE184" i="8"/>
  <c r="AF184" i="8"/>
  <c r="AG184" i="8"/>
  <c r="D185" i="19"/>
  <c r="AH185" i="8"/>
  <c r="AE185" i="8"/>
  <c r="AF185" i="8"/>
  <c r="AG185" i="8"/>
  <c r="D199" i="19"/>
  <c r="AH199" i="8"/>
  <c r="AE199" i="8"/>
  <c r="AF199" i="8"/>
  <c r="AG199" i="8"/>
  <c r="D208" i="19"/>
  <c r="AH208" i="8"/>
  <c r="AE208" i="8"/>
  <c r="AF208" i="8"/>
  <c r="AG208" i="8"/>
  <c r="D211" i="19"/>
  <c r="AH211" i="8"/>
  <c r="AE211" i="8"/>
  <c r="AF211" i="8"/>
  <c r="AG211" i="8"/>
  <c r="D215" i="19"/>
  <c r="AH215" i="8"/>
  <c r="AE215" i="8"/>
  <c r="AF215" i="8"/>
  <c r="AG215" i="8"/>
  <c r="D220" i="19"/>
  <c r="AH220" i="8"/>
  <c r="AE220" i="8"/>
  <c r="AF220" i="8"/>
  <c r="AG220" i="8"/>
  <c r="D242" i="19"/>
  <c r="AH242" i="8"/>
  <c r="AE242" i="8"/>
  <c r="AF242" i="8"/>
  <c r="AG242" i="8"/>
  <c r="D234" i="19"/>
  <c r="AH234" i="8"/>
  <c r="AE234" i="8"/>
  <c r="AF234" i="8"/>
  <c r="AG234" i="8"/>
  <c r="D247" i="19"/>
  <c r="AH247" i="8"/>
  <c r="AE247" i="8"/>
  <c r="AF247" i="8"/>
  <c r="AG247" i="8"/>
  <c r="D250" i="19"/>
  <c r="AH250" i="8"/>
  <c r="AE250" i="8"/>
  <c r="AF250" i="8"/>
  <c r="AG250" i="8"/>
  <c r="D237" i="19"/>
  <c r="AH237" i="8"/>
  <c r="AE237" i="8"/>
  <c r="AF237" i="8"/>
  <c r="AG237" i="8"/>
  <c r="D238" i="19"/>
  <c r="AH238" i="8"/>
  <c r="AE238" i="8"/>
  <c r="AF238" i="8"/>
  <c r="AG238" i="8"/>
  <c r="D252" i="19"/>
  <c r="AH252" i="8"/>
  <c r="AE252" i="8"/>
  <c r="AF252" i="8"/>
  <c r="AG252" i="8"/>
  <c r="D256" i="19"/>
  <c r="AH256" i="8"/>
  <c r="AE256" i="8"/>
  <c r="AF256" i="8"/>
  <c r="AG256" i="8"/>
  <c r="D257" i="19"/>
  <c r="AH257" i="8"/>
  <c r="AE257" i="8"/>
  <c r="AF257" i="8"/>
  <c r="AG257" i="8"/>
  <c r="D261" i="19"/>
  <c r="AH261" i="8"/>
  <c r="AE261" i="8"/>
  <c r="AF261" i="8"/>
  <c r="AG261" i="8"/>
  <c r="D276" i="19"/>
  <c r="AH276" i="8"/>
  <c r="AE276" i="8"/>
  <c r="AF276" i="8"/>
  <c r="AG276" i="8"/>
  <c r="D269" i="19"/>
  <c r="AH269" i="8"/>
  <c r="AE269" i="8"/>
  <c r="AF269" i="8"/>
  <c r="AG269" i="8"/>
  <c r="D277" i="19"/>
  <c r="AH277" i="8"/>
  <c r="AE277" i="8"/>
  <c r="AF277" i="8"/>
  <c r="AG277" i="8"/>
  <c r="D268" i="19"/>
  <c r="AH268" i="8"/>
  <c r="AE268" i="8"/>
  <c r="AF268" i="8"/>
  <c r="AG268" i="8"/>
  <c r="D43" i="19"/>
  <c r="AE43" i="8"/>
  <c r="AF43" i="8"/>
  <c r="AG43" i="8"/>
  <c r="AH43" i="8"/>
  <c r="D46" i="19"/>
  <c r="AE46" i="8"/>
  <c r="AF46" i="8"/>
  <c r="AG46" i="8"/>
  <c r="AH46" i="8"/>
  <c r="D52" i="19"/>
  <c r="AE52" i="8"/>
  <c r="AF52" i="8"/>
  <c r="AG52" i="8"/>
  <c r="AH52" i="8"/>
  <c r="D84" i="19"/>
  <c r="AF84" i="8"/>
  <c r="AG84" i="8"/>
  <c r="AE84" i="8"/>
  <c r="AH84" i="8"/>
  <c r="D106" i="19"/>
  <c r="AF106" i="8"/>
  <c r="AG106" i="8"/>
  <c r="AE106" i="8"/>
  <c r="AH106" i="8"/>
  <c r="D121" i="19"/>
  <c r="AE121" i="8"/>
  <c r="AF121" i="8"/>
  <c r="AG121" i="8"/>
  <c r="AH121" i="8"/>
  <c r="D213" i="19"/>
  <c r="AH213" i="8"/>
  <c r="AE213" i="8"/>
  <c r="AF213" i="8"/>
  <c r="AG213" i="8"/>
  <c r="D217" i="19"/>
  <c r="AH217" i="8"/>
  <c r="AE217" i="8"/>
  <c r="AF217" i="8"/>
  <c r="AG217" i="8"/>
  <c r="D229" i="19"/>
  <c r="AH229" i="8"/>
  <c r="AE229" i="8"/>
  <c r="AF229" i="8"/>
  <c r="AG229" i="8"/>
  <c r="D253" i="19"/>
  <c r="AH253" i="8"/>
  <c r="AE253" i="8"/>
  <c r="AF253" i="8"/>
  <c r="AG253" i="8"/>
  <c r="D235" i="19"/>
  <c r="AH235" i="8"/>
  <c r="AE235" i="8"/>
  <c r="AF235" i="8"/>
  <c r="AG235" i="8"/>
  <c r="D271" i="19"/>
  <c r="AH271" i="8"/>
  <c r="AE271" i="8"/>
  <c r="AF271" i="8"/>
  <c r="AG271" i="8"/>
  <c r="D58" i="19"/>
  <c r="AE58" i="8"/>
  <c r="AF58" i="8"/>
  <c r="AG58" i="8"/>
  <c r="AH58" i="8"/>
  <c r="D70" i="19"/>
  <c r="AE70" i="8"/>
  <c r="AF70" i="8"/>
  <c r="AG70" i="8"/>
  <c r="AH70" i="8"/>
  <c r="D73" i="19"/>
  <c r="AE73" i="8"/>
  <c r="AF73" i="8"/>
  <c r="AG73" i="8"/>
  <c r="AH73" i="8"/>
  <c r="D74" i="19"/>
  <c r="AE74" i="8"/>
  <c r="AF74" i="8"/>
  <c r="AG74" i="8"/>
  <c r="AH74" i="8"/>
  <c r="D89" i="19"/>
  <c r="AF89" i="8"/>
  <c r="AG89" i="8"/>
  <c r="AE89" i="8"/>
  <c r="AH89" i="8"/>
  <c r="D97" i="19"/>
  <c r="AF97" i="8"/>
  <c r="AG97" i="8"/>
  <c r="AE97" i="8"/>
  <c r="AH97" i="8"/>
  <c r="D123" i="19"/>
  <c r="AE123" i="8"/>
  <c r="AF123" i="8"/>
  <c r="AG123" i="8"/>
  <c r="AH123" i="8"/>
  <c r="D140" i="19"/>
  <c r="AE140" i="8"/>
  <c r="AF140" i="8"/>
  <c r="AG140" i="8"/>
  <c r="AH140" i="8"/>
  <c r="D148" i="19"/>
  <c r="AE148" i="8"/>
  <c r="AF148" i="8"/>
  <c r="AG148" i="8"/>
  <c r="AH148" i="8"/>
  <c r="D161" i="19"/>
  <c r="AE161" i="8"/>
  <c r="AF161" i="8"/>
  <c r="AG161" i="8"/>
  <c r="AH161" i="8"/>
  <c r="D162" i="19"/>
  <c r="AE162" i="8"/>
  <c r="AF162" i="8"/>
  <c r="AG162" i="8"/>
  <c r="AH162" i="8"/>
  <c r="D165" i="19"/>
  <c r="AE165" i="8"/>
  <c r="AF165" i="8"/>
  <c r="AG165" i="8"/>
  <c r="AH165" i="8"/>
  <c r="D172" i="19"/>
  <c r="AE172" i="8"/>
  <c r="AF172" i="8"/>
  <c r="AG172" i="8"/>
  <c r="AH172" i="8"/>
  <c r="AI177" i="19"/>
  <c r="D189" i="19"/>
  <c r="AH189" i="8"/>
  <c r="AE189" i="8"/>
  <c r="AF189" i="8"/>
  <c r="AG189" i="8"/>
  <c r="D191" i="19"/>
  <c r="AH191" i="8"/>
  <c r="AE191" i="8"/>
  <c r="AF191" i="8"/>
  <c r="AG191" i="8"/>
  <c r="D205" i="19"/>
  <c r="AH205" i="8"/>
  <c r="AE205" i="8"/>
  <c r="AF205" i="8"/>
  <c r="AG205" i="8"/>
  <c r="D223" i="19"/>
  <c r="AH223" i="8"/>
  <c r="AE223" i="8"/>
  <c r="AF223" i="8"/>
  <c r="AG223" i="8"/>
  <c r="D243" i="19"/>
  <c r="AH243" i="8"/>
  <c r="AE243" i="8"/>
  <c r="AF243" i="8"/>
  <c r="AG243" i="8"/>
  <c r="D245" i="19"/>
  <c r="AH245" i="8"/>
  <c r="AE245" i="8"/>
  <c r="AF245" i="8"/>
  <c r="AG245" i="8"/>
  <c r="D244" i="19"/>
  <c r="AH244" i="8"/>
  <c r="AE244" i="8"/>
  <c r="AF244" i="8"/>
  <c r="AG244" i="8"/>
  <c r="D264" i="19"/>
  <c r="AH264" i="8"/>
  <c r="AE264" i="8"/>
  <c r="AF264" i="8"/>
  <c r="AG264" i="8"/>
  <c r="D282" i="19"/>
  <c r="AH282" i="8"/>
  <c r="AE282" i="8"/>
  <c r="AF282" i="8"/>
  <c r="AG282" i="8"/>
  <c r="D38" i="19"/>
  <c r="AE38" i="8"/>
  <c r="AF38" i="8"/>
  <c r="AG38" i="8"/>
  <c r="AH38" i="8"/>
  <c r="D62" i="19"/>
  <c r="AE62" i="8"/>
  <c r="AF62" i="8"/>
  <c r="AG62" i="8"/>
  <c r="AH62" i="8"/>
  <c r="D63" i="19"/>
  <c r="AE63" i="8"/>
  <c r="AF63" i="8"/>
  <c r="AG63" i="8"/>
  <c r="AH63" i="8"/>
  <c r="D81" i="19"/>
  <c r="AF81" i="8"/>
  <c r="AG81" i="8"/>
  <c r="AE81" i="8"/>
  <c r="AH81" i="8"/>
  <c r="D41" i="19"/>
  <c r="AE41" i="8"/>
  <c r="AF41" i="8"/>
  <c r="AG41" i="8"/>
  <c r="AH41" i="8"/>
  <c r="D42" i="19"/>
  <c r="AE42" i="8"/>
  <c r="AF42" i="8"/>
  <c r="AG42" i="8"/>
  <c r="AH42" i="8"/>
  <c r="D47" i="19"/>
  <c r="AE47" i="8"/>
  <c r="AF47" i="8"/>
  <c r="AG47" i="8"/>
  <c r="AH47" i="8"/>
  <c r="D60" i="19"/>
  <c r="AE60" i="8"/>
  <c r="AF60" i="8"/>
  <c r="AG60" i="8"/>
  <c r="AH60" i="8"/>
  <c r="D68" i="19"/>
  <c r="AE68" i="8"/>
  <c r="AF68" i="8"/>
  <c r="AG68" i="8"/>
  <c r="AH68" i="8"/>
  <c r="D72" i="19"/>
  <c r="AE72" i="8"/>
  <c r="AF72" i="8"/>
  <c r="AG72" i="8"/>
  <c r="AH72" i="8"/>
  <c r="D86" i="19"/>
  <c r="AF86" i="8"/>
  <c r="AG86" i="8"/>
  <c r="AE86" i="8"/>
  <c r="AH86" i="8"/>
  <c r="D87" i="19"/>
  <c r="AF87" i="8"/>
  <c r="AG87" i="8"/>
  <c r="AE87" i="8"/>
  <c r="AH87" i="8"/>
  <c r="D91" i="19"/>
  <c r="AF91" i="8"/>
  <c r="AG91" i="8"/>
  <c r="AE91" i="8"/>
  <c r="AH91" i="8"/>
  <c r="D105" i="19"/>
  <c r="AF105" i="8"/>
  <c r="AG105" i="8"/>
  <c r="AE105" i="8"/>
  <c r="AH105" i="8"/>
  <c r="D108" i="19"/>
  <c r="AF108" i="8"/>
  <c r="AG108" i="8"/>
  <c r="AE108" i="8"/>
  <c r="AH108" i="8"/>
  <c r="D110" i="19"/>
  <c r="AF110" i="8"/>
  <c r="AG110" i="8"/>
  <c r="AE110" i="8"/>
  <c r="AH110" i="8"/>
  <c r="D116" i="19"/>
  <c r="AF116" i="8"/>
  <c r="AG116" i="8"/>
  <c r="AE116" i="8"/>
  <c r="AH116" i="8"/>
  <c r="D119" i="19"/>
  <c r="AF119" i="8"/>
  <c r="AG119" i="8"/>
  <c r="AE119" i="8"/>
  <c r="AH119" i="8"/>
  <c r="D141" i="19"/>
  <c r="AE141" i="8"/>
  <c r="AF141" i="8"/>
  <c r="AG141" i="8"/>
  <c r="AH141" i="8"/>
  <c r="D144" i="19"/>
  <c r="AE144" i="8"/>
  <c r="AF144" i="8"/>
  <c r="AG144" i="8"/>
  <c r="AH144" i="8"/>
  <c r="D147" i="19"/>
  <c r="AE147" i="8"/>
  <c r="AF147" i="8"/>
  <c r="AG147" i="8"/>
  <c r="AH147" i="8"/>
  <c r="D170" i="19"/>
  <c r="AE170" i="8"/>
  <c r="AF170" i="8"/>
  <c r="AG170" i="8"/>
  <c r="AH170" i="8"/>
  <c r="D193" i="19"/>
  <c r="AH193" i="8"/>
  <c r="AE193" i="8"/>
  <c r="AF193" i="8"/>
  <c r="AG193" i="8"/>
  <c r="D207" i="19"/>
  <c r="AH207" i="8"/>
  <c r="AE207" i="8"/>
  <c r="AF207" i="8"/>
  <c r="AG207" i="8"/>
  <c r="D216" i="19"/>
  <c r="AH216" i="8"/>
  <c r="AE216" i="8"/>
  <c r="AF216" i="8"/>
  <c r="AG216" i="8"/>
  <c r="D224" i="19"/>
  <c r="AH224" i="8"/>
  <c r="AE224" i="8"/>
  <c r="AF224" i="8"/>
  <c r="AG224" i="8"/>
  <c r="D226" i="19"/>
  <c r="AH226" i="8"/>
  <c r="AE226" i="8"/>
  <c r="AF226" i="8"/>
  <c r="AG226" i="8"/>
  <c r="D228" i="19"/>
  <c r="AH228" i="8"/>
  <c r="AE228" i="8"/>
  <c r="AF228" i="8"/>
  <c r="AG228" i="8"/>
  <c r="D241" i="19"/>
  <c r="AH241" i="8"/>
  <c r="AE241" i="8"/>
  <c r="AF241" i="8"/>
  <c r="AG241" i="8"/>
  <c r="D254" i="19"/>
  <c r="AH254" i="8"/>
  <c r="AE254" i="8"/>
  <c r="AF254" i="8"/>
  <c r="AG254" i="8"/>
  <c r="D272" i="19"/>
  <c r="AH272" i="8"/>
  <c r="AE272" i="8"/>
  <c r="AF272" i="8"/>
  <c r="AG272" i="8"/>
  <c r="B212" i="9"/>
  <c r="V249" i="13"/>
  <c r="V260" i="13"/>
  <c r="Z260" i="13" s="1"/>
  <c r="U266" i="13"/>
  <c r="AG266" i="13" s="1"/>
  <c r="AB295" i="13" s="1"/>
  <c r="H266" i="13"/>
  <c r="E266" i="13"/>
  <c r="V174" i="13"/>
  <c r="AA174" i="13" s="1"/>
  <c r="Y174" i="14" s="1"/>
  <c r="J266" i="13"/>
  <c r="L266" i="13" s="1"/>
  <c r="N266" i="13" s="1"/>
  <c r="O266" i="13" s="1"/>
  <c r="Q266" i="13" s="1"/>
  <c r="R266" i="13" s="1"/>
  <c r="B266" i="13"/>
  <c r="AI208" i="19"/>
  <c r="C160" i="9"/>
  <c r="E267" i="13"/>
  <c r="V275" i="13"/>
  <c r="AA275" i="13" s="1"/>
  <c r="J267" i="13"/>
  <c r="L267" i="13" s="1"/>
  <c r="N267" i="13" s="1"/>
  <c r="O267" i="13" s="1"/>
  <c r="Q267" i="13" s="1"/>
  <c r="R267" i="13" s="1"/>
  <c r="B22" i="9"/>
  <c r="F48" i="19"/>
  <c r="B26" i="9"/>
  <c r="F52" i="19"/>
  <c r="B30" i="9"/>
  <c r="F56" i="19"/>
  <c r="C40" i="9"/>
  <c r="G66" i="19"/>
  <c r="B61" i="9"/>
  <c r="F87" i="19"/>
  <c r="C72" i="9"/>
  <c r="G98" i="19"/>
  <c r="C92" i="9"/>
  <c r="G118" i="19"/>
  <c r="C103" i="9"/>
  <c r="G129" i="19"/>
  <c r="B136" i="9"/>
  <c r="F162" i="19"/>
  <c r="B181" i="9"/>
  <c r="F207" i="19"/>
  <c r="B227" i="9"/>
  <c r="F253" i="19"/>
  <c r="C257" i="9"/>
  <c r="G283" i="19"/>
  <c r="B12" i="9"/>
  <c r="F38" i="19"/>
  <c r="C23" i="9"/>
  <c r="G49" i="19"/>
  <c r="B31" i="9"/>
  <c r="F57" i="19"/>
  <c r="B32" i="9"/>
  <c r="F58" i="19"/>
  <c r="C35" i="9"/>
  <c r="G61" i="19"/>
  <c r="B66" i="9"/>
  <c r="F92" i="19"/>
  <c r="C68" i="9"/>
  <c r="G94" i="19"/>
  <c r="C69" i="9"/>
  <c r="G95" i="19"/>
  <c r="C75" i="9"/>
  <c r="G101" i="19"/>
  <c r="C78" i="9"/>
  <c r="G104" i="19"/>
  <c r="B79" i="9"/>
  <c r="F105" i="19"/>
  <c r="B135" i="9"/>
  <c r="F161" i="19"/>
  <c r="B157" i="9"/>
  <c r="F183" i="19"/>
  <c r="B197" i="9"/>
  <c r="F223" i="19"/>
  <c r="C210" i="9"/>
  <c r="G236" i="19"/>
  <c r="B226" i="9"/>
  <c r="F252" i="19"/>
  <c r="C13" i="9"/>
  <c r="G39" i="19"/>
  <c r="B21" i="9"/>
  <c r="F47" i="19"/>
  <c r="B46" i="9"/>
  <c r="F72" i="19"/>
  <c r="B16" i="9"/>
  <c r="F42" i="19"/>
  <c r="C28" i="9"/>
  <c r="G54" i="19"/>
  <c r="B47" i="9"/>
  <c r="F73" i="19"/>
  <c r="G75" i="19"/>
  <c r="V75" i="8"/>
  <c r="C52" i="9"/>
  <c r="G78" i="19"/>
  <c r="C62" i="9"/>
  <c r="G88" i="19"/>
  <c r="B63" i="9"/>
  <c r="F89" i="19"/>
  <c r="B81" i="9"/>
  <c r="F107" i="19"/>
  <c r="C85" i="9"/>
  <c r="G111" i="19"/>
  <c r="B95" i="9"/>
  <c r="F121" i="19"/>
  <c r="C98" i="9"/>
  <c r="G124" i="19"/>
  <c r="B128" i="9"/>
  <c r="F154" i="19"/>
  <c r="B144" i="9"/>
  <c r="F170" i="19"/>
  <c r="C154" i="9"/>
  <c r="G180" i="19"/>
  <c r="B158" i="9"/>
  <c r="F184" i="19"/>
  <c r="B159" i="9"/>
  <c r="F185" i="19"/>
  <c r="C183" i="9"/>
  <c r="G209" i="19"/>
  <c r="B194" i="9"/>
  <c r="F220" i="19"/>
  <c r="C204" i="9"/>
  <c r="G230" i="19"/>
  <c r="C205" i="9"/>
  <c r="G231" i="19"/>
  <c r="C213" i="9"/>
  <c r="G239" i="19"/>
  <c r="C244" i="9"/>
  <c r="G270" i="19"/>
  <c r="C255" i="9"/>
  <c r="G281" i="19"/>
  <c r="C38" i="9"/>
  <c r="G64" i="19"/>
  <c r="B221" i="9"/>
  <c r="F247" i="19"/>
  <c r="B224" i="9"/>
  <c r="F250" i="19"/>
  <c r="B218" i="9"/>
  <c r="F244" i="19"/>
  <c r="Z34" i="8"/>
  <c r="G34" i="19"/>
  <c r="B44" i="9"/>
  <c r="F70" i="19"/>
  <c r="C45" i="9"/>
  <c r="G71" i="19"/>
  <c r="B51" i="9"/>
  <c r="F77" i="19"/>
  <c r="C53" i="9"/>
  <c r="G79" i="19"/>
  <c r="B60" i="9"/>
  <c r="F86" i="19"/>
  <c r="B82" i="9"/>
  <c r="F108" i="19"/>
  <c r="B90" i="9"/>
  <c r="F116" i="19"/>
  <c r="C112" i="9"/>
  <c r="G138" i="19"/>
  <c r="B121" i="9"/>
  <c r="F147" i="19"/>
  <c r="C132" i="9"/>
  <c r="G158" i="19"/>
  <c r="C138" i="9"/>
  <c r="G164" i="19"/>
  <c r="B139" i="9"/>
  <c r="F165" i="19"/>
  <c r="B165" i="9"/>
  <c r="F191" i="19"/>
  <c r="B185" i="9"/>
  <c r="F211" i="19"/>
  <c r="C188" i="9"/>
  <c r="G214" i="19"/>
  <c r="B215" i="9"/>
  <c r="F241" i="19"/>
  <c r="C223" i="9"/>
  <c r="G249" i="19"/>
  <c r="C232" i="9"/>
  <c r="G258" i="19"/>
  <c r="C234" i="9"/>
  <c r="G260" i="19"/>
  <c r="G275" i="19"/>
  <c r="V275" i="8"/>
  <c r="AI175" i="19"/>
  <c r="B41" i="19"/>
  <c r="AI41" i="19"/>
  <c r="B70" i="19"/>
  <c r="AI70" i="19"/>
  <c r="B81" i="19"/>
  <c r="AI81" i="19"/>
  <c r="AI107" i="19"/>
  <c r="B107" i="19"/>
  <c r="AI144" i="19"/>
  <c r="B144" i="19"/>
  <c r="AI179" i="19"/>
  <c r="B179" i="19"/>
  <c r="AI184" i="19"/>
  <c r="B184" i="19"/>
  <c r="B224" i="19"/>
  <c r="AI224" i="19"/>
  <c r="AI245" i="19"/>
  <c r="B245" i="19"/>
  <c r="AI264" i="19"/>
  <c r="B264" i="19"/>
  <c r="B43" i="19"/>
  <c r="AI43" i="19"/>
  <c r="B51" i="19"/>
  <c r="AI51" i="19"/>
  <c r="AI52" i="19"/>
  <c r="B52" i="19"/>
  <c r="AI56" i="19"/>
  <c r="B56" i="19"/>
  <c r="AI60" i="19"/>
  <c r="B60" i="19"/>
  <c r="AI92" i="19"/>
  <c r="B92" i="19"/>
  <c r="B97" i="19"/>
  <c r="AI97" i="19"/>
  <c r="B108" i="19"/>
  <c r="AI108" i="19"/>
  <c r="AI116" i="19"/>
  <c r="B116" i="19"/>
  <c r="AI123" i="19"/>
  <c r="B123" i="19"/>
  <c r="B125" i="19"/>
  <c r="AI125" i="19"/>
  <c r="B140" i="19"/>
  <c r="AI140" i="19"/>
  <c r="AI151" i="19"/>
  <c r="B151" i="19"/>
  <c r="AI161" i="19"/>
  <c r="B161" i="19"/>
  <c r="AI162" i="19"/>
  <c r="B162" i="19"/>
  <c r="B169" i="19"/>
  <c r="AI169" i="19"/>
  <c r="B172" i="19"/>
  <c r="AI172" i="19"/>
  <c r="B176" i="19"/>
  <c r="AI176" i="19"/>
  <c r="AI181" i="19"/>
  <c r="B181" i="19"/>
  <c r="B199" i="19"/>
  <c r="AI199" i="19"/>
  <c r="AI211" i="19"/>
  <c r="B211" i="19"/>
  <c r="B216" i="19"/>
  <c r="AI216" i="19"/>
  <c r="B241" i="19"/>
  <c r="AI241" i="19"/>
  <c r="B235" i="19"/>
  <c r="AI235" i="19"/>
  <c r="AI261" i="19"/>
  <c r="B261" i="19"/>
  <c r="B271" i="19"/>
  <c r="AI271" i="19"/>
  <c r="AI279" i="19"/>
  <c r="B279" i="19"/>
  <c r="B77" i="19"/>
  <c r="AI77" i="19"/>
  <c r="B89" i="19"/>
  <c r="AI89" i="19"/>
  <c r="B105" i="19"/>
  <c r="AI105" i="19"/>
  <c r="B106" i="19"/>
  <c r="AI106" i="19"/>
  <c r="B110" i="19"/>
  <c r="AI110" i="19"/>
  <c r="B159" i="19"/>
  <c r="AI159" i="19"/>
  <c r="B247" i="19"/>
  <c r="AI247" i="19"/>
  <c r="AI42" i="19"/>
  <c r="B42" i="19"/>
  <c r="B57" i="19"/>
  <c r="AI57" i="19"/>
  <c r="AI63" i="19"/>
  <c r="B63" i="19"/>
  <c r="AI68" i="19"/>
  <c r="B68" i="19"/>
  <c r="B73" i="19"/>
  <c r="AI73" i="19"/>
  <c r="AI84" i="19"/>
  <c r="B84" i="19"/>
  <c r="B85" i="19"/>
  <c r="AI85" i="19"/>
  <c r="AI91" i="19"/>
  <c r="B91" i="19"/>
  <c r="B119" i="19"/>
  <c r="AI119" i="19"/>
  <c r="B121" i="19"/>
  <c r="AI121" i="19"/>
  <c r="AI128" i="19"/>
  <c r="B128" i="19"/>
  <c r="AI148" i="19"/>
  <c r="B148" i="19"/>
  <c r="AI165" i="19"/>
  <c r="B165" i="19"/>
  <c r="B183" i="19"/>
  <c r="AI183" i="19"/>
  <c r="AI189" i="19"/>
  <c r="B189" i="19"/>
  <c r="B191" i="19"/>
  <c r="AI191" i="19"/>
  <c r="AI205" i="19"/>
  <c r="B205" i="19"/>
  <c r="B215" i="19"/>
  <c r="AI215" i="19"/>
  <c r="AI217" i="19"/>
  <c r="B217" i="19"/>
  <c r="B226" i="19"/>
  <c r="AI226" i="19"/>
  <c r="B243" i="19"/>
  <c r="AI243" i="19"/>
  <c r="B238" i="19"/>
  <c r="AI238" i="19"/>
  <c r="AI244" i="19"/>
  <c r="B244" i="19"/>
  <c r="B256" i="19"/>
  <c r="AI256" i="19"/>
  <c r="B272" i="19"/>
  <c r="AI272" i="19"/>
  <c r="B278" i="19"/>
  <c r="AI278" i="19"/>
  <c r="B58" i="19"/>
  <c r="AI58" i="19"/>
  <c r="B74" i="19"/>
  <c r="AI74" i="19"/>
  <c r="B86" i="19"/>
  <c r="AI86" i="19"/>
  <c r="AI87" i="19"/>
  <c r="B87" i="19"/>
  <c r="AI147" i="19"/>
  <c r="B147" i="19"/>
  <c r="AI185" i="19"/>
  <c r="B185" i="19"/>
  <c r="AI192" i="19"/>
  <c r="B192" i="19"/>
  <c r="B207" i="19"/>
  <c r="AI207" i="19"/>
  <c r="AI213" i="19"/>
  <c r="B213" i="19"/>
  <c r="B242" i="19"/>
  <c r="AI242" i="19"/>
  <c r="B254" i="19"/>
  <c r="AI254" i="19"/>
  <c r="B276" i="19"/>
  <c r="AI276" i="19"/>
  <c r="AI277" i="19"/>
  <c r="B277" i="19"/>
  <c r="AI38" i="19"/>
  <c r="B38" i="19"/>
  <c r="AI46" i="19"/>
  <c r="B46" i="19"/>
  <c r="B47" i="19"/>
  <c r="AI47" i="19"/>
  <c r="AI48" i="19"/>
  <c r="B48" i="19"/>
  <c r="AI50" i="19"/>
  <c r="B50" i="19"/>
  <c r="B62" i="19"/>
  <c r="AI62" i="19"/>
  <c r="AI72" i="19"/>
  <c r="B72" i="19"/>
  <c r="AI122" i="19"/>
  <c r="B122" i="19"/>
  <c r="B141" i="19"/>
  <c r="AI141" i="19"/>
  <c r="AI154" i="19"/>
  <c r="B170" i="19"/>
  <c r="AI170" i="19"/>
  <c r="B193" i="19"/>
  <c r="AI193" i="19"/>
  <c r="AI200" i="19"/>
  <c r="B203" i="19"/>
  <c r="AI203" i="19"/>
  <c r="B220" i="19"/>
  <c r="AI220" i="19"/>
  <c r="B223" i="19"/>
  <c r="AI223" i="19"/>
  <c r="B225" i="19"/>
  <c r="AI225" i="19"/>
  <c r="AI228" i="19"/>
  <c r="B228" i="19"/>
  <c r="AI229" i="19"/>
  <c r="AI253" i="19"/>
  <c r="B253" i="19"/>
  <c r="B234" i="19"/>
  <c r="AI234" i="19"/>
  <c r="B250" i="19"/>
  <c r="AI250" i="19"/>
  <c r="AI237" i="19"/>
  <c r="B237" i="19"/>
  <c r="AI252" i="19"/>
  <c r="B252" i="19"/>
  <c r="AI257" i="19"/>
  <c r="B257" i="19"/>
  <c r="AI269" i="19"/>
  <c r="B269" i="19"/>
  <c r="B282" i="19"/>
  <c r="AI282" i="19"/>
  <c r="AI268" i="19"/>
  <c r="B268" i="19"/>
  <c r="U258" i="13"/>
  <c r="AG258" i="13" s="1"/>
  <c r="U267" i="13"/>
  <c r="AG267" i="13" s="1"/>
  <c r="AB296" i="13" s="1"/>
  <c r="Z296" i="14" s="1"/>
  <c r="H275" i="13"/>
  <c r="T275" i="13"/>
  <c r="C267" i="13"/>
  <c r="A275" i="13"/>
  <c r="H267" i="13"/>
  <c r="L275" i="13"/>
  <c r="E275" i="13"/>
  <c r="O275" i="13"/>
  <c r="R275" i="13"/>
  <c r="J275" i="13"/>
  <c r="B275" i="13"/>
  <c r="A267" i="13"/>
  <c r="V267" i="13"/>
  <c r="AA267" i="13" s="1"/>
  <c r="G267" i="13"/>
  <c r="U275" i="13"/>
  <c r="AG275" i="13" s="1"/>
  <c r="AB304" i="13" s="1"/>
  <c r="AC304" i="13" s="1"/>
  <c r="M275" i="13"/>
  <c r="G275" i="13"/>
  <c r="S275" i="13"/>
  <c r="Q275" i="13"/>
  <c r="N275" i="13"/>
  <c r="AE275" i="13"/>
  <c r="L244" i="14"/>
  <c r="M244" i="14" s="1"/>
  <c r="N244" i="14" s="1"/>
  <c r="O244" i="14" s="1"/>
  <c r="P244" i="14" s="1"/>
  <c r="D267" i="13"/>
  <c r="L282" i="13"/>
  <c r="M282" i="13" s="1"/>
  <c r="A260" i="13"/>
  <c r="J260" i="13"/>
  <c r="L260" i="13" s="1"/>
  <c r="N244" i="18"/>
  <c r="E260" i="13"/>
  <c r="K172" i="18"/>
  <c r="C260" i="13"/>
  <c r="L238" i="13"/>
  <c r="M238" i="13" s="1"/>
  <c r="K228" i="18"/>
  <c r="G258" i="13"/>
  <c r="J164" i="13"/>
  <c r="L164" i="13" s="1"/>
  <c r="N164" i="13" s="1"/>
  <c r="J258" i="13"/>
  <c r="L258" i="13" s="1"/>
  <c r="N258" i="13" s="1"/>
  <c r="O258" i="13" s="1"/>
  <c r="Q258" i="13" s="1"/>
  <c r="R258" i="13" s="1"/>
  <c r="L241" i="13"/>
  <c r="N241" i="13" s="1"/>
  <c r="O241" i="13" s="1"/>
  <c r="Q241" i="13" s="1"/>
  <c r="R241" i="13" s="1"/>
  <c r="L268" i="13"/>
  <c r="N268" i="13" s="1"/>
  <c r="O268" i="13" s="1"/>
  <c r="Q268" i="13" s="1"/>
  <c r="R268" i="13" s="1"/>
  <c r="L224" i="13"/>
  <c r="M224" i="13" s="1"/>
  <c r="L237" i="13"/>
  <c r="N237" i="13" s="1"/>
  <c r="O237" i="13" s="1"/>
  <c r="Q237" i="13" s="1"/>
  <c r="R237" i="13" s="1"/>
  <c r="L244" i="13"/>
  <c r="N244" i="13" s="1"/>
  <c r="O244" i="13" s="1"/>
  <c r="Q244" i="13" s="1"/>
  <c r="R244" i="13" s="1"/>
  <c r="M278" i="18"/>
  <c r="L252" i="13"/>
  <c r="M252" i="13" s="1"/>
  <c r="M282" i="18"/>
  <c r="M267" i="13"/>
  <c r="M106" i="18"/>
  <c r="K238" i="18"/>
  <c r="K234" i="18"/>
  <c r="K278" i="18"/>
  <c r="K282" i="18"/>
  <c r="M266" i="13"/>
  <c r="I264" i="18"/>
  <c r="K264" i="18" s="1"/>
  <c r="I272" i="18"/>
  <c r="K272" i="18" s="1"/>
  <c r="I269" i="18"/>
  <c r="K269" i="18" s="1"/>
  <c r="N270" i="13"/>
  <c r="O270" i="13" s="1"/>
  <c r="Q270" i="13" s="1"/>
  <c r="R270" i="13" s="1"/>
  <c r="M270" i="13"/>
  <c r="I271" i="18"/>
  <c r="K271" i="18" s="1"/>
  <c r="I279" i="18"/>
  <c r="K279" i="18" s="1"/>
  <c r="L268" i="14"/>
  <c r="M268" i="14" s="1"/>
  <c r="N268" i="14" s="1"/>
  <c r="O268" i="14" s="1"/>
  <c r="P268" i="14" s="1"/>
  <c r="E270" i="8"/>
  <c r="H270" i="8"/>
  <c r="I270" i="8"/>
  <c r="G270" i="8"/>
  <c r="J270" i="8"/>
  <c r="K270" i="8"/>
  <c r="L270" i="8"/>
  <c r="D270" i="8"/>
  <c r="E270" i="19" s="1"/>
  <c r="B270" i="8"/>
  <c r="C270" i="19" s="1"/>
  <c r="M270" i="8"/>
  <c r="X270" i="8"/>
  <c r="U270" i="8"/>
  <c r="I270" i="19" s="1"/>
  <c r="C270" i="8"/>
  <c r="C283" i="18"/>
  <c r="D283" i="18"/>
  <c r="B283" i="18"/>
  <c r="I283" i="18"/>
  <c r="G283" i="18"/>
  <c r="J283" i="18"/>
  <c r="L283" i="18" s="1"/>
  <c r="H283" i="18"/>
  <c r="A283" i="18"/>
  <c r="E283" i="18"/>
  <c r="M283" i="18"/>
  <c r="B285" i="14"/>
  <c r="C285" i="14"/>
  <c r="D285" i="14"/>
  <c r="A285" i="14"/>
  <c r="S285" i="14"/>
  <c r="T285" i="14"/>
  <c r="E285" i="14"/>
  <c r="V285" i="14"/>
  <c r="H285" i="14"/>
  <c r="W285" i="14"/>
  <c r="G285" i="14"/>
  <c r="I285" i="14"/>
  <c r="K285" i="14"/>
  <c r="U285" i="14"/>
  <c r="D274" i="18"/>
  <c r="B274" i="18"/>
  <c r="C274" i="18"/>
  <c r="G274" i="18"/>
  <c r="E274" i="18"/>
  <c r="J274" i="18" s="1"/>
  <c r="H274" i="18"/>
  <c r="A274" i="18"/>
  <c r="E280" i="14"/>
  <c r="H280" i="14"/>
  <c r="A280" i="14"/>
  <c r="K280" i="14"/>
  <c r="G280" i="14"/>
  <c r="T280" i="14"/>
  <c r="I280" i="14"/>
  <c r="U280" i="14"/>
  <c r="C280" i="14"/>
  <c r="S280" i="14"/>
  <c r="W280" i="14"/>
  <c r="V280" i="14"/>
  <c r="D280" i="14"/>
  <c r="B280" i="14"/>
  <c r="C266" i="18"/>
  <c r="D266" i="18"/>
  <c r="B266" i="18"/>
  <c r="E266" i="18"/>
  <c r="J266" i="18" s="1"/>
  <c r="G266" i="18"/>
  <c r="A266" i="18"/>
  <c r="H266" i="18"/>
  <c r="E267" i="14"/>
  <c r="I267" i="14"/>
  <c r="G267" i="14"/>
  <c r="Y267" i="14"/>
  <c r="W267" i="14"/>
  <c r="S267" i="14"/>
  <c r="V267" i="14"/>
  <c r="A267" i="14"/>
  <c r="J267" i="14"/>
  <c r="U267" i="14"/>
  <c r="H267" i="14"/>
  <c r="K267" i="14"/>
  <c r="T267" i="14"/>
  <c r="B267" i="14"/>
  <c r="C267" i="14"/>
  <c r="D267" i="14"/>
  <c r="D265" i="8"/>
  <c r="E265" i="19" s="1"/>
  <c r="B265" i="8"/>
  <c r="C265" i="19" s="1"/>
  <c r="C265" i="8"/>
  <c r="I265" i="8"/>
  <c r="K265" i="8"/>
  <c r="U265" i="8"/>
  <c r="I265" i="19" s="1"/>
  <c r="X265" i="8"/>
  <c r="M265" i="8"/>
  <c r="G265" i="8"/>
  <c r="H265" i="19" s="1"/>
  <c r="J265" i="8"/>
  <c r="L265" i="8"/>
  <c r="H265" i="8"/>
  <c r="E265" i="8"/>
  <c r="D275" i="18"/>
  <c r="B275" i="18"/>
  <c r="C275" i="18"/>
  <c r="I275" i="18"/>
  <c r="H275" i="18"/>
  <c r="E275" i="18"/>
  <c r="J275" i="18"/>
  <c r="L275" i="18" s="1"/>
  <c r="A275" i="18"/>
  <c r="G275" i="18"/>
  <c r="AC311" i="13"/>
  <c r="Z311" i="14"/>
  <c r="AC299" i="13"/>
  <c r="Z299" i="14"/>
  <c r="AC312" i="13"/>
  <c r="Z312" i="14"/>
  <c r="N282" i="13"/>
  <c r="O282" i="13" s="1"/>
  <c r="Q282" i="13" s="1"/>
  <c r="R282" i="13" s="1"/>
  <c r="N278" i="18"/>
  <c r="H270" i="18"/>
  <c r="E270" i="18"/>
  <c r="J270" i="18" s="1"/>
  <c r="A270" i="18"/>
  <c r="G270" i="18"/>
  <c r="B270" i="18"/>
  <c r="C270" i="18"/>
  <c r="D270" i="18"/>
  <c r="D284" i="8"/>
  <c r="E284" i="19" s="1"/>
  <c r="C284" i="8"/>
  <c r="B284" i="8"/>
  <c r="C284" i="19" s="1"/>
  <c r="I284" i="8"/>
  <c r="L284" i="8"/>
  <c r="G284" i="8"/>
  <c r="H284" i="19" s="1"/>
  <c r="M284" i="8"/>
  <c r="E284" i="8"/>
  <c r="F284" i="19" s="1"/>
  <c r="J284" i="8"/>
  <c r="X284" i="8"/>
  <c r="U284" i="8"/>
  <c r="I284" i="19" s="1"/>
  <c r="H284" i="8"/>
  <c r="K284" i="8"/>
  <c r="N282" i="18"/>
  <c r="B285" i="18"/>
  <c r="A285" i="18"/>
  <c r="C285" i="18"/>
  <c r="G285" i="18"/>
  <c r="D285" i="18"/>
  <c r="J285" i="18"/>
  <c r="L285" i="18" s="1"/>
  <c r="H285" i="18"/>
  <c r="E285" i="18"/>
  <c r="I285" i="18"/>
  <c r="I268" i="18"/>
  <c r="K268" i="18" s="1"/>
  <c r="B280" i="18"/>
  <c r="D280" i="18"/>
  <c r="C280" i="18"/>
  <c r="G280" i="18"/>
  <c r="E280" i="18"/>
  <c r="J280" i="18" s="1"/>
  <c r="I280" i="18" s="1"/>
  <c r="A280" i="18"/>
  <c r="H280" i="18"/>
  <c r="L282" i="14"/>
  <c r="M282" i="14" s="1"/>
  <c r="N282" i="14" s="1"/>
  <c r="O282" i="14" s="1"/>
  <c r="P282" i="14" s="1"/>
  <c r="X273" i="8"/>
  <c r="E273" i="8"/>
  <c r="L273" i="8"/>
  <c r="D273" i="8"/>
  <c r="E273" i="19" s="1"/>
  <c r="I273" i="8"/>
  <c r="J273" i="8"/>
  <c r="K273" i="8"/>
  <c r="H273" i="8"/>
  <c r="M273" i="8"/>
  <c r="C273" i="8"/>
  <c r="G273" i="8"/>
  <c r="U273" i="8"/>
  <c r="I273" i="19" s="1"/>
  <c r="B273" i="8"/>
  <c r="C273" i="19" s="1"/>
  <c r="I267" i="8"/>
  <c r="L267" i="8"/>
  <c r="D267" i="8"/>
  <c r="E267" i="19" s="1"/>
  <c r="C267" i="8"/>
  <c r="B267" i="8"/>
  <c r="C267" i="19" s="1"/>
  <c r="X267" i="8"/>
  <c r="K267" i="8"/>
  <c r="G267" i="8"/>
  <c r="E267" i="8"/>
  <c r="U267" i="8"/>
  <c r="I267" i="19" s="1"/>
  <c r="M267" i="8"/>
  <c r="H267" i="8"/>
  <c r="J267" i="8"/>
  <c r="B265" i="18"/>
  <c r="C265" i="18"/>
  <c r="D265" i="18"/>
  <c r="E265" i="18"/>
  <c r="J265" i="18" s="1"/>
  <c r="A265" i="18"/>
  <c r="H265" i="18"/>
  <c r="G265" i="18"/>
  <c r="C281" i="14"/>
  <c r="D281" i="14"/>
  <c r="B281" i="14"/>
  <c r="A281" i="14"/>
  <c r="V281" i="14"/>
  <c r="K281" i="14"/>
  <c r="I281" i="14"/>
  <c r="E281" i="14"/>
  <c r="G281" i="14"/>
  <c r="S281" i="14"/>
  <c r="T281" i="14"/>
  <c r="H281" i="14"/>
  <c r="W281" i="14"/>
  <c r="U281" i="14"/>
  <c r="AC296" i="13"/>
  <c r="K283" i="8"/>
  <c r="D283" i="8"/>
  <c r="E283" i="19" s="1"/>
  <c r="B283" i="8"/>
  <c r="C283" i="19" s="1"/>
  <c r="C283" i="8"/>
  <c r="X283" i="8"/>
  <c r="M283" i="8"/>
  <c r="I283" i="8"/>
  <c r="L283" i="8"/>
  <c r="H283" i="8"/>
  <c r="J283" i="8"/>
  <c r="G283" i="8"/>
  <c r="Y283" i="8" s="1"/>
  <c r="Z283" i="8" s="1"/>
  <c r="E283" i="8"/>
  <c r="U283" i="8"/>
  <c r="I283" i="19" s="1"/>
  <c r="C284" i="14"/>
  <c r="D284" i="14"/>
  <c r="B284" i="14"/>
  <c r="E284" i="14"/>
  <c r="G284" i="14"/>
  <c r="I284" i="14"/>
  <c r="U284" i="14"/>
  <c r="A284" i="14"/>
  <c r="S284" i="14"/>
  <c r="K284" i="14"/>
  <c r="V284" i="14"/>
  <c r="H284" i="14"/>
  <c r="T284" i="14"/>
  <c r="W284" i="14"/>
  <c r="E274" i="14"/>
  <c r="U274" i="14"/>
  <c r="G274" i="14"/>
  <c r="C274" i="14"/>
  <c r="D274" i="14"/>
  <c r="K274" i="14"/>
  <c r="B274" i="14"/>
  <c r="T274" i="14"/>
  <c r="S274" i="14"/>
  <c r="V274" i="14"/>
  <c r="I274" i="14"/>
  <c r="W274" i="14"/>
  <c r="H274" i="14"/>
  <c r="A274" i="14"/>
  <c r="L266" i="8"/>
  <c r="B266" i="8"/>
  <c r="C266" i="19" s="1"/>
  <c r="D266" i="8"/>
  <c r="E266" i="19" s="1"/>
  <c r="X266" i="8"/>
  <c r="C266" i="8"/>
  <c r="K266" i="8"/>
  <c r="H266" i="8"/>
  <c r="J266" i="8"/>
  <c r="M266" i="8"/>
  <c r="G266" i="8"/>
  <c r="U266" i="8"/>
  <c r="I266" i="19" s="1"/>
  <c r="E266" i="8"/>
  <c r="I266" i="8"/>
  <c r="I276" i="18"/>
  <c r="K276" i="18" s="1"/>
  <c r="D273" i="14"/>
  <c r="B273" i="14"/>
  <c r="C273" i="14"/>
  <c r="A273" i="14"/>
  <c r="G273" i="14"/>
  <c r="W273" i="14"/>
  <c r="T273" i="14"/>
  <c r="K273" i="14"/>
  <c r="E273" i="14"/>
  <c r="I273" i="14"/>
  <c r="V273" i="14"/>
  <c r="H273" i="14"/>
  <c r="S273" i="14"/>
  <c r="U273" i="14"/>
  <c r="B267" i="18"/>
  <c r="C267" i="18"/>
  <c r="D267" i="18"/>
  <c r="G267" i="18"/>
  <c r="A267" i="18"/>
  <c r="E267" i="18"/>
  <c r="J267" i="18" s="1"/>
  <c r="I267" i="18" s="1"/>
  <c r="H267" i="18"/>
  <c r="Q275" i="14"/>
  <c r="AA275" i="14"/>
  <c r="AB275" i="14" s="1"/>
  <c r="R275" i="14"/>
  <c r="O275" i="14"/>
  <c r="E275" i="14"/>
  <c r="L275" i="14"/>
  <c r="D275" i="14"/>
  <c r="C275" i="14"/>
  <c r="B275" i="14"/>
  <c r="M275" i="14"/>
  <c r="P275" i="14"/>
  <c r="G275" i="14"/>
  <c r="J275" i="14"/>
  <c r="K275" i="14"/>
  <c r="W275" i="14"/>
  <c r="A275" i="14"/>
  <c r="V275" i="14"/>
  <c r="X275" i="14"/>
  <c r="AD275" i="14"/>
  <c r="AC275" i="14"/>
  <c r="S275" i="14"/>
  <c r="N275" i="14"/>
  <c r="T275" i="14"/>
  <c r="I275" i="14"/>
  <c r="U275" i="14"/>
  <c r="AF275" i="14"/>
  <c r="M275" i="19" s="1"/>
  <c r="Z275" i="14"/>
  <c r="Y275" i="14"/>
  <c r="H275" i="14"/>
  <c r="K281" i="8"/>
  <c r="U281" i="8"/>
  <c r="I281" i="19" s="1"/>
  <c r="J281" i="8"/>
  <c r="G281" i="8"/>
  <c r="D281" i="8"/>
  <c r="E281" i="19" s="1"/>
  <c r="M281" i="8"/>
  <c r="L281" i="8"/>
  <c r="C281" i="8"/>
  <c r="H281" i="8"/>
  <c r="B281" i="8"/>
  <c r="C281" i="19" s="1"/>
  <c r="X281" i="8"/>
  <c r="I281" i="8"/>
  <c r="E281" i="8"/>
  <c r="AC295" i="13"/>
  <c r="Z295" i="14"/>
  <c r="M283" i="13"/>
  <c r="AC297" i="13"/>
  <c r="Z297" i="14"/>
  <c r="D270" i="14"/>
  <c r="C270" i="14"/>
  <c r="B270" i="14"/>
  <c r="G270" i="14"/>
  <c r="E270" i="14"/>
  <c r="S270" i="14"/>
  <c r="V270" i="14"/>
  <c r="T270" i="14"/>
  <c r="H270" i="14"/>
  <c r="I270" i="14"/>
  <c r="K270" i="14"/>
  <c r="U270" i="14"/>
  <c r="J270" i="14"/>
  <c r="W270" i="14"/>
  <c r="A270" i="14"/>
  <c r="K283" i="14"/>
  <c r="S283" i="14"/>
  <c r="T283" i="14"/>
  <c r="J283" i="14"/>
  <c r="E283" i="14"/>
  <c r="H283" i="14"/>
  <c r="W283" i="14"/>
  <c r="A283" i="14"/>
  <c r="I283" i="14"/>
  <c r="U283" i="14"/>
  <c r="V283" i="14"/>
  <c r="G283" i="14"/>
  <c r="B283" i="14"/>
  <c r="C283" i="14"/>
  <c r="D283" i="14"/>
  <c r="C284" i="18"/>
  <c r="B284" i="18"/>
  <c r="D284" i="18"/>
  <c r="H284" i="18"/>
  <c r="A284" i="18"/>
  <c r="G284" i="18"/>
  <c r="E284" i="18"/>
  <c r="I284" i="18"/>
  <c r="J284" i="18"/>
  <c r="M284" i="18" s="1"/>
  <c r="B285" i="8"/>
  <c r="C285" i="19" s="1"/>
  <c r="D285" i="8"/>
  <c r="E285" i="19" s="1"/>
  <c r="C285" i="8"/>
  <c r="X285" i="8"/>
  <c r="H285" i="8"/>
  <c r="M285" i="8"/>
  <c r="I285" i="8"/>
  <c r="U285" i="8"/>
  <c r="I285" i="19" s="1"/>
  <c r="L285" i="8"/>
  <c r="G285" i="8"/>
  <c r="H285" i="19" s="1"/>
  <c r="K285" i="8"/>
  <c r="J285" i="8"/>
  <c r="E285" i="8"/>
  <c r="C274" i="8"/>
  <c r="B274" i="8"/>
  <c r="C274" i="19" s="1"/>
  <c r="X274" i="8"/>
  <c r="D274" i="8"/>
  <c r="E274" i="19" s="1"/>
  <c r="M274" i="8"/>
  <c r="H274" i="8"/>
  <c r="E274" i="8"/>
  <c r="L274" i="8"/>
  <c r="I274" i="8"/>
  <c r="J274" i="8"/>
  <c r="G274" i="8"/>
  <c r="H274" i="19" s="1"/>
  <c r="K274" i="8"/>
  <c r="U274" i="8"/>
  <c r="I274" i="19" s="1"/>
  <c r="L280" i="8"/>
  <c r="I280" i="8"/>
  <c r="H280" i="8"/>
  <c r="G280" i="8"/>
  <c r="K280" i="8"/>
  <c r="J280" i="8"/>
  <c r="E280" i="8"/>
  <c r="C280" i="8"/>
  <c r="B280" i="8"/>
  <c r="C280" i="19" s="1"/>
  <c r="D280" i="8"/>
  <c r="E280" i="19" s="1"/>
  <c r="X280" i="8"/>
  <c r="M280" i="8"/>
  <c r="U280" i="8"/>
  <c r="I280" i="19" s="1"/>
  <c r="T266" i="14"/>
  <c r="J266" i="14"/>
  <c r="V266" i="14"/>
  <c r="G266" i="14"/>
  <c r="E266" i="14"/>
  <c r="U266" i="14"/>
  <c r="H266" i="14"/>
  <c r="A266" i="14"/>
  <c r="K266" i="14"/>
  <c r="S266" i="14"/>
  <c r="I266" i="14"/>
  <c r="X266" i="14"/>
  <c r="W266" i="14"/>
  <c r="D266" i="14"/>
  <c r="B266" i="14"/>
  <c r="C266" i="14"/>
  <c r="C273" i="18"/>
  <c r="B273" i="18"/>
  <c r="D273" i="18"/>
  <c r="E273" i="18"/>
  <c r="J273" i="18" s="1"/>
  <c r="I273" i="18" s="1"/>
  <c r="K273" i="18" s="1"/>
  <c r="G273" i="18"/>
  <c r="A273" i="18"/>
  <c r="H273" i="18"/>
  <c r="I265" i="14"/>
  <c r="G265" i="14"/>
  <c r="U265" i="14"/>
  <c r="A265" i="14"/>
  <c r="S265" i="14"/>
  <c r="H265" i="14"/>
  <c r="W265" i="14"/>
  <c r="E265" i="14"/>
  <c r="V265" i="14"/>
  <c r="K265" i="14"/>
  <c r="T265" i="14"/>
  <c r="C265" i="14"/>
  <c r="D265" i="14"/>
  <c r="B265" i="14"/>
  <c r="D275" i="8"/>
  <c r="E275" i="19" s="1"/>
  <c r="B275" i="8"/>
  <c r="C275" i="19" s="1"/>
  <c r="L275" i="8"/>
  <c r="U275" i="8"/>
  <c r="I275" i="19" s="1"/>
  <c r="E275" i="8"/>
  <c r="Q275" i="8"/>
  <c r="N275" i="8"/>
  <c r="K275" i="8"/>
  <c r="X275" i="8"/>
  <c r="I275" i="8"/>
  <c r="J275" i="8"/>
  <c r="T275" i="8"/>
  <c r="S275" i="8"/>
  <c r="G275" i="8"/>
  <c r="W275" i="8" s="1"/>
  <c r="H275" i="8"/>
  <c r="R275" i="8"/>
  <c r="M275" i="8"/>
  <c r="P275" i="8"/>
  <c r="C275" i="8"/>
  <c r="D281" i="18"/>
  <c r="B281" i="18"/>
  <c r="C281" i="18"/>
  <c r="G281" i="18"/>
  <c r="E281" i="18"/>
  <c r="J281" i="18" s="1"/>
  <c r="A281" i="18"/>
  <c r="H281" i="18"/>
  <c r="L148" i="18"/>
  <c r="N122" i="18"/>
  <c r="L224" i="18"/>
  <c r="K91" i="18"/>
  <c r="N140" i="18"/>
  <c r="N183" i="18"/>
  <c r="C249" i="13"/>
  <c r="L107" i="18"/>
  <c r="N108" i="18"/>
  <c r="L223" i="18"/>
  <c r="J174" i="13"/>
  <c r="L174" i="13" s="1"/>
  <c r="N174" i="13" s="1"/>
  <c r="O174" i="13" s="1"/>
  <c r="Q174" i="13" s="1"/>
  <c r="R174" i="13" s="1"/>
  <c r="L237" i="14"/>
  <c r="M237" i="14" s="1"/>
  <c r="N237" i="14" s="1"/>
  <c r="O237" i="14" s="1"/>
  <c r="P237" i="14" s="1"/>
  <c r="D249" i="13"/>
  <c r="D258" i="13"/>
  <c r="K84" i="18"/>
  <c r="N216" i="18"/>
  <c r="C263" i="14"/>
  <c r="B263" i="14"/>
  <c r="I263" i="14"/>
  <c r="G263" i="14"/>
  <c r="A263" i="14"/>
  <c r="T263" i="14"/>
  <c r="H263" i="14"/>
  <c r="U263" i="14"/>
  <c r="V263" i="14"/>
  <c r="D263" i="14"/>
  <c r="K263" i="14"/>
  <c r="S263" i="14"/>
  <c r="E263" i="14"/>
  <c r="W263" i="14"/>
  <c r="H263" i="8"/>
  <c r="J263" i="8"/>
  <c r="I263" i="8"/>
  <c r="E263" i="8"/>
  <c r="F263" i="19" s="1"/>
  <c r="D263" i="8"/>
  <c r="E263" i="19" s="1"/>
  <c r="C263" i="8"/>
  <c r="M263" i="8"/>
  <c r="K263" i="8"/>
  <c r="G263" i="8"/>
  <c r="H263" i="19" s="1"/>
  <c r="L263" i="8"/>
  <c r="X263" i="8"/>
  <c r="B263" i="8"/>
  <c r="C263" i="19" s="1"/>
  <c r="U263" i="8"/>
  <c r="I263" i="19" s="1"/>
  <c r="B263" i="18"/>
  <c r="G263" i="18"/>
  <c r="H263" i="18"/>
  <c r="D263" i="18"/>
  <c r="C263" i="18"/>
  <c r="J263" i="18"/>
  <c r="L263" i="18" s="1"/>
  <c r="A263" i="18"/>
  <c r="E263" i="18"/>
  <c r="I263" i="18"/>
  <c r="L223" i="13"/>
  <c r="M223" i="13" s="1"/>
  <c r="M262" i="13"/>
  <c r="J262" i="8"/>
  <c r="H262" i="8"/>
  <c r="E262" i="8"/>
  <c r="D262" i="8"/>
  <c r="E262" i="19" s="1"/>
  <c r="B262" i="8"/>
  <c r="C262" i="19" s="1"/>
  <c r="M262" i="8"/>
  <c r="I262" i="8"/>
  <c r="G262" i="8"/>
  <c r="D236" i="9" s="1"/>
  <c r="K262" i="8"/>
  <c r="L262" i="8"/>
  <c r="X262" i="8"/>
  <c r="C262" i="8"/>
  <c r="U262" i="8"/>
  <c r="I262" i="19" s="1"/>
  <c r="C236" i="9"/>
  <c r="C262" i="14"/>
  <c r="S262" i="14"/>
  <c r="T262" i="14"/>
  <c r="H262" i="14"/>
  <c r="I262" i="14"/>
  <c r="J262" i="14"/>
  <c r="U262" i="14"/>
  <c r="V262" i="14"/>
  <c r="B262" i="14"/>
  <c r="D262" i="14"/>
  <c r="E262" i="14"/>
  <c r="A262" i="14"/>
  <c r="G262" i="14"/>
  <c r="K262" i="14"/>
  <c r="W262" i="14"/>
  <c r="D262" i="18"/>
  <c r="A262" i="18"/>
  <c r="H262" i="18"/>
  <c r="C262" i="18"/>
  <c r="B262" i="18"/>
  <c r="E262" i="18"/>
  <c r="J262" i="18" s="1"/>
  <c r="G262" i="18"/>
  <c r="U260" i="13"/>
  <c r="AG260" i="13" s="1"/>
  <c r="H260" i="13"/>
  <c r="G260" i="13"/>
  <c r="D260" i="13"/>
  <c r="B260" i="14"/>
  <c r="G260" i="14"/>
  <c r="T260" i="14"/>
  <c r="W260" i="14"/>
  <c r="K260" i="14"/>
  <c r="D260" i="14"/>
  <c r="C260" i="14"/>
  <c r="I260" i="14"/>
  <c r="A260" i="14"/>
  <c r="E260" i="14"/>
  <c r="H260" i="14"/>
  <c r="S260" i="14"/>
  <c r="X260" i="14"/>
  <c r="U260" i="14"/>
  <c r="V260" i="14"/>
  <c r="B260" i="18"/>
  <c r="D260" i="18"/>
  <c r="H260" i="18"/>
  <c r="J260" i="18"/>
  <c r="L260" i="18" s="1"/>
  <c r="I260" i="18"/>
  <c r="C260" i="18"/>
  <c r="A260" i="18"/>
  <c r="G260" i="18"/>
  <c r="E260" i="18"/>
  <c r="K260" i="8"/>
  <c r="X260" i="8"/>
  <c r="B260" i="8"/>
  <c r="C260" i="19" s="1"/>
  <c r="M260" i="8"/>
  <c r="E260" i="8"/>
  <c r="G260" i="8"/>
  <c r="L260" i="8"/>
  <c r="D260" i="8"/>
  <c r="E260" i="19" s="1"/>
  <c r="C260" i="8"/>
  <c r="U260" i="8"/>
  <c r="I260" i="19" s="1"/>
  <c r="I260" i="8"/>
  <c r="J260" i="8"/>
  <c r="H260" i="8"/>
  <c r="A249" i="13"/>
  <c r="A258" i="13"/>
  <c r="L247" i="13"/>
  <c r="N247" i="13" s="1"/>
  <c r="O247" i="13" s="1"/>
  <c r="Q247" i="13" s="1"/>
  <c r="R247" i="13" s="1"/>
  <c r="E180" i="13"/>
  <c r="U249" i="13"/>
  <c r="AG249" i="13" s="1"/>
  <c r="H249" i="13"/>
  <c r="E249" i="13"/>
  <c r="V164" i="13"/>
  <c r="Z164" i="13" s="1"/>
  <c r="X164" i="14" s="1"/>
  <c r="J249" i="13"/>
  <c r="L249" i="13" s="1"/>
  <c r="N249" i="13" s="1"/>
  <c r="O249" i="13" s="1"/>
  <c r="Q249" i="13" s="1"/>
  <c r="R249" i="13" s="1"/>
  <c r="L241" i="14"/>
  <c r="M241" i="14" s="1"/>
  <c r="N241" i="14" s="1"/>
  <c r="O241" i="14" s="1"/>
  <c r="P241" i="14" s="1"/>
  <c r="D174" i="13"/>
  <c r="D164" i="13"/>
  <c r="C258" i="13"/>
  <c r="K259" i="8"/>
  <c r="H259" i="8"/>
  <c r="J259" i="8"/>
  <c r="D259" i="8"/>
  <c r="E259" i="19" s="1"/>
  <c r="B259" i="8"/>
  <c r="C259" i="19" s="1"/>
  <c r="M259" i="8"/>
  <c r="E259" i="8"/>
  <c r="I259" i="8"/>
  <c r="C259" i="8"/>
  <c r="G259" i="8"/>
  <c r="H259" i="19" s="1"/>
  <c r="X259" i="8"/>
  <c r="U259" i="8"/>
  <c r="I259" i="19" s="1"/>
  <c r="L259" i="8"/>
  <c r="E259" i="14"/>
  <c r="I259" i="14"/>
  <c r="V259" i="14"/>
  <c r="C259" i="14"/>
  <c r="B259" i="14"/>
  <c r="U259" i="14"/>
  <c r="A259" i="14"/>
  <c r="G259" i="14"/>
  <c r="W259" i="14"/>
  <c r="T259" i="14"/>
  <c r="S259" i="14"/>
  <c r="D259" i="14"/>
  <c r="H259" i="14"/>
  <c r="K259" i="14"/>
  <c r="B259" i="18"/>
  <c r="I259" i="18"/>
  <c r="G259" i="18"/>
  <c r="E259" i="18"/>
  <c r="A259" i="18"/>
  <c r="D259" i="18"/>
  <c r="C259" i="18"/>
  <c r="J259" i="18"/>
  <c r="L259" i="18" s="1"/>
  <c r="H259" i="18"/>
  <c r="V258" i="14"/>
  <c r="K258" i="14"/>
  <c r="H258" i="14"/>
  <c r="S258" i="14"/>
  <c r="U258" i="14"/>
  <c r="T258" i="14"/>
  <c r="C258" i="14"/>
  <c r="E258" i="14"/>
  <c r="A258" i="14"/>
  <c r="W258" i="14"/>
  <c r="I258" i="14"/>
  <c r="G258" i="14"/>
  <c r="B258" i="14"/>
  <c r="D258" i="14"/>
  <c r="V258" i="13"/>
  <c r="H258" i="13"/>
  <c r="E258" i="13"/>
  <c r="K258" i="8"/>
  <c r="J258" i="8"/>
  <c r="I258" i="8"/>
  <c r="D258" i="8"/>
  <c r="E258" i="19" s="1"/>
  <c r="B258" i="8"/>
  <c r="C258" i="19" s="1"/>
  <c r="M258" i="8"/>
  <c r="H258" i="8"/>
  <c r="G258" i="8"/>
  <c r="E258" i="8"/>
  <c r="L258" i="8"/>
  <c r="X258" i="8"/>
  <c r="C258" i="8"/>
  <c r="U258" i="8"/>
  <c r="I258" i="19" s="1"/>
  <c r="B258" i="18"/>
  <c r="J258" i="18"/>
  <c r="N258" i="18" s="1"/>
  <c r="E258" i="18"/>
  <c r="C258" i="18"/>
  <c r="D258" i="18"/>
  <c r="I258" i="18"/>
  <c r="A258" i="18"/>
  <c r="H258" i="18"/>
  <c r="G258" i="18"/>
  <c r="L258" i="18"/>
  <c r="K257" i="18"/>
  <c r="I256" i="18"/>
  <c r="K256" i="18" s="1"/>
  <c r="M234" i="18"/>
  <c r="J255" i="8"/>
  <c r="I255" i="8"/>
  <c r="B255" i="8"/>
  <c r="C255" i="19" s="1"/>
  <c r="U255" i="8"/>
  <c r="I255" i="19" s="1"/>
  <c r="D255" i="8"/>
  <c r="E255" i="19" s="1"/>
  <c r="G255" i="8"/>
  <c r="H255" i="19" s="1"/>
  <c r="H255" i="8"/>
  <c r="K255" i="8"/>
  <c r="X255" i="8"/>
  <c r="C255" i="8"/>
  <c r="M255" i="8"/>
  <c r="E255" i="8"/>
  <c r="L255" i="8"/>
  <c r="C255" i="14"/>
  <c r="B255" i="14"/>
  <c r="T255" i="14"/>
  <c r="E255" i="14"/>
  <c r="K255" i="14"/>
  <c r="U255" i="14"/>
  <c r="V255" i="14"/>
  <c r="D255" i="14"/>
  <c r="S255" i="14"/>
  <c r="A255" i="14"/>
  <c r="G255" i="14"/>
  <c r="W255" i="14"/>
  <c r="I255" i="14"/>
  <c r="H255" i="14"/>
  <c r="G255" i="18"/>
  <c r="H255" i="18"/>
  <c r="J255" i="18"/>
  <c r="L255" i="18" s="1"/>
  <c r="E255" i="18"/>
  <c r="A255" i="18"/>
  <c r="B255" i="18"/>
  <c r="D255" i="18"/>
  <c r="C255" i="18"/>
  <c r="I255" i="18"/>
  <c r="N234" i="18"/>
  <c r="N254" i="18"/>
  <c r="M237" i="18"/>
  <c r="K237" i="18"/>
  <c r="M254" i="18"/>
  <c r="M247" i="18"/>
  <c r="K245" i="18"/>
  <c r="N238" i="18"/>
  <c r="N237" i="18"/>
  <c r="M238" i="18"/>
  <c r="M244" i="18"/>
  <c r="N236" i="13"/>
  <c r="O236" i="13" s="1"/>
  <c r="Q236" i="13" s="1"/>
  <c r="R236" i="13" s="1"/>
  <c r="K247" i="18"/>
  <c r="N247" i="18"/>
  <c r="L247" i="14"/>
  <c r="M247" i="14" s="1"/>
  <c r="N247" i="14" s="1"/>
  <c r="O247" i="14" s="1"/>
  <c r="P247" i="14" s="1"/>
  <c r="I253" i="18"/>
  <c r="K253" i="18" s="1"/>
  <c r="I235" i="18"/>
  <c r="K235" i="18" s="1"/>
  <c r="I242" i="18"/>
  <c r="K242" i="18" s="1"/>
  <c r="I243" i="18"/>
  <c r="K243" i="18" s="1"/>
  <c r="I250" i="18"/>
  <c r="K250" i="18" s="1"/>
  <c r="M245" i="18"/>
  <c r="N245" i="18"/>
  <c r="L238" i="14"/>
  <c r="M238" i="14" s="1"/>
  <c r="N238" i="14" s="1"/>
  <c r="O238" i="14" s="1"/>
  <c r="P238" i="14" s="1"/>
  <c r="K244" i="18"/>
  <c r="K252" i="18"/>
  <c r="L252" i="14"/>
  <c r="M252" i="14" s="1"/>
  <c r="N252" i="14" s="1"/>
  <c r="O252" i="14" s="1"/>
  <c r="P252" i="14" s="1"/>
  <c r="V248" i="14"/>
  <c r="S248" i="14"/>
  <c r="I248" i="14"/>
  <c r="T248" i="14"/>
  <c r="E248" i="14"/>
  <c r="H248" i="14"/>
  <c r="G248" i="14"/>
  <c r="W248" i="14"/>
  <c r="D248" i="14"/>
  <c r="C248" i="14"/>
  <c r="B248" i="14"/>
  <c r="U248" i="14"/>
  <c r="K248" i="14"/>
  <c r="A248" i="14"/>
  <c r="B248" i="18"/>
  <c r="D248" i="18"/>
  <c r="C248" i="18"/>
  <c r="I248" i="18"/>
  <c r="E248" i="18"/>
  <c r="G248" i="18"/>
  <c r="H248" i="18"/>
  <c r="J248" i="18"/>
  <c r="N248" i="18" s="1"/>
  <c r="A248" i="18"/>
  <c r="G251" i="14"/>
  <c r="W251" i="14"/>
  <c r="E251" i="14"/>
  <c r="I251" i="14"/>
  <c r="T251" i="14"/>
  <c r="V251" i="14"/>
  <c r="K251" i="14"/>
  <c r="U251" i="14"/>
  <c r="A251" i="14"/>
  <c r="S251" i="14"/>
  <c r="H251" i="14"/>
  <c r="C251" i="14"/>
  <c r="B251" i="14"/>
  <c r="D251" i="14"/>
  <c r="A249" i="14"/>
  <c r="V249" i="14"/>
  <c r="K249" i="14"/>
  <c r="U249" i="14"/>
  <c r="S249" i="14"/>
  <c r="I249" i="14"/>
  <c r="W249" i="14"/>
  <c r="G249" i="14"/>
  <c r="T249" i="14"/>
  <c r="E249" i="14"/>
  <c r="B249" i="14"/>
  <c r="D249" i="14"/>
  <c r="H249" i="14"/>
  <c r="C249" i="14"/>
  <c r="C249" i="18"/>
  <c r="B249" i="18"/>
  <c r="D249" i="18"/>
  <c r="J249" i="18"/>
  <c r="K249" i="18" s="1"/>
  <c r="G249" i="18"/>
  <c r="E249" i="18"/>
  <c r="H249" i="18"/>
  <c r="I249" i="18"/>
  <c r="A249" i="18"/>
  <c r="B236" i="14"/>
  <c r="D236" i="14"/>
  <c r="C236" i="14"/>
  <c r="G236" i="14"/>
  <c r="E236" i="14"/>
  <c r="T236" i="14"/>
  <c r="W236" i="14"/>
  <c r="U236" i="14"/>
  <c r="I236" i="14"/>
  <c r="A236" i="14"/>
  <c r="H236" i="14"/>
  <c r="J236" i="14"/>
  <c r="V236" i="14"/>
  <c r="S236" i="14"/>
  <c r="K236" i="14"/>
  <c r="K241" i="18"/>
  <c r="K239" i="8"/>
  <c r="E239" i="8"/>
  <c r="I239" i="8"/>
  <c r="J239" i="8"/>
  <c r="L239" i="8"/>
  <c r="H239" i="8"/>
  <c r="G239" i="8"/>
  <c r="H239" i="19" s="1"/>
  <c r="D239" i="8"/>
  <c r="E239" i="19" s="1"/>
  <c r="B239" i="8"/>
  <c r="C239" i="19" s="1"/>
  <c r="X239" i="8"/>
  <c r="C239" i="8"/>
  <c r="U239" i="8"/>
  <c r="I239" i="19" s="1"/>
  <c r="M239" i="8"/>
  <c r="B240" i="14"/>
  <c r="D240" i="14"/>
  <c r="C240" i="14"/>
  <c r="I240" i="14"/>
  <c r="A240" i="14"/>
  <c r="V240" i="14"/>
  <c r="S240" i="14"/>
  <c r="T240" i="14"/>
  <c r="G240" i="14"/>
  <c r="W240" i="14"/>
  <c r="E240" i="14"/>
  <c r="H240" i="14"/>
  <c r="U240" i="14"/>
  <c r="K240" i="14"/>
  <c r="B240" i="18"/>
  <c r="D240" i="18"/>
  <c r="C240" i="18"/>
  <c r="H240" i="18"/>
  <c r="E240" i="18"/>
  <c r="J240" i="18" s="1"/>
  <c r="A240" i="18"/>
  <c r="G240" i="18"/>
  <c r="J246" i="8"/>
  <c r="X246" i="8"/>
  <c r="C246" i="8"/>
  <c r="D246" i="8"/>
  <c r="E246" i="19" s="1"/>
  <c r="B246" i="8"/>
  <c r="C246" i="19" s="1"/>
  <c r="L246" i="8"/>
  <c r="E246" i="8"/>
  <c r="K246" i="8"/>
  <c r="I246" i="8"/>
  <c r="U246" i="8"/>
  <c r="I246" i="19" s="1"/>
  <c r="G246" i="8"/>
  <c r="M246" i="8"/>
  <c r="H246" i="8"/>
  <c r="E248" i="8"/>
  <c r="F248" i="19" s="1"/>
  <c r="D248" i="8"/>
  <c r="E248" i="19" s="1"/>
  <c r="C248" i="8"/>
  <c r="X248" i="8"/>
  <c r="B248" i="8"/>
  <c r="C248" i="19" s="1"/>
  <c r="J248" i="8"/>
  <c r="H248" i="8"/>
  <c r="K248" i="8"/>
  <c r="L248" i="8"/>
  <c r="U248" i="8"/>
  <c r="I248" i="19" s="1"/>
  <c r="I248" i="8"/>
  <c r="M248" i="8"/>
  <c r="G248" i="8"/>
  <c r="I251" i="8"/>
  <c r="E251" i="8"/>
  <c r="D251" i="8"/>
  <c r="E251" i="19" s="1"/>
  <c r="L251" i="8"/>
  <c r="G251" i="8"/>
  <c r="C251" i="8"/>
  <c r="H251" i="8"/>
  <c r="J251" i="8"/>
  <c r="B251" i="8"/>
  <c r="C251" i="19" s="1"/>
  <c r="K251" i="8"/>
  <c r="X251" i="8"/>
  <c r="M251" i="8"/>
  <c r="U251" i="8"/>
  <c r="I251" i="19" s="1"/>
  <c r="B251" i="18"/>
  <c r="D251" i="18"/>
  <c r="C251" i="18"/>
  <c r="G251" i="18"/>
  <c r="H251" i="18"/>
  <c r="A251" i="18"/>
  <c r="E251" i="18"/>
  <c r="J251" i="18" s="1"/>
  <c r="M249" i="8"/>
  <c r="L249" i="8"/>
  <c r="X249" i="8"/>
  <c r="K249" i="8"/>
  <c r="G249" i="8"/>
  <c r="B249" i="8"/>
  <c r="C249" i="19" s="1"/>
  <c r="I249" i="8"/>
  <c r="J249" i="8"/>
  <c r="D249" i="8"/>
  <c r="E249" i="19" s="1"/>
  <c r="H249" i="8"/>
  <c r="U249" i="8"/>
  <c r="I249" i="19" s="1"/>
  <c r="C249" i="8"/>
  <c r="E249" i="8"/>
  <c r="X236" i="8"/>
  <c r="C236" i="8"/>
  <c r="D236" i="8"/>
  <c r="E236" i="19" s="1"/>
  <c r="B236" i="8"/>
  <c r="C236" i="19" s="1"/>
  <c r="H236" i="8"/>
  <c r="E236" i="8"/>
  <c r="L236" i="8"/>
  <c r="K236" i="8"/>
  <c r="G236" i="8"/>
  <c r="U236" i="8"/>
  <c r="I236" i="19" s="1"/>
  <c r="J236" i="8"/>
  <c r="I236" i="8"/>
  <c r="M236" i="8"/>
  <c r="D236" i="18"/>
  <c r="C236" i="18"/>
  <c r="B236" i="18"/>
  <c r="E236" i="18"/>
  <c r="J236" i="18" s="1"/>
  <c r="I236" i="18" s="1"/>
  <c r="H236" i="18"/>
  <c r="A236" i="18"/>
  <c r="G236" i="18"/>
  <c r="C239" i="14"/>
  <c r="B239" i="14"/>
  <c r="D239" i="14"/>
  <c r="G239" i="14"/>
  <c r="E239" i="14"/>
  <c r="U239" i="14"/>
  <c r="V239" i="14"/>
  <c r="H239" i="14"/>
  <c r="S239" i="14"/>
  <c r="W239" i="14"/>
  <c r="A239" i="14"/>
  <c r="K239" i="14"/>
  <c r="I239" i="14"/>
  <c r="T239" i="14"/>
  <c r="D239" i="18"/>
  <c r="C239" i="18"/>
  <c r="H239" i="18"/>
  <c r="G239" i="18"/>
  <c r="B239" i="18"/>
  <c r="A239" i="18"/>
  <c r="E239" i="18"/>
  <c r="J239" i="18" s="1"/>
  <c r="E240" i="8"/>
  <c r="F240" i="19" s="1"/>
  <c r="D240" i="8"/>
  <c r="E240" i="19" s="1"/>
  <c r="B240" i="8"/>
  <c r="C240" i="19" s="1"/>
  <c r="H240" i="8"/>
  <c r="X240" i="8"/>
  <c r="C240" i="8"/>
  <c r="L240" i="8"/>
  <c r="K240" i="8"/>
  <c r="G240" i="8"/>
  <c r="H240" i="19" s="1"/>
  <c r="B240" i="19" s="1"/>
  <c r="J240" i="8"/>
  <c r="I240" i="8"/>
  <c r="U240" i="8"/>
  <c r="I240" i="19" s="1"/>
  <c r="M240" i="8"/>
  <c r="C246" i="14"/>
  <c r="K246" i="14"/>
  <c r="H246" i="14"/>
  <c r="A246" i="14"/>
  <c r="T246" i="14"/>
  <c r="S246" i="14"/>
  <c r="I246" i="14"/>
  <c r="V246" i="14"/>
  <c r="B246" i="14"/>
  <c r="D246" i="14"/>
  <c r="E246" i="14"/>
  <c r="U246" i="14"/>
  <c r="W246" i="14"/>
  <c r="G246" i="14"/>
  <c r="H246" i="18"/>
  <c r="A246" i="18"/>
  <c r="E246" i="18"/>
  <c r="C246" i="18"/>
  <c r="D246" i="18"/>
  <c r="J246" i="18"/>
  <c r="L246" i="18" s="1"/>
  <c r="G246" i="18"/>
  <c r="B246" i="18"/>
  <c r="I246" i="18"/>
  <c r="M246" i="18"/>
  <c r="I233" i="8"/>
  <c r="B233" i="8"/>
  <c r="C233" i="19" s="1"/>
  <c r="K233" i="8"/>
  <c r="H233" i="8"/>
  <c r="J233" i="8"/>
  <c r="U233" i="8"/>
  <c r="I233" i="19" s="1"/>
  <c r="C233" i="8"/>
  <c r="L233" i="8"/>
  <c r="M233" i="8"/>
  <c r="E233" i="8"/>
  <c r="G233" i="8"/>
  <c r="D233" i="8"/>
  <c r="E233" i="19" s="1"/>
  <c r="X233" i="8"/>
  <c r="B233" i="14"/>
  <c r="D233" i="14"/>
  <c r="T233" i="14"/>
  <c r="A233" i="14"/>
  <c r="I233" i="14"/>
  <c r="S233" i="14"/>
  <c r="E233" i="14"/>
  <c r="H233" i="14"/>
  <c r="C233" i="14"/>
  <c r="K233" i="14"/>
  <c r="U233" i="14"/>
  <c r="G233" i="14"/>
  <c r="V233" i="14"/>
  <c r="W233" i="14"/>
  <c r="B233" i="18"/>
  <c r="D233" i="18"/>
  <c r="E233" i="18"/>
  <c r="J233" i="18" s="1"/>
  <c r="C233" i="18"/>
  <c r="H233" i="18"/>
  <c r="G233" i="18"/>
  <c r="A233" i="18"/>
  <c r="L232" i="8"/>
  <c r="I232" i="8"/>
  <c r="H232" i="8"/>
  <c r="E232" i="8"/>
  <c r="D232" i="8"/>
  <c r="E232" i="19" s="1"/>
  <c r="C232" i="8"/>
  <c r="J232" i="8"/>
  <c r="G232" i="8"/>
  <c r="K232" i="8"/>
  <c r="X232" i="8"/>
  <c r="B232" i="8"/>
  <c r="C232" i="19" s="1"/>
  <c r="U232" i="8"/>
  <c r="I232" i="19" s="1"/>
  <c r="M232" i="8"/>
  <c r="B232" i="18"/>
  <c r="E232" i="18"/>
  <c r="G232" i="18"/>
  <c r="D232" i="18"/>
  <c r="C232" i="18"/>
  <c r="J232" i="18"/>
  <c r="I232" i="18" s="1"/>
  <c r="A232" i="18"/>
  <c r="H232" i="18"/>
  <c r="E232" i="14"/>
  <c r="G232" i="14"/>
  <c r="I232" i="14"/>
  <c r="S232" i="14"/>
  <c r="D232" i="14"/>
  <c r="C232" i="14"/>
  <c r="K232" i="14"/>
  <c r="W232" i="14"/>
  <c r="T232" i="14"/>
  <c r="U232" i="14"/>
  <c r="V232" i="14"/>
  <c r="H232" i="14"/>
  <c r="A232" i="14"/>
  <c r="B232" i="14"/>
  <c r="D231" i="8"/>
  <c r="E231" i="19" s="1"/>
  <c r="G231" i="8"/>
  <c r="D205" i="9" s="1"/>
  <c r="X231" i="8"/>
  <c r="M231" i="8"/>
  <c r="I231" i="8"/>
  <c r="U231" i="8"/>
  <c r="I231" i="19" s="1"/>
  <c r="E231" i="8"/>
  <c r="C231" i="8"/>
  <c r="K231" i="8"/>
  <c r="L231" i="8"/>
  <c r="H231" i="8"/>
  <c r="J231" i="8"/>
  <c r="B231" i="8"/>
  <c r="C231" i="19" s="1"/>
  <c r="D231" i="14"/>
  <c r="K231" i="14"/>
  <c r="T231" i="14"/>
  <c r="H231" i="14"/>
  <c r="I231" i="14"/>
  <c r="U231" i="14"/>
  <c r="V231" i="14"/>
  <c r="C231" i="14"/>
  <c r="B231" i="14"/>
  <c r="G231" i="14"/>
  <c r="E231" i="14"/>
  <c r="A231" i="14"/>
  <c r="S231" i="14"/>
  <c r="W231" i="14"/>
  <c r="E231" i="18"/>
  <c r="B231" i="18"/>
  <c r="A231" i="18"/>
  <c r="J231" i="18"/>
  <c r="L231" i="18" s="1"/>
  <c r="D231" i="18"/>
  <c r="C231" i="18"/>
  <c r="H231" i="18"/>
  <c r="G231" i="18"/>
  <c r="I231" i="18"/>
  <c r="C230" i="14"/>
  <c r="A230" i="14"/>
  <c r="E230" i="14"/>
  <c r="K230" i="14"/>
  <c r="H230" i="14"/>
  <c r="W230" i="14"/>
  <c r="B230" i="14"/>
  <c r="D230" i="14"/>
  <c r="I230" i="14"/>
  <c r="S230" i="14"/>
  <c r="G230" i="14"/>
  <c r="T230" i="14"/>
  <c r="U230" i="14"/>
  <c r="V230" i="14"/>
  <c r="L230" i="8"/>
  <c r="J230" i="8"/>
  <c r="K230" i="8"/>
  <c r="D230" i="8"/>
  <c r="E230" i="19" s="1"/>
  <c r="B230" i="8"/>
  <c r="C230" i="19" s="1"/>
  <c r="U230" i="8"/>
  <c r="I230" i="19" s="1"/>
  <c r="M230" i="8"/>
  <c r="E230" i="8"/>
  <c r="G230" i="8"/>
  <c r="H230" i="19" s="1"/>
  <c r="I230" i="8"/>
  <c r="H230" i="8"/>
  <c r="X230" i="8"/>
  <c r="C230" i="8"/>
  <c r="A230" i="18"/>
  <c r="J230" i="18"/>
  <c r="L230" i="18" s="1"/>
  <c r="B230" i="18"/>
  <c r="H230" i="18"/>
  <c r="E230" i="18"/>
  <c r="C230" i="18"/>
  <c r="D230" i="18"/>
  <c r="G230" i="18"/>
  <c r="I230" i="18"/>
  <c r="M230" i="18"/>
  <c r="I229" i="18"/>
  <c r="K229" i="18" s="1"/>
  <c r="M228" i="18"/>
  <c r="N228" i="18"/>
  <c r="W227" i="14"/>
  <c r="I227" i="14"/>
  <c r="E227" i="14"/>
  <c r="D227" i="14"/>
  <c r="U227" i="14"/>
  <c r="T227" i="14"/>
  <c r="H227" i="14"/>
  <c r="V227" i="14"/>
  <c r="G227" i="14"/>
  <c r="C227" i="14"/>
  <c r="B227" i="14"/>
  <c r="S227" i="14"/>
  <c r="K227" i="14"/>
  <c r="A227" i="14"/>
  <c r="L227" i="8"/>
  <c r="G227" i="8"/>
  <c r="C227" i="8"/>
  <c r="U227" i="8"/>
  <c r="I227" i="19" s="1"/>
  <c r="D227" i="8"/>
  <c r="E227" i="19" s="1"/>
  <c r="J227" i="8"/>
  <c r="H227" i="8"/>
  <c r="E227" i="8"/>
  <c r="K227" i="8"/>
  <c r="X227" i="8"/>
  <c r="B227" i="8"/>
  <c r="C227" i="19" s="1"/>
  <c r="M227" i="8"/>
  <c r="I227" i="8"/>
  <c r="G227" i="18"/>
  <c r="C227" i="18"/>
  <c r="I227" i="18"/>
  <c r="J227" i="18"/>
  <c r="L227" i="18" s="1"/>
  <c r="H227" i="18"/>
  <c r="A227" i="18"/>
  <c r="D227" i="18"/>
  <c r="B227" i="18"/>
  <c r="E227" i="18"/>
  <c r="M226" i="18"/>
  <c r="K226" i="18"/>
  <c r="L226" i="18"/>
  <c r="I225" i="18"/>
  <c r="K225" i="18" s="1"/>
  <c r="K223" i="18"/>
  <c r="M223" i="18"/>
  <c r="M224" i="18"/>
  <c r="L224" i="14"/>
  <c r="M224" i="14" s="1"/>
  <c r="N224" i="14" s="1"/>
  <c r="O224" i="14" s="1"/>
  <c r="P224" i="14" s="1"/>
  <c r="K224" i="18"/>
  <c r="L223" i="14"/>
  <c r="M223" i="14" s="1"/>
  <c r="N223" i="14" s="1"/>
  <c r="O223" i="14" s="1"/>
  <c r="P223" i="14" s="1"/>
  <c r="C222" i="14"/>
  <c r="E222" i="14"/>
  <c r="K222" i="14"/>
  <c r="G222" i="14"/>
  <c r="A222" i="14"/>
  <c r="H222" i="14"/>
  <c r="I222" i="14"/>
  <c r="V222" i="14"/>
  <c r="B222" i="14"/>
  <c r="D222" i="14"/>
  <c r="S222" i="14"/>
  <c r="T222" i="14"/>
  <c r="W222" i="14"/>
  <c r="U222" i="14"/>
  <c r="K222" i="8"/>
  <c r="H222" i="8"/>
  <c r="J222" i="8"/>
  <c r="L222" i="8"/>
  <c r="G222" i="8"/>
  <c r="I222" i="8"/>
  <c r="D222" i="8"/>
  <c r="E222" i="19" s="1"/>
  <c r="B222" i="8"/>
  <c r="C222" i="19" s="1"/>
  <c r="U222" i="8"/>
  <c r="I222" i="19" s="1"/>
  <c r="E222" i="8"/>
  <c r="X222" i="8"/>
  <c r="C222" i="8"/>
  <c r="M222" i="8"/>
  <c r="G222" i="18"/>
  <c r="H222" i="18"/>
  <c r="A222" i="18"/>
  <c r="E222" i="18"/>
  <c r="J222" i="18" s="1"/>
  <c r="C222" i="18"/>
  <c r="D222" i="18"/>
  <c r="B222" i="18"/>
  <c r="D214" i="13"/>
  <c r="K221" i="8"/>
  <c r="D221" i="8"/>
  <c r="E221" i="19" s="1"/>
  <c r="H221" i="8"/>
  <c r="E221" i="8"/>
  <c r="C221" i="8"/>
  <c r="I221" i="8"/>
  <c r="X221" i="8"/>
  <c r="B221" i="8"/>
  <c r="C221" i="19" s="1"/>
  <c r="M221" i="8"/>
  <c r="L221" i="8"/>
  <c r="G221" i="8"/>
  <c r="J221" i="8"/>
  <c r="U221" i="8"/>
  <c r="I221" i="19" s="1"/>
  <c r="C195" i="9"/>
  <c r="C221" i="14"/>
  <c r="I221" i="14"/>
  <c r="T221" i="14"/>
  <c r="A221" i="14"/>
  <c r="G221" i="14"/>
  <c r="W221" i="14"/>
  <c r="E221" i="14"/>
  <c r="H221" i="14"/>
  <c r="S221" i="14"/>
  <c r="K221" i="14"/>
  <c r="U221" i="14"/>
  <c r="V221" i="14"/>
  <c r="B221" i="14"/>
  <c r="D221" i="14"/>
  <c r="B221" i="18"/>
  <c r="D221" i="18"/>
  <c r="I221" i="18"/>
  <c r="H221" i="18"/>
  <c r="E221" i="18"/>
  <c r="C221" i="18"/>
  <c r="J221" i="18"/>
  <c r="L221" i="18" s="1"/>
  <c r="G221" i="18"/>
  <c r="A221" i="18"/>
  <c r="A164" i="13"/>
  <c r="U180" i="13"/>
  <c r="AG180" i="13" s="1"/>
  <c r="L185" i="13"/>
  <c r="N185" i="13" s="1"/>
  <c r="O185" i="13" s="1"/>
  <c r="Q185" i="13" s="1"/>
  <c r="R185" i="13" s="1"/>
  <c r="G174" i="13"/>
  <c r="B180" i="13"/>
  <c r="M220" i="18"/>
  <c r="N220" i="18"/>
  <c r="K220" i="18"/>
  <c r="L162" i="13"/>
  <c r="N162" i="13" s="1"/>
  <c r="O162" i="13" s="1"/>
  <c r="Q162" i="13" s="1"/>
  <c r="R162" i="13" s="1"/>
  <c r="L211" i="13"/>
  <c r="N211" i="13" s="1"/>
  <c r="O211" i="13" s="1"/>
  <c r="Q211" i="13" s="1"/>
  <c r="R211" i="13" s="1"/>
  <c r="G214" i="13"/>
  <c r="X219" i="8"/>
  <c r="D219" i="8"/>
  <c r="E219" i="19" s="1"/>
  <c r="U219" i="8"/>
  <c r="I219" i="19" s="1"/>
  <c r="G219" i="8"/>
  <c r="I219" i="8"/>
  <c r="H219" i="8"/>
  <c r="C219" i="8"/>
  <c r="M219" i="8"/>
  <c r="J219" i="8"/>
  <c r="L219" i="8"/>
  <c r="B219" i="8"/>
  <c r="C219" i="19" s="1"/>
  <c r="K219" i="8"/>
  <c r="E219" i="8"/>
  <c r="F219" i="19" s="1"/>
  <c r="E219" i="14"/>
  <c r="A219" i="14"/>
  <c r="U219" i="14"/>
  <c r="W219" i="14"/>
  <c r="G219" i="14"/>
  <c r="S219" i="14"/>
  <c r="I219" i="14"/>
  <c r="H219" i="14"/>
  <c r="T219" i="14"/>
  <c r="D219" i="14"/>
  <c r="K219" i="14"/>
  <c r="V219" i="14"/>
  <c r="C219" i="14"/>
  <c r="B219" i="14"/>
  <c r="B219" i="18"/>
  <c r="I219" i="18"/>
  <c r="H219" i="18"/>
  <c r="E219" i="18"/>
  <c r="D219" i="18"/>
  <c r="C219" i="18"/>
  <c r="A219" i="18"/>
  <c r="G219" i="18"/>
  <c r="J219" i="18"/>
  <c r="L219" i="18" s="1"/>
  <c r="A180" i="13"/>
  <c r="A174" i="13"/>
  <c r="V180" i="13"/>
  <c r="Z180" i="13" s="1"/>
  <c r="X180" i="14" s="1"/>
  <c r="H180" i="13"/>
  <c r="G180" i="13"/>
  <c r="G164" i="13"/>
  <c r="U174" i="13"/>
  <c r="AG174" i="13" s="1"/>
  <c r="H174" i="13"/>
  <c r="E174" i="13"/>
  <c r="L162" i="14"/>
  <c r="M162" i="14" s="1"/>
  <c r="N162" i="14" s="1"/>
  <c r="O162" i="14" s="1"/>
  <c r="P162" i="14" s="1"/>
  <c r="J180" i="13"/>
  <c r="L180" i="13" s="1"/>
  <c r="M180" i="13" s="1"/>
  <c r="C174" i="13"/>
  <c r="C164" i="13"/>
  <c r="C180" i="13"/>
  <c r="I217" i="18"/>
  <c r="K217" i="18"/>
  <c r="E218" i="14"/>
  <c r="G218" i="14"/>
  <c r="U218" i="14"/>
  <c r="W218" i="14"/>
  <c r="V218" i="14"/>
  <c r="T218" i="14"/>
  <c r="K218" i="14"/>
  <c r="C218" i="14"/>
  <c r="I218" i="14"/>
  <c r="S218" i="14"/>
  <c r="H218" i="14"/>
  <c r="A218" i="14"/>
  <c r="B218" i="14"/>
  <c r="D218" i="14"/>
  <c r="K218" i="8"/>
  <c r="H218" i="8"/>
  <c r="X218" i="8"/>
  <c r="C218" i="8"/>
  <c r="U218" i="8"/>
  <c r="I218" i="19" s="1"/>
  <c r="E218" i="8"/>
  <c r="G218" i="8"/>
  <c r="H218" i="19" s="1"/>
  <c r="J218" i="8"/>
  <c r="D218" i="8"/>
  <c r="E218" i="19" s="1"/>
  <c r="B218" i="8"/>
  <c r="C218" i="19" s="1"/>
  <c r="M218" i="8"/>
  <c r="I218" i="8"/>
  <c r="L218" i="8"/>
  <c r="D218" i="18"/>
  <c r="G218" i="18"/>
  <c r="C218" i="18"/>
  <c r="B218" i="18"/>
  <c r="E218" i="18"/>
  <c r="J218" i="18" s="1"/>
  <c r="A218" i="18"/>
  <c r="H218" i="18"/>
  <c r="M216" i="18"/>
  <c r="K216" i="18"/>
  <c r="I215" i="18"/>
  <c r="K215" i="18" s="1"/>
  <c r="E158" i="13"/>
  <c r="V214" i="13"/>
  <c r="Z214" i="13" s="1"/>
  <c r="X214" i="14" s="1"/>
  <c r="L211" i="14"/>
  <c r="M211" i="14" s="1"/>
  <c r="N211" i="14" s="1"/>
  <c r="O211" i="14" s="1"/>
  <c r="P211" i="14" s="1"/>
  <c r="J214" i="13"/>
  <c r="J214" i="14" s="1"/>
  <c r="A214" i="13"/>
  <c r="C214" i="13"/>
  <c r="C214" i="14"/>
  <c r="I214" i="14"/>
  <c r="A214" i="14"/>
  <c r="H214" i="14"/>
  <c r="T214" i="14"/>
  <c r="G214" i="14"/>
  <c r="V214" i="14"/>
  <c r="B214" i="14"/>
  <c r="D214" i="14"/>
  <c r="E214" i="14"/>
  <c r="S214" i="14"/>
  <c r="K214" i="14"/>
  <c r="W214" i="14"/>
  <c r="U214" i="14"/>
  <c r="U214" i="13"/>
  <c r="AG214" i="13" s="1"/>
  <c r="H214" i="13"/>
  <c r="E214" i="13"/>
  <c r="I214" i="8"/>
  <c r="E214" i="8"/>
  <c r="K214" i="8"/>
  <c r="D214" i="8"/>
  <c r="E214" i="19" s="1"/>
  <c r="B214" i="8"/>
  <c r="C214" i="19" s="1"/>
  <c r="U214" i="8"/>
  <c r="I214" i="19" s="1"/>
  <c r="L214" i="8"/>
  <c r="H214" i="8"/>
  <c r="J214" i="8"/>
  <c r="G214" i="8"/>
  <c r="X214" i="8"/>
  <c r="C214" i="8"/>
  <c r="M214" i="8"/>
  <c r="B214" i="18"/>
  <c r="I214" i="18"/>
  <c r="E214" i="18"/>
  <c r="H214" i="18"/>
  <c r="A214" i="18"/>
  <c r="C214" i="18"/>
  <c r="D214" i="18"/>
  <c r="J214" i="18"/>
  <c r="L214" i="18" s="1"/>
  <c r="G214" i="18"/>
  <c r="I213" i="18"/>
  <c r="K213" i="18" s="1"/>
  <c r="J212" i="8"/>
  <c r="D212" i="8"/>
  <c r="E212" i="19" s="1"/>
  <c r="B212" i="8"/>
  <c r="C212" i="19" s="1"/>
  <c r="U212" i="8"/>
  <c r="I212" i="19" s="1"/>
  <c r="G212" i="8"/>
  <c r="K212" i="8"/>
  <c r="I212" i="8"/>
  <c r="E212" i="8"/>
  <c r="F212" i="19" s="1"/>
  <c r="X212" i="8"/>
  <c r="C212" i="8"/>
  <c r="M212" i="8"/>
  <c r="H212" i="8"/>
  <c r="L212" i="8"/>
  <c r="B212" i="14"/>
  <c r="G212" i="14"/>
  <c r="E212" i="14"/>
  <c r="S212" i="14"/>
  <c r="W212" i="14"/>
  <c r="I212" i="14"/>
  <c r="U212" i="14"/>
  <c r="D212" i="14"/>
  <c r="C212" i="14"/>
  <c r="T212" i="14"/>
  <c r="H212" i="14"/>
  <c r="A212" i="14"/>
  <c r="K212" i="14"/>
  <c r="V212" i="14"/>
  <c r="E212" i="18"/>
  <c r="C212" i="18"/>
  <c r="G212" i="18"/>
  <c r="J212" i="18"/>
  <c r="L212" i="18" s="1"/>
  <c r="I212" i="18"/>
  <c r="B212" i="18"/>
  <c r="D212" i="18"/>
  <c r="H212" i="18"/>
  <c r="A212" i="18"/>
  <c r="I211" i="18"/>
  <c r="K211" i="18" s="1"/>
  <c r="L165" i="13"/>
  <c r="N165" i="13" s="1"/>
  <c r="O165" i="13" s="1"/>
  <c r="Q165" i="13" s="1"/>
  <c r="R165" i="13" s="1"/>
  <c r="L207" i="13"/>
  <c r="N207" i="13" s="1"/>
  <c r="O207" i="13" s="1"/>
  <c r="Q207" i="13" s="1"/>
  <c r="R207" i="13" s="1"/>
  <c r="L210" i="8"/>
  <c r="E210" i="8"/>
  <c r="I210" i="8"/>
  <c r="K210" i="8"/>
  <c r="X210" i="8"/>
  <c r="C210" i="8"/>
  <c r="M210" i="8"/>
  <c r="H210" i="8"/>
  <c r="J210" i="8"/>
  <c r="G210" i="8"/>
  <c r="H210" i="19" s="1"/>
  <c r="D210" i="8"/>
  <c r="E210" i="19" s="1"/>
  <c r="B210" i="8"/>
  <c r="C210" i="19" s="1"/>
  <c r="U210" i="8"/>
  <c r="I210" i="19" s="1"/>
  <c r="K210" i="14"/>
  <c r="W210" i="14"/>
  <c r="T210" i="14"/>
  <c r="S210" i="14"/>
  <c r="I210" i="14"/>
  <c r="B210" i="14"/>
  <c r="D210" i="14"/>
  <c r="E210" i="14"/>
  <c r="V210" i="14"/>
  <c r="H210" i="14"/>
  <c r="U210" i="14"/>
  <c r="A210" i="14"/>
  <c r="G210" i="14"/>
  <c r="C210" i="14"/>
  <c r="B210" i="18"/>
  <c r="E210" i="18"/>
  <c r="H210" i="18"/>
  <c r="A210" i="18"/>
  <c r="C210" i="18"/>
  <c r="D210" i="18"/>
  <c r="I210" i="18"/>
  <c r="J210" i="18"/>
  <c r="L210" i="18" s="1"/>
  <c r="G210" i="18"/>
  <c r="M209" i="13"/>
  <c r="B209" i="14"/>
  <c r="D209" i="14"/>
  <c r="I209" i="14"/>
  <c r="H209" i="14"/>
  <c r="T209" i="14"/>
  <c r="A209" i="14"/>
  <c r="U209" i="14"/>
  <c r="V209" i="14"/>
  <c r="C209" i="14"/>
  <c r="K209" i="14"/>
  <c r="G209" i="14"/>
  <c r="S209" i="14"/>
  <c r="E209" i="14"/>
  <c r="W209" i="14"/>
  <c r="J209" i="14"/>
  <c r="B209" i="18"/>
  <c r="C209" i="18"/>
  <c r="J209" i="18"/>
  <c r="L209" i="18" s="1"/>
  <c r="G209" i="18"/>
  <c r="E209" i="18"/>
  <c r="D209" i="18"/>
  <c r="I209" i="18"/>
  <c r="A209" i="18"/>
  <c r="H209" i="18"/>
  <c r="J209" i="8"/>
  <c r="G209" i="8"/>
  <c r="D209" i="8"/>
  <c r="E209" i="19" s="1"/>
  <c r="X209" i="8"/>
  <c r="M209" i="8"/>
  <c r="I209" i="8"/>
  <c r="E209" i="8"/>
  <c r="K209" i="8"/>
  <c r="C209" i="8"/>
  <c r="B209" i="8"/>
  <c r="C209" i="19" s="1"/>
  <c r="U209" i="8"/>
  <c r="I209" i="19" s="1"/>
  <c r="L209" i="8"/>
  <c r="H209" i="8"/>
  <c r="L208" i="18"/>
  <c r="N208" i="18"/>
  <c r="M208" i="18"/>
  <c r="I207" i="18"/>
  <c r="K207" i="18" s="1"/>
  <c r="L207" i="14"/>
  <c r="M207" i="14" s="1"/>
  <c r="N207" i="14" s="1"/>
  <c r="O207" i="14" s="1"/>
  <c r="P207" i="14" s="1"/>
  <c r="B206" i="14"/>
  <c r="D206" i="14"/>
  <c r="G206" i="14"/>
  <c r="E206" i="14"/>
  <c r="K206" i="14"/>
  <c r="T206" i="14"/>
  <c r="C206" i="14"/>
  <c r="S206" i="14"/>
  <c r="A206" i="14"/>
  <c r="H206" i="14"/>
  <c r="I206" i="14"/>
  <c r="W206" i="14"/>
  <c r="U206" i="14"/>
  <c r="V206" i="14"/>
  <c r="G206" i="8"/>
  <c r="L206" i="8"/>
  <c r="X206" i="8"/>
  <c r="C206" i="8"/>
  <c r="M206" i="8"/>
  <c r="E206" i="8"/>
  <c r="I206" i="8"/>
  <c r="J206" i="8"/>
  <c r="D206" i="8"/>
  <c r="E206" i="19" s="1"/>
  <c r="B206" i="8"/>
  <c r="C206" i="19" s="1"/>
  <c r="U206" i="8"/>
  <c r="I206" i="19" s="1"/>
  <c r="K206" i="8"/>
  <c r="H206" i="8"/>
  <c r="A206" i="18"/>
  <c r="B206" i="18"/>
  <c r="G206" i="18"/>
  <c r="C206" i="18"/>
  <c r="D206" i="18"/>
  <c r="E206" i="18"/>
  <c r="J206" i="18" s="1"/>
  <c r="H206" i="18"/>
  <c r="I205" i="18"/>
  <c r="K205" i="18" s="1"/>
  <c r="X204" i="8"/>
  <c r="C204" i="8"/>
  <c r="M204" i="8"/>
  <c r="H204" i="8"/>
  <c r="G204" i="8"/>
  <c r="D204" i="8"/>
  <c r="E204" i="19" s="1"/>
  <c r="B204" i="8"/>
  <c r="C204" i="19" s="1"/>
  <c r="U204" i="8"/>
  <c r="I204" i="19" s="1"/>
  <c r="L204" i="8"/>
  <c r="E204" i="8"/>
  <c r="K204" i="8"/>
  <c r="J204" i="8"/>
  <c r="I204" i="8"/>
  <c r="B204" i="14"/>
  <c r="E204" i="14"/>
  <c r="H204" i="14"/>
  <c r="I204" i="14"/>
  <c r="A204" i="14"/>
  <c r="K204" i="14"/>
  <c r="D204" i="14"/>
  <c r="C204" i="14"/>
  <c r="T204" i="14"/>
  <c r="G204" i="14"/>
  <c r="S204" i="14"/>
  <c r="W204" i="14"/>
  <c r="U204" i="14"/>
  <c r="V204" i="14"/>
  <c r="A204" i="18"/>
  <c r="C204" i="18"/>
  <c r="B204" i="18"/>
  <c r="H204" i="18"/>
  <c r="E204" i="18"/>
  <c r="J204" i="18" s="1"/>
  <c r="D204" i="18"/>
  <c r="G204" i="18"/>
  <c r="I203" i="18"/>
  <c r="K203" i="18" s="1"/>
  <c r="B202" i="14"/>
  <c r="D202" i="14"/>
  <c r="V202" i="14"/>
  <c r="G202" i="14"/>
  <c r="K202" i="14"/>
  <c r="W202" i="14"/>
  <c r="U202" i="14"/>
  <c r="A202" i="14"/>
  <c r="I202" i="14"/>
  <c r="C202" i="14"/>
  <c r="E202" i="14"/>
  <c r="T202" i="14"/>
  <c r="S202" i="14"/>
  <c r="H202" i="14"/>
  <c r="L202" i="8"/>
  <c r="X202" i="8"/>
  <c r="C202" i="8"/>
  <c r="U202" i="8"/>
  <c r="I202" i="19" s="1"/>
  <c r="M202" i="8"/>
  <c r="I202" i="8"/>
  <c r="J202" i="8"/>
  <c r="D202" i="8"/>
  <c r="E202" i="19" s="1"/>
  <c r="B202" i="8"/>
  <c r="C202" i="19" s="1"/>
  <c r="G202" i="8"/>
  <c r="H202" i="8"/>
  <c r="E202" i="8"/>
  <c r="K202" i="8"/>
  <c r="C202" i="18"/>
  <c r="B202" i="18"/>
  <c r="I202" i="18"/>
  <c r="J202" i="18"/>
  <c r="L202" i="18" s="1"/>
  <c r="G202" i="18"/>
  <c r="A202" i="18"/>
  <c r="D202" i="18"/>
  <c r="H202" i="18"/>
  <c r="E202" i="18"/>
  <c r="B201" i="14"/>
  <c r="D201" i="14"/>
  <c r="K201" i="14"/>
  <c r="H201" i="14"/>
  <c r="A201" i="14"/>
  <c r="S201" i="14"/>
  <c r="W201" i="14"/>
  <c r="T201" i="14"/>
  <c r="U201" i="14"/>
  <c r="C201" i="14"/>
  <c r="I201" i="14"/>
  <c r="G201" i="14"/>
  <c r="E201" i="14"/>
  <c r="V201" i="14"/>
  <c r="K201" i="8"/>
  <c r="B201" i="8"/>
  <c r="C201" i="19" s="1"/>
  <c r="D201" i="8"/>
  <c r="E201" i="19" s="1"/>
  <c r="X201" i="8"/>
  <c r="M201" i="8"/>
  <c r="G201" i="8"/>
  <c r="H201" i="8"/>
  <c r="C201" i="8"/>
  <c r="U201" i="8"/>
  <c r="I201" i="19" s="1"/>
  <c r="J201" i="8"/>
  <c r="E201" i="8"/>
  <c r="L201" i="8"/>
  <c r="I201" i="8"/>
  <c r="B201" i="18"/>
  <c r="D201" i="18"/>
  <c r="I201" i="18"/>
  <c r="E201" i="18"/>
  <c r="G201" i="18"/>
  <c r="C201" i="18"/>
  <c r="J201" i="18"/>
  <c r="L201" i="18" s="1"/>
  <c r="H201" i="18"/>
  <c r="A201" i="18"/>
  <c r="K200" i="18"/>
  <c r="M200" i="18"/>
  <c r="N200" i="18"/>
  <c r="I199" i="18"/>
  <c r="K199" i="18" s="1"/>
  <c r="H198" i="8"/>
  <c r="X198" i="8"/>
  <c r="C198" i="8"/>
  <c r="I198" i="8"/>
  <c r="D198" i="8"/>
  <c r="E198" i="19" s="1"/>
  <c r="B198" i="8"/>
  <c r="C198" i="19" s="1"/>
  <c r="U198" i="8"/>
  <c r="I198" i="19" s="1"/>
  <c r="M198" i="8"/>
  <c r="L198" i="8"/>
  <c r="E198" i="8"/>
  <c r="J198" i="8"/>
  <c r="K198" i="8"/>
  <c r="G198" i="8"/>
  <c r="H198" i="19" s="1"/>
  <c r="C198" i="14"/>
  <c r="G198" i="14"/>
  <c r="H198" i="14"/>
  <c r="E198" i="14"/>
  <c r="K198" i="14"/>
  <c r="I198" i="14"/>
  <c r="U198" i="14"/>
  <c r="B198" i="14"/>
  <c r="D198" i="14"/>
  <c r="S198" i="14"/>
  <c r="T198" i="14"/>
  <c r="A198" i="14"/>
  <c r="W198" i="14"/>
  <c r="V198" i="14"/>
  <c r="G198" i="18"/>
  <c r="E198" i="18"/>
  <c r="J198" i="18" s="1"/>
  <c r="B198" i="18"/>
  <c r="A198" i="18"/>
  <c r="H198" i="18"/>
  <c r="C198" i="18"/>
  <c r="D198" i="18"/>
  <c r="K86" i="18"/>
  <c r="J197" i="8"/>
  <c r="X197" i="8"/>
  <c r="B197" i="8"/>
  <c r="C197" i="19" s="1"/>
  <c r="M197" i="8"/>
  <c r="K197" i="8"/>
  <c r="I197" i="8"/>
  <c r="G197" i="8"/>
  <c r="D197" i="8"/>
  <c r="E197" i="19" s="1"/>
  <c r="L197" i="8"/>
  <c r="C197" i="8"/>
  <c r="U197" i="8"/>
  <c r="I197" i="19" s="1"/>
  <c r="H197" i="8"/>
  <c r="E197" i="8"/>
  <c r="B197" i="14"/>
  <c r="D197" i="14"/>
  <c r="T197" i="14"/>
  <c r="S197" i="14"/>
  <c r="K197" i="14"/>
  <c r="W197" i="14"/>
  <c r="U197" i="14"/>
  <c r="C197" i="14"/>
  <c r="G197" i="14"/>
  <c r="A197" i="14"/>
  <c r="E197" i="14"/>
  <c r="H197" i="14"/>
  <c r="I197" i="14"/>
  <c r="V197" i="14"/>
  <c r="B197" i="18"/>
  <c r="D197" i="18"/>
  <c r="I197" i="18"/>
  <c r="H197" i="18"/>
  <c r="A197" i="18"/>
  <c r="C197" i="18"/>
  <c r="J197" i="18"/>
  <c r="L197" i="18" s="1"/>
  <c r="E197" i="18"/>
  <c r="G197" i="18"/>
  <c r="D196" i="14"/>
  <c r="C196" i="14"/>
  <c r="T196" i="14"/>
  <c r="G196" i="14"/>
  <c r="E196" i="14"/>
  <c r="U196" i="14"/>
  <c r="B196" i="14"/>
  <c r="H196" i="14"/>
  <c r="S196" i="14"/>
  <c r="A196" i="14"/>
  <c r="I196" i="14"/>
  <c r="K196" i="14"/>
  <c r="W196" i="14"/>
  <c r="V196" i="14"/>
  <c r="X196" i="8"/>
  <c r="C196" i="8"/>
  <c r="U196" i="8"/>
  <c r="I196" i="19" s="1"/>
  <c r="M196" i="8"/>
  <c r="G196" i="8"/>
  <c r="L196" i="8"/>
  <c r="H196" i="8"/>
  <c r="E196" i="8"/>
  <c r="D196" i="8"/>
  <c r="E196" i="19" s="1"/>
  <c r="B196" i="8"/>
  <c r="C196" i="19" s="1"/>
  <c r="I196" i="8"/>
  <c r="J196" i="8"/>
  <c r="K196" i="8"/>
  <c r="G196" i="18"/>
  <c r="E196" i="18"/>
  <c r="B196" i="18"/>
  <c r="D196" i="18"/>
  <c r="A196" i="18"/>
  <c r="J196" i="18"/>
  <c r="I196" i="18" s="1"/>
  <c r="K196" i="18" s="1"/>
  <c r="H196" i="18"/>
  <c r="C196" i="18"/>
  <c r="U195" i="8"/>
  <c r="I195" i="19" s="1"/>
  <c r="H195" i="8"/>
  <c r="E195" i="8"/>
  <c r="F195" i="19" s="1"/>
  <c r="X195" i="8"/>
  <c r="L195" i="8"/>
  <c r="K195" i="8"/>
  <c r="D195" i="8"/>
  <c r="E195" i="19" s="1"/>
  <c r="C195" i="8"/>
  <c r="I195" i="8"/>
  <c r="J195" i="8"/>
  <c r="G195" i="8"/>
  <c r="M195" i="8"/>
  <c r="B195" i="8"/>
  <c r="C195" i="19" s="1"/>
  <c r="K195" i="14"/>
  <c r="D195" i="14"/>
  <c r="V195" i="14"/>
  <c r="H195" i="14"/>
  <c r="G195" i="14"/>
  <c r="I195" i="14"/>
  <c r="T195" i="14"/>
  <c r="C195" i="14"/>
  <c r="B195" i="14"/>
  <c r="S195" i="14"/>
  <c r="A195" i="14"/>
  <c r="U195" i="14"/>
  <c r="W195" i="14"/>
  <c r="E195" i="14"/>
  <c r="B195" i="18"/>
  <c r="C195" i="18"/>
  <c r="I195" i="18"/>
  <c r="G195" i="18"/>
  <c r="A195" i="18"/>
  <c r="H195" i="18"/>
  <c r="D195" i="18"/>
  <c r="J195" i="18"/>
  <c r="L195" i="18" s="1"/>
  <c r="E195" i="18"/>
  <c r="I194" i="8"/>
  <c r="K194" i="8"/>
  <c r="H194" i="8"/>
  <c r="E194" i="8"/>
  <c r="D194" i="8"/>
  <c r="E194" i="19" s="1"/>
  <c r="B194" i="8"/>
  <c r="C194" i="19" s="1"/>
  <c r="U194" i="8"/>
  <c r="I194" i="19" s="1"/>
  <c r="M194" i="8"/>
  <c r="G194" i="8"/>
  <c r="H194" i="19" s="1"/>
  <c r="L194" i="8"/>
  <c r="J194" i="8"/>
  <c r="X194" i="8"/>
  <c r="C194" i="8"/>
  <c r="T194" i="14"/>
  <c r="A194" i="14"/>
  <c r="U194" i="14"/>
  <c r="E194" i="14"/>
  <c r="K194" i="14"/>
  <c r="H194" i="14"/>
  <c r="S194" i="14"/>
  <c r="C194" i="14"/>
  <c r="G194" i="14"/>
  <c r="V194" i="14"/>
  <c r="W194" i="14"/>
  <c r="I194" i="14"/>
  <c r="B194" i="14"/>
  <c r="D194" i="14"/>
  <c r="C194" i="18"/>
  <c r="D194" i="18"/>
  <c r="J194" i="18"/>
  <c r="N194" i="18" s="1"/>
  <c r="H194" i="18"/>
  <c r="A194" i="18"/>
  <c r="B194" i="18"/>
  <c r="I194" i="18"/>
  <c r="E194" i="18"/>
  <c r="G194" i="18"/>
  <c r="I193" i="18"/>
  <c r="K193" i="18" s="1"/>
  <c r="I192" i="18"/>
  <c r="K192" i="18" s="1"/>
  <c r="I191" i="18"/>
  <c r="K191" i="18" s="1"/>
  <c r="A158" i="13"/>
  <c r="V158" i="13"/>
  <c r="Z158" i="13" s="1"/>
  <c r="X158" i="14" s="1"/>
  <c r="L184" i="13"/>
  <c r="N184" i="13" s="1"/>
  <c r="O184" i="13" s="1"/>
  <c r="Q184" i="13" s="1"/>
  <c r="R184" i="13" s="1"/>
  <c r="L165" i="14"/>
  <c r="M165" i="14" s="1"/>
  <c r="N165" i="14" s="1"/>
  <c r="O165" i="14" s="1"/>
  <c r="P165" i="14" s="1"/>
  <c r="C158" i="13"/>
  <c r="B190" i="14"/>
  <c r="D190" i="14"/>
  <c r="A190" i="14"/>
  <c r="T190" i="14"/>
  <c r="E190" i="14"/>
  <c r="I190" i="14"/>
  <c r="U190" i="14"/>
  <c r="V190" i="14"/>
  <c r="C190" i="14"/>
  <c r="H190" i="14"/>
  <c r="S190" i="14"/>
  <c r="K190" i="14"/>
  <c r="G190" i="14"/>
  <c r="W190" i="14"/>
  <c r="G190" i="8"/>
  <c r="D190" i="8"/>
  <c r="E190" i="19" s="1"/>
  <c r="B190" i="8"/>
  <c r="C190" i="19" s="1"/>
  <c r="X190" i="8"/>
  <c r="L190" i="8"/>
  <c r="C190" i="8"/>
  <c r="K190" i="8"/>
  <c r="H190" i="8"/>
  <c r="E190" i="8"/>
  <c r="I190" i="8"/>
  <c r="J190" i="8"/>
  <c r="U190" i="8"/>
  <c r="I190" i="19" s="1"/>
  <c r="M190" i="8"/>
  <c r="B190" i="18"/>
  <c r="A190" i="18"/>
  <c r="C190" i="18"/>
  <c r="D190" i="18"/>
  <c r="G190" i="18"/>
  <c r="H190" i="18"/>
  <c r="E190" i="18"/>
  <c r="J190" i="18" s="1"/>
  <c r="I190" i="18" s="1"/>
  <c r="I189" i="18"/>
  <c r="K189" i="18" s="1"/>
  <c r="B188" i="14"/>
  <c r="G188" i="14"/>
  <c r="A188" i="14"/>
  <c r="S188" i="14"/>
  <c r="W188" i="14"/>
  <c r="K188" i="14"/>
  <c r="V188" i="14"/>
  <c r="D188" i="14"/>
  <c r="C188" i="14"/>
  <c r="T188" i="14"/>
  <c r="E188" i="14"/>
  <c r="H188" i="14"/>
  <c r="I188" i="14"/>
  <c r="U188" i="14"/>
  <c r="G188" i="8"/>
  <c r="H188" i="19" s="1"/>
  <c r="J188" i="8"/>
  <c r="L188" i="8"/>
  <c r="I188" i="8"/>
  <c r="X188" i="8"/>
  <c r="C188" i="8"/>
  <c r="H188" i="8"/>
  <c r="K188" i="8"/>
  <c r="E188" i="8"/>
  <c r="D188" i="8"/>
  <c r="E188" i="19" s="1"/>
  <c r="B188" i="8"/>
  <c r="C188" i="19" s="1"/>
  <c r="U188" i="8"/>
  <c r="I188" i="19" s="1"/>
  <c r="M188" i="8"/>
  <c r="G188" i="18"/>
  <c r="H188" i="18"/>
  <c r="A188" i="18"/>
  <c r="E188" i="18"/>
  <c r="J188" i="18" s="1"/>
  <c r="C188" i="18"/>
  <c r="D188" i="18"/>
  <c r="B188" i="18"/>
  <c r="X187" i="8"/>
  <c r="B187" i="8"/>
  <c r="C187" i="19" s="1"/>
  <c r="U187" i="8"/>
  <c r="I187" i="19" s="1"/>
  <c r="M187" i="8"/>
  <c r="K187" i="8"/>
  <c r="H187" i="8"/>
  <c r="E187" i="8"/>
  <c r="D187" i="8"/>
  <c r="E187" i="19" s="1"/>
  <c r="C187" i="8"/>
  <c r="J187" i="8"/>
  <c r="I187" i="8"/>
  <c r="L187" i="8"/>
  <c r="G187" i="8"/>
  <c r="U187" i="14"/>
  <c r="A187" i="14"/>
  <c r="E187" i="14"/>
  <c r="I187" i="14"/>
  <c r="T187" i="14"/>
  <c r="D187" i="14"/>
  <c r="K187" i="14"/>
  <c r="S187" i="14"/>
  <c r="V187" i="14"/>
  <c r="W187" i="14"/>
  <c r="H187" i="14"/>
  <c r="G187" i="14"/>
  <c r="C187" i="14"/>
  <c r="B187" i="14"/>
  <c r="B187" i="18"/>
  <c r="C187" i="18"/>
  <c r="D187" i="18"/>
  <c r="G187" i="18"/>
  <c r="A187" i="18"/>
  <c r="I187" i="18"/>
  <c r="H187" i="18"/>
  <c r="J187" i="18"/>
  <c r="L187" i="18" s="1"/>
  <c r="E187" i="18"/>
  <c r="M185" i="18"/>
  <c r="M186" i="13"/>
  <c r="B186" i="14"/>
  <c r="D186" i="14"/>
  <c r="J186" i="14"/>
  <c r="E186" i="14"/>
  <c r="U186" i="14"/>
  <c r="S186" i="14"/>
  <c r="A186" i="14"/>
  <c r="C186" i="14"/>
  <c r="T186" i="14"/>
  <c r="I186" i="14"/>
  <c r="G186" i="14"/>
  <c r="W186" i="14"/>
  <c r="V186" i="14"/>
  <c r="H186" i="14"/>
  <c r="K186" i="14"/>
  <c r="I186" i="8"/>
  <c r="K186" i="8"/>
  <c r="D186" i="8"/>
  <c r="E186" i="19" s="1"/>
  <c r="B186" i="8"/>
  <c r="C186" i="19" s="1"/>
  <c r="G186" i="8"/>
  <c r="E186" i="8"/>
  <c r="H186" i="8"/>
  <c r="X186" i="8"/>
  <c r="C186" i="8"/>
  <c r="L186" i="8"/>
  <c r="J186" i="8"/>
  <c r="U186" i="8"/>
  <c r="I186" i="19" s="1"/>
  <c r="M186" i="8"/>
  <c r="C186" i="18"/>
  <c r="D186" i="18"/>
  <c r="G186" i="18"/>
  <c r="H186" i="18"/>
  <c r="A186" i="18"/>
  <c r="B186" i="18"/>
  <c r="E186" i="18"/>
  <c r="J186" i="18" s="1"/>
  <c r="L185" i="14"/>
  <c r="M185" i="14" s="1"/>
  <c r="N185" i="14" s="1"/>
  <c r="O185" i="14" s="1"/>
  <c r="P185" i="14" s="1"/>
  <c r="N185" i="18"/>
  <c r="K185" i="18"/>
  <c r="I184" i="18"/>
  <c r="K184" i="18" s="1"/>
  <c r="L184" i="14"/>
  <c r="M184" i="14" s="1"/>
  <c r="N184" i="14" s="1"/>
  <c r="O184" i="14" s="1"/>
  <c r="P184" i="14" s="1"/>
  <c r="M183" i="18"/>
  <c r="K183" i="18"/>
  <c r="B182" i="14"/>
  <c r="D182" i="14"/>
  <c r="A182" i="14"/>
  <c r="H182" i="14"/>
  <c r="E182" i="14"/>
  <c r="K182" i="14"/>
  <c r="T182" i="14"/>
  <c r="W182" i="14"/>
  <c r="V182" i="14"/>
  <c r="C182" i="14"/>
  <c r="S182" i="14"/>
  <c r="I182" i="14"/>
  <c r="G182" i="14"/>
  <c r="U182" i="14"/>
  <c r="K182" i="8"/>
  <c r="H182" i="8"/>
  <c r="X182" i="8"/>
  <c r="C182" i="8"/>
  <c r="U182" i="8"/>
  <c r="I182" i="19" s="1"/>
  <c r="M182" i="8"/>
  <c r="J182" i="8"/>
  <c r="L182" i="8"/>
  <c r="E182" i="8"/>
  <c r="I182" i="8"/>
  <c r="G182" i="8"/>
  <c r="D182" i="8"/>
  <c r="E182" i="19" s="1"/>
  <c r="B182" i="8"/>
  <c r="C182" i="19" s="1"/>
  <c r="B182" i="18"/>
  <c r="J182" i="18"/>
  <c r="L182" i="18" s="1"/>
  <c r="H182" i="18"/>
  <c r="I182" i="18"/>
  <c r="C182" i="18"/>
  <c r="D182" i="18"/>
  <c r="G182" i="18"/>
  <c r="E182" i="18"/>
  <c r="A182" i="18"/>
  <c r="M181" i="18"/>
  <c r="N181" i="18"/>
  <c r="K181" i="18"/>
  <c r="I174" i="8"/>
  <c r="H174" i="8"/>
  <c r="L174" i="8"/>
  <c r="E174" i="8"/>
  <c r="D174" i="8"/>
  <c r="E174" i="19" s="1"/>
  <c r="B174" i="8"/>
  <c r="C174" i="19" s="1"/>
  <c r="U174" i="8"/>
  <c r="I174" i="19" s="1"/>
  <c r="M174" i="8"/>
  <c r="X174" i="8"/>
  <c r="K174" i="8"/>
  <c r="G174" i="8"/>
  <c r="J174" i="8"/>
  <c r="C174" i="8"/>
  <c r="C174" i="14"/>
  <c r="H174" i="14"/>
  <c r="S174" i="14"/>
  <c r="U174" i="14"/>
  <c r="D174" i="14"/>
  <c r="K174" i="14"/>
  <c r="A174" i="14"/>
  <c r="T174" i="14"/>
  <c r="E174" i="14"/>
  <c r="I174" i="14"/>
  <c r="G174" i="14"/>
  <c r="W174" i="14"/>
  <c r="V174" i="14"/>
  <c r="B174" i="14"/>
  <c r="E174" i="18"/>
  <c r="J174" i="18" s="1"/>
  <c r="C174" i="18"/>
  <c r="D174" i="18"/>
  <c r="G174" i="18"/>
  <c r="H174" i="18"/>
  <c r="B174" i="18"/>
  <c r="A174" i="18"/>
  <c r="M179" i="18"/>
  <c r="L179" i="18"/>
  <c r="L107" i="13"/>
  <c r="M107" i="13" s="1"/>
  <c r="L180" i="8"/>
  <c r="J180" i="8"/>
  <c r="H180" i="8"/>
  <c r="G180" i="8"/>
  <c r="X180" i="8"/>
  <c r="B180" i="8"/>
  <c r="C180" i="19" s="1"/>
  <c r="E180" i="8"/>
  <c r="K180" i="8"/>
  <c r="I180" i="8"/>
  <c r="D180" i="8"/>
  <c r="E180" i="19" s="1"/>
  <c r="C180" i="8"/>
  <c r="U180" i="8"/>
  <c r="I180" i="19" s="1"/>
  <c r="M180" i="8"/>
  <c r="H180" i="18"/>
  <c r="J180" i="18"/>
  <c r="L180" i="18" s="1"/>
  <c r="A180" i="18"/>
  <c r="B180" i="18"/>
  <c r="E180" i="18"/>
  <c r="N180" i="18"/>
  <c r="C180" i="18"/>
  <c r="D180" i="18"/>
  <c r="G180" i="18"/>
  <c r="I180" i="18"/>
  <c r="D180" i="14"/>
  <c r="C180" i="14"/>
  <c r="S180" i="14"/>
  <c r="H180" i="14"/>
  <c r="E180" i="14"/>
  <c r="K180" i="14"/>
  <c r="B180" i="14"/>
  <c r="I180" i="14"/>
  <c r="A180" i="14"/>
  <c r="G180" i="14"/>
  <c r="T180" i="14"/>
  <c r="W180" i="14"/>
  <c r="U180" i="14"/>
  <c r="V180" i="14"/>
  <c r="K179" i="18"/>
  <c r="N178" i="13"/>
  <c r="O178" i="13" s="1"/>
  <c r="Q178" i="13" s="1"/>
  <c r="R178" i="13" s="1"/>
  <c r="A178" i="14"/>
  <c r="C178" i="14"/>
  <c r="W178" i="14"/>
  <c r="G178" i="14"/>
  <c r="H178" i="14"/>
  <c r="S178" i="14"/>
  <c r="U178" i="14"/>
  <c r="K178" i="14"/>
  <c r="B178" i="14"/>
  <c r="D178" i="14"/>
  <c r="I178" i="14"/>
  <c r="V178" i="14"/>
  <c r="E178" i="14"/>
  <c r="J178" i="14"/>
  <c r="T178" i="14"/>
  <c r="B178" i="18"/>
  <c r="E178" i="18"/>
  <c r="H178" i="18"/>
  <c r="C178" i="18"/>
  <c r="D178" i="18"/>
  <c r="I178" i="18"/>
  <c r="A178" i="18"/>
  <c r="G178" i="18"/>
  <c r="J178" i="18"/>
  <c r="L178" i="18" s="1"/>
  <c r="D178" i="8"/>
  <c r="E178" i="19" s="1"/>
  <c r="B178" i="8"/>
  <c r="C178" i="19" s="1"/>
  <c r="E178" i="8"/>
  <c r="K178" i="8"/>
  <c r="J178" i="8"/>
  <c r="I178" i="8"/>
  <c r="X178" i="8"/>
  <c r="C178" i="8"/>
  <c r="U178" i="8"/>
  <c r="I178" i="19" s="1"/>
  <c r="M178" i="8"/>
  <c r="H178" i="8"/>
  <c r="L178" i="8"/>
  <c r="G178" i="8"/>
  <c r="I177" i="18"/>
  <c r="K177" i="18" s="1"/>
  <c r="N176" i="18"/>
  <c r="M176" i="18"/>
  <c r="L176" i="18"/>
  <c r="I175" i="18"/>
  <c r="K175" i="18" s="1"/>
  <c r="N172" i="18"/>
  <c r="B173" i="14"/>
  <c r="D173" i="14"/>
  <c r="I173" i="14"/>
  <c r="S173" i="14"/>
  <c r="K173" i="14"/>
  <c r="G173" i="14"/>
  <c r="V173" i="14"/>
  <c r="C173" i="14"/>
  <c r="H173" i="14"/>
  <c r="E173" i="14"/>
  <c r="T173" i="14"/>
  <c r="W173" i="14"/>
  <c r="A173" i="14"/>
  <c r="U173" i="14"/>
  <c r="E173" i="8"/>
  <c r="D173" i="8"/>
  <c r="E173" i="19" s="1"/>
  <c r="M173" i="8"/>
  <c r="J173" i="8"/>
  <c r="I173" i="8"/>
  <c r="K173" i="8"/>
  <c r="G173" i="8"/>
  <c r="L173" i="8"/>
  <c r="C173" i="8"/>
  <c r="B173" i="8"/>
  <c r="C173" i="19" s="1"/>
  <c r="X173" i="8"/>
  <c r="H173" i="8"/>
  <c r="U173" i="8"/>
  <c r="I173" i="19" s="1"/>
  <c r="B173" i="18"/>
  <c r="E173" i="18"/>
  <c r="J173" i="18" s="1"/>
  <c r="A173" i="18"/>
  <c r="D173" i="18"/>
  <c r="C173" i="18"/>
  <c r="G173" i="18"/>
  <c r="H173" i="18"/>
  <c r="M172" i="18"/>
  <c r="U171" i="14"/>
  <c r="A171" i="14"/>
  <c r="V171" i="14"/>
  <c r="K171" i="14"/>
  <c r="H171" i="14"/>
  <c r="S171" i="14"/>
  <c r="D171" i="14"/>
  <c r="W171" i="14"/>
  <c r="E171" i="14"/>
  <c r="T171" i="14"/>
  <c r="I171" i="14"/>
  <c r="G171" i="14"/>
  <c r="C171" i="14"/>
  <c r="B171" i="14"/>
  <c r="D171" i="8"/>
  <c r="E171" i="19" s="1"/>
  <c r="J171" i="8"/>
  <c r="L171" i="8"/>
  <c r="X171" i="8"/>
  <c r="U171" i="8"/>
  <c r="I171" i="19" s="1"/>
  <c r="E171" i="8"/>
  <c r="G171" i="8"/>
  <c r="C171" i="8"/>
  <c r="M171" i="8"/>
  <c r="K171" i="8"/>
  <c r="I171" i="8"/>
  <c r="H171" i="8"/>
  <c r="B171" i="8"/>
  <c r="C171" i="19" s="1"/>
  <c r="D171" i="18"/>
  <c r="I171" i="18"/>
  <c r="A171" i="18"/>
  <c r="E171" i="18"/>
  <c r="B171" i="18"/>
  <c r="C171" i="18"/>
  <c r="J171" i="18"/>
  <c r="N171" i="18" s="1"/>
  <c r="H171" i="18"/>
  <c r="G171" i="18"/>
  <c r="N170" i="13"/>
  <c r="O170" i="13" s="1"/>
  <c r="Q170" i="13" s="1"/>
  <c r="R170" i="13" s="1"/>
  <c r="M170" i="13"/>
  <c r="J170" i="14"/>
  <c r="L170" i="14" s="1"/>
  <c r="M170" i="14" s="1"/>
  <c r="N170" i="14" s="1"/>
  <c r="O170" i="14" s="1"/>
  <c r="P170" i="14" s="1"/>
  <c r="I170" i="18"/>
  <c r="K170" i="18" s="1"/>
  <c r="I169" i="18"/>
  <c r="K169" i="18" s="1"/>
  <c r="B168" i="14"/>
  <c r="I168" i="14"/>
  <c r="S168" i="14"/>
  <c r="A168" i="14"/>
  <c r="G168" i="14"/>
  <c r="T168" i="14"/>
  <c r="V168" i="14"/>
  <c r="U168" i="14"/>
  <c r="D168" i="14"/>
  <c r="C168" i="14"/>
  <c r="K168" i="14"/>
  <c r="H168" i="14"/>
  <c r="E168" i="14"/>
  <c r="W168" i="14"/>
  <c r="K168" i="8"/>
  <c r="D168" i="8"/>
  <c r="E168" i="19" s="1"/>
  <c r="C168" i="8"/>
  <c r="U168" i="8"/>
  <c r="I168" i="19" s="1"/>
  <c r="M168" i="8"/>
  <c r="I168" i="8"/>
  <c r="G168" i="8"/>
  <c r="H168" i="8"/>
  <c r="L168" i="8"/>
  <c r="B168" i="8"/>
  <c r="C168" i="19" s="1"/>
  <c r="X168" i="8"/>
  <c r="J168" i="8"/>
  <c r="E168" i="8"/>
  <c r="A168" i="18"/>
  <c r="H168" i="18"/>
  <c r="G168" i="18"/>
  <c r="J168" i="18"/>
  <c r="L168" i="18" s="1"/>
  <c r="E168" i="18"/>
  <c r="D168" i="18"/>
  <c r="I168" i="18"/>
  <c r="C168" i="18"/>
  <c r="B168" i="18"/>
  <c r="B167" i="8"/>
  <c r="C167" i="19" s="1"/>
  <c r="L167" i="8"/>
  <c r="J167" i="8"/>
  <c r="H167" i="8"/>
  <c r="I167" i="8"/>
  <c r="G167" i="8"/>
  <c r="M167" i="8"/>
  <c r="U167" i="8"/>
  <c r="I167" i="19" s="1"/>
  <c r="X167" i="8"/>
  <c r="D167" i="8"/>
  <c r="E167" i="19" s="1"/>
  <c r="E167" i="8"/>
  <c r="K167" i="8"/>
  <c r="C167" i="8"/>
  <c r="C167" i="14"/>
  <c r="B167" i="14"/>
  <c r="G167" i="14"/>
  <c r="H167" i="14"/>
  <c r="S167" i="14"/>
  <c r="K167" i="14"/>
  <c r="W167" i="14"/>
  <c r="D167" i="14"/>
  <c r="T167" i="14"/>
  <c r="A167" i="14"/>
  <c r="E167" i="14"/>
  <c r="I167" i="14"/>
  <c r="U167" i="14"/>
  <c r="V167" i="14"/>
  <c r="A167" i="18"/>
  <c r="B167" i="18"/>
  <c r="C167" i="18"/>
  <c r="E167" i="18"/>
  <c r="G167" i="18"/>
  <c r="I167" i="18"/>
  <c r="D167" i="18"/>
  <c r="H167" i="18"/>
  <c r="J167" i="18"/>
  <c r="L167" i="18" s="1"/>
  <c r="L161" i="13"/>
  <c r="N161" i="13" s="1"/>
  <c r="O161" i="13" s="1"/>
  <c r="Q161" i="13" s="1"/>
  <c r="R161" i="13" s="1"/>
  <c r="C166" i="14"/>
  <c r="T166" i="14"/>
  <c r="A166" i="14"/>
  <c r="G166" i="14"/>
  <c r="S166" i="14"/>
  <c r="I166" i="14"/>
  <c r="W166" i="14"/>
  <c r="U166" i="14"/>
  <c r="B166" i="14"/>
  <c r="D166" i="14"/>
  <c r="H166" i="14"/>
  <c r="E166" i="14"/>
  <c r="K166" i="14"/>
  <c r="V166" i="14"/>
  <c r="K166" i="8"/>
  <c r="H166" i="8"/>
  <c r="D166" i="8"/>
  <c r="E166" i="19" s="1"/>
  <c r="B166" i="8"/>
  <c r="C166" i="19" s="1"/>
  <c r="M166" i="8"/>
  <c r="J166" i="8"/>
  <c r="E166" i="8"/>
  <c r="F166" i="19" s="1"/>
  <c r="L166" i="8"/>
  <c r="I166" i="8"/>
  <c r="G166" i="8"/>
  <c r="X166" i="8"/>
  <c r="C166" i="8"/>
  <c r="U166" i="8"/>
  <c r="I166" i="19" s="1"/>
  <c r="H166" i="18"/>
  <c r="G166" i="18"/>
  <c r="A166" i="18"/>
  <c r="E166" i="18"/>
  <c r="J166" i="18" s="1"/>
  <c r="B166" i="18"/>
  <c r="C166" i="18"/>
  <c r="D166" i="18"/>
  <c r="I165" i="18"/>
  <c r="K165" i="18" s="1"/>
  <c r="H164" i="8"/>
  <c r="L164" i="8"/>
  <c r="G164" i="8"/>
  <c r="X164" i="8"/>
  <c r="C164" i="8"/>
  <c r="M164" i="8"/>
  <c r="J164" i="8"/>
  <c r="K164" i="8"/>
  <c r="E164" i="8"/>
  <c r="I164" i="8"/>
  <c r="D164" i="8"/>
  <c r="E164" i="19" s="1"/>
  <c r="B164" i="8"/>
  <c r="C164" i="19" s="1"/>
  <c r="U164" i="8"/>
  <c r="I164" i="19" s="1"/>
  <c r="U164" i="13"/>
  <c r="AG164" i="13" s="1"/>
  <c r="H164" i="13"/>
  <c r="E164" i="13"/>
  <c r="O164" i="13"/>
  <c r="Q164" i="13" s="1"/>
  <c r="R164" i="13" s="1"/>
  <c r="W164" i="14"/>
  <c r="H164" i="14"/>
  <c r="U164" i="14"/>
  <c r="T164" i="14"/>
  <c r="I164" i="14"/>
  <c r="K164" i="14"/>
  <c r="B164" i="14"/>
  <c r="A164" i="14"/>
  <c r="S164" i="14"/>
  <c r="G164" i="14"/>
  <c r="V164" i="14"/>
  <c r="E164" i="14"/>
  <c r="D164" i="14"/>
  <c r="C164" i="14"/>
  <c r="C164" i="18"/>
  <c r="D164" i="18"/>
  <c r="I164" i="18"/>
  <c r="A164" i="18"/>
  <c r="J164" i="18"/>
  <c r="L164" i="18" s="1"/>
  <c r="B164" i="18"/>
  <c r="H164" i="18"/>
  <c r="E164" i="18"/>
  <c r="G164" i="18"/>
  <c r="D163" i="8"/>
  <c r="E163" i="19" s="1"/>
  <c r="X163" i="8"/>
  <c r="M163" i="8"/>
  <c r="E163" i="8"/>
  <c r="L163" i="8"/>
  <c r="H163" i="8"/>
  <c r="J163" i="8"/>
  <c r="C163" i="8"/>
  <c r="U163" i="8"/>
  <c r="I163" i="19" s="1"/>
  <c r="B163" i="8"/>
  <c r="C163" i="19" s="1"/>
  <c r="I163" i="8"/>
  <c r="G163" i="8"/>
  <c r="K163" i="8"/>
  <c r="U163" i="14"/>
  <c r="W163" i="14"/>
  <c r="I163" i="14"/>
  <c r="D163" i="14"/>
  <c r="H163" i="14"/>
  <c r="T163" i="14"/>
  <c r="V163" i="14"/>
  <c r="K163" i="14"/>
  <c r="E163" i="14"/>
  <c r="C163" i="14"/>
  <c r="B163" i="14"/>
  <c r="A163" i="14"/>
  <c r="G163" i="14"/>
  <c r="S163" i="14"/>
  <c r="D163" i="18"/>
  <c r="G163" i="18"/>
  <c r="A163" i="18"/>
  <c r="B163" i="18"/>
  <c r="C163" i="18"/>
  <c r="I163" i="18"/>
  <c r="J163" i="18"/>
  <c r="L163" i="18" s="1"/>
  <c r="H163" i="18"/>
  <c r="E163" i="18"/>
  <c r="M162" i="18"/>
  <c r="K162" i="18"/>
  <c r="N162" i="18"/>
  <c r="N161" i="18"/>
  <c r="M161" i="18"/>
  <c r="L161" i="14"/>
  <c r="M161" i="14" s="1"/>
  <c r="N161" i="14" s="1"/>
  <c r="O161" i="14" s="1"/>
  <c r="P161" i="14" s="1"/>
  <c r="A66" i="13"/>
  <c r="A137" i="13"/>
  <c r="G137" i="13"/>
  <c r="U111" i="13"/>
  <c r="AG111" i="13" s="1"/>
  <c r="C137" i="13"/>
  <c r="D66" i="13"/>
  <c r="B111" i="13"/>
  <c r="B160" i="14"/>
  <c r="E160" i="14"/>
  <c r="T160" i="14"/>
  <c r="H160" i="14"/>
  <c r="G160" i="14"/>
  <c r="K160" i="14"/>
  <c r="U160" i="14"/>
  <c r="C160" i="14"/>
  <c r="D160" i="14"/>
  <c r="A160" i="14"/>
  <c r="S160" i="14"/>
  <c r="W160" i="14"/>
  <c r="V160" i="14"/>
  <c r="I160" i="14"/>
  <c r="K160" i="8"/>
  <c r="E160" i="8"/>
  <c r="I160" i="8"/>
  <c r="H160" i="8"/>
  <c r="X160" i="8"/>
  <c r="C160" i="8"/>
  <c r="U160" i="8"/>
  <c r="I160" i="19" s="1"/>
  <c r="G160" i="8"/>
  <c r="H160" i="19" s="1"/>
  <c r="L160" i="8"/>
  <c r="J160" i="8"/>
  <c r="D160" i="8"/>
  <c r="E160" i="19" s="1"/>
  <c r="B160" i="8"/>
  <c r="C160" i="19" s="1"/>
  <c r="M160" i="8"/>
  <c r="G160" i="18"/>
  <c r="D160" i="18"/>
  <c r="A160" i="18"/>
  <c r="E160" i="18"/>
  <c r="J160" i="18" s="1"/>
  <c r="I160" i="18" s="1"/>
  <c r="C160" i="18"/>
  <c r="B160" i="18"/>
  <c r="H160" i="18"/>
  <c r="K159" i="18"/>
  <c r="N159" i="18"/>
  <c r="M159" i="18"/>
  <c r="C158" i="14"/>
  <c r="B158" i="14"/>
  <c r="A158" i="14"/>
  <c r="H158" i="14"/>
  <c r="E158" i="14"/>
  <c r="G158" i="14"/>
  <c r="I158" i="14"/>
  <c r="W158" i="14"/>
  <c r="V158" i="14"/>
  <c r="U158" i="14"/>
  <c r="D158" i="14"/>
  <c r="T158" i="14"/>
  <c r="S158" i="14"/>
  <c r="K158" i="14"/>
  <c r="U158" i="13"/>
  <c r="AG158" i="13" s="1"/>
  <c r="H158" i="13"/>
  <c r="G158" i="13"/>
  <c r="J158" i="13"/>
  <c r="L158" i="13" s="1"/>
  <c r="D158" i="13"/>
  <c r="D158" i="8"/>
  <c r="E158" i="19" s="1"/>
  <c r="B158" i="8"/>
  <c r="C158" i="19" s="1"/>
  <c r="U158" i="8"/>
  <c r="I158" i="19" s="1"/>
  <c r="E158" i="8"/>
  <c r="L158" i="8"/>
  <c r="J158" i="8"/>
  <c r="H158" i="8"/>
  <c r="X158" i="8"/>
  <c r="C158" i="8"/>
  <c r="M158" i="8"/>
  <c r="K158" i="8"/>
  <c r="G158" i="8"/>
  <c r="I158" i="8"/>
  <c r="E158" i="18"/>
  <c r="B158" i="18"/>
  <c r="H158" i="18"/>
  <c r="A158" i="18"/>
  <c r="C158" i="18"/>
  <c r="D158" i="18"/>
  <c r="G158" i="18"/>
  <c r="J158" i="18"/>
  <c r="L158" i="18" s="1"/>
  <c r="I158" i="18"/>
  <c r="D157" i="14"/>
  <c r="C157" i="14"/>
  <c r="B157" i="14"/>
  <c r="E157" i="14"/>
  <c r="A157" i="14"/>
  <c r="S157" i="14"/>
  <c r="W157" i="14"/>
  <c r="K157" i="14"/>
  <c r="V157" i="14"/>
  <c r="I157" i="14"/>
  <c r="H157" i="14"/>
  <c r="G157" i="14"/>
  <c r="T157" i="14"/>
  <c r="U157" i="14"/>
  <c r="B157" i="18"/>
  <c r="D157" i="18"/>
  <c r="C157" i="18"/>
  <c r="I157" i="18"/>
  <c r="A157" i="18"/>
  <c r="J157" i="18"/>
  <c r="L157" i="18" s="1"/>
  <c r="E157" i="18"/>
  <c r="H157" i="18"/>
  <c r="G157" i="18"/>
  <c r="L157" i="8"/>
  <c r="D157" i="8"/>
  <c r="E157" i="19" s="1"/>
  <c r="H157" i="8"/>
  <c r="J157" i="8"/>
  <c r="E157" i="8"/>
  <c r="M157" i="8"/>
  <c r="C157" i="8"/>
  <c r="U157" i="8"/>
  <c r="I157" i="19" s="1"/>
  <c r="B157" i="8"/>
  <c r="C157" i="19" s="1"/>
  <c r="X157" i="8"/>
  <c r="G157" i="8"/>
  <c r="H157" i="19" s="1"/>
  <c r="K157" i="8"/>
  <c r="I157" i="8"/>
  <c r="E156" i="8"/>
  <c r="I156" i="8"/>
  <c r="G156" i="8"/>
  <c r="H156" i="19" s="1"/>
  <c r="J156" i="8"/>
  <c r="D156" i="8"/>
  <c r="E156" i="19" s="1"/>
  <c r="B156" i="8"/>
  <c r="C156" i="19" s="1"/>
  <c r="U156" i="8"/>
  <c r="I156" i="19" s="1"/>
  <c r="L156" i="8"/>
  <c r="H156" i="8"/>
  <c r="K156" i="8"/>
  <c r="X156" i="8"/>
  <c r="C156" i="8"/>
  <c r="M156" i="8"/>
  <c r="B156" i="18"/>
  <c r="A156" i="18"/>
  <c r="H156" i="18"/>
  <c r="C156" i="18"/>
  <c r="D156" i="18"/>
  <c r="I156" i="18"/>
  <c r="E156" i="18"/>
  <c r="G156" i="18"/>
  <c r="J156" i="18"/>
  <c r="L156" i="18" s="1"/>
  <c r="K156" i="14"/>
  <c r="I156" i="14"/>
  <c r="H156" i="14"/>
  <c r="D156" i="14"/>
  <c r="G156" i="14"/>
  <c r="W156" i="14"/>
  <c r="V156" i="14"/>
  <c r="S156" i="14"/>
  <c r="U156" i="14"/>
  <c r="T156" i="14"/>
  <c r="A156" i="14"/>
  <c r="E156" i="14"/>
  <c r="C156" i="14"/>
  <c r="B156" i="14"/>
  <c r="V120" i="13"/>
  <c r="Z120" i="13" s="1"/>
  <c r="X120" i="14" s="1"/>
  <c r="G152" i="13"/>
  <c r="J152" i="13"/>
  <c r="J152" i="14" s="1"/>
  <c r="S155" i="14"/>
  <c r="E155" i="14"/>
  <c r="U155" i="14"/>
  <c r="H155" i="14"/>
  <c r="V155" i="14"/>
  <c r="G155" i="14"/>
  <c r="C155" i="14"/>
  <c r="I155" i="14"/>
  <c r="K155" i="14"/>
  <c r="T155" i="14"/>
  <c r="W155" i="14"/>
  <c r="A155" i="14"/>
  <c r="B155" i="14"/>
  <c r="D155" i="14"/>
  <c r="D155" i="8"/>
  <c r="E155" i="19" s="1"/>
  <c r="J155" i="8"/>
  <c r="M155" i="8"/>
  <c r="B155" i="8"/>
  <c r="C155" i="19" s="1"/>
  <c r="K155" i="8"/>
  <c r="E155" i="8"/>
  <c r="C155" i="8"/>
  <c r="L155" i="8"/>
  <c r="X155" i="8"/>
  <c r="U155" i="8"/>
  <c r="I155" i="19" s="1"/>
  <c r="G155" i="8"/>
  <c r="I155" i="8"/>
  <c r="H155" i="8"/>
  <c r="D155" i="18"/>
  <c r="I155" i="18"/>
  <c r="E155" i="18"/>
  <c r="G155" i="18"/>
  <c r="B155" i="18"/>
  <c r="C155" i="18"/>
  <c r="J155" i="18"/>
  <c r="L155" i="18" s="1"/>
  <c r="A155" i="18"/>
  <c r="H155" i="18"/>
  <c r="L154" i="18"/>
  <c r="M154" i="18"/>
  <c r="N154" i="13"/>
  <c r="O154" i="13" s="1"/>
  <c r="Q154" i="13" s="1"/>
  <c r="R154" i="13" s="1"/>
  <c r="M154" i="13"/>
  <c r="J154" i="14"/>
  <c r="L154" i="14" s="1"/>
  <c r="M154" i="14" s="1"/>
  <c r="N154" i="14" s="1"/>
  <c r="O154" i="14" s="1"/>
  <c r="P154" i="14" s="1"/>
  <c r="K154" i="18"/>
  <c r="L105" i="13"/>
  <c r="M105" i="13" s="1"/>
  <c r="V137" i="13"/>
  <c r="AA137" i="13" s="1"/>
  <c r="Y137" i="14" s="1"/>
  <c r="H109" i="13"/>
  <c r="D109" i="13"/>
  <c r="J153" i="8"/>
  <c r="X153" i="8"/>
  <c r="H153" i="8"/>
  <c r="I153" i="8"/>
  <c r="U153" i="8"/>
  <c r="I153" i="19" s="1"/>
  <c r="B153" i="8"/>
  <c r="C153" i="19" s="1"/>
  <c r="G153" i="8"/>
  <c r="L153" i="8"/>
  <c r="E153" i="8"/>
  <c r="K153" i="8"/>
  <c r="M153" i="8"/>
  <c r="C153" i="8"/>
  <c r="D153" i="8"/>
  <c r="E153" i="19" s="1"/>
  <c r="B153" i="14"/>
  <c r="K153" i="14"/>
  <c r="V153" i="14"/>
  <c r="S153" i="14"/>
  <c r="E153" i="14"/>
  <c r="T153" i="14"/>
  <c r="D153" i="14"/>
  <c r="C153" i="14"/>
  <c r="H153" i="14"/>
  <c r="U153" i="14"/>
  <c r="W153" i="14"/>
  <c r="G153" i="14"/>
  <c r="A153" i="14"/>
  <c r="I153" i="14"/>
  <c r="B153" i="18"/>
  <c r="E153" i="18"/>
  <c r="A153" i="18"/>
  <c r="G153" i="18"/>
  <c r="D153" i="18"/>
  <c r="C153" i="18"/>
  <c r="I153" i="18"/>
  <c r="J153" i="18"/>
  <c r="L153" i="18" s="1"/>
  <c r="H153" i="18"/>
  <c r="V152" i="13"/>
  <c r="Z152" i="13" s="1"/>
  <c r="X152" i="14" s="1"/>
  <c r="H152" i="13"/>
  <c r="D152" i="13"/>
  <c r="C152" i="14"/>
  <c r="D152" i="14"/>
  <c r="K152" i="14"/>
  <c r="S152" i="14"/>
  <c r="A152" i="14"/>
  <c r="W152" i="14"/>
  <c r="U152" i="14"/>
  <c r="B152" i="14"/>
  <c r="G152" i="14"/>
  <c r="H152" i="14"/>
  <c r="T152" i="14"/>
  <c r="E152" i="14"/>
  <c r="I152" i="14"/>
  <c r="V152" i="14"/>
  <c r="A152" i="13"/>
  <c r="U152" i="13"/>
  <c r="AG152" i="13" s="1"/>
  <c r="E152" i="13"/>
  <c r="B152" i="13"/>
  <c r="X152" i="8"/>
  <c r="B152" i="8"/>
  <c r="C152" i="19" s="1"/>
  <c r="U152" i="8"/>
  <c r="I152" i="19" s="1"/>
  <c r="M152" i="8"/>
  <c r="K152" i="8"/>
  <c r="E152" i="8"/>
  <c r="D152" i="8"/>
  <c r="E152" i="19" s="1"/>
  <c r="C152" i="8"/>
  <c r="J152" i="8"/>
  <c r="G152" i="8"/>
  <c r="H152" i="8"/>
  <c r="L152" i="8"/>
  <c r="I152" i="8"/>
  <c r="H152" i="18"/>
  <c r="C152" i="18"/>
  <c r="B152" i="18"/>
  <c r="E152" i="18"/>
  <c r="J152" i="18" s="1"/>
  <c r="A152" i="18"/>
  <c r="G152" i="18"/>
  <c r="D152" i="18"/>
  <c r="A95" i="13"/>
  <c r="A118" i="13"/>
  <c r="L70" i="13"/>
  <c r="N70" i="13" s="1"/>
  <c r="O70" i="13" s="1"/>
  <c r="Q70" i="13" s="1"/>
  <c r="R70" i="13" s="1"/>
  <c r="H64" i="13"/>
  <c r="H95" i="13"/>
  <c r="L86" i="13"/>
  <c r="M86" i="13" s="1"/>
  <c r="L147" i="13"/>
  <c r="N147" i="13" s="1"/>
  <c r="O147" i="13" s="1"/>
  <c r="Q147" i="13" s="1"/>
  <c r="R147" i="13" s="1"/>
  <c r="D120" i="13"/>
  <c r="I151" i="18"/>
  <c r="K151" i="18" s="1"/>
  <c r="E120" i="13"/>
  <c r="J118" i="13"/>
  <c r="L118" i="13" s="1"/>
  <c r="N118" i="13" s="1"/>
  <c r="O118" i="13" s="1"/>
  <c r="Q118" i="13" s="1"/>
  <c r="R118" i="13" s="1"/>
  <c r="C95" i="13"/>
  <c r="K150" i="8"/>
  <c r="D150" i="8"/>
  <c r="E150" i="19" s="1"/>
  <c r="B150" i="8"/>
  <c r="C150" i="19" s="1"/>
  <c r="G150" i="8"/>
  <c r="H150" i="8"/>
  <c r="L150" i="8"/>
  <c r="X150" i="8"/>
  <c r="C150" i="8"/>
  <c r="U150" i="8"/>
  <c r="I150" i="19" s="1"/>
  <c r="M150" i="8"/>
  <c r="I150" i="8"/>
  <c r="J150" i="8"/>
  <c r="E150" i="8"/>
  <c r="C150" i="14"/>
  <c r="S150" i="14"/>
  <c r="A150" i="14"/>
  <c r="K150" i="14"/>
  <c r="I150" i="14"/>
  <c r="V150" i="14"/>
  <c r="B150" i="14"/>
  <c r="D150" i="14"/>
  <c r="H150" i="14"/>
  <c r="G150" i="14"/>
  <c r="E150" i="14"/>
  <c r="T150" i="14"/>
  <c r="W150" i="14"/>
  <c r="U150" i="14"/>
  <c r="A150" i="18"/>
  <c r="G150" i="18"/>
  <c r="B150" i="18"/>
  <c r="H150" i="18"/>
  <c r="E150" i="18"/>
  <c r="J150" i="18" s="1"/>
  <c r="C150" i="18"/>
  <c r="D150" i="18"/>
  <c r="E149" i="8"/>
  <c r="J149" i="8"/>
  <c r="D149" i="8"/>
  <c r="E149" i="19" s="1"/>
  <c r="B149" i="8"/>
  <c r="C149" i="19" s="1"/>
  <c r="M149" i="8"/>
  <c r="K149" i="8"/>
  <c r="G149" i="8"/>
  <c r="X149" i="8"/>
  <c r="L149" i="8"/>
  <c r="C149" i="8"/>
  <c r="U149" i="8"/>
  <c r="I149" i="19" s="1"/>
  <c r="H149" i="8"/>
  <c r="I149" i="8"/>
  <c r="C149" i="14"/>
  <c r="E149" i="14"/>
  <c r="T149" i="14"/>
  <c r="A149" i="14"/>
  <c r="W149" i="14"/>
  <c r="K149" i="14"/>
  <c r="G149" i="14"/>
  <c r="V149" i="14"/>
  <c r="D149" i="14"/>
  <c r="B149" i="14"/>
  <c r="H149" i="14"/>
  <c r="S149" i="14"/>
  <c r="I149" i="14"/>
  <c r="U149" i="14"/>
  <c r="B149" i="18"/>
  <c r="G149" i="18"/>
  <c r="H149" i="18"/>
  <c r="D149" i="18"/>
  <c r="C149" i="18"/>
  <c r="E149" i="18"/>
  <c r="J149" i="18" s="1"/>
  <c r="I149" i="18" s="1"/>
  <c r="A149" i="18"/>
  <c r="N148" i="18"/>
  <c r="K148" i="18"/>
  <c r="M147" i="18"/>
  <c r="L147" i="14"/>
  <c r="M147" i="14" s="1"/>
  <c r="N147" i="14" s="1"/>
  <c r="O147" i="14" s="1"/>
  <c r="P147" i="14" s="1"/>
  <c r="N147" i="18"/>
  <c r="K147" i="18"/>
  <c r="L56" i="13"/>
  <c r="N56" i="13" s="1"/>
  <c r="O56" i="13" s="1"/>
  <c r="Q56" i="13" s="1"/>
  <c r="R56" i="13" s="1"/>
  <c r="L116" i="13"/>
  <c r="M116" i="13" s="1"/>
  <c r="E39" i="13"/>
  <c r="G66" i="13"/>
  <c r="G124" i="13"/>
  <c r="H137" i="13"/>
  <c r="G111" i="13"/>
  <c r="V109" i="13"/>
  <c r="Z109" i="13" s="1"/>
  <c r="X109" i="14" s="1"/>
  <c r="G109" i="13"/>
  <c r="L121" i="13"/>
  <c r="N121" i="13" s="1"/>
  <c r="O121" i="13" s="1"/>
  <c r="Q121" i="13" s="1"/>
  <c r="R121" i="13" s="1"/>
  <c r="J137" i="13"/>
  <c r="L137" i="13" s="1"/>
  <c r="M137" i="13" s="1"/>
  <c r="J66" i="13"/>
  <c r="L66" i="13" s="1"/>
  <c r="N66" i="13" s="1"/>
  <c r="O66" i="13" s="1"/>
  <c r="Q66" i="13" s="1"/>
  <c r="R66" i="13" s="1"/>
  <c r="J111" i="13"/>
  <c r="L111" i="13" s="1"/>
  <c r="N111" i="13" s="1"/>
  <c r="O111" i="13" s="1"/>
  <c r="Q111" i="13" s="1"/>
  <c r="R111" i="13" s="1"/>
  <c r="D137" i="13"/>
  <c r="C109" i="13"/>
  <c r="C146" i="14"/>
  <c r="H146" i="14"/>
  <c r="S146" i="14"/>
  <c r="T146" i="14"/>
  <c r="E146" i="14"/>
  <c r="K146" i="14"/>
  <c r="V146" i="14"/>
  <c r="B146" i="14"/>
  <c r="D146" i="14"/>
  <c r="U146" i="14"/>
  <c r="A146" i="14"/>
  <c r="G146" i="14"/>
  <c r="I146" i="14"/>
  <c r="W146" i="14"/>
  <c r="L146" i="8"/>
  <c r="X146" i="8"/>
  <c r="C146" i="8"/>
  <c r="J146" i="8"/>
  <c r="G146" i="8"/>
  <c r="H146" i="19" s="1"/>
  <c r="H146" i="8"/>
  <c r="K146" i="8"/>
  <c r="D146" i="8"/>
  <c r="E146" i="19" s="1"/>
  <c r="B146" i="8"/>
  <c r="C146" i="19" s="1"/>
  <c r="I146" i="8"/>
  <c r="E146" i="8"/>
  <c r="U146" i="8"/>
  <c r="I146" i="19" s="1"/>
  <c r="M146" i="8"/>
  <c r="B146" i="18"/>
  <c r="D146" i="18"/>
  <c r="H146" i="18"/>
  <c r="G146" i="18"/>
  <c r="C146" i="18"/>
  <c r="E146" i="18"/>
  <c r="J146" i="18" s="1"/>
  <c r="A146" i="18"/>
  <c r="B145" i="8"/>
  <c r="C145" i="19" s="1"/>
  <c r="U145" i="8"/>
  <c r="I145" i="19" s="1"/>
  <c r="C145" i="8"/>
  <c r="I145" i="8"/>
  <c r="E145" i="8"/>
  <c r="L145" i="8"/>
  <c r="D145" i="8"/>
  <c r="E145" i="19" s="1"/>
  <c r="X145" i="8"/>
  <c r="M145" i="8"/>
  <c r="J145" i="8"/>
  <c r="H145" i="8"/>
  <c r="G145" i="8"/>
  <c r="K145" i="8"/>
  <c r="D145" i="14"/>
  <c r="C145" i="14"/>
  <c r="I145" i="14"/>
  <c r="V145" i="14"/>
  <c r="S145" i="14"/>
  <c r="K145" i="14"/>
  <c r="B145" i="14"/>
  <c r="T145" i="14"/>
  <c r="G145" i="14"/>
  <c r="A145" i="14"/>
  <c r="W145" i="14"/>
  <c r="E145" i="14"/>
  <c r="U145" i="14"/>
  <c r="H145" i="14"/>
  <c r="D145" i="18"/>
  <c r="G145" i="18"/>
  <c r="E145" i="18"/>
  <c r="J145" i="18" s="1"/>
  <c r="I145" i="18" s="1"/>
  <c r="B145" i="18"/>
  <c r="C145" i="18"/>
  <c r="A145" i="18"/>
  <c r="H145" i="18"/>
  <c r="A120" i="13"/>
  <c r="U120" i="13"/>
  <c r="AG120" i="13" s="1"/>
  <c r="H120" i="13"/>
  <c r="G120" i="13"/>
  <c r="U95" i="13"/>
  <c r="AG95" i="13" s="1"/>
  <c r="G95" i="13"/>
  <c r="V118" i="13"/>
  <c r="Z118" i="13" s="1"/>
  <c r="X118" i="14" s="1"/>
  <c r="G118" i="13"/>
  <c r="J120" i="13"/>
  <c r="L120" i="13" s="1"/>
  <c r="N120" i="13" s="1"/>
  <c r="O120" i="13" s="1"/>
  <c r="Q120" i="13" s="1"/>
  <c r="R120" i="13" s="1"/>
  <c r="C79" i="13"/>
  <c r="B120" i="13"/>
  <c r="C118" i="13"/>
  <c r="I144" i="18"/>
  <c r="K144" i="18" s="1"/>
  <c r="A143" i="13"/>
  <c r="U143" i="13"/>
  <c r="AG143" i="13" s="1"/>
  <c r="G143" i="13"/>
  <c r="C143" i="13"/>
  <c r="V143" i="13"/>
  <c r="AA143" i="13" s="1"/>
  <c r="Y143" i="14" s="1"/>
  <c r="H143" i="13"/>
  <c r="E143" i="13"/>
  <c r="J143" i="13"/>
  <c r="L143" i="13" s="1"/>
  <c r="D143" i="13"/>
  <c r="X143" i="8"/>
  <c r="B143" i="8"/>
  <c r="C143" i="19" s="1"/>
  <c r="M143" i="8"/>
  <c r="I143" i="8"/>
  <c r="J143" i="8"/>
  <c r="L143" i="8"/>
  <c r="K143" i="8"/>
  <c r="C143" i="8"/>
  <c r="U143" i="8"/>
  <c r="I143" i="19" s="1"/>
  <c r="D143" i="8"/>
  <c r="E143" i="19" s="1"/>
  <c r="E143" i="8"/>
  <c r="G143" i="8"/>
  <c r="H143" i="19" s="1"/>
  <c r="B143" i="19" s="1"/>
  <c r="H143" i="8"/>
  <c r="B143" i="14"/>
  <c r="D143" i="14"/>
  <c r="H143" i="14"/>
  <c r="G143" i="14"/>
  <c r="W143" i="14"/>
  <c r="I143" i="14"/>
  <c r="T143" i="14"/>
  <c r="K143" i="14"/>
  <c r="U143" i="14"/>
  <c r="C143" i="14"/>
  <c r="E143" i="14"/>
  <c r="S143" i="14"/>
  <c r="A143" i="14"/>
  <c r="V143" i="14"/>
  <c r="E143" i="18"/>
  <c r="B143" i="18"/>
  <c r="D143" i="18"/>
  <c r="A143" i="18"/>
  <c r="J143" i="18"/>
  <c r="I143" i="18" s="1"/>
  <c r="H143" i="18"/>
  <c r="C143" i="18"/>
  <c r="G143" i="18"/>
  <c r="I142" i="8"/>
  <c r="H142" i="8"/>
  <c r="E142" i="8"/>
  <c r="L142" i="8"/>
  <c r="J142" i="8"/>
  <c r="D142" i="8"/>
  <c r="E142" i="19" s="1"/>
  <c r="B142" i="8"/>
  <c r="C142" i="19" s="1"/>
  <c r="U142" i="8"/>
  <c r="I142" i="19" s="1"/>
  <c r="M142" i="8"/>
  <c r="K142" i="8"/>
  <c r="G142" i="8"/>
  <c r="X142" i="8"/>
  <c r="C142" i="8"/>
  <c r="C142" i="14"/>
  <c r="B142" i="14"/>
  <c r="K142" i="14"/>
  <c r="H142" i="14"/>
  <c r="E142" i="14"/>
  <c r="T142" i="14"/>
  <c r="V142" i="14"/>
  <c r="U142" i="14"/>
  <c r="D142" i="14"/>
  <c r="A142" i="14"/>
  <c r="G142" i="14"/>
  <c r="S142" i="14"/>
  <c r="I142" i="14"/>
  <c r="W142" i="14"/>
  <c r="H142" i="18"/>
  <c r="E142" i="18"/>
  <c r="J142" i="18"/>
  <c r="L142" i="18" s="1"/>
  <c r="G142" i="18"/>
  <c r="A142" i="18"/>
  <c r="D142" i="18"/>
  <c r="C142" i="18"/>
  <c r="I142" i="18"/>
  <c r="B142" i="18"/>
  <c r="L141" i="18"/>
  <c r="K141" i="18"/>
  <c r="N141" i="18"/>
  <c r="M141" i="18"/>
  <c r="I141" i="18"/>
  <c r="K140" i="18"/>
  <c r="L140" i="18"/>
  <c r="M139" i="13"/>
  <c r="K139" i="8"/>
  <c r="E139" i="8"/>
  <c r="D139" i="8"/>
  <c r="E139" i="19" s="1"/>
  <c r="X139" i="8"/>
  <c r="M139" i="8"/>
  <c r="J139" i="8"/>
  <c r="I139" i="8"/>
  <c r="C139" i="8"/>
  <c r="B139" i="8"/>
  <c r="C139" i="19" s="1"/>
  <c r="U139" i="8"/>
  <c r="I139" i="19" s="1"/>
  <c r="L139" i="8"/>
  <c r="G139" i="8"/>
  <c r="H139" i="8"/>
  <c r="C113" i="9"/>
  <c r="J139" i="14"/>
  <c r="T139" i="14"/>
  <c r="G139" i="14"/>
  <c r="K139" i="14"/>
  <c r="U139" i="14"/>
  <c r="S139" i="14"/>
  <c r="B139" i="14"/>
  <c r="D139" i="14"/>
  <c r="W139" i="14"/>
  <c r="H139" i="14"/>
  <c r="V139" i="14"/>
  <c r="I139" i="14"/>
  <c r="A139" i="14"/>
  <c r="E139" i="14"/>
  <c r="C139" i="14"/>
  <c r="B139" i="18"/>
  <c r="D139" i="18"/>
  <c r="J139" i="18"/>
  <c r="N139" i="18" s="1"/>
  <c r="H139" i="18"/>
  <c r="E139" i="18"/>
  <c r="C139" i="18"/>
  <c r="I139" i="18"/>
  <c r="A139" i="18"/>
  <c r="G139" i="18"/>
  <c r="N138" i="13"/>
  <c r="O138" i="13" s="1"/>
  <c r="Q138" i="13" s="1"/>
  <c r="R138" i="13" s="1"/>
  <c r="M138" i="13"/>
  <c r="D138" i="14"/>
  <c r="C138" i="14"/>
  <c r="J138" i="14"/>
  <c r="S138" i="14"/>
  <c r="U138" i="14"/>
  <c r="W138" i="14"/>
  <c r="V138" i="14"/>
  <c r="B138" i="14"/>
  <c r="A138" i="14"/>
  <c r="G138" i="14"/>
  <c r="H138" i="14"/>
  <c r="E138" i="14"/>
  <c r="K138" i="14"/>
  <c r="T138" i="14"/>
  <c r="I138" i="14"/>
  <c r="D138" i="8"/>
  <c r="E138" i="19" s="1"/>
  <c r="B138" i="8"/>
  <c r="C138" i="19" s="1"/>
  <c r="G138" i="8"/>
  <c r="U138" i="8"/>
  <c r="I138" i="19" s="1"/>
  <c r="M138" i="8"/>
  <c r="H138" i="8"/>
  <c r="I138" i="8"/>
  <c r="E138" i="8"/>
  <c r="L138" i="8"/>
  <c r="X138" i="8"/>
  <c r="C138" i="8"/>
  <c r="J138" i="8"/>
  <c r="K138" i="8"/>
  <c r="D138" i="18"/>
  <c r="C138" i="18"/>
  <c r="I138" i="18"/>
  <c r="G138" i="18"/>
  <c r="E138" i="18"/>
  <c r="J138" i="18"/>
  <c r="L138" i="18" s="1"/>
  <c r="B138" i="18"/>
  <c r="H138" i="18"/>
  <c r="A138" i="18"/>
  <c r="M138" i="18"/>
  <c r="C137" i="8"/>
  <c r="G137" i="8"/>
  <c r="D137" i="8"/>
  <c r="E137" i="19" s="1"/>
  <c r="K137" i="8"/>
  <c r="J137" i="8"/>
  <c r="U137" i="8"/>
  <c r="I137" i="19" s="1"/>
  <c r="H137" i="8"/>
  <c r="X137" i="8"/>
  <c r="M137" i="8"/>
  <c r="I137" i="8"/>
  <c r="L137" i="8"/>
  <c r="E137" i="8"/>
  <c r="B137" i="8"/>
  <c r="C137" i="19" s="1"/>
  <c r="C111" i="9"/>
  <c r="U137" i="13"/>
  <c r="AG137" i="13" s="1"/>
  <c r="E137" i="13"/>
  <c r="D137" i="14"/>
  <c r="C137" i="14"/>
  <c r="H137" i="14"/>
  <c r="K137" i="14"/>
  <c r="U137" i="14"/>
  <c r="G137" i="14"/>
  <c r="T137" i="14"/>
  <c r="B137" i="14"/>
  <c r="I137" i="14"/>
  <c r="W137" i="14"/>
  <c r="A137" i="14"/>
  <c r="E137" i="14"/>
  <c r="S137" i="14"/>
  <c r="V137" i="14"/>
  <c r="D137" i="18"/>
  <c r="G137" i="18"/>
  <c r="H137" i="18"/>
  <c r="C137" i="18"/>
  <c r="B137" i="18"/>
  <c r="A137" i="18"/>
  <c r="E137" i="18"/>
  <c r="J137" i="18" s="1"/>
  <c r="H136" i="8"/>
  <c r="I136" i="8"/>
  <c r="L136" i="8"/>
  <c r="D136" i="8"/>
  <c r="E136" i="19" s="1"/>
  <c r="C136" i="8"/>
  <c r="M136" i="8"/>
  <c r="K136" i="8"/>
  <c r="G136" i="8"/>
  <c r="J136" i="8"/>
  <c r="E136" i="8"/>
  <c r="X136" i="8"/>
  <c r="B136" i="8"/>
  <c r="C136" i="19" s="1"/>
  <c r="U136" i="8"/>
  <c r="I136" i="19" s="1"/>
  <c r="C136" i="14"/>
  <c r="D136" i="14"/>
  <c r="S136" i="14"/>
  <c r="A136" i="14"/>
  <c r="G136" i="14"/>
  <c r="K136" i="14"/>
  <c r="W136" i="14"/>
  <c r="V136" i="14"/>
  <c r="B136" i="14"/>
  <c r="I136" i="14"/>
  <c r="H136" i="14"/>
  <c r="E136" i="14"/>
  <c r="T136" i="14"/>
  <c r="U136" i="14"/>
  <c r="C136" i="18"/>
  <c r="G136" i="18"/>
  <c r="H136" i="18"/>
  <c r="E136" i="18"/>
  <c r="J136" i="18" s="1"/>
  <c r="B136" i="18"/>
  <c r="D136" i="18"/>
  <c r="A136" i="18"/>
  <c r="L135" i="8"/>
  <c r="B135" i="8"/>
  <c r="C135" i="19" s="1"/>
  <c r="E135" i="8"/>
  <c r="K135" i="8"/>
  <c r="D135" i="8"/>
  <c r="E135" i="19" s="1"/>
  <c r="M135" i="8"/>
  <c r="J135" i="8"/>
  <c r="U135" i="8"/>
  <c r="I135" i="19" s="1"/>
  <c r="X135" i="8"/>
  <c r="H135" i="8"/>
  <c r="I135" i="8"/>
  <c r="G135" i="8"/>
  <c r="C135" i="8"/>
  <c r="B135" i="14"/>
  <c r="D135" i="14"/>
  <c r="T135" i="14"/>
  <c r="H135" i="14"/>
  <c r="A135" i="14"/>
  <c r="I135" i="14"/>
  <c r="U135" i="14"/>
  <c r="W135" i="14"/>
  <c r="K135" i="14"/>
  <c r="C135" i="14"/>
  <c r="E135" i="14"/>
  <c r="G135" i="14"/>
  <c r="S135" i="14"/>
  <c r="V135" i="14"/>
  <c r="A135" i="18"/>
  <c r="B135" i="18"/>
  <c r="D135" i="18"/>
  <c r="H135" i="18"/>
  <c r="G135" i="18"/>
  <c r="C135" i="18"/>
  <c r="E135" i="18"/>
  <c r="J135" i="18" s="1"/>
  <c r="B134" i="14"/>
  <c r="D134" i="14"/>
  <c r="S134" i="14"/>
  <c r="E134" i="14"/>
  <c r="W134" i="14"/>
  <c r="H134" i="14"/>
  <c r="C134" i="14"/>
  <c r="A134" i="14"/>
  <c r="G134" i="14"/>
  <c r="T134" i="14"/>
  <c r="K134" i="14"/>
  <c r="I134" i="14"/>
  <c r="V134" i="14"/>
  <c r="U134" i="14"/>
  <c r="J134" i="8"/>
  <c r="E134" i="8"/>
  <c r="L134" i="8"/>
  <c r="G134" i="8"/>
  <c r="D134" i="8"/>
  <c r="E134" i="19" s="1"/>
  <c r="B134" i="8"/>
  <c r="C134" i="19" s="1"/>
  <c r="U134" i="8"/>
  <c r="I134" i="19" s="1"/>
  <c r="H134" i="8"/>
  <c r="I134" i="8"/>
  <c r="K134" i="8"/>
  <c r="X134" i="8"/>
  <c r="C134" i="8"/>
  <c r="M134" i="8"/>
  <c r="A134" i="18"/>
  <c r="H134" i="18"/>
  <c r="G134" i="18"/>
  <c r="E134" i="18"/>
  <c r="J134" i="18" s="1"/>
  <c r="D134" i="18"/>
  <c r="C134" i="18"/>
  <c r="B134" i="18"/>
  <c r="H133" i="8"/>
  <c r="B133" i="8"/>
  <c r="C133" i="19" s="1"/>
  <c r="U133" i="8"/>
  <c r="I133" i="19" s="1"/>
  <c r="G133" i="8"/>
  <c r="I133" i="8"/>
  <c r="C133" i="8"/>
  <c r="E133" i="8"/>
  <c r="D133" i="8"/>
  <c r="E133" i="19" s="1"/>
  <c r="X133" i="8"/>
  <c r="M133" i="8"/>
  <c r="J133" i="8"/>
  <c r="L133" i="8"/>
  <c r="K133" i="8"/>
  <c r="D133" i="14"/>
  <c r="B133" i="14"/>
  <c r="T133" i="14"/>
  <c r="A133" i="14"/>
  <c r="H133" i="14"/>
  <c r="I133" i="14"/>
  <c r="G133" i="14"/>
  <c r="V133" i="14"/>
  <c r="C133" i="14"/>
  <c r="K133" i="14"/>
  <c r="E133" i="14"/>
  <c r="S133" i="14"/>
  <c r="W133" i="14"/>
  <c r="U133" i="14"/>
  <c r="C133" i="18"/>
  <c r="B133" i="18"/>
  <c r="E133" i="18"/>
  <c r="J133" i="18" s="1"/>
  <c r="G133" i="18"/>
  <c r="A133" i="18"/>
  <c r="D133" i="18"/>
  <c r="H133" i="18"/>
  <c r="J132" i="8"/>
  <c r="G132" i="8"/>
  <c r="L132" i="8"/>
  <c r="E132" i="8"/>
  <c r="D132" i="8"/>
  <c r="E132" i="19" s="1"/>
  <c r="C132" i="8"/>
  <c r="M132" i="8"/>
  <c r="I132" i="8"/>
  <c r="H132" i="8"/>
  <c r="K132" i="8"/>
  <c r="X132" i="8"/>
  <c r="B132" i="8"/>
  <c r="C132" i="19" s="1"/>
  <c r="U132" i="8"/>
  <c r="I132" i="19" s="1"/>
  <c r="C132" i="18"/>
  <c r="G132" i="18"/>
  <c r="E132" i="18"/>
  <c r="J132" i="18" s="1"/>
  <c r="B132" i="18"/>
  <c r="D132" i="18"/>
  <c r="H132" i="18"/>
  <c r="A132" i="18"/>
  <c r="T132" i="14"/>
  <c r="A132" i="14"/>
  <c r="W132" i="14"/>
  <c r="C132" i="14"/>
  <c r="D132" i="14"/>
  <c r="E132" i="14"/>
  <c r="G132" i="14"/>
  <c r="K132" i="14"/>
  <c r="V132" i="14"/>
  <c r="S132" i="14"/>
  <c r="H132" i="14"/>
  <c r="U132" i="14"/>
  <c r="I132" i="14"/>
  <c r="B132" i="14"/>
  <c r="G131" i="8"/>
  <c r="J131" i="8"/>
  <c r="B131" i="8"/>
  <c r="C131" i="19" s="1"/>
  <c r="U131" i="8"/>
  <c r="I131" i="19" s="1"/>
  <c r="C131" i="8"/>
  <c r="I131" i="8"/>
  <c r="K131" i="8"/>
  <c r="D131" i="8"/>
  <c r="E131" i="19" s="1"/>
  <c r="X131" i="8"/>
  <c r="M131" i="8"/>
  <c r="E131" i="8"/>
  <c r="H131" i="8"/>
  <c r="L131" i="8"/>
  <c r="B131" i="18"/>
  <c r="D131" i="18"/>
  <c r="A131" i="18"/>
  <c r="E131" i="18"/>
  <c r="J131" i="18" s="1"/>
  <c r="C131" i="18"/>
  <c r="H131" i="18"/>
  <c r="G131" i="18"/>
  <c r="H131" i="14"/>
  <c r="V131" i="14"/>
  <c r="B131" i="14"/>
  <c r="C131" i="14"/>
  <c r="U131" i="14"/>
  <c r="E131" i="14"/>
  <c r="I131" i="14"/>
  <c r="T131" i="14"/>
  <c r="G131" i="14"/>
  <c r="W131" i="14"/>
  <c r="D131" i="14"/>
  <c r="K131" i="14"/>
  <c r="S131" i="14"/>
  <c r="A131" i="14"/>
  <c r="I130" i="8"/>
  <c r="K130" i="8"/>
  <c r="G130" i="8"/>
  <c r="H130" i="19" s="1"/>
  <c r="B130" i="19" s="1"/>
  <c r="H130" i="8"/>
  <c r="E130" i="8"/>
  <c r="F130" i="19" s="1"/>
  <c r="X130" i="8"/>
  <c r="C130" i="8"/>
  <c r="M130" i="8"/>
  <c r="L130" i="8"/>
  <c r="J130" i="8"/>
  <c r="D130" i="8"/>
  <c r="E130" i="19" s="1"/>
  <c r="B130" i="8"/>
  <c r="C130" i="19" s="1"/>
  <c r="U130" i="8"/>
  <c r="I130" i="19" s="1"/>
  <c r="A130" i="14"/>
  <c r="V130" i="14"/>
  <c r="B130" i="14"/>
  <c r="D130" i="14"/>
  <c r="U130" i="14"/>
  <c r="H130" i="14"/>
  <c r="S130" i="14"/>
  <c r="T130" i="14"/>
  <c r="K130" i="14"/>
  <c r="C130" i="14"/>
  <c r="W130" i="14"/>
  <c r="G130" i="14"/>
  <c r="I130" i="14"/>
  <c r="E130" i="14"/>
  <c r="B130" i="18"/>
  <c r="H130" i="18"/>
  <c r="A130" i="18"/>
  <c r="D130" i="18"/>
  <c r="C130" i="18"/>
  <c r="E130" i="18"/>
  <c r="J130" i="18" s="1"/>
  <c r="G130" i="18"/>
  <c r="G129" i="8"/>
  <c r="B129" i="8"/>
  <c r="C129" i="19" s="1"/>
  <c r="U129" i="8"/>
  <c r="I129" i="19" s="1"/>
  <c r="C129" i="8"/>
  <c r="I129" i="8"/>
  <c r="L129" i="8"/>
  <c r="D129" i="8"/>
  <c r="E129" i="19" s="1"/>
  <c r="X129" i="8"/>
  <c r="M129" i="8"/>
  <c r="J129" i="8"/>
  <c r="H129" i="8"/>
  <c r="E129" i="8"/>
  <c r="K129" i="8"/>
  <c r="B129" i="14"/>
  <c r="H129" i="14"/>
  <c r="S129" i="14"/>
  <c r="U129" i="14"/>
  <c r="G129" i="14"/>
  <c r="D129" i="14"/>
  <c r="C129" i="14"/>
  <c r="E129" i="14"/>
  <c r="V129" i="14"/>
  <c r="W129" i="14"/>
  <c r="I129" i="14"/>
  <c r="K129" i="14"/>
  <c r="A129" i="14"/>
  <c r="T129" i="14"/>
  <c r="D129" i="18"/>
  <c r="G129" i="18"/>
  <c r="H129" i="18"/>
  <c r="J129" i="18"/>
  <c r="L129" i="18" s="1"/>
  <c r="C129" i="18"/>
  <c r="B129" i="18"/>
  <c r="I129" i="18"/>
  <c r="E129" i="18"/>
  <c r="A129" i="18"/>
  <c r="K128" i="18"/>
  <c r="M128" i="18"/>
  <c r="I127" i="8"/>
  <c r="C127" i="8"/>
  <c r="E127" i="8"/>
  <c r="D127" i="8"/>
  <c r="E127" i="19" s="1"/>
  <c r="U127" i="8"/>
  <c r="I127" i="19" s="1"/>
  <c r="K127" i="8"/>
  <c r="L127" i="8"/>
  <c r="J127" i="8"/>
  <c r="B127" i="8"/>
  <c r="C127" i="19" s="1"/>
  <c r="M127" i="8"/>
  <c r="G127" i="8"/>
  <c r="H127" i="8"/>
  <c r="X127" i="8"/>
  <c r="B127" i="14"/>
  <c r="D127" i="14"/>
  <c r="E127" i="14"/>
  <c r="S127" i="14"/>
  <c r="A127" i="14"/>
  <c r="K127" i="14"/>
  <c r="I127" i="14"/>
  <c r="V127" i="14"/>
  <c r="C127" i="14"/>
  <c r="T127" i="14"/>
  <c r="H127" i="14"/>
  <c r="G127" i="14"/>
  <c r="W127" i="14"/>
  <c r="U127" i="14"/>
  <c r="J127" i="18"/>
  <c r="L127" i="18" s="1"/>
  <c r="H127" i="18"/>
  <c r="B127" i="18"/>
  <c r="D127" i="18"/>
  <c r="E127" i="18"/>
  <c r="G127" i="18"/>
  <c r="C127" i="18"/>
  <c r="A127" i="18"/>
  <c r="I127" i="18"/>
  <c r="D126" i="14"/>
  <c r="C126" i="14"/>
  <c r="B126" i="14"/>
  <c r="T126" i="14"/>
  <c r="S126" i="14"/>
  <c r="I126" i="14"/>
  <c r="K126" i="14"/>
  <c r="W126" i="14"/>
  <c r="V126" i="14"/>
  <c r="U126" i="14"/>
  <c r="H126" i="14"/>
  <c r="G126" i="14"/>
  <c r="E126" i="14"/>
  <c r="A126" i="14"/>
  <c r="I126" i="8"/>
  <c r="H126" i="8"/>
  <c r="X126" i="8"/>
  <c r="C126" i="8"/>
  <c r="M126" i="8"/>
  <c r="J126" i="8"/>
  <c r="E126" i="8"/>
  <c r="L126" i="8"/>
  <c r="G126" i="8"/>
  <c r="K126" i="8"/>
  <c r="D126" i="8"/>
  <c r="E126" i="19" s="1"/>
  <c r="B126" i="8"/>
  <c r="C126" i="19" s="1"/>
  <c r="U126" i="8"/>
  <c r="I126" i="19" s="1"/>
  <c r="B126" i="18"/>
  <c r="H126" i="18"/>
  <c r="G126" i="18"/>
  <c r="D126" i="18"/>
  <c r="C126" i="18"/>
  <c r="E126" i="18"/>
  <c r="J126" i="18" s="1"/>
  <c r="A126" i="18"/>
  <c r="Z35" i="8"/>
  <c r="C35" i="8"/>
  <c r="U35" i="8"/>
  <c r="I35" i="19" s="1"/>
  <c r="B35" i="8"/>
  <c r="C35" i="19" s="1"/>
  <c r="I35" i="8"/>
  <c r="K35" i="8"/>
  <c r="G35" i="8"/>
  <c r="D35" i="8"/>
  <c r="E35" i="19" s="1"/>
  <c r="X35" i="8"/>
  <c r="M35" i="8"/>
  <c r="E35" i="8"/>
  <c r="F35" i="19" s="1"/>
  <c r="H35" i="8"/>
  <c r="J35" i="8"/>
  <c r="L35" i="8"/>
  <c r="E35" i="14"/>
  <c r="C35" i="14"/>
  <c r="S35" i="14"/>
  <c r="I35" i="14"/>
  <c r="G35" i="14"/>
  <c r="A35" i="14"/>
  <c r="B35" i="14"/>
  <c r="D35" i="14"/>
  <c r="H35" i="14"/>
  <c r="W35" i="14"/>
  <c r="K35" i="14"/>
  <c r="V35" i="14"/>
  <c r="T35" i="14"/>
  <c r="U35" i="14"/>
  <c r="B35" i="18"/>
  <c r="D35" i="18"/>
  <c r="A35" i="18"/>
  <c r="C35" i="18"/>
  <c r="E35" i="18"/>
  <c r="J35" i="18" s="1"/>
  <c r="H35" i="18"/>
  <c r="G35" i="18"/>
  <c r="M125" i="18"/>
  <c r="K125" i="18"/>
  <c r="N125" i="18"/>
  <c r="V124" i="13"/>
  <c r="Z124" i="13" s="1"/>
  <c r="X124" i="14" s="1"/>
  <c r="H124" i="13"/>
  <c r="D124" i="13"/>
  <c r="C124" i="14"/>
  <c r="B124" i="14"/>
  <c r="K124" i="14"/>
  <c r="H124" i="14"/>
  <c r="E124" i="14"/>
  <c r="S124" i="14"/>
  <c r="T124" i="14"/>
  <c r="U124" i="14"/>
  <c r="D124" i="14"/>
  <c r="G124" i="14"/>
  <c r="I124" i="14"/>
  <c r="W124" i="14"/>
  <c r="V124" i="14"/>
  <c r="A124" i="14"/>
  <c r="A124" i="13"/>
  <c r="U124" i="13"/>
  <c r="AG124" i="13" s="1"/>
  <c r="E124" i="13"/>
  <c r="J124" i="13"/>
  <c r="J124" i="14" s="1"/>
  <c r="B124" i="13"/>
  <c r="C124" i="8"/>
  <c r="L124" i="8"/>
  <c r="J124" i="8"/>
  <c r="U124" i="8"/>
  <c r="I124" i="19" s="1"/>
  <c r="D124" i="8"/>
  <c r="E124" i="19" s="1"/>
  <c r="B124" i="8"/>
  <c r="C124" i="19" s="1"/>
  <c r="X124" i="8"/>
  <c r="E124" i="8"/>
  <c r="I124" i="8"/>
  <c r="H124" i="8"/>
  <c r="K124" i="8"/>
  <c r="G124" i="8"/>
  <c r="M124" i="8"/>
  <c r="B124" i="18"/>
  <c r="D124" i="18"/>
  <c r="G124" i="18"/>
  <c r="J124" i="18"/>
  <c r="L124" i="18" s="1"/>
  <c r="A124" i="18"/>
  <c r="C124" i="18"/>
  <c r="I124" i="18"/>
  <c r="H124" i="18"/>
  <c r="E124" i="18"/>
  <c r="I123" i="18"/>
  <c r="K123" i="18" s="1"/>
  <c r="L122" i="18"/>
  <c r="K122" i="18"/>
  <c r="L121" i="14"/>
  <c r="M121" i="14" s="1"/>
  <c r="N121" i="14" s="1"/>
  <c r="O121" i="14" s="1"/>
  <c r="P121" i="14" s="1"/>
  <c r="M121" i="18"/>
  <c r="N121" i="18"/>
  <c r="K121" i="18"/>
  <c r="I120" i="8"/>
  <c r="J120" i="8"/>
  <c r="G120" i="8"/>
  <c r="L120" i="8"/>
  <c r="D120" i="8"/>
  <c r="E120" i="19" s="1"/>
  <c r="C120" i="8"/>
  <c r="U120" i="8"/>
  <c r="I120" i="19" s="1"/>
  <c r="M120" i="8"/>
  <c r="K120" i="8"/>
  <c r="H120" i="8"/>
  <c r="E120" i="8"/>
  <c r="X120" i="8"/>
  <c r="B120" i="8"/>
  <c r="C120" i="19" s="1"/>
  <c r="H120" i="18"/>
  <c r="A120" i="18"/>
  <c r="C120" i="18"/>
  <c r="E120" i="18"/>
  <c r="G120" i="18"/>
  <c r="B120" i="18"/>
  <c r="D120" i="18"/>
  <c r="J120" i="18"/>
  <c r="L120" i="18" s="1"/>
  <c r="I120" i="18"/>
  <c r="C94" i="9"/>
  <c r="B120" i="14"/>
  <c r="K120" i="14"/>
  <c r="T120" i="14"/>
  <c r="G120" i="14"/>
  <c r="E120" i="14"/>
  <c r="U120" i="14"/>
  <c r="C120" i="14"/>
  <c r="D120" i="14"/>
  <c r="S120" i="14"/>
  <c r="A120" i="14"/>
  <c r="H120" i="14"/>
  <c r="W120" i="14"/>
  <c r="I120" i="14"/>
  <c r="V120" i="14"/>
  <c r="K119" i="18"/>
  <c r="N119" i="18"/>
  <c r="M119" i="18"/>
  <c r="C118" i="14"/>
  <c r="H118" i="14"/>
  <c r="S118" i="14"/>
  <c r="T118" i="14"/>
  <c r="K118" i="14"/>
  <c r="U118" i="14"/>
  <c r="B118" i="14"/>
  <c r="D118" i="14"/>
  <c r="A118" i="14"/>
  <c r="G118" i="14"/>
  <c r="E118" i="14"/>
  <c r="I118" i="14"/>
  <c r="V118" i="14"/>
  <c r="W118" i="14"/>
  <c r="U118" i="13"/>
  <c r="AG118" i="13" s="1"/>
  <c r="H118" i="13"/>
  <c r="E118" i="13"/>
  <c r="D118" i="13"/>
  <c r="J118" i="8"/>
  <c r="L118" i="8"/>
  <c r="K118" i="8"/>
  <c r="E118" i="8"/>
  <c r="I118" i="8"/>
  <c r="G118" i="8"/>
  <c r="D118" i="8"/>
  <c r="E118" i="19" s="1"/>
  <c r="B118" i="8"/>
  <c r="C118" i="19" s="1"/>
  <c r="H118" i="8"/>
  <c r="X118" i="8"/>
  <c r="C118" i="8"/>
  <c r="U118" i="8"/>
  <c r="I118" i="19" s="1"/>
  <c r="M118" i="8"/>
  <c r="E118" i="18"/>
  <c r="J118" i="18"/>
  <c r="L118" i="18" s="1"/>
  <c r="H118" i="18"/>
  <c r="A118" i="18"/>
  <c r="G118" i="18"/>
  <c r="B118" i="18"/>
  <c r="I118" i="18"/>
  <c r="D118" i="18"/>
  <c r="C118" i="18"/>
  <c r="I117" i="8"/>
  <c r="B117" i="8"/>
  <c r="C117" i="19" s="1"/>
  <c r="U117" i="8"/>
  <c r="I117" i="19" s="1"/>
  <c r="L117" i="8"/>
  <c r="J117" i="8"/>
  <c r="G117" i="8"/>
  <c r="H117" i="8"/>
  <c r="D117" i="8"/>
  <c r="E117" i="19" s="1"/>
  <c r="X117" i="8"/>
  <c r="M117" i="8"/>
  <c r="C117" i="8"/>
  <c r="E117" i="8"/>
  <c r="K117" i="8"/>
  <c r="C117" i="14"/>
  <c r="T117" i="14"/>
  <c r="H117" i="14"/>
  <c r="S117" i="14"/>
  <c r="K117" i="14"/>
  <c r="I117" i="14"/>
  <c r="U117" i="14"/>
  <c r="V117" i="14"/>
  <c r="D117" i="14"/>
  <c r="B117" i="14"/>
  <c r="G117" i="14"/>
  <c r="A117" i="14"/>
  <c r="E117" i="14"/>
  <c r="W117" i="14"/>
  <c r="D117" i="18"/>
  <c r="J117" i="18"/>
  <c r="L117" i="18" s="1"/>
  <c r="H117" i="18"/>
  <c r="A117" i="18"/>
  <c r="C117" i="18"/>
  <c r="B117" i="18"/>
  <c r="I117" i="18"/>
  <c r="E117" i="18"/>
  <c r="G117" i="18"/>
  <c r="L116" i="14"/>
  <c r="M116" i="14" s="1"/>
  <c r="N116" i="14" s="1"/>
  <c r="O116" i="14" s="1"/>
  <c r="P116" i="14" s="1"/>
  <c r="N116" i="18"/>
  <c r="K116" i="18"/>
  <c r="M116" i="18"/>
  <c r="I115" i="8"/>
  <c r="E115" i="8"/>
  <c r="C115" i="8"/>
  <c r="X115" i="8"/>
  <c r="L115" i="8"/>
  <c r="K115" i="8"/>
  <c r="U115" i="8"/>
  <c r="I115" i="19" s="1"/>
  <c r="H115" i="8"/>
  <c r="B115" i="8"/>
  <c r="C115" i="19" s="1"/>
  <c r="M115" i="8"/>
  <c r="J115" i="8"/>
  <c r="G115" i="8"/>
  <c r="D115" i="8"/>
  <c r="E115" i="19" s="1"/>
  <c r="B115" i="14"/>
  <c r="C115" i="14"/>
  <c r="I115" i="14"/>
  <c r="U115" i="14"/>
  <c r="E115" i="14"/>
  <c r="G115" i="14"/>
  <c r="K115" i="14"/>
  <c r="V115" i="14"/>
  <c r="D115" i="14"/>
  <c r="T115" i="14"/>
  <c r="W115" i="14"/>
  <c r="S115" i="14"/>
  <c r="A115" i="14"/>
  <c r="H115" i="14"/>
  <c r="C115" i="18"/>
  <c r="H115" i="18"/>
  <c r="B115" i="18"/>
  <c r="D115" i="18"/>
  <c r="A115" i="18"/>
  <c r="E115" i="18"/>
  <c r="J115" i="18" s="1"/>
  <c r="G115" i="18"/>
  <c r="V114" i="14"/>
  <c r="I114" i="14"/>
  <c r="H114" i="14"/>
  <c r="E114" i="14"/>
  <c r="G114" i="14"/>
  <c r="K114" i="14"/>
  <c r="W114" i="14"/>
  <c r="U114" i="14"/>
  <c r="B114" i="14"/>
  <c r="D114" i="14"/>
  <c r="A114" i="14"/>
  <c r="T114" i="14"/>
  <c r="S114" i="14"/>
  <c r="C114" i="14"/>
  <c r="X114" i="8"/>
  <c r="C114" i="8"/>
  <c r="K114" i="8"/>
  <c r="I114" i="8"/>
  <c r="G114" i="8"/>
  <c r="D114" i="8"/>
  <c r="E114" i="19" s="1"/>
  <c r="B114" i="8"/>
  <c r="C114" i="19" s="1"/>
  <c r="U114" i="8"/>
  <c r="I114" i="19" s="1"/>
  <c r="M114" i="8"/>
  <c r="L114" i="8"/>
  <c r="J114" i="8"/>
  <c r="E114" i="8"/>
  <c r="H114" i="8"/>
  <c r="D114" i="18"/>
  <c r="C114" i="18"/>
  <c r="I114" i="18"/>
  <c r="A114" i="18"/>
  <c r="J114" i="18"/>
  <c r="N114" i="18" s="1"/>
  <c r="G114" i="18"/>
  <c r="B114" i="18"/>
  <c r="H114" i="18"/>
  <c r="E114" i="18"/>
  <c r="I113" i="8"/>
  <c r="D113" i="8"/>
  <c r="E113" i="19" s="1"/>
  <c r="X113" i="8"/>
  <c r="M113" i="8"/>
  <c r="G113" i="8"/>
  <c r="J113" i="8"/>
  <c r="K113" i="8"/>
  <c r="L113" i="8"/>
  <c r="C113" i="8"/>
  <c r="B113" i="8"/>
  <c r="C113" i="19" s="1"/>
  <c r="U113" i="8"/>
  <c r="I113" i="19" s="1"/>
  <c r="H113" i="8"/>
  <c r="E113" i="8"/>
  <c r="B113" i="14"/>
  <c r="D113" i="14"/>
  <c r="C113" i="14"/>
  <c r="T113" i="14"/>
  <c r="G113" i="14"/>
  <c r="E113" i="14"/>
  <c r="A113" i="14"/>
  <c r="I113" i="14"/>
  <c r="V113" i="14"/>
  <c r="H113" i="14"/>
  <c r="S113" i="14"/>
  <c r="K113" i="14"/>
  <c r="W113" i="14"/>
  <c r="U113" i="14"/>
  <c r="D113" i="18"/>
  <c r="C113" i="18"/>
  <c r="B113" i="18"/>
  <c r="J113" i="18"/>
  <c r="A113" i="18"/>
  <c r="G113" i="18"/>
  <c r="H113" i="18"/>
  <c r="E113" i="18"/>
  <c r="J112" i="8"/>
  <c r="D112" i="8"/>
  <c r="E112" i="19" s="1"/>
  <c r="B112" i="8"/>
  <c r="C112" i="19" s="1"/>
  <c r="I112" i="8"/>
  <c r="E112" i="8"/>
  <c r="F112" i="19" s="1"/>
  <c r="X112" i="8"/>
  <c r="C112" i="8"/>
  <c r="U112" i="8"/>
  <c r="I112" i="19" s="1"/>
  <c r="M112" i="8"/>
  <c r="K112" i="8"/>
  <c r="L112" i="8"/>
  <c r="G112" i="8"/>
  <c r="H112" i="8"/>
  <c r="E112" i="18"/>
  <c r="J112" i="18" s="1"/>
  <c r="H112" i="18"/>
  <c r="C112" i="18"/>
  <c r="A112" i="18"/>
  <c r="G112" i="18"/>
  <c r="B112" i="18"/>
  <c r="D112" i="18"/>
  <c r="C112" i="14"/>
  <c r="S112" i="14"/>
  <c r="E112" i="14"/>
  <c r="T112" i="14"/>
  <c r="U112" i="14"/>
  <c r="B112" i="14"/>
  <c r="D112" i="14"/>
  <c r="H112" i="14"/>
  <c r="A112" i="14"/>
  <c r="G112" i="14"/>
  <c r="W112" i="14"/>
  <c r="K112" i="14"/>
  <c r="I112" i="14"/>
  <c r="V112" i="14"/>
  <c r="A79" i="13"/>
  <c r="V95" i="13"/>
  <c r="AA95" i="13" s="1"/>
  <c r="Y95" i="14" s="1"/>
  <c r="E95" i="13"/>
  <c r="E79" i="13"/>
  <c r="J95" i="13"/>
  <c r="L95" i="13" s="1"/>
  <c r="D95" i="13"/>
  <c r="A111" i="13"/>
  <c r="D111" i="13"/>
  <c r="E111" i="8"/>
  <c r="D111" i="8"/>
  <c r="E111" i="19" s="1"/>
  <c r="B111" i="8"/>
  <c r="C111" i="19" s="1"/>
  <c r="M111" i="8"/>
  <c r="H111" i="8"/>
  <c r="G111" i="8"/>
  <c r="C111" i="8"/>
  <c r="J111" i="8"/>
  <c r="X111" i="8"/>
  <c r="U111" i="8"/>
  <c r="I111" i="19" s="1"/>
  <c r="L111" i="8"/>
  <c r="K111" i="8"/>
  <c r="I111" i="8"/>
  <c r="V111" i="13"/>
  <c r="AA111" i="13" s="1"/>
  <c r="H111" i="13"/>
  <c r="E111" i="13"/>
  <c r="B111" i="14"/>
  <c r="C111" i="14"/>
  <c r="T111" i="14"/>
  <c r="H111" i="14"/>
  <c r="A111" i="14"/>
  <c r="U111" i="14"/>
  <c r="D111" i="14"/>
  <c r="E111" i="14"/>
  <c r="G111" i="14"/>
  <c r="S111" i="14"/>
  <c r="W111" i="14"/>
  <c r="K111" i="14"/>
  <c r="I111" i="14"/>
  <c r="V111" i="14"/>
  <c r="H111" i="18"/>
  <c r="A111" i="18"/>
  <c r="B111" i="18"/>
  <c r="D111" i="18"/>
  <c r="E111" i="18"/>
  <c r="J111" i="18" s="1"/>
  <c r="C111" i="18"/>
  <c r="G111" i="18"/>
  <c r="I110" i="18"/>
  <c r="K110" i="18" s="1"/>
  <c r="M109" i="8"/>
  <c r="K109" i="8"/>
  <c r="H109" i="8"/>
  <c r="G109" i="8"/>
  <c r="E109" i="8"/>
  <c r="U109" i="8"/>
  <c r="I109" i="19" s="1"/>
  <c r="C109" i="8"/>
  <c r="X109" i="8"/>
  <c r="D109" i="8"/>
  <c r="E109" i="19" s="1"/>
  <c r="L109" i="8"/>
  <c r="J109" i="8"/>
  <c r="I109" i="8"/>
  <c r="B109" i="8"/>
  <c r="C109" i="19" s="1"/>
  <c r="C83" i="9"/>
  <c r="A109" i="13"/>
  <c r="U109" i="13"/>
  <c r="AG109" i="13" s="1"/>
  <c r="E109" i="13"/>
  <c r="J109" i="13"/>
  <c r="L109" i="13" s="1"/>
  <c r="C109" i="14"/>
  <c r="G109" i="14"/>
  <c r="K109" i="14"/>
  <c r="T109" i="14"/>
  <c r="V109" i="14"/>
  <c r="B109" i="14"/>
  <c r="D109" i="14"/>
  <c r="H109" i="14"/>
  <c r="E109" i="14"/>
  <c r="S109" i="14"/>
  <c r="A109" i="14"/>
  <c r="I109" i="14"/>
  <c r="W109" i="14"/>
  <c r="U109" i="14"/>
  <c r="C109" i="18"/>
  <c r="B109" i="18"/>
  <c r="A109" i="18"/>
  <c r="E109" i="18"/>
  <c r="J109" i="18" s="1"/>
  <c r="D109" i="18"/>
  <c r="H109" i="18"/>
  <c r="G109" i="18"/>
  <c r="K108" i="18"/>
  <c r="M108" i="18"/>
  <c r="N107" i="18"/>
  <c r="M107" i="18"/>
  <c r="L107" i="14"/>
  <c r="M107" i="14" s="1"/>
  <c r="N107" i="14" s="1"/>
  <c r="O107" i="14" s="1"/>
  <c r="P107" i="14" s="1"/>
  <c r="K106" i="18"/>
  <c r="N106" i="18"/>
  <c r="I105" i="18"/>
  <c r="K105" i="18" s="1"/>
  <c r="L105" i="14"/>
  <c r="M105" i="14" s="1"/>
  <c r="N105" i="14" s="1"/>
  <c r="O105" i="14" s="1"/>
  <c r="P105" i="14" s="1"/>
  <c r="C104" i="14"/>
  <c r="E104" i="14"/>
  <c r="G104" i="14"/>
  <c r="K104" i="14"/>
  <c r="H104" i="14"/>
  <c r="V104" i="14"/>
  <c r="B104" i="14"/>
  <c r="D104" i="14"/>
  <c r="S104" i="14"/>
  <c r="A104" i="14"/>
  <c r="T104" i="14"/>
  <c r="I104" i="14"/>
  <c r="W104" i="14"/>
  <c r="U104" i="14"/>
  <c r="K104" i="8"/>
  <c r="E104" i="8"/>
  <c r="I104" i="8"/>
  <c r="L104" i="8"/>
  <c r="X104" i="8"/>
  <c r="B104" i="8"/>
  <c r="C104" i="19" s="1"/>
  <c r="U104" i="8"/>
  <c r="I104" i="19" s="1"/>
  <c r="J104" i="8"/>
  <c r="G104" i="8"/>
  <c r="H104" i="19" s="1"/>
  <c r="H104" i="8"/>
  <c r="D104" i="8"/>
  <c r="E104" i="19" s="1"/>
  <c r="C104" i="8"/>
  <c r="M104" i="8"/>
  <c r="G104" i="18"/>
  <c r="J104" i="18"/>
  <c r="L104" i="18" s="1"/>
  <c r="B104" i="18"/>
  <c r="D104" i="18"/>
  <c r="H104" i="18"/>
  <c r="N104" i="18"/>
  <c r="A104" i="18"/>
  <c r="C104" i="18"/>
  <c r="E104" i="18"/>
  <c r="I104" i="18"/>
  <c r="K103" i="8"/>
  <c r="D103" i="8"/>
  <c r="E103" i="19" s="1"/>
  <c r="H103" i="8"/>
  <c r="G103" i="8"/>
  <c r="L103" i="8"/>
  <c r="J103" i="8"/>
  <c r="E103" i="8"/>
  <c r="F103" i="19" s="1"/>
  <c r="X103" i="8"/>
  <c r="U103" i="8"/>
  <c r="I103" i="19" s="1"/>
  <c r="I103" i="8"/>
  <c r="M103" i="8"/>
  <c r="C103" i="8"/>
  <c r="B103" i="8"/>
  <c r="C103" i="19" s="1"/>
  <c r="B103" i="14"/>
  <c r="H103" i="14"/>
  <c r="E103" i="14"/>
  <c r="A103" i="14"/>
  <c r="W103" i="14"/>
  <c r="I103" i="14"/>
  <c r="U103" i="14"/>
  <c r="D103" i="14"/>
  <c r="C103" i="14"/>
  <c r="G103" i="14"/>
  <c r="T103" i="14"/>
  <c r="S103" i="14"/>
  <c r="K103" i="14"/>
  <c r="V103" i="14"/>
  <c r="G103" i="18"/>
  <c r="E103" i="18"/>
  <c r="J103" i="18" s="1"/>
  <c r="I103" i="18" s="1"/>
  <c r="K103" i="18" s="1"/>
  <c r="C103" i="18"/>
  <c r="H103" i="18"/>
  <c r="B103" i="18"/>
  <c r="D103" i="18"/>
  <c r="A103" i="18"/>
  <c r="C102" i="14"/>
  <c r="B102" i="14"/>
  <c r="E102" i="14"/>
  <c r="I102" i="14"/>
  <c r="T102" i="14"/>
  <c r="A102" i="14"/>
  <c r="W102" i="14"/>
  <c r="D102" i="14"/>
  <c r="G102" i="14"/>
  <c r="H102" i="14"/>
  <c r="S102" i="14"/>
  <c r="K102" i="14"/>
  <c r="U102" i="14"/>
  <c r="V102" i="14"/>
  <c r="H102" i="18"/>
  <c r="B102" i="18"/>
  <c r="A102" i="18"/>
  <c r="D102" i="18"/>
  <c r="C102" i="18"/>
  <c r="E102" i="18"/>
  <c r="J102" i="18" s="1"/>
  <c r="G102" i="18"/>
  <c r="E102" i="8"/>
  <c r="C102" i="8"/>
  <c r="J102" i="8"/>
  <c r="L102" i="8"/>
  <c r="G102" i="8"/>
  <c r="H102" i="19" s="1"/>
  <c r="U102" i="8"/>
  <c r="I102" i="19" s="1"/>
  <c r="D102" i="8"/>
  <c r="E102" i="19" s="1"/>
  <c r="B102" i="8"/>
  <c r="C102" i="19" s="1"/>
  <c r="X102" i="8"/>
  <c r="H102" i="8"/>
  <c r="I102" i="8"/>
  <c r="K102" i="8"/>
  <c r="M102" i="8"/>
  <c r="N101" i="13"/>
  <c r="O101" i="13" s="1"/>
  <c r="Q101" i="13" s="1"/>
  <c r="R101" i="13" s="1"/>
  <c r="M101" i="13"/>
  <c r="B101" i="14"/>
  <c r="D101" i="14"/>
  <c r="S101" i="14"/>
  <c r="J101" i="14"/>
  <c r="E101" i="14"/>
  <c r="V101" i="14"/>
  <c r="H101" i="14"/>
  <c r="C101" i="14"/>
  <c r="T101" i="14"/>
  <c r="K101" i="14"/>
  <c r="Y101" i="14"/>
  <c r="I101" i="14"/>
  <c r="W101" i="14"/>
  <c r="G101" i="14"/>
  <c r="A101" i="14"/>
  <c r="U101" i="14"/>
  <c r="C101" i="18"/>
  <c r="B101" i="18"/>
  <c r="H101" i="18"/>
  <c r="G101" i="18"/>
  <c r="A101" i="18"/>
  <c r="D101" i="18"/>
  <c r="E101" i="18"/>
  <c r="J101" i="18" s="1"/>
  <c r="J101" i="8"/>
  <c r="I101" i="8"/>
  <c r="B101" i="8"/>
  <c r="C101" i="19" s="1"/>
  <c r="U101" i="8"/>
  <c r="I101" i="19" s="1"/>
  <c r="L101" i="8"/>
  <c r="K101" i="8"/>
  <c r="G101" i="8"/>
  <c r="C101" i="8"/>
  <c r="D101" i="8"/>
  <c r="E101" i="19" s="1"/>
  <c r="X101" i="8"/>
  <c r="M101" i="8"/>
  <c r="E101" i="8"/>
  <c r="H101" i="8"/>
  <c r="L87" i="13"/>
  <c r="N87" i="13" s="1"/>
  <c r="O87" i="13" s="1"/>
  <c r="Q87" i="13" s="1"/>
  <c r="R87" i="13" s="1"/>
  <c r="V66" i="13"/>
  <c r="Z66" i="13" s="1"/>
  <c r="X66" i="14" s="1"/>
  <c r="B66" i="13"/>
  <c r="D100" i="8"/>
  <c r="E100" i="19" s="1"/>
  <c r="C100" i="8"/>
  <c r="U100" i="8"/>
  <c r="I100" i="19" s="1"/>
  <c r="H100" i="8"/>
  <c r="K100" i="8"/>
  <c r="G100" i="8"/>
  <c r="X100" i="8"/>
  <c r="B100" i="8"/>
  <c r="C100" i="19" s="1"/>
  <c r="M100" i="8"/>
  <c r="L100" i="8"/>
  <c r="E100" i="8"/>
  <c r="I100" i="8"/>
  <c r="J100" i="8"/>
  <c r="C74" i="9"/>
  <c r="V100" i="14"/>
  <c r="G100" i="14"/>
  <c r="K100" i="14"/>
  <c r="U100" i="14"/>
  <c r="W100" i="14"/>
  <c r="S100" i="14"/>
  <c r="B100" i="14"/>
  <c r="E100" i="14"/>
  <c r="T100" i="14"/>
  <c r="A100" i="14"/>
  <c r="I100" i="14"/>
  <c r="H100" i="14"/>
  <c r="D100" i="14"/>
  <c r="C100" i="14"/>
  <c r="B100" i="18"/>
  <c r="D100" i="18"/>
  <c r="G100" i="18"/>
  <c r="H100" i="18"/>
  <c r="C100" i="18"/>
  <c r="I100" i="18"/>
  <c r="J100" i="18"/>
  <c r="L100" i="18" s="1"/>
  <c r="A100" i="18"/>
  <c r="E100" i="18"/>
  <c r="N97" i="18"/>
  <c r="A99" i="14"/>
  <c r="D99" i="14"/>
  <c r="I99" i="14"/>
  <c r="V99" i="14"/>
  <c r="S99" i="14"/>
  <c r="G99" i="14"/>
  <c r="C99" i="14"/>
  <c r="B99" i="14"/>
  <c r="E99" i="14"/>
  <c r="K99" i="14"/>
  <c r="H99" i="14"/>
  <c r="W99" i="14"/>
  <c r="U99" i="14"/>
  <c r="T99" i="14"/>
  <c r="B99" i="8"/>
  <c r="C99" i="19" s="1"/>
  <c r="C99" i="8"/>
  <c r="U99" i="8"/>
  <c r="I99" i="19" s="1"/>
  <c r="E99" i="8"/>
  <c r="H99" i="8"/>
  <c r="J99" i="8"/>
  <c r="K99" i="8"/>
  <c r="G99" i="8"/>
  <c r="H99" i="19" s="1"/>
  <c r="D99" i="8"/>
  <c r="E99" i="19" s="1"/>
  <c r="X99" i="8"/>
  <c r="M99" i="8"/>
  <c r="I99" i="8"/>
  <c r="L99" i="8"/>
  <c r="B99" i="18"/>
  <c r="D99" i="18"/>
  <c r="I99" i="18"/>
  <c r="A99" i="18"/>
  <c r="E99" i="18"/>
  <c r="C99" i="18"/>
  <c r="J99" i="18"/>
  <c r="L99" i="18" s="1"/>
  <c r="H99" i="18"/>
  <c r="G99" i="18"/>
  <c r="K97" i="18"/>
  <c r="M97" i="18"/>
  <c r="L96" i="8"/>
  <c r="J96" i="8"/>
  <c r="I96" i="8"/>
  <c r="H96" i="8"/>
  <c r="G96" i="8"/>
  <c r="X96" i="8"/>
  <c r="C96" i="8"/>
  <c r="U96" i="8"/>
  <c r="I96" i="19" s="1"/>
  <c r="K96" i="8"/>
  <c r="E96" i="8"/>
  <c r="D96" i="8"/>
  <c r="E96" i="19" s="1"/>
  <c r="B96" i="8"/>
  <c r="C96" i="19" s="1"/>
  <c r="M96" i="8"/>
  <c r="D96" i="14"/>
  <c r="C96" i="14"/>
  <c r="H96" i="14"/>
  <c r="S96" i="14"/>
  <c r="G96" i="14"/>
  <c r="T96" i="14"/>
  <c r="A96" i="14"/>
  <c r="W96" i="14"/>
  <c r="K96" i="14"/>
  <c r="B96" i="14"/>
  <c r="E96" i="14"/>
  <c r="I96" i="14"/>
  <c r="U96" i="14"/>
  <c r="V96" i="14"/>
  <c r="H96" i="18"/>
  <c r="A96" i="18"/>
  <c r="G96" i="18"/>
  <c r="J96" i="18"/>
  <c r="L96" i="18" s="1"/>
  <c r="E96" i="18"/>
  <c r="C96" i="18"/>
  <c r="I96" i="18"/>
  <c r="B96" i="18"/>
  <c r="D96" i="18"/>
  <c r="S98" i="14"/>
  <c r="B98" i="14"/>
  <c r="D98" i="14"/>
  <c r="A98" i="14"/>
  <c r="V98" i="14"/>
  <c r="T98" i="14"/>
  <c r="U98" i="14"/>
  <c r="W98" i="14"/>
  <c r="C98" i="14"/>
  <c r="I98" i="14"/>
  <c r="E98" i="14"/>
  <c r="G98" i="14"/>
  <c r="H98" i="14"/>
  <c r="K98" i="14"/>
  <c r="C98" i="8"/>
  <c r="I98" i="8"/>
  <c r="U98" i="8"/>
  <c r="I98" i="19" s="1"/>
  <c r="M98" i="8"/>
  <c r="L98" i="8"/>
  <c r="D98" i="8"/>
  <c r="E98" i="19" s="1"/>
  <c r="B98" i="8"/>
  <c r="C98" i="19" s="1"/>
  <c r="X98" i="8"/>
  <c r="G98" i="8"/>
  <c r="H98" i="8"/>
  <c r="K98" i="8"/>
  <c r="E98" i="8"/>
  <c r="J98" i="8"/>
  <c r="B98" i="18"/>
  <c r="I98" i="18"/>
  <c r="J98" i="18"/>
  <c r="L98" i="18" s="1"/>
  <c r="A98" i="18"/>
  <c r="D98" i="18"/>
  <c r="C98" i="18"/>
  <c r="E98" i="18"/>
  <c r="G98" i="18"/>
  <c r="H98" i="18"/>
  <c r="M94" i="13"/>
  <c r="C95" i="14"/>
  <c r="B95" i="14"/>
  <c r="H95" i="14"/>
  <c r="G95" i="14"/>
  <c r="U95" i="14"/>
  <c r="I95" i="14"/>
  <c r="W95" i="14"/>
  <c r="V95" i="14"/>
  <c r="D95" i="14"/>
  <c r="E95" i="14"/>
  <c r="S95" i="14"/>
  <c r="A95" i="14"/>
  <c r="K95" i="14"/>
  <c r="T95" i="14"/>
  <c r="E95" i="8"/>
  <c r="I95" i="8"/>
  <c r="B95" i="8"/>
  <c r="C95" i="19" s="1"/>
  <c r="M95" i="8"/>
  <c r="K95" i="8"/>
  <c r="L95" i="8"/>
  <c r="C95" i="8"/>
  <c r="J95" i="8"/>
  <c r="D95" i="8"/>
  <c r="E95" i="19" s="1"/>
  <c r="X95" i="8"/>
  <c r="U95" i="8"/>
  <c r="I95" i="19" s="1"/>
  <c r="G95" i="8"/>
  <c r="H95" i="8"/>
  <c r="E95" i="18"/>
  <c r="J95" i="18" s="1"/>
  <c r="I95" i="18" s="1"/>
  <c r="B95" i="18"/>
  <c r="D95" i="18"/>
  <c r="A95" i="18"/>
  <c r="C95" i="18"/>
  <c r="H95" i="18"/>
  <c r="G95" i="18"/>
  <c r="C94" i="14"/>
  <c r="A94" i="14"/>
  <c r="G94" i="14"/>
  <c r="E94" i="14"/>
  <c r="S94" i="14"/>
  <c r="I94" i="14"/>
  <c r="W94" i="14"/>
  <c r="V94" i="14"/>
  <c r="H94" i="14"/>
  <c r="K94" i="14"/>
  <c r="B94" i="14"/>
  <c r="D94" i="14"/>
  <c r="T94" i="14"/>
  <c r="J94" i="14"/>
  <c r="X94" i="14"/>
  <c r="U94" i="14"/>
  <c r="H94" i="8"/>
  <c r="C94" i="8"/>
  <c r="L94" i="8"/>
  <c r="J94" i="8"/>
  <c r="K94" i="8"/>
  <c r="U94" i="8"/>
  <c r="I94" i="19" s="1"/>
  <c r="M94" i="8"/>
  <c r="D94" i="8"/>
  <c r="E94" i="19" s="1"/>
  <c r="B94" i="8"/>
  <c r="C94" i="19" s="1"/>
  <c r="X94" i="8"/>
  <c r="G94" i="8"/>
  <c r="I94" i="8"/>
  <c r="E94" i="8"/>
  <c r="D94" i="18"/>
  <c r="C94" i="18"/>
  <c r="E94" i="18"/>
  <c r="J94" i="18"/>
  <c r="L94" i="18" s="1"/>
  <c r="A94" i="18"/>
  <c r="H94" i="18"/>
  <c r="B94" i="18"/>
  <c r="I94" i="18"/>
  <c r="G94" i="18"/>
  <c r="M93" i="13"/>
  <c r="J93" i="8"/>
  <c r="U93" i="8"/>
  <c r="I93" i="19" s="1"/>
  <c r="G93" i="8"/>
  <c r="K93" i="8"/>
  <c r="L93" i="8"/>
  <c r="M93" i="8"/>
  <c r="D93" i="8"/>
  <c r="E93" i="19" s="1"/>
  <c r="C93" i="8"/>
  <c r="E93" i="8"/>
  <c r="H93" i="8"/>
  <c r="I93" i="8"/>
  <c r="B93" i="8"/>
  <c r="C93" i="19" s="1"/>
  <c r="X93" i="8"/>
  <c r="C67" i="9"/>
  <c r="B93" i="14"/>
  <c r="D93" i="14"/>
  <c r="G93" i="14"/>
  <c r="E93" i="14"/>
  <c r="H93" i="14"/>
  <c r="W93" i="14"/>
  <c r="U93" i="14"/>
  <c r="C93" i="14"/>
  <c r="S93" i="14"/>
  <c r="A93" i="14"/>
  <c r="I93" i="14"/>
  <c r="J93" i="14"/>
  <c r="K93" i="14"/>
  <c r="T93" i="14"/>
  <c r="V93" i="14"/>
  <c r="G93" i="18"/>
  <c r="D93" i="18"/>
  <c r="E93" i="18"/>
  <c r="A93" i="18"/>
  <c r="C93" i="18"/>
  <c r="B93" i="18"/>
  <c r="I93" i="18"/>
  <c r="J93" i="18"/>
  <c r="N93" i="18" s="1"/>
  <c r="H93" i="18"/>
  <c r="L92" i="13"/>
  <c r="N92" i="13" s="1"/>
  <c r="O92" i="13" s="1"/>
  <c r="Q92" i="13" s="1"/>
  <c r="R92" i="13" s="1"/>
  <c r="V79" i="13"/>
  <c r="Z79" i="13" s="1"/>
  <c r="X79" i="14" s="1"/>
  <c r="L73" i="14"/>
  <c r="M73" i="14" s="1"/>
  <c r="N73" i="14" s="1"/>
  <c r="O73" i="14" s="1"/>
  <c r="P73" i="14" s="1"/>
  <c r="K92" i="18"/>
  <c r="M92" i="13"/>
  <c r="L92" i="14"/>
  <c r="M92" i="14" s="1"/>
  <c r="N92" i="14" s="1"/>
  <c r="O92" i="14" s="1"/>
  <c r="P92" i="14" s="1"/>
  <c r="N92" i="18"/>
  <c r="M92" i="18"/>
  <c r="M91" i="18"/>
  <c r="N91" i="18"/>
  <c r="J90" i="8"/>
  <c r="K90" i="8"/>
  <c r="G90" i="8"/>
  <c r="L90" i="8"/>
  <c r="I90" i="8"/>
  <c r="E90" i="8"/>
  <c r="X90" i="8"/>
  <c r="C90" i="8"/>
  <c r="U90" i="8"/>
  <c r="I90" i="19" s="1"/>
  <c r="M90" i="8"/>
  <c r="H90" i="8"/>
  <c r="D90" i="8"/>
  <c r="E90" i="19" s="1"/>
  <c r="B90" i="8"/>
  <c r="C90" i="19" s="1"/>
  <c r="B90" i="14"/>
  <c r="D90" i="14"/>
  <c r="T90" i="14"/>
  <c r="I90" i="14"/>
  <c r="U90" i="14"/>
  <c r="A90" i="14"/>
  <c r="S90" i="14"/>
  <c r="W90" i="14"/>
  <c r="H90" i="14"/>
  <c r="C90" i="14"/>
  <c r="G90" i="14"/>
  <c r="K90" i="14"/>
  <c r="E90" i="14"/>
  <c r="V90" i="14"/>
  <c r="D90" i="18"/>
  <c r="C90" i="18"/>
  <c r="E90" i="18"/>
  <c r="J90" i="18" s="1"/>
  <c r="G90" i="18"/>
  <c r="H90" i="18"/>
  <c r="B90" i="18"/>
  <c r="A90" i="18"/>
  <c r="E78" i="13"/>
  <c r="L89" i="13"/>
  <c r="N89" i="13" s="1"/>
  <c r="O89" i="13" s="1"/>
  <c r="Q89" i="13" s="1"/>
  <c r="R89" i="13" s="1"/>
  <c r="V49" i="13"/>
  <c r="AA49" i="13" s="1"/>
  <c r="Y49" i="14" s="1"/>
  <c r="J79" i="13"/>
  <c r="L79" i="13" s="1"/>
  <c r="I89" i="18"/>
  <c r="K89" i="18" s="1"/>
  <c r="L89" i="14"/>
  <c r="M89" i="14" s="1"/>
  <c r="N89" i="14" s="1"/>
  <c r="O89" i="14" s="1"/>
  <c r="P89" i="14" s="1"/>
  <c r="N88" i="13"/>
  <c r="O88" i="13" s="1"/>
  <c r="Q88" i="13" s="1"/>
  <c r="R88" i="13" s="1"/>
  <c r="M88" i="13"/>
  <c r="L73" i="13"/>
  <c r="N73" i="13" s="1"/>
  <c r="O73" i="13" s="1"/>
  <c r="Q73" i="13" s="1"/>
  <c r="R73" i="13" s="1"/>
  <c r="G61" i="13"/>
  <c r="V78" i="13"/>
  <c r="Z78" i="13" s="1"/>
  <c r="X78" i="14" s="1"/>
  <c r="H78" i="13"/>
  <c r="U79" i="13"/>
  <c r="AG79" i="13" s="1"/>
  <c r="H79" i="13"/>
  <c r="G79" i="13"/>
  <c r="L86" i="14"/>
  <c r="M86" i="14" s="1"/>
  <c r="N86" i="14" s="1"/>
  <c r="O86" i="14" s="1"/>
  <c r="P86" i="14" s="1"/>
  <c r="L70" i="14"/>
  <c r="M70" i="14" s="1"/>
  <c r="N70" i="14" s="1"/>
  <c r="O70" i="14" s="1"/>
  <c r="P70" i="14" s="1"/>
  <c r="J78" i="13"/>
  <c r="L78" i="13" s="1"/>
  <c r="M78" i="13" s="1"/>
  <c r="D79" i="13"/>
  <c r="C78" i="13"/>
  <c r="B88" i="14"/>
  <c r="H88" i="14"/>
  <c r="E88" i="14"/>
  <c r="Y88" i="14"/>
  <c r="K88" i="14"/>
  <c r="U88" i="14"/>
  <c r="D88" i="14"/>
  <c r="C88" i="14"/>
  <c r="J88" i="14"/>
  <c r="A88" i="14"/>
  <c r="T88" i="14"/>
  <c r="G88" i="14"/>
  <c r="S88" i="14"/>
  <c r="W88" i="14"/>
  <c r="V88" i="14"/>
  <c r="I88" i="14"/>
  <c r="K88" i="8"/>
  <c r="H88" i="8"/>
  <c r="I88" i="8"/>
  <c r="G88" i="8"/>
  <c r="D88" i="8"/>
  <c r="E88" i="19" s="1"/>
  <c r="C88" i="8"/>
  <c r="U88" i="8"/>
  <c r="I88" i="19" s="1"/>
  <c r="M88" i="8"/>
  <c r="E88" i="8"/>
  <c r="L88" i="8"/>
  <c r="J88" i="8"/>
  <c r="X88" i="8"/>
  <c r="B88" i="8"/>
  <c r="C88" i="19" s="1"/>
  <c r="A88" i="18"/>
  <c r="G88" i="18"/>
  <c r="H88" i="18"/>
  <c r="E88" i="18"/>
  <c r="J88" i="18" s="1"/>
  <c r="B88" i="18"/>
  <c r="D88" i="18"/>
  <c r="C88" i="18"/>
  <c r="I87" i="18"/>
  <c r="K87" i="18" s="1"/>
  <c r="L87" i="14"/>
  <c r="M87" i="14" s="1"/>
  <c r="N87" i="14" s="1"/>
  <c r="O87" i="14" s="1"/>
  <c r="P87" i="14" s="1"/>
  <c r="N86" i="18"/>
  <c r="L84" i="18"/>
  <c r="M86" i="18"/>
  <c r="N85" i="18"/>
  <c r="M85" i="18"/>
  <c r="K85" i="18"/>
  <c r="X82" i="8"/>
  <c r="C82" i="8"/>
  <c r="U82" i="8"/>
  <c r="I82" i="19" s="1"/>
  <c r="M82" i="8"/>
  <c r="E82" i="8"/>
  <c r="L82" i="8"/>
  <c r="D82" i="8"/>
  <c r="E82" i="19" s="1"/>
  <c r="B82" i="8"/>
  <c r="C82" i="19" s="1"/>
  <c r="H82" i="8"/>
  <c r="G82" i="8"/>
  <c r="K82" i="8"/>
  <c r="J82" i="8"/>
  <c r="I82" i="8"/>
  <c r="M84" i="18"/>
  <c r="B82" i="14"/>
  <c r="D82" i="14"/>
  <c r="I82" i="14"/>
  <c r="T82" i="14"/>
  <c r="W82" i="14"/>
  <c r="C82" i="14"/>
  <c r="G82" i="14"/>
  <c r="E82" i="14"/>
  <c r="A82" i="14"/>
  <c r="S82" i="14"/>
  <c r="H82" i="14"/>
  <c r="K82" i="14"/>
  <c r="U82" i="14"/>
  <c r="V82" i="14"/>
  <c r="D82" i="18"/>
  <c r="C82" i="18"/>
  <c r="I82" i="18"/>
  <c r="E82" i="18"/>
  <c r="G82" i="18"/>
  <c r="B82" i="18"/>
  <c r="J82" i="18"/>
  <c r="N82" i="18" s="1"/>
  <c r="A82" i="18"/>
  <c r="H82" i="18"/>
  <c r="X83" i="8"/>
  <c r="G83" i="8"/>
  <c r="L83" i="8"/>
  <c r="D83" i="8"/>
  <c r="E83" i="19" s="1"/>
  <c r="J83" i="8"/>
  <c r="H83" i="8"/>
  <c r="E83" i="8"/>
  <c r="M83" i="8"/>
  <c r="I83" i="8"/>
  <c r="K83" i="8"/>
  <c r="C83" i="8"/>
  <c r="U83" i="8"/>
  <c r="I83" i="19" s="1"/>
  <c r="B83" i="8"/>
  <c r="C83" i="19" s="1"/>
  <c r="G83" i="14"/>
  <c r="C83" i="14"/>
  <c r="B83" i="14"/>
  <c r="I83" i="14"/>
  <c r="U83" i="14"/>
  <c r="H83" i="14"/>
  <c r="D83" i="14"/>
  <c r="E83" i="14"/>
  <c r="S83" i="14"/>
  <c r="K83" i="14"/>
  <c r="T83" i="14"/>
  <c r="V83" i="14"/>
  <c r="A83" i="14"/>
  <c r="W83" i="14"/>
  <c r="B83" i="18"/>
  <c r="D83" i="18"/>
  <c r="I83" i="18"/>
  <c r="A83" i="18"/>
  <c r="G83" i="18"/>
  <c r="C83" i="18"/>
  <c r="E83" i="18"/>
  <c r="J83" i="18"/>
  <c r="K83" i="18" s="1"/>
  <c r="H83" i="18"/>
  <c r="I81" i="18"/>
  <c r="K81" i="18" s="1"/>
  <c r="D80" i="14"/>
  <c r="C80" i="14"/>
  <c r="H80" i="14"/>
  <c r="S80" i="14"/>
  <c r="G80" i="14"/>
  <c r="T80" i="14"/>
  <c r="K80" i="14"/>
  <c r="V80" i="14"/>
  <c r="B80" i="14"/>
  <c r="E80" i="14"/>
  <c r="A80" i="14"/>
  <c r="W80" i="14"/>
  <c r="U80" i="14"/>
  <c r="I80" i="14"/>
  <c r="G80" i="8"/>
  <c r="H80" i="19" s="1"/>
  <c r="J80" i="8"/>
  <c r="H80" i="8"/>
  <c r="E80" i="8"/>
  <c r="X80" i="8"/>
  <c r="C80" i="8"/>
  <c r="U80" i="8"/>
  <c r="I80" i="19" s="1"/>
  <c r="M80" i="8"/>
  <c r="L80" i="8"/>
  <c r="K80" i="8"/>
  <c r="I80" i="8"/>
  <c r="D80" i="8"/>
  <c r="E80" i="19" s="1"/>
  <c r="B80" i="8"/>
  <c r="C80" i="19" s="1"/>
  <c r="H80" i="18"/>
  <c r="B80" i="18"/>
  <c r="D80" i="18"/>
  <c r="C80" i="18"/>
  <c r="E80" i="18"/>
  <c r="J80" i="18" s="1"/>
  <c r="G80" i="18"/>
  <c r="A80" i="18"/>
  <c r="L79" i="8"/>
  <c r="X79" i="8"/>
  <c r="B79" i="8"/>
  <c r="C79" i="19" s="1"/>
  <c r="M79" i="8"/>
  <c r="I79" i="8"/>
  <c r="J79" i="8"/>
  <c r="K79" i="8"/>
  <c r="D79" i="8"/>
  <c r="E79" i="19" s="1"/>
  <c r="C79" i="8"/>
  <c r="U79" i="8"/>
  <c r="I79" i="19" s="1"/>
  <c r="E79" i="8"/>
  <c r="G79" i="8"/>
  <c r="H79" i="8"/>
  <c r="C79" i="14"/>
  <c r="B79" i="14"/>
  <c r="E79" i="14"/>
  <c r="T79" i="14"/>
  <c r="H79" i="14"/>
  <c r="I79" i="14"/>
  <c r="U79" i="14"/>
  <c r="V79" i="14"/>
  <c r="D79" i="14"/>
  <c r="G79" i="14"/>
  <c r="S79" i="14"/>
  <c r="W79" i="14"/>
  <c r="K79" i="14"/>
  <c r="A79" i="14"/>
  <c r="E79" i="18"/>
  <c r="B79" i="18"/>
  <c r="D79" i="18"/>
  <c r="A79" i="18"/>
  <c r="I79" i="18"/>
  <c r="J79" i="18"/>
  <c r="L79" i="18" s="1"/>
  <c r="C79" i="18"/>
  <c r="H79" i="18"/>
  <c r="G79" i="18"/>
  <c r="M79" i="18"/>
  <c r="B78" i="14"/>
  <c r="D78" i="14"/>
  <c r="A78" i="14"/>
  <c r="G78" i="14"/>
  <c r="E78" i="14"/>
  <c r="S78" i="14"/>
  <c r="K78" i="14"/>
  <c r="V78" i="14"/>
  <c r="H78" i="14"/>
  <c r="T78" i="14"/>
  <c r="I78" i="14"/>
  <c r="W78" i="14"/>
  <c r="U78" i="14"/>
  <c r="C78" i="14"/>
  <c r="A78" i="13"/>
  <c r="U78" i="13"/>
  <c r="AG78" i="13" s="1"/>
  <c r="G78" i="13"/>
  <c r="D78" i="13"/>
  <c r="I78" i="8"/>
  <c r="X78" i="8"/>
  <c r="C78" i="8"/>
  <c r="H78" i="8"/>
  <c r="K78" i="8"/>
  <c r="J78" i="8"/>
  <c r="U78" i="8"/>
  <c r="I78" i="19" s="1"/>
  <c r="M78" i="8"/>
  <c r="D78" i="8"/>
  <c r="E78" i="19" s="1"/>
  <c r="B78" i="8"/>
  <c r="C78" i="19" s="1"/>
  <c r="G78" i="8"/>
  <c r="L78" i="8"/>
  <c r="E78" i="8"/>
  <c r="H78" i="18"/>
  <c r="B78" i="18"/>
  <c r="E78" i="18"/>
  <c r="J78" i="18"/>
  <c r="L78" i="18" s="1"/>
  <c r="I78" i="18"/>
  <c r="A78" i="18"/>
  <c r="G78" i="18"/>
  <c r="D78" i="18"/>
  <c r="C78" i="18"/>
  <c r="N77" i="13"/>
  <c r="O77" i="13" s="1"/>
  <c r="Q77" i="13" s="1"/>
  <c r="R77" i="13" s="1"/>
  <c r="M77" i="13"/>
  <c r="N77" i="18"/>
  <c r="M77" i="18"/>
  <c r="I77" i="18"/>
  <c r="L77" i="18"/>
  <c r="K77" i="18"/>
  <c r="J77" i="14"/>
  <c r="L77" i="14" s="1"/>
  <c r="M77" i="14" s="1"/>
  <c r="N77" i="14" s="1"/>
  <c r="O77" i="14" s="1"/>
  <c r="P77" i="14" s="1"/>
  <c r="D76" i="14"/>
  <c r="C76" i="14"/>
  <c r="G76" i="14"/>
  <c r="I76" i="14"/>
  <c r="S76" i="14"/>
  <c r="K76" i="14"/>
  <c r="T76" i="14"/>
  <c r="B76" i="14"/>
  <c r="E76" i="14"/>
  <c r="W76" i="14"/>
  <c r="H76" i="14"/>
  <c r="V76" i="14"/>
  <c r="A76" i="14"/>
  <c r="U76" i="14"/>
  <c r="H76" i="8"/>
  <c r="G76" i="8"/>
  <c r="J76" i="8"/>
  <c r="I76" i="8"/>
  <c r="D76" i="8"/>
  <c r="E76" i="19" s="1"/>
  <c r="B76" i="8"/>
  <c r="C76" i="19" s="1"/>
  <c r="U76" i="8"/>
  <c r="I76" i="19" s="1"/>
  <c r="M76" i="8"/>
  <c r="L76" i="8"/>
  <c r="E76" i="8"/>
  <c r="K76" i="8"/>
  <c r="X76" i="8"/>
  <c r="C76" i="8"/>
  <c r="B76" i="18"/>
  <c r="D76" i="18"/>
  <c r="I76" i="18"/>
  <c r="A76" i="18"/>
  <c r="G76" i="18"/>
  <c r="C76" i="18"/>
  <c r="J76" i="18"/>
  <c r="N76" i="18" s="1"/>
  <c r="E76" i="18"/>
  <c r="H76" i="18"/>
  <c r="E75" i="8"/>
  <c r="K75" i="8"/>
  <c r="B75" i="8"/>
  <c r="C75" i="19" s="1"/>
  <c r="U75" i="8"/>
  <c r="I75" i="19" s="1"/>
  <c r="C75" i="8"/>
  <c r="J75" i="8"/>
  <c r="H75" i="8"/>
  <c r="D75" i="8"/>
  <c r="E75" i="19" s="1"/>
  <c r="X75" i="8"/>
  <c r="M75" i="8"/>
  <c r="L75" i="8"/>
  <c r="G75" i="8"/>
  <c r="W75" i="8" s="1"/>
  <c r="I75" i="8"/>
  <c r="A75" i="14"/>
  <c r="W75" i="14"/>
  <c r="G75" i="14"/>
  <c r="T75" i="14"/>
  <c r="H75" i="14"/>
  <c r="C75" i="14"/>
  <c r="B75" i="14"/>
  <c r="V75" i="14"/>
  <c r="I75" i="14"/>
  <c r="E75" i="14"/>
  <c r="S75" i="14"/>
  <c r="U75" i="14"/>
  <c r="K75" i="14"/>
  <c r="D75" i="14"/>
  <c r="B75" i="18"/>
  <c r="D75" i="18"/>
  <c r="I75" i="18"/>
  <c r="J75" i="18"/>
  <c r="K75" i="18" s="1"/>
  <c r="A75" i="18"/>
  <c r="C75" i="18"/>
  <c r="H75" i="18"/>
  <c r="E75" i="18"/>
  <c r="G75" i="18"/>
  <c r="M74" i="18"/>
  <c r="N74" i="18"/>
  <c r="K74" i="18"/>
  <c r="I73" i="18"/>
  <c r="K73" i="18"/>
  <c r="M73" i="18"/>
  <c r="N73" i="18"/>
  <c r="I72" i="18"/>
  <c r="K72" i="18" s="1"/>
  <c r="L71" i="8"/>
  <c r="K71" i="8"/>
  <c r="D71" i="8"/>
  <c r="E71" i="19" s="1"/>
  <c r="E71" i="8"/>
  <c r="G71" i="8"/>
  <c r="J71" i="8"/>
  <c r="M71" i="8"/>
  <c r="U71" i="8"/>
  <c r="I71" i="19" s="1"/>
  <c r="B71" i="8"/>
  <c r="C71" i="19" s="1"/>
  <c r="C71" i="8"/>
  <c r="X71" i="8"/>
  <c r="I71" i="8"/>
  <c r="H71" i="8"/>
  <c r="D71" i="14"/>
  <c r="S71" i="14"/>
  <c r="E71" i="14"/>
  <c r="H71" i="14"/>
  <c r="K71" i="14"/>
  <c r="U71" i="14"/>
  <c r="C71" i="14"/>
  <c r="B71" i="14"/>
  <c r="T71" i="14"/>
  <c r="A71" i="14"/>
  <c r="G71" i="14"/>
  <c r="W71" i="14"/>
  <c r="I71" i="14"/>
  <c r="V71" i="14"/>
  <c r="J71" i="18"/>
  <c r="N71" i="18" s="1"/>
  <c r="A71" i="18"/>
  <c r="H71" i="18"/>
  <c r="C71" i="18"/>
  <c r="G71" i="18"/>
  <c r="E71" i="18"/>
  <c r="B71" i="18"/>
  <c r="D71" i="18"/>
  <c r="I71" i="18"/>
  <c r="V61" i="13"/>
  <c r="Z61" i="13" s="1"/>
  <c r="X61" i="14" s="1"/>
  <c r="E49" i="13"/>
  <c r="I70" i="18"/>
  <c r="K70" i="18" s="1"/>
  <c r="H69" i="8"/>
  <c r="I69" i="8"/>
  <c r="B69" i="8"/>
  <c r="C69" i="19" s="1"/>
  <c r="M69" i="8"/>
  <c r="L69" i="8"/>
  <c r="E69" i="8"/>
  <c r="C69" i="8"/>
  <c r="K69" i="8"/>
  <c r="D69" i="8"/>
  <c r="E69" i="19" s="1"/>
  <c r="U69" i="8"/>
  <c r="I69" i="19" s="1"/>
  <c r="J69" i="8"/>
  <c r="G69" i="8"/>
  <c r="X69" i="8"/>
  <c r="C69" i="14"/>
  <c r="G69" i="14"/>
  <c r="A69" i="14"/>
  <c r="S69" i="14"/>
  <c r="I69" i="14"/>
  <c r="E69" i="14"/>
  <c r="U69" i="14"/>
  <c r="B69" i="14"/>
  <c r="D69" i="14"/>
  <c r="T69" i="14"/>
  <c r="H69" i="14"/>
  <c r="K69" i="14"/>
  <c r="W69" i="14"/>
  <c r="V69" i="14"/>
  <c r="D69" i="18"/>
  <c r="E69" i="18"/>
  <c r="J69" i="18" s="1"/>
  <c r="G69" i="18"/>
  <c r="A69" i="18"/>
  <c r="C69" i="18"/>
  <c r="B69" i="18"/>
  <c r="H69" i="18"/>
  <c r="U66" i="13"/>
  <c r="AG66" i="13" s="1"/>
  <c r="H66" i="13"/>
  <c r="E66" i="13"/>
  <c r="L52" i="14"/>
  <c r="M52" i="14" s="1"/>
  <c r="N52" i="14" s="1"/>
  <c r="O52" i="14" s="1"/>
  <c r="P52" i="14" s="1"/>
  <c r="I63" i="18"/>
  <c r="K63" i="18" s="1"/>
  <c r="B61" i="13"/>
  <c r="M52" i="18"/>
  <c r="N41" i="18"/>
  <c r="I46" i="18"/>
  <c r="K46" i="18" s="1"/>
  <c r="H37" i="8"/>
  <c r="J37" i="8"/>
  <c r="D37" i="8"/>
  <c r="E37" i="19" s="1"/>
  <c r="M37" i="8"/>
  <c r="E37" i="8"/>
  <c r="B37" i="8"/>
  <c r="C37" i="19" s="1"/>
  <c r="I37" i="8"/>
  <c r="U37" i="8"/>
  <c r="I37" i="19" s="1"/>
  <c r="K37" i="8"/>
  <c r="L37" i="8"/>
  <c r="G37" i="8"/>
  <c r="C37" i="8"/>
  <c r="X37" i="8"/>
  <c r="D37" i="14"/>
  <c r="C37" i="14"/>
  <c r="T37" i="14"/>
  <c r="G37" i="14"/>
  <c r="A37" i="14"/>
  <c r="S37" i="14"/>
  <c r="V37" i="14"/>
  <c r="I37" i="14"/>
  <c r="B37" i="14"/>
  <c r="E37" i="14"/>
  <c r="H37" i="14"/>
  <c r="W37" i="14"/>
  <c r="K37" i="14"/>
  <c r="U37" i="14"/>
  <c r="C37" i="18"/>
  <c r="B37" i="18"/>
  <c r="J37" i="18"/>
  <c r="L37" i="18" s="1"/>
  <c r="A37" i="18"/>
  <c r="H37" i="18"/>
  <c r="D37" i="18"/>
  <c r="I37" i="18"/>
  <c r="E37" i="18"/>
  <c r="G37" i="18"/>
  <c r="I68" i="18"/>
  <c r="K68" i="18" s="1"/>
  <c r="G67" i="14"/>
  <c r="D67" i="14"/>
  <c r="H67" i="14"/>
  <c r="I67" i="14"/>
  <c r="V67" i="14"/>
  <c r="S67" i="14"/>
  <c r="A67" i="14"/>
  <c r="C67" i="14"/>
  <c r="E67" i="14"/>
  <c r="T67" i="14"/>
  <c r="W67" i="14"/>
  <c r="U67" i="14"/>
  <c r="B67" i="14"/>
  <c r="K67" i="14"/>
  <c r="J67" i="8"/>
  <c r="C67" i="8"/>
  <c r="U67" i="8"/>
  <c r="I67" i="19" s="1"/>
  <c r="E67" i="8"/>
  <c r="H67" i="8"/>
  <c r="L67" i="8"/>
  <c r="G67" i="8"/>
  <c r="D67" i="8"/>
  <c r="E67" i="19" s="1"/>
  <c r="X67" i="8"/>
  <c r="M67" i="8"/>
  <c r="I67" i="8"/>
  <c r="K67" i="8"/>
  <c r="B67" i="8"/>
  <c r="C67" i="19" s="1"/>
  <c r="B67" i="18"/>
  <c r="D67" i="18"/>
  <c r="H67" i="18"/>
  <c r="C67" i="18"/>
  <c r="E67" i="18"/>
  <c r="J67" i="18" s="1"/>
  <c r="A67" i="18"/>
  <c r="G67" i="18"/>
  <c r="A64" i="13"/>
  <c r="A61" i="13"/>
  <c r="U64" i="13"/>
  <c r="AG64" i="13" s="1"/>
  <c r="E64" i="13"/>
  <c r="U61" i="13"/>
  <c r="AG61" i="13" s="1"/>
  <c r="H61" i="13"/>
  <c r="E61" i="13"/>
  <c r="J61" i="13"/>
  <c r="L61" i="13" s="1"/>
  <c r="N61" i="13" s="1"/>
  <c r="O61" i="13" s="1"/>
  <c r="Q61" i="13" s="1"/>
  <c r="R61" i="13" s="1"/>
  <c r="D64" i="13"/>
  <c r="C61" i="13"/>
  <c r="X66" i="8"/>
  <c r="C66" i="8"/>
  <c r="M66" i="8"/>
  <c r="K66" i="8"/>
  <c r="D66" i="8"/>
  <c r="E66" i="19" s="1"/>
  <c r="B66" i="8"/>
  <c r="C66" i="19" s="1"/>
  <c r="U66" i="8"/>
  <c r="I66" i="19" s="1"/>
  <c r="L66" i="8"/>
  <c r="E66" i="8"/>
  <c r="I66" i="8"/>
  <c r="H66" i="8"/>
  <c r="J66" i="8"/>
  <c r="G66" i="8"/>
  <c r="B66" i="14"/>
  <c r="D66" i="14"/>
  <c r="G66" i="14"/>
  <c r="H66" i="14"/>
  <c r="I66" i="14"/>
  <c r="S66" i="14"/>
  <c r="E66" i="14"/>
  <c r="C66" i="14"/>
  <c r="T66" i="14"/>
  <c r="U66" i="14"/>
  <c r="A66" i="14"/>
  <c r="K66" i="14"/>
  <c r="W66" i="14"/>
  <c r="V66" i="14"/>
  <c r="B66" i="18"/>
  <c r="E66" i="18"/>
  <c r="G66" i="18"/>
  <c r="D66" i="18"/>
  <c r="C66" i="18"/>
  <c r="I66" i="18"/>
  <c r="J66" i="18"/>
  <c r="L66" i="18" s="1"/>
  <c r="A66" i="18"/>
  <c r="H66" i="18"/>
  <c r="C65" i="14"/>
  <c r="T65" i="14"/>
  <c r="A65" i="14"/>
  <c r="H65" i="14"/>
  <c r="S65" i="14"/>
  <c r="I65" i="14"/>
  <c r="U65" i="14"/>
  <c r="B65" i="14"/>
  <c r="D65" i="14"/>
  <c r="K65" i="14"/>
  <c r="G65" i="14"/>
  <c r="E65" i="14"/>
  <c r="W65" i="14"/>
  <c r="V65" i="14"/>
  <c r="C65" i="18"/>
  <c r="B65" i="18"/>
  <c r="G65" i="18"/>
  <c r="A65" i="18"/>
  <c r="D65" i="18"/>
  <c r="E65" i="18"/>
  <c r="J65" i="18" s="1"/>
  <c r="H65" i="18"/>
  <c r="I65" i="8"/>
  <c r="B65" i="8"/>
  <c r="C65" i="19" s="1"/>
  <c r="U65" i="8"/>
  <c r="I65" i="19" s="1"/>
  <c r="G65" i="8"/>
  <c r="J65" i="8"/>
  <c r="D65" i="8"/>
  <c r="E65" i="19" s="1"/>
  <c r="X65" i="8"/>
  <c r="M65" i="8"/>
  <c r="H65" i="8"/>
  <c r="E65" i="8"/>
  <c r="L65" i="8"/>
  <c r="K65" i="8"/>
  <c r="C65" i="8"/>
  <c r="B64" i="14"/>
  <c r="H64" i="14"/>
  <c r="E64" i="14"/>
  <c r="T64" i="14"/>
  <c r="I64" i="14"/>
  <c r="D64" i="14"/>
  <c r="C64" i="14"/>
  <c r="S64" i="14"/>
  <c r="G64" i="14"/>
  <c r="W64" i="14"/>
  <c r="K64" i="14"/>
  <c r="A64" i="14"/>
  <c r="U64" i="14"/>
  <c r="V64" i="14"/>
  <c r="V64" i="13"/>
  <c r="AA64" i="13" s="1"/>
  <c r="G64" i="13"/>
  <c r="J64" i="13"/>
  <c r="J64" i="14" s="1"/>
  <c r="B64" i="13"/>
  <c r="I64" i="8"/>
  <c r="H64" i="8"/>
  <c r="J64" i="8"/>
  <c r="X64" i="8"/>
  <c r="C64" i="8"/>
  <c r="M64" i="8"/>
  <c r="K64" i="8"/>
  <c r="G64" i="8"/>
  <c r="E64" i="8"/>
  <c r="L64" i="8"/>
  <c r="D64" i="8"/>
  <c r="E64" i="19" s="1"/>
  <c r="B64" i="8"/>
  <c r="C64" i="19" s="1"/>
  <c r="U64" i="8"/>
  <c r="I64" i="19" s="1"/>
  <c r="E64" i="18"/>
  <c r="J64" i="18" s="1"/>
  <c r="I64" i="18" s="1"/>
  <c r="H64" i="18"/>
  <c r="B64" i="18"/>
  <c r="D64" i="18"/>
  <c r="A64" i="18"/>
  <c r="G64" i="18"/>
  <c r="C64" i="18"/>
  <c r="I62" i="18"/>
  <c r="K62" i="18" s="1"/>
  <c r="C61" i="14"/>
  <c r="G61" i="14"/>
  <c r="S61" i="14"/>
  <c r="E61" i="14"/>
  <c r="K61" i="14"/>
  <c r="I61" i="14"/>
  <c r="U61" i="14"/>
  <c r="B61" i="14"/>
  <c r="D61" i="14"/>
  <c r="A61" i="14"/>
  <c r="H61" i="14"/>
  <c r="T61" i="14"/>
  <c r="W61" i="14"/>
  <c r="V61" i="14"/>
  <c r="C61" i="18"/>
  <c r="B61" i="18"/>
  <c r="G61" i="18"/>
  <c r="A61" i="18"/>
  <c r="D61" i="18"/>
  <c r="E61" i="18"/>
  <c r="J61" i="18" s="1"/>
  <c r="H61" i="18"/>
  <c r="B61" i="8"/>
  <c r="C61" i="19" s="1"/>
  <c r="K61" i="8"/>
  <c r="X61" i="8"/>
  <c r="H61" i="8"/>
  <c r="L61" i="8"/>
  <c r="G61" i="8"/>
  <c r="E61" i="8"/>
  <c r="D61" i="8"/>
  <c r="E61" i="19" s="1"/>
  <c r="M61" i="8"/>
  <c r="C61" i="8"/>
  <c r="J61" i="8"/>
  <c r="I61" i="8"/>
  <c r="U61" i="8"/>
  <c r="I61" i="19" s="1"/>
  <c r="I60" i="18"/>
  <c r="K60" i="18" s="1"/>
  <c r="X59" i="8"/>
  <c r="C59" i="8"/>
  <c r="U59" i="8"/>
  <c r="I59" i="19" s="1"/>
  <c r="J59" i="8"/>
  <c r="I59" i="8"/>
  <c r="E59" i="8"/>
  <c r="D59" i="8"/>
  <c r="E59" i="19" s="1"/>
  <c r="B59" i="8"/>
  <c r="C59" i="19" s="1"/>
  <c r="M59" i="8"/>
  <c r="H59" i="8"/>
  <c r="K59" i="8"/>
  <c r="G59" i="8"/>
  <c r="L59" i="8"/>
  <c r="S59" i="14"/>
  <c r="T59" i="14"/>
  <c r="A59" i="14"/>
  <c r="I59" i="14"/>
  <c r="W59" i="14"/>
  <c r="E59" i="14"/>
  <c r="G59" i="14"/>
  <c r="K59" i="14"/>
  <c r="H59" i="14"/>
  <c r="U59" i="14"/>
  <c r="V59" i="14"/>
  <c r="D59" i="14"/>
  <c r="C59" i="14"/>
  <c r="B59" i="14"/>
  <c r="B59" i="18"/>
  <c r="D59" i="18"/>
  <c r="E59" i="18"/>
  <c r="J59" i="18" s="1"/>
  <c r="H59" i="18"/>
  <c r="C59" i="18"/>
  <c r="A59" i="18"/>
  <c r="G59" i="18"/>
  <c r="L58" i="14"/>
  <c r="M58" i="14" s="1"/>
  <c r="N58" i="14" s="1"/>
  <c r="O58" i="14" s="1"/>
  <c r="P58" i="14" s="1"/>
  <c r="L58" i="13"/>
  <c r="I58" i="18"/>
  <c r="K58" i="18" s="1"/>
  <c r="N57" i="13"/>
  <c r="O57" i="13" s="1"/>
  <c r="Q57" i="13" s="1"/>
  <c r="R57" i="13" s="1"/>
  <c r="M57" i="13"/>
  <c r="I57" i="18"/>
  <c r="K57" i="18" s="1"/>
  <c r="J57" i="14"/>
  <c r="L57" i="14" s="1"/>
  <c r="M57" i="14" s="1"/>
  <c r="N57" i="14" s="1"/>
  <c r="O57" i="14" s="1"/>
  <c r="P57" i="14" s="1"/>
  <c r="M54" i="13"/>
  <c r="I56" i="18"/>
  <c r="K56" i="18" s="1"/>
  <c r="L56" i="14"/>
  <c r="M56" i="14" s="1"/>
  <c r="N56" i="14" s="1"/>
  <c r="O56" i="14" s="1"/>
  <c r="P56" i="14" s="1"/>
  <c r="L55" i="8"/>
  <c r="B55" i="8"/>
  <c r="C55" i="19" s="1"/>
  <c r="U55" i="8"/>
  <c r="I55" i="19" s="1"/>
  <c r="K55" i="8"/>
  <c r="E55" i="8"/>
  <c r="D55" i="8"/>
  <c r="E55" i="19" s="1"/>
  <c r="X55" i="8"/>
  <c r="M55" i="8"/>
  <c r="G55" i="8"/>
  <c r="I55" i="8"/>
  <c r="H55" i="8"/>
  <c r="J55" i="8"/>
  <c r="C55" i="8"/>
  <c r="L52" i="13"/>
  <c r="N52" i="13" s="1"/>
  <c r="O52" i="13" s="1"/>
  <c r="Q52" i="13" s="1"/>
  <c r="R52" i="13" s="1"/>
  <c r="U39" i="13"/>
  <c r="AG39" i="13" s="1"/>
  <c r="C55" i="14"/>
  <c r="B55" i="14"/>
  <c r="A55" i="14"/>
  <c r="W55" i="14"/>
  <c r="K55" i="14"/>
  <c r="T55" i="14"/>
  <c r="U55" i="14"/>
  <c r="V55" i="14"/>
  <c r="D55" i="14"/>
  <c r="H55" i="14"/>
  <c r="S55" i="14"/>
  <c r="G55" i="14"/>
  <c r="E55" i="14"/>
  <c r="I55" i="14"/>
  <c r="H55" i="18"/>
  <c r="C55" i="18"/>
  <c r="A55" i="18"/>
  <c r="E55" i="18"/>
  <c r="J55" i="18" s="1"/>
  <c r="G55" i="18"/>
  <c r="B55" i="18"/>
  <c r="D55" i="18"/>
  <c r="I54" i="8"/>
  <c r="C54" i="8"/>
  <c r="X54" i="8"/>
  <c r="J54" i="8"/>
  <c r="G54" i="8"/>
  <c r="M54" i="8"/>
  <c r="D54" i="8"/>
  <c r="E54" i="19" s="1"/>
  <c r="B54" i="8"/>
  <c r="C54" i="19" s="1"/>
  <c r="K54" i="8"/>
  <c r="H54" i="8"/>
  <c r="E54" i="8"/>
  <c r="L54" i="8"/>
  <c r="U54" i="8"/>
  <c r="I54" i="19" s="1"/>
  <c r="C54" i="14"/>
  <c r="H54" i="14"/>
  <c r="A54" i="14"/>
  <c r="J54" i="14"/>
  <c r="W54" i="14"/>
  <c r="V54" i="14"/>
  <c r="B54" i="14"/>
  <c r="D54" i="14"/>
  <c r="T54" i="14"/>
  <c r="G54" i="14"/>
  <c r="E54" i="14"/>
  <c r="S54" i="14"/>
  <c r="I54" i="14"/>
  <c r="K54" i="14"/>
  <c r="U54" i="14"/>
  <c r="H54" i="18"/>
  <c r="B54" i="18"/>
  <c r="G54" i="18"/>
  <c r="A54" i="18"/>
  <c r="D54" i="18"/>
  <c r="C54" i="18"/>
  <c r="E54" i="18"/>
  <c r="J54" i="18" s="1"/>
  <c r="H53" i="8"/>
  <c r="D53" i="8"/>
  <c r="E53" i="19" s="1"/>
  <c r="U53" i="8"/>
  <c r="I53" i="19" s="1"/>
  <c r="L53" i="8"/>
  <c r="E53" i="8"/>
  <c r="B53" i="8"/>
  <c r="C53" i="19" s="1"/>
  <c r="I53" i="8"/>
  <c r="C53" i="8"/>
  <c r="M53" i="8"/>
  <c r="K53" i="8"/>
  <c r="J53" i="8"/>
  <c r="G53" i="8"/>
  <c r="X53" i="8"/>
  <c r="B53" i="14"/>
  <c r="D53" i="14"/>
  <c r="E53" i="14"/>
  <c r="H53" i="14"/>
  <c r="K53" i="14"/>
  <c r="U53" i="14"/>
  <c r="V53" i="14"/>
  <c r="C53" i="14"/>
  <c r="T53" i="14"/>
  <c r="G53" i="14"/>
  <c r="A53" i="14"/>
  <c r="S53" i="14"/>
  <c r="W53" i="14"/>
  <c r="I53" i="14"/>
  <c r="D53" i="18"/>
  <c r="A53" i="18"/>
  <c r="G53" i="18"/>
  <c r="C53" i="18"/>
  <c r="B53" i="18"/>
  <c r="E53" i="18"/>
  <c r="J53" i="18" s="1"/>
  <c r="H53" i="18"/>
  <c r="N52" i="18"/>
  <c r="K52" i="18"/>
  <c r="H39" i="13"/>
  <c r="J39" i="13"/>
  <c r="L39" i="13" s="1"/>
  <c r="N39" i="13" s="1"/>
  <c r="O39" i="13" s="1"/>
  <c r="Q39" i="13" s="1"/>
  <c r="R39" i="13" s="1"/>
  <c r="I51" i="18"/>
  <c r="K51" i="18" s="1"/>
  <c r="K50" i="18"/>
  <c r="M50" i="18"/>
  <c r="I43" i="18"/>
  <c r="K43" i="18" s="1"/>
  <c r="L47" i="13"/>
  <c r="N47" i="13" s="1"/>
  <c r="O47" i="13" s="1"/>
  <c r="Q47" i="13" s="1"/>
  <c r="R47" i="13" s="1"/>
  <c r="L48" i="13"/>
  <c r="N48" i="13" s="1"/>
  <c r="O48" i="13" s="1"/>
  <c r="Q48" i="13" s="1"/>
  <c r="R48" i="13" s="1"/>
  <c r="L38" i="13"/>
  <c r="N38" i="13" s="1"/>
  <c r="O38" i="13" s="1"/>
  <c r="Q38" i="13" s="1"/>
  <c r="R38" i="13" s="1"/>
  <c r="H49" i="13"/>
  <c r="B49" i="13"/>
  <c r="A49" i="13"/>
  <c r="U49" i="13"/>
  <c r="AG49" i="13" s="1"/>
  <c r="G49" i="13"/>
  <c r="J49" i="13"/>
  <c r="L49" i="13" s="1"/>
  <c r="C49" i="13"/>
  <c r="I49" i="8"/>
  <c r="K49" i="8"/>
  <c r="D49" i="8"/>
  <c r="E49" i="19" s="1"/>
  <c r="X49" i="8"/>
  <c r="M49" i="8"/>
  <c r="G49" i="8"/>
  <c r="J49" i="8"/>
  <c r="C49" i="8"/>
  <c r="U49" i="8"/>
  <c r="I49" i="19" s="1"/>
  <c r="B49" i="8"/>
  <c r="C49" i="19" s="1"/>
  <c r="H49" i="8"/>
  <c r="E49" i="8"/>
  <c r="L49" i="8"/>
  <c r="C49" i="14"/>
  <c r="E49" i="14"/>
  <c r="G49" i="14"/>
  <c r="S49" i="14"/>
  <c r="V49" i="14"/>
  <c r="U49" i="14"/>
  <c r="B49" i="14"/>
  <c r="D49" i="14"/>
  <c r="T49" i="14"/>
  <c r="A49" i="14"/>
  <c r="H49" i="14"/>
  <c r="K49" i="14"/>
  <c r="W49" i="14"/>
  <c r="I49" i="14"/>
  <c r="C49" i="18"/>
  <c r="B49" i="18"/>
  <c r="E49" i="18"/>
  <c r="J49" i="18" s="1"/>
  <c r="G49" i="18"/>
  <c r="D49" i="18"/>
  <c r="H49" i="18"/>
  <c r="A49" i="18"/>
  <c r="I48" i="18"/>
  <c r="K48" i="18" s="1"/>
  <c r="L48" i="14"/>
  <c r="M48" i="14" s="1"/>
  <c r="N48" i="14" s="1"/>
  <c r="O48" i="14" s="1"/>
  <c r="P48" i="14" s="1"/>
  <c r="L47" i="14"/>
  <c r="M47" i="14" s="1"/>
  <c r="N47" i="14" s="1"/>
  <c r="O47" i="14" s="1"/>
  <c r="P47" i="14" s="1"/>
  <c r="L47" i="18"/>
  <c r="N47" i="18"/>
  <c r="I47" i="18"/>
  <c r="K47" i="18"/>
  <c r="M47" i="18"/>
  <c r="A39" i="13"/>
  <c r="V39" i="13"/>
  <c r="AA39" i="13" s="1"/>
  <c r="Y39" i="14" s="1"/>
  <c r="G39" i="13"/>
  <c r="L38" i="14"/>
  <c r="M38" i="14" s="1"/>
  <c r="N38" i="14" s="1"/>
  <c r="O38" i="14" s="1"/>
  <c r="P38" i="14" s="1"/>
  <c r="D39" i="13"/>
  <c r="X45" i="8"/>
  <c r="L45" i="8"/>
  <c r="M45" i="8"/>
  <c r="K45" i="8"/>
  <c r="H45" i="8"/>
  <c r="G45" i="8"/>
  <c r="E45" i="8"/>
  <c r="U45" i="8"/>
  <c r="I45" i="19" s="1"/>
  <c r="B45" i="8"/>
  <c r="C45" i="19" s="1"/>
  <c r="J45" i="8"/>
  <c r="I45" i="8"/>
  <c r="D45" i="8"/>
  <c r="E45" i="19" s="1"/>
  <c r="C45" i="8"/>
  <c r="C45" i="14"/>
  <c r="A45" i="14"/>
  <c r="H45" i="14"/>
  <c r="K45" i="14"/>
  <c r="U45" i="14"/>
  <c r="W45" i="14"/>
  <c r="B45" i="14"/>
  <c r="D45" i="14"/>
  <c r="E45" i="14"/>
  <c r="G45" i="14"/>
  <c r="S45" i="14"/>
  <c r="T45" i="14"/>
  <c r="I45" i="14"/>
  <c r="V45" i="14"/>
  <c r="C45" i="18"/>
  <c r="B45" i="18"/>
  <c r="H45" i="18"/>
  <c r="E45" i="18"/>
  <c r="J45" i="18" s="1"/>
  <c r="D45" i="18"/>
  <c r="G45" i="18"/>
  <c r="A45" i="18"/>
  <c r="N44" i="13"/>
  <c r="O44" i="13" s="1"/>
  <c r="Q44" i="13" s="1"/>
  <c r="R44" i="13" s="1"/>
  <c r="H44" i="8"/>
  <c r="K44" i="8"/>
  <c r="J44" i="8"/>
  <c r="I44" i="8"/>
  <c r="L44" i="8"/>
  <c r="E44" i="8"/>
  <c r="D44" i="8"/>
  <c r="E44" i="19" s="1"/>
  <c r="B44" i="8"/>
  <c r="C44" i="19" s="1"/>
  <c r="M44" i="8"/>
  <c r="G44" i="8"/>
  <c r="X44" i="8"/>
  <c r="C44" i="8"/>
  <c r="U44" i="8"/>
  <c r="I44" i="19" s="1"/>
  <c r="C18" i="9"/>
  <c r="V44" i="14"/>
  <c r="J44" i="14"/>
  <c r="K44" i="14"/>
  <c r="I44" i="14"/>
  <c r="H44" i="14"/>
  <c r="G44" i="14"/>
  <c r="E44" i="14"/>
  <c r="B44" i="14"/>
  <c r="Y44" i="14"/>
  <c r="U44" i="14"/>
  <c r="T44" i="14"/>
  <c r="W44" i="14"/>
  <c r="A44" i="14"/>
  <c r="S44" i="14"/>
  <c r="D44" i="14"/>
  <c r="C44" i="14"/>
  <c r="C44" i="18"/>
  <c r="E44" i="18"/>
  <c r="J44" i="18" s="1"/>
  <c r="A44" i="18"/>
  <c r="H44" i="18"/>
  <c r="B44" i="18"/>
  <c r="D44" i="18"/>
  <c r="G44" i="18"/>
  <c r="K42" i="18"/>
  <c r="I42" i="18"/>
  <c r="M42" i="18"/>
  <c r="N42" i="18"/>
  <c r="M41" i="18"/>
  <c r="L41" i="18"/>
  <c r="D36" i="14"/>
  <c r="G36" i="14"/>
  <c r="S36" i="14"/>
  <c r="E36" i="14"/>
  <c r="H36" i="14"/>
  <c r="A36" i="14"/>
  <c r="I36" i="14"/>
  <c r="U36" i="14"/>
  <c r="C36" i="14"/>
  <c r="B36" i="14"/>
  <c r="T36" i="14"/>
  <c r="W36" i="14"/>
  <c r="K36" i="14"/>
  <c r="V36" i="14"/>
  <c r="C40" i="14"/>
  <c r="D40" i="14"/>
  <c r="G40" i="14"/>
  <c r="S40" i="14"/>
  <c r="H40" i="14"/>
  <c r="K40" i="14"/>
  <c r="U40" i="14"/>
  <c r="B40" i="14"/>
  <c r="A40" i="14"/>
  <c r="T40" i="14"/>
  <c r="E40" i="14"/>
  <c r="I40" i="14"/>
  <c r="W40" i="14"/>
  <c r="V40" i="14"/>
  <c r="Z36" i="8"/>
  <c r="D36" i="8"/>
  <c r="E36" i="19" s="1"/>
  <c r="C36" i="8"/>
  <c r="U36" i="8"/>
  <c r="I36" i="19" s="1"/>
  <c r="M36" i="8"/>
  <c r="J36" i="8"/>
  <c r="L36" i="8"/>
  <c r="G36" i="8"/>
  <c r="I36" i="8"/>
  <c r="X36" i="8"/>
  <c r="B36" i="8"/>
  <c r="C36" i="19" s="1"/>
  <c r="H36" i="8"/>
  <c r="E36" i="8"/>
  <c r="K36" i="8"/>
  <c r="C36" i="18"/>
  <c r="E36" i="18"/>
  <c r="J36" i="18" s="1"/>
  <c r="H36" i="18"/>
  <c r="B36" i="18"/>
  <c r="D36" i="18"/>
  <c r="A36" i="18"/>
  <c r="G36" i="18"/>
  <c r="J40" i="8"/>
  <c r="X40" i="8"/>
  <c r="B40" i="8"/>
  <c r="C40" i="19" s="1"/>
  <c r="U40" i="8"/>
  <c r="I40" i="19" s="1"/>
  <c r="M40" i="8"/>
  <c r="I40" i="8"/>
  <c r="E40" i="8"/>
  <c r="G40" i="8"/>
  <c r="D40" i="8"/>
  <c r="E40" i="19" s="1"/>
  <c r="C40" i="8"/>
  <c r="H40" i="8"/>
  <c r="L40" i="8"/>
  <c r="K40" i="8"/>
  <c r="C40" i="18"/>
  <c r="A40" i="18"/>
  <c r="B40" i="18"/>
  <c r="D40" i="18"/>
  <c r="E40" i="18"/>
  <c r="J40" i="18" s="1"/>
  <c r="I40" i="18" s="1"/>
  <c r="H40" i="18"/>
  <c r="G40" i="18"/>
  <c r="B39" i="13"/>
  <c r="I38" i="18"/>
  <c r="K38" i="18" s="1"/>
  <c r="D39" i="14"/>
  <c r="I39" i="14"/>
  <c r="E39" i="14"/>
  <c r="W39" i="14"/>
  <c r="A39" i="14"/>
  <c r="V39" i="14"/>
  <c r="B39" i="14"/>
  <c r="S39" i="14"/>
  <c r="H39" i="14"/>
  <c r="U39" i="14"/>
  <c r="C39" i="14"/>
  <c r="G39" i="14"/>
  <c r="T39" i="14"/>
  <c r="K39" i="14"/>
  <c r="B39" i="8"/>
  <c r="C39" i="19" s="1"/>
  <c r="E39" i="8"/>
  <c r="C39" i="8"/>
  <c r="U39" i="8"/>
  <c r="I39" i="19" s="1"/>
  <c r="G39" i="8"/>
  <c r="I39" i="8"/>
  <c r="H39" i="8"/>
  <c r="X39" i="8"/>
  <c r="J39" i="8"/>
  <c r="L39" i="8"/>
  <c r="D39" i="8"/>
  <c r="E39" i="19" s="1"/>
  <c r="M39" i="8"/>
  <c r="K39" i="8"/>
  <c r="G39" i="18"/>
  <c r="E39" i="18"/>
  <c r="J39" i="18" s="1"/>
  <c r="D39" i="18"/>
  <c r="H39" i="18"/>
  <c r="B39" i="18"/>
  <c r="A39" i="18"/>
  <c r="C39" i="18"/>
  <c r="D280" i="13"/>
  <c r="B280" i="13"/>
  <c r="C280" i="13"/>
  <c r="B99" i="13"/>
  <c r="C99" i="13"/>
  <c r="D99" i="13"/>
  <c r="D168" i="13"/>
  <c r="B168" i="13"/>
  <c r="C168" i="13"/>
  <c r="B67" i="13"/>
  <c r="C67" i="13"/>
  <c r="D67" i="13"/>
  <c r="C261" i="13"/>
  <c r="B261" i="13"/>
  <c r="D261" i="13"/>
  <c r="C177" i="13"/>
  <c r="B177" i="13"/>
  <c r="D177" i="13"/>
  <c r="D284" i="13"/>
  <c r="B284" i="13"/>
  <c r="C284" i="13"/>
  <c r="C173" i="13"/>
  <c r="B173" i="13"/>
  <c r="D173" i="13"/>
  <c r="C181" i="13"/>
  <c r="B181" i="13"/>
  <c r="D181" i="13"/>
  <c r="B46" i="13"/>
  <c r="C46" i="13"/>
  <c r="D46" i="13"/>
  <c r="D157" i="13"/>
  <c r="B157" i="13"/>
  <c r="C157" i="13"/>
  <c r="C72" i="13"/>
  <c r="D72" i="13"/>
  <c r="B72" i="13"/>
  <c r="D250" i="13"/>
  <c r="C250" i="13"/>
  <c r="B250" i="13"/>
  <c r="C253" i="13"/>
  <c r="B253" i="13"/>
  <c r="D253" i="13"/>
  <c r="B135" i="13"/>
  <c r="C135" i="13"/>
  <c r="D135" i="13"/>
  <c r="C68" i="13"/>
  <c r="D68" i="13"/>
  <c r="B68" i="13"/>
  <c r="D255" i="13"/>
  <c r="B255" i="13"/>
  <c r="C255" i="13"/>
  <c r="D125" i="13"/>
  <c r="B125" i="13"/>
  <c r="C125" i="13"/>
  <c r="C84" i="13"/>
  <c r="D84" i="13"/>
  <c r="B84" i="13"/>
  <c r="C60" i="13"/>
  <c r="D60" i="13"/>
  <c r="B60" i="13"/>
  <c r="B220" i="13"/>
  <c r="C220" i="13"/>
  <c r="D220" i="13"/>
  <c r="C100" i="13"/>
  <c r="D100" i="13"/>
  <c r="B100" i="13"/>
  <c r="C183" i="13"/>
  <c r="D183" i="13"/>
  <c r="B183" i="13"/>
  <c r="C217" i="13"/>
  <c r="B217" i="13"/>
  <c r="D217" i="13"/>
  <c r="D176" i="13"/>
  <c r="B176" i="13"/>
  <c r="C176" i="13"/>
  <c r="D81" i="13"/>
  <c r="B81" i="13"/>
  <c r="C81" i="13"/>
  <c r="D206" i="13"/>
  <c r="B206" i="13"/>
  <c r="C206" i="13"/>
  <c r="D85" i="13"/>
  <c r="B85" i="13"/>
  <c r="C85" i="13"/>
  <c r="B75" i="13"/>
  <c r="C75" i="13"/>
  <c r="D75" i="13"/>
  <c r="B110" i="13"/>
  <c r="C110" i="13"/>
  <c r="D110" i="13"/>
  <c r="C243" i="13"/>
  <c r="D243" i="13"/>
  <c r="B243" i="13"/>
  <c r="B103" i="13"/>
  <c r="C103" i="13"/>
  <c r="D103" i="13"/>
  <c r="B232" i="13"/>
  <c r="D232" i="13"/>
  <c r="C232" i="13"/>
  <c r="C191" i="13"/>
  <c r="D191" i="13"/>
  <c r="B191" i="13"/>
  <c r="C229" i="13"/>
  <c r="B229" i="13"/>
  <c r="D229" i="13"/>
  <c r="B216" i="13"/>
  <c r="D216" i="13"/>
  <c r="C216" i="13"/>
  <c r="B208" i="13"/>
  <c r="C208" i="13"/>
  <c r="D208" i="13"/>
  <c r="C195" i="13"/>
  <c r="B195" i="13"/>
  <c r="D195" i="13"/>
  <c r="C199" i="13"/>
  <c r="D199" i="13"/>
  <c r="B199" i="13"/>
  <c r="B119" i="13"/>
  <c r="C119" i="13"/>
  <c r="D119" i="13"/>
  <c r="C171" i="13"/>
  <c r="B171" i="13"/>
  <c r="D171" i="13"/>
  <c r="C205" i="13"/>
  <c r="B205" i="13"/>
  <c r="D205" i="13"/>
  <c r="D97" i="13"/>
  <c r="B97" i="13"/>
  <c r="C97" i="13"/>
  <c r="D172" i="13"/>
  <c r="B172" i="13"/>
  <c r="C172" i="13"/>
  <c r="X34" i="8"/>
  <c r="D34" i="8"/>
  <c r="E34" i="19" s="1"/>
  <c r="C34" i="8"/>
  <c r="B34" i="8"/>
  <c r="C34" i="19" s="1"/>
  <c r="D133" i="13"/>
  <c r="B133" i="13"/>
  <c r="C133" i="13"/>
  <c r="C167" i="13"/>
  <c r="D167" i="13"/>
  <c r="B167" i="13"/>
  <c r="B285" i="13"/>
  <c r="C285" i="13"/>
  <c r="D285" i="13"/>
  <c r="D188" i="13"/>
  <c r="B188" i="13"/>
  <c r="C188" i="13"/>
  <c r="B34" i="13"/>
  <c r="C34" i="13"/>
  <c r="D34" i="13"/>
  <c r="C221" i="13"/>
  <c r="B221" i="13"/>
  <c r="D221" i="13"/>
  <c r="C80" i="13"/>
  <c r="D80" i="13"/>
  <c r="B80" i="13"/>
  <c r="C179" i="13"/>
  <c r="B179" i="13"/>
  <c r="D179" i="13"/>
  <c r="B123" i="13"/>
  <c r="C123" i="13"/>
  <c r="D123" i="13"/>
  <c r="B146" i="13"/>
  <c r="C146" i="13"/>
  <c r="D146" i="13"/>
  <c r="B59" i="13"/>
  <c r="C59" i="13"/>
  <c r="D59" i="13"/>
  <c r="B83" i="13"/>
  <c r="C83" i="13"/>
  <c r="D83" i="13"/>
  <c r="D246" i="13"/>
  <c r="B246" i="13"/>
  <c r="C246" i="13"/>
  <c r="B131" i="13"/>
  <c r="C131" i="13"/>
  <c r="D131" i="13"/>
  <c r="D242" i="13"/>
  <c r="B242" i="13"/>
  <c r="C242" i="13"/>
  <c r="B212" i="13"/>
  <c r="C212" i="13"/>
  <c r="D212" i="13"/>
  <c r="C169" i="13"/>
  <c r="B169" i="13"/>
  <c r="D169" i="13"/>
  <c r="D226" i="13"/>
  <c r="B226" i="13"/>
  <c r="C226" i="13"/>
  <c r="D53" i="13"/>
  <c r="B53" i="13"/>
  <c r="C53" i="13"/>
  <c r="C96" i="13"/>
  <c r="D96" i="13"/>
  <c r="B96" i="13"/>
  <c r="C273" i="13"/>
  <c r="D273" i="13"/>
  <c r="B273" i="13"/>
  <c r="B62" i="13"/>
  <c r="C62" i="13"/>
  <c r="D62" i="13"/>
  <c r="D276" i="13"/>
  <c r="B276" i="13"/>
  <c r="C276" i="13"/>
  <c r="D230" i="13"/>
  <c r="B230" i="13"/>
  <c r="C230" i="13"/>
  <c r="D254" i="13"/>
  <c r="B254" i="13"/>
  <c r="C254" i="13"/>
  <c r="C132" i="13"/>
  <c r="D132" i="13"/>
  <c r="B132" i="13"/>
  <c r="B151" i="13"/>
  <c r="C151" i="13"/>
  <c r="D151" i="13"/>
  <c r="B251" i="13"/>
  <c r="C251" i="13"/>
  <c r="D251" i="13"/>
  <c r="B159" i="13"/>
  <c r="C159" i="13"/>
  <c r="D159" i="13"/>
  <c r="D117" i="13"/>
  <c r="B117" i="13"/>
  <c r="C117" i="13"/>
  <c r="C128" i="13"/>
  <c r="D128" i="13"/>
  <c r="B128" i="13"/>
  <c r="D36" i="13"/>
  <c r="B36" i="13"/>
  <c r="C36" i="13"/>
  <c r="C76" i="13"/>
  <c r="D76" i="13"/>
  <c r="B76" i="13"/>
  <c r="D153" i="13"/>
  <c r="B153" i="13"/>
  <c r="C153" i="13"/>
  <c r="B155" i="13"/>
  <c r="C155" i="13"/>
  <c r="D155" i="13"/>
  <c r="D129" i="13"/>
  <c r="B129" i="13"/>
  <c r="C129" i="13"/>
  <c r="C136" i="13"/>
  <c r="D136" i="13"/>
  <c r="B136" i="13"/>
  <c r="C269" i="13"/>
  <c r="B269" i="13"/>
  <c r="D269" i="13"/>
  <c r="C140" i="13"/>
  <c r="D140" i="13"/>
  <c r="B140" i="13"/>
  <c r="C175" i="13"/>
  <c r="D175" i="13"/>
  <c r="B175" i="13"/>
  <c r="D149" i="13"/>
  <c r="B149" i="13"/>
  <c r="C149" i="13"/>
  <c r="B190" i="13"/>
  <c r="D190" i="13"/>
  <c r="C190" i="13"/>
  <c r="B114" i="13"/>
  <c r="C114" i="13"/>
  <c r="D114" i="13"/>
  <c r="B32" i="18"/>
  <c r="C32" i="18"/>
  <c r="D32" i="18"/>
  <c r="C187" i="13"/>
  <c r="B187" i="13"/>
  <c r="D187" i="13"/>
  <c r="B102" i="13"/>
  <c r="C102" i="13"/>
  <c r="D102" i="13"/>
  <c r="D274" i="13"/>
  <c r="B274" i="13"/>
  <c r="C274" i="13"/>
  <c r="B134" i="13"/>
  <c r="C134" i="13"/>
  <c r="D134" i="13"/>
  <c r="B194" i="13"/>
  <c r="D194" i="13"/>
  <c r="C194" i="13"/>
  <c r="B42" i="13"/>
  <c r="C42" i="13"/>
  <c r="D42" i="13"/>
  <c r="B98" i="13"/>
  <c r="C98" i="13"/>
  <c r="D98" i="13"/>
  <c r="B256" i="13"/>
  <c r="C256" i="13"/>
  <c r="D256" i="13"/>
  <c r="D234" i="13"/>
  <c r="C234" i="13"/>
  <c r="B234" i="13"/>
  <c r="B203" i="13"/>
  <c r="C203" i="13"/>
  <c r="D203" i="13"/>
  <c r="B272" i="13"/>
  <c r="C272" i="13"/>
  <c r="D272" i="13"/>
  <c r="D65" i="13"/>
  <c r="B65" i="13"/>
  <c r="C65" i="13"/>
  <c r="B122" i="13"/>
  <c r="C122" i="13"/>
  <c r="D122" i="13"/>
  <c r="B37" i="13"/>
  <c r="C37" i="13"/>
  <c r="D37" i="13"/>
  <c r="C112" i="13"/>
  <c r="D112" i="13"/>
  <c r="B112" i="13"/>
  <c r="B264" i="13"/>
  <c r="D264" i="13"/>
  <c r="C264" i="13"/>
  <c r="B150" i="13"/>
  <c r="C150" i="13"/>
  <c r="D150" i="13"/>
  <c r="C148" i="13"/>
  <c r="D148" i="13"/>
  <c r="B148" i="13"/>
  <c r="C189" i="13"/>
  <c r="B189" i="13"/>
  <c r="D189" i="13"/>
  <c r="C213" i="13"/>
  <c r="B213" i="13"/>
  <c r="D213" i="13"/>
  <c r="D145" i="13"/>
  <c r="B145" i="13"/>
  <c r="C145" i="13"/>
  <c r="B163" i="13"/>
  <c r="C163" i="13"/>
  <c r="D163" i="13"/>
  <c r="C35" i="13"/>
  <c r="D35" i="13"/>
  <c r="B35" i="13"/>
  <c r="B126" i="13"/>
  <c r="C126" i="13"/>
  <c r="D126" i="13"/>
  <c r="B263" i="13"/>
  <c r="C263" i="13"/>
  <c r="D263" i="13"/>
  <c r="B277" i="13"/>
  <c r="C277" i="13"/>
  <c r="D277" i="13"/>
  <c r="B127" i="13"/>
  <c r="C127" i="13"/>
  <c r="D127" i="13"/>
  <c r="B228" i="13"/>
  <c r="C228" i="13"/>
  <c r="D228" i="13"/>
  <c r="B202" i="13"/>
  <c r="D202" i="13"/>
  <c r="C202" i="13"/>
  <c r="B166" i="13"/>
  <c r="D166" i="13"/>
  <c r="C166" i="13"/>
  <c r="C225" i="13"/>
  <c r="D225" i="13"/>
  <c r="B225" i="13"/>
  <c r="B240" i="13"/>
  <c r="C240" i="13"/>
  <c r="D240" i="13"/>
  <c r="C265" i="13"/>
  <c r="B265" i="13"/>
  <c r="D265" i="13"/>
  <c r="C193" i="13"/>
  <c r="B193" i="13"/>
  <c r="D193" i="13"/>
  <c r="B281" i="13"/>
  <c r="C281" i="13"/>
  <c r="D281" i="13"/>
  <c r="C245" i="13"/>
  <c r="B245" i="13"/>
  <c r="D245" i="13"/>
  <c r="B215" i="13"/>
  <c r="C215" i="13"/>
  <c r="D215" i="13"/>
  <c r="B106" i="13"/>
  <c r="C106" i="13"/>
  <c r="D106" i="13"/>
  <c r="B198" i="13"/>
  <c r="D198" i="13"/>
  <c r="C198" i="13"/>
  <c r="D196" i="13"/>
  <c r="B196" i="13"/>
  <c r="C196" i="13"/>
  <c r="C233" i="13"/>
  <c r="B233" i="13"/>
  <c r="D233" i="13"/>
  <c r="D34" i="18"/>
  <c r="B34" i="18"/>
  <c r="C34" i="18"/>
  <c r="B45" i="13"/>
  <c r="C45" i="13"/>
  <c r="D45" i="13"/>
  <c r="B182" i="13"/>
  <c r="D182" i="13"/>
  <c r="C182" i="13"/>
  <c r="B130" i="13"/>
  <c r="C130" i="13"/>
  <c r="D130" i="13"/>
  <c r="D218" i="13"/>
  <c r="C218" i="13"/>
  <c r="B218" i="13"/>
  <c r="C227" i="13"/>
  <c r="D227" i="13"/>
  <c r="B227" i="13"/>
  <c r="D40" i="13"/>
  <c r="B40" i="13"/>
  <c r="C40" i="13"/>
  <c r="D200" i="13"/>
  <c r="B200" i="13"/>
  <c r="C200" i="13"/>
  <c r="C156" i="13"/>
  <c r="D156" i="13"/>
  <c r="B156" i="13"/>
  <c r="C257" i="13"/>
  <c r="D257" i="13"/>
  <c r="B257" i="13"/>
  <c r="B248" i="13"/>
  <c r="D248" i="13"/>
  <c r="C248" i="13"/>
  <c r="B204" i="13"/>
  <c r="C204" i="13"/>
  <c r="D204" i="13"/>
  <c r="C144" i="13"/>
  <c r="D144" i="13"/>
  <c r="B144" i="13"/>
  <c r="B235" i="13"/>
  <c r="C235" i="13"/>
  <c r="D235" i="13"/>
  <c r="D113" i="13"/>
  <c r="B113" i="13"/>
  <c r="C113" i="13"/>
  <c r="B231" i="13"/>
  <c r="C231" i="13"/>
  <c r="D231" i="13"/>
  <c r="C104" i="13"/>
  <c r="D104" i="13"/>
  <c r="B104" i="13"/>
  <c r="B33" i="13"/>
  <c r="C33" i="13"/>
  <c r="D33" i="13"/>
  <c r="D222" i="13"/>
  <c r="B222" i="13"/>
  <c r="C222" i="13"/>
  <c r="C108" i="13"/>
  <c r="D108" i="13"/>
  <c r="B108" i="13"/>
  <c r="B278" i="13"/>
  <c r="C278" i="13"/>
  <c r="D278" i="13"/>
  <c r="B50" i="13"/>
  <c r="C50" i="13"/>
  <c r="D50" i="13"/>
  <c r="B115" i="13"/>
  <c r="C115" i="13"/>
  <c r="D115" i="13"/>
  <c r="D271" i="13"/>
  <c r="B271" i="13"/>
  <c r="C271" i="13"/>
  <c r="C43" i="13"/>
  <c r="D43" i="13"/>
  <c r="B43" i="13"/>
  <c r="C259" i="13"/>
  <c r="D259" i="13"/>
  <c r="B259" i="13"/>
  <c r="B55" i="13"/>
  <c r="C55" i="13"/>
  <c r="D55" i="13"/>
  <c r="C197" i="13"/>
  <c r="B197" i="13"/>
  <c r="D197" i="13"/>
  <c r="D69" i="13"/>
  <c r="B69" i="13"/>
  <c r="C69" i="13"/>
  <c r="B71" i="13"/>
  <c r="C71" i="13"/>
  <c r="D71" i="13"/>
  <c r="B91" i="13"/>
  <c r="C91" i="13"/>
  <c r="D91" i="13"/>
  <c r="C279" i="13"/>
  <c r="D279" i="13"/>
  <c r="B279" i="13"/>
  <c r="B74" i="13"/>
  <c r="C74" i="13"/>
  <c r="D74" i="13"/>
  <c r="D210" i="13"/>
  <c r="B210" i="13"/>
  <c r="C210" i="13"/>
  <c r="C201" i="13"/>
  <c r="B201" i="13"/>
  <c r="D201" i="13"/>
  <c r="D141" i="13"/>
  <c r="B141" i="13"/>
  <c r="C141" i="13"/>
  <c r="B41" i="13"/>
  <c r="C41" i="13"/>
  <c r="D41" i="13"/>
  <c r="C160" i="13"/>
  <c r="D160" i="13"/>
  <c r="B160" i="13"/>
  <c r="D239" i="13"/>
  <c r="B239" i="13"/>
  <c r="C239" i="13"/>
  <c r="B219" i="13"/>
  <c r="C219" i="13"/>
  <c r="D219" i="13"/>
  <c r="B142" i="13"/>
  <c r="C142" i="13"/>
  <c r="D142" i="13"/>
  <c r="B82" i="13"/>
  <c r="C82" i="13"/>
  <c r="D82" i="13"/>
  <c r="B51" i="13"/>
  <c r="C51" i="13"/>
  <c r="D51" i="13"/>
  <c r="B63" i="13"/>
  <c r="C63" i="13"/>
  <c r="D63" i="13"/>
  <c r="D192" i="13"/>
  <c r="B192" i="13"/>
  <c r="C192" i="13"/>
  <c r="B90" i="13"/>
  <c r="C90" i="13"/>
  <c r="D90" i="13"/>
  <c r="D34" i="14"/>
  <c r="B34" i="14"/>
  <c r="C34" i="14"/>
  <c r="U34" i="8"/>
  <c r="I34" i="19" s="1"/>
  <c r="J182" i="13"/>
  <c r="J182" i="14" s="1"/>
  <c r="J227" i="13"/>
  <c r="J227" i="14" s="1"/>
  <c r="J156" i="13"/>
  <c r="J156" i="14" s="1"/>
  <c r="J144" i="13"/>
  <c r="J144" i="14" s="1"/>
  <c r="L144" i="14" s="1"/>
  <c r="M144" i="14" s="1"/>
  <c r="N144" i="14" s="1"/>
  <c r="O144" i="14" s="1"/>
  <c r="P144" i="14" s="1"/>
  <c r="J104" i="13"/>
  <c r="J104" i="14" s="1"/>
  <c r="J50" i="13"/>
  <c r="J50" i="14" s="1"/>
  <c r="L50" i="14" s="1"/>
  <c r="M50" i="14" s="1"/>
  <c r="N50" i="14" s="1"/>
  <c r="O50" i="14" s="1"/>
  <c r="P50" i="14" s="1"/>
  <c r="J43" i="13"/>
  <c r="J43" i="14" s="1"/>
  <c r="L43" i="14" s="1"/>
  <c r="M43" i="14" s="1"/>
  <c r="N43" i="14" s="1"/>
  <c r="O43" i="14" s="1"/>
  <c r="P43" i="14" s="1"/>
  <c r="J71" i="13"/>
  <c r="J71" i="14" s="1"/>
  <c r="J74" i="13"/>
  <c r="J74" i="14" s="1"/>
  <c r="L74" i="14" s="1"/>
  <c r="M74" i="14" s="1"/>
  <c r="N74" i="14" s="1"/>
  <c r="O74" i="14" s="1"/>
  <c r="P74" i="14" s="1"/>
  <c r="J41" i="13"/>
  <c r="J41" i="14" s="1"/>
  <c r="L41" i="14" s="1"/>
  <c r="M41" i="14" s="1"/>
  <c r="N41" i="14" s="1"/>
  <c r="O41" i="14" s="1"/>
  <c r="P41" i="14" s="1"/>
  <c r="J239" i="13"/>
  <c r="J239" i="14" s="1"/>
  <c r="J142" i="13"/>
  <c r="J142" i="14" s="1"/>
  <c r="J192" i="13"/>
  <c r="J192" i="14" s="1"/>
  <c r="L192" i="14" s="1"/>
  <c r="M192" i="14" s="1"/>
  <c r="N192" i="14" s="1"/>
  <c r="O192" i="14" s="1"/>
  <c r="P192" i="14" s="1"/>
  <c r="J187" i="13"/>
  <c r="J187" i="14" s="1"/>
  <c r="J102" i="13"/>
  <c r="J102" i="14" s="1"/>
  <c r="J274" i="13"/>
  <c r="J274" i="14" s="1"/>
  <c r="J134" i="13"/>
  <c r="J134" i="14" s="1"/>
  <c r="J194" i="13"/>
  <c r="J194" i="14" s="1"/>
  <c r="J42" i="13"/>
  <c r="J42" i="14" s="1"/>
  <c r="L42" i="14" s="1"/>
  <c r="M42" i="14" s="1"/>
  <c r="N42" i="14" s="1"/>
  <c r="O42" i="14" s="1"/>
  <c r="P42" i="14" s="1"/>
  <c r="J98" i="13"/>
  <c r="J98" i="14" s="1"/>
  <c r="J256" i="13"/>
  <c r="J256" i="14" s="1"/>
  <c r="L256" i="14" s="1"/>
  <c r="M256" i="14" s="1"/>
  <c r="N256" i="14" s="1"/>
  <c r="O256" i="14" s="1"/>
  <c r="P256" i="14" s="1"/>
  <c r="J234" i="13"/>
  <c r="J234" i="14" s="1"/>
  <c r="L234" i="14" s="1"/>
  <c r="M234" i="14" s="1"/>
  <c r="N234" i="14" s="1"/>
  <c r="O234" i="14" s="1"/>
  <c r="P234" i="14" s="1"/>
  <c r="J203" i="13"/>
  <c r="J203" i="14" s="1"/>
  <c r="L203" i="14" s="1"/>
  <c r="M203" i="14" s="1"/>
  <c r="N203" i="14" s="1"/>
  <c r="O203" i="14" s="1"/>
  <c r="P203" i="14" s="1"/>
  <c r="J272" i="13"/>
  <c r="J272" i="14" s="1"/>
  <c r="L272" i="14" s="1"/>
  <c r="M272" i="14" s="1"/>
  <c r="N272" i="14" s="1"/>
  <c r="O272" i="14" s="1"/>
  <c r="P272" i="14" s="1"/>
  <c r="J65" i="13"/>
  <c r="L65" i="13" s="1"/>
  <c r="J122" i="13"/>
  <c r="J122" i="14" s="1"/>
  <c r="L122" i="14" s="1"/>
  <c r="M122" i="14" s="1"/>
  <c r="N122" i="14" s="1"/>
  <c r="O122" i="14" s="1"/>
  <c r="P122" i="14" s="1"/>
  <c r="J37" i="13"/>
  <c r="J37" i="14" s="1"/>
  <c r="J112" i="13"/>
  <c r="J112" i="14" s="1"/>
  <c r="J264" i="13"/>
  <c r="J264" i="14" s="1"/>
  <c r="L264" i="14" s="1"/>
  <c r="M264" i="14" s="1"/>
  <c r="N264" i="14" s="1"/>
  <c r="O264" i="14" s="1"/>
  <c r="P264" i="14" s="1"/>
  <c r="J150" i="13"/>
  <c r="J150" i="14" s="1"/>
  <c r="J148" i="13"/>
  <c r="J148" i="14" s="1"/>
  <c r="L148" i="14" s="1"/>
  <c r="M148" i="14" s="1"/>
  <c r="N148" i="14" s="1"/>
  <c r="O148" i="14" s="1"/>
  <c r="P148" i="14" s="1"/>
  <c r="J189" i="13"/>
  <c r="J189" i="14" s="1"/>
  <c r="L189" i="14" s="1"/>
  <c r="M189" i="14" s="1"/>
  <c r="N189" i="14" s="1"/>
  <c r="O189" i="14" s="1"/>
  <c r="P189" i="14" s="1"/>
  <c r="J213" i="13"/>
  <c r="J213" i="14" s="1"/>
  <c r="L213" i="14" s="1"/>
  <c r="M213" i="14" s="1"/>
  <c r="N213" i="14" s="1"/>
  <c r="O213" i="14" s="1"/>
  <c r="P213" i="14" s="1"/>
  <c r="J145" i="13"/>
  <c r="J145" i="14" s="1"/>
  <c r="J163" i="13"/>
  <c r="J163" i="14" s="1"/>
  <c r="J35" i="13"/>
  <c r="J35" i="14" s="1"/>
  <c r="J126" i="13"/>
  <c r="J126" i="14" s="1"/>
  <c r="J263" i="13"/>
  <c r="J263" i="14" s="1"/>
  <c r="J277" i="13"/>
  <c r="J277" i="14" s="1"/>
  <c r="L277" i="14" s="1"/>
  <c r="M277" i="14" s="1"/>
  <c r="N277" i="14" s="1"/>
  <c r="O277" i="14" s="1"/>
  <c r="P277" i="14" s="1"/>
  <c r="J127" i="13"/>
  <c r="J127" i="14" s="1"/>
  <c r="J228" i="13"/>
  <c r="J228" i="14" s="1"/>
  <c r="L228" i="14" s="1"/>
  <c r="M228" i="14" s="1"/>
  <c r="N228" i="14" s="1"/>
  <c r="O228" i="14" s="1"/>
  <c r="P228" i="14" s="1"/>
  <c r="J202" i="13"/>
  <c r="J202" i="14" s="1"/>
  <c r="J166" i="13"/>
  <c r="J166" i="14" s="1"/>
  <c r="J225" i="13"/>
  <c r="J225" i="14" s="1"/>
  <c r="L225" i="14" s="1"/>
  <c r="M225" i="14" s="1"/>
  <c r="N225" i="14" s="1"/>
  <c r="O225" i="14" s="1"/>
  <c r="P225" i="14" s="1"/>
  <c r="J240" i="13"/>
  <c r="J240" i="14" s="1"/>
  <c r="J265" i="13"/>
  <c r="J265" i="14" s="1"/>
  <c r="J193" i="13"/>
  <c r="J193" i="14" s="1"/>
  <c r="L193" i="14" s="1"/>
  <c r="M193" i="14" s="1"/>
  <c r="N193" i="14" s="1"/>
  <c r="O193" i="14" s="1"/>
  <c r="P193" i="14" s="1"/>
  <c r="J281" i="13"/>
  <c r="J281" i="14" s="1"/>
  <c r="J245" i="13"/>
  <c r="J245" i="14" s="1"/>
  <c r="L245" i="14" s="1"/>
  <c r="M245" i="14" s="1"/>
  <c r="N245" i="14" s="1"/>
  <c r="O245" i="14" s="1"/>
  <c r="P245" i="14" s="1"/>
  <c r="J215" i="13"/>
  <c r="J215" i="14" s="1"/>
  <c r="L215" i="14" s="1"/>
  <c r="M215" i="14" s="1"/>
  <c r="N215" i="14" s="1"/>
  <c r="O215" i="14" s="1"/>
  <c r="P215" i="14" s="1"/>
  <c r="J106" i="13"/>
  <c r="J106" i="14" s="1"/>
  <c r="L106" i="14" s="1"/>
  <c r="M106" i="14" s="1"/>
  <c r="N106" i="14" s="1"/>
  <c r="O106" i="14" s="1"/>
  <c r="P106" i="14" s="1"/>
  <c r="J198" i="13"/>
  <c r="J198" i="14" s="1"/>
  <c r="J196" i="13"/>
  <c r="J196" i="14" s="1"/>
  <c r="J233" i="13"/>
  <c r="J233" i="14" s="1"/>
  <c r="J200" i="13"/>
  <c r="J200" i="14" s="1"/>
  <c r="L200" i="14" s="1"/>
  <c r="M200" i="14" s="1"/>
  <c r="N200" i="14" s="1"/>
  <c r="O200" i="14" s="1"/>
  <c r="P200" i="14" s="1"/>
  <c r="J204" i="13"/>
  <c r="J204" i="14" s="1"/>
  <c r="J33" i="13"/>
  <c r="L33" i="13" s="1"/>
  <c r="M33" i="13" s="1"/>
  <c r="J278" i="13"/>
  <c r="J278" i="14" s="1"/>
  <c r="L278" i="14" s="1"/>
  <c r="M278" i="14" s="1"/>
  <c r="N278" i="14" s="1"/>
  <c r="O278" i="14" s="1"/>
  <c r="P278" i="14" s="1"/>
  <c r="J259" i="13"/>
  <c r="J259" i="14" s="1"/>
  <c r="J69" i="13"/>
  <c r="J69" i="14" s="1"/>
  <c r="J201" i="13"/>
  <c r="J201" i="14" s="1"/>
  <c r="J63" i="13"/>
  <c r="J63" i="14" s="1"/>
  <c r="L63" i="14" s="1"/>
  <c r="M63" i="14" s="1"/>
  <c r="N63" i="14" s="1"/>
  <c r="O63" i="14" s="1"/>
  <c r="P63" i="14" s="1"/>
  <c r="J130" i="13"/>
  <c r="J130" i="14" s="1"/>
  <c r="J40" i="13"/>
  <c r="J40" i="14" s="1"/>
  <c r="J257" i="13"/>
  <c r="J257" i="14" s="1"/>
  <c r="L257" i="14" s="1"/>
  <c r="M257" i="14" s="1"/>
  <c r="N257" i="14" s="1"/>
  <c r="O257" i="14" s="1"/>
  <c r="P257" i="14" s="1"/>
  <c r="J235" i="13"/>
  <c r="J235" i="14" s="1"/>
  <c r="L235" i="14" s="1"/>
  <c r="M235" i="14" s="1"/>
  <c r="N235" i="14" s="1"/>
  <c r="O235" i="14" s="1"/>
  <c r="P235" i="14" s="1"/>
  <c r="J222" i="13"/>
  <c r="J222" i="14" s="1"/>
  <c r="J115" i="13"/>
  <c r="J115" i="14" s="1"/>
  <c r="J55" i="13"/>
  <c r="J55" i="14" s="1"/>
  <c r="J279" i="13"/>
  <c r="J279" i="14" s="1"/>
  <c r="L279" i="14" s="1"/>
  <c r="M279" i="14" s="1"/>
  <c r="N279" i="14" s="1"/>
  <c r="O279" i="14" s="1"/>
  <c r="P279" i="14" s="1"/>
  <c r="J141" i="13"/>
  <c r="J141" i="14" s="1"/>
  <c r="L141" i="14" s="1"/>
  <c r="M141" i="14" s="1"/>
  <c r="N141" i="14" s="1"/>
  <c r="O141" i="14" s="1"/>
  <c r="P141" i="14" s="1"/>
  <c r="J160" i="13"/>
  <c r="J160" i="14" s="1"/>
  <c r="J82" i="13"/>
  <c r="J82" i="14" s="1"/>
  <c r="J90" i="13"/>
  <c r="L90" i="13" s="1"/>
  <c r="J280" i="13"/>
  <c r="J280" i="14" s="1"/>
  <c r="J99" i="13"/>
  <c r="J99" i="14" s="1"/>
  <c r="J168" i="13"/>
  <c r="J168" i="14" s="1"/>
  <c r="J67" i="13"/>
  <c r="J67" i="14" s="1"/>
  <c r="J261" i="13"/>
  <c r="J261" i="14" s="1"/>
  <c r="L261" i="14" s="1"/>
  <c r="M261" i="14" s="1"/>
  <c r="N261" i="14" s="1"/>
  <c r="O261" i="14" s="1"/>
  <c r="P261" i="14" s="1"/>
  <c r="J177" i="13"/>
  <c r="J177" i="14" s="1"/>
  <c r="L177" i="14" s="1"/>
  <c r="M177" i="14" s="1"/>
  <c r="N177" i="14" s="1"/>
  <c r="O177" i="14" s="1"/>
  <c r="P177" i="14" s="1"/>
  <c r="J284" i="13"/>
  <c r="J284" i="14" s="1"/>
  <c r="J173" i="13"/>
  <c r="L173" i="13" s="1"/>
  <c r="J181" i="13"/>
  <c r="J181" i="14" s="1"/>
  <c r="L181" i="14" s="1"/>
  <c r="M181" i="14" s="1"/>
  <c r="N181" i="14" s="1"/>
  <c r="O181" i="14" s="1"/>
  <c r="P181" i="14" s="1"/>
  <c r="J46" i="13"/>
  <c r="J46" i="14" s="1"/>
  <c r="L46" i="14" s="1"/>
  <c r="M46" i="14" s="1"/>
  <c r="N46" i="14" s="1"/>
  <c r="O46" i="14" s="1"/>
  <c r="P46" i="14" s="1"/>
  <c r="J157" i="13"/>
  <c r="J157" i="14" s="1"/>
  <c r="J72" i="13"/>
  <c r="J72" i="14" s="1"/>
  <c r="L72" i="14" s="1"/>
  <c r="M72" i="14" s="1"/>
  <c r="N72" i="14" s="1"/>
  <c r="O72" i="14" s="1"/>
  <c r="P72" i="14" s="1"/>
  <c r="J250" i="13"/>
  <c r="J250" i="14" s="1"/>
  <c r="L250" i="14" s="1"/>
  <c r="M250" i="14" s="1"/>
  <c r="N250" i="14" s="1"/>
  <c r="O250" i="14" s="1"/>
  <c r="P250" i="14" s="1"/>
  <c r="J253" i="13"/>
  <c r="J253" i="14" s="1"/>
  <c r="L253" i="14" s="1"/>
  <c r="M253" i="14" s="1"/>
  <c r="N253" i="14" s="1"/>
  <c r="O253" i="14" s="1"/>
  <c r="P253" i="14" s="1"/>
  <c r="J135" i="13"/>
  <c r="J135" i="14" s="1"/>
  <c r="J68" i="13"/>
  <c r="J68" i="14" s="1"/>
  <c r="L68" i="14" s="1"/>
  <c r="M68" i="14" s="1"/>
  <c r="N68" i="14" s="1"/>
  <c r="O68" i="14" s="1"/>
  <c r="P68" i="14" s="1"/>
  <c r="J255" i="13"/>
  <c r="J255" i="14" s="1"/>
  <c r="J125" i="13"/>
  <c r="J125" i="14" s="1"/>
  <c r="L125" i="14" s="1"/>
  <c r="M125" i="14" s="1"/>
  <c r="N125" i="14" s="1"/>
  <c r="O125" i="14" s="1"/>
  <c r="P125" i="14" s="1"/>
  <c r="J84" i="13"/>
  <c r="J84" i="14" s="1"/>
  <c r="L84" i="14" s="1"/>
  <c r="M84" i="14" s="1"/>
  <c r="N84" i="14" s="1"/>
  <c r="O84" i="14" s="1"/>
  <c r="P84" i="14" s="1"/>
  <c r="J60" i="13"/>
  <c r="J60" i="14" s="1"/>
  <c r="L60" i="14" s="1"/>
  <c r="M60" i="14" s="1"/>
  <c r="N60" i="14" s="1"/>
  <c r="O60" i="14" s="1"/>
  <c r="P60" i="14" s="1"/>
  <c r="J220" i="13"/>
  <c r="J220" i="14" s="1"/>
  <c r="L220" i="14" s="1"/>
  <c r="M220" i="14" s="1"/>
  <c r="N220" i="14" s="1"/>
  <c r="O220" i="14" s="1"/>
  <c r="P220" i="14" s="1"/>
  <c r="J100" i="13"/>
  <c r="J100" i="14" s="1"/>
  <c r="J183" i="13"/>
  <c r="J183" i="14" s="1"/>
  <c r="L183" i="14" s="1"/>
  <c r="M183" i="14" s="1"/>
  <c r="N183" i="14" s="1"/>
  <c r="O183" i="14" s="1"/>
  <c r="P183" i="14" s="1"/>
  <c r="J217" i="13"/>
  <c r="J217" i="14" s="1"/>
  <c r="L217" i="14" s="1"/>
  <c r="M217" i="14" s="1"/>
  <c r="N217" i="14" s="1"/>
  <c r="O217" i="14" s="1"/>
  <c r="P217" i="14" s="1"/>
  <c r="J176" i="13"/>
  <c r="J176" i="14" s="1"/>
  <c r="L176" i="14" s="1"/>
  <c r="M176" i="14" s="1"/>
  <c r="N176" i="14" s="1"/>
  <c r="O176" i="14" s="1"/>
  <c r="P176" i="14" s="1"/>
  <c r="J81" i="13"/>
  <c r="J81" i="14" s="1"/>
  <c r="L81" i="14" s="1"/>
  <c r="M81" i="14" s="1"/>
  <c r="N81" i="14" s="1"/>
  <c r="O81" i="14" s="1"/>
  <c r="P81" i="14" s="1"/>
  <c r="J206" i="13"/>
  <c r="J206" i="14" s="1"/>
  <c r="J85" i="13"/>
  <c r="J85" i="14" s="1"/>
  <c r="L85" i="14" s="1"/>
  <c r="M85" i="14" s="1"/>
  <c r="N85" i="14" s="1"/>
  <c r="O85" i="14" s="1"/>
  <c r="P85" i="14" s="1"/>
  <c r="J75" i="13"/>
  <c r="J75" i="14" s="1"/>
  <c r="J110" i="13"/>
  <c r="J110" i="14" s="1"/>
  <c r="L110" i="14" s="1"/>
  <c r="M110" i="14" s="1"/>
  <c r="N110" i="14" s="1"/>
  <c r="O110" i="14" s="1"/>
  <c r="P110" i="14" s="1"/>
  <c r="J243" i="13"/>
  <c r="J243" i="14" s="1"/>
  <c r="L243" i="14" s="1"/>
  <c r="M243" i="14" s="1"/>
  <c r="N243" i="14" s="1"/>
  <c r="O243" i="14" s="1"/>
  <c r="P243" i="14" s="1"/>
  <c r="J103" i="13"/>
  <c r="J103" i="14" s="1"/>
  <c r="J232" i="13"/>
  <c r="J232" i="14" s="1"/>
  <c r="J191" i="13"/>
  <c r="J191" i="14" s="1"/>
  <c r="L191" i="14" s="1"/>
  <c r="M191" i="14" s="1"/>
  <c r="N191" i="14" s="1"/>
  <c r="O191" i="14" s="1"/>
  <c r="P191" i="14" s="1"/>
  <c r="J229" i="13"/>
  <c r="J229" i="14" s="1"/>
  <c r="L229" i="14" s="1"/>
  <c r="M229" i="14" s="1"/>
  <c r="N229" i="14" s="1"/>
  <c r="O229" i="14" s="1"/>
  <c r="P229" i="14" s="1"/>
  <c r="J216" i="13"/>
  <c r="J216" i="14" s="1"/>
  <c r="L216" i="14" s="1"/>
  <c r="M216" i="14" s="1"/>
  <c r="N216" i="14" s="1"/>
  <c r="O216" i="14" s="1"/>
  <c r="P216" i="14" s="1"/>
  <c r="J208" i="13"/>
  <c r="J208" i="14" s="1"/>
  <c r="L208" i="14" s="1"/>
  <c r="M208" i="14" s="1"/>
  <c r="N208" i="14" s="1"/>
  <c r="O208" i="14" s="1"/>
  <c r="P208" i="14" s="1"/>
  <c r="J195" i="13"/>
  <c r="J195" i="14" s="1"/>
  <c r="J199" i="13"/>
  <c r="J199" i="14" s="1"/>
  <c r="L199" i="14" s="1"/>
  <c r="M199" i="14" s="1"/>
  <c r="N199" i="14" s="1"/>
  <c r="O199" i="14" s="1"/>
  <c r="P199" i="14" s="1"/>
  <c r="J119" i="13"/>
  <c r="J119" i="14" s="1"/>
  <c r="L119" i="14" s="1"/>
  <c r="M119" i="14" s="1"/>
  <c r="N119" i="14" s="1"/>
  <c r="O119" i="14" s="1"/>
  <c r="P119" i="14" s="1"/>
  <c r="J171" i="13"/>
  <c r="J171" i="14" s="1"/>
  <c r="J205" i="13"/>
  <c r="J205" i="14" s="1"/>
  <c r="L205" i="14" s="1"/>
  <c r="M205" i="14" s="1"/>
  <c r="N205" i="14" s="1"/>
  <c r="O205" i="14" s="1"/>
  <c r="P205" i="14" s="1"/>
  <c r="J97" i="13"/>
  <c r="J97" i="14" s="1"/>
  <c r="L97" i="14" s="1"/>
  <c r="M97" i="14" s="1"/>
  <c r="N97" i="14" s="1"/>
  <c r="O97" i="14" s="1"/>
  <c r="P97" i="14" s="1"/>
  <c r="J172" i="13"/>
  <c r="J172" i="14" s="1"/>
  <c r="L172" i="14" s="1"/>
  <c r="M172" i="14" s="1"/>
  <c r="N172" i="14" s="1"/>
  <c r="O172" i="14" s="1"/>
  <c r="P172" i="14" s="1"/>
  <c r="J45" i="13"/>
  <c r="J45" i="14" s="1"/>
  <c r="J218" i="13"/>
  <c r="J218" i="14" s="1"/>
  <c r="J248" i="13"/>
  <c r="J248" i="14" s="1"/>
  <c r="J113" i="13"/>
  <c r="J113" i="14" s="1"/>
  <c r="J231" i="13"/>
  <c r="J231" i="14" s="1"/>
  <c r="J108" i="13"/>
  <c r="J108" i="14" s="1"/>
  <c r="L108" i="14" s="1"/>
  <c r="M108" i="14" s="1"/>
  <c r="N108" i="14" s="1"/>
  <c r="O108" i="14" s="1"/>
  <c r="P108" i="14" s="1"/>
  <c r="J271" i="13"/>
  <c r="J271" i="14" s="1"/>
  <c r="L271" i="14" s="1"/>
  <c r="M271" i="14" s="1"/>
  <c r="N271" i="14" s="1"/>
  <c r="O271" i="14" s="1"/>
  <c r="P271" i="14" s="1"/>
  <c r="J197" i="13"/>
  <c r="J197" i="14" s="1"/>
  <c r="J91" i="13"/>
  <c r="J91" i="14" s="1"/>
  <c r="L91" i="14" s="1"/>
  <c r="M91" i="14" s="1"/>
  <c r="N91" i="14" s="1"/>
  <c r="O91" i="14" s="1"/>
  <c r="P91" i="14" s="1"/>
  <c r="J210" i="13"/>
  <c r="J210" i="14" s="1"/>
  <c r="J219" i="13"/>
  <c r="J219" i="14" s="1"/>
  <c r="J51" i="13"/>
  <c r="J51" i="14" s="1"/>
  <c r="L51" i="14" s="1"/>
  <c r="M51" i="14" s="1"/>
  <c r="N51" i="14" s="1"/>
  <c r="O51" i="14" s="1"/>
  <c r="P51" i="14" s="1"/>
  <c r="J133" i="13"/>
  <c r="J133" i="14" s="1"/>
  <c r="J167" i="13"/>
  <c r="J167" i="14" s="1"/>
  <c r="J285" i="13"/>
  <c r="J285" i="14" s="1"/>
  <c r="J188" i="13"/>
  <c r="J188" i="14" s="1"/>
  <c r="J34" i="13"/>
  <c r="J34" i="14" s="1"/>
  <c r="J221" i="13"/>
  <c r="J221" i="14" s="1"/>
  <c r="J80" i="13"/>
  <c r="J80" i="14" s="1"/>
  <c r="J179" i="13"/>
  <c r="J179" i="14" s="1"/>
  <c r="L179" i="14" s="1"/>
  <c r="M179" i="14" s="1"/>
  <c r="N179" i="14" s="1"/>
  <c r="O179" i="14" s="1"/>
  <c r="P179" i="14" s="1"/>
  <c r="J123" i="13"/>
  <c r="J123" i="14" s="1"/>
  <c r="L123" i="14" s="1"/>
  <c r="M123" i="14" s="1"/>
  <c r="N123" i="14" s="1"/>
  <c r="O123" i="14" s="1"/>
  <c r="P123" i="14" s="1"/>
  <c r="J146" i="13"/>
  <c r="L146" i="13" s="1"/>
  <c r="J59" i="13"/>
  <c r="J59" i="14" s="1"/>
  <c r="J83" i="13"/>
  <c r="J83" i="14" s="1"/>
  <c r="J246" i="13"/>
  <c r="J246" i="14" s="1"/>
  <c r="J131" i="13"/>
  <c r="J131" i="14" s="1"/>
  <c r="J242" i="13"/>
  <c r="J242" i="14" s="1"/>
  <c r="L242" i="14" s="1"/>
  <c r="M242" i="14" s="1"/>
  <c r="N242" i="14" s="1"/>
  <c r="O242" i="14" s="1"/>
  <c r="P242" i="14" s="1"/>
  <c r="J212" i="13"/>
  <c r="J212" i="14" s="1"/>
  <c r="J169" i="13"/>
  <c r="J169" i="14" s="1"/>
  <c r="L169" i="14" s="1"/>
  <c r="M169" i="14" s="1"/>
  <c r="N169" i="14" s="1"/>
  <c r="O169" i="14" s="1"/>
  <c r="P169" i="14" s="1"/>
  <c r="J226" i="13"/>
  <c r="J226" i="14" s="1"/>
  <c r="L226" i="14" s="1"/>
  <c r="M226" i="14" s="1"/>
  <c r="N226" i="14" s="1"/>
  <c r="O226" i="14" s="1"/>
  <c r="P226" i="14" s="1"/>
  <c r="J53" i="13"/>
  <c r="J53" i="14" s="1"/>
  <c r="J96" i="13"/>
  <c r="J96" i="14" s="1"/>
  <c r="J273" i="13"/>
  <c r="J273" i="14" s="1"/>
  <c r="J62" i="13"/>
  <c r="J62" i="14" s="1"/>
  <c r="L62" i="14" s="1"/>
  <c r="M62" i="14" s="1"/>
  <c r="N62" i="14" s="1"/>
  <c r="O62" i="14" s="1"/>
  <c r="P62" i="14" s="1"/>
  <c r="J276" i="13"/>
  <c r="J276" i="14" s="1"/>
  <c r="L276" i="14" s="1"/>
  <c r="M276" i="14" s="1"/>
  <c r="N276" i="14" s="1"/>
  <c r="O276" i="14" s="1"/>
  <c r="P276" i="14" s="1"/>
  <c r="J230" i="13"/>
  <c r="J230" i="14" s="1"/>
  <c r="J254" i="13"/>
  <c r="J254" i="14" s="1"/>
  <c r="L254" i="14" s="1"/>
  <c r="M254" i="14" s="1"/>
  <c r="N254" i="14" s="1"/>
  <c r="O254" i="14" s="1"/>
  <c r="P254" i="14" s="1"/>
  <c r="J132" i="13"/>
  <c r="J132" i="14" s="1"/>
  <c r="J151" i="13"/>
  <c r="J151" i="14" s="1"/>
  <c r="L151" i="14" s="1"/>
  <c r="M151" i="14" s="1"/>
  <c r="N151" i="14" s="1"/>
  <c r="O151" i="14" s="1"/>
  <c r="P151" i="14" s="1"/>
  <c r="J251" i="13"/>
  <c r="J251" i="14" s="1"/>
  <c r="J159" i="13"/>
  <c r="J159" i="14" s="1"/>
  <c r="L159" i="14" s="1"/>
  <c r="M159" i="14" s="1"/>
  <c r="N159" i="14" s="1"/>
  <c r="O159" i="14" s="1"/>
  <c r="P159" i="14" s="1"/>
  <c r="J117" i="13"/>
  <c r="J117" i="14" s="1"/>
  <c r="J128" i="13"/>
  <c r="J128" i="14" s="1"/>
  <c r="L128" i="14" s="1"/>
  <c r="M128" i="14" s="1"/>
  <c r="N128" i="14" s="1"/>
  <c r="O128" i="14" s="1"/>
  <c r="P128" i="14" s="1"/>
  <c r="J36" i="13"/>
  <c r="J36" i="14" s="1"/>
  <c r="J76" i="13"/>
  <c r="J76" i="14" s="1"/>
  <c r="J153" i="13"/>
  <c r="J153" i="14" s="1"/>
  <c r="J155" i="13"/>
  <c r="L155" i="13" s="1"/>
  <c r="J129" i="13"/>
  <c r="J129" i="14" s="1"/>
  <c r="J136" i="13"/>
  <c r="J136" i="14" s="1"/>
  <c r="J269" i="13"/>
  <c r="J269" i="14" s="1"/>
  <c r="L269" i="14" s="1"/>
  <c r="M269" i="14" s="1"/>
  <c r="N269" i="14" s="1"/>
  <c r="O269" i="14" s="1"/>
  <c r="P269" i="14" s="1"/>
  <c r="J140" i="13"/>
  <c r="J140" i="14" s="1"/>
  <c r="L140" i="14" s="1"/>
  <c r="M140" i="14" s="1"/>
  <c r="N140" i="14" s="1"/>
  <c r="O140" i="14" s="1"/>
  <c r="P140" i="14" s="1"/>
  <c r="J175" i="13"/>
  <c r="J175" i="14" s="1"/>
  <c r="L175" i="14" s="1"/>
  <c r="M175" i="14" s="1"/>
  <c r="N175" i="14" s="1"/>
  <c r="O175" i="14" s="1"/>
  <c r="P175" i="14" s="1"/>
  <c r="J149" i="13"/>
  <c r="J149" i="14" s="1"/>
  <c r="J190" i="13"/>
  <c r="J190" i="14" s="1"/>
  <c r="J114" i="13"/>
  <c r="J114" i="14" s="1"/>
  <c r="M34" i="8"/>
  <c r="F33" i="8"/>
  <c r="F33" i="14"/>
  <c r="W33" i="14" s="1"/>
  <c r="F32" i="13"/>
  <c r="F31" i="8"/>
  <c r="G31" i="19" s="1"/>
  <c r="F31" i="14"/>
  <c r="V31" i="14" s="1"/>
  <c r="F32" i="8"/>
  <c r="F32" i="14"/>
  <c r="E32" i="14" s="1"/>
  <c r="C8" i="9"/>
  <c r="Z56" i="13"/>
  <c r="X56" i="14" s="1"/>
  <c r="Z282" i="13"/>
  <c r="X282" i="14" s="1"/>
  <c r="Z252" i="13"/>
  <c r="X252" i="14" s="1"/>
  <c r="Z47" i="13"/>
  <c r="X47" i="14" s="1"/>
  <c r="Z77" i="13"/>
  <c r="X77" i="14" s="1"/>
  <c r="Z89" i="13"/>
  <c r="X89" i="14" s="1"/>
  <c r="Z86" i="13"/>
  <c r="X86" i="14" s="1"/>
  <c r="Z44" i="13"/>
  <c r="X44" i="14" s="1"/>
  <c r="Z52" i="13"/>
  <c r="X52" i="14" s="1"/>
  <c r="Z93" i="13"/>
  <c r="AA93" i="13" s="1"/>
  <c r="Z165" i="13"/>
  <c r="X165" i="14" s="1"/>
  <c r="Z58" i="13"/>
  <c r="X58" i="14" s="1"/>
  <c r="Z54" i="13"/>
  <c r="X54" i="14" s="1"/>
  <c r="Z73" i="13"/>
  <c r="X73" i="14" s="1"/>
  <c r="Z107" i="13"/>
  <c r="X107" i="14" s="1"/>
  <c r="Z207" i="13"/>
  <c r="X207" i="14" s="1"/>
  <c r="Z121" i="13"/>
  <c r="X121" i="14" s="1"/>
  <c r="Z139" i="13"/>
  <c r="X139" i="14" s="1"/>
  <c r="Z48" i="13"/>
  <c r="X48" i="14" s="1"/>
  <c r="Z244" i="13"/>
  <c r="X244" i="14" s="1"/>
  <c r="Z105" i="13"/>
  <c r="X105" i="14" s="1"/>
  <c r="Z88" i="13"/>
  <c r="X88" i="14" s="1"/>
  <c r="Z116" i="13"/>
  <c r="X116" i="14" s="1"/>
  <c r="AA185" i="13"/>
  <c r="AA77" i="13"/>
  <c r="AA89" i="13"/>
  <c r="AA237" i="13"/>
  <c r="AA165" i="13"/>
  <c r="AA58" i="13"/>
  <c r="AA54" i="13"/>
  <c r="AB54" i="13" s="1"/>
  <c r="AC54" i="13" s="1"/>
  <c r="AD54" i="13" s="1"/>
  <c r="AA87" i="13"/>
  <c r="AA57" i="13"/>
  <c r="AB207" i="13"/>
  <c r="Z238" i="13"/>
  <c r="X238" i="14" s="1"/>
  <c r="Z283" i="13"/>
  <c r="X283" i="14" s="1"/>
  <c r="Z162" i="13"/>
  <c r="X162" i="14" s="1"/>
  <c r="Z262" i="13"/>
  <c r="X262" i="14" s="1"/>
  <c r="Z211" i="13"/>
  <c r="X211" i="14" s="1"/>
  <c r="Z186" i="13"/>
  <c r="X186" i="14" s="1"/>
  <c r="Z223" i="13"/>
  <c r="X223" i="14" s="1"/>
  <c r="Z249" i="13"/>
  <c r="X249" i="14" s="1"/>
  <c r="Z38" i="13"/>
  <c r="X38" i="14" s="1"/>
  <c r="Z270" i="13"/>
  <c r="X270" i="14" s="1"/>
  <c r="Z138" i="13"/>
  <c r="AA138" i="13" s="1"/>
  <c r="Z247" i="13"/>
  <c r="X247" i="14" s="1"/>
  <c r="Z178" i="13"/>
  <c r="X178" i="14" s="1"/>
  <c r="Z268" i="13"/>
  <c r="X268" i="14" s="1"/>
  <c r="Z209" i="13"/>
  <c r="X209" i="14" s="1"/>
  <c r="Z92" i="13"/>
  <c r="X92" i="14" s="1"/>
  <c r="Z101" i="13"/>
  <c r="X101" i="14" s="1"/>
  <c r="Z224" i="13"/>
  <c r="X224" i="14" s="1"/>
  <c r="Z70" i="13"/>
  <c r="X70" i="14" s="1"/>
  <c r="Z170" i="13"/>
  <c r="X170" i="14" s="1"/>
  <c r="Z184" i="13"/>
  <c r="X184" i="14" s="1"/>
  <c r="Z236" i="13"/>
  <c r="X236" i="14" s="1"/>
  <c r="Z147" i="13"/>
  <c r="X147" i="14" s="1"/>
  <c r="AB73" i="13"/>
  <c r="AA94" i="13"/>
  <c r="AB94" i="13" s="1"/>
  <c r="AC94" i="13" s="1"/>
  <c r="AA266" i="13"/>
  <c r="AB266" i="13" s="1"/>
  <c r="AC266" i="13" s="1"/>
  <c r="AD266" i="13" s="1"/>
  <c r="AA262" i="13"/>
  <c r="AA211" i="13"/>
  <c r="AA186" i="13"/>
  <c r="AA161" i="13"/>
  <c r="AA38" i="13"/>
  <c r="AA270" i="13"/>
  <c r="AB270" i="13" s="1"/>
  <c r="AC270" i="13" s="1"/>
  <c r="AD270" i="13" s="1"/>
  <c r="AA268" i="13"/>
  <c r="AA241" i="13"/>
  <c r="AA184" i="13"/>
  <c r="AA236" i="13"/>
  <c r="AB236" i="13" s="1"/>
  <c r="AC236" i="13" s="1"/>
  <c r="AD236" i="13" s="1"/>
  <c r="AA154" i="13"/>
  <c r="G34" i="14"/>
  <c r="K34" i="14"/>
  <c r="W34" i="14"/>
  <c r="H34" i="14"/>
  <c r="V34" i="14"/>
  <c r="I34" i="14"/>
  <c r="A34" i="14"/>
  <c r="T34" i="14"/>
  <c r="S34" i="14"/>
  <c r="E34" i="14"/>
  <c r="U34" i="14"/>
  <c r="E34" i="18"/>
  <c r="J34" i="18" s="1"/>
  <c r="A34" i="18"/>
  <c r="H34" i="18"/>
  <c r="G34" i="18"/>
  <c r="L34" i="8"/>
  <c r="I34" i="8"/>
  <c r="E34" i="8"/>
  <c r="J34" i="8"/>
  <c r="G34" i="8"/>
  <c r="K34" i="8"/>
  <c r="H34" i="8"/>
  <c r="AB56" i="13"/>
  <c r="AB47" i="13"/>
  <c r="AB275" i="13"/>
  <c r="AC275" i="13" s="1"/>
  <c r="AB44" i="13"/>
  <c r="AC44" i="13" s="1"/>
  <c r="AA44" i="14" s="1"/>
  <c r="AB44" i="14" s="1"/>
  <c r="AB267" i="13"/>
  <c r="AC267" i="13" s="1"/>
  <c r="AA267" i="14" s="1"/>
  <c r="AB267" i="14" s="1"/>
  <c r="AB48" i="13"/>
  <c r="G32" i="18"/>
  <c r="A32" i="18"/>
  <c r="H32" i="18"/>
  <c r="E32" i="18"/>
  <c r="J32" i="18" s="1"/>
  <c r="E130" i="13"/>
  <c r="G130" i="13"/>
  <c r="H130" i="13"/>
  <c r="U130" i="13"/>
  <c r="AG130" i="13" s="1"/>
  <c r="V130" i="13"/>
  <c r="E218" i="13"/>
  <c r="G218" i="13"/>
  <c r="H218" i="13"/>
  <c r="V218" i="13"/>
  <c r="U218" i="13"/>
  <c r="AG218" i="13" s="1"/>
  <c r="E34" i="13"/>
  <c r="G34" i="13"/>
  <c r="H34" i="13"/>
  <c r="U34" i="13"/>
  <c r="AG34" i="13" s="1"/>
  <c r="V34" i="13"/>
  <c r="E257" i="13"/>
  <c r="G257" i="13"/>
  <c r="H257" i="13"/>
  <c r="U257" i="13"/>
  <c r="AG257" i="13" s="1"/>
  <c r="V257" i="13"/>
  <c r="E204" i="13"/>
  <c r="G204" i="13"/>
  <c r="H204" i="13"/>
  <c r="U204" i="13"/>
  <c r="AG204" i="13" s="1"/>
  <c r="V204" i="13"/>
  <c r="E181" i="13"/>
  <c r="G181" i="13"/>
  <c r="H181" i="13"/>
  <c r="U181" i="13"/>
  <c r="AG181" i="13" s="1"/>
  <c r="V181" i="13"/>
  <c r="E122" i="13"/>
  <c r="G122" i="13"/>
  <c r="H122" i="13"/>
  <c r="U122" i="13"/>
  <c r="AG122" i="13" s="1"/>
  <c r="V122" i="13"/>
  <c r="G157" i="13"/>
  <c r="E157" i="13"/>
  <c r="H157" i="13"/>
  <c r="U157" i="13"/>
  <c r="AG157" i="13" s="1"/>
  <c r="V157" i="13"/>
  <c r="G169" i="13"/>
  <c r="E169" i="13"/>
  <c r="H169" i="13"/>
  <c r="U169" i="13"/>
  <c r="AG169" i="13" s="1"/>
  <c r="V169" i="13"/>
  <c r="G148" i="13"/>
  <c r="E148" i="13"/>
  <c r="H148" i="13"/>
  <c r="U148" i="13"/>
  <c r="AG148" i="13" s="1"/>
  <c r="V148" i="13"/>
  <c r="E43" i="13"/>
  <c r="G43" i="13"/>
  <c r="H43" i="13"/>
  <c r="V43" i="13"/>
  <c r="U43" i="13"/>
  <c r="AG43" i="13" s="1"/>
  <c r="G60" i="13"/>
  <c r="E60" i="13"/>
  <c r="H60" i="13"/>
  <c r="U60" i="13"/>
  <c r="AG60" i="13" s="1"/>
  <c r="V60" i="13"/>
  <c r="E35" i="13"/>
  <c r="G35" i="13"/>
  <c r="H35" i="13"/>
  <c r="U35" i="13"/>
  <c r="AG35" i="13" s="1"/>
  <c r="V35" i="13"/>
  <c r="E254" i="13"/>
  <c r="G254" i="13"/>
  <c r="H254" i="13"/>
  <c r="V254" i="13"/>
  <c r="U254" i="13"/>
  <c r="AG254" i="13" s="1"/>
  <c r="E217" i="13"/>
  <c r="G217" i="13"/>
  <c r="H217" i="13"/>
  <c r="U217" i="13"/>
  <c r="AG217" i="13" s="1"/>
  <c r="V217" i="13"/>
  <c r="E151" i="13"/>
  <c r="G151" i="13"/>
  <c r="H151" i="13"/>
  <c r="U151" i="13"/>
  <c r="AG151" i="13" s="1"/>
  <c r="V151" i="13"/>
  <c r="E81" i="13"/>
  <c r="G81" i="13"/>
  <c r="H81" i="13"/>
  <c r="U81" i="13"/>
  <c r="AG81" i="13" s="1"/>
  <c r="V81" i="13"/>
  <c r="E251" i="13"/>
  <c r="G251" i="13"/>
  <c r="H251" i="13"/>
  <c r="V251" i="13"/>
  <c r="Z251" i="13" s="1"/>
  <c r="X251" i="14" s="1"/>
  <c r="U251" i="13"/>
  <c r="AG251" i="13" s="1"/>
  <c r="E85" i="13"/>
  <c r="G85" i="13"/>
  <c r="H85" i="13"/>
  <c r="U85" i="13"/>
  <c r="AG85" i="13" s="1"/>
  <c r="V85" i="13"/>
  <c r="E110" i="13"/>
  <c r="G110" i="13"/>
  <c r="H110" i="13"/>
  <c r="U110" i="13"/>
  <c r="AG110" i="13" s="1"/>
  <c r="V110" i="13"/>
  <c r="E76" i="13"/>
  <c r="G76" i="13"/>
  <c r="H76" i="13"/>
  <c r="U76" i="13"/>
  <c r="AG76" i="13" s="1"/>
  <c r="AB105" i="13" s="1"/>
  <c r="V76" i="13"/>
  <c r="E103" i="13"/>
  <c r="G103" i="13"/>
  <c r="H103" i="13"/>
  <c r="U103" i="13"/>
  <c r="AG103" i="13" s="1"/>
  <c r="V103" i="13"/>
  <c r="E265" i="13"/>
  <c r="G265" i="13"/>
  <c r="H265" i="13"/>
  <c r="U265" i="13"/>
  <c r="AG265" i="13" s="1"/>
  <c r="AB294" i="13" s="1"/>
  <c r="V265" i="13"/>
  <c r="E155" i="13"/>
  <c r="G155" i="13"/>
  <c r="H155" i="13"/>
  <c r="V155" i="13"/>
  <c r="U155" i="13"/>
  <c r="AG155" i="13" s="1"/>
  <c r="E281" i="13"/>
  <c r="G281" i="13"/>
  <c r="H281" i="13"/>
  <c r="U281" i="13"/>
  <c r="AG281" i="13" s="1"/>
  <c r="AB310" i="13" s="1"/>
  <c r="V281" i="13"/>
  <c r="E219" i="13"/>
  <c r="G219" i="13"/>
  <c r="H219" i="13"/>
  <c r="V219" i="13"/>
  <c r="U219" i="13"/>
  <c r="AG219" i="13" s="1"/>
  <c r="E195" i="13"/>
  <c r="G195" i="13"/>
  <c r="H195" i="13"/>
  <c r="U195" i="13"/>
  <c r="AG195" i="13" s="1"/>
  <c r="V195" i="13"/>
  <c r="G140" i="13"/>
  <c r="E140" i="13"/>
  <c r="H140" i="13"/>
  <c r="U140" i="13"/>
  <c r="AG140" i="13" s="1"/>
  <c r="V140" i="13"/>
  <c r="E175" i="13"/>
  <c r="G175" i="13"/>
  <c r="H175" i="13"/>
  <c r="V175" i="13"/>
  <c r="AA175" i="13" s="1"/>
  <c r="Y175" i="14" s="1"/>
  <c r="U175" i="13"/>
  <c r="AG175" i="13" s="1"/>
  <c r="E198" i="13"/>
  <c r="G198" i="13"/>
  <c r="H198" i="13"/>
  <c r="V198" i="13"/>
  <c r="U198" i="13"/>
  <c r="AG198" i="13" s="1"/>
  <c r="E196" i="13"/>
  <c r="G196" i="13"/>
  <c r="H196" i="13"/>
  <c r="U196" i="13"/>
  <c r="AG196" i="13" s="1"/>
  <c r="V196" i="13"/>
  <c r="E114" i="13"/>
  <c r="G114" i="13"/>
  <c r="H114" i="13"/>
  <c r="U114" i="13"/>
  <c r="AG114" i="13" s="1"/>
  <c r="V114" i="13"/>
  <c r="E133" i="13"/>
  <c r="G133" i="13"/>
  <c r="H133" i="13"/>
  <c r="U133" i="13"/>
  <c r="AG133" i="13" s="1"/>
  <c r="V133" i="13"/>
  <c r="E285" i="13"/>
  <c r="G285" i="13"/>
  <c r="H285" i="13"/>
  <c r="U285" i="13"/>
  <c r="AG285" i="13" s="1"/>
  <c r="AB314" i="13" s="1"/>
  <c r="V285" i="13"/>
  <c r="E40" i="13"/>
  <c r="G40" i="13"/>
  <c r="H40" i="13"/>
  <c r="U40" i="13"/>
  <c r="AG40" i="13" s="1"/>
  <c r="V40" i="13"/>
  <c r="G156" i="13"/>
  <c r="E156" i="13"/>
  <c r="H156" i="13"/>
  <c r="U156" i="13"/>
  <c r="AG156" i="13" s="1"/>
  <c r="V156" i="13"/>
  <c r="E256" i="13"/>
  <c r="G256" i="13"/>
  <c r="H256" i="13"/>
  <c r="V256" i="13"/>
  <c r="U256" i="13"/>
  <c r="AG256" i="13" s="1"/>
  <c r="G173" i="13"/>
  <c r="E173" i="13"/>
  <c r="H173" i="13"/>
  <c r="U173" i="13"/>
  <c r="AG173" i="13" s="1"/>
  <c r="V173" i="13"/>
  <c r="E131" i="13"/>
  <c r="G131" i="13"/>
  <c r="H131" i="13"/>
  <c r="U131" i="13"/>
  <c r="AG131" i="13" s="1"/>
  <c r="V131" i="13"/>
  <c r="E33" i="13"/>
  <c r="G33" i="13"/>
  <c r="H33" i="13"/>
  <c r="U33" i="13"/>
  <c r="AG33" i="13" s="1"/>
  <c r="V33" i="13"/>
  <c r="E226" i="13"/>
  <c r="G226" i="13"/>
  <c r="H226" i="13"/>
  <c r="U226" i="13"/>
  <c r="AG226" i="13" s="1"/>
  <c r="V226" i="13"/>
  <c r="E135" i="13"/>
  <c r="G135" i="13"/>
  <c r="H135" i="13"/>
  <c r="U135" i="13"/>
  <c r="AG135" i="13" s="1"/>
  <c r="V135" i="13"/>
  <c r="E62" i="13"/>
  <c r="G62" i="13"/>
  <c r="H62" i="13"/>
  <c r="U62" i="13"/>
  <c r="AG62" i="13" s="1"/>
  <c r="V62" i="13"/>
  <c r="E166" i="13"/>
  <c r="G166" i="13"/>
  <c r="H166" i="13"/>
  <c r="V166" i="13"/>
  <c r="U166" i="13"/>
  <c r="AG166" i="13" s="1"/>
  <c r="E280" i="13"/>
  <c r="G280" i="13"/>
  <c r="H280" i="13"/>
  <c r="U280" i="13"/>
  <c r="AG280" i="13" s="1"/>
  <c r="AB309" i="13" s="1"/>
  <c r="V280" i="13"/>
  <c r="E187" i="13"/>
  <c r="G187" i="13"/>
  <c r="H187" i="13"/>
  <c r="V187" i="13"/>
  <c r="U187" i="13"/>
  <c r="AG187" i="13" s="1"/>
  <c r="G168" i="13"/>
  <c r="E168" i="13"/>
  <c r="H168" i="13"/>
  <c r="U168" i="13"/>
  <c r="AG168" i="13" s="1"/>
  <c r="V168" i="13"/>
  <c r="E98" i="13"/>
  <c r="G98" i="13"/>
  <c r="H98" i="13"/>
  <c r="U98" i="13"/>
  <c r="AG98" i="13" s="1"/>
  <c r="V98" i="13"/>
  <c r="E221" i="13"/>
  <c r="G221" i="13"/>
  <c r="H221" i="13"/>
  <c r="U221" i="13"/>
  <c r="AG221" i="13" s="1"/>
  <c r="V221" i="13"/>
  <c r="E179" i="13"/>
  <c r="G179" i="13"/>
  <c r="H179" i="13"/>
  <c r="U179" i="13"/>
  <c r="AG179" i="13" s="1"/>
  <c r="V179" i="13"/>
  <c r="E177" i="13"/>
  <c r="G177" i="13"/>
  <c r="H177" i="13"/>
  <c r="U177" i="13"/>
  <c r="AG177" i="13" s="1"/>
  <c r="V177" i="13"/>
  <c r="E284" i="13"/>
  <c r="G284" i="13"/>
  <c r="H284" i="13"/>
  <c r="U284" i="13"/>
  <c r="AG284" i="13" s="1"/>
  <c r="AB313" i="13" s="1"/>
  <c r="V284" i="13"/>
  <c r="E83" i="13"/>
  <c r="G83" i="13"/>
  <c r="H83" i="13"/>
  <c r="U83" i="13"/>
  <c r="AG83" i="13" s="1"/>
  <c r="V83" i="13"/>
  <c r="E46" i="13"/>
  <c r="G46" i="13"/>
  <c r="H46" i="13"/>
  <c r="U46" i="13"/>
  <c r="AG46" i="13" s="1"/>
  <c r="V46" i="13"/>
  <c r="E242" i="13"/>
  <c r="G242" i="13"/>
  <c r="H242" i="13"/>
  <c r="U242" i="13"/>
  <c r="AG242" i="13" s="1"/>
  <c r="V242" i="13"/>
  <c r="E231" i="13"/>
  <c r="G231" i="13"/>
  <c r="H231" i="13"/>
  <c r="U231" i="13"/>
  <c r="AG231" i="13" s="1"/>
  <c r="V231" i="13"/>
  <c r="G104" i="13"/>
  <c r="E104" i="13"/>
  <c r="H104" i="13"/>
  <c r="U104" i="13"/>
  <c r="AG104" i="13" s="1"/>
  <c r="V104" i="13"/>
  <c r="E37" i="13"/>
  <c r="G37" i="13"/>
  <c r="H37" i="13"/>
  <c r="U37" i="13"/>
  <c r="AG37" i="13" s="1"/>
  <c r="V37" i="13"/>
  <c r="E72" i="13"/>
  <c r="G72" i="13"/>
  <c r="H72" i="13"/>
  <c r="U72" i="13"/>
  <c r="AG72" i="13" s="1"/>
  <c r="AB101" i="13" s="1"/>
  <c r="AC101" i="13" s="1"/>
  <c r="AA101" i="14" s="1"/>
  <c r="AB101" i="14" s="1"/>
  <c r="V72" i="13"/>
  <c r="E250" i="13"/>
  <c r="G250" i="13"/>
  <c r="H250" i="13"/>
  <c r="V250" i="13"/>
  <c r="U250" i="13"/>
  <c r="AG250" i="13" s="1"/>
  <c r="E253" i="13"/>
  <c r="G253" i="13"/>
  <c r="H253" i="13"/>
  <c r="L253" i="13"/>
  <c r="N253" i="13" s="1"/>
  <c r="O253" i="13" s="1"/>
  <c r="Q253" i="13" s="1"/>
  <c r="R253" i="13" s="1"/>
  <c r="U253" i="13"/>
  <c r="AG253" i="13" s="1"/>
  <c r="V253" i="13"/>
  <c r="E222" i="13"/>
  <c r="G222" i="13"/>
  <c r="H222" i="13"/>
  <c r="V222" i="13"/>
  <c r="U222" i="13"/>
  <c r="AG222" i="13" s="1"/>
  <c r="G108" i="13"/>
  <c r="E108" i="13"/>
  <c r="H108" i="13"/>
  <c r="U108" i="13"/>
  <c r="AG108" i="13" s="1"/>
  <c r="V108" i="13"/>
  <c r="E150" i="13"/>
  <c r="G150" i="13"/>
  <c r="H150" i="13"/>
  <c r="V150" i="13"/>
  <c r="U150" i="13"/>
  <c r="AG150" i="13" s="1"/>
  <c r="E96" i="13"/>
  <c r="G96" i="13"/>
  <c r="H96" i="13"/>
  <c r="V96" i="13"/>
  <c r="U96" i="13"/>
  <c r="AG96" i="13" s="1"/>
  <c r="E50" i="13"/>
  <c r="G50" i="13"/>
  <c r="H50" i="13"/>
  <c r="U50" i="13"/>
  <c r="AG50" i="13" s="1"/>
  <c r="V50" i="13"/>
  <c r="G189" i="13"/>
  <c r="E189" i="13"/>
  <c r="H189" i="13"/>
  <c r="U189" i="13"/>
  <c r="AG189" i="13" s="1"/>
  <c r="V189" i="13"/>
  <c r="E68" i="13"/>
  <c r="G68" i="13"/>
  <c r="H68" i="13"/>
  <c r="U68" i="13"/>
  <c r="AG68" i="13" s="1"/>
  <c r="V68" i="13"/>
  <c r="E271" i="13"/>
  <c r="G271" i="13"/>
  <c r="H271" i="13"/>
  <c r="V271" i="13"/>
  <c r="U271" i="13"/>
  <c r="AG271" i="13" s="1"/>
  <c r="AB300" i="13" s="1"/>
  <c r="E213" i="13"/>
  <c r="G213" i="13"/>
  <c r="H213" i="13"/>
  <c r="U213" i="13"/>
  <c r="AG213" i="13" s="1"/>
  <c r="V213" i="13"/>
  <c r="G125" i="13"/>
  <c r="E125" i="13"/>
  <c r="H125" i="13"/>
  <c r="U125" i="13"/>
  <c r="AG125" i="13" s="1"/>
  <c r="V125" i="13"/>
  <c r="E259" i="13"/>
  <c r="G259" i="13"/>
  <c r="H259" i="13"/>
  <c r="U259" i="13"/>
  <c r="AG259" i="13" s="1"/>
  <c r="V259" i="13"/>
  <c r="E276" i="13"/>
  <c r="G276" i="13"/>
  <c r="H276" i="13"/>
  <c r="U276" i="13"/>
  <c r="AG276" i="13" s="1"/>
  <c r="AB305" i="13" s="1"/>
  <c r="V276" i="13"/>
  <c r="E55" i="13"/>
  <c r="G55" i="13"/>
  <c r="H55" i="13"/>
  <c r="U55" i="13"/>
  <c r="AG55" i="13" s="1"/>
  <c r="V55" i="13"/>
  <c r="E163" i="13"/>
  <c r="G163" i="13"/>
  <c r="H163" i="13"/>
  <c r="U163" i="13"/>
  <c r="AG163" i="13" s="1"/>
  <c r="V163" i="13"/>
  <c r="E230" i="13"/>
  <c r="G230" i="13"/>
  <c r="H230" i="13"/>
  <c r="V230" i="13"/>
  <c r="U230" i="13"/>
  <c r="AG230" i="13" s="1"/>
  <c r="E220" i="13"/>
  <c r="G220" i="13"/>
  <c r="H220" i="13"/>
  <c r="U220" i="13"/>
  <c r="AG220" i="13" s="1"/>
  <c r="V220" i="13"/>
  <c r="G100" i="13"/>
  <c r="E100" i="13"/>
  <c r="H100" i="13"/>
  <c r="U100" i="13"/>
  <c r="AG100" i="13" s="1"/>
  <c r="V100" i="13"/>
  <c r="E183" i="13"/>
  <c r="G183" i="13"/>
  <c r="H183" i="13"/>
  <c r="U183" i="13"/>
  <c r="AG183" i="13" s="1"/>
  <c r="V183" i="13"/>
  <c r="E69" i="13"/>
  <c r="G69" i="13"/>
  <c r="H69" i="13"/>
  <c r="U69" i="13"/>
  <c r="AG69" i="13" s="1"/>
  <c r="V69" i="13"/>
  <c r="E71" i="13"/>
  <c r="G71" i="13"/>
  <c r="H71" i="13"/>
  <c r="U71" i="13"/>
  <c r="AG71" i="13" s="1"/>
  <c r="V71" i="13"/>
  <c r="E277" i="13"/>
  <c r="G277" i="13"/>
  <c r="H277" i="13"/>
  <c r="U277" i="13"/>
  <c r="AG277" i="13" s="1"/>
  <c r="AB306" i="13" s="1"/>
  <c r="V277" i="13"/>
  <c r="E176" i="13"/>
  <c r="G176" i="13"/>
  <c r="H176" i="13"/>
  <c r="V176" i="13"/>
  <c r="U176" i="13"/>
  <c r="AG176" i="13" s="1"/>
  <c r="E279" i="13"/>
  <c r="G279" i="13"/>
  <c r="H279" i="13"/>
  <c r="L279" i="13"/>
  <c r="M279" i="13" s="1"/>
  <c r="U279" i="13"/>
  <c r="AG279" i="13" s="1"/>
  <c r="AB308" i="13" s="1"/>
  <c r="V279" i="13"/>
  <c r="E127" i="13"/>
  <c r="G127" i="13"/>
  <c r="H127" i="13"/>
  <c r="U127" i="13"/>
  <c r="AG127" i="13" s="1"/>
  <c r="V127" i="13"/>
  <c r="E206" i="13"/>
  <c r="G206" i="13"/>
  <c r="H206" i="13"/>
  <c r="V206" i="13"/>
  <c r="U206" i="13"/>
  <c r="AG206" i="13" s="1"/>
  <c r="E228" i="13"/>
  <c r="G228" i="13"/>
  <c r="H228" i="13"/>
  <c r="U228" i="13"/>
  <c r="AG228" i="13" s="1"/>
  <c r="V228" i="13"/>
  <c r="E159" i="13"/>
  <c r="G159" i="13"/>
  <c r="H159" i="13"/>
  <c r="U159" i="13"/>
  <c r="AG159" i="13" s="1"/>
  <c r="V159" i="13"/>
  <c r="E201" i="13"/>
  <c r="G201" i="13"/>
  <c r="H201" i="13"/>
  <c r="U201" i="13"/>
  <c r="AG201" i="13" s="1"/>
  <c r="V201" i="13"/>
  <c r="E117" i="13"/>
  <c r="G117" i="13"/>
  <c r="H117" i="13"/>
  <c r="U117" i="13"/>
  <c r="AG117" i="13" s="1"/>
  <c r="V117" i="13"/>
  <c r="E75" i="13"/>
  <c r="G75" i="13"/>
  <c r="H75" i="13"/>
  <c r="V75" i="13"/>
  <c r="U75" i="13"/>
  <c r="AG75" i="13" s="1"/>
  <c r="G141" i="13"/>
  <c r="E141" i="13"/>
  <c r="H141" i="13"/>
  <c r="U141" i="13"/>
  <c r="AG141" i="13" s="1"/>
  <c r="AB170" i="13" s="1"/>
  <c r="V141" i="13"/>
  <c r="E36" i="13"/>
  <c r="G36" i="13"/>
  <c r="H36" i="13"/>
  <c r="U36" i="13"/>
  <c r="AG36" i="13" s="1"/>
  <c r="V36" i="13"/>
  <c r="Z36" i="13" s="1"/>
  <c r="X36" i="14" s="1"/>
  <c r="E243" i="13"/>
  <c r="G243" i="13"/>
  <c r="H243" i="13"/>
  <c r="U243" i="13"/>
  <c r="AG243" i="13" s="1"/>
  <c r="V243" i="13"/>
  <c r="E41" i="13"/>
  <c r="G41" i="13"/>
  <c r="H41" i="13"/>
  <c r="U41" i="13"/>
  <c r="AG41" i="13" s="1"/>
  <c r="AB70" i="13" s="1"/>
  <c r="V41" i="13"/>
  <c r="E240" i="13"/>
  <c r="G240" i="13"/>
  <c r="H240" i="13"/>
  <c r="V240" i="13"/>
  <c r="U240" i="13"/>
  <c r="AG240" i="13" s="1"/>
  <c r="G153" i="13"/>
  <c r="E153" i="13"/>
  <c r="H153" i="13"/>
  <c r="U153" i="13"/>
  <c r="AG153" i="13" s="1"/>
  <c r="V153" i="13"/>
  <c r="E232" i="13"/>
  <c r="G232" i="13"/>
  <c r="H232" i="13"/>
  <c r="U232" i="13"/>
  <c r="AG232" i="13" s="1"/>
  <c r="V232" i="13"/>
  <c r="E191" i="13"/>
  <c r="G191" i="13"/>
  <c r="H191" i="13"/>
  <c r="V191" i="13"/>
  <c r="U191" i="13"/>
  <c r="AG191" i="13" s="1"/>
  <c r="E239" i="13"/>
  <c r="G239" i="13"/>
  <c r="H239" i="13"/>
  <c r="V239" i="13"/>
  <c r="U239" i="13"/>
  <c r="AG239" i="13" s="1"/>
  <c r="E129" i="13"/>
  <c r="G129" i="13"/>
  <c r="H129" i="13"/>
  <c r="U129" i="13"/>
  <c r="AG129" i="13" s="1"/>
  <c r="V129" i="13"/>
  <c r="E216" i="13"/>
  <c r="G216" i="13"/>
  <c r="H216" i="13"/>
  <c r="U216" i="13"/>
  <c r="AG216" i="13" s="1"/>
  <c r="V216" i="13"/>
  <c r="E245" i="13"/>
  <c r="G245" i="13"/>
  <c r="H245" i="13"/>
  <c r="L245" i="13"/>
  <c r="N245" i="13" s="1"/>
  <c r="O245" i="13" s="1"/>
  <c r="Q245" i="13" s="1"/>
  <c r="R245" i="13" s="1"/>
  <c r="U245" i="13"/>
  <c r="AG245" i="13" s="1"/>
  <c r="V245" i="13"/>
  <c r="E208" i="13"/>
  <c r="G208" i="13"/>
  <c r="H208" i="13"/>
  <c r="V208" i="13"/>
  <c r="U208" i="13"/>
  <c r="AG208" i="13" s="1"/>
  <c r="E142" i="13"/>
  <c r="G142" i="13"/>
  <c r="H142" i="13"/>
  <c r="U142" i="13"/>
  <c r="AG142" i="13" s="1"/>
  <c r="V142" i="13"/>
  <c r="E215" i="13"/>
  <c r="G215" i="13"/>
  <c r="H215" i="13"/>
  <c r="U215" i="13"/>
  <c r="AG215" i="13" s="1"/>
  <c r="V215" i="13"/>
  <c r="E199" i="13"/>
  <c r="G199" i="13"/>
  <c r="H199" i="13"/>
  <c r="U199" i="13"/>
  <c r="AG199" i="13" s="1"/>
  <c r="V199" i="13"/>
  <c r="E106" i="13"/>
  <c r="G106" i="13"/>
  <c r="H106" i="13"/>
  <c r="U106" i="13"/>
  <c r="AG106" i="13" s="1"/>
  <c r="V106" i="13"/>
  <c r="E119" i="13"/>
  <c r="G119" i="13"/>
  <c r="H119" i="13"/>
  <c r="U119" i="13"/>
  <c r="AG119" i="13" s="1"/>
  <c r="V119" i="13"/>
  <c r="E63" i="13"/>
  <c r="G63" i="13"/>
  <c r="H63" i="13"/>
  <c r="U63" i="13"/>
  <c r="AG63" i="13" s="1"/>
  <c r="V63" i="13"/>
  <c r="E149" i="13"/>
  <c r="G149" i="13"/>
  <c r="H149" i="13"/>
  <c r="U149" i="13"/>
  <c r="AG149" i="13" s="1"/>
  <c r="V149" i="13"/>
  <c r="AA149" i="13" s="1"/>
  <c r="Y149" i="14" s="1"/>
  <c r="E192" i="13"/>
  <c r="G192" i="13"/>
  <c r="H192" i="13"/>
  <c r="V192" i="13"/>
  <c r="U192" i="13"/>
  <c r="AG192" i="13" s="1"/>
  <c r="E190" i="13"/>
  <c r="G190" i="13"/>
  <c r="H190" i="13"/>
  <c r="V190" i="13"/>
  <c r="Z190" i="13" s="1"/>
  <c r="X190" i="14" s="1"/>
  <c r="U190" i="13"/>
  <c r="AG190" i="13" s="1"/>
  <c r="E97" i="13"/>
  <c r="G97" i="13"/>
  <c r="H97" i="13"/>
  <c r="U97" i="13"/>
  <c r="AG97" i="13" s="1"/>
  <c r="V97" i="13"/>
  <c r="E90" i="13"/>
  <c r="G90" i="13"/>
  <c r="H90" i="13"/>
  <c r="U90" i="13"/>
  <c r="AG90" i="13" s="1"/>
  <c r="V90" i="13"/>
  <c r="E233" i="13"/>
  <c r="G233" i="13"/>
  <c r="H233" i="13"/>
  <c r="U233" i="13"/>
  <c r="AG233" i="13" s="1"/>
  <c r="V233" i="13"/>
  <c r="E45" i="13"/>
  <c r="G45" i="13"/>
  <c r="H45" i="13"/>
  <c r="U45" i="13"/>
  <c r="AG45" i="13" s="1"/>
  <c r="V45" i="13"/>
  <c r="E102" i="13"/>
  <c r="G102" i="13"/>
  <c r="H102" i="13"/>
  <c r="V102" i="13"/>
  <c r="U102" i="13"/>
  <c r="AG102" i="13" s="1"/>
  <c r="E67" i="13"/>
  <c r="G67" i="13"/>
  <c r="H67" i="13"/>
  <c r="U67" i="13"/>
  <c r="AG67" i="13" s="1"/>
  <c r="V67" i="13"/>
  <c r="E200" i="13"/>
  <c r="G200" i="13"/>
  <c r="H200" i="13"/>
  <c r="U200" i="13"/>
  <c r="AG200" i="13" s="1"/>
  <c r="V200" i="13"/>
  <c r="E146" i="13"/>
  <c r="G146" i="13"/>
  <c r="H146" i="13"/>
  <c r="U146" i="13"/>
  <c r="AG146" i="13" s="1"/>
  <c r="V146" i="13"/>
  <c r="E203" i="13"/>
  <c r="G203" i="13"/>
  <c r="H203" i="13"/>
  <c r="L203" i="13"/>
  <c r="N203" i="13" s="1"/>
  <c r="O203" i="13" s="1"/>
  <c r="Q203" i="13" s="1"/>
  <c r="R203" i="13" s="1"/>
  <c r="V203" i="13"/>
  <c r="U203" i="13"/>
  <c r="AG203" i="13" s="1"/>
  <c r="E113" i="13"/>
  <c r="G113" i="13"/>
  <c r="H113" i="13"/>
  <c r="U113" i="13"/>
  <c r="AG113" i="13" s="1"/>
  <c r="V113" i="13"/>
  <c r="E112" i="13"/>
  <c r="G112" i="13"/>
  <c r="H112" i="13"/>
  <c r="V112" i="13"/>
  <c r="U112" i="13"/>
  <c r="AG112" i="13" s="1"/>
  <c r="E53" i="13"/>
  <c r="G53" i="13"/>
  <c r="H53" i="13"/>
  <c r="U53" i="13"/>
  <c r="AG53" i="13" s="1"/>
  <c r="V53" i="13"/>
  <c r="E115" i="13"/>
  <c r="G115" i="13"/>
  <c r="H115" i="13"/>
  <c r="U115" i="13"/>
  <c r="AG115" i="13" s="1"/>
  <c r="V115" i="13"/>
  <c r="E255" i="13"/>
  <c r="G255" i="13"/>
  <c r="H255" i="13"/>
  <c r="V255" i="13"/>
  <c r="U255" i="13"/>
  <c r="AG255" i="13" s="1"/>
  <c r="E145" i="13"/>
  <c r="G145" i="13"/>
  <c r="H145" i="13"/>
  <c r="U145" i="13"/>
  <c r="AG145" i="13" s="1"/>
  <c r="V145" i="13"/>
  <c r="E263" i="13"/>
  <c r="G263" i="13"/>
  <c r="H263" i="13"/>
  <c r="U263" i="13"/>
  <c r="AG263" i="13" s="1"/>
  <c r="V263" i="13"/>
  <c r="E182" i="13"/>
  <c r="G182" i="13"/>
  <c r="H182" i="13"/>
  <c r="V182" i="13"/>
  <c r="U182" i="13"/>
  <c r="AG182" i="13" s="1"/>
  <c r="E167" i="13"/>
  <c r="G167" i="13"/>
  <c r="H167" i="13"/>
  <c r="U167" i="13"/>
  <c r="AG167" i="13" s="1"/>
  <c r="V167" i="13"/>
  <c r="E274" i="13"/>
  <c r="G274" i="13"/>
  <c r="H274" i="13"/>
  <c r="U274" i="13"/>
  <c r="AG274" i="13" s="1"/>
  <c r="AB303" i="13" s="1"/>
  <c r="V274" i="13"/>
  <c r="E188" i="13"/>
  <c r="G188" i="13"/>
  <c r="H188" i="13"/>
  <c r="U188" i="13"/>
  <c r="AG188" i="13" s="1"/>
  <c r="V188" i="13"/>
  <c r="E227" i="13"/>
  <c r="G227" i="13"/>
  <c r="H227" i="13"/>
  <c r="U227" i="13"/>
  <c r="AG227" i="13" s="1"/>
  <c r="V227" i="13"/>
  <c r="E194" i="13"/>
  <c r="G194" i="13"/>
  <c r="H194" i="13"/>
  <c r="U194" i="13"/>
  <c r="AG194" i="13" s="1"/>
  <c r="V194" i="13"/>
  <c r="E42" i="13"/>
  <c r="G42" i="13"/>
  <c r="H42" i="13"/>
  <c r="U42" i="13"/>
  <c r="AG42" i="13" s="1"/>
  <c r="V42" i="13"/>
  <c r="E80" i="13"/>
  <c r="G80" i="13"/>
  <c r="H80" i="13"/>
  <c r="V80" i="13"/>
  <c r="U80" i="13"/>
  <c r="AG80" i="13" s="1"/>
  <c r="E123" i="13"/>
  <c r="G123" i="13"/>
  <c r="H123" i="13"/>
  <c r="V123" i="13"/>
  <c r="U123" i="13"/>
  <c r="AG123" i="13" s="1"/>
  <c r="E234" i="13"/>
  <c r="G234" i="13"/>
  <c r="H234" i="13"/>
  <c r="V234" i="13"/>
  <c r="U234" i="13"/>
  <c r="AG234" i="13" s="1"/>
  <c r="E144" i="13"/>
  <c r="G144" i="13"/>
  <c r="H144" i="13"/>
  <c r="V144" i="13"/>
  <c r="U144" i="13"/>
  <c r="AG144" i="13" s="1"/>
  <c r="E235" i="13"/>
  <c r="G235" i="13"/>
  <c r="H235" i="13"/>
  <c r="V235" i="13"/>
  <c r="U235" i="13"/>
  <c r="AG235" i="13" s="1"/>
  <c r="E246" i="13"/>
  <c r="G246" i="13"/>
  <c r="H246" i="13"/>
  <c r="V246" i="13"/>
  <c r="U246" i="13"/>
  <c r="AG246" i="13" s="1"/>
  <c r="E65" i="13"/>
  <c r="G65" i="13"/>
  <c r="H65" i="13"/>
  <c r="U65" i="13"/>
  <c r="AG65" i="13" s="1"/>
  <c r="V65" i="13"/>
  <c r="E99" i="13"/>
  <c r="G99" i="13"/>
  <c r="H99" i="13"/>
  <c r="U99" i="13"/>
  <c r="AG99" i="13" s="1"/>
  <c r="V99" i="13"/>
  <c r="E134" i="13"/>
  <c r="G134" i="13"/>
  <c r="H134" i="13"/>
  <c r="V134" i="13"/>
  <c r="U134" i="13"/>
  <c r="AG134" i="13" s="1"/>
  <c r="E261" i="13"/>
  <c r="G261" i="13"/>
  <c r="H261" i="13"/>
  <c r="U261" i="13"/>
  <c r="AG261" i="13" s="1"/>
  <c r="V261" i="13"/>
  <c r="E248" i="13"/>
  <c r="G248" i="13"/>
  <c r="H248" i="13"/>
  <c r="U248" i="13"/>
  <c r="AG248" i="13" s="1"/>
  <c r="V248" i="13"/>
  <c r="E59" i="13"/>
  <c r="G59" i="13"/>
  <c r="H59" i="13"/>
  <c r="V59" i="13"/>
  <c r="U59" i="13"/>
  <c r="AG59" i="13" s="1"/>
  <c r="AB88" i="13" s="1"/>
  <c r="AC88" i="13" s="1"/>
  <c r="AD88" i="13" s="1"/>
  <c r="E272" i="13"/>
  <c r="G272" i="13"/>
  <c r="H272" i="13"/>
  <c r="V272" i="13"/>
  <c r="U272" i="13"/>
  <c r="AG272" i="13" s="1"/>
  <c r="E212" i="13"/>
  <c r="G212" i="13"/>
  <c r="H212" i="13"/>
  <c r="U212" i="13"/>
  <c r="AG212" i="13" s="1"/>
  <c r="V212" i="13"/>
  <c r="E264" i="13"/>
  <c r="G264" i="13"/>
  <c r="H264" i="13"/>
  <c r="U264" i="13"/>
  <c r="AG264" i="13" s="1"/>
  <c r="AB293" i="13" s="1"/>
  <c r="V264" i="13"/>
  <c r="E278" i="13"/>
  <c r="G278" i="13"/>
  <c r="H278" i="13"/>
  <c r="V278" i="13"/>
  <c r="U278" i="13"/>
  <c r="AG278" i="13" s="1"/>
  <c r="AB307" i="13" s="1"/>
  <c r="E273" i="13"/>
  <c r="G273" i="13"/>
  <c r="H273" i="13"/>
  <c r="U273" i="13"/>
  <c r="AG273" i="13" s="1"/>
  <c r="AB302" i="13" s="1"/>
  <c r="V273" i="13"/>
  <c r="G84" i="13"/>
  <c r="E84" i="13"/>
  <c r="H84" i="13"/>
  <c r="U84" i="13"/>
  <c r="AG84" i="13" s="1"/>
  <c r="V84" i="13"/>
  <c r="E197" i="13"/>
  <c r="G197" i="13"/>
  <c r="H197" i="13"/>
  <c r="U197" i="13"/>
  <c r="AG197" i="13" s="1"/>
  <c r="V197" i="13"/>
  <c r="E126" i="13"/>
  <c r="G126" i="13"/>
  <c r="H126" i="13"/>
  <c r="U126" i="13"/>
  <c r="AG126" i="13" s="1"/>
  <c r="V126" i="13"/>
  <c r="G132" i="13"/>
  <c r="E132" i="13"/>
  <c r="H132" i="13"/>
  <c r="U132" i="13"/>
  <c r="AG132" i="13" s="1"/>
  <c r="V132" i="13"/>
  <c r="E91" i="13"/>
  <c r="G91" i="13"/>
  <c r="H91" i="13"/>
  <c r="V91" i="13"/>
  <c r="U91" i="13"/>
  <c r="AG91" i="13" s="1"/>
  <c r="E74" i="13"/>
  <c r="G74" i="13"/>
  <c r="H74" i="13"/>
  <c r="U74" i="13"/>
  <c r="AG74" i="13" s="1"/>
  <c r="V74" i="13"/>
  <c r="E210" i="13"/>
  <c r="G210" i="13"/>
  <c r="H210" i="13"/>
  <c r="U210" i="13"/>
  <c r="AG210" i="13" s="1"/>
  <c r="V210" i="13"/>
  <c r="E202" i="13"/>
  <c r="G202" i="13"/>
  <c r="H202" i="13"/>
  <c r="V202" i="13"/>
  <c r="U202" i="13"/>
  <c r="AG202" i="13" s="1"/>
  <c r="E128" i="13"/>
  <c r="G128" i="13"/>
  <c r="H128" i="13"/>
  <c r="V128" i="13"/>
  <c r="Z128" i="13" s="1"/>
  <c r="X128" i="14" s="1"/>
  <c r="U128" i="13"/>
  <c r="AG128" i="13" s="1"/>
  <c r="E225" i="13"/>
  <c r="G225" i="13"/>
  <c r="H225" i="13"/>
  <c r="U225" i="13"/>
  <c r="AG225" i="13" s="1"/>
  <c r="V225" i="13"/>
  <c r="E160" i="13"/>
  <c r="G160" i="13"/>
  <c r="H160" i="13"/>
  <c r="V160" i="13"/>
  <c r="U160" i="13"/>
  <c r="AG160" i="13" s="1"/>
  <c r="E193" i="13"/>
  <c r="G193" i="13"/>
  <c r="H193" i="13"/>
  <c r="U193" i="13"/>
  <c r="AG193" i="13" s="1"/>
  <c r="V193" i="13"/>
  <c r="E229" i="13"/>
  <c r="G229" i="13"/>
  <c r="H229" i="13"/>
  <c r="U229" i="13"/>
  <c r="AG229" i="13" s="1"/>
  <c r="V229" i="13"/>
  <c r="G136" i="13"/>
  <c r="E136" i="13"/>
  <c r="H136" i="13"/>
  <c r="U136" i="13"/>
  <c r="AG136" i="13" s="1"/>
  <c r="V136" i="13"/>
  <c r="AA136" i="13" s="1"/>
  <c r="Y136" i="14" s="1"/>
  <c r="E269" i="13"/>
  <c r="G269" i="13"/>
  <c r="H269" i="13"/>
  <c r="U269" i="13"/>
  <c r="AG269" i="13" s="1"/>
  <c r="AB298" i="13" s="1"/>
  <c r="V269" i="13"/>
  <c r="AA269" i="13" s="1"/>
  <c r="Y269" i="14" s="1"/>
  <c r="E82" i="13"/>
  <c r="G82" i="13"/>
  <c r="H82" i="13"/>
  <c r="U82" i="13"/>
  <c r="AG82" i="13" s="1"/>
  <c r="V82" i="13"/>
  <c r="E51" i="13"/>
  <c r="G51" i="13"/>
  <c r="H51" i="13"/>
  <c r="U51" i="13"/>
  <c r="AG51" i="13" s="1"/>
  <c r="V51" i="13"/>
  <c r="E171" i="13"/>
  <c r="G171" i="13"/>
  <c r="H171" i="13"/>
  <c r="V171" i="13"/>
  <c r="U171" i="13"/>
  <c r="AG171" i="13" s="1"/>
  <c r="E205" i="13"/>
  <c r="G205" i="13"/>
  <c r="H205" i="13"/>
  <c r="U205" i="13"/>
  <c r="AG205" i="13" s="1"/>
  <c r="V205" i="13"/>
  <c r="G172" i="13"/>
  <c r="E172" i="13"/>
  <c r="H172" i="13"/>
  <c r="U172" i="13"/>
  <c r="AG172" i="13" s="1"/>
  <c r="V172" i="13"/>
  <c r="B249" i="6"/>
  <c r="C238" i="9"/>
  <c r="B139" i="6"/>
  <c r="B69" i="6"/>
  <c r="B160" i="6"/>
  <c r="C129" i="9"/>
  <c r="B183" i="6"/>
  <c r="B213" i="6"/>
  <c r="B203" i="9"/>
  <c r="B211" i="9"/>
  <c r="D207" i="6"/>
  <c r="E207" i="6" s="1"/>
  <c r="Z207" i="6" s="1" a="1"/>
  <c r="Z207" i="6" s="1"/>
  <c r="C207" i="6" s="1"/>
  <c r="B184" i="6"/>
  <c r="D79" i="6"/>
  <c r="E79" i="6" s="1"/>
  <c r="Z79" i="6" s="1" a="1"/>
  <c r="Z79" i="6" s="1"/>
  <c r="C79" i="6" s="1"/>
  <c r="B167" i="9"/>
  <c r="D98" i="6"/>
  <c r="E98" i="6" s="1"/>
  <c r="Z98" i="6" s="1" a="1"/>
  <c r="Z98" i="6" s="1"/>
  <c r="C98" i="6" s="1"/>
  <c r="B198" i="6"/>
  <c r="D186" i="6"/>
  <c r="E186" i="6" s="1"/>
  <c r="Z186" i="6" s="1" a="1"/>
  <c r="Z186" i="6" s="1"/>
  <c r="C186" i="6" s="1"/>
  <c r="B239" i="6"/>
  <c r="D253" i="6"/>
  <c r="E253" i="6" s="1"/>
  <c r="Z253" i="6" s="1" a="1"/>
  <c r="Z253" i="6" s="1"/>
  <c r="C253" i="6" s="1"/>
  <c r="B261" i="6"/>
  <c r="B21" i="6"/>
  <c r="D110" i="6"/>
  <c r="E110" i="6" s="1"/>
  <c r="Z110" i="6" s="1" a="1"/>
  <c r="Z110" i="6" s="1"/>
  <c r="C110" i="6" s="1"/>
  <c r="D191" i="6"/>
  <c r="E191" i="6" s="1"/>
  <c r="Z191" i="6" s="1" a="1"/>
  <c r="Z191" i="6" s="1"/>
  <c r="C191" i="6" s="1"/>
  <c r="D273" i="6"/>
  <c r="E273" i="6" s="1"/>
  <c r="Z273" i="6" s="1" a="1"/>
  <c r="Z273" i="6" s="1"/>
  <c r="C273" i="6" s="1"/>
  <c r="D122" i="6"/>
  <c r="E122" i="6" s="1"/>
  <c r="Z122" i="6" s="1" a="1"/>
  <c r="Z122" i="6" s="1"/>
  <c r="C122" i="6" s="1"/>
  <c r="B90" i="6"/>
  <c r="D124" i="6"/>
  <c r="E124" i="6" s="1"/>
  <c r="Z124" i="6" s="1" a="1"/>
  <c r="Z124" i="6" s="1"/>
  <c r="C124" i="6" s="1"/>
  <c r="B41" i="6"/>
  <c r="B207" i="6"/>
  <c r="B136" i="6"/>
  <c r="Y81" i="8"/>
  <c r="Z81" i="8" s="1"/>
  <c r="D192" i="6"/>
  <c r="E192" i="6" s="1"/>
  <c r="Z192" i="6" s="1" a="1"/>
  <c r="Z192" i="6" s="1"/>
  <c r="C192" i="6" s="1"/>
  <c r="D103" i="6"/>
  <c r="E103" i="6" s="1"/>
  <c r="Z103" i="6" s="1" a="1"/>
  <c r="Z103" i="6" s="1"/>
  <c r="C103" i="6" s="1"/>
  <c r="D190" i="6"/>
  <c r="E190" i="6" s="1"/>
  <c r="Z190" i="6" s="1" a="1"/>
  <c r="Z190" i="6" s="1"/>
  <c r="C190" i="6" s="1"/>
  <c r="D193" i="6"/>
  <c r="E193" i="6" s="1"/>
  <c r="Z193" i="6" s="1" a="1"/>
  <c r="Z193" i="6" s="1"/>
  <c r="C193" i="6" s="1"/>
  <c r="B98" i="6"/>
  <c r="D72" i="6"/>
  <c r="E72" i="6" s="1"/>
  <c r="Z72" i="6" s="1" a="1"/>
  <c r="Z72" i="6" s="1"/>
  <c r="C72" i="6" s="1"/>
  <c r="B110" i="6"/>
  <c r="D70" i="6"/>
  <c r="E70" i="6" s="1"/>
  <c r="Z70" i="6" s="1" a="1"/>
  <c r="Z70" i="6" s="1"/>
  <c r="C70" i="6" s="1"/>
  <c r="D159" i="6"/>
  <c r="E159" i="6" s="1"/>
  <c r="Z159" i="6" s="1" a="1"/>
  <c r="Z159" i="6" s="1"/>
  <c r="C159" i="6" s="1"/>
  <c r="B73" i="6"/>
  <c r="D39" i="6"/>
  <c r="E39" i="6" s="1"/>
  <c r="Z39" i="6" s="1" a="1"/>
  <c r="Z39" i="6" s="1"/>
  <c r="C39" i="6" s="1"/>
  <c r="Y225" i="8"/>
  <c r="Z225" i="8" s="1"/>
  <c r="C121" i="9"/>
  <c r="B79" i="6"/>
  <c r="B128" i="6"/>
  <c r="B186" i="6"/>
  <c r="B273" i="6"/>
  <c r="B122" i="6"/>
  <c r="D22" i="6"/>
  <c r="E22" i="6" s="1"/>
  <c r="Z22" i="6" s="1" a="1"/>
  <c r="Z22" i="6" s="1"/>
  <c r="C22" i="6" s="1"/>
  <c r="D214" i="6"/>
  <c r="E214" i="6" s="1"/>
  <c r="Z214" i="6" s="1" a="1"/>
  <c r="Z214" i="6" s="1"/>
  <c r="C214" i="6" s="1"/>
  <c r="C239" i="9"/>
  <c r="B124" i="6"/>
  <c r="D257" i="6"/>
  <c r="E257" i="6" s="1"/>
  <c r="Z257" i="6" s="1" a="1"/>
  <c r="Z257" i="6" s="1"/>
  <c r="C257" i="6" s="1"/>
  <c r="B192" i="6"/>
  <c r="B103" i="6"/>
  <c r="D163" i="6"/>
  <c r="E163" i="6" s="1"/>
  <c r="Z163" i="6" s="1" a="1"/>
  <c r="Z163" i="6" s="1"/>
  <c r="C163" i="6" s="1"/>
  <c r="B190" i="6"/>
  <c r="B193" i="6"/>
  <c r="B72" i="6"/>
  <c r="D101" i="6"/>
  <c r="E101" i="6" s="1"/>
  <c r="Z101" i="6" s="1" a="1"/>
  <c r="Z101" i="6" s="1"/>
  <c r="C101" i="6" s="1"/>
  <c r="C106" i="9"/>
  <c r="B70" i="6"/>
  <c r="B159" i="6"/>
  <c r="D266" i="6"/>
  <c r="E266" i="6" s="1"/>
  <c r="Z266" i="6" s="1" a="1"/>
  <c r="Z266" i="6" s="1"/>
  <c r="C266" i="6" s="1"/>
  <c r="D123" i="6"/>
  <c r="E123" i="6" s="1"/>
  <c r="Z123" i="6" s="1" a="1"/>
  <c r="Z123" i="6" s="1"/>
  <c r="C123" i="6" s="1"/>
  <c r="B39" i="6"/>
  <c r="D243" i="6"/>
  <c r="E243" i="6" s="1"/>
  <c r="Z243" i="6" s="1" a="1"/>
  <c r="Z243" i="6" s="1"/>
  <c r="C243" i="6" s="1"/>
  <c r="D119" i="6"/>
  <c r="E119" i="6" s="1"/>
  <c r="Z119" i="6" s="1" a="1"/>
  <c r="Z119" i="6" s="1"/>
  <c r="C119" i="6" s="1"/>
  <c r="C203" i="9"/>
  <c r="C126" i="9"/>
  <c r="D62" i="6"/>
  <c r="E62" i="6" s="1"/>
  <c r="Z62" i="6" s="1" a="1"/>
  <c r="Z62" i="6" s="1"/>
  <c r="C62" i="6" s="1"/>
  <c r="B47" i="6"/>
  <c r="C218" i="9"/>
  <c r="D102" i="6"/>
  <c r="E102" i="6" s="1"/>
  <c r="Z102" i="6" s="1" a="1"/>
  <c r="Z102" i="6" s="1"/>
  <c r="C102" i="6" s="1"/>
  <c r="D161" i="6"/>
  <c r="E161" i="6" s="1"/>
  <c r="Z161" i="6" s="1" a="1"/>
  <c r="Z161" i="6" s="1"/>
  <c r="C161" i="6" s="1"/>
  <c r="B87" i="6"/>
  <c r="D133" i="6"/>
  <c r="E133" i="6" s="1"/>
  <c r="Z133" i="6" s="1" a="1"/>
  <c r="Z133" i="6" s="1"/>
  <c r="C133" i="6" s="1"/>
  <c r="D134" i="6"/>
  <c r="E134" i="6" s="1"/>
  <c r="Z134" i="6" s="1" a="1"/>
  <c r="Z134" i="6" s="1"/>
  <c r="C134" i="6" s="1"/>
  <c r="D33" i="6"/>
  <c r="E33" i="6" s="1"/>
  <c r="Z33" i="6" s="1" a="1"/>
  <c r="Z33" i="6" s="1"/>
  <c r="C33" i="6" s="1"/>
  <c r="B64" i="6"/>
  <c r="B22" i="6"/>
  <c r="B28" i="6"/>
  <c r="D90" i="6"/>
  <c r="E90" i="6" s="1"/>
  <c r="Z90" i="6" s="1" a="1"/>
  <c r="Z90" i="6" s="1"/>
  <c r="C90" i="6" s="1"/>
  <c r="B181" i="6"/>
  <c r="B235" i="9"/>
  <c r="B143" i="6"/>
  <c r="D55" i="6"/>
  <c r="E55" i="6" s="1"/>
  <c r="Z55" i="6" s="1" a="1"/>
  <c r="Z55" i="6" s="1"/>
  <c r="C55" i="6" s="1"/>
  <c r="B217" i="6"/>
  <c r="D114" i="6"/>
  <c r="E114" i="6" s="1"/>
  <c r="Z114" i="6" s="1" a="1"/>
  <c r="Z114" i="6" s="1"/>
  <c r="C114" i="6" s="1"/>
  <c r="D217" i="6"/>
  <c r="E217" i="6" s="1"/>
  <c r="Z217" i="6" s="1" a="1"/>
  <c r="Z217" i="6" s="1"/>
  <c r="C217" i="6" s="1"/>
  <c r="D211" i="9"/>
  <c r="D246" i="9"/>
  <c r="D21" i="6"/>
  <c r="E21" i="6" s="1"/>
  <c r="Z21" i="6" s="1" a="1"/>
  <c r="Z21" i="6" s="1"/>
  <c r="C21" i="6" s="1"/>
  <c r="C100" i="9"/>
  <c r="D169" i="6"/>
  <c r="E169" i="6" s="1"/>
  <c r="Z169" i="6" s="1" a="1"/>
  <c r="Z169" i="6" s="1"/>
  <c r="C169" i="6" s="1"/>
  <c r="B116" i="6"/>
  <c r="D239" i="6"/>
  <c r="E239" i="6" s="1"/>
  <c r="Z239" i="6" s="1" a="1"/>
  <c r="Z239" i="6" s="1"/>
  <c r="C239" i="6" s="1"/>
  <c r="D31" i="6"/>
  <c r="E31" i="6" s="1"/>
  <c r="Z31" i="6" s="1" a="1"/>
  <c r="Z31" i="6" s="1"/>
  <c r="C31" i="6" s="1"/>
  <c r="C73" i="9"/>
  <c r="B133" i="6"/>
  <c r="Y60" i="8"/>
  <c r="Z60" i="8" s="1"/>
  <c r="B228" i="9"/>
  <c r="D181" i="6"/>
  <c r="E181" i="6" s="1"/>
  <c r="Z181" i="6" s="1" a="1"/>
  <c r="Z181" i="6" s="1"/>
  <c r="C181" i="6" s="1"/>
  <c r="B55" i="6"/>
  <c r="D231" i="9"/>
  <c r="B120" i="6"/>
  <c r="D91" i="6"/>
  <c r="E91" i="6" s="1"/>
  <c r="Z91" i="6" s="1" a="1"/>
  <c r="Z91" i="6" s="1"/>
  <c r="C91" i="6" s="1"/>
  <c r="D205" i="6"/>
  <c r="E205" i="6" s="1"/>
  <c r="Z205" i="6" s="1" a="1"/>
  <c r="Z205" i="6" s="1"/>
  <c r="C205" i="6" s="1"/>
  <c r="D157" i="6"/>
  <c r="E157" i="6" s="1"/>
  <c r="Z157" i="6" s="1" a="1"/>
  <c r="Z157" i="6" s="1"/>
  <c r="C157" i="6" s="1"/>
  <c r="D121" i="6"/>
  <c r="E121" i="6" s="1"/>
  <c r="Z121" i="6" s="1" a="1"/>
  <c r="Z121" i="6" s="1"/>
  <c r="C121" i="6" s="1"/>
  <c r="D244" i="6"/>
  <c r="E244" i="6" s="1"/>
  <c r="Z244" i="6" s="1" a="1"/>
  <c r="Z244" i="6" s="1"/>
  <c r="C244" i="6" s="1"/>
  <c r="B191" i="6"/>
  <c r="D260" i="6"/>
  <c r="E260" i="6" s="1"/>
  <c r="Z260" i="6" s="1" a="1"/>
  <c r="Z260" i="6" s="1"/>
  <c r="C260" i="6" s="1"/>
  <c r="D236" i="6"/>
  <c r="E236" i="6" s="1"/>
  <c r="Z236" i="6" s="1" a="1"/>
  <c r="Z236" i="6" s="1"/>
  <c r="C236" i="6" s="1"/>
  <c r="B119" i="6"/>
  <c r="D206" i="6"/>
  <c r="E206" i="6" s="1"/>
  <c r="Z206" i="6" s="1" a="1"/>
  <c r="Z206" i="6" s="1"/>
  <c r="C206" i="6" s="1"/>
  <c r="B62" i="6"/>
  <c r="B169" i="6"/>
  <c r="D50" i="6"/>
  <c r="E50" i="6" s="1"/>
  <c r="Z50" i="6" s="1" a="1"/>
  <c r="Z50" i="6" s="1"/>
  <c r="C50" i="6" s="1"/>
  <c r="B161" i="6"/>
  <c r="B31" i="6"/>
  <c r="D48" i="6"/>
  <c r="E48" i="6" s="1"/>
  <c r="Z48" i="6" s="1" a="1"/>
  <c r="Z48" i="6" s="1"/>
  <c r="C48" i="6" s="1"/>
  <c r="D200" i="6"/>
  <c r="E200" i="6" s="1"/>
  <c r="Z200" i="6" s="1" a="1"/>
  <c r="Z200" i="6" s="1"/>
  <c r="C200" i="6" s="1"/>
  <c r="B134" i="6"/>
  <c r="D154" i="6"/>
  <c r="E154" i="6" s="1"/>
  <c r="Z154" i="6" s="1" a="1"/>
  <c r="Z154" i="6" s="1"/>
  <c r="C154" i="6" s="1"/>
  <c r="B33" i="6"/>
  <c r="D245" i="6"/>
  <c r="E245" i="6" s="1"/>
  <c r="Z245" i="6" s="1" a="1"/>
  <c r="Z245" i="6" s="1"/>
  <c r="C245" i="6" s="1"/>
  <c r="D185" i="6"/>
  <c r="E185" i="6" s="1"/>
  <c r="Z185" i="6" s="1" a="1"/>
  <c r="Z185" i="6" s="1"/>
  <c r="C185" i="6" s="1"/>
  <c r="D145" i="6"/>
  <c r="E145" i="6" s="1"/>
  <c r="Z145" i="6" s="1" a="1"/>
  <c r="Z145" i="6" s="1"/>
  <c r="C145" i="6" s="1"/>
  <c r="B252" i="6"/>
  <c r="D148" i="6"/>
  <c r="E148" i="6" s="1"/>
  <c r="Z148" i="6" s="1" a="1"/>
  <c r="Z148" i="6" s="1"/>
  <c r="C148" i="6" s="1"/>
  <c r="D269" i="6"/>
  <c r="E269" i="6" s="1"/>
  <c r="Z269" i="6" s="1" a="1"/>
  <c r="Z269" i="6" s="1"/>
  <c r="C269" i="6" s="1"/>
  <c r="B242" i="6"/>
  <c r="B253" i="6"/>
  <c r="D120" i="6"/>
  <c r="E120" i="6" s="1"/>
  <c r="Z120" i="6" s="1" a="1"/>
  <c r="Z120" i="6" s="1"/>
  <c r="C120" i="6" s="1"/>
  <c r="B100" i="6"/>
  <c r="B188" i="6"/>
  <c r="B144" i="6"/>
  <c r="B174" i="9"/>
  <c r="B269" i="6"/>
  <c r="D191" i="9"/>
  <c r="D251" i="6"/>
  <c r="E251" i="6" s="1"/>
  <c r="Z251" i="6" s="1" a="1"/>
  <c r="Z251" i="6" s="1"/>
  <c r="C251" i="6" s="1"/>
  <c r="D143" i="6"/>
  <c r="E143" i="6" s="1"/>
  <c r="Z143" i="6" s="1" a="1"/>
  <c r="Z143" i="6" s="1"/>
  <c r="C143" i="6" s="1"/>
  <c r="B114" i="6"/>
  <c r="C117" i="9"/>
  <c r="B242" i="9"/>
  <c r="C242" i="9"/>
  <c r="D242" i="9"/>
  <c r="C152" i="9"/>
  <c r="C212" i="9"/>
  <c r="D212" i="9"/>
  <c r="A45" i="13"/>
  <c r="A133" i="13"/>
  <c r="A99" i="13"/>
  <c r="A130" i="13"/>
  <c r="A102" i="13"/>
  <c r="A285" i="13"/>
  <c r="A218" i="13"/>
  <c r="A134" i="13"/>
  <c r="A67" i="13"/>
  <c r="A40" i="13"/>
  <c r="A34" i="13"/>
  <c r="A261" i="13"/>
  <c r="A200" i="13"/>
  <c r="A156" i="13"/>
  <c r="A257" i="13"/>
  <c r="A248" i="13"/>
  <c r="A256" i="13"/>
  <c r="A146" i="13"/>
  <c r="A204" i="13"/>
  <c r="A59" i="13"/>
  <c r="A173" i="13"/>
  <c r="A203" i="13"/>
  <c r="A181" i="13"/>
  <c r="A272" i="13"/>
  <c r="A131" i="13"/>
  <c r="A113" i="13"/>
  <c r="A122" i="13"/>
  <c r="A212" i="13"/>
  <c r="A157" i="13"/>
  <c r="A33" i="13"/>
  <c r="A112" i="13"/>
  <c r="A264" i="13"/>
  <c r="A169" i="13"/>
  <c r="A226" i="13"/>
  <c r="A53" i="13"/>
  <c r="A278" i="13"/>
  <c r="A148" i="13"/>
  <c r="A135" i="13"/>
  <c r="A115" i="13"/>
  <c r="A273" i="13"/>
  <c r="A255" i="13"/>
  <c r="A43" i="13"/>
  <c r="A62" i="13"/>
  <c r="A84" i="13"/>
  <c r="A145" i="13"/>
  <c r="A60" i="13"/>
  <c r="A197" i="13"/>
  <c r="A35" i="13"/>
  <c r="A126" i="13"/>
  <c r="A263" i="13"/>
  <c r="A254" i="13"/>
  <c r="A132" i="13"/>
  <c r="A217" i="13"/>
  <c r="A91" i="13"/>
  <c r="A151" i="13"/>
  <c r="A81" i="13"/>
  <c r="A74" i="13"/>
  <c r="A251" i="13"/>
  <c r="A210" i="13"/>
  <c r="A202" i="13"/>
  <c r="A85" i="13"/>
  <c r="A166" i="13"/>
  <c r="A128" i="13"/>
  <c r="A110" i="13"/>
  <c r="A225" i="13"/>
  <c r="A76" i="13"/>
  <c r="A103" i="13"/>
  <c r="A160" i="13"/>
  <c r="A265" i="13"/>
  <c r="A193" i="13"/>
  <c r="A155" i="13"/>
  <c r="A229" i="13"/>
  <c r="A281" i="13"/>
  <c r="A136" i="13"/>
  <c r="A219" i="13"/>
  <c r="A269" i="13"/>
  <c r="A195" i="13"/>
  <c r="A82" i="13"/>
  <c r="A140" i="13"/>
  <c r="A51" i="13"/>
  <c r="A175" i="13"/>
  <c r="A171" i="13"/>
  <c r="A198" i="13"/>
  <c r="A205" i="13"/>
  <c r="A196" i="13"/>
  <c r="A114" i="13"/>
  <c r="A172" i="13"/>
  <c r="D118" i="6"/>
  <c r="E118" i="6" s="1"/>
  <c r="Z118" i="6" s="1" a="1"/>
  <c r="Z118" i="6" s="1"/>
  <c r="C118" i="6" s="1"/>
  <c r="A280" i="13"/>
  <c r="A182" i="13"/>
  <c r="A187" i="13"/>
  <c r="A167" i="13"/>
  <c r="A168" i="13"/>
  <c r="A274" i="13"/>
  <c r="A188" i="13"/>
  <c r="A227" i="13"/>
  <c r="A194" i="13"/>
  <c r="A42" i="13"/>
  <c r="A98" i="13"/>
  <c r="A221" i="13"/>
  <c r="A80" i="13"/>
  <c r="A179" i="13"/>
  <c r="A123" i="13"/>
  <c r="A177" i="13"/>
  <c r="A234" i="13"/>
  <c r="A284" i="13"/>
  <c r="A144" i="13"/>
  <c r="A83" i="13"/>
  <c r="A235" i="13"/>
  <c r="A246" i="13"/>
  <c r="A46" i="13"/>
  <c r="A65" i="13"/>
  <c r="A242" i="13"/>
  <c r="A231" i="13"/>
  <c r="A104" i="13"/>
  <c r="A37" i="13"/>
  <c r="A72" i="13"/>
  <c r="A250" i="13"/>
  <c r="A253" i="13"/>
  <c r="A222" i="13"/>
  <c r="A108" i="13"/>
  <c r="A150" i="13"/>
  <c r="A96" i="13"/>
  <c r="A50" i="13"/>
  <c r="A189" i="13"/>
  <c r="A68" i="13"/>
  <c r="A271" i="13"/>
  <c r="A213" i="13"/>
  <c r="A125" i="13"/>
  <c r="A259" i="13"/>
  <c r="A276" i="13"/>
  <c r="A55" i="13"/>
  <c r="A163" i="13"/>
  <c r="A230" i="13"/>
  <c r="A220" i="13"/>
  <c r="A100" i="13"/>
  <c r="A183" i="13"/>
  <c r="A69" i="13"/>
  <c r="A71" i="13"/>
  <c r="A277" i="13"/>
  <c r="A176" i="13"/>
  <c r="A279" i="13"/>
  <c r="A127" i="13"/>
  <c r="A206" i="13"/>
  <c r="A228" i="13"/>
  <c r="A159" i="13"/>
  <c r="A201" i="13"/>
  <c r="A117" i="13"/>
  <c r="A75" i="13"/>
  <c r="A141" i="13"/>
  <c r="A36" i="13"/>
  <c r="A243" i="13"/>
  <c r="A41" i="13"/>
  <c r="A240" i="13"/>
  <c r="A153" i="13"/>
  <c r="A232" i="13"/>
  <c r="A191" i="13"/>
  <c r="A239" i="13"/>
  <c r="A129" i="13"/>
  <c r="A216" i="13"/>
  <c r="A245" i="13"/>
  <c r="A208" i="13"/>
  <c r="A142" i="13"/>
  <c r="A215" i="13"/>
  <c r="A199" i="13"/>
  <c r="A106" i="13"/>
  <c r="A119" i="13"/>
  <c r="A63" i="13"/>
  <c r="A149" i="13"/>
  <c r="A192" i="13"/>
  <c r="A190" i="13"/>
  <c r="A97" i="13"/>
  <c r="A90" i="13"/>
  <c r="A233" i="13"/>
  <c r="D46" i="9"/>
  <c r="D224" i="9"/>
  <c r="C206" i="9"/>
  <c r="C224" i="9"/>
  <c r="C46" i="9"/>
  <c r="Y220" i="8"/>
  <c r="Z220" i="8" s="1"/>
  <c r="C196" i="9"/>
  <c r="D174" i="9"/>
  <c r="C16" i="9"/>
  <c r="C137" i="9"/>
  <c r="C76" i="9"/>
  <c r="D16" i="9"/>
  <c r="C194" i="9"/>
  <c r="C153" i="9"/>
  <c r="C43" i="9"/>
  <c r="C162" i="9"/>
  <c r="C82" i="9"/>
  <c r="B153" i="9"/>
  <c r="D82" i="9"/>
  <c r="C41" i="9"/>
  <c r="C142" i="9"/>
  <c r="Y179" i="8"/>
  <c r="Z179" i="8" s="1"/>
  <c r="D238" i="9"/>
  <c r="B238" i="9"/>
  <c r="C131" i="9"/>
  <c r="C54" i="9"/>
  <c r="C171" i="9"/>
  <c r="C127" i="9"/>
  <c r="C14" i="9"/>
  <c r="D122" i="9"/>
  <c r="D97" i="9"/>
  <c r="D208" i="9"/>
  <c r="D177" i="9"/>
  <c r="D165" i="9"/>
  <c r="D63" i="9"/>
  <c r="D146" i="9"/>
  <c r="D227" i="9"/>
  <c r="D250" i="9"/>
  <c r="D80" i="9"/>
  <c r="D189" i="9"/>
  <c r="D115" i="9"/>
  <c r="D218" i="9"/>
  <c r="D157" i="9"/>
  <c r="D55" i="9"/>
  <c r="D216" i="9"/>
  <c r="D230" i="9"/>
  <c r="D135" i="9"/>
  <c r="D47" i="9"/>
  <c r="D198" i="9"/>
  <c r="D90" i="9"/>
  <c r="D128" i="9"/>
  <c r="D121" i="9"/>
  <c r="D59" i="9"/>
  <c r="D197" i="9"/>
  <c r="D159" i="9"/>
  <c r="D219" i="9"/>
  <c r="D243" i="9"/>
  <c r="D203" i="9"/>
  <c r="D155" i="9"/>
  <c r="D182" i="9"/>
  <c r="D221" i="9"/>
  <c r="D181" i="9"/>
  <c r="D256" i="9"/>
  <c r="D226" i="9"/>
  <c r="D158" i="9"/>
  <c r="D253" i="9"/>
  <c r="D215" i="9"/>
  <c r="D185" i="9"/>
  <c r="D65" i="9"/>
  <c r="D95" i="9"/>
  <c r="D202" i="9"/>
  <c r="D133" i="9"/>
  <c r="D149" i="9"/>
  <c r="D48" i="9"/>
  <c r="D187" i="9"/>
  <c r="D102" i="9"/>
  <c r="D84" i="9"/>
  <c r="D251" i="9"/>
  <c r="D60" i="9"/>
  <c r="D217" i="9"/>
  <c r="D71" i="9"/>
  <c r="D66" i="9"/>
  <c r="D136" i="9"/>
  <c r="D179" i="9"/>
  <c r="D51" i="9"/>
  <c r="D93" i="9"/>
  <c r="D61" i="9"/>
  <c r="D252" i="9"/>
  <c r="D194" i="9"/>
  <c r="D139" i="9"/>
  <c r="D199" i="9"/>
  <c r="D81" i="9"/>
  <c r="D254" i="9"/>
  <c r="D79" i="9"/>
  <c r="D144" i="9"/>
  <c r="D167" i="9"/>
  <c r="D151" i="9"/>
  <c r="D37" i="9"/>
  <c r="D25" i="9"/>
  <c r="D44" i="9"/>
  <c r="D17" i="9"/>
  <c r="D36" i="9"/>
  <c r="D30" i="9"/>
  <c r="D42" i="9"/>
  <c r="D21" i="9"/>
  <c r="D31" i="9"/>
  <c r="D26" i="9"/>
  <c r="D32" i="9"/>
  <c r="D12" i="9"/>
  <c r="D22" i="9"/>
  <c r="D15" i="9"/>
  <c r="B58" i="9"/>
  <c r="C58" i="9"/>
  <c r="B230" i="9"/>
  <c r="C230" i="9"/>
  <c r="C145" i="9"/>
  <c r="C105" i="9"/>
  <c r="B163" i="9"/>
  <c r="C163" i="9"/>
  <c r="C170" i="9"/>
  <c r="B190" i="9"/>
  <c r="C190" i="9"/>
  <c r="B125" i="9"/>
  <c r="C125" i="9"/>
  <c r="C161" i="9"/>
  <c r="B253" i="9"/>
  <c r="C253" i="9"/>
  <c r="B80" i="9"/>
  <c r="C80" i="9"/>
  <c r="B179" i="9"/>
  <c r="C179" i="9"/>
  <c r="B96" i="9"/>
  <c r="C96" i="9"/>
  <c r="B118" i="9"/>
  <c r="C118" i="9"/>
  <c r="C10" i="9"/>
  <c r="B151" i="9"/>
  <c r="C151" i="9"/>
  <c r="B24" i="9"/>
  <c r="C24" i="9"/>
  <c r="B133" i="9"/>
  <c r="C133" i="9"/>
  <c r="B251" i="9"/>
  <c r="C251" i="9"/>
  <c r="B173" i="9"/>
  <c r="C173" i="9"/>
  <c r="B209" i="9"/>
  <c r="C209" i="9"/>
  <c r="B245" i="9"/>
  <c r="C245" i="9"/>
  <c r="C193" i="9"/>
  <c r="C178" i="9"/>
  <c r="B166" i="9"/>
  <c r="C166" i="9"/>
  <c r="C168" i="9"/>
  <c r="B208" i="9"/>
  <c r="C208" i="9"/>
  <c r="C164" i="9"/>
  <c r="B99" i="9"/>
  <c r="C99" i="9"/>
  <c r="B150" i="9"/>
  <c r="C150" i="9"/>
  <c r="B20" i="9"/>
  <c r="C20" i="9"/>
  <c r="B114" i="9"/>
  <c r="C114" i="9"/>
  <c r="C57" i="9"/>
  <c r="B93" i="9"/>
  <c r="C93" i="9"/>
  <c r="B155" i="9"/>
  <c r="C155" i="9"/>
  <c r="C233" i="9"/>
  <c r="C88" i="9"/>
  <c r="B189" i="9"/>
  <c r="C189" i="9"/>
  <c r="C259" i="9"/>
  <c r="Y125" i="8"/>
  <c r="Z125" i="8" s="1"/>
  <c r="Y46" i="8"/>
  <c r="Z46" i="8" s="1"/>
  <c r="Y189" i="8"/>
  <c r="Z189" i="8" s="1"/>
  <c r="Y50" i="8"/>
  <c r="Z50" i="8" s="1"/>
  <c r="C27" i="9"/>
  <c r="B55" i="9"/>
  <c r="C220" i="9"/>
  <c r="C87" i="9"/>
  <c r="B15" i="9"/>
  <c r="C15" i="9"/>
  <c r="C124" i="9"/>
  <c r="C56" i="9"/>
  <c r="B42" i="9"/>
  <c r="C42" i="9"/>
  <c r="B246" i="9"/>
  <c r="B25" i="9"/>
  <c r="C25" i="9"/>
  <c r="C123" i="9"/>
  <c r="B219" i="9"/>
  <c r="C219" i="9"/>
  <c r="C49" i="9"/>
  <c r="C254" i="9"/>
  <c r="C36" i="9"/>
  <c r="B71" i="9"/>
  <c r="C71" i="9"/>
  <c r="C207" i="9"/>
  <c r="C116" i="9"/>
  <c r="C147" i="9"/>
  <c r="B17" i="9"/>
  <c r="C17" i="9"/>
  <c r="C119" i="9"/>
  <c r="C140" i="9"/>
  <c r="B243" i="9"/>
  <c r="C243" i="9"/>
  <c r="B258" i="9"/>
  <c r="C258" i="9"/>
  <c r="C176" i="9"/>
  <c r="C33" i="9"/>
  <c r="C172" i="9"/>
  <c r="C29" i="9"/>
  <c r="C248" i="9"/>
  <c r="B149" i="9"/>
  <c r="C149" i="9"/>
  <c r="B97" i="9"/>
  <c r="C97" i="9"/>
  <c r="B177" i="9"/>
  <c r="C177" i="9"/>
  <c r="B252" i="9"/>
  <c r="C252" i="9"/>
  <c r="B202" i="9"/>
  <c r="C202" i="9"/>
  <c r="B48" i="9"/>
  <c r="C48" i="9"/>
  <c r="C11" i="9"/>
  <c r="C225" i="9"/>
  <c r="C141" i="9"/>
  <c r="C120" i="9"/>
  <c r="C19" i="9"/>
  <c r="Y140" i="8"/>
  <c r="Z140" i="8" s="1"/>
  <c r="Y192" i="8"/>
  <c r="Z192" i="8" s="1"/>
  <c r="Y235" i="8"/>
  <c r="Z235" i="8" s="1"/>
  <c r="C110" i="9"/>
  <c r="B122" i="9"/>
  <c r="C122" i="9"/>
  <c r="C201" i="9"/>
  <c r="C89" i="9"/>
  <c r="B187" i="9"/>
  <c r="C187" i="9"/>
  <c r="B84" i="9"/>
  <c r="C84" i="9"/>
  <c r="C39" i="9"/>
  <c r="B146" i="9"/>
  <c r="C146" i="9"/>
  <c r="C169" i="9"/>
  <c r="C180" i="9"/>
  <c r="B59" i="9"/>
  <c r="C59" i="9"/>
  <c r="B216" i="9"/>
  <c r="C216" i="9"/>
  <c r="C109" i="9"/>
  <c r="B217" i="9"/>
  <c r="C217" i="9"/>
  <c r="B65" i="9"/>
  <c r="C65" i="9"/>
  <c r="B182" i="9"/>
  <c r="C182" i="9"/>
  <c r="C101" i="9"/>
  <c r="C175" i="9"/>
  <c r="B102" i="9"/>
  <c r="C102" i="9"/>
  <c r="B115" i="9"/>
  <c r="C115" i="9"/>
  <c r="C64" i="9"/>
  <c r="C70" i="9"/>
  <c r="C156" i="9"/>
  <c r="C91" i="9"/>
  <c r="B250" i="9"/>
  <c r="C250" i="9"/>
  <c r="C108" i="9"/>
  <c r="B37" i="9"/>
  <c r="C37" i="9"/>
  <c r="C50" i="9"/>
  <c r="Y172" i="8"/>
  <c r="Z172" i="8" s="1"/>
  <c r="AB289" i="8"/>
  <c r="AB318" i="8"/>
  <c r="AB300" i="8"/>
  <c r="AB286" i="8"/>
  <c r="AB314" i="8"/>
  <c r="AB290" i="8"/>
  <c r="AB322" i="8"/>
  <c r="AB325" i="8"/>
  <c r="AB302" i="8"/>
  <c r="AB301" i="8"/>
  <c r="AB324" i="8"/>
  <c r="AB311" i="8"/>
  <c r="AB304" i="8"/>
  <c r="AB305" i="8"/>
  <c r="AB294" i="8"/>
  <c r="AB321" i="8"/>
  <c r="Y205" i="8"/>
  <c r="Z205" i="8" s="1"/>
  <c r="Y159" i="8"/>
  <c r="Z159" i="8" s="1"/>
  <c r="Y228" i="8"/>
  <c r="Z228" i="8" s="1"/>
  <c r="AB293" i="8"/>
  <c r="AB297" i="8"/>
  <c r="AB299" i="8"/>
  <c r="AB287" i="8"/>
  <c r="AB312" i="8"/>
  <c r="AB309" i="8"/>
  <c r="AB320" i="8"/>
  <c r="AB291" i="8"/>
  <c r="AB310" i="8"/>
  <c r="AB317" i="8"/>
  <c r="AB296" i="8"/>
  <c r="AB308" i="8"/>
  <c r="AB307" i="8"/>
  <c r="AB306" i="8"/>
  <c r="AB292" i="8"/>
  <c r="AB298" i="8"/>
  <c r="AB315" i="8"/>
  <c r="AB303" i="8"/>
  <c r="AB323" i="8"/>
  <c r="AB316" i="8"/>
  <c r="AB295" i="8"/>
  <c r="AB319" i="8"/>
  <c r="AB327" i="8"/>
  <c r="AB326" i="8"/>
  <c r="AB313" i="8"/>
  <c r="AB288" i="8"/>
  <c r="Y85" i="8"/>
  <c r="Z85" i="8" s="1"/>
  <c r="Y234" i="8"/>
  <c r="Z234" i="8" s="1"/>
  <c r="Y193" i="8"/>
  <c r="Z193" i="8" s="1"/>
  <c r="Y215" i="8"/>
  <c r="Z215" i="8" s="1"/>
  <c r="Y175" i="8"/>
  <c r="Z175" i="8" s="1"/>
  <c r="Y119" i="8"/>
  <c r="Z119" i="8" s="1"/>
  <c r="Y87" i="8"/>
  <c r="Z87" i="8" s="1"/>
  <c r="Y278" i="8"/>
  <c r="Z278" i="8" s="1"/>
  <c r="Y282" i="8"/>
  <c r="Z282" i="8" s="1"/>
  <c r="Y57" i="8"/>
  <c r="Z57" i="8" s="1"/>
  <c r="Y252" i="8"/>
  <c r="Z252" i="8" s="1"/>
  <c r="Y245" i="8"/>
  <c r="Z245" i="8" s="1"/>
  <c r="Y276" i="8"/>
  <c r="Z276" i="8" s="1"/>
  <c r="Y48" i="8"/>
  <c r="Z48" i="8" s="1"/>
  <c r="Y191" i="8"/>
  <c r="Z191" i="8" s="1"/>
  <c r="Y86" i="8"/>
  <c r="Z86" i="8" s="1"/>
  <c r="Y123" i="8"/>
  <c r="Z123" i="8" s="1"/>
  <c r="Y256" i="8"/>
  <c r="Z256" i="8" s="1"/>
  <c r="Y185" i="8"/>
  <c r="Z185" i="8" s="1"/>
  <c r="Y97" i="8"/>
  <c r="Z97" i="8" s="1"/>
  <c r="Y41" i="8"/>
  <c r="Z41" i="8" s="1"/>
  <c r="Y224" i="8"/>
  <c r="Z224" i="8" s="1"/>
  <c r="Y148" i="8"/>
  <c r="Z148" i="8" s="1"/>
  <c r="Y116" i="8"/>
  <c r="Z116" i="8" s="1"/>
  <c r="Y203" i="8"/>
  <c r="Z203" i="8" s="1"/>
  <c r="Y154" i="8"/>
  <c r="Z154" i="8" s="1"/>
  <c r="Y58" i="8"/>
  <c r="Z58" i="8" s="1"/>
  <c r="Y177" i="8"/>
  <c r="Z177" i="8" s="1"/>
  <c r="Y105" i="8"/>
  <c r="Z105" i="8" s="1"/>
  <c r="Y181" i="8"/>
  <c r="Z181" i="8" s="1"/>
  <c r="Y237" i="8"/>
  <c r="Z237" i="8" s="1"/>
  <c r="Y128" i="8"/>
  <c r="Z128" i="8" s="1"/>
  <c r="Y56" i="8"/>
  <c r="Z56" i="8" s="1"/>
  <c r="Y269" i="8"/>
  <c r="Z269" i="8" s="1"/>
  <c r="Y229" i="8"/>
  <c r="Z229" i="8" s="1"/>
  <c r="Y272" i="8"/>
  <c r="Z272" i="8" s="1"/>
  <c r="Y277" i="8"/>
  <c r="Z277" i="8" s="1"/>
  <c r="Y279" i="8"/>
  <c r="Z279" i="8" s="1"/>
  <c r="Y183" i="8"/>
  <c r="Z183" i="8" s="1"/>
  <c r="Y91" i="8"/>
  <c r="Z91" i="8" s="1"/>
  <c r="Y253" i="8"/>
  <c r="Z253" i="8" s="1"/>
  <c r="Y213" i="8"/>
  <c r="Z213" i="8" s="1"/>
  <c r="Y77" i="8"/>
  <c r="Z77" i="8" s="1"/>
  <c r="Y208" i="8"/>
  <c r="Z208" i="8" s="1"/>
  <c r="Y247" i="8"/>
  <c r="Z247" i="8" s="1"/>
  <c r="Y223" i="8"/>
  <c r="Z223" i="8" s="1"/>
  <c r="Y207" i="8"/>
  <c r="Z207" i="8" s="1"/>
  <c r="Y63" i="8"/>
  <c r="Z63" i="8" s="1"/>
  <c r="Y47" i="8"/>
  <c r="Z47" i="8" s="1"/>
  <c r="Y110" i="8"/>
  <c r="Z110" i="8" s="1"/>
  <c r="Y38" i="8"/>
  <c r="Z38" i="8" s="1"/>
  <c r="Y51" i="8"/>
  <c r="Z51" i="8" s="1"/>
  <c r="Y165" i="8"/>
  <c r="Z165" i="8" s="1"/>
  <c r="Y141" i="8"/>
  <c r="Z141" i="8" s="1"/>
  <c r="Y244" i="8"/>
  <c r="Z244" i="8" s="1"/>
  <c r="Y184" i="8"/>
  <c r="Z184" i="8" s="1"/>
  <c r="Y70" i="8"/>
  <c r="Z70" i="8" s="1"/>
  <c r="Y52" i="8"/>
  <c r="Z52" i="8" s="1"/>
  <c r="Y243" i="8"/>
  <c r="Z243" i="8" s="1"/>
  <c r="Y107" i="8"/>
  <c r="Z107" i="8" s="1"/>
  <c r="Y242" i="8"/>
  <c r="Z242" i="8" s="1"/>
  <c r="Y241" i="8"/>
  <c r="Z241" i="8" s="1"/>
  <c r="Y161" i="8"/>
  <c r="Z161" i="8" s="1"/>
  <c r="Y73" i="8"/>
  <c r="Z73" i="8" s="1"/>
  <c r="Y92" i="8"/>
  <c r="Z92" i="8" s="1"/>
  <c r="Y68" i="8"/>
  <c r="Z68" i="8" s="1"/>
  <c r="Y211" i="8"/>
  <c r="Z211" i="8" s="1"/>
  <c r="Y43" i="8"/>
  <c r="Z43" i="8" s="1"/>
  <c r="Y162" i="8"/>
  <c r="Z162" i="8" s="1"/>
  <c r="Y121" i="8"/>
  <c r="Z121" i="8" s="1"/>
  <c r="Y89" i="8"/>
  <c r="Z89" i="8" s="1"/>
  <c r="Y147" i="8"/>
  <c r="Z147" i="8" s="1"/>
  <c r="Y170" i="8"/>
  <c r="Z170" i="8" s="1"/>
  <c r="Y106" i="8"/>
  <c r="Z106" i="8" s="1"/>
  <c r="Y74" i="8"/>
  <c r="Z74" i="8" s="1"/>
  <c r="D55" i="19" l="1"/>
  <c r="AE55" i="8"/>
  <c r="AF55" i="8"/>
  <c r="AG55" i="8"/>
  <c r="AH55" i="8"/>
  <c r="D157" i="19"/>
  <c r="AE157" i="8"/>
  <c r="AF157" i="8"/>
  <c r="AG157" i="8"/>
  <c r="AH157" i="8"/>
  <c r="D164" i="19"/>
  <c r="AE164" i="8"/>
  <c r="AF164" i="8"/>
  <c r="AG164" i="8"/>
  <c r="AH164" i="8"/>
  <c r="D171" i="19"/>
  <c r="AE171" i="8"/>
  <c r="AF171" i="8"/>
  <c r="AG171" i="8"/>
  <c r="AH171" i="8"/>
  <c r="D180" i="19"/>
  <c r="AH180" i="8"/>
  <c r="AE180" i="8"/>
  <c r="AF180" i="8"/>
  <c r="AG180" i="8"/>
  <c r="D221" i="19"/>
  <c r="AH221" i="8"/>
  <c r="AE221" i="8"/>
  <c r="AF221" i="8"/>
  <c r="AG221" i="8"/>
  <c r="D260" i="19"/>
  <c r="AH260" i="8"/>
  <c r="AE260" i="8"/>
  <c r="AF260" i="8"/>
  <c r="AG260" i="8"/>
  <c r="D94" i="19"/>
  <c r="AF94" i="8"/>
  <c r="AG94" i="8"/>
  <c r="AE94" i="8"/>
  <c r="AH94" i="8"/>
  <c r="D124" i="19"/>
  <c r="AE124" i="8"/>
  <c r="AF124" i="8"/>
  <c r="AG124" i="8"/>
  <c r="AH124" i="8"/>
  <c r="D135" i="19"/>
  <c r="AE135" i="8"/>
  <c r="AF135" i="8"/>
  <c r="AG135" i="8"/>
  <c r="AH135" i="8"/>
  <c r="D138" i="19"/>
  <c r="AE138" i="8"/>
  <c r="AF138" i="8"/>
  <c r="AG138" i="8"/>
  <c r="AH138" i="8"/>
  <c r="D150" i="19"/>
  <c r="AE150" i="8"/>
  <c r="AF150" i="8"/>
  <c r="AG150" i="8"/>
  <c r="AH150" i="8"/>
  <c r="D167" i="19"/>
  <c r="AE167" i="8"/>
  <c r="AF167" i="8"/>
  <c r="AG167" i="8"/>
  <c r="AH167" i="8"/>
  <c r="D34" i="19"/>
  <c r="AF34" i="8"/>
  <c r="AG34" i="8"/>
  <c r="AH34" i="8"/>
  <c r="AE34" i="8"/>
  <c r="D39" i="19"/>
  <c r="AE39" i="8"/>
  <c r="AF39" i="8"/>
  <c r="AG39" i="8"/>
  <c r="AH39" i="8"/>
  <c r="D61" i="19"/>
  <c r="AE61" i="8"/>
  <c r="AF61" i="8"/>
  <c r="AG61" i="8"/>
  <c r="AH61" i="8"/>
  <c r="D67" i="19"/>
  <c r="AE67" i="8"/>
  <c r="AF67" i="8"/>
  <c r="AG67" i="8"/>
  <c r="AH67" i="8"/>
  <c r="D76" i="19"/>
  <c r="AE76" i="8"/>
  <c r="AF76" i="8"/>
  <c r="AG76" i="8"/>
  <c r="AH76" i="8"/>
  <c r="D83" i="19"/>
  <c r="AF83" i="8"/>
  <c r="AG83" i="8"/>
  <c r="AE83" i="8"/>
  <c r="AH83" i="8"/>
  <c r="D101" i="19"/>
  <c r="AF101" i="8"/>
  <c r="AG101" i="8"/>
  <c r="AE101" i="8"/>
  <c r="AH101" i="8"/>
  <c r="D102" i="19"/>
  <c r="AF102" i="8"/>
  <c r="AG102" i="8"/>
  <c r="AE102" i="8"/>
  <c r="AH102" i="8"/>
  <c r="D104" i="19"/>
  <c r="AF104" i="8"/>
  <c r="AG104" i="8"/>
  <c r="AE104" i="8"/>
  <c r="AH104" i="8"/>
  <c r="D113" i="19"/>
  <c r="AF113" i="8"/>
  <c r="AG113" i="8"/>
  <c r="AE113" i="8"/>
  <c r="AH113" i="8"/>
  <c r="D115" i="19"/>
  <c r="AF115" i="8"/>
  <c r="AG115" i="8"/>
  <c r="AE115" i="8"/>
  <c r="AH115" i="8"/>
  <c r="D117" i="19"/>
  <c r="AF117" i="8"/>
  <c r="AG117" i="8"/>
  <c r="AE117" i="8"/>
  <c r="AH117" i="8"/>
  <c r="D126" i="19"/>
  <c r="AE126" i="8"/>
  <c r="AF126" i="8"/>
  <c r="AG126" i="8"/>
  <c r="AH126" i="8"/>
  <c r="D127" i="19"/>
  <c r="AE127" i="8"/>
  <c r="AF127" i="8"/>
  <c r="AG127" i="8"/>
  <c r="AH127" i="8"/>
  <c r="D129" i="19"/>
  <c r="AE129" i="8"/>
  <c r="AF129" i="8"/>
  <c r="AG129" i="8"/>
  <c r="AH129" i="8"/>
  <c r="D132" i="19"/>
  <c r="AE132" i="8"/>
  <c r="AF132" i="8"/>
  <c r="AG132" i="8"/>
  <c r="AH132" i="8"/>
  <c r="D134" i="19"/>
  <c r="AE134" i="8"/>
  <c r="AF134" i="8"/>
  <c r="AG134" i="8"/>
  <c r="AH134" i="8"/>
  <c r="D142" i="19"/>
  <c r="AE142" i="8"/>
  <c r="AF142" i="8"/>
  <c r="AG142" i="8"/>
  <c r="AH142" i="8"/>
  <c r="D143" i="19"/>
  <c r="AE143" i="8"/>
  <c r="AF143" i="8"/>
  <c r="AG143" i="8"/>
  <c r="AH143" i="8"/>
  <c r="D153" i="19"/>
  <c r="AE153" i="8"/>
  <c r="AF153" i="8"/>
  <c r="AG153" i="8"/>
  <c r="AH153" i="8"/>
  <c r="D163" i="19"/>
  <c r="AE163" i="8"/>
  <c r="AF163" i="8"/>
  <c r="AG163" i="8"/>
  <c r="AH163" i="8"/>
  <c r="D182" i="19"/>
  <c r="AH182" i="8"/>
  <c r="AE182" i="8"/>
  <c r="AF182" i="8"/>
  <c r="AG182" i="8"/>
  <c r="D186" i="19"/>
  <c r="AH186" i="8"/>
  <c r="AE186" i="8"/>
  <c r="AF186" i="8"/>
  <c r="AG186" i="8"/>
  <c r="D188" i="19"/>
  <c r="AH188" i="8"/>
  <c r="AE188" i="8"/>
  <c r="AF188" i="8"/>
  <c r="AG188" i="8"/>
  <c r="D197" i="19"/>
  <c r="AH197" i="8"/>
  <c r="AE197" i="8"/>
  <c r="AF197" i="8"/>
  <c r="AG197" i="8"/>
  <c r="D202" i="19"/>
  <c r="AH202" i="8"/>
  <c r="AE202" i="8"/>
  <c r="AF202" i="8"/>
  <c r="AG202" i="8"/>
  <c r="D209" i="19"/>
  <c r="AH209" i="8"/>
  <c r="AE209" i="8"/>
  <c r="AF209" i="8"/>
  <c r="AG209" i="8"/>
  <c r="D210" i="19"/>
  <c r="AH210" i="8"/>
  <c r="AE210" i="8"/>
  <c r="AF210" i="8"/>
  <c r="AG210" i="8"/>
  <c r="D214" i="19"/>
  <c r="AH214" i="8"/>
  <c r="AE214" i="8"/>
  <c r="AF214" i="8"/>
  <c r="AG214" i="8"/>
  <c r="D227" i="19"/>
  <c r="AH227" i="8"/>
  <c r="AE227" i="8"/>
  <c r="AF227" i="8"/>
  <c r="AG227" i="8"/>
  <c r="D246" i="19"/>
  <c r="AH246" i="8"/>
  <c r="AE246" i="8"/>
  <c r="AF246" i="8"/>
  <c r="AG246" i="8"/>
  <c r="D262" i="19"/>
  <c r="AH262" i="8"/>
  <c r="AE262" i="8"/>
  <c r="AF262" i="8"/>
  <c r="AG262" i="8"/>
  <c r="D266" i="19"/>
  <c r="AH266" i="8"/>
  <c r="AE266" i="8"/>
  <c r="AF266" i="8"/>
  <c r="AG266" i="8"/>
  <c r="D273" i="19"/>
  <c r="AH273" i="8"/>
  <c r="AE273" i="8"/>
  <c r="AF273" i="8"/>
  <c r="AG273" i="8"/>
  <c r="D284" i="19"/>
  <c r="AH284" i="8"/>
  <c r="AE284" i="8"/>
  <c r="AF284" i="8"/>
  <c r="AG284" i="8"/>
  <c r="D265" i="19"/>
  <c r="AH265" i="8"/>
  <c r="AE265" i="8"/>
  <c r="AF265" i="8"/>
  <c r="AG265" i="8"/>
  <c r="D64" i="19"/>
  <c r="AE64" i="8"/>
  <c r="AF64" i="8"/>
  <c r="AG64" i="8"/>
  <c r="AH64" i="8"/>
  <c r="D79" i="19"/>
  <c r="AE79" i="8"/>
  <c r="AF79" i="8"/>
  <c r="AG79" i="8"/>
  <c r="AH79" i="8"/>
  <c r="D112" i="19"/>
  <c r="AF112" i="8"/>
  <c r="AG112" i="8"/>
  <c r="AE112" i="8"/>
  <c r="AH112" i="8"/>
  <c r="D131" i="19"/>
  <c r="AE131" i="8"/>
  <c r="AF131" i="8"/>
  <c r="AG131" i="8"/>
  <c r="AH131" i="8"/>
  <c r="D152" i="19"/>
  <c r="AE152" i="8"/>
  <c r="AF152" i="8"/>
  <c r="AG152" i="8"/>
  <c r="AH152" i="8"/>
  <c r="D190" i="19"/>
  <c r="AH190" i="8"/>
  <c r="AE190" i="8"/>
  <c r="AF190" i="8"/>
  <c r="AG190" i="8"/>
  <c r="D201" i="19"/>
  <c r="AH201" i="8"/>
  <c r="AE201" i="8"/>
  <c r="AF201" i="8"/>
  <c r="AG201" i="8"/>
  <c r="D212" i="19"/>
  <c r="AH212" i="8"/>
  <c r="AE212" i="8"/>
  <c r="AF212" i="8"/>
  <c r="AG212" i="8"/>
  <c r="D233" i="19"/>
  <c r="AH233" i="8"/>
  <c r="AE233" i="8"/>
  <c r="AF233" i="8"/>
  <c r="AG233" i="8"/>
  <c r="D40" i="19"/>
  <c r="AE40" i="8"/>
  <c r="AF40" i="8"/>
  <c r="AG40" i="8"/>
  <c r="AH40" i="8"/>
  <c r="D36" i="19"/>
  <c r="AE36" i="8"/>
  <c r="AF36" i="8"/>
  <c r="AG36" i="8"/>
  <c r="AH36" i="8"/>
  <c r="D45" i="19"/>
  <c r="AE45" i="8"/>
  <c r="AF45" i="8"/>
  <c r="AG45" i="8"/>
  <c r="AH45" i="8"/>
  <c r="D49" i="19"/>
  <c r="AE49" i="8"/>
  <c r="AF49" i="8"/>
  <c r="AG49" i="8"/>
  <c r="AH49" i="8"/>
  <c r="D53" i="19"/>
  <c r="AE53" i="8"/>
  <c r="AF53" i="8"/>
  <c r="AG53" i="8"/>
  <c r="AH53" i="8"/>
  <c r="D37" i="19"/>
  <c r="AE37" i="8"/>
  <c r="AF37" i="8"/>
  <c r="AG37" i="8"/>
  <c r="AH37" i="8"/>
  <c r="D69" i="19"/>
  <c r="AE69" i="8"/>
  <c r="AF69" i="8"/>
  <c r="AG69" i="8"/>
  <c r="AH69" i="8"/>
  <c r="D71" i="19"/>
  <c r="AE71" i="8"/>
  <c r="AF71" i="8"/>
  <c r="AG71" i="8"/>
  <c r="AH71" i="8"/>
  <c r="D98" i="19"/>
  <c r="AF98" i="8"/>
  <c r="AG98" i="8"/>
  <c r="AE98" i="8"/>
  <c r="AH98" i="8"/>
  <c r="D96" i="19"/>
  <c r="AF96" i="8"/>
  <c r="AG96" i="8"/>
  <c r="AE96" i="8"/>
  <c r="AH96" i="8"/>
  <c r="D103" i="19"/>
  <c r="AF103" i="8"/>
  <c r="AG103" i="8"/>
  <c r="AE103" i="8"/>
  <c r="AH103" i="8"/>
  <c r="D111" i="19"/>
  <c r="AF111" i="8"/>
  <c r="AG111" i="8"/>
  <c r="AE111" i="8"/>
  <c r="AH111" i="8"/>
  <c r="D114" i="19"/>
  <c r="AF114" i="8"/>
  <c r="AG114" i="8"/>
  <c r="AE114" i="8"/>
  <c r="AH114" i="8"/>
  <c r="D120" i="19"/>
  <c r="AE120" i="8"/>
  <c r="AF120" i="8"/>
  <c r="AG120" i="8"/>
  <c r="AH120" i="8"/>
  <c r="D136" i="19"/>
  <c r="AE136" i="8"/>
  <c r="AF136" i="8"/>
  <c r="AH136" i="8"/>
  <c r="AG136" i="8"/>
  <c r="D139" i="19"/>
  <c r="AE139" i="8"/>
  <c r="AF139" i="8"/>
  <c r="AG139" i="8"/>
  <c r="AH139" i="8"/>
  <c r="D145" i="19"/>
  <c r="AE145" i="8"/>
  <c r="AF145" i="8"/>
  <c r="AG145" i="8"/>
  <c r="AH145" i="8"/>
  <c r="D146" i="19"/>
  <c r="AE146" i="8"/>
  <c r="AF146" i="8"/>
  <c r="AG146" i="8"/>
  <c r="AH146" i="8"/>
  <c r="D155" i="19"/>
  <c r="AE155" i="8"/>
  <c r="AF155" i="8"/>
  <c r="AG155" i="8"/>
  <c r="AH155" i="8"/>
  <c r="D156" i="19"/>
  <c r="AE156" i="8"/>
  <c r="AF156" i="8"/>
  <c r="AG156" i="8"/>
  <c r="AH156" i="8"/>
  <c r="D166" i="19"/>
  <c r="AE166" i="8"/>
  <c r="AF166" i="8"/>
  <c r="AG166" i="8"/>
  <c r="AH166" i="8"/>
  <c r="D173" i="19"/>
  <c r="AE173" i="8"/>
  <c r="AF173" i="8"/>
  <c r="AG173" i="8"/>
  <c r="AH173" i="8"/>
  <c r="D187" i="19"/>
  <c r="AH187" i="8"/>
  <c r="AE187" i="8"/>
  <c r="AG187" i="8"/>
  <c r="AF187" i="8"/>
  <c r="D206" i="19"/>
  <c r="AH206" i="8"/>
  <c r="AE206" i="8"/>
  <c r="AF206" i="8"/>
  <c r="AG206" i="8"/>
  <c r="D219" i="19"/>
  <c r="AH219" i="8"/>
  <c r="AE219" i="8"/>
  <c r="AF219" i="8"/>
  <c r="AG219" i="8"/>
  <c r="D222" i="19"/>
  <c r="AH222" i="8"/>
  <c r="AE222" i="8"/>
  <c r="AF222" i="8"/>
  <c r="AG222" i="8"/>
  <c r="D231" i="19"/>
  <c r="AH231" i="8"/>
  <c r="AE231" i="8"/>
  <c r="AF231" i="8"/>
  <c r="AG231" i="8"/>
  <c r="D240" i="19"/>
  <c r="AH240" i="8"/>
  <c r="AE240" i="8"/>
  <c r="AF240" i="8"/>
  <c r="AG240" i="8"/>
  <c r="D249" i="19"/>
  <c r="AH249" i="8"/>
  <c r="AE249" i="8"/>
  <c r="AF249" i="8"/>
  <c r="AG249" i="8"/>
  <c r="D255" i="19"/>
  <c r="AH255" i="8"/>
  <c r="AE255" i="8"/>
  <c r="AF255" i="8"/>
  <c r="AG255" i="8"/>
  <c r="D258" i="19"/>
  <c r="AH258" i="8"/>
  <c r="AE258" i="8"/>
  <c r="AF258" i="8"/>
  <c r="AG258" i="8"/>
  <c r="D259" i="19"/>
  <c r="AH259" i="8"/>
  <c r="AE259" i="8"/>
  <c r="AF259" i="8"/>
  <c r="AG259" i="8"/>
  <c r="D275" i="19"/>
  <c r="AH275" i="8"/>
  <c r="AE275" i="8"/>
  <c r="AG275" i="8"/>
  <c r="AF275" i="8"/>
  <c r="D285" i="19"/>
  <c r="AH285" i="8"/>
  <c r="AE285" i="8"/>
  <c r="AF285" i="8"/>
  <c r="AG285" i="8"/>
  <c r="D281" i="19"/>
  <c r="AH281" i="8"/>
  <c r="AE281" i="8"/>
  <c r="AF281" i="8"/>
  <c r="AG281" i="8"/>
  <c r="D267" i="19"/>
  <c r="AH267" i="8"/>
  <c r="AE267" i="8"/>
  <c r="AF267" i="8"/>
  <c r="AG267" i="8"/>
  <c r="D44" i="19"/>
  <c r="AE44" i="8"/>
  <c r="AF44" i="8"/>
  <c r="AG44" i="8"/>
  <c r="AH44" i="8"/>
  <c r="D109" i="19"/>
  <c r="AF109" i="8"/>
  <c r="AG109" i="8"/>
  <c r="AE109" i="8"/>
  <c r="AH109" i="8"/>
  <c r="D130" i="19"/>
  <c r="AE130" i="8"/>
  <c r="AF130" i="8"/>
  <c r="AG130" i="8"/>
  <c r="AH130" i="8"/>
  <c r="D149" i="19"/>
  <c r="AE149" i="8"/>
  <c r="AF149" i="8"/>
  <c r="AG149" i="8"/>
  <c r="AH149" i="8"/>
  <c r="D160" i="19"/>
  <c r="AE160" i="8"/>
  <c r="AF160" i="8"/>
  <c r="AG160" i="8"/>
  <c r="AH160" i="8"/>
  <c r="D168" i="19"/>
  <c r="AE168" i="8"/>
  <c r="AF168" i="8"/>
  <c r="AH168" i="8"/>
  <c r="AG168" i="8"/>
  <c r="D178" i="19"/>
  <c r="AH178" i="8"/>
  <c r="AE178" i="8"/>
  <c r="AF178" i="8"/>
  <c r="AG178" i="8"/>
  <c r="D195" i="19"/>
  <c r="AH195" i="8"/>
  <c r="AE195" i="8"/>
  <c r="AF195" i="8"/>
  <c r="AG195" i="8"/>
  <c r="D251" i="19"/>
  <c r="AH251" i="8"/>
  <c r="AE251" i="8"/>
  <c r="AF251" i="8"/>
  <c r="AG251" i="8"/>
  <c r="D248" i="19"/>
  <c r="AH248" i="8"/>
  <c r="AE248" i="8"/>
  <c r="AF248" i="8"/>
  <c r="AG248" i="8"/>
  <c r="D270" i="19"/>
  <c r="AH270" i="8"/>
  <c r="AE270" i="8"/>
  <c r="AF270" i="8"/>
  <c r="AG270" i="8"/>
  <c r="D54" i="19"/>
  <c r="AE54" i="8"/>
  <c r="AF54" i="8"/>
  <c r="AG54" i="8"/>
  <c r="AH54" i="8"/>
  <c r="D59" i="19"/>
  <c r="AE59" i="8"/>
  <c r="AF59" i="8"/>
  <c r="AG59" i="8"/>
  <c r="AH59" i="8"/>
  <c r="D65" i="19"/>
  <c r="AE65" i="8"/>
  <c r="AF65" i="8"/>
  <c r="AG65" i="8"/>
  <c r="AH65" i="8"/>
  <c r="D66" i="19"/>
  <c r="AE66" i="8"/>
  <c r="AF66" i="8"/>
  <c r="AG66" i="8"/>
  <c r="AH66" i="8"/>
  <c r="D75" i="19"/>
  <c r="AE75" i="8"/>
  <c r="AF75" i="8"/>
  <c r="AG75" i="8"/>
  <c r="AH75" i="8"/>
  <c r="D78" i="19"/>
  <c r="AE78" i="8"/>
  <c r="AF78" i="8"/>
  <c r="AG78" i="8"/>
  <c r="AH78" i="8"/>
  <c r="D80" i="19"/>
  <c r="AE80" i="8"/>
  <c r="AF80" i="8"/>
  <c r="AG80" i="8"/>
  <c r="AH80" i="8"/>
  <c r="D82" i="19"/>
  <c r="AF82" i="8"/>
  <c r="AG82" i="8"/>
  <c r="AE82" i="8"/>
  <c r="AH82" i="8"/>
  <c r="D88" i="19"/>
  <c r="AF88" i="8"/>
  <c r="AG88" i="8"/>
  <c r="AE88" i="8"/>
  <c r="AH88" i="8"/>
  <c r="D90" i="19"/>
  <c r="AF90" i="8"/>
  <c r="AG90" i="8"/>
  <c r="AE90" i="8"/>
  <c r="AH90" i="8"/>
  <c r="D93" i="19"/>
  <c r="AF93" i="8"/>
  <c r="AG93" i="8"/>
  <c r="AE93" i="8"/>
  <c r="AH93" i="8"/>
  <c r="D95" i="19"/>
  <c r="AF95" i="8"/>
  <c r="AG95" i="8"/>
  <c r="AE95" i="8"/>
  <c r="AH95" i="8"/>
  <c r="D99" i="19"/>
  <c r="AF99" i="8"/>
  <c r="AG99" i="8"/>
  <c r="AE99" i="8"/>
  <c r="AH99" i="8"/>
  <c r="D100" i="19"/>
  <c r="AF100" i="8"/>
  <c r="AG100" i="8"/>
  <c r="AE100" i="8"/>
  <c r="AH100" i="8"/>
  <c r="D118" i="19"/>
  <c r="AF118" i="8"/>
  <c r="AG118" i="8"/>
  <c r="AE118" i="8"/>
  <c r="AH118" i="8"/>
  <c r="D35" i="19"/>
  <c r="AE35" i="8"/>
  <c r="AF35" i="8"/>
  <c r="AG35" i="8"/>
  <c r="AH35" i="8"/>
  <c r="D133" i="19"/>
  <c r="AE133" i="8"/>
  <c r="AF133" i="8"/>
  <c r="AG133" i="8"/>
  <c r="AH133" i="8"/>
  <c r="D137" i="19"/>
  <c r="AE137" i="8"/>
  <c r="AF137" i="8"/>
  <c r="AG137" i="8"/>
  <c r="AH137" i="8"/>
  <c r="D158" i="19"/>
  <c r="AE158" i="8"/>
  <c r="AF158" i="8"/>
  <c r="AG158" i="8"/>
  <c r="AH158" i="8"/>
  <c r="D174" i="19"/>
  <c r="AF174" i="8"/>
  <c r="AH174" i="8"/>
  <c r="AE174" i="8"/>
  <c r="AG174" i="8"/>
  <c r="D194" i="19"/>
  <c r="AH194" i="8"/>
  <c r="AE194" i="8"/>
  <c r="AF194" i="8"/>
  <c r="AG194" i="8"/>
  <c r="D196" i="19"/>
  <c r="AH196" i="8"/>
  <c r="AE196" i="8"/>
  <c r="AF196" i="8"/>
  <c r="AG196" i="8"/>
  <c r="D198" i="19"/>
  <c r="AH198" i="8"/>
  <c r="AE198" i="8"/>
  <c r="AF198" i="8"/>
  <c r="AG198" i="8"/>
  <c r="D204" i="19"/>
  <c r="AH204" i="8"/>
  <c r="AE204" i="8"/>
  <c r="AF204" i="8"/>
  <c r="AG204" i="8"/>
  <c r="D218" i="19"/>
  <c r="AH218" i="8"/>
  <c r="AE218" i="8"/>
  <c r="AF218" i="8"/>
  <c r="AG218" i="8"/>
  <c r="D230" i="19"/>
  <c r="AH230" i="8"/>
  <c r="AE230" i="8"/>
  <c r="AF230" i="8"/>
  <c r="AG230" i="8"/>
  <c r="D232" i="19"/>
  <c r="AH232" i="8"/>
  <c r="AE232" i="8"/>
  <c r="AF232" i="8"/>
  <c r="AG232" i="8"/>
  <c r="D236" i="19"/>
  <c r="AH236" i="8"/>
  <c r="AE236" i="8"/>
  <c r="AF236" i="8"/>
  <c r="AG236" i="8"/>
  <c r="D239" i="19"/>
  <c r="AH239" i="8"/>
  <c r="AE239" i="8"/>
  <c r="AG239" i="8"/>
  <c r="AF239" i="8"/>
  <c r="D263" i="19"/>
  <c r="AH263" i="8"/>
  <c r="AE263" i="8"/>
  <c r="AF263" i="8"/>
  <c r="AG263" i="8"/>
  <c r="D280" i="19"/>
  <c r="AH280" i="8"/>
  <c r="AE280" i="8"/>
  <c r="AF280" i="8"/>
  <c r="AG280" i="8"/>
  <c r="D274" i="19"/>
  <c r="AH274" i="8"/>
  <c r="AE274" i="8"/>
  <c r="AF274" i="8"/>
  <c r="AG274" i="8"/>
  <c r="D283" i="19"/>
  <c r="AH283" i="8"/>
  <c r="AE283" i="8"/>
  <c r="AG283" i="8"/>
  <c r="AF283" i="8"/>
  <c r="B193" i="9"/>
  <c r="L269" i="13"/>
  <c r="N269" i="13" s="1"/>
  <c r="O269" i="13" s="1"/>
  <c r="Q269" i="13" s="1"/>
  <c r="R269" i="13" s="1"/>
  <c r="L226" i="13"/>
  <c r="N226" i="13" s="1"/>
  <c r="O226" i="13" s="1"/>
  <c r="Q226" i="13" s="1"/>
  <c r="R226" i="13" s="1"/>
  <c r="AA260" i="13"/>
  <c r="AB260" i="13" s="1"/>
  <c r="L259" i="14"/>
  <c r="M259" i="14" s="1"/>
  <c r="N259" i="14" s="1"/>
  <c r="O259" i="14" s="1"/>
  <c r="P259" i="14" s="1"/>
  <c r="AB174" i="13"/>
  <c r="AC174" i="13" s="1"/>
  <c r="AD174" i="13" s="1"/>
  <c r="Z174" i="13"/>
  <c r="X174" i="14" s="1"/>
  <c r="L263" i="14"/>
  <c r="M263" i="14" s="1"/>
  <c r="N263" i="14" s="1"/>
  <c r="O263" i="14" s="1"/>
  <c r="P263" i="14" s="1"/>
  <c r="J174" i="14"/>
  <c r="M211" i="13"/>
  <c r="M241" i="13"/>
  <c r="J260" i="14"/>
  <c r="M244" i="13"/>
  <c r="D213" i="9"/>
  <c r="D204" i="9"/>
  <c r="Z275" i="13"/>
  <c r="Z267" i="13"/>
  <c r="X267" i="14" s="1"/>
  <c r="L273" i="13"/>
  <c r="N273" i="13" s="1"/>
  <c r="O273" i="13" s="1"/>
  <c r="Q273" i="13" s="1"/>
  <c r="R273" i="13" s="1"/>
  <c r="L261" i="13"/>
  <c r="N261" i="13" s="1"/>
  <c r="O261" i="13" s="1"/>
  <c r="Q261" i="13" s="1"/>
  <c r="R261" i="13" s="1"/>
  <c r="B13" i="9"/>
  <c r="F39" i="19"/>
  <c r="B39" i="9"/>
  <c r="F65" i="19"/>
  <c r="B74" i="9"/>
  <c r="F100" i="19"/>
  <c r="B83" i="9"/>
  <c r="F109" i="19"/>
  <c r="B89" i="9"/>
  <c r="F115" i="19"/>
  <c r="B92" i="9"/>
  <c r="F118" i="19"/>
  <c r="B126" i="9"/>
  <c r="F152" i="19"/>
  <c r="B131" i="9"/>
  <c r="F157" i="19"/>
  <c r="B141" i="9"/>
  <c r="F167" i="19"/>
  <c r="B156" i="9"/>
  <c r="F182" i="19"/>
  <c r="B172" i="9"/>
  <c r="F198" i="19"/>
  <c r="B249" i="9"/>
  <c r="F275" i="19"/>
  <c r="B254" i="9"/>
  <c r="F280" i="19"/>
  <c r="B259" i="9"/>
  <c r="F285" i="19"/>
  <c r="B239" i="9"/>
  <c r="F265" i="19"/>
  <c r="Y239" i="8"/>
  <c r="Z239" i="8" s="1"/>
  <c r="D239" i="9"/>
  <c r="D214" i="9"/>
  <c r="Z32" i="8"/>
  <c r="G32" i="19"/>
  <c r="B33" i="9"/>
  <c r="F59" i="19"/>
  <c r="B41" i="9"/>
  <c r="F67" i="19"/>
  <c r="B43" i="9"/>
  <c r="F69" i="19"/>
  <c r="B49" i="9"/>
  <c r="F75" i="19"/>
  <c r="B72" i="9"/>
  <c r="F98" i="19"/>
  <c r="B70" i="9"/>
  <c r="F96" i="19"/>
  <c r="B78" i="9"/>
  <c r="F104" i="19"/>
  <c r="B106" i="9"/>
  <c r="F132" i="19"/>
  <c r="B108" i="9"/>
  <c r="F134" i="19"/>
  <c r="B112" i="9"/>
  <c r="F138" i="19"/>
  <c r="B116" i="9"/>
  <c r="F142" i="19"/>
  <c r="B124" i="9"/>
  <c r="F150" i="19"/>
  <c r="B129" i="9"/>
  <c r="F155" i="19"/>
  <c r="B164" i="9"/>
  <c r="F190" i="19"/>
  <c r="B170" i="9"/>
  <c r="F196" i="19"/>
  <c r="B175" i="9"/>
  <c r="F201" i="19"/>
  <c r="B184" i="9"/>
  <c r="F210" i="19"/>
  <c r="B196" i="9"/>
  <c r="F222" i="19"/>
  <c r="B201" i="9"/>
  <c r="F227" i="19"/>
  <c r="B204" i="9"/>
  <c r="F230" i="19"/>
  <c r="B225" i="9"/>
  <c r="F251" i="19"/>
  <c r="B213" i="9"/>
  <c r="F239" i="19"/>
  <c r="B236" i="9"/>
  <c r="F262" i="19"/>
  <c r="B248" i="9"/>
  <c r="F274" i="19"/>
  <c r="B255" i="9"/>
  <c r="F281" i="19"/>
  <c r="B244" i="9"/>
  <c r="F270" i="19"/>
  <c r="B18" i="9"/>
  <c r="F44" i="19"/>
  <c r="B23" i="9"/>
  <c r="F49" i="19"/>
  <c r="B28" i="9"/>
  <c r="F54" i="19"/>
  <c r="B67" i="9"/>
  <c r="F93" i="19"/>
  <c r="B76" i="9"/>
  <c r="F102" i="19"/>
  <c r="B100" i="9"/>
  <c r="F126" i="19"/>
  <c r="B105" i="9"/>
  <c r="F131" i="19"/>
  <c r="B109" i="9"/>
  <c r="F135" i="19"/>
  <c r="B117" i="9"/>
  <c r="F143" i="19"/>
  <c r="B120" i="9"/>
  <c r="F146" i="19"/>
  <c r="B145" i="9"/>
  <c r="F171" i="19"/>
  <c r="B148" i="9"/>
  <c r="F174" i="19"/>
  <c r="B161" i="9"/>
  <c r="F187" i="19"/>
  <c r="B205" i="9"/>
  <c r="F231" i="19"/>
  <c r="B210" i="9"/>
  <c r="F236" i="19"/>
  <c r="B237" i="9"/>
  <c r="Y265" i="8"/>
  <c r="Z265" i="8" s="1"/>
  <c r="C7" i="9"/>
  <c r="G33" i="19"/>
  <c r="B10" i="9"/>
  <c r="F36" i="19"/>
  <c r="B19" i="9"/>
  <c r="F45" i="19"/>
  <c r="B29" i="9"/>
  <c r="F55" i="19"/>
  <c r="B35" i="9"/>
  <c r="F61" i="19"/>
  <c r="B38" i="9"/>
  <c r="F64" i="19"/>
  <c r="B40" i="9"/>
  <c r="F66" i="19"/>
  <c r="B45" i="9"/>
  <c r="F71" i="19"/>
  <c r="B50" i="9"/>
  <c r="F76" i="19"/>
  <c r="B56" i="9"/>
  <c r="F82" i="19"/>
  <c r="B62" i="9"/>
  <c r="F88" i="19"/>
  <c r="B85" i="9"/>
  <c r="F111" i="19"/>
  <c r="B88" i="9"/>
  <c r="F114" i="19"/>
  <c r="B91" i="9"/>
  <c r="F117" i="19"/>
  <c r="B101" i="9"/>
  <c r="F127" i="19"/>
  <c r="B111" i="9"/>
  <c r="F137" i="19"/>
  <c r="B113" i="9"/>
  <c r="F139" i="19"/>
  <c r="B119" i="9"/>
  <c r="F145" i="19"/>
  <c r="B127" i="9"/>
  <c r="F153" i="19"/>
  <c r="B132" i="9"/>
  <c r="F158" i="19"/>
  <c r="B134" i="9"/>
  <c r="F160" i="19"/>
  <c r="B138" i="9"/>
  <c r="F164" i="19"/>
  <c r="B154" i="9"/>
  <c r="F180" i="19"/>
  <c r="B162" i="9"/>
  <c r="F188" i="19"/>
  <c r="B171" i="9"/>
  <c r="F197" i="19"/>
  <c r="B192" i="9"/>
  <c r="F218" i="19"/>
  <c r="B195" i="9"/>
  <c r="F221" i="19"/>
  <c r="B206" i="9"/>
  <c r="F232" i="19"/>
  <c r="B207" i="9"/>
  <c r="F233" i="19"/>
  <c r="B223" i="9"/>
  <c r="F249" i="19"/>
  <c r="B220" i="9"/>
  <c r="F246" i="19"/>
  <c r="B229" i="9"/>
  <c r="F255" i="19"/>
  <c r="B233" i="9"/>
  <c r="F259" i="19"/>
  <c r="B234" i="9"/>
  <c r="F260" i="19"/>
  <c r="B240" i="9"/>
  <c r="F266" i="19"/>
  <c r="B241" i="9"/>
  <c r="F267" i="19"/>
  <c r="B247" i="9"/>
  <c r="F273" i="19"/>
  <c r="B53" i="9"/>
  <c r="F79" i="19"/>
  <c r="B107" i="9"/>
  <c r="F133" i="19"/>
  <c r="B142" i="9"/>
  <c r="F168" i="19"/>
  <c r="B147" i="9"/>
  <c r="F173" i="19"/>
  <c r="B160" i="9"/>
  <c r="F186" i="19"/>
  <c r="B168" i="9"/>
  <c r="F194" i="19"/>
  <c r="B176" i="9"/>
  <c r="F202" i="19"/>
  <c r="B180" i="9"/>
  <c r="F206" i="19"/>
  <c r="B188" i="9"/>
  <c r="F214" i="19"/>
  <c r="B214" i="9"/>
  <c r="D229" i="9"/>
  <c r="B8" i="9"/>
  <c r="F34" i="19"/>
  <c r="B14" i="9"/>
  <c r="F40" i="19"/>
  <c r="B27" i="9"/>
  <c r="F53" i="19"/>
  <c r="B11" i="9"/>
  <c r="F37" i="19"/>
  <c r="B52" i="9"/>
  <c r="F78" i="19"/>
  <c r="B54" i="9"/>
  <c r="F80" i="19"/>
  <c r="B57" i="9"/>
  <c r="F83" i="19"/>
  <c r="B64" i="9"/>
  <c r="F90" i="19"/>
  <c r="B68" i="9"/>
  <c r="F94" i="19"/>
  <c r="B69" i="9"/>
  <c r="F95" i="19"/>
  <c r="B73" i="9"/>
  <c r="F99" i="19"/>
  <c r="B75" i="9"/>
  <c r="F101" i="19"/>
  <c r="B87" i="9"/>
  <c r="F113" i="19"/>
  <c r="B94" i="9"/>
  <c r="F120" i="19"/>
  <c r="B98" i="9"/>
  <c r="F124" i="19"/>
  <c r="B103" i="9"/>
  <c r="F129" i="19"/>
  <c r="B110" i="9"/>
  <c r="F136" i="19"/>
  <c r="B123" i="9"/>
  <c r="F149" i="19"/>
  <c r="B130" i="9"/>
  <c r="F156" i="19"/>
  <c r="B137" i="9"/>
  <c r="F163" i="19"/>
  <c r="B152" i="9"/>
  <c r="F178" i="19"/>
  <c r="B178" i="9"/>
  <c r="F204" i="19"/>
  <c r="B183" i="9"/>
  <c r="F209" i="19"/>
  <c r="B232" i="9"/>
  <c r="F258" i="19"/>
  <c r="B257" i="9"/>
  <c r="F283" i="19"/>
  <c r="AI143" i="19"/>
  <c r="AI240" i="19"/>
  <c r="D14" i="9"/>
  <c r="H40" i="19"/>
  <c r="B40" i="19" s="1"/>
  <c r="Y49" i="8"/>
  <c r="Z49" i="8" s="1"/>
  <c r="H49" i="19"/>
  <c r="Y54" i="8"/>
  <c r="Z54" i="8" s="1"/>
  <c r="H54" i="19"/>
  <c r="D39" i="9"/>
  <c r="H65" i="19"/>
  <c r="B80" i="19"/>
  <c r="D89" i="9"/>
  <c r="H115" i="19"/>
  <c r="D103" i="9"/>
  <c r="H129" i="19"/>
  <c r="AI146" i="19"/>
  <c r="B146" i="19"/>
  <c r="Y166" i="8"/>
  <c r="Z166" i="8" s="1"/>
  <c r="H166" i="19"/>
  <c r="D142" i="9"/>
  <c r="H168" i="19"/>
  <c r="D156" i="9"/>
  <c r="H182" i="19"/>
  <c r="D161" i="9"/>
  <c r="H187" i="19"/>
  <c r="D176" i="9"/>
  <c r="H202" i="19"/>
  <c r="D223" i="9"/>
  <c r="H249" i="19"/>
  <c r="D225" i="9"/>
  <c r="H251" i="19"/>
  <c r="Y246" i="8"/>
  <c r="Z246" i="8" s="1"/>
  <c r="H246" i="19"/>
  <c r="Y274" i="8"/>
  <c r="Z274" i="8" s="1"/>
  <c r="D10" i="9"/>
  <c r="H36" i="19"/>
  <c r="D19" i="9"/>
  <c r="H45" i="19"/>
  <c r="Y59" i="8"/>
  <c r="Z59" i="8" s="1"/>
  <c r="H59" i="19"/>
  <c r="Y61" i="8"/>
  <c r="Z61" i="8" s="1"/>
  <c r="H61" i="19"/>
  <c r="Y64" i="8"/>
  <c r="Z64" i="8" s="1"/>
  <c r="H64" i="19"/>
  <c r="B64" i="19" s="1"/>
  <c r="D43" i="9"/>
  <c r="H69" i="19"/>
  <c r="D53" i="9"/>
  <c r="H79" i="19"/>
  <c r="D62" i="9"/>
  <c r="H88" i="19"/>
  <c r="AI99" i="19"/>
  <c r="B99" i="19"/>
  <c r="D87" i="9"/>
  <c r="H113" i="19"/>
  <c r="Y120" i="8"/>
  <c r="Z120" i="8" s="1"/>
  <c r="H120" i="19"/>
  <c r="B120" i="19" s="1"/>
  <c r="D98" i="9"/>
  <c r="H124" i="19"/>
  <c r="Y132" i="8"/>
  <c r="Z132" i="8" s="1"/>
  <c r="H132" i="19"/>
  <c r="D107" i="9"/>
  <c r="H133" i="19"/>
  <c r="D108" i="9"/>
  <c r="H134" i="19"/>
  <c r="D109" i="9"/>
  <c r="H135" i="19"/>
  <c r="D119" i="9"/>
  <c r="H145" i="19"/>
  <c r="D137" i="9"/>
  <c r="H163" i="19"/>
  <c r="D145" i="9"/>
  <c r="H171" i="19"/>
  <c r="B194" i="19"/>
  <c r="AI194" i="19"/>
  <c r="D195" i="9"/>
  <c r="H221" i="19"/>
  <c r="D201" i="9"/>
  <c r="H227" i="19"/>
  <c r="D222" i="9"/>
  <c r="H248" i="19"/>
  <c r="AI259" i="19"/>
  <c r="B259" i="19"/>
  <c r="B263" i="19"/>
  <c r="AI263" i="19"/>
  <c r="D255" i="9"/>
  <c r="H281" i="19"/>
  <c r="B284" i="19"/>
  <c r="AI284" i="19"/>
  <c r="D244" i="9"/>
  <c r="H270" i="19"/>
  <c r="Y75" i="8"/>
  <c r="Z75" i="8" s="1"/>
  <c r="H75" i="19"/>
  <c r="Y93" i="8"/>
  <c r="Z93" i="8" s="1"/>
  <c r="H93" i="19"/>
  <c r="Y118" i="8"/>
  <c r="Z118" i="8" s="1"/>
  <c r="H118" i="19"/>
  <c r="Y127" i="8"/>
  <c r="Z127" i="8" s="1"/>
  <c r="H127" i="19"/>
  <c r="AI157" i="19"/>
  <c r="B157" i="19"/>
  <c r="D132" i="9"/>
  <c r="H158" i="19"/>
  <c r="Y173" i="8"/>
  <c r="Z173" i="8" s="1"/>
  <c r="H173" i="19"/>
  <c r="B173" i="19" s="1"/>
  <c r="D186" i="9"/>
  <c r="H212" i="19"/>
  <c r="D193" i="9"/>
  <c r="H219" i="19"/>
  <c r="D206" i="9"/>
  <c r="H232" i="19"/>
  <c r="B274" i="19"/>
  <c r="AI274" i="19"/>
  <c r="D247" i="9"/>
  <c r="H273" i="19"/>
  <c r="D248" i="9"/>
  <c r="Y44" i="8"/>
  <c r="Z44" i="8" s="1"/>
  <c r="H44" i="19"/>
  <c r="D27" i="9"/>
  <c r="H53" i="19"/>
  <c r="AI80" i="19"/>
  <c r="Y83" i="8"/>
  <c r="Z83" i="8" s="1"/>
  <c r="H83" i="19"/>
  <c r="Y95" i="8"/>
  <c r="Z95" i="8" s="1"/>
  <c r="H95" i="19"/>
  <c r="D72" i="9"/>
  <c r="H98" i="19"/>
  <c r="Y101" i="8"/>
  <c r="Z101" i="8" s="1"/>
  <c r="H101" i="19"/>
  <c r="B102" i="19"/>
  <c r="AI102" i="19"/>
  <c r="Y103" i="8"/>
  <c r="Z103" i="8" s="1"/>
  <c r="H103" i="19"/>
  <c r="D91" i="9"/>
  <c r="H117" i="19"/>
  <c r="D9" i="9"/>
  <c r="H35" i="19"/>
  <c r="AI130" i="19"/>
  <c r="D111" i="9"/>
  <c r="H137" i="19"/>
  <c r="D113" i="9"/>
  <c r="H139" i="19"/>
  <c r="Y152" i="8"/>
  <c r="Z152" i="8" s="1"/>
  <c r="H152" i="19"/>
  <c r="D127" i="9"/>
  <c r="H153" i="19"/>
  <c r="D129" i="9"/>
  <c r="H155" i="19"/>
  <c r="B160" i="19"/>
  <c r="AI160" i="19"/>
  <c r="D138" i="9"/>
  <c r="H164" i="19"/>
  <c r="AI173" i="19"/>
  <c r="Y196" i="8"/>
  <c r="Z196" i="8" s="1"/>
  <c r="H196" i="19"/>
  <c r="D171" i="9"/>
  <c r="H197" i="19"/>
  <c r="D178" i="9"/>
  <c r="H204" i="19"/>
  <c r="B204" i="19" s="1"/>
  <c r="D183" i="9"/>
  <c r="H209" i="19"/>
  <c r="B209" i="19" s="1"/>
  <c r="D188" i="9"/>
  <c r="H214" i="19"/>
  <c r="B230" i="19"/>
  <c r="AI230" i="19"/>
  <c r="B239" i="19"/>
  <c r="AI239" i="19"/>
  <c r="AI255" i="19"/>
  <c r="B255" i="19"/>
  <c r="D232" i="9"/>
  <c r="H258" i="19"/>
  <c r="Y262" i="8"/>
  <c r="Z262" i="8" s="1"/>
  <c r="H262" i="19"/>
  <c r="D249" i="9"/>
  <c r="H275" i="19"/>
  <c r="Y280" i="8"/>
  <c r="Z280" i="8" s="1"/>
  <c r="H280" i="19"/>
  <c r="B285" i="19"/>
  <c r="AI285" i="19"/>
  <c r="D241" i="9"/>
  <c r="H267" i="19"/>
  <c r="Y55" i="8"/>
  <c r="Z55" i="8" s="1"/>
  <c r="H55" i="19"/>
  <c r="D40" i="9"/>
  <c r="H66" i="19"/>
  <c r="Y67" i="8"/>
  <c r="Z67" i="8" s="1"/>
  <c r="H67" i="19"/>
  <c r="D50" i="9"/>
  <c r="H76" i="19"/>
  <c r="Y90" i="8"/>
  <c r="Z90" i="8" s="1"/>
  <c r="H90" i="19"/>
  <c r="D70" i="9"/>
  <c r="H96" i="19"/>
  <c r="AI104" i="19"/>
  <c r="B104" i="19"/>
  <c r="D100" i="9"/>
  <c r="H126" i="19"/>
  <c r="Y131" i="8"/>
  <c r="Z131" i="8" s="1"/>
  <c r="H131" i="19"/>
  <c r="D112" i="9"/>
  <c r="H138" i="19"/>
  <c r="Y150" i="8"/>
  <c r="Z150" i="8" s="1"/>
  <c r="H150" i="19"/>
  <c r="B150" i="19" s="1"/>
  <c r="AI188" i="19"/>
  <c r="B188" i="19"/>
  <c r="D175" i="9"/>
  <c r="H201" i="19"/>
  <c r="B201" i="19" s="1"/>
  <c r="D196" i="9"/>
  <c r="H222" i="19"/>
  <c r="D8" i="9"/>
  <c r="H34" i="19"/>
  <c r="B34" i="19" s="1"/>
  <c r="D13" i="9"/>
  <c r="H39" i="19"/>
  <c r="D11" i="9"/>
  <c r="H37" i="19"/>
  <c r="D45" i="9"/>
  <c r="H71" i="19"/>
  <c r="D52" i="9"/>
  <c r="H78" i="19"/>
  <c r="Y82" i="8"/>
  <c r="Z82" i="8" s="1"/>
  <c r="H82" i="19"/>
  <c r="Y94" i="8"/>
  <c r="Z94" i="8" s="1"/>
  <c r="H94" i="19"/>
  <c r="D74" i="9"/>
  <c r="H100" i="19"/>
  <c r="Y109" i="8"/>
  <c r="Z109" i="8" s="1"/>
  <c r="H109" i="19"/>
  <c r="Y111" i="8"/>
  <c r="Z111" i="8" s="1"/>
  <c r="H111" i="19"/>
  <c r="Y112" i="8"/>
  <c r="Z112" i="8" s="1"/>
  <c r="H112" i="19"/>
  <c r="D88" i="9"/>
  <c r="H114" i="19"/>
  <c r="B114" i="19" s="1"/>
  <c r="D110" i="9"/>
  <c r="H136" i="19"/>
  <c r="D116" i="9"/>
  <c r="H142" i="19"/>
  <c r="D123" i="9"/>
  <c r="H149" i="19"/>
  <c r="B156" i="19"/>
  <c r="AI156" i="19"/>
  <c r="D141" i="9"/>
  <c r="H167" i="19"/>
  <c r="D152" i="9"/>
  <c r="H178" i="19"/>
  <c r="Y180" i="8"/>
  <c r="Z180" i="8" s="1"/>
  <c r="H180" i="19"/>
  <c r="B180" i="19" s="1"/>
  <c r="Y174" i="8"/>
  <c r="Z174" i="8" s="1"/>
  <c r="H174" i="19"/>
  <c r="D160" i="9"/>
  <c r="H186" i="19"/>
  <c r="Y190" i="8"/>
  <c r="Z190" i="8" s="1"/>
  <c r="H190" i="19"/>
  <c r="D169" i="9"/>
  <c r="H195" i="19"/>
  <c r="B198" i="19"/>
  <c r="AI198" i="19"/>
  <c r="D180" i="9"/>
  <c r="H206" i="19"/>
  <c r="B210" i="19"/>
  <c r="AI210" i="19"/>
  <c r="B218" i="19"/>
  <c r="AI218" i="19"/>
  <c r="Y231" i="8"/>
  <c r="Z231" i="8" s="1"/>
  <c r="H231" i="19"/>
  <c r="D207" i="9"/>
  <c r="H233" i="19"/>
  <c r="D210" i="9"/>
  <c r="H236" i="19"/>
  <c r="Y260" i="8"/>
  <c r="Z260" i="8" s="1"/>
  <c r="H260" i="19"/>
  <c r="D240" i="9"/>
  <c r="H266" i="19"/>
  <c r="D257" i="9"/>
  <c r="H283" i="19"/>
  <c r="AI265" i="19"/>
  <c r="B265" i="19"/>
  <c r="AI275" i="8"/>
  <c r="J275" i="19"/>
  <c r="AA252" i="13"/>
  <c r="Y281" i="8"/>
  <c r="Z281" i="8" s="1"/>
  <c r="Y233" i="8"/>
  <c r="Z233" i="8" s="1"/>
  <c r="D234" i="9"/>
  <c r="L205" i="13"/>
  <c r="M205" i="13" s="1"/>
  <c r="L274" i="13"/>
  <c r="N274" i="13" s="1"/>
  <c r="O274" i="13" s="1"/>
  <c r="Q274" i="13" s="1"/>
  <c r="R274" i="13" s="1"/>
  <c r="L221" i="13"/>
  <c r="N221" i="13" s="1"/>
  <c r="O221" i="13" s="1"/>
  <c r="Q221" i="13" s="1"/>
  <c r="R221" i="13" s="1"/>
  <c r="L265" i="13"/>
  <c r="N265" i="13" s="1"/>
  <c r="O265" i="13" s="1"/>
  <c r="Q265" i="13" s="1"/>
  <c r="R265" i="13" s="1"/>
  <c r="AC260" i="13"/>
  <c r="AA260" i="14" s="1"/>
  <c r="M174" i="13"/>
  <c r="N223" i="13"/>
  <c r="O223" i="13" s="1"/>
  <c r="Q223" i="13" s="1"/>
  <c r="R223" i="13" s="1"/>
  <c r="Z304" i="14"/>
  <c r="Y275" i="8"/>
  <c r="Z275" i="8" s="1"/>
  <c r="Y163" i="8"/>
  <c r="Z163" i="8" s="1"/>
  <c r="L281" i="14"/>
  <c r="M281" i="14" s="1"/>
  <c r="N281" i="14" s="1"/>
  <c r="O281" i="14" s="1"/>
  <c r="P281" i="14" s="1"/>
  <c r="L265" i="14"/>
  <c r="M265" i="14" s="1"/>
  <c r="N265" i="14" s="1"/>
  <c r="O265" i="14" s="1"/>
  <c r="P265" i="14" s="1"/>
  <c r="M162" i="13"/>
  <c r="J258" i="14"/>
  <c r="L258" i="14" s="1"/>
  <c r="M258" i="14" s="1"/>
  <c r="N258" i="14" s="1"/>
  <c r="O258" i="14" s="1"/>
  <c r="P258" i="14" s="1"/>
  <c r="L193" i="13"/>
  <c r="N193" i="13" s="1"/>
  <c r="O193" i="13" s="1"/>
  <c r="Q193" i="13" s="1"/>
  <c r="R193" i="13" s="1"/>
  <c r="L277" i="13"/>
  <c r="N277" i="13" s="1"/>
  <c r="O277" i="13" s="1"/>
  <c r="Q277" i="13" s="1"/>
  <c r="R277" i="13" s="1"/>
  <c r="L280" i="13"/>
  <c r="M280" i="13" s="1"/>
  <c r="M260" i="13"/>
  <c r="N260" i="13"/>
  <c r="O260" i="13" s="1"/>
  <c r="Q260" i="13" s="1"/>
  <c r="R260" i="13" s="1"/>
  <c r="L285" i="13"/>
  <c r="N285" i="13" s="1"/>
  <c r="O285" i="13" s="1"/>
  <c r="Q285" i="13" s="1"/>
  <c r="R285" i="13" s="1"/>
  <c r="N238" i="13"/>
  <c r="O238" i="13" s="1"/>
  <c r="Q238" i="13" s="1"/>
  <c r="R238" i="13" s="1"/>
  <c r="L271" i="13"/>
  <c r="N271" i="13" s="1"/>
  <c r="O271" i="13" s="1"/>
  <c r="Q271" i="13" s="1"/>
  <c r="R271" i="13" s="1"/>
  <c r="M237" i="13"/>
  <c r="L229" i="13"/>
  <c r="N229" i="13" s="1"/>
  <c r="O229" i="13" s="1"/>
  <c r="Q229" i="13" s="1"/>
  <c r="R229" i="13" s="1"/>
  <c r="M164" i="13"/>
  <c r="L284" i="13"/>
  <c r="N284" i="13" s="1"/>
  <c r="O284" i="13" s="1"/>
  <c r="Q284" i="13" s="1"/>
  <c r="R284" i="13" s="1"/>
  <c r="L76" i="14"/>
  <c r="M76" i="14" s="1"/>
  <c r="N76" i="14" s="1"/>
  <c r="O76" i="14" s="1"/>
  <c r="P76" i="14" s="1"/>
  <c r="N252" i="13"/>
  <c r="O252" i="13" s="1"/>
  <c r="Q252" i="13" s="1"/>
  <c r="R252" i="13" s="1"/>
  <c r="M268" i="13"/>
  <c r="L264" i="13"/>
  <c r="M264" i="13" s="1"/>
  <c r="L199" i="13"/>
  <c r="N199" i="13" s="1"/>
  <c r="O199" i="13" s="1"/>
  <c r="Q199" i="13" s="1"/>
  <c r="R199" i="13" s="1"/>
  <c r="L201" i="13"/>
  <c r="N201" i="13" s="1"/>
  <c r="O201" i="13" s="1"/>
  <c r="Q201" i="13" s="1"/>
  <c r="R201" i="13" s="1"/>
  <c r="L276" i="13"/>
  <c r="N276" i="13" s="1"/>
  <c r="O276" i="13" s="1"/>
  <c r="Q276" i="13" s="1"/>
  <c r="R276" i="13" s="1"/>
  <c r="L218" i="13"/>
  <c r="N218" i="13" s="1"/>
  <c r="O218" i="13" s="1"/>
  <c r="Q218" i="13" s="1"/>
  <c r="R218" i="13" s="1"/>
  <c r="J164" i="14"/>
  <c r="L164" i="14" s="1"/>
  <c r="M164" i="14" s="1"/>
  <c r="N164" i="14" s="1"/>
  <c r="O164" i="14" s="1"/>
  <c r="P164" i="14" s="1"/>
  <c r="M184" i="13"/>
  <c r="M185" i="13"/>
  <c r="N224" i="13"/>
  <c r="O224" i="13" s="1"/>
  <c r="Q224" i="13" s="1"/>
  <c r="R224" i="13" s="1"/>
  <c r="L101" i="14"/>
  <c r="M101" i="14" s="1"/>
  <c r="N101" i="14" s="1"/>
  <c r="O101" i="14" s="1"/>
  <c r="P101" i="14" s="1"/>
  <c r="L278" i="13"/>
  <c r="M278" i="13" s="1"/>
  <c r="L172" i="13"/>
  <c r="N172" i="13" s="1"/>
  <c r="O172" i="13" s="1"/>
  <c r="Q172" i="13" s="1"/>
  <c r="R172" i="13" s="1"/>
  <c r="L227" i="13"/>
  <c r="N227" i="13" s="1"/>
  <c r="O227" i="13" s="1"/>
  <c r="Q227" i="13" s="1"/>
  <c r="R227" i="13" s="1"/>
  <c r="L230" i="13"/>
  <c r="N230" i="13" s="1"/>
  <c r="O230" i="13" s="1"/>
  <c r="Q230" i="13" s="1"/>
  <c r="R230" i="13" s="1"/>
  <c r="L251" i="13"/>
  <c r="N251" i="13" s="1"/>
  <c r="O251" i="13" s="1"/>
  <c r="Q251" i="13" s="1"/>
  <c r="R251" i="13" s="1"/>
  <c r="L233" i="13"/>
  <c r="M233" i="13" s="1"/>
  <c r="L215" i="13"/>
  <c r="N215" i="13" s="1"/>
  <c r="O215" i="13" s="1"/>
  <c r="Q215" i="13" s="1"/>
  <c r="R215" i="13" s="1"/>
  <c r="M202" i="18"/>
  <c r="N283" i="18"/>
  <c r="K212" i="18"/>
  <c r="L284" i="18"/>
  <c r="M275" i="18"/>
  <c r="N284" i="18"/>
  <c r="K275" i="18"/>
  <c r="K284" i="18"/>
  <c r="L280" i="14"/>
  <c r="M280" i="14" s="1"/>
  <c r="N280" i="14" s="1"/>
  <c r="O280" i="14" s="1"/>
  <c r="P280" i="14" s="1"/>
  <c r="Y270" i="8"/>
  <c r="Z270" i="8" s="1"/>
  <c r="Y232" i="8"/>
  <c r="Z232" i="8" s="1"/>
  <c r="Y214" i="8"/>
  <c r="Z214" i="8" s="1"/>
  <c r="Y249" i="8"/>
  <c r="Z249" i="8" s="1"/>
  <c r="AA266" i="14"/>
  <c r="AB266" i="14" s="1"/>
  <c r="AA283" i="13"/>
  <c r="AA282" i="13"/>
  <c r="M269" i="13"/>
  <c r="M265" i="13"/>
  <c r="L266" i="14"/>
  <c r="M266" i="14" s="1"/>
  <c r="N266" i="14" s="1"/>
  <c r="O266" i="14" s="1"/>
  <c r="P266" i="14" s="1"/>
  <c r="L267" i="14"/>
  <c r="M267" i="14" s="1"/>
  <c r="N267" i="14" s="1"/>
  <c r="O267" i="14" s="1"/>
  <c r="P267" i="14" s="1"/>
  <c r="L283" i="14"/>
  <c r="M283" i="14" s="1"/>
  <c r="N283" i="14" s="1"/>
  <c r="O283" i="14" s="1"/>
  <c r="P283" i="14" s="1"/>
  <c r="L284" i="14"/>
  <c r="M284" i="14" s="1"/>
  <c r="N284" i="14" s="1"/>
  <c r="O284" i="14" s="1"/>
  <c r="P284" i="14" s="1"/>
  <c r="I270" i="18"/>
  <c r="K270" i="18" s="1"/>
  <c r="L285" i="14"/>
  <c r="M285" i="14" s="1"/>
  <c r="N285" i="14" s="1"/>
  <c r="O285" i="14" s="1"/>
  <c r="P285" i="14" s="1"/>
  <c r="AC313" i="13"/>
  <c r="Z313" i="14"/>
  <c r="L274" i="14"/>
  <c r="M274" i="14" s="1"/>
  <c r="N274" i="14" s="1"/>
  <c r="O274" i="14" s="1"/>
  <c r="P274" i="14" s="1"/>
  <c r="AA312" i="14"/>
  <c r="AA311" i="14"/>
  <c r="Y266" i="8"/>
  <c r="Z266" i="8" s="1"/>
  <c r="AC307" i="13"/>
  <c r="Z307" i="14"/>
  <c r="AC293" i="13"/>
  <c r="Z293" i="14"/>
  <c r="L281" i="13"/>
  <c r="N279" i="13"/>
  <c r="O279" i="13" s="1"/>
  <c r="Q279" i="13" s="1"/>
  <c r="R279" i="13" s="1"/>
  <c r="I281" i="18"/>
  <c r="K281" i="18" s="1"/>
  <c r="Y266" i="14"/>
  <c r="K267" i="18"/>
  <c r="M285" i="18"/>
  <c r="I274" i="18"/>
  <c r="K274" i="18" s="1"/>
  <c r="AC298" i="13"/>
  <c r="Z298" i="14"/>
  <c r="AC314" i="13"/>
  <c r="Z314" i="14"/>
  <c r="Z270" i="14"/>
  <c r="Y270" i="14"/>
  <c r="AC303" i="13"/>
  <c r="Z303" i="14"/>
  <c r="AC308" i="13"/>
  <c r="Z308" i="14"/>
  <c r="AC306" i="13"/>
  <c r="Z306" i="14"/>
  <c r="AC305" i="13"/>
  <c r="Z305" i="14"/>
  <c r="AC309" i="13"/>
  <c r="Z309" i="14"/>
  <c r="AA270" i="14"/>
  <c r="AB270" i="14" s="1"/>
  <c r="L270" i="14"/>
  <c r="M270" i="14" s="1"/>
  <c r="N270" i="14" s="1"/>
  <c r="O270" i="14" s="1"/>
  <c r="P270" i="14" s="1"/>
  <c r="AA295" i="14"/>
  <c r="L273" i="14"/>
  <c r="M273" i="14" s="1"/>
  <c r="N273" i="14" s="1"/>
  <c r="O273" i="14" s="1"/>
  <c r="P273" i="14" s="1"/>
  <c r="I265" i="18"/>
  <c r="K265" i="18" s="1"/>
  <c r="N285" i="18"/>
  <c r="AA304" i="14"/>
  <c r="AA299" i="14"/>
  <c r="Z267" i="14"/>
  <c r="K283" i="18"/>
  <c r="Y267" i="8"/>
  <c r="Z267" i="8" s="1"/>
  <c r="AC302" i="13"/>
  <c r="Z302" i="14"/>
  <c r="L272" i="13"/>
  <c r="AC300" i="13"/>
  <c r="Z300" i="14"/>
  <c r="AC310" i="13"/>
  <c r="Z310" i="14"/>
  <c r="AC294" i="13"/>
  <c r="Z294" i="14"/>
  <c r="AB268" i="13"/>
  <c r="Y268" i="14"/>
  <c r="Z266" i="14"/>
  <c r="AA297" i="14"/>
  <c r="AA296" i="14"/>
  <c r="K280" i="18"/>
  <c r="K285" i="18"/>
  <c r="N275" i="18"/>
  <c r="I266" i="18"/>
  <c r="K266" i="18" s="1"/>
  <c r="M210" i="18"/>
  <c r="K231" i="18"/>
  <c r="L214" i="13"/>
  <c r="N214" i="13" s="1"/>
  <c r="O214" i="13" s="1"/>
  <c r="Q214" i="13" s="1"/>
  <c r="R214" i="13" s="1"/>
  <c r="K259" i="18"/>
  <c r="L255" i="13"/>
  <c r="N255" i="13" s="1"/>
  <c r="O255" i="13" s="1"/>
  <c r="Q255" i="13" s="1"/>
  <c r="R255" i="13" s="1"/>
  <c r="L240" i="13"/>
  <c r="N240" i="13" s="1"/>
  <c r="O240" i="13" s="1"/>
  <c r="Q240" i="13" s="1"/>
  <c r="R240" i="13" s="1"/>
  <c r="L228" i="13"/>
  <c r="N228" i="13" s="1"/>
  <c r="O228" i="13" s="1"/>
  <c r="Q228" i="13" s="1"/>
  <c r="R228" i="13" s="1"/>
  <c r="L242" i="13"/>
  <c r="N242" i="13" s="1"/>
  <c r="O242" i="13" s="1"/>
  <c r="Q242" i="13" s="1"/>
  <c r="R242" i="13" s="1"/>
  <c r="L254" i="13"/>
  <c r="N254" i="13" s="1"/>
  <c r="O254" i="13" s="1"/>
  <c r="Q254" i="13" s="1"/>
  <c r="R254" i="13" s="1"/>
  <c r="L233" i="14"/>
  <c r="M233" i="14" s="1"/>
  <c r="N233" i="14" s="1"/>
  <c r="O233" i="14" s="1"/>
  <c r="P233" i="14" s="1"/>
  <c r="M52" i="13"/>
  <c r="N78" i="18"/>
  <c r="L248" i="18"/>
  <c r="M249" i="13"/>
  <c r="K263" i="18"/>
  <c r="M182" i="18"/>
  <c r="N255" i="18"/>
  <c r="Y258" i="8"/>
  <c r="Z258" i="8" s="1"/>
  <c r="D220" i="9"/>
  <c r="L235" i="13"/>
  <c r="N235" i="13" s="1"/>
  <c r="O235" i="13" s="1"/>
  <c r="Q235" i="13" s="1"/>
  <c r="R235" i="13" s="1"/>
  <c r="L256" i="13"/>
  <c r="M256" i="13" s="1"/>
  <c r="L246" i="14"/>
  <c r="M246" i="14" s="1"/>
  <c r="N246" i="14" s="1"/>
  <c r="O246" i="14" s="1"/>
  <c r="P246" i="14" s="1"/>
  <c r="L248" i="14"/>
  <c r="M248" i="14" s="1"/>
  <c r="N248" i="14" s="1"/>
  <c r="O248" i="14" s="1"/>
  <c r="P248" i="14" s="1"/>
  <c r="M94" i="18"/>
  <c r="K129" i="18"/>
  <c r="N168" i="18"/>
  <c r="N180" i="13"/>
  <c r="O180" i="13" s="1"/>
  <c r="Q180" i="13" s="1"/>
  <c r="R180" i="13" s="1"/>
  <c r="K195" i="18"/>
  <c r="L249" i="18"/>
  <c r="J249" i="14"/>
  <c r="L249" i="14" s="1"/>
  <c r="M249" i="14" s="1"/>
  <c r="N249" i="14" s="1"/>
  <c r="O249" i="14" s="1"/>
  <c r="P249" i="14" s="1"/>
  <c r="N260" i="18"/>
  <c r="Y251" i="8"/>
  <c r="Z251" i="8" s="1"/>
  <c r="L250" i="13"/>
  <c r="N250" i="13" s="1"/>
  <c r="O250" i="13" s="1"/>
  <c r="Q250" i="13" s="1"/>
  <c r="R250" i="13" s="1"/>
  <c r="L231" i="13"/>
  <c r="N231" i="13" s="1"/>
  <c r="O231" i="13" s="1"/>
  <c r="Q231" i="13" s="1"/>
  <c r="R231" i="13" s="1"/>
  <c r="N158" i="18"/>
  <c r="M187" i="18"/>
  <c r="N214" i="18"/>
  <c r="N227" i="18"/>
  <c r="L263" i="13"/>
  <c r="N263" i="18"/>
  <c r="M263" i="18"/>
  <c r="AB262" i="13"/>
  <c r="AC262" i="13" s="1"/>
  <c r="AD262" i="13" s="1"/>
  <c r="L262" i="14"/>
  <c r="M262" i="14" s="1"/>
  <c r="N262" i="14" s="1"/>
  <c r="O262" i="14" s="1"/>
  <c r="P262" i="14" s="1"/>
  <c r="I262" i="18"/>
  <c r="K262" i="18" s="1"/>
  <c r="Y262" i="14"/>
  <c r="Z262" i="14"/>
  <c r="K96" i="18"/>
  <c r="M261" i="13"/>
  <c r="M260" i="18"/>
  <c r="Y260" i="14"/>
  <c r="Z260" i="14"/>
  <c r="L260" i="14"/>
  <c r="M260" i="14" s="1"/>
  <c r="N260" i="14" s="1"/>
  <c r="O260" i="14" s="1"/>
  <c r="P260" i="14" s="1"/>
  <c r="K260" i="18"/>
  <c r="I222" i="18"/>
  <c r="K222" i="18" s="1"/>
  <c r="M258" i="13"/>
  <c r="N246" i="18"/>
  <c r="M247" i="13"/>
  <c r="L259" i="13"/>
  <c r="N259" i="18"/>
  <c r="M259" i="18"/>
  <c r="K248" i="18"/>
  <c r="M258" i="18"/>
  <c r="K258" i="18"/>
  <c r="Z258" i="13"/>
  <c r="X258" i="14" s="1"/>
  <c r="M248" i="18"/>
  <c r="L257" i="13"/>
  <c r="Y201" i="8"/>
  <c r="Z201" i="8" s="1"/>
  <c r="Y236" i="8"/>
  <c r="Z236" i="8" s="1"/>
  <c r="Y227" i="8"/>
  <c r="Z227" i="8" s="1"/>
  <c r="L225" i="13"/>
  <c r="N225" i="13" s="1"/>
  <c r="O225" i="13" s="1"/>
  <c r="Q225" i="13" s="1"/>
  <c r="R225" i="13" s="1"/>
  <c r="L210" i="13"/>
  <c r="N210" i="13" s="1"/>
  <c r="O210" i="13" s="1"/>
  <c r="Q210" i="13" s="1"/>
  <c r="R210" i="13" s="1"/>
  <c r="L248" i="13"/>
  <c r="N248" i="13" s="1"/>
  <c r="O248" i="13" s="1"/>
  <c r="Q248" i="13" s="1"/>
  <c r="R248" i="13" s="1"/>
  <c r="L246" i="13"/>
  <c r="N246" i="13" s="1"/>
  <c r="O246" i="13" s="1"/>
  <c r="Q246" i="13" s="1"/>
  <c r="R246" i="13" s="1"/>
  <c r="L234" i="13"/>
  <c r="N234" i="13" s="1"/>
  <c r="O234" i="13" s="1"/>
  <c r="Q234" i="13" s="1"/>
  <c r="R234" i="13" s="1"/>
  <c r="L194" i="13"/>
  <c r="M194" i="13" s="1"/>
  <c r="L239" i="13"/>
  <c r="N239" i="13" s="1"/>
  <c r="O239" i="13" s="1"/>
  <c r="Q239" i="13" s="1"/>
  <c r="R239" i="13" s="1"/>
  <c r="L232" i="13"/>
  <c r="N232" i="13" s="1"/>
  <c r="O232" i="13" s="1"/>
  <c r="Q232" i="13" s="1"/>
  <c r="R232" i="13" s="1"/>
  <c r="L243" i="13"/>
  <c r="N243" i="13" s="1"/>
  <c r="O243" i="13" s="1"/>
  <c r="Q243" i="13" s="1"/>
  <c r="R243" i="13" s="1"/>
  <c r="L206" i="13"/>
  <c r="N206" i="13" s="1"/>
  <c r="O206" i="13" s="1"/>
  <c r="Q206" i="13" s="1"/>
  <c r="R206" i="13" s="1"/>
  <c r="L220" i="13"/>
  <c r="N220" i="13" s="1"/>
  <c r="O220" i="13" s="1"/>
  <c r="Q220" i="13" s="1"/>
  <c r="R220" i="13" s="1"/>
  <c r="AA247" i="13"/>
  <c r="AB247" i="13" s="1"/>
  <c r="L227" i="14"/>
  <c r="M227" i="14" s="1"/>
  <c r="N227" i="14" s="1"/>
  <c r="O227" i="14" s="1"/>
  <c r="P227" i="14" s="1"/>
  <c r="K246" i="18"/>
  <c r="M249" i="18"/>
  <c r="L255" i="14"/>
  <c r="M255" i="14" s="1"/>
  <c r="N255" i="14" s="1"/>
  <c r="O255" i="14" s="1"/>
  <c r="P255" i="14" s="1"/>
  <c r="M255" i="18"/>
  <c r="K255" i="18"/>
  <c r="AA249" i="13"/>
  <c r="AB249" i="13" s="1"/>
  <c r="AC249" i="13" s="1"/>
  <c r="AA249" i="14" s="1"/>
  <c r="AA244" i="13"/>
  <c r="AA238" i="13"/>
  <c r="Y238" i="14" s="1"/>
  <c r="I239" i="18"/>
  <c r="K239" i="18" s="1"/>
  <c r="L239" i="14"/>
  <c r="M239" i="14" s="1"/>
  <c r="N239" i="14" s="1"/>
  <c r="O239" i="14" s="1"/>
  <c r="P239" i="14" s="1"/>
  <c r="I251" i="18"/>
  <c r="K251" i="18" s="1"/>
  <c r="L240" i="14"/>
  <c r="M240" i="14" s="1"/>
  <c r="N240" i="14" s="1"/>
  <c r="O240" i="14" s="1"/>
  <c r="P240" i="14" s="1"/>
  <c r="L251" i="14"/>
  <c r="M251" i="14" s="1"/>
  <c r="N251" i="14" s="1"/>
  <c r="O251" i="14" s="1"/>
  <c r="P251" i="14" s="1"/>
  <c r="M253" i="13"/>
  <c r="M250" i="13"/>
  <c r="AB237" i="13"/>
  <c r="Y237" i="14"/>
  <c r="K236" i="18"/>
  <c r="Z236" i="14"/>
  <c r="L236" i="14"/>
  <c r="M236" i="14" s="1"/>
  <c r="N236" i="14" s="1"/>
  <c r="O236" i="14" s="1"/>
  <c r="P236" i="14" s="1"/>
  <c r="N249" i="18"/>
  <c r="M245" i="13"/>
  <c r="AB241" i="13"/>
  <c r="Y241" i="14"/>
  <c r="I240" i="18"/>
  <c r="K240" i="18" s="1"/>
  <c r="AA236" i="14"/>
  <c r="AB236" i="14" s="1"/>
  <c r="Y236" i="14"/>
  <c r="I233" i="18"/>
  <c r="K233" i="18" s="1"/>
  <c r="K232" i="18"/>
  <c r="L232" i="14"/>
  <c r="M232" i="14" s="1"/>
  <c r="N232" i="14" s="1"/>
  <c r="O232" i="14" s="1"/>
  <c r="P232" i="14" s="1"/>
  <c r="N231" i="18"/>
  <c r="M231" i="18"/>
  <c r="L231" i="14"/>
  <c r="M231" i="14" s="1"/>
  <c r="N231" i="14" s="1"/>
  <c r="O231" i="14" s="1"/>
  <c r="P231" i="14" s="1"/>
  <c r="N230" i="18"/>
  <c r="K230" i="18"/>
  <c r="L230" i="14"/>
  <c r="M230" i="14" s="1"/>
  <c r="N230" i="14" s="1"/>
  <c r="O230" i="14" s="1"/>
  <c r="P230" i="14" s="1"/>
  <c r="K157" i="18"/>
  <c r="N75" i="18"/>
  <c r="M118" i="18"/>
  <c r="M227" i="18"/>
  <c r="M226" i="13"/>
  <c r="K227" i="18"/>
  <c r="AA224" i="13"/>
  <c r="AB224" i="13" s="1"/>
  <c r="AA223" i="13"/>
  <c r="AB223" i="13" s="1"/>
  <c r="L222" i="14"/>
  <c r="M222" i="14" s="1"/>
  <c r="N222" i="14" s="1"/>
  <c r="O222" i="14" s="1"/>
  <c r="P222" i="14" s="1"/>
  <c r="L222" i="13"/>
  <c r="N222" i="13" s="1"/>
  <c r="O222" i="13" s="1"/>
  <c r="Q222" i="13" s="1"/>
  <c r="R222" i="13" s="1"/>
  <c r="Y222" i="8"/>
  <c r="Z222" i="8" s="1"/>
  <c r="K221" i="18"/>
  <c r="Y219" i="8"/>
  <c r="Z219" i="8" s="1"/>
  <c r="L219" i="14"/>
  <c r="M219" i="14" s="1"/>
  <c r="N219" i="14" s="1"/>
  <c r="O219" i="14" s="1"/>
  <c r="P219" i="14" s="1"/>
  <c r="M221" i="18"/>
  <c r="N221" i="18"/>
  <c r="L221" i="14"/>
  <c r="M221" i="14" s="1"/>
  <c r="N221" i="14" s="1"/>
  <c r="O221" i="14" s="1"/>
  <c r="P221" i="14" s="1"/>
  <c r="D164" i="9"/>
  <c r="L217" i="13"/>
  <c r="N217" i="13" s="1"/>
  <c r="O217" i="13" s="1"/>
  <c r="Q217" i="13" s="1"/>
  <c r="R217" i="13" s="1"/>
  <c r="Y202" i="8"/>
  <c r="Z202" i="8" s="1"/>
  <c r="Y195" i="8"/>
  <c r="Z195" i="8" s="1"/>
  <c r="Y167" i="8"/>
  <c r="Z167" i="8" s="1"/>
  <c r="L219" i="13"/>
  <c r="N219" i="13" s="1"/>
  <c r="O219" i="13" s="1"/>
  <c r="Q219" i="13" s="1"/>
  <c r="R219" i="13" s="1"/>
  <c r="J180" i="14"/>
  <c r="L180" i="14" s="1"/>
  <c r="M180" i="14" s="1"/>
  <c r="N180" i="14" s="1"/>
  <c r="O180" i="14" s="1"/>
  <c r="P180" i="14" s="1"/>
  <c r="M219" i="18"/>
  <c r="N219" i="18"/>
  <c r="K219" i="18"/>
  <c r="D126" i="9"/>
  <c r="I218" i="18"/>
  <c r="K218" i="18" s="1"/>
  <c r="L218" i="14"/>
  <c r="M218" i="14" s="1"/>
  <c r="N218" i="14" s="1"/>
  <c r="O218" i="14" s="1"/>
  <c r="P218" i="14" s="1"/>
  <c r="L213" i="13"/>
  <c r="N213" i="13" s="1"/>
  <c r="O213" i="13" s="1"/>
  <c r="Q213" i="13" s="1"/>
  <c r="R213" i="13" s="1"/>
  <c r="L177" i="13"/>
  <c r="N177" i="13" s="1"/>
  <c r="O177" i="13" s="1"/>
  <c r="Q177" i="13" s="1"/>
  <c r="R177" i="13" s="1"/>
  <c r="L190" i="14"/>
  <c r="M190" i="14" s="1"/>
  <c r="N190" i="14" s="1"/>
  <c r="O190" i="14" s="1"/>
  <c r="P190" i="14" s="1"/>
  <c r="L216" i="13"/>
  <c r="L214" i="14"/>
  <c r="M214" i="14" s="1"/>
  <c r="N214" i="14" s="1"/>
  <c r="O214" i="14" s="1"/>
  <c r="P214" i="14" s="1"/>
  <c r="Y209" i="8"/>
  <c r="Z209" i="8" s="1"/>
  <c r="Y186" i="8"/>
  <c r="Z186" i="8" s="1"/>
  <c r="Y115" i="8"/>
  <c r="Z115" i="8" s="1"/>
  <c r="D148" i="9"/>
  <c r="L192" i="13"/>
  <c r="M192" i="13" s="1"/>
  <c r="L191" i="13"/>
  <c r="M191" i="13" s="1"/>
  <c r="L183" i="13"/>
  <c r="M183" i="13" s="1"/>
  <c r="L189" i="13"/>
  <c r="N189" i="13" s="1"/>
  <c r="O189" i="13" s="1"/>
  <c r="Q189" i="13" s="1"/>
  <c r="R189" i="13" s="1"/>
  <c r="L196" i="13"/>
  <c r="L195" i="13"/>
  <c r="N195" i="13" s="1"/>
  <c r="O195" i="13" s="1"/>
  <c r="Q195" i="13" s="1"/>
  <c r="R195" i="13" s="1"/>
  <c r="L181" i="13"/>
  <c r="M181" i="13" s="1"/>
  <c r="L204" i="13"/>
  <c r="M204" i="13" s="1"/>
  <c r="N107" i="13"/>
  <c r="O107" i="13" s="1"/>
  <c r="Q107" i="13" s="1"/>
  <c r="R107" i="13" s="1"/>
  <c r="J111" i="14"/>
  <c r="L111" i="14" s="1"/>
  <c r="M111" i="14" s="1"/>
  <c r="N111" i="14" s="1"/>
  <c r="O111" i="14" s="1"/>
  <c r="P111" i="14" s="1"/>
  <c r="M207" i="13"/>
  <c r="K214" i="18"/>
  <c r="AA214" i="13"/>
  <c r="M214" i="18"/>
  <c r="Y171" i="8"/>
  <c r="Z171" i="8" s="1"/>
  <c r="Y182" i="8"/>
  <c r="Z182" i="8" s="1"/>
  <c r="Y37" i="8"/>
  <c r="Z37" i="8" s="1"/>
  <c r="Y204" i="8"/>
  <c r="Z204" i="8" s="1"/>
  <c r="L171" i="13"/>
  <c r="N171" i="13" s="1"/>
  <c r="O171" i="13" s="1"/>
  <c r="Q171" i="13" s="1"/>
  <c r="R171" i="13" s="1"/>
  <c r="L212" i="13"/>
  <c r="L200" i="13"/>
  <c r="N200" i="13" s="1"/>
  <c r="O200" i="13" s="1"/>
  <c r="Q200" i="13" s="1"/>
  <c r="R200" i="13" s="1"/>
  <c r="L163" i="13"/>
  <c r="N163" i="13" s="1"/>
  <c r="O163" i="13" s="1"/>
  <c r="Q163" i="13" s="1"/>
  <c r="R163" i="13" s="1"/>
  <c r="L198" i="13"/>
  <c r="N198" i="13" s="1"/>
  <c r="O198" i="13" s="1"/>
  <c r="Q198" i="13" s="1"/>
  <c r="R198" i="13" s="1"/>
  <c r="Z111" i="13"/>
  <c r="X111" i="14" s="1"/>
  <c r="J137" i="14"/>
  <c r="L137" i="14" s="1"/>
  <c r="M137" i="14" s="1"/>
  <c r="N137" i="14" s="1"/>
  <c r="O137" i="14" s="1"/>
  <c r="P137" i="14" s="1"/>
  <c r="M165" i="13"/>
  <c r="N212" i="18"/>
  <c r="M212" i="18"/>
  <c r="L212" i="14"/>
  <c r="M212" i="14" s="1"/>
  <c r="N212" i="14" s="1"/>
  <c r="O212" i="14" s="1"/>
  <c r="P212" i="14" s="1"/>
  <c r="AB211" i="13"/>
  <c r="Y211" i="14"/>
  <c r="N210" i="18"/>
  <c r="K210" i="18"/>
  <c r="L210" i="14"/>
  <c r="M210" i="14" s="1"/>
  <c r="N210" i="14" s="1"/>
  <c r="O210" i="14" s="1"/>
  <c r="P210" i="14" s="1"/>
  <c r="K209" i="18"/>
  <c r="N209" i="18"/>
  <c r="AA209" i="13"/>
  <c r="L209" i="14"/>
  <c r="M209" i="14" s="1"/>
  <c r="N209" i="14" s="1"/>
  <c r="O209" i="14" s="1"/>
  <c r="P209" i="14" s="1"/>
  <c r="M209" i="18"/>
  <c r="L208" i="13"/>
  <c r="AC207" i="13"/>
  <c r="Z207" i="14"/>
  <c r="I206" i="18"/>
  <c r="K206" i="18" s="1"/>
  <c r="Y206" i="8"/>
  <c r="Z206" i="8" s="1"/>
  <c r="L206" i="14"/>
  <c r="M206" i="14" s="1"/>
  <c r="N206" i="14" s="1"/>
  <c r="O206" i="14" s="1"/>
  <c r="P206" i="14" s="1"/>
  <c r="K124" i="18"/>
  <c r="K117" i="18"/>
  <c r="I204" i="18"/>
  <c r="K204" i="18" s="1"/>
  <c r="L204" i="14"/>
  <c r="M204" i="14" s="1"/>
  <c r="N204" i="14" s="1"/>
  <c r="O204" i="14" s="1"/>
  <c r="P204" i="14" s="1"/>
  <c r="M203" i="13"/>
  <c r="K202" i="18"/>
  <c r="N202" i="18"/>
  <c r="L202" i="14"/>
  <c r="M202" i="14" s="1"/>
  <c r="N202" i="14" s="1"/>
  <c r="O202" i="14" s="1"/>
  <c r="P202" i="14" s="1"/>
  <c r="L202" i="13"/>
  <c r="M201" i="18"/>
  <c r="N201" i="18"/>
  <c r="K201" i="18"/>
  <c r="L201" i="14"/>
  <c r="M201" i="14" s="1"/>
  <c r="N201" i="14" s="1"/>
  <c r="O201" i="14" s="1"/>
  <c r="P201" i="14" s="1"/>
  <c r="M197" i="18"/>
  <c r="I198" i="18"/>
  <c r="K198" i="18" s="1"/>
  <c r="L198" i="14"/>
  <c r="M198" i="14" s="1"/>
  <c r="N198" i="14" s="1"/>
  <c r="O198" i="14" s="1"/>
  <c r="P198" i="14" s="1"/>
  <c r="N197" i="18"/>
  <c r="L197" i="14"/>
  <c r="M197" i="14" s="1"/>
  <c r="N197" i="14" s="1"/>
  <c r="O197" i="14" s="1"/>
  <c r="P197" i="14" s="1"/>
  <c r="L197" i="13"/>
  <c r="K197" i="18"/>
  <c r="L196" i="14"/>
  <c r="M196" i="14" s="1"/>
  <c r="N196" i="14" s="1"/>
  <c r="O196" i="14" s="1"/>
  <c r="P196" i="14" s="1"/>
  <c r="K194" i="18"/>
  <c r="M194" i="18"/>
  <c r="M195" i="18"/>
  <c r="L195" i="14"/>
  <c r="M195" i="14" s="1"/>
  <c r="N195" i="14" s="1"/>
  <c r="O195" i="14" s="1"/>
  <c r="P195" i="14" s="1"/>
  <c r="N195" i="18"/>
  <c r="L194" i="18"/>
  <c r="L194" i="14"/>
  <c r="M194" i="14" s="1"/>
  <c r="N194" i="14" s="1"/>
  <c r="O194" i="14" s="1"/>
  <c r="P194" i="14" s="1"/>
  <c r="K153" i="18"/>
  <c r="L93" i="18"/>
  <c r="N120" i="18"/>
  <c r="D147" i="9"/>
  <c r="D94" i="9"/>
  <c r="L182" i="13"/>
  <c r="N182" i="13" s="1"/>
  <c r="O182" i="13" s="1"/>
  <c r="Q182" i="13" s="1"/>
  <c r="R182" i="13" s="1"/>
  <c r="L176" i="13"/>
  <c r="N176" i="13" s="1"/>
  <c r="O176" i="13" s="1"/>
  <c r="Q176" i="13" s="1"/>
  <c r="R176" i="13" s="1"/>
  <c r="L175" i="13"/>
  <c r="N175" i="13" s="1"/>
  <c r="O175" i="13" s="1"/>
  <c r="Q175" i="13" s="1"/>
  <c r="R175" i="13" s="1"/>
  <c r="L169" i="13"/>
  <c r="M169" i="13" s="1"/>
  <c r="Y155" i="8"/>
  <c r="Z155" i="8" s="1"/>
  <c r="Y137" i="8"/>
  <c r="Z137" i="8" s="1"/>
  <c r="D154" i="9"/>
  <c r="L168" i="14"/>
  <c r="M168" i="14" s="1"/>
  <c r="N168" i="14" s="1"/>
  <c r="O168" i="14" s="1"/>
  <c r="P168" i="14" s="1"/>
  <c r="L163" i="14"/>
  <c r="M163" i="14" s="1"/>
  <c r="N163" i="14" s="1"/>
  <c r="O163" i="14" s="1"/>
  <c r="P163" i="14" s="1"/>
  <c r="L190" i="13"/>
  <c r="K190" i="18"/>
  <c r="L188" i="13"/>
  <c r="M188" i="13" s="1"/>
  <c r="L188" i="14"/>
  <c r="M188" i="14" s="1"/>
  <c r="N188" i="14" s="1"/>
  <c r="O188" i="14" s="1"/>
  <c r="P188" i="14" s="1"/>
  <c r="I188" i="18"/>
  <c r="K188" i="18" s="1"/>
  <c r="K187" i="18"/>
  <c r="N187" i="18"/>
  <c r="L187" i="14"/>
  <c r="M187" i="14" s="1"/>
  <c r="N187" i="14" s="1"/>
  <c r="O187" i="14" s="1"/>
  <c r="P187" i="14" s="1"/>
  <c r="Y187" i="8"/>
  <c r="Z187" i="8" s="1"/>
  <c r="L187" i="13"/>
  <c r="AB186" i="13"/>
  <c r="AC186" i="13" s="1"/>
  <c r="AD186" i="13" s="1"/>
  <c r="Y186" i="14"/>
  <c r="L186" i="14"/>
  <c r="M186" i="14" s="1"/>
  <c r="N186" i="14" s="1"/>
  <c r="O186" i="14" s="1"/>
  <c r="P186" i="14" s="1"/>
  <c r="I186" i="18"/>
  <c r="K186" i="18" s="1"/>
  <c r="Z186" i="14"/>
  <c r="AB185" i="13"/>
  <c r="Y185" i="14"/>
  <c r="AB184" i="13"/>
  <c r="Y184" i="14"/>
  <c r="K182" i="18"/>
  <c r="L182" i="14"/>
  <c r="M182" i="14" s="1"/>
  <c r="N182" i="14" s="1"/>
  <c r="O182" i="14" s="1"/>
  <c r="P182" i="14" s="1"/>
  <c r="N182" i="18"/>
  <c r="L174" i="14"/>
  <c r="M174" i="14" s="1"/>
  <c r="N174" i="14" s="1"/>
  <c r="O174" i="14" s="1"/>
  <c r="P174" i="14" s="1"/>
  <c r="I174" i="18"/>
  <c r="K174" i="18" s="1"/>
  <c r="M180" i="18"/>
  <c r="K180" i="18"/>
  <c r="AA180" i="13"/>
  <c r="L167" i="13"/>
  <c r="N167" i="13" s="1"/>
  <c r="O167" i="13" s="1"/>
  <c r="Q167" i="13" s="1"/>
  <c r="R167" i="13" s="1"/>
  <c r="L150" i="13"/>
  <c r="N150" i="13" s="1"/>
  <c r="O150" i="13" s="1"/>
  <c r="Q150" i="13" s="1"/>
  <c r="R150" i="13" s="1"/>
  <c r="L179" i="13"/>
  <c r="M178" i="18"/>
  <c r="K178" i="18"/>
  <c r="AA178" i="13"/>
  <c r="L178" i="14"/>
  <c r="M178" i="14" s="1"/>
  <c r="N178" i="14" s="1"/>
  <c r="O178" i="14" s="1"/>
  <c r="P178" i="14" s="1"/>
  <c r="N178" i="18"/>
  <c r="L72" i="13"/>
  <c r="N72" i="13" s="1"/>
  <c r="O72" i="13" s="1"/>
  <c r="Q72" i="13" s="1"/>
  <c r="R72" i="13" s="1"/>
  <c r="L168" i="13"/>
  <c r="M168" i="13" s="1"/>
  <c r="I173" i="18"/>
  <c r="K173" i="18" s="1"/>
  <c r="M161" i="13"/>
  <c r="N173" i="13"/>
  <c r="O173" i="13" s="1"/>
  <c r="Q173" i="13" s="1"/>
  <c r="R173" i="13" s="1"/>
  <c r="M173" i="13"/>
  <c r="J173" i="14"/>
  <c r="L173" i="14" s="1"/>
  <c r="M173" i="14" s="1"/>
  <c r="N173" i="14" s="1"/>
  <c r="O173" i="14" s="1"/>
  <c r="P173" i="14" s="1"/>
  <c r="K171" i="18"/>
  <c r="L171" i="18"/>
  <c r="L171" i="14"/>
  <c r="M171" i="14" s="1"/>
  <c r="N171" i="14" s="1"/>
  <c r="O171" i="14" s="1"/>
  <c r="P171" i="14" s="1"/>
  <c r="M171" i="18"/>
  <c r="AC170" i="13"/>
  <c r="AA170" i="14" s="1"/>
  <c r="AB170" i="14" s="1"/>
  <c r="Z170" i="14"/>
  <c r="M168" i="18"/>
  <c r="K168" i="18"/>
  <c r="N167" i="18"/>
  <c r="L167" i="14"/>
  <c r="M167" i="14" s="1"/>
  <c r="N167" i="14" s="1"/>
  <c r="O167" i="14" s="1"/>
  <c r="P167" i="14" s="1"/>
  <c r="K167" i="18"/>
  <c r="M167" i="18"/>
  <c r="L136" i="13"/>
  <c r="N136" i="13" s="1"/>
  <c r="O136" i="13" s="1"/>
  <c r="Q136" i="13" s="1"/>
  <c r="R136" i="13" s="1"/>
  <c r="Z95" i="13"/>
  <c r="X95" i="14" s="1"/>
  <c r="N105" i="13"/>
  <c r="O105" i="13" s="1"/>
  <c r="Q105" i="13" s="1"/>
  <c r="R105" i="13" s="1"/>
  <c r="I166" i="18"/>
  <c r="K166" i="18" s="1"/>
  <c r="L166" i="14"/>
  <c r="M166" i="14" s="1"/>
  <c r="N166" i="14" s="1"/>
  <c r="O166" i="14" s="1"/>
  <c r="P166" i="14" s="1"/>
  <c r="D140" i="9"/>
  <c r="L166" i="13"/>
  <c r="Y164" i="8"/>
  <c r="Z164" i="8" s="1"/>
  <c r="L159" i="13"/>
  <c r="N159" i="13" s="1"/>
  <c r="O159" i="13" s="1"/>
  <c r="Q159" i="13" s="1"/>
  <c r="R159" i="13" s="1"/>
  <c r="AB137" i="13"/>
  <c r="Z137" i="14" s="1"/>
  <c r="Z137" i="13"/>
  <c r="X137" i="14" s="1"/>
  <c r="AB165" i="13"/>
  <c r="Y165" i="14"/>
  <c r="M164" i="18"/>
  <c r="N164" i="18"/>
  <c r="K164" i="18"/>
  <c r="M163" i="18"/>
  <c r="AA164" i="13"/>
  <c r="N163" i="18"/>
  <c r="K163" i="18"/>
  <c r="AA162" i="13"/>
  <c r="AB162" i="13" s="1"/>
  <c r="AB161" i="13"/>
  <c r="Y161" i="14"/>
  <c r="Y138" i="8"/>
  <c r="Z138" i="8" s="1"/>
  <c r="Y129" i="8"/>
  <c r="Z129" i="8" s="1"/>
  <c r="L160" i="13"/>
  <c r="N160" i="13" s="1"/>
  <c r="O160" i="13" s="1"/>
  <c r="Q160" i="13" s="1"/>
  <c r="R160" i="13" s="1"/>
  <c r="L156" i="13"/>
  <c r="N156" i="13" s="1"/>
  <c r="O156" i="13" s="1"/>
  <c r="Q156" i="13" s="1"/>
  <c r="R156" i="13" s="1"/>
  <c r="AA152" i="13"/>
  <c r="AB152" i="13" s="1"/>
  <c r="AC152" i="13" s="1"/>
  <c r="AD152" i="13" s="1"/>
  <c r="AA120" i="13"/>
  <c r="AB120" i="13" s="1"/>
  <c r="AC120" i="13" s="1"/>
  <c r="AA120" i="14" s="1"/>
  <c r="M56" i="13"/>
  <c r="M120" i="13"/>
  <c r="L152" i="13"/>
  <c r="M152" i="13" s="1"/>
  <c r="Y158" i="8"/>
  <c r="Z158" i="8" s="1"/>
  <c r="L157" i="13"/>
  <c r="N157" i="13" s="1"/>
  <c r="O157" i="13" s="1"/>
  <c r="Q157" i="13" s="1"/>
  <c r="R157" i="13" s="1"/>
  <c r="AA158" i="13"/>
  <c r="AB158" i="13" s="1"/>
  <c r="Z158" i="14" s="1"/>
  <c r="J95" i="14"/>
  <c r="L95" i="14" s="1"/>
  <c r="M95" i="14" s="1"/>
  <c r="N95" i="14" s="1"/>
  <c r="O95" i="14" s="1"/>
  <c r="P95" i="14" s="1"/>
  <c r="K160" i="18"/>
  <c r="L160" i="14"/>
  <c r="M160" i="14" s="1"/>
  <c r="N160" i="14" s="1"/>
  <c r="O160" i="14" s="1"/>
  <c r="P160" i="14" s="1"/>
  <c r="K158" i="18"/>
  <c r="M158" i="18"/>
  <c r="N158" i="13"/>
  <c r="O158" i="13" s="1"/>
  <c r="Q158" i="13" s="1"/>
  <c r="R158" i="13" s="1"/>
  <c r="M158" i="13"/>
  <c r="J158" i="14"/>
  <c r="L158" i="14" s="1"/>
  <c r="M158" i="14" s="1"/>
  <c r="N158" i="14" s="1"/>
  <c r="O158" i="14" s="1"/>
  <c r="P158" i="14" s="1"/>
  <c r="N156" i="18"/>
  <c r="N157" i="18"/>
  <c r="L157" i="14"/>
  <c r="M157" i="14" s="1"/>
  <c r="N157" i="14" s="1"/>
  <c r="O157" i="14" s="1"/>
  <c r="P157" i="14" s="1"/>
  <c r="M157" i="18"/>
  <c r="L156" i="14"/>
  <c r="M156" i="14" s="1"/>
  <c r="N156" i="14" s="1"/>
  <c r="O156" i="14" s="1"/>
  <c r="P156" i="14" s="1"/>
  <c r="M156" i="18"/>
  <c r="K156" i="18"/>
  <c r="L145" i="13"/>
  <c r="N145" i="13" s="1"/>
  <c r="O145" i="13" s="1"/>
  <c r="Q145" i="13" s="1"/>
  <c r="R145" i="13" s="1"/>
  <c r="L153" i="13"/>
  <c r="N153" i="13" s="1"/>
  <c r="O153" i="13" s="1"/>
  <c r="Q153" i="13" s="1"/>
  <c r="R153" i="13" s="1"/>
  <c r="L69" i="13"/>
  <c r="N69" i="13" s="1"/>
  <c r="O69" i="13" s="1"/>
  <c r="Q69" i="13" s="1"/>
  <c r="R69" i="13" s="1"/>
  <c r="L131" i="13"/>
  <c r="N131" i="13" s="1"/>
  <c r="O131" i="13" s="1"/>
  <c r="Q131" i="13" s="1"/>
  <c r="R131" i="13" s="1"/>
  <c r="L140" i="13"/>
  <c r="N140" i="13" s="1"/>
  <c r="O140" i="13" s="1"/>
  <c r="Q140" i="13" s="1"/>
  <c r="R140" i="13" s="1"/>
  <c r="N155" i="13"/>
  <c r="O155" i="13" s="1"/>
  <c r="Q155" i="13" s="1"/>
  <c r="R155" i="13" s="1"/>
  <c r="M155" i="13"/>
  <c r="J155" i="14"/>
  <c r="L155" i="14" s="1"/>
  <c r="M155" i="14" s="1"/>
  <c r="N155" i="14" s="1"/>
  <c r="O155" i="14" s="1"/>
  <c r="P155" i="14" s="1"/>
  <c r="N155" i="18"/>
  <c r="K155" i="18"/>
  <c r="M155" i="18"/>
  <c r="AA121" i="13"/>
  <c r="AB121" i="13" s="1"/>
  <c r="J79" i="14"/>
  <c r="L79" i="14" s="1"/>
  <c r="M79" i="14" s="1"/>
  <c r="N79" i="14" s="1"/>
  <c r="O79" i="14" s="1"/>
  <c r="P79" i="14" s="1"/>
  <c r="N153" i="18"/>
  <c r="AB154" i="13"/>
  <c r="Y154" i="14"/>
  <c r="Y78" i="8"/>
  <c r="Z78" i="8" s="1"/>
  <c r="D83" i="9"/>
  <c r="D124" i="9"/>
  <c r="L128" i="13"/>
  <c r="M128" i="13" s="1"/>
  <c r="L98" i="13"/>
  <c r="N98" i="13" s="1"/>
  <c r="O98" i="13" s="1"/>
  <c r="Q98" i="13" s="1"/>
  <c r="R98" i="13" s="1"/>
  <c r="L114" i="13"/>
  <c r="M114" i="13" s="1"/>
  <c r="L148" i="13"/>
  <c r="AA109" i="13"/>
  <c r="Y109" i="14" s="1"/>
  <c r="L149" i="14"/>
  <c r="M149" i="14" s="1"/>
  <c r="N149" i="14" s="1"/>
  <c r="O149" i="14" s="1"/>
  <c r="P149" i="14" s="1"/>
  <c r="N86" i="13"/>
  <c r="O86" i="13" s="1"/>
  <c r="Q86" i="13" s="1"/>
  <c r="R86" i="13" s="1"/>
  <c r="M153" i="18"/>
  <c r="L153" i="14"/>
  <c r="M153" i="14" s="1"/>
  <c r="N153" i="14" s="1"/>
  <c r="O153" i="14" s="1"/>
  <c r="P153" i="14" s="1"/>
  <c r="Y79" i="8"/>
  <c r="Z79" i="8" s="1"/>
  <c r="D101" i="9"/>
  <c r="L142" i="13"/>
  <c r="N142" i="13" s="1"/>
  <c r="O142" i="13" s="1"/>
  <c r="Q142" i="13" s="1"/>
  <c r="R142" i="13" s="1"/>
  <c r="L151" i="13"/>
  <c r="M70" i="13"/>
  <c r="J118" i="14"/>
  <c r="L118" i="14" s="1"/>
  <c r="M118" i="14" s="1"/>
  <c r="N118" i="14" s="1"/>
  <c r="O118" i="14" s="1"/>
  <c r="P118" i="14" s="1"/>
  <c r="M147" i="13"/>
  <c r="I152" i="18"/>
  <c r="K152" i="18" s="1"/>
  <c r="L152" i="14"/>
  <c r="M152" i="14" s="1"/>
  <c r="N152" i="14" s="1"/>
  <c r="O152" i="14" s="1"/>
  <c r="P152" i="14" s="1"/>
  <c r="Y152" i="14"/>
  <c r="Y114" i="8"/>
  <c r="Z114" i="8" s="1"/>
  <c r="Y142" i="8"/>
  <c r="Z142" i="8" s="1"/>
  <c r="Y149" i="8"/>
  <c r="Z149" i="8" s="1"/>
  <c r="Y145" i="8"/>
  <c r="Z145" i="8" s="1"/>
  <c r="D68" i="9"/>
  <c r="D67" i="9"/>
  <c r="L126" i="13"/>
  <c r="M126" i="13" s="1"/>
  <c r="L115" i="13"/>
  <c r="M115" i="13" s="1"/>
  <c r="L141" i="13"/>
  <c r="N141" i="13" s="1"/>
  <c r="O141" i="13" s="1"/>
  <c r="Q141" i="13" s="1"/>
  <c r="R141" i="13" s="1"/>
  <c r="L68" i="13"/>
  <c r="M68" i="13" s="1"/>
  <c r="AB143" i="13"/>
  <c r="AC143" i="13" s="1"/>
  <c r="AA143" i="14" s="1"/>
  <c r="AB143" i="14" s="1"/>
  <c r="L130" i="13"/>
  <c r="N130" i="13" s="1"/>
  <c r="O130" i="13" s="1"/>
  <c r="Q130" i="13" s="1"/>
  <c r="R130" i="13" s="1"/>
  <c r="L117" i="14"/>
  <c r="M117" i="14" s="1"/>
  <c r="N117" i="14" s="1"/>
  <c r="O117" i="14" s="1"/>
  <c r="P117" i="14" s="1"/>
  <c r="J66" i="14"/>
  <c r="L66" i="14" s="1"/>
  <c r="M66" i="14" s="1"/>
  <c r="N66" i="14" s="1"/>
  <c r="O66" i="14" s="1"/>
  <c r="P66" i="14" s="1"/>
  <c r="M66" i="13"/>
  <c r="N116" i="13"/>
  <c r="O116" i="13" s="1"/>
  <c r="Q116" i="13" s="1"/>
  <c r="R116" i="13" s="1"/>
  <c r="M118" i="13"/>
  <c r="M121" i="13"/>
  <c r="I150" i="18"/>
  <c r="K150" i="18" s="1"/>
  <c r="L150" i="14"/>
  <c r="M150" i="14" s="1"/>
  <c r="N150" i="14" s="1"/>
  <c r="O150" i="14" s="1"/>
  <c r="P150" i="14" s="1"/>
  <c r="L139" i="14"/>
  <c r="M139" i="14" s="1"/>
  <c r="N139" i="14" s="1"/>
  <c r="O139" i="14" s="1"/>
  <c r="P139" i="14" s="1"/>
  <c r="J143" i="14"/>
  <c r="L143" i="14" s="1"/>
  <c r="M143" i="14" s="1"/>
  <c r="N143" i="14" s="1"/>
  <c r="O143" i="14" s="1"/>
  <c r="P143" i="14" s="1"/>
  <c r="L149" i="13"/>
  <c r="K149" i="18"/>
  <c r="AA147" i="13"/>
  <c r="Y88" i="8"/>
  <c r="Z88" i="8" s="1"/>
  <c r="D92" i="9"/>
  <c r="D85" i="9"/>
  <c r="L82" i="13"/>
  <c r="N82" i="13" s="1"/>
  <c r="O82" i="13" s="1"/>
  <c r="Q82" i="13" s="1"/>
  <c r="R82" i="13" s="1"/>
  <c r="L134" i="13"/>
  <c r="N134" i="13" s="1"/>
  <c r="O134" i="13" s="1"/>
  <c r="Q134" i="13" s="1"/>
  <c r="R134" i="13" s="1"/>
  <c r="L99" i="13"/>
  <c r="N99" i="13" s="1"/>
  <c r="O99" i="13" s="1"/>
  <c r="Q99" i="13" s="1"/>
  <c r="R99" i="13" s="1"/>
  <c r="L113" i="13"/>
  <c r="N113" i="13" s="1"/>
  <c r="O113" i="13" s="1"/>
  <c r="Q113" i="13" s="1"/>
  <c r="R113" i="13" s="1"/>
  <c r="L127" i="13"/>
  <c r="N127" i="13" s="1"/>
  <c r="O127" i="13" s="1"/>
  <c r="Q127" i="13" s="1"/>
  <c r="R127" i="13" s="1"/>
  <c r="L46" i="13"/>
  <c r="N46" i="13" s="1"/>
  <c r="O46" i="13" s="1"/>
  <c r="Q46" i="13" s="1"/>
  <c r="R46" i="13" s="1"/>
  <c r="L135" i="13"/>
  <c r="M135" i="13" s="1"/>
  <c r="L145" i="14"/>
  <c r="M145" i="14" s="1"/>
  <c r="N145" i="14" s="1"/>
  <c r="O145" i="14" s="1"/>
  <c r="P145" i="14" s="1"/>
  <c r="N78" i="13"/>
  <c r="O78" i="13" s="1"/>
  <c r="Q78" i="13" s="1"/>
  <c r="R78" i="13" s="1"/>
  <c r="J78" i="14"/>
  <c r="L78" i="14" s="1"/>
  <c r="M78" i="14" s="1"/>
  <c r="N78" i="14" s="1"/>
  <c r="O78" i="14" s="1"/>
  <c r="P78" i="14" s="1"/>
  <c r="N146" i="13"/>
  <c r="O146" i="13" s="1"/>
  <c r="Q146" i="13" s="1"/>
  <c r="R146" i="13" s="1"/>
  <c r="M146" i="13"/>
  <c r="J146" i="14"/>
  <c r="L146" i="14" s="1"/>
  <c r="M146" i="14" s="1"/>
  <c r="N146" i="14" s="1"/>
  <c r="O146" i="14" s="1"/>
  <c r="P146" i="14" s="1"/>
  <c r="I146" i="18"/>
  <c r="K146" i="18" s="1"/>
  <c r="AB95" i="13"/>
  <c r="AC95" i="13" s="1"/>
  <c r="AA95" i="14" s="1"/>
  <c r="AB95" i="14" s="1"/>
  <c r="K145" i="18"/>
  <c r="Y113" i="8"/>
  <c r="Z113" i="8" s="1"/>
  <c r="Y134" i="8"/>
  <c r="Z134" i="8" s="1"/>
  <c r="D64" i="9"/>
  <c r="D75" i="9"/>
  <c r="L123" i="13"/>
  <c r="N123" i="13" s="1"/>
  <c r="O123" i="13" s="1"/>
  <c r="Q123" i="13" s="1"/>
  <c r="R123" i="13" s="1"/>
  <c r="L112" i="13"/>
  <c r="M112" i="13" s="1"/>
  <c r="L100" i="13"/>
  <c r="M100" i="13" s="1"/>
  <c r="L104" i="13"/>
  <c r="M104" i="13" s="1"/>
  <c r="L110" i="13"/>
  <c r="N110" i="13" s="1"/>
  <c r="O110" i="13" s="1"/>
  <c r="Q110" i="13" s="1"/>
  <c r="R110" i="13" s="1"/>
  <c r="L122" i="13"/>
  <c r="N122" i="13" s="1"/>
  <c r="O122" i="13" s="1"/>
  <c r="Q122" i="13" s="1"/>
  <c r="R122" i="13" s="1"/>
  <c r="L135" i="14"/>
  <c r="M135" i="14" s="1"/>
  <c r="N135" i="14" s="1"/>
  <c r="O135" i="14" s="1"/>
  <c r="P135" i="14" s="1"/>
  <c r="L40" i="14"/>
  <c r="M40" i="14" s="1"/>
  <c r="N40" i="14" s="1"/>
  <c r="O40" i="14" s="1"/>
  <c r="P40" i="14" s="1"/>
  <c r="L35" i="14"/>
  <c r="M35" i="14" s="1"/>
  <c r="N35" i="14" s="1"/>
  <c r="O35" i="14" s="1"/>
  <c r="P35" i="14" s="1"/>
  <c r="J120" i="14"/>
  <c r="L120" i="14" s="1"/>
  <c r="M120" i="14" s="1"/>
  <c r="N120" i="14" s="1"/>
  <c r="O120" i="14" s="1"/>
  <c r="P120" i="14" s="1"/>
  <c r="N83" i="18"/>
  <c r="L144" i="13"/>
  <c r="M143" i="13"/>
  <c r="N143" i="13"/>
  <c r="O143" i="13" s="1"/>
  <c r="Q143" i="13" s="1"/>
  <c r="R143" i="13" s="1"/>
  <c r="K143" i="18"/>
  <c r="Z143" i="13"/>
  <c r="X143" i="14" s="1"/>
  <c r="N142" i="18"/>
  <c r="L142" i="14"/>
  <c r="M142" i="14" s="1"/>
  <c r="N142" i="14" s="1"/>
  <c r="O142" i="14" s="1"/>
  <c r="P142" i="14" s="1"/>
  <c r="M142" i="18"/>
  <c r="K142" i="18"/>
  <c r="M139" i="18"/>
  <c r="L139" i="18"/>
  <c r="K139" i="18"/>
  <c r="AA139" i="13"/>
  <c r="Y139" i="8"/>
  <c r="Z139" i="8" s="1"/>
  <c r="K138" i="18"/>
  <c r="X138" i="14"/>
  <c r="AB138" i="13"/>
  <c r="AC138" i="13" s="1"/>
  <c r="AA138" i="14" s="1"/>
  <c r="Y138" i="14"/>
  <c r="L138" i="14"/>
  <c r="M138" i="14" s="1"/>
  <c r="N138" i="14" s="1"/>
  <c r="O138" i="14" s="1"/>
  <c r="P138" i="14" s="1"/>
  <c r="N138" i="18"/>
  <c r="Z138" i="14"/>
  <c r="L136" i="14"/>
  <c r="M136" i="14" s="1"/>
  <c r="N136" i="14" s="1"/>
  <c r="O136" i="14" s="1"/>
  <c r="P136" i="14" s="1"/>
  <c r="L131" i="14"/>
  <c r="M131" i="14" s="1"/>
  <c r="N131" i="14" s="1"/>
  <c r="O131" i="14" s="1"/>
  <c r="P131" i="14" s="1"/>
  <c r="N137" i="13"/>
  <c r="O137" i="13" s="1"/>
  <c r="Q137" i="13" s="1"/>
  <c r="R137" i="13" s="1"/>
  <c r="I137" i="18"/>
  <c r="K137" i="18" s="1"/>
  <c r="I136" i="18"/>
  <c r="K136" i="18" s="1"/>
  <c r="Y136" i="8"/>
  <c r="Z136" i="8" s="1"/>
  <c r="I135" i="18"/>
  <c r="K135" i="18" s="1"/>
  <c r="Y135" i="8"/>
  <c r="Z135" i="8" s="1"/>
  <c r="I134" i="18"/>
  <c r="K134" i="18" s="1"/>
  <c r="L134" i="14"/>
  <c r="M134" i="14" s="1"/>
  <c r="N134" i="14" s="1"/>
  <c r="O134" i="14" s="1"/>
  <c r="P134" i="14" s="1"/>
  <c r="I133" i="18"/>
  <c r="K133" i="18" s="1"/>
  <c r="L133" i="13"/>
  <c r="L133" i="14"/>
  <c r="M133" i="14" s="1"/>
  <c r="N133" i="14" s="1"/>
  <c r="O133" i="14" s="1"/>
  <c r="P133" i="14" s="1"/>
  <c r="L132" i="14"/>
  <c r="M132" i="14" s="1"/>
  <c r="N132" i="14" s="1"/>
  <c r="O132" i="14" s="1"/>
  <c r="P132" i="14" s="1"/>
  <c r="L132" i="13"/>
  <c r="I132" i="18"/>
  <c r="K132" i="18" s="1"/>
  <c r="I131" i="18"/>
  <c r="K131" i="18" s="1"/>
  <c r="L117" i="13"/>
  <c r="M117" i="13" s="1"/>
  <c r="L96" i="13"/>
  <c r="N96" i="13" s="1"/>
  <c r="O96" i="13" s="1"/>
  <c r="Q96" i="13" s="1"/>
  <c r="R96" i="13" s="1"/>
  <c r="L83" i="13"/>
  <c r="M83" i="13" s="1"/>
  <c r="L124" i="14"/>
  <c r="M124" i="14" s="1"/>
  <c r="N124" i="14" s="1"/>
  <c r="O124" i="14" s="1"/>
  <c r="P124" i="14" s="1"/>
  <c r="L130" i="14"/>
  <c r="M130" i="14" s="1"/>
  <c r="N130" i="14" s="1"/>
  <c r="O130" i="14" s="1"/>
  <c r="P130" i="14" s="1"/>
  <c r="I130" i="18"/>
  <c r="K130" i="18" s="1"/>
  <c r="L129" i="13"/>
  <c r="N129" i="18"/>
  <c r="L129" i="14"/>
  <c r="M129" i="14" s="1"/>
  <c r="N129" i="14" s="1"/>
  <c r="O129" i="14" s="1"/>
  <c r="P129" i="14" s="1"/>
  <c r="M129" i="18"/>
  <c r="M127" i="18"/>
  <c r="K127" i="18"/>
  <c r="L127" i="14"/>
  <c r="M127" i="14" s="1"/>
  <c r="N127" i="14" s="1"/>
  <c r="O127" i="14" s="1"/>
  <c r="P127" i="14" s="1"/>
  <c r="N127" i="18"/>
  <c r="I126" i="18"/>
  <c r="K126" i="18" s="1"/>
  <c r="L126" i="14"/>
  <c r="M126" i="14" s="1"/>
  <c r="N126" i="14" s="1"/>
  <c r="O126" i="14" s="1"/>
  <c r="P126" i="14" s="1"/>
  <c r="L35" i="13"/>
  <c r="N35" i="13" s="1"/>
  <c r="O35" i="13" s="1"/>
  <c r="Q35" i="13" s="1"/>
  <c r="R35" i="13" s="1"/>
  <c r="I35" i="18"/>
  <c r="K35" i="18" s="1"/>
  <c r="L125" i="13"/>
  <c r="L124" i="13"/>
  <c r="M124" i="13" s="1"/>
  <c r="AA124" i="13"/>
  <c r="N124" i="18"/>
  <c r="Y124" i="8"/>
  <c r="Z124" i="8" s="1"/>
  <c r="M124" i="18"/>
  <c r="M120" i="18"/>
  <c r="K120" i="18"/>
  <c r="L119" i="13"/>
  <c r="AA118" i="13"/>
  <c r="K118" i="18"/>
  <c r="N118" i="18"/>
  <c r="N117" i="18"/>
  <c r="M117" i="18"/>
  <c r="Y117" i="8"/>
  <c r="Z117" i="8" s="1"/>
  <c r="AA116" i="13"/>
  <c r="AB116" i="13" s="1"/>
  <c r="K114" i="18"/>
  <c r="L115" i="14"/>
  <c r="M115" i="14" s="1"/>
  <c r="N115" i="14" s="1"/>
  <c r="O115" i="14" s="1"/>
  <c r="P115" i="14" s="1"/>
  <c r="I115" i="18"/>
  <c r="K115" i="18" s="1"/>
  <c r="M114" i="18"/>
  <c r="L114" i="18"/>
  <c r="L114" i="14"/>
  <c r="M114" i="14" s="1"/>
  <c r="N114" i="14" s="1"/>
  <c r="O114" i="14" s="1"/>
  <c r="P114" i="14" s="1"/>
  <c r="L113" i="14"/>
  <c r="M113" i="14" s="1"/>
  <c r="N113" i="14" s="1"/>
  <c r="O113" i="14" s="1"/>
  <c r="P113" i="14" s="1"/>
  <c r="I113" i="18"/>
  <c r="K113" i="18" s="1"/>
  <c r="N95" i="13"/>
  <c r="O95" i="13" s="1"/>
  <c r="Q95" i="13" s="1"/>
  <c r="R95" i="13" s="1"/>
  <c r="M95" i="13"/>
  <c r="L112" i="14"/>
  <c r="M112" i="14" s="1"/>
  <c r="N112" i="14" s="1"/>
  <c r="O112" i="14" s="1"/>
  <c r="P112" i="14" s="1"/>
  <c r="I112" i="18"/>
  <c r="K112" i="18" s="1"/>
  <c r="AB111" i="13"/>
  <c r="AC111" i="13" s="1"/>
  <c r="AD111" i="13" s="1"/>
  <c r="Y111" i="14"/>
  <c r="Y96" i="8"/>
  <c r="Z96" i="8" s="1"/>
  <c r="D69" i="9"/>
  <c r="L106" i="13"/>
  <c r="M106" i="13" s="1"/>
  <c r="L103" i="13"/>
  <c r="M103" i="13" s="1"/>
  <c r="M111" i="13"/>
  <c r="I111" i="18"/>
  <c r="K111" i="18" s="1"/>
  <c r="I109" i="18"/>
  <c r="K109" i="18" s="1"/>
  <c r="M109" i="13"/>
  <c r="N109" i="13"/>
  <c r="O109" i="13" s="1"/>
  <c r="Q109" i="13" s="1"/>
  <c r="R109" i="13" s="1"/>
  <c r="J109" i="14"/>
  <c r="L109" i="14" s="1"/>
  <c r="M109" i="14" s="1"/>
  <c r="N109" i="14" s="1"/>
  <c r="O109" i="14" s="1"/>
  <c r="P109" i="14" s="1"/>
  <c r="L108" i="13"/>
  <c r="AA107" i="13"/>
  <c r="Y76" i="8"/>
  <c r="Z76" i="8" s="1"/>
  <c r="D38" i="9"/>
  <c r="D56" i="9"/>
  <c r="L102" i="13"/>
  <c r="N102" i="13" s="1"/>
  <c r="O102" i="13" s="1"/>
  <c r="Q102" i="13" s="1"/>
  <c r="R102" i="13" s="1"/>
  <c r="L81" i="13"/>
  <c r="N81" i="13" s="1"/>
  <c r="O81" i="13" s="1"/>
  <c r="Q81" i="13" s="1"/>
  <c r="R81" i="13" s="1"/>
  <c r="AA79" i="13"/>
  <c r="AB79" i="13" s="1"/>
  <c r="AC79" i="13" s="1"/>
  <c r="AA79" i="14" s="1"/>
  <c r="L67" i="14"/>
  <c r="M67" i="14" s="1"/>
  <c r="N67" i="14" s="1"/>
  <c r="O67" i="14" s="1"/>
  <c r="P67" i="14" s="1"/>
  <c r="L98" i="14"/>
  <c r="M98" i="14" s="1"/>
  <c r="N98" i="14" s="1"/>
  <c r="O98" i="14" s="1"/>
  <c r="P98" i="14" s="1"/>
  <c r="Y98" i="8"/>
  <c r="Z98" i="8" s="1"/>
  <c r="AC105" i="13"/>
  <c r="Z105" i="14"/>
  <c r="M104" i="18"/>
  <c r="K104" i="18"/>
  <c r="L104" i="14"/>
  <c r="M104" i="14" s="1"/>
  <c r="N104" i="14" s="1"/>
  <c r="O104" i="14" s="1"/>
  <c r="P104" i="14" s="1"/>
  <c r="L103" i="14"/>
  <c r="M103" i="14" s="1"/>
  <c r="N103" i="14" s="1"/>
  <c r="O103" i="14" s="1"/>
  <c r="P103" i="14" s="1"/>
  <c r="N100" i="18"/>
  <c r="L102" i="14"/>
  <c r="M102" i="14" s="1"/>
  <c r="N102" i="14" s="1"/>
  <c r="O102" i="14" s="1"/>
  <c r="P102" i="14" s="1"/>
  <c r="I102" i="18"/>
  <c r="K102" i="18" s="1"/>
  <c r="I101" i="18"/>
  <c r="K101" i="18" s="1"/>
  <c r="Z101" i="14"/>
  <c r="K100" i="18"/>
  <c r="M100" i="18"/>
  <c r="D49" i="9"/>
  <c r="L97" i="13"/>
  <c r="N97" i="13" s="1"/>
  <c r="O97" i="13" s="1"/>
  <c r="Q97" i="13" s="1"/>
  <c r="R97" i="13" s="1"/>
  <c r="L71" i="13"/>
  <c r="N71" i="13" s="1"/>
  <c r="O71" i="13" s="1"/>
  <c r="Q71" i="13" s="1"/>
  <c r="R71" i="13" s="1"/>
  <c r="G31" i="14"/>
  <c r="L96" i="14"/>
  <c r="M96" i="14" s="1"/>
  <c r="N96" i="14" s="1"/>
  <c r="O96" i="14" s="1"/>
  <c r="P96" i="14" s="1"/>
  <c r="L83" i="14"/>
  <c r="M83" i="14" s="1"/>
  <c r="N83" i="14" s="1"/>
  <c r="O83" i="14" s="1"/>
  <c r="P83" i="14" s="1"/>
  <c r="L99" i="14"/>
  <c r="M99" i="14" s="1"/>
  <c r="N99" i="14" s="1"/>
  <c r="O99" i="14" s="1"/>
  <c r="P99" i="14" s="1"/>
  <c r="J61" i="14"/>
  <c r="L61" i="14" s="1"/>
  <c r="M61" i="14" s="1"/>
  <c r="N61" i="14" s="1"/>
  <c r="O61" i="14" s="1"/>
  <c r="P61" i="14" s="1"/>
  <c r="M87" i="13"/>
  <c r="L100" i="14"/>
  <c r="M100" i="14" s="1"/>
  <c r="N100" i="14" s="1"/>
  <c r="O100" i="14" s="1"/>
  <c r="P100" i="14" s="1"/>
  <c r="M89" i="13"/>
  <c r="N99" i="18"/>
  <c r="K99" i="18"/>
  <c r="M99" i="18"/>
  <c r="N96" i="18"/>
  <c r="M96" i="18"/>
  <c r="M98" i="18"/>
  <c r="N98" i="18"/>
  <c r="K98" i="18"/>
  <c r="K95" i="18"/>
  <c r="K94" i="18"/>
  <c r="N94" i="18"/>
  <c r="Z94" i="14"/>
  <c r="L94" i="14"/>
  <c r="M94" i="14" s="1"/>
  <c r="N94" i="14" s="1"/>
  <c r="O94" i="14" s="1"/>
  <c r="P94" i="14" s="1"/>
  <c r="Y94" i="14"/>
  <c r="AA94" i="14"/>
  <c r="AB93" i="13"/>
  <c r="AC93" i="13" s="1"/>
  <c r="AA93" i="14" s="1"/>
  <c r="Y93" i="14"/>
  <c r="X93" i="14"/>
  <c r="M93" i="18"/>
  <c r="K93" i="18"/>
  <c r="L93" i="14"/>
  <c r="M93" i="14" s="1"/>
  <c r="N93" i="14" s="1"/>
  <c r="O93" i="14" s="1"/>
  <c r="P93" i="14" s="1"/>
  <c r="AA92" i="13"/>
  <c r="AB92" i="13" s="1"/>
  <c r="L91" i="13"/>
  <c r="AA78" i="13"/>
  <c r="AB78" i="13" s="1"/>
  <c r="AC78" i="13" s="1"/>
  <c r="AA78" i="14" s="1"/>
  <c r="I90" i="18"/>
  <c r="K90" i="18" s="1"/>
  <c r="N90" i="13"/>
  <c r="O90" i="13" s="1"/>
  <c r="Q90" i="13" s="1"/>
  <c r="R90" i="13" s="1"/>
  <c r="M90" i="13"/>
  <c r="J90" i="14"/>
  <c r="L90" i="14" s="1"/>
  <c r="M90" i="14" s="1"/>
  <c r="N90" i="14" s="1"/>
  <c r="O90" i="14" s="1"/>
  <c r="P90" i="14" s="1"/>
  <c r="N79" i="13"/>
  <c r="O79" i="13" s="1"/>
  <c r="Q79" i="13" s="1"/>
  <c r="R79" i="13" s="1"/>
  <c r="M79" i="13"/>
  <c r="Y71" i="8"/>
  <c r="Z71" i="8" s="1"/>
  <c r="D23" i="9"/>
  <c r="D28" i="9"/>
  <c r="D29" i="9"/>
  <c r="L84" i="13"/>
  <c r="N84" i="13" s="1"/>
  <c r="O84" i="13" s="1"/>
  <c r="Q84" i="13" s="1"/>
  <c r="R84" i="13" s="1"/>
  <c r="L80" i="13"/>
  <c r="N80" i="13" s="1"/>
  <c r="O80" i="13" s="1"/>
  <c r="Q80" i="13" s="1"/>
  <c r="R80" i="13" s="1"/>
  <c r="L63" i="13"/>
  <c r="N63" i="13" s="1"/>
  <c r="O63" i="13" s="1"/>
  <c r="Q63" i="13" s="1"/>
  <c r="R63" i="13" s="1"/>
  <c r="L75" i="13"/>
  <c r="M75" i="13" s="1"/>
  <c r="L55" i="13"/>
  <c r="M55" i="13" s="1"/>
  <c r="L62" i="13"/>
  <c r="N62" i="13" s="1"/>
  <c r="O62" i="13" s="1"/>
  <c r="Q62" i="13" s="1"/>
  <c r="R62" i="13" s="1"/>
  <c r="L76" i="13"/>
  <c r="N76" i="13" s="1"/>
  <c r="O76" i="13" s="1"/>
  <c r="Q76" i="13" s="1"/>
  <c r="R76" i="13" s="1"/>
  <c r="AB49" i="13"/>
  <c r="Z49" i="14" s="1"/>
  <c r="Z49" i="13"/>
  <c r="X49" i="14" s="1"/>
  <c r="L82" i="14"/>
  <c r="M82" i="14" s="1"/>
  <c r="N82" i="14" s="1"/>
  <c r="O82" i="14" s="1"/>
  <c r="P82" i="14" s="1"/>
  <c r="L69" i="14"/>
  <c r="M69" i="14" s="1"/>
  <c r="N69" i="14" s="1"/>
  <c r="O69" i="14" s="1"/>
  <c r="P69" i="14" s="1"/>
  <c r="M73" i="13"/>
  <c r="AB89" i="13"/>
  <c r="Y89" i="14"/>
  <c r="L88" i="14"/>
  <c r="M88" i="14" s="1"/>
  <c r="N88" i="14" s="1"/>
  <c r="O88" i="14" s="1"/>
  <c r="P88" i="14" s="1"/>
  <c r="Y66" i="8"/>
  <c r="Z66" i="8" s="1"/>
  <c r="Y45" i="8"/>
  <c r="Z45" i="8" s="1"/>
  <c r="L74" i="13"/>
  <c r="N74" i="13" s="1"/>
  <c r="O74" i="13" s="1"/>
  <c r="Q74" i="13" s="1"/>
  <c r="R74" i="13" s="1"/>
  <c r="L85" i="13"/>
  <c r="I88" i="18"/>
  <c r="K88" i="18" s="1"/>
  <c r="Z88" i="14"/>
  <c r="AA88" i="14"/>
  <c r="AB88" i="14" s="1"/>
  <c r="L82" i="18"/>
  <c r="K82" i="18"/>
  <c r="AB87" i="13"/>
  <c r="Y87" i="14"/>
  <c r="M83" i="18"/>
  <c r="M82" i="18"/>
  <c r="L83" i="18"/>
  <c r="AA86" i="13"/>
  <c r="AB86" i="13" s="1"/>
  <c r="I80" i="18"/>
  <c r="K80" i="18" s="1"/>
  <c r="L80" i="14"/>
  <c r="M80" i="14" s="1"/>
  <c r="N80" i="14" s="1"/>
  <c r="O80" i="14" s="1"/>
  <c r="P80" i="14" s="1"/>
  <c r="K79" i="18"/>
  <c r="N79" i="18"/>
  <c r="M78" i="18"/>
  <c r="K78" i="18"/>
  <c r="AB77" i="13"/>
  <c r="Y77" i="14"/>
  <c r="M75" i="18"/>
  <c r="L76" i="18"/>
  <c r="K76" i="18"/>
  <c r="M76" i="18"/>
  <c r="L75" i="18"/>
  <c r="L75" i="14"/>
  <c r="M75" i="14" s="1"/>
  <c r="N75" i="14" s="1"/>
  <c r="O75" i="14" s="1"/>
  <c r="P75" i="14" s="1"/>
  <c r="AC73" i="13"/>
  <c r="Z73" i="14"/>
  <c r="M71" i="18"/>
  <c r="K71" i="18"/>
  <c r="L71" i="18"/>
  <c r="L71" i="14"/>
  <c r="M71" i="14" s="1"/>
  <c r="N71" i="14" s="1"/>
  <c r="O71" i="14" s="1"/>
  <c r="P71" i="14" s="1"/>
  <c r="Y39" i="8"/>
  <c r="Z39" i="8" s="1"/>
  <c r="L67" i="13"/>
  <c r="N67" i="13" s="1"/>
  <c r="O67" i="13" s="1"/>
  <c r="Q67" i="13" s="1"/>
  <c r="R67" i="13" s="1"/>
  <c r="L37" i="13"/>
  <c r="N37" i="13" s="1"/>
  <c r="O37" i="13" s="1"/>
  <c r="Q37" i="13" s="1"/>
  <c r="R37" i="13" s="1"/>
  <c r="T31" i="14"/>
  <c r="U31" i="14"/>
  <c r="AA61" i="13"/>
  <c r="Y61" i="14" s="1"/>
  <c r="J39" i="14"/>
  <c r="L39" i="14" s="1"/>
  <c r="M39" i="14" s="1"/>
  <c r="N39" i="14" s="1"/>
  <c r="O39" i="14" s="1"/>
  <c r="P39" i="14" s="1"/>
  <c r="M61" i="13"/>
  <c r="AC70" i="13"/>
  <c r="AA70" i="14" s="1"/>
  <c r="AB70" i="14" s="1"/>
  <c r="Z70" i="14"/>
  <c r="I69" i="18"/>
  <c r="K69" i="18" s="1"/>
  <c r="L53" i="13"/>
  <c r="N53" i="13" s="1"/>
  <c r="O53" i="13" s="1"/>
  <c r="Q53" i="13" s="1"/>
  <c r="R53" i="13" s="1"/>
  <c r="L45" i="13"/>
  <c r="M45" i="13" s="1"/>
  <c r="L36" i="13"/>
  <c r="N36" i="13" s="1"/>
  <c r="O36" i="13" s="1"/>
  <c r="Q36" i="13" s="1"/>
  <c r="R36" i="13" s="1"/>
  <c r="K31" i="14"/>
  <c r="I31" i="14"/>
  <c r="L37" i="14"/>
  <c r="M37" i="14" s="1"/>
  <c r="N37" i="14" s="1"/>
  <c r="O37" i="14" s="1"/>
  <c r="P37" i="14" s="1"/>
  <c r="K37" i="18"/>
  <c r="M37" i="18"/>
  <c r="N37" i="18"/>
  <c r="I67" i="18"/>
  <c r="K67" i="18" s="1"/>
  <c r="K66" i="18"/>
  <c r="D18" i="9"/>
  <c r="D33" i="9"/>
  <c r="D35" i="9"/>
  <c r="L59" i="13"/>
  <c r="N59" i="13" s="1"/>
  <c r="O59" i="13" s="1"/>
  <c r="Q59" i="13" s="1"/>
  <c r="R59" i="13" s="1"/>
  <c r="L41" i="13"/>
  <c r="N41" i="13" s="1"/>
  <c r="O41" i="13" s="1"/>
  <c r="Q41" i="13" s="1"/>
  <c r="R41" i="13" s="1"/>
  <c r="L60" i="13"/>
  <c r="N60" i="13" s="1"/>
  <c r="O60" i="13" s="1"/>
  <c r="Q60" i="13" s="1"/>
  <c r="R60" i="13" s="1"/>
  <c r="Z39" i="13"/>
  <c r="X39" i="14" s="1"/>
  <c r="AA66" i="13"/>
  <c r="N66" i="18"/>
  <c r="M66" i="18"/>
  <c r="N65" i="13"/>
  <c r="O65" i="13" s="1"/>
  <c r="Q65" i="13" s="1"/>
  <c r="R65" i="13" s="1"/>
  <c r="M65" i="13"/>
  <c r="I65" i="18"/>
  <c r="K65" i="18" s="1"/>
  <c r="J65" i="14"/>
  <c r="L65" i="14" s="1"/>
  <c r="M65" i="14" s="1"/>
  <c r="N65" i="14" s="1"/>
  <c r="O65" i="14" s="1"/>
  <c r="P65" i="14" s="1"/>
  <c r="Y65" i="8"/>
  <c r="Z65" i="8" s="1"/>
  <c r="AB64" i="13"/>
  <c r="AC64" i="13" s="1"/>
  <c r="Y64" i="14"/>
  <c r="Z64" i="13"/>
  <c r="X64" i="14" s="1"/>
  <c r="K64" i="18"/>
  <c r="L64" i="13"/>
  <c r="L64" i="14"/>
  <c r="M64" i="14" s="1"/>
  <c r="N64" i="14" s="1"/>
  <c r="O64" i="14" s="1"/>
  <c r="P64" i="14" s="1"/>
  <c r="I61" i="18"/>
  <c r="K61" i="18" s="1"/>
  <c r="L59" i="14"/>
  <c r="M59" i="14" s="1"/>
  <c r="N59" i="14" s="1"/>
  <c r="O59" i="14" s="1"/>
  <c r="P59" i="14" s="1"/>
  <c r="I59" i="18"/>
  <c r="K59" i="18" s="1"/>
  <c r="AB58" i="13"/>
  <c r="Y58" i="14"/>
  <c r="N58" i="13"/>
  <c r="O58" i="13" s="1"/>
  <c r="Q58" i="13" s="1"/>
  <c r="R58" i="13" s="1"/>
  <c r="M58" i="13"/>
  <c r="AB57" i="13"/>
  <c r="Y57" i="14"/>
  <c r="AC56" i="13"/>
  <c r="AA56" i="14" s="1"/>
  <c r="AB56" i="14" s="1"/>
  <c r="Z56" i="14"/>
  <c r="L54" i="14"/>
  <c r="M54" i="14" s="1"/>
  <c r="N54" i="14" s="1"/>
  <c r="O54" i="14" s="1"/>
  <c r="P54" i="14" s="1"/>
  <c r="L55" i="14"/>
  <c r="M55" i="14" s="1"/>
  <c r="N55" i="14" s="1"/>
  <c r="O55" i="14" s="1"/>
  <c r="P55" i="14" s="1"/>
  <c r="I55" i="18"/>
  <c r="K55" i="18" s="1"/>
  <c r="Y53" i="8"/>
  <c r="Z53" i="8" s="1"/>
  <c r="L51" i="13"/>
  <c r="N51" i="13" s="1"/>
  <c r="O51" i="13" s="1"/>
  <c r="Q51" i="13" s="1"/>
  <c r="R51" i="13" s="1"/>
  <c r="L43" i="13"/>
  <c r="N43" i="13" s="1"/>
  <c r="O43" i="13" s="1"/>
  <c r="Q43" i="13" s="1"/>
  <c r="R43" i="13" s="1"/>
  <c r="M38" i="13"/>
  <c r="I54" i="18"/>
  <c r="K54" i="18" s="1"/>
  <c r="Z54" i="14"/>
  <c r="Y54" i="14"/>
  <c r="AA54" i="14"/>
  <c r="AB54" i="14" s="1"/>
  <c r="I53" i="18"/>
  <c r="K53" i="18" s="1"/>
  <c r="L53" i="14"/>
  <c r="M53" i="14" s="1"/>
  <c r="N53" i="14" s="1"/>
  <c r="O53" i="14" s="1"/>
  <c r="P53" i="14" s="1"/>
  <c r="AA52" i="13"/>
  <c r="M47" i="13"/>
  <c r="J49" i="14"/>
  <c r="L49" i="14" s="1"/>
  <c r="M49" i="14" s="1"/>
  <c r="N49" i="14" s="1"/>
  <c r="O49" i="14" s="1"/>
  <c r="P49" i="14" s="1"/>
  <c r="L50" i="13"/>
  <c r="M39" i="13"/>
  <c r="M48" i="13"/>
  <c r="I49" i="18"/>
  <c r="K49" i="18" s="1"/>
  <c r="M49" i="13"/>
  <c r="N49" i="13"/>
  <c r="O49" i="13" s="1"/>
  <c r="Q49" i="13" s="1"/>
  <c r="R49" i="13" s="1"/>
  <c r="AC48" i="13"/>
  <c r="AA48" i="14" s="1"/>
  <c r="AB48" i="14" s="1"/>
  <c r="Z48" i="14"/>
  <c r="AC47" i="13"/>
  <c r="AA47" i="14" s="1"/>
  <c r="AB47" i="14" s="1"/>
  <c r="Z47" i="14"/>
  <c r="L42" i="13"/>
  <c r="M42" i="13" s="1"/>
  <c r="L40" i="13"/>
  <c r="N40" i="13" s="1"/>
  <c r="O40" i="13" s="1"/>
  <c r="Q40" i="13" s="1"/>
  <c r="R40" i="13" s="1"/>
  <c r="L34" i="13"/>
  <c r="N34" i="13" s="1"/>
  <c r="AB39" i="13"/>
  <c r="AC39" i="13" s="1"/>
  <c r="AD39" i="13" s="1"/>
  <c r="L36" i="14"/>
  <c r="M36" i="14" s="1"/>
  <c r="N36" i="14" s="1"/>
  <c r="O36" i="14" s="1"/>
  <c r="P36" i="14" s="1"/>
  <c r="I45" i="18"/>
  <c r="K45" i="18" s="1"/>
  <c r="L45" i="14"/>
  <c r="M45" i="14" s="1"/>
  <c r="N45" i="14" s="1"/>
  <c r="O45" i="14" s="1"/>
  <c r="P45" i="14" s="1"/>
  <c r="L44" i="14"/>
  <c r="M44" i="14" s="1"/>
  <c r="N44" i="14" s="1"/>
  <c r="O44" i="14" s="1"/>
  <c r="P44" i="14" s="1"/>
  <c r="I44" i="18"/>
  <c r="K44" i="18" s="1"/>
  <c r="Z44" i="14"/>
  <c r="K40" i="18"/>
  <c r="I36" i="18"/>
  <c r="K36" i="18" s="1"/>
  <c r="H33" i="14"/>
  <c r="I39" i="18"/>
  <c r="K39" i="18" s="1"/>
  <c r="AB38" i="13"/>
  <c r="Y38" i="14"/>
  <c r="A33" i="14"/>
  <c r="W31" i="14"/>
  <c r="I33" i="14"/>
  <c r="E33" i="14"/>
  <c r="U33" i="14"/>
  <c r="K33" i="14"/>
  <c r="S33" i="14"/>
  <c r="V33" i="14"/>
  <c r="G33" i="14"/>
  <c r="T33" i="14"/>
  <c r="J33" i="14"/>
  <c r="H33" i="8"/>
  <c r="Z33" i="8"/>
  <c r="I32" i="18"/>
  <c r="K32" i="18" s="1"/>
  <c r="I34" i="18"/>
  <c r="S31" i="14"/>
  <c r="A31" i="14"/>
  <c r="E31" i="14"/>
  <c r="H31" i="14"/>
  <c r="A31" i="18"/>
  <c r="B31" i="18"/>
  <c r="C31" i="18"/>
  <c r="D31" i="18"/>
  <c r="G33" i="18"/>
  <c r="C33" i="18"/>
  <c r="D33" i="18"/>
  <c r="B33" i="18"/>
  <c r="U32" i="14"/>
  <c r="C32" i="14"/>
  <c r="B32" i="14"/>
  <c r="D32" i="14"/>
  <c r="C31" i="8"/>
  <c r="B31" i="8"/>
  <c r="C31" i="19" s="1"/>
  <c r="D31" i="8"/>
  <c r="E31" i="19" s="1"/>
  <c r="D33" i="8"/>
  <c r="E33" i="19" s="1"/>
  <c r="C33" i="8"/>
  <c r="B33" i="8"/>
  <c r="C33" i="19" s="1"/>
  <c r="D32" i="8"/>
  <c r="E32" i="19" s="1"/>
  <c r="C32" i="8"/>
  <c r="B32" i="8"/>
  <c r="C32" i="19" s="1"/>
  <c r="D32" i="13"/>
  <c r="B32" i="13"/>
  <c r="C32" i="13"/>
  <c r="C31" i="14"/>
  <c r="D31" i="14"/>
  <c r="B31" i="14"/>
  <c r="D33" i="14"/>
  <c r="B33" i="14"/>
  <c r="C33" i="14"/>
  <c r="U31" i="8"/>
  <c r="I31" i="19" s="1"/>
  <c r="X31" i="8"/>
  <c r="U33" i="8"/>
  <c r="I33" i="19" s="1"/>
  <c r="X33" i="8"/>
  <c r="U32" i="8"/>
  <c r="I32" i="19" s="1"/>
  <c r="X32" i="8"/>
  <c r="I31" i="8"/>
  <c r="O31" i="8" s="1"/>
  <c r="O501" i="8" s="1"/>
  <c r="G31" i="8"/>
  <c r="H31" i="19" s="1"/>
  <c r="A33" i="18"/>
  <c r="G31" i="18"/>
  <c r="K31" i="8"/>
  <c r="J31" i="8"/>
  <c r="G33" i="8"/>
  <c r="K33" i="8"/>
  <c r="L31" i="8"/>
  <c r="I33" i="8"/>
  <c r="L33" i="8"/>
  <c r="E31" i="8"/>
  <c r="F31" i="19" s="1"/>
  <c r="H31" i="8"/>
  <c r="E33" i="8"/>
  <c r="J33" i="8"/>
  <c r="M32" i="8"/>
  <c r="M31" i="8"/>
  <c r="M33" i="8"/>
  <c r="I32" i="14"/>
  <c r="H32" i="14"/>
  <c r="J32" i="13"/>
  <c r="J32" i="14" s="1"/>
  <c r="E32" i="13"/>
  <c r="H31" i="18"/>
  <c r="H33" i="18"/>
  <c r="E31" i="18"/>
  <c r="J31" i="18" s="1"/>
  <c r="E33" i="18"/>
  <c r="J33" i="18" s="1"/>
  <c r="V32" i="13"/>
  <c r="Z32" i="13" s="1"/>
  <c r="X32" i="14" s="1"/>
  <c r="G32" i="13"/>
  <c r="J32" i="8"/>
  <c r="E32" i="8"/>
  <c r="A32" i="13"/>
  <c r="L32" i="8"/>
  <c r="I32" i="8"/>
  <c r="H32" i="13"/>
  <c r="G32" i="8"/>
  <c r="K32" i="8"/>
  <c r="C6" i="9"/>
  <c r="U32" i="13"/>
  <c r="AG32" i="13" s="1"/>
  <c r="H32" i="8"/>
  <c r="G32" i="14"/>
  <c r="V32" i="14"/>
  <c r="K34" i="18"/>
  <c r="T32" i="14"/>
  <c r="K32" i="14"/>
  <c r="W32" i="14"/>
  <c r="S32" i="14"/>
  <c r="A32" i="14"/>
  <c r="N33" i="13"/>
  <c r="O33" i="13" s="1"/>
  <c r="Q33" i="13" s="1"/>
  <c r="R33" i="13" s="1"/>
  <c r="Z172" i="13"/>
  <c r="X172" i="14" s="1"/>
  <c r="Z82" i="13"/>
  <c r="X82" i="14" s="1"/>
  <c r="AA193" i="13"/>
  <c r="Z193" i="13"/>
  <c r="X193" i="14" s="1"/>
  <c r="AA160" i="13"/>
  <c r="Z160" i="13"/>
  <c r="X160" i="14" s="1"/>
  <c r="Z273" i="13"/>
  <c r="X273" i="14" s="1"/>
  <c r="AA273" i="13"/>
  <c r="Z278" i="13"/>
  <c r="X278" i="14" s="1"/>
  <c r="Z59" i="13"/>
  <c r="X59" i="14" s="1"/>
  <c r="AA59" i="13"/>
  <c r="AA144" i="13"/>
  <c r="Z144" i="13"/>
  <c r="X144" i="14" s="1"/>
  <c r="Z188" i="13"/>
  <c r="X188" i="14" s="1"/>
  <c r="AA188" i="13"/>
  <c r="Z263" i="13"/>
  <c r="X263" i="14" s="1"/>
  <c r="Z53" i="13"/>
  <c r="X53" i="14" s="1"/>
  <c r="AA53" i="13"/>
  <c r="AA112" i="13"/>
  <c r="Z112" i="13"/>
  <c r="X112" i="14" s="1"/>
  <c r="AA146" i="13"/>
  <c r="Z146" i="13"/>
  <c r="X146" i="14" s="1"/>
  <c r="AA45" i="13"/>
  <c r="Z45" i="13"/>
  <c r="X45" i="14" s="1"/>
  <c r="AA192" i="13"/>
  <c r="Z192" i="13"/>
  <c r="X192" i="14" s="1"/>
  <c r="Z119" i="13"/>
  <c r="X119" i="14" s="1"/>
  <c r="Z142" i="13"/>
  <c r="X142" i="14" s="1"/>
  <c r="Z208" i="13"/>
  <c r="X208" i="14" s="1"/>
  <c r="AA239" i="13"/>
  <c r="Z239" i="13"/>
  <c r="X239" i="14" s="1"/>
  <c r="AA240" i="13"/>
  <c r="Z240" i="13"/>
  <c r="X240" i="14" s="1"/>
  <c r="Z201" i="13"/>
  <c r="X201" i="14" s="1"/>
  <c r="Z127" i="13"/>
  <c r="X127" i="14" s="1"/>
  <c r="Z71" i="13"/>
  <c r="X71" i="14" s="1"/>
  <c r="Z220" i="13"/>
  <c r="X220" i="14" s="1"/>
  <c r="AA150" i="13"/>
  <c r="Z150" i="13"/>
  <c r="X150" i="14" s="1"/>
  <c r="AA253" i="13"/>
  <c r="Z253" i="13"/>
  <c r="X253" i="14" s="1"/>
  <c r="Z250" i="13"/>
  <c r="X250" i="14" s="1"/>
  <c r="AA250" i="13"/>
  <c r="Z104" i="13"/>
  <c r="X104" i="14" s="1"/>
  <c r="Z83" i="13"/>
  <c r="X83" i="14" s="1"/>
  <c r="Z221" i="13"/>
  <c r="X221" i="14" s="1"/>
  <c r="Z168" i="13"/>
  <c r="X168" i="14" s="1"/>
  <c r="Z187" i="13"/>
  <c r="X187" i="14" s="1"/>
  <c r="Z62" i="13"/>
  <c r="X62" i="14" s="1"/>
  <c r="Z156" i="13"/>
  <c r="X156" i="14" s="1"/>
  <c r="Z110" i="13"/>
  <c r="X110" i="14" s="1"/>
  <c r="AA110" i="13"/>
  <c r="AA60" i="13"/>
  <c r="Z60" i="13"/>
  <c r="X60" i="14" s="1"/>
  <c r="Z43" i="13"/>
  <c r="X43" i="14" s="1"/>
  <c r="Z157" i="13"/>
  <c r="X157" i="14" s="1"/>
  <c r="AA257" i="13"/>
  <c r="Z257" i="13"/>
  <c r="X257" i="14" s="1"/>
  <c r="AA130" i="13"/>
  <c r="Z130" i="13"/>
  <c r="X130" i="14" s="1"/>
  <c r="Z153" i="13"/>
  <c r="X153" i="14" s="1"/>
  <c r="AA36" i="13"/>
  <c r="AA251" i="13"/>
  <c r="AA132" i="13"/>
  <c r="AA51" i="13"/>
  <c r="Z51" i="13"/>
  <c r="X51" i="14" s="1"/>
  <c r="Z229" i="13"/>
  <c r="X229" i="14" s="1"/>
  <c r="AA229" i="13"/>
  <c r="Z202" i="13"/>
  <c r="X202" i="14" s="1"/>
  <c r="Z84" i="13"/>
  <c r="X84" i="14" s="1"/>
  <c r="Z212" i="13"/>
  <c r="X212" i="14" s="1"/>
  <c r="AA272" i="13"/>
  <c r="Z272" i="13"/>
  <c r="X272" i="14" s="1"/>
  <c r="AA261" i="13"/>
  <c r="Z261" i="13"/>
  <c r="X261" i="14" s="1"/>
  <c r="Z134" i="13"/>
  <c r="X134" i="14" s="1"/>
  <c r="AA134" i="13"/>
  <c r="AA235" i="13"/>
  <c r="Z235" i="13"/>
  <c r="X235" i="14" s="1"/>
  <c r="Z80" i="13"/>
  <c r="X80" i="14" s="1"/>
  <c r="AA80" i="13"/>
  <c r="Z227" i="13"/>
  <c r="X227" i="14" s="1"/>
  <c r="AA115" i="13"/>
  <c r="Z115" i="13"/>
  <c r="X115" i="14" s="1"/>
  <c r="Z97" i="13"/>
  <c r="X97" i="14" s="1"/>
  <c r="AA63" i="13"/>
  <c r="Z63" i="13"/>
  <c r="X63" i="14" s="1"/>
  <c r="AA215" i="13"/>
  <c r="Z215" i="13"/>
  <c r="X215" i="14" s="1"/>
  <c r="Z216" i="13"/>
  <c r="X216" i="14" s="1"/>
  <c r="Z232" i="13"/>
  <c r="X232" i="14" s="1"/>
  <c r="AA232" i="13"/>
  <c r="Z243" i="13"/>
  <c r="X243" i="14" s="1"/>
  <c r="AA243" i="13"/>
  <c r="Z277" i="13"/>
  <c r="X277" i="14" s="1"/>
  <c r="AA277" i="13"/>
  <c r="Z100" i="13"/>
  <c r="X100" i="14" s="1"/>
  <c r="AA55" i="13"/>
  <c r="Z55" i="13"/>
  <c r="X55" i="14" s="1"/>
  <c r="AA213" i="13"/>
  <c r="Z213" i="13"/>
  <c r="X213" i="14" s="1"/>
  <c r="AA271" i="13"/>
  <c r="Z271" i="13"/>
  <c r="X271" i="14" s="1"/>
  <c r="Z50" i="13"/>
  <c r="X50" i="14" s="1"/>
  <c r="Z96" i="13"/>
  <c r="X96" i="14" s="1"/>
  <c r="Z37" i="13"/>
  <c r="X37" i="14" s="1"/>
  <c r="AA46" i="13"/>
  <c r="Z46" i="13"/>
  <c r="X46" i="14" s="1"/>
  <c r="Z179" i="13"/>
  <c r="X179" i="14" s="1"/>
  <c r="Z33" i="13"/>
  <c r="X33" i="14" s="1"/>
  <c r="AA133" i="13"/>
  <c r="Z133" i="13"/>
  <c r="X133" i="14" s="1"/>
  <c r="AA281" i="13"/>
  <c r="Z281" i="13"/>
  <c r="X281" i="14" s="1"/>
  <c r="AA81" i="13"/>
  <c r="Z81" i="13"/>
  <c r="X81" i="14" s="1"/>
  <c r="AA35" i="13"/>
  <c r="Z35" i="13"/>
  <c r="X35" i="14" s="1"/>
  <c r="Z169" i="13"/>
  <c r="X169" i="14" s="1"/>
  <c r="AA169" i="13"/>
  <c r="AA204" i="13"/>
  <c r="Z204" i="13"/>
  <c r="X204" i="14" s="1"/>
  <c r="Z114" i="13"/>
  <c r="X114" i="14" s="1"/>
  <c r="Z149" i="13"/>
  <c r="X149" i="14" s="1"/>
  <c r="Z140" i="13"/>
  <c r="X140" i="14" s="1"/>
  <c r="Z136" i="13"/>
  <c r="X136" i="14" s="1"/>
  <c r="Z155" i="13"/>
  <c r="X155" i="14" s="1"/>
  <c r="Z76" i="13"/>
  <c r="X76" i="14" s="1"/>
  <c r="Z159" i="13"/>
  <c r="X159" i="14" s="1"/>
  <c r="Z151" i="13"/>
  <c r="X151" i="14" s="1"/>
  <c r="Z254" i="13"/>
  <c r="X254" i="14" s="1"/>
  <c r="Z276" i="13"/>
  <c r="X276" i="14" s="1"/>
  <c r="AA225" i="13"/>
  <c r="Z225" i="13"/>
  <c r="X225" i="14" s="1"/>
  <c r="Z74" i="13"/>
  <c r="X74" i="14" s="1"/>
  <c r="Z91" i="13"/>
  <c r="X91" i="14" s="1"/>
  <c r="Z197" i="13"/>
  <c r="X197" i="14" s="1"/>
  <c r="AA264" i="13"/>
  <c r="Z264" i="13"/>
  <c r="X264" i="14" s="1"/>
  <c r="Z248" i="13"/>
  <c r="X248" i="14" s="1"/>
  <c r="AA65" i="13"/>
  <c r="Z65" i="13"/>
  <c r="X65" i="14" s="1"/>
  <c r="Z246" i="13"/>
  <c r="X246" i="14" s="1"/>
  <c r="Z123" i="13"/>
  <c r="X123" i="14" s="1"/>
  <c r="AA123" i="13"/>
  <c r="Z194" i="13"/>
  <c r="X194" i="14" s="1"/>
  <c r="Z167" i="13"/>
  <c r="X167" i="14" s="1"/>
  <c r="Z182" i="13"/>
  <c r="X182" i="14" s="1"/>
  <c r="Z113" i="13"/>
  <c r="X113" i="14" s="1"/>
  <c r="AA203" i="13"/>
  <c r="Z203" i="13"/>
  <c r="X203" i="14" s="1"/>
  <c r="AA67" i="13"/>
  <c r="Z67" i="13"/>
  <c r="X67" i="14" s="1"/>
  <c r="Z102" i="13"/>
  <c r="X102" i="14" s="1"/>
  <c r="AA102" i="13"/>
  <c r="AA90" i="13"/>
  <c r="Z90" i="13"/>
  <c r="X90" i="14" s="1"/>
  <c r="Z199" i="13"/>
  <c r="X199" i="14" s="1"/>
  <c r="AA199" i="13"/>
  <c r="Z245" i="13"/>
  <c r="X245" i="14" s="1"/>
  <c r="Z41" i="13"/>
  <c r="X41" i="14" s="1"/>
  <c r="Z228" i="13"/>
  <c r="X228" i="14" s="1"/>
  <c r="Z206" i="13"/>
  <c r="X206" i="14" s="1"/>
  <c r="AA206" i="13"/>
  <c r="Z183" i="13"/>
  <c r="X183" i="14" s="1"/>
  <c r="Z163" i="13"/>
  <c r="X163" i="14" s="1"/>
  <c r="Z125" i="13"/>
  <c r="X125" i="14" s="1"/>
  <c r="AA189" i="13"/>
  <c r="Z189" i="13"/>
  <c r="X189" i="14" s="1"/>
  <c r="Z108" i="13"/>
  <c r="X108" i="14" s="1"/>
  <c r="Z222" i="13"/>
  <c r="X222" i="14" s="1"/>
  <c r="AA72" i="13"/>
  <c r="Z72" i="13"/>
  <c r="X72" i="14" s="1"/>
  <c r="Z242" i="13"/>
  <c r="X242" i="14" s="1"/>
  <c r="AA242" i="13"/>
  <c r="AA177" i="13"/>
  <c r="Z177" i="13"/>
  <c r="X177" i="14" s="1"/>
  <c r="AA280" i="13"/>
  <c r="Z280" i="13"/>
  <c r="X280" i="14" s="1"/>
  <c r="AA166" i="13"/>
  <c r="Z166" i="13"/>
  <c r="X166" i="14" s="1"/>
  <c r="Z226" i="13"/>
  <c r="X226" i="14" s="1"/>
  <c r="AA173" i="13"/>
  <c r="Z173" i="13"/>
  <c r="X173" i="14" s="1"/>
  <c r="AA256" i="13"/>
  <c r="Z256" i="13"/>
  <c r="X256" i="14" s="1"/>
  <c r="Z285" i="13"/>
  <c r="X285" i="14" s="1"/>
  <c r="AB175" i="13"/>
  <c r="AA103" i="13"/>
  <c r="Z103" i="13"/>
  <c r="X103" i="14" s="1"/>
  <c r="Z148" i="13"/>
  <c r="X148" i="14" s="1"/>
  <c r="Z181" i="13"/>
  <c r="X181" i="14" s="1"/>
  <c r="AA218" i="13"/>
  <c r="Z218" i="13"/>
  <c r="X218" i="14" s="1"/>
  <c r="AA128" i="13"/>
  <c r="AA151" i="13"/>
  <c r="AA276" i="13"/>
  <c r="AA205" i="13"/>
  <c r="Z205" i="13"/>
  <c r="X205" i="14" s="1"/>
  <c r="Z171" i="13"/>
  <c r="X171" i="14" s="1"/>
  <c r="AB269" i="13"/>
  <c r="Z210" i="13"/>
  <c r="X210" i="14" s="1"/>
  <c r="AA126" i="13"/>
  <c r="Z126" i="13"/>
  <c r="X126" i="14" s="1"/>
  <c r="Z99" i="13"/>
  <c r="X99" i="14" s="1"/>
  <c r="Z234" i="13"/>
  <c r="X234" i="14" s="1"/>
  <c r="AA42" i="13"/>
  <c r="Z42" i="13"/>
  <c r="X42" i="14" s="1"/>
  <c r="AA274" i="13"/>
  <c r="Z274" i="13"/>
  <c r="X274" i="14" s="1"/>
  <c r="AA145" i="13"/>
  <c r="Z145" i="13"/>
  <c r="X145" i="14" s="1"/>
  <c r="Z255" i="13"/>
  <c r="X255" i="14" s="1"/>
  <c r="Z200" i="13"/>
  <c r="X200" i="14" s="1"/>
  <c r="AA233" i="13"/>
  <c r="Z233" i="13"/>
  <c r="X233" i="14" s="1"/>
  <c r="Z106" i="13"/>
  <c r="X106" i="14" s="1"/>
  <c r="AA191" i="13"/>
  <c r="Z191" i="13"/>
  <c r="X191" i="14" s="1"/>
  <c r="AA141" i="13"/>
  <c r="Z141" i="13"/>
  <c r="X141" i="14" s="1"/>
  <c r="Z75" i="13"/>
  <c r="X75" i="14" s="1"/>
  <c r="AA279" i="13"/>
  <c r="Z279" i="13"/>
  <c r="X279" i="14" s="1"/>
  <c r="Z176" i="13"/>
  <c r="X176" i="14" s="1"/>
  <c r="AA69" i="13"/>
  <c r="Z69" i="13"/>
  <c r="X69" i="14" s="1"/>
  <c r="Z259" i="13"/>
  <c r="X259" i="14" s="1"/>
  <c r="AA68" i="13"/>
  <c r="Z68" i="13"/>
  <c r="X68" i="14" s="1"/>
  <c r="Z231" i="13"/>
  <c r="X231" i="14" s="1"/>
  <c r="Z284" i="13"/>
  <c r="X284" i="14" s="1"/>
  <c r="Z98" i="13"/>
  <c r="X98" i="14" s="1"/>
  <c r="Z135" i="13"/>
  <c r="X135" i="14" s="1"/>
  <c r="AA135" i="13"/>
  <c r="Z131" i="13"/>
  <c r="X131" i="14" s="1"/>
  <c r="AA131" i="13"/>
  <c r="AA40" i="13"/>
  <c r="Z40" i="13"/>
  <c r="X40" i="14" s="1"/>
  <c r="AA196" i="13"/>
  <c r="Z196" i="13"/>
  <c r="X196" i="14" s="1"/>
  <c r="AA198" i="13"/>
  <c r="Z198" i="13"/>
  <c r="X198" i="14" s="1"/>
  <c r="Z195" i="13"/>
  <c r="X195" i="14" s="1"/>
  <c r="Z219" i="13"/>
  <c r="X219" i="14" s="1"/>
  <c r="AA265" i="13"/>
  <c r="Z265" i="13"/>
  <c r="X265" i="14" s="1"/>
  <c r="Z85" i="13"/>
  <c r="X85" i="14" s="1"/>
  <c r="Z217" i="13"/>
  <c r="X217" i="14" s="1"/>
  <c r="Z122" i="13"/>
  <c r="X122" i="14" s="1"/>
  <c r="Z34" i="13"/>
  <c r="AA34" i="13" s="1"/>
  <c r="AA190" i="13"/>
  <c r="Z175" i="13"/>
  <c r="X175" i="14" s="1"/>
  <c r="Z269" i="13"/>
  <c r="X269" i="14" s="1"/>
  <c r="Z129" i="13"/>
  <c r="X129" i="14" s="1"/>
  <c r="Z117" i="13"/>
  <c r="X117" i="14" s="1"/>
  <c r="Z132" i="13"/>
  <c r="X132" i="14" s="1"/>
  <c r="Z230" i="13"/>
  <c r="X230" i="14" s="1"/>
  <c r="AA62" i="13"/>
  <c r="AD267" i="13"/>
  <c r="AD44" i="13"/>
  <c r="AD101" i="13"/>
  <c r="AD275" i="13"/>
  <c r="L34" i="14"/>
  <c r="M34" i="14" s="1"/>
  <c r="AB149" i="13"/>
  <c r="AB136" i="13"/>
  <c r="Y255" i="8"/>
  <c r="Z255" i="8" s="1"/>
  <c r="Y178" i="8"/>
  <c r="Z178" i="8" s="1"/>
  <c r="B199" i="9"/>
  <c r="C186" i="9"/>
  <c r="C134" i="9"/>
  <c r="Y212" i="8"/>
  <c r="Z212" i="8" s="1"/>
  <c r="B186" i="9"/>
  <c r="D117" i="9"/>
  <c r="D106" i="9"/>
  <c r="C107" i="9"/>
  <c r="B77" i="9"/>
  <c r="D134" i="9"/>
  <c r="Y144" i="8"/>
  <c r="Z144" i="8" s="1"/>
  <c r="C199" i="9"/>
  <c r="C229" i="9"/>
  <c r="C55" i="9"/>
  <c r="C130" i="9"/>
  <c r="Y143" i="8"/>
  <c r="Z143" i="8" s="1"/>
  <c r="B222" i="9"/>
  <c r="B34" i="9"/>
  <c r="C192" i="9"/>
  <c r="D192" i="9"/>
  <c r="D237" i="9"/>
  <c r="C174" i="9"/>
  <c r="Y268" i="8"/>
  <c r="Z268" i="8" s="1"/>
  <c r="Y248" i="8"/>
  <c r="Z248" i="8" s="1"/>
  <c r="Y62" i="8"/>
  <c r="Z62" i="8" s="1"/>
  <c r="Y126" i="8"/>
  <c r="Z126" i="8" s="1"/>
  <c r="Y218" i="8"/>
  <c r="Z218" i="8" s="1"/>
  <c r="B169" i="9"/>
  <c r="B140" i="9"/>
  <c r="B36" i="9"/>
  <c r="C34" i="9"/>
  <c r="D34" i="9"/>
  <c r="C237" i="9"/>
  <c r="C222" i="9"/>
  <c r="C235" i="9"/>
  <c r="D235" i="9"/>
  <c r="C86" i="9"/>
  <c r="Y157" i="8"/>
  <c r="Z157" i="8" s="1"/>
  <c r="Y210" i="8"/>
  <c r="Z210" i="8" s="1"/>
  <c r="C9" i="9"/>
  <c r="Y99" i="8"/>
  <c r="Z99" i="8" s="1"/>
  <c r="D86" i="9"/>
  <c r="C228" i="9"/>
  <c r="Y257" i="8"/>
  <c r="Z257" i="8" s="1"/>
  <c r="C184" i="9"/>
  <c r="C246" i="9"/>
  <c r="B9" i="9"/>
  <c r="C247" i="9"/>
  <c r="B231" i="9"/>
  <c r="B191" i="9"/>
  <c r="C231" i="9"/>
  <c r="Y273" i="8"/>
  <c r="Z273" i="8" s="1"/>
  <c r="D228" i="9"/>
  <c r="C77" i="9"/>
  <c r="C200" i="9"/>
  <c r="B200" i="9"/>
  <c r="B86" i="9"/>
  <c r="C191" i="9"/>
  <c r="B143" i="9"/>
  <c r="C143" i="9"/>
  <c r="Y102" i="8"/>
  <c r="Z102" i="8" s="1"/>
  <c r="Y156" i="8"/>
  <c r="Z156" i="8" s="1"/>
  <c r="Y80" i="8"/>
  <c r="Z80" i="8" s="1"/>
  <c r="Y238" i="8"/>
  <c r="Z238" i="8" s="1"/>
  <c r="Y261" i="8"/>
  <c r="Z261" i="8" s="1"/>
  <c r="Y250" i="8"/>
  <c r="Z250" i="8" s="1"/>
  <c r="D78" i="9"/>
  <c r="Y72" i="8"/>
  <c r="Z72" i="8" s="1"/>
  <c r="Y230" i="8"/>
  <c r="Z230" i="8" s="1"/>
  <c r="Y217" i="8"/>
  <c r="Z217" i="8" s="1"/>
  <c r="Y69" i="8"/>
  <c r="Z69" i="8" s="1"/>
  <c r="Y160" i="8"/>
  <c r="Z160" i="8" s="1"/>
  <c r="C104" i="9"/>
  <c r="B104" i="9"/>
  <c r="D77" i="9"/>
  <c r="D131" i="9"/>
  <c r="D54" i="9"/>
  <c r="Y221" i="8"/>
  <c r="Z221" i="8" s="1"/>
  <c r="Y263" i="8"/>
  <c r="Z263" i="8" s="1"/>
  <c r="Y40" i="8"/>
  <c r="Z40" i="8" s="1"/>
  <c r="Y42" i="8"/>
  <c r="Z42" i="8" s="1"/>
  <c r="Y104" i="8"/>
  <c r="Z104" i="8" s="1"/>
  <c r="Y108" i="8"/>
  <c r="Z108" i="8" s="1"/>
  <c r="Y100" i="8"/>
  <c r="Z100" i="8" s="1"/>
  <c r="D41" i="9"/>
  <c r="Y264" i="8"/>
  <c r="Z264" i="8" s="1"/>
  <c r="Y133" i="8"/>
  <c r="Z133" i="8" s="1"/>
  <c r="Y284" i="8"/>
  <c r="Z284" i="8" s="1"/>
  <c r="Y216" i="8"/>
  <c r="Z216" i="8" s="1"/>
  <c r="D130" i="9"/>
  <c r="D76" i="9"/>
  <c r="D153" i="9"/>
  <c r="Y84" i="8"/>
  <c r="Z84" i="8" s="1"/>
  <c r="Y200" i="8"/>
  <c r="Z200" i="8" s="1"/>
  <c r="D162" i="9"/>
  <c r="Y240" i="8"/>
  <c r="Z240" i="8" s="1"/>
  <c r="Y151" i="8"/>
  <c r="Z151" i="8" s="1"/>
  <c r="Y168" i="8"/>
  <c r="Z168" i="8" s="1"/>
  <c r="Y153" i="8"/>
  <c r="Z153" i="8" s="1"/>
  <c r="Y188" i="8"/>
  <c r="Z188" i="8" s="1"/>
  <c r="Y199" i="8"/>
  <c r="Z199" i="8" s="1"/>
  <c r="Y197" i="8"/>
  <c r="Z197" i="8" s="1"/>
  <c r="Y176" i="8"/>
  <c r="Z176" i="8" s="1"/>
  <c r="Y146" i="8"/>
  <c r="Z146" i="8" s="1"/>
  <c r="Y198" i="8"/>
  <c r="Z198" i="8" s="1"/>
  <c r="Y194" i="8"/>
  <c r="Z194" i="8" s="1"/>
  <c r="D58" i="9"/>
  <c r="D125" i="9"/>
  <c r="D190" i="9"/>
  <c r="D73" i="9"/>
  <c r="D120" i="9"/>
  <c r="D172" i="9"/>
  <c r="D258" i="9"/>
  <c r="D245" i="9"/>
  <c r="D99" i="9"/>
  <c r="D170" i="9"/>
  <c r="D57" i="9"/>
  <c r="D166" i="9"/>
  <c r="D150" i="9"/>
  <c r="D233" i="9"/>
  <c r="D118" i="9"/>
  <c r="D173" i="9"/>
  <c r="Y259" i="8"/>
  <c r="Z259" i="8" s="1"/>
  <c r="D96" i="9"/>
  <c r="D209" i="9"/>
  <c r="D114" i="9"/>
  <c r="D259" i="9"/>
  <c r="D105" i="9"/>
  <c r="D168" i="9"/>
  <c r="D163" i="9"/>
  <c r="D20" i="9"/>
  <c r="D24" i="9"/>
  <c r="Y285" i="8"/>
  <c r="Z285" i="8" s="1"/>
  <c r="Y122" i="8"/>
  <c r="Z122" i="8" s="1"/>
  <c r="Y271" i="8"/>
  <c r="Z271" i="8" s="1"/>
  <c r="AB73" i="8"/>
  <c r="AX316" i="6"/>
  <c r="AV316" i="6"/>
  <c r="AW316" i="6"/>
  <c r="AX304" i="6"/>
  <c r="AV304" i="6"/>
  <c r="AW304" i="6"/>
  <c r="AX288" i="6"/>
  <c r="AW288" i="6"/>
  <c r="AV288" i="6"/>
  <c r="AW311" i="6"/>
  <c r="AV311" i="6"/>
  <c r="AX311" i="6"/>
  <c r="AW299" i="6"/>
  <c r="AX299" i="6"/>
  <c r="AV299" i="6"/>
  <c r="AW287" i="6"/>
  <c r="AV287" i="6"/>
  <c r="AX287" i="6"/>
  <c r="AW275" i="6"/>
  <c r="AV275" i="6"/>
  <c r="AX275" i="6"/>
  <c r="AV310" i="6"/>
  <c r="AW310" i="6"/>
  <c r="AX310" i="6"/>
  <c r="AV302" i="6"/>
  <c r="AX302" i="6"/>
  <c r="AW302" i="6"/>
  <c r="AV298" i="6"/>
  <c r="AW298" i="6"/>
  <c r="AX298" i="6"/>
  <c r="AV290" i="6"/>
  <c r="AX290" i="6"/>
  <c r="AW290" i="6"/>
  <c r="AV282" i="6"/>
  <c r="AW282" i="6"/>
  <c r="AX282" i="6"/>
  <c r="AV274" i="6"/>
  <c r="AW274" i="6"/>
  <c r="AX274" i="6"/>
  <c r="AX313" i="6"/>
  <c r="AV313" i="6"/>
  <c r="AW313" i="6"/>
  <c r="AX309" i="6"/>
  <c r="AV309" i="6"/>
  <c r="AW309" i="6"/>
  <c r="AV305" i="6"/>
  <c r="AW305" i="6"/>
  <c r="AX305" i="6"/>
  <c r="AW301" i="6"/>
  <c r="AV301" i="6"/>
  <c r="AX301" i="6"/>
  <c r="AX297" i="6"/>
  <c r="AV297" i="6"/>
  <c r="AW297" i="6"/>
  <c r="AW293" i="6"/>
  <c r="AX293" i="6"/>
  <c r="AV293" i="6"/>
  <c r="AV289" i="6"/>
  <c r="AW289" i="6"/>
  <c r="AX289" i="6"/>
  <c r="AW285" i="6"/>
  <c r="AV285" i="6"/>
  <c r="AX285" i="6"/>
  <c r="AX281" i="6"/>
  <c r="AW281" i="6"/>
  <c r="AV281" i="6"/>
  <c r="AV277" i="6"/>
  <c r="AW277" i="6"/>
  <c r="AX277" i="6"/>
  <c r="AX312" i="6"/>
  <c r="AV312" i="6"/>
  <c r="AW312" i="6"/>
  <c r="AX296" i="6"/>
  <c r="AV296" i="6"/>
  <c r="AW296" i="6"/>
  <c r="AX284" i="6"/>
  <c r="AV284" i="6"/>
  <c r="AW284" i="6"/>
  <c r="AX300" i="6"/>
  <c r="AW300" i="6"/>
  <c r="AV300" i="6"/>
  <c r="AX276" i="6"/>
  <c r="AV276" i="6"/>
  <c r="AW276" i="6"/>
  <c r="AW315" i="6"/>
  <c r="AX315" i="6"/>
  <c r="AV315" i="6"/>
  <c r="AW303" i="6"/>
  <c r="AV303" i="6"/>
  <c r="AX303" i="6"/>
  <c r="AW291" i="6"/>
  <c r="AV291" i="6"/>
  <c r="AX291" i="6"/>
  <c r="AW283" i="6"/>
  <c r="AX283" i="6"/>
  <c r="AV283" i="6"/>
  <c r="AX308" i="6"/>
  <c r="AW308" i="6"/>
  <c r="AV308" i="6"/>
  <c r="AX292" i="6"/>
  <c r="AW292" i="6"/>
  <c r="AV292" i="6"/>
  <c r="AX280" i="6"/>
  <c r="AV280" i="6"/>
  <c r="AW280" i="6"/>
  <c r="AW307" i="6"/>
  <c r="AX307" i="6"/>
  <c r="AV307" i="6"/>
  <c r="AW295" i="6"/>
  <c r="AX295" i="6"/>
  <c r="AV295" i="6"/>
  <c r="AW279" i="6"/>
  <c r="AV279" i="6"/>
  <c r="AX279" i="6"/>
  <c r="AV314" i="6"/>
  <c r="AX314" i="6"/>
  <c r="AW314" i="6"/>
  <c r="AV306" i="6"/>
  <c r="AX306" i="6"/>
  <c r="AW306" i="6"/>
  <c r="AV294" i="6"/>
  <c r="AW294" i="6"/>
  <c r="AX294" i="6"/>
  <c r="AV286" i="6"/>
  <c r="AW286" i="6"/>
  <c r="AX286" i="6"/>
  <c r="AV278" i="6"/>
  <c r="AW278" i="6"/>
  <c r="AX278" i="6"/>
  <c r="D32" i="19" l="1"/>
  <c r="AF32" i="8"/>
  <c r="AG32" i="8"/>
  <c r="AH32" i="8"/>
  <c r="AE32" i="8"/>
  <c r="D33" i="19"/>
  <c r="AF33" i="8"/>
  <c r="AH33" i="8"/>
  <c r="AG33" i="8"/>
  <c r="AE33" i="8"/>
  <c r="D31" i="19"/>
  <c r="AG31" i="8"/>
  <c r="AE31" i="8"/>
  <c r="AF31" i="8"/>
  <c r="AH31" i="8"/>
  <c r="Z174" i="14"/>
  <c r="M277" i="13"/>
  <c r="N264" i="13"/>
  <c r="O264" i="13" s="1"/>
  <c r="Q264" i="13" s="1"/>
  <c r="R264" i="13" s="1"/>
  <c r="M273" i="13"/>
  <c r="AI204" i="19"/>
  <c r="M284" i="13"/>
  <c r="M274" i="13"/>
  <c r="AI64" i="19"/>
  <c r="N103" i="13"/>
  <c r="O103" i="13" s="1"/>
  <c r="Q103" i="13" s="1"/>
  <c r="R103" i="13" s="1"/>
  <c r="M234" i="13"/>
  <c r="B6" i="9"/>
  <c r="F32" i="19"/>
  <c r="B7" i="9"/>
  <c r="F33" i="19"/>
  <c r="AI40" i="19"/>
  <c r="AI150" i="19"/>
  <c r="AI180" i="19"/>
  <c r="AI34" i="19"/>
  <c r="AI233" i="19"/>
  <c r="B233" i="19"/>
  <c r="B206" i="19"/>
  <c r="AI206" i="19"/>
  <c r="B190" i="19"/>
  <c r="AI190" i="19"/>
  <c r="B174" i="19"/>
  <c r="AI174" i="19"/>
  <c r="B149" i="19"/>
  <c r="AI149" i="19"/>
  <c r="B136" i="19"/>
  <c r="AI136" i="19"/>
  <c r="AI112" i="19"/>
  <c r="B112" i="19"/>
  <c r="B109" i="19"/>
  <c r="AI109" i="19"/>
  <c r="B94" i="19"/>
  <c r="AI94" i="19"/>
  <c r="B78" i="19"/>
  <c r="AI78" i="19"/>
  <c r="AI37" i="19"/>
  <c r="B37" i="19"/>
  <c r="B267" i="19"/>
  <c r="AI267" i="19"/>
  <c r="B280" i="19"/>
  <c r="AI280" i="19"/>
  <c r="B262" i="19"/>
  <c r="AI262" i="19"/>
  <c r="AI197" i="19"/>
  <c r="B197" i="19"/>
  <c r="B35" i="19"/>
  <c r="AI35" i="19"/>
  <c r="B103" i="19"/>
  <c r="AI103" i="19"/>
  <c r="AI101" i="19"/>
  <c r="B101" i="19"/>
  <c r="AI95" i="19"/>
  <c r="B95" i="19"/>
  <c r="AI219" i="19"/>
  <c r="B219" i="19"/>
  <c r="AI118" i="19"/>
  <c r="B118" i="19"/>
  <c r="B270" i="19"/>
  <c r="AI270" i="19"/>
  <c r="AI281" i="19"/>
  <c r="B281" i="19"/>
  <c r="AI227" i="19"/>
  <c r="B227" i="19"/>
  <c r="AI209" i="19"/>
  <c r="AI171" i="19"/>
  <c r="B171" i="19"/>
  <c r="B145" i="19"/>
  <c r="AI145" i="19"/>
  <c r="B134" i="19"/>
  <c r="AI134" i="19"/>
  <c r="AI132" i="19"/>
  <c r="B132" i="19"/>
  <c r="B246" i="19"/>
  <c r="AI246" i="19"/>
  <c r="AI249" i="19"/>
  <c r="B249" i="19"/>
  <c r="B187" i="19"/>
  <c r="AI187" i="19"/>
  <c r="B168" i="19"/>
  <c r="AI168" i="19"/>
  <c r="AI115" i="19"/>
  <c r="B115" i="19"/>
  <c r="B65" i="19"/>
  <c r="AI65" i="19"/>
  <c r="B49" i="19"/>
  <c r="AI49" i="19"/>
  <c r="D6" i="9"/>
  <c r="H32" i="19"/>
  <c r="D7" i="9"/>
  <c r="H33" i="19"/>
  <c r="I501" i="19"/>
  <c r="B178" i="19"/>
  <c r="AI178" i="19"/>
  <c r="B131" i="19"/>
  <c r="AI131" i="19"/>
  <c r="B90" i="19"/>
  <c r="AI90" i="19"/>
  <c r="AI67" i="19"/>
  <c r="B67" i="19"/>
  <c r="B164" i="19"/>
  <c r="AI164" i="19"/>
  <c r="AI155" i="19"/>
  <c r="B155" i="19"/>
  <c r="B152" i="19"/>
  <c r="AI152" i="19"/>
  <c r="AI137" i="19"/>
  <c r="B137" i="19"/>
  <c r="B53" i="19"/>
  <c r="AI53" i="19"/>
  <c r="L75" i="19"/>
  <c r="Z75" i="19"/>
  <c r="T75" i="19"/>
  <c r="W75" i="19"/>
  <c r="Q75" i="19"/>
  <c r="P75" i="19"/>
  <c r="N75" i="19"/>
  <c r="AI75" i="19"/>
  <c r="B75" i="19"/>
  <c r="AA75" i="19"/>
  <c r="AF75" i="19"/>
  <c r="Y75" i="19"/>
  <c r="K75" i="19"/>
  <c r="V75" i="19"/>
  <c r="S75" i="19"/>
  <c r="AI201" i="19"/>
  <c r="B79" i="19"/>
  <c r="AI79" i="19"/>
  <c r="AI59" i="19"/>
  <c r="B59" i="19"/>
  <c r="AI36" i="19"/>
  <c r="B36" i="19"/>
  <c r="AI283" i="19"/>
  <c r="B283" i="19"/>
  <c r="AI260" i="19"/>
  <c r="B260" i="19"/>
  <c r="AI31" i="19"/>
  <c r="B31" i="19"/>
  <c r="B266" i="19"/>
  <c r="AI266" i="19"/>
  <c r="AI236" i="19"/>
  <c r="B236" i="19"/>
  <c r="B231" i="19"/>
  <c r="AI231" i="19"/>
  <c r="B195" i="19"/>
  <c r="AI195" i="19"/>
  <c r="B186" i="19"/>
  <c r="AI186" i="19"/>
  <c r="AI142" i="19"/>
  <c r="B142" i="19"/>
  <c r="AI111" i="19"/>
  <c r="B111" i="19"/>
  <c r="AI100" i="19"/>
  <c r="B100" i="19"/>
  <c r="B82" i="19"/>
  <c r="AI82" i="19"/>
  <c r="AI71" i="19"/>
  <c r="B71" i="19"/>
  <c r="B39" i="19"/>
  <c r="AI39" i="19"/>
  <c r="B55" i="19"/>
  <c r="AI55" i="19"/>
  <c r="W275" i="19"/>
  <c r="Q275" i="19"/>
  <c r="T275" i="19"/>
  <c r="Z275" i="19"/>
  <c r="N275" i="19"/>
  <c r="P275" i="19"/>
  <c r="S275" i="19"/>
  <c r="AI275" i="19"/>
  <c r="L275" i="19"/>
  <c r="B275" i="19"/>
  <c r="AF275" i="19"/>
  <c r="Y275" i="19"/>
  <c r="K275" i="19"/>
  <c r="V275" i="19"/>
  <c r="AA275" i="19"/>
  <c r="B258" i="19"/>
  <c r="AI258" i="19"/>
  <c r="B214" i="19"/>
  <c r="AI214" i="19"/>
  <c r="AI196" i="19"/>
  <c r="B196" i="19"/>
  <c r="B117" i="19"/>
  <c r="AI117" i="19"/>
  <c r="B98" i="19"/>
  <c r="AI98" i="19"/>
  <c r="B83" i="19"/>
  <c r="AI83" i="19"/>
  <c r="AI273" i="19"/>
  <c r="B273" i="19"/>
  <c r="AI232" i="19"/>
  <c r="B232" i="19"/>
  <c r="B212" i="19"/>
  <c r="AI212" i="19"/>
  <c r="AI158" i="19"/>
  <c r="B158" i="19"/>
  <c r="B127" i="19"/>
  <c r="AI127" i="19"/>
  <c r="AI114" i="19"/>
  <c r="AI248" i="19"/>
  <c r="B248" i="19"/>
  <c r="B221" i="19"/>
  <c r="AI221" i="19"/>
  <c r="AI163" i="19"/>
  <c r="B163" i="19"/>
  <c r="AI135" i="19"/>
  <c r="B135" i="19"/>
  <c r="B133" i="19"/>
  <c r="AI133" i="19"/>
  <c r="AI124" i="19"/>
  <c r="B124" i="19"/>
  <c r="AI120" i="19"/>
  <c r="B251" i="19"/>
  <c r="AI251" i="19"/>
  <c r="B202" i="19"/>
  <c r="AI202" i="19"/>
  <c r="B182" i="19"/>
  <c r="AI182" i="19"/>
  <c r="B166" i="19"/>
  <c r="AI166" i="19"/>
  <c r="B129" i="19"/>
  <c r="AI129" i="19"/>
  <c r="B54" i="19"/>
  <c r="AI54" i="19"/>
  <c r="AI167" i="19"/>
  <c r="B167" i="19"/>
  <c r="B222" i="19"/>
  <c r="AI222" i="19"/>
  <c r="B138" i="19"/>
  <c r="AI138" i="19"/>
  <c r="B126" i="19"/>
  <c r="AI126" i="19"/>
  <c r="AI96" i="19"/>
  <c r="B96" i="19"/>
  <c r="AI76" i="19"/>
  <c r="B76" i="19"/>
  <c r="B66" i="19"/>
  <c r="AI66" i="19"/>
  <c r="B153" i="19"/>
  <c r="AI153" i="19"/>
  <c r="B139" i="19"/>
  <c r="AI139" i="19"/>
  <c r="AI44" i="19"/>
  <c r="B44" i="19"/>
  <c r="AI93" i="19"/>
  <c r="B93" i="19"/>
  <c r="B113" i="19"/>
  <c r="AI113" i="19"/>
  <c r="AI88" i="19"/>
  <c r="B88" i="19"/>
  <c r="B69" i="19"/>
  <c r="AI69" i="19"/>
  <c r="B61" i="19"/>
  <c r="AI61" i="19"/>
  <c r="B45" i="19"/>
  <c r="AI45" i="19"/>
  <c r="Y252" i="14"/>
  <c r="AB252" i="13"/>
  <c r="M172" i="13"/>
  <c r="M193" i="13"/>
  <c r="M199" i="13"/>
  <c r="N205" i="13"/>
  <c r="O205" i="13" s="1"/>
  <c r="Q205" i="13" s="1"/>
  <c r="R205" i="13" s="1"/>
  <c r="M221" i="13"/>
  <c r="N233" i="13"/>
  <c r="O233" i="13" s="1"/>
  <c r="Q233" i="13" s="1"/>
  <c r="R233" i="13" s="1"/>
  <c r="M254" i="13"/>
  <c r="M255" i="13"/>
  <c r="N256" i="13"/>
  <c r="O256" i="13" s="1"/>
  <c r="Q256" i="13" s="1"/>
  <c r="R256" i="13" s="1"/>
  <c r="N280" i="13"/>
  <c r="O280" i="13" s="1"/>
  <c r="Q280" i="13" s="1"/>
  <c r="R280" i="13" s="1"/>
  <c r="M276" i="13"/>
  <c r="M201" i="13"/>
  <c r="M215" i="13"/>
  <c r="M218" i="13"/>
  <c r="M227" i="13"/>
  <c r="M229" i="13"/>
  <c r="M251" i="13"/>
  <c r="M271" i="13"/>
  <c r="N278" i="13"/>
  <c r="O278" i="13" s="1"/>
  <c r="Q278" i="13" s="1"/>
  <c r="R278" i="13" s="1"/>
  <c r="M285" i="13"/>
  <c r="M214" i="13"/>
  <c r="M232" i="13"/>
  <c r="Y247" i="14"/>
  <c r="M231" i="13"/>
  <c r="M240" i="13"/>
  <c r="M228" i="13"/>
  <c r="AC137" i="13"/>
  <c r="AD137" i="13" s="1"/>
  <c r="N194" i="13"/>
  <c r="O194" i="13" s="1"/>
  <c r="Q194" i="13" s="1"/>
  <c r="R194" i="13" s="1"/>
  <c r="M230" i="13"/>
  <c r="M195" i="13"/>
  <c r="AA278" i="13"/>
  <c r="AB278" i="13" s="1"/>
  <c r="Y282" i="14"/>
  <c r="AB282" i="13"/>
  <c r="AA285" i="13"/>
  <c r="Y285" i="14" s="1"/>
  <c r="Y283" i="14"/>
  <c r="AB283" i="13"/>
  <c r="AA284" i="13"/>
  <c r="Y284" i="14" s="1"/>
  <c r="AA303" i="14"/>
  <c r="AB274" i="13"/>
  <c r="Y274" i="14"/>
  <c r="AC269" i="13"/>
  <c r="Z269" i="14"/>
  <c r="AB276" i="13"/>
  <c r="Y276" i="14"/>
  <c r="AB280" i="13"/>
  <c r="Y280" i="14"/>
  <c r="AB264" i="13"/>
  <c r="Y264" i="14"/>
  <c r="AB271" i="13"/>
  <c r="Y271" i="14"/>
  <c r="AA314" i="14"/>
  <c r="N281" i="13"/>
  <c r="O281" i="13" s="1"/>
  <c r="Q281" i="13" s="1"/>
  <c r="R281" i="13" s="1"/>
  <c r="M281" i="13"/>
  <c r="AB285" i="13"/>
  <c r="AB273" i="13"/>
  <c r="Y273" i="14"/>
  <c r="AC268" i="13"/>
  <c r="Z268" i="14"/>
  <c r="N272" i="13"/>
  <c r="O272" i="13" s="1"/>
  <c r="Q272" i="13" s="1"/>
  <c r="R272" i="13" s="1"/>
  <c r="M272" i="13"/>
  <c r="AA306" i="14"/>
  <c r="AB281" i="13"/>
  <c r="Y281" i="14"/>
  <c r="AA294" i="14"/>
  <c r="AA300" i="14"/>
  <c r="AA302" i="14"/>
  <c r="AA305" i="14"/>
  <c r="AA308" i="14"/>
  <c r="AA307" i="14"/>
  <c r="AA313" i="14"/>
  <c r="AA310" i="14"/>
  <c r="AA293" i="14"/>
  <c r="AB265" i="13"/>
  <c r="Y265" i="14"/>
  <c r="AB279" i="13"/>
  <c r="Y279" i="14"/>
  <c r="AB277" i="13"/>
  <c r="Y277" i="14"/>
  <c r="AB272" i="13"/>
  <c r="Y272" i="14"/>
  <c r="AA309" i="14"/>
  <c r="AA298" i="14"/>
  <c r="AA263" i="13"/>
  <c r="AB263" i="13" s="1"/>
  <c r="Z93" i="14"/>
  <c r="M246" i="13"/>
  <c r="N124" i="13"/>
  <c r="O124" i="13" s="1"/>
  <c r="Q124" i="13" s="1"/>
  <c r="R124" i="13" s="1"/>
  <c r="M242" i="13"/>
  <c r="M219" i="13"/>
  <c r="M235" i="13"/>
  <c r="N263" i="13"/>
  <c r="O263" i="13" s="1"/>
  <c r="Q263" i="13" s="1"/>
  <c r="R263" i="13" s="1"/>
  <c r="M263" i="13"/>
  <c r="AA262" i="14"/>
  <c r="AB262" i="14" s="1"/>
  <c r="AB261" i="13"/>
  <c r="Y261" i="14"/>
  <c r="AA258" i="13"/>
  <c r="M217" i="13"/>
  <c r="N191" i="13"/>
  <c r="O191" i="13" s="1"/>
  <c r="Q191" i="13" s="1"/>
  <c r="R191" i="13" s="1"/>
  <c r="M220" i="13"/>
  <c r="M225" i="13"/>
  <c r="AA259" i="13"/>
  <c r="AB259" i="13" s="1"/>
  <c r="N259" i="13"/>
  <c r="O259" i="13" s="1"/>
  <c r="Q259" i="13" s="1"/>
  <c r="R259" i="13" s="1"/>
  <c r="M259" i="13"/>
  <c r="M248" i="13"/>
  <c r="M243" i="13"/>
  <c r="AA255" i="13"/>
  <c r="AB255" i="13" s="1"/>
  <c r="M239" i="13"/>
  <c r="N257" i="13"/>
  <c r="O257" i="13" s="1"/>
  <c r="Q257" i="13" s="1"/>
  <c r="R257" i="13" s="1"/>
  <c r="M257" i="13"/>
  <c r="AB257" i="13"/>
  <c r="Y257" i="14"/>
  <c r="N181" i="13"/>
  <c r="O181" i="13" s="1"/>
  <c r="Q181" i="13" s="1"/>
  <c r="R181" i="13" s="1"/>
  <c r="N183" i="13"/>
  <c r="O183" i="13" s="1"/>
  <c r="Q183" i="13" s="1"/>
  <c r="R183" i="13" s="1"/>
  <c r="N192" i="13"/>
  <c r="O192" i="13" s="1"/>
  <c r="Q192" i="13" s="1"/>
  <c r="R192" i="13" s="1"/>
  <c r="M206" i="13"/>
  <c r="M210" i="13"/>
  <c r="AB256" i="13"/>
  <c r="Y256" i="14"/>
  <c r="M213" i="13"/>
  <c r="Y249" i="14"/>
  <c r="AB238" i="13"/>
  <c r="AC238" i="13" s="1"/>
  <c r="AA254" i="13"/>
  <c r="AA231" i="13"/>
  <c r="AB231" i="13" s="1"/>
  <c r="Z249" i="14"/>
  <c r="AA248" i="13"/>
  <c r="Y248" i="14" s="1"/>
  <c r="AA246" i="13"/>
  <c r="AB246" i="13" s="1"/>
  <c r="AA245" i="13"/>
  <c r="AB245" i="13" s="1"/>
  <c r="Y244" i="14"/>
  <c r="AB244" i="13"/>
  <c r="AA234" i="13"/>
  <c r="AB234" i="13" s="1"/>
  <c r="AB242" i="13"/>
  <c r="Y242" i="14"/>
  <c r="AB243" i="13"/>
  <c r="Y243" i="14"/>
  <c r="AB235" i="13"/>
  <c r="Y235" i="14"/>
  <c r="AB253" i="13"/>
  <c r="Y253" i="14"/>
  <c r="AB240" i="13"/>
  <c r="Y240" i="14"/>
  <c r="AB239" i="13"/>
  <c r="Y239" i="14"/>
  <c r="AC247" i="13"/>
  <c r="Z247" i="14"/>
  <c r="AC241" i="13"/>
  <c r="Z241" i="14"/>
  <c r="AB251" i="13"/>
  <c r="Y251" i="14"/>
  <c r="AB250" i="13"/>
  <c r="Y250" i="14"/>
  <c r="AC237" i="13"/>
  <c r="Z237" i="14"/>
  <c r="Z238" i="14"/>
  <c r="AB233" i="13"/>
  <c r="Y233" i="14"/>
  <c r="AB232" i="13"/>
  <c r="Y232" i="14"/>
  <c r="AA230" i="13"/>
  <c r="AB230" i="13" s="1"/>
  <c r="AB229" i="13"/>
  <c r="Y229" i="14"/>
  <c r="AA228" i="13"/>
  <c r="AB228" i="13" s="1"/>
  <c r="AA227" i="13"/>
  <c r="AB227" i="13" s="1"/>
  <c r="AA226" i="13"/>
  <c r="AB226" i="13" s="1"/>
  <c r="AB225" i="13"/>
  <c r="Y225" i="14"/>
  <c r="Y223" i="14"/>
  <c r="Y224" i="14"/>
  <c r="AC224" i="13"/>
  <c r="Z224" i="14"/>
  <c r="AC223" i="13"/>
  <c r="Z223" i="14"/>
  <c r="M222" i="13"/>
  <c r="AA222" i="13"/>
  <c r="AB222" i="13" s="1"/>
  <c r="M177" i="13"/>
  <c r="AA220" i="13"/>
  <c r="Y220" i="14" s="1"/>
  <c r="AA221" i="13"/>
  <c r="AB221" i="13" s="1"/>
  <c r="M171" i="13"/>
  <c r="N126" i="13"/>
  <c r="O126" i="13" s="1"/>
  <c r="Q126" i="13" s="1"/>
  <c r="R126" i="13" s="1"/>
  <c r="M141" i="13"/>
  <c r="M142" i="13"/>
  <c r="Z143" i="14"/>
  <c r="N169" i="13"/>
  <c r="O169" i="13" s="1"/>
  <c r="Q169" i="13" s="1"/>
  <c r="R169" i="13" s="1"/>
  <c r="M200" i="13"/>
  <c r="AA219" i="13"/>
  <c r="AB219" i="13" s="1"/>
  <c r="AB218" i="13"/>
  <c r="Y218" i="14"/>
  <c r="AA217" i="13"/>
  <c r="AB217" i="13" s="1"/>
  <c r="AA216" i="13"/>
  <c r="AB216" i="13" s="1"/>
  <c r="N216" i="13"/>
  <c r="O216" i="13" s="1"/>
  <c r="Q216" i="13" s="1"/>
  <c r="R216" i="13" s="1"/>
  <c r="M216" i="13"/>
  <c r="M182" i="13"/>
  <c r="N188" i="13"/>
  <c r="O188" i="13" s="1"/>
  <c r="Q188" i="13" s="1"/>
  <c r="R188" i="13" s="1"/>
  <c r="AB215" i="13"/>
  <c r="Y215" i="14"/>
  <c r="M69" i="13"/>
  <c r="M150" i="13"/>
  <c r="M189" i="13"/>
  <c r="M198" i="13"/>
  <c r="N204" i="13"/>
  <c r="O204" i="13" s="1"/>
  <c r="Q204" i="13" s="1"/>
  <c r="R204" i="13" s="1"/>
  <c r="N196" i="13"/>
  <c r="O196" i="13" s="1"/>
  <c r="Q196" i="13" s="1"/>
  <c r="R196" i="13" s="1"/>
  <c r="M196" i="13"/>
  <c r="Y214" i="14"/>
  <c r="AB214" i="13"/>
  <c r="N212" i="13"/>
  <c r="O212" i="13" s="1"/>
  <c r="Q212" i="13" s="1"/>
  <c r="R212" i="13" s="1"/>
  <c r="M212" i="13"/>
  <c r="AD170" i="13"/>
  <c r="M72" i="13"/>
  <c r="M163" i="13"/>
  <c r="AB213" i="13"/>
  <c r="Y213" i="14"/>
  <c r="AA212" i="13"/>
  <c r="AB212" i="13" s="1"/>
  <c r="AC211" i="13"/>
  <c r="Z211" i="14"/>
  <c r="AA210" i="13"/>
  <c r="AB210" i="13" s="1"/>
  <c r="N152" i="13"/>
  <c r="O152" i="13" s="1"/>
  <c r="Q152" i="13" s="1"/>
  <c r="R152" i="13" s="1"/>
  <c r="Y209" i="14"/>
  <c r="AB209" i="13"/>
  <c r="AA208" i="13"/>
  <c r="AB208" i="13" s="1"/>
  <c r="N208" i="13"/>
  <c r="O208" i="13" s="1"/>
  <c r="Q208" i="13" s="1"/>
  <c r="R208" i="13" s="1"/>
  <c r="M208" i="13"/>
  <c r="AD207" i="13"/>
  <c r="AA207" i="14"/>
  <c r="AB207" i="14" s="1"/>
  <c r="AB206" i="13"/>
  <c r="Y206" i="14"/>
  <c r="AB205" i="13"/>
  <c r="Y205" i="14"/>
  <c r="AA202" i="13"/>
  <c r="AB202" i="13" s="1"/>
  <c r="AB204" i="13"/>
  <c r="Y204" i="14"/>
  <c r="AB203" i="13"/>
  <c r="Y203" i="14"/>
  <c r="N202" i="13"/>
  <c r="O202" i="13" s="1"/>
  <c r="Q202" i="13" s="1"/>
  <c r="R202" i="13" s="1"/>
  <c r="M202" i="13"/>
  <c r="AA200" i="13"/>
  <c r="AB200" i="13" s="1"/>
  <c r="AA201" i="13"/>
  <c r="AB201" i="13" s="1"/>
  <c r="M176" i="13"/>
  <c r="AB199" i="13"/>
  <c r="Y199" i="14"/>
  <c r="AB198" i="13"/>
  <c r="Y198" i="14"/>
  <c r="AA197" i="13"/>
  <c r="AB197" i="13" s="1"/>
  <c r="N197" i="13"/>
  <c r="O197" i="13" s="1"/>
  <c r="Q197" i="13" s="1"/>
  <c r="R197" i="13" s="1"/>
  <c r="M197" i="13"/>
  <c r="AB196" i="13"/>
  <c r="Y196" i="14"/>
  <c r="AA195" i="13"/>
  <c r="Y195" i="14" s="1"/>
  <c r="M159" i="13"/>
  <c r="AA194" i="13"/>
  <c r="AB194" i="13" s="1"/>
  <c r="AB193" i="13"/>
  <c r="Y193" i="14"/>
  <c r="AB192" i="13"/>
  <c r="Y192" i="14"/>
  <c r="AB191" i="13"/>
  <c r="Y191" i="14"/>
  <c r="M97" i="13"/>
  <c r="AD95" i="13"/>
  <c r="AA114" i="13"/>
  <c r="Y114" i="14" s="1"/>
  <c r="M99" i="13"/>
  <c r="N114" i="13"/>
  <c r="O114" i="13" s="1"/>
  <c r="Q114" i="13" s="1"/>
  <c r="R114" i="13" s="1"/>
  <c r="Z120" i="14"/>
  <c r="Y121" i="14"/>
  <c r="M175" i="13"/>
  <c r="M82" i="13"/>
  <c r="AB109" i="13"/>
  <c r="M130" i="13"/>
  <c r="M131" i="13"/>
  <c r="M136" i="13"/>
  <c r="N168" i="13"/>
  <c r="O168" i="13" s="1"/>
  <c r="Q168" i="13" s="1"/>
  <c r="R168" i="13" s="1"/>
  <c r="AB190" i="13"/>
  <c r="Y190" i="14"/>
  <c r="M190" i="13"/>
  <c r="N190" i="13"/>
  <c r="O190" i="13" s="1"/>
  <c r="Q190" i="13" s="1"/>
  <c r="R190" i="13" s="1"/>
  <c r="AA174" i="14"/>
  <c r="AB174" i="14" s="1"/>
  <c r="AB189" i="13"/>
  <c r="Y189" i="14"/>
  <c r="AB188" i="13"/>
  <c r="Y188" i="14"/>
  <c r="AA186" i="14"/>
  <c r="AB186" i="14" s="1"/>
  <c r="AA187" i="13"/>
  <c r="AB187" i="13" s="1"/>
  <c r="N187" i="13"/>
  <c r="O187" i="13" s="1"/>
  <c r="Q187" i="13" s="1"/>
  <c r="R187" i="13" s="1"/>
  <c r="M187" i="13"/>
  <c r="AC185" i="13"/>
  <c r="Z185" i="14"/>
  <c r="AC184" i="13"/>
  <c r="Z184" i="14"/>
  <c r="AA183" i="13"/>
  <c r="AB183" i="13" s="1"/>
  <c r="AA182" i="13"/>
  <c r="AB182" i="13" s="1"/>
  <c r="AA181" i="13"/>
  <c r="AB181" i="13" s="1"/>
  <c r="M167" i="13"/>
  <c r="Y180" i="14"/>
  <c r="AB180" i="13"/>
  <c r="AA179" i="13"/>
  <c r="AB179" i="13" s="1"/>
  <c r="N179" i="13"/>
  <c r="O179" i="13" s="1"/>
  <c r="Q179" i="13" s="1"/>
  <c r="R179" i="13" s="1"/>
  <c r="M179" i="13"/>
  <c r="M156" i="13"/>
  <c r="Y178" i="14"/>
  <c r="AB178" i="13"/>
  <c r="AB177" i="13"/>
  <c r="Y177" i="14"/>
  <c r="AA176" i="13"/>
  <c r="AB176" i="13" s="1"/>
  <c r="AC175" i="13"/>
  <c r="Z175" i="14"/>
  <c r="M157" i="13"/>
  <c r="AB173" i="13"/>
  <c r="Y173" i="14"/>
  <c r="AA172" i="13"/>
  <c r="AB172" i="13" s="1"/>
  <c r="AA171" i="13"/>
  <c r="AB171" i="13" s="1"/>
  <c r="AB169" i="13"/>
  <c r="Y169" i="14"/>
  <c r="AA168" i="13"/>
  <c r="AB168" i="13" s="1"/>
  <c r="AA167" i="13"/>
  <c r="AB167" i="13" s="1"/>
  <c r="N166" i="13"/>
  <c r="O166" i="13" s="1"/>
  <c r="Q166" i="13" s="1"/>
  <c r="R166" i="13" s="1"/>
  <c r="M166" i="13"/>
  <c r="AB166" i="13"/>
  <c r="Y166" i="14"/>
  <c r="AC158" i="13"/>
  <c r="AA158" i="14" s="1"/>
  <c r="Y158" i="14"/>
  <c r="AC165" i="13"/>
  <c r="Z165" i="14"/>
  <c r="Y164" i="14"/>
  <c r="AB164" i="13"/>
  <c r="AA163" i="13"/>
  <c r="AB163" i="13" s="1"/>
  <c r="M153" i="13"/>
  <c r="M160" i="13"/>
  <c r="Y162" i="14"/>
  <c r="AC162" i="13"/>
  <c r="Z162" i="14"/>
  <c r="AC161" i="13"/>
  <c r="Z161" i="14"/>
  <c r="Y120" i="14"/>
  <c r="M98" i="13"/>
  <c r="AB160" i="13"/>
  <c r="Y160" i="14"/>
  <c r="AA159" i="13"/>
  <c r="AA157" i="13"/>
  <c r="AB157" i="13" s="1"/>
  <c r="N68" i="13"/>
  <c r="O68" i="13" s="1"/>
  <c r="Q68" i="13" s="1"/>
  <c r="R68" i="13" s="1"/>
  <c r="Z95" i="14"/>
  <c r="M122" i="13"/>
  <c r="M140" i="13"/>
  <c r="M145" i="13"/>
  <c r="AA156" i="13"/>
  <c r="AB156" i="13" s="1"/>
  <c r="N117" i="13"/>
  <c r="O117" i="13" s="1"/>
  <c r="Q117" i="13" s="1"/>
  <c r="R117" i="13" s="1"/>
  <c r="AA155" i="13"/>
  <c r="AB155" i="13" s="1"/>
  <c r="M102" i="13"/>
  <c r="AC154" i="13"/>
  <c r="Z154" i="14"/>
  <c r="AD143" i="13"/>
  <c r="AB61" i="13"/>
  <c r="Z61" i="14" s="1"/>
  <c r="N83" i="13"/>
  <c r="O83" i="13" s="1"/>
  <c r="Q83" i="13" s="1"/>
  <c r="R83" i="13" s="1"/>
  <c r="N100" i="13"/>
  <c r="O100" i="13" s="1"/>
  <c r="Q100" i="13" s="1"/>
  <c r="R100" i="13" s="1"/>
  <c r="M110" i="13"/>
  <c r="M123" i="13"/>
  <c r="M127" i="13"/>
  <c r="N128" i="13"/>
  <c r="O128" i="13" s="1"/>
  <c r="Q128" i="13" s="1"/>
  <c r="R128" i="13" s="1"/>
  <c r="N135" i="13"/>
  <c r="O135" i="13" s="1"/>
  <c r="Q135" i="13" s="1"/>
  <c r="R135" i="13" s="1"/>
  <c r="N148" i="13"/>
  <c r="O148" i="13" s="1"/>
  <c r="Q148" i="13" s="1"/>
  <c r="R148" i="13" s="1"/>
  <c r="M148" i="13"/>
  <c r="Z152" i="14"/>
  <c r="AA153" i="13"/>
  <c r="AB153" i="13" s="1"/>
  <c r="AA152" i="14"/>
  <c r="AB152" i="14" s="1"/>
  <c r="N151" i="13"/>
  <c r="O151" i="13" s="1"/>
  <c r="Q151" i="13" s="1"/>
  <c r="R151" i="13" s="1"/>
  <c r="M151" i="13"/>
  <c r="AD56" i="13"/>
  <c r="AA140" i="13"/>
  <c r="AB140" i="13" s="1"/>
  <c r="M81" i="13"/>
  <c r="N104" i="13"/>
  <c r="O104" i="13" s="1"/>
  <c r="Q104" i="13" s="1"/>
  <c r="R104" i="13" s="1"/>
  <c r="N112" i="13"/>
  <c r="O112" i="13" s="1"/>
  <c r="Q112" i="13" s="1"/>
  <c r="R112" i="13" s="1"/>
  <c r="M113" i="13"/>
  <c r="N115" i="13"/>
  <c r="O115" i="13" s="1"/>
  <c r="Q115" i="13" s="1"/>
  <c r="R115" i="13" s="1"/>
  <c r="AB151" i="13"/>
  <c r="Y151" i="14"/>
  <c r="AB150" i="13"/>
  <c r="Y150" i="14"/>
  <c r="M37" i="13"/>
  <c r="N149" i="13"/>
  <c r="O149" i="13" s="1"/>
  <c r="Q149" i="13" s="1"/>
  <c r="R149" i="13" s="1"/>
  <c r="M149" i="13"/>
  <c r="AC149" i="13"/>
  <c r="AA149" i="14" s="1"/>
  <c r="AB149" i="14" s="1"/>
  <c r="Z149" i="14"/>
  <c r="AA148" i="13"/>
  <c r="AB148" i="13" s="1"/>
  <c r="Y147" i="14"/>
  <c r="AB147" i="13"/>
  <c r="M46" i="13"/>
  <c r="Z79" i="14"/>
  <c r="M96" i="13"/>
  <c r="M134" i="13"/>
  <c r="AB146" i="13"/>
  <c r="Y146" i="14"/>
  <c r="AB145" i="13"/>
  <c r="Y145" i="14"/>
  <c r="N144" i="13"/>
  <c r="O144" i="13" s="1"/>
  <c r="Q144" i="13" s="1"/>
  <c r="R144" i="13" s="1"/>
  <c r="M144" i="13"/>
  <c r="AB144" i="13"/>
  <c r="Y144" i="14"/>
  <c r="AA142" i="13"/>
  <c r="AB142" i="13" s="1"/>
  <c r="AB141" i="13"/>
  <c r="Y141" i="14"/>
  <c r="Y139" i="14"/>
  <c r="AB139" i="13"/>
  <c r="AC136" i="13"/>
  <c r="AA136" i="14" s="1"/>
  <c r="AB136" i="14" s="1"/>
  <c r="Z136" i="14"/>
  <c r="AB135" i="13"/>
  <c r="Y135" i="14"/>
  <c r="AB134" i="13"/>
  <c r="Y134" i="14"/>
  <c r="AB133" i="13"/>
  <c r="Y133" i="14"/>
  <c r="N133" i="13"/>
  <c r="O133" i="13" s="1"/>
  <c r="Q133" i="13" s="1"/>
  <c r="R133" i="13" s="1"/>
  <c r="M133" i="13"/>
  <c r="M132" i="13"/>
  <c r="N132" i="13"/>
  <c r="O132" i="13" s="1"/>
  <c r="Q132" i="13" s="1"/>
  <c r="R132" i="13" s="1"/>
  <c r="AB132" i="13"/>
  <c r="Y132" i="14"/>
  <c r="AB131" i="13"/>
  <c r="Y131" i="14"/>
  <c r="AB130" i="13"/>
  <c r="Y130" i="14"/>
  <c r="Z78" i="14"/>
  <c r="AA129" i="13"/>
  <c r="AB129" i="13" s="1"/>
  <c r="N129" i="13"/>
  <c r="O129" i="13" s="1"/>
  <c r="Q129" i="13" s="1"/>
  <c r="R129" i="13" s="1"/>
  <c r="M129" i="13"/>
  <c r="AB128" i="13"/>
  <c r="Y128" i="14"/>
  <c r="AA125" i="13"/>
  <c r="AB125" i="13" s="1"/>
  <c r="AA127" i="13"/>
  <c r="AB127" i="13" s="1"/>
  <c r="AB126" i="13"/>
  <c r="Y126" i="14"/>
  <c r="M35" i="13"/>
  <c r="AB35" i="13"/>
  <c r="Y35" i="14"/>
  <c r="N125" i="13"/>
  <c r="O125" i="13" s="1"/>
  <c r="Q125" i="13" s="1"/>
  <c r="R125" i="13" s="1"/>
  <c r="M125" i="13"/>
  <c r="AB124" i="13"/>
  <c r="Y124" i="14"/>
  <c r="AB123" i="13"/>
  <c r="Y123" i="14"/>
  <c r="AA122" i="13"/>
  <c r="AB122" i="13" s="1"/>
  <c r="AC121" i="13"/>
  <c r="Z121" i="14"/>
  <c r="Y116" i="14"/>
  <c r="AA119" i="13"/>
  <c r="AB119" i="13" s="1"/>
  <c r="N55" i="13"/>
  <c r="O55" i="13" s="1"/>
  <c r="Q55" i="13" s="1"/>
  <c r="R55" i="13" s="1"/>
  <c r="M71" i="13"/>
  <c r="N119" i="13"/>
  <c r="O119" i="13" s="1"/>
  <c r="Q119" i="13" s="1"/>
  <c r="R119" i="13" s="1"/>
  <c r="M119" i="13"/>
  <c r="Y118" i="14"/>
  <c r="AB118" i="13"/>
  <c r="AA117" i="13"/>
  <c r="M41" i="13"/>
  <c r="Y79" i="14"/>
  <c r="AA111" i="14"/>
  <c r="AB111" i="14" s="1"/>
  <c r="AC116" i="13"/>
  <c r="Z116" i="14"/>
  <c r="AB115" i="13"/>
  <c r="Y115" i="14"/>
  <c r="AA113" i="13"/>
  <c r="AB113" i="13" s="1"/>
  <c r="AB112" i="13"/>
  <c r="Y112" i="14"/>
  <c r="N106" i="13"/>
  <c r="O106" i="13" s="1"/>
  <c r="Q106" i="13" s="1"/>
  <c r="R106" i="13" s="1"/>
  <c r="Z111" i="14"/>
  <c r="AB110" i="13"/>
  <c r="Y110" i="14"/>
  <c r="AA106" i="13"/>
  <c r="Y106" i="14" s="1"/>
  <c r="AA108" i="13"/>
  <c r="AB108" i="13" s="1"/>
  <c r="N108" i="13"/>
  <c r="O108" i="13" s="1"/>
  <c r="Q108" i="13" s="1"/>
  <c r="R108" i="13" s="1"/>
  <c r="M108" i="13"/>
  <c r="Y107" i="14"/>
  <c r="AB107" i="13"/>
  <c r="AA99" i="13"/>
  <c r="Y99" i="14" s="1"/>
  <c r="AA98" i="13"/>
  <c r="AB98" i="13" s="1"/>
  <c r="AD105" i="13"/>
  <c r="AA105" i="14"/>
  <c r="AB105" i="14" s="1"/>
  <c r="AA104" i="13"/>
  <c r="AB104" i="13" s="1"/>
  <c r="AB103" i="13"/>
  <c r="Y103" i="14"/>
  <c r="AB102" i="13"/>
  <c r="Y102" i="14"/>
  <c r="AA100" i="13"/>
  <c r="AB100" i="13" s="1"/>
  <c r="M74" i="13"/>
  <c r="N75" i="13"/>
  <c r="O75" i="13" s="1"/>
  <c r="Q75" i="13" s="1"/>
  <c r="R75" i="13" s="1"/>
  <c r="Y78" i="14"/>
  <c r="M80" i="13"/>
  <c r="AA97" i="13"/>
  <c r="AB97" i="13" s="1"/>
  <c r="AA96" i="13"/>
  <c r="AB96" i="13" s="1"/>
  <c r="Y92" i="14"/>
  <c r="M63" i="13"/>
  <c r="M76" i="13"/>
  <c r="M84" i="13"/>
  <c r="AC92" i="13"/>
  <c r="Z92" i="14"/>
  <c r="AA91" i="13"/>
  <c r="AB91" i="13" s="1"/>
  <c r="N91" i="13"/>
  <c r="O91" i="13" s="1"/>
  <c r="Q91" i="13" s="1"/>
  <c r="R91" i="13" s="1"/>
  <c r="M91" i="13"/>
  <c r="AB90" i="13"/>
  <c r="Y90" i="14"/>
  <c r="M36" i="13"/>
  <c r="AC49" i="13"/>
  <c r="AA49" i="14" s="1"/>
  <c r="AB49" i="14" s="1"/>
  <c r="M53" i="13"/>
  <c r="M62" i="13"/>
  <c r="AC89" i="13"/>
  <c r="Z89" i="14"/>
  <c r="N85" i="13"/>
  <c r="O85" i="13" s="1"/>
  <c r="Q85" i="13" s="1"/>
  <c r="R85" i="13" s="1"/>
  <c r="M85" i="13"/>
  <c r="AC87" i="13"/>
  <c r="Z87" i="14"/>
  <c r="AA85" i="13"/>
  <c r="Y85" i="14" s="1"/>
  <c r="Y86" i="14"/>
  <c r="AC86" i="13"/>
  <c r="Z86" i="14"/>
  <c r="AB85" i="13"/>
  <c r="AA82" i="13"/>
  <c r="Y82" i="14" s="1"/>
  <c r="AA83" i="13"/>
  <c r="AB83" i="13" s="1"/>
  <c r="AA84" i="13"/>
  <c r="AB84" i="13" s="1"/>
  <c r="AB81" i="13"/>
  <c r="Y81" i="14"/>
  <c r="AB80" i="13"/>
  <c r="Y80" i="14"/>
  <c r="AC77" i="13"/>
  <c r="Z77" i="14"/>
  <c r="AA75" i="13"/>
  <c r="Y75" i="14" s="1"/>
  <c r="AA76" i="13"/>
  <c r="M60" i="13"/>
  <c r="AA74" i="13"/>
  <c r="AB74" i="13" s="1"/>
  <c r="AD73" i="13"/>
  <c r="AA73" i="14"/>
  <c r="AB73" i="14" s="1"/>
  <c r="L33" i="14"/>
  <c r="M33" i="14" s="1"/>
  <c r="N33" i="14" s="1"/>
  <c r="O33" i="14" s="1"/>
  <c r="P33" i="14" s="1"/>
  <c r="AB72" i="13"/>
  <c r="Y72" i="14"/>
  <c r="AA37" i="13"/>
  <c r="Y37" i="14" s="1"/>
  <c r="M59" i="13"/>
  <c r="M67" i="13"/>
  <c r="AA71" i="13"/>
  <c r="AB71" i="13" s="1"/>
  <c r="AD70" i="13"/>
  <c r="N45" i="13"/>
  <c r="O45" i="13" s="1"/>
  <c r="Q45" i="13" s="1"/>
  <c r="R45" i="13" s="1"/>
  <c r="AB69" i="13"/>
  <c r="Y69" i="14"/>
  <c r="AB63" i="13"/>
  <c r="Y63" i="14"/>
  <c r="AB46" i="13"/>
  <c r="Y46" i="14"/>
  <c r="AB37" i="13"/>
  <c r="AB68" i="13"/>
  <c r="Y68" i="14"/>
  <c r="AB67" i="13"/>
  <c r="Y67" i="14"/>
  <c r="AB66" i="13"/>
  <c r="Y66" i="14"/>
  <c r="Z64" i="14"/>
  <c r="AB65" i="13"/>
  <c r="Y65" i="14"/>
  <c r="AA64" i="14"/>
  <c r="AB64" i="14" s="1"/>
  <c r="AD64" i="13"/>
  <c r="AD48" i="13"/>
  <c r="N42" i="13"/>
  <c r="O42" i="13" s="1"/>
  <c r="Q42" i="13" s="1"/>
  <c r="R42" i="13" s="1"/>
  <c r="N64" i="13"/>
  <c r="O64" i="13" s="1"/>
  <c r="Q64" i="13" s="1"/>
  <c r="R64" i="13" s="1"/>
  <c r="M64" i="13"/>
  <c r="AB62" i="13"/>
  <c r="Y62" i="14"/>
  <c r="Y60" i="14"/>
  <c r="AB59" i="13"/>
  <c r="Y59" i="14"/>
  <c r="AC58" i="13"/>
  <c r="Z58" i="14"/>
  <c r="AC57" i="13"/>
  <c r="Z57" i="14"/>
  <c r="AB55" i="13"/>
  <c r="Y55" i="14"/>
  <c r="M34" i="13"/>
  <c r="M43" i="13"/>
  <c r="M51" i="13"/>
  <c r="AB53" i="13"/>
  <c r="Y53" i="14"/>
  <c r="Y52" i="14"/>
  <c r="AB52" i="13"/>
  <c r="AB51" i="13"/>
  <c r="Y51" i="14"/>
  <c r="AD47" i="13"/>
  <c r="AA50" i="13"/>
  <c r="AB50" i="13" s="1"/>
  <c r="N50" i="13"/>
  <c r="O50" i="13" s="1"/>
  <c r="Q50" i="13" s="1"/>
  <c r="R50" i="13" s="1"/>
  <c r="M50" i="13"/>
  <c r="M40" i="13"/>
  <c r="AA39" i="14"/>
  <c r="AB39" i="14" s="1"/>
  <c r="Z39" i="14"/>
  <c r="AB45" i="13"/>
  <c r="Y45" i="14"/>
  <c r="AA41" i="13"/>
  <c r="Y41" i="14" s="1"/>
  <c r="AA43" i="13"/>
  <c r="AB43" i="13" s="1"/>
  <c r="AB42" i="13"/>
  <c r="Y42" i="14"/>
  <c r="AB40" i="13"/>
  <c r="Y40" i="14"/>
  <c r="AB36" i="13"/>
  <c r="Y36" i="14"/>
  <c r="AC38" i="13"/>
  <c r="Z38" i="14"/>
  <c r="AA33" i="13"/>
  <c r="AB33" i="13" s="1"/>
  <c r="AC33" i="13" s="1"/>
  <c r="I33" i="18"/>
  <c r="L33" i="18"/>
  <c r="I31" i="18"/>
  <c r="K31" i="18" s="1"/>
  <c r="X501" i="8"/>
  <c r="U501" i="8"/>
  <c r="L32" i="13"/>
  <c r="M32" i="13" s="1"/>
  <c r="K33" i="18"/>
  <c r="L32" i="14"/>
  <c r="M32" i="14" s="1"/>
  <c r="N32" i="14" s="1"/>
  <c r="O32" i="14" s="1"/>
  <c r="P32" i="14" s="1"/>
  <c r="AA32" i="13"/>
  <c r="Y32" i="14" s="1"/>
  <c r="O34" i="13"/>
  <c r="Q34" i="13" s="1"/>
  <c r="R34" i="13" s="1"/>
  <c r="X34" i="14"/>
  <c r="N34" i="14"/>
  <c r="O34" i="14" s="1"/>
  <c r="P34" i="14" s="1"/>
  <c r="Y254" i="8"/>
  <c r="Z254" i="8" s="1"/>
  <c r="D184" i="9"/>
  <c r="D143" i="9"/>
  <c r="Y169" i="8"/>
  <c r="Z169" i="8" s="1"/>
  <c r="Y226" i="8"/>
  <c r="Z226" i="8" s="1"/>
  <c r="D200" i="9"/>
  <c r="D104" i="9"/>
  <c r="Y130" i="8"/>
  <c r="Z130" i="8" s="1"/>
  <c r="AB162" i="8"/>
  <c r="AB262" i="8"/>
  <c r="AB241" i="8"/>
  <c r="AB124" i="8"/>
  <c r="AB93" i="8"/>
  <c r="AB147" i="8"/>
  <c r="AB121" i="8"/>
  <c r="AB180" i="8"/>
  <c r="AB154" i="8"/>
  <c r="AB79" i="8"/>
  <c r="AB64" i="8"/>
  <c r="AB223" i="8"/>
  <c r="AB237" i="8"/>
  <c r="AB39" i="8"/>
  <c r="AB252" i="8"/>
  <c r="AB247" i="8"/>
  <c r="AB268" i="8"/>
  <c r="AB87" i="8"/>
  <c r="AB158" i="8"/>
  <c r="AB109" i="8"/>
  <c r="AB139" i="8"/>
  <c r="AB260" i="8"/>
  <c r="AB170" i="8"/>
  <c r="AB78" i="8"/>
  <c r="AB86" i="8"/>
  <c r="AB54" i="8"/>
  <c r="AB266" i="8"/>
  <c r="AB161" i="8"/>
  <c r="AB66" i="8"/>
  <c r="AB56" i="8"/>
  <c r="AB236" i="8"/>
  <c r="AB174" i="8"/>
  <c r="AB107" i="8"/>
  <c r="AB111" i="8"/>
  <c r="AB95" i="8"/>
  <c r="AB238" i="8"/>
  <c r="AB70" i="8"/>
  <c r="AB89" i="8"/>
  <c r="AB118" i="8"/>
  <c r="AB88" i="8"/>
  <c r="AB207" i="8"/>
  <c r="AB186" i="8"/>
  <c r="AB52" i="8"/>
  <c r="AB224" i="8"/>
  <c r="AB38" i="8"/>
  <c r="AB185" i="8"/>
  <c r="AB249" i="8"/>
  <c r="AB165" i="8"/>
  <c r="AB44" i="8"/>
  <c r="AB282" i="8"/>
  <c r="AB283" i="8"/>
  <c r="AB47" i="8"/>
  <c r="AB184" i="8"/>
  <c r="AB92" i="8"/>
  <c r="AB258" i="8"/>
  <c r="AB116" i="8"/>
  <c r="AB120" i="8"/>
  <c r="AB77" i="8"/>
  <c r="AB94" i="8"/>
  <c r="AB164" i="8"/>
  <c r="AB101" i="8"/>
  <c r="AB152" i="8"/>
  <c r="AB58" i="8"/>
  <c r="AB270" i="8"/>
  <c r="AB137" i="8"/>
  <c r="AB211" i="8"/>
  <c r="AB57" i="8"/>
  <c r="AB48" i="8"/>
  <c r="AB105" i="8"/>
  <c r="AB244" i="8"/>
  <c r="AB209" i="8"/>
  <c r="AB178" i="8"/>
  <c r="AB138" i="8"/>
  <c r="AB143" i="8"/>
  <c r="AB267" i="8"/>
  <c r="AB214" i="8"/>
  <c r="AB49" i="8"/>
  <c r="AB275" i="8"/>
  <c r="E290" i="9"/>
  <c r="E289" i="9"/>
  <c r="E265" i="9"/>
  <c r="E292" i="9"/>
  <c r="E291" i="9"/>
  <c r="E275" i="9"/>
  <c r="E288" i="9"/>
  <c r="E299" i="9"/>
  <c r="E300" i="9"/>
  <c r="E264" i="9"/>
  <c r="E294" i="9"/>
  <c r="E270" i="9"/>
  <c r="E269" i="9"/>
  <c r="E279" i="9"/>
  <c r="E277" i="9"/>
  <c r="E261" i="9"/>
  <c r="E268" i="9"/>
  <c r="E267" i="9"/>
  <c r="E274" i="9"/>
  <c r="E301" i="9"/>
  <c r="E281" i="9"/>
  <c r="E296" i="9"/>
  <c r="E272" i="9"/>
  <c r="E295" i="9"/>
  <c r="E286" i="9"/>
  <c r="E278" i="9"/>
  <c r="E262" i="9"/>
  <c r="E271" i="9"/>
  <c r="E285" i="9"/>
  <c r="E293" i="9"/>
  <c r="E276" i="9"/>
  <c r="E260" i="9"/>
  <c r="E297" i="9"/>
  <c r="E263" i="9"/>
  <c r="E284" i="9"/>
  <c r="E287" i="9"/>
  <c r="E282" i="9"/>
  <c r="E266" i="9"/>
  <c r="E280" i="9"/>
  <c r="E283" i="9"/>
  <c r="E298" i="9"/>
  <c r="E273" i="9"/>
  <c r="Q288" i="9"/>
  <c r="P288" i="9"/>
  <c r="Q279" i="9"/>
  <c r="P279" i="9"/>
  <c r="Q301" i="9"/>
  <c r="P301" i="9"/>
  <c r="Q269" i="9"/>
  <c r="P269" i="9"/>
  <c r="Q272" i="9"/>
  <c r="P272" i="9"/>
  <c r="Q291" i="9"/>
  <c r="P291" i="9"/>
  <c r="Q294" i="9"/>
  <c r="P294" i="9"/>
  <c r="Q296" i="9"/>
  <c r="P296" i="9"/>
  <c r="Q280" i="9"/>
  <c r="P280" i="9"/>
  <c r="Q260" i="9"/>
  <c r="P260" i="9"/>
  <c r="Q278" i="9"/>
  <c r="P278" i="9"/>
  <c r="Q277" i="9"/>
  <c r="P277" i="9"/>
  <c r="Q292" i="9"/>
  <c r="P292" i="9"/>
  <c r="Q283" i="9"/>
  <c r="P283" i="9"/>
  <c r="Q274" i="9"/>
  <c r="P274" i="9"/>
  <c r="Q293" i="9"/>
  <c r="P293" i="9"/>
  <c r="Q268" i="9"/>
  <c r="P268" i="9"/>
  <c r="Q262" i="9"/>
  <c r="P262" i="9"/>
  <c r="P281" i="9"/>
  <c r="Q281" i="9"/>
  <c r="P273" i="9"/>
  <c r="Q273" i="9"/>
  <c r="Q263" i="9"/>
  <c r="P263" i="9"/>
  <c r="P289" i="9"/>
  <c r="Q289" i="9"/>
  <c r="Q300" i="9"/>
  <c r="P300" i="9"/>
  <c r="Q264" i="9"/>
  <c r="P264" i="9"/>
  <c r="Q275" i="9"/>
  <c r="P275" i="9"/>
  <c r="Q282" i="9"/>
  <c r="P282" i="9"/>
  <c r="P265" i="9"/>
  <c r="Q265" i="9"/>
  <c r="Q284" i="9"/>
  <c r="P284" i="9"/>
  <c r="Q276" i="9"/>
  <c r="P276" i="9"/>
  <c r="Q287" i="9"/>
  <c r="P287" i="9"/>
  <c r="Q290" i="9"/>
  <c r="P290" i="9"/>
  <c r="Q285" i="9"/>
  <c r="P285" i="9"/>
  <c r="Q261" i="9"/>
  <c r="P261" i="9"/>
  <c r="Q299" i="9"/>
  <c r="P299" i="9"/>
  <c r="Q267" i="9"/>
  <c r="P267" i="9"/>
  <c r="Q286" i="9"/>
  <c r="P286" i="9"/>
  <c r="Q270" i="9"/>
  <c r="P270" i="9"/>
  <c r="Q295" i="9"/>
  <c r="P295" i="9"/>
  <c r="Q298" i="9"/>
  <c r="P298" i="9"/>
  <c r="Q266" i="9"/>
  <c r="P266" i="9"/>
  <c r="P297" i="9"/>
  <c r="Q297" i="9"/>
  <c r="Q271" i="9"/>
  <c r="P271" i="9"/>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A137" i="14" l="1"/>
  <c r="AB137" i="14" s="1"/>
  <c r="O75" i="19"/>
  <c r="R75" i="19" s="1"/>
  <c r="U75" i="19" s="1"/>
  <c r="X75" i="19" s="1"/>
  <c r="AI33" i="19"/>
  <c r="B33" i="19"/>
  <c r="O275" i="19"/>
  <c r="AI32" i="19"/>
  <c r="B32" i="19"/>
  <c r="Z252" i="14"/>
  <c r="AC252" i="13"/>
  <c r="AA252" i="14" s="1"/>
  <c r="AB114" i="13"/>
  <c r="AC114" i="13" s="1"/>
  <c r="Y278" i="14"/>
  <c r="Y263" i="14"/>
  <c r="AB195" i="13"/>
  <c r="Z195" i="14" s="1"/>
  <c r="AB284" i="13"/>
  <c r="AC284" i="13" s="1"/>
  <c r="Z282" i="14"/>
  <c r="AC282" i="13"/>
  <c r="AA282" i="14" s="1"/>
  <c r="AC283" i="13"/>
  <c r="AA283" i="14" s="1"/>
  <c r="Z283" i="14"/>
  <c r="AC278" i="13"/>
  <c r="Z278" i="14"/>
  <c r="AC277" i="13"/>
  <c r="Z277" i="14"/>
  <c r="AC265" i="13"/>
  <c r="Z265" i="14"/>
  <c r="AC281" i="13"/>
  <c r="Z281" i="14"/>
  <c r="AD268" i="13"/>
  <c r="AA268" i="14"/>
  <c r="AB268" i="14" s="1"/>
  <c r="AC285" i="13"/>
  <c r="Z285" i="14"/>
  <c r="AC271" i="13"/>
  <c r="Z271" i="14"/>
  <c r="AC280" i="13"/>
  <c r="Z280" i="14"/>
  <c r="AD269" i="13"/>
  <c r="AA269" i="14"/>
  <c r="AB269" i="14" s="1"/>
  <c r="AC272" i="13"/>
  <c r="Z272" i="14"/>
  <c r="AC279" i="13"/>
  <c r="Z279" i="14"/>
  <c r="AC273" i="13"/>
  <c r="Z273" i="14"/>
  <c r="AC264" i="13"/>
  <c r="Z264" i="14"/>
  <c r="AC276" i="13"/>
  <c r="Z276" i="14"/>
  <c r="AC274" i="13"/>
  <c r="Z274" i="14"/>
  <c r="AB82" i="13"/>
  <c r="AC82" i="13" s="1"/>
  <c r="Y97" i="14"/>
  <c r="AB75" i="13"/>
  <c r="Z75" i="14" s="1"/>
  <c r="AB106" i="13"/>
  <c r="AC106" i="13" s="1"/>
  <c r="AB41" i="13"/>
  <c r="AC41" i="13" s="1"/>
  <c r="Y245" i="14"/>
  <c r="Y246" i="14"/>
  <c r="AC263" i="13"/>
  <c r="Z263" i="14"/>
  <c r="AC261" i="13"/>
  <c r="Z261" i="14"/>
  <c r="Y258" i="14"/>
  <c r="AB258" i="13"/>
  <c r="Y255" i="14"/>
  <c r="Y259" i="14"/>
  <c r="AC259" i="13"/>
  <c r="Z259" i="14"/>
  <c r="AC257" i="13"/>
  <c r="Z257" i="14"/>
  <c r="Y231" i="14"/>
  <c r="AC256" i="13"/>
  <c r="Z256" i="14"/>
  <c r="AB248" i="13"/>
  <c r="Z248" i="14" s="1"/>
  <c r="AC255" i="13"/>
  <c r="Z255" i="14"/>
  <c r="Y234" i="14"/>
  <c r="Y254" i="14"/>
  <c r="AB254" i="13"/>
  <c r="AC244" i="13"/>
  <c r="AA244" i="14" s="1"/>
  <c r="Z244" i="14"/>
  <c r="AA238" i="14"/>
  <c r="AA237" i="14"/>
  <c r="AC239" i="13"/>
  <c r="Z239" i="14"/>
  <c r="AC240" i="13"/>
  <c r="Z240" i="14"/>
  <c r="AC253" i="13"/>
  <c r="Z253" i="14"/>
  <c r="AC235" i="13"/>
  <c r="Z235" i="14"/>
  <c r="AC243" i="13"/>
  <c r="Z243" i="14"/>
  <c r="AC248" i="13"/>
  <c r="AC245" i="13"/>
  <c r="Z245" i="14"/>
  <c r="AC242" i="13"/>
  <c r="Z242" i="14"/>
  <c r="AC234" i="13"/>
  <c r="Z234" i="14"/>
  <c r="AC250" i="13"/>
  <c r="Z250" i="14"/>
  <c r="AC251" i="13"/>
  <c r="Z251" i="14"/>
  <c r="AC246" i="13"/>
  <c r="Z246" i="14"/>
  <c r="AD241" i="13"/>
  <c r="AA241" i="14"/>
  <c r="AB241" i="14" s="1"/>
  <c r="AA247" i="14"/>
  <c r="AC233" i="13"/>
  <c r="Z233" i="14"/>
  <c r="AC232" i="13"/>
  <c r="Z232" i="14"/>
  <c r="Y230" i="14"/>
  <c r="AC231" i="13"/>
  <c r="Z231" i="14"/>
  <c r="AC230" i="13"/>
  <c r="Z230" i="14"/>
  <c r="Y227" i="14"/>
  <c r="Y228" i="14"/>
  <c r="AC229" i="13"/>
  <c r="Z229" i="14"/>
  <c r="AC228" i="13"/>
  <c r="Z228" i="14"/>
  <c r="AC227" i="13"/>
  <c r="Z227" i="14"/>
  <c r="Y226" i="14"/>
  <c r="AC226" i="13"/>
  <c r="Z226" i="14"/>
  <c r="AC225" i="13"/>
  <c r="Z225" i="14"/>
  <c r="AA224" i="14"/>
  <c r="AA223" i="14"/>
  <c r="Y222" i="14"/>
  <c r="AC222" i="13"/>
  <c r="Z222" i="14"/>
  <c r="AB220" i="13"/>
  <c r="AC220" i="13" s="1"/>
  <c r="Y221" i="14"/>
  <c r="AC221" i="13"/>
  <c r="Z221" i="14"/>
  <c r="Y219" i="14"/>
  <c r="AC219" i="13"/>
  <c r="Z219" i="14"/>
  <c r="Y216" i="14"/>
  <c r="Y217" i="14"/>
  <c r="AC218" i="13"/>
  <c r="Z218" i="14"/>
  <c r="AC217" i="13"/>
  <c r="Z217" i="14"/>
  <c r="AC216" i="13"/>
  <c r="Z216" i="14"/>
  <c r="AC215" i="13"/>
  <c r="Z215" i="14"/>
  <c r="AC214" i="13"/>
  <c r="AA214" i="14" s="1"/>
  <c r="Z214" i="14"/>
  <c r="AC213" i="13"/>
  <c r="Z213" i="14"/>
  <c r="Y212" i="14"/>
  <c r="AC212" i="13"/>
  <c r="Z212" i="14"/>
  <c r="AD211" i="13"/>
  <c r="AA211" i="14"/>
  <c r="AB211" i="14" s="1"/>
  <c r="Y210" i="14"/>
  <c r="AC210" i="13"/>
  <c r="Z210" i="14"/>
  <c r="Y208" i="14"/>
  <c r="AC209" i="13"/>
  <c r="AA209" i="14" s="1"/>
  <c r="Z209" i="14"/>
  <c r="AC208" i="13"/>
  <c r="Z208" i="14"/>
  <c r="Y202" i="14"/>
  <c r="AC206" i="13"/>
  <c r="Z206" i="14"/>
  <c r="Y201" i="14"/>
  <c r="AC205" i="13"/>
  <c r="Z205" i="14"/>
  <c r="AC204" i="13"/>
  <c r="Z204" i="14"/>
  <c r="AC203" i="13"/>
  <c r="Z203" i="14"/>
  <c r="Y200" i="14"/>
  <c r="AC202" i="13"/>
  <c r="Z202" i="14"/>
  <c r="AC201" i="13"/>
  <c r="Z201" i="14"/>
  <c r="AC200" i="13"/>
  <c r="Z200" i="14"/>
  <c r="AC199" i="13"/>
  <c r="Z199" i="14"/>
  <c r="Y197" i="14"/>
  <c r="AC198" i="13"/>
  <c r="Z198" i="14"/>
  <c r="AC197" i="13"/>
  <c r="Z197" i="14"/>
  <c r="AC196" i="13"/>
  <c r="Z196" i="14"/>
  <c r="Y194" i="14"/>
  <c r="AC195" i="13"/>
  <c r="AC194" i="13"/>
  <c r="Z194" i="14"/>
  <c r="AC193" i="13"/>
  <c r="Z193" i="14"/>
  <c r="AC192" i="13"/>
  <c r="Z192" i="14"/>
  <c r="AC191" i="13"/>
  <c r="Z191" i="14"/>
  <c r="Y187" i="14"/>
  <c r="Z109" i="14"/>
  <c r="AC109" i="13"/>
  <c r="AC190" i="13"/>
  <c r="Z190" i="14"/>
  <c r="AC189" i="13"/>
  <c r="Z189" i="14"/>
  <c r="AC188" i="13"/>
  <c r="Z188" i="14"/>
  <c r="AC187" i="13"/>
  <c r="Z187" i="14"/>
  <c r="AA185" i="14"/>
  <c r="AD184" i="13"/>
  <c r="AA184" i="14"/>
  <c r="AB184" i="14" s="1"/>
  <c r="Y181" i="14"/>
  <c r="Y182" i="14"/>
  <c r="Y183" i="14"/>
  <c r="AC183" i="13"/>
  <c r="Z183" i="14"/>
  <c r="AC182" i="13"/>
  <c r="Z182" i="14"/>
  <c r="AC181" i="13"/>
  <c r="Z181" i="14"/>
  <c r="Y179" i="14"/>
  <c r="AC180" i="13"/>
  <c r="AA180" i="14" s="1"/>
  <c r="Z180" i="14"/>
  <c r="AC179" i="13"/>
  <c r="Z179" i="14"/>
  <c r="AC178" i="13"/>
  <c r="AA178" i="14" s="1"/>
  <c r="Z178" i="14"/>
  <c r="AC177" i="13"/>
  <c r="Z177" i="14"/>
  <c r="Y176" i="14"/>
  <c r="AC176" i="13"/>
  <c r="Z176" i="14"/>
  <c r="AD175" i="13"/>
  <c r="AA175" i="14"/>
  <c r="AB175" i="14" s="1"/>
  <c r="Y167" i="14"/>
  <c r="Y172" i="14"/>
  <c r="AC173" i="13"/>
  <c r="Z173" i="14"/>
  <c r="AC172" i="13"/>
  <c r="Z172" i="14"/>
  <c r="Y171" i="14"/>
  <c r="AC171" i="13"/>
  <c r="Z171" i="14"/>
  <c r="Y168" i="14"/>
  <c r="AC169" i="13"/>
  <c r="Z169" i="14"/>
  <c r="AC168" i="13"/>
  <c r="Z168" i="14"/>
  <c r="AC167" i="13"/>
  <c r="Z167" i="14"/>
  <c r="AC166" i="13"/>
  <c r="Z166" i="14"/>
  <c r="Y163" i="14"/>
  <c r="AD165" i="13"/>
  <c r="AA165" i="14"/>
  <c r="AB165" i="14" s="1"/>
  <c r="AC164" i="13"/>
  <c r="AA164" i="14" s="1"/>
  <c r="Z164" i="14"/>
  <c r="AC163" i="13"/>
  <c r="Z163" i="14"/>
  <c r="AA162" i="14"/>
  <c r="AA161" i="14"/>
  <c r="AC160" i="13"/>
  <c r="Z160" i="14"/>
  <c r="Y153" i="14"/>
  <c r="Y159" i="14"/>
  <c r="AB159" i="13"/>
  <c r="Y157" i="14"/>
  <c r="AC157" i="13"/>
  <c r="Z157" i="14"/>
  <c r="AC61" i="13"/>
  <c r="AD61" i="13" s="1"/>
  <c r="Y156" i="14"/>
  <c r="AC156" i="13"/>
  <c r="Z156" i="14"/>
  <c r="Y155" i="14"/>
  <c r="AC155" i="13"/>
  <c r="Z155" i="14"/>
  <c r="AA154" i="14"/>
  <c r="Y140" i="14"/>
  <c r="AC153" i="13"/>
  <c r="Z153" i="14"/>
  <c r="AC151" i="13"/>
  <c r="Z151" i="14"/>
  <c r="Y125" i="14"/>
  <c r="AC150" i="13"/>
  <c r="Z150" i="14"/>
  <c r="Y148" i="14"/>
  <c r="AD149" i="13"/>
  <c r="AC148" i="13"/>
  <c r="Z148" i="14"/>
  <c r="Z147" i="14"/>
  <c r="AC147" i="13"/>
  <c r="AA147" i="14" s="1"/>
  <c r="AC146" i="13"/>
  <c r="Z146" i="14"/>
  <c r="Y129" i="14"/>
  <c r="AC145" i="13"/>
  <c r="Z145" i="14"/>
  <c r="AC144" i="13"/>
  <c r="Z144" i="14"/>
  <c r="Y142" i="14"/>
  <c r="AC142" i="13"/>
  <c r="Z142" i="14"/>
  <c r="AC141" i="13"/>
  <c r="Z141" i="14"/>
  <c r="AD136" i="13"/>
  <c r="AC140" i="13"/>
  <c r="Z140" i="14"/>
  <c r="AC139" i="13"/>
  <c r="AA139" i="14" s="1"/>
  <c r="Z139" i="14"/>
  <c r="AC135" i="13"/>
  <c r="Z135" i="14"/>
  <c r="AC134" i="13"/>
  <c r="Z134" i="14"/>
  <c r="AC133" i="13"/>
  <c r="Z133" i="14"/>
  <c r="AC132" i="13"/>
  <c r="Z132" i="14"/>
  <c r="AC131" i="13"/>
  <c r="Z131" i="14"/>
  <c r="AC130" i="13"/>
  <c r="Z130" i="14"/>
  <c r="AC129" i="13"/>
  <c r="Z129" i="14"/>
  <c r="AC128" i="13"/>
  <c r="Z128" i="14"/>
  <c r="Y127" i="14"/>
  <c r="AC127" i="13"/>
  <c r="Z127" i="14"/>
  <c r="AC126" i="13"/>
  <c r="Z126" i="14"/>
  <c r="AC35" i="13"/>
  <c r="Z35" i="14"/>
  <c r="AC125" i="13"/>
  <c r="Z125" i="14"/>
  <c r="AC124" i="13"/>
  <c r="AA124" i="14" s="1"/>
  <c r="Z124" i="14"/>
  <c r="Y119" i="14"/>
  <c r="AC123" i="13"/>
  <c r="Z123" i="14"/>
  <c r="Y122" i="14"/>
  <c r="AC122" i="13"/>
  <c r="Z122" i="14"/>
  <c r="AA121" i="14"/>
  <c r="AC119" i="13"/>
  <c r="Z119" i="14"/>
  <c r="Z118" i="14"/>
  <c r="AC118" i="13"/>
  <c r="AA118" i="14" s="1"/>
  <c r="Y117" i="14"/>
  <c r="AB117" i="13"/>
  <c r="AA116" i="14"/>
  <c r="AC115" i="13"/>
  <c r="Z115" i="14"/>
  <c r="Y113" i="14"/>
  <c r="Z114" i="14"/>
  <c r="AC113" i="13"/>
  <c r="Z113" i="14"/>
  <c r="Y98" i="14"/>
  <c r="AC112" i="13"/>
  <c r="Z112" i="14"/>
  <c r="AC110" i="13"/>
  <c r="Z110" i="14"/>
  <c r="Y108" i="14"/>
  <c r="AC108" i="13"/>
  <c r="Z108" i="14"/>
  <c r="Z107" i="14"/>
  <c r="AC107" i="13"/>
  <c r="AA107" i="14" s="1"/>
  <c r="Z106" i="14"/>
  <c r="AB99" i="13"/>
  <c r="Z99" i="14" s="1"/>
  <c r="AC98" i="13"/>
  <c r="Z98" i="14"/>
  <c r="Y104" i="14"/>
  <c r="AC104" i="13"/>
  <c r="Z104" i="14"/>
  <c r="Y100" i="14"/>
  <c r="AC103" i="13"/>
  <c r="Z103" i="14"/>
  <c r="AC102" i="13"/>
  <c r="Z102" i="14"/>
  <c r="AC100" i="13"/>
  <c r="Z100" i="14"/>
  <c r="Y96" i="14"/>
  <c r="AC97" i="13"/>
  <c r="Z97" i="14"/>
  <c r="AC96" i="13"/>
  <c r="Z96" i="14"/>
  <c r="Y91" i="14"/>
  <c r="AD49" i="13"/>
  <c r="AA92" i="14"/>
  <c r="AC91" i="13"/>
  <c r="Z91" i="14"/>
  <c r="Y83" i="14"/>
  <c r="AC90" i="13"/>
  <c r="Z90" i="14"/>
  <c r="AD89" i="13"/>
  <c r="AA89" i="14"/>
  <c r="AB89" i="14" s="1"/>
  <c r="AD87" i="13"/>
  <c r="AA87" i="14"/>
  <c r="AB87" i="14" s="1"/>
  <c r="AA86" i="14"/>
  <c r="AC85" i="13"/>
  <c r="Z85" i="14"/>
  <c r="Y84" i="14"/>
  <c r="AC84" i="13"/>
  <c r="Z84" i="14"/>
  <c r="AC83" i="13"/>
  <c r="Z83" i="14"/>
  <c r="AC81" i="13"/>
  <c r="Z81" i="14"/>
  <c r="AC80" i="13"/>
  <c r="Z80" i="14"/>
  <c r="AD77" i="13"/>
  <c r="AA77" i="14"/>
  <c r="AB77" i="14" s="1"/>
  <c r="Y76" i="14"/>
  <c r="AB76" i="13"/>
  <c r="Y74" i="14"/>
  <c r="AC74" i="13"/>
  <c r="Z74" i="14"/>
  <c r="AC72" i="13"/>
  <c r="Z72" i="14"/>
  <c r="Y71" i="14"/>
  <c r="AC71" i="13"/>
  <c r="Z71" i="14"/>
  <c r="AC69" i="13"/>
  <c r="Z69" i="14"/>
  <c r="AC63" i="13"/>
  <c r="Z63" i="14"/>
  <c r="Y33" i="14"/>
  <c r="AC46" i="13"/>
  <c r="Z46" i="14"/>
  <c r="AC37" i="13"/>
  <c r="Z37" i="14"/>
  <c r="AC68" i="13"/>
  <c r="Z68" i="14"/>
  <c r="AC67" i="13"/>
  <c r="Z67" i="14"/>
  <c r="AC66" i="13"/>
  <c r="AA66" i="14" s="1"/>
  <c r="Z66" i="14"/>
  <c r="AC65" i="13"/>
  <c r="Z65" i="14"/>
  <c r="AC62" i="13"/>
  <c r="Z62" i="14"/>
  <c r="AC59" i="13"/>
  <c r="Z59" i="14"/>
  <c r="AD58" i="13"/>
  <c r="AA58" i="14"/>
  <c r="AB58" i="14" s="1"/>
  <c r="AD57" i="13"/>
  <c r="AA57" i="14"/>
  <c r="AB57" i="14" s="1"/>
  <c r="AC55" i="13"/>
  <c r="Z55" i="14"/>
  <c r="AC53" i="13"/>
  <c r="Z53" i="14"/>
  <c r="Z52" i="14"/>
  <c r="AC52" i="13"/>
  <c r="AA52" i="14" s="1"/>
  <c r="Y50" i="14"/>
  <c r="AC51" i="13"/>
  <c r="Z51" i="14"/>
  <c r="AC50" i="13"/>
  <c r="Z50" i="14"/>
  <c r="AC45" i="13"/>
  <c r="Z45" i="14"/>
  <c r="Y43" i="14"/>
  <c r="AC43" i="13"/>
  <c r="Z43" i="14"/>
  <c r="AC42" i="13"/>
  <c r="Z42" i="14"/>
  <c r="AC36" i="13"/>
  <c r="Z36" i="14"/>
  <c r="AC40" i="13"/>
  <c r="Z40" i="14"/>
  <c r="AD38" i="13"/>
  <c r="AA38" i="14"/>
  <c r="AB38" i="14" s="1"/>
  <c r="N32" i="13"/>
  <c r="O32" i="13" s="1"/>
  <c r="Q32" i="13" s="1"/>
  <c r="R32" i="13" s="1"/>
  <c r="AB32" i="13"/>
  <c r="AC32" i="13" s="1"/>
  <c r="AB34" i="13"/>
  <c r="AC34" i="13" s="1"/>
  <c r="Y34" i="14"/>
  <c r="Z33" i="14"/>
  <c r="H3" i="19" l="1"/>
  <c r="R275" i="19"/>
  <c r="U275" i="19" s="1"/>
  <c r="AC75" i="13"/>
  <c r="Z82" i="14"/>
  <c r="Z41" i="14"/>
  <c r="Z284" i="14"/>
  <c r="AC99" i="13"/>
  <c r="AD276" i="13"/>
  <c r="AA276" i="14"/>
  <c r="AB276" i="14" s="1"/>
  <c r="AA273" i="14"/>
  <c r="AB273" i="14" s="1"/>
  <c r="AD273" i="13"/>
  <c r="AA284" i="14"/>
  <c r="AD280" i="13"/>
  <c r="AA280" i="14"/>
  <c r="AB280" i="14" s="1"/>
  <c r="AD265" i="13"/>
  <c r="AA265" i="14"/>
  <c r="AB265" i="14" s="1"/>
  <c r="AA274" i="14"/>
  <c r="AB274" i="14" s="1"/>
  <c r="AD274" i="13"/>
  <c r="AD264" i="13"/>
  <c r="AA264" i="14"/>
  <c r="AB264" i="14" s="1"/>
  <c r="AA271" i="14"/>
  <c r="AB271" i="14" s="1"/>
  <c r="AD271" i="13"/>
  <c r="AA285" i="14"/>
  <c r="AA281" i="14"/>
  <c r="AB281" i="14" s="1"/>
  <c r="AD281" i="13"/>
  <c r="AA272" i="14"/>
  <c r="AB272" i="14" s="1"/>
  <c r="AD272" i="13"/>
  <c r="AA278" i="14"/>
  <c r="AA279" i="14"/>
  <c r="AB279" i="14" s="1"/>
  <c r="AD279" i="13"/>
  <c r="AD277" i="13"/>
  <c r="AA277" i="14"/>
  <c r="AB277" i="14" s="1"/>
  <c r="AA263" i="14"/>
  <c r="AA261" i="14"/>
  <c r="AB261" i="14" s="1"/>
  <c r="AD261" i="13"/>
  <c r="AC258" i="13"/>
  <c r="AA258" i="14" s="1"/>
  <c r="Z258" i="14"/>
  <c r="AA259" i="14"/>
  <c r="AA257" i="14"/>
  <c r="AB257" i="14" s="1"/>
  <c r="AD257" i="13"/>
  <c r="AD256" i="13"/>
  <c r="AA256" i="14"/>
  <c r="AB256" i="14" s="1"/>
  <c r="AA255" i="14"/>
  <c r="Z254" i="14"/>
  <c r="AC254" i="13"/>
  <c r="AA254" i="14" s="1"/>
  <c r="AA246" i="14"/>
  <c r="AA251" i="14"/>
  <c r="AB251" i="14" s="1"/>
  <c r="AD251" i="13"/>
  <c r="AA250" i="14"/>
  <c r="AB250" i="14" s="1"/>
  <c r="AD250" i="13"/>
  <c r="AA234" i="14"/>
  <c r="AD242" i="13"/>
  <c r="AA242" i="14"/>
  <c r="AB242" i="14" s="1"/>
  <c r="AA245" i="14"/>
  <c r="AA248" i="14"/>
  <c r="AD243" i="13"/>
  <c r="AA243" i="14"/>
  <c r="AB243" i="14" s="1"/>
  <c r="AA235" i="14"/>
  <c r="AB235" i="14" s="1"/>
  <c r="AD235" i="13"/>
  <c r="AD253" i="13"/>
  <c r="AA253" i="14"/>
  <c r="AB253" i="14" s="1"/>
  <c r="AD240" i="13"/>
  <c r="AA240" i="14"/>
  <c r="AB240" i="14" s="1"/>
  <c r="AD239" i="13"/>
  <c r="AA239" i="14"/>
  <c r="AB239" i="14" s="1"/>
  <c r="AD233" i="13"/>
  <c r="AA233" i="14"/>
  <c r="AB233" i="14" s="1"/>
  <c r="AA232" i="14"/>
  <c r="AB232" i="14" s="1"/>
  <c r="AD232" i="13"/>
  <c r="AA231" i="14"/>
  <c r="AA230" i="14"/>
  <c r="AD229" i="13"/>
  <c r="AA229" i="14"/>
  <c r="AB229" i="14" s="1"/>
  <c r="AA228" i="14"/>
  <c r="Z220" i="14"/>
  <c r="AA227" i="14"/>
  <c r="AA226" i="14"/>
  <c r="AA225" i="14"/>
  <c r="AB225" i="14" s="1"/>
  <c r="AD225" i="13"/>
  <c r="AA222" i="14"/>
  <c r="AA221" i="14"/>
  <c r="AA220" i="14"/>
  <c r="AA219" i="14"/>
  <c r="AD218" i="13"/>
  <c r="AA218" i="14"/>
  <c r="AB218" i="14" s="1"/>
  <c r="AA217" i="14"/>
  <c r="AA216" i="14"/>
  <c r="AD215" i="13"/>
  <c r="AA215" i="14"/>
  <c r="AB215" i="14" s="1"/>
  <c r="AD213" i="13"/>
  <c r="AA213" i="14"/>
  <c r="AB213" i="14" s="1"/>
  <c r="AA212" i="14"/>
  <c r="AA210" i="14"/>
  <c r="AA208" i="14"/>
  <c r="AD206" i="13"/>
  <c r="AA206" i="14"/>
  <c r="AB206" i="14" s="1"/>
  <c r="AD205" i="13"/>
  <c r="AA205" i="14"/>
  <c r="AB205" i="14" s="1"/>
  <c r="AD204" i="13"/>
  <c r="AA204" i="14"/>
  <c r="AB204" i="14" s="1"/>
  <c r="AD203" i="13"/>
  <c r="AA203" i="14"/>
  <c r="AB203" i="14" s="1"/>
  <c r="AA202" i="14"/>
  <c r="AA201" i="14"/>
  <c r="AA200" i="14"/>
  <c r="AD199" i="13"/>
  <c r="AA199" i="14"/>
  <c r="AB199" i="14" s="1"/>
  <c r="AA198" i="14"/>
  <c r="AB198" i="14" s="1"/>
  <c r="AD198" i="13"/>
  <c r="AA197" i="14"/>
  <c r="AD196" i="13"/>
  <c r="AA196" i="14"/>
  <c r="AB196" i="14" s="1"/>
  <c r="AA195" i="14"/>
  <c r="AA194" i="14"/>
  <c r="AD193" i="13"/>
  <c r="AA193" i="14"/>
  <c r="AB193" i="14" s="1"/>
  <c r="AD192" i="13"/>
  <c r="AA192" i="14"/>
  <c r="AB192" i="14" s="1"/>
  <c r="AD191" i="13"/>
  <c r="AA191" i="14"/>
  <c r="AB191" i="14" s="1"/>
  <c r="AA109" i="14"/>
  <c r="AB109" i="14" s="1"/>
  <c r="AD109" i="13"/>
  <c r="AA61" i="14"/>
  <c r="AB61" i="14" s="1"/>
  <c r="AD190" i="13"/>
  <c r="AA190" i="14"/>
  <c r="AB190" i="14" s="1"/>
  <c r="AA189" i="14"/>
  <c r="AB189" i="14" s="1"/>
  <c r="AD189" i="13"/>
  <c r="AD188" i="13"/>
  <c r="AA188" i="14"/>
  <c r="AB188" i="14" s="1"/>
  <c r="AA187" i="14"/>
  <c r="AA183" i="14"/>
  <c r="AA182" i="14"/>
  <c r="AA181" i="14"/>
  <c r="AA179" i="14"/>
  <c r="AD177" i="13"/>
  <c r="AA177" i="14"/>
  <c r="AB177" i="14" s="1"/>
  <c r="AA176" i="14"/>
  <c r="AD173" i="13"/>
  <c r="AA173" i="14"/>
  <c r="AB173" i="14" s="1"/>
  <c r="AA172" i="14"/>
  <c r="AA171" i="14"/>
  <c r="AA169" i="14"/>
  <c r="AB169" i="14" s="1"/>
  <c r="AD169" i="13"/>
  <c r="AA168" i="14"/>
  <c r="AA167" i="14"/>
  <c r="AD166" i="13"/>
  <c r="AA166" i="14"/>
  <c r="AB166" i="14" s="1"/>
  <c r="AA163" i="14"/>
  <c r="AA160" i="14"/>
  <c r="AB160" i="14" s="1"/>
  <c r="AD160" i="13"/>
  <c r="Z159" i="14"/>
  <c r="AC159" i="13"/>
  <c r="AA159" i="14" s="1"/>
  <c r="AA157" i="14"/>
  <c r="AA156" i="14"/>
  <c r="AA155" i="14"/>
  <c r="AA153" i="14"/>
  <c r="AD151" i="13"/>
  <c r="AA151" i="14"/>
  <c r="AB151" i="14" s="1"/>
  <c r="AD150" i="13"/>
  <c r="AA150" i="14"/>
  <c r="AB150" i="14" s="1"/>
  <c r="AA148" i="14"/>
  <c r="AD146" i="13"/>
  <c r="AA146" i="14"/>
  <c r="AB146" i="14" s="1"/>
  <c r="AD145" i="13"/>
  <c r="AA145" i="14"/>
  <c r="AB145" i="14" s="1"/>
  <c r="AD144" i="13"/>
  <c r="AA144" i="14"/>
  <c r="AB144" i="14" s="1"/>
  <c r="AA142" i="14"/>
  <c r="AD141" i="13"/>
  <c r="AA141" i="14"/>
  <c r="AB141" i="14" s="1"/>
  <c r="AA140" i="14"/>
  <c r="AD135" i="13"/>
  <c r="AA135" i="14"/>
  <c r="AB135" i="14" s="1"/>
  <c r="AD134" i="13"/>
  <c r="AA134" i="14"/>
  <c r="AB134" i="14" s="1"/>
  <c r="AD133" i="13"/>
  <c r="AA133" i="14"/>
  <c r="AB133" i="14" s="1"/>
  <c r="AD132" i="13"/>
  <c r="AA132" i="14"/>
  <c r="AB132" i="14" s="1"/>
  <c r="AD131" i="13"/>
  <c r="AA131" i="14"/>
  <c r="AB131" i="14" s="1"/>
  <c r="AD130" i="13"/>
  <c r="AA130" i="14"/>
  <c r="AB130" i="14" s="1"/>
  <c r="AA129" i="14"/>
  <c r="AA128" i="14"/>
  <c r="AA127" i="14"/>
  <c r="AD126" i="13"/>
  <c r="AA126" i="14"/>
  <c r="AB126" i="14" s="1"/>
  <c r="AA35" i="14"/>
  <c r="AB35" i="14" s="1"/>
  <c r="AD35" i="13"/>
  <c r="AA125" i="14"/>
  <c r="AA123" i="14"/>
  <c r="AB123" i="14" s="1"/>
  <c r="AD123" i="13"/>
  <c r="AA122" i="14"/>
  <c r="AA119" i="14"/>
  <c r="Z117" i="14"/>
  <c r="AC117" i="13"/>
  <c r="AA117" i="14" s="1"/>
  <c r="AD115" i="13"/>
  <c r="AA115" i="14"/>
  <c r="AB115" i="14" s="1"/>
  <c r="AA114" i="14"/>
  <c r="AA113" i="14"/>
  <c r="AA112" i="14"/>
  <c r="AB112" i="14" s="1"/>
  <c r="AD112" i="13"/>
  <c r="AD110" i="13"/>
  <c r="AA110" i="14"/>
  <c r="AB110" i="14" s="1"/>
  <c r="AA108" i="14"/>
  <c r="AA106" i="14"/>
  <c r="AA98" i="14"/>
  <c r="AA104" i="14"/>
  <c r="AD103" i="13"/>
  <c r="AA103" i="14"/>
  <c r="AB103" i="14" s="1"/>
  <c r="AD102" i="13"/>
  <c r="AA102" i="14"/>
  <c r="AB102" i="14" s="1"/>
  <c r="AA100" i="14"/>
  <c r="AA99" i="14"/>
  <c r="AA96" i="14"/>
  <c r="AA97" i="14"/>
  <c r="AA91" i="14"/>
  <c r="AA90" i="14"/>
  <c r="AB90" i="14" s="1"/>
  <c r="AD90" i="13"/>
  <c r="AA85" i="14"/>
  <c r="AA82" i="14"/>
  <c r="AA84" i="14"/>
  <c r="AA83" i="14"/>
  <c r="AD81" i="13"/>
  <c r="AA81" i="14"/>
  <c r="AB81" i="14" s="1"/>
  <c r="AD80" i="13"/>
  <c r="AA80" i="14"/>
  <c r="AB80" i="14" s="1"/>
  <c r="Z76" i="14"/>
  <c r="AC76" i="13"/>
  <c r="AA76" i="14" s="1"/>
  <c r="AA75" i="14"/>
  <c r="AA74" i="14"/>
  <c r="AD72" i="13"/>
  <c r="AA72" i="14"/>
  <c r="AB72" i="14" s="1"/>
  <c r="AA71" i="14"/>
  <c r="AD69" i="13"/>
  <c r="AA69" i="14"/>
  <c r="AB69" i="14" s="1"/>
  <c r="AD63" i="13"/>
  <c r="AA63" i="14"/>
  <c r="AB63" i="14" s="1"/>
  <c r="AD46" i="13"/>
  <c r="AA46" i="14"/>
  <c r="AB46" i="14" s="1"/>
  <c r="AA37" i="14"/>
  <c r="AD68" i="13"/>
  <c r="AA68" i="14"/>
  <c r="AB68" i="14" s="1"/>
  <c r="AD67" i="13"/>
  <c r="AA67" i="14"/>
  <c r="AB67" i="14" s="1"/>
  <c r="AD65" i="13"/>
  <c r="AA65" i="14"/>
  <c r="AB65" i="14" s="1"/>
  <c r="AD62" i="13"/>
  <c r="AA62" i="14"/>
  <c r="AB62" i="14" s="1"/>
  <c r="AD59" i="13"/>
  <c r="AA59" i="14"/>
  <c r="AB59" i="14" s="1"/>
  <c r="AD55" i="13"/>
  <c r="AA55" i="14"/>
  <c r="AB55" i="14" s="1"/>
  <c r="AD53" i="13"/>
  <c r="AA53" i="14"/>
  <c r="AB53" i="14" s="1"/>
  <c r="AA51" i="14"/>
  <c r="AA50" i="14"/>
  <c r="AD45" i="13"/>
  <c r="AA45" i="14"/>
  <c r="AB45" i="14" s="1"/>
  <c r="AA43" i="14"/>
  <c r="AD42" i="13"/>
  <c r="AA42" i="14"/>
  <c r="AB42" i="14" s="1"/>
  <c r="AD40" i="13"/>
  <c r="AA40" i="14"/>
  <c r="AB40" i="14" s="1"/>
  <c r="AA41" i="14"/>
  <c r="AA36" i="14"/>
  <c r="AB36" i="14" s="1"/>
  <c r="AD36" i="13"/>
  <c r="Z32" i="14"/>
  <c r="AA34" i="14"/>
  <c r="Z34" i="14"/>
  <c r="AA33" i="14"/>
  <c r="AA32" i="14"/>
  <c r="A6" i="4"/>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X275" i="19" l="1"/>
  <c r="AB34" i="14"/>
  <c r="A317" i="6"/>
  <c r="AX317" i="6" l="1"/>
  <c r="AV317" i="6"/>
  <c r="AW317" i="6"/>
  <c r="AW273" i="6" l="1"/>
  <c r="AX273" i="6"/>
  <c r="AV273" i="6"/>
  <c r="AX213" i="6" l="1"/>
  <c r="AW213" i="6"/>
  <c r="AV213" i="6"/>
  <c r="AV102" i="6"/>
  <c r="AX102" i="6"/>
  <c r="AW102" i="6"/>
  <c r="AX44" i="6"/>
  <c r="AW44" i="6"/>
  <c r="AV44" i="6"/>
  <c r="AX170" i="6"/>
  <c r="AV170" i="6"/>
  <c r="AW170" i="6"/>
  <c r="AX91" i="6"/>
  <c r="AV91" i="6"/>
  <c r="AW91" i="6"/>
  <c r="AX89" i="6"/>
  <c r="AW89" i="6"/>
  <c r="AV89" i="6"/>
  <c r="E259" i="9" l="1"/>
  <c r="Q259" i="9"/>
  <c r="P259" i="9"/>
  <c r="AV264" i="6"/>
  <c r="AV261" i="6"/>
  <c r="AW217" i="6"/>
  <c r="AX98" i="6" l="1"/>
  <c r="E156" i="9"/>
  <c r="E75" i="9"/>
  <c r="E88" i="9"/>
  <c r="E30" i="9"/>
  <c r="E77" i="9"/>
  <c r="AW98" i="6"/>
  <c r="AX94" i="6"/>
  <c r="AV94" i="6"/>
  <c r="AV98" i="6"/>
  <c r="AW94" i="6"/>
  <c r="AV108" i="6"/>
  <c r="AX108" i="6"/>
  <c r="AW108" i="6"/>
  <c r="AV103" i="6"/>
  <c r="AW32" i="6"/>
  <c r="AW103" i="6"/>
  <c r="AW190" i="6"/>
  <c r="AX79" i="6"/>
  <c r="AX103" i="6"/>
  <c r="AV79" i="6"/>
  <c r="AV32" i="6"/>
  <c r="AW79" i="6"/>
  <c r="AX32" i="6"/>
  <c r="AX190" i="6"/>
  <c r="AX261" i="6"/>
  <c r="AV190" i="6"/>
  <c r="Q156" i="9"/>
  <c r="P156" i="9"/>
  <c r="Q77" i="9"/>
  <c r="P77" i="9"/>
  <c r="Q88" i="9"/>
  <c r="P88" i="9"/>
  <c r="Q30" i="9"/>
  <c r="P30" i="9"/>
  <c r="Q75" i="9"/>
  <c r="P75" i="9"/>
  <c r="AV267" i="6"/>
  <c r="AV209" i="6"/>
  <c r="AW261" i="6"/>
  <c r="AV210" i="6"/>
  <c r="AX217" i="6"/>
  <c r="AW264" i="6"/>
  <c r="AV212" i="6"/>
  <c r="AV268" i="6"/>
  <c r="AX209" i="6"/>
  <c r="AW212" i="6"/>
  <c r="AX267" i="6"/>
  <c r="AW267" i="6"/>
  <c r="AX268" i="6"/>
  <c r="AV217" i="6"/>
  <c r="AX212" i="6"/>
  <c r="AX264" i="6"/>
  <c r="AW268" i="6"/>
  <c r="AW210" i="6"/>
  <c r="AV174" i="6"/>
  <c r="AX229" i="6"/>
  <c r="AW209" i="6"/>
  <c r="AX210" i="6"/>
  <c r="AV251" i="6"/>
  <c r="AX149" i="6"/>
  <c r="AV145" i="6"/>
  <c r="AW99" i="6"/>
  <c r="AV117" i="6"/>
  <c r="AX187" i="6"/>
  <c r="AW125" i="6"/>
  <c r="AX195" i="6"/>
  <c r="AX95" i="6"/>
  <c r="AX246" i="6"/>
  <c r="AX201" i="6"/>
  <c r="AW80" i="6"/>
  <c r="AV80" i="6"/>
  <c r="AX80" i="6"/>
  <c r="AW152" i="6"/>
  <c r="AX152" i="6"/>
  <c r="AV152" i="6"/>
  <c r="AV189" i="6"/>
  <c r="AX189" i="6"/>
  <c r="AW189" i="6"/>
  <c r="AV109" i="6"/>
  <c r="AW109" i="6"/>
  <c r="AX109" i="6"/>
  <c r="AX186" i="6"/>
  <c r="AW186" i="6"/>
  <c r="AV186" i="6"/>
  <c r="AX90" i="6"/>
  <c r="AV90" i="6"/>
  <c r="AW90" i="6"/>
  <c r="AX92" i="6"/>
  <c r="AW92" i="6"/>
  <c r="AV92" i="6"/>
  <c r="AX164" i="6"/>
  <c r="AV164" i="6"/>
  <c r="AW164" i="6"/>
  <c r="AX30" i="6"/>
  <c r="AV30" i="6"/>
  <c r="AW30" i="6"/>
  <c r="AX78" i="6"/>
  <c r="AV78" i="6"/>
  <c r="AW78" i="6"/>
  <c r="AX31" i="6"/>
  <c r="AW31" i="6"/>
  <c r="AV31" i="6"/>
  <c r="AX47" i="6"/>
  <c r="AW47" i="6"/>
  <c r="AV47" i="6"/>
  <c r="AW96" i="6"/>
  <c r="AV96" i="6"/>
  <c r="AX96" i="6"/>
  <c r="AX257" i="6"/>
  <c r="AV77" i="6"/>
  <c r="AW77" i="6"/>
  <c r="AX77" i="6"/>
  <c r="AW157" i="6"/>
  <c r="AX157" i="6"/>
  <c r="AV157" i="6"/>
  <c r="AX126" i="6"/>
  <c r="AW126" i="6"/>
  <c r="AV126" i="6"/>
  <c r="AV180" i="6"/>
  <c r="AW180" i="6"/>
  <c r="AX180" i="6"/>
  <c r="AW185" i="6"/>
  <c r="AX185" i="6"/>
  <c r="AV185" i="6"/>
  <c r="AW172" i="6"/>
  <c r="AX172" i="6"/>
  <c r="AV172" i="6"/>
  <c r="AV211" i="6"/>
  <c r="AW211" i="6"/>
  <c r="AX211" i="6"/>
  <c r="AX183" i="6"/>
  <c r="AV183" i="6"/>
  <c r="AW183" i="6"/>
  <c r="AW65" i="6"/>
  <c r="AX65" i="6"/>
  <c r="AV65" i="6"/>
  <c r="AV41" i="6"/>
  <c r="AX41" i="6"/>
  <c r="AW41" i="6"/>
  <c r="AX165" i="6"/>
  <c r="AW165" i="6"/>
  <c r="AV165" i="6"/>
  <c r="AV104" i="6"/>
  <c r="AX104" i="6"/>
  <c r="AW104" i="6"/>
  <c r="AW184" i="6"/>
  <c r="AV184" i="6"/>
  <c r="AX184" i="6"/>
  <c r="AX107" i="6"/>
  <c r="AV107" i="6"/>
  <c r="AW107" i="6"/>
  <c r="AW82" i="6"/>
  <c r="AX82" i="6"/>
  <c r="AV82" i="6"/>
  <c r="AX155" i="6"/>
  <c r="AW155" i="6"/>
  <c r="AV155" i="6"/>
  <c r="AW175" i="6"/>
  <c r="AX175" i="6"/>
  <c r="AV175" i="6"/>
  <c r="AV60" i="6"/>
  <c r="AX60" i="6"/>
  <c r="AW60" i="6"/>
  <c r="AW171" i="6"/>
  <c r="AV171" i="6"/>
  <c r="AX171" i="6"/>
  <c r="AB285" i="8" l="1"/>
  <c r="AX168" i="6"/>
  <c r="E199" i="9"/>
  <c r="AW257" i="6"/>
  <c r="AV257" i="6"/>
  <c r="AW199" i="6"/>
  <c r="AX256" i="6"/>
  <c r="AW117" i="6"/>
  <c r="AV230" i="6"/>
  <c r="AV256" i="6"/>
  <c r="AW229" i="6"/>
  <c r="AX45" i="6"/>
  <c r="AV246" i="6"/>
  <c r="AW256" i="6"/>
  <c r="AW230" i="6"/>
  <c r="AX230" i="6"/>
  <c r="AW232" i="6"/>
  <c r="AX232" i="6"/>
  <c r="AW251" i="6"/>
  <c r="AV266" i="6"/>
  <c r="AW266" i="6"/>
  <c r="AX266" i="6"/>
  <c r="AV187" i="6"/>
  <c r="AW258" i="6"/>
  <c r="AW45" i="6"/>
  <c r="AV97" i="6"/>
  <c r="AV45" i="6"/>
  <c r="AW140" i="6"/>
  <c r="AW195" i="6"/>
  <c r="AV258" i="6"/>
  <c r="AV192" i="6"/>
  <c r="AV232" i="6"/>
  <c r="AX258" i="6"/>
  <c r="AX140" i="6"/>
  <c r="Q199" i="9"/>
  <c r="P199" i="9"/>
  <c r="AV201" i="6"/>
  <c r="AX125" i="6"/>
  <c r="AW206" i="6"/>
  <c r="AV71" i="6"/>
  <c r="AW93" i="6"/>
  <c r="AX145" i="6"/>
  <c r="AX111" i="6"/>
  <c r="AW49" i="6"/>
  <c r="AW149" i="6"/>
  <c r="AX144" i="6"/>
  <c r="AV202" i="6"/>
  <c r="AV140" i="6"/>
  <c r="AW246" i="6"/>
  <c r="AV135" i="6"/>
  <c r="AV195" i="6"/>
  <c r="AX117" i="6"/>
  <c r="AW225" i="6"/>
  <c r="AX251" i="6"/>
  <c r="AX174" i="6"/>
  <c r="AV127" i="6"/>
  <c r="AW61" i="6"/>
  <c r="AW187" i="6"/>
  <c r="AX21" i="6"/>
  <c r="AW95" i="6"/>
  <c r="AV99" i="6"/>
  <c r="AV229" i="6"/>
  <c r="AX206" i="6"/>
  <c r="AX127" i="6"/>
  <c r="AV149" i="6"/>
  <c r="AV111" i="6"/>
  <c r="AW135" i="6"/>
  <c r="AV49" i="6"/>
  <c r="AV21" i="6"/>
  <c r="AW21" i="6"/>
  <c r="AV144" i="6"/>
  <c r="AW201" i="6"/>
  <c r="AW145" i="6"/>
  <c r="AV206" i="6"/>
  <c r="AV26" i="6"/>
  <c r="AW174" i="6"/>
  <c r="AX49" i="6"/>
  <c r="AW111" i="6"/>
  <c r="AW144" i="6"/>
  <c r="AV95" i="6"/>
  <c r="AX99" i="6"/>
  <c r="AV168" i="6"/>
  <c r="AV61" i="6"/>
  <c r="AX202" i="6"/>
  <c r="AX61" i="6"/>
  <c r="AW202" i="6"/>
  <c r="AW220" i="6"/>
  <c r="AV235" i="6"/>
  <c r="AV218" i="6"/>
  <c r="AX245" i="6"/>
  <c r="AX231" i="6"/>
  <c r="AW200" i="6"/>
  <c r="AW228" i="6"/>
  <c r="AV253" i="6"/>
  <c r="AW244" i="6"/>
  <c r="AV225" i="6"/>
  <c r="AX225" i="6"/>
  <c r="AX162" i="6"/>
  <c r="AX135" i="6"/>
  <c r="AW127" i="6"/>
  <c r="AV125" i="6"/>
  <c r="AX71" i="6"/>
  <c r="AW71" i="6"/>
  <c r="AW26" i="6"/>
  <c r="AX26" i="6"/>
  <c r="A20" i="6"/>
  <c r="A21" i="6" s="1"/>
  <c r="A22" i="6" s="1"/>
  <c r="AW271" i="6"/>
  <c r="AV271" i="6"/>
  <c r="AX271" i="6"/>
  <c r="AV199" i="6"/>
  <c r="AX199" i="6"/>
  <c r="AX192" i="6"/>
  <c r="AW192" i="6"/>
  <c r="AW97" i="6"/>
  <c r="AX97" i="6"/>
  <c r="AV67" i="6"/>
  <c r="AX67" i="6"/>
  <c r="AW67" i="6"/>
  <c r="AX106" i="6"/>
  <c r="AV106" i="6"/>
  <c r="AW106" i="6"/>
  <c r="AX237" i="6"/>
  <c r="AW237" i="6"/>
  <c r="AV237" i="6"/>
  <c r="AW226" i="6"/>
  <c r="AX226" i="6"/>
  <c r="AV226" i="6"/>
  <c r="AV93" i="6"/>
  <c r="AX93" i="6"/>
  <c r="AW40" i="6"/>
  <c r="AV40" i="6"/>
  <c r="AX40" i="6"/>
  <c r="AX263" i="6"/>
  <c r="AW263" i="6"/>
  <c r="AV263" i="6"/>
  <c r="AW150" i="6"/>
  <c r="AX150" i="6"/>
  <c r="AV150" i="6"/>
  <c r="AV221" i="6"/>
  <c r="AW221" i="6"/>
  <c r="AX221" i="6"/>
  <c r="AV250" i="6"/>
  <c r="AW250" i="6"/>
  <c r="AX250" i="6"/>
  <c r="AV131" i="6"/>
  <c r="AX131" i="6"/>
  <c r="AW131" i="6"/>
  <c r="AX66" i="6"/>
  <c r="AV74" i="6"/>
  <c r="AW74" i="6"/>
  <c r="AX74" i="6"/>
  <c r="AX254" i="6"/>
  <c r="AV254" i="6"/>
  <c r="AW254" i="6"/>
  <c r="AW46" i="6"/>
  <c r="AX46" i="6"/>
  <c r="AV46" i="6"/>
  <c r="AX83" i="6"/>
  <c r="AW83" i="6"/>
  <c r="AV83" i="6"/>
  <c r="AV146" i="6"/>
  <c r="AW146" i="6"/>
  <c r="AX146" i="6"/>
  <c r="AW270" i="6"/>
  <c r="AX270" i="6"/>
  <c r="AV270" i="6"/>
  <c r="AX42" i="6"/>
  <c r="AV42" i="6"/>
  <c r="AW42" i="6"/>
  <c r="AX54" i="6"/>
  <c r="AW54" i="6"/>
  <c r="AV54" i="6"/>
  <c r="AX142" i="6"/>
  <c r="AV142" i="6"/>
  <c r="AW142" i="6"/>
  <c r="AX255" i="6"/>
  <c r="AW255" i="6"/>
  <c r="AV255" i="6"/>
  <c r="AV197" i="6"/>
  <c r="AW197" i="6"/>
  <c r="AX197" i="6"/>
  <c r="AX112" i="6"/>
  <c r="AW112" i="6"/>
  <c r="AV112" i="6"/>
  <c r="AX57" i="6"/>
  <c r="AW57" i="6"/>
  <c r="AV57" i="6"/>
  <c r="AX37" i="6"/>
  <c r="AW37" i="6"/>
  <c r="AV37" i="6"/>
  <c r="AV153" i="6"/>
  <c r="AW153" i="6"/>
  <c r="AX153" i="6"/>
  <c r="AX248" i="6"/>
  <c r="AW248" i="6"/>
  <c r="AV248" i="6"/>
  <c r="AX166" i="6"/>
  <c r="AV166" i="6"/>
  <c r="AW166" i="6"/>
  <c r="AV58" i="6"/>
  <c r="AW58" i="6"/>
  <c r="AX58" i="6"/>
  <c r="AX75" i="6"/>
  <c r="AW75" i="6"/>
  <c r="AV75" i="6"/>
  <c r="AW168" i="6" l="1"/>
  <c r="AB119" i="8"/>
  <c r="AV66" i="6"/>
  <c r="AW162" i="6"/>
  <c r="AV162" i="6"/>
  <c r="AW66" i="6"/>
  <c r="A23" i="6"/>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E64" i="9"/>
  <c r="E78" i="9"/>
  <c r="E16" i="9"/>
  <c r="E143" i="9"/>
  <c r="E90" i="9"/>
  <c r="E63" i="9"/>
  <c r="E68" i="9"/>
  <c r="E141" i="9"/>
  <c r="E172" i="9"/>
  <c r="E76" i="9"/>
  <c r="E33" i="9"/>
  <c r="E169" i="9"/>
  <c r="E27" i="9"/>
  <c r="E170" i="9"/>
  <c r="E66" i="9"/>
  <c r="E150" i="9"/>
  <c r="E112" i="9"/>
  <c r="E17" i="9"/>
  <c r="E161" i="9"/>
  <c r="E46" i="9"/>
  <c r="E157" i="9"/>
  <c r="E166" i="9"/>
  <c r="E93" i="9"/>
  <c r="E197" i="9"/>
  <c r="E82" i="9"/>
  <c r="E175" i="9"/>
  <c r="E51" i="9"/>
  <c r="E138" i="9"/>
  <c r="E95" i="9"/>
  <c r="E151" i="9"/>
  <c r="E31" i="9"/>
  <c r="E171" i="9"/>
  <c r="E158" i="9"/>
  <c r="E243" i="9"/>
  <c r="E176" i="9"/>
  <c r="P65" i="9"/>
  <c r="P94" i="9"/>
  <c r="Q65" i="9"/>
  <c r="Q94" i="9"/>
  <c r="AV224" i="6"/>
  <c r="AX224" i="6"/>
  <c r="AW252" i="6"/>
  <c r="AW233" i="6"/>
  <c r="AW260" i="6"/>
  <c r="AX205" i="6"/>
  <c r="AW234" i="6"/>
  <c r="AV242" i="6"/>
  <c r="AX218" i="6"/>
  <c r="AW224" i="6"/>
  <c r="AX252" i="6"/>
  <c r="AX219" i="6"/>
  <c r="AX265" i="6"/>
  <c r="AV219" i="6"/>
  <c r="AX240" i="6"/>
  <c r="AV207" i="6"/>
  <c r="AX244" i="6"/>
  <c r="AX200" i="6"/>
  <c r="AX241" i="6"/>
  <c r="AW242" i="6"/>
  <c r="AW219" i="6"/>
  <c r="AW253" i="6"/>
  <c r="AW216" i="6"/>
  <c r="AV241" i="6"/>
  <c r="AV208" i="6"/>
  <c r="AX215" i="6"/>
  <c r="AV205" i="6"/>
  <c r="AX233" i="6"/>
  <c r="AX216" i="6"/>
  <c r="AV252" i="6"/>
  <c r="AV215" i="6"/>
  <c r="AW205" i="6"/>
  <c r="AW240" i="6"/>
  <c r="AW208" i="6"/>
  <c r="AV216" i="6"/>
  <c r="AW215" i="6"/>
  <c r="AV240" i="6"/>
  <c r="AW207" i="6"/>
  <c r="AV233" i="6"/>
  <c r="AW241" i="6"/>
  <c r="AX242" i="6"/>
  <c r="AX207" i="6"/>
  <c r="AX208" i="6"/>
  <c r="AV245" i="6"/>
  <c r="AX260" i="6"/>
  <c r="Q27" i="9"/>
  <c r="P27" i="9"/>
  <c r="Q95" i="9"/>
  <c r="P95" i="9"/>
  <c r="Q66" i="9"/>
  <c r="P66" i="9"/>
  <c r="Q161" i="9"/>
  <c r="P161" i="9"/>
  <c r="Q141" i="9"/>
  <c r="P141" i="9"/>
  <c r="Q51" i="9"/>
  <c r="P51" i="9"/>
  <c r="Q243" i="9"/>
  <c r="P243" i="9"/>
  <c r="Q138" i="9"/>
  <c r="P138" i="9"/>
  <c r="P169" i="9"/>
  <c r="Q169" i="9"/>
  <c r="Q150" i="9"/>
  <c r="P150" i="9"/>
  <c r="Q90" i="9"/>
  <c r="P90" i="9"/>
  <c r="Q17" i="9"/>
  <c r="P17" i="9"/>
  <c r="Q171" i="9"/>
  <c r="P171" i="9"/>
  <c r="Q16" i="9"/>
  <c r="P16" i="9"/>
  <c r="Q76" i="9"/>
  <c r="P76" i="9"/>
  <c r="AW265" i="6"/>
  <c r="AV234" i="6"/>
  <c r="AV260" i="6"/>
  <c r="Q143" i="9"/>
  <c r="P143" i="9"/>
  <c r="Q46" i="9"/>
  <c r="P46" i="9"/>
  <c r="Q170" i="9"/>
  <c r="P170" i="9"/>
  <c r="Q172" i="9"/>
  <c r="P172" i="9"/>
  <c r="Q112" i="9"/>
  <c r="P112" i="9"/>
  <c r="Q176" i="9"/>
  <c r="P176" i="9"/>
  <c r="Q157" i="9"/>
  <c r="P157" i="9"/>
  <c r="Q197" i="9"/>
  <c r="P197" i="9"/>
  <c r="Q63" i="9"/>
  <c r="P63" i="9"/>
  <c r="Q82" i="9"/>
  <c r="P82" i="9"/>
  <c r="AV265" i="6"/>
  <c r="AX234" i="6"/>
  <c r="Q175" i="9"/>
  <c r="P175" i="9"/>
  <c r="Q33" i="9"/>
  <c r="P33" i="9"/>
  <c r="Q78" i="9"/>
  <c r="P78" i="9"/>
  <c r="Q151" i="9"/>
  <c r="P151" i="9"/>
  <c r="Q158" i="9"/>
  <c r="P158" i="9"/>
  <c r="Q64" i="9"/>
  <c r="P64" i="9"/>
  <c r="Q166" i="9"/>
  <c r="P166" i="9"/>
  <c r="Q93" i="9"/>
  <c r="P93" i="9"/>
  <c r="Q68" i="9"/>
  <c r="P68" i="9"/>
  <c r="AW196" i="6"/>
  <c r="AV204" i="6"/>
  <c r="AX228" i="6"/>
  <c r="AV262" i="6"/>
  <c r="AW236" i="6"/>
  <c r="AV272" i="6"/>
  <c r="AW239" i="6"/>
  <c r="AW238" i="6"/>
  <c r="AV244" i="6"/>
  <c r="AV200" i="6"/>
  <c r="AX235" i="6"/>
  <c r="AX253" i="6"/>
  <c r="AV231" i="6"/>
  <c r="AW245" i="6"/>
  <c r="AW218" i="6"/>
  <c r="AX220" i="6"/>
  <c r="AV220" i="6"/>
  <c r="AW231" i="6"/>
  <c r="AW235" i="6"/>
  <c r="AX262" i="6"/>
  <c r="AX204" i="6"/>
  <c r="AX236" i="6"/>
  <c r="AW272" i="6"/>
  <c r="AV238" i="6"/>
  <c r="AV196" i="6"/>
  <c r="AX239" i="6"/>
  <c r="AW262" i="6"/>
  <c r="AX196" i="6"/>
  <c r="AW204" i="6"/>
  <c r="AV236" i="6"/>
  <c r="AX272" i="6"/>
  <c r="AX238" i="6"/>
  <c r="AV228" i="6"/>
  <c r="AV239" i="6"/>
  <c r="AX55" i="6"/>
  <c r="AW55" i="6"/>
  <c r="AV55" i="6"/>
  <c r="AW188" i="6"/>
  <c r="AV188" i="6"/>
  <c r="AX188" i="6"/>
  <c r="AW143" i="6"/>
  <c r="AV143" i="6"/>
  <c r="AX143" i="6"/>
  <c r="AX43" i="6"/>
  <c r="AV43" i="6"/>
  <c r="AW43" i="6"/>
  <c r="AV29" i="6"/>
  <c r="AX29" i="6"/>
  <c r="AW29" i="6"/>
  <c r="AX24" i="6"/>
  <c r="AW24" i="6"/>
  <c r="AV24" i="6"/>
  <c r="AW227" i="6"/>
  <c r="AV227" i="6"/>
  <c r="AX227" i="6"/>
  <c r="AX86" i="6"/>
  <c r="AW86" i="6"/>
  <c r="AV86" i="6"/>
  <c r="AV118" i="6"/>
  <c r="AW118" i="6"/>
  <c r="AX118" i="6"/>
  <c r="AW119" i="6"/>
  <c r="AX119" i="6"/>
  <c r="AV119" i="6"/>
  <c r="AW33" i="6"/>
  <c r="AV33" i="6"/>
  <c r="AX33" i="6"/>
  <c r="AX156" i="6"/>
  <c r="AW156" i="6"/>
  <c r="AV156" i="6"/>
  <c r="AX259" i="6"/>
  <c r="AV259" i="6"/>
  <c r="AW259" i="6"/>
  <c r="AX139" i="6"/>
  <c r="AV139" i="6"/>
  <c r="AW139" i="6"/>
  <c r="AW129" i="6"/>
  <c r="AX129" i="6"/>
  <c r="AV129" i="6"/>
  <c r="AW64" i="6"/>
  <c r="AV64" i="6"/>
  <c r="AX64" i="6"/>
  <c r="AX159" i="6"/>
  <c r="AV159" i="6"/>
  <c r="AW159" i="6"/>
  <c r="AX137" i="6"/>
  <c r="AV137" i="6"/>
  <c r="AW137" i="6"/>
  <c r="AV51" i="6"/>
  <c r="AX51" i="6"/>
  <c r="AW51" i="6"/>
  <c r="AX182" i="6"/>
  <c r="AV182" i="6"/>
  <c r="AW182" i="6"/>
  <c r="AX38" i="6"/>
  <c r="AW38" i="6"/>
  <c r="AV38" i="6"/>
  <c r="AX138" i="6"/>
  <c r="AW138" i="6"/>
  <c r="AV138" i="6"/>
  <c r="AX105" i="6"/>
  <c r="AV105" i="6"/>
  <c r="AW105" i="6"/>
  <c r="AV76" i="6"/>
  <c r="AW76" i="6"/>
  <c r="AX76" i="6"/>
  <c r="AV158" i="6"/>
  <c r="AW158" i="6"/>
  <c r="AX158" i="6"/>
  <c r="AV48" i="6"/>
  <c r="AX48" i="6"/>
  <c r="AW48" i="6"/>
  <c r="AV222" i="6"/>
  <c r="AW222" i="6"/>
  <c r="AX222" i="6"/>
  <c r="AW28" i="6"/>
  <c r="AV28" i="6"/>
  <c r="AX28" i="6"/>
  <c r="AX193" i="6"/>
  <c r="AV193" i="6"/>
  <c r="AW193" i="6"/>
  <c r="AV62" i="6"/>
  <c r="AW62" i="6"/>
  <c r="AX62" i="6"/>
  <c r="AV59" i="6"/>
  <c r="AW59" i="6"/>
  <c r="AX59" i="6"/>
  <c r="AW85" i="6"/>
  <c r="AV85" i="6"/>
  <c r="AX85" i="6"/>
  <c r="AV214" i="6"/>
  <c r="AW214" i="6"/>
  <c r="AX214" i="6"/>
  <c r="AW101" i="6"/>
  <c r="AV101" i="6"/>
  <c r="AX101" i="6"/>
  <c r="AX133" i="6"/>
  <c r="AW133" i="6"/>
  <c r="AV133" i="6"/>
  <c r="AV160" i="6"/>
  <c r="AW160" i="6"/>
  <c r="AX160" i="6"/>
  <c r="AX124" i="6"/>
  <c r="AW124" i="6"/>
  <c r="AV124" i="6"/>
  <c r="AV81" i="6"/>
  <c r="AX81" i="6"/>
  <c r="AW81" i="6"/>
  <c r="AX191" i="6"/>
  <c r="AV191" i="6"/>
  <c r="AW191" i="6"/>
  <c r="AX247" i="6"/>
  <c r="AW247" i="6"/>
  <c r="AV247" i="6"/>
  <c r="AW115" i="6"/>
  <c r="AV115" i="6"/>
  <c r="AX115" i="6"/>
  <c r="AV243" i="6"/>
  <c r="AW243" i="6"/>
  <c r="AX243" i="6"/>
  <c r="AX163" i="6"/>
  <c r="AW163" i="6"/>
  <c r="AV163" i="6"/>
  <c r="AW84" i="6"/>
  <c r="AX84" i="6"/>
  <c r="AV84" i="6"/>
  <c r="AW73" i="6"/>
  <c r="AV73" i="6"/>
  <c r="AX73" i="6"/>
  <c r="AX20" i="6"/>
  <c r="AV20" i="6"/>
  <c r="AW20" i="6"/>
  <c r="AW87" i="6"/>
  <c r="AX87" i="6"/>
  <c r="AV87" i="6"/>
  <c r="AX110" i="6"/>
  <c r="AW110" i="6"/>
  <c r="AV110" i="6"/>
  <c r="AW70" i="6"/>
  <c r="AV70" i="6"/>
  <c r="AX70" i="6"/>
  <c r="AV194" i="6"/>
  <c r="AW194" i="6"/>
  <c r="AX194" i="6"/>
  <c r="AW134" i="6"/>
  <c r="AX134" i="6"/>
  <c r="AV134" i="6"/>
  <c r="AV27" i="6"/>
  <c r="AW27" i="6"/>
  <c r="AX27" i="6"/>
  <c r="AX100" i="6"/>
  <c r="AW100" i="6"/>
  <c r="AV100" i="6"/>
  <c r="AV22" i="6"/>
  <c r="AW22" i="6"/>
  <c r="AX22" i="6"/>
  <c r="AX23" i="6"/>
  <c r="AW23" i="6"/>
  <c r="AV23" i="6"/>
  <c r="AW123" i="6"/>
  <c r="AV123" i="6"/>
  <c r="AX123" i="6"/>
  <c r="AW169" i="6"/>
  <c r="AX169" i="6"/>
  <c r="AV169" i="6"/>
  <c r="AV161" i="6"/>
  <c r="AW161" i="6"/>
  <c r="AX161" i="6"/>
  <c r="AV141" i="6"/>
  <c r="AW141" i="6"/>
  <c r="AX141" i="6"/>
  <c r="AV167" i="6"/>
  <c r="AW167" i="6"/>
  <c r="AX167" i="6"/>
  <c r="AX249" i="6"/>
  <c r="AW249" i="6"/>
  <c r="AV249" i="6"/>
  <c r="AW128" i="6"/>
  <c r="AX128" i="6"/>
  <c r="AV128" i="6"/>
  <c r="AW198" i="6"/>
  <c r="AX198" i="6"/>
  <c r="AV198" i="6"/>
  <c r="AV53" i="6"/>
  <c r="AX53" i="6"/>
  <c r="AW53" i="6"/>
  <c r="AW88" i="6"/>
  <c r="AX88" i="6"/>
  <c r="AV88" i="6"/>
  <c r="AV148" i="6"/>
  <c r="AW148" i="6"/>
  <c r="AX148" i="6"/>
  <c r="AW113" i="6"/>
  <c r="AV113" i="6"/>
  <c r="AX113" i="6"/>
  <c r="AX25" i="6"/>
  <c r="AV25" i="6"/>
  <c r="AW25" i="6"/>
  <c r="AW132" i="6"/>
  <c r="AV132" i="6"/>
  <c r="AX132" i="6"/>
  <c r="AV69" i="6"/>
  <c r="AW69" i="6"/>
  <c r="AX69" i="6"/>
  <c r="AV147" i="6"/>
  <c r="AX147" i="6"/>
  <c r="AW147" i="6"/>
  <c r="AV136" i="6"/>
  <c r="AW136" i="6"/>
  <c r="AX136" i="6"/>
  <c r="AX120" i="6"/>
  <c r="AV120" i="6"/>
  <c r="AW120" i="6"/>
  <c r="AX35" i="6"/>
  <c r="AV35" i="6"/>
  <c r="AW35" i="6"/>
  <c r="AW68" i="6"/>
  <c r="AX68" i="6"/>
  <c r="AV68" i="6"/>
  <c r="AW203" i="6"/>
  <c r="AV203" i="6"/>
  <c r="AX203" i="6"/>
  <c r="AV52" i="6"/>
  <c r="AW52" i="6"/>
  <c r="AX52" i="6"/>
  <c r="AX154" i="6"/>
  <c r="AV154" i="6"/>
  <c r="AW154" i="6"/>
  <c r="AW72" i="6"/>
  <c r="AX72" i="6"/>
  <c r="AV72" i="6"/>
  <c r="AV56" i="6"/>
  <c r="AX56" i="6"/>
  <c r="AW56" i="6"/>
  <c r="AV50" i="6"/>
  <c r="AW50" i="6"/>
  <c r="AX50" i="6"/>
  <c r="AV179" i="6"/>
  <c r="AX179" i="6"/>
  <c r="AW179" i="6"/>
  <c r="AX122" i="6"/>
  <c r="AV122" i="6"/>
  <c r="AW122" i="6"/>
  <c r="AW39" i="6"/>
  <c r="AX39" i="6"/>
  <c r="AV39" i="6"/>
  <c r="AX34" i="6"/>
  <c r="AW34" i="6"/>
  <c r="AV34" i="6"/>
  <c r="AX178" i="6"/>
  <c r="AV178" i="6"/>
  <c r="AW178" i="6"/>
  <c r="AW114" i="6"/>
  <c r="AX114" i="6"/>
  <c r="AV114" i="6"/>
  <c r="AX63" i="6"/>
  <c r="AV63" i="6"/>
  <c r="AW63" i="6"/>
  <c r="AW223" i="6"/>
  <c r="AV223" i="6"/>
  <c r="AX223" i="6"/>
  <c r="AV130" i="6"/>
  <c r="AX130" i="6"/>
  <c r="AW130" i="6"/>
  <c r="AV176" i="6"/>
  <c r="AW176" i="6"/>
  <c r="AX176" i="6"/>
  <c r="AV36" i="6"/>
  <c r="AW36" i="6"/>
  <c r="AX36" i="6"/>
  <c r="AW121" i="6"/>
  <c r="AV121" i="6"/>
  <c r="AX121" i="6"/>
  <c r="AW181" i="6"/>
  <c r="AV181" i="6"/>
  <c r="AX181" i="6"/>
  <c r="AX116" i="6"/>
  <c r="AV116" i="6"/>
  <c r="AW116" i="6"/>
  <c r="AB114" i="8" l="1"/>
  <c r="AB196" i="8"/>
  <c r="AB104" i="8"/>
  <c r="AB177" i="8"/>
  <c r="AB106" i="8"/>
  <c r="AB108" i="8"/>
  <c r="AB197" i="8"/>
  <c r="AB195" i="8"/>
  <c r="AB225" i="8"/>
  <c r="E117" i="9"/>
  <c r="E52" i="9"/>
  <c r="E23" i="9"/>
  <c r="E152" i="9"/>
  <c r="E136" i="9"/>
  <c r="E98" i="9"/>
  <c r="E178" i="9"/>
  <c r="E253" i="9"/>
  <c r="E198" i="9"/>
  <c r="E218" i="9"/>
  <c r="E80" i="9"/>
  <c r="E65" i="9"/>
  <c r="E26" i="9"/>
  <c r="E92" i="9"/>
  <c r="E28" i="9"/>
  <c r="E83" i="9"/>
  <c r="E79" i="9"/>
  <c r="E242" i="9"/>
  <c r="E252" i="9"/>
  <c r="E254" i="9"/>
  <c r="E249" i="9"/>
  <c r="E207" i="9"/>
  <c r="E126" i="9"/>
  <c r="E18" i="9"/>
  <c r="E89" i="9"/>
  <c r="E60" i="9"/>
  <c r="E69" i="9"/>
  <c r="E61" i="9"/>
  <c r="E132" i="9"/>
  <c r="E32" i="9"/>
  <c r="E43" i="9"/>
  <c r="E195" i="9"/>
  <c r="E256" i="9"/>
  <c r="E223" i="9"/>
  <c r="E234" i="9"/>
  <c r="E196" i="9"/>
  <c r="E185" i="9"/>
  <c r="E203" i="9"/>
  <c r="E247" i="9"/>
  <c r="E212" i="9"/>
  <c r="E236" i="9"/>
  <c r="E250" i="9"/>
  <c r="E240" i="9"/>
  <c r="E12" i="9"/>
  <c r="E53" i="9"/>
  <c r="E139" i="9"/>
  <c r="E40" i="9"/>
  <c r="E128" i="9"/>
  <c r="E44" i="9"/>
  <c r="E111" i="9"/>
  <c r="E183" i="9"/>
  <c r="E241" i="9"/>
  <c r="E216" i="9"/>
  <c r="E257" i="9"/>
  <c r="E244" i="9"/>
  <c r="E94" i="9"/>
  <c r="E84" i="9"/>
  <c r="Q89" i="9"/>
  <c r="P89" i="9"/>
  <c r="P18" i="9"/>
  <c r="Q18" i="9"/>
  <c r="P84" i="9"/>
  <c r="Q84" i="9"/>
  <c r="Q80" i="9"/>
  <c r="P80" i="9"/>
  <c r="AV269" i="6"/>
  <c r="AW269" i="6"/>
  <c r="AX269" i="6"/>
  <c r="Q207" i="9"/>
  <c r="P207" i="9"/>
  <c r="Q31" i="9"/>
  <c r="P31" i="9"/>
  <c r="Q218" i="9"/>
  <c r="P218" i="9"/>
  <c r="Q236" i="9"/>
  <c r="P236" i="9"/>
  <c r="Q256" i="9"/>
  <c r="P256" i="9"/>
  <c r="Q23" i="9"/>
  <c r="P23" i="9"/>
  <c r="Q117" i="9"/>
  <c r="P117" i="9"/>
  <c r="P185" i="9"/>
  <c r="Q185" i="9"/>
  <c r="Q92" i="9"/>
  <c r="P92" i="9"/>
  <c r="Q203" i="9"/>
  <c r="P203" i="9"/>
  <c r="Q223" i="9"/>
  <c r="P223" i="9"/>
  <c r="Q247" i="9"/>
  <c r="P247" i="9"/>
  <c r="Q52" i="9"/>
  <c r="P52" i="9"/>
  <c r="Q128" i="9"/>
  <c r="P128" i="9"/>
  <c r="Q43" i="9"/>
  <c r="P43" i="9"/>
  <c r="Q250" i="9"/>
  <c r="P250" i="9"/>
  <c r="Q53" i="9"/>
  <c r="P53" i="9"/>
  <c r="Q60" i="9"/>
  <c r="P60" i="9"/>
  <c r="Q132" i="9"/>
  <c r="P132" i="9"/>
  <c r="Q178" i="9"/>
  <c r="P178" i="9"/>
  <c r="Q244" i="9"/>
  <c r="P244" i="9"/>
  <c r="Q257" i="9"/>
  <c r="P257" i="9"/>
  <c r="Q152" i="9"/>
  <c r="P152" i="9"/>
  <c r="P249" i="9"/>
  <c r="Q249" i="9"/>
  <c r="Q69" i="9"/>
  <c r="P69" i="9"/>
  <c r="Q216" i="9"/>
  <c r="P216" i="9"/>
  <c r="Q195" i="9"/>
  <c r="P195" i="9"/>
  <c r="Q240" i="9"/>
  <c r="P240" i="9"/>
  <c r="Q32" i="9"/>
  <c r="P32" i="9"/>
  <c r="Q136" i="9"/>
  <c r="P136" i="9"/>
  <c r="Q196" i="9"/>
  <c r="P196" i="9"/>
  <c r="Q28" i="9"/>
  <c r="P28" i="9"/>
  <c r="Q44" i="9"/>
  <c r="P44" i="9"/>
  <c r="Q126" i="9"/>
  <c r="P126" i="9"/>
  <c r="Q254" i="9"/>
  <c r="P254" i="9"/>
  <c r="Q252" i="9"/>
  <c r="P252" i="9"/>
  <c r="Q83" i="9"/>
  <c r="P83" i="9"/>
  <c r="Q242" i="9"/>
  <c r="P242" i="9"/>
  <c r="Q40" i="9"/>
  <c r="P40" i="9"/>
  <c r="Q198" i="9"/>
  <c r="P198" i="9"/>
  <c r="Q139" i="9"/>
  <c r="P139" i="9"/>
  <c r="Q212" i="9"/>
  <c r="P212" i="9"/>
  <c r="Q26" i="9"/>
  <c r="P26" i="9"/>
  <c r="Q183" i="9"/>
  <c r="P183" i="9"/>
  <c r="Q98" i="9"/>
  <c r="P98" i="9"/>
  <c r="Q253" i="9"/>
  <c r="P253" i="9"/>
  <c r="Q234" i="9"/>
  <c r="P234" i="9"/>
  <c r="Q241" i="9"/>
  <c r="P241" i="9"/>
  <c r="Q61" i="9"/>
  <c r="P61" i="9"/>
  <c r="AV151" i="6"/>
  <c r="AX151" i="6"/>
  <c r="AW151" i="6"/>
  <c r="AW173" i="6"/>
  <c r="AX173" i="6"/>
  <c r="AV173" i="6"/>
  <c r="AX177" i="6"/>
  <c r="AW177" i="6"/>
  <c r="AV177" i="6"/>
  <c r="AB102" i="8" l="1"/>
  <c r="AB69" i="8"/>
  <c r="AB115" i="8"/>
  <c r="AB182" i="8"/>
  <c r="AB201" i="8"/>
  <c r="AB187" i="8"/>
  <c r="AB204" i="8"/>
  <c r="AB183" i="8"/>
  <c r="AB198" i="8"/>
  <c r="AB103" i="8"/>
  <c r="AB169" i="8"/>
  <c r="AB167" i="8"/>
  <c r="AB110" i="8"/>
  <c r="AB53" i="8"/>
  <c r="AB59" i="8"/>
  <c r="AB192" i="8"/>
  <c r="AB43" i="8"/>
  <c r="AB90" i="8"/>
  <c r="AB269" i="8"/>
  <c r="AB176" i="8"/>
  <c r="AB42" i="8"/>
  <c r="AB91" i="8"/>
  <c r="AB72" i="8"/>
  <c r="AB202" i="8"/>
  <c r="E72" i="9"/>
  <c r="E91" i="9"/>
  <c r="E20" i="9"/>
  <c r="E125" i="9"/>
  <c r="E96" i="9"/>
  <c r="E147" i="9"/>
  <c r="E122" i="9"/>
  <c r="E164" i="9"/>
  <c r="E116" i="9"/>
  <c r="E22" i="9"/>
  <c r="E71" i="9"/>
  <c r="E86" i="9"/>
  <c r="E37" i="9"/>
  <c r="E144" i="9"/>
  <c r="E67" i="9"/>
  <c r="E42" i="9"/>
  <c r="E19" i="9"/>
  <c r="E115" i="9"/>
  <c r="E6" i="9"/>
  <c r="E134" i="9"/>
  <c r="E191" i="9"/>
  <c r="E184" i="9"/>
  <c r="E232" i="9"/>
  <c r="E233" i="9"/>
  <c r="E201" i="9"/>
  <c r="E154" i="9"/>
  <c r="E246" i="9"/>
  <c r="E229" i="9"/>
  <c r="E202" i="9"/>
  <c r="E85" i="9"/>
  <c r="E135" i="9"/>
  <c r="E131" i="9"/>
  <c r="E123" i="9"/>
  <c r="E45" i="9"/>
  <c r="E165" i="9"/>
  <c r="E133" i="9"/>
  <c r="E104" i="9"/>
  <c r="E142" i="9"/>
  <c r="E180" i="9"/>
  <c r="E8" i="9"/>
  <c r="E39" i="9"/>
  <c r="E118" i="9"/>
  <c r="E162" i="9"/>
  <c r="E50" i="9"/>
  <c r="E145" i="9"/>
  <c r="E168" i="9"/>
  <c r="E55" i="9"/>
  <c r="E107" i="9"/>
  <c r="E110" i="9"/>
  <c r="E177" i="9"/>
  <c r="E73" i="9"/>
  <c r="E9" i="9"/>
  <c r="E114" i="9"/>
  <c r="E49" i="9"/>
  <c r="E41" i="9"/>
  <c r="E14" i="9"/>
  <c r="E140" i="9"/>
  <c r="E108" i="9"/>
  <c r="E167" i="9"/>
  <c r="E208" i="9"/>
  <c r="E121" i="9"/>
  <c r="E193" i="9"/>
  <c r="E200" i="9"/>
  <c r="E205" i="9"/>
  <c r="E97" i="9"/>
  <c r="E245" i="9"/>
  <c r="E209" i="9"/>
  <c r="E235" i="9"/>
  <c r="E181" i="9"/>
  <c r="E228" i="9"/>
  <c r="E251" i="9"/>
  <c r="E188" i="9"/>
  <c r="E211" i="9"/>
  <c r="E227" i="9"/>
  <c r="E105" i="9"/>
  <c r="E146" i="9"/>
  <c r="E101" i="9"/>
  <c r="E56" i="9"/>
  <c r="E120" i="9"/>
  <c r="E74" i="9"/>
  <c r="E11" i="9"/>
  <c r="E106" i="9"/>
  <c r="E124" i="9"/>
  <c r="E34" i="9"/>
  <c r="E87" i="9"/>
  <c r="E10" i="9"/>
  <c r="E62" i="9"/>
  <c r="E15" i="9"/>
  <c r="E54" i="9"/>
  <c r="E100" i="9"/>
  <c r="E173" i="9"/>
  <c r="E187" i="9"/>
  <c r="E189" i="9"/>
  <c r="E130" i="9"/>
  <c r="E215" i="9"/>
  <c r="E7" i="9"/>
  <c r="E192" i="9"/>
  <c r="E213" i="9"/>
  <c r="E237" i="9"/>
  <c r="E194" i="9"/>
  <c r="E160" i="9"/>
  <c r="E47" i="9"/>
  <c r="E35" i="9"/>
  <c r="E70" i="9"/>
  <c r="E21" i="9"/>
  <c r="E58" i="9"/>
  <c r="E129" i="9"/>
  <c r="E29" i="9"/>
  <c r="E48" i="9"/>
  <c r="E119" i="9"/>
  <c r="E59" i="9"/>
  <c r="E13" i="9"/>
  <c r="E109" i="9"/>
  <c r="E99" i="9"/>
  <c r="E38" i="9"/>
  <c r="E36" i="9"/>
  <c r="E102" i="9"/>
  <c r="E174" i="9"/>
  <c r="E179" i="9"/>
  <c r="E149" i="9"/>
  <c r="E155" i="9"/>
  <c r="E127" i="9"/>
  <c r="E25" i="9"/>
  <c r="E24" i="9"/>
  <c r="E153" i="9"/>
  <c r="E210" i="9"/>
  <c r="E219" i="9"/>
  <c r="E81" i="9"/>
  <c r="E103" i="9"/>
  <c r="E238" i="9"/>
  <c r="E220" i="9"/>
  <c r="E148" i="9"/>
  <c r="E226" i="9"/>
  <c r="E113" i="9"/>
  <c r="E57" i="9"/>
  <c r="P45" i="9"/>
  <c r="Q45" i="9"/>
  <c r="Q174" i="9"/>
  <c r="P174" i="9"/>
  <c r="Q200" i="9"/>
  <c r="P200" i="9"/>
  <c r="Q72" i="9"/>
  <c r="P72" i="9"/>
  <c r="Q124" i="9"/>
  <c r="P124" i="9"/>
  <c r="Q119" i="9"/>
  <c r="P119" i="9"/>
  <c r="Q91" i="9"/>
  <c r="P91" i="9"/>
  <c r="Q131" i="9"/>
  <c r="P131" i="9"/>
  <c r="Q149" i="9"/>
  <c r="P149" i="9"/>
  <c r="Q13" i="9"/>
  <c r="P13" i="9"/>
  <c r="Q245" i="9"/>
  <c r="P245" i="9"/>
  <c r="Q134" i="9"/>
  <c r="P134" i="9"/>
  <c r="Q100" i="9"/>
  <c r="P100" i="9"/>
  <c r="Q35" i="9"/>
  <c r="P35" i="9"/>
  <c r="Q111" i="9"/>
  <c r="P111" i="9"/>
  <c r="Q120" i="9"/>
  <c r="P120" i="9"/>
  <c r="Q123" i="9"/>
  <c r="P123" i="9"/>
  <c r="Q211" i="9"/>
  <c r="P211" i="9"/>
  <c r="Q67" i="9"/>
  <c r="P67" i="9"/>
  <c r="Q41" i="9"/>
  <c r="P41" i="9"/>
  <c r="P105" i="9"/>
  <c r="Q105" i="9"/>
  <c r="Q116" i="9"/>
  <c r="P116" i="9"/>
  <c r="Q56" i="9"/>
  <c r="P56" i="9"/>
  <c r="Q108" i="9"/>
  <c r="P108" i="9"/>
  <c r="Q34" i="9"/>
  <c r="P34" i="9"/>
  <c r="Q147" i="9"/>
  <c r="P147" i="9"/>
  <c r="Q103" i="9"/>
  <c r="P103" i="9"/>
  <c r="Q36" i="9"/>
  <c r="P36" i="9"/>
  <c r="Q219" i="9"/>
  <c r="P219" i="9"/>
  <c r="Q118" i="9"/>
  <c r="P118" i="9"/>
  <c r="Q86" i="9"/>
  <c r="P86" i="9"/>
  <c r="Q189" i="9"/>
  <c r="P189" i="9"/>
  <c r="Q8" i="9"/>
  <c r="P8" i="9"/>
  <c r="P73" i="9"/>
  <c r="Q73" i="9"/>
  <c r="Q42" i="9"/>
  <c r="P42" i="9"/>
  <c r="Q97" i="9"/>
  <c r="P97" i="9"/>
  <c r="Q168" i="9"/>
  <c r="P168" i="9"/>
  <c r="Q232" i="9"/>
  <c r="P232" i="9"/>
  <c r="Q71" i="9"/>
  <c r="P71" i="9"/>
  <c r="Q49" i="9"/>
  <c r="P49" i="9"/>
  <c r="Q194" i="9"/>
  <c r="P194" i="9"/>
  <c r="Q160" i="9"/>
  <c r="P160" i="9"/>
  <c r="Q7" i="9"/>
  <c r="P7" i="9"/>
  <c r="Q188" i="9"/>
  <c r="P188" i="9"/>
  <c r="Q135" i="9"/>
  <c r="P135" i="9"/>
  <c r="Q57" i="9"/>
  <c r="P57" i="9"/>
  <c r="Q187" i="9"/>
  <c r="P187" i="9"/>
  <c r="Q181" i="9"/>
  <c r="P181" i="9"/>
  <c r="Q165" i="9"/>
  <c r="P165" i="9"/>
  <c r="Q10" i="9"/>
  <c r="P10" i="9"/>
  <c r="Q104" i="9"/>
  <c r="P104" i="9"/>
  <c r="Q39" i="9"/>
  <c r="P39" i="9"/>
  <c r="Q22" i="9"/>
  <c r="P22" i="9"/>
  <c r="Q81" i="9"/>
  <c r="P81" i="9"/>
  <c r="Q58" i="9"/>
  <c r="P58" i="9"/>
  <c r="Q96" i="9"/>
  <c r="P96" i="9"/>
  <c r="Q179" i="9"/>
  <c r="P179" i="9"/>
  <c r="Q140" i="9"/>
  <c r="P140" i="9"/>
  <c r="Q109" i="9"/>
  <c r="P109" i="9"/>
  <c r="Q145" i="9"/>
  <c r="P145" i="9"/>
  <c r="P233" i="9"/>
  <c r="Q233" i="9"/>
  <c r="Q59" i="9"/>
  <c r="P59" i="9"/>
  <c r="Q202" i="9"/>
  <c r="P202" i="9"/>
  <c r="Q38" i="9"/>
  <c r="P38" i="9"/>
  <c r="Q130" i="9"/>
  <c r="P130" i="9"/>
  <c r="Q192" i="9"/>
  <c r="P192" i="9"/>
  <c r="Q74" i="9"/>
  <c r="P74" i="9"/>
  <c r="Q209" i="9"/>
  <c r="P209" i="9"/>
  <c r="Q101" i="9"/>
  <c r="P101" i="9"/>
  <c r="Q107" i="9"/>
  <c r="P107" i="9"/>
  <c r="Q29" i="9"/>
  <c r="P29" i="9"/>
  <c r="Q110" i="9"/>
  <c r="P110" i="9"/>
  <c r="Q102" i="9"/>
  <c r="P102" i="9"/>
  <c r="Q115" i="9"/>
  <c r="P115" i="9"/>
  <c r="P201" i="9"/>
  <c r="Q201" i="9"/>
  <c r="Q87" i="9"/>
  <c r="P87" i="9"/>
  <c r="Q173" i="9"/>
  <c r="P173" i="9"/>
  <c r="Q47" i="9"/>
  <c r="P47" i="9"/>
  <c r="Q127" i="9"/>
  <c r="P127" i="9"/>
  <c r="Q235" i="9"/>
  <c r="P235" i="9"/>
  <c r="Q114" i="9"/>
  <c r="P114" i="9"/>
  <c r="Q106" i="9"/>
  <c r="P106" i="9"/>
  <c r="Q129" i="9"/>
  <c r="P129" i="9"/>
  <c r="Q153" i="9"/>
  <c r="P153" i="9"/>
  <c r="Q24" i="9"/>
  <c r="P24" i="9"/>
  <c r="Q85" i="9"/>
  <c r="P85" i="9"/>
  <c r="Q15" i="9"/>
  <c r="P15" i="9"/>
  <c r="Q37" i="9"/>
  <c r="P37" i="9"/>
  <c r="Q12" i="9"/>
  <c r="P12" i="9"/>
  <c r="Q237" i="9"/>
  <c r="P237" i="9"/>
  <c r="P121" i="9"/>
  <c r="Q121" i="9"/>
  <c r="Q184" i="9"/>
  <c r="P184" i="9"/>
  <c r="Q229" i="9"/>
  <c r="P229" i="9"/>
  <c r="Q99" i="9"/>
  <c r="P99" i="9"/>
  <c r="Q21" i="9"/>
  <c r="P21" i="9"/>
  <c r="Q177" i="9"/>
  <c r="P177" i="9"/>
  <c r="Q154" i="9"/>
  <c r="P154" i="9"/>
  <c r="Q122" i="9"/>
  <c r="P122" i="9"/>
  <c r="Q19" i="9"/>
  <c r="P19" i="9"/>
  <c r="Q50" i="9"/>
  <c r="P50" i="9"/>
  <c r="Q62" i="9"/>
  <c r="P62" i="9"/>
  <c r="Q220" i="9"/>
  <c r="P220" i="9"/>
  <c r="Q251" i="9"/>
  <c r="P251" i="9"/>
  <c r="Q246" i="9"/>
  <c r="P246" i="9"/>
  <c r="Q25" i="9"/>
  <c r="P25" i="9"/>
  <c r="Q144" i="9"/>
  <c r="P144" i="9"/>
  <c r="Q6" i="9"/>
  <c r="P6" i="9"/>
  <c r="Q215" i="9"/>
  <c r="P215" i="9"/>
  <c r="Q54" i="9"/>
  <c r="P54" i="9"/>
  <c r="Q228" i="9"/>
  <c r="P228" i="9"/>
  <c r="Q213" i="9"/>
  <c r="P213" i="9"/>
  <c r="Q191" i="9"/>
  <c r="P191" i="9"/>
  <c r="Q238" i="9"/>
  <c r="P238" i="9"/>
  <c r="Q70" i="9"/>
  <c r="P70" i="9"/>
  <c r="Q48" i="9"/>
  <c r="P48" i="9"/>
  <c r="Q155" i="9"/>
  <c r="P155" i="9"/>
  <c r="Q133" i="9"/>
  <c r="P133" i="9"/>
  <c r="Q180" i="9"/>
  <c r="P180" i="9"/>
  <c r="Q227" i="9"/>
  <c r="P227" i="9"/>
  <c r="Q142" i="9"/>
  <c r="P142" i="9"/>
  <c r="Q162" i="9"/>
  <c r="P162" i="9"/>
  <c r="Q167" i="9"/>
  <c r="P167" i="9"/>
  <c r="Q208" i="9"/>
  <c r="P208" i="9"/>
  <c r="Q14" i="9"/>
  <c r="P14" i="9"/>
  <c r="Q146" i="9"/>
  <c r="P146" i="9"/>
  <c r="Q148" i="9"/>
  <c r="P148" i="9"/>
  <c r="Q125" i="9"/>
  <c r="P125" i="9"/>
  <c r="Q11" i="9"/>
  <c r="P11" i="9"/>
  <c r="Q193" i="9"/>
  <c r="P193" i="9"/>
  <c r="Q226" i="9"/>
  <c r="P226" i="9"/>
  <c r="Q20" i="9"/>
  <c r="P20" i="9"/>
  <c r="Q205" i="9"/>
  <c r="P205" i="9"/>
  <c r="Q79" i="9"/>
  <c r="P79" i="9"/>
  <c r="Q210" i="9"/>
  <c r="P210" i="9"/>
  <c r="P9" i="9"/>
  <c r="Q9" i="9"/>
  <c r="Q55" i="9"/>
  <c r="P55" i="9"/>
  <c r="Q164" i="9"/>
  <c r="P164" i="9"/>
  <c r="Q113" i="9"/>
  <c r="P113" i="9"/>
  <c r="AB199" i="8" l="1"/>
  <c r="AB144" i="8"/>
  <c r="AB71" i="8"/>
  <c r="AB233" i="8"/>
  <c r="AB145" i="8"/>
  <c r="AB194" i="8"/>
  <c r="AB173" i="8"/>
  <c r="AB193" i="8"/>
  <c r="AB131" i="8"/>
  <c r="AB134" i="8"/>
  <c r="AB113" i="8"/>
  <c r="AB221" i="8"/>
  <c r="AB279" i="8"/>
  <c r="AB84" i="8"/>
  <c r="AB51" i="8"/>
  <c r="AB190" i="8"/>
  <c r="AB112" i="8"/>
  <c r="AB36" i="8"/>
  <c r="AB117" i="8"/>
  <c r="AB168" i="8"/>
  <c r="AB148" i="8"/>
  <c r="AB273" i="8"/>
  <c r="AB280" i="8"/>
  <c r="AB278" i="8"/>
  <c r="AB206" i="8"/>
  <c r="AB141" i="8"/>
  <c r="AB159" i="8"/>
  <c r="AB62" i="8"/>
  <c r="AB85" i="8"/>
  <c r="AB68" i="8"/>
  <c r="AB65" i="8"/>
  <c r="AB203" i="8"/>
  <c r="AB98" i="8"/>
  <c r="AB130" i="8"/>
  <c r="AB50" i="8"/>
  <c r="AB181" i="8"/>
  <c r="AB160" i="8"/>
  <c r="AB128" i="8"/>
  <c r="AB80" i="8"/>
  <c r="AB126" i="8"/>
  <c r="AB75" i="8"/>
  <c r="AB81" i="8"/>
  <c r="AB191" i="8"/>
  <c r="AB40" i="8"/>
  <c r="AB97" i="8"/>
  <c r="AB45" i="8"/>
  <c r="AB179" i="8"/>
  <c r="AB46" i="8"/>
  <c r="AB132" i="8"/>
  <c r="AB222" i="8"/>
  <c r="AB146" i="8"/>
  <c r="AB151" i="8"/>
  <c r="AB41" i="8"/>
  <c r="AB96" i="8"/>
  <c r="AB125" i="8"/>
  <c r="AB135" i="8"/>
  <c r="AB166" i="8"/>
  <c r="AB200" i="8"/>
  <c r="AB276" i="8"/>
  <c r="AB242" i="8"/>
  <c r="AB67" i="8"/>
  <c r="AB172" i="8"/>
  <c r="AB82" i="8"/>
  <c r="AB74" i="8"/>
  <c r="AB142" i="8"/>
  <c r="AB122" i="8"/>
  <c r="AB133" i="8"/>
  <c r="AB76" i="8"/>
  <c r="AB155" i="8"/>
  <c r="AB127" i="8"/>
  <c r="AB229" i="8"/>
  <c r="AB171" i="8"/>
  <c r="AB99" i="8"/>
  <c r="AB150" i="8"/>
  <c r="AB55" i="8"/>
  <c r="AB136" i="8"/>
  <c r="AB175" i="8"/>
  <c r="AB63" i="8"/>
  <c r="AB61" i="8"/>
  <c r="E163" i="9"/>
  <c r="E206" i="9"/>
  <c r="E190" i="9"/>
  <c r="E137" i="9"/>
  <c r="E159" i="9"/>
  <c r="E217" i="9"/>
  <c r="E225" i="9"/>
  <c r="E239" i="9"/>
  <c r="E224" i="9"/>
  <c r="E255" i="9"/>
  <c r="E204" i="9"/>
  <c r="E186" i="9"/>
  <c r="E248" i="9"/>
  <c r="E221" i="9"/>
  <c r="E230" i="9"/>
  <c r="E258" i="9"/>
  <c r="E231" i="9"/>
  <c r="E182" i="9"/>
  <c r="E222" i="9"/>
  <c r="E214" i="9"/>
  <c r="Q182" i="9"/>
  <c r="P182" i="9"/>
  <c r="Q225" i="9"/>
  <c r="P225" i="9"/>
  <c r="Q163" i="9"/>
  <c r="P163" i="9"/>
  <c r="Q217" i="9"/>
  <c r="P217" i="9"/>
  <c r="Q239" i="9"/>
  <c r="P239" i="9"/>
  <c r="Q190" i="9"/>
  <c r="P190" i="9"/>
  <c r="Q204" i="9"/>
  <c r="P204" i="9"/>
  <c r="Q214" i="9"/>
  <c r="P214" i="9"/>
  <c r="Q230" i="9"/>
  <c r="P230" i="9"/>
  <c r="Q186" i="9"/>
  <c r="P186" i="9"/>
  <c r="Q224" i="9"/>
  <c r="P224" i="9"/>
  <c r="Q255" i="9"/>
  <c r="P255" i="9"/>
  <c r="Q231" i="9"/>
  <c r="P231" i="9"/>
  <c r="Q221" i="9"/>
  <c r="P221" i="9"/>
  <c r="Q159" i="9"/>
  <c r="P159" i="9"/>
  <c r="Q206" i="9"/>
  <c r="P206" i="9"/>
  <c r="Q222" i="9"/>
  <c r="P222" i="9"/>
  <c r="Q258" i="9"/>
  <c r="P258" i="9"/>
  <c r="Q248" i="9"/>
  <c r="P248" i="9"/>
  <c r="P137" i="9"/>
  <c r="Q137" i="9"/>
  <c r="AB215" i="8" l="1"/>
  <c r="AB205" i="8"/>
  <c r="AB228" i="8"/>
  <c r="AB217" i="8"/>
  <c r="AB218" i="8"/>
  <c r="AB227" i="8"/>
  <c r="AB277" i="8"/>
  <c r="AB235" i="8"/>
  <c r="AB60" i="8"/>
  <c r="AB100" i="8"/>
  <c r="AB213" i="8"/>
  <c r="AB253" i="8"/>
  <c r="AB157" i="8"/>
  <c r="AB189" i="8"/>
  <c r="AB239" i="8"/>
  <c r="AB255" i="8"/>
  <c r="AB231" i="8"/>
  <c r="AB261" i="8"/>
  <c r="AB188" i="8"/>
  <c r="AB259" i="8"/>
  <c r="AB83" i="8"/>
  <c r="AB245" i="8"/>
  <c r="AB140" i="8"/>
  <c r="AB271" i="8"/>
  <c r="AB254" i="8"/>
  <c r="AB220" i="8"/>
  <c r="AB219" i="8"/>
  <c r="AB156" i="8"/>
  <c r="AB153" i="8"/>
  <c r="AB123" i="8"/>
  <c r="AB263" i="8"/>
  <c r="AB210" i="8"/>
  <c r="AB246" i="8"/>
  <c r="AB129" i="8"/>
  <c r="AB149" i="8"/>
  <c r="AB234" i="8"/>
  <c r="AB272" i="8"/>
  <c r="AB264" i="8"/>
  <c r="AB226" i="8"/>
  <c r="AB284" i="8" l="1"/>
  <c r="AB230" i="8"/>
  <c r="AB281" i="8"/>
  <c r="AB232" i="8"/>
  <c r="AB265" i="8"/>
  <c r="AB248" i="8"/>
  <c r="AB256" i="8"/>
  <c r="AB243" i="8"/>
  <c r="AB250" i="8"/>
  <c r="AB251" i="8"/>
  <c r="AB208" i="8"/>
  <c r="AB163" i="8"/>
  <c r="AB212" i="8"/>
  <c r="AB240" i="8"/>
  <c r="AB216" i="8"/>
  <c r="AB274" i="8"/>
  <c r="AB257" i="8"/>
  <c r="AB35" i="8" l="1"/>
  <c r="AB37" i="8"/>
  <c r="AB34" i="8"/>
  <c r="DP31" i="12" l="1"/>
  <c r="DL31" i="12"/>
  <c r="DH31" i="12"/>
  <c r="N8" i="12"/>
  <c r="DO31" i="12"/>
  <c r="DK31" i="12"/>
  <c r="DG31" i="12"/>
  <c r="EL31" i="12"/>
  <c r="DN31" i="12"/>
  <c r="DJ31" i="12"/>
  <c r="EK31" i="12"/>
  <c r="DM31" i="12"/>
  <c r="DI31" i="12"/>
  <c r="BP28" i="12" l="1"/>
  <c r="F31" i="13" l="1"/>
  <c r="J31" i="13" l="1"/>
  <c r="J31" i="14" s="1"/>
  <c r="L31" i="14" s="1"/>
  <c r="M31" i="14" s="1"/>
  <c r="N31" i="14" s="1"/>
  <c r="O31" i="14" s="1"/>
  <c r="P31" i="14" s="1"/>
  <c r="P501" i="14" s="1"/>
  <c r="Q407" i="14" s="1"/>
  <c r="R407" i="14" s="1"/>
  <c r="AC407" i="14" s="1"/>
  <c r="C31" i="13"/>
  <c r="D31" i="13"/>
  <c r="B31" i="13"/>
  <c r="E31" i="13"/>
  <c r="G31" i="13"/>
  <c r="H31" i="13"/>
  <c r="V31" i="13"/>
  <c r="U31" i="13"/>
  <c r="AG31" i="13" s="1"/>
  <c r="AB60" i="13" s="1"/>
  <c r="B19" i="6"/>
  <c r="D19" i="6"/>
  <c r="E19" i="6" s="1"/>
  <c r="A318" i="6"/>
  <c r="P407" i="8" l="1"/>
  <c r="Q405" i="14"/>
  <c r="R405" i="14" s="1"/>
  <c r="AB405" i="14" s="1"/>
  <c r="AC405" i="14" s="1"/>
  <c r="P405" i="8" s="1"/>
  <c r="Q406" i="14"/>
  <c r="R406" i="14" s="1"/>
  <c r="AB406" i="14" s="1"/>
  <c r="AC406" i="14" s="1"/>
  <c r="Q403" i="14"/>
  <c r="R403" i="14" s="1"/>
  <c r="AB403" i="14" s="1"/>
  <c r="AC403" i="14" s="1"/>
  <c r="Q404" i="14"/>
  <c r="R404" i="14" s="1"/>
  <c r="AB404" i="14" s="1"/>
  <c r="AC404" i="14" s="1"/>
  <c r="P403" i="8"/>
  <c r="Q401" i="14"/>
  <c r="R401" i="14" s="1"/>
  <c r="AB401" i="14" s="1"/>
  <c r="AC401" i="14" s="1"/>
  <c r="Q402" i="14"/>
  <c r="R402" i="14" s="1"/>
  <c r="AB402" i="14" s="1"/>
  <c r="AC402" i="14" s="1"/>
  <c r="P401" i="8"/>
  <c r="Q399" i="14"/>
  <c r="R399" i="14" s="1"/>
  <c r="AB399" i="14" s="1"/>
  <c r="AC399" i="14" s="1"/>
  <c r="P399" i="8" s="1"/>
  <c r="Q400" i="14"/>
  <c r="R400" i="14" s="1"/>
  <c r="AB400" i="14" s="1"/>
  <c r="AC400" i="14" s="1"/>
  <c r="Q397" i="14"/>
  <c r="R397" i="14" s="1"/>
  <c r="AB397" i="14" s="1"/>
  <c r="AC397" i="14" s="1"/>
  <c r="P397" i="8" s="1"/>
  <c r="Q398" i="14"/>
  <c r="R398" i="14" s="1"/>
  <c r="AB398" i="14" s="1"/>
  <c r="AC398" i="14" s="1"/>
  <c r="Q384" i="14"/>
  <c r="R384" i="14" s="1"/>
  <c r="AB384" i="14" s="1"/>
  <c r="AC384" i="14" s="1"/>
  <c r="P384" i="8" s="1"/>
  <c r="Q396" i="14"/>
  <c r="R396" i="14" s="1"/>
  <c r="AB396" i="14" s="1"/>
  <c r="AC396" i="14" s="1"/>
  <c r="Q382" i="14"/>
  <c r="R382" i="14" s="1"/>
  <c r="AB382" i="14" s="1"/>
  <c r="AC382" i="14" s="1"/>
  <c r="Q392" i="14"/>
  <c r="R392" i="14" s="1"/>
  <c r="AC392" i="14" s="1"/>
  <c r="Q391" i="14"/>
  <c r="R391" i="14" s="1"/>
  <c r="AC391" i="14" s="1"/>
  <c r="Q375" i="14"/>
  <c r="R375" i="14" s="1"/>
  <c r="AC375" i="14" s="1"/>
  <c r="Q394" i="14"/>
  <c r="R394" i="14" s="1"/>
  <c r="AC394" i="14" s="1"/>
  <c r="Q378" i="14"/>
  <c r="R378" i="14" s="1"/>
  <c r="AC378" i="14" s="1"/>
  <c r="Q376" i="14"/>
  <c r="R376" i="14" s="1"/>
  <c r="AC376" i="14" s="1"/>
  <c r="Q380" i="14"/>
  <c r="R380" i="14" s="1"/>
  <c r="AB380" i="14" s="1"/>
  <c r="AC380" i="14" s="1"/>
  <c r="Q390" i="14"/>
  <c r="R390" i="14" s="1"/>
  <c r="AB390" i="14" s="1"/>
  <c r="AC390" i="14" s="1"/>
  <c r="Q389" i="14"/>
  <c r="R389" i="14" s="1"/>
  <c r="AB389" i="14" s="1"/>
  <c r="AC389" i="14" s="1"/>
  <c r="Q388" i="14"/>
  <c r="R388" i="14" s="1"/>
  <c r="AB388" i="14" s="1"/>
  <c r="AC388" i="14" s="1"/>
  <c r="Q374" i="14"/>
  <c r="R374" i="14" s="1"/>
  <c r="AC374" i="14" s="1"/>
  <c r="Q387" i="14"/>
  <c r="R387" i="14" s="1"/>
  <c r="AB387" i="14" s="1"/>
  <c r="AC387" i="14" s="1"/>
  <c r="Q385" i="14"/>
  <c r="R385" i="14" s="1"/>
  <c r="AC385" i="14" s="1"/>
  <c r="Q371" i="14"/>
  <c r="R371" i="14" s="1"/>
  <c r="AB371" i="14" s="1"/>
  <c r="AC371" i="14" s="1"/>
  <c r="Q383" i="14"/>
  <c r="R383" i="14" s="1"/>
  <c r="AB383" i="14" s="1"/>
  <c r="AC383" i="14" s="1"/>
  <c r="Q393" i="14"/>
  <c r="R393" i="14" s="1"/>
  <c r="AC393" i="14" s="1"/>
  <c r="Q381" i="14"/>
  <c r="R381" i="14" s="1"/>
  <c r="AB381" i="14" s="1"/>
  <c r="AC381" i="14" s="1"/>
  <c r="Q386" i="14"/>
  <c r="R386" i="14" s="1"/>
  <c r="AB386" i="14" s="1"/>
  <c r="AC386" i="14" s="1"/>
  <c r="Q377" i="14"/>
  <c r="R377" i="14" s="1"/>
  <c r="AC377" i="14" s="1"/>
  <c r="Q372" i="14"/>
  <c r="R372" i="14" s="1"/>
  <c r="AC372" i="14" s="1"/>
  <c r="Q373" i="14"/>
  <c r="R373" i="14" s="1"/>
  <c r="AC373" i="14" s="1"/>
  <c r="Q379" i="14"/>
  <c r="R379" i="14" s="1"/>
  <c r="AC379" i="14" s="1"/>
  <c r="Q330" i="14"/>
  <c r="R330" i="14" s="1"/>
  <c r="AB330" i="14" s="1"/>
  <c r="AC330" i="14" s="1"/>
  <c r="Q348" i="14"/>
  <c r="R348" i="14" s="1"/>
  <c r="AB348" i="14" s="1"/>
  <c r="AC348" i="14" s="1"/>
  <c r="Q360" i="14"/>
  <c r="R360" i="14" s="1"/>
  <c r="AC360" i="14" s="1"/>
  <c r="Q368" i="14"/>
  <c r="R368" i="14" s="1"/>
  <c r="AC368" i="14" s="1"/>
  <c r="Q334" i="14"/>
  <c r="R334" i="14" s="1"/>
  <c r="AB334" i="14" s="1"/>
  <c r="AC334" i="14" s="1"/>
  <c r="Q346" i="14"/>
  <c r="R346" i="14" s="1"/>
  <c r="AB346" i="14" s="1"/>
  <c r="AC346" i="14" s="1"/>
  <c r="Q364" i="14"/>
  <c r="R364" i="14" s="1"/>
  <c r="AC364" i="14" s="1"/>
  <c r="Q354" i="14"/>
  <c r="R354" i="14" s="1"/>
  <c r="AB354" i="14" s="1"/>
  <c r="AC354" i="14" s="1"/>
  <c r="Q362" i="14"/>
  <c r="R362" i="14" s="1"/>
  <c r="AB362" i="14" s="1"/>
  <c r="AC362" i="14" s="1"/>
  <c r="Q335" i="14"/>
  <c r="R335" i="14" s="1"/>
  <c r="AB335" i="14" s="1"/>
  <c r="AC335" i="14" s="1"/>
  <c r="Q340" i="14"/>
  <c r="R340" i="14" s="1"/>
  <c r="AB340" i="14" s="1"/>
  <c r="AC340" i="14" s="1"/>
  <c r="Q358" i="14"/>
  <c r="R358" i="14" s="1"/>
  <c r="AC358" i="14" s="1"/>
  <c r="Q356" i="14"/>
  <c r="R356" i="14" s="1"/>
  <c r="AB356" i="14" s="1"/>
  <c r="AC356" i="14" s="1"/>
  <c r="Q337" i="14"/>
  <c r="R337" i="14" s="1"/>
  <c r="AB337" i="14" s="1"/>
  <c r="AC337" i="14" s="1"/>
  <c r="Q341" i="14"/>
  <c r="R341" i="14" s="1"/>
  <c r="AB341" i="14" s="1"/>
  <c r="AC341" i="14" s="1"/>
  <c r="Q349" i="14"/>
  <c r="R349" i="14" s="1"/>
  <c r="AC349" i="14" s="1"/>
  <c r="Q331" i="14"/>
  <c r="R331" i="14" s="1"/>
  <c r="AB331" i="14" s="1"/>
  <c r="AC331" i="14" s="1"/>
  <c r="Q332" i="14"/>
  <c r="R332" i="14" s="1"/>
  <c r="AB332" i="14" s="1"/>
  <c r="AC332" i="14" s="1"/>
  <c r="Q344" i="14"/>
  <c r="R344" i="14" s="1"/>
  <c r="AB344" i="14" s="1"/>
  <c r="AC344" i="14" s="1"/>
  <c r="Q357" i="14"/>
  <c r="R357" i="14" s="1"/>
  <c r="AC357" i="14" s="1"/>
  <c r="Q343" i="14"/>
  <c r="R343" i="14" s="1"/>
  <c r="AB343" i="14" s="1"/>
  <c r="AC343" i="14" s="1"/>
  <c r="Q333" i="14"/>
  <c r="R333" i="14" s="1"/>
  <c r="AB333" i="14" s="1"/>
  <c r="AC333" i="14" s="1"/>
  <c r="Q367" i="14"/>
  <c r="R367" i="14" s="1"/>
  <c r="AC367" i="14" s="1"/>
  <c r="Q369" i="14"/>
  <c r="R369" i="14" s="1"/>
  <c r="AB369" i="14" s="1"/>
  <c r="AC369" i="14" s="1"/>
  <c r="Q336" i="14"/>
  <c r="R336" i="14" s="1"/>
  <c r="AB336" i="14" s="1"/>
  <c r="AC336" i="14" s="1"/>
  <c r="Q370" i="14"/>
  <c r="R370" i="14" s="1"/>
  <c r="AB370" i="14" s="1"/>
  <c r="AC370" i="14" s="1"/>
  <c r="Q351" i="14"/>
  <c r="R351" i="14" s="1"/>
  <c r="AB351" i="14" s="1"/>
  <c r="AC351" i="14" s="1"/>
  <c r="Q350" i="14"/>
  <c r="R350" i="14" s="1"/>
  <c r="AC350" i="14" s="1"/>
  <c r="Q338" i="14"/>
  <c r="R338" i="14" s="1"/>
  <c r="AB338" i="14" s="1"/>
  <c r="AC338" i="14" s="1"/>
  <c r="Q347" i="14"/>
  <c r="R347" i="14" s="1"/>
  <c r="AB347" i="14" s="1"/>
  <c r="AC347" i="14" s="1"/>
  <c r="Q339" i="14"/>
  <c r="R339" i="14" s="1"/>
  <c r="AB339" i="14" s="1"/>
  <c r="AC339" i="14" s="1"/>
  <c r="Q342" i="14"/>
  <c r="R342" i="14" s="1"/>
  <c r="AB342" i="14" s="1"/>
  <c r="AC342" i="14" s="1"/>
  <c r="Q352" i="14"/>
  <c r="R352" i="14" s="1"/>
  <c r="AC352" i="14" s="1"/>
  <c r="Q345" i="14"/>
  <c r="R345" i="14" s="1"/>
  <c r="AB345" i="14" s="1"/>
  <c r="AC345" i="14" s="1"/>
  <c r="Q363" i="14"/>
  <c r="R363" i="14" s="1"/>
  <c r="AC363" i="14" s="1"/>
  <c r="Q355" i="14"/>
  <c r="R355" i="14" s="1"/>
  <c r="AC355" i="14" s="1"/>
  <c r="Q359" i="14"/>
  <c r="R359" i="14" s="1"/>
  <c r="AB359" i="14" s="1"/>
  <c r="AC359" i="14" s="1"/>
  <c r="Q328" i="14"/>
  <c r="R328" i="14" s="1"/>
  <c r="AB328" i="14" s="1"/>
  <c r="AC328" i="14" s="1"/>
  <c r="Q308" i="14"/>
  <c r="R308" i="14" s="1"/>
  <c r="AB308" i="14" s="1"/>
  <c r="AC308" i="14" s="1"/>
  <c r="Q293" i="14"/>
  <c r="R293" i="14" s="1"/>
  <c r="AB293" i="14" s="1"/>
  <c r="AC293" i="14" s="1"/>
  <c r="Q313" i="14"/>
  <c r="R313" i="14" s="1"/>
  <c r="AB313" i="14" s="1"/>
  <c r="AC313" i="14" s="1"/>
  <c r="Q319" i="14"/>
  <c r="R319" i="14" s="1"/>
  <c r="AB319" i="14" s="1"/>
  <c r="AC319" i="14" s="1"/>
  <c r="Q296" i="14"/>
  <c r="R296" i="14" s="1"/>
  <c r="AB296" i="14" s="1"/>
  <c r="AC296" i="14" s="1"/>
  <c r="Q329" i="14"/>
  <c r="R329" i="14" s="1"/>
  <c r="AB329" i="14" s="1"/>
  <c r="AC329" i="14" s="1"/>
  <c r="Q327" i="14"/>
  <c r="R327" i="14" s="1"/>
  <c r="AB327" i="14" s="1"/>
  <c r="AC327" i="14" s="1"/>
  <c r="Q315" i="14"/>
  <c r="R315" i="14" s="1"/>
  <c r="AB315" i="14" s="1"/>
  <c r="AC315" i="14" s="1"/>
  <c r="Q287" i="14"/>
  <c r="R287" i="14" s="1"/>
  <c r="AB287" i="14" s="1"/>
  <c r="AC287" i="14" s="1"/>
  <c r="Q321" i="14"/>
  <c r="R321" i="14" s="1"/>
  <c r="AB321" i="14" s="1"/>
  <c r="AC321" i="14" s="1"/>
  <c r="Q309" i="14"/>
  <c r="R309" i="14" s="1"/>
  <c r="AB309" i="14" s="1"/>
  <c r="AC309" i="14" s="1"/>
  <c r="Q304" i="14"/>
  <c r="R304" i="14" s="1"/>
  <c r="AB304" i="14" s="1"/>
  <c r="AC304" i="14" s="1"/>
  <c r="Q291" i="14"/>
  <c r="R291" i="14" s="1"/>
  <c r="AB291" i="14" s="1"/>
  <c r="AC291" i="14" s="1"/>
  <c r="Q300" i="14"/>
  <c r="R300" i="14" s="1"/>
  <c r="AB300" i="14" s="1"/>
  <c r="AC300" i="14" s="1"/>
  <c r="Q290" i="14"/>
  <c r="R290" i="14" s="1"/>
  <c r="AB290" i="14" s="1"/>
  <c r="AC290" i="14" s="1"/>
  <c r="Q288" i="14"/>
  <c r="R288" i="14" s="1"/>
  <c r="AB288" i="14" s="1"/>
  <c r="AC288" i="14" s="1"/>
  <c r="Q317" i="14"/>
  <c r="R317" i="14" s="1"/>
  <c r="AB317" i="14" s="1"/>
  <c r="AC317" i="14" s="1"/>
  <c r="Q320" i="14"/>
  <c r="R320" i="14" s="1"/>
  <c r="AB320" i="14" s="1"/>
  <c r="AC320" i="14" s="1"/>
  <c r="Q312" i="14"/>
  <c r="R312" i="14" s="1"/>
  <c r="AB312" i="14" s="1"/>
  <c r="AC312" i="14" s="1"/>
  <c r="Q326" i="14"/>
  <c r="R326" i="14" s="1"/>
  <c r="AB326" i="14" s="1"/>
  <c r="AC326" i="14" s="1"/>
  <c r="Q299" i="14"/>
  <c r="R299" i="14" s="1"/>
  <c r="AB299" i="14" s="1"/>
  <c r="AC299" i="14" s="1"/>
  <c r="Q294" i="14"/>
  <c r="R294" i="14" s="1"/>
  <c r="AB294" i="14" s="1"/>
  <c r="AC294" i="14" s="1"/>
  <c r="Q323" i="14"/>
  <c r="R323" i="14" s="1"/>
  <c r="AB323" i="14" s="1"/>
  <c r="AC323" i="14" s="1"/>
  <c r="Q286" i="14"/>
  <c r="R286" i="14" s="1"/>
  <c r="AB286" i="14" s="1"/>
  <c r="AC286" i="14" s="1"/>
  <c r="Q307" i="14"/>
  <c r="R307" i="14" s="1"/>
  <c r="AB307" i="14" s="1"/>
  <c r="AC307" i="14" s="1"/>
  <c r="Q314" i="14"/>
  <c r="R314" i="14" s="1"/>
  <c r="AB314" i="14" s="1"/>
  <c r="AC314" i="14" s="1"/>
  <c r="Q316" i="14"/>
  <c r="R316" i="14" s="1"/>
  <c r="AB316" i="14" s="1"/>
  <c r="AC316" i="14" s="1"/>
  <c r="Q303" i="14"/>
  <c r="R303" i="14" s="1"/>
  <c r="AB303" i="14" s="1"/>
  <c r="AC303" i="14" s="1"/>
  <c r="Q302" i="14"/>
  <c r="R302" i="14" s="1"/>
  <c r="AB302" i="14" s="1"/>
  <c r="AC302" i="14" s="1"/>
  <c r="Q324" i="14"/>
  <c r="R324" i="14" s="1"/>
  <c r="AB324" i="14" s="1"/>
  <c r="AC324" i="14" s="1"/>
  <c r="Q310" i="14"/>
  <c r="R310" i="14" s="1"/>
  <c r="AB310" i="14" s="1"/>
  <c r="AC310" i="14" s="1"/>
  <c r="Q318" i="14"/>
  <c r="R318" i="14" s="1"/>
  <c r="AB318" i="14" s="1"/>
  <c r="AC318" i="14" s="1"/>
  <c r="Q297" i="14"/>
  <c r="R297" i="14" s="1"/>
  <c r="AB297" i="14" s="1"/>
  <c r="AC297" i="14" s="1"/>
  <c r="Q305" i="14"/>
  <c r="R305" i="14" s="1"/>
  <c r="AB305" i="14" s="1"/>
  <c r="AC305" i="14" s="1"/>
  <c r="Q325" i="14"/>
  <c r="R325" i="14" s="1"/>
  <c r="AB325" i="14" s="1"/>
  <c r="AC325" i="14" s="1"/>
  <c r="Q295" i="14"/>
  <c r="R295" i="14" s="1"/>
  <c r="AB295" i="14" s="1"/>
  <c r="AC295" i="14" s="1"/>
  <c r="Q292" i="14"/>
  <c r="R292" i="14" s="1"/>
  <c r="AB292" i="14" s="1"/>
  <c r="AC292" i="14" s="1"/>
  <c r="Q289" i="14"/>
  <c r="R289" i="14" s="1"/>
  <c r="AB289" i="14" s="1"/>
  <c r="AC289" i="14" s="1"/>
  <c r="Q311" i="14"/>
  <c r="R311" i="14" s="1"/>
  <c r="AB311" i="14" s="1"/>
  <c r="AC311" i="14" s="1"/>
  <c r="Q298" i="14"/>
  <c r="R298" i="14" s="1"/>
  <c r="AB298" i="14" s="1"/>
  <c r="AC298" i="14" s="1"/>
  <c r="Q306" i="14"/>
  <c r="R306" i="14" s="1"/>
  <c r="AB306" i="14" s="1"/>
  <c r="AC306" i="14" s="1"/>
  <c r="Q322" i="14"/>
  <c r="R322" i="14" s="1"/>
  <c r="AB322" i="14" s="1"/>
  <c r="AC322" i="14" s="1"/>
  <c r="Q268" i="14"/>
  <c r="R268" i="14" s="1"/>
  <c r="AC268" i="14" s="1"/>
  <c r="Q278" i="14"/>
  <c r="R278" i="14" s="1"/>
  <c r="AB278" i="14" s="1"/>
  <c r="AC278" i="14" s="1"/>
  <c r="Q279" i="14"/>
  <c r="R279" i="14" s="1"/>
  <c r="AC279" i="14" s="1"/>
  <c r="Q282" i="14"/>
  <c r="R282" i="14" s="1"/>
  <c r="AB282" i="14" s="1"/>
  <c r="AC282" i="14" s="1"/>
  <c r="Q280" i="14"/>
  <c r="R280" i="14" s="1"/>
  <c r="AC280" i="14" s="1"/>
  <c r="Q269" i="14"/>
  <c r="R269" i="14" s="1"/>
  <c r="AC269" i="14" s="1"/>
  <c r="Q265" i="14"/>
  <c r="R265" i="14" s="1"/>
  <c r="AC265" i="14" s="1"/>
  <c r="Q284" i="14"/>
  <c r="R284" i="14" s="1"/>
  <c r="AB284" i="14" s="1"/>
  <c r="AC284" i="14" s="1"/>
  <c r="Q264" i="14"/>
  <c r="R264" i="14" s="1"/>
  <c r="AC264" i="14" s="1"/>
  <c r="Q281" i="14"/>
  <c r="R281" i="14" s="1"/>
  <c r="AC281" i="14" s="1"/>
  <c r="Q277" i="14"/>
  <c r="R277" i="14" s="1"/>
  <c r="AC277" i="14" s="1"/>
  <c r="Q276" i="14"/>
  <c r="R276" i="14" s="1"/>
  <c r="AC276" i="14" s="1"/>
  <c r="Q272" i="14"/>
  <c r="R272" i="14" s="1"/>
  <c r="AC272" i="14" s="1"/>
  <c r="Q271" i="14"/>
  <c r="R271" i="14" s="1"/>
  <c r="AC271" i="14" s="1"/>
  <c r="Q283" i="14"/>
  <c r="R283" i="14" s="1"/>
  <c r="AB283" i="14" s="1"/>
  <c r="AC283" i="14" s="1"/>
  <c r="Q270" i="14"/>
  <c r="R270" i="14" s="1"/>
  <c r="AC270" i="14" s="1"/>
  <c r="Q274" i="14"/>
  <c r="R274" i="14" s="1"/>
  <c r="AC274" i="14" s="1"/>
  <c r="Q266" i="14"/>
  <c r="R266" i="14" s="1"/>
  <c r="AC266" i="14" s="1"/>
  <c r="Q267" i="14"/>
  <c r="R267" i="14" s="1"/>
  <c r="AC267" i="14" s="1"/>
  <c r="Q285" i="14"/>
  <c r="R285" i="14" s="1"/>
  <c r="AB285" i="14" s="1"/>
  <c r="AC285" i="14" s="1"/>
  <c r="Q273" i="14"/>
  <c r="R273" i="14" s="1"/>
  <c r="AC273" i="14" s="1"/>
  <c r="Q262" i="14"/>
  <c r="R262" i="14" s="1"/>
  <c r="AC262" i="14" s="1"/>
  <c r="P262" i="8" s="1"/>
  <c r="Q263" i="14"/>
  <c r="R263" i="14" s="1"/>
  <c r="AB263" i="14" s="1"/>
  <c r="AC263" i="14" s="1"/>
  <c r="Q260" i="14"/>
  <c r="R260" i="14" s="1"/>
  <c r="AB260" i="14" s="1"/>
  <c r="AC260" i="14" s="1"/>
  <c r="P260" i="8" s="1"/>
  <c r="Q261" i="14"/>
  <c r="R261" i="14" s="1"/>
  <c r="AC261" i="14" s="1"/>
  <c r="Q259" i="14"/>
  <c r="R259" i="14" s="1"/>
  <c r="AB259" i="14" s="1"/>
  <c r="AC259" i="14" s="1"/>
  <c r="P259" i="8" s="1"/>
  <c r="Q258" i="14"/>
  <c r="R258" i="14" s="1"/>
  <c r="AB258" i="14" s="1"/>
  <c r="AC258" i="14" s="1"/>
  <c r="Q256" i="14"/>
  <c r="R256" i="14" s="1"/>
  <c r="AC256" i="14" s="1"/>
  <c r="P256" i="8" s="1"/>
  <c r="Q257" i="14"/>
  <c r="R257" i="14" s="1"/>
  <c r="AC257" i="14" s="1"/>
  <c r="Q254" i="14"/>
  <c r="R254" i="14" s="1"/>
  <c r="AB254" i="14" s="1"/>
  <c r="AC254" i="14" s="1"/>
  <c r="P254" i="8" s="1"/>
  <c r="Q255" i="14"/>
  <c r="R255" i="14" s="1"/>
  <c r="AB255" i="14" s="1"/>
  <c r="AC255" i="14" s="1"/>
  <c r="Q233" i="14"/>
  <c r="R233" i="14" s="1"/>
  <c r="AC233" i="14" s="1"/>
  <c r="P233" i="8" s="1"/>
  <c r="Q237" i="14"/>
  <c r="R237" i="14" s="1"/>
  <c r="AB237" i="14" s="1"/>
  <c r="AC237" i="14" s="1"/>
  <c r="Q244" i="14"/>
  <c r="R244" i="14" s="1"/>
  <c r="AB244" i="14" s="1"/>
  <c r="AC244" i="14" s="1"/>
  <c r="Q243" i="14"/>
  <c r="R243" i="14" s="1"/>
  <c r="AC243" i="14" s="1"/>
  <c r="Q235" i="14"/>
  <c r="R235" i="14" s="1"/>
  <c r="AC235" i="14" s="1"/>
  <c r="Q252" i="14"/>
  <c r="R252" i="14" s="1"/>
  <c r="Q248" i="14"/>
  <c r="R248" i="14" s="1"/>
  <c r="AB248" i="14" s="1"/>
  <c r="AC248" i="14" s="1"/>
  <c r="Q253" i="14"/>
  <c r="R253" i="14" s="1"/>
  <c r="AC253" i="14" s="1"/>
  <c r="Q245" i="14"/>
  <c r="R245" i="14" s="1"/>
  <c r="AB245" i="14" s="1"/>
  <c r="AC245" i="14" s="1"/>
  <c r="Q249" i="14"/>
  <c r="R249" i="14" s="1"/>
  <c r="AB249" i="14" s="1"/>
  <c r="AC249" i="14" s="1"/>
  <c r="Q250" i="14"/>
  <c r="R250" i="14" s="1"/>
  <c r="AC250" i="14" s="1"/>
  <c r="Q241" i="14"/>
  <c r="R241" i="14" s="1"/>
  <c r="AC241" i="14" s="1"/>
  <c r="Q238" i="14"/>
  <c r="R238" i="14" s="1"/>
  <c r="AB238" i="14" s="1"/>
  <c r="AC238" i="14" s="1"/>
  <c r="Q234" i="14"/>
  <c r="R234" i="14" s="1"/>
  <c r="AB234" i="14" s="1"/>
  <c r="AC234" i="14" s="1"/>
  <c r="Q247" i="14"/>
  <c r="R247" i="14" s="1"/>
  <c r="AB247" i="14" s="1"/>
  <c r="AC247" i="14" s="1"/>
  <c r="Q242" i="14"/>
  <c r="R242" i="14" s="1"/>
  <c r="AC242" i="14" s="1"/>
  <c r="Q239" i="14"/>
  <c r="R239" i="14" s="1"/>
  <c r="AC239" i="14" s="1"/>
  <c r="Q251" i="14"/>
  <c r="R251" i="14" s="1"/>
  <c r="AC251" i="14" s="1"/>
  <c r="Q236" i="14"/>
  <c r="R236" i="14" s="1"/>
  <c r="AC236" i="14" s="1"/>
  <c r="Q240" i="14"/>
  <c r="R240" i="14" s="1"/>
  <c r="AC240" i="14" s="1"/>
  <c r="Q246" i="14"/>
  <c r="R246" i="14" s="1"/>
  <c r="AB246" i="14" s="1"/>
  <c r="AC246" i="14" s="1"/>
  <c r="Q231" i="14"/>
  <c r="R231" i="14" s="1"/>
  <c r="AB231" i="14" s="1"/>
  <c r="AC231" i="14" s="1"/>
  <c r="P231" i="8" s="1"/>
  <c r="Q232" i="14"/>
  <c r="R232" i="14" s="1"/>
  <c r="AC232" i="14" s="1"/>
  <c r="Q229" i="14"/>
  <c r="R229" i="14" s="1"/>
  <c r="AC229" i="14" s="1"/>
  <c r="L229" i="18" s="1"/>
  <c r="M229" i="18" s="1"/>
  <c r="Q230" i="14"/>
  <c r="R230" i="14" s="1"/>
  <c r="AB230" i="14" s="1"/>
  <c r="AC230" i="14" s="1"/>
  <c r="Q227" i="14"/>
  <c r="R227" i="14" s="1"/>
  <c r="AB227" i="14" s="1"/>
  <c r="AC227" i="14" s="1"/>
  <c r="P227" i="8" s="1"/>
  <c r="Q228" i="14"/>
  <c r="R228" i="14" s="1"/>
  <c r="AB228" i="14" s="1"/>
  <c r="AC228" i="14" s="1"/>
  <c r="Q225" i="14"/>
  <c r="R225" i="14" s="1"/>
  <c r="AC225" i="14" s="1"/>
  <c r="P225" i="8" s="1"/>
  <c r="Q226" i="14"/>
  <c r="R226" i="14" s="1"/>
  <c r="AB226" i="14" s="1"/>
  <c r="AC226" i="14" s="1"/>
  <c r="Q223" i="14"/>
  <c r="R223" i="14" s="1"/>
  <c r="AB223" i="14" s="1"/>
  <c r="AC223" i="14" s="1"/>
  <c r="P223" i="8" s="1"/>
  <c r="Q224" i="14"/>
  <c r="R224" i="14" s="1"/>
  <c r="AB224" i="14" s="1"/>
  <c r="AC224" i="14" s="1"/>
  <c r="Q221" i="14"/>
  <c r="R221" i="14" s="1"/>
  <c r="AB221" i="14" s="1"/>
  <c r="AC221" i="14" s="1"/>
  <c r="P221" i="8" s="1"/>
  <c r="Q222" i="14"/>
  <c r="R222" i="14" s="1"/>
  <c r="AB222" i="14" s="1"/>
  <c r="AC222" i="14" s="1"/>
  <c r="Q219" i="14"/>
  <c r="R219" i="14" s="1"/>
  <c r="AB219" i="14" s="1"/>
  <c r="AC219" i="14" s="1"/>
  <c r="P219" i="8" s="1"/>
  <c r="Q220" i="14"/>
  <c r="R220" i="14" s="1"/>
  <c r="AB220" i="14" s="1"/>
  <c r="AC220" i="14" s="1"/>
  <c r="Q217" i="14"/>
  <c r="R217" i="14" s="1"/>
  <c r="Q218" i="14"/>
  <c r="R218" i="14" s="1"/>
  <c r="AC218" i="14" s="1"/>
  <c r="AB217" i="14"/>
  <c r="Q215" i="14"/>
  <c r="R215" i="14" s="1"/>
  <c r="AC215" i="14" s="1"/>
  <c r="P215" i="8" s="1"/>
  <c r="Q216" i="14"/>
  <c r="R216" i="14" s="1"/>
  <c r="AB216" i="14" s="1"/>
  <c r="AC216" i="14" s="1"/>
  <c r="Q213" i="14"/>
  <c r="R213" i="14" s="1"/>
  <c r="AC213" i="14" s="1"/>
  <c r="P213" i="8" s="1"/>
  <c r="Q214" i="14"/>
  <c r="R214" i="14" s="1"/>
  <c r="AB214" i="14" s="1"/>
  <c r="AC214" i="14" s="1"/>
  <c r="Q211" i="14"/>
  <c r="R211" i="14" s="1"/>
  <c r="AC211" i="14" s="1"/>
  <c r="P211" i="8" s="1"/>
  <c r="Q212" i="14"/>
  <c r="R212" i="14" s="1"/>
  <c r="AB212" i="14" s="1"/>
  <c r="AC212" i="14" s="1"/>
  <c r="Q209" i="14"/>
  <c r="R209" i="14" s="1"/>
  <c r="AB209" i="14" s="1"/>
  <c r="AC209" i="14" s="1"/>
  <c r="P209" i="8" s="1"/>
  <c r="Q210" i="14"/>
  <c r="R210" i="14" s="1"/>
  <c r="AB210" i="14" s="1"/>
  <c r="AC210" i="14" s="1"/>
  <c r="Q207" i="14"/>
  <c r="R207" i="14" s="1"/>
  <c r="AC207" i="14" s="1"/>
  <c r="P207" i="8" s="1"/>
  <c r="Q208" i="14"/>
  <c r="R208" i="14" s="1"/>
  <c r="AB208" i="14" s="1"/>
  <c r="AC208" i="14" s="1"/>
  <c r="Q205" i="14"/>
  <c r="R205" i="14" s="1"/>
  <c r="AC205" i="14" s="1"/>
  <c r="P205" i="8" s="1"/>
  <c r="Q206" i="14"/>
  <c r="R206" i="14" s="1"/>
  <c r="AC206" i="14" s="1"/>
  <c r="Q203" i="14"/>
  <c r="R203" i="14" s="1"/>
  <c r="AC203" i="14" s="1"/>
  <c r="P203" i="8" s="1"/>
  <c r="Q204" i="14"/>
  <c r="R204" i="14" s="1"/>
  <c r="AC204" i="14" s="1"/>
  <c r="Q201" i="14"/>
  <c r="R201" i="14" s="1"/>
  <c r="AB201" i="14" s="1"/>
  <c r="AC201" i="14" s="1"/>
  <c r="P201" i="8" s="1"/>
  <c r="Q202" i="14"/>
  <c r="R202" i="14" s="1"/>
  <c r="AB202" i="14" s="1"/>
  <c r="AC202" i="14" s="1"/>
  <c r="Q199" i="14"/>
  <c r="R199" i="14" s="1"/>
  <c r="AC199" i="14" s="1"/>
  <c r="P199" i="8" s="1"/>
  <c r="Q200" i="14"/>
  <c r="R200" i="14" s="1"/>
  <c r="AB200" i="14" s="1"/>
  <c r="AC200" i="14" s="1"/>
  <c r="Q197" i="14"/>
  <c r="R197" i="14" s="1"/>
  <c r="AB197" i="14" s="1"/>
  <c r="AC197" i="14" s="1"/>
  <c r="P197" i="8" s="1"/>
  <c r="Q198" i="14"/>
  <c r="R198" i="14" s="1"/>
  <c r="AC198" i="14" s="1"/>
  <c r="Q195" i="14"/>
  <c r="R195" i="14" s="1"/>
  <c r="AB195" i="14" s="1"/>
  <c r="AC195" i="14" s="1"/>
  <c r="P195" i="8" s="1"/>
  <c r="Q196" i="14"/>
  <c r="R196" i="14" s="1"/>
  <c r="AC196" i="14" s="1"/>
  <c r="Q193" i="14"/>
  <c r="R193" i="14" s="1"/>
  <c r="AC193" i="14" s="1"/>
  <c r="P193" i="8" s="1"/>
  <c r="Q194" i="14"/>
  <c r="R194" i="14" s="1"/>
  <c r="AB194" i="14" s="1"/>
  <c r="AC194" i="14" s="1"/>
  <c r="Q191" i="14"/>
  <c r="R191" i="14" s="1"/>
  <c r="AC191" i="14" s="1"/>
  <c r="P191" i="8" s="1"/>
  <c r="Q192" i="14"/>
  <c r="R192" i="14" s="1"/>
  <c r="AC192" i="14" s="1"/>
  <c r="Q189" i="14"/>
  <c r="R189" i="14" s="1"/>
  <c r="AC189" i="14" s="1"/>
  <c r="P189" i="8" s="1"/>
  <c r="Q190" i="14"/>
  <c r="R190" i="14" s="1"/>
  <c r="AC190" i="14" s="1"/>
  <c r="Q187" i="14"/>
  <c r="R187" i="14" s="1"/>
  <c r="AB187" i="14" s="1"/>
  <c r="AC187" i="14" s="1"/>
  <c r="P187" i="8" s="1"/>
  <c r="Q188" i="14"/>
  <c r="R188" i="14" s="1"/>
  <c r="AC188" i="14" s="1"/>
  <c r="Q185" i="14"/>
  <c r="R185" i="14" s="1"/>
  <c r="AB185" i="14" s="1"/>
  <c r="AC185" i="14" s="1"/>
  <c r="P185" i="8" s="1"/>
  <c r="Q186" i="14"/>
  <c r="R186" i="14" s="1"/>
  <c r="AC186" i="14" s="1"/>
  <c r="Q183" i="14"/>
  <c r="R183" i="14" s="1"/>
  <c r="AB183" i="14" s="1"/>
  <c r="AC183" i="14" s="1"/>
  <c r="P183" i="8" s="1"/>
  <c r="Q184" i="14"/>
  <c r="R184" i="14" s="1"/>
  <c r="AC184" i="14" s="1"/>
  <c r="Q181" i="14"/>
  <c r="R181" i="14" s="1"/>
  <c r="AB181" i="14" s="1"/>
  <c r="AC181" i="14" s="1"/>
  <c r="P181" i="8" s="1"/>
  <c r="Q182" i="14"/>
  <c r="R182" i="14" s="1"/>
  <c r="AB182" i="14" s="1"/>
  <c r="AC182" i="14" s="1"/>
  <c r="Q180" i="14"/>
  <c r="R180" i="14" s="1"/>
  <c r="AB180" i="14" s="1"/>
  <c r="AC180" i="14" s="1"/>
  <c r="P180" i="8" s="1"/>
  <c r="Q174" i="14"/>
  <c r="R174" i="14" s="1"/>
  <c r="AC174" i="14" s="1"/>
  <c r="Q178" i="14"/>
  <c r="R178" i="14" s="1"/>
  <c r="AB178" i="14" s="1"/>
  <c r="AC178" i="14" s="1"/>
  <c r="P178" i="8" s="1"/>
  <c r="Q179" i="14"/>
  <c r="R179" i="14" s="1"/>
  <c r="AB179" i="14" s="1"/>
  <c r="AC179" i="14" s="1"/>
  <c r="Q176" i="14"/>
  <c r="R176" i="14" s="1"/>
  <c r="AB176" i="14" s="1"/>
  <c r="AC176" i="14" s="1"/>
  <c r="P176" i="8" s="1"/>
  <c r="Q177" i="14"/>
  <c r="R177" i="14" s="1"/>
  <c r="AC177" i="14" s="1"/>
  <c r="Q173" i="14"/>
  <c r="R173" i="14" s="1"/>
  <c r="AC173" i="14" s="1"/>
  <c r="P173" i="8" s="1"/>
  <c r="Q175" i="14"/>
  <c r="R175" i="14" s="1"/>
  <c r="AC175" i="14" s="1"/>
  <c r="Q171" i="14"/>
  <c r="R171" i="14" s="1"/>
  <c r="AB171" i="14" s="1"/>
  <c r="AC171" i="14" s="1"/>
  <c r="P171" i="8" s="1"/>
  <c r="Q172" i="14"/>
  <c r="R172" i="14" s="1"/>
  <c r="AB172" i="14" s="1"/>
  <c r="AC172" i="14" s="1"/>
  <c r="Q169" i="14"/>
  <c r="R169" i="14" s="1"/>
  <c r="AC169" i="14" s="1"/>
  <c r="P169" i="8" s="1"/>
  <c r="Q170" i="14"/>
  <c r="R170" i="14" s="1"/>
  <c r="AC170" i="14" s="1"/>
  <c r="Q167" i="14"/>
  <c r="R167" i="14" s="1"/>
  <c r="AB167" i="14" s="1"/>
  <c r="AC167" i="14" s="1"/>
  <c r="P167" i="8" s="1"/>
  <c r="Q168" i="14"/>
  <c r="R168" i="14" s="1"/>
  <c r="AB168" i="14" s="1"/>
  <c r="AC168" i="14" s="1"/>
  <c r="Q165" i="14"/>
  <c r="R165" i="14" s="1"/>
  <c r="AC165" i="14" s="1"/>
  <c r="P165" i="8" s="1"/>
  <c r="Q166" i="14"/>
  <c r="R166" i="14" s="1"/>
  <c r="AC166" i="14" s="1"/>
  <c r="Q163" i="14"/>
  <c r="R163" i="14" s="1"/>
  <c r="AB163" i="14" s="1"/>
  <c r="AC163" i="14" s="1"/>
  <c r="P163" i="8" s="1"/>
  <c r="Q164" i="14"/>
  <c r="R164" i="14" s="1"/>
  <c r="AB164" i="14" s="1"/>
  <c r="AC164" i="14" s="1"/>
  <c r="Q161" i="14"/>
  <c r="R161" i="14" s="1"/>
  <c r="AB161" i="14" s="1"/>
  <c r="AC161" i="14" s="1"/>
  <c r="P161" i="8" s="1"/>
  <c r="Q162" i="14"/>
  <c r="R162" i="14" s="1"/>
  <c r="AB162" i="14" s="1"/>
  <c r="AC162" i="14" s="1"/>
  <c r="Q159" i="14"/>
  <c r="R159" i="14" s="1"/>
  <c r="AB159" i="14" s="1"/>
  <c r="AC159" i="14" s="1"/>
  <c r="P159" i="8" s="1"/>
  <c r="Q160" i="14"/>
  <c r="R160" i="14" s="1"/>
  <c r="AC160" i="14" s="1"/>
  <c r="Q157" i="14"/>
  <c r="R157" i="14" s="1"/>
  <c r="AB157" i="14" s="1"/>
  <c r="AC157" i="14" s="1"/>
  <c r="P157" i="8" s="1"/>
  <c r="Q158" i="14"/>
  <c r="R158" i="14" s="1"/>
  <c r="AB158" i="14" s="1"/>
  <c r="AC158" i="14" s="1"/>
  <c r="Q155" i="14"/>
  <c r="R155" i="14" s="1"/>
  <c r="AB155" i="14" s="1"/>
  <c r="AC155" i="14" s="1"/>
  <c r="P155" i="8" s="1"/>
  <c r="Q156" i="14"/>
  <c r="R156" i="14" s="1"/>
  <c r="AB156" i="14" s="1"/>
  <c r="AC156" i="14" s="1"/>
  <c r="Q153" i="14"/>
  <c r="R153" i="14" s="1"/>
  <c r="AB153" i="14" s="1"/>
  <c r="AC153" i="14" s="1"/>
  <c r="P153" i="8" s="1"/>
  <c r="Q154" i="14"/>
  <c r="R154" i="14" s="1"/>
  <c r="AB154" i="14" s="1"/>
  <c r="AC154" i="14" s="1"/>
  <c r="Q151" i="14"/>
  <c r="R151" i="14" s="1"/>
  <c r="AC151" i="14" s="1"/>
  <c r="P151" i="8" s="1"/>
  <c r="Q152" i="14"/>
  <c r="R152" i="14" s="1"/>
  <c r="AC152" i="14" s="1"/>
  <c r="Q149" i="14"/>
  <c r="R149" i="14" s="1"/>
  <c r="AC149" i="14" s="1"/>
  <c r="P149" i="8" s="1"/>
  <c r="Q150" i="14"/>
  <c r="R150" i="14" s="1"/>
  <c r="AC150" i="14" s="1"/>
  <c r="Q147" i="14"/>
  <c r="R147" i="14" s="1"/>
  <c r="AB147" i="14" s="1"/>
  <c r="AC147" i="14" s="1"/>
  <c r="P147" i="8" s="1"/>
  <c r="Q148" i="14"/>
  <c r="R148" i="14" s="1"/>
  <c r="AB148" i="14" s="1"/>
  <c r="AC148" i="14" s="1"/>
  <c r="Q145" i="14"/>
  <c r="R145" i="14" s="1"/>
  <c r="AC145" i="14" s="1"/>
  <c r="P145" i="8" s="1"/>
  <c r="Q146" i="14"/>
  <c r="R146" i="14" s="1"/>
  <c r="AC146" i="14" s="1"/>
  <c r="Q143" i="14"/>
  <c r="R143" i="14" s="1"/>
  <c r="AC143" i="14" s="1"/>
  <c r="P143" i="8" s="1"/>
  <c r="Q144" i="14"/>
  <c r="R144" i="14" s="1"/>
  <c r="AC144" i="14" s="1"/>
  <c r="Q141" i="14"/>
  <c r="R141" i="14" s="1"/>
  <c r="AC141" i="14" s="1"/>
  <c r="P141" i="8" s="1"/>
  <c r="Q142" i="14"/>
  <c r="R142" i="14" s="1"/>
  <c r="AB142" i="14" s="1"/>
  <c r="AC142" i="14" s="1"/>
  <c r="Q139" i="14"/>
  <c r="R139" i="14" s="1"/>
  <c r="AB139" i="14" s="1"/>
  <c r="AC139" i="14" s="1"/>
  <c r="P139" i="8" s="1"/>
  <c r="Q140" i="14"/>
  <c r="R140" i="14" s="1"/>
  <c r="AB140" i="14" s="1"/>
  <c r="AC140" i="14" s="1"/>
  <c r="Q137" i="14"/>
  <c r="R137" i="14" s="1"/>
  <c r="AC137" i="14" s="1"/>
  <c r="P137" i="8" s="1"/>
  <c r="Q138" i="14"/>
  <c r="R138" i="14" s="1"/>
  <c r="AB138" i="14" s="1"/>
  <c r="AC138" i="14" s="1"/>
  <c r="Q135" i="14"/>
  <c r="R135" i="14" s="1"/>
  <c r="AC135" i="14" s="1"/>
  <c r="P135" i="8" s="1"/>
  <c r="Q136" i="14"/>
  <c r="R136" i="14" s="1"/>
  <c r="AC136" i="14" s="1"/>
  <c r="Q133" i="14"/>
  <c r="R133" i="14" s="1"/>
  <c r="AC133" i="14" s="1"/>
  <c r="P133" i="8" s="1"/>
  <c r="Q134" i="14"/>
  <c r="R134" i="14" s="1"/>
  <c r="AC134" i="14" s="1"/>
  <c r="Q131" i="14"/>
  <c r="R131" i="14" s="1"/>
  <c r="AC131" i="14" s="1"/>
  <c r="P131" i="8" s="1"/>
  <c r="Q132" i="14"/>
  <c r="R132" i="14" s="1"/>
  <c r="AC132" i="14" s="1"/>
  <c r="Q129" i="14"/>
  <c r="R129" i="14" s="1"/>
  <c r="AB129" i="14" s="1"/>
  <c r="AC129" i="14" s="1"/>
  <c r="P129" i="8" s="1"/>
  <c r="Q130" i="14"/>
  <c r="R130" i="14" s="1"/>
  <c r="AC130" i="14" s="1"/>
  <c r="Q127" i="14"/>
  <c r="R127" i="14" s="1"/>
  <c r="AB127" i="14" s="1"/>
  <c r="AC127" i="14" s="1"/>
  <c r="P127" i="8" s="1"/>
  <c r="Q128" i="14"/>
  <c r="R128" i="14" s="1"/>
  <c r="AB128" i="14" s="1"/>
  <c r="AC128" i="14" s="1"/>
  <c r="Q35" i="14"/>
  <c r="R35" i="14" s="1"/>
  <c r="AC35" i="14" s="1"/>
  <c r="P35" i="8" s="1"/>
  <c r="Q126" i="14"/>
  <c r="R126" i="14" s="1"/>
  <c r="AC126" i="14" s="1"/>
  <c r="Q124" i="14"/>
  <c r="R124" i="14" s="1"/>
  <c r="AB124" i="14" s="1"/>
  <c r="AC124" i="14" s="1"/>
  <c r="P124" i="8" s="1"/>
  <c r="Q125" i="14"/>
  <c r="R125" i="14" s="1"/>
  <c r="AB125" i="14" s="1"/>
  <c r="AC125" i="14" s="1"/>
  <c r="Q122" i="14"/>
  <c r="R122" i="14" s="1"/>
  <c r="AB122" i="14" s="1"/>
  <c r="AC122" i="14" s="1"/>
  <c r="P122" i="8" s="1"/>
  <c r="Q123" i="14"/>
  <c r="R123" i="14" s="1"/>
  <c r="AC123" i="14" s="1"/>
  <c r="Q120" i="14"/>
  <c r="R120" i="14" s="1"/>
  <c r="AB120" i="14" s="1"/>
  <c r="AC120" i="14" s="1"/>
  <c r="P120" i="8" s="1"/>
  <c r="Q121" i="14"/>
  <c r="R121" i="14" s="1"/>
  <c r="AB121" i="14" s="1"/>
  <c r="AC121" i="14" s="1"/>
  <c r="Q118" i="14"/>
  <c r="R118" i="14" s="1"/>
  <c r="AB118" i="14" s="1"/>
  <c r="AC118" i="14" s="1"/>
  <c r="P118" i="8" s="1"/>
  <c r="Q119" i="14"/>
  <c r="R119" i="14" s="1"/>
  <c r="AB119" i="14" s="1"/>
  <c r="AC119" i="14" s="1"/>
  <c r="Q116" i="14"/>
  <c r="R116" i="14" s="1"/>
  <c r="AB116" i="14" s="1"/>
  <c r="AC116" i="14" s="1"/>
  <c r="P116" i="8" s="1"/>
  <c r="Q117" i="14"/>
  <c r="R117" i="14" s="1"/>
  <c r="AB117" i="14" s="1"/>
  <c r="AC117" i="14" s="1"/>
  <c r="Q114" i="14"/>
  <c r="R114" i="14" s="1"/>
  <c r="AB114" i="14" s="1"/>
  <c r="AC114" i="14" s="1"/>
  <c r="P114" i="8" s="1"/>
  <c r="Q115" i="14"/>
  <c r="R115" i="14" s="1"/>
  <c r="AC115" i="14" s="1"/>
  <c r="Q112" i="14"/>
  <c r="R112" i="14" s="1"/>
  <c r="AC112" i="14" s="1"/>
  <c r="P112" i="8" s="1"/>
  <c r="Q113" i="14"/>
  <c r="R113" i="14" s="1"/>
  <c r="Q110" i="14"/>
  <c r="R110" i="14" s="1"/>
  <c r="AC110" i="14" s="1"/>
  <c r="P110" i="8" s="1"/>
  <c r="Q111" i="14"/>
  <c r="R111" i="14" s="1"/>
  <c r="AC111" i="14" s="1"/>
  <c r="Q108" i="14"/>
  <c r="R108" i="14" s="1"/>
  <c r="AB108" i="14" s="1"/>
  <c r="AC108" i="14" s="1"/>
  <c r="P108" i="8" s="1"/>
  <c r="Q109" i="14"/>
  <c r="R109" i="14" s="1"/>
  <c r="AC109" i="14" s="1"/>
  <c r="Q106" i="14"/>
  <c r="R106" i="14" s="1"/>
  <c r="AB106" i="14" s="1"/>
  <c r="AC106" i="14" s="1"/>
  <c r="P106" i="8" s="1"/>
  <c r="Q107" i="14"/>
  <c r="R107" i="14" s="1"/>
  <c r="AB107" i="14" s="1"/>
  <c r="AC107" i="14" s="1"/>
  <c r="Q105" i="14"/>
  <c r="R105" i="14" s="1"/>
  <c r="AC105" i="14" s="1"/>
  <c r="L105" i="18" s="1"/>
  <c r="M105" i="18" s="1"/>
  <c r="Q98" i="14"/>
  <c r="R98" i="14" s="1"/>
  <c r="AB98" i="14" s="1"/>
  <c r="AC98" i="14" s="1"/>
  <c r="Q103" i="14"/>
  <c r="R103" i="14" s="1"/>
  <c r="AC103" i="14" s="1"/>
  <c r="P103" i="8" s="1"/>
  <c r="Q104" i="14"/>
  <c r="R104" i="14" s="1"/>
  <c r="AB104" i="14" s="1"/>
  <c r="AC104" i="14" s="1"/>
  <c r="Q101" i="14"/>
  <c r="R101" i="14" s="1"/>
  <c r="AC101" i="14" s="1"/>
  <c r="P101" i="8" s="1"/>
  <c r="Q102" i="14"/>
  <c r="R102" i="14" s="1"/>
  <c r="AC102" i="14" s="1"/>
  <c r="Q99" i="14"/>
  <c r="R99" i="14" s="1"/>
  <c r="AB99" i="14" s="1"/>
  <c r="AC99" i="14" s="1"/>
  <c r="P99" i="8" s="1"/>
  <c r="Q100" i="14"/>
  <c r="R100" i="14" s="1"/>
  <c r="AB100" i="14" s="1"/>
  <c r="AC100" i="14" s="1"/>
  <c r="Q95" i="14"/>
  <c r="R95" i="14" s="1"/>
  <c r="AC95" i="14" s="1"/>
  <c r="P95" i="8" s="1"/>
  <c r="Q97" i="14"/>
  <c r="R97" i="14" s="1"/>
  <c r="AB97" i="14" s="1"/>
  <c r="AC97" i="14" s="1"/>
  <c r="Q96" i="14"/>
  <c r="R96" i="14" s="1"/>
  <c r="AB96" i="14" s="1"/>
  <c r="AC96" i="14" s="1"/>
  <c r="Q93" i="14"/>
  <c r="R93" i="14" s="1"/>
  <c r="AB93" i="14" s="1"/>
  <c r="AC93" i="14" s="1"/>
  <c r="P93" i="8" s="1"/>
  <c r="Q94" i="14"/>
  <c r="R94" i="14" s="1"/>
  <c r="AB94" i="14" s="1"/>
  <c r="AC94" i="14" s="1"/>
  <c r="Q91" i="14"/>
  <c r="R91" i="14" s="1"/>
  <c r="AB91" i="14" s="1"/>
  <c r="AC91" i="14" s="1"/>
  <c r="P91" i="8" s="1"/>
  <c r="Q92" i="14"/>
  <c r="R92" i="14" s="1"/>
  <c r="AB92" i="14" s="1"/>
  <c r="AC92" i="14" s="1"/>
  <c r="Q89" i="14"/>
  <c r="R89" i="14" s="1"/>
  <c r="AC89" i="14" s="1"/>
  <c r="P89" i="8" s="1"/>
  <c r="Q90" i="14"/>
  <c r="R90" i="14" s="1"/>
  <c r="AC90" i="14" s="1"/>
  <c r="Q87" i="14"/>
  <c r="R87" i="14" s="1"/>
  <c r="AC87" i="14" s="1"/>
  <c r="P87" i="8" s="1"/>
  <c r="Q88" i="14"/>
  <c r="R88" i="14" s="1"/>
  <c r="AC88" i="14" s="1"/>
  <c r="Q85" i="14"/>
  <c r="R85" i="14" s="1"/>
  <c r="AB85" i="14" s="1"/>
  <c r="AC85" i="14" s="1"/>
  <c r="P85" i="8" s="1"/>
  <c r="Q86" i="14"/>
  <c r="R86" i="14" s="1"/>
  <c r="AB86" i="14" s="1"/>
  <c r="AC86" i="14" s="1"/>
  <c r="Q84" i="14"/>
  <c r="R84" i="14" s="1"/>
  <c r="AB84" i="14" s="1"/>
  <c r="AC84" i="14" s="1"/>
  <c r="P84" i="8" s="1"/>
  <c r="Q82" i="14"/>
  <c r="R82" i="14" s="1"/>
  <c r="AB82" i="14" s="1"/>
  <c r="AC82" i="14" s="1"/>
  <c r="Q81" i="14"/>
  <c r="R81" i="14" s="1"/>
  <c r="AC81" i="14" s="1"/>
  <c r="P81" i="8" s="1"/>
  <c r="Q83" i="14"/>
  <c r="R83" i="14" s="1"/>
  <c r="AB83" i="14" s="1"/>
  <c r="AC83" i="14" s="1"/>
  <c r="Q79" i="14"/>
  <c r="R79" i="14" s="1"/>
  <c r="AB79" i="14" s="1"/>
  <c r="AC79" i="14" s="1"/>
  <c r="P79" i="8" s="1"/>
  <c r="Q80" i="14"/>
  <c r="R80" i="14" s="1"/>
  <c r="AC80" i="14" s="1"/>
  <c r="Q77" i="14"/>
  <c r="R77" i="14" s="1"/>
  <c r="AC77" i="14" s="1"/>
  <c r="P77" i="8" s="1"/>
  <c r="Q78" i="14"/>
  <c r="R78" i="14" s="1"/>
  <c r="AB78" i="14" s="1"/>
  <c r="AC78" i="14" s="1"/>
  <c r="Q75" i="14"/>
  <c r="R75" i="14" s="1"/>
  <c r="AB75" i="14" s="1"/>
  <c r="AC75" i="14" s="1"/>
  <c r="P75" i="8" s="1"/>
  <c r="Q76" i="14"/>
  <c r="R76" i="14" s="1"/>
  <c r="AB76" i="14" s="1"/>
  <c r="AC76" i="14" s="1"/>
  <c r="Q73" i="14"/>
  <c r="R73" i="14" s="1"/>
  <c r="AC73" i="14" s="1"/>
  <c r="P73" i="8" s="1"/>
  <c r="Q74" i="14"/>
  <c r="R74" i="14" s="1"/>
  <c r="AB74" i="14" s="1"/>
  <c r="AC74" i="14" s="1"/>
  <c r="Q71" i="14"/>
  <c r="R71" i="14" s="1"/>
  <c r="AB71" i="14" s="1"/>
  <c r="AC71" i="14" s="1"/>
  <c r="P71" i="8" s="1"/>
  <c r="Q72" i="14"/>
  <c r="R72" i="14" s="1"/>
  <c r="AC72" i="14" s="1"/>
  <c r="Q69" i="14"/>
  <c r="R69" i="14" s="1"/>
  <c r="AC69" i="14" s="1"/>
  <c r="P69" i="8" s="1"/>
  <c r="Q70" i="14"/>
  <c r="R70" i="14" s="1"/>
  <c r="AC70" i="14" s="1"/>
  <c r="Q46" i="14"/>
  <c r="R46" i="14" s="1"/>
  <c r="AC46" i="14" s="1"/>
  <c r="P46" i="8" s="1"/>
  <c r="Q63" i="14"/>
  <c r="R63" i="14" s="1"/>
  <c r="AC63" i="14" s="1"/>
  <c r="Q68" i="14"/>
  <c r="R68" i="14" s="1"/>
  <c r="AC68" i="14" s="1"/>
  <c r="P68" i="8" s="1"/>
  <c r="Q37" i="14"/>
  <c r="R37" i="14" s="1"/>
  <c r="AB37" i="14" s="1"/>
  <c r="AC37" i="14" s="1"/>
  <c r="Q66" i="14"/>
  <c r="R66" i="14" s="1"/>
  <c r="AB66" i="14" s="1"/>
  <c r="AC66" i="14" s="1"/>
  <c r="P66" i="8" s="1"/>
  <c r="Q67" i="14"/>
  <c r="R67" i="14" s="1"/>
  <c r="AC67" i="14" s="1"/>
  <c r="Q64" i="14"/>
  <c r="R64" i="14" s="1"/>
  <c r="AC64" i="14" s="1"/>
  <c r="P64" i="8" s="1"/>
  <c r="Q65" i="14"/>
  <c r="R65" i="14" s="1"/>
  <c r="AC65" i="14" s="1"/>
  <c r="Q61" i="14"/>
  <c r="R61" i="14" s="1"/>
  <c r="AC61" i="14" s="1"/>
  <c r="P61" i="8" s="1"/>
  <c r="Q62" i="14"/>
  <c r="R62" i="14" s="1"/>
  <c r="AC62" i="14" s="1"/>
  <c r="AC60" i="13"/>
  <c r="Z60" i="14"/>
  <c r="Q59" i="14"/>
  <c r="R59" i="14" s="1"/>
  <c r="AC59" i="14" s="1"/>
  <c r="P59" i="8" s="1"/>
  <c r="Q60" i="14"/>
  <c r="R60" i="14" s="1"/>
  <c r="Q57" i="14"/>
  <c r="R57" i="14" s="1"/>
  <c r="AC57" i="14" s="1"/>
  <c r="P57" i="8" s="1"/>
  <c r="Q58" i="14"/>
  <c r="R58" i="14" s="1"/>
  <c r="AC58" i="14" s="1"/>
  <c r="Q55" i="14"/>
  <c r="R55" i="14" s="1"/>
  <c r="AC55" i="14" s="1"/>
  <c r="P55" i="8" s="1"/>
  <c r="Q56" i="14"/>
  <c r="R56" i="14" s="1"/>
  <c r="AC56" i="14" s="1"/>
  <c r="Q53" i="14"/>
  <c r="R53" i="14" s="1"/>
  <c r="AC53" i="14" s="1"/>
  <c r="P53" i="8" s="1"/>
  <c r="Q54" i="14"/>
  <c r="R54" i="14" s="1"/>
  <c r="AC54" i="14" s="1"/>
  <c r="Q51" i="14"/>
  <c r="R51" i="14" s="1"/>
  <c r="AB51" i="14" s="1"/>
  <c r="AC51" i="14" s="1"/>
  <c r="P51" i="8" s="1"/>
  <c r="Q52" i="14"/>
  <c r="R52" i="14" s="1"/>
  <c r="AB52" i="14" s="1"/>
  <c r="AC52" i="14" s="1"/>
  <c r="Q49" i="14"/>
  <c r="R49" i="14" s="1"/>
  <c r="AC49" i="14" s="1"/>
  <c r="P49" i="8" s="1"/>
  <c r="Q50" i="14"/>
  <c r="R50" i="14" s="1"/>
  <c r="AB50" i="14" s="1"/>
  <c r="AC50" i="14" s="1"/>
  <c r="Q47" i="14"/>
  <c r="R47" i="14" s="1"/>
  <c r="AC47" i="14" s="1"/>
  <c r="P47" i="8" s="1"/>
  <c r="Q48" i="14"/>
  <c r="R48" i="14" s="1"/>
  <c r="AC48" i="14" s="1"/>
  <c r="Q44" i="14"/>
  <c r="R44" i="14" s="1"/>
  <c r="AC44" i="14" s="1"/>
  <c r="P44" i="8" s="1"/>
  <c r="Q45" i="14"/>
  <c r="R45" i="14" s="1"/>
  <c r="AC45" i="14" s="1"/>
  <c r="Q42" i="14"/>
  <c r="R42" i="14" s="1"/>
  <c r="AC42" i="14" s="1"/>
  <c r="P42" i="8" s="1"/>
  <c r="Q43" i="14"/>
  <c r="R43" i="14" s="1"/>
  <c r="AB43" i="14" s="1"/>
  <c r="AC43" i="14" s="1"/>
  <c r="L43" i="18" s="1"/>
  <c r="M43" i="18" s="1"/>
  <c r="Q40" i="14"/>
  <c r="R40" i="14" s="1"/>
  <c r="AC40" i="14" s="1"/>
  <c r="Q41" i="14"/>
  <c r="R41" i="14" s="1"/>
  <c r="AB41" i="14" s="1"/>
  <c r="AC41" i="14" s="1"/>
  <c r="Q36" i="14"/>
  <c r="R36" i="14" s="1"/>
  <c r="AC36" i="14" s="1"/>
  <c r="Q39" i="14"/>
  <c r="R39" i="14" s="1"/>
  <c r="AC39" i="14" s="1"/>
  <c r="Q38" i="14"/>
  <c r="R38" i="14" s="1"/>
  <c r="AC38" i="14" s="1"/>
  <c r="Q34" i="14"/>
  <c r="R34" i="14" s="1"/>
  <c r="AC34" i="14" s="1"/>
  <c r="Q33" i="14"/>
  <c r="L31" i="13"/>
  <c r="M31" i="13" s="1"/>
  <c r="Q31" i="14"/>
  <c r="Q32" i="14"/>
  <c r="Z31" i="13"/>
  <c r="X31" i="14" s="1"/>
  <c r="Z19" i="6" a="1"/>
  <c r="Z19" i="6" s="1"/>
  <c r="C19" i="6" s="1"/>
  <c r="AW318" i="6"/>
  <c r="AV318" i="6"/>
  <c r="AX318" i="6"/>
  <c r="AV19" i="6"/>
  <c r="AW19" i="6"/>
  <c r="AX19" i="6"/>
  <c r="P406" i="8" l="1"/>
  <c r="P404" i="8"/>
  <c r="P402" i="8"/>
  <c r="P400" i="8"/>
  <c r="P398" i="8"/>
  <c r="P396" i="8"/>
  <c r="AB252" i="14"/>
  <c r="AC252" i="14" s="1"/>
  <c r="P252" i="8" s="1"/>
  <c r="AC217" i="14"/>
  <c r="P217" i="8" s="1"/>
  <c r="P377" i="8"/>
  <c r="P383" i="8"/>
  <c r="P374" i="8"/>
  <c r="P380" i="8"/>
  <c r="P375" i="8"/>
  <c r="P379" i="8"/>
  <c r="P386" i="8"/>
  <c r="P371" i="8"/>
  <c r="P388" i="8"/>
  <c r="P376" i="8"/>
  <c r="P391" i="8"/>
  <c r="P373" i="8"/>
  <c r="P381" i="8"/>
  <c r="P385" i="8"/>
  <c r="P389" i="8"/>
  <c r="P378" i="8"/>
  <c r="P392" i="8"/>
  <c r="P372" i="8"/>
  <c r="P393" i="8"/>
  <c r="P387" i="8"/>
  <c r="P390" i="8"/>
  <c r="P394" i="8"/>
  <c r="P382" i="8"/>
  <c r="P285" i="8"/>
  <c r="P270" i="8"/>
  <c r="P276" i="8"/>
  <c r="P284" i="8"/>
  <c r="P282" i="8"/>
  <c r="P322" i="8"/>
  <c r="P289" i="8"/>
  <c r="P305" i="8"/>
  <c r="P324" i="8"/>
  <c r="P314" i="8"/>
  <c r="P294" i="8"/>
  <c r="P320" i="8"/>
  <c r="P300" i="8"/>
  <c r="P321" i="8"/>
  <c r="P329" i="8"/>
  <c r="P293" i="8"/>
  <c r="P355" i="8"/>
  <c r="P342" i="8"/>
  <c r="P350" i="8"/>
  <c r="P369" i="8"/>
  <c r="P357" i="8"/>
  <c r="P349" i="8"/>
  <c r="P358" i="8"/>
  <c r="P354" i="8"/>
  <c r="P368" i="8"/>
  <c r="P267" i="8"/>
  <c r="L267" i="18"/>
  <c r="M267" i="18" s="1"/>
  <c r="P283" i="8"/>
  <c r="P277" i="8"/>
  <c r="L265" i="18"/>
  <c r="M265" i="18" s="1"/>
  <c r="P265" i="8"/>
  <c r="P279" i="8"/>
  <c r="P306" i="8"/>
  <c r="P292" i="8"/>
  <c r="P297" i="8"/>
  <c r="P302" i="8"/>
  <c r="P307" i="8"/>
  <c r="P299" i="8"/>
  <c r="P317" i="8"/>
  <c r="P291" i="8"/>
  <c r="P287" i="8"/>
  <c r="P296" i="8"/>
  <c r="P308" i="8"/>
  <c r="P363" i="8"/>
  <c r="P339" i="8"/>
  <c r="P351" i="8"/>
  <c r="P367" i="8"/>
  <c r="P344" i="8"/>
  <c r="P341" i="8"/>
  <c r="P340" i="8"/>
  <c r="P364" i="8"/>
  <c r="P360" i="8"/>
  <c r="P266" i="8"/>
  <c r="L266" i="18"/>
  <c r="M266" i="18" s="1"/>
  <c r="P271" i="8"/>
  <c r="P281" i="8"/>
  <c r="P269" i="8"/>
  <c r="P278" i="8"/>
  <c r="P298" i="8"/>
  <c r="P295" i="8"/>
  <c r="P318" i="8"/>
  <c r="P303" i="8"/>
  <c r="P286" i="8"/>
  <c r="P326" i="8"/>
  <c r="P288" i="8"/>
  <c r="P304" i="8"/>
  <c r="P315" i="8"/>
  <c r="P319" i="8"/>
  <c r="P328" i="8"/>
  <c r="P345" i="8"/>
  <c r="P347" i="8"/>
  <c r="P370" i="8"/>
  <c r="P333" i="8"/>
  <c r="P332" i="8"/>
  <c r="P337" i="8"/>
  <c r="P335" i="8"/>
  <c r="P346" i="8"/>
  <c r="P348" i="8"/>
  <c r="P273" i="8"/>
  <c r="P274" i="8"/>
  <c r="P272" i="8"/>
  <c r="P264" i="8"/>
  <c r="L264" i="18"/>
  <c r="M264" i="18" s="1"/>
  <c r="P280" i="8"/>
  <c r="P268" i="8"/>
  <c r="L268" i="18"/>
  <c r="M268" i="18" s="1"/>
  <c r="P311" i="8"/>
  <c r="P325" i="8"/>
  <c r="P310" i="8"/>
  <c r="P316" i="8"/>
  <c r="P323" i="8"/>
  <c r="P312" i="8"/>
  <c r="P290" i="8"/>
  <c r="P309" i="8"/>
  <c r="P327" i="8"/>
  <c r="P313" i="8"/>
  <c r="P359" i="8"/>
  <c r="P352" i="8"/>
  <c r="P338" i="8"/>
  <c r="P336" i="8"/>
  <c r="P343" i="8"/>
  <c r="P331" i="8"/>
  <c r="P356" i="8"/>
  <c r="P362" i="8"/>
  <c r="P334" i="8"/>
  <c r="P330" i="8"/>
  <c r="P229" i="8"/>
  <c r="P263" i="8"/>
  <c r="P261" i="8"/>
  <c r="P258" i="8"/>
  <c r="P257" i="8"/>
  <c r="P255" i="8"/>
  <c r="L213" i="18"/>
  <c r="M213" i="18" s="1"/>
  <c r="P240" i="8"/>
  <c r="P251" i="8"/>
  <c r="P242" i="8"/>
  <c r="P234" i="8"/>
  <c r="P241" i="8"/>
  <c r="P249" i="8"/>
  <c r="P253" i="8"/>
  <c r="L252" i="18"/>
  <c r="M252" i="18" s="1"/>
  <c r="P243" i="8"/>
  <c r="P237" i="8"/>
  <c r="P246" i="8"/>
  <c r="P236" i="8"/>
  <c r="L236" i="18"/>
  <c r="M236" i="18" s="1"/>
  <c r="P239" i="8"/>
  <c r="P247" i="8"/>
  <c r="P238" i="8"/>
  <c r="P250" i="8"/>
  <c r="P245" i="8"/>
  <c r="P248" i="8"/>
  <c r="P235" i="8"/>
  <c r="P244" i="8"/>
  <c r="P232" i="8"/>
  <c r="P230" i="8"/>
  <c r="P228" i="8"/>
  <c r="P226" i="8"/>
  <c r="P224" i="8"/>
  <c r="P222" i="8"/>
  <c r="P220" i="8"/>
  <c r="P218" i="8"/>
  <c r="P216" i="8"/>
  <c r="P214" i="8"/>
  <c r="P212" i="8"/>
  <c r="P210" i="8"/>
  <c r="P208" i="8"/>
  <c r="P206" i="8"/>
  <c r="P204" i="8"/>
  <c r="P105" i="8"/>
  <c r="P202" i="8"/>
  <c r="P200" i="8"/>
  <c r="P198" i="8"/>
  <c r="P196" i="8"/>
  <c r="P194" i="8"/>
  <c r="P192" i="8"/>
  <c r="P190" i="8"/>
  <c r="P188" i="8"/>
  <c r="P186" i="8"/>
  <c r="P184" i="8"/>
  <c r="L184" i="18"/>
  <c r="M184" i="18" s="1"/>
  <c r="P182" i="8"/>
  <c r="P174" i="8"/>
  <c r="P179" i="8"/>
  <c r="P177" i="8"/>
  <c r="P175" i="8"/>
  <c r="P172" i="8"/>
  <c r="P170" i="8"/>
  <c r="P168" i="8"/>
  <c r="P166" i="8"/>
  <c r="P164" i="8"/>
  <c r="P162" i="8"/>
  <c r="P160" i="8"/>
  <c r="P158" i="8"/>
  <c r="P156" i="8"/>
  <c r="P154" i="8"/>
  <c r="P152" i="8"/>
  <c r="P150" i="8"/>
  <c r="P148" i="8"/>
  <c r="P146" i="8"/>
  <c r="P144" i="8"/>
  <c r="P142" i="8"/>
  <c r="P140" i="8"/>
  <c r="P138" i="8"/>
  <c r="P136" i="8"/>
  <c r="P134" i="8"/>
  <c r="P132" i="8"/>
  <c r="P130" i="8"/>
  <c r="P128" i="8"/>
  <c r="P126" i="8"/>
  <c r="P125" i="8"/>
  <c r="P123" i="8"/>
  <c r="P121" i="8"/>
  <c r="P119" i="8"/>
  <c r="P117" i="8"/>
  <c r="P115" i="8"/>
  <c r="AB113" i="14"/>
  <c r="AC113" i="14" s="1"/>
  <c r="P113" i="8" s="1"/>
  <c r="P111" i="8"/>
  <c r="P109" i="8"/>
  <c r="P107" i="8"/>
  <c r="P98" i="8"/>
  <c r="P104" i="8"/>
  <c r="P102" i="8"/>
  <c r="P100" i="8"/>
  <c r="P97" i="8"/>
  <c r="P96" i="8"/>
  <c r="P94" i="8"/>
  <c r="P92" i="8"/>
  <c r="P90" i="8"/>
  <c r="P88" i="8"/>
  <c r="P86" i="8"/>
  <c r="P82" i="8"/>
  <c r="P83" i="8"/>
  <c r="P80" i="8"/>
  <c r="L80" i="18"/>
  <c r="M80" i="18" s="1"/>
  <c r="P78" i="8"/>
  <c r="P76" i="8"/>
  <c r="P74" i="8"/>
  <c r="P72" i="8"/>
  <c r="L72" i="18"/>
  <c r="M72" i="18" s="1"/>
  <c r="P70" i="8"/>
  <c r="P63" i="8"/>
  <c r="L63" i="18"/>
  <c r="M63" i="18" s="1"/>
  <c r="P37" i="8"/>
  <c r="P67" i="8"/>
  <c r="P65" i="8"/>
  <c r="P62" i="8"/>
  <c r="AD60" i="13"/>
  <c r="AA60" i="14"/>
  <c r="AB60" i="14" s="1"/>
  <c r="AC60" i="14" s="1"/>
  <c r="L62" i="18" s="1"/>
  <c r="M62" i="18" s="1"/>
  <c r="P58" i="8"/>
  <c r="P56" i="8"/>
  <c r="P54" i="8"/>
  <c r="P52" i="8"/>
  <c r="P50" i="8"/>
  <c r="P48" i="8"/>
  <c r="P45" i="8"/>
  <c r="L45" i="18"/>
  <c r="M45" i="18" s="1"/>
  <c r="P43" i="8"/>
  <c r="P34" i="8"/>
  <c r="L34" i="18"/>
  <c r="P41" i="8"/>
  <c r="P36" i="8"/>
  <c r="P40" i="8"/>
  <c r="P38" i="8"/>
  <c r="P39" i="8"/>
  <c r="N31" i="13"/>
  <c r="O31" i="13" s="1"/>
  <c r="Q31" i="13" s="1"/>
  <c r="R31" i="13" s="1"/>
  <c r="R501" i="13" s="1"/>
  <c r="S407" i="13" s="1"/>
  <c r="T407" i="13" s="1"/>
  <c r="AE407" i="13" s="1"/>
  <c r="N407" i="8" s="1"/>
  <c r="AA31" i="13"/>
  <c r="Y31" i="14" s="1"/>
  <c r="E5" i="9"/>
  <c r="B5" i="9"/>
  <c r="L407" i="18" l="1"/>
  <c r="M407" i="18" s="1"/>
  <c r="S405" i="13"/>
  <c r="T405" i="13" s="1"/>
  <c r="AD405" i="13" s="1"/>
  <c r="AE405" i="13" s="1"/>
  <c r="N405" i="8" s="1"/>
  <c r="S406" i="13"/>
  <c r="T406" i="13" s="1"/>
  <c r="AD406" i="13" s="1"/>
  <c r="AE406" i="13" s="1"/>
  <c r="N406" i="8" s="1"/>
  <c r="S403" i="13"/>
  <c r="T403" i="13" s="1"/>
  <c r="AD403" i="13" s="1"/>
  <c r="AE403" i="13" s="1"/>
  <c r="N403" i="8" s="1"/>
  <c r="S404" i="13"/>
  <c r="T404" i="13" s="1"/>
  <c r="AD404" i="13" s="1"/>
  <c r="AE404" i="13" s="1"/>
  <c r="N404" i="8" s="1"/>
  <c r="S401" i="13"/>
  <c r="T401" i="13" s="1"/>
  <c r="AD401" i="13" s="1"/>
  <c r="AE401" i="13" s="1"/>
  <c r="N401" i="8" s="1"/>
  <c r="S402" i="13"/>
  <c r="T402" i="13" s="1"/>
  <c r="AD402" i="13" s="1"/>
  <c r="AE402" i="13" s="1"/>
  <c r="N402" i="8" s="1"/>
  <c r="S399" i="13"/>
  <c r="T399" i="13" s="1"/>
  <c r="AD399" i="13" s="1"/>
  <c r="AE399" i="13" s="1"/>
  <c r="N399" i="8" s="1"/>
  <c r="S400" i="13"/>
  <c r="T400" i="13" s="1"/>
  <c r="AD400" i="13" s="1"/>
  <c r="AE400" i="13" s="1"/>
  <c r="N400" i="8" s="1"/>
  <c r="S397" i="13"/>
  <c r="T397" i="13" s="1"/>
  <c r="AD397" i="13" s="1"/>
  <c r="AE397" i="13" s="1"/>
  <c r="N397" i="8" s="1"/>
  <c r="S398" i="13"/>
  <c r="T398" i="13" s="1"/>
  <c r="AD398" i="13" s="1"/>
  <c r="AE398" i="13" s="1"/>
  <c r="N398" i="8" s="1"/>
  <c r="S384" i="13"/>
  <c r="T384" i="13" s="1"/>
  <c r="AD384" i="13" s="1"/>
  <c r="AE384" i="13" s="1"/>
  <c r="N384" i="8" s="1"/>
  <c r="S396" i="13"/>
  <c r="T396" i="13" s="1"/>
  <c r="AD396" i="13" s="1"/>
  <c r="AE396" i="13" s="1"/>
  <c r="N396" i="8" s="1"/>
  <c r="L393" i="18"/>
  <c r="M393" i="18" s="1"/>
  <c r="S391" i="13"/>
  <c r="T391" i="13" s="1"/>
  <c r="AE391" i="13" s="1"/>
  <c r="N391" i="8" s="1"/>
  <c r="S379" i="13"/>
  <c r="T379" i="13" s="1"/>
  <c r="AE379" i="13" s="1"/>
  <c r="N379" i="8" s="1"/>
  <c r="S375" i="13"/>
  <c r="T375" i="13" s="1"/>
  <c r="AE375" i="13" s="1"/>
  <c r="N375" i="8" s="1"/>
  <c r="S377" i="13"/>
  <c r="T377" i="13" s="1"/>
  <c r="AE377" i="13" s="1"/>
  <c r="N377" i="8" s="1"/>
  <c r="S394" i="13"/>
  <c r="T394" i="13" s="1"/>
  <c r="AE394" i="13" s="1"/>
  <c r="N394" i="8" s="1"/>
  <c r="S390" i="13"/>
  <c r="T390" i="13" s="1"/>
  <c r="AD390" i="13" s="1"/>
  <c r="AE390" i="13" s="1"/>
  <c r="N390" i="8" s="1"/>
  <c r="S382" i="13"/>
  <c r="T382" i="13" s="1"/>
  <c r="AD382" i="13" s="1"/>
  <c r="AE382" i="13" s="1"/>
  <c r="N382" i="8" s="1"/>
  <c r="S389" i="13"/>
  <c r="T389" i="13" s="1"/>
  <c r="AD389" i="13" s="1"/>
  <c r="AE389" i="13" s="1"/>
  <c r="N389" i="8" s="1"/>
  <c r="S386" i="13"/>
  <c r="T386" i="13" s="1"/>
  <c r="AD386" i="13" s="1"/>
  <c r="AE386" i="13" s="1"/>
  <c r="N386" i="8" s="1"/>
  <c r="S380" i="13"/>
  <c r="T380" i="13" s="1"/>
  <c r="AD380" i="13" s="1"/>
  <c r="AE380" i="13" s="1"/>
  <c r="N380" i="8" s="1"/>
  <c r="S393" i="13"/>
  <c r="T393" i="13" s="1"/>
  <c r="AE393" i="13" s="1"/>
  <c r="N393" i="8" s="1"/>
  <c r="S388" i="13"/>
  <c r="T388" i="13" s="1"/>
  <c r="AD388" i="13" s="1"/>
  <c r="AE388" i="13" s="1"/>
  <c r="N388" i="8" s="1"/>
  <c r="S378" i="13"/>
  <c r="T378" i="13" s="1"/>
  <c r="AE378" i="13" s="1"/>
  <c r="N378" i="8" s="1"/>
  <c r="S376" i="13"/>
  <c r="T376" i="13" s="1"/>
  <c r="AE376" i="13" s="1"/>
  <c r="N376" i="8" s="1"/>
  <c r="S392" i="13"/>
  <c r="T392" i="13" s="1"/>
  <c r="AE392" i="13" s="1"/>
  <c r="N392" i="8" s="1"/>
  <c r="S383" i="13"/>
  <c r="T383" i="13" s="1"/>
  <c r="AD383" i="13" s="1"/>
  <c r="AE383" i="13" s="1"/>
  <c r="N383" i="8" s="1"/>
  <c r="S385" i="13"/>
  <c r="T385" i="13" s="1"/>
  <c r="AE385" i="13" s="1"/>
  <c r="N385" i="8" s="1"/>
  <c r="S381" i="13"/>
  <c r="T381" i="13" s="1"/>
  <c r="AD381" i="13" s="1"/>
  <c r="AE381" i="13" s="1"/>
  <c r="N381" i="8" s="1"/>
  <c r="S387" i="13"/>
  <c r="T387" i="13" s="1"/>
  <c r="AD387" i="13" s="1"/>
  <c r="AE387" i="13" s="1"/>
  <c r="N387" i="8" s="1"/>
  <c r="S374" i="13"/>
  <c r="T374" i="13" s="1"/>
  <c r="AE374" i="13" s="1"/>
  <c r="N374" i="8" s="1"/>
  <c r="S372" i="13"/>
  <c r="T372" i="13" s="1"/>
  <c r="AE372" i="13" s="1"/>
  <c r="N372" i="8" s="1"/>
  <c r="S373" i="13"/>
  <c r="T373" i="13" s="1"/>
  <c r="AE373" i="13" s="1"/>
  <c r="N373" i="8" s="1"/>
  <c r="S371" i="13"/>
  <c r="T371" i="13" s="1"/>
  <c r="AD371" i="13" s="1"/>
  <c r="AE371" i="13" s="1"/>
  <c r="N371" i="8" s="1"/>
  <c r="L394" i="18"/>
  <c r="M394" i="18" s="1"/>
  <c r="L269" i="18"/>
  <c r="M269" i="18" s="1"/>
  <c r="L360" i="18"/>
  <c r="M360" i="18" s="1"/>
  <c r="L279" i="18"/>
  <c r="M279" i="18" s="1"/>
  <c r="L276" i="18"/>
  <c r="M276" i="18" s="1"/>
  <c r="L272" i="18"/>
  <c r="M272" i="18" s="1"/>
  <c r="L357" i="18"/>
  <c r="M357" i="18" s="1"/>
  <c r="S349" i="13"/>
  <c r="T349" i="13" s="1"/>
  <c r="AE349" i="13" s="1"/>
  <c r="N349" i="8" s="1"/>
  <c r="S351" i="13"/>
  <c r="T351" i="13" s="1"/>
  <c r="AD351" i="13" s="1"/>
  <c r="AE351" i="13" s="1"/>
  <c r="N351" i="8" s="1"/>
  <c r="S341" i="13"/>
  <c r="T341" i="13" s="1"/>
  <c r="AD341" i="13" s="1"/>
  <c r="AE341" i="13" s="1"/>
  <c r="N341" i="8" s="1"/>
  <c r="S335" i="13"/>
  <c r="T335" i="13" s="1"/>
  <c r="AD335" i="13" s="1"/>
  <c r="AE335" i="13" s="1"/>
  <c r="N335" i="8" s="1"/>
  <c r="S345" i="13"/>
  <c r="T345" i="13" s="1"/>
  <c r="AD345" i="13" s="1"/>
  <c r="AE345" i="13" s="1"/>
  <c r="N345" i="8" s="1"/>
  <c r="S339" i="13"/>
  <c r="T339" i="13" s="1"/>
  <c r="AD339" i="13" s="1"/>
  <c r="AE339" i="13" s="1"/>
  <c r="N339" i="8" s="1"/>
  <c r="S334" i="13"/>
  <c r="T334" i="13" s="1"/>
  <c r="AD334" i="13" s="1"/>
  <c r="AE334" i="13" s="1"/>
  <c r="N334" i="8" s="1"/>
  <c r="S330" i="13"/>
  <c r="T330" i="13" s="1"/>
  <c r="AD330" i="13" s="1"/>
  <c r="AE330" i="13" s="1"/>
  <c r="N330" i="8" s="1"/>
  <c r="S362" i="13"/>
  <c r="T362" i="13" s="1"/>
  <c r="AD362" i="13" s="1"/>
  <c r="AE362" i="13" s="1"/>
  <c r="N362" i="8" s="1"/>
  <c r="S348" i="13"/>
  <c r="T348" i="13" s="1"/>
  <c r="AD348" i="13" s="1"/>
  <c r="AE348" i="13" s="1"/>
  <c r="N348" i="8" s="1"/>
  <c r="S336" i="13"/>
  <c r="T336" i="13" s="1"/>
  <c r="AD336" i="13" s="1"/>
  <c r="AE336" i="13" s="1"/>
  <c r="N336" i="8" s="1"/>
  <c r="S370" i="13"/>
  <c r="T370" i="13" s="1"/>
  <c r="AD370" i="13" s="1"/>
  <c r="AE370" i="13" s="1"/>
  <c r="N370" i="8" s="1"/>
  <c r="S352" i="13"/>
  <c r="T352" i="13" s="1"/>
  <c r="AE352" i="13" s="1"/>
  <c r="N352" i="8" s="1"/>
  <c r="S333" i="13"/>
  <c r="T333" i="13" s="1"/>
  <c r="AD333" i="13" s="1"/>
  <c r="AE333" i="13" s="1"/>
  <c r="N333" i="8" s="1"/>
  <c r="S343" i="13"/>
  <c r="T343" i="13" s="1"/>
  <c r="AD343" i="13" s="1"/>
  <c r="AE343" i="13" s="1"/>
  <c r="N343" i="8" s="1"/>
  <c r="S332" i="13"/>
  <c r="T332" i="13" s="1"/>
  <c r="AD332" i="13" s="1"/>
  <c r="AE332" i="13" s="1"/>
  <c r="N332" i="8" s="1"/>
  <c r="S344" i="13"/>
  <c r="T344" i="13" s="1"/>
  <c r="AD344" i="13" s="1"/>
  <c r="AE344" i="13" s="1"/>
  <c r="N344" i="8" s="1"/>
  <c r="S337" i="13"/>
  <c r="T337" i="13" s="1"/>
  <c r="AD337" i="13" s="1"/>
  <c r="AE337" i="13" s="1"/>
  <c r="N337" i="8" s="1"/>
  <c r="S367" i="13"/>
  <c r="T367" i="13" s="1"/>
  <c r="AE367" i="13" s="1"/>
  <c r="N367" i="8" s="1"/>
  <c r="S342" i="13"/>
  <c r="T342" i="13" s="1"/>
  <c r="AD342" i="13" s="1"/>
  <c r="AE342" i="13" s="1"/>
  <c r="N342" i="8" s="1"/>
  <c r="S354" i="13"/>
  <c r="T354" i="13" s="1"/>
  <c r="AD354" i="13" s="1"/>
  <c r="AE354" i="13" s="1"/>
  <c r="N354" i="8" s="1"/>
  <c r="S338" i="13"/>
  <c r="T338" i="13" s="1"/>
  <c r="AD338" i="13" s="1"/>
  <c r="AE338" i="13" s="1"/>
  <c r="N338" i="8" s="1"/>
  <c r="S356" i="13"/>
  <c r="T356" i="13" s="1"/>
  <c r="AD356" i="13" s="1"/>
  <c r="AE356" i="13" s="1"/>
  <c r="N356" i="8" s="1"/>
  <c r="S360" i="13"/>
  <c r="T360" i="13" s="1"/>
  <c r="AE360" i="13" s="1"/>
  <c r="N360" i="8" s="1"/>
  <c r="S369" i="13"/>
  <c r="T369" i="13" s="1"/>
  <c r="AD369" i="13" s="1"/>
  <c r="AE369" i="13" s="1"/>
  <c r="N369" i="8" s="1"/>
  <c r="S358" i="13"/>
  <c r="T358" i="13" s="1"/>
  <c r="AE358" i="13" s="1"/>
  <c r="N358" i="8" s="1"/>
  <c r="S346" i="13"/>
  <c r="T346" i="13" s="1"/>
  <c r="AD346" i="13" s="1"/>
  <c r="AE346" i="13" s="1"/>
  <c r="N346" i="8" s="1"/>
  <c r="S350" i="13"/>
  <c r="T350" i="13" s="1"/>
  <c r="AE350" i="13" s="1"/>
  <c r="N350" i="8" s="1"/>
  <c r="S340" i="13"/>
  <c r="T340" i="13" s="1"/>
  <c r="AD340" i="13" s="1"/>
  <c r="AE340" i="13" s="1"/>
  <c r="N340" i="8" s="1"/>
  <c r="S368" i="13"/>
  <c r="T368" i="13" s="1"/>
  <c r="AE368" i="13" s="1"/>
  <c r="N368" i="8" s="1"/>
  <c r="S347" i="13"/>
  <c r="T347" i="13" s="1"/>
  <c r="AD347" i="13" s="1"/>
  <c r="AE347" i="13" s="1"/>
  <c r="N347" i="8" s="1"/>
  <c r="S364" i="13"/>
  <c r="T364" i="13" s="1"/>
  <c r="AE364" i="13" s="1"/>
  <c r="N364" i="8" s="1"/>
  <c r="S357" i="13"/>
  <c r="T357" i="13" s="1"/>
  <c r="AE357" i="13" s="1"/>
  <c r="N357" i="8" s="1"/>
  <c r="S331" i="13"/>
  <c r="T331" i="13" s="1"/>
  <c r="AD331" i="13" s="1"/>
  <c r="AE331" i="13" s="1"/>
  <c r="N331" i="8" s="1"/>
  <c r="S355" i="13"/>
  <c r="T355" i="13" s="1"/>
  <c r="AE355" i="13" s="1"/>
  <c r="N355" i="8" s="1"/>
  <c r="S359" i="13"/>
  <c r="T359" i="13" s="1"/>
  <c r="AD359" i="13" s="1"/>
  <c r="AE359" i="13" s="1"/>
  <c r="N359" i="8" s="1"/>
  <c r="S363" i="13"/>
  <c r="T363" i="13" s="1"/>
  <c r="AE363" i="13" s="1"/>
  <c r="N363" i="8" s="1"/>
  <c r="S304" i="13"/>
  <c r="T304" i="13" s="1"/>
  <c r="AD304" i="13" s="1"/>
  <c r="AE304" i="13" s="1"/>
  <c r="N304" i="8" s="1"/>
  <c r="S293" i="13"/>
  <c r="T293" i="13" s="1"/>
  <c r="AD293" i="13" s="1"/>
  <c r="AE293" i="13" s="1"/>
  <c r="N293" i="8" s="1"/>
  <c r="S296" i="13"/>
  <c r="T296" i="13" s="1"/>
  <c r="AD296" i="13" s="1"/>
  <c r="AE296" i="13" s="1"/>
  <c r="N296" i="8" s="1"/>
  <c r="S313" i="13"/>
  <c r="T313" i="13" s="1"/>
  <c r="AD313" i="13" s="1"/>
  <c r="AE313" i="13" s="1"/>
  <c r="N313" i="8" s="1"/>
  <c r="S319" i="13"/>
  <c r="T319" i="13" s="1"/>
  <c r="AD319" i="13" s="1"/>
  <c r="AE319" i="13" s="1"/>
  <c r="N319" i="8" s="1"/>
  <c r="S303" i="13"/>
  <c r="T303" i="13" s="1"/>
  <c r="AD303" i="13" s="1"/>
  <c r="AE303" i="13" s="1"/>
  <c r="N303" i="8" s="1"/>
  <c r="S308" i="13"/>
  <c r="T308" i="13" s="1"/>
  <c r="AD308" i="13" s="1"/>
  <c r="AE308" i="13" s="1"/>
  <c r="N308" i="8" s="1"/>
  <c r="S316" i="13"/>
  <c r="T316" i="13" s="1"/>
  <c r="AD316" i="13" s="1"/>
  <c r="AE316" i="13" s="1"/>
  <c r="N316" i="8" s="1"/>
  <c r="S328" i="13"/>
  <c r="T328" i="13" s="1"/>
  <c r="AD328" i="13" s="1"/>
  <c r="AE328" i="13" s="1"/>
  <c r="N328" i="8" s="1"/>
  <c r="S329" i="13"/>
  <c r="T329" i="13" s="1"/>
  <c r="AD329" i="13" s="1"/>
  <c r="AE329" i="13" s="1"/>
  <c r="N329" i="8" s="1"/>
  <c r="S294" i="13"/>
  <c r="T294" i="13" s="1"/>
  <c r="AD294" i="13" s="1"/>
  <c r="AE294" i="13" s="1"/>
  <c r="N294" i="8" s="1"/>
  <c r="S291" i="13"/>
  <c r="T291" i="13" s="1"/>
  <c r="AD291" i="13" s="1"/>
  <c r="AE291" i="13" s="1"/>
  <c r="N291" i="8" s="1"/>
  <c r="S287" i="13"/>
  <c r="T287" i="13" s="1"/>
  <c r="AD287" i="13" s="1"/>
  <c r="AE287" i="13" s="1"/>
  <c r="N287" i="8" s="1"/>
  <c r="S305" i="13"/>
  <c r="T305" i="13" s="1"/>
  <c r="AD305" i="13" s="1"/>
  <c r="AE305" i="13" s="1"/>
  <c r="N305" i="8" s="1"/>
  <c r="S297" i="13"/>
  <c r="T297" i="13" s="1"/>
  <c r="AD297" i="13" s="1"/>
  <c r="AE297" i="13" s="1"/>
  <c r="N297" i="8" s="1"/>
  <c r="S307" i="13"/>
  <c r="T307" i="13" s="1"/>
  <c r="AD307" i="13" s="1"/>
  <c r="AE307" i="13" s="1"/>
  <c r="N307" i="8" s="1"/>
  <c r="S311" i="13"/>
  <c r="T311" i="13" s="1"/>
  <c r="AD311" i="13" s="1"/>
  <c r="AE311" i="13" s="1"/>
  <c r="N311" i="8" s="1"/>
  <c r="S323" i="13"/>
  <c r="T323" i="13" s="1"/>
  <c r="AD323" i="13" s="1"/>
  <c r="AE323" i="13" s="1"/>
  <c r="N323" i="8" s="1"/>
  <c r="S290" i="13"/>
  <c r="T290" i="13" s="1"/>
  <c r="AD290" i="13" s="1"/>
  <c r="AE290" i="13" s="1"/>
  <c r="N290" i="8" s="1"/>
  <c r="S326" i="13"/>
  <c r="T326" i="13" s="1"/>
  <c r="AD326" i="13" s="1"/>
  <c r="AE326" i="13" s="1"/>
  <c r="N326" i="8" s="1"/>
  <c r="S298" i="13"/>
  <c r="T298" i="13" s="1"/>
  <c r="AD298" i="13" s="1"/>
  <c r="AE298" i="13" s="1"/>
  <c r="N298" i="8" s="1"/>
  <c r="S309" i="13"/>
  <c r="T309" i="13" s="1"/>
  <c r="AD309" i="13" s="1"/>
  <c r="AE309" i="13" s="1"/>
  <c r="N309" i="8" s="1"/>
  <c r="S306" i="13"/>
  <c r="T306" i="13" s="1"/>
  <c r="AD306" i="13" s="1"/>
  <c r="AE306" i="13" s="1"/>
  <c r="N306" i="8" s="1"/>
  <c r="S321" i="13"/>
  <c r="T321" i="13" s="1"/>
  <c r="AD321" i="13" s="1"/>
  <c r="AE321" i="13" s="1"/>
  <c r="N321" i="8" s="1"/>
  <c r="S320" i="13"/>
  <c r="T320" i="13" s="1"/>
  <c r="AD320" i="13" s="1"/>
  <c r="AE320" i="13" s="1"/>
  <c r="N320" i="8" s="1"/>
  <c r="S325" i="13"/>
  <c r="T325" i="13" s="1"/>
  <c r="AD325" i="13" s="1"/>
  <c r="AE325" i="13" s="1"/>
  <c r="N325" i="8" s="1"/>
  <c r="S312" i="13"/>
  <c r="T312" i="13" s="1"/>
  <c r="AD312" i="13" s="1"/>
  <c r="AE312" i="13" s="1"/>
  <c r="N312" i="8" s="1"/>
  <c r="S300" i="13"/>
  <c r="T300" i="13" s="1"/>
  <c r="AD300" i="13" s="1"/>
  <c r="AE300" i="13" s="1"/>
  <c r="N300" i="8" s="1"/>
  <c r="S310" i="13"/>
  <c r="T310" i="13" s="1"/>
  <c r="AD310" i="13" s="1"/>
  <c r="AE310" i="13" s="1"/>
  <c r="N310" i="8" s="1"/>
  <c r="S327" i="13"/>
  <c r="T327" i="13" s="1"/>
  <c r="AD327" i="13" s="1"/>
  <c r="AE327" i="13" s="1"/>
  <c r="N327" i="8" s="1"/>
  <c r="S299" i="13"/>
  <c r="T299" i="13" s="1"/>
  <c r="AD299" i="13" s="1"/>
  <c r="AE299" i="13" s="1"/>
  <c r="N299" i="8" s="1"/>
  <c r="S289" i="13"/>
  <c r="T289" i="13" s="1"/>
  <c r="AD289" i="13" s="1"/>
  <c r="AE289" i="13" s="1"/>
  <c r="N289" i="8" s="1"/>
  <c r="S292" i="13"/>
  <c r="T292" i="13" s="1"/>
  <c r="AD292" i="13" s="1"/>
  <c r="AE292" i="13" s="1"/>
  <c r="N292" i="8" s="1"/>
  <c r="S315" i="13"/>
  <c r="T315" i="13" s="1"/>
  <c r="AD315" i="13" s="1"/>
  <c r="AE315" i="13" s="1"/>
  <c r="N315" i="8" s="1"/>
  <c r="S324" i="13"/>
  <c r="T324" i="13" s="1"/>
  <c r="AD324" i="13" s="1"/>
  <c r="AE324" i="13" s="1"/>
  <c r="N324" i="8" s="1"/>
  <c r="S295" i="13"/>
  <c r="T295" i="13" s="1"/>
  <c r="AD295" i="13" s="1"/>
  <c r="AE295" i="13" s="1"/>
  <c r="N295" i="8" s="1"/>
  <c r="S302" i="13"/>
  <c r="T302" i="13" s="1"/>
  <c r="AD302" i="13" s="1"/>
  <c r="AE302" i="13" s="1"/>
  <c r="N302" i="8" s="1"/>
  <c r="S288" i="13"/>
  <c r="T288" i="13" s="1"/>
  <c r="AD288" i="13" s="1"/>
  <c r="AE288" i="13" s="1"/>
  <c r="N288" i="8" s="1"/>
  <c r="S318" i="13"/>
  <c r="T318" i="13" s="1"/>
  <c r="AD318" i="13" s="1"/>
  <c r="AE318" i="13" s="1"/>
  <c r="N318" i="8" s="1"/>
  <c r="S317" i="13"/>
  <c r="T317" i="13" s="1"/>
  <c r="AD317" i="13" s="1"/>
  <c r="AE317" i="13" s="1"/>
  <c r="N317" i="8" s="1"/>
  <c r="S286" i="13"/>
  <c r="T286" i="13" s="1"/>
  <c r="AD286" i="13" s="1"/>
  <c r="AE286" i="13" s="1"/>
  <c r="N286" i="8" s="1"/>
  <c r="S322" i="13"/>
  <c r="T322" i="13" s="1"/>
  <c r="AD322" i="13" s="1"/>
  <c r="AE322" i="13" s="1"/>
  <c r="N322" i="8" s="1"/>
  <c r="S314" i="13"/>
  <c r="T314" i="13" s="1"/>
  <c r="AD314" i="13" s="1"/>
  <c r="AE314" i="13" s="1"/>
  <c r="N314" i="8" s="1"/>
  <c r="S268" i="13"/>
  <c r="T268" i="13" s="1"/>
  <c r="AE268" i="13" s="1"/>
  <c r="N268" i="8" s="1"/>
  <c r="S270" i="13"/>
  <c r="T270" i="13" s="1"/>
  <c r="AE270" i="13" s="1"/>
  <c r="N270" i="8" s="1"/>
  <c r="S267" i="13"/>
  <c r="T267" i="13" s="1"/>
  <c r="AE267" i="13" s="1"/>
  <c r="N267" i="8" s="1"/>
  <c r="S283" i="13"/>
  <c r="T283" i="13" s="1"/>
  <c r="AD283" i="13" s="1"/>
  <c r="AE283" i="13" s="1"/>
  <c r="N283" i="8" s="1"/>
  <c r="S266" i="13"/>
  <c r="T266" i="13" s="1"/>
  <c r="AE266" i="13" s="1"/>
  <c r="N266" i="8" s="1"/>
  <c r="S282" i="13"/>
  <c r="T282" i="13" s="1"/>
  <c r="AD282" i="13" s="1"/>
  <c r="AE282" i="13" s="1"/>
  <c r="N282" i="8" s="1"/>
  <c r="S273" i="13"/>
  <c r="T273" i="13" s="1"/>
  <c r="AE273" i="13" s="1"/>
  <c r="N273" i="8" s="1"/>
  <c r="S281" i="13"/>
  <c r="T281" i="13" s="1"/>
  <c r="AE281" i="13" s="1"/>
  <c r="N281" i="8" s="1"/>
  <c r="S279" i="13"/>
  <c r="T279" i="13" s="1"/>
  <c r="AE279" i="13" s="1"/>
  <c r="N279" i="8" s="1"/>
  <c r="S265" i="13"/>
  <c r="T265" i="13" s="1"/>
  <c r="AE265" i="13" s="1"/>
  <c r="N265" i="8" s="1"/>
  <c r="S284" i="13"/>
  <c r="T284" i="13" s="1"/>
  <c r="AD284" i="13" s="1"/>
  <c r="AE284" i="13" s="1"/>
  <c r="N284" i="8" s="1"/>
  <c r="S269" i="13"/>
  <c r="T269" i="13" s="1"/>
  <c r="AE269" i="13" s="1"/>
  <c r="N269" i="8" s="1"/>
  <c r="S285" i="13"/>
  <c r="T285" i="13" s="1"/>
  <c r="AD285" i="13" s="1"/>
  <c r="AE285" i="13" s="1"/>
  <c r="N285" i="8" s="1"/>
  <c r="S277" i="13"/>
  <c r="T277" i="13" s="1"/>
  <c r="AE277" i="13" s="1"/>
  <c r="N277" i="8" s="1"/>
  <c r="S278" i="13"/>
  <c r="T278" i="13" s="1"/>
  <c r="AD278" i="13" s="1"/>
  <c r="AE278" i="13" s="1"/>
  <c r="N278" i="8" s="1"/>
  <c r="S280" i="13"/>
  <c r="T280" i="13" s="1"/>
  <c r="AE280" i="13" s="1"/>
  <c r="N280" i="8" s="1"/>
  <c r="S272" i="13"/>
  <c r="T272" i="13" s="1"/>
  <c r="AE272" i="13" s="1"/>
  <c r="N272" i="8" s="1"/>
  <c r="S276" i="13"/>
  <c r="T276" i="13" s="1"/>
  <c r="AE276" i="13" s="1"/>
  <c r="N276" i="8" s="1"/>
  <c r="S271" i="13"/>
  <c r="T271" i="13" s="1"/>
  <c r="AE271" i="13" s="1"/>
  <c r="N271" i="8" s="1"/>
  <c r="S274" i="13"/>
  <c r="T274" i="13" s="1"/>
  <c r="AE274" i="13" s="1"/>
  <c r="N274" i="8" s="1"/>
  <c r="S264" i="13"/>
  <c r="T264" i="13" s="1"/>
  <c r="AE264" i="13" s="1"/>
  <c r="N264" i="8" s="1"/>
  <c r="L271" i="18"/>
  <c r="M271" i="18" s="1"/>
  <c r="L277" i="18"/>
  <c r="M277" i="18" s="1"/>
  <c r="L349" i="18"/>
  <c r="M349" i="18" s="1"/>
  <c r="L350" i="18"/>
  <c r="M350" i="18" s="1"/>
  <c r="L352" i="18"/>
  <c r="M352" i="18" s="1"/>
  <c r="L280" i="18"/>
  <c r="M280" i="18" s="1"/>
  <c r="L273" i="18"/>
  <c r="M273" i="18" s="1"/>
  <c r="L281" i="18"/>
  <c r="M281" i="18" s="1"/>
  <c r="L355" i="18"/>
  <c r="M355" i="18" s="1"/>
  <c r="L270" i="18"/>
  <c r="M270" i="18" s="1"/>
  <c r="S262" i="13"/>
  <c r="T262" i="13" s="1"/>
  <c r="AE262" i="13" s="1"/>
  <c r="N262" i="8" s="1"/>
  <c r="S263" i="13"/>
  <c r="T263" i="13" s="1"/>
  <c r="AD263" i="13" s="1"/>
  <c r="AE263" i="13" s="1"/>
  <c r="N263" i="8" s="1"/>
  <c r="S260" i="13"/>
  <c r="T260" i="13" s="1"/>
  <c r="AD260" i="13" s="1"/>
  <c r="AE260" i="13" s="1"/>
  <c r="N260" i="8" s="1"/>
  <c r="S261" i="13"/>
  <c r="T261" i="13" s="1"/>
  <c r="AE261" i="13" s="1"/>
  <c r="N261" i="8" s="1"/>
  <c r="L222" i="18"/>
  <c r="M222" i="18" s="1"/>
  <c r="S259" i="13"/>
  <c r="T259" i="13" s="1"/>
  <c r="AD259" i="13" s="1"/>
  <c r="AE259" i="13" s="1"/>
  <c r="N259" i="8" s="1"/>
  <c r="S258" i="13"/>
  <c r="T258" i="13" s="1"/>
  <c r="AD258" i="13" s="1"/>
  <c r="AE258" i="13" s="1"/>
  <c r="N258" i="8" s="1"/>
  <c r="S256" i="13"/>
  <c r="T256" i="13" s="1"/>
  <c r="AE256" i="13" s="1"/>
  <c r="N256" i="8" s="1"/>
  <c r="S257" i="13"/>
  <c r="T257" i="13" s="1"/>
  <c r="AE257" i="13" s="1"/>
  <c r="N257" i="8" s="1"/>
  <c r="S254" i="13"/>
  <c r="T254" i="13" s="1"/>
  <c r="AD254" i="13" s="1"/>
  <c r="AE254" i="13" s="1"/>
  <c r="N254" i="8" s="1"/>
  <c r="S255" i="13"/>
  <c r="T255" i="13" s="1"/>
  <c r="AD255" i="13" s="1"/>
  <c r="AE255" i="13" s="1"/>
  <c r="N255" i="8" s="1"/>
  <c r="L250" i="18"/>
  <c r="M250" i="18" s="1"/>
  <c r="L251" i="18"/>
  <c r="M251" i="18" s="1"/>
  <c r="S233" i="13"/>
  <c r="T233" i="13" s="1"/>
  <c r="AE233" i="13" s="1"/>
  <c r="N233" i="8" s="1"/>
  <c r="S236" i="13"/>
  <c r="T236" i="13" s="1"/>
  <c r="AE236" i="13" s="1"/>
  <c r="N236" i="8" s="1"/>
  <c r="S252" i="13"/>
  <c r="T252" i="13" s="1"/>
  <c r="S238" i="13"/>
  <c r="T238" i="13" s="1"/>
  <c r="AD238" i="13" s="1"/>
  <c r="AE238" i="13" s="1"/>
  <c r="N238" i="8" s="1"/>
  <c r="S249" i="13"/>
  <c r="T249" i="13" s="1"/>
  <c r="AD249" i="13" s="1"/>
  <c r="AE249" i="13" s="1"/>
  <c r="N249" i="8" s="1"/>
  <c r="S247" i="13"/>
  <c r="T247" i="13" s="1"/>
  <c r="AD247" i="13" s="1"/>
  <c r="AE247" i="13" s="1"/>
  <c r="N247" i="8" s="1"/>
  <c r="S244" i="13"/>
  <c r="T244" i="13" s="1"/>
  <c r="AD244" i="13" s="1"/>
  <c r="AE244" i="13" s="1"/>
  <c r="N244" i="8" s="1"/>
  <c r="S237" i="13"/>
  <c r="T237" i="13" s="1"/>
  <c r="AD237" i="13" s="1"/>
  <c r="AE237" i="13" s="1"/>
  <c r="N237" i="8" s="1"/>
  <c r="S241" i="13"/>
  <c r="T241" i="13" s="1"/>
  <c r="AE241" i="13" s="1"/>
  <c r="N241" i="8" s="1"/>
  <c r="S239" i="13"/>
  <c r="T239" i="13" s="1"/>
  <c r="AE239" i="13" s="1"/>
  <c r="N239" i="8" s="1"/>
  <c r="S234" i="13"/>
  <c r="T234" i="13" s="1"/>
  <c r="AD234" i="13" s="1"/>
  <c r="AE234" i="13" s="1"/>
  <c r="N234" i="8" s="1"/>
  <c r="S240" i="13"/>
  <c r="T240" i="13" s="1"/>
  <c r="AE240" i="13" s="1"/>
  <c r="N240" i="8" s="1"/>
  <c r="S253" i="13"/>
  <c r="T253" i="13" s="1"/>
  <c r="AE253" i="13" s="1"/>
  <c r="N253" i="8" s="1"/>
  <c r="S242" i="13"/>
  <c r="T242" i="13" s="1"/>
  <c r="AE242" i="13" s="1"/>
  <c r="N242" i="8" s="1"/>
  <c r="S245" i="13"/>
  <c r="T245" i="13" s="1"/>
  <c r="AD245" i="13" s="1"/>
  <c r="AE245" i="13" s="1"/>
  <c r="N245" i="8" s="1"/>
  <c r="S251" i="13"/>
  <c r="T251" i="13" s="1"/>
  <c r="AE251" i="13" s="1"/>
  <c r="N251" i="8" s="1"/>
  <c r="S243" i="13"/>
  <c r="T243" i="13" s="1"/>
  <c r="AE243" i="13" s="1"/>
  <c r="N243" i="8" s="1"/>
  <c r="S248" i="13"/>
  <c r="T248" i="13" s="1"/>
  <c r="AD248" i="13" s="1"/>
  <c r="AE248" i="13" s="1"/>
  <c r="N248" i="8" s="1"/>
  <c r="S250" i="13"/>
  <c r="T250" i="13" s="1"/>
  <c r="AE250" i="13" s="1"/>
  <c r="N250" i="8" s="1"/>
  <c r="S235" i="13"/>
  <c r="T235" i="13" s="1"/>
  <c r="AE235" i="13" s="1"/>
  <c r="N235" i="8" s="1"/>
  <c r="S246" i="13"/>
  <c r="T246" i="13" s="1"/>
  <c r="AD246" i="13" s="1"/>
  <c r="AE246" i="13" s="1"/>
  <c r="N246" i="8" s="1"/>
  <c r="L253" i="18"/>
  <c r="M253" i="18" s="1"/>
  <c r="L240" i="18"/>
  <c r="M240" i="18" s="1"/>
  <c r="S231" i="13"/>
  <c r="T231" i="13" s="1"/>
  <c r="AD231" i="13" s="1"/>
  <c r="AE231" i="13" s="1"/>
  <c r="N231" i="8" s="1"/>
  <c r="S232" i="13"/>
  <c r="T232" i="13" s="1"/>
  <c r="AE232" i="13" s="1"/>
  <c r="N232" i="8" s="1"/>
  <c r="S229" i="13"/>
  <c r="T229" i="13" s="1"/>
  <c r="AE229" i="13" s="1"/>
  <c r="N229" i="8" s="1"/>
  <c r="S230" i="13"/>
  <c r="T230" i="13" s="1"/>
  <c r="AD230" i="13" s="1"/>
  <c r="AE230" i="13" s="1"/>
  <c r="N230" i="8" s="1"/>
  <c r="S227" i="13"/>
  <c r="T227" i="13" s="1"/>
  <c r="AD227" i="13" s="1"/>
  <c r="AE227" i="13" s="1"/>
  <c r="N227" i="8" s="1"/>
  <c r="S228" i="13"/>
  <c r="T228" i="13" s="1"/>
  <c r="AD228" i="13" s="1"/>
  <c r="AE228" i="13" s="1"/>
  <c r="N228" i="8" s="1"/>
  <c r="S225" i="13"/>
  <c r="T225" i="13" s="1"/>
  <c r="AE225" i="13" s="1"/>
  <c r="N225" i="8" s="1"/>
  <c r="S226" i="13"/>
  <c r="T226" i="13" s="1"/>
  <c r="AD226" i="13" s="1"/>
  <c r="AE226" i="13" s="1"/>
  <c r="N226" i="8" s="1"/>
  <c r="L225" i="18"/>
  <c r="M225" i="18" s="1"/>
  <c r="S223" i="13"/>
  <c r="T223" i="13" s="1"/>
  <c r="AD223" i="13" s="1"/>
  <c r="AE223" i="13" s="1"/>
  <c r="N223" i="8" s="1"/>
  <c r="S224" i="13"/>
  <c r="T224" i="13" s="1"/>
  <c r="AD224" i="13" s="1"/>
  <c r="AE224" i="13" s="1"/>
  <c r="N224" i="8" s="1"/>
  <c r="S221" i="13"/>
  <c r="T221" i="13" s="1"/>
  <c r="AD221" i="13" s="1"/>
  <c r="AE221" i="13" s="1"/>
  <c r="N221" i="8" s="1"/>
  <c r="S222" i="13"/>
  <c r="T222" i="13" s="1"/>
  <c r="AD222" i="13" s="1"/>
  <c r="AE222" i="13" s="1"/>
  <c r="N222" i="8" s="1"/>
  <c r="S219" i="13"/>
  <c r="T219" i="13" s="1"/>
  <c r="AD219" i="13" s="1"/>
  <c r="AE219" i="13" s="1"/>
  <c r="N219" i="8" s="1"/>
  <c r="S220" i="13"/>
  <c r="T220" i="13" s="1"/>
  <c r="AD220" i="13" s="1"/>
  <c r="AE220" i="13" s="1"/>
  <c r="N220" i="8" s="1"/>
  <c r="S217" i="13"/>
  <c r="T217" i="13" s="1"/>
  <c r="AD217" i="13" s="1"/>
  <c r="AE217" i="13" s="1"/>
  <c r="N217" i="8" s="1"/>
  <c r="S218" i="13"/>
  <c r="T218" i="13" s="1"/>
  <c r="AE218" i="13" s="1"/>
  <c r="N218" i="8" s="1"/>
  <c r="S215" i="13"/>
  <c r="T215" i="13" s="1"/>
  <c r="AE215" i="13" s="1"/>
  <c r="N215" i="8" s="1"/>
  <c r="S216" i="13"/>
  <c r="T216" i="13" s="1"/>
  <c r="AD216" i="13" s="1"/>
  <c r="AE216" i="13" s="1"/>
  <c r="N216" i="8" s="1"/>
  <c r="S213" i="13"/>
  <c r="T213" i="13" s="1"/>
  <c r="AE213" i="13" s="1"/>
  <c r="N213" i="8" s="1"/>
  <c r="S214" i="13"/>
  <c r="T214" i="13" s="1"/>
  <c r="AD214" i="13" s="1"/>
  <c r="AE214" i="13" s="1"/>
  <c r="N214" i="8" s="1"/>
  <c r="S211" i="13"/>
  <c r="T211" i="13" s="1"/>
  <c r="AE211" i="13" s="1"/>
  <c r="N211" i="8" s="1"/>
  <c r="S212" i="13"/>
  <c r="T212" i="13" s="1"/>
  <c r="AD212" i="13" s="1"/>
  <c r="AE212" i="13" s="1"/>
  <c r="N212" i="8" s="1"/>
  <c r="L211" i="18"/>
  <c r="M211" i="18" s="1"/>
  <c r="S209" i="13"/>
  <c r="T209" i="13" s="1"/>
  <c r="AD209" i="13" s="1"/>
  <c r="AE209" i="13" s="1"/>
  <c r="N209" i="8" s="1"/>
  <c r="S210" i="13"/>
  <c r="T210" i="13" s="1"/>
  <c r="AD210" i="13" s="1"/>
  <c r="AE210" i="13" s="1"/>
  <c r="N210" i="8" s="1"/>
  <c r="S207" i="13"/>
  <c r="T207" i="13" s="1"/>
  <c r="AE207" i="13" s="1"/>
  <c r="N207" i="8" s="1"/>
  <c r="S208" i="13"/>
  <c r="T208" i="13" s="1"/>
  <c r="AD208" i="13" s="1"/>
  <c r="AE208" i="13" s="1"/>
  <c r="N208" i="8" s="1"/>
  <c r="L207" i="18"/>
  <c r="M207" i="18" s="1"/>
  <c r="S205" i="13"/>
  <c r="T205" i="13" s="1"/>
  <c r="AE205" i="13" s="1"/>
  <c r="N205" i="8" s="1"/>
  <c r="S206" i="13"/>
  <c r="T206" i="13" s="1"/>
  <c r="AE206" i="13" s="1"/>
  <c r="N206" i="8" s="1"/>
  <c r="L206" i="18"/>
  <c r="M206" i="18" s="1"/>
  <c r="S203" i="13"/>
  <c r="T203" i="13" s="1"/>
  <c r="AE203" i="13" s="1"/>
  <c r="N203" i="8" s="1"/>
  <c r="S204" i="13"/>
  <c r="T204" i="13" s="1"/>
  <c r="AE204" i="13" s="1"/>
  <c r="N204" i="8" s="1"/>
  <c r="S201" i="13"/>
  <c r="T201" i="13" s="1"/>
  <c r="AD201" i="13" s="1"/>
  <c r="AE201" i="13" s="1"/>
  <c r="N201" i="8" s="1"/>
  <c r="S202" i="13"/>
  <c r="T202" i="13" s="1"/>
  <c r="AD202" i="13" s="1"/>
  <c r="AE202" i="13" s="1"/>
  <c r="N202" i="8" s="1"/>
  <c r="S199" i="13"/>
  <c r="T199" i="13" s="1"/>
  <c r="AE199" i="13" s="1"/>
  <c r="N199" i="8" s="1"/>
  <c r="S200" i="13"/>
  <c r="T200" i="13" s="1"/>
  <c r="AD200" i="13" s="1"/>
  <c r="AE200" i="13" s="1"/>
  <c r="N200" i="8" s="1"/>
  <c r="S197" i="13"/>
  <c r="T197" i="13" s="1"/>
  <c r="AD197" i="13" s="1"/>
  <c r="AE197" i="13" s="1"/>
  <c r="N197" i="8" s="1"/>
  <c r="S198" i="13"/>
  <c r="T198" i="13" s="1"/>
  <c r="AE198" i="13" s="1"/>
  <c r="N198" i="8" s="1"/>
  <c r="L198" i="18"/>
  <c r="M198" i="18" s="1"/>
  <c r="S195" i="13"/>
  <c r="T195" i="13" s="1"/>
  <c r="AD195" i="13" s="1"/>
  <c r="AE195" i="13" s="1"/>
  <c r="N195" i="8" s="1"/>
  <c r="S196" i="13"/>
  <c r="T196" i="13" s="1"/>
  <c r="AE196" i="13" s="1"/>
  <c r="N196" i="8" s="1"/>
  <c r="S193" i="13"/>
  <c r="T193" i="13" s="1"/>
  <c r="AE193" i="13" s="1"/>
  <c r="N193" i="8" s="1"/>
  <c r="S194" i="13"/>
  <c r="T194" i="13" s="1"/>
  <c r="AD194" i="13" s="1"/>
  <c r="AE194" i="13" s="1"/>
  <c r="N194" i="8" s="1"/>
  <c r="L193" i="18"/>
  <c r="M193" i="18" s="1"/>
  <c r="S191" i="13"/>
  <c r="T191" i="13" s="1"/>
  <c r="AE191" i="13" s="1"/>
  <c r="N191" i="8" s="1"/>
  <c r="S192" i="13"/>
  <c r="T192" i="13" s="1"/>
  <c r="AE192" i="13" s="1"/>
  <c r="N192" i="8" s="1"/>
  <c r="L192" i="18"/>
  <c r="M192" i="18" s="1"/>
  <c r="S189" i="13"/>
  <c r="T189" i="13" s="1"/>
  <c r="AE189" i="13" s="1"/>
  <c r="N189" i="8" s="1"/>
  <c r="S190" i="13"/>
  <c r="T190" i="13" s="1"/>
  <c r="AE190" i="13" s="1"/>
  <c r="N190" i="8" s="1"/>
  <c r="S187" i="13"/>
  <c r="T187" i="13" s="1"/>
  <c r="AD187" i="13" s="1"/>
  <c r="AE187" i="13" s="1"/>
  <c r="N187" i="8" s="1"/>
  <c r="S188" i="13"/>
  <c r="T188" i="13" s="1"/>
  <c r="AE188" i="13" s="1"/>
  <c r="N188" i="8" s="1"/>
  <c r="S185" i="13"/>
  <c r="T185" i="13" s="1"/>
  <c r="AD185" i="13" s="1"/>
  <c r="AE185" i="13" s="1"/>
  <c r="N185" i="8" s="1"/>
  <c r="S186" i="13"/>
  <c r="T186" i="13" s="1"/>
  <c r="AE186" i="13" s="1"/>
  <c r="N186" i="8" s="1"/>
  <c r="S183" i="13"/>
  <c r="T183" i="13" s="1"/>
  <c r="AD183" i="13" s="1"/>
  <c r="AE183" i="13" s="1"/>
  <c r="N183" i="8" s="1"/>
  <c r="S184" i="13"/>
  <c r="T184" i="13" s="1"/>
  <c r="AE184" i="13" s="1"/>
  <c r="N184" i="8" s="1"/>
  <c r="S181" i="13"/>
  <c r="T181" i="13" s="1"/>
  <c r="AD181" i="13" s="1"/>
  <c r="AE181" i="13" s="1"/>
  <c r="N181" i="8" s="1"/>
  <c r="S182" i="13"/>
  <c r="T182" i="13" s="1"/>
  <c r="AD182" i="13" s="1"/>
  <c r="AE182" i="13" s="1"/>
  <c r="N182" i="8" s="1"/>
  <c r="S180" i="13"/>
  <c r="T180" i="13" s="1"/>
  <c r="AD180" i="13" s="1"/>
  <c r="AE180" i="13" s="1"/>
  <c r="N180" i="8" s="1"/>
  <c r="S174" i="13"/>
  <c r="T174" i="13" s="1"/>
  <c r="AE174" i="13" s="1"/>
  <c r="N174" i="8" s="1"/>
  <c r="L174" i="18"/>
  <c r="M174" i="18" s="1"/>
  <c r="S178" i="13"/>
  <c r="T178" i="13" s="1"/>
  <c r="AD178" i="13" s="1"/>
  <c r="AE178" i="13" s="1"/>
  <c r="N178" i="8" s="1"/>
  <c r="S179" i="13"/>
  <c r="T179" i="13" s="1"/>
  <c r="AD179" i="13" s="1"/>
  <c r="AE179" i="13" s="1"/>
  <c r="N179" i="8" s="1"/>
  <c r="S176" i="13"/>
  <c r="T176" i="13" s="1"/>
  <c r="AD176" i="13" s="1"/>
  <c r="AE176" i="13" s="1"/>
  <c r="N176" i="8" s="1"/>
  <c r="S177" i="13"/>
  <c r="T177" i="13" s="1"/>
  <c r="AE177" i="13" s="1"/>
  <c r="N177" i="8" s="1"/>
  <c r="S173" i="13"/>
  <c r="T173" i="13" s="1"/>
  <c r="AE173" i="13" s="1"/>
  <c r="N173" i="8" s="1"/>
  <c r="S175" i="13"/>
  <c r="T175" i="13" s="1"/>
  <c r="AE175" i="13" s="1"/>
  <c r="N175" i="8" s="1"/>
  <c r="L173" i="18"/>
  <c r="M173" i="18" s="1"/>
  <c r="S171" i="13"/>
  <c r="T171" i="13" s="1"/>
  <c r="AD171" i="13" s="1"/>
  <c r="AE171" i="13" s="1"/>
  <c r="N171" i="8" s="1"/>
  <c r="S172" i="13"/>
  <c r="T172" i="13" s="1"/>
  <c r="AD172" i="13" s="1"/>
  <c r="AE172" i="13" s="1"/>
  <c r="N172" i="8" s="1"/>
  <c r="S169" i="13"/>
  <c r="T169" i="13" s="1"/>
  <c r="AE169" i="13" s="1"/>
  <c r="N169" i="8" s="1"/>
  <c r="S170" i="13"/>
  <c r="T170" i="13" s="1"/>
  <c r="AE170" i="13" s="1"/>
  <c r="N170" i="8" s="1"/>
  <c r="L170" i="18"/>
  <c r="M170" i="18" s="1"/>
  <c r="L169" i="18"/>
  <c r="M169" i="18" s="1"/>
  <c r="S167" i="13"/>
  <c r="T167" i="13" s="1"/>
  <c r="AD167" i="13" s="1"/>
  <c r="AE167" i="13" s="1"/>
  <c r="N167" i="8" s="1"/>
  <c r="S168" i="13"/>
  <c r="T168" i="13" s="1"/>
  <c r="AD168" i="13" s="1"/>
  <c r="AE168" i="13" s="1"/>
  <c r="N168" i="8" s="1"/>
  <c r="S165" i="13"/>
  <c r="T165" i="13" s="1"/>
  <c r="AE165" i="13" s="1"/>
  <c r="N165" i="8" s="1"/>
  <c r="S166" i="13"/>
  <c r="T166" i="13" s="1"/>
  <c r="AE166" i="13" s="1"/>
  <c r="N166" i="8" s="1"/>
  <c r="L165" i="18"/>
  <c r="M165" i="18" s="1"/>
  <c r="S163" i="13"/>
  <c r="T163" i="13" s="1"/>
  <c r="AD163" i="13" s="1"/>
  <c r="AE163" i="13" s="1"/>
  <c r="N163" i="8" s="1"/>
  <c r="S164" i="13"/>
  <c r="T164" i="13" s="1"/>
  <c r="AD164" i="13" s="1"/>
  <c r="AE164" i="13" s="1"/>
  <c r="N164" i="8" s="1"/>
  <c r="S161" i="13"/>
  <c r="T161" i="13" s="1"/>
  <c r="AD161" i="13" s="1"/>
  <c r="AE161" i="13" s="1"/>
  <c r="N161" i="8" s="1"/>
  <c r="S162" i="13"/>
  <c r="T162" i="13" s="1"/>
  <c r="AD162" i="13" s="1"/>
  <c r="AE162" i="13" s="1"/>
  <c r="N162" i="8" s="1"/>
  <c r="S159" i="13"/>
  <c r="T159" i="13" s="1"/>
  <c r="AD159" i="13" s="1"/>
  <c r="AE159" i="13" s="1"/>
  <c r="N159" i="8" s="1"/>
  <c r="S160" i="13"/>
  <c r="T160" i="13" s="1"/>
  <c r="AE160" i="13" s="1"/>
  <c r="N160" i="8" s="1"/>
  <c r="S157" i="13"/>
  <c r="T157" i="13" s="1"/>
  <c r="AD157" i="13" s="1"/>
  <c r="AE157" i="13" s="1"/>
  <c r="N157" i="8" s="1"/>
  <c r="S158" i="13"/>
  <c r="T158" i="13" s="1"/>
  <c r="AD158" i="13" s="1"/>
  <c r="AE158" i="13" s="1"/>
  <c r="N158" i="8" s="1"/>
  <c r="S155" i="13"/>
  <c r="T155" i="13" s="1"/>
  <c r="AD155" i="13" s="1"/>
  <c r="AE155" i="13" s="1"/>
  <c r="N155" i="8" s="1"/>
  <c r="S156" i="13"/>
  <c r="T156" i="13" s="1"/>
  <c r="AD156" i="13" s="1"/>
  <c r="AE156" i="13" s="1"/>
  <c r="N156" i="8" s="1"/>
  <c r="S153" i="13"/>
  <c r="T153" i="13" s="1"/>
  <c r="AD153" i="13" s="1"/>
  <c r="AE153" i="13" s="1"/>
  <c r="N153" i="8" s="1"/>
  <c r="S154" i="13"/>
  <c r="T154" i="13" s="1"/>
  <c r="AD154" i="13" s="1"/>
  <c r="AE154" i="13" s="1"/>
  <c r="N154" i="8" s="1"/>
  <c r="S151" i="13"/>
  <c r="T151" i="13" s="1"/>
  <c r="AE151" i="13" s="1"/>
  <c r="N151" i="8" s="1"/>
  <c r="S152" i="13"/>
  <c r="T152" i="13" s="1"/>
  <c r="AE152" i="13" s="1"/>
  <c r="N152" i="8" s="1"/>
  <c r="L151" i="18"/>
  <c r="M151" i="18" s="1"/>
  <c r="S149" i="13"/>
  <c r="T149" i="13" s="1"/>
  <c r="AE149" i="13" s="1"/>
  <c r="N149" i="8" s="1"/>
  <c r="S150" i="13"/>
  <c r="T150" i="13" s="1"/>
  <c r="AE150" i="13" s="1"/>
  <c r="N150" i="8" s="1"/>
  <c r="L149" i="18"/>
  <c r="M149" i="18" s="1"/>
  <c r="S147" i="13"/>
  <c r="T147" i="13" s="1"/>
  <c r="AD147" i="13" s="1"/>
  <c r="AE147" i="13" s="1"/>
  <c r="N147" i="8" s="1"/>
  <c r="S148" i="13"/>
  <c r="T148" i="13" s="1"/>
  <c r="AD148" i="13" s="1"/>
  <c r="AE148" i="13" s="1"/>
  <c r="N148" i="8" s="1"/>
  <c r="S145" i="13"/>
  <c r="T145" i="13" s="1"/>
  <c r="AE145" i="13" s="1"/>
  <c r="N145" i="8" s="1"/>
  <c r="S146" i="13"/>
  <c r="T146" i="13" s="1"/>
  <c r="AE146" i="13" s="1"/>
  <c r="N146" i="8" s="1"/>
  <c r="L146" i="18"/>
  <c r="M146" i="18" s="1"/>
  <c r="L145" i="18"/>
  <c r="M145" i="18" s="1"/>
  <c r="S143" i="13"/>
  <c r="T143" i="13" s="1"/>
  <c r="AE143" i="13" s="1"/>
  <c r="N143" i="8" s="1"/>
  <c r="S144" i="13"/>
  <c r="T144" i="13" s="1"/>
  <c r="AE144" i="13" s="1"/>
  <c r="N144" i="8" s="1"/>
  <c r="S141" i="13"/>
  <c r="T141" i="13" s="1"/>
  <c r="AE141" i="13" s="1"/>
  <c r="N141" i="8" s="1"/>
  <c r="S142" i="13"/>
  <c r="T142" i="13" s="1"/>
  <c r="AD142" i="13" s="1"/>
  <c r="AE142" i="13" s="1"/>
  <c r="N142" i="8" s="1"/>
  <c r="S139" i="13"/>
  <c r="T139" i="13" s="1"/>
  <c r="AD139" i="13" s="1"/>
  <c r="AE139" i="13" s="1"/>
  <c r="N139" i="8" s="1"/>
  <c r="S140" i="13"/>
  <c r="T140" i="13" s="1"/>
  <c r="AD140" i="13" s="1"/>
  <c r="AE140" i="13" s="1"/>
  <c r="N140" i="8" s="1"/>
  <c r="S137" i="13"/>
  <c r="T137" i="13" s="1"/>
  <c r="AE137" i="13" s="1"/>
  <c r="N137" i="8" s="1"/>
  <c r="S138" i="13"/>
  <c r="T138" i="13" s="1"/>
  <c r="AD138" i="13" s="1"/>
  <c r="AE138" i="13" s="1"/>
  <c r="N138" i="8" s="1"/>
  <c r="S135" i="13"/>
  <c r="T135" i="13" s="1"/>
  <c r="AE135" i="13" s="1"/>
  <c r="N135" i="8" s="1"/>
  <c r="S136" i="13"/>
  <c r="T136" i="13" s="1"/>
  <c r="AE136" i="13" s="1"/>
  <c r="N136" i="8" s="1"/>
  <c r="S133" i="13"/>
  <c r="T133" i="13" s="1"/>
  <c r="AE133" i="13" s="1"/>
  <c r="N133" i="8" s="1"/>
  <c r="S134" i="13"/>
  <c r="T134" i="13" s="1"/>
  <c r="AE134" i="13" s="1"/>
  <c r="N134" i="8" s="1"/>
  <c r="S131" i="13"/>
  <c r="T131" i="13" s="1"/>
  <c r="AE131" i="13" s="1"/>
  <c r="N131" i="8" s="1"/>
  <c r="S132" i="13"/>
  <c r="T132" i="13" s="1"/>
  <c r="AE132" i="13" s="1"/>
  <c r="N132" i="8" s="1"/>
  <c r="S129" i="13"/>
  <c r="T129" i="13" s="1"/>
  <c r="AD129" i="13" s="1"/>
  <c r="AE129" i="13" s="1"/>
  <c r="N129" i="8" s="1"/>
  <c r="S130" i="13"/>
  <c r="T130" i="13" s="1"/>
  <c r="AE130" i="13" s="1"/>
  <c r="N130" i="8" s="1"/>
  <c r="S127" i="13"/>
  <c r="T127" i="13" s="1"/>
  <c r="AD127" i="13" s="1"/>
  <c r="AE127" i="13" s="1"/>
  <c r="N127" i="8" s="1"/>
  <c r="S128" i="13"/>
  <c r="T128" i="13" s="1"/>
  <c r="AD128" i="13" s="1"/>
  <c r="AE128" i="13" s="1"/>
  <c r="N128" i="8" s="1"/>
  <c r="S35" i="13"/>
  <c r="T35" i="13" s="1"/>
  <c r="AE35" i="13" s="1"/>
  <c r="N35" i="8" s="1"/>
  <c r="S126" i="13"/>
  <c r="T126" i="13" s="1"/>
  <c r="AE126" i="13" s="1"/>
  <c r="N126" i="8" s="1"/>
  <c r="L126" i="18"/>
  <c r="M126" i="18" s="1"/>
  <c r="L35" i="18"/>
  <c r="M35" i="18" s="1"/>
  <c r="S124" i="13"/>
  <c r="T124" i="13" s="1"/>
  <c r="AD124" i="13" s="1"/>
  <c r="AE124" i="13" s="1"/>
  <c r="N124" i="8" s="1"/>
  <c r="S125" i="13"/>
  <c r="T125" i="13" s="1"/>
  <c r="AD125" i="13" s="1"/>
  <c r="AE125" i="13" s="1"/>
  <c r="N125" i="8" s="1"/>
  <c r="S122" i="13"/>
  <c r="T122" i="13" s="1"/>
  <c r="AD122" i="13" s="1"/>
  <c r="AE122" i="13" s="1"/>
  <c r="N122" i="8" s="1"/>
  <c r="S123" i="13"/>
  <c r="T123" i="13" s="1"/>
  <c r="AE123" i="13" s="1"/>
  <c r="N123" i="8" s="1"/>
  <c r="L123" i="18"/>
  <c r="M123" i="18" s="1"/>
  <c r="S120" i="13"/>
  <c r="T120" i="13" s="1"/>
  <c r="AD120" i="13" s="1"/>
  <c r="AE120" i="13" s="1"/>
  <c r="N120" i="8" s="1"/>
  <c r="S121" i="13"/>
  <c r="T121" i="13" s="1"/>
  <c r="AD121" i="13" s="1"/>
  <c r="AE121" i="13" s="1"/>
  <c r="N121" i="8" s="1"/>
  <c r="S118" i="13"/>
  <c r="T118" i="13" s="1"/>
  <c r="AD118" i="13" s="1"/>
  <c r="AE118" i="13" s="1"/>
  <c r="N118" i="8" s="1"/>
  <c r="S119" i="13"/>
  <c r="T119" i="13" s="1"/>
  <c r="AD119" i="13" s="1"/>
  <c r="AE119" i="13" s="1"/>
  <c r="N119" i="8" s="1"/>
  <c r="S116" i="13"/>
  <c r="T116" i="13" s="1"/>
  <c r="AD116" i="13" s="1"/>
  <c r="AE116" i="13" s="1"/>
  <c r="N116" i="8" s="1"/>
  <c r="S117" i="13"/>
  <c r="T117" i="13" s="1"/>
  <c r="AD117" i="13" s="1"/>
  <c r="AE117" i="13" s="1"/>
  <c r="N117" i="8" s="1"/>
  <c r="S114" i="13"/>
  <c r="T114" i="13" s="1"/>
  <c r="AD114" i="13" s="1"/>
  <c r="AE114" i="13" s="1"/>
  <c r="N114" i="8" s="1"/>
  <c r="S115" i="13"/>
  <c r="T115" i="13" s="1"/>
  <c r="AE115" i="13" s="1"/>
  <c r="N115" i="8" s="1"/>
  <c r="L115" i="18"/>
  <c r="M115" i="18" s="1"/>
  <c r="S112" i="13"/>
  <c r="T112" i="13" s="1"/>
  <c r="AE112" i="13" s="1"/>
  <c r="N112" i="8" s="1"/>
  <c r="S113" i="13"/>
  <c r="T113" i="13" s="1"/>
  <c r="L113" i="18"/>
  <c r="M113" i="18" s="1"/>
  <c r="L112" i="18"/>
  <c r="M112" i="18" s="1"/>
  <c r="S110" i="13"/>
  <c r="T110" i="13" s="1"/>
  <c r="AE110" i="13" s="1"/>
  <c r="N110" i="8" s="1"/>
  <c r="S111" i="13"/>
  <c r="T111" i="13" s="1"/>
  <c r="AE111" i="13" s="1"/>
  <c r="N111" i="8" s="1"/>
  <c r="L111" i="18"/>
  <c r="M111" i="18" s="1"/>
  <c r="L110" i="18"/>
  <c r="M110" i="18" s="1"/>
  <c r="S108" i="13"/>
  <c r="T108" i="13" s="1"/>
  <c r="AD108" i="13" s="1"/>
  <c r="AE108" i="13" s="1"/>
  <c r="N108" i="8" s="1"/>
  <c r="S109" i="13"/>
  <c r="T109" i="13" s="1"/>
  <c r="AE109" i="13" s="1"/>
  <c r="N109" i="8" s="1"/>
  <c r="S106" i="13"/>
  <c r="T106" i="13" s="1"/>
  <c r="AD106" i="13" s="1"/>
  <c r="AE106" i="13" s="1"/>
  <c r="N106" i="8" s="1"/>
  <c r="S107" i="13"/>
  <c r="T107" i="13" s="1"/>
  <c r="AD107" i="13" s="1"/>
  <c r="AE107" i="13" s="1"/>
  <c r="N107" i="8" s="1"/>
  <c r="S105" i="13"/>
  <c r="T105" i="13" s="1"/>
  <c r="AE105" i="13" s="1"/>
  <c r="N105" i="8" s="1"/>
  <c r="S98" i="13"/>
  <c r="T98" i="13" s="1"/>
  <c r="AD98" i="13" s="1"/>
  <c r="AE98" i="13" s="1"/>
  <c r="N98" i="8" s="1"/>
  <c r="S103" i="13"/>
  <c r="T103" i="13" s="1"/>
  <c r="AE103" i="13" s="1"/>
  <c r="N103" i="8" s="1"/>
  <c r="S104" i="13"/>
  <c r="T104" i="13" s="1"/>
  <c r="AD104" i="13" s="1"/>
  <c r="AE104" i="13" s="1"/>
  <c r="N104" i="8" s="1"/>
  <c r="L103" i="18"/>
  <c r="M103" i="18" s="1"/>
  <c r="S101" i="13"/>
  <c r="T101" i="13" s="1"/>
  <c r="AE101" i="13" s="1"/>
  <c r="N101" i="8" s="1"/>
  <c r="S102" i="13"/>
  <c r="T102" i="13" s="1"/>
  <c r="AE102" i="13" s="1"/>
  <c r="N102" i="8" s="1"/>
  <c r="S99" i="13"/>
  <c r="T99" i="13" s="1"/>
  <c r="AD99" i="13" s="1"/>
  <c r="AE99" i="13" s="1"/>
  <c r="N99" i="8" s="1"/>
  <c r="S100" i="13"/>
  <c r="T100" i="13" s="1"/>
  <c r="AD100" i="13" s="1"/>
  <c r="AE100" i="13" s="1"/>
  <c r="N100" i="8" s="1"/>
  <c r="S95" i="13"/>
  <c r="T95" i="13" s="1"/>
  <c r="AE95" i="13" s="1"/>
  <c r="N95" i="8" s="1"/>
  <c r="S97" i="13"/>
  <c r="T97" i="13" s="1"/>
  <c r="AD97" i="13" s="1"/>
  <c r="AE97" i="13" s="1"/>
  <c r="N97" i="8" s="1"/>
  <c r="S96" i="13"/>
  <c r="T96" i="13" s="1"/>
  <c r="AD96" i="13" s="1"/>
  <c r="AE96" i="13" s="1"/>
  <c r="N96" i="8" s="1"/>
  <c r="S93" i="13"/>
  <c r="T93" i="13" s="1"/>
  <c r="AD93" i="13" s="1"/>
  <c r="AE93" i="13" s="1"/>
  <c r="N93" i="8" s="1"/>
  <c r="S94" i="13"/>
  <c r="T94" i="13" s="1"/>
  <c r="AD94" i="13" s="1"/>
  <c r="AE94" i="13" s="1"/>
  <c r="N94" i="8" s="1"/>
  <c r="S91" i="13"/>
  <c r="T91" i="13" s="1"/>
  <c r="AD91" i="13" s="1"/>
  <c r="AE91" i="13" s="1"/>
  <c r="N91" i="8" s="1"/>
  <c r="S92" i="13"/>
  <c r="T92" i="13" s="1"/>
  <c r="AD92" i="13" s="1"/>
  <c r="AE92" i="13" s="1"/>
  <c r="N92" i="8" s="1"/>
  <c r="S89" i="13"/>
  <c r="T89" i="13" s="1"/>
  <c r="AE89" i="13" s="1"/>
  <c r="N89" i="8" s="1"/>
  <c r="S90" i="13"/>
  <c r="T90" i="13" s="1"/>
  <c r="AE90" i="13" s="1"/>
  <c r="N90" i="8" s="1"/>
  <c r="L90" i="18"/>
  <c r="M90" i="18" s="1"/>
  <c r="L89" i="18"/>
  <c r="M89" i="18" s="1"/>
  <c r="S87" i="13"/>
  <c r="T87" i="13" s="1"/>
  <c r="AE87" i="13" s="1"/>
  <c r="N87" i="8" s="1"/>
  <c r="S88" i="13"/>
  <c r="T88" i="13" s="1"/>
  <c r="AE88" i="13" s="1"/>
  <c r="N88" i="8" s="1"/>
  <c r="S85" i="13"/>
  <c r="T85" i="13" s="1"/>
  <c r="AD85" i="13" s="1"/>
  <c r="AE85" i="13" s="1"/>
  <c r="N85" i="8" s="1"/>
  <c r="S86" i="13"/>
  <c r="T86" i="13" s="1"/>
  <c r="AD86" i="13" s="1"/>
  <c r="AE86" i="13" s="1"/>
  <c r="N86" i="8" s="1"/>
  <c r="S84" i="13"/>
  <c r="T84" i="13" s="1"/>
  <c r="AD84" i="13" s="1"/>
  <c r="AE84" i="13" s="1"/>
  <c r="N84" i="8" s="1"/>
  <c r="S82" i="13"/>
  <c r="T82" i="13" s="1"/>
  <c r="AD82" i="13" s="1"/>
  <c r="AE82" i="13" s="1"/>
  <c r="N82" i="8" s="1"/>
  <c r="S81" i="13"/>
  <c r="T81" i="13" s="1"/>
  <c r="AE81" i="13" s="1"/>
  <c r="N81" i="8" s="1"/>
  <c r="S83" i="13"/>
  <c r="T83" i="13" s="1"/>
  <c r="AD83" i="13" s="1"/>
  <c r="AE83" i="13" s="1"/>
  <c r="N83" i="8" s="1"/>
  <c r="S79" i="13"/>
  <c r="T79" i="13" s="1"/>
  <c r="AD79" i="13" s="1"/>
  <c r="AE79" i="13" s="1"/>
  <c r="N79" i="8" s="1"/>
  <c r="S80" i="13"/>
  <c r="T80" i="13" s="1"/>
  <c r="AE80" i="13" s="1"/>
  <c r="N80" i="8" s="1"/>
  <c r="S77" i="13"/>
  <c r="T77" i="13" s="1"/>
  <c r="AE77" i="13" s="1"/>
  <c r="N77" i="8" s="1"/>
  <c r="S78" i="13"/>
  <c r="T78" i="13" s="1"/>
  <c r="AD78" i="13" s="1"/>
  <c r="AE78" i="13" s="1"/>
  <c r="N78" i="8" s="1"/>
  <c r="S75" i="13"/>
  <c r="T75" i="13" s="1"/>
  <c r="AD75" i="13" s="1"/>
  <c r="AE75" i="13" s="1"/>
  <c r="N75" i="8" s="1"/>
  <c r="S76" i="13"/>
  <c r="T76" i="13" s="1"/>
  <c r="AD76" i="13" s="1"/>
  <c r="AE76" i="13" s="1"/>
  <c r="N76" i="8" s="1"/>
  <c r="S73" i="13"/>
  <c r="T73" i="13" s="1"/>
  <c r="AE73" i="13" s="1"/>
  <c r="N73" i="8" s="1"/>
  <c r="S74" i="13"/>
  <c r="T74" i="13" s="1"/>
  <c r="AD74" i="13" s="1"/>
  <c r="AE74" i="13" s="1"/>
  <c r="N74" i="8" s="1"/>
  <c r="S71" i="13"/>
  <c r="T71" i="13" s="1"/>
  <c r="AD71" i="13" s="1"/>
  <c r="AE71" i="13" s="1"/>
  <c r="N71" i="8" s="1"/>
  <c r="S72" i="13"/>
  <c r="T72" i="13" s="1"/>
  <c r="AE72" i="13" s="1"/>
  <c r="N72" i="8" s="1"/>
  <c r="S69" i="13"/>
  <c r="T69" i="13" s="1"/>
  <c r="AE69" i="13" s="1"/>
  <c r="N69" i="8" s="1"/>
  <c r="S70" i="13"/>
  <c r="T70" i="13" s="1"/>
  <c r="AE70" i="13" s="1"/>
  <c r="N70" i="8" s="1"/>
  <c r="L70" i="18"/>
  <c r="M70" i="18" s="1"/>
  <c r="L69" i="18"/>
  <c r="M69" i="18" s="1"/>
  <c r="S46" i="13"/>
  <c r="T46" i="13" s="1"/>
  <c r="AE46" i="13" s="1"/>
  <c r="N46" i="8" s="1"/>
  <c r="S63" i="13"/>
  <c r="T63" i="13" s="1"/>
  <c r="AE63" i="13" s="1"/>
  <c r="N63" i="8" s="1"/>
  <c r="S68" i="13"/>
  <c r="T68" i="13" s="1"/>
  <c r="AE68" i="13" s="1"/>
  <c r="N68" i="8" s="1"/>
  <c r="S37" i="13"/>
  <c r="T37" i="13" s="1"/>
  <c r="AD37" i="13" s="1"/>
  <c r="AE37" i="13" s="1"/>
  <c r="N37" i="8" s="1"/>
  <c r="L68" i="18"/>
  <c r="M68" i="18" s="1"/>
  <c r="S66" i="13"/>
  <c r="T66" i="13" s="1"/>
  <c r="AD66" i="13" s="1"/>
  <c r="AE66" i="13" s="1"/>
  <c r="N66" i="8" s="1"/>
  <c r="S67" i="13"/>
  <c r="T67" i="13" s="1"/>
  <c r="AE67" i="13" s="1"/>
  <c r="N67" i="8" s="1"/>
  <c r="L67" i="18"/>
  <c r="M67" i="18" s="1"/>
  <c r="S64" i="13"/>
  <c r="T64" i="13" s="1"/>
  <c r="AE64" i="13" s="1"/>
  <c r="N64" i="8" s="1"/>
  <c r="S65" i="13"/>
  <c r="T65" i="13" s="1"/>
  <c r="AE65" i="13" s="1"/>
  <c r="N65" i="8" s="1"/>
  <c r="S61" i="13"/>
  <c r="T61" i="13" s="1"/>
  <c r="AE61" i="13" s="1"/>
  <c r="N61" i="8" s="1"/>
  <c r="S62" i="13"/>
  <c r="T62" i="13" s="1"/>
  <c r="AE62" i="13" s="1"/>
  <c r="N62" i="8" s="1"/>
  <c r="L60" i="18"/>
  <c r="M60" i="18" s="1"/>
  <c r="L53" i="18"/>
  <c r="M53" i="18" s="1"/>
  <c r="L49" i="18"/>
  <c r="M49" i="18" s="1"/>
  <c r="L48" i="18"/>
  <c r="M48" i="18" s="1"/>
  <c r="P60" i="8"/>
  <c r="L59" i="18"/>
  <c r="M59" i="18" s="1"/>
  <c r="L58" i="18"/>
  <c r="M58" i="18" s="1"/>
  <c r="L55" i="18"/>
  <c r="M55" i="18" s="1"/>
  <c r="L54" i="18"/>
  <c r="M54" i="18" s="1"/>
  <c r="L51" i="18"/>
  <c r="M51" i="18" s="1"/>
  <c r="L36" i="18"/>
  <c r="M36" i="18" s="1"/>
  <c r="L40" i="18"/>
  <c r="M40" i="18" s="1"/>
  <c r="S59" i="13"/>
  <c r="T59" i="13" s="1"/>
  <c r="AE59" i="13" s="1"/>
  <c r="N59" i="8" s="1"/>
  <c r="S60" i="13"/>
  <c r="T60" i="13" s="1"/>
  <c r="AE60" i="13" s="1"/>
  <c r="N60" i="8" s="1"/>
  <c r="S57" i="13"/>
  <c r="T57" i="13" s="1"/>
  <c r="AE57" i="13" s="1"/>
  <c r="N57" i="8" s="1"/>
  <c r="S58" i="13"/>
  <c r="T58" i="13" s="1"/>
  <c r="AE58" i="13" s="1"/>
  <c r="N58" i="8" s="1"/>
  <c r="S55" i="13"/>
  <c r="T55" i="13" s="1"/>
  <c r="AE55" i="13" s="1"/>
  <c r="N55" i="8" s="1"/>
  <c r="S56" i="13"/>
  <c r="T56" i="13" s="1"/>
  <c r="AE56" i="13" s="1"/>
  <c r="N56" i="8" s="1"/>
  <c r="S53" i="13"/>
  <c r="T53" i="13" s="1"/>
  <c r="AE53" i="13" s="1"/>
  <c r="N53" i="8" s="1"/>
  <c r="S54" i="13"/>
  <c r="T54" i="13" s="1"/>
  <c r="AE54" i="13" s="1"/>
  <c r="N54" i="8" s="1"/>
  <c r="S51" i="13"/>
  <c r="T51" i="13" s="1"/>
  <c r="AD51" i="13" s="1"/>
  <c r="AE51" i="13" s="1"/>
  <c r="N51" i="8" s="1"/>
  <c r="S52" i="13"/>
  <c r="T52" i="13" s="1"/>
  <c r="AD52" i="13" s="1"/>
  <c r="AE52" i="13" s="1"/>
  <c r="N52" i="8" s="1"/>
  <c r="S49" i="13"/>
  <c r="T49" i="13" s="1"/>
  <c r="AE49" i="13" s="1"/>
  <c r="N49" i="8" s="1"/>
  <c r="S50" i="13"/>
  <c r="T50" i="13" s="1"/>
  <c r="AD50" i="13" s="1"/>
  <c r="AE50" i="13" s="1"/>
  <c r="N50" i="8" s="1"/>
  <c r="S47" i="13"/>
  <c r="T47" i="13" s="1"/>
  <c r="AE47" i="13" s="1"/>
  <c r="N47" i="8" s="1"/>
  <c r="S48" i="13"/>
  <c r="T48" i="13" s="1"/>
  <c r="AE48" i="13" s="1"/>
  <c r="N48" i="8" s="1"/>
  <c r="S44" i="13"/>
  <c r="T44" i="13" s="1"/>
  <c r="AE44" i="13" s="1"/>
  <c r="N44" i="8" s="1"/>
  <c r="S45" i="13"/>
  <c r="T45" i="13" s="1"/>
  <c r="AE45" i="13" s="1"/>
  <c r="N45" i="8" s="1"/>
  <c r="S42" i="13"/>
  <c r="T42" i="13" s="1"/>
  <c r="AE42" i="13" s="1"/>
  <c r="N42" i="8" s="1"/>
  <c r="S43" i="13"/>
  <c r="T43" i="13" s="1"/>
  <c r="AD43" i="13" s="1"/>
  <c r="AE43" i="13" s="1"/>
  <c r="N43" i="8" s="1"/>
  <c r="S36" i="13"/>
  <c r="T36" i="13" s="1"/>
  <c r="AE36" i="13" s="1"/>
  <c r="N36" i="8" s="1"/>
  <c r="S41" i="13"/>
  <c r="T41" i="13" s="1"/>
  <c r="AD41" i="13" s="1"/>
  <c r="AE41" i="13" s="1"/>
  <c r="N41" i="8" s="1"/>
  <c r="S40" i="13"/>
  <c r="T40" i="13" s="1"/>
  <c r="AE40" i="13" s="1"/>
  <c r="N40" i="8" s="1"/>
  <c r="S34" i="13"/>
  <c r="T34" i="13" s="1"/>
  <c r="AD34" i="13" s="1"/>
  <c r="S38" i="13"/>
  <c r="T38" i="13" s="1"/>
  <c r="AE38" i="13" s="1"/>
  <c r="N38" i="8" s="1"/>
  <c r="S39" i="13"/>
  <c r="T39" i="13" s="1"/>
  <c r="AE39" i="13" s="1"/>
  <c r="N39" i="8" s="1"/>
  <c r="AB31" i="13"/>
  <c r="AC31" i="13" s="1"/>
  <c r="AA31" i="14" s="1"/>
  <c r="S31" i="13"/>
  <c r="T31" i="13" s="1"/>
  <c r="S32" i="13"/>
  <c r="T32" i="13" s="1"/>
  <c r="S33" i="13"/>
  <c r="T33" i="13" s="1"/>
  <c r="Y501" i="8"/>
  <c r="C5" i="9"/>
  <c r="Q5" i="9"/>
  <c r="P5" i="9"/>
  <c r="D5" i="9"/>
  <c r="AD252" i="13" l="1"/>
  <c r="AE252" i="13" s="1"/>
  <c r="N252" i="8" s="1"/>
  <c r="AD113" i="13"/>
  <c r="AE113" i="13" s="1"/>
  <c r="N113" i="8" s="1"/>
  <c r="AE34" i="13"/>
  <c r="N34" i="8" s="1"/>
  <c r="AD33" i="13"/>
  <c r="AE33" i="13" s="1"/>
  <c r="N33" i="8" s="1"/>
  <c r="AD32" i="13"/>
  <c r="AE32" i="13" s="1"/>
  <c r="N32" i="8" s="1"/>
  <c r="Z31" i="14"/>
  <c r="AD31" i="13"/>
  <c r="AE31" i="13" s="1"/>
  <c r="T501" i="13"/>
  <c r="P501" i="9"/>
  <c r="K501" i="9"/>
  <c r="N31" i="8" l="1"/>
  <c r="AE501" i="13"/>
  <c r="H501" i="9" l="1"/>
  <c r="N501" i="8"/>
  <c r="M501" i="9" l="1"/>
  <c r="A31" i="13" l="1"/>
  <c r="R33" i="14"/>
  <c r="R31" i="14"/>
  <c r="R32" i="14"/>
  <c r="AB33" i="14" l="1"/>
  <c r="AC33" i="14" s="1"/>
  <c r="AB32" i="14"/>
  <c r="AC32" i="14" s="1"/>
  <c r="M33" i="18"/>
  <c r="AB31" i="14"/>
  <c r="R501" i="14"/>
  <c r="L196" i="18" l="1"/>
  <c r="M196" i="18" s="1"/>
  <c r="L379" i="18"/>
  <c r="M379" i="18" s="1"/>
  <c r="L189" i="18"/>
  <c r="M189" i="18" s="1"/>
  <c r="L190" i="18"/>
  <c r="M190" i="18" s="1"/>
  <c r="L150" i="18"/>
  <c r="M150" i="18" s="1"/>
  <c r="L188" i="18"/>
  <c r="M188" i="18" s="1"/>
  <c r="L87" i="18"/>
  <c r="M87" i="18" s="1"/>
  <c r="L143" i="18"/>
  <c r="M143" i="18" s="1"/>
  <c r="P33" i="8"/>
  <c r="L61" i="18"/>
  <c r="M61" i="18" s="1"/>
  <c r="P32" i="8"/>
  <c r="L32" i="18"/>
  <c r="AB501" i="14"/>
  <c r="AC31" i="14"/>
  <c r="L375" i="18" l="1"/>
  <c r="M375" i="18" s="1"/>
  <c r="L376" i="18"/>
  <c r="M376" i="18" s="1"/>
  <c r="L378" i="18"/>
  <c r="M378" i="18" s="1"/>
  <c r="L374" i="18"/>
  <c r="M374" i="18" s="1"/>
  <c r="L385" i="18"/>
  <c r="M385" i="18" s="1"/>
  <c r="L377" i="18"/>
  <c r="M377" i="18" s="1"/>
  <c r="L373" i="18"/>
  <c r="M373" i="18" s="1"/>
  <c r="L372" i="18"/>
  <c r="M372" i="18" s="1"/>
  <c r="L391" i="18"/>
  <c r="M391" i="18" s="1"/>
  <c r="L392" i="18"/>
  <c r="M392" i="18" s="1"/>
  <c r="L358" i="18"/>
  <c r="M358" i="18" s="1"/>
  <c r="L363" i="18"/>
  <c r="M363" i="18" s="1"/>
  <c r="L364" i="18"/>
  <c r="M364" i="18" s="1"/>
  <c r="L368" i="18"/>
  <c r="M368" i="18" s="1"/>
  <c r="L367" i="18"/>
  <c r="M367" i="18" s="1"/>
  <c r="L274" i="18"/>
  <c r="M274" i="18" s="1"/>
  <c r="L261" i="18"/>
  <c r="M261" i="18" s="1"/>
  <c r="L262" i="18"/>
  <c r="M262" i="18" s="1"/>
  <c r="L256" i="18"/>
  <c r="M256" i="18" s="1"/>
  <c r="L257" i="18"/>
  <c r="M257" i="18" s="1"/>
  <c r="L233" i="18"/>
  <c r="M233" i="18" s="1"/>
  <c r="L242" i="18"/>
  <c r="M242" i="18" s="1"/>
  <c r="L243" i="18"/>
  <c r="M243" i="18" s="1"/>
  <c r="L239" i="18"/>
  <c r="M239" i="18" s="1"/>
  <c r="L235" i="18"/>
  <c r="M235" i="18" s="1"/>
  <c r="L241" i="18"/>
  <c r="M241" i="18" s="1"/>
  <c r="L218" i="18"/>
  <c r="M218" i="18" s="1"/>
  <c r="L232" i="18"/>
  <c r="M232" i="18" s="1"/>
  <c r="L215" i="18"/>
  <c r="M215" i="18" s="1"/>
  <c r="L217" i="18"/>
  <c r="M217" i="18" s="1"/>
  <c r="L204" i="18"/>
  <c r="M204" i="18" s="1"/>
  <c r="L205" i="18"/>
  <c r="M205" i="18" s="1"/>
  <c r="L199" i="18"/>
  <c r="M199" i="18" s="1"/>
  <c r="L203" i="18"/>
  <c r="M203" i="18" s="1"/>
  <c r="L186" i="18"/>
  <c r="M186" i="18" s="1"/>
  <c r="L191" i="18"/>
  <c r="M191" i="18" s="1"/>
  <c r="L175" i="18"/>
  <c r="M175" i="18" s="1"/>
  <c r="L177" i="18"/>
  <c r="M177" i="18" s="1"/>
  <c r="L160" i="18"/>
  <c r="M160" i="18" s="1"/>
  <c r="L166" i="18"/>
  <c r="M166" i="18" s="1"/>
  <c r="L144" i="18"/>
  <c r="M144" i="18" s="1"/>
  <c r="L152" i="18"/>
  <c r="M152" i="18" s="1"/>
  <c r="L136" i="18"/>
  <c r="M136" i="18" s="1"/>
  <c r="L137" i="18"/>
  <c r="M137" i="18" s="1"/>
  <c r="L134" i="18"/>
  <c r="M134" i="18" s="1"/>
  <c r="L135" i="18"/>
  <c r="M135" i="18" s="1"/>
  <c r="L132" i="18"/>
  <c r="M132" i="18" s="1"/>
  <c r="L133" i="18"/>
  <c r="M133" i="18" s="1"/>
  <c r="L130" i="18"/>
  <c r="M130" i="18" s="1"/>
  <c r="L131" i="18"/>
  <c r="M131" i="18" s="1"/>
  <c r="L102" i="18"/>
  <c r="M102" i="18" s="1"/>
  <c r="L109" i="18"/>
  <c r="M109" i="18" s="1"/>
  <c r="L95" i="18"/>
  <c r="M95" i="18" s="1"/>
  <c r="L101" i="18"/>
  <c r="M101" i="18" s="1"/>
  <c r="L81" i="18"/>
  <c r="M81" i="18" s="1"/>
  <c r="L88" i="18"/>
  <c r="M88" i="18" s="1"/>
  <c r="L65" i="18"/>
  <c r="M65" i="18" s="1"/>
  <c r="L46" i="18"/>
  <c r="M46" i="18" s="1"/>
  <c r="L57" i="18"/>
  <c r="M57" i="18" s="1"/>
  <c r="L64" i="18"/>
  <c r="M64" i="18" s="1"/>
  <c r="L44" i="18"/>
  <c r="M44" i="18" s="1"/>
  <c r="L56" i="18"/>
  <c r="M56" i="18" s="1"/>
  <c r="L39" i="18"/>
  <c r="M39" i="18" s="1"/>
  <c r="L38" i="18"/>
  <c r="M38" i="18" s="1"/>
  <c r="M32" i="18"/>
  <c r="L31" i="18"/>
  <c r="M31" i="18" s="1"/>
  <c r="M34" i="18"/>
  <c r="P31" i="8"/>
  <c r="P501" i="8" s="1"/>
  <c r="AC501" i="14"/>
  <c r="AD407" i="14" s="1"/>
  <c r="AD405" i="14" l="1"/>
  <c r="AD406" i="14"/>
  <c r="AD403" i="14"/>
  <c r="AD404" i="14"/>
  <c r="AD401" i="14"/>
  <c r="AD402" i="14"/>
  <c r="AD399" i="14"/>
  <c r="AD400" i="14"/>
  <c r="AD397" i="14"/>
  <c r="AD398" i="14"/>
  <c r="AD384" i="14"/>
  <c r="AD396" i="14"/>
  <c r="AD377" i="14"/>
  <c r="AD383" i="14"/>
  <c r="AD381" i="14"/>
  <c r="AD389" i="14"/>
  <c r="AD393" i="14"/>
  <c r="AD390" i="14"/>
  <c r="AD380" i="14"/>
  <c r="AD386" i="14"/>
  <c r="AD388" i="14"/>
  <c r="AD373" i="14"/>
  <c r="AD372" i="14"/>
  <c r="AD379" i="14"/>
  <c r="AD371" i="14"/>
  <c r="AD391" i="14"/>
  <c r="AD385" i="14"/>
  <c r="AD378" i="14"/>
  <c r="AD392" i="14"/>
  <c r="AD382" i="14"/>
  <c r="AD374" i="14"/>
  <c r="AD375" i="14"/>
  <c r="AD376" i="14"/>
  <c r="AD387" i="14"/>
  <c r="AD394" i="14"/>
  <c r="AD322" i="14"/>
  <c r="AD320" i="14"/>
  <c r="AD293" i="14"/>
  <c r="AD350" i="14"/>
  <c r="AD357" i="14"/>
  <c r="AD349" i="14"/>
  <c r="AD368" i="14"/>
  <c r="AD306" i="14"/>
  <c r="AD317" i="14"/>
  <c r="AD340" i="14"/>
  <c r="AD303" i="14"/>
  <c r="AD304" i="14"/>
  <c r="AD345" i="14"/>
  <c r="AD370" i="14"/>
  <c r="AD348" i="14"/>
  <c r="AD310" i="14"/>
  <c r="AD336" i="14"/>
  <c r="AD330" i="14"/>
  <c r="AD285" i="14"/>
  <c r="AD284" i="14"/>
  <c r="AD305" i="14"/>
  <c r="AD314" i="14"/>
  <c r="AD321" i="14"/>
  <c r="AD342" i="14"/>
  <c r="AD354" i="14"/>
  <c r="AD283" i="14"/>
  <c r="AD279" i="14"/>
  <c r="AD297" i="14"/>
  <c r="AD307" i="14"/>
  <c r="AD287" i="14"/>
  <c r="AD308" i="14"/>
  <c r="AD367" i="14"/>
  <c r="AD344" i="14"/>
  <c r="AD360" i="14"/>
  <c r="AD266" i="14"/>
  <c r="AD278" i="14"/>
  <c r="AD295" i="14"/>
  <c r="AD326" i="14"/>
  <c r="AD319" i="14"/>
  <c r="AD332" i="14"/>
  <c r="AD335" i="14"/>
  <c r="AD274" i="14"/>
  <c r="AD272" i="14"/>
  <c r="AD268" i="14"/>
  <c r="AD311" i="14"/>
  <c r="AD323" i="14"/>
  <c r="AD290" i="14"/>
  <c r="AD327" i="14"/>
  <c r="AD359" i="14"/>
  <c r="AD338" i="14"/>
  <c r="AD343" i="14"/>
  <c r="AD270" i="14"/>
  <c r="AD276" i="14"/>
  <c r="AD282" i="14"/>
  <c r="AD289" i="14"/>
  <c r="AD300" i="14"/>
  <c r="AD329" i="14"/>
  <c r="AD358" i="14"/>
  <c r="AD292" i="14"/>
  <c r="AD291" i="14"/>
  <c r="AD296" i="14"/>
  <c r="AD339" i="14"/>
  <c r="AD341" i="14"/>
  <c r="AD364" i="14"/>
  <c r="AD281" i="14"/>
  <c r="AD269" i="14"/>
  <c r="AD288" i="14"/>
  <c r="AD347" i="14"/>
  <c r="AD337" i="14"/>
  <c r="AD346" i="14"/>
  <c r="AD280" i="14"/>
  <c r="AD325" i="14"/>
  <c r="AD316" i="14"/>
  <c r="AD312" i="14"/>
  <c r="AD313" i="14"/>
  <c r="AD352" i="14"/>
  <c r="AD356" i="14"/>
  <c r="AD334" i="14"/>
  <c r="AD324" i="14"/>
  <c r="AD294" i="14"/>
  <c r="AD355" i="14"/>
  <c r="AD369" i="14"/>
  <c r="AD267" i="14"/>
  <c r="AD277" i="14"/>
  <c r="AD265" i="14"/>
  <c r="AD302" i="14"/>
  <c r="AD299" i="14"/>
  <c r="AD363" i="14"/>
  <c r="AD351" i="14"/>
  <c r="AD271" i="14"/>
  <c r="AD298" i="14"/>
  <c r="AD318" i="14"/>
  <c r="AD286" i="14"/>
  <c r="AD315" i="14"/>
  <c r="AD328" i="14"/>
  <c r="AD333" i="14"/>
  <c r="AD273" i="14"/>
  <c r="AD264" i="14"/>
  <c r="AD309" i="14"/>
  <c r="AD331" i="14"/>
  <c r="AD362" i="14"/>
  <c r="AD262" i="14"/>
  <c r="AD263" i="14"/>
  <c r="AD260" i="14"/>
  <c r="AD261" i="14"/>
  <c r="AD259" i="14"/>
  <c r="AD258" i="14"/>
  <c r="AD256" i="14"/>
  <c r="AD257" i="14"/>
  <c r="AD254" i="14"/>
  <c r="AD255" i="14"/>
  <c r="AD233" i="14"/>
  <c r="AD242" i="14"/>
  <c r="AD234" i="14"/>
  <c r="AD249" i="14"/>
  <c r="AD253" i="14"/>
  <c r="AD237" i="14"/>
  <c r="AD236" i="14"/>
  <c r="AD239" i="14"/>
  <c r="AD247" i="14"/>
  <c r="AD238" i="14"/>
  <c r="AD250" i="14"/>
  <c r="AD248" i="14"/>
  <c r="AD244" i="14"/>
  <c r="AD240" i="14"/>
  <c r="AD251" i="14"/>
  <c r="AD241" i="14"/>
  <c r="AD252" i="14"/>
  <c r="AD243" i="14"/>
  <c r="AD246" i="14"/>
  <c r="AD245" i="14"/>
  <c r="AD235" i="14"/>
  <c r="AD231" i="14"/>
  <c r="AD232" i="14"/>
  <c r="AD229" i="14"/>
  <c r="AD230" i="14"/>
  <c r="AD227" i="14"/>
  <c r="AD228" i="14"/>
  <c r="AD225" i="14"/>
  <c r="AD226" i="14"/>
  <c r="AD223" i="14"/>
  <c r="AD224" i="14"/>
  <c r="AD221" i="14"/>
  <c r="AD222" i="14"/>
  <c r="AD219" i="14"/>
  <c r="AD220" i="14"/>
  <c r="AD217" i="14"/>
  <c r="AD218" i="14"/>
  <c r="AD215" i="14"/>
  <c r="AD216" i="14"/>
  <c r="AD213" i="14"/>
  <c r="AD214" i="14"/>
  <c r="AD211" i="14"/>
  <c r="AD212" i="14"/>
  <c r="AD209" i="14"/>
  <c r="AD210" i="14"/>
  <c r="AD207" i="14"/>
  <c r="AD208" i="14"/>
  <c r="AD205" i="14"/>
  <c r="AD206" i="14"/>
  <c r="AD203" i="14"/>
  <c r="AD204" i="14"/>
  <c r="AD201" i="14"/>
  <c r="AD202" i="14"/>
  <c r="AD199" i="14"/>
  <c r="AD200" i="14"/>
  <c r="AD197" i="14"/>
  <c r="AD198" i="14"/>
  <c r="AD195" i="14"/>
  <c r="AD196" i="14"/>
  <c r="AD193" i="14"/>
  <c r="AD194" i="14"/>
  <c r="AD191" i="14"/>
  <c r="AD192" i="14"/>
  <c r="AD189" i="14"/>
  <c r="AD190" i="14"/>
  <c r="AD187" i="14"/>
  <c r="AD188" i="14"/>
  <c r="AD185" i="14"/>
  <c r="AD186" i="14"/>
  <c r="AD183" i="14"/>
  <c r="AD184" i="14"/>
  <c r="AD181" i="14"/>
  <c r="AD182" i="14"/>
  <c r="AD180" i="14"/>
  <c r="AD174" i="14"/>
  <c r="AD178" i="14"/>
  <c r="AD179" i="14"/>
  <c r="AD176" i="14"/>
  <c r="AD177" i="14"/>
  <c r="AD173" i="14"/>
  <c r="AD175" i="14"/>
  <c r="AD171" i="14"/>
  <c r="AD172" i="14"/>
  <c r="AD169" i="14"/>
  <c r="AD170" i="14"/>
  <c r="AD167" i="14"/>
  <c r="AD168" i="14"/>
  <c r="AD165" i="14"/>
  <c r="AD166" i="14"/>
  <c r="AD163" i="14"/>
  <c r="AD164" i="14"/>
  <c r="AD161" i="14"/>
  <c r="AD162" i="14"/>
  <c r="AD159" i="14"/>
  <c r="AD160" i="14"/>
  <c r="AD157" i="14"/>
  <c r="AD158" i="14"/>
  <c r="AD155" i="14"/>
  <c r="AD156" i="14"/>
  <c r="AD153" i="14"/>
  <c r="AD154" i="14"/>
  <c r="AD151" i="14"/>
  <c r="AD152" i="14"/>
  <c r="AD149" i="14"/>
  <c r="AD150" i="14"/>
  <c r="AD147" i="14"/>
  <c r="AD148" i="14"/>
  <c r="AD145" i="14"/>
  <c r="AD146" i="14"/>
  <c r="AD143" i="14"/>
  <c r="AD144" i="14"/>
  <c r="AD141" i="14"/>
  <c r="AD142" i="14"/>
  <c r="AD139" i="14"/>
  <c r="AD140" i="14"/>
  <c r="AD137" i="14"/>
  <c r="AD138" i="14"/>
  <c r="AD135" i="14"/>
  <c r="AD136" i="14"/>
  <c r="AD133" i="14"/>
  <c r="AD134" i="14"/>
  <c r="AD131" i="14"/>
  <c r="AD132" i="14"/>
  <c r="AD129" i="14"/>
  <c r="AD130" i="14"/>
  <c r="AD127" i="14"/>
  <c r="AD128" i="14"/>
  <c r="AD35" i="14"/>
  <c r="AD126" i="14"/>
  <c r="AD124" i="14"/>
  <c r="AD125" i="14"/>
  <c r="AD122" i="14"/>
  <c r="AD123" i="14"/>
  <c r="AD120" i="14"/>
  <c r="AD121" i="14"/>
  <c r="AD118" i="14"/>
  <c r="AD119" i="14"/>
  <c r="AD116" i="14"/>
  <c r="AD117" i="14"/>
  <c r="AD114" i="14"/>
  <c r="AD115" i="14"/>
  <c r="AD112" i="14"/>
  <c r="AD113" i="14"/>
  <c r="AD110" i="14"/>
  <c r="AD111" i="14"/>
  <c r="AD108" i="14"/>
  <c r="AD109" i="14"/>
  <c r="AD106" i="14"/>
  <c r="AD107" i="14"/>
  <c r="AD105" i="14"/>
  <c r="AD98" i="14"/>
  <c r="AD103" i="14"/>
  <c r="AD104" i="14"/>
  <c r="AD101" i="14"/>
  <c r="AD102" i="14"/>
  <c r="AD99" i="14"/>
  <c r="AD100" i="14"/>
  <c r="AD95" i="14"/>
  <c r="AD97" i="14"/>
  <c r="AD96" i="14"/>
  <c r="AD93" i="14"/>
  <c r="AD94" i="14"/>
  <c r="AD91" i="14"/>
  <c r="AD92" i="14"/>
  <c r="AD89" i="14"/>
  <c r="AD90" i="14"/>
  <c r="AD87" i="14"/>
  <c r="AD88" i="14"/>
  <c r="AD85" i="14"/>
  <c r="AD86" i="14"/>
  <c r="AD84" i="14"/>
  <c r="AD82" i="14"/>
  <c r="AD81" i="14"/>
  <c r="AD83" i="14"/>
  <c r="AD79" i="14"/>
  <c r="AD80" i="14"/>
  <c r="AD77" i="14"/>
  <c r="AD78" i="14"/>
  <c r="AD75" i="14"/>
  <c r="AD76" i="14"/>
  <c r="AD73" i="14"/>
  <c r="AD74" i="14"/>
  <c r="AD71" i="14"/>
  <c r="AD72" i="14"/>
  <c r="AD69" i="14"/>
  <c r="AD70" i="14"/>
  <c r="AD46" i="14"/>
  <c r="AD63" i="14"/>
  <c r="AD68" i="14"/>
  <c r="AD37" i="14"/>
  <c r="AD66" i="14"/>
  <c r="AD67" i="14"/>
  <c r="AD64" i="14"/>
  <c r="AD65" i="14"/>
  <c r="AD61" i="14"/>
  <c r="AD62" i="14"/>
  <c r="AD59" i="14"/>
  <c r="AD60" i="14"/>
  <c r="AD57" i="14"/>
  <c r="AD58" i="14"/>
  <c r="AD55" i="14"/>
  <c r="AD56" i="14"/>
  <c r="AD53" i="14"/>
  <c r="AD54" i="14"/>
  <c r="AD51" i="14"/>
  <c r="AD52" i="14"/>
  <c r="AD49" i="14"/>
  <c r="AD50" i="14"/>
  <c r="AD47" i="14"/>
  <c r="AD48" i="14"/>
  <c r="AD44" i="14"/>
  <c r="AD45" i="14"/>
  <c r="AD42" i="14"/>
  <c r="AD43" i="14"/>
  <c r="AD41" i="14"/>
  <c r="AD40" i="14"/>
  <c r="AD36" i="14"/>
  <c r="AD34" i="14"/>
  <c r="AD38" i="14"/>
  <c r="AD39" i="14"/>
  <c r="M501" i="18"/>
  <c r="AD31" i="14"/>
  <c r="AD33" i="14"/>
  <c r="AD32" i="14"/>
  <c r="N378" i="18" l="1"/>
  <c r="O378" i="18" s="1"/>
  <c r="Q378" i="8" s="1"/>
  <c r="N407" i="18"/>
  <c r="O407" i="18" s="1"/>
  <c r="Q407" i="8" s="1"/>
  <c r="N372" i="18"/>
  <c r="O372" i="18" s="1"/>
  <c r="Q372" i="8" s="1"/>
  <c r="N377" i="18"/>
  <c r="O377" i="18" s="1"/>
  <c r="Q377" i="8" s="1"/>
  <c r="N375" i="18"/>
  <c r="O375" i="18" s="1"/>
  <c r="Q375" i="8" s="1"/>
  <c r="N392" i="18"/>
  <c r="O392" i="18" s="1"/>
  <c r="Q392" i="8" s="1"/>
  <c r="N385" i="18"/>
  <c r="O385" i="18" s="1"/>
  <c r="Q385" i="8" s="1"/>
  <c r="N364" i="18"/>
  <c r="O364" i="18" s="1"/>
  <c r="Q364" i="8" s="1"/>
  <c r="N393" i="18"/>
  <c r="O393" i="18" s="1"/>
  <c r="Q393" i="8" s="1"/>
  <c r="N394" i="18"/>
  <c r="O394" i="18" s="1"/>
  <c r="Q394" i="8" s="1"/>
  <c r="N379" i="18"/>
  <c r="O379" i="18" s="1"/>
  <c r="Q379" i="8" s="1"/>
  <c r="N374" i="18"/>
  <c r="O374" i="18" s="1"/>
  <c r="Q374" i="8" s="1"/>
  <c r="N391" i="18"/>
  <c r="O391" i="18" s="1"/>
  <c r="Q391" i="8" s="1"/>
  <c r="N376" i="18"/>
  <c r="O376" i="18" s="1"/>
  <c r="Q376" i="8" s="1"/>
  <c r="N373" i="18"/>
  <c r="O373" i="18" s="1"/>
  <c r="Q373" i="8" s="1"/>
  <c r="N274" i="18"/>
  <c r="O274" i="18" s="1"/>
  <c r="Q274" i="8" s="1"/>
  <c r="N358" i="18"/>
  <c r="O358" i="18" s="1"/>
  <c r="Q358" i="8" s="1"/>
  <c r="N261" i="18"/>
  <c r="O261" i="18" s="1"/>
  <c r="Q261" i="8" s="1"/>
  <c r="N265" i="18"/>
  <c r="N268" i="18"/>
  <c r="O268" i="18" s="1"/>
  <c r="Q268" i="8" s="1"/>
  <c r="N267" i="18"/>
  <c r="N266" i="18"/>
  <c r="O266" i="18" s="1"/>
  <c r="Q266" i="8" s="1"/>
  <c r="N264" i="18"/>
  <c r="N270" i="18"/>
  <c r="O270" i="18" s="1"/>
  <c r="Q270" i="8" s="1"/>
  <c r="N355" i="18"/>
  <c r="O355" i="18" s="1"/>
  <c r="Q355" i="8" s="1"/>
  <c r="N273" i="18"/>
  <c r="O273" i="18" s="1"/>
  <c r="Q273" i="8" s="1"/>
  <c r="N272" i="18"/>
  <c r="O272" i="18" s="1"/>
  <c r="Q272" i="8" s="1"/>
  <c r="N281" i="18"/>
  <c r="O281" i="18" s="1"/>
  <c r="Q281" i="8" s="1"/>
  <c r="N352" i="18"/>
  <c r="O352" i="18" s="1"/>
  <c r="Q352" i="8" s="1"/>
  <c r="N277" i="18"/>
  <c r="O277" i="18" s="1"/>
  <c r="Q277" i="8" s="1"/>
  <c r="N280" i="18"/>
  <c r="O280" i="18" s="1"/>
  <c r="Q280" i="8" s="1"/>
  <c r="N350" i="18"/>
  <c r="O350" i="18" s="1"/>
  <c r="Q350" i="8" s="1"/>
  <c r="N276" i="18"/>
  <c r="O276" i="18" s="1"/>
  <c r="Q276" i="8" s="1"/>
  <c r="N349" i="18"/>
  <c r="O349" i="18" s="1"/>
  <c r="Q349" i="8" s="1"/>
  <c r="N357" i="18"/>
  <c r="O357" i="18" s="1"/>
  <c r="Q357" i="8" s="1"/>
  <c r="N271" i="18"/>
  <c r="O271" i="18" s="1"/>
  <c r="Q271" i="8" s="1"/>
  <c r="N269" i="18"/>
  <c r="O269" i="18" s="1"/>
  <c r="Q269" i="8" s="1"/>
  <c r="N279" i="18"/>
  <c r="O279" i="18" s="1"/>
  <c r="Q279" i="8" s="1"/>
  <c r="N360" i="18"/>
  <c r="O360" i="18" s="1"/>
  <c r="Q360" i="8" s="1"/>
  <c r="N367" i="18"/>
  <c r="O367" i="18" s="1"/>
  <c r="Q367" i="8" s="1"/>
  <c r="N363" i="18"/>
  <c r="O363" i="18" s="1"/>
  <c r="Q363" i="8" s="1"/>
  <c r="N368" i="18"/>
  <c r="O368" i="18" s="1"/>
  <c r="Q368" i="8" s="1"/>
  <c r="N262" i="18"/>
  <c r="O262" i="18" s="1"/>
  <c r="Q262" i="8" s="1"/>
  <c r="N257" i="18"/>
  <c r="O257" i="18" s="1"/>
  <c r="Q257" i="8" s="1"/>
  <c r="N222" i="18"/>
  <c r="O222" i="18" s="1"/>
  <c r="Q222" i="8" s="1"/>
  <c r="N239" i="18"/>
  <c r="O239" i="18" s="1"/>
  <c r="Q239" i="8" s="1"/>
  <c r="N256" i="18"/>
  <c r="O256" i="18" s="1"/>
  <c r="Q256" i="8" s="1"/>
  <c r="N243" i="18"/>
  <c r="O243" i="18" s="1"/>
  <c r="Q243" i="8" s="1"/>
  <c r="N252" i="18"/>
  <c r="O252" i="18" s="1"/>
  <c r="Q252" i="8" s="1"/>
  <c r="N236" i="18"/>
  <c r="O236" i="18" s="1"/>
  <c r="Q236" i="8" s="1"/>
  <c r="N253" i="18"/>
  <c r="O253" i="18" s="1"/>
  <c r="Q253" i="8" s="1"/>
  <c r="N240" i="18"/>
  <c r="O240" i="18" s="1"/>
  <c r="Q240" i="8" s="1"/>
  <c r="N251" i="18"/>
  <c r="O251" i="18" s="1"/>
  <c r="Q251" i="8" s="1"/>
  <c r="N250" i="18"/>
  <c r="O250" i="18" s="1"/>
  <c r="Q250" i="8" s="1"/>
  <c r="N235" i="18"/>
  <c r="O235" i="18" s="1"/>
  <c r="Q235" i="8" s="1"/>
  <c r="N242" i="18"/>
  <c r="O242" i="18" s="1"/>
  <c r="Q242" i="8" s="1"/>
  <c r="N241" i="18"/>
  <c r="O241" i="18" s="1"/>
  <c r="Q241" i="8" s="1"/>
  <c r="N232" i="18"/>
  <c r="O232" i="18" s="1"/>
  <c r="Q232" i="8" s="1"/>
  <c r="N233" i="18"/>
  <c r="O233" i="18" s="1"/>
  <c r="Q233" i="8" s="1"/>
  <c r="N225" i="18"/>
  <c r="O225" i="18" s="1"/>
  <c r="Q225" i="8" s="1"/>
  <c r="N229" i="18"/>
  <c r="O229" i="18" s="1"/>
  <c r="Q229" i="8" s="1"/>
  <c r="N217" i="18"/>
  <c r="O217" i="18" s="1"/>
  <c r="Q217" i="8" s="1"/>
  <c r="N218" i="18"/>
  <c r="O218" i="18" s="1"/>
  <c r="Q218" i="8" s="1"/>
  <c r="N213" i="18"/>
  <c r="O213" i="18" s="1"/>
  <c r="Q213" i="8" s="1"/>
  <c r="N215" i="18"/>
  <c r="O215" i="18" s="1"/>
  <c r="Q215" i="8" s="1"/>
  <c r="N207" i="18"/>
  <c r="O207" i="18" s="1"/>
  <c r="Q207" i="8" s="1"/>
  <c r="N211" i="18"/>
  <c r="O211" i="18" s="1"/>
  <c r="Q211" i="8" s="1"/>
  <c r="N205" i="18"/>
  <c r="O205" i="18" s="1"/>
  <c r="Q205" i="8" s="1"/>
  <c r="N206" i="18"/>
  <c r="O206" i="18" s="1"/>
  <c r="Q206" i="8" s="1"/>
  <c r="N203" i="18"/>
  <c r="O203" i="18" s="1"/>
  <c r="Q203" i="8" s="1"/>
  <c r="N204" i="18"/>
  <c r="O204" i="18" s="1"/>
  <c r="Q204" i="8" s="1"/>
  <c r="N198" i="18"/>
  <c r="O198" i="18" s="1"/>
  <c r="Q198" i="8" s="1"/>
  <c r="N199" i="18"/>
  <c r="O199" i="18" s="1"/>
  <c r="Q199" i="8" s="1"/>
  <c r="N193" i="18"/>
  <c r="O193" i="18" s="1"/>
  <c r="Q193" i="8" s="1"/>
  <c r="N196" i="18"/>
  <c r="O196" i="18" s="1"/>
  <c r="Q196" i="8" s="1"/>
  <c r="N190" i="18"/>
  <c r="O190" i="18" s="1"/>
  <c r="Q190" i="8" s="1"/>
  <c r="N192" i="18"/>
  <c r="O192" i="18" s="1"/>
  <c r="Q192" i="8" s="1"/>
  <c r="N191" i="18"/>
  <c r="O191" i="18" s="1"/>
  <c r="Q191" i="8" s="1"/>
  <c r="N188" i="18"/>
  <c r="O188" i="18" s="1"/>
  <c r="Q188" i="8" s="1"/>
  <c r="N189" i="18"/>
  <c r="O189" i="18" s="1"/>
  <c r="Q189" i="8" s="1"/>
  <c r="N184" i="18"/>
  <c r="O184" i="18" s="1"/>
  <c r="Q184" i="8" s="1"/>
  <c r="N186" i="18"/>
  <c r="O186" i="18" s="1"/>
  <c r="Q186" i="8" s="1"/>
  <c r="N175" i="18"/>
  <c r="O175" i="18" s="1"/>
  <c r="Q175" i="8" s="1"/>
  <c r="N174" i="18"/>
  <c r="O174" i="18" s="1"/>
  <c r="Q174" i="8" s="1"/>
  <c r="N177" i="18"/>
  <c r="O177" i="18" s="1"/>
  <c r="Q177" i="8" s="1"/>
  <c r="N170" i="18"/>
  <c r="O170" i="18" s="1"/>
  <c r="Q170" i="8" s="1"/>
  <c r="N173" i="18"/>
  <c r="O173" i="18" s="1"/>
  <c r="Q173" i="8" s="1"/>
  <c r="N165" i="18"/>
  <c r="O165" i="18" s="1"/>
  <c r="Q165" i="8" s="1"/>
  <c r="N169" i="18"/>
  <c r="O169" i="18" s="1"/>
  <c r="Q169" i="8" s="1"/>
  <c r="N166" i="18"/>
  <c r="O166" i="18" s="1"/>
  <c r="Q166" i="8" s="1"/>
  <c r="N152" i="18"/>
  <c r="O152" i="18" s="1"/>
  <c r="Q152" i="8" s="1"/>
  <c r="N160" i="18"/>
  <c r="O160" i="18" s="1"/>
  <c r="Q160" i="8" s="1"/>
  <c r="N150" i="18"/>
  <c r="O150" i="18" s="1"/>
  <c r="Q150" i="8" s="1"/>
  <c r="N151" i="18"/>
  <c r="O151" i="18" s="1"/>
  <c r="Q151" i="8" s="1"/>
  <c r="N146" i="18"/>
  <c r="O146" i="18" s="1"/>
  <c r="Q146" i="8" s="1"/>
  <c r="N149" i="18"/>
  <c r="O149" i="18" s="1"/>
  <c r="Q149" i="8" s="1"/>
  <c r="N144" i="18"/>
  <c r="O144" i="18" s="1"/>
  <c r="Q144" i="8" s="1"/>
  <c r="N145" i="18"/>
  <c r="O145" i="18" s="1"/>
  <c r="Q145" i="8" s="1"/>
  <c r="N137" i="18"/>
  <c r="O137" i="18" s="1"/>
  <c r="Q137" i="8" s="1"/>
  <c r="N143" i="18"/>
  <c r="O143" i="18" s="1"/>
  <c r="Q143" i="8" s="1"/>
  <c r="N135" i="18"/>
  <c r="O135" i="18" s="1"/>
  <c r="Q135" i="8" s="1"/>
  <c r="N136" i="18"/>
  <c r="O136" i="18" s="1"/>
  <c r="Q136" i="8" s="1"/>
  <c r="N133" i="18"/>
  <c r="O133" i="18" s="1"/>
  <c r="Q133" i="8" s="1"/>
  <c r="N134" i="18"/>
  <c r="O134" i="18" s="1"/>
  <c r="Q134" i="8" s="1"/>
  <c r="N131" i="18"/>
  <c r="O131" i="18" s="1"/>
  <c r="Q131" i="8" s="1"/>
  <c r="N132" i="18"/>
  <c r="O132" i="18" s="1"/>
  <c r="Q132" i="8" s="1"/>
  <c r="N126" i="18"/>
  <c r="O126" i="18" s="1"/>
  <c r="Q126" i="8" s="1"/>
  <c r="N130" i="18"/>
  <c r="O130" i="18" s="1"/>
  <c r="Q130" i="8" s="1"/>
  <c r="N123" i="18"/>
  <c r="O123" i="18" s="1"/>
  <c r="Q123" i="8" s="1"/>
  <c r="N35" i="18"/>
  <c r="O35" i="18" s="1"/>
  <c r="Q35" i="8" s="1"/>
  <c r="N113" i="18"/>
  <c r="O113" i="18" s="1"/>
  <c r="Q113" i="8" s="1"/>
  <c r="N115" i="18"/>
  <c r="O115" i="18" s="1"/>
  <c r="Q115" i="8" s="1"/>
  <c r="N111" i="18"/>
  <c r="O111" i="18" s="1"/>
  <c r="Q111" i="8" s="1"/>
  <c r="N112" i="18"/>
  <c r="O112" i="18" s="1"/>
  <c r="Q112" i="8" s="1"/>
  <c r="N109" i="18"/>
  <c r="O109" i="18" s="1"/>
  <c r="Q109" i="8" s="1"/>
  <c r="N110" i="18"/>
  <c r="O110" i="18" s="1"/>
  <c r="Q110" i="8" s="1"/>
  <c r="N103" i="18"/>
  <c r="O103" i="18" s="1"/>
  <c r="Q103" i="8" s="1"/>
  <c r="N105" i="18"/>
  <c r="O105" i="18" s="1"/>
  <c r="Q105" i="8" s="1"/>
  <c r="N101" i="18"/>
  <c r="O101" i="18" s="1"/>
  <c r="Q101" i="8" s="1"/>
  <c r="N102" i="18"/>
  <c r="O102" i="18" s="1"/>
  <c r="Q102" i="8" s="1"/>
  <c r="N90" i="18"/>
  <c r="O90" i="18" s="1"/>
  <c r="Q90" i="8" s="1"/>
  <c r="N95" i="18"/>
  <c r="O95" i="18" s="1"/>
  <c r="Q95" i="8" s="1"/>
  <c r="N88" i="18"/>
  <c r="O88" i="18" s="1"/>
  <c r="Q88" i="8" s="1"/>
  <c r="N89" i="18"/>
  <c r="O89" i="18" s="1"/>
  <c r="Q89" i="8" s="1"/>
  <c r="N81" i="18"/>
  <c r="O81" i="18" s="1"/>
  <c r="Q81" i="8" s="1"/>
  <c r="N87" i="18"/>
  <c r="O87" i="18" s="1"/>
  <c r="Q87" i="8" s="1"/>
  <c r="N72" i="18"/>
  <c r="O72" i="18" s="1"/>
  <c r="Q72" i="8" s="1"/>
  <c r="N80" i="18"/>
  <c r="O80" i="18" s="1"/>
  <c r="Q80" i="8" s="1"/>
  <c r="N69" i="18"/>
  <c r="O69" i="18" s="1"/>
  <c r="Q69" i="8" s="1"/>
  <c r="N70" i="18"/>
  <c r="O70" i="18" s="1"/>
  <c r="Q70" i="8" s="1"/>
  <c r="N46" i="18"/>
  <c r="O46" i="18" s="1"/>
  <c r="Q46" i="8" s="1"/>
  <c r="N63" i="18"/>
  <c r="O63" i="18" s="1"/>
  <c r="Q63" i="8" s="1"/>
  <c r="N67" i="18"/>
  <c r="O67" i="18" s="1"/>
  <c r="Q67" i="8" s="1"/>
  <c r="N68" i="18"/>
  <c r="O68" i="18" s="1"/>
  <c r="Q68" i="8" s="1"/>
  <c r="N62" i="18"/>
  <c r="O62" i="18" s="1"/>
  <c r="Q62" i="8" s="1"/>
  <c r="N65" i="18"/>
  <c r="O65" i="18" s="1"/>
  <c r="Q65" i="8" s="1"/>
  <c r="N64" i="18"/>
  <c r="O64" i="18" s="1"/>
  <c r="Q64" i="8" s="1"/>
  <c r="N60" i="18"/>
  <c r="O60" i="18" s="1"/>
  <c r="Q60" i="8" s="1"/>
  <c r="N61" i="18"/>
  <c r="O61" i="18" s="1"/>
  <c r="Q61" i="8" s="1"/>
  <c r="N58" i="18"/>
  <c r="O58" i="18" s="1"/>
  <c r="Q58" i="8" s="1"/>
  <c r="N59" i="18"/>
  <c r="O59" i="18" s="1"/>
  <c r="Q59" i="8" s="1"/>
  <c r="N55" i="18"/>
  <c r="O55" i="18" s="1"/>
  <c r="Q55" i="8" s="1"/>
  <c r="N57" i="18"/>
  <c r="O57" i="18" s="1"/>
  <c r="Q57" i="8" s="1"/>
  <c r="N56" i="18"/>
  <c r="O56" i="18" s="1"/>
  <c r="Q56" i="8" s="1"/>
  <c r="N53" i="18"/>
  <c r="O53" i="18" s="1"/>
  <c r="Q53" i="8" s="1"/>
  <c r="N54" i="18"/>
  <c r="O54" i="18" s="1"/>
  <c r="Q54" i="8" s="1"/>
  <c r="N43" i="18"/>
  <c r="O43" i="18" s="1"/>
  <c r="Q43" i="8" s="1"/>
  <c r="N51" i="18"/>
  <c r="O51" i="18" s="1"/>
  <c r="Q51" i="8" s="1"/>
  <c r="N48" i="18"/>
  <c r="O48" i="18" s="1"/>
  <c r="Q48" i="8" s="1"/>
  <c r="N49" i="18"/>
  <c r="O49" i="18" s="1"/>
  <c r="Q49" i="8" s="1"/>
  <c r="N44" i="18"/>
  <c r="O44" i="18" s="1"/>
  <c r="Q44" i="8" s="1"/>
  <c r="N45" i="18"/>
  <c r="O45" i="18" s="1"/>
  <c r="Q45" i="8" s="1"/>
  <c r="N31" i="18"/>
  <c r="O31" i="18" s="1"/>
  <c r="N40" i="18"/>
  <c r="O40" i="18" s="1"/>
  <c r="Q40" i="8" s="1"/>
  <c r="N36" i="18"/>
  <c r="O36" i="18" s="1"/>
  <c r="Q36" i="8" s="1"/>
  <c r="N39" i="18"/>
  <c r="O39" i="18" s="1"/>
  <c r="Q39" i="8" s="1"/>
  <c r="N38" i="18"/>
  <c r="O38" i="18" s="1"/>
  <c r="Q38" i="8" s="1"/>
  <c r="N32" i="18"/>
  <c r="O32" i="18" s="1"/>
  <c r="Q32" i="8" s="1"/>
  <c r="N33" i="18"/>
  <c r="O33" i="18" s="1"/>
  <c r="Q33" i="8" s="1"/>
  <c r="N34" i="18"/>
  <c r="O34" i="18" s="1"/>
  <c r="Q34" i="8" s="1"/>
  <c r="O282" i="18"/>
  <c r="Q282" i="8" s="1"/>
  <c r="O305" i="18"/>
  <c r="Q305" i="8" s="1"/>
  <c r="O317" i="18"/>
  <c r="Q317" i="8" s="1"/>
  <c r="O297" i="18"/>
  <c r="Q297" i="8" s="1"/>
  <c r="O226" i="18"/>
  <c r="Q226" i="8" s="1"/>
  <c r="O91" i="18"/>
  <c r="Q91" i="8" s="1"/>
  <c r="O129" i="18"/>
  <c r="Q129" i="8" s="1"/>
  <c r="O97" i="18"/>
  <c r="Q97" i="8" s="1"/>
  <c r="O267" i="18"/>
  <c r="Q267" i="8" s="1"/>
  <c r="O313" i="18"/>
  <c r="Q313" i="8" s="1"/>
  <c r="O287" i="18"/>
  <c r="Q287" i="8" s="1"/>
  <c r="O140" i="18"/>
  <c r="Q140" i="8" s="1"/>
  <c r="O125" i="18"/>
  <c r="Q125" i="8" s="1"/>
  <c r="O278" i="18"/>
  <c r="Q278" i="8" s="1"/>
  <c r="O200" i="18"/>
  <c r="Q200" i="8" s="1"/>
  <c r="O319" i="18"/>
  <c r="Q319" i="8" s="1"/>
  <c r="O163" i="18"/>
  <c r="Q163" i="8" s="1"/>
  <c r="O153" i="18"/>
  <c r="Q153" i="8" s="1"/>
  <c r="O286" i="18"/>
  <c r="Q286" i="8" s="1"/>
  <c r="O50" i="18"/>
  <c r="Q50" i="8" s="1"/>
  <c r="O156" i="18"/>
  <c r="Q156" i="8" s="1"/>
  <c r="O304" i="18"/>
  <c r="Q304" i="8" s="1"/>
  <c r="O329" i="18"/>
  <c r="Q329" i="8" s="1"/>
  <c r="O309" i="18"/>
  <c r="Q309" i="8" s="1"/>
  <c r="O138" i="18"/>
  <c r="Q138" i="8" s="1"/>
  <c r="O142" i="18"/>
  <c r="Q142" i="8" s="1"/>
  <c r="O96" i="18"/>
  <c r="Q96" i="8" s="1"/>
  <c r="O82" i="18"/>
  <c r="Q82" i="8" s="1"/>
  <c r="O283" i="18"/>
  <c r="Q283" i="8" s="1"/>
  <c r="O155" i="18"/>
  <c r="Q155" i="8" s="1"/>
  <c r="O122" i="18"/>
  <c r="Q122" i="8" s="1"/>
  <c r="O107" i="18"/>
  <c r="Q107" i="8" s="1"/>
  <c r="O77" i="18"/>
  <c r="Q77" i="8" s="1"/>
  <c r="O75" i="18"/>
  <c r="Q75" i="8" s="1"/>
  <c r="O84" i="18"/>
  <c r="Q84" i="8" s="1"/>
  <c r="O128" i="18"/>
  <c r="Q128" i="8" s="1"/>
  <c r="O162" i="18"/>
  <c r="Q162" i="8" s="1"/>
  <c r="O292" i="18"/>
  <c r="Q292" i="8" s="1"/>
  <c r="O231" i="18"/>
  <c r="Q231" i="8" s="1"/>
  <c r="O212" i="18"/>
  <c r="Q212" i="8" s="1"/>
  <c r="O119" i="18"/>
  <c r="Q119" i="8" s="1"/>
  <c r="O98" i="18"/>
  <c r="Q98" i="8" s="1"/>
  <c r="O288" i="18"/>
  <c r="Q288" i="8" s="1"/>
  <c r="O185" i="18"/>
  <c r="Q185" i="8" s="1"/>
  <c r="O265" i="18"/>
  <c r="Q265" i="8" s="1"/>
  <c r="O171" i="18"/>
  <c r="Q171" i="8" s="1"/>
  <c r="O161" i="18"/>
  <c r="Q161" i="8" s="1"/>
  <c r="O294" i="18"/>
  <c r="Q294" i="8" s="1"/>
  <c r="O310" i="18"/>
  <c r="Q310" i="8" s="1"/>
  <c r="O314" i="18"/>
  <c r="Q314" i="8" s="1"/>
  <c r="O285" i="18"/>
  <c r="Q285" i="8" s="1"/>
  <c r="O197" i="18"/>
  <c r="Q197" i="8" s="1"/>
  <c r="O194" i="18"/>
  <c r="Q194" i="8" s="1"/>
  <c r="O37" i="18"/>
  <c r="Q37" i="8" s="1"/>
  <c r="O83" i="18"/>
  <c r="Q83" i="8" s="1"/>
  <c r="O47" i="18"/>
  <c r="Q47" i="8" s="1"/>
  <c r="O139" i="18"/>
  <c r="Q139" i="8" s="1"/>
  <c r="O147" i="18"/>
  <c r="Q147" i="8" s="1"/>
  <c r="O308" i="18"/>
  <c r="Q308" i="8" s="1"/>
  <c r="O41" i="18"/>
  <c r="Q41" i="8" s="1"/>
  <c r="O116" i="18"/>
  <c r="Q116" i="8" s="1"/>
  <c r="O71" i="18"/>
  <c r="Q71" i="8" s="1"/>
  <c r="O220" i="18"/>
  <c r="Q220" i="8" s="1"/>
  <c r="O157" i="18"/>
  <c r="Q157" i="8" s="1"/>
  <c r="O52" i="18"/>
  <c r="Q52" i="8" s="1"/>
  <c r="O315" i="18"/>
  <c r="Q315" i="8" s="1"/>
  <c r="O168" i="18"/>
  <c r="Q168" i="8" s="1"/>
  <c r="O181" i="18"/>
  <c r="Q181" i="8" s="1"/>
  <c r="O201" i="18"/>
  <c r="Q201" i="8" s="1"/>
  <c r="O259" i="18"/>
  <c r="Q259" i="8" s="1"/>
  <c r="O223" i="18"/>
  <c r="Q223" i="8" s="1"/>
  <c r="O245" i="18"/>
  <c r="Q245" i="8" s="1"/>
  <c r="O167" i="18"/>
  <c r="Q167" i="8" s="1"/>
  <c r="O176" i="18"/>
  <c r="Q176" i="8" s="1"/>
  <c r="O178" i="18"/>
  <c r="Q178" i="8" s="1"/>
  <c r="O124" i="18"/>
  <c r="Q124" i="8" s="1"/>
  <c r="O293" i="18"/>
  <c r="Q293" i="8" s="1"/>
  <c r="O254" i="18"/>
  <c r="Q254" i="8" s="1"/>
  <c r="O179" i="18"/>
  <c r="Q179" i="8" s="1"/>
  <c r="O248" i="18"/>
  <c r="Q248" i="8" s="1"/>
  <c r="O320" i="18"/>
  <c r="Q320" i="8" s="1"/>
  <c r="O42" i="18"/>
  <c r="Q42" i="8" s="1"/>
  <c r="O290" i="18"/>
  <c r="Q290" i="8" s="1"/>
  <c r="O224" i="18"/>
  <c r="Q224" i="8" s="1"/>
  <c r="O209" i="18"/>
  <c r="Q209" i="8" s="1"/>
  <c r="O93" i="18"/>
  <c r="Q93" i="8" s="1"/>
  <c r="O230" i="18"/>
  <c r="Q230" i="8" s="1"/>
  <c r="O249" i="18"/>
  <c r="Q249" i="8" s="1"/>
  <c r="O326" i="18"/>
  <c r="Q326" i="8" s="1"/>
  <c r="O260" i="18"/>
  <c r="Q260" i="8" s="1"/>
  <c r="O187" i="18"/>
  <c r="Q187" i="8" s="1"/>
  <c r="O275" i="18"/>
  <c r="O291" i="18"/>
  <c r="Q291" i="8" s="1"/>
  <c r="O228" i="18"/>
  <c r="Q228" i="8" s="1"/>
  <c r="O227" i="18"/>
  <c r="Q227" i="8" s="1"/>
  <c r="O182" i="18"/>
  <c r="Q182" i="8" s="1"/>
  <c r="O258" i="18"/>
  <c r="Q258" i="8" s="1"/>
  <c r="O100" i="18"/>
  <c r="Q100" i="8" s="1"/>
  <c r="O301" i="18"/>
  <c r="O214" i="18"/>
  <c r="Q214" i="8" s="1"/>
  <c r="O141" i="18"/>
  <c r="Q141" i="8" s="1"/>
  <c r="O202" i="18"/>
  <c r="Q202" i="8" s="1"/>
  <c r="O78" i="18"/>
  <c r="Q78" i="8" s="1"/>
  <c r="O306" i="18"/>
  <c r="Q306" i="8" s="1"/>
  <c r="O303" i="18"/>
  <c r="Q303" i="8" s="1"/>
  <c r="O323" i="18"/>
  <c r="Q323" i="8" s="1"/>
  <c r="O121" i="18"/>
  <c r="Q121" i="8" s="1"/>
  <c r="O127" i="18"/>
  <c r="Q127" i="8" s="1"/>
  <c r="O295" i="18"/>
  <c r="Q295" i="8" s="1"/>
  <c r="O94" i="18"/>
  <c r="Q94" i="8" s="1"/>
  <c r="O321" i="18"/>
  <c r="Q321" i="8" s="1"/>
  <c r="O76" i="18"/>
  <c r="Q76" i="8" s="1"/>
  <c r="O296" i="18"/>
  <c r="Q296" i="8" s="1"/>
  <c r="O312" i="18"/>
  <c r="Q312" i="8" s="1"/>
  <c r="O159" i="18"/>
  <c r="Q159" i="8" s="1"/>
  <c r="O104" i="18"/>
  <c r="Q104" i="8" s="1"/>
  <c r="O264" i="18"/>
  <c r="Q264" i="8" s="1"/>
  <c r="O289" i="18"/>
  <c r="Q289" i="8" s="1"/>
  <c r="O158" i="18"/>
  <c r="Q158" i="8" s="1"/>
  <c r="O148" i="18"/>
  <c r="Q148" i="8" s="1"/>
  <c r="O263" i="18"/>
  <c r="Q263" i="8" s="1"/>
  <c r="O85" i="18"/>
  <c r="Q85" i="8" s="1"/>
  <c r="O244" i="18"/>
  <c r="Q244" i="8" s="1"/>
  <c r="O234" i="18"/>
  <c r="Q234" i="8" s="1"/>
  <c r="O325" i="18"/>
  <c r="Q325" i="8" s="1"/>
  <c r="O66" i="18"/>
  <c r="Q66" i="8" s="1"/>
  <c r="O108" i="18"/>
  <c r="Q108" i="8" s="1"/>
  <c r="O120" i="18"/>
  <c r="Q120" i="8" s="1"/>
  <c r="O316" i="18"/>
  <c r="Q316" i="8" s="1"/>
  <c r="O322" i="18"/>
  <c r="Q322" i="8" s="1"/>
  <c r="O154" i="18"/>
  <c r="Q154" i="8" s="1"/>
  <c r="O92" i="18"/>
  <c r="Q92" i="8" s="1"/>
  <c r="O180" i="18"/>
  <c r="Q180" i="8" s="1"/>
  <c r="O208" i="18"/>
  <c r="Q208" i="8" s="1"/>
  <c r="O73" i="18"/>
  <c r="Q73" i="8" s="1"/>
  <c r="O298" i="18"/>
  <c r="Q298" i="8" s="1"/>
  <c r="O117" i="18"/>
  <c r="Q117" i="8" s="1"/>
  <c r="O79" i="18"/>
  <c r="Q79" i="8" s="1"/>
  <c r="O74" i="18"/>
  <c r="Q74" i="8" s="1"/>
  <c r="O118" i="18"/>
  <c r="Q118" i="8" s="1"/>
  <c r="O238" i="18"/>
  <c r="Q238" i="8" s="1"/>
  <c r="O106" i="18"/>
  <c r="Q106" i="8" s="1"/>
  <c r="O324" i="18"/>
  <c r="Q324" i="8" s="1"/>
  <c r="O247" i="18"/>
  <c r="Q247" i="8" s="1"/>
  <c r="O210" i="18"/>
  <c r="Q210" i="8" s="1"/>
  <c r="O327" i="18"/>
  <c r="Q327" i="8" s="1"/>
  <c r="O284" i="18"/>
  <c r="Q284" i="8" s="1"/>
  <c r="O307" i="18"/>
  <c r="Q307" i="8" s="1"/>
  <c r="O302" i="18"/>
  <c r="Q302" i="8" s="1"/>
  <c r="O255" i="18"/>
  <c r="Q255" i="8" s="1"/>
  <c r="O86" i="18"/>
  <c r="Q86" i="8" s="1"/>
  <c r="O221" i="18"/>
  <c r="Q221" i="8" s="1"/>
  <c r="O299" i="18"/>
  <c r="Q299" i="8" s="1"/>
  <c r="O237" i="18"/>
  <c r="Q237" i="8" s="1"/>
  <c r="O183" i="18"/>
  <c r="Q183" i="8" s="1"/>
  <c r="O99" i="18"/>
  <c r="Q99" i="8" s="1"/>
  <c r="O328" i="18"/>
  <c r="Q328" i="8" s="1"/>
  <c r="O216" i="18"/>
  <c r="Q216" i="8" s="1"/>
  <c r="O246" i="18"/>
  <c r="Q246" i="8" s="1"/>
  <c r="O311" i="18"/>
  <c r="Q311" i="8" s="1"/>
  <c r="O300" i="18"/>
  <c r="Q300" i="8" s="1"/>
  <c r="O318" i="18"/>
  <c r="Q318" i="8" s="1"/>
  <c r="O195" i="18"/>
  <c r="Q195" i="8" s="1"/>
  <c r="O172" i="18"/>
  <c r="Q172" i="8" s="1"/>
  <c r="O219" i="18"/>
  <c r="Q219" i="8" s="1"/>
  <c r="O164" i="18"/>
  <c r="Q164" i="8" s="1"/>
  <c r="O114" i="18"/>
  <c r="Q114" i="8" s="1"/>
  <c r="AD501" i="14"/>
  <c r="AB33" i="8"/>
  <c r="Q31" i="8" l="1"/>
  <c r="O501" i="18"/>
  <c r="F5" i="14" s="1"/>
  <c r="L501" i="9"/>
  <c r="AE341" i="14" l="1"/>
  <c r="AE342" i="14"/>
  <c r="AE343" i="14"/>
  <c r="AE344" i="14"/>
  <c r="AE345" i="14"/>
  <c r="AE346" i="14"/>
  <c r="AE347" i="14"/>
  <c r="AE348" i="14"/>
  <c r="AE349" i="14"/>
  <c r="AE350" i="14"/>
  <c r="AE351" i="14"/>
  <c r="AE352" i="14"/>
  <c r="AE353" i="14"/>
  <c r="AE354" i="14"/>
  <c r="AE355" i="14"/>
  <c r="AE356" i="14"/>
  <c r="AE357" i="14"/>
  <c r="AE358" i="14"/>
  <c r="AE359" i="14"/>
  <c r="AE360" i="14"/>
  <c r="AE469" i="14"/>
  <c r="AE468" i="14"/>
  <c r="AE467" i="14"/>
  <c r="AE466" i="14"/>
  <c r="AE494" i="14"/>
  <c r="AE495" i="14"/>
  <c r="AE496" i="14"/>
  <c r="AE500" i="14"/>
  <c r="AE454" i="14"/>
  <c r="AE458" i="14"/>
  <c r="AE430" i="14"/>
  <c r="AE422" i="14"/>
  <c r="AE429" i="14"/>
  <c r="AE435" i="14"/>
  <c r="AE394" i="14"/>
  <c r="AE418" i="14"/>
  <c r="AE414" i="14"/>
  <c r="AE410" i="14"/>
  <c r="AE406" i="14"/>
  <c r="AE393" i="14"/>
  <c r="AE372" i="14"/>
  <c r="AE386" i="14"/>
  <c r="AE382" i="14"/>
  <c r="AE373" i="14"/>
  <c r="AE338" i="14"/>
  <c r="AE498" i="14"/>
  <c r="AE456" i="14"/>
  <c r="AE428" i="14"/>
  <c r="AE452" i="14"/>
  <c r="AE448" i="14"/>
  <c r="AE444" i="14"/>
  <c r="AE440" i="14"/>
  <c r="AE436" i="14"/>
  <c r="AE427" i="14"/>
  <c r="AE421" i="14"/>
  <c r="AE417" i="14"/>
  <c r="AE413" i="14"/>
  <c r="AE409" i="14"/>
  <c r="AE405" i="14"/>
  <c r="AE378" i="14"/>
  <c r="AE370" i="14"/>
  <c r="AE377" i="14"/>
  <c r="AE371" i="14"/>
  <c r="AE366" i="14"/>
  <c r="AE365" i="14"/>
  <c r="AE364" i="14"/>
  <c r="AE363" i="14"/>
  <c r="AE362" i="14"/>
  <c r="AE337" i="14"/>
  <c r="AE499" i="14"/>
  <c r="AE434" i="14"/>
  <c r="AE426" i="14"/>
  <c r="AE433" i="14"/>
  <c r="AE425" i="14"/>
  <c r="AE396" i="14"/>
  <c r="AE420" i="14"/>
  <c r="AE416" i="14"/>
  <c r="AE412" i="14"/>
  <c r="AE408" i="14"/>
  <c r="AE404" i="14"/>
  <c r="AE402" i="14"/>
  <c r="AE401" i="14"/>
  <c r="AE400" i="14"/>
  <c r="AE399" i="14"/>
  <c r="AE398" i="14"/>
  <c r="AE397" i="14"/>
  <c r="AE376" i="14"/>
  <c r="AE368" i="14"/>
  <c r="AE388" i="14"/>
  <c r="AE384" i="14"/>
  <c r="AE380" i="14"/>
  <c r="AE369" i="14"/>
  <c r="AE497" i="14"/>
  <c r="AE432" i="14"/>
  <c r="AE424" i="14"/>
  <c r="AE450" i="14"/>
  <c r="AE446" i="14"/>
  <c r="AE442" i="14"/>
  <c r="AE438" i="14"/>
  <c r="AE431" i="14"/>
  <c r="AE423" i="14"/>
  <c r="AE395" i="14"/>
  <c r="AE419" i="14"/>
  <c r="AE415" i="14"/>
  <c r="AE411" i="14"/>
  <c r="AE407" i="14"/>
  <c r="AE403" i="14"/>
  <c r="AE374" i="14"/>
  <c r="AE375" i="14"/>
  <c r="AE367" i="14"/>
  <c r="AE379" i="14"/>
  <c r="AE361" i="14"/>
  <c r="AE443" i="14"/>
  <c r="AE332" i="14"/>
  <c r="AE385" i="14"/>
  <c r="AE461" i="14"/>
  <c r="AE474" i="14"/>
  <c r="AE482" i="14"/>
  <c r="AE490" i="14"/>
  <c r="AE437" i="14"/>
  <c r="AE453" i="14"/>
  <c r="AE464" i="14"/>
  <c r="AE383" i="14"/>
  <c r="AE459" i="14"/>
  <c r="AE475" i="14"/>
  <c r="AE483" i="14"/>
  <c r="AE491" i="14"/>
  <c r="AE339" i="14"/>
  <c r="AE335" i="14"/>
  <c r="AE391" i="14"/>
  <c r="AE478" i="14"/>
  <c r="AE330" i="14"/>
  <c r="AE493" i="14"/>
  <c r="AE390" i="14"/>
  <c r="AE471" i="14"/>
  <c r="AE487" i="14"/>
  <c r="AE439" i="14"/>
  <c r="AE455" i="14"/>
  <c r="AE472" i="14"/>
  <c r="AE488" i="14"/>
  <c r="AE449" i="14"/>
  <c r="AE333" i="14"/>
  <c r="AE473" i="14"/>
  <c r="AE489" i="14"/>
  <c r="AE447" i="14"/>
  <c r="AE331" i="14"/>
  <c r="AE389" i="14"/>
  <c r="AE465" i="14"/>
  <c r="AE476" i="14"/>
  <c r="AE484" i="14"/>
  <c r="AE492" i="14"/>
  <c r="AE441" i="14"/>
  <c r="AE457" i="14"/>
  <c r="AE336" i="14"/>
  <c r="AE387" i="14"/>
  <c r="AE463" i="14"/>
  <c r="AE477" i="14"/>
  <c r="AE485" i="14"/>
  <c r="AE451" i="14"/>
  <c r="AE470" i="14"/>
  <c r="AE486" i="14"/>
  <c r="AE445" i="14"/>
  <c r="AE340" i="14"/>
  <c r="AE479" i="14"/>
  <c r="AE462" i="14"/>
  <c r="AE381" i="14"/>
  <c r="AE480" i="14"/>
  <c r="AE334" i="14"/>
  <c r="AE460" i="14"/>
  <c r="AE392" i="14"/>
  <c r="AE481" i="14"/>
  <c r="Q501" i="8"/>
  <c r="AE234" i="14"/>
  <c r="AE178" i="14"/>
  <c r="AE100" i="14"/>
  <c r="AE169" i="14"/>
  <c r="AE327" i="14"/>
  <c r="AE269" i="14"/>
  <c r="AE140" i="14"/>
  <c r="AE294" i="14"/>
  <c r="AE38" i="14"/>
  <c r="AE104" i="14"/>
  <c r="AE69" i="14"/>
  <c r="AE155" i="14"/>
  <c r="AE168" i="14"/>
  <c r="AE106" i="14"/>
  <c r="AE125" i="14"/>
  <c r="AE195" i="14"/>
  <c r="AE126" i="14"/>
  <c r="AE320" i="14"/>
  <c r="AE127" i="14"/>
  <c r="AE290" i="14"/>
  <c r="AE53" i="14"/>
  <c r="AE115" i="14"/>
  <c r="AE264" i="14"/>
  <c r="AE82" i="14"/>
  <c r="AE61" i="14"/>
  <c r="AE147" i="14"/>
  <c r="AE150" i="14"/>
  <c r="AE97" i="14"/>
  <c r="AE143" i="14"/>
  <c r="AE84" i="14"/>
  <c r="AE57" i="14"/>
  <c r="AE207" i="14"/>
  <c r="AE261" i="14"/>
  <c r="AE124" i="14"/>
  <c r="AE238" i="14"/>
  <c r="AE281" i="14"/>
  <c r="AE88" i="14"/>
  <c r="AE266" i="14"/>
  <c r="AE210" i="14"/>
  <c r="AE164" i="14"/>
  <c r="AE225" i="14"/>
  <c r="AE96" i="14"/>
  <c r="AE301" i="14"/>
  <c r="AE204" i="14"/>
  <c r="AE326" i="14"/>
  <c r="AE70" i="14"/>
  <c r="AE160" i="14"/>
  <c r="AE117" i="14"/>
  <c r="AE219" i="14"/>
  <c r="AE216" i="14"/>
  <c r="AE55" i="14"/>
  <c r="AE181" i="14"/>
  <c r="AE259" i="14"/>
  <c r="AE158" i="14"/>
  <c r="AE113" i="14"/>
  <c r="AE63" i="14"/>
  <c r="AE322" i="14"/>
  <c r="AE109" i="14"/>
  <c r="AE171" i="14"/>
  <c r="AE328" i="14"/>
  <c r="AE71" i="14"/>
  <c r="AE141" i="14"/>
  <c r="AE211" i="14"/>
  <c r="AE182" i="14"/>
  <c r="AE209" i="14"/>
  <c r="AE199" i="14"/>
  <c r="AE148" i="14"/>
  <c r="AE129" i="14"/>
  <c r="AE255" i="14"/>
  <c r="AE293" i="14"/>
  <c r="AE188" i="14"/>
  <c r="AE270" i="14"/>
  <c r="AE313" i="14"/>
  <c r="AE144" i="14"/>
  <c r="AE31" i="14"/>
  <c r="AE45" i="14"/>
  <c r="AE256" i="14"/>
  <c r="AE258" i="14"/>
  <c r="AE59" i="14"/>
  <c r="AE50" i="14"/>
  <c r="AE118" i="14"/>
  <c r="AE315" i="14"/>
  <c r="AE151" i="14"/>
  <c r="AE229" i="14"/>
  <c r="AE206" i="14"/>
  <c r="AE170" i="14"/>
  <c r="AE114" i="14"/>
  <c r="AE267" i="14"/>
  <c r="AE89" i="14"/>
  <c r="AE159" i="14"/>
  <c r="AE205" i="14"/>
  <c r="AE307" i="14"/>
  <c r="AE230" i="14"/>
  <c r="AE273" i="14"/>
  <c r="AE279" i="14"/>
  <c r="AE244" i="14"/>
  <c r="AE185" i="14"/>
  <c r="AE48" i="14"/>
  <c r="AE42" i="14"/>
  <c r="AE284" i="14"/>
  <c r="AE318" i="14"/>
  <c r="AE62" i="14"/>
  <c r="AE200" i="14"/>
  <c r="AE282" i="14"/>
  <c r="AE226" i="14"/>
  <c r="AE196" i="14"/>
  <c r="AE249" i="14"/>
  <c r="AE152" i="14"/>
  <c r="AE317" i="14"/>
  <c r="AE236" i="14"/>
  <c r="AE43" i="14"/>
  <c r="AE86" i="14"/>
  <c r="AE240" i="14"/>
  <c r="AE149" i="14"/>
  <c r="AE251" i="14"/>
  <c r="AE248" i="14"/>
  <c r="AE87" i="14"/>
  <c r="AE197" i="14"/>
  <c r="AE291" i="14"/>
  <c r="AE174" i="14"/>
  <c r="AE193" i="14"/>
  <c r="AE239" i="14"/>
  <c r="AE202" i="14"/>
  <c r="AE146" i="14"/>
  <c r="AE36" i="14"/>
  <c r="AE137" i="14"/>
  <c r="AE271" i="14"/>
  <c r="AE237" i="14"/>
  <c r="AE76" i="14"/>
  <c r="AE262" i="14"/>
  <c r="AE305" i="14"/>
  <c r="AE40" i="14"/>
  <c r="AE308" i="14"/>
  <c r="AE75" i="14"/>
  <c r="AE112" i="14"/>
  <c r="AE74" i="14"/>
  <c r="AE107" i="14"/>
  <c r="AE94" i="14"/>
  <c r="AE314" i="14"/>
  <c r="AE260" i="14"/>
  <c r="AE208" i="14"/>
  <c r="AE300" i="14"/>
  <c r="AE99" i="14"/>
  <c r="AE304" i="14"/>
  <c r="AE79" i="14"/>
  <c r="AE312" i="14"/>
  <c r="AE60" i="14"/>
  <c r="AE241" i="14"/>
  <c r="AE306" i="14"/>
  <c r="AE85" i="14"/>
  <c r="AE139" i="14"/>
  <c r="AE296" i="14"/>
  <c r="AE98" i="14"/>
  <c r="AE93" i="14"/>
  <c r="AE179" i="14"/>
  <c r="AE166" i="14"/>
  <c r="AE177" i="14"/>
  <c r="AE167" i="14"/>
  <c r="AE116" i="14"/>
  <c r="AE105" i="14"/>
  <c r="AE231" i="14"/>
  <c r="AE277" i="14"/>
  <c r="AE156" i="14"/>
  <c r="AE254" i="14"/>
  <c r="AE297" i="14"/>
  <c r="AE120" i="14"/>
  <c r="AE218" i="14"/>
  <c r="AE162" i="14"/>
  <c r="AE68" i="14"/>
  <c r="AE153" i="14"/>
  <c r="AE295" i="14"/>
  <c r="AE253" i="14"/>
  <c r="AE108" i="14"/>
  <c r="AE278" i="14"/>
  <c r="AE321" i="14"/>
  <c r="AE72" i="14"/>
  <c r="AE37" i="14"/>
  <c r="AE131" i="14"/>
  <c r="AE136" i="14"/>
  <c r="AE90" i="14"/>
  <c r="AE77" i="14"/>
  <c r="AE163" i="14"/>
  <c r="AE110" i="14"/>
  <c r="AE288" i="14"/>
  <c r="AE95" i="14"/>
  <c r="AE138" i="14"/>
  <c r="AE133" i="14"/>
  <c r="AE203" i="14"/>
  <c r="AE49" i="14"/>
  <c r="AE103" i="14"/>
  <c r="AE173" i="14"/>
  <c r="AE243" i="14"/>
  <c r="AE198" i="14"/>
  <c r="AE233" i="14"/>
  <c r="AE223" i="14"/>
  <c r="AE180" i="14"/>
  <c r="AE145" i="14"/>
  <c r="AE287" i="14"/>
  <c r="AE309" i="14"/>
  <c r="AE220" i="14"/>
  <c r="AE286" i="14"/>
  <c r="AE329" i="14"/>
  <c r="AE56" i="14"/>
  <c r="AE250" i="14"/>
  <c r="AE194" i="14"/>
  <c r="AE132" i="14"/>
  <c r="AE201" i="14"/>
  <c r="AE64" i="14"/>
  <c r="AE285" i="14"/>
  <c r="AE172" i="14"/>
  <c r="AE310" i="14"/>
  <c r="AE54" i="14"/>
  <c r="AE128" i="14"/>
  <c r="AE101" i="14"/>
  <c r="AE187" i="14"/>
  <c r="AE192" i="14"/>
  <c r="AE122" i="14"/>
  <c r="AE157" i="14"/>
  <c r="AE227" i="14"/>
  <c r="AE142" i="14"/>
  <c r="AE81" i="14"/>
  <c r="AE183" i="14"/>
  <c r="AE33" i="14"/>
  <c r="S33" i="8" s="1"/>
  <c r="AE228" i="14"/>
  <c r="AE268" i="14"/>
  <c r="AE47" i="14"/>
  <c r="AE213" i="14"/>
  <c r="AE263" i="14"/>
  <c r="AE65" i="14"/>
  <c r="AE214" i="14"/>
  <c r="AE161" i="14"/>
  <c r="AE302" i="14"/>
  <c r="AE274" i="14"/>
  <c r="AE66" i="14"/>
  <c r="AE73" i="14"/>
  <c r="AE175" i="14"/>
  <c r="AE265" i="14"/>
  <c r="AE299" i="14"/>
  <c r="AE44" i="14"/>
  <c r="AE276" i="14"/>
  <c r="AE316" i="14"/>
  <c r="AE319" i="14"/>
  <c r="AE272" i="14"/>
  <c r="AE217" i="14"/>
  <c r="AE212" i="14"/>
  <c r="AE134" i="14"/>
  <c r="AE222" i="14"/>
  <c r="AE130" i="14"/>
  <c r="AE303" i="14"/>
  <c r="AE224" i="14"/>
  <c r="AE35" i="14"/>
  <c r="AE67" i="14"/>
  <c r="AE283" i="14"/>
  <c r="AE323" i="14"/>
  <c r="AE154" i="14"/>
  <c r="AE135" i="14"/>
  <c r="AE257" i="14"/>
  <c r="AE311" i="14"/>
  <c r="AE46" i="14"/>
  <c r="AE292" i="14"/>
  <c r="AE324" i="14"/>
  <c r="AE111" i="14"/>
  <c r="AE245" i="14"/>
  <c r="AE215" i="14"/>
  <c r="AE121" i="14"/>
  <c r="AE246" i="14"/>
  <c r="AE51" i="14"/>
  <c r="AE83" i="14"/>
  <c r="AE39" i="14"/>
  <c r="AE298" i="14"/>
  <c r="AE184" i="14"/>
  <c r="AE102" i="14"/>
  <c r="AE280" i="14"/>
  <c r="AE190" i="14"/>
  <c r="AE165" i="14"/>
  <c r="AE189" i="14"/>
  <c r="AE247" i="14"/>
  <c r="AE325" i="14"/>
  <c r="AE176" i="14"/>
  <c r="AE91" i="14"/>
  <c r="AE123" i="14"/>
  <c r="AE52" i="14"/>
  <c r="AE92" i="14"/>
  <c r="AE186" i="14"/>
  <c r="AE191" i="14"/>
  <c r="AE289" i="14"/>
  <c r="AE80" i="14"/>
  <c r="AE78" i="14"/>
  <c r="AE32" i="14"/>
  <c r="S32" i="8" s="1"/>
  <c r="AE242" i="14"/>
  <c r="AE34" i="14"/>
  <c r="AE119" i="14"/>
  <c r="AE235" i="14"/>
  <c r="AE275" i="14"/>
  <c r="AE252" i="14"/>
  <c r="AE232" i="14"/>
  <c r="AE41" i="14"/>
  <c r="AE221" i="14"/>
  <c r="AE58" i="14"/>
  <c r="S407" i="8" l="1"/>
  <c r="R407" i="8" s="1"/>
  <c r="T407" i="8" s="1"/>
  <c r="S406" i="8"/>
  <c r="R406" i="8" s="1"/>
  <c r="T406" i="8" s="1"/>
  <c r="S405" i="8"/>
  <c r="R405" i="8" s="1"/>
  <c r="T405" i="8" s="1"/>
  <c r="S404" i="8"/>
  <c r="R404" i="8" s="1"/>
  <c r="T404" i="8" s="1"/>
  <c r="S403" i="8"/>
  <c r="R403" i="8" s="1"/>
  <c r="T403" i="8" s="1"/>
  <c r="S402" i="8"/>
  <c r="R402" i="8" s="1"/>
  <c r="T402" i="8" s="1"/>
  <c r="S401" i="8"/>
  <c r="R401" i="8" s="1"/>
  <c r="T401" i="8" s="1"/>
  <c r="J401" i="19" s="1"/>
  <c r="S400" i="8"/>
  <c r="R400" i="8" s="1"/>
  <c r="T400" i="8" s="1"/>
  <c r="J400" i="19" s="1"/>
  <c r="S399" i="8"/>
  <c r="R399" i="8" s="1"/>
  <c r="T399" i="8" s="1"/>
  <c r="J399" i="19" s="1"/>
  <c r="S398" i="8"/>
  <c r="R398" i="8" s="1"/>
  <c r="T398" i="8" s="1"/>
  <c r="J398" i="19" s="1"/>
  <c r="S397" i="8"/>
  <c r="R397" i="8" s="1"/>
  <c r="T397" i="8" s="1"/>
  <c r="J397" i="19" s="1"/>
  <c r="S396" i="8"/>
  <c r="R396" i="8" s="1"/>
  <c r="T396" i="8" s="1"/>
  <c r="J396" i="19" s="1"/>
  <c r="S384" i="8"/>
  <c r="R384" i="8" s="1"/>
  <c r="T384" i="8" s="1"/>
  <c r="J384" i="19" s="1"/>
  <c r="S374" i="8"/>
  <c r="R374" i="8" s="1"/>
  <c r="T374" i="8" s="1"/>
  <c r="J374" i="19" s="1"/>
  <c r="S378" i="8"/>
  <c r="R378" i="8" s="1"/>
  <c r="T378" i="8" s="1"/>
  <c r="J378" i="19" s="1"/>
  <c r="S373" i="8"/>
  <c r="R373" i="8" s="1"/>
  <c r="T373" i="8" s="1"/>
  <c r="J373" i="19" s="1"/>
  <c r="S393" i="8"/>
  <c r="R393" i="8" s="1"/>
  <c r="T393" i="8" s="1"/>
  <c r="J393" i="19" s="1"/>
  <c r="S387" i="8"/>
  <c r="R387" i="8" s="1"/>
  <c r="T387" i="8" s="1"/>
  <c r="J387" i="19" s="1"/>
  <c r="S389" i="8"/>
  <c r="R389" i="8" s="1"/>
  <c r="T389" i="8" s="1"/>
  <c r="J389" i="19" s="1"/>
  <c r="S383" i="8"/>
  <c r="R383" i="8" s="1"/>
  <c r="T383" i="8" s="1"/>
  <c r="J383" i="19" s="1"/>
  <c r="S385" i="8"/>
  <c r="R385" i="8" s="1"/>
  <c r="T385" i="8" s="1"/>
  <c r="J385" i="19" s="1"/>
  <c r="S380" i="8"/>
  <c r="R380" i="8" s="1"/>
  <c r="T380" i="8" s="1"/>
  <c r="J380" i="19" s="1"/>
  <c r="S382" i="8"/>
  <c r="R382" i="8" s="1"/>
  <c r="T382" i="8" s="1"/>
  <c r="J382" i="19" s="1"/>
  <c r="S394" i="8"/>
  <c r="R394" i="8" s="1"/>
  <c r="T394" i="8" s="1"/>
  <c r="J394" i="19" s="1"/>
  <c r="S392" i="8"/>
  <c r="R392" i="8" s="1"/>
  <c r="T392" i="8" s="1"/>
  <c r="J392" i="19" s="1"/>
  <c r="S381" i="8"/>
  <c r="R381" i="8" s="1"/>
  <c r="T381" i="8" s="1"/>
  <c r="J381" i="19" s="1"/>
  <c r="S390" i="8"/>
  <c r="R390" i="8" s="1"/>
  <c r="T390" i="8" s="1"/>
  <c r="J390" i="19" s="1"/>
  <c r="S391" i="8"/>
  <c r="R391" i="8" s="1"/>
  <c r="T391" i="8" s="1"/>
  <c r="J391" i="19" s="1"/>
  <c r="S377" i="8"/>
  <c r="R377" i="8" s="1"/>
  <c r="T377" i="8" s="1"/>
  <c r="J377" i="19" s="1"/>
  <c r="S386" i="8"/>
  <c r="R386" i="8" s="1"/>
  <c r="T386" i="8" s="1"/>
  <c r="J386" i="19" s="1"/>
  <c r="S379" i="8"/>
  <c r="R379" i="8" s="1"/>
  <c r="T379" i="8" s="1"/>
  <c r="J379" i="19" s="1"/>
  <c r="S376" i="8"/>
  <c r="R376" i="8" s="1"/>
  <c r="T376" i="8" s="1"/>
  <c r="J376" i="19" s="1"/>
  <c r="S371" i="8"/>
  <c r="R371" i="8" s="1"/>
  <c r="T371" i="8" s="1"/>
  <c r="J371" i="19" s="1"/>
  <c r="S375" i="8"/>
  <c r="R375" i="8" s="1"/>
  <c r="T375" i="8" s="1"/>
  <c r="J375" i="19" s="1"/>
  <c r="S388" i="8"/>
  <c r="R388" i="8" s="1"/>
  <c r="T388" i="8" s="1"/>
  <c r="J388" i="19" s="1"/>
  <c r="S372" i="8"/>
  <c r="R372" i="8" s="1"/>
  <c r="T372" i="8" s="1"/>
  <c r="J372" i="19" s="1"/>
  <c r="S325" i="8"/>
  <c r="R325" i="8" s="1"/>
  <c r="T325" i="8" s="1"/>
  <c r="J325" i="19" s="1"/>
  <c r="S276" i="8"/>
  <c r="R276" i="8" s="1"/>
  <c r="T276" i="8" s="1"/>
  <c r="J276" i="19" s="1"/>
  <c r="S302" i="8"/>
  <c r="R302" i="8" s="1"/>
  <c r="T302" i="8" s="1"/>
  <c r="J302" i="19" s="1"/>
  <c r="S288" i="8"/>
  <c r="R288" i="8" s="1"/>
  <c r="T288" i="8" s="1"/>
  <c r="J288" i="19" s="1"/>
  <c r="S296" i="8"/>
  <c r="R296" i="8" s="1"/>
  <c r="T296" i="8" s="1"/>
  <c r="J296" i="19" s="1"/>
  <c r="S304" i="8"/>
  <c r="R304" i="8" s="1"/>
  <c r="T304" i="8" s="1"/>
  <c r="J304" i="19" s="1"/>
  <c r="S282" i="8"/>
  <c r="R282" i="8" s="1"/>
  <c r="T282" i="8" s="1"/>
  <c r="J282" i="19" s="1"/>
  <c r="S284" i="8"/>
  <c r="R284" i="8" s="1"/>
  <c r="T284" i="8" s="1"/>
  <c r="J284" i="19" s="1"/>
  <c r="S307" i="8"/>
  <c r="R307" i="8" s="1"/>
  <c r="T307" i="8" s="1"/>
  <c r="J307" i="19" s="1"/>
  <c r="S267" i="8"/>
  <c r="R267" i="8" s="1"/>
  <c r="T267" i="8" s="1"/>
  <c r="J267" i="19" s="1"/>
  <c r="S270" i="8"/>
  <c r="R270" i="8" s="1"/>
  <c r="T270" i="8" s="1"/>
  <c r="J270" i="19" s="1"/>
  <c r="S328" i="8"/>
  <c r="R328" i="8" s="1"/>
  <c r="T328" i="8" s="1"/>
  <c r="J328" i="19" s="1"/>
  <c r="S281" i="8"/>
  <c r="R281" i="8" s="1"/>
  <c r="T281" i="8" s="1"/>
  <c r="J281" i="19" s="1"/>
  <c r="S290" i="8"/>
  <c r="R290" i="8" s="1"/>
  <c r="T290" i="8" s="1"/>
  <c r="J290" i="19" s="1"/>
  <c r="S294" i="8"/>
  <c r="R294" i="8" s="1"/>
  <c r="T294" i="8" s="1"/>
  <c r="J294" i="19" s="1"/>
  <c r="S334" i="8"/>
  <c r="R334" i="8" s="1"/>
  <c r="T334" i="8" s="1"/>
  <c r="J334" i="19" s="1"/>
  <c r="S330" i="8"/>
  <c r="R330" i="8" s="1"/>
  <c r="T330" i="8" s="1"/>
  <c r="J330" i="19" s="1"/>
  <c r="S339" i="8"/>
  <c r="R339" i="8" s="1"/>
  <c r="T339" i="8" s="1"/>
  <c r="J339" i="19" s="1"/>
  <c r="S369" i="8"/>
  <c r="R369" i="8" s="1"/>
  <c r="T369" i="8" s="1"/>
  <c r="J369" i="19" s="1"/>
  <c r="S368" i="8"/>
  <c r="R368" i="8" s="1"/>
  <c r="T368" i="8" s="1"/>
  <c r="J368" i="19" s="1"/>
  <c r="S362" i="8"/>
  <c r="R362" i="8" s="1"/>
  <c r="T362" i="8" s="1"/>
  <c r="J362" i="19" s="1"/>
  <c r="S360" i="8"/>
  <c r="R360" i="8" s="1"/>
  <c r="T360" i="8" s="1"/>
  <c r="J360" i="19" s="1"/>
  <c r="S356" i="8"/>
  <c r="R356" i="8" s="1"/>
  <c r="T356" i="8" s="1"/>
  <c r="J356" i="19" s="1"/>
  <c r="S352" i="8"/>
  <c r="R352" i="8" s="1"/>
  <c r="T352" i="8" s="1"/>
  <c r="J352" i="19" s="1"/>
  <c r="S348" i="8"/>
  <c r="R348" i="8" s="1"/>
  <c r="T348" i="8" s="1"/>
  <c r="J348" i="19" s="1"/>
  <c r="S344" i="8"/>
  <c r="R344" i="8" s="1"/>
  <c r="T344" i="8" s="1"/>
  <c r="J344" i="19" s="1"/>
  <c r="S311" i="8"/>
  <c r="R311" i="8" s="1"/>
  <c r="T311" i="8" s="1"/>
  <c r="J311" i="19" s="1"/>
  <c r="S329" i="8"/>
  <c r="R329" i="8" s="1"/>
  <c r="T329" i="8" s="1"/>
  <c r="J329" i="19" s="1"/>
  <c r="S292" i="8"/>
  <c r="R292" i="8" s="1"/>
  <c r="T292" i="8" s="1"/>
  <c r="J292" i="19" s="1"/>
  <c r="S272" i="8"/>
  <c r="R272" i="8" s="1"/>
  <c r="T272" i="8" s="1"/>
  <c r="J272" i="19" s="1"/>
  <c r="S310" i="8"/>
  <c r="R310" i="8" s="1"/>
  <c r="T310" i="8" s="1"/>
  <c r="J310" i="19" s="1"/>
  <c r="S309" i="8"/>
  <c r="R309" i="8" s="1"/>
  <c r="T309" i="8" s="1"/>
  <c r="J309" i="19" s="1"/>
  <c r="S321" i="8"/>
  <c r="R321" i="8" s="1"/>
  <c r="T321" i="8" s="1"/>
  <c r="J321" i="19" s="1"/>
  <c r="S295" i="8"/>
  <c r="R295" i="8" s="1"/>
  <c r="T295" i="8" s="1"/>
  <c r="J295" i="19" s="1"/>
  <c r="S314" i="8"/>
  <c r="R314" i="8" s="1"/>
  <c r="T314" i="8" s="1"/>
  <c r="J314" i="19" s="1"/>
  <c r="S305" i="8"/>
  <c r="R305" i="8" s="1"/>
  <c r="T305" i="8" s="1"/>
  <c r="J305" i="19" s="1"/>
  <c r="S271" i="8"/>
  <c r="R271" i="8" s="1"/>
  <c r="T271" i="8" s="1"/>
  <c r="J271" i="19" s="1"/>
  <c r="S291" i="8"/>
  <c r="R291" i="8" s="1"/>
  <c r="T291" i="8" s="1"/>
  <c r="J291" i="19" s="1"/>
  <c r="S279" i="8"/>
  <c r="R279" i="8" s="1"/>
  <c r="T279" i="8" s="1"/>
  <c r="J279" i="19" s="1"/>
  <c r="S264" i="8"/>
  <c r="R264" i="8" s="1"/>
  <c r="T264" i="8" s="1"/>
  <c r="J264" i="19" s="1"/>
  <c r="S340" i="8"/>
  <c r="R340" i="8" s="1"/>
  <c r="T340" i="8" s="1"/>
  <c r="J340" i="19" s="1"/>
  <c r="S363" i="8"/>
  <c r="R363" i="8" s="1"/>
  <c r="T363" i="8" s="1"/>
  <c r="J363" i="19" s="1"/>
  <c r="S359" i="8"/>
  <c r="R359" i="8" s="1"/>
  <c r="T359" i="8" s="1"/>
  <c r="J359" i="19" s="1"/>
  <c r="S355" i="8"/>
  <c r="R355" i="8" s="1"/>
  <c r="T355" i="8" s="1"/>
  <c r="J355" i="19" s="1"/>
  <c r="S351" i="8"/>
  <c r="R351" i="8" s="1"/>
  <c r="T351" i="8" s="1"/>
  <c r="J351" i="19" s="1"/>
  <c r="S347" i="8"/>
  <c r="R347" i="8" s="1"/>
  <c r="T347" i="8" s="1"/>
  <c r="J347" i="19" s="1"/>
  <c r="S343" i="8"/>
  <c r="R343" i="8" s="1"/>
  <c r="T343" i="8" s="1"/>
  <c r="J343" i="19" s="1"/>
  <c r="S289" i="8"/>
  <c r="R289" i="8" s="1"/>
  <c r="T289" i="8" s="1"/>
  <c r="J289" i="19" s="1"/>
  <c r="S319" i="8"/>
  <c r="R319" i="8" s="1"/>
  <c r="T319" i="8" s="1"/>
  <c r="J319" i="19" s="1"/>
  <c r="S287" i="8"/>
  <c r="R287" i="8" s="1"/>
  <c r="T287" i="8" s="1"/>
  <c r="J287" i="19" s="1"/>
  <c r="S277" i="8"/>
  <c r="R277" i="8" s="1"/>
  <c r="T277" i="8" s="1"/>
  <c r="J277" i="19" s="1"/>
  <c r="S300" i="8"/>
  <c r="R300" i="8" s="1"/>
  <c r="T300" i="8" s="1"/>
  <c r="J300" i="19" s="1"/>
  <c r="S273" i="8"/>
  <c r="R273" i="8" s="1"/>
  <c r="T273" i="8" s="1"/>
  <c r="J273" i="19" s="1"/>
  <c r="S315" i="8"/>
  <c r="R315" i="8" s="1"/>
  <c r="T315" i="8" s="1"/>
  <c r="J315" i="19" s="1"/>
  <c r="S293" i="8"/>
  <c r="R293" i="8" s="1"/>
  <c r="T293" i="8" s="1"/>
  <c r="J293" i="19" s="1"/>
  <c r="S266" i="8"/>
  <c r="R266" i="8" s="1"/>
  <c r="T266" i="8" s="1"/>
  <c r="J266" i="19" s="1"/>
  <c r="S320" i="8"/>
  <c r="R320" i="8" s="1"/>
  <c r="T320" i="8" s="1"/>
  <c r="J320" i="19" s="1"/>
  <c r="S269" i="8"/>
  <c r="R269" i="8" s="1"/>
  <c r="T269" i="8" s="1"/>
  <c r="J269" i="19" s="1"/>
  <c r="S336" i="8"/>
  <c r="R336" i="8" s="1"/>
  <c r="T336" i="8" s="1"/>
  <c r="J336" i="19" s="1"/>
  <c r="S331" i="8"/>
  <c r="R331" i="8" s="1"/>
  <c r="T331" i="8" s="1"/>
  <c r="J331" i="19" s="1"/>
  <c r="S333" i="8"/>
  <c r="R333" i="8" s="1"/>
  <c r="T333" i="8" s="1"/>
  <c r="J333" i="19" s="1"/>
  <c r="S332" i="8"/>
  <c r="R332" i="8" s="1"/>
  <c r="T332" i="8" s="1"/>
  <c r="J332" i="19" s="1"/>
  <c r="S367" i="8"/>
  <c r="R367" i="8" s="1"/>
  <c r="T367" i="8" s="1"/>
  <c r="J367" i="19" s="1"/>
  <c r="S364" i="8"/>
  <c r="R364" i="8" s="1"/>
  <c r="T364" i="8" s="1"/>
  <c r="J364" i="19" s="1"/>
  <c r="S358" i="8"/>
  <c r="R358" i="8" s="1"/>
  <c r="T358" i="8" s="1"/>
  <c r="J358" i="19" s="1"/>
  <c r="S354" i="8"/>
  <c r="R354" i="8" s="1"/>
  <c r="T354" i="8" s="1"/>
  <c r="J354" i="19" s="1"/>
  <c r="S350" i="8"/>
  <c r="R350" i="8" s="1"/>
  <c r="T350" i="8" s="1"/>
  <c r="J350" i="19" s="1"/>
  <c r="S346" i="8"/>
  <c r="R346" i="8" s="1"/>
  <c r="T346" i="8" s="1"/>
  <c r="J346" i="19" s="1"/>
  <c r="S342" i="8"/>
  <c r="R342" i="8" s="1"/>
  <c r="T342" i="8" s="1"/>
  <c r="J342" i="19" s="1"/>
  <c r="S298" i="8"/>
  <c r="R298" i="8" s="1"/>
  <c r="T298" i="8" s="1"/>
  <c r="J298" i="19" s="1"/>
  <c r="S323" i="8"/>
  <c r="R323" i="8" s="1"/>
  <c r="T323" i="8" s="1"/>
  <c r="J323" i="19" s="1"/>
  <c r="S299" i="8"/>
  <c r="R299" i="8" s="1"/>
  <c r="T299" i="8" s="1"/>
  <c r="J299" i="19" s="1"/>
  <c r="S278" i="8"/>
  <c r="R278" i="8" s="1"/>
  <c r="T278" i="8" s="1"/>
  <c r="J278" i="19" s="1"/>
  <c r="S312" i="8"/>
  <c r="R312" i="8" s="1"/>
  <c r="T312" i="8" s="1"/>
  <c r="J312" i="19" s="1"/>
  <c r="S280" i="8"/>
  <c r="R280" i="8" s="1"/>
  <c r="T280" i="8" s="1"/>
  <c r="J280" i="19" s="1"/>
  <c r="S324" i="8"/>
  <c r="R324" i="8" s="1"/>
  <c r="T324" i="8" s="1"/>
  <c r="J324" i="19" s="1"/>
  <c r="S283" i="8"/>
  <c r="R283" i="8" s="1"/>
  <c r="T283" i="8" s="1"/>
  <c r="J283" i="19" s="1"/>
  <c r="S303" i="8"/>
  <c r="R303" i="8" s="1"/>
  <c r="T303" i="8" s="1"/>
  <c r="J303" i="19" s="1"/>
  <c r="S316" i="8"/>
  <c r="R316" i="8" s="1"/>
  <c r="T316" i="8" s="1"/>
  <c r="J316" i="19" s="1"/>
  <c r="S265" i="8"/>
  <c r="R265" i="8" s="1"/>
  <c r="T265" i="8" s="1"/>
  <c r="J265" i="19" s="1"/>
  <c r="S274" i="8"/>
  <c r="R274" i="8" s="1"/>
  <c r="T274" i="8" s="1"/>
  <c r="J274" i="19" s="1"/>
  <c r="S268" i="8"/>
  <c r="R268" i="8" s="1"/>
  <c r="T268" i="8" s="1"/>
  <c r="J268" i="19" s="1"/>
  <c r="S285" i="8"/>
  <c r="R285" i="8" s="1"/>
  <c r="T285" i="8" s="1"/>
  <c r="J285" i="19" s="1"/>
  <c r="S286" i="8"/>
  <c r="R286" i="8" s="1"/>
  <c r="T286" i="8" s="1"/>
  <c r="J286" i="19" s="1"/>
  <c r="S297" i="8"/>
  <c r="R297" i="8" s="1"/>
  <c r="T297" i="8" s="1"/>
  <c r="J297" i="19" s="1"/>
  <c r="S306" i="8"/>
  <c r="R306" i="8" s="1"/>
  <c r="T306" i="8" s="1"/>
  <c r="J306" i="19" s="1"/>
  <c r="S308" i="8"/>
  <c r="R308" i="8" s="1"/>
  <c r="T308" i="8" s="1"/>
  <c r="J308" i="19" s="1"/>
  <c r="S317" i="8"/>
  <c r="R317" i="8" s="1"/>
  <c r="T317" i="8" s="1"/>
  <c r="J317" i="19" s="1"/>
  <c r="S318" i="8"/>
  <c r="R318" i="8" s="1"/>
  <c r="T318" i="8" s="1"/>
  <c r="J318" i="19" s="1"/>
  <c r="S313" i="8"/>
  <c r="R313" i="8" s="1"/>
  <c r="T313" i="8" s="1"/>
  <c r="J313" i="19" s="1"/>
  <c r="S322" i="8"/>
  <c r="R322" i="8" s="1"/>
  <c r="T322" i="8" s="1"/>
  <c r="J322" i="19" s="1"/>
  <c r="S326" i="8"/>
  <c r="R326" i="8" s="1"/>
  <c r="T326" i="8" s="1"/>
  <c r="J326" i="19" s="1"/>
  <c r="S327" i="8"/>
  <c r="R327" i="8" s="1"/>
  <c r="T327" i="8" s="1"/>
  <c r="J327" i="19" s="1"/>
  <c r="S335" i="8"/>
  <c r="R335" i="8" s="1"/>
  <c r="T335" i="8" s="1"/>
  <c r="J335" i="19" s="1"/>
  <c r="S337" i="8"/>
  <c r="R337" i="8" s="1"/>
  <c r="T337" i="8" s="1"/>
  <c r="J337" i="19" s="1"/>
  <c r="S370" i="8"/>
  <c r="R370" i="8" s="1"/>
  <c r="T370" i="8" s="1"/>
  <c r="J370" i="19" s="1"/>
  <c r="S338" i="8"/>
  <c r="R338" i="8" s="1"/>
  <c r="T338" i="8" s="1"/>
  <c r="J338" i="19" s="1"/>
  <c r="S357" i="8"/>
  <c r="R357" i="8" s="1"/>
  <c r="T357" i="8" s="1"/>
  <c r="J357" i="19" s="1"/>
  <c r="S349" i="8"/>
  <c r="R349" i="8" s="1"/>
  <c r="T349" i="8" s="1"/>
  <c r="J349" i="19" s="1"/>
  <c r="S345" i="8"/>
  <c r="R345" i="8" s="1"/>
  <c r="T345" i="8" s="1"/>
  <c r="J345" i="19" s="1"/>
  <c r="S341" i="8"/>
  <c r="R341" i="8" s="1"/>
  <c r="T341" i="8" s="1"/>
  <c r="J341" i="19" s="1"/>
  <c r="S263" i="8"/>
  <c r="R263" i="8" s="1"/>
  <c r="T263" i="8" s="1"/>
  <c r="J263" i="19" s="1"/>
  <c r="S262" i="8"/>
  <c r="R262" i="8" s="1"/>
  <c r="T262" i="8" s="1"/>
  <c r="J262" i="19" s="1"/>
  <c r="S261" i="8"/>
  <c r="R261" i="8" s="1"/>
  <c r="T261" i="8" s="1"/>
  <c r="J261" i="19" s="1"/>
  <c r="S260" i="8"/>
  <c r="R260" i="8" s="1"/>
  <c r="T260" i="8" s="1"/>
  <c r="J260" i="19" s="1"/>
  <c r="S258" i="8"/>
  <c r="R258" i="8" s="1"/>
  <c r="T258" i="8" s="1"/>
  <c r="J258" i="19" s="1"/>
  <c r="S259" i="8"/>
  <c r="R259" i="8" s="1"/>
  <c r="T259" i="8" s="1"/>
  <c r="J259" i="19" s="1"/>
  <c r="S257" i="8"/>
  <c r="R257" i="8" s="1"/>
  <c r="T257" i="8" s="1"/>
  <c r="J257" i="19" s="1"/>
  <c r="S256" i="8"/>
  <c r="R256" i="8" s="1"/>
  <c r="T256" i="8" s="1"/>
  <c r="J256" i="19" s="1"/>
  <c r="S255" i="8"/>
  <c r="R255" i="8" s="1"/>
  <c r="T255" i="8" s="1"/>
  <c r="J255" i="19" s="1"/>
  <c r="S254" i="8"/>
  <c r="R254" i="8" s="1"/>
  <c r="T254" i="8" s="1"/>
  <c r="J254" i="19" s="1"/>
  <c r="S246" i="8"/>
  <c r="R246" i="8" s="1"/>
  <c r="T246" i="8" s="1"/>
  <c r="J246" i="19" s="1"/>
  <c r="S250" i="8"/>
  <c r="R250" i="8" s="1"/>
  <c r="T250" i="8" s="1"/>
  <c r="J250" i="19" s="1"/>
  <c r="S243" i="8"/>
  <c r="R243" i="8" s="1"/>
  <c r="T243" i="8" s="1"/>
  <c r="J243" i="19" s="1"/>
  <c r="S253" i="8"/>
  <c r="R253" i="8" s="1"/>
  <c r="T253" i="8" s="1"/>
  <c r="J253" i="19" s="1"/>
  <c r="S241" i="8"/>
  <c r="R241" i="8" s="1"/>
  <c r="T241" i="8" s="1"/>
  <c r="J241" i="19" s="1"/>
  <c r="S237" i="8"/>
  <c r="R237" i="8" s="1"/>
  <c r="T237" i="8" s="1"/>
  <c r="J237" i="19" s="1"/>
  <c r="S239" i="8"/>
  <c r="R239" i="8" s="1"/>
  <c r="T239" i="8" s="1"/>
  <c r="J239" i="19" s="1"/>
  <c r="S248" i="8"/>
  <c r="R248" i="8" s="1"/>
  <c r="T248" i="8" s="1"/>
  <c r="J248" i="19" s="1"/>
  <c r="S236" i="8"/>
  <c r="R236" i="8" s="1"/>
  <c r="T236" i="8" s="1"/>
  <c r="J236" i="19" s="1"/>
  <c r="S244" i="8"/>
  <c r="R244" i="8" s="1"/>
  <c r="T244" i="8" s="1"/>
  <c r="J244" i="19" s="1"/>
  <c r="S242" i="8"/>
  <c r="R242" i="8" s="1"/>
  <c r="T242" i="8" s="1"/>
  <c r="J242" i="19" s="1"/>
  <c r="S252" i="8"/>
  <c r="R252" i="8" s="1"/>
  <c r="T252" i="8" s="1"/>
  <c r="J252" i="19" s="1"/>
  <c r="S235" i="8"/>
  <c r="R235" i="8" s="1"/>
  <c r="T235" i="8" s="1"/>
  <c r="J235" i="19" s="1"/>
  <c r="S247" i="8"/>
  <c r="R247" i="8" s="1"/>
  <c r="T247" i="8" s="1"/>
  <c r="J247" i="19" s="1"/>
  <c r="S245" i="8"/>
  <c r="R245" i="8" s="1"/>
  <c r="T245" i="8" s="1"/>
  <c r="J245" i="19" s="1"/>
  <c r="S251" i="8"/>
  <c r="R251" i="8" s="1"/>
  <c r="T251" i="8" s="1"/>
  <c r="J251" i="19" s="1"/>
  <c r="S240" i="8"/>
  <c r="R240" i="8" s="1"/>
  <c r="T240" i="8" s="1"/>
  <c r="J240" i="19" s="1"/>
  <c r="S249" i="8"/>
  <c r="R249" i="8" s="1"/>
  <c r="T249" i="8" s="1"/>
  <c r="J249" i="19" s="1"/>
  <c r="S238" i="8"/>
  <c r="R238" i="8" s="1"/>
  <c r="T238" i="8" s="1"/>
  <c r="J238" i="19" s="1"/>
  <c r="S234" i="8"/>
  <c r="R234" i="8" s="1"/>
  <c r="T234" i="8" s="1"/>
  <c r="J234" i="19" s="1"/>
  <c r="S233" i="8"/>
  <c r="R233" i="8" s="1"/>
  <c r="T233" i="8" s="1"/>
  <c r="J233" i="19" s="1"/>
  <c r="S232" i="8"/>
  <c r="R232" i="8" s="1"/>
  <c r="T232" i="8" s="1"/>
  <c r="J232" i="19" s="1"/>
  <c r="S231" i="8"/>
  <c r="R231" i="8" s="1"/>
  <c r="T231" i="8" s="1"/>
  <c r="J231" i="19" s="1"/>
  <c r="S230" i="8"/>
  <c r="R230" i="8" s="1"/>
  <c r="T230" i="8" s="1"/>
  <c r="J230" i="19" s="1"/>
  <c r="S229" i="8"/>
  <c r="R229" i="8" s="1"/>
  <c r="T229" i="8" s="1"/>
  <c r="J229" i="19" s="1"/>
  <c r="S228" i="8"/>
  <c r="R228" i="8" s="1"/>
  <c r="T228" i="8" s="1"/>
  <c r="J228" i="19" s="1"/>
  <c r="S227" i="8"/>
  <c r="R227" i="8" s="1"/>
  <c r="T227" i="8" s="1"/>
  <c r="J227" i="19" s="1"/>
  <c r="S226" i="8"/>
  <c r="R226" i="8" s="1"/>
  <c r="T226" i="8" s="1"/>
  <c r="J226" i="19" s="1"/>
  <c r="S225" i="8"/>
  <c r="R225" i="8" s="1"/>
  <c r="T225" i="8" s="1"/>
  <c r="J225" i="19" s="1"/>
  <c r="S224" i="8"/>
  <c r="R224" i="8" s="1"/>
  <c r="T224" i="8" s="1"/>
  <c r="J224" i="19" s="1"/>
  <c r="S223" i="8"/>
  <c r="R223" i="8" s="1"/>
  <c r="T223" i="8" s="1"/>
  <c r="J223" i="19" s="1"/>
  <c r="S222" i="8"/>
  <c r="R222" i="8" s="1"/>
  <c r="T222" i="8" s="1"/>
  <c r="J222" i="19" s="1"/>
  <c r="S221" i="8"/>
  <c r="R221" i="8" s="1"/>
  <c r="T221" i="8" s="1"/>
  <c r="J221" i="19" s="1"/>
  <c r="S220" i="8"/>
  <c r="R220" i="8" s="1"/>
  <c r="T220" i="8" s="1"/>
  <c r="J220" i="19" s="1"/>
  <c r="S219" i="8"/>
  <c r="R219" i="8" s="1"/>
  <c r="T219" i="8" s="1"/>
  <c r="J219" i="19" s="1"/>
  <c r="S218" i="8"/>
  <c r="R218" i="8" s="1"/>
  <c r="T218" i="8" s="1"/>
  <c r="J218" i="19" s="1"/>
  <c r="S217" i="8"/>
  <c r="R217" i="8" s="1"/>
  <c r="T217" i="8" s="1"/>
  <c r="J217" i="19" s="1"/>
  <c r="S216" i="8"/>
  <c r="R216" i="8" s="1"/>
  <c r="T216" i="8" s="1"/>
  <c r="J216" i="19" s="1"/>
  <c r="S215" i="8"/>
  <c r="R215" i="8" s="1"/>
  <c r="T215" i="8" s="1"/>
  <c r="J215" i="19" s="1"/>
  <c r="S214" i="8"/>
  <c r="R214" i="8" s="1"/>
  <c r="T214" i="8" s="1"/>
  <c r="J214" i="19" s="1"/>
  <c r="S213" i="8"/>
  <c r="R213" i="8" s="1"/>
  <c r="T213" i="8" s="1"/>
  <c r="J213" i="19" s="1"/>
  <c r="S212" i="8"/>
  <c r="R212" i="8" s="1"/>
  <c r="T212" i="8" s="1"/>
  <c r="J212" i="19" s="1"/>
  <c r="S211" i="8"/>
  <c r="R211" i="8" s="1"/>
  <c r="T211" i="8" s="1"/>
  <c r="J211" i="19" s="1"/>
  <c r="S210" i="8"/>
  <c r="R210" i="8" s="1"/>
  <c r="T210" i="8" s="1"/>
  <c r="J210" i="19" s="1"/>
  <c r="S209" i="8"/>
  <c r="R209" i="8" s="1"/>
  <c r="T209" i="8" s="1"/>
  <c r="J209" i="19" s="1"/>
  <c r="S208" i="8"/>
  <c r="R208" i="8" s="1"/>
  <c r="T208" i="8" s="1"/>
  <c r="J208" i="19" s="1"/>
  <c r="S207" i="8"/>
  <c r="R207" i="8" s="1"/>
  <c r="T207" i="8" s="1"/>
  <c r="J207" i="19" s="1"/>
  <c r="S206" i="8"/>
  <c r="R206" i="8" s="1"/>
  <c r="T206" i="8" s="1"/>
  <c r="J206" i="19" s="1"/>
  <c r="S205" i="8"/>
  <c r="R205" i="8" s="1"/>
  <c r="T205" i="8" s="1"/>
  <c r="J205" i="19" s="1"/>
  <c r="S204" i="8"/>
  <c r="R204" i="8" s="1"/>
  <c r="T204" i="8" s="1"/>
  <c r="J204" i="19" s="1"/>
  <c r="S203" i="8"/>
  <c r="R203" i="8" s="1"/>
  <c r="T203" i="8" s="1"/>
  <c r="J203" i="19" s="1"/>
  <c r="S202" i="8"/>
  <c r="R202" i="8" s="1"/>
  <c r="T202" i="8" s="1"/>
  <c r="J202" i="19" s="1"/>
  <c r="S201" i="8"/>
  <c r="R201" i="8" s="1"/>
  <c r="T201" i="8" s="1"/>
  <c r="J201" i="19" s="1"/>
  <c r="S200" i="8"/>
  <c r="R200" i="8" s="1"/>
  <c r="T200" i="8" s="1"/>
  <c r="J200" i="19" s="1"/>
  <c r="S199" i="8"/>
  <c r="R199" i="8" s="1"/>
  <c r="T199" i="8" s="1"/>
  <c r="J199" i="19" s="1"/>
  <c r="S198" i="8"/>
  <c r="R198" i="8" s="1"/>
  <c r="T198" i="8" s="1"/>
  <c r="J198" i="19" s="1"/>
  <c r="S197" i="8"/>
  <c r="R197" i="8" s="1"/>
  <c r="T197" i="8" s="1"/>
  <c r="J197" i="19" s="1"/>
  <c r="S196" i="8"/>
  <c r="R196" i="8" s="1"/>
  <c r="T196" i="8" s="1"/>
  <c r="J196" i="19" s="1"/>
  <c r="S195" i="8"/>
  <c r="R195" i="8" s="1"/>
  <c r="T195" i="8" s="1"/>
  <c r="J195" i="19" s="1"/>
  <c r="S194" i="8"/>
  <c r="R194" i="8" s="1"/>
  <c r="T194" i="8" s="1"/>
  <c r="J194" i="19" s="1"/>
  <c r="S193" i="8"/>
  <c r="R193" i="8" s="1"/>
  <c r="T193" i="8" s="1"/>
  <c r="J193" i="19" s="1"/>
  <c r="S192" i="8"/>
  <c r="R192" i="8" s="1"/>
  <c r="T192" i="8" s="1"/>
  <c r="J192" i="19" s="1"/>
  <c r="S191" i="8"/>
  <c r="R191" i="8" s="1"/>
  <c r="T191" i="8" s="1"/>
  <c r="J191" i="19" s="1"/>
  <c r="S190" i="8"/>
  <c r="R190" i="8" s="1"/>
  <c r="T190" i="8" s="1"/>
  <c r="J190" i="19" s="1"/>
  <c r="S189" i="8"/>
  <c r="R189" i="8" s="1"/>
  <c r="T189" i="8" s="1"/>
  <c r="J189" i="19" s="1"/>
  <c r="S188" i="8"/>
  <c r="R188" i="8" s="1"/>
  <c r="T188" i="8" s="1"/>
  <c r="J188" i="19" s="1"/>
  <c r="S187" i="8"/>
  <c r="R187" i="8" s="1"/>
  <c r="T187" i="8" s="1"/>
  <c r="J187" i="19" s="1"/>
  <c r="S186" i="8"/>
  <c r="R186" i="8" s="1"/>
  <c r="T186" i="8" s="1"/>
  <c r="J186" i="19" s="1"/>
  <c r="S185" i="8"/>
  <c r="R185" i="8" s="1"/>
  <c r="T185" i="8" s="1"/>
  <c r="J185" i="19" s="1"/>
  <c r="S184" i="8"/>
  <c r="R184" i="8" s="1"/>
  <c r="T184" i="8" s="1"/>
  <c r="J184" i="19" s="1"/>
  <c r="S183" i="8"/>
  <c r="R183" i="8" s="1"/>
  <c r="T183" i="8" s="1"/>
  <c r="J183" i="19" s="1"/>
  <c r="S182" i="8"/>
  <c r="R182" i="8" s="1"/>
  <c r="T182" i="8" s="1"/>
  <c r="J182" i="19" s="1"/>
  <c r="S181" i="8"/>
  <c r="R181" i="8" s="1"/>
  <c r="T181" i="8" s="1"/>
  <c r="J181" i="19" s="1"/>
  <c r="S174" i="8"/>
  <c r="R174" i="8" s="1"/>
  <c r="T174" i="8" s="1"/>
  <c r="J174" i="19" s="1"/>
  <c r="S180" i="8"/>
  <c r="R180" i="8" s="1"/>
  <c r="T180" i="8" s="1"/>
  <c r="J180" i="19" s="1"/>
  <c r="S179" i="8"/>
  <c r="R179" i="8" s="1"/>
  <c r="T179" i="8" s="1"/>
  <c r="J179" i="19" s="1"/>
  <c r="S178" i="8"/>
  <c r="R178" i="8" s="1"/>
  <c r="T178" i="8" s="1"/>
  <c r="J178" i="19" s="1"/>
  <c r="S177" i="8"/>
  <c r="R177" i="8" s="1"/>
  <c r="T177" i="8" s="1"/>
  <c r="J177" i="19" s="1"/>
  <c r="S176" i="8"/>
  <c r="R176" i="8" s="1"/>
  <c r="T176" i="8" s="1"/>
  <c r="J176" i="19" s="1"/>
  <c r="S175" i="8"/>
  <c r="R175" i="8" s="1"/>
  <c r="T175" i="8" s="1"/>
  <c r="J175" i="19" s="1"/>
  <c r="S173" i="8"/>
  <c r="R173" i="8" s="1"/>
  <c r="T173" i="8" s="1"/>
  <c r="J173" i="19" s="1"/>
  <c r="S172" i="8"/>
  <c r="R172" i="8" s="1"/>
  <c r="T172" i="8" s="1"/>
  <c r="J172" i="19" s="1"/>
  <c r="S171" i="8"/>
  <c r="R171" i="8" s="1"/>
  <c r="T171" i="8" s="1"/>
  <c r="J171" i="19" s="1"/>
  <c r="S170" i="8"/>
  <c r="R170" i="8" s="1"/>
  <c r="T170" i="8" s="1"/>
  <c r="J170" i="19" s="1"/>
  <c r="S169" i="8"/>
  <c r="R169" i="8" s="1"/>
  <c r="T169" i="8" s="1"/>
  <c r="J169" i="19" s="1"/>
  <c r="S168" i="8"/>
  <c r="R168" i="8" s="1"/>
  <c r="T168" i="8" s="1"/>
  <c r="J168" i="19" s="1"/>
  <c r="S167" i="8"/>
  <c r="R167" i="8" s="1"/>
  <c r="T167" i="8" s="1"/>
  <c r="J167" i="19" s="1"/>
  <c r="S166" i="8"/>
  <c r="R166" i="8" s="1"/>
  <c r="T166" i="8" s="1"/>
  <c r="J166" i="19" s="1"/>
  <c r="S165" i="8"/>
  <c r="R165" i="8" s="1"/>
  <c r="T165" i="8" s="1"/>
  <c r="J165" i="19" s="1"/>
  <c r="S164" i="8"/>
  <c r="R164" i="8" s="1"/>
  <c r="T164" i="8" s="1"/>
  <c r="J164" i="19" s="1"/>
  <c r="S163" i="8"/>
  <c r="R163" i="8" s="1"/>
  <c r="T163" i="8" s="1"/>
  <c r="J163" i="19" s="1"/>
  <c r="S162" i="8"/>
  <c r="R162" i="8" s="1"/>
  <c r="T162" i="8" s="1"/>
  <c r="J162" i="19" s="1"/>
  <c r="S161" i="8"/>
  <c r="R161" i="8" s="1"/>
  <c r="T161" i="8" s="1"/>
  <c r="J161" i="19" s="1"/>
  <c r="S160" i="8"/>
  <c r="R160" i="8" s="1"/>
  <c r="T160" i="8" s="1"/>
  <c r="J160" i="19" s="1"/>
  <c r="S159" i="8"/>
  <c r="R159" i="8" s="1"/>
  <c r="T159" i="8" s="1"/>
  <c r="J159" i="19" s="1"/>
  <c r="S158" i="8"/>
  <c r="R158" i="8" s="1"/>
  <c r="T158" i="8" s="1"/>
  <c r="J158" i="19" s="1"/>
  <c r="S157" i="8"/>
  <c r="R157" i="8" s="1"/>
  <c r="T157" i="8" s="1"/>
  <c r="J157" i="19" s="1"/>
  <c r="S156" i="8"/>
  <c r="R156" i="8" s="1"/>
  <c r="T156" i="8" s="1"/>
  <c r="J156" i="19" s="1"/>
  <c r="S155" i="8"/>
  <c r="R155" i="8" s="1"/>
  <c r="T155" i="8" s="1"/>
  <c r="J155" i="19" s="1"/>
  <c r="S154" i="8"/>
  <c r="R154" i="8" s="1"/>
  <c r="T154" i="8" s="1"/>
  <c r="J154" i="19" s="1"/>
  <c r="S153" i="8"/>
  <c r="R153" i="8" s="1"/>
  <c r="T153" i="8" s="1"/>
  <c r="J153" i="19" s="1"/>
  <c r="S152" i="8"/>
  <c r="R152" i="8" s="1"/>
  <c r="T152" i="8" s="1"/>
  <c r="J152" i="19" s="1"/>
  <c r="S151" i="8"/>
  <c r="R151" i="8" s="1"/>
  <c r="T151" i="8" s="1"/>
  <c r="J151" i="19" s="1"/>
  <c r="S150" i="8"/>
  <c r="R150" i="8" s="1"/>
  <c r="T150" i="8" s="1"/>
  <c r="J150" i="19" s="1"/>
  <c r="S149" i="8"/>
  <c r="R149" i="8" s="1"/>
  <c r="T149" i="8" s="1"/>
  <c r="J149" i="19" s="1"/>
  <c r="S148" i="8"/>
  <c r="R148" i="8" s="1"/>
  <c r="T148" i="8" s="1"/>
  <c r="J148" i="19" s="1"/>
  <c r="S147" i="8"/>
  <c r="R147" i="8" s="1"/>
  <c r="T147" i="8" s="1"/>
  <c r="J147" i="19" s="1"/>
  <c r="S146" i="8"/>
  <c r="R146" i="8" s="1"/>
  <c r="T146" i="8" s="1"/>
  <c r="J146" i="19" s="1"/>
  <c r="S145" i="8"/>
  <c r="R145" i="8" s="1"/>
  <c r="T145" i="8" s="1"/>
  <c r="J145" i="19" s="1"/>
  <c r="S144" i="8"/>
  <c r="R144" i="8" s="1"/>
  <c r="T144" i="8" s="1"/>
  <c r="J144" i="19" s="1"/>
  <c r="S143" i="8"/>
  <c r="R143" i="8" s="1"/>
  <c r="T143" i="8" s="1"/>
  <c r="J143" i="19" s="1"/>
  <c r="S142" i="8"/>
  <c r="R142" i="8" s="1"/>
  <c r="T142" i="8" s="1"/>
  <c r="J142" i="19" s="1"/>
  <c r="S141" i="8"/>
  <c r="R141" i="8" s="1"/>
  <c r="T141" i="8" s="1"/>
  <c r="J141" i="19" s="1"/>
  <c r="S140" i="8"/>
  <c r="R140" i="8" s="1"/>
  <c r="T140" i="8" s="1"/>
  <c r="J140" i="19" s="1"/>
  <c r="S139" i="8"/>
  <c r="R139" i="8" s="1"/>
  <c r="T139" i="8" s="1"/>
  <c r="J139" i="19" s="1"/>
  <c r="S138" i="8"/>
  <c r="R138" i="8" s="1"/>
  <c r="T138" i="8" s="1"/>
  <c r="J138" i="19" s="1"/>
  <c r="S137" i="8"/>
  <c r="R137" i="8" s="1"/>
  <c r="T137" i="8" s="1"/>
  <c r="J137" i="19" s="1"/>
  <c r="S136" i="8"/>
  <c r="R136" i="8" s="1"/>
  <c r="T136" i="8" s="1"/>
  <c r="J136" i="19" s="1"/>
  <c r="S135" i="8"/>
  <c r="R135" i="8" s="1"/>
  <c r="T135" i="8" s="1"/>
  <c r="J135" i="19" s="1"/>
  <c r="S134" i="8"/>
  <c r="R134" i="8" s="1"/>
  <c r="T134" i="8" s="1"/>
  <c r="J134" i="19" s="1"/>
  <c r="S133" i="8"/>
  <c r="R133" i="8" s="1"/>
  <c r="T133" i="8" s="1"/>
  <c r="J133" i="19" s="1"/>
  <c r="S132" i="8"/>
  <c r="R132" i="8" s="1"/>
  <c r="T132" i="8" s="1"/>
  <c r="J132" i="19" s="1"/>
  <c r="S131" i="8"/>
  <c r="R131" i="8" s="1"/>
  <c r="T131" i="8" s="1"/>
  <c r="J131" i="19" s="1"/>
  <c r="S130" i="8"/>
  <c r="R130" i="8" s="1"/>
  <c r="T130" i="8" s="1"/>
  <c r="J130" i="19" s="1"/>
  <c r="S129" i="8"/>
  <c r="R129" i="8" s="1"/>
  <c r="T129" i="8" s="1"/>
  <c r="J129" i="19" s="1"/>
  <c r="S128" i="8"/>
  <c r="R128" i="8" s="1"/>
  <c r="T128" i="8" s="1"/>
  <c r="J128" i="19" s="1"/>
  <c r="S127" i="8"/>
  <c r="R127" i="8" s="1"/>
  <c r="T127" i="8" s="1"/>
  <c r="J127" i="19" s="1"/>
  <c r="S126" i="8"/>
  <c r="R126" i="8" s="1"/>
  <c r="T126" i="8" s="1"/>
  <c r="J126" i="19" s="1"/>
  <c r="S35" i="8"/>
  <c r="R35" i="8" s="1"/>
  <c r="T35" i="8" s="1"/>
  <c r="J35" i="19" s="1"/>
  <c r="S125" i="8"/>
  <c r="R125" i="8" s="1"/>
  <c r="T125" i="8" s="1"/>
  <c r="J125" i="19" s="1"/>
  <c r="S124" i="8"/>
  <c r="R124" i="8" s="1"/>
  <c r="T124" i="8" s="1"/>
  <c r="J124" i="19" s="1"/>
  <c r="S123" i="8"/>
  <c r="R123" i="8" s="1"/>
  <c r="T123" i="8" s="1"/>
  <c r="J123" i="19" s="1"/>
  <c r="S122" i="8"/>
  <c r="R122" i="8" s="1"/>
  <c r="T122" i="8" s="1"/>
  <c r="J122" i="19" s="1"/>
  <c r="S121" i="8"/>
  <c r="R121" i="8" s="1"/>
  <c r="T121" i="8" s="1"/>
  <c r="J121" i="19" s="1"/>
  <c r="S120" i="8"/>
  <c r="R120" i="8" s="1"/>
  <c r="T120" i="8" s="1"/>
  <c r="J120" i="19" s="1"/>
  <c r="S119" i="8"/>
  <c r="R119" i="8" s="1"/>
  <c r="T119" i="8" s="1"/>
  <c r="J119" i="19" s="1"/>
  <c r="S118" i="8"/>
  <c r="R118" i="8" s="1"/>
  <c r="T118" i="8" s="1"/>
  <c r="J118" i="19" s="1"/>
  <c r="S117" i="8"/>
  <c r="R117" i="8" s="1"/>
  <c r="T117" i="8" s="1"/>
  <c r="J117" i="19" s="1"/>
  <c r="S116" i="8"/>
  <c r="R116" i="8" s="1"/>
  <c r="T116" i="8" s="1"/>
  <c r="J116" i="19" s="1"/>
  <c r="S115" i="8"/>
  <c r="R115" i="8" s="1"/>
  <c r="T115" i="8" s="1"/>
  <c r="J115" i="19" s="1"/>
  <c r="S114" i="8"/>
  <c r="R114" i="8" s="1"/>
  <c r="T114" i="8" s="1"/>
  <c r="J114" i="19" s="1"/>
  <c r="S113" i="8"/>
  <c r="R113" i="8" s="1"/>
  <c r="T113" i="8" s="1"/>
  <c r="J113" i="19" s="1"/>
  <c r="S112" i="8"/>
  <c r="R112" i="8" s="1"/>
  <c r="T112" i="8" s="1"/>
  <c r="J112" i="19" s="1"/>
  <c r="S111" i="8"/>
  <c r="R111" i="8" s="1"/>
  <c r="T111" i="8" s="1"/>
  <c r="J111" i="19" s="1"/>
  <c r="S110" i="8"/>
  <c r="R110" i="8" s="1"/>
  <c r="T110" i="8" s="1"/>
  <c r="J110" i="19" s="1"/>
  <c r="S109" i="8"/>
  <c r="R109" i="8" s="1"/>
  <c r="T109" i="8" s="1"/>
  <c r="J109" i="19" s="1"/>
  <c r="S108" i="8"/>
  <c r="R108" i="8" s="1"/>
  <c r="T108" i="8" s="1"/>
  <c r="J108" i="19" s="1"/>
  <c r="S107" i="8"/>
  <c r="R107" i="8" s="1"/>
  <c r="T107" i="8" s="1"/>
  <c r="J107" i="19" s="1"/>
  <c r="S106" i="8"/>
  <c r="R106" i="8" s="1"/>
  <c r="T106" i="8" s="1"/>
  <c r="J106" i="19" s="1"/>
  <c r="S98" i="8"/>
  <c r="R98" i="8" s="1"/>
  <c r="T98" i="8" s="1"/>
  <c r="J98" i="19" s="1"/>
  <c r="S105" i="8"/>
  <c r="R105" i="8" s="1"/>
  <c r="T105" i="8" s="1"/>
  <c r="J105" i="19" s="1"/>
  <c r="S104" i="8"/>
  <c r="R104" i="8" s="1"/>
  <c r="T104" i="8" s="1"/>
  <c r="J104" i="19" s="1"/>
  <c r="S103" i="8"/>
  <c r="R103" i="8" s="1"/>
  <c r="T103" i="8" s="1"/>
  <c r="J103" i="19" s="1"/>
  <c r="S102" i="8"/>
  <c r="R102" i="8" s="1"/>
  <c r="T102" i="8" s="1"/>
  <c r="J102" i="19" s="1"/>
  <c r="S101" i="8"/>
  <c r="R101" i="8" s="1"/>
  <c r="T101" i="8" s="1"/>
  <c r="J101" i="19" s="1"/>
  <c r="S100" i="8"/>
  <c r="R100" i="8" s="1"/>
  <c r="T100" i="8" s="1"/>
  <c r="J100" i="19" s="1"/>
  <c r="S99" i="8"/>
  <c r="R99" i="8" s="1"/>
  <c r="T99" i="8" s="1"/>
  <c r="J99" i="19" s="1"/>
  <c r="S96" i="8"/>
  <c r="R96" i="8" s="1"/>
  <c r="T96" i="8" s="1"/>
  <c r="J96" i="19" s="1"/>
  <c r="S97" i="8"/>
  <c r="R97" i="8" s="1"/>
  <c r="T97" i="8" s="1"/>
  <c r="J97" i="19" s="1"/>
  <c r="S95" i="8"/>
  <c r="R95" i="8" s="1"/>
  <c r="T95" i="8" s="1"/>
  <c r="J95" i="19" s="1"/>
  <c r="S94" i="8"/>
  <c r="R94" i="8" s="1"/>
  <c r="T94" i="8" s="1"/>
  <c r="J94" i="19" s="1"/>
  <c r="S93" i="8"/>
  <c r="R93" i="8" s="1"/>
  <c r="T93" i="8" s="1"/>
  <c r="J93" i="19" s="1"/>
  <c r="S92" i="8"/>
  <c r="R92" i="8" s="1"/>
  <c r="T92" i="8" s="1"/>
  <c r="J92" i="19" s="1"/>
  <c r="S91" i="8"/>
  <c r="R91" i="8" s="1"/>
  <c r="T91" i="8" s="1"/>
  <c r="J91" i="19" s="1"/>
  <c r="S90" i="8"/>
  <c r="R90" i="8" s="1"/>
  <c r="T90" i="8" s="1"/>
  <c r="J90" i="19" s="1"/>
  <c r="S89" i="8"/>
  <c r="R89" i="8" s="1"/>
  <c r="T89" i="8" s="1"/>
  <c r="J89" i="19" s="1"/>
  <c r="S88" i="8"/>
  <c r="R88" i="8" s="1"/>
  <c r="T88" i="8" s="1"/>
  <c r="J88" i="19" s="1"/>
  <c r="S87" i="8"/>
  <c r="R87" i="8" s="1"/>
  <c r="T87" i="8" s="1"/>
  <c r="J87" i="19" s="1"/>
  <c r="S86" i="8"/>
  <c r="R86" i="8" s="1"/>
  <c r="T86" i="8" s="1"/>
  <c r="J86" i="19" s="1"/>
  <c r="S85" i="8"/>
  <c r="R85" i="8" s="1"/>
  <c r="T85" i="8" s="1"/>
  <c r="J85" i="19" s="1"/>
  <c r="S82" i="8"/>
  <c r="R82" i="8" s="1"/>
  <c r="T82" i="8" s="1"/>
  <c r="J82" i="19" s="1"/>
  <c r="S84" i="8"/>
  <c r="R84" i="8" s="1"/>
  <c r="T84" i="8" s="1"/>
  <c r="J84" i="19" s="1"/>
  <c r="S83" i="8"/>
  <c r="R83" i="8" s="1"/>
  <c r="T83" i="8" s="1"/>
  <c r="J83" i="19" s="1"/>
  <c r="S81" i="8"/>
  <c r="R81" i="8" s="1"/>
  <c r="T81" i="8" s="1"/>
  <c r="J81" i="19" s="1"/>
  <c r="S80" i="8"/>
  <c r="R80" i="8" s="1"/>
  <c r="T80" i="8" s="1"/>
  <c r="J80" i="19" s="1"/>
  <c r="S79" i="8"/>
  <c r="R79" i="8" s="1"/>
  <c r="T79" i="8" s="1"/>
  <c r="J79" i="19" s="1"/>
  <c r="S78" i="8"/>
  <c r="R78" i="8" s="1"/>
  <c r="T78" i="8" s="1"/>
  <c r="J78" i="19" s="1"/>
  <c r="S77" i="8"/>
  <c r="R77" i="8" s="1"/>
  <c r="T77" i="8" s="1"/>
  <c r="J77" i="19" s="1"/>
  <c r="S76" i="8"/>
  <c r="R76" i="8" s="1"/>
  <c r="T76" i="8" s="1"/>
  <c r="J76" i="19" s="1"/>
  <c r="S75" i="8"/>
  <c r="R75" i="8" s="1"/>
  <c r="T75" i="8" s="1"/>
  <c r="J75" i="19" s="1"/>
  <c r="S74" i="8"/>
  <c r="R74" i="8" s="1"/>
  <c r="T74" i="8" s="1"/>
  <c r="J74" i="19" s="1"/>
  <c r="S73" i="8"/>
  <c r="R73" i="8" s="1"/>
  <c r="T73" i="8" s="1"/>
  <c r="J73" i="19" s="1"/>
  <c r="S72" i="8"/>
  <c r="R72" i="8" s="1"/>
  <c r="T72" i="8" s="1"/>
  <c r="J72" i="19" s="1"/>
  <c r="S71" i="8"/>
  <c r="R71" i="8" s="1"/>
  <c r="T71" i="8" s="1"/>
  <c r="J71" i="19" s="1"/>
  <c r="S70" i="8"/>
  <c r="R70" i="8" s="1"/>
  <c r="T70" i="8" s="1"/>
  <c r="J70" i="19" s="1"/>
  <c r="S69" i="8"/>
  <c r="R69" i="8" s="1"/>
  <c r="T69" i="8" s="1"/>
  <c r="J69" i="19" s="1"/>
  <c r="S63" i="8"/>
  <c r="R63" i="8" s="1"/>
  <c r="T63" i="8" s="1"/>
  <c r="J63" i="19" s="1"/>
  <c r="S46" i="8"/>
  <c r="R46" i="8" s="1"/>
  <c r="T46" i="8" s="1"/>
  <c r="J46" i="19" s="1"/>
  <c r="S37" i="8"/>
  <c r="R37" i="8" s="1"/>
  <c r="T37" i="8" s="1"/>
  <c r="J37" i="19" s="1"/>
  <c r="S68" i="8"/>
  <c r="R68" i="8" s="1"/>
  <c r="T68" i="8" s="1"/>
  <c r="J68" i="19" s="1"/>
  <c r="S67" i="8"/>
  <c r="R67" i="8" s="1"/>
  <c r="T67" i="8" s="1"/>
  <c r="J67" i="19" s="1"/>
  <c r="S66" i="8"/>
  <c r="R66" i="8" s="1"/>
  <c r="T66" i="8" s="1"/>
  <c r="J66" i="19" s="1"/>
  <c r="S65" i="8"/>
  <c r="R65" i="8" s="1"/>
  <c r="T65" i="8" s="1"/>
  <c r="J65" i="19" s="1"/>
  <c r="S64" i="8"/>
  <c r="R64" i="8" s="1"/>
  <c r="T64" i="8" s="1"/>
  <c r="J64" i="19" s="1"/>
  <c r="S62" i="8"/>
  <c r="R62" i="8" s="1"/>
  <c r="T62" i="8" s="1"/>
  <c r="J62" i="19" s="1"/>
  <c r="S61" i="8"/>
  <c r="R61" i="8" s="1"/>
  <c r="T61" i="8" s="1"/>
  <c r="J61" i="19" s="1"/>
  <c r="S60" i="8"/>
  <c r="R60" i="8" s="1"/>
  <c r="T60" i="8" s="1"/>
  <c r="J60" i="19" s="1"/>
  <c r="S59" i="8"/>
  <c r="R59" i="8" s="1"/>
  <c r="T59" i="8" s="1"/>
  <c r="J59" i="19" s="1"/>
  <c r="S58" i="8"/>
  <c r="R58" i="8" s="1"/>
  <c r="T58" i="8" s="1"/>
  <c r="J58" i="19" s="1"/>
  <c r="S57" i="8"/>
  <c r="R57" i="8" s="1"/>
  <c r="T57" i="8" s="1"/>
  <c r="J57" i="19" s="1"/>
  <c r="S56" i="8"/>
  <c r="R56" i="8" s="1"/>
  <c r="T56" i="8" s="1"/>
  <c r="J56" i="19" s="1"/>
  <c r="S55" i="8"/>
  <c r="R55" i="8" s="1"/>
  <c r="T55" i="8" s="1"/>
  <c r="J55" i="19" s="1"/>
  <c r="S54" i="8"/>
  <c r="R54" i="8" s="1"/>
  <c r="T54" i="8" s="1"/>
  <c r="J54" i="19" s="1"/>
  <c r="S53" i="8"/>
  <c r="R53" i="8" s="1"/>
  <c r="T53" i="8" s="1"/>
  <c r="J53" i="19" s="1"/>
  <c r="S52" i="8"/>
  <c r="R52" i="8" s="1"/>
  <c r="T52" i="8" s="1"/>
  <c r="J52" i="19" s="1"/>
  <c r="S51" i="8"/>
  <c r="R51" i="8" s="1"/>
  <c r="T51" i="8" s="1"/>
  <c r="J51" i="19" s="1"/>
  <c r="S50" i="8"/>
  <c r="R50" i="8" s="1"/>
  <c r="T50" i="8" s="1"/>
  <c r="J50" i="19" s="1"/>
  <c r="S49" i="8"/>
  <c r="R49" i="8" s="1"/>
  <c r="T49" i="8" s="1"/>
  <c r="J49" i="19" s="1"/>
  <c r="S48" i="8"/>
  <c r="R48" i="8" s="1"/>
  <c r="T48" i="8" s="1"/>
  <c r="J48" i="19" s="1"/>
  <c r="S47" i="8"/>
  <c r="R47" i="8" s="1"/>
  <c r="T47" i="8" s="1"/>
  <c r="J47" i="19" s="1"/>
  <c r="S45" i="8"/>
  <c r="R45" i="8" s="1"/>
  <c r="T45" i="8" s="1"/>
  <c r="J45" i="19" s="1"/>
  <c r="S44" i="8"/>
  <c r="R44" i="8" s="1"/>
  <c r="T44" i="8" s="1"/>
  <c r="J44" i="19" s="1"/>
  <c r="S43" i="8"/>
  <c r="R43" i="8" s="1"/>
  <c r="T43" i="8" s="1"/>
  <c r="J43" i="19" s="1"/>
  <c r="S42" i="8"/>
  <c r="R42" i="8" s="1"/>
  <c r="T42" i="8" s="1"/>
  <c r="J42" i="19" s="1"/>
  <c r="S40" i="8"/>
  <c r="R40" i="8" s="1"/>
  <c r="T40" i="8" s="1"/>
  <c r="J40" i="19" s="1"/>
  <c r="S41" i="8"/>
  <c r="R41" i="8" s="1"/>
  <c r="T41" i="8" s="1"/>
  <c r="J41" i="19" s="1"/>
  <c r="S36" i="8"/>
  <c r="R36" i="8" s="1"/>
  <c r="T36" i="8" s="1"/>
  <c r="J36" i="19" s="1"/>
  <c r="S39" i="8"/>
  <c r="R39" i="8" s="1"/>
  <c r="T39" i="8" s="1"/>
  <c r="J39" i="19" s="1"/>
  <c r="S38" i="8"/>
  <c r="R38" i="8" s="1"/>
  <c r="T38" i="8" s="1"/>
  <c r="J38" i="19" s="1"/>
  <c r="R32" i="8"/>
  <c r="T32" i="8" s="1"/>
  <c r="J32" i="19" s="1"/>
  <c r="R33" i="8"/>
  <c r="T33" i="8" s="1"/>
  <c r="J33" i="19" s="1"/>
  <c r="S34" i="8"/>
  <c r="AE501" i="14"/>
  <c r="AF33" i="14" s="1"/>
  <c r="M33" i="19" s="1"/>
  <c r="S31" i="8"/>
  <c r="AI407" i="8" l="1"/>
  <c r="J407" i="19"/>
  <c r="AF407" i="14"/>
  <c r="M407" i="19" s="1"/>
  <c r="AF406" i="14"/>
  <c r="M406" i="19" s="1"/>
  <c r="J406" i="19"/>
  <c r="AI406" i="8"/>
  <c r="AI405" i="8"/>
  <c r="J405" i="19"/>
  <c r="AF405" i="14"/>
  <c r="M405" i="19" s="1"/>
  <c r="AF404" i="14"/>
  <c r="M404" i="19" s="1"/>
  <c r="J404" i="19"/>
  <c r="AI404" i="8"/>
  <c r="AF403" i="14"/>
  <c r="M403" i="19" s="1"/>
  <c r="J403" i="19"/>
  <c r="AI403" i="8"/>
  <c r="J402" i="19"/>
  <c r="AI402" i="8"/>
  <c r="AF402" i="14"/>
  <c r="M402" i="19" s="1"/>
  <c r="K45" i="19"/>
  <c r="L45" i="19"/>
  <c r="L58" i="19"/>
  <c r="K58" i="19"/>
  <c r="L63" i="19"/>
  <c r="K63" i="19"/>
  <c r="K80" i="19"/>
  <c r="L80" i="19"/>
  <c r="K92" i="19"/>
  <c r="L92" i="19"/>
  <c r="K108" i="19"/>
  <c r="L108" i="19"/>
  <c r="L120" i="19"/>
  <c r="K120" i="19"/>
  <c r="K131" i="19"/>
  <c r="L131" i="19"/>
  <c r="L139" i="19"/>
  <c r="K139" i="19"/>
  <c r="L155" i="19"/>
  <c r="K155" i="19"/>
  <c r="K167" i="19"/>
  <c r="L167" i="19"/>
  <c r="L180" i="19"/>
  <c r="K180" i="19"/>
  <c r="K191" i="19"/>
  <c r="L191" i="19"/>
  <c r="L203" i="19"/>
  <c r="K203" i="19"/>
  <c r="K215" i="19"/>
  <c r="L215" i="19"/>
  <c r="L227" i="19"/>
  <c r="K227" i="19"/>
  <c r="K245" i="19"/>
  <c r="L245" i="19"/>
  <c r="K243" i="19"/>
  <c r="L243" i="19"/>
  <c r="L263" i="19"/>
  <c r="K263" i="19"/>
  <c r="K313" i="19"/>
  <c r="L313" i="19"/>
  <c r="K303" i="19"/>
  <c r="L303" i="19"/>
  <c r="L354" i="19"/>
  <c r="K354" i="19"/>
  <c r="L315" i="19"/>
  <c r="K315" i="19"/>
  <c r="K363" i="19"/>
  <c r="L363" i="19"/>
  <c r="L272" i="19"/>
  <c r="K272" i="19"/>
  <c r="L339" i="19"/>
  <c r="K339" i="19"/>
  <c r="L304" i="19"/>
  <c r="K304" i="19"/>
  <c r="K386" i="19"/>
  <c r="L386" i="19"/>
  <c r="K380" i="19"/>
  <c r="L380" i="19"/>
  <c r="L398" i="19"/>
  <c r="K398" i="19"/>
  <c r="K39" i="19"/>
  <c r="L39" i="19"/>
  <c r="L42" i="19"/>
  <c r="K42" i="19"/>
  <c r="K47" i="19"/>
  <c r="L47" i="19"/>
  <c r="K51" i="19"/>
  <c r="L51" i="19"/>
  <c r="K55" i="19"/>
  <c r="L55" i="19"/>
  <c r="L59" i="19"/>
  <c r="K59" i="19"/>
  <c r="L64" i="19"/>
  <c r="K64" i="19"/>
  <c r="L68" i="19"/>
  <c r="K68" i="19"/>
  <c r="L69" i="19"/>
  <c r="K69" i="19"/>
  <c r="L73" i="19"/>
  <c r="K73" i="19"/>
  <c r="K77" i="19"/>
  <c r="L77" i="19"/>
  <c r="L81" i="19"/>
  <c r="K81" i="19"/>
  <c r="K85" i="19"/>
  <c r="L85" i="19"/>
  <c r="K89" i="19"/>
  <c r="L89" i="19"/>
  <c r="L93" i="19"/>
  <c r="K93" i="19"/>
  <c r="L96" i="19"/>
  <c r="K96" i="19"/>
  <c r="K102" i="19"/>
  <c r="L102" i="19"/>
  <c r="K98" i="19"/>
  <c r="L98" i="19"/>
  <c r="K109" i="19"/>
  <c r="L109" i="19"/>
  <c r="K113" i="19"/>
  <c r="L113" i="19"/>
  <c r="L117" i="19"/>
  <c r="K117" i="19"/>
  <c r="K121" i="19"/>
  <c r="L121" i="19"/>
  <c r="K125" i="19"/>
  <c r="L125" i="19"/>
  <c r="L128" i="19"/>
  <c r="K128" i="19"/>
  <c r="L132" i="19"/>
  <c r="K132" i="19"/>
  <c r="L136" i="19"/>
  <c r="K136" i="19"/>
  <c r="K140" i="19"/>
  <c r="L140" i="19"/>
  <c r="K144" i="19"/>
  <c r="L144" i="19"/>
  <c r="K148" i="19"/>
  <c r="L148" i="19"/>
  <c r="L152" i="19"/>
  <c r="K152" i="19"/>
  <c r="K156" i="19"/>
  <c r="L156" i="19"/>
  <c r="K160" i="19"/>
  <c r="L160" i="19"/>
  <c r="K164" i="19"/>
  <c r="L164" i="19"/>
  <c r="K168" i="19"/>
  <c r="L168" i="19"/>
  <c r="K172" i="19"/>
  <c r="L172" i="19"/>
  <c r="K177" i="19"/>
  <c r="L177" i="19"/>
  <c r="K174" i="19"/>
  <c r="L174" i="19"/>
  <c r="K184" i="19"/>
  <c r="L184" i="19"/>
  <c r="L188" i="19"/>
  <c r="K188" i="19"/>
  <c r="L192" i="19"/>
  <c r="K192" i="19"/>
  <c r="L196" i="19"/>
  <c r="K196" i="19"/>
  <c r="L200" i="19"/>
  <c r="K200" i="19"/>
  <c r="L204" i="19"/>
  <c r="K204" i="19"/>
  <c r="L208" i="19"/>
  <c r="K208" i="19"/>
  <c r="L212" i="19"/>
  <c r="K212" i="19"/>
  <c r="K216" i="19"/>
  <c r="L216" i="19"/>
  <c r="K220" i="19"/>
  <c r="L220" i="19"/>
  <c r="L224" i="19"/>
  <c r="K224" i="19"/>
  <c r="L228" i="19"/>
  <c r="K228" i="19"/>
  <c r="L232" i="19"/>
  <c r="K232" i="19"/>
  <c r="K249" i="19"/>
  <c r="L249" i="19"/>
  <c r="L247" i="19"/>
  <c r="K247" i="19"/>
  <c r="K244" i="19"/>
  <c r="L244" i="19"/>
  <c r="L237" i="19"/>
  <c r="K237" i="19"/>
  <c r="L250" i="19"/>
  <c r="K250" i="19"/>
  <c r="K256" i="19"/>
  <c r="L256" i="19"/>
  <c r="K260" i="19"/>
  <c r="L260" i="19"/>
  <c r="L341" i="19"/>
  <c r="K341" i="19"/>
  <c r="K338" i="19"/>
  <c r="L338" i="19"/>
  <c r="K327" i="19"/>
  <c r="L327" i="19"/>
  <c r="L318" i="19"/>
  <c r="K318" i="19"/>
  <c r="K297" i="19"/>
  <c r="L297" i="19"/>
  <c r="L274" i="19"/>
  <c r="K274" i="19"/>
  <c r="L283" i="19"/>
  <c r="K283" i="19"/>
  <c r="K278" i="19"/>
  <c r="L278" i="19"/>
  <c r="L342" i="19"/>
  <c r="K342" i="19"/>
  <c r="K358" i="19"/>
  <c r="L358" i="19"/>
  <c r="K333" i="19"/>
  <c r="L333" i="19"/>
  <c r="L320" i="19"/>
  <c r="K320" i="19"/>
  <c r="K273" i="19"/>
  <c r="L273" i="19"/>
  <c r="K319" i="19"/>
  <c r="L319" i="19"/>
  <c r="L351" i="19"/>
  <c r="K351" i="19"/>
  <c r="L340" i="19"/>
  <c r="K340" i="19"/>
  <c r="L271" i="19"/>
  <c r="K271" i="19"/>
  <c r="L321" i="19"/>
  <c r="K321" i="19"/>
  <c r="K292" i="19"/>
  <c r="L292" i="19"/>
  <c r="L348" i="19"/>
  <c r="K348" i="19"/>
  <c r="L362" i="19"/>
  <c r="K362" i="19"/>
  <c r="K330" i="19"/>
  <c r="L330" i="19"/>
  <c r="K281" i="19"/>
  <c r="L281" i="19"/>
  <c r="L307" i="19"/>
  <c r="K307" i="19"/>
  <c r="K296" i="19"/>
  <c r="L296" i="19"/>
  <c r="K325" i="19"/>
  <c r="L325" i="19"/>
  <c r="K371" i="19"/>
  <c r="L371" i="19"/>
  <c r="K377" i="19"/>
  <c r="L377" i="19"/>
  <c r="L392" i="19"/>
  <c r="K392" i="19"/>
  <c r="L385" i="19"/>
  <c r="K385" i="19"/>
  <c r="K393" i="19"/>
  <c r="L393" i="19"/>
  <c r="L384" i="19"/>
  <c r="K384" i="19"/>
  <c r="L399" i="19"/>
  <c r="K399" i="19"/>
  <c r="K38" i="19"/>
  <c r="L38" i="19"/>
  <c r="L50" i="19"/>
  <c r="K50" i="19"/>
  <c r="L62" i="19"/>
  <c r="K62" i="19"/>
  <c r="K72" i="19"/>
  <c r="L72" i="19"/>
  <c r="K82" i="19"/>
  <c r="L82" i="19"/>
  <c r="K97" i="19"/>
  <c r="L97" i="19"/>
  <c r="L105" i="19"/>
  <c r="K105" i="19"/>
  <c r="K116" i="19"/>
  <c r="L116" i="19"/>
  <c r="L127" i="19"/>
  <c r="K127" i="19"/>
  <c r="K143" i="19"/>
  <c r="L143" i="19"/>
  <c r="L151" i="19"/>
  <c r="K151" i="19"/>
  <c r="K163" i="19"/>
  <c r="L163" i="19"/>
  <c r="L176" i="19"/>
  <c r="K176" i="19"/>
  <c r="L187" i="19"/>
  <c r="K187" i="19"/>
  <c r="K199" i="19"/>
  <c r="L199" i="19"/>
  <c r="L211" i="19"/>
  <c r="K211" i="19"/>
  <c r="K223" i="19"/>
  <c r="L223" i="19"/>
  <c r="L238" i="19"/>
  <c r="K238" i="19"/>
  <c r="K242" i="19"/>
  <c r="L242" i="19"/>
  <c r="L255" i="19"/>
  <c r="K255" i="19"/>
  <c r="K357" i="19"/>
  <c r="L357" i="19"/>
  <c r="L306" i="19"/>
  <c r="K306" i="19"/>
  <c r="L312" i="19"/>
  <c r="K312" i="19"/>
  <c r="L332" i="19"/>
  <c r="K332" i="19"/>
  <c r="L287" i="19"/>
  <c r="K287" i="19"/>
  <c r="L291" i="19"/>
  <c r="K291" i="19"/>
  <c r="L344" i="19"/>
  <c r="K344" i="19"/>
  <c r="L290" i="19"/>
  <c r="K290" i="19"/>
  <c r="K276" i="19"/>
  <c r="L276" i="19"/>
  <c r="K381" i="19"/>
  <c r="L381" i="19"/>
  <c r="L374" i="19"/>
  <c r="K374" i="19"/>
  <c r="K33" i="19"/>
  <c r="L33" i="19"/>
  <c r="L36" i="19"/>
  <c r="K36" i="19"/>
  <c r="L43" i="19"/>
  <c r="K43" i="19"/>
  <c r="L48" i="19"/>
  <c r="K48" i="19"/>
  <c r="K52" i="19"/>
  <c r="L52" i="19"/>
  <c r="K56" i="19"/>
  <c r="L56" i="19"/>
  <c r="L60" i="19"/>
  <c r="K60" i="19"/>
  <c r="L65" i="19"/>
  <c r="K65" i="19"/>
  <c r="K37" i="19"/>
  <c r="L37" i="19"/>
  <c r="K70" i="19"/>
  <c r="L70" i="19"/>
  <c r="K74" i="19"/>
  <c r="L74" i="19"/>
  <c r="K78" i="19"/>
  <c r="L78" i="19"/>
  <c r="L83" i="19"/>
  <c r="K83" i="19"/>
  <c r="L86" i="19"/>
  <c r="K86" i="19"/>
  <c r="L90" i="19"/>
  <c r="K90" i="19"/>
  <c r="K94" i="19"/>
  <c r="L94" i="19"/>
  <c r="K99" i="19"/>
  <c r="L99" i="19"/>
  <c r="K103" i="19"/>
  <c r="L103" i="19"/>
  <c r="K106" i="19"/>
  <c r="L106" i="19"/>
  <c r="K110" i="19"/>
  <c r="L110" i="19"/>
  <c r="L114" i="19"/>
  <c r="K114" i="19"/>
  <c r="L118" i="19"/>
  <c r="K118" i="19"/>
  <c r="K122" i="19"/>
  <c r="L122" i="19"/>
  <c r="K35" i="19"/>
  <c r="L35" i="19"/>
  <c r="K129" i="19"/>
  <c r="L129" i="19"/>
  <c r="K133" i="19"/>
  <c r="L133" i="19"/>
  <c r="K137" i="19"/>
  <c r="L137" i="19"/>
  <c r="K141" i="19"/>
  <c r="L141" i="19"/>
  <c r="K145" i="19"/>
  <c r="L145" i="19"/>
  <c r="L149" i="19"/>
  <c r="K149" i="19"/>
  <c r="L153" i="19"/>
  <c r="K153" i="19"/>
  <c r="L157" i="19"/>
  <c r="K157" i="19"/>
  <c r="L161" i="19"/>
  <c r="K161" i="19"/>
  <c r="L165" i="19"/>
  <c r="K165" i="19"/>
  <c r="K169" i="19"/>
  <c r="L169" i="19"/>
  <c r="L173" i="19"/>
  <c r="K173" i="19"/>
  <c r="L178" i="19"/>
  <c r="K178" i="19"/>
  <c r="L181" i="19"/>
  <c r="K181" i="19"/>
  <c r="K185" i="19"/>
  <c r="L185" i="19"/>
  <c r="K189" i="19"/>
  <c r="L189" i="19"/>
  <c r="L193" i="19"/>
  <c r="K193" i="19"/>
  <c r="K197" i="19"/>
  <c r="L197" i="19"/>
  <c r="L201" i="19"/>
  <c r="K201" i="19"/>
  <c r="L205" i="19"/>
  <c r="K205" i="19"/>
  <c r="K209" i="19"/>
  <c r="L209" i="19"/>
  <c r="L213" i="19"/>
  <c r="K213" i="19"/>
  <c r="K217" i="19"/>
  <c r="L217" i="19"/>
  <c r="K221" i="19"/>
  <c r="L221" i="19"/>
  <c r="K225" i="19"/>
  <c r="L225" i="19"/>
  <c r="L229" i="19"/>
  <c r="K229" i="19"/>
  <c r="L233" i="19"/>
  <c r="K233" i="19"/>
  <c r="L240" i="19"/>
  <c r="K240" i="19"/>
  <c r="L235" i="19"/>
  <c r="K235" i="19"/>
  <c r="K236" i="19"/>
  <c r="L236" i="19"/>
  <c r="L241" i="19"/>
  <c r="K241" i="19"/>
  <c r="K246" i="19"/>
  <c r="L246" i="19"/>
  <c r="L257" i="19"/>
  <c r="K257" i="19"/>
  <c r="L261" i="19"/>
  <c r="K261" i="19"/>
  <c r="K345" i="19"/>
  <c r="L345" i="19"/>
  <c r="L370" i="19"/>
  <c r="K370" i="19"/>
  <c r="L326" i="19"/>
  <c r="K326" i="19"/>
  <c r="K317" i="19"/>
  <c r="L317" i="19"/>
  <c r="L286" i="19"/>
  <c r="K286" i="19"/>
  <c r="K265" i="19"/>
  <c r="L265" i="19"/>
  <c r="L324" i="19"/>
  <c r="K324" i="19"/>
  <c r="L299" i="19"/>
  <c r="K299" i="19"/>
  <c r="K346" i="19"/>
  <c r="L346" i="19"/>
  <c r="L364" i="19"/>
  <c r="K364" i="19"/>
  <c r="K331" i="19"/>
  <c r="L331" i="19"/>
  <c r="K266" i="19"/>
  <c r="L266" i="19"/>
  <c r="K300" i="19"/>
  <c r="L300" i="19"/>
  <c r="K289" i="19"/>
  <c r="L289" i="19"/>
  <c r="L355" i="19"/>
  <c r="K355" i="19"/>
  <c r="K264" i="19"/>
  <c r="L264" i="19"/>
  <c r="L305" i="19"/>
  <c r="K305" i="19"/>
  <c r="L309" i="19"/>
  <c r="K309" i="19"/>
  <c r="K329" i="19"/>
  <c r="L329" i="19"/>
  <c r="K352" i="19"/>
  <c r="L352" i="19"/>
  <c r="L368" i="19"/>
  <c r="K368" i="19"/>
  <c r="L334" i="19"/>
  <c r="K334" i="19"/>
  <c r="K328" i="19"/>
  <c r="L328" i="19"/>
  <c r="K284" i="19"/>
  <c r="L284" i="19"/>
  <c r="K288" i="19"/>
  <c r="L288" i="19"/>
  <c r="L372" i="19"/>
  <c r="K372" i="19"/>
  <c r="L376" i="19"/>
  <c r="K376" i="19"/>
  <c r="L391" i="19"/>
  <c r="K391" i="19"/>
  <c r="L394" i="19"/>
  <c r="K394" i="19"/>
  <c r="L383" i="19"/>
  <c r="K383" i="19"/>
  <c r="L373" i="19"/>
  <c r="K373" i="19"/>
  <c r="L396" i="19"/>
  <c r="K396" i="19"/>
  <c r="K400" i="19"/>
  <c r="L400" i="19"/>
  <c r="L40" i="19"/>
  <c r="K40" i="19"/>
  <c r="L54" i="19"/>
  <c r="K54" i="19"/>
  <c r="L67" i="19"/>
  <c r="K67" i="19"/>
  <c r="K76" i="19"/>
  <c r="L76" i="19"/>
  <c r="K88" i="19"/>
  <c r="L88" i="19"/>
  <c r="L101" i="19"/>
  <c r="K101" i="19"/>
  <c r="L112" i="19"/>
  <c r="K112" i="19"/>
  <c r="K124" i="19"/>
  <c r="L124" i="19"/>
  <c r="L135" i="19"/>
  <c r="K135" i="19"/>
  <c r="K147" i="19"/>
  <c r="L147" i="19"/>
  <c r="K159" i="19"/>
  <c r="L159" i="19"/>
  <c r="L171" i="19"/>
  <c r="K171" i="19"/>
  <c r="L183" i="19"/>
  <c r="K183" i="19"/>
  <c r="L195" i="19"/>
  <c r="K195" i="19"/>
  <c r="K207" i="19"/>
  <c r="L207" i="19"/>
  <c r="L219" i="19"/>
  <c r="K219" i="19"/>
  <c r="L231" i="19"/>
  <c r="K231" i="19"/>
  <c r="K239" i="19"/>
  <c r="L239" i="19"/>
  <c r="L258" i="19"/>
  <c r="K258" i="19"/>
  <c r="L335" i="19"/>
  <c r="K335" i="19"/>
  <c r="K268" i="19"/>
  <c r="L268" i="19"/>
  <c r="K298" i="19"/>
  <c r="L298" i="19"/>
  <c r="K269" i="19"/>
  <c r="L269" i="19"/>
  <c r="K347" i="19"/>
  <c r="L347" i="19"/>
  <c r="L295" i="19"/>
  <c r="K295" i="19"/>
  <c r="L360" i="19"/>
  <c r="K360" i="19"/>
  <c r="K267" i="19"/>
  <c r="L267" i="19"/>
  <c r="L375" i="19"/>
  <c r="K375" i="19"/>
  <c r="K387" i="19"/>
  <c r="L387" i="19"/>
  <c r="L32" i="19"/>
  <c r="K32" i="19"/>
  <c r="K41" i="19"/>
  <c r="L41" i="19"/>
  <c r="K44" i="19"/>
  <c r="L44" i="19"/>
  <c r="K49" i="19"/>
  <c r="L49" i="19"/>
  <c r="K53" i="19"/>
  <c r="L53" i="19"/>
  <c r="K57" i="19"/>
  <c r="L57" i="19"/>
  <c r="K61" i="19"/>
  <c r="L61" i="19"/>
  <c r="K66" i="19"/>
  <c r="L66" i="19"/>
  <c r="L46" i="19"/>
  <c r="K46" i="19"/>
  <c r="K71" i="19"/>
  <c r="L71" i="19"/>
  <c r="L79" i="19"/>
  <c r="K79" i="19"/>
  <c r="L84" i="19"/>
  <c r="K84" i="19"/>
  <c r="L87" i="19"/>
  <c r="K87" i="19"/>
  <c r="L91" i="19"/>
  <c r="K91" i="19"/>
  <c r="L95" i="19"/>
  <c r="K95" i="19"/>
  <c r="L100" i="19"/>
  <c r="K100" i="19"/>
  <c r="L104" i="19"/>
  <c r="K104" i="19"/>
  <c r="K107" i="19"/>
  <c r="L107" i="19"/>
  <c r="K111" i="19"/>
  <c r="L111" i="19"/>
  <c r="L115" i="19"/>
  <c r="K115" i="19"/>
  <c r="K119" i="19"/>
  <c r="L119" i="19"/>
  <c r="L123" i="19"/>
  <c r="K123" i="19"/>
  <c r="L126" i="19"/>
  <c r="K126" i="19"/>
  <c r="L130" i="19"/>
  <c r="K130" i="19"/>
  <c r="K134" i="19"/>
  <c r="L134" i="19"/>
  <c r="L138" i="19"/>
  <c r="K138" i="19"/>
  <c r="L142" i="19"/>
  <c r="K142" i="19"/>
  <c r="L146" i="19"/>
  <c r="K146" i="19"/>
  <c r="L150" i="19"/>
  <c r="K150" i="19"/>
  <c r="L154" i="19"/>
  <c r="K154" i="19"/>
  <c r="L158" i="19"/>
  <c r="K158" i="19"/>
  <c r="L162" i="19"/>
  <c r="K162" i="19"/>
  <c r="L166" i="19"/>
  <c r="K166" i="19"/>
  <c r="L170" i="19"/>
  <c r="K170" i="19"/>
  <c r="K175" i="19"/>
  <c r="L175" i="19"/>
  <c r="L179" i="19"/>
  <c r="K179" i="19"/>
  <c r="K182" i="19"/>
  <c r="L182" i="19"/>
  <c r="K186" i="19"/>
  <c r="L186" i="19"/>
  <c r="L190" i="19"/>
  <c r="K190" i="19"/>
  <c r="K194" i="19"/>
  <c r="L194" i="19"/>
  <c r="K198" i="19"/>
  <c r="L198" i="19"/>
  <c r="K202" i="19"/>
  <c r="L202" i="19"/>
  <c r="L206" i="19"/>
  <c r="K206" i="19"/>
  <c r="L210" i="19"/>
  <c r="K210" i="19"/>
  <c r="K214" i="19"/>
  <c r="L214" i="19"/>
  <c r="L218" i="19"/>
  <c r="K218" i="19"/>
  <c r="L222" i="19"/>
  <c r="K222" i="19"/>
  <c r="K226" i="19"/>
  <c r="L226" i="19"/>
  <c r="L230" i="19"/>
  <c r="K230" i="19"/>
  <c r="K234" i="19"/>
  <c r="L234" i="19"/>
  <c r="L251" i="19"/>
  <c r="K251" i="19"/>
  <c r="K252" i="19"/>
  <c r="L252" i="19"/>
  <c r="L248" i="19"/>
  <c r="K248" i="19"/>
  <c r="L253" i="19"/>
  <c r="K253" i="19"/>
  <c r="K254" i="19"/>
  <c r="L254" i="19"/>
  <c r="L259" i="19"/>
  <c r="K259" i="19"/>
  <c r="K262" i="19"/>
  <c r="L262" i="19"/>
  <c r="L349" i="19"/>
  <c r="K349" i="19"/>
  <c r="L337" i="19"/>
  <c r="K337" i="19"/>
  <c r="K322" i="19"/>
  <c r="L322" i="19"/>
  <c r="K308" i="19"/>
  <c r="L308" i="19"/>
  <c r="K285" i="19"/>
  <c r="L285" i="19"/>
  <c r="L316" i="19"/>
  <c r="K316" i="19"/>
  <c r="L280" i="19"/>
  <c r="K280" i="19"/>
  <c r="L323" i="19"/>
  <c r="K323" i="19"/>
  <c r="K350" i="19"/>
  <c r="L350" i="19"/>
  <c r="L367" i="19"/>
  <c r="K367" i="19"/>
  <c r="L336" i="19"/>
  <c r="K336" i="19"/>
  <c r="L293" i="19"/>
  <c r="K293" i="19"/>
  <c r="L277" i="19"/>
  <c r="K277" i="19"/>
  <c r="L343" i="19"/>
  <c r="K343" i="19"/>
  <c r="L359" i="19"/>
  <c r="K359" i="19"/>
  <c r="L279" i="19"/>
  <c r="K279" i="19"/>
  <c r="L314" i="19"/>
  <c r="K314" i="19"/>
  <c r="K310" i="19"/>
  <c r="L310" i="19"/>
  <c r="L311" i="19"/>
  <c r="K311" i="19"/>
  <c r="K356" i="19"/>
  <c r="L356" i="19"/>
  <c r="K369" i="19"/>
  <c r="L369" i="19"/>
  <c r="K294" i="19"/>
  <c r="L294" i="19"/>
  <c r="K270" i="19"/>
  <c r="L270" i="19"/>
  <c r="K282" i="19"/>
  <c r="L282" i="19"/>
  <c r="K302" i="19"/>
  <c r="L302" i="19"/>
  <c r="L388" i="19"/>
  <c r="K388" i="19"/>
  <c r="K379" i="19"/>
  <c r="L379" i="19"/>
  <c r="K390" i="19"/>
  <c r="L390" i="19"/>
  <c r="K382" i="19"/>
  <c r="L382" i="19"/>
  <c r="K389" i="19"/>
  <c r="L389" i="19"/>
  <c r="L378" i="19"/>
  <c r="K378" i="19"/>
  <c r="L397" i="19"/>
  <c r="K397" i="19"/>
  <c r="K401" i="19"/>
  <c r="L401" i="19"/>
  <c r="AI40" i="8"/>
  <c r="AI54" i="8"/>
  <c r="AI67" i="8"/>
  <c r="AI76" i="8"/>
  <c r="AI88" i="8"/>
  <c r="AI101" i="8"/>
  <c r="AI112" i="8"/>
  <c r="AI127" i="8"/>
  <c r="AI139" i="8"/>
  <c r="AI151" i="8"/>
  <c r="AI163" i="8"/>
  <c r="AI176" i="8"/>
  <c r="AI187" i="8"/>
  <c r="AI199" i="8"/>
  <c r="AI211" i="8"/>
  <c r="AI223" i="8"/>
  <c r="AI238" i="8"/>
  <c r="AI239" i="8"/>
  <c r="AI258" i="8"/>
  <c r="AI335" i="8"/>
  <c r="AI268" i="8"/>
  <c r="AI298" i="8"/>
  <c r="AI269" i="8"/>
  <c r="AI347" i="8"/>
  <c r="AI295" i="8"/>
  <c r="AI360" i="8"/>
  <c r="AI267" i="8"/>
  <c r="AI375" i="8"/>
  <c r="AI380" i="8"/>
  <c r="AI398" i="8"/>
  <c r="AI39" i="8"/>
  <c r="AI42" i="8"/>
  <c r="AI47" i="8"/>
  <c r="AI51" i="8"/>
  <c r="AI55" i="8"/>
  <c r="AI59" i="8"/>
  <c r="AI64" i="8"/>
  <c r="AI68" i="8"/>
  <c r="AI69" i="8"/>
  <c r="AI73" i="8"/>
  <c r="AI77" i="8"/>
  <c r="AI81" i="8"/>
  <c r="AI85" i="8"/>
  <c r="AI89" i="8"/>
  <c r="AI93" i="8"/>
  <c r="AI96" i="8"/>
  <c r="AI102" i="8"/>
  <c r="AI98" i="8"/>
  <c r="AI109" i="8"/>
  <c r="AI113" i="8"/>
  <c r="AI117" i="8"/>
  <c r="AI121" i="8"/>
  <c r="AI125" i="8"/>
  <c r="AI128" i="8"/>
  <c r="AI132" i="8"/>
  <c r="AI136" i="8"/>
  <c r="AI140" i="8"/>
  <c r="AI144" i="8"/>
  <c r="AI148" i="8"/>
  <c r="AI152" i="8"/>
  <c r="AI156" i="8"/>
  <c r="AI160" i="8"/>
  <c r="AI164" i="8"/>
  <c r="AI168" i="8"/>
  <c r="AI172" i="8"/>
  <c r="AI177" i="8"/>
  <c r="AI174" i="8"/>
  <c r="AI184" i="8"/>
  <c r="AI188" i="8"/>
  <c r="AI192" i="8"/>
  <c r="AI196" i="8"/>
  <c r="AI200" i="8"/>
  <c r="AI204" i="8"/>
  <c r="AI208" i="8"/>
  <c r="AI212" i="8"/>
  <c r="AI216" i="8"/>
  <c r="AI220" i="8"/>
  <c r="AI224" i="8"/>
  <c r="AI228" i="8"/>
  <c r="AI232" i="8"/>
  <c r="AI249" i="8"/>
  <c r="AI247" i="8"/>
  <c r="AI244" i="8"/>
  <c r="AI237" i="8"/>
  <c r="AI250" i="8"/>
  <c r="AI256" i="8"/>
  <c r="AI260" i="8"/>
  <c r="AI341" i="8"/>
  <c r="AI338" i="8"/>
  <c r="AI327" i="8"/>
  <c r="AI318" i="8"/>
  <c r="AI297" i="8"/>
  <c r="AI274" i="8"/>
  <c r="AI283" i="8"/>
  <c r="AI278" i="8"/>
  <c r="AI342" i="8"/>
  <c r="AI358" i="8"/>
  <c r="AI333" i="8"/>
  <c r="AI320" i="8"/>
  <c r="AI273" i="8"/>
  <c r="AI319" i="8"/>
  <c r="AI351" i="8"/>
  <c r="AI340" i="8"/>
  <c r="AI271" i="8"/>
  <c r="AI321" i="8"/>
  <c r="AI292" i="8"/>
  <c r="AI348" i="8"/>
  <c r="AI362" i="8"/>
  <c r="AI330" i="8"/>
  <c r="AI281" i="8"/>
  <c r="AI307" i="8"/>
  <c r="AI296" i="8"/>
  <c r="AI325" i="8"/>
  <c r="AI371" i="8"/>
  <c r="AI377" i="8"/>
  <c r="AI392" i="8"/>
  <c r="AI385" i="8"/>
  <c r="AI393" i="8"/>
  <c r="AI384" i="8"/>
  <c r="AI399" i="8"/>
  <c r="AI38" i="8"/>
  <c r="AI45" i="8"/>
  <c r="AI58" i="8"/>
  <c r="AI63" i="8"/>
  <c r="AI80" i="8"/>
  <c r="AI92" i="8"/>
  <c r="AI105" i="8"/>
  <c r="AI116" i="8"/>
  <c r="AI124" i="8"/>
  <c r="AI135" i="8"/>
  <c r="AI147" i="8"/>
  <c r="AI159" i="8"/>
  <c r="AI171" i="8"/>
  <c r="AI183" i="8"/>
  <c r="AI195" i="8"/>
  <c r="AI207" i="8"/>
  <c r="AI219" i="8"/>
  <c r="AI231" i="8"/>
  <c r="AI242" i="8"/>
  <c r="AI255" i="8"/>
  <c r="AI357" i="8"/>
  <c r="AI306" i="8"/>
  <c r="AI312" i="8"/>
  <c r="AI332" i="8"/>
  <c r="AI287" i="8"/>
  <c r="AI291" i="8"/>
  <c r="AI344" i="8"/>
  <c r="AI290" i="8"/>
  <c r="AI276" i="8"/>
  <c r="AI381" i="8"/>
  <c r="AI374" i="8"/>
  <c r="AI33" i="8"/>
  <c r="AI36" i="8"/>
  <c r="AI43" i="8"/>
  <c r="AI48" i="8"/>
  <c r="AI52" i="8"/>
  <c r="AI56" i="8"/>
  <c r="AI60" i="8"/>
  <c r="AI65" i="8"/>
  <c r="AI37" i="8"/>
  <c r="AI70" i="8"/>
  <c r="AI74" i="8"/>
  <c r="AI78" i="8"/>
  <c r="AI83" i="8"/>
  <c r="AI86" i="8"/>
  <c r="AI90" i="8"/>
  <c r="AI94" i="8"/>
  <c r="AI99" i="8"/>
  <c r="AI103" i="8"/>
  <c r="AI106" i="8"/>
  <c r="AI110" i="8"/>
  <c r="AI114" i="8"/>
  <c r="AI118" i="8"/>
  <c r="AI122" i="8"/>
  <c r="AI35" i="8"/>
  <c r="AI129" i="8"/>
  <c r="AI133" i="8"/>
  <c r="AI137" i="8"/>
  <c r="AI141" i="8"/>
  <c r="AI145" i="8"/>
  <c r="AI149" i="8"/>
  <c r="AI153" i="8"/>
  <c r="AI157" i="8"/>
  <c r="AI161" i="8"/>
  <c r="AI165" i="8"/>
  <c r="AI169" i="8"/>
  <c r="AI173" i="8"/>
  <c r="AI178" i="8"/>
  <c r="AI181" i="8"/>
  <c r="AI185" i="8"/>
  <c r="AI189" i="8"/>
  <c r="AI193" i="8"/>
  <c r="AI197" i="8"/>
  <c r="AI201" i="8"/>
  <c r="AI205" i="8"/>
  <c r="AI209" i="8"/>
  <c r="AI213" i="8"/>
  <c r="AI217" i="8"/>
  <c r="AI221" i="8"/>
  <c r="AI225" i="8"/>
  <c r="AI229" i="8"/>
  <c r="AI233" i="8"/>
  <c r="AI240" i="8"/>
  <c r="AI235" i="8"/>
  <c r="AI236" i="8"/>
  <c r="AI241" i="8"/>
  <c r="AI246" i="8"/>
  <c r="AI257" i="8"/>
  <c r="AI261" i="8"/>
  <c r="AI345" i="8"/>
  <c r="AI370" i="8"/>
  <c r="AI326" i="8"/>
  <c r="AI317" i="8"/>
  <c r="AI286" i="8"/>
  <c r="AI265" i="8"/>
  <c r="AI324" i="8"/>
  <c r="AI299" i="8"/>
  <c r="AI346" i="8"/>
  <c r="AI364" i="8"/>
  <c r="AI331" i="8"/>
  <c r="AI266" i="8"/>
  <c r="AI300" i="8"/>
  <c r="AI289" i="8"/>
  <c r="AI355" i="8"/>
  <c r="AI264" i="8"/>
  <c r="AI305" i="8"/>
  <c r="AI309" i="8"/>
  <c r="AI329" i="8"/>
  <c r="AI352" i="8"/>
  <c r="AI368" i="8"/>
  <c r="AI334" i="8"/>
  <c r="AI328" i="8"/>
  <c r="AI284" i="8"/>
  <c r="AI288" i="8"/>
  <c r="AI372" i="8"/>
  <c r="AI376" i="8"/>
  <c r="AI391" i="8"/>
  <c r="AI394" i="8"/>
  <c r="AI383" i="8"/>
  <c r="AI373" i="8"/>
  <c r="AI396" i="8"/>
  <c r="AI400" i="8"/>
  <c r="AI50" i="8"/>
  <c r="AI62" i="8"/>
  <c r="AI72" i="8"/>
  <c r="AI82" i="8"/>
  <c r="AI97" i="8"/>
  <c r="AI108" i="8"/>
  <c r="AI120" i="8"/>
  <c r="AI131" i="8"/>
  <c r="AI143" i="8"/>
  <c r="AI155" i="8"/>
  <c r="AI167" i="8"/>
  <c r="AI180" i="8"/>
  <c r="AI191" i="8"/>
  <c r="AI203" i="8"/>
  <c r="AI215" i="8"/>
  <c r="AI227" i="8"/>
  <c r="AI245" i="8"/>
  <c r="AI243" i="8"/>
  <c r="AI263" i="8"/>
  <c r="AI313" i="8"/>
  <c r="AI303" i="8"/>
  <c r="AI354" i="8"/>
  <c r="AI315" i="8"/>
  <c r="AI363" i="8"/>
  <c r="AI272" i="8"/>
  <c r="AI339" i="8"/>
  <c r="AI304" i="8"/>
  <c r="AI386" i="8"/>
  <c r="AI387" i="8"/>
  <c r="AI32" i="8"/>
  <c r="AI41" i="8"/>
  <c r="AI44" i="8"/>
  <c r="AI49" i="8"/>
  <c r="AI53" i="8"/>
  <c r="AI57" i="8"/>
  <c r="AI61" i="8"/>
  <c r="AI66" i="8"/>
  <c r="AI46" i="8"/>
  <c r="AI71" i="8"/>
  <c r="AI75" i="8"/>
  <c r="AI79" i="8"/>
  <c r="AI84" i="8"/>
  <c r="AI87" i="8"/>
  <c r="AI91" i="8"/>
  <c r="AI95" i="8"/>
  <c r="AI100" i="8"/>
  <c r="AI104" i="8"/>
  <c r="AI107" i="8"/>
  <c r="AI111" i="8"/>
  <c r="AI115" i="8"/>
  <c r="AI119" i="8"/>
  <c r="AI123" i="8"/>
  <c r="AI126" i="8"/>
  <c r="AI130" i="8"/>
  <c r="AI134" i="8"/>
  <c r="AI138" i="8"/>
  <c r="AI142" i="8"/>
  <c r="AI146" i="8"/>
  <c r="AI150" i="8"/>
  <c r="AI154" i="8"/>
  <c r="AI158" i="8"/>
  <c r="AI162" i="8"/>
  <c r="AI166" i="8"/>
  <c r="AI170" i="8"/>
  <c r="AI175" i="8"/>
  <c r="AI179" i="8"/>
  <c r="AI182" i="8"/>
  <c r="AI186" i="8"/>
  <c r="AI190" i="8"/>
  <c r="AI194" i="8"/>
  <c r="AI198" i="8"/>
  <c r="AI202" i="8"/>
  <c r="AI206" i="8"/>
  <c r="AI210" i="8"/>
  <c r="AI214" i="8"/>
  <c r="AI218" i="8"/>
  <c r="AI222" i="8"/>
  <c r="AI226" i="8"/>
  <c r="AI230" i="8"/>
  <c r="AI234" i="8"/>
  <c r="AI251" i="8"/>
  <c r="AI252" i="8"/>
  <c r="AI248" i="8"/>
  <c r="AI253" i="8"/>
  <c r="AI254" i="8"/>
  <c r="AI259" i="8"/>
  <c r="AI262" i="8"/>
  <c r="AI349" i="8"/>
  <c r="AI337" i="8"/>
  <c r="AI322" i="8"/>
  <c r="AI308" i="8"/>
  <c r="AI285" i="8"/>
  <c r="AI316" i="8"/>
  <c r="AI280" i="8"/>
  <c r="AI323" i="8"/>
  <c r="AI350" i="8"/>
  <c r="AI367" i="8"/>
  <c r="AI336" i="8"/>
  <c r="AI293" i="8"/>
  <c r="AI277" i="8"/>
  <c r="AI343" i="8"/>
  <c r="AI359" i="8"/>
  <c r="AI279" i="8"/>
  <c r="AI314" i="8"/>
  <c r="AI310" i="8"/>
  <c r="AI311" i="8"/>
  <c r="AI356" i="8"/>
  <c r="AI369" i="8"/>
  <c r="AI294" i="8"/>
  <c r="AI270" i="8"/>
  <c r="AI282" i="8"/>
  <c r="AI302" i="8"/>
  <c r="AI388" i="8"/>
  <c r="AI379" i="8"/>
  <c r="AI390" i="8"/>
  <c r="AI382" i="8"/>
  <c r="AI389" i="8"/>
  <c r="AI378" i="8"/>
  <c r="AI397" i="8"/>
  <c r="AI401" i="8"/>
  <c r="AF401" i="14"/>
  <c r="M401" i="19" s="1"/>
  <c r="AF400" i="14"/>
  <c r="M400" i="19" s="1"/>
  <c r="AF399" i="14"/>
  <c r="M399" i="19" s="1"/>
  <c r="AF398" i="14"/>
  <c r="M398" i="19" s="1"/>
  <c r="AF397" i="14"/>
  <c r="M397" i="19" s="1"/>
  <c r="AF396" i="14"/>
  <c r="M396" i="19" s="1"/>
  <c r="AF384" i="14"/>
  <c r="M384" i="19" s="1"/>
  <c r="AF371" i="14"/>
  <c r="M371" i="19" s="1"/>
  <c r="AF379" i="14"/>
  <c r="M379" i="19" s="1"/>
  <c r="AF390" i="14"/>
  <c r="M390" i="19" s="1"/>
  <c r="AF392" i="14"/>
  <c r="M392" i="19" s="1"/>
  <c r="AF382" i="14"/>
  <c r="M382" i="19" s="1"/>
  <c r="AF385" i="14"/>
  <c r="M385" i="19" s="1"/>
  <c r="AF388" i="14"/>
  <c r="M388" i="19" s="1"/>
  <c r="AF377" i="14"/>
  <c r="M377" i="19" s="1"/>
  <c r="AF389" i="14"/>
  <c r="M389" i="19" s="1"/>
  <c r="AF393" i="14"/>
  <c r="M393" i="19" s="1"/>
  <c r="AF378" i="14"/>
  <c r="M378" i="19" s="1"/>
  <c r="AF375" i="14"/>
  <c r="M375" i="19" s="1"/>
  <c r="AF376" i="14"/>
  <c r="M376" i="19" s="1"/>
  <c r="AF391" i="14"/>
  <c r="M391" i="19" s="1"/>
  <c r="AF381" i="14"/>
  <c r="M381" i="19" s="1"/>
  <c r="AF383" i="14"/>
  <c r="M383" i="19" s="1"/>
  <c r="AF373" i="14"/>
  <c r="M373" i="19" s="1"/>
  <c r="AF374" i="14"/>
  <c r="M374" i="19" s="1"/>
  <c r="AF372" i="14"/>
  <c r="M372" i="19" s="1"/>
  <c r="AF386" i="14"/>
  <c r="M386" i="19" s="1"/>
  <c r="AF394" i="14"/>
  <c r="M394" i="19" s="1"/>
  <c r="AF380" i="14"/>
  <c r="M380" i="19" s="1"/>
  <c r="AF387" i="14"/>
  <c r="M387" i="19" s="1"/>
  <c r="AF345" i="14"/>
  <c r="M345" i="19" s="1"/>
  <c r="AF370" i="14"/>
  <c r="M370" i="19" s="1"/>
  <c r="AF326" i="14"/>
  <c r="M326" i="19" s="1"/>
  <c r="AF313" i="14"/>
  <c r="M313" i="19" s="1"/>
  <c r="AF306" i="14"/>
  <c r="M306" i="19" s="1"/>
  <c r="AF268" i="14"/>
  <c r="M268" i="19" s="1"/>
  <c r="AF265" i="14"/>
  <c r="M265" i="19" s="1"/>
  <c r="AF303" i="14"/>
  <c r="M303" i="19" s="1"/>
  <c r="AF324" i="14"/>
  <c r="M324" i="19" s="1"/>
  <c r="AF312" i="14"/>
  <c r="M312" i="19" s="1"/>
  <c r="AF299" i="14"/>
  <c r="M299" i="19" s="1"/>
  <c r="AF298" i="14"/>
  <c r="M298" i="19" s="1"/>
  <c r="AF332" i="14"/>
  <c r="M332" i="19" s="1"/>
  <c r="AF331" i="14"/>
  <c r="M331" i="19" s="1"/>
  <c r="AF266" i="14"/>
  <c r="M266" i="19" s="1"/>
  <c r="AF287" i="14"/>
  <c r="M287" i="19" s="1"/>
  <c r="AF264" i="14"/>
  <c r="M264" i="19" s="1"/>
  <c r="AF291" i="14"/>
  <c r="M291" i="19" s="1"/>
  <c r="AF305" i="14"/>
  <c r="M305" i="19" s="1"/>
  <c r="AF329" i="14"/>
  <c r="M329" i="19" s="1"/>
  <c r="AF344" i="14"/>
  <c r="M344" i="19" s="1"/>
  <c r="AF360" i="14"/>
  <c r="M360" i="19" s="1"/>
  <c r="AF290" i="14"/>
  <c r="M290" i="19" s="1"/>
  <c r="AF267" i="14"/>
  <c r="M267" i="19" s="1"/>
  <c r="AF357" i="14"/>
  <c r="M357" i="19" s="1"/>
  <c r="AF335" i="14"/>
  <c r="M335" i="19" s="1"/>
  <c r="AF317" i="14"/>
  <c r="M317" i="19" s="1"/>
  <c r="AF286" i="14"/>
  <c r="M286" i="19" s="1"/>
  <c r="AF346" i="14"/>
  <c r="M346" i="19" s="1"/>
  <c r="AF354" i="14"/>
  <c r="M354" i="19" s="1"/>
  <c r="AF364" i="14"/>
  <c r="M364" i="19" s="1"/>
  <c r="AF269" i="14"/>
  <c r="M269" i="19" s="1"/>
  <c r="AF315" i="14"/>
  <c r="M315" i="19" s="1"/>
  <c r="AF300" i="14"/>
  <c r="M300" i="19" s="1"/>
  <c r="AF289" i="14"/>
  <c r="M289" i="19" s="1"/>
  <c r="AF347" i="14"/>
  <c r="M347" i="19" s="1"/>
  <c r="AF355" i="14"/>
  <c r="M355" i="19" s="1"/>
  <c r="AF363" i="14"/>
  <c r="M363" i="19" s="1"/>
  <c r="AF295" i="14"/>
  <c r="M295" i="19" s="1"/>
  <c r="AF309" i="14"/>
  <c r="M309" i="19" s="1"/>
  <c r="AF272" i="14"/>
  <c r="M272" i="19" s="1"/>
  <c r="AF352" i="14"/>
  <c r="M352" i="19" s="1"/>
  <c r="AF368" i="14"/>
  <c r="M368" i="19" s="1"/>
  <c r="AF339" i="14"/>
  <c r="M339" i="19" s="1"/>
  <c r="AF334" i="14"/>
  <c r="M334" i="19" s="1"/>
  <c r="AF328" i="14"/>
  <c r="M328" i="19" s="1"/>
  <c r="AF284" i="14"/>
  <c r="M284" i="19" s="1"/>
  <c r="AF304" i="14"/>
  <c r="M304" i="19" s="1"/>
  <c r="AF288" i="14"/>
  <c r="M288" i="19" s="1"/>
  <c r="AF276" i="14"/>
  <c r="M276" i="19" s="1"/>
  <c r="AF338" i="14"/>
  <c r="M338" i="19" s="1"/>
  <c r="AF327" i="14"/>
  <c r="M327" i="19" s="1"/>
  <c r="AF318" i="14"/>
  <c r="M318" i="19" s="1"/>
  <c r="AF274" i="14"/>
  <c r="M274" i="19" s="1"/>
  <c r="AF316" i="14"/>
  <c r="M316" i="19" s="1"/>
  <c r="AF283" i="14"/>
  <c r="M283" i="19" s="1"/>
  <c r="AF278" i="14"/>
  <c r="M278" i="19" s="1"/>
  <c r="AF342" i="14"/>
  <c r="M342" i="19" s="1"/>
  <c r="AF336" i="14"/>
  <c r="M336" i="19" s="1"/>
  <c r="AF320" i="14"/>
  <c r="M320" i="19" s="1"/>
  <c r="AF273" i="14"/>
  <c r="M273" i="19" s="1"/>
  <c r="AF343" i="14"/>
  <c r="M343" i="19" s="1"/>
  <c r="AF359" i="14"/>
  <c r="M359" i="19" s="1"/>
  <c r="AF340" i="14"/>
  <c r="M340" i="19" s="1"/>
  <c r="AF279" i="14"/>
  <c r="M279" i="19" s="1"/>
  <c r="AF271" i="14"/>
  <c r="M271" i="19" s="1"/>
  <c r="AF321" i="14"/>
  <c r="M321" i="19" s="1"/>
  <c r="AF310" i="14"/>
  <c r="M310" i="19" s="1"/>
  <c r="AF356" i="14"/>
  <c r="M356" i="19" s="1"/>
  <c r="AF369" i="14"/>
  <c r="M369" i="19" s="1"/>
  <c r="AF330" i="14"/>
  <c r="M330" i="19" s="1"/>
  <c r="AF294" i="14"/>
  <c r="M294" i="19" s="1"/>
  <c r="AF270" i="14"/>
  <c r="M270" i="19" s="1"/>
  <c r="AF307" i="14"/>
  <c r="M307" i="19" s="1"/>
  <c r="AF282" i="14"/>
  <c r="M282" i="19" s="1"/>
  <c r="AF341" i="14"/>
  <c r="M341" i="19" s="1"/>
  <c r="AF349" i="14"/>
  <c r="M349" i="19" s="1"/>
  <c r="AF337" i="14"/>
  <c r="M337" i="19" s="1"/>
  <c r="AF322" i="14"/>
  <c r="M322" i="19" s="1"/>
  <c r="AF308" i="14"/>
  <c r="M308" i="19" s="1"/>
  <c r="AF297" i="14"/>
  <c r="M297" i="19" s="1"/>
  <c r="AF285" i="14"/>
  <c r="M285" i="19" s="1"/>
  <c r="AF280" i="14"/>
  <c r="M280" i="19" s="1"/>
  <c r="AF323" i="14"/>
  <c r="M323" i="19" s="1"/>
  <c r="AF350" i="14"/>
  <c r="M350" i="19" s="1"/>
  <c r="AF358" i="14"/>
  <c r="M358" i="19" s="1"/>
  <c r="AF367" i="14"/>
  <c r="M367" i="19" s="1"/>
  <c r="AF333" i="14"/>
  <c r="M333" i="19" s="1"/>
  <c r="AF293" i="14"/>
  <c r="M293" i="19" s="1"/>
  <c r="AF277" i="14"/>
  <c r="M277" i="19" s="1"/>
  <c r="AF319" i="14"/>
  <c r="M319" i="19" s="1"/>
  <c r="AF351" i="14"/>
  <c r="M351" i="19" s="1"/>
  <c r="AF314" i="14"/>
  <c r="M314" i="19" s="1"/>
  <c r="AF292" i="14"/>
  <c r="M292" i="19" s="1"/>
  <c r="AF311" i="14"/>
  <c r="M311" i="19" s="1"/>
  <c r="AF348" i="14"/>
  <c r="M348" i="19" s="1"/>
  <c r="AF362" i="14"/>
  <c r="M362" i="19" s="1"/>
  <c r="AF281" i="14"/>
  <c r="M281" i="19" s="1"/>
  <c r="AF296" i="14"/>
  <c r="M296" i="19" s="1"/>
  <c r="AF302" i="14"/>
  <c r="M302" i="19" s="1"/>
  <c r="AF325" i="14"/>
  <c r="M325" i="19" s="1"/>
  <c r="AF263" i="14"/>
  <c r="M263" i="19" s="1"/>
  <c r="AF262" i="14"/>
  <c r="M262" i="19" s="1"/>
  <c r="AF261" i="14"/>
  <c r="M261" i="19" s="1"/>
  <c r="AF260" i="14"/>
  <c r="M260" i="19" s="1"/>
  <c r="AF258" i="14"/>
  <c r="M258" i="19" s="1"/>
  <c r="AF259" i="14"/>
  <c r="M259" i="19" s="1"/>
  <c r="AF257" i="14"/>
  <c r="M257" i="19" s="1"/>
  <c r="AF256" i="14"/>
  <c r="M256" i="19" s="1"/>
  <c r="AF255" i="14"/>
  <c r="M255" i="19" s="1"/>
  <c r="AF254" i="14"/>
  <c r="M254" i="19" s="1"/>
  <c r="AF238" i="14"/>
  <c r="M238" i="19" s="1"/>
  <c r="AF251" i="14"/>
  <c r="M251" i="19" s="1"/>
  <c r="AF245" i="14"/>
  <c r="M245" i="19" s="1"/>
  <c r="AF247" i="14"/>
  <c r="M247" i="19" s="1"/>
  <c r="AF235" i="14"/>
  <c r="M235" i="19" s="1"/>
  <c r="AF244" i="14"/>
  <c r="M244" i="19" s="1"/>
  <c r="AF239" i="14"/>
  <c r="M239" i="19" s="1"/>
  <c r="AF237" i="14"/>
  <c r="M237" i="19" s="1"/>
  <c r="AF243" i="14"/>
  <c r="M243" i="19" s="1"/>
  <c r="AF250" i="14"/>
  <c r="M250" i="19" s="1"/>
  <c r="AF246" i="14"/>
  <c r="M246" i="19" s="1"/>
  <c r="AF234" i="14"/>
  <c r="M234" i="19" s="1"/>
  <c r="AF249" i="14"/>
  <c r="M249" i="19" s="1"/>
  <c r="AF240" i="14"/>
  <c r="M240" i="19" s="1"/>
  <c r="AF252" i="14"/>
  <c r="M252" i="19" s="1"/>
  <c r="AF242" i="14"/>
  <c r="M242" i="19" s="1"/>
  <c r="AF236" i="14"/>
  <c r="M236" i="19" s="1"/>
  <c r="AF248" i="14"/>
  <c r="M248" i="19" s="1"/>
  <c r="AF241" i="14"/>
  <c r="M241" i="19" s="1"/>
  <c r="AF253" i="14"/>
  <c r="M253" i="19" s="1"/>
  <c r="AF233" i="14"/>
  <c r="M233" i="19" s="1"/>
  <c r="AF232" i="14"/>
  <c r="M232" i="19" s="1"/>
  <c r="AF231" i="14"/>
  <c r="M231" i="19" s="1"/>
  <c r="AF230" i="14"/>
  <c r="M230" i="19" s="1"/>
  <c r="AF229" i="14"/>
  <c r="M229" i="19" s="1"/>
  <c r="AF228" i="14"/>
  <c r="M228" i="19" s="1"/>
  <c r="AF227" i="14"/>
  <c r="M227" i="19" s="1"/>
  <c r="AF226" i="14"/>
  <c r="M226" i="19" s="1"/>
  <c r="AF225" i="14"/>
  <c r="M225" i="19" s="1"/>
  <c r="AF224" i="14"/>
  <c r="M224" i="19" s="1"/>
  <c r="AF223" i="14"/>
  <c r="M223" i="19" s="1"/>
  <c r="AF222" i="14"/>
  <c r="M222" i="19" s="1"/>
  <c r="AF221" i="14"/>
  <c r="M221" i="19" s="1"/>
  <c r="AF220" i="14"/>
  <c r="M220" i="19" s="1"/>
  <c r="AF219" i="14"/>
  <c r="M219" i="19" s="1"/>
  <c r="AF218" i="14"/>
  <c r="M218" i="19" s="1"/>
  <c r="AF217" i="14"/>
  <c r="M217" i="19" s="1"/>
  <c r="AF216" i="14"/>
  <c r="M216" i="19" s="1"/>
  <c r="AF215" i="14"/>
  <c r="M215" i="19" s="1"/>
  <c r="AF214" i="14"/>
  <c r="M214" i="19" s="1"/>
  <c r="AF213" i="14"/>
  <c r="M213" i="19" s="1"/>
  <c r="AF212" i="14"/>
  <c r="M212" i="19" s="1"/>
  <c r="AF211" i="14"/>
  <c r="M211" i="19" s="1"/>
  <c r="AF210" i="14"/>
  <c r="M210" i="19" s="1"/>
  <c r="AF209" i="14"/>
  <c r="M209" i="19" s="1"/>
  <c r="AF208" i="14"/>
  <c r="M208" i="19" s="1"/>
  <c r="AF207" i="14"/>
  <c r="M207" i="19" s="1"/>
  <c r="AF206" i="14"/>
  <c r="M206" i="19" s="1"/>
  <c r="AF205" i="14"/>
  <c r="M205" i="19" s="1"/>
  <c r="AF204" i="14"/>
  <c r="M204" i="19" s="1"/>
  <c r="AF203" i="14"/>
  <c r="M203" i="19" s="1"/>
  <c r="AF202" i="14"/>
  <c r="M202" i="19" s="1"/>
  <c r="AF201" i="14"/>
  <c r="M201" i="19" s="1"/>
  <c r="AF200" i="14"/>
  <c r="M200" i="19" s="1"/>
  <c r="AF199" i="14"/>
  <c r="M199" i="19" s="1"/>
  <c r="AF198" i="14"/>
  <c r="M198" i="19" s="1"/>
  <c r="AF197" i="14"/>
  <c r="M197" i="19" s="1"/>
  <c r="AF196" i="14"/>
  <c r="M196" i="19" s="1"/>
  <c r="AF195" i="14"/>
  <c r="M195" i="19" s="1"/>
  <c r="AF194" i="14"/>
  <c r="M194" i="19" s="1"/>
  <c r="AF193" i="14"/>
  <c r="M193" i="19" s="1"/>
  <c r="AF192" i="14"/>
  <c r="M192" i="19" s="1"/>
  <c r="AF191" i="14"/>
  <c r="M191" i="19" s="1"/>
  <c r="AF190" i="14"/>
  <c r="M190" i="19" s="1"/>
  <c r="AF189" i="14"/>
  <c r="M189" i="19" s="1"/>
  <c r="AF188" i="14"/>
  <c r="M188" i="19" s="1"/>
  <c r="AF187" i="14"/>
  <c r="M187" i="19" s="1"/>
  <c r="AF186" i="14"/>
  <c r="M186" i="19" s="1"/>
  <c r="AF185" i="14"/>
  <c r="M185" i="19" s="1"/>
  <c r="AF184" i="14"/>
  <c r="M184" i="19" s="1"/>
  <c r="AF183" i="14"/>
  <c r="M183" i="19" s="1"/>
  <c r="AF182" i="14"/>
  <c r="M182" i="19" s="1"/>
  <c r="AF181" i="14"/>
  <c r="M181" i="19" s="1"/>
  <c r="AF174" i="14"/>
  <c r="M174" i="19" s="1"/>
  <c r="AF180" i="14"/>
  <c r="M180" i="19" s="1"/>
  <c r="AF179" i="14"/>
  <c r="M179" i="19" s="1"/>
  <c r="AF178" i="14"/>
  <c r="M178" i="19" s="1"/>
  <c r="AF177" i="14"/>
  <c r="M177" i="19" s="1"/>
  <c r="AF176" i="14"/>
  <c r="M176" i="19" s="1"/>
  <c r="AF175" i="14"/>
  <c r="M175" i="19" s="1"/>
  <c r="AF173" i="14"/>
  <c r="M173" i="19" s="1"/>
  <c r="AF172" i="14"/>
  <c r="M172" i="19" s="1"/>
  <c r="AF171" i="14"/>
  <c r="M171" i="19" s="1"/>
  <c r="AF170" i="14"/>
  <c r="M170" i="19" s="1"/>
  <c r="AF169" i="14"/>
  <c r="M169" i="19" s="1"/>
  <c r="AF168" i="14"/>
  <c r="M168" i="19" s="1"/>
  <c r="AF167" i="14"/>
  <c r="M167" i="19" s="1"/>
  <c r="AF166" i="14"/>
  <c r="M166" i="19" s="1"/>
  <c r="AF165" i="14"/>
  <c r="M165" i="19" s="1"/>
  <c r="AF164" i="14"/>
  <c r="M164" i="19" s="1"/>
  <c r="AF163" i="14"/>
  <c r="M163" i="19" s="1"/>
  <c r="AF162" i="14"/>
  <c r="M162" i="19" s="1"/>
  <c r="AF161" i="14"/>
  <c r="M161" i="19" s="1"/>
  <c r="AF160" i="14"/>
  <c r="M160" i="19" s="1"/>
  <c r="AF159" i="14"/>
  <c r="M159" i="19" s="1"/>
  <c r="AF158" i="14"/>
  <c r="M158" i="19" s="1"/>
  <c r="AF157" i="14"/>
  <c r="M157" i="19" s="1"/>
  <c r="AF156" i="14"/>
  <c r="M156" i="19" s="1"/>
  <c r="AF155" i="14"/>
  <c r="M155" i="19" s="1"/>
  <c r="AF154" i="14"/>
  <c r="M154" i="19" s="1"/>
  <c r="AF153" i="14"/>
  <c r="M153" i="19" s="1"/>
  <c r="AF152" i="14"/>
  <c r="M152" i="19" s="1"/>
  <c r="AF151" i="14"/>
  <c r="M151" i="19" s="1"/>
  <c r="AF150" i="14"/>
  <c r="M150" i="19" s="1"/>
  <c r="AF149" i="14"/>
  <c r="M149" i="19" s="1"/>
  <c r="AF148" i="14"/>
  <c r="M148" i="19" s="1"/>
  <c r="AF147" i="14"/>
  <c r="M147" i="19" s="1"/>
  <c r="AF146" i="14"/>
  <c r="M146" i="19" s="1"/>
  <c r="AF145" i="14"/>
  <c r="M145" i="19" s="1"/>
  <c r="AF144" i="14"/>
  <c r="M144" i="19" s="1"/>
  <c r="AF143" i="14"/>
  <c r="M143" i="19" s="1"/>
  <c r="AF142" i="14"/>
  <c r="M142" i="19" s="1"/>
  <c r="AF141" i="14"/>
  <c r="M141" i="19" s="1"/>
  <c r="AF140" i="14"/>
  <c r="M140" i="19" s="1"/>
  <c r="AF139" i="14"/>
  <c r="M139" i="19" s="1"/>
  <c r="AF138" i="14"/>
  <c r="M138" i="19" s="1"/>
  <c r="AF137" i="14"/>
  <c r="M137" i="19" s="1"/>
  <c r="AF136" i="14"/>
  <c r="M136" i="19" s="1"/>
  <c r="AF135" i="14"/>
  <c r="M135" i="19" s="1"/>
  <c r="AF134" i="14"/>
  <c r="M134" i="19" s="1"/>
  <c r="AF133" i="14"/>
  <c r="M133" i="19" s="1"/>
  <c r="AF132" i="14"/>
  <c r="M132" i="19" s="1"/>
  <c r="AF131" i="14"/>
  <c r="M131" i="19" s="1"/>
  <c r="AF130" i="14"/>
  <c r="M130" i="19" s="1"/>
  <c r="AF129" i="14"/>
  <c r="M129" i="19" s="1"/>
  <c r="AF128" i="14"/>
  <c r="M128" i="19" s="1"/>
  <c r="AF127" i="14"/>
  <c r="M127" i="19" s="1"/>
  <c r="AF126" i="14"/>
  <c r="M126" i="19" s="1"/>
  <c r="AF35" i="14"/>
  <c r="M35" i="19" s="1"/>
  <c r="AF125" i="14"/>
  <c r="M125" i="19" s="1"/>
  <c r="AF124" i="14"/>
  <c r="M124" i="19" s="1"/>
  <c r="AF123" i="14"/>
  <c r="M123" i="19" s="1"/>
  <c r="AF122" i="14"/>
  <c r="M122" i="19" s="1"/>
  <c r="AF121" i="14"/>
  <c r="M121" i="19" s="1"/>
  <c r="AF120" i="14"/>
  <c r="M120" i="19" s="1"/>
  <c r="AF119" i="14"/>
  <c r="M119" i="19" s="1"/>
  <c r="AF118" i="14"/>
  <c r="M118" i="19" s="1"/>
  <c r="AF117" i="14"/>
  <c r="M117" i="19" s="1"/>
  <c r="AF116" i="14"/>
  <c r="M116" i="19" s="1"/>
  <c r="AF115" i="14"/>
  <c r="M115" i="19" s="1"/>
  <c r="AF114" i="14"/>
  <c r="M114" i="19" s="1"/>
  <c r="AF113" i="14"/>
  <c r="M113" i="19" s="1"/>
  <c r="AF112" i="14"/>
  <c r="M112" i="19" s="1"/>
  <c r="AF111" i="14"/>
  <c r="M111" i="19" s="1"/>
  <c r="AF110" i="14"/>
  <c r="M110" i="19" s="1"/>
  <c r="AF109" i="14"/>
  <c r="M109" i="19" s="1"/>
  <c r="AF108" i="14"/>
  <c r="M108" i="19" s="1"/>
  <c r="AF107" i="14"/>
  <c r="M107" i="19" s="1"/>
  <c r="AF106" i="14"/>
  <c r="M106" i="19" s="1"/>
  <c r="AF98" i="14"/>
  <c r="M98" i="19" s="1"/>
  <c r="AF105" i="14"/>
  <c r="M105" i="19" s="1"/>
  <c r="AF104" i="14"/>
  <c r="M104" i="19" s="1"/>
  <c r="AF103" i="14"/>
  <c r="M103" i="19" s="1"/>
  <c r="AF102" i="14"/>
  <c r="M102" i="19" s="1"/>
  <c r="AF101" i="14"/>
  <c r="M101" i="19" s="1"/>
  <c r="AF100" i="14"/>
  <c r="M100" i="19" s="1"/>
  <c r="AF99" i="14"/>
  <c r="M99" i="19" s="1"/>
  <c r="AF97" i="14"/>
  <c r="M97" i="19" s="1"/>
  <c r="AF96" i="14"/>
  <c r="M96" i="19" s="1"/>
  <c r="AF95" i="14"/>
  <c r="M95" i="19" s="1"/>
  <c r="AF94" i="14"/>
  <c r="M94" i="19" s="1"/>
  <c r="AF93" i="14"/>
  <c r="M93" i="19" s="1"/>
  <c r="AF92" i="14"/>
  <c r="M92" i="19" s="1"/>
  <c r="AF91" i="14"/>
  <c r="M91" i="19" s="1"/>
  <c r="AF90" i="14"/>
  <c r="M90" i="19" s="1"/>
  <c r="AF89" i="14"/>
  <c r="M89" i="19" s="1"/>
  <c r="AF88" i="14"/>
  <c r="M88" i="19" s="1"/>
  <c r="AF87" i="14"/>
  <c r="M87" i="19" s="1"/>
  <c r="AF86" i="14"/>
  <c r="M86" i="19" s="1"/>
  <c r="AF85" i="14"/>
  <c r="M85" i="19" s="1"/>
  <c r="AF82" i="14"/>
  <c r="M82" i="19" s="1"/>
  <c r="AF84" i="14"/>
  <c r="M84" i="19" s="1"/>
  <c r="AF83" i="14"/>
  <c r="M83" i="19" s="1"/>
  <c r="AF81" i="14"/>
  <c r="M81" i="19" s="1"/>
  <c r="AF80" i="14"/>
  <c r="M80" i="19" s="1"/>
  <c r="AF79" i="14"/>
  <c r="M79" i="19" s="1"/>
  <c r="AF78" i="14"/>
  <c r="M78" i="19" s="1"/>
  <c r="AF77" i="14"/>
  <c r="M77" i="19" s="1"/>
  <c r="AF76" i="14"/>
  <c r="M76" i="19" s="1"/>
  <c r="AF75" i="14"/>
  <c r="M75" i="19" s="1"/>
  <c r="AF74" i="14"/>
  <c r="M74" i="19" s="1"/>
  <c r="AF73" i="14"/>
  <c r="M73" i="19" s="1"/>
  <c r="AF72" i="14"/>
  <c r="M72" i="19" s="1"/>
  <c r="AF71" i="14"/>
  <c r="M71" i="19" s="1"/>
  <c r="AF70" i="14"/>
  <c r="M70" i="19" s="1"/>
  <c r="AF69" i="14"/>
  <c r="M69" i="19" s="1"/>
  <c r="AF63" i="14"/>
  <c r="M63" i="19" s="1"/>
  <c r="AF46" i="14"/>
  <c r="M46" i="19" s="1"/>
  <c r="AF37" i="14"/>
  <c r="M37" i="19" s="1"/>
  <c r="AF68" i="14"/>
  <c r="M68" i="19" s="1"/>
  <c r="AF67" i="14"/>
  <c r="M67" i="19" s="1"/>
  <c r="AF66" i="14"/>
  <c r="M66" i="19" s="1"/>
  <c r="AF65" i="14"/>
  <c r="M65" i="19" s="1"/>
  <c r="AF64" i="14"/>
  <c r="M64" i="19" s="1"/>
  <c r="AF62" i="14"/>
  <c r="M62" i="19" s="1"/>
  <c r="AF61" i="14"/>
  <c r="M61" i="19" s="1"/>
  <c r="AF60" i="14"/>
  <c r="M60" i="19" s="1"/>
  <c r="AF59" i="14"/>
  <c r="M59" i="19" s="1"/>
  <c r="AF58" i="14"/>
  <c r="M58" i="19" s="1"/>
  <c r="AF57" i="14"/>
  <c r="M57" i="19" s="1"/>
  <c r="AF56" i="14"/>
  <c r="M56" i="19" s="1"/>
  <c r="AF55" i="14"/>
  <c r="M55" i="19" s="1"/>
  <c r="AF54" i="14"/>
  <c r="M54" i="19" s="1"/>
  <c r="AF53" i="14"/>
  <c r="M53" i="19" s="1"/>
  <c r="AF52" i="14"/>
  <c r="M52" i="19" s="1"/>
  <c r="AF51" i="14"/>
  <c r="M51" i="19" s="1"/>
  <c r="AF50" i="14"/>
  <c r="M50" i="19" s="1"/>
  <c r="AF49" i="14"/>
  <c r="M49" i="19" s="1"/>
  <c r="AF48" i="14"/>
  <c r="M48" i="19" s="1"/>
  <c r="AF47" i="14"/>
  <c r="M47" i="19" s="1"/>
  <c r="AF45" i="14"/>
  <c r="M45" i="19" s="1"/>
  <c r="AF44" i="14"/>
  <c r="M44" i="19" s="1"/>
  <c r="AF43" i="14"/>
  <c r="M43" i="19" s="1"/>
  <c r="AF42" i="14"/>
  <c r="M42" i="19" s="1"/>
  <c r="AF36" i="14"/>
  <c r="M36" i="19" s="1"/>
  <c r="AF41" i="14"/>
  <c r="M41" i="19" s="1"/>
  <c r="AF40" i="14"/>
  <c r="M40" i="19" s="1"/>
  <c r="AF38" i="14"/>
  <c r="M38" i="19" s="1"/>
  <c r="AF39" i="14"/>
  <c r="M39" i="19" s="1"/>
  <c r="R34" i="8"/>
  <c r="T34" i="8" s="1"/>
  <c r="J34" i="19" s="1"/>
  <c r="AF34" i="14"/>
  <c r="M34" i="19" s="1"/>
  <c r="S501" i="8"/>
  <c r="R31" i="8"/>
  <c r="T31" i="8" s="1"/>
  <c r="J31" i="19" s="1"/>
  <c r="AF32" i="14"/>
  <c r="M32" i="19" s="1"/>
  <c r="AF31" i="14"/>
  <c r="M31" i="19" s="1"/>
  <c r="K407" i="19" l="1"/>
  <c r="L407" i="19"/>
  <c r="K406" i="19"/>
  <c r="L406" i="19"/>
  <c r="K405" i="19"/>
  <c r="L405" i="19"/>
  <c r="K404" i="19"/>
  <c r="L404" i="19"/>
  <c r="L403" i="19"/>
  <c r="K403" i="19"/>
  <c r="L402" i="19"/>
  <c r="K402" i="19"/>
  <c r="N202" i="19"/>
  <c r="P202" i="19" s="1"/>
  <c r="N352" i="19"/>
  <c r="P352" i="19" s="1"/>
  <c r="N164" i="19"/>
  <c r="P164" i="19" s="1"/>
  <c r="N349" i="19"/>
  <c r="P349" i="19" s="1"/>
  <c r="N67" i="19"/>
  <c r="P67" i="19" s="1"/>
  <c r="N193" i="19"/>
  <c r="P193" i="19" s="1"/>
  <c r="N36" i="19"/>
  <c r="P36" i="19" s="1"/>
  <c r="N232" i="19"/>
  <c r="P232" i="19" s="1"/>
  <c r="N192" i="19"/>
  <c r="P192" i="19" s="1"/>
  <c r="N128" i="19"/>
  <c r="P128" i="19" s="1"/>
  <c r="M501" i="19"/>
  <c r="N198" i="19"/>
  <c r="P198" i="19" s="1"/>
  <c r="N111" i="19"/>
  <c r="P111" i="19" s="1"/>
  <c r="N61" i="19"/>
  <c r="P61" i="19" s="1"/>
  <c r="N33" i="19"/>
  <c r="P33" i="19" s="1"/>
  <c r="N80" i="19"/>
  <c r="P80" i="19" s="1"/>
  <c r="N383" i="19"/>
  <c r="P383" i="19" s="1"/>
  <c r="N79" i="19"/>
  <c r="P79" i="19" s="1"/>
  <c r="N222" i="19"/>
  <c r="P222" i="19" s="1"/>
  <c r="N144" i="19"/>
  <c r="P144" i="19" s="1"/>
  <c r="K34" i="19"/>
  <c r="L34" i="19"/>
  <c r="K31" i="19"/>
  <c r="L31" i="19"/>
  <c r="J501" i="19"/>
  <c r="AI31" i="8"/>
  <c r="AI34" i="8"/>
  <c r="Z31" i="8"/>
  <c r="R501" i="8"/>
  <c r="AF501" i="14"/>
  <c r="T501" i="8"/>
  <c r="O352" i="19" l="1"/>
  <c r="Q352" i="19" s="1"/>
  <c r="O193" i="19"/>
  <c r="Q193" i="19" s="1"/>
  <c r="R193" i="19" s="1"/>
  <c r="O164" i="19"/>
  <c r="Q164" i="19" s="1"/>
  <c r="R164" i="19" s="1"/>
  <c r="O349" i="19"/>
  <c r="Q349" i="19" s="1"/>
  <c r="O383" i="19"/>
  <c r="Q383" i="19" s="1"/>
  <c r="S383" i="19" s="1"/>
  <c r="O128" i="19"/>
  <c r="Q128" i="19" s="1"/>
  <c r="O79" i="19"/>
  <c r="Q79" i="19" s="1"/>
  <c r="S79" i="19" s="1"/>
  <c r="O232" i="19"/>
  <c r="Q232" i="19" s="1"/>
  <c r="R232" i="19" s="1"/>
  <c r="O36" i="19"/>
  <c r="Q36" i="19" s="1"/>
  <c r="S36" i="19" s="1"/>
  <c r="O67" i="19"/>
  <c r="Q67" i="19" s="1"/>
  <c r="S67" i="19" s="1"/>
  <c r="O192" i="19"/>
  <c r="Q192" i="19" s="1"/>
  <c r="S192" i="19" s="1"/>
  <c r="O222" i="19"/>
  <c r="Q222" i="19" s="1"/>
  <c r="R383" i="19"/>
  <c r="O111" i="19"/>
  <c r="Q111" i="19" s="1"/>
  <c r="S164" i="19"/>
  <c r="O198" i="19"/>
  <c r="Q198" i="19" s="1"/>
  <c r="O33" i="19"/>
  <c r="Q33" i="19" s="1"/>
  <c r="R192" i="19"/>
  <c r="L501" i="19"/>
  <c r="I2" i="19" s="1"/>
  <c r="N402" i="19" s="1"/>
  <c r="R36" i="19"/>
  <c r="O80" i="19"/>
  <c r="Q80" i="19" s="1"/>
  <c r="O144" i="19"/>
  <c r="Q144" i="19" s="1"/>
  <c r="O202" i="19"/>
  <c r="Q202" i="19" s="1"/>
  <c r="O61" i="19"/>
  <c r="Q61" i="19" s="1"/>
  <c r="AB31" i="8"/>
  <c r="AB501" i="8" s="1"/>
  <c r="Z501" i="8"/>
  <c r="R79" i="19" l="1"/>
  <c r="N407" i="19"/>
  <c r="N406" i="19"/>
  <c r="S193" i="19"/>
  <c r="N405" i="19"/>
  <c r="N404" i="19"/>
  <c r="S232" i="19"/>
  <c r="T232" i="19" s="1"/>
  <c r="N403" i="19"/>
  <c r="P403" i="19" s="1"/>
  <c r="R67" i="19"/>
  <c r="T67" i="19" s="1"/>
  <c r="P402" i="19"/>
  <c r="O402" i="19"/>
  <c r="T36" i="19"/>
  <c r="V36" i="19" s="1"/>
  <c r="T79" i="19"/>
  <c r="U79" i="19" s="1"/>
  <c r="T164" i="19"/>
  <c r="U164" i="19" s="1"/>
  <c r="T192" i="19"/>
  <c r="T193" i="19"/>
  <c r="U193" i="19" s="1"/>
  <c r="T383" i="19"/>
  <c r="N32" i="19"/>
  <c r="P32" i="19" s="1"/>
  <c r="N40" i="19"/>
  <c r="P40" i="19" s="1"/>
  <c r="N44" i="19"/>
  <c r="P44" i="19" s="1"/>
  <c r="N48" i="19"/>
  <c r="P48" i="19" s="1"/>
  <c r="N52" i="19"/>
  <c r="P52" i="19" s="1"/>
  <c r="N56" i="19"/>
  <c r="P56" i="19" s="1"/>
  <c r="N60" i="19"/>
  <c r="P60" i="19" s="1"/>
  <c r="N64" i="19"/>
  <c r="P64" i="19" s="1"/>
  <c r="N68" i="19"/>
  <c r="P68" i="19" s="1"/>
  <c r="N72" i="19"/>
  <c r="P72" i="19" s="1"/>
  <c r="N76" i="19"/>
  <c r="P76" i="19" s="1"/>
  <c r="N84" i="19"/>
  <c r="P84" i="19" s="1"/>
  <c r="N88" i="19"/>
  <c r="P88" i="19" s="1"/>
  <c r="N92" i="19"/>
  <c r="P92" i="19" s="1"/>
  <c r="N96" i="19"/>
  <c r="P96" i="19" s="1"/>
  <c r="N100" i="19"/>
  <c r="P100" i="19" s="1"/>
  <c r="N104" i="19"/>
  <c r="P104" i="19" s="1"/>
  <c r="N108" i="19"/>
  <c r="P108" i="19" s="1"/>
  <c r="N112" i="19"/>
  <c r="P112" i="19" s="1"/>
  <c r="N116" i="19"/>
  <c r="P116" i="19" s="1"/>
  <c r="N120" i="19"/>
  <c r="P120" i="19" s="1"/>
  <c r="N124" i="19"/>
  <c r="P124" i="19" s="1"/>
  <c r="N132" i="19"/>
  <c r="P132" i="19" s="1"/>
  <c r="N136" i="19"/>
  <c r="P136" i="19" s="1"/>
  <c r="N140" i="19"/>
  <c r="P140" i="19" s="1"/>
  <c r="N148" i="19"/>
  <c r="P148" i="19" s="1"/>
  <c r="N152" i="19"/>
  <c r="P152" i="19" s="1"/>
  <c r="N156" i="19"/>
  <c r="P156" i="19" s="1"/>
  <c r="N160" i="19"/>
  <c r="P160" i="19" s="1"/>
  <c r="N168" i="19"/>
  <c r="P168" i="19" s="1"/>
  <c r="N172" i="19"/>
  <c r="P172" i="19" s="1"/>
  <c r="N176" i="19"/>
  <c r="P176" i="19" s="1"/>
  <c r="N180" i="19"/>
  <c r="P180" i="19" s="1"/>
  <c r="N184" i="19"/>
  <c r="P184" i="19" s="1"/>
  <c r="N188" i="19"/>
  <c r="P188" i="19" s="1"/>
  <c r="N196" i="19"/>
  <c r="P196" i="19" s="1"/>
  <c r="N200" i="19"/>
  <c r="P200" i="19" s="1"/>
  <c r="N204" i="19"/>
  <c r="P204" i="19" s="1"/>
  <c r="N208" i="19"/>
  <c r="P208" i="19" s="1"/>
  <c r="N212" i="19"/>
  <c r="P212" i="19" s="1"/>
  <c r="N216" i="19"/>
  <c r="P216" i="19" s="1"/>
  <c r="N220" i="19"/>
  <c r="P220" i="19" s="1"/>
  <c r="N224" i="19"/>
  <c r="P224" i="19" s="1"/>
  <c r="N228" i="19"/>
  <c r="P228" i="19" s="1"/>
  <c r="N236" i="19"/>
  <c r="P236" i="19" s="1"/>
  <c r="N240" i="19"/>
  <c r="P240" i="19" s="1"/>
  <c r="N244" i="19"/>
  <c r="P244" i="19" s="1"/>
  <c r="N248" i="19"/>
  <c r="P248" i="19" s="1"/>
  <c r="N252" i="19"/>
  <c r="P252" i="19" s="1"/>
  <c r="N256" i="19"/>
  <c r="P256" i="19" s="1"/>
  <c r="N260" i="19"/>
  <c r="P260" i="19" s="1"/>
  <c r="N264" i="19"/>
  <c r="P264" i="19" s="1"/>
  <c r="N268" i="19"/>
  <c r="P268" i="19" s="1"/>
  <c r="N272" i="19"/>
  <c r="P272" i="19" s="1"/>
  <c r="N276" i="19"/>
  <c r="P276" i="19" s="1"/>
  <c r="N280" i="19"/>
  <c r="P280" i="19" s="1"/>
  <c r="N284" i="19"/>
  <c r="P284" i="19" s="1"/>
  <c r="N288" i="19"/>
  <c r="P288" i="19" s="1"/>
  <c r="N292" i="19"/>
  <c r="P292" i="19" s="1"/>
  <c r="N296" i="19"/>
  <c r="P296" i="19" s="1"/>
  <c r="N300" i="19"/>
  <c r="P300" i="19" s="1"/>
  <c r="N304" i="19"/>
  <c r="P304" i="19" s="1"/>
  <c r="N308" i="19"/>
  <c r="P308" i="19" s="1"/>
  <c r="N312" i="19"/>
  <c r="P312" i="19" s="1"/>
  <c r="N316" i="19"/>
  <c r="P316" i="19" s="1"/>
  <c r="N320" i="19"/>
  <c r="P320" i="19" s="1"/>
  <c r="N324" i="19"/>
  <c r="P324" i="19" s="1"/>
  <c r="N328" i="19"/>
  <c r="P328" i="19" s="1"/>
  <c r="N332" i="19"/>
  <c r="P332" i="19" s="1"/>
  <c r="N336" i="19"/>
  <c r="P336" i="19" s="1"/>
  <c r="N340" i="19"/>
  <c r="P340" i="19" s="1"/>
  <c r="N344" i="19"/>
  <c r="P344" i="19" s="1"/>
  <c r="N348" i="19"/>
  <c r="P348" i="19" s="1"/>
  <c r="N356" i="19"/>
  <c r="P356" i="19" s="1"/>
  <c r="N360" i="19"/>
  <c r="P360" i="19" s="1"/>
  <c r="N364" i="19"/>
  <c r="P364" i="19" s="1"/>
  <c r="N368" i="19"/>
  <c r="P368" i="19" s="1"/>
  <c r="N372" i="19"/>
  <c r="P372" i="19" s="1"/>
  <c r="N376" i="19"/>
  <c r="P376" i="19" s="1"/>
  <c r="N380" i="19"/>
  <c r="P380" i="19" s="1"/>
  <c r="N384" i="19"/>
  <c r="P384" i="19" s="1"/>
  <c r="N388" i="19"/>
  <c r="P388" i="19" s="1"/>
  <c r="N392" i="19"/>
  <c r="P392" i="19" s="1"/>
  <c r="N396" i="19"/>
  <c r="P396" i="19" s="1"/>
  <c r="N400" i="19"/>
  <c r="P400" i="19" s="1"/>
  <c r="N37" i="19"/>
  <c r="P37" i="19" s="1"/>
  <c r="N41" i="19"/>
  <c r="P41" i="19" s="1"/>
  <c r="N45" i="19"/>
  <c r="P45" i="19" s="1"/>
  <c r="N49" i="19"/>
  <c r="P49" i="19" s="1"/>
  <c r="N53" i="19"/>
  <c r="P53" i="19" s="1"/>
  <c r="N57" i="19"/>
  <c r="P57" i="19" s="1"/>
  <c r="N65" i="19"/>
  <c r="P65" i="19" s="1"/>
  <c r="N69" i="19"/>
  <c r="P69" i="19" s="1"/>
  <c r="N73" i="19"/>
  <c r="P73" i="19" s="1"/>
  <c r="N77" i="19"/>
  <c r="P77" i="19" s="1"/>
  <c r="N81" i="19"/>
  <c r="P81" i="19" s="1"/>
  <c r="N85" i="19"/>
  <c r="P85" i="19" s="1"/>
  <c r="N89" i="19"/>
  <c r="P89" i="19" s="1"/>
  <c r="N93" i="19"/>
  <c r="P93" i="19" s="1"/>
  <c r="N97" i="19"/>
  <c r="P97" i="19" s="1"/>
  <c r="N101" i="19"/>
  <c r="P101" i="19" s="1"/>
  <c r="N105" i="19"/>
  <c r="P105" i="19" s="1"/>
  <c r="N109" i="19"/>
  <c r="P109" i="19" s="1"/>
  <c r="N113" i="19"/>
  <c r="P113" i="19" s="1"/>
  <c r="N117" i="19"/>
  <c r="P117" i="19" s="1"/>
  <c r="N121" i="19"/>
  <c r="P121" i="19" s="1"/>
  <c r="N125" i="19"/>
  <c r="P125" i="19" s="1"/>
  <c r="N129" i="19"/>
  <c r="P129" i="19" s="1"/>
  <c r="N133" i="19"/>
  <c r="P133" i="19" s="1"/>
  <c r="N137" i="19"/>
  <c r="P137" i="19" s="1"/>
  <c r="N141" i="19"/>
  <c r="P141" i="19" s="1"/>
  <c r="N145" i="19"/>
  <c r="P145" i="19" s="1"/>
  <c r="N149" i="19"/>
  <c r="P149" i="19" s="1"/>
  <c r="N153" i="19"/>
  <c r="P153" i="19" s="1"/>
  <c r="N157" i="19"/>
  <c r="P157" i="19" s="1"/>
  <c r="N161" i="19"/>
  <c r="P161" i="19" s="1"/>
  <c r="N165" i="19"/>
  <c r="P165" i="19" s="1"/>
  <c r="N169" i="19"/>
  <c r="P169" i="19" s="1"/>
  <c r="N173" i="19"/>
  <c r="P173" i="19" s="1"/>
  <c r="N177" i="19"/>
  <c r="P177" i="19" s="1"/>
  <c r="N181" i="19"/>
  <c r="P181" i="19" s="1"/>
  <c r="N185" i="19"/>
  <c r="P185" i="19" s="1"/>
  <c r="N189" i="19"/>
  <c r="P189" i="19" s="1"/>
  <c r="N197" i="19"/>
  <c r="P197" i="19" s="1"/>
  <c r="N201" i="19"/>
  <c r="P201" i="19" s="1"/>
  <c r="N205" i="19"/>
  <c r="P205" i="19" s="1"/>
  <c r="N209" i="19"/>
  <c r="P209" i="19" s="1"/>
  <c r="N213" i="19"/>
  <c r="P213" i="19" s="1"/>
  <c r="N217" i="19"/>
  <c r="P217" i="19" s="1"/>
  <c r="N221" i="19"/>
  <c r="P221" i="19" s="1"/>
  <c r="N225" i="19"/>
  <c r="P225" i="19" s="1"/>
  <c r="N229" i="19"/>
  <c r="P229" i="19" s="1"/>
  <c r="N233" i="19"/>
  <c r="P233" i="19" s="1"/>
  <c r="N237" i="19"/>
  <c r="P237" i="19" s="1"/>
  <c r="N241" i="19"/>
  <c r="P241" i="19" s="1"/>
  <c r="N245" i="19"/>
  <c r="P245" i="19" s="1"/>
  <c r="N249" i="19"/>
  <c r="P249" i="19" s="1"/>
  <c r="N253" i="19"/>
  <c r="P253" i="19" s="1"/>
  <c r="N257" i="19"/>
  <c r="P257" i="19" s="1"/>
  <c r="N261" i="19"/>
  <c r="P261" i="19" s="1"/>
  <c r="N265" i="19"/>
  <c r="P265" i="19" s="1"/>
  <c r="N269" i="19"/>
  <c r="P269" i="19" s="1"/>
  <c r="N273" i="19"/>
  <c r="P273" i="19" s="1"/>
  <c r="N277" i="19"/>
  <c r="P277" i="19" s="1"/>
  <c r="N281" i="19"/>
  <c r="P281" i="19" s="1"/>
  <c r="N285" i="19"/>
  <c r="P285" i="19" s="1"/>
  <c r="N289" i="19"/>
  <c r="P289" i="19" s="1"/>
  <c r="N293" i="19"/>
  <c r="P293" i="19" s="1"/>
  <c r="N297" i="19"/>
  <c r="P297" i="19" s="1"/>
  <c r="N305" i="19"/>
  <c r="P305" i="19" s="1"/>
  <c r="N309" i="19"/>
  <c r="P309" i="19" s="1"/>
  <c r="N313" i="19"/>
  <c r="P313" i="19" s="1"/>
  <c r="N317" i="19"/>
  <c r="P317" i="19" s="1"/>
  <c r="N321" i="19"/>
  <c r="P321" i="19" s="1"/>
  <c r="N325" i="19"/>
  <c r="P325" i="19" s="1"/>
  <c r="N329" i="19"/>
  <c r="P329" i="19" s="1"/>
  <c r="N333" i="19"/>
  <c r="P333" i="19" s="1"/>
  <c r="N337" i="19"/>
  <c r="P337" i="19" s="1"/>
  <c r="N341" i="19"/>
  <c r="P341" i="19" s="1"/>
  <c r="N345" i="19"/>
  <c r="P345" i="19" s="1"/>
  <c r="N357" i="19"/>
  <c r="P357" i="19" s="1"/>
  <c r="N369" i="19"/>
  <c r="P369" i="19" s="1"/>
  <c r="N373" i="19"/>
  <c r="P373" i="19" s="1"/>
  <c r="N377" i="19"/>
  <c r="P377" i="19" s="1"/>
  <c r="N381" i="19"/>
  <c r="P381" i="19" s="1"/>
  <c r="N385" i="19"/>
  <c r="P385" i="19" s="1"/>
  <c r="N389" i="19"/>
  <c r="P389" i="19" s="1"/>
  <c r="N393" i="19"/>
  <c r="P393" i="19" s="1"/>
  <c r="N397" i="19"/>
  <c r="P397" i="19" s="1"/>
  <c r="N401" i="19"/>
  <c r="P401" i="19" s="1"/>
  <c r="N34" i="19"/>
  <c r="P34" i="19" s="1"/>
  <c r="N38" i="19"/>
  <c r="P38" i="19" s="1"/>
  <c r="N42" i="19"/>
  <c r="P42" i="19" s="1"/>
  <c r="N46" i="19"/>
  <c r="P46" i="19" s="1"/>
  <c r="N50" i="19"/>
  <c r="P50" i="19" s="1"/>
  <c r="N54" i="19"/>
  <c r="P54" i="19" s="1"/>
  <c r="N58" i="19"/>
  <c r="P58" i="19" s="1"/>
  <c r="N62" i="19"/>
  <c r="P62" i="19" s="1"/>
  <c r="N66" i="19"/>
  <c r="P66" i="19" s="1"/>
  <c r="N70" i="19"/>
  <c r="P70" i="19" s="1"/>
  <c r="N74" i="19"/>
  <c r="P74" i="19" s="1"/>
  <c r="N78" i="19"/>
  <c r="P78" i="19" s="1"/>
  <c r="N82" i="19"/>
  <c r="P82" i="19" s="1"/>
  <c r="N86" i="19"/>
  <c r="P86" i="19" s="1"/>
  <c r="N90" i="19"/>
  <c r="P90" i="19" s="1"/>
  <c r="N94" i="19"/>
  <c r="P94" i="19" s="1"/>
  <c r="N98" i="19"/>
  <c r="P98" i="19" s="1"/>
  <c r="N102" i="19"/>
  <c r="P102" i="19" s="1"/>
  <c r="N106" i="19"/>
  <c r="P106" i="19" s="1"/>
  <c r="N110" i="19"/>
  <c r="P110" i="19" s="1"/>
  <c r="N114" i="19"/>
  <c r="P114" i="19" s="1"/>
  <c r="N118" i="19"/>
  <c r="P118" i="19" s="1"/>
  <c r="N122" i="19"/>
  <c r="P122" i="19" s="1"/>
  <c r="N126" i="19"/>
  <c r="P126" i="19" s="1"/>
  <c r="N130" i="19"/>
  <c r="P130" i="19" s="1"/>
  <c r="N134" i="19"/>
  <c r="P134" i="19" s="1"/>
  <c r="N138" i="19"/>
  <c r="P138" i="19" s="1"/>
  <c r="N142" i="19"/>
  <c r="P142" i="19" s="1"/>
  <c r="N146" i="19"/>
  <c r="P146" i="19" s="1"/>
  <c r="N150" i="19"/>
  <c r="P150" i="19" s="1"/>
  <c r="N154" i="19"/>
  <c r="P154" i="19" s="1"/>
  <c r="N158" i="19"/>
  <c r="P158" i="19" s="1"/>
  <c r="N162" i="19"/>
  <c r="P162" i="19" s="1"/>
  <c r="N166" i="19"/>
  <c r="P166" i="19" s="1"/>
  <c r="N170" i="19"/>
  <c r="P170" i="19" s="1"/>
  <c r="N174" i="19"/>
  <c r="P174" i="19" s="1"/>
  <c r="N178" i="19"/>
  <c r="P178" i="19" s="1"/>
  <c r="N182" i="19"/>
  <c r="P182" i="19" s="1"/>
  <c r="N186" i="19"/>
  <c r="P186" i="19" s="1"/>
  <c r="N190" i="19"/>
  <c r="P190" i="19" s="1"/>
  <c r="N194" i="19"/>
  <c r="P194" i="19" s="1"/>
  <c r="N206" i="19"/>
  <c r="P206" i="19" s="1"/>
  <c r="N210" i="19"/>
  <c r="P210" i="19" s="1"/>
  <c r="N214" i="19"/>
  <c r="P214" i="19" s="1"/>
  <c r="N218" i="19"/>
  <c r="P218" i="19" s="1"/>
  <c r="N226" i="19"/>
  <c r="P226" i="19" s="1"/>
  <c r="N230" i="19"/>
  <c r="P230" i="19" s="1"/>
  <c r="N234" i="19"/>
  <c r="P234" i="19" s="1"/>
  <c r="N238" i="19"/>
  <c r="P238" i="19" s="1"/>
  <c r="N242" i="19"/>
  <c r="P242" i="19" s="1"/>
  <c r="N246" i="19"/>
  <c r="P246" i="19" s="1"/>
  <c r="N250" i="19"/>
  <c r="P250" i="19" s="1"/>
  <c r="N254" i="19"/>
  <c r="P254" i="19" s="1"/>
  <c r="N258" i="19"/>
  <c r="P258" i="19" s="1"/>
  <c r="N262" i="19"/>
  <c r="P262" i="19" s="1"/>
  <c r="N266" i="19"/>
  <c r="P266" i="19" s="1"/>
  <c r="N270" i="19"/>
  <c r="P270" i="19" s="1"/>
  <c r="N274" i="19"/>
  <c r="P274" i="19" s="1"/>
  <c r="N278" i="19"/>
  <c r="P278" i="19" s="1"/>
  <c r="N282" i="19"/>
  <c r="P282" i="19" s="1"/>
  <c r="N286" i="19"/>
  <c r="P286" i="19" s="1"/>
  <c r="N290" i="19"/>
  <c r="P290" i="19" s="1"/>
  <c r="N294" i="19"/>
  <c r="P294" i="19" s="1"/>
  <c r="N298" i="19"/>
  <c r="P298" i="19" s="1"/>
  <c r="N302" i="19"/>
  <c r="P302" i="19" s="1"/>
  <c r="N306" i="19"/>
  <c r="P306" i="19" s="1"/>
  <c r="N310" i="19"/>
  <c r="P310" i="19" s="1"/>
  <c r="N314" i="19"/>
  <c r="P314" i="19" s="1"/>
  <c r="N318" i="19"/>
  <c r="P318" i="19" s="1"/>
  <c r="N322" i="19"/>
  <c r="P322" i="19" s="1"/>
  <c r="N326" i="19"/>
  <c r="P326" i="19" s="1"/>
  <c r="N330" i="19"/>
  <c r="P330" i="19" s="1"/>
  <c r="N334" i="19"/>
  <c r="P334" i="19" s="1"/>
  <c r="N338" i="19"/>
  <c r="P338" i="19" s="1"/>
  <c r="N342" i="19"/>
  <c r="P342" i="19" s="1"/>
  <c r="N346" i="19"/>
  <c r="P346" i="19" s="1"/>
  <c r="N350" i="19"/>
  <c r="P350" i="19" s="1"/>
  <c r="N354" i="19"/>
  <c r="P354" i="19" s="1"/>
  <c r="N358" i="19"/>
  <c r="P358" i="19" s="1"/>
  <c r="N362" i="19"/>
  <c r="P362" i="19" s="1"/>
  <c r="N370" i="19"/>
  <c r="P370" i="19" s="1"/>
  <c r="N374" i="19"/>
  <c r="P374" i="19" s="1"/>
  <c r="N378" i="19"/>
  <c r="P378" i="19" s="1"/>
  <c r="N382" i="19"/>
  <c r="P382" i="19" s="1"/>
  <c r="N386" i="19"/>
  <c r="P386" i="19" s="1"/>
  <c r="N35" i="19"/>
  <c r="P35" i="19" s="1"/>
  <c r="N39" i="19"/>
  <c r="P39" i="19" s="1"/>
  <c r="N43" i="19"/>
  <c r="P43" i="19" s="1"/>
  <c r="N47" i="19"/>
  <c r="P47" i="19" s="1"/>
  <c r="N51" i="19"/>
  <c r="P51" i="19" s="1"/>
  <c r="N55" i="19"/>
  <c r="P55" i="19" s="1"/>
  <c r="N59" i="19"/>
  <c r="P59" i="19" s="1"/>
  <c r="N63" i="19"/>
  <c r="P63" i="19" s="1"/>
  <c r="N71" i="19"/>
  <c r="P71" i="19" s="1"/>
  <c r="N83" i="19"/>
  <c r="P83" i="19" s="1"/>
  <c r="N87" i="19"/>
  <c r="P87" i="19" s="1"/>
  <c r="N91" i="19"/>
  <c r="P91" i="19" s="1"/>
  <c r="N95" i="19"/>
  <c r="P95" i="19" s="1"/>
  <c r="N99" i="19"/>
  <c r="P99" i="19" s="1"/>
  <c r="N103" i="19"/>
  <c r="P103" i="19" s="1"/>
  <c r="N107" i="19"/>
  <c r="P107" i="19" s="1"/>
  <c r="N115" i="19"/>
  <c r="P115" i="19" s="1"/>
  <c r="N119" i="19"/>
  <c r="P119" i="19" s="1"/>
  <c r="N123" i="19"/>
  <c r="P123" i="19" s="1"/>
  <c r="N127" i="19"/>
  <c r="P127" i="19" s="1"/>
  <c r="N131" i="19"/>
  <c r="P131" i="19" s="1"/>
  <c r="N135" i="19"/>
  <c r="P135" i="19" s="1"/>
  <c r="N139" i="19"/>
  <c r="P139" i="19" s="1"/>
  <c r="N143" i="19"/>
  <c r="P143" i="19" s="1"/>
  <c r="N147" i="19"/>
  <c r="P147" i="19" s="1"/>
  <c r="N151" i="19"/>
  <c r="P151" i="19" s="1"/>
  <c r="N155" i="19"/>
  <c r="P155" i="19" s="1"/>
  <c r="N159" i="19"/>
  <c r="P159" i="19" s="1"/>
  <c r="N163" i="19"/>
  <c r="P163" i="19" s="1"/>
  <c r="N167" i="19"/>
  <c r="P167" i="19" s="1"/>
  <c r="N171" i="19"/>
  <c r="P171" i="19" s="1"/>
  <c r="N175" i="19"/>
  <c r="P175" i="19" s="1"/>
  <c r="N179" i="19"/>
  <c r="P179" i="19" s="1"/>
  <c r="N183" i="19"/>
  <c r="P183" i="19" s="1"/>
  <c r="N187" i="19"/>
  <c r="P187" i="19" s="1"/>
  <c r="N191" i="19"/>
  <c r="P191" i="19" s="1"/>
  <c r="N195" i="19"/>
  <c r="P195" i="19" s="1"/>
  <c r="N199" i="19"/>
  <c r="P199" i="19" s="1"/>
  <c r="N203" i="19"/>
  <c r="P203" i="19" s="1"/>
  <c r="N207" i="19"/>
  <c r="P207" i="19" s="1"/>
  <c r="N211" i="19"/>
  <c r="P211" i="19" s="1"/>
  <c r="N215" i="19"/>
  <c r="P215" i="19" s="1"/>
  <c r="N219" i="19"/>
  <c r="P219" i="19" s="1"/>
  <c r="N223" i="19"/>
  <c r="P223" i="19" s="1"/>
  <c r="N227" i="19"/>
  <c r="P227" i="19" s="1"/>
  <c r="N231" i="19"/>
  <c r="P231" i="19" s="1"/>
  <c r="N235" i="19"/>
  <c r="P235" i="19" s="1"/>
  <c r="N239" i="19"/>
  <c r="P239" i="19" s="1"/>
  <c r="N243" i="19"/>
  <c r="P243" i="19" s="1"/>
  <c r="N247" i="19"/>
  <c r="P247" i="19" s="1"/>
  <c r="N251" i="19"/>
  <c r="P251" i="19" s="1"/>
  <c r="N255" i="19"/>
  <c r="P255" i="19" s="1"/>
  <c r="N259" i="19"/>
  <c r="P259" i="19" s="1"/>
  <c r="N263" i="19"/>
  <c r="P263" i="19" s="1"/>
  <c r="N267" i="19"/>
  <c r="P267" i="19" s="1"/>
  <c r="N271" i="19"/>
  <c r="P271" i="19" s="1"/>
  <c r="N279" i="19"/>
  <c r="P279" i="19" s="1"/>
  <c r="N283" i="19"/>
  <c r="P283" i="19" s="1"/>
  <c r="N287" i="19"/>
  <c r="P287" i="19" s="1"/>
  <c r="N291" i="19"/>
  <c r="P291" i="19" s="1"/>
  <c r="N295" i="19"/>
  <c r="P295" i="19" s="1"/>
  <c r="N299" i="19"/>
  <c r="P299" i="19" s="1"/>
  <c r="N303" i="19"/>
  <c r="P303" i="19" s="1"/>
  <c r="N307" i="19"/>
  <c r="P307" i="19" s="1"/>
  <c r="N311" i="19"/>
  <c r="P311" i="19" s="1"/>
  <c r="N315" i="19"/>
  <c r="P315" i="19" s="1"/>
  <c r="N319" i="19"/>
  <c r="P319" i="19" s="1"/>
  <c r="N323" i="19"/>
  <c r="P323" i="19" s="1"/>
  <c r="N327" i="19"/>
  <c r="P327" i="19" s="1"/>
  <c r="N331" i="19"/>
  <c r="P331" i="19" s="1"/>
  <c r="N335" i="19"/>
  <c r="P335" i="19" s="1"/>
  <c r="N339" i="19"/>
  <c r="P339" i="19" s="1"/>
  <c r="N343" i="19"/>
  <c r="P343" i="19" s="1"/>
  <c r="N347" i="19"/>
  <c r="P347" i="19" s="1"/>
  <c r="N351" i="19"/>
  <c r="P351" i="19" s="1"/>
  <c r="N355" i="19"/>
  <c r="P355" i="19" s="1"/>
  <c r="N359" i="19"/>
  <c r="P359" i="19" s="1"/>
  <c r="N363" i="19"/>
  <c r="P363" i="19" s="1"/>
  <c r="N367" i="19"/>
  <c r="P367" i="19" s="1"/>
  <c r="N371" i="19"/>
  <c r="P371" i="19" s="1"/>
  <c r="N375" i="19"/>
  <c r="P375" i="19" s="1"/>
  <c r="N379" i="19"/>
  <c r="P379" i="19" s="1"/>
  <c r="N387" i="19"/>
  <c r="P387" i="19" s="1"/>
  <c r="N391" i="19"/>
  <c r="P391" i="19" s="1"/>
  <c r="N399" i="19"/>
  <c r="P399" i="19" s="1"/>
  <c r="N398" i="19"/>
  <c r="P398" i="19" s="1"/>
  <c r="N390" i="19"/>
  <c r="P390" i="19" s="1"/>
  <c r="N394" i="19"/>
  <c r="P394" i="19" s="1"/>
  <c r="S33" i="19"/>
  <c r="N31" i="19"/>
  <c r="P31" i="19" s="1"/>
  <c r="V383" i="19"/>
  <c r="R61" i="19"/>
  <c r="R144" i="19"/>
  <c r="R80" i="19"/>
  <c r="O248" i="19"/>
  <c r="R33" i="19"/>
  <c r="O177" i="19"/>
  <c r="O396" i="19"/>
  <c r="S61" i="19"/>
  <c r="O333" i="19"/>
  <c r="S80" i="19"/>
  <c r="S111" i="19"/>
  <c r="R111" i="19"/>
  <c r="O356" i="19"/>
  <c r="O208" i="19"/>
  <c r="S222" i="19"/>
  <c r="R222" i="19"/>
  <c r="O308" i="19"/>
  <c r="R352" i="19"/>
  <c r="S352" i="19"/>
  <c r="S202" i="19"/>
  <c r="R202" i="19"/>
  <c r="O136" i="19"/>
  <c r="O340" i="19"/>
  <c r="S128" i="19"/>
  <c r="R128" i="19"/>
  <c r="S349" i="19"/>
  <c r="R349" i="19"/>
  <c r="P407" i="19" l="1"/>
  <c r="O407" i="19"/>
  <c r="O389" i="19"/>
  <c r="O240" i="19"/>
  <c r="O372" i="19"/>
  <c r="O321" i="19"/>
  <c r="O320" i="19"/>
  <c r="O56" i="19"/>
  <c r="O376" i="19"/>
  <c r="O112" i="19"/>
  <c r="O318" i="19"/>
  <c r="O191" i="19"/>
  <c r="O332" i="19"/>
  <c r="O316" i="19"/>
  <c r="O236" i="19"/>
  <c r="O173" i="19"/>
  <c r="O225" i="19"/>
  <c r="O146" i="19"/>
  <c r="Q146" i="19" s="1"/>
  <c r="O360" i="19"/>
  <c r="V79" i="19"/>
  <c r="W79" i="19" s="1"/>
  <c r="O89" i="19"/>
  <c r="O185" i="19"/>
  <c r="O385" i="19"/>
  <c r="O148" i="19"/>
  <c r="O364" i="19"/>
  <c r="O184" i="19"/>
  <c r="O53" i="19"/>
  <c r="O40" i="19"/>
  <c r="O296" i="19"/>
  <c r="O280" i="19"/>
  <c r="O272" i="19"/>
  <c r="O229" i="19"/>
  <c r="O337" i="19"/>
  <c r="O37" i="19"/>
  <c r="O102" i="19"/>
  <c r="O344" i="19"/>
  <c r="O97" i="19"/>
  <c r="O237" i="19"/>
  <c r="O86" i="19"/>
  <c r="O196" i="19"/>
  <c r="O219" i="19"/>
  <c r="O253" i="19"/>
  <c r="O92" i="19"/>
  <c r="O304" i="19"/>
  <c r="O48" i="19"/>
  <c r="O108" i="19"/>
  <c r="O388" i="19"/>
  <c r="O100" i="19"/>
  <c r="O72" i="19"/>
  <c r="O336" i="19"/>
  <c r="O313" i="19"/>
  <c r="O81" i="19"/>
  <c r="O204" i="19"/>
  <c r="O129" i="19"/>
  <c r="O118" i="19"/>
  <c r="O169" i="19"/>
  <c r="P406" i="19"/>
  <c r="O406" i="19"/>
  <c r="O334" i="19"/>
  <c r="U36" i="19"/>
  <c r="W36" i="19" s="1"/>
  <c r="O286" i="19"/>
  <c r="O141" i="19"/>
  <c r="O57" i="19"/>
  <c r="O244" i="19"/>
  <c r="O66" i="19"/>
  <c r="O224" i="19"/>
  <c r="O405" i="19"/>
  <c r="P405" i="19"/>
  <c r="O290" i="19"/>
  <c r="O329" i="19"/>
  <c r="O377" i="19"/>
  <c r="O305" i="19"/>
  <c r="O345" i="19"/>
  <c r="O245" i="19"/>
  <c r="O54" i="19"/>
  <c r="O250" i="19"/>
  <c r="O293" i="19"/>
  <c r="P404" i="19"/>
  <c r="O404" i="19"/>
  <c r="U232" i="19"/>
  <c r="V232" i="19"/>
  <c r="O300" i="19"/>
  <c r="O392" i="19"/>
  <c r="O358" i="19"/>
  <c r="O93" i="19"/>
  <c r="O281" i="19"/>
  <c r="O257" i="19"/>
  <c r="O325" i="19"/>
  <c r="O342" i="19"/>
  <c r="O324" i="19"/>
  <c r="O60" i="19"/>
  <c r="O76" i="19"/>
  <c r="O162" i="19"/>
  <c r="O44" i="19"/>
  <c r="O172" i="19"/>
  <c r="O96" i="19"/>
  <c r="O403" i="19"/>
  <c r="O227" i="19"/>
  <c r="O171" i="19"/>
  <c r="V67" i="19"/>
  <c r="U67" i="19"/>
  <c r="O103" i="19"/>
  <c r="O354" i="19"/>
  <c r="O206" i="19"/>
  <c r="O35" i="19"/>
  <c r="O382" i="19"/>
  <c r="O330" i="19"/>
  <c r="O150" i="19"/>
  <c r="O195" i="19"/>
  <c r="O247" i="19"/>
  <c r="O299" i="19"/>
  <c r="O134" i="19"/>
  <c r="O139" i="19"/>
  <c r="O179" i="19"/>
  <c r="O226" i="19"/>
  <c r="O258" i="19"/>
  <c r="O214" i="19"/>
  <c r="O259" i="19"/>
  <c r="O126" i="19"/>
  <c r="O314" i="19"/>
  <c r="O163" i="19"/>
  <c r="O190" i="19"/>
  <c r="O155" i="19"/>
  <c r="O306" i="19"/>
  <c r="O158" i="19"/>
  <c r="O235" i="19"/>
  <c r="O298" i="19"/>
  <c r="O211" i="19"/>
  <c r="O267" i="19"/>
  <c r="O115" i="19"/>
  <c r="O95" i="19"/>
  <c r="O295" i="19"/>
  <c r="O59" i="19"/>
  <c r="O287" i="19"/>
  <c r="O266" i="19"/>
  <c r="O311" i="19"/>
  <c r="O87" i="19"/>
  <c r="O367" i="19"/>
  <c r="O351" i="19"/>
  <c r="O135" i="19"/>
  <c r="O160" i="19"/>
  <c r="O68" i="19"/>
  <c r="O363" i="19"/>
  <c r="O122" i="19"/>
  <c r="O216" i="19"/>
  <c r="O310" i="19"/>
  <c r="O379" i="19"/>
  <c r="O233" i="19"/>
  <c r="O133" i="19"/>
  <c r="O117" i="19"/>
  <c r="O397" i="19"/>
  <c r="O170" i="19"/>
  <c r="O201" i="19"/>
  <c r="O400" i="19"/>
  <c r="O32" i="19"/>
  <c r="O381" i="19"/>
  <c r="O88" i="19"/>
  <c r="O90" i="19"/>
  <c r="O149" i="19"/>
  <c r="O120" i="19"/>
  <c r="O151" i="19"/>
  <c r="O283" i="19"/>
  <c r="O42" i="19"/>
  <c r="O297" i="19"/>
  <c r="O58" i="19"/>
  <c r="O83" i="19"/>
  <c r="O85" i="19"/>
  <c r="O384" i="19"/>
  <c r="O252" i="19"/>
  <c r="O368" i="19"/>
  <c r="O217" i="19"/>
  <c r="O138" i="19"/>
  <c r="O181" i="19"/>
  <c r="O74" i="19"/>
  <c r="O387" i="19"/>
  <c r="O315" i="19"/>
  <c r="O394" i="19"/>
  <c r="O194" i="19"/>
  <c r="O223" i="19"/>
  <c r="O207" i="19"/>
  <c r="O350" i="19"/>
  <c r="O47" i="19"/>
  <c r="O114" i="19"/>
  <c r="O143" i="19"/>
  <c r="O239" i="19"/>
  <c r="O127" i="19"/>
  <c r="T80" i="19"/>
  <c r="U80" i="19" s="1"/>
  <c r="O254" i="19"/>
  <c r="O291" i="19"/>
  <c r="O238" i="19"/>
  <c r="O323" i="19"/>
  <c r="O98" i="19"/>
  <c r="O175" i="19"/>
  <c r="T349" i="19"/>
  <c r="U349" i="19" s="1"/>
  <c r="T111" i="19"/>
  <c r="V111" i="19" s="1"/>
  <c r="O398" i="19"/>
  <c r="T33" i="19"/>
  <c r="T128" i="19"/>
  <c r="V128" i="19" s="1"/>
  <c r="T222" i="19"/>
  <c r="V222" i="19" s="1"/>
  <c r="T202" i="19"/>
  <c r="V202" i="19" s="1"/>
  <c r="T352" i="19"/>
  <c r="T61" i="19"/>
  <c r="O391" i="19"/>
  <c r="O390" i="19"/>
  <c r="U383" i="19"/>
  <c r="W383" i="19" s="1"/>
  <c r="O399" i="19"/>
  <c r="S144" i="19"/>
  <c r="T144" i="19" s="1"/>
  <c r="V164" i="19"/>
  <c r="W164" i="19" s="1"/>
  <c r="V193" i="19"/>
  <c r="W193" i="19" s="1"/>
  <c r="O104" i="19"/>
  <c r="O188" i="19"/>
  <c r="O249" i="19"/>
  <c r="O246" i="19"/>
  <c r="O65" i="19"/>
  <c r="O137" i="19"/>
  <c r="O41" i="19"/>
  <c r="O309" i="19"/>
  <c r="O124" i="19"/>
  <c r="O71" i="19"/>
  <c r="O183" i="19"/>
  <c r="O113" i="19"/>
  <c r="O251" i="19"/>
  <c r="O228" i="19"/>
  <c r="O393" i="19"/>
  <c r="O39" i="19"/>
  <c r="O153" i="19"/>
  <c r="O307" i="19"/>
  <c r="O331" i="19"/>
  <c r="O140" i="19"/>
  <c r="O77" i="19"/>
  <c r="O105" i="19"/>
  <c r="O276" i="19"/>
  <c r="O268" i="19"/>
  <c r="O261" i="19"/>
  <c r="O328" i="19"/>
  <c r="O270" i="19"/>
  <c r="O84" i="19"/>
  <c r="O262" i="19"/>
  <c r="O401" i="19"/>
  <c r="O154" i="19"/>
  <c r="O182" i="19"/>
  <c r="U202" i="19"/>
  <c r="O107" i="19"/>
  <c r="O145" i="19"/>
  <c r="O278" i="19"/>
  <c r="O285" i="19"/>
  <c r="O243" i="19"/>
  <c r="O355" i="19"/>
  <c r="O271" i="19"/>
  <c r="O357" i="19"/>
  <c r="O230" i="19"/>
  <c r="O91" i="19"/>
  <c r="O51" i="19"/>
  <c r="O34" i="19"/>
  <c r="O335" i="19"/>
  <c r="O215" i="19"/>
  <c r="O186" i="19"/>
  <c r="O70" i="19"/>
  <c r="O152" i="19"/>
  <c r="O62" i="19"/>
  <c r="O277" i="19"/>
  <c r="O116" i="19"/>
  <c r="O55" i="19"/>
  <c r="O289" i="19"/>
  <c r="O166" i="19"/>
  <c r="O157" i="19"/>
  <c r="O178" i="19"/>
  <c r="O209" i="19"/>
  <c r="O109" i="19"/>
  <c r="O284" i="19"/>
  <c r="O343" i="19"/>
  <c r="O205" i="19"/>
  <c r="O279" i="19"/>
  <c r="O346" i="19"/>
  <c r="O50" i="19"/>
  <c r="O78" i="19"/>
  <c r="O63" i="19"/>
  <c r="O130" i="19"/>
  <c r="O121" i="19"/>
  <c r="R198" i="19"/>
  <c r="S198" i="19"/>
  <c r="O142" i="19"/>
  <c r="O159" i="19"/>
  <c r="O341" i="19"/>
  <c r="O197" i="19"/>
  <c r="O69" i="19"/>
  <c r="O218" i="19"/>
  <c r="O52" i="19"/>
  <c r="O73" i="19"/>
  <c r="O45" i="19"/>
  <c r="O317" i="19"/>
  <c r="O292" i="19"/>
  <c r="O303" i="19"/>
  <c r="O375" i="19"/>
  <c r="O373" i="19"/>
  <c r="O174" i="19"/>
  <c r="O64" i="19"/>
  <c r="O131" i="19"/>
  <c r="O260" i="19"/>
  <c r="O132" i="19"/>
  <c r="O347" i="19"/>
  <c r="O264" i="19"/>
  <c r="O359" i="19"/>
  <c r="O203" i="19"/>
  <c r="O234" i="19"/>
  <c r="O269" i="19"/>
  <c r="O241" i="19"/>
  <c r="O362" i="19"/>
  <c r="O369" i="19"/>
  <c r="O49" i="19"/>
  <c r="O106" i="19"/>
  <c r="O156" i="19"/>
  <c r="O263" i="19"/>
  <c r="O386" i="19"/>
  <c r="O38" i="19"/>
  <c r="O274" i="19"/>
  <c r="O168" i="19"/>
  <c r="O242" i="19"/>
  <c r="O348" i="19"/>
  <c r="O273" i="19"/>
  <c r="O125" i="19"/>
  <c r="O312" i="19"/>
  <c r="O200" i="19"/>
  <c r="O380" i="19"/>
  <c r="O165" i="19"/>
  <c r="O119" i="19"/>
  <c r="O199" i="19"/>
  <c r="O339" i="19"/>
  <c r="O220" i="19"/>
  <c r="O302" i="19"/>
  <c r="O213" i="19"/>
  <c r="O101" i="19"/>
  <c r="O288" i="19"/>
  <c r="O187" i="19"/>
  <c r="U192" i="19"/>
  <c r="V192" i="19"/>
  <c r="O265" i="19"/>
  <c r="O319" i="19"/>
  <c r="O322" i="19"/>
  <c r="O212" i="19"/>
  <c r="O123" i="19"/>
  <c r="O256" i="19"/>
  <c r="O294" i="19"/>
  <c r="O110" i="19"/>
  <c r="O161" i="19"/>
  <c r="O176" i="19"/>
  <c r="O210" i="19"/>
  <c r="O371" i="19"/>
  <c r="O167" i="19"/>
  <c r="O189" i="19"/>
  <c r="O326" i="19"/>
  <c r="O374" i="19"/>
  <c r="O378" i="19"/>
  <c r="O99" i="19"/>
  <c r="N501" i="19"/>
  <c r="O31" i="19"/>
  <c r="O338" i="19"/>
  <c r="O255" i="19"/>
  <c r="O370" i="19"/>
  <c r="O147" i="19"/>
  <c r="O43" i="19"/>
  <c r="Q43" i="19" s="1"/>
  <c r="O94" i="19"/>
  <c r="O82" i="19"/>
  <c r="O46" i="19"/>
  <c r="O231" i="19"/>
  <c r="O327" i="19"/>
  <c r="O282" i="19"/>
  <c r="O180" i="19"/>
  <c r="O221" i="19"/>
  <c r="Q407" i="19" l="1"/>
  <c r="S407" i="19" s="1"/>
  <c r="Q406" i="19"/>
  <c r="S406" i="19" s="1"/>
  <c r="Q405" i="19"/>
  <c r="S405" i="19" s="1"/>
  <c r="Q404" i="19"/>
  <c r="S404" i="19" s="1"/>
  <c r="W232" i="19"/>
  <c r="Y232" i="19" s="1"/>
  <c r="W67" i="19"/>
  <c r="Y67" i="19" s="1"/>
  <c r="Q403" i="19"/>
  <c r="S403" i="19" s="1"/>
  <c r="Q402" i="19"/>
  <c r="S402" i="19" s="1"/>
  <c r="U128" i="19"/>
  <c r="U222" i="19"/>
  <c r="W222" i="19" s="1"/>
  <c r="W128" i="19"/>
  <c r="W192" i="19"/>
  <c r="Y192" i="19" s="1"/>
  <c r="Q282" i="19"/>
  <c r="W202" i="19"/>
  <c r="Q82" i="19"/>
  <c r="T198" i="19"/>
  <c r="Q327" i="19"/>
  <c r="Q180" i="19"/>
  <c r="Q221" i="19"/>
  <c r="S221" i="19" s="1"/>
  <c r="Q46" i="19"/>
  <c r="Q290" i="19"/>
  <c r="Q338" i="19"/>
  <c r="Q94" i="19"/>
  <c r="Q255" i="19"/>
  <c r="Q374" i="19"/>
  <c r="Q371" i="19"/>
  <c r="Q110" i="19"/>
  <c r="Q212" i="19"/>
  <c r="Q101" i="19"/>
  <c r="Q339" i="19"/>
  <c r="Q380" i="19"/>
  <c r="Q125" i="19"/>
  <c r="Q168" i="19"/>
  <c r="Q263" i="19"/>
  <c r="Q49" i="19"/>
  <c r="Q269" i="19"/>
  <c r="Q359" i="19"/>
  <c r="Q260" i="19"/>
  <c r="Q373" i="19"/>
  <c r="Q45" i="19"/>
  <c r="Q69" i="19"/>
  <c r="Q78" i="19"/>
  <c r="Q205" i="19"/>
  <c r="Q209" i="19"/>
  <c r="Q289" i="19"/>
  <c r="Q62" i="19"/>
  <c r="Q215" i="19"/>
  <c r="Q91" i="19"/>
  <c r="Q355" i="19"/>
  <c r="Q145" i="19"/>
  <c r="Q182" i="19"/>
  <c r="Q84" i="19"/>
  <c r="Q268" i="19"/>
  <c r="Q140" i="19"/>
  <c r="Q39" i="19"/>
  <c r="Q113" i="19"/>
  <c r="Q309" i="19"/>
  <c r="Q246" i="19"/>
  <c r="Q390" i="19"/>
  <c r="Q280" i="19"/>
  <c r="Q129" i="19"/>
  <c r="Q47" i="19"/>
  <c r="S47" i="19" s="1"/>
  <c r="Q287" i="19"/>
  <c r="Q72" i="19"/>
  <c r="Q257" i="19"/>
  <c r="Q252" i="19"/>
  <c r="Q258" i="19"/>
  <c r="Q239" i="19"/>
  <c r="Q114" i="19"/>
  <c r="Q235" i="19"/>
  <c r="Q170" i="19"/>
  <c r="Q158" i="19"/>
  <c r="Q296" i="19"/>
  <c r="Q81" i="19"/>
  <c r="Q54" i="19"/>
  <c r="Q388" i="19"/>
  <c r="Q259" i="19"/>
  <c r="Q227" i="19"/>
  <c r="Q363" i="19"/>
  <c r="Q211" i="19"/>
  <c r="Q83" i="19"/>
  <c r="Q394" i="19"/>
  <c r="Q376" i="19"/>
  <c r="Q117" i="19"/>
  <c r="Q87" i="19"/>
  <c r="Q323" i="19"/>
  <c r="Q313" i="19"/>
  <c r="Q149" i="19"/>
  <c r="Q334" i="19"/>
  <c r="Q295" i="19"/>
  <c r="Q214" i="19"/>
  <c r="Q68" i="19"/>
  <c r="Q191" i="19"/>
  <c r="Q318" i="19"/>
  <c r="Q337" i="19"/>
  <c r="Q364" i="19"/>
  <c r="Q247" i="19"/>
  <c r="Q37" i="19"/>
  <c r="Q133" i="19"/>
  <c r="Q190" i="19"/>
  <c r="Q233" i="19"/>
  <c r="Q379" i="19"/>
  <c r="Q320" i="19"/>
  <c r="Q238" i="19"/>
  <c r="Q206" i="19"/>
  <c r="Q326" i="19"/>
  <c r="Q210" i="19"/>
  <c r="Q294" i="19"/>
  <c r="Q322" i="19"/>
  <c r="Q213" i="19"/>
  <c r="Q199" i="19"/>
  <c r="Q200" i="19"/>
  <c r="Q273" i="19"/>
  <c r="Q274" i="19"/>
  <c r="Q156" i="19"/>
  <c r="Q369" i="19"/>
  <c r="Q264" i="19"/>
  <c r="Q131" i="19"/>
  <c r="Q375" i="19"/>
  <c r="Q292" i="19"/>
  <c r="Q73" i="19"/>
  <c r="Q197" i="19"/>
  <c r="Q159" i="19"/>
  <c r="Q121" i="19"/>
  <c r="Q50" i="19"/>
  <c r="Q343" i="19"/>
  <c r="Q178" i="19"/>
  <c r="Q55" i="19"/>
  <c r="Q152" i="19"/>
  <c r="Q335" i="19"/>
  <c r="Q230" i="19"/>
  <c r="Q243" i="19"/>
  <c r="Q107" i="19"/>
  <c r="Q154" i="19"/>
  <c r="Q270" i="19"/>
  <c r="Q276" i="19"/>
  <c r="Q331" i="19"/>
  <c r="Q393" i="19"/>
  <c r="Q183" i="19"/>
  <c r="Q41" i="19"/>
  <c r="Q249" i="19"/>
  <c r="Q391" i="19"/>
  <c r="R391" i="19" s="1"/>
  <c r="Q195" i="19"/>
  <c r="Q311" i="19"/>
  <c r="Q342" i="19"/>
  <c r="Q57" i="19"/>
  <c r="Q350" i="19"/>
  <c r="Q345" i="19"/>
  <c r="Q148" i="19"/>
  <c r="Q385" i="19"/>
  <c r="Q267" i="19"/>
  <c r="Q298" i="19"/>
  <c r="Q103" i="19"/>
  <c r="Q272" i="19"/>
  <c r="Q118" i="19"/>
  <c r="Q204" i="19"/>
  <c r="Q184" i="19"/>
  <c r="Q336" i="19"/>
  <c r="Q88" i="19"/>
  <c r="Q321" i="19"/>
  <c r="Q281" i="19"/>
  <c r="Q223" i="19"/>
  <c r="Q35" i="19"/>
  <c r="Q344" i="19"/>
  <c r="Q134" i="19"/>
  <c r="Q254" i="19"/>
  <c r="Q42" i="19"/>
  <c r="Q175" i="19"/>
  <c r="Q56" i="19"/>
  <c r="Q396" i="19"/>
  <c r="Q90" i="19"/>
  <c r="Q330" i="19"/>
  <c r="Q304" i="19"/>
  <c r="Q286" i="19"/>
  <c r="Q372" i="19"/>
  <c r="Q354" i="19"/>
  <c r="Q102" i="19"/>
  <c r="Q229" i="19"/>
  <c r="Q377" i="19"/>
  <c r="Q308" i="19"/>
  <c r="Q96" i="19"/>
  <c r="Q44" i="19"/>
  <c r="Q181" i="19"/>
  <c r="Q225" i="19"/>
  <c r="Q126" i="19"/>
  <c r="Q332" i="19"/>
  <c r="Q253" i="19"/>
  <c r="Q135" i="19"/>
  <c r="Q147" i="19"/>
  <c r="Q99" i="19"/>
  <c r="Q189" i="19"/>
  <c r="Q176" i="19"/>
  <c r="Q256" i="19"/>
  <c r="Q319" i="19"/>
  <c r="Q187" i="19"/>
  <c r="Q302" i="19"/>
  <c r="Q119" i="19"/>
  <c r="Q348" i="19"/>
  <c r="Q38" i="19"/>
  <c r="Q362" i="19"/>
  <c r="Q234" i="19"/>
  <c r="Q347" i="19"/>
  <c r="Q64" i="19"/>
  <c r="Q303" i="19"/>
  <c r="Q317" i="19"/>
  <c r="Q52" i="19"/>
  <c r="Q341" i="19"/>
  <c r="Q142" i="19"/>
  <c r="Q130" i="19"/>
  <c r="Q346" i="19"/>
  <c r="Q284" i="19"/>
  <c r="Q157" i="19"/>
  <c r="Q116" i="19"/>
  <c r="Q70" i="19"/>
  <c r="Q34" i="19"/>
  <c r="Q357" i="19"/>
  <c r="Q285" i="19"/>
  <c r="Q401" i="19"/>
  <c r="Q328" i="19"/>
  <c r="Q105" i="19"/>
  <c r="Q307" i="19"/>
  <c r="Q228" i="19"/>
  <c r="Q71" i="19"/>
  <c r="Q137" i="19"/>
  <c r="Q188" i="19"/>
  <c r="Q399" i="19"/>
  <c r="Q74" i="19"/>
  <c r="Q177" i="19"/>
  <c r="Q151" i="19"/>
  <c r="Q163" i="19"/>
  <c r="Q333" i="19"/>
  <c r="Q217" i="19"/>
  <c r="Q305" i="19"/>
  <c r="Q208" i="19"/>
  <c r="Q329" i="19"/>
  <c r="Q143" i="19"/>
  <c r="Q367" i="19"/>
  <c r="Q58" i="19"/>
  <c r="R58" i="19" s="1"/>
  <c r="Q340" i="19"/>
  <c r="Q162" i="19"/>
  <c r="Q266" i="19"/>
  <c r="Q138" i="19"/>
  <c r="R138" i="19" s="1"/>
  <c r="Q245" i="19"/>
  <c r="Q351" i="19"/>
  <c r="Q207" i="19"/>
  <c r="Q299" i="19"/>
  <c r="Q219" i="19"/>
  <c r="Q237" i="19"/>
  <c r="Q194" i="19"/>
  <c r="Q89" i="19"/>
  <c r="Q136" i="19"/>
  <c r="Q248" i="19"/>
  <c r="Q98" i="19"/>
  <c r="Q293" i="19"/>
  <c r="Q120" i="19"/>
  <c r="Q100" i="19"/>
  <c r="Q59" i="19"/>
  <c r="Q141" i="19"/>
  <c r="Q95" i="19"/>
  <c r="Q201" i="19"/>
  <c r="Q97" i="19"/>
  <c r="Q392" i="19"/>
  <c r="Q398" i="19"/>
  <c r="Q400" i="19"/>
  <c r="Q315" i="19"/>
  <c r="Q387" i="19"/>
  <c r="Q306" i="19"/>
  <c r="Q60" i="19"/>
  <c r="Q150" i="19"/>
  <c r="Q310" i="19"/>
  <c r="Q108" i="19"/>
  <c r="Q384" i="19"/>
  <c r="Q139" i="19"/>
  <c r="Q231" i="19"/>
  <c r="S231" i="19" s="1"/>
  <c r="Q370" i="19"/>
  <c r="Q378" i="19"/>
  <c r="Q167" i="19"/>
  <c r="Q161" i="19"/>
  <c r="Q123" i="19"/>
  <c r="Q265" i="19"/>
  <c r="Q288" i="19"/>
  <c r="Q220" i="19"/>
  <c r="Q165" i="19"/>
  <c r="Q312" i="19"/>
  <c r="Q242" i="19"/>
  <c r="Q386" i="19"/>
  <c r="Q106" i="19"/>
  <c r="Q241" i="19"/>
  <c r="Q203" i="19"/>
  <c r="Q132" i="19"/>
  <c r="Q174" i="19"/>
  <c r="Q218" i="19"/>
  <c r="Q63" i="19"/>
  <c r="Q279" i="19"/>
  <c r="Q109" i="19"/>
  <c r="Q166" i="19"/>
  <c r="Q277" i="19"/>
  <c r="Q186" i="19"/>
  <c r="Q51" i="19"/>
  <c r="Q271" i="19"/>
  <c r="Q278" i="19"/>
  <c r="Q262" i="19"/>
  <c r="Q261" i="19"/>
  <c r="Q77" i="19"/>
  <c r="Q153" i="19"/>
  <c r="Q251" i="19"/>
  <c r="Q124" i="19"/>
  <c r="Q65" i="19"/>
  <c r="Q104" i="19"/>
  <c r="Q172" i="19"/>
  <c r="Q224" i="19"/>
  <c r="R224" i="19" s="1"/>
  <c r="Q66" i="19"/>
  <c r="Q314" i="19"/>
  <c r="Q236" i="19"/>
  <c r="Q368" i="19"/>
  <c r="Q48" i="19"/>
  <c r="Q122" i="19"/>
  <c r="Q382" i="19"/>
  <c r="Q226" i="19"/>
  <c r="Q240" i="19"/>
  <c r="Q297" i="19"/>
  <c r="Q360" i="19"/>
  <c r="Q155" i="19"/>
  <c r="Q324" i="19"/>
  <c r="Q250" i="19"/>
  <c r="Q325" i="19"/>
  <c r="Q381" i="19"/>
  <c r="Q92" i="19"/>
  <c r="Q93" i="19"/>
  <c r="Q85" i="19"/>
  <c r="Q185" i="19"/>
  <c r="Q358" i="19"/>
  <c r="Q112" i="19"/>
  <c r="Q397" i="19"/>
  <c r="Q283" i="19"/>
  <c r="Q40" i="19"/>
  <c r="Q53" i="19"/>
  <c r="Q389" i="19"/>
  <c r="Q316" i="19"/>
  <c r="Q216" i="19"/>
  <c r="Q32" i="19"/>
  <c r="Q115" i="19"/>
  <c r="Q86" i="19"/>
  <c r="Q179" i="19"/>
  <c r="Q300" i="19"/>
  <c r="Q356" i="19"/>
  <c r="Q291" i="19"/>
  <c r="Q160" i="19"/>
  <c r="Q169" i="19"/>
  <c r="Q76" i="19"/>
  <c r="Q244" i="19"/>
  <c r="Q173" i="19"/>
  <c r="Q127" i="19"/>
  <c r="Q171" i="19"/>
  <c r="Q196" i="19"/>
  <c r="Q31" i="19"/>
  <c r="V80" i="19"/>
  <c r="W80" i="19" s="1"/>
  <c r="U111" i="19"/>
  <c r="V349" i="19"/>
  <c r="W349" i="19" s="1"/>
  <c r="X192" i="19"/>
  <c r="R221" i="19"/>
  <c r="Y36" i="19"/>
  <c r="X36" i="19"/>
  <c r="O501" i="19"/>
  <c r="Y193" i="19"/>
  <c r="X193" i="19"/>
  <c r="U352" i="19"/>
  <c r="V352" i="19"/>
  <c r="V33" i="19"/>
  <c r="U33" i="19"/>
  <c r="X164" i="19"/>
  <c r="Y164" i="19"/>
  <c r="U61" i="19"/>
  <c r="V61" i="19"/>
  <c r="V144" i="19"/>
  <c r="U144" i="19"/>
  <c r="X67" i="19"/>
  <c r="P501" i="19"/>
  <c r="Y79" i="19"/>
  <c r="X79" i="19"/>
  <c r="X383" i="19"/>
  <c r="Y383" i="19"/>
  <c r="R407" i="19" l="1"/>
  <c r="R406" i="19"/>
  <c r="R405" i="19"/>
  <c r="R404" i="19"/>
  <c r="X232" i="19"/>
  <c r="Z232" i="19" s="1"/>
  <c r="AA232" i="19" s="1"/>
  <c r="R47" i="19"/>
  <c r="R403" i="19"/>
  <c r="R402" i="19"/>
  <c r="R231" i="19"/>
  <c r="W144" i="19"/>
  <c r="X144" i="19" s="1"/>
  <c r="S391" i="19"/>
  <c r="S138" i="19"/>
  <c r="X222" i="19"/>
  <c r="Y222" i="19"/>
  <c r="Z67" i="19"/>
  <c r="AA67" i="19" s="1"/>
  <c r="Z193" i="19"/>
  <c r="AA193" i="19" s="1"/>
  <c r="Z192" i="19"/>
  <c r="AA192" i="19" s="1"/>
  <c r="Z383" i="19"/>
  <c r="AA383" i="19" s="1"/>
  <c r="Z79" i="19"/>
  <c r="AA79" i="19" s="1"/>
  <c r="W61" i="19"/>
  <c r="Z164" i="19"/>
  <c r="AA164" i="19" s="1"/>
  <c r="Z36" i="19"/>
  <c r="AA36" i="19" s="1"/>
  <c r="W352" i="19"/>
  <c r="X352" i="19" s="1"/>
  <c r="W33" i="19"/>
  <c r="X33" i="19" s="1"/>
  <c r="W111" i="19"/>
  <c r="X111" i="19" s="1"/>
  <c r="S224" i="19"/>
  <c r="Y80" i="19"/>
  <c r="X80" i="19"/>
  <c r="X349" i="19"/>
  <c r="Y349" i="19"/>
  <c r="S58" i="19"/>
  <c r="R332" i="19"/>
  <c r="S332" i="19"/>
  <c r="S83" i="19"/>
  <c r="R83" i="19"/>
  <c r="R292" i="19"/>
  <c r="S292" i="19"/>
  <c r="R324" i="19"/>
  <c r="S324" i="19"/>
  <c r="R263" i="19"/>
  <c r="S263" i="19"/>
  <c r="S312" i="19"/>
  <c r="R312" i="19"/>
  <c r="R87" i="19"/>
  <c r="S87" i="19"/>
  <c r="R265" i="19"/>
  <c r="S265" i="19"/>
  <c r="R267" i="19"/>
  <c r="S267" i="19"/>
  <c r="S147" i="19"/>
  <c r="R147" i="19"/>
  <c r="R46" i="19"/>
  <c r="S46" i="19"/>
  <c r="R169" i="19"/>
  <c r="S169" i="19"/>
  <c r="S246" i="19"/>
  <c r="R246" i="19"/>
  <c r="S39" i="19"/>
  <c r="R39" i="19"/>
  <c r="S276" i="19"/>
  <c r="R276" i="19"/>
  <c r="S115" i="19"/>
  <c r="R115" i="19"/>
  <c r="R330" i="19"/>
  <c r="S330" i="19"/>
  <c r="S289" i="19"/>
  <c r="R289" i="19"/>
  <c r="R194" i="19"/>
  <c r="S194" i="19"/>
  <c r="R63" i="19"/>
  <c r="S63" i="19"/>
  <c r="S218" i="19"/>
  <c r="R218" i="19"/>
  <c r="R162" i="19"/>
  <c r="S162" i="19"/>
  <c r="R347" i="19"/>
  <c r="S347" i="19"/>
  <c r="R203" i="19"/>
  <c r="S203" i="19"/>
  <c r="R320" i="19"/>
  <c r="S320" i="19"/>
  <c r="R287" i="19"/>
  <c r="S287" i="19"/>
  <c r="R156" i="19"/>
  <c r="S156" i="19"/>
  <c r="R358" i="19"/>
  <c r="S358" i="19"/>
  <c r="S199" i="19"/>
  <c r="R199" i="19"/>
  <c r="R387" i="19"/>
  <c r="S387" i="19"/>
  <c r="S212" i="19"/>
  <c r="R212" i="19"/>
  <c r="R86" i="19"/>
  <c r="S86" i="19"/>
  <c r="R376" i="19"/>
  <c r="S376" i="19"/>
  <c r="R181" i="19"/>
  <c r="S181" i="19"/>
  <c r="R262" i="19"/>
  <c r="S262" i="19"/>
  <c r="S278" i="19"/>
  <c r="R278" i="19"/>
  <c r="R230" i="19"/>
  <c r="S230" i="19"/>
  <c r="R166" i="19"/>
  <c r="S166" i="19"/>
  <c r="S308" i="19"/>
  <c r="R308" i="19"/>
  <c r="V198" i="19"/>
  <c r="U198" i="19"/>
  <c r="R88" i="19"/>
  <c r="S88" i="19"/>
  <c r="R375" i="19"/>
  <c r="S375" i="19"/>
  <c r="R363" i="19"/>
  <c r="S363" i="19"/>
  <c r="R388" i="19"/>
  <c r="S388" i="19"/>
  <c r="R369" i="19"/>
  <c r="S369" i="19"/>
  <c r="S125" i="19"/>
  <c r="R125" i="19"/>
  <c r="R129" i="19"/>
  <c r="S129" i="19"/>
  <c r="S213" i="19"/>
  <c r="R213" i="19"/>
  <c r="S189" i="19"/>
  <c r="R189" i="19"/>
  <c r="R370" i="19"/>
  <c r="S370" i="19"/>
  <c r="R305" i="19"/>
  <c r="S305" i="19"/>
  <c r="R150" i="19"/>
  <c r="S150" i="19"/>
  <c r="S188" i="19"/>
  <c r="R188" i="19"/>
  <c r="R89" i="19"/>
  <c r="S89" i="19"/>
  <c r="R396" i="19"/>
  <c r="S396" i="19"/>
  <c r="S84" i="19"/>
  <c r="R84" i="19"/>
  <c r="R243" i="19"/>
  <c r="S243" i="19"/>
  <c r="R55" i="19"/>
  <c r="S55" i="19"/>
  <c r="R279" i="19"/>
  <c r="S279" i="19"/>
  <c r="S85" i="19"/>
  <c r="R85" i="19"/>
  <c r="R325" i="19"/>
  <c r="S325" i="19"/>
  <c r="R42" i="19"/>
  <c r="S42" i="19"/>
  <c r="S160" i="19"/>
  <c r="R160" i="19"/>
  <c r="R227" i="19"/>
  <c r="S227" i="19"/>
  <c r="R72" i="19"/>
  <c r="S72" i="19"/>
  <c r="R38" i="19"/>
  <c r="S38" i="19"/>
  <c r="S200" i="19"/>
  <c r="R200" i="19"/>
  <c r="R175" i="19"/>
  <c r="S175" i="19"/>
  <c r="R322" i="19"/>
  <c r="S322" i="19"/>
  <c r="S326" i="19"/>
  <c r="R326" i="19"/>
  <c r="R201" i="19"/>
  <c r="S201" i="19"/>
  <c r="R141" i="19"/>
  <c r="S141" i="19"/>
  <c r="S327" i="19"/>
  <c r="R327" i="19"/>
  <c r="R40" i="19"/>
  <c r="S40" i="19"/>
  <c r="S309" i="19"/>
  <c r="R309" i="19"/>
  <c r="R81" i="19"/>
  <c r="S81" i="19"/>
  <c r="S268" i="19"/>
  <c r="R268" i="19"/>
  <c r="R68" i="19"/>
  <c r="S68" i="19"/>
  <c r="S316" i="19"/>
  <c r="R316" i="19"/>
  <c r="R91" i="19"/>
  <c r="S91" i="19"/>
  <c r="R205" i="19"/>
  <c r="S205" i="19"/>
  <c r="R315" i="19"/>
  <c r="S315" i="19"/>
  <c r="S95" i="19"/>
  <c r="R95" i="19"/>
  <c r="S90" i="19"/>
  <c r="R90" i="19"/>
  <c r="R163" i="19"/>
  <c r="S163" i="19"/>
  <c r="S303" i="19"/>
  <c r="R303" i="19"/>
  <c r="S299" i="19"/>
  <c r="R299" i="19"/>
  <c r="S333" i="19"/>
  <c r="R333" i="19"/>
  <c r="R133" i="19"/>
  <c r="S133" i="19"/>
  <c r="S348" i="19"/>
  <c r="R348" i="19"/>
  <c r="R165" i="19"/>
  <c r="S165" i="19"/>
  <c r="S158" i="19"/>
  <c r="R158" i="19"/>
  <c r="R294" i="19"/>
  <c r="S294" i="19"/>
  <c r="S300" i="19"/>
  <c r="R300" i="19"/>
  <c r="S122" i="19"/>
  <c r="R122" i="19"/>
  <c r="R173" i="19"/>
  <c r="S173" i="19"/>
  <c r="S104" i="19"/>
  <c r="R104" i="19"/>
  <c r="S137" i="19"/>
  <c r="R137" i="19"/>
  <c r="R307" i="19"/>
  <c r="S307" i="19"/>
  <c r="R270" i="19"/>
  <c r="S270" i="19"/>
  <c r="S145" i="19"/>
  <c r="R145" i="19"/>
  <c r="S350" i="19"/>
  <c r="R350" i="19"/>
  <c r="R157" i="19"/>
  <c r="S157" i="19"/>
  <c r="R237" i="19"/>
  <c r="S237" i="19"/>
  <c r="R121" i="19"/>
  <c r="S121" i="19"/>
  <c r="S73" i="19"/>
  <c r="R73" i="19"/>
  <c r="R360" i="19"/>
  <c r="S360" i="19"/>
  <c r="S136" i="19"/>
  <c r="R136" i="19"/>
  <c r="R281" i="19"/>
  <c r="S281" i="19"/>
  <c r="R204" i="19"/>
  <c r="S204" i="19"/>
  <c r="R386" i="19"/>
  <c r="S386" i="19"/>
  <c r="R342" i="19"/>
  <c r="S342" i="19"/>
  <c r="R176" i="19"/>
  <c r="S176" i="19"/>
  <c r="R338" i="19"/>
  <c r="S338" i="19"/>
  <c r="R185" i="19"/>
  <c r="S185" i="19"/>
  <c r="R248" i="19"/>
  <c r="S248" i="19"/>
  <c r="R154" i="19"/>
  <c r="S154" i="19"/>
  <c r="R148" i="19"/>
  <c r="S148" i="19"/>
  <c r="R335" i="19"/>
  <c r="S335" i="19"/>
  <c r="R112" i="19"/>
  <c r="S112" i="19"/>
  <c r="R223" i="19"/>
  <c r="S223" i="19"/>
  <c r="S159" i="19"/>
  <c r="R159" i="19"/>
  <c r="R149" i="19"/>
  <c r="S149" i="19"/>
  <c r="R131" i="19"/>
  <c r="S131" i="19"/>
  <c r="R400" i="19"/>
  <c r="S400" i="19"/>
  <c r="S269" i="19"/>
  <c r="R269" i="19"/>
  <c r="R106" i="19"/>
  <c r="S106" i="19"/>
  <c r="R380" i="19"/>
  <c r="S380" i="19"/>
  <c r="S195" i="19"/>
  <c r="R195" i="19"/>
  <c r="S288" i="19"/>
  <c r="R288" i="19"/>
  <c r="S99" i="19"/>
  <c r="R99" i="19"/>
  <c r="S367" i="19"/>
  <c r="R367" i="19"/>
  <c r="R43" i="19"/>
  <c r="S43" i="19"/>
  <c r="S334" i="19"/>
  <c r="R334" i="19"/>
  <c r="R66" i="19"/>
  <c r="S66" i="19"/>
  <c r="S249" i="19"/>
  <c r="R249" i="19"/>
  <c r="R251" i="19"/>
  <c r="S251" i="19"/>
  <c r="R190" i="19"/>
  <c r="S190" i="19"/>
  <c r="R226" i="19"/>
  <c r="S226" i="19"/>
  <c r="S271" i="19"/>
  <c r="R271" i="19"/>
  <c r="S178" i="19"/>
  <c r="R178" i="19"/>
  <c r="R394" i="19"/>
  <c r="S394" i="19"/>
  <c r="R384" i="19"/>
  <c r="S384" i="19"/>
  <c r="R45" i="19"/>
  <c r="S45" i="19"/>
  <c r="S174" i="19"/>
  <c r="R174" i="19"/>
  <c r="R399" i="19"/>
  <c r="S399" i="19"/>
  <c r="R321" i="19"/>
  <c r="S321" i="19"/>
  <c r="S362" i="19"/>
  <c r="R362" i="19"/>
  <c r="R168" i="19"/>
  <c r="S168" i="19"/>
  <c r="R119" i="19"/>
  <c r="S119" i="19"/>
  <c r="S118" i="19"/>
  <c r="R118" i="19"/>
  <c r="R123" i="19"/>
  <c r="S123" i="19"/>
  <c r="R337" i="19"/>
  <c r="S337" i="19"/>
  <c r="R329" i="19"/>
  <c r="S329" i="19"/>
  <c r="R216" i="19"/>
  <c r="S216" i="19"/>
  <c r="R180" i="19"/>
  <c r="S180" i="19"/>
  <c r="R179" i="19"/>
  <c r="S179" i="19"/>
  <c r="S214" i="19"/>
  <c r="R214" i="19"/>
  <c r="S105" i="19"/>
  <c r="R105" i="19"/>
  <c r="Y202" i="19"/>
  <c r="X202" i="19"/>
  <c r="R116" i="19"/>
  <c r="S116" i="19"/>
  <c r="R52" i="19"/>
  <c r="S52" i="19"/>
  <c r="R127" i="19"/>
  <c r="S127" i="19"/>
  <c r="R306" i="19"/>
  <c r="S306" i="19"/>
  <c r="R93" i="19"/>
  <c r="S93" i="19"/>
  <c r="R215" i="19"/>
  <c r="S215" i="19"/>
  <c r="R196" i="19"/>
  <c r="S196" i="19"/>
  <c r="R341" i="19"/>
  <c r="S341" i="19"/>
  <c r="R373" i="19"/>
  <c r="S373" i="19"/>
  <c r="S241" i="19"/>
  <c r="R241" i="19"/>
  <c r="R225" i="19"/>
  <c r="S225" i="19"/>
  <c r="R167" i="19"/>
  <c r="S167" i="19"/>
  <c r="R48" i="19"/>
  <c r="S48" i="19"/>
  <c r="S113" i="19"/>
  <c r="R113" i="19"/>
  <c r="R229" i="19"/>
  <c r="S229" i="19"/>
  <c r="S34" i="19"/>
  <c r="R34" i="19"/>
  <c r="R211" i="19"/>
  <c r="S211" i="19"/>
  <c r="S236" i="19"/>
  <c r="R236" i="19"/>
  <c r="R64" i="19"/>
  <c r="S64" i="19"/>
  <c r="R92" i="19"/>
  <c r="S92" i="19"/>
  <c r="S242" i="19"/>
  <c r="R242" i="19"/>
  <c r="R371" i="19"/>
  <c r="S371" i="19"/>
  <c r="R65" i="19"/>
  <c r="S65" i="19"/>
  <c r="R77" i="19"/>
  <c r="S77" i="19"/>
  <c r="S368" i="19"/>
  <c r="R368" i="19"/>
  <c r="R393" i="19"/>
  <c r="S393" i="19"/>
  <c r="R357" i="19"/>
  <c r="S357" i="19"/>
  <c r="R142" i="19"/>
  <c r="S142" i="19"/>
  <c r="R254" i="19"/>
  <c r="S254" i="19"/>
  <c r="R71" i="19"/>
  <c r="S71" i="19"/>
  <c r="S401" i="19"/>
  <c r="R401" i="19"/>
  <c r="R285" i="19"/>
  <c r="S285" i="19"/>
  <c r="R346" i="19"/>
  <c r="S346" i="19"/>
  <c r="R207" i="19"/>
  <c r="S207" i="19"/>
  <c r="S155" i="19"/>
  <c r="R155" i="19"/>
  <c r="R238" i="19"/>
  <c r="S238" i="19"/>
  <c r="R392" i="19"/>
  <c r="S392" i="19"/>
  <c r="R339" i="19"/>
  <c r="S339" i="19"/>
  <c r="R318" i="19"/>
  <c r="S318" i="19"/>
  <c r="R293" i="19"/>
  <c r="S293" i="19"/>
  <c r="R244" i="19"/>
  <c r="S244" i="19"/>
  <c r="R208" i="19"/>
  <c r="S208" i="19"/>
  <c r="R209" i="19"/>
  <c r="S209" i="19"/>
  <c r="S385" i="19"/>
  <c r="R385" i="19"/>
  <c r="S120" i="19"/>
  <c r="R120" i="19"/>
  <c r="S219" i="19"/>
  <c r="R219" i="19"/>
  <c r="S280" i="19"/>
  <c r="R280" i="19"/>
  <c r="S311" i="19"/>
  <c r="R311" i="19"/>
  <c r="R295" i="19"/>
  <c r="S295" i="19"/>
  <c r="R228" i="19"/>
  <c r="S228" i="19"/>
  <c r="R297" i="19"/>
  <c r="S297" i="19"/>
  <c r="R186" i="19"/>
  <c r="S186" i="19"/>
  <c r="R344" i="19"/>
  <c r="S344" i="19"/>
  <c r="S78" i="19"/>
  <c r="R78" i="19"/>
  <c r="R253" i="19"/>
  <c r="S253" i="19"/>
  <c r="S314" i="19"/>
  <c r="R314" i="19"/>
  <c r="R317" i="19"/>
  <c r="S317" i="19"/>
  <c r="R340" i="19"/>
  <c r="S340" i="19"/>
  <c r="R171" i="19"/>
  <c r="S171" i="19"/>
  <c r="S53" i="19"/>
  <c r="R53" i="19"/>
  <c r="R274" i="19"/>
  <c r="S274" i="19"/>
  <c r="R250" i="19"/>
  <c r="S250" i="19"/>
  <c r="R74" i="19"/>
  <c r="S74" i="19"/>
  <c r="R256" i="19"/>
  <c r="S256" i="19"/>
  <c r="S272" i="19"/>
  <c r="R272" i="19"/>
  <c r="R143" i="19"/>
  <c r="S143" i="19"/>
  <c r="R258" i="19"/>
  <c r="S258" i="19"/>
  <c r="R245" i="19"/>
  <c r="S245" i="19"/>
  <c r="R177" i="19"/>
  <c r="S177" i="19"/>
  <c r="S124" i="19"/>
  <c r="R124" i="19"/>
  <c r="S153" i="19"/>
  <c r="R153" i="19"/>
  <c r="S117" i="19"/>
  <c r="R117" i="19"/>
  <c r="R107" i="19"/>
  <c r="S107" i="19"/>
  <c r="R217" i="19"/>
  <c r="S217" i="19"/>
  <c r="S51" i="19"/>
  <c r="R51" i="19"/>
  <c r="S109" i="19"/>
  <c r="R109" i="19"/>
  <c r="R135" i="19"/>
  <c r="S135" i="19"/>
  <c r="R377" i="19"/>
  <c r="S377" i="19"/>
  <c r="S313" i="19"/>
  <c r="R313" i="19"/>
  <c r="R132" i="19"/>
  <c r="S132" i="19"/>
  <c r="R359" i="19"/>
  <c r="S359" i="19"/>
  <c r="R233" i="19"/>
  <c r="S233" i="19"/>
  <c r="R170" i="19"/>
  <c r="S170" i="19"/>
  <c r="S184" i="19"/>
  <c r="R184" i="19"/>
  <c r="S302" i="19"/>
  <c r="R302" i="19"/>
  <c r="S161" i="19"/>
  <c r="R161" i="19"/>
  <c r="R235" i="19"/>
  <c r="S235" i="19"/>
  <c r="R94" i="19"/>
  <c r="S94" i="19"/>
  <c r="R100" i="19"/>
  <c r="S100" i="19"/>
  <c r="R379" i="19"/>
  <c r="S379" i="19"/>
  <c r="R372" i="19"/>
  <c r="S372" i="19"/>
  <c r="R257" i="19"/>
  <c r="S257" i="19"/>
  <c r="S134" i="19"/>
  <c r="R134" i="19"/>
  <c r="S96" i="19"/>
  <c r="R96" i="19"/>
  <c r="S182" i="19"/>
  <c r="R182" i="19"/>
  <c r="R304" i="19"/>
  <c r="S304" i="19"/>
  <c r="R355" i="19"/>
  <c r="S355" i="19"/>
  <c r="R70" i="19"/>
  <c r="S70" i="19"/>
  <c r="R102" i="19"/>
  <c r="S102" i="19"/>
  <c r="R50" i="19"/>
  <c r="S50" i="19"/>
  <c r="S69" i="19"/>
  <c r="R69" i="19"/>
  <c r="R172" i="19"/>
  <c r="S172" i="19"/>
  <c r="R37" i="19"/>
  <c r="S37" i="19"/>
  <c r="S108" i="19"/>
  <c r="R108" i="19"/>
  <c r="S57" i="19"/>
  <c r="R57" i="19"/>
  <c r="S239" i="19"/>
  <c r="R239" i="19"/>
  <c r="S151" i="19"/>
  <c r="R151" i="19"/>
  <c r="S187" i="19"/>
  <c r="R187" i="19"/>
  <c r="S378" i="19"/>
  <c r="R378" i="19"/>
  <c r="S191" i="19"/>
  <c r="R191" i="19"/>
  <c r="R255" i="19"/>
  <c r="S255" i="19"/>
  <c r="S59" i="19"/>
  <c r="R59" i="19"/>
  <c r="S98" i="19"/>
  <c r="R98" i="19"/>
  <c r="R103" i="19"/>
  <c r="S103" i="19"/>
  <c r="S44" i="19"/>
  <c r="R44" i="19"/>
  <c r="R240" i="19"/>
  <c r="S240" i="19"/>
  <c r="R345" i="19"/>
  <c r="S345" i="19"/>
  <c r="R62" i="19"/>
  <c r="S62" i="19"/>
  <c r="R284" i="19"/>
  <c r="S284" i="19"/>
  <c r="S247" i="19"/>
  <c r="R247" i="19"/>
  <c r="R364" i="19"/>
  <c r="S364" i="19"/>
  <c r="R197" i="19"/>
  <c r="S197" i="19"/>
  <c r="R266" i="19"/>
  <c r="S266" i="19"/>
  <c r="S260" i="19"/>
  <c r="R260" i="19"/>
  <c r="R264" i="19"/>
  <c r="S264" i="19"/>
  <c r="S356" i="19"/>
  <c r="R356" i="19"/>
  <c r="R389" i="19"/>
  <c r="S389" i="19"/>
  <c r="R49" i="19"/>
  <c r="S49" i="19"/>
  <c r="R273" i="19"/>
  <c r="S273" i="19"/>
  <c r="R291" i="19"/>
  <c r="S291" i="19"/>
  <c r="R283" i="19"/>
  <c r="S283" i="19"/>
  <c r="R319" i="19"/>
  <c r="S319" i="19"/>
  <c r="R374" i="19"/>
  <c r="S374" i="19"/>
  <c r="R310" i="19"/>
  <c r="S310" i="19"/>
  <c r="S41" i="19"/>
  <c r="R41" i="19"/>
  <c r="R140" i="19"/>
  <c r="S140" i="19"/>
  <c r="R261" i="19"/>
  <c r="S261" i="19"/>
  <c r="R354" i="19"/>
  <c r="S354" i="19"/>
  <c r="R126" i="19"/>
  <c r="S126" i="19"/>
  <c r="R277" i="19"/>
  <c r="S277" i="19"/>
  <c r="R206" i="19"/>
  <c r="S206" i="19"/>
  <c r="S130" i="19"/>
  <c r="R130" i="19"/>
  <c r="R259" i="19"/>
  <c r="S259" i="19"/>
  <c r="S60" i="19"/>
  <c r="R60" i="19"/>
  <c r="X128" i="19"/>
  <c r="Y128" i="19"/>
  <c r="R139" i="19"/>
  <c r="S139" i="19"/>
  <c r="R351" i="19"/>
  <c r="S351" i="19"/>
  <c r="S146" i="19"/>
  <c r="R146" i="19"/>
  <c r="R298" i="19"/>
  <c r="S298" i="19"/>
  <c r="R56" i="19"/>
  <c r="S56" i="19"/>
  <c r="R220" i="19"/>
  <c r="S220" i="19"/>
  <c r="R110" i="19"/>
  <c r="S110" i="19"/>
  <c r="R382" i="19"/>
  <c r="S382" i="19"/>
  <c r="S32" i="19"/>
  <c r="R32" i="19"/>
  <c r="R282" i="19"/>
  <c r="S282" i="19"/>
  <c r="R397" i="19"/>
  <c r="S397" i="19"/>
  <c r="R183" i="19"/>
  <c r="S183" i="19"/>
  <c r="R331" i="19"/>
  <c r="S331" i="19"/>
  <c r="R328" i="19"/>
  <c r="S328" i="19"/>
  <c r="R252" i="19"/>
  <c r="S252" i="19"/>
  <c r="R54" i="19"/>
  <c r="S54" i="19"/>
  <c r="S152" i="19"/>
  <c r="R152" i="19"/>
  <c r="R343" i="19"/>
  <c r="S343" i="19"/>
  <c r="R35" i="19"/>
  <c r="S35" i="19"/>
  <c r="R381" i="19"/>
  <c r="S381" i="19"/>
  <c r="R76" i="19"/>
  <c r="S76" i="19"/>
  <c r="S290" i="19"/>
  <c r="R290" i="19"/>
  <c r="R234" i="19"/>
  <c r="S234" i="19"/>
  <c r="R398" i="19"/>
  <c r="S398" i="19"/>
  <c r="R296" i="19"/>
  <c r="S296" i="19"/>
  <c r="S114" i="19"/>
  <c r="R114" i="19"/>
  <c r="R323" i="19"/>
  <c r="S323" i="19"/>
  <c r="R101" i="19"/>
  <c r="S101" i="19"/>
  <c r="R210" i="19"/>
  <c r="S210" i="19"/>
  <c r="S97" i="19"/>
  <c r="R97" i="19"/>
  <c r="R286" i="19"/>
  <c r="S286" i="19"/>
  <c r="R336" i="19"/>
  <c r="S336" i="19"/>
  <c r="R390" i="19"/>
  <c r="S390" i="19"/>
  <c r="R31" i="19"/>
  <c r="S31" i="19"/>
  <c r="Q501" i="19"/>
  <c r="S82" i="19"/>
  <c r="R82" i="19"/>
  <c r="V193" i="8" l="1"/>
  <c r="W193" i="8" s="1"/>
  <c r="V193" i="21"/>
  <c r="W193" i="21" s="1"/>
  <c r="V79" i="8"/>
  <c r="W79" i="8" s="1"/>
  <c r="V79" i="21"/>
  <c r="W79" i="21" s="1"/>
  <c r="V67" i="8"/>
  <c r="W67" i="8" s="1"/>
  <c r="V67" i="21"/>
  <c r="W67" i="21" s="1"/>
  <c r="V36" i="8"/>
  <c r="W36" i="8" s="1"/>
  <c r="V36" i="21"/>
  <c r="W36" i="21" s="1"/>
  <c r="V383" i="8"/>
  <c r="W383" i="8" s="1"/>
  <c r="V383" i="21"/>
  <c r="W383" i="21" s="1"/>
  <c r="V164" i="8"/>
  <c r="W164" i="8" s="1"/>
  <c r="V164" i="21"/>
  <c r="W164" i="21" s="1"/>
  <c r="V192" i="8"/>
  <c r="W192" i="8" s="1"/>
  <c r="V192" i="21"/>
  <c r="W192" i="21" s="1"/>
  <c r="V232" i="8"/>
  <c r="W232" i="8" s="1"/>
  <c r="V232" i="21"/>
  <c r="W232" i="21" s="1"/>
  <c r="T407" i="19"/>
  <c r="V407" i="19" s="1"/>
  <c r="T406" i="19"/>
  <c r="V406" i="19" s="1"/>
  <c r="T405" i="19"/>
  <c r="V405" i="19" s="1"/>
  <c r="T404" i="19"/>
  <c r="V404" i="19" s="1"/>
  <c r="T403" i="19"/>
  <c r="V403" i="19" s="1"/>
  <c r="T402" i="19"/>
  <c r="V402" i="19" s="1"/>
  <c r="Z222" i="19"/>
  <c r="AA222" i="19" s="1"/>
  <c r="Y111" i="19"/>
  <c r="Z111" i="19" s="1"/>
  <c r="AA111" i="19" s="1"/>
  <c r="Z202" i="19"/>
  <c r="Z128" i="19"/>
  <c r="AA128" i="19" s="1"/>
  <c r="W198" i="19"/>
  <c r="Z80" i="19"/>
  <c r="AA80" i="19" s="1"/>
  <c r="Z349" i="19"/>
  <c r="AA349" i="19" s="1"/>
  <c r="T152" i="19"/>
  <c r="T146" i="19"/>
  <c r="T32" i="19"/>
  <c r="T138" i="19"/>
  <c r="T231" i="19"/>
  <c r="T391" i="19"/>
  <c r="T221" i="19"/>
  <c r="U221" i="19" s="1"/>
  <c r="T47" i="19"/>
  <c r="T336" i="19"/>
  <c r="V336" i="19" s="1"/>
  <c r="T101" i="19"/>
  <c r="T398" i="19"/>
  <c r="T381" i="19"/>
  <c r="T343" i="19"/>
  <c r="T54" i="19"/>
  <c r="T328" i="19"/>
  <c r="T183" i="19"/>
  <c r="T282" i="19"/>
  <c r="T382" i="19"/>
  <c r="T220" i="19"/>
  <c r="T298" i="19"/>
  <c r="T351" i="19"/>
  <c r="T259" i="19"/>
  <c r="T206" i="19"/>
  <c r="T126" i="19"/>
  <c r="T261" i="19"/>
  <c r="T374" i="19"/>
  <c r="T283" i="19"/>
  <c r="T273" i="19"/>
  <c r="T389" i="19"/>
  <c r="T264" i="19"/>
  <c r="T266" i="19"/>
  <c r="T364" i="19"/>
  <c r="T284" i="19"/>
  <c r="T345" i="19"/>
  <c r="T378" i="19"/>
  <c r="T224" i="19"/>
  <c r="T130" i="19"/>
  <c r="T58" i="19"/>
  <c r="T60" i="19"/>
  <c r="T286" i="19"/>
  <c r="T210" i="19"/>
  <c r="T296" i="19"/>
  <c r="T76" i="19"/>
  <c r="T331" i="19"/>
  <c r="T56" i="19"/>
  <c r="T277" i="19"/>
  <c r="T140" i="19"/>
  <c r="T310" i="19"/>
  <c r="T291" i="19"/>
  <c r="T197" i="19"/>
  <c r="T62" i="19"/>
  <c r="T103" i="19"/>
  <c r="T191" i="19"/>
  <c r="T108" i="19"/>
  <c r="T82" i="19"/>
  <c r="T97" i="19"/>
  <c r="T114" i="19"/>
  <c r="T290" i="19"/>
  <c r="T41" i="19"/>
  <c r="T44" i="19"/>
  <c r="T98" i="19"/>
  <c r="T172" i="19"/>
  <c r="T50" i="19"/>
  <c r="T70" i="19"/>
  <c r="T304" i="19"/>
  <c r="T257" i="19"/>
  <c r="T379" i="19"/>
  <c r="T94" i="19"/>
  <c r="T233" i="19"/>
  <c r="T132" i="19"/>
  <c r="T377" i="19"/>
  <c r="T217" i="19"/>
  <c r="T245" i="19"/>
  <c r="T143" i="19"/>
  <c r="T256" i="19"/>
  <c r="T250" i="19"/>
  <c r="T340" i="19"/>
  <c r="T186" i="19"/>
  <c r="T228" i="19"/>
  <c r="T208" i="19"/>
  <c r="T293" i="19"/>
  <c r="T339" i="19"/>
  <c r="T238" i="19"/>
  <c r="T207" i="19"/>
  <c r="T285" i="19"/>
  <c r="T71" i="19"/>
  <c r="T142" i="19"/>
  <c r="T393" i="19"/>
  <c r="T77" i="19"/>
  <c r="T371" i="19"/>
  <c r="T92" i="19"/>
  <c r="T167" i="19"/>
  <c r="T341" i="19"/>
  <c r="T215" i="19"/>
  <c r="T306" i="19"/>
  <c r="T52" i="19"/>
  <c r="T362" i="19"/>
  <c r="T271" i="19"/>
  <c r="T249" i="19"/>
  <c r="T334" i="19"/>
  <c r="T367" i="19"/>
  <c r="T288" i="19"/>
  <c r="T269" i="19"/>
  <c r="T159" i="19"/>
  <c r="T136" i="19"/>
  <c r="T73" i="19"/>
  <c r="T121" i="19"/>
  <c r="T157" i="19"/>
  <c r="T307" i="19"/>
  <c r="T299" i="19"/>
  <c r="T95" i="19"/>
  <c r="T316" i="19"/>
  <c r="T268" i="19"/>
  <c r="T309" i="19"/>
  <c r="T327" i="19"/>
  <c r="T200" i="19"/>
  <c r="T160" i="19"/>
  <c r="T188" i="19"/>
  <c r="T189" i="19"/>
  <c r="T308" i="19"/>
  <c r="T212" i="19"/>
  <c r="T199" i="19"/>
  <c r="T218" i="19"/>
  <c r="T276" i="19"/>
  <c r="T246" i="19"/>
  <c r="T151" i="19"/>
  <c r="T57" i="19"/>
  <c r="T69" i="19"/>
  <c r="T182" i="19"/>
  <c r="T134" i="19"/>
  <c r="T302" i="19"/>
  <c r="T313" i="19"/>
  <c r="T51" i="19"/>
  <c r="T153" i="19"/>
  <c r="T272" i="19"/>
  <c r="T280" i="19"/>
  <c r="T120" i="19"/>
  <c r="T155" i="19"/>
  <c r="T401" i="19"/>
  <c r="T368" i="19"/>
  <c r="T242" i="19"/>
  <c r="T105" i="19"/>
  <c r="T180" i="19"/>
  <c r="T329" i="19"/>
  <c r="T123" i="19"/>
  <c r="T119" i="19"/>
  <c r="T399" i="19"/>
  <c r="T45" i="19"/>
  <c r="T394" i="19"/>
  <c r="T190" i="19"/>
  <c r="T380" i="19"/>
  <c r="T131" i="19"/>
  <c r="T112" i="19"/>
  <c r="T148" i="19"/>
  <c r="T248" i="19"/>
  <c r="T338" i="19"/>
  <c r="T342" i="19"/>
  <c r="T204" i="19"/>
  <c r="T350" i="19"/>
  <c r="T137" i="19"/>
  <c r="T294" i="19"/>
  <c r="T165" i="19"/>
  <c r="T133" i="19"/>
  <c r="T163" i="19"/>
  <c r="T205" i="19"/>
  <c r="T201" i="19"/>
  <c r="T322" i="19"/>
  <c r="T72" i="19"/>
  <c r="T325" i="19"/>
  <c r="T279" i="19"/>
  <c r="T243" i="19"/>
  <c r="T396" i="19"/>
  <c r="T305" i="19"/>
  <c r="T129" i="19"/>
  <c r="T369" i="19"/>
  <c r="T363" i="19"/>
  <c r="T88" i="19"/>
  <c r="T230" i="19"/>
  <c r="T262" i="19"/>
  <c r="T376" i="19"/>
  <c r="T156" i="19"/>
  <c r="T320" i="19"/>
  <c r="T347" i="19"/>
  <c r="T194" i="19"/>
  <c r="T330" i="19"/>
  <c r="T46" i="19"/>
  <c r="T267" i="19"/>
  <c r="T87" i="19"/>
  <c r="T263" i="19"/>
  <c r="T292" i="19"/>
  <c r="T332" i="19"/>
  <c r="T356" i="19"/>
  <c r="T260" i="19"/>
  <c r="T247" i="19"/>
  <c r="T255" i="19"/>
  <c r="T37" i="19"/>
  <c r="T102" i="19"/>
  <c r="T355" i="19"/>
  <c r="T372" i="19"/>
  <c r="T100" i="19"/>
  <c r="T235" i="19"/>
  <c r="T170" i="19"/>
  <c r="T359" i="19"/>
  <c r="T135" i="19"/>
  <c r="T107" i="19"/>
  <c r="T177" i="19"/>
  <c r="T258" i="19"/>
  <c r="T74" i="19"/>
  <c r="T274" i="19"/>
  <c r="T171" i="19"/>
  <c r="T317" i="19"/>
  <c r="T253" i="19"/>
  <c r="T344" i="19"/>
  <c r="T297" i="19"/>
  <c r="T295" i="19"/>
  <c r="T209" i="19"/>
  <c r="T244" i="19"/>
  <c r="T318" i="19"/>
  <c r="T392" i="19"/>
  <c r="T346" i="19"/>
  <c r="T254" i="19"/>
  <c r="T357" i="19"/>
  <c r="T65" i="19"/>
  <c r="T64" i="19"/>
  <c r="T211" i="19"/>
  <c r="T229" i="19"/>
  <c r="T48" i="19"/>
  <c r="T225" i="19"/>
  <c r="T373" i="19"/>
  <c r="T196" i="19"/>
  <c r="T93" i="19"/>
  <c r="T127" i="19"/>
  <c r="T116" i="19"/>
  <c r="T179" i="19"/>
  <c r="T118" i="19"/>
  <c r="T174" i="19"/>
  <c r="T178" i="19"/>
  <c r="T99" i="19"/>
  <c r="T195" i="19"/>
  <c r="T237" i="19"/>
  <c r="T270" i="19"/>
  <c r="T173" i="19"/>
  <c r="T300" i="19"/>
  <c r="T158" i="19"/>
  <c r="T348" i="19"/>
  <c r="T333" i="19"/>
  <c r="T303" i="19"/>
  <c r="T90" i="19"/>
  <c r="T326" i="19"/>
  <c r="T85" i="19"/>
  <c r="T84" i="19"/>
  <c r="T213" i="19"/>
  <c r="T125" i="19"/>
  <c r="T278" i="19"/>
  <c r="T289" i="19"/>
  <c r="T115" i="19"/>
  <c r="T39" i="19"/>
  <c r="T147" i="19"/>
  <c r="T312" i="19"/>
  <c r="T83" i="19"/>
  <c r="T390" i="19"/>
  <c r="T323" i="19"/>
  <c r="T234" i="19"/>
  <c r="T35" i="19"/>
  <c r="T252" i="19"/>
  <c r="T397" i="19"/>
  <c r="T110" i="19"/>
  <c r="T139" i="19"/>
  <c r="T354" i="19"/>
  <c r="T319" i="19"/>
  <c r="T49" i="19"/>
  <c r="T240" i="19"/>
  <c r="T59" i="19"/>
  <c r="T187" i="19"/>
  <c r="T239" i="19"/>
  <c r="T96" i="19"/>
  <c r="T161" i="19"/>
  <c r="T184" i="19"/>
  <c r="T109" i="19"/>
  <c r="T117" i="19"/>
  <c r="T124" i="19"/>
  <c r="T53" i="19"/>
  <c r="T314" i="19"/>
  <c r="T78" i="19"/>
  <c r="T311" i="19"/>
  <c r="T219" i="19"/>
  <c r="T385" i="19"/>
  <c r="T236" i="19"/>
  <c r="T34" i="19"/>
  <c r="T113" i="19"/>
  <c r="T241" i="19"/>
  <c r="T214" i="19"/>
  <c r="T216" i="19"/>
  <c r="T337" i="19"/>
  <c r="T168" i="19"/>
  <c r="T321" i="19"/>
  <c r="T384" i="19"/>
  <c r="T226" i="19"/>
  <c r="T251" i="19"/>
  <c r="T66" i="19"/>
  <c r="T43" i="19"/>
  <c r="T106" i="19"/>
  <c r="T400" i="19"/>
  <c r="T149" i="19"/>
  <c r="T223" i="19"/>
  <c r="T335" i="19"/>
  <c r="T154" i="19"/>
  <c r="T185" i="19"/>
  <c r="T176" i="19"/>
  <c r="T386" i="19"/>
  <c r="T281" i="19"/>
  <c r="T360" i="19"/>
  <c r="T145" i="19"/>
  <c r="T104" i="19"/>
  <c r="T122" i="19"/>
  <c r="T315" i="19"/>
  <c r="T91" i="19"/>
  <c r="T68" i="19"/>
  <c r="T81" i="19"/>
  <c r="T40" i="19"/>
  <c r="T141" i="19"/>
  <c r="T175" i="19"/>
  <c r="T38" i="19"/>
  <c r="T227" i="19"/>
  <c r="T42" i="19"/>
  <c r="T55" i="19"/>
  <c r="T89" i="19"/>
  <c r="T150" i="19"/>
  <c r="T370" i="19"/>
  <c r="T388" i="19"/>
  <c r="T375" i="19"/>
  <c r="T166" i="19"/>
  <c r="T181" i="19"/>
  <c r="T86" i="19"/>
  <c r="T387" i="19"/>
  <c r="T358" i="19"/>
  <c r="T287" i="19"/>
  <c r="T203" i="19"/>
  <c r="T162" i="19"/>
  <c r="T63" i="19"/>
  <c r="T169" i="19"/>
  <c r="T265" i="19"/>
  <c r="T324" i="19"/>
  <c r="T31" i="19"/>
  <c r="Y144" i="19"/>
  <c r="Z144" i="19" s="1"/>
  <c r="AA144" i="19" s="1"/>
  <c r="Y352" i="19"/>
  <c r="Y33" i="19"/>
  <c r="Z33" i="19" s="1"/>
  <c r="AA33" i="19" s="1"/>
  <c r="AA202" i="19"/>
  <c r="R501" i="19"/>
  <c r="S501" i="19"/>
  <c r="Y61" i="19"/>
  <c r="X61" i="19"/>
  <c r="V202" i="8" l="1"/>
  <c r="W202" i="8" s="1"/>
  <c r="V202" i="21"/>
  <c r="W202" i="21" s="1"/>
  <c r="V33" i="8"/>
  <c r="W33" i="8" s="1"/>
  <c r="V33" i="21"/>
  <c r="W33" i="21" s="1"/>
  <c r="V80" i="8"/>
  <c r="W80" i="8" s="1"/>
  <c r="V80" i="21"/>
  <c r="W80" i="21" s="1"/>
  <c r="V111" i="8"/>
  <c r="W111" i="8" s="1"/>
  <c r="V111" i="21"/>
  <c r="W111" i="21" s="1"/>
  <c r="V222" i="8"/>
  <c r="W222" i="8" s="1"/>
  <c r="V222" i="21"/>
  <c r="W222" i="21" s="1"/>
  <c r="V144" i="8"/>
  <c r="W144" i="8" s="1"/>
  <c r="V144" i="21"/>
  <c r="W144" i="21" s="1"/>
  <c r="V128" i="8"/>
  <c r="W128" i="8" s="1"/>
  <c r="V128" i="21"/>
  <c r="W128" i="21" s="1"/>
  <c r="V349" i="8"/>
  <c r="W349" i="8" s="1"/>
  <c r="V349" i="21"/>
  <c r="W349" i="21" s="1"/>
  <c r="U407" i="19"/>
  <c r="U406" i="19"/>
  <c r="U405" i="19"/>
  <c r="U404" i="19"/>
  <c r="U403" i="19"/>
  <c r="U402" i="19"/>
  <c r="U336" i="19"/>
  <c r="Z61" i="19"/>
  <c r="AA61" i="19" s="1"/>
  <c r="Z352" i="19"/>
  <c r="AA352" i="19" s="1"/>
  <c r="V221" i="19"/>
  <c r="U63" i="19"/>
  <c r="V63" i="19"/>
  <c r="V201" i="19"/>
  <c r="U201" i="19"/>
  <c r="U106" i="19"/>
  <c r="V106" i="19"/>
  <c r="V211" i="19"/>
  <c r="U211" i="19"/>
  <c r="V37" i="19"/>
  <c r="U37" i="19"/>
  <c r="V252" i="19"/>
  <c r="U252" i="19"/>
  <c r="V372" i="19"/>
  <c r="U372" i="19"/>
  <c r="U363" i="19"/>
  <c r="V363" i="19"/>
  <c r="U121" i="19"/>
  <c r="V121" i="19"/>
  <c r="V242" i="19"/>
  <c r="U242" i="19"/>
  <c r="V233" i="19"/>
  <c r="U233" i="19"/>
  <c r="U139" i="19"/>
  <c r="V139" i="19"/>
  <c r="U271" i="19"/>
  <c r="V271" i="19"/>
  <c r="V263" i="19"/>
  <c r="U263" i="19"/>
  <c r="V169" i="19"/>
  <c r="U169" i="19"/>
  <c r="V287" i="19"/>
  <c r="U287" i="19"/>
  <c r="V308" i="19"/>
  <c r="U308" i="19"/>
  <c r="U243" i="19"/>
  <c r="V243" i="19"/>
  <c r="U322" i="19"/>
  <c r="V322" i="19"/>
  <c r="V133" i="19"/>
  <c r="U133" i="19"/>
  <c r="V137" i="19"/>
  <c r="U137" i="19"/>
  <c r="U154" i="19"/>
  <c r="V154" i="19"/>
  <c r="U400" i="19"/>
  <c r="V400" i="19"/>
  <c r="V251" i="19"/>
  <c r="U251" i="19"/>
  <c r="U168" i="19"/>
  <c r="V168" i="19"/>
  <c r="V214" i="19"/>
  <c r="U214" i="19"/>
  <c r="V229" i="19"/>
  <c r="U229" i="19"/>
  <c r="V285" i="19"/>
  <c r="U285" i="19"/>
  <c r="V293" i="19"/>
  <c r="U293" i="19"/>
  <c r="U51" i="19"/>
  <c r="V51" i="19"/>
  <c r="U102" i="19"/>
  <c r="V102" i="19"/>
  <c r="U197" i="19"/>
  <c r="V197" i="19"/>
  <c r="V310" i="19"/>
  <c r="U310" i="19"/>
  <c r="U97" i="19"/>
  <c r="V97" i="19"/>
  <c r="U397" i="19"/>
  <c r="V397" i="19"/>
  <c r="U323" i="19"/>
  <c r="V323" i="19"/>
  <c r="U127" i="19"/>
  <c r="V127" i="19"/>
  <c r="V280" i="19"/>
  <c r="U280" i="19"/>
  <c r="U170" i="19"/>
  <c r="V170" i="19"/>
  <c r="U261" i="19"/>
  <c r="V261" i="19"/>
  <c r="U328" i="19"/>
  <c r="V328" i="19"/>
  <c r="U39" i="19"/>
  <c r="V39" i="19"/>
  <c r="U166" i="19"/>
  <c r="V166" i="19"/>
  <c r="U370" i="19"/>
  <c r="V370" i="19"/>
  <c r="U200" i="19"/>
  <c r="V200" i="19"/>
  <c r="U316" i="19"/>
  <c r="V316" i="19"/>
  <c r="U157" i="19"/>
  <c r="V157" i="19"/>
  <c r="U204" i="19"/>
  <c r="V204" i="19"/>
  <c r="U99" i="19"/>
  <c r="V99" i="19"/>
  <c r="V179" i="19"/>
  <c r="U179" i="19"/>
  <c r="U341" i="19"/>
  <c r="V341" i="19"/>
  <c r="V385" i="19"/>
  <c r="U385" i="19"/>
  <c r="U186" i="19"/>
  <c r="V186" i="19"/>
  <c r="U143" i="19"/>
  <c r="V143" i="19"/>
  <c r="U132" i="19"/>
  <c r="V132" i="19"/>
  <c r="V257" i="19"/>
  <c r="U257" i="19"/>
  <c r="U57" i="19"/>
  <c r="V57" i="19"/>
  <c r="V260" i="19"/>
  <c r="U260" i="19"/>
  <c r="U277" i="19"/>
  <c r="V277" i="19"/>
  <c r="U35" i="19"/>
  <c r="V35" i="19"/>
  <c r="V58" i="19"/>
  <c r="U58" i="19"/>
  <c r="U173" i="19"/>
  <c r="V173" i="19"/>
  <c r="U334" i="19"/>
  <c r="V334" i="19"/>
  <c r="U34" i="19"/>
  <c r="V34" i="19"/>
  <c r="U253" i="19"/>
  <c r="V253" i="19"/>
  <c r="U359" i="19"/>
  <c r="V359" i="19"/>
  <c r="U343" i="19"/>
  <c r="V343" i="19"/>
  <c r="V324" i="19"/>
  <c r="U324" i="19"/>
  <c r="V194" i="19"/>
  <c r="U194" i="19"/>
  <c r="V391" i="19"/>
  <c r="U391" i="19"/>
  <c r="U189" i="19"/>
  <c r="V189" i="19"/>
  <c r="U227" i="19"/>
  <c r="V227" i="19"/>
  <c r="U40" i="19"/>
  <c r="V40" i="19"/>
  <c r="U315" i="19"/>
  <c r="V315" i="19"/>
  <c r="U360" i="19"/>
  <c r="V360" i="19"/>
  <c r="U112" i="19"/>
  <c r="V112" i="19"/>
  <c r="U394" i="19"/>
  <c r="V394" i="19"/>
  <c r="U123" i="19"/>
  <c r="V123" i="19"/>
  <c r="V368" i="19"/>
  <c r="U368" i="19"/>
  <c r="V318" i="19"/>
  <c r="U318" i="19"/>
  <c r="U314" i="19"/>
  <c r="V314" i="19"/>
  <c r="V109" i="19"/>
  <c r="U109" i="19"/>
  <c r="U70" i="19"/>
  <c r="V70" i="19"/>
  <c r="V345" i="19"/>
  <c r="U345" i="19"/>
  <c r="U264" i="19"/>
  <c r="V264" i="19"/>
  <c r="U374" i="19"/>
  <c r="V374" i="19"/>
  <c r="U146" i="19"/>
  <c r="V146" i="19"/>
  <c r="U83" i="19"/>
  <c r="V83" i="19"/>
  <c r="V276" i="19"/>
  <c r="U276" i="19"/>
  <c r="U376" i="19"/>
  <c r="V376" i="19"/>
  <c r="U375" i="19"/>
  <c r="V375" i="19"/>
  <c r="U396" i="19"/>
  <c r="V396" i="19"/>
  <c r="U348" i="19"/>
  <c r="V348" i="19"/>
  <c r="U231" i="19"/>
  <c r="V231" i="19"/>
  <c r="U116" i="19"/>
  <c r="V116" i="19"/>
  <c r="U401" i="19"/>
  <c r="V401" i="19"/>
  <c r="U171" i="19"/>
  <c r="V171" i="19"/>
  <c r="U138" i="19"/>
  <c r="V138" i="19"/>
  <c r="U206" i="19"/>
  <c r="V206" i="19"/>
  <c r="U54" i="19"/>
  <c r="V54" i="19"/>
  <c r="U125" i="19"/>
  <c r="V125" i="19"/>
  <c r="U350" i="19"/>
  <c r="V350" i="19"/>
  <c r="U337" i="19"/>
  <c r="V337" i="19"/>
  <c r="V208" i="19"/>
  <c r="U208" i="19"/>
  <c r="U49" i="19"/>
  <c r="V49" i="19"/>
  <c r="V373" i="19"/>
  <c r="U373" i="19"/>
  <c r="V381" i="19"/>
  <c r="U381" i="19"/>
  <c r="U327" i="19"/>
  <c r="V327" i="19"/>
  <c r="V178" i="19"/>
  <c r="U178" i="19"/>
  <c r="U340" i="19"/>
  <c r="V340" i="19"/>
  <c r="U151" i="19"/>
  <c r="V151" i="19"/>
  <c r="V326" i="19"/>
  <c r="U326" i="19"/>
  <c r="V274" i="19"/>
  <c r="U274" i="19"/>
  <c r="V398" i="19"/>
  <c r="U398" i="19"/>
  <c r="V278" i="19"/>
  <c r="U278" i="19"/>
  <c r="V81" i="19"/>
  <c r="U81" i="19"/>
  <c r="U281" i="19"/>
  <c r="V281" i="19"/>
  <c r="U131" i="19"/>
  <c r="V131" i="19"/>
  <c r="V45" i="19"/>
  <c r="U45" i="19"/>
  <c r="V329" i="19"/>
  <c r="U329" i="19"/>
  <c r="U241" i="19"/>
  <c r="V241" i="19"/>
  <c r="V254" i="19"/>
  <c r="U254" i="19"/>
  <c r="U244" i="19"/>
  <c r="V244" i="19"/>
  <c r="V53" i="19"/>
  <c r="U53" i="19"/>
  <c r="U184" i="19"/>
  <c r="V184" i="19"/>
  <c r="V50" i="19"/>
  <c r="U50" i="19"/>
  <c r="V284" i="19"/>
  <c r="U284" i="19"/>
  <c r="V389" i="19"/>
  <c r="U389" i="19"/>
  <c r="U47" i="19"/>
  <c r="V47" i="19"/>
  <c r="U32" i="19"/>
  <c r="V32" i="19"/>
  <c r="U312" i="19"/>
  <c r="V312" i="19"/>
  <c r="V218" i="19"/>
  <c r="U218" i="19"/>
  <c r="V262" i="19"/>
  <c r="U262" i="19"/>
  <c r="U388" i="19"/>
  <c r="V388" i="19"/>
  <c r="U85" i="19"/>
  <c r="V85" i="19"/>
  <c r="U300" i="19"/>
  <c r="V300" i="19"/>
  <c r="V159" i="19"/>
  <c r="U159" i="19"/>
  <c r="U196" i="19"/>
  <c r="V196" i="19"/>
  <c r="U155" i="19"/>
  <c r="V155" i="19"/>
  <c r="U177" i="19"/>
  <c r="V177" i="19"/>
  <c r="U108" i="19"/>
  <c r="V108" i="19"/>
  <c r="V351" i="19"/>
  <c r="U351" i="19"/>
  <c r="V101" i="19"/>
  <c r="U101" i="19"/>
  <c r="U358" i="19"/>
  <c r="V358" i="19"/>
  <c r="V165" i="19"/>
  <c r="U165" i="19"/>
  <c r="U226" i="19"/>
  <c r="V226" i="19"/>
  <c r="V207" i="19"/>
  <c r="U207" i="19"/>
  <c r="U103" i="19"/>
  <c r="V103" i="19"/>
  <c r="V286" i="19"/>
  <c r="U286" i="19"/>
  <c r="U259" i="19"/>
  <c r="V259" i="19"/>
  <c r="U150" i="19"/>
  <c r="V150" i="19"/>
  <c r="U342" i="19"/>
  <c r="V342" i="19"/>
  <c r="U219" i="19"/>
  <c r="V219" i="19"/>
  <c r="U134" i="19"/>
  <c r="V134" i="19"/>
  <c r="U296" i="19"/>
  <c r="V296" i="19"/>
  <c r="U371" i="19"/>
  <c r="V371" i="19"/>
  <c r="V126" i="19"/>
  <c r="U126" i="19"/>
  <c r="V347" i="19"/>
  <c r="U347" i="19"/>
  <c r="V38" i="19"/>
  <c r="U38" i="19"/>
  <c r="V332" i="19"/>
  <c r="U332" i="19"/>
  <c r="U267" i="19"/>
  <c r="V267" i="19"/>
  <c r="V162" i="19"/>
  <c r="U162" i="19"/>
  <c r="V387" i="19"/>
  <c r="U387" i="19"/>
  <c r="U213" i="19"/>
  <c r="V213" i="19"/>
  <c r="U325" i="19"/>
  <c r="V325" i="19"/>
  <c r="U205" i="19"/>
  <c r="V205" i="19"/>
  <c r="U294" i="19"/>
  <c r="V294" i="19"/>
  <c r="V223" i="19"/>
  <c r="U223" i="19"/>
  <c r="U43" i="19"/>
  <c r="V43" i="19"/>
  <c r="U384" i="19"/>
  <c r="V384" i="19"/>
  <c r="U216" i="19"/>
  <c r="V216" i="19"/>
  <c r="V225" i="19"/>
  <c r="U225" i="19"/>
  <c r="U64" i="19"/>
  <c r="V64" i="19"/>
  <c r="V238" i="19"/>
  <c r="U238" i="19"/>
  <c r="U272" i="19"/>
  <c r="V272" i="19"/>
  <c r="U302" i="19"/>
  <c r="V302" i="19"/>
  <c r="U255" i="19"/>
  <c r="V255" i="19"/>
  <c r="U240" i="19"/>
  <c r="V240" i="19"/>
  <c r="U291" i="19"/>
  <c r="V291" i="19"/>
  <c r="V290" i="19"/>
  <c r="U290" i="19"/>
  <c r="U82" i="19"/>
  <c r="V82" i="19"/>
  <c r="V76" i="19"/>
  <c r="U76" i="19"/>
  <c r="U270" i="19"/>
  <c r="V270" i="19"/>
  <c r="V236" i="19"/>
  <c r="U236" i="19"/>
  <c r="V317" i="19"/>
  <c r="U317" i="19"/>
  <c r="U239" i="19"/>
  <c r="V239" i="19"/>
  <c r="V298" i="19"/>
  <c r="U298" i="19"/>
  <c r="V289" i="19"/>
  <c r="U289" i="19"/>
  <c r="U369" i="19"/>
  <c r="V369" i="19"/>
  <c r="V89" i="19"/>
  <c r="U89" i="19"/>
  <c r="V309" i="19"/>
  <c r="U309" i="19"/>
  <c r="U299" i="19"/>
  <c r="V299" i="19"/>
  <c r="V73" i="19"/>
  <c r="U73" i="19"/>
  <c r="V338" i="19"/>
  <c r="U338" i="19"/>
  <c r="U174" i="19"/>
  <c r="V174" i="19"/>
  <c r="U306" i="19"/>
  <c r="V306" i="19"/>
  <c r="V65" i="19"/>
  <c r="U65" i="19"/>
  <c r="V311" i="19"/>
  <c r="U311" i="19"/>
  <c r="U250" i="19"/>
  <c r="V250" i="19"/>
  <c r="U217" i="19"/>
  <c r="V217" i="19"/>
  <c r="V94" i="19"/>
  <c r="U94" i="19"/>
  <c r="U182" i="19"/>
  <c r="V182" i="19"/>
  <c r="U378" i="19"/>
  <c r="V378" i="19"/>
  <c r="U140" i="19"/>
  <c r="V140" i="19"/>
  <c r="U110" i="19"/>
  <c r="V110" i="19"/>
  <c r="U210" i="19"/>
  <c r="V210" i="19"/>
  <c r="U333" i="19"/>
  <c r="V333" i="19"/>
  <c r="V176" i="19"/>
  <c r="U176" i="19"/>
  <c r="U362" i="19"/>
  <c r="V362" i="19"/>
  <c r="U142" i="19"/>
  <c r="V142" i="19"/>
  <c r="V258" i="19"/>
  <c r="U258" i="19"/>
  <c r="U96" i="19"/>
  <c r="V96" i="19"/>
  <c r="U46" i="19"/>
  <c r="V46" i="19"/>
  <c r="V320" i="19"/>
  <c r="U320" i="19"/>
  <c r="X198" i="19"/>
  <c r="Y198" i="19"/>
  <c r="V55" i="19"/>
  <c r="U55" i="19"/>
  <c r="U175" i="19"/>
  <c r="V175" i="19"/>
  <c r="V68" i="19"/>
  <c r="U68" i="19"/>
  <c r="U104" i="19"/>
  <c r="V104" i="19"/>
  <c r="U248" i="19"/>
  <c r="V248" i="19"/>
  <c r="U380" i="19"/>
  <c r="V380" i="19"/>
  <c r="V399" i="19"/>
  <c r="U399" i="19"/>
  <c r="U180" i="19"/>
  <c r="V180" i="19"/>
  <c r="U167" i="19"/>
  <c r="V167" i="19"/>
  <c r="V346" i="19"/>
  <c r="U346" i="19"/>
  <c r="V209" i="19"/>
  <c r="U209" i="19"/>
  <c r="V124" i="19"/>
  <c r="U124" i="19"/>
  <c r="U161" i="19"/>
  <c r="V161" i="19"/>
  <c r="U172" i="19"/>
  <c r="V172" i="19"/>
  <c r="U364" i="19"/>
  <c r="V364" i="19"/>
  <c r="U273" i="19"/>
  <c r="V273" i="19"/>
  <c r="U130" i="19"/>
  <c r="V130" i="19"/>
  <c r="V152" i="19"/>
  <c r="U152" i="19"/>
  <c r="U147" i="19"/>
  <c r="V147" i="19"/>
  <c r="U199" i="19"/>
  <c r="V199" i="19"/>
  <c r="U230" i="19"/>
  <c r="V230" i="19"/>
  <c r="U90" i="19"/>
  <c r="V90" i="19"/>
  <c r="U288" i="19"/>
  <c r="V288" i="19"/>
  <c r="U113" i="19"/>
  <c r="V113" i="19"/>
  <c r="V120" i="19"/>
  <c r="U120" i="19"/>
  <c r="V135" i="19"/>
  <c r="U135" i="19"/>
  <c r="V191" i="19"/>
  <c r="U191" i="19"/>
  <c r="U220" i="19"/>
  <c r="V220" i="19"/>
  <c r="U87" i="19"/>
  <c r="V87" i="19"/>
  <c r="U279" i="19"/>
  <c r="V279" i="19"/>
  <c r="U335" i="19"/>
  <c r="V335" i="19"/>
  <c r="U105" i="19"/>
  <c r="V105" i="19"/>
  <c r="V313" i="19"/>
  <c r="U313" i="19"/>
  <c r="U41" i="19"/>
  <c r="V41" i="19"/>
  <c r="U344" i="19"/>
  <c r="V344" i="19"/>
  <c r="U115" i="19"/>
  <c r="V115" i="19"/>
  <c r="U95" i="19"/>
  <c r="V95" i="19"/>
  <c r="U52" i="19"/>
  <c r="V52" i="19"/>
  <c r="U245" i="19"/>
  <c r="V245" i="19"/>
  <c r="U356" i="19"/>
  <c r="V356" i="19"/>
  <c r="U237" i="19"/>
  <c r="V237" i="19"/>
  <c r="U100" i="19"/>
  <c r="V100" i="19"/>
  <c r="V265" i="19"/>
  <c r="U265" i="19"/>
  <c r="V84" i="19"/>
  <c r="U84" i="19"/>
  <c r="U122" i="19"/>
  <c r="V122" i="19"/>
  <c r="U292" i="19"/>
  <c r="V292" i="19"/>
  <c r="V203" i="19"/>
  <c r="U203" i="19"/>
  <c r="V86" i="19"/>
  <c r="U86" i="19"/>
  <c r="U188" i="19"/>
  <c r="V188" i="19"/>
  <c r="U72" i="19"/>
  <c r="V72" i="19"/>
  <c r="V163" i="19"/>
  <c r="U163" i="19"/>
  <c r="U185" i="19"/>
  <c r="V185" i="19"/>
  <c r="V149" i="19"/>
  <c r="U149" i="19"/>
  <c r="V66" i="19"/>
  <c r="U66" i="19"/>
  <c r="U321" i="19"/>
  <c r="V321" i="19"/>
  <c r="U48" i="19"/>
  <c r="V48" i="19"/>
  <c r="U71" i="19"/>
  <c r="V71" i="19"/>
  <c r="U339" i="19"/>
  <c r="V339" i="19"/>
  <c r="U153" i="19"/>
  <c r="V153" i="19"/>
  <c r="V355" i="19"/>
  <c r="U355" i="19"/>
  <c r="U62" i="19"/>
  <c r="V62" i="19"/>
  <c r="U319" i="19"/>
  <c r="V319" i="19"/>
  <c r="U114" i="19"/>
  <c r="V114" i="19"/>
  <c r="U56" i="19"/>
  <c r="V56" i="19"/>
  <c r="U234" i="19"/>
  <c r="V234" i="19"/>
  <c r="V367" i="19"/>
  <c r="U367" i="19"/>
  <c r="U77" i="19"/>
  <c r="V77" i="19"/>
  <c r="U74" i="19"/>
  <c r="V74" i="19"/>
  <c r="U59" i="19"/>
  <c r="V59" i="19"/>
  <c r="V382" i="19"/>
  <c r="U382" i="19"/>
  <c r="U31" i="19"/>
  <c r="V31" i="19"/>
  <c r="T501" i="19"/>
  <c r="V181" i="19"/>
  <c r="U181" i="19"/>
  <c r="U129" i="19"/>
  <c r="V129" i="19"/>
  <c r="U160" i="19"/>
  <c r="V160" i="19"/>
  <c r="V268" i="19"/>
  <c r="U268" i="19"/>
  <c r="U307" i="19"/>
  <c r="V307" i="19"/>
  <c r="V136" i="19"/>
  <c r="U136" i="19"/>
  <c r="U195" i="19"/>
  <c r="V195" i="19"/>
  <c r="U118" i="19"/>
  <c r="V118" i="19"/>
  <c r="V215" i="19"/>
  <c r="U215" i="19"/>
  <c r="V357" i="19"/>
  <c r="U357" i="19"/>
  <c r="U228" i="19"/>
  <c r="V228" i="19"/>
  <c r="U256" i="19"/>
  <c r="V256" i="19"/>
  <c r="V377" i="19"/>
  <c r="U377" i="19"/>
  <c r="U379" i="19"/>
  <c r="V379" i="19"/>
  <c r="U69" i="19"/>
  <c r="V69" i="19"/>
  <c r="U247" i="19"/>
  <c r="V247" i="19"/>
  <c r="U354" i="19"/>
  <c r="V354" i="19"/>
  <c r="V331" i="19"/>
  <c r="U331" i="19"/>
  <c r="U390" i="19"/>
  <c r="V390" i="19"/>
  <c r="U158" i="19"/>
  <c r="V158" i="19"/>
  <c r="V269" i="19"/>
  <c r="U269" i="19"/>
  <c r="U93" i="19"/>
  <c r="V93" i="19"/>
  <c r="V295" i="19"/>
  <c r="U295" i="19"/>
  <c r="V107" i="19"/>
  <c r="U107" i="19"/>
  <c r="U187" i="19"/>
  <c r="V187" i="19"/>
  <c r="U282" i="19"/>
  <c r="V282" i="19"/>
  <c r="U330" i="19"/>
  <c r="V330" i="19"/>
  <c r="U156" i="19"/>
  <c r="V156" i="19"/>
  <c r="V42" i="19"/>
  <c r="U42" i="19"/>
  <c r="V141" i="19"/>
  <c r="U141" i="19"/>
  <c r="U91" i="19"/>
  <c r="V91" i="19"/>
  <c r="V145" i="19"/>
  <c r="U145" i="19"/>
  <c r="U148" i="19"/>
  <c r="V148" i="19"/>
  <c r="U190" i="19"/>
  <c r="V190" i="19"/>
  <c r="U119" i="19"/>
  <c r="V119" i="19"/>
  <c r="V224" i="19"/>
  <c r="U224" i="19"/>
  <c r="U92" i="19"/>
  <c r="V92" i="19"/>
  <c r="V392" i="19"/>
  <c r="U392" i="19"/>
  <c r="U78" i="19"/>
  <c r="V78" i="19"/>
  <c r="V117" i="19"/>
  <c r="U117" i="19"/>
  <c r="U304" i="19"/>
  <c r="V304" i="19"/>
  <c r="V98" i="19"/>
  <c r="U98" i="19"/>
  <c r="U266" i="19"/>
  <c r="V266" i="19"/>
  <c r="U283" i="19"/>
  <c r="V283" i="19"/>
  <c r="U60" i="19"/>
  <c r="V60" i="19"/>
  <c r="U246" i="19"/>
  <c r="V246" i="19"/>
  <c r="V212" i="19"/>
  <c r="U212" i="19"/>
  <c r="V88" i="19"/>
  <c r="U88" i="19"/>
  <c r="U305" i="19"/>
  <c r="V305" i="19"/>
  <c r="V303" i="19"/>
  <c r="U303" i="19"/>
  <c r="U386" i="19"/>
  <c r="V386" i="19"/>
  <c r="U249" i="19"/>
  <c r="V249" i="19"/>
  <c r="U393" i="19"/>
  <c r="V393" i="19"/>
  <c r="U297" i="19"/>
  <c r="V297" i="19"/>
  <c r="U235" i="19"/>
  <c r="V235" i="19"/>
  <c r="U44" i="19"/>
  <c r="V44" i="19"/>
  <c r="U183" i="19"/>
  <c r="V183" i="19"/>
  <c r="V61" i="8" l="1"/>
  <c r="W61" i="8" s="1"/>
  <c r="V61" i="21"/>
  <c r="W61" i="21" s="1"/>
  <c r="V352" i="8"/>
  <c r="W352" i="8" s="1"/>
  <c r="V352" i="21"/>
  <c r="W352" i="21" s="1"/>
  <c r="W407" i="19"/>
  <c r="Y407" i="19" s="1"/>
  <c r="W406" i="19"/>
  <c r="Y406" i="19" s="1"/>
  <c r="W405" i="19"/>
  <c r="Y405" i="19" s="1"/>
  <c r="W404" i="19"/>
  <c r="Y404" i="19" s="1"/>
  <c r="W403" i="19"/>
  <c r="Y403" i="19" s="1"/>
  <c r="W402" i="19"/>
  <c r="Y402" i="19" s="1"/>
  <c r="Z198" i="19"/>
  <c r="W88" i="19"/>
  <c r="W98" i="19"/>
  <c r="W42" i="19"/>
  <c r="W269" i="19"/>
  <c r="W377" i="19"/>
  <c r="W215" i="19"/>
  <c r="W181" i="19"/>
  <c r="W336" i="19"/>
  <c r="W77" i="19"/>
  <c r="W234" i="19"/>
  <c r="W183" i="19"/>
  <c r="W235" i="19"/>
  <c r="W393" i="19"/>
  <c r="W386" i="19"/>
  <c r="W305" i="19"/>
  <c r="W60" i="19"/>
  <c r="W266" i="19"/>
  <c r="W304" i="19"/>
  <c r="W78" i="19"/>
  <c r="W92" i="19"/>
  <c r="W119" i="19"/>
  <c r="W148" i="19"/>
  <c r="W91" i="19"/>
  <c r="W330" i="19"/>
  <c r="W187" i="19"/>
  <c r="W390" i="19"/>
  <c r="W354" i="19"/>
  <c r="W69" i="19"/>
  <c r="W228" i="19"/>
  <c r="W392" i="19"/>
  <c r="W141" i="19"/>
  <c r="W224" i="19"/>
  <c r="W145" i="19"/>
  <c r="W303" i="19"/>
  <c r="X303" i="19" s="1"/>
  <c r="W117" i="19"/>
  <c r="W212" i="19"/>
  <c r="W295" i="19"/>
  <c r="W59" i="19"/>
  <c r="W221" i="19"/>
  <c r="W107" i="19"/>
  <c r="W331" i="19"/>
  <c r="W268" i="19"/>
  <c r="W44" i="19"/>
  <c r="W297" i="19"/>
  <c r="W249" i="19"/>
  <c r="W246" i="19"/>
  <c r="W283" i="19"/>
  <c r="W190" i="19"/>
  <c r="W156" i="19"/>
  <c r="W282" i="19"/>
  <c r="W93" i="19"/>
  <c r="W158" i="19"/>
  <c r="W247" i="19"/>
  <c r="W379" i="19"/>
  <c r="W256" i="19"/>
  <c r="W118" i="19"/>
  <c r="W129" i="19"/>
  <c r="W339" i="19"/>
  <c r="W48" i="19"/>
  <c r="W185" i="19"/>
  <c r="W72" i="19"/>
  <c r="W292" i="19"/>
  <c r="W100" i="19"/>
  <c r="W356" i="19"/>
  <c r="W52" i="19"/>
  <c r="W115" i="19"/>
  <c r="W41" i="19"/>
  <c r="W105" i="19"/>
  <c r="W279" i="19"/>
  <c r="W220" i="19"/>
  <c r="W113" i="19"/>
  <c r="W90" i="19"/>
  <c r="W199" i="19"/>
  <c r="W273" i="19"/>
  <c r="W172" i="19"/>
  <c r="W180" i="19"/>
  <c r="W380" i="19"/>
  <c r="W104" i="19"/>
  <c r="W175" i="19"/>
  <c r="W46" i="19"/>
  <c r="W362" i="19"/>
  <c r="W333" i="19"/>
  <c r="W110" i="19"/>
  <c r="W378" i="19"/>
  <c r="W250" i="19"/>
  <c r="W174" i="19"/>
  <c r="W369" i="19"/>
  <c r="W270" i="19"/>
  <c r="W82" i="19"/>
  <c r="W291" i="19"/>
  <c r="W255" i="19"/>
  <c r="W272" i="19"/>
  <c r="W64" i="19"/>
  <c r="W216" i="19"/>
  <c r="W43" i="19"/>
  <c r="W294" i="19"/>
  <c r="W325" i="19"/>
  <c r="W267" i="19"/>
  <c r="W296" i="19"/>
  <c r="W219" i="19"/>
  <c r="W150" i="19"/>
  <c r="W108" i="19"/>
  <c r="W155" i="19"/>
  <c r="W85" i="19"/>
  <c r="W312" i="19"/>
  <c r="W47" i="19"/>
  <c r="W184" i="19"/>
  <c r="W244" i="19"/>
  <c r="W241" i="19"/>
  <c r="W281" i="19"/>
  <c r="W151" i="19"/>
  <c r="W49" i="19"/>
  <c r="W337" i="19"/>
  <c r="W125" i="19"/>
  <c r="W206" i="19"/>
  <c r="W171" i="19"/>
  <c r="W116" i="19"/>
  <c r="W348" i="19"/>
  <c r="W375" i="19"/>
  <c r="W146" i="19"/>
  <c r="W264" i="19"/>
  <c r="W70" i="19"/>
  <c r="W314" i="19"/>
  <c r="W394" i="19"/>
  <c r="W360" i="19"/>
  <c r="W40" i="19"/>
  <c r="W189" i="19"/>
  <c r="W343" i="19"/>
  <c r="W253" i="19"/>
  <c r="W334" i="19"/>
  <c r="W277" i="19"/>
  <c r="W57" i="19"/>
  <c r="W132" i="19"/>
  <c r="W186" i="19"/>
  <c r="W341" i="19"/>
  <c r="W99" i="19"/>
  <c r="W157" i="19"/>
  <c r="W200" i="19"/>
  <c r="W166" i="19"/>
  <c r="W328" i="19"/>
  <c r="W170" i="19"/>
  <c r="W127" i="19"/>
  <c r="W397" i="19"/>
  <c r="W102" i="19"/>
  <c r="W168" i="19"/>
  <c r="W400" i="19"/>
  <c r="W322" i="19"/>
  <c r="W271" i="19"/>
  <c r="W121" i="19"/>
  <c r="W106" i="19"/>
  <c r="W63" i="19"/>
  <c r="W114" i="19"/>
  <c r="W62" i="19"/>
  <c r="W149" i="19"/>
  <c r="W163" i="19"/>
  <c r="W203" i="19"/>
  <c r="W265" i="19"/>
  <c r="W313" i="19"/>
  <c r="W191" i="19"/>
  <c r="W120" i="19"/>
  <c r="W209" i="19"/>
  <c r="W399" i="19"/>
  <c r="W68" i="19"/>
  <c r="W55" i="19"/>
  <c r="W320" i="19"/>
  <c r="W176" i="19"/>
  <c r="W311" i="19"/>
  <c r="W338" i="19"/>
  <c r="W89" i="19"/>
  <c r="W289" i="19"/>
  <c r="W236" i="19"/>
  <c r="W76" i="19"/>
  <c r="W290" i="19"/>
  <c r="W238" i="19"/>
  <c r="W225" i="19"/>
  <c r="W223" i="19"/>
  <c r="W162" i="19"/>
  <c r="W332" i="19"/>
  <c r="W347" i="19"/>
  <c r="W351" i="19"/>
  <c r="W218" i="19"/>
  <c r="W389" i="19"/>
  <c r="W50" i="19"/>
  <c r="W53" i="19"/>
  <c r="W254" i="19"/>
  <c r="W329" i="19"/>
  <c r="W81" i="19"/>
  <c r="W398" i="19"/>
  <c r="W326" i="19"/>
  <c r="W373" i="19"/>
  <c r="W208" i="19"/>
  <c r="W345" i="19"/>
  <c r="W109" i="19"/>
  <c r="W318" i="19"/>
  <c r="W391" i="19"/>
  <c r="W324" i="19"/>
  <c r="W260" i="19"/>
  <c r="W257" i="19"/>
  <c r="W385" i="19"/>
  <c r="W179" i="19"/>
  <c r="W280" i="19"/>
  <c r="W285" i="19"/>
  <c r="W214" i="19"/>
  <c r="W251" i="19"/>
  <c r="W133" i="19"/>
  <c r="W287" i="19"/>
  <c r="W263" i="19"/>
  <c r="W242" i="19"/>
  <c r="W252" i="19"/>
  <c r="W211" i="19"/>
  <c r="W201" i="19"/>
  <c r="W195" i="19"/>
  <c r="W307" i="19"/>
  <c r="W160" i="19"/>
  <c r="W382" i="19"/>
  <c r="W367" i="19"/>
  <c r="W153" i="19"/>
  <c r="W71" i="19"/>
  <c r="W321" i="19"/>
  <c r="W188" i="19"/>
  <c r="W122" i="19"/>
  <c r="W237" i="19"/>
  <c r="W245" i="19"/>
  <c r="W95" i="19"/>
  <c r="W344" i="19"/>
  <c r="W335" i="19"/>
  <c r="W87" i="19"/>
  <c r="W288" i="19"/>
  <c r="W230" i="19"/>
  <c r="W147" i="19"/>
  <c r="W130" i="19"/>
  <c r="W364" i="19"/>
  <c r="W161" i="19"/>
  <c r="W167" i="19"/>
  <c r="W248" i="19"/>
  <c r="W96" i="19"/>
  <c r="W142" i="19"/>
  <c r="W210" i="19"/>
  <c r="W140" i="19"/>
  <c r="W182" i="19"/>
  <c r="W217" i="19"/>
  <c r="W306" i="19"/>
  <c r="W299" i="19"/>
  <c r="W239" i="19"/>
  <c r="W240" i="19"/>
  <c r="W302" i="19"/>
  <c r="W384" i="19"/>
  <c r="W205" i="19"/>
  <c r="W213" i="19"/>
  <c r="W371" i="19"/>
  <c r="W134" i="19"/>
  <c r="W342" i="19"/>
  <c r="W259" i="19"/>
  <c r="W103" i="19"/>
  <c r="W226" i="19"/>
  <c r="W358" i="19"/>
  <c r="W177" i="19"/>
  <c r="W196" i="19"/>
  <c r="W300" i="19"/>
  <c r="W388" i="19"/>
  <c r="W32" i="19"/>
  <c r="W131" i="19"/>
  <c r="W340" i="19"/>
  <c r="W327" i="19"/>
  <c r="W350" i="19"/>
  <c r="W54" i="19"/>
  <c r="W138" i="19"/>
  <c r="W401" i="19"/>
  <c r="W231" i="19"/>
  <c r="W396" i="19"/>
  <c r="W376" i="19"/>
  <c r="W83" i="19"/>
  <c r="W374" i="19"/>
  <c r="W123" i="19"/>
  <c r="W112" i="19"/>
  <c r="W315" i="19"/>
  <c r="W227" i="19"/>
  <c r="W359" i="19"/>
  <c r="W34" i="19"/>
  <c r="W173" i="19"/>
  <c r="W35" i="19"/>
  <c r="W143" i="19"/>
  <c r="W204" i="19"/>
  <c r="W316" i="19"/>
  <c r="W370" i="19"/>
  <c r="W39" i="19"/>
  <c r="W261" i="19"/>
  <c r="W323" i="19"/>
  <c r="W97" i="19"/>
  <c r="W197" i="19"/>
  <c r="W51" i="19"/>
  <c r="W154" i="19"/>
  <c r="W243" i="19"/>
  <c r="W139" i="19"/>
  <c r="W363" i="19"/>
  <c r="W357" i="19"/>
  <c r="W136" i="19"/>
  <c r="W74" i="19"/>
  <c r="W56" i="19"/>
  <c r="W319" i="19"/>
  <c r="W355" i="19"/>
  <c r="W66" i="19"/>
  <c r="W86" i="19"/>
  <c r="W84" i="19"/>
  <c r="W135" i="19"/>
  <c r="W152" i="19"/>
  <c r="W124" i="19"/>
  <c r="W346" i="19"/>
  <c r="W258" i="19"/>
  <c r="W94" i="19"/>
  <c r="W65" i="19"/>
  <c r="W73" i="19"/>
  <c r="W309" i="19"/>
  <c r="W298" i="19"/>
  <c r="W317" i="19"/>
  <c r="W387" i="19"/>
  <c r="W38" i="19"/>
  <c r="W126" i="19"/>
  <c r="W286" i="19"/>
  <c r="W207" i="19"/>
  <c r="W165" i="19"/>
  <c r="W101" i="19"/>
  <c r="W159" i="19"/>
  <c r="W262" i="19"/>
  <c r="W284" i="19"/>
  <c r="W45" i="19"/>
  <c r="W278" i="19"/>
  <c r="W274" i="19"/>
  <c r="W178" i="19"/>
  <c r="W381" i="19"/>
  <c r="W276" i="19"/>
  <c r="W368" i="19"/>
  <c r="W194" i="19"/>
  <c r="W58" i="19"/>
  <c r="W310" i="19"/>
  <c r="W293" i="19"/>
  <c r="W229" i="19"/>
  <c r="W137" i="19"/>
  <c r="W308" i="19"/>
  <c r="W169" i="19"/>
  <c r="W233" i="19"/>
  <c r="W372" i="19"/>
  <c r="W37" i="19"/>
  <c r="W31" i="19"/>
  <c r="Y88" i="19"/>
  <c r="AA198" i="19"/>
  <c r="U501" i="19"/>
  <c r="Y303" i="19"/>
  <c r="V501" i="19"/>
  <c r="V198" i="8" l="1"/>
  <c r="W198" i="8" s="1"/>
  <c r="V198" i="21"/>
  <c r="W198" i="21" s="1"/>
  <c r="X407" i="19"/>
  <c r="X406" i="19"/>
  <c r="X405" i="19"/>
  <c r="X404" i="19"/>
  <c r="X403" i="19"/>
  <c r="X402" i="19"/>
  <c r="X88" i="19"/>
  <c r="X121" i="19"/>
  <c r="Y121" i="19"/>
  <c r="X170" i="19"/>
  <c r="Y170" i="19"/>
  <c r="X253" i="19"/>
  <c r="Y253" i="19"/>
  <c r="Y398" i="19"/>
  <c r="X398" i="19"/>
  <c r="Y223" i="19"/>
  <c r="X223" i="19"/>
  <c r="X167" i="19"/>
  <c r="Y167" i="19"/>
  <c r="X84" i="19"/>
  <c r="Y84" i="19"/>
  <c r="Y224" i="19"/>
  <c r="X224" i="19"/>
  <c r="Y58" i="19"/>
  <c r="X58" i="19"/>
  <c r="X337" i="19"/>
  <c r="Y337" i="19"/>
  <c r="X150" i="19"/>
  <c r="Y150" i="19"/>
  <c r="Y82" i="19"/>
  <c r="X82" i="19"/>
  <c r="X68" i="19"/>
  <c r="Y68" i="19"/>
  <c r="Y86" i="19"/>
  <c r="X86" i="19"/>
  <c r="X283" i="19"/>
  <c r="Y283" i="19"/>
  <c r="X363" i="19"/>
  <c r="Y363" i="19"/>
  <c r="X204" i="19"/>
  <c r="Y204" i="19"/>
  <c r="X381" i="19"/>
  <c r="Y381" i="19"/>
  <c r="Y126" i="19"/>
  <c r="X126" i="19"/>
  <c r="X175" i="19"/>
  <c r="Y175" i="19"/>
  <c r="Y160" i="19"/>
  <c r="X160" i="19"/>
  <c r="X214" i="19"/>
  <c r="Y214" i="19"/>
  <c r="Y396" i="19"/>
  <c r="X396" i="19"/>
  <c r="Y196" i="19"/>
  <c r="X196" i="19"/>
  <c r="X302" i="19"/>
  <c r="Y302" i="19"/>
  <c r="X124" i="19"/>
  <c r="Y124" i="19"/>
  <c r="X163" i="19"/>
  <c r="Y163" i="19"/>
  <c r="X31" i="19"/>
  <c r="Y31" i="19"/>
  <c r="W501" i="19"/>
  <c r="Y119" i="19"/>
  <c r="X119" i="19"/>
  <c r="Y247" i="19"/>
  <c r="X247" i="19"/>
  <c r="X271" i="19"/>
  <c r="Y271" i="19"/>
  <c r="Y102" i="19"/>
  <c r="X102" i="19"/>
  <c r="X328" i="19"/>
  <c r="Y328" i="19"/>
  <c r="X99" i="19"/>
  <c r="Y99" i="19"/>
  <c r="Y57" i="19"/>
  <c r="X57" i="19"/>
  <c r="Y343" i="19"/>
  <c r="X343" i="19"/>
  <c r="X394" i="19"/>
  <c r="Y394" i="19"/>
  <c r="X208" i="19"/>
  <c r="Y208" i="19"/>
  <c r="Y81" i="19"/>
  <c r="X81" i="19"/>
  <c r="X50" i="19"/>
  <c r="Y50" i="19"/>
  <c r="X347" i="19"/>
  <c r="Y347" i="19"/>
  <c r="X225" i="19"/>
  <c r="Y225" i="19"/>
  <c r="X236" i="19"/>
  <c r="Y236" i="19"/>
  <c r="Y311" i="19"/>
  <c r="X311" i="19"/>
  <c r="X161" i="19"/>
  <c r="Y161" i="19"/>
  <c r="Y230" i="19"/>
  <c r="X230" i="19"/>
  <c r="Y72" i="19"/>
  <c r="X72" i="19"/>
  <c r="Y93" i="19"/>
  <c r="X93" i="19"/>
  <c r="Y307" i="19"/>
  <c r="X307" i="19"/>
  <c r="X233" i="19"/>
  <c r="Y233" i="19"/>
  <c r="Y229" i="19"/>
  <c r="X229" i="19"/>
  <c r="Y194" i="19"/>
  <c r="X194" i="19"/>
  <c r="Y146" i="19"/>
  <c r="X146" i="19"/>
  <c r="Y171" i="19"/>
  <c r="X171" i="19"/>
  <c r="Y49" i="19"/>
  <c r="X49" i="19"/>
  <c r="Y244" i="19"/>
  <c r="X244" i="19"/>
  <c r="Y85" i="19"/>
  <c r="X85" i="19"/>
  <c r="Y219" i="19"/>
  <c r="X219" i="19"/>
  <c r="X294" i="19"/>
  <c r="Y294" i="19"/>
  <c r="X272" i="19"/>
  <c r="Y272" i="19"/>
  <c r="Y270" i="19"/>
  <c r="X270" i="19"/>
  <c r="X378" i="19"/>
  <c r="Y378" i="19"/>
  <c r="Y336" i="19"/>
  <c r="X336" i="19"/>
  <c r="X399" i="19"/>
  <c r="Y399" i="19"/>
  <c r="Y87" i="19"/>
  <c r="X87" i="19"/>
  <c r="Y245" i="19"/>
  <c r="X245" i="19"/>
  <c r="Y66" i="19"/>
  <c r="X66" i="19"/>
  <c r="Y74" i="19"/>
  <c r="X74" i="19"/>
  <c r="X331" i="19"/>
  <c r="Y331" i="19"/>
  <c r="X246" i="19"/>
  <c r="Y246" i="19"/>
  <c r="X220" i="19"/>
  <c r="Y220" i="19"/>
  <c r="X228" i="19"/>
  <c r="Y228" i="19"/>
  <c r="X139" i="19"/>
  <c r="Y139" i="19"/>
  <c r="X197" i="19"/>
  <c r="Y197" i="19"/>
  <c r="Y39" i="19"/>
  <c r="X39" i="19"/>
  <c r="X143" i="19"/>
  <c r="Y143" i="19"/>
  <c r="X359" i="19"/>
  <c r="Y359" i="19"/>
  <c r="Y123" i="19"/>
  <c r="X123" i="19"/>
  <c r="X178" i="19"/>
  <c r="Y178" i="19"/>
  <c r="Y284" i="19"/>
  <c r="X284" i="19"/>
  <c r="X165" i="19"/>
  <c r="Y165" i="19"/>
  <c r="Y38" i="19"/>
  <c r="X38" i="19"/>
  <c r="X309" i="19"/>
  <c r="Y309" i="19"/>
  <c r="X258" i="19"/>
  <c r="Y258" i="19"/>
  <c r="X104" i="19"/>
  <c r="Y104" i="19"/>
  <c r="X273" i="19"/>
  <c r="Y273" i="19"/>
  <c r="Y313" i="19"/>
  <c r="X313" i="19"/>
  <c r="Y390" i="19"/>
  <c r="X390" i="19"/>
  <c r="Y211" i="19"/>
  <c r="X211" i="19"/>
  <c r="X287" i="19"/>
  <c r="Y287" i="19"/>
  <c r="X285" i="19"/>
  <c r="Y285" i="19"/>
  <c r="X257" i="19"/>
  <c r="Y257" i="19"/>
  <c r="Y374" i="19"/>
  <c r="X374" i="19"/>
  <c r="Y231" i="19"/>
  <c r="X231" i="19"/>
  <c r="X350" i="19"/>
  <c r="Y350" i="19"/>
  <c r="Y32" i="19"/>
  <c r="X32" i="19"/>
  <c r="Y177" i="19"/>
  <c r="X177" i="19"/>
  <c r="X259" i="19"/>
  <c r="Y259" i="19"/>
  <c r="X213" i="19"/>
  <c r="Y213" i="19"/>
  <c r="Y240" i="19"/>
  <c r="X240" i="19"/>
  <c r="Y217" i="19"/>
  <c r="X217" i="19"/>
  <c r="X142" i="19"/>
  <c r="Y142" i="19"/>
  <c r="X152" i="19"/>
  <c r="Y152" i="19"/>
  <c r="X41" i="19"/>
  <c r="Y41" i="19"/>
  <c r="Y100" i="19"/>
  <c r="X100" i="19"/>
  <c r="Y149" i="19"/>
  <c r="X149" i="19"/>
  <c r="X77" i="19"/>
  <c r="Y77" i="19"/>
  <c r="Y181" i="19"/>
  <c r="X181" i="19"/>
  <c r="Y295" i="19"/>
  <c r="X295" i="19"/>
  <c r="X92" i="19"/>
  <c r="Y92" i="19"/>
  <c r="Y60" i="19"/>
  <c r="X60" i="19"/>
  <c r="X235" i="19"/>
  <c r="Y235" i="19"/>
  <c r="Y158" i="19"/>
  <c r="X158" i="19"/>
  <c r="Y367" i="19"/>
  <c r="X367" i="19"/>
  <c r="Y117" i="19"/>
  <c r="X117" i="19"/>
  <c r="Y168" i="19"/>
  <c r="X168" i="19"/>
  <c r="X132" i="19"/>
  <c r="Y132" i="19"/>
  <c r="X345" i="19"/>
  <c r="Y345" i="19"/>
  <c r="Y351" i="19"/>
  <c r="X351" i="19"/>
  <c r="X338" i="19"/>
  <c r="Y338" i="19"/>
  <c r="Y339" i="19"/>
  <c r="X339" i="19"/>
  <c r="X137" i="19"/>
  <c r="Y137" i="19"/>
  <c r="X116" i="19"/>
  <c r="Y116" i="19"/>
  <c r="X312" i="19"/>
  <c r="Y312" i="19"/>
  <c r="Y64" i="19"/>
  <c r="X64" i="19"/>
  <c r="Y362" i="19"/>
  <c r="X362" i="19"/>
  <c r="X191" i="19"/>
  <c r="Y191" i="19"/>
  <c r="X56" i="19"/>
  <c r="Y56" i="19"/>
  <c r="X44" i="19"/>
  <c r="Y44" i="19"/>
  <c r="Y51" i="19"/>
  <c r="X51" i="19"/>
  <c r="Y34" i="19"/>
  <c r="X34" i="19"/>
  <c r="Y45" i="19"/>
  <c r="X45" i="19"/>
  <c r="Y298" i="19"/>
  <c r="X298" i="19"/>
  <c r="X172" i="19"/>
  <c r="Y172" i="19"/>
  <c r="X201" i="19"/>
  <c r="Y201" i="19"/>
  <c r="Y385" i="19"/>
  <c r="X385" i="19"/>
  <c r="X54" i="19"/>
  <c r="Y54" i="19"/>
  <c r="Y103" i="19"/>
  <c r="X103" i="19"/>
  <c r="X306" i="19"/>
  <c r="Y306" i="19"/>
  <c r="X105" i="19"/>
  <c r="Y105" i="19"/>
  <c r="X234" i="19"/>
  <c r="Y234" i="19"/>
  <c r="Y269" i="19"/>
  <c r="X269" i="19"/>
  <c r="Y393" i="19"/>
  <c r="X393" i="19"/>
  <c r="X187" i="19"/>
  <c r="Y187" i="19"/>
  <c r="Y63" i="19"/>
  <c r="X63" i="19"/>
  <c r="Y322" i="19"/>
  <c r="X322" i="19"/>
  <c r="Y397" i="19"/>
  <c r="X397" i="19"/>
  <c r="X166" i="19"/>
  <c r="Y166" i="19"/>
  <c r="Y341" i="19"/>
  <c r="X341" i="19"/>
  <c r="X277" i="19"/>
  <c r="Y277" i="19"/>
  <c r="X189" i="19"/>
  <c r="Y189" i="19"/>
  <c r="Y318" i="19"/>
  <c r="X318" i="19"/>
  <c r="Y373" i="19"/>
  <c r="X373" i="19"/>
  <c r="X329" i="19"/>
  <c r="Y329" i="19"/>
  <c r="Y389" i="19"/>
  <c r="X389" i="19"/>
  <c r="X332" i="19"/>
  <c r="Y332" i="19"/>
  <c r="X238" i="19"/>
  <c r="Y238" i="19"/>
  <c r="X289" i="19"/>
  <c r="Y289" i="19"/>
  <c r="Y176" i="19"/>
  <c r="X176" i="19"/>
  <c r="Y364" i="19"/>
  <c r="X364" i="19"/>
  <c r="Y288" i="19"/>
  <c r="X288" i="19"/>
  <c r="X185" i="19"/>
  <c r="Y185" i="19"/>
  <c r="X129" i="19"/>
  <c r="Y129" i="19"/>
  <c r="Y282" i="19"/>
  <c r="X282" i="19"/>
  <c r="Y354" i="19"/>
  <c r="X354" i="19"/>
  <c r="X169" i="19"/>
  <c r="Y169" i="19"/>
  <c r="Y293" i="19"/>
  <c r="X293" i="19"/>
  <c r="Y314" i="19"/>
  <c r="X314" i="19"/>
  <c r="X375" i="19"/>
  <c r="Y375" i="19"/>
  <c r="Y206" i="19"/>
  <c r="X206" i="19"/>
  <c r="X151" i="19"/>
  <c r="Y151" i="19"/>
  <c r="Y184" i="19"/>
  <c r="X184" i="19"/>
  <c r="X155" i="19"/>
  <c r="Y155" i="19"/>
  <c r="X296" i="19"/>
  <c r="Y296" i="19"/>
  <c r="Y43" i="19"/>
  <c r="X43" i="19"/>
  <c r="X255" i="19"/>
  <c r="Y255" i="19"/>
  <c r="X369" i="19"/>
  <c r="Y369" i="19"/>
  <c r="X110" i="19"/>
  <c r="Y110" i="19"/>
  <c r="X320" i="19"/>
  <c r="Y320" i="19"/>
  <c r="Y209" i="19"/>
  <c r="X209" i="19"/>
  <c r="X335" i="19"/>
  <c r="Y335" i="19"/>
  <c r="Y237" i="19"/>
  <c r="X237" i="19"/>
  <c r="X355" i="19"/>
  <c r="Y355" i="19"/>
  <c r="Y268" i="19"/>
  <c r="X268" i="19"/>
  <c r="X107" i="19"/>
  <c r="Y107" i="19"/>
  <c r="X249" i="19"/>
  <c r="Y249" i="19"/>
  <c r="X188" i="19"/>
  <c r="Y188" i="19"/>
  <c r="Y141" i="19"/>
  <c r="X141" i="19"/>
  <c r="X243" i="19"/>
  <c r="Y243" i="19"/>
  <c r="Y97" i="19"/>
  <c r="X97" i="19"/>
  <c r="X370" i="19"/>
  <c r="Y370" i="19"/>
  <c r="Y35" i="19"/>
  <c r="X35" i="19"/>
  <c r="Y227" i="19"/>
  <c r="X227" i="19"/>
  <c r="Y368" i="19"/>
  <c r="X368" i="19"/>
  <c r="X274" i="19"/>
  <c r="Y274" i="19"/>
  <c r="X262" i="19"/>
  <c r="Y262" i="19"/>
  <c r="X207" i="19"/>
  <c r="Y207" i="19"/>
  <c r="Y387" i="19"/>
  <c r="X387" i="19"/>
  <c r="Y73" i="19"/>
  <c r="X73" i="19"/>
  <c r="X46" i="19"/>
  <c r="Y46" i="19"/>
  <c r="X380" i="19"/>
  <c r="Y380" i="19"/>
  <c r="Y199" i="19"/>
  <c r="X199" i="19"/>
  <c r="X265" i="19"/>
  <c r="Y265" i="19"/>
  <c r="X145" i="19"/>
  <c r="Y145" i="19"/>
  <c r="Y252" i="19"/>
  <c r="X252" i="19"/>
  <c r="Y133" i="19"/>
  <c r="X133" i="19"/>
  <c r="Y280" i="19"/>
  <c r="X280" i="19"/>
  <c r="Y260" i="19"/>
  <c r="X260" i="19"/>
  <c r="X83" i="19"/>
  <c r="Y83" i="19"/>
  <c r="Y401" i="19"/>
  <c r="X401" i="19"/>
  <c r="Y327" i="19"/>
  <c r="X327" i="19"/>
  <c r="Y388" i="19"/>
  <c r="X388" i="19"/>
  <c r="Y358" i="19"/>
  <c r="X358" i="19"/>
  <c r="X342" i="19"/>
  <c r="Y342" i="19"/>
  <c r="X205" i="19"/>
  <c r="Y205" i="19"/>
  <c r="Y239" i="19"/>
  <c r="X239" i="19"/>
  <c r="X182" i="19"/>
  <c r="Y182" i="19"/>
  <c r="Y96" i="19"/>
  <c r="X96" i="19"/>
  <c r="Y135" i="19"/>
  <c r="X135" i="19"/>
  <c r="Y115" i="19"/>
  <c r="X115" i="19"/>
  <c r="Y292" i="19"/>
  <c r="X292" i="19"/>
  <c r="Y62" i="19"/>
  <c r="X62" i="19"/>
  <c r="X59" i="19"/>
  <c r="Y59" i="19"/>
  <c r="X215" i="19"/>
  <c r="Y215" i="19"/>
  <c r="X91" i="19"/>
  <c r="Y91" i="19"/>
  <c r="Y78" i="19"/>
  <c r="X78" i="19"/>
  <c r="Y305" i="19"/>
  <c r="X305" i="19"/>
  <c r="X183" i="19"/>
  <c r="Y183" i="19"/>
  <c r="Y156" i="19"/>
  <c r="X156" i="19"/>
  <c r="Y195" i="19"/>
  <c r="X195" i="19"/>
  <c r="X157" i="19"/>
  <c r="Y157" i="19"/>
  <c r="X360" i="19"/>
  <c r="Y360" i="19"/>
  <c r="X53" i="19"/>
  <c r="Y53" i="19"/>
  <c r="X76" i="19"/>
  <c r="Y76" i="19"/>
  <c r="X147" i="19"/>
  <c r="Y147" i="19"/>
  <c r="X379" i="19"/>
  <c r="Y379" i="19"/>
  <c r="Y372" i="19"/>
  <c r="X372" i="19"/>
  <c r="Y264" i="19"/>
  <c r="X264" i="19"/>
  <c r="X241" i="19"/>
  <c r="Y241" i="19"/>
  <c r="Y325" i="19"/>
  <c r="X325" i="19"/>
  <c r="X250" i="19"/>
  <c r="Y250" i="19"/>
  <c r="Y95" i="19"/>
  <c r="X95" i="19"/>
  <c r="X357" i="19"/>
  <c r="Y357" i="19"/>
  <c r="X382" i="19"/>
  <c r="Y382" i="19"/>
  <c r="Y261" i="19"/>
  <c r="X261" i="19"/>
  <c r="X112" i="19"/>
  <c r="Y112" i="19"/>
  <c r="Y101" i="19"/>
  <c r="X101" i="19"/>
  <c r="Y94" i="19"/>
  <c r="X94" i="19"/>
  <c r="X113" i="19"/>
  <c r="Y113" i="19"/>
  <c r="X263" i="19"/>
  <c r="Y263" i="19"/>
  <c r="X391" i="19"/>
  <c r="Y391" i="19"/>
  <c r="Y131" i="19"/>
  <c r="X131" i="19"/>
  <c r="X371" i="19"/>
  <c r="Y371" i="19"/>
  <c r="Y210" i="19"/>
  <c r="X210" i="19"/>
  <c r="Y356" i="19"/>
  <c r="X356" i="19"/>
  <c r="X266" i="19"/>
  <c r="Y266" i="19"/>
  <c r="Y321" i="19"/>
  <c r="X321" i="19"/>
  <c r="Y106" i="19"/>
  <c r="X106" i="19"/>
  <c r="X400" i="19"/>
  <c r="Y400" i="19"/>
  <c r="X127" i="19"/>
  <c r="Y127" i="19"/>
  <c r="X200" i="19"/>
  <c r="Y200" i="19"/>
  <c r="Y186" i="19"/>
  <c r="X186" i="19"/>
  <c r="X334" i="19"/>
  <c r="Y334" i="19"/>
  <c r="X40" i="19"/>
  <c r="Y40" i="19"/>
  <c r="Y109" i="19"/>
  <c r="X109" i="19"/>
  <c r="Y326" i="19"/>
  <c r="X326" i="19"/>
  <c r="Y254" i="19"/>
  <c r="X254" i="19"/>
  <c r="Y218" i="19"/>
  <c r="X218" i="19"/>
  <c r="Y162" i="19"/>
  <c r="X162" i="19"/>
  <c r="X290" i="19"/>
  <c r="Y290" i="19"/>
  <c r="X89" i="19"/>
  <c r="Y89" i="19"/>
  <c r="Y248" i="19"/>
  <c r="X248" i="19"/>
  <c r="X130" i="19"/>
  <c r="Y130" i="19"/>
  <c r="Y221" i="19"/>
  <c r="X221" i="19"/>
  <c r="X48" i="19"/>
  <c r="Y48" i="19"/>
  <c r="Y256" i="19"/>
  <c r="X256" i="19"/>
  <c r="X42" i="19"/>
  <c r="Y42" i="19"/>
  <c r="Y330" i="19"/>
  <c r="X330" i="19"/>
  <c r="Y37" i="19"/>
  <c r="X37" i="19"/>
  <c r="X308" i="19"/>
  <c r="Y308" i="19"/>
  <c r="Y310" i="19"/>
  <c r="X310" i="19"/>
  <c r="Y70" i="19"/>
  <c r="X70" i="19"/>
  <c r="Y348" i="19"/>
  <c r="X348" i="19"/>
  <c r="Y125" i="19"/>
  <c r="X125" i="19"/>
  <c r="Y281" i="19"/>
  <c r="X281" i="19"/>
  <c r="Y47" i="19"/>
  <c r="X47" i="19"/>
  <c r="X108" i="19"/>
  <c r="Y108" i="19"/>
  <c r="X267" i="19"/>
  <c r="Y267" i="19"/>
  <c r="Y216" i="19"/>
  <c r="X216" i="19"/>
  <c r="X291" i="19"/>
  <c r="Y291" i="19"/>
  <c r="X174" i="19"/>
  <c r="Y174" i="19"/>
  <c r="X333" i="19"/>
  <c r="Y333" i="19"/>
  <c r="X55" i="19"/>
  <c r="Y55" i="19"/>
  <c r="X120" i="19"/>
  <c r="Y120" i="19"/>
  <c r="X344" i="19"/>
  <c r="Y344" i="19"/>
  <c r="Y122" i="19"/>
  <c r="X122" i="19"/>
  <c r="X319" i="19"/>
  <c r="Y319" i="19"/>
  <c r="Y136" i="19"/>
  <c r="X136" i="19"/>
  <c r="X190" i="19"/>
  <c r="Y190" i="19"/>
  <c r="Y297" i="19"/>
  <c r="X297" i="19"/>
  <c r="Y153" i="19"/>
  <c r="X153" i="19"/>
  <c r="X392" i="19"/>
  <c r="Y392" i="19"/>
  <c r="X154" i="19"/>
  <c r="Y154" i="19"/>
  <c r="Y323" i="19"/>
  <c r="X323" i="19"/>
  <c r="X316" i="19"/>
  <c r="Y316" i="19"/>
  <c r="Y173" i="19"/>
  <c r="X173" i="19"/>
  <c r="X315" i="19"/>
  <c r="Y315" i="19"/>
  <c r="X276" i="19"/>
  <c r="Y276" i="19"/>
  <c r="Y278" i="19"/>
  <c r="X278" i="19"/>
  <c r="X159" i="19"/>
  <c r="Y159" i="19"/>
  <c r="X286" i="19"/>
  <c r="Y286" i="19"/>
  <c r="X317" i="19"/>
  <c r="Y317" i="19"/>
  <c r="X65" i="19"/>
  <c r="Y65" i="19"/>
  <c r="Y180" i="19"/>
  <c r="X180" i="19"/>
  <c r="Y90" i="19"/>
  <c r="X90" i="19"/>
  <c r="X71" i="19"/>
  <c r="Y71" i="19"/>
  <c r="Y98" i="19"/>
  <c r="X98" i="19"/>
  <c r="Y242" i="19"/>
  <c r="X242" i="19"/>
  <c r="Y251" i="19"/>
  <c r="X251" i="19"/>
  <c r="X179" i="19"/>
  <c r="Y179" i="19"/>
  <c r="X324" i="19"/>
  <c r="Y324" i="19"/>
  <c r="Y376" i="19"/>
  <c r="X376" i="19"/>
  <c r="Y138" i="19"/>
  <c r="X138" i="19"/>
  <c r="X340" i="19"/>
  <c r="Y340" i="19"/>
  <c r="Y300" i="19"/>
  <c r="X300" i="19"/>
  <c r="Y226" i="19"/>
  <c r="X226" i="19"/>
  <c r="X134" i="19"/>
  <c r="Y134" i="19"/>
  <c r="Y384" i="19"/>
  <c r="X384" i="19"/>
  <c r="Y299" i="19"/>
  <c r="X299" i="19"/>
  <c r="Y140" i="19"/>
  <c r="X140" i="19"/>
  <c r="Y346" i="19"/>
  <c r="X346" i="19"/>
  <c r="X279" i="19"/>
  <c r="Y279" i="19"/>
  <c r="X52" i="19"/>
  <c r="Y52" i="19"/>
  <c r="Y203" i="19"/>
  <c r="X203" i="19"/>
  <c r="X114" i="19"/>
  <c r="Y114" i="19"/>
  <c r="X377" i="19"/>
  <c r="Y377" i="19"/>
  <c r="Y148" i="19"/>
  <c r="X148" i="19"/>
  <c r="X304" i="19"/>
  <c r="Y304" i="19"/>
  <c r="Y386" i="19"/>
  <c r="X386" i="19"/>
  <c r="X118" i="19"/>
  <c r="Y118" i="19"/>
  <c r="Y212" i="19"/>
  <c r="X212" i="19"/>
  <c r="X69" i="19"/>
  <c r="Y69" i="19"/>
  <c r="Z407" i="19" l="1"/>
  <c r="AA407" i="19" s="1"/>
  <c r="V407" i="21" s="1"/>
  <c r="W407" i="21" s="1"/>
  <c r="Z406" i="19"/>
  <c r="AA406" i="19" s="1"/>
  <c r="Z405" i="19"/>
  <c r="AA405" i="19" s="1"/>
  <c r="Z404" i="19"/>
  <c r="AA404" i="19" s="1"/>
  <c r="Z403" i="19"/>
  <c r="AA403" i="19" s="1"/>
  <c r="Z402" i="19"/>
  <c r="AA402" i="19" s="1"/>
  <c r="Z212" i="19"/>
  <c r="Z43" i="19"/>
  <c r="AA43" i="19" s="1"/>
  <c r="Z146" i="19"/>
  <c r="AA146" i="19" s="1"/>
  <c r="Z203" i="19"/>
  <c r="AA203" i="19" s="1"/>
  <c r="Z140" i="19"/>
  <c r="AA140" i="19" s="1"/>
  <c r="Z226" i="19"/>
  <c r="AA226" i="19" s="1"/>
  <c r="Z376" i="19"/>
  <c r="AA376" i="19" s="1"/>
  <c r="Z242" i="19"/>
  <c r="AA242" i="19" s="1"/>
  <c r="Z180" i="19"/>
  <c r="Z173" i="19"/>
  <c r="AA173" i="19" s="1"/>
  <c r="Z323" i="19"/>
  <c r="AA323" i="19" s="1"/>
  <c r="Z297" i="19"/>
  <c r="AA297" i="19" s="1"/>
  <c r="Z136" i="19"/>
  <c r="AA136" i="19" s="1"/>
  <c r="Z122" i="19"/>
  <c r="AA122" i="19" s="1"/>
  <c r="Z47" i="19"/>
  <c r="AA47" i="19" s="1"/>
  <c r="Z125" i="19"/>
  <c r="AA125" i="19" s="1"/>
  <c r="Z70" i="19"/>
  <c r="Z330" i="19"/>
  <c r="AA330" i="19" s="1"/>
  <c r="Z256" i="19"/>
  <c r="AA256" i="19" s="1"/>
  <c r="Z221" i="19"/>
  <c r="AA221" i="19" s="1"/>
  <c r="Z248" i="19"/>
  <c r="AA248" i="19" s="1"/>
  <c r="Z148" i="19"/>
  <c r="AA148" i="19" s="1"/>
  <c r="Z300" i="19"/>
  <c r="AA300" i="19" s="1"/>
  <c r="Z386" i="19"/>
  <c r="Z346" i="19"/>
  <c r="Z299" i="19"/>
  <c r="AA299" i="19" s="1"/>
  <c r="Z138" i="19"/>
  <c r="AA138" i="19" s="1"/>
  <c r="Z384" i="19"/>
  <c r="AA384" i="19" s="1"/>
  <c r="Z98" i="19"/>
  <c r="Z278" i="19"/>
  <c r="AA278" i="19" s="1"/>
  <c r="Z348" i="19"/>
  <c r="AA348" i="19" s="1"/>
  <c r="Z37" i="19"/>
  <c r="AA37" i="19" s="1"/>
  <c r="Z162" i="19"/>
  <c r="AA162" i="19" s="1"/>
  <c r="Z109" i="19"/>
  <c r="AA109" i="19" s="1"/>
  <c r="Z321" i="19"/>
  <c r="AA321" i="19" s="1"/>
  <c r="Z101" i="19"/>
  <c r="AA101" i="19" s="1"/>
  <c r="Z305" i="19"/>
  <c r="AA305" i="19" s="1"/>
  <c r="Z327" i="19"/>
  <c r="AA327" i="19" s="1"/>
  <c r="Z114" i="19"/>
  <c r="AA114" i="19" s="1"/>
  <c r="Z52" i="19"/>
  <c r="AA52" i="19" s="1"/>
  <c r="Z134" i="19"/>
  <c r="AA134" i="19" s="1"/>
  <c r="Z324" i="19"/>
  <c r="AA324" i="19" s="1"/>
  <c r="Z65" i="19"/>
  <c r="Z286" i="19"/>
  <c r="AA286" i="19" s="1"/>
  <c r="Z315" i="19"/>
  <c r="AA315" i="19" s="1"/>
  <c r="Z316" i="19"/>
  <c r="AA316" i="19" s="1"/>
  <c r="Z154" i="19"/>
  <c r="Z190" i="19"/>
  <c r="AA190" i="19" s="1"/>
  <c r="Z319" i="19"/>
  <c r="Z344" i="19"/>
  <c r="AA344" i="19" s="1"/>
  <c r="Z55" i="19"/>
  <c r="AA55" i="19" s="1"/>
  <c r="Z174" i="19"/>
  <c r="AA174" i="19" s="1"/>
  <c r="Z108" i="19"/>
  <c r="AA108" i="19" s="1"/>
  <c r="Z42" i="19"/>
  <c r="AA42" i="19" s="1"/>
  <c r="Z48" i="19"/>
  <c r="Z130" i="19"/>
  <c r="AA130" i="19" s="1"/>
  <c r="Z89" i="19"/>
  <c r="AA89" i="19" s="1"/>
  <c r="Z334" i="19"/>
  <c r="AA334" i="19" s="1"/>
  <c r="Z200" i="19"/>
  <c r="Z400" i="19"/>
  <c r="AA400" i="19" s="1"/>
  <c r="Z371" i="19"/>
  <c r="AA371" i="19" s="1"/>
  <c r="Z391" i="19"/>
  <c r="AA391" i="19" s="1"/>
  <c r="Z113" i="19"/>
  <c r="Z357" i="19"/>
  <c r="AA357" i="19" s="1"/>
  <c r="Z250" i="19"/>
  <c r="AA250" i="19" s="1"/>
  <c r="Z241" i="19"/>
  <c r="AA241" i="19" s="1"/>
  <c r="Z147" i="19"/>
  <c r="Z53" i="19"/>
  <c r="AA53" i="19" s="1"/>
  <c r="Z157" i="19"/>
  <c r="AA157" i="19" s="1"/>
  <c r="Z91" i="19"/>
  <c r="AA91" i="19" s="1"/>
  <c r="Z59" i="19"/>
  <c r="AA59" i="19" s="1"/>
  <c r="Z182" i="19"/>
  <c r="AA182" i="19" s="1"/>
  <c r="Z205" i="19"/>
  <c r="AA205" i="19" s="1"/>
  <c r="Z83" i="19"/>
  <c r="AA83" i="19" s="1"/>
  <c r="Z265" i="19"/>
  <c r="AA265" i="19" s="1"/>
  <c r="Z380" i="19"/>
  <c r="AA380" i="19" s="1"/>
  <c r="Z207" i="19"/>
  <c r="Z274" i="19"/>
  <c r="AA274" i="19" s="1"/>
  <c r="Z370" i="19"/>
  <c r="AA370" i="19" s="1"/>
  <c r="Z243" i="19"/>
  <c r="AA243" i="19" s="1"/>
  <c r="Z188" i="19"/>
  <c r="AA188" i="19" s="1"/>
  <c r="Z107" i="19"/>
  <c r="AA107" i="19" s="1"/>
  <c r="Z355" i="19"/>
  <c r="AA355" i="19" s="1"/>
  <c r="Z335" i="19"/>
  <c r="AA335" i="19" s="1"/>
  <c r="Z320" i="19"/>
  <c r="Z369" i="19"/>
  <c r="AA369" i="19" s="1"/>
  <c r="Z155" i="19"/>
  <c r="AA155" i="19" s="1"/>
  <c r="Z151" i="19"/>
  <c r="AA151" i="19" s="1"/>
  <c r="Z375" i="19"/>
  <c r="AA375" i="19" s="1"/>
  <c r="Z129" i="19"/>
  <c r="AA129" i="19" s="1"/>
  <c r="Z238" i="19"/>
  <c r="AA238" i="19" s="1"/>
  <c r="Z189" i="19"/>
  <c r="AA189" i="19" s="1"/>
  <c r="Z234" i="19"/>
  <c r="Z306" i="19"/>
  <c r="AA306" i="19" s="1"/>
  <c r="Z54" i="19"/>
  <c r="AA54" i="19" s="1"/>
  <c r="Z201" i="19"/>
  <c r="AA201" i="19" s="1"/>
  <c r="Z44" i="19"/>
  <c r="AA44" i="19" s="1"/>
  <c r="Z191" i="19"/>
  <c r="AA191" i="19" s="1"/>
  <c r="Z116" i="19"/>
  <c r="AA116" i="19" s="1"/>
  <c r="Z132" i="19"/>
  <c r="AA132" i="19" s="1"/>
  <c r="Z77" i="19"/>
  <c r="Z152" i="19"/>
  <c r="AA152" i="19" s="1"/>
  <c r="Z213" i="19"/>
  <c r="AA213" i="19" s="1"/>
  <c r="Z350" i="19"/>
  <c r="AA350" i="19" s="1"/>
  <c r="Z285" i="19"/>
  <c r="AA285" i="19" s="1"/>
  <c r="Z104" i="19"/>
  <c r="AA104" i="19" s="1"/>
  <c r="Z309" i="19"/>
  <c r="AA309" i="19" s="1"/>
  <c r="Z165" i="19"/>
  <c r="AA165" i="19" s="1"/>
  <c r="Z178" i="19"/>
  <c r="Z359" i="19"/>
  <c r="AA359" i="19" s="1"/>
  <c r="Z139" i="19"/>
  <c r="AA139" i="19" s="1"/>
  <c r="Z220" i="19"/>
  <c r="AA220" i="19" s="1"/>
  <c r="Z331" i="19"/>
  <c r="AA331" i="19" s="1"/>
  <c r="Z294" i="19"/>
  <c r="AA294" i="19" s="1"/>
  <c r="Z161" i="19"/>
  <c r="Z236" i="19"/>
  <c r="AA236" i="19" s="1"/>
  <c r="Z347" i="19"/>
  <c r="AA347" i="19" s="1"/>
  <c r="Z394" i="19"/>
  <c r="AA394" i="19" s="1"/>
  <c r="Z328" i="19"/>
  <c r="AA328" i="19" s="1"/>
  <c r="Z271" i="19"/>
  <c r="AA271" i="19" s="1"/>
  <c r="Z396" i="19"/>
  <c r="AA396" i="19" s="1"/>
  <c r="Z160" i="19"/>
  <c r="AA160" i="19" s="1"/>
  <c r="Z126" i="19"/>
  <c r="AA126" i="19" s="1"/>
  <c r="Z58" i="19"/>
  <c r="AA58" i="19" s="1"/>
  <c r="Z223" i="19"/>
  <c r="AA223" i="19" s="1"/>
  <c r="V223" i="8" s="1"/>
  <c r="W223" i="8" s="1"/>
  <c r="Z218" i="19"/>
  <c r="AA218" i="19" s="1"/>
  <c r="Z186" i="19"/>
  <c r="AA186" i="19" s="1"/>
  <c r="Z210" i="19"/>
  <c r="AA210" i="19" s="1"/>
  <c r="Z94" i="19"/>
  <c r="Z325" i="19"/>
  <c r="AA325" i="19" s="1"/>
  <c r="Z195" i="19"/>
  <c r="AA195" i="19" s="1"/>
  <c r="Z78" i="19"/>
  <c r="AA78" i="19" s="1"/>
  <c r="Z115" i="19"/>
  <c r="AA115" i="19" s="1"/>
  <c r="Z96" i="19"/>
  <c r="AA96" i="19" s="1"/>
  <c r="Z239" i="19"/>
  <c r="AA239" i="19" s="1"/>
  <c r="Z388" i="19"/>
  <c r="AA388" i="19" s="1"/>
  <c r="Z401" i="19"/>
  <c r="AA401" i="19" s="1"/>
  <c r="Z260" i="19"/>
  <c r="AA260" i="19" s="1"/>
  <c r="Z133" i="19"/>
  <c r="AA133" i="19" s="1"/>
  <c r="Z199" i="19"/>
  <c r="AA199" i="19" s="1"/>
  <c r="Z387" i="19"/>
  <c r="AA387" i="19" s="1"/>
  <c r="Z368" i="19"/>
  <c r="AA368" i="19" s="1"/>
  <c r="Z35" i="19"/>
  <c r="AA35" i="19" s="1"/>
  <c r="Z97" i="19"/>
  <c r="AA97" i="19" s="1"/>
  <c r="Z141" i="19"/>
  <c r="AA141" i="19" s="1"/>
  <c r="Z268" i="19"/>
  <c r="AA268" i="19" s="1"/>
  <c r="Z237" i="19"/>
  <c r="AA237" i="19" s="1"/>
  <c r="Z209" i="19"/>
  <c r="AA209" i="19" s="1"/>
  <c r="Z184" i="19"/>
  <c r="AA184" i="19" s="1"/>
  <c r="Z206" i="19"/>
  <c r="AA206" i="19" s="1"/>
  <c r="Z314" i="19"/>
  <c r="AA314" i="19" s="1"/>
  <c r="Z282" i="19"/>
  <c r="AA282" i="19" s="1"/>
  <c r="Z364" i="19"/>
  <c r="AA364" i="19" s="1"/>
  <c r="Z318" i="19"/>
  <c r="AA318" i="19" s="1"/>
  <c r="Z322" i="19"/>
  <c r="AA322" i="19" s="1"/>
  <c r="Z269" i="19"/>
  <c r="AA269" i="19" s="1"/>
  <c r="Z103" i="19"/>
  <c r="AA103" i="19" s="1"/>
  <c r="Z385" i="19"/>
  <c r="AA385" i="19" s="1"/>
  <c r="Z45" i="19"/>
  <c r="AA45" i="19" s="1"/>
  <c r="Z51" i="19"/>
  <c r="AA51" i="19" s="1"/>
  <c r="Z362" i="19"/>
  <c r="AA362" i="19" s="1"/>
  <c r="Z168" i="19"/>
  <c r="AA168" i="19" s="1"/>
  <c r="Z367" i="19"/>
  <c r="AA367" i="19" s="1"/>
  <c r="Z181" i="19"/>
  <c r="AA181" i="19" s="1"/>
  <c r="Z149" i="19"/>
  <c r="AA149" i="19" s="1"/>
  <c r="Z240" i="19"/>
  <c r="AA240" i="19" s="1"/>
  <c r="Z32" i="19"/>
  <c r="AA32" i="19" s="1"/>
  <c r="Z231" i="19"/>
  <c r="AA231" i="19" s="1"/>
  <c r="Z390" i="19"/>
  <c r="AA390" i="19" s="1"/>
  <c r="Z38" i="19"/>
  <c r="AA38" i="19" s="1"/>
  <c r="Z284" i="19"/>
  <c r="AA284" i="19" s="1"/>
  <c r="Z123" i="19"/>
  <c r="AA123" i="19" s="1"/>
  <c r="Z74" i="19"/>
  <c r="AA74" i="19" s="1"/>
  <c r="Z245" i="19"/>
  <c r="AA245" i="19" s="1"/>
  <c r="Z219" i="19"/>
  <c r="AA219" i="19" s="1"/>
  <c r="Z244" i="19"/>
  <c r="AA244" i="19" s="1"/>
  <c r="Z171" i="19"/>
  <c r="AA171" i="19" s="1"/>
  <c r="Z194" i="19"/>
  <c r="AA194" i="19" s="1"/>
  <c r="Z93" i="19"/>
  <c r="AA93" i="19" s="1"/>
  <c r="Z230" i="19"/>
  <c r="AA230" i="19" s="1"/>
  <c r="Z311" i="19"/>
  <c r="AA311" i="19" s="1"/>
  <c r="Z343" i="19"/>
  <c r="AA343" i="19" s="1"/>
  <c r="Z102" i="19"/>
  <c r="AA102" i="19" s="1"/>
  <c r="Z247" i="19"/>
  <c r="AA247" i="19" s="1"/>
  <c r="Z163" i="19"/>
  <c r="AA163" i="19" s="1"/>
  <c r="Z302" i="19"/>
  <c r="AA302" i="19" s="1"/>
  <c r="Z204" i="19"/>
  <c r="AA204" i="19" s="1"/>
  <c r="Z283" i="19"/>
  <c r="AA283" i="19" s="1"/>
  <c r="Z68" i="19"/>
  <c r="AA68" i="19" s="1"/>
  <c r="Z150" i="19"/>
  <c r="AA150" i="19" s="1"/>
  <c r="Z84" i="19"/>
  <c r="AA84" i="19" s="1"/>
  <c r="Z253" i="19"/>
  <c r="AA253" i="19" s="1"/>
  <c r="Z121" i="19"/>
  <c r="AA121" i="19" s="1"/>
  <c r="Z326" i="19"/>
  <c r="AA326" i="19" s="1"/>
  <c r="Z106" i="19"/>
  <c r="AA106" i="19" s="1"/>
  <c r="Z131" i="19"/>
  <c r="AA131" i="19" s="1"/>
  <c r="Z95" i="19"/>
  <c r="AA95" i="19" s="1"/>
  <c r="Z264" i="19"/>
  <c r="AA264" i="19" s="1"/>
  <c r="Z62" i="19"/>
  <c r="AA62" i="19" s="1"/>
  <c r="Z69" i="19"/>
  <c r="AA69" i="19" s="1"/>
  <c r="Z118" i="19"/>
  <c r="AA118" i="19" s="1"/>
  <c r="Z304" i="19"/>
  <c r="AA304" i="19" s="1"/>
  <c r="Z377" i="19"/>
  <c r="AA377" i="19" s="1"/>
  <c r="Z279" i="19"/>
  <c r="AA279" i="19" s="1"/>
  <c r="Z340" i="19"/>
  <c r="AA340" i="19" s="1"/>
  <c r="Z179" i="19"/>
  <c r="AA179" i="19" s="1"/>
  <c r="Z71" i="19"/>
  <c r="AA71" i="19" s="1"/>
  <c r="Z317" i="19"/>
  <c r="AA317" i="19" s="1"/>
  <c r="Z159" i="19"/>
  <c r="AA159" i="19" s="1"/>
  <c r="Z276" i="19"/>
  <c r="AA276" i="19" s="1"/>
  <c r="Z392" i="19"/>
  <c r="AA392" i="19" s="1"/>
  <c r="Z120" i="19"/>
  <c r="AA120" i="19" s="1"/>
  <c r="Z333" i="19"/>
  <c r="AA333" i="19" s="1"/>
  <c r="Z291" i="19"/>
  <c r="AA291" i="19" s="1"/>
  <c r="Z267" i="19"/>
  <c r="AA267" i="19" s="1"/>
  <c r="Z308" i="19"/>
  <c r="AA308" i="19" s="1"/>
  <c r="Z290" i="19"/>
  <c r="AA290" i="19" s="1"/>
  <c r="Z40" i="19"/>
  <c r="AA40" i="19" s="1"/>
  <c r="Z127" i="19"/>
  <c r="AA127" i="19" s="1"/>
  <c r="Z266" i="19"/>
  <c r="AA266" i="19" s="1"/>
  <c r="Z263" i="19"/>
  <c r="AA263" i="19" s="1"/>
  <c r="Z112" i="19"/>
  <c r="AA112" i="19" s="1"/>
  <c r="Z382" i="19"/>
  <c r="AA382" i="19" s="1"/>
  <c r="Z379" i="19"/>
  <c r="AA379" i="19" s="1"/>
  <c r="Z76" i="19"/>
  <c r="Z360" i="19"/>
  <c r="AA360" i="19" s="1"/>
  <c r="Z183" i="19"/>
  <c r="AA183" i="19" s="1"/>
  <c r="Z215" i="19"/>
  <c r="AA215" i="19" s="1"/>
  <c r="Z342" i="19"/>
  <c r="AA342" i="19" s="1"/>
  <c r="Z145" i="19"/>
  <c r="AA145" i="19" s="1"/>
  <c r="Z46" i="19"/>
  <c r="AA46" i="19" s="1"/>
  <c r="Z262" i="19"/>
  <c r="AA262" i="19" s="1"/>
  <c r="Z249" i="19"/>
  <c r="AA249" i="19" s="1"/>
  <c r="Z110" i="19"/>
  <c r="AA110" i="19" s="1"/>
  <c r="Z255" i="19"/>
  <c r="AA255" i="19" s="1"/>
  <c r="Z296" i="19"/>
  <c r="AA296" i="19" s="1"/>
  <c r="Z169" i="19"/>
  <c r="AA169" i="19" s="1"/>
  <c r="Z185" i="19"/>
  <c r="AA185" i="19" s="1"/>
  <c r="Z289" i="19"/>
  <c r="AA289" i="19" s="1"/>
  <c r="Z332" i="19"/>
  <c r="AA332" i="19" s="1"/>
  <c r="Z329" i="19"/>
  <c r="AA329" i="19" s="1"/>
  <c r="Z277" i="19"/>
  <c r="AA277" i="19" s="1"/>
  <c r="Z166" i="19"/>
  <c r="AA166" i="19" s="1"/>
  <c r="Z187" i="19"/>
  <c r="AA187" i="19" s="1"/>
  <c r="Z105" i="19"/>
  <c r="AA105" i="19" s="1"/>
  <c r="Z172" i="19"/>
  <c r="AA172" i="19" s="1"/>
  <c r="Z56" i="19"/>
  <c r="AA56" i="19" s="1"/>
  <c r="Z312" i="19"/>
  <c r="AA312" i="19" s="1"/>
  <c r="Z137" i="19"/>
  <c r="AA137" i="19" s="1"/>
  <c r="Z338" i="19"/>
  <c r="AA338" i="19" s="1"/>
  <c r="Z345" i="19"/>
  <c r="AA345" i="19" s="1"/>
  <c r="Z235" i="19"/>
  <c r="AA235" i="19" s="1"/>
  <c r="Z92" i="19"/>
  <c r="AA92" i="19" s="1"/>
  <c r="Z41" i="19"/>
  <c r="AA41" i="19" s="1"/>
  <c r="Z142" i="19"/>
  <c r="AA142" i="19" s="1"/>
  <c r="Z259" i="19"/>
  <c r="AA259" i="19" s="1"/>
  <c r="Z257" i="19"/>
  <c r="AA257" i="19" s="1"/>
  <c r="Z287" i="19"/>
  <c r="AA287" i="19" s="1"/>
  <c r="Z273" i="19"/>
  <c r="AA273" i="19" s="1"/>
  <c r="Z258" i="19"/>
  <c r="AA258" i="19" s="1"/>
  <c r="Z143" i="19"/>
  <c r="AA143" i="19" s="1"/>
  <c r="Z197" i="19"/>
  <c r="AA197" i="19" s="1"/>
  <c r="Z228" i="19"/>
  <c r="AA228" i="19" s="1"/>
  <c r="Z246" i="19"/>
  <c r="AA246" i="19" s="1"/>
  <c r="Z399" i="19"/>
  <c r="AA399" i="19" s="1"/>
  <c r="Z378" i="19"/>
  <c r="AA378" i="19" s="1"/>
  <c r="Z272" i="19"/>
  <c r="AA272" i="19" s="1"/>
  <c r="Z233" i="19"/>
  <c r="AA233" i="19" s="1"/>
  <c r="Z225" i="19"/>
  <c r="AA225" i="19" s="1"/>
  <c r="Z50" i="19"/>
  <c r="AA50" i="19" s="1"/>
  <c r="Z208" i="19"/>
  <c r="AA208" i="19" s="1"/>
  <c r="Z99" i="19"/>
  <c r="AA99" i="19" s="1"/>
  <c r="Z196" i="19"/>
  <c r="AA196" i="19" s="1"/>
  <c r="Z86" i="19"/>
  <c r="AA86" i="19" s="1"/>
  <c r="Z82" i="19"/>
  <c r="AA82" i="19" s="1"/>
  <c r="Z224" i="19"/>
  <c r="AA224" i="19" s="1"/>
  <c r="Z398" i="19"/>
  <c r="AA398" i="19" s="1"/>
  <c r="Z88" i="19"/>
  <c r="AA88" i="19" s="1"/>
  <c r="Z251" i="19"/>
  <c r="AA251" i="19" s="1"/>
  <c r="Z90" i="19"/>
  <c r="AA90" i="19" s="1"/>
  <c r="Z153" i="19"/>
  <c r="AA153" i="19" s="1"/>
  <c r="Z216" i="19"/>
  <c r="AA216" i="19" s="1"/>
  <c r="Z281" i="19"/>
  <c r="AA281" i="19" s="1"/>
  <c r="Z310" i="19"/>
  <c r="AA310" i="19" s="1"/>
  <c r="Z254" i="19"/>
  <c r="AA254" i="19" s="1"/>
  <c r="Z356" i="19"/>
  <c r="AA356" i="19" s="1"/>
  <c r="Z261" i="19"/>
  <c r="AA261" i="19" s="1"/>
  <c r="Z372" i="19"/>
  <c r="AA372" i="19" s="1"/>
  <c r="Z156" i="19"/>
  <c r="AA156" i="19" s="1"/>
  <c r="Z292" i="19"/>
  <c r="AA292" i="19" s="1"/>
  <c r="Z135" i="19"/>
  <c r="AA135" i="19" s="1"/>
  <c r="Z358" i="19"/>
  <c r="AA358" i="19" s="1"/>
  <c r="Z280" i="19"/>
  <c r="AA280" i="19" s="1"/>
  <c r="Z252" i="19"/>
  <c r="AA252" i="19" s="1"/>
  <c r="Z73" i="19"/>
  <c r="AA73" i="19" s="1"/>
  <c r="Z227" i="19"/>
  <c r="AA227" i="19" s="1"/>
  <c r="Z293" i="19"/>
  <c r="AA293" i="19" s="1"/>
  <c r="Z354" i="19"/>
  <c r="AA354" i="19" s="1"/>
  <c r="Z288" i="19"/>
  <c r="Z176" i="19"/>
  <c r="AA176" i="19" s="1"/>
  <c r="Z389" i="19"/>
  <c r="AA389" i="19" s="1"/>
  <c r="Z373" i="19"/>
  <c r="AA373" i="19" s="1"/>
  <c r="Z341" i="19"/>
  <c r="AA341" i="19" s="1"/>
  <c r="Z397" i="19"/>
  <c r="AA397" i="19" s="1"/>
  <c r="Z63" i="19"/>
  <c r="AA63" i="19" s="1"/>
  <c r="Z393" i="19"/>
  <c r="AA393" i="19" s="1"/>
  <c r="Z298" i="19"/>
  <c r="AA298" i="19" s="1"/>
  <c r="Z34" i="19"/>
  <c r="AA34" i="19" s="1"/>
  <c r="Z64" i="19"/>
  <c r="AA64" i="19" s="1"/>
  <c r="Z339" i="19"/>
  <c r="AA339" i="19" s="1"/>
  <c r="Z351" i="19"/>
  <c r="AA351" i="19" s="1"/>
  <c r="Z117" i="19"/>
  <c r="AA117" i="19" s="1"/>
  <c r="Z158" i="19"/>
  <c r="AA158" i="19" s="1"/>
  <c r="Z60" i="19"/>
  <c r="AA60" i="19" s="1"/>
  <c r="Z295" i="19"/>
  <c r="AA295" i="19" s="1"/>
  <c r="Z100" i="19"/>
  <c r="AA100" i="19" s="1"/>
  <c r="Z217" i="19"/>
  <c r="AA217" i="19" s="1"/>
  <c r="Z177" i="19"/>
  <c r="AA177" i="19" s="1"/>
  <c r="Z374" i="19"/>
  <c r="AA374" i="19" s="1"/>
  <c r="Z211" i="19"/>
  <c r="AA211" i="19" s="1"/>
  <c r="Z313" i="19"/>
  <c r="AA313" i="19" s="1"/>
  <c r="Z39" i="19"/>
  <c r="AA39" i="19" s="1"/>
  <c r="Z66" i="19"/>
  <c r="AA66" i="19" s="1"/>
  <c r="Z87" i="19"/>
  <c r="AA87" i="19" s="1"/>
  <c r="Z336" i="19"/>
  <c r="AA336" i="19" s="1"/>
  <c r="Z270" i="19"/>
  <c r="AA270" i="19" s="1"/>
  <c r="Z85" i="19"/>
  <c r="AA85" i="19" s="1"/>
  <c r="Z49" i="19"/>
  <c r="AA49" i="19" s="1"/>
  <c r="Z229" i="19"/>
  <c r="AA229" i="19" s="1"/>
  <c r="Z307" i="19"/>
  <c r="AA307" i="19" s="1"/>
  <c r="Z72" i="19"/>
  <c r="AA72" i="19" s="1"/>
  <c r="Z81" i="19"/>
  <c r="AA81" i="19" s="1"/>
  <c r="Z57" i="19"/>
  <c r="AA57" i="19" s="1"/>
  <c r="Z119" i="19"/>
  <c r="AA119" i="19" s="1"/>
  <c r="Z31" i="19"/>
  <c r="Z124" i="19"/>
  <c r="AA124" i="19" s="1"/>
  <c r="Z214" i="19"/>
  <c r="AA214" i="19" s="1"/>
  <c r="Z175" i="19"/>
  <c r="AA175" i="19" s="1"/>
  <c r="Z381" i="19"/>
  <c r="AA381" i="19" s="1"/>
  <c r="Z363" i="19"/>
  <c r="AA363" i="19" s="1"/>
  <c r="Z337" i="19"/>
  <c r="AA337" i="19" s="1"/>
  <c r="Z167" i="19"/>
  <c r="AA167" i="19" s="1"/>
  <c r="Z170" i="19"/>
  <c r="AA170" i="19" s="1"/>
  <c r="Z303" i="19"/>
  <c r="AA303" i="19" s="1"/>
  <c r="AA212" i="19"/>
  <c r="AA386" i="19"/>
  <c r="AA346" i="19"/>
  <c r="AA319" i="19"/>
  <c r="AA48" i="19"/>
  <c r="AA200" i="19"/>
  <c r="AA113" i="19"/>
  <c r="AA147" i="19"/>
  <c r="AA288" i="19"/>
  <c r="Y501" i="19"/>
  <c r="AA65" i="19"/>
  <c r="AA180" i="19"/>
  <c r="AA70" i="19"/>
  <c r="AA94" i="19"/>
  <c r="AA207" i="19"/>
  <c r="AA320" i="19"/>
  <c r="AA234" i="19"/>
  <c r="AA77" i="19"/>
  <c r="AA178" i="19"/>
  <c r="X501" i="19"/>
  <c r="AA154" i="19"/>
  <c r="AA76" i="19"/>
  <c r="AA161" i="19"/>
  <c r="AA98" i="19"/>
  <c r="V124" i="8" l="1"/>
  <c r="W124" i="8" s="1"/>
  <c r="V124" i="21"/>
  <c r="W124" i="21" s="1"/>
  <c r="V161" i="8"/>
  <c r="W161" i="8" s="1"/>
  <c r="V161" i="21"/>
  <c r="W161" i="21" s="1"/>
  <c r="V178" i="8"/>
  <c r="W178" i="8" s="1"/>
  <c r="V178" i="21"/>
  <c r="W178" i="21" s="1"/>
  <c r="V207" i="8"/>
  <c r="W207" i="8" s="1"/>
  <c r="V207" i="21"/>
  <c r="W207" i="21" s="1"/>
  <c r="V65" i="8"/>
  <c r="W65" i="8" s="1"/>
  <c r="V65" i="21"/>
  <c r="W65" i="21" s="1"/>
  <c r="V113" i="8"/>
  <c r="W113" i="8" s="1"/>
  <c r="V113" i="21"/>
  <c r="W113" i="21" s="1"/>
  <c r="V346" i="8"/>
  <c r="W346" i="8" s="1"/>
  <c r="V346" i="21"/>
  <c r="W346" i="21" s="1"/>
  <c r="V167" i="8"/>
  <c r="W167" i="8" s="1"/>
  <c r="V167" i="21"/>
  <c r="W167" i="21" s="1"/>
  <c r="V119" i="8"/>
  <c r="W119" i="8" s="1"/>
  <c r="V119" i="21"/>
  <c r="W119" i="21" s="1"/>
  <c r="V307" i="8"/>
  <c r="W307" i="8" s="1"/>
  <c r="V307" i="21"/>
  <c r="W307" i="21" s="1"/>
  <c r="V270" i="8"/>
  <c r="W270" i="8" s="1"/>
  <c r="V270" i="21"/>
  <c r="W270" i="21" s="1"/>
  <c r="V39" i="8"/>
  <c r="W39" i="8" s="1"/>
  <c r="V39" i="21"/>
  <c r="W39" i="21" s="1"/>
  <c r="V177" i="8"/>
  <c r="W177" i="8" s="1"/>
  <c r="V177" i="21"/>
  <c r="W177" i="21" s="1"/>
  <c r="V60" i="8"/>
  <c r="W60" i="8" s="1"/>
  <c r="V60" i="21"/>
  <c r="W60" i="21" s="1"/>
  <c r="V339" i="8"/>
  <c r="W339" i="8" s="1"/>
  <c r="V339" i="21"/>
  <c r="W339" i="21" s="1"/>
  <c r="V393" i="8"/>
  <c r="W393" i="8" s="1"/>
  <c r="V393" i="21"/>
  <c r="W393" i="21" s="1"/>
  <c r="V373" i="8"/>
  <c r="W373" i="8" s="1"/>
  <c r="V373" i="21"/>
  <c r="W373" i="21" s="1"/>
  <c r="V354" i="8"/>
  <c r="W354" i="8" s="1"/>
  <c r="V354" i="21"/>
  <c r="W354" i="21" s="1"/>
  <c r="V252" i="8"/>
  <c r="W252" i="8" s="1"/>
  <c r="V252" i="21"/>
  <c r="W252" i="21" s="1"/>
  <c r="V292" i="8"/>
  <c r="W292" i="8" s="1"/>
  <c r="V292" i="21"/>
  <c r="W292" i="21" s="1"/>
  <c r="V356" i="8"/>
  <c r="W356" i="8" s="1"/>
  <c r="V356" i="21"/>
  <c r="W356" i="21" s="1"/>
  <c r="V216" i="8"/>
  <c r="W216" i="8" s="1"/>
  <c r="V216" i="21"/>
  <c r="W216" i="21" s="1"/>
  <c r="V88" i="8"/>
  <c r="W88" i="8" s="1"/>
  <c r="V88" i="21"/>
  <c r="W88" i="21" s="1"/>
  <c r="V86" i="8"/>
  <c r="W86" i="8" s="1"/>
  <c r="V86" i="21"/>
  <c r="W86" i="21" s="1"/>
  <c r="V50" i="8"/>
  <c r="W50" i="8" s="1"/>
  <c r="V50" i="21"/>
  <c r="W50" i="21" s="1"/>
  <c r="V378" i="8"/>
  <c r="W378" i="8" s="1"/>
  <c r="V378" i="21"/>
  <c r="W378" i="21" s="1"/>
  <c r="V197" i="8"/>
  <c r="W197" i="8" s="1"/>
  <c r="V197" i="21"/>
  <c r="W197" i="21" s="1"/>
  <c r="V287" i="8"/>
  <c r="W287" i="8" s="1"/>
  <c r="V287" i="21"/>
  <c r="W287" i="21" s="1"/>
  <c r="V41" i="8"/>
  <c r="W41" i="8" s="1"/>
  <c r="V41" i="21"/>
  <c r="W41" i="21" s="1"/>
  <c r="V338" i="8"/>
  <c r="W338" i="8" s="1"/>
  <c r="V338" i="21"/>
  <c r="W338" i="21" s="1"/>
  <c r="V172" i="8"/>
  <c r="W172" i="8" s="1"/>
  <c r="V172" i="21"/>
  <c r="W172" i="21" s="1"/>
  <c r="V277" i="8"/>
  <c r="W277" i="8" s="1"/>
  <c r="V277" i="21"/>
  <c r="W277" i="21" s="1"/>
  <c r="V185" i="8"/>
  <c r="W185" i="8" s="1"/>
  <c r="V185" i="21"/>
  <c r="W185" i="21" s="1"/>
  <c r="V110" i="8"/>
  <c r="W110" i="8" s="1"/>
  <c r="V110" i="21"/>
  <c r="W110" i="21" s="1"/>
  <c r="V145" i="8"/>
  <c r="W145" i="8" s="1"/>
  <c r="V145" i="21"/>
  <c r="W145" i="21" s="1"/>
  <c r="V360" i="8"/>
  <c r="W360" i="8" s="1"/>
  <c r="V360" i="21"/>
  <c r="W360" i="21" s="1"/>
  <c r="V112" i="8"/>
  <c r="W112" i="8" s="1"/>
  <c r="V112" i="21"/>
  <c r="W112" i="21" s="1"/>
  <c r="V40" i="8"/>
  <c r="W40" i="8" s="1"/>
  <c r="V40" i="21"/>
  <c r="W40" i="21" s="1"/>
  <c r="V291" i="8"/>
  <c r="W291" i="8" s="1"/>
  <c r="V291" i="21"/>
  <c r="W291" i="21" s="1"/>
  <c r="V276" i="8"/>
  <c r="W276" i="8" s="1"/>
  <c r="V276" i="21"/>
  <c r="W276" i="21" s="1"/>
  <c r="V179" i="8"/>
  <c r="W179" i="8" s="1"/>
  <c r="V179" i="21"/>
  <c r="W179" i="21" s="1"/>
  <c r="V304" i="8"/>
  <c r="W304" i="8" s="1"/>
  <c r="V304" i="21"/>
  <c r="W304" i="21" s="1"/>
  <c r="V264" i="8"/>
  <c r="W264" i="8" s="1"/>
  <c r="V264" i="21"/>
  <c r="W264" i="21" s="1"/>
  <c r="V326" i="8"/>
  <c r="W326" i="8" s="1"/>
  <c r="V326" i="21"/>
  <c r="W326" i="21" s="1"/>
  <c r="V150" i="8"/>
  <c r="W150" i="8" s="1"/>
  <c r="V150" i="21"/>
  <c r="W150" i="21" s="1"/>
  <c r="V302" i="8"/>
  <c r="W302" i="8" s="1"/>
  <c r="V302" i="21"/>
  <c r="W302" i="21" s="1"/>
  <c r="V343" i="8"/>
  <c r="W343" i="8" s="1"/>
  <c r="V343" i="21"/>
  <c r="W343" i="21" s="1"/>
  <c r="V194" i="8"/>
  <c r="W194" i="8" s="1"/>
  <c r="V194" i="21"/>
  <c r="W194" i="21" s="1"/>
  <c r="V245" i="8"/>
  <c r="W245" i="8" s="1"/>
  <c r="V245" i="21"/>
  <c r="W245" i="21" s="1"/>
  <c r="V38" i="8"/>
  <c r="W38" i="8" s="1"/>
  <c r="V38" i="21"/>
  <c r="W38" i="21" s="1"/>
  <c r="V240" i="8"/>
  <c r="W240" i="8" s="1"/>
  <c r="V240" i="21"/>
  <c r="W240" i="21" s="1"/>
  <c r="V168" i="8"/>
  <c r="W168" i="8" s="1"/>
  <c r="V168" i="21"/>
  <c r="W168" i="21" s="1"/>
  <c r="V385" i="8"/>
  <c r="W385" i="8" s="1"/>
  <c r="V385" i="21"/>
  <c r="W385" i="21" s="1"/>
  <c r="V318" i="8"/>
  <c r="W318" i="8" s="1"/>
  <c r="V318" i="21"/>
  <c r="W318" i="21" s="1"/>
  <c r="V206" i="8"/>
  <c r="W206" i="8" s="1"/>
  <c r="V206" i="21"/>
  <c r="W206" i="21" s="1"/>
  <c r="V268" i="8"/>
  <c r="W268" i="8" s="1"/>
  <c r="V268" i="21"/>
  <c r="W268" i="21" s="1"/>
  <c r="V368" i="8"/>
  <c r="W368" i="8" s="1"/>
  <c r="V368" i="21"/>
  <c r="W368" i="21" s="1"/>
  <c r="V260" i="8"/>
  <c r="W260" i="8" s="1"/>
  <c r="V260" i="21"/>
  <c r="W260" i="21" s="1"/>
  <c r="V96" i="8"/>
  <c r="W96" i="8" s="1"/>
  <c r="V96" i="21"/>
  <c r="W96" i="21" s="1"/>
  <c r="V325" i="8"/>
  <c r="W325" i="8" s="1"/>
  <c r="V325" i="21"/>
  <c r="W325" i="21" s="1"/>
  <c r="V218" i="8"/>
  <c r="W218" i="8" s="1"/>
  <c r="V218" i="21"/>
  <c r="W218" i="21" s="1"/>
  <c r="V160" i="8"/>
  <c r="W160" i="8" s="1"/>
  <c r="V160" i="21"/>
  <c r="W160" i="21" s="1"/>
  <c r="V394" i="8"/>
  <c r="W394" i="8" s="1"/>
  <c r="V394" i="21"/>
  <c r="W394" i="21" s="1"/>
  <c r="V294" i="8"/>
  <c r="W294" i="8" s="1"/>
  <c r="V294" i="21"/>
  <c r="W294" i="21" s="1"/>
  <c r="V359" i="8"/>
  <c r="W359" i="8" s="1"/>
  <c r="V359" i="21"/>
  <c r="W359" i="21" s="1"/>
  <c r="V104" i="8"/>
  <c r="W104" i="8" s="1"/>
  <c r="V104" i="21"/>
  <c r="W104" i="21" s="1"/>
  <c r="V152" i="8"/>
  <c r="W152" i="8" s="1"/>
  <c r="V152" i="21"/>
  <c r="W152" i="21" s="1"/>
  <c r="V191" i="8"/>
  <c r="W191" i="8" s="1"/>
  <c r="V191" i="21"/>
  <c r="W191" i="21" s="1"/>
  <c r="V306" i="8"/>
  <c r="W306" i="8" s="1"/>
  <c r="V306" i="21"/>
  <c r="W306" i="21" s="1"/>
  <c r="V129" i="8"/>
  <c r="W129" i="8" s="1"/>
  <c r="V129" i="21"/>
  <c r="W129" i="21" s="1"/>
  <c r="V369" i="8"/>
  <c r="W369" i="8" s="1"/>
  <c r="V369" i="21"/>
  <c r="W369" i="21" s="1"/>
  <c r="V107" i="8"/>
  <c r="W107" i="8" s="1"/>
  <c r="V107" i="21"/>
  <c r="W107" i="21" s="1"/>
  <c r="V274" i="8"/>
  <c r="W274" i="8" s="1"/>
  <c r="V274" i="21"/>
  <c r="W274" i="21" s="1"/>
  <c r="V83" i="8"/>
  <c r="W83" i="8" s="1"/>
  <c r="V83" i="21"/>
  <c r="W83" i="21" s="1"/>
  <c r="V91" i="8"/>
  <c r="W91" i="8" s="1"/>
  <c r="V91" i="21"/>
  <c r="W91" i="21" s="1"/>
  <c r="V241" i="8"/>
  <c r="W241" i="8" s="1"/>
  <c r="V241" i="21"/>
  <c r="W241" i="21" s="1"/>
  <c r="V391" i="8"/>
  <c r="W391" i="8" s="1"/>
  <c r="V391" i="21"/>
  <c r="W391" i="21" s="1"/>
  <c r="V334" i="8"/>
  <c r="W334" i="8" s="1"/>
  <c r="V334" i="21"/>
  <c r="W334" i="21" s="1"/>
  <c r="V42" i="8"/>
  <c r="W42" i="8" s="1"/>
  <c r="V42" i="21"/>
  <c r="W42" i="21" s="1"/>
  <c r="V344" i="8"/>
  <c r="W344" i="8" s="1"/>
  <c r="V344" i="21"/>
  <c r="W344" i="21" s="1"/>
  <c r="V316" i="8"/>
  <c r="W316" i="8" s="1"/>
  <c r="V316" i="21"/>
  <c r="W316" i="21" s="1"/>
  <c r="V324" i="8"/>
  <c r="W324" i="8" s="1"/>
  <c r="V324" i="21"/>
  <c r="W324" i="21" s="1"/>
  <c r="V327" i="8"/>
  <c r="W327" i="8" s="1"/>
  <c r="V327" i="21"/>
  <c r="W327" i="21" s="1"/>
  <c r="V109" i="8"/>
  <c r="W109" i="8" s="1"/>
  <c r="V109" i="21"/>
  <c r="W109" i="21" s="1"/>
  <c r="V278" i="8"/>
  <c r="W278" i="8" s="1"/>
  <c r="V278" i="21"/>
  <c r="W278" i="21" s="1"/>
  <c r="V299" i="8"/>
  <c r="W299" i="8" s="1"/>
  <c r="V299" i="21"/>
  <c r="W299" i="21" s="1"/>
  <c r="V148" i="8"/>
  <c r="W148" i="8" s="1"/>
  <c r="V148" i="21"/>
  <c r="W148" i="21" s="1"/>
  <c r="V330" i="8"/>
  <c r="W330" i="8" s="1"/>
  <c r="V330" i="21"/>
  <c r="W330" i="21" s="1"/>
  <c r="V122" i="8"/>
  <c r="W122" i="8" s="1"/>
  <c r="V122" i="21"/>
  <c r="W122" i="21" s="1"/>
  <c r="V173" i="8"/>
  <c r="W173" i="8" s="1"/>
  <c r="V173" i="21"/>
  <c r="W173" i="21" s="1"/>
  <c r="V226" i="8"/>
  <c r="W226" i="8" s="1"/>
  <c r="V226" i="21"/>
  <c r="W226" i="21" s="1"/>
  <c r="V43" i="8"/>
  <c r="W43" i="8" s="1"/>
  <c r="V43" i="21"/>
  <c r="W43" i="21" s="1"/>
  <c r="V404" i="8"/>
  <c r="W404" i="8" s="1"/>
  <c r="V404" i="21"/>
  <c r="W404" i="21" s="1"/>
  <c r="V303" i="8"/>
  <c r="W303" i="8" s="1"/>
  <c r="V303" i="21"/>
  <c r="W303" i="21" s="1"/>
  <c r="V381" i="8"/>
  <c r="W381" i="8" s="1"/>
  <c r="V381" i="21"/>
  <c r="W381" i="21" s="1"/>
  <c r="V76" i="8"/>
  <c r="W76" i="8" s="1"/>
  <c r="V76" i="21"/>
  <c r="W76" i="21" s="1"/>
  <c r="V77" i="8"/>
  <c r="W77" i="8" s="1"/>
  <c r="V77" i="21"/>
  <c r="W77" i="21" s="1"/>
  <c r="V94" i="8"/>
  <c r="W94" i="8" s="1"/>
  <c r="V94" i="21"/>
  <c r="W94" i="21" s="1"/>
  <c r="V200" i="8"/>
  <c r="W200" i="8" s="1"/>
  <c r="V200" i="21"/>
  <c r="W200" i="21" s="1"/>
  <c r="V386" i="8"/>
  <c r="W386" i="8" s="1"/>
  <c r="V386" i="21"/>
  <c r="W386" i="21" s="1"/>
  <c r="V175" i="8"/>
  <c r="W175" i="8" s="1"/>
  <c r="V175" i="21"/>
  <c r="W175" i="21" s="1"/>
  <c r="V154" i="8"/>
  <c r="W154" i="8" s="1"/>
  <c r="V154" i="21"/>
  <c r="W154" i="21" s="1"/>
  <c r="V234" i="8"/>
  <c r="W234" i="8" s="1"/>
  <c r="V234" i="21"/>
  <c r="W234" i="21" s="1"/>
  <c r="V70" i="8"/>
  <c r="W70" i="8" s="1"/>
  <c r="V70" i="21"/>
  <c r="W70" i="21" s="1"/>
  <c r="V288" i="8"/>
  <c r="W288" i="8" s="1"/>
  <c r="V288" i="21"/>
  <c r="W288" i="21" s="1"/>
  <c r="V48" i="8"/>
  <c r="W48" i="8" s="1"/>
  <c r="V48" i="21"/>
  <c r="W48" i="21" s="1"/>
  <c r="V212" i="8"/>
  <c r="W212" i="8" s="1"/>
  <c r="V212" i="21"/>
  <c r="W212" i="21" s="1"/>
  <c r="V337" i="8"/>
  <c r="W337" i="8" s="1"/>
  <c r="V337" i="21"/>
  <c r="W337" i="21" s="1"/>
  <c r="V214" i="8"/>
  <c r="W214" i="8" s="1"/>
  <c r="V214" i="21"/>
  <c r="W214" i="21" s="1"/>
  <c r="V57" i="8"/>
  <c r="W57" i="8" s="1"/>
  <c r="V57" i="21"/>
  <c r="W57" i="21" s="1"/>
  <c r="V229" i="8"/>
  <c r="W229" i="8" s="1"/>
  <c r="V229" i="21"/>
  <c r="W229" i="21" s="1"/>
  <c r="V336" i="8"/>
  <c r="W336" i="8" s="1"/>
  <c r="V336" i="21"/>
  <c r="W336" i="21" s="1"/>
  <c r="V313" i="8"/>
  <c r="W313" i="8" s="1"/>
  <c r="V313" i="21"/>
  <c r="W313" i="21" s="1"/>
  <c r="V217" i="8"/>
  <c r="W217" i="8" s="1"/>
  <c r="V217" i="21"/>
  <c r="W217" i="21" s="1"/>
  <c r="V158" i="8"/>
  <c r="W158" i="8" s="1"/>
  <c r="V158" i="21"/>
  <c r="W158" i="21" s="1"/>
  <c r="V64" i="8"/>
  <c r="W64" i="8" s="1"/>
  <c r="V64" i="21"/>
  <c r="W64" i="21" s="1"/>
  <c r="V63" i="8"/>
  <c r="W63" i="8" s="1"/>
  <c r="V63" i="21"/>
  <c r="W63" i="21" s="1"/>
  <c r="V389" i="8"/>
  <c r="W389" i="8" s="1"/>
  <c r="V389" i="21"/>
  <c r="W389" i="21" s="1"/>
  <c r="V293" i="8"/>
  <c r="W293" i="8" s="1"/>
  <c r="V293" i="21"/>
  <c r="W293" i="21" s="1"/>
  <c r="V280" i="8"/>
  <c r="W280" i="8" s="1"/>
  <c r="V280" i="21"/>
  <c r="W280" i="21" s="1"/>
  <c r="V156" i="8"/>
  <c r="W156" i="8" s="1"/>
  <c r="V156" i="21"/>
  <c r="W156" i="21" s="1"/>
  <c r="V254" i="8"/>
  <c r="W254" i="8" s="1"/>
  <c r="V254" i="21"/>
  <c r="W254" i="21" s="1"/>
  <c r="V153" i="8"/>
  <c r="W153" i="8" s="1"/>
  <c r="V153" i="21"/>
  <c r="W153" i="21" s="1"/>
  <c r="V398" i="8"/>
  <c r="W398" i="8" s="1"/>
  <c r="V398" i="21"/>
  <c r="W398" i="21" s="1"/>
  <c r="V196" i="8"/>
  <c r="W196" i="8" s="1"/>
  <c r="V196" i="21"/>
  <c r="W196" i="21" s="1"/>
  <c r="V225" i="8"/>
  <c r="W225" i="8" s="1"/>
  <c r="V225" i="21"/>
  <c r="W225" i="21" s="1"/>
  <c r="V399" i="8"/>
  <c r="W399" i="8" s="1"/>
  <c r="V399" i="21"/>
  <c r="W399" i="21" s="1"/>
  <c r="V143" i="8"/>
  <c r="W143" i="8" s="1"/>
  <c r="V143" i="21"/>
  <c r="W143" i="21" s="1"/>
  <c r="V257" i="8"/>
  <c r="W257" i="8" s="1"/>
  <c r="V257" i="21"/>
  <c r="W257" i="21" s="1"/>
  <c r="V92" i="8"/>
  <c r="W92" i="8" s="1"/>
  <c r="V92" i="21"/>
  <c r="W92" i="21" s="1"/>
  <c r="V137" i="8"/>
  <c r="W137" i="8" s="1"/>
  <c r="V137" i="21"/>
  <c r="W137" i="21" s="1"/>
  <c r="V105" i="8"/>
  <c r="W105" i="8" s="1"/>
  <c r="V105" i="21"/>
  <c r="W105" i="21" s="1"/>
  <c r="V329" i="8"/>
  <c r="W329" i="8" s="1"/>
  <c r="V329" i="21"/>
  <c r="W329" i="21" s="1"/>
  <c r="V169" i="8"/>
  <c r="W169" i="8" s="1"/>
  <c r="V169" i="21"/>
  <c r="W169" i="21" s="1"/>
  <c r="V249" i="8"/>
  <c r="W249" i="8" s="1"/>
  <c r="V249" i="21"/>
  <c r="W249" i="21" s="1"/>
  <c r="V342" i="8"/>
  <c r="W342" i="8" s="1"/>
  <c r="V342" i="21"/>
  <c r="W342" i="21" s="1"/>
  <c r="V263" i="8"/>
  <c r="W263" i="8" s="1"/>
  <c r="V263" i="21"/>
  <c r="W263" i="21" s="1"/>
  <c r="V290" i="8"/>
  <c r="W290" i="8" s="1"/>
  <c r="V290" i="21"/>
  <c r="W290" i="21" s="1"/>
  <c r="V333" i="8"/>
  <c r="W333" i="8" s="1"/>
  <c r="V333" i="21"/>
  <c r="W333" i="21" s="1"/>
  <c r="V159" i="8"/>
  <c r="W159" i="8" s="1"/>
  <c r="V159" i="21"/>
  <c r="W159" i="21" s="1"/>
  <c r="V340" i="8"/>
  <c r="W340" i="8" s="1"/>
  <c r="V340" i="21"/>
  <c r="W340" i="21" s="1"/>
  <c r="V118" i="8"/>
  <c r="W118" i="8" s="1"/>
  <c r="V118" i="21"/>
  <c r="W118" i="21" s="1"/>
  <c r="V95" i="8"/>
  <c r="W95" i="8" s="1"/>
  <c r="V95" i="21"/>
  <c r="W95" i="21" s="1"/>
  <c r="V121" i="8"/>
  <c r="W121" i="8" s="1"/>
  <c r="V121" i="21"/>
  <c r="W121" i="21" s="1"/>
  <c r="V68" i="8"/>
  <c r="W68" i="8" s="1"/>
  <c r="V68" i="21"/>
  <c r="W68" i="21" s="1"/>
  <c r="V163" i="8"/>
  <c r="W163" i="8" s="1"/>
  <c r="V163" i="21"/>
  <c r="W163" i="21" s="1"/>
  <c r="V311" i="8"/>
  <c r="W311" i="8" s="1"/>
  <c r="V311" i="21"/>
  <c r="W311" i="21" s="1"/>
  <c r="V171" i="8"/>
  <c r="W171" i="8" s="1"/>
  <c r="V171" i="21"/>
  <c r="W171" i="21" s="1"/>
  <c r="V74" i="8"/>
  <c r="W74" i="8" s="1"/>
  <c r="V74" i="21"/>
  <c r="W74" i="21" s="1"/>
  <c r="V390" i="8"/>
  <c r="W390" i="8" s="1"/>
  <c r="V390" i="21"/>
  <c r="W390" i="21" s="1"/>
  <c r="V149" i="8"/>
  <c r="W149" i="8" s="1"/>
  <c r="V149" i="21"/>
  <c r="W149" i="21" s="1"/>
  <c r="V362" i="8"/>
  <c r="W362" i="8" s="1"/>
  <c r="V362" i="21"/>
  <c r="W362" i="21" s="1"/>
  <c r="V103" i="8"/>
  <c r="W103" i="8" s="1"/>
  <c r="V103" i="21"/>
  <c r="W103" i="21" s="1"/>
  <c r="V364" i="8"/>
  <c r="W364" i="8" s="1"/>
  <c r="V364" i="21"/>
  <c r="W364" i="21" s="1"/>
  <c r="V184" i="8"/>
  <c r="W184" i="8" s="1"/>
  <c r="V184" i="21"/>
  <c r="W184" i="21" s="1"/>
  <c r="V141" i="8"/>
  <c r="W141" i="8" s="1"/>
  <c r="V141" i="21"/>
  <c r="W141" i="21" s="1"/>
  <c r="V387" i="8"/>
  <c r="W387" i="8" s="1"/>
  <c r="V387" i="21"/>
  <c r="W387" i="21" s="1"/>
  <c r="V401" i="8"/>
  <c r="W401" i="8" s="1"/>
  <c r="V401" i="21"/>
  <c r="W401" i="21" s="1"/>
  <c r="V115" i="8"/>
  <c r="W115" i="8" s="1"/>
  <c r="V115" i="21"/>
  <c r="W115" i="21" s="1"/>
  <c r="V396" i="8"/>
  <c r="W396" i="8" s="1"/>
  <c r="V396" i="21"/>
  <c r="W396" i="21" s="1"/>
  <c r="V347" i="8"/>
  <c r="W347" i="8" s="1"/>
  <c r="V347" i="21"/>
  <c r="W347" i="21" s="1"/>
  <c r="V331" i="8"/>
  <c r="W331" i="8" s="1"/>
  <c r="V331" i="21"/>
  <c r="W331" i="21" s="1"/>
  <c r="V285" i="8"/>
  <c r="W285" i="8" s="1"/>
  <c r="V285" i="21"/>
  <c r="W285" i="21" s="1"/>
  <c r="V44" i="8"/>
  <c r="W44" i="8" s="1"/>
  <c r="V44" i="21"/>
  <c r="W44" i="21" s="1"/>
  <c r="V375" i="8"/>
  <c r="W375" i="8" s="1"/>
  <c r="V375" i="21"/>
  <c r="W375" i="21" s="1"/>
  <c r="V188" i="8"/>
  <c r="W188" i="8" s="1"/>
  <c r="V188" i="21"/>
  <c r="W188" i="21" s="1"/>
  <c r="V205" i="8"/>
  <c r="W205" i="8" s="1"/>
  <c r="V205" i="21"/>
  <c r="W205" i="21" s="1"/>
  <c r="V157" i="8"/>
  <c r="W157" i="8" s="1"/>
  <c r="V157" i="21"/>
  <c r="W157" i="21" s="1"/>
  <c r="V250" i="8"/>
  <c r="W250" i="8" s="1"/>
  <c r="V250" i="21"/>
  <c r="W250" i="21" s="1"/>
  <c r="V371" i="8"/>
  <c r="W371" i="8" s="1"/>
  <c r="V371" i="21"/>
  <c r="W371" i="21" s="1"/>
  <c r="V89" i="8"/>
  <c r="W89" i="8" s="1"/>
  <c r="V89" i="21"/>
  <c r="W89" i="21" s="1"/>
  <c r="V108" i="8"/>
  <c r="W108" i="8" s="1"/>
  <c r="V108" i="21"/>
  <c r="W108" i="21" s="1"/>
  <c r="V315" i="8"/>
  <c r="W315" i="8" s="1"/>
  <c r="V315" i="21"/>
  <c r="W315" i="21" s="1"/>
  <c r="V134" i="8"/>
  <c r="W134" i="8" s="1"/>
  <c r="V134" i="21"/>
  <c r="W134" i="21" s="1"/>
  <c r="V305" i="8"/>
  <c r="W305" i="8" s="1"/>
  <c r="V305" i="21"/>
  <c r="W305" i="21" s="1"/>
  <c r="V162" i="8"/>
  <c r="W162" i="8" s="1"/>
  <c r="V162" i="21"/>
  <c r="W162" i="21" s="1"/>
  <c r="V248" i="8"/>
  <c r="W248" i="8" s="1"/>
  <c r="V248" i="21"/>
  <c r="W248" i="21" s="1"/>
  <c r="V136" i="8"/>
  <c r="W136" i="8" s="1"/>
  <c r="V136" i="21"/>
  <c r="W136" i="21" s="1"/>
  <c r="V140" i="8"/>
  <c r="W140" i="8" s="1"/>
  <c r="V140" i="21"/>
  <c r="W140" i="21" s="1"/>
  <c r="V405" i="8"/>
  <c r="W405" i="8" s="1"/>
  <c r="V405" i="21"/>
  <c r="W405" i="21" s="1"/>
  <c r="V363" i="8"/>
  <c r="W363" i="8" s="1"/>
  <c r="V363" i="21"/>
  <c r="W363" i="21" s="1"/>
  <c r="V81" i="8"/>
  <c r="W81" i="8" s="1"/>
  <c r="V81" i="21"/>
  <c r="W81" i="21" s="1"/>
  <c r="V49" i="8"/>
  <c r="W49" i="8" s="1"/>
  <c r="V49" i="21"/>
  <c r="W49" i="21" s="1"/>
  <c r="V87" i="8"/>
  <c r="W87" i="8" s="1"/>
  <c r="V87" i="21"/>
  <c r="W87" i="21" s="1"/>
  <c r="V211" i="8"/>
  <c r="W211" i="8" s="1"/>
  <c r="V211" i="21"/>
  <c r="W211" i="21" s="1"/>
  <c r="V100" i="8"/>
  <c r="W100" i="8" s="1"/>
  <c r="V100" i="21"/>
  <c r="W100" i="21" s="1"/>
  <c r="V117" i="8"/>
  <c r="W117" i="8" s="1"/>
  <c r="V117" i="21"/>
  <c r="W117" i="21" s="1"/>
  <c r="V34" i="8"/>
  <c r="W34" i="8" s="1"/>
  <c r="V34" i="21"/>
  <c r="W34" i="21" s="1"/>
  <c r="V397" i="8"/>
  <c r="W397" i="8" s="1"/>
  <c r="V397" i="21"/>
  <c r="W397" i="21" s="1"/>
  <c r="V176" i="8"/>
  <c r="W176" i="8" s="1"/>
  <c r="V176" i="21"/>
  <c r="W176" i="21" s="1"/>
  <c r="V227" i="8"/>
  <c r="W227" i="8" s="1"/>
  <c r="V227" i="21"/>
  <c r="W227" i="21" s="1"/>
  <c r="V358" i="8"/>
  <c r="W358" i="8" s="1"/>
  <c r="V358" i="21"/>
  <c r="W358" i="21" s="1"/>
  <c r="V372" i="8"/>
  <c r="W372" i="8" s="1"/>
  <c r="V372" i="21"/>
  <c r="W372" i="21" s="1"/>
  <c r="V310" i="8"/>
  <c r="W310" i="8" s="1"/>
  <c r="V310" i="21"/>
  <c r="W310" i="21" s="1"/>
  <c r="V90" i="8"/>
  <c r="W90" i="8" s="1"/>
  <c r="V90" i="21"/>
  <c r="W90" i="21" s="1"/>
  <c r="V224" i="8"/>
  <c r="W224" i="8" s="1"/>
  <c r="V224" i="21"/>
  <c r="W224" i="21" s="1"/>
  <c r="V99" i="8"/>
  <c r="W99" i="8" s="1"/>
  <c r="V99" i="21"/>
  <c r="W99" i="21" s="1"/>
  <c r="V233" i="8"/>
  <c r="W233" i="8" s="1"/>
  <c r="V233" i="21"/>
  <c r="W233" i="21" s="1"/>
  <c r="V246" i="8"/>
  <c r="W246" i="8" s="1"/>
  <c r="V246" i="21"/>
  <c r="W246" i="21" s="1"/>
  <c r="V258" i="8"/>
  <c r="W258" i="8" s="1"/>
  <c r="V258" i="21"/>
  <c r="W258" i="21" s="1"/>
  <c r="V259" i="8"/>
  <c r="W259" i="8" s="1"/>
  <c r="V259" i="21"/>
  <c r="W259" i="21" s="1"/>
  <c r="V235" i="8"/>
  <c r="W235" i="8" s="1"/>
  <c r="V235" i="21"/>
  <c r="W235" i="21" s="1"/>
  <c r="V312" i="8"/>
  <c r="W312" i="8" s="1"/>
  <c r="V312" i="21"/>
  <c r="W312" i="21" s="1"/>
  <c r="V187" i="8"/>
  <c r="W187" i="8" s="1"/>
  <c r="V187" i="21"/>
  <c r="W187" i="21" s="1"/>
  <c r="V332" i="8"/>
  <c r="W332" i="8" s="1"/>
  <c r="V332" i="21"/>
  <c r="W332" i="21" s="1"/>
  <c r="V296" i="8"/>
  <c r="W296" i="8" s="1"/>
  <c r="V296" i="21"/>
  <c r="W296" i="21" s="1"/>
  <c r="V262" i="8"/>
  <c r="W262" i="8" s="1"/>
  <c r="V262" i="21"/>
  <c r="W262" i="21" s="1"/>
  <c r="V215" i="8"/>
  <c r="W215" i="8" s="1"/>
  <c r="V215" i="21"/>
  <c r="W215" i="21" s="1"/>
  <c r="V379" i="8"/>
  <c r="W379" i="8" s="1"/>
  <c r="V379" i="21"/>
  <c r="W379" i="21" s="1"/>
  <c r="V266" i="8"/>
  <c r="W266" i="8" s="1"/>
  <c r="V266" i="21"/>
  <c r="W266" i="21" s="1"/>
  <c r="V308" i="8"/>
  <c r="W308" i="8" s="1"/>
  <c r="V308" i="21"/>
  <c r="W308" i="21" s="1"/>
  <c r="V120" i="8"/>
  <c r="W120" i="8" s="1"/>
  <c r="V120" i="21"/>
  <c r="W120" i="21" s="1"/>
  <c r="V317" i="8"/>
  <c r="W317" i="8" s="1"/>
  <c r="V317" i="21"/>
  <c r="W317" i="21" s="1"/>
  <c r="V279" i="8"/>
  <c r="W279" i="8" s="1"/>
  <c r="V279" i="21"/>
  <c r="W279" i="21" s="1"/>
  <c r="V69" i="8"/>
  <c r="W69" i="8" s="1"/>
  <c r="V69" i="21"/>
  <c r="W69" i="21" s="1"/>
  <c r="V131" i="8"/>
  <c r="W131" i="8" s="1"/>
  <c r="V131" i="21"/>
  <c r="W131" i="21" s="1"/>
  <c r="V253" i="8"/>
  <c r="W253" i="8" s="1"/>
  <c r="V253" i="21"/>
  <c r="W253" i="21" s="1"/>
  <c r="V283" i="8"/>
  <c r="W283" i="8" s="1"/>
  <c r="V283" i="21"/>
  <c r="W283" i="21" s="1"/>
  <c r="V247" i="8"/>
  <c r="W247" i="8" s="1"/>
  <c r="V247" i="21"/>
  <c r="W247" i="21" s="1"/>
  <c r="V230" i="8"/>
  <c r="W230" i="8" s="1"/>
  <c r="V230" i="21"/>
  <c r="W230" i="21" s="1"/>
  <c r="V244" i="8"/>
  <c r="W244" i="8" s="1"/>
  <c r="V244" i="21"/>
  <c r="W244" i="21" s="1"/>
  <c r="V123" i="8"/>
  <c r="W123" i="8" s="1"/>
  <c r="V123" i="21"/>
  <c r="W123" i="21" s="1"/>
  <c r="V231" i="8"/>
  <c r="W231" i="8" s="1"/>
  <c r="V231" i="21"/>
  <c r="W231" i="21" s="1"/>
  <c r="V181" i="8"/>
  <c r="W181" i="8" s="1"/>
  <c r="V181" i="21"/>
  <c r="W181" i="21" s="1"/>
  <c r="V51" i="8"/>
  <c r="W51" i="8" s="1"/>
  <c r="V51" i="21"/>
  <c r="W51" i="21" s="1"/>
  <c r="V269" i="8"/>
  <c r="W269" i="8" s="1"/>
  <c r="V269" i="21"/>
  <c r="W269" i="21" s="1"/>
  <c r="V282" i="8"/>
  <c r="W282" i="8" s="1"/>
  <c r="V282" i="21"/>
  <c r="W282" i="21" s="1"/>
  <c r="V209" i="8"/>
  <c r="W209" i="8" s="1"/>
  <c r="V209" i="21"/>
  <c r="W209" i="21" s="1"/>
  <c r="V97" i="8"/>
  <c r="W97" i="8" s="1"/>
  <c r="V97" i="21"/>
  <c r="W97" i="21" s="1"/>
  <c r="V199" i="8"/>
  <c r="W199" i="8" s="1"/>
  <c r="V199" i="21"/>
  <c r="W199" i="21" s="1"/>
  <c r="V388" i="8"/>
  <c r="W388" i="8" s="1"/>
  <c r="V388" i="21"/>
  <c r="W388" i="21" s="1"/>
  <c r="V78" i="8"/>
  <c r="W78" i="8" s="1"/>
  <c r="V78" i="21"/>
  <c r="W78" i="21" s="1"/>
  <c r="V210" i="8"/>
  <c r="W210" i="8" s="1"/>
  <c r="V210" i="21"/>
  <c r="W210" i="21" s="1"/>
  <c r="V58" i="8"/>
  <c r="W58" i="8" s="1"/>
  <c r="V58" i="21"/>
  <c r="W58" i="21" s="1"/>
  <c r="V271" i="8"/>
  <c r="W271" i="8" s="1"/>
  <c r="V271" i="21"/>
  <c r="W271" i="21" s="1"/>
  <c r="V236" i="8"/>
  <c r="W236" i="8" s="1"/>
  <c r="V236" i="21"/>
  <c r="W236" i="21" s="1"/>
  <c r="V220" i="8"/>
  <c r="W220" i="8" s="1"/>
  <c r="V220" i="21"/>
  <c r="W220" i="21" s="1"/>
  <c r="V165" i="8"/>
  <c r="W165" i="8" s="1"/>
  <c r="V165" i="21"/>
  <c r="W165" i="21" s="1"/>
  <c r="V350" i="8"/>
  <c r="W350" i="8" s="1"/>
  <c r="V350" i="21"/>
  <c r="W350" i="21" s="1"/>
  <c r="V132" i="8"/>
  <c r="W132" i="8" s="1"/>
  <c r="V132" i="21"/>
  <c r="W132" i="21" s="1"/>
  <c r="V201" i="8"/>
  <c r="W201" i="8" s="1"/>
  <c r="V201" i="21"/>
  <c r="W201" i="21" s="1"/>
  <c r="V189" i="8"/>
  <c r="W189" i="8" s="1"/>
  <c r="V189" i="21"/>
  <c r="W189" i="21" s="1"/>
  <c r="V151" i="8"/>
  <c r="W151" i="8" s="1"/>
  <c r="V151" i="21"/>
  <c r="W151" i="21" s="1"/>
  <c r="V335" i="8"/>
  <c r="W335" i="8" s="1"/>
  <c r="V335" i="21"/>
  <c r="W335" i="21" s="1"/>
  <c r="V243" i="8"/>
  <c r="W243" i="8" s="1"/>
  <c r="V243" i="21"/>
  <c r="W243" i="21" s="1"/>
  <c r="V380" i="8"/>
  <c r="W380" i="8" s="1"/>
  <c r="V380" i="21"/>
  <c r="W380" i="21" s="1"/>
  <c r="V182" i="8"/>
  <c r="W182" i="8" s="1"/>
  <c r="V182" i="21"/>
  <c r="W182" i="21" s="1"/>
  <c r="V53" i="8"/>
  <c r="W53" i="8" s="1"/>
  <c r="V53" i="21"/>
  <c r="W53" i="21" s="1"/>
  <c r="V357" i="8"/>
  <c r="W357" i="8" s="1"/>
  <c r="V357" i="21"/>
  <c r="W357" i="21" s="1"/>
  <c r="V400" i="8"/>
  <c r="W400" i="8" s="1"/>
  <c r="V400" i="21"/>
  <c r="W400" i="21" s="1"/>
  <c r="V130" i="8"/>
  <c r="W130" i="8" s="1"/>
  <c r="V130" i="21"/>
  <c r="W130" i="21" s="1"/>
  <c r="V174" i="8"/>
  <c r="W174" i="8" s="1"/>
  <c r="V174" i="21"/>
  <c r="W174" i="21" s="1"/>
  <c r="V190" i="8"/>
  <c r="W190" i="8" s="1"/>
  <c r="V190" i="21"/>
  <c r="W190" i="21" s="1"/>
  <c r="V286" i="8"/>
  <c r="W286" i="8" s="1"/>
  <c r="V286" i="21"/>
  <c r="W286" i="21" s="1"/>
  <c r="V52" i="8"/>
  <c r="W52" i="8" s="1"/>
  <c r="V52" i="21"/>
  <c r="W52" i="21" s="1"/>
  <c r="V101" i="8"/>
  <c r="W101" i="8" s="1"/>
  <c r="V101" i="21"/>
  <c r="W101" i="21" s="1"/>
  <c r="V37" i="8"/>
  <c r="W37" i="8" s="1"/>
  <c r="V37" i="21"/>
  <c r="W37" i="21" s="1"/>
  <c r="V384" i="8"/>
  <c r="W384" i="8" s="1"/>
  <c r="V384" i="21"/>
  <c r="W384" i="21" s="1"/>
  <c r="V221" i="8"/>
  <c r="W221" i="8" s="1"/>
  <c r="V221" i="21"/>
  <c r="W221" i="21" s="1"/>
  <c r="V125" i="8"/>
  <c r="W125" i="8" s="1"/>
  <c r="V125" i="21"/>
  <c r="W125" i="21" s="1"/>
  <c r="V297" i="8"/>
  <c r="W297" i="8" s="1"/>
  <c r="V297" i="21"/>
  <c r="W297" i="21" s="1"/>
  <c r="V242" i="8"/>
  <c r="W242" i="8" s="1"/>
  <c r="V242" i="21"/>
  <c r="W242" i="21" s="1"/>
  <c r="V203" i="8"/>
  <c r="W203" i="8" s="1"/>
  <c r="V203" i="21"/>
  <c r="W203" i="21" s="1"/>
  <c r="V402" i="8"/>
  <c r="W402" i="8" s="1"/>
  <c r="V402" i="21"/>
  <c r="W402" i="21" s="1"/>
  <c r="V406" i="8"/>
  <c r="W406" i="8" s="1"/>
  <c r="V406" i="21"/>
  <c r="W406" i="21" s="1"/>
  <c r="V98" i="8"/>
  <c r="W98" i="8" s="1"/>
  <c r="V98" i="21"/>
  <c r="W98" i="21" s="1"/>
  <c r="V320" i="8"/>
  <c r="W320" i="8" s="1"/>
  <c r="V320" i="21"/>
  <c r="W320" i="21" s="1"/>
  <c r="V180" i="8"/>
  <c r="W180" i="8" s="1"/>
  <c r="V180" i="21"/>
  <c r="W180" i="21" s="1"/>
  <c r="V147" i="8"/>
  <c r="W147" i="8" s="1"/>
  <c r="V147" i="21"/>
  <c r="W147" i="21" s="1"/>
  <c r="V319" i="8"/>
  <c r="W319" i="8" s="1"/>
  <c r="V319" i="21"/>
  <c r="W319" i="21" s="1"/>
  <c r="V170" i="8"/>
  <c r="W170" i="8" s="1"/>
  <c r="V170" i="21"/>
  <c r="W170" i="21" s="1"/>
  <c r="V72" i="8"/>
  <c r="W72" i="8" s="1"/>
  <c r="V72" i="21"/>
  <c r="W72" i="21" s="1"/>
  <c r="V85" i="8"/>
  <c r="W85" i="8" s="1"/>
  <c r="V85" i="21"/>
  <c r="W85" i="21" s="1"/>
  <c r="V66" i="8"/>
  <c r="W66" i="8" s="1"/>
  <c r="V66" i="21"/>
  <c r="W66" i="21" s="1"/>
  <c r="V374" i="8"/>
  <c r="W374" i="8" s="1"/>
  <c r="V374" i="21"/>
  <c r="W374" i="21" s="1"/>
  <c r="V295" i="8"/>
  <c r="W295" i="8" s="1"/>
  <c r="V295" i="21"/>
  <c r="W295" i="21" s="1"/>
  <c r="V351" i="8"/>
  <c r="W351" i="8" s="1"/>
  <c r="V351" i="21"/>
  <c r="W351" i="21" s="1"/>
  <c r="V298" i="8"/>
  <c r="W298" i="8" s="1"/>
  <c r="V298" i="21"/>
  <c r="W298" i="21" s="1"/>
  <c r="V341" i="8"/>
  <c r="W341" i="8" s="1"/>
  <c r="V341" i="21"/>
  <c r="W341" i="21" s="1"/>
  <c r="V73" i="8"/>
  <c r="W73" i="8" s="1"/>
  <c r="V73" i="21"/>
  <c r="W73" i="21" s="1"/>
  <c r="V135" i="8"/>
  <c r="W135" i="8" s="1"/>
  <c r="V135" i="21"/>
  <c r="W135" i="21" s="1"/>
  <c r="V261" i="8"/>
  <c r="W261" i="8" s="1"/>
  <c r="V261" i="21"/>
  <c r="W261" i="21" s="1"/>
  <c r="V281" i="8"/>
  <c r="W281" i="8" s="1"/>
  <c r="V281" i="21"/>
  <c r="W281" i="21" s="1"/>
  <c r="V251" i="8"/>
  <c r="W251" i="8" s="1"/>
  <c r="V251" i="21"/>
  <c r="W251" i="21" s="1"/>
  <c r="V82" i="8"/>
  <c r="W82" i="8" s="1"/>
  <c r="V82" i="21"/>
  <c r="W82" i="21" s="1"/>
  <c r="V208" i="8"/>
  <c r="W208" i="8" s="1"/>
  <c r="V208" i="21"/>
  <c r="W208" i="21" s="1"/>
  <c r="V272" i="8"/>
  <c r="W272" i="8" s="1"/>
  <c r="V272" i="21"/>
  <c r="W272" i="21" s="1"/>
  <c r="V228" i="8"/>
  <c r="W228" i="8" s="1"/>
  <c r="V228" i="21"/>
  <c r="W228" i="21" s="1"/>
  <c r="V273" i="8"/>
  <c r="W273" i="8" s="1"/>
  <c r="V273" i="21"/>
  <c r="W273" i="21" s="1"/>
  <c r="V142" i="8"/>
  <c r="W142" i="8" s="1"/>
  <c r="V142" i="21"/>
  <c r="W142" i="21" s="1"/>
  <c r="V345" i="8"/>
  <c r="W345" i="8" s="1"/>
  <c r="V345" i="21"/>
  <c r="W345" i="21" s="1"/>
  <c r="V56" i="8"/>
  <c r="W56" i="8" s="1"/>
  <c r="V56" i="21"/>
  <c r="W56" i="21" s="1"/>
  <c r="V166" i="8"/>
  <c r="W166" i="8" s="1"/>
  <c r="V166" i="21"/>
  <c r="W166" i="21" s="1"/>
  <c r="V289" i="8"/>
  <c r="W289" i="8" s="1"/>
  <c r="V289" i="21"/>
  <c r="W289" i="21" s="1"/>
  <c r="V255" i="8"/>
  <c r="W255" i="8" s="1"/>
  <c r="V255" i="21"/>
  <c r="W255" i="21" s="1"/>
  <c r="V46" i="8"/>
  <c r="W46" i="8" s="1"/>
  <c r="V46" i="21"/>
  <c r="W46" i="21" s="1"/>
  <c r="V183" i="8"/>
  <c r="W183" i="8" s="1"/>
  <c r="V183" i="21"/>
  <c r="W183" i="21" s="1"/>
  <c r="V382" i="8"/>
  <c r="W382" i="8" s="1"/>
  <c r="V382" i="21"/>
  <c r="W382" i="21" s="1"/>
  <c r="V127" i="8"/>
  <c r="W127" i="8" s="1"/>
  <c r="V127" i="21"/>
  <c r="W127" i="21" s="1"/>
  <c r="V267" i="8"/>
  <c r="W267" i="8" s="1"/>
  <c r="V267" i="21"/>
  <c r="W267" i="21" s="1"/>
  <c r="V392" i="8"/>
  <c r="W392" i="8" s="1"/>
  <c r="V392" i="21"/>
  <c r="W392" i="21" s="1"/>
  <c r="V71" i="8"/>
  <c r="W71" i="8" s="1"/>
  <c r="V71" i="21"/>
  <c r="W71" i="21" s="1"/>
  <c r="V377" i="8"/>
  <c r="W377" i="8" s="1"/>
  <c r="V377" i="21"/>
  <c r="W377" i="21" s="1"/>
  <c r="V62" i="8"/>
  <c r="W62" i="8" s="1"/>
  <c r="V62" i="21"/>
  <c r="W62" i="21" s="1"/>
  <c r="V106" i="8"/>
  <c r="W106" i="8" s="1"/>
  <c r="V106" i="21"/>
  <c r="W106" i="21" s="1"/>
  <c r="V84" i="8"/>
  <c r="W84" i="8" s="1"/>
  <c r="V84" i="21"/>
  <c r="W84" i="21" s="1"/>
  <c r="V204" i="8"/>
  <c r="W204" i="8" s="1"/>
  <c r="V204" i="21"/>
  <c r="W204" i="21" s="1"/>
  <c r="V102" i="8"/>
  <c r="W102" i="8" s="1"/>
  <c r="V102" i="21"/>
  <c r="W102" i="21" s="1"/>
  <c r="V93" i="8"/>
  <c r="W93" i="8" s="1"/>
  <c r="V93" i="21"/>
  <c r="W93" i="21" s="1"/>
  <c r="V219" i="8"/>
  <c r="W219" i="8" s="1"/>
  <c r="V219" i="21"/>
  <c r="W219" i="21" s="1"/>
  <c r="V284" i="8"/>
  <c r="W284" i="8" s="1"/>
  <c r="V284" i="21"/>
  <c r="W284" i="21" s="1"/>
  <c r="V32" i="8"/>
  <c r="W32" i="8" s="1"/>
  <c r="V32" i="21"/>
  <c r="W32" i="21" s="1"/>
  <c r="V367" i="8"/>
  <c r="W367" i="8" s="1"/>
  <c r="V367" i="21"/>
  <c r="W367" i="21" s="1"/>
  <c r="V45" i="8"/>
  <c r="W45" i="8" s="1"/>
  <c r="V45" i="21"/>
  <c r="W45" i="21" s="1"/>
  <c r="V322" i="8"/>
  <c r="W322" i="8" s="1"/>
  <c r="V322" i="21"/>
  <c r="W322" i="21" s="1"/>
  <c r="V314" i="8"/>
  <c r="W314" i="8" s="1"/>
  <c r="V314" i="21"/>
  <c r="W314" i="21" s="1"/>
  <c r="V237" i="8"/>
  <c r="W237" i="8" s="1"/>
  <c r="V237" i="21"/>
  <c r="W237" i="21" s="1"/>
  <c r="V35" i="8"/>
  <c r="W35" i="8" s="1"/>
  <c r="V35" i="21"/>
  <c r="W35" i="21" s="1"/>
  <c r="V133" i="8"/>
  <c r="W133" i="8" s="1"/>
  <c r="V133" i="21"/>
  <c r="W133" i="21" s="1"/>
  <c r="V239" i="8"/>
  <c r="W239" i="8" s="1"/>
  <c r="V239" i="21"/>
  <c r="W239" i="21" s="1"/>
  <c r="V195" i="8"/>
  <c r="W195" i="8" s="1"/>
  <c r="V195" i="21"/>
  <c r="W195" i="21" s="1"/>
  <c r="V186" i="8"/>
  <c r="W186" i="8" s="1"/>
  <c r="V186" i="21"/>
  <c r="W186" i="21" s="1"/>
  <c r="V126" i="8"/>
  <c r="W126" i="8" s="1"/>
  <c r="V126" i="21"/>
  <c r="W126" i="21" s="1"/>
  <c r="V328" i="8"/>
  <c r="W328" i="8" s="1"/>
  <c r="V328" i="21"/>
  <c r="W328" i="21" s="1"/>
  <c r="V139" i="8"/>
  <c r="W139" i="8" s="1"/>
  <c r="V139" i="21"/>
  <c r="W139" i="21" s="1"/>
  <c r="V309" i="8"/>
  <c r="W309" i="8" s="1"/>
  <c r="V309" i="21"/>
  <c r="W309" i="21" s="1"/>
  <c r="V213" i="8"/>
  <c r="W213" i="8" s="1"/>
  <c r="V213" i="21"/>
  <c r="W213" i="21" s="1"/>
  <c r="V116" i="8"/>
  <c r="W116" i="8" s="1"/>
  <c r="V116" i="21"/>
  <c r="W116" i="21" s="1"/>
  <c r="V54" i="8"/>
  <c r="W54" i="8" s="1"/>
  <c r="V54" i="21"/>
  <c r="W54" i="21" s="1"/>
  <c r="V238" i="8"/>
  <c r="W238" i="8" s="1"/>
  <c r="V238" i="21"/>
  <c r="W238" i="21" s="1"/>
  <c r="V155" i="8"/>
  <c r="W155" i="8" s="1"/>
  <c r="V155" i="21"/>
  <c r="W155" i="21" s="1"/>
  <c r="V355" i="8"/>
  <c r="W355" i="8" s="1"/>
  <c r="V355" i="21"/>
  <c r="W355" i="21" s="1"/>
  <c r="V370" i="8"/>
  <c r="W370" i="8" s="1"/>
  <c r="V370" i="21"/>
  <c r="W370" i="21" s="1"/>
  <c r="V265" i="8"/>
  <c r="W265" i="8" s="1"/>
  <c r="V265" i="21"/>
  <c r="W265" i="21" s="1"/>
  <c r="V59" i="8"/>
  <c r="W59" i="8" s="1"/>
  <c r="V59" i="21"/>
  <c r="W59" i="21" s="1"/>
  <c r="V55" i="8"/>
  <c r="W55" i="8" s="1"/>
  <c r="V55" i="21"/>
  <c r="W55" i="21" s="1"/>
  <c r="V114" i="8"/>
  <c r="W114" i="8" s="1"/>
  <c r="V114" i="21"/>
  <c r="W114" i="21" s="1"/>
  <c r="V321" i="8"/>
  <c r="W321" i="8" s="1"/>
  <c r="V321" i="21"/>
  <c r="W321" i="21" s="1"/>
  <c r="V348" i="8"/>
  <c r="W348" i="8" s="1"/>
  <c r="V348" i="21"/>
  <c r="W348" i="21" s="1"/>
  <c r="V138" i="8"/>
  <c r="W138" i="8" s="1"/>
  <c r="V138" i="21"/>
  <c r="W138" i="21" s="1"/>
  <c r="V300" i="8"/>
  <c r="W300" i="8" s="1"/>
  <c r="V300" i="21"/>
  <c r="W300" i="21" s="1"/>
  <c r="V256" i="8"/>
  <c r="W256" i="8" s="1"/>
  <c r="V256" i="21"/>
  <c r="W256" i="21" s="1"/>
  <c r="V47" i="8"/>
  <c r="W47" i="8" s="1"/>
  <c r="V47" i="21"/>
  <c r="W47" i="21" s="1"/>
  <c r="V323" i="8"/>
  <c r="W323" i="8" s="1"/>
  <c r="V323" i="21"/>
  <c r="W323" i="21" s="1"/>
  <c r="V376" i="8"/>
  <c r="W376" i="8" s="1"/>
  <c r="V376" i="21"/>
  <c r="W376" i="21" s="1"/>
  <c r="V146" i="8"/>
  <c r="W146" i="8" s="1"/>
  <c r="V146" i="21"/>
  <c r="W146" i="21" s="1"/>
  <c r="V403" i="8"/>
  <c r="W403" i="8" s="1"/>
  <c r="V403" i="21"/>
  <c r="W403" i="21" s="1"/>
  <c r="V407" i="8"/>
  <c r="W407" i="8" s="1"/>
  <c r="AA31" i="19"/>
  <c r="Z501" i="19"/>
  <c r="AF406" i="19" l="1"/>
  <c r="V31" i="21"/>
  <c r="AF407" i="19"/>
  <c r="AF404" i="19"/>
  <c r="AF405" i="19"/>
  <c r="AF402" i="19"/>
  <c r="AF403" i="19"/>
  <c r="AF380" i="19"/>
  <c r="V31" i="8"/>
  <c r="AF153" i="19"/>
  <c r="AF42" i="19"/>
  <c r="AF119" i="19"/>
  <c r="AF174" i="19"/>
  <c r="AF378" i="19"/>
  <c r="AF336" i="19"/>
  <c r="AF367" i="19"/>
  <c r="AF99" i="19"/>
  <c r="AF70" i="19"/>
  <c r="AF161" i="19"/>
  <c r="AF203" i="19"/>
  <c r="AF252" i="19"/>
  <c r="AF120" i="19"/>
  <c r="AF156" i="19"/>
  <c r="AF218" i="19"/>
  <c r="AF59" i="19"/>
  <c r="AF110" i="19"/>
  <c r="AF64" i="19"/>
  <c r="AF155" i="19"/>
  <c r="AF237" i="19"/>
  <c r="AF338" i="19"/>
  <c r="AF373" i="19"/>
  <c r="AF189" i="19"/>
  <c r="AF371" i="19"/>
  <c r="AF52" i="19"/>
  <c r="AF213" i="19"/>
  <c r="AF78" i="19"/>
  <c r="AF37" i="19"/>
  <c r="AF253" i="19"/>
  <c r="AF177" i="19"/>
  <c r="AF31" i="19"/>
  <c r="AA501" i="19"/>
  <c r="K2" i="19" s="1"/>
  <c r="AF232" i="19"/>
  <c r="AF383" i="19"/>
  <c r="AF79" i="19"/>
  <c r="AF222" i="19"/>
  <c r="AF192" i="19"/>
  <c r="AF111" i="19"/>
  <c r="AF36" i="19"/>
  <c r="AF193" i="19"/>
  <c r="AF67" i="19"/>
  <c r="AF164" i="19"/>
  <c r="AF352" i="19"/>
  <c r="AF128" i="19"/>
  <c r="AF80" i="19"/>
  <c r="AF349" i="19"/>
  <c r="AF202" i="19"/>
  <c r="AF144" i="19"/>
  <c r="AF33" i="19"/>
  <c r="AF198" i="19"/>
  <c r="AF61" i="19"/>
  <c r="AF88" i="19"/>
  <c r="AF148" i="19"/>
  <c r="AF303" i="19"/>
  <c r="AF386" i="19"/>
  <c r="AF212" i="19"/>
  <c r="AF62" i="19"/>
  <c r="AF236" i="19"/>
  <c r="AF345" i="19"/>
  <c r="AF327" i="19"/>
  <c r="AF278" i="19"/>
  <c r="AF320" i="19"/>
  <c r="AF226" i="19"/>
  <c r="AF184" i="19"/>
  <c r="AF347" i="19"/>
  <c r="AF296" i="19"/>
  <c r="AF204" i="19"/>
  <c r="AF292" i="19"/>
  <c r="AF211" i="19"/>
  <c r="AF376" i="19"/>
  <c r="AF274" i="19"/>
  <c r="AF359" i="19"/>
  <c r="AF363" i="19"/>
  <c r="AF71" i="19"/>
  <c r="AF382" i="19"/>
  <c r="AF385" i="19"/>
  <c r="AF245" i="19"/>
  <c r="AF310" i="19"/>
  <c r="AF249" i="19"/>
  <c r="AF137" i="19"/>
  <c r="AF399" i="19"/>
  <c r="AF286" i="19"/>
  <c r="AF250" i="19"/>
  <c r="AF293" i="19"/>
  <c r="AF158" i="19"/>
  <c r="AF146" i="19"/>
  <c r="AF55" i="19"/>
  <c r="AF248" i="19"/>
  <c r="AF265" i="19"/>
  <c r="AF238" i="19"/>
  <c r="AF309" i="19"/>
  <c r="AF214" i="19"/>
  <c r="AF69" i="19"/>
  <c r="AF308" i="19"/>
  <c r="AF239" i="19"/>
  <c r="AF314" i="19"/>
  <c r="AF32" i="19"/>
  <c r="AF328" i="19"/>
  <c r="AF321" i="19"/>
  <c r="AF185" i="19"/>
  <c r="AF41" i="19"/>
  <c r="AF230" i="19"/>
  <c r="AF121" i="19"/>
  <c r="AF334" i="19"/>
  <c r="AF358" i="19"/>
  <c r="AF393" i="19"/>
  <c r="AF39" i="19"/>
  <c r="AF82" i="19"/>
  <c r="AF173" i="19"/>
  <c r="AF210" i="19"/>
  <c r="AF243" i="19"/>
  <c r="AF201" i="19"/>
  <c r="AF220" i="19"/>
  <c r="AF175" i="19"/>
  <c r="AF118" i="19"/>
  <c r="AF290" i="19"/>
  <c r="AF388" i="19"/>
  <c r="AF282" i="19"/>
  <c r="AF231" i="19"/>
  <c r="AF271" i="19"/>
  <c r="AF356" i="19"/>
  <c r="AF289" i="19"/>
  <c r="AF142" i="19"/>
  <c r="AF311" i="19"/>
  <c r="AF114" i="19"/>
  <c r="AF113" i="19"/>
  <c r="AF227" i="19"/>
  <c r="AF351" i="19"/>
  <c r="AF85" i="19"/>
  <c r="AF315" i="19"/>
  <c r="AF256" i="19"/>
  <c r="AF205" i="19"/>
  <c r="AF375" i="19"/>
  <c r="AF285" i="19"/>
  <c r="AF381" i="19"/>
  <c r="AF304" i="19"/>
  <c r="AF40" i="19"/>
  <c r="AF401" i="19"/>
  <c r="AF364" i="19"/>
  <c r="AF390" i="19"/>
  <c r="AF396" i="19"/>
  <c r="AF101" i="19"/>
  <c r="AF332" i="19"/>
  <c r="AF259" i="19"/>
  <c r="AF343" i="19"/>
  <c r="AF251" i="19"/>
  <c r="AF400" i="19"/>
  <c r="AF280" i="19"/>
  <c r="AF34" i="19"/>
  <c r="AF87" i="19"/>
  <c r="AF398" i="19"/>
  <c r="AF297" i="19"/>
  <c r="AF94" i="19"/>
  <c r="AF107" i="19"/>
  <c r="AF191" i="19"/>
  <c r="AF294" i="19"/>
  <c r="AF154" i="19"/>
  <c r="AF392" i="19"/>
  <c r="AF195" i="19"/>
  <c r="AF268" i="19"/>
  <c r="AF168" i="19"/>
  <c r="AF194" i="19"/>
  <c r="AF109" i="19"/>
  <c r="AF169" i="19"/>
  <c r="AF92" i="19"/>
  <c r="AF93" i="19"/>
  <c r="AF140" i="19"/>
  <c r="AF209" i="19"/>
  <c r="AF162" i="19"/>
  <c r="AF272" i="19"/>
  <c r="AF200" i="19"/>
  <c r="AF66" i="19"/>
  <c r="AF264" i="19"/>
  <c r="AF81" i="19"/>
  <c r="AF115" i="19"/>
  <c r="AF149" i="19"/>
  <c r="AF254" i="19"/>
  <c r="AF233" i="19"/>
  <c r="AF130" i="19"/>
  <c r="AF397" i="19"/>
  <c r="AF196" i="19"/>
  <c r="AF186" i="19"/>
  <c r="AF306" i="19"/>
  <c r="AF368" i="19"/>
  <c r="AF108" i="19"/>
  <c r="AF157" i="19"/>
  <c r="AF389" i="19"/>
  <c r="AF217" i="19"/>
  <c r="AF208" i="19"/>
  <c r="AF180" i="19"/>
  <c r="AF106" i="19"/>
  <c r="AF370" i="19"/>
  <c r="AF54" i="19"/>
  <c r="AF139" i="19"/>
  <c r="AF337" i="19"/>
  <c r="AF279" i="19"/>
  <c r="AF266" i="19"/>
  <c r="AF133" i="19"/>
  <c r="AF322" i="19"/>
  <c r="AF284" i="19"/>
  <c r="AF126" i="19"/>
  <c r="AF372" i="19"/>
  <c r="AF277" i="19"/>
  <c r="AF287" i="19"/>
  <c r="AF247" i="19"/>
  <c r="AF348" i="19"/>
  <c r="AF391" i="19"/>
  <c r="AF73" i="19"/>
  <c r="AF339" i="19"/>
  <c r="AF270" i="19"/>
  <c r="AF138" i="19"/>
  <c r="AF122" i="19"/>
  <c r="AF325" i="19"/>
  <c r="AF335" i="19"/>
  <c r="AF132" i="19"/>
  <c r="AF72" i="19"/>
  <c r="AF167" i="19"/>
  <c r="AF340" i="19"/>
  <c r="AF263" i="19"/>
  <c r="AF199" i="19"/>
  <c r="AF269" i="19"/>
  <c r="AF123" i="19"/>
  <c r="AF58" i="19"/>
  <c r="AF183" i="19"/>
  <c r="AF166" i="19"/>
  <c r="AF273" i="19"/>
  <c r="AF163" i="19"/>
  <c r="AF319" i="19"/>
  <c r="AF147" i="19"/>
  <c r="AF288" i="19"/>
  <c r="AF295" i="19"/>
  <c r="AF225" i="19"/>
  <c r="AF384" i="19"/>
  <c r="AF326" i="19"/>
  <c r="AF207" i="19"/>
  <c r="AF234" i="19"/>
  <c r="AF178" i="19"/>
  <c r="AF170" i="19"/>
  <c r="AF179" i="19"/>
  <c r="AF112" i="19"/>
  <c r="AF387" i="19"/>
  <c r="AF103" i="19"/>
  <c r="AF74" i="19"/>
  <c r="AF223" i="19"/>
  <c r="AF215" i="19"/>
  <c r="AF187" i="19"/>
  <c r="AF258" i="19"/>
  <c r="AF302" i="19"/>
  <c r="AF324" i="19"/>
  <c r="AF357" i="19"/>
  <c r="AF43" i="19"/>
  <c r="AF117" i="19"/>
  <c r="AF49" i="19"/>
  <c r="AF216" i="19"/>
  <c r="AF125" i="19"/>
  <c r="AF91" i="19"/>
  <c r="AF369" i="19"/>
  <c r="AF152" i="19"/>
  <c r="AF57" i="19"/>
  <c r="AF242" i="19"/>
  <c r="AF267" i="19"/>
  <c r="AF96" i="19"/>
  <c r="AF206" i="19"/>
  <c r="AF240" i="19"/>
  <c r="AF394" i="19"/>
  <c r="AF261" i="19"/>
  <c r="AF329" i="19"/>
  <c r="AF257" i="19"/>
  <c r="AF102" i="19"/>
  <c r="AF165" i="19"/>
  <c r="AF333" i="19"/>
  <c r="AF181" i="19"/>
  <c r="AF255" i="19"/>
  <c r="AF346" i="19"/>
  <c r="AF298" i="19"/>
  <c r="AF47" i="19"/>
  <c r="AF77" i="19"/>
  <c r="AF291" i="19"/>
  <c r="AF235" i="19"/>
  <c r="AF89" i="19"/>
  <c r="AF135" i="19"/>
  <c r="AF63" i="19"/>
  <c r="AF313" i="19"/>
  <c r="AF86" i="19"/>
  <c r="AF136" i="19"/>
  <c r="AF95" i="19"/>
  <c r="AF355" i="19"/>
  <c r="AF116" i="19"/>
  <c r="AF307" i="19"/>
  <c r="AF300" i="19"/>
  <c r="AF317" i="19"/>
  <c r="AF379" i="19"/>
  <c r="AF35" i="19"/>
  <c r="AF45" i="19"/>
  <c r="AF219" i="19"/>
  <c r="AF299" i="19"/>
  <c r="AF145" i="19"/>
  <c r="AF172" i="19"/>
  <c r="AF197" i="19"/>
  <c r="AF283" i="19"/>
  <c r="AF316" i="19"/>
  <c r="AF241" i="19"/>
  <c r="AF354" i="19"/>
  <c r="AF60" i="19"/>
  <c r="AF229" i="19"/>
  <c r="AF65" i="19"/>
  <c r="AF330" i="19"/>
  <c r="AF182" i="19"/>
  <c r="AF151" i="19"/>
  <c r="AF350" i="19"/>
  <c r="AF90" i="19"/>
  <c r="AF159" i="19"/>
  <c r="AF76" i="19"/>
  <c r="AF97" i="19"/>
  <c r="AF51" i="19"/>
  <c r="AF244" i="19"/>
  <c r="AF98" i="19"/>
  <c r="AF46" i="19"/>
  <c r="AF56" i="19"/>
  <c r="AF228" i="19"/>
  <c r="AF68" i="19"/>
  <c r="AF48" i="19"/>
  <c r="AF305" i="19"/>
  <c r="AF341" i="19"/>
  <c r="AF374" i="19"/>
  <c r="AF224" i="19"/>
  <c r="AF323" i="19"/>
  <c r="AF131" i="19"/>
  <c r="AF188" i="19"/>
  <c r="AF44" i="19"/>
  <c r="AF331" i="19"/>
  <c r="AF134" i="19"/>
  <c r="AF276" i="19"/>
  <c r="AF360" i="19"/>
  <c r="AF141" i="19"/>
  <c r="AF362" i="19"/>
  <c r="AF171" i="19"/>
  <c r="AF281" i="19"/>
  <c r="AF262" i="19"/>
  <c r="AF312" i="19"/>
  <c r="AF246" i="19"/>
  <c r="AF150" i="19"/>
  <c r="AF344" i="19"/>
  <c r="AF53" i="19"/>
  <c r="AF176" i="19"/>
  <c r="AF100" i="19"/>
  <c r="AF50" i="19"/>
  <c r="AF190" i="19"/>
  <c r="AF221" i="19"/>
  <c r="AF83" i="19"/>
  <c r="AF129" i="19"/>
  <c r="AF104" i="19"/>
  <c r="AF124" i="19"/>
  <c r="AF377" i="19"/>
  <c r="AF127" i="19"/>
  <c r="AF260" i="19"/>
  <c r="AF318" i="19"/>
  <c r="AF38" i="19"/>
  <c r="AF160" i="19"/>
  <c r="AF342" i="19"/>
  <c r="AF105" i="19"/>
  <c r="AF143" i="19"/>
  <c r="AF84" i="19"/>
  <c r="V501" i="21" l="1"/>
  <c r="W31" i="21"/>
  <c r="W501" i="21" s="1"/>
  <c r="V501" i="8"/>
  <c r="W31" i="8"/>
  <c r="W501" i="8" s="1"/>
  <c r="AF501" i="19"/>
</calcChain>
</file>

<file path=xl/comments1.xml><?xml version="1.0" encoding="utf-8"?>
<comments xmlns="http://schemas.openxmlformats.org/spreadsheetml/2006/main">
  <authors>
    <author>David</author>
  </authors>
  <commentList>
    <comment ref="A29" authorId="0" shapeId="0">
      <text>
        <r>
          <rPr>
            <b/>
            <sz val="9"/>
            <color indexed="81"/>
            <rFont val="Tahoma"/>
            <family val="2"/>
          </rPr>
          <t>מספר שורות למוסדות</t>
        </r>
      </text>
    </comment>
  </commentList>
</comments>
</file>

<file path=xl/sharedStrings.xml><?xml version="1.0" encoding="utf-8"?>
<sst xmlns="http://schemas.openxmlformats.org/spreadsheetml/2006/main" count="16722" uniqueCount="3743">
  <si>
    <t>סה"כ</t>
  </si>
  <si>
    <t>מספר סידורי</t>
  </si>
  <si>
    <t>אבו גוש</t>
  </si>
  <si>
    <t>אבו סנאן</t>
  </si>
  <si>
    <t>אבן יהודה</t>
  </si>
  <si>
    <t>אופקים</t>
  </si>
  <si>
    <t>אור יהודה</t>
  </si>
  <si>
    <t>אור עקיבא</t>
  </si>
  <si>
    <t>אורנית</t>
  </si>
  <si>
    <t>אזור</t>
  </si>
  <si>
    <t>אילת</t>
  </si>
  <si>
    <t>אכסאל</t>
  </si>
  <si>
    <t>אליכין</t>
  </si>
  <si>
    <t>אלעד</t>
  </si>
  <si>
    <t>אלפי מנשה</t>
  </si>
  <si>
    <t>אלקנה</t>
  </si>
  <si>
    <t>אעבלין</t>
  </si>
  <si>
    <t>אריאל</t>
  </si>
  <si>
    <t>אשדוד</t>
  </si>
  <si>
    <t>אשקלון</t>
  </si>
  <si>
    <t>באר יעקב</t>
  </si>
  <si>
    <t>באר שבע</t>
  </si>
  <si>
    <t>בוקעאתא</t>
  </si>
  <si>
    <t>בית אל</t>
  </si>
  <si>
    <t>בית אריה</t>
  </si>
  <si>
    <t>בית ג'ן</t>
  </si>
  <si>
    <t>בית דגן</t>
  </si>
  <si>
    <t>בית שאן</t>
  </si>
  <si>
    <t>בית שמש</t>
  </si>
  <si>
    <t>ביתר עילית</t>
  </si>
  <si>
    <t>בני ברק</t>
  </si>
  <si>
    <t>בני עי"ש</t>
  </si>
  <si>
    <t>בסמ"ה</t>
  </si>
  <si>
    <t>בסמת טבעון</t>
  </si>
  <si>
    <t>בת ים</t>
  </si>
  <si>
    <t>ג'ולס</t>
  </si>
  <si>
    <t>ג'לג'וליה</t>
  </si>
  <si>
    <t>ג'סר א-זרקא</t>
  </si>
  <si>
    <t>ג'ש (גוש חלב)</t>
  </si>
  <si>
    <t>גבעת זאב</t>
  </si>
  <si>
    <t>גבעת שמואל</t>
  </si>
  <si>
    <t>גבעתיים</t>
  </si>
  <si>
    <t>גדרה</t>
  </si>
  <si>
    <t>גן יבנה</t>
  </si>
  <si>
    <t>גני תקווה</t>
  </si>
  <si>
    <t>דבורייה</t>
  </si>
  <si>
    <t>דייר חנא</t>
  </si>
  <si>
    <t>דימונה</t>
  </si>
  <si>
    <t>הוד השרון</t>
  </si>
  <si>
    <t>הר אדר</t>
  </si>
  <si>
    <t>זכרון יעקב</t>
  </si>
  <si>
    <t>זמר</t>
  </si>
  <si>
    <t>זרזיר</t>
  </si>
  <si>
    <t>חדרה</t>
  </si>
  <si>
    <t>חולון</t>
  </si>
  <si>
    <t>חורה</t>
  </si>
  <si>
    <t>חורפיש</t>
  </si>
  <si>
    <t>חיפה</t>
  </si>
  <si>
    <t>חצור הגלילית</t>
  </si>
  <si>
    <t>טבריה</t>
  </si>
  <si>
    <t>טורעאן</t>
  </si>
  <si>
    <t>טייבה</t>
  </si>
  <si>
    <t>טירה</t>
  </si>
  <si>
    <t>טמרה</t>
  </si>
  <si>
    <t>יבנאל</t>
  </si>
  <si>
    <t>יבנה</t>
  </si>
  <si>
    <t>יהוד</t>
  </si>
  <si>
    <t>יסוד המעלה</t>
  </si>
  <si>
    <t>יפיע</t>
  </si>
  <si>
    <t>יקנעם עילית</t>
  </si>
  <si>
    <t>ירוחם</t>
  </si>
  <si>
    <t>ירושלים</t>
  </si>
  <si>
    <t>ירכא</t>
  </si>
  <si>
    <t>כאבול</t>
  </si>
  <si>
    <t>כוכב יאיר</t>
  </si>
  <si>
    <t>כסיפה</t>
  </si>
  <si>
    <t>כסרא-סמיע</t>
  </si>
  <si>
    <t>כפר ברא</t>
  </si>
  <si>
    <t>כפר ורדים</t>
  </si>
  <si>
    <t>כפר יאסיף</t>
  </si>
  <si>
    <t>כפר יונה</t>
  </si>
  <si>
    <t>כפר כמא</t>
  </si>
  <si>
    <t>כפר כנא</t>
  </si>
  <si>
    <t>כפר מנדא</t>
  </si>
  <si>
    <t>כפר סבא</t>
  </si>
  <si>
    <t>כפר קאסם</t>
  </si>
  <si>
    <t>כפר קרע</t>
  </si>
  <si>
    <t>כפר שמריהו</t>
  </si>
  <si>
    <t>כפר תבור</t>
  </si>
  <si>
    <t>כרמיאל</t>
  </si>
  <si>
    <t>להבים</t>
  </si>
  <si>
    <t>לוד</t>
  </si>
  <si>
    <t>לקיה</t>
  </si>
  <si>
    <t>מבשרת ציון</t>
  </si>
  <si>
    <t>מג'דל שמס</t>
  </si>
  <si>
    <t>מגאר</t>
  </si>
  <si>
    <t>מגדל</t>
  </si>
  <si>
    <t>מגדל העמק</t>
  </si>
  <si>
    <t>מודיעין עילית</t>
  </si>
  <si>
    <t>מזכרת בתיה</t>
  </si>
  <si>
    <t>מזרעה</t>
  </si>
  <si>
    <t>מטולה</t>
  </si>
  <si>
    <t>מיתר</t>
  </si>
  <si>
    <t>מסעדה</t>
  </si>
  <si>
    <t>מעיליא</t>
  </si>
  <si>
    <t>מעלה אדומים</t>
  </si>
  <si>
    <t>מעלה אפרים</t>
  </si>
  <si>
    <t>מעלה עירון</t>
  </si>
  <si>
    <t>מצפה רמון</t>
  </si>
  <si>
    <t>משהד</t>
  </si>
  <si>
    <t>נהרייה</t>
  </si>
  <si>
    <t>נחף</t>
  </si>
  <si>
    <t>נס ציונה</t>
  </si>
  <si>
    <t>נצרת</t>
  </si>
  <si>
    <t>נצרת עילית</t>
  </si>
  <si>
    <t>נשר</t>
  </si>
  <si>
    <t>נתיבות</t>
  </si>
  <si>
    <t>נתניה</t>
  </si>
  <si>
    <t>סאג'ור</t>
  </si>
  <si>
    <t>סח'נין</t>
  </si>
  <si>
    <t>ע'ג'ר</t>
  </si>
  <si>
    <t>עומר</t>
  </si>
  <si>
    <t>עיילבון</t>
  </si>
  <si>
    <t>עילוט</t>
  </si>
  <si>
    <t>עין מאהל</t>
  </si>
  <si>
    <t>עין קנייא</t>
  </si>
  <si>
    <t>עמנואל</t>
  </si>
  <si>
    <t>עפולה</t>
  </si>
  <si>
    <t>עראבה</t>
  </si>
  <si>
    <t>ערד</t>
  </si>
  <si>
    <t>ערערה</t>
  </si>
  <si>
    <t>פסוטה</t>
  </si>
  <si>
    <t>פקיעין (בוקייעה)</t>
  </si>
  <si>
    <t>פרדסייה</t>
  </si>
  <si>
    <t>פתח תקווה</t>
  </si>
  <si>
    <t>צפת</t>
  </si>
  <si>
    <t>קדומים</t>
  </si>
  <si>
    <t>קלנסווה</t>
  </si>
  <si>
    <t>קצרין</t>
  </si>
  <si>
    <t>קריית אונו</t>
  </si>
  <si>
    <t>קריית ארבע</t>
  </si>
  <si>
    <t>קריית אתא</t>
  </si>
  <si>
    <t>קריית ביאליק</t>
  </si>
  <si>
    <t>קריית גת</t>
  </si>
  <si>
    <t>קריית טבעון</t>
  </si>
  <si>
    <t>קריית ים</t>
  </si>
  <si>
    <t>קריית יערים</t>
  </si>
  <si>
    <t>קריית מוצקין</t>
  </si>
  <si>
    <t>קריית מלאכי</t>
  </si>
  <si>
    <t>קריית עקרון</t>
  </si>
  <si>
    <t>קריית שמונה</t>
  </si>
  <si>
    <t>קרני שומרון</t>
  </si>
  <si>
    <t>ראמה</t>
  </si>
  <si>
    <t>ראש העין</t>
  </si>
  <si>
    <t>ראש פינה</t>
  </si>
  <si>
    <t>ראשון לציון</t>
  </si>
  <si>
    <t>רהט</t>
  </si>
  <si>
    <t>רחובות</t>
  </si>
  <si>
    <t>ריינה</t>
  </si>
  <si>
    <t>רכסים</t>
  </si>
  <si>
    <t>רמלה</t>
  </si>
  <si>
    <t>רמת גן</t>
  </si>
  <si>
    <t>רמת השרון</t>
  </si>
  <si>
    <t>רמת ישי</t>
  </si>
  <si>
    <t>רעננה</t>
  </si>
  <si>
    <t>שגב-שלום</t>
  </si>
  <si>
    <t>שדרות</t>
  </si>
  <si>
    <t>שוהם</t>
  </si>
  <si>
    <t>שלומי</t>
  </si>
  <si>
    <t>שעב</t>
  </si>
  <si>
    <t>שפרעם</t>
  </si>
  <si>
    <t>תל מונד</t>
  </si>
  <si>
    <t>תל שבע</t>
  </si>
  <si>
    <t>מגילות ים המלח</t>
  </si>
  <si>
    <t>תמר</t>
  </si>
  <si>
    <t>אלונה</t>
  </si>
  <si>
    <t>חבל אילות</t>
  </si>
  <si>
    <t>נווה מדבר</t>
  </si>
  <si>
    <t>חבל יבנה</t>
  </si>
  <si>
    <t>הר חברון</t>
  </si>
  <si>
    <t>שער הנגב</t>
  </si>
  <si>
    <t>נחל שורק</t>
  </si>
  <si>
    <t>יואב</t>
  </si>
  <si>
    <t>ברנר</t>
  </si>
  <si>
    <t>בני שמעון</t>
  </si>
  <si>
    <t>שדות נגב</t>
  </si>
  <si>
    <t>לכיש</t>
  </si>
  <si>
    <t>מעלה יוסף</t>
  </si>
  <si>
    <t>שפיר</t>
  </si>
  <si>
    <t>הגליל התחתון</t>
  </si>
  <si>
    <t>מגידו</t>
  </si>
  <si>
    <t>מרחבים</t>
  </si>
  <si>
    <t>עמק המעיינות</t>
  </si>
  <si>
    <t>אשכול</t>
  </si>
  <si>
    <t>עמק הירדן</t>
  </si>
  <si>
    <t>זבולון</t>
  </si>
  <si>
    <t>חוף השרון</t>
  </si>
  <si>
    <t>גולן</t>
  </si>
  <si>
    <t>מרום הגליל</t>
  </si>
  <si>
    <t>עמק לוד</t>
  </si>
  <si>
    <t>חוף אשקלון</t>
  </si>
  <si>
    <t>הגליל העליון</t>
  </si>
  <si>
    <t>מנשה</t>
  </si>
  <si>
    <t>גוש עציון</t>
  </si>
  <si>
    <t>באר טוביה</t>
  </si>
  <si>
    <t>חבל מודיעין</t>
  </si>
  <si>
    <t>לב השרון</t>
  </si>
  <si>
    <t>גזר</t>
  </si>
  <si>
    <t>מטה אשר</t>
  </si>
  <si>
    <t>משגב</t>
  </si>
  <si>
    <t>חוף הכרמל</t>
  </si>
  <si>
    <t>הגלבוע</t>
  </si>
  <si>
    <t>דרום השרון</t>
  </si>
  <si>
    <t>שומרון</t>
  </si>
  <si>
    <t>עמק יזרעאל</t>
  </si>
  <si>
    <t>עמק חפר</t>
  </si>
  <si>
    <t>מטה יהודה</t>
  </si>
  <si>
    <t>מטה בנימין</t>
  </si>
  <si>
    <t>שם  הרשות</t>
  </si>
  <si>
    <t>אום אל-פחם</t>
  </si>
  <si>
    <t>באקה אל-גרביה</t>
  </si>
  <si>
    <t>הרצלייה</t>
  </si>
  <si>
    <t>טירת כרמל</t>
  </si>
  <si>
    <t>מעלות-תרשיחא</t>
  </si>
  <si>
    <t>עכו</t>
  </si>
  <si>
    <t>אפרת</t>
  </si>
  <si>
    <t>בועיינה-נוג'ידאת</t>
  </si>
  <si>
    <t>ביר אל-מכסור</t>
  </si>
  <si>
    <t>בענה</t>
  </si>
  <si>
    <t>ג'דיידה-מכר</t>
  </si>
  <si>
    <t>ג'ת</t>
  </si>
  <si>
    <t>דייר אל-אסד</t>
  </si>
  <si>
    <t>טובא-זנגרייה</t>
  </si>
  <si>
    <t>יאנוח-ג'ת</t>
  </si>
  <si>
    <t>כאוכב אבו אל-היג'א</t>
  </si>
  <si>
    <t>כעביה-טבאש-חג'אג'רה</t>
  </si>
  <si>
    <t>מג'ד אל-כרום</t>
  </si>
  <si>
    <t>עספיא</t>
  </si>
  <si>
    <t>ערערה-בנגב</t>
  </si>
  <si>
    <t>פוריידיס</t>
  </si>
  <si>
    <t>פרדס חנה-כרכור</t>
  </si>
  <si>
    <t>קדימה-צורן</t>
  </si>
  <si>
    <t>שבלי - אום אל-גנם</t>
  </si>
  <si>
    <t>אל קסום</t>
  </si>
  <si>
    <t>אל-בטוף</t>
  </si>
  <si>
    <t>בוסתן אל-מרג'</t>
  </si>
  <si>
    <t>גדרות</t>
  </si>
  <si>
    <t>גן רווה</t>
  </si>
  <si>
    <t>הערבה התיכונה</t>
  </si>
  <si>
    <t>מבואות החרמון</t>
  </si>
  <si>
    <t/>
  </si>
  <si>
    <t>ערבות הירדן</t>
  </si>
  <si>
    <t>רמת נגב</t>
  </si>
  <si>
    <t>מספר מרכבה</t>
  </si>
  <si>
    <t>דאלית אל-כרמל</t>
  </si>
  <si>
    <t>חריש</t>
  </si>
  <si>
    <t>שם הרשות</t>
  </si>
  <si>
    <t>סמל הרשות</t>
  </si>
  <si>
    <t>מספר סעיף בשאלון</t>
  </si>
  <si>
    <t>מספר בקשה</t>
  </si>
  <si>
    <t>**/**/**</t>
  </si>
  <si>
    <t>מספר ₪</t>
  </si>
  <si>
    <t>סכום מבוקש</t>
  </si>
  <si>
    <t>מס בקשה</t>
  </si>
  <si>
    <t>מס' רשות במרכבה</t>
  </si>
  <si>
    <t>מהות הבקשה</t>
  </si>
  <si>
    <t>מס"ד</t>
  </si>
  <si>
    <t>אושר בועדת תמיכות?</t>
  </si>
  <si>
    <t>הערות</t>
  </si>
  <si>
    <t>סכום מבוקש -דוח מרכבה</t>
  </si>
  <si>
    <t>מספר</t>
  </si>
  <si>
    <t>0/1/2</t>
  </si>
  <si>
    <t>2=חסר נתון</t>
  </si>
  <si>
    <t>בקרה</t>
  </si>
  <si>
    <t>בקרת הזנת נתונים לתמיכה</t>
  </si>
  <si>
    <t>סכום התמיכה המאושר</t>
  </si>
  <si>
    <t>טיוטה לחיפוש - שם הרשות ערכים</t>
  </si>
  <si>
    <t>שם הרשות - לחיפוש בלבד-ערכים</t>
  </si>
  <si>
    <t>הדרכה למשתמש</t>
  </si>
  <si>
    <t>תאריך בניית המודל</t>
  </si>
  <si>
    <t>תאריך עדכון מודל</t>
  </si>
  <si>
    <t>הוראת שעה/מעבר:</t>
  </si>
  <si>
    <t>הדרכה להזנת נתונים</t>
  </si>
  <si>
    <t>צבע התא</t>
  </si>
  <si>
    <t>מטרת התא</t>
  </si>
  <si>
    <t>דגש</t>
  </si>
  <si>
    <t>צהוב</t>
  </si>
  <si>
    <t>הזנת נתונים</t>
  </si>
  <si>
    <t>חום</t>
  </si>
  <si>
    <t>הצגת מידע</t>
  </si>
  <si>
    <t>תא שאיננו מיועד להזנה. תא זה מציג מידע עפ"י נוסחה קבועה ואין לשנות אותה.</t>
  </si>
  <si>
    <t>אדום</t>
  </si>
  <si>
    <t>התראת שגיאה</t>
  </si>
  <si>
    <t>קיימת שגיאה בהזנת נתונים באחד מהתאים המיועדים להזנה, נדרש להזין את הנתונים הנדרשים לפני קביעת גובה תמיכה סופי.</t>
  </si>
  <si>
    <t>את רשימת המוסדות יש להזין בגיליונות השמאליים של הקובץ הממוספרים מ1 עד 10 במקום שם הגיליון , גיליון שממוספר מ1-10 ואינו נמצא בשימוש אין לשנות את שם הגיליון הקיים כברירת מחדל (מספר סידורי). במידה והוחלט לא להשתמש בגיליון לאחר כתיבת השם, נדרש לשנות חזרה את שם הגיליון למספר סידורי</t>
  </si>
  <si>
    <t>ניהול גרסאות</t>
  </si>
  <si>
    <t>מספר גרסה</t>
  </si>
  <si>
    <t>תאריך עדכון גרסה</t>
  </si>
  <si>
    <t>תאריך גרסה של מבחן תמיכה</t>
  </si>
  <si>
    <t>התאמות נוספות של מבחן תמיכה</t>
  </si>
  <si>
    <t>שנת תקציב</t>
  </si>
  <si>
    <t>גרסת 2017</t>
  </si>
  <si>
    <t>עדכון על פי שינויים למבחן תמיכה</t>
  </si>
  <si>
    <t>תאריך אישור בועדת תמיכות</t>
  </si>
  <si>
    <t>תקציב הפסטיבל - שאלון</t>
  </si>
  <si>
    <t>סכום מומלץ עפ"י מבחני התמיכה</t>
  </si>
  <si>
    <t>סכום התמיכה המאושר לאחר השלמות</t>
  </si>
  <si>
    <t>אחוז התמיכה מס"כ התמיכה</t>
  </si>
  <si>
    <r>
      <t xml:space="preserve">נדרש להעתיק </t>
    </r>
    <r>
      <rPr>
        <b/>
        <u/>
        <sz val="20"/>
        <color theme="1"/>
        <rFont val="Arial"/>
        <family val="2"/>
        <scheme val="minor"/>
      </rPr>
      <t>כערכים</t>
    </r>
    <r>
      <rPr>
        <sz val="20"/>
        <color theme="1"/>
        <rFont val="Arial"/>
        <family val="2"/>
        <scheme val="minor"/>
      </rPr>
      <t xml:space="preserve"> בקשות שאושרו בוועדת תמיכות מגיליון " סיכום לוועדה הצגה" על מנת שבגיליון "סיכום לוועדה הצגה" יופיע בטור K הספרה 1- כלומר הבקשה אושרה בוועדת תמיכות</t>
    </r>
  </si>
  <si>
    <t>מפקחות</t>
  </si>
  <si>
    <t>אסנת</t>
  </si>
  <si>
    <t>דקלה</t>
  </si>
  <si>
    <t>קרן אור</t>
  </si>
  <si>
    <t>AllowFilterCheckBox</t>
  </si>
  <si>
    <t>סוג פעולה</t>
  </si>
  <si>
    <t>גובה התמיכה המקסימלי</t>
  </si>
  <si>
    <t>משך פעולת התרבות (מינימלי) בשעות</t>
  </si>
  <si>
    <t>בדוק נתוני הזנה</t>
  </si>
  <si>
    <t>סוגי בקרות</t>
  </si>
  <si>
    <t>0/1</t>
  </si>
  <si>
    <t>מספר שלם</t>
  </si>
  <si>
    <t>מספר שאינו שלילי</t>
  </si>
  <si>
    <t>מספר שלם שאינו שלילי</t>
  </si>
  <si>
    <t>מספר חיובי</t>
  </si>
  <si>
    <t>מספר שלם חיובי</t>
  </si>
  <si>
    <t>טקסט</t>
  </si>
  <si>
    <t>טקסט מרשימה סגורה</t>
  </si>
  <si>
    <t>שיעור הקלה</t>
  </si>
  <si>
    <t>מספר בקרה</t>
  </si>
  <si>
    <t>מספר תנאים</t>
  </si>
  <si>
    <t>הקלות מותרות</t>
  </si>
  <si>
    <t>רלוונטי למבחן עמידה בתנאי סף? 1=רלוונטי. 0= לא רלוונטי אבל נדרשת בקרה על הזנת נתונים. 99= לא רלוונטי ולא נדרשת בקה על הזנת נתונים</t>
  </si>
  <si>
    <t>רשימה סגורה</t>
  </si>
  <si>
    <t>נדרש לפי הקלה</t>
  </si>
  <si>
    <t>מעבר תנאי סף- במידה ולא רלוונטי להשאיר ריק</t>
  </si>
  <si>
    <t>שורה אחרונה משומשת</t>
  </si>
  <si>
    <t>קריטריון הקלה 1</t>
  </si>
  <si>
    <t>קריטריון הקלה 2</t>
  </si>
  <si>
    <t>קריטריון הקלה 3</t>
  </si>
  <si>
    <t>קריטריון הקלה 4</t>
  </si>
  <si>
    <t>קריטריון הקלה 5</t>
  </si>
  <si>
    <t>מעבר תנאי סף-אישור מיוחד</t>
  </si>
  <si>
    <t>ריק</t>
  </si>
  <si>
    <t>מעבר תנאי סף ראשוני</t>
  </si>
  <si>
    <t>בקרה ראשית</t>
  </si>
  <si>
    <t>תנאים עם הקלה</t>
  </si>
  <si>
    <t>עומד בתנאים ללא הקלות</t>
  </si>
  <si>
    <t>עומד בתנאים להקלות</t>
  </si>
  <si>
    <t>סך עלות פעולות התרבות</t>
  </si>
  <si>
    <t>מספר פעולות קטנות</t>
  </si>
  <si>
    <t>מספר פעולות בינוניות</t>
  </si>
  <si>
    <t>מספר פעולות גדולות</t>
  </si>
  <si>
    <t>באם הרשות מקיימת פעולות קטנות  , האם פעולות אלה  מבוצעות באורך שלא יפחת מ 45 דקות כל אחת</t>
  </si>
  <si>
    <t>באם הרשות מקיימת פעולות בינוניות  , האם פעולות אלה  מבוצעות באורך שלא יפחת משעה וחצי כל אחת.</t>
  </si>
  <si>
    <t>באם הרשות מקיימת פעולות גדולות , האם פעולות אלה  מבוצעות באורך שלא יפחת משלוש שעות כל אחת.</t>
  </si>
  <si>
    <t>בוצעה הזנת מידע מהשאלון?</t>
  </si>
  <si>
    <t xml:space="preserve"> הפעילות מבוצעת אך ורק על ידי הרשות שמקבלת את התמיכה לכך ובמהלך שנת התמיכה או שהרשות מתכוונת לשכור את שירותיו של מפיק מקצועי חיצוני לצורך הפקת פעולות התרבות ומתחייבת כי התמורה למפיק לא תעלה על 15% מעלות הפעילות</t>
  </si>
  <si>
    <t xml:space="preserve">נדרש להזין מידע בהתאם להנחיות מבחן התמיכה, אי הזנה של תא יכולה להביא לידי שגיאה בתוצאות במודל. </t>
  </si>
  <si>
    <t>שם המוסד</t>
  </si>
  <si>
    <t>7 א'</t>
  </si>
  <si>
    <t>7 ב'</t>
  </si>
  <si>
    <t>7 ג'</t>
  </si>
  <si>
    <t>7 ד'</t>
  </si>
  <si>
    <t>סך הכנסות המוסד בשנת 2018 מהפעילות בעדה מבוקש הסיוע המיוחד (בש"ח)</t>
  </si>
  <si>
    <t>סך הכנסות עצמיות של המוסד בשנת 2018 מהפעילות בעדה מבוקש הסיוע המיוחד (בש"ח)</t>
  </si>
  <si>
    <t>שיעור ההכנסות העצמיות של המוסד לפעילות בעדה מבוקש הסיוע המיוחד בשנת 2018 עלה על 25% מכלל הכנסות המוסד מפעילות זו</t>
  </si>
  <si>
    <t>7 ה'</t>
  </si>
  <si>
    <t>סך הכנסות ממכירת כרטיסים, מופעים או מנויים של הפעילות בעדה מבוקש הסיוע המיוחד</t>
  </si>
  <si>
    <t>שיעור מינימלי של ההכנסות מכרטיסים, מכירת מופעים או מנויים מהפעילות בעדה מבוקש הסיוע המיוחד מכלל הכנסות המוסד מהפעילות בעדה מבוקש הסיוע המיוחד</t>
  </si>
  <si>
    <t>7 ו'</t>
  </si>
  <si>
    <t>7 ז'</t>
  </si>
  <si>
    <t>המוסד מנהל כמשק סגור אחד את כספי התמיכה לפי מבחני התמיכה, שעל פיהם הוא נתמך על ידי מינהל התרבות ב-2020 לפעילות בעדה מבוקשת התמיכה, לרבות כספי התמיכה לפי מבחן זה</t>
  </si>
  <si>
    <t>סוג פעילות</t>
  </si>
  <si>
    <t>תיאטרון</t>
  </si>
  <si>
    <t>מחול</t>
  </si>
  <si>
    <t>מוזיאונים</t>
  </si>
  <si>
    <t>מוסיקה-גופים כליים</t>
  </si>
  <si>
    <t>קבוצות תיאטרון</t>
  </si>
  <si>
    <t>מקהלות</t>
  </si>
  <si>
    <t>יוצרים עצמאיים במחול</t>
  </si>
  <si>
    <t>קבוצות מוסיקה</t>
  </si>
  <si>
    <t>סינמטקים ופסטיבלים</t>
  </si>
  <si>
    <t>מועצה לשימור אתרים</t>
  </si>
  <si>
    <t>חללי תצוגה</t>
  </si>
  <si>
    <t>מרכזי פרינג'</t>
  </si>
  <si>
    <t>מרכזי מוסיקה</t>
  </si>
  <si>
    <t>מרכזי מחול</t>
  </si>
  <si>
    <t>ספריות לעוורים</t>
  </si>
  <si>
    <t>חזנות</t>
  </si>
  <si>
    <t>אופרה</t>
  </si>
  <si>
    <t>בתי ספר לבובות</t>
  </si>
  <si>
    <t>בתי ספר למשחק</t>
  </si>
  <si>
    <t>ספרות</t>
  </si>
  <si>
    <t>תרבות בקהילה</t>
  </si>
  <si>
    <t>תרבות חרדית</t>
  </si>
  <si>
    <t>תרבות ערבית</t>
  </si>
  <si>
    <t>סך הכנסות עצמיות בפעילות שקיים המוסד בשנת 2018</t>
  </si>
  <si>
    <t>סך הכנסות אחרות בפעילות שקיים המוסד בשנת 2018</t>
  </si>
  <si>
    <t>תאימות לתנאי סף</t>
  </si>
  <si>
    <t>סך מקורות בפעילות שקיים המוסד בשנת 2018 (₪)</t>
  </si>
  <si>
    <t>פרמטרים לתנאי הסף</t>
  </si>
  <si>
    <t>פרמטרים לתחום תמיכה א'</t>
  </si>
  <si>
    <t>פרמטר לשלב שלישי</t>
  </si>
  <si>
    <t>פרמטר לשלב רביעי</t>
  </si>
  <si>
    <t>סך הוצאות המוסד מהפעילות שקיים בשנת 2018
[C]</t>
  </si>
  <si>
    <r>
      <rPr>
        <b/>
        <u/>
        <sz val="11"/>
        <color theme="1"/>
        <rFont val="Arial"/>
        <family val="2"/>
        <scheme val="minor"/>
      </rPr>
      <t>שלב 3:</t>
    </r>
    <r>
      <rPr>
        <b/>
        <sz val="11"/>
        <color theme="1"/>
        <rFont val="Arial"/>
        <family val="2"/>
        <scheme val="minor"/>
      </rPr>
      <t xml:space="preserve"> 
[D=30%*C*B]</t>
    </r>
  </si>
  <si>
    <r>
      <rPr>
        <b/>
        <u/>
        <sz val="11"/>
        <color theme="1"/>
        <rFont val="Arial"/>
        <family val="2"/>
        <scheme val="minor"/>
      </rPr>
      <t>שלב 4:</t>
    </r>
    <r>
      <rPr>
        <b/>
        <sz val="11"/>
        <color theme="1"/>
        <rFont val="Arial"/>
        <family val="2"/>
        <scheme val="minor"/>
      </rPr>
      <t xml:space="preserve"> 
[E=90/366*D]</t>
    </r>
  </si>
  <si>
    <t>תקציב תמיכה תחום א'</t>
  </si>
  <si>
    <t>תקציב תמיכה תחום ב'</t>
  </si>
  <si>
    <t>תקציב תמיכה תחום ג'</t>
  </si>
  <si>
    <t>סך תקציב תמיכה</t>
  </si>
  <si>
    <r>
      <rPr>
        <b/>
        <u/>
        <sz val="11"/>
        <color theme="1"/>
        <rFont val="Arial"/>
        <family val="2"/>
        <scheme val="minor"/>
      </rPr>
      <t>שלב 6:</t>
    </r>
    <r>
      <rPr>
        <b/>
        <sz val="11"/>
        <color theme="1"/>
        <rFont val="Arial"/>
        <family val="2"/>
        <scheme val="minor"/>
      </rPr>
      <t xml:space="preserve"> 
מכפלת השיעור שנקבע לפעילות בשלב החמישי בתקציב שנקבע לתחום תמיכה זה
[F]</t>
    </r>
  </si>
  <si>
    <t>המוסד צירף אישור על שימור או הגדלה של התמיכה המקומית בתרבות 
(0/1)</t>
  </si>
  <si>
    <t>המוסד צירף אישור על התמיכה המקומית בפעילות נתמכת מסוימת של המוסד
(0/1)</t>
  </si>
  <si>
    <t>סכום תמיכה מקומית בפעילות בשנת 2020 (₪)</t>
  </si>
  <si>
    <t xml:space="preserve">סכום תמיכה מקומית בפעילות בשנת 2019 </t>
  </si>
  <si>
    <t>שיעור הקטנת התמיכה המקומית בפעילות הנתמכת של מוסד הציבור בשנת 2020 לעומת שנת 2019 גדול מ:</t>
  </si>
  <si>
    <t xml:space="preserve">מכפיל סכום הקטנת סך התמיכה שחושב למוסד הציבור בתום שלב החישוב השישי </t>
  </si>
  <si>
    <t>שעור קיטון סכום תמיכה מקומית בשנת 2020 בהשוואה לשנת 2019</t>
  </si>
  <si>
    <t>סכום הקיטון בין התמיכה המקומית בפעילות המוסד בשנת 2020 לעומת שנת 2019</t>
  </si>
  <si>
    <t>סכום הקטנת סך התמיכה שחושב למוסד הציבור בתום שלב החישוב השישי 
[G]</t>
  </si>
  <si>
    <r>
      <rPr>
        <b/>
        <u/>
        <sz val="11"/>
        <color theme="1"/>
        <rFont val="Arial"/>
        <family val="2"/>
        <scheme val="minor"/>
      </rPr>
      <t>שלב 7:</t>
    </r>
    <r>
      <rPr>
        <b/>
        <sz val="11"/>
        <color theme="1"/>
        <rFont val="Arial"/>
        <family val="2"/>
        <scheme val="minor"/>
      </rPr>
      <t xml:space="preserve"> 
סכום תמיכה סופי
[H=F-G]</t>
    </r>
  </si>
  <si>
    <t xml:space="preserve">שעור התמיכה הציבורית ממחזור הכנסות הפעילות בשנת 2018 </t>
  </si>
  <si>
    <t>פרמטרים לתחום תמיכה ב'</t>
  </si>
  <si>
    <t>סך הכנסות עצמיות בפעילות שקיים המוסד בשנת 2018
[A]</t>
  </si>
  <si>
    <r>
      <rPr>
        <b/>
        <u/>
        <sz val="11"/>
        <color theme="1"/>
        <rFont val="Arial"/>
        <family val="2"/>
        <scheme val="minor"/>
      </rPr>
      <t>שלב 1:</t>
    </r>
    <r>
      <rPr>
        <b/>
        <sz val="11"/>
        <color theme="1"/>
        <rFont val="Arial"/>
        <family val="2"/>
        <scheme val="minor"/>
      </rPr>
      <t xml:space="preserve"> 
שעור התמיכה שאינה ציבורית ממחזור הכנסות הפעילות בשנת 2018 
[B]</t>
    </r>
  </si>
  <si>
    <r>
      <rPr>
        <b/>
        <u/>
        <sz val="11"/>
        <color theme="1"/>
        <rFont val="Arial"/>
        <family val="2"/>
        <scheme val="minor"/>
      </rPr>
      <t>שלב 2:</t>
    </r>
    <r>
      <rPr>
        <b/>
        <sz val="11"/>
        <color theme="1"/>
        <rFont val="Arial"/>
        <family val="2"/>
        <scheme val="minor"/>
      </rPr>
      <t xml:space="preserve"> 
מכפלת שעור התמיכה שאינה ציבורית בהכנסות העצמיות של הפעילות בשנת 2018 
[C=B*A]</t>
    </r>
  </si>
  <si>
    <r>
      <rPr>
        <b/>
        <u/>
        <sz val="11"/>
        <color theme="1"/>
        <rFont val="Arial"/>
        <family val="2"/>
        <scheme val="minor"/>
      </rPr>
      <t>שלב 3:</t>
    </r>
    <r>
      <rPr>
        <b/>
        <sz val="11"/>
        <color theme="1"/>
        <rFont val="Arial"/>
        <family val="2"/>
        <scheme val="minor"/>
      </rPr>
      <t xml:space="preserve"> 
[D=0.3*C]</t>
    </r>
  </si>
  <si>
    <r>
      <rPr>
        <b/>
        <u/>
        <sz val="11"/>
        <color theme="1"/>
        <rFont val="Arial"/>
        <family val="2"/>
        <scheme val="minor"/>
      </rPr>
      <t>שלב 5:</t>
    </r>
    <r>
      <rPr>
        <b/>
        <sz val="11"/>
        <color theme="1"/>
        <rFont val="Arial"/>
        <family val="2"/>
        <scheme val="minor"/>
      </rPr>
      <t xml:space="preserve"> 
מכפלת השיעור שנקבע לפעילות בשלב החמישי בתקציב שנקבע לתחום תמיכה זה
[E]</t>
    </r>
  </si>
  <si>
    <r>
      <rPr>
        <b/>
        <u/>
        <sz val="11"/>
        <color theme="1"/>
        <rFont val="Arial"/>
        <family val="2"/>
        <scheme val="minor"/>
      </rPr>
      <t>שלב 5:</t>
    </r>
    <r>
      <rPr>
        <b/>
        <sz val="11"/>
        <color theme="1"/>
        <rFont val="Arial"/>
        <family val="2"/>
        <scheme val="minor"/>
      </rPr>
      <t xml:space="preserve"> 
שעור יחסי 
[Ei/</t>
    </r>
    <r>
      <rPr>
        <b/>
        <sz val="11"/>
        <color theme="1"/>
        <rFont val="Ebrima"/>
      </rPr>
      <t>∑</t>
    </r>
    <r>
      <rPr>
        <b/>
        <vertAlign val="subscript"/>
        <sz val="11"/>
        <color theme="1"/>
        <rFont val="Arial"/>
        <family val="2"/>
        <scheme val="minor"/>
      </rPr>
      <t>Ei</t>
    </r>
    <r>
      <rPr>
        <b/>
        <sz val="11"/>
        <color theme="1"/>
        <rFont val="Arial"/>
        <family val="2"/>
        <scheme val="minor"/>
      </rPr>
      <t xml:space="preserve">]
</t>
    </r>
  </si>
  <si>
    <r>
      <rPr>
        <b/>
        <u/>
        <sz val="11"/>
        <color theme="1"/>
        <rFont val="Arial"/>
        <family val="2"/>
        <scheme val="minor"/>
      </rPr>
      <t>שלב 4:</t>
    </r>
    <r>
      <rPr>
        <b/>
        <sz val="11"/>
        <color theme="1"/>
        <rFont val="Arial"/>
        <family val="2"/>
        <scheme val="minor"/>
      </rPr>
      <t xml:space="preserve"> 
שעור יחסי 
[Di/</t>
    </r>
    <r>
      <rPr>
        <b/>
        <sz val="11"/>
        <color theme="1"/>
        <rFont val="Ebrima"/>
      </rPr>
      <t>∑</t>
    </r>
    <r>
      <rPr>
        <b/>
        <vertAlign val="subscript"/>
        <sz val="11"/>
        <color theme="1"/>
        <rFont val="Arial"/>
        <family val="2"/>
        <scheme val="minor"/>
      </rPr>
      <t>Di</t>
    </r>
    <r>
      <rPr>
        <b/>
        <sz val="11"/>
        <color theme="1"/>
        <rFont val="Arial"/>
        <family val="2"/>
        <scheme val="minor"/>
      </rPr>
      <t xml:space="preserve">]
</t>
    </r>
  </si>
  <si>
    <t>נדרש להזין נתונים בגיליונות בתאים המסומנים בצבע צהוב</t>
  </si>
  <si>
    <t>פרמטרים לתחום תמיכה ג'</t>
  </si>
  <si>
    <t>מכפיל השתתפות המשרד בגין הגדלת סיוע הרשות המקומית</t>
  </si>
  <si>
    <t>לרשות קיים אישור על שימור או הגדלה של התמיכה המקומית בתרבות בשנת 2020 בהשוואה לשנת 2019</t>
  </si>
  <si>
    <t>המוסד צירף אישור על שימור או הגדלה של התמיכה המקומית בתרבות בשנת 2020 בהשוואה לשנת 2019</t>
  </si>
  <si>
    <t>המוסד צירף אישור על התמיכה המקומית בפעילות נתמכת מסוימת של המוסד בשנת 2020 בהשוואה לשנת 2019</t>
  </si>
  <si>
    <t>סך התמיכה בשנת 2019</t>
  </si>
  <si>
    <t>סך התמיכה בשנת 2020</t>
  </si>
  <si>
    <t>סך תוספת תמיכה של הרשות בשנת 2020</t>
  </si>
  <si>
    <t>סך תמיכה נוספת של הרשות</t>
  </si>
  <si>
    <t>סך תמיכה נוספת למוסד</t>
  </si>
  <si>
    <t>סך תמיכה נוספת של משרד התרבות והספורט בגין תמיכת הרשות</t>
  </si>
  <si>
    <t>שעור יחסי</t>
  </si>
  <si>
    <t>סך תמיכה נוספת למוסד לאחר מגבלת תקציב</t>
  </si>
  <si>
    <r>
      <rPr>
        <b/>
        <u/>
        <sz val="11"/>
        <color theme="1"/>
        <rFont val="Arial"/>
        <family val="2"/>
        <scheme val="minor"/>
      </rPr>
      <t>שלב 7:</t>
    </r>
    <r>
      <rPr>
        <b/>
        <sz val="11"/>
        <color theme="1"/>
        <rFont val="Arial"/>
        <family val="2"/>
        <scheme val="minor"/>
      </rPr>
      <t xml:space="preserve"> 
סכום תמיכה סופי </t>
    </r>
    <r>
      <rPr>
        <b/>
        <u/>
        <sz val="11"/>
        <color theme="1"/>
        <rFont val="Arial"/>
        <family val="2"/>
        <scheme val="minor"/>
      </rPr>
      <t>לאחר</t>
    </r>
    <r>
      <rPr>
        <b/>
        <sz val="11"/>
        <color theme="1"/>
        <rFont val="Arial"/>
        <family val="2"/>
        <scheme val="minor"/>
      </rPr>
      <t xml:space="preserve"> יתרות שלב ג'
</t>
    </r>
  </si>
  <si>
    <t>יתרת תקציב לחלוקה מתחום תמיכה ג'</t>
  </si>
  <si>
    <t>סך תחום תמיכה א'</t>
  </si>
  <si>
    <t>סך תחום תמיכה ב' לפני יתרות תמיכה ג'</t>
  </si>
  <si>
    <t>סך תחום תמיכה ג'</t>
  </si>
  <si>
    <t>סך תחום תמיכה ב' לאחר יתרות תמיכה ג'</t>
  </si>
  <si>
    <t>סך חלוקת יתרות תמיכה ג'</t>
  </si>
  <si>
    <t>סך הוצאות המוסד מהפעילות שקיים בשנת 2018 (בש"ח)</t>
  </si>
  <si>
    <t>שיעור תמיכת הרשות המקומית בפעילות בשנת 2019</t>
  </si>
  <si>
    <t xml:space="preserve">סך הוצאות המוסד מהפעילות שקיים בשנת 2019
</t>
  </si>
  <si>
    <t>פרמטר לשלב שביעי - שעור מינימלי של תמיכת הרשות</t>
  </si>
  <si>
    <t>פרמטרים לתחום תמיכה א'-שלב שביעי</t>
  </si>
  <si>
    <t xml:space="preserve">מכפיל סכום הקטנת סך התמיכה שחושב למוסד הציבור בתום שלב החישוב החמישי </t>
  </si>
  <si>
    <t>דוח מסכם לוועדת תמיכות - פיצוי קורונה</t>
  </si>
  <si>
    <t>מודל פיצוי קורונה</t>
  </si>
  <si>
    <t>בגיליון הזנה לסיווג רשויות יש להזין רק במידה וחל שינוי ברשות (רשות חדשה, סמל רשות, מספר מרכבה)</t>
  </si>
  <si>
    <t>בגיליון עזר לתחום תמיכה ג' יש להזין רק לרשויות שהגישו אישור על שימור או הגדלה של התמיכה המקומית בתרבות</t>
  </si>
  <si>
    <t>11 א'</t>
  </si>
  <si>
    <t>11 ב'</t>
  </si>
  <si>
    <t>11 ג'</t>
  </si>
  <si>
    <t>שעור המוסד בתמיכה הנוספת של הרשות</t>
  </si>
  <si>
    <t>6 ד'</t>
  </si>
  <si>
    <t>6 א'</t>
  </si>
  <si>
    <t>6 ב'</t>
  </si>
  <si>
    <t>6 ג'</t>
  </si>
  <si>
    <t>6 ה'</t>
  </si>
  <si>
    <t>שעור מינימלי של ההכנסות העצמית של המוסד לפעילות בעדה מבוקש הסיוע המיוחד מכלל הכנסות המוסד מהפעילות בעדה מבוקש הסיוע המיוחד</t>
  </si>
  <si>
    <t>6 ו'</t>
  </si>
  <si>
    <t>שיעור מינימלי של ההכנסות למוסד מתחום המוזיאונים המוכרים</t>
  </si>
  <si>
    <t>שיעור ההכנסות מכרטיסים, מכירת מופעים או מנויים מהפעילות בעדה מבוקש הסיוע המיוחד עולה על 20% מכלל הכנסות המוסד מהפעילות בעדה מבוקש הסיוע המיוחד ב-2018 (15% למוזיאונים)</t>
  </si>
  <si>
    <t>6 ח'</t>
  </si>
  <si>
    <t>6 ט'</t>
  </si>
  <si>
    <t>6 ה', 6 י'</t>
  </si>
  <si>
    <r>
      <rPr>
        <b/>
        <u/>
        <sz val="11"/>
        <color theme="1"/>
        <rFont val="Arial"/>
        <family val="2"/>
        <scheme val="minor"/>
      </rPr>
      <t>שלב 1:</t>
    </r>
    <r>
      <rPr>
        <b/>
        <sz val="11"/>
        <color theme="1"/>
        <rFont val="Arial"/>
        <family val="2"/>
        <scheme val="minor"/>
      </rPr>
      <t xml:space="preserve"> 
שעור התמיכה הציבורית ממחזור הכנסות הפעילות בשנת 2018 [A]
[A]</t>
    </r>
  </si>
  <si>
    <r>
      <rPr>
        <b/>
        <u/>
        <sz val="11"/>
        <color theme="1"/>
        <rFont val="Arial"/>
        <family val="2"/>
        <scheme val="minor"/>
      </rPr>
      <t>שלב 2:</t>
    </r>
    <r>
      <rPr>
        <b/>
        <sz val="11"/>
        <color theme="1"/>
        <rFont val="Arial"/>
        <family val="2"/>
        <scheme val="minor"/>
      </rPr>
      <t xml:space="preserve"> 
שעור התמיכה שאינה ציבורית ממחזור הכנסות הפעילות בשנת 2018 [B=1-A]
[B=1-A]</t>
    </r>
  </si>
  <si>
    <t>9 (1)</t>
  </si>
  <si>
    <t>9 (2)</t>
  </si>
  <si>
    <t>9 (3)</t>
  </si>
  <si>
    <t>9 (4)</t>
  </si>
  <si>
    <t>9 (5)</t>
  </si>
  <si>
    <r>
      <t xml:space="preserve">שעור יחסי 
</t>
    </r>
    <r>
      <rPr>
        <b/>
        <sz val="11"/>
        <color theme="1"/>
        <rFont val="Arial"/>
        <family val="2"/>
        <scheme val="minor"/>
      </rPr>
      <t xml:space="preserve">
</t>
    </r>
  </si>
  <si>
    <t>4 ג'</t>
  </si>
  <si>
    <t>סך תמיכה ציבורית בפעילות שקיים המוסד בשנת 2018 בניכוי מקורות שיועדו לפיתוח בשנת 2018</t>
  </si>
  <si>
    <t>סך תמיכה עודפת להעברה לשנה הבאה</t>
  </si>
  <si>
    <t>מנהלת מוניציפלית חברון</t>
  </si>
  <si>
    <t>בנימינה-גבעת עדה*</t>
  </si>
  <si>
    <t>מודיעין-מכבים-רעות*</t>
  </si>
  <si>
    <t>סביון*</t>
  </si>
  <si>
    <t>עמק לוד - שדות דן</t>
  </si>
  <si>
    <t>תל אביב -יפו</t>
  </si>
  <si>
    <t xml:space="preserve">מוסד יהא זכאי לתמיכה בתחום זה אם במהלך התקופה של חודשיים וחצי החל מהמועד הקובע עובדים בו 70% לפחות ממספר העובדים שעבדו בו בתאריך 1 במרץ 2020 </t>
  </si>
  <si>
    <t>מספר סעיף במבחן התמיכה</t>
  </si>
  <si>
    <t>המוסד והבקשה לתמיכה עומדים בתנאים לקבלת תמיכה לפי נוהל התמיכות הכללי</t>
  </si>
  <si>
    <t>המוסד והבקשה עומדים בתנאים לקבלת תמיכה לפי המבחנים העיקריים שעל פיהם הוא מבקש תמיכה; המוסד מסר במועד, באופן מלא ותקין, את כל המידע והנתונים לצורך בחינת בקשה לקבל תמיכה</t>
  </si>
  <si>
    <t>לבקשתו לקבל תמיכה על פי מבחנים אלה צורפה התחייבות של המוסד, שלפיה הוא מתחייב להפחית את הסכום שהוא מוציא בגין הוצאות הנהלה וכלליות בשנת 2020 בשיעור של 10% מהסכום שהוציא בשנת 2019, אך זאת בשיעור שיקבע באופן יחסי  לתקופה שמיום חתימת מבחן זה ועד תאריך 31.12.2020</t>
  </si>
  <si>
    <t>המוסד צירף הצהרה כי במהלך התקופה שבין 20 לאוקטובר 2020 ועד 31 לדצמבר 2020 יעבדו בגוף 70% לפחות ממספר העובדים שעבדו בו ביום 1 במרץ 2020 או ניתן אישור ועדה מיוחד</t>
  </si>
  <si>
    <t>הערות לתנאי סף</t>
  </si>
  <si>
    <t>הערות אחרות</t>
  </si>
  <si>
    <t>סכום הקטנת סך התמיכה שחושב למוסד הציבור בתום שלב החישוב החמישי 
[F]</t>
  </si>
  <si>
    <r>
      <rPr>
        <b/>
        <u/>
        <sz val="11"/>
        <color theme="1"/>
        <rFont val="Arial"/>
        <family val="2"/>
        <scheme val="minor"/>
      </rPr>
      <t>שלב 6:</t>
    </r>
    <r>
      <rPr>
        <b/>
        <sz val="11"/>
        <color theme="1"/>
        <rFont val="Arial"/>
        <family val="2"/>
        <scheme val="minor"/>
      </rPr>
      <t xml:space="preserve"> 
סכום תמיכה </t>
    </r>
    <r>
      <rPr>
        <b/>
        <u/>
        <sz val="11"/>
        <color theme="1"/>
        <rFont val="Arial"/>
        <family val="2"/>
        <scheme val="minor"/>
      </rPr>
      <t>לפני</t>
    </r>
    <r>
      <rPr>
        <b/>
        <sz val="11"/>
        <color theme="1"/>
        <rFont val="Arial"/>
        <family val="2"/>
        <scheme val="minor"/>
      </rPr>
      <t xml:space="preserve"> יתרות שלב ג'
[G=E-F]</t>
    </r>
  </si>
  <si>
    <r>
      <t>שעור יחסי 
[H=Gi/</t>
    </r>
    <r>
      <rPr>
        <b/>
        <sz val="11"/>
        <color theme="1"/>
        <rFont val="Ebrima"/>
      </rPr>
      <t>∑</t>
    </r>
    <r>
      <rPr>
        <b/>
        <vertAlign val="subscript"/>
        <sz val="11"/>
        <color theme="1"/>
        <rFont val="Arial"/>
        <family val="2"/>
        <scheme val="minor"/>
      </rPr>
      <t>Gi</t>
    </r>
    <r>
      <rPr>
        <b/>
        <sz val="11"/>
        <color theme="1"/>
        <rFont val="Arial"/>
        <family val="2"/>
        <scheme val="minor"/>
      </rPr>
      <t xml:space="preserve">]
</t>
    </r>
  </si>
  <si>
    <t>סך תמיכות למוסד לפי מודל תמיכות</t>
  </si>
  <si>
    <t>סך סכום מבוקש על ידי המוסד</t>
  </si>
  <si>
    <t>הערות 2</t>
  </si>
  <si>
    <t>הערות 1</t>
  </si>
  <si>
    <t>סכום מבוקש על ידי המוסד</t>
  </si>
  <si>
    <t>המוסד צירף דוחות כספיים מבוקרים לשנת 2018 ואישור מטעם רואה החשבון של המוסד אודות מידע פיננסי הנוגע לפעילות המבקשת בשנה 2018, לפי הוראת ועדת התמיכות במינהל תרבות</t>
  </si>
  <si>
    <t>מספר בקשה חדשה</t>
  </si>
  <si>
    <t>מספר בקשה המקורית ל-2020</t>
  </si>
  <si>
    <t>מספר מרכבה-רשות</t>
  </si>
  <si>
    <t>מספר מרכבה - ספק</t>
  </si>
  <si>
    <t>סכום מקסימלי מבוקש על ידי המוסד</t>
  </si>
  <si>
    <t xml:space="preserve">סכום מקסימלי מבוקש על ידי המוסד </t>
  </si>
  <si>
    <t>סכום מקסימלי מאושר (עד 90% מההוצאה)</t>
  </si>
  <si>
    <t>מס' מרכבה - רשות</t>
  </si>
  <si>
    <t>מספר מרכבה - רשות</t>
  </si>
  <si>
    <t>יש לבצע הזנות בגיליונות הזנה לתנאי סף, תחום תמיכה א', גיליון עזר לתחום תמיכה ג' ובסיכום לוועדה</t>
  </si>
  <si>
    <t>מגיליון "הזנה לסיווג רשות"</t>
  </si>
  <si>
    <t>מגיליון עבודה</t>
  </si>
  <si>
    <t>k002, k005</t>
  </si>
  <si>
    <t>גילון עבודה אם כל המסמכים אושרו</t>
  </si>
  <si>
    <t>k003</t>
  </si>
  <si>
    <t>k005</t>
  </si>
  <si>
    <t>k002</t>
  </si>
  <si>
    <t>k001</t>
  </si>
  <si>
    <t>ממרכבה/גיליון בקשות מצטבר 2020 עמודה S</t>
  </si>
  <si>
    <t>להזין 0</t>
  </si>
  <si>
    <t>הפער בין k002 סך הכנסות לפעילות לבין עמודה L</t>
  </si>
  <si>
    <t>חייב להיות תואם לk002 מחזור הכנסות</t>
  </si>
  <si>
    <t>בדיקה שאין כפל דיווח בקשה</t>
  </si>
  <si>
    <t>תיאטרון ירושלים לאומנויות הבמה</t>
  </si>
  <si>
    <t>בית עגנון בירושלים</t>
  </si>
  <si>
    <t>עמותת הסינפונייטה הישראלית באר שבע</t>
  </si>
  <si>
    <t>בית צבי ביה"ס לאומנויות הבמה</t>
  </si>
  <si>
    <t>מוזיאון חצר ראשונים עין שמר</t>
  </si>
  <si>
    <t>תיאטרון אורנה פורת לילדים</t>
  </si>
  <si>
    <t>משכן לאמנות עין חרוד ע"ש חיים אתר בע"מ</t>
  </si>
  <si>
    <t>מוזיאון ת"א לאומנות</t>
  </si>
  <si>
    <t>הורה ירושלים</t>
  </si>
  <si>
    <t>מוזיאון יד מרדכי</t>
  </si>
  <si>
    <t>בית יגאל אלון</t>
  </si>
  <si>
    <t>הקם בע"מ</t>
  </si>
  <si>
    <t>בית גפן - מרכז תרבות ערבי יהודי</t>
  </si>
  <si>
    <t>מוזיאון ישראל</t>
  </si>
  <si>
    <t>מוזיאון עתיקות הגולן</t>
  </si>
  <si>
    <t>האופרה הישראלית ת"א</t>
  </si>
  <si>
    <t>תיאטרון תמונע</t>
  </si>
  <si>
    <t>אנחנו כאן אגודה לתרבות פולקלור</t>
  </si>
  <si>
    <t>להקת המחול בת שבע</t>
  </si>
  <si>
    <t>היכל התרבות נתניה</t>
  </si>
  <si>
    <t>התזמורת הקאמרית הישראלית</t>
  </si>
  <si>
    <t>תיאטרון הנפש</t>
  </si>
  <si>
    <t>תיאטרון הקרון</t>
  </si>
  <si>
    <t>מוזיאון חצר הישוב הישן</t>
  </si>
  <si>
    <t>הבלט הישראלי</t>
  </si>
  <si>
    <t>סינמטק</t>
  </si>
  <si>
    <t>רננות</t>
  </si>
  <si>
    <t>בית לוחמי הגטאות</t>
  </si>
  <si>
    <t>מרכז סוזן דלל</t>
  </si>
  <si>
    <t>אחר</t>
  </si>
  <si>
    <t>מוזיאוני חיפה</t>
  </si>
  <si>
    <t>תיאטרון יפו</t>
  </si>
  <si>
    <t>אגודת שוחרי מוזאון האדם והחי</t>
  </si>
  <si>
    <t>מוזיאון העמק</t>
  </si>
  <si>
    <t>מרכז קהילתי בכפר סבא ע"ש שושנה ופנחס ספיר</t>
  </si>
  <si>
    <t>קשת איילון</t>
  </si>
  <si>
    <t>ג'בינה- לקידום התיאטרון הערבי</t>
  </si>
  <si>
    <t>החברה העירונית לתרבות ופנאי אשדוד</t>
  </si>
  <si>
    <t>בית אהרונסון, מוזיאון נילי</t>
  </si>
  <si>
    <t>מכון בר דוד לאמנות</t>
  </si>
  <si>
    <t>מדעטק- המוזיאון הלאומי למדע</t>
  </si>
  <si>
    <t>מוזיאון המדע ע"ש בלומפילד ירושלים</t>
  </si>
  <si>
    <t>החברה לפיתוח תיאטרון מוזיקה אומנות ומחול חולון</t>
  </si>
  <si>
    <t>תיאטרון באר שבע</t>
  </si>
  <si>
    <t>הקאמרטה הישראלית ירושלים</t>
  </si>
  <si>
    <t>מוזיאון ארץ ישראל ת"א</t>
  </si>
  <si>
    <t>המקהלה הקאמרית תל אביב</t>
  </si>
  <si>
    <t>מרכז תרבות מצפה רמון</t>
  </si>
  <si>
    <t>מוזיאון ינקו דאדא עין הוד</t>
  </si>
  <si>
    <t>בית האומנות לחינוך ולתרבות - תרשיחא</t>
  </si>
  <si>
    <t>מכון רימון לידיעת הארץ</t>
  </si>
  <si>
    <t xml:space="preserve">תזמורת הבארוק ירושלים </t>
  </si>
  <si>
    <t>מרכז התנועה שדרות אדמה (ע''ר)</t>
  </si>
  <si>
    <t>נוה הבדואים</t>
  </si>
  <si>
    <t>מרכז תרבות והנצחה</t>
  </si>
  <si>
    <t>סינמטק ירושלים</t>
  </si>
  <si>
    <t>תיאטרון בית ליסין</t>
  </si>
  <si>
    <t>עמותת מקהלות מורן והבית לשירה בישרא</t>
  </si>
  <si>
    <t>עמותת התזמורת הסימפונית ראשון לציון</t>
  </si>
  <si>
    <t>אלערביא לתרבות ואמנות</t>
  </si>
  <si>
    <t>בית חיים שטורמן - מוזיאון ומכון ליד</t>
  </si>
  <si>
    <t>סינמטק שדרות</t>
  </si>
  <si>
    <t>בית המאירי</t>
  </si>
  <si>
    <t>התזמורת הסימפונית ירושלים</t>
  </si>
  <si>
    <t>אנסמבל סולני ת"א</t>
  </si>
  <si>
    <t>אורתו-דה</t>
  </si>
  <si>
    <t>העמותה לקידום תרבות הפלמנקו בישראל</t>
  </si>
  <si>
    <t>מרכז פליציה בלומנטל למוזיקה</t>
  </si>
  <si>
    <t>תיאטרון היידישפיל</t>
  </si>
  <si>
    <t>תיאטרון "מלנקי"</t>
  </si>
  <si>
    <t>מכון דוידסון לחינוך מדעי</t>
  </si>
  <si>
    <t>תל-חי כיתות אומן בינ"ל לפסנתר</t>
  </si>
  <si>
    <t>המרכז למוסיקה ירושלים</t>
  </si>
  <si>
    <t>תאטרון "פסיק" ירושלים</t>
  </si>
  <si>
    <t>עמותת האומנים לקידום תיאטרון מגד אל כרום</t>
  </si>
  <si>
    <t>אמנות למען השלום</t>
  </si>
  <si>
    <t>המזגגה</t>
  </si>
  <si>
    <t>המרכז לתיאטרון של עכו</t>
  </si>
  <si>
    <t>בת-דור באר-שבע - מרכז עירוני לאמנות</t>
  </si>
  <si>
    <t>צוללת צהובה - המקום למוסיקה בירושלים</t>
  </si>
  <si>
    <t>תאטרון מחול אבשלום פולק</t>
  </si>
  <si>
    <t>מוזיאון נחום גוטמן</t>
  </si>
  <si>
    <t>אלאג'יאל טמרה (ע"ר)</t>
  </si>
  <si>
    <t>איסמבל קולות נשים</t>
  </si>
  <si>
    <t>תיאטרון מחול ענבל</t>
  </si>
  <si>
    <t>נא לגעת</t>
  </si>
  <si>
    <t>קרן אהבת קדומים תזמורת י-ם</t>
  </si>
  <si>
    <t>אביבים</t>
  </si>
  <si>
    <t>סיראג'</t>
  </si>
  <si>
    <t>נצרת עלא אלעהד</t>
  </si>
  <si>
    <t>אלמז אמנות בישראל</t>
  </si>
  <si>
    <t>בארוקדה</t>
  </si>
  <si>
    <t>תמיד - תרבות מוסיקלית יהודית</t>
  </si>
  <si>
    <t>אל אסדי</t>
  </si>
  <si>
    <t>גלרית תיאטרון החנות</t>
  </si>
  <si>
    <t>קידום נתיב אמן</t>
  </si>
  <si>
    <t>תיאטרון אלמג'ד</t>
  </si>
  <si>
    <t>להקת מחול ביסאן</t>
  </si>
  <si>
    <t>התאטרון העברי - עמותה לטיפוח תרבות עברית</t>
  </si>
  <si>
    <t>עמותת רננה רז</t>
  </si>
  <si>
    <t>בלט ירושלים</t>
  </si>
  <si>
    <t>מכון הברמן למחקרי ספרות</t>
  </si>
  <si>
    <t>תזמורת נתניה הקאמרית הקיבוצית</t>
  </si>
  <si>
    <t>עמותה למחול ואמניות ניב שינפלד</t>
  </si>
  <si>
    <t>תאטרון מחול יוסי ברג ועודד גרף</t>
  </si>
  <si>
    <t>מרכז על-קלעה לאומנויות הבמה</t>
  </si>
  <si>
    <t>פלטפורמא - תיאטרון אקטיביסטי</t>
  </si>
  <si>
    <t>גליא</t>
  </si>
  <si>
    <t>אלמינא - בית ליוצרים</t>
  </si>
  <si>
    <t>מוזיאון יהדות איטליה</t>
  </si>
  <si>
    <t>תאטרון השחר</t>
  </si>
  <si>
    <t>פלמנרו נטורל</t>
  </si>
  <si>
    <t>אג'יאל דיר אל אסד</t>
  </si>
  <si>
    <t>אלמדינה לתרבות ואומנות</t>
  </si>
  <si>
    <t>גולן הייטז ארטיסטיק פרודקשין</t>
  </si>
  <si>
    <t>כנארי עמותה לקידום המוסיקה והשירה</t>
  </si>
  <si>
    <t>סינמטק ראש פינה (ע"ר)</t>
  </si>
  <si>
    <t>להקת המחול הקיבוצית (ע"ר)</t>
  </si>
  <si>
    <t>סדנאות האמנים</t>
  </si>
  <si>
    <t>ארגון אמנים משמחי לב (ע"ר)</t>
  </si>
  <si>
    <t>תיאטרון הפרינג' באר שבע (ע"ר)</t>
  </si>
  <si>
    <t>קהילות שרות פיוט וניגון (ע"ר)</t>
  </si>
  <si>
    <t>המקהלה הישראלית ע"ש גארי ברתיני (ע"</t>
  </si>
  <si>
    <t>תיאטרון הקיבוץ (ע"ר)</t>
  </si>
  <si>
    <t>אלחנין נצרת (ע"ר)</t>
  </si>
  <si>
    <t>אדם יוצר - טיפוח הביטוי האמנותי (ע"</t>
  </si>
  <si>
    <t>חברת בית יציב ב.ש בע"מ - חברה לתועל</t>
  </si>
  <si>
    <t>עמותת כליזמרים - כיתת אומן בצפת (ע"</t>
  </si>
  <si>
    <t>תזמורת המהפכה (ע"ר)</t>
  </si>
  <si>
    <t>להקת קולבן דאנס</t>
  </si>
  <si>
    <t>אלמיאדין תאטרון א.א. פחם</t>
  </si>
  <si>
    <t>שיא - עמותה לפיתוח התרבות והאומנות</t>
  </si>
  <si>
    <t>החוג לאופרה קלה בנגב</t>
  </si>
  <si>
    <t>אספקלריה</t>
  </si>
  <si>
    <t>האיל המרקד</t>
  </si>
  <si>
    <t>במת חוצות</t>
  </si>
  <si>
    <t>להקת יסמין גודר</t>
  </si>
  <si>
    <t>זמרי קולגיום</t>
  </si>
  <si>
    <t>תיאטרון אנסמבל פרינג' נצרת</t>
  </si>
  <si>
    <t>"ביאת" למוסיקה ושירה (ע"ר)</t>
  </si>
  <si>
    <t>התאחדות מוסיקאים ואמנים ערבים</t>
  </si>
  <si>
    <t>העמותה לקידום סרטי תרבות ואמנות (ע"</t>
  </si>
  <si>
    <t>כלים גוף לעבודה כוריאוגרפית</t>
  </si>
  <si>
    <t>סרד לחינוך ספרותי</t>
  </si>
  <si>
    <t>אלכרואן</t>
  </si>
  <si>
    <t>מרכז החאן</t>
  </si>
  <si>
    <t>אבדאע - עמותה לקידום האמנויות במגזר</t>
  </si>
  <si>
    <t>נהר אפרסמון</t>
  </si>
  <si>
    <t>אורפיאוס</t>
  </si>
  <si>
    <t>מוזיאון בית מרים</t>
  </si>
  <si>
    <t>וילפריד ישראל לאמנות וידיעת המזרח בע"מ</t>
  </si>
  <si>
    <t>המרכז לתאטרון לוד</t>
  </si>
  <si>
    <t>א.מ.א. - אומנות מקורית אלטרנטיבית</t>
  </si>
  <si>
    <t>האגודה הנצרתית לאומנות</t>
  </si>
  <si>
    <t>העמותה לקידום התיאטרון בבית שאן</t>
  </si>
  <si>
    <t>עמותת אלפאראבי המוסיקלית כפר קנא</t>
  </si>
  <si>
    <t>מעבדתרבות דימונה</t>
  </si>
  <si>
    <t>עמותת אנג'אם לקודום המוסיקה</t>
  </si>
  <si>
    <t>עוד זיריאב</t>
  </si>
  <si>
    <t>חיבה - התנועה למורשת ישראל (ע"ר)</t>
  </si>
  <si>
    <t>באב אל חארה- התיאטרון הכפרי לתרבות</t>
  </si>
  <si>
    <t>להקת הפלמנקו רמנגאר בע"מ חברה לתועל</t>
  </si>
  <si>
    <t>בית 9 - בית ספר ובית יוצר לתיאטרון</t>
  </si>
  <si>
    <t>התיאטרון הלאומי הבימה בע"מ(חל"צ)</t>
  </si>
  <si>
    <t>סאנאם (ע"ר)</t>
  </si>
  <si>
    <t>תיאטרון נקודה טובה (ע"ר)</t>
  </si>
  <si>
    <t>עלילה מקומית, עמותה רשומה</t>
  </si>
  <si>
    <t>עמותת תיאטרון קומקום (ע"ר)</t>
  </si>
  <si>
    <t>כביש אחד (ע"ר)</t>
  </si>
  <si>
    <t>לוגוס לתרבויות ומורשת עמים (ע"ר)</t>
  </si>
  <si>
    <t>העמותה ליצירה פנטסטית וספקולטיבית ב</t>
  </si>
  <si>
    <t>התיאטרון החברתי משו משו (ע"ר)</t>
  </si>
  <si>
    <t>תיאטרון אלעין (ע"ר)</t>
  </si>
  <si>
    <t>להקת המחול פרסקו (ע"ר)</t>
  </si>
  <si>
    <t>אלעד - תיאטרון אילת והערבה (ע''ר)</t>
  </si>
  <si>
    <t>עמותת תיאטרון גלבוע</t>
  </si>
  <si>
    <t>מוזיאון האדם הקדמון</t>
  </si>
  <si>
    <t>התזמורת הפילהרמונית הישראלית</t>
  </si>
  <si>
    <t>מגדל דוד- מוזיאון לתולדות י-ם</t>
  </si>
  <si>
    <t>מרכז עדן תמיר למוסיקה</t>
  </si>
  <si>
    <t>"קתרין" לקידום המוסיקה, מחול ואומנו</t>
  </si>
  <si>
    <t>מוזיקה פורטת גבולות</t>
  </si>
  <si>
    <t>עמותת אמנים יוצרים בישראל</t>
  </si>
  <si>
    <t>תיאטרון הגליל הקהילתי</t>
  </si>
  <si>
    <t>מחול שלם - בית עכשווי למחול (ע"ר)</t>
  </si>
  <si>
    <t>עמותת הבית למחול</t>
  </si>
  <si>
    <t>אתו"ס - החברה לאומנות תרבות וספורט</t>
  </si>
  <si>
    <t>תיאטרון עירוני חיפה בע"מ (חל"צ)</t>
  </si>
  <si>
    <t>צוותא לתרבות מתקדמת בע"מ (חל"צ)</t>
  </si>
  <si>
    <t>פסטיבל ישראל ירושלים</t>
  </si>
  <si>
    <t>פסטיבל ישראל, ירושלים (ע"ר)</t>
  </si>
  <si>
    <t>תיאטרון "גשר"</t>
  </si>
  <si>
    <t>עמותת תזמורת סימפונט רעננה</t>
  </si>
  <si>
    <t>פרויקטים במחול - שליד תיאטרון מחול</t>
  </si>
  <si>
    <t>אנסמבל עתים</t>
  </si>
  <si>
    <t>מקשב</t>
  </si>
  <si>
    <t>עמותת הכוריאוגרפים (ע"ר)</t>
  </si>
  <si>
    <t>תיאטרון ארצי לילדים ונוער (ע"ר)</t>
  </si>
  <si>
    <t>האנסמבל הקולי הישראלי (1995) (ע"ר)</t>
  </si>
  <si>
    <t>תיאטרון השעה הישראלי (ע"ר)</t>
  </si>
  <si>
    <t>''קשת אמנויות'' (ע''ר)</t>
  </si>
  <si>
    <t>תזמורת יד-חריף (ע"ר)</t>
  </si>
  <si>
    <t>תיאטרון "אלסראיא" הערבי - יפו (ע"ר)</t>
  </si>
  <si>
    <t>אלג'ואל אלבלדי (ע"ר)</t>
  </si>
  <si>
    <t>תיאטרון מחול קליפה (ע"ר)</t>
  </si>
  <si>
    <t>עמותת ורטיגו למחול - ירושלים (ע"ר)</t>
  </si>
  <si>
    <t>דוקאביב - העמותה לקידום הסרט הדוקומ</t>
  </si>
  <si>
    <t>מועצה לשימור אתרי מורשת בישראל (ע"ר</t>
  </si>
  <si>
    <t>הזירה הבין-תחומית (ע"ר)</t>
  </si>
  <si>
    <t>מקהלת אורטוריו ירושלים (ע"ר)</t>
  </si>
  <si>
    <t>בר-קיימא לתרבות, אמנות, מוסיקה ושלו</t>
  </si>
  <si>
    <t>סינמה דרמה (ע"ר)</t>
  </si>
  <si>
    <t>תיאטרון האינקובטור (ע"ר)</t>
  </si>
  <si>
    <t>הערת שוליים (ע"ר)</t>
  </si>
  <si>
    <t>בין שמיים לארץ (ע"ר)</t>
  </si>
  <si>
    <t>תיאטרון לילדים ולנוער באר - שבע (ע"</t>
  </si>
  <si>
    <t>עמותת אלמאוכב נצרת (ע"ר)</t>
  </si>
  <si>
    <t>אלמדאין גרוב - מג'ד אלכרום (ע"ר)</t>
  </si>
  <si>
    <t>עמותת אדים למוסיקה אומנות ותרבות (ע</t>
  </si>
  <si>
    <t>העמותה לקונטאקט אימפרוביזציה בישראל</t>
  </si>
  <si>
    <t>להקת מחול רועי אסף (ע"ר)</t>
  </si>
  <si>
    <t>ק.ט.מ.ו.ן - קבוצת מחול בירושלים (ע'</t>
  </si>
  <si>
    <t>סול (ע''ר)</t>
  </si>
  <si>
    <t>האורקסטרה - תזמורת הג'אז הישראלית (</t>
  </si>
  <si>
    <t>"קבוצת עבודה" - עמותה ליצירה וקידום</t>
  </si>
  <si>
    <t>מרכז ישראלי למקהלות ולחבורות זמר (ע</t>
  </si>
  <si>
    <t>התיאטרון הקאמרי של תל אביב</t>
  </si>
  <si>
    <t>תזמורת הביג בנד</t>
  </si>
  <si>
    <t>לא עברו בגלל שלא עדכנו רשות מקומית</t>
  </si>
  <si>
    <t>יוזמה למחזאים</t>
  </si>
  <si>
    <t>הכנסות עצמיות 16.9%</t>
  </si>
  <si>
    <t>תזמורת שוטף</t>
  </si>
  <si>
    <t>10/11/2020 נשלח להשלמת חווד</t>
  </si>
  <si>
    <t>הקטנתי הכנסות ציבוריות ב-355 שח כדי להגיע לאיזון בהכנסות</t>
  </si>
  <si>
    <t>שוטפת באנסמבל</t>
  </si>
  <si>
    <t>הכנסות עצמיות 23.2%</t>
  </si>
  <si>
    <t>תזמורת</t>
  </si>
  <si>
    <t>הישוב לפי גיידסטאר צרעה נמצא במטה יהודה</t>
  </si>
  <si>
    <t xml:space="preserve">הוספתי לסהכ הכנסות 23000 פער בין ציבורי+עצמי </t>
  </si>
  <si>
    <t>מוסיקה</t>
  </si>
  <si>
    <t>גלריה ברבור</t>
  </si>
  <si>
    <t>תזמורת הרחוב הירושלמית</t>
  </si>
  <si>
    <t>ליריק - אופרה</t>
  </si>
  <si>
    <t>11/11/2020 עודכן הכנסות מכרטיסים כך שזה רק עבור מכירת כרטיסים ובלי דמי השתתפות בכיתות אומן</t>
  </si>
  <si>
    <t>מזקקה</t>
  </si>
  <si>
    <t>צרפו אישור עיריה אבל לא נתמכו בשנת 2019 וכן נתמכו בשנת 2020 לכן סימתי רק דיווח ספציפי</t>
  </si>
  <si>
    <t>פסטיבל זיקוק</t>
  </si>
  <si>
    <t>צרפו אישור עיריה אבל לא נתמכו בשנת 2019  לכן סימתי רק דיווח ספציפי</t>
  </si>
  <si>
    <t>פרויקט מוסיקה</t>
  </si>
  <si>
    <t>מוסיקה שוטף</t>
  </si>
  <si>
    <t>שוטף</t>
  </si>
  <si>
    <t>הכנסות ציבוריות 109358. לא נתמך מרשות מקומית. הוצאות 2018 488292</t>
  </si>
  <si>
    <t>הגיש אישור עיריה אבל לא נתמך בשנת 2019</t>
  </si>
  <si>
    <t>פעילות ווקאלואיסטי</t>
  </si>
  <si>
    <t>ספריה בלילה</t>
  </si>
  <si>
    <t xml:space="preserve">חלל תצוגה </t>
  </si>
  <si>
    <t>מוםעי תאטרון ספרות</t>
  </si>
  <si>
    <t>תיאור בקשה קצר</t>
  </si>
  <si>
    <t>סטאטוס</t>
  </si>
  <si>
    <t>מס' תקנה</t>
  </si>
  <si>
    <t>תיאור תקנה תקציבית</t>
  </si>
  <si>
    <t>בית עגנון</t>
  </si>
  <si>
    <t>מועד</t>
  </si>
  <si>
    <t>19-42-02-22</t>
  </si>
  <si>
    <t>בקשת תמיכה לשנת 2020</t>
  </si>
  <si>
    <t>חויב</t>
  </si>
  <si>
    <t>19-42-02-16</t>
  </si>
  <si>
    <t>תמיכה לפעילות השוטפת של בית הספר</t>
  </si>
  <si>
    <t>19-42-02-36</t>
  </si>
  <si>
    <t>בתי ספר לאומנות -</t>
  </si>
  <si>
    <t>תמיכה שוטפת בפעילות המוזאון לשנת 2020</t>
  </si>
  <si>
    <t>19-42-02-18</t>
  </si>
  <si>
    <t>מוזיאונים ואמנות פלס</t>
  </si>
  <si>
    <t>בקשת תמיכה שוטפת לשנת 2020</t>
  </si>
  <si>
    <t>19-42-02-07</t>
  </si>
  <si>
    <t>תמיכה שוטפת בפעילות התיאטרון</t>
  </si>
  <si>
    <t>תמיכה שוטפת</t>
  </si>
  <si>
    <t>תאטרון ירושלים - פסטיבל סוף הקיץ</t>
  </si>
  <si>
    <t>טיוט</t>
  </si>
  <si>
    <t>19-42-02-26</t>
  </si>
  <si>
    <t>פסטיבלים לתרבות</t>
  </si>
  <si>
    <t>תאטרון ירושלים - פסטיבל פסנתרים</t>
  </si>
  <si>
    <t>בקשה לתמיכה בפעילות המוזיאון</t>
  </si>
  <si>
    <t>הרכבים 2020</t>
  </si>
  <si>
    <t>19-42-02-20</t>
  </si>
  <si>
    <t>מחול וארגוני גג</t>
  </si>
  <si>
    <t>תמיכה שוטפת לשנת 2020</t>
  </si>
  <si>
    <t>תמיכה בפעילות שוטפת</t>
  </si>
  <si>
    <t>פסטיבל העוד הבינלאומי 2020</t>
  </si>
  <si>
    <t>תאטרון בית הגפן</t>
  </si>
  <si>
    <t>תמיכה שוטפת מוזיאון ישראל</t>
  </si>
  <si>
    <t>בקשה לתמיכה בשוטף 2020</t>
  </si>
  <si>
    <t>פעילות שוטפת לשנת 2020</t>
  </si>
  <si>
    <t>מרכז פרינג'</t>
  </si>
  <si>
    <t>הפקות מופעי מחול הקשורים למורשת ישראל</t>
  </si>
  <si>
    <t>להקת מחול בת שבע בקשת תמיכה לשנת 2020</t>
  </si>
  <si>
    <t>תמיכה באנסמבל כלי ההקשה "טרמולו"</t>
  </si>
  <si>
    <t>הקאמרית הישראלית תמיכה שוטפת 2020</t>
  </si>
  <si>
    <t>תמיכה שוטפת לתיאטרון ילדים -קטן</t>
  </si>
  <si>
    <t>להפיק פסטיבל הסיגדיאדה (לתרבות אתיופית)</t>
  </si>
  <si>
    <t>תמיכה שוטפת לתיאטרון הקרון</t>
  </si>
  <si>
    <t>תמיכה שוטפת - 2020</t>
  </si>
  <si>
    <t>תמיכה בפסטיבל אנימציה 2020</t>
  </si>
  <si>
    <t>19-42-02-28</t>
  </si>
  <si>
    <t>חוק  הקולנוע</t>
  </si>
  <si>
    <t>תמיכה בסינמטק ת"א 2020</t>
  </si>
  <si>
    <t>מקדמ</t>
  </si>
  <si>
    <t>תמיכה בפסטיבל גאה 2020</t>
  </si>
  <si>
    <t>תמיכה שוטפת 2020</t>
  </si>
  <si>
    <t>בקשת תמיכה בפעילות חזנית עניפה של המכון</t>
  </si>
  <si>
    <t>תמיכה בהרכב - תזמורת הלאדינו הישראלית</t>
  </si>
  <si>
    <t>תל אביב דאנס 2020</t>
  </si>
  <si>
    <t>הפקה והרצה של הצגות תיאטרון</t>
  </si>
  <si>
    <t>פסטיבל יפו לילדים ה - 14</t>
  </si>
  <si>
    <t>תמיכה שוטפת בפעילות מוזאלית</t>
  </si>
  <si>
    <t>תמיכה בשוטף</t>
  </si>
  <si>
    <t>סמינרים לתלמידי כלי קשת צעירים ישראלים</t>
  </si>
  <si>
    <t>19-42-02-33</t>
  </si>
  <si>
    <t>תרבות ערבית ודרוזית</t>
  </si>
  <si>
    <t>בלט תיאטרון פאנוב 2020</t>
  </si>
  <si>
    <t>תאטרון שוטף 2020</t>
  </si>
  <si>
    <t>מוזאון העיצוב שוטף 2020</t>
  </si>
  <si>
    <t>תן למילים 2020</t>
  </si>
  <si>
    <t>מוזאון הקומיקס שוטף 2020</t>
  </si>
  <si>
    <t>סינמטק שוטף 2020</t>
  </si>
  <si>
    <t>תמיכה בתזמורת קאמרית- הקאמרטה י-ם</t>
  </si>
  <si>
    <t>תמיכה 2020</t>
  </si>
  <si>
    <t>תמיכה</t>
  </si>
  <si>
    <t>בוטל</t>
  </si>
  <si>
    <t>19-42-02-31</t>
  </si>
  <si>
    <t>תרבות בקהילה תמיכה</t>
  </si>
  <si>
    <t>תמיכה בפעילות השוטפת של המוזיאון</t>
  </si>
  <si>
    <t>מוזיאון שוטפת 2020</t>
  </si>
  <si>
    <t>תמיכה בפעילות שוטפת 2020</t>
  </si>
  <si>
    <t>בקשת תמיכה להפעלת קוראל/מוסיקה</t>
  </si>
  <si>
    <t>בקשת תמיכה לכתיבה יצירתית</t>
  </si>
  <si>
    <t>תמיכה שוטפת במוזיאון מוכר</t>
  </si>
  <si>
    <t>פעילות סינמטק ירושלים</t>
  </si>
  <si>
    <t>פסטיבל הקולנוע ירושלים</t>
  </si>
  <si>
    <t>בקשת תמיכה שוטפת 2020</t>
  </si>
  <si>
    <t>אנסמבל זמרי מורן</t>
  </si>
  <si>
    <t>תמיכה שוטפת במוזאון</t>
  </si>
  <si>
    <t>תמיכה לשוטף לשנת 2020</t>
  </si>
  <si>
    <t>תמיכה בתפעול השוטף של המוזאון בשנת 2020</t>
  </si>
  <si>
    <t>תמיכה שוטפת לשנת 2020 לתזמורת הסימפונית</t>
  </si>
  <si>
    <t>אנסמבל סולני תל אביב תמיכה 2020</t>
  </si>
  <si>
    <t>אורתו דה קבוצה בקשת תמיכה 2020</t>
  </si>
  <si>
    <t>תמיכה בפעילות שוטפת להקת הפלמנקו הישראלי</t>
  </si>
  <si>
    <t>אופרה קאמרה</t>
  </si>
  <si>
    <t>אנסמבל הפניקס</t>
  </si>
  <si>
    <t>פסטיבל צליל מעודכן</t>
  </si>
  <si>
    <t>הפרויקט הקאמרי הישראלי</t>
  </si>
  <si>
    <t>אנסמבל פרץ אליהו</t>
  </si>
  <si>
    <t>יניב ד'אור -אנסמבל נאיה</t>
  </si>
  <si>
    <t>מארש דונדורמה</t>
  </si>
  <si>
    <t>אנסמבל מודאליוס</t>
  </si>
  <si>
    <t>הודנא אורקסטרה</t>
  </si>
  <si>
    <t>רביעיית כרמל</t>
  </si>
  <si>
    <t>פסטיבל פליציה בלומנטל למוזיקה</t>
  </si>
  <si>
    <t>אופרה אורפאוס</t>
  </si>
  <si>
    <t>המאסטרקלאס הבינלאומי לשירה אמנותית</t>
  </si>
  <si>
    <t>תמיכה שותפת לשנת 2020 עבור</t>
  </si>
  <si>
    <t>תמיכה שוטפת במוזיאון 2020</t>
  </si>
  <si>
    <t>תמיכה עבור כיתות אמן בינ"ל לפסנתר</t>
  </si>
  <si>
    <t>מרכז מוסיקלי תרבותי בירושלים</t>
  </si>
  <si>
    <t>מחול במזיא</t>
  </si>
  <si>
    <t>יוזמות</t>
  </si>
  <si>
    <t>פסטיבל אורות חנוכה 2020</t>
  </si>
  <si>
    <t>שיתופי פעולה- אתנחתא</t>
  </si>
  <si>
    <t>אמנויות הבמה 1-</t>
  </si>
  <si>
    <t>אמנויות הבמה 2</t>
  </si>
  <si>
    <t>אירועי ספרות 2020</t>
  </si>
  <si>
    <t>תיאטרון שוטף</t>
  </si>
  <si>
    <t>פעילות שוטפת</t>
  </si>
  <si>
    <t>תמיכה שוטפת להקת המחול קמע</t>
  </si>
  <si>
    <t>תמיכה שוטפת מרכזי מוסיקה</t>
  </si>
  <si>
    <t>שוטף אלאג'יאל טמרה</t>
  </si>
  <si>
    <t>פעילות שוטפת של מרכז האתני הרב תחומי</t>
  </si>
  <si>
    <t>19-42-02-14</t>
  </si>
  <si>
    <t>מחקר מורשת ואיגודים</t>
  </si>
  <si>
    <t>בקשת תמיכה בת-דור באר שבע</t>
  </si>
  <si>
    <t>נא לגעת תמיכה בתיאטרון נא לגעת 2020</t>
  </si>
  <si>
    <t>תמיכה שוטפת בתזמורת ירושלים מזרח ומערב</t>
  </si>
  <si>
    <t>תמיכה שוטפת בתזמורת הכליזמר 'אביבים'</t>
  </si>
  <si>
    <t>19-42-02-65</t>
  </si>
  <si>
    <t>תזמורת ולהקת סיראג' + בי"ס למוסיקה</t>
  </si>
  <si>
    <t>בקשת תמיכה לפעיות השוטפת</t>
  </si>
  <si>
    <t>אלמז שימור מורשת יהדות אתיופיה 2020</t>
  </si>
  <si>
    <t>תמיכה שוטפת - בארוקדה</t>
  </si>
  <si>
    <t>תרבות בקהילה 2020</t>
  </si>
  <si>
    <t>בקשת תמיכה לפעילות השוטפת</t>
  </si>
  <si>
    <t>תמיכה בקבוצת תיאטרון החנות</t>
  </si>
  <si>
    <t>תיאטרון הבית - מרכז פרינג'</t>
  </si>
  <si>
    <t>3 הפקות מקוריות</t>
  </si>
  <si>
    <t>תמיכה בלהקת המחול ביסאן לשנת 2020</t>
  </si>
  <si>
    <t>התיאטרון העברי - תמיכה שוטפת 2020</t>
  </si>
  <si>
    <t>תמיכה ביוצרים</t>
  </si>
  <si>
    <t>תמיכה ללהקה קטנה</t>
  </si>
  <si>
    <t>בקשת תמיכה לפי סעיף 3 א</t>
  </si>
  <si>
    <t>תמיכה ביוצרים ניב שינפלד ואורן לאור</t>
  </si>
  <si>
    <t>יוסי ועודד 2020 תמיכה שוטפת</t>
  </si>
  <si>
    <t>שוטף מרכז אל קלעה לאומנויות הבמה (ע"ר)</t>
  </si>
  <si>
    <t>פלטפורמא - מאלימות לאמנות בקהילה 2020</t>
  </si>
  <si>
    <t>תזמורות</t>
  </si>
  <si>
    <t>מוזיאונים- תמיכה שוטפת</t>
  </si>
  <si>
    <t>ת' השחר 5 הדקות הארוכות פרויקט 2020</t>
  </si>
  <si>
    <t>תמיכה לפעילות שוטפת</t>
  </si>
  <si>
    <t>בקשת תמיכה לפעילות ציור</t>
  </si>
  <si>
    <t>בקשת תמיכה לפעילות מוסיקה</t>
  </si>
  <si>
    <t>בית ספר עאידה למחול</t>
  </si>
  <si>
    <t>סיוע מיוחד לעידוד קיום פעילות</t>
  </si>
  <si>
    <t>19-42-02-74</t>
  </si>
  <si>
    <t>סיוע למוסדות בגין</t>
  </si>
  <si>
    <t>להקת מוסיקה</t>
  </si>
  <si>
    <t>מקהלות ועתודה צעירה</t>
  </si>
  <si>
    <t>תמיכה שוטפת בפעילות סינמטק ר"פ לשנת 2020</t>
  </si>
  <si>
    <t>תמיכה שוטפת - גלריה סדנאות האמנים 2020</t>
  </si>
  <si>
    <t>תאטרון 2020- בקשה לתמיכה</t>
  </si>
  <si>
    <t>אנסמל עיט 2020</t>
  </si>
  <si>
    <t>מרכז אירוח 2020</t>
  </si>
  <si>
    <t>פסטיבל פרינג 2020</t>
  </si>
  <si>
    <t>19-42-02-47</t>
  </si>
  <si>
    <t>מענק ירושלים לתרבות</t>
  </si>
  <si>
    <t>מקהלת ברתיני תמיכה שוטפת 2020</t>
  </si>
  <si>
    <t>תיאטרון הקיבוץ - תמיכה שוטפת 2020</t>
  </si>
  <si>
    <t>בקשת תמיכה בפעילות השוטפת</t>
  </si>
  <si>
    <t>קבוצת תאטרון אנסמבל פספורט</t>
  </si>
  <si>
    <t>סיוע בתמיכה שוטפת לקיום פעילות המוזיאון</t>
  </si>
  <si>
    <t>סיוע לנפגעי קורונה</t>
  </si>
  <si>
    <t>תמיכה שותף תיאטרון אלמיאדין</t>
  </si>
  <si>
    <t>צלילי המוסיקה</t>
  </si>
  <si>
    <t>קבוצת תאטרון האיל המרקד</t>
  </si>
  <si>
    <t>המשך תמיכה שוטפת קבוצת תיאטרון מסתורין</t>
  </si>
  <si>
    <t>בקשה לתמיכה בלהקת מחול של יסמין גודר</t>
  </si>
  <si>
    <t>תמיכה בקידום ופעילות זמרי קולגיום</t>
  </si>
  <si>
    <t>פעילות שוטפת לתיאטרון</t>
  </si>
  <si>
    <t>תמיכה שוטפת במקהילה למוסיקה וזמר,</t>
  </si>
  <si>
    <t>פעילות שוטפת של הגוף 2020</t>
  </si>
  <si>
    <t>פסטיבל אפוס</t>
  </si>
  <si>
    <t>מרכז מחול כלים</t>
  </si>
  <si>
    <t>מימון שוטף מקהלה ותזמורת 2020</t>
  </si>
  <si>
    <t>תקציב שוטף</t>
  </si>
  <si>
    <t>בקשת תמיכה תרבות חרדית</t>
  </si>
  <si>
    <t>פרויקט הפקתי</t>
  </si>
  <si>
    <t>תמיכה בפעילות השוטפת של העמותה</t>
  </si>
  <si>
    <t>בקשת תמיכה שוטפת למוזיאון בית מרים</t>
  </si>
  <si>
    <t>תמיכה שוטפת בפעילות המוזיאון</t>
  </si>
  <si>
    <t>אמנים יוצרים חלל תצוגה בר יוחאי 2020</t>
  </si>
  <si>
    <t>הקבוצה הקהילתית של לוד</t>
  </si>
  <si>
    <t>קבוצת תיאטרון פרינג' בפריפריה</t>
  </si>
  <si>
    <t>,תמיכה שוטפת למרכז למוזיקה לבונטין 7</t>
  </si>
  <si>
    <t>בקשת תמיכה תקנת תרבות ערבית</t>
  </si>
  <si>
    <t>תיאטרון השרפרף</t>
  </si>
  <si>
    <t>תמיכה בפעילותה השוטפת של העמותה במוסיקה</t>
  </si>
  <si>
    <t>קבוצת תיאטרון מעבדתרבות דימונה 2020</t>
  </si>
  <si>
    <t>תמיכה בפעילות השוטפת של העמותה בתחום המו</t>
  </si>
  <si>
    <t>תזמורת חיבה</t>
  </si>
  <si>
    <t>קיום פעולות מורשת למגוון העדות</t>
  </si>
  <si>
    <t>בית 9 - קבוצת תיאטרון</t>
  </si>
  <si>
    <t>בקשה לתמיכה שוטפת</t>
  </si>
  <si>
    <t>תמיכה למעבדה המוזיקאלית סאנאם</t>
  </si>
  <si>
    <t>תיאטרון רפרטוארי מבוגרים קטן 2020</t>
  </si>
  <si>
    <t>עלילה מקומית 2020-תמיכה שוטפת</t>
  </si>
  <si>
    <t>תאטרון</t>
  </si>
  <si>
    <t>סדרת אירועי ספרות לזכר סופרים ומשוררים</t>
  </si>
  <si>
    <t>תמיכה בפסטיבל יוצאי התיבה</t>
  </si>
  <si>
    <t>תמיכה שוטפת לוגוס 2020</t>
  </si>
  <si>
    <t>תמיכה בפסטיבל המחולות לוגוס</t>
  </si>
  <si>
    <t>אירועי ספרות אוטופיה</t>
  </si>
  <si>
    <t>פסטיבל לסרטי מדע בדיוני ואימה - אוטופיה</t>
  </si>
  <si>
    <t>תיאטרון גיל שלישי</t>
  </si>
  <si>
    <t>תמיכה בשל הקורונה</t>
  </si>
  <si>
    <t>תמיכה למרכז מחול - תחנה מרכזית תל אביב</t>
  </si>
  <si>
    <t>קבוצת אלעד - תיאטרון אילת והערבה</t>
  </si>
  <si>
    <t>תמיכה בפעילות השוטפת של מוזיאון מגדל דוד</t>
  </si>
  <si>
    <t>פעילות מרכז עדן תמיר למוסיקה</t>
  </si>
  <si>
    <t>פעילות תרבות שוטפת</t>
  </si>
  <si>
    <t>תמיכה בפעילות השוטפת</t>
  </si>
  <si>
    <t>מרכז מחול שלם 2020</t>
  </si>
  <si>
    <t>תזמורת ארמון בזמן- 2020</t>
  </si>
  <si>
    <t>להקת המחול סול - להקה קטנה</t>
  </si>
  <si>
    <t>פסטיבל הסרטים הבינלאומי חיפה 36</t>
  </si>
  <si>
    <t>סינמטק חיפה</t>
  </si>
  <si>
    <t>תיאטרון חיפה - תמיכה שוטפת 2020</t>
  </si>
  <si>
    <t>תיאטרון חיפה, פסטיבל הצגות ילדים 2020</t>
  </si>
  <si>
    <t>אירועים ספרותיים</t>
  </si>
  <si>
    <t>פרינג'</t>
  </si>
  <si>
    <t>יוזמה - המחזאים</t>
  </si>
  <si>
    <t>פסטיבל גיטרה</t>
  </si>
  <si>
    <t>פסטיבל תאטרון קצר</t>
  </si>
  <si>
    <t>פסטיבל ג'ז ,ירושלים 2020</t>
  </si>
  <si>
    <t>תמיכה שוטפת ל 2020</t>
  </si>
  <si>
    <t>תמיכה לפסטיבאל גשר באינלאומי 2020</t>
  </si>
  <si>
    <t>רנה שינפלד - תמיכה שוטפת 2020</t>
  </si>
  <si>
    <t>מרכז למוסיקה אלקטרונית - התיבה</t>
  </si>
  <si>
    <t>תמיכה שוטפת יוצר עצמאי אבי קייזר</t>
  </si>
  <si>
    <t>תמיכה שוטפת יוצרת עצמאית נטע פולבמכר</t>
  </si>
  <si>
    <t>תמיכה שוטפת יוצרת עצמאית אלה רוטישלד</t>
  </si>
  <si>
    <t>תמיכה שוטפת יוצרת עצמאית אביגיל רובין</t>
  </si>
  <si>
    <t>תמיכה שוטפת יוצרת עצמאית מעיין ליבמן</t>
  </si>
  <si>
    <t>תמיכה שוטפת פסטיבל ריקוד חדר</t>
  </si>
  <si>
    <t>תמיכה שוטפת מיכאל גטמן</t>
  </si>
  <si>
    <t>תמיכה שוטפת יוצרת עצמאית תמר בורר</t>
  </si>
  <si>
    <t>תמיכה שוטפת יוצרת עצמאית תמי לבוביץ</t>
  </si>
  <si>
    <t>תמיכה שוטפת יוצרת עצמאית שרונה פלורסהיים</t>
  </si>
  <si>
    <t>תמיכה שוטפת יוצרת עצמאית שרון וזנה</t>
  </si>
  <si>
    <t>תמיכה שוטפת יוצרת עצמאית שרון אייל</t>
  </si>
  <si>
    <t>תמיכה שוטפת יוצר עצמאי שלומית פונדמינסקי</t>
  </si>
  <si>
    <t>תמיכה שוטפת יוצר עצמאי שלומי ביטון</t>
  </si>
  <si>
    <t>תמיכה שוטפת יוצרת עצמאית שירה אביתר</t>
  </si>
  <si>
    <t>תמיכה שוטפת יוצרת עצמאית רייצ'ל ארדוס</t>
  </si>
  <si>
    <t>תמיכה שוטפת יוצרת עצמאי רחל בנגורה</t>
  </si>
  <si>
    <t>תמיכה שוטפת יוצר עצמאי רותם תש"ח</t>
  </si>
  <si>
    <t>תמיכה שוטפת יוצרת עצמאית ענת כ"ץ</t>
  </si>
  <si>
    <t>תמיכה שוטפת יוצרת עצמאית ענת דניאלי</t>
  </si>
  <si>
    <t>תמיכה שוטפת יוצרת עצמאית ענת גריגוריו</t>
  </si>
  <si>
    <t>תמיכה שוטפת יוצרת עצמאית תמר לם</t>
  </si>
  <si>
    <t>תמיכה שוטפת יוצרת עצמאית מיה שטרן</t>
  </si>
  <si>
    <t>תמיכה שוטפת יוצרת עצמאית אורלי פורטל</t>
  </si>
  <si>
    <t>תמיכה שוטפת יוצרת עצמאית איילה פרנקל</t>
  </si>
  <si>
    <t>תמיכה שוטפת יוצרת עצמאית איריס ארז</t>
  </si>
  <si>
    <t>תמיכה שוטפת יוצר עצמאי אנדיראה מרטיני</t>
  </si>
  <si>
    <t>תמיכה שוטפת יוצרת עצמאית אפרת רובין</t>
  </si>
  <si>
    <t>תמיכה שוטפת יוצרת עצמאית מירב דגן</t>
  </si>
  <si>
    <t>תמיכה שוטפת יוצרת עצמאית נדין בומר</t>
  </si>
  <si>
    <t>תמיכה שוטפת יוצרת עצמאית בשמת נוסן</t>
  </si>
  <si>
    <t>תמיכה שוטפת יוצר עצמאי אורי שפיר</t>
  </si>
  <si>
    <t>תמיכה שוטפת יוצרת עצמאית-אור מרין</t>
  </si>
  <si>
    <t>תמיכה שוטפת יוצרת עצמאית אדווה ירמיהו</t>
  </si>
  <si>
    <t>תמיכה שוטפת יוצרת עצמאית אהרונה ישראל</t>
  </si>
  <si>
    <t>תמיכה שוטפת להקת נגה</t>
  </si>
  <si>
    <t>תמיכה שוטפת פרויקט GO</t>
  </si>
  <si>
    <t>תמיכה שוטפת פרוייקט בית ספר פורטל</t>
  </si>
  <si>
    <t>תמיכה שוטפת פרוייקט RESEARCH</t>
  </si>
  <si>
    <t>תמיכה שוטפת יוצרת עצמאית אנבל דביר</t>
  </si>
  <si>
    <t>תמיכה שוטפת יוצרת עצמאית סיגל ברגמן</t>
  </si>
  <si>
    <t>תמיכה שוטפת יוצרת עצמאית אורין יוחנן</t>
  </si>
  <si>
    <t>תיאטרון ארצי לנוער תמיכה שוטפת 2020</t>
  </si>
  <si>
    <t>תמיכה שוטפת באנסמבל הקולי הישראלי ל-2020</t>
  </si>
  <si>
    <t>תמיכה שוטפת במקהלת עדי ל-2020</t>
  </si>
  <si>
    <t>תיאטרון השעה - בקשת תמיכה שוטפת 2020</t>
  </si>
  <si>
    <t>בקשת תמיכה בגין הפקת והרצת הצגות בערבית</t>
  </si>
  <si>
    <t>קליפה 2020-תמיכה שוטפת</t>
  </si>
  <si>
    <t>תמיכה בלהקת מחול - שוטף</t>
  </si>
  <si>
    <t>תמיכה במרכז מחול - ורטיגו בכפר</t>
  </si>
  <si>
    <t>דוקאביב פסטיבל בינל לקולנוע דוקומנטרי</t>
  </si>
  <si>
    <t>פעילות להגברת מודעות שימור ומורשת הבנויה</t>
  </si>
  <si>
    <t>19-42-02-45</t>
  </si>
  <si>
    <t>שימור אתרי התיישבות</t>
  </si>
  <si>
    <t>תאטרון הזירה הבין תחומית</t>
  </si>
  <si>
    <t>מוסיקה הזירה הבין תחומית</t>
  </si>
  <si>
    <t>תזמורת הרחוב הירושלמית - שוטף</t>
  </si>
  <si>
    <t>ליריק-אופרה - כיתות אמן בינ"ל</t>
  </si>
  <si>
    <t>מזקקה - מרכז תרבות ומוזיקה בירושלים</t>
  </si>
  <si>
    <t>בקשה לתמיכה שוטפת-תיאטרון האינקובטור</t>
  </si>
  <si>
    <t>ערבי שירה-לעידוד השירה ומשוררים צעירים</t>
  </si>
  <si>
    <t>תמיכה שנתית מקהלת גיא בן הינום</t>
  </si>
  <si>
    <t>אנסמבל כעת - להקות מחול</t>
  </si>
  <si>
    <t>יוצרים עצמאים- תמי ורונן יצחקי</t>
  </si>
  <si>
    <t>פסטיבל בין שמיים לארץ 2020</t>
  </si>
  <si>
    <t>פרוייקט מוסיקה - בין שמיים לארץ</t>
  </si>
  <si>
    <t>תאטרון רפרטוארי</t>
  </si>
  <si>
    <t>נעסף</t>
  </si>
  <si>
    <t>בקשה למימון פסטיבל הקריסמס</t>
  </si>
  <si>
    <t>תמיכה בפעילות עמותת הקונטקט בישראל</t>
  </si>
  <si>
    <t>תמיכה בפעילותה השוטפת של העמותה בתחום המ</t>
  </si>
  <si>
    <t>תמיכה בפעילות האורקסטרה-תזמורת הג'אז היש</t>
  </si>
  <si>
    <t>תמיכה שוטפת בקבוצת תיאטרון</t>
  </si>
  <si>
    <t>יוזמה - הקרן לפיתוח מחזאות ישראלית</t>
  </si>
  <si>
    <t>תמיכה בפעילויות מקהלת ווקאלוסיטי</t>
  </si>
  <si>
    <t>ספרות הזירה הבין תחומית</t>
  </si>
  <si>
    <t>19-42-02-69</t>
  </si>
  <si>
    <t>ספרות הרשאה</t>
  </si>
  <si>
    <t>חלל תצוגה מעמותה</t>
  </si>
  <si>
    <t>פסטיבל 2020 בקאמרי</t>
  </si>
  <si>
    <t>עמותת מוג'תמענא</t>
  </si>
  <si>
    <t>מראות-עמותה לקידום התיאטרון והקרקס</t>
  </si>
  <si>
    <t>גובה סכום התמיכה המבוקש</t>
  </si>
  <si>
    <t>גובה תמיכה מומלצת</t>
  </si>
  <si>
    <t>האם קיימת הגבלה ראשונית?</t>
  </si>
  <si>
    <t xml:space="preserve">תמיכה מקסימאלית </t>
  </si>
  <si>
    <t>גובה תמיכה לאחר הגבלה לסכום מבוקש</t>
  </si>
  <si>
    <t>תמיכה יחסית לאחר הגבלה לסכום מבוקש</t>
  </si>
  <si>
    <t>שיעור תמיכה יחסי</t>
  </si>
  <si>
    <t>בקרת סכום התמיכה המבוקש</t>
  </si>
  <si>
    <t>נתון עזר 2</t>
  </si>
  <si>
    <t>תמיכה מקסימאלית 2</t>
  </si>
  <si>
    <t>תמיכה 2</t>
  </si>
  <si>
    <t>נתון עזר 3</t>
  </si>
  <si>
    <t>תמיכה מקסימאלית 3</t>
  </si>
  <si>
    <t>תמיכה 3</t>
  </si>
  <si>
    <t>נתון עזר 4</t>
  </si>
  <si>
    <t>תמיכה מקסימאלית 4</t>
  </si>
  <si>
    <t>תמיכה 4</t>
  </si>
  <si>
    <t>נתון עזר 5</t>
  </si>
  <si>
    <t>תמיכה מקסימאלית 5</t>
  </si>
  <si>
    <t>תמיכה 5</t>
  </si>
  <si>
    <t>שיעור תמיכה יחסי לפי תחום תמיכה ב'</t>
  </si>
  <si>
    <t>תקציב לחלוקה</t>
  </si>
  <si>
    <t>סך תמיכה סופית לאחר הגבלה לסכום מבוקש</t>
  </si>
  <si>
    <t>סך תמיכה סופית לאחר חלוקה ב-4</t>
  </si>
  <si>
    <t>אורות הגליל</t>
  </si>
  <si>
    <t>קול יוצר</t>
  </si>
  <si>
    <t>יאללא</t>
  </si>
  <si>
    <t>הידית - מרכז ליצירה תיאטרונית אלטרנ</t>
  </si>
  <si>
    <t>קרן מוזיאון רובין</t>
  </si>
  <si>
    <t>בקשת תמיכה 2020</t>
  </si>
  <si>
    <t>קבוצת תיאטרון הנגב</t>
  </si>
  <si>
    <t>פרויקט הפקתי - הדב והילדה</t>
  </si>
  <si>
    <t>יוזמה לקידום ככר תאטרון חוץ פומפידו י-ם</t>
  </si>
  <si>
    <t>פרוייקט הפקתי 2020- "אדל" שם זמני</t>
  </si>
  <si>
    <t>תמיכה שוטפת לפעילות קבוצת תיאטרון</t>
  </si>
  <si>
    <t>תיאטרון יהודי קווקז</t>
  </si>
  <si>
    <t>קבוצת תיאטרון 2020</t>
  </si>
  <si>
    <t>קבוצת תיאטרון מראה</t>
  </si>
  <si>
    <t>הקצבה שוטפת</t>
  </si>
  <si>
    <t>תיאטרון הקוקיה</t>
  </si>
  <si>
    <t>תמיכה שוטפת בקבוצת התאטרון "תספיס" 2020</t>
  </si>
  <si>
    <t>פרויקט הפקתי - "גן הדובדבנים"</t>
  </si>
  <si>
    <t>חממת ביכורים - תיאטרון הבית</t>
  </si>
  <si>
    <t>סלון בתיאטרון הבית</t>
  </si>
  <si>
    <t>במה שלישית בתיאטרון הבית</t>
  </si>
  <si>
    <t>קבוצת ג'ייסון דנינו הולט</t>
  </si>
  <si>
    <t>הילדים בבית</t>
  </si>
  <si>
    <t>פרויקט הפקתי ג'ייסון דנינו הולט 2020</t>
  </si>
  <si>
    <t>תמיכה בפעילות תיאטרון מיקרו</t>
  </si>
  <si>
    <t>קבוצת התיאטרון הישראלי-אתיופי הולגאב</t>
  </si>
  <si>
    <t>אנסמבל צפונית'לה</t>
  </si>
  <si>
    <t>אנסמבל תאטרון הסמטה 2020</t>
  </si>
  <si>
    <t>אירוח פרינג'- תאטרון הסמטה 2020</t>
  </si>
  <si>
    <t>יום הקומדיה ד'לארטה סמטה 2020</t>
  </si>
  <si>
    <t>יוזמה - כלים שלובים</t>
  </si>
  <si>
    <t>יוזמה - 1600 Feet Under</t>
  </si>
  <si>
    <t>גידול ושמו בועז</t>
  </si>
  <si>
    <t>פרינג' בית מזיא</t>
  </si>
  <si>
    <t>יוזמה - קוראים עולם מרכז ענב 2020</t>
  </si>
  <si>
    <t>פרויקט הפקתי - מרכז ענב 2020</t>
  </si>
  <si>
    <t>אנסמבל כאן 2020 שוטף</t>
  </si>
  <si>
    <t>שברירים</t>
  </si>
  <si>
    <t>דרור ליבמן- קוג'יקי 2020</t>
  </si>
  <si>
    <t>מיכאל קייט- נפשות מתות</t>
  </si>
  <si>
    <t>מאיה בואנוס- אוקטובר</t>
  </si>
  <si>
    <t>אלמה וייך- נחמן שווילנטיך יוצא למלחמה</t>
  </si>
  <si>
    <t>אודי בן סעדיה- ג'רוזלם</t>
  </si>
  <si>
    <t>דורי אנגל- חושים</t>
  </si>
  <si>
    <t>גל סבו- ברוך שפטרנו</t>
  </si>
  <si>
    <t>יואב ברתל אנסמבל תוצרת בית- החשמלטור</t>
  </si>
  <si>
    <t>אסף פרידמן- אין ים</t>
  </si>
  <si>
    <t>מיכל סבירוני- דף חלק CARTE BLANCHE</t>
  </si>
  <si>
    <t>אלית ובר- פרד של הדובי</t>
  </si>
  <si>
    <t>נועה בורדל טוטאל- ליידי לייק</t>
  </si>
  <si>
    <t>שרון שטרק- דמות אב</t>
  </si>
  <si>
    <t>אלחנן שפירא- גאולה</t>
  </si>
  <si>
    <t>אלירן כספי- כעס וחמלה</t>
  </si>
  <si>
    <t>חיים עבוד- וולפונה</t>
  </si>
  <si>
    <t>אורית לייבוביץ נוביץ- סיפור מנייר</t>
  </si>
  <si>
    <t>רחל קשת- זה לא קורה</t>
  </si>
  <si>
    <t>עתליה זהבי שגיא- תרבות מלחמה</t>
  </si>
  <si>
    <t>לימור יצחייק- נמרה/ ככה ניראיתי</t>
  </si>
  <si>
    <t>אביטל דבורי- סופסוף</t>
  </si>
  <si>
    <t>ג'ייסון דנינו הולט- צ'יל מי ת'ריל מי פול</t>
  </si>
  <si>
    <t>אנסמבל קיבוץ גלויות- looking for</t>
  </si>
  <si>
    <t>אריאל וולף- את יצחק</t>
  </si>
  <si>
    <t>אבי גולומב ונועה שכטר- מפוטרים</t>
  </si>
  <si>
    <t>יפה שוסטר- הדרך</t>
  </si>
  <si>
    <t>חי דוידוב- התאטרון הבוכרי- חנדה חנדה</t>
  </si>
  <si>
    <t>אנסמבל תמונע</t>
  </si>
  <si>
    <t>פרוייקט הפקתי- זבנג וגמרנו (ש"ז)</t>
  </si>
  <si>
    <t>תמיכה לשנת 2020</t>
  </si>
  <si>
    <t>ישרא-דרמה וחשיפה בינלאומית לתיאטרון 2020</t>
  </si>
  <si>
    <t>תמיכה במכון למחזאות ישראלית עש חנוך לוין</t>
  </si>
  <si>
    <t>תמיכה ביוזמה- שהות אמן 2020</t>
  </si>
  <si>
    <t>תמיכה בהפקות פרינג' בית סיסטם עאלי</t>
  </si>
  <si>
    <t>תיאטרון ארצי 2020 ניסיון</t>
  </si>
  <si>
    <t>תמיכה בתיאטרון הקוקיה שבחקוק</t>
  </si>
  <si>
    <t>העלאת מופע חדש של בית סיסטם עאלי</t>
  </si>
  <si>
    <t>תמיכה בקבוצת תיאטרון</t>
  </si>
  <si>
    <t>הפקת פרס התיאטרון לילדים ולנוער</t>
  </si>
  <si>
    <t>אריה אלדר- ביום בהיר אחד</t>
  </si>
  <si>
    <t>יוזמה לקידום יוצרים צעירים בנגב 2020</t>
  </si>
  <si>
    <t>אקספרימנטים של נסיון</t>
  </si>
  <si>
    <t>פרוייקט הפקתי - לחישה 2020 - "על חבל דק"</t>
  </si>
  <si>
    <t>קבוצת דוואי davai</t>
  </si>
  <si>
    <t>קבוצת התיאטרון חנה וזאנה גרינולד</t>
  </si>
  <si>
    <t>אנסמבל תוצרת בית</t>
  </si>
  <si>
    <t>להקת סקפינו</t>
  </si>
  <si>
    <t>תמיכה בפרויקט תיאטרון</t>
  </si>
  <si>
    <t>פרויקטים הפקתיים תמיכה לשנת 2020</t>
  </si>
  <si>
    <t>קבוצות תיאטרון - יוזמה תאטרון - 2020</t>
  </si>
  <si>
    <t>קבוצות תאטרון-יוזמה תיאטרון ביכורים-2020</t>
  </si>
  <si>
    <t>פרויקט הפקתי מרינה בלטוב 2020</t>
  </si>
  <si>
    <t>יוזמה - הצדעה והנצחה ענב 2020</t>
  </si>
  <si>
    <t>תיאטרון קרוב קבוצה בקשת תמיכה 2020</t>
  </si>
  <si>
    <t>קבוצת תאטרון - קבוצת DAVAI</t>
  </si>
  <si>
    <t>תמיכה בפרינג'</t>
  </si>
  <si>
    <t>בקשה לאנסמבל "הידית"</t>
  </si>
  <si>
    <t>פרס אוהבי התיאטרון בישראל</t>
  </si>
  <si>
    <t>קבוצת תיאטרון</t>
  </si>
  <si>
    <t>חשיפה בינלאומית לתיאטראות ילדים</t>
  </si>
  <si>
    <t>פרוייקט הפקתי</t>
  </si>
  <si>
    <t>טקס קיפוד הזהב</t>
  </si>
  <si>
    <t>תיאטרון רפרטוארי</t>
  </si>
  <si>
    <t>אדרבא - הדור הבא, שם זמני פרויקט 2020</t>
  </si>
  <si>
    <t>תיאטרון השחר מגדל בבל פר' הפקתי 2020</t>
  </si>
  <si>
    <t>הפקתי - המסע העולמי של הדוב האחרון</t>
  </si>
  <si>
    <t>בקשת תמיכה לאנסמבל הידית</t>
  </si>
  <si>
    <t>פרויקט הפקתי –זגופ – סמטה 2020</t>
  </si>
  <si>
    <t>יוזמה לקידום התיאטרון</t>
  </si>
  <si>
    <t>פרויקט 2020 תיאטרון לילדים ולנוער ב"ש</t>
  </si>
  <si>
    <t>תמיכה ביוזמת הקראת מחזות</t>
  </si>
  <si>
    <t>בובת הסמרטוטים</t>
  </si>
  <si>
    <t>פעילות תיאטרון לילה מיוחדת</t>
  </si>
  <si>
    <t>תיאטרון הילדים הישראלי תיאטרון קטן 2020</t>
  </si>
  <si>
    <t>הפרויקט הפקתי על גדות נהר בבל</t>
  </si>
  <si>
    <t>יוזמה לקידום התיאטרון: מעבדת פיתוח יצירה</t>
  </si>
  <si>
    <t>קבוצת תיאטרון אברהם עוז</t>
  </si>
  <si>
    <t>יוזמה לקידום התיאטרון: נשים בתיאטרון</t>
  </si>
  <si>
    <t>יוזמה לקידום התיאטרון:עיצוב חללי אימרסיב</t>
  </si>
  <si>
    <t>קבוצת תיאטרון דור פלס</t>
  </si>
  <si>
    <t>פרויקט הפקתי "הר תפארת"</t>
  </si>
  <si>
    <t>פרויקט הפקתי "כשהחביתה נוגעת בסלט"</t>
  </si>
  <si>
    <t>פלטפורמא יוזמה "יצאתי לחפש אותי" 2020</t>
  </si>
  <si>
    <t>באופן תרבותי2020</t>
  </si>
  <si>
    <t>באופן תרבותי 2020</t>
  </si>
  <si>
    <t>טקס התיאטרון הרפרטוארי</t>
  </si>
  <si>
    <t>הצגה: מרד המשרתות</t>
  </si>
  <si>
    <t>הצגה: התמונה</t>
  </si>
  <si>
    <t>פיצוי- נסיון</t>
  </si>
  <si>
    <t>שיפוץ אולם רב-תכליתי, מרכז תרבות וספורט</t>
  </si>
  <si>
    <t>19-42-02-10</t>
  </si>
  <si>
    <t>שיפוצים</t>
  </si>
  <si>
    <t>שיפוץ המתנס והיכל תאטרון 2015</t>
  </si>
  <si>
    <t>פרס השרה בתחומי האמנות הפלסטית-מפעל חיים</t>
  </si>
  <si>
    <t>19-42-02-13</t>
  </si>
  <si>
    <t>פרסי תרבות</t>
  </si>
  <si>
    <t>פרס בתחום העיצוב 2019</t>
  </si>
  <si>
    <t>פרס השרה בתחומי האמנות הפלסטית-אמן צעיר</t>
  </si>
  <si>
    <t>סגור</t>
  </si>
  <si>
    <t>פרס עידוד היצירה בתחום האמ' הפלסטית 2019</t>
  </si>
  <si>
    <t>פרס לאמנות הווידאו 2019</t>
  </si>
  <si>
    <t>שרשרת הדורות שימור מורשת יהדות תימן 2020</t>
  </si>
  <si>
    <t>תמיכה שוטפת בפעילות הגוף</t>
  </si>
  <si>
    <t>שימור המורשת המופלאה של יהדות בוכרה בישר</t>
  </si>
  <si>
    <t>ניסיון</t>
  </si>
  <si>
    <t>מכון מחקר תורני 2020</t>
  </si>
  <si>
    <t>תמיכה בחקר המשפט העברי</t>
  </si>
  <si>
    <t>עדות מחקר ומורשת יהודי תימן</t>
  </si>
  <si>
    <t>בקשת תמיכה</t>
  </si>
  <si>
    <t>תמיכה במחקר תורני - תלמוד הירושלמי</t>
  </si>
  <si>
    <t>בקשה לתמיכה שוטפת במכון למחקר תורני</t>
  </si>
  <si>
    <t>תמיכה, שכר, פעילות תרבות, כנסים, מחקר</t>
  </si>
  <si>
    <t>בקשת תמיכה 2020 מוסדות מחקר</t>
  </si>
  <si>
    <t>פרוייקט שימור מסורת שירת הבקשות</t>
  </si>
  <si>
    <t>שימור מסורת שירת הבקשות</t>
  </si>
  <si>
    <t>מוסדות תרבות העוסקים במחקר</t>
  </si>
  <si>
    <t>תמיכה למכון מחקר יחוה דעת- הלכה ברורה</t>
  </si>
  <si>
    <t>מכון תורני כתיבה ומחקר</t>
  </si>
  <si>
    <t>שרשרת הדורות שימור מורשת יהדות תימן 20</t>
  </si>
  <si>
    <t>שוטף 2020 - מכון הר ברכה</t>
  </si>
  <si>
    <t>מורשת יהודי צפון-אפריקה</t>
  </si>
  <si>
    <t>תמיכה שוטפת במכוני מחקר תורני</t>
  </si>
  <si>
    <t>תמיכה במכון הרב מצליח - 2020</t>
  </si>
  <si>
    <t>תמיכה עבור מכון תורני לאומי</t>
  </si>
  <si>
    <t>שיתוף חלל מוזיאלי לקידום האיגוד</t>
  </si>
  <si>
    <t>תמיכה שוטפת מכון שלמה אומן ז"ל ע"ר 2020</t>
  </si>
  <si>
    <t>תקנת ירושלים פסטיבלים</t>
  </si>
  <si>
    <t>תמיכה במכון המאיר מחקר תורני</t>
  </si>
  <si>
    <t>תמיכה במכון מחקר תורני בעל חשיבות לאומית</t>
  </si>
  <si>
    <t>בקשת תמיכה במכון התורני - הוצאת גילוי</t>
  </si>
  <si>
    <t>המרכז האתני למוזיקה, פולקלור ומורשת - 20</t>
  </si>
  <si>
    <t>תמיכה בפעילות מחקרית מכון שוקן</t>
  </si>
  <si>
    <t>תמיכה לפעילות לשנת 2020</t>
  </si>
  <si>
    <t>עמותת הנני -מורשת עדות 2020</t>
  </si>
  <si>
    <t>פעילות מורשת 2020</t>
  </si>
  <si>
    <t>הגשת בקשה מכוני מחקר 2020</t>
  </si>
  <si>
    <t>תמיכה בקידום מקצועיות, מצוינות והגנה</t>
  </si>
  <si>
    <t>00</t>
  </si>
  <si>
    <t>שוטף 2020 מכון הר ברכה</t>
  </si>
  <si>
    <t>מרכז נדחי עדות ישראל מענ"י</t>
  </si>
  <si>
    <t>תמיכה בפעילות שוטפת והוצאה לאור</t>
  </si>
  <si>
    <t>תמיכה שוטפת 2020 מכון דעת תורה</t>
  </si>
  <si>
    <t>פעילות מורשת עדות ישראל 2020</t>
  </si>
  <si>
    <t>תמיכה באיגוד המוזיאונים 2020</t>
  </si>
  <si>
    <t>מסע שורשים אל תרבות עדות ישראל לשנת 2020</t>
  </si>
  <si>
    <t>מחקרים מכון המקדש 2020</t>
  </si>
  <si>
    <t>תמיכה במכון מחקר תורני</t>
  </si>
  <si>
    <t>תמיכה באיגודים מקצועים ואיגודי מוסדות</t>
  </si>
  <si>
    <t>תמיכה במכוני מחקר תורניים לשנת 2020</t>
  </si>
  <si>
    <t>תמיכה במכוני מחקר תורניים</t>
  </si>
  <si>
    <t>תמיכה ממשרד התרבות לשנת 2020</t>
  </si>
  <si>
    <t>איגודים מקצועיים בתחום התרבות</t>
  </si>
  <si>
    <t>השתתפות בפרוייקט מרכז לאומנות הסת"ם</t>
  </si>
  <si>
    <t>תמיכה למכון מחקר תורני</t>
  </si>
  <si>
    <t>תמיכה במכון מחקר "מכון הכתב"</t>
  </si>
  <si>
    <t>הפעלת המכון 2020</t>
  </si>
  <si>
    <t>סיוע להפצת מוזיקה יהודית</t>
  </si>
  <si>
    <t>הנחלת מורשת יהדות מרוקו וערכיה</t>
  </si>
  <si>
    <t>תמיכה שוטפת במכוני מחקר תורניים</t>
  </si>
  <si>
    <t>מחקרים תורניים בעלי חשיבות לאומית</t>
  </si>
  <si>
    <t>בקשה לתמיכה במרכז עדת יהודי קווקז בישראל</t>
  </si>
  <si>
    <t>מכון מחקר 2020 עטרת ירושלים</t>
  </si>
  <si>
    <t>תמיכה במכון מחקר תורני - הישיבה הגבוהה א</t>
  </si>
  <si>
    <t>תמיכה בעמותה המפעילה מכון מחקר תורני</t>
  </si>
  <si>
    <t>כנסים, עריכת ספרים ומחקרים</t>
  </si>
  <si>
    <t>תיעוד,חקר, והפצת מורשת עדת יהודי תימן</t>
  </si>
  <si>
    <t>בקשת תמיכה במכון תורני</t>
  </si>
  <si>
    <t>תמיכה ממשרד התרבות 2020</t>
  </si>
  <si>
    <t>תמיכה בהוצאה לאור של א.ב חדשות השומרונים</t>
  </si>
  <si>
    <t>תמיכה בפעילות מכון המחקר</t>
  </si>
  <si>
    <t>מכון מחקר תורני - פעילות שוטפת</t>
  </si>
  <si>
    <t>תמיכה במחקרי המכון והספריה</t>
  </si>
  <si>
    <t>תמיכה במכוני מחקר בעלי חשיבות לאומית</t>
  </si>
  <si>
    <t>פעילות שוטפת 2018</t>
  </si>
  <si>
    <t>פעולות תרבות לשימור מורשת עולי מצרים</t>
  </si>
  <si>
    <t>תמיכה באיגודים מקצועיים שנת 2020</t>
  </si>
  <si>
    <t>תמיכה באיגודים מקצועיים 2020</t>
  </si>
  <si>
    <t>תמיכה בספרי בן מלך</t>
  </si>
  <si>
    <t>מכוני מחקר 2020</t>
  </si>
  <si>
    <t>בקשה לתמיכה במורשת עדות של נשימה</t>
  </si>
  <si>
    <t>תמיכה במכון מחקר תורני בעל חשיבות לאומי</t>
  </si>
  <si>
    <t>מורשת עדות ישראל 2020</t>
  </si>
  <si>
    <t>תמיכה עבור 2020</t>
  </si>
  <si>
    <t>איגודים מקצועיים</t>
  </si>
  <si>
    <t>תמיכה בפעילות הנחלת מורשת יהדות לוב</t>
  </si>
  <si>
    <t>הוצאת בתלמוד עם הלכה ברורה ובירור הלכה</t>
  </si>
  <si>
    <t>תמיכות 2020</t>
  </si>
  <si>
    <t>בקשה שוטפת לשנת 2020</t>
  </si>
  <si>
    <t>תמיכה בפעילויות לשימור המורשת הכורדית</t>
  </si>
  <si>
    <t>תמיכה בפעילות המרכז לשנת העבודה 2020</t>
  </si>
  <si>
    <t>פעילות מחקר</t>
  </si>
  <si>
    <t>תמיכה שוטפת בפעילות המכון</t>
  </si>
  <si>
    <t>תמיכה במחקרים של אריאל</t>
  </si>
  <si>
    <t>תמיכה שוטפת בפעילות למעם האמנים הפלסטיים</t>
  </si>
  <si>
    <t>תחומין</t>
  </si>
  <si>
    <t>יישומים</t>
  </si>
  <si>
    <t>בקשה לתמיכה שוטפת בעמותה עבור מחקר</t>
  </si>
  <si>
    <t>מכון 2020 580007433</t>
  </si>
  <si>
    <t>ההדרה ופרסום כתבי יד 2020</t>
  </si>
  <si>
    <t>הוצאה לאור של מחקרים תורניים</t>
  </si>
  <si>
    <t>תמיכה בפעילות הנחלת מורשת יהדות ליטא</t>
  </si>
  <si>
    <t>מכונים 2020</t>
  </si>
  <si>
    <t>תמיכה עבור פעילות עדות ישראל</t>
  </si>
  <si>
    <t>בקשת תמיכה 2020 מחקר</t>
  </si>
  <si>
    <t>522142 בקשת תמיכה לאחזקה שוטפת בפנימיה</t>
  </si>
  <si>
    <t>תיכמה שוטפת 2020</t>
  </si>
  <si>
    <t>תמיכה שנתית בתזמורת</t>
  </si>
  <si>
    <t>תמיכה שנתית בפעילות האנסמבל</t>
  </si>
  <si>
    <t>11280 מרכז המוסיקה</t>
  </si>
  <si>
    <t>ליטוש זמרים מקצועיים צעירים הפקת אופרה</t>
  </si>
  <si>
    <t>תקנת ירושלים מרכזי מוסיקה</t>
  </si>
  <si>
    <t>2020 - הכשרת הדור הבא של חזנים ובעלי תפי</t>
  </si>
  <si>
    <t>התזמורת הקאמרית כ"ס 2020 - אגף תרבות</t>
  </si>
  <si>
    <t>התזמורת הקאמרית כ"ס 2020 אגף תרבות 2</t>
  </si>
  <si>
    <t>תחרות ע"ש פאול בן חיים</t>
  </si>
  <si>
    <t>התזמורת הערבית יהודית</t>
  </si>
  <si>
    <t>מחנות הנוער המוסיקלי</t>
  </si>
  <si>
    <t>אירועי מוסיקה בנווה שכטר 2020</t>
  </si>
  <si>
    <t>תזמורת למוסיקה שורשית</t>
  </si>
  <si>
    <t>תמיכה לפרויקט "אופרה זעירה"</t>
  </si>
  <si>
    <t>שיר לשירה</t>
  </si>
  <si>
    <t>תזמורת סימפונית חיפה</t>
  </si>
  <si>
    <t>כיתות אמן בינלאומיות לכלי קשת</t>
  </si>
  <si>
    <t>פעילות מוסיקה 2020</t>
  </si>
  <si>
    <t>מוזיקת ג'אז תאטרון הסמטה 2020</t>
  </si>
  <si>
    <t>קיום תחרות בינלאומית בנגינה על פסנתר</t>
  </si>
  <si>
    <t>גוג ומגוג שואו</t>
  </si>
  <si>
    <t>מכון למוסיקה ישראלית</t>
  </si>
  <si>
    <t>אנסמבל המאה ה-21 תמיכה שוטפת</t>
  </si>
  <si>
    <t>תחרות ארצית לפסנתרנים 2020</t>
  </si>
  <si>
    <t>כיתות אומן וימי עיון</t>
  </si>
  <si>
    <t>התחרות ע"ש פאול בן חיים</t>
  </si>
  <si>
    <t>סדרת מחוות לגדולי המלחינים המוסיקאים</t>
  </si>
  <si>
    <t>סדרת מחוות לגדולי המלחינים והמוסיקאים</t>
  </si>
  <si>
    <t>מקהלת בת שיר</t>
  </si>
  <si>
    <t>אופרה חיפה</t>
  </si>
  <si>
    <t>פסטיבל נושפים ה-31 בכפר סבא</t>
  </si>
  <si>
    <t>מרכז מוסיקה</t>
  </si>
  <si>
    <t>זמרי רמת הנגב</t>
  </si>
  <si>
    <t>הרכבי ג'אזרט</t>
  </si>
  <si>
    <t>תחרות כלי נשיפה כפר סבא</t>
  </si>
  <si>
    <t>תחרות פנינה זלצמן מס' 8 לפסנתרנים צעירים</t>
  </si>
  <si>
    <t>פרויקטים אופראיים</t>
  </si>
  <si>
    <t>תמיכה שוטפת בפעילות המקהלה</t>
  </si>
  <si>
    <t>כיתת אמן למנצחים</t>
  </si>
  <si>
    <t>תמיכה בפעילות שוטפת ובהגדלת היקף הפעילות</t>
  </si>
  <si>
    <t>תמיכה שוטפת המקהלה הקאמרית הירושלמית "מו</t>
  </si>
  <si>
    <t>כיתות אמן-היסטוריה מוסיקה וזכרון</t>
  </si>
  <si>
    <t>התזמורת האנדלוסית הישראלית אשדוד</t>
  </si>
  <si>
    <t>תמיכה בסדנת האופרה הבין לאומית</t>
  </si>
  <si>
    <t>מוזיקה בזכות הקהילה</t>
  </si>
  <si>
    <t>תמיכה שוטפת - מוסיקה קולית מסורתית</t>
  </si>
  <si>
    <t>תחרות העוד</t>
  </si>
  <si>
    <t>תחרויות מוסיקה 2020</t>
  </si>
  <si>
    <t>גופים כליים קונסרבטוריון 2020</t>
  </si>
  <si>
    <t>קבוצות ואנסמבלים 2020</t>
  </si>
  <si>
    <t>גופים קוליים (מקהלות) 2020</t>
  </si>
  <si>
    <t>מקהלת מעיין 2020</t>
  </si>
  <si>
    <t>פועם בלב -מוזיקה קאמרית ישראלית</t>
  </si>
  <si>
    <t>השוברטיאדה הישראלית</t>
  </si>
  <si>
    <t>כיתות אמן צ'ליל בגליל</t>
  </si>
  <si>
    <t>אנסמבל עלמה -קול נשי ישראלי</t>
  </si>
  <si>
    <t>מקהלת אודיאנה</t>
  </si>
  <si>
    <t>שלישיית עתר</t>
  </si>
  <si>
    <t>הרכב אקוט</t>
  </si>
  <si>
    <t>לה פלפולה גרוב</t>
  </si>
  <si>
    <t>אנסמבל מצו</t>
  </si>
  <si>
    <t>רביעיית שורולה</t>
  </si>
  <si>
    <t>מורין נהדר- קבוצה</t>
  </si>
  <si>
    <t>יובל כהן- הרכב</t>
  </si>
  <si>
    <t>חמישיית תל אביב לכלי נשיפה מעץ</t>
  </si>
  <si>
    <t>עמית פרידמן-הרכב</t>
  </si>
  <si>
    <t>אנסמבל ניקל</t>
  </si>
  <si>
    <t>אנסמבל ינון מועלם</t>
  </si>
  <si>
    <t>אנסמבל גלעד אפרת</t>
  </si>
  <si>
    <t>אנסמבל גולסא</t>
  </si>
  <si>
    <t>סווינג דה ג'יטאן</t>
  </si>
  <si>
    <t>אנסמבל ארז נטף</t>
  </si>
  <si>
    <t>המהלה הקאמרית תמיכה שוטפת</t>
  </si>
  <si>
    <t>מקהלת אנקור- תמיכה שוטפת</t>
  </si>
  <si>
    <t>תחרוית האביב</t>
  </si>
  <si>
    <t>מקהלת לירון - תמיכה לשנת 2020</t>
  </si>
  <si>
    <t>מקהלת "בת-קול" 2020</t>
  </si>
  <si>
    <t>תמיכה בפרוייקט "ברוב קולות"</t>
  </si>
  <si>
    <t>שיר לשירה - היצירה הישראלית החדשה</t>
  </si>
  <si>
    <t>תחרות האמן הצעיר</t>
  </si>
  <si>
    <t>תמיכה ללהקת בין השמשות</t>
  </si>
  <si>
    <t>פרויקט פריצת דיסק</t>
  </si>
  <si>
    <t>קונסרבטוריון</t>
  </si>
  <si>
    <t>שוטף כולל מל"י</t>
  </si>
  <si>
    <t>אנסמבל מיתר</t>
  </si>
  <si>
    <t>מקהלת הקיבוץ הארצי</t>
  </si>
  <si>
    <t>מרכז מוסיקה 2020</t>
  </si>
  <si>
    <t>תחרות בינלאומית לחליליות 2020</t>
  </si>
  <si>
    <t>מרכז מוסיקלי תרבותי בירושלים-תקצוב שוטף</t>
  </si>
  <si>
    <t>מקהלת לירון- בקשת תמיכה 2020</t>
  </si>
  <si>
    <t>פעילות מוזיקה -מופעים בקהילה</t>
  </si>
  <si>
    <t>מקהלת מנדא</t>
  </si>
  <si>
    <t>כיתות אומן</t>
  </si>
  <si>
    <t>מקהלת שחר</t>
  </si>
  <si>
    <t>כיתות אמן</t>
  </si>
  <si>
    <t>קבוצות מוסיקאליות</t>
  </si>
  <si>
    <t>פעילות 2020</t>
  </si>
  <si>
    <t>רימון ביס למוסיקה - תזמורת הביג בנד 2020</t>
  </si>
  <si>
    <t>פסטיבל לילות עכו 2020</t>
  </si>
  <si>
    <t>כיתות אמן לכינור- מרים פריד</t>
  </si>
  <si>
    <t>כיתות אמן לפסנתר - מארי פרחיה</t>
  </si>
  <si>
    <t>מרכזי מוזיקה 2020</t>
  </si>
  <si>
    <t>מקהלת האיחוד 2020</t>
  </si>
  <si>
    <t>אנסמבלים- תזמורת ביג בנד</t>
  </si>
  <si>
    <t>הרכבים קאמריים 2020</t>
  </si>
  <si>
    <t>מרכזי מוסיקה 2020</t>
  </si>
  <si>
    <t>תמיכה במרכז המוזיקה של מעלות תרשיחא</t>
  </si>
  <si>
    <t>כיתות אומן 2020</t>
  </si>
  <si>
    <t>הסשנים של בית גת-קולות חבויים מירושלים</t>
  </si>
  <si>
    <t>ILLUMINATION-מורשת מוזיקה יהודית איטלקית</t>
  </si>
  <si>
    <t>אירוע מכתש הנגנים 5</t>
  </si>
  <si>
    <t>לחפש את נמו</t>
  </si>
  <si>
    <t>תחרויות הנבל הבינלאומיות</t>
  </si>
  <si>
    <t>תחרות הנבל הבינלאומית בישראל</t>
  </si>
  <si>
    <t>זמריית קודש וחול בעכו העתיקה</t>
  </si>
  <si>
    <t>פסטיבל ותחרות הנבל הישראלית הרביעית</t>
  </si>
  <si>
    <t>התזמורת האנדלוסית אלמוגרבייה 2020 מעלות</t>
  </si>
  <si>
    <t>קאמרינגב עונת מופעים 2020</t>
  </si>
  <si>
    <t>מקהלת גיא בן הינום</t>
  </si>
  <si>
    <t>התזמורת האנדלוסית אלמוגרבייה</t>
  </si>
  <si>
    <t>תזמורת ארמון בזמן 2020- תקנת ירושלים</t>
  </si>
  <si>
    <t>ריטריט כיתות אמן</t>
  </si>
  <si>
    <t>קבוצות מוסיקליות</t>
  </si>
  <si>
    <t>11279 תמיכה בקבוצות ואנסמבלים מוסיקליים</t>
  </si>
  <si>
    <t>מקהלת שחר תמיכה לגופים קוליים 2020</t>
  </si>
  <si>
    <t>תזמורת חליליות בוגרים</t>
  </si>
  <si>
    <t>תמיכה בחבורת הזמר</t>
  </si>
  <si>
    <t>חממת מנצחים</t>
  </si>
  <si>
    <t>סיוע לשתי תלמידות</t>
  </si>
  <si>
    <t>תחרות פנינה זלצמן לפסנתרנים צעירים</t>
  </si>
  <si>
    <t>תחרות כלי נשיפה ארצית בכפר סבא</t>
  </si>
  <si>
    <t>גופיים קוליים- להקת מזמורי תימן</t>
  </si>
  <si>
    <t>מרכז מוזיקה מתנס גן יבנה</t>
  </si>
  <si>
    <t>11281קידום יצירה ישראלית</t>
  </si>
  <si>
    <t>11277 מקהלות</t>
  </si>
  <si>
    <t>שיר לשירה - פרויקט יצירה מ</t>
  </si>
  <si>
    <t>אנסמבלים מוסיקליים</t>
  </si>
  <si>
    <t>יד יצחק בן צבי - תאגיד עפ"י חוק 2020</t>
  </si>
  <si>
    <t>19-42-02-17</t>
  </si>
  <si>
    <t>יד בן צבי</t>
  </si>
  <si>
    <t>גלריה ברבור בנחלאות, ירושלים - שוטף</t>
  </si>
  <si>
    <t>המפעל - פרויקט אמנות פלסטית</t>
  </si>
  <si>
    <t>בית אוסישקין-תמיכה שוטפת 2020</t>
  </si>
  <si>
    <t>בית אוסישקין-מוזיאון בפריפריה 2020</t>
  </si>
  <si>
    <t>תמיכה שוטפת במוזיאון לשנת 2020</t>
  </si>
  <si>
    <t>תמיכה שוטפת למוזיאון מוכר</t>
  </si>
  <si>
    <t>תמיכה בגלריית הקוביה</t>
  </si>
  <si>
    <t>הגלריה החדשה טדי</t>
  </si>
  <si>
    <t>כתות אמן</t>
  </si>
  <si>
    <t>גלריה עירונית - אומנות פלסטית</t>
  </si>
  <si>
    <t>תמיכה שוטפת בגלריה לאמנות</t>
  </si>
  <si>
    <t>בקשה לתמיכה בהמשך פעילות חנינא מקום לאמנ</t>
  </si>
  <si>
    <t>הגלריה העירונית גבעתיים - מכון המים</t>
  </si>
  <si>
    <t>תמיכה שוטפת בתפעול הגלריה השיתופית P8</t>
  </si>
  <si>
    <t>פסטיבל סוכות לתרבות ויצירה ישראלית</t>
  </si>
  <si>
    <t>תמיכה שוטפת גלריית משכן האמנים 2020</t>
  </si>
  <si>
    <t>תמיכה שוטפת גלריה 2020</t>
  </si>
  <si>
    <t>פרויקט אמנותי 2020</t>
  </si>
  <si>
    <t>תמיכה בגלריה לאומנות יבנה 2020</t>
  </si>
  <si>
    <t>תמיכה בגלריית ביתא</t>
  </si>
  <si>
    <t>תמיכה שוטפת בפעילות המרכז לאמנות עכשווית</t>
  </si>
  <si>
    <t>תמיכה בקטלוג סלון הקוביה</t>
  </si>
  <si>
    <t>אמנות בבניין מגורים- גלריית כורש 14</t>
  </si>
  <si>
    <t>כיתת אמן אמנות אקולוגית</t>
  </si>
  <si>
    <t>אומנות פלסטית 2020 אגף תרבות</t>
  </si>
  <si>
    <t>פרויקט אמנותי 2020 וינה 1900</t>
  </si>
  <si>
    <t>תמיכה בפרויקט עבור מגדל דוד</t>
  </si>
  <si>
    <t>תמיכה שוטפת מוזיאון חצר תל חי</t>
  </si>
  <si>
    <t>המרכז לאומנות דיגיטלית -שוטף 2020</t>
  </si>
  <si>
    <t>אמנות פלסטית הזירה הבין תחומית</t>
  </si>
  <si>
    <t>תמיכה שוטפת במוזיאון בית ראובן לשנת 2020</t>
  </si>
  <si>
    <t>תמיכה שותפת בפעילות הגלריות בבית בנימיני</t>
  </si>
  <si>
    <t>תמיכה במכון אלפרד לקידום אמנות ותרבות</t>
  </si>
  <si>
    <t>פעילות שוטפת במוזאון</t>
  </si>
  <si>
    <t>תמיכה שוטפת למוזיאון ע"ש ערן שמיר</t>
  </si>
  <si>
    <t>הנגשה דיגיטלית של האוסף</t>
  </si>
  <si>
    <t>שימור האוסף</t>
  </si>
  <si>
    <t>פעילות שוטפת במוזיאון בשנת 2020</t>
  </si>
  <si>
    <t>פעילות במוזיאון תקנת ירושלים 2020</t>
  </si>
  <si>
    <t>תמיכה בפרויקט אמנות</t>
  </si>
  <si>
    <t>תמיכה בפעילות גלריות</t>
  </si>
  <si>
    <t>פרויקט שימור אוספים</t>
  </si>
  <si>
    <t>פרויקט שימור אוספים - מוזאון ראשון לציון</t>
  </si>
  <si>
    <t>אמנות פלסטית</t>
  </si>
  <si>
    <t>תמיכה בתערוכות מוזיאון הרצליה 2020</t>
  </si>
  <si>
    <t>שימור אוספים 2020</t>
  </si>
  <si>
    <t>תיעוד והנגשה 2020</t>
  </si>
  <si>
    <t>תמיכה שוטפת בגלריה</t>
  </si>
  <si>
    <t>פרוייקט שימור אוספים - 2020</t>
  </si>
  <si>
    <t>פרוייקט מחשוב והנגשת מידע דיגיטלי - 2020</t>
  </si>
  <si>
    <t>מעבדתרבות דימונה גלריה לאמנות עכשווית</t>
  </si>
  <si>
    <t>גלריה קו 16 2020</t>
  </si>
  <si>
    <t>פרויקטים מוזיאלים - תיעוד והנגשה 2020</t>
  </si>
  <si>
    <t>אמנות פלסטית 2020</t>
  </si>
  <si>
    <t>פרויקטים- שימור אוספים</t>
  </si>
  <si>
    <t>פרויקטים- דיגיטציה</t>
  </si>
  <si>
    <t>פרויקטים- שיפוץ והנגשה</t>
  </si>
  <si>
    <t>תיעוד והנגשה</t>
  </si>
  <si>
    <t>שימור ושיקום אוספים 2020</t>
  </si>
  <si>
    <t>גלריה עירונית לאמנות תמיכה שוטפת 2020</t>
  </si>
  <si>
    <t>תמיכה בגלריה לאמנות עכשווית AMOCA בסחנין</t>
  </si>
  <si>
    <t>בקשת תמיכה שוטפת</t>
  </si>
  <si>
    <t>פרויקט תיעוד והנגשה 2020</t>
  </si>
  <si>
    <t>שימור אוספים</t>
  </si>
  <si>
    <t>מוזאון ראשון לציון שימור אוספים 2020</t>
  </si>
  <si>
    <t>פרויקט דיגיטציה - מוזאון ראשון לציון</t>
  </si>
  <si>
    <t>שימור אוספים - הקמת מחסן אמנות חדש</t>
  </si>
  <si>
    <t>קבלת תמיכה עבור גלריה שיתופית לצילום</t>
  </si>
  <si>
    <t>תמיכה בפרוייקטים - קטלוג</t>
  </si>
  <si>
    <t>תמיכה בתיעוד ורישום האוסף</t>
  </si>
  <si>
    <t>עמותת הציירים והפסלים גלריה תמיכה 2020</t>
  </si>
  <si>
    <t>הציירים 2020</t>
  </si>
  <si>
    <t>אמנות פלסטית חלל תצוגה ציבורי טבעון 2020</t>
  </si>
  <si>
    <t>פרויקט תחום אומנות חזותית ק.טבעון 2020</t>
  </si>
  <si>
    <t>פרויקט שימור אוספים לשנת 2020</t>
  </si>
  <si>
    <t>מוזאוני אשדוד 2020</t>
  </si>
  <si>
    <t>תיעוד והנגשה 2020 מוזאוני אשדוד</t>
  </si>
  <si>
    <t>פרויקט ספר העשור 2020</t>
  </si>
  <si>
    <t>פרוייקט תיעוד והנגשה -מיחשוב אוספים 2020</t>
  </si>
  <si>
    <t>פרוייקט שימור אוספים 2020</t>
  </si>
  <si>
    <t>תמיכה שוטפת גלריה</t>
  </si>
  <si>
    <t>שוטף - הפקת תערוכות, פרסומים וחינוך</t>
  </si>
  <si>
    <t>מוסדות ציבור אמנות פלסטית: תמיכה 2020 בח</t>
  </si>
  <si>
    <t>אומנות פלסטית בית ביאליק 2020</t>
  </si>
  <si>
    <t>אומנות פלסטית תערוכה מרכזית 2020</t>
  </si>
  <si>
    <t>תמיכה שוטפת למוזאון פ"ת לאומנות 2020</t>
  </si>
  <si>
    <t>כיתת אמן סטודיו פתוח כנפיים</t>
  </si>
  <si>
    <t>מחשוב אוספים- העצמת תזארוס</t>
  </si>
  <si>
    <t>שימור -מוזאון העיצוב 2020</t>
  </si>
  <si>
    <t>מחשוב -מוזאון העיצוב 2020</t>
  </si>
  <si>
    <t>מחשוב - מוזאון הקומיקס 2020</t>
  </si>
  <si>
    <t>שימור -מוזאון הקומיקס 2020</t>
  </si>
  <si>
    <t>גלריה אמנות פלסטית</t>
  </si>
  <si>
    <t>שימור 2020</t>
  </si>
  <si>
    <t>דיגיטציה 2020</t>
  </si>
  <si>
    <t>אמנות פלסטית פרויקט 2020</t>
  </si>
  <si>
    <t>תמיכה שוטפת בגלריה 2020</t>
  </si>
  <si>
    <t>פרוייקטים</t>
  </si>
  <si>
    <t>בקשה לתמיכה בגלריית כורש 14</t>
  </si>
  <si>
    <t>הנגשה - אתר אינטרנט</t>
  </si>
  <si>
    <t>אומנות פלסטית- בין שמיים לארץ</t>
  </si>
  <si>
    <t>אומנות פלסטית לתזמורת הקאמרית 2020</t>
  </si>
  <si>
    <t>מוזיאון חצר תל חי שימור אוספים</t>
  </si>
  <si>
    <t>מוזיאון חצר תל חי תמיכה למחשוב ודיגיטציה</t>
  </si>
  <si>
    <t>תמיכה בפרוייקט תיעוד</t>
  </si>
  <si>
    <t>תמיכה בפרוייקט שימור אוספים</t>
  </si>
  <si>
    <t>הפעלה שוטפת- גלריה לאמנות עכשווית</t>
  </si>
  <si>
    <t>פרויקט שמור האוסף לשנת 2020</t>
  </si>
  <si>
    <t>הפקת קטלוג - פרוייקט קהילתי</t>
  </si>
  <si>
    <t>פרויקט הנגשה דיגיטלית</t>
  </si>
  <si>
    <t>גלרית השלום בגבעת חביבה</t>
  </si>
  <si>
    <t>פרויקט מיוחד אמנות פלסטית הפקת קטלוג</t>
  </si>
  <si>
    <t>תמיכה שוטפת בפעילות הגלריה ע"ש אפטר במרכ</t>
  </si>
  <si>
    <t>מוזאון ראשון לציון - תמיכה שוטפת 2020</t>
  </si>
  <si>
    <t>הפקת קטלוג יעקב אגם</t>
  </si>
  <si>
    <t>בית אוסף קופפרמן</t>
  </si>
  <si>
    <t>תמיכה שוטפת למוזאון האדם והסביבה 2020</t>
  </si>
  <si>
    <t>גלריה קיבוץ לוחמי הגטאות</t>
  </si>
  <si>
    <t>גלריה 2020</t>
  </si>
  <si>
    <t>תמיכה בהפקת קטלוג לטרילוגיית תערוכות</t>
  </si>
  <si>
    <t>תמיכה שוטפת למובי: מוזיאוני בת ים</t>
  </si>
  <si>
    <t>גלריה ויטרינה ע"ש ג'וליה מזרחי</t>
  </si>
  <si>
    <t>תיעוד והנגשה לשנת 2020</t>
  </si>
  <si>
    <t>תמיכה בפרויקט הנגשה ודיגיטציה</t>
  </si>
  <si>
    <t>תמיכה בפרויקט בשימור אוספים</t>
  </si>
  <si>
    <t>פרויקט מחשוב והנגשת מידע 2020</t>
  </si>
  <si>
    <t>פרויקט שימור אוספים 2020</t>
  </si>
  <si>
    <t>תמיכה שוטפת בפעילות הגלריה</t>
  </si>
  <si>
    <t>מוסדות ציבור אמנות פלסטית</t>
  </si>
  <si>
    <t>תמיכה בשימור</t>
  </si>
  <si>
    <t>סימפוזיון הקיץ בסדנה לאמנות</t>
  </si>
  <si>
    <t>גלריה כברי</t>
  </si>
  <si>
    <t>גלריה אטליה שמי</t>
  </si>
  <si>
    <t>הפקת קטלוג ופתיחת תערוכת סיכום</t>
  </si>
  <si>
    <t>הפקת קטלוג</t>
  </si>
  <si>
    <t>סימפוזיון אומנות חזותית-זיק 35</t>
  </si>
  <si>
    <t>שימור אספים 2020 באר שבע</t>
  </si>
  <si>
    <t>שימור דגם הקיבוץ - פרוייקט שימור מוצגים</t>
  </si>
  <si>
    <t>בקשת תמיכה לשימור אוספים</t>
  </si>
  <si>
    <t>תמיכה למוזיאון הצייר משה קסטל</t>
  </si>
  <si>
    <t>פרויקט שימור מערכת מים ופריטים ארכיטקטונ</t>
  </si>
  <si>
    <t>הפקת קטלוג מסכם הביאנלה הים תיכונית</t>
  </si>
  <si>
    <t>אומנות פלסטית</t>
  </si>
  <si>
    <t>פרויקט שימור אוספים - 2020</t>
  </si>
  <si>
    <t>מגדל המים אירועי תרבות</t>
  </si>
  <si>
    <t>"עבודת אדמה" - פרויקט אמנות סביבתיתי- מג</t>
  </si>
  <si>
    <t>פסטיבל אדריכלות ישראלית 2020 FIA</t>
  </si>
  <si>
    <t>תמיכה בחלל תצוגה מעמותה</t>
  </si>
  <si>
    <t>תמיכה בגלריה בבית האדריכל- 2020</t>
  </si>
  <si>
    <t>שימור האסף</t>
  </si>
  <si>
    <t>פרויקט תיעוד והנגשה</t>
  </si>
  <si>
    <t>בקשה לתמיכה בפרויקט שימור ורסטורציה 2020</t>
  </si>
  <si>
    <t>הנגשת אוספים- מחשב לרישום מוצגים</t>
  </si>
  <si>
    <t>תיעוד ודיגיטציה 2020</t>
  </si>
  <si>
    <t>מרכז רכטר "חשוף" ספר אמן 2020</t>
  </si>
  <si>
    <t>מרכז רכטר סימפוזיון 2020</t>
  </si>
  <si>
    <t>מ. רכטר כיתת אמן, אדריכלות ותיאטרון 2020</t>
  </si>
  <si>
    <t>מרכז רכטר רסטורציה ושימור יצירות 2020</t>
  </si>
  <si>
    <t>אלימות כנגד נשים בראי האמנות החזותית</t>
  </si>
  <si>
    <t>תמיכה בגלריה לימודית 2020</t>
  </si>
  <si>
    <t>תמיכה במרכז לאמנות עכשווית בערד</t>
  </si>
  <si>
    <t>כנס אמנות ומדבר</t>
  </si>
  <si>
    <t>תשתיות מחשוב והנגשת מידע דיגיטלי 2020</t>
  </si>
  <si>
    <t>כתיבת קטלוג</t>
  </si>
  <si>
    <t>כיתת אמן - אומנות מקיימת חברה</t>
  </si>
  <si>
    <t>פרויקט- כנס אמהות ביצירה ובתרבות עכשווית</t>
  </si>
  <si>
    <t>פרויקט שימור מתקני תצוגה בכספת המוזיאון</t>
  </si>
  <si>
    <t>אלמז - יוצאי אתיופיה קטלוג עבודת יד 2020</t>
  </si>
  <si>
    <t>בקשה לתמיכה בביטוח תערוכה בינלאומית</t>
  </si>
  <si>
    <t>יום עיון גלריה כברי</t>
  </si>
  <si>
    <t>תמיכה 2020 בפרוייקטים</t>
  </si>
  <si>
    <t>11270 מוזיאליים במוזיאונים</t>
  </si>
  <si>
    <t>אוצרות והפקת 10 תערוכות יחיד וקבוצתיות</t>
  </si>
  <si>
    <t>מחשוב והנגשת האוסף לציבור</t>
  </si>
  <si>
    <t>פעילות גלריה שכטר 2020</t>
  </si>
  <si>
    <t>פרויקט לגלריה שכטר 2020 – קפה לורנץ</t>
  </si>
  <si>
    <t>פרויקט תיעוד והנגשה דיגיטלית 2020</t>
  </si>
  <si>
    <t>תמיכה בקטלוג 20 שנה סלה-מנקה</t>
  </si>
  <si>
    <t>פטיש ונוצה מג'אר 2020</t>
  </si>
  <si>
    <t>בקשת תמיכה בפרויקט שימור אוספים</t>
  </si>
  <si>
    <t>תמיכה שוטפת בפעילות של המוזאון</t>
  </si>
  <si>
    <t>שימור פריטים ארכיטקטוניים הנמצאים בחצר ה</t>
  </si>
  <si>
    <t>יום עיון והשקת ספר-צילום כלי לשנוי חברתי</t>
  </si>
  <si>
    <t>כיתת אמן- אומנות מתקדמת</t>
  </si>
  <si>
    <t>פרויקט שאמאנות 2020</t>
  </si>
  <si>
    <t>אמנות פלסטית גלריות 2020</t>
  </si>
  <si>
    <t>תמיכה ב"גלריה על הצוק" בנתניה</t>
  </si>
  <si>
    <t>הפקת ספר ויום עיון-צלום ככלי לשנוי חברתי</t>
  </si>
  <si>
    <t>אמנות גלריות שוטף 2020</t>
  </si>
  <si>
    <t>פרויקט כנס שהויות אמן</t>
  </si>
  <si>
    <t>אמנות פרוייקט 2020</t>
  </si>
  <si>
    <t>תמיכה בפרויקט אמנות חזותית-גילדה אשכול</t>
  </si>
  <si>
    <t>פרויקט מחשוב והנגשה 2020- מוזאון האדם וה</t>
  </si>
  <si>
    <t>תערוכות אמנות שלא בחללי גלריות יעודיות</t>
  </si>
  <si>
    <t>בקשה לפרויקט - כיתת אמן עם האמנית הדר גד</t>
  </si>
  <si>
    <t>סימפוזיון אמנות ובריאות הנפש</t>
  </si>
  <si>
    <t>פרויקט תיעוד והנגשת מידע לשנת 2020</t>
  </si>
  <si>
    <t>תיעוד והנגשה-תרגום ודבוב סרט לאנגלית וער</t>
  </si>
  <si>
    <t>שימור אוספים-שימור חדר חוקר טבע</t>
  </si>
  <si>
    <t>תמיכה לפרוייקט זומו בגליל התחתון</t>
  </si>
  <si>
    <t>גלרייה עירונית עפולה</t>
  </si>
  <si>
    <t>תמיכה בגלרייה גלילית "סימן שאלה"</t>
  </si>
  <si>
    <t>זומו לוד המוזיאון שבדרך</t>
  </si>
  <si>
    <t>11272 יצירת פינת שבשבות דינאמיות המונעות</t>
  </si>
  <si>
    <t>11269 תמיכה שוטפת במוזאונים</t>
  </si>
  <si>
    <t>אומנות פלטסטית - פסוטה 2020</t>
  </si>
  <si>
    <t>אומנות פלאסטית פסוטה 2020</t>
  </si>
  <si>
    <t>אמנות פלסטית פרוייקטים</t>
  </si>
  <si>
    <t>הביאנלה לאומנויות ולעיצוב תל-אביב 2020</t>
  </si>
  <si>
    <t>אורות הכרך</t>
  </si>
  <si>
    <t>זומו לוד- המוזיאון שבדרך</t>
  </si>
  <si>
    <t>פרוייקט אמנות קטלוג רטרוספקטיבה</t>
  </si>
  <si>
    <t>בית אריה קלנג 2020</t>
  </si>
  <si>
    <t>תמיכה בגלריה (בית האמנים במודיעין )</t>
  </si>
  <si>
    <t>האקדמיה ללשון עברית-תאגיד עפ"י חוק 2020</t>
  </si>
  <si>
    <t>19-42-02-19</t>
  </si>
  <si>
    <t>האקדמיה ללשון העברית</t>
  </si>
  <si>
    <t>להקת מחול מקצועית שוטף</t>
  </si>
  <si>
    <t>הפעלת בית ספר מקצועי למחול- שוטף</t>
  </si>
  <si>
    <t>תמיכה בבית ספר למחול של ורטיגו</t>
  </si>
  <si>
    <t>ארוח קבוצות מחול</t>
  </si>
  <si>
    <t>תמיכה בתקציב שוטף בית ספר למחול</t>
  </si>
  <si>
    <t>מרכז מחול בשדרות</t>
  </si>
  <si>
    <t>תמיכה לחבורת הזמר נופית</t>
  </si>
  <si>
    <t>תיאטרון הבית רמת יוחנן</t>
  </si>
  <si>
    <t>חבורת הזמר כפר חסידים</t>
  </si>
  <si>
    <t>להקת בימת העיר</t>
  </si>
  <si>
    <t>ספריה למחול - 2020</t>
  </si>
  <si>
    <t>סטודיו פתוח בתיאטרון הבית</t>
  </si>
  <si>
    <t>"דואט" - מחול בתיאטרון הבית</t>
  </si>
  <si>
    <t>זירת מחול</t>
  </si>
  <si>
    <t>יוצר נסיון</t>
  </si>
  <si>
    <t>מרכז מחול</t>
  </si>
  <si>
    <t>בי"ס למחול - ביכורי העתים 2020</t>
  </si>
  <si>
    <t>המסלול להכשרת רקדנים - ביכורי העתים 2020</t>
  </si>
  <si>
    <t>בית ספר למחול - גליל עליון</t>
  </si>
  <si>
    <t>אולפנת מחול ט-יב יואב 2020</t>
  </si>
  <si>
    <t>תמיכה שוטפת עמותת הכוריאוגרפים</t>
  </si>
  <si>
    <t>בקשת לתמיכה במרכז למחול עמק המעיינות 202</t>
  </si>
  <si>
    <t>בקשה לתמיכה לשנת 2020</t>
  </si>
  <si>
    <t>להקת המחול רמת הנגב</t>
  </si>
  <si>
    <t>תמיכה לחינוך מקצועי בתחום הבלט</t>
  </si>
  <si>
    <t>בית ספר למחול תש"ף - 2020</t>
  </si>
  <si>
    <t>תמיכה שוטפת פרויקט מדיומים</t>
  </si>
  <si>
    <t>תמיכה בבית ספר למחול-מסלול מצויינות</t>
  </si>
  <si>
    <t>חשיפה בינלאומית 2020</t>
  </si>
  <si>
    <t>בי"ס למחול</t>
  </si>
  <si>
    <t>תמיכה שוטפת יוצר עצמאי גיל קרר</t>
  </si>
  <si>
    <t>תמיכה שוטפת יוצר עצמאי דינה תלם</t>
  </si>
  <si>
    <t>תמיכה שוטפת יוצרת עצמאית דנה יהלומי</t>
  </si>
  <si>
    <t>תמיכה שוטפת יוצרת עצמאית דנה רוטנברג</t>
  </si>
  <si>
    <t>תמיכה שוטפת יוצרת עצמאית דפי אלטבב</t>
  </si>
  <si>
    <t>תמיכה שוטפת יוצר עצמאי הלל קוגן</t>
  </si>
  <si>
    <t>תמיכה שוטפת פרוייקט טייצ'</t>
  </si>
  <si>
    <t>תמיכה שוטפת יוצרת עצמאית לילך לבנה</t>
  </si>
  <si>
    <t>תמיכה שוטפת יוצרת עצמאית מאיה ברינר</t>
  </si>
  <si>
    <t>תמיכה שוטפת יוצרת עצמאית מאיה לוי</t>
  </si>
  <si>
    <t>תמיכה שוטפת יוצרת עצמאית מאיה מכלל גלפנד</t>
  </si>
  <si>
    <t>תמיכה שוטפת יוצרת עצמאית מיכל הרמן</t>
  </si>
  <si>
    <t>תמיכה שוטפת יוצרת עצמאית מירב כהן</t>
  </si>
  <si>
    <t>תמיכה שוטפת יוצרת עצמאית נימה יעקבי</t>
  </si>
  <si>
    <t>תמיכה ביוצר עצמאי נמרוד פריד</t>
  </si>
  <si>
    <t>תמיכה שוטפת יוצרת עצמאית נעה דר</t>
  </si>
  <si>
    <t>תמיכה שוטפת יוצרת עצמאית נעה צוק</t>
  </si>
  <si>
    <t>תמיכה שוטפת יוצרת עצמאית נעה שדור</t>
  </si>
  <si>
    <t>תמיכה שוטפת יוצרת עצמאית סאלי אן פרידלנד</t>
  </si>
  <si>
    <t>תמיכה שוטפת יוצר עצמאי סהר עזימי</t>
  </si>
  <si>
    <t>תמיכה שוטפת יוצרת עצמאית סילביה דוראן</t>
  </si>
  <si>
    <t>תמיכה שוטפת יוצר עצמאי עדו פדר</t>
  </si>
  <si>
    <t>תמיכה שוטפת יוצר עצמאי עודד רונן</t>
  </si>
  <si>
    <t>תמיכה שוטפת יוצר עצמאי עידן כהן</t>
  </si>
  <si>
    <t>תמיכה שוטפת יוצר עצמאי עידן שרעבי</t>
  </si>
  <si>
    <t>מ.א. ערבה תיכונה- ב"ס למחול 2020</t>
  </si>
  <si>
    <t>בקשת תמיכה ללהקת מחול רועי אססף</t>
  </si>
  <si>
    <t>בקשת תמיכה ליוצר רועי אסף</t>
  </si>
  <si>
    <t>בית ספר למחול 2020</t>
  </si>
  <si>
    <t>אושר</t>
  </si>
  <si>
    <t>המרכז למצוינות במחול</t>
  </si>
  <si>
    <t>תמיכה במוסדות ציבור במחול</t>
  </si>
  <si>
    <t>בתי ספר למחול לבני נוער קרית טבעון 2020</t>
  </si>
  <si>
    <t>תמיכה בארגון מוזיקאים מופיעים</t>
  </si>
  <si>
    <t>בית ספר לבלט פאנוב 2020</t>
  </si>
  <si>
    <t>תמיכה במחול 2020</t>
  </si>
  <si>
    <t>תמיכה שוטפת יוצרת עצמאית ענבל אושמן</t>
  </si>
  <si>
    <t>תמיכה שוטפת יוצרת עצמאית ענת שמגר</t>
  </si>
  <si>
    <t>תמיכה שוטפת פרוייקט 48</t>
  </si>
  <si>
    <t>תמיכה שוטפת יוצרת עצמאית רונית זיו</t>
  </si>
  <si>
    <t>תמיה שוטפת פרוייקט ריקודנטו</t>
  </si>
  <si>
    <t>תמיכה שוטפת פרוייקט ריקודנטו</t>
  </si>
  <si>
    <t>תמיכה שוטפת יוצרת עצמאית שרון צוקרמן</t>
  </si>
  <si>
    <t>מוסדות בתחום המחול/פרויקטים</t>
  </si>
  <si>
    <t>סדנת המחול מטה אשר 2020</t>
  </si>
  <si>
    <t>תמיכה בפעילות האולפן למחול לגילאי 14-18</t>
  </si>
  <si>
    <t>תמיכה שוטפת אופיר יודלביץ</t>
  </si>
  <si>
    <t>11287 בתי ספר ולהקות</t>
  </si>
  <si>
    <t>תמיכה שוטפת פרוייקט Non Image</t>
  </si>
  <si>
    <t>תמיכה שוטפת יוצרת עצמאית אודליה קופרברג</t>
  </si>
  <si>
    <t>ארגון גג למוזיקאים עצמאיים</t>
  </si>
  <si>
    <t>מ.א. מנשה תמיכה לבתי ספר לנוער לשנת 2020</t>
  </si>
  <si>
    <t>תקצוב ביה"ס הגבוה למחול בשער הנגב</t>
  </si>
  <si>
    <t>מחול 2020</t>
  </si>
  <si>
    <t>להקת מחול ענבל - תמיכה שוטפת</t>
  </si>
  <si>
    <t>קבוצה קאמרית וקידום של יוצרים עצמאים</t>
  </si>
  <si>
    <t>קרן עדי סדנאות העשרה בפלמנקו 2020</t>
  </si>
  <si>
    <t>בית ספר למחול מרכז אופק (מתנ"ס) 2020</t>
  </si>
  <si>
    <t>בר-קיימא לתרבות, אמנות מוסיקה ושלום</t>
  </si>
  <si>
    <t>בית ספר למחול</t>
  </si>
  <si>
    <t>אירועי מחול 2020</t>
  </si>
  <si>
    <t>בית ספר למחול משגב 2020</t>
  </si>
  <si>
    <t>ארגון הגג</t>
  </si>
  <si>
    <t>להקת מחול הורה שמש 2020</t>
  </si>
  <si>
    <t>בית ספר לנוער בתחום המחול- מ.א.מגידו</t>
  </si>
  <si>
    <t>בין הסדקים 2020</t>
  </si>
  <si>
    <t>בית ספר עירוני למחול FLY</t>
  </si>
  <si>
    <t>בקשה לתמיכה בבית ספר למחול מתנס קדימה צו</t>
  </si>
  <si>
    <t>11286 הרכב מחול</t>
  </si>
  <si>
    <t>להקת מחול היפ הופ</t>
  </si>
  <si>
    <t>פרויקטים מיוחדים בתחום המחול</t>
  </si>
  <si>
    <t>להקת המול אדמה</t>
  </si>
  <si>
    <t>להקת פולקלור תמיכה שוטפת 2020</t>
  </si>
  <si>
    <t>תו על קצות האצבעות</t>
  </si>
  <si>
    <t>בית ספר למחול נוער</t>
  </si>
  <si>
    <t>בית ספר למחול מתנס גן יבנה</t>
  </si>
  <si>
    <t>הפקות מופעי מחול הקשורים למורשת היהודית</t>
  </si>
  <si>
    <t>ריקוד עם ישראלי לשנת 2020</t>
  </si>
  <si>
    <t>להקת ריקודים על כסאות גלגלים</t>
  </si>
  <si>
    <t>להקת מחול הורה פולקלור מטה אשר 2020</t>
  </si>
  <si>
    <t>הפקה ותפעול מופעי מחול ריקודי עם ישראלי</t>
  </si>
  <si>
    <t>תמיכה בלהקות המחול העירוניות</t>
  </si>
  <si>
    <t>בקשת תמיכה פעילות מחול 2020 טבריה</t>
  </si>
  <si>
    <t>ריקוד עם ישראלי במשגב 2020</t>
  </si>
  <si>
    <t>להקת פולקלור הורה מטה אשר 2020</t>
  </si>
  <si>
    <t>הרצליה- ריקודי עם ישראלי</t>
  </si>
  <si>
    <t>ריקוד עם ישראלי מועצה אזורית אשכול</t>
  </si>
  <si>
    <t>סיוע מיוחד קרקס מראות</t>
  </si>
  <si>
    <t>סיוע מיוחד - ערבי תרבות</t>
  </si>
  <si>
    <t>ויקידאנס - ארכיון המחול הישראלי</t>
  </si>
  <si>
    <t>מחולות מנשה - ריקוד עם ישראלי</t>
  </si>
  <si>
    <t>מבחנים לחלוקת כספי תמיכות - מצעד המחולות</t>
  </si>
  <si>
    <t>תמיכה בלהקת מחול העוסקת בריקוד עם ישראל</t>
  </si>
  <si>
    <t>הפקת מופעי מחול הקשורים למורשת ישראל</t>
  </si>
  <si>
    <t>,תמיכה להרכב ריקודי עם</t>
  </si>
  <si>
    <t>תמיכה בתחום של ריקודי עם ישראלי</t>
  </si>
  <si>
    <t>תמיכה בלהקת המחול כנען רמלה</t>
  </si>
  <si>
    <t>12284 ריקודי עם</t>
  </si>
  <si>
    <t>פרוייקטים 2020</t>
  </si>
  <si>
    <t>אירועים 2020</t>
  </si>
  <si>
    <t>להקת מחול אלון יזרעאל</t>
  </si>
  <si>
    <t>תמיכה ללהקות מחול בתחום ריקודי עם ישראלי</t>
  </si>
  <si>
    <t>תמיכה לריקודי עם - להקת הורה גזר</t>
  </si>
  <si>
    <t>תמיכה בריקודי עם - להקת מחול תימני מגידו</t>
  </si>
  <si>
    <t>רקוד עם להקת חוף אשקלון עוטף עזה 20</t>
  </si>
  <si>
    <t>תמיכה בלהקות מחול - הורה אביב</t>
  </si>
  <si>
    <t>להקת הורה גואל</t>
  </si>
  <si>
    <t>תמיכה ב-2 הרכבי ביצוע - להקות המחול "חבצ</t>
  </si>
  <si>
    <t>תמיכה בפרויקטים מיוחדים "בגלל הרוח"</t>
  </si>
  <si>
    <t>ריקוד עם ישראלי - כרמי מחול</t>
  </si>
  <si>
    <t>ריקוד עם ישראלי</t>
  </si>
  <si>
    <t>תחום תמיכה ב'</t>
  </si>
  <si>
    <t>תחום תמיכה ג'</t>
  </si>
  <si>
    <t>סיוע מיוחד מקהלה</t>
  </si>
  <si>
    <t>תמיכה להרכבים מבצעים</t>
  </si>
  <si>
    <t>תמיכה לתחום אירועים - ריקוד עם ישראלי</t>
  </si>
  <si>
    <t>בקשת תמיכה לפרויקטים בריקוד עם ישראלי</t>
  </si>
  <si>
    <t>תמיכה בארועים ספרותיים</t>
  </si>
  <si>
    <t>סופרים סופרים 2020</t>
  </si>
  <si>
    <t>ארועים ספרותיים</t>
  </si>
  <si>
    <t>רשויות מקומיות ספרות -תמיכה 2020</t>
  </si>
  <si>
    <t>חברותא תש"ף - יואב</t>
  </si>
  <si>
    <t>מופעי תאטרון ספרות</t>
  </si>
  <si>
    <t>תמיכה בארועי ספרות</t>
  </si>
  <si>
    <t>תרגום והפצה של ספרות עברית בחו"ל</t>
  </si>
  <si>
    <t>11273 ספריות</t>
  </si>
  <si>
    <t>בסלון - אירועי ספרות ותוכן</t>
  </si>
  <si>
    <t>הבית קורא -אירועי ספרות בתיאטרון הבית</t>
  </si>
  <si>
    <t>ברית מילה - כתב עת תיאטרון הבית</t>
  </si>
  <si>
    <t>מעקף כתב עת לתיאטרון מחול ומציג</t>
  </si>
  <si>
    <t>אירועי ספרות לבטל2020</t>
  </si>
  <si>
    <t>תן לי מילים 2020</t>
  </si>
  <si>
    <t>תמיכה באירועי ספרות</t>
  </si>
  <si>
    <t>תמיכה בכתב העת "דעות"</t>
  </si>
  <si>
    <t>פסטיבל המשוררים במטולה 2020</t>
  </si>
  <si>
    <t>מפגשי שירה וספרות 2020</t>
  </si>
  <si>
    <t>תמיכה לכתב עת קתרסיס</t>
  </si>
  <si>
    <t>חוג ספרות חוג העמקים</t>
  </si>
  <si>
    <t>אירועי ספרות - סמטה - 2020</t>
  </si>
  <si>
    <t>,תמיכה בכתב העת שבילים</t>
  </si>
  <si>
    <t>מגזין מחול עכשיו</t>
  </si>
  <si>
    <t>ספרות ושירה</t>
  </si>
  <si>
    <t>פרוייקט אירועים ספרותיים - 2020</t>
  </si>
  <si>
    <t>אירועי ספרות בחיפה</t>
  </si>
  <si>
    <t>אירועי ספרות בית אריאלה 2020</t>
  </si>
  <si>
    <t>אירועים ומפגשים ספרותיים 2020</t>
  </si>
  <si>
    <t>תרגום והפצה של ספרות עברית מתורגמת</t>
  </si>
  <si>
    <t>ארועי ספרות</t>
  </si>
  <si>
    <t>אירועים ספרותיים לשנת 2020</t>
  </si>
  <si>
    <t>מופעים(כולל פסטיבלים)</t>
  </si>
  <si>
    <t>תמיכה בכת העת ננופואטיקה</t>
  </si>
  <si>
    <t>תמיכה בכתב עת הבה להבא</t>
  </si>
  <si>
    <t>אירועי ספרות בבית אבי חי</t>
  </si>
  <si>
    <t>תמיכה בארועי ספרות 2020</t>
  </si>
  <si>
    <t>ערבי ספרות</t>
  </si>
  <si>
    <t>ערבי ספרות 2020 במכון כרם</t>
  </si>
  <si>
    <t>ארועי ספרות 2020</t>
  </si>
  <si>
    <t>אירועי ספרות ברחבי הארץ</t>
  </si>
  <si>
    <t>פסטיבל בינלאומי לסרטי מדע בדיוני ואימה</t>
  </si>
  <si>
    <t>בית ביאליק - אירועים ספרותיים 2020</t>
  </si>
  <si>
    <t>הוצאת 5 גיליונות של כתב העת משיב הרוח</t>
  </si>
  <si>
    <t>הפקת אירועי ספרות רב-תחומי/גדולים/קטנים</t>
  </si>
  <si>
    <t>פואטיכאן 2020</t>
  </si>
  <si>
    <t>תמיכה בכתב העת עמדה</t>
  </si>
  <si>
    <t>קפה ספרות עמק המעיינות</t>
  </si>
  <si>
    <t>ספרות 2020</t>
  </si>
  <si>
    <t>ערבי ספרות ערבית-עברית</t>
  </si>
  <si>
    <t>אירועי ספרות גליל עליון</t>
  </si>
  <si>
    <t>אירועי תרבות</t>
  </si>
  <si>
    <t>תמיכה בכתב העת הו! 2020</t>
  </si>
  <si>
    <t>הו! ערבי תרבות רב תחומיים 2020</t>
  </si>
  <si>
    <t>אמנים יוצרים כתב עת לתרבות חמרית 2020</t>
  </si>
  <si>
    <t>סל ספורט כפר שמריהו 2020</t>
  </si>
  <si>
    <t>ארועים ספרותיים 20</t>
  </si>
  <si>
    <t>מפגשים ספרותיים</t>
  </si>
  <si>
    <t>תמיכה שוטפת בעיתון 77</t>
  </si>
  <si>
    <t>מחולל שירה 2020</t>
  </si>
  <si>
    <t>בית מיכל 2020</t>
  </si>
  <si>
    <t>אירועי ספרות</t>
  </si>
  <si>
    <t>אירועים ספרותיים 2020 מרכז קהילה ערבה</t>
  </si>
  <si>
    <t>אירועים סיפרותים 2020 מרכז קהילה</t>
  </si>
  <si>
    <t>אירועי ספרות מרכז ענב 2020</t>
  </si>
  <si>
    <t>אורתו דה ערבי תרבות וספרות 2020</t>
  </si>
  <si>
    <t>תיאטרון קרוב ערבי תרבות וספרות 2020</t>
  </si>
  <si>
    <t>תמיכה באירועי ספרות באשכול</t>
  </si>
  <si>
    <t>ברית עם מילה 2020</t>
  </si>
  <si>
    <t>תמיכה באירועי ספרות 2020</t>
  </si>
  <si>
    <t>כתב עת "מאזניים"</t>
  </si>
  <si>
    <t>קריאה מזרחית - ערבי ספרות</t>
  </si>
  <si>
    <t>כתב העת הכיוון מזרח</t>
  </si>
  <si>
    <t>מפגשי ספרות 2020</t>
  </si>
  <si>
    <t>הפקת כתב העת זרקאלו</t>
  </si>
  <si>
    <t>כתב העת הליקון 2020</t>
  </si>
  <si>
    <t>תמיכה ב אירועים ספרותיים במוא"ז גזר</t>
  </si>
  <si>
    <t>הוצאה לאור של 3 כתבי עת</t>
  </si>
  <si>
    <t>ארועים ספרותיים -2020</t>
  </si>
  <si>
    <t>אירועי ספרות בנווה שכטר 2020</t>
  </si>
  <si>
    <t>פרויקטים מיוחדים במחול</t>
  </si>
  <si>
    <t>אירועי שירה הליקון 2020</t>
  </si>
  <si>
    <t>פרויקט "קפה ספרות" בעמק המעיינות</t>
  </si>
  <si>
    <t>gggg</t>
  </si>
  <si>
    <t>בקשה לתמיכה באירועי ספרות שקיבלו הקרה במ</t>
  </si>
  <si>
    <t>אירועי ספרות - המרכז הגאה 2020</t>
  </si>
  <si>
    <t>כתבי עת 2020</t>
  </si>
  <si>
    <t>תיאטרון חיפה אירועי תרבות וספרות 2020</t>
  </si>
  <si>
    <t>אירועי פירמידה לשירה 2</t>
  </si>
  <si>
    <t>יום הסיפור הקצר</t>
  </si>
  <si>
    <t>פסטיבל ספרות</t>
  </si>
  <si>
    <t>תמיכה באירועים ספרותיים</t>
  </si>
  <si>
    <t>בקשת תמיכה 2020 כתב היסטוריה</t>
  </si>
  <si>
    <t>בקשת תמיכה 2020 כתב עת ציון</t>
  </si>
  <si>
    <t>תמיכה בפסטיבל שירה במדבר 2020</t>
  </si>
  <si>
    <t>פרוייקט ליבה - תוכנית האצה ליוצרים מתחום</t>
  </si>
  <si>
    <t>הנגשת ספרים לעיוורים ולבעלי לקויות קריאה</t>
  </si>
  <si>
    <t>19-42-02-23</t>
  </si>
  <si>
    <t>ספריות תמיכות</t>
  </si>
  <si>
    <t>סיועלספריה המוקלטת בעמותת על"ה</t>
  </si>
  <si>
    <t>תקצוב שוטף לניהול ספריה לעיוורים</t>
  </si>
  <si>
    <t>פרויקט ספריית אלמנארה הערבית המותאמת</t>
  </si>
  <si>
    <t>פסטיבל בנימינה 2020</t>
  </si>
  <si>
    <t>פסטיבל מחול</t>
  </si>
  <si>
    <t>פסטיבל מדיטרנה 2020</t>
  </si>
  <si>
    <t>פסטיבל אושפיזין מוסיקלי 2020</t>
  </si>
  <si>
    <t>פסטיבלים- ניסיון 2020</t>
  </si>
  <si>
    <t>פסטיבל להצגות בערבית</t>
  </si>
  <si>
    <t>ארנבת מרץ 2020</t>
  </si>
  <si>
    <t>תמיכה פסטיבלים 2020</t>
  </si>
  <si>
    <t>פסטיבל ישראל 2020</t>
  </si>
  <si>
    <t>אינזואגדה</t>
  </si>
  <si>
    <t>פסטיבל ליאלי אלמג'ד</t>
  </si>
  <si>
    <t>פסטיבל חשיפה בינלאומית</t>
  </si>
  <si>
    <t>פסטיבל מחול אדמה בשדרות</t>
  </si>
  <si>
    <t>פסטיבל עכו הבינלאומי לתיאטרון אחר</t>
  </si>
  <si>
    <t>פסטיבל עין גב 2020</t>
  </si>
  <si>
    <t>פסטיבל עראבסק למוסיקה ערבית קלאסית</t>
  </si>
  <si>
    <t>פסטיבל המעיינות-</t>
  </si>
  <si>
    <t>פסטיבל תמונע</t>
  </si>
  <si>
    <t>תמיכה בפסטיבל זמר עברי 2020</t>
  </si>
  <si>
    <t>חג המכתש 2020</t>
  </si>
  <si>
    <t>פסטיסל כנס פרפורמנס</t>
  </si>
  <si>
    <t>פולחן הסתיו</t>
  </si>
  <si>
    <t>פסטיבל ירושלים לאמנויות</t>
  </si>
  <si>
    <t>פסטיבל אומנויות הבמה</t>
  </si>
  <si>
    <t>פסטיבל 360 מעלות לתיאטרון במרחב</t>
  </si>
  <si>
    <t>פסטיבל הולגאב ליצירה ישראלית-אתיופית</t>
  </si>
  <si>
    <t>פסטיבל קיץ</t>
  </si>
  <si>
    <t>תמיכה בפסטיבל ימי מוזיקה יהודית</t>
  </si>
  <si>
    <t>תמיכה בפסטיבל</t>
  </si>
  <si>
    <t>אביב ישראלי - סמטה - 2020</t>
  </si>
  <si>
    <t>פסטיבל נא לגעת לאומנות פורצת גבולות 2020</t>
  </si>
  <si>
    <t>פסטיבל סוכות באגם 2020</t>
  </si>
  <si>
    <t>פסטיבל אינטימדנס</t>
  </si>
  <si>
    <t>פסטיבל א-ז'אנר</t>
  </si>
  <si>
    <t>פסטיבל מרתון התיבה</t>
  </si>
  <si>
    <t>פסטיבל לבונטין</t>
  </si>
  <si>
    <t>פסטיבל לדוגמה</t>
  </si>
  <si>
    <t>פסטיבל זז 2020</t>
  </si>
  <si>
    <t>פסטיבלים</t>
  </si>
  <si>
    <t>תקנת ירושלים- מחול</t>
  </si>
  <si>
    <t>פסטיבל נתניה לתיאטרון רחוב וליצנות 2020</t>
  </si>
  <si>
    <t>פסטיבל חלב ודבש 2020</t>
  </si>
  <si>
    <t>תמיכה בפסטיבל זמר עברי - פסטיווקאלי</t>
  </si>
  <si>
    <t>פסטיבל תור הזהב 2020</t>
  </si>
  <si>
    <t>פסטיבל עין כרם 2020</t>
  </si>
  <si>
    <t>פסטיבל ערד 2020</t>
  </si>
  <si>
    <t>פסטיבלים בתחום אמנויות הבמה 2020</t>
  </si>
  <si>
    <t>קיום פסטיבל תיאטרון הבובות</t>
  </si>
  <si>
    <t>פסטיבל צלילי סתיו</t>
  </si>
  <si>
    <t>פסטיבל סוכות לאומנויות הבמה הקרקסאות והל</t>
  </si>
  <si>
    <t>מנופים 2020 - סדנאות האמנים</t>
  </si>
  <si>
    <t>פסטיבל בתחום אומניות הבמה 2020</t>
  </si>
  <si>
    <t>פסטיבל יערות מנשה 2020</t>
  </si>
  <si>
    <t>אשדוד דאנס 2020</t>
  </si>
  <si>
    <t>פסטיבל ימי תרבות ערבית</t>
  </si>
  <si>
    <t>פסטיבל חג החגים</t>
  </si>
  <si>
    <t>פסטיבל מקודשת</t>
  </si>
  <si>
    <t>בקשת תמיכה לפסטיבל ראשון לציון לשנת 2020</t>
  </si>
  <si>
    <t>תמיכה בפסטיבל הצגות ילדים</t>
  </si>
  <si>
    <t>בקשת תמיכה לפסטיבל הקומדיה וההומור</t>
  </si>
  <si>
    <t>פסטיבל בוקעאתא בין העבר להווה</t>
  </si>
  <si>
    <t>פסטיבל סיפורו של מקום באומנויות הבמה</t>
  </si>
  <si>
    <t>תמיכה בפסטיבל צוללן</t>
  </si>
  <si>
    <t>פסטיבל ימי זמר 2020</t>
  </si>
  <si>
    <t>פסטיבל אשה 2020</t>
  </si>
  <si>
    <t>פסטיבל צלילי ילדות 2020</t>
  </si>
  <si>
    <t>פסטיבל חנוכה במשגב 2020</t>
  </si>
  <si>
    <t>תמיכה בפסטיבלים - אומנויות הבמה - גזר</t>
  </si>
  <si>
    <t>פסטיבל בינלאומי לתיאטרון בובות 2020</t>
  </si>
  <si>
    <t>פסטיבל יפו-ג'אז</t>
  </si>
  <si>
    <t>תמיכה שנתית לפסטיבל באבו גוש שבועות וסוכ</t>
  </si>
  <si>
    <t>פסטיבל התמר - 2020</t>
  </si>
  <si>
    <t>פסטיבל רב תחומי יאפא לתרבות ערבית</t>
  </si>
  <si>
    <t>פסטיבל תיאטרונטו ה 31</t>
  </si>
  <si>
    <t>פסטיבל רימון בעיר לשימור זמר עברי 2020</t>
  </si>
  <si>
    <t>תקנת פסטיבלים פרוייקט התזמורת הקאמרית</t>
  </si>
  <si>
    <t>קרן עדי - תמיכה בפסטיבל ימי הפלמנקו 2020</t>
  </si>
  <si>
    <t>פסטיבל פסלים 2020</t>
  </si>
  <si>
    <t>פעמי מדבר -פסטיבל פיוט וניגון בירוחם</t>
  </si>
  <si>
    <t>פסטיבל קול המוסיקה - גליל עליון</t>
  </si>
  <si>
    <t>פסטיבל יהודי בינלאומי לאמנויות הבמה</t>
  </si>
  <si>
    <t>פסטיבל מחול כרמיאל 2020</t>
  </si>
  <si>
    <t>פסטיבל אינטימדבר 2020</t>
  </si>
  <si>
    <t>בקשת תמיכה בפסטיבל האישה</t>
  </si>
  <si>
    <t>תיאטרון קרוב פסטיבל תיאטרון מקורי 2020</t>
  </si>
  <si>
    <t>פסטיבל הג'אז 2020</t>
  </si>
  <si>
    <t>פסטיבל אילת למוסיקה קאמרית 2020</t>
  </si>
  <si>
    <t>תמיכה בפסטיבל אלבאדיה לשנת 2020</t>
  </si>
  <si>
    <t>פסטיבל מחול שלם</t>
  </si>
  <si>
    <t>פסטיבל אומניות הבמה 2020</t>
  </si>
  <si>
    <t>פסטיבל מדרום 2020</t>
  </si>
  <si>
    <t>פסטיבל האוכל 2020</t>
  </si>
  <si>
    <t>פסטיבל במזרח</t>
  </si>
  <si>
    <t>פסטיבל לבי במזרח</t>
  </si>
  <si>
    <t>פסטיבל טועמים תרבות 2020</t>
  </si>
  <si>
    <t>פסטיבל בינלאומי לפולקלור</t>
  </si>
  <si>
    <t>בקשה לתמיכה בהפקת פסטיבלים</t>
  </si>
  <si>
    <t>הפקה וקיום פסטיבל מוסיקה קאמרית בירושלים</t>
  </si>
  <si>
    <t>כליזמרים 2020</t>
  </si>
  <si>
    <t>פסטיבל לאדינו 2020</t>
  </si>
  <si>
    <t>תמיכה בפסטיבל עיר עולם רמלה</t>
  </si>
  <si>
    <t>פסטיבל הכלייזמרים הבינלאומי 2020</t>
  </si>
  <si>
    <t>פסטיבל תימנה 2020</t>
  </si>
  <si>
    <t>פסטיבל הפנינג לילה</t>
  </si>
  <si>
    <t>פסטיבל - חלום של תיאטרון</t>
  </si>
  <si>
    <t>ג'אז קיץ (פרמאטה)</t>
  </si>
  <si>
    <t>פסטיבל VAV</t>
  </si>
  <si>
    <t>פסטיבל פרינג סטייל 2020</t>
  </si>
  <si>
    <t>תמיכה בפסטיבל בקדומים</t>
  </si>
  <si>
    <t>פסטיבל ים של גליל מערבי</t>
  </si>
  <si>
    <t>פסטיבל התמר 2020</t>
  </si>
  <si>
    <t>פסטיבל שורשים - נוסטלגיה</t>
  </si>
  <si>
    <t>פיסטבל חלוא יא בלדי 5</t>
  </si>
  <si>
    <t>פסטיבל טנגו כפ"ס 2020</t>
  </si>
  <si>
    <t>פסטיבל אופקים לתאטרון רחוב מהעולם בנגב</t>
  </si>
  <si>
    <t>פסטיבל שוטף</t>
  </si>
  <si>
    <t>פסטיבל מתחת לפנס בגבעת חביבה</t>
  </si>
  <si>
    <t>פסטיבל הנושפים ה-31 בכפר סבא</t>
  </si>
  <si>
    <t>פסטיבל אינזואגדה</t>
  </si>
  <si>
    <t>פסטיבל הפנינג אומנויות</t>
  </si>
  <si>
    <t>פסטיבל נאמן למקום</t>
  </si>
  <si>
    <t>פסטיבל קריסמס מרקט נצרת 2020</t>
  </si>
  <si>
    <t>פסטיבל לא בשמים - גליל עליון</t>
  </si>
  <si>
    <t>מג'אר מרכז אמנויות הבמה 2020</t>
  </si>
  <si>
    <t>פסטיבל מחול כרמיאל</t>
  </si>
  <si>
    <t>פסטיבל ליאלי אלבענה</t>
  </si>
  <si>
    <t>פסטיבל אלחארה מד רחוב חדש</t>
  </si>
  <si>
    <t>"afuli'Z" – פסטיבל לכולם</t>
  </si>
  <si>
    <t>פסטיבל האורות 4- בית שמש</t>
  </si>
  <si>
    <t>פסטיבאל חג המולד - 2020 פסוטה</t>
  </si>
  <si>
    <t>תמיכה בפסטיבל ספרד ותרביות הים התיכון</t>
  </si>
  <si>
    <t>בקשת תמיכה פסטיבל "אלפא 13"</t>
  </si>
  <si>
    <t>תמיכה בפסטיבלים באר שבע 2020</t>
  </si>
  <si>
    <t>פסטיבל חנוכה חוגגים בבית 2020</t>
  </si>
  <si>
    <t>פסטויבל אומנות הבמה 2020</t>
  </si>
  <si>
    <t>פסטבלים אמנויות הבמה 2020</t>
  </si>
  <si>
    <t>פסטיבל הכלייזמרים הבינלאומי בשומרון 2020</t>
  </si>
  <si>
    <t>פסטיבל אקו ים המלח</t>
  </si>
  <si>
    <t>פסטיבל השוקולד 5</t>
  </si>
  <si>
    <t>פסטיבל יום הלבוש הצ'רקסי</t>
  </si>
  <si>
    <t>פסטיבל שוקולד 2020</t>
  </si>
  <si>
    <t>פסטיבל צלילים במדבר</t>
  </si>
  <si>
    <t>ירושלמיתTV-פנזין וידאו ותרבות - תחום יא</t>
  </si>
  <si>
    <t>סרטים ישראלים ייעודיים</t>
  </si>
  <si>
    <t>סרטים קצרים</t>
  </si>
  <si>
    <t>סרטי גמר סטודנטים</t>
  </si>
  <si>
    <t>סרטים אזוריים-אזור הגליל</t>
  </si>
  <si>
    <t>סרטים אזוריים-אזור יהודה ושומרון</t>
  </si>
  <si>
    <t>סרטים אזוריים-אזור הנגב</t>
  </si>
  <si>
    <t>פרויקטים ויוזמות בתחום הקולנוע</t>
  </si>
  <si>
    <t>סינמטק 2020</t>
  </si>
  <si>
    <t>תמיכה בפעילות סינמטק הרצליה 2020</t>
  </si>
  <si>
    <t>תמיכה בפרוייקטים</t>
  </si>
  <si>
    <t>סיוע להפקת סרטים עלילתיים באורך מלא</t>
  </si>
  <si>
    <t>קולנוע</t>
  </si>
  <si>
    <t>ארכיון הסרטים</t>
  </si>
  <si>
    <t>פסטיבל הקולנוע היהודי</t>
  </si>
  <si>
    <t>הפסטיבל הבינלאומי ה-22 לסרטי סטודנטים</t>
  </si>
  <si>
    <t>תמיכה בספטיבל סרטים בערבה 2020</t>
  </si>
  <si>
    <t>בקשת תמיכה בפסטיבל קולנוע דרום 2020</t>
  </si>
  <si>
    <t>דוקאביב גליל 2020</t>
  </si>
  <si>
    <t>פרויקטים מיוחדים</t>
  </si>
  <si>
    <t>תמיכה בסרטי גמר של סטודנטים</t>
  </si>
  <si>
    <t>תמיכה בתחום תעודה 2020</t>
  </si>
  <si>
    <t>תמיכה בתחום ייעודי 2020</t>
  </si>
  <si>
    <t>סרטים עלילתיים באורך מלא 2020</t>
  </si>
  <si>
    <t>סרטי תעודה 2020</t>
  </si>
  <si>
    <t>סרטי גמר של סטודנטים 2020</t>
  </si>
  <si>
    <t>סרטים אזוריים גליל 2020</t>
  </si>
  <si>
    <t>פרויקטים ויוזמות בתחום הקולנוע 2020</t>
  </si>
  <si>
    <t>סיוע בהפקת סרטים אזוריים בדרום 2020</t>
  </si>
  <si>
    <t>שיווק וקידום הקולנוע הישראלי</t>
  </si>
  <si>
    <t>שביל הקולנוע הישראלי</t>
  </si>
  <si>
    <t>תמיכה בפעילות מיקרוסינמה בפריפריה</t>
  </si>
  <si>
    <t>תמיכה בפסטיבל ילדים 2020</t>
  </si>
  <si>
    <t>תמיכה בארכיון הסינמטק 2020</t>
  </si>
  <si>
    <t>תמיכה בפעילות עבור סרטי גמר סטודנטים</t>
  </si>
  <si>
    <t>פלטפורמת הפצה וארכיון הדוקו הישראלי</t>
  </si>
  <si>
    <t>ירושלמית - פנזין וידאו ותרבות /פרויקט</t>
  </si>
  <si>
    <t>פסטיבל קולנוע</t>
  </si>
  <si>
    <t>סיוע להפקת סרטים אזוריים</t>
  </si>
  <si>
    <t>מערך סדנאות והכשרות ליוצרים-ות צעירים</t>
  </si>
  <si>
    <t>תמיכה בפרוייקטים ויוזמות בתחום הקולנוע</t>
  </si>
  <si>
    <t>שיווק</t>
  </si>
  <si>
    <t>תמיכה בפרויקטים ויוזמות</t>
  </si>
  <si>
    <t>תמיכה בסדנה לניתוח ועריכת תסריט</t>
  </si>
  <si>
    <t>תמיכה בפרוייקט ויוזמות בתחום הקולנוע</t>
  </si>
  <si>
    <t>אנימרקט 2020</t>
  </si>
  <si>
    <t>T-Port מארקט אונליין לסרטים קצרים</t>
  </si>
  <si>
    <t>כנס בנלאומי עם ארגון EAVE</t>
  </si>
  <si>
    <t>סיוע פיתוח והפקה סרטי תעודה</t>
  </si>
  <si>
    <t>תמיכה בתחום התיעודי 2020</t>
  </si>
  <si>
    <t>סיוע בפיתוח והפקת סרטים קצרים</t>
  </si>
  <si>
    <t>פרויקטים ויוזמות- 2020</t>
  </si>
  <si>
    <t>מרכז קולנוע מצפה רמון-פרויקטים ויוזמות</t>
  </si>
  <si>
    <t>פרויקטים ויוזמות</t>
  </si>
  <si>
    <t>עידוד חשיפת הקולנוע לקהל הרחב במצפה רמון</t>
  </si>
  <si>
    <t>פרויקט "סינמטק אורח"</t>
  </si>
  <si>
    <t>הקמת אולם אינטראקטיבי</t>
  </si>
  <si>
    <t>בית מדרש אגדה</t>
  </si>
  <si>
    <t>ימי עבודה, לילות קולנוע</t>
  </si>
  <si>
    <t>עידוד וחשיפה של קולנוע ישראלי לקהל הרחב</t>
  </si>
  <si>
    <t>מיזם קולנוע שומרון - סרטים אזוריים 2020</t>
  </si>
  <si>
    <t>פרוייקט קולנועי -ראש העין</t>
  </si>
  <si>
    <t>עידוד חשיפת הקולנוע לקהל הרחב</t>
  </si>
  <si>
    <t>11284קולנוע תיכון אביב</t>
  </si>
  <si>
    <t>סדנאות אוטופיה</t>
  </si>
  <si>
    <t>הקולנוע הישראלי בקהילה</t>
  </si>
  <si>
    <t>קידום אימהות יוצרות בקולנוע הישראלי</t>
  </si>
  <si>
    <t>תמיכה בסטודיו דרום 2020</t>
  </si>
  <si>
    <t>ספר הקולנוע הישראלי באנגלית 2020</t>
  </si>
  <si>
    <t>סרטים אזוריים-אזור הדרום ערבה</t>
  </si>
  <si>
    <t>סרטים אזוריים-אזור הדרום נגב</t>
  </si>
  <si>
    <t>פעילות חובבים 2020</t>
  </si>
  <si>
    <t>להקת חובבים 2020</t>
  </si>
  <si>
    <t>הרכב הבית ליצירה משותפת 2020</t>
  </si>
  <si>
    <t>תמיכה במחול תיאטרון ותזמורת</t>
  </si>
  <si>
    <t>חבורת הזמר הייצוגית מטולה 2020</t>
  </si>
  <si>
    <t>אנדלוסית מטולה 2020</t>
  </si>
  <si>
    <t>תאטראות אקים</t>
  </si>
  <si>
    <t>תיאטרון קהילתי 2020 מגדל העמק</t>
  </si>
  <si>
    <t>להקת רונדו בין רובין</t>
  </si>
  <si>
    <t>תאטרון קהילתי בית רובין</t>
  </si>
  <si>
    <t>חבורת הזמר "רמות"</t>
  </si>
  <si>
    <t>תמיכה בתיאטרון קהילתי "למבוגרים בלבד"</t>
  </si>
  <si>
    <t>תמיכה בלהקת מחול</t>
  </si>
  <si>
    <t>החוויה האתנית - מתנ"ס יעלים</t>
  </si>
  <si>
    <t>תמיכה 2020 להקת שוקולד</t>
  </si>
  <si>
    <t>תמיכה 2020 תאטרון קהילתי</t>
  </si>
  <si>
    <t>תמיכה 2020 חבורת זמר</t>
  </si>
  <si>
    <t>חבורת הזמר</t>
  </si>
  <si>
    <t>אנסמבל קול יוצר</t>
  </si>
  <si>
    <t>תמיכה בתיאטרון רמלה</t>
  </si>
  <si>
    <t>מקהלות מבוגרים 2020 מגדל העמק</t>
  </si>
  <si>
    <t>להקות מחול 2020 מגדל העמק</t>
  </si>
  <si>
    <t>כנס אורות המחול 2020</t>
  </si>
  <si>
    <t>נוער מוסיקלי 2020</t>
  </si>
  <si>
    <t>תיאטרון קהילתי 2020</t>
  </si>
  <si>
    <t>הרכבים מוסיקלים</t>
  </si>
  <si>
    <t>תמיכה כספית בפעילויות מיל"ה ברחבי הארץ</t>
  </si>
  <si>
    <t>אמנויות הבמה 1 א' אקים</t>
  </si>
  <si>
    <t>אמנויות הבמה 2 א' חיים עצמאיים</t>
  </si>
  <si>
    <t>מקהלת דימונה 2020</t>
  </si>
  <si>
    <t>מקהלת העמקים חוג העמקים</t>
  </si>
  <si>
    <t>תיאטרון העמקים חוג העמקים</t>
  </si>
  <si>
    <t>תמיכה 2020 - תרבות בקהילה</t>
  </si>
  <si>
    <t>חבורת זמר 2020</t>
  </si>
  <si>
    <t>מקהלה 2020</t>
  </si>
  <si>
    <t>תאטרון קהילתי 2020</t>
  </si>
  <si>
    <t>חבורת הזמר 2020</t>
  </si>
  <si>
    <t>אהבי תחרות 2020</t>
  </si>
  <si>
    <t>מקהלת צליל גליל עליון</t>
  </si>
  <si>
    <t>להקת נוער אזורית - גליל עליון</t>
  </si>
  <si>
    <t>מקהלת נפש צעירה</t>
  </si>
  <si>
    <t>חבורת זמר שלומי רון 2020</t>
  </si>
  <si>
    <t>תמיכה בקהילה לחולי פרקינסון</t>
  </si>
  <si>
    <t>תמיכה בחבורת הזמר קיבוץ גשר</t>
  </si>
  <si>
    <t>חבורת זמר נתווים</t>
  </si>
  <si>
    <t>להקות נוער</t>
  </si>
  <si>
    <t>פרויקט קידום אוכלוסיות מיוחדות</t>
  </si>
  <si>
    <t>תיאטרון קהילתי ב"נאות שקד" נתניה</t>
  </si>
  <si>
    <t>כוכב עולה</t>
  </si>
  <si>
    <t>להקת נוער N.T.V</t>
  </si>
  <si>
    <t>תיאטרון קהילתי</t>
  </si>
  <si>
    <t>תמיכה בלהקת גילה</t>
  </si>
  <si>
    <t>העשרה מוסיקלית</t>
  </si>
  <si>
    <t>להקת המזרח</t>
  </si>
  <si>
    <t>להקת זמר שלום</t>
  </si>
  <si>
    <t>להקת זמר שרים בגת</t>
  </si>
  <si>
    <t>להקת זמר גיל השמחה</t>
  </si>
  <si>
    <t>מקסימום</t>
  </si>
  <si>
    <t>מנגנים לשלום</t>
  </si>
  <si>
    <t>פסיפס</t>
  </si>
  <si>
    <t>פעילות תרבות בקהילה לשנת 2020</t>
  </si>
  <si>
    <t>חבורת הזמר צליל בהר</t>
  </si>
  <si>
    <t>תזמורת כוכבי נוף הגליל</t>
  </si>
  <si>
    <t>מקהלת ענבל</t>
  </si>
  <si>
    <t>נסיון</t>
  </si>
  <si>
    <t>קהילה עם כלים</t>
  </si>
  <si>
    <t>תרבות בקהילה מקהלת מגידו</t>
  </si>
  <si>
    <t>תרבות בקהילה- דודו זכאי 2020</t>
  </si>
  <si>
    <t>תרבות בקהילה- הרכב הר ועמק 2020</t>
  </si>
  <si>
    <t>תיאטרון הגליל</t>
  </si>
  <si>
    <t>ארועי תרבות בקהילה</t>
  </si>
  <si>
    <t>"תעביר את זה הלאה"</t>
  </si>
  <si>
    <t>כוכבים של תקווה</t>
  </si>
  <si>
    <t>תיאטרון קהילתי בני ברק באר שבע</t>
  </si>
  <si>
    <t>תיאטרון קהילתי אשדוד</t>
  </si>
  <si>
    <t>חבורת הזמר "מיתרים שדרות"</t>
  </si>
  <si>
    <t>תאטרון קהילתי</t>
  </si>
  <si>
    <t>להקת היפ הופ ייצוגית</t>
  </si>
  <si>
    <t>תאטרון נשים</t>
  </si>
  <si>
    <t>תיאטרון בקהילה קרית טבעון 2020</t>
  </si>
  <si>
    <t>תרבות בקהילה - נותנים במה 2020</t>
  </si>
  <si>
    <t>מקהלת זמיר בחיבה</t>
  </si>
  <si>
    <t>ברמוזה 2020</t>
  </si>
  <si>
    <t>מחול אביבים 2020</t>
  </si>
  <si>
    <t>ציפורי שיר 2020</t>
  </si>
  <si>
    <t>אזימוט 2020</t>
  </si>
  <si>
    <t>קולות שלובים 2020</t>
  </si>
  <si>
    <t>כנס תיאטרון קהילתי נווה יוסף</t>
  </si>
  <si>
    <t>להקת ביתא</t>
  </si>
  <si>
    <t>שילובים קוליים</t>
  </si>
  <si>
    <t>תיאטרון חובבים קהילתי חבורות זמר</t>
  </si>
  <si>
    <t>תאטרון קהילתי 2020 מרכז קהילה ערבה</t>
  </si>
  <si>
    <t>מקהלת הערבה 2020 מרכז קהילה ערבה</t>
  </si>
  <si>
    <t>להקת מחול</t>
  </si>
  <si>
    <t>כנס חבורות זמר</t>
  </si>
  <si>
    <t>חבורת זמר</t>
  </si>
  <si>
    <t>אנסמבל הגאה - המרכז הגאה 2020</t>
  </si>
  <si>
    <t>קונצרט המקהלה הגאה - המרכז הגאה 2020</t>
  </si>
  <si>
    <t>תאטרון קהילתי גלגל לקשישים ולנוער - 2020</t>
  </si>
  <si>
    <t>כפר הגאווה - המרכז הגאה 2020</t>
  </si>
  <si>
    <t>חבורת זמר אורנית - 2020</t>
  </si>
  <si>
    <t>קבוצת תאטרון- הקמה 2020</t>
  </si>
  <si>
    <t>11288פעילות חובבים -תרבות בקהילה</t>
  </si>
  <si>
    <t>להקת המחול הגיאורגית שלווה</t>
  </si>
  <si>
    <t>להקת הזמר בסגנון אחר</t>
  </si>
  <si>
    <t>חבורת הזמר קנטאקפלה</t>
  </si>
  <si>
    <t>תזמורת כלי הנשיפה באר שבע</t>
  </si>
  <si>
    <t>בנות מסילות</t>
  </si>
  <si>
    <t>שדות שבעמק</t>
  </si>
  <si>
    <t>תמיכה בלהקת המחול נוּע - חובבים</t>
  </si>
  <si>
    <t>חבורת זמר פפריקה 2020</t>
  </si>
  <si>
    <t>תיאטרון קהילתי ערבי עברי</t>
  </si>
  <si>
    <t>תמיכה בלימודי משחק לאנשים עם מוגבלויות</t>
  </si>
  <si>
    <t>תרבות בקהילה-פעילות חובבים</t>
  </si>
  <si>
    <t>קולות משגב - חבורת זמר 2020</t>
  </si>
  <si>
    <t>מקהלת הגליל העליון</t>
  </si>
  <si>
    <t>אנסמבל תיאטרון פריזמה</t>
  </si>
  <si>
    <t>מקהלת ערד 2020</t>
  </si>
  <si>
    <t>מחול ערד 2020</t>
  </si>
  <si>
    <t>חוצה ישראל ישוב 2</t>
  </si>
  <si>
    <t>חוצה ישראל ישוב 1</t>
  </si>
  <si>
    <t>חבורה קולית עין גדי- 2020</t>
  </si>
  <si>
    <t>קולות מדבר -2020</t>
  </si>
  <si>
    <t>תאטרון קהילתי- 2020</t>
  </si>
  <si>
    <t>תמיכה בתיאטרון קהילתי</t>
  </si>
  <si>
    <t>תאטרון קהילתי לנוער בוגר ומבוגרים</t>
  </si>
  <si>
    <t>מוסיקה- תזמורת והרכבים מזרח ומערב</t>
  </si>
  <si>
    <t>כנס ארט טים- קידום אמנויות בפריפריה</t>
  </si>
  <si>
    <t>תמיכה שווטפת</t>
  </si>
  <si>
    <t>תמיכה בפעילות חבורות זמר מבוגרים בקונסרב</t>
  </si>
  <si>
    <t>הפיראטיות הפיראטיות, ירושלים</t>
  </si>
  <si>
    <t>פעילות חובבים להיות כוכב 2020</t>
  </si>
  <si>
    <t>פעילות חובבים תיאטרון ככלי חינוכי</t>
  </si>
  <si>
    <t>קן הקקויה המרכז לתיאטרון חזותי ראש פינה</t>
  </si>
  <si>
    <t>תמיכה לחבורת זמר קולות חמים לשנת 2020</t>
  </si>
  <si>
    <t>תמיכה בתאטרון עירוני מטרה</t>
  </si>
  <si>
    <t>פעילות חובבים- קבוצת תאטרון 2020</t>
  </si>
  <si>
    <t>פעילות חובבים- להקת ריקוד דבקה</t>
  </si>
  <si>
    <t>תזמורת הראל, ירושלים</t>
  </si>
  <si>
    <t>פעילות חובבבים- קבוצת קולנוע 2020</t>
  </si>
  <si>
    <t>מקהלת עמק הירדן</t>
  </si>
  <si>
    <t>תזמורת בהרכב מלא - גברים</t>
  </si>
  <si>
    <t>שירת הים</t>
  </si>
  <si>
    <t>מקהלות וחבורות זמר - 2020</t>
  </si>
  <si>
    <t>אופרה בקהילה 2020</t>
  </si>
  <si>
    <t>תיאטרון קהילתי בית שאן 2020</t>
  </si>
  <si>
    <t>תמיכה בתזמורת חובבים</t>
  </si>
  <si>
    <t>הרכבים מוסיקליים</t>
  </si>
  <si>
    <t>להקת משנים ייצוגית מתנ"ס קריית ים</t>
  </si>
  <si>
    <t>ביג בנד משגב 2020</t>
  </si>
  <si>
    <t>להקת חבורת הזמר קריית ים</t>
  </si>
  <si>
    <t>להקת אקברל להקת ריקודי מסורתיים</t>
  </si>
  <si>
    <t>הפקת להקת מחול</t>
  </si>
  <si>
    <t>חבורת זמר מבוגרים דתיים וחילוניים</t>
  </si>
  <si>
    <t>אופרה בקהילה 2020 - ישוב שני</t>
  </si>
  <si>
    <t>תמיכה בלהקת הזמר הייצוגית רמלה</t>
  </si>
  <si>
    <t>מחול מדבר 2020 מעלה אדומים</t>
  </si>
  <si>
    <t>תיאטרון מוסיקלי קהילתי 2020 מעלה אדומים</t>
  </si>
  <si>
    <t>חבורת הזמר "פרח במדבר" 2020 מעלה אדומים</t>
  </si>
  <si>
    <t>הרכב "הקול שלנו" 2020 מעלה אדומים</t>
  </si>
  <si>
    <t>צלילי בית שאן 2020</t>
  </si>
  <si>
    <t>הרכב קונצרטי</t>
  </si>
  <si>
    <t>תזמורת בוגרים כלי נשיפה</t>
  </si>
  <si>
    <t>להקת מחול ייצוגית לוד</t>
  </si>
  <si>
    <t>תמיכה במקהלת האירוסים - בית אלפא</t>
  </si>
  <si>
    <t>קידום והפצת מורשת ופולקלור תימני בארץ וב</t>
  </si>
  <si>
    <t>תמיכה בתאטרון קהילתי לנשים</t>
  </si>
  <si>
    <t>בקשה לתמיכה בתזמורת בהרכב מלא -נשים</t>
  </si>
  <si>
    <t>מקהלת רינות 2020</t>
  </si>
  <si>
    <t>תאטרון מנורה - 2020</t>
  </si>
  <si>
    <t>מקהלת חופים - 2020</t>
  </si>
  <si>
    <t>תאטרון ביכורים 202</t>
  </si>
  <si>
    <t>תאטרון חובבים 2020</t>
  </si>
  <si>
    <t>הרכב מוסיקלי</t>
  </si>
  <si>
    <t>חבורת זמר קולות 2020</t>
  </si>
  <si>
    <t>פעילות חובבים- רוקדים גן יבנה 2020</t>
  </si>
  <si>
    <t>פעילות חובבים- קבוצות תאטרון 2020</t>
  </si>
  <si>
    <t>תזמורת החובבים "הראל"</t>
  </si>
  <si>
    <t>חבורת זמר מיתרים 2020</t>
  </si>
  <si>
    <t>תמיכה בשיר בגלבוע רם און</t>
  </si>
  <si>
    <t>להקת צבעי מחול -ריקוד עם ישראלי</t>
  </si>
  <si>
    <t>תמיכה בתיאטרון קהילתי גלילי</t>
  </si>
  <si>
    <t>תמיכה בהרכב כינורות קלאסי מודרני</t>
  </si>
  <si>
    <t>רונו בהרים 2020</t>
  </si>
  <si>
    <t>תיאטרון בלאגן שפיל</t>
  </si>
  <si>
    <t>חבורת זמר אזמרה כרמיאל</t>
  </si>
  <si>
    <t>חבורת זמר בקעת הירדן 2020</t>
  </si>
  <si>
    <t>מקהלת גוש עציון - פעילות 2020</t>
  </si>
  <si>
    <t>הרכב הנוער הייצוגי - גוש עציון - 2020</t>
  </si>
  <si>
    <t>תאטרון קהילתי תקוע - שנת 2020</t>
  </si>
  <si>
    <t>מחזמר קהילתי גוש עציון - 2020</t>
  </si>
  <si>
    <t>תאטרון קהילתי עפולה</t>
  </si>
  <si>
    <t>תמיכה שוטפת לפעילות העמותה</t>
  </si>
  <si>
    <t>תמיכה למקהלת נופר 2020 קונס' כרמיאל</t>
  </si>
  <si>
    <t>תרבות בקהילה- תאטרון קהילתי אשכול</t>
  </si>
  <si>
    <t>פלטפורמה- קבוצות תיאטרון בקהילה</t>
  </si>
  <si>
    <t>תמיכה במופע "פורשות כנפיים"</t>
  </si>
  <si>
    <t>תזמורת ג'אז קהילתית</t>
  </si>
  <si>
    <t>תזמורת ג'אז קהילתית 2020</t>
  </si>
  <si>
    <t>תאטרון קהילתי קרית אתא</t>
  </si>
  <si>
    <t>להקת מחול על גלגלים</t>
  </si>
  <si>
    <t>להקת מחול עירונית</t>
  </si>
  <si>
    <t>תזמורת עירונית מעלות תרשיחא 2020</t>
  </si>
  <si>
    <t>להקת נויה וקולות קרית אתא</t>
  </si>
  <si>
    <t>תרבות בקהילה (מקהלה סולמות ) 2020</t>
  </si>
  <si>
    <t>תמיכה בתאטרון קהילתי- מבואות החרמון</t>
  </si>
  <si>
    <t>תאטרון קהילתי - נתניה</t>
  </si>
  <si>
    <t>אנדלוסית 2020</t>
  </si>
  <si>
    <t>להקה ייצוגית בין השמשות 2020</t>
  </si>
  <si>
    <t>להקת מחול חובבנית 2020</t>
  </si>
  <si>
    <t>חבורות-זמר</t>
  </si>
  <si>
    <t>ליווי יוצרים בפריפריה חברתית מבחן ב</t>
  </si>
  <si>
    <t>להקות-מחול</t>
  </si>
  <si>
    <t>תרבות בקהילה-מקהלת אשכול</t>
  </si>
  <si>
    <t>תרבות בקהילה תחום א אמנויות הבמה</t>
  </si>
  <si>
    <t>חבורת זמר נחל שורק</t>
  </si>
  <si>
    <t>תרבות בקהילה 2020 - מחול</t>
  </si>
  <si>
    <t>אנסמבל רנות</t>
  </si>
  <si>
    <t>בית הספר למחול סופה</t>
  </si>
  <si>
    <t>אמנויות הבמה 1</t>
  </si>
  <si>
    <t>קבוצות שירה על המפה 2020</t>
  </si>
  <si>
    <t>תרבות בקהילה בתחום המקהלות</t>
  </si>
  <si>
    <t>תמיכה בלהקת מראש ההר 2020</t>
  </si>
  <si>
    <t>תמיכה בלהקת הלל 2020</t>
  </si>
  <si>
    <t>להקת דור שני - מחזמר</t>
  </si>
  <si>
    <t>שורשים מוזיקליים, לבנות ולהבנות -2020</t>
  </si>
  <si>
    <t>להקת "תזוזה" מחול</t>
  </si>
  <si>
    <t>תאטרון בוגרים</t>
  </si>
  <si>
    <t>תרבות בקהילה בתחום תיאטרון קהילתי</t>
  </si>
  <si>
    <t>תרבות בקהילה תחום ד יוזמות חדשות</t>
  </si>
  <si>
    <t>תמיכה בפעילות תיאטרון קהילתי בעיר נתניה</t>
  </si>
  <si>
    <t>אלון יזרעאל - מחול בעמק 2020</t>
  </si>
  <si>
    <t>תרבות בקהילה ריקודי עם אשכול</t>
  </si>
  <si>
    <t>חבורת הזמר צלילי החוף 20</t>
  </si>
  <si>
    <t>תמיכה 2020 מקהלות - מ.מ.ג'ת</t>
  </si>
  <si>
    <t>להקת מחול 2020</t>
  </si>
  <si>
    <t>הרכב מוזיקלי מזרח מערב</t>
  </si>
  <si>
    <t>אומנות בעיר העתיקה 2020</t>
  </si>
  <si>
    <t>פסטיבל חלומות עם תזמורת סינפוננט רעננה</t>
  </si>
  <si>
    <t>תמיכה בפעילות התזמורת</t>
  </si>
  <si>
    <t>תרבות בקהילה- מחולות העמים</t>
  </si>
  <si>
    <t>אריאל- תרבות בקהילה - היפ הופ</t>
  </si>
  <si>
    <t>מחול במה כשרה</t>
  </si>
  <si>
    <t>תמיכה בפעילות חובבים - תרבות בקהילה 2020</t>
  </si>
  <si>
    <t>תמיכה בלהקת ספיישל עלי שיח</t>
  </si>
  <si>
    <t>להקת ספיישל לבעלי צרכים מיוחדים</t>
  </si>
  <si>
    <t>תמיכה בתאטרון קהילתי אפרת</t>
  </si>
  <si>
    <t>תמיכה בקבוצת מחול אפרת</t>
  </si>
  <si>
    <t>תמיכה בחבורות זמר</t>
  </si>
  <si>
    <t>חבורת הזמר נופית</t>
  </si>
  <si>
    <t>יוזמה חדשה- תאטרון</t>
  </si>
  <si>
    <t>הרכב מוסיקאלי סימפוני מגילות 2020</t>
  </si>
  <si>
    <t>להקת המחול הכורדי</t>
  </si>
  <si>
    <t>תמיכה באימוץ וליווי מקהלה אזורית "רוח טו</t>
  </si>
  <si>
    <t>אריאל-תרבות בקהילה-היפ הופ</t>
  </si>
  <si>
    <t>להקת מחול "במה כשרה" 2020</t>
  </si>
  <si>
    <t>אריאל- תרבות בקהילה- היפ הופ</t>
  </si>
  <si>
    <t>מקהלת "שחרי" 2020</t>
  </si>
  <si>
    <t>אריאל-תרבות בקהילה-מחולות העמים</t>
  </si>
  <si>
    <t>תרבות בקהילה - רוקדים גן יבנה 2020</t>
  </si>
  <si>
    <t>מחול- להקות בלט ומחול</t>
  </si>
  <si>
    <t>תמיכה בתזמורת חליליות</t>
  </si>
  <si>
    <t>תמיכה בחבורת זמר יסוד המעלה</t>
  </si>
  <si>
    <t>תמיכה בתאטרון קהילתי</t>
  </si>
  <si>
    <t>תמיכה בהיפ הופ</t>
  </si>
  <si>
    <t>תמיכה לתיאטרון קהילתי למבוגרים</t>
  </si>
  <si>
    <t>מחול מדן ועד אילת 2020</t>
  </si>
  <si>
    <t>תמיכה בפעילות מחול משולב לאנשים עם וללא</t>
  </si>
  <si>
    <t>תמיכה באנסמבל סיסטם עאלי</t>
  </si>
  <si>
    <t>תמיכה בפעילות מקהלה קהילתית "גוונים"</t>
  </si>
  <si>
    <t>בקשת תמיכה - פעילויות מחול טבריה</t>
  </si>
  <si>
    <t>להקת הלל יצירה מקומית וחדשנית 2020</t>
  </si>
  <si>
    <t>מראש ההר חבורת זמר ליצירה מקומית 2020</t>
  </si>
  <si>
    <t>תיאטרון קהילתי לאנשים עם מוגבלות</t>
  </si>
  <si>
    <t>מקהלת החזנות "שפתי נועם"</t>
  </si>
  <si>
    <t>להקת מחול תרבות בקהילה 2020</t>
  </si>
  <si>
    <t>ביג בנד רשותי</t>
  </si>
  <si>
    <t>ז\גה</t>
  </si>
  <si>
    <t>פרויקט רקמה אנושית בסחנין</t>
  </si>
  <si>
    <t>פסטיבל הדבדובן הירוק</t>
  </si>
  <si>
    <t>תיאטרון אלמהבאש ברהט</t>
  </si>
  <si>
    <t>פרוייקט בעקבות הזיתים</t>
  </si>
  <si>
    <t>שכנות טובה</t>
  </si>
  <si>
    <t>מרכז אמנות ומלאכת יד</t>
  </si>
  <si>
    <t>בקשה למימון פעילותה השוטפת של העמותה</t>
  </si>
  <si>
    <t>פעילות שוטפת של העמותה</t>
  </si>
  <si>
    <t>תמיכה בתיאטרון אל היקאב</t>
  </si>
  <si>
    <t>מרכז מוסיקה אתני מטרוז'</t>
  </si>
  <si>
    <t>להקת דבקה</t>
  </si>
  <si>
    <t>פסטיבל עיד אל אדחא</t>
  </si>
  <si>
    <t>פסטיבל עיד אל פיטאר</t>
  </si>
  <si>
    <t>תמיכה 2020 פסטיבל דרוזי</t>
  </si>
  <si>
    <t>תמיכה 2020 בתרבות צ'רקסים</t>
  </si>
  <si>
    <t>פסטיבל הפיסול</t>
  </si>
  <si>
    <t>מרכז מוסיקה ונגינה</t>
  </si>
  <si>
    <t>להקה ומרכז למחול וריקוד</t>
  </si>
  <si>
    <t>ליאלי טרב</t>
  </si>
  <si>
    <t>להקת מחול דבקה</t>
  </si>
  <si>
    <t>כתיבה יצירתית</t>
  </si>
  <si>
    <t>בית ספר למוזיקה</t>
  </si>
  <si>
    <t>להקות באליט</t>
  </si>
  <si>
    <t>להקות דבקה ומחול מודרני</t>
  </si>
  <si>
    <t>להקת שירה אנדלוסית</t>
  </si>
  <si>
    <t>פסטיבל הזמר וכישרונות צעירים</t>
  </si>
  <si>
    <t>ערבי תרבות וקונצרט מוזיקה - 2020</t>
  </si>
  <si>
    <t>להקת מחול ומוזיקה - 2020</t>
  </si>
  <si>
    <t>תיאטרון מראות</t>
  </si>
  <si>
    <t>ערבי תרבות</t>
  </si>
  <si>
    <t>קונצרט מראות</t>
  </si>
  <si>
    <t>תמיכה בניהול ובפעליות השוטפות</t>
  </si>
  <si>
    <t>פרויקט "חדארה"</t>
  </si>
  <si>
    <t>כתב עת אלגד אלגדיד</t>
  </si>
  <si>
    <t>קונצרטים</t>
  </si>
  <si>
    <t>מרכז נשים</t>
  </si>
  <si>
    <t>חודש התרבות</t>
  </si>
  <si>
    <t>תמיכה בפסטיבל פיסול ונגינה</t>
  </si>
  <si>
    <t>תמיכה בלהקת דבקה</t>
  </si>
  <si>
    <t>תיאטרון 'אלמהבאש' רהט</t>
  </si>
  <si>
    <t>פסטיבל ומדרחוב צ'רקסי 2020</t>
  </si>
  <si>
    <t>כתבי עת וסדנאות מורשת</t>
  </si>
  <si>
    <t>להקת דבקה ופולקלור 2020</t>
  </si>
  <si>
    <t>קונצרט נצרת 2020</t>
  </si>
  <si>
    <t>להקת מחול - בלט 2020</t>
  </si>
  <si>
    <t>תיאטרון קהילתי לנוער 2020</t>
  </si>
  <si>
    <t>גלריה עירונית 2020</t>
  </si>
  <si>
    <t>פסטיבל תיאטרון הילד 2020</t>
  </si>
  <si>
    <t>תזמורת נצרת 2020</t>
  </si>
  <si>
    <t>פסטיבל לילות המעיין 2020</t>
  </si>
  <si>
    <t>פסטיבל לילות רמדאן 2020</t>
  </si>
  <si>
    <t>אומני העתיד</t>
  </si>
  <si>
    <t>מרכז לתיאטרון ילדים</t>
  </si>
  <si>
    <t>קונסרטים מוזקאלי</t>
  </si>
  <si>
    <t>the voice kids 2020</t>
  </si>
  <si>
    <t>סדנאות פיסול, צילום , וציור</t>
  </si>
  <si>
    <t>מרכז נשים בוקעאתא</t>
  </si>
  <si>
    <t>מוסיקה ומקהלה</t>
  </si>
  <si>
    <t>מרכז מורשת סכנין 2020</t>
  </si>
  <si>
    <t>גלריה זרקשה לאומנות קלאסית ומודרנית</t>
  </si>
  <si>
    <t>אמנות ותרבות בקהילה</t>
  </si>
  <si>
    <t>פיסטיבל הפלקלור העממי כאבול</t>
  </si>
  <si>
    <t>תמיכה בפעילות שוטפת של העמותה</t>
  </si>
  <si>
    <t>תמיכה במכון הערבי לתיאטרון</t>
  </si>
  <si>
    <t>תרבות דרוזית ישראלית</t>
  </si>
  <si>
    <t>תמיכה בלהקת המחול אנדור</t>
  </si>
  <si>
    <t>אנסמבל אוניסון כנרים</t>
  </si>
  <si>
    <t>אבו גוש מקהילה</t>
  </si>
  <si>
    <t>אבו גוש מחול</t>
  </si>
  <si>
    <t>להקת בלט "הכרמים" נוף הגליל</t>
  </si>
  <si>
    <t>בי"ס למוסיקה</t>
  </si>
  <si>
    <t>גלריית בית הגפן ופעולות תרבות ערבית</t>
  </si>
  <si>
    <t>קרקס</t>
  </si>
  <si>
    <t>ערבי תרבות וכתב עת</t>
  </si>
  <si>
    <t>פרויקט המורשת בעיני האישה הערבייה</t>
  </si>
  <si>
    <t>מוסיקה דנון תמיכה שוטפת 2020</t>
  </si>
  <si>
    <t>דבקה דנון תמיכה שוטפת 2020</t>
  </si>
  <si>
    <t>הקמת תיאטרון בנגב</t>
  </si>
  <si>
    <t>תמיכה בעמותת פוליפוני לחינוך</t>
  </si>
  <si>
    <t>אבו גוש בית ספר למוסיקה</t>
  </si>
  <si>
    <t>קריסמס מארקט 2020</t>
  </si>
  <si>
    <t>פסטיבל סדא אלסובאט 2020</t>
  </si>
  <si>
    <t>תמיכה בתיאטרון הכפרי</t>
  </si>
  <si>
    <t>מוסדות ציבור תרבות ערבית: תמיכה לשנת התק</t>
  </si>
  <si>
    <t>חגיגות חג הקורבן 2020</t>
  </si>
  <si>
    <t>בית המורשת</t>
  </si>
  <si>
    <t>אומנות ערך חיים</t>
  </si>
  <si>
    <t>אומנות 2020</t>
  </si>
  <si>
    <t>מוסיקה 2020</t>
  </si>
  <si>
    <t>מחול צ'רקסי 2020</t>
  </si>
  <si>
    <t>יוזמות וערבי תרבות לשנת 2020</t>
  </si>
  <si>
    <t>פסטיבל חג הקורבן 2020</t>
  </si>
  <si>
    <t>קונצרט למוזיקה קלאסית 2020</t>
  </si>
  <si>
    <t>האישה הדרוזית בין המורשת למודרניזציה</t>
  </si>
  <si>
    <t>מועדון מנאראת התרבותי - תיאטרון חברתי</t>
  </si>
  <si>
    <t>מועדון מנאראת התרבותי - להקה מוזיקאלית</t>
  </si>
  <si>
    <t>פסטיבל הכפר</t>
  </si>
  <si>
    <t>שבוע תרבות ג'וליס</t>
  </si>
  <si>
    <t>קונצרט בכפר (דוזאן)</t>
  </si>
  <si>
    <t>חוג תיאטרון</t>
  </si>
  <si>
    <t>תזמורת ומקהלה יישובית</t>
  </si>
  <si>
    <t>שילוב תלמידים מנגנים - 2020</t>
  </si>
  <si>
    <t>מרכז קהילתי מדבר תרבות</t>
  </si>
  <si>
    <t>להקת מחול מ.ע.א</t>
  </si>
  <si>
    <t>מקהלת דוזנלי</t>
  </si>
  <si>
    <t>אבו סנאן כפר רב תרבותי</t>
  </si>
  <si>
    <t>תמיכה בלהקת המחול ביסאן</t>
  </si>
  <si>
    <t>תאטרון קהילתי כפר ברא</t>
  </si>
  <si>
    <t>חוג מקהילה</t>
  </si>
  <si>
    <t>חוג דבקה</t>
  </si>
  <si>
    <t>מוזיקה לצעירים - ילדם ומתבגרים</t>
  </si>
  <si>
    <t>סדנאות אומנות ותערוכות 2020</t>
  </si>
  <si>
    <t>תמיכה בלהקת המחול אנדור לשנת 2020</t>
  </si>
  <si>
    <t>תמיכה במרכז קימידיה לשנת 2020</t>
  </si>
  <si>
    <t>פעילויות תרבות לדרוזים לשנת 2020</t>
  </si>
  <si>
    <t>תמיכה בתיאטרון אל-ניקאב</t>
  </si>
  <si>
    <t>מקהלת ראנה</t>
  </si>
  <si>
    <t>להקת דבקת אלנור כאבול</t>
  </si>
  <si>
    <t>חוגי נגינה כאבול</t>
  </si>
  <si>
    <t>פיסטיבל לילות רמדאן בכאבול</t>
  </si>
  <si>
    <t>מקהלת נג'ם מן בלדי</t>
  </si>
  <si>
    <t>ערבי תרבות 2020</t>
  </si>
  <si>
    <t>פסטיבל חג המולד לרגל חג המולד הנוצרי</t>
  </si>
  <si>
    <t>קונצרטים 2020</t>
  </si>
  <si>
    <t>פסטיבל זמר, מחול ומורשת 2020</t>
  </si>
  <si>
    <t>מרכז נשים 2020</t>
  </si>
  <si>
    <t>להקת הדבקה</t>
  </si>
  <si>
    <t>תזמורת נגינה ערבית</t>
  </si>
  <si>
    <t>להקת הראפ</t>
  </si>
  <si>
    <t>להקת דבקה/ מחול מזרעה -2020</t>
  </si>
  <si>
    <t>בית ספר למוסיקה מזרעה-2020</t>
  </si>
  <si>
    <t>בית ספר ללמודי אומונות פלסטית מזרעה-2020</t>
  </si>
  <si>
    <t>מתנ"ס בשכונה</t>
  </si>
  <si>
    <t>בית ספר מנגן ולהקת מחוננים</t>
  </si>
  <si>
    <t>תמיכה 2020 - מוסד עוגן</t>
  </si>
  <si>
    <t>גן הפעמונים ומועדון סריגה לנשים</t>
  </si>
  <si>
    <t>סיפזיון שירה - להקת זגל</t>
  </si>
  <si>
    <t>דבקה 2020</t>
  </si>
  <si>
    <t>מוזיקה 2020</t>
  </si>
  <si>
    <t>תיאטרון 2020</t>
  </si>
  <si>
    <t>כתיבה יצירתית 2020</t>
  </si>
  <si>
    <t>לימודי דרמה מזרעה-2020</t>
  </si>
  <si>
    <t>הלהקה המנגנת ג'לג'וליה 2020</t>
  </si>
  <si>
    <t>הפקת מופעים ופרוייקטים חדשים לשנת 2020</t>
  </si>
  <si>
    <t>מרכז אומנויות 2020</t>
  </si>
  <si>
    <t>להקת דבקה 2020</t>
  </si>
  <si>
    <t>מחול דבקה</t>
  </si>
  <si>
    <t>גלריה אומנותית</t>
  </si>
  <si>
    <t>להקת זמר</t>
  </si>
  <si>
    <t>בית ספר למוסיקה</t>
  </si>
  <si>
    <t>חוגי מוזיקה ותזמורת 2020</t>
  </si>
  <si>
    <t>ב"ס למוסיקה 2020</t>
  </si>
  <si>
    <t>תמיכה שוטפת בפעילות העמותה 2020</t>
  </si>
  <si>
    <t>מימון פעילות שוטפת פסטיבלים</t>
  </si>
  <si>
    <t>בקשה למימון פעילות תיאטרון</t>
  </si>
  <si>
    <t>בקשה למימון פעילות מחול</t>
  </si>
  <si>
    <t>גלריית ציור</t>
  </si>
  <si>
    <t>בקשה למימון פעילות מוסיקאלית</t>
  </si>
  <si>
    <t>פסטיבל הפיסול והאומנות 2020</t>
  </si>
  <si>
    <t>מימון פעילות של הצגות והפקות בתחום התיאט</t>
  </si>
  <si>
    <t>מימון פעילות שוטפת של המחול ומימון הפקות</t>
  </si>
  <si>
    <t>תיאטרון קהילתי שגב שלום</t>
  </si>
  <si>
    <t>אומנות פלסטית - גלריה שגב שלום</t>
  </si>
  <si>
    <t>תמיכה שוטפת מחול נוה הבדואים לשנת 2020</t>
  </si>
  <si>
    <t>תמיכה שוטפת בעמותת אלאופוק לשנת 2020</t>
  </si>
  <si>
    <t>פעילות תאטרון בחברה הערבית בירושלים</t>
  </si>
  <si>
    <t>תאטרון אלחיאת 2020</t>
  </si>
  <si>
    <t>מקהילה ישובית 2020</t>
  </si>
  <si>
    <t>צילום וסרט 2020</t>
  </si>
  <si>
    <t>חוג מוסיקה</t>
  </si>
  <si>
    <t>חוג אומנות</t>
  </si>
  <si>
    <t>בית ספר לאומנות</t>
  </si>
  <si>
    <t>תרבות ערבית-תיאטרון ביה"ס למחזאות ערבית</t>
  </si>
  <si>
    <t>ניהול וקידום מקהלה + אנסמבל כלי</t>
  </si>
  <si>
    <t>מרכז מוסיקה מטרוז'</t>
  </si>
  <si>
    <t>להקות דבקה</t>
  </si>
  <si>
    <t>להקת דבקה ומחול</t>
  </si>
  <si>
    <t>ערבי תרבות ומוזיקה ביאנוח ג'ת</t>
  </si>
  <si>
    <t>פסטיבל אומנות יאנוח ג'ת 2020</t>
  </si>
  <si>
    <t>תד"צ פסטיבל חג הקורבן 2020</t>
  </si>
  <si>
    <t>תד"צ אמונות פיסול 2020</t>
  </si>
  <si>
    <t>מחול ודבקה</t>
  </si>
  <si>
    <t>גלריות ואומנות</t>
  </si>
  <si>
    <t>פסטיבל האשה</t>
  </si>
  <si>
    <t>שבוע התרבות והספר הערבי - מעלות תרשיחא</t>
  </si>
  <si>
    <t>פסטיבל החגים בתרשיחא 2020</t>
  </si>
  <si>
    <t>פסטיבל לילות רמדאן תרשיחא 2020</t>
  </si>
  <si>
    <t>תמיכה תזמורת צלילי המזרח שנת 2020</t>
  </si>
  <si>
    <t>תמיכה פסטיבל האביב 2020</t>
  </si>
  <si>
    <t>פסטיבל גילוף בעץ 2020</t>
  </si>
  <si>
    <t>בקשה למימון פעילות שוטפת מוסיקה</t>
  </si>
  <si>
    <t>פסטיבלים מ.מ. בענה</t>
  </si>
  <si>
    <t>תאטרון קהילתי בענה</t>
  </si>
  <si>
    <t>לילות תרבות 2020</t>
  </si>
  <si>
    <t>נשים וקהילה 2020</t>
  </si>
  <si>
    <t>קונצרטים ביישובים הדרוזים 2020</t>
  </si>
  <si>
    <t>מחול - דבקה</t>
  </si>
  <si>
    <t>תמיכה בגלריית האומנות הפלסטית של הארגון</t>
  </si>
  <si>
    <t>קונצרט - מקהילה</t>
  </si>
  <si>
    <t>תיאטרון מיוחד</t>
  </si>
  <si>
    <t>מפגשי מורשת - תערוכות וסדנאות</t>
  </si>
  <si>
    <t>אירועי חג המולד - עילבון</t>
  </si>
  <si>
    <t>תמיכה בגלריה תל כיסאן</t>
  </si>
  <si>
    <t>תמיכה בגלירה תל כיסאן</t>
  </si>
  <si>
    <t>שוטף תיאטרון</t>
  </si>
  <si>
    <t>תמיכה בערבי תרבות עילבון</t>
  </si>
  <si>
    <t>תמיכה בפעילות תרבות ערבית מוסיקה</t>
  </si>
  <si>
    <t>להקת דבקה ותרבות שעב 2020</t>
  </si>
  <si>
    <t>ערבי תרבות ג'וליס 2020</t>
  </si>
  <si>
    <t>תזמורת צלילי המזרח 2020</t>
  </si>
  <si>
    <t>תמיכה בפעולות תרבות לדרוזים ולצ'רק, 2020</t>
  </si>
  <si>
    <t>פעילות מוסיקה</t>
  </si>
  <si>
    <t>להקת מחול - דבקה</t>
  </si>
  <si>
    <t>פעילות שוטפת גלריית ציור</t>
  </si>
  <si>
    <t>מימון פעילות שוטפת במוסיקה</t>
  </si>
  <si>
    <t>מימון פעילות מחול</t>
  </si>
  <si>
    <t>תמיכה בערבי תרבות לדרוזים נהנהנ2020</t>
  </si>
  <si>
    <t>תמיכה במועדון תרבות לנכים 2020</t>
  </si>
  <si>
    <t>מרכז לאומנות פלסטית ויצירה</t>
  </si>
  <si>
    <t>תמיכה במרכז לאומנות פלסטית ויצירה</t>
  </si>
  <si>
    <t>הפעלת בית ספר למוסיקה ברהט 2020</t>
  </si>
  <si>
    <t>חוג מחול " דבקה "</t>
  </si>
  <si>
    <t>הפעלת תיאטרון קהילתי</t>
  </si>
  <si>
    <t>תמיכה בפעולות תרבות לנשים דרוזיות 2020</t>
  </si>
  <si>
    <t>פסטיבל האומנות והמוסיקה 2020</t>
  </si>
  <si>
    <t>אומנות ומוסיקה אלריאדה</t>
  </si>
  <si>
    <t>סכנין עיר מצוירת 2020</t>
  </si>
  <si>
    <t>תיאטרון וקולנוע 2020</t>
  </si>
  <si>
    <t>חוגי ציור ופיסול 2020</t>
  </si>
  <si>
    <t>פרויקט גלריה אומנותית 2020</t>
  </si>
  <si>
    <t>להקת דבקה אלתואסל 2020</t>
  </si>
  <si>
    <t>תמיכה לאירועי תרבות מ.מ.ג'ת 2020</t>
  </si>
  <si>
    <t>הקמת תאטרון בועיינה נוג'ידת</t>
  </si>
  <si>
    <t>בקשה לתמיכה בפסטיבל שורוק</t>
  </si>
  <si>
    <t>הפקת מגזין תרבות ומחזמר</t>
  </si>
  <si>
    <t>מימון פעילות בפריפיריה</t>
  </si>
  <si>
    <t>תמיכה שוטפת בפעילות העמותה - מוסיקה</t>
  </si>
  <si>
    <t>הפעלת דבקה ומקהלה 2020 מ מ כעביה</t>
  </si>
  <si>
    <t>תמיכה בפעילות תיאטרון</t>
  </si>
  <si>
    <t>פיסול במחצבה 2020</t>
  </si>
  <si>
    <t>פעילות מכרז נשים 2020</t>
  </si>
  <si>
    <t>פסטיבל ציור 2020</t>
  </si>
  <si>
    <t>הפקת תיאטרון קהילתי חדשה</t>
  </si>
  <si>
    <t>בקשה למימון פעילותה שוטפת בהפקת פסטיבל</t>
  </si>
  <si>
    <t>בקשת תמיכה באירוע תיאטרון בין לאומי</t>
  </si>
  <si>
    <t>3 אחיות: הצגה בערבית</t>
  </si>
  <si>
    <t>השתתפות בהצטיידות לספריה הציבורית</t>
  </si>
  <si>
    <t>תמיכה מתקנת פריפריה</t>
  </si>
  <si>
    <t>19-42-02-35</t>
  </si>
  <si>
    <t>תרבות בנגב</t>
  </si>
  <si>
    <t>פריפריה</t>
  </si>
  <si>
    <t>בית אוסישקין-מוזיאון בפריפרי-ה 2020</t>
  </si>
  <si>
    <t>מוזיאון בפריפריה</t>
  </si>
  <si>
    <t>תיאטרון הנגב בפריפריה</t>
  </si>
  <si>
    <t>בקשת תמיכה פריפריה 2020</t>
  </si>
  <si>
    <t>תמיכה נוספת לפריפריה</t>
  </si>
  <si>
    <t>תקנת פריפריה מ2020</t>
  </si>
  <si>
    <t>בקשת תמיכה לתקנת פריפריה</t>
  </si>
  <si>
    <t>בקשת תמיכה מתקנת תרבות ערבית</t>
  </si>
  <si>
    <t>בקשה לתמיכה בתיאטרון בפריפריה</t>
  </si>
  <si>
    <t>תמיכה למימון פעילותה השוטפת במוסיקה בפרי</t>
  </si>
  <si>
    <t>הנגשת התרבות</t>
  </si>
  <si>
    <t>פסטיבל טנגו כ"ס 2020 - אגף תרבות</t>
  </si>
  <si>
    <t>תמיכה בתקנת פריפריה</t>
  </si>
  <si>
    <t>תמיכה במוזיאון בפריפריה</t>
  </si>
  <si>
    <t>שוטף סינמה דרמה</t>
  </si>
  <si>
    <t>תמיכה בהגברת הפעילות</t>
  </si>
  <si>
    <t>ציון יום השפה והדגל הצ'רקסי</t>
  </si>
  <si>
    <t>תקנת הפריפריה 2020</t>
  </si>
  <si>
    <t>מוסד תרבות בעיר אילת וחבל אילות</t>
  </si>
  <si>
    <t>בקשת תמיכה עבור פריפריה</t>
  </si>
  <si>
    <t>בקשת תמיכה מוסד תרבות בפריפריה - קמע</t>
  </si>
  <si>
    <t>תמיכה בפריפיריה</t>
  </si>
  <si>
    <t>קבוצת מעבדתרבות דימונה פריפריה</t>
  </si>
  <si>
    <t>בינם</t>
  </si>
  <si>
    <t>מעבדתרבות דימונה גלריה פריפריה</t>
  </si>
  <si>
    <t>תמיכה בפעילות מוזאלית בפריפריה(צפת) 2020</t>
  </si>
  <si>
    <t>בקשה לתמיכה בהנגשת התרבות</t>
  </si>
  <si>
    <t>תמיכה בפריפריה</t>
  </si>
  <si>
    <t>תמיכה למוזאון ממוקם בפריפריה</t>
  </si>
  <si>
    <t>תמיכה פריפריה</t>
  </si>
  <si>
    <t>תמיכה במוסדות בפריפריה לשנת 2020</t>
  </si>
  <si>
    <t>תמיכה בגין מוסד תרבות בפריפריה</t>
  </si>
  <si>
    <t>פריפריה 2020</t>
  </si>
  <si>
    <t>קידום ענף השחמט במעלות תרשיחא</t>
  </si>
  <si>
    <t>מוסיקה בפריפריה</t>
  </si>
  <si>
    <t>תמיכה למוסד תרבות בפריפריה 2020</t>
  </si>
  <si>
    <t>תמיכה במוזיאון בפריפריה 2020</t>
  </si>
  <si>
    <t>תקנת פריפריה</t>
  </si>
  <si>
    <t>פריפריה מרכז פרינג 2020</t>
  </si>
  <si>
    <t>פריפריה קבוצת תאטרון 2020</t>
  </si>
  <si>
    <t>תמיכה שוטפת לגלריה לאמנות בפריפריה</t>
  </si>
  <si>
    <t>בקשה לתמיכה בגלריה בפריפריה במעלות-תרשיח</t>
  </si>
  <si>
    <t>בית אוסף קופפרמן פריפריה</t>
  </si>
  <si>
    <t>גלריה קיבוץ לוחמי הגטאות פריפריה</t>
  </si>
  <si>
    <t>תמיכה שוטפת לעמותת אלאופוק</t>
  </si>
  <si>
    <t>תמיכה במוסד ציבור בפריפריה</t>
  </si>
  <si>
    <t>גלריה כברי פריפריה</t>
  </si>
  <si>
    <t>גלריה אטליה שמי פריפריה</t>
  </si>
  <si>
    <t>פעילות בפריפריה</t>
  </si>
  <si>
    <t>מוסדות תרבות בפריפריה</t>
  </si>
  <si>
    <t>תמיכה פריפרייה סינמטק שדרות לשנת 2020</t>
  </si>
  <si>
    <t>תמיכת פריפריה במרכז לאמנות עכשווית בערד</t>
  </si>
  <si>
    <t>מקהלת ולהקת סיראג' + בי"ס למוסיקה</t>
  </si>
  <si>
    <t>תזמורת אנדלוסית אלמוגרביה 2020 מעלות תרש</t>
  </si>
  <si>
    <t>תמיכה בפעילות תרבות בפריפריה</t>
  </si>
  <si>
    <t>תמיכה בפעילות באיזורי פרירפיה</t>
  </si>
  <si>
    <t>תמיכה בתיאטרון אלחיאת</t>
  </si>
  <si>
    <t>תמיכה בפרסום ושיווק הנדרשים למוזאון בפר</t>
  </si>
  <si>
    <t>תמיכה בתיאטרון לחישה - תיאטרון פריפריאלי</t>
  </si>
  <si>
    <t>גלריה בעוטף עזה</t>
  </si>
  <si>
    <t>תמיכה במוסדות תרבות בפריפריה לשנת 2020</t>
  </si>
  <si>
    <t>פעילות שוטפת 2020</t>
  </si>
  <si>
    <t>ניהול וקיום בית ספר מקצועי למשחק</t>
  </si>
  <si>
    <t>תמיכה בפעילות שוטפת סטודיו ירושלים</t>
  </si>
  <si>
    <t>תמיכה בפעילות שוטפת סטודיו ת"א</t>
  </si>
  <si>
    <t>בית 9 - בית ספר</t>
  </si>
  <si>
    <t>תמיכהה שוטפת</t>
  </si>
  <si>
    <t>בית ספר- כל עצמותי תאמרנה</t>
  </si>
  <si>
    <t>תמיכה שוטפת בתי ספר</t>
  </si>
  <si>
    <t>תמיכה שוטפת בית ספר למוסיקה</t>
  </si>
  <si>
    <t>אמן", המרכז לאמנות ועיצוב לציבור החרדי,</t>
  </si>
  <si>
    <t>תמיכה שוטפת בבית ספר לקולנוע ואנימציה</t>
  </si>
  <si>
    <t>תמיכה שוטפת אמנות, צילום, חזותית</t>
  </si>
  <si>
    <t>תמיכה שוטפת במחלקה לכתיבה</t>
  </si>
  <si>
    <t>לתמיכה בפעילות שוטפת של המוסד</t>
  </si>
  <si>
    <t>תמיכה בביה"ס לאומנויות המילה</t>
  </si>
  <si>
    <t>בית ספר לאומנות סנדסיאל 2019</t>
  </si>
  <si>
    <t>מסלול מלא ומסלול הפקה יוזמת</t>
  </si>
  <si>
    <t>בקשת תמיכה במסלול תסריטאות</t>
  </si>
  <si>
    <t>בקשת תמיכה בבית ספר לאמנות תקנת ירושלים</t>
  </si>
  <si>
    <t>פעילות שוטפת בי"ס</t>
  </si>
  <si>
    <t>התכנית הדו שנתית לכוריאוגרפיה</t>
  </si>
  <si>
    <t>תמיכה שוטפת בית ספר</t>
  </si>
  <si>
    <t>ביהס לאמנות תיאטרון הבובות 2020</t>
  </si>
  <si>
    <t>רימון בית ספר למוסיקה תמיכה שוטפת 2020</t>
  </si>
  <si>
    <t>אבן ספיר בית ספר למוזיקה</t>
  </si>
  <si>
    <t>בקשת תמיכה כתיבה שוטף</t>
  </si>
  <si>
    <t>בקשת תמיכה שוטף קולנוע</t>
  </si>
  <si>
    <t>תמיכה בבי"ס לאומנות פלסטית, צורפות וקדרו</t>
  </si>
  <si>
    <t>בית ספר לתיאטרון 2020</t>
  </si>
  <si>
    <t>מגמת קולנוע 2020 - קולנוע יהודי</t>
  </si>
  <si>
    <t>מגמת כתיבה 2020 - קולנוע יהודי</t>
  </si>
  <si>
    <t>הקוביה- מסלולי לימוד</t>
  </si>
  <si>
    <t>רשות הלאדינו-תאגיד עפ"י חוק 2020</t>
  </si>
  <si>
    <t>19-42-02-42</t>
  </si>
  <si>
    <t>המועצה הלאומית לתרבו</t>
  </si>
  <si>
    <t>אקדמיה ללשון ערבית-תאגיד עפ"י חוק 2020</t>
  </si>
  <si>
    <t>19-42-02-43</t>
  </si>
  <si>
    <t>אקדמיה ללשון ערבית</t>
  </si>
  <si>
    <t>הרשות הלאומית לתרבות היידיש-2020</t>
  </si>
  <si>
    <t>19-42-02-44</t>
  </si>
  <si>
    <t>המועצה לתרבות היידיש</t>
  </si>
  <si>
    <t>הנמקה לבקשת תמיכה כספית לשנת 2020</t>
  </si>
  <si>
    <t>מוסדות ציבור תמיכה בשימור אתרי התיישבות</t>
  </si>
  <si>
    <t>שימור אתרים 2020</t>
  </si>
  <si>
    <t>הדרכה, אחזקה ושילוט אתר מורשת</t>
  </si>
  <si>
    <t>תמיכה בעמותה לשחזור ראש פינה</t>
  </si>
  <si>
    <t>בית הבאר - מוזיאון למורשת נתניה</t>
  </si>
  <si>
    <t>מוזיאון חומה ומגדל חניתה 2020</t>
  </si>
  <si>
    <t>תמיכה שוטפת פעילות חינוכית במוזיאון</t>
  </si>
  <si>
    <t>שימור ושיקום אתרי מורשת</t>
  </si>
  <si>
    <t>11293 שימור אתרי התיישבות</t>
  </si>
  <si>
    <t>רסטורציה לחפציו האישיים של יהושע חנקין</t>
  </si>
  <si>
    <t>מוזיאון חומה ומגדל חניתה</t>
  </si>
  <si>
    <t>11293 אתרי התיישבות</t>
  </si>
  <si>
    <t>מוזיאון בית ראשונים הרצליה</t>
  </si>
  <si>
    <t>שימור אתר מורשת 2020</t>
  </si>
  <si>
    <t>שימור אתרי התיישבות -2020</t>
  </si>
  <si>
    <t>מוזיאון תולדות מגדל- שימור אתר</t>
  </si>
  <si>
    <t>שימור אתר התיישבות</t>
  </si>
  <si>
    <t>שימור מוזיאון בית ליברמן</t>
  </si>
  <si>
    <t>קיום להקת מחול מצועית בירושלים</t>
  </si>
  <si>
    <t>קיום בית ספר מקצועי למחול בירושלים</t>
  </si>
  <si>
    <t>תמיכה בלהקת המחול ורטיגו-תקנת ירושלים</t>
  </si>
  <si>
    <t>גלריה ברבור - תקנת ירושלים</t>
  </si>
  <si>
    <t>תזמורת הרחוב הירושלמית - תקנת ירושלים</t>
  </si>
  <si>
    <t>ליריק-אופרה - תקנת ירושלים</t>
  </si>
  <si>
    <t>בי"ס למחול של ורטיגו - תקנת ירושלים</t>
  </si>
  <si>
    <t>מזקקה - תקנת ירושלים</t>
  </si>
  <si>
    <t>פסטיבל זיקוק - תקנת ירושלים</t>
  </si>
  <si>
    <t>המפעל - תקנת ירושלים</t>
  </si>
  <si>
    <t>תמיכה במוסד אומנות בירושלים</t>
  </si>
  <si>
    <t>תמיכה בניהול שוטף 2020</t>
  </si>
  <si>
    <t>תמיכה מתקנת ירושלים 2020</t>
  </si>
  <si>
    <t>תקנת ירושלים</t>
  </si>
  <si>
    <t>תקנת ירושלים 2020</t>
  </si>
  <si>
    <t>פסטיבל ג'ז-תקנת ירושלים 2020</t>
  </si>
  <si>
    <t>תמיכה בפעילות שוטפת של סטודיו ירושלים</t>
  </si>
  <si>
    <t>אנסמבל כעת - תקנת ירושלים</t>
  </si>
  <si>
    <t>פסטיבל בין שמיים לארץ - תקנת ירושלים</t>
  </si>
  <si>
    <t>תמי ורונן יצחקי - תקנת ירושלים</t>
  </si>
  <si>
    <t>תמיכה שוטפת במוסד תרבות ירושלמי</t>
  </si>
  <si>
    <t>פרוייקט מוסיקה- תקנת ירושלים</t>
  </si>
  <si>
    <t>שרון שגיא - תקנת ירושלים</t>
  </si>
  <si>
    <t>כורש 14 אמנות בירושלים</t>
  </si>
  <si>
    <t>תקנת ירושלים פסטיבל כנס פרפורמנס</t>
  </si>
  <si>
    <t>תיאטרון הזירה הבין תחומית תקנת י-ם</t>
  </si>
  <si>
    <t>פולחן הסתיו תקנת י-ם</t>
  </si>
  <si>
    <t>זירת מחול תקנת י-ם</t>
  </si>
  <si>
    <t>תקנת ירושלים אירועי ספרות</t>
  </si>
  <si>
    <t>תמיכה בפעילות תיאטרון מיקרו הירושלמי</t>
  </si>
  <si>
    <t>קיום פעילויות תרבות לתושבי ירושלים</t>
  </si>
  <si>
    <t>אמנות הזירה מענק י-ם</t>
  </si>
  <si>
    <t>מוסיקה הזירה תקנת י-ם</t>
  </si>
  <si>
    <t>ספרות הזירה תקנת י-ם</t>
  </si>
  <si>
    <t>קבוצת התיאטרון הולגאב מענק י-ם</t>
  </si>
  <si>
    <t>מפגשי שירה וספרות 2020 - מענק ירושלים</t>
  </si>
  <si>
    <t>פסטיבל העוד הבינלאומי 2020 - מענק י-ם</t>
  </si>
  <si>
    <t>פסטיבל הולגאב ליצירה ישראלית-אתיופית -מ</t>
  </si>
  <si>
    <t>סינמה דרמה שוטף</t>
  </si>
  <si>
    <t>תקנת ירושלים בית עגנון</t>
  </si>
  <si>
    <t>תמיכה שוטפת מתקנת ירושלים</t>
  </si>
  <si>
    <t>תמיכה בפעילות גלריות מתקנת ירושלים</t>
  </si>
  <si>
    <t>תמיכה שוטפת בית ספר למוסיקה מתקנת ירושלי</t>
  </si>
  <si>
    <t>תמיכה בפסטיבל מתקנת ירושלים</t>
  </si>
  <si>
    <t>תמיכה בתיאטרון הפועל בירושלים</t>
  </si>
  <si>
    <t>תקנת ירושלים מחול</t>
  </si>
  <si>
    <t>תקנת ירושלים קבוצות תיאטרון</t>
  </si>
  <si>
    <t>אמנות פלסטית- תקנת ירושלים</t>
  </si>
  <si>
    <t>תקנת ירושלים פרינג'</t>
  </si>
  <si>
    <t>תקנת ירושלים - 2020</t>
  </si>
  <si>
    <t>תמיכה בפרוייקטים אפראיים</t>
  </si>
  <si>
    <t>מוזיאונים- תקנת ירושלים</t>
  </si>
  <si>
    <t>תקנת ירושלים- פסטיבלים</t>
  </si>
  <si>
    <t>תמיכה לפעילות להקה בירושלים</t>
  </si>
  <si>
    <t>להקת מחול הפועלת בירושלים</t>
  </si>
  <si>
    <t>תקנת ירושלים- תאטרון</t>
  </si>
  <si>
    <t>תמיכה במופעים בירושלים</t>
  </si>
  <si>
    <t>תמיכה בביה"ס לאומנוית המילה בירושלים</t>
  </si>
  <si>
    <t>תמיכה בפסטיבל הבובות</t>
  </si>
  <si>
    <t>תקנת ירושלים- בי"ס למחול</t>
  </si>
  <si>
    <t>תקנת ירושלים- ריקודי עם</t>
  </si>
  <si>
    <t>תקנת ירושלים - גלריה סדנאות האמנים 2020</t>
  </si>
  <si>
    <t>תקנת ירושלים מנופים 2020 - סדנאות האמנים</t>
  </si>
  <si>
    <t>המשך תמיכה במסגרת תקנת ירושלים</t>
  </si>
  <si>
    <t>תמיכה במוסדות אומנות בירושלים</t>
  </si>
  <si>
    <t>תמיכה במוסד תרבות בירושלים 2020</t>
  </si>
  <si>
    <t>תמיכה באירועי ספרות המתרחשים בירושלים</t>
  </si>
  <si>
    <t>תקנת ירושלים ערבי ספרות 2020</t>
  </si>
  <si>
    <t>הפקת אירועי ספרות רב-תחומי/גדול/קטן בי-ם</t>
  </si>
  <si>
    <t>תמיכה באירועי ספרות - תקנת ירושלים</t>
  </si>
  <si>
    <t>תמיכה בפעילות יוצר בירושלים נטע פולבמכר</t>
  </si>
  <si>
    <t>תמיכה בפעילות יוצר בירושלים מאיה לוי</t>
  </si>
  <si>
    <t>תמיכה בפעילות יוצר בירושלים מעין ליבמן</t>
  </si>
  <si>
    <t>תמיכה בפעילות יוצר בירושלים ענת שמגר</t>
  </si>
  <si>
    <t>תמיכה במסלול המלא והפקה תקנת י-ם</t>
  </si>
  <si>
    <t>תמיכה במסלול תסריטאות - תקנת י-ם</t>
  </si>
  <si>
    <t>תמיכה במסלול מלא והפקה תקנת י-ם</t>
  </si>
  <si>
    <t>תמיכה במכון רננות - המשך פעילות אמנותית</t>
  </si>
  <si>
    <t>המקהלה הקאמרית - תקנת ירושלים</t>
  </si>
  <si>
    <t>מקהלת אנקור - תקנת ירושלים</t>
  </si>
  <si>
    <t>תמיכה בעמותת קשת אמנויות בירושלים</t>
  </si>
  <si>
    <t>תאטרון ירושלים - סוף קיץ תקנת ירושלים</t>
  </si>
  <si>
    <t>תאטרון ירושלים - פסנתרים תקנת ירושלים</t>
  </si>
  <si>
    <t>מוסדות אמנות בירושלים</t>
  </si>
  <si>
    <t>שיר לשירה - היצירה הישראלית החדשה - מענק</t>
  </si>
  <si>
    <t>אומנות פלסטית- תקנת ירושלים</t>
  </si>
  <si>
    <t>ירושלים תחרות האמן הצעיר</t>
  </si>
  <si>
    <t>ירושלים - מרכז עדן תמיר למוסיקה</t>
  </si>
  <si>
    <t>פעילות של בית הספר לבלט בירושלים</t>
  </si>
  <si>
    <t>מענק ירושלים</t>
  </si>
  <si>
    <t>תמיכה שוטפת לפעילות בירושלים</t>
  </si>
  <si>
    <t>תקנת ירושלים פסטיבל אורות חנוכה</t>
  </si>
  <si>
    <t>תמיכה בקאמרטה הישראלית ירושלים תקנת י-ם</t>
  </si>
  <si>
    <t>תקנת ירושלים לפסטיבל עין כרם 2020</t>
  </si>
  <si>
    <t>מענק ירושלים- שוטפת</t>
  </si>
  <si>
    <t>תקנת ירושלים - אירועים ספרותיים</t>
  </si>
  <si>
    <t>תקנת ירושלים - פסטיבלים</t>
  </si>
  <si>
    <t>תמיכה בתיאטרון האינקובטור הירושלמי-ספרות</t>
  </si>
  <si>
    <t>ת. בתיאטרון האינקובטור הירושלמי-רפרטוארי</t>
  </si>
  <si>
    <t>חשיפה בינלאומית תקנת ירושלים</t>
  </si>
  <si>
    <t>מרכז מחול שלם תקנת ירושלים</t>
  </si>
  <si>
    <t>פסטיבל מחול שלם תקנת ירושלים</t>
  </si>
  <si>
    <t>פעילות של תרבות בירושלים</t>
  </si>
  <si>
    <t>בקשת תמיכה תקנת ירושלים כתיבה</t>
  </si>
  <si>
    <t>בקשת תמיכה קולנוע תקנת ירושלים</t>
  </si>
  <si>
    <t>בין הסדקים 2020 מענק ירושלים</t>
  </si>
  <si>
    <t>מרכז אמנות מעמותה בירושלים</t>
  </si>
  <si>
    <t>מענק ירושלים ךתרבות</t>
  </si>
  <si>
    <t>תקנת ירושלים קבוצת תיאטרון</t>
  </si>
  <si>
    <t>תקנת ירושלים -פרוייקט הפקתי</t>
  </si>
  <si>
    <t>מענק ירושלים אמנות פלסטית 2020</t>
  </si>
  <si>
    <t>תקנת ירושלים ספרות 2020</t>
  </si>
  <si>
    <t>תמיכה בפרוייקט הפקתי לשנת 2020</t>
  </si>
  <si>
    <t>מענק ירושלים בבל</t>
  </si>
  <si>
    <t>הקמת המרכז למורשת יהדות אתיופיה 2020</t>
  </si>
  <si>
    <t>19-42-02-53</t>
  </si>
  <si>
    <t>מרכז למורשת יהדות</t>
  </si>
  <si>
    <t>בקשה לתמיכה בשכר רב שאינו אורתודוקסי</t>
  </si>
  <si>
    <t>19-42-02-54</t>
  </si>
  <si>
    <t>תמיכה ברבנים רפורמים</t>
  </si>
  <si>
    <t>קהילת עין גדי</t>
  </si>
  <si>
    <t>קהילת עין דור</t>
  </si>
  <si>
    <t>תמיכה ברבני קהילות במועצה אזורית חבל איל</t>
  </si>
  <si>
    <t>שכ"ע רב איזורי גולן ועמק הירדן</t>
  </si>
  <si>
    <t>שכ"ע רבה מטה יהודה</t>
  </si>
  <si>
    <t>קהילת אלון הגליל</t>
  </si>
  <si>
    <t>קהילת כפר גליקסון</t>
  </si>
  <si>
    <t>רב מועצה איזורית חבל אילות</t>
  </si>
  <si>
    <t>שכ"ע רבה שער הנגב</t>
  </si>
  <si>
    <t>שכ"ע רב אזורי משגב</t>
  </si>
  <si>
    <t>שכ"ע רבה מועצה מטה יהודה</t>
  </si>
  <si>
    <t>שכ"ע מועצה איזורית מגידו</t>
  </si>
  <si>
    <t>שכ"ע רב מועצה איזורית גלבוע</t>
  </si>
  <si>
    <t>שכ"ע רבה איזורית חוף כרמל</t>
  </si>
  <si>
    <t>שכ"ע רבה איזורית עמק חפר</t>
  </si>
  <si>
    <t>שכ"ע רבה מועצה איזורית מודיעים</t>
  </si>
  <si>
    <t>שכ"ע רבה מועצה גליל עליון</t>
  </si>
  <si>
    <t>שכ"ע רב איזורי רמת נגב</t>
  </si>
  <si>
    <t>שכ"ע רבה איזורית מטה אשר</t>
  </si>
  <si>
    <t>מבקשים תמיכה עבור הפעילות מוזיקה</t>
  </si>
  <si>
    <t>תמיכה ברבני קהילות במועצה אזורית משגב</t>
  </si>
  <si>
    <t>שכר רבנים בקהילות לא אורתודוכסיות</t>
  </si>
  <si>
    <t>תמיכה בקהילת משמרות</t>
  </si>
  <si>
    <t>בקשת תמיכה תקנה שמספרה 19310364</t>
  </si>
  <si>
    <t>בקשה לתמיכה בעלות שכר רב לקהילה</t>
  </si>
  <si>
    <t>תמיכה ברבנים לא אורתודוקסים</t>
  </si>
  <si>
    <t>תמיכה לרב לא אורתודוקסי</t>
  </si>
  <si>
    <t>תמיכה בשכר ראש הקהילה</t>
  </si>
  <si>
    <t>תמיכה עבור ראש קהילה אחוות ישראל</t>
  </si>
  <si>
    <t>בקשה עבור תמיכה בשכר רבה כראש קהילה</t>
  </si>
  <si>
    <t>ראש קהילה עירוני</t>
  </si>
  <si>
    <t>בית מדרש למנהיגות קהילתית</t>
  </si>
  <si>
    <t>תמיכה במוסדות ציבור-פעילות של ראש קהילה</t>
  </si>
  <si>
    <t>בקשה לתמיכה בעלות שכר רב קהילה מתחדשת</t>
  </si>
  <si>
    <t>תמיכה בראש קהילה המקיימת פעילות מסורתית</t>
  </si>
  <si>
    <t>תמיכה לראש קהילת דניאל ביפו</t>
  </si>
  <si>
    <t>פעילות להכשרת ראשי קהילות וליווי</t>
  </si>
  <si>
    <t>קהילת דגל יהודה</t>
  </si>
  <si>
    <t>תצמתצמ</t>
  </si>
  <si>
    <t>תמיכה בשכר רב / ראש קהילה</t>
  </si>
  <si>
    <t>השתתפות בשכר ראש קהילה</t>
  </si>
  <si>
    <t>פעילות של ראש קהילה עירונית בקהילות מתחד</t>
  </si>
  <si>
    <t>תמיכה בראש קהילה - רבה</t>
  </si>
  <si>
    <t>בקשה לתמיכה בעלות שכר רב בקהילה מתחדשת</t>
  </si>
  <si>
    <t>ארגון מלווה</t>
  </si>
  <si>
    <t>תמיכה בשכר ראש קהילה עירונית</t>
  </si>
  <si>
    <t>בקשה לתמיכה בעלות שכר קהילה מתחדשת</t>
  </si>
  <si>
    <t>תמיכה בארגון מלווה 2020</t>
  </si>
  <si>
    <t>תמיכה בשכר ראש קהילה ציבורית</t>
  </si>
  <si>
    <t>הכשרת ראשי קהילות מסורתיים</t>
  </si>
  <si>
    <t>תמיכה לראש קהילת ראש פינה</t>
  </si>
  <si>
    <t>תמיכה לראש קהילת השחר</t>
  </si>
  <si>
    <t>תמיכה לרב ראש קהילת אחוות ישראל</t>
  </si>
  <si>
    <t>תמיכה לרב ראש קהילה</t>
  </si>
  <si>
    <t>תמיכה לרב ראש קהילת נתן יה</t>
  </si>
  <si>
    <t>תמיכה לרב/ה ראש הקהילה</t>
  </si>
  <si>
    <t>תמיכה לראש קהילת נתן יה</t>
  </si>
  <si>
    <t>|תמיכה לראש קהילה אמת ושלום</t>
  </si>
  <si>
    <t>תמיכה לראש קהילת שירת הגן</t>
  </si>
  <si>
    <t>תמיכה לרב/ה ראש קהילה</t>
  </si>
  <si>
    <t>בקשה לתמיכה בראש קהילת יער רמות</t>
  </si>
  <si>
    <t>השתתפות בעלות הפעילות של רב הקהילה</t>
  </si>
  <si>
    <t>משואה – בקשת תמיכה לשנת 2020</t>
  </si>
  <si>
    <t>19-42-02-60</t>
  </si>
  <si>
    <t>ארכיונים</t>
  </si>
  <si>
    <t>תמיכה שוטפת בפעילות הארכיון</t>
  </si>
  <si>
    <t>שימור מסמכי ראשית התעופה בישראל</t>
  </si>
  <si>
    <t>שימורמסמכי ראשית התעופה הספוטיבית בישראל</t>
  </si>
  <si>
    <t>תמיכה שוטפת במוסד 2020</t>
  </si>
  <si>
    <t>תמיכה שוטפת יד חיים ויצמן 2020</t>
  </si>
  <si>
    <t>תמיכה במחקר ומידע בתרבות</t>
  </si>
  <si>
    <t>תמיכה לפעילות ביה"ס לבט בירושלים</t>
  </si>
  <si>
    <t>תמיכה כללית</t>
  </si>
  <si>
    <t>יד טבנקין 2020</t>
  </si>
  <si>
    <t>הפעלת ארכיון בנושא השואה</t>
  </si>
  <si>
    <t>תמיכה בפעילות ארכיוני השומר הצעיר</t>
  </si>
  <si>
    <t>תמיכה בהעתקת ארכיב הזז</t>
  </si>
  <si>
    <t>"גנזים"</t>
  </si>
  <si>
    <t>שימור מסורת שירת הבקשות נוסח מרוקו</t>
  </si>
  <si>
    <t>פעילות מקצועית-ת.זמורה-תרבות חרדית 2020</t>
  </si>
  <si>
    <t>תמיכה שוטפת בתזמורת אביבים המקצועית</t>
  </si>
  <si>
    <t>תמיכה שוטפת בבית הספר למוסיקה "אביבים"</t>
  </si>
  <si>
    <t>חגיגות חג הקורבן</t>
  </si>
  <si>
    <t>תקנת חרדים- בית ספר- כל עצמותי תאמרנה</t>
  </si>
  <si>
    <t>11</t>
  </si>
  <si>
    <t>תרבות חרדית 2020 - מחול</t>
  </si>
  <si>
    <t>תמיכה שוטפת בלהקת יוצרים מחול</t>
  </si>
  <si>
    <t>תמיכה שוטפת בבית ספר לאמנות "סטארט"</t>
  </si>
  <si>
    <t>תמיכה שוטפת בבית ספר למחול - הללו</t>
  </si>
  <si>
    <t>בית ספר מקצועי למוסיקה-תרבות חרדית 2020</t>
  </si>
  <si>
    <t>הקמת גלריה לאמנות חרדית</t>
  </si>
  <si>
    <t>תרבות חרדית 2020 - תיאטרון</t>
  </si>
  <si>
    <t>תמיכה בפסיבל סוכות אין ויזניץ 2020</t>
  </si>
  <si>
    <t>תרבות חרדית חובבים 2020</t>
  </si>
  <si>
    <t>תמיכה שוטפת בבית הספר למשחק 'האנסמבל'</t>
  </si>
  <si>
    <t>פסטיבל מחול יהודי</t>
  </si>
  <si>
    <t>תמיכה שוטפת בלהקת מחול מקצועית "הללויה"</t>
  </si>
  <si>
    <t>תמיכה שוטפת בלהקת מחול מקצועית "האנסמבל"</t>
  </si>
  <si>
    <t>תמיכה שוטפת בלהקת מחול מקצועית "הללו"</t>
  </si>
  <si>
    <t>תמיכה שוטפת ב"הללו-בית ספר למחול"</t>
  </si>
  <si>
    <t>תמיכה שוטפת בלהקת 'נשימה'</t>
  </si>
  <si>
    <t>תמיכה שוטפת ב'להקה הצעירה'</t>
  </si>
  <si>
    <t>תמיכה בלהת מחול חובבים של נשים חרדיות</t>
  </si>
  <si>
    <t>פסטיבלים 2020</t>
  </si>
  <si>
    <t>מקהלת גשר המיתרים-תרבות חרדית 2020</t>
  </si>
  <si>
    <t>תמיכה בפעילות אומנות הבמה למגזר החרדי</t>
  </si>
  <si>
    <t>סיוע באירוע אומנות במגזר החרדי</t>
  </si>
  <si>
    <t>11292 חגיגת הכליזמרים ברעננה</t>
  </si>
  <si>
    <t>תמיכה בפעילות תרבות למגזר החרדי</t>
  </si>
  <si>
    <t>פעילות תרבות למגזר חרדי 2020</t>
  </si>
  <si>
    <t>תרבות אמנות מגזר חרדי 2020</t>
  </si>
  <si>
    <t>תמיכה בפעילות תרבות מרכז מעלה 2020</t>
  </si>
  <si>
    <t>תמיכה בפעילות השוטפת של פרויקט בן-יהודה</t>
  </si>
  <si>
    <t>אוצר השירה</t>
  </si>
  <si>
    <t>תמיכה בתכנית רזידנסי מתרגמים</t>
  </si>
  <si>
    <t>תחום תמיכה א' - מופת</t>
  </si>
  <si>
    <t>תחום תמיכה ב' - ביכורים</t>
  </si>
  <si>
    <t>תחום תמיכה ג' - עיון</t>
  </si>
  <si>
    <t>תחום תמיכה ד'- שירה</t>
  </si>
  <si>
    <t>תחום תמיכה ו' - סדנאות</t>
  </si>
  <si>
    <t>תחום תמיכה ו' - הוצאה לאור ספרים בערבית</t>
  </si>
  <si>
    <t>תחום תמיכה ו' - אתר "חקייא"</t>
  </si>
  <si>
    <t>ספרות מופת עולמית בשפה העברית 2020</t>
  </si>
  <si>
    <t>ספרי ביכורים בעברית או בערבית 2020</t>
  </si>
  <si>
    <t>ספרי עיון בעברית או בערבית 2020</t>
  </si>
  <si>
    <t>ספרי שירה בעברית או בערבית 2020</t>
  </si>
  <si>
    <t>המוסך - מוסף לספרות</t>
  </si>
  <si>
    <t>עירובין - קובץ ספרותי</t>
  </si>
  <si>
    <t>משפה לשפה מפגשי משוררים לתרגום הדדי 2020</t>
  </si>
  <si>
    <t>פרויקט מיוחד- ארכיון הליקון 2020</t>
  </si>
  <si>
    <t>"ירדה השבת" - השבת בשירה העברית לדורותי</t>
  </si>
  <si>
    <t>פרוייקטים ספרות 2020</t>
  </si>
  <si>
    <t>המרכז למורשת תרבות הדרוזים 2020</t>
  </si>
  <si>
    <t>19-42-02-70</t>
  </si>
  <si>
    <t>מורשת הדרוזים - תאגי</t>
  </si>
  <si>
    <t>פעילות תרבות עירונית במ.א מרחבים</t>
  </si>
  <si>
    <t>19-42-02-73</t>
  </si>
  <si>
    <t>עידוד הפקות בגין</t>
  </si>
  <si>
    <t>פעילויות תרבות</t>
  </si>
  <si>
    <t>אירועי ומופעי תרבות בעיר</t>
  </si>
  <si>
    <t>אירועי תרבות עירונית במשגב 2020</t>
  </si>
  <si>
    <t>תמיכה באירועי תרבות עירונית עג'ר 2020</t>
  </si>
  <si>
    <t>אירועי תרבות עירוניים בלוד</t>
  </si>
  <si>
    <t>אירועי תרבות עירונית בחצור הגלילית</t>
  </si>
  <si>
    <t>חגיגות תרבות - ראמה</t>
  </si>
  <si>
    <t>אירועי תרבות עירונית במשהד</t>
  </si>
  <si>
    <t>אירועי תרבות עירוניים בזכרון יעקב</t>
  </si>
  <si>
    <t>אירועי תרבות שגב שלום</t>
  </si>
  <si>
    <t>אירועי תרבות עירונית ברכסים</t>
  </si>
  <si>
    <t>פעילות תרבות קיץ וחגי תשרי</t>
  </si>
  <si>
    <t>אירועי תרבות עירונית בכפר תבור</t>
  </si>
  <si>
    <t>אירוע תרבות עירונית בג'לג'וליה</t>
  </si>
  <si>
    <t>אירועי תרבות 2020</t>
  </si>
  <si>
    <t>אירועי תרבות כפר כנא-2020</t>
  </si>
  <si>
    <t>אירועי תרבות עירונית ברמלה</t>
  </si>
  <si>
    <t>רשויות מקומיות-תמיכה 2020 באירועי תרבות</t>
  </si>
  <si>
    <t>אירועי תרבות עירונית ג'וליס</t>
  </si>
  <si>
    <t>אירועי תרבות עירונית 2020</t>
  </si>
  <si>
    <t>תרבות עירונית 2020</t>
  </si>
  <si>
    <t>תמיכה באירועי תרבות 2020 -מ.מ קרית טבעון</t>
  </si>
  <si>
    <t>פעילות תרבות ל14 ישובי המעצה:</t>
  </si>
  <si>
    <t>פעולות תרבות במרחב הגליל העליון</t>
  </si>
  <si>
    <t>אירועי תרבות עירונית בקרית יערים</t>
  </si>
  <si>
    <t>אירועי תרבות עירונית מגדל העמק</t>
  </si>
  <si>
    <t>תרבות עירונית 2020- מ.מ מגדל</t>
  </si>
  <si>
    <t>תרבות עירונית 2020-מ.מ מגדל</t>
  </si>
  <si>
    <t>12185 אירועי תרבות עירונית ברעננה</t>
  </si>
  <si>
    <t>תמיכה באירועי תרבות עירונית בעיריית אילת</t>
  </si>
  <si>
    <t>תרבות עירונית 2020- מ.מ אורנית</t>
  </si>
  <si>
    <t>אירועי תרבות עירונית בחוף אשקלון 2020</t>
  </si>
  <si>
    <t>אירועי תרבות עירוניים</t>
  </si>
  <si>
    <t>אירועי תרבות עירונית בעילבון</t>
  </si>
  <si>
    <t>תמיכה 2020 בתרבות עירונית</t>
  </si>
  <si>
    <t>תרבות עירונית בית אריה</t>
  </si>
  <si>
    <t>אירועי תרבות עירונית בביר אל מכסור</t>
  </si>
  <si>
    <t>תמיכה תרבות עירונית 2020</t>
  </si>
  <si>
    <t>פעולות תרבות כפר כמא 2020</t>
  </si>
  <si>
    <t>תרבות עירונית - 2020</t>
  </si>
  <si>
    <t>אירועי תרבות עירונית חולון 2020</t>
  </si>
  <si>
    <t>תרבות עירונית כפר שמריהו</t>
  </si>
  <si>
    <t>תמיכה באירועי תרבות גן רוה 2020</t>
  </si>
  <si>
    <t>אירוע תרבות עירוני בכפר קאסם</t>
  </si>
  <si>
    <t>תמיכה עבור פעילות תאטרון אלעד</t>
  </si>
  <si>
    <t>תמיכה בפעולות תרבות עירונית 2020</t>
  </si>
  <si>
    <t>אירועי תרבות עירונית בשדות נגב</t>
  </si>
  <si>
    <t>אירועי תרבות עירונית באור עקיבא</t>
  </si>
  <si>
    <t>פעולות תרבות עירוניות 2020</t>
  </si>
  <si>
    <t>אירועי תרבות אבו גוש</t>
  </si>
  <si>
    <t>אבן יהודה- תרבות עירונית 2020</t>
  </si>
  <si>
    <t>אירועי תרבות עירונית בערד 2020</t>
  </si>
  <si>
    <t>תרבות עירונית ראש העין</t>
  </si>
  <si>
    <t>תרבות עירונית מ.א תמר</t>
  </si>
  <si>
    <t>אירועי תרבות עירונית במסעדה 2020</t>
  </si>
  <si>
    <t>אירועי תרבות עירונית במג'דל שמס 2020</t>
  </si>
  <si>
    <t>אירועי תרבות עירונית בעין קניה 2020</t>
  </si>
  <si>
    <t>תרבות עירונית מבשרת ציון</t>
  </si>
  <si>
    <t>אירועי תרבות עירונית פתוח</t>
  </si>
  <si>
    <t>פעילויות תרבות עירונית</t>
  </si>
  <si>
    <t>אירועי תרבות אבו גוש 2020</t>
  </si>
  <si>
    <t>ארועי תרבות 2020</t>
  </si>
  <si>
    <t>אירועי פסטיבל שכנים מעלות תרשיחא 2020</t>
  </si>
  <si>
    <t>פעולות תרבות עירונית 2020</t>
  </si>
  <si>
    <t>אירועי תרבות עירונית מעלה יוסף</t>
  </si>
  <si>
    <t>אירועי תרבות עירונית בקדימה צורן</t>
  </si>
  <si>
    <t>אירועי תרבות עירונית</t>
  </si>
  <si>
    <t>אירועי תרבות עירונית בערבה התיכונה</t>
  </si>
  <si>
    <t>אירוע תרבות עירונית בזמר</t>
  </si>
  <si>
    <t>פעילו תרבות בצל הקורונה</t>
  </si>
  <si>
    <t>אירוע תרבות עירונית בטייבה</t>
  </si>
  <si>
    <t>אירועי תרבות עירונית בעיריית אריאל</t>
  </si>
  <si>
    <t>אירועי תרבות קיץ 2020- הרצליה</t>
  </si>
  <si>
    <t>אירועי תרבות עירונית בעיריית נס ציונה</t>
  </si>
  <si>
    <t>ארועי תרבות עירונית ביבנה</t>
  </si>
  <si>
    <t>אירועי תרבות עירונית בענה</t>
  </si>
  <si>
    <t>אירועי תרבות עירונית בקריית ביאליק</t>
  </si>
  <si>
    <t>אירועי תרבות עירונית ב ג'ש</t>
  </si>
  <si>
    <t>אירועי תרבות עירונית ביאנוח ג'ת</t>
  </si>
  <si>
    <t>אירועי תרבות עירוני - יואב 2020</t>
  </si>
  <si>
    <t>אירועי תרבות עירונית בגליל התחתון</t>
  </si>
  <si>
    <t>אירוע תרבות עירונית כפר ברא</t>
  </si>
  <si>
    <t>אירועי תרבות בחצרות הבתים</t>
  </si>
  <si>
    <t>תמיכה בפעילות תרבות עירונית</t>
  </si>
  <si>
    <t>אירועי תרבות עירונית - מתנ"ס 2020</t>
  </si>
  <si>
    <t>תרבות עירונית אשקלון</t>
  </si>
  <si>
    <t>אירועי תרבות עירונית באליכין</t>
  </si>
  <si>
    <t>אירועי תרבות עירונית עיריית באר שבע</t>
  </si>
  <si>
    <t>פסטיבל של מופעי מוזיקאים מקומיים בבתים</t>
  </si>
  <si>
    <t>מופעי תרבות לכל הקהילה</t>
  </si>
  <si>
    <t>בקשה לאירועי תרבות וספורט כסייפה</t>
  </si>
  <si>
    <t>בקשה תמיכה בפעולות תרבות עירוני</t>
  </si>
  <si>
    <t>אירועי תרבות המועצה אזורית גזר</t>
  </si>
  <si>
    <t>אירוע תרבות עירוני 2020 פסוטה</t>
  </si>
  <si>
    <t>פעילויות תרבות בישוב ריינה</t>
  </si>
  <si>
    <t>אירועי תרבות עירונית ביפיע 2020</t>
  </si>
  <si>
    <t>אירועי תרבות עירונית באום אל פחם</t>
  </si>
  <si>
    <t>סכנין -אירוע תרבות עירונית</t>
  </si>
  <si>
    <t>אירועי תרבות עירונית במ.מ דייר חנא</t>
  </si>
  <si>
    <t>אירועי תרבות עירונית כסרא סמיע</t>
  </si>
  <si>
    <t>אירוע דרייב אין</t>
  </si>
  <si>
    <t>קדומים-תמיכה 2020 באירועי תרבות</t>
  </si>
  <si>
    <t>אירוע תרבות עירוני טירה</t>
  </si>
  <si>
    <t>פעילות תרבות עירונית 2020</t>
  </si>
  <si>
    <t>2020</t>
  </si>
  <si>
    <t>אירועי תרבות עירונית ערערה בנגב 2020</t>
  </si>
  <si>
    <t>תמיכה בפעילויות תרבות</t>
  </si>
  <si>
    <t>פעילות תרבות עירונית במבואות החרמון</t>
  </si>
  <si>
    <t>תמיכה בארועי תרבות בתקופת הקורונה</t>
  </si>
  <si>
    <t>אירועי תרבות מזרעה -2020</t>
  </si>
  <si>
    <t>ארועי תרבות עירונית ביתר עילית</t>
  </si>
  <si>
    <t>תמיכה בארועי תרבות עירונית 2020</t>
  </si>
  <si>
    <t>אירועי תרבות עירונית באלבטוף 2020</t>
  </si>
  <si>
    <t>אירועי תרבות ברשויות</t>
  </si>
  <si>
    <t>הזמנת מופעי תרבות לקהל</t>
  </si>
  <si>
    <t>תמיכה תקציבית ברשות למען אירועי תרבות</t>
  </si>
  <si>
    <t>אירועי תרבות תל שבע 2020</t>
  </si>
  <si>
    <t>תמיכה בפעולות תרבות עירונית 2020 12185</t>
  </si>
  <si>
    <t>תוכנית תרבות</t>
  </si>
  <si>
    <t>תמיכה עבור אירועי תרבות - חבל יבנה</t>
  </si>
  <si>
    <t>תרבות מקומית - בקעת הירדן</t>
  </si>
  <si>
    <t>פעילות תרבות מועצה מקומית ג'ת 2020</t>
  </si>
  <si>
    <t>תרבות עירונית אלקנה</t>
  </si>
  <si>
    <t>אירועי תרבות עירוניים 2020</t>
  </si>
  <si>
    <t>אירועי תרבות עירונית במגילות ים המלח</t>
  </si>
  <si>
    <t>תמיכה בארועי תרבות 2020</t>
  </si>
  <si>
    <t>באנו לעשות שמח במנשה</t>
  </si>
  <si>
    <t>פעילות תרבות עירונית 2020 פעילות קורונה</t>
  </si>
  <si>
    <t>אירועי תרבות ברמת ישי</t>
  </si>
  <si>
    <t>איורעי תרבות 2020</t>
  </si>
  <si>
    <t>תמיכה בפעילות תרבות 2020</t>
  </si>
  <si>
    <t>תמיכה בארועי תרבות לרשויות המקומיות 2020</t>
  </si>
  <si>
    <t>אירועי תרבות עירונית מג'אר 2020</t>
  </si>
  <si>
    <t>אירועי תרבות עירונית בגני תקווה 2020</t>
  </si>
  <si>
    <t>אירוע תרבות עירונית ברמת הנגב</t>
  </si>
  <si>
    <t>אירועי תרבות עירונית בירוחם</t>
  </si>
  <si>
    <t>אירועי תרבות עירונית חורה</t>
  </si>
  <si>
    <t>אירועי תרבות עירונית מ.א. גוש עציון</t>
  </si>
  <si>
    <t>אירועי תרבות עירונית במעלה אדומים</t>
  </si>
  <si>
    <t>אירועי תרבות עירונית בעיריית חדרה</t>
  </si>
  <si>
    <t>ארועי תרבות עירונית בשער הנגב ל2020</t>
  </si>
  <si>
    <t>תמיכה עבור אירועי תרבות - עיריית דימונה</t>
  </si>
  <si>
    <t>אירועי תרבות עירונית בדייר אל אסד 2020</t>
  </si>
  <si>
    <t>אירועי תרבות עירונית בגדרות</t>
  </si>
  <si>
    <t>אירועי תרבות עירונית מועצה באר טוביה</t>
  </si>
  <si>
    <t>תקציב לאירועי תרבות מקומית</t>
  </si>
  <si>
    <t>פעולות תרבות- מועצה בית דגן 2020</t>
  </si>
  <si>
    <t>אירועי תרבות עירונית בעמק חפר</t>
  </si>
  <si>
    <t>ארועי תרבות עירונית 2020</t>
  </si>
  <si>
    <t>אירוע תרבות 2020</t>
  </si>
  <si>
    <t>אירועי תרבות עירונית מג'ד אל כרום 2020</t>
  </si>
  <si>
    <t>אירועי תרבות עירונית בפקיעין לשנת 2020</t>
  </si>
  <si>
    <t>פעילות תרבות עירונית 2020 - בני ברק</t>
  </si>
  <si>
    <t>אירועי תרבות עירוני עילוט</t>
  </si>
  <si>
    <t>פטיבל על גלגלים 2020</t>
  </si>
  <si>
    <t>תמיכה בפעילות תרבות עירונית 2020</t>
  </si>
  <si>
    <t>פעולות תרבות - 2020</t>
  </si>
  <si>
    <t>אירועי תרבות עירונית בג"ת מרכז הבמה2020</t>
  </si>
  <si>
    <t>תמיכה באירועי תרבות עירונית 2020</t>
  </si>
  <si>
    <t>אירועי תרבות עירונית באור יהודה</t>
  </si>
  <si>
    <t>אירועי תרבות עירונית בבית שאן</t>
  </si>
  <si>
    <t>מחלקת תרבות-מ.א. חוף הכרמל</t>
  </si>
  <si>
    <t>אירועי תרבות עירונית חבל מודיעין</t>
  </si>
  <si>
    <t>פרדסיה - אירועי תרבות ברשות</t>
  </si>
  <si>
    <t>תמיכה בפעולות תרבות</t>
  </si>
  <si>
    <t>אירועי תרבות עירוניים בטירת כרמל</t>
  </si>
  <si>
    <t>אירוע תרבות טבריה</t>
  </si>
  <si>
    <t>אירועי תרבות במודיעין מכבים רעות</t>
  </si>
  <si>
    <t>פעולות תתרבות עירונית 2020</t>
  </si>
  <si>
    <t>פעילות קיץ בצל הקורונה</t>
  </si>
  <si>
    <t>מ.א.אלונה אירועי תרבות עירונית</t>
  </si>
  <si>
    <t>תמיכה 2020 באירועי תרבות עירונית אשדוד</t>
  </si>
  <si>
    <t>תמיכה באירועי תרבות עירונית</t>
  </si>
  <si>
    <t>מבחני תמיכה בפעולות תרבות עירונית 2020</t>
  </si>
  <si>
    <t>מופעי תרבות עירוני 2020</t>
  </si>
  <si>
    <t>פעילות תרבות</t>
  </si>
  <si>
    <t>אירועי תרבות עירונית במועצה אזורית שומרו</t>
  </si>
  <si>
    <t>אירועי תרבות עירונית-קרית אתא</t>
  </si>
  <si>
    <t>אירועי תרבות עירונית בג'דיידה מכר</t>
  </si>
  <si>
    <t>תמיכה באירועי תרבות עירונית 2020 עמנואל</t>
  </si>
  <si>
    <t>תמיכה בפעילות סל מדע ברשויות מקומיות לשנ</t>
  </si>
  <si>
    <t>אירועי תרבות עירוניים באעבלין</t>
  </si>
  <si>
    <t>מתחם דרייב אין רמת גן</t>
  </si>
  <si>
    <t>אירועי ופעולות תרבות עירונית באקה 2020</t>
  </si>
  <si>
    <t>תמיכה באירועי תרבות עירונית-בית ג'ן 2020</t>
  </si>
  <si>
    <t>פעולת תרבות עירונית</t>
  </si>
  <si>
    <t>אירועי תרבות מותאמים</t>
  </si>
  <si>
    <t>אירועי תרבות עירונית במועצה מקומית בית א</t>
  </si>
  <si>
    <t>אירועי תרבות עירונית בעמק המעיינות</t>
  </si>
  <si>
    <t>אירועי תרבות עירוניים בבת ים</t>
  </si>
  <si>
    <t>אירועי תרבות עירונית בהר אדר</t>
  </si>
  <si>
    <t>אירועי תרבות במועצה אזורית אלקסום</t>
  </si>
  <si>
    <t>ארועי תרבות</t>
  </si>
  <si>
    <t>אירועי תרבות עירונית בישוב שעב 2020</t>
  </si>
  <si>
    <t>אירועי תרבות עירונית בעומר</t>
  </si>
  <si>
    <t>אירועי תרבות עירונית בנחל שורק</t>
  </si>
  <si>
    <t>אירועי תרבות עירונית בבית שמש</t>
  </si>
  <si>
    <t>אירועי תרבות עירוניים בישובי המועצה</t>
  </si>
  <si>
    <t>פסטיבל של מופעי תרבות בבתים ובתי קפה</t>
  </si>
  <si>
    <t>אירועי תרבות 2020 - תל מונד</t>
  </si>
  <si>
    <t>תמיכה באירועי תרבות לרשויות מקומיות</t>
  </si>
  <si>
    <t>בקשת תמיכה בפעולות תרבות עירונית 2020</t>
  </si>
  <si>
    <t>מופעי תרבות בקורונה</t>
  </si>
  <si>
    <t>פעולות תרבות עירונית 2020 - מ''מ ערערה</t>
  </si>
  <si>
    <t>244000</t>
  </si>
  <si>
    <t>קיום פעילות תרבות בתחומי תרבות והאומנות</t>
  </si>
  <si>
    <t>תמיכה עבור אירועי תרבות - עיריית חריש</t>
  </si>
  <si>
    <t>פעילות תרבות בכאבול</t>
  </si>
  <si>
    <t>,תמיכה בפעולות תרבות עירונית 2020</t>
  </si>
  <si>
    <t>בקשה לאירועי תרבות לשנת 2020</t>
  </si>
  <si>
    <t>ארועי תרבות עירונית בקרית ארבע חברון</t>
  </si>
  <si>
    <t>אירועי תרבות עירונית בקריית ים</t>
  </si>
  <si>
    <t>אירועי תרבות עירונית במ.א. שדות דן</t>
  </si>
  <si>
    <t>פעילות תרבות ביושבים 2020</t>
  </si>
  <si>
    <t>פעילות תרבות עירונית במ.א. שדות דן</t>
  </si>
  <si>
    <t>פסטיבל תרבות עירונית</t>
  </si>
  <si>
    <t>אירועי נבי שועיב 2021 חורפיש</t>
  </si>
  <si>
    <t>אירועי תרבות עירונית במודיעין עילית</t>
  </si>
  <si>
    <t>ארועי תרבות גן רוה 2020</t>
  </si>
  <si>
    <t>אירוע תרבות ברמת הנגב</t>
  </si>
  <si>
    <t>פסטיבל בלדנא לתרבות ואומנוןת לשנת 2020</t>
  </si>
  <si>
    <t>חיים יחדיו 2020 (سوا ربينا)</t>
  </si>
  <si>
    <t>אירועי תרבות עירונית בקרית ארבע חברון</t>
  </si>
  <si>
    <t>אירועי תרבות עירונית - מ.א. שדות דן</t>
  </si>
  <si>
    <t>ארועי תרבות בחברון</t>
  </si>
  <si>
    <t>אירועי תרבות עירונית במ.מ גדרה</t>
  </si>
  <si>
    <t>תיאטרון חיפה סיוע מיוחד בקשה 1001274259</t>
  </si>
  <si>
    <t>פסטיבל ילדים סיוע מיוחד בקשה 1001274254</t>
  </si>
  <si>
    <t>סיוע מיוחד מורשת יהדות תימן 1001274760</t>
  </si>
  <si>
    <t>תמיכה בפעילות שוטפת בשנת קורונה</t>
  </si>
  <si>
    <t>סיוע מיוחד- תמיכה שוטפת בתרבות</t>
  </si>
  <si>
    <t>סיוע חירום בשל נזקי מגיפה</t>
  </si>
  <si>
    <t>סיוע מיוחד תיאטרון מראות</t>
  </si>
  <si>
    <t>סיוע מיוחד אופרה</t>
  </si>
  <si>
    <t>תמיכה שוטפת בתיאטרון אלמיאדין</t>
  </si>
  <si>
    <t>שוטף - סיוע עקב השלכות נגיף קורונה</t>
  </si>
  <si>
    <t>סיוע עקב השלכית נגיף קורונה</t>
  </si>
  <si>
    <t>סיוע נוכח השלכות הקורונה</t>
  </si>
  <si>
    <t>סיוע לנוכח נגיף הקורונה</t>
  </si>
  <si>
    <t>סיוע מיוחד בהפקה והרצה של הצגות תיאטרון</t>
  </si>
  <si>
    <t>בקשת סיוע לפעילות שוטפת</t>
  </si>
  <si>
    <t>סיוע נוסף עקב משבר הקורונה</t>
  </si>
  <si>
    <t>סיוע מיוחד תמיכה בפעילות סינמטק הרצליה</t>
  </si>
  <si>
    <t>תמיכה נוכח השלכות נגיף הקורונה</t>
  </si>
  <si>
    <t>סיוע מיוחד- כיתות אמן בינלאומיות לכלי קש</t>
  </si>
  <si>
    <t>סיוע לפעילות שוטפת</t>
  </si>
  <si>
    <t>סיוע מיוחד פעילות בתחום מוסיקה</t>
  </si>
  <si>
    <t>סיוע פעילות מרכז עדן תמיר למוסיקה</t>
  </si>
  <si>
    <t>סיוע מיוחד- להקת בת-שבע תמיכה 1001273853</t>
  </si>
  <si>
    <t>סיוע נוכח השלכות נגיף הקורונה - להקת המח</t>
  </si>
  <si>
    <t>סיוע קורונה 2020 הקאמרית הישראלית</t>
  </si>
  <si>
    <t>סיוע מיוחד למקהילה מוזיקאלית</t>
  </si>
  <si>
    <t>סיוע מיוחד תמיכה שוטפת 2020</t>
  </si>
  <si>
    <t>סיוע מיוחד לתיאטרון ילדים</t>
  </si>
  <si>
    <t>סיוע מיוחד עדות מחקר ומורשת יהודי תימן</t>
  </si>
  <si>
    <t>סיוע מיוחד - קבוצת תיאטרון בית 9</t>
  </si>
  <si>
    <t>בקשה לעידוד פעילות נתמכת</t>
  </si>
  <si>
    <t>אנסמבל אליהו פרץ</t>
  </si>
  <si>
    <t>יניב ד'אור- אנסמבל נאיה</t>
  </si>
  <si>
    <t>שוברטיאדה</t>
  </si>
  <si>
    <t>סיוע לסמינרים לנגנים צעירים ישראליים</t>
  </si>
  <si>
    <t>סיוע למרכז מורשת עקב השלכות נגיף הקורונה</t>
  </si>
  <si>
    <t>סיוע שוטף עקב השלכות נגיף קורונה</t>
  </si>
  <si>
    <t>סיוע לפסטיבל גשר י נוכח נגיף הקורונה</t>
  </si>
  <si>
    <t>סיוע מיוחד למרכז אל קלעה לאומנויות הבמה</t>
  </si>
  <si>
    <t>סיוע מיוחד פרוייקט קידום אוכלוסיות מיוחד</t>
  </si>
  <si>
    <t>סיוע מיוחדתמיכה בפעילות השוטפת של העמותה</t>
  </si>
  <si>
    <t>בקשה לסיוע נוכח השלכות נגיף קורונה</t>
  </si>
  <si>
    <t>סיוע נוכח נגיף הקרונה פסטיבל סיגדיאדה</t>
  </si>
  <si>
    <t>בקשה והנמקה</t>
  </si>
  <si>
    <t>תמיכה במקהלה קאמרית "מוסיקה אטרנה"</t>
  </si>
  <si>
    <t>תמיכה בעמותה בירושלים</t>
  </si>
  <si>
    <t>סיוע לפעילות שוטפת של המוזיאון 2020-2021</t>
  </si>
  <si>
    <t>סיוע מיוחד</t>
  </si>
  <si>
    <t>תמיכה בפסטיבל ילדים</t>
  </si>
  <si>
    <t>סיוע במיוחד פעילות מוזיאלית</t>
  </si>
  <si>
    <t>סיוע מיוחד - להקה שוטף</t>
  </si>
  <si>
    <t>סיוע מיוחד- פעילות שוטפת במוזאון</t>
  </si>
  <si>
    <t>קבוצות תיאטרון סיוע מיוחד</t>
  </si>
  <si>
    <t>סיוע מיוחד מחול</t>
  </si>
  <si>
    <t>סיוע מיוחד - תמיכה שוטפת 2020</t>
  </si>
  <si>
    <t>סיוע מיוחד - תמיכה בפעילות שוטפת להקת הפ</t>
  </si>
  <si>
    <t>תמיכה בעמותת הבית למחול - להקת המחול סול</t>
  </si>
  <si>
    <t>סיוע מיוחד מרכזי עדות</t>
  </si>
  <si>
    <t>סיוע מיוחד תמיכה בפעילות שוטפת להקת יסמי</t>
  </si>
  <si>
    <t>פסטיבל ישראל-סיוע 2020</t>
  </si>
  <si>
    <t>סיוע מיוחד הקבוצה הקהילתית של לוד</t>
  </si>
  <si>
    <t>סיוע ותמיכה נוכח השלכות הקורונה</t>
  </si>
  <si>
    <t>סיוע מיוחד אמנות פלסטית</t>
  </si>
  <si>
    <t>סיוע מיוחד(קורונה)- מרכז מחול שלם</t>
  </si>
  <si>
    <t>סיוע לתקופת הקורונה</t>
  </si>
  <si>
    <t>סיוע נוכח השלכות התפשטות נגיף הקורונה</t>
  </si>
  <si>
    <t>סיוע כספי בעידר הכנסות ממבקרים</t>
  </si>
  <si>
    <t>סיוע למוזיאון - קורונה</t>
  </si>
  <si>
    <t>סיוע מיוחד לפעילות השוטפת של המוזיאון</t>
  </si>
  <si>
    <t>טיפוח זמרים מקצועיים צעירים הפקות אופרה</t>
  </si>
  <si>
    <t>סיוע מיוחד לעידוד קיום פעילות נתמכת "תיא</t>
  </si>
  <si>
    <t>סיוע מתקנת פריפריה</t>
  </si>
  <si>
    <t>סיוע מיוחד - תמיכה שוטפת</t>
  </si>
  <si>
    <t>בקשה לתמיכה עקב משבר הקורונה</t>
  </si>
  <si>
    <t>תמיכה ללהקה קטנה פעילות שוטפת</t>
  </si>
  <si>
    <t>סיוע קורונה - להקת המחול קמע</t>
  </si>
  <si>
    <t>תזמורת הביג בנד- סיוע קורונה</t>
  </si>
  <si>
    <t>סיוע מיוחד לפעילות</t>
  </si>
  <si>
    <t>סיוע מיוחד עבור פעילות שוטפת</t>
  </si>
  <si>
    <t>פסטיבל מחול בשדרות</t>
  </si>
  <si>
    <t>סיוע מיוחד לפעילות השוטפת של התזמורת הסי</t>
  </si>
  <si>
    <t>סיוע מיוחד פסטיבל בנימינה</t>
  </si>
  <si>
    <t>סיוע מיוחד סופרים סופרים</t>
  </si>
  <si>
    <t>תמיכה נוכח השלכות הקורונה</t>
  </si>
  <si>
    <t>סיוע מיוחד פעילות חובבים</t>
  </si>
  <si>
    <t>סיוע מיוחד לפעילות שוטפת במגדל דוד</t>
  </si>
  <si>
    <t>סיוע מיוחד לפעילות שוטפת למגדל דוד תקנת</t>
  </si>
  <si>
    <t>תמיכה בשוטף בגין קורונה</t>
  </si>
  <si>
    <t>סיוע מיוחד תאטרון</t>
  </si>
  <si>
    <t>פסטיבל הסרטים הבינלאומי חיפה- סיוע קורונ</t>
  </si>
  <si>
    <t>סינמטק חיפה- סיוע קורונה</t>
  </si>
  <si>
    <t>סיוע נוכח התפרצות נגיף הקורונא</t>
  </si>
  <si>
    <t>סיוע מיוחד פעילות שוטפת סינמטק ר"פ 2020</t>
  </si>
  <si>
    <t>סיוע חירום - פעילות סינמטק ירושלים</t>
  </si>
  <si>
    <t>סיוע מיוחד אירועי תרבות עירונית</t>
  </si>
  <si>
    <t>סיוע חירום - פסטיבל הקולנוע ירושלים</t>
  </si>
  <si>
    <t>סיוע חירום - פסטיבל הקולנוע היהודי</t>
  </si>
  <si>
    <t>סיוע מיוחד פעילות תרבות בקהילה, הופעות מ</t>
  </si>
  <si>
    <t>סיוע מיוחד - בית ספר למחול</t>
  </si>
  <si>
    <t>סיוע מיוחד - מרכז מחול</t>
  </si>
  <si>
    <t>מאסטרקלאס לשירה אמנותית</t>
  </si>
  <si>
    <t>סיוע לפרויקט מחול</t>
  </si>
  <si>
    <t>סיוע לפסטיבל מסרחיד</t>
  </si>
  <si>
    <t>תל אביב דאנס - סיוע בעקבות הקורונה</t>
  </si>
  <si>
    <t>סיוע לפסטיבל דוקאביב תל אביב</t>
  </si>
  <si>
    <t>סיוע נוכח השלכות נגיף הקורונה אנסמבל כעת</t>
  </si>
  <si>
    <t>סיוע מיוחד - אירועים ספרותיים</t>
  </si>
  <si>
    <t>סיוע מיוחד תיאטרון (אנסמבל עיט)</t>
  </si>
  <si>
    <t>מרכזי מחול - סיוע בעקבות קורונה</t>
  </si>
  <si>
    <t>חשיפה בינלאומית - סיוע בעקבות הקורונה</t>
  </si>
  <si>
    <t>סיוע מיוחד- מרכז אירוח</t>
  </si>
  <si>
    <t>סיוע נוכח השלכות נגיף הקורונה</t>
  </si>
  <si>
    <t>תמיכה לפעילות שוטפת נוכח התפרצות קורונא</t>
  </si>
  <si>
    <t>פסטיבל ג'ז-סיוע</t>
  </si>
  <si>
    <t>סיוע מיוחד שוטף אלאג'יאל טמרה (ע"ר)</t>
  </si>
  <si>
    <t>סיוע מיוחד עקב קורונה- תזמורת ארמון בזמן</t>
  </si>
  <si>
    <t>רגע מה</t>
  </si>
  <si>
    <t>בקשה לסיוע עקב פגיעה בהכנסות עצמיות</t>
  </si>
  <si>
    <t>תמיכה עבור ציור נוכח התפרצות קורונא</t>
  </si>
  <si>
    <t>סיוע מיוחד ביוצר אבי קייזר וסרגי</t>
  </si>
  <si>
    <t>סיוע למכון ז'בוטיסנקי - נגיף קורונה</t>
  </si>
  <si>
    <t>הידית-סיוע קורונה לשנת 2021</t>
  </si>
  <si>
    <t>סיוע מיוחד - תיאטרון הזירה הבין תחומית</t>
  </si>
  <si>
    <t>בקשת תמיכה שוטפת 2020 סיוע קורונה</t>
  </si>
  <si>
    <t>סיוע מיוחד קורונה-פעילות מוסיקה</t>
  </si>
  <si>
    <t>סיוע מיוחד-קורונה-מוסיקה</t>
  </si>
  <si>
    <t>סיוע מיוחד ביוצרת נטע פולברמכר</t>
  </si>
  <si>
    <t>סיוע מיוחד עבור תיאטרון מסתורין</t>
  </si>
  <si>
    <t>סיוע מיוחד ביוצרת אלה רוטשילד</t>
  </si>
  <si>
    <t>סיוע מיוחד ביוצרת אביגיל רובין</t>
  </si>
  <si>
    <t>סיוע נוכח השלכות נגיף קורונה דוקאביב ת"א</t>
  </si>
  <si>
    <t>סיוע מיוחד בפסטיבל העוד</t>
  </si>
  <si>
    <t>סיוע מיוחד ביוצרת מעיין ליבמן</t>
  </si>
  <si>
    <t>סיוע מיוחד בריקודי חדר</t>
  </si>
  <si>
    <t>סיוע מיוחד ביוצר מיכאל גטמן</t>
  </si>
  <si>
    <t>סיוע מיוחד ביוצר אופיר יודלביץ</t>
  </si>
  <si>
    <t>סיוע מיוחד ביוצרת תמר בורר</t>
  </si>
  <si>
    <t>סיוע מיוחד ביוצרת תמר לייבוביץ</t>
  </si>
  <si>
    <t>סיוע מיוחד ביוצרת שרונה פלורסהיים</t>
  </si>
  <si>
    <t>סיוע מיוחד ליוצרת שרון וזנה</t>
  </si>
  <si>
    <t>סיוע מיוחד ביוצרת שרון אייל</t>
  </si>
  <si>
    <t>סיוע מיוחד ביוצרת שלומית פונדמינסקי</t>
  </si>
  <si>
    <t>סיוע מיוחד ביוצר שלומי ביטון</t>
  </si>
  <si>
    <t>סיוע מיוחד ביוצרת שירה אביתר</t>
  </si>
  <si>
    <t>סיוע מיוחד רייצל ארדוס</t>
  </si>
  <si>
    <t>תמיכה שוטפת ביוצרת רחל בנגורה</t>
  </si>
  <si>
    <t>סיוע מיוחד ביוצרת רותם תשח</t>
  </si>
  <si>
    <t>סיוע מיוחד ביוצרת רונית זיו</t>
  </si>
  <si>
    <t>סיוע מיוחד ביוצרת ענת כץ</t>
  </si>
  <si>
    <t>סיוע מיוחד ביוצרת ענת דניאלי</t>
  </si>
  <si>
    <t>סיוע מיוחד ביוצרת ענת גריגוריו</t>
  </si>
  <si>
    <t>סיוע מיוחד ביוצר עידן שרעבי</t>
  </si>
  <si>
    <t>סיוע מיוחד ביוצר עידן כהן</t>
  </si>
  <si>
    <t>סיוע מיוחד ביוצר עודד רונן</t>
  </si>
  <si>
    <t>סיוע מיוחד ביוצר עדו פדר</t>
  </si>
  <si>
    <t>סיוע מיוחד ליוצרת סילביה דוראן</t>
  </si>
  <si>
    <t>סיוע מיוחד ליוצר סהר עזימי</t>
  </si>
  <si>
    <t>סיוע מיוחד ליוצרת סאלי אן פרידלנד</t>
  </si>
  <si>
    <t>סיוע מיוחד ביוצרת נעה שדור</t>
  </si>
  <si>
    <t>סיוע מיוחד ליוצרת נימה יעקבי</t>
  </si>
  <si>
    <t>סיוע מיוחד ליוצר נמרוד פריד</t>
  </si>
  <si>
    <t>סיוע מיוחד ליוצרת נעה דר</t>
  </si>
  <si>
    <t>סיוע מיוחד ליוצרת נעה צוק</t>
  </si>
  <si>
    <t>סיוע מיוחד ליוצרת מאיה מכלל גלפנד</t>
  </si>
  <si>
    <t>סיוע מיוחד ביוצרת מיכל הרמן</t>
  </si>
  <si>
    <t>סיוע מיוחד קורונה</t>
  </si>
  <si>
    <t>סיוע נוכח השלכות הקורונה מרכז מחול בית פ</t>
  </si>
  <si>
    <t>בקשת תמיכה עבור מוסיקה נוכח קורונא</t>
  </si>
  <si>
    <t>סיוע מיוחד ביוצר גיל קרר</t>
  </si>
  <si>
    <t>סיוע מיוחד ליוצרת דינה תלם</t>
  </si>
  <si>
    <t>סיוע מיוחד ליוצרת דנה יהלומי</t>
  </si>
  <si>
    <t>סיוע מיוחד ליוצרת דנה רוטנברג</t>
  </si>
  <si>
    <t>סיוע מיוחד ליוצרת דפי אלטבב</t>
  </si>
  <si>
    <t>סיוע מיוחד ליוצר הלל קוגן</t>
  </si>
  <si>
    <t>סיוע מיוחד ליוצרת לילך לבנה</t>
  </si>
  <si>
    <t>סיוע מיוחד ליוצרת מאיה ברינר</t>
  </si>
  <si>
    <t>סיוע מיוחד ליוצרת תמר לם</t>
  </si>
  <si>
    <t>סיוע מיוחד למאיה שטרן</t>
  </si>
  <si>
    <t>סיוע מיוחד ביוצרת אורלי פורטל</t>
  </si>
  <si>
    <t>סיוע מיוחד ליוצרת אילה פרנקל</t>
  </si>
  <si>
    <t>סיוע מיוחד ליוצרת איריס ארז</t>
  </si>
  <si>
    <t>תמיכה בעיקבות השבתת עילות</t>
  </si>
  <si>
    <t>סיוע מיוחד ליוצר אנדריאה מרטיני</t>
  </si>
  <si>
    <t>סיוע מיוחד ליוצרת אפרת רובין</t>
  </si>
  <si>
    <t>סיוע מיוחד ביוצרת מירב דגן</t>
  </si>
  <si>
    <t>סיוע מיוחד ביוצרת נדין בומר</t>
  </si>
  <si>
    <t>סיוע מיוחד ליוצרת בשמת נוסן</t>
  </si>
  <si>
    <t>סיוע מיוחד ליוצר אורי שפיר</t>
  </si>
  <si>
    <t>סיוע מיוחד ליוצרת אור מרין</t>
  </si>
  <si>
    <t>סיוע מיוחד ליוצרת אדוה ירמיהו</t>
  </si>
  <si>
    <t>סיוע מיוחד ליוצרת אהרונה ישראל</t>
  </si>
  <si>
    <t>תמיכה שוטפת ליוצר אלעד שכטר</t>
  </si>
  <si>
    <t>תמיכה שוטפת ליוצר רועי אסף</t>
  </si>
  <si>
    <t>סיוע מיוחד ללהקת נגה</t>
  </si>
  <si>
    <t>סיוע מיוחד לפרוייקט GO</t>
  </si>
  <si>
    <t>סיוע מיוחד תזמורת הכליזמר אביבים</t>
  </si>
  <si>
    <t>סיוע מיוחד לבית ספר פורטל</t>
  </si>
  <si>
    <t>סיוע מיוחד לפרוייקט ריסרצ</t>
  </si>
  <si>
    <t>סיוע מיוחד קורונה- מימון בקשת תיאטרון</t>
  </si>
  <si>
    <t>סיוע בעקבות הקורונה</t>
  </si>
  <si>
    <t>תמיכה באירועי ספרות לאור משבר הקורונה</t>
  </si>
  <si>
    <t>תמיכה בקיום פסטיבל יוצאי התיבה - קורונה</t>
  </si>
  <si>
    <t>סיוע מיוחד אנסמבל זמרי מורן</t>
  </si>
  <si>
    <t>סיוע מיוחד- מקהלה ועתודה צעירה</t>
  </si>
  <si>
    <t>סיוע עבור כתיבה יצירתית נוכח הקורונא</t>
  </si>
  <si>
    <t>סיוע מיוחד: מוסיקה - הזירה הבין תחומית</t>
  </si>
  <si>
    <t>שוטף מחול</t>
  </si>
  <si>
    <t>סיוע מיוחד תמיכה שוטפת לוגוס 2020</t>
  </si>
  <si>
    <t>סיוע בגין נזקי קורונה</t>
  </si>
  <si>
    <t>סיוע מיוחד מוסדות תרבות העוסקים במחקר</t>
  </si>
  <si>
    <t>בקשה עבור קוראל נוכח הקורונא</t>
  </si>
  <si>
    <t>סיוע נוסף קורונה-מוסיקה</t>
  </si>
  <si>
    <t>סיוע מיוחד לפעילות שוטפת</t>
  </si>
  <si>
    <t>סיוע מיוחד תמיכה למעבדה המוזיקאלית סאנאם</t>
  </si>
  <si>
    <t>סיוע מיוחד עקב השלכות נגיף הקורונה</t>
  </si>
  <si>
    <t>סיוע נוכח השלכות הקורונה תמי ורונן יצחקי</t>
  </si>
  <si>
    <t>סיוע נוכח נגיף הקורונה פסטיבל בין שמיים</t>
  </si>
  <si>
    <t>סיוע נוכח נגיף הקורונה-פרויקט מוסיקה</t>
  </si>
  <si>
    <t>סיוע מיוחד פעילות שוטפת מוזיאון ישראל</t>
  </si>
  <si>
    <t>תמיכה שוטפת בתיאטרון</t>
  </si>
  <si>
    <t>סיוע מיוחד לקאמרטה- תמיכה בתז' קאמרית</t>
  </si>
  <si>
    <t>בקשה לתמיכה בפרויקט תחרות</t>
  </si>
  <si>
    <t>סיוע למרכז הפרינג' תיאטרון תמונע</t>
  </si>
  <si>
    <t>סיוע מיוחד לעידוד קיום פעילות שוטפת</t>
  </si>
  <si>
    <t>פעילות שוטפת תקנות ירושלים</t>
  </si>
  <si>
    <t>סיוע למוסדות תרבות עקב נזקי הקורונה</t>
  </si>
  <si>
    <t>סיוע מיוחד עבור כיתות אמן בינ"ל לפסנתר</t>
  </si>
  <si>
    <t>סיוע מיוחד - קבוצת תאטרון</t>
  </si>
  <si>
    <t>סיוע מיוחד - תרבות ערבית</t>
  </si>
  <si>
    <t>סיוע לפעילות תיאטרון</t>
  </si>
  <si>
    <t>תמיכה עקב פגיעה בפעילות והכנסות עצמיות</t>
  </si>
  <si>
    <t>מענק סיוע קורונה</t>
  </si>
  <si>
    <t>סיוע מיוחד קורונה -פעילות מוסיקה</t>
  </si>
  <si>
    <t>בקשת סיוע קורונה</t>
  </si>
  <si>
    <t>סיוע מיוחד - תמיכה שוטפת בארוקדה</t>
  </si>
  <si>
    <t>סיוע מיוחד קורונה בהמשך לבקשת תמיכה 3 א</t>
  </si>
  <si>
    <t>סיוע מיוחד מורשת אתיופיה בקשה 1001290646</t>
  </si>
  <si>
    <t>סיוע מיוחד מקהלת ברתיני בקשה 1001274741</t>
  </si>
  <si>
    <t>סיוע מיוחד לתיאטרון העברי מס 1001274725</t>
  </si>
  <si>
    <t>הו כתב עת סיוע מיוחד בקשה 1001278121</t>
  </si>
  <si>
    <t>ערבי תרבות סיוע מיוחד בקשה 1001278122</t>
  </si>
  <si>
    <t>תרבות בקהילה סיוע מיוחד בקשה 1001274728</t>
  </si>
  <si>
    <t>סיוע מיוחד יוצרים במחול בקשה 1001274750</t>
  </si>
  <si>
    <t>אורתו דה סיוע מיוחד בקשה 1001288922</t>
  </si>
  <si>
    <t>תיאטרון ארצי סיוע מיוחד בקשה 1001263329</t>
  </si>
  <si>
    <t>פרויקט הפקתי סיוע מיוחד בקשה 1001301995</t>
  </si>
  <si>
    <t>תיאטרון הקיבוץ סיוע מיוחד בקשה 100127474</t>
  </si>
  <si>
    <t>פרויקט הפקתי סיוע מיוחד בקשה 1001311679</t>
  </si>
  <si>
    <t>תיאטרון השעה סיוע מיוחד בקשה 1001276716</t>
  </si>
  <si>
    <t>הפקות תרבות דיגיטליים</t>
  </si>
  <si>
    <t>סיוע תיאטרון מדיטק 2020</t>
  </si>
  <si>
    <t>סיוע מיוחד לתמיכה בתיאטרון הכפרי</t>
  </si>
  <si>
    <t>פסטיבל סוף קיץ</t>
  </si>
  <si>
    <t>פסטיבל פסנתרים</t>
  </si>
  <si>
    <t>סיוע מיוחד - תרבות חרדית</t>
  </si>
  <si>
    <t>אנסמבל פספורט</t>
  </si>
  <si>
    <t>סיוע מיוחד קבוצות תיאטרון</t>
  </si>
  <si>
    <t>סיוע מיוחד לתמיכה שוטפת בפעילות מוזאלית</t>
  </si>
  <si>
    <t>סיוע למוסדות תרבו עקב משבר הקורונה</t>
  </si>
  <si>
    <t>סיוע מיוחד קורונה-תקנת רפרטואר(ת.שוטפת)</t>
  </si>
  <si>
    <t>סיוע מיוחד קורנה תמיכה במחול</t>
  </si>
  <si>
    <t>סיוע מיוחד קורונה-תקנת ספרות</t>
  </si>
  <si>
    <t>סיוע למוסדות תרבות נוכח השלכות נגיף הקור</t>
  </si>
  <si>
    <t>סיוע מיוחד מרכז מחול כלים</t>
  </si>
  <si>
    <t>סיוע בשל נגיף הקורונה דוקאביב גליל</t>
  </si>
  <si>
    <t>סיוע מיוחד גופים כליים</t>
  </si>
  <si>
    <t>סיוע מיוחד פרינג'</t>
  </si>
  <si>
    <t>סיוח מיוחד יוזמה המחזאים</t>
  </si>
  <si>
    <t>סיוע מיוחד פסטיבל גיטרה</t>
  </si>
  <si>
    <t>סיוע מיוחד פסטיבל תאטרון קצר</t>
  </si>
  <si>
    <t>סיוע מיוחד למוסדות תרבות</t>
  </si>
  <si>
    <t>סיוע במרכז מורשת כפר ביתא ישראל</t>
  </si>
  <si>
    <t>סיוע נוכח השלחות נגיף הקורונה</t>
  </si>
  <si>
    <t>סיוע מיוחד לתקנת גופים קוליים 2020-2021</t>
  </si>
  <si>
    <t>סיוע מיוחד - פרויקט הפקתי</t>
  </si>
  <si>
    <t>סיוע מיוחד תמיכה בפסטיבל המחולות לוגוס</t>
  </si>
  <si>
    <t>סיוע מיוחד לעידוד קיום פעילות -פסטיבל</t>
  </si>
  <si>
    <t>סיוע מיוחד - תזמורת חיבה</t>
  </si>
  <si>
    <t>סיוע מיוחד-קיום פעילויות לתושבי י-ם</t>
  </si>
  <si>
    <t>סיוע מיוחד- קיום פעיליות מורשת למגון עדת</t>
  </si>
  <si>
    <t>סיוע מיוחד לתיאטרון מיקרו</t>
  </si>
  <si>
    <t>סיוע מיוחד לתמיכה השוטפת -תרבות ואמנות</t>
  </si>
  <si>
    <t>סיוע מיוחד תמיכה בפסטיבל אלבאדיה לשנת 2</t>
  </si>
  <si>
    <t>סיוע מיוחד תמיכה שוטפת מחול נוה הבדואים</t>
  </si>
  <si>
    <t>בניית אתר אינטרנט</t>
  </si>
  <si>
    <t>סיוע מיוחד ליוצרת אנבל דביר</t>
  </si>
  <si>
    <t>סיוע מיוחד ביוצרת סיגל ברגמן</t>
  </si>
  <si>
    <t>סיוע מיוחד ביוצרת אורין יוחנן</t>
  </si>
  <si>
    <t>סיוע מיוחד פרוייקט NON IMAGE</t>
  </si>
  <si>
    <t>הפקות והצגות תיאטרון נוכח הקורונה</t>
  </si>
  <si>
    <t>בקשת סיוע עקב הגבלת הפעילות</t>
  </si>
  <si>
    <t>סיוע בהפקות תיאטרון נוכח הקורונה</t>
  </si>
  <si>
    <t>סיוע בהחזרת פעילות המרכז האתני</t>
  </si>
  <si>
    <t>הרכבים מוסיקלים - סיוע</t>
  </si>
  <si>
    <t>אנסמבל קול יוצר -סיוע</t>
  </si>
  <si>
    <t>סיוע מיוחד קבוצת תיאטרון פרינג' בפריפריה</t>
  </si>
  <si>
    <t>סיוע מיוחד - איגוד מנהלי תרבות ברשויות ה</t>
  </si>
  <si>
    <t>סיוע מיוחד-תזמורת ולהקת סיראג'</t>
  </si>
  <si>
    <t>גלריה ברבור - סיוע לנוכח הנגיף</t>
  </si>
  <si>
    <t>תזמורת הרחוב הירושלמית - סיוע לנוכח הנגי</t>
  </si>
  <si>
    <t>ליריק-אופרה - כיתות אמן בינ"ל - סיוע</t>
  </si>
  <si>
    <t>מזקקה - סיוע לנוכח הנגיף</t>
  </si>
  <si>
    <t>פסטיבל זיקוק - תמיכה לנוכח הנגיף</t>
  </si>
  <si>
    <t>המפעל - סיוע לנוכח הנגיף</t>
  </si>
  <si>
    <t>הפיראטיות הפיראטיות - סיוע</t>
  </si>
  <si>
    <t>המוסך - מוסף לספרות - סיוע לנוכח הנגיף</t>
  </si>
  <si>
    <t>עירובין - תמיכה לנוכח הנגיף</t>
  </si>
  <si>
    <t>סיוע לפעילות נתמכת בתקופת הקורונה</t>
  </si>
  <si>
    <t>תמיכה במוזיאון עקב השלכות מגיפת הקורונה</t>
  </si>
  <si>
    <t>בקשת סיוע מיוחד ל 001001290463</t>
  </si>
  <si>
    <t>פעילות מורשת עדות ישראל 2020 - בקשת סיוע</t>
  </si>
  <si>
    <t>בקשת תמיכה בפעילות המוזיאון</t>
  </si>
  <si>
    <t>סיוע מיוחד - ספרות הזירה הבין תחומית</t>
  </si>
  <si>
    <t>סיוע מיוחד- תרבות בקהילה</t>
  </si>
  <si>
    <t>סיוע מיוחד לפעילות מוסיקה קולית מסורתית</t>
  </si>
  <si>
    <t>סיוע מיוחד - תמיכה שוטפת לשנת 2020</t>
  </si>
  <si>
    <t>סיוע מיוחד- תזמורות גופים כליים</t>
  </si>
  <si>
    <t>סיוע מיוחד צלילי המוסיקה</t>
  </si>
  <si>
    <t>סיוע מיוחד- מוזיאונים תמיכה שוטפת</t>
  </si>
  <si>
    <t>סיוע מיוחד- תיאטרון</t>
  </si>
  <si>
    <t>אירועי ספרות אוטופיה - סיוע מיוחד קורונה</t>
  </si>
  <si>
    <t>סיוע מיוחד לקבוצות מוסיקליות</t>
  </si>
  <si>
    <t>פסטיבל סרטי מדע בדיוני - סיוע קורונה</t>
  </si>
  <si>
    <t>סיוע נוכח השלכות נגיף הקורונה - תיאטרון</t>
  </si>
  <si>
    <t>סיוע מיוחד- ריקוד עם ישראלי- הרכבים</t>
  </si>
  <si>
    <t>תזמורת המהפכה- בקשת תמיכה מיוחדת</t>
  </si>
  <si>
    <t>סיוע מיוחד- מוזיאון שוטף</t>
  </si>
  <si>
    <t>סיוע מוזאון העיצוב 2020</t>
  </si>
  <si>
    <t>סיוע מיוחד מימון שוטף מקהלה ותזמורת 2020</t>
  </si>
  <si>
    <t>סיוע מיוחד - תיאטרון גיל שלישי</t>
  </si>
  <si>
    <t>סיוע מיוחד קול קורא 12315</t>
  </si>
  <si>
    <t>סיוע מיוחד קול קורא 12315- הצהרת מוסד</t>
  </si>
  <si>
    <t>סיוע תן למילים 2020</t>
  </si>
  <si>
    <t>סיוע מיוחד תמיכה שוטפת לשנת 2020</t>
  </si>
  <si>
    <t>סיוע מיוחד- פסטיבל פרינג'</t>
  </si>
  <si>
    <t>סיוע כספית בעקבות השלכות נגיף הקורונה</t>
  </si>
  <si>
    <t>סיוע מוזיאון הקומיקס 2020</t>
  </si>
  <si>
    <t>סיוע מיוחד עקב השלכות הקורונה</t>
  </si>
  <si>
    <t>סיוע סינמטק 2020</t>
  </si>
  <si>
    <t>הפקות חדשות</t>
  </si>
  <si>
    <t>סיוע למוסדות ציבור בתרבות עקב השלכות נגי</t>
  </si>
  <si>
    <t>סיוע מיוחד- תאטרון</t>
  </si>
  <si>
    <t>סיוע מיוחד לפעילות "אמנות פלסטית"</t>
  </si>
  <si>
    <t>סיוע מיוחד לפעילות כתב עת</t>
  </si>
  <si>
    <t>סיוע מיוחד פסטיבל הילדים</t>
  </si>
  <si>
    <t>סיוע לסינמטק שדרות -נגיף הקורנה</t>
  </si>
  <si>
    <t>המשך תמיכה בפעילות המקהלה</t>
  </si>
  <si>
    <t>סיוע למוסדות ציבור ותרבות עקב השלכות נגי</t>
  </si>
  <si>
    <t>סיוע נוסף קורונה-פעילות מוסיקה</t>
  </si>
  <si>
    <t>כנסים ותערוכות אמנות פלסטית</t>
  </si>
  <si>
    <t>סיוע מיוחד לפעילות קבוצת תיאטרון</t>
  </si>
  <si>
    <t>סיוע מיוחד בית ספר למוסיקה</t>
  </si>
  <si>
    <t>סיוע מיוחד בית ספר לאומנות</t>
  </si>
  <si>
    <t>מחול סיוע מיוחד</t>
  </si>
  <si>
    <t>סיוע מיוחד יוזמות</t>
  </si>
  <si>
    <t>סיוע מיוחד ליוזמה - הקרן לפיתוח מחזאות</t>
  </si>
  <si>
    <t>פסטיבלים סיוע מיוחד</t>
  </si>
  <si>
    <t>שיתופי פעולה אתנחתא סיוע מיוחד</t>
  </si>
  <si>
    <t>אמנויות הבמה 1 סיוע מיוחד</t>
  </si>
  <si>
    <t>אמנויות הבמה 2 סיוע מיוחד</t>
  </si>
  <si>
    <t>סיוע מיוחד לעידוד קיום פעילות-ספרות</t>
  </si>
  <si>
    <t>סיוע מיוחד חלל תצוגה</t>
  </si>
  <si>
    <t>באופן תרבותי תמיכת קורונה</t>
  </si>
  <si>
    <t>ספרות סיוע מיוחד</t>
  </si>
  <si>
    <t>בקשת סיוע מיוחד בעקבות נגיף הקורונה</t>
  </si>
  <si>
    <t>סיוע מיוחד קורונה-פסטיבלים</t>
  </si>
  <si>
    <t>סיוע נוסף קורונה-מחול</t>
  </si>
  <si>
    <t>סיוע מיוחד קורונה-מוסיקה</t>
  </si>
  <si>
    <t>סיוע נוסף קורונה-גלריית ציור</t>
  </si>
  <si>
    <t>סיוע מיוחד לנוכח השלכות הקורונה</t>
  </si>
  <si>
    <t>תמיכה כלכלית בגין משבר הנגיף</t>
  </si>
  <si>
    <t>סיוע מתקנת קורונה</t>
  </si>
  <si>
    <t>סיוע מיוחד (קורונה) - מרכז מוסיקלי</t>
  </si>
  <si>
    <t>סיוע מיוחד - בקשת תמיכה ליוצר רועי אסף</t>
  </si>
  <si>
    <t>סיוע מיוחד - תמיכה שוטפת במוזיאון 2020</t>
  </si>
  <si>
    <t>אמנים יוצרים סיוע מיוחד בקשה 1001279212</t>
  </si>
  <si>
    <t>סיוע מיוחד בתי ספר לאומניות תמיכה שוטפת</t>
  </si>
  <si>
    <t>סיוע מיוחד (קורונה) - כתת אמן מארי פרחיה</t>
  </si>
  <si>
    <t>סיוע מיוחד (קורונה) - כתת אמן מרים פריד</t>
  </si>
  <si>
    <t>סיוע מיוחד למ. ציבור נתמכים עקב הקורונה</t>
  </si>
  <si>
    <t>תמיכה בעקבות משבר הקורונה</t>
  </si>
  <si>
    <t>תמיכה באנסמבל "טרמולו" עקב משבר הקורונה</t>
  </si>
  <si>
    <t>סיוע מיוחד למוסד</t>
  </si>
  <si>
    <t>סיוע מיוחד-קורונה</t>
  </si>
  <si>
    <t>בקשת סיוע ופיצוי מיוחד להשלכות נגיף הקור</t>
  </si>
  <si>
    <t>סיוע מיוחד לנגיף הקורונה</t>
  </si>
  <si>
    <t>הציירים והפסלים סיוע מיוחד בקשה 10012747</t>
  </si>
  <si>
    <t>סיוע מיוחד בעקבות מגפת הקורונה</t>
  </si>
  <si>
    <t>סיוע מיוחד להפעלה שוטפת</t>
  </si>
  <si>
    <t>בלט פאנוב משבר קורונה</t>
  </si>
  <si>
    <t>ת' אורנה פורת סיוע מיוד בקשה 1001263559</t>
  </si>
  <si>
    <t>הגשת בקשה לתמיכה במרכז תרבות מצפה רמון</t>
  </si>
  <si>
    <t>סיוע מיוחד תמיכה שוטפת - גלריה סדנאות הא</t>
  </si>
  <si>
    <t>סיוע מיוחד פעילות שוטפת</t>
  </si>
  <si>
    <t>סיוע קורונה - בית הספר בת-דור באר שבע</t>
  </si>
  <si>
    <t>סיוע לפגיעה בפעילות- בלאגן שפיל</t>
  </si>
  <si>
    <t>סיוע מיוחד לעידוד קיום פעילות נתמכת מילה</t>
  </si>
  <si>
    <t>סיוע לחבורת זמר אזמרה כרמיאל</t>
  </si>
  <si>
    <t>סיוע לבית ספר עאידה והלהקה</t>
  </si>
  <si>
    <t>סיוע מיוחד לעידוד פעילות נתמכת ווקאלוסיט</t>
  </si>
  <si>
    <t>סיוע מיוחד 2020</t>
  </si>
  <si>
    <t>השלמת סיוע נוסף לפסטיבל מקודשת נוכח השלכ</t>
  </si>
  <si>
    <t>בין שמיים לארץ</t>
  </si>
  <si>
    <t>סיוע מיוחד נוכח השלכות נגיף קורונה</t>
  </si>
  <si>
    <t>להקת דבקה אלתואסל סיוע 2020</t>
  </si>
  <si>
    <t>סכום מקסימלי מבוקש על ידי המוסד לניצול בשנת 2020</t>
  </si>
  <si>
    <t>נימוקים להחלטה</t>
  </si>
  <si>
    <t xml:space="preserve">מאושר,  הזכאות לתמיכה מותנית בזכאות לתמיכה בתקנת האם בשנת 2020 או שנת 2021, לפי העניין, עמידה בדרישות נוהל שר אוצר, החלטות מינהל תרבות או ועדת התמיכות. לעניין זה, העמידה בהוראות נוהל שר אוצר בכל הקשור לשיעור התמיכה המירבי והיקף המימון העצמי הדרוש ממוסד נתמך ייבחנו כמקשה אחת על בסיס דו-שנתי לגבי השנים 2020 ו-2021 יחדיו.
בשלב זה, בשל עתירה שהוגשה לאחרונה לבג"צ בתיק 7416/20 היכל התרבות בכרמיאל ואח' נ' שר התרבות והספורט ואח', ועדת תמיכות מאשרת כעת תמיכה בהיקף של 25% מהסכום שבו תוקצב המבחן. תחשיב חלוקת התמיכה הקיימת למוסדות, שלפיו הוועדה מאשרת תמיכה כעת, עלול להשתנות, הכל בהתאם להחלטת בג"צ. 
טרם התקבלה החלטה פרטנית  בנוגע לסכום שיועבר עוד השנה וזו תתקבל בהתאם לדוחות הביצוע שיוגשו על ידי הגופים עמידה בכללי נוהל שר האוצר והיכולת התזרימית 
של המשרד.
ככלל, התמיכה ע פי מבחן זה הינה דו-שנתית ויתרת התמיכה שלא תשולם ב-2020 תעמוד לחלוקה ב-2021. 
</t>
  </si>
  <si>
    <t>עקב קיטון תמיכת הרשות המקומית הגוף לא זכאי לתמיכה מתקנת הסיוע</t>
  </si>
  <si>
    <t>דוח מסכם לוועדת תמיכות - סיוע מיוחד קורונה</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</si>
</sst>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 #,##0.00_ ;_ * \-#,##0.00_ ;_ * &quot;-&quot;??_ ;_ @_ "/>
    <numFmt numFmtId="164" formatCode="_(&quot;₪&quot;* #,##0.00_);_(&quot;₪&quot;* \(#,##0.00\);_(&quot;₪&quot;* &quot;-&quot;??_);_(@_)"/>
    <numFmt numFmtId="165" formatCode="_(* #,##0.00_);_(* \(#,##0.00\);_(* &quot;-&quot;??_);_(@_)"/>
    <numFmt numFmtId="166" formatCode="0.0%"/>
    <numFmt numFmtId="167" formatCode="&quot;₪&quot;\ #,##0"/>
    <numFmt numFmtId="168" formatCode="_ * #,##0_ ;_ * \-#,##0_ ;_ * &quot;-&quot;??_ ;_ @_ "/>
    <numFmt numFmtId="169" formatCode="#,##0_ ;\-#,##0\ "/>
    <numFmt numFmtId="170" formatCode="#,##0.0_ ;\-#,##0.0\ "/>
    <numFmt numFmtId="171" formatCode="[$₪-40D]\ #,##0"/>
    <numFmt numFmtId="172" formatCode="#,##0.0"/>
    <numFmt numFmtId="173" formatCode="\ #,##0"/>
    <numFmt numFmtId="174" formatCode="[$-1010000]d/m/yyyy;@"/>
  </numFmts>
  <fonts count="83" x14ac:knownFonts="1">
    <font>
      <sz val="11"/>
      <color theme="1"/>
      <name val="Arial"/>
      <family val="2"/>
      <charset val="177"/>
      <scheme val="minor"/>
    </font>
    <font>
      <sz val="12"/>
      <color theme="1"/>
      <name val="David"/>
      <family val="2"/>
      <charset val="177"/>
    </font>
    <font>
      <sz val="12"/>
      <color theme="1"/>
      <name val="David"/>
      <family val="2"/>
      <charset val="177"/>
    </font>
    <font>
      <sz val="12"/>
      <color theme="1"/>
      <name val="David"/>
      <family val="2"/>
      <charset val="177"/>
    </font>
    <font>
      <sz val="12"/>
      <color theme="1"/>
      <name val="David"/>
      <family val="2"/>
      <charset val="177"/>
    </font>
    <font>
      <sz val="12"/>
      <color theme="1"/>
      <name val="David"/>
      <family val="2"/>
      <charset val="177"/>
    </font>
    <font>
      <sz val="12"/>
      <color theme="1"/>
      <name val="David"/>
      <family val="2"/>
      <charset val="177"/>
    </font>
    <font>
      <sz val="12"/>
      <color theme="1"/>
      <name val="David"/>
      <family val="2"/>
      <charset val="177"/>
    </font>
    <font>
      <sz val="11"/>
      <color theme="1"/>
      <name val="Arial"/>
      <family val="2"/>
      <scheme val="minor"/>
    </font>
    <font>
      <sz val="11"/>
      <color theme="1"/>
      <name val="Arial"/>
      <family val="2"/>
      <scheme val="minor"/>
    </font>
    <font>
      <sz val="12"/>
      <color theme="1"/>
      <name val="David"/>
      <family val="2"/>
      <charset val="177"/>
    </font>
    <font>
      <sz val="11"/>
      <color theme="1"/>
      <name val="Arial"/>
      <family val="2"/>
      <charset val="177"/>
      <scheme val="minor"/>
    </font>
    <font>
      <sz val="12"/>
      <color theme="1"/>
      <name val="David"/>
      <family val="2"/>
      <charset val="177"/>
    </font>
    <font>
      <b/>
      <sz val="12"/>
      <color theme="0"/>
      <name val="David"/>
      <family val="2"/>
      <charset val="177"/>
    </font>
    <font>
      <sz val="10"/>
      <name val="Arial"/>
      <family val="2"/>
    </font>
    <font>
      <b/>
      <sz val="11"/>
      <color theme="1"/>
      <name val="Arial"/>
      <family val="2"/>
      <scheme val="minor"/>
    </font>
    <font>
      <sz val="11"/>
      <color indexed="8"/>
      <name val="Arial"/>
      <family val="2"/>
      <charset val="177"/>
    </font>
    <font>
      <sz val="10"/>
      <name val="Arial"/>
      <family val="2"/>
    </font>
    <font>
      <sz val="10"/>
      <name val="Arial"/>
      <family val="2"/>
    </font>
    <font>
      <b/>
      <u/>
      <sz val="18"/>
      <color theme="1"/>
      <name val="Arial"/>
      <family val="2"/>
      <scheme val="minor"/>
    </font>
    <font>
      <sz val="12"/>
      <color theme="1"/>
      <name val="Arial"/>
      <family val="2"/>
      <charset val="177"/>
      <scheme val="minor"/>
    </font>
    <font>
      <b/>
      <u/>
      <sz val="11"/>
      <color theme="1"/>
      <name val="Arial"/>
      <family val="2"/>
      <scheme val="minor"/>
    </font>
    <font>
      <sz val="12"/>
      <color theme="1"/>
      <name val="Arial"/>
      <family val="2"/>
      <scheme val="minor"/>
    </font>
    <font>
      <sz val="10"/>
      <name val="Arial"/>
      <family val="2"/>
    </font>
    <font>
      <sz val="11"/>
      <color rgb="FFFF0000"/>
      <name val="Arial"/>
      <family val="2"/>
      <charset val="177"/>
      <scheme val="minor"/>
    </font>
    <font>
      <b/>
      <sz val="11"/>
      <color theme="0"/>
      <name val="Arial"/>
      <family val="2"/>
      <scheme val="minor"/>
    </font>
    <font>
      <b/>
      <sz val="24"/>
      <color theme="1"/>
      <name val="Arial"/>
      <family val="2"/>
      <scheme val="minor"/>
    </font>
    <font>
      <b/>
      <sz val="14"/>
      <color theme="1"/>
      <name val="Arial"/>
      <family val="2"/>
      <scheme val="minor"/>
    </font>
    <font>
      <b/>
      <sz val="16"/>
      <color theme="1"/>
      <name val="Arial"/>
      <family val="2"/>
      <scheme val="minor"/>
    </font>
    <font>
      <b/>
      <sz val="18"/>
      <name val="Arial"/>
      <family val="2"/>
      <scheme val="minor"/>
    </font>
    <font>
      <b/>
      <sz val="18"/>
      <color theme="1"/>
      <name val="Arial"/>
      <family val="2"/>
      <scheme val="minor"/>
    </font>
    <font>
      <b/>
      <sz val="12"/>
      <color theme="1"/>
      <name val="Arial"/>
      <family val="2"/>
      <scheme val="minor"/>
    </font>
    <font>
      <b/>
      <sz val="14"/>
      <name val="Arial"/>
      <family val="2"/>
      <scheme val="minor"/>
    </font>
    <font>
      <sz val="10"/>
      <name val="Arial"/>
      <family val="2"/>
    </font>
    <font>
      <sz val="16"/>
      <name val="Arial"/>
      <family val="2"/>
      <scheme val="minor"/>
    </font>
    <font>
      <sz val="12"/>
      <color theme="0"/>
      <name val="Arial"/>
      <family val="2"/>
      <scheme val="minor"/>
    </font>
    <font>
      <sz val="20"/>
      <color theme="1"/>
      <name val="Arial"/>
      <family val="2"/>
      <scheme val="minor"/>
    </font>
    <font>
      <b/>
      <u/>
      <sz val="20"/>
      <color theme="1"/>
      <name val="Arial"/>
      <family val="2"/>
      <scheme val="minor"/>
    </font>
    <font>
      <b/>
      <sz val="9"/>
      <color indexed="81"/>
      <name val="Tahoma"/>
      <family val="2"/>
    </font>
    <font>
      <b/>
      <sz val="14"/>
      <color theme="0"/>
      <name val="Arial"/>
      <family val="2"/>
      <scheme val="minor"/>
    </font>
    <font>
      <b/>
      <sz val="12"/>
      <name val="Arial"/>
      <family val="2"/>
      <scheme val="minor"/>
    </font>
    <font>
      <sz val="12"/>
      <name val="Arial"/>
      <family val="2"/>
      <scheme val="minor"/>
    </font>
    <font>
      <sz val="10"/>
      <name val="Arial"/>
      <family val="2"/>
      <scheme val="minor"/>
    </font>
    <font>
      <sz val="10"/>
      <name val="Arial"/>
      <family val="2"/>
    </font>
    <font>
      <sz val="10"/>
      <name val="Arial"/>
      <family val="2"/>
    </font>
    <font>
      <b/>
      <sz val="9"/>
      <color theme="1"/>
      <name val="Arial"/>
      <family val="2"/>
      <scheme val="minor"/>
    </font>
    <font>
      <b/>
      <sz val="10"/>
      <color theme="1"/>
      <name val="Arial"/>
      <family val="2"/>
      <scheme val="minor"/>
    </font>
    <font>
      <sz val="12"/>
      <name val="David"/>
      <family val="2"/>
    </font>
    <font>
      <sz val="11"/>
      <color indexed="9"/>
      <name val="Arial"/>
      <family val="2"/>
      <charset val="177"/>
    </font>
    <font>
      <sz val="11"/>
      <color indexed="20"/>
      <name val="Arial"/>
      <family val="2"/>
      <charset val="177"/>
    </font>
    <font>
      <b/>
      <sz val="11"/>
      <color indexed="52"/>
      <name val="Arial"/>
      <family val="2"/>
      <charset val="177"/>
    </font>
    <font>
      <b/>
      <sz val="11"/>
      <color indexed="9"/>
      <name val="Arial"/>
      <family val="2"/>
      <charset val="177"/>
    </font>
    <font>
      <i/>
      <sz val="11"/>
      <color indexed="23"/>
      <name val="Arial"/>
      <family val="2"/>
      <charset val="177"/>
    </font>
    <font>
      <sz val="11"/>
      <color indexed="17"/>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sz val="11"/>
      <color indexed="62"/>
      <name val="Arial"/>
      <family val="2"/>
      <charset val="177"/>
    </font>
    <font>
      <sz val="11"/>
      <color indexed="52"/>
      <name val="Arial"/>
      <family val="2"/>
      <charset val="177"/>
    </font>
    <font>
      <sz val="11"/>
      <color indexed="60"/>
      <name val="Arial"/>
      <family val="2"/>
      <charset val="177"/>
    </font>
    <font>
      <sz val="10"/>
      <name val="Arial"/>
      <family val="2"/>
      <charset val="177"/>
    </font>
    <font>
      <sz val="12"/>
      <color indexed="8"/>
      <name val="David"/>
      <family val="2"/>
      <charset val="177"/>
    </font>
    <font>
      <b/>
      <sz val="11"/>
      <color indexed="63"/>
      <name val="Arial"/>
      <family val="2"/>
      <charset val="177"/>
    </font>
    <font>
      <b/>
      <sz val="18"/>
      <color indexed="56"/>
      <name val="Times New Roman"/>
      <family val="2"/>
      <charset val="177"/>
    </font>
    <font>
      <b/>
      <sz val="11"/>
      <color indexed="8"/>
      <name val="Arial"/>
      <family val="2"/>
      <charset val="177"/>
    </font>
    <font>
      <sz val="11"/>
      <color indexed="10"/>
      <name val="Arial"/>
      <family val="2"/>
      <charset val="177"/>
    </font>
    <font>
      <sz val="10"/>
      <name val="MS Sans Serif"/>
      <family val="2"/>
      <charset val="177"/>
    </font>
    <font>
      <b/>
      <sz val="11"/>
      <color theme="1"/>
      <name val="Ebrima"/>
    </font>
    <font>
      <b/>
      <sz val="14"/>
      <color theme="1"/>
      <name val="David"/>
      <family val="2"/>
    </font>
    <font>
      <b/>
      <sz val="12"/>
      <name val="David"/>
      <family val="2"/>
    </font>
    <font>
      <b/>
      <sz val="12"/>
      <color theme="1"/>
      <name val="David"/>
      <family val="2"/>
    </font>
    <font>
      <b/>
      <sz val="14"/>
      <color theme="0"/>
      <name val="David"/>
      <family val="2"/>
    </font>
    <font>
      <b/>
      <vertAlign val="subscript"/>
      <sz val="11"/>
      <color theme="1"/>
      <name val="Arial"/>
      <family val="2"/>
      <scheme val="minor"/>
    </font>
    <font>
      <b/>
      <sz val="13.5"/>
      <color rgb="FF000000"/>
      <name val="David"/>
      <family val="2"/>
      <charset val="177"/>
    </font>
    <font>
      <sz val="10"/>
      <color theme="1"/>
      <name val="Arial"/>
      <family val="2"/>
      <scheme val="minor"/>
    </font>
    <font>
      <sz val="10"/>
      <color theme="1"/>
      <name val="David"/>
      <family val="2"/>
      <charset val="177"/>
    </font>
    <font>
      <sz val="11"/>
      <color theme="1"/>
      <name val="David"/>
      <family val="2"/>
    </font>
    <font>
      <sz val="12"/>
      <color theme="1"/>
      <name val="David"/>
      <family val="2"/>
    </font>
    <font>
      <sz val="10"/>
      <name val="David"/>
      <family val="2"/>
    </font>
    <font>
      <sz val="12"/>
      <color rgb="FFFF0000"/>
      <name val="Arial"/>
      <family val="2"/>
      <scheme val="minor"/>
    </font>
    <font>
      <b/>
      <sz val="12"/>
      <color rgb="FFFF0000"/>
      <name val="Arial"/>
      <family val="2"/>
      <scheme val="minor"/>
    </font>
    <font>
      <b/>
      <sz val="16"/>
      <color rgb="FFFF0000"/>
      <name val="Arial"/>
      <family val="2"/>
      <scheme val="minor"/>
    </font>
    <font>
      <b/>
      <sz val="10"/>
      <name val="Arial"/>
      <family val="2"/>
      <scheme val="minor"/>
    </font>
  </fonts>
  <fills count="44">
    <fill>
      <patternFill patternType="none"/>
    </fill>
    <fill>
      <patternFill patternType="gray125"/>
    </fill>
    <fill>
      <patternFill patternType="solid">
        <fgColor theme="4" tint="-0.249977111117893"/>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CC"/>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4506668294322"/>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B0F0"/>
        <bgColor indexed="64"/>
      </patternFill>
    </fill>
    <fill>
      <patternFill patternType="solid">
        <fgColor theme="4" tint="0.79998168889431442"/>
        <bgColor indexed="64"/>
      </patternFill>
    </fill>
    <fill>
      <patternFill patternType="solid">
        <fgColor rgb="FFDDDDDD"/>
        <bgColor indexed="64"/>
      </patternFill>
    </fill>
  </fills>
  <borders count="66">
    <border>
      <left/>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indexed="64"/>
      </right>
      <top/>
      <bottom style="thin">
        <color auto="1"/>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auto="1"/>
      </left>
      <right style="medium">
        <color indexed="64"/>
      </right>
      <top style="medium">
        <color indexed="64"/>
      </top>
      <bottom style="thin">
        <color auto="1"/>
      </bottom>
      <diagonal/>
    </border>
    <border>
      <left style="medium">
        <color indexed="64"/>
      </left>
      <right/>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right/>
      <top/>
      <bottom style="medium">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right style="thin">
        <color auto="1"/>
      </right>
      <top style="medium">
        <color indexed="64"/>
      </top>
      <bottom style="medium">
        <color indexed="64"/>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auto="1"/>
      </right>
      <top/>
      <bottom/>
      <diagonal/>
    </border>
    <border>
      <left/>
      <right style="thin">
        <color auto="1"/>
      </right>
      <top/>
      <bottom style="medium">
        <color indexed="64"/>
      </bottom>
      <diagonal/>
    </border>
    <border>
      <left/>
      <right style="thin">
        <color auto="1"/>
      </right>
      <top style="medium">
        <color indexed="64"/>
      </top>
      <bottom style="thin">
        <color auto="1"/>
      </bottom>
      <diagonal/>
    </border>
    <border>
      <left style="medium">
        <color indexed="64"/>
      </left>
      <right style="thin">
        <color auto="1"/>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right style="thin">
        <color auto="1"/>
      </right>
      <top style="thin">
        <color auto="1"/>
      </top>
      <bottom style="medium">
        <color indexed="64"/>
      </bottom>
      <diagonal/>
    </border>
    <border>
      <left style="thin">
        <color auto="1"/>
      </left>
      <right/>
      <top style="medium">
        <color indexed="64"/>
      </top>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thick">
        <color indexed="64"/>
      </left>
      <right style="thin">
        <color indexed="64"/>
      </right>
      <top/>
      <bottom style="thin">
        <color indexed="64"/>
      </bottom>
      <diagonal/>
    </border>
    <border>
      <left style="thin">
        <color indexed="64"/>
      </left>
      <right/>
      <top style="medium">
        <color indexed="64"/>
      </top>
      <bottom style="medium">
        <color indexed="64"/>
      </bottom>
      <diagonal/>
    </border>
  </borders>
  <cellStyleXfs count="2519">
    <xf numFmtId="0" fontId="0" fillId="0" borderId="0"/>
    <xf numFmtId="9" fontId="11" fillId="0" borderId="0" applyFont="0" applyFill="0" applyBorder="0" applyAlignment="0" applyProtection="0"/>
    <xf numFmtId="165" fontId="11" fillId="0" borderId="0" applyFont="0" applyFill="0" applyBorder="0" applyAlignment="0" applyProtection="0"/>
    <xf numFmtId="165" fontId="16" fillId="0" borderId="0" applyFont="0" applyFill="0" applyBorder="0" applyAlignment="0" applyProtection="0"/>
    <xf numFmtId="0" fontId="14" fillId="0" borderId="0"/>
    <xf numFmtId="0" fontId="17" fillId="0" borderId="0"/>
    <xf numFmtId="0" fontId="18" fillId="0" borderId="0"/>
    <xf numFmtId="0" fontId="23" fillId="0" borderId="0"/>
    <xf numFmtId="0" fontId="10" fillId="0" borderId="0"/>
    <xf numFmtId="0" fontId="14" fillId="0" borderId="0"/>
    <xf numFmtId="9" fontId="10" fillId="0" borderId="0" applyFont="0" applyFill="0" applyBorder="0" applyAlignment="0" applyProtection="0"/>
    <xf numFmtId="0" fontId="14"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 fillId="0" borderId="0" applyFont="0" applyFill="0" applyBorder="0" applyAlignment="0" applyProtection="0"/>
    <xf numFmtId="0" fontId="14"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4" fillId="0" borderId="0"/>
    <xf numFmtId="0" fontId="10"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4" fillId="0" borderId="0"/>
    <xf numFmtId="0" fontId="11" fillId="0" borderId="0"/>
    <xf numFmtId="0" fontId="11" fillId="0" borderId="0"/>
    <xf numFmtId="0" fontId="11" fillId="0" borderId="0"/>
    <xf numFmtId="0" fontId="11" fillId="0" borderId="0"/>
    <xf numFmtId="0" fontId="9" fillId="0" borderId="0"/>
    <xf numFmtId="0" fontId="9" fillId="0" borderId="0"/>
    <xf numFmtId="9" fontId="1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33" fillId="0" borderId="0"/>
    <xf numFmtId="0" fontId="43" fillId="0" borderId="0"/>
    <xf numFmtId="0" fontId="44" fillId="0" borderId="0"/>
    <xf numFmtId="171" fontId="14" fillId="0" borderId="0"/>
    <xf numFmtId="171" fontId="6" fillId="0" borderId="0"/>
    <xf numFmtId="171" fontId="14" fillId="0" borderId="0"/>
    <xf numFmtId="171" fontId="6" fillId="0" borderId="0"/>
    <xf numFmtId="0" fontId="6" fillId="0" borderId="0"/>
    <xf numFmtId="0" fontId="6" fillId="0" borderId="0"/>
    <xf numFmtId="165" fontId="6" fillId="0" borderId="0" applyFont="0" applyFill="0" applyBorder="0" applyAlignment="0" applyProtection="0"/>
    <xf numFmtId="171" fontId="11" fillId="0" borderId="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5" borderId="0" applyNumberFormat="0" applyBorder="0" applyAlignment="0" applyProtection="0"/>
    <xf numFmtId="171" fontId="16" fillId="15" borderId="0" applyNumberFormat="0" applyBorder="0" applyAlignment="0" applyProtection="0"/>
    <xf numFmtId="0" fontId="16" fillId="15" borderId="0" applyNumberFormat="0" applyBorder="0" applyAlignment="0" applyProtection="0"/>
    <xf numFmtId="171" fontId="16" fillId="16" borderId="0" applyNumberFormat="0" applyBorder="0" applyAlignment="0" applyProtection="0"/>
    <xf numFmtId="171" fontId="16" fillId="16" borderId="0" applyNumberFormat="0" applyBorder="0" applyAlignment="0" applyProtection="0"/>
    <xf numFmtId="0" fontId="16" fillId="16" borderId="0" applyNumberFormat="0" applyBorder="0" applyAlignment="0" applyProtection="0"/>
    <xf numFmtId="171" fontId="16" fillId="17" borderId="0" applyNumberFormat="0" applyBorder="0" applyAlignment="0" applyProtection="0"/>
    <xf numFmtId="171" fontId="16" fillId="17" borderId="0" applyNumberFormat="0" applyBorder="0" applyAlignment="0" applyProtection="0"/>
    <xf numFmtId="0" fontId="16" fillId="17" borderId="0" applyNumberFormat="0" applyBorder="0" applyAlignment="0" applyProtection="0"/>
    <xf numFmtId="171" fontId="16" fillId="18" borderId="0" applyNumberFormat="0" applyBorder="0" applyAlignment="0" applyProtection="0"/>
    <xf numFmtId="171" fontId="16" fillId="18" borderId="0" applyNumberFormat="0" applyBorder="0" applyAlignment="0" applyProtection="0"/>
    <xf numFmtId="0" fontId="16" fillId="18" borderId="0" applyNumberFormat="0" applyBorder="0" applyAlignment="0" applyProtection="0"/>
    <xf numFmtId="171" fontId="16" fillId="19" borderId="0" applyNumberFormat="0" applyBorder="0" applyAlignment="0" applyProtection="0"/>
    <xf numFmtId="171" fontId="16" fillId="19" borderId="0" applyNumberFormat="0" applyBorder="0" applyAlignment="0" applyProtection="0"/>
    <xf numFmtId="0" fontId="16" fillId="19" borderId="0" applyNumberFormat="0" applyBorder="0" applyAlignment="0" applyProtection="0"/>
    <xf numFmtId="171" fontId="16" fillId="20" borderId="0" applyNumberFormat="0" applyBorder="0" applyAlignment="0" applyProtection="0"/>
    <xf numFmtId="171" fontId="16" fillId="20" borderId="0" applyNumberFormat="0" applyBorder="0" applyAlignment="0" applyProtection="0"/>
    <xf numFmtId="0" fontId="16" fillId="20" borderId="0" applyNumberFormat="0" applyBorder="0" applyAlignment="0" applyProtection="0"/>
    <xf numFmtId="171" fontId="16" fillId="21" borderId="0" applyNumberFormat="0" applyBorder="0" applyAlignment="0" applyProtection="0"/>
    <xf numFmtId="171" fontId="16" fillId="21" borderId="0" applyNumberFormat="0" applyBorder="0" applyAlignment="0" applyProtection="0"/>
    <xf numFmtId="0" fontId="16" fillId="21" borderId="0" applyNumberFormat="0" applyBorder="0" applyAlignment="0" applyProtection="0"/>
    <xf numFmtId="171" fontId="16" fillId="22" borderId="0" applyNumberFormat="0" applyBorder="0" applyAlignment="0" applyProtection="0"/>
    <xf numFmtId="171" fontId="16" fillId="22" borderId="0" applyNumberFormat="0" applyBorder="0" applyAlignment="0" applyProtection="0"/>
    <xf numFmtId="0" fontId="16" fillId="22" borderId="0" applyNumberFormat="0" applyBorder="0" applyAlignment="0" applyProtection="0"/>
    <xf numFmtId="171" fontId="16" fillId="17" borderId="0" applyNumberFormat="0" applyBorder="0" applyAlignment="0" applyProtection="0"/>
    <xf numFmtId="171" fontId="16" fillId="17" borderId="0" applyNumberFormat="0" applyBorder="0" applyAlignment="0" applyProtection="0"/>
    <xf numFmtId="0" fontId="16" fillId="17" borderId="0" applyNumberFormat="0" applyBorder="0" applyAlignment="0" applyProtection="0"/>
    <xf numFmtId="171" fontId="16" fillId="20" borderId="0" applyNumberFormat="0" applyBorder="0" applyAlignment="0" applyProtection="0"/>
    <xf numFmtId="171" fontId="16" fillId="20" borderId="0" applyNumberFormat="0" applyBorder="0" applyAlignment="0" applyProtection="0"/>
    <xf numFmtId="0" fontId="16" fillId="20" borderId="0" applyNumberFormat="0" applyBorder="0" applyAlignment="0" applyProtection="0"/>
    <xf numFmtId="171" fontId="16" fillId="23" borderId="0" applyNumberFormat="0" applyBorder="0" applyAlignment="0" applyProtection="0"/>
    <xf numFmtId="171" fontId="16" fillId="23" borderId="0" applyNumberFormat="0" applyBorder="0" applyAlignment="0" applyProtection="0"/>
    <xf numFmtId="0" fontId="16" fillId="23" borderId="0" applyNumberFormat="0" applyBorder="0" applyAlignment="0" applyProtection="0"/>
    <xf numFmtId="171" fontId="48" fillId="24" borderId="0" applyNumberFormat="0" applyBorder="0" applyAlignment="0" applyProtection="0"/>
    <xf numFmtId="171" fontId="48" fillId="24" borderId="0" applyNumberFormat="0" applyBorder="0" applyAlignment="0" applyProtection="0"/>
    <xf numFmtId="0" fontId="48" fillId="24" borderId="0" applyNumberFormat="0" applyBorder="0" applyAlignment="0" applyProtection="0"/>
    <xf numFmtId="171" fontId="48" fillId="21" borderId="0" applyNumberFormat="0" applyBorder="0" applyAlignment="0" applyProtection="0"/>
    <xf numFmtId="171" fontId="48" fillId="21" borderId="0" applyNumberFormat="0" applyBorder="0" applyAlignment="0" applyProtection="0"/>
    <xf numFmtId="0" fontId="48" fillId="21" borderId="0" applyNumberFormat="0" applyBorder="0" applyAlignment="0" applyProtection="0"/>
    <xf numFmtId="171" fontId="48" fillId="22" borderId="0" applyNumberFormat="0" applyBorder="0" applyAlignment="0" applyProtection="0"/>
    <xf numFmtId="171" fontId="48" fillId="22" borderId="0" applyNumberFormat="0" applyBorder="0" applyAlignment="0" applyProtection="0"/>
    <xf numFmtId="0" fontId="48" fillId="22" borderId="0" applyNumberFormat="0" applyBorder="0" applyAlignment="0" applyProtection="0"/>
    <xf numFmtId="171" fontId="48" fillId="25" borderId="0" applyNumberFormat="0" applyBorder="0" applyAlignment="0" applyProtection="0"/>
    <xf numFmtId="171" fontId="48" fillId="25" borderId="0" applyNumberFormat="0" applyBorder="0" applyAlignment="0" applyProtection="0"/>
    <xf numFmtId="0" fontId="48" fillId="25" borderId="0" applyNumberFormat="0" applyBorder="0" applyAlignment="0" applyProtection="0"/>
    <xf numFmtId="171" fontId="48" fillId="26" borderId="0" applyNumberFormat="0" applyBorder="0" applyAlignment="0" applyProtection="0"/>
    <xf numFmtId="171" fontId="48" fillId="26" borderId="0" applyNumberFormat="0" applyBorder="0" applyAlignment="0" applyProtection="0"/>
    <xf numFmtId="0" fontId="48" fillId="26" borderId="0" applyNumberFormat="0" applyBorder="0" applyAlignment="0" applyProtection="0"/>
    <xf numFmtId="171" fontId="48" fillId="27" borderId="0" applyNumberFormat="0" applyBorder="0" applyAlignment="0" applyProtection="0"/>
    <xf numFmtId="171" fontId="48" fillId="27" borderId="0" applyNumberFormat="0" applyBorder="0" applyAlignment="0" applyProtection="0"/>
    <xf numFmtId="0" fontId="48" fillId="27" borderId="0" applyNumberFormat="0" applyBorder="0" applyAlignment="0" applyProtection="0"/>
    <xf numFmtId="171" fontId="48" fillId="28" borderId="0" applyNumberFormat="0" applyBorder="0" applyAlignment="0" applyProtection="0"/>
    <xf numFmtId="171" fontId="48" fillId="28" borderId="0" applyNumberFormat="0" applyBorder="0" applyAlignment="0" applyProtection="0"/>
    <xf numFmtId="0" fontId="48" fillId="28" borderId="0" applyNumberFormat="0" applyBorder="0" applyAlignment="0" applyProtection="0"/>
    <xf numFmtId="171" fontId="48" fillId="29" borderId="0" applyNumberFormat="0" applyBorder="0" applyAlignment="0" applyProtection="0"/>
    <xf numFmtId="171" fontId="48" fillId="29" borderId="0" applyNumberFormat="0" applyBorder="0" applyAlignment="0" applyProtection="0"/>
    <xf numFmtId="0" fontId="48" fillId="29" borderId="0" applyNumberFormat="0" applyBorder="0" applyAlignment="0" applyProtection="0"/>
    <xf numFmtId="171" fontId="48" fillId="30" borderId="0" applyNumberFormat="0" applyBorder="0" applyAlignment="0" applyProtection="0"/>
    <xf numFmtId="171" fontId="48" fillId="30" borderId="0" applyNumberFormat="0" applyBorder="0" applyAlignment="0" applyProtection="0"/>
    <xf numFmtId="0" fontId="48" fillId="30" borderId="0" applyNumberFormat="0" applyBorder="0" applyAlignment="0" applyProtection="0"/>
    <xf numFmtId="171" fontId="48" fillId="25" borderId="0" applyNumberFormat="0" applyBorder="0" applyAlignment="0" applyProtection="0"/>
    <xf numFmtId="171" fontId="48" fillId="25" borderId="0" applyNumberFormat="0" applyBorder="0" applyAlignment="0" applyProtection="0"/>
    <xf numFmtId="0" fontId="48" fillId="25" borderId="0" applyNumberFormat="0" applyBorder="0" applyAlignment="0" applyProtection="0"/>
    <xf numFmtId="171" fontId="48" fillId="26" borderId="0" applyNumberFormat="0" applyBorder="0" applyAlignment="0" applyProtection="0"/>
    <xf numFmtId="171" fontId="48" fillId="26" borderId="0" applyNumberFormat="0" applyBorder="0" applyAlignment="0" applyProtection="0"/>
    <xf numFmtId="0" fontId="48" fillId="26" borderId="0" applyNumberFormat="0" applyBorder="0" applyAlignment="0" applyProtection="0"/>
    <xf numFmtId="171" fontId="48" fillId="31" borderId="0" applyNumberFormat="0" applyBorder="0" applyAlignment="0" applyProtection="0"/>
    <xf numFmtId="171" fontId="48" fillId="31" borderId="0" applyNumberFormat="0" applyBorder="0" applyAlignment="0" applyProtection="0"/>
    <xf numFmtId="0" fontId="48" fillId="31" borderId="0" applyNumberFormat="0" applyBorder="0" applyAlignment="0" applyProtection="0"/>
    <xf numFmtId="171" fontId="49" fillId="15" borderId="0" applyNumberFormat="0" applyBorder="0" applyAlignment="0" applyProtection="0"/>
    <xf numFmtId="171" fontId="49" fillId="15" borderId="0" applyNumberFormat="0" applyBorder="0" applyAlignment="0" applyProtection="0"/>
    <xf numFmtId="0" fontId="49" fillId="15" borderId="0" applyNumberFormat="0" applyBorder="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0"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0" fillId="32" borderId="45" applyNumberFormat="0" applyAlignment="0" applyProtection="0"/>
    <xf numFmtId="171" fontId="51" fillId="33" borderId="46" applyNumberFormat="0" applyAlignment="0" applyProtection="0"/>
    <xf numFmtId="171" fontId="51" fillId="33" borderId="46" applyNumberFormat="0" applyAlignment="0" applyProtection="0"/>
    <xf numFmtId="0" fontId="51" fillId="33" borderId="46" applyNumberFormat="0" applyAlignment="0" applyProtection="0"/>
    <xf numFmtId="165" fontId="47" fillId="0" borderId="0" applyFont="0" applyFill="0" applyBorder="0" applyAlignment="0" applyProtection="0"/>
    <xf numFmtId="165" fontId="16" fillId="0" borderId="0" applyFont="0" applyFill="0" applyBorder="0" applyAlignment="0" applyProtection="0"/>
    <xf numFmtId="165" fontId="14" fillId="0" borderId="0" applyFont="0" applyFill="0" applyBorder="0" applyAlignment="0" applyProtection="0"/>
    <xf numFmtId="164" fontId="11" fillId="0" borderId="0" applyFont="0" applyFill="0" applyBorder="0" applyAlignment="0" applyProtection="0"/>
    <xf numFmtId="164" fontId="14" fillId="0" borderId="0" applyFont="0" applyFill="0" applyBorder="0" applyAlignment="0" applyProtection="0"/>
    <xf numFmtId="171" fontId="52" fillId="0" borderId="0" applyNumberFormat="0" applyFill="0" applyBorder="0" applyAlignment="0" applyProtection="0"/>
    <xf numFmtId="171" fontId="52" fillId="0" borderId="0" applyNumberFormat="0" applyFill="0" applyBorder="0" applyAlignment="0" applyProtection="0"/>
    <xf numFmtId="0" fontId="52" fillId="0" borderId="0" applyNumberFormat="0" applyFill="0" applyBorder="0" applyAlignment="0" applyProtection="0"/>
    <xf numFmtId="171" fontId="53" fillId="16" borderId="0" applyNumberFormat="0" applyBorder="0" applyAlignment="0" applyProtection="0"/>
    <xf numFmtId="171" fontId="53" fillId="16" borderId="0" applyNumberFormat="0" applyBorder="0" applyAlignment="0" applyProtection="0"/>
    <xf numFmtId="0" fontId="53" fillId="16" borderId="0" applyNumberFormat="0" applyBorder="0" applyAlignment="0" applyProtection="0"/>
    <xf numFmtId="171" fontId="54" fillId="0" borderId="47" applyNumberFormat="0" applyFill="0" applyAlignment="0" applyProtection="0"/>
    <xf numFmtId="171" fontId="54" fillId="0" borderId="47" applyNumberFormat="0" applyFill="0" applyAlignment="0" applyProtection="0"/>
    <xf numFmtId="0" fontId="54" fillId="0" borderId="47" applyNumberFormat="0" applyFill="0" applyAlignment="0" applyProtection="0"/>
    <xf numFmtId="171" fontId="55" fillId="0" borderId="48" applyNumberFormat="0" applyFill="0" applyAlignment="0" applyProtection="0"/>
    <xf numFmtId="171" fontId="55" fillId="0" borderId="48" applyNumberFormat="0" applyFill="0" applyAlignment="0" applyProtection="0"/>
    <xf numFmtId="0" fontId="55" fillId="0" borderId="48" applyNumberFormat="0" applyFill="0" applyAlignment="0" applyProtection="0"/>
    <xf numFmtId="171" fontId="56" fillId="0" borderId="49" applyNumberFormat="0" applyFill="0" applyAlignment="0" applyProtection="0"/>
    <xf numFmtId="171" fontId="56" fillId="0" borderId="49" applyNumberFormat="0" applyFill="0" applyAlignment="0" applyProtection="0"/>
    <xf numFmtId="0" fontId="56" fillId="0" borderId="49" applyNumberFormat="0" applyFill="0" applyAlignment="0" applyProtection="0"/>
    <xf numFmtId="171" fontId="56" fillId="0" borderId="0" applyNumberFormat="0" applyFill="0" applyBorder="0" applyAlignment="0" applyProtection="0"/>
    <xf numFmtId="171" fontId="56" fillId="0" borderId="0" applyNumberFormat="0" applyFill="0" applyBorder="0" applyAlignment="0" applyProtection="0"/>
    <xf numFmtId="0" fontId="56" fillId="0" borderId="0" applyNumberFormat="0" applyFill="0" applyBorder="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0"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7" fillId="19" borderId="45" applyNumberFormat="0" applyAlignment="0" applyProtection="0"/>
    <xf numFmtId="171" fontId="58" fillId="0" borderId="50" applyNumberFormat="0" applyFill="0" applyAlignment="0" applyProtection="0"/>
    <xf numFmtId="171" fontId="58" fillId="0" borderId="50" applyNumberFormat="0" applyFill="0" applyAlignment="0" applyProtection="0"/>
    <xf numFmtId="0" fontId="58" fillId="0" borderId="50" applyNumberFormat="0" applyFill="0" applyAlignment="0" applyProtection="0"/>
    <xf numFmtId="171" fontId="59" fillId="34" borderId="0" applyNumberFormat="0" applyBorder="0" applyAlignment="0" applyProtection="0"/>
    <xf numFmtId="171" fontId="59" fillId="34" borderId="0" applyNumberFormat="0" applyBorder="0" applyAlignment="0" applyProtection="0"/>
    <xf numFmtId="0" fontId="59" fillId="34" borderId="0" applyNumberFormat="0" applyBorder="0" applyAlignment="0" applyProtection="0"/>
    <xf numFmtId="171" fontId="14" fillId="0" borderId="0"/>
    <xf numFmtId="0" fontId="14" fillId="0" borderId="0"/>
    <xf numFmtId="0" fontId="14" fillId="0" borderId="0"/>
    <xf numFmtId="171" fontId="60" fillId="0" borderId="0"/>
    <xf numFmtId="0" fontId="6" fillId="0" borderId="0"/>
    <xf numFmtId="0" fontId="14" fillId="0" borderId="0"/>
    <xf numFmtId="171" fontId="6" fillId="0" borderId="0"/>
    <xf numFmtId="0" fontId="14" fillId="0" borderId="0"/>
    <xf numFmtId="0" fontId="14" fillId="0" borderId="0"/>
    <xf numFmtId="171" fontId="11" fillId="0" borderId="0"/>
    <xf numFmtId="0" fontId="11" fillId="0" borderId="0"/>
    <xf numFmtId="171" fontId="14" fillId="0" borderId="0"/>
    <xf numFmtId="0" fontId="14" fillId="0" borderId="0"/>
    <xf numFmtId="0" fontId="6" fillId="0" borderId="0"/>
    <xf numFmtId="171" fontId="6" fillId="0" borderId="0"/>
    <xf numFmtId="0" fontId="14" fillId="0" borderId="0"/>
    <xf numFmtId="171" fontId="60" fillId="0" borderId="0"/>
    <xf numFmtId="171" fontId="14" fillId="0" borderId="0"/>
    <xf numFmtId="0" fontId="6" fillId="0" borderId="0"/>
    <xf numFmtId="0" fontId="14" fillId="0" borderId="0"/>
    <xf numFmtId="171" fontId="42" fillId="0" borderId="0"/>
    <xf numFmtId="0" fontId="42" fillId="0" borderId="0"/>
    <xf numFmtId="171" fontId="60" fillId="0" borderId="0"/>
    <xf numFmtId="171" fontId="6" fillId="0" borderId="0"/>
    <xf numFmtId="171" fontId="6" fillId="0" borderId="0"/>
    <xf numFmtId="171" fontId="6" fillId="0" borderId="0"/>
    <xf numFmtId="171"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171" fontId="6" fillId="0" borderId="0"/>
    <xf numFmtId="0" fontId="6" fillId="0" borderId="0"/>
    <xf numFmtId="171" fontId="61" fillId="0" borderId="0"/>
    <xf numFmtId="171" fontId="14" fillId="0" borderId="0"/>
    <xf numFmtId="0" fontId="14" fillId="0" borderId="0"/>
    <xf numFmtId="171" fontId="14" fillId="0" borderId="0"/>
    <xf numFmtId="0" fontId="14" fillId="0" borderId="0"/>
    <xf numFmtId="0" fontId="6" fillId="0" borderId="0"/>
    <xf numFmtId="0" fontId="14" fillId="0" borderId="0"/>
    <xf numFmtId="171" fontId="61" fillId="0" borderId="0"/>
    <xf numFmtId="171" fontId="6" fillId="0" borderId="0"/>
    <xf numFmtId="0" fontId="6" fillId="0" borderId="0"/>
    <xf numFmtId="171" fontId="61" fillId="0" borderId="0"/>
    <xf numFmtId="171" fontId="14" fillId="0" borderId="0"/>
    <xf numFmtId="0" fontId="14" fillId="0" borderId="0"/>
    <xf numFmtId="171" fontId="14" fillId="0" borderId="0"/>
    <xf numFmtId="171" fontId="14" fillId="0" borderId="0"/>
    <xf numFmtId="171" fontId="14" fillId="0" borderId="0"/>
    <xf numFmtId="171" fontId="14" fillId="0" borderId="0"/>
    <xf numFmtId="171" fontId="60" fillId="0" borderId="0"/>
    <xf numFmtId="171" fontId="11" fillId="0" borderId="0"/>
    <xf numFmtId="0" fontId="11" fillId="0" borderId="0"/>
    <xf numFmtId="0" fontId="11" fillId="0" borderId="0"/>
    <xf numFmtId="171" fontId="16" fillId="0" borderId="0"/>
    <xf numFmtId="171" fontId="11" fillId="0" borderId="0"/>
    <xf numFmtId="0" fontId="11" fillId="0" borderId="0"/>
    <xf numFmtId="0" fontId="11" fillId="0" borderId="0"/>
    <xf numFmtId="171" fontId="16" fillId="0" borderId="0"/>
    <xf numFmtId="171" fontId="14" fillId="0" borderId="0"/>
    <xf numFmtId="0" fontId="14" fillId="0" borderId="0"/>
    <xf numFmtId="0" fontId="14" fillId="0" borderId="0"/>
    <xf numFmtId="171" fontId="14" fillId="0" borderId="0"/>
    <xf numFmtId="171" fontId="14" fillId="0" borderId="0"/>
    <xf numFmtId="171" fontId="14" fillId="0" borderId="0"/>
    <xf numFmtId="171" fontId="14" fillId="0" borderId="0"/>
    <xf numFmtId="171" fontId="60" fillId="0" borderId="0"/>
    <xf numFmtId="171" fontId="6" fillId="0" borderId="0"/>
    <xf numFmtId="0" fontId="6" fillId="0" borderId="0"/>
    <xf numFmtId="171" fontId="11" fillId="0" borderId="0"/>
    <xf numFmtId="0" fontId="11" fillId="0" borderId="0"/>
    <xf numFmtId="0" fontId="11" fillId="0" borderId="0"/>
    <xf numFmtId="171" fontId="16" fillId="0" borderId="0"/>
    <xf numFmtId="171" fontId="11" fillId="0" borderId="0"/>
    <xf numFmtId="0" fontId="11" fillId="0" borderId="0"/>
    <xf numFmtId="0" fontId="11" fillId="0" borderId="0"/>
    <xf numFmtId="171" fontId="16" fillId="0" borderId="0"/>
    <xf numFmtId="171" fontId="11" fillId="0" borderId="0"/>
    <xf numFmtId="0" fontId="11" fillId="0" borderId="0"/>
    <xf numFmtId="0" fontId="11" fillId="0" borderId="0"/>
    <xf numFmtId="171" fontId="16" fillId="0" borderId="0"/>
    <xf numFmtId="0" fontId="11" fillId="0" borderId="0"/>
    <xf numFmtId="0" fontId="11" fillId="0" borderId="0"/>
    <xf numFmtId="171" fontId="16" fillId="0" borderId="0"/>
    <xf numFmtId="171" fontId="11" fillId="0" borderId="0"/>
    <xf numFmtId="0" fontId="11" fillId="0" borderId="0"/>
    <xf numFmtId="0" fontId="11" fillId="0" borderId="0"/>
    <xf numFmtId="171" fontId="16" fillId="0" borderId="0"/>
    <xf numFmtId="171" fontId="11" fillId="0" borderId="0"/>
    <xf numFmtId="0" fontId="11" fillId="0" borderId="0"/>
    <xf numFmtId="0" fontId="11" fillId="0" borderId="0"/>
    <xf numFmtId="171" fontId="16" fillId="0" borderId="0"/>
    <xf numFmtId="171" fontId="11" fillId="0" borderId="0"/>
    <xf numFmtId="0" fontId="11" fillId="0" borderId="0"/>
    <xf numFmtId="0" fontId="11" fillId="0" borderId="0"/>
    <xf numFmtId="171" fontId="16" fillId="0" borderId="0"/>
    <xf numFmtId="171" fontId="11" fillId="0" borderId="0"/>
    <xf numFmtId="0" fontId="11" fillId="0" borderId="0"/>
    <xf numFmtId="0" fontId="11" fillId="0" borderId="0"/>
    <xf numFmtId="171" fontId="16" fillId="0" borderId="0"/>
    <xf numFmtId="171" fontId="6" fillId="0" borderId="0"/>
    <xf numFmtId="0" fontId="6" fillId="0" borderId="0"/>
    <xf numFmtId="171" fontId="61" fillId="0" borderId="0"/>
    <xf numFmtId="171" fontId="6" fillId="0" borderId="0"/>
    <xf numFmtId="0" fontId="6" fillId="0" borderId="0"/>
    <xf numFmtId="171" fontId="61" fillId="0" borderId="0"/>
    <xf numFmtId="171" fontId="11" fillId="0" borderId="0"/>
    <xf numFmtId="0" fontId="11" fillId="0" borderId="0"/>
    <xf numFmtId="0" fontId="11" fillId="0" borderId="0"/>
    <xf numFmtId="171" fontId="16" fillId="0" borderId="0"/>
    <xf numFmtId="171" fontId="11" fillId="0" borderId="0"/>
    <xf numFmtId="0" fontId="11" fillId="0" borderId="0"/>
    <xf numFmtId="0" fontId="11" fillId="0" borderId="0"/>
    <xf numFmtId="171" fontId="16" fillId="0" borderId="0"/>
    <xf numFmtId="171" fontId="11" fillId="0" borderId="0"/>
    <xf numFmtId="0" fontId="11" fillId="0" borderId="0"/>
    <xf numFmtId="0" fontId="11" fillId="0" borderId="0"/>
    <xf numFmtId="171" fontId="16" fillId="0" borderId="0"/>
    <xf numFmtId="171" fontId="11" fillId="0" borderId="0"/>
    <xf numFmtId="0" fontId="11" fillId="0" borderId="0"/>
    <xf numFmtId="0" fontId="11" fillId="0" borderId="0"/>
    <xf numFmtId="171" fontId="16" fillId="0" borderId="0"/>
    <xf numFmtId="171" fontId="11" fillId="0" borderId="0"/>
    <xf numFmtId="0" fontId="11" fillId="0" borderId="0"/>
    <xf numFmtId="0" fontId="11" fillId="0" borderId="0"/>
    <xf numFmtId="171" fontId="16" fillId="0" borderId="0"/>
    <xf numFmtId="171" fontId="11" fillId="0" borderId="0"/>
    <xf numFmtId="0" fontId="11" fillId="0" borderId="0"/>
    <xf numFmtId="0" fontId="11" fillId="0" borderId="0"/>
    <xf numFmtId="171" fontId="16" fillId="0" borderId="0"/>
    <xf numFmtId="171" fontId="6" fillId="0" borderId="0"/>
    <xf numFmtId="171" fontId="11" fillId="0" borderId="0"/>
    <xf numFmtId="0" fontId="11" fillId="0" borderId="0"/>
    <xf numFmtId="171" fontId="61" fillId="0" borderId="0"/>
    <xf numFmtId="0" fontId="6" fillId="0" borderId="0"/>
    <xf numFmtId="171" fontId="6" fillId="0" borderId="0"/>
    <xf numFmtId="171" fontId="6" fillId="0" borderId="0"/>
    <xf numFmtId="171" fontId="61" fillId="0" borderId="0"/>
    <xf numFmtId="0" fontId="11" fillId="0" borderId="0"/>
    <xf numFmtId="171" fontId="11" fillId="0" borderId="0"/>
    <xf numFmtId="171" fontId="11" fillId="0" borderId="0"/>
    <xf numFmtId="171" fontId="11" fillId="0" borderId="0"/>
    <xf numFmtId="0" fontId="14" fillId="0" borderId="0"/>
    <xf numFmtId="0" fontId="14" fillId="0" borderId="0"/>
    <xf numFmtId="171" fontId="6" fillId="0" borderId="0"/>
    <xf numFmtId="0" fontId="6" fillId="0" borderId="0"/>
    <xf numFmtId="171" fontId="61" fillId="0" borderId="0"/>
    <xf numFmtId="171" fontId="14" fillId="0" borderId="0"/>
    <xf numFmtId="0" fontId="14" fillId="0" borderId="0"/>
    <xf numFmtId="0" fontId="14" fillId="0" borderId="0"/>
    <xf numFmtId="171" fontId="14" fillId="0" borderId="0"/>
    <xf numFmtId="171" fontId="14" fillId="0" borderId="0"/>
    <xf numFmtId="171" fontId="14" fillId="0" borderId="0"/>
    <xf numFmtId="171" fontId="14" fillId="0" borderId="0"/>
    <xf numFmtId="0" fontId="14" fillId="0" borderId="0"/>
    <xf numFmtId="171" fontId="60" fillId="0" borderId="0"/>
    <xf numFmtId="171" fontId="14" fillId="0" borderId="0"/>
    <xf numFmtId="0" fontId="14" fillId="0" borderId="0"/>
    <xf numFmtId="171" fontId="60" fillId="0" borderId="0"/>
    <xf numFmtId="171" fontId="6" fillId="0" borderId="0"/>
    <xf numFmtId="0" fontId="6" fillId="0" borderId="0"/>
    <xf numFmtId="171" fontId="61" fillId="0" borderId="0"/>
    <xf numFmtId="0" fontId="14" fillId="0" borderId="0"/>
    <xf numFmtId="0" fontId="14" fillId="0" borderId="0"/>
    <xf numFmtId="171" fontId="14" fillId="0" borderId="0"/>
    <xf numFmtId="171" fontId="14" fillId="0" borderId="0"/>
    <xf numFmtId="171" fontId="14" fillId="0" borderId="0"/>
    <xf numFmtId="171" fontId="14" fillId="0" borderId="0"/>
    <xf numFmtId="0" fontId="14" fillId="0" borderId="0"/>
    <xf numFmtId="171" fontId="60" fillId="0" borderId="0"/>
    <xf numFmtId="171" fontId="6" fillId="0" borderId="0"/>
    <xf numFmtId="0" fontId="6" fillId="0" borderId="0"/>
    <xf numFmtId="171" fontId="61" fillId="0" borderId="0"/>
    <xf numFmtId="171" fontId="6" fillId="0" borderId="0"/>
    <xf numFmtId="0" fontId="6" fillId="0" borderId="0"/>
    <xf numFmtId="171" fontId="61" fillId="0" borderId="0"/>
    <xf numFmtId="171" fontId="6" fillId="0" borderId="0"/>
    <xf numFmtId="0" fontId="6" fillId="0" borderId="0"/>
    <xf numFmtId="171" fontId="61" fillId="0" borderId="0"/>
    <xf numFmtId="171" fontId="6" fillId="0" borderId="0"/>
    <xf numFmtId="0" fontId="6" fillId="0" borderId="0"/>
    <xf numFmtId="171" fontId="61" fillId="0" borderId="0"/>
    <xf numFmtId="171" fontId="6" fillId="0" borderId="0"/>
    <xf numFmtId="0" fontId="6" fillId="0" borderId="0"/>
    <xf numFmtId="171" fontId="61" fillId="0" borderId="0"/>
    <xf numFmtId="171" fontId="6" fillId="0" borderId="0"/>
    <xf numFmtId="0" fontId="6" fillId="0" borderId="0"/>
    <xf numFmtId="171" fontId="61" fillId="0" borderId="0"/>
    <xf numFmtId="171" fontId="11" fillId="0" borderId="0"/>
    <xf numFmtId="0" fontId="11" fillId="0" borderId="0"/>
    <xf numFmtId="0" fontId="11" fillId="0" borderId="0"/>
    <xf numFmtId="171" fontId="16" fillId="0" borderId="0"/>
    <xf numFmtId="171" fontId="11" fillId="0" borderId="0"/>
    <xf numFmtId="0" fontId="11" fillId="0" borderId="0"/>
    <xf numFmtId="0" fontId="11" fillId="0" borderId="0"/>
    <xf numFmtId="171" fontId="16" fillId="0" borderId="0"/>
    <xf numFmtId="171" fontId="14" fillId="0" borderId="0"/>
    <xf numFmtId="0" fontId="14" fillId="0" borderId="0"/>
    <xf numFmtId="171" fontId="60" fillId="0" borderId="0"/>
    <xf numFmtId="171" fontId="11" fillId="0" borderId="0"/>
    <xf numFmtId="0" fontId="11" fillId="0" borderId="0"/>
    <xf numFmtId="0" fontId="11" fillId="0" borderId="0"/>
    <xf numFmtId="171" fontId="16" fillId="0" borderId="0"/>
    <xf numFmtId="171" fontId="11" fillId="0" borderId="0"/>
    <xf numFmtId="171" fontId="14" fillId="0" borderId="0"/>
    <xf numFmtId="0" fontId="14" fillId="0" borderId="0"/>
    <xf numFmtId="0" fontId="11" fillId="0" borderId="0"/>
    <xf numFmtId="171" fontId="16" fillId="0" borderId="0"/>
    <xf numFmtId="171" fontId="11" fillId="0" borderId="0"/>
    <xf numFmtId="0" fontId="11" fillId="0" borderId="0"/>
    <xf numFmtId="171" fontId="14" fillId="0" borderId="0"/>
    <xf numFmtId="0" fontId="14" fillId="0" borderId="0"/>
    <xf numFmtId="0" fontId="11" fillId="0" borderId="0"/>
    <xf numFmtId="171" fontId="16" fillId="0" borderId="0"/>
    <xf numFmtId="171" fontId="11" fillId="0" borderId="0"/>
    <xf numFmtId="0" fontId="11" fillId="0" borderId="0"/>
    <xf numFmtId="0" fontId="11" fillId="0" borderId="0"/>
    <xf numFmtId="171" fontId="16" fillId="0" borderId="0"/>
    <xf numFmtId="171" fontId="11" fillId="0" borderId="0"/>
    <xf numFmtId="0" fontId="11" fillId="0" borderId="0"/>
    <xf numFmtId="0" fontId="11" fillId="0" borderId="0"/>
    <xf numFmtId="171" fontId="16" fillId="0" borderId="0"/>
    <xf numFmtId="171" fontId="8" fillId="0" borderId="0"/>
    <xf numFmtId="171" fontId="8" fillId="0" borderId="0"/>
    <xf numFmtId="171" fontId="8" fillId="0" borderId="0"/>
    <xf numFmtId="171" fontId="8" fillId="0" borderId="0"/>
    <xf numFmtId="171" fontId="8" fillId="0" borderId="0"/>
    <xf numFmtId="0" fontId="8" fillId="0" borderId="0"/>
    <xf numFmtId="0" fontId="8" fillId="0" borderId="0"/>
    <xf numFmtId="0" fontId="8" fillId="0" borderId="0"/>
    <xf numFmtId="0" fontId="8" fillId="0" borderId="0"/>
    <xf numFmtId="0" fontId="8" fillId="0" borderId="0"/>
    <xf numFmtId="171" fontId="8" fillId="0" borderId="0"/>
    <xf numFmtId="171" fontId="8" fillId="0" borderId="0"/>
    <xf numFmtId="171" fontId="8" fillId="0" borderId="0"/>
    <xf numFmtId="171" fontId="8" fillId="0" borderId="0"/>
    <xf numFmtId="171" fontId="8" fillId="0" borderId="0"/>
    <xf numFmtId="171"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171" fontId="8" fillId="0" borderId="0"/>
    <xf numFmtId="171" fontId="8" fillId="0" borderId="0"/>
    <xf numFmtId="171" fontId="8" fillId="0" borderId="0"/>
    <xf numFmtId="171" fontId="8" fillId="0" borderId="0"/>
    <xf numFmtId="171" fontId="8" fillId="0" borderId="0"/>
    <xf numFmtId="171" fontId="8" fillId="0" borderId="0"/>
    <xf numFmtId="171" fontId="8" fillId="0" borderId="0"/>
    <xf numFmtId="171" fontId="16" fillId="0" borderId="0"/>
    <xf numFmtId="171" fontId="8" fillId="0" borderId="0"/>
    <xf numFmtId="171" fontId="8" fillId="0" borderId="0"/>
    <xf numFmtId="0" fontId="8" fillId="0" borderId="0"/>
    <xf numFmtId="0" fontId="8" fillId="0" borderId="0"/>
    <xf numFmtId="0" fontId="8" fillId="0" borderId="0"/>
    <xf numFmtId="0" fontId="8" fillId="0" borderId="0"/>
    <xf numFmtId="0" fontId="8" fillId="0" borderId="0"/>
    <xf numFmtId="171" fontId="8" fillId="0" borderId="0"/>
    <xf numFmtId="171" fontId="8" fillId="0" borderId="0"/>
    <xf numFmtId="171" fontId="8" fillId="0" borderId="0"/>
    <xf numFmtId="171" fontId="8" fillId="0" borderId="0"/>
    <xf numFmtId="171" fontId="8" fillId="0" borderId="0"/>
    <xf numFmtId="171" fontId="8" fillId="0" borderId="0"/>
    <xf numFmtId="171" fontId="8" fillId="0" borderId="0"/>
    <xf numFmtId="0" fontId="8" fillId="0" borderId="0"/>
    <xf numFmtId="0" fontId="8" fillId="0" borderId="0"/>
    <xf numFmtId="0" fontId="8" fillId="0" borderId="0"/>
    <xf numFmtId="0" fontId="8" fillId="0" borderId="0"/>
    <xf numFmtId="0" fontId="8" fillId="0" borderId="0"/>
    <xf numFmtId="171" fontId="8" fillId="0" borderId="0"/>
    <xf numFmtId="171" fontId="8" fillId="0" borderId="0"/>
    <xf numFmtId="171" fontId="8" fillId="0" borderId="0"/>
    <xf numFmtId="171" fontId="8" fillId="0" borderId="0"/>
    <xf numFmtId="171" fontId="8" fillId="0" borderId="0"/>
    <xf numFmtId="171" fontId="8" fillId="0" borderId="0"/>
    <xf numFmtId="171" fontId="8" fillId="0" borderId="0"/>
    <xf numFmtId="171" fontId="16" fillId="0" borderId="0"/>
    <xf numFmtId="171" fontId="8" fillId="0" borderId="0"/>
    <xf numFmtId="0" fontId="8" fillId="0" borderId="0"/>
    <xf numFmtId="0" fontId="8" fillId="0" borderId="0"/>
    <xf numFmtId="0" fontId="8" fillId="0" borderId="0"/>
    <xf numFmtId="0" fontId="8" fillId="0" borderId="0"/>
    <xf numFmtId="0" fontId="8" fillId="0" borderId="0"/>
    <xf numFmtId="171" fontId="8" fillId="0" borderId="0"/>
    <xf numFmtId="171" fontId="8" fillId="0" borderId="0"/>
    <xf numFmtId="171" fontId="8" fillId="0" borderId="0"/>
    <xf numFmtId="171" fontId="8" fillId="0" borderId="0"/>
    <xf numFmtId="171" fontId="8" fillId="0" borderId="0"/>
    <xf numFmtId="171"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171" fontId="8" fillId="0" borderId="0"/>
    <xf numFmtId="171" fontId="8" fillId="0" borderId="0"/>
    <xf numFmtId="171" fontId="8" fillId="0" borderId="0"/>
    <xf numFmtId="171" fontId="8" fillId="0" borderId="0"/>
    <xf numFmtId="171" fontId="8" fillId="0" borderId="0"/>
    <xf numFmtId="171" fontId="8" fillId="0" borderId="0"/>
    <xf numFmtId="171" fontId="16" fillId="0" borderId="0"/>
    <xf numFmtId="171" fontId="8" fillId="0" borderId="0"/>
    <xf numFmtId="171" fontId="8" fillId="0" borderId="0"/>
    <xf numFmtId="0" fontId="8" fillId="0" borderId="0"/>
    <xf numFmtId="0" fontId="8" fillId="0" borderId="0"/>
    <xf numFmtId="0" fontId="8" fillId="0" borderId="0"/>
    <xf numFmtId="0" fontId="8" fillId="0" borderId="0"/>
    <xf numFmtId="0" fontId="8" fillId="0" borderId="0"/>
    <xf numFmtId="171" fontId="8" fillId="0" borderId="0"/>
    <xf numFmtId="171" fontId="8" fillId="0" borderId="0"/>
    <xf numFmtId="171" fontId="8" fillId="0" borderId="0"/>
    <xf numFmtId="171" fontId="8" fillId="0" borderId="0"/>
    <xf numFmtId="171" fontId="8" fillId="0" borderId="0"/>
    <xf numFmtId="171"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171" fontId="8" fillId="0" borderId="0"/>
    <xf numFmtId="171" fontId="8" fillId="0" borderId="0"/>
    <xf numFmtId="171" fontId="8" fillId="0" borderId="0"/>
    <xf numFmtId="171" fontId="8" fillId="0" borderId="0"/>
    <xf numFmtId="171" fontId="8" fillId="0" borderId="0"/>
    <xf numFmtId="171" fontId="8" fillId="0" borderId="0"/>
    <xf numFmtId="171" fontId="8" fillId="0" borderId="0"/>
    <xf numFmtId="171" fontId="16" fillId="0" borderId="0"/>
    <xf numFmtId="171" fontId="8" fillId="0" borderId="0"/>
    <xf numFmtId="171" fontId="8" fillId="0" borderId="0"/>
    <xf numFmtId="0" fontId="8" fillId="0" borderId="0"/>
    <xf numFmtId="0" fontId="8" fillId="0" borderId="0"/>
    <xf numFmtId="0" fontId="8" fillId="0" borderId="0"/>
    <xf numFmtId="0" fontId="8" fillId="0" borderId="0"/>
    <xf numFmtId="0" fontId="8" fillId="0" borderId="0"/>
    <xf numFmtId="171" fontId="8" fillId="0" borderId="0"/>
    <xf numFmtId="171" fontId="8" fillId="0" borderId="0"/>
    <xf numFmtId="171" fontId="8" fillId="0" borderId="0"/>
    <xf numFmtId="171" fontId="8" fillId="0" borderId="0"/>
    <xf numFmtId="171" fontId="8" fillId="0" borderId="0"/>
    <xf numFmtId="171" fontId="8" fillId="0" borderId="0"/>
    <xf numFmtId="171" fontId="8" fillId="0" borderId="0"/>
    <xf numFmtId="0" fontId="8" fillId="0" borderId="0"/>
    <xf numFmtId="0" fontId="8" fillId="0" borderId="0"/>
    <xf numFmtId="0" fontId="8" fillId="0" borderId="0"/>
    <xf numFmtId="0" fontId="8" fillId="0" borderId="0"/>
    <xf numFmtId="0" fontId="8" fillId="0" borderId="0"/>
    <xf numFmtId="171" fontId="8" fillId="0" borderId="0"/>
    <xf numFmtId="171" fontId="8" fillId="0" borderId="0"/>
    <xf numFmtId="171" fontId="8" fillId="0" borderId="0"/>
    <xf numFmtId="171" fontId="8" fillId="0" borderId="0"/>
    <xf numFmtId="171" fontId="8" fillId="0" borderId="0"/>
    <xf numFmtId="171" fontId="8" fillId="0" borderId="0"/>
    <xf numFmtId="171" fontId="8" fillId="0" borderId="0"/>
    <xf numFmtId="171" fontId="16" fillId="0" borderId="0"/>
    <xf numFmtId="171" fontId="8" fillId="0" borderId="0"/>
    <xf numFmtId="0" fontId="8" fillId="0" borderId="0"/>
    <xf numFmtId="0" fontId="8" fillId="0" borderId="0"/>
    <xf numFmtId="0" fontId="8" fillId="0" borderId="0"/>
    <xf numFmtId="0" fontId="8" fillId="0" borderId="0"/>
    <xf numFmtId="0" fontId="8" fillId="0" borderId="0"/>
    <xf numFmtId="171" fontId="8" fillId="0" borderId="0"/>
    <xf numFmtId="171" fontId="8" fillId="0" borderId="0"/>
    <xf numFmtId="171" fontId="8" fillId="0" borderId="0"/>
    <xf numFmtId="171" fontId="8" fillId="0" borderId="0"/>
    <xf numFmtId="171" fontId="8" fillId="0" borderId="0"/>
    <xf numFmtId="171"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171" fontId="8" fillId="0" borderId="0"/>
    <xf numFmtId="171" fontId="8" fillId="0" borderId="0"/>
    <xf numFmtId="171" fontId="8" fillId="0" borderId="0"/>
    <xf numFmtId="171" fontId="8" fillId="0" borderId="0"/>
    <xf numFmtId="171" fontId="8" fillId="0" borderId="0"/>
    <xf numFmtId="171" fontId="16" fillId="0" borderId="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60"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60"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0"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14" fillId="35" borderId="51" applyNumberFormat="0" applyFont="0" applyAlignment="0" applyProtection="0"/>
    <xf numFmtId="171" fontId="60" fillId="35" borderId="51" applyNumberFormat="0" applyFon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0"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0" fontId="62" fillId="32" borderId="52" applyNumberFormat="0" applyAlignment="0" applyProtection="0"/>
    <xf numFmtId="171" fontId="62" fillId="32" borderId="52" applyNumberFormat="0" applyAlignment="0" applyProtection="0"/>
    <xf numFmtId="171" fontId="62" fillId="32" borderId="52" applyNumberFormat="0" applyAlignment="0" applyProtection="0"/>
    <xf numFmtId="9" fontId="14"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71" fontId="63" fillId="0" borderId="0" applyNumberFormat="0" applyFill="0" applyBorder="0" applyAlignment="0" applyProtection="0"/>
    <xf numFmtId="171" fontId="63" fillId="0" borderId="0" applyNumberFormat="0" applyFill="0" applyBorder="0" applyAlignment="0" applyProtection="0"/>
    <xf numFmtId="0" fontId="63" fillId="0" borderId="0" applyNumberFormat="0" applyFill="0" applyBorder="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0"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4" fillId="0" borderId="53" applyNumberFormat="0" applyFill="0" applyAlignment="0" applyProtection="0"/>
    <xf numFmtId="171" fontId="65" fillId="0" borderId="0" applyNumberFormat="0" applyFill="0" applyBorder="0" applyAlignment="0" applyProtection="0"/>
    <xf numFmtId="171" fontId="65" fillId="0" borderId="0" applyNumberFormat="0" applyFill="0" applyBorder="0" applyAlignment="0" applyProtection="0"/>
    <xf numFmtId="171" fontId="24" fillId="0" borderId="0" applyNumberFormat="0" applyFill="0" applyBorder="0" applyAlignment="0" applyProtection="0"/>
    <xf numFmtId="0" fontId="24" fillId="0" borderId="0" applyNumberFormat="0" applyFill="0" applyBorder="0" applyAlignment="0" applyProtection="0"/>
    <xf numFmtId="0" fontId="65" fillId="0" borderId="0" applyNumberFormat="0" applyFill="0" applyBorder="0" applyAlignment="0" applyProtection="0"/>
    <xf numFmtId="171" fontId="5" fillId="0" borderId="0"/>
    <xf numFmtId="171"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165" fontId="66" fillId="0" borderId="0" applyFont="0" applyFill="0" applyBorder="0" applyAlignment="0" applyProtection="0"/>
    <xf numFmtId="171" fontId="1" fillId="0" borderId="0"/>
    <xf numFmtId="171"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455">
    <xf numFmtId="0" fontId="0" fillId="0" borderId="0" xfId="0"/>
    <xf numFmtId="0" fontId="12" fillId="0" borderId="0" xfId="0" applyFont="1"/>
    <xf numFmtId="3" fontId="12" fillId="4" borderId="5" xfId="0" applyNumberFormat="1" applyFont="1" applyFill="1" applyBorder="1" applyAlignment="1">
      <alignment horizontal="center" vertical="center" wrapText="1"/>
    </xf>
    <xf numFmtId="0" fontId="15" fillId="8" borderId="27" xfId="0" applyFont="1" applyFill="1" applyBorder="1" applyAlignment="1">
      <alignment horizontal="center" readingOrder="2"/>
    </xf>
    <xf numFmtId="0" fontId="15" fillId="8" borderId="28" xfId="0" applyFont="1" applyFill="1" applyBorder="1" applyAlignment="1">
      <alignment horizontal="center" readingOrder="2"/>
    </xf>
    <xf numFmtId="0" fontId="15" fillId="8" borderId="1" xfId="0" applyFont="1" applyFill="1" applyBorder="1" applyAlignment="1">
      <alignment horizontal="center" wrapText="1"/>
    </xf>
    <xf numFmtId="0" fontId="15" fillId="8" borderId="2" xfId="0" applyFont="1" applyFill="1" applyBorder="1" applyAlignment="1">
      <alignment horizontal="center" wrapText="1"/>
    </xf>
    <xf numFmtId="0" fontId="15" fillId="8" borderId="2" xfId="0" applyFont="1" applyFill="1" applyBorder="1" applyAlignment="1">
      <alignment horizontal="center"/>
    </xf>
    <xf numFmtId="0" fontId="15" fillId="8" borderId="26" xfId="0" applyFont="1" applyFill="1" applyBorder="1" applyAlignment="1">
      <alignment horizontal="center" wrapText="1"/>
    </xf>
    <xf numFmtId="0" fontId="0" fillId="0" borderId="0" xfId="0" applyAlignment="1">
      <alignment wrapText="1"/>
    </xf>
    <xf numFmtId="1" fontId="0" fillId="0" borderId="0" xfId="0" applyNumberFormat="1" applyAlignment="1">
      <alignment wrapText="1"/>
    </xf>
    <xf numFmtId="168" fontId="0" fillId="0" borderId="0" xfId="2" applyNumberFormat="1" applyFont="1" applyAlignment="1">
      <alignment wrapText="1"/>
    </xf>
    <xf numFmtId="0" fontId="0" fillId="0" borderId="0" xfId="0" applyAlignment="1">
      <alignment horizontal="center" wrapText="1"/>
    </xf>
    <xf numFmtId="0" fontId="0" fillId="0" borderId="0" xfId="0" applyAlignment="1">
      <alignment horizontal="right" wrapText="1"/>
    </xf>
    <xf numFmtId="0" fontId="0" fillId="0" borderId="0" xfId="0" applyAlignment="1">
      <alignment horizontal="right"/>
    </xf>
    <xf numFmtId="0" fontId="0" fillId="0" borderId="0" xfId="0" applyProtection="1"/>
    <xf numFmtId="0" fontId="15" fillId="8" borderId="27" xfId="0" applyFont="1" applyFill="1" applyBorder="1" applyAlignment="1" applyProtection="1">
      <alignment horizontal="center" readingOrder="2"/>
    </xf>
    <xf numFmtId="0" fontId="15" fillId="8" borderId="2" xfId="0" applyFont="1" applyFill="1" applyBorder="1" applyAlignment="1" applyProtection="1">
      <alignment horizontal="center" wrapText="1"/>
    </xf>
    <xf numFmtId="0" fontId="15" fillId="0" borderId="0" xfId="0" applyFont="1" applyAlignment="1">
      <alignment wrapText="1"/>
    </xf>
    <xf numFmtId="0" fontId="15" fillId="8" borderId="1"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5" fillId="8" borderId="3" xfId="0" applyFont="1" applyFill="1" applyBorder="1" applyAlignment="1">
      <alignment horizontal="center" vertical="center" wrapText="1"/>
    </xf>
    <xf numFmtId="0" fontId="0" fillId="9" borderId="0" xfId="0" applyFill="1" applyAlignment="1">
      <alignment wrapText="1"/>
    </xf>
    <xf numFmtId="0" fontId="15" fillId="8" borderId="0" xfId="0" applyFont="1" applyFill="1" applyBorder="1" applyAlignment="1">
      <alignment horizontal="center" vertical="center" wrapText="1"/>
    </xf>
    <xf numFmtId="0" fontId="22" fillId="0" borderId="0" xfId="8" applyFont="1" applyProtection="1"/>
    <xf numFmtId="0" fontId="27" fillId="7" borderId="30" xfId="8" applyFont="1" applyFill="1" applyBorder="1" applyProtection="1"/>
    <xf numFmtId="17" fontId="27" fillId="10" borderId="30" xfId="8" applyNumberFormat="1" applyFont="1" applyFill="1" applyBorder="1" applyAlignment="1" applyProtection="1">
      <alignment horizontal="center" vertical="center"/>
    </xf>
    <xf numFmtId="0" fontId="27" fillId="0" borderId="0" xfId="8" applyFont="1" applyBorder="1" applyProtection="1"/>
    <xf numFmtId="0" fontId="27" fillId="12" borderId="30" xfId="8" applyFont="1" applyFill="1" applyBorder="1" applyProtection="1"/>
    <xf numFmtId="0" fontId="27" fillId="12" borderId="30" xfId="8" applyFont="1" applyFill="1" applyBorder="1" applyAlignment="1" applyProtection="1">
      <alignment horizontal="center"/>
    </xf>
    <xf numFmtId="0" fontId="27" fillId="8" borderId="30" xfId="8" applyFont="1" applyFill="1" applyBorder="1" applyAlignment="1" applyProtection="1">
      <alignment horizontal="center"/>
    </xf>
    <xf numFmtId="0" fontId="22" fillId="6" borderId="30" xfId="8" applyFont="1" applyFill="1" applyBorder="1" applyAlignment="1" applyProtection="1">
      <alignment horizontal="center" vertical="center"/>
    </xf>
    <xf numFmtId="0" fontId="22" fillId="0" borderId="30" xfId="8" applyFont="1" applyBorder="1" applyAlignment="1" applyProtection="1">
      <alignment horizontal="center" vertical="center"/>
    </xf>
    <xf numFmtId="0" fontId="22" fillId="11" borderId="30" xfId="8" applyFont="1" applyFill="1" applyBorder="1" applyAlignment="1" applyProtection="1">
      <alignment horizontal="center" vertical="center"/>
    </xf>
    <xf numFmtId="0" fontId="22" fillId="0" borderId="38" xfId="8" applyFont="1" applyBorder="1" applyAlignment="1" applyProtection="1">
      <alignment horizontal="center"/>
    </xf>
    <xf numFmtId="0" fontId="22" fillId="0" borderId="38" xfId="8" applyFont="1" applyBorder="1" applyAlignment="1" applyProtection="1">
      <alignment horizontal="right"/>
    </xf>
    <xf numFmtId="0" fontId="30" fillId="0" borderId="0" xfId="8" applyFont="1" applyBorder="1" applyAlignment="1" applyProtection="1">
      <alignment horizontal="center" vertical="center" wrapText="1"/>
    </xf>
    <xf numFmtId="0" fontId="31" fillId="0" borderId="30" xfId="8" applyFont="1" applyBorder="1" applyAlignment="1" applyProtection="1">
      <alignment horizontal="center"/>
    </xf>
    <xf numFmtId="0" fontId="22" fillId="0" borderId="30" xfId="8" applyFont="1" applyBorder="1" applyAlignment="1" applyProtection="1">
      <alignment horizontal="center"/>
    </xf>
    <xf numFmtId="14" fontId="22" fillId="0" borderId="30" xfId="8" applyNumberFormat="1" applyFont="1" applyBorder="1" applyAlignment="1" applyProtection="1">
      <alignment horizontal="center"/>
    </xf>
    <xf numFmtId="14" fontId="22" fillId="0" borderId="0" xfId="8" applyNumberFormat="1" applyFont="1" applyProtection="1"/>
    <xf numFmtId="0" fontId="22" fillId="9" borderId="0" xfId="8" applyFont="1" applyFill="1" applyProtection="1"/>
    <xf numFmtId="0" fontId="22" fillId="0" borderId="0" xfId="8" applyFont="1" applyFill="1" applyProtection="1"/>
    <xf numFmtId="0" fontId="27" fillId="7" borderId="22" xfId="9" applyFont="1" applyFill="1" applyBorder="1" applyAlignment="1" applyProtection="1">
      <alignment horizontal="center" vertical="center" wrapText="1"/>
    </xf>
    <xf numFmtId="1" fontId="32" fillId="6" borderId="13" xfId="8" applyNumberFormat="1" applyFont="1" applyFill="1" applyBorder="1" applyAlignment="1" applyProtection="1">
      <alignment horizontal="center" vertical="center"/>
      <protection locked="0"/>
    </xf>
    <xf numFmtId="0" fontId="27" fillId="7" borderId="16" xfId="9" applyFont="1" applyFill="1" applyBorder="1" applyAlignment="1" applyProtection="1">
      <alignment horizontal="center" vertical="center" wrapText="1"/>
    </xf>
    <xf numFmtId="167" fontId="32" fillId="6" borderId="15" xfId="8" applyNumberFormat="1" applyFont="1" applyFill="1" applyBorder="1" applyAlignment="1" applyProtection="1">
      <alignment horizontal="center" vertical="center"/>
      <protection locked="0"/>
    </xf>
    <xf numFmtId="0" fontId="22" fillId="4" borderId="30" xfId="8" applyFont="1" applyFill="1" applyBorder="1" applyAlignment="1" applyProtection="1">
      <alignment horizontal="center" vertical="center"/>
    </xf>
    <xf numFmtId="167" fontId="12" fillId="4" borderId="6" xfId="0" applyNumberFormat="1" applyFont="1" applyFill="1" applyBorder="1" applyAlignment="1">
      <alignment horizontal="center" vertical="center"/>
    </xf>
    <xf numFmtId="167" fontId="12" fillId="4" borderId="15" xfId="0" applyNumberFormat="1" applyFont="1" applyFill="1" applyBorder="1" applyAlignment="1">
      <alignment horizontal="center" vertical="center"/>
    </xf>
    <xf numFmtId="167" fontId="12" fillId="4" borderId="9" xfId="0" applyNumberFormat="1" applyFont="1" applyFill="1" applyBorder="1" applyAlignment="1">
      <alignment horizontal="center" vertical="center"/>
    </xf>
    <xf numFmtId="168" fontId="0" fillId="0" borderId="0" xfId="2" applyNumberFormat="1" applyFont="1" applyAlignment="1">
      <alignment horizontal="center" wrapText="1"/>
    </xf>
    <xf numFmtId="0" fontId="0" fillId="0" borderId="0" xfId="0" applyAlignment="1">
      <alignment horizontal="center" vertical="center" wrapText="1"/>
    </xf>
    <xf numFmtId="168" fontId="0" fillId="0" borderId="0" xfId="2" applyNumberFormat="1" applyFont="1" applyAlignment="1">
      <alignment horizontal="center" vertical="center" wrapText="1"/>
    </xf>
    <xf numFmtId="1" fontId="0" fillId="4" borderId="7" xfId="0" applyNumberFormat="1" applyFill="1" applyBorder="1" applyAlignment="1">
      <alignment horizontal="center" vertical="center"/>
    </xf>
    <xf numFmtId="1" fontId="0" fillId="4" borderId="8" xfId="0" applyNumberFormat="1" applyFill="1" applyBorder="1" applyAlignment="1">
      <alignment horizontal="center" wrapText="1"/>
    </xf>
    <xf numFmtId="0" fontId="34" fillId="13" borderId="31" xfId="8" applyFont="1" applyFill="1" applyBorder="1" applyAlignment="1" applyProtection="1">
      <alignment horizontal="centerContinuous" wrapText="1"/>
    </xf>
    <xf numFmtId="0" fontId="35" fillId="13" borderId="37" xfId="8" applyFont="1" applyFill="1" applyBorder="1" applyAlignment="1" applyProtection="1">
      <alignment horizontal="centerContinuous"/>
    </xf>
    <xf numFmtId="0" fontId="35" fillId="13" borderId="36" xfId="8" applyFont="1" applyFill="1" applyBorder="1" applyAlignment="1" applyProtection="1">
      <alignment horizontal="centerContinuous"/>
    </xf>
    <xf numFmtId="0" fontId="34" fillId="13" borderId="37" xfId="8" applyFont="1" applyFill="1" applyBorder="1" applyAlignment="1" applyProtection="1">
      <alignment horizontal="centerContinuous" wrapText="1"/>
    </xf>
    <xf numFmtId="0" fontId="0" fillId="0" borderId="0" xfId="0" applyProtection="1">
      <protection locked="0"/>
    </xf>
    <xf numFmtId="0" fontId="0" fillId="0" borderId="0" xfId="0" applyFill="1" applyProtection="1">
      <protection locked="0"/>
    </xf>
    <xf numFmtId="0" fontId="15" fillId="8" borderId="2" xfId="0" applyFont="1" applyFill="1" applyBorder="1" applyAlignment="1" applyProtection="1">
      <alignment horizontal="center" vertical="center" wrapText="1"/>
    </xf>
    <xf numFmtId="0" fontId="15" fillId="8" borderId="2" xfId="0" applyFont="1" applyFill="1" applyBorder="1" applyAlignment="1">
      <alignment horizontal="center" vertical="center"/>
    </xf>
    <xf numFmtId="0" fontId="15" fillId="8" borderId="2" xfId="0" applyFont="1" applyFill="1" applyBorder="1" applyAlignment="1">
      <alignment horizontal="center" vertical="center" wrapText="1" readingOrder="2"/>
    </xf>
    <xf numFmtId="0" fontId="15" fillId="8" borderId="3" xfId="0" applyFont="1" applyFill="1" applyBorder="1" applyAlignment="1">
      <alignment horizontal="center" vertical="center" wrapText="1" readingOrder="2"/>
    </xf>
    <xf numFmtId="0" fontId="0" fillId="0" borderId="0" xfId="0" applyAlignment="1" applyProtection="1">
      <alignment horizontal="right"/>
      <protection locked="0"/>
    </xf>
    <xf numFmtId="0" fontId="15" fillId="8" borderId="1" xfId="0" applyFont="1" applyFill="1" applyBorder="1" applyAlignment="1" applyProtection="1">
      <alignment horizontal="center" wrapText="1"/>
      <protection locked="0"/>
    </xf>
    <xf numFmtId="0" fontId="15" fillId="8" borderId="2" xfId="0" applyFont="1" applyFill="1" applyBorder="1" applyAlignment="1" applyProtection="1">
      <alignment horizontal="right" wrapText="1"/>
      <protection locked="0"/>
    </xf>
    <xf numFmtId="0" fontId="15" fillId="8" borderId="2" xfId="0" applyFont="1" applyFill="1" applyBorder="1" applyAlignment="1" applyProtection="1">
      <alignment horizontal="center" wrapText="1"/>
      <protection locked="0"/>
    </xf>
    <xf numFmtId="0" fontId="15" fillId="8" borderId="29" xfId="0" applyFont="1" applyFill="1" applyBorder="1" applyAlignment="1" applyProtection="1">
      <alignment horizontal="center" wrapText="1"/>
      <protection locked="0"/>
    </xf>
    <xf numFmtId="0" fontId="15" fillId="9" borderId="29" xfId="0" applyFont="1" applyFill="1" applyBorder="1" applyAlignment="1" applyProtection="1">
      <alignment horizontal="center" wrapText="1"/>
      <protection locked="0"/>
    </xf>
    <xf numFmtId="22" fontId="0" fillId="0" borderId="0" xfId="0" applyNumberFormat="1"/>
    <xf numFmtId="1" fontId="0" fillId="4" borderId="30" xfId="0" applyNumberFormat="1" applyFill="1" applyBorder="1" applyAlignment="1" applyProtection="1">
      <alignment horizontal="center" wrapText="1"/>
      <protection locked="0"/>
    </xf>
    <xf numFmtId="0" fontId="0" fillId="4" borderId="30" xfId="0" applyFill="1" applyBorder="1" applyAlignment="1" applyProtection="1">
      <alignment horizontal="center" wrapText="1"/>
      <protection locked="0"/>
    </xf>
    <xf numFmtId="3" fontId="0" fillId="4" borderId="8" xfId="0" applyNumberFormat="1" applyFill="1" applyBorder="1" applyAlignment="1" applyProtection="1">
      <alignment horizontal="center" vertical="center" wrapText="1"/>
      <protection locked="0"/>
    </xf>
    <xf numFmtId="1" fontId="0" fillId="4" borderId="8" xfId="0" applyNumberFormat="1" applyFill="1" applyBorder="1" applyAlignment="1" applyProtection="1">
      <alignment horizontal="center" vertical="center" wrapText="1"/>
      <protection locked="0"/>
    </xf>
    <xf numFmtId="168" fontId="0" fillId="4" borderId="8" xfId="2" applyNumberFormat="1" applyFont="1" applyFill="1" applyBorder="1" applyAlignment="1" applyProtection="1">
      <alignment horizontal="right" wrapText="1"/>
      <protection locked="0"/>
    </xf>
    <xf numFmtId="168" fontId="15" fillId="4" borderId="8" xfId="2" applyNumberFormat="1" applyFont="1" applyFill="1" applyBorder="1" applyAlignment="1" applyProtection="1">
      <alignment horizontal="center" wrapText="1"/>
      <protection locked="0"/>
    </xf>
    <xf numFmtId="0" fontId="0" fillId="4" borderId="30" xfId="0" applyFill="1" applyBorder="1" applyAlignment="1" applyProtection="1">
      <alignment horizontal="center" vertical="center" wrapText="1"/>
      <protection locked="0"/>
    </xf>
    <xf numFmtId="1" fontId="0" fillId="4" borderId="5" xfId="0" applyNumberFormat="1" applyFill="1" applyBorder="1" applyAlignment="1" applyProtection="1">
      <alignment horizontal="center" vertical="center"/>
      <protection locked="0"/>
    </xf>
    <xf numFmtId="0" fontId="39" fillId="2" borderId="1" xfId="0" applyFont="1" applyFill="1" applyBorder="1" applyAlignment="1">
      <alignment horizontal="center" vertical="center" wrapText="1"/>
    </xf>
    <xf numFmtId="0" fontId="39" fillId="2" borderId="2" xfId="0" applyFont="1" applyFill="1" applyBorder="1" applyAlignment="1" applyProtection="1">
      <alignment horizontal="center" vertical="center" wrapText="1"/>
    </xf>
    <xf numFmtId="0" fontId="39" fillId="2" borderId="3"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8" fillId="0" borderId="0" xfId="0" applyFont="1"/>
    <xf numFmtId="1" fontId="40" fillId="4" borderId="7" xfId="4" applyNumberFormat="1" applyFont="1" applyFill="1" applyBorder="1" applyAlignment="1" applyProtection="1">
      <alignment horizontal="center" vertical="center"/>
    </xf>
    <xf numFmtId="0" fontId="41" fillId="0" borderId="18" xfId="3" applyNumberFormat="1" applyFont="1" applyFill="1" applyBorder="1" applyAlignment="1" applyProtection="1">
      <alignment horizontal="center" vertical="center" wrapText="1" readingOrder="1"/>
      <protection locked="0"/>
    </xf>
    <xf numFmtId="1" fontId="40" fillId="4" borderId="8" xfId="4" applyNumberFormat="1" applyFont="1" applyFill="1" applyBorder="1" applyAlignment="1" applyProtection="1">
      <alignment horizontal="center" vertical="center"/>
    </xf>
    <xf numFmtId="170" fontId="41" fillId="0" borderId="8" xfId="2" applyNumberFormat="1" applyFont="1" applyFill="1" applyBorder="1" applyAlignment="1" applyProtection="1">
      <alignment horizontal="center" vertical="center" wrapText="1" readingOrder="1"/>
      <protection locked="0"/>
    </xf>
    <xf numFmtId="169" fontId="41" fillId="0" borderId="8" xfId="2" applyNumberFormat="1" applyFont="1" applyFill="1" applyBorder="1" applyAlignment="1" applyProtection="1">
      <alignment horizontal="center" vertical="center" wrapText="1" readingOrder="1"/>
      <protection locked="0"/>
    </xf>
    <xf numFmtId="0" fontId="41" fillId="0" borderId="8" xfId="3" applyNumberFormat="1" applyFont="1" applyFill="1" applyBorder="1" applyAlignment="1" applyProtection="1">
      <alignment horizontal="center" vertical="center" wrapText="1" readingOrder="1"/>
      <protection locked="0"/>
    </xf>
    <xf numFmtId="3" fontId="22" fillId="5" borderId="9" xfId="0" applyNumberFormat="1" applyFont="1" applyFill="1" applyBorder="1" applyAlignment="1" applyProtection="1">
      <alignment horizontal="center" vertical="center"/>
      <protection locked="0"/>
    </xf>
    <xf numFmtId="1" fontId="40" fillId="4" borderId="5" xfId="4" applyNumberFormat="1" applyFont="1" applyFill="1" applyBorder="1" applyAlignment="1" applyProtection="1">
      <alignment horizontal="center" vertical="center"/>
    </xf>
    <xf numFmtId="0" fontId="8" fillId="0" borderId="30" xfId="0" applyFont="1" applyBorder="1" applyAlignment="1">
      <alignment horizontal="center"/>
    </xf>
    <xf numFmtId="0" fontId="41" fillId="0" borderId="31" xfId="3" applyNumberFormat="1" applyFont="1" applyFill="1" applyBorder="1" applyAlignment="1" applyProtection="1">
      <alignment horizontal="center" vertical="center" wrapText="1" readingOrder="1"/>
      <protection locked="0"/>
    </xf>
    <xf numFmtId="0" fontId="41" fillId="0" borderId="21" xfId="3" applyNumberFormat="1" applyFont="1" applyFill="1" applyBorder="1" applyAlignment="1" applyProtection="1">
      <alignment horizontal="center" vertical="center" wrapText="1" readingOrder="1"/>
      <protection locked="0"/>
    </xf>
    <xf numFmtId="169" fontId="41" fillId="0" borderId="21" xfId="2" applyNumberFormat="1" applyFont="1" applyFill="1" applyBorder="1" applyAlignment="1" applyProtection="1">
      <alignment horizontal="center" vertical="center" wrapText="1" readingOrder="1"/>
      <protection locked="0"/>
    </xf>
    <xf numFmtId="0" fontId="8" fillId="0" borderId="0" xfId="0" applyFont="1" applyBorder="1"/>
    <xf numFmtId="0" fontId="8" fillId="0" borderId="0" xfId="0" applyFont="1" applyFill="1" applyBorder="1"/>
    <xf numFmtId="0" fontId="8" fillId="0" borderId="0" xfId="0" applyFont="1" applyFill="1" applyBorder="1" applyProtection="1"/>
    <xf numFmtId="168" fontId="8" fillId="0" borderId="0" xfId="2" applyNumberFormat="1" applyFont="1" applyFill="1" applyBorder="1" applyProtection="1"/>
    <xf numFmtId="0" fontId="8" fillId="0" borderId="0" xfId="0" applyFont="1" applyFill="1"/>
    <xf numFmtId="0" fontId="8" fillId="0" borderId="0" xfId="0" applyFont="1" applyProtection="1"/>
    <xf numFmtId="0" fontId="8" fillId="0" borderId="0" xfId="0" applyFont="1" applyAlignment="1">
      <alignment horizontal="right"/>
    </xf>
    <xf numFmtId="0" fontId="8" fillId="0" borderId="0" xfId="0" applyFont="1" applyAlignment="1">
      <alignment horizontal="center" vertical="center"/>
    </xf>
    <xf numFmtId="0" fontId="8" fillId="0" borderId="0" xfId="0" applyFont="1" applyAlignment="1">
      <alignment horizontal="center" vertical="center" wrapText="1"/>
    </xf>
    <xf numFmtId="0" fontId="41" fillId="0" borderId="8" xfId="3" applyNumberFormat="1" applyFont="1" applyFill="1" applyBorder="1" applyAlignment="1" applyProtection="1">
      <alignment horizontal="center" vertical="center" wrapText="1" readingOrder="1"/>
    </xf>
    <xf numFmtId="14" fontId="41" fillId="0" borderId="8" xfId="3" applyNumberFormat="1" applyFont="1" applyFill="1" applyBorder="1" applyAlignment="1" applyProtection="1">
      <alignment horizontal="center" vertical="center" wrapText="1" readingOrder="1"/>
      <protection locked="0"/>
    </xf>
    <xf numFmtId="3" fontId="41" fillId="0" borderId="8" xfId="3" applyNumberFormat="1" applyFont="1" applyFill="1" applyBorder="1" applyAlignment="1" applyProtection="1">
      <alignment horizontal="center" vertical="center" wrapText="1" readingOrder="1"/>
      <protection locked="0"/>
    </xf>
    <xf numFmtId="0" fontId="41" fillId="0" borderId="8" xfId="3" applyNumberFormat="1" applyFont="1" applyFill="1" applyBorder="1" applyAlignment="1" applyProtection="1">
      <alignment horizontal="right" vertical="center" readingOrder="1"/>
      <protection locked="0"/>
    </xf>
    <xf numFmtId="1" fontId="40" fillId="4" borderId="21" xfId="4" applyNumberFormat="1" applyFont="1" applyFill="1" applyBorder="1" applyAlignment="1" applyProtection="1">
      <alignment horizontal="center" vertical="center"/>
    </xf>
    <xf numFmtId="3" fontId="41" fillId="0" borderId="21" xfId="3" applyNumberFormat="1" applyFont="1" applyFill="1" applyBorder="1" applyAlignment="1" applyProtection="1">
      <alignment horizontal="center" vertical="center" wrapText="1" readingOrder="1"/>
      <protection locked="0"/>
    </xf>
    <xf numFmtId="3" fontId="41" fillId="0" borderId="30" xfId="3" applyNumberFormat="1" applyFont="1" applyFill="1" applyBorder="1" applyAlignment="1" applyProtection="1">
      <alignment horizontal="center" vertical="center" wrapText="1" readingOrder="1"/>
      <protection locked="0"/>
    </xf>
    <xf numFmtId="17" fontId="41" fillId="0" borderId="8" xfId="3" applyNumberFormat="1" applyFont="1" applyFill="1" applyBorder="1" applyAlignment="1" applyProtection="1">
      <alignment horizontal="center" vertical="center" wrapText="1" readingOrder="1"/>
      <protection locked="0"/>
    </xf>
    <xf numFmtId="0" fontId="42" fillId="0" borderId="8" xfId="3" applyNumberFormat="1" applyFont="1" applyFill="1" applyBorder="1" applyAlignment="1" applyProtection="1">
      <alignment horizontal="right" vertical="center" readingOrder="1"/>
      <protection locked="0"/>
    </xf>
    <xf numFmtId="0" fontId="41" fillId="0" borderId="30" xfId="3" applyNumberFormat="1" applyFont="1" applyFill="1" applyBorder="1" applyAlignment="1" applyProtection="1">
      <alignment horizontal="center" vertical="center" wrapText="1" readingOrder="1"/>
      <protection locked="0"/>
    </xf>
    <xf numFmtId="0" fontId="8" fillId="0" borderId="21" xfId="0" applyFont="1" applyBorder="1" applyProtection="1">
      <protection locked="0"/>
    </xf>
    <xf numFmtId="0" fontId="22" fillId="4" borderId="7" xfId="0" applyFont="1" applyFill="1" applyBorder="1" applyAlignment="1">
      <alignment horizontal="center" vertical="center"/>
    </xf>
    <xf numFmtId="3" fontId="7" fillId="4" borderId="7" xfId="0" applyNumberFormat="1" applyFont="1" applyFill="1" applyBorder="1" applyAlignment="1">
      <alignment horizontal="center" vertical="center" wrapText="1"/>
    </xf>
    <xf numFmtId="3" fontId="7" fillId="4" borderId="5" xfId="0" applyNumberFormat="1" applyFont="1" applyFill="1" applyBorder="1" applyAlignment="1">
      <alignment horizontal="center" vertical="center" wrapText="1"/>
    </xf>
    <xf numFmtId="3" fontId="7" fillId="4" borderId="16" xfId="0" applyNumberFormat="1" applyFont="1" applyFill="1" applyBorder="1" applyAlignment="1">
      <alignment horizontal="center" vertical="center" wrapText="1"/>
    </xf>
    <xf numFmtId="4" fontId="12" fillId="4" borderId="9" xfId="0" applyNumberFormat="1" applyFont="1" applyFill="1" applyBorder="1" applyAlignment="1">
      <alignment horizontal="center" vertical="center"/>
    </xf>
    <xf numFmtId="4" fontId="12" fillId="4" borderId="6" xfId="0" applyNumberFormat="1" applyFont="1" applyFill="1" applyBorder="1" applyAlignment="1">
      <alignment horizontal="center" vertical="center"/>
    </xf>
    <xf numFmtId="4" fontId="12" fillId="4" borderId="15" xfId="0" applyNumberFormat="1" applyFont="1" applyFill="1" applyBorder="1" applyAlignment="1">
      <alignment horizontal="center" vertical="center"/>
    </xf>
    <xf numFmtId="3" fontId="22" fillId="0" borderId="0" xfId="78" applyNumberFormat="1" applyFont="1" applyProtection="1"/>
    <xf numFmtId="3" fontId="22" fillId="0" borderId="19" xfId="78" applyNumberFormat="1" applyFont="1" applyBorder="1" applyProtection="1"/>
    <xf numFmtId="3" fontId="22" fillId="0" borderId="10" xfId="78" applyNumberFormat="1" applyFont="1" applyBorder="1" applyProtection="1"/>
    <xf numFmtId="3" fontId="22" fillId="0" borderId="20" xfId="78" applyNumberFormat="1" applyFont="1" applyBorder="1" applyProtection="1"/>
    <xf numFmtId="3" fontId="27" fillId="7" borderId="22" xfId="77" applyNumberFormat="1" applyFont="1" applyFill="1" applyBorder="1" applyAlignment="1" applyProtection="1">
      <alignment horizontal="center" vertical="center" wrapText="1"/>
    </xf>
    <xf numFmtId="1" fontId="40" fillId="3" borderId="13" xfId="79" applyNumberFormat="1" applyFont="1" applyFill="1" applyBorder="1" applyAlignment="1" applyProtection="1">
      <alignment horizontal="center" vertical="center"/>
    </xf>
    <xf numFmtId="3" fontId="22" fillId="0" borderId="0" xfId="80" applyNumberFormat="1" applyFont="1" applyProtection="1"/>
    <xf numFmtId="9" fontId="22" fillId="0" borderId="0" xfId="80" applyNumberFormat="1" applyFont="1" applyProtection="1"/>
    <xf numFmtId="3" fontId="22" fillId="0" borderId="0" xfId="78" applyNumberFormat="1" applyFont="1" applyAlignment="1" applyProtection="1">
      <alignment horizontal="center" wrapText="1"/>
    </xf>
    <xf numFmtId="3" fontId="22" fillId="0" borderId="0" xfId="78" applyNumberFormat="1" applyFont="1" applyAlignment="1" applyProtection="1">
      <alignment horizontal="center"/>
    </xf>
    <xf numFmtId="3" fontId="27" fillId="7" borderId="16" xfId="77" applyNumberFormat="1" applyFont="1" applyFill="1" applyBorder="1" applyAlignment="1" applyProtection="1">
      <alignment horizontal="center" vertical="center" wrapText="1"/>
    </xf>
    <xf numFmtId="167" fontId="40" fillId="3" borderId="15" xfId="79" applyNumberFormat="1" applyFont="1" applyFill="1" applyBorder="1" applyAlignment="1" applyProtection="1">
      <alignment horizontal="center" vertical="center"/>
    </xf>
    <xf numFmtId="0" fontId="22" fillId="0" borderId="0" xfId="81" applyFont="1" applyProtection="1"/>
    <xf numFmtId="0" fontId="6" fillId="0" borderId="0" xfId="81"/>
    <xf numFmtId="3" fontId="45" fillId="0" borderId="22" xfId="78" applyNumberFormat="1" applyFont="1" applyBorder="1" applyAlignment="1" applyProtection="1">
      <alignment horizontal="center" wrapText="1"/>
    </xf>
    <xf numFmtId="3" fontId="31" fillId="0" borderId="23" xfId="78" applyNumberFormat="1" applyFont="1" applyBorder="1" applyAlignment="1" applyProtection="1">
      <alignment horizontal="center"/>
    </xf>
    <xf numFmtId="3" fontId="31" fillId="0" borderId="13" xfId="78" applyNumberFormat="1" applyFont="1" applyBorder="1" applyAlignment="1" applyProtection="1">
      <alignment horizontal="center"/>
    </xf>
    <xf numFmtId="3" fontId="22" fillId="0" borderId="0" xfId="78" applyNumberFormat="1" applyFont="1" applyBorder="1" applyProtection="1"/>
    <xf numFmtId="171" fontId="6" fillId="0" borderId="0" xfId="80"/>
    <xf numFmtId="3" fontId="22" fillId="0" borderId="16" xfId="78" applyNumberFormat="1" applyFont="1" applyBorder="1" applyProtection="1"/>
    <xf numFmtId="3" fontId="22" fillId="0" borderId="24" xfId="78" applyNumberFormat="1" applyFont="1" applyBorder="1" applyAlignment="1" applyProtection="1">
      <alignment horizontal="center"/>
    </xf>
    <xf numFmtId="3" fontId="22" fillId="0" borderId="15" xfId="78" applyNumberFormat="1" applyFont="1" applyBorder="1" applyAlignment="1" applyProtection="1">
      <alignment horizontal="center"/>
    </xf>
    <xf numFmtId="172" fontId="22" fillId="0" borderId="0" xfId="80" applyNumberFormat="1" applyFont="1" applyProtection="1"/>
    <xf numFmtId="0" fontId="6" fillId="0" borderId="0" xfId="82"/>
    <xf numFmtId="3" fontId="22" fillId="0" borderId="0" xfId="78" applyNumberFormat="1" applyFont="1" applyAlignment="1" applyProtection="1">
      <alignment horizontal="center" vertical="center"/>
    </xf>
    <xf numFmtId="3" fontId="22" fillId="0" borderId="11" xfId="78" applyNumberFormat="1" applyFont="1" applyBorder="1" applyProtection="1"/>
    <xf numFmtId="3" fontId="31" fillId="7" borderId="27" xfId="77" applyNumberFormat="1" applyFont="1" applyFill="1" applyBorder="1" applyAlignment="1" applyProtection="1">
      <alignment horizontal="center" vertical="center" wrapText="1"/>
    </xf>
    <xf numFmtId="3" fontId="31" fillId="7" borderId="28" xfId="77" applyNumberFormat="1" applyFont="1" applyFill="1" applyBorder="1" applyAlignment="1" applyProtection="1">
      <alignment horizontal="center" vertical="center" wrapText="1"/>
    </xf>
    <xf numFmtId="3" fontId="31" fillId="7" borderId="0" xfId="77" applyNumberFormat="1" applyFont="1" applyFill="1" applyBorder="1" applyAlignment="1" applyProtection="1">
      <alignment horizontal="center" vertical="center" wrapText="1"/>
    </xf>
    <xf numFmtId="0" fontId="22" fillId="0" borderId="0" xfId="81" applyFont="1" applyAlignment="1" applyProtection="1">
      <alignment horizontal="center" vertical="center" wrapText="1"/>
    </xf>
    <xf numFmtId="3" fontId="22" fillId="0" borderId="0" xfId="80" applyNumberFormat="1" applyFont="1" applyAlignment="1" applyProtection="1">
      <alignment wrapText="1"/>
    </xf>
    <xf numFmtId="0" fontId="22" fillId="0" borderId="0" xfId="81" applyFont="1" applyAlignment="1" applyProtection="1">
      <alignment wrapText="1"/>
    </xf>
    <xf numFmtId="3" fontId="22" fillId="0" borderId="14" xfId="78" applyNumberFormat="1" applyFont="1" applyBorder="1" applyProtection="1"/>
    <xf numFmtId="3" fontId="46" fillId="7" borderId="24" xfId="77" applyNumberFormat="1" applyFont="1" applyFill="1" applyBorder="1" applyAlignment="1" applyProtection="1">
      <alignment horizontal="center" vertical="center" wrapText="1"/>
    </xf>
    <xf numFmtId="3" fontId="31" fillId="7" borderId="15" xfId="77" applyNumberFormat="1" applyFont="1" applyFill="1" applyBorder="1" applyAlignment="1" applyProtection="1">
      <alignment horizontal="center" vertical="center" wrapText="1"/>
    </xf>
    <xf numFmtId="3" fontId="41" fillId="4" borderId="44" xfId="83" applyNumberFormat="1" applyFont="1" applyFill="1" applyBorder="1" applyAlignment="1" applyProtection="1">
      <alignment horizontal="center" vertical="center" readingOrder="2"/>
    </xf>
    <xf numFmtId="3" fontId="41" fillId="4" borderId="44" xfId="83" applyNumberFormat="1" applyFont="1" applyFill="1" applyBorder="1" applyAlignment="1" applyProtection="1">
      <alignment horizontal="center" vertical="center" readingOrder="2"/>
      <protection locked="0"/>
    </xf>
    <xf numFmtId="3" fontId="47" fillId="4" borderId="44" xfId="83" applyNumberFormat="1" applyFont="1" applyFill="1" applyBorder="1" applyAlignment="1" applyProtection="1">
      <alignment horizontal="center" vertical="center" readingOrder="2"/>
    </xf>
    <xf numFmtId="3" fontId="41" fillId="4" borderId="44" xfId="83" applyNumberFormat="1" applyFont="1" applyFill="1" applyBorder="1" applyAlignment="1" applyProtection="1">
      <alignment horizontal="right" vertical="center" readingOrder="2"/>
      <protection locked="0"/>
    </xf>
    <xf numFmtId="3" fontId="22" fillId="0" borderId="0" xfId="78" applyNumberFormat="1" applyFont="1"/>
    <xf numFmtId="3" fontId="31" fillId="7" borderId="27" xfId="77" applyNumberFormat="1" applyFont="1" applyFill="1" applyBorder="1" applyAlignment="1" applyProtection="1">
      <alignment horizontal="center" vertical="center" wrapText="1"/>
    </xf>
    <xf numFmtId="3" fontId="31" fillId="7" borderId="27" xfId="77" applyNumberFormat="1" applyFont="1" applyFill="1" applyBorder="1" applyAlignment="1" applyProtection="1">
      <alignment horizontal="center" vertical="center" wrapText="1"/>
    </xf>
    <xf numFmtId="3" fontId="46" fillId="7" borderId="24" xfId="1116" applyNumberFormat="1" applyFont="1" applyFill="1" applyBorder="1" applyAlignment="1" applyProtection="1">
      <alignment horizontal="center" vertical="center" wrapText="1"/>
    </xf>
    <xf numFmtId="3" fontId="22" fillId="0" borderId="0" xfId="2507" applyNumberFormat="1" applyFont="1" applyProtection="1"/>
    <xf numFmtId="0" fontId="5" fillId="0" borderId="0" xfId="2509"/>
    <xf numFmtId="171" fontId="5" fillId="0" borderId="0" xfId="2508"/>
    <xf numFmtId="3" fontId="22" fillId="0" borderId="0" xfId="2507" applyNumberFormat="1" applyFont="1" applyBorder="1" applyAlignment="1" applyProtection="1">
      <alignment horizontal="center"/>
    </xf>
    <xf numFmtId="173" fontId="22" fillId="0" borderId="0" xfId="2507" applyNumberFormat="1" applyFont="1" applyProtection="1"/>
    <xf numFmtId="3" fontId="22" fillId="0" borderId="0" xfId="2507" applyNumberFormat="1" applyFont="1" applyAlignment="1" applyProtection="1">
      <alignment horizontal="center" vertical="center"/>
    </xf>
    <xf numFmtId="0" fontId="0" fillId="0" borderId="0" xfId="0"/>
    <xf numFmtId="0" fontId="8" fillId="0" borderId="0" xfId="0" applyFont="1"/>
    <xf numFmtId="169" fontId="0" fillId="0" borderId="0" xfId="0" applyNumberFormat="1" applyAlignment="1">
      <alignment horizontal="right" wrapText="1"/>
    </xf>
    <xf numFmtId="0" fontId="0" fillId="4" borderId="8" xfId="0" applyFill="1" applyBorder="1" applyAlignment="1" applyProtection="1">
      <alignment horizontal="center" wrapText="1"/>
    </xf>
    <xf numFmtId="1" fontId="0" fillId="4" borderId="8" xfId="0" applyNumberFormat="1" applyFill="1" applyBorder="1" applyAlignment="1" applyProtection="1">
      <alignment horizontal="center" vertical="center" wrapText="1"/>
    </xf>
    <xf numFmtId="0" fontId="0" fillId="4" borderId="9" xfId="0" applyFill="1" applyBorder="1" applyAlignment="1" applyProtection="1">
      <alignment horizontal="right" wrapText="1"/>
    </xf>
    <xf numFmtId="0" fontId="0" fillId="4" borderId="6" xfId="0" applyFill="1" applyBorder="1" applyAlignment="1" applyProtection="1">
      <alignment horizontal="right" wrapText="1"/>
    </xf>
    <xf numFmtId="0" fontId="0" fillId="0" borderId="0" xfId="0" applyAlignment="1" applyProtection="1">
      <alignment wrapText="1"/>
    </xf>
    <xf numFmtId="0" fontId="0" fillId="0" borderId="0" xfId="0" applyAlignment="1" applyProtection="1">
      <alignment horizontal="center" wrapText="1"/>
    </xf>
    <xf numFmtId="168" fontId="0" fillId="0" borderId="0" xfId="2" applyNumberFormat="1" applyFont="1" applyAlignment="1" applyProtection="1">
      <alignment horizontal="center" vertical="center" wrapText="1"/>
    </xf>
    <xf numFmtId="10" fontId="0" fillId="0" borderId="0" xfId="1" applyNumberFormat="1" applyFont="1" applyAlignment="1" applyProtection="1">
      <alignment horizontal="center" wrapText="1"/>
    </xf>
    <xf numFmtId="3" fontId="31" fillId="7" borderId="27" xfId="77" applyNumberFormat="1" applyFont="1" applyFill="1" applyBorder="1" applyAlignment="1" applyProtection="1">
      <alignment horizontal="center" vertical="center" wrapText="1"/>
    </xf>
    <xf numFmtId="3" fontId="41" fillId="4" borderId="8" xfId="3" applyNumberFormat="1" applyFont="1" applyFill="1" applyBorder="1" applyAlignment="1" applyProtection="1">
      <alignment horizontal="center" vertical="center" wrapText="1" readingOrder="1"/>
    </xf>
    <xf numFmtId="3" fontId="0" fillId="4" borderId="8" xfId="0" applyNumberFormat="1" applyFill="1" applyBorder="1" applyAlignment="1">
      <alignment horizontal="center" wrapText="1"/>
    </xf>
    <xf numFmtId="3" fontId="22" fillId="0" borderId="54" xfId="78" applyNumberFormat="1" applyFont="1" applyBorder="1" applyAlignment="1" applyProtection="1">
      <alignment horizontal="center"/>
    </xf>
    <xf numFmtId="3" fontId="45" fillId="0" borderId="34" xfId="78" applyNumberFormat="1" applyFont="1" applyBorder="1" applyAlignment="1" applyProtection="1">
      <alignment horizontal="center" wrapText="1"/>
    </xf>
    <xf numFmtId="3" fontId="22" fillId="0" borderId="55" xfId="78" applyNumberFormat="1" applyFont="1" applyBorder="1" applyProtection="1"/>
    <xf numFmtId="0" fontId="31" fillId="0" borderId="0" xfId="8" applyFont="1" applyProtection="1"/>
    <xf numFmtId="174" fontId="31" fillId="0" borderId="0" xfId="8" applyNumberFormat="1" applyFont="1" applyProtection="1"/>
    <xf numFmtId="3" fontId="46" fillId="7" borderId="54" xfId="77" applyNumberFormat="1" applyFont="1" applyFill="1" applyBorder="1" applyAlignment="1" applyProtection="1">
      <alignment horizontal="center" vertical="center" wrapText="1"/>
    </xf>
    <xf numFmtId="0" fontId="15" fillId="8" borderId="56" xfId="0" applyFont="1" applyFill="1" applyBorder="1" applyAlignment="1">
      <alignment horizontal="center" readingOrder="2"/>
    </xf>
    <xf numFmtId="3" fontId="31" fillId="36" borderId="27" xfId="77" applyNumberFormat="1" applyFont="1" applyFill="1" applyBorder="1" applyAlignment="1" applyProtection="1">
      <alignment horizontal="center" vertical="center" wrapText="1"/>
    </xf>
    <xf numFmtId="172" fontId="12" fillId="4" borderId="6" xfId="0" applyNumberFormat="1" applyFont="1" applyFill="1" applyBorder="1" applyAlignment="1">
      <alignment horizontal="center" vertical="center"/>
    </xf>
    <xf numFmtId="3" fontId="31" fillId="7" borderId="27" xfId="77" applyNumberFormat="1" applyFont="1" applyFill="1" applyBorder="1" applyAlignment="1" applyProtection="1">
      <alignment horizontal="center" vertical="center" wrapText="1"/>
    </xf>
    <xf numFmtId="3" fontId="31" fillId="7" borderId="27" xfId="77" applyNumberFormat="1" applyFont="1" applyFill="1" applyBorder="1" applyAlignment="1" applyProtection="1">
      <alignment horizontal="center" vertical="center" wrapText="1"/>
    </xf>
    <xf numFmtId="3" fontId="31" fillId="7" borderId="27" xfId="77" applyNumberFormat="1" applyFont="1" applyFill="1" applyBorder="1" applyAlignment="1" applyProtection="1">
      <alignment horizontal="center" vertical="center" wrapText="1"/>
    </xf>
    <xf numFmtId="3" fontId="46" fillId="7" borderId="54" xfId="1116" applyNumberFormat="1" applyFont="1" applyFill="1" applyBorder="1" applyAlignment="1" applyProtection="1">
      <alignment horizontal="center" vertical="center" wrapText="1"/>
    </xf>
    <xf numFmtId="3" fontId="41" fillId="4" borderId="44" xfId="2" applyNumberFormat="1" applyFont="1" applyFill="1" applyBorder="1" applyAlignment="1" applyProtection="1">
      <alignment horizontal="center" vertical="center" readingOrder="2"/>
      <protection locked="0"/>
    </xf>
    <xf numFmtId="3" fontId="4" fillId="4" borderId="7" xfId="0" applyNumberFormat="1" applyFont="1" applyFill="1" applyBorder="1" applyAlignment="1">
      <alignment horizontal="center" vertical="center" wrapText="1"/>
    </xf>
    <xf numFmtId="166" fontId="12" fillId="4" borderId="6" xfId="1" applyNumberFormat="1" applyFont="1" applyFill="1" applyBorder="1" applyAlignment="1">
      <alignment horizontal="center" vertical="center"/>
    </xf>
    <xf numFmtId="3" fontId="31" fillId="7" borderId="27" xfId="77" applyNumberFormat="1" applyFont="1" applyFill="1" applyBorder="1" applyAlignment="1" applyProtection="1">
      <alignment vertical="center" wrapText="1"/>
    </xf>
    <xf numFmtId="1" fontId="41" fillId="4" borderId="44" xfId="2" applyNumberFormat="1" applyFont="1" applyFill="1" applyBorder="1" applyAlignment="1" applyProtection="1">
      <alignment horizontal="center" vertical="center" readingOrder="2"/>
      <protection locked="0"/>
    </xf>
    <xf numFmtId="1" fontId="40" fillId="4" borderId="58" xfId="4" applyNumberFormat="1" applyFont="1" applyFill="1" applyBorder="1" applyAlignment="1" applyProtection="1">
      <alignment horizontal="center" vertical="center"/>
    </xf>
    <xf numFmtId="0" fontId="15" fillId="8" borderId="26" xfId="0" applyFont="1" applyFill="1" applyBorder="1" applyAlignment="1">
      <alignment horizontal="center"/>
    </xf>
    <xf numFmtId="171" fontId="27" fillId="7" borderId="0" xfId="77" applyFont="1" applyFill="1" applyBorder="1" applyAlignment="1" applyProtection="1">
      <alignment horizontal="center" vertical="center" wrapText="1"/>
    </xf>
    <xf numFmtId="1" fontId="40" fillId="3" borderId="0" xfId="79" applyNumberFormat="1" applyFont="1" applyFill="1" applyBorder="1" applyAlignment="1" applyProtection="1">
      <alignment horizontal="center" vertical="center"/>
    </xf>
    <xf numFmtId="167" fontId="40" fillId="3" borderId="0" xfId="79" applyNumberFormat="1" applyFont="1" applyFill="1" applyBorder="1" applyAlignment="1" applyProtection="1">
      <alignment horizontal="center" vertical="center"/>
    </xf>
    <xf numFmtId="3" fontId="41" fillId="4" borderId="0" xfId="83" applyNumberFormat="1" applyFont="1" applyFill="1" applyBorder="1" applyAlignment="1" applyProtection="1">
      <alignment horizontal="right" vertical="center" readingOrder="2"/>
      <protection locked="0"/>
    </xf>
    <xf numFmtId="0" fontId="15" fillId="8" borderId="27" xfId="0" applyFont="1" applyFill="1" applyBorder="1" applyAlignment="1">
      <alignment horizontal="center" vertical="center" wrapText="1"/>
    </xf>
    <xf numFmtId="3" fontId="40" fillId="4" borderId="8" xfId="4" applyNumberFormat="1" applyFont="1" applyFill="1" applyBorder="1" applyAlignment="1" applyProtection="1">
      <alignment horizontal="center" vertical="center"/>
    </xf>
    <xf numFmtId="166" fontId="40" fillId="4" borderId="8" xfId="4" applyNumberFormat="1" applyFont="1" applyFill="1" applyBorder="1" applyAlignment="1" applyProtection="1">
      <alignment horizontal="center" vertical="center"/>
    </xf>
    <xf numFmtId="3" fontId="3" fillId="4" borderId="7" xfId="0" applyNumberFormat="1" applyFont="1" applyFill="1" applyBorder="1" applyAlignment="1">
      <alignment horizontal="center" vertical="center" wrapText="1"/>
    </xf>
    <xf numFmtId="1" fontId="69" fillId="3" borderId="13" xfId="0" applyNumberFormat="1" applyFont="1" applyFill="1" applyBorder="1" applyAlignment="1">
      <alignment horizontal="center" vertical="center"/>
    </xf>
    <xf numFmtId="167" fontId="69" fillId="3" borderId="15" xfId="0" applyNumberFormat="1" applyFont="1" applyFill="1" applyBorder="1" applyAlignment="1">
      <alignment horizontal="center" vertical="center"/>
    </xf>
    <xf numFmtId="0" fontId="70" fillId="7" borderId="22" xfId="0" applyFont="1" applyFill="1" applyBorder="1" applyAlignment="1">
      <alignment horizontal="center" vertical="center" wrapText="1"/>
    </xf>
    <xf numFmtId="0" fontId="70" fillId="7" borderId="16" xfId="0" applyFont="1" applyFill="1" applyBorder="1" applyAlignment="1">
      <alignment horizontal="center" vertical="center" wrapText="1"/>
    </xf>
    <xf numFmtId="0" fontId="27" fillId="7" borderId="57" xfId="9" applyFont="1" applyFill="1" applyBorder="1" applyAlignment="1" applyProtection="1">
      <alignment horizontal="center" vertical="center" wrapText="1"/>
    </xf>
    <xf numFmtId="3" fontId="69" fillId="8" borderId="2" xfId="0" applyNumberFormat="1" applyFont="1" applyFill="1" applyBorder="1" applyAlignment="1">
      <alignment horizontal="center" vertical="center"/>
    </xf>
    <xf numFmtId="9" fontId="69" fillId="8" borderId="2" xfId="0" applyNumberFormat="1" applyFont="1" applyFill="1" applyBorder="1" applyAlignment="1">
      <alignment horizontal="center" vertical="center"/>
    </xf>
    <xf numFmtId="9" fontId="12" fillId="4" borderId="5" xfId="1" applyFont="1" applyFill="1" applyBorder="1" applyAlignment="1">
      <alignment horizontal="center" vertical="center" wrapText="1"/>
    </xf>
    <xf numFmtId="3" fontId="15" fillId="8" borderId="27" xfId="0" applyNumberFormat="1" applyFont="1" applyFill="1" applyBorder="1" applyAlignment="1">
      <alignment horizontal="center" vertical="center" wrapText="1"/>
    </xf>
    <xf numFmtId="172" fontId="40" fillId="4" borderId="8" xfId="4" applyNumberFormat="1" applyFont="1" applyFill="1" applyBorder="1" applyAlignment="1" applyProtection="1">
      <alignment horizontal="center" vertical="center"/>
    </xf>
    <xf numFmtId="3" fontId="15" fillId="8" borderId="43" xfId="0" applyNumberFormat="1" applyFont="1" applyFill="1" applyBorder="1" applyAlignment="1">
      <alignment horizontal="center" vertical="center" wrapText="1"/>
    </xf>
    <xf numFmtId="9" fontId="40" fillId="4" borderId="8" xfId="1" applyFont="1" applyFill="1" applyBorder="1" applyAlignment="1" applyProtection="1">
      <alignment horizontal="center" vertical="center"/>
    </xf>
    <xf numFmtId="0" fontId="68" fillId="7" borderId="0" xfId="0" applyFont="1" applyFill="1" applyBorder="1" applyAlignment="1">
      <alignment horizontal="center" vertical="center" wrapText="1"/>
    </xf>
    <xf numFmtId="166" fontId="69" fillId="8" borderId="2" xfId="1" applyNumberFormat="1" applyFont="1" applyFill="1" applyBorder="1" applyAlignment="1">
      <alignment horizontal="center" vertical="center"/>
    </xf>
    <xf numFmtId="3" fontId="15" fillId="8" borderId="2" xfId="0" applyNumberFormat="1" applyFont="1" applyFill="1" applyBorder="1" applyAlignment="1">
      <alignment horizontal="center" vertical="center" wrapText="1"/>
    </xf>
    <xf numFmtId="166" fontId="40" fillId="4" borderId="8" xfId="1" applyNumberFormat="1" applyFont="1" applyFill="1" applyBorder="1" applyAlignment="1" applyProtection="1">
      <alignment horizontal="center" vertical="center"/>
    </xf>
    <xf numFmtId="0" fontId="71" fillId="2" borderId="10" xfId="0" applyFont="1" applyFill="1" applyBorder="1" applyAlignment="1">
      <alignment horizontal="center"/>
    </xf>
    <xf numFmtId="3" fontId="31" fillId="7" borderId="27" xfId="77" applyNumberFormat="1" applyFont="1" applyFill="1" applyBorder="1" applyAlignment="1" applyProtection="1">
      <alignment horizontal="center" vertical="center" wrapText="1"/>
    </xf>
    <xf numFmtId="167" fontId="32" fillId="4" borderId="59" xfId="8" applyNumberFormat="1" applyFont="1" applyFill="1" applyBorder="1" applyAlignment="1" applyProtection="1">
      <alignment horizontal="center" vertical="center"/>
    </xf>
    <xf numFmtId="3" fontId="2" fillId="4" borderId="7" xfId="0" applyNumberFormat="1" applyFont="1" applyFill="1" applyBorder="1" applyAlignment="1">
      <alignment horizontal="center" vertical="center" wrapText="1"/>
    </xf>
    <xf numFmtId="0" fontId="15" fillId="8" borderId="2" xfId="0" applyFont="1" applyFill="1" applyBorder="1" applyAlignment="1" applyProtection="1">
      <alignment horizontal="center" vertical="center" wrapText="1"/>
      <protection locked="0"/>
    </xf>
    <xf numFmtId="3" fontId="0" fillId="6" borderId="8" xfId="0" applyNumberFormat="1" applyFill="1" applyBorder="1" applyAlignment="1" applyProtection="1">
      <alignment horizontal="center" vertical="center" wrapText="1"/>
      <protection locked="0"/>
    </xf>
    <xf numFmtId="0" fontId="15" fillId="8" borderId="1" xfId="0" applyFont="1" applyFill="1" applyBorder="1" applyAlignment="1" applyProtection="1">
      <alignment horizontal="center" vertical="center" wrapText="1"/>
      <protection locked="0"/>
    </xf>
    <xf numFmtId="0" fontId="15" fillId="8" borderId="3" xfId="0" applyFont="1" applyFill="1" applyBorder="1" applyAlignment="1" applyProtection="1">
      <alignment horizontal="center" vertical="center" wrapText="1"/>
      <protection locked="0"/>
    </xf>
    <xf numFmtId="1" fontId="0" fillId="4" borderId="7" xfId="0" applyNumberFormat="1" applyFill="1" applyBorder="1" applyAlignment="1" applyProtection="1">
      <alignment horizontal="center" vertical="center"/>
      <protection locked="0"/>
    </xf>
    <xf numFmtId="1" fontId="0" fillId="4" borderId="8" xfId="0" applyNumberFormat="1" applyFill="1" applyBorder="1" applyAlignment="1" applyProtection="1">
      <alignment horizontal="center" wrapText="1"/>
      <protection locked="0"/>
    </xf>
    <xf numFmtId="3" fontId="0" fillId="4" borderId="8" xfId="0" applyNumberFormat="1" applyFill="1" applyBorder="1" applyAlignment="1" applyProtection="1">
      <alignment horizontal="center" wrapText="1"/>
      <protection locked="0"/>
    </xf>
    <xf numFmtId="9" fontId="0" fillId="4" borderId="8" xfId="1" applyFont="1" applyFill="1" applyBorder="1" applyAlignment="1" applyProtection="1">
      <alignment horizontal="center" wrapText="1"/>
      <protection locked="0"/>
    </xf>
    <xf numFmtId="0" fontId="0" fillId="4" borderId="8" xfId="0" applyFill="1" applyBorder="1" applyAlignment="1" applyProtection="1">
      <alignment horizontal="right" wrapText="1"/>
      <protection locked="0"/>
    </xf>
    <xf numFmtId="14" fontId="0" fillId="4" borderId="8" xfId="0" applyNumberFormat="1" applyFill="1" applyBorder="1" applyAlignment="1" applyProtection="1">
      <alignment horizontal="center" vertical="center" wrapText="1"/>
      <protection locked="0"/>
    </xf>
    <xf numFmtId="0" fontId="25" fillId="2" borderId="19" xfId="0" applyFont="1" applyFill="1" applyBorder="1" applyProtection="1">
      <protection locked="0"/>
    </xf>
    <xf numFmtId="0" fontId="0" fillId="0" borderId="10" xfId="0" applyBorder="1" applyAlignment="1" applyProtection="1">
      <alignment wrapText="1"/>
      <protection locked="0"/>
    </xf>
    <xf numFmtId="1" fontId="0" fillId="0" borderId="2" xfId="0" applyNumberFormat="1" applyBorder="1" applyAlignment="1" applyProtection="1">
      <alignment wrapText="1"/>
      <protection locked="0"/>
    </xf>
    <xf numFmtId="0" fontId="0" fillId="0" borderId="2" xfId="0" applyBorder="1" applyAlignment="1" applyProtection="1">
      <alignment wrapText="1"/>
      <protection locked="0"/>
    </xf>
    <xf numFmtId="0" fontId="0" fillId="0" borderId="2" xfId="0" applyBorder="1" applyAlignment="1" applyProtection="1">
      <alignment horizontal="center" wrapText="1"/>
      <protection locked="0"/>
    </xf>
    <xf numFmtId="168" fontId="0" fillId="0" borderId="2" xfId="2" applyNumberFormat="1" applyFont="1" applyBorder="1" applyAlignment="1" applyProtection="1">
      <alignment horizontal="center" vertical="center" wrapText="1"/>
      <protection locked="0"/>
    </xf>
    <xf numFmtId="0" fontId="0" fillId="9" borderId="2" xfId="0" applyFill="1" applyBorder="1" applyAlignment="1" applyProtection="1">
      <alignment wrapText="1"/>
      <protection locked="0"/>
    </xf>
    <xf numFmtId="0" fontId="0" fillId="0" borderId="3" xfId="0" applyBorder="1" applyAlignment="1" applyProtection="1">
      <alignment wrapText="1"/>
      <protection locked="0"/>
    </xf>
    <xf numFmtId="0" fontId="8" fillId="0" borderId="0" xfId="0" applyFont="1" applyProtection="1">
      <protection locked="0"/>
    </xf>
    <xf numFmtId="0" fontId="73" fillId="0" borderId="0" xfId="0" applyFont="1"/>
    <xf numFmtId="3" fontId="31" fillId="7" borderId="27" xfId="77" applyNumberFormat="1" applyFont="1" applyFill="1" applyBorder="1" applyAlignment="1" applyProtection="1">
      <alignment horizontal="center" vertical="center" wrapText="1" readingOrder="2"/>
    </xf>
    <xf numFmtId="3" fontId="47" fillId="4" borderId="44" xfId="83" applyNumberFormat="1" applyFont="1" applyFill="1" applyBorder="1" applyAlignment="1" applyProtection="1">
      <alignment horizontal="center" vertical="center" readingOrder="2"/>
      <protection locked="0"/>
    </xf>
    <xf numFmtId="3" fontId="31" fillId="7" borderId="13" xfId="77" applyNumberFormat="1" applyFont="1" applyFill="1" applyBorder="1" applyAlignment="1" applyProtection="1">
      <alignment horizontal="center" vertical="center" wrapText="1"/>
      <protection locked="0"/>
    </xf>
    <xf numFmtId="10" fontId="0" fillId="37" borderId="8" xfId="1" applyNumberFormat="1" applyFont="1" applyFill="1" applyBorder="1" applyAlignment="1" applyProtection="1">
      <alignment horizontal="center" wrapText="1"/>
      <protection locked="0"/>
    </xf>
    <xf numFmtId="168" fontId="15" fillId="37" borderId="8" xfId="2" applyNumberFormat="1" applyFont="1" applyFill="1" applyBorder="1" applyAlignment="1" applyProtection="1">
      <alignment horizontal="center" wrapText="1"/>
    </xf>
    <xf numFmtId="0" fontId="20" fillId="37" borderId="8" xfId="0" applyFont="1" applyFill="1" applyBorder="1" applyAlignment="1" applyProtection="1">
      <alignment horizontal="right" wrapText="1"/>
      <protection locked="0"/>
    </xf>
    <xf numFmtId="0" fontId="0" fillId="37" borderId="8" xfId="0" applyFill="1" applyBorder="1" applyAlignment="1" applyProtection="1">
      <alignment horizontal="right" wrapText="1"/>
      <protection locked="0"/>
    </xf>
    <xf numFmtId="3" fontId="31" fillId="7" borderId="27" xfId="77" applyNumberFormat="1" applyFont="1" applyFill="1" applyBorder="1" applyAlignment="1" applyProtection="1">
      <alignment horizontal="center" vertical="center" wrapText="1"/>
    </xf>
    <xf numFmtId="3" fontId="31" fillId="36" borderId="27" xfId="77" applyNumberFormat="1" applyFont="1" applyFill="1" applyBorder="1" applyAlignment="1" applyProtection="1">
      <alignment horizontal="center" vertical="center" wrapText="1"/>
    </xf>
    <xf numFmtId="0" fontId="15" fillId="8" borderId="41" xfId="0" applyFont="1" applyFill="1" applyBorder="1" applyAlignment="1">
      <alignment horizontal="left"/>
    </xf>
    <xf numFmtId="1" fontId="0" fillId="4" borderId="44" xfId="0" applyNumberFormat="1" applyFill="1" applyBorder="1" applyAlignment="1">
      <alignment horizontal="center" vertical="center"/>
    </xf>
    <xf numFmtId="3" fontId="15" fillId="8" borderId="26" xfId="0" applyNumberFormat="1" applyFont="1" applyFill="1" applyBorder="1" applyAlignment="1">
      <alignment horizontal="center" vertical="center" wrapText="1"/>
    </xf>
    <xf numFmtId="0" fontId="15" fillId="38" borderId="2" xfId="0" applyFont="1" applyFill="1" applyBorder="1" applyAlignment="1">
      <alignment horizontal="center" vertical="center" wrapText="1"/>
    </xf>
    <xf numFmtId="3" fontId="0" fillId="38" borderId="8" xfId="0" applyNumberFormat="1" applyFill="1" applyBorder="1" applyAlignment="1">
      <alignment horizontal="center" wrapText="1"/>
    </xf>
    <xf numFmtId="0" fontId="34" fillId="13" borderId="60" xfId="8" applyFont="1" applyFill="1" applyBorder="1" applyAlignment="1" applyProtection="1">
      <alignment horizontal="centerContinuous" wrapText="1"/>
    </xf>
    <xf numFmtId="0" fontId="35" fillId="13" borderId="60" xfId="8" applyFont="1" applyFill="1" applyBorder="1" applyAlignment="1" applyProtection="1">
      <alignment horizontal="centerContinuous"/>
    </xf>
    <xf numFmtId="3" fontId="74" fillId="0" borderId="0" xfId="2507" applyNumberFormat="1" applyFont="1" applyAlignment="1" applyProtection="1">
      <alignment wrapText="1"/>
    </xf>
    <xf numFmtId="3" fontId="74" fillId="0" borderId="0" xfId="2507" applyNumberFormat="1" applyFont="1" applyAlignment="1" applyProtection="1">
      <alignment wrapText="1"/>
      <protection locked="0"/>
    </xf>
    <xf numFmtId="173" fontId="74" fillId="0" borderId="0" xfId="2507" applyNumberFormat="1" applyFont="1" applyAlignment="1" applyProtection="1">
      <alignment wrapText="1"/>
      <protection locked="0"/>
    </xf>
    <xf numFmtId="0" fontId="75" fillId="0" borderId="0" xfId="2509" applyFont="1" applyAlignment="1">
      <alignment wrapText="1"/>
    </xf>
    <xf numFmtId="171" fontId="75" fillId="0" borderId="0" xfId="2508" applyFont="1" applyAlignment="1">
      <alignment wrapText="1"/>
    </xf>
    <xf numFmtId="3" fontId="74" fillId="0" borderId="0" xfId="2507" applyNumberFormat="1" applyFont="1" applyAlignment="1" applyProtection="1">
      <alignment horizontal="center" wrapText="1"/>
      <protection locked="0"/>
    </xf>
    <xf numFmtId="173" fontId="74" fillId="0" borderId="0" xfId="2507" applyNumberFormat="1" applyFont="1" applyAlignment="1" applyProtection="1">
      <alignment wrapText="1"/>
    </xf>
    <xf numFmtId="0" fontId="74" fillId="0" borderId="0" xfId="0" applyFont="1" applyAlignment="1" applyProtection="1">
      <alignment wrapText="1"/>
      <protection locked="0"/>
    </xf>
    <xf numFmtId="0" fontId="74" fillId="0" borderId="0" xfId="0" applyFont="1" applyAlignment="1">
      <alignment wrapText="1"/>
    </xf>
    <xf numFmtId="0" fontId="76" fillId="0" borderId="58" xfId="0" applyFont="1" applyBorder="1" applyAlignment="1" applyProtection="1">
      <alignment wrapText="1"/>
      <protection locked="0"/>
    </xf>
    <xf numFmtId="0" fontId="76" fillId="0" borderId="58" xfId="0" applyFont="1" applyFill="1" applyBorder="1" applyAlignment="1" applyProtection="1">
      <alignment wrapText="1"/>
      <protection locked="0"/>
    </xf>
    <xf numFmtId="0" fontId="76" fillId="0" borderId="58" xfId="0" applyFont="1" applyBorder="1" applyProtection="1">
      <protection locked="0"/>
    </xf>
    <xf numFmtId="0" fontId="76" fillId="37" borderId="58" xfId="0" applyFont="1" applyFill="1" applyBorder="1" applyProtection="1">
      <protection locked="0"/>
    </xf>
    <xf numFmtId="0" fontId="76" fillId="37" borderId="58" xfId="0" applyFont="1" applyFill="1" applyBorder="1" applyAlignment="1" applyProtection="1">
      <alignment wrapText="1"/>
      <protection locked="0"/>
    </xf>
    <xf numFmtId="0" fontId="77" fillId="0" borderId="58" xfId="0" applyFont="1" applyBorder="1" applyProtection="1">
      <protection locked="0"/>
    </xf>
    <xf numFmtId="0" fontId="77" fillId="0" borderId="58" xfId="0" applyFont="1" applyBorder="1" applyAlignment="1" applyProtection="1">
      <alignment horizontal="center"/>
      <protection locked="0"/>
    </xf>
    <xf numFmtId="3" fontId="76" fillId="0" borderId="58" xfId="77" applyNumberFormat="1" applyFont="1" applyFill="1" applyBorder="1" applyAlignment="1" applyProtection="1">
      <alignment horizontal="center" vertical="top" wrapText="1"/>
      <protection locked="0"/>
    </xf>
    <xf numFmtId="0" fontId="76" fillId="0" borderId="0" xfId="0" applyFont="1" applyFill="1" applyProtection="1">
      <protection locked="0"/>
    </xf>
    <xf numFmtId="0" fontId="78" fillId="0" borderId="58" xfId="998" applyFont="1" applyBorder="1" applyAlignment="1" applyProtection="1">
      <alignment vertical="top"/>
      <protection locked="0"/>
    </xf>
    <xf numFmtId="0" fontId="76" fillId="0" borderId="58" xfId="0" applyFont="1" applyBorder="1" applyAlignment="1" applyProtection="1">
      <alignment horizontal="center" vertical="top" wrapText="1"/>
      <protection locked="0"/>
    </xf>
    <xf numFmtId="0" fontId="78" fillId="0" borderId="58" xfId="998" applyFont="1" applyBorder="1" applyAlignment="1" applyProtection="1">
      <alignment horizontal="right" vertical="top" readingOrder="2"/>
      <protection locked="0"/>
    </xf>
    <xf numFmtId="3" fontId="76" fillId="0" borderId="58" xfId="77" applyNumberFormat="1" applyFont="1" applyBorder="1" applyAlignment="1" applyProtection="1">
      <alignment horizontal="center" vertical="top" wrapText="1"/>
      <protection locked="0"/>
    </xf>
    <xf numFmtId="3" fontId="76" fillId="39" borderId="58" xfId="77" applyNumberFormat="1" applyFont="1" applyFill="1" applyBorder="1" applyAlignment="1" applyProtection="1">
      <alignment horizontal="center" vertical="top" wrapText="1"/>
      <protection locked="0"/>
    </xf>
    <xf numFmtId="3" fontId="76" fillId="0" borderId="58" xfId="77" applyNumberFormat="1" applyFont="1" applyBorder="1" applyAlignment="1" applyProtection="1">
      <alignment horizontal="right" vertical="top" wrapText="1" readingOrder="2"/>
      <protection locked="0"/>
    </xf>
    <xf numFmtId="3" fontId="76" fillId="5" borderId="59" xfId="77" applyNumberFormat="1" applyFont="1" applyFill="1" applyBorder="1" applyAlignment="1" applyProtection="1">
      <alignment horizontal="center" vertical="top" wrapText="1"/>
      <protection locked="0"/>
    </xf>
    <xf numFmtId="3" fontId="76" fillId="5" borderId="59" xfId="77" applyNumberFormat="1" applyFont="1" applyFill="1" applyBorder="1" applyAlignment="1" applyProtection="1">
      <alignment horizontal="right" vertical="top" wrapText="1" readingOrder="2"/>
      <protection locked="0"/>
    </xf>
    <xf numFmtId="3" fontId="76" fillId="5" borderId="58" xfId="77" applyNumberFormat="1" applyFont="1" applyFill="1" applyBorder="1" applyAlignment="1" applyProtection="1">
      <alignment horizontal="right" vertical="top" wrapText="1" readingOrder="2"/>
      <protection locked="0"/>
    </xf>
    <xf numFmtId="3" fontId="78" fillId="0" borderId="58" xfId="998" applyNumberFormat="1" applyFont="1" applyBorder="1" applyAlignment="1" applyProtection="1">
      <alignment vertical="top"/>
      <protection locked="0"/>
    </xf>
    <xf numFmtId="0" fontId="76" fillId="40" borderId="58" xfId="0" applyFont="1" applyFill="1" applyBorder="1" applyAlignment="1" applyProtection="1">
      <alignment vertical="top" wrapText="1"/>
      <protection locked="0"/>
    </xf>
    <xf numFmtId="3" fontId="78" fillId="0" borderId="58" xfId="998" applyNumberFormat="1" applyFont="1" applyBorder="1" applyAlignment="1" applyProtection="1">
      <alignment horizontal="right" vertical="top" readingOrder="2"/>
      <protection locked="0"/>
    </xf>
    <xf numFmtId="0" fontId="76" fillId="40" borderId="58" xfId="0" applyFont="1" applyFill="1" applyBorder="1" applyAlignment="1" applyProtection="1">
      <alignment horizontal="right" vertical="top" wrapText="1" readingOrder="2"/>
      <protection locked="0"/>
    </xf>
    <xf numFmtId="0" fontId="15" fillId="41" borderId="0" xfId="0" applyFont="1" applyFill="1" applyAlignment="1">
      <alignment vertical="center" wrapText="1"/>
    </xf>
    <xf numFmtId="3" fontId="27" fillId="7" borderId="22" xfId="1116" applyNumberFormat="1" applyFont="1" applyFill="1" applyBorder="1" applyAlignment="1" applyProtection="1">
      <alignment horizontal="center" vertical="center" wrapText="1"/>
    </xf>
    <xf numFmtId="3" fontId="22" fillId="0" borderId="0" xfId="2514" applyNumberFormat="1" applyFont="1"/>
    <xf numFmtId="3" fontId="27" fillId="7" borderId="16" xfId="1116" applyNumberFormat="1" applyFont="1" applyFill="1" applyBorder="1" applyAlignment="1" applyProtection="1">
      <alignment horizontal="center" vertical="center" wrapText="1"/>
    </xf>
    <xf numFmtId="3" fontId="81" fillId="0" borderId="0" xfId="2514" applyNumberFormat="1" applyFont="1" applyAlignment="1" applyProtection="1">
      <alignment horizontal="right" vertical="center"/>
    </xf>
    <xf numFmtId="3" fontId="79" fillId="0" borderId="0" xfId="2514" applyNumberFormat="1" applyFont="1"/>
    <xf numFmtId="3" fontId="31" fillId="7" borderId="23" xfId="2515" applyNumberFormat="1" applyFont="1" applyFill="1" applyBorder="1" applyAlignment="1" applyProtection="1">
      <alignment horizontal="center" vertical="center" wrapText="1"/>
    </xf>
    <xf numFmtId="3" fontId="39" fillId="2" borderId="23" xfId="2514" applyNumberFormat="1" applyFont="1" applyFill="1" applyBorder="1" applyAlignment="1">
      <alignment horizontal="center" vertical="center" wrapText="1"/>
    </xf>
    <xf numFmtId="3" fontId="31" fillId="7" borderId="61" xfId="2515" applyNumberFormat="1" applyFont="1" applyFill="1" applyBorder="1" applyAlignment="1" applyProtection="1">
      <alignment horizontal="center" vertical="center" wrapText="1"/>
    </xf>
    <xf numFmtId="3" fontId="31" fillId="0" borderId="0" xfId="2514" applyNumberFormat="1" applyFont="1"/>
    <xf numFmtId="3" fontId="31" fillId="7" borderId="54" xfId="2515" applyNumberFormat="1" applyFont="1" applyFill="1" applyBorder="1" applyAlignment="1" applyProtection="1">
      <alignment horizontal="center" vertical="center" wrapText="1"/>
    </xf>
    <xf numFmtId="3" fontId="31" fillId="9" borderId="54" xfId="2514" applyNumberFormat="1" applyFont="1" applyFill="1" applyBorder="1" applyAlignment="1">
      <alignment horizontal="center" vertical="center" wrapText="1"/>
    </xf>
    <xf numFmtId="3" fontId="31" fillId="7" borderId="62" xfId="2515" applyNumberFormat="1" applyFont="1" applyFill="1" applyBorder="1" applyAlignment="1" applyProtection="1">
      <alignment horizontal="center" vertical="center" wrapText="1"/>
    </xf>
    <xf numFmtId="1" fontId="40" fillId="4" borderId="64" xfId="79" applyNumberFormat="1" applyFont="1" applyFill="1" applyBorder="1" applyAlignment="1" applyProtection="1">
      <alignment horizontal="center"/>
    </xf>
    <xf numFmtId="3" fontId="41" fillId="4" borderId="8" xfId="2516" applyNumberFormat="1" applyFont="1" applyFill="1" applyBorder="1" applyAlignment="1" applyProtection="1">
      <alignment horizontal="right" vertical="center" readingOrder="2"/>
    </xf>
    <xf numFmtId="167" fontId="41" fillId="0" borderId="8" xfId="2517" applyNumberFormat="1" applyFont="1" applyFill="1" applyBorder="1" applyAlignment="1" applyProtection="1">
      <alignment horizontal="center" vertical="center" readingOrder="1"/>
      <protection locked="0"/>
    </xf>
    <xf numFmtId="167" fontId="41" fillId="5" borderId="8" xfId="56" applyNumberFormat="1" applyFont="1" applyFill="1" applyBorder="1" applyAlignment="1" applyProtection="1">
      <alignment horizontal="center"/>
    </xf>
    <xf numFmtId="3" fontId="41" fillId="4" borderId="8" xfId="56" applyNumberFormat="1" applyFont="1" applyFill="1" applyBorder="1" applyAlignment="1" applyProtection="1">
      <alignment horizontal="center"/>
    </xf>
    <xf numFmtId="3" fontId="40" fillId="4" borderId="8" xfId="2518" applyNumberFormat="1" applyFont="1" applyFill="1" applyBorder="1" applyAlignment="1" applyProtection="1">
      <alignment horizontal="center"/>
    </xf>
    <xf numFmtId="167" fontId="40" fillId="4" borderId="8" xfId="2518" applyNumberFormat="1" applyFont="1" applyFill="1" applyBorder="1" applyAlignment="1" applyProtection="1">
      <alignment horizontal="center"/>
    </xf>
    <xf numFmtId="167" fontId="40" fillId="3" borderId="8" xfId="79" applyNumberFormat="1" applyFont="1" applyFill="1" applyBorder="1" applyAlignment="1" applyProtection="1">
      <alignment horizontal="center"/>
    </xf>
    <xf numFmtId="10" fontId="40" fillId="3" borderId="8" xfId="56" applyNumberFormat="1" applyFont="1" applyFill="1" applyBorder="1" applyAlignment="1" applyProtection="1">
      <alignment horizontal="center"/>
    </xf>
    <xf numFmtId="3" fontId="82" fillId="0" borderId="0" xfId="79" applyNumberFormat="1" applyFont="1" applyProtection="1"/>
    <xf numFmtId="3" fontId="32" fillId="42" borderId="2" xfId="79" applyNumberFormat="1" applyFont="1" applyFill="1" applyBorder="1" applyAlignment="1">
      <alignment horizontal="center" vertical="center"/>
    </xf>
    <xf numFmtId="9" fontId="32" fillId="42" borderId="2" xfId="2518" applyFont="1" applyFill="1" applyBorder="1" applyAlignment="1">
      <alignment horizontal="center" vertical="center"/>
    </xf>
    <xf numFmtId="3" fontId="31" fillId="7" borderId="41" xfId="2515" applyNumberFormat="1" applyFont="1" applyFill="1" applyBorder="1" applyAlignment="1" applyProtection="1">
      <alignment horizontal="center" vertical="center" wrapText="1"/>
    </xf>
    <xf numFmtId="171" fontId="31" fillId="7" borderId="33" xfId="2515" applyFont="1" applyFill="1" applyBorder="1" applyAlignment="1" applyProtection="1">
      <alignment horizontal="center" vertical="center" wrapText="1"/>
    </xf>
    <xf numFmtId="1" fontId="41" fillId="4" borderId="44" xfId="79" applyNumberFormat="1" applyFont="1" applyFill="1" applyBorder="1" applyAlignment="1" applyProtection="1">
      <alignment horizontal="center"/>
    </xf>
    <xf numFmtId="10" fontId="41" fillId="5" borderId="8" xfId="1" applyNumberFormat="1" applyFont="1" applyFill="1" applyBorder="1" applyAlignment="1" applyProtection="1">
      <alignment horizontal="center"/>
    </xf>
    <xf numFmtId="10" fontId="32" fillId="42" borderId="2" xfId="1" applyNumberFormat="1" applyFont="1" applyFill="1" applyBorder="1" applyAlignment="1">
      <alignment horizontal="center" vertical="center"/>
    </xf>
    <xf numFmtId="0" fontId="42" fillId="43" borderId="58" xfId="987" applyFont="1" applyFill="1" applyBorder="1"/>
    <xf numFmtId="0" fontId="42" fillId="9" borderId="58" xfId="987" applyFont="1" applyFill="1" applyBorder="1"/>
    <xf numFmtId="0" fontId="42" fillId="0" borderId="0" xfId="987" applyNumberFormat="1" applyFont="1"/>
    <xf numFmtId="0" fontId="42" fillId="0" borderId="0" xfId="987" applyFont="1"/>
    <xf numFmtId="0" fontId="0" fillId="0" borderId="0" xfId="0" applyAlignment="1" applyProtection="1">
      <alignment horizontal="center" vertical="center" wrapText="1"/>
    </xf>
    <xf numFmtId="0" fontId="15" fillId="0" borderId="0" xfId="0" applyFont="1" applyAlignment="1" applyProtection="1">
      <alignment wrapText="1"/>
    </xf>
    <xf numFmtId="0" fontId="15" fillId="8" borderId="1" xfId="0" applyFont="1" applyFill="1" applyBorder="1" applyAlignment="1" applyProtection="1">
      <alignment horizontal="center" vertical="center" wrapText="1"/>
    </xf>
    <xf numFmtId="3" fontId="15" fillId="8" borderId="26" xfId="0" applyNumberFormat="1" applyFont="1" applyFill="1" applyBorder="1" applyAlignment="1" applyProtection="1">
      <alignment horizontal="center" vertical="center" wrapText="1"/>
    </xf>
    <xf numFmtId="3" fontId="15" fillId="8" borderId="2" xfId="0" applyNumberFormat="1" applyFont="1" applyFill="1" applyBorder="1" applyAlignment="1" applyProtection="1">
      <alignment horizontal="center" vertical="center" wrapText="1"/>
    </xf>
    <xf numFmtId="0" fontId="15" fillId="38" borderId="2" xfId="0" applyFont="1" applyFill="1" applyBorder="1" applyAlignment="1" applyProtection="1">
      <alignment horizontal="center" vertical="center" wrapText="1"/>
    </xf>
    <xf numFmtId="0" fontId="15" fillId="8" borderId="3" xfId="0" applyFont="1" applyFill="1" applyBorder="1" applyAlignment="1" applyProtection="1">
      <alignment horizontal="center" vertical="center" wrapText="1"/>
    </xf>
    <xf numFmtId="0" fontId="15" fillId="41" borderId="0" xfId="0" applyFont="1" applyFill="1" applyAlignment="1" applyProtection="1">
      <alignment vertical="center" wrapText="1"/>
    </xf>
    <xf numFmtId="0" fontId="15" fillId="8" borderId="0" xfId="0" applyFont="1" applyFill="1" applyBorder="1" applyAlignment="1" applyProtection="1">
      <alignment horizontal="center" vertical="center" wrapText="1"/>
    </xf>
    <xf numFmtId="1" fontId="0" fillId="4" borderId="7" xfId="0" applyNumberFormat="1" applyFill="1" applyBorder="1" applyAlignment="1" applyProtection="1">
      <alignment horizontal="center" vertical="center"/>
    </xf>
    <xf numFmtId="1" fontId="0" fillId="4" borderId="44" xfId="0" applyNumberFormat="1" applyFill="1" applyBorder="1" applyAlignment="1" applyProtection="1">
      <alignment horizontal="center" vertical="center"/>
    </xf>
    <xf numFmtId="1" fontId="0" fillId="4" borderId="8" xfId="0" applyNumberFormat="1" applyFill="1" applyBorder="1" applyAlignment="1" applyProtection="1">
      <alignment horizontal="center" wrapText="1"/>
    </xf>
    <xf numFmtId="3" fontId="0" fillId="4" borderId="8" xfId="0" applyNumberFormat="1" applyFill="1" applyBorder="1" applyAlignment="1" applyProtection="1">
      <alignment horizontal="center" wrapText="1"/>
    </xf>
    <xf numFmtId="3" fontId="0" fillId="38" borderId="8" xfId="0" applyNumberFormat="1" applyFill="1" applyBorder="1" applyAlignment="1" applyProtection="1">
      <alignment horizontal="center" wrapText="1"/>
    </xf>
    <xf numFmtId="3" fontId="0" fillId="6" borderId="8" xfId="0" applyNumberFormat="1" applyFill="1" applyBorder="1" applyAlignment="1" applyProtection="1">
      <alignment horizontal="center" wrapText="1"/>
    </xf>
    <xf numFmtId="3" fontId="0" fillId="6" borderId="8" xfId="0" applyNumberFormat="1" applyFill="1" applyBorder="1" applyAlignment="1" applyProtection="1">
      <alignment horizontal="center" vertical="center" wrapText="1"/>
    </xf>
    <xf numFmtId="10" fontId="0" fillId="37" borderId="8" xfId="1" applyNumberFormat="1" applyFont="1" applyFill="1" applyBorder="1" applyAlignment="1" applyProtection="1">
      <alignment horizontal="center" wrapText="1"/>
    </xf>
    <xf numFmtId="0" fontId="20" fillId="37" borderId="8" xfId="0" applyFont="1" applyFill="1" applyBorder="1" applyAlignment="1" applyProtection="1">
      <alignment horizontal="right" wrapText="1"/>
    </xf>
    <xf numFmtId="0" fontId="0" fillId="0" borderId="0" xfId="0" applyAlignment="1" applyProtection="1">
      <alignment horizontal="right" wrapText="1"/>
    </xf>
    <xf numFmtId="169" fontId="0" fillId="0" borderId="0" xfId="0" applyNumberFormat="1" applyAlignment="1" applyProtection="1">
      <alignment horizontal="right" wrapText="1"/>
    </xf>
    <xf numFmtId="0" fontId="0" fillId="0" borderId="0" xfId="0" applyAlignment="1" applyProtection="1">
      <alignment horizontal="right"/>
    </xf>
    <xf numFmtId="0" fontId="0" fillId="37" borderId="8" xfId="0" applyFill="1" applyBorder="1" applyAlignment="1" applyProtection="1">
      <alignment horizontal="right" wrapText="1"/>
    </xf>
    <xf numFmtId="1" fontId="0" fillId="0" borderId="0" xfId="0" applyNumberFormat="1" applyAlignment="1" applyProtection="1">
      <alignment wrapText="1"/>
    </xf>
    <xf numFmtId="168" fontId="0" fillId="0" borderId="0" xfId="2" applyNumberFormat="1" applyFont="1" applyAlignment="1" applyProtection="1">
      <alignment wrapText="1"/>
    </xf>
    <xf numFmtId="168" fontId="0" fillId="0" borderId="0" xfId="2" applyNumberFormat="1" applyFont="1" applyAlignment="1" applyProtection="1">
      <alignment horizontal="center" wrapText="1"/>
    </xf>
    <xf numFmtId="0" fontId="22" fillId="0" borderId="31" xfId="8" applyFont="1" applyBorder="1" applyAlignment="1" applyProtection="1">
      <alignment horizontal="right"/>
    </xf>
    <xf numFmtId="0" fontId="22" fillId="0" borderId="37" xfId="8" applyFont="1" applyBorder="1" applyAlignment="1" applyProtection="1">
      <alignment horizontal="right"/>
    </xf>
    <xf numFmtId="0" fontId="22" fillId="0" borderId="36" xfId="8" applyFont="1" applyBorder="1" applyAlignment="1" applyProtection="1">
      <alignment horizontal="right"/>
    </xf>
    <xf numFmtId="0" fontId="26" fillId="7" borderId="19" xfId="9" applyFont="1" applyFill="1" applyBorder="1" applyAlignment="1" applyProtection="1">
      <alignment horizontal="center" vertical="center" wrapText="1"/>
    </xf>
    <xf numFmtId="0" fontId="26" fillId="7" borderId="10" xfId="9" applyFont="1" applyFill="1" applyBorder="1" applyAlignment="1" applyProtection="1">
      <alignment horizontal="center" vertical="center" wrapText="1"/>
    </xf>
    <xf numFmtId="0" fontId="26" fillId="7" borderId="20" xfId="9" applyFont="1" applyFill="1" applyBorder="1" applyAlignment="1" applyProtection="1">
      <alignment horizontal="center" vertical="center" wrapText="1"/>
    </xf>
    <xf numFmtId="0" fontId="28" fillId="11" borderId="19" xfId="8" applyFont="1" applyFill="1" applyBorder="1" applyAlignment="1" applyProtection="1">
      <alignment horizontal="center" vertical="center" wrapText="1"/>
    </xf>
    <xf numFmtId="0" fontId="28" fillId="11" borderId="10" xfId="8" applyFont="1" applyFill="1" applyBorder="1" applyAlignment="1" applyProtection="1">
      <alignment horizontal="center" vertical="center" wrapText="1"/>
    </xf>
    <xf numFmtId="0" fontId="28" fillId="11" borderId="20" xfId="8" applyFont="1" applyFill="1" applyBorder="1" applyAlignment="1" applyProtection="1">
      <alignment horizontal="center" vertical="center" wrapText="1"/>
    </xf>
    <xf numFmtId="0" fontId="29" fillId="7" borderId="0" xfId="8" applyFont="1" applyFill="1" applyAlignment="1" applyProtection="1">
      <alignment horizontal="center"/>
    </xf>
    <xf numFmtId="0" fontId="27" fillId="8" borderId="31" xfId="8" applyFont="1" applyFill="1" applyBorder="1" applyAlignment="1" applyProtection="1">
      <alignment horizontal="center"/>
    </xf>
    <xf numFmtId="0" fontId="27" fillId="8" borderId="37" xfId="8" applyFont="1" applyFill="1" applyBorder="1" applyAlignment="1" applyProtection="1">
      <alignment horizontal="center"/>
    </xf>
    <xf numFmtId="0" fontId="27" fillId="8" borderId="36" xfId="8" applyFont="1" applyFill="1" applyBorder="1" applyAlignment="1" applyProtection="1">
      <alignment horizontal="center"/>
    </xf>
    <xf numFmtId="0" fontId="22" fillId="0" borderId="31" xfId="8" applyFont="1" applyBorder="1" applyAlignment="1" applyProtection="1">
      <alignment horizontal="right" wrapText="1"/>
    </xf>
    <xf numFmtId="0" fontId="22" fillId="0" borderId="37" xfId="8" applyFont="1" applyBorder="1" applyAlignment="1" applyProtection="1">
      <alignment horizontal="right" wrapText="1"/>
    </xf>
    <xf numFmtId="0" fontId="22" fillId="0" borderId="36" xfId="8" applyFont="1" applyBorder="1" applyAlignment="1" applyProtection="1">
      <alignment horizontal="right" wrapText="1"/>
    </xf>
    <xf numFmtId="0" fontId="30" fillId="0" borderId="38" xfId="8" applyFont="1" applyBorder="1" applyAlignment="1" applyProtection="1">
      <alignment horizontal="center" vertical="center" wrapText="1"/>
    </xf>
    <xf numFmtId="0" fontId="30" fillId="0" borderId="0" xfId="8" applyFont="1" applyBorder="1" applyAlignment="1" applyProtection="1">
      <alignment horizontal="center" vertical="center" wrapText="1"/>
    </xf>
    <xf numFmtId="0" fontId="27" fillId="7" borderId="11" xfId="9" applyFont="1" applyFill="1" applyBorder="1" applyAlignment="1" applyProtection="1">
      <alignment horizontal="center" vertical="center" wrapText="1"/>
    </xf>
    <xf numFmtId="0" fontId="27" fillId="7" borderId="4" xfId="9" applyFont="1" applyFill="1" applyBorder="1" applyAlignment="1" applyProtection="1">
      <alignment horizontal="center" vertical="center" wrapText="1"/>
    </xf>
    <xf numFmtId="0" fontId="27" fillId="7" borderId="12" xfId="9" applyFont="1" applyFill="1" applyBorder="1" applyAlignment="1" applyProtection="1">
      <alignment horizontal="center" vertical="center" wrapText="1"/>
    </xf>
    <xf numFmtId="0" fontId="31" fillId="0" borderId="31" xfId="8" applyFont="1" applyBorder="1" applyAlignment="1" applyProtection="1">
      <alignment horizontal="center"/>
    </xf>
    <xf numFmtId="0" fontId="31" fillId="0" borderId="37" xfId="8" applyFont="1" applyBorder="1" applyAlignment="1" applyProtection="1">
      <alignment horizontal="center"/>
    </xf>
    <xf numFmtId="0" fontId="31" fillId="0" borderId="36" xfId="8" applyFont="1" applyBorder="1" applyAlignment="1" applyProtection="1">
      <alignment horizontal="center"/>
    </xf>
    <xf numFmtId="0" fontId="22" fillId="0" borderId="31" xfId="8" applyFont="1" applyBorder="1" applyAlignment="1" applyProtection="1">
      <alignment horizontal="center" wrapText="1"/>
    </xf>
    <xf numFmtId="0" fontId="22" fillId="0" borderId="37" xfId="8" applyFont="1" applyBorder="1" applyAlignment="1" applyProtection="1">
      <alignment horizontal="center" wrapText="1"/>
    </xf>
    <xf numFmtId="0" fontId="22" fillId="0" borderId="36" xfId="8" applyFont="1" applyBorder="1" applyAlignment="1" applyProtection="1">
      <alignment horizontal="center" wrapText="1"/>
    </xf>
    <xf numFmtId="0" fontId="13" fillId="2" borderId="11" xfId="0" applyFont="1" applyFill="1" applyBorder="1" applyAlignment="1">
      <alignment horizontal="center" vertical="center" wrapText="1"/>
    </xf>
    <xf numFmtId="0" fontId="13" fillId="2" borderId="12" xfId="0" applyFont="1" applyFill="1" applyBorder="1" applyAlignment="1">
      <alignment horizontal="center" vertical="center" wrapText="1"/>
    </xf>
    <xf numFmtId="3" fontId="27" fillId="7" borderId="19" xfId="77" applyNumberFormat="1" applyFont="1" applyFill="1" applyBorder="1" applyAlignment="1" applyProtection="1">
      <alignment horizontal="center" vertical="center" wrapText="1"/>
    </xf>
    <xf numFmtId="3" fontId="27" fillId="7" borderId="10" xfId="77" applyNumberFormat="1" applyFont="1" applyFill="1" applyBorder="1" applyAlignment="1" applyProtection="1">
      <alignment horizontal="center" vertical="center" wrapText="1"/>
    </xf>
    <xf numFmtId="3" fontId="31" fillId="7" borderId="27" xfId="77" applyNumberFormat="1" applyFont="1" applyFill="1" applyBorder="1" applyAlignment="1" applyProtection="1">
      <alignment horizontal="center" vertical="center" wrapText="1"/>
    </xf>
    <xf numFmtId="171" fontId="31" fillId="7" borderId="43" xfId="77" applyFont="1" applyFill="1" applyBorder="1" applyAlignment="1" applyProtection="1">
      <alignment horizontal="center" vertical="center" wrapText="1"/>
    </xf>
    <xf numFmtId="3" fontId="31" fillId="7" borderId="35" xfId="77" applyNumberFormat="1" applyFont="1" applyFill="1" applyBorder="1" applyAlignment="1" applyProtection="1">
      <alignment horizontal="center" vertical="center" wrapText="1"/>
    </xf>
    <xf numFmtId="171" fontId="31" fillId="7" borderId="42" xfId="77" applyFont="1" applyFill="1" applyBorder="1" applyAlignment="1" applyProtection="1">
      <alignment horizontal="center" vertical="center" wrapText="1"/>
    </xf>
    <xf numFmtId="3" fontId="31" fillId="36" borderId="27" xfId="77" applyNumberFormat="1" applyFont="1" applyFill="1" applyBorder="1" applyAlignment="1" applyProtection="1">
      <alignment horizontal="center" vertical="center" wrapText="1"/>
    </xf>
    <xf numFmtId="171" fontId="31" fillId="36" borderId="43" xfId="77" applyFont="1" applyFill="1" applyBorder="1" applyAlignment="1" applyProtection="1">
      <alignment horizontal="center" vertical="center" wrapText="1"/>
    </xf>
    <xf numFmtId="3" fontId="31" fillId="7" borderId="43" xfId="77" applyNumberFormat="1" applyFont="1" applyFill="1" applyBorder="1" applyAlignment="1" applyProtection="1">
      <alignment horizontal="center" vertical="center" wrapText="1"/>
    </xf>
    <xf numFmtId="3" fontId="31" fillId="9" borderId="27" xfId="77" applyNumberFormat="1" applyFont="1" applyFill="1" applyBorder="1" applyAlignment="1" applyProtection="1">
      <alignment horizontal="center" vertical="center" wrapText="1"/>
    </xf>
    <xf numFmtId="171" fontId="31" fillId="9" borderId="43" xfId="77" applyFont="1" applyFill="1" applyBorder="1" applyAlignment="1" applyProtection="1">
      <alignment horizontal="center" vertical="center" wrapText="1"/>
    </xf>
    <xf numFmtId="3" fontId="31" fillId="7" borderId="41" xfId="77" applyNumberFormat="1" applyFont="1" applyFill="1" applyBorder="1" applyAlignment="1" applyProtection="1">
      <alignment horizontal="center" vertical="center" wrapText="1"/>
    </xf>
    <xf numFmtId="171" fontId="31" fillId="7" borderId="33" xfId="77" applyFont="1" applyFill="1" applyBorder="1" applyAlignment="1" applyProtection="1">
      <alignment horizontal="center" vertical="center" wrapText="1"/>
    </xf>
    <xf numFmtId="0" fontId="15" fillId="8" borderId="19" xfId="0" applyFont="1" applyFill="1" applyBorder="1" applyAlignment="1">
      <alignment horizontal="left"/>
    </xf>
    <xf numFmtId="0" fontId="15" fillId="8" borderId="10" xfId="0" applyFont="1" applyFill="1" applyBorder="1" applyAlignment="1">
      <alignment horizontal="left"/>
    </xf>
    <xf numFmtId="0" fontId="15" fillId="8" borderId="26" xfId="0" applyFont="1" applyFill="1" applyBorder="1" applyAlignment="1">
      <alignment horizontal="left"/>
    </xf>
    <xf numFmtId="0" fontId="15" fillId="8" borderId="27" xfId="0" applyFont="1" applyFill="1" applyBorder="1" applyAlignment="1">
      <alignment horizontal="center" vertical="center" wrapText="1"/>
    </xf>
    <xf numFmtId="0" fontId="15" fillId="8" borderId="43" xfId="0" applyFont="1" applyFill="1" applyBorder="1" applyAlignment="1">
      <alignment horizontal="center" vertical="center" wrapText="1"/>
    </xf>
    <xf numFmtId="3" fontId="15" fillId="8" borderId="27" xfId="0" applyNumberFormat="1" applyFont="1" applyFill="1" applyBorder="1" applyAlignment="1">
      <alignment horizontal="center" vertical="center" wrapText="1"/>
    </xf>
    <xf numFmtId="3" fontId="15" fillId="8" borderId="43" xfId="0" applyNumberFormat="1" applyFont="1" applyFill="1" applyBorder="1" applyAlignment="1">
      <alignment horizontal="center" vertical="center" wrapText="1"/>
    </xf>
    <xf numFmtId="0" fontId="68" fillId="7" borderId="19" xfId="0" applyFont="1" applyFill="1" applyBorder="1" applyAlignment="1">
      <alignment horizontal="center" vertical="center" wrapText="1"/>
    </xf>
    <xf numFmtId="0" fontId="68" fillId="7" borderId="10" xfId="0" applyFont="1" applyFill="1" applyBorder="1" applyAlignment="1">
      <alignment horizontal="center" vertical="center" wrapText="1"/>
    </xf>
    <xf numFmtId="0" fontId="15" fillId="8" borderId="27" xfId="0" applyFont="1" applyFill="1" applyBorder="1" applyAlignment="1">
      <alignment horizontal="center" vertical="center"/>
    </xf>
    <xf numFmtId="0" fontId="15" fillId="8" borderId="43" xfId="0" applyFont="1" applyFill="1" applyBorder="1" applyAlignment="1">
      <alignment horizontal="center" vertical="center"/>
    </xf>
    <xf numFmtId="0" fontId="71" fillId="2" borderId="19" xfId="0" applyFont="1" applyFill="1" applyBorder="1" applyAlignment="1">
      <alignment horizontal="center"/>
    </xf>
    <xf numFmtId="0" fontId="71" fillId="2" borderId="10" xfId="0" applyFont="1" applyFill="1" applyBorder="1" applyAlignment="1">
      <alignment horizontal="center"/>
    </xf>
    <xf numFmtId="0" fontId="73" fillId="0" borderId="0" xfId="0" applyFont="1" applyAlignment="1">
      <alignment horizontal="center" wrapText="1"/>
    </xf>
    <xf numFmtId="0" fontId="15" fillId="8" borderId="32" xfId="0" applyFont="1" applyFill="1" applyBorder="1" applyAlignment="1">
      <alignment horizontal="center" vertical="center" readingOrder="2"/>
    </xf>
    <xf numFmtId="0" fontId="15" fillId="8" borderId="33" xfId="0" applyFont="1" applyFill="1" applyBorder="1" applyAlignment="1">
      <alignment horizontal="center" vertical="center" readingOrder="2"/>
    </xf>
    <xf numFmtId="0" fontId="13" fillId="2" borderId="22"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5" fillId="8" borderId="19" xfId="0" applyFont="1" applyFill="1" applyBorder="1" applyAlignment="1">
      <alignment horizontal="right"/>
    </xf>
    <xf numFmtId="0" fontId="15" fillId="8" borderId="26" xfId="0" applyFont="1" applyFill="1" applyBorder="1" applyAlignment="1">
      <alignment horizontal="right"/>
    </xf>
    <xf numFmtId="0" fontId="19" fillId="7" borderId="0" xfId="0" applyFont="1" applyFill="1" applyBorder="1" applyAlignment="1">
      <alignment horizontal="center" wrapText="1"/>
    </xf>
    <xf numFmtId="0" fontId="19" fillId="7" borderId="0" xfId="0" applyFont="1" applyFill="1" applyBorder="1" applyAlignment="1" applyProtection="1">
      <alignment horizontal="center" wrapText="1"/>
    </xf>
    <xf numFmtId="3" fontId="82" fillId="0" borderId="0" xfId="79" applyNumberFormat="1" applyFont="1" applyAlignment="1" applyProtection="1">
      <alignment horizontal="center" wrapText="1"/>
    </xf>
    <xf numFmtId="3" fontId="39" fillId="2" borderId="65" xfId="79" applyNumberFormat="1" applyFont="1" applyFill="1" applyBorder="1" applyAlignment="1">
      <alignment horizontal="center"/>
    </xf>
    <xf numFmtId="3" fontId="39" fillId="2" borderId="10" xfId="79" applyNumberFormat="1" applyFont="1" applyFill="1" applyBorder="1" applyAlignment="1">
      <alignment horizontal="center"/>
    </xf>
    <xf numFmtId="171" fontId="39" fillId="2" borderId="26" xfId="79" applyFont="1" applyFill="1" applyBorder="1" applyAlignment="1">
      <alignment horizontal="center"/>
    </xf>
    <xf numFmtId="3" fontId="31" fillId="7" borderId="28" xfId="2515" applyNumberFormat="1" applyFont="1" applyFill="1" applyBorder="1" applyAlignment="1" applyProtection="1">
      <alignment horizontal="center" vertical="center" wrapText="1"/>
    </xf>
    <xf numFmtId="171" fontId="31" fillId="7" borderId="63" xfId="2515" applyFont="1" applyFill="1" applyBorder="1" applyAlignment="1" applyProtection="1">
      <alignment horizontal="center" vertical="center" wrapText="1"/>
    </xf>
    <xf numFmtId="3" fontId="80" fillId="0" borderId="0" xfId="2514" applyNumberFormat="1" applyFont="1" applyAlignment="1">
      <alignment horizontal="center"/>
    </xf>
    <xf numFmtId="171" fontId="80" fillId="0" borderId="0" xfId="2514" applyFont="1" applyAlignment="1">
      <alignment horizontal="center"/>
    </xf>
    <xf numFmtId="3" fontId="39" fillId="2" borderId="19" xfId="2514" applyNumberFormat="1" applyFont="1" applyFill="1" applyBorder="1" applyAlignment="1">
      <alignment horizontal="center" vertical="center" wrapText="1"/>
    </xf>
    <xf numFmtId="3" fontId="39" fillId="2" borderId="10" xfId="2514" applyNumberFormat="1" applyFont="1" applyFill="1" applyBorder="1" applyAlignment="1">
      <alignment horizontal="center" vertical="center" wrapText="1"/>
    </xf>
    <xf numFmtId="171" fontId="39" fillId="2" borderId="10" xfId="2514" applyFont="1" applyFill="1" applyBorder="1" applyAlignment="1">
      <alignment horizontal="center" vertical="center" wrapText="1"/>
    </xf>
    <xf numFmtId="171" fontId="39" fillId="2" borderId="20" xfId="2514" applyFont="1" applyFill="1" applyBorder="1" applyAlignment="1">
      <alignment horizontal="center" vertical="center" wrapText="1"/>
    </xf>
    <xf numFmtId="3" fontId="31" fillId="7" borderId="35" xfId="2515" applyNumberFormat="1" applyFont="1" applyFill="1" applyBorder="1" applyAlignment="1" applyProtection="1">
      <alignment horizontal="center" vertical="center" wrapText="1"/>
    </xf>
    <xf numFmtId="171" fontId="31" fillId="7" borderId="42" xfId="2515" applyFont="1" applyFill="1" applyBorder="1" applyAlignment="1" applyProtection="1">
      <alignment horizontal="center" vertical="center" wrapText="1"/>
    </xf>
    <xf numFmtId="3" fontId="31" fillId="7" borderId="27" xfId="1116" applyNumberFormat="1" applyFont="1" applyFill="1" applyBorder="1" applyAlignment="1" applyProtection="1">
      <alignment horizontal="center" vertical="center" wrapText="1"/>
    </xf>
    <xf numFmtId="171" fontId="31" fillId="7" borderId="43" xfId="1116" applyFont="1" applyFill="1" applyBorder="1" applyAlignment="1" applyProtection="1">
      <alignment horizontal="center" vertical="center" wrapText="1"/>
    </xf>
    <xf numFmtId="3" fontId="31" fillId="7" borderId="27" xfId="2515" applyNumberFormat="1" applyFont="1" applyFill="1" applyBorder="1" applyAlignment="1" applyProtection="1">
      <alignment horizontal="center" vertical="center" wrapText="1"/>
    </xf>
    <xf numFmtId="171" fontId="31" fillId="7" borderId="43" xfId="2515" applyFont="1" applyFill="1" applyBorder="1" applyAlignment="1" applyProtection="1">
      <alignment horizontal="center" vertical="center" wrapText="1"/>
    </xf>
    <xf numFmtId="0" fontId="36" fillId="0" borderId="11" xfId="0" applyFont="1" applyBorder="1" applyAlignment="1" applyProtection="1">
      <alignment horizontal="center" vertical="center" wrapText="1"/>
      <protection locked="0"/>
    </xf>
    <xf numFmtId="0" fontId="36" fillId="0" borderId="4"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36" fillId="0" borderId="25" xfId="0" applyFont="1" applyBorder="1" applyAlignment="1" applyProtection="1">
      <alignment horizontal="center" vertical="center" wrapText="1"/>
      <protection locked="0"/>
    </xf>
    <xf numFmtId="0" fontId="36" fillId="0" borderId="0" xfId="0" applyFont="1" applyBorder="1" applyAlignment="1" applyProtection="1">
      <alignment horizontal="center" vertical="center" wrapText="1"/>
      <protection locked="0"/>
    </xf>
    <xf numFmtId="0" fontId="36" fillId="0" borderId="39" xfId="0" applyFont="1" applyBorder="1" applyAlignment="1" applyProtection="1">
      <alignment horizontal="center" vertical="center" wrapText="1"/>
      <protection locked="0"/>
    </xf>
    <xf numFmtId="0" fontId="36" fillId="0" borderId="14" xfId="0" applyFont="1" applyBorder="1" applyAlignment="1" applyProtection="1">
      <alignment horizontal="center" vertical="center" wrapText="1"/>
      <protection locked="0"/>
    </xf>
    <xf numFmtId="0" fontId="36" fillId="0" borderId="17" xfId="0" applyFont="1" applyBorder="1" applyAlignment="1" applyProtection="1">
      <alignment horizontal="center" vertical="center" wrapText="1"/>
      <protection locked="0"/>
    </xf>
    <xf numFmtId="0" fontId="36" fillId="0" borderId="40" xfId="0" applyFont="1" applyBorder="1" applyAlignment="1" applyProtection="1">
      <alignment horizontal="center" vertical="center" wrapText="1"/>
      <protection locked="0"/>
    </xf>
  </cellXfs>
  <cellStyles count="2519">
    <cellStyle name="20% - Accent1" xfId="85"/>
    <cellStyle name="20% - Accent1 2" xfId="86"/>
    <cellStyle name="20% - Accent1 3" xfId="87"/>
    <cellStyle name="20% - Accent2" xfId="88"/>
    <cellStyle name="20% - Accent2 2" xfId="89"/>
    <cellStyle name="20% - Accent2 3" xfId="90"/>
    <cellStyle name="20% - Accent3" xfId="91"/>
    <cellStyle name="20% - Accent3 2" xfId="92"/>
    <cellStyle name="20% - Accent3 3" xfId="93"/>
    <cellStyle name="20% - Accent4" xfId="94"/>
    <cellStyle name="20% - Accent4 2" xfId="95"/>
    <cellStyle name="20% - Accent4 3" xfId="96"/>
    <cellStyle name="20% - Accent5" xfId="97"/>
    <cellStyle name="20% - Accent5 2" xfId="98"/>
    <cellStyle name="20% - Accent5 3" xfId="99"/>
    <cellStyle name="20% - Accent6" xfId="100"/>
    <cellStyle name="20% - Accent6 2" xfId="101"/>
    <cellStyle name="20% - Accent6 3" xfId="102"/>
    <cellStyle name="40% - Accent1" xfId="103"/>
    <cellStyle name="40% - Accent1 2" xfId="104"/>
    <cellStyle name="40% - Accent1 3" xfId="105"/>
    <cellStyle name="40% - Accent2" xfId="106"/>
    <cellStyle name="40% - Accent2 2" xfId="107"/>
    <cellStyle name="40% - Accent2 3" xfId="108"/>
    <cellStyle name="40% - Accent3" xfId="109"/>
    <cellStyle name="40% - Accent3 2" xfId="110"/>
    <cellStyle name="40% - Accent3 3" xfId="111"/>
    <cellStyle name="40% - Accent4" xfId="112"/>
    <cellStyle name="40% - Accent4 2" xfId="113"/>
    <cellStyle name="40% - Accent4 3" xfId="114"/>
    <cellStyle name="40% - Accent5" xfId="115"/>
    <cellStyle name="40% - Accent5 2" xfId="116"/>
    <cellStyle name="40% - Accent5 3" xfId="117"/>
    <cellStyle name="40% - Accent6" xfId="118"/>
    <cellStyle name="40% - Accent6 2" xfId="119"/>
    <cellStyle name="40% - Accent6 3" xfId="120"/>
    <cellStyle name="60% - Accent1" xfId="121"/>
    <cellStyle name="60% - Accent1 2" xfId="122"/>
    <cellStyle name="60% - Accent1 3" xfId="123"/>
    <cellStyle name="60% - Accent2" xfId="124"/>
    <cellStyle name="60% - Accent2 2" xfId="125"/>
    <cellStyle name="60% - Accent2 3" xfId="126"/>
    <cellStyle name="60% - Accent3" xfId="127"/>
    <cellStyle name="60% - Accent3 2" xfId="128"/>
    <cellStyle name="60% - Accent3 3" xfId="129"/>
    <cellStyle name="60% - Accent4" xfId="130"/>
    <cellStyle name="60% - Accent4 2" xfId="131"/>
    <cellStyle name="60% - Accent4 3" xfId="132"/>
    <cellStyle name="60% - Accent5" xfId="133"/>
    <cellStyle name="60% - Accent5 2" xfId="134"/>
    <cellStyle name="60% - Accent5 3" xfId="135"/>
    <cellStyle name="60% - Accent6" xfId="136"/>
    <cellStyle name="60% - Accent6 2" xfId="137"/>
    <cellStyle name="60% - Accent6 3" xfId="138"/>
    <cellStyle name="Accent1" xfId="139"/>
    <cellStyle name="Accent1 2" xfId="140"/>
    <cellStyle name="Accent1 3" xfId="141"/>
    <cellStyle name="Accent2" xfId="142"/>
    <cellStyle name="Accent2 2" xfId="143"/>
    <cellStyle name="Accent2 3" xfId="144"/>
    <cellStyle name="Accent3" xfId="145"/>
    <cellStyle name="Accent3 2" xfId="146"/>
    <cellStyle name="Accent3 3" xfId="147"/>
    <cellStyle name="Accent4" xfId="148"/>
    <cellStyle name="Accent4 2" xfId="149"/>
    <cellStyle name="Accent4 3" xfId="150"/>
    <cellStyle name="Accent5" xfId="151"/>
    <cellStyle name="Accent5 2" xfId="152"/>
    <cellStyle name="Accent5 3" xfId="153"/>
    <cellStyle name="Accent6" xfId="154"/>
    <cellStyle name="Accent6 2" xfId="155"/>
    <cellStyle name="Accent6 3" xfId="156"/>
    <cellStyle name="Bad" xfId="157"/>
    <cellStyle name="Bad 2" xfId="158"/>
    <cellStyle name="Bad 3" xfId="159"/>
    <cellStyle name="Calculation" xfId="160"/>
    <cellStyle name="Calculation 2" xfId="161"/>
    <cellStyle name="Calculation 2 2" xfId="162"/>
    <cellStyle name="Calculation 2 2 10" xfId="163"/>
    <cellStyle name="Calculation 2 2 10 2" xfId="164"/>
    <cellStyle name="Calculation 2 2 11" xfId="165"/>
    <cellStyle name="Calculation 2 2 12" xfId="166"/>
    <cellStyle name="Calculation 2 2 13" xfId="167"/>
    <cellStyle name="Calculation 2 2 2" xfId="168"/>
    <cellStyle name="Calculation 2 2 2 10" xfId="169"/>
    <cellStyle name="Calculation 2 2 2 2" xfId="170"/>
    <cellStyle name="Calculation 2 2 2 2 2" xfId="171"/>
    <cellStyle name="Calculation 2 2 2 2 2 2" xfId="172"/>
    <cellStyle name="Calculation 2 2 2 2 2 2 2" xfId="173"/>
    <cellStyle name="Calculation 2 2 2 2 2 3" xfId="174"/>
    <cellStyle name="Calculation 2 2 2 2 2 3 2" xfId="175"/>
    <cellStyle name="Calculation 2 2 2 2 2 4" xfId="176"/>
    <cellStyle name="Calculation 2 2 2 2 2 4 2" xfId="177"/>
    <cellStyle name="Calculation 2 2 2 2 3" xfId="178"/>
    <cellStyle name="Calculation 2 2 2 2 3 2" xfId="179"/>
    <cellStyle name="Calculation 2 2 2 2 3 2 2" xfId="180"/>
    <cellStyle name="Calculation 2 2 2 2 3 3" xfId="181"/>
    <cellStyle name="Calculation 2 2 2 2 3 3 2" xfId="182"/>
    <cellStyle name="Calculation 2 2 2 2 3 4" xfId="183"/>
    <cellStyle name="Calculation 2 2 2 2 3 4 2" xfId="184"/>
    <cellStyle name="Calculation 2 2 2 2 4" xfId="185"/>
    <cellStyle name="Calculation 2 2 2 2 4 2" xfId="186"/>
    <cellStyle name="Calculation 2 2 2 2 5" xfId="187"/>
    <cellStyle name="Calculation 2 2 2 2 5 2" xfId="188"/>
    <cellStyle name="Calculation 2 2 2 2 6" xfId="189"/>
    <cellStyle name="Calculation 2 2 2 2 6 2" xfId="190"/>
    <cellStyle name="Calculation 2 2 2 2 7" xfId="191"/>
    <cellStyle name="Calculation 2 2 2 2 8" xfId="192"/>
    <cellStyle name="Calculation 2 2 2 3" xfId="193"/>
    <cellStyle name="Calculation 2 2 2 3 2" xfId="194"/>
    <cellStyle name="Calculation 2 2 2 3 2 2" xfId="195"/>
    <cellStyle name="Calculation 2 2 2 3 3" xfId="196"/>
    <cellStyle name="Calculation 2 2 2 3 3 2" xfId="197"/>
    <cellStyle name="Calculation 2 2 2 3 4" xfId="198"/>
    <cellStyle name="Calculation 2 2 2 3 4 2" xfId="199"/>
    <cellStyle name="Calculation 2 2 2 3 5" xfId="200"/>
    <cellStyle name="Calculation 2 2 2 4" xfId="201"/>
    <cellStyle name="Calculation 2 2 2 5" xfId="202"/>
    <cellStyle name="Calculation 2 2 2 5 2" xfId="203"/>
    <cellStyle name="Calculation 2 2 2 6" xfId="204"/>
    <cellStyle name="Calculation 2 2 2 6 2" xfId="205"/>
    <cellStyle name="Calculation 2 2 2 7" xfId="206"/>
    <cellStyle name="Calculation 2 2 2 7 2" xfId="207"/>
    <cellStyle name="Calculation 2 2 2 8" xfId="208"/>
    <cellStyle name="Calculation 2 2 2 9" xfId="209"/>
    <cellStyle name="Calculation 2 2 3" xfId="210"/>
    <cellStyle name="Calculation 2 2 3 2" xfId="211"/>
    <cellStyle name="Calculation 2 2 3 2 2" xfId="212"/>
    <cellStyle name="Calculation 2 2 3 2 2 2" xfId="213"/>
    <cellStyle name="Calculation 2 2 3 2 3" xfId="214"/>
    <cellStyle name="Calculation 2 2 3 2 3 2" xfId="215"/>
    <cellStyle name="Calculation 2 2 3 2 4" xfId="216"/>
    <cellStyle name="Calculation 2 2 3 2 4 2" xfId="217"/>
    <cellStyle name="Calculation 2 2 3 3" xfId="218"/>
    <cellStyle name="Calculation 2 2 3 3 2" xfId="219"/>
    <cellStyle name="Calculation 2 2 3 4" xfId="220"/>
    <cellStyle name="Calculation 2 2 3 4 2" xfId="221"/>
    <cellStyle name="Calculation 2 2 3 5" xfId="222"/>
    <cellStyle name="Calculation 2 2 3 5 2" xfId="223"/>
    <cellStyle name="Calculation 2 2 3 6" xfId="224"/>
    <cellStyle name="Calculation 2 2 4" xfId="225"/>
    <cellStyle name="Calculation 2 2 4 2" xfId="226"/>
    <cellStyle name="Calculation 2 2 4 2 2" xfId="227"/>
    <cellStyle name="Calculation 2 2 4 2 2 2" xfId="228"/>
    <cellStyle name="Calculation 2 2 4 2 3" xfId="229"/>
    <cellStyle name="Calculation 2 2 4 2 3 2" xfId="230"/>
    <cellStyle name="Calculation 2 2 4 2 4" xfId="231"/>
    <cellStyle name="Calculation 2 2 4 2 4 2" xfId="232"/>
    <cellStyle name="Calculation 2 2 4 3" xfId="233"/>
    <cellStyle name="Calculation 2 2 4 3 2" xfId="234"/>
    <cellStyle name="Calculation 2 2 4 4" xfId="235"/>
    <cellStyle name="Calculation 2 2 4 4 2" xfId="236"/>
    <cellStyle name="Calculation 2 2 4 5" xfId="237"/>
    <cellStyle name="Calculation 2 2 4 5 2" xfId="238"/>
    <cellStyle name="Calculation 2 2 4 6" xfId="239"/>
    <cellStyle name="Calculation 2 2 5" xfId="240"/>
    <cellStyle name="Calculation 2 2 5 2" xfId="241"/>
    <cellStyle name="Calculation 2 2 5 2 2" xfId="242"/>
    <cellStyle name="Calculation 2 2 5 3" xfId="243"/>
    <cellStyle name="Calculation 2 2 5 3 2" xfId="244"/>
    <cellStyle name="Calculation 2 2 5 4" xfId="245"/>
    <cellStyle name="Calculation 2 2 5 4 2" xfId="246"/>
    <cellStyle name="Calculation 2 2 6" xfId="247"/>
    <cellStyle name="Calculation 2 2 6 2" xfId="248"/>
    <cellStyle name="Calculation 2 2 6 2 2" xfId="249"/>
    <cellStyle name="Calculation 2 2 6 3" xfId="250"/>
    <cellStyle name="Calculation 2 2 6 3 2" xfId="251"/>
    <cellStyle name="Calculation 2 2 6 4" xfId="252"/>
    <cellStyle name="Calculation 2 2 6 4 2" xfId="253"/>
    <cellStyle name="Calculation 2 2 7" xfId="254"/>
    <cellStyle name="Calculation 2 2 7 2" xfId="255"/>
    <cellStyle name="Calculation 2 2 8" xfId="256"/>
    <cellStyle name="Calculation 2 2 8 2" xfId="257"/>
    <cellStyle name="Calculation 2 2 9" xfId="258"/>
    <cellStyle name="Calculation 2 2 9 2" xfId="259"/>
    <cellStyle name="Calculation 2 3" xfId="260"/>
    <cellStyle name="Calculation 2 3 10" xfId="261"/>
    <cellStyle name="Calculation 2 3 2" xfId="262"/>
    <cellStyle name="Calculation 2 3 2 2" xfId="263"/>
    <cellStyle name="Calculation 2 3 2 2 2" xfId="264"/>
    <cellStyle name="Calculation 2 3 2 2 2 2" xfId="265"/>
    <cellStyle name="Calculation 2 3 2 2 3" xfId="266"/>
    <cellStyle name="Calculation 2 3 2 2 3 2" xfId="267"/>
    <cellStyle name="Calculation 2 3 2 2 4" xfId="268"/>
    <cellStyle name="Calculation 2 3 2 2 4 2" xfId="269"/>
    <cellStyle name="Calculation 2 3 2 3" xfId="270"/>
    <cellStyle name="Calculation 2 3 2 3 2" xfId="271"/>
    <cellStyle name="Calculation 2 3 2 3 2 2" xfId="272"/>
    <cellStyle name="Calculation 2 3 2 3 3" xfId="273"/>
    <cellStyle name="Calculation 2 3 2 3 3 2" xfId="274"/>
    <cellStyle name="Calculation 2 3 2 3 4" xfId="275"/>
    <cellStyle name="Calculation 2 3 2 3 4 2" xfId="276"/>
    <cellStyle name="Calculation 2 3 2 4" xfId="277"/>
    <cellStyle name="Calculation 2 3 2 4 2" xfId="278"/>
    <cellStyle name="Calculation 2 3 2 5" xfId="279"/>
    <cellStyle name="Calculation 2 3 2 5 2" xfId="280"/>
    <cellStyle name="Calculation 2 3 2 6" xfId="281"/>
    <cellStyle name="Calculation 2 3 2 6 2" xfId="282"/>
    <cellStyle name="Calculation 2 3 2 7" xfId="283"/>
    <cellStyle name="Calculation 2 3 2 8" xfId="284"/>
    <cellStyle name="Calculation 2 3 3" xfId="285"/>
    <cellStyle name="Calculation 2 3 3 2" xfId="286"/>
    <cellStyle name="Calculation 2 3 3 2 2" xfId="287"/>
    <cellStyle name="Calculation 2 3 3 3" xfId="288"/>
    <cellStyle name="Calculation 2 3 3 3 2" xfId="289"/>
    <cellStyle name="Calculation 2 3 3 4" xfId="290"/>
    <cellStyle name="Calculation 2 3 3 4 2" xfId="291"/>
    <cellStyle name="Calculation 2 3 3 5" xfId="292"/>
    <cellStyle name="Calculation 2 3 4" xfId="293"/>
    <cellStyle name="Calculation 2 3 5" xfId="294"/>
    <cellStyle name="Calculation 2 3 5 2" xfId="295"/>
    <cellStyle name="Calculation 2 3 6" xfId="296"/>
    <cellStyle name="Calculation 2 3 6 2" xfId="297"/>
    <cellStyle name="Calculation 2 3 7" xfId="298"/>
    <cellStyle name="Calculation 2 3 7 2" xfId="299"/>
    <cellStyle name="Calculation 2 3 8" xfId="300"/>
    <cellStyle name="Calculation 2 3 9" xfId="301"/>
    <cellStyle name="Calculation 2 4" xfId="302"/>
    <cellStyle name="Calculation 2 4 2" xfId="303"/>
    <cellStyle name="Calculation 2 4 2 2" xfId="304"/>
    <cellStyle name="Calculation 2 4 2 2 2" xfId="305"/>
    <cellStyle name="Calculation 2 4 2 3" xfId="306"/>
    <cellStyle name="Calculation 2 4 2 3 2" xfId="307"/>
    <cellStyle name="Calculation 2 4 2 4" xfId="308"/>
    <cellStyle name="Calculation 2 4 2 4 2" xfId="309"/>
    <cellStyle name="Calculation 2 4 3" xfId="310"/>
    <cellStyle name="Calculation 2 4 3 2" xfId="311"/>
    <cellStyle name="Calculation 2 4 4" xfId="312"/>
    <cellStyle name="Calculation 2 4 4 2" xfId="313"/>
    <cellStyle name="Calculation 2 4 5" xfId="314"/>
    <cellStyle name="Calculation 2 4 5 2" xfId="315"/>
    <cellStyle name="Calculation 2 4 6" xfId="316"/>
    <cellStyle name="Calculation 2 5" xfId="317"/>
    <cellStyle name="Calculation 2 6" xfId="318"/>
    <cellStyle name="Calculation 2 7" xfId="319"/>
    <cellStyle name="Calculation 2_בחירה מרשימה" xfId="320"/>
    <cellStyle name="Calculation 3" xfId="321"/>
    <cellStyle name="Calculation 3 2" xfId="322"/>
    <cellStyle name="Calculation 3 2 10" xfId="323"/>
    <cellStyle name="Calculation 3 2 10 2" xfId="324"/>
    <cellStyle name="Calculation 3 2 11" xfId="325"/>
    <cellStyle name="Calculation 3 2 12" xfId="326"/>
    <cellStyle name="Calculation 3 2 13" xfId="327"/>
    <cellStyle name="Calculation 3 2 2" xfId="328"/>
    <cellStyle name="Calculation 3 2 2 10" xfId="329"/>
    <cellStyle name="Calculation 3 2 2 2" xfId="330"/>
    <cellStyle name="Calculation 3 2 2 2 2" xfId="331"/>
    <cellStyle name="Calculation 3 2 2 2 2 2" xfId="332"/>
    <cellStyle name="Calculation 3 2 2 2 2 2 2" xfId="333"/>
    <cellStyle name="Calculation 3 2 2 2 2 3" xfId="334"/>
    <cellStyle name="Calculation 3 2 2 2 2 3 2" xfId="335"/>
    <cellStyle name="Calculation 3 2 2 2 2 4" xfId="336"/>
    <cellStyle name="Calculation 3 2 2 2 2 4 2" xfId="337"/>
    <cellStyle name="Calculation 3 2 2 2 3" xfId="338"/>
    <cellStyle name="Calculation 3 2 2 2 3 2" xfId="339"/>
    <cellStyle name="Calculation 3 2 2 2 3 2 2" xfId="340"/>
    <cellStyle name="Calculation 3 2 2 2 3 3" xfId="341"/>
    <cellStyle name="Calculation 3 2 2 2 3 3 2" xfId="342"/>
    <cellStyle name="Calculation 3 2 2 2 3 4" xfId="343"/>
    <cellStyle name="Calculation 3 2 2 2 3 4 2" xfId="344"/>
    <cellStyle name="Calculation 3 2 2 2 4" xfId="345"/>
    <cellStyle name="Calculation 3 2 2 2 4 2" xfId="346"/>
    <cellStyle name="Calculation 3 2 2 2 5" xfId="347"/>
    <cellStyle name="Calculation 3 2 2 2 5 2" xfId="348"/>
    <cellStyle name="Calculation 3 2 2 2 6" xfId="349"/>
    <cellStyle name="Calculation 3 2 2 2 6 2" xfId="350"/>
    <cellStyle name="Calculation 3 2 2 2 7" xfId="351"/>
    <cellStyle name="Calculation 3 2 2 2 8" xfId="352"/>
    <cellStyle name="Calculation 3 2 2 3" xfId="353"/>
    <cellStyle name="Calculation 3 2 2 3 2" xfId="354"/>
    <cellStyle name="Calculation 3 2 2 3 2 2" xfId="355"/>
    <cellStyle name="Calculation 3 2 2 3 3" xfId="356"/>
    <cellStyle name="Calculation 3 2 2 3 3 2" xfId="357"/>
    <cellStyle name="Calculation 3 2 2 3 4" xfId="358"/>
    <cellStyle name="Calculation 3 2 2 3 4 2" xfId="359"/>
    <cellStyle name="Calculation 3 2 2 3 5" xfId="360"/>
    <cellStyle name="Calculation 3 2 2 4" xfId="361"/>
    <cellStyle name="Calculation 3 2 2 5" xfId="362"/>
    <cellStyle name="Calculation 3 2 2 5 2" xfId="363"/>
    <cellStyle name="Calculation 3 2 2 6" xfId="364"/>
    <cellStyle name="Calculation 3 2 2 6 2" xfId="365"/>
    <cellStyle name="Calculation 3 2 2 7" xfId="366"/>
    <cellStyle name="Calculation 3 2 2 7 2" xfId="367"/>
    <cellStyle name="Calculation 3 2 2 8" xfId="368"/>
    <cellStyle name="Calculation 3 2 2 9" xfId="369"/>
    <cellStyle name="Calculation 3 2 3" xfId="370"/>
    <cellStyle name="Calculation 3 2 3 2" xfId="371"/>
    <cellStyle name="Calculation 3 2 3 2 2" xfId="372"/>
    <cellStyle name="Calculation 3 2 3 2 2 2" xfId="373"/>
    <cellStyle name="Calculation 3 2 3 2 3" xfId="374"/>
    <cellStyle name="Calculation 3 2 3 2 3 2" xfId="375"/>
    <cellStyle name="Calculation 3 2 3 2 4" xfId="376"/>
    <cellStyle name="Calculation 3 2 3 2 4 2" xfId="377"/>
    <cellStyle name="Calculation 3 2 3 3" xfId="378"/>
    <cellStyle name="Calculation 3 2 3 3 2" xfId="379"/>
    <cellStyle name="Calculation 3 2 3 4" xfId="380"/>
    <cellStyle name="Calculation 3 2 3 4 2" xfId="381"/>
    <cellStyle name="Calculation 3 2 3 5" xfId="382"/>
    <cellStyle name="Calculation 3 2 3 5 2" xfId="383"/>
    <cellStyle name="Calculation 3 2 3 6" xfId="384"/>
    <cellStyle name="Calculation 3 2 4" xfId="385"/>
    <cellStyle name="Calculation 3 2 4 2" xfId="386"/>
    <cellStyle name="Calculation 3 2 4 2 2" xfId="387"/>
    <cellStyle name="Calculation 3 2 4 2 2 2" xfId="388"/>
    <cellStyle name="Calculation 3 2 4 2 3" xfId="389"/>
    <cellStyle name="Calculation 3 2 4 2 3 2" xfId="390"/>
    <cellStyle name="Calculation 3 2 4 2 4" xfId="391"/>
    <cellStyle name="Calculation 3 2 4 2 4 2" xfId="392"/>
    <cellStyle name="Calculation 3 2 4 3" xfId="393"/>
    <cellStyle name="Calculation 3 2 4 3 2" xfId="394"/>
    <cellStyle name="Calculation 3 2 4 4" xfId="395"/>
    <cellStyle name="Calculation 3 2 4 4 2" xfId="396"/>
    <cellStyle name="Calculation 3 2 4 5" xfId="397"/>
    <cellStyle name="Calculation 3 2 4 5 2" xfId="398"/>
    <cellStyle name="Calculation 3 2 4 6" xfId="399"/>
    <cellStyle name="Calculation 3 2 5" xfId="400"/>
    <cellStyle name="Calculation 3 2 5 2" xfId="401"/>
    <cellStyle name="Calculation 3 2 5 2 2" xfId="402"/>
    <cellStyle name="Calculation 3 2 5 3" xfId="403"/>
    <cellStyle name="Calculation 3 2 5 3 2" xfId="404"/>
    <cellStyle name="Calculation 3 2 5 4" xfId="405"/>
    <cellStyle name="Calculation 3 2 5 4 2" xfId="406"/>
    <cellStyle name="Calculation 3 2 6" xfId="407"/>
    <cellStyle name="Calculation 3 2 6 2" xfId="408"/>
    <cellStyle name="Calculation 3 2 6 2 2" xfId="409"/>
    <cellStyle name="Calculation 3 2 6 3" xfId="410"/>
    <cellStyle name="Calculation 3 2 6 3 2" xfId="411"/>
    <cellStyle name="Calculation 3 2 6 4" xfId="412"/>
    <cellStyle name="Calculation 3 2 6 4 2" xfId="413"/>
    <cellStyle name="Calculation 3 2 7" xfId="414"/>
    <cellStyle name="Calculation 3 2 7 2" xfId="415"/>
    <cellStyle name="Calculation 3 2 8" xfId="416"/>
    <cellStyle name="Calculation 3 2 8 2" xfId="417"/>
    <cellStyle name="Calculation 3 2 9" xfId="418"/>
    <cellStyle name="Calculation 3 2 9 2" xfId="419"/>
    <cellStyle name="Calculation 3 3" xfId="420"/>
    <cellStyle name="Calculation 3 3 10" xfId="421"/>
    <cellStyle name="Calculation 3 3 2" xfId="422"/>
    <cellStyle name="Calculation 3 3 2 2" xfId="423"/>
    <cellStyle name="Calculation 3 3 2 2 2" xfId="424"/>
    <cellStyle name="Calculation 3 3 2 2 2 2" xfId="425"/>
    <cellStyle name="Calculation 3 3 2 2 3" xfId="426"/>
    <cellStyle name="Calculation 3 3 2 2 3 2" xfId="427"/>
    <cellStyle name="Calculation 3 3 2 2 4" xfId="428"/>
    <cellStyle name="Calculation 3 3 2 2 4 2" xfId="429"/>
    <cellStyle name="Calculation 3 3 2 3" xfId="430"/>
    <cellStyle name="Calculation 3 3 2 3 2" xfId="431"/>
    <cellStyle name="Calculation 3 3 2 3 2 2" xfId="432"/>
    <cellStyle name="Calculation 3 3 2 3 3" xfId="433"/>
    <cellStyle name="Calculation 3 3 2 3 3 2" xfId="434"/>
    <cellStyle name="Calculation 3 3 2 3 4" xfId="435"/>
    <cellStyle name="Calculation 3 3 2 3 4 2" xfId="436"/>
    <cellStyle name="Calculation 3 3 2 4" xfId="437"/>
    <cellStyle name="Calculation 3 3 2 4 2" xfId="438"/>
    <cellStyle name="Calculation 3 3 2 5" xfId="439"/>
    <cellStyle name="Calculation 3 3 2 5 2" xfId="440"/>
    <cellStyle name="Calculation 3 3 2 6" xfId="441"/>
    <cellStyle name="Calculation 3 3 2 6 2" xfId="442"/>
    <cellStyle name="Calculation 3 3 2 7" xfId="443"/>
    <cellStyle name="Calculation 3 3 2 8" xfId="444"/>
    <cellStyle name="Calculation 3 3 3" xfId="445"/>
    <cellStyle name="Calculation 3 3 3 2" xfId="446"/>
    <cellStyle name="Calculation 3 3 3 2 2" xfId="447"/>
    <cellStyle name="Calculation 3 3 3 3" xfId="448"/>
    <cellStyle name="Calculation 3 3 3 3 2" xfId="449"/>
    <cellStyle name="Calculation 3 3 3 4" xfId="450"/>
    <cellStyle name="Calculation 3 3 3 4 2" xfId="451"/>
    <cellStyle name="Calculation 3 3 3 5" xfId="452"/>
    <cellStyle name="Calculation 3 3 4" xfId="453"/>
    <cellStyle name="Calculation 3 3 5" xfId="454"/>
    <cellStyle name="Calculation 3 3 5 2" xfId="455"/>
    <cellStyle name="Calculation 3 3 6" xfId="456"/>
    <cellStyle name="Calculation 3 3 6 2" xfId="457"/>
    <cellStyle name="Calculation 3 3 7" xfId="458"/>
    <cellStyle name="Calculation 3 3 7 2" xfId="459"/>
    <cellStyle name="Calculation 3 3 8" xfId="460"/>
    <cellStyle name="Calculation 3 3 9" xfId="461"/>
    <cellStyle name="Calculation 3 4" xfId="462"/>
    <cellStyle name="Calculation 3 4 2" xfId="463"/>
    <cellStyle name="Calculation 3 4 2 2" xfId="464"/>
    <cellStyle name="Calculation 3 4 2 2 2" xfId="465"/>
    <cellStyle name="Calculation 3 4 2 3" xfId="466"/>
    <cellStyle name="Calculation 3 4 2 3 2" xfId="467"/>
    <cellStyle name="Calculation 3 4 2 4" xfId="468"/>
    <cellStyle name="Calculation 3 4 2 4 2" xfId="469"/>
    <cellStyle name="Calculation 3 4 3" xfId="470"/>
    <cellStyle name="Calculation 3 4 3 2" xfId="471"/>
    <cellStyle name="Calculation 3 4 4" xfId="472"/>
    <cellStyle name="Calculation 3 4 4 2" xfId="473"/>
    <cellStyle name="Calculation 3 4 5" xfId="474"/>
    <cellStyle name="Calculation 3 4 5 2" xfId="475"/>
    <cellStyle name="Calculation 3 4 6" xfId="476"/>
    <cellStyle name="Calculation 3 5" xfId="477"/>
    <cellStyle name="Calculation 3 6" xfId="478"/>
    <cellStyle name="Calculation 3 7" xfId="479"/>
    <cellStyle name="Calculation 3_בחירה מרשימה" xfId="480"/>
    <cellStyle name="Calculation 4" xfId="481"/>
    <cellStyle name="Calculation 4 10" xfId="482"/>
    <cellStyle name="Calculation 4 2" xfId="483"/>
    <cellStyle name="Calculation 4 2 2" xfId="484"/>
    <cellStyle name="Calculation 4 2 2 2" xfId="485"/>
    <cellStyle name="Calculation 4 2 2 2 2" xfId="486"/>
    <cellStyle name="Calculation 4 2 2 3" xfId="487"/>
    <cellStyle name="Calculation 4 2 2 3 2" xfId="488"/>
    <cellStyle name="Calculation 4 2 2 4" xfId="489"/>
    <cellStyle name="Calculation 4 2 2 4 2" xfId="490"/>
    <cellStyle name="Calculation 4 2 3" xfId="491"/>
    <cellStyle name="Calculation 4 2 3 2" xfId="492"/>
    <cellStyle name="Calculation 4 2 3 2 2" xfId="493"/>
    <cellStyle name="Calculation 4 2 3 3" xfId="494"/>
    <cellStyle name="Calculation 4 2 3 3 2" xfId="495"/>
    <cellStyle name="Calculation 4 2 3 4" xfId="496"/>
    <cellStyle name="Calculation 4 2 3 4 2" xfId="497"/>
    <cellStyle name="Calculation 4 2 4" xfId="498"/>
    <cellStyle name="Calculation 4 2 4 2" xfId="499"/>
    <cellStyle name="Calculation 4 2 5" xfId="500"/>
    <cellStyle name="Calculation 4 2 5 2" xfId="501"/>
    <cellStyle name="Calculation 4 2 6" xfId="502"/>
    <cellStyle name="Calculation 4 2 6 2" xfId="503"/>
    <cellStyle name="Calculation 4 2 7" xfId="504"/>
    <cellStyle name="Calculation 4 2 8" xfId="505"/>
    <cellStyle name="Calculation 4 3" xfId="506"/>
    <cellStyle name="Calculation 4 3 2" xfId="507"/>
    <cellStyle name="Calculation 4 3 2 2" xfId="508"/>
    <cellStyle name="Calculation 4 3 3" xfId="509"/>
    <cellStyle name="Calculation 4 3 3 2" xfId="510"/>
    <cellStyle name="Calculation 4 3 4" xfId="511"/>
    <cellStyle name="Calculation 4 3 4 2" xfId="512"/>
    <cellStyle name="Calculation 4 3 5" xfId="513"/>
    <cellStyle name="Calculation 4 4" xfId="514"/>
    <cellStyle name="Calculation 4 5" xfId="515"/>
    <cellStyle name="Calculation 4 5 2" xfId="516"/>
    <cellStyle name="Calculation 4 6" xfId="517"/>
    <cellStyle name="Calculation 4 6 2" xfId="518"/>
    <cellStyle name="Calculation 4 7" xfId="519"/>
    <cellStyle name="Calculation 4 7 2" xfId="520"/>
    <cellStyle name="Calculation 4 8" xfId="521"/>
    <cellStyle name="Calculation 4 9" xfId="522"/>
    <cellStyle name="Calculation 5" xfId="523"/>
    <cellStyle name="Calculation 5 2" xfId="524"/>
    <cellStyle name="Calculation 5 2 2" xfId="525"/>
    <cellStyle name="Calculation 5 2 2 2" xfId="526"/>
    <cellStyle name="Calculation 5 2 3" xfId="527"/>
    <cellStyle name="Calculation 5 2 3 2" xfId="528"/>
    <cellStyle name="Calculation 5 2 4" xfId="529"/>
    <cellStyle name="Calculation 5 2 4 2" xfId="530"/>
    <cellStyle name="Calculation 5 3" xfId="531"/>
    <cellStyle name="Calculation 5 3 2" xfId="532"/>
    <cellStyle name="Calculation 5 4" xfId="533"/>
    <cellStyle name="Calculation 5 4 2" xfId="534"/>
    <cellStyle name="Calculation 5 5" xfId="535"/>
    <cellStyle name="Calculation 5 5 2" xfId="536"/>
    <cellStyle name="Calculation 5 6" xfId="537"/>
    <cellStyle name="Calculation 6" xfId="538"/>
    <cellStyle name="Calculation 6 2" xfId="539"/>
    <cellStyle name="Calculation 6 2 2" xfId="540"/>
    <cellStyle name="Calculation 6 3" xfId="541"/>
    <cellStyle name="Calculation 6 3 2" xfId="542"/>
    <cellStyle name="Calculation 6 4" xfId="543"/>
    <cellStyle name="Calculation 6 4 2" xfId="544"/>
    <cellStyle name="Calculation 7" xfId="545"/>
    <cellStyle name="Calculation_בחירה מרשימה" xfId="546"/>
    <cellStyle name="Check Cell" xfId="547"/>
    <cellStyle name="Check Cell 2" xfId="548"/>
    <cellStyle name="Check Cell 3" xfId="549"/>
    <cellStyle name="Comma" xfId="2" builtinId="3"/>
    <cellStyle name="Comma 2" xfId="3"/>
    <cellStyle name="Comma 2 2" xfId="13"/>
    <cellStyle name="Comma 2 3" xfId="14"/>
    <cellStyle name="Comma 2 3 2" xfId="2517"/>
    <cellStyle name="Comma 2 4" xfId="550"/>
    <cellStyle name="Comma 2 5" xfId="551"/>
    <cellStyle name="Comma 2 6" xfId="2513"/>
    <cellStyle name="Comma 3" xfId="12"/>
    <cellStyle name="Comma 3 2" xfId="552"/>
    <cellStyle name="Comma 3 3" xfId="2516"/>
    <cellStyle name="Comma 4" xfId="15"/>
    <cellStyle name="Comma 5" xfId="83"/>
    <cellStyle name="Comma 6" xfId="2511"/>
    <cellStyle name="Currency 2" xfId="553"/>
    <cellStyle name="Currency 3" xfId="554"/>
    <cellStyle name="Explanatory Text" xfId="555"/>
    <cellStyle name="Explanatory Text 2" xfId="556"/>
    <cellStyle name="Explanatory Text 3" xfId="557"/>
    <cellStyle name="Good" xfId="558"/>
    <cellStyle name="Good 2" xfId="559"/>
    <cellStyle name="Good 3" xfId="560"/>
    <cellStyle name="Heading 1" xfId="561"/>
    <cellStyle name="Heading 1 2" xfId="562"/>
    <cellStyle name="Heading 1 3" xfId="563"/>
    <cellStyle name="Heading 2" xfId="564"/>
    <cellStyle name="Heading 2 2" xfId="565"/>
    <cellStyle name="Heading 2 3" xfId="566"/>
    <cellStyle name="Heading 3" xfId="567"/>
    <cellStyle name="Heading 3 2" xfId="568"/>
    <cellStyle name="Heading 3 3" xfId="569"/>
    <cellStyle name="Heading 4" xfId="570"/>
    <cellStyle name="Heading 4 2" xfId="571"/>
    <cellStyle name="Heading 4 3" xfId="572"/>
    <cellStyle name="Input" xfId="573"/>
    <cellStyle name="Input 2" xfId="574"/>
    <cellStyle name="Input 2 2" xfId="575"/>
    <cellStyle name="Input 2 2 10" xfId="576"/>
    <cellStyle name="Input 2 2 10 2" xfId="577"/>
    <cellStyle name="Input 2 2 11" xfId="578"/>
    <cellStyle name="Input 2 2 12" xfId="579"/>
    <cellStyle name="Input 2 2 13" xfId="580"/>
    <cellStyle name="Input 2 2 2" xfId="581"/>
    <cellStyle name="Input 2 2 2 10" xfId="582"/>
    <cellStyle name="Input 2 2 2 2" xfId="583"/>
    <cellStyle name="Input 2 2 2 2 2" xfId="584"/>
    <cellStyle name="Input 2 2 2 2 2 2" xfId="585"/>
    <cellStyle name="Input 2 2 2 2 2 2 2" xfId="586"/>
    <cellStyle name="Input 2 2 2 2 2 3" xfId="587"/>
    <cellStyle name="Input 2 2 2 2 2 3 2" xfId="588"/>
    <cellStyle name="Input 2 2 2 2 2 4" xfId="589"/>
    <cellStyle name="Input 2 2 2 2 2 4 2" xfId="590"/>
    <cellStyle name="Input 2 2 2 2 3" xfId="591"/>
    <cellStyle name="Input 2 2 2 2 3 2" xfId="592"/>
    <cellStyle name="Input 2 2 2 2 3 2 2" xfId="593"/>
    <cellStyle name="Input 2 2 2 2 3 3" xfId="594"/>
    <cellStyle name="Input 2 2 2 2 3 3 2" xfId="595"/>
    <cellStyle name="Input 2 2 2 2 3 4" xfId="596"/>
    <cellStyle name="Input 2 2 2 2 3 4 2" xfId="597"/>
    <cellStyle name="Input 2 2 2 2 4" xfId="598"/>
    <cellStyle name="Input 2 2 2 2 4 2" xfId="599"/>
    <cellStyle name="Input 2 2 2 2 5" xfId="600"/>
    <cellStyle name="Input 2 2 2 2 5 2" xfId="601"/>
    <cellStyle name="Input 2 2 2 2 6" xfId="602"/>
    <cellStyle name="Input 2 2 2 2 6 2" xfId="603"/>
    <cellStyle name="Input 2 2 2 2 7" xfId="604"/>
    <cellStyle name="Input 2 2 2 2 8" xfId="605"/>
    <cellStyle name="Input 2 2 2 3" xfId="606"/>
    <cellStyle name="Input 2 2 2 3 2" xfId="607"/>
    <cellStyle name="Input 2 2 2 3 2 2" xfId="608"/>
    <cellStyle name="Input 2 2 2 3 3" xfId="609"/>
    <cellStyle name="Input 2 2 2 3 3 2" xfId="610"/>
    <cellStyle name="Input 2 2 2 3 4" xfId="611"/>
    <cellStyle name="Input 2 2 2 3 4 2" xfId="612"/>
    <cellStyle name="Input 2 2 2 3 5" xfId="613"/>
    <cellStyle name="Input 2 2 2 4" xfId="614"/>
    <cellStyle name="Input 2 2 2 5" xfId="615"/>
    <cellStyle name="Input 2 2 2 5 2" xfId="616"/>
    <cellStyle name="Input 2 2 2 6" xfId="617"/>
    <cellStyle name="Input 2 2 2 6 2" xfId="618"/>
    <cellStyle name="Input 2 2 2 7" xfId="619"/>
    <cellStyle name="Input 2 2 2 7 2" xfId="620"/>
    <cellStyle name="Input 2 2 2 8" xfId="621"/>
    <cellStyle name="Input 2 2 2 9" xfId="622"/>
    <cellStyle name="Input 2 2 3" xfId="623"/>
    <cellStyle name="Input 2 2 3 2" xfId="624"/>
    <cellStyle name="Input 2 2 3 2 2" xfId="625"/>
    <cellStyle name="Input 2 2 3 2 2 2" xfId="626"/>
    <cellStyle name="Input 2 2 3 2 3" xfId="627"/>
    <cellStyle name="Input 2 2 3 2 3 2" xfId="628"/>
    <cellStyle name="Input 2 2 3 2 4" xfId="629"/>
    <cellStyle name="Input 2 2 3 2 4 2" xfId="630"/>
    <cellStyle name="Input 2 2 3 3" xfId="631"/>
    <cellStyle name="Input 2 2 3 3 2" xfId="632"/>
    <cellStyle name="Input 2 2 3 4" xfId="633"/>
    <cellStyle name="Input 2 2 3 4 2" xfId="634"/>
    <cellStyle name="Input 2 2 3 5" xfId="635"/>
    <cellStyle name="Input 2 2 3 5 2" xfId="636"/>
    <cellStyle name="Input 2 2 3 6" xfId="637"/>
    <cellStyle name="Input 2 2 4" xfId="638"/>
    <cellStyle name="Input 2 2 4 2" xfId="639"/>
    <cellStyle name="Input 2 2 4 2 2" xfId="640"/>
    <cellStyle name="Input 2 2 4 2 2 2" xfId="641"/>
    <cellStyle name="Input 2 2 4 2 3" xfId="642"/>
    <cellStyle name="Input 2 2 4 2 3 2" xfId="643"/>
    <cellStyle name="Input 2 2 4 2 4" xfId="644"/>
    <cellStyle name="Input 2 2 4 2 4 2" xfId="645"/>
    <cellStyle name="Input 2 2 4 3" xfId="646"/>
    <cellStyle name="Input 2 2 4 3 2" xfId="647"/>
    <cellStyle name="Input 2 2 4 4" xfId="648"/>
    <cellStyle name="Input 2 2 4 4 2" xfId="649"/>
    <cellStyle name="Input 2 2 4 5" xfId="650"/>
    <cellStyle name="Input 2 2 4 5 2" xfId="651"/>
    <cellStyle name="Input 2 2 4 6" xfId="652"/>
    <cellStyle name="Input 2 2 5" xfId="653"/>
    <cellStyle name="Input 2 2 5 2" xfId="654"/>
    <cellStyle name="Input 2 2 5 2 2" xfId="655"/>
    <cellStyle name="Input 2 2 5 3" xfId="656"/>
    <cellStyle name="Input 2 2 5 3 2" xfId="657"/>
    <cellStyle name="Input 2 2 5 4" xfId="658"/>
    <cellStyle name="Input 2 2 5 4 2" xfId="659"/>
    <cellStyle name="Input 2 2 6" xfId="660"/>
    <cellStyle name="Input 2 2 6 2" xfId="661"/>
    <cellStyle name="Input 2 2 6 2 2" xfId="662"/>
    <cellStyle name="Input 2 2 6 3" xfId="663"/>
    <cellStyle name="Input 2 2 6 3 2" xfId="664"/>
    <cellStyle name="Input 2 2 6 4" xfId="665"/>
    <cellStyle name="Input 2 2 6 4 2" xfId="666"/>
    <cellStyle name="Input 2 2 7" xfId="667"/>
    <cellStyle name="Input 2 2 7 2" xfId="668"/>
    <cellStyle name="Input 2 2 8" xfId="669"/>
    <cellStyle name="Input 2 2 8 2" xfId="670"/>
    <cellStyle name="Input 2 2 9" xfId="671"/>
    <cellStyle name="Input 2 2 9 2" xfId="672"/>
    <cellStyle name="Input 2 3" xfId="673"/>
    <cellStyle name="Input 2 3 10" xfId="674"/>
    <cellStyle name="Input 2 3 2" xfId="675"/>
    <cellStyle name="Input 2 3 2 2" xfId="676"/>
    <cellStyle name="Input 2 3 2 2 2" xfId="677"/>
    <cellStyle name="Input 2 3 2 2 2 2" xfId="678"/>
    <cellStyle name="Input 2 3 2 2 3" xfId="679"/>
    <cellStyle name="Input 2 3 2 2 3 2" xfId="680"/>
    <cellStyle name="Input 2 3 2 2 4" xfId="681"/>
    <cellStyle name="Input 2 3 2 2 4 2" xfId="682"/>
    <cellStyle name="Input 2 3 2 3" xfId="683"/>
    <cellStyle name="Input 2 3 2 3 2" xfId="684"/>
    <cellStyle name="Input 2 3 2 3 2 2" xfId="685"/>
    <cellStyle name="Input 2 3 2 3 3" xfId="686"/>
    <cellStyle name="Input 2 3 2 3 3 2" xfId="687"/>
    <cellStyle name="Input 2 3 2 3 4" xfId="688"/>
    <cellStyle name="Input 2 3 2 3 4 2" xfId="689"/>
    <cellStyle name="Input 2 3 2 4" xfId="690"/>
    <cellStyle name="Input 2 3 2 4 2" xfId="691"/>
    <cellStyle name="Input 2 3 2 5" xfId="692"/>
    <cellStyle name="Input 2 3 2 5 2" xfId="693"/>
    <cellStyle name="Input 2 3 2 6" xfId="694"/>
    <cellStyle name="Input 2 3 2 6 2" xfId="695"/>
    <cellStyle name="Input 2 3 2 7" xfId="696"/>
    <cellStyle name="Input 2 3 2 8" xfId="697"/>
    <cellStyle name="Input 2 3 3" xfId="698"/>
    <cellStyle name="Input 2 3 3 2" xfId="699"/>
    <cellStyle name="Input 2 3 3 2 2" xfId="700"/>
    <cellStyle name="Input 2 3 3 3" xfId="701"/>
    <cellStyle name="Input 2 3 3 3 2" xfId="702"/>
    <cellStyle name="Input 2 3 3 4" xfId="703"/>
    <cellStyle name="Input 2 3 3 4 2" xfId="704"/>
    <cellStyle name="Input 2 3 3 5" xfId="705"/>
    <cellStyle name="Input 2 3 4" xfId="706"/>
    <cellStyle name="Input 2 3 5" xfId="707"/>
    <cellStyle name="Input 2 3 5 2" xfId="708"/>
    <cellStyle name="Input 2 3 6" xfId="709"/>
    <cellStyle name="Input 2 3 6 2" xfId="710"/>
    <cellStyle name="Input 2 3 7" xfId="711"/>
    <cellStyle name="Input 2 3 7 2" xfId="712"/>
    <cellStyle name="Input 2 3 8" xfId="713"/>
    <cellStyle name="Input 2 3 9" xfId="714"/>
    <cellStyle name="Input 2 4" xfId="715"/>
    <cellStyle name="Input 2 4 2" xfId="716"/>
    <cellStyle name="Input 2 4 2 2" xfId="717"/>
    <cellStyle name="Input 2 4 2 2 2" xfId="718"/>
    <cellStyle name="Input 2 4 2 3" xfId="719"/>
    <cellStyle name="Input 2 4 2 3 2" xfId="720"/>
    <cellStyle name="Input 2 4 2 4" xfId="721"/>
    <cellStyle name="Input 2 4 2 4 2" xfId="722"/>
    <cellStyle name="Input 2 4 3" xfId="723"/>
    <cellStyle name="Input 2 4 3 2" xfId="724"/>
    <cellStyle name="Input 2 4 4" xfId="725"/>
    <cellStyle name="Input 2 4 4 2" xfId="726"/>
    <cellStyle name="Input 2 4 5" xfId="727"/>
    <cellStyle name="Input 2 4 5 2" xfId="728"/>
    <cellStyle name="Input 2 4 6" xfId="729"/>
    <cellStyle name="Input 2 5" xfId="730"/>
    <cellStyle name="Input 2 6" xfId="731"/>
    <cellStyle name="Input 2 7" xfId="732"/>
    <cellStyle name="Input 2_בחירה מרשימה" xfId="733"/>
    <cellStyle name="Input 3" xfId="734"/>
    <cellStyle name="Input 3 2" xfId="735"/>
    <cellStyle name="Input 3 2 10" xfId="736"/>
    <cellStyle name="Input 3 2 10 2" xfId="737"/>
    <cellStyle name="Input 3 2 11" xfId="738"/>
    <cellStyle name="Input 3 2 12" xfId="739"/>
    <cellStyle name="Input 3 2 13" xfId="740"/>
    <cellStyle name="Input 3 2 2" xfId="741"/>
    <cellStyle name="Input 3 2 2 10" xfId="742"/>
    <cellStyle name="Input 3 2 2 2" xfId="743"/>
    <cellStyle name="Input 3 2 2 2 2" xfId="744"/>
    <cellStyle name="Input 3 2 2 2 2 2" xfId="745"/>
    <cellStyle name="Input 3 2 2 2 2 2 2" xfId="746"/>
    <cellStyle name="Input 3 2 2 2 2 3" xfId="747"/>
    <cellStyle name="Input 3 2 2 2 2 3 2" xfId="748"/>
    <cellStyle name="Input 3 2 2 2 2 4" xfId="749"/>
    <cellStyle name="Input 3 2 2 2 2 4 2" xfId="750"/>
    <cellStyle name="Input 3 2 2 2 3" xfId="751"/>
    <cellStyle name="Input 3 2 2 2 3 2" xfId="752"/>
    <cellStyle name="Input 3 2 2 2 3 2 2" xfId="753"/>
    <cellStyle name="Input 3 2 2 2 3 3" xfId="754"/>
    <cellStyle name="Input 3 2 2 2 3 3 2" xfId="755"/>
    <cellStyle name="Input 3 2 2 2 3 4" xfId="756"/>
    <cellStyle name="Input 3 2 2 2 3 4 2" xfId="757"/>
    <cellStyle name="Input 3 2 2 2 4" xfId="758"/>
    <cellStyle name="Input 3 2 2 2 4 2" xfId="759"/>
    <cellStyle name="Input 3 2 2 2 5" xfId="760"/>
    <cellStyle name="Input 3 2 2 2 5 2" xfId="761"/>
    <cellStyle name="Input 3 2 2 2 6" xfId="762"/>
    <cellStyle name="Input 3 2 2 2 6 2" xfId="763"/>
    <cellStyle name="Input 3 2 2 2 7" xfId="764"/>
    <cellStyle name="Input 3 2 2 2 8" xfId="765"/>
    <cellStyle name="Input 3 2 2 3" xfId="766"/>
    <cellStyle name="Input 3 2 2 3 2" xfId="767"/>
    <cellStyle name="Input 3 2 2 3 2 2" xfId="768"/>
    <cellStyle name="Input 3 2 2 3 3" xfId="769"/>
    <cellStyle name="Input 3 2 2 3 3 2" xfId="770"/>
    <cellStyle name="Input 3 2 2 3 4" xfId="771"/>
    <cellStyle name="Input 3 2 2 3 4 2" xfId="772"/>
    <cellStyle name="Input 3 2 2 3 5" xfId="773"/>
    <cellStyle name="Input 3 2 2 4" xfId="774"/>
    <cellStyle name="Input 3 2 2 5" xfId="775"/>
    <cellStyle name="Input 3 2 2 5 2" xfId="776"/>
    <cellStyle name="Input 3 2 2 6" xfId="777"/>
    <cellStyle name="Input 3 2 2 6 2" xfId="778"/>
    <cellStyle name="Input 3 2 2 7" xfId="779"/>
    <cellStyle name="Input 3 2 2 7 2" xfId="780"/>
    <cellStyle name="Input 3 2 2 8" xfId="781"/>
    <cellStyle name="Input 3 2 2 9" xfId="782"/>
    <cellStyle name="Input 3 2 3" xfId="783"/>
    <cellStyle name="Input 3 2 3 2" xfId="784"/>
    <cellStyle name="Input 3 2 3 2 2" xfId="785"/>
    <cellStyle name="Input 3 2 3 2 2 2" xfId="786"/>
    <cellStyle name="Input 3 2 3 2 3" xfId="787"/>
    <cellStyle name="Input 3 2 3 2 3 2" xfId="788"/>
    <cellStyle name="Input 3 2 3 2 4" xfId="789"/>
    <cellStyle name="Input 3 2 3 2 4 2" xfId="790"/>
    <cellStyle name="Input 3 2 3 3" xfId="791"/>
    <cellStyle name="Input 3 2 3 3 2" xfId="792"/>
    <cellStyle name="Input 3 2 3 4" xfId="793"/>
    <cellStyle name="Input 3 2 3 4 2" xfId="794"/>
    <cellStyle name="Input 3 2 3 5" xfId="795"/>
    <cellStyle name="Input 3 2 3 5 2" xfId="796"/>
    <cellStyle name="Input 3 2 3 6" xfId="797"/>
    <cellStyle name="Input 3 2 4" xfId="798"/>
    <cellStyle name="Input 3 2 4 2" xfId="799"/>
    <cellStyle name="Input 3 2 4 2 2" xfId="800"/>
    <cellStyle name="Input 3 2 4 2 2 2" xfId="801"/>
    <cellStyle name="Input 3 2 4 2 3" xfId="802"/>
    <cellStyle name="Input 3 2 4 2 3 2" xfId="803"/>
    <cellStyle name="Input 3 2 4 2 4" xfId="804"/>
    <cellStyle name="Input 3 2 4 2 4 2" xfId="805"/>
    <cellStyle name="Input 3 2 4 3" xfId="806"/>
    <cellStyle name="Input 3 2 4 3 2" xfId="807"/>
    <cellStyle name="Input 3 2 4 4" xfId="808"/>
    <cellStyle name="Input 3 2 4 4 2" xfId="809"/>
    <cellStyle name="Input 3 2 4 5" xfId="810"/>
    <cellStyle name="Input 3 2 4 5 2" xfId="811"/>
    <cellStyle name="Input 3 2 4 6" xfId="812"/>
    <cellStyle name="Input 3 2 5" xfId="813"/>
    <cellStyle name="Input 3 2 5 2" xfId="814"/>
    <cellStyle name="Input 3 2 5 2 2" xfId="815"/>
    <cellStyle name="Input 3 2 5 3" xfId="816"/>
    <cellStyle name="Input 3 2 5 3 2" xfId="817"/>
    <cellStyle name="Input 3 2 5 4" xfId="818"/>
    <cellStyle name="Input 3 2 5 4 2" xfId="819"/>
    <cellStyle name="Input 3 2 6" xfId="820"/>
    <cellStyle name="Input 3 2 6 2" xfId="821"/>
    <cellStyle name="Input 3 2 6 2 2" xfId="822"/>
    <cellStyle name="Input 3 2 6 3" xfId="823"/>
    <cellStyle name="Input 3 2 6 3 2" xfId="824"/>
    <cellStyle name="Input 3 2 6 4" xfId="825"/>
    <cellStyle name="Input 3 2 6 4 2" xfId="826"/>
    <cellStyle name="Input 3 2 7" xfId="827"/>
    <cellStyle name="Input 3 2 7 2" xfId="828"/>
    <cellStyle name="Input 3 2 8" xfId="829"/>
    <cellStyle name="Input 3 2 8 2" xfId="830"/>
    <cellStyle name="Input 3 2 9" xfId="831"/>
    <cellStyle name="Input 3 2 9 2" xfId="832"/>
    <cellStyle name="Input 3 3" xfId="833"/>
    <cellStyle name="Input 3 3 10" xfId="834"/>
    <cellStyle name="Input 3 3 2" xfId="835"/>
    <cellStyle name="Input 3 3 2 2" xfId="836"/>
    <cellStyle name="Input 3 3 2 2 2" xfId="837"/>
    <cellStyle name="Input 3 3 2 2 2 2" xfId="838"/>
    <cellStyle name="Input 3 3 2 2 3" xfId="839"/>
    <cellStyle name="Input 3 3 2 2 3 2" xfId="840"/>
    <cellStyle name="Input 3 3 2 2 4" xfId="841"/>
    <cellStyle name="Input 3 3 2 2 4 2" xfId="842"/>
    <cellStyle name="Input 3 3 2 3" xfId="843"/>
    <cellStyle name="Input 3 3 2 3 2" xfId="844"/>
    <cellStyle name="Input 3 3 2 3 2 2" xfId="845"/>
    <cellStyle name="Input 3 3 2 3 3" xfId="846"/>
    <cellStyle name="Input 3 3 2 3 3 2" xfId="847"/>
    <cellStyle name="Input 3 3 2 3 4" xfId="848"/>
    <cellStyle name="Input 3 3 2 3 4 2" xfId="849"/>
    <cellStyle name="Input 3 3 2 4" xfId="850"/>
    <cellStyle name="Input 3 3 2 4 2" xfId="851"/>
    <cellStyle name="Input 3 3 2 5" xfId="852"/>
    <cellStyle name="Input 3 3 2 5 2" xfId="853"/>
    <cellStyle name="Input 3 3 2 6" xfId="854"/>
    <cellStyle name="Input 3 3 2 6 2" xfId="855"/>
    <cellStyle name="Input 3 3 2 7" xfId="856"/>
    <cellStyle name="Input 3 3 2 8" xfId="857"/>
    <cellStyle name="Input 3 3 3" xfId="858"/>
    <cellStyle name="Input 3 3 3 2" xfId="859"/>
    <cellStyle name="Input 3 3 3 2 2" xfId="860"/>
    <cellStyle name="Input 3 3 3 3" xfId="861"/>
    <cellStyle name="Input 3 3 3 3 2" xfId="862"/>
    <cellStyle name="Input 3 3 3 4" xfId="863"/>
    <cellStyle name="Input 3 3 3 4 2" xfId="864"/>
    <cellStyle name="Input 3 3 3 5" xfId="865"/>
    <cellStyle name="Input 3 3 4" xfId="866"/>
    <cellStyle name="Input 3 3 5" xfId="867"/>
    <cellStyle name="Input 3 3 5 2" xfId="868"/>
    <cellStyle name="Input 3 3 6" xfId="869"/>
    <cellStyle name="Input 3 3 6 2" xfId="870"/>
    <cellStyle name="Input 3 3 7" xfId="871"/>
    <cellStyle name="Input 3 3 7 2" xfId="872"/>
    <cellStyle name="Input 3 3 8" xfId="873"/>
    <cellStyle name="Input 3 3 9" xfId="874"/>
    <cellStyle name="Input 3 4" xfId="875"/>
    <cellStyle name="Input 3 4 2" xfId="876"/>
    <cellStyle name="Input 3 4 2 2" xfId="877"/>
    <cellStyle name="Input 3 4 2 2 2" xfId="878"/>
    <cellStyle name="Input 3 4 2 3" xfId="879"/>
    <cellStyle name="Input 3 4 2 3 2" xfId="880"/>
    <cellStyle name="Input 3 4 2 4" xfId="881"/>
    <cellStyle name="Input 3 4 2 4 2" xfId="882"/>
    <cellStyle name="Input 3 4 3" xfId="883"/>
    <cellStyle name="Input 3 4 3 2" xfId="884"/>
    <cellStyle name="Input 3 4 4" xfId="885"/>
    <cellStyle name="Input 3 4 4 2" xfId="886"/>
    <cellStyle name="Input 3 4 5" xfId="887"/>
    <cellStyle name="Input 3 4 5 2" xfId="888"/>
    <cellStyle name="Input 3 4 6" xfId="889"/>
    <cellStyle name="Input 3 5" xfId="890"/>
    <cellStyle name="Input 3 6" xfId="891"/>
    <cellStyle name="Input 3 7" xfId="892"/>
    <cellStyle name="Input 3_בחירה מרשימה" xfId="893"/>
    <cellStyle name="Input 4" xfId="894"/>
    <cellStyle name="Input 4 10" xfId="895"/>
    <cellStyle name="Input 4 2" xfId="896"/>
    <cellStyle name="Input 4 2 2" xfId="897"/>
    <cellStyle name="Input 4 2 2 2" xfId="898"/>
    <cellStyle name="Input 4 2 2 2 2" xfId="899"/>
    <cellStyle name="Input 4 2 2 3" xfId="900"/>
    <cellStyle name="Input 4 2 2 3 2" xfId="901"/>
    <cellStyle name="Input 4 2 2 4" xfId="902"/>
    <cellStyle name="Input 4 2 2 4 2" xfId="903"/>
    <cellStyle name="Input 4 2 3" xfId="904"/>
    <cellStyle name="Input 4 2 3 2" xfId="905"/>
    <cellStyle name="Input 4 2 3 2 2" xfId="906"/>
    <cellStyle name="Input 4 2 3 3" xfId="907"/>
    <cellStyle name="Input 4 2 3 3 2" xfId="908"/>
    <cellStyle name="Input 4 2 3 4" xfId="909"/>
    <cellStyle name="Input 4 2 3 4 2" xfId="910"/>
    <cellStyle name="Input 4 2 4" xfId="911"/>
    <cellStyle name="Input 4 2 4 2" xfId="912"/>
    <cellStyle name="Input 4 2 5" xfId="913"/>
    <cellStyle name="Input 4 2 5 2" xfId="914"/>
    <cellStyle name="Input 4 2 6" xfId="915"/>
    <cellStyle name="Input 4 2 6 2" xfId="916"/>
    <cellStyle name="Input 4 2 7" xfId="917"/>
    <cellStyle name="Input 4 2 8" xfId="918"/>
    <cellStyle name="Input 4 3" xfId="919"/>
    <cellStyle name="Input 4 3 2" xfId="920"/>
    <cellStyle name="Input 4 3 2 2" xfId="921"/>
    <cellStyle name="Input 4 3 3" xfId="922"/>
    <cellStyle name="Input 4 3 3 2" xfId="923"/>
    <cellStyle name="Input 4 3 4" xfId="924"/>
    <cellStyle name="Input 4 3 4 2" xfId="925"/>
    <cellStyle name="Input 4 3 5" xfId="926"/>
    <cellStyle name="Input 4 4" xfId="927"/>
    <cellStyle name="Input 4 5" xfId="928"/>
    <cellStyle name="Input 4 5 2" xfId="929"/>
    <cellStyle name="Input 4 6" xfId="930"/>
    <cellStyle name="Input 4 6 2" xfId="931"/>
    <cellStyle name="Input 4 7" xfId="932"/>
    <cellStyle name="Input 4 7 2" xfId="933"/>
    <cellStyle name="Input 4 8" xfId="934"/>
    <cellStyle name="Input 4 9" xfId="935"/>
    <cellStyle name="Input 5" xfId="936"/>
    <cellStyle name="Input 5 2" xfId="937"/>
    <cellStyle name="Input 5 2 2" xfId="938"/>
    <cellStyle name="Input 5 2 2 2" xfId="939"/>
    <cellStyle name="Input 5 2 3" xfId="940"/>
    <cellStyle name="Input 5 2 3 2" xfId="941"/>
    <cellStyle name="Input 5 2 4" xfId="942"/>
    <cellStyle name="Input 5 2 4 2" xfId="943"/>
    <cellStyle name="Input 5 3" xfId="944"/>
    <cellStyle name="Input 5 3 2" xfId="945"/>
    <cellStyle name="Input 5 4" xfId="946"/>
    <cellStyle name="Input 5 4 2" xfId="947"/>
    <cellStyle name="Input 5 5" xfId="948"/>
    <cellStyle name="Input 5 5 2" xfId="949"/>
    <cellStyle name="Input 5 6" xfId="950"/>
    <cellStyle name="Input 6" xfId="951"/>
    <cellStyle name="Input 6 2" xfId="952"/>
    <cellStyle name="Input 6 2 2" xfId="953"/>
    <cellStyle name="Input 6 3" xfId="954"/>
    <cellStyle name="Input 6 3 2" xfId="955"/>
    <cellStyle name="Input 6 4" xfId="956"/>
    <cellStyle name="Input 6 4 2" xfId="957"/>
    <cellStyle name="Input 7" xfId="958"/>
    <cellStyle name="Input_בחירה מרשימה" xfId="959"/>
    <cellStyle name="Linked Cell" xfId="960"/>
    <cellStyle name="Linked Cell 2" xfId="961"/>
    <cellStyle name="Linked Cell 3" xfId="962"/>
    <cellStyle name="Neutral" xfId="963"/>
    <cellStyle name="Neutral 2" xfId="964"/>
    <cellStyle name="Neutral 3" xfId="965"/>
    <cellStyle name="Normal" xfId="0" builtinId="0"/>
    <cellStyle name="Normal 10" xfId="16"/>
    <cellStyle name="Normal 10 2" xfId="966"/>
    <cellStyle name="Normal 10 2 2" xfId="967"/>
    <cellStyle name="Normal 10 3" xfId="968"/>
    <cellStyle name="Normal 10_בחירה מרשימה" xfId="969"/>
    <cellStyle name="Normal 11" xfId="74"/>
    <cellStyle name="Normal 11 2" xfId="970"/>
    <cellStyle name="Normal 12" xfId="75"/>
    <cellStyle name="Normal 12 2" xfId="971"/>
    <cellStyle name="Normal 12 3" xfId="972"/>
    <cellStyle name="Normal 13" xfId="76"/>
    <cellStyle name="Normal 13 2" xfId="973"/>
    <cellStyle name="Normal 14" xfId="78"/>
    <cellStyle name="Normal 14 2" xfId="974"/>
    <cellStyle name="Normal 15" xfId="975"/>
    <cellStyle name="Normal 15 2" xfId="976"/>
    <cellStyle name="Normal 16" xfId="977"/>
    <cellStyle name="Normal 16 2" xfId="978"/>
    <cellStyle name="Normal 17" xfId="81"/>
    <cellStyle name="Normal 17 2" xfId="2509"/>
    <cellStyle name="Normal 18" xfId="979"/>
    <cellStyle name="Normal 18 2" xfId="980"/>
    <cellStyle name="Normal 19" xfId="80"/>
    <cellStyle name="Normal 19 2" xfId="2508"/>
    <cellStyle name="Normal 2" xfId="6"/>
    <cellStyle name="Normal 2 2" xfId="4"/>
    <cellStyle name="Normal 2 2 2" xfId="79"/>
    <cellStyle name="Normal 2 2 3" xfId="981"/>
    <cellStyle name="Normal 2 2_בחירה מרשימה" xfId="982"/>
    <cellStyle name="Normal 2 3" xfId="983"/>
    <cellStyle name="Normal 2 3 2" xfId="984"/>
    <cellStyle name="Normal 2 4" xfId="985"/>
    <cellStyle name="Normal 2 5" xfId="986"/>
    <cellStyle name="Normal 2 5 2" xfId="987"/>
    <cellStyle name="Normal 2_בחירה מרשימה" xfId="988"/>
    <cellStyle name="Normal 20" xfId="989"/>
    <cellStyle name="Normal 21" xfId="990"/>
    <cellStyle name="Normal 22" xfId="991"/>
    <cellStyle name="Normal 23" xfId="992"/>
    <cellStyle name="Normal 24" xfId="993"/>
    <cellStyle name="Normal 25" xfId="82"/>
    <cellStyle name="Normal 25 2" xfId="2510"/>
    <cellStyle name="Normal 26" xfId="994"/>
    <cellStyle name="Normal 27" xfId="995"/>
    <cellStyle name="Normal 28" xfId="996"/>
    <cellStyle name="Normal 29" xfId="997"/>
    <cellStyle name="Normal 3" xfId="5"/>
    <cellStyle name="Normal 3 10" xfId="998"/>
    <cellStyle name="Normal 3 2" xfId="11"/>
    <cellStyle name="Normal 3 2 10" xfId="999"/>
    <cellStyle name="Normal 3 2 2" xfId="17"/>
    <cellStyle name="Normal 3 2 2 2" xfId="18"/>
    <cellStyle name="Normal 3 2 2 2 2" xfId="1000"/>
    <cellStyle name="Normal 3 2 2 2 3" xfId="1001"/>
    <cellStyle name="Normal 3 2 2 2 4" xfId="2514"/>
    <cellStyle name="Normal 3 2 2 2_בחירה מרשימה" xfId="1002"/>
    <cellStyle name="Normal 3 2 2 3" xfId="1003"/>
    <cellStyle name="Normal 3 2 2 3 2" xfId="1004"/>
    <cellStyle name="Normal 3 2 2 4" xfId="1005"/>
    <cellStyle name="Normal 3 2 2 4 2" xfId="1006"/>
    <cellStyle name="Normal 3 2 2 5" xfId="1007"/>
    <cellStyle name="Normal 3 2 2 6" xfId="1008"/>
    <cellStyle name="Normal 3 2 2_בחירה מרשימה" xfId="1009"/>
    <cellStyle name="Normal 3 2 3" xfId="19"/>
    <cellStyle name="Normal 3 2 3 2" xfId="1010"/>
    <cellStyle name="Normal 3 2 3 3" xfId="1011"/>
    <cellStyle name="Normal 3 2 3_בחירה מרשימה" xfId="1012"/>
    <cellStyle name="Normal 3 2 4" xfId="1013"/>
    <cellStyle name="Normal 3 2 5" xfId="1014"/>
    <cellStyle name="Normal 3 2 6" xfId="1015"/>
    <cellStyle name="Normal 3 2 7" xfId="1016"/>
    <cellStyle name="Normal 3 2 8" xfId="1017"/>
    <cellStyle name="Normal 3 2 9" xfId="1018"/>
    <cellStyle name="Normal 3 2_בחירה מרשימה" xfId="1019"/>
    <cellStyle name="Normal 3 3" xfId="20"/>
    <cellStyle name="Normal 3 3 2" xfId="21"/>
    <cellStyle name="Normal 3 3 2 2" xfId="1020"/>
    <cellStyle name="Normal 3 3 2 2 2" xfId="1021"/>
    <cellStyle name="Normal 3 3 2 3" xfId="1022"/>
    <cellStyle name="Normal 3 3 2_בחירה מרשימה" xfId="1023"/>
    <cellStyle name="Normal 3 3 3" xfId="1024"/>
    <cellStyle name="Normal 3 3 3 2" xfId="1025"/>
    <cellStyle name="Normal 3 3 4" xfId="1026"/>
    <cellStyle name="Normal 3 3_בחירה מרשימה" xfId="1027"/>
    <cellStyle name="Normal 3 4" xfId="1028"/>
    <cellStyle name="Normal 3 5" xfId="1029"/>
    <cellStyle name="Normal 3 6" xfId="1030"/>
    <cellStyle name="Normal 3 6 2" xfId="1031"/>
    <cellStyle name="Normal 3 7" xfId="1032"/>
    <cellStyle name="Normal 3 8" xfId="1033"/>
    <cellStyle name="Normal 3 9" xfId="1034"/>
    <cellStyle name="Normal 3_בחירה מרשימה" xfId="1035"/>
    <cellStyle name="Normal 30" xfId="2507"/>
    <cellStyle name="Normal 4" xfId="7"/>
    <cellStyle name="Normal 4 10" xfId="1036"/>
    <cellStyle name="Normal 4 11" xfId="1037"/>
    <cellStyle name="Normal 4 2" xfId="22"/>
    <cellStyle name="Normal 4 2 2" xfId="23"/>
    <cellStyle name="Normal 4 2 2 2" xfId="24"/>
    <cellStyle name="Normal 4 2 2 2 2" xfId="25"/>
    <cellStyle name="Normal 4 2 2 2 2 2" xfId="1038"/>
    <cellStyle name="Normal 4 2 2 2 2 2 2" xfId="1039"/>
    <cellStyle name="Normal 4 2 2 2 2 3" xfId="1040"/>
    <cellStyle name="Normal 4 2 2 2 2_בחירה מרשימה" xfId="1041"/>
    <cellStyle name="Normal 4 2 2 2 3" xfId="1042"/>
    <cellStyle name="Normal 4 2 2 2 3 2" xfId="1043"/>
    <cellStyle name="Normal 4 2 2 2 4" xfId="1044"/>
    <cellStyle name="Normal 4 2 2 2_בחירה מרשימה" xfId="1045"/>
    <cellStyle name="Normal 4 2 2 3" xfId="26"/>
    <cellStyle name="Normal 4 2 2 3 2" xfId="1046"/>
    <cellStyle name="Normal 4 2 2 3 2 2" xfId="1047"/>
    <cellStyle name="Normal 4 2 2 3 3" xfId="1048"/>
    <cellStyle name="Normal 4 2 2 3_בחירה מרשימה" xfId="1049"/>
    <cellStyle name="Normal 4 2 2 4" xfId="84"/>
    <cellStyle name="Normal 4 2 2 4 2" xfId="1050"/>
    <cellStyle name="Normal 4 2 2 5" xfId="1051"/>
    <cellStyle name="Normal 4 2 2_בחירה מרשימה" xfId="1052"/>
    <cellStyle name="Normal 4 2 3" xfId="27"/>
    <cellStyle name="Normal 4 2 3 2" xfId="28"/>
    <cellStyle name="Normal 4 2 3 2 2" xfId="1053"/>
    <cellStyle name="Normal 4 2 3 2 2 2" xfId="1054"/>
    <cellStyle name="Normal 4 2 3 2 3" xfId="1055"/>
    <cellStyle name="Normal 4 2 3 2_בחירה מרשימה" xfId="1056"/>
    <cellStyle name="Normal 4 2 3 3" xfId="1057"/>
    <cellStyle name="Normal 4 2 3 3 2" xfId="1058"/>
    <cellStyle name="Normal 4 2 3 4" xfId="1059"/>
    <cellStyle name="Normal 4 2 3_בחירה מרשימה" xfId="1060"/>
    <cellStyle name="Normal 4 2 4" xfId="29"/>
    <cellStyle name="Normal 4 2 4 2" xfId="1061"/>
    <cellStyle name="Normal 4 2 4 2 2" xfId="1062"/>
    <cellStyle name="Normal 4 2 4 3" xfId="1063"/>
    <cellStyle name="Normal 4 2 4_בחירה מרשימה" xfId="1064"/>
    <cellStyle name="Normal 4 2 5" xfId="1065"/>
    <cellStyle name="Normal 4 2 5 2" xfId="1066"/>
    <cellStyle name="Normal 4 2 6" xfId="1067"/>
    <cellStyle name="Normal 4 2_בחירה מרשימה" xfId="1068"/>
    <cellStyle name="Normal 4 3" xfId="30"/>
    <cellStyle name="Normal 4 3 2" xfId="31"/>
    <cellStyle name="Normal 4 3 2 2" xfId="1069"/>
    <cellStyle name="Normal 4 3 2 3" xfId="1070"/>
    <cellStyle name="Normal 4 3 2_בחירה מרשימה" xfId="1071"/>
    <cellStyle name="Normal 4 3 3" xfId="1072"/>
    <cellStyle name="Normal 4 3 4" xfId="1073"/>
    <cellStyle name="Normal 4 3_בחירה מרשימה" xfId="1074"/>
    <cellStyle name="Normal 4 4" xfId="32"/>
    <cellStyle name="Normal 4 4 2" xfId="33"/>
    <cellStyle name="Normal 4 4 2 2" xfId="34"/>
    <cellStyle name="Normal 4 4 2 2 2" xfId="1075"/>
    <cellStyle name="Normal 4 4 2 2 2 2" xfId="1076"/>
    <cellStyle name="Normal 4 4 2 2 3" xfId="1077"/>
    <cellStyle name="Normal 4 4 2 2_בחירה מרשימה" xfId="1078"/>
    <cellStyle name="Normal 4 4 2 3" xfId="1079"/>
    <cellStyle name="Normal 4 4 2 3 2" xfId="1080"/>
    <cellStyle name="Normal 4 4 2 4" xfId="1081"/>
    <cellStyle name="Normal 4 4 2_בחירה מרשימה" xfId="1082"/>
    <cellStyle name="Normal 4 4 3" xfId="35"/>
    <cellStyle name="Normal 4 4 3 2" xfId="1083"/>
    <cellStyle name="Normal 4 4 3 2 2" xfId="1084"/>
    <cellStyle name="Normal 4 4 3 3" xfId="1085"/>
    <cellStyle name="Normal 4 4 3_בחירה מרשימה" xfId="1086"/>
    <cellStyle name="Normal 4 4 4" xfId="1087"/>
    <cellStyle name="Normal 4 4 4 2" xfId="1088"/>
    <cellStyle name="Normal 4 4 5" xfId="1089"/>
    <cellStyle name="Normal 4 4_בחירה מרשימה" xfId="1090"/>
    <cellStyle name="Normal 4 5" xfId="36"/>
    <cellStyle name="Normal 4 5 2" xfId="37"/>
    <cellStyle name="Normal 4 5 2 2" xfId="1091"/>
    <cellStyle name="Normal 4 5 2 2 2" xfId="1092"/>
    <cellStyle name="Normal 4 5 2 3" xfId="1093"/>
    <cellStyle name="Normal 4 5 2_בחירה מרשימה" xfId="1094"/>
    <cellStyle name="Normal 4 5 3" xfId="1095"/>
    <cellStyle name="Normal 4 5 3 2" xfId="1096"/>
    <cellStyle name="Normal 4 5 4" xfId="1097"/>
    <cellStyle name="Normal 4 5_בחירה מרשימה" xfId="1098"/>
    <cellStyle name="Normal 4 6" xfId="1099"/>
    <cellStyle name="Normal 4 6 2" xfId="1100"/>
    <cellStyle name="Normal 4 6 2 2" xfId="1101"/>
    <cellStyle name="Normal 4 6_בחירה מרשימה" xfId="1102"/>
    <cellStyle name="Normal 4 7" xfId="1103"/>
    <cellStyle name="Normal 4 8" xfId="1104"/>
    <cellStyle name="Normal 4 9" xfId="1105"/>
    <cellStyle name="Normal 4_בחירה מרשימה" xfId="1106"/>
    <cellStyle name="Normal 5" xfId="8"/>
    <cellStyle name="Normal 5 10" xfId="1107"/>
    <cellStyle name="Normal 5 10 2" xfId="1108"/>
    <cellStyle name="Normal 5 11" xfId="1109"/>
    <cellStyle name="Normal 5 12" xfId="1110"/>
    <cellStyle name="Normal 5 2" xfId="9"/>
    <cellStyle name="Normal 5 2 10" xfId="1111"/>
    <cellStyle name="Normal 5 2 2" xfId="38"/>
    <cellStyle name="Normal 5 2 2 2" xfId="39"/>
    <cellStyle name="Normal 5 2 2 2 10" xfId="1112"/>
    <cellStyle name="Normal 5 2 2 2 2" xfId="40"/>
    <cellStyle name="Normal 5 2 2 2 2 2" xfId="1113"/>
    <cellStyle name="Normal 5 2 2 2 2 3" xfId="1114"/>
    <cellStyle name="Normal 5 2 2 2 2 4" xfId="2515"/>
    <cellStyle name="Normal 5 2 2 2 2_בחירה מרשימה" xfId="1115"/>
    <cellStyle name="Normal 5 2 2 2 3" xfId="1116"/>
    <cellStyle name="Normal 5 2 2 2 4" xfId="1117"/>
    <cellStyle name="Normal 5 2 2 2 5" xfId="1118"/>
    <cellStyle name="Normal 5 2 2 2 5 2" xfId="1119"/>
    <cellStyle name="Normal 5 2 2 2 6" xfId="1120"/>
    <cellStyle name="Normal 5 2 2 2 7" xfId="1121"/>
    <cellStyle name="Normal 5 2 2 2 8" xfId="1122"/>
    <cellStyle name="Normal 5 2 2 2 9" xfId="1123"/>
    <cellStyle name="Normal 5 2 2 2_בחירה מרשימה" xfId="1124"/>
    <cellStyle name="Normal 5 2 2 3" xfId="41"/>
    <cellStyle name="Normal 5 2 2 3 2" xfId="1125"/>
    <cellStyle name="Normal 5 2 2 3 3" xfId="1126"/>
    <cellStyle name="Normal 5 2 2 3_בחירה מרשימה" xfId="1127"/>
    <cellStyle name="Normal 5 2 2 4" xfId="1128"/>
    <cellStyle name="Normal 5 2 2 5" xfId="1129"/>
    <cellStyle name="Normal 5 2 2_בחירה מרשימה" xfId="1130"/>
    <cellStyle name="Normal 5 2 3" xfId="77"/>
    <cellStyle name="Normal 5 2 4" xfId="1131"/>
    <cellStyle name="Normal 5 2 5" xfId="1132"/>
    <cellStyle name="Normal 5 2 5 2" xfId="1133"/>
    <cellStyle name="Normal 5 2 6" xfId="1134"/>
    <cellStyle name="Normal 5 2 7" xfId="1135"/>
    <cellStyle name="Normal 5 2 8" xfId="1136"/>
    <cellStyle name="Normal 5 2 9" xfId="1137"/>
    <cellStyle name="Normal 5 2_בחירה מרשימה" xfId="1138"/>
    <cellStyle name="Normal 5 3" xfId="42"/>
    <cellStyle name="Normal 5 3 2" xfId="43"/>
    <cellStyle name="Normal 5 3 2 2" xfId="1139"/>
    <cellStyle name="Normal 5 3 2 3" xfId="1140"/>
    <cellStyle name="Normal 5 3 2_בחירה מרשימה" xfId="1141"/>
    <cellStyle name="Normal 5 3 3" xfId="1142"/>
    <cellStyle name="Normal 5 3 4" xfId="1143"/>
    <cellStyle name="Normal 5 3_בחירה מרשימה" xfId="1144"/>
    <cellStyle name="Normal 5 4" xfId="44"/>
    <cellStyle name="Normal 5 4 2" xfId="45"/>
    <cellStyle name="Normal 5 4 2 2" xfId="1145"/>
    <cellStyle name="Normal 5 4 2 3" xfId="1146"/>
    <cellStyle name="Normal 5 4 2_בחירה מרשימה" xfId="1147"/>
    <cellStyle name="Normal 5 4 3" xfId="1148"/>
    <cellStyle name="Normal 5 4 4" xfId="1149"/>
    <cellStyle name="Normal 5 4_בחירה מרשימה" xfId="1150"/>
    <cellStyle name="Normal 5 5" xfId="46"/>
    <cellStyle name="Normal 5 5 2" xfId="1151"/>
    <cellStyle name="Normal 5 5 3" xfId="1152"/>
    <cellStyle name="Normal 5 5_בחירה מרשימה" xfId="1153"/>
    <cellStyle name="Normal 5 6" xfId="47"/>
    <cellStyle name="Normal 5 6 2" xfId="1154"/>
    <cellStyle name="Normal 5 6 3" xfId="1155"/>
    <cellStyle name="Normal 5 6_בחירה מרשימה" xfId="1156"/>
    <cellStyle name="Normal 5 7" xfId="48"/>
    <cellStyle name="Normal 5 7 2" xfId="1157"/>
    <cellStyle name="Normal 5 7 2 2" xfId="1158"/>
    <cellStyle name="Normal 5 7 3" xfId="1159"/>
    <cellStyle name="Normal 5 7_בחירה מרשימה" xfId="1160"/>
    <cellStyle name="Normal 5 8" xfId="1161"/>
    <cellStyle name="Normal 5 8 2" xfId="1162"/>
    <cellStyle name="Normal 5 9" xfId="1163"/>
    <cellStyle name="Normal 5_בחירה מרשימה" xfId="1164"/>
    <cellStyle name="Normal 6" xfId="49"/>
    <cellStyle name="Normal 6 2" xfId="1165"/>
    <cellStyle name="Normal 6 3" xfId="1166"/>
    <cellStyle name="Normal 6_בחירה מרשימה" xfId="1167"/>
    <cellStyle name="Normal 7" xfId="50"/>
    <cellStyle name="Normal 7 2" xfId="51"/>
    <cellStyle name="Normal 7 2 2" xfId="1168"/>
    <cellStyle name="Normal 7 2 2 2" xfId="1169"/>
    <cellStyle name="Normal 7 2 3" xfId="1170"/>
    <cellStyle name="Normal 7 2_בחירה מרשימה" xfId="1171"/>
    <cellStyle name="Normal 7 3" xfId="1172"/>
    <cellStyle name="Normal 7 3 2" xfId="1173"/>
    <cellStyle name="Normal 7 3 2 2" xfId="1174"/>
    <cellStyle name="Normal 7 3 3" xfId="1175"/>
    <cellStyle name="Normal 7 3_בחירה מרשימה" xfId="1176"/>
    <cellStyle name="Normal 7 4" xfId="1177"/>
    <cellStyle name="Normal 7 4 2" xfId="1178"/>
    <cellStyle name="Normal 7 5" xfId="1179"/>
    <cellStyle name="Normal 7 5 2" xfId="1180"/>
    <cellStyle name="Normal 7 6" xfId="1181"/>
    <cellStyle name="Normal 7_בחירה מרשימה" xfId="1182"/>
    <cellStyle name="Normal 8" xfId="52"/>
    <cellStyle name="Normal 8 2" xfId="53"/>
    <cellStyle name="Normal 8 2 2" xfId="1183"/>
    <cellStyle name="Normal 8 2 2 2" xfId="1184"/>
    <cellStyle name="Normal 8 2 3" xfId="1185"/>
    <cellStyle name="Normal 8 2_בחירה מרשימה" xfId="1186"/>
    <cellStyle name="Normal 8 3" xfId="1187"/>
    <cellStyle name="Normal 8 3 2" xfId="1188"/>
    <cellStyle name="Normal 8 4" xfId="1189"/>
    <cellStyle name="Normal 8_בחירה מרשימה" xfId="1190"/>
    <cellStyle name="Normal 9" xfId="54"/>
    <cellStyle name="Normal 9 10" xfId="1191"/>
    <cellStyle name="Normal 9 11" xfId="1192"/>
    <cellStyle name="Normal 9 2" xfId="55"/>
    <cellStyle name="Normal 9 2 10" xfId="1193"/>
    <cellStyle name="Normal 9 2 2" xfId="1194"/>
    <cellStyle name="Normal 9 2 2 2" xfId="1195"/>
    <cellStyle name="Normal 9 2 2 2 2" xfId="1196"/>
    <cellStyle name="Normal 9 2 2 2 2 2" xfId="1197"/>
    <cellStyle name="Normal 9 2 2 2 2 3" xfId="1198"/>
    <cellStyle name="Normal 9 2 2 2 2 4" xfId="1199"/>
    <cellStyle name="Normal 9 2 2 2 2 5" xfId="1200"/>
    <cellStyle name="Normal 9 2 2 2 3" xfId="1201"/>
    <cellStyle name="Normal 9 2 2 2 3 2" xfId="1202"/>
    <cellStyle name="Normal 9 2 2 2 3 3" xfId="1203"/>
    <cellStyle name="Normal 9 2 2 2 4" xfId="1204"/>
    <cellStyle name="Normal 9 2 2 2 5" xfId="1205"/>
    <cellStyle name="Normal 9 2 2 2 6" xfId="1206"/>
    <cellStyle name="Normal 9 2 2 2 7" xfId="1207"/>
    <cellStyle name="Normal 9 2 2 3" xfId="1208"/>
    <cellStyle name="Normal 9 2 2 3 2" xfId="1209"/>
    <cellStyle name="Normal 9 2 2 3 3" xfId="1210"/>
    <cellStyle name="Normal 9 2 2 3 4" xfId="1211"/>
    <cellStyle name="Normal 9 2 2 3 5" xfId="1212"/>
    <cellStyle name="Normal 9 2 2 4" xfId="1213"/>
    <cellStyle name="Normal 9 2 2 4 2" xfId="1214"/>
    <cellStyle name="Normal 9 2 2 4 3" xfId="1215"/>
    <cellStyle name="Normal 9 2 2 4 4" xfId="1216"/>
    <cellStyle name="Normal 9 2 2 5" xfId="1217"/>
    <cellStyle name="Normal 9 2 2 6" xfId="1218"/>
    <cellStyle name="Normal 9 2 2 7" xfId="1219"/>
    <cellStyle name="Normal 9 2 2 8" xfId="1220"/>
    <cellStyle name="Normal 9 2 2_בחירה מרשימה" xfId="1221"/>
    <cellStyle name="Normal 9 2 3" xfId="1222"/>
    <cellStyle name="Normal 9 2 3 2" xfId="1223"/>
    <cellStyle name="Normal 9 2 3 2 2" xfId="1224"/>
    <cellStyle name="Normal 9 2 3 2 2 2" xfId="1225"/>
    <cellStyle name="Normal 9 2 3 2 2 3" xfId="1226"/>
    <cellStyle name="Normal 9 2 3 2 2 4" xfId="1227"/>
    <cellStyle name="Normal 9 2 3 2 2 5" xfId="1228"/>
    <cellStyle name="Normal 9 2 3 2 3" xfId="1229"/>
    <cellStyle name="Normal 9 2 3 2 3 2" xfId="1230"/>
    <cellStyle name="Normal 9 2 3 2 3 3" xfId="1231"/>
    <cellStyle name="Normal 9 2 3 2 4" xfId="1232"/>
    <cellStyle name="Normal 9 2 3 2 5" xfId="1233"/>
    <cellStyle name="Normal 9 2 3 2 6" xfId="1234"/>
    <cellStyle name="Normal 9 2 3 2 7" xfId="1235"/>
    <cellStyle name="Normal 9 2 3 3" xfId="1236"/>
    <cellStyle name="Normal 9 2 3 3 2" xfId="1237"/>
    <cellStyle name="Normal 9 2 3 3 3" xfId="1238"/>
    <cellStyle name="Normal 9 2 3 3 4" xfId="1239"/>
    <cellStyle name="Normal 9 2 3 3 5" xfId="1240"/>
    <cellStyle name="Normal 9 2 3 4" xfId="1241"/>
    <cellStyle name="Normal 9 2 3 4 2" xfId="1242"/>
    <cellStyle name="Normal 9 2 3 4 3" xfId="1243"/>
    <cellStyle name="Normal 9 2 3 5" xfId="1244"/>
    <cellStyle name="Normal 9 2 3 6" xfId="1245"/>
    <cellStyle name="Normal 9 2 3 7" xfId="1246"/>
    <cellStyle name="Normal 9 2 3 8" xfId="1247"/>
    <cellStyle name="Normal 9 2 3_בחירה מרשימה" xfId="1248"/>
    <cellStyle name="Normal 9 2 4" xfId="1249"/>
    <cellStyle name="Normal 9 2 4 2" xfId="1250"/>
    <cellStyle name="Normal 9 2 4 2 2" xfId="1251"/>
    <cellStyle name="Normal 9 2 4 2 3" xfId="1252"/>
    <cellStyle name="Normal 9 2 4 2 4" xfId="1253"/>
    <cellStyle name="Normal 9 2 4 2 5" xfId="1254"/>
    <cellStyle name="Normal 9 2 4 3" xfId="1255"/>
    <cellStyle name="Normal 9 2 4 3 2" xfId="1256"/>
    <cellStyle name="Normal 9 2 4 3 3" xfId="1257"/>
    <cellStyle name="Normal 9 2 4 4" xfId="1258"/>
    <cellStyle name="Normal 9 2 4 5" xfId="1259"/>
    <cellStyle name="Normal 9 2 4 6" xfId="1260"/>
    <cellStyle name="Normal 9 2 4 7" xfId="1261"/>
    <cellStyle name="Normal 9 2 5" xfId="1262"/>
    <cellStyle name="Normal 9 2 5 2" xfId="1263"/>
    <cellStyle name="Normal 9 2 5 3" xfId="1264"/>
    <cellStyle name="Normal 9 2 5 4" xfId="1265"/>
    <cellStyle name="Normal 9 2 5 5" xfId="1266"/>
    <cellStyle name="Normal 9 2 6" xfId="1267"/>
    <cellStyle name="Normal 9 2 6 2" xfId="1268"/>
    <cellStyle name="Normal 9 2 6 3" xfId="1269"/>
    <cellStyle name="Normal 9 2 6 4" xfId="1270"/>
    <cellStyle name="Normal 9 2 7" xfId="1271"/>
    <cellStyle name="Normal 9 2 8" xfId="1272"/>
    <cellStyle name="Normal 9 2 9" xfId="1273"/>
    <cellStyle name="Normal 9 2_בחירה מרשימה" xfId="1274"/>
    <cellStyle name="Normal 9 3" xfId="1275"/>
    <cellStyle name="Normal 9 3 2" xfId="1276"/>
    <cellStyle name="Normal 9 3 2 2" xfId="1277"/>
    <cellStyle name="Normal 9 3 2 2 2" xfId="1278"/>
    <cellStyle name="Normal 9 3 2 2 3" xfId="1279"/>
    <cellStyle name="Normal 9 3 2 2 4" xfId="1280"/>
    <cellStyle name="Normal 9 3 2 2 5" xfId="1281"/>
    <cellStyle name="Normal 9 3 2 3" xfId="1282"/>
    <cellStyle name="Normal 9 3 2 3 2" xfId="1283"/>
    <cellStyle name="Normal 9 3 2 3 3" xfId="1284"/>
    <cellStyle name="Normal 9 3 2 4" xfId="1285"/>
    <cellStyle name="Normal 9 3 2 5" xfId="1286"/>
    <cellStyle name="Normal 9 3 2 6" xfId="1287"/>
    <cellStyle name="Normal 9 3 2 7" xfId="1288"/>
    <cellStyle name="Normal 9 3 3" xfId="1289"/>
    <cellStyle name="Normal 9 3 3 2" xfId="1290"/>
    <cellStyle name="Normal 9 3 3 3" xfId="1291"/>
    <cellStyle name="Normal 9 3 3 4" xfId="1292"/>
    <cellStyle name="Normal 9 3 3 5" xfId="1293"/>
    <cellStyle name="Normal 9 3 4" xfId="1294"/>
    <cellStyle name="Normal 9 3 4 2" xfId="1295"/>
    <cellStyle name="Normal 9 3 4 3" xfId="1296"/>
    <cellStyle name="Normal 9 3 4 4" xfId="1297"/>
    <cellStyle name="Normal 9 3 5" xfId="1298"/>
    <cellStyle name="Normal 9 3 6" xfId="1299"/>
    <cellStyle name="Normal 9 3 7" xfId="1300"/>
    <cellStyle name="Normal 9 3 8" xfId="1301"/>
    <cellStyle name="Normal 9 3_בחירה מרשימה" xfId="1302"/>
    <cellStyle name="Normal 9 4" xfId="1303"/>
    <cellStyle name="Normal 9 4 2" xfId="1304"/>
    <cellStyle name="Normal 9 4 2 2" xfId="1305"/>
    <cellStyle name="Normal 9 4 2 2 2" xfId="1306"/>
    <cellStyle name="Normal 9 4 2 2 3" xfId="1307"/>
    <cellStyle name="Normal 9 4 2 2 4" xfId="1308"/>
    <cellStyle name="Normal 9 4 2 2 5" xfId="1309"/>
    <cellStyle name="Normal 9 4 2 3" xfId="1310"/>
    <cellStyle name="Normal 9 4 2 3 2" xfId="1311"/>
    <cellStyle name="Normal 9 4 2 3 3" xfId="1312"/>
    <cellStyle name="Normal 9 4 2 4" xfId="1313"/>
    <cellStyle name="Normal 9 4 2 5" xfId="1314"/>
    <cellStyle name="Normal 9 4 2 6" xfId="1315"/>
    <cellStyle name="Normal 9 4 2 7" xfId="1316"/>
    <cellStyle name="Normal 9 4 3" xfId="1317"/>
    <cellStyle name="Normal 9 4 3 2" xfId="1318"/>
    <cellStyle name="Normal 9 4 3 3" xfId="1319"/>
    <cellStyle name="Normal 9 4 3 4" xfId="1320"/>
    <cellStyle name="Normal 9 4 3 5" xfId="1321"/>
    <cellStyle name="Normal 9 4 4" xfId="1322"/>
    <cellStyle name="Normal 9 4 4 2" xfId="1323"/>
    <cellStyle name="Normal 9 4 4 3" xfId="1324"/>
    <cellStyle name="Normal 9 4 5" xfId="1325"/>
    <cellStyle name="Normal 9 4 6" xfId="1326"/>
    <cellStyle name="Normal 9 4 7" xfId="1327"/>
    <cellStyle name="Normal 9 4 8" xfId="1328"/>
    <cellStyle name="Normal 9 4_בחירה מרשימה" xfId="1329"/>
    <cellStyle name="Normal 9 5" xfId="1330"/>
    <cellStyle name="Normal 9 5 2" xfId="1331"/>
    <cellStyle name="Normal 9 5 2 2" xfId="1332"/>
    <cellStyle name="Normal 9 5 2 3" xfId="1333"/>
    <cellStyle name="Normal 9 5 2 4" xfId="1334"/>
    <cellStyle name="Normal 9 5 2 5" xfId="1335"/>
    <cellStyle name="Normal 9 5 3" xfId="1336"/>
    <cellStyle name="Normal 9 5 3 2" xfId="1337"/>
    <cellStyle name="Normal 9 5 3 3" xfId="1338"/>
    <cellStyle name="Normal 9 5 4" xfId="1339"/>
    <cellStyle name="Normal 9 5 5" xfId="1340"/>
    <cellStyle name="Normal 9 5 6" xfId="1341"/>
    <cellStyle name="Normal 9 5 7" xfId="1342"/>
    <cellStyle name="Normal 9 6" xfId="1343"/>
    <cellStyle name="Normal 9 6 2" xfId="1344"/>
    <cellStyle name="Normal 9 6 3" xfId="1345"/>
    <cellStyle name="Normal 9 6 4" xfId="1346"/>
    <cellStyle name="Normal 9 6 5" xfId="1347"/>
    <cellStyle name="Normal 9 7" xfId="1348"/>
    <cellStyle name="Normal 9 7 2" xfId="1349"/>
    <cellStyle name="Normal 9 7 3" xfId="1350"/>
    <cellStyle name="Normal 9 7 4" xfId="1351"/>
    <cellStyle name="Normal 9 8" xfId="1352"/>
    <cellStyle name="Normal 9 9" xfId="1353"/>
    <cellStyle name="Normal 9_בחירה מרשימה" xfId="1354"/>
    <cellStyle name="Note" xfId="1355"/>
    <cellStyle name="Note 10" xfId="1356"/>
    <cellStyle name="Note 2" xfId="1357"/>
    <cellStyle name="Note 2 10" xfId="1358"/>
    <cellStyle name="Note 2 2" xfId="1359"/>
    <cellStyle name="Note 2 2 2" xfId="1360"/>
    <cellStyle name="Note 2 2 2 10" xfId="1361"/>
    <cellStyle name="Note 2 2 2 2" xfId="1362"/>
    <cellStyle name="Note 2 2 2 2 2" xfId="1363"/>
    <cellStyle name="Note 2 2 2 2 2 2" xfId="1364"/>
    <cellStyle name="Note 2 2 2 2 2 2 2" xfId="1365"/>
    <cellStyle name="Note 2 2 2 2 2 3" xfId="1366"/>
    <cellStyle name="Note 2 2 2 2 2 3 2" xfId="1367"/>
    <cellStyle name="Note 2 2 2 2 2 4" xfId="1368"/>
    <cellStyle name="Note 2 2 2 2 2 4 2" xfId="1369"/>
    <cellStyle name="Note 2 2 2 2 3" xfId="1370"/>
    <cellStyle name="Note 2 2 2 2 3 2" xfId="1371"/>
    <cellStyle name="Note 2 2 2 2 3 2 2" xfId="1372"/>
    <cellStyle name="Note 2 2 2 2 3 3" xfId="1373"/>
    <cellStyle name="Note 2 2 2 2 3 3 2" xfId="1374"/>
    <cellStyle name="Note 2 2 2 2 3 4" xfId="1375"/>
    <cellStyle name="Note 2 2 2 2 3 4 2" xfId="1376"/>
    <cellStyle name="Note 2 2 2 2 4" xfId="1377"/>
    <cellStyle name="Note 2 2 2 2 4 2" xfId="1378"/>
    <cellStyle name="Note 2 2 2 2 5" xfId="1379"/>
    <cellStyle name="Note 2 2 2 2 5 2" xfId="1380"/>
    <cellStyle name="Note 2 2 2 2 6" xfId="1381"/>
    <cellStyle name="Note 2 2 2 2 6 2" xfId="1382"/>
    <cellStyle name="Note 2 2 2 2 7" xfId="1383"/>
    <cellStyle name="Note 2 2 2 2 8" xfId="1384"/>
    <cellStyle name="Note 2 2 2 3" xfId="1385"/>
    <cellStyle name="Note 2 2 2 3 2" xfId="1386"/>
    <cellStyle name="Note 2 2 2 3 2 2" xfId="1387"/>
    <cellStyle name="Note 2 2 2 3 3" xfId="1388"/>
    <cellStyle name="Note 2 2 2 3 3 2" xfId="1389"/>
    <cellStyle name="Note 2 2 2 3 4" xfId="1390"/>
    <cellStyle name="Note 2 2 2 3 4 2" xfId="1391"/>
    <cellStyle name="Note 2 2 2 3 5" xfId="1392"/>
    <cellStyle name="Note 2 2 2 4" xfId="1393"/>
    <cellStyle name="Note 2 2 2 5" xfId="1394"/>
    <cellStyle name="Note 2 2 2 5 2" xfId="1395"/>
    <cellStyle name="Note 2 2 2 6" xfId="1396"/>
    <cellStyle name="Note 2 2 2 6 2" xfId="1397"/>
    <cellStyle name="Note 2 2 2 7" xfId="1398"/>
    <cellStyle name="Note 2 2 2 7 2" xfId="1399"/>
    <cellStyle name="Note 2 2 2 8" xfId="1400"/>
    <cellStyle name="Note 2 2 2 9" xfId="1401"/>
    <cellStyle name="Note 2 2 3" xfId="1402"/>
    <cellStyle name="Note 2 2 3 2" xfId="1403"/>
    <cellStyle name="Note 2 2 3 2 2" xfId="1404"/>
    <cellStyle name="Note 2 2 3 2 2 2" xfId="1405"/>
    <cellStyle name="Note 2 2 3 2 3" xfId="1406"/>
    <cellStyle name="Note 2 2 3 2 3 2" xfId="1407"/>
    <cellStyle name="Note 2 2 3 2 4" xfId="1408"/>
    <cellStyle name="Note 2 2 3 2 4 2" xfId="1409"/>
    <cellStyle name="Note 2 2 3 3" xfId="1410"/>
    <cellStyle name="Note 2 2 3 3 2" xfId="1411"/>
    <cellStyle name="Note 2 2 3 4" xfId="1412"/>
    <cellStyle name="Note 2 2 3 4 2" xfId="1413"/>
    <cellStyle name="Note 2 2 3 5" xfId="1414"/>
    <cellStyle name="Note 2 2 3 5 2" xfId="1415"/>
    <cellStyle name="Note 2 2 3 6" xfId="1416"/>
    <cellStyle name="Note 2 2 4" xfId="1417"/>
    <cellStyle name="Note 2 2 4 2" xfId="1418"/>
    <cellStyle name="Note 2 2 4 2 2" xfId="1419"/>
    <cellStyle name="Note 2 2 4 2 2 2" xfId="1420"/>
    <cellStyle name="Note 2 2 4 2 3" xfId="1421"/>
    <cellStyle name="Note 2 2 4 2 3 2" xfId="1422"/>
    <cellStyle name="Note 2 2 4 2 4" xfId="1423"/>
    <cellStyle name="Note 2 2 4 2 4 2" xfId="1424"/>
    <cellStyle name="Note 2 2 4 3" xfId="1425"/>
    <cellStyle name="Note 2 2 4 3 2" xfId="1426"/>
    <cellStyle name="Note 2 2 4 4" xfId="1427"/>
    <cellStyle name="Note 2 2 4 4 2" xfId="1428"/>
    <cellStyle name="Note 2 2 4 5" xfId="1429"/>
    <cellStyle name="Note 2 2 4 5 2" xfId="1430"/>
    <cellStyle name="Note 2 2 4 6" xfId="1431"/>
    <cellStyle name="Note 2 2 4 7" xfId="1432"/>
    <cellStyle name="Note 2 2 5" xfId="1433"/>
    <cellStyle name="Note 2 2 6" xfId="1434"/>
    <cellStyle name="Note 2 2 6 2" xfId="1435"/>
    <cellStyle name="Note 2 2 7" xfId="1436"/>
    <cellStyle name="Note 2 2 8" xfId="1437"/>
    <cellStyle name="Note 2 2 9" xfId="1438"/>
    <cellStyle name="Note 2 3" xfId="1439"/>
    <cellStyle name="Note 2 3 10" xfId="1440"/>
    <cellStyle name="Note 2 3 2" xfId="1441"/>
    <cellStyle name="Note 2 3 2 2" xfId="1442"/>
    <cellStyle name="Note 2 3 2 2 2" xfId="1443"/>
    <cellStyle name="Note 2 3 2 2 2 2" xfId="1444"/>
    <cellStyle name="Note 2 3 2 2 3" xfId="1445"/>
    <cellStyle name="Note 2 3 2 2 3 2" xfId="1446"/>
    <cellStyle name="Note 2 3 2 2 4" xfId="1447"/>
    <cellStyle name="Note 2 3 2 2 4 2" xfId="1448"/>
    <cellStyle name="Note 2 3 2 3" xfId="1449"/>
    <cellStyle name="Note 2 3 2 3 2" xfId="1450"/>
    <cellStyle name="Note 2 3 2 3 2 2" xfId="1451"/>
    <cellStyle name="Note 2 3 2 3 3" xfId="1452"/>
    <cellStyle name="Note 2 3 2 3 3 2" xfId="1453"/>
    <cellStyle name="Note 2 3 2 3 4" xfId="1454"/>
    <cellStyle name="Note 2 3 2 3 4 2" xfId="1455"/>
    <cellStyle name="Note 2 3 2 4" xfId="1456"/>
    <cellStyle name="Note 2 3 2 4 2" xfId="1457"/>
    <cellStyle name="Note 2 3 2 5" xfId="1458"/>
    <cellStyle name="Note 2 3 2 5 2" xfId="1459"/>
    <cellStyle name="Note 2 3 2 6" xfId="1460"/>
    <cellStyle name="Note 2 3 2 6 2" xfId="1461"/>
    <cellStyle name="Note 2 3 2 7" xfId="1462"/>
    <cellStyle name="Note 2 3 2 8" xfId="1463"/>
    <cellStyle name="Note 2 3 3" xfId="1464"/>
    <cellStyle name="Note 2 3 3 2" xfId="1465"/>
    <cellStyle name="Note 2 3 3 2 2" xfId="1466"/>
    <cellStyle name="Note 2 3 3 3" xfId="1467"/>
    <cellStyle name="Note 2 3 3 3 2" xfId="1468"/>
    <cellStyle name="Note 2 3 3 4" xfId="1469"/>
    <cellStyle name="Note 2 3 3 4 2" xfId="1470"/>
    <cellStyle name="Note 2 3 3 5" xfId="1471"/>
    <cellStyle name="Note 2 3 4" xfId="1472"/>
    <cellStyle name="Note 2 3 5" xfId="1473"/>
    <cellStyle name="Note 2 3 5 2" xfId="1474"/>
    <cellStyle name="Note 2 3 6" xfId="1475"/>
    <cellStyle name="Note 2 3 6 2" xfId="1476"/>
    <cellStyle name="Note 2 3 7" xfId="1477"/>
    <cellStyle name="Note 2 3 7 2" xfId="1478"/>
    <cellStyle name="Note 2 3 8" xfId="1479"/>
    <cellStyle name="Note 2 3 9" xfId="1480"/>
    <cellStyle name="Note 2 4" xfId="1481"/>
    <cellStyle name="Note 2 4 2" xfId="1482"/>
    <cellStyle name="Note 2 4 2 2" xfId="1483"/>
    <cellStyle name="Note 2 4 2 2 2" xfId="1484"/>
    <cellStyle name="Note 2 4 2 3" xfId="1485"/>
    <cellStyle name="Note 2 4 2 3 2" xfId="1486"/>
    <cellStyle name="Note 2 4 2 4" xfId="1487"/>
    <cellStyle name="Note 2 4 2 4 2" xfId="1488"/>
    <cellStyle name="Note 2 4 3" xfId="1489"/>
    <cellStyle name="Note 2 4 3 2" xfId="1490"/>
    <cellStyle name="Note 2 4 4" xfId="1491"/>
    <cellStyle name="Note 2 4 4 2" xfId="1492"/>
    <cellStyle name="Note 2 4 5" xfId="1493"/>
    <cellStyle name="Note 2 4 5 2" xfId="1494"/>
    <cellStyle name="Note 2 4 6" xfId="1495"/>
    <cellStyle name="Note 2 5" xfId="1496"/>
    <cellStyle name="Note 2 5 2" xfId="1497"/>
    <cellStyle name="Note 2 5 2 2" xfId="1498"/>
    <cellStyle name="Note 2 5 2 2 2" xfId="1499"/>
    <cellStyle name="Note 2 5 2 3" xfId="1500"/>
    <cellStyle name="Note 2 5 2 3 2" xfId="1501"/>
    <cellStyle name="Note 2 5 2 4" xfId="1502"/>
    <cellStyle name="Note 2 5 2 4 2" xfId="1503"/>
    <cellStyle name="Note 2 5 3" xfId="1504"/>
    <cellStyle name="Note 2 5 3 2" xfId="1505"/>
    <cellStyle name="Note 2 5 4" xfId="1506"/>
    <cellStyle name="Note 2 5 4 2" xfId="1507"/>
    <cellStyle name="Note 2 5 5" xfId="1508"/>
    <cellStyle name="Note 2 5 5 2" xfId="1509"/>
    <cellStyle name="Note 2 5 6" xfId="1510"/>
    <cellStyle name="Note 2 5 7" xfId="1511"/>
    <cellStyle name="Note 2 6" xfId="1512"/>
    <cellStyle name="Note 2 7" xfId="1513"/>
    <cellStyle name="Note 2 7 2" xfId="1514"/>
    <cellStyle name="Note 2 8" xfId="1515"/>
    <cellStyle name="Note 2 9" xfId="1516"/>
    <cellStyle name="Note 2_בחירה מרשימה" xfId="1517"/>
    <cellStyle name="Note 3" xfId="1518"/>
    <cellStyle name="Note 3 10" xfId="1519"/>
    <cellStyle name="Note 3 2" xfId="1520"/>
    <cellStyle name="Note 3 2 2" xfId="1521"/>
    <cellStyle name="Note 3 2 2 10" xfId="1522"/>
    <cellStyle name="Note 3 2 2 2" xfId="1523"/>
    <cellStyle name="Note 3 2 2 2 2" xfId="1524"/>
    <cellStyle name="Note 3 2 2 2 2 2" xfId="1525"/>
    <cellStyle name="Note 3 2 2 2 2 2 2" xfId="1526"/>
    <cellStyle name="Note 3 2 2 2 2 3" xfId="1527"/>
    <cellStyle name="Note 3 2 2 2 2 3 2" xfId="1528"/>
    <cellStyle name="Note 3 2 2 2 2 4" xfId="1529"/>
    <cellStyle name="Note 3 2 2 2 2 4 2" xfId="1530"/>
    <cellStyle name="Note 3 2 2 2 3" xfId="1531"/>
    <cellStyle name="Note 3 2 2 2 3 2" xfId="1532"/>
    <cellStyle name="Note 3 2 2 2 3 2 2" xfId="1533"/>
    <cellStyle name="Note 3 2 2 2 3 3" xfId="1534"/>
    <cellStyle name="Note 3 2 2 2 3 3 2" xfId="1535"/>
    <cellStyle name="Note 3 2 2 2 3 4" xfId="1536"/>
    <cellStyle name="Note 3 2 2 2 3 4 2" xfId="1537"/>
    <cellStyle name="Note 3 2 2 2 4" xfId="1538"/>
    <cellStyle name="Note 3 2 2 2 4 2" xfId="1539"/>
    <cellStyle name="Note 3 2 2 2 5" xfId="1540"/>
    <cellStyle name="Note 3 2 2 2 5 2" xfId="1541"/>
    <cellStyle name="Note 3 2 2 2 6" xfId="1542"/>
    <cellStyle name="Note 3 2 2 2 6 2" xfId="1543"/>
    <cellStyle name="Note 3 2 2 2 7" xfId="1544"/>
    <cellStyle name="Note 3 2 2 2 8" xfId="1545"/>
    <cellStyle name="Note 3 2 2 3" xfId="1546"/>
    <cellStyle name="Note 3 2 2 3 2" xfId="1547"/>
    <cellStyle name="Note 3 2 2 3 2 2" xfId="1548"/>
    <cellStyle name="Note 3 2 2 3 3" xfId="1549"/>
    <cellStyle name="Note 3 2 2 3 3 2" xfId="1550"/>
    <cellStyle name="Note 3 2 2 3 4" xfId="1551"/>
    <cellStyle name="Note 3 2 2 3 4 2" xfId="1552"/>
    <cellStyle name="Note 3 2 2 3 5" xfId="1553"/>
    <cellStyle name="Note 3 2 2 4" xfId="1554"/>
    <cellStyle name="Note 3 2 2 5" xfId="1555"/>
    <cellStyle name="Note 3 2 2 5 2" xfId="1556"/>
    <cellStyle name="Note 3 2 2 6" xfId="1557"/>
    <cellStyle name="Note 3 2 2 6 2" xfId="1558"/>
    <cellStyle name="Note 3 2 2 7" xfId="1559"/>
    <cellStyle name="Note 3 2 2 7 2" xfId="1560"/>
    <cellStyle name="Note 3 2 2 8" xfId="1561"/>
    <cellStyle name="Note 3 2 2 9" xfId="1562"/>
    <cellStyle name="Note 3 2 3" xfId="1563"/>
    <cellStyle name="Note 3 2 3 2" xfId="1564"/>
    <cellStyle name="Note 3 2 3 2 2" xfId="1565"/>
    <cellStyle name="Note 3 2 3 2 2 2" xfId="1566"/>
    <cellStyle name="Note 3 2 3 2 3" xfId="1567"/>
    <cellStyle name="Note 3 2 3 2 3 2" xfId="1568"/>
    <cellStyle name="Note 3 2 3 2 4" xfId="1569"/>
    <cellStyle name="Note 3 2 3 2 4 2" xfId="1570"/>
    <cellStyle name="Note 3 2 3 3" xfId="1571"/>
    <cellStyle name="Note 3 2 3 3 2" xfId="1572"/>
    <cellStyle name="Note 3 2 3 4" xfId="1573"/>
    <cellStyle name="Note 3 2 3 4 2" xfId="1574"/>
    <cellStyle name="Note 3 2 3 5" xfId="1575"/>
    <cellStyle name="Note 3 2 3 5 2" xfId="1576"/>
    <cellStyle name="Note 3 2 3 6" xfId="1577"/>
    <cellStyle name="Note 3 2 4" xfId="1578"/>
    <cellStyle name="Note 3 2 4 2" xfId="1579"/>
    <cellStyle name="Note 3 2 4 2 2" xfId="1580"/>
    <cellStyle name="Note 3 2 4 2 2 2" xfId="1581"/>
    <cellStyle name="Note 3 2 4 2 3" xfId="1582"/>
    <cellStyle name="Note 3 2 4 2 3 2" xfId="1583"/>
    <cellStyle name="Note 3 2 4 2 4" xfId="1584"/>
    <cellStyle name="Note 3 2 4 2 4 2" xfId="1585"/>
    <cellStyle name="Note 3 2 4 3" xfId="1586"/>
    <cellStyle name="Note 3 2 4 3 2" xfId="1587"/>
    <cellStyle name="Note 3 2 4 4" xfId="1588"/>
    <cellStyle name="Note 3 2 4 4 2" xfId="1589"/>
    <cellStyle name="Note 3 2 4 5" xfId="1590"/>
    <cellStyle name="Note 3 2 4 5 2" xfId="1591"/>
    <cellStyle name="Note 3 2 4 6" xfId="1592"/>
    <cellStyle name="Note 3 2 4 7" xfId="1593"/>
    <cellStyle name="Note 3 2 5" xfId="1594"/>
    <cellStyle name="Note 3 2 6" xfId="1595"/>
    <cellStyle name="Note 3 2 6 2" xfId="1596"/>
    <cellStyle name="Note 3 2 7" xfId="1597"/>
    <cellStyle name="Note 3 2 8" xfId="1598"/>
    <cellStyle name="Note 3 2 9" xfId="1599"/>
    <cellStyle name="Note 3 3" xfId="1600"/>
    <cellStyle name="Note 3 3 10" xfId="1601"/>
    <cellStyle name="Note 3 3 2" xfId="1602"/>
    <cellStyle name="Note 3 3 2 2" xfId="1603"/>
    <cellStyle name="Note 3 3 2 2 2" xfId="1604"/>
    <cellStyle name="Note 3 3 2 2 2 2" xfId="1605"/>
    <cellStyle name="Note 3 3 2 2 3" xfId="1606"/>
    <cellStyle name="Note 3 3 2 2 3 2" xfId="1607"/>
    <cellStyle name="Note 3 3 2 2 4" xfId="1608"/>
    <cellStyle name="Note 3 3 2 2 4 2" xfId="1609"/>
    <cellStyle name="Note 3 3 2 3" xfId="1610"/>
    <cellStyle name="Note 3 3 2 3 2" xfId="1611"/>
    <cellStyle name="Note 3 3 2 3 2 2" xfId="1612"/>
    <cellStyle name="Note 3 3 2 3 3" xfId="1613"/>
    <cellStyle name="Note 3 3 2 3 3 2" xfId="1614"/>
    <cellStyle name="Note 3 3 2 3 4" xfId="1615"/>
    <cellStyle name="Note 3 3 2 3 4 2" xfId="1616"/>
    <cellStyle name="Note 3 3 2 4" xfId="1617"/>
    <cellStyle name="Note 3 3 2 4 2" xfId="1618"/>
    <cellStyle name="Note 3 3 2 5" xfId="1619"/>
    <cellStyle name="Note 3 3 2 5 2" xfId="1620"/>
    <cellStyle name="Note 3 3 2 6" xfId="1621"/>
    <cellStyle name="Note 3 3 2 6 2" xfId="1622"/>
    <cellStyle name="Note 3 3 2 7" xfId="1623"/>
    <cellStyle name="Note 3 3 2 8" xfId="1624"/>
    <cellStyle name="Note 3 3 3" xfId="1625"/>
    <cellStyle name="Note 3 3 3 2" xfId="1626"/>
    <cellStyle name="Note 3 3 3 2 2" xfId="1627"/>
    <cellStyle name="Note 3 3 3 3" xfId="1628"/>
    <cellStyle name="Note 3 3 3 3 2" xfId="1629"/>
    <cellStyle name="Note 3 3 3 4" xfId="1630"/>
    <cellStyle name="Note 3 3 3 4 2" xfId="1631"/>
    <cellStyle name="Note 3 3 3 5" xfId="1632"/>
    <cellStyle name="Note 3 3 4" xfId="1633"/>
    <cellStyle name="Note 3 3 5" xfId="1634"/>
    <cellStyle name="Note 3 3 5 2" xfId="1635"/>
    <cellStyle name="Note 3 3 6" xfId="1636"/>
    <cellStyle name="Note 3 3 6 2" xfId="1637"/>
    <cellStyle name="Note 3 3 7" xfId="1638"/>
    <cellStyle name="Note 3 3 7 2" xfId="1639"/>
    <cellStyle name="Note 3 3 8" xfId="1640"/>
    <cellStyle name="Note 3 3 9" xfId="1641"/>
    <cellStyle name="Note 3 4" xfId="1642"/>
    <cellStyle name="Note 3 4 2" xfId="1643"/>
    <cellStyle name="Note 3 4 2 2" xfId="1644"/>
    <cellStyle name="Note 3 4 2 2 2" xfId="1645"/>
    <cellStyle name="Note 3 4 2 3" xfId="1646"/>
    <cellStyle name="Note 3 4 2 3 2" xfId="1647"/>
    <cellStyle name="Note 3 4 2 4" xfId="1648"/>
    <cellStyle name="Note 3 4 2 4 2" xfId="1649"/>
    <cellStyle name="Note 3 4 3" xfId="1650"/>
    <cellStyle name="Note 3 4 3 2" xfId="1651"/>
    <cellStyle name="Note 3 4 4" xfId="1652"/>
    <cellStyle name="Note 3 4 4 2" xfId="1653"/>
    <cellStyle name="Note 3 4 5" xfId="1654"/>
    <cellStyle name="Note 3 4 5 2" xfId="1655"/>
    <cellStyle name="Note 3 4 6" xfId="1656"/>
    <cellStyle name="Note 3 5" xfId="1657"/>
    <cellStyle name="Note 3 5 2" xfId="1658"/>
    <cellStyle name="Note 3 5 2 2" xfId="1659"/>
    <cellStyle name="Note 3 5 2 2 2" xfId="1660"/>
    <cellStyle name="Note 3 5 2 3" xfId="1661"/>
    <cellStyle name="Note 3 5 2 3 2" xfId="1662"/>
    <cellStyle name="Note 3 5 2 4" xfId="1663"/>
    <cellStyle name="Note 3 5 2 4 2" xfId="1664"/>
    <cellStyle name="Note 3 5 3" xfId="1665"/>
    <cellStyle name="Note 3 5 3 2" xfId="1666"/>
    <cellStyle name="Note 3 5 4" xfId="1667"/>
    <cellStyle name="Note 3 5 4 2" xfId="1668"/>
    <cellStyle name="Note 3 5 5" xfId="1669"/>
    <cellStyle name="Note 3 5 5 2" xfId="1670"/>
    <cellStyle name="Note 3 5 6" xfId="1671"/>
    <cellStyle name="Note 3 5 7" xfId="1672"/>
    <cellStyle name="Note 3 6" xfId="1673"/>
    <cellStyle name="Note 3 7" xfId="1674"/>
    <cellStyle name="Note 3 7 2" xfId="1675"/>
    <cellStyle name="Note 3 8" xfId="1676"/>
    <cellStyle name="Note 3 9" xfId="1677"/>
    <cellStyle name="Note 3_בחירה מרשימה" xfId="1678"/>
    <cellStyle name="Note 4" xfId="1679"/>
    <cellStyle name="Note 4 10" xfId="1680"/>
    <cellStyle name="Note 4 2" xfId="1681"/>
    <cellStyle name="Note 4 2 2" xfId="1682"/>
    <cellStyle name="Note 4 2 2 2" xfId="1683"/>
    <cellStyle name="Note 4 2 2 2 2" xfId="1684"/>
    <cellStyle name="Note 4 2 2 3" xfId="1685"/>
    <cellStyle name="Note 4 2 2 3 2" xfId="1686"/>
    <cellStyle name="Note 4 2 2 4" xfId="1687"/>
    <cellStyle name="Note 4 2 2 4 2" xfId="1688"/>
    <cellStyle name="Note 4 2 3" xfId="1689"/>
    <cellStyle name="Note 4 2 3 2" xfId="1690"/>
    <cellStyle name="Note 4 2 3 2 2" xfId="1691"/>
    <cellStyle name="Note 4 2 3 3" xfId="1692"/>
    <cellStyle name="Note 4 2 3 3 2" xfId="1693"/>
    <cellStyle name="Note 4 2 3 4" xfId="1694"/>
    <cellStyle name="Note 4 2 3 4 2" xfId="1695"/>
    <cellStyle name="Note 4 2 4" xfId="1696"/>
    <cellStyle name="Note 4 2 4 2" xfId="1697"/>
    <cellStyle name="Note 4 2 5" xfId="1698"/>
    <cellStyle name="Note 4 2 5 2" xfId="1699"/>
    <cellStyle name="Note 4 2 6" xfId="1700"/>
    <cellStyle name="Note 4 2 6 2" xfId="1701"/>
    <cellStyle name="Note 4 2 7" xfId="1702"/>
    <cellStyle name="Note 4 2 8" xfId="1703"/>
    <cellStyle name="Note 4 3" xfId="1704"/>
    <cellStyle name="Note 4 3 2" xfId="1705"/>
    <cellStyle name="Note 4 3 2 2" xfId="1706"/>
    <cellStyle name="Note 4 3 3" xfId="1707"/>
    <cellStyle name="Note 4 3 3 2" xfId="1708"/>
    <cellStyle name="Note 4 3 4" xfId="1709"/>
    <cellStyle name="Note 4 3 4 2" xfId="1710"/>
    <cellStyle name="Note 4 3 5" xfId="1711"/>
    <cellStyle name="Note 4 4" xfId="1712"/>
    <cellStyle name="Note 4 5" xfId="1713"/>
    <cellStyle name="Note 4 5 2" xfId="1714"/>
    <cellStyle name="Note 4 6" xfId="1715"/>
    <cellStyle name="Note 4 6 2" xfId="1716"/>
    <cellStyle name="Note 4 7" xfId="1717"/>
    <cellStyle name="Note 4 7 2" xfId="1718"/>
    <cellStyle name="Note 4 8" xfId="1719"/>
    <cellStyle name="Note 4 9" xfId="1720"/>
    <cellStyle name="Note 5" xfId="1721"/>
    <cellStyle name="Note 5 2" xfId="1722"/>
    <cellStyle name="Note 5 2 2" xfId="1723"/>
    <cellStyle name="Note 5 2 2 2" xfId="1724"/>
    <cellStyle name="Note 5 2 3" xfId="1725"/>
    <cellStyle name="Note 5 2 3 2" xfId="1726"/>
    <cellStyle name="Note 5 2 4" xfId="1727"/>
    <cellStyle name="Note 5 2 4 2" xfId="1728"/>
    <cellStyle name="Note 5 3" xfId="1729"/>
    <cellStyle name="Note 5 3 2" xfId="1730"/>
    <cellStyle name="Note 5 4" xfId="1731"/>
    <cellStyle name="Note 5 4 2" xfId="1732"/>
    <cellStyle name="Note 5 5" xfId="1733"/>
    <cellStyle name="Note 5 5 2" xfId="1734"/>
    <cellStyle name="Note 5 6" xfId="1735"/>
    <cellStyle name="Note 5 7" xfId="1736"/>
    <cellStyle name="Note 6" xfId="1737"/>
    <cellStyle name="Note 6 2" xfId="1738"/>
    <cellStyle name="Note 6 2 2" xfId="1739"/>
    <cellStyle name="Note 6 2 2 2" xfId="1740"/>
    <cellStyle name="Note 6 2 3" xfId="1741"/>
    <cellStyle name="Note 6 2 3 2" xfId="1742"/>
    <cellStyle name="Note 6 2 4" xfId="1743"/>
    <cellStyle name="Note 6 2 4 2" xfId="1744"/>
    <cellStyle name="Note 6 3" xfId="1745"/>
    <cellStyle name="Note 6 3 2" xfId="1746"/>
    <cellStyle name="Note 6 4" xfId="1747"/>
    <cellStyle name="Note 6 4 2" xfId="1748"/>
    <cellStyle name="Note 6 5" xfId="1749"/>
    <cellStyle name="Note 6 5 2" xfId="1750"/>
    <cellStyle name="Note 6 6" xfId="1751"/>
    <cellStyle name="Note 7" xfId="1752"/>
    <cellStyle name="Note 8" xfId="1753"/>
    <cellStyle name="Note 8 2" xfId="1754"/>
    <cellStyle name="Note 9" xfId="1755"/>
    <cellStyle name="Note_בחירה מרשימה" xfId="1756"/>
    <cellStyle name="Output" xfId="1757"/>
    <cellStyle name="Output 10" xfId="1758"/>
    <cellStyle name="Output 2" xfId="1759"/>
    <cellStyle name="Output 2 10" xfId="1760"/>
    <cellStyle name="Output 2 2" xfId="1761"/>
    <cellStyle name="Output 2 2 2" xfId="1762"/>
    <cellStyle name="Output 2 2 2 10" xfId="1763"/>
    <cellStyle name="Output 2 2 2 2" xfId="1764"/>
    <cellStyle name="Output 2 2 2 2 2" xfId="1765"/>
    <cellStyle name="Output 2 2 2 2 2 2" xfId="1766"/>
    <cellStyle name="Output 2 2 2 2 2 2 2" xfId="1767"/>
    <cellStyle name="Output 2 2 2 2 2 3" xfId="1768"/>
    <cellStyle name="Output 2 2 2 2 2 3 2" xfId="1769"/>
    <cellStyle name="Output 2 2 2 2 2 4" xfId="1770"/>
    <cellStyle name="Output 2 2 2 2 2 4 2" xfId="1771"/>
    <cellStyle name="Output 2 2 2 2 3" xfId="1772"/>
    <cellStyle name="Output 2 2 2 3" xfId="1773"/>
    <cellStyle name="Output 2 2 2 3 2" xfId="1774"/>
    <cellStyle name="Output 2 2 2 3 2 2" xfId="1775"/>
    <cellStyle name="Output 2 2 2 3 3" xfId="1776"/>
    <cellStyle name="Output 2 2 2 3 3 2" xfId="1777"/>
    <cellStyle name="Output 2 2 2 3 4" xfId="1778"/>
    <cellStyle name="Output 2 2 2 3 4 2" xfId="1779"/>
    <cellStyle name="Output 2 2 2 4" xfId="1780"/>
    <cellStyle name="Output 2 2 2 5" xfId="1781"/>
    <cellStyle name="Output 2 2 2 5 2" xfId="1782"/>
    <cellStyle name="Output 2 2 2 6" xfId="1783"/>
    <cellStyle name="Output 2 2 2 6 2" xfId="1784"/>
    <cellStyle name="Output 2 2 2 7" xfId="1785"/>
    <cellStyle name="Output 2 2 2 7 2" xfId="1786"/>
    <cellStyle name="Output 2 2 2 8" xfId="1787"/>
    <cellStyle name="Output 2 2 2 9" xfId="1788"/>
    <cellStyle name="Output 2 2 3" xfId="1789"/>
    <cellStyle name="Output 2 2 3 2" xfId="1790"/>
    <cellStyle name="Output 2 2 3 2 2" xfId="1791"/>
    <cellStyle name="Output 2 2 3 2 2 2" xfId="1792"/>
    <cellStyle name="Output 2 2 3 2 3" xfId="1793"/>
    <cellStyle name="Output 2 2 3 2 3 2" xfId="1794"/>
    <cellStyle name="Output 2 2 3 2 4" xfId="1795"/>
    <cellStyle name="Output 2 2 3 2 4 2" xfId="1796"/>
    <cellStyle name="Output 2 2 3 3" xfId="1797"/>
    <cellStyle name="Output 2 2 3 3 2" xfId="1798"/>
    <cellStyle name="Output 2 2 3 3 2 2" xfId="1799"/>
    <cellStyle name="Output 2 2 3 3 3" xfId="1800"/>
    <cellStyle name="Output 2 2 3 3 3 2" xfId="1801"/>
    <cellStyle name="Output 2 2 3 4" xfId="1802"/>
    <cellStyle name="Output 2 2 3 4 2" xfId="1803"/>
    <cellStyle name="Output 2 2 3 5" xfId="1804"/>
    <cellStyle name="Output 2 2 3 5 2" xfId="1805"/>
    <cellStyle name="Output 2 2 3 6" xfId="1806"/>
    <cellStyle name="Output 2 2 3 6 2" xfId="1807"/>
    <cellStyle name="Output 2 2 3 7" xfId="1808"/>
    <cellStyle name="Output 2 2 3 8" xfId="1809"/>
    <cellStyle name="Output 2 2 4" xfId="1810"/>
    <cellStyle name="Output 2 2 4 2" xfId="1811"/>
    <cellStyle name="Output 2 2 4 2 2" xfId="1812"/>
    <cellStyle name="Output 2 2 4 2 2 2" xfId="1813"/>
    <cellStyle name="Output 2 2 4 2 3" xfId="1814"/>
    <cellStyle name="Output 2 2 4 2 3 2" xfId="1815"/>
    <cellStyle name="Output 2 2 4 2 4" xfId="1816"/>
    <cellStyle name="Output 2 2 4 2 4 2" xfId="1817"/>
    <cellStyle name="Output 2 2 4 3" xfId="1818"/>
    <cellStyle name="Output 2 2 4 3 2" xfId="1819"/>
    <cellStyle name="Output 2 2 4 3 2 2" xfId="1820"/>
    <cellStyle name="Output 2 2 4 3 3" xfId="1821"/>
    <cellStyle name="Output 2 2 4 3 3 2" xfId="1822"/>
    <cellStyle name="Output 2 2 4 4" xfId="1823"/>
    <cellStyle name="Output 2 2 4 4 2" xfId="1824"/>
    <cellStyle name="Output 2 2 4 5" xfId="1825"/>
    <cellStyle name="Output 2 2 4 5 2" xfId="1826"/>
    <cellStyle name="Output 2 2 4 6" xfId="1827"/>
    <cellStyle name="Output 2 2 4 6 2" xfId="1828"/>
    <cellStyle name="Output 2 2 4 7" xfId="1829"/>
    <cellStyle name="Output 2 2 4 8" xfId="1830"/>
    <cellStyle name="Output 2 2 5" xfId="1831"/>
    <cellStyle name="Output 2 2 6" xfId="1832"/>
    <cellStyle name="Output 2 2 7" xfId="1833"/>
    <cellStyle name="Output 2 2 8" xfId="1834"/>
    <cellStyle name="Output 2 3" xfId="1835"/>
    <cellStyle name="Output 2 3 10" xfId="1836"/>
    <cellStyle name="Output 2 3 2" xfId="1837"/>
    <cellStyle name="Output 2 3 2 2" xfId="1838"/>
    <cellStyle name="Output 2 3 2 2 2" xfId="1839"/>
    <cellStyle name="Output 2 3 2 2 2 2" xfId="1840"/>
    <cellStyle name="Output 2 3 2 2 3" xfId="1841"/>
    <cellStyle name="Output 2 3 2 2 3 2" xfId="1842"/>
    <cellStyle name="Output 2 3 2 2 4" xfId="1843"/>
    <cellStyle name="Output 2 3 2 2 4 2" xfId="1844"/>
    <cellStyle name="Output 2 3 2 3" xfId="1845"/>
    <cellStyle name="Output 2 3 3" xfId="1846"/>
    <cellStyle name="Output 2 3 3 2" xfId="1847"/>
    <cellStyle name="Output 2 3 3 2 2" xfId="1848"/>
    <cellStyle name="Output 2 3 3 3" xfId="1849"/>
    <cellStyle name="Output 2 3 3 3 2" xfId="1850"/>
    <cellStyle name="Output 2 3 3 4" xfId="1851"/>
    <cellStyle name="Output 2 3 3 4 2" xfId="1852"/>
    <cellStyle name="Output 2 3 4" xfId="1853"/>
    <cellStyle name="Output 2 3 5" xfId="1854"/>
    <cellStyle name="Output 2 3 5 2" xfId="1855"/>
    <cellStyle name="Output 2 3 6" xfId="1856"/>
    <cellStyle name="Output 2 3 6 2" xfId="1857"/>
    <cellStyle name="Output 2 3 7" xfId="1858"/>
    <cellStyle name="Output 2 3 7 2" xfId="1859"/>
    <cellStyle name="Output 2 3 8" xfId="1860"/>
    <cellStyle name="Output 2 3 9" xfId="1861"/>
    <cellStyle name="Output 2 4" xfId="1862"/>
    <cellStyle name="Output 2 4 2" xfId="1863"/>
    <cellStyle name="Output 2 4 2 2" xfId="1864"/>
    <cellStyle name="Output 2 4 2 2 2" xfId="1865"/>
    <cellStyle name="Output 2 4 2 3" xfId="1866"/>
    <cellStyle name="Output 2 4 2 3 2" xfId="1867"/>
    <cellStyle name="Output 2 4 2 4" xfId="1868"/>
    <cellStyle name="Output 2 4 2 4 2" xfId="1869"/>
    <cellStyle name="Output 2 4 3" xfId="1870"/>
    <cellStyle name="Output 2 4 3 2" xfId="1871"/>
    <cellStyle name="Output 2 4 3 2 2" xfId="1872"/>
    <cellStyle name="Output 2 4 3 3" xfId="1873"/>
    <cellStyle name="Output 2 4 3 3 2" xfId="1874"/>
    <cellStyle name="Output 2 4 4" xfId="1875"/>
    <cellStyle name="Output 2 4 4 2" xfId="1876"/>
    <cellStyle name="Output 2 4 5" xfId="1877"/>
    <cellStyle name="Output 2 4 5 2" xfId="1878"/>
    <cellStyle name="Output 2 4 6" xfId="1879"/>
    <cellStyle name="Output 2 4 6 2" xfId="1880"/>
    <cellStyle name="Output 2 4 7" xfId="1881"/>
    <cellStyle name="Output 2 4 8" xfId="1882"/>
    <cellStyle name="Output 2 5" xfId="1883"/>
    <cellStyle name="Output 2 5 2" xfId="1884"/>
    <cellStyle name="Output 2 5 2 2" xfId="1885"/>
    <cellStyle name="Output 2 5 2 2 2" xfId="1886"/>
    <cellStyle name="Output 2 5 2 3" xfId="1887"/>
    <cellStyle name="Output 2 5 2 3 2" xfId="1888"/>
    <cellStyle name="Output 2 5 2 4" xfId="1889"/>
    <cellStyle name="Output 2 5 2 4 2" xfId="1890"/>
    <cellStyle name="Output 2 5 3" xfId="1891"/>
    <cellStyle name="Output 2 5 3 2" xfId="1892"/>
    <cellStyle name="Output 2 5 3 2 2" xfId="1893"/>
    <cellStyle name="Output 2 5 3 3" xfId="1894"/>
    <cellStyle name="Output 2 5 3 3 2" xfId="1895"/>
    <cellStyle name="Output 2 5 4" xfId="1896"/>
    <cellStyle name="Output 2 5 4 2" xfId="1897"/>
    <cellStyle name="Output 2 5 5" xfId="1898"/>
    <cellStyle name="Output 2 5 5 2" xfId="1899"/>
    <cellStyle name="Output 2 5 6" xfId="1900"/>
    <cellStyle name="Output 2 5 6 2" xfId="1901"/>
    <cellStyle name="Output 2 5 7" xfId="1902"/>
    <cellStyle name="Output 2 5 8" xfId="1903"/>
    <cellStyle name="Output 2 6" xfId="1904"/>
    <cellStyle name="Output 2 6 2" xfId="1905"/>
    <cellStyle name="Output 2 6 2 2" xfId="1906"/>
    <cellStyle name="Output 2 6 3" xfId="1907"/>
    <cellStyle name="Output 2 6 3 2" xfId="1908"/>
    <cellStyle name="Output 2 7" xfId="1909"/>
    <cellStyle name="Output 2 8" xfId="1910"/>
    <cellStyle name="Output 2 9" xfId="1911"/>
    <cellStyle name="Output 2_בחירה מרשימה" xfId="1912"/>
    <cellStyle name="Output 3" xfId="1913"/>
    <cellStyle name="Output 3 2" xfId="1914"/>
    <cellStyle name="Output 3 2 2" xfId="1915"/>
    <cellStyle name="Output 3 2 2 10" xfId="1916"/>
    <cellStyle name="Output 3 2 2 2" xfId="1917"/>
    <cellStyle name="Output 3 2 2 2 2" xfId="1918"/>
    <cellStyle name="Output 3 2 2 2 2 2" xfId="1919"/>
    <cellStyle name="Output 3 2 2 2 2 2 2" xfId="1920"/>
    <cellStyle name="Output 3 2 2 2 2 3" xfId="1921"/>
    <cellStyle name="Output 3 2 2 2 2 3 2" xfId="1922"/>
    <cellStyle name="Output 3 2 2 2 2 4" xfId="1923"/>
    <cellStyle name="Output 3 2 2 2 2 4 2" xfId="1924"/>
    <cellStyle name="Output 3 2 2 2 3" xfId="1925"/>
    <cellStyle name="Output 3 2 2 3" xfId="1926"/>
    <cellStyle name="Output 3 2 2 3 2" xfId="1927"/>
    <cellStyle name="Output 3 2 2 3 2 2" xfId="1928"/>
    <cellStyle name="Output 3 2 2 3 3" xfId="1929"/>
    <cellStyle name="Output 3 2 2 3 3 2" xfId="1930"/>
    <cellStyle name="Output 3 2 2 3 4" xfId="1931"/>
    <cellStyle name="Output 3 2 2 3 4 2" xfId="1932"/>
    <cellStyle name="Output 3 2 2 4" xfId="1933"/>
    <cellStyle name="Output 3 2 2 5" xfId="1934"/>
    <cellStyle name="Output 3 2 2 5 2" xfId="1935"/>
    <cellStyle name="Output 3 2 2 6" xfId="1936"/>
    <cellStyle name="Output 3 2 2 6 2" xfId="1937"/>
    <cellStyle name="Output 3 2 2 7" xfId="1938"/>
    <cellStyle name="Output 3 2 2 7 2" xfId="1939"/>
    <cellStyle name="Output 3 2 2 8" xfId="1940"/>
    <cellStyle name="Output 3 2 2 9" xfId="1941"/>
    <cellStyle name="Output 3 2 3" xfId="1942"/>
    <cellStyle name="Output 3 2 3 2" xfId="1943"/>
    <cellStyle name="Output 3 2 3 2 2" xfId="1944"/>
    <cellStyle name="Output 3 2 3 2 2 2" xfId="1945"/>
    <cellStyle name="Output 3 2 3 2 3" xfId="1946"/>
    <cellStyle name="Output 3 2 3 2 3 2" xfId="1947"/>
    <cellStyle name="Output 3 2 3 2 4" xfId="1948"/>
    <cellStyle name="Output 3 2 3 2 4 2" xfId="1949"/>
    <cellStyle name="Output 3 2 3 3" xfId="1950"/>
    <cellStyle name="Output 3 2 3 3 2" xfId="1951"/>
    <cellStyle name="Output 3 2 3 3 2 2" xfId="1952"/>
    <cellStyle name="Output 3 2 3 3 3" xfId="1953"/>
    <cellStyle name="Output 3 2 3 3 3 2" xfId="1954"/>
    <cellStyle name="Output 3 2 3 4" xfId="1955"/>
    <cellStyle name="Output 3 2 3 4 2" xfId="1956"/>
    <cellStyle name="Output 3 2 3 5" xfId="1957"/>
    <cellStyle name="Output 3 2 3 5 2" xfId="1958"/>
    <cellStyle name="Output 3 2 3 6" xfId="1959"/>
    <cellStyle name="Output 3 2 3 6 2" xfId="1960"/>
    <cellStyle name="Output 3 2 3 7" xfId="1961"/>
    <cellStyle name="Output 3 2 3 8" xfId="1962"/>
    <cellStyle name="Output 3 2 4" xfId="1963"/>
    <cellStyle name="Output 3 2 4 2" xfId="1964"/>
    <cellStyle name="Output 3 2 4 2 2" xfId="1965"/>
    <cellStyle name="Output 3 2 4 2 2 2" xfId="1966"/>
    <cellStyle name="Output 3 2 4 2 3" xfId="1967"/>
    <cellStyle name="Output 3 2 4 2 3 2" xfId="1968"/>
    <cellStyle name="Output 3 2 4 2 4" xfId="1969"/>
    <cellStyle name="Output 3 2 4 2 4 2" xfId="1970"/>
    <cellStyle name="Output 3 2 4 3" xfId="1971"/>
    <cellStyle name="Output 3 2 4 3 2" xfId="1972"/>
    <cellStyle name="Output 3 2 4 3 2 2" xfId="1973"/>
    <cellStyle name="Output 3 2 4 3 3" xfId="1974"/>
    <cellStyle name="Output 3 2 4 3 3 2" xfId="1975"/>
    <cellStyle name="Output 3 2 4 4" xfId="1976"/>
    <cellStyle name="Output 3 2 4 4 2" xfId="1977"/>
    <cellStyle name="Output 3 2 4 5" xfId="1978"/>
    <cellStyle name="Output 3 2 4 5 2" xfId="1979"/>
    <cellStyle name="Output 3 2 4 6" xfId="1980"/>
    <cellStyle name="Output 3 2 4 6 2" xfId="1981"/>
    <cellStyle name="Output 3 2 4 7" xfId="1982"/>
    <cellStyle name="Output 3 2 4 8" xfId="1983"/>
    <cellStyle name="Output 3 2 5" xfId="1984"/>
    <cellStyle name="Output 3 2 6" xfId="1985"/>
    <cellStyle name="Output 3 2 7" xfId="1986"/>
    <cellStyle name="Output 3 2 8" xfId="1987"/>
    <cellStyle name="Output 3 3" xfId="1988"/>
    <cellStyle name="Output 3 3 10" xfId="1989"/>
    <cellStyle name="Output 3 3 2" xfId="1990"/>
    <cellStyle name="Output 3 3 2 2" xfId="1991"/>
    <cellStyle name="Output 3 3 2 2 2" xfId="1992"/>
    <cellStyle name="Output 3 3 2 2 2 2" xfId="1993"/>
    <cellStyle name="Output 3 3 2 2 3" xfId="1994"/>
    <cellStyle name="Output 3 3 2 2 3 2" xfId="1995"/>
    <cellStyle name="Output 3 3 2 2 4" xfId="1996"/>
    <cellStyle name="Output 3 3 2 2 4 2" xfId="1997"/>
    <cellStyle name="Output 3 3 2 3" xfId="1998"/>
    <cellStyle name="Output 3 3 3" xfId="1999"/>
    <cellStyle name="Output 3 3 3 2" xfId="2000"/>
    <cellStyle name="Output 3 3 3 2 2" xfId="2001"/>
    <cellStyle name="Output 3 3 3 3" xfId="2002"/>
    <cellStyle name="Output 3 3 3 3 2" xfId="2003"/>
    <cellStyle name="Output 3 3 3 4" xfId="2004"/>
    <cellStyle name="Output 3 3 3 4 2" xfId="2005"/>
    <cellStyle name="Output 3 3 4" xfId="2006"/>
    <cellStyle name="Output 3 3 5" xfId="2007"/>
    <cellStyle name="Output 3 3 5 2" xfId="2008"/>
    <cellStyle name="Output 3 3 6" xfId="2009"/>
    <cellStyle name="Output 3 3 6 2" xfId="2010"/>
    <cellStyle name="Output 3 3 7" xfId="2011"/>
    <cellStyle name="Output 3 3 7 2" xfId="2012"/>
    <cellStyle name="Output 3 3 8" xfId="2013"/>
    <cellStyle name="Output 3 3 9" xfId="2014"/>
    <cellStyle name="Output 3 4" xfId="2015"/>
    <cellStyle name="Output 3 4 2" xfId="2016"/>
    <cellStyle name="Output 3 4 2 2" xfId="2017"/>
    <cellStyle name="Output 3 4 2 2 2" xfId="2018"/>
    <cellStyle name="Output 3 4 2 3" xfId="2019"/>
    <cellStyle name="Output 3 4 2 3 2" xfId="2020"/>
    <cellStyle name="Output 3 4 2 4" xfId="2021"/>
    <cellStyle name="Output 3 4 2 4 2" xfId="2022"/>
    <cellStyle name="Output 3 4 3" xfId="2023"/>
    <cellStyle name="Output 3 4 3 2" xfId="2024"/>
    <cellStyle name="Output 3 4 3 2 2" xfId="2025"/>
    <cellStyle name="Output 3 4 3 3" xfId="2026"/>
    <cellStyle name="Output 3 4 3 3 2" xfId="2027"/>
    <cellStyle name="Output 3 4 4" xfId="2028"/>
    <cellStyle name="Output 3 4 4 2" xfId="2029"/>
    <cellStyle name="Output 3 4 5" xfId="2030"/>
    <cellStyle name="Output 3 4 5 2" xfId="2031"/>
    <cellStyle name="Output 3 4 6" xfId="2032"/>
    <cellStyle name="Output 3 4 6 2" xfId="2033"/>
    <cellStyle name="Output 3 4 7" xfId="2034"/>
    <cellStyle name="Output 3 4 8" xfId="2035"/>
    <cellStyle name="Output 3 5" xfId="2036"/>
    <cellStyle name="Output 3 5 2" xfId="2037"/>
    <cellStyle name="Output 3 5 2 2" xfId="2038"/>
    <cellStyle name="Output 3 5 2 2 2" xfId="2039"/>
    <cellStyle name="Output 3 5 2 3" xfId="2040"/>
    <cellStyle name="Output 3 5 2 3 2" xfId="2041"/>
    <cellStyle name="Output 3 5 2 4" xfId="2042"/>
    <cellStyle name="Output 3 5 2 4 2" xfId="2043"/>
    <cellStyle name="Output 3 5 3" xfId="2044"/>
    <cellStyle name="Output 3 5 3 2" xfId="2045"/>
    <cellStyle name="Output 3 5 3 2 2" xfId="2046"/>
    <cellStyle name="Output 3 5 3 3" xfId="2047"/>
    <cellStyle name="Output 3 5 3 3 2" xfId="2048"/>
    <cellStyle name="Output 3 5 4" xfId="2049"/>
    <cellStyle name="Output 3 5 4 2" xfId="2050"/>
    <cellStyle name="Output 3 5 5" xfId="2051"/>
    <cellStyle name="Output 3 5 5 2" xfId="2052"/>
    <cellStyle name="Output 3 5 6" xfId="2053"/>
    <cellStyle name="Output 3 5 6 2" xfId="2054"/>
    <cellStyle name="Output 3 5 7" xfId="2055"/>
    <cellStyle name="Output 3 5 8" xfId="2056"/>
    <cellStyle name="Output 3 6" xfId="2057"/>
    <cellStyle name="Output 3 7" xfId="2058"/>
    <cellStyle name="Output 3 8" xfId="2059"/>
    <cellStyle name="Output 3_בחירה מרשימה" xfId="2060"/>
    <cellStyle name="Output 4" xfId="2061"/>
    <cellStyle name="Output 4 10" xfId="2062"/>
    <cellStyle name="Output 4 2" xfId="2063"/>
    <cellStyle name="Output 4 2 2" xfId="2064"/>
    <cellStyle name="Output 4 2 2 2" xfId="2065"/>
    <cellStyle name="Output 4 2 2 2 2" xfId="2066"/>
    <cellStyle name="Output 4 2 2 3" xfId="2067"/>
    <cellStyle name="Output 4 2 2 3 2" xfId="2068"/>
    <cellStyle name="Output 4 2 2 4" xfId="2069"/>
    <cellStyle name="Output 4 2 2 4 2" xfId="2070"/>
    <cellStyle name="Output 4 2 3" xfId="2071"/>
    <cellStyle name="Output 4 3" xfId="2072"/>
    <cellStyle name="Output 4 3 2" xfId="2073"/>
    <cellStyle name="Output 4 3 2 2" xfId="2074"/>
    <cellStyle name="Output 4 3 3" xfId="2075"/>
    <cellStyle name="Output 4 3 3 2" xfId="2076"/>
    <cellStyle name="Output 4 3 4" xfId="2077"/>
    <cellStyle name="Output 4 3 4 2" xfId="2078"/>
    <cellStyle name="Output 4 4" xfId="2079"/>
    <cellStyle name="Output 4 5" xfId="2080"/>
    <cellStyle name="Output 4 5 2" xfId="2081"/>
    <cellStyle name="Output 4 6" xfId="2082"/>
    <cellStyle name="Output 4 6 2" xfId="2083"/>
    <cellStyle name="Output 4 7" xfId="2084"/>
    <cellStyle name="Output 4 7 2" xfId="2085"/>
    <cellStyle name="Output 4 8" xfId="2086"/>
    <cellStyle name="Output 4 9" xfId="2087"/>
    <cellStyle name="Output 5" xfId="2088"/>
    <cellStyle name="Output 5 2" xfId="2089"/>
    <cellStyle name="Output 5 2 2" xfId="2090"/>
    <cellStyle name="Output 5 2 2 2" xfId="2091"/>
    <cellStyle name="Output 5 2 3" xfId="2092"/>
    <cellStyle name="Output 5 2 3 2" xfId="2093"/>
    <cellStyle name="Output 5 2 4" xfId="2094"/>
    <cellStyle name="Output 5 2 4 2" xfId="2095"/>
    <cellStyle name="Output 5 3" xfId="2096"/>
    <cellStyle name="Output 5 3 2" xfId="2097"/>
    <cellStyle name="Output 5 3 2 2" xfId="2098"/>
    <cellStyle name="Output 5 3 3" xfId="2099"/>
    <cellStyle name="Output 5 3 3 2" xfId="2100"/>
    <cellStyle name="Output 5 4" xfId="2101"/>
    <cellStyle name="Output 5 4 2" xfId="2102"/>
    <cellStyle name="Output 5 5" xfId="2103"/>
    <cellStyle name="Output 5 5 2" xfId="2104"/>
    <cellStyle name="Output 5 6" xfId="2105"/>
    <cellStyle name="Output 5 6 2" xfId="2106"/>
    <cellStyle name="Output 5 7" xfId="2107"/>
    <cellStyle name="Output 5 8" xfId="2108"/>
    <cellStyle name="Output 6" xfId="2109"/>
    <cellStyle name="Output 6 2" xfId="2110"/>
    <cellStyle name="Output 6 2 2" xfId="2111"/>
    <cellStyle name="Output 6 2 2 2" xfId="2112"/>
    <cellStyle name="Output 6 2 3" xfId="2113"/>
    <cellStyle name="Output 6 2 3 2" xfId="2114"/>
    <cellStyle name="Output 6 2 4" xfId="2115"/>
    <cellStyle name="Output 6 2 4 2" xfId="2116"/>
    <cellStyle name="Output 6 3" xfId="2117"/>
    <cellStyle name="Output 6 3 2" xfId="2118"/>
    <cellStyle name="Output 6 3 2 2" xfId="2119"/>
    <cellStyle name="Output 6 3 3" xfId="2120"/>
    <cellStyle name="Output 6 3 3 2" xfId="2121"/>
    <cellStyle name="Output 6 4" xfId="2122"/>
    <cellStyle name="Output 6 4 2" xfId="2123"/>
    <cellStyle name="Output 6 5" xfId="2124"/>
    <cellStyle name="Output 6 5 2" xfId="2125"/>
    <cellStyle name="Output 6 6" xfId="2126"/>
    <cellStyle name="Output 6 6 2" xfId="2127"/>
    <cellStyle name="Output 6 7" xfId="2128"/>
    <cellStyle name="Output 7" xfId="2129"/>
    <cellStyle name="Output 8" xfId="2130"/>
    <cellStyle name="Output 9" xfId="2131"/>
    <cellStyle name="Output_בחירה מרשימה" xfId="2132"/>
    <cellStyle name="Percent" xfId="1" builtinId="5"/>
    <cellStyle name="Percent 10" xfId="2512"/>
    <cellStyle name="Percent 2" xfId="10"/>
    <cellStyle name="Percent 2 2" xfId="56"/>
    <cellStyle name="Percent 2 2 2" xfId="2133"/>
    <cellStyle name="Percent 2 2 3" xfId="2134"/>
    <cellStyle name="Percent 2 3" xfId="57"/>
    <cellStyle name="Percent 2 3 2" xfId="58"/>
    <cellStyle name="Percent 2 3 2 2" xfId="2518"/>
    <cellStyle name="Percent 3" xfId="59"/>
    <cellStyle name="Percent 3 2" xfId="60"/>
    <cellStyle name="Percent 4" xfId="61"/>
    <cellStyle name="Percent 4 2" xfId="62"/>
    <cellStyle name="Percent 4 2 2" xfId="63"/>
    <cellStyle name="Percent 4 3" xfId="64"/>
    <cellStyle name="Percent 4 4" xfId="2135"/>
    <cellStyle name="Percent 4 5" xfId="2136"/>
    <cellStyle name="Percent 5" xfId="65"/>
    <cellStyle name="Percent 5 2" xfId="66"/>
    <cellStyle name="Percent 5 2 2" xfId="2137"/>
    <cellStyle name="Percent 5 3" xfId="2138"/>
    <cellStyle name="Percent 5 4" xfId="2139"/>
    <cellStyle name="Percent 6" xfId="67"/>
    <cellStyle name="Percent 6 2" xfId="68"/>
    <cellStyle name="Percent 6 2 2" xfId="2140"/>
    <cellStyle name="Percent 6 3" xfId="2141"/>
    <cellStyle name="Percent 7" xfId="69"/>
    <cellStyle name="Percent 7 2" xfId="70"/>
    <cellStyle name="Percent 7 2 2" xfId="2142"/>
    <cellStyle name="Percent 7 3" xfId="2143"/>
    <cellStyle name="Percent 8" xfId="71"/>
    <cellStyle name="Percent 8 2" xfId="72"/>
    <cellStyle name="Percent 8 2 2" xfId="2144"/>
    <cellStyle name="Percent 8 3" xfId="2145"/>
    <cellStyle name="Percent 9" xfId="73"/>
    <cellStyle name="Percent 9 2" xfId="2146"/>
    <cellStyle name="Title" xfId="2147"/>
    <cellStyle name="Title 2" xfId="2148"/>
    <cellStyle name="Title 3" xfId="2149"/>
    <cellStyle name="Total" xfId="2150"/>
    <cellStyle name="Total 2" xfId="2151"/>
    <cellStyle name="Total 2 2" xfId="2152"/>
    <cellStyle name="Total 2 2 2" xfId="2153"/>
    <cellStyle name="Total 2 2 2 10" xfId="2154"/>
    <cellStyle name="Total 2 2 2 2" xfId="2155"/>
    <cellStyle name="Total 2 2 2 2 2" xfId="2156"/>
    <cellStyle name="Total 2 2 2 2 2 2" xfId="2157"/>
    <cellStyle name="Total 2 2 2 2 2 2 2" xfId="2158"/>
    <cellStyle name="Total 2 2 2 2 2 3" xfId="2159"/>
    <cellStyle name="Total 2 2 2 2 2 3 2" xfId="2160"/>
    <cellStyle name="Total 2 2 2 2 2 4" xfId="2161"/>
    <cellStyle name="Total 2 2 2 2 2 4 2" xfId="2162"/>
    <cellStyle name="Total 2 2 2 2 3" xfId="2163"/>
    <cellStyle name="Total 2 2 2 2 3 2" xfId="2164"/>
    <cellStyle name="Total 2 2 2 2 4" xfId="2165"/>
    <cellStyle name="Total 2 2 2 2 4 2" xfId="2166"/>
    <cellStyle name="Total 2 2 2 2 5" xfId="2167"/>
    <cellStyle name="Total 2 2 2 2 5 2" xfId="2168"/>
    <cellStyle name="Total 2 2 2 2 6" xfId="2169"/>
    <cellStyle name="Total 2 2 2 3" xfId="2170"/>
    <cellStyle name="Total 2 2 2 3 2" xfId="2171"/>
    <cellStyle name="Total 2 2 2 3 2 2" xfId="2172"/>
    <cellStyle name="Total 2 2 2 3 3" xfId="2173"/>
    <cellStyle name="Total 2 2 2 3 3 2" xfId="2174"/>
    <cellStyle name="Total 2 2 2 3 4" xfId="2175"/>
    <cellStyle name="Total 2 2 2 3 4 2" xfId="2176"/>
    <cellStyle name="Total 2 2 2 3 5" xfId="2177"/>
    <cellStyle name="Total 2 2 2 4" xfId="2178"/>
    <cellStyle name="Total 2 2 2 5" xfId="2179"/>
    <cellStyle name="Total 2 2 2 5 2" xfId="2180"/>
    <cellStyle name="Total 2 2 2 6" xfId="2181"/>
    <cellStyle name="Total 2 2 2 6 2" xfId="2182"/>
    <cellStyle name="Total 2 2 2 7" xfId="2183"/>
    <cellStyle name="Total 2 2 2 7 2" xfId="2184"/>
    <cellStyle name="Total 2 2 2 8" xfId="2185"/>
    <cellStyle name="Total 2 2 2 9" xfId="2186"/>
    <cellStyle name="Total 2 2 3" xfId="2187"/>
    <cellStyle name="Total 2 2 3 2" xfId="2188"/>
    <cellStyle name="Total 2 2 3 2 2" xfId="2189"/>
    <cellStyle name="Total 2 2 3 2 2 2" xfId="2190"/>
    <cellStyle name="Total 2 2 3 2 3" xfId="2191"/>
    <cellStyle name="Total 2 2 3 2 3 2" xfId="2192"/>
    <cellStyle name="Total 2 2 3 2 4" xfId="2193"/>
    <cellStyle name="Total 2 2 3 2 4 2" xfId="2194"/>
    <cellStyle name="Total 2 2 3 3" xfId="2195"/>
    <cellStyle name="Total 2 2 3 3 2" xfId="2196"/>
    <cellStyle name="Total 2 2 3 4" xfId="2197"/>
    <cellStyle name="Total 2 2 3 4 2" xfId="2198"/>
    <cellStyle name="Total 2 2 3 5" xfId="2199"/>
    <cellStyle name="Total 2 2 3 5 2" xfId="2200"/>
    <cellStyle name="Total 2 2 3 6" xfId="2201"/>
    <cellStyle name="Total 2 2 4" xfId="2202"/>
    <cellStyle name="Total 2 2 4 2" xfId="2203"/>
    <cellStyle name="Total 2 2 4 2 2" xfId="2204"/>
    <cellStyle name="Total 2 2 4 2 2 2" xfId="2205"/>
    <cellStyle name="Total 2 2 4 2 3" xfId="2206"/>
    <cellStyle name="Total 2 2 4 2 3 2" xfId="2207"/>
    <cellStyle name="Total 2 2 4 2 4" xfId="2208"/>
    <cellStyle name="Total 2 2 4 2 4 2" xfId="2209"/>
    <cellStyle name="Total 2 2 4 3" xfId="2210"/>
    <cellStyle name="Total 2 2 4 3 2" xfId="2211"/>
    <cellStyle name="Total 2 2 4 4" xfId="2212"/>
    <cellStyle name="Total 2 2 4 4 2" xfId="2213"/>
    <cellStyle name="Total 2 2 4 5" xfId="2214"/>
    <cellStyle name="Total 2 2 4 5 2" xfId="2215"/>
    <cellStyle name="Total 2 2 4 6" xfId="2216"/>
    <cellStyle name="Total 2 2 4 7" xfId="2217"/>
    <cellStyle name="Total 2 2 5" xfId="2218"/>
    <cellStyle name="Total 2 2 6" xfId="2219"/>
    <cellStyle name="Total 2 2 7" xfId="2220"/>
    <cellStyle name="Total 2 2 8" xfId="2221"/>
    <cellStyle name="Total 2 3" xfId="2222"/>
    <cellStyle name="Total 2 3 10" xfId="2223"/>
    <cellStyle name="Total 2 3 2" xfId="2224"/>
    <cellStyle name="Total 2 3 2 2" xfId="2225"/>
    <cellStyle name="Total 2 3 2 2 2" xfId="2226"/>
    <cellStyle name="Total 2 3 2 2 2 2" xfId="2227"/>
    <cellStyle name="Total 2 3 2 2 3" xfId="2228"/>
    <cellStyle name="Total 2 3 2 2 3 2" xfId="2229"/>
    <cellStyle name="Total 2 3 2 2 4" xfId="2230"/>
    <cellStyle name="Total 2 3 2 2 4 2" xfId="2231"/>
    <cellStyle name="Total 2 3 2 3" xfId="2232"/>
    <cellStyle name="Total 2 3 2 3 2" xfId="2233"/>
    <cellStyle name="Total 2 3 2 4" xfId="2234"/>
    <cellStyle name="Total 2 3 2 4 2" xfId="2235"/>
    <cellStyle name="Total 2 3 2 5" xfId="2236"/>
    <cellStyle name="Total 2 3 2 5 2" xfId="2237"/>
    <cellStyle name="Total 2 3 2 6" xfId="2238"/>
    <cellStyle name="Total 2 3 3" xfId="2239"/>
    <cellStyle name="Total 2 3 3 2" xfId="2240"/>
    <cellStyle name="Total 2 3 3 2 2" xfId="2241"/>
    <cellStyle name="Total 2 3 3 3" xfId="2242"/>
    <cellStyle name="Total 2 3 3 3 2" xfId="2243"/>
    <cellStyle name="Total 2 3 3 4" xfId="2244"/>
    <cellStyle name="Total 2 3 3 4 2" xfId="2245"/>
    <cellStyle name="Total 2 3 3 5" xfId="2246"/>
    <cellStyle name="Total 2 3 4" xfId="2247"/>
    <cellStyle name="Total 2 3 5" xfId="2248"/>
    <cellStyle name="Total 2 3 5 2" xfId="2249"/>
    <cellStyle name="Total 2 3 6" xfId="2250"/>
    <cellStyle name="Total 2 3 6 2" xfId="2251"/>
    <cellStyle name="Total 2 3 7" xfId="2252"/>
    <cellStyle name="Total 2 3 7 2" xfId="2253"/>
    <cellStyle name="Total 2 3 8" xfId="2254"/>
    <cellStyle name="Total 2 3 9" xfId="2255"/>
    <cellStyle name="Total 2 4" xfId="2256"/>
    <cellStyle name="Total 2 4 2" xfId="2257"/>
    <cellStyle name="Total 2 4 2 2" xfId="2258"/>
    <cellStyle name="Total 2 4 2 2 2" xfId="2259"/>
    <cellStyle name="Total 2 4 2 3" xfId="2260"/>
    <cellStyle name="Total 2 4 2 3 2" xfId="2261"/>
    <cellStyle name="Total 2 4 2 4" xfId="2262"/>
    <cellStyle name="Total 2 4 2 4 2" xfId="2263"/>
    <cellStyle name="Total 2 4 3" xfId="2264"/>
    <cellStyle name="Total 2 4 3 2" xfId="2265"/>
    <cellStyle name="Total 2 4 4" xfId="2266"/>
    <cellStyle name="Total 2 4 4 2" xfId="2267"/>
    <cellStyle name="Total 2 4 5" xfId="2268"/>
    <cellStyle name="Total 2 4 5 2" xfId="2269"/>
    <cellStyle name="Total 2 4 6" xfId="2270"/>
    <cellStyle name="Total 2 5" xfId="2271"/>
    <cellStyle name="Total 2 5 2" xfId="2272"/>
    <cellStyle name="Total 2 5 2 2" xfId="2273"/>
    <cellStyle name="Total 2 5 2 2 2" xfId="2274"/>
    <cellStyle name="Total 2 5 2 3" xfId="2275"/>
    <cellStyle name="Total 2 5 2 3 2" xfId="2276"/>
    <cellStyle name="Total 2 5 2 4" xfId="2277"/>
    <cellStyle name="Total 2 5 2 4 2" xfId="2278"/>
    <cellStyle name="Total 2 5 3" xfId="2279"/>
    <cellStyle name="Total 2 5 3 2" xfId="2280"/>
    <cellStyle name="Total 2 5 4" xfId="2281"/>
    <cellStyle name="Total 2 5 4 2" xfId="2282"/>
    <cellStyle name="Total 2 5 5" xfId="2283"/>
    <cellStyle name="Total 2 5 5 2" xfId="2284"/>
    <cellStyle name="Total 2 5 6" xfId="2285"/>
    <cellStyle name="Total 2 5 7" xfId="2286"/>
    <cellStyle name="Total 2 6" xfId="2287"/>
    <cellStyle name="Total 2 7" xfId="2288"/>
    <cellStyle name="Total 2 8" xfId="2289"/>
    <cellStyle name="Total 2 9" xfId="2290"/>
    <cellStyle name="Total 2_בחירה מרשימה" xfId="2291"/>
    <cellStyle name="Total 3" xfId="2292"/>
    <cellStyle name="Total 3 2" xfId="2293"/>
    <cellStyle name="Total 3 2 2" xfId="2294"/>
    <cellStyle name="Total 3 2 2 10" xfId="2295"/>
    <cellStyle name="Total 3 2 2 2" xfId="2296"/>
    <cellStyle name="Total 3 2 2 2 2" xfId="2297"/>
    <cellStyle name="Total 3 2 2 2 2 2" xfId="2298"/>
    <cellStyle name="Total 3 2 2 2 2 2 2" xfId="2299"/>
    <cellStyle name="Total 3 2 2 2 2 3" xfId="2300"/>
    <cellStyle name="Total 3 2 2 2 2 3 2" xfId="2301"/>
    <cellStyle name="Total 3 2 2 2 2 4" xfId="2302"/>
    <cellStyle name="Total 3 2 2 2 2 4 2" xfId="2303"/>
    <cellStyle name="Total 3 2 2 2 3" xfId="2304"/>
    <cellStyle name="Total 3 2 2 2 3 2" xfId="2305"/>
    <cellStyle name="Total 3 2 2 2 4" xfId="2306"/>
    <cellStyle name="Total 3 2 2 2 4 2" xfId="2307"/>
    <cellStyle name="Total 3 2 2 2 5" xfId="2308"/>
    <cellStyle name="Total 3 2 2 2 5 2" xfId="2309"/>
    <cellStyle name="Total 3 2 2 2 6" xfId="2310"/>
    <cellStyle name="Total 3 2 2 3" xfId="2311"/>
    <cellStyle name="Total 3 2 2 3 2" xfId="2312"/>
    <cellStyle name="Total 3 2 2 3 2 2" xfId="2313"/>
    <cellStyle name="Total 3 2 2 3 3" xfId="2314"/>
    <cellStyle name="Total 3 2 2 3 3 2" xfId="2315"/>
    <cellStyle name="Total 3 2 2 3 4" xfId="2316"/>
    <cellStyle name="Total 3 2 2 3 4 2" xfId="2317"/>
    <cellStyle name="Total 3 2 2 3 5" xfId="2318"/>
    <cellStyle name="Total 3 2 2 4" xfId="2319"/>
    <cellStyle name="Total 3 2 2 5" xfId="2320"/>
    <cellStyle name="Total 3 2 2 5 2" xfId="2321"/>
    <cellStyle name="Total 3 2 2 6" xfId="2322"/>
    <cellStyle name="Total 3 2 2 6 2" xfId="2323"/>
    <cellStyle name="Total 3 2 2 7" xfId="2324"/>
    <cellStyle name="Total 3 2 2 7 2" xfId="2325"/>
    <cellStyle name="Total 3 2 2 8" xfId="2326"/>
    <cellStyle name="Total 3 2 2 9" xfId="2327"/>
    <cellStyle name="Total 3 2 3" xfId="2328"/>
    <cellStyle name="Total 3 2 3 2" xfId="2329"/>
    <cellStyle name="Total 3 2 3 2 2" xfId="2330"/>
    <cellStyle name="Total 3 2 3 2 2 2" xfId="2331"/>
    <cellStyle name="Total 3 2 3 2 3" xfId="2332"/>
    <cellStyle name="Total 3 2 3 2 3 2" xfId="2333"/>
    <cellStyle name="Total 3 2 3 2 4" xfId="2334"/>
    <cellStyle name="Total 3 2 3 2 4 2" xfId="2335"/>
    <cellStyle name="Total 3 2 3 3" xfId="2336"/>
    <cellStyle name="Total 3 2 3 3 2" xfId="2337"/>
    <cellStyle name="Total 3 2 3 4" xfId="2338"/>
    <cellStyle name="Total 3 2 3 4 2" xfId="2339"/>
    <cellStyle name="Total 3 2 3 5" xfId="2340"/>
    <cellStyle name="Total 3 2 3 5 2" xfId="2341"/>
    <cellStyle name="Total 3 2 3 6" xfId="2342"/>
    <cellStyle name="Total 3 2 4" xfId="2343"/>
    <cellStyle name="Total 3 2 4 2" xfId="2344"/>
    <cellStyle name="Total 3 2 4 2 2" xfId="2345"/>
    <cellStyle name="Total 3 2 4 2 2 2" xfId="2346"/>
    <cellStyle name="Total 3 2 4 2 3" xfId="2347"/>
    <cellStyle name="Total 3 2 4 2 3 2" xfId="2348"/>
    <cellStyle name="Total 3 2 4 2 4" xfId="2349"/>
    <cellStyle name="Total 3 2 4 2 4 2" xfId="2350"/>
    <cellStyle name="Total 3 2 4 3" xfId="2351"/>
    <cellStyle name="Total 3 2 4 3 2" xfId="2352"/>
    <cellStyle name="Total 3 2 4 4" xfId="2353"/>
    <cellStyle name="Total 3 2 4 4 2" xfId="2354"/>
    <cellStyle name="Total 3 2 4 5" xfId="2355"/>
    <cellStyle name="Total 3 2 4 5 2" xfId="2356"/>
    <cellStyle name="Total 3 2 4 6" xfId="2357"/>
    <cellStyle name="Total 3 2 4 7" xfId="2358"/>
    <cellStyle name="Total 3 2 5" xfId="2359"/>
    <cellStyle name="Total 3 2 6" xfId="2360"/>
    <cellStyle name="Total 3 2 7" xfId="2361"/>
    <cellStyle name="Total 3 2 8" xfId="2362"/>
    <cellStyle name="Total 3 3" xfId="2363"/>
    <cellStyle name="Total 3 3 10" xfId="2364"/>
    <cellStyle name="Total 3 3 2" xfId="2365"/>
    <cellStyle name="Total 3 3 2 2" xfId="2366"/>
    <cellStyle name="Total 3 3 2 2 2" xfId="2367"/>
    <cellStyle name="Total 3 3 2 2 2 2" xfId="2368"/>
    <cellStyle name="Total 3 3 2 2 3" xfId="2369"/>
    <cellStyle name="Total 3 3 2 2 3 2" xfId="2370"/>
    <cellStyle name="Total 3 3 2 2 4" xfId="2371"/>
    <cellStyle name="Total 3 3 2 2 4 2" xfId="2372"/>
    <cellStyle name="Total 3 3 2 3" xfId="2373"/>
    <cellStyle name="Total 3 3 2 3 2" xfId="2374"/>
    <cellStyle name="Total 3 3 2 4" xfId="2375"/>
    <cellStyle name="Total 3 3 2 4 2" xfId="2376"/>
    <cellStyle name="Total 3 3 2 5" xfId="2377"/>
    <cellStyle name="Total 3 3 2 5 2" xfId="2378"/>
    <cellStyle name="Total 3 3 2 6" xfId="2379"/>
    <cellStyle name="Total 3 3 3" xfId="2380"/>
    <cellStyle name="Total 3 3 3 2" xfId="2381"/>
    <cellStyle name="Total 3 3 3 2 2" xfId="2382"/>
    <cellStyle name="Total 3 3 3 3" xfId="2383"/>
    <cellStyle name="Total 3 3 3 3 2" xfId="2384"/>
    <cellStyle name="Total 3 3 3 4" xfId="2385"/>
    <cellStyle name="Total 3 3 3 4 2" xfId="2386"/>
    <cellStyle name="Total 3 3 3 5" xfId="2387"/>
    <cellStyle name="Total 3 3 4" xfId="2388"/>
    <cellStyle name="Total 3 3 5" xfId="2389"/>
    <cellStyle name="Total 3 3 5 2" xfId="2390"/>
    <cellStyle name="Total 3 3 6" xfId="2391"/>
    <cellStyle name="Total 3 3 6 2" xfId="2392"/>
    <cellStyle name="Total 3 3 7" xfId="2393"/>
    <cellStyle name="Total 3 3 7 2" xfId="2394"/>
    <cellStyle name="Total 3 3 8" xfId="2395"/>
    <cellStyle name="Total 3 3 9" xfId="2396"/>
    <cellStyle name="Total 3 4" xfId="2397"/>
    <cellStyle name="Total 3 4 2" xfId="2398"/>
    <cellStyle name="Total 3 4 2 2" xfId="2399"/>
    <cellStyle name="Total 3 4 2 2 2" xfId="2400"/>
    <cellStyle name="Total 3 4 2 3" xfId="2401"/>
    <cellStyle name="Total 3 4 2 3 2" xfId="2402"/>
    <cellStyle name="Total 3 4 2 4" xfId="2403"/>
    <cellStyle name="Total 3 4 2 4 2" xfId="2404"/>
    <cellStyle name="Total 3 4 3" xfId="2405"/>
    <cellStyle name="Total 3 4 3 2" xfId="2406"/>
    <cellStyle name="Total 3 4 4" xfId="2407"/>
    <cellStyle name="Total 3 4 4 2" xfId="2408"/>
    <cellStyle name="Total 3 4 5" xfId="2409"/>
    <cellStyle name="Total 3 4 5 2" xfId="2410"/>
    <cellStyle name="Total 3 4 6" xfId="2411"/>
    <cellStyle name="Total 3 5" xfId="2412"/>
    <cellStyle name="Total 3 5 2" xfId="2413"/>
    <cellStyle name="Total 3 5 2 2" xfId="2414"/>
    <cellStyle name="Total 3 5 2 2 2" xfId="2415"/>
    <cellStyle name="Total 3 5 2 3" xfId="2416"/>
    <cellStyle name="Total 3 5 2 3 2" xfId="2417"/>
    <cellStyle name="Total 3 5 2 4" xfId="2418"/>
    <cellStyle name="Total 3 5 2 4 2" xfId="2419"/>
    <cellStyle name="Total 3 5 3" xfId="2420"/>
    <cellStyle name="Total 3 5 3 2" xfId="2421"/>
    <cellStyle name="Total 3 5 4" xfId="2422"/>
    <cellStyle name="Total 3 5 4 2" xfId="2423"/>
    <cellStyle name="Total 3 5 5" xfId="2424"/>
    <cellStyle name="Total 3 5 5 2" xfId="2425"/>
    <cellStyle name="Total 3 5 6" xfId="2426"/>
    <cellStyle name="Total 3 5 7" xfId="2427"/>
    <cellStyle name="Total 3 6" xfId="2428"/>
    <cellStyle name="Total 3 7" xfId="2429"/>
    <cellStyle name="Total 3 8" xfId="2430"/>
    <cellStyle name="Total 3 9" xfId="2431"/>
    <cellStyle name="Total 3_בחירה מרשימה" xfId="2432"/>
    <cellStyle name="Total 4" xfId="2433"/>
    <cellStyle name="Total 4 10" xfId="2434"/>
    <cellStyle name="Total 4 2" xfId="2435"/>
    <cellStyle name="Total 4 2 2" xfId="2436"/>
    <cellStyle name="Total 4 2 2 2" xfId="2437"/>
    <cellStyle name="Total 4 2 2 2 2" xfId="2438"/>
    <cellStyle name="Total 4 2 2 3" xfId="2439"/>
    <cellStyle name="Total 4 2 2 3 2" xfId="2440"/>
    <cellStyle name="Total 4 2 2 4" xfId="2441"/>
    <cellStyle name="Total 4 2 2 4 2" xfId="2442"/>
    <cellStyle name="Total 4 2 3" xfId="2443"/>
    <cellStyle name="Total 4 2 3 2" xfId="2444"/>
    <cellStyle name="Total 4 2 4" xfId="2445"/>
    <cellStyle name="Total 4 2 4 2" xfId="2446"/>
    <cellStyle name="Total 4 2 5" xfId="2447"/>
    <cellStyle name="Total 4 2 5 2" xfId="2448"/>
    <cellStyle name="Total 4 2 6" xfId="2449"/>
    <cellStyle name="Total 4 3" xfId="2450"/>
    <cellStyle name="Total 4 3 2" xfId="2451"/>
    <cellStyle name="Total 4 3 2 2" xfId="2452"/>
    <cellStyle name="Total 4 3 3" xfId="2453"/>
    <cellStyle name="Total 4 3 3 2" xfId="2454"/>
    <cellStyle name="Total 4 3 4" xfId="2455"/>
    <cellStyle name="Total 4 3 4 2" xfId="2456"/>
    <cellStyle name="Total 4 3 5" xfId="2457"/>
    <cellStyle name="Total 4 4" xfId="2458"/>
    <cellStyle name="Total 4 5" xfId="2459"/>
    <cellStyle name="Total 4 5 2" xfId="2460"/>
    <cellStyle name="Total 4 6" xfId="2461"/>
    <cellStyle name="Total 4 6 2" xfId="2462"/>
    <cellStyle name="Total 4 7" xfId="2463"/>
    <cellStyle name="Total 4 7 2" xfId="2464"/>
    <cellStyle name="Total 4 8" xfId="2465"/>
    <cellStyle name="Total 4 9" xfId="2466"/>
    <cellStyle name="Total 5" xfId="2467"/>
    <cellStyle name="Total 5 2" xfId="2468"/>
    <cellStyle name="Total 5 2 2" xfId="2469"/>
    <cellStyle name="Total 5 2 2 2" xfId="2470"/>
    <cellStyle name="Total 5 2 3" xfId="2471"/>
    <cellStyle name="Total 5 2 3 2" xfId="2472"/>
    <cellStyle name="Total 5 2 4" xfId="2473"/>
    <cellStyle name="Total 5 2 4 2" xfId="2474"/>
    <cellStyle name="Total 5 3" xfId="2475"/>
    <cellStyle name="Total 5 3 2" xfId="2476"/>
    <cellStyle name="Total 5 4" xfId="2477"/>
    <cellStyle name="Total 5 4 2" xfId="2478"/>
    <cellStyle name="Total 5 5" xfId="2479"/>
    <cellStyle name="Total 5 5 2" xfId="2480"/>
    <cellStyle name="Total 5 6" xfId="2481"/>
    <cellStyle name="Total 5 7" xfId="2482"/>
    <cellStyle name="Total 6" xfId="2483"/>
    <cellStyle name="Total 6 2" xfId="2484"/>
    <cellStyle name="Total 6 2 2" xfId="2485"/>
    <cellStyle name="Total 6 2 2 2" xfId="2486"/>
    <cellStyle name="Total 6 2 3" xfId="2487"/>
    <cellStyle name="Total 6 2 3 2" xfId="2488"/>
    <cellStyle name="Total 6 2 4" xfId="2489"/>
    <cellStyle name="Total 6 2 4 2" xfId="2490"/>
    <cellStyle name="Total 6 3" xfId="2491"/>
    <cellStyle name="Total 6 3 2" xfId="2492"/>
    <cellStyle name="Total 6 4" xfId="2493"/>
    <cellStyle name="Total 6 4 2" xfId="2494"/>
    <cellStyle name="Total 6 5" xfId="2495"/>
    <cellStyle name="Total 6 5 2" xfId="2496"/>
    <cellStyle name="Total 6 6" xfId="2497"/>
    <cellStyle name="Total 7" xfId="2498"/>
    <cellStyle name="Total 8" xfId="2499"/>
    <cellStyle name="Total 9" xfId="2500"/>
    <cellStyle name="Total_בחירה מרשימה" xfId="2501"/>
    <cellStyle name="Warning Text" xfId="2502"/>
    <cellStyle name="Warning Text 2" xfId="2503"/>
    <cellStyle name="Warning Text 2 2" xfId="2504"/>
    <cellStyle name="Warning Text 2 2 2" xfId="2505"/>
    <cellStyle name="Warning Text 3" xfId="2506"/>
  </cellStyles>
  <dxfs count="1176">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FFCC"/>
        </patternFill>
      </fill>
    </dxf>
    <dxf>
      <fill>
        <patternFill patternType="solid">
          <bgColor theme="0"/>
        </patternFill>
      </fill>
    </dxf>
    <dxf>
      <fill>
        <patternFill>
          <bgColor rgb="FFFF0000"/>
        </patternFill>
      </fill>
    </dxf>
    <dxf>
      <fill>
        <patternFill patternType="none">
          <bgColor auto="1"/>
        </patternFill>
      </fill>
    </dxf>
    <dxf>
      <fill>
        <patternFill patternType="none">
          <bgColor auto="1"/>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9" tint="0.59996337778862885"/>
        </patternFill>
      </fill>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59996337778862885"/>
        </patternFill>
      </fill>
    </dxf>
    <dxf>
      <fill>
        <patternFill>
          <bgColor rgb="FFFFFFCC"/>
        </patternFill>
      </fill>
    </dxf>
    <dxf>
      <fill>
        <patternFill patternType="none">
          <bgColor auto="1"/>
        </patternFill>
      </fill>
    </dxf>
    <dxf>
      <fill>
        <patternFill patternType="none">
          <bgColor auto="1"/>
        </patternFill>
      </fill>
    </dxf>
    <dxf>
      <fill>
        <patternFill>
          <bgColor theme="5" tint="0.59996337778862885"/>
        </patternFill>
      </fill>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ill>
        <patternFill>
          <bgColor theme="5" tint="0.59996337778862885"/>
        </patternFill>
      </fill>
    </dxf>
    <dxf>
      <fill>
        <patternFill>
          <bgColor rgb="FFFFFFCC"/>
        </patternFill>
      </fill>
    </dxf>
    <dxf>
      <fill>
        <patternFill patternType="none">
          <bgColor auto="1"/>
        </patternFill>
      </fill>
    </dxf>
    <dxf>
      <fill>
        <patternFill patternType="none">
          <bgColor auto="1"/>
        </patternFill>
      </fill>
    </dxf>
    <dxf>
      <fill>
        <patternFill>
          <bgColor theme="5" tint="0.59996337778862885"/>
        </patternFill>
      </fill>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59996337778862885"/>
        </patternFill>
      </fill>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theme="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1"/>
        </patternFill>
      </fill>
    </dxf>
    <dxf>
      <fill>
        <patternFill patternType="none">
          <bgColor auto="1"/>
        </patternFill>
      </fill>
    </dxf>
    <dxf>
      <fill>
        <patternFill patternType="none">
          <bgColor auto="1"/>
        </patternFill>
      </fill>
    </dxf>
    <dxf>
      <fill>
        <patternFill>
          <bgColor rgb="FFFFFFCC"/>
        </patternFill>
      </fill>
    </dxf>
    <dxf>
      <fill>
        <patternFill>
          <bgColor theme="1"/>
        </patternFill>
      </fill>
    </dxf>
    <dxf>
      <fill>
        <patternFill patternType="none">
          <bgColor auto="1"/>
        </patternFill>
      </fill>
    </dxf>
    <dxf>
      <fill>
        <patternFill patternType="none">
          <bgColor auto="1"/>
        </patternFill>
      </fill>
    </dxf>
    <dxf>
      <fill>
        <patternFill>
          <bgColor rgb="FFFFFFCC"/>
        </patternFill>
      </fill>
    </dxf>
    <dxf>
      <fill>
        <patternFill>
          <bgColor theme="1"/>
        </patternFill>
      </fill>
    </dxf>
    <dxf>
      <fill>
        <patternFill patternType="none">
          <bgColor auto="1"/>
        </patternFill>
      </fill>
    </dxf>
    <dxf>
      <fill>
        <patternFill patternType="none">
          <bgColor auto="1"/>
        </patternFill>
      </fill>
    </dxf>
    <dxf>
      <fill>
        <patternFill>
          <bgColor rgb="FFFFFFCC"/>
        </patternFill>
      </fill>
    </dxf>
    <dxf>
      <fill>
        <patternFill>
          <bgColor theme="1"/>
        </patternFill>
      </fill>
    </dxf>
    <dxf>
      <fill>
        <patternFill patternType="none">
          <bgColor auto="1"/>
        </patternFill>
      </fill>
    </dxf>
    <dxf>
      <fill>
        <patternFill patternType="none">
          <bgColor auto="1"/>
        </patternFill>
      </fill>
    </dxf>
    <dxf>
      <fill>
        <patternFill>
          <bgColor rgb="FFFFFFCC"/>
        </patternFill>
      </fill>
    </dxf>
    <dxf>
      <fill>
        <patternFill>
          <bgColor theme="1"/>
        </patternFill>
      </fill>
    </dxf>
    <dxf>
      <fill>
        <patternFill patternType="none">
          <bgColor auto="1"/>
        </patternFill>
      </fill>
    </dxf>
    <dxf>
      <fill>
        <patternFill patternType="none">
          <bgColor auto="1"/>
        </patternFill>
      </fill>
    </dxf>
    <dxf>
      <fill>
        <patternFill>
          <bgColor rgb="FFFFFFCC"/>
        </patternFill>
      </fill>
    </dxf>
    <dxf>
      <fill>
        <patternFill>
          <bgColor theme="1"/>
        </patternFill>
      </fill>
    </dxf>
    <dxf>
      <fill>
        <patternFill patternType="none">
          <bgColor auto="1"/>
        </patternFill>
      </fill>
    </dxf>
    <dxf>
      <fill>
        <patternFill patternType="none">
          <bgColor auto="1"/>
        </patternFill>
      </fill>
    </dxf>
    <dxf>
      <fill>
        <patternFill>
          <bgColor rgb="FFFFFFCC"/>
        </patternFill>
      </fill>
    </dxf>
    <dxf>
      <fill>
        <patternFill>
          <bgColor theme="1"/>
        </patternFill>
      </fill>
    </dxf>
    <dxf>
      <fill>
        <patternFill patternType="none">
          <bgColor auto="1"/>
        </patternFill>
      </fill>
    </dxf>
    <dxf>
      <fill>
        <patternFill patternType="none">
          <bgColor auto="1"/>
        </patternFill>
      </fill>
    </dxf>
    <dxf>
      <fill>
        <patternFill>
          <bgColor rgb="FFFFFFCC"/>
        </patternFill>
      </fill>
    </dxf>
    <dxf>
      <fill>
        <patternFill>
          <bgColor theme="1"/>
        </patternFill>
      </fill>
    </dxf>
    <dxf>
      <fill>
        <patternFill patternType="none">
          <bgColor auto="1"/>
        </patternFill>
      </fill>
    </dxf>
    <dxf>
      <fill>
        <patternFill patternType="none">
          <bgColor auto="1"/>
        </patternFill>
      </fill>
    </dxf>
    <dxf>
      <fill>
        <patternFill>
          <bgColor rgb="FFFFFFCC"/>
        </patternFill>
      </fill>
    </dxf>
    <dxf>
      <fill>
        <patternFill>
          <bgColor theme="1"/>
        </patternFill>
      </fill>
    </dxf>
    <dxf>
      <fill>
        <patternFill patternType="none">
          <bgColor auto="1"/>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bgColor theme="1"/>
        </patternFill>
      </fill>
    </dxf>
    <dxf>
      <fill>
        <patternFill patternType="none">
          <bgColor auto="1"/>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ill>
        <patternFill>
          <fgColor auto="1"/>
          <bgColor rgb="FF00B050"/>
        </patternFill>
      </fill>
    </dxf>
    <dxf>
      <font>
        <color rgb="FFFF0000"/>
      </font>
    </dxf>
    <dxf>
      <fill>
        <patternFill>
          <bgColor rgb="FFFFFFCC"/>
        </patternFill>
      </fill>
    </dxf>
    <dxf>
      <fill>
        <patternFill patternType="solid">
          <bgColor theme="0"/>
        </patternFill>
      </fill>
    </dxf>
    <dxf>
      <fill>
        <patternFill>
          <bgColor rgb="FFFF0000"/>
        </patternFill>
      </fill>
    </dxf>
    <dxf>
      <fill>
        <patternFill>
          <fgColor auto="1"/>
          <bgColor rgb="FF00B050"/>
        </patternFill>
      </fill>
    </dxf>
    <dxf>
      <fill>
        <patternFill>
          <bgColor theme="9" tint="0.39994506668294322"/>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ill>
        <patternFill>
          <bgColor theme="9" tint="0.39994506668294322"/>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ill>
        <patternFill>
          <bgColor theme="9" tint="0.39994506668294322"/>
        </patternFill>
      </fill>
    </dxf>
    <dxf>
      <font>
        <color rgb="FFFF0000"/>
      </font>
    </dxf>
    <dxf>
      <fill>
        <patternFill>
          <bgColor rgb="FFFFFFCC"/>
        </patternFill>
      </fill>
    </dxf>
    <dxf>
      <fill>
        <patternFill patternType="solid">
          <bgColor theme="0"/>
        </patternFill>
      </fill>
    </dxf>
    <dxf>
      <fill>
        <patternFill>
          <bgColor rgb="FFFF0000"/>
        </patternFill>
      </fill>
    </dxf>
    <dxf>
      <fill>
        <patternFill>
          <bgColor theme="9" tint="0.39994506668294322"/>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ill>
        <patternFill>
          <bgColor theme="9" tint="0.39994506668294322"/>
        </patternFill>
      </fill>
    </dxf>
    <dxf>
      <fill>
        <patternFill>
          <bgColor theme="9" tint="0.39994506668294322"/>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ill>
        <patternFill>
          <bgColor theme="9" tint="0.39994506668294322"/>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ill>
        <patternFill>
          <bgColor theme="9" tint="0.39994506668294322"/>
        </patternFill>
      </fill>
    </dxf>
    <dxf>
      <fill>
        <patternFill>
          <bgColor theme="9" tint="0.39994506668294322"/>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ill>
        <patternFill>
          <bgColor theme="9" tint="0.39994506668294322"/>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ill>
        <patternFill>
          <bgColor theme="9" tint="0.39994506668294322"/>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ill>
        <patternFill>
          <bgColor theme="9" tint="0.39994506668294322"/>
        </patternFill>
      </fill>
    </dxf>
    <dxf>
      <fill>
        <patternFill>
          <bgColor theme="9" tint="0.39994506668294322"/>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ill>
        <patternFill>
          <bgColor rgb="FFFFFFCC"/>
        </patternFill>
      </fill>
    </dxf>
    <dxf>
      <fill>
        <patternFill>
          <bgColor rgb="FFFFFFCC"/>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ill>
        <patternFill>
          <bgColor theme="9" tint="0.39994506668294322"/>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ill>
        <patternFill>
          <bgColor theme="9" tint="0.39994506668294322"/>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ill>
        <patternFill>
          <bgColor theme="9" tint="0.39994506668294322"/>
        </patternFill>
      </fill>
    </dxf>
    <dxf>
      <fill>
        <patternFill>
          <bgColor theme="9" tint="0.39994506668294322"/>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ill>
        <patternFill>
          <bgColor theme="9" tint="0.39994506668294322"/>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ill>
        <patternFill>
          <bgColor theme="9" tint="0.39994506668294322"/>
        </patternFill>
      </fill>
    </dxf>
    <dxf>
      <fill>
        <patternFill>
          <bgColor theme="9" tint="0.39994506668294322"/>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ill>
        <patternFill>
          <bgColor theme="9" tint="0.39994506668294322"/>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ill>
        <patternFill>
          <bgColor theme="9" tint="0.39994506668294322"/>
        </patternFill>
      </fill>
    </dxf>
    <dxf>
      <fill>
        <patternFill>
          <bgColor theme="9" tint="0.39994506668294322"/>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ill>
        <patternFill>
          <bgColor theme="9" tint="0.39994506668294322"/>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ont>
        <color rgb="FFFF0000"/>
      </font>
    </dxf>
    <dxf>
      <fill>
        <patternFill>
          <bgColor rgb="FFFFFFCC"/>
        </patternFill>
      </fill>
    </dxf>
    <dxf>
      <fill>
        <patternFill patternType="solid">
          <bgColor theme="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fgColor auto="1"/>
          <bgColor rgb="FF00B05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patternType="none">
          <bgColor auto="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patternType="none">
          <bgColor auto="1"/>
        </patternFill>
      </fill>
    </dxf>
    <dxf>
      <fill>
        <patternFill patternType="none">
          <bgColor auto="1"/>
        </patternFill>
      </fill>
    </dxf>
    <dxf>
      <fill>
        <patternFill>
          <bgColor rgb="FFFFFFCC"/>
        </patternFill>
      </fill>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6" Type="http://schemas.openxmlformats.org/officeDocument/2006/relationships/printerSettings" Target="../printerSettings/printerSettings37.bin"/><Relationship Id="rId5" Type="http://schemas.openxmlformats.org/officeDocument/2006/relationships/printerSettings" Target="../printerSettings/printerSettings36.bin"/><Relationship Id="rId4" Type="http://schemas.openxmlformats.org/officeDocument/2006/relationships/printerSettings" Target="../printerSettings/printerSettings3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5" Type="http://schemas.openxmlformats.org/officeDocument/2006/relationships/printerSettings" Target="../printerSettings/printerSettings44.bin"/><Relationship Id="rId4"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printerSettings" Target="../printerSettings/printerSettings8.bin"/><Relationship Id="rId5" Type="http://schemas.openxmlformats.org/officeDocument/2006/relationships/printerSettings" Target="../printerSettings/printerSettings7.bin"/><Relationship Id="rId4"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
    <tabColor indexed="10"/>
  </sheetPr>
  <dimension ref="A1:B6"/>
  <sheetViews>
    <sheetView rightToLeft="1" workbookViewId="0">
      <selection activeCell="A6" sqref="A6:B6"/>
    </sheetView>
  </sheetViews>
  <sheetFormatPr defaultRowHeight="14.25" x14ac:dyDescent="0.2"/>
  <cols>
    <col min="2" max="2" width="13.25" bestFit="1" customWidth="1"/>
  </cols>
  <sheetData>
    <row r="1" spans="1:2" x14ac:dyDescent="0.2">
      <c r="B1">
        <v>0.5895501971244812</v>
      </c>
    </row>
    <row r="2" spans="1:2" x14ac:dyDescent="0.2">
      <c r="B2" s="72">
        <v>43268.689699074072</v>
      </c>
    </row>
    <row r="6" spans="1:2" x14ac:dyDescent="0.2">
      <c r="A6" t="s">
        <v>313</v>
      </c>
      <c r="B6" t="b">
        <v>1</v>
      </c>
    </row>
  </sheetData>
  <customSheetViews>
    <customSheetView guid="{6D219446-F28D-45D5-B49F-7CFEDCEF42B5}" state="veryHidden">
      <selection activeCell="A6" sqref="A6:B6"/>
      <pageMargins left="0.7" right="0.7" top="0.75" bottom="0.75" header="0.3" footer="0.3"/>
    </customSheetView>
    <customSheetView guid="{82A1F10D-6026-46B8-AE8B-529469938F0C}" showPageBreaks="1" state="veryHidden">
      <selection activeCell="A6" sqref="A6:B6"/>
      <pageMargins left="0.7" right="0.7" top="0.75" bottom="0.75" header="0.3" footer="0.3"/>
      <pageSetup paperSize="9" orientation="portrait" r:id="rId1"/>
    </customSheetView>
    <customSheetView guid="{469C741C-1099-4615-BDAA-CB5CEB586B7F}" showPageBreaks="1" state="veryHidden">
      <selection activeCell="A6" sqref="A6:B6"/>
      <pageMargins left="0.7" right="0.7" top="0.75" bottom="0.75" header="0.3" footer="0.3"/>
      <pageSetup paperSize="0" orientation="portrait" horizontalDpi="0" verticalDpi="0" copies="0" r:id="rId2"/>
    </customSheetView>
    <customSheetView guid="{1FEE78FD-9218-4F4F-A3E9-FCAC81CA362B}" state="veryHidden">
      <selection activeCell="A6" sqref="A6:B6"/>
      <pageMargins left="0.7" right="0.7" top="0.75" bottom="0.75" header="0.3" footer="0.3"/>
    </customSheetView>
  </customSheetView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CC"/>
  </sheetPr>
  <dimension ref="A1:BB318"/>
  <sheetViews>
    <sheetView rightToLeft="1" topLeftCell="AM7" zoomScale="85" zoomScaleNormal="85" workbookViewId="0">
      <selection activeCell="E20" sqref="E20"/>
    </sheetView>
  </sheetViews>
  <sheetFormatPr defaultColWidth="9" defaultRowHeight="14.25" x14ac:dyDescent="0.2"/>
  <cols>
    <col min="1" max="1" width="12.125" style="85" customWidth="1"/>
    <col min="2" max="2" width="13.125" style="85" customWidth="1"/>
    <col min="3" max="3" width="13.125" style="103" customWidth="1"/>
    <col min="4" max="4" width="10.75" style="85" bestFit="1" customWidth="1"/>
    <col min="5" max="5" width="25.125" style="85" bestFit="1" customWidth="1"/>
    <col min="6" max="6" width="30.5" style="85" customWidth="1"/>
    <col min="7" max="19" width="22.875" style="175" customWidth="1"/>
    <col min="20" max="20" width="19.125" style="85" customWidth="1"/>
    <col min="21" max="21" width="17.875" style="85" customWidth="1"/>
    <col min="22" max="22" width="21.25" style="85" customWidth="1"/>
    <col min="23" max="23" width="12.375" style="85" hidden="1" customWidth="1"/>
    <col min="24" max="24" width="11.625" style="85" hidden="1" customWidth="1"/>
    <col min="25" max="25" width="18.875" style="85" customWidth="1"/>
    <col min="26" max="26" width="19.375" style="85" customWidth="1"/>
    <col min="27" max="27" width="15.125" style="85" customWidth="1"/>
    <col min="28" max="29" width="18.375" style="85" customWidth="1"/>
    <col min="30" max="30" width="10.625" style="85" customWidth="1"/>
    <col min="31" max="31" width="11.25" style="85" customWidth="1"/>
    <col min="32" max="32" width="26.25" style="85" customWidth="1"/>
    <col min="33" max="33" width="22.125" style="85" customWidth="1"/>
    <col min="34" max="34" width="16.875" style="85" customWidth="1"/>
    <col min="35" max="35" width="13.25" style="85" customWidth="1"/>
    <col min="36" max="36" width="19" style="85" customWidth="1"/>
    <col min="37" max="37" width="17.375" style="85" customWidth="1"/>
    <col min="38" max="38" width="12.25" style="85" customWidth="1"/>
    <col min="39" max="39" width="18.25" style="85" customWidth="1"/>
    <col min="40" max="40" width="18" style="85" customWidth="1"/>
    <col min="41" max="46" width="9" style="85" customWidth="1"/>
    <col min="47" max="47" width="36.875" style="104" customWidth="1"/>
    <col min="48" max="50" width="9" style="85" customWidth="1"/>
    <col min="51" max="16384" width="9" style="85"/>
  </cols>
  <sheetData>
    <row r="1" spans="1:54" ht="15" thickBot="1" x14ac:dyDescent="0.25"/>
    <row r="2" spans="1:54" ht="14.1" customHeight="1" x14ac:dyDescent="0.2">
      <c r="T2" s="420" t="s">
        <v>314</v>
      </c>
      <c r="U2" s="422" t="s">
        <v>316</v>
      </c>
      <c r="V2" s="422" t="s">
        <v>315</v>
      </c>
    </row>
    <row r="3" spans="1:54" ht="14.45" customHeight="1" thickBot="1" x14ac:dyDescent="0.25">
      <c r="T3" s="421"/>
      <c r="U3" s="423"/>
      <c r="V3" s="423"/>
    </row>
    <row r="4" spans="1:54" ht="15.75" x14ac:dyDescent="0.2">
      <c r="T4" s="119">
        <f>'פרמטרים לקריטריונים'!B51</f>
        <v>0</v>
      </c>
      <c r="U4" s="122">
        <f>'פרמטרים לקריטריונים'!C51</f>
        <v>0</v>
      </c>
      <c r="V4" s="50">
        <f>'פרמטרים לקריטריונים'!D51</f>
        <v>0</v>
      </c>
    </row>
    <row r="5" spans="1:54" ht="15.75" x14ac:dyDescent="0.2">
      <c r="T5" s="120">
        <f>'פרמטרים לקריטריונים'!B52</f>
        <v>0</v>
      </c>
      <c r="U5" s="123">
        <f>'פרמטרים לקריטריונים'!C52</f>
        <v>0</v>
      </c>
      <c r="V5" s="48">
        <f>'פרמטרים לקריטריונים'!D52</f>
        <v>0</v>
      </c>
    </row>
    <row r="6" spans="1:54" ht="16.5" thickBot="1" x14ac:dyDescent="0.25">
      <c r="T6" s="121">
        <f>'פרמטרים לקריטריונים'!B53</f>
        <v>0</v>
      </c>
      <c r="U6" s="124">
        <f>'פרמטרים לקריטריונים'!C53</f>
        <v>0</v>
      </c>
      <c r="V6" s="49">
        <f>'פרמטרים לקריטריונים'!D53</f>
        <v>0</v>
      </c>
    </row>
    <row r="7" spans="1:54" ht="15" thickBot="1" x14ac:dyDescent="0.25"/>
    <row r="8" spans="1:54" ht="14.1" hidden="1" customHeight="1" x14ac:dyDescent="0.2"/>
    <row r="9" spans="1:54" ht="14.1" hidden="1" customHeight="1" x14ac:dyDescent="0.2"/>
    <row r="10" spans="1:54" ht="14.1" hidden="1" customHeight="1" x14ac:dyDescent="0.2"/>
    <row r="11" spans="1:54" ht="14.1" hidden="1" customHeight="1" x14ac:dyDescent="0.2"/>
    <row r="12" spans="1:54" ht="14.1" hidden="1" customHeight="1" x14ac:dyDescent="0.2"/>
    <row r="13" spans="1:54" ht="14.1" hidden="1" customHeight="1" x14ac:dyDescent="0.2"/>
    <row r="14" spans="1:54" ht="14.45" hidden="1" customHeight="1" thickBot="1" x14ac:dyDescent="0.25"/>
    <row r="15" spans="1:54" ht="15.75" thickBot="1" x14ac:dyDescent="0.3">
      <c r="A15" s="404"/>
      <c r="B15" s="406"/>
      <c r="C15" s="424" t="s">
        <v>258</v>
      </c>
      <c r="D15" s="425"/>
      <c r="E15" s="3"/>
      <c r="F15" s="3">
        <v>7.5</v>
      </c>
      <c r="G15" s="3">
        <v>7.5</v>
      </c>
      <c r="H15" s="3"/>
      <c r="I15" s="3"/>
      <c r="J15" s="3"/>
      <c r="K15" s="3"/>
      <c r="L15" s="3"/>
      <c r="M15" s="3"/>
      <c r="N15" s="3"/>
      <c r="O15" s="3"/>
      <c r="P15" s="3"/>
      <c r="Q15" s="3"/>
      <c r="R15" s="3"/>
      <c r="S15" s="3"/>
      <c r="T15" s="3">
        <v>7.1</v>
      </c>
      <c r="U15" s="3">
        <v>7.1</v>
      </c>
      <c r="V15" s="3">
        <v>7.1</v>
      </c>
      <c r="W15" s="3"/>
      <c r="X15" s="3"/>
      <c r="Y15" s="3"/>
      <c r="Z15" s="3">
        <v>7.1</v>
      </c>
      <c r="AA15" s="3"/>
      <c r="AB15" s="3"/>
      <c r="AC15" s="3"/>
      <c r="AD15" s="3"/>
      <c r="AE15" s="3"/>
      <c r="AF15" s="3"/>
      <c r="AG15" s="3"/>
      <c r="AH15" s="3"/>
      <c r="AI15" s="3"/>
      <c r="AJ15" s="3"/>
      <c r="AK15" s="3"/>
      <c r="AL15" s="3"/>
      <c r="AM15" s="3"/>
      <c r="AN15" s="3"/>
      <c r="AO15" s="3"/>
      <c r="AP15" s="3"/>
      <c r="AQ15" s="3"/>
      <c r="AR15" s="3"/>
      <c r="AS15" s="3"/>
      <c r="AT15" s="4"/>
    </row>
    <row r="16" spans="1:54" s="105" customFormat="1" ht="104.1" customHeight="1" thickBot="1" x14ac:dyDescent="0.25">
      <c r="A16" s="19" t="s">
        <v>1</v>
      </c>
      <c r="B16" s="20" t="s">
        <v>259</v>
      </c>
      <c r="C16" s="62" t="s">
        <v>355</v>
      </c>
      <c r="D16" s="63" t="s">
        <v>253</v>
      </c>
      <c r="E16" s="63" t="s">
        <v>256</v>
      </c>
      <c r="F16" s="20" t="s">
        <v>356</v>
      </c>
      <c r="G16" s="20"/>
      <c r="H16" s="20"/>
      <c r="I16" s="20"/>
      <c r="J16" s="20"/>
      <c r="K16" s="20" t="s">
        <v>352</v>
      </c>
      <c r="L16" s="20" t="s">
        <v>353</v>
      </c>
      <c r="M16" s="20" t="s">
        <v>354</v>
      </c>
      <c r="N16" s="20"/>
      <c r="O16" s="20"/>
      <c r="P16" s="20"/>
      <c r="Q16" s="20"/>
      <c r="R16" s="20"/>
      <c r="S16" s="20"/>
      <c r="T16" s="20" t="s">
        <v>349</v>
      </c>
      <c r="U16" s="20" t="s">
        <v>350</v>
      </c>
      <c r="V16" s="20" t="s">
        <v>351</v>
      </c>
      <c r="W16" s="20"/>
      <c r="X16" s="20"/>
      <c r="Y16" s="20"/>
      <c r="Z16" s="20" t="s">
        <v>348</v>
      </c>
      <c r="AA16" s="20" t="s">
        <v>262</v>
      </c>
      <c r="AB16" s="20"/>
      <c r="AC16" s="20"/>
      <c r="AD16" s="20"/>
      <c r="AE16" s="64"/>
      <c r="AF16" s="20"/>
      <c r="AG16" s="20"/>
      <c r="AH16" s="20"/>
      <c r="AI16" s="20"/>
      <c r="AJ16" s="20"/>
      <c r="AK16" s="64"/>
      <c r="AL16" s="20"/>
      <c r="AM16" s="20"/>
      <c r="AN16" s="20"/>
      <c r="AO16" s="20"/>
      <c r="AP16" s="20"/>
      <c r="AQ16" s="20"/>
      <c r="AR16" s="20"/>
      <c r="AS16" s="20"/>
      <c r="AT16" s="65"/>
      <c r="AU16" s="418" t="s">
        <v>268</v>
      </c>
      <c r="BB16" s="106" t="s">
        <v>276</v>
      </c>
    </row>
    <row r="17" spans="1:54" ht="15.75" thickBot="1" x14ac:dyDescent="0.3">
      <c r="A17" s="5"/>
      <c r="B17" s="6"/>
      <c r="C17" s="7" t="s">
        <v>319</v>
      </c>
      <c r="D17" s="7"/>
      <c r="E17" s="7"/>
      <c r="F17" s="8" t="s">
        <v>271</v>
      </c>
      <c r="G17" s="8" t="s">
        <v>271</v>
      </c>
      <c r="H17" s="7"/>
      <c r="I17" s="8"/>
      <c r="J17" s="8"/>
      <c r="K17" s="8" t="s">
        <v>271</v>
      </c>
      <c r="L17" s="8" t="s">
        <v>271</v>
      </c>
      <c r="M17" s="8" t="s">
        <v>271</v>
      </c>
      <c r="N17" s="8" t="s">
        <v>271</v>
      </c>
      <c r="O17" s="8" t="s">
        <v>271</v>
      </c>
      <c r="P17" s="8" t="s">
        <v>271</v>
      </c>
      <c r="Q17" s="8" t="s">
        <v>271</v>
      </c>
      <c r="R17" s="8" t="s">
        <v>271</v>
      </c>
      <c r="S17" s="8" t="s">
        <v>271</v>
      </c>
      <c r="T17" s="8" t="s">
        <v>261</v>
      </c>
      <c r="U17" s="8" t="s">
        <v>261</v>
      </c>
      <c r="V17" s="8" t="s">
        <v>261</v>
      </c>
      <c r="W17" s="8" t="s">
        <v>260</v>
      </c>
      <c r="X17" s="8" t="s">
        <v>260</v>
      </c>
      <c r="Y17" s="8" t="s">
        <v>271</v>
      </c>
      <c r="Z17" s="8" t="s">
        <v>261</v>
      </c>
      <c r="AA17" s="8" t="s">
        <v>261</v>
      </c>
      <c r="AB17" s="8" t="s">
        <v>271</v>
      </c>
      <c r="AC17" s="8" t="s">
        <v>271</v>
      </c>
      <c r="AD17" s="8" t="s">
        <v>271</v>
      </c>
      <c r="AE17" s="8" t="s">
        <v>271</v>
      </c>
      <c r="AF17" s="8" t="s">
        <v>271</v>
      </c>
      <c r="AG17" s="8" t="s">
        <v>271</v>
      </c>
      <c r="AH17" s="8" t="s">
        <v>271</v>
      </c>
      <c r="AI17" s="8" t="s">
        <v>261</v>
      </c>
      <c r="AJ17" s="8" t="s">
        <v>261</v>
      </c>
      <c r="AK17" s="8" t="s">
        <v>271</v>
      </c>
      <c r="AL17" s="8" t="s">
        <v>271</v>
      </c>
      <c r="AM17" s="8" t="s">
        <v>271</v>
      </c>
      <c r="AN17" s="8" t="s">
        <v>271</v>
      </c>
      <c r="AO17" s="8" t="s">
        <v>271</v>
      </c>
      <c r="AP17" s="8" t="s">
        <v>271</v>
      </c>
      <c r="AQ17" s="8" t="s">
        <v>271</v>
      </c>
      <c r="AR17" s="8" t="s">
        <v>271</v>
      </c>
      <c r="AS17" s="8" t="s">
        <v>271</v>
      </c>
      <c r="AT17" s="8" t="s">
        <v>271</v>
      </c>
      <c r="AU17" s="418"/>
    </row>
    <row r="18" spans="1:54" ht="30.75" thickBot="1" x14ac:dyDescent="0.3">
      <c r="A18" s="5"/>
      <c r="B18" s="6"/>
      <c r="C18" s="17"/>
      <c r="D18" s="7"/>
      <c r="E18" s="7"/>
      <c r="F18" s="8" t="s">
        <v>272</v>
      </c>
      <c r="G18" s="8" t="s">
        <v>272</v>
      </c>
      <c r="H18" s="8"/>
      <c r="I18" s="8"/>
      <c r="J18" s="8"/>
      <c r="K18" s="8" t="s">
        <v>272</v>
      </c>
      <c r="L18" s="8" t="s">
        <v>272</v>
      </c>
      <c r="M18" s="8" t="s">
        <v>272</v>
      </c>
      <c r="N18" s="8" t="s">
        <v>272</v>
      </c>
      <c r="O18" s="8" t="s">
        <v>272</v>
      </c>
      <c r="P18" s="8" t="s">
        <v>272</v>
      </c>
      <c r="Q18" s="8" t="s">
        <v>272</v>
      </c>
      <c r="R18" s="8" t="s">
        <v>272</v>
      </c>
      <c r="S18" s="8" t="s">
        <v>272</v>
      </c>
      <c r="T18" s="8"/>
      <c r="U18" s="8"/>
      <c r="V18" s="8"/>
      <c r="W18" s="8"/>
      <c r="X18" s="8"/>
      <c r="Y18" s="8" t="s">
        <v>272</v>
      </c>
      <c r="Z18" s="8"/>
      <c r="AA18" s="8"/>
      <c r="AB18" s="8" t="s">
        <v>272</v>
      </c>
      <c r="AC18" s="8" t="s">
        <v>272</v>
      </c>
      <c r="AD18" s="8" t="s">
        <v>272</v>
      </c>
      <c r="AE18" s="8" t="s">
        <v>272</v>
      </c>
      <c r="AF18" s="8" t="s">
        <v>272</v>
      </c>
      <c r="AG18" s="8" t="s">
        <v>272</v>
      </c>
      <c r="AH18" s="8" t="s">
        <v>272</v>
      </c>
      <c r="AI18" s="8" t="s">
        <v>272</v>
      </c>
      <c r="AJ18" s="8" t="s">
        <v>272</v>
      </c>
      <c r="AK18" s="8" t="s">
        <v>272</v>
      </c>
      <c r="AL18" s="8" t="s">
        <v>272</v>
      </c>
      <c r="AM18" s="8" t="s">
        <v>272</v>
      </c>
      <c r="AN18" s="8" t="s">
        <v>272</v>
      </c>
      <c r="AO18" s="8" t="s">
        <v>272</v>
      </c>
      <c r="AP18" s="8" t="s">
        <v>272</v>
      </c>
      <c r="AQ18" s="8" t="s">
        <v>272</v>
      </c>
      <c r="AR18" s="8" t="s">
        <v>272</v>
      </c>
      <c r="AS18" s="8" t="s">
        <v>272</v>
      </c>
      <c r="AT18" s="8" t="s">
        <v>272</v>
      </c>
      <c r="AU18" s="419"/>
      <c r="AV18" s="85">
        <v>0</v>
      </c>
      <c r="AW18" s="85">
        <v>1</v>
      </c>
      <c r="AX18" s="85">
        <v>2</v>
      </c>
    </row>
    <row r="19" spans="1:54" ht="15.75" x14ac:dyDescent="0.2">
      <c r="A19" s="88">
        <v>1</v>
      </c>
      <c r="B19" s="88" t="e">
        <f>IF(OR(#REF!="",#REF!=0,#REF!=#REF!),"",#REF!)</f>
        <v>#REF!</v>
      </c>
      <c r="C19" s="107" t="e">
        <f>IF(E19="","",IF(Z19&lt;&gt;0,1,0))</f>
        <v>#REF!</v>
      </c>
      <c r="D19" s="88" t="e">
        <f>IF(OR(#REF!="",#REF!=0,#REF!=#REF!),"",#REF!)</f>
        <v>#REF!</v>
      </c>
      <c r="E19" s="88" t="e">
        <f>IF($D19="","",#REF!)</f>
        <v>#REF!</v>
      </c>
      <c r="F19" s="91"/>
      <c r="G19" s="91"/>
      <c r="H19" s="91"/>
      <c r="I19" s="91"/>
      <c r="J19" s="91"/>
      <c r="K19" s="91"/>
      <c r="L19" s="91"/>
      <c r="M19" s="91"/>
      <c r="N19" s="91"/>
      <c r="O19" s="91"/>
      <c r="P19" s="91"/>
      <c r="Q19" s="91"/>
      <c r="R19" s="91"/>
      <c r="S19" s="91"/>
      <c r="T19" s="109">
        <v>3</v>
      </c>
      <c r="U19" s="109">
        <v>2</v>
      </c>
      <c r="V19" s="109">
        <v>1</v>
      </c>
      <c r="W19" s="108"/>
      <c r="X19" s="108"/>
      <c r="Y19" s="91"/>
      <c r="Z19" s="186" t="e">
        <f t="array" ref="Z19">IF(E19="","",SUMPRODUCT(T19:V19,TRANSPOSE($V$4:$V$6)))</f>
        <v>#REF!</v>
      </c>
      <c r="AA19" s="109">
        <v>80000</v>
      </c>
      <c r="AB19" s="91"/>
      <c r="AC19" s="91"/>
      <c r="AD19" s="91"/>
      <c r="AE19" s="91"/>
      <c r="AF19" s="91"/>
      <c r="AG19" s="91"/>
      <c r="AH19" s="91"/>
      <c r="AI19" s="109"/>
      <c r="AJ19" s="109"/>
      <c r="AK19" s="91"/>
      <c r="AL19" s="91"/>
      <c r="AM19" s="91"/>
      <c r="AN19" s="91"/>
      <c r="AO19" s="91"/>
      <c r="AP19" s="91"/>
      <c r="AQ19" s="91"/>
      <c r="AR19" s="91"/>
      <c r="AS19" s="91"/>
      <c r="AT19" s="91"/>
      <c r="AU19" s="110"/>
      <c r="AV19" s="85" t="e">
        <f>IF($E19="","",AV$18)</f>
        <v>#REF!</v>
      </c>
      <c r="AW19" s="85" t="e">
        <f>IF($E19="","",AW$18)</f>
        <v>#REF!</v>
      </c>
      <c r="AX19" s="85" t="e">
        <f>IF($E19="","",AX$18)</f>
        <v>#REF!</v>
      </c>
      <c r="BB19" s="85" t="s">
        <v>214</v>
      </c>
    </row>
    <row r="20" spans="1:54" ht="15.75" x14ac:dyDescent="0.2">
      <c r="A20" s="111" t="e">
        <f>IF(D20="","",A19+1)</f>
        <v>#REF!</v>
      </c>
      <c r="B20" s="88" t="e">
        <f>IF(OR(#REF!="",#REF!=0,#REF!=#REF!),"",#REF!)</f>
        <v>#REF!</v>
      </c>
      <c r="C20" s="107" t="e">
        <f t="shared" ref="C20:C83" si="0">IF(E20="","",IF(Z20&lt;&gt;0,1,0))</f>
        <v>#REF!</v>
      </c>
      <c r="D20" s="88" t="e">
        <f>IF(OR(#REF!="",#REF!=0,#REF!=#REF!),"",#REF!)</f>
        <v>#REF!</v>
      </c>
      <c r="E20" s="88" t="e">
        <f>IF($D20="","",#REF!)</f>
        <v>#REF!</v>
      </c>
      <c r="F20" s="91"/>
      <c r="G20" s="91"/>
      <c r="H20" s="91"/>
      <c r="I20" s="91"/>
      <c r="J20" s="91"/>
      <c r="K20" s="91"/>
      <c r="L20" s="91"/>
      <c r="M20" s="91"/>
      <c r="N20" s="91"/>
      <c r="O20" s="91"/>
      <c r="P20" s="91"/>
      <c r="Q20" s="91"/>
      <c r="R20" s="91"/>
      <c r="S20" s="91"/>
      <c r="T20" s="109">
        <v>1</v>
      </c>
      <c r="U20" s="109">
        <v>1</v>
      </c>
      <c r="V20" s="109">
        <v>1</v>
      </c>
      <c r="W20" s="108"/>
      <c r="X20" s="108"/>
      <c r="Y20" s="91"/>
      <c r="Z20" s="186" t="e">
        <f t="array" ref="Z20">IF(E20="","",SUMPRODUCT(T20:V20,TRANSPOSE($V$4:$V$6)))</f>
        <v>#REF!</v>
      </c>
      <c r="AA20" s="109">
        <v>70000</v>
      </c>
      <c r="AB20" s="91"/>
      <c r="AC20" s="91"/>
      <c r="AD20" s="91"/>
      <c r="AE20" s="91"/>
      <c r="AF20" s="91"/>
      <c r="AG20" s="91"/>
      <c r="AH20" s="91"/>
      <c r="AI20" s="112"/>
      <c r="AJ20" s="109"/>
      <c r="AK20" s="91"/>
      <c r="AL20" s="91"/>
      <c r="AM20" s="91"/>
      <c r="AN20" s="91"/>
      <c r="AO20" s="91"/>
      <c r="AP20" s="91"/>
      <c r="AQ20" s="91"/>
      <c r="AR20" s="91"/>
      <c r="AS20" s="91"/>
      <c r="AT20" s="91"/>
      <c r="AU20" s="110"/>
      <c r="AV20" s="85" t="e">
        <f t="shared" ref="AV20:AX63" si="1">IF($E20="","",AV$18)</f>
        <v>#REF!</v>
      </c>
      <c r="AW20" s="85" t="e">
        <f t="shared" si="1"/>
        <v>#REF!</v>
      </c>
      <c r="AX20" s="85" t="e">
        <f t="shared" si="1"/>
        <v>#REF!</v>
      </c>
      <c r="BB20" s="85" t="s">
        <v>222</v>
      </c>
    </row>
    <row r="21" spans="1:54" ht="15.75" x14ac:dyDescent="0.2">
      <c r="A21" s="111" t="e">
        <f t="shared" ref="A21:A84" si="2">IF(D21="","",A20+1)</f>
        <v>#REF!</v>
      </c>
      <c r="B21" s="88" t="e">
        <f>IF(OR(#REF!="",#REF!=0,#REF!=#REF!),"",#REF!)</f>
        <v>#REF!</v>
      </c>
      <c r="C21" s="107" t="e">
        <f t="shared" si="0"/>
        <v>#REF!</v>
      </c>
      <c r="D21" s="88" t="e">
        <f>IF(OR(#REF!="",#REF!=0,#REF!=#REF!),"",#REF!)</f>
        <v>#REF!</v>
      </c>
      <c r="E21" s="88" t="e">
        <f>IF($D21="","",#REF!)</f>
        <v>#REF!</v>
      </c>
      <c r="F21" s="91"/>
      <c r="G21" s="91"/>
      <c r="H21" s="91"/>
      <c r="I21" s="91"/>
      <c r="J21" s="91"/>
      <c r="K21" s="91"/>
      <c r="L21" s="91"/>
      <c r="M21" s="91"/>
      <c r="N21" s="91"/>
      <c r="O21" s="91"/>
      <c r="P21" s="91"/>
      <c r="Q21" s="91"/>
      <c r="R21" s="91"/>
      <c r="S21" s="91"/>
      <c r="T21" s="109"/>
      <c r="U21" s="109"/>
      <c r="V21" s="109"/>
      <c r="W21" s="108"/>
      <c r="X21" s="108"/>
      <c r="Y21" s="91"/>
      <c r="Z21" s="186" t="e">
        <f t="array" ref="Z21">IF(E21="","",SUMPRODUCT(T21:V21,TRANSPOSE($V$4:$V$6)))</f>
        <v>#REF!</v>
      </c>
      <c r="AA21" s="109"/>
      <c r="AB21" s="91"/>
      <c r="AC21" s="91"/>
      <c r="AD21" s="91"/>
      <c r="AE21" s="91"/>
      <c r="AF21" s="91"/>
      <c r="AG21" s="91"/>
      <c r="AH21" s="91"/>
      <c r="AI21" s="112"/>
      <c r="AJ21" s="109"/>
      <c r="AK21" s="91"/>
      <c r="AL21" s="91"/>
      <c r="AM21" s="91"/>
      <c r="AN21" s="91"/>
      <c r="AO21" s="91"/>
      <c r="AP21" s="91"/>
      <c r="AQ21" s="91"/>
      <c r="AR21" s="91"/>
      <c r="AS21" s="91"/>
      <c r="AT21" s="91"/>
      <c r="AU21" s="110"/>
      <c r="AV21" s="85" t="e">
        <f t="shared" si="1"/>
        <v>#REF!</v>
      </c>
      <c r="AW21" s="85" t="e">
        <f t="shared" si="1"/>
        <v>#REF!</v>
      </c>
      <c r="AX21" s="85" t="e">
        <f t="shared" si="1"/>
        <v>#REF!</v>
      </c>
      <c r="BB21" s="85" t="s">
        <v>185</v>
      </c>
    </row>
    <row r="22" spans="1:54" ht="15.75" x14ac:dyDescent="0.2">
      <c r="A22" s="111" t="e">
        <f t="shared" si="2"/>
        <v>#REF!</v>
      </c>
      <c r="B22" s="88" t="e">
        <f>IF(OR(#REF!="",#REF!=0,#REF!=#REF!),"",#REF!)</f>
        <v>#REF!</v>
      </c>
      <c r="C22" s="107" t="e">
        <f t="shared" si="0"/>
        <v>#REF!</v>
      </c>
      <c r="D22" s="88" t="e">
        <f>IF(OR(#REF!="",#REF!=0,#REF!=#REF!),"",#REF!)</f>
        <v>#REF!</v>
      </c>
      <c r="E22" s="88" t="e">
        <f>IF($D22="","",#REF!)</f>
        <v>#REF!</v>
      </c>
      <c r="F22" s="91"/>
      <c r="G22" s="91"/>
      <c r="H22" s="91"/>
      <c r="I22" s="91"/>
      <c r="J22" s="91"/>
      <c r="K22" s="91"/>
      <c r="L22" s="91"/>
      <c r="M22" s="91"/>
      <c r="N22" s="91"/>
      <c r="O22" s="91"/>
      <c r="P22" s="91"/>
      <c r="Q22" s="91"/>
      <c r="R22" s="91"/>
      <c r="S22" s="91"/>
      <c r="T22" s="109"/>
      <c r="U22" s="109"/>
      <c r="V22" s="109"/>
      <c r="W22" s="108"/>
      <c r="X22" s="108"/>
      <c r="Y22" s="91"/>
      <c r="Z22" s="186" t="e">
        <f t="array" ref="Z22">IF(E22="","",SUMPRODUCT(T22:V22,TRANSPOSE($V$4:$V$6)))</f>
        <v>#REF!</v>
      </c>
      <c r="AA22" s="109"/>
      <c r="AB22" s="91"/>
      <c r="AC22" s="91"/>
      <c r="AD22" s="91"/>
      <c r="AE22" s="91"/>
      <c r="AF22" s="91"/>
      <c r="AG22" s="91"/>
      <c r="AH22" s="91"/>
      <c r="AI22" s="113"/>
      <c r="AJ22" s="109"/>
      <c r="AK22" s="91"/>
      <c r="AL22" s="91"/>
      <c r="AM22" s="91"/>
      <c r="AN22" s="91"/>
      <c r="AO22" s="91"/>
      <c r="AP22" s="91"/>
      <c r="AQ22" s="91"/>
      <c r="AR22" s="91"/>
      <c r="AS22" s="91"/>
      <c r="AT22" s="91"/>
      <c r="AU22" s="110"/>
      <c r="AV22" s="85" t="e">
        <f t="shared" si="1"/>
        <v>#REF!</v>
      </c>
      <c r="AW22" s="85" t="e">
        <f t="shared" si="1"/>
        <v>#REF!</v>
      </c>
      <c r="AX22" s="85" t="e">
        <f t="shared" si="1"/>
        <v>#REF!</v>
      </c>
      <c r="BB22" s="85" t="s">
        <v>13</v>
      </c>
    </row>
    <row r="23" spans="1:54" ht="15.75" x14ac:dyDescent="0.2">
      <c r="A23" s="111" t="e">
        <f>IF(D23="","",A22+1)</f>
        <v>#REF!</v>
      </c>
      <c r="B23" s="88" t="e">
        <f>IF(OR(#REF!="",#REF!=0,#REF!=#REF!),"",#REF!)</f>
        <v>#REF!</v>
      </c>
      <c r="C23" s="107" t="e">
        <f t="shared" si="0"/>
        <v>#REF!</v>
      </c>
      <c r="D23" s="88" t="e">
        <f>IF(OR(#REF!="",#REF!=0,#REF!=#REF!),"",#REF!)</f>
        <v>#REF!</v>
      </c>
      <c r="E23" s="88" t="e">
        <f>IF($D23="","",#REF!)</f>
        <v>#REF!</v>
      </c>
      <c r="F23" s="91"/>
      <c r="G23" s="91"/>
      <c r="H23" s="91"/>
      <c r="I23" s="91"/>
      <c r="J23" s="91"/>
      <c r="K23" s="91"/>
      <c r="L23" s="91"/>
      <c r="M23" s="91"/>
      <c r="N23" s="91"/>
      <c r="O23" s="91"/>
      <c r="P23" s="91"/>
      <c r="Q23" s="91"/>
      <c r="R23" s="91"/>
      <c r="S23" s="91"/>
      <c r="T23" s="109"/>
      <c r="U23" s="109"/>
      <c r="V23" s="109"/>
      <c r="W23" s="108"/>
      <c r="X23" s="108"/>
      <c r="Y23" s="91"/>
      <c r="Z23" s="186" t="e">
        <f t="array" ref="Z23">IF(E23="","",SUMPRODUCT(T23:V23,TRANSPOSE($V$4:$V$6)))</f>
        <v>#REF!</v>
      </c>
      <c r="AA23" s="109"/>
      <c r="AB23" s="91"/>
      <c r="AC23" s="91"/>
      <c r="AD23" s="91"/>
      <c r="AE23" s="91"/>
      <c r="AF23" s="91"/>
      <c r="AG23" s="91"/>
      <c r="AH23" s="91"/>
      <c r="AI23" s="96"/>
      <c r="AJ23" s="109"/>
      <c r="AK23" s="91"/>
      <c r="AL23" s="91"/>
      <c r="AM23" s="91"/>
      <c r="AN23" s="91"/>
      <c r="AO23" s="91"/>
      <c r="AP23" s="91"/>
      <c r="AQ23" s="91"/>
      <c r="AR23" s="91"/>
      <c r="AS23" s="91"/>
      <c r="AT23" s="91"/>
      <c r="AU23" s="110"/>
      <c r="AV23" s="85" t="e">
        <f t="shared" si="1"/>
        <v>#REF!</v>
      </c>
      <c r="AW23" s="85" t="e">
        <f t="shared" si="1"/>
        <v>#REF!</v>
      </c>
      <c r="AX23" s="85" t="e">
        <f t="shared" si="1"/>
        <v>#REF!</v>
      </c>
      <c r="BB23" s="85" t="s">
        <v>2</v>
      </c>
    </row>
    <row r="24" spans="1:54" ht="15.75" x14ac:dyDescent="0.2">
      <c r="A24" s="111" t="e">
        <f t="shared" si="2"/>
        <v>#REF!</v>
      </c>
      <c r="B24" s="88" t="e">
        <f>IF(OR(#REF!="",#REF!=0,#REF!=#REF!),"",#REF!)</f>
        <v>#REF!</v>
      </c>
      <c r="C24" s="107" t="e">
        <f t="shared" si="0"/>
        <v>#REF!</v>
      </c>
      <c r="D24" s="88" t="e">
        <f>IF(OR(#REF!="",#REF!=0,#REF!=#REF!),"",#REF!)</f>
        <v>#REF!</v>
      </c>
      <c r="E24" s="88" t="e">
        <f>IF($D24="","",#REF!)</f>
        <v>#REF!</v>
      </c>
      <c r="F24" s="91"/>
      <c r="G24" s="91"/>
      <c r="H24" s="91"/>
      <c r="I24" s="91"/>
      <c r="J24" s="91"/>
      <c r="K24" s="91"/>
      <c r="L24" s="91"/>
      <c r="M24" s="91"/>
      <c r="N24" s="91"/>
      <c r="O24" s="91"/>
      <c r="P24" s="91"/>
      <c r="Q24" s="91"/>
      <c r="R24" s="91"/>
      <c r="S24" s="91"/>
      <c r="T24" s="109"/>
      <c r="U24" s="109"/>
      <c r="V24" s="109"/>
      <c r="W24" s="108"/>
      <c r="X24" s="108"/>
      <c r="Y24" s="91"/>
      <c r="Z24" s="186" t="e">
        <f t="array" ref="Z24">IF(E24="","",SUMPRODUCT(T24:V24,TRANSPOSE($V$4:$V$6)))</f>
        <v>#REF!</v>
      </c>
      <c r="AA24" s="109"/>
      <c r="AB24" s="91"/>
      <c r="AC24" s="91"/>
      <c r="AD24" s="91"/>
      <c r="AE24" s="91"/>
      <c r="AF24" s="91"/>
      <c r="AG24" s="91"/>
      <c r="AH24" s="91"/>
      <c r="AI24" s="112"/>
      <c r="AJ24" s="109"/>
      <c r="AK24" s="91"/>
      <c r="AL24" s="91"/>
      <c r="AM24" s="91"/>
      <c r="AN24" s="91"/>
      <c r="AO24" s="91"/>
      <c r="AP24" s="91"/>
      <c r="AQ24" s="91"/>
      <c r="AR24" s="91"/>
      <c r="AS24" s="91"/>
      <c r="AT24" s="91"/>
      <c r="AU24" s="110"/>
      <c r="AV24" s="85" t="e">
        <f t="shared" si="1"/>
        <v>#REF!</v>
      </c>
      <c r="AW24" s="85" t="e">
        <f t="shared" si="1"/>
        <v>#REF!</v>
      </c>
      <c r="AX24" s="85" t="e">
        <f t="shared" si="1"/>
        <v>#REF!</v>
      </c>
      <c r="BB24" s="85" t="s">
        <v>244</v>
      </c>
    </row>
    <row r="25" spans="1:54" ht="15.75" x14ac:dyDescent="0.2">
      <c r="A25" s="111" t="e">
        <f t="shared" si="2"/>
        <v>#REF!</v>
      </c>
      <c r="B25" s="88" t="e">
        <f>IF(OR(#REF!="",#REF!=0,#REF!=#REF!),"",#REF!)</f>
        <v>#REF!</v>
      </c>
      <c r="C25" s="107" t="e">
        <f t="shared" si="0"/>
        <v>#REF!</v>
      </c>
      <c r="D25" s="88" t="e">
        <f>IF(OR(#REF!="",#REF!=0,#REF!=#REF!),"",#REF!)</f>
        <v>#REF!</v>
      </c>
      <c r="E25" s="88" t="e">
        <f>IF($D25="","",#REF!)</f>
        <v>#REF!</v>
      </c>
      <c r="F25" s="91"/>
      <c r="G25" s="91"/>
      <c r="H25" s="91"/>
      <c r="I25" s="91"/>
      <c r="J25" s="91"/>
      <c r="K25" s="91"/>
      <c r="L25" s="91"/>
      <c r="M25" s="91"/>
      <c r="N25" s="91"/>
      <c r="O25" s="91"/>
      <c r="P25" s="91"/>
      <c r="Q25" s="91"/>
      <c r="R25" s="91"/>
      <c r="S25" s="91"/>
      <c r="T25" s="109"/>
      <c r="U25" s="109"/>
      <c r="V25" s="109"/>
      <c r="W25" s="108"/>
      <c r="X25" s="108"/>
      <c r="Y25" s="91"/>
      <c r="Z25" s="186" t="e">
        <f t="array" ref="Z25">IF(E25="","",SUMPRODUCT(T25:V25,TRANSPOSE($V$4:$V$6)))</f>
        <v>#REF!</v>
      </c>
      <c r="AA25" s="109"/>
      <c r="AB25" s="91"/>
      <c r="AC25" s="91"/>
      <c r="AD25" s="91"/>
      <c r="AE25" s="91"/>
      <c r="AF25" s="91"/>
      <c r="AG25" s="91"/>
      <c r="AH25" s="91"/>
      <c r="AI25" s="113"/>
      <c r="AJ25" s="109"/>
      <c r="AK25" s="91"/>
      <c r="AL25" s="91"/>
      <c r="AM25" s="91"/>
      <c r="AN25" s="91"/>
      <c r="AO25" s="91"/>
      <c r="AP25" s="91"/>
      <c r="AQ25" s="91"/>
      <c r="AR25" s="91"/>
      <c r="AS25" s="91"/>
      <c r="AT25" s="91"/>
      <c r="AU25" s="110"/>
      <c r="AV25" s="85" t="e">
        <f t="shared" si="1"/>
        <v>#REF!</v>
      </c>
      <c r="AW25" s="85" t="e">
        <f t="shared" si="1"/>
        <v>#REF!</v>
      </c>
      <c r="AX25" s="85" t="e">
        <f t="shared" si="1"/>
        <v>#REF!</v>
      </c>
      <c r="BB25" s="85" t="s">
        <v>193</v>
      </c>
    </row>
    <row r="26" spans="1:54" ht="15.75" x14ac:dyDescent="0.2">
      <c r="A26" s="111" t="e">
        <f t="shared" si="2"/>
        <v>#REF!</v>
      </c>
      <c r="B26" s="88" t="e">
        <f>IF(OR(#REF!="",#REF!=0,#REF!=#REF!),"",#REF!)</f>
        <v>#REF!</v>
      </c>
      <c r="C26" s="107" t="e">
        <f t="shared" si="0"/>
        <v>#REF!</v>
      </c>
      <c r="D26" s="88" t="e">
        <f>IF(OR(#REF!="",#REF!=0,#REF!=#REF!),"",#REF!)</f>
        <v>#REF!</v>
      </c>
      <c r="E26" s="88" t="e">
        <f>IF($D26="","",#REF!)</f>
        <v>#REF!</v>
      </c>
      <c r="F26" s="91"/>
      <c r="G26" s="91"/>
      <c r="H26" s="91"/>
      <c r="I26" s="91"/>
      <c r="J26" s="91"/>
      <c r="K26" s="91"/>
      <c r="L26" s="91"/>
      <c r="M26" s="91"/>
      <c r="N26" s="91"/>
      <c r="O26" s="91"/>
      <c r="P26" s="91"/>
      <c r="Q26" s="91"/>
      <c r="R26" s="91"/>
      <c r="S26" s="91"/>
      <c r="T26" s="109"/>
      <c r="U26" s="109"/>
      <c r="V26" s="109"/>
      <c r="W26" s="108"/>
      <c r="X26" s="108"/>
      <c r="Y26" s="91"/>
      <c r="Z26" s="186" t="e">
        <f t="array" ref="Z26">IF(E26="","",SUMPRODUCT(T26:V26,TRANSPOSE($V$4:$V$6)))</f>
        <v>#REF!</v>
      </c>
      <c r="AA26" s="109"/>
      <c r="AB26" s="91"/>
      <c r="AC26" s="91"/>
      <c r="AD26" s="91"/>
      <c r="AE26" s="91"/>
      <c r="AF26" s="91"/>
      <c r="AG26" s="91"/>
      <c r="AH26" s="91"/>
      <c r="AI26" s="112"/>
      <c r="AJ26" s="109"/>
      <c r="AK26" s="91"/>
      <c r="AL26" s="91"/>
      <c r="AM26" s="91"/>
      <c r="AN26" s="91"/>
      <c r="AO26" s="91"/>
      <c r="AP26" s="91"/>
      <c r="AQ26" s="91"/>
      <c r="AR26" s="91"/>
      <c r="AS26" s="91"/>
      <c r="AT26" s="91"/>
      <c r="AU26" s="110"/>
      <c r="AV26" s="85" t="e">
        <f t="shared" si="1"/>
        <v>#REF!</v>
      </c>
      <c r="AW26" s="85" t="e">
        <f t="shared" si="1"/>
        <v>#REF!</v>
      </c>
      <c r="AX26" s="85" t="e">
        <f t="shared" si="1"/>
        <v>#REF!</v>
      </c>
      <c r="BB26" s="85" t="s">
        <v>204</v>
      </c>
    </row>
    <row r="27" spans="1:54" ht="15.75" x14ac:dyDescent="0.2">
      <c r="A27" s="111" t="e">
        <f t="shared" si="2"/>
        <v>#REF!</v>
      </c>
      <c r="B27" s="88" t="e">
        <f>IF(OR(#REF!="",#REF!=0,#REF!=#REF!),"",#REF!)</f>
        <v>#REF!</v>
      </c>
      <c r="C27" s="107" t="e">
        <f t="shared" si="0"/>
        <v>#REF!</v>
      </c>
      <c r="D27" s="88" t="e">
        <f>IF(OR(#REF!="",#REF!=0,#REF!=#REF!),"",#REF!)</f>
        <v>#REF!</v>
      </c>
      <c r="E27" s="88" t="e">
        <f>IF($D27="","",#REF!)</f>
        <v>#REF!</v>
      </c>
      <c r="F27" s="91"/>
      <c r="G27" s="91"/>
      <c r="H27" s="91"/>
      <c r="I27" s="91"/>
      <c r="J27" s="91"/>
      <c r="K27" s="91"/>
      <c r="L27" s="91"/>
      <c r="M27" s="91"/>
      <c r="N27" s="91"/>
      <c r="O27" s="91"/>
      <c r="P27" s="91"/>
      <c r="Q27" s="91"/>
      <c r="R27" s="91"/>
      <c r="S27" s="91"/>
      <c r="T27" s="109"/>
      <c r="U27" s="109"/>
      <c r="V27" s="109"/>
      <c r="W27" s="108"/>
      <c r="X27" s="108"/>
      <c r="Y27" s="91"/>
      <c r="Z27" s="186" t="e">
        <f t="array" ref="Z27">IF(E27="","",SUMPRODUCT(T27:V27,TRANSPOSE($V$4:$V$6)))</f>
        <v>#REF!</v>
      </c>
      <c r="AA27" s="109"/>
      <c r="AB27" s="91"/>
      <c r="AC27" s="91"/>
      <c r="AD27" s="91"/>
      <c r="AE27" s="91"/>
      <c r="AF27" s="91"/>
      <c r="AG27" s="91"/>
      <c r="AH27" s="91"/>
      <c r="AI27" s="112"/>
      <c r="AJ27" s="109"/>
      <c r="AK27" s="91"/>
      <c r="AL27" s="91"/>
      <c r="AM27" s="91"/>
      <c r="AN27" s="91"/>
      <c r="AO27" s="91"/>
      <c r="AP27" s="91"/>
      <c r="AQ27" s="91"/>
      <c r="AR27" s="91"/>
      <c r="AS27" s="91"/>
      <c r="AT27" s="91"/>
      <c r="AU27" s="110"/>
      <c r="AV27" s="85" t="e">
        <f t="shared" si="1"/>
        <v>#REF!</v>
      </c>
      <c r="AW27" s="85" t="e">
        <f t="shared" si="1"/>
        <v>#REF!</v>
      </c>
      <c r="AX27" s="85" t="e">
        <f t="shared" si="1"/>
        <v>#REF!</v>
      </c>
      <c r="BB27" s="85" t="s">
        <v>245</v>
      </c>
    </row>
    <row r="28" spans="1:54" ht="15.75" x14ac:dyDescent="0.2">
      <c r="A28" s="111" t="e">
        <f t="shared" si="2"/>
        <v>#REF!</v>
      </c>
      <c r="B28" s="88" t="e">
        <f>IF(OR(#REF!="",#REF!=0,#REF!=#REF!),"",#REF!)</f>
        <v>#REF!</v>
      </c>
      <c r="C28" s="107" t="e">
        <f t="shared" si="0"/>
        <v>#REF!</v>
      </c>
      <c r="D28" s="88" t="e">
        <f>IF(OR(#REF!="",#REF!=0,#REF!=#REF!),"",#REF!)</f>
        <v>#REF!</v>
      </c>
      <c r="E28" s="88" t="e">
        <f>IF($D28="","",#REF!)</f>
        <v>#REF!</v>
      </c>
      <c r="F28" s="91"/>
      <c r="G28" s="91"/>
      <c r="H28" s="91"/>
      <c r="I28" s="91"/>
      <c r="J28" s="91"/>
      <c r="K28" s="91"/>
      <c r="L28" s="91"/>
      <c r="M28" s="91"/>
      <c r="N28" s="91"/>
      <c r="O28" s="91"/>
      <c r="P28" s="91"/>
      <c r="Q28" s="91"/>
      <c r="R28" s="91"/>
      <c r="S28" s="91"/>
      <c r="T28" s="109"/>
      <c r="U28" s="109"/>
      <c r="V28" s="109"/>
      <c r="W28" s="108"/>
      <c r="X28" s="108"/>
      <c r="Y28" s="91"/>
      <c r="Z28" s="186" t="e">
        <f t="array" ref="Z28">IF(E28="","",SUMPRODUCT(T28:V28,TRANSPOSE($V$4:$V$6)))</f>
        <v>#REF!</v>
      </c>
      <c r="AA28" s="109"/>
      <c r="AB28" s="91"/>
      <c r="AC28" s="91"/>
      <c r="AD28" s="91"/>
      <c r="AE28" s="91"/>
      <c r="AF28" s="91"/>
      <c r="AG28" s="91"/>
      <c r="AH28" s="91"/>
      <c r="AI28" s="112"/>
      <c r="AJ28" s="109"/>
      <c r="AK28" s="91"/>
      <c r="AL28" s="91"/>
      <c r="AM28" s="91"/>
      <c r="AN28" s="91"/>
      <c r="AO28" s="91"/>
      <c r="AP28" s="91"/>
      <c r="AQ28" s="91"/>
      <c r="AR28" s="91"/>
      <c r="AS28" s="91"/>
      <c r="AT28" s="91"/>
      <c r="AU28" s="110"/>
      <c r="AV28" s="85" t="e">
        <f t="shared" si="1"/>
        <v>#REF!</v>
      </c>
      <c r="AW28" s="85" t="e">
        <f t="shared" si="1"/>
        <v>#REF!</v>
      </c>
      <c r="AX28" s="85" t="e">
        <f t="shared" si="1"/>
        <v>#REF!</v>
      </c>
      <c r="BB28" s="85" t="s">
        <v>197</v>
      </c>
    </row>
    <row r="29" spans="1:54" ht="15.75" x14ac:dyDescent="0.2">
      <c r="A29" s="111" t="e">
        <f t="shared" si="2"/>
        <v>#REF!</v>
      </c>
      <c r="B29" s="88" t="e">
        <f>IF(OR(#REF!="",#REF!=0,#REF!=#REF!),"",#REF!)</f>
        <v>#REF!</v>
      </c>
      <c r="C29" s="107" t="e">
        <f t="shared" si="0"/>
        <v>#REF!</v>
      </c>
      <c r="D29" s="88" t="e">
        <f>IF(OR(#REF!="",#REF!=0,#REF!=#REF!),"",#REF!)</f>
        <v>#REF!</v>
      </c>
      <c r="E29" s="88" t="e">
        <f>IF($D29="","",#REF!)</f>
        <v>#REF!</v>
      </c>
      <c r="F29" s="91"/>
      <c r="G29" s="91"/>
      <c r="H29" s="91"/>
      <c r="I29" s="91"/>
      <c r="J29" s="91"/>
      <c r="K29" s="91"/>
      <c r="L29" s="91"/>
      <c r="M29" s="91"/>
      <c r="N29" s="91"/>
      <c r="O29" s="91"/>
      <c r="P29" s="91"/>
      <c r="Q29" s="91"/>
      <c r="R29" s="91"/>
      <c r="S29" s="91"/>
      <c r="T29" s="109"/>
      <c r="U29" s="109"/>
      <c r="V29" s="109"/>
      <c r="W29" s="108"/>
      <c r="X29" s="108"/>
      <c r="Y29" s="91"/>
      <c r="Z29" s="186" t="e">
        <f t="array" ref="Z29">IF(E29="","",SUMPRODUCT(T29:V29,TRANSPOSE($V$4:$V$6)))</f>
        <v>#REF!</v>
      </c>
      <c r="AA29" s="109"/>
      <c r="AB29" s="91"/>
      <c r="AC29" s="91"/>
      <c r="AD29" s="91"/>
      <c r="AE29" s="91"/>
      <c r="AF29" s="91"/>
      <c r="AG29" s="91"/>
      <c r="AH29" s="91"/>
      <c r="AI29" s="112"/>
      <c r="AJ29" s="109"/>
      <c r="AK29" s="91"/>
      <c r="AL29" s="91"/>
      <c r="AM29" s="91"/>
      <c r="AN29" s="91"/>
      <c r="AO29" s="91"/>
      <c r="AP29" s="91"/>
      <c r="AQ29" s="91"/>
      <c r="AR29" s="91"/>
      <c r="AS29" s="91"/>
      <c r="AT29" s="91"/>
      <c r="AU29" s="110"/>
      <c r="AV29" s="85" t="e">
        <f t="shared" si="1"/>
        <v>#REF!</v>
      </c>
      <c r="AW29" s="85" t="e">
        <f t="shared" si="1"/>
        <v>#REF!</v>
      </c>
      <c r="AX29" s="85" t="e">
        <f t="shared" si="1"/>
        <v>#REF!</v>
      </c>
      <c r="BB29" s="85" t="s">
        <v>203</v>
      </c>
    </row>
    <row r="30" spans="1:54" ht="15.75" x14ac:dyDescent="0.2">
      <c r="A30" s="111" t="e">
        <f t="shared" si="2"/>
        <v>#REF!</v>
      </c>
      <c r="B30" s="88" t="e">
        <f>IF(OR(#REF!="",#REF!=0,#REF!=#REF!),"",#REF!)</f>
        <v>#REF!</v>
      </c>
      <c r="C30" s="107" t="e">
        <f t="shared" si="0"/>
        <v>#REF!</v>
      </c>
      <c r="D30" s="88" t="e">
        <f>IF(OR(#REF!="",#REF!=0,#REF!=#REF!),"",#REF!)</f>
        <v>#REF!</v>
      </c>
      <c r="E30" s="88" t="e">
        <f>IF($D30="","",#REF!)</f>
        <v>#REF!</v>
      </c>
      <c r="F30" s="91"/>
      <c r="G30" s="91"/>
      <c r="H30" s="91"/>
      <c r="I30" s="91"/>
      <c r="J30" s="91"/>
      <c r="K30" s="91"/>
      <c r="L30" s="91"/>
      <c r="M30" s="91"/>
      <c r="N30" s="91"/>
      <c r="O30" s="91"/>
      <c r="P30" s="91"/>
      <c r="Q30" s="91"/>
      <c r="R30" s="91"/>
      <c r="S30" s="91"/>
      <c r="T30" s="109"/>
      <c r="U30" s="109"/>
      <c r="V30" s="109"/>
      <c r="W30" s="108"/>
      <c r="X30" s="108"/>
      <c r="Y30" s="91"/>
      <c r="Z30" s="186" t="e">
        <f t="array" ref="Z30">IF(E30="","",SUMPRODUCT(T30:V30,TRANSPOSE($V$4:$V$6)))</f>
        <v>#REF!</v>
      </c>
      <c r="AA30" s="109"/>
      <c r="AB30" s="91"/>
      <c r="AC30" s="91"/>
      <c r="AD30" s="91"/>
      <c r="AE30" s="91"/>
      <c r="AF30" s="91"/>
      <c r="AG30" s="91"/>
      <c r="AH30" s="91"/>
      <c r="AI30" s="112"/>
      <c r="AJ30" s="109"/>
      <c r="AK30" s="91"/>
      <c r="AL30" s="91"/>
      <c r="AM30" s="91"/>
      <c r="AN30" s="91"/>
      <c r="AO30" s="91"/>
      <c r="AP30" s="91"/>
      <c r="AQ30" s="91"/>
      <c r="AR30" s="91"/>
      <c r="AS30" s="91"/>
      <c r="AT30" s="91"/>
      <c r="AU30" s="110"/>
      <c r="AV30" s="85" t="e">
        <f t="shared" si="1"/>
        <v>#REF!</v>
      </c>
      <c r="AW30" s="85" t="e">
        <f t="shared" si="1"/>
        <v>#REF!</v>
      </c>
      <c r="AX30" s="85" t="e">
        <f t="shared" si="1"/>
        <v>#REF!</v>
      </c>
      <c r="BB30" s="85" t="s">
        <v>211</v>
      </c>
    </row>
    <row r="31" spans="1:54" ht="15.75" x14ac:dyDescent="0.2">
      <c r="A31" s="111" t="e">
        <f t="shared" si="2"/>
        <v>#REF!</v>
      </c>
      <c r="B31" s="88" t="e">
        <f>IF(OR(#REF!="",#REF!=0,#REF!=#REF!),"",#REF!)</f>
        <v>#REF!</v>
      </c>
      <c r="C31" s="107" t="e">
        <f t="shared" si="0"/>
        <v>#REF!</v>
      </c>
      <c r="D31" s="88" t="e">
        <f>IF(OR(#REF!="",#REF!=0,#REF!=#REF!),"",#REF!)</f>
        <v>#REF!</v>
      </c>
      <c r="E31" s="88" t="e">
        <f>IF($D31="","",#REF!)</f>
        <v>#REF!</v>
      </c>
      <c r="F31" s="91"/>
      <c r="G31" s="91"/>
      <c r="H31" s="91"/>
      <c r="I31" s="91"/>
      <c r="J31" s="91"/>
      <c r="K31" s="91"/>
      <c r="L31" s="91"/>
      <c r="M31" s="91"/>
      <c r="N31" s="91"/>
      <c r="O31" s="91"/>
      <c r="P31" s="91"/>
      <c r="Q31" s="91"/>
      <c r="R31" s="91"/>
      <c r="S31" s="91"/>
      <c r="T31" s="109"/>
      <c r="U31" s="109"/>
      <c r="V31" s="109"/>
      <c r="W31" s="108"/>
      <c r="X31" s="108"/>
      <c r="Y31" s="91"/>
      <c r="Z31" s="186" t="e">
        <f t="array" ref="Z31">IF(E31="","",SUMPRODUCT(T31:V31,TRANSPOSE($V$4:$V$6)))</f>
        <v>#REF!</v>
      </c>
      <c r="AA31" s="109"/>
      <c r="AB31" s="91"/>
      <c r="AC31" s="91"/>
      <c r="AD31" s="91"/>
      <c r="AE31" s="91"/>
      <c r="AF31" s="91"/>
      <c r="AG31" s="91"/>
      <c r="AH31" s="91"/>
      <c r="AI31" s="112"/>
      <c r="AJ31" s="109"/>
      <c r="AK31" s="91"/>
      <c r="AL31" s="91"/>
      <c r="AM31" s="91"/>
      <c r="AN31" s="91"/>
      <c r="AO31" s="91"/>
      <c r="AP31" s="91"/>
      <c r="AQ31" s="91"/>
      <c r="AR31" s="91"/>
      <c r="AS31" s="91"/>
      <c r="AT31" s="91"/>
      <c r="AU31" s="110"/>
      <c r="AV31" s="85" t="e">
        <f t="shared" si="1"/>
        <v>#REF!</v>
      </c>
      <c r="AW31" s="85" t="e">
        <f t="shared" si="1"/>
        <v>#REF!</v>
      </c>
      <c r="AX31" s="85" t="e">
        <f t="shared" si="1"/>
        <v>#REF!</v>
      </c>
      <c r="BB31" s="85" t="s">
        <v>201</v>
      </c>
    </row>
    <row r="32" spans="1:54" ht="15.75" x14ac:dyDescent="0.2">
      <c r="A32" s="111" t="e">
        <f t="shared" si="2"/>
        <v>#REF!</v>
      </c>
      <c r="B32" s="88" t="e">
        <f>IF(OR(#REF!="",#REF!=0,#REF!=#REF!),"",#REF!)</f>
        <v>#REF!</v>
      </c>
      <c r="C32" s="107" t="e">
        <f t="shared" si="0"/>
        <v>#REF!</v>
      </c>
      <c r="D32" s="88" t="e">
        <f>IF(OR(#REF!="",#REF!=0,#REF!=#REF!),"",#REF!)</f>
        <v>#REF!</v>
      </c>
      <c r="E32" s="88" t="e">
        <f>IF($D32="","",#REF!)</f>
        <v>#REF!</v>
      </c>
      <c r="F32" s="91"/>
      <c r="G32" s="91"/>
      <c r="H32" s="91"/>
      <c r="I32" s="91"/>
      <c r="J32" s="91"/>
      <c r="K32" s="91"/>
      <c r="L32" s="91"/>
      <c r="M32" s="91"/>
      <c r="N32" s="91"/>
      <c r="O32" s="91"/>
      <c r="P32" s="91"/>
      <c r="Q32" s="91"/>
      <c r="R32" s="91"/>
      <c r="S32" s="91"/>
      <c r="T32" s="109"/>
      <c r="U32" s="109"/>
      <c r="V32" s="109"/>
      <c r="W32" s="108"/>
      <c r="X32" s="108"/>
      <c r="Y32" s="91"/>
      <c r="Z32" s="186" t="e">
        <f t="array" ref="Z32">IF(E32="","",SUMPRODUCT(T32:V32,TRANSPOSE($V$4:$V$6)))</f>
        <v>#REF!</v>
      </c>
      <c r="AA32" s="109"/>
      <c r="AB32" s="91"/>
      <c r="AC32" s="91"/>
      <c r="AD32" s="91"/>
      <c r="AE32" s="91"/>
      <c r="AF32" s="91"/>
      <c r="AG32" s="91"/>
      <c r="AH32" s="91"/>
      <c r="AI32" s="112"/>
      <c r="AJ32" s="109"/>
      <c r="AK32" s="91"/>
      <c r="AL32" s="91"/>
      <c r="AM32" s="91"/>
      <c r="AN32" s="91"/>
      <c r="AO32" s="91"/>
      <c r="AP32" s="91"/>
      <c r="AQ32" s="91"/>
      <c r="AR32" s="91"/>
      <c r="AS32" s="91"/>
      <c r="AT32" s="91"/>
      <c r="AU32" s="110"/>
      <c r="AV32" s="85" t="e">
        <f t="shared" si="1"/>
        <v>#REF!</v>
      </c>
      <c r="AW32" s="85" t="e">
        <f t="shared" si="1"/>
        <v>#REF!</v>
      </c>
      <c r="AX32" s="85" t="e">
        <f t="shared" si="1"/>
        <v>#REF!</v>
      </c>
      <c r="BB32" s="85" t="s">
        <v>189</v>
      </c>
    </row>
    <row r="33" spans="1:54" ht="15.75" x14ac:dyDescent="0.2">
      <c r="A33" s="111" t="e">
        <f t="shared" si="2"/>
        <v>#REF!</v>
      </c>
      <c r="B33" s="88" t="e">
        <f>IF(OR(#REF!="",#REF!=0,#REF!=#REF!),"",#REF!)</f>
        <v>#REF!</v>
      </c>
      <c r="C33" s="107" t="e">
        <f t="shared" si="0"/>
        <v>#REF!</v>
      </c>
      <c r="D33" s="88" t="e">
        <f>IF(OR(#REF!="",#REF!=0,#REF!=#REF!),"",#REF!)</f>
        <v>#REF!</v>
      </c>
      <c r="E33" s="88" t="e">
        <f>IF($D33="","",#REF!)</f>
        <v>#REF!</v>
      </c>
      <c r="F33" s="91"/>
      <c r="G33" s="91"/>
      <c r="H33" s="91"/>
      <c r="I33" s="91"/>
      <c r="J33" s="91"/>
      <c r="K33" s="91"/>
      <c r="L33" s="91"/>
      <c r="M33" s="91"/>
      <c r="N33" s="91"/>
      <c r="O33" s="91"/>
      <c r="P33" s="91"/>
      <c r="Q33" s="91"/>
      <c r="R33" s="91"/>
      <c r="S33" s="91"/>
      <c r="T33" s="109"/>
      <c r="U33" s="109"/>
      <c r="V33" s="109"/>
      <c r="W33" s="108"/>
      <c r="X33" s="108"/>
      <c r="Y33" s="91"/>
      <c r="Z33" s="186" t="e">
        <f t="array" ref="Z33">IF(E33="","",SUMPRODUCT(T33:V33,TRANSPOSE($V$4:$V$6)))</f>
        <v>#REF!</v>
      </c>
      <c r="AA33" s="109"/>
      <c r="AB33" s="91"/>
      <c r="AC33" s="91"/>
      <c r="AD33" s="91"/>
      <c r="AE33" s="91"/>
      <c r="AF33" s="91"/>
      <c r="AG33" s="91"/>
      <c r="AH33" s="91"/>
      <c r="AI33" s="113"/>
      <c r="AJ33" s="109"/>
      <c r="AK33" s="91"/>
      <c r="AL33" s="91"/>
      <c r="AM33" s="91"/>
      <c r="AN33" s="91"/>
      <c r="AO33" s="91"/>
      <c r="AP33" s="91"/>
      <c r="AQ33" s="91"/>
      <c r="AR33" s="91"/>
      <c r="AS33" s="91"/>
      <c r="AT33" s="91"/>
      <c r="AU33" s="110"/>
      <c r="AV33" s="85" t="e">
        <f t="shared" si="1"/>
        <v>#REF!</v>
      </c>
      <c r="AW33" s="85" t="e">
        <f t="shared" si="1"/>
        <v>#REF!</v>
      </c>
      <c r="AX33" s="85" t="e">
        <f t="shared" si="1"/>
        <v>#REF!</v>
      </c>
      <c r="BB33" s="85" t="s">
        <v>179</v>
      </c>
    </row>
    <row r="34" spans="1:54" ht="15.75" x14ac:dyDescent="0.2">
      <c r="A34" s="111" t="e">
        <f t="shared" si="2"/>
        <v>#REF!</v>
      </c>
      <c r="B34" s="88" t="e">
        <f>IF(OR(#REF!="",#REF!=0,#REF!=#REF!),"",#REF!)</f>
        <v>#REF!</v>
      </c>
      <c r="C34" s="107" t="e">
        <f t="shared" si="0"/>
        <v>#REF!</v>
      </c>
      <c r="D34" s="88" t="e">
        <f>IF(OR(#REF!="",#REF!=0,#REF!=#REF!),"",#REF!)</f>
        <v>#REF!</v>
      </c>
      <c r="E34" s="88" t="e">
        <f>IF($D34="","",#REF!)</f>
        <v>#REF!</v>
      </c>
      <c r="F34" s="91"/>
      <c r="G34" s="91"/>
      <c r="H34" s="91"/>
      <c r="I34" s="91"/>
      <c r="J34" s="91"/>
      <c r="K34" s="91"/>
      <c r="L34" s="91"/>
      <c r="M34" s="91"/>
      <c r="N34" s="91"/>
      <c r="O34" s="91"/>
      <c r="P34" s="91"/>
      <c r="Q34" s="91"/>
      <c r="R34" s="91"/>
      <c r="S34" s="91"/>
      <c r="T34" s="109"/>
      <c r="U34" s="109"/>
      <c r="V34" s="109"/>
      <c r="W34" s="108"/>
      <c r="X34" s="108"/>
      <c r="Y34" s="91"/>
      <c r="Z34" s="186" t="e">
        <f t="array" ref="Z34">IF(E34="","",SUMPRODUCT(T34:V34,TRANSPOSE($V$4:$V$6)))</f>
        <v>#REF!</v>
      </c>
      <c r="AA34" s="109"/>
      <c r="AB34" s="91"/>
      <c r="AC34" s="91"/>
      <c r="AD34" s="91"/>
      <c r="AE34" s="91"/>
      <c r="AF34" s="91"/>
      <c r="AG34" s="91"/>
      <c r="AH34" s="91"/>
      <c r="AI34" s="112"/>
      <c r="AJ34" s="109"/>
      <c r="AK34" s="91"/>
      <c r="AL34" s="91"/>
      <c r="AM34" s="91"/>
      <c r="AN34" s="91"/>
      <c r="AO34" s="91"/>
      <c r="AP34" s="91"/>
      <c r="AQ34" s="91"/>
      <c r="AR34" s="91"/>
      <c r="AS34" s="91"/>
      <c r="AT34" s="91"/>
      <c r="AU34" s="110"/>
      <c r="AV34" s="85" t="e">
        <f t="shared" si="1"/>
        <v>#REF!</v>
      </c>
      <c r="AW34" s="85" t="e">
        <f t="shared" si="1"/>
        <v>#REF!</v>
      </c>
      <c r="AX34" s="85" t="e">
        <f t="shared" si="1"/>
        <v>#REF!</v>
      </c>
      <c r="BB34" s="85" t="s">
        <v>195</v>
      </c>
    </row>
    <row r="35" spans="1:54" ht="15.75" x14ac:dyDescent="0.2">
      <c r="A35" s="111" t="e">
        <f t="shared" si="2"/>
        <v>#REF!</v>
      </c>
      <c r="B35" s="88" t="e">
        <f>IF(OR(#REF!="",#REF!=0,#REF!=#REF!),"",#REF!)</f>
        <v>#REF!</v>
      </c>
      <c r="C35" s="107" t="e">
        <f t="shared" si="0"/>
        <v>#REF!</v>
      </c>
      <c r="D35" s="88" t="e">
        <f>IF(OR(#REF!="",#REF!=0,#REF!=#REF!),"",#REF!)</f>
        <v>#REF!</v>
      </c>
      <c r="E35" s="88" t="e">
        <f>IF($D35="","",#REF!)</f>
        <v>#REF!</v>
      </c>
      <c r="F35" s="91"/>
      <c r="G35" s="91"/>
      <c r="H35" s="91"/>
      <c r="I35" s="91"/>
      <c r="J35" s="91"/>
      <c r="K35" s="91"/>
      <c r="L35" s="91"/>
      <c r="M35" s="91"/>
      <c r="N35" s="91"/>
      <c r="O35" s="91"/>
      <c r="P35" s="91"/>
      <c r="Q35" s="91"/>
      <c r="R35" s="91"/>
      <c r="S35" s="91"/>
      <c r="T35" s="109"/>
      <c r="U35" s="109"/>
      <c r="V35" s="109"/>
      <c r="W35" s="108"/>
      <c r="X35" s="108"/>
      <c r="Y35" s="91"/>
      <c r="Z35" s="186" t="e">
        <f t="array" ref="Z35">IF(E35="","",SUMPRODUCT(T35:V35,TRANSPOSE($V$4:$V$6)))</f>
        <v>#REF!</v>
      </c>
      <c r="AA35" s="109"/>
      <c r="AB35" s="91"/>
      <c r="AC35" s="91"/>
      <c r="AD35" s="91"/>
      <c r="AE35" s="91"/>
      <c r="AF35" s="91"/>
      <c r="AG35" s="91"/>
      <c r="AH35" s="91"/>
      <c r="AI35" s="112"/>
      <c r="AJ35" s="109"/>
      <c r="AK35" s="91"/>
      <c r="AL35" s="91"/>
      <c r="AM35" s="91"/>
      <c r="AN35" s="91"/>
      <c r="AO35" s="91"/>
      <c r="AP35" s="91"/>
      <c r="AQ35" s="91"/>
      <c r="AR35" s="91"/>
      <c r="AS35" s="91"/>
      <c r="AT35" s="91"/>
      <c r="AU35" s="110"/>
      <c r="AV35" s="85" t="e">
        <f t="shared" si="1"/>
        <v>#REF!</v>
      </c>
      <c r="AW35" s="85" t="e">
        <f t="shared" si="1"/>
        <v>#REF!</v>
      </c>
      <c r="AX35" s="85" t="e">
        <f t="shared" si="1"/>
        <v>#REF!</v>
      </c>
      <c r="BB35" s="85" t="s">
        <v>176</v>
      </c>
    </row>
    <row r="36" spans="1:54" ht="15.75" x14ac:dyDescent="0.2">
      <c r="A36" s="111" t="e">
        <f t="shared" si="2"/>
        <v>#REF!</v>
      </c>
      <c r="B36" s="88" t="e">
        <f>IF(OR(#REF!="",#REF!=0,#REF!=#REF!),"",#REF!)</f>
        <v>#REF!</v>
      </c>
      <c r="C36" s="107" t="e">
        <f t="shared" si="0"/>
        <v>#REF!</v>
      </c>
      <c r="D36" s="88" t="e">
        <f>IF(OR(#REF!="",#REF!=0,#REF!=#REF!),"",#REF!)</f>
        <v>#REF!</v>
      </c>
      <c r="E36" s="88" t="e">
        <f>IF($D36="","",#REF!)</f>
        <v>#REF!</v>
      </c>
      <c r="F36" s="91"/>
      <c r="G36" s="91"/>
      <c r="H36" s="91"/>
      <c r="I36" s="91"/>
      <c r="J36" s="91"/>
      <c r="K36" s="91"/>
      <c r="L36" s="91"/>
      <c r="M36" s="91"/>
      <c r="N36" s="91"/>
      <c r="O36" s="91"/>
      <c r="P36" s="91"/>
      <c r="Q36" s="91"/>
      <c r="R36" s="91"/>
      <c r="S36" s="91"/>
      <c r="T36" s="109"/>
      <c r="U36" s="109"/>
      <c r="V36" s="109"/>
      <c r="W36" s="108"/>
      <c r="X36" s="108"/>
      <c r="Y36" s="91"/>
      <c r="Z36" s="186" t="e">
        <f t="array" ref="Z36">IF(E36="","",SUMPRODUCT(T36:V36,TRANSPOSE($V$4:$V$6)))</f>
        <v>#REF!</v>
      </c>
      <c r="AA36" s="109"/>
      <c r="AB36" s="91"/>
      <c r="AC36" s="91"/>
      <c r="AD36" s="91"/>
      <c r="AE36" s="91"/>
      <c r="AF36" s="91"/>
      <c r="AG36" s="91"/>
      <c r="AH36" s="91"/>
      <c r="AI36" s="112"/>
      <c r="AJ36" s="109"/>
      <c r="AK36" s="91"/>
      <c r="AL36" s="91"/>
      <c r="AM36" s="91"/>
      <c r="AN36" s="91"/>
      <c r="AO36" s="91"/>
      <c r="AP36" s="91"/>
      <c r="AQ36" s="91"/>
      <c r="AR36" s="91"/>
      <c r="AS36" s="91"/>
      <c r="AT36" s="91"/>
      <c r="AU36" s="110"/>
      <c r="AV36" s="85" t="e">
        <f t="shared" si="1"/>
        <v>#REF!</v>
      </c>
      <c r="AW36" s="85" t="e">
        <f t="shared" si="1"/>
        <v>#REF!</v>
      </c>
      <c r="AX36" s="85" t="e">
        <f t="shared" si="1"/>
        <v>#REF!</v>
      </c>
      <c r="BB36" s="85" t="s">
        <v>200</v>
      </c>
    </row>
    <row r="37" spans="1:54" ht="15.75" x14ac:dyDescent="0.2">
      <c r="A37" s="111" t="e">
        <f t="shared" si="2"/>
        <v>#REF!</v>
      </c>
      <c r="B37" s="88" t="e">
        <f>IF(OR(#REF!="",#REF!=0,#REF!=#REF!),"",#REF!)</f>
        <v>#REF!</v>
      </c>
      <c r="C37" s="107" t="e">
        <f t="shared" si="0"/>
        <v>#REF!</v>
      </c>
      <c r="D37" s="88" t="e">
        <f>IF(OR(#REF!="",#REF!=0,#REF!=#REF!),"",#REF!)</f>
        <v>#REF!</v>
      </c>
      <c r="E37" s="88" t="e">
        <f>IF($D37="","",#REF!)</f>
        <v>#REF!</v>
      </c>
      <c r="F37" s="91"/>
      <c r="G37" s="91"/>
      <c r="H37" s="91"/>
      <c r="I37" s="91"/>
      <c r="J37" s="91"/>
      <c r="K37" s="91"/>
      <c r="L37" s="91"/>
      <c r="M37" s="91"/>
      <c r="N37" s="91"/>
      <c r="O37" s="91"/>
      <c r="P37" s="91"/>
      <c r="Q37" s="91"/>
      <c r="R37" s="91"/>
      <c r="S37" s="91"/>
      <c r="T37" s="109"/>
      <c r="U37" s="109"/>
      <c r="V37" s="109"/>
      <c r="W37" s="108"/>
      <c r="X37" s="108"/>
      <c r="Y37" s="91"/>
      <c r="Z37" s="186" t="e">
        <f t="array" ref="Z37">IF(E37="","",SUMPRODUCT(T37:V37,TRANSPOSE($V$4:$V$6)))</f>
        <v>#REF!</v>
      </c>
      <c r="AA37" s="109"/>
      <c r="AB37" s="91"/>
      <c r="AC37" s="91"/>
      <c r="AD37" s="91"/>
      <c r="AE37" s="91"/>
      <c r="AF37" s="91"/>
      <c r="AG37" s="91"/>
      <c r="AH37" s="91"/>
      <c r="AI37" s="112"/>
      <c r="AJ37" s="109"/>
      <c r="AK37" s="91"/>
      <c r="AL37" s="91"/>
      <c r="AM37" s="91"/>
      <c r="AN37" s="91"/>
      <c r="AO37" s="91"/>
      <c r="AP37" s="91"/>
      <c r="AQ37" s="91"/>
      <c r="AR37" s="91"/>
      <c r="AS37" s="91"/>
      <c r="AT37" s="91"/>
      <c r="AU37" s="110"/>
      <c r="AV37" s="85" t="e">
        <f t="shared" si="1"/>
        <v>#REF!</v>
      </c>
      <c r="AW37" s="85" t="e">
        <f t="shared" si="1"/>
        <v>#REF!</v>
      </c>
      <c r="AX37" s="85" t="e">
        <f t="shared" si="1"/>
        <v>#REF!</v>
      </c>
      <c r="BB37" s="85" t="s">
        <v>186</v>
      </c>
    </row>
    <row r="38" spans="1:54" ht="15.75" x14ac:dyDescent="0.2">
      <c r="A38" s="111" t="e">
        <f t="shared" si="2"/>
        <v>#REF!</v>
      </c>
      <c r="B38" s="88" t="e">
        <f>IF(OR(#REF!="",#REF!=0,#REF!=#REF!),"",#REF!)</f>
        <v>#REF!</v>
      </c>
      <c r="C38" s="107" t="e">
        <f t="shared" si="0"/>
        <v>#REF!</v>
      </c>
      <c r="D38" s="88" t="e">
        <f>IF(OR(#REF!="",#REF!=0,#REF!=#REF!),"",#REF!)</f>
        <v>#REF!</v>
      </c>
      <c r="E38" s="88" t="e">
        <f>IF($D38="","",#REF!)</f>
        <v>#REF!</v>
      </c>
      <c r="F38" s="91"/>
      <c r="G38" s="91"/>
      <c r="H38" s="91"/>
      <c r="I38" s="91"/>
      <c r="J38" s="91"/>
      <c r="K38" s="91"/>
      <c r="L38" s="91"/>
      <c r="M38" s="91"/>
      <c r="N38" s="91"/>
      <c r="O38" s="91"/>
      <c r="P38" s="91"/>
      <c r="Q38" s="91"/>
      <c r="R38" s="91"/>
      <c r="S38" s="91"/>
      <c r="T38" s="109"/>
      <c r="U38" s="109"/>
      <c r="V38" s="109"/>
      <c r="W38" s="108"/>
      <c r="X38" s="108"/>
      <c r="Y38" s="91"/>
      <c r="Z38" s="186" t="e">
        <f t="array" ref="Z38">IF(E38="","",SUMPRODUCT(T38:V38,TRANSPOSE($V$4:$V$6)))</f>
        <v>#REF!</v>
      </c>
      <c r="AA38" s="109"/>
      <c r="AB38" s="91"/>
      <c r="AC38" s="91"/>
      <c r="AD38" s="91"/>
      <c r="AE38" s="91"/>
      <c r="AF38" s="91"/>
      <c r="AG38" s="91"/>
      <c r="AH38" s="91"/>
      <c r="AI38" s="112"/>
      <c r="AJ38" s="109"/>
      <c r="AK38" s="91"/>
      <c r="AL38" s="91"/>
      <c r="AM38" s="91"/>
      <c r="AN38" s="91"/>
      <c r="AO38" s="91"/>
      <c r="AP38" s="91"/>
      <c r="AQ38" s="91"/>
      <c r="AR38" s="91"/>
      <c r="AS38" s="91"/>
      <c r="AT38" s="91"/>
      <c r="AU38" s="110"/>
      <c r="AV38" s="85" t="e">
        <f t="shared" si="1"/>
        <v>#REF!</v>
      </c>
      <c r="AW38" s="85" t="e">
        <f t="shared" si="1"/>
        <v>#REF!</v>
      </c>
      <c r="AX38" s="85" t="e">
        <f t="shared" si="1"/>
        <v>#REF!</v>
      </c>
      <c r="BB38" s="85" t="s">
        <v>173</v>
      </c>
    </row>
    <row r="39" spans="1:54" ht="15.75" x14ac:dyDescent="0.2">
      <c r="A39" s="111" t="e">
        <f t="shared" si="2"/>
        <v>#REF!</v>
      </c>
      <c r="B39" s="88" t="e">
        <f>IF(OR(#REF!="",#REF!=0,#REF!=#REF!),"",#REF!)</f>
        <v>#REF!</v>
      </c>
      <c r="C39" s="107" t="e">
        <f t="shared" si="0"/>
        <v>#REF!</v>
      </c>
      <c r="D39" s="88" t="e">
        <f>IF(OR(#REF!="",#REF!=0,#REF!=#REF!),"",#REF!)</f>
        <v>#REF!</v>
      </c>
      <c r="E39" s="88" t="e">
        <f>IF($D39="","",#REF!)</f>
        <v>#REF!</v>
      </c>
      <c r="F39" s="91"/>
      <c r="G39" s="91"/>
      <c r="H39" s="91"/>
      <c r="I39" s="91"/>
      <c r="J39" s="91"/>
      <c r="K39" s="91"/>
      <c r="L39" s="91"/>
      <c r="M39" s="91"/>
      <c r="N39" s="91"/>
      <c r="O39" s="91"/>
      <c r="P39" s="91"/>
      <c r="Q39" s="91"/>
      <c r="R39" s="91"/>
      <c r="S39" s="91"/>
      <c r="T39" s="109"/>
      <c r="U39" s="109"/>
      <c r="V39" s="109"/>
      <c r="W39" s="108"/>
      <c r="X39" s="108"/>
      <c r="Y39" s="91"/>
      <c r="Z39" s="186" t="e">
        <f t="array" ref="Z39">IF(E39="","",SUMPRODUCT(T39:V39,TRANSPOSE($V$4:$V$6)))</f>
        <v>#REF!</v>
      </c>
      <c r="AA39" s="109"/>
      <c r="AB39" s="91"/>
      <c r="AC39" s="91"/>
      <c r="AD39" s="91"/>
      <c r="AE39" s="91"/>
      <c r="AF39" s="91"/>
      <c r="AG39" s="91"/>
      <c r="AH39" s="91"/>
      <c r="AI39" s="113"/>
      <c r="AJ39" s="109"/>
      <c r="AK39" s="91"/>
      <c r="AL39" s="91"/>
      <c r="AM39" s="91"/>
      <c r="AN39" s="91"/>
      <c r="AO39" s="91"/>
      <c r="AP39" s="91"/>
      <c r="AQ39" s="91"/>
      <c r="AR39" s="91"/>
      <c r="AS39" s="91"/>
      <c r="AT39" s="91"/>
      <c r="AU39" s="110"/>
      <c r="AV39" s="85" t="e">
        <f t="shared" si="1"/>
        <v>#REF!</v>
      </c>
      <c r="AW39" s="85" t="e">
        <f t="shared" si="1"/>
        <v>#REF!</v>
      </c>
      <c r="AX39" s="85" t="e">
        <f t="shared" si="1"/>
        <v>#REF!</v>
      </c>
      <c r="BB39" s="85" t="s">
        <v>217</v>
      </c>
    </row>
    <row r="40" spans="1:54" ht="15.75" x14ac:dyDescent="0.2">
      <c r="A40" s="111" t="e">
        <f t="shared" si="2"/>
        <v>#REF!</v>
      </c>
      <c r="B40" s="88" t="e">
        <f>IF(OR(#REF!="",#REF!=0,#REF!=#REF!),"",#REF!)</f>
        <v>#REF!</v>
      </c>
      <c r="C40" s="107" t="e">
        <f t="shared" si="0"/>
        <v>#REF!</v>
      </c>
      <c r="D40" s="88" t="e">
        <f>IF(OR(#REF!="",#REF!=0,#REF!=#REF!),"",#REF!)</f>
        <v>#REF!</v>
      </c>
      <c r="E40" s="88" t="e">
        <f>IF($D40="","",#REF!)</f>
        <v>#REF!</v>
      </c>
      <c r="F40" s="91"/>
      <c r="G40" s="91"/>
      <c r="H40" s="91"/>
      <c r="I40" s="91"/>
      <c r="J40" s="91"/>
      <c r="K40" s="91"/>
      <c r="L40" s="91"/>
      <c r="M40" s="91"/>
      <c r="N40" s="91"/>
      <c r="O40" s="91"/>
      <c r="P40" s="91"/>
      <c r="Q40" s="91"/>
      <c r="R40" s="91"/>
      <c r="S40" s="91"/>
      <c r="T40" s="109"/>
      <c r="U40" s="109"/>
      <c r="V40" s="109"/>
      <c r="W40" s="108"/>
      <c r="X40" s="108"/>
      <c r="Y40" s="91"/>
      <c r="Z40" s="186" t="e">
        <f t="array" ref="Z40">IF(E40="","",SUMPRODUCT(T40:V40,TRANSPOSE($V$4:$V$6)))</f>
        <v>#REF!</v>
      </c>
      <c r="AA40" s="109"/>
      <c r="AB40" s="91"/>
      <c r="AC40" s="91"/>
      <c r="AD40" s="91"/>
      <c r="AE40" s="91"/>
      <c r="AF40" s="91"/>
      <c r="AG40" s="91"/>
      <c r="AH40" s="91"/>
      <c r="AI40" s="112"/>
      <c r="AJ40" s="109"/>
      <c r="AK40" s="91"/>
      <c r="AL40" s="91"/>
      <c r="AM40" s="91"/>
      <c r="AN40" s="91"/>
      <c r="AO40" s="91"/>
      <c r="AP40" s="91"/>
      <c r="AQ40" s="91"/>
      <c r="AR40" s="91"/>
      <c r="AS40" s="91"/>
      <c r="AT40" s="91"/>
      <c r="AU40" s="110"/>
      <c r="AV40" s="85" t="e">
        <f t="shared" si="1"/>
        <v>#REF!</v>
      </c>
      <c r="AW40" s="85" t="e">
        <f t="shared" si="1"/>
        <v>#REF!</v>
      </c>
      <c r="AX40" s="85" t="e">
        <f t="shared" si="1"/>
        <v>#REF!</v>
      </c>
      <c r="BB40" s="85" t="s">
        <v>216</v>
      </c>
    </row>
    <row r="41" spans="1:54" ht="15.75" x14ac:dyDescent="0.2">
      <c r="A41" s="111" t="e">
        <f t="shared" si="2"/>
        <v>#REF!</v>
      </c>
      <c r="B41" s="88" t="e">
        <f>IF(OR(#REF!="",#REF!=0,#REF!=#REF!),"",#REF!)</f>
        <v>#REF!</v>
      </c>
      <c r="C41" s="107" t="e">
        <f t="shared" si="0"/>
        <v>#REF!</v>
      </c>
      <c r="D41" s="88" t="e">
        <f>IF(OR(#REF!="",#REF!=0,#REF!=#REF!),"",#REF!)</f>
        <v>#REF!</v>
      </c>
      <c r="E41" s="88" t="e">
        <f>IF($D41="","",#REF!)</f>
        <v>#REF!</v>
      </c>
      <c r="F41" s="91"/>
      <c r="G41" s="91"/>
      <c r="H41" s="91"/>
      <c r="I41" s="91"/>
      <c r="J41" s="91"/>
      <c r="K41" s="91"/>
      <c r="L41" s="91"/>
      <c r="M41" s="91"/>
      <c r="N41" s="91"/>
      <c r="O41" s="91"/>
      <c r="P41" s="91"/>
      <c r="Q41" s="91"/>
      <c r="R41" s="91"/>
      <c r="S41" s="91"/>
      <c r="T41" s="109"/>
      <c r="U41" s="109"/>
      <c r="V41" s="109"/>
      <c r="W41" s="108"/>
      <c r="X41" s="108"/>
      <c r="Y41" s="91"/>
      <c r="Z41" s="186" t="e">
        <f t="array" ref="Z41">IF(E41="","",SUMPRODUCT(T41:V41,TRANSPOSE($V$4:$V$6)))</f>
        <v>#REF!</v>
      </c>
      <c r="AA41" s="109"/>
      <c r="AB41" s="91"/>
      <c r="AC41" s="91"/>
      <c r="AD41" s="91"/>
      <c r="AE41" s="91"/>
      <c r="AF41" s="91"/>
      <c r="AG41" s="91"/>
      <c r="AH41" s="91"/>
      <c r="AI41" s="112"/>
      <c r="AJ41" s="109"/>
      <c r="AK41" s="91"/>
      <c r="AL41" s="91"/>
      <c r="AM41" s="91"/>
      <c r="AN41" s="91"/>
      <c r="AO41" s="91"/>
      <c r="AP41" s="91"/>
      <c r="AQ41" s="91"/>
      <c r="AR41" s="91"/>
      <c r="AS41" s="91"/>
      <c r="AT41" s="91"/>
      <c r="AU41" s="110"/>
      <c r="AV41" s="85" t="e">
        <f t="shared" si="1"/>
        <v>#REF!</v>
      </c>
      <c r="AW41" s="85" t="e">
        <f t="shared" si="1"/>
        <v>#REF!</v>
      </c>
      <c r="AX41" s="85" t="e">
        <f t="shared" si="1"/>
        <v>#REF!</v>
      </c>
      <c r="BB41" s="85" t="s">
        <v>187</v>
      </c>
    </row>
    <row r="42" spans="1:54" ht="15.75" x14ac:dyDescent="0.2">
      <c r="A42" s="111" t="e">
        <f t="shared" si="2"/>
        <v>#REF!</v>
      </c>
      <c r="B42" s="88" t="e">
        <f>IF(OR(#REF!="",#REF!=0,#REF!=#REF!),"",#REF!)</f>
        <v>#REF!</v>
      </c>
      <c r="C42" s="107" t="e">
        <f t="shared" si="0"/>
        <v>#REF!</v>
      </c>
      <c r="D42" s="88" t="e">
        <f>IF(OR(#REF!="",#REF!=0,#REF!=#REF!),"",#REF!)</f>
        <v>#REF!</v>
      </c>
      <c r="E42" s="88" t="e">
        <f>IF($D42="","",#REF!)</f>
        <v>#REF!</v>
      </c>
      <c r="F42" s="91"/>
      <c r="G42" s="91"/>
      <c r="H42" s="91"/>
      <c r="I42" s="91"/>
      <c r="J42" s="91"/>
      <c r="K42" s="91"/>
      <c r="L42" s="91"/>
      <c r="M42" s="91"/>
      <c r="N42" s="91"/>
      <c r="O42" s="91"/>
      <c r="P42" s="91"/>
      <c r="Q42" s="91"/>
      <c r="R42" s="91"/>
      <c r="S42" s="91"/>
      <c r="T42" s="109"/>
      <c r="U42" s="109"/>
      <c r="V42" s="109"/>
      <c r="W42" s="108"/>
      <c r="X42" s="108"/>
      <c r="Y42" s="91"/>
      <c r="Z42" s="186" t="e">
        <f t="array" ref="Z42">IF(E42="","",SUMPRODUCT(T42:V42,TRANSPOSE($V$4:$V$6)))</f>
        <v>#REF!</v>
      </c>
      <c r="AA42" s="109"/>
      <c r="AB42" s="91"/>
      <c r="AC42" s="91"/>
      <c r="AD42" s="91"/>
      <c r="AE42" s="91"/>
      <c r="AF42" s="91"/>
      <c r="AG42" s="91"/>
      <c r="AH42" s="91"/>
      <c r="AI42" s="112"/>
      <c r="AJ42" s="109"/>
      <c r="AK42" s="91"/>
      <c r="AL42" s="91"/>
      <c r="AM42" s="91"/>
      <c r="AN42" s="91"/>
      <c r="AO42" s="91"/>
      <c r="AP42" s="91"/>
      <c r="AQ42" s="91"/>
      <c r="AR42" s="91"/>
      <c r="AS42" s="91"/>
      <c r="AT42" s="91"/>
      <c r="AU42" s="110"/>
      <c r="AV42" s="85" t="e">
        <f t="shared" si="1"/>
        <v>#REF!</v>
      </c>
      <c r="AW42" s="85" t="e">
        <f t="shared" si="1"/>
        <v>#REF!</v>
      </c>
      <c r="AX42" s="85" t="e">
        <f t="shared" si="1"/>
        <v>#REF!</v>
      </c>
      <c r="BB42" s="85" t="s">
        <v>191</v>
      </c>
    </row>
    <row r="43" spans="1:54" ht="15.75" x14ac:dyDescent="0.2">
      <c r="A43" s="111" t="e">
        <f t="shared" si="2"/>
        <v>#REF!</v>
      </c>
      <c r="B43" s="88" t="e">
        <f>IF(OR(#REF!="",#REF!=0,#REF!=#REF!),"",#REF!)</f>
        <v>#REF!</v>
      </c>
      <c r="C43" s="107" t="e">
        <f t="shared" si="0"/>
        <v>#REF!</v>
      </c>
      <c r="D43" s="88" t="e">
        <f>IF(OR(#REF!="",#REF!=0,#REF!=#REF!),"",#REF!)</f>
        <v>#REF!</v>
      </c>
      <c r="E43" s="88" t="e">
        <f>IF($D43="","",#REF!)</f>
        <v>#REF!</v>
      </c>
      <c r="F43" s="91"/>
      <c r="G43" s="91"/>
      <c r="H43" s="91"/>
      <c r="I43" s="91"/>
      <c r="J43" s="91"/>
      <c r="K43" s="91"/>
      <c r="L43" s="91"/>
      <c r="M43" s="91"/>
      <c r="N43" s="91"/>
      <c r="O43" s="91"/>
      <c r="P43" s="91"/>
      <c r="Q43" s="91"/>
      <c r="R43" s="91"/>
      <c r="S43" s="91"/>
      <c r="T43" s="109"/>
      <c r="U43" s="109"/>
      <c r="V43" s="109"/>
      <c r="W43" s="108"/>
      <c r="X43" s="108"/>
      <c r="Y43" s="91"/>
      <c r="Z43" s="186" t="e">
        <f t="array" ref="Z43">IF(E43="","",SUMPRODUCT(T43:V43,TRANSPOSE($V$4:$V$6)))</f>
        <v>#REF!</v>
      </c>
      <c r="AA43" s="109"/>
      <c r="AB43" s="91"/>
      <c r="AC43" s="91"/>
      <c r="AD43" s="91"/>
      <c r="AE43" s="91"/>
      <c r="AF43" s="91"/>
      <c r="AG43" s="91"/>
      <c r="AH43" s="91"/>
      <c r="AI43" s="113"/>
      <c r="AJ43" s="109"/>
      <c r="AK43" s="91"/>
      <c r="AL43" s="91"/>
      <c r="AM43" s="91"/>
      <c r="AN43" s="91"/>
      <c r="AO43" s="91"/>
      <c r="AP43" s="91"/>
      <c r="AQ43" s="91"/>
      <c r="AR43" s="91"/>
      <c r="AS43" s="91"/>
      <c r="AT43" s="91"/>
      <c r="AU43" s="110"/>
      <c r="AV43" s="85" t="e">
        <f t="shared" si="1"/>
        <v>#REF!</v>
      </c>
      <c r="AW43" s="85" t="e">
        <f t="shared" si="1"/>
        <v>#REF!</v>
      </c>
      <c r="AX43" s="85" t="e">
        <f t="shared" si="1"/>
        <v>#REF!</v>
      </c>
      <c r="BB43" s="85" t="s">
        <v>198</v>
      </c>
    </row>
    <row r="44" spans="1:54" ht="15.75" x14ac:dyDescent="0.2">
      <c r="A44" s="111" t="e">
        <f t="shared" si="2"/>
        <v>#REF!</v>
      </c>
      <c r="B44" s="88" t="e">
        <f>IF(OR(#REF!="",#REF!=0,#REF!=#REF!),"",#REF!)</f>
        <v>#REF!</v>
      </c>
      <c r="C44" s="107" t="e">
        <f t="shared" si="0"/>
        <v>#REF!</v>
      </c>
      <c r="D44" s="88" t="e">
        <f>IF(OR(#REF!="",#REF!=0,#REF!=#REF!),"",#REF!)</f>
        <v>#REF!</v>
      </c>
      <c r="E44" s="88" t="e">
        <f>IF($D44="","",#REF!)</f>
        <v>#REF!</v>
      </c>
      <c r="F44" s="91"/>
      <c r="G44" s="91"/>
      <c r="H44" s="91"/>
      <c r="I44" s="91"/>
      <c r="J44" s="91"/>
      <c r="K44" s="91"/>
      <c r="L44" s="91"/>
      <c r="M44" s="91"/>
      <c r="N44" s="91"/>
      <c r="O44" s="91"/>
      <c r="P44" s="91"/>
      <c r="Q44" s="91"/>
      <c r="R44" s="91"/>
      <c r="S44" s="91"/>
      <c r="T44" s="109"/>
      <c r="U44" s="109"/>
      <c r="V44" s="109"/>
      <c r="W44" s="108"/>
      <c r="X44" s="108"/>
      <c r="Y44" s="91"/>
      <c r="Z44" s="186" t="e">
        <f t="array" ref="Z44">IF(E44="","",SUMPRODUCT(T44:V44,TRANSPOSE($V$4:$V$6)))</f>
        <v>#REF!</v>
      </c>
      <c r="AA44" s="109"/>
      <c r="AB44" s="91"/>
      <c r="AC44" s="91"/>
      <c r="AD44" s="91"/>
      <c r="AE44" s="91"/>
      <c r="AF44" s="91"/>
      <c r="AG44" s="91"/>
      <c r="AH44" s="91"/>
      <c r="AI44" s="112"/>
      <c r="AJ44" s="109"/>
      <c r="AK44" s="91"/>
      <c r="AL44" s="91"/>
      <c r="AM44" s="91"/>
      <c r="AN44" s="91"/>
      <c r="AO44" s="91"/>
      <c r="AP44" s="91"/>
      <c r="AQ44" s="91"/>
      <c r="AR44" s="91"/>
      <c r="AS44" s="91"/>
      <c r="AT44" s="91"/>
      <c r="AU44" s="110"/>
      <c r="AV44" s="85" t="e">
        <f t="shared" si="1"/>
        <v>#REF!</v>
      </c>
      <c r="AW44" s="85" t="e">
        <f t="shared" si="1"/>
        <v>#REF!</v>
      </c>
      <c r="AX44" s="85" t="e">
        <f t="shared" si="1"/>
        <v>#REF!</v>
      </c>
      <c r="BB44" s="85" t="s">
        <v>209</v>
      </c>
    </row>
    <row r="45" spans="1:54" ht="15.75" x14ac:dyDescent="0.2">
      <c r="A45" s="111" t="e">
        <f t="shared" si="2"/>
        <v>#REF!</v>
      </c>
      <c r="B45" s="88" t="e">
        <f>IF(OR(#REF!="",#REF!=0,#REF!=#REF!),"",#REF!)</f>
        <v>#REF!</v>
      </c>
      <c r="C45" s="107" t="e">
        <f t="shared" si="0"/>
        <v>#REF!</v>
      </c>
      <c r="D45" s="88" t="e">
        <f>IF(OR(#REF!="",#REF!=0,#REF!=#REF!),"",#REF!)</f>
        <v>#REF!</v>
      </c>
      <c r="E45" s="88" t="e">
        <f>IF($D45="","",#REF!)</f>
        <v>#REF!</v>
      </c>
      <c r="F45" s="91"/>
      <c r="G45" s="91"/>
      <c r="H45" s="91"/>
      <c r="I45" s="91"/>
      <c r="J45" s="91"/>
      <c r="K45" s="91"/>
      <c r="L45" s="91"/>
      <c r="M45" s="91"/>
      <c r="N45" s="91"/>
      <c r="O45" s="91"/>
      <c r="P45" s="91"/>
      <c r="Q45" s="91"/>
      <c r="R45" s="91"/>
      <c r="S45" s="91"/>
      <c r="T45" s="109"/>
      <c r="U45" s="109"/>
      <c r="V45" s="109"/>
      <c r="W45" s="108"/>
      <c r="X45" s="108"/>
      <c r="Y45" s="91"/>
      <c r="Z45" s="186" t="e">
        <f t="array" ref="Z45">IF(E45="","",SUMPRODUCT(T45:V45,TRANSPOSE($V$4:$V$6)))</f>
        <v>#REF!</v>
      </c>
      <c r="AA45" s="109"/>
      <c r="AB45" s="91"/>
      <c r="AC45" s="91"/>
      <c r="AD45" s="91"/>
      <c r="AE45" s="91"/>
      <c r="AF45" s="91"/>
      <c r="AG45" s="91"/>
      <c r="AH45" s="91"/>
      <c r="AI45" s="112"/>
      <c r="AJ45" s="109"/>
      <c r="AK45" s="91"/>
      <c r="AL45" s="91"/>
      <c r="AM45" s="91"/>
      <c r="AN45" s="91"/>
      <c r="AO45" s="91"/>
      <c r="AP45" s="91"/>
      <c r="AQ45" s="91"/>
      <c r="AR45" s="91"/>
      <c r="AS45" s="91"/>
      <c r="AT45" s="91"/>
      <c r="AU45" s="110"/>
      <c r="AV45" s="85" t="e">
        <f t="shared" si="1"/>
        <v>#REF!</v>
      </c>
      <c r="AW45" s="85" t="e">
        <f t="shared" si="1"/>
        <v>#REF!</v>
      </c>
      <c r="AX45" s="85" t="e">
        <f t="shared" si="1"/>
        <v>#REF!</v>
      </c>
      <c r="BB45" s="85" t="s">
        <v>181</v>
      </c>
    </row>
    <row r="46" spans="1:54" ht="15.75" x14ac:dyDescent="0.2">
      <c r="A46" s="111" t="e">
        <f t="shared" si="2"/>
        <v>#REF!</v>
      </c>
      <c r="B46" s="88" t="e">
        <f>IF(OR(#REF!="",#REF!=0,#REF!=#REF!),"",#REF!)</f>
        <v>#REF!</v>
      </c>
      <c r="C46" s="107" t="e">
        <f t="shared" si="0"/>
        <v>#REF!</v>
      </c>
      <c r="D46" s="88" t="e">
        <f>IF(OR(#REF!="",#REF!=0,#REF!=#REF!),"",#REF!)</f>
        <v>#REF!</v>
      </c>
      <c r="E46" s="88" t="e">
        <f>IF($D46="","",#REF!)</f>
        <v>#REF!</v>
      </c>
      <c r="F46" s="91"/>
      <c r="G46" s="91"/>
      <c r="H46" s="91"/>
      <c r="I46" s="91"/>
      <c r="J46" s="91"/>
      <c r="K46" s="91"/>
      <c r="L46" s="91"/>
      <c r="M46" s="91"/>
      <c r="N46" s="91"/>
      <c r="O46" s="91"/>
      <c r="P46" s="91"/>
      <c r="Q46" s="91"/>
      <c r="R46" s="91"/>
      <c r="S46" s="91"/>
      <c r="T46" s="109"/>
      <c r="U46" s="109"/>
      <c r="V46" s="109"/>
      <c r="W46" s="108"/>
      <c r="X46" s="108"/>
      <c r="Y46" s="91"/>
      <c r="Z46" s="186" t="e">
        <f t="array" ref="Z46">IF(E46="","",SUMPRODUCT(T46:V46,TRANSPOSE($V$4:$V$6)))</f>
        <v>#REF!</v>
      </c>
      <c r="AA46" s="109"/>
      <c r="AB46" s="91"/>
      <c r="AC46" s="91"/>
      <c r="AD46" s="91"/>
      <c r="AE46" s="91"/>
      <c r="AF46" s="91"/>
      <c r="AG46" s="91"/>
      <c r="AH46" s="91"/>
      <c r="AI46" s="96"/>
      <c r="AJ46" s="109"/>
      <c r="AK46" s="91"/>
      <c r="AL46" s="91"/>
      <c r="AM46" s="91"/>
      <c r="AN46" s="91"/>
      <c r="AO46" s="91"/>
      <c r="AP46" s="91"/>
      <c r="AQ46" s="91"/>
      <c r="AR46" s="91"/>
      <c r="AS46" s="91"/>
      <c r="AT46" s="91"/>
      <c r="AU46" s="110"/>
      <c r="AV46" s="85" t="e">
        <f t="shared" si="1"/>
        <v>#REF!</v>
      </c>
      <c r="AW46" s="85" t="e">
        <f t="shared" si="1"/>
        <v>#REF!</v>
      </c>
      <c r="AX46" s="85" t="e">
        <f t="shared" si="1"/>
        <v>#REF!</v>
      </c>
      <c r="BB46" s="85" t="s">
        <v>194</v>
      </c>
    </row>
    <row r="47" spans="1:54" ht="15.75" x14ac:dyDescent="0.2">
      <c r="A47" s="111" t="e">
        <f t="shared" si="2"/>
        <v>#REF!</v>
      </c>
      <c r="B47" s="88" t="e">
        <f>IF(OR(#REF!="",#REF!=0,#REF!=#REF!),"",#REF!)</f>
        <v>#REF!</v>
      </c>
      <c r="C47" s="107" t="e">
        <f t="shared" si="0"/>
        <v>#REF!</v>
      </c>
      <c r="D47" s="88" t="e">
        <f>IF(OR(#REF!="",#REF!=0,#REF!=#REF!),"",#REF!)</f>
        <v>#REF!</v>
      </c>
      <c r="E47" s="88" t="e">
        <f>IF($D47="","",#REF!)</f>
        <v>#REF!</v>
      </c>
      <c r="F47" s="91"/>
      <c r="G47" s="91"/>
      <c r="H47" s="91"/>
      <c r="I47" s="91"/>
      <c r="J47" s="91"/>
      <c r="K47" s="91"/>
      <c r="L47" s="91"/>
      <c r="M47" s="91"/>
      <c r="N47" s="91"/>
      <c r="O47" s="91"/>
      <c r="P47" s="91"/>
      <c r="Q47" s="91"/>
      <c r="R47" s="91"/>
      <c r="S47" s="91"/>
      <c r="T47" s="109"/>
      <c r="U47" s="109"/>
      <c r="V47" s="109"/>
      <c r="W47" s="108"/>
      <c r="X47" s="108"/>
      <c r="Y47" s="91"/>
      <c r="Z47" s="186" t="e">
        <f t="array" ref="Z47">IF(E47="","",SUMPRODUCT(T47:V47,TRANSPOSE($V$4:$V$6)))</f>
        <v>#REF!</v>
      </c>
      <c r="AA47" s="109"/>
      <c r="AB47" s="91"/>
      <c r="AC47" s="91"/>
      <c r="AD47" s="91"/>
      <c r="AE47" s="91"/>
      <c r="AF47" s="91"/>
      <c r="AG47" s="91"/>
      <c r="AH47" s="91"/>
      <c r="AI47" s="113"/>
      <c r="AJ47" s="109"/>
      <c r="AK47" s="91"/>
      <c r="AL47" s="91"/>
      <c r="AM47" s="91"/>
      <c r="AN47" s="91"/>
      <c r="AO47" s="91"/>
      <c r="AP47" s="91"/>
      <c r="AQ47" s="91"/>
      <c r="AR47" s="91"/>
      <c r="AS47" s="91"/>
      <c r="AT47" s="91"/>
      <c r="AU47" s="110"/>
      <c r="AV47" s="85" t="e">
        <f t="shared" si="1"/>
        <v>#REF!</v>
      </c>
      <c r="AW47" s="85" t="e">
        <f t="shared" si="1"/>
        <v>#REF!</v>
      </c>
      <c r="AX47" s="85" t="e">
        <f t="shared" si="1"/>
        <v>#REF!</v>
      </c>
      <c r="BB47" s="85" t="s">
        <v>202</v>
      </c>
    </row>
    <row r="48" spans="1:54" ht="15.75" x14ac:dyDescent="0.2">
      <c r="A48" s="111" t="e">
        <f t="shared" si="2"/>
        <v>#REF!</v>
      </c>
      <c r="B48" s="88" t="e">
        <f>IF(OR(#REF!="",#REF!=0,#REF!=#REF!),"",#REF!)</f>
        <v>#REF!</v>
      </c>
      <c r="C48" s="107" t="e">
        <f t="shared" si="0"/>
        <v>#REF!</v>
      </c>
      <c r="D48" s="88" t="e">
        <f>IF(OR(#REF!="",#REF!=0,#REF!=#REF!),"",#REF!)</f>
        <v>#REF!</v>
      </c>
      <c r="E48" s="88" t="e">
        <f>IF($D48="","",#REF!)</f>
        <v>#REF!</v>
      </c>
      <c r="F48" s="91"/>
      <c r="G48" s="91"/>
      <c r="H48" s="91"/>
      <c r="I48" s="91"/>
      <c r="J48" s="91"/>
      <c r="K48" s="91"/>
      <c r="L48" s="91"/>
      <c r="M48" s="91"/>
      <c r="N48" s="91"/>
      <c r="O48" s="91"/>
      <c r="P48" s="91"/>
      <c r="Q48" s="91"/>
      <c r="R48" s="91"/>
      <c r="S48" s="91"/>
      <c r="T48" s="109"/>
      <c r="U48" s="109"/>
      <c r="V48" s="109"/>
      <c r="W48" s="108"/>
      <c r="X48" s="108"/>
      <c r="Y48" s="91"/>
      <c r="Z48" s="186" t="e">
        <f t="array" ref="Z48">IF(E48="","",SUMPRODUCT(T48:V48,TRANSPOSE($V$4:$V$6)))</f>
        <v>#REF!</v>
      </c>
      <c r="AA48" s="109"/>
      <c r="AB48" s="91"/>
      <c r="AC48" s="91"/>
      <c r="AD48" s="91"/>
      <c r="AE48" s="91"/>
      <c r="AF48" s="91"/>
      <c r="AG48" s="91"/>
      <c r="AH48" s="91"/>
      <c r="AI48" s="109"/>
      <c r="AJ48" s="109"/>
      <c r="AK48" s="91"/>
      <c r="AL48" s="91"/>
      <c r="AM48" s="91"/>
      <c r="AN48" s="91"/>
      <c r="AO48" s="91"/>
      <c r="AP48" s="91"/>
      <c r="AQ48" s="91"/>
      <c r="AR48" s="91"/>
      <c r="AS48" s="91"/>
      <c r="AT48" s="91"/>
      <c r="AU48" s="110"/>
      <c r="AV48" s="85" t="e">
        <f t="shared" si="1"/>
        <v>#REF!</v>
      </c>
      <c r="AW48" s="85" t="e">
        <f t="shared" si="1"/>
        <v>#REF!</v>
      </c>
      <c r="AX48" s="85" t="e">
        <f t="shared" si="1"/>
        <v>#REF!</v>
      </c>
      <c r="BB48" s="85" t="s">
        <v>192</v>
      </c>
    </row>
    <row r="49" spans="1:54" ht="15.75" x14ac:dyDescent="0.2">
      <c r="A49" s="111" t="e">
        <f t="shared" si="2"/>
        <v>#REF!</v>
      </c>
      <c r="B49" s="88" t="e">
        <f>IF(OR(#REF!="",#REF!=0,#REF!=#REF!),"",#REF!)</f>
        <v>#REF!</v>
      </c>
      <c r="C49" s="107" t="e">
        <f t="shared" si="0"/>
        <v>#REF!</v>
      </c>
      <c r="D49" s="88" t="e">
        <f>IF(OR(#REF!="",#REF!=0,#REF!=#REF!),"",#REF!)</f>
        <v>#REF!</v>
      </c>
      <c r="E49" s="88" t="e">
        <f>IF($D49="","",#REF!)</f>
        <v>#REF!</v>
      </c>
      <c r="F49" s="91"/>
      <c r="G49" s="91"/>
      <c r="H49" s="91"/>
      <c r="I49" s="91"/>
      <c r="J49" s="91"/>
      <c r="K49" s="91"/>
      <c r="L49" s="91"/>
      <c r="M49" s="91"/>
      <c r="N49" s="91"/>
      <c r="O49" s="91"/>
      <c r="P49" s="91"/>
      <c r="Q49" s="91"/>
      <c r="R49" s="91"/>
      <c r="S49" s="91"/>
      <c r="T49" s="109"/>
      <c r="U49" s="109"/>
      <c r="V49" s="109"/>
      <c r="W49" s="108"/>
      <c r="X49" s="108"/>
      <c r="Y49" s="91"/>
      <c r="Z49" s="186" t="e">
        <f t="array" ref="Z49">IF(E49="","",SUMPRODUCT(T49:V49,TRANSPOSE($V$4:$V$6)))</f>
        <v>#REF!</v>
      </c>
      <c r="AA49" s="109"/>
      <c r="AB49" s="91"/>
      <c r="AC49" s="91"/>
      <c r="AD49" s="91"/>
      <c r="AE49" s="91"/>
      <c r="AF49" s="91"/>
      <c r="AG49" s="91"/>
      <c r="AH49" s="91"/>
      <c r="AI49" s="112"/>
      <c r="AJ49" s="109"/>
      <c r="AK49" s="91"/>
      <c r="AL49" s="91"/>
      <c r="AM49" s="91"/>
      <c r="AN49" s="91"/>
      <c r="AO49" s="91"/>
      <c r="AP49" s="91"/>
      <c r="AQ49" s="91"/>
      <c r="AR49" s="91"/>
      <c r="AS49" s="91"/>
      <c r="AT49" s="91"/>
      <c r="AU49" s="110"/>
      <c r="AV49" s="85" t="e">
        <f t="shared" si="1"/>
        <v>#REF!</v>
      </c>
      <c r="AW49" s="85" t="e">
        <f t="shared" si="1"/>
        <v>#REF!</v>
      </c>
      <c r="AX49" s="85" t="e">
        <f t="shared" si="1"/>
        <v>#REF!</v>
      </c>
      <c r="BB49" s="85" t="s">
        <v>199</v>
      </c>
    </row>
    <row r="50" spans="1:54" ht="15.75" x14ac:dyDescent="0.2">
      <c r="A50" s="111" t="e">
        <f t="shared" si="2"/>
        <v>#REF!</v>
      </c>
      <c r="B50" s="88" t="e">
        <f>IF(OR(#REF!="",#REF!=0,#REF!=#REF!),"",#REF!)</f>
        <v>#REF!</v>
      </c>
      <c r="C50" s="107" t="e">
        <f t="shared" si="0"/>
        <v>#REF!</v>
      </c>
      <c r="D50" s="88" t="e">
        <f>IF(OR(#REF!="",#REF!=0,#REF!=#REF!),"",#REF!)</f>
        <v>#REF!</v>
      </c>
      <c r="E50" s="88" t="e">
        <f>IF($D50="","",#REF!)</f>
        <v>#REF!</v>
      </c>
      <c r="F50" s="91"/>
      <c r="G50" s="91"/>
      <c r="H50" s="91"/>
      <c r="I50" s="91"/>
      <c r="J50" s="91"/>
      <c r="K50" s="91"/>
      <c r="L50" s="91"/>
      <c r="M50" s="91"/>
      <c r="N50" s="91"/>
      <c r="O50" s="91"/>
      <c r="P50" s="91"/>
      <c r="Q50" s="91"/>
      <c r="R50" s="91"/>
      <c r="S50" s="91"/>
      <c r="T50" s="109"/>
      <c r="U50" s="109"/>
      <c r="V50" s="109"/>
      <c r="W50" s="108"/>
      <c r="X50" s="108"/>
      <c r="Y50" s="91"/>
      <c r="Z50" s="186" t="e">
        <f t="array" ref="Z50">IF(E50="","",SUMPRODUCT(T50:V50,TRANSPOSE($V$4:$V$6)))</f>
        <v>#REF!</v>
      </c>
      <c r="AA50" s="109"/>
      <c r="AB50" s="91"/>
      <c r="AC50" s="91"/>
      <c r="AD50" s="91"/>
      <c r="AE50" s="91"/>
      <c r="AF50" s="91"/>
      <c r="AG50" s="91"/>
      <c r="AH50" s="91"/>
      <c r="AI50" s="112"/>
      <c r="AJ50" s="109"/>
      <c r="AK50" s="91"/>
      <c r="AL50" s="91"/>
      <c r="AM50" s="91"/>
      <c r="AN50" s="91"/>
      <c r="AO50" s="91"/>
      <c r="AP50" s="91"/>
      <c r="AQ50" s="91"/>
      <c r="AR50" s="91"/>
      <c r="AS50" s="91"/>
      <c r="AT50" s="91"/>
      <c r="AU50" s="110"/>
      <c r="AV50" s="85" t="e">
        <f t="shared" si="1"/>
        <v>#REF!</v>
      </c>
      <c r="AW50" s="85" t="e">
        <f t="shared" si="1"/>
        <v>#REF!</v>
      </c>
      <c r="AX50" s="85" t="e">
        <f t="shared" si="1"/>
        <v>#REF!</v>
      </c>
      <c r="BB50" s="85" t="s">
        <v>251</v>
      </c>
    </row>
    <row r="51" spans="1:54" ht="15.75" x14ac:dyDescent="0.2">
      <c r="A51" s="111" t="e">
        <f t="shared" si="2"/>
        <v>#REF!</v>
      </c>
      <c r="B51" s="88" t="e">
        <f>IF(OR(#REF!="",#REF!=0,#REF!=#REF!),"",#REF!)</f>
        <v>#REF!</v>
      </c>
      <c r="C51" s="107" t="e">
        <f t="shared" si="0"/>
        <v>#REF!</v>
      </c>
      <c r="D51" s="88" t="e">
        <f>IF(OR(#REF!="",#REF!=0,#REF!=#REF!),"",#REF!)</f>
        <v>#REF!</v>
      </c>
      <c r="E51" s="88" t="e">
        <f>IF($D51="","",#REF!)</f>
        <v>#REF!</v>
      </c>
      <c r="F51" s="91"/>
      <c r="G51" s="91"/>
      <c r="H51" s="91"/>
      <c r="I51" s="91"/>
      <c r="J51" s="91"/>
      <c r="K51" s="91"/>
      <c r="L51" s="91"/>
      <c r="M51" s="91"/>
      <c r="N51" s="91"/>
      <c r="O51" s="91"/>
      <c r="P51" s="91"/>
      <c r="Q51" s="91"/>
      <c r="R51" s="91"/>
      <c r="S51" s="91"/>
      <c r="T51" s="109"/>
      <c r="U51" s="109"/>
      <c r="V51" s="109"/>
      <c r="W51" s="108"/>
      <c r="X51" s="108"/>
      <c r="Y51" s="91"/>
      <c r="Z51" s="186" t="e">
        <f t="array" ref="Z51">IF(E51="","",SUMPRODUCT(T51:V51,TRANSPOSE($V$4:$V$6)))</f>
        <v>#REF!</v>
      </c>
      <c r="AA51" s="109"/>
      <c r="AB51" s="91"/>
      <c r="AC51" s="91"/>
      <c r="AD51" s="91"/>
      <c r="AE51" s="91"/>
      <c r="AF51" s="91"/>
      <c r="AG51" s="91"/>
      <c r="AH51" s="91"/>
      <c r="AI51" s="112"/>
      <c r="AJ51" s="109"/>
      <c r="AK51" s="91"/>
      <c r="AL51" s="91"/>
      <c r="AM51" s="91"/>
      <c r="AN51" s="91"/>
      <c r="AO51" s="91"/>
      <c r="AP51" s="91"/>
      <c r="AQ51" s="91"/>
      <c r="AR51" s="91"/>
      <c r="AS51" s="91"/>
      <c r="AT51" s="91"/>
      <c r="AU51" s="110"/>
      <c r="AV51" s="85" t="e">
        <f t="shared" si="1"/>
        <v>#REF!</v>
      </c>
      <c r="AW51" s="85" t="e">
        <f t="shared" si="1"/>
        <v>#REF!</v>
      </c>
      <c r="AX51" s="85" t="e">
        <f t="shared" si="1"/>
        <v>#REF!</v>
      </c>
      <c r="BB51" s="85" t="s">
        <v>213</v>
      </c>
    </row>
    <row r="52" spans="1:54" ht="15.75" x14ac:dyDescent="0.2">
      <c r="A52" s="111" t="e">
        <f t="shared" si="2"/>
        <v>#REF!</v>
      </c>
      <c r="B52" s="88" t="e">
        <f>IF(OR(#REF!="",#REF!=0,#REF!=#REF!),"",#REF!)</f>
        <v>#REF!</v>
      </c>
      <c r="C52" s="107" t="e">
        <f t="shared" si="0"/>
        <v>#REF!</v>
      </c>
      <c r="D52" s="88" t="e">
        <f>IF(OR(#REF!="",#REF!=0,#REF!=#REF!),"",#REF!)</f>
        <v>#REF!</v>
      </c>
      <c r="E52" s="88" t="e">
        <f>IF($D52="","",#REF!)</f>
        <v>#REF!</v>
      </c>
      <c r="F52" s="91"/>
      <c r="G52" s="91"/>
      <c r="H52" s="91"/>
      <c r="I52" s="91"/>
      <c r="J52" s="91"/>
      <c r="K52" s="91"/>
      <c r="L52" s="91"/>
      <c r="M52" s="91"/>
      <c r="N52" s="91"/>
      <c r="O52" s="91"/>
      <c r="P52" s="91"/>
      <c r="Q52" s="91"/>
      <c r="R52" s="91"/>
      <c r="S52" s="91"/>
      <c r="T52" s="109"/>
      <c r="U52" s="109"/>
      <c r="V52" s="109"/>
      <c r="W52" s="108"/>
      <c r="X52" s="108"/>
      <c r="Y52" s="91"/>
      <c r="Z52" s="186" t="e">
        <f t="array" ref="Z52">IF(E52="","",SUMPRODUCT(T52:V52,TRANSPOSE($V$4:$V$6)))</f>
        <v>#REF!</v>
      </c>
      <c r="AA52" s="109"/>
      <c r="AB52" s="91"/>
      <c r="AC52" s="91"/>
      <c r="AD52" s="91"/>
      <c r="AE52" s="91"/>
      <c r="AF52" s="91"/>
      <c r="AG52" s="91"/>
      <c r="AH52" s="91"/>
      <c r="AI52" s="112"/>
      <c r="AJ52" s="109"/>
      <c r="AK52" s="91"/>
      <c r="AL52" s="91"/>
      <c r="AM52" s="91"/>
      <c r="AN52" s="91"/>
      <c r="AO52" s="91"/>
      <c r="AP52" s="91"/>
      <c r="AQ52" s="91"/>
      <c r="AR52" s="91"/>
      <c r="AS52" s="91"/>
      <c r="AT52" s="91"/>
      <c r="AU52" s="110"/>
      <c r="AV52" s="85" t="e">
        <f t="shared" si="1"/>
        <v>#REF!</v>
      </c>
      <c r="AW52" s="85" t="e">
        <f t="shared" si="1"/>
        <v>#REF!</v>
      </c>
      <c r="AX52" s="85" t="e">
        <f t="shared" si="1"/>
        <v>#REF!</v>
      </c>
      <c r="BB52" s="85" t="s">
        <v>180</v>
      </c>
    </row>
    <row r="53" spans="1:54" ht="15.75" x14ac:dyDescent="0.2">
      <c r="A53" s="111" t="e">
        <f t="shared" si="2"/>
        <v>#REF!</v>
      </c>
      <c r="B53" s="88" t="e">
        <f>IF(OR(#REF!="",#REF!=0,#REF!=#REF!),"",#REF!)</f>
        <v>#REF!</v>
      </c>
      <c r="C53" s="107" t="e">
        <f t="shared" si="0"/>
        <v>#REF!</v>
      </c>
      <c r="D53" s="88" t="e">
        <f>IF(OR(#REF!="",#REF!=0,#REF!=#REF!),"",#REF!)</f>
        <v>#REF!</v>
      </c>
      <c r="E53" s="88" t="e">
        <f>IF($D53="","",#REF!)</f>
        <v>#REF!</v>
      </c>
      <c r="F53" s="91"/>
      <c r="G53" s="91"/>
      <c r="H53" s="91"/>
      <c r="I53" s="91"/>
      <c r="J53" s="91"/>
      <c r="K53" s="91"/>
      <c r="L53" s="91"/>
      <c r="M53" s="91"/>
      <c r="N53" s="91"/>
      <c r="O53" s="91"/>
      <c r="P53" s="91"/>
      <c r="Q53" s="91"/>
      <c r="R53" s="91"/>
      <c r="S53" s="91"/>
      <c r="T53" s="109"/>
      <c r="U53" s="109"/>
      <c r="V53" s="109"/>
      <c r="W53" s="108"/>
      <c r="X53" s="108"/>
      <c r="Y53" s="91"/>
      <c r="Z53" s="186" t="e">
        <f t="array" ref="Z53">IF(E53="","",SUMPRODUCT(T53:V53,TRANSPOSE($V$4:$V$6)))</f>
        <v>#REF!</v>
      </c>
      <c r="AA53" s="109"/>
      <c r="AB53" s="91"/>
      <c r="AC53" s="91"/>
      <c r="AD53" s="91"/>
      <c r="AE53" s="91"/>
      <c r="AF53" s="91"/>
      <c r="AG53" s="91"/>
      <c r="AH53" s="91"/>
      <c r="AI53" s="112"/>
      <c r="AJ53" s="109"/>
      <c r="AK53" s="91"/>
      <c r="AL53" s="91"/>
      <c r="AM53" s="91"/>
      <c r="AN53" s="91"/>
      <c r="AO53" s="91"/>
      <c r="AP53" s="91"/>
      <c r="AQ53" s="91"/>
      <c r="AR53" s="91"/>
      <c r="AS53" s="91"/>
      <c r="AT53" s="91"/>
      <c r="AU53" s="110"/>
      <c r="AV53" s="85" t="e">
        <f t="shared" si="1"/>
        <v>#REF!</v>
      </c>
      <c r="AW53" s="85" t="e">
        <f t="shared" si="1"/>
        <v>#REF!</v>
      </c>
      <c r="AX53" s="85" t="e">
        <f t="shared" si="1"/>
        <v>#REF!</v>
      </c>
      <c r="BB53" s="85" t="s">
        <v>188</v>
      </c>
    </row>
    <row r="54" spans="1:54" ht="15.75" x14ac:dyDescent="0.2">
      <c r="A54" s="111" t="e">
        <f t="shared" si="2"/>
        <v>#REF!</v>
      </c>
      <c r="B54" s="88" t="e">
        <f>IF(OR(#REF!="",#REF!=0,#REF!=#REF!),"",#REF!)</f>
        <v>#REF!</v>
      </c>
      <c r="C54" s="107" t="e">
        <f t="shared" si="0"/>
        <v>#REF!</v>
      </c>
      <c r="D54" s="88" t="e">
        <f>IF(OR(#REF!="",#REF!=0,#REF!=#REF!),"",#REF!)</f>
        <v>#REF!</v>
      </c>
      <c r="E54" s="88" t="e">
        <f>IF($D54="","",#REF!)</f>
        <v>#REF!</v>
      </c>
      <c r="F54" s="91"/>
      <c r="G54" s="91"/>
      <c r="H54" s="91"/>
      <c r="I54" s="91"/>
      <c r="J54" s="91"/>
      <c r="K54" s="91"/>
      <c r="L54" s="91"/>
      <c r="M54" s="91"/>
      <c r="N54" s="91"/>
      <c r="O54" s="91"/>
      <c r="P54" s="91"/>
      <c r="Q54" s="91"/>
      <c r="R54" s="91"/>
      <c r="S54" s="91"/>
      <c r="T54" s="109"/>
      <c r="U54" s="109"/>
      <c r="V54" s="109"/>
      <c r="W54" s="108"/>
      <c r="X54" s="108"/>
      <c r="Y54" s="91"/>
      <c r="Z54" s="186" t="e">
        <f t="array" ref="Z54">IF(E54="","",SUMPRODUCT(T54:V54,TRANSPOSE($V$4:$V$6)))</f>
        <v>#REF!</v>
      </c>
      <c r="AA54" s="109"/>
      <c r="AB54" s="91"/>
      <c r="AC54" s="91"/>
      <c r="AD54" s="91"/>
      <c r="AE54" s="91"/>
      <c r="AF54" s="91"/>
      <c r="AG54" s="91"/>
      <c r="AH54" s="91"/>
      <c r="AI54" s="112"/>
      <c r="AJ54" s="109"/>
      <c r="AK54" s="91"/>
      <c r="AL54" s="91"/>
      <c r="AM54" s="91"/>
      <c r="AN54" s="91"/>
      <c r="AO54" s="91"/>
      <c r="AP54" s="91"/>
      <c r="AQ54" s="91"/>
      <c r="AR54" s="91"/>
      <c r="AS54" s="91"/>
      <c r="AT54" s="91"/>
      <c r="AU54" s="110"/>
      <c r="AV54" s="85" t="e">
        <f t="shared" si="1"/>
        <v>#REF!</v>
      </c>
      <c r="AW54" s="85" t="e">
        <f t="shared" si="1"/>
        <v>#REF!</v>
      </c>
      <c r="AX54" s="85" t="e">
        <f t="shared" si="1"/>
        <v>#REF!</v>
      </c>
      <c r="BB54" s="85" t="s">
        <v>3</v>
      </c>
    </row>
    <row r="55" spans="1:54" ht="15.75" x14ac:dyDescent="0.2">
      <c r="A55" s="111" t="e">
        <f t="shared" si="2"/>
        <v>#REF!</v>
      </c>
      <c r="B55" s="88" t="e">
        <f>IF(OR(#REF!="",#REF!=0,#REF!=#REF!),"",#REF!)</f>
        <v>#REF!</v>
      </c>
      <c r="C55" s="107" t="e">
        <f t="shared" si="0"/>
        <v>#REF!</v>
      </c>
      <c r="D55" s="88" t="e">
        <f>IF(OR(#REF!="",#REF!=0,#REF!=#REF!),"",#REF!)</f>
        <v>#REF!</v>
      </c>
      <c r="E55" s="88" t="e">
        <f>IF($D55="","",#REF!)</f>
        <v>#REF!</v>
      </c>
      <c r="F55" s="91"/>
      <c r="G55" s="91"/>
      <c r="H55" s="91"/>
      <c r="I55" s="91"/>
      <c r="J55" s="91"/>
      <c r="K55" s="91"/>
      <c r="L55" s="91"/>
      <c r="M55" s="91"/>
      <c r="N55" s="91"/>
      <c r="O55" s="91"/>
      <c r="P55" s="91"/>
      <c r="Q55" s="91"/>
      <c r="R55" s="91"/>
      <c r="S55" s="91"/>
      <c r="T55" s="109"/>
      <c r="U55" s="109"/>
      <c r="V55" s="109"/>
      <c r="W55" s="108"/>
      <c r="X55" s="108"/>
      <c r="Y55" s="91"/>
      <c r="Z55" s="186" t="e">
        <f t="array" ref="Z55">IF(E55="","",SUMPRODUCT(T55:V55,TRANSPOSE($V$4:$V$6)))</f>
        <v>#REF!</v>
      </c>
      <c r="AA55" s="109"/>
      <c r="AB55" s="91"/>
      <c r="AC55" s="91"/>
      <c r="AD55" s="91"/>
      <c r="AE55" s="91"/>
      <c r="AF55" s="91"/>
      <c r="AG55" s="91"/>
      <c r="AH55" s="91"/>
      <c r="AI55" s="112"/>
      <c r="AJ55" s="109"/>
      <c r="AK55" s="91"/>
      <c r="AL55" s="91"/>
      <c r="AM55" s="91"/>
      <c r="AN55" s="91"/>
      <c r="AO55" s="91"/>
      <c r="AP55" s="91"/>
      <c r="AQ55" s="91"/>
      <c r="AR55" s="91"/>
      <c r="AS55" s="91"/>
      <c r="AT55" s="91"/>
      <c r="AU55" s="110"/>
      <c r="AV55" s="85" t="e">
        <f t="shared" si="1"/>
        <v>#REF!</v>
      </c>
      <c r="AW55" s="85" t="e">
        <f t="shared" si="1"/>
        <v>#REF!</v>
      </c>
      <c r="AX55" s="85" t="e">
        <f t="shared" si="1"/>
        <v>#REF!</v>
      </c>
      <c r="BB55" s="85" t="s">
        <v>9</v>
      </c>
    </row>
    <row r="56" spans="1:54" ht="15.75" x14ac:dyDescent="0.2">
      <c r="A56" s="111" t="e">
        <f t="shared" si="2"/>
        <v>#REF!</v>
      </c>
      <c r="B56" s="88" t="e">
        <f>IF(OR(#REF!="",#REF!=0,#REF!=#REF!),"",#REF!)</f>
        <v>#REF!</v>
      </c>
      <c r="C56" s="107" t="e">
        <f t="shared" si="0"/>
        <v>#REF!</v>
      </c>
      <c r="D56" s="88" t="e">
        <f>IF(OR(#REF!="",#REF!=0,#REF!=#REF!),"",#REF!)</f>
        <v>#REF!</v>
      </c>
      <c r="E56" s="88" t="e">
        <f>IF($D56="","",#REF!)</f>
        <v>#REF!</v>
      </c>
      <c r="F56" s="91"/>
      <c r="G56" s="91"/>
      <c r="H56" s="91"/>
      <c r="I56" s="91"/>
      <c r="J56" s="91"/>
      <c r="K56" s="91"/>
      <c r="L56" s="91"/>
      <c r="M56" s="91"/>
      <c r="N56" s="91"/>
      <c r="O56" s="91"/>
      <c r="P56" s="91"/>
      <c r="Q56" s="91"/>
      <c r="R56" s="91"/>
      <c r="S56" s="91"/>
      <c r="T56" s="109"/>
      <c r="U56" s="109"/>
      <c r="V56" s="109"/>
      <c r="W56" s="108"/>
      <c r="X56" s="108"/>
      <c r="Y56" s="91"/>
      <c r="Z56" s="186" t="e">
        <f t="array" ref="Z56">IF(E56="","",SUMPRODUCT(T56:V56,TRANSPOSE($V$4:$V$6)))</f>
        <v>#REF!</v>
      </c>
      <c r="AA56" s="109"/>
      <c r="AB56" s="91"/>
      <c r="AC56" s="91"/>
      <c r="AD56" s="91"/>
      <c r="AE56" s="91"/>
      <c r="AF56" s="91"/>
      <c r="AG56" s="91"/>
      <c r="AH56" s="91"/>
      <c r="AI56" s="112"/>
      <c r="AJ56" s="109"/>
      <c r="AK56" s="91"/>
      <c r="AL56" s="91"/>
      <c r="AM56" s="91"/>
      <c r="AN56" s="91"/>
      <c r="AO56" s="91"/>
      <c r="AP56" s="91"/>
      <c r="AQ56" s="91"/>
      <c r="AR56" s="91"/>
      <c r="AS56" s="91"/>
      <c r="AT56" s="91"/>
      <c r="AU56" s="110"/>
      <c r="AV56" s="85" t="e">
        <f t="shared" si="1"/>
        <v>#REF!</v>
      </c>
      <c r="AW56" s="85" t="e">
        <f t="shared" si="1"/>
        <v>#REF!</v>
      </c>
      <c r="AX56" s="85" t="e">
        <f t="shared" si="1"/>
        <v>#REF!</v>
      </c>
      <c r="BB56" s="85" t="s">
        <v>11</v>
      </c>
    </row>
    <row r="57" spans="1:54" ht="15.75" x14ac:dyDescent="0.2">
      <c r="A57" s="111" t="e">
        <f t="shared" si="2"/>
        <v>#REF!</v>
      </c>
      <c r="B57" s="88" t="e">
        <f>IF(OR(#REF!="",#REF!=0,#REF!=#REF!),"",#REF!)</f>
        <v>#REF!</v>
      </c>
      <c r="C57" s="107" t="e">
        <f t="shared" si="0"/>
        <v>#REF!</v>
      </c>
      <c r="D57" s="88" t="e">
        <f>IF(OR(#REF!="",#REF!=0,#REF!=#REF!),"",#REF!)</f>
        <v>#REF!</v>
      </c>
      <c r="E57" s="88" t="e">
        <f>IF($D57="","",#REF!)</f>
        <v>#REF!</v>
      </c>
      <c r="F57" s="91"/>
      <c r="G57" s="91"/>
      <c r="H57" s="91"/>
      <c r="I57" s="91"/>
      <c r="J57" s="91"/>
      <c r="K57" s="91"/>
      <c r="L57" s="91"/>
      <c r="M57" s="91"/>
      <c r="N57" s="91"/>
      <c r="O57" s="91"/>
      <c r="P57" s="91"/>
      <c r="Q57" s="91"/>
      <c r="R57" s="91"/>
      <c r="S57" s="91"/>
      <c r="T57" s="109"/>
      <c r="U57" s="109"/>
      <c r="V57" s="109"/>
      <c r="W57" s="108"/>
      <c r="X57" s="108"/>
      <c r="Y57" s="91"/>
      <c r="Z57" s="186" t="e">
        <f t="array" ref="Z57">IF(E57="","",SUMPRODUCT(T57:V57,TRANSPOSE($V$4:$V$6)))</f>
        <v>#REF!</v>
      </c>
      <c r="AA57" s="109"/>
      <c r="AB57" s="91"/>
      <c r="AC57" s="91"/>
      <c r="AD57" s="91"/>
      <c r="AE57" s="91"/>
      <c r="AF57" s="91"/>
      <c r="AG57" s="91"/>
      <c r="AH57" s="91"/>
      <c r="AI57" s="112"/>
      <c r="AJ57" s="109"/>
      <c r="AK57" s="91"/>
      <c r="AL57" s="91"/>
      <c r="AM57" s="91"/>
      <c r="AN57" s="91"/>
      <c r="AO57" s="91"/>
      <c r="AP57" s="91"/>
      <c r="AQ57" s="91"/>
      <c r="AR57" s="91"/>
      <c r="AS57" s="91"/>
      <c r="AT57" s="91"/>
      <c r="AU57" s="110"/>
      <c r="AV57" s="85" t="e">
        <f t="shared" si="1"/>
        <v>#REF!</v>
      </c>
      <c r="AW57" s="85" t="e">
        <f t="shared" si="1"/>
        <v>#REF!</v>
      </c>
      <c r="AX57" s="85" t="e">
        <f t="shared" si="1"/>
        <v>#REF!</v>
      </c>
      <c r="BB57" s="85" t="s">
        <v>12</v>
      </c>
    </row>
    <row r="58" spans="1:54" ht="15.75" x14ac:dyDescent="0.2">
      <c r="A58" s="111" t="e">
        <f t="shared" si="2"/>
        <v>#REF!</v>
      </c>
      <c r="B58" s="88" t="e">
        <f>IF(OR(#REF!="",#REF!=0,#REF!=#REF!),"",#REF!)</f>
        <v>#REF!</v>
      </c>
      <c r="C58" s="107" t="e">
        <f t="shared" si="0"/>
        <v>#REF!</v>
      </c>
      <c r="D58" s="88" t="e">
        <f>IF(OR(#REF!="",#REF!=0,#REF!=#REF!),"",#REF!)</f>
        <v>#REF!</v>
      </c>
      <c r="E58" s="88" t="e">
        <f>IF($D58="","",#REF!)</f>
        <v>#REF!</v>
      </c>
      <c r="F58" s="91"/>
      <c r="G58" s="91"/>
      <c r="H58" s="91"/>
      <c r="I58" s="91"/>
      <c r="J58" s="91"/>
      <c r="K58" s="91"/>
      <c r="L58" s="91"/>
      <c r="M58" s="91"/>
      <c r="N58" s="91"/>
      <c r="O58" s="91"/>
      <c r="P58" s="91"/>
      <c r="Q58" s="91"/>
      <c r="R58" s="91"/>
      <c r="S58" s="91"/>
      <c r="T58" s="109"/>
      <c r="U58" s="109"/>
      <c r="V58" s="109"/>
      <c r="W58" s="108"/>
      <c r="X58" s="108"/>
      <c r="Y58" s="91"/>
      <c r="Z58" s="186" t="e">
        <f t="array" ref="Z58">IF(E58="","",SUMPRODUCT(T58:V58,TRANSPOSE($V$4:$V$6)))</f>
        <v>#REF!</v>
      </c>
      <c r="AA58" s="109"/>
      <c r="AB58" s="91"/>
      <c r="AC58" s="91"/>
      <c r="AD58" s="91"/>
      <c r="AE58" s="91"/>
      <c r="AF58" s="91"/>
      <c r="AG58" s="91"/>
      <c r="AH58" s="91"/>
      <c r="AI58" s="112"/>
      <c r="AJ58" s="109"/>
      <c r="AK58" s="91"/>
      <c r="AL58" s="91"/>
      <c r="AM58" s="91"/>
      <c r="AN58" s="91"/>
      <c r="AO58" s="91"/>
      <c r="AP58" s="91"/>
      <c r="AQ58" s="91"/>
      <c r="AR58" s="91"/>
      <c r="AS58" s="91"/>
      <c r="AT58" s="91"/>
      <c r="AU58" s="110"/>
      <c r="AV58" s="85" t="e">
        <f t="shared" si="1"/>
        <v>#REF!</v>
      </c>
      <c r="AW58" s="85" t="e">
        <f t="shared" si="1"/>
        <v>#REF!</v>
      </c>
      <c r="AX58" s="85" t="e">
        <f t="shared" si="1"/>
        <v>#REF!</v>
      </c>
      <c r="BB58" s="85" t="s">
        <v>14</v>
      </c>
    </row>
    <row r="59" spans="1:54" ht="15.75" x14ac:dyDescent="0.2">
      <c r="A59" s="111" t="e">
        <f t="shared" si="2"/>
        <v>#REF!</v>
      </c>
      <c r="B59" s="88" t="e">
        <f>IF(OR(#REF!="",#REF!=0,#REF!=#REF!),"",#REF!)</f>
        <v>#REF!</v>
      </c>
      <c r="C59" s="107" t="e">
        <f t="shared" si="0"/>
        <v>#REF!</v>
      </c>
      <c r="D59" s="88" t="e">
        <f>IF(OR(#REF!="",#REF!=0,#REF!=#REF!),"",#REF!)</f>
        <v>#REF!</v>
      </c>
      <c r="E59" s="88" t="e">
        <f>IF($D59="","",#REF!)</f>
        <v>#REF!</v>
      </c>
      <c r="F59" s="91"/>
      <c r="G59" s="91"/>
      <c r="H59" s="91"/>
      <c r="I59" s="91"/>
      <c r="J59" s="91"/>
      <c r="K59" s="91"/>
      <c r="L59" s="91"/>
      <c r="M59" s="91"/>
      <c r="N59" s="91"/>
      <c r="O59" s="91"/>
      <c r="P59" s="91"/>
      <c r="Q59" s="91"/>
      <c r="R59" s="91"/>
      <c r="S59" s="91"/>
      <c r="T59" s="109"/>
      <c r="U59" s="109"/>
      <c r="V59" s="109"/>
      <c r="W59" s="108"/>
      <c r="X59" s="108"/>
      <c r="Y59" s="91"/>
      <c r="Z59" s="186" t="e">
        <f t="array" ref="Z59">IF(E59="","",SUMPRODUCT(T59:V59,TRANSPOSE($V$4:$V$6)))</f>
        <v>#REF!</v>
      </c>
      <c r="AA59" s="109"/>
      <c r="AB59" s="91"/>
      <c r="AC59" s="91"/>
      <c r="AD59" s="91"/>
      <c r="AE59" s="91"/>
      <c r="AF59" s="91"/>
      <c r="AG59" s="91"/>
      <c r="AH59" s="91"/>
      <c r="AI59" s="112"/>
      <c r="AJ59" s="109"/>
      <c r="AK59" s="91"/>
      <c r="AL59" s="91"/>
      <c r="AM59" s="91"/>
      <c r="AN59" s="91"/>
      <c r="AO59" s="91"/>
      <c r="AP59" s="91"/>
      <c r="AQ59" s="91"/>
      <c r="AR59" s="91"/>
      <c r="AS59" s="91"/>
      <c r="AT59" s="91"/>
      <c r="AU59" s="110"/>
      <c r="AV59" s="85" t="e">
        <f t="shared" si="1"/>
        <v>#REF!</v>
      </c>
      <c r="AW59" s="85" t="e">
        <f t="shared" si="1"/>
        <v>#REF!</v>
      </c>
      <c r="AX59" s="85" t="e">
        <f t="shared" si="1"/>
        <v>#REF!</v>
      </c>
      <c r="BB59" s="85" t="s">
        <v>15</v>
      </c>
    </row>
    <row r="60" spans="1:54" ht="15.75" x14ac:dyDescent="0.2">
      <c r="A60" s="111" t="e">
        <f t="shared" si="2"/>
        <v>#REF!</v>
      </c>
      <c r="B60" s="88" t="e">
        <f>IF(OR(#REF!="",#REF!=0,#REF!=#REF!),"",#REF!)</f>
        <v>#REF!</v>
      </c>
      <c r="C60" s="107" t="e">
        <f t="shared" si="0"/>
        <v>#REF!</v>
      </c>
      <c r="D60" s="88" t="e">
        <f>IF(OR(#REF!="",#REF!=0,#REF!=#REF!),"",#REF!)</f>
        <v>#REF!</v>
      </c>
      <c r="E60" s="88" t="e">
        <f>IF($D60="","",#REF!)</f>
        <v>#REF!</v>
      </c>
      <c r="F60" s="91"/>
      <c r="G60" s="91"/>
      <c r="H60" s="91"/>
      <c r="I60" s="91"/>
      <c r="J60" s="91"/>
      <c r="K60" s="91"/>
      <c r="L60" s="91"/>
      <c r="M60" s="91"/>
      <c r="N60" s="91"/>
      <c r="O60" s="91"/>
      <c r="P60" s="91"/>
      <c r="Q60" s="91"/>
      <c r="R60" s="91"/>
      <c r="S60" s="91"/>
      <c r="T60" s="109"/>
      <c r="U60" s="109"/>
      <c r="V60" s="109"/>
      <c r="W60" s="108"/>
      <c r="X60" s="108"/>
      <c r="Y60" s="91"/>
      <c r="Z60" s="186" t="e">
        <f t="array" ref="Z60">IF(E60="","",SUMPRODUCT(T60:V60,TRANSPOSE($V$4:$V$6)))</f>
        <v>#REF!</v>
      </c>
      <c r="AA60" s="109"/>
      <c r="AB60" s="91"/>
      <c r="AC60" s="91"/>
      <c r="AD60" s="91"/>
      <c r="AE60" s="91"/>
      <c r="AF60" s="91"/>
      <c r="AG60" s="91"/>
      <c r="AH60" s="91"/>
      <c r="AI60" s="112"/>
      <c r="AJ60" s="109"/>
      <c r="AK60" s="91"/>
      <c r="AL60" s="91"/>
      <c r="AM60" s="91"/>
      <c r="AN60" s="91"/>
      <c r="AO60" s="91"/>
      <c r="AP60" s="91"/>
      <c r="AQ60" s="91"/>
      <c r="AR60" s="91"/>
      <c r="AS60" s="91"/>
      <c r="AT60" s="91"/>
      <c r="AU60" s="110"/>
      <c r="AV60" s="85" t="e">
        <f t="shared" si="1"/>
        <v>#REF!</v>
      </c>
      <c r="AW60" s="85" t="e">
        <f t="shared" si="1"/>
        <v>#REF!</v>
      </c>
      <c r="AX60" s="85" t="e">
        <f t="shared" si="1"/>
        <v>#REF!</v>
      </c>
      <c r="BB60" s="85" t="s">
        <v>225</v>
      </c>
    </row>
    <row r="61" spans="1:54" ht="15.75" x14ac:dyDescent="0.2">
      <c r="A61" s="111" t="e">
        <f t="shared" si="2"/>
        <v>#REF!</v>
      </c>
      <c r="B61" s="88" t="e">
        <f>IF(OR(#REF!="",#REF!=0,#REF!=#REF!),"",#REF!)</f>
        <v>#REF!</v>
      </c>
      <c r="C61" s="107" t="e">
        <f t="shared" si="0"/>
        <v>#REF!</v>
      </c>
      <c r="D61" s="88" t="e">
        <f>IF(OR(#REF!="",#REF!=0,#REF!=#REF!),"",#REF!)</f>
        <v>#REF!</v>
      </c>
      <c r="E61" s="88" t="e">
        <f>IF($D61="","",#REF!)</f>
        <v>#REF!</v>
      </c>
      <c r="F61" s="91"/>
      <c r="G61" s="91"/>
      <c r="H61" s="91"/>
      <c r="I61" s="91"/>
      <c r="J61" s="91"/>
      <c r="K61" s="91"/>
      <c r="L61" s="91"/>
      <c r="M61" s="91"/>
      <c r="N61" s="91"/>
      <c r="O61" s="91"/>
      <c r="P61" s="91"/>
      <c r="Q61" s="91"/>
      <c r="R61" s="91"/>
      <c r="S61" s="91"/>
      <c r="T61" s="109"/>
      <c r="U61" s="109"/>
      <c r="V61" s="109"/>
      <c r="W61" s="108"/>
      <c r="X61" s="108"/>
      <c r="Y61" s="91"/>
      <c r="Z61" s="186" t="e">
        <f t="array" ref="Z61">IF(E61="","",SUMPRODUCT(T61:V61,TRANSPOSE($V$4:$V$6)))</f>
        <v>#REF!</v>
      </c>
      <c r="AA61" s="109"/>
      <c r="AB61" s="91"/>
      <c r="AC61" s="91"/>
      <c r="AD61" s="91"/>
      <c r="AE61" s="91"/>
      <c r="AF61" s="91"/>
      <c r="AG61" s="91"/>
      <c r="AH61" s="91"/>
      <c r="AI61" s="112"/>
      <c r="AJ61" s="109"/>
      <c r="AK61" s="91"/>
      <c r="AL61" s="91"/>
      <c r="AM61" s="91"/>
      <c r="AN61" s="91"/>
      <c r="AO61" s="91"/>
      <c r="AP61" s="91"/>
      <c r="AQ61" s="91"/>
      <c r="AR61" s="91"/>
      <c r="AS61" s="91"/>
      <c r="AT61" s="91"/>
      <c r="AU61" s="110"/>
      <c r="AV61" s="85" t="e">
        <f t="shared" si="1"/>
        <v>#REF!</v>
      </c>
      <c r="AW61" s="85" t="e">
        <f t="shared" si="1"/>
        <v>#REF!</v>
      </c>
      <c r="AX61" s="85" t="e">
        <f t="shared" si="1"/>
        <v>#REF!</v>
      </c>
      <c r="BB61" s="85" t="s">
        <v>226</v>
      </c>
    </row>
    <row r="62" spans="1:54" ht="15.75" x14ac:dyDescent="0.2">
      <c r="A62" s="111" t="e">
        <f t="shared" si="2"/>
        <v>#REF!</v>
      </c>
      <c r="B62" s="88" t="e">
        <f>IF(OR(#REF!="",#REF!=0,#REF!=#REF!),"",#REF!)</f>
        <v>#REF!</v>
      </c>
      <c r="C62" s="107" t="e">
        <f t="shared" si="0"/>
        <v>#REF!</v>
      </c>
      <c r="D62" s="88" t="e">
        <f>IF(OR(#REF!="",#REF!=0,#REF!=#REF!),"",#REF!)</f>
        <v>#REF!</v>
      </c>
      <c r="E62" s="88" t="e">
        <f>IF($D62="","",#REF!)</f>
        <v>#REF!</v>
      </c>
      <c r="F62" s="91"/>
      <c r="G62" s="91"/>
      <c r="H62" s="91"/>
      <c r="I62" s="91"/>
      <c r="J62" s="91"/>
      <c r="K62" s="91"/>
      <c r="L62" s="91"/>
      <c r="M62" s="91"/>
      <c r="N62" s="91"/>
      <c r="O62" s="91"/>
      <c r="P62" s="91"/>
      <c r="Q62" s="91"/>
      <c r="R62" s="91"/>
      <c r="S62" s="91"/>
      <c r="T62" s="109"/>
      <c r="U62" s="109"/>
      <c r="V62" s="109"/>
      <c r="W62" s="108"/>
      <c r="X62" s="108"/>
      <c r="Y62" s="91"/>
      <c r="Z62" s="186" t="e">
        <f t="array" ref="Z62">IF(E62="","",SUMPRODUCT(T62:V62,TRANSPOSE($V$4:$V$6)))</f>
        <v>#REF!</v>
      </c>
      <c r="AA62" s="109"/>
      <c r="AB62" s="91"/>
      <c r="AC62" s="91"/>
      <c r="AD62" s="91"/>
      <c r="AE62" s="91"/>
      <c r="AF62" s="91"/>
      <c r="AG62" s="91"/>
      <c r="AH62" s="91"/>
      <c r="AI62" s="113"/>
      <c r="AJ62" s="109"/>
      <c r="AK62" s="91"/>
      <c r="AL62" s="91"/>
      <c r="AM62" s="91"/>
      <c r="AN62" s="91"/>
      <c r="AO62" s="91"/>
      <c r="AP62" s="91"/>
      <c r="AQ62" s="91"/>
      <c r="AR62" s="91"/>
      <c r="AS62" s="91"/>
      <c r="AT62" s="91"/>
      <c r="AU62" s="110"/>
      <c r="AV62" s="85" t="e">
        <f t="shared" si="1"/>
        <v>#REF!</v>
      </c>
      <c r="AW62" s="85" t="e">
        <f t="shared" si="1"/>
        <v>#REF!</v>
      </c>
      <c r="AX62" s="85" t="e">
        <f t="shared" si="1"/>
        <v>#REF!</v>
      </c>
      <c r="BB62" s="85" t="s">
        <v>228</v>
      </c>
    </row>
    <row r="63" spans="1:54" ht="15.75" x14ac:dyDescent="0.2">
      <c r="A63" s="111" t="e">
        <f t="shared" si="2"/>
        <v>#REF!</v>
      </c>
      <c r="B63" s="88" t="e">
        <f>IF(OR(#REF!="",#REF!=0,#REF!=#REF!),"",#REF!)</f>
        <v>#REF!</v>
      </c>
      <c r="C63" s="107" t="e">
        <f t="shared" si="0"/>
        <v>#REF!</v>
      </c>
      <c r="D63" s="88" t="e">
        <f>IF(OR(#REF!="",#REF!=0,#REF!=#REF!),"",#REF!)</f>
        <v>#REF!</v>
      </c>
      <c r="E63" s="88" t="e">
        <f>IF($D63="","",#REF!)</f>
        <v>#REF!</v>
      </c>
      <c r="F63" s="91"/>
      <c r="G63" s="91"/>
      <c r="H63" s="91"/>
      <c r="I63" s="91"/>
      <c r="J63" s="91"/>
      <c r="K63" s="91"/>
      <c r="L63" s="91"/>
      <c r="M63" s="91"/>
      <c r="N63" s="91"/>
      <c r="O63" s="91"/>
      <c r="P63" s="91"/>
      <c r="Q63" s="91"/>
      <c r="R63" s="91"/>
      <c r="S63" s="91"/>
      <c r="T63" s="109"/>
      <c r="U63" s="109"/>
      <c r="V63" s="109"/>
      <c r="W63" s="108"/>
      <c r="X63" s="108"/>
      <c r="Y63" s="91"/>
      <c r="Z63" s="186" t="e">
        <f t="array" ref="Z63">IF(E63="","",SUMPRODUCT(T63:V63,TRANSPOSE($V$4:$V$6)))</f>
        <v>#REF!</v>
      </c>
      <c r="AA63" s="109"/>
      <c r="AB63" s="91"/>
      <c r="AC63" s="91"/>
      <c r="AD63" s="91"/>
      <c r="AE63" s="91"/>
      <c r="AF63" s="91"/>
      <c r="AG63" s="91"/>
      <c r="AH63" s="91"/>
      <c r="AI63" s="113"/>
      <c r="AJ63" s="109"/>
      <c r="AK63" s="91"/>
      <c r="AL63" s="91"/>
      <c r="AM63" s="91"/>
      <c r="AN63" s="91"/>
      <c r="AO63" s="91"/>
      <c r="AP63" s="91"/>
      <c r="AQ63" s="91"/>
      <c r="AR63" s="91"/>
      <c r="AS63" s="91"/>
      <c r="AT63" s="91"/>
      <c r="AU63" s="110"/>
      <c r="AV63" s="85" t="e">
        <f t="shared" si="1"/>
        <v>#REF!</v>
      </c>
      <c r="AW63" s="85" t="e">
        <f t="shared" si="1"/>
        <v>#REF!</v>
      </c>
      <c r="AX63" s="85" t="e">
        <f t="shared" ref="AV63:AX126" si="3">IF($E63="","",AX$18)</f>
        <v>#REF!</v>
      </c>
      <c r="BB63" s="85" t="s">
        <v>227</v>
      </c>
    </row>
    <row r="64" spans="1:54" ht="15.75" x14ac:dyDescent="0.2">
      <c r="A64" s="111" t="e">
        <f t="shared" si="2"/>
        <v>#REF!</v>
      </c>
      <c r="B64" s="88" t="e">
        <f>IF(OR(#REF!="",#REF!=0,#REF!=#REF!),"",#REF!)</f>
        <v>#REF!</v>
      </c>
      <c r="C64" s="107" t="e">
        <f t="shared" si="0"/>
        <v>#REF!</v>
      </c>
      <c r="D64" s="88" t="e">
        <f>IF(OR(#REF!="",#REF!=0,#REF!=#REF!),"",#REF!)</f>
        <v>#REF!</v>
      </c>
      <c r="E64" s="88" t="e">
        <f>IF($D64="","",#REF!)</f>
        <v>#REF!</v>
      </c>
      <c r="F64" s="91"/>
      <c r="G64" s="91"/>
      <c r="H64" s="91"/>
      <c r="I64" s="91"/>
      <c r="J64" s="91"/>
      <c r="K64" s="91"/>
      <c r="L64" s="91"/>
      <c r="M64" s="91"/>
      <c r="N64" s="91"/>
      <c r="O64" s="91"/>
      <c r="P64" s="91"/>
      <c r="Q64" s="91"/>
      <c r="R64" s="91"/>
      <c r="S64" s="91"/>
      <c r="T64" s="109"/>
      <c r="U64" s="109"/>
      <c r="V64" s="109"/>
      <c r="W64" s="114"/>
      <c r="X64" s="114"/>
      <c r="Y64" s="91"/>
      <c r="Z64" s="186" t="e">
        <f t="array" ref="Z64">IF(E64="","",SUMPRODUCT(T64:V64,TRANSPOSE($V$4:$V$6)))</f>
        <v>#REF!</v>
      </c>
      <c r="AA64" s="109"/>
      <c r="AB64" s="91"/>
      <c r="AC64" s="91"/>
      <c r="AD64" s="91"/>
      <c r="AE64" s="91"/>
      <c r="AF64" s="91"/>
      <c r="AG64" s="91"/>
      <c r="AH64" s="91"/>
      <c r="AI64" s="112"/>
      <c r="AJ64" s="109"/>
      <c r="AK64" s="91"/>
      <c r="AL64" s="91"/>
      <c r="AM64" s="91"/>
      <c r="AN64" s="91"/>
      <c r="AO64" s="91"/>
      <c r="AP64" s="91"/>
      <c r="AQ64" s="91"/>
      <c r="AR64" s="91"/>
      <c r="AS64" s="91"/>
      <c r="AT64" s="91"/>
      <c r="AU64" s="110"/>
      <c r="AV64" s="85" t="e">
        <f t="shared" si="3"/>
        <v>#REF!</v>
      </c>
      <c r="AW64" s="85" t="e">
        <f t="shared" si="3"/>
        <v>#REF!</v>
      </c>
      <c r="AX64" s="85" t="e">
        <f t="shared" si="3"/>
        <v>#REF!</v>
      </c>
      <c r="BB64" s="85" t="s">
        <v>25</v>
      </c>
    </row>
    <row r="65" spans="1:54" ht="15.75" x14ac:dyDescent="0.2">
      <c r="A65" s="111" t="e">
        <f t="shared" si="2"/>
        <v>#REF!</v>
      </c>
      <c r="B65" s="88" t="e">
        <f>IF(OR(#REF!="",#REF!=0,#REF!=#REF!),"",#REF!)</f>
        <v>#REF!</v>
      </c>
      <c r="C65" s="107" t="e">
        <f t="shared" si="0"/>
        <v>#REF!</v>
      </c>
      <c r="D65" s="88" t="e">
        <f>IF(OR(#REF!="",#REF!=0,#REF!=#REF!),"",#REF!)</f>
        <v>#REF!</v>
      </c>
      <c r="E65" s="88" t="e">
        <f>IF($D65="","",#REF!)</f>
        <v>#REF!</v>
      </c>
      <c r="F65" s="91"/>
      <c r="G65" s="91"/>
      <c r="H65" s="91"/>
      <c r="I65" s="91"/>
      <c r="J65" s="91"/>
      <c r="K65" s="91"/>
      <c r="L65" s="91"/>
      <c r="M65" s="91"/>
      <c r="N65" s="91"/>
      <c r="O65" s="91"/>
      <c r="P65" s="91"/>
      <c r="Q65" s="91"/>
      <c r="R65" s="91"/>
      <c r="S65" s="91"/>
      <c r="T65" s="109"/>
      <c r="U65" s="109"/>
      <c r="V65" s="109"/>
      <c r="W65" s="108"/>
      <c r="X65" s="108"/>
      <c r="Y65" s="91"/>
      <c r="Z65" s="186" t="e">
        <f t="array" ref="Z65">IF(E65="","",SUMPRODUCT(T65:V65,TRANSPOSE($V$4:$V$6)))</f>
        <v>#REF!</v>
      </c>
      <c r="AA65" s="109"/>
      <c r="AB65" s="91"/>
      <c r="AC65" s="91"/>
      <c r="AD65" s="91"/>
      <c r="AE65" s="91"/>
      <c r="AF65" s="91"/>
      <c r="AG65" s="91"/>
      <c r="AH65" s="91"/>
      <c r="AI65" s="112"/>
      <c r="AJ65" s="109"/>
      <c r="AK65" s="91"/>
      <c r="AL65" s="91"/>
      <c r="AM65" s="91"/>
      <c r="AN65" s="91"/>
      <c r="AO65" s="91"/>
      <c r="AP65" s="91"/>
      <c r="AQ65" s="91"/>
      <c r="AR65" s="91"/>
      <c r="AS65" s="91"/>
      <c r="AT65" s="91"/>
      <c r="AU65" s="110"/>
      <c r="AV65" s="85" t="e">
        <f t="shared" si="3"/>
        <v>#REF!</v>
      </c>
      <c r="AW65" s="85" t="e">
        <f t="shared" si="3"/>
        <v>#REF!</v>
      </c>
      <c r="AX65" s="85" t="e">
        <f t="shared" si="3"/>
        <v>#REF!</v>
      </c>
      <c r="BB65" s="85" t="s">
        <v>23</v>
      </c>
    </row>
    <row r="66" spans="1:54" ht="15.75" x14ac:dyDescent="0.2">
      <c r="A66" s="111" t="e">
        <f t="shared" si="2"/>
        <v>#REF!</v>
      </c>
      <c r="B66" s="88" t="e">
        <f>IF(OR(#REF!="",#REF!=0,#REF!=#REF!),"",#REF!)</f>
        <v>#REF!</v>
      </c>
      <c r="C66" s="107" t="e">
        <f t="shared" si="0"/>
        <v>#REF!</v>
      </c>
      <c r="D66" s="88" t="e">
        <f>IF(OR(#REF!="",#REF!=0,#REF!=#REF!),"",#REF!)</f>
        <v>#REF!</v>
      </c>
      <c r="E66" s="88" t="e">
        <f>IF($D66="","",#REF!)</f>
        <v>#REF!</v>
      </c>
      <c r="F66" s="91"/>
      <c r="G66" s="91"/>
      <c r="H66" s="91"/>
      <c r="I66" s="91"/>
      <c r="J66" s="91"/>
      <c r="K66" s="91"/>
      <c r="L66" s="91"/>
      <c r="M66" s="91"/>
      <c r="N66" s="91"/>
      <c r="O66" s="91"/>
      <c r="P66" s="91"/>
      <c r="Q66" s="91"/>
      <c r="R66" s="91"/>
      <c r="S66" s="91"/>
      <c r="T66" s="109"/>
      <c r="U66" s="109"/>
      <c r="V66" s="109"/>
      <c r="W66" s="108"/>
      <c r="X66" s="108"/>
      <c r="Y66" s="91"/>
      <c r="Z66" s="186" t="e">
        <f t="array" ref="Z66">IF(E66="","",SUMPRODUCT(T66:V66,TRANSPOSE($V$4:$V$6)))</f>
        <v>#REF!</v>
      </c>
      <c r="AA66" s="109"/>
      <c r="AB66" s="91"/>
      <c r="AC66" s="91"/>
      <c r="AD66" s="91"/>
      <c r="AE66" s="91"/>
      <c r="AF66" s="91"/>
      <c r="AG66" s="91"/>
      <c r="AH66" s="91"/>
      <c r="AI66" s="112"/>
      <c r="AJ66" s="109"/>
      <c r="AK66" s="91"/>
      <c r="AL66" s="91"/>
      <c r="AM66" s="91"/>
      <c r="AN66" s="91"/>
      <c r="AO66" s="91"/>
      <c r="AP66" s="91"/>
      <c r="AQ66" s="91"/>
      <c r="AR66" s="91"/>
      <c r="AS66" s="91"/>
      <c r="AT66" s="91"/>
      <c r="AU66" s="110"/>
      <c r="AV66" s="85" t="e">
        <f t="shared" si="3"/>
        <v>#REF!</v>
      </c>
      <c r="AW66" s="85" t="e">
        <f t="shared" si="3"/>
        <v>#REF!</v>
      </c>
      <c r="AX66" s="85" t="e">
        <f t="shared" si="3"/>
        <v>#REF!</v>
      </c>
      <c r="BB66" s="85" t="s">
        <v>24</v>
      </c>
    </row>
    <row r="67" spans="1:54" ht="15.75" x14ac:dyDescent="0.2">
      <c r="A67" s="111" t="e">
        <f t="shared" si="2"/>
        <v>#REF!</v>
      </c>
      <c r="B67" s="88" t="e">
        <f>IF(OR(#REF!="",#REF!=0,#REF!=#REF!),"",#REF!)</f>
        <v>#REF!</v>
      </c>
      <c r="C67" s="107" t="e">
        <f t="shared" si="0"/>
        <v>#REF!</v>
      </c>
      <c r="D67" s="88" t="e">
        <f>IF(OR(#REF!="",#REF!=0,#REF!=#REF!),"",#REF!)</f>
        <v>#REF!</v>
      </c>
      <c r="E67" s="88" t="e">
        <f>IF($D67="","",#REF!)</f>
        <v>#REF!</v>
      </c>
      <c r="F67" s="91"/>
      <c r="G67" s="91"/>
      <c r="H67" s="91"/>
      <c r="I67" s="91"/>
      <c r="J67" s="91"/>
      <c r="K67" s="91"/>
      <c r="L67" s="91"/>
      <c r="M67" s="91"/>
      <c r="N67" s="91"/>
      <c r="O67" s="91"/>
      <c r="P67" s="91"/>
      <c r="Q67" s="91"/>
      <c r="R67" s="91"/>
      <c r="S67" s="91"/>
      <c r="T67" s="109"/>
      <c r="U67" s="109"/>
      <c r="V67" s="109"/>
      <c r="W67" s="108"/>
      <c r="X67" s="108"/>
      <c r="Y67" s="91"/>
      <c r="Z67" s="186" t="e">
        <f t="array" ref="Z67">IF(E67="","",SUMPRODUCT(T67:V67,TRANSPOSE($V$4:$V$6)))</f>
        <v>#REF!</v>
      </c>
      <c r="AA67" s="109"/>
      <c r="AB67" s="91"/>
      <c r="AC67" s="91"/>
      <c r="AD67" s="91"/>
      <c r="AE67" s="91"/>
      <c r="AF67" s="91"/>
      <c r="AG67" s="91"/>
      <c r="AH67" s="91"/>
      <c r="AI67" s="112"/>
      <c r="AJ67" s="109"/>
      <c r="AK67" s="91"/>
      <c r="AL67" s="91"/>
      <c r="AM67" s="91"/>
      <c r="AN67" s="91"/>
      <c r="AO67" s="91"/>
      <c r="AP67" s="91"/>
      <c r="AQ67" s="91"/>
      <c r="AR67" s="91"/>
      <c r="AS67" s="91"/>
      <c r="AT67" s="91"/>
      <c r="AU67" s="110"/>
      <c r="AV67" s="85" t="e">
        <f t="shared" si="3"/>
        <v>#REF!</v>
      </c>
      <c r="AW67" s="85" t="e">
        <f t="shared" si="3"/>
        <v>#REF!</v>
      </c>
      <c r="AX67" s="85" t="e">
        <f t="shared" si="3"/>
        <v>#REF!</v>
      </c>
      <c r="BB67" s="85" t="s">
        <v>31</v>
      </c>
    </row>
    <row r="68" spans="1:54" ht="15.75" x14ac:dyDescent="0.2">
      <c r="A68" s="111" t="e">
        <f t="shared" si="2"/>
        <v>#REF!</v>
      </c>
      <c r="B68" s="88" t="e">
        <f>IF(OR(#REF!="",#REF!=0,#REF!=#REF!),"",#REF!)</f>
        <v>#REF!</v>
      </c>
      <c r="C68" s="107" t="e">
        <f t="shared" si="0"/>
        <v>#REF!</v>
      </c>
      <c r="D68" s="88" t="e">
        <f>IF(OR(#REF!="",#REF!=0,#REF!=#REF!),"",#REF!)</f>
        <v>#REF!</v>
      </c>
      <c r="E68" s="88" t="e">
        <f>IF($D68="","",#REF!)</f>
        <v>#REF!</v>
      </c>
      <c r="F68" s="91"/>
      <c r="G68" s="91"/>
      <c r="H68" s="91"/>
      <c r="I68" s="91"/>
      <c r="J68" s="91"/>
      <c r="K68" s="91"/>
      <c r="L68" s="91"/>
      <c r="M68" s="91"/>
      <c r="N68" s="91"/>
      <c r="O68" s="91"/>
      <c r="P68" s="91"/>
      <c r="Q68" s="91"/>
      <c r="R68" s="91"/>
      <c r="S68" s="91"/>
      <c r="T68" s="109"/>
      <c r="U68" s="109"/>
      <c r="V68" s="109"/>
      <c r="W68" s="108"/>
      <c r="X68" s="108"/>
      <c r="Y68" s="91"/>
      <c r="Z68" s="186" t="e">
        <f t="array" ref="Z68">IF(E68="","",SUMPRODUCT(T68:V68,TRANSPOSE($V$4:$V$6)))</f>
        <v>#REF!</v>
      </c>
      <c r="AA68" s="109"/>
      <c r="AB68" s="91"/>
      <c r="AC68" s="91"/>
      <c r="AD68" s="91"/>
      <c r="AE68" s="91"/>
      <c r="AF68" s="91"/>
      <c r="AG68" s="91"/>
      <c r="AH68" s="91"/>
      <c r="AI68" s="112"/>
      <c r="AJ68" s="109"/>
      <c r="AK68" s="91"/>
      <c r="AL68" s="91"/>
      <c r="AM68" s="91"/>
      <c r="AN68" s="91"/>
      <c r="AO68" s="91"/>
      <c r="AP68" s="91"/>
      <c r="AQ68" s="91"/>
      <c r="AR68" s="91"/>
      <c r="AS68" s="91"/>
      <c r="AT68" s="91"/>
      <c r="AU68" s="110"/>
      <c r="AV68" s="85" t="e">
        <f t="shared" si="3"/>
        <v>#REF!</v>
      </c>
      <c r="AW68" s="85" t="e">
        <f t="shared" si="3"/>
        <v>#REF!</v>
      </c>
      <c r="AX68" s="85" t="e">
        <f t="shared" si="3"/>
        <v>#REF!</v>
      </c>
      <c r="BB68" s="85" t="s">
        <v>32</v>
      </c>
    </row>
    <row r="69" spans="1:54" ht="15.75" x14ac:dyDescent="0.2">
      <c r="A69" s="111" t="e">
        <f t="shared" si="2"/>
        <v>#REF!</v>
      </c>
      <c r="B69" s="88" t="e">
        <f>IF(OR(#REF!="",#REF!=0,#REF!=#REF!),"",#REF!)</f>
        <v>#REF!</v>
      </c>
      <c r="C69" s="107" t="e">
        <f t="shared" si="0"/>
        <v>#REF!</v>
      </c>
      <c r="D69" s="88" t="e">
        <f>IF(OR(#REF!="",#REF!=0,#REF!=#REF!),"",#REF!)</f>
        <v>#REF!</v>
      </c>
      <c r="E69" s="88" t="e">
        <f>IF($D69="","",#REF!)</f>
        <v>#REF!</v>
      </c>
      <c r="F69" s="91"/>
      <c r="G69" s="91"/>
      <c r="H69" s="91"/>
      <c r="I69" s="91"/>
      <c r="J69" s="91"/>
      <c r="K69" s="91"/>
      <c r="L69" s="91"/>
      <c r="M69" s="91"/>
      <c r="N69" s="91"/>
      <c r="O69" s="91"/>
      <c r="P69" s="91"/>
      <c r="Q69" s="91"/>
      <c r="R69" s="91"/>
      <c r="S69" s="91"/>
      <c r="T69" s="109"/>
      <c r="U69" s="109"/>
      <c r="V69" s="109"/>
      <c r="W69" s="108"/>
      <c r="X69" s="108"/>
      <c r="Y69" s="91"/>
      <c r="Z69" s="186" t="e">
        <f t="array" ref="Z69">IF(E69="","",SUMPRODUCT(T69:V69,TRANSPOSE($V$4:$V$6)))</f>
        <v>#REF!</v>
      </c>
      <c r="AA69" s="109"/>
      <c r="AB69" s="91"/>
      <c r="AC69" s="91"/>
      <c r="AD69" s="91"/>
      <c r="AE69" s="91"/>
      <c r="AF69" s="91"/>
      <c r="AG69" s="91"/>
      <c r="AH69" s="91"/>
      <c r="AI69" s="113"/>
      <c r="AJ69" s="109"/>
      <c r="AK69" s="91"/>
      <c r="AL69" s="91"/>
      <c r="AM69" s="91"/>
      <c r="AN69" s="91"/>
      <c r="AO69" s="91"/>
      <c r="AP69" s="91"/>
      <c r="AQ69" s="91"/>
      <c r="AR69" s="91"/>
      <c r="AS69" s="91"/>
      <c r="AT69" s="91"/>
      <c r="AU69" s="110"/>
      <c r="AV69" s="85" t="e">
        <f t="shared" si="3"/>
        <v>#REF!</v>
      </c>
      <c r="AW69" s="85" t="e">
        <f t="shared" si="3"/>
        <v>#REF!</v>
      </c>
      <c r="AX69" s="85" t="e">
        <f t="shared" si="3"/>
        <v>#REF!</v>
      </c>
      <c r="BB69" s="85" t="s">
        <v>33</v>
      </c>
    </row>
    <row r="70" spans="1:54" ht="15.75" x14ac:dyDescent="0.2">
      <c r="A70" s="111" t="e">
        <f t="shared" si="2"/>
        <v>#REF!</v>
      </c>
      <c r="B70" s="88" t="e">
        <f>IF(OR(#REF!="",#REF!=0,#REF!=#REF!),"",#REF!)</f>
        <v>#REF!</v>
      </c>
      <c r="C70" s="107" t="e">
        <f t="shared" si="0"/>
        <v>#REF!</v>
      </c>
      <c r="D70" s="88" t="e">
        <f>IF(OR(#REF!="",#REF!=0,#REF!=#REF!),"",#REF!)</f>
        <v>#REF!</v>
      </c>
      <c r="E70" s="88" t="e">
        <f>IF($D70="","",#REF!)</f>
        <v>#REF!</v>
      </c>
      <c r="F70" s="91"/>
      <c r="G70" s="91"/>
      <c r="H70" s="91"/>
      <c r="I70" s="91"/>
      <c r="J70" s="91"/>
      <c r="K70" s="91"/>
      <c r="L70" s="91"/>
      <c r="M70" s="91"/>
      <c r="N70" s="91"/>
      <c r="O70" s="91"/>
      <c r="P70" s="91"/>
      <c r="Q70" s="91"/>
      <c r="R70" s="91"/>
      <c r="S70" s="91"/>
      <c r="T70" s="109"/>
      <c r="U70" s="109"/>
      <c r="V70" s="109"/>
      <c r="W70" s="108"/>
      <c r="X70" s="108"/>
      <c r="Y70" s="91"/>
      <c r="Z70" s="186" t="e">
        <f t="array" ref="Z70">IF(E70="","",SUMPRODUCT(T70:V70,TRANSPOSE($V$4:$V$6)))</f>
        <v>#REF!</v>
      </c>
      <c r="AA70" s="109"/>
      <c r="AB70" s="91"/>
      <c r="AC70" s="91"/>
      <c r="AD70" s="91"/>
      <c r="AE70" s="91"/>
      <c r="AF70" s="91"/>
      <c r="AG70" s="91"/>
      <c r="AH70" s="91"/>
      <c r="AI70" s="113"/>
      <c r="AJ70" s="109"/>
      <c r="AK70" s="91"/>
      <c r="AL70" s="91"/>
      <c r="AM70" s="91"/>
      <c r="AN70" s="91"/>
      <c r="AO70" s="91"/>
      <c r="AP70" s="91"/>
      <c r="AQ70" s="91"/>
      <c r="AR70" s="91"/>
      <c r="AS70" s="91"/>
      <c r="AT70" s="91"/>
      <c r="AU70" s="110"/>
      <c r="AV70" s="85" t="e">
        <f t="shared" si="3"/>
        <v>#REF!</v>
      </c>
      <c r="AW70" s="85" t="e">
        <f t="shared" si="3"/>
        <v>#REF!</v>
      </c>
      <c r="AX70" s="85" t="e">
        <f t="shared" si="3"/>
        <v>#REF!</v>
      </c>
      <c r="BB70" s="85" t="s">
        <v>35</v>
      </c>
    </row>
    <row r="71" spans="1:54" ht="15.75" x14ac:dyDescent="0.2">
      <c r="A71" s="111" t="e">
        <f t="shared" si="2"/>
        <v>#REF!</v>
      </c>
      <c r="B71" s="88" t="e">
        <f>IF(OR(#REF!="",#REF!=0,#REF!=#REF!),"",#REF!)</f>
        <v>#REF!</v>
      </c>
      <c r="C71" s="107" t="e">
        <f t="shared" si="0"/>
        <v>#REF!</v>
      </c>
      <c r="D71" s="88" t="e">
        <f>IF(OR(#REF!="",#REF!=0,#REF!=#REF!),"",#REF!)</f>
        <v>#REF!</v>
      </c>
      <c r="E71" s="88" t="e">
        <f>IF($D71="","",#REF!)</f>
        <v>#REF!</v>
      </c>
      <c r="F71" s="91"/>
      <c r="G71" s="91"/>
      <c r="H71" s="91"/>
      <c r="I71" s="91"/>
      <c r="J71" s="91"/>
      <c r="K71" s="91"/>
      <c r="L71" s="91"/>
      <c r="M71" s="91"/>
      <c r="N71" s="91"/>
      <c r="O71" s="91"/>
      <c r="P71" s="91"/>
      <c r="Q71" s="91"/>
      <c r="R71" s="91"/>
      <c r="S71" s="91"/>
      <c r="T71" s="109"/>
      <c r="U71" s="109"/>
      <c r="V71" s="109"/>
      <c r="W71" s="108"/>
      <c r="X71" s="108"/>
      <c r="Y71" s="91"/>
      <c r="Z71" s="186" t="e">
        <f t="array" ref="Z71">IF(E71="","",SUMPRODUCT(T71:V71,TRANSPOSE($V$4:$V$6)))</f>
        <v>#REF!</v>
      </c>
      <c r="AA71" s="109"/>
      <c r="AB71" s="91"/>
      <c r="AC71" s="91"/>
      <c r="AD71" s="91"/>
      <c r="AE71" s="91"/>
      <c r="AF71" s="91"/>
      <c r="AG71" s="91"/>
      <c r="AH71" s="91"/>
      <c r="AI71" s="112"/>
      <c r="AJ71" s="109"/>
      <c r="AK71" s="91"/>
      <c r="AL71" s="91"/>
      <c r="AM71" s="91"/>
      <c r="AN71" s="91"/>
      <c r="AO71" s="91"/>
      <c r="AP71" s="91"/>
      <c r="AQ71" s="91"/>
      <c r="AR71" s="91"/>
      <c r="AS71" s="91"/>
      <c r="AT71" s="91"/>
      <c r="AU71" s="110"/>
      <c r="AV71" s="85" t="e">
        <f t="shared" si="3"/>
        <v>#REF!</v>
      </c>
      <c r="AW71" s="85" t="e">
        <f t="shared" si="3"/>
        <v>#REF!</v>
      </c>
      <c r="AX71" s="85" t="e">
        <f t="shared" si="3"/>
        <v>#REF!</v>
      </c>
      <c r="BB71" s="85" t="s">
        <v>37</v>
      </c>
    </row>
    <row r="72" spans="1:54" ht="15.75" x14ac:dyDescent="0.2">
      <c r="A72" s="111" t="e">
        <f t="shared" si="2"/>
        <v>#REF!</v>
      </c>
      <c r="B72" s="88" t="e">
        <f>IF(OR(#REF!="",#REF!=0,#REF!=#REF!),"",#REF!)</f>
        <v>#REF!</v>
      </c>
      <c r="C72" s="107" t="e">
        <f t="shared" si="0"/>
        <v>#REF!</v>
      </c>
      <c r="D72" s="88" t="e">
        <f>IF(OR(#REF!="",#REF!=0,#REF!=#REF!),"",#REF!)</f>
        <v>#REF!</v>
      </c>
      <c r="E72" s="88" t="e">
        <f>IF($D72="","",#REF!)</f>
        <v>#REF!</v>
      </c>
      <c r="F72" s="91"/>
      <c r="G72" s="91"/>
      <c r="H72" s="91"/>
      <c r="I72" s="91"/>
      <c r="J72" s="91"/>
      <c r="K72" s="91"/>
      <c r="L72" s="91"/>
      <c r="M72" s="91"/>
      <c r="N72" s="91"/>
      <c r="O72" s="91"/>
      <c r="P72" s="91"/>
      <c r="Q72" s="91"/>
      <c r="R72" s="91"/>
      <c r="S72" s="91"/>
      <c r="T72" s="109"/>
      <c r="U72" s="109"/>
      <c r="V72" s="109"/>
      <c r="W72" s="108"/>
      <c r="X72" s="108"/>
      <c r="Y72" s="91"/>
      <c r="Z72" s="186" t="e">
        <f t="array" ref="Z72">IF(E72="","",SUMPRODUCT(T72:V72,TRANSPOSE($V$4:$V$6)))</f>
        <v>#REF!</v>
      </c>
      <c r="AA72" s="109"/>
      <c r="AB72" s="91"/>
      <c r="AC72" s="91"/>
      <c r="AD72" s="91"/>
      <c r="AE72" s="91"/>
      <c r="AF72" s="91"/>
      <c r="AG72" s="91"/>
      <c r="AH72" s="91"/>
      <c r="AI72" s="113"/>
      <c r="AJ72" s="109"/>
      <c r="AK72" s="91"/>
      <c r="AL72" s="91"/>
      <c r="AM72" s="91"/>
      <c r="AN72" s="91"/>
      <c r="AO72" s="91"/>
      <c r="AP72" s="91"/>
      <c r="AQ72" s="91"/>
      <c r="AR72" s="91"/>
      <c r="AS72" s="91"/>
      <c r="AT72" s="91"/>
      <c r="AU72" s="110"/>
      <c r="AV72" s="85" t="e">
        <f t="shared" si="3"/>
        <v>#REF!</v>
      </c>
      <c r="AW72" s="85" t="e">
        <f t="shared" si="3"/>
        <v>#REF!</v>
      </c>
      <c r="AX72" s="85" t="e">
        <f t="shared" si="3"/>
        <v>#REF!</v>
      </c>
      <c r="BB72" s="85" t="s">
        <v>36</v>
      </c>
    </row>
    <row r="73" spans="1:54" ht="15.75" x14ac:dyDescent="0.2">
      <c r="A73" s="111" t="e">
        <f t="shared" si="2"/>
        <v>#REF!</v>
      </c>
      <c r="B73" s="88" t="e">
        <f>IF(OR(#REF!="",#REF!=0,#REF!=#REF!),"",#REF!)</f>
        <v>#REF!</v>
      </c>
      <c r="C73" s="107" t="e">
        <f t="shared" si="0"/>
        <v>#REF!</v>
      </c>
      <c r="D73" s="88" t="e">
        <f>IF(OR(#REF!="",#REF!=0,#REF!=#REF!),"",#REF!)</f>
        <v>#REF!</v>
      </c>
      <c r="E73" s="88" t="e">
        <f>IF($D73="","",#REF!)</f>
        <v>#REF!</v>
      </c>
      <c r="F73" s="91"/>
      <c r="G73" s="91"/>
      <c r="H73" s="91"/>
      <c r="I73" s="91"/>
      <c r="J73" s="91"/>
      <c r="K73" s="91"/>
      <c r="L73" s="91"/>
      <c r="M73" s="91"/>
      <c r="N73" s="91"/>
      <c r="O73" s="91"/>
      <c r="P73" s="91"/>
      <c r="Q73" s="91"/>
      <c r="R73" s="91"/>
      <c r="S73" s="91"/>
      <c r="T73" s="109"/>
      <c r="U73" s="109"/>
      <c r="V73" s="109"/>
      <c r="W73" s="108"/>
      <c r="X73" s="108"/>
      <c r="Y73" s="91"/>
      <c r="Z73" s="186" t="e">
        <f t="array" ref="Z73">IF(E73="","",SUMPRODUCT(T73:V73,TRANSPOSE($V$4:$V$6)))</f>
        <v>#REF!</v>
      </c>
      <c r="AA73" s="109"/>
      <c r="AB73" s="91"/>
      <c r="AC73" s="91"/>
      <c r="AD73" s="91"/>
      <c r="AE73" s="91"/>
      <c r="AF73" s="91"/>
      <c r="AG73" s="91"/>
      <c r="AH73" s="91"/>
      <c r="AI73" s="96"/>
      <c r="AJ73" s="109"/>
      <c r="AK73" s="91"/>
      <c r="AL73" s="91"/>
      <c r="AM73" s="91"/>
      <c r="AN73" s="91"/>
      <c r="AO73" s="91"/>
      <c r="AP73" s="91"/>
      <c r="AQ73" s="91"/>
      <c r="AR73" s="91"/>
      <c r="AS73" s="91"/>
      <c r="AT73" s="91"/>
      <c r="AU73" s="110"/>
      <c r="AV73" s="85" t="e">
        <f t="shared" si="3"/>
        <v>#REF!</v>
      </c>
      <c r="AW73" s="85" t="e">
        <f t="shared" si="3"/>
        <v>#REF!</v>
      </c>
      <c r="AX73" s="85" t="e">
        <f t="shared" si="3"/>
        <v>#REF!</v>
      </c>
      <c r="BB73" s="85" t="s">
        <v>230</v>
      </c>
    </row>
    <row r="74" spans="1:54" ht="15.75" x14ac:dyDescent="0.2">
      <c r="A74" s="111" t="e">
        <f t="shared" si="2"/>
        <v>#REF!</v>
      </c>
      <c r="B74" s="88" t="e">
        <f>IF(OR(#REF!="",#REF!=0,#REF!=#REF!),"",#REF!)</f>
        <v>#REF!</v>
      </c>
      <c r="C74" s="107" t="e">
        <f t="shared" si="0"/>
        <v>#REF!</v>
      </c>
      <c r="D74" s="88" t="e">
        <f>IF(OR(#REF!="",#REF!=0,#REF!=#REF!),"",#REF!)</f>
        <v>#REF!</v>
      </c>
      <c r="E74" s="88" t="e">
        <f>IF($D74="","",#REF!)</f>
        <v>#REF!</v>
      </c>
      <c r="F74" s="91"/>
      <c r="G74" s="91"/>
      <c r="H74" s="91"/>
      <c r="I74" s="91"/>
      <c r="J74" s="91"/>
      <c r="K74" s="91"/>
      <c r="L74" s="91"/>
      <c r="M74" s="91"/>
      <c r="N74" s="91"/>
      <c r="O74" s="91"/>
      <c r="P74" s="91"/>
      <c r="Q74" s="91"/>
      <c r="R74" s="91"/>
      <c r="S74" s="91"/>
      <c r="T74" s="109"/>
      <c r="U74" s="109"/>
      <c r="V74" s="109"/>
      <c r="W74" s="108"/>
      <c r="X74" s="108"/>
      <c r="Y74" s="91"/>
      <c r="Z74" s="186" t="e">
        <f t="array" ref="Z74">IF(E74="","",SUMPRODUCT(T74:V74,TRANSPOSE($V$4:$V$6)))</f>
        <v>#REF!</v>
      </c>
      <c r="AA74" s="109"/>
      <c r="AB74" s="91"/>
      <c r="AC74" s="91"/>
      <c r="AD74" s="91"/>
      <c r="AE74" s="91"/>
      <c r="AF74" s="91"/>
      <c r="AG74" s="91"/>
      <c r="AH74" s="91"/>
      <c r="AI74" s="112"/>
      <c r="AJ74" s="109"/>
      <c r="AK74" s="91"/>
      <c r="AL74" s="91"/>
      <c r="AM74" s="91"/>
      <c r="AN74" s="91"/>
      <c r="AO74" s="91"/>
      <c r="AP74" s="91"/>
      <c r="AQ74" s="91"/>
      <c r="AR74" s="91"/>
      <c r="AS74" s="91"/>
      <c r="AT74" s="91"/>
      <c r="AU74" s="110"/>
      <c r="AV74" s="85" t="e">
        <f t="shared" si="3"/>
        <v>#REF!</v>
      </c>
      <c r="AW74" s="85" t="e">
        <f t="shared" si="3"/>
        <v>#REF!</v>
      </c>
      <c r="AX74" s="85" t="e">
        <f t="shared" si="3"/>
        <v>#REF!</v>
      </c>
      <c r="BB74" s="85" t="s">
        <v>39</v>
      </c>
    </row>
    <row r="75" spans="1:54" ht="15.75" x14ac:dyDescent="0.2">
      <c r="A75" s="111" t="e">
        <f t="shared" si="2"/>
        <v>#REF!</v>
      </c>
      <c r="B75" s="88" t="e">
        <f>IF(OR(#REF!="",#REF!=0,#REF!=#REF!),"",#REF!)</f>
        <v>#REF!</v>
      </c>
      <c r="C75" s="107" t="e">
        <f t="shared" si="0"/>
        <v>#REF!</v>
      </c>
      <c r="D75" s="88" t="e">
        <f>IF(OR(#REF!="",#REF!=0,#REF!=#REF!),"",#REF!)</f>
        <v>#REF!</v>
      </c>
      <c r="E75" s="88" t="e">
        <f>IF($D75="","",#REF!)</f>
        <v>#REF!</v>
      </c>
      <c r="F75" s="91"/>
      <c r="G75" s="91"/>
      <c r="H75" s="91"/>
      <c r="I75" s="91"/>
      <c r="J75" s="91"/>
      <c r="K75" s="91"/>
      <c r="L75" s="91"/>
      <c r="M75" s="91"/>
      <c r="N75" s="91"/>
      <c r="O75" s="91"/>
      <c r="P75" s="91"/>
      <c r="Q75" s="91"/>
      <c r="R75" s="91"/>
      <c r="S75" s="91"/>
      <c r="T75" s="109"/>
      <c r="U75" s="109"/>
      <c r="V75" s="109"/>
      <c r="W75" s="108"/>
      <c r="X75" s="108"/>
      <c r="Y75" s="91"/>
      <c r="Z75" s="186" t="e">
        <f t="array" ref="Z75">IF(E75="","",SUMPRODUCT(T75:V75,TRANSPOSE($V$4:$V$6)))</f>
        <v>#REF!</v>
      </c>
      <c r="AA75" s="109"/>
      <c r="AB75" s="91"/>
      <c r="AC75" s="91"/>
      <c r="AD75" s="91"/>
      <c r="AE75" s="91"/>
      <c r="AF75" s="91"/>
      <c r="AG75" s="91"/>
      <c r="AH75" s="91"/>
      <c r="AI75" s="112"/>
      <c r="AJ75" s="109"/>
      <c r="AK75" s="91"/>
      <c r="AL75" s="91"/>
      <c r="AM75" s="91"/>
      <c r="AN75" s="91"/>
      <c r="AO75" s="91"/>
      <c r="AP75" s="91"/>
      <c r="AQ75" s="91"/>
      <c r="AR75" s="91"/>
      <c r="AS75" s="91"/>
      <c r="AT75" s="91"/>
      <c r="AU75" s="110"/>
      <c r="AV75" s="85" t="e">
        <f t="shared" si="3"/>
        <v>#REF!</v>
      </c>
      <c r="AW75" s="85" t="e">
        <f t="shared" si="3"/>
        <v>#REF!</v>
      </c>
      <c r="AX75" s="85" t="e">
        <f t="shared" si="3"/>
        <v>#REF!</v>
      </c>
      <c r="BB75" s="85" t="s">
        <v>42</v>
      </c>
    </row>
    <row r="76" spans="1:54" ht="15.75" x14ac:dyDescent="0.2">
      <c r="A76" s="111" t="e">
        <f t="shared" si="2"/>
        <v>#REF!</v>
      </c>
      <c r="B76" s="88" t="e">
        <f>IF(OR(#REF!="",#REF!=0,#REF!=#REF!),"",#REF!)</f>
        <v>#REF!</v>
      </c>
      <c r="C76" s="107" t="e">
        <f t="shared" si="0"/>
        <v>#REF!</v>
      </c>
      <c r="D76" s="88" t="e">
        <f>IF(OR(#REF!="",#REF!=0,#REF!=#REF!),"",#REF!)</f>
        <v>#REF!</v>
      </c>
      <c r="E76" s="88" t="e">
        <f>IF($D76="","",#REF!)</f>
        <v>#REF!</v>
      </c>
      <c r="F76" s="91"/>
      <c r="G76" s="91"/>
      <c r="H76" s="91"/>
      <c r="I76" s="91"/>
      <c r="J76" s="91"/>
      <c r="K76" s="91"/>
      <c r="L76" s="91"/>
      <c r="M76" s="91"/>
      <c r="N76" s="91"/>
      <c r="O76" s="91"/>
      <c r="P76" s="91"/>
      <c r="Q76" s="91"/>
      <c r="R76" s="91"/>
      <c r="S76" s="91"/>
      <c r="T76" s="109"/>
      <c r="U76" s="109"/>
      <c r="V76" s="109"/>
      <c r="W76" s="108"/>
      <c r="X76" s="108"/>
      <c r="Y76" s="91"/>
      <c r="Z76" s="186" t="e">
        <f t="array" ref="Z76">IF(E76="","",SUMPRODUCT(T76:V76,TRANSPOSE($V$4:$V$6)))</f>
        <v>#REF!</v>
      </c>
      <c r="AA76" s="109"/>
      <c r="AB76" s="91"/>
      <c r="AC76" s="91"/>
      <c r="AD76" s="91"/>
      <c r="AE76" s="91"/>
      <c r="AF76" s="91"/>
      <c r="AG76" s="91"/>
      <c r="AH76" s="91"/>
      <c r="AI76" s="112"/>
      <c r="AJ76" s="109"/>
      <c r="AK76" s="91"/>
      <c r="AL76" s="91"/>
      <c r="AM76" s="91"/>
      <c r="AN76" s="91"/>
      <c r="AO76" s="91"/>
      <c r="AP76" s="91"/>
      <c r="AQ76" s="91"/>
      <c r="AR76" s="91"/>
      <c r="AS76" s="91"/>
      <c r="AT76" s="91"/>
      <c r="AU76" s="110"/>
      <c r="AV76" s="85" t="e">
        <f t="shared" si="3"/>
        <v>#REF!</v>
      </c>
      <c r="AW76" s="85" t="e">
        <f t="shared" si="3"/>
        <v>#REF!</v>
      </c>
      <c r="AX76" s="85" t="e">
        <f t="shared" si="3"/>
        <v>#REF!</v>
      </c>
      <c r="BB76" s="85" t="s">
        <v>43</v>
      </c>
    </row>
    <row r="77" spans="1:54" ht="15.75" x14ac:dyDescent="0.2">
      <c r="A77" s="111" t="e">
        <f t="shared" si="2"/>
        <v>#REF!</v>
      </c>
      <c r="B77" s="88" t="e">
        <f>IF(OR(#REF!="",#REF!=0,#REF!=#REF!),"",#REF!)</f>
        <v>#REF!</v>
      </c>
      <c r="C77" s="107" t="e">
        <f t="shared" si="0"/>
        <v>#REF!</v>
      </c>
      <c r="D77" s="88" t="e">
        <f>IF(OR(#REF!="",#REF!=0,#REF!=#REF!),"",#REF!)</f>
        <v>#REF!</v>
      </c>
      <c r="E77" s="88" t="e">
        <f>IF($D77="","",#REF!)</f>
        <v>#REF!</v>
      </c>
      <c r="F77" s="91"/>
      <c r="G77" s="91"/>
      <c r="H77" s="91"/>
      <c r="I77" s="91"/>
      <c r="J77" s="91"/>
      <c r="K77" s="91"/>
      <c r="L77" s="91"/>
      <c r="M77" s="91"/>
      <c r="N77" s="91"/>
      <c r="O77" s="91"/>
      <c r="P77" s="91"/>
      <c r="Q77" s="91"/>
      <c r="R77" s="91"/>
      <c r="S77" s="91"/>
      <c r="T77" s="109"/>
      <c r="U77" s="109"/>
      <c r="V77" s="109"/>
      <c r="W77" s="108"/>
      <c r="X77" s="108"/>
      <c r="Y77" s="91"/>
      <c r="Z77" s="186" t="e">
        <f t="array" ref="Z77">IF(E77="","",SUMPRODUCT(T77:V77,TRANSPOSE($V$4:$V$6)))</f>
        <v>#REF!</v>
      </c>
      <c r="AA77" s="109"/>
      <c r="AB77" s="91"/>
      <c r="AC77" s="91"/>
      <c r="AD77" s="91"/>
      <c r="AE77" s="91"/>
      <c r="AF77" s="91"/>
      <c r="AG77" s="91"/>
      <c r="AH77" s="91"/>
      <c r="AI77" s="112"/>
      <c r="AJ77" s="109"/>
      <c r="AK77" s="91"/>
      <c r="AL77" s="91"/>
      <c r="AM77" s="91"/>
      <c r="AN77" s="91"/>
      <c r="AO77" s="91"/>
      <c r="AP77" s="91"/>
      <c r="AQ77" s="91"/>
      <c r="AR77" s="91"/>
      <c r="AS77" s="91"/>
      <c r="AT77" s="91"/>
      <c r="AU77" s="110"/>
      <c r="AV77" s="85" t="e">
        <f t="shared" si="3"/>
        <v>#REF!</v>
      </c>
      <c r="AW77" s="85" t="e">
        <f t="shared" si="3"/>
        <v>#REF!</v>
      </c>
      <c r="AX77" s="85" t="e">
        <f t="shared" si="3"/>
        <v>#REF!</v>
      </c>
      <c r="BB77" s="85" t="s">
        <v>45</v>
      </c>
    </row>
    <row r="78" spans="1:54" ht="15.75" x14ac:dyDescent="0.2">
      <c r="A78" s="111" t="e">
        <f t="shared" si="2"/>
        <v>#REF!</v>
      </c>
      <c r="B78" s="88" t="e">
        <f>IF(OR(#REF!="",#REF!=0,#REF!=#REF!),"",#REF!)</f>
        <v>#REF!</v>
      </c>
      <c r="C78" s="107" t="e">
        <f t="shared" si="0"/>
        <v>#REF!</v>
      </c>
      <c r="D78" s="88" t="e">
        <f>IF(OR(#REF!="",#REF!=0,#REF!=#REF!),"",#REF!)</f>
        <v>#REF!</v>
      </c>
      <c r="E78" s="88" t="e">
        <f>IF($D78="","",#REF!)</f>
        <v>#REF!</v>
      </c>
      <c r="F78" s="91"/>
      <c r="G78" s="91"/>
      <c r="H78" s="91"/>
      <c r="I78" s="91"/>
      <c r="J78" s="91"/>
      <c r="K78" s="91"/>
      <c r="L78" s="91"/>
      <c r="M78" s="91"/>
      <c r="N78" s="91"/>
      <c r="O78" s="91"/>
      <c r="P78" s="91"/>
      <c r="Q78" s="91"/>
      <c r="R78" s="91"/>
      <c r="S78" s="91"/>
      <c r="T78" s="109"/>
      <c r="U78" s="109"/>
      <c r="V78" s="109"/>
      <c r="W78" s="108"/>
      <c r="X78" s="108"/>
      <c r="Y78" s="91"/>
      <c r="Z78" s="186" t="e">
        <f t="array" ref="Z78">IF(E78="","",SUMPRODUCT(T78:V78,TRANSPOSE($V$4:$V$6)))</f>
        <v>#REF!</v>
      </c>
      <c r="AA78" s="109"/>
      <c r="AB78" s="91"/>
      <c r="AC78" s="91"/>
      <c r="AD78" s="91"/>
      <c r="AE78" s="91"/>
      <c r="AF78" s="91"/>
      <c r="AG78" s="91"/>
      <c r="AH78" s="91"/>
      <c r="AI78" s="112"/>
      <c r="AJ78" s="109"/>
      <c r="AK78" s="91"/>
      <c r="AL78" s="91"/>
      <c r="AM78" s="91"/>
      <c r="AN78" s="91"/>
      <c r="AO78" s="91"/>
      <c r="AP78" s="91"/>
      <c r="AQ78" s="91"/>
      <c r="AR78" s="91"/>
      <c r="AS78" s="91"/>
      <c r="AT78" s="91"/>
      <c r="AU78" s="110"/>
      <c r="AV78" s="85" t="e">
        <f t="shared" si="3"/>
        <v>#REF!</v>
      </c>
      <c r="AW78" s="85" t="e">
        <f t="shared" si="3"/>
        <v>#REF!</v>
      </c>
      <c r="AX78" s="85" t="e">
        <f t="shared" si="3"/>
        <v>#REF!</v>
      </c>
      <c r="BB78" s="85" t="s">
        <v>231</v>
      </c>
    </row>
    <row r="79" spans="1:54" ht="15.75" x14ac:dyDescent="0.2">
      <c r="A79" s="111" t="e">
        <f t="shared" si="2"/>
        <v>#REF!</v>
      </c>
      <c r="B79" s="88" t="e">
        <f>IF(OR(#REF!="",#REF!=0,#REF!=#REF!),"",#REF!)</f>
        <v>#REF!</v>
      </c>
      <c r="C79" s="107" t="e">
        <f t="shared" si="0"/>
        <v>#REF!</v>
      </c>
      <c r="D79" s="88" t="e">
        <f>IF(OR(#REF!="",#REF!=0,#REF!=#REF!),"",#REF!)</f>
        <v>#REF!</v>
      </c>
      <c r="E79" s="88" t="e">
        <f>IF($D79="","",#REF!)</f>
        <v>#REF!</v>
      </c>
      <c r="F79" s="91"/>
      <c r="G79" s="91"/>
      <c r="H79" s="91"/>
      <c r="I79" s="91"/>
      <c r="J79" s="91"/>
      <c r="K79" s="91"/>
      <c r="L79" s="91"/>
      <c r="M79" s="91"/>
      <c r="N79" s="91"/>
      <c r="O79" s="91"/>
      <c r="P79" s="91"/>
      <c r="Q79" s="91"/>
      <c r="R79" s="91"/>
      <c r="S79" s="91"/>
      <c r="T79" s="109"/>
      <c r="U79" s="109"/>
      <c r="V79" s="109"/>
      <c r="W79" s="108"/>
      <c r="X79" s="108"/>
      <c r="Y79" s="91"/>
      <c r="Z79" s="186" t="e">
        <f t="array" ref="Z79">IF(E79="","",SUMPRODUCT(T79:V79,TRANSPOSE($V$4:$V$6)))</f>
        <v>#REF!</v>
      </c>
      <c r="AA79" s="109"/>
      <c r="AB79" s="91"/>
      <c r="AC79" s="91"/>
      <c r="AD79" s="91"/>
      <c r="AE79" s="91"/>
      <c r="AF79" s="91"/>
      <c r="AG79" s="91"/>
      <c r="AH79" s="91"/>
      <c r="AI79" s="112"/>
      <c r="AJ79" s="109"/>
      <c r="AK79" s="91"/>
      <c r="AL79" s="91"/>
      <c r="AM79" s="91"/>
      <c r="AN79" s="91"/>
      <c r="AO79" s="91"/>
      <c r="AP79" s="91"/>
      <c r="AQ79" s="91"/>
      <c r="AR79" s="91"/>
      <c r="AS79" s="91"/>
      <c r="AT79" s="91"/>
      <c r="AU79" s="110"/>
      <c r="AV79" s="85" t="e">
        <f t="shared" si="3"/>
        <v>#REF!</v>
      </c>
      <c r="AW79" s="85" t="e">
        <f t="shared" si="3"/>
        <v>#REF!</v>
      </c>
      <c r="AX79" s="85" t="e">
        <f t="shared" si="3"/>
        <v>#REF!</v>
      </c>
      <c r="BB79" s="85" t="s">
        <v>254</v>
      </c>
    </row>
    <row r="80" spans="1:54" ht="15.75" x14ac:dyDescent="0.2">
      <c r="A80" s="111" t="e">
        <f t="shared" si="2"/>
        <v>#REF!</v>
      </c>
      <c r="B80" s="88" t="e">
        <f>IF(OR(#REF!="",#REF!=0,#REF!=#REF!),"",#REF!)</f>
        <v>#REF!</v>
      </c>
      <c r="C80" s="107" t="e">
        <f t="shared" si="0"/>
        <v>#REF!</v>
      </c>
      <c r="D80" s="88" t="e">
        <f>IF(OR(#REF!="",#REF!=0,#REF!=#REF!),"",#REF!)</f>
        <v>#REF!</v>
      </c>
      <c r="E80" s="88" t="e">
        <f>IF($D80="","",#REF!)</f>
        <v>#REF!</v>
      </c>
      <c r="F80" s="91"/>
      <c r="G80" s="91"/>
      <c r="H80" s="91"/>
      <c r="I80" s="91"/>
      <c r="J80" s="91"/>
      <c r="K80" s="91"/>
      <c r="L80" s="91"/>
      <c r="M80" s="91"/>
      <c r="N80" s="91"/>
      <c r="O80" s="91"/>
      <c r="P80" s="91"/>
      <c r="Q80" s="91"/>
      <c r="R80" s="91"/>
      <c r="S80" s="91"/>
      <c r="T80" s="109"/>
      <c r="U80" s="109"/>
      <c r="V80" s="109"/>
      <c r="W80" s="108"/>
      <c r="X80" s="108"/>
      <c r="Y80" s="91"/>
      <c r="Z80" s="186" t="e">
        <f t="array" ref="Z80">IF(E80="","",SUMPRODUCT(T80:V80,TRANSPOSE($V$4:$V$6)))</f>
        <v>#REF!</v>
      </c>
      <c r="AA80" s="109"/>
      <c r="AB80" s="91"/>
      <c r="AC80" s="91"/>
      <c r="AD80" s="91"/>
      <c r="AE80" s="91"/>
      <c r="AF80" s="91"/>
      <c r="AG80" s="91"/>
      <c r="AH80" s="91"/>
      <c r="AI80" s="112"/>
      <c r="AJ80" s="109"/>
      <c r="AK80" s="91"/>
      <c r="AL80" s="91"/>
      <c r="AM80" s="91"/>
      <c r="AN80" s="91"/>
      <c r="AO80" s="91"/>
      <c r="AP80" s="91"/>
      <c r="AQ80" s="91"/>
      <c r="AR80" s="91"/>
      <c r="AS80" s="91"/>
      <c r="AT80" s="91"/>
      <c r="AU80" s="110"/>
      <c r="AV80" s="85" t="e">
        <f t="shared" si="3"/>
        <v>#REF!</v>
      </c>
      <c r="AW80" s="85" t="e">
        <f t="shared" si="3"/>
        <v>#REF!</v>
      </c>
      <c r="AX80" s="85" t="e">
        <f t="shared" si="3"/>
        <v>#REF!</v>
      </c>
      <c r="BB80" s="85" t="s">
        <v>51</v>
      </c>
    </row>
    <row r="81" spans="1:54" ht="15.75" x14ac:dyDescent="0.2">
      <c r="A81" s="111" t="e">
        <f t="shared" si="2"/>
        <v>#REF!</v>
      </c>
      <c r="B81" s="88" t="e">
        <f>IF(OR(#REF!="",#REF!=0,#REF!=#REF!),"",#REF!)</f>
        <v>#REF!</v>
      </c>
      <c r="C81" s="107" t="e">
        <f t="shared" si="0"/>
        <v>#REF!</v>
      </c>
      <c r="D81" s="88" t="e">
        <f>IF(OR(#REF!="",#REF!=0,#REF!=#REF!),"",#REF!)</f>
        <v>#REF!</v>
      </c>
      <c r="E81" s="88" t="e">
        <f>IF($D81="","",#REF!)</f>
        <v>#REF!</v>
      </c>
      <c r="F81" s="91"/>
      <c r="G81" s="91"/>
      <c r="H81" s="91"/>
      <c r="I81" s="91"/>
      <c r="J81" s="91"/>
      <c r="K81" s="91"/>
      <c r="L81" s="91"/>
      <c r="M81" s="91"/>
      <c r="N81" s="91"/>
      <c r="O81" s="91"/>
      <c r="P81" s="91"/>
      <c r="Q81" s="91"/>
      <c r="R81" s="91"/>
      <c r="S81" s="91"/>
      <c r="T81" s="109"/>
      <c r="U81" s="109"/>
      <c r="V81" s="109"/>
      <c r="W81" s="108"/>
      <c r="X81" s="108"/>
      <c r="Y81" s="91"/>
      <c r="Z81" s="186" t="e">
        <f t="array" ref="Z81">IF(E81="","",SUMPRODUCT(T81:V81,TRANSPOSE($V$4:$V$6)))</f>
        <v>#REF!</v>
      </c>
      <c r="AA81" s="109"/>
      <c r="AB81" s="91"/>
      <c r="AC81" s="91"/>
      <c r="AD81" s="91"/>
      <c r="AE81" s="91"/>
      <c r="AF81" s="91"/>
      <c r="AG81" s="91"/>
      <c r="AH81" s="91"/>
      <c r="AI81" s="112"/>
      <c r="AJ81" s="109"/>
      <c r="AK81" s="91"/>
      <c r="AL81" s="91"/>
      <c r="AM81" s="91"/>
      <c r="AN81" s="91"/>
      <c r="AO81" s="91"/>
      <c r="AP81" s="91"/>
      <c r="AQ81" s="91"/>
      <c r="AR81" s="91"/>
      <c r="AS81" s="91"/>
      <c r="AT81" s="91"/>
      <c r="AU81" s="110"/>
      <c r="AV81" s="85" t="e">
        <f t="shared" si="3"/>
        <v>#REF!</v>
      </c>
      <c r="AW81" s="85" t="e">
        <f t="shared" si="3"/>
        <v>#REF!</v>
      </c>
      <c r="AX81" s="85" t="e">
        <f t="shared" si="3"/>
        <v>#REF!</v>
      </c>
      <c r="BB81" s="85" t="s">
        <v>52</v>
      </c>
    </row>
    <row r="82" spans="1:54" ht="15.75" x14ac:dyDescent="0.2">
      <c r="A82" s="111" t="e">
        <f t="shared" si="2"/>
        <v>#REF!</v>
      </c>
      <c r="B82" s="88" t="e">
        <f>IF(OR(#REF!="",#REF!=0,#REF!=#REF!),"",#REF!)</f>
        <v>#REF!</v>
      </c>
      <c r="C82" s="107" t="e">
        <f t="shared" si="0"/>
        <v>#REF!</v>
      </c>
      <c r="D82" s="88" t="e">
        <f>IF(OR(#REF!="",#REF!=0,#REF!=#REF!),"",#REF!)</f>
        <v>#REF!</v>
      </c>
      <c r="E82" s="88" t="e">
        <f>IF($D82="","",#REF!)</f>
        <v>#REF!</v>
      </c>
      <c r="F82" s="91"/>
      <c r="G82" s="91"/>
      <c r="H82" s="91"/>
      <c r="I82" s="91"/>
      <c r="J82" s="91"/>
      <c r="K82" s="91"/>
      <c r="L82" s="91"/>
      <c r="M82" s="91"/>
      <c r="N82" s="91"/>
      <c r="O82" s="91"/>
      <c r="P82" s="91"/>
      <c r="Q82" s="91"/>
      <c r="R82" s="91"/>
      <c r="S82" s="91"/>
      <c r="T82" s="109"/>
      <c r="U82" s="109"/>
      <c r="V82" s="109"/>
      <c r="W82" s="108"/>
      <c r="X82" s="108"/>
      <c r="Y82" s="91"/>
      <c r="Z82" s="186" t="e">
        <f t="array" ref="Z82">IF(E82="","",SUMPRODUCT(T82:V82,TRANSPOSE($V$4:$V$6)))</f>
        <v>#REF!</v>
      </c>
      <c r="AA82" s="109"/>
      <c r="AB82" s="91"/>
      <c r="AC82" s="91"/>
      <c r="AD82" s="91"/>
      <c r="AE82" s="91"/>
      <c r="AF82" s="91"/>
      <c r="AG82" s="91"/>
      <c r="AH82" s="91"/>
      <c r="AI82" s="112"/>
      <c r="AJ82" s="109"/>
      <c r="AK82" s="91"/>
      <c r="AL82" s="91"/>
      <c r="AM82" s="91"/>
      <c r="AN82" s="91"/>
      <c r="AO82" s="91"/>
      <c r="AP82" s="91"/>
      <c r="AQ82" s="91"/>
      <c r="AR82" s="91"/>
      <c r="AS82" s="91"/>
      <c r="AT82" s="91"/>
      <c r="AU82" s="110"/>
      <c r="AV82" s="85" t="e">
        <f t="shared" si="3"/>
        <v>#REF!</v>
      </c>
      <c r="AW82" s="85" t="e">
        <f t="shared" si="3"/>
        <v>#REF!</v>
      </c>
      <c r="AX82" s="85" t="e">
        <f t="shared" si="3"/>
        <v>#REF!</v>
      </c>
      <c r="BB82" s="85" t="s">
        <v>55</v>
      </c>
    </row>
    <row r="83" spans="1:54" ht="15.75" x14ac:dyDescent="0.2">
      <c r="A83" s="111" t="e">
        <f t="shared" si="2"/>
        <v>#REF!</v>
      </c>
      <c r="B83" s="88" t="e">
        <f>IF(OR(#REF!="",#REF!=0,#REF!=#REF!),"",#REF!)</f>
        <v>#REF!</v>
      </c>
      <c r="C83" s="107" t="e">
        <f t="shared" si="0"/>
        <v>#REF!</v>
      </c>
      <c r="D83" s="88" t="e">
        <f>IF(OR(#REF!="",#REF!=0,#REF!=#REF!),"",#REF!)</f>
        <v>#REF!</v>
      </c>
      <c r="E83" s="88" t="e">
        <f>IF($D83="","",#REF!)</f>
        <v>#REF!</v>
      </c>
      <c r="F83" s="91"/>
      <c r="G83" s="91"/>
      <c r="H83" s="91"/>
      <c r="I83" s="91"/>
      <c r="J83" s="91"/>
      <c r="K83" s="91"/>
      <c r="L83" s="91"/>
      <c r="M83" s="91"/>
      <c r="N83" s="91"/>
      <c r="O83" s="91"/>
      <c r="P83" s="91"/>
      <c r="Q83" s="91"/>
      <c r="R83" s="91"/>
      <c r="S83" s="91"/>
      <c r="T83" s="109"/>
      <c r="U83" s="109"/>
      <c r="V83" s="109"/>
      <c r="W83" s="108"/>
      <c r="X83" s="108"/>
      <c r="Y83" s="91"/>
      <c r="Z83" s="186" t="e">
        <f t="array" ref="Z83">IF(E83="","",SUMPRODUCT(T83:V83,TRANSPOSE($V$4:$V$6)))</f>
        <v>#REF!</v>
      </c>
      <c r="AA83" s="109"/>
      <c r="AB83" s="91"/>
      <c r="AC83" s="91"/>
      <c r="AD83" s="91"/>
      <c r="AE83" s="91"/>
      <c r="AF83" s="91"/>
      <c r="AG83" s="91"/>
      <c r="AH83" s="91"/>
      <c r="AI83" s="112"/>
      <c r="AJ83" s="109"/>
      <c r="AK83" s="91"/>
      <c r="AL83" s="91"/>
      <c r="AM83" s="91"/>
      <c r="AN83" s="91"/>
      <c r="AO83" s="91"/>
      <c r="AP83" s="91"/>
      <c r="AQ83" s="91"/>
      <c r="AR83" s="91"/>
      <c r="AS83" s="91"/>
      <c r="AT83" s="91"/>
      <c r="AU83" s="110"/>
      <c r="AV83" s="85" t="e">
        <f t="shared" si="3"/>
        <v>#REF!</v>
      </c>
      <c r="AW83" s="85" t="e">
        <f t="shared" si="3"/>
        <v>#REF!</v>
      </c>
      <c r="AX83" s="85" t="e">
        <f t="shared" si="3"/>
        <v>#REF!</v>
      </c>
      <c r="BB83" s="85" t="s">
        <v>58</v>
      </c>
    </row>
    <row r="84" spans="1:54" ht="15.75" x14ac:dyDescent="0.2">
      <c r="A84" s="111" t="e">
        <f t="shared" si="2"/>
        <v>#REF!</v>
      </c>
      <c r="B84" s="88" t="e">
        <f>IF(OR(#REF!="",#REF!=0,#REF!=#REF!),"",#REF!)</f>
        <v>#REF!</v>
      </c>
      <c r="C84" s="107" t="e">
        <f t="shared" ref="C84:C147" si="4">IF(E84="","",IF(Z84&lt;&gt;0,1,0))</f>
        <v>#REF!</v>
      </c>
      <c r="D84" s="88" t="e">
        <f>IF(OR(#REF!="",#REF!=0,#REF!=#REF!),"",#REF!)</f>
        <v>#REF!</v>
      </c>
      <c r="E84" s="88" t="e">
        <f>IF($D84="","",#REF!)</f>
        <v>#REF!</v>
      </c>
      <c r="F84" s="91"/>
      <c r="G84" s="91"/>
      <c r="H84" s="91"/>
      <c r="I84" s="91"/>
      <c r="J84" s="91"/>
      <c r="K84" s="91"/>
      <c r="L84" s="91"/>
      <c r="M84" s="91"/>
      <c r="N84" s="91"/>
      <c r="O84" s="91"/>
      <c r="P84" s="91"/>
      <c r="Q84" s="91"/>
      <c r="R84" s="91"/>
      <c r="S84" s="91"/>
      <c r="T84" s="109"/>
      <c r="U84" s="109"/>
      <c r="V84" s="109"/>
      <c r="W84" s="108"/>
      <c r="X84" s="108"/>
      <c r="Y84" s="91"/>
      <c r="Z84" s="186" t="e">
        <f t="array" ref="Z84">IF(E84="","",SUMPRODUCT(T84:V84,TRANSPOSE($V$4:$V$6)))</f>
        <v>#REF!</v>
      </c>
      <c r="AA84" s="109"/>
      <c r="AB84" s="91"/>
      <c r="AC84" s="91"/>
      <c r="AD84" s="91"/>
      <c r="AE84" s="91"/>
      <c r="AF84" s="91"/>
      <c r="AG84" s="91"/>
      <c r="AH84" s="91"/>
      <c r="AI84" s="113"/>
      <c r="AJ84" s="109"/>
      <c r="AK84" s="91"/>
      <c r="AL84" s="91"/>
      <c r="AM84" s="91"/>
      <c r="AN84" s="91"/>
      <c r="AO84" s="91"/>
      <c r="AP84" s="91"/>
      <c r="AQ84" s="91"/>
      <c r="AR84" s="91"/>
      <c r="AS84" s="91"/>
      <c r="AT84" s="91"/>
      <c r="AU84" s="110"/>
      <c r="AV84" s="85" t="e">
        <f t="shared" si="3"/>
        <v>#REF!</v>
      </c>
      <c r="AW84" s="85" t="e">
        <f t="shared" si="3"/>
        <v>#REF!</v>
      </c>
      <c r="AX84" s="85" t="e">
        <f t="shared" si="3"/>
        <v>#REF!</v>
      </c>
      <c r="BB84" s="85" t="s">
        <v>255</v>
      </c>
    </row>
    <row r="85" spans="1:54" ht="15.75" x14ac:dyDescent="0.2">
      <c r="A85" s="111" t="e">
        <f t="shared" ref="A85:A148" si="5">IF(D85="","",A84+1)</f>
        <v>#REF!</v>
      </c>
      <c r="B85" s="88" t="e">
        <f>IF(OR(#REF!="",#REF!=0,#REF!=#REF!),"",#REF!)</f>
        <v>#REF!</v>
      </c>
      <c r="C85" s="107" t="e">
        <f t="shared" si="4"/>
        <v>#REF!</v>
      </c>
      <c r="D85" s="88" t="e">
        <f>IF(OR(#REF!="",#REF!=0,#REF!=#REF!),"",#REF!)</f>
        <v>#REF!</v>
      </c>
      <c r="E85" s="88" t="e">
        <f>IF($D85="","",#REF!)</f>
        <v>#REF!</v>
      </c>
      <c r="F85" s="91"/>
      <c r="G85" s="91"/>
      <c r="H85" s="91"/>
      <c r="I85" s="91"/>
      <c r="J85" s="91"/>
      <c r="K85" s="91"/>
      <c r="L85" s="91"/>
      <c r="M85" s="91"/>
      <c r="N85" s="91"/>
      <c r="O85" s="91"/>
      <c r="P85" s="91"/>
      <c r="Q85" s="91"/>
      <c r="R85" s="91"/>
      <c r="S85" s="91"/>
      <c r="T85" s="109"/>
      <c r="U85" s="109"/>
      <c r="V85" s="109"/>
      <c r="W85" s="108"/>
      <c r="X85" s="108"/>
      <c r="Y85" s="91"/>
      <c r="Z85" s="186" t="e">
        <f t="array" ref="Z85">IF(E85="","",SUMPRODUCT(T85:V85,TRANSPOSE($V$4:$V$6)))</f>
        <v>#REF!</v>
      </c>
      <c r="AA85" s="109"/>
      <c r="AB85" s="91"/>
      <c r="AC85" s="91"/>
      <c r="AD85" s="91"/>
      <c r="AE85" s="91"/>
      <c r="AF85" s="91"/>
      <c r="AG85" s="91"/>
      <c r="AH85" s="91"/>
      <c r="AI85" s="112"/>
      <c r="AJ85" s="109"/>
      <c r="AK85" s="91"/>
      <c r="AL85" s="91"/>
      <c r="AM85" s="91"/>
      <c r="AN85" s="91"/>
      <c r="AO85" s="91"/>
      <c r="AP85" s="91"/>
      <c r="AQ85" s="91"/>
      <c r="AR85" s="91"/>
      <c r="AS85" s="91"/>
      <c r="AT85" s="91"/>
      <c r="AU85" s="110"/>
      <c r="AV85" s="85" t="e">
        <f t="shared" si="3"/>
        <v>#REF!</v>
      </c>
      <c r="AW85" s="85" t="e">
        <f t="shared" si="3"/>
        <v>#REF!</v>
      </c>
      <c r="AX85" s="85" t="e">
        <f t="shared" si="3"/>
        <v>#REF!</v>
      </c>
      <c r="BB85" s="85" t="s">
        <v>232</v>
      </c>
    </row>
    <row r="86" spans="1:54" ht="15.75" x14ac:dyDescent="0.2">
      <c r="A86" s="111" t="e">
        <f t="shared" si="5"/>
        <v>#REF!</v>
      </c>
      <c r="B86" s="88" t="e">
        <f>IF(OR(#REF!="",#REF!=0,#REF!=#REF!),"",#REF!)</f>
        <v>#REF!</v>
      </c>
      <c r="C86" s="107" t="e">
        <f t="shared" si="4"/>
        <v>#REF!</v>
      </c>
      <c r="D86" s="88" t="e">
        <f>IF(OR(#REF!="",#REF!=0,#REF!=#REF!),"",#REF!)</f>
        <v>#REF!</v>
      </c>
      <c r="E86" s="88" t="e">
        <f>IF($D86="","",#REF!)</f>
        <v>#REF!</v>
      </c>
      <c r="F86" s="91"/>
      <c r="G86" s="91"/>
      <c r="H86" s="91"/>
      <c r="I86" s="91"/>
      <c r="J86" s="91"/>
      <c r="K86" s="91"/>
      <c r="L86" s="91"/>
      <c r="M86" s="91"/>
      <c r="N86" s="91"/>
      <c r="O86" s="91"/>
      <c r="P86" s="91"/>
      <c r="Q86" s="91"/>
      <c r="R86" s="91"/>
      <c r="S86" s="91"/>
      <c r="T86" s="109"/>
      <c r="U86" s="109"/>
      <c r="V86" s="109"/>
      <c r="W86" s="108"/>
      <c r="X86" s="108"/>
      <c r="Y86" s="91"/>
      <c r="Z86" s="186" t="e">
        <f t="array" ref="Z86">IF(E86="","",SUMPRODUCT(T86:V86,TRANSPOSE($V$4:$V$6)))</f>
        <v>#REF!</v>
      </c>
      <c r="AA86" s="109"/>
      <c r="AB86" s="91"/>
      <c r="AC86" s="91"/>
      <c r="AD86" s="91"/>
      <c r="AE86" s="91"/>
      <c r="AF86" s="91"/>
      <c r="AG86" s="91"/>
      <c r="AH86" s="91"/>
      <c r="AI86" s="112"/>
      <c r="AJ86" s="109"/>
      <c r="AK86" s="91"/>
      <c r="AL86" s="91"/>
      <c r="AM86" s="91"/>
      <c r="AN86" s="91"/>
      <c r="AO86" s="91"/>
      <c r="AP86" s="91"/>
      <c r="AQ86" s="91"/>
      <c r="AR86" s="91"/>
      <c r="AS86" s="91"/>
      <c r="AT86" s="91"/>
      <c r="AU86" s="110"/>
      <c r="AV86" s="85" t="e">
        <f t="shared" si="3"/>
        <v>#REF!</v>
      </c>
      <c r="AW86" s="85" t="e">
        <f t="shared" si="3"/>
        <v>#REF!</v>
      </c>
      <c r="AX86" s="85" t="e">
        <f t="shared" si="3"/>
        <v>#REF!</v>
      </c>
      <c r="BB86" s="85" t="s">
        <v>64</v>
      </c>
    </row>
    <row r="87" spans="1:54" ht="15.75" x14ac:dyDescent="0.2">
      <c r="A87" s="111" t="e">
        <f t="shared" si="5"/>
        <v>#REF!</v>
      </c>
      <c r="B87" s="88" t="e">
        <f>IF(OR(#REF!="",#REF!=0,#REF!=#REF!),"",#REF!)</f>
        <v>#REF!</v>
      </c>
      <c r="C87" s="107" t="e">
        <f t="shared" si="4"/>
        <v>#REF!</v>
      </c>
      <c r="D87" s="88" t="e">
        <f>IF(OR(#REF!="",#REF!=0,#REF!=#REF!),"",#REF!)</f>
        <v>#REF!</v>
      </c>
      <c r="E87" s="88" t="e">
        <f>IF($D87="","",#REF!)</f>
        <v>#REF!</v>
      </c>
      <c r="F87" s="91"/>
      <c r="G87" s="91"/>
      <c r="H87" s="91"/>
      <c r="I87" s="91"/>
      <c r="J87" s="91"/>
      <c r="K87" s="91"/>
      <c r="L87" s="91"/>
      <c r="M87" s="91"/>
      <c r="N87" s="91"/>
      <c r="O87" s="91"/>
      <c r="P87" s="91"/>
      <c r="Q87" s="91"/>
      <c r="R87" s="91"/>
      <c r="S87" s="91"/>
      <c r="T87" s="109"/>
      <c r="U87" s="109"/>
      <c r="V87" s="109"/>
      <c r="W87" s="108"/>
      <c r="X87" s="108"/>
      <c r="Y87" s="91"/>
      <c r="Z87" s="186" t="e">
        <f t="array" ref="Z87">IF(E87="","",SUMPRODUCT(T87:V87,TRANSPOSE($V$4:$V$6)))</f>
        <v>#REF!</v>
      </c>
      <c r="AA87" s="109"/>
      <c r="AB87" s="91"/>
      <c r="AC87" s="91"/>
      <c r="AD87" s="91"/>
      <c r="AE87" s="91"/>
      <c r="AF87" s="91"/>
      <c r="AG87" s="91"/>
      <c r="AH87" s="91"/>
      <c r="AI87" s="112"/>
      <c r="AJ87" s="109"/>
      <c r="AK87" s="91"/>
      <c r="AL87" s="91"/>
      <c r="AM87" s="91"/>
      <c r="AN87" s="91"/>
      <c r="AO87" s="91"/>
      <c r="AP87" s="91"/>
      <c r="AQ87" s="91"/>
      <c r="AR87" s="91"/>
      <c r="AS87" s="91"/>
      <c r="AT87" s="91"/>
      <c r="AU87" s="110"/>
      <c r="AV87" s="85" t="e">
        <f t="shared" si="3"/>
        <v>#REF!</v>
      </c>
      <c r="AW87" s="85" t="e">
        <f t="shared" si="3"/>
        <v>#REF!</v>
      </c>
      <c r="AX87" s="85" t="e">
        <f t="shared" si="3"/>
        <v>#REF!</v>
      </c>
      <c r="BB87" s="85" t="s">
        <v>233</v>
      </c>
    </row>
    <row r="88" spans="1:54" ht="15.75" x14ac:dyDescent="0.2">
      <c r="A88" s="111" t="e">
        <f t="shared" si="5"/>
        <v>#REF!</v>
      </c>
      <c r="B88" s="88" t="e">
        <f>IF(OR(#REF!="",#REF!=0,#REF!=#REF!),"",#REF!)</f>
        <v>#REF!</v>
      </c>
      <c r="C88" s="107" t="e">
        <f t="shared" si="4"/>
        <v>#REF!</v>
      </c>
      <c r="D88" s="88" t="e">
        <f>IF(OR(#REF!="",#REF!=0,#REF!=#REF!),"",#REF!)</f>
        <v>#REF!</v>
      </c>
      <c r="E88" s="88" t="e">
        <f>IF($D88="","",#REF!)</f>
        <v>#REF!</v>
      </c>
      <c r="F88" s="91"/>
      <c r="G88" s="91"/>
      <c r="H88" s="91"/>
      <c r="I88" s="91"/>
      <c r="J88" s="91"/>
      <c r="K88" s="91"/>
      <c r="L88" s="91"/>
      <c r="M88" s="91"/>
      <c r="N88" s="91"/>
      <c r="O88" s="91"/>
      <c r="P88" s="91"/>
      <c r="Q88" s="91"/>
      <c r="R88" s="91"/>
      <c r="S88" s="91"/>
      <c r="T88" s="109"/>
      <c r="U88" s="109"/>
      <c r="V88" s="109"/>
      <c r="W88" s="108"/>
      <c r="X88" s="108"/>
      <c r="Y88" s="91"/>
      <c r="Z88" s="186" t="e">
        <f t="array" ref="Z88">IF(E88="","",SUMPRODUCT(T88:V88,TRANSPOSE($V$4:$V$6)))</f>
        <v>#REF!</v>
      </c>
      <c r="AA88" s="109"/>
      <c r="AB88" s="91"/>
      <c r="AC88" s="91"/>
      <c r="AD88" s="91"/>
      <c r="AE88" s="91"/>
      <c r="AF88" s="91"/>
      <c r="AG88" s="91"/>
      <c r="AH88" s="91"/>
      <c r="AI88" s="112"/>
      <c r="AJ88" s="109"/>
      <c r="AK88" s="91"/>
      <c r="AL88" s="91"/>
      <c r="AM88" s="91"/>
      <c r="AN88" s="91"/>
      <c r="AO88" s="91"/>
      <c r="AP88" s="91"/>
      <c r="AQ88" s="91"/>
      <c r="AR88" s="91"/>
      <c r="AS88" s="91"/>
      <c r="AT88" s="91"/>
      <c r="AU88" s="110"/>
      <c r="AV88" s="85" t="e">
        <f t="shared" si="3"/>
        <v>#REF!</v>
      </c>
      <c r="AW88" s="85" t="e">
        <f t="shared" si="3"/>
        <v>#REF!</v>
      </c>
      <c r="AX88" s="85" t="e">
        <f t="shared" si="3"/>
        <v>#REF!</v>
      </c>
      <c r="BB88" s="85" t="s">
        <v>68</v>
      </c>
    </row>
    <row r="89" spans="1:54" ht="15.75" x14ac:dyDescent="0.2">
      <c r="A89" s="111" t="e">
        <f t="shared" si="5"/>
        <v>#REF!</v>
      </c>
      <c r="B89" s="88" t="e">
        <f>IF(OR(#REF!="",#REF!=0,#REF!=#REF!),"",#REF!)</f>
        <v>#REF!</v>
      </c>
      <c r="C89" s="107" t="e">
        <f t="shared" si="4"/>
        <v>#REF!</v>
      </c>
      <c r="D89" s="88" t="e">
        <f>IF(OR(#REF!="",#REF!=0,#REF!=#REF!),"",#REF!)</f>
        <v>#REF!</v>
      </c>
      <c r="E89" s="88" t="e">
        <f>IF($D89="","",#REF!)</f>
        <v>#REF!</v>
      </c>
      <c r="F89" s="91"/>
      <c r="G89" s="91"/>
      <c r="H89" s="91"/>
      <c r="I89" s="91"/>
      <c r="J89" s="91"/>
      <c r="K89" s="91"/>
      <c r="L89" s="91"/>
      <c r="M89" s="91"/>
      <c r="N89" s="91"/>
      <c r="O89" s="91"/>
      <c r="P89" s="91"/>
      <c r="Q89" s="91"/>
      <c r="R89" s="91"/>
      <c r="S89" s="91"/>
      <c r="T89" s="109"/>
      <c r="U89" s="109"/>
      <c r="V89" s="109"/>
      <c r="W89" s="108"/>
      <c r="X89" s="108"/>
      <c r="Y89" s="91"/>
      <c r="Z89" s="186" t="e">
        <f t="array" ref="Z89">IF(E89="","",SUMPRODUCT(T89:V89,TRANSPOSE($V$4:$V$6)))</f>
        <v>#REF!</v>
      </c>
      <c r="AA89" s="109"/>
      <c r="AB89" s="91"/>
      <c r="AC89" s="91"/>
      <c r="AD89" s="91"/>
      <c r="AE89" s="91"/>
      <c r="AF89" s="91"/>
      <c r="AG89" s="91"/>
      <c r="AH89" s="91"/>
      <c r="AI89" s="112"/>
      <c r="AJ89" s="109"/>
      <c r="AK89" s="91"/>
      <c r="AL89" s="91"/>
      <c r="AM89" s="91"/>
      <c r="AN89" s="91"/>
      <c r="AO89" s="91"/>
      <c r="AP89" s="91"/>
      <c r="AQ89" s="91"/>
      <c r="AR89" s="91"/>
      <c r="AS89" s="91"/>
      <c r="AT89" s="91"/>
      <c r="AU89" s="110"/>
      <c r="AV89" s="85" t="e">
        <f t="shared" si="3"/>
        <v>#REF!</v>
      </c>
      <c r="AW89" s="85" t="e">
        <f t="shared" si="3"/>
        <v>#REF!</v>
      </c>
      <c r="AX89" s="85" t="e">
        <f t="shared" si="3"/>
        <v>#REF!</v>
      </c>
      <c r="BB89" s="85" t="s">
        <v>70</v>
      </c>
    </row>
    <row r="90" spans="1:54" ht="15.75" x14ac:dyDescent="0.2">
      <c r="A90" s="111" t="e">
        <f t="shared" si="5"/>
        <v>#REF!</v>
      </c>
      <c r="B90" s="88" t="e">
        <f>IF(OR(#REF!="",#REF!=0,#REF!=#REF!),"",#REF!)</f>
        <v>#REF!</v>
      </c>
      <c r="C90" s="107" t="e">
        <f t="shared" si="4"/>
        <v>#REF!</v>
      </c>
      <c r="D90" s="88" t="e">
        <f>IF(OR(#REF!="",#REF!=0,#REF!=#REF!),"",#REF!)</f>
        <v>#REF!</v>
      </c>
      <c r="E90" s="88" t="e">
        <f>IF($D90="","",#REF!)</f>
        <v>#REF!</v>
      </c>
      <c r="F90" s="91"/>
      <c r="G90" s="91"/>
      <c r="H90" s="91"/>
      <c r="I90" s="91"/>
      <c r="J90" s="91"/>
      <c r="K90" s="91"/>
      <c r="L90" s="91"/>
      <c r="M90" s="91"/>
      <c r="N90" s="91"/>
      <c r="O90" s="91"/>
      <c r="P90" s="91"/>
      <c r="Q90" s="91"/>
      <c r="R90" s="91"/>
      <c r="S90" s="91"/>
      <c r="T90" s="109"/>
      <c r="U90" s="109"/>
      <c r="V90" s="109"/>
      <c r="W90" s="108"/>
      <c r="X90" s="108"/>
      <c r="Y90" s="91"/>
      <c r="Z90" s="186" t="e">
        <f t="array" ref="Z90">IF(E90="","",SUMPRODUCT(T90:V90,TRANSPOSE($V$4:$V$6)))</f>
        <v>#REF!</v>
      </c>
      <c r="AA90" s="109"/>
      <c r="AB90" s="91"/>
      <c r="AC90" s="91"/>
      <c r="AD90" s="91"/>
      <c r="AE90" s="91"/>
      <c r="AF90" s="91"/>
      <c r="AG90" s="91"/>
      <c r="AH90" s="91"/>
      <c r="AI90" s="112"/>
      <c r="AJ90" s="109"/>
      <c r="AK90" s="91"/>
      <c r="AL90" s="91"/>
      <c r="AM90" s="91"/>
      <c r="AN90" s="91"/>
      <c r="AO90" s="91"/>
      <c r="AP90" s="91"/>
      <c r="AQ90" s="91"/>
      <c r="AR90" s="91"/>
      <c r="AS90" s="91"/>
      <c r="AT90" s="91"/>
      <c r="AU90" s="110"/>
      <c r="AV90" s="85" t="e">
        <f t="shared" si="3"/>
        <v>#REF!</v>
      </c>
      <c r="AW90" s="85" t="e">
        <f t="shared" si="3"/>
        <v>#REF!</v>
      </c>
      <c r="AX90" s="85" t="e">
        <f t="shared" si="3"/>
        <v>#REF!</v>
      </c>
      <c r="BB90" s="85" t="s">
        <v>72</v>
      </c>
    </row>
    <row r="91" spans="1:54" ht="15.75" x14ac:dyDescent="0.2">
      <c r="A91" s="111" t="e">
        <f t="shared" si="5"/>
        <v>#REF!</v>
      </c>
      <c r="B91" s="88" t="e">
        <f>IF(OR(#REF!="",#REF!=0,#REF!=#REF!),"",#REF!)</f>
        <v>#REF!</v>
      </c>
      <c r="C91" s="107" t="e">
        <f t="shared" si="4"/>
        <v>#REF!</v>
      </c>
      <c r="D91" s="88" t="e">
        <f>IF(OR(#REF!="",#REF!=0,#REF!=#REF!),"",#REF!)</f>
        <v>#REF!</v>
      </c>
      <c r="E91" s="88" t="e">
        <f>IF($D91="","",#REF!)</f>
        <v>#REF!</v>
      </c>
      <c r="F91" s="91"/>
      <c r="G91" s="91"/>
      <c r="H91" s="91"/>
      <c r="I91" s="91"/>
      <c r="J91" s="91"/>
      <c r="K91" s="91"/>
      <c r="L91" s="91"/>
      <c r="M91" s="91"/>
      <c r="N91" s="91"/>
      <c r="O91" s="91"/>
      <c r="P91" s="91"/>
      <c r="Q91" s="91"/>
      <c r="R91" s="91"/>
      <c r="S91" s="91"/>
      <c r="T91" s="109"/>
      <c r="U91" s="109"/>
      <c r="V91" s="109"/>
      <c r="W91" s="108"/>
      <c r="X91" s="108"/>
      <c r="Y91" s="91"/>
      <c r="Z91" s="186" t="e">
        <f t="array" ref="Z91">IF(E91="","",SUMPRODUCT(T91:V91,TRANSPOSE($V$4:$V$6)))</f>
        <v>#REF!</v>
      </c>
      <c r="AA91" s="109"/>
      <c r="AB91" s="91"/>
      <c r="AC91" s="91"/>
      <c r="AD91" s="91"/>
      <c r="AE91" s="91"/>
      <c r="AF91" s="91"/>
      <c r="AG91" s="91"/>
      <c r="AH91" s="91"/>
      <c r="AI91" s="112"/>
      <c r="AJ91" s="109"/>
      <c r="AK91" s="91"/>
      <c r="AL91" s="91"/>
      <c r="AM91" s="91"/>
      <c r="AN91" s="91"/>
      <c r="AO91" s="91"/>
      <c r="AP91" s="91"/>
      <c r="AQ91" s="91"/>
      <c r="AR91" s="91"/>
      <c r="AS91" s="91"/>
      <c r="AT91" s="91"/>
      <c r="AU91" s="110"/>
      <c r="AV91" s="85" t="e">
        <f t="shared" si="3"/>
        <v>#REF!</v>
      </c>
      <c r="AW91" s="85" t="e">
        <f t="shared" si="3"/>
        <v>#REF!</v>
      </c>
      <c r="AX91" s="85" t="e">
        <f t="shared" si="3"/>
        <v>#REF!</v>
      </c>
      <c r="BB91" s="85" t="s">
        <v>73</v>
      </c>
    </row>
    <row r="92" spans="1:54" ht="15.75" x14ac:dyDescent="0.2">
      <c r="A92" s="111" t="e">
        <f t="shared" si="5"/>
        <v>#REF!</v>
      </c>
      <c r="B92" s="88" t="e">
        <f>IF(OR(#REF!="",#REF!=0,#REF!=#REF!),"",#REF!)</f>
        <v>#REF!</v>
      </c>
      <c r="C92" s="107" t="e">
        <f t="shared" si="4"/>
        <v>#REF!</v>
      </c>
      <c r="D92" s="88" t="e">
        <f>IF(OR(#REF!="",#REF!=0,#REF!=#REF!),"",#REF!)</f>
        <v>#REF!</v>
      </c>
      <c r="E92" s="88" t="e">
        <f>IF($D92="","",#REF!)</f>
        <v>#REF!</v>
      </c>
      <c r="F92" s="91"/>
      <c r="G92" s="91"/>
      <c r="H92" s="91"/>
      <c r="I92" s="91"/>
      <c r="J92" s="91"/>
      <c r="K92" s="91"/>
      <c r="L92" s="91"/>
      <c r="M92" s="91"/>
      <c r="N92" s="91"/>
      <c r="O92" s="91"/>
      <c r="P92" s="91"/>
      <c r="Q92" s="91"/>
      <c r="R92" s="91"/>
      <c r="S92" s="91"/>
      <c r="T92" s="109"/>
      <c r="U92" s="109"/>
      <c r="V92" s="109"/>
      <c r="W92" s="108"/>
      <c r="X92" s="108"/>
      <c r="Y92" s="91"/>
      <c r="Z92" s="186" t="e">
        <f t="array" ref="Z92">IF(E92="","",SUMPRODUCT(T92:V92,TRANSPOSE($V$4:$V$6)))</f>
        <v>#REF!</v>
      </c>
      <c r="AA92" s="109"/>
      <c r="AB92" s="91"/>
      <c r="AC92" s="91"/>
      <c r="AD92" s="91"/>
      <c r="AE92" s="91"/>
      <c r="AF92" s="91"/>
      <c r="AG92" s="91"/>
      <c r="AH92" s="91"/>
      <c r="AI92" s="112"/>
      <c r="AJ92" s="109"/>
      <c r="AK92" s="91"/>
      <c r="AL92" s="91"/>
      <c r="AM92" s="91"/>
      <c r="AN92" s="91"/>
      <c r="AO92" s="91"/>
      <c r="AP92" s="91"/>
      <c r="AQ92" s="91"/>
      <c r="AR92" s="91"/>
      <c r="AS92" s="91"/>
      <c r="AT92" s="91"/>
      <c r="AU92" s="110"/>
      <c r="AV92" s="85" t="e">
        <f t="shared" si="3"/>
        <v>#REF!</v>
      </c>
      <c r="AW92" s="85" t="e">
        <f t="shared" si="3"/>
        <v>#REF!</v>
      </c>
      <c r="AX92" s="85" t="e">
        <f t="shared" si="3"/>
        <v>#REF!</v>
      </c>
      <c r="BB92" s="85" t="s">
        <v>234</v>
      </c>
    </row>
    <row r="93" spans="1:54" ht="15.75" x14ac:dyDescent="0.2">
      <c r="A93" s="111" t="e">
        <f t="shared" si="5"/>
        <v>#REF!</v>
      </c>
      <c r="B93" s="88" t="e">
        <f>IF(OR(#REF!="",#REF!=0,#REF!=#REF!),"",#REF!)</f>
        <v>#REF!</v>
      </c>
      <c r="C93" s="107" t="e">
        <f t="shared" si="4"/>
        <v>#REF!</v>
      </c>
      <c r="D93" s="88" t="e">
        <f>IF(OR(#REF!="",#REF!=0,#REF!=#REF!),"",#REF!)</f>
        <v>#REF!</v>
      </c>
      <c r="E93" s="88" t="e">
        <f>IF($D93="","",#REF!)</f>
        <v>#REF!</v>
      </c>
      <c r="F93" s="91"/>
      <c r="G93" s="91"/>
      <c r="H93" s="91"/>
      <c r="I93" s="91"/>
      <c r="J93" s="91"/>
      <c r="K93" s="91"/>
      <c r="L93" s="91"/>
      <c r="M93" s="91"/>
      <c r="N93" s="91"/>
      <c r="O93" s="91"/>
      <c r="P93" s="91"/>
      <c r="Q93" s="91"/>
      <c r="R93" s="91"/>
      <c r="S93" s="91"/>
      <c r="T93" s="109"/>
      <c r="U93" s="109"/>
      <c r="V93" s="109"/>
      <c r="W93" s="108"/>
      <c r="X93" s="108"/>
      <c r="Y93" s="91"/>
      <c r="Z93" s="186" t="e">
        <f t="array" ref="Z93">IF(E93="","",SUMPRODUCT(T93:V93,TRANSPOSE($V$4:$V$6)))</f>
        <v>#REF!</v>
      </c>
      <c r="AA93" s="109"/>
      <c r="AB93" s="91"/>
      <c r="AC93" s="91"/>
      <c r="AD93" s="91"/>
      <c r="AE93" s="91"/>
      <c r="AF93" s="91"/>
      <c r="AG93" s="91"/>
      <c r="AH93" s="91"/>
      <c r="AI93" s="112"/>
      <c r="AJ93" s="109"/>
      <c r="AK93" s="91"/>
      <c r="AL93" s="91"/>
      <c r="AM93" s="91"/>
      <c r="AN93" s="91"/>
      <c r="AO93" s="91"/>
      <c r="AP93" s="91"/>
      <c r="AQ93" s="91"/>
      <c r="AR93" s="91"/>
      <c r="AS93" s="91"/>
      <c r="AT93" s="91"/>
      <c r="AU93" s="110"/>
      <c r="AV93" s="85" t="e">
        <f t="shared" si="3"/>
        <v>#REF!</v>
      </c>
      <c r="AW93" s="85" t="e">
        <f t="shared" si="3"/>
        <v>#REF!</v>
      </c>
      <c r="AX93" s="85" t="e">
        <f t="shared" si="3"/>
        <v>#REF!</v>
      </c>
      <c r="BB93" s="85" t="s">
        <v>75</v>
      </c>
    </row>
    <row r="94" spans="1:54" ht="15.75" x14ac:dyDescent="0.2">
      <c r="A94" s="111" t="e">
        <f t="shared" si="5"/>
        <v>#REF!</v>
      </c>
      <c r="B94" s="88" t="e">
        <f>IF(OR(#REF!="",#REF!=0,#REF!=#REF!),"",#REF!)</f>
        <v>#REF!</v>
      </c>
      <c r="C94" s="107" t="e">
        <f t="shared" si="4"/>
        <v>#REF!</v>
      </c>
      <c r="D94" s="88" t="e">
        <f>IF(OR(#REF!="",#REF!=0,#REF!=#REF!),"",#REF!)</f>
        <v>#REF!</v>
      </c>
      <c r="E94" s="88" t="e">
        <f>IF($D94="","",#REF!)</f>
        <v>#REF!</v>
      </c>
      <c r="F94" s="91"/>
      <c r="G94" s="91"/>
      <c r="H94" s="91"/>
      <c r="I94" s="91"/>
      <c r="J94" s="91"/>
      <c r="K94" s="91"/>
      <c r="L94" s="91"/>
      <c r="M94" s="91"/>
      <c r="N94" s="91"/>
      <c r="O94" s="91"/>
      <c r="P94" s="91"/>
      <c r="Q94" s="91"/>
      <c r="R94" s="91"/>
      <c r="S94" s="91"/>
      <c r="T94" s="109"/>
      <c r="U94" s="109"/>
      <c r="V94" s="109"/>
      <c r="W94" s="108"/>
      <c r="X94" s="108"/>
      <c r="Y94" s="91"/>
      <c r="Z94" s="186" t="e">
        <f t="array" ref="Z94">IF(E94="","",SUMPRODUCT(T94:V94,TRANSPOSE($V$4:$V$6)))</f>
        <v>#REF!</v>
      </c>
      <c r="AA94" s="109"/>
      <c r="AB94" s="91"/>
      <c r="AC94" s="91"/>
      <c r="AD94" s="91"/>
      <c r="AE94" s="91"/>
      <c r="AF94" s="91"/>
      <c r="AG94" s="91"/>
      <c r="AH94" s="91"/>
      <c r="AI94" s="112"/>
      <c r="AJ94" s="109"/>
      <c r="AK94" s="91"/>
      <c r="AL94" s="91"/>
      <c r="AM94" s="91"/>
      <c r="AN94" s="91"/>
      <c r="AO94" s="91"/>
      <c r="AP94" s="91"/>
      <c r="AQ94" s="91"/>
      <c r="AR94" s="91"/>
      <c r="AS94" s="91"/>
      <c r="AT94" s="91"/>
      <c r="AU94" s="110"/>
      <c r="AV94" s="85" t="e">
        <f t="shared" si="3"/>
        <v>#REF!</v>
      </c>
      <c r="AW94" s="85" t="e">
        <f t="shared" si="3"/>
        <v>#REF!</v>
      </c>
      <c r="AX94" s="85" t="e">
        <f t="shared" si="3"/>
        <v>#REF!</v>
      </c>
      <c r="BB94" s="85" t="s">
        <v>76</v>
      </c>
    </row>
    <row r="95" spans="1:54" ht="15.75" x14ac:dyDescent="0.2">
      <c r="A95" s="111" t="e">
        <f t="shared" si="5"/>
        <v>#REF!</v>
      </c>
      <c r="B95" s="88" t="e">
        <f>IF(OR(#REF!="",#REF!=0,#REF!=#REF!),"",#REF!)</f>
        <v>#REF!</v>
      </c>
      <c r="C95" s="107" t="e">
        <f t="shared" si="4"/>
        <v>#REF!</v>
      </c>
      <c r="D95" s="88" t="e">
        <f>IF(OR(#REF!="",#REF!=0,#REF!=#REF!),"",#REF!)</f>
        <v>#REF!</v>
      </c>
      <c r="E95" s="88" t="e">
        <f>IF($D95="","",#REF!)</f>
        <v>#REF!</v>
      </c>
      <c r="F95" s="91"/>
      <c r="G95" s="91"/>
      <c r="H95" s="91"/>
      <c r="I95" s="91"/>
      <c r="J95" s="91"/>
      <c r="K95" s="91"/>
      <c r="L95" s="91"/>
      <c r="M95" s="91"/>
      <c r="N95" s="91"/>
      <c r="O95" s="91"/>
      <c r="P95" s="91"/>
      <c r="Q95" s="91"/>
      <c r="R95" s="91"/>
      <c r="S95" s="91"/>
      <c r="T95" s="109"/>
      <c r="U95" s="109"/>
      <c r="V95" s="109"/>
      <c r="W95" s="108"/>
      <c r="X95" s="108"/>
      <c r="Y95" s="91"/>
      <c r="Z95" s="186" t="e">
        <f t="array" ref="Z95">IF(E95="","",SUMPRODUCT(T95:V95,TRANSPOSE($V$4:$V$6)))</f>
        <v>#REF!</v>
      </c>
      <c r="AA95" s="109"/>
      <c r="AB95" s="91"/>
      <c r="AC95" s="91"/>
      <c r="AD95" s="91"/>
      <c r="AE95" s="91"/>
      <c r="AF95" s="91"/>
      <c r="AG95" s="91"/>
      <c r="AH95" s="91"/>
      <c r="AI95" s="112"/>
      <c r="AJ95" s="109"/>
      <c r="AK95" s="91"/>
      <c r="AL95" s="91"/>
      <c r="AM95" s="91"/>
      <c r="AN95" s="91"/>
      <c r="AO95" s="91"/>
      <c r="AP95" s="91"/>
      <c r="AQ95" s="91"/>
      <c r="AR95" s="91"/>
      <c r="AS95" s="91"/>
      <c r="AT95" s="91"/>
      <c r="AU95" s="110"/>
      <c r="AV95" s="85" t="e">
        <f t="shared" si="3"/>
        <v>#REF!</v>
      </c>
      <c r="AW95" s="85" t="e">
        <f t="shared" si="3"/>
        <v>#REF!</v>
      </c>
      <c r="AX95" s="85" t="e">
        <f t="shared" si="3"/>
        <v>#REF!</v>
      </c>
      <c r="BB95" s="85" t="s">
        <v>235</v>
      </c>
    </row>
    <row r="96" spans="1:54" ht="15.75" x14ac:dyDescent="0.2">
      <c r="A96" s="111" t="e">
        <f t="shared" si="5"/>
        <v>#REF!</v>
      </c>
      <c r="B96" s="88" t="e">
        <f>IF(OR(#REF!="",#REF!=0,#REF!=#REF!),"",#REF!)</f>
        <v>#REF!</v>
      </c>
      <c r="C96" s="107" t="e">
        <f t="shared" si="4"/>
        <v>#REF!</v>
      </c>
      <c r="D96" s="88" t="e">
        <f>IF(OR(#REF!="",#REF!=0,#REF!=#REF!),"",#REF!)</f>
        <v>#REF!</v>
      </c>
      <c r="E96" s="88" t="e">
        <f>IF($D96="","",#REF!)</f>
        <v>#REF!</v>
      </c>
      <c r="F96" s="91"/>
      <c r="G96" s="91"/>
      <c r="H96" s="91"/>
      <c r="I96" s="91"/>
      <c r="J96" s="91"/>
      <c r="K96" s="91"/>
      <c r="L96" s="91"/>
      <c r="M96" s="91"/>
      <c r="N96" s="91"/>
      <c r="O96" s="91"/>
      <c r="P96" s="91"/>
      <c r="Q96" s="91"/>
      <c r="R96" s="91"/>
      <c r="S96" s="91"/>
      <c r="T96" s="109"/>
      <c r="U96" s="109"/>
      <c r="V96" s="109"/>
      <c r="W96" s="108"/>
      <c r="X96" s="108"/>
      <c r="Y96" s="91"/>
      <c r="Z96" s="186" t="e">
        <f t="array" ref="Z96">IF(E96="","",SUMPRODUCT(T96:V96,TRANSPOSE($V$4:$V$6)))</f>
        <v>#REF!</v>
      </c>
      <c r="AA96" s="109"/>
      <c r="AB96" s="91"/>
      <c r="AC96" s="91"/>
      <c r="AD96" s="91"/>
      <c r="AE96" s="91"/>
      <c r="AF96" s="91"/>
      <c r="AG96" s="91"/>
      <c r="AH96" s="91"/>
      <c r="AI96" s="112"/>
      <c r="AJ96" s="109"/>
      <c r="AK96" s="91"/>
      <c r="AL96" s="91"/>
      <c r="AM96" s="91"/>
      <c r="AN96" s="91"/>
      <c r="AO96" s="91"/>
      <c r="AP96" s="91"/>
      <c r="AQ96" s="91"/>
      <c r="AR96" s="91"/>
      <c r="AS96" s="91"/>
      <c r="AT96" s="91"/>
      <c r="AU96" s="110"/>
      <c r="AV96" s="85" t="e">
        <f t="shared" si="3"/>
        <v>#REF!</v>
      </c>
      <c r="AW96" s="85" t="e">
        <f t="shared" si="3"/>
        <v>#REF!</v>
      </c>
      <c r="AX96" s="85" t="e">
        <f t="shared" si="3"/>
        <v>#REF!</v>
      </c>
      <c r="BB96" s="85" t="s">
        <v>77</v>
      </c>
    </row>
    <row r="97" spans="1:54" ht="15.75" x14ac:dyDescent="0.2">
      <c r="A97" s="111" t="e">
        <f t="shared" si="5"/>
        <v>#REF!</v>
      </c>
      <c r="B97" s="88" t="e">
        <f>IF(OR(#REF!="",#REF!=0,#REF!=#REF!),"",#REF!)</f>
        <v>#REF!</v>
      </c>
      <c r="C97" s="107" t="e">
        <f t="shared" si="4"/>
        <v>#REF!</v>
      </c>
      <c r="D97" s="88" t="e">
        <f>IF(OR(#REF!="",#REF!=0,#REF!=#REF!),"",#REF!)</f>
        <v>#REF!</v>
      </c>
      <c r="E97" s="88" t="e">
        <f>IF($D97="","",#REF!)</f>
        <v>#REF!</v>
      </c>
      <c r="F97" s="91"/>
      <c r="G97" s="91"/>
      <c r="H97" s="91"/>
      <c r="I97" s="91"/>
      <c r="J97" s="91"/>
      <c r="K97" s="91"/>
      <c r="L97" s="91"/>
      <c r="M97" s="91"/>
      <c r="N97" s="91"/>
      <c r="O97" s="91"/>
      <c r="P97" s="91"/>
      <c r="Q97" s="91"/>
      <c r="R97" s="91"/>
      <c r="S97" s="91"/>
      <c r="T97" s="109"/>
      <c r="U97" s="109"/>
      <c r="V97" s="109"/>
      <c r="W97" s="108"/>
      <c r="X97" s="108"/>
      <c r="Y97" s="91"/>
      <c r="Z97" s="186" t="e">
        <f t="array" ref="Z97">IF(E97="","",SUMPRODUCT(T97:V97,TRANSPOSE($V$4:$V$6)))</f>
        <v>#REF!</v>
      </c>
      <c r="AA97" s="109"/>
      <c r="AB97" s="91"/>
      <c r="AC97" s="91"/>
      <c r="AD97" s="91"/>
      <c r="AE97" s="91"/>
      <c r="AF97" s="91"/>
      <c r="AG97" s="91"/>
      <c r="AH97" s="91"/>
      <c r="AI97" s="112"/>
      <c r="AJ97" s="109"/>
      <c r="AK97" s="91"/>
      <c r="AL97" s="91"/>
      <c r="AM97" s="91"/>
      <c r="AN97" s="91"/>
      <c r="AO97" s="91"/>
      <c r="AP97" s="91"/>
      <c r="AQ97" s="91"/>
      <c r="AR97" s="91"/>
      <c r="AS97" s="91"/>
      <c r="AT97" s="91"/>
      <c r="AU97" s="110"/>
      <c r="AV97" s="85" t="e">
        <f t="shared" si="3"/>
        <v>#REF!</v>
      </c>
      <c r="AW97" s="85" t="e">
        <f t="shared" si="3"/>
        <v>#REF!</v>
      </c>
      <c r="AX97" s="85" t="e">
        <f t="shared" si="3"/>
        <v>#REF!</v>
      </c>
      <c r="BB97" s="85" t="s">
        <v>79</v>
      </c>
    </row>
    <row r="98" spans="1:54" ht="15.75" x14ac:dyDescent="0.2">
      <c r="A98" s="111" t="e">
        <f t="shared" si="5"/>
        <v>#REF!</v>
      </c>
      <c r="B98" s="88" t="e">
        <f>IF(OR(#REF!="",#REF!=0,#REF!=#REF!),"",#REF!)</f>
        <v>#REF!</v>
      </c>
      <c r="C98" s="107" t="e">
        <f t="shared" si="4"/>
        <v>#REF!</v>
      </c>
      <c r="D98" s="88" t="e">
        <f>IF(OR(#REF!="",#REF!=0,#REF!=#REF!),"",#REF!)</f>
        <v>#REF!</v>
      </c>
      <c r="E98" s="88" t="e">
        <f>IF($D98="","",#REF!)</f>
        <v>#REF!</v>
      </c>
      <c r="F98" s="91"/>
      <c r="G98" s="91"/>
      <c r="H98" s="91"/>
      <c r="I98" s="91"/>
      <c r="J98" s="91"/>
      <c r="K98" s="91"/>
      <c r="L98" s="91"/>
      <c r="M98" s="91"/>
      <c r="N98" s="91"/>
      <c r="O98" s="91"/>
      <c r="P98" s="91"/>
      <c r="Q98" s="91"/>
      <c r="R98" s="91"/>
      <c r="S98" s="91"/>
      <c r="T98" s="109"/>
      <c r="U98" s="109"/>
      <c r="V98" s="109"/>
      <c r="W98" s="108"/>
      <c r="X98" s="108"/>
      <c r="Y98" s="91"/>
      <c r="Z98" s="186" t="e">
        <f t="array" ref="Z98">IF(E98="","",SUMPRODUCT(T98:V98,TRANSPOSE($V$4:$V$6)))</f>
        <v>#REF!</v>
      </c>
      <c r="AA98" s="109"/>
      <c r="AB98" s="91"/>
      <c r="AC98" s="91"/>
      <c r="AD98" s="91"/>
      <c r="AE98" s="91"/>
      <c r="AF98" s="91"/>
      <c r="AG98" s="91"/>
      <c r="AH98" s="91"/>
      <c r="AI98" s="113"/>
      <c r="AJ98" s="109"/>
      <c r="AK98" s="91"/>
      <c r="AL98" s="91"/>
      <c r="AM98" s="91"/>
      <c r="AN98" s="91"/>
      <c r="AO98" s="91"/>
      <c r="AP98" s="91"/>
      <c r="AQ98" s="91"/>
      <c r="AR98" s="91"/>
      <c r="AS98" s="91"/>
      <c r="AT98" s="91"/>
      <c r="AU98" s="110"/>
      <c r="AV98" s="85" t="e">
        <f t="shared" si="3"/>
        <v>#REF!</v>
      </c>
      <c r="AW98" s="85" t="e">
        <f t="shared" si="3"/>
        <v>#REF!</v>
      </c>
      <c r="AX98" s="85" t="e">
        <f t="shared" si="3"/>
        <v>#REF!</v>
      </c>
      <c r="BB98" s="85" t="s">
        <v>81</v>
      </c>
    </row>
    <row r="99" spans="1:54" ht="15.75" x14ac:dyDescent="0.2">
      <c r="A99" s="111" t="e">
        <f t="shared" si="5"/>
        <v>#REF!</v>
      </c>
      <c r="B99" s="88" t="e">
        <f>IF(OR(#REF!="",#REF!=0,#REF!=#REF!),"",#REF!)</f>
        <v>#REF!</v>
      </c>
      <c r="C99" s="107" t="e">
        <f t="shared" si="4"/>
        <v>#REF!</v>
      </c>
      <c r="D99" s="88" t="e">
        <f>IF(OR(#REF!="",#REF!=0,#REF!=#REF!),"",#REF!)</f>
        <v>#REF!</v>
      </c>
      <c r="E99" s="88" t="e">
        <f>IF($D99="","",#REF!)</f>
        <v>#REF!</v>
      </c>
      <c r="F99" s="91"/>
      <c r="G99" s="91"/>
      <c r="H99" s="91"/>
      <c r="I99" s="91"/>
      <c r="J99" s="91"/>
      <c r="K99" s="91"/>
      <c r="L99" s="91"/>
      <c r="M99" s="91"/>
      <c r="N99" s="91"/>
      <c r="O99" s="91"/>
      <c r="P99" s="91"/>
      <c r="Q99" s="91"/>
      <c r="R99" s="91"/>
      <c r="S99" s="91"/>
      <c r="T99" s="109"/>
      <c r="U99" s="109"/>
      <c r="V99" s="109"/>
      <c r="W99" s="108"/>
      <c r="X99" s="108"/>
      <c r="Y99" s="91"/>
      <c r="Z99" s="186" t="e">
        <f t="array" ref="Z99">IF(E99="","",SUMPRODUCT(T99:V99,TRANSPOSE($V$4:$V$6)))</f>
        <v>#REF!</v>
      </c>
      <c r="AA99" s="109"/>
      <c r="AB99" s="91"/>
      <c r="AC99" s="91"/>
      <c r="AD99" s="91"/>
      <c r="AE99" s="91"/>
      <c r="AF99" s="91"/>
      <c r="AG99" s="91"/>
      <c r="AH99" s="91"/>
      <c r="AI99" s="112"/>
      <c r="AJ99" s="109"/>
      <c r="AK99" s="91"/>
      <c r="AL99" s="91"/>
      <c r="AM99" s="91"/>
      <c r="AN99" s="91"/>
      <c r="AO99" s="91"/>
      <c r="AP99" s="91"/>
      <c r="AQ99" s="91"/>
      <c r="AR99" s="91"/>
      <c r="AS99" s="91"/>
      <c r="AT99" s="91"/>
      <c r="AU99" s="110"/>
      <c r="AV99" s="85" t="e">
        <f t="shared" si="3"/>
        <v>#REF!</v>
      </c>
      <c r="AW99" s="85" t="e">
        <f t="shared" si="3"/>
        <v>#REF!</v>
      </c>
      <c r="AX99" s="85" t="e">
        <f t="shared" si="3"/>
        <v>#REF!</v>
      </c>
      <c r="BB99" s="85" t="s">
        <v>86</v>
      </c>
    </row>
    <row r="100" spans="1:54" ht="15.75" x14ac:dyDescent="0.2">
      <c r="A100" s="111" t="e">
        <f t="shared" si="5"/>
        <v>#REF!</v>
      </c>
      <c r="B100" s="88" t="e">
        <f>IF(OR(#REF!="",#REF!=0,#REF!=#REF!),"",#REF!)</f>
        <v>#REF!</v>
      </c>
      <c r="C100" s="107" t="e">
        <f t="shared" si="4"/>
        <v>#REF!</v>
      </c>
      <c r="D100" s="88" t="e">
        <f>IF(OR(#REF!="",#REF!=0,#REF!=#REF!),"",#REF!)</f>
        <v>#REF!</v>
      </c>
      <c r="E100" s="88" t="e">
        <f>IF($D100="","",#REF!)</f>
        <v>#REF!</v>
      </c>
      <c r="F100" s="91"/>
      <c r="G100" s="91"/>
      <c r="H100" s="91"/>
      <c r="I100" s="91"/>
      <c r="J100" s="91"/>
      <c r="K100" s="91"/>
      <c r="L100" s="91"/>
      <c r="M100" s="91"/>
      <c r="N100" s="91"/>
      <c r="O100" s="91"/>
      <c r="P100" s="91"/>
      <c r="Q100" s="91"/>
      <c r="R100" s="91"/>
      <c r="S100" s="91"/>
      <c r="T100" s="109"/>
      <c r="U100" s="109"/>
      <c r="V100" s="109"/>
      <c r="W100" s="108"/>
      <c r="X100" s="108"/>
      <c r="Y100" s="91"/>
      <c r="Z100" s="186" t="e">
        <f t="array" ref="Z100">IF(E100="","",SUMPRODUCT(T100:V100,TRANSPOSE($V$4:$V$6)))</f>
        <v>#REF!</v>
      </c>
      <c r="AA100" s="109"/>
      <c r="AB100" s="91"/>
      <c r="AC100" s="91"/>
      <c r="AD100" s="91"/>
      <c r="AE100" s="91"/>
      <c r="AF100" s="91"/>
      <c r="AG100" s="91"/>
      <c r="AH100" s="91"/>
      <c r="AI100" s="113"/>
      <c r="AJ100" s="109"/>
      <c r="AK100" s="91"/>
      <c r="AL100" s="91"/>
      <c r="AM100" s="91"/>
      <c r="AN100" s="91"/>
      <c r="AO100" s="91"/>
      <c r="AP100" s="91"/>
      <c r="AQ100" s="91"/>
      <c r="AR100" s="91"/>
      <c r="AS100" s="91"/>
      <c r="AT100" s="91"/>
      <c r="AU100" s="110"/>
      <c r="AV100" s="85" t="e">
        <f t="shared" si="3"/>
        <v>#REF!</v>
      </c>
      <c r="AW100" s="85" t="e">
        <f t="shared" si="3"/>
        <v>#REF!</v>
      </c>
      <c r="AX100" s="85" t="e">
        <f t="shared" si="3"/>
        <v>#REF!</v>
      </c>
      <c r="BB100" s="85" t="s">
        <v>93</v>
      </c>
    </row>
    <row r="101" spans="1:54" ht="15.75" x14ac:dyDescent="0.2">
      <c r="A101" s="111" t="e">
        <f t="shared" si="5"/>
        <v>#REF!</v>
      </c>
      <c r="B101" s="88" t="e">
        <f>IF(OR(#REF!="",#REF!=0,#REF!=#REF!),"",#REF!)</f>
        <v>#REF!</v>
      </c>
      <c r="C101" s="107" t="e">
        <f t="shared" si="4"/>
        <v>#REF!</v>
      </c>
      <c r="D101" s="88" t="e">
        <f>IF(OR(#REF!="",#REF!=0,#REF!=#REF!),"",#REF!)</f>
        <v>#REF!</v>
      </c>
      <c r="E101" s="88" t="e">
        <f>IF($D101="","",#REF!)</f>
        <v>#REF!</v>
      </c>
      <c r="F101" s="91"/>
      <c r="G101" s="91"/>
      <c r="H101" s="91"/>
      <c r="I101" s="91"/>
      <c r="J101" s="91"/>
      <c r="K101" s="91"/>
      <c r="L101" s="91"/>
      <c r="M101" s="91"/>
      <c r="N101" s="91"/>
      <c r="O101" s="91"/>
      <c r="P101" s="91"/>
      <c r="Q101" s="91"/>
      <c r="R101" s="91"/>
      <c r="S101" s="91"/>
      <c r="T101" s="109"/>
      <c r="U101" s="109"/>
      <c r="V101" s="109"/>
      <c r="W101" s="108"/>
      <c r="X101" s="108"/>
      <c r="Y101" s="91"/>
      <c r="Z101" s="186" t="e">
        <f t="array" ref="Z101">IF(E101="","",SUMPRODUCT(T101:V101,TRANSPOSE($V$4:$V$6)))</f>
        <v>#REF!</v>
      </c>
      <c r="AA101" s="109"/>
      <c r="AB101" s="91"/>
      <c r="AC101" s="91"/>
      <c r="AD101" s="91"/>
      <c r="AE101" s="91"/>
      <c r="AF101" s="91"/>
      <c r="AG101" s="91"/>
      <c r="AH101" s="91"/>
      <c r="AI101" s="112"/>
      <c r="AJ101" s="109"/>
      <c r="AK101" s="91"/>
      <c r="AL101" s="91"/>
      <c r="AM101" s="91"/>
      <c r="AN101" s="91"/>
      <c r="AO101" s="91"/>
      <c r="AP101" s="91"/>
      <c r="AQ101" s="91"/>
      <c r="AR101" s="91"/>
      <c r="AS101" s="91"/>
      <c r="AT101" s="91"/>
      <c r="AU101" s="110"/>
      <c r="AV101" s="85" t="e">
        <f t="shared" si="3"/>
        <v>#REF!</v>
      </c>
      <c r="AW101" s="85" t="e">
        <f t="shared" si="3"/>
        <v>#REF!</v>
      </c>
      <c r="AX101" s="85" t="e">
        <f t="shared" si="3"/>
        <v>#REF!</v>
      </c>
      <c r="BB101" s="85" t="s">
        <v>95</v>
      </c>
    </row>
    <row r="102" spans="1:54" ht="15.75" x14ac:dyDescent="0.2">
      <c r="A102" s="111" t="e">
        <f t="shared" si="5"/>
        <v>#REF!</v>
      </c>
      <c r="B102" s="88" t="e">
        <f>IF(OR(#REF!="",#REF!=0,#REF!=#REF!),"",#REF!)</f>
        <v>#REF!</v>
      </c>
      <c r="C102" s="107" t="e">
        <f t="shared" si="4"/>
        <v>#REF!</v>
      </c>
      <c r="D102" s="88" t="e">
        <f>IF(OR(#REF!="",#REF!=0,#REF!=#REF!),"",#REF!)</f>
        <v>#REF!</v>
      </c>
      <c r="E102" s="88" t="e">
        <f>IF($D102="","",#REF!)</f>
        <v>#REF!</v>
      </c>
      <c r="F102" s="91"/>
      <c r="G102" s="91"/>
      <c r="H102" s="91"/>
      <c r="I102" s="91"/>
      <c r="J102" s="91"/>
      <c r="K102" s="91"/>
      <c r="L102" s="91"/>
      <c r="M102" s="91"/>
      <c r="N102" s="91"/>
      <c r="O102" s="91"/>
      <c r="P102" s="91"/>
      <c r="Q102" s="91"/>
      <c r="R102" s="91"/>
      <c r="S102" s="91"/>
      <c r="T102" s="109"/>
      <c r="U102" s="109"/>
      <c r="V102" s="109"/>
      <c r="W102" s="108"/>
      <c r="X102" s="108"/>
      <c r="Y102" s="91"/>
      <c r="Z102" s="186" t="e">
        <f t="array" ref="Z102">IF(E102="","",SUMPRODUCT(T102:V102,TRANSPOSE($V$4:$V$6)))</f>
        <v>#REF!</v>
      </c>
      <c r="AA102" s="109"/>
      <c r="AB102" s="91"/>
      <c r="AC102" s="91"/>
      <c r="AD102" s="91"/>
      <c r="AE102" s="91"/>
      <c r="AF102" s="91"/>
      <c r="AG102" s="91"/>
      <c r="AH102" s="91"/>
      <c r="AI102" s="112"/>
      <c r="AJ102" s="109"/>
      <c r="AK102" s="91"/>
      <c r="AL102" s="91"/>
      <c r="AM102" s="91"/>
      <c r="AN102" s="91"/>
      <c r="AO102" s="91"/>
      <c r="AP102" s="91"/>
      <c r="AQ102" s="91"/>
      <c r="AR102" s="91"/>
      <c r="AS102" s="91"/>
      <c r="AT102" s="91"/>
      <c r="AU102" s="110"/>
      <c r="AV102" s="85" t="e">
        <f t="shared" si="3"/>
        <v>#REF!</v>
      </c>
      <c r="AW102" s="85" t="e">
        <f t="shared" si="3"/>
        <v>#REF!</v>
      </c>
      <c r="AX102" s="85" t="e">
        <f t="shared" si="3"/>
        <v>#REF!</v>
      </c>
      <c r="BB102" s="85" t="s">
        <v>236</v>
      </c>
    </row>
    <row r="103" spans="1:54" ht="15.75" x14ac:dyDescent="0.2">
      <c r="A103" s="111" t="e">
        <f t="shared" si="5"/>
        <v>#REF!</v>
      </c>
      <c r="B103" s="88" t="e">
        <f>IF(OR(#REF!="",#REF!=0,#REF!=#REF!),"",#REF!)</f>
        <v>#REF!</v>
      </c>
      <c r="C103" s="107" t="e">
        <f t="shared" si="4"/>
        <v>#REF!</v>
      </c>
      <c r="D103" s="88" t="e">
        <f>IF(OR(#REF!="",#REF!=0,#REF!=#REF!),"",#REF!)</f>
        <v>#REF!</v>
      </c>
      <c r="E103" s="88" t="e">
        <f>IF($D103="","",#REF!)</f>
        <v>#REF!</v>
      </c>
      <c r="F103" s="91"/>
      <c r="G103" s="91"/>
      <c r="H103" s="91"/>
      <c r="I103" s="91"/>
      <c r="J103" s="91"/>
      <c r="K103" s="91"/>
      <c r="L103" s="91"/>
      <c r="M103" s="91"/>
      <c r="N103" s="91"/>
      <c r="O103" s="91"/>
      <c r="P103" s="91"/>
      <c r="Q103" s="91"/>
      <c r="R103" s="91"/>
      <c r="S103" s="91"/>
      <c r="T103" s="109"/>
      <c r="U103" s="109"/>
      <c r="V103" s="109"/>
      <c r="W103" s="108"/>
      <c r="X103" s="108"/>
      <c r="Y103" s="91"/>
      <c r="Z103" s="186" t="e">
        <f t="array" ref="Z103">IF(E103="","",SUMPRODUCT(T103:V103,TRANSPOSE($V$4:$V$6)))</f>
        <v>#REF!</v>
      </c>
      <c r="AA103" s="109"/>
      <c r="AB103" s="91"/>
      <c r="AC103" s="91"/>
      <c r="AD103" s="91"/>
      <c r="AE103" s="91"/>
      <c r="AF103" s="91"/>
      <c r="AG103" s="91"/>
      <c r="AH103" s="91"/>
      <c r="AI103" s="112"/>
      <c r="AJ103" s="109"/>
      <c r="AK103" s="91"/>
      <c r="AL103" s="91"/>
      <c r="AM103" s="91"/>
      <c r="AN103" s="91"/>
      <c r="AO103" s="91"/>
      <c r="AP103" s="91"/>
      <c r="AQ103" s="91"/>
      <c r="AR103" s="91"/>
      <c r="AS103" s="91"/>
      <c r="AT103" s="91"/>
      <c r="AU103" s="110"/>
      <c r="AV103" s="85" t="e">
        <f t="shared" si="3"/>
        <v>#REF!</v>
      </c>
      <c r="AW103" s="85" t="e">
        <f t="shared" si="3"/>
        <v>#REF!</v>
      </c>
      <c r="AX103" s="85" t="e">
        <f t="shared" si="3"/>
        <v>#REF!</v>
      </c>
      <c r="BB103" s="85" t="s">
        <v>94</v>
      </c>
    </row>
    <row r="104" spans="1:54" ht="15.75" x14ac:dyDescent="0.2">
      <c r="A104" s="111" t="e">
        <f t="shared" si="5"/>
        <v>#REF!</v>
      </c>
      <c r="B104" s="88" t="e">
        <f>IF(OR(#REF!="",#REF!=0,#REF!=#REF!),"",#REF!)</f>
        <v>#REF!</v>
      </c>
      <c r="C104" s="107" t="e">
        <f t="shared" si="4"/>
        <v>#REF!</v>
      </c>
      <c r="D104" s="88" t="e">
        <f>IF(OR(#REF!="",#REF!=0,#REF!=#REF!),"",#REF!)</f>
        <v>#REF!</v>
      </c>
      <c r="E104" s="88" t="e">
        <f>IF($D104="","",#REF!)</f>
        <v>#REF!</v>
      </c>
      <c r="F104" s="91"/>
      <c r="G104" s="91"/>
      <c r="H104" s="91"/>
      <c r="I104" s="91"/>
      <c r="J104" s="91"/>
      <c r="K104" s="91"/>
      <c r="L104" s="91"/>
      <c r="M104" s="91"/>
      <c r="N104" s="91"/>
      <c r="O104" s="91"/>
      <c r="P104" s="91"/>
      <c r="Q104" s="91"/>
      <c r="R104" s="91"/>
      <c r="S104" s="91"/>
      <c r="T104" s="109"/>
      <c r="U104" s="109"/>
      <c r="V104" s="109"/>
      <c r="W104" s="108"/>
      <c r="X104" s="108"/>
      <c r="Y104" s="91"/>
      <c r="Z104" s="186" t="e">
        <f t="array" ref="Z104">IF(E104="","",SUMPRODUCT(T104:V104,TRANSPOSE($V$4:$V$6)))</f>
        <v>#REF!</v>
      </c>
      <c r="AA104" s="109"/>
      <c r="AB104" s="91"/>
      <c r="AC104" s="91"/>
      <c r="AD104" s="91"/>
      <c r="AE104" s="91"/>
      <c r="AF104" s="91"/>
      <c r="AG104" s="91"/>
      <c r="AH104" s="91"/>
      <c r="AI104" s="112"/>
      <c r="AJ104" s="109"/>
      <c r="AK104" s="91"/>
      <c r="AL104" s="91"/>
      <c r="AM104" s="91"/>
      <c r="AN104" s="91"/>
      <c r="AO104" s="91"/>
      <c r="AP104" s="91"/>
      <c r="AQ104" s="91"/>
      <c r="AR104" s="91"/>
      <c r="AS104" s="91"/>
      <c r="AT104" s="91"/>
      <c r="AU104" s="110"/>
      <c r="AV104" s="85" t="e">
        <f t="shared" si="3"/>
        <v>#REF!</v>
      </c>
      <c r="AW104" s="85" t="e">
        <f t="shared" si="3"/>
        <v>#REF!</v>
      </c>
      <c r="AX104" s="85" t="e">
        <f t="shared" si="3"/>
        <v>#REF!</v>
      </c>
      <c r="BB104" s="85" t="s">
        <v>100</v>
      </c>
    </row>
    <row r="105" spans="1:54" ht="15.75" x14ac:dyDescent="0.2">
      <c r="A105" s="111" t="e">
        <f t="shared" si="5"/>
        <v>#REF!</v>
      </c>
      <c r="B105" s="88" t="e">
        <f>IF(OR(#REF!="",#REF!=0,#REF!=#REF!),"",#REF!)</f>
        <v>#REF!</v>
      </c>
      <c r="C105" s="107" t="e">
        <f t="shared" si="4"/>
        <v>#REF!</v>
      </c>
      <c r="D105" s="88" t="e">
        <f>IF(OR(#REF!="",#REF!=0,#REF!=#REF!),"",#REF!)</f>
        <v>#REF!</v>
      </c>
      <c r="E105" s="88" t="e">
        <f>IF($D105="","",#REF!)</f>
        <v>#REF!</v>
      </c>
      <c r="F105" s="91"/>
      <c r="G105" s="91"/>
      <c r="H105" s="91"/>
      <c r="I105" s="91"/>
      <c r="J105" s="91"/>
      <c r="K105" s="91"/>
      <c r="L105" s="91"/>
      <c r="M105" s="91"/>
      <c r="N105" s="91"/>
      <c r="O105" s="91"/>
      <c r="P105" s="91"/>
      <c r="Q105" s="91"/>
      <c r="R105" s="91"/>
      <c r="S105" s="91"/>
      <c r="T105" s="109"/>
      <c r="U105" s="109"/>
      <c r="V105" s="109"/>
      <c r="W105" s="108"/>
      <c r="X105" s="108"/>
      <c r="Y105" s="91"/>
      <c r="Z105" s="186" t="e">
        <f t="array" ref="Z105">IF(E105="","",SUMPRODUCT(T105:V105,TRANSPOSE($V$4:$V$6)))</f>
        <v>#REF!</v>
      </c>
      <c r="AA105" s="109"/>
      <c r="AB105" s="91"/>
      <c r="AC105" s="91"/>
      <c r="AD105" s="91"/>
      <c r="AE105" s="91"/>
      <c r="AF105" s="91"/>
      <c r="AG105" s="91"/>
      <c r="AH105" s="91"/>
      <c r="AI105" s="113"/>
      <c r="AJ105" s="109"/>
      <c r="AK105" s="91"/>
      <c r="AL105" s="91"/>
      <c r="AM105" s="91"/>
      <c r="AN105" s="91"/>
      <c r="AO105" s="91"/>
      <c r="AP105" s="91"/>
      <c r="AQ105" s="91"/>
      <c r="AR105" s="91"/>
      <c r="AS105" s="91"/>
      <c r="AT105" s="91"/>
      <c r="AU105" s="110"/>
      <c r="AV105" s="85" t="e">
        <f t="shared" si="3"/>
        <v>#REF!</v>
      </c>
      <c r="AW105" s="85" t="e">
        <f t="shared" si="3"/>
        <v>#REF!</v>
      </c>
      <c r="AX105" s="85" t="e">
        <f t="shared" si="3"/>
        <v>#REF!</v>
      </c>
      <c r="BB105" s="85" t="s">
        <v>101</v>
      </c>
    </row>
    <row r="106" spans="1:54" ht="15.75" x14ac:dyDescent="0.2">
      <c r="A106" s="111" t="e">
        <f t="shared" si="5"/>
        <v>#REF!</v>
      </c>
      <c r="B106" s="88" t="e">
        <f>IF(OR(#REF!="",#REF!=0,#REF!=#REF!),"",#REF!)</f>
        <v>#REF!</v>
      </c>
      <c r="C106" s="107" t="e">
        <f t="shared" si="4"/>
        <v>#REF!</v>
      </c>
      <c r="D106" s="88" t="e">
        <f>IF(OR(#REF!="",#REF!=0,#REF!=#REF!),"",#REF!)</f>
        <v>#REF!</v>
      </c>
      <c r="E106" s="88" t="e">
        <f>IF($D106="","",#REF!)</f>
        <v>#REF!</v>
      </c>
      <c r="F106" s="91"/>
      <c r="G106" s="91"/>
      <c r="H106" s="91"/>
      <c r="I106" s="91"/>
      <c r="J106" s="91"/>
      <c r="K106" s="91"/>
      <c r="L106" s="91"/>
      <c r="M106" s="91"/>
      <c r="N106" s="91"/>
      <c r="O106" s="91"/>
      <c r="P106" s="91"/>
      <c r="Q106" s="91"/>
      <c r="R106" s="91"/>
      <c r="S106" s="91"/>
      <c r="T106" s="109"/>
      <c r="U106" s="109"/>
      <c r="V106" s="109"/>
      <c r="W106" s="114"/>
      <c r="X106" s="114"/>
      <c r="Y106" s="91"/>
      <c r="Z106" s="186" t="e">
        <f t="array" ref="Z106">IF(E106="","",SUMPRODUCT(T106:V106,TRANSPOSE($V$4:$V$6)))</f>
        <v>#REF!</v>
      </c>
      <c r="AA106" s="109"/>
      <c r="AB106" s="91"/>
      <c r="AC106" s="91"/>
      <c r="AD106" s="91"/>
      <c r="AE106" s="91"/>
      <c r="AF106" s="91"/>
      <c r="AG106" s="91"/>
      <c r="AH106" s="91"/>
      <c r="AI106" s="112"/>
      <c r="AJ106" s="109"/>
      <c r="AK106" s="91"/>
      <c r="AL106" s="91"/>
      <c r="AM106" s="91"/>
      <c r="AN106" s="91"/>
      <c r="AO106" s="91"/>
      <c r="AP106" s="91"/>
      <c r="AQ106" s="91"/>
      <c r="AR106" s="91"/>
      <c r="AS106" s="91"/>
      <c r="AT106" s="91"/>
      <c r="AU106" s="110"/>
      <c r="AV106" s="85" t="e">
        <f t="shared" si="3"/>
        <v>#REF!</v>
      </c>
      <c r="AW106" s="85" t="e">
        <f t="shared" si="3"/>
        <v>#REF!</v>
      </c>
      <c r="AX106" s="85" t="e">
        <f t="shared" si="3"/>
        <v>#REF!</v>
      </c>
      <c r="BB106" s="85" t="s">
        <v>103</v>
      </c>
    </row>
    <row r="107" spans="1:54" ht="15.75" x14ac:dyDescent="0.2">
      <c r="A107" s="111" t="e">
        <f t="shared" si="5"/>
        <v>#REF!</v>
      </c>
      <c r="B107" s="88" t="e">
        <f>IF(OR(#REF!="",#REF!=0,#REF!=#REF!),"",#REF!)</f>
        <v>#REF!</v>
      </c>
      <c r="C107" s="107" t="e">
        <f t="shared" si="4"/>
        <v>#REF!</v>
      </c>
      <c r="D107" s="88" t="e">
        <f>IF(OR(#REF!="",#REF!=0,#REF!=#REF!),"",#REF!)</f>
        <v>#REF!</v>
      </c>
      <c r="E107" s="88" t="e">
        <f>IF($D107="","",#REF!)</f>
        <v>#REF!</v>
      </c>
      <c r="F107" s="91"/>
      <c r="G107" s="91"/>
      <c r="H107" s="91"/>
      <c r="I107" s="91"/>
      <c r="J107" s="91"/>
      <c r="K107" s="91"/>
      <c r="L107" s="91"/>
      <c r="M107" s="91"/>
      <c r="N107" s="91"/>
      <c r="O107" s="91"/>
      <c r="P107" s="91"/>
      <c r="Q107" s="91"/>
      <c r="R107" s="91"/>
      <c r="S107" s="91"/>
      <c r="T107" s="109"/>
      <c r="U107" s="109"/>
      <c r="V107" s="109"/>
      <c r="W107" s="108"/>
      <c r="X107" s="108"/>
      <c r="Y107" s="91"/>
      <c r="Z107" s="186" t="e">
        <f t="array" ref="Z107">IF(E107="","",SUMPRODUCT(T107:V107,TRANSPOSE($V$4:$V$6)))</f>
        <v>#REF!</v>
      </c>
      <c r="AA107" s="109"/>
      <c r="AB107" s="91"/>
      <c r="AC107" s="91"/>
      <c r="AD107" s="91"/>
      <c r="AE107" s="91"/>
      <c r="AF107" s="91"/>
      <c r="AG107" s="91"/>
      <c r="AH107" s="91"/>
      <c r="AI107" s="112"/>
      <c r="AJ107" s="109"/>
      <c r="AK107" s="91"/>
      <c r="AL107" s="91"/>
      <c r="AM107" s="91"/>
      <c r="AN107" s="91"/>
      <c r="AO107" s="91"/>
      <c r="AP107" s="91"/>
      <c r="AQ107" s="91"/>
      <c r="AR107" s="91"/>
      <c r="AS107" s="91"/>
      <c r="AT107" s="91"/>
      <c r="AU107" s="110"/>
      <c r="AV107" s="85" t="e">
        <f t="shared" si="3"/>
        <v>#REF!</v>
      </c>
      <c r="AW107" s="85" t="e">
        <f t="shared" si="3"/>
        <v>#REF!</v>
      </c>
      <c r="AX107" s="85" t="e">
        <f t="shared" si="3"/>
        <v>#REF!</v>
      </c>
      <c r="BB107" s="85" t="s">
        <v>104</v>
      </c>
    </row>
    <row r="108" spans="1:54" ht="15.75" x14ac:dyDescent="0.2">
      <c r="A108" s="111" t="e">
        <f t="shared" si="5"/>
        <v>#REF!</v>
      </c>
      <c r="B108" s="88" t="e">
        <f>IF(OR(#REF!="",#REF!=0,#REF!=#REF!),"",#REF!)</f>
        <v>#REF!</v>
      </c>
      <c r="C108" s="107" t="e">
        <f t="shared" si="4"/>
        <v>#REF!</v>
      </c>
      <c r="D108" s="88" t="e">
        <f>IF(OR(#REF!="",#REF!=0,#REF!=#REF!),"",#REF!)</f>
        <v>#REF!</v>
      </c>
      <c r="E108" s="88" t="e">
        <f>IF($D108="","",#REF!)</f>
        <v>#REF!</v>
      </c>
      <c r="F108" s="91"/>
      <c r="G108" s="91"/>
      <c r="H108" s="91"/>
      <c r="I108" s="91"/>
      <c r="J108" s="91"/>
      <c r="K108" s="91"/>
      <c r="L108" s="91"/>
      <c r="M108" s="91"/>
      <c r="N108" s="91"/>
      <c r="O108" s="91"/>
      <c r="P108" s="91"/>
      <c r="Q108" s="91"/>
      <c r="R108" s="91"/>
      <c r="S108" s="91"/>
      <c r="T108" s="109"/>
      <c r="U108" s="109"/>
      <c r="V108" s="109"/>
      <c r="W108" s="108"/>
      <c r="X108" s="108"/>
      <c r="Y108" s="91"/>
      <c r="Z108" s="186" t="e">
        <f t="array" ref="Z108">IF(E108="","",SUMPRODUCT(T108:V108,TRANSPOSE($V$4:$V$6)))</f>
        <v>#REF!</v>
      </c>
      <c r="AA108" s="109"/>
      <c r="AB108" s="91"/>
      <c r="AC108" s="91"/>
      <c r="AD108" s="91"/>
      <c r="AE108" s="91"/>
      <c r="AF108" s="91"/>
      <c r="AG108" s="91"/>
      <c r="AH108" s="91"/>
      <c r="AI108" s="112"/>
      <c r="AJ108" s="109"/>
      <c r="AK108" s="91"/>
      <c r="AL108" s="91"/>
      <c r="AM108" s="91"/>
      <c r="AN108" s="91"/>
      <c r="AO108" s="91"/>
      <c r="AP108" s="91"/>
      <c r="AQ108" s="91"/>
      <c r="AR108" s="91"/>
      <c r="AS108" s="91"/>
      <c r="AT108" s="91"/>
      <c r="AU108" s="110"/>
      <c r="AV108" s="85" t="e">
        <f t="shared" si="3"/>
        <v>#REF!</v>
      </c>
      <c r="AW108" s="85" t="e">
        <f t="shared" si="3"/>
        <v>#REF!</v>
      </c>
      <c r="AX108" s="85" t="e">
        <f t="shared" si="3"/>
        <v>#REF!</v>
      </c>
      <c r="BB108" s="85" t="s">
        <v>106</v>
      </c>
    </row>
    <row r="109" spans="1:54" ht="15.75" x14ac:dyDescent="0.2">
      <c r="A109" s="111" t="e">
        <f t="shared" si="5"/>
        <v>#REF!</v>
      </c>
      <c r="B109" s="88" t="e">
        <f>IF(OR(#REF!="",#REF!=0,#REF!=#REF!),"",#REF!)</f>
        <v>#REF!</v>
      </c>
      <c r="C109" s="107" t="e">
        <f t="shared" si="4"/>
        <v>#REF!</v>
      </c>
      <c r="D109" s="88" t="e">
        <f>IF(OR(#REF!="",#REF!=0,#REF!=#REF!),"",#REF!)</f>
        <v>#REF!</v>
      </c>
      <c r="E109" s="88" t="e">
        <f>IF($D109="","",#REF!)</f>
        <v>#REF!</v>
      </c>
      <c r="F109" s="91"/>
      <c r="G109" s="91"/>
      <c r="H109" s="91"/>
      <c r="I109" s="91"/>
      <c r="J109" s="91"/>
      <c r="K109" s="91"/>
      <c r="L109" s="91"/>
      <c r="M109" s="91"/>
      <c r="N109" s="91"/>
      <c r="O109" s="91"/>
      <c r="P109" s="91"/>
      <c r="Q109" s="91"/>
      <c r="R109" s="91"/>
      <c r="S109" s="91"/>
      <c r="T109" s="109"/>
      <c r="U109" s="109"/>
      <c r="V109" s="109"/>
      <c r="W109" s="108"/>
      <c r="X109" s="108"/>
      <c r="Y109" s="91"/>
      <c r="Z109" s="186" t="e">
        <f t="array" ref="Z109">IF(E109="","",SUMPRODUCT(T109:V109,TRANSPOSE($V$4:$V$6)))</f>
        <v>#REF!</v>
      </c>
      <c r="AA109" s="109"/>
      <c r="AB109" s="91"/>
      <c r="AC109" s="91"/>
      <c r="AD109" s="91"/>
      <c r="AE109" s="91"/>
      <c r="AF109" s="91"/>
      <c r="AG109" s="91"/>
      <c r="AH109" s="91"/>
      <c r="AI109" s="96"/>
      <c r="AJ109" s="109"/>
      <c r="AK109" s="91"/>
      <c r="AL109" s="91"/>
      <c r="AM109" s="91"/>
      <c r="AN109" s="91"/>
      <c r="AO109" s="91"/>
      <c r="AP109" s="91"/>
      <c r="AQ109" s="91"/>
      <c r="AR109" s="91"/>
      <c r="AS109" s="91"/>
      <c r="AT109" s="91"/>
      <c r="AU109" s="110"/>
      <c r="AV109" s="85" t="e">
        <f t="shared" si="3"/>
        <v>#REF!</v>
      </c>
      <c r="AW109" s="85" t="e">
        <f t="shared" si="3"/>
        <v>#REF!</v>
      </c>
      <c r="AX109" s="85" t="e">
        <f t="shared" si="3"/>
        <v>#REF!</v>
      </c>
      <c r="BB109" s="85" t="s">
        <v>107</v>
      </c>
    </row>
    <row r="110" spans="1:54" ht="15.75" x14ac:dyDescent="0.2">
      <c r="A110" s="111" t="e">
        <f t="shared" si="5"/>
        <v>#REF!</v>
      </c>
      <c r="B110" s="88" t="e">
        <f>IF(OR(#REF!="",#REF!=0,#REF!=#REF!),"",#REF!)</f>
        <v>#REF!</v>
      </c>
      <c r="C110" s="107" t="e">
        <f t="shared" si="4"/>
        <v>#REF!</v>
      </c>
      <c r="D110" s="88" t="e">
        <f>IF(OR(#REF!="",#REF!=0,#REF!=#REF!),"",#REF!)</f>
        <v>#REF!</v>
      </c>
      <c r="E110" s="88" t="e">
        <f>IF($D110="","",#REF!)</f>
        <v>#REF!</v>
      </c>
      <c r="F110" s="91"/>
      <c r="G110" s="91"/>
      <c r="H110" s="91"/>
      <c r="I110" s="91"/>
      <c r="J110" s="91"/>
      <c r="K110" s="91"/>
      <c r="L110" s="91"/>
      <c r="M110" s="91"/>
      <c r="N110" s="91"/>
      <c r="O110" s="91"/>
      <c r="P110" s="91"/>
      <c r="Q110" s="91"/>
      <c r="R110" s="91"/>
      <c r="S110" s="91"/>
      <c r="T110" s="109"/>
      <c r="U110" s="109"/>
      <c r="V110" s="109"/>
      <c r="W110" s="108"/>
      <c r="X110" s="108"/>
      <c r="Y110" s="91"/>
      <c r="Z110" s="186" t="e">
        <f t="array" ref="Z110">IF(E110="","",SUMPRODUCT(T110:V110,TRANSPOSE($V$4:$V$6)))</f>
        <v>#REF!</v>
      </c>
      <c r="AA110" s="109"/>
      <c r="AB110" s="91"/>
      <c r="AC110" s="91"/>
      <c r="AD110" s="91"/>
      <c r="AE110" s="91"/>
      <c r="AF110" s="91"/>
      <c r="AG110" s="91"/>
      <c r="AH110" s="91"/>
      <c r="AI110" s="112"/>
      <c r="AJ110" s="109"/>
      <c r="AK110" s="91"/>
      <c r="AL110" s="91"/>
      <c r="AM110" s="91"/>
      <c r="AN110" s="91"/>
      <c r="AO110" s="91"/>
      <c r="AP110" s="91"/>
      <c r="AQ110" s="91"/>
      <c r="AR110" s="91"/>
      <c r="AS110" s="91"/>
      <c r="AT110" s="91"/>
      <c r="AU110" s="110"/>
      <c r="AV110" s="85" t="e">
        <f t="shared" si="3"/>
        <v>#REF!</v>
      </c>
      <c r="AW110" s="85" t="e">
        <f t="shared" si="3"/>
        <v>#REF!</v>
      </c>
      <c r="AX110" s="85" t="e">
        <f t="shared" si="3"/>
        <v>#REF!</v>
      </c>
      <c r="BB110" s="85" t="s">
        <v>108</v>
      </c>
    </row>
    <row r="111" spans="1:54" ht="15.75" x14ac:dyDescent="0.2">
      <c r="A111" s="111" t="e">
        <f t="shared" si="5"/>
        <v>#REF!</v>
      </c>
      <c r="B111" s="88" t="e">
        <f>IF(OR(#REF!="",#REF!=0,#REF!=#REF!),"",#REF!)</f>
        <v>#REF!</v>
      </c>
      <c r="C111" s="107" t="e">
        <f t="shared" si="4"/>
        <v>#REF!</v>
      </c>
      <c r="D111" s="88" t="e">
        <f>IF(OR(#REF!="",#REF!=0,#REF!=#REF!),"",#REF!)</f>
        <v>#REF!</v>
      </c>
      <c r="E111" s="88" t="e">
        <f>IF($D111="","",#REF!)</f>
        <v>#REF!</v>
      </c>
      <c r="F111" s="91"/>
      <c r="G111" s="91"/>
      <c r="H111" s="91"/>
      <c r="I111" s="91"/>
      <c r="J111" s="91"/>
      <c r="K111" s="91"/>
      <c r="L111" s="91"/>
      <c r="M111" s="91"/>
      <c r="N111" s="91"/>
      <c r="O111" s="91"/>
      <c r="P111" s="91"/>
      <c r="Q111" s="91"/>
      <c r="R111" s="91"/>
      <c r="S111" s="91"/>
      <c r="T111" s="109"/>
      <c r="U111" s="109"/>
      <c r="V111" s="109"/>
      <c r="W111" s="114"/>
      <c r="X111" s="108"/>
      <c r="Y111" s="91"/>
      <c r="Z111" s="186" t="e">
        <f t="array" ref="Z111">IF(E111="","",SUMPRODUCT(T111:V111,TRANSPOSE($V$4:$V$6)))</f>
        <v>#REF!</v>
      </c>
      <c r="AA111" s="109"/>
      <c r="AB111" s="91"/>
      <c r="AC111" s="91"/>
      <c r="AD111" s="91"/>
      <c r="AE111" s="91"/>
      <c r="AF111" s="91"/>
      <c r="AG111" s="91"/>
      <c r="AH111" s="91"/>
      <c r="AI111" s="112"/>
      <c r="AJ111" s="109"/>
      <c r="AK111" s="91"/>
      <c r="AL111" s="91"/>
      <c r="AM111" s="91"/>
      <c r="AN111" s="91"/>
      <c r="AO111" s="91"/>
      <c r="AP111" s="91"/>
      <c r="AQ111" s="91"/>
      <c r="AR111" s="91"/>
      <c r="AS111" s="91"/>
      <c r="AT111" s="91"/>
      <c r="AU111" s="110"/>
      <c r="AV111" s="85" t="e">
        <f t="shared" si="3"/>
        <v>#REF!</v>
      </c>
      <c r="AW111" s="85" t="e">
        <f t="shared" si="3"/>
        <v>#REF!</v>
      </c>
      <c r="AX111" s="85" t="e">
        <f t="shared" si="3"/>
        <v>#REF!</v>
      </c>
      <c r="BB111" s="85" t="s">
        <v>111</v>
      </c>
    </row>
    <row r="112" spans="1:54" ht="15.75" x14ac:dyDescent="0.2">
      <c r="A112" s="111" t="e">
        <f t="shared" si="5"/>
        <v>#REF!</v>
      </c>
      <c r="B112" s="88" t="e">
        <f>IF(OR(#REF!="",#REF!=0,#REF!=#REF!),"",#REF!)</f>
        <v>#REF!</v>
      </c>
      <c r="C112" s="107" t="e">
        <f t="shared" si="4"/>
        <v>#REF!</v>
      </c>
      <c r="D112" s="88" t="e">
        <f>IF(OR(#REF!="",#REF!=0,#REF!=#REF!),"",#REF!)</f>
        <v>#REF!</v>
      </c>
      <c r="E112" s="88" t="e">
        <f>IF($D112="","",#REF!)</f>
        <v>#REF!</v>
      </c>
      <c r="F112" s="91"/>
      <c r="G112" s="91"/>
      <c r="H112" s="91"/>
      <c r="I112" s="91"/>
      <c r="J112" s="91"/>
      <c r="K112" s="91"/>
      <c r="L112" s="91"/>
      <c r="M112" s="91"/>
      <c r="N112" s="91"/>
      <c r="O112" s="91"/>
      <c r="P112" s="91"/>
      <c r="Q112" s="91"/>
      <c r="R112" s="91"/>
      <c r="S112" s="91"/>
      <c r="T112" s="109"/>
      <c r="U112" s="109"/>
      <c r="V112" s="109"/>
      <c r="W112" s="114"/>
      <c r="X112" s="114"/>
      <c r="Y112" s="91"/>
      <c r="Z112" s="186" t="e">
        <f t="array" ref="Z112">IF(E112="","",SUMPRODUCT(T112:V112,TRANSPOSE($V$4:$V$6)))</f>
        <v>#REF!</v>
      </c>
      <c r="AA112" s="109"/>
      <c r="AB112" s="91"/>
      <c r="AC112" s="91"/>
      <c r="AD112" s="91"/>
      <c r="AE112" s="91"/>
      <c r="AF112" s="91"/>
      <c r="AG112" s="91"/>
      <c r="AH112" s="91"/>
      <c r="AI112" s="112"/>
      <c r="AJ112" s="109"/>
      <c r="AK112" s="91"/>
      <c r="AL112" s="91"/>
      <c r="AM112" s="91"/>
      <c r="AN112" s="91"/>
      <c r="AO112" s="91"/>
      <c r="AP112" s="91"/>
      <c r="AQ112" s="91"/>
      <c r="AR112" s="91"/>
      <c r="AS112" s="91"/>
      <c r="AT112" s="91"/>
      <c r="AU112" s="110"/>
      <c r="AV112" s="85" t="e">
        <f t="shared" si="3"/>
        <v>#REF!</v>
      </c>
      <c r="AW112" s="85" t="e">
        <f t="shared" si="3"/>
        <v>#REF!</v>
      </c>
      <c r="AX112" s="85" t="e">
        <f t="shared" si="3"/>
        <v>#REF!</v>
      </c>
      <c r="BB112" s="85" t="s">
        <v>118</v>
      </c>
    </row>
    <row r="113" spans="1:54" ht="15.75" x14ac:dyDescent="0.2">
      <c r="A113" s="111" t="e">
        <f t="shared" si="5"/>
        <v>#REF!</v>
      </c>
      <c r="B113" s="88" t="e">
        <f>IF(OR(#REF!="",#REF!=0,#REF!=#REF!),"",#REF!)</f>
        <v>#REF!</v>
      </c>
      <c r="C113" s="107" t="e">
        <f t="shared" si="4"/>
        <v>#REF!</v>
      </c>
      <c r="D113" s="88" t="e">
        <f>IF(OR(#REF!="",#REF!=0,#REF!=#REF!),"",#REF!)</f>
        <v>#REF!</v>
      </c>
      <c r="E113" s="88" t="e">
        <f>IF($D113="","",#REF!)</f>
        <v>#REF!</v>
      </c>
      <c r="F113" s="91"/>
      <c r="G113" s="91"/>
      <c r="H113" s="91"/>
      <c r="I113" s="91"/>
      <c r="J113" s="91"/>
      <c r="K113" s="91"/>
      <c r="L113" s="91"/>
      <c r="M113" s="91"/>
      <c r="N113" s="91"/>
      <c r="O113" s="91"/>
      <c r="P113" s="91"/>
      <c r="Q113" s="91"/>
      <c r="R113" s="91"/>
      <c r="S113" s="91"/>
      <c r="T113" s="109"/>
      <c r="U113" s="109"/>
      <c r="V113" s="109"/>
      <c r="W113" s="108"/>
      <c r="X113" s="108"/>
      <c r="Y113" s="91"/>
      <c r="Z113" s="186" t="e">
        <f t="array" ref="Z113">IF(E113="","",SUMPRODUCT(T113:V113,TRANSPOSE($V$4:$V$6)))</f>
        <v>#REF!</v>
      </c>
      <c r="AA113" s="109"/>
      <c r="AB113" s="91"/>
      <c r="AC113" s="91"/>
      <c r="AD113" s="91"/>
      <c r="AE113" s="91"/>
      <c r="AF113" s="91"/>
      <c r="AG113" s="91"/>
      <c r="AH113" s="91"/>
      <c r="AI113" s="112"/>
      <c r="AJ113" s="109"/>
      <c r="AK113" s="91"/>
      <c r="AL113" s="91"/>
      <c r="AM113" s="91"/>
      <c r="AN113" s="91"/>
      <c r="AO113" s="91"/>
      <c r="AP113" s="91"/>
      <c r="AQ113" s="91"/>
      <c r="AR113" s="91"/>
      <c r="AS113" s="91"/>
      <c r="AT113" s="91"/>
      <c r="AU113" s="110"/>
      <c r="AV113" s="85" t="e">
        <f t="shared" si="3"/>
        <v>#REF!</v>
      </c>
      <c r="AW113" s="85" t="e">
        <f t="shared" si="3"/>
        <v>#REF!</v>
      </c>
      <c r="AX113" s="85" t="e">
        <f t="shared" si="3"/>
        <v>#REF!</v>
      </c>
      <c r="BB113" s="85" t="s">
        <v>121</v>
      </c>
    </row>
    <row r="114" spans="1:54" ht="15.75" x14ac:dyDescent="0.2">
      <c r="A114" s="111" t="e">
        <f t="shared" si="5"/>
        <v>#REF!</v>
      </c>
      <c r="B114" s="88" t="e">
        <f>IF(OR(#REF!="",#REF!=0,#REF!=#REF!),"",#REF!)</f>
        <v>#REF!</v>
      </c>
      <c r="C114" s="107" t="e">
        <f t="shared" si="4"/>
        <v>#REF!</v>
      </c>
      <c r="D114" s="88" t="e">
        <f>IF(OR(#REF!="",#REF!=0,#REF!=#REF!),"",#REF!)</f>
        <v>#REF!</v>
      </c>
      <c r="E114" s="88" t="e">
        <f>IF($D114="","",#REF!)</f>
        <v>#REF!</v>
      </c>
      <c r="F114" s="91"/>
      <c r="G114" s="91"/>
      <c r="H114" s="91"/>
      <c r="I114" s="91"/>
      <c r="J114" s="91"/>
      <c r="K114" s="91"/>
      <c r="L114" s="91"/>
      <c r="M114" s="91"/>
      <c r="N114" s="91"/>
      <c r="O114" s="91"/>
      <c r="P114" s="91"/>
      <c r="Q114" s="91"/>
      <c r="R114" s="91"/>
      <c r="S114" s="91"/>
      <c r="T114" s="109"/>
      <c r="U114" s="109"/>
      <c r="V114" s="109"/>
      <c r="W114" s="108"/>
      <c r="X114" s="108"/>
      <c r="Y114" s="91"/>
      <c r="Z114" s="186" t="e">
        <f t="array" ref="Z114">IF(E114="","",SUMPRODUCT(T114:V114,TRANSPOSE($V$4:$V$6)))</f>
        <v>#REF!</v>
      </c>
      <c r="AA114" s="109"/>
      <c r="AB114" s="91"/>
      <c r="AC114" s="91"/>
      <c r="AD114" s="91"/>
      <c r="AE114" s="91"/>
      <c r="AF114" s="91"/>
      <c r="AG114" s="91"/>
      <c r="AH114" s="91"/>
      <c r="AI114" s="113"/>
      <c r="AJ114" s="109"/>
      <c r="AK114" s="91"/>
      <c r="AL114" s="91"/>
      <c r="AM114" s="91"/>
      <c r="AN114" s="91"/>
      <c r="AO114" s="91"/>
      <c r="AP114" s="91"/>
      <c r="AQ114" s="91"/>
      <c r="AR114" s="91"/>
      <c r="AS114" s="91"/>
      <c r="AT114" s="91"/>
      <c r="AU114" s="110"/>
      <c r="AV114" s="85" t="e">
        <f t="shared" si="3"/>
        <v>#REF!</v>
      </c>
      <c r="AW114" s="85" t="e">
        <f t="shared" si="3"/>
        <v>#REF!</v>
      </c>
      <c r="AX114" s="85" t="e">
        <f t="shared" si="3"/>
        <v>#REF!</v>
      </c>
      <c r="BB114" s="85" t="s">
        <v>237</v>
      </c>
    </row>
    <row r="115" spans="1:54" ht="15.75" x14ac:dyDescent="0.2">
      <c r="A115" s="111" t="e">
        <f t="shared" si="5"/>
        <v>#REF!</v>
      </c>
      <c r="B115" s="88" t="e">
        <f>IF(OR(#REF!="",#REF!=0,#REF!=#REF!),"",#REF!)</f>
        <v>#REF!</v>
      </c>
      <c r="C115" s="107" t="e">
        <f t="shared" si="4"/>
        <v>#REF!</v>
      </c>
      <c r="D115" s="88" t="e">
        <f>IF(OR(#REF!="",#REF!=0,#REF!=#REF!),"",#REF!)</f>
        <v>#REF!</v>
      </c>
      <c r="E115" s="88" t="e">
        <f>IF($D115="","",#REF!)</f>
        <v>#REF!</v>
      </c>
      <c r="F115" s="91"/>
      <c r="G115" s="91"/>
      <c r="H115" s="91"/>
      <c r="I115" s="91"/>
      <c r="J115" s="91"/>
      <c r="K115" s="91"/>
      <c r="L115" s="91"/>
      <c r="M115" s="91"/>
      <c r="N115" s="91"/>
      <c r="O115" s="91"/>
      <c r="P115" s="91"/>
      <c r="Q115" s="91"/>
      <c r="R115" s="91"/>
      <c r="S115" s="91"/>
      <c r="T115" s="109"/>
      <c r="U115" s="109"/>
      <c r="V115" s="109"/>
      <c r="W115" s="108"/>
      <c r="X115" s="108"/>
      <c r="Y115" s="91"/>
      <c r="Z115" s="186" t="e">
        <f t="array" ref="Z115">IF(E115="","",SUMPRODUCT(T115:V115,TRANSPOSE($V$4:$V$6)))</f>
        <v>#REF!</v>
      </c>
      <c r="AA115" s="109"/>
      <c r="AB115" s="91"/>
      <c r="AC115" s="91"/>
      <c r="AD115" s="91"/>
      <c r="AE115" s="91"/>
      <c r="AF115" s="91"/>
      <c r="AG115" s="91"/>
      <c r="AH115" s="91"/>
      <c r="AI115" s="112"/>
      <c r="AJ115" s="109"/>
      <c r="AK115" s="91"/>
      <c r="AL115" s="91"/>
      <c r="AM115" s="91"/>
      <c r="AN115" s="91"/>
      <c r="AO115" s="91"/>
      <c r="AP115" s="91"/>
      <c r="AQ115" s="91"/>
      <c r="AR115" s="91"/>
      <c r="AS115" s="91"/>
      <c r="AT115" s="91"/>
      <c r="AU115" s="110"/>
      <c r="AV115" s="85" t="e">
        <f t="shared" si="3"/>
        <v>#REF!</v>
      </c>
      <c r="AW115" s="85" t="e">
        <f t="shared" si="3"/>
        <v>#REF!</v>
      </c>
      <c r="AX115" s="85" t="e">
        <f t="shared" si="3"/>
        <v>#REF!</v>
      </c>
      <c r="BB115" s="85" t="s">
        <v>122</v>
      </c>
    </row>
    <row r="116" spans="1:54" ht="15.75" x14ac:dyDescent="0.2">
      <c r="A116" s="111" t="e">
        <f t="shared" si="5"/>
        <v>#REF!</v>
      </c>
      <c r="B116" s="88" t="e">
        <f>IF(OR(#REF!="",#REF!=0,#REF!=#REF!),"",#REF!)</f>
        <v>#REF!</v>
      </c>
      <c r="C116" s="107" t="e">
        <f t="shared" si="4"/>
        <v>#REF!</v>
      </c>
      <c r="D116" s="88" t="e">
        <f>IF(OR(#REF!="",#REF!=0,#REF!=#REF!),"",#REF!)</f>
        <v>#REF!</v>
      </c>
      <c r="E116" s="88" t="e">
        <f>IF($D116="","",#REF!)</f>
        <v>#REF!</v>
      </c>
      <c r="F116" s="91"/>
      <c r="G116" s="91"/>
      <c r="H116" s="91"/>
      <c r="I116" s="91"/>
      <c r="J116" s="91"/>
      <c r="K116" s="91"/>
      <c r="L116" s="91"/>
      <c r="M116" s="91"/>
      <c r="N116" s="91"/>
      <c r="O116" s="91"/>
      <c r="P116" s="91"/>
      <c r="Q116" s="91"/>
      <c r="R116" s="91"/>
      <c r="S116" s="91"/>
      <c r="T116" s="109"/>
      <c r="U116" s="109"/>
      <c r="V116" s="109"/>
      <c r="W116" s="108"/>
      <c r="X116" s="108"/>
      <c r="Y116" s="91"/>
      <c r="Z116" s="186" t="e">
        <f t="array" ref="Z116">IF(E116="","",SUMPRODUCT(T116:V116,TRANSPOSE($V$4:$V$6)))</f>
        <v>#REF!</v>
      </c>
      <c r="AA116" s="109"/>
      <c r="AB116" s="91"/>
      <c r="AC116" s="91"/>
      <c r="AD116" s="91"/>
      <c r="AE116" s="91"/>
      <c r="AF116" s="91"/>
      <c r="AG116" s="91"/>
      <c r="AH116" s="91"/>
      <c r="AI116" s="112"/>
      <c r="AJ116" s="109"/>
      <c r="AK116" s="91"/>
      <c r="AL116" s="91"/>
      <c r="AM116" s="91"/>
      <c r="AN116" s="91"/>
      <c r="AO116" s="91"/>
      <c r="AP116" s="91"/>
      <c r="AQ116" s="91"/>
      <c r="AR116" s="91"/>
      <c r="AS116" s="91"/>
      <c r="AT116" s="91"/>
      <c r="AU116" s="110"/>
      <c r="AV116" s="85" t="e">
        <f t="shared" si="3"/>
        <v>#REF!</v>
      </c>
      <c r="AW116" s="85" t="e">
        <f t="shared" si="3"/>
        <v>#REF!</v>
      </c>
      <c r="AX116" s="85" t="e">
        <f t="shared" si="3"/>
        <v>#REF!</v>
      </c>
      <c r="BB116" s="85" t="s">
        <v>123</v>
      </c>
    </row>
    <row r="117" spans="1:54" ht="15.75" x14ac:dyDescent="0.2">
      <c r="A117" s="111" t="e">
        <f t="shared" si="5"/>
        <v>#REF!</v>
      </c>
      <c r="B117" s="88" t="e">
        <f>IF(OR(#REF!="",#REF!=0,#REF!=#REF!),"",#REF!)</f>
        <v>#REF!</v>
      </c>
      <c r="C117" s="107" t="e">
        <f t="shared" si="4"/>
        <v>#REF!</v>
      </c>
      <c r="D117" s="88" t="e">
        <f>IF(OR(#REF!="",#REF!=0,#REF!=#REF!),"",#REF!)</f>
        <v>#REF!</v>
      </c>
      <c r="E117" s="88" t="e">
        <f>IF($D117="","",#REF!)</f>
        <v>#REF!</v>
      </c>
      <c r="F117" s="91"/>
      <c r="G117" s="91"/>
      <c r="H117" s="91"/>
      <c r="I117" s="91"/>
      <c r="J117" s="91"/>
      <c r="K117" s="91"/>
      <c r="L117" s="91"/>
      <c r="M117" s="91"/>
      <c r="N117" s="91"/>
      <c r="O117" s="91"/>
      <c r="P117" s="91"/>
      <c r="Q117" s="91"/>
      <c r="R117" s="91"/>
      <c r="S117" s="91"/>
      <c r="T117" s="109"/>
      <c r="U117" s="109"/>
      <c r="V117" s="109"/>
      <c r="W117" s="108"/>
      <c r="X117" s="108"/>
      <c r="Y117" s="91"/>
      <c r="Z117" s="186" t="e">
        <f t="array" ref="Z117">IF(E117="","",SUMPRODUCT(T117:V117,TRANSPOSE($V$4:$V$6)))</f>
        <v>#REF!</v>
      </c>
      <c r="AA117" s="109"/>
      <c r="AB117" s="91"/>
      <c r="AC117" s="91"/>
      <c r="AD117" s="91"/>
      <c r="AE117" s="91"/>
      <c r="AF117" s="91"/>
      <c r="AG117" s="91"/>
      <c r="AH117" s="91"/>
      <c r="AI117" s="112"/>
      <c r="AJ117" s="109"/>
      <c r="AK117" s="91"/>
      <c r="AL117" s="91"/>
      <c r="AM117" s="91"/>
      <c r="AN117" s="91"/>
      <c r="AO117" s="91"/>
      <c r="AP117" s="91"/>
      <c r="AQ117" s="91"/>
      <c r="AR117" s="91"/>
      <c r="AS117" s="91"/>
      <c r="AT117" s="91"/>
      <c r="AU117" s="110"/>
      <c r="AV117" s="85" t="e">
        <f t="shared" si="3"/>
        <v>#REF!</v>
      </c>
      <c r="AW117" s="85" t="e">
        <f t="shared" si="3"/>
        <v>#REF!</v>
      </c>
      <c r="AX117" s="85" t="e">
        <f t="shared" si="3"/>
        <v>#REF!</v>
      </c>
      <c r="BB117" s="85" t="s">
        <v>126</v>
      </c>
    </row>
    <row r="118" spans="1:54" ht="15.75" x14ac:dyDescent="0.2">
      <c r="A118" s="111" t="e">
        <f t="shared" si="5"/>
        <v>#REF!</v>
      </c>
      <c r="B118" s="88" t="e">
        <f>IF(OR(#REF!="",#REF!=0,#REF!=#REF!),"",#REF!)</f>
        <v>#REF!</v>
      </c>
      <c r="C118" s="107" t="e">
        <f t="shared" si="4"/>
        <v>#REF!</v>
      </c>
      <c r="D118" s="88" t="e">
        <f>IF(OR(#REF!="",#REF!=0,#REF!=#REF!),"",#REF!)</f>
        <v>#REF!</v>
      </c>
      <c r="E118" s="88" t="e">
        <f>IF($D118="","",#REF!)</f>
        <v>#REF!</v>
      </c>
      <c r="F118" s="91"/>
      <c r="G118" s="91"/>
      <c r="H118" s="91"/>
      <c r="I118" s="91"/>
      <c r="J118" s="91"/>
      <c r="K118" s="91"/>
      <c r="L118" s="91"/>
      <c r="M118" s="91"/>
      <c r="N118" s="91"/>
      <c r="O118" s="91"/>
      <c r="P118" s="91"/>
      <c r="Q118" s="91"/>
      <c r="R118" s="91"/>
      <c r="S118" s="91"/>
      <c r="T118" s="109"/>
      <c r="U118" s="109"/>
      <c r="V118" s="109"/>
      <c r="W118" s="108"/>
      <c r="X118" s="108"/>
      <c r="Y118" s="91"/>
      <c r="Z118" s="186" t="e">
        <f t="array" ref="Z118">IF(E118="","",SUMPRODUCT(T118:V118,TRANSPOSE($V$4:$V$6)))</f>
        <v>#REF!</v>
      </c>
      <c r="AA118" s="109"/>
      <c r="AB118" s="91"/>
      <c r="AC118" s="91"/>
      <c r="AD118" s="91"/>
      <c r="AE118" s="91"/>
      <c r="AF118" s="91"/>
      <c r="AG118" s="91"/>
      <c r="AH118" s="91"/>
      <c r="AI118" s="113"/>
      <c r="AJ118" s="109"/>
      <c r="AK118" s="91"/>
      <c r="AL118" s="91"/>
      <c r="AM118" s="91"/>
      <c r="AN118" s="91"/>
      <c r="AO118" s="91"/>
      <c r="AP118" s="91"/>
      <c r="AQ118" s="91"/>
      <c r="AR118" s="91"/>
      <c r="AS118" s="91"/>
      <c r="AT118" s="91"/>
      <c r="AU118" s="110"/>
      <c r="AV118" s="85" t="e">
        <f t="shared" si="3"/>
        <v>#REF!</v>
      </c>
      <c r="AW118" s="85" t="e">
        <f t="shared" si="3"/>
        <v>#REF!</v>
      </c>
      <c r="AX118" s="85" t="e">
        <f t="shared" si="3"/>
        <v>#REF!</v>
      </c>
      <c r="BB118" s="85" t="s">
        <v>124</v>
      </c>
    </row>
    <row r="119" spans="1:54" ht="15.75" x14ac:dyDescent="0.2">
      <c r="A119" s="111" t="e">
        <f t="shared" si="5"/>
        <v>#REF!</v>
      </c>
      <c r="B119" s="88" t="e">
        <f>IF(OR(#REF!="",#REF!=0,#REF!=#REF!),"",#REF!)</f>
        <v>#REF!</v>
      </c>
      <c r="C119" s="107" t="e">
        <f t="shared" si="4"/>
        <v>#REF!</v>
      </c>
      <c r="D119" s="88" t="e">
        <f>IF(OR(#REF!="",#REF!=0,#REF!=#REF!),"",#REF!)</f>
        <v>#REF!</v>
      </c>
      <c r="E119" s="88" t="e">
        <f>IF($D119="","",#REF!)</f>
        <v>#REF!</v>
      </c>
      <c r="F119" s="91"/>
      <c r="G119" s="91"/>
      <c r="H119" s="91"/>
      <c r="I119" s="91"/>
      <c r="J119" s="91"/>
      <c r="K119" s="91"/>
      <c r="L119" s="91"/>
      <c r="M119" s="91"/>
      <c r="N119" s="91"/>
      <c r="O119" s="91"/>
      <c r="P119" s="91"/>
      <c r="Q119" s="91"/>
      <c r="R119" s="91"/>
      <c r="S119" s="91"/>
      <c r="T119" s="109"/>
      <c r="U119" s="109"/>
      <c r="V119" s="109"/>
      <c r="W119" s="108"/>
      <c r="X119" s="108"/>
      <c r="Y119" s="91"/>
      <c r="Z119" s="186" t="e">
        <f t="array" ref="Z119">IF(E119="","",SUMPRODUCT(T119:V119,TRANSPOSE($V$4:$V$6)))</f>
        <v>#REF!</v>
      </c>
      <c r="AA119" s="109"/>
      <c r="AB119" s="91"/>
      <c r="AC119" s="91"/>
      <c r="AD119" s="91"/>
      <c r="AE119" s="91"/>
      <c r="AF119" s="91"/>
      <c r="AG119" s="91"/>
      <c r="AH119" s="91"/>
      <c r="AI119" s="113"/>
      <c r="AJ119" s="109"/>
      <c r="AK119" s="91"/>
      <c r="AL119" s="91"/>
      <c r="AM119" s="91"/>
      <c r="AN119" s="91"/>
      <c r="AO119" s="91"/>
      <c r="AP119" s="91"/>
      <c r="AQ119" s="91"/>
      <c r="AR119" s="91"/>
      <c r="AS119" s="91"/>
      <c r="AT119" s="91"/>
      <c r="AU119" s="110"/>
      <c r="AV119" s="85" t="e">
        <f t="shared" si="3"/>
        <v>#REF!</v>
      </c>
      <c r="AW119" s="85" t="e">
        <f t="shared" si="3"/>
        <v>#REF!</v>
      </c>
      <c r="AX119" s="85" t="e">
        <f t="shared" si="3"/>
        <v>#REF!</v>
      </c>
      <c r="BB119" s="85" t="s">
        <v>128</v>
      </c>
    </row>
    <row r="120" spans="1:54" ht="15.75" x14ac:dyDescent="0.2">
      <c r="A120" s="111" t="e">
        <f t="shared" si="5"/>
        <v>#REF!</v>
      </c>
      <c r="B120" s="88" t="e">
        <f>IF(OR(#REF!="",#REF!=0,#REF!=#REF!),"",#REF!)</f>
        <v>#REF!</v>
      </c>
      <c r="C120" s="107" t="e">
        <f t="shared" si="4"/>
        <v>#REF!</v>
      </c>
      <c r="D120" s="88" t="e">
        <f>IF(OR(#REF!="",#REF!=0,#REF!=#REF!),"",#REF!)</f>
        <v>#REF!</v>
      </c>
      <c r="E120" s="88" t="e">
        <f>IF($D120="","",#REF!)</f>
        <v>#REF!</v>
      </c>
      <c r="F120" s="91"/>
      <c r="G120" s="91"/>
      <c r="H120" s="91"/>
      <c r="I120" s="91"/>
      <c r="J120" s="91"/>
      <c r="K120" s="91"/>
      <c r="L120" s="91"/>
      <c r="M120" s="91"/>
      <c r="N120" s="91"/>
      <c r="O120" s="91"/>
      <c r="P120" s="91"/>
      <c r="Q120" s="91"/>
      <c r="R120" s="91"/>
      <c r="S120" s="91"/>
      <c r="T120" s="109"/>
      <c r="U120" s="109"/>
      <c r="V120" s="109"/>
      <c r="W120" s="108"/>
      <c r="X120" s="108"/>
      <c r="Y120" s="91"/>
      <c r="Z120" s="186" t="e">
        <f t="array" ref="Z120">IF(E120="","",SUMPRODUCT(T120:V120,TRANSPOSE($V$4:$V$6)))</f>
        <v>#REF!</v>
      </c>
      <c r="AA120" s="109"/>
      <c r="AB120" s="91"/>
      <c r="AC120" s="91"/>
      <c r="AD120" s="91"/>
      <c r="AE120" s="91"/>
      <c r="AF120" s="91"/>
      <c r="AG120" s="91"/>
      <c r="AH120" s="91"/>
      <c r="AI120" s="113"/>
      <c r="AJ120" s="109"/>
      <c r="AK120" s="91"/>
      <c r="AL120" s="91"/>
      <c r="AM120" s="91"/>
      <c r="AN120" s="91"/>
      <c r="AO120" s="91"/>
      <c r="AP120" s="91"/>
      <c r="AQ120" s="91"/>
      <c r="AR120" s="91"/>
      <c r="AS120" s="91"/>
      <c r="AT120" s="91"/>
      <c r="AU120" s="110"/>
      <c r="AV120" s="85" t="e">
        <f t="shared" si="3"/>
        <v>#REF!</v>
      </c>
      <c r="AW120" s="85" t="e">
        <f t="shared" si="3"/>
        <v>#REF!</v>
      </c>
      <c r="AX120" s="85" t="e">
        <f t="shared" si="3"/>
        <v>#REF!</v>
      </c>
      <c r="BB120" s="85" t="s">
        <v>130</v>
      </c>
    </row>
    <row r="121" spans="1:54" ht="15.75" x14ac:dyDescent="0.2">
      <c r="A121" s="111" t="e">
        <f t="shared" si="5"/>
        <v>#REF!</v>
      </c>
      <c r="B121" s="88" t="e">
        <f>IF(OR(#REF!="",#REF!=0,#REF!=#REF!),"",#REF!)</f>
        <v>#REF!</v>
      </c>
      <c r="C121" s="107" t="e">
        <f t="shared" si="4"/>
        <v>#REF!</v>
      </c>
      <c r="D121" s="88" t="e">
        <f>IF(OR(#REF!="",#REF!=0,#REF!=#REF!),"",#REF!)</f>
        <v>#REF!</v>
      </c>
      <c r="E121" s="88" t="e">
        <f>IF($D121="","",#REF!)</f>
        <v>#REF!</v>
      </c>
      <c r="F121" s="91"/>
      <c r="G121" s="91"/>
      <c r="H121" s="91"/>
      <c r="I121" s="91"/>
      <c r="J121" s="91"/>
      <c r="K121" s="91"/>
      <c r="L121" s="91"/>
      <c r="M121" s="91"/>
      <c r="N121" s="91"/>
      <c r="O121" s="91"/>
      <c r="P121" s="91"/>
      <c r="Q121" s="91"/>
      <c r="R121" s="91"/>
      <c r="S121" s="91"/>
      <c r="T121" s="109"/>
      <c r="U121" s="109"/>
      <c r="V121" s="109"/>
      <c r="W121" s="108"/>
      <c r="X121" s="108"/>
      <c r="Y121" s="91"/>
      <c r="Z121" s="186" t="e">
        <f t="array" ref="Z121">IF(E121="","",SUMPRODUCT(T121:V121,TRANSPOSE($V$4:$V$6)))</f>
        <v>#REF!</v>
      </c>
      <c r="AA121" s="109"/>
      <c r="AB121" s="91"/>
      <c r="AC121" s="91"/>
      <c r="AD121" s="91"/>
      <c r="AE121" s="91"/>
      <c r="AF121" s="91"/>
      <c r="AG121" s="91"/>
      <c r="AH121" s="91"/>
      <c r="AI121" s="112"/>
      <c r="AJ121" s="109"/>
      <c r="AK121" s="91"/>
      <c r="AL121" s="91"/>
      <c r="AM121" s="91"/>
      <c r="AN121" s="91"/>
      <c r="AO121" s="91"/>
      <c r="AP121" s="91"/>
      <c r="AQ121" s="91"/>
      <c r="AR121" s="91"/>
      <c r="AS121" s="91"/>
      <c r="AT121" s="91"/>
      <c r="AU121" s="110"/>
      <c r="AV121" s="85" t="e">
        <f t="shared" si="3"/>
        <v>#REF!</v>
      </c>
      <c r="AW121" s="85" t="e">
        <f t="shared" si="3"/>
        <v>#REF!</v>
      </c>
      <c r="AX121" s="85" t="e">
        <f t="shared" si="3"/>
        <v>#REF!</v>
      </c>
      <c r="BB121" s="85" t="s">
        <v>238</v>
      </c>
    </row>
    <row r="122" spans="1:54" ht="15.75" x14ac:dyDescent="0.2">
      <c r="A122" s="111" t="e">
        <f t="shared" si="5"/>
        <v>#REF!</v>
      </c>
      <c r="B122" s="88" t="e">
        <f>IF(OR(#REF!="",#REF!=0,#REF!=#REF!),"",#REF!)</f>
        <v>#REF!</v>
      </c>
      <c r="C122" s="107" t="e">
        <f t="shared" si="4"/>
        <v>#REF!</v>
      </c>
      <c r="D122" s="88" t="e">
        <f>IF(OR(#REF!="",#REF!=0,#REF!=#REF!),"",#REF!)</f>
        <v>#REF!</v>
      </c>
      <c r="E122" s="88" t="e">
        <f>IF($D122="","",#REF!)</f>
        <v>#REF!</v>
      </c>
      <c r="F122" s="91"/>
      <c r="G122" s="91"/>
      <c r="H122" s="91"/>
      <c r="I122" s="91"/>
      <c r="J122" s="91"/>
      <c r="K122" s="91"/>
      <c r="L122" s="91"/>
      <c r="M122" s="91"/>
      <c r="N122" s="91"/>
      <c r="O122" s="91"/>
      <c r="P122" s="91"/>
      <c r="Q122" s="91"/>
      <c r="R122" s="91"/>
      <c r="S122" s="91"/>
      <c r="T122" s="109"/>
      <c r="U122" s="109"/>
      <c r="V122" s="109"/>
      <c r="W122" s="108"/>
      <c r="X122" s="108"/>
      <c r="Y122" s="91"/>
      <c r="Z122" s="186" t="e">
        <f t="array" ref="Z122">IF(E122="","",SUMPRODUCT(T122:V122,TRANSPOSE($V$4:$V$6)))</f>
        <v>#REF!</v>
      </c>
      <c r="AA122" s="109"/>
      <c r="AB122" s="91"/>
      <c r="AC122" s="91"/>
      <c r="AD122" s="91"/>
      <c r="AE122" s="91"/>
      <c r="AF122" s="91"/>
      <c r="AG122" s="91"/>
      <c r="AH122" s="91"/>
      <c r="AI122" s="112"/>
      <c r="AJ122" s="109"/>
      <c r="AK122" s="91"/>
      <c r="AL122" s="91"/>
      <c r="AM122" s="91"/>
      <c r="AN122" s="91"/>
      <c r="AO122" s="91"/>
      <c r="AP122" s="91"/>
      <c r="AQ122" s="91"/>
      <c r="AR122" s="91"/>
      <c r="AS122" s="91"/>
      <c r="AT122" s="91"/>
      <c r="AU122" s="110"/>
      <c r="AV122" s="85" t="e">
        <f t="shared" si="3"/>
        <v>#REF!</v>
      </c>
      <c r="AW122" s="85" t="e">
        <f t="shared" si="3"/>
        <v>#REF!</v>
      </c>
      <c r="AX122" s="85" t="e">
        <f t="shared" si="3"/>
        <v>#REF!</v>
      </c>
      <c r="BB122" s="85" t="s">
        <v>132</v>
      </c>
    </row>
    <row r="123" spans="1:54" ht="15.75" x14ac:dyDescent="0.2">
      <c r="A123" s="111" t="e">
        <f t="shared" si="5"/>
        <v>#REF!</v>
      </c>
      <c r="B123" s="88" t="e">
        <f>IF(OR(#REF!="",#REF!=0,#REF!=#REF!),"",#REF!)</f>
        <v>#REF!</v>
      </c>
      <c r="C123" s="107" t="e">
        <f t="shared" si="4"/>
        <v>#REF!</v>
      </c>
      <c r="D123" s="88" t="e">
        <f>IF(OR(#REF!="",#REF!=0,#REF!=#REF!),"",#REF!)</f>
        <v>#REF!</v>
      </c>
      <c r="E123" s="88" t="e">
        <f>IF($D123="","",#REF!)</f>
        <v>#REF!</v>
      </c>
      <c r="F123" s="91"/>
      <c r="G123" s="91"/>
      <c r="H123" s="91"/>
      <c r="I123" s="91"/>
      <c r="J123" s="91"/>
      <c r="K123" s="91"/>
      <c r="L123" s="91"/>
      <c r="M123" s="91"/>
      <c r="N123" s="91"/>
      <c r="O123" s="91"/>
      <c r="P123" s="91"/>
      <c r="Q123" s="91"/>
      <c r="R123" s="91"/>
      <c r="S123" s="91"/>
      <c r="T123" s="109"/>
      <c r="U123" s="109"/>
      <c r="V123" s="109"/>
      <c r="W123" s="108"/>
      <c r="X123" s="108"/>
      <c r="Y123" s="91"/>
      <c r="Z123" s="186" t="e">
        <f t="array" ref="Z123">IF(E123="","",SUMPRODUCT(T123:V123,TRANSPOSE($V$4:$V$6)))</f>
        <v>#REF!</v>
      </c>
      <c r="AA123" s="109"/>
      <c r="AB123" s="91"/>
      <c r="AC123" s="91"/>
      <c r="AD123" s="91"/>
      <c r="AE123" s="91"/>
      <c r="AF123" s="91"/>
      <c r="AG123" s="91"/>
      <c r="AH123" s="91"/>
      <c r="AI123" s="112"/>
      <c r="AJ123" s="109"/>
      <c r="AK123" s="91"/>
      <c r="AL123" s="91"/>
      <c r="AM123" s="91"/>
      <c r="AN123" s="91"/>
      <c r="AO123" s="91"/>
      <c r="AP123" s="91"/>
      <c r="AQ123" s="91"/>
      <c r="AR123" s="91"/>
      <c r="AS123" s="91"/>
      <c r="AT123" s="91"/>
      <c r="AU123" s="110"/>
      <c r="AV123" s="85" t="e">
        <f t="shared" si="3"/>
        <v>#REF!</v>
      </c>
      <c r="AW123" s="85" t="e">
        <f t="shared" si="3"/>
        <v>#REF!</v>
      </c>
      <c r="AX123" s="85" t="e">
        <f t="shared" si="3"/>
        <v>#REF!</v>
      </c>
      <c r="BB123" s="85" t="s">
        <v>240</v>
      </c>
    </row>
    <row r="124" spans="1:54" ht="15.75" x14ac:dyDescent="0.2">
      <c r="A124" s="111" t="e">
        <f t="shared" si="5"/>
        <v>#REF!</v>
      </c>
      <c r="B124" s="88" t="e">
        <f>IF(OR(#REF!="",#REF!=0,#REF!=#REF!),"",#REF!)</f>
        <v>#REF!</v>
      </c>
      <c r="C124" s="107" t="e">
        <f t="shared" si="4"/>
        <v>#REF!</v>
      </c>
      <c r="D124" s="88" t="e">
        <f>IF(OR(#REF!="",#REF!=0,#REF!=#REF!),"",#REF!)</f>
        <v>#REF!</v>
      </c>
      <c r="E124" s="88" t="e">
        <f>IF($D124="","",#REF!)</f>
        <v>#REF!</v>
      </c>
      <c r="F124" s="91"/>
      <c r="G124" s="91"/>
      <c r="H124" s="91"/>
      <c r="I124" s="91"/>
      <c r="J124" s="91"/>
      <c r="K124" s="91"/>
      <c r="L124" s="91"/>
      <c r="M124" s="91"/>
      <c r="N124" s="91"/>
      <c r="O124" s="91"/>
      <c r="P124" s="91"/>
      <c r="Q124" s="91"/>
      <c r="R124" s="91"/>
      <c r="S124" s="91"/>
      <c r="T124" s="109"/>
      <c r="U124" s="109"/>
      <c r="V124" s="109"/>
      <c r="W124" s="108"/>
      <c r="X124" s="108"/>
      <c r="Y124" s="91"/>
      <c r="Z124" s="186" t="e">
        <f t="array" ref="Z124">IF(E124="","",SUMPRODUCT(T124:V124,TRANSPOSE($V$4:$V$6)))</f>
        <v>#REF!</v>
      </c>
      <c r="AA124" s="109"/>
      <c r="AB124" s="91"/>
      <c r="AC124" s="91"/>
      <c r="AD124" s="91"/>
      <c r="AE124" s="91"/>
      <c r="AF124" s="91"/>
      <c r="AG124" s="91"/>
      <c r="AH124" s="91"/>
      <c r="AI124" s="112"/>
      <c r="AJ124" s="109"/>
      <c r="AK124" s="91"/>
      <c r="AL124" s="91"/>
      <c r="AM124" s="91"/>
      <c r="AN124" s="91"/>
      <c r="AO124" s="91"/>
      <c r="AP124" s="91"/>
      <c r="AQ124" s="91"/>
      <c r="AR124" s="91"/>
      <c r="AS124" s="91"/>
      <c r="AT124" s="91"/>
      <c r="AU124" s="110"/>
      <c r="AV124" s="85" t="e">
        <f t="shared" si="3"/>
        <v>#REF!</v>
      </c>
      <c r="AW124" s="85" t="e">
        <f t="shared" si="3"/>
        <v>#REF!</v>
      </c>
      <c r="AX124" s="85" t="e">
        <f t="shared" si="3"/>
        <v>#REF!</v>
      </c>
      <c r="BB124" s="85" t="s">
        <v>136</v>
      </c>
    </row>
    <row r="125" spans="1:54" ht="15.75" x14ac:dyDescent="0.2">
      <c r="A125" s="111" t="e">
        <f t="shared" si="5"/>
        <v>#REF!</v>
      </c>
      <c r="B125" s="88" t="e">
        <f>IF(OR(#REF!="",#REF!=0,#REF!=#REF!),"",#REF!)</f>
        <v>#REF!</v>
      </c>
      <c r="C125" s="107" t="e">
        <f t="shared" si="4"/>
        <v>#REF!</v>
      </c>
      <c r="D125" s="88" t="e">
        <f>IF(OR(#REF!="",#REF!=0,#REF!=#REF!),"",#REF!)</f>
        <v>#REF!</v>
      </c>
      <c r="E125" s="88" t="e">
        <f>IF($D125="","",#REF!)</f>
        <v>#REF!</v>
      </c>
      <c r="F125" s="91"/>
      <c r="G125" s="91"/>
      <c r="H125" s="91"/>
      <c r="I125" s="91"/>
      <c r="J125" s="91"/>
      <c r="K125" s="91"/>
      <c r="L125" s="91"/>
      <c r="M125" s="91"/>
      <c r="N125" s="91"/>
      <c r="O125" s="91"/>
      <c r="P125" s="91"/>
      <c r="Q125" s="91"/>
      <c r="R125" s="91"/>
      <c r="S125" s="91"/>
      <c r="T125" s="109"/>
      <c r="U125" s="109"/>
      <c r="V125" s="109"/>
      <c r="W125" s="108"/>
      <c r="X125" s="108"/>
      <c r="Y125" s="91"/>
      <c r="Z125" s="186" t="e">
        <f t="array" ref="Z125">IF(E125="","",SUMPRODUCT(T125:V125,TRANSPOSE($V$4:$V$6)))</f>
        <v>#REF!</v>
      </c>
      <c r="AA125" s="109"/>
      <c r="AB125" s="91"/>
      <c r="AC125" s="91"/>
      <c r="AD125" s="91"/>
      <c r="AE125" s="91"/>
      <c r="AF125" s="91"/>
      <c r="AG125" s="91"/>
      <c r="AH125" s="91"/>
      <c r="AI125" s="112"/>
      <c r="AJ125" s="109"/>
      <c r="AK125" s="91"/>
      <c r="AL125" s="91"/>
      <c r="AM125" s="91"/>
      <c r="AN125" s="91"/>
      <c r="AO125" s="91"/>
      <c r="AP125" s="91"/>
      <c r="AQ125" s="91"/>
      <c r="AR125" s="91"/>
      <c r="AS125" s="91"/>
      <c r="AT125" s="91"/>
      <c r="AU125" s="110"/>
      <c r="AV125" s="85" t="e">
        <f t="shared" si="3"/>
        <v>#REF!</v>
      </c>
      <c r="AW125" s="85" t="e">
        <f t="shared" si="3"/>
        <v>#REF!</v>
      </c>
      <c r="AX125" s="85" t="e">
        <f t="shared" si="3"/>
        <v>#REF!</v>
      </c>
      <c r="BB125" s="85" t="s">
        <v>138</v>
      </c>
    </row>
    <row r="126" spans="1:54" ht="15.75" x14ac:dyDescent="0.2">
      <c r="A126" s="111" t="e">
        <f t="shared" si="5"/>
        <v>#REF!</v>
      </c>
      <c r="B126" s="88" t="e">
        <f>IF(OR(#REF!="",#REF!=0,#REF!=#REF!),"",#REF!)</f>
        <v>#REF!</v>
      </c>
      <c r="C126" s="107" t="e">
        <f t="shared" si="4"/>
        <v>#REF!</v>
      </c>
      <c r="D126" s="88" t="e">
        <f>IF(OR(#REF!="",#REF!=0,#REF!=#REF!),"",#REF!)</f>
        <v>#REF!</v>
      </c>
      <c r="E126" s="88" t="e">
        <f>IF($D126="","",#REF!)</f>
        <v>#REF!</v>
      </c>
      <c r="F126" s="91"/>
      <c r="G126" s="91"/>
      <c r="H126" s="91"/>
      <c r="I126" s="91"/>
      <c r="J126" s="91"/>
      <c r="K126" s="91"/>
      <c r="L126" s="91"/>
      <c r="M126" s="91"/>
      <c r="N126" s="91"/>
      <c r="O126" s="91"/>
      <c r="P126" s="91"/>
      <c r="Q126" s="91"/>
      <c r="R126" s="91"/>
      <c r="S126" s="91"/>
      <c r="T126" s="109"/>
      <c r="U126" s="109"/>
      <c r="V126" s="109"/>
      <c r="W126" s="108"/>
      <c r="X126" s="108"/>
      <c r="Y126" s="91"/>
      <c r="Z126" s="186" t="e">
        <f t="array" ref="Z126">IF(E126="","",SUMPRODUCT(T126:V126,TRANSPOSE($V$4:$V$6)))</f>
        <v>#REF!</v>
      </c>
      <c r="AA126" s="109"/>
      <c r="AB126" s="91"/>
      <c r="AC126" s="91"/>
      <c r="AD126" s="91"/>
      <c r="AE126" s="91"/>
      <c r="AF126" s="91"/>
      <c r="AG126" s="91"/>
      <c r="AH126" s="91"/>
      <c r="AI126" s="112"/>
      <c r="AJ126" s="109"/>
      <c r="AK126" s="91"/>
      <c r="AL126" s="91"/>
      <c r="AM126" s="91"/>
      <c r="AN126" s="91"/>
      <c r="AO126" s="91"/>
      <c r="AP126" s="91"/>
      <c r="AQ126" s="91"/>
      <c r="AR126" s="91"/>
      <c r="AS126" s="91"/>
      <c r="AT126" s="91"/>
      <c r="AU126" s="110"/>
      <c r="AV126" s="85" t="e">
        <f t="shared" si="3"/>
        <v>#REF!</v>
      </c>
      <c r="AW126" s="85" t="e">
        <f t="shared" si="3"/>
        <v>#REF!</v>
      </c>
      <c r="AX126" s="85" t="e">
        <f t="shared" si="3"/>
        <v>#REF!</v>
      </c>
      <c r="BB126" s="85" t="s">
        <v>140</v>
      </c>
    </row>
    <row r="127" spans="1:54" ht="15.75" x14ac:dyDescent="0.2">
      <c r="A127" s="111" t="e">
        <f t="shared" si="5"/>
        <v>#REF!</v>
      </c>
      <c r="B127" s="88" t="e">
        <f>IF(OR(#REF!="",#REF!=0,#REF!=#REF!),"",#REF!)</f>
        <v>#REF!</v>
      </c>
      <c r="C127" s="107" t="e">
        <f t="shared" si="4"/>
        <v>#REF!</v>
      </c>
      <c r="D127" s="88" t="e">
        <f>IF(OR(#REF!="",#REF!=0,#REF!=#REF!),"",#REF!)</f>
        <v>#REF!</v>
      </c>
      <c r="E127" s="88" t="e">
        <f>IF($D127="","",#REF!)</f>
        <v>#REF!</v>
      </c>
      <c r="F127" s="91"/>
      <c r="G127" s="91"/>
      <c r="H127" s="91"/>
      <c r="I127" s="91"/>
      <c r="J127" s="91"/>
      <c r="K127" s="91"/>
      <c r="L127" s="91"/>
      <c r="M127" s="91"/>
      <c r="N127" s="91"/>
      <c r="O127" s="91"/>
      <c r="P127" s="91"/>
      <c r="Q127" s="91"/>
      <c r="R127" s="91"/>
      <c r="S127" s="91"/>
      <c r="T127" s="109"/>
      <c r="U127" s="109"/>
      <c r="V127" s="109"/>
      <c r="W127" s="108"/>
      <c r="X127" s="108"/>
      <c r="Y127" s="91"/>
      <c r="Z127" s="186" t="e">
        <f t="array" ref="Z127">IF(E127="","",SUMPRODUCT(T127:V127,TRANSPOSE($V$4:$V$6)))</f>
        <v>#REF!</v>
      </c>
      <c r="AA127" s="109"/>
      <c r="AB127" s="91"/>
      <c r="AC127" s="91"/>
      <c r="AD127" s="91"/>
      <c r="AE127" s="91"/>
      <c r="AF127" s="91"/>
      <c r="AG127" s="91"/>
      <c r="AH127" s="91"/>
      <c r="AI127" s="112"/>
      <c r="AJ127" s="109"/>
      <c r="AK127" s="91"/>
      <c r="AL127" s="91"/>
      <c r="AM127" s="91"/>
      <c r="AN127" s="91"/>
      <c r="AO127" s="91"/>
      <c r="AP127" s="91"/>
      <c r="AQ127" s="91"/>
      <c r="AR127" s="91"/>
      <c r="AS127" s="91"/>
      <c r="AT127" s="91"/>
      <c r="AU127" s="110"/>
      <c r="AV127" s="85" t="e">
        <f t="shared" ref="AV127:AX190" si="6">IF($E127="","",AV$18)</f>
        <v>#REF!</v>
      </c>
      <c r="AW127" s="85" t="e">
        <f t="shared" si="6"/>
        <v>#REF!</v>
      </c>
      <c r="AX127" s="85" t="e">
        <f t="shared" si="6"/>
        <v>#REF!</v>
      </c>
      <c r="BB127" s="85" t="s">
        <v>146</v>
      </c>
    </row>
    <row r="128" spans="1:54" ht="15.75" x14ac:dyDescent="0.2">
      <c r="A128" s="111" t="e">
        <f t="shared" si="5"/>
        <v>#REF!</v>
      </c>
      <c r="B128" s="88" t="e">
        <f>IF(OR(#REF!="",#REF!=0,#REF!=#REF!),"",#REF!)</f>
        <v>#REF!</v>
      </c>
      <c r="C128" s="107" t="e">
        <f t="shared" si="4"/>
        <v>#REF!</v>
      </c>
      <c r="D128" s="88" t="e">
        <f>IF(OR(#REF!="",#REF!=0,#REF!=#REF!),"",#REF!)</f>
        <v>#REF!</v>
      </c>
      <c r="E128" s="88" t="e">
        <f>IF($D128="","",#REF!)</f>
        <v>#REF!</v>
      </c>
      <c r="F128" s="91"/>
      <c r="G128" s="91"/>
      <c r="H128" s="91"/>
      <c r="I128" s="91"/>
      <c r="J128" s="91"/>
      <c r="K128" s="91"/>
      <c r="L128" s="91"/>
      <c r="M128" s="91"/>
      <c r="N128" s="91"/>
      <c r="O128" s="91"/>
      <c r="P128" s="91"/>
      <c r="Q128" s="91"/>
      <c r="R128" s="91"/>
      <c r="S128" s="91"/>
      <c r="T128" s="109"/>
      <c r="U128" s="109"/>
      <c r="V128" s="109"/>
      <c r="W128" s="108"/>
      <c r="X128" s="108"/>
      <c r="Y128" s="91"/>
      <c r="Z128" s="186" t="e">
        <f t="array" ref="Z128">IF(E128="","",SUMPRODUCT(T128:V128,TRANSPOSE($V$4:$V$6)))</f>
        <v>#REF!</v>
      </c>
      <c r="AA128" s="109"/>
      <c r="AB128" s="91"/>
      <c r="AC128" s="91"/>
      <c r="AD128" s="91"/>
      <c r="AE128" s="91"/>
      <c r="AF128" s="91"/>
      <c r="AG128" s="91"/>
      <c r="AH128" s="91"/>
      <c r="AI128" s="112"/>
      <c r="AJ128" s="109"/>
      <c r="AK128" s="91"/>
      <c r="AL128" s="91"/>
      <c r="AM128" s="91"/>
      <c r="AN128" s="91"/>
      <c r="AO128" s="91"/>
      <c r="AP128" s="91"/>
      <c r="AQ128" s="91"/>
      <c r="AR128" s="91"/>
      <c r="AS128" s="91"/>
      <c r="AT128" s="91"/>
      <c r="AU128" s="110"/>
      <c r="AV128" s="85" t="e">
        <f t="shared" si="6"/>
        <v>#REF!</v>
      </c>
      <c r="AW128" s="85" t="e">
        <f t="shared" si="6"/>
        <v>#REF!</v>
      </c>
      <c r="AX128" s="85" t="e">
        <f t="shared" si="6"/>
        <v>#REF!</v>
      </c>
      <c r="BB128" s="85" t="s">
        <v>149</v>
      </c>
    </row>
    <row r="129" spans="1:54" ht="15.75" x14ac:dyDescent="0.2">
      <c r="A129" s="111" t="e">
        <f t="shared" si="5"/>
        <v>#REF!</v>
      </c>
      <c r="B129" s="88" t="e">
        <f>IF(OR(#REF!="",#REF!=0,#REF!=#REF!),"",#REF!)</f>
        <v>#REF!</v>
      </c>
      <c r="C129" s="107" t="e">
        <f t="shared" si="4"/>
        <v>#REF!</v>
      </c>
      <c r="D129" s="88" t="e">
        <f>IF(OR(#REF!="",#REF!=0,#REF!=#REF!),"",#REF!)</f>
        <v>#REF!</v>
      </c>
      <c r="E129" s="88" t="e">
        <f>IF($D129="","",#REF!)</f>
        <v>#REF!</v>
      </c>
      <c r="F129" s="91"/>
      <c r="G129" s="91"/>
      <c r="H129" s="91"/>
      <c r="I129" s="91"/>
      <c r="J129" s="91"/>
      <c r="K129" s="91"/>
      <c r="L129" s="91"/>
      <c r="M129" s="91"/>
      <c r="N129" s="91"/>
      <c r="O129" s="91"/>
      <c r="P129" s="91"/>
      <c r="Q129" s="91"/>
      <c r="R129" s="91"/>
      <c r="S129" s="91"/>
      <c r="T129" s="109"/>
      <c r="U129" s="109"/>
      <c r="V129" s="109"/>
      <c r="W129" s="108"/>
      <c r="X129" s="108"/>
      <c r="Y129" s="91"/>
      <c r="Z129" s="186" t="e">
        <f t="array" ref="Z129">IF(E129="","",SUMPRODUCT(T129:V129,TRANSPOSE($V$4:$V$6)))</f>
        <v>#REF!</v>
      </c>
      <c r="AA129" s="109"/>
      <c r="AB129" s="91"/>
      <c r="AC129" s="91"/>
      <c r="AD129" s="91"/>
      <c r="AE129" s="91"/>
      <c r="AF129" s="91"/>
      <c r="AG129" s="91"/>
      <c r="AH129" s="91"/>
      <c r="AI129" s="112"/>
      <c r="AJ129" s="109"/>
      <c r="AK129" s="91"/>
      <c r="AL129" s="91"/>
      <c r="AM129" s="91"/>
      <c r="AN129" s="91"/>
      <c r="AO129" s="91"/>
      <c r="AP129" s="91"/>
      <c r="AQ129" s="91"/>
      <c r="AR129" s="91"/>
      <c r="AS129" s="91"/>
      <c r="AT129" s="91"/>
      <c r="AU129" s="110"/>
      <c r="AV129" s="85" t="e">
        <f t="shared" si="6"/>
        <v>#REF!</v>
      </c>
      <c r="AW129" s="85" t="e">
        <f t="shared" si="6"/>
        <v>#REF!</v>
      </c>
      <c r="AX129" s="85" t="e">
        <f t="shared" si="6"/>
        <v>#REF!</v>
      </c>
      <c r="BB129" s="85" t="s">
        <v>151</v>
      </c>
    </row>
    <row r="130" spans="1:54" ht="15.75" x14ac:dyDescent="0.2">
      <c r="A130" s="111" t="e">
        <f t="shared" si="5"/>
        <v>#REF!</v>
      </c>
      <c r="B130" s="88" t="e">
        <f>IF(OR(#REF!="",#REF!=0,#REF!=#REF!),"",#REF!)</f>
        <v>#REF!</v>
      </c>
      <c r="C130" s="107" t="e">
        <f t="shared" si="4"/>
        <v>#REF!</v>
      </c>
      <c r="D130" s="88" t="e">
        <f>IF(OR(#REF!="",#REF!=0,#REF!=#REF!),"",#REF!)</f>
        <v>#REF!</v>
      </c>
      <c r="E130" s="88" t="e">
        <f>IF($D130="","",#REF!)</f>
        <v>#REF!</v>
      </c>
      <c r="F130" s="91"/>
      <c r="G130" s="91"/>
      <c r="H130" s="91"/>
      <c r="I130" s="91"/>
      <c r="J130" s="91"/>
      <c r="K130" s="91"/>
      <c r="L130" s="91"/>
      <c r="M130" s="91"/>
      <c r="N130" s="91"/>
      <c r="O130" s="91"/>
      <c r="P130" s="91"/>
      <c r="Q130" s="91"/>
      <c r="R130" s="91"/>
      <c r="S130" s="91"/>
      <c r="T130" s="109"/>
      <c r="U130" s="109"/>
      <c r="V130" s="109"/>
      <c r="W130" s="108"/>
      <c r="X130" s="108"/>
      <c r="Y130" s="91"/>
      <c r="Z130" s="186" t="e">
        <f t="array" ref="Z130">IF(E130="","",SUMPRODUCT(T130:V130,TRANSPOSE($V$4:$V$6)))</f>
        <v>#REF!</v>
      </c>
      <c r="AA130" s="109"/>
      <c r="AB130" s="91"/>
      <c r="AC130" s="91"/>
      <c r="AD130" s="91"/>
      <c r="AE130" s="91"/>
      <c r="AF130" s="91"/>
      <c r="AG130" s="91"/>
      <c r="AH130" s="91"/>
      <c r="AI130" s="112"/>
      <c r="AJ130" s="109"/>
      <c r="AK130" s="91"/>
      <c r="AL130" s="91"/>
      <c r="AM130" s="91"/>
      <c r="AN130" s="91"/>
      <c r="AO130" s="91"/>
      <c r="AP130" s="91"/>
      <c r="AQ130" s="91"/>
      <c r="AR130" s="91"/>
      <c r="AS130" s="91"/>
      <c r="AT130" s="91"/>
      <c r="AU130" s="110"/>
      <c r="AV130" s="85" t="e">
        <f t="shared" si="6"/>
        <v>#REF!</v>
      </c>
      <c r="AW130" s="85" t="e">
        <f t="shared" si="6"/>
        <v>#REF!</v>
      </c>
      <c r="AX130" s="85" t="e">
        <f t="shared" si="6"/>
        <v>#REF!</v>
      </c>
      <c r="BB130" s="85" t="s">
        <v>152</v>
      </c>
    </row>
    <row r="131" spans="1:54" ht="15.75" x14ac:dyDescent="0.2">
      <c r="A131" s="111" t="e">
        <f t="shared" si="5"/>
        <v>#REF!</v>
      </c>
      <c r="B131" s="88" t="e">
        <f>IF(OR(#REF!="",#REF!=0,#REF!=#REF!),"",#REF!)</f>
        <v>#REF!</v>
      </c>
      <c r="C131" s="107" t="e">
        <f t="shared" si="4"/>
        <v>#REF!</v>
      </c>
      <c r="D131" s="88" t="e">
        <f>IF(OR(#REF!="",#REF!=0,#REF!=#REF!),"",#REF!)</f>
        <v>#REF!</v>
      </c>
      <c r="E131" s="88" t="e">
        <f>IF($D131="","",#REF!)</f>
        <v>#REF!</v>
      </c>
      <c r="F131" s="91"/>
      <c r="G131" s="91"/>
      <c r="H131" s="91"/>
      <c r="I131" s="91"/>
      <c r="J131" s="91"/>
      <c r="K131" s="91"/>
      <c r="L131" s="91"/>
      <c r="M131" s="91"/>
      <c r="N131" s="91"/>
      <c r="O131" s="91"/>
      <c r="P131" s="91"/>
      <c r="Q131" s="91"/>
      <c r="R131" s="91"/>
      <c r="S131" s="91"/>
      <c r="T131" s="109"/>
      <c r="U131" s="109"/>
      <c r="V131" s="109"/>
      <c r="W131" s="108"/>
      <c r="X131" s="108"/>
      <c r="Y131" s="91"/>
      <c r="Z131" s="186" t="e">
        <f t="array" ref="Z131">IF(E131="","",SUMPRODUCT(T131:V131,TRANSPOSE($V$4:$V$6)))</f>
        <v>#REF!</v>
      </c>
      <c r="AA131" s="109"/>
      <c r="AB131" s="91"/>
      <c r="AC131" s="91"/>
      <c r="AD131" s="91"/>
      <c r="AE131" s="91"/>
      <c r="AF131" s="91"/>
      <c r="AG131" s="91"/>
      <c r="AH131" s="91"/>
      <c r="AI131" s="112"/>
      <c r="AJ131" s="109"/>
      <c r="AK131" s="91"/>
      <c r="AL131" s="91"/>
      <c r="AM131" s="91"/>
      <c r="AN131" s="91"/>
      <c r="AO131" s="91"/>
      <c r="AP131" s="91"/>
      <c r="AQ131" s="91"/>
      <c r="AR131" s="91"/>
      <c r="AS131" s="91"/>
      <c r="AT131" s="91"/>
      <c r="AU131" s="110"/>
      <c r="AV131" s="85" t="e">
        <f t="shared" si="6"/>
        <v>#REF!</v>
      </c>
      <c r="AW131" s="85" t="e">
        <f t="shared" si="6"/>
        <v>#REF!</v>
      </c>
      <c r="AX131" s="85" t="e">
        <f t="shared" si="6"/>
        <v>#REF!</v>
      </c>
      <c r="BB131" s="85" t="s">
        <v>154</v>
      </c>
    </row>
    <row r="132" spans="1:54" ht="15.75" x14ac:dyDescent="0.2">
      <c r="A132" s="111" t="e">
        <f t="shared" si="5"/>
        <v>#REF!</v>
      </c>
      <c r="B132" s="88" t="e">
        <f>IF(OR(#REF!="",#REF!=0,#REF!=#REF!),"",#REF!)</f>
        <v>#REF!</v>
      </c>
      <c r="C132" s="107" t="e">
        <f t="shared" si="4"/>
        <v>#REF!</v>
      </c>
      <c r="D132" s="88" t="e">
        <f>IF(OR(#REF!="",#REF!=0,#REF!=#REF!),"",#REF!)</f>
        <v>#REF!</v>
      </c>
      <c r="E132" s="88" t="e">
        <f>IF($D132="","",#REF!)</f>
        <v>#REF!</v>
      </c>
      <c r="F132" s="91"/>
      <c r="G132" s="91"/>
      <c r="H132" s="91"/>
      <c r="I132" s="91"/>
      <c r="J132" s="91"/>
      <c r="K132" s="91"/>
      <c r="L132" s="91"/>
      <c r="M132" s="91"/>
      <c r="N132" s="91"/>
      <c r="O132" s="91"/>
      <c r="P132" s="91"/>
      <c r="Q132" s="91"/>
      <c r="R132" s="91"/>
      <c r="S132" s="91"/>
      <c r="T132" s="109"/>
      <c r="U132" s="109"/>
      <c r="V132" s="109"/>
      <c r="W132" s="108"/>
      <c r="X132" s="108"/>
      <c r="Y132" s="91"/>
      <c r="Z132" s="186" t="e">
        <f t="array" ref="Z132">IF(E132="","",SUMPRODUCT(T132:V132,TRANSPOSE($V$4:$V$6)))</f>
        <v>#REF!</v>
      </c>
      <c r="AA132" s="109"/>
      <c r="AB132" s="91"/>
      <c r="AC132" s="91"/>
      <c r="AD132" s="91"/>
      <c r="AE132" s="91"/>
      <c r="AF132" s="91"/>
      <c r="AG132" s="91"/>
      <c r="AH132" s="91"/>
      <c r="AI132" s="112"/>
      <c r="AJ132" s="109"/>
      <c r="AK132" s="91"/>
      <c r="AL132" s="91"/>
      <c r="AM132" s="91"/>
      <c r="AN132" s="91"/>
      <c r="AO132" s="91"/>
      <c r="AP132" s="91"/>
      <c r="AQ132" s="91"/>
      <c r="AR132" s="91"/>
      <c r="AS132" s="91"/>
      <c r="AT132" s="91"/>
      <c r="AU132" s="110"/>
      <c r="AV132" s="85" t="e">
        <f t="shared" si="6"/>
        <v>#REF!</v>
      </c>
      <c r="AW132" s="85" t="e">
        <f t="shared" si="6"/>
        <v>#REF!</v>
      </c>
      <c r="AX132" s="85" t="e">
        <f t="shared" si="6"/>
        <v>#REF!</v>
      </c>
      <c r="BB132" s="85" t="s">
        <v>159</v>
      </c>
    </row>
    <row r="133" spans="1:54" ht="15.75" x14ac:dyDescent="0.2">
      <c r="A133" s="111" t="e">
        <f t="shared" si="5"/>
        <v>#REF!</v>
      </c>
      <c r="B133" s="88" t="e">
        <f>IF(OR(#REF!="",#REF!=0,#REF!=#REF!),"",#REF!)</f>
        <v>#REF!</v>
      </c>
      <c r="C133" s="107" t="e">
        <f t="shared" si="4"/>
        <v>#REF!</v>
      </c>
      <c r="D133" s="88" t="e">
        <f>IF(OR(#REF!="",#REF!=0,#REF!=#REF!),"",#REF!)</f>
        <v>#REF!</v>
      </c>
      <c r="E133" s="88" t="e">
        <f>IF($D133="","",#REF!)</f>
        <v>#REF!</v>
      </c>
      <c r="F133" s="91"/>
      <c r="G133" s="91"/>
      <c r="H133" s="91"/>
      <c r="I133" s="91"/>
      <c r="J133" s="91"/>
      <c r="K133" s="91"/>
      <c r="L133" s="91"/>
      <c r="M133" s="91"/>
      <c r="N133" s="91"/>
      <c r="O133" s="91"/>
      <c r="P133" s="91"/>
      <c r="Q133" s="91"/>
      <c r="R133" s="91"/>
      <c r="S133" s="91"/>
      <c r="T133" s="109"/>
      <c r="U133" s="109"/>
      <c r="V133" s="109"/>
      <c r="W133" s="108"/>
      <c r="X133" s="108"/>
      <c r="Y133" s="91"/>
      <c r="Z133" s="186" t="e">
        <f t="array" ref="Z133">IF(E133="","",SUMPRODUCT(T133:V133,TRANSPOSE($V$4:$V$6)))</f>
        <v>#REF!</v>
      </c>
      <c r="AA133" s="109"/>
      <c r="AB133" s="91"/>
      <c r="AC133" s="91"/>
      <c r="AD133" s="91"/>
      <c r="AE133" s="91"/>
      <c r="AF133" s="91"/>
      <c r="AG133" s="91"/>
      <c r="AH133" s="91"/>
      <c r="AI133" s="112"/>
      <c r="AJ133" s="109"/>
      <c r="AK133" s="91"/>
      <c r="AL133" s="91"/>
      <c r="AM133" s="91"/>
      <c r="AN133" s="91"/>
      <c r="AO133" s="91"/>
      <c r="AP133" s="91"/>
      <c r="AQ133" s="91"/>
      <c r="AR133" s="91"/>
      <c r="AS133" s="91"/>
      <c r="AT133" s="91"/>
      <c r="AU133" s="110"/>
      <c r="AV133" s="85" t="e">
        <f t="shared" si="6"/>
        <v>#REF!</v>
      </c>
      <c r="AW133" s="85" t="e">
        <f t="shared" si="6"/>
        <v>#REF!</v>
      </c>
      <c r="AX133" s="85" t="e">
        <f t="shared" si="6"/>
        <v>#REF!</v>
      </c>
      <c r="BB133" s="85" t="s">
        <v>242</v>
      </c>
    </row>
    <row r="134" spans="1:54" ht="15.75" x14ac:dyDescent="0.2">
      <c r="A134" s="111" t="e">
        <f t="shared" si="5"/>
        <v>#REF!</v>
      </c>
      <c r="B134" s="88" t="e">
        <f>IF(OR(#REF!="",#REF!=0,#REF!=#REF!),"",#REF!)</f>
        <v>#REF!</v>
      </c>
      <c r="C134" s="107" t="e">
        <f t="shared" si="4"/>
        <v>#REF!</v>
      </c>
      <c r="D134" s="88" t="e">
        <f>IF(OR(#REF!="",#REF!=0,#REF!=#REF!),"",#REF!)</f>
        <v>#REF!</v>
      </c>
      <c r="E134" s="88" t="e">
        <f>IF($D134="","",#REF!)</f>
        <v>#REF!</v>
      </c>
      <c r="F134" s="91"/>
      <c r="G134" s="91"/>
      <c r="H134" s="91"/>
      <c r="I134" s="91"/>
      <c r="J134" s="91"/>
      <c r="K134" s="91"/>
      <c r="L134" s="91"/>
      <c r="M134" s="91"/>
      <c r="N134" s="91"/>
      <c r="O134" s="91"/>
      <c r="P134" s="91"/>
      <c r="Q134" s="91"/>
      <c r="R134" s="91"/>
      <c r="S134" s="91"/>
      <c r="T134" s="109"/>
      <c r="U134" s="109"/>
      <c r="V134" s="109"/>
      <c r="W134" s="108"/>
      <c r="X134" s="108"/>
      <c r="Y134" s="91"/>
      <c r="Z134" s="186" t="e">
        <f t="array" ref="Z134">IF(E134="","",SUMPRODUCT(T134:V134,TRANSPOSE($V$4:$V$6)))</f>
        <v>#REF!</v>
      </c>
      <c r="AA134" s="109"/>
      <c r="AB134" s="91"/>
      <c r="AC134" s="91"/>
      <c r="AD134" s="91"/>
      <c r="AE134" s="91"/>
      <c r="AF134" s="91"/>
      <c r="AG134" s="91"/>
      <c r="AH134" s="91"/>
      <c r="AI134" s="112"/>
      <c r="AJ134" s="109"/>
      <c r="AK134" s="91"/>
      <c r="AL134" s="91"/>
      <c r="AM134" s="91"/>
      <c r="AN134" s="91"/>
      <c r="AO134" s="91"/>
      <c r="AP134" s="91"/>
      <c r="AQ134" s="91"/>
      <c r="AR134" s="91"/>
      <c r="AS134" s="91"/>
      <c r="AT134" s="91"/>
      <c r="AU134" s="110"/>
      <c r="AV134" s="85" t="e">
        <f t="shared" si="6"/>
        <v>#REF!</v>
      </c>
      <c r="AW134" s="85" t="e">
        <f t="shared" si="6"/>
        <v>#REF!</v>
      </c>
      <c r="AX134" s="85" t="e">
        <f t="shared" si="6"/>
        <v>#REF!</v>
      </c>
      <c r="BB134" s="85" t="s">
        <v>165</v>
      </c>
    </row>
    <row r="135" spans="1:54" ht="15.75" x14ac:dyDescent="0.2">
      <c r="A135" s="111" t="e">
        <f t="shared" si="5"/>
        <v>#REF!</v>
      </c>
      <c r="B135" s="88" t="e">
        <f>IF(OR(#REF!="",#REF!=0,#REF!=#REF!),"",#REF!)</f>
        <v>#REF!</v>
      </c>
      <c r="C135" s="107" t="e">
        <f t="shared" si="4"/>
        <v>#REF!</v>
      </c>
      <c r="D135" s="88" t="e">
        <f>IF(OR(#REF!="",#REF!=0,#REF!=#REF!),"",#REF!)</f>
        <v>#REF!</v>
      </c>
      <c r="E135" s="88" t="e">
        <f>IF($D135="","",#REF!)</f>
        <v>#REF!</v>
      </c>
      <c r="F135" s="91"/>
      <c r="G135" s="91"/>
      <c r="H135" s="91"/>
      <c r="I135" s="91"/>
      <c r="J135" s="91"/>
      <c r="K135" s="91"/>
      <c r="L135" s="91"/>
      <c r="M135" s="91"/>
      <c r="N135" s="91"/>
      <c r="O135" s="91"/>
      <c r="P135" s="91"/>
      <c r="Q135" s="91"/>
      <c r="R135" s="91"/>
      <c r="S135" s="91"/>
      <c r="T135" s="109"/>
      <c r="U135" s="109"/>
      <c r="V135" s="109"/>
      <c r="W135" s="108"/>
      <c r="X135" s="108"/>
      <c r="Y135" s="91"/>
      <c r="Z135" s="186" t="e">
        <f t="array" ref="Z135">IF(E135="","",SUMPRODUCT(T135:V135,TRANSPOSE($V$4:$V$6)))</f>
        <v>#REF!</v>
      </c>
      <c r="AA135" s="109"/>
      <c r="AB135" s="91"/>
      <c r="AC135" s="91"/>
      <c r="AD135" s="91"/>
      <c r="AE135" s="91"/>
      <c r="AF135" s="91"/>
      <c r="AG135" s="91"/>
      <c r="AH135" s="91"/>
      <c r="AI135" s="112"/>
      <c r="AJ135" s="109"/>
      <c r="AK135" s="91"/>
      <c r="AL135" s="91"/>
      <c r="AM135" s="91"/>
      <c r="AN135" s="91"/>
      <c r="AO135" s="91"/>
      <c r="AP135" s="91"/>
      <c r="AQ135" s="91"/>
      <c r="AR135" s="91"/>
      <c r="AS135" s="91"/>
      <c r="AT135" s="91"/>
      <c r="AU135" s="110"/>
      <c r="AV135" s="85" t="e">
        <f t="shared" si="6"/>
        <v>#REF!</v>
      </c>
      <c r="AW135" s="85" t="e">
        <f t="shared" si="6"/>
        <v>#REF!</v>
      </c>
      <c r="AX135" s="85" t="e">
        <f t="shared" si="6"/>
        <v>#REF!</v>
      </c>
      <c r="BB135" s="85" t="s">
        <v>168</v>
      </c>
    </row>
    <row r="136" spans="1:54" ht="15.75" x14ac:dyDescent="0.2">
      <c r="A136" s="111" t="e">
        <f t="shared" si="5"/>
        <v>#REF!</v>
      </c>
      <c r="B136" s="88" t="e">
        <f>IF(OR(#REF!="",#REF!=0,#REF!=#REF!),"",#REF!)</f>
        <v>#REF!</v>
      </c>
      <c r="C136" s="107" t="e">
        <f t="shared" si="4"/>
        <v>#REF!</v>
      </c>
      <c r="D136" s="88" t="e">
        <f>IF(OR(#REF!="",#REF!=0,#REF!=#REF!),"",#REF!)</f>
        <v>#REF!</v>
      </c>
      <c r="E136" s="88" t="e">
        <f>IF($D136="","",#REF!)</f>
        <v>#REF!</v>
      </c>
      <c r="F136" s="91"/>
      <c r="G136" s="91"/>
      <c r="H136" s="91"/>
      <c r="I136" s="91"/>
      <c r="J136" s="91"/>
      <c r="K136" s="91"/>
      <c r="L136" s="91"/>
      <c r="M136" s="91"/>
      <c r="N136" s="91"/>
      <c r="O136" s="91"/>
      <c r="P136" s="91"/>
      <c r="Q136" s="91"/>
      <c r="R136" s="91"/>
      <c r="S136" s="91"/>
      <c r="T136" s="109"/>
      <c r="U136" s="109"/>
      <c r="V136" s="109"/>
      <c r="W136" s="108"/>
      <c r="X136" s="108"/>
      <c r="Y136" s="91"/>
      <c r="Z136" s="186" t="e">
        <f t="array" ref="Z136">IF(E136="","",SUMPRODUCT(T136:V136,TRANSPOSE($V$4:$V$6)))</f>
        <v>#REF!</v>
      </c>
      <c r="AA136" s="109"/>
      <c r="AB136" s="91"/>
      <c r="AC136" s="91"/>
      <c r="AD136" s="91"/>
      <c r="AE136" s="91"/>
      <c r="AF136" s="91"/>
      <c r="AG136" s="91"/>
      <c r="AH136" s="91"/>
      <c r="AI136" s="112"/>
      <c r="AJ136" s="109"/>
      <c r="AK136" s="91"/>
      <c r="AL136" s="91"/>
      <c r="AM136" s="91"/>
      <c r="AN136" s="91"/>
      <c r="AO136" s="91"/>
      <c r="AP136" s="91"/>
      <c r="AQ136" s="91"/>
      <c r="AR136" s="91"/>
      <c r="AS136" s="91"/>
      <c r="AT136" s="91"/>
      <c r="AU136" s="110"/>
      <c r="AV136" s="85" t="e">
        <f t="shared" si="6"/>
        <v>#REF!</v>
      </c>
      <c r="AW136" s="85" t="e">
        <f t="shared" si="6"/>
        <v>#REF!</v>
      </c>
      <c r="AX136" s="85" t="e">
        <f t="shared" si="6"/>
        <v>#REF!</v>
      </c>
      <c r="BB136" s="85" t="s">
        <v>172</v>
      </c>
    </row>
    <row r="137" spans="1:54" ht="15.75" x14ac:dyDescent="0.2">
      <c r="A137" s="111" t="e">
        <f t="shared" si="5"/>
        <v>#REF!</v>
      </c>
      <c r="B137" s="88" t="e">
        <f>IF(OR(#REF!="",#REF!=0,#REF!=#REF!),"",#REF!)</f>
        <v>#REF!</v>
      </c>
      <c r="C137" s="107" t="e">
        <f t="shared" si="4"/>
        <v>#REF!</v>
      </c>
      <c r="D137" s="88" t="e">
        <f>IF(OR(#REF!="",#REF!=0,#REF!=#REF!),"",#REF!)</f>
        <v>#REF!</v>
      </c>
      <c r="E137" s="88" t="e">
        <f>IF($D137="","",#REF!)</f>
        <v>#REF!</v>
      </c>
      <c r="F137" s="91"/>
      <c r="G137" s="91"/>
      <c r="H137" s="91"/>
      <c r="I137" s="91"/>
      <c r="J137" s="91"/>
      <c r="K137" s="91"/>
      <c r="L137" s="91"/>
      <c r="M137" s="91"/>
      <c r="N137" s="91"/>
      <c r="O137" s="91"/>
      <c r="P137" s="91"/>
      <c r="Q137" s="91"/>
      <c r="R137" s="91"/>
      <c r="S137" s="91"/>
      <c r="T137" s="109"/>
      <c r="U137" s="109"/>
      <c r="V137" s="109"/>
      <c r="W137" s="108"/>
      <c r="X137" s="108"/>
      <c r="Y137" s="91"/>
      <c r="Z137" s="186" t="e">
        <f t="array" ref="Z137">IF(E137="","",SUMPRODUCT(T137:V137,TRANSPOSE($V$4:$V$6)))</f>
        <v>#REF!</v>
      </c>
      <c r="AA137" s="109"/>
      <c r="AB137" s="91"/>
      <c r="AC137" s="91"/>
      <c r="AD137" s="91"/>
      <c r="AE137" s="91"/>
      <c r="AF137" s="91"/>
      <c r="AG137" s="91"/>
      <c r="AH137" s="91"/>
      <c r="AI137" s="112"/>
      <c r="AJ137" s="109"/>
      <c r="AK137" s="91"/>
      <c r="AL137" s="91"/>
      <c r="AM137" s="91"/>
      <c r="AN137" s="91"/>
      <c r="AO137" s="91"/>
      <c r="AP137" s="91"/>
      <c r="AQ137" s="91"/>
      <c r="AR137" s="91"/>
      <c r="AS137" s="91"/>
      <c r="AT137" s="91"/>
      <c r="AU137" s="110"/>
      <c r="AV137" s="85" t="e">
        <f t="shared" si="6"/>
        <v>#REF!</v>
      </c>
      <c r="AW137" s="85" t="e">
        <f t="shared" si="6"/>
        <v>#REF!</v>
      </c>
      <c r="AX137" s="85" t="e">
        <f t="shared" si="6"/>
        <v>#REF!</v>
      </c>
      <c r="BB137" s="85" t="s">
        <v>243</v>
      </c>
    </row>
    <row r="138" spans="1:54" ht="15.75" x14ac:dyDescent="0.2">
      <c r="A138" s="111" t="e">
        <f t="shared" si="5"/>
        <v>#REF!</v>
      </c>
      <c r="B138" s="88" t="e">
        <f>IF(OR(#REF!="",#REF!=0,#REF!=#REF!),"",#REF!)</f>
        <v>#REF!</v>
      </c>
      <c r="C138" s="107" t="e">
        <f t="shared" si="4"/>
        <v>#REF!</v>
      </c>
      <c r="D138" s="88" t="e">
        <f>IF(OR(#REF!="",#REF!=0,#REF!=#REF!),"",#REF!)</f>
        <v>#REF!</v>
      </c>
      <c r="E138" s="88" t="e">
        <f>IF($D138="","",#REF!)</f>
        <v>#REF!</v>
      </c>
      <c r="F138" s="91"/>
      <c r="G138" s="91"/>
      <c r="H138" s="91"/>
      <c r="I138" s="91"/>
      <c r="J138" s="91"/>
      <c r="K138" s="91"/>
      <c r="L138" s="91"/>
      <c r="M138" s="91"/>
      <c r="N138" s="91"/>
      <c r="O138" s="91"/>
      <c r="P138" s="91"/>
      <c r="Q138" s="91"/>
      <c r="R138" s="91"/>
      <c r="S138" s="91"/>
      <c r="T138" s="109"/>
      <c r="U138" s="109"/>
      <c r="V138" s="109"/>
      <c r="W138" s="108"/>
      <c r="X138" s="108"/>
      <c r="Y138" s="91"/>
      <c r="Z138" s="186" t="e">
        <f t="array" ref="Z138">IF(E138="","",SUMPRODUCT(T138:V138,TRANSPOSE($V$4:$V$6)))</f>
        <v>#REF!</v>
      </c>
      <c r="AA138" s="109"/>
      <c r="AB138" s="91"/>
      <c r="AC138" s="91"/>
      <c r="AD138" s="91"/>
      <c r="AE138" s="91"/>
      <c r="AF138" s="91"/>
      <c r="AG138" s="91"/>
      <c r="AH138" s="91"/>
      <c r="AI138" s="112"/>
      <c r="AJ138" s="109"/>
      <c r="AK138" s="91"/>
      <c r="AL138" s="91"/>
      <c r="AM138" s="91"/>
      <c r="AN138" s="91"/>
      <c r="AO138" s="91"/>
      <c r="AP138" s="91"/>
      <c r="AQ138" s="91"/>
      <c r="AR138" s="91"/>
      <c r="AS138" s="91"/>
      <c r="AT138" s="91"/>
      <c r="AU138" s="110"/>
      <c r="AV138" s="85" t="e">
        <f t="shared" si="6"/>
        <v>#REF!</v>
      </c>
      <c r="AW138" s="85" t="e">
        <f t="shared" si="6"/>
        <v>#REF!</v>
      </c>
      <c r="AX138" s="85" t="e">
        <f t="shared" si="6"/>
        <v>#REF!</v>
      </c>
      <c r="BB138" s="85" t="s">
        <v>220</v>
      </c>
    </row>
    <row r="139" spans="1:54" ht="15.75" x14ac:dyDescent="0.2">
      <c r="A139" s="111" t="e">
        <f t="shared" si="5"/>
        <v>#REF!</v>
      </c>
      <c r="B139" s="88" t="e">
        <f>IF(OR(#REF!="",#REF!=0,#REF!=#REF!),"",#REF!)</f>
        <v>#REF!</v>
      </c>
      <c r="C139" s="107" t="e">
        <f t="shared" si="4"/>
        <v>#REF!</v>
      </c>
      <c r="D139" s="88" t="e">
        <f>IF(OR(#REF!="",#REF!=0,#REF!=#REF!),"",#REF!)</f>
        <v>#REF!</v>
      </c>
      <c r="E139" s="88" t="e">
        <f>IF($D139="","",#REF!)</f>
        <v>#REF!</v>
      </c>
      <c r="F139" s="91"/>
      <c r="G139" s="91"/>
      <c r="H139" s="91"/>
      <c r="I139" s="91"/>
      <c r="J139" s="91"/>
      <c r="K139" s="91"/>
      <c r="L139" s="91"/>
      <c r="M139" s="91"/>
      <c r="N139" s="91"/>
      <c r="O139" s="91"/>
      <c r="P139" s="91"/>
      <c r="Q139" s="91"/>
      <c r="R139" s="91"/>
      <c r="S139" s="91"/>
      <c r="T139" s="109"/>
      <c r="U139" s="109"/>
      <c r="V139" s="109"/>
      <c r="W139" s="108"/>
      <c r="X139" s="108"/>
      <c r="Y139" s="91"/>
      <c r="Z139" s="186" t="e">
        <f t="array" ref="Z139">IF(E139="","",SUMPRODUCT(T139:V139,TRANSPOSE($V$4:$V$6)))</f>
        <v>#REF!</v>
      </c>
      <c r="AA139" s="109"/>
      <c r="AB139" s="91"/>
      <c r="AC139" s="91"/>
      <c r="AD139" s="91"/>
      <c r="AE139" s="91"/>
      <c r="AF139" s="91"/>
      <c r="AG139" s="91"/>
      <c r="AH139" s="91"/>
      <c r="AI139" s="113"/>
      <c r="AJ139" s="109"/>
      <c r="AK139" s="91"/>
      <c r="AL139" s="91"/>
      <c r="AM139" s="91"/>
      <c r="AN139" s="91"/>
      <c r="AO139" s="91"/>
      <c r="AP139" s="91"/>
      <c r="AQ139" s="91"/>
      <c r="AR139" s="91"/>
      <c r="AS139" s="91"/>
      <c r="AT139" s="91"/>
      <c r="AU139" s="110"/>
      <c r="AV139" s="85" t="e">
        <f t="shared" si="6"/>
        <v>#REF!</v>
      </c>
      <c r="AW139" s="85" t="e">
        <f t="shared" si="6"/>
        <v>#REF!</v>
      </c>
      <c r="AX139" s="85" t="e">
        <f t="shared" si="6"/>
        <v>#REF!</v>
      </c>
      <c r="BB139" s="85" t="s">
        <v>85</v>
      </c>
    </row>
    <row r="140" spans="1:54" ht="15.75" x14ac:dyDescent="0.2">
      <c r="A140" s="111" t="e">
        <f t="shared" si="5"/>
        <v>#REF!</v>
      </c>
      <c r="B140" s="88" t="e">
        <f>IF(OR(#REF!="",#REF!=0,#REF!=#REF!),"",#REF!)</f>
        <v>#REF!</v>
      </c>
      <c r="C140" s="107" t="e">
        <f t="shared" si="4"/>
        <v>#REF!</v>
      </c>
      <c r="D140" s="88" t="e">
        <f>IF(OR(#REF!="",#REF!=0,#REF!=#REF!),"",#REF!)</f>
        <v>#REF!</v>
      </c>
      <c r="E140" s="88" t="e">
        <f>IF($D140="","",#REF!)</f>
        <v>#REF!</v>
      </c>
      <c r="F140" s="91"/>
      <c r="G140" s="91"/>
      <c r="H140" s="91"/>
      <c r="I140" s="91"/>
      <c r="J140" s="91"/>
      <c r="K140" s="91"/>
      <c r="L140" s="91"/>
      <c r="M140" s="91"/>
      <c r="N140" s="91"/>
      <c r="O140" s="91"/>
      <c r="P140" s="91"/>
      <c r="Q140" s="91"/>
      <c r="R140" s="91"/>
      <c r="S140" s="91"/>
      <c r="T140" s="109"/>
      <c r="U140" s="109"/>
      <c r="V140" s="109"/>
      <c r="W140" s="108"/>
      <c r="X140" s="108"/>
      <c r="Y140" s="91"/>
      <c r="Z140" s="186" t="e">
        <f t="array" ref="Z140">IF(E140="","",SUMPRODUCT(T140:V140,TRANSPOSE($V$4:$V$6)))</f>
        <v>#REF!</v>
      </c>
      <c r="AA140" s="109"/>
      <c r="AB140" s="91"/>
      <c r="AC140" s="91"/>
      <c r="AD140" s="91"/>
      <c r="AE140" s="91"/>
      <c r="AF140" s="91"/>
      <c r="AG140" s="91"/>
      <c r="AH140" s="91"/>
      <c r="AI140" s="112"/>
      <c r="AJ140" s="109"/>
      <c r="AK140" s="91"/>
      <c r="AL140" s="91"/>
      <c r="AM140" s="91"/>
      <c r="AN140" s="91"/>
      <c r="AO140" s="91"/>
      <c r="AP140" s="91"/>
      <c r="AQ140" s="91"/>
      <c r="AR140" s="91"/>
      <c r="AS140" s="91"/>
      <c r="AT140" s="91"/>
      <c r="AU140" s="110"/>
      <c r="AV140" s="85" t="e">
        <f t="shared" si="6"/>
        <v>#REF!</v>
      </c>
      <c r="AW140" s="85" t="e">
        <f t="shared" si="6"/>
        <v>#REF!</v>
      </c>
      <c r="AX140" s="85" t="e">
        <f t="shared" si="6"/>
        <v>#REF!</v>
      </c>
      <c r="BB140" s="85" t="s">
        <v>98</v>
      </c>
    </row>
    <row r="141" spans="1:54" ht="15.75" x14ac:dyDescent="0.2">
      <c r="A141" s="111" t="e">
        <f t="shared" si="5"/>
        <v>#REF!</v>
      </c>
      <c r="B141" s="88" t="e">
        <f>IF(OR(#REF!="",#REF!=0,#REF!=#REF!),"",#REF!)</f>
        <v>#REF!</v>
      </c>
      <c r="C141" s="107" t="e">
        <f t="shared" si="4"/>
        <v>#REF!</v>
      </c>
      <c r="D141" s="88" t="e">
        <f>IF(OR(#REF!="",#REF!=0,#REF!=#REF!),"",#REF!)</f>
        <v>#REF!</v>
      </c>
      <c r="E141" s="88" t="e">
        <f>IF($D141="","",#REF!)</f>
        <v>#REF!</v>
      </c>
      <c r="F141" s="91"/>
      <c r="G141" s="91"/>
      <c r="H141" s="91"/>
      <c r="I141" s="91"/>
      <c r="J141" s="91"/>
      <c r="K141" s="91"/>
      <c r="L141" s="91"/>
      <c r="M141" s="91"/>
      <c r="N141" s="91"/>
      <c r="O141" s="91"/>
      <c r="P141" s="91"/>
      <c r="Q141" s="91"/>
      <c r="R141" s="91"/>
      <c r="S141" s="91"/>
      <c r="T141" s="109"/>
      <c r="U141" s="109"/>
      <c r="V141" s="109"/>
      <c r="W141" s="108"/>
      <c r="X141" s="108"/>
      <c r="Y141" s="91"/>
      <c r="Z141" s="186" t="e">
        <f t="array" ref="Z141">IF(E141="","",SUMPRODUCT(T141:V141,TRANSPOSE($V$4:$V$6)))</f>
        <v>#REF!</v>
      </c>
      <c r="AA141" s="109"/>
      <c r="AB141" s="91"/>
      <c r="AC141" s="91"/>
      <c r="AD141" s="91"/>
      <c r="AE141" s="91"/>
      <c r="AF141" s="91"/>
      <c r="AG141" s="91"/>
      <c r="AH141" s="91"/>
      <c r="AI141" s="112"/>
      <c r="AJ141" s="109"/>
      <c r="AK141" s="91"/>
      <c r="AL141" s="91"/>
      <c r="AM141" s="91"/>
      <c r="AN141" s="91"/>
      <c r="AO141" s="91"/>
      <c r="AP141" s="91"/>
      <c r="AQ141" s="91"/>
      <c r="AR141" s="91"/>
      <c r="AS141" s="91"/>
      <c r="AT141" s="91"/>
      <c r="AU141" s="110"/>
      <c r="AV141" s="85" t="e">
        <f t="shared" si="6"/>
        <v>#REF!</v>
      </c>
      <c r="AW141" s="85" t="e">
        <f t="shared" si="6"/>
        <v>#REF!</v>
      </c>
      <c r="AX141" s="85" t="e">
        <f t="shared" si="6"/>
        <v>#REF!</v>
      </c>
      <c r="BB141" s="85" t="s">
        <v>219</v>
      </c>
    </row>
    <row r="142" spans="1:54" ht="15.75" x14ac:dyDescent="0.2">
      <c r="A142" s="111" t="e">
        <f t="shared" si="5"/>
        <v>#REF!</v>
      </c>
      <c r="B142" s="88" t="e">
        <f>IF(OR(#REF!="",#REF!=0,#REF!=#REF!),"",#REF!)</f>
        <v>#REF!</v>
      </c>
      <c r="C142" s="107" t="e">
        <f t="shared" si="4"/>
        <v>#REF!</v>
      </c>
      <c r="D142" s="88" t="e">
        <f>IF(OR(#REF!="",#REF!=0,#REF!=#REF!),"",#REF!)</f>
        <v>#REF!</v>
      </c>
      <c r="E142" s="88" t="e">
        <f>IF($D142="","",#REF!)</f>
        <v>#REF!</v>
      </c>
      <c r="F142" s="91"/>
      <c r="G142" s="91"/>
      <c r="H142" s="91"/>
      <c r="I142" s="91"/>
      <c r="J142" s="91"/>
      <c r="K142" s="91"/>
      <c r="L142" s="91"/>
      <c r="M142" s="91"/>
      <c r="N142" s="91"/>
      <c r="O142" s="91"/>
      <c r="P142" s="91"/>
      <c r="Q142" s="91"/>
      <c r="R142" s="91"/>
      <c r="S142" s="91"/>
      <c r="T142" s="109"/>
      <c r="U142" s="109"/>
      <c r="V142" s="109"/>
      <c r="W142" s="108"/>
      <c r="X142" s="108"/>
      <c r="Y142" s="91"/>
      <c r="Z142" s="186" t="e">
        <f t="array" ref="Z142">IF(E142="","",SUMPRODUCT(T142:V142,TRANSPOSE($V$4:$V$6)))</f>
        <v>#REF!</v>
      </c>
      <c r="AA142" s="109"/>
      <c r="AB142" s="91"/>
      <c r="AC142" s="91"/>
      <c r="AD142" s="91"/>
      <c r="AE142" s="91"/>
      <c r="AF142" s="91"/>
      <c r="AG142" s="91"/>
      <c r="AH142" s="91"/>
      <c r="AI142" s="112"/>
      <c r="AJ142" s="109"/>
      <c r="AK142" s="91"/>
      <c r="AL142" s="91"/>
      <c r="AM142" s="91"/>
      <c r="AN142" s="91"/>
      <c r="AO142" s="91"/>
      <c r="AP142" s="91"/>
      <c r="AQ142" s="91"/>
      <c r="AR142" s="91"/>
      <c r="AS142" s="91"/>
      <c r="AT142" s="91"/>
      <c r="AU142" s="110"/>
      <c r="AV142" s="85" t="e">
        <f t="shared" si="6"/>
        <v>#REF!</v>
      </c>
      <c r="AW142" s="85" t="e">
        <f t="shared" si="6"/>
        <v>#REF!</v>
      </c>
      <c r="AX142" s="85" t="e">
        <f t="shared" si="6"/>
        <v>#REF!</v>
      </c>
      <c r="BB142" s="85" t="s">
        <v>5</v>
      </c>
    </row>
    <row r="143" spans="1:54" ht="15.75" x14ac:dyDescent="0.2">
      <c r="A143" s="111" t="e">
        <f t="shared" si="5"/>
        <v>#REF!</v>
      </c>
      <c r="B143" s="88" t="e">
        <f>IF(OR(#REF!="",#REF!=0,#REF!=#REF!),"",#REF!)</f>
        <v>#REF!</v>
      </c>
      <c r="C143" s="107" t="e">
        <f t="shared" si="4"/>
        <v>#REF!</v>
      </c>
      <c r="D143" s="88" t="e">
        <f>IF(OR(#REF!="",#REF!=0,#REF!=#REF!),"",#REF!)</f>
        <v>#REF!</v>
      </c>
      <c r="E143" s="88" t="e">
        <f>IF($D143="","",#REF!)</f>
        <v>#REF!</v>
      </c>
      <c r="F143" s="91"/>
      <c r="G143" s="91"/>
      <c r="H143" s="91"/>
      <c r="I143" s="91"/>
      <c r="J143" s="91"/>
      <c r="K143" s="91"/>
      <c r="L143" s="91"/>
      <c r="M143" s="91"/>
      <c r="N143" s="91"/>
      <c r="O143" s="91"/>
      <c r="P143" s="91"/>
      <c r="Q143" s="91"/>
      <c r="R143" s="91"/>
      <c r="S143" s="91"/>
      <c r="T143" s="109"/>
      <c r="U143" s="109"/>
      <c r="V143" s="109"/>
      <c r="W143" s="108"/>
      <c r="X143" s="108"/>
      <c r="Y143" s="91"/>
      <c r="Z143" s="186" t="e">
        <f t="array" ref="Z143">IF(E143="","",SUMPRODUCT(T143:V143,TRANSPOSE($V$4:$V$6)))</f>
        <v>#REF!</v>
      </c>
      <c r="AA143" s="109"/>
      <c r="AB143" s="91"/>
      <c r="AC143" s="91"/>
      <c r="AD143" s="91"/>
      <c r="AE143" s="91"/>
      <c r="AF143" s="91"/>
      <c r="AG143" s="91"/>
      <c r="AH143" s="91"/>
      <c r="AI143" s="112"/>
      <c r="AJ143" s="109"/>
      <c r="AK143" s="91"/>
      <c r="AL143" s="91"/>
      <c r="AM143" s="91"/>
      <c r="AN143" s="91"/>
      <c r="AO143" s="91"/>
      <c r="AP143" s="91"/>
      <c r="AQ143" s="91"/>
      <c r="AR143" s="91"/>
      <c r="AS143" s="91"/>
      <c r="AT143" s="91"/>
      <c r="AU143" s="110"/>
      <c r="AV143" s="85" t="e">
        <f t="shared" si="6"/>
        <v>#REF!</v>
      </c>
      <c r="AW143" s="85" t="e">
        <f t="shared" si="6"/>
        <v>#REF!</v>
      </c>
      <c r="AX143" s="85" t="e">
        <f t="shared" si="6"/>
        <v>#REF!</v>
      </c>
      <c r="BB143" s="85" t="s">
        <v>6</v>
      </c>
    </row>
    <row r="144" spans="1:54" ht="15.75" x14ac:dyDescent="0.2">
      <c r="A144" s="111" t="e">
        <f t="shared" si="5"/>
        <v>#REF!</v>
      </c>
      <c r="B144" s="88" t="e">
        <f>IF(OR(#REF!="",#REF!=0,#REF!=#REF!),"",#REF!)</f>
        <v>#REF!</v>
      </c>
      <c r="C144" s="107" t="e">
        <f t="shared" si="4"/>
        <v>#REF!</v>
      </c>
      <c r="D144" s="88" t="e">
        <f>IF(OR(#REF!="",#REF!=0,#REF!=#REF!),"",#REF!)</f>
        <v>#REF!</v>
      </c>
      <c r="E144" s="88" t="e">
        <f>IF($D144="","",#REF!)</f>
        <v>#REF!</v>
      </c>
      <c r="F144" s="91"/>
      <c r="G144" s="91"/>
      <c r="H144" s="91"/>
      <c r="I144" s="91"/>
      <c r="J144" s="91"/>
      <c r="K144" s="91"/>
      <c r="L144" s="91"/>
      <c r="M144" s="91"/>
      <c r="N144" s="91"/>
      <c r="O144" s="91"/>
      <c r="P144" s="91"/>
      <c r="Q144" s="91"/>
      <c r="R144" s="91"/>
      <c r="S144" s="91"/>
      <c r="T144" s="109"/>
      <c r="U144" s="109"/>
      <c r="V144" s="109"/>
      <c r="W144" s="108"/>
      <c r="X144" s="108"/>
      <c r="Y144" s="91"/>
      <c r="Z144" s="186" t="e">
        <f t="array" ref="Z144">IF(E144="","",SUMPRODUCT(T144:V144,TRANSPOSE($V$4:$V$6)))</f>
        <v>#REF!</v>
      </c>
      <c r="AA144" s="109"/>
      <c r="AB144" s="91"/>
      <c r="AC144" s="91"/>
      <c r="AD144" s="91"/>
      <c r="AE144" s="91"/>
      <c r="AF144" s="91"/>
      <c r="AG144" s="91"/>
      <c r="AH144" s="91"/>
      <c r="AI144" s="112"/>
      <c r="AJ144" s="109"/>
      <c r="AK144" s="91"/>
      <c r="AL144" s="91"/>
      <c r="AM144" s="91"/>
      <c r="AN144" s="91"/>
      <c r="AO144" s="91"/>
      <c r="AP144" s="91"/>
      <c r="AQ144" s="91"/>
      <c r="AR144" s="91"/>
      <c r="AS144" s="91"/>
      <c r="AT144" s="91"/>
      <c r="AU144" s="110"/>
      <c r="AV144" s="85" t="e">
        <f t="shared" si="6"/>
        <v>#REF!</v>
      </c>
      <c r="AW144" s="85" t="e">
        <f t="shared" si="6"/>
        <v>#REF!</v>
      </c>
      <c r="AX144" s="85" t="e">
        <f t="shared" si="6"/>
        <v>#REF!</v>
      </c>
      <c r="BB144" s="85" t="s">
        <v>7</v>
      </c>
    </row>
    <row r="145" spans="1:54" ht="15.75" x14ac:dyDescent="0.2">
      <c r="A145" s="111" t="e">
        <f t="shared" si="5"/>
        <v>#REF!</v>
      </c>
      <c r="B145" s="88" t="e">
        <f>IF(OR(#REF!="",#REF!=0,#REF!=#REF!),"",#REF!)</f>
        <v>#REF!</v>
      </c>
      <c r="C145" s="107" t="e">
        <f t="shared" si="4"/>
        <v>#REF!</v>
      </c>
      <c r="D145" s="88" t="e">
        <f>IF(OR(#REF!="",#REF!=0,#REF!=#REF!),"",#REF!)</f>
        <v>#REF!</v>
      </c>
      <c r="E145" s="88" t="e">
        <f>IF($D145="","",#REF!)</f>
        <v>#REF!</v>
      </c>
      <c r="F145" s="91"/>
      <c r="G145" s="91"/>
      <c r="H145" s="91"/>
      <c r="I145" s="91"/>
      <c r="J145" s="91"/>
      <c r="K145" s="91"/>
      <c r="L145" s="91"/>
      <c r="M145" s="91"/>
      <c r="N145" s="91"/>
      <c r="O145" s="91"/>
      <c r="P145" s="91"/>
      <c r="Q145" s="91"/>
      <c r="R145" s="91"/>
      <c r="S145" s="91"/>
      <c r="T145" s="109"/>
      <c r="U145" s="109"/>
      <c r="V145" s="109"/>
      <c r="W145" s="108"/>
      <c r="X145" s="108"/>
      <c r="Y145" s="91"/>
      <c r="Z145" s="186" t="e">
        <f t="array" ref="Z145">IF(E145="","",SUMPRODUCT(T145:V145,TRANSPOSE($V$4:$V$6)))</f>
        <v>#REF!</v>
      </c>
      <c r="AA145" s="109"/>
      <c r="AB145" s="91"/>
      <c r="AC145" s="91"/>
      <c r="AD145" s="91"/>
      <c r="AE145" s="91"/>
      <c r="AF145" s="91"/>
      <c r="AG145" s="91"/>
      <c r="AH145" s="91"/>
      <c r="AI145" s="112"/>
      <c r="AJ145" s="109"/>
      <c r="AK145" s="91"/>
      <c r="AL145" s="91"/>
      <c r="AM145" s="91"/>
      <c r="AN145" s="91"/>
      <c r="AO145" s="91"/>
      <c r="AP145" s="91"/>
      <c r="AQ145" s="91"/>
      <c r="AR145" s="91"/>
      <c r="AS145" s="91"/>
      <c r="AT145" s="91"/>
      <c r="AU145" s="110"/>
      <c r="AV145" s="85" t="e">
        <f t="shared" si="6"/>
        <v>#REF!</v>
      </c>
      <c r="AW145" s="85" t="e">
        <f t="shared" si="6"/>
        <v>#REF!</v>
      </c>
      <c r="AX145" s="85" t="e">
        <f t="shared" si="6"/>
        <v>#REF!</v>
      </c>
      <c r="BB145" s="85" t="s">
        <v>10</v>
      </c>
    </row>
    <row r="146" spans="1:54" ht="15.75" x14ac:dyDescent="0.2">
      <c r="A146" s="111" t="e">
        <f t="shared" si="5"/>
        <v>#REF!</v>
      </c>
      <c r="B146" s="88" t="e">
        <f>IF(OR(#REF!="",#REF!=0,#REF!=#REF!),"",#REF!)</f>
        <v>#REF!</v>
      </c>
      <c r="C146" s="107" t="e">
        <f t="shared" si="4"/>
        <v>#REF!</v>
      </c>
      <c r="D146" s="88" t="e">
        <f>IF(OR(#REF!="",#REF!=0,#REF!=#REF!),"",#REF!)</f>
        <v>#REF!</v>
      </c>
      <c r="E146" s="88" t="e">
        <f>IF($D146="","",#REF!)</f>
        <v>#REF!</v>
      </c>
      <c r="F146" s="91"/>
      <c r="G146" s="91"/>
      <c r="H146" s="91"/>
      <c r="I146" s="91"/>
      <c r="J146" s="91"/>
      <c r="K146" s="91"/>
      <c r="L146" s="91"/>
      <c r="M146" s="91"/>
      <c r="N146" s="91"/>
      <c r="O146" s="91"/>
      <c r="P146" s="91"/>
      <c r="Q146" s="91"/>
      <c r="R146" s="91"/>
      <c r="S146" s="91"/>
      <c r="T146" s="109"/>
      <c r="U146" s="109"/>
      <c r="V146" s="109"/>
      <c r="W146" s="108"/>
      <c r="X146" s="108"/>
      <c r="Y146" s="91"/>
      <c r="Z146" s="186" t="e">
        <f t="array" ref="Z146">IF(E146="","",SUMPRODUCT(T146:V146,TRANSPOSE($V$4:$V$6)))</f>
        <v>#REF!</v>
      </c>
      <c r="AA146" s="109"/>
      <c r="AB146" s="91"/>
      <c r="AC146" s="91"/>
      <c r="AD146" s="91"/>
      <c r="AE146" s="91"/>
      <c r="AF146" s="91"/>
      <c r="AG146" s="91"/>
      <c r="AH146" s="91"/>
      <c r="AI146" s="112"/>
      <c r="AJ146" s="109"/>
      <c r="AK146" s="91"/>
      <c r="AL146" s="91"/>
      <c r="AM146" s="91"/>
      <c r="AN146" s="91"/>
      <c r="AO146" s="91"/>
      <c r="AP146" s="91"/>
      <c r="AQ146" s="91"/>
      <c r="AR146" s="91"/>
      <c r="AS146" s="91"/>
      <c r="AT146" s="91"/>
      <c r="AU146" s="110"/>
      <c r="AV146" s="85" t="e">
        <f t="shared" si="6"/>
        <v>#REF!</v>
      </c>
      <c r="AW146" s="85" t="e">
        <f t="shared" si="6"/>
        <v>#REF!</v>
      </c>
      <c r="AX146" s="85" t="e">
        <f t="shared" si="6"/>
        <v>#REF!</v>
      </c>
      <c r="BB146" s="85" t="s">
        <v>62</v>
      </c>
    </row>
    <row r="147" spans="1:54" ht="15.75" x14ac:dyDescent="0.2">
      <c r="A147" s="111" t="e">
        <f t="shared" si="5"/>
        <v>#REF!</v>
      </c>
      <c r="B147" s="88" t="e">
        <f>IF(OR(#REF!="",#REF!=0,#REF!=#REF!),"",#REF!)</f>
        <v>#REF!</v>
      </c>
      <c r="C147" s="107" t="e">
        <f t="shared" si="4"/>
        <v>#REF!</v>
      </c>
      <c r="D147" s="88" t="e">
        <f>IF(OR(#REF!="",#REF!=0,#REF!=#REF!),"",#REF!)</f>
        <v>#REF!</v>
      </c>
      <c r="E147" s="88" t="e">
        <f>IF($D147="","",#REF!)</f>
        <v>#REF!</v>
      </c>
      <c r="F147" s="91"/>
      <c r="G147" s="91"/>
      <c r="H147" s="91"/>
      <c r="I147" s="91"/>
      <c r="J147" s="91"/>
      <c r="K147" s="91"/>
      <c r="L147" s="91"/>
      <c r="M147" s="91"/>
      <c r="N147" s="91"/>
      <c r="O147" s="91"/>
      <c r="P147" s="91"/>
      <c r="Q147" s="91"/>
      <c r="R147" s="91"/>
      <c r="S147" s="91"/>
      <c r="T147" s="109"/>
      <c r="U147" s="109"/>
      <c r="V147" s="109"/>
      <c r="W147" s="108"/>
      <c r="X147" s="108"/>
      <c r="Y147" s="91"/>
      <c r="Z147" s="186" t="e">
        <f t="array" ref="Z147">IF(E147="","",SUMPRODUCT(T147:V147,TRANSPOSE($V$4:$V$6)))</f>
        <v>#REF!</v>
      </c>
      <c r="AA147" s="109"/>
      <c r="AB147" s="91"/>
      <c r="AC147" s="91"/>
      <c r="AD147" s="91"/>
      <c r="AE147" s="91"/>
      <c r="AF147" s="91"/>
      <c r="AG147" s="91"/>
      <c r="AH147" s="91"/>
      <c r="AI147" s="113"/>
      <c r="AJ147" s="109"/>
      <c r="AK147" s="91"/>
      <c r="AL147" s="91"/>
      <c r="AM147" s="91"/>
      <c r="AN147" s="91"/>
      <c r="AO147" s="91"/>
      <c r="AP147" s="91"/>
      <c r="AQ147" s="91"/>
      <c r="AR147" s="91"/>
      <c r="AS147" s="91"/>
      <c r="AT147" s="91"/>
      <c r="AU147" s="110"/>
      <c r="AV147" s="85" t="e">
        <f t="shared" si="6"/>
        <v>#REF!</v>
      </c>
      <c r="AW147" s="85" t="e">
        <f t="shared" si="6"/>
        <v>#REF!</v>
      </c>
      <c r="AX147" s="85" t="e">
        <f t="shared" si="6"/>
        <v>#REF!</v>
      </c>
      <c r="BB147" s="85" t="s">
        <v>17</v>
      </c>
    </row>
    <row r="148" spans="1:54" ht="15.75" x14ac:dyDescent="0.2">
      <c r="A148" s="111" t="e">
        <f t="shared" si="5"/>
        <v>#REF!</v>
      </c>
      <c r="B148" s="88" t="e">
        <f>IF(OR(#REF!="",#REF!=0,#REF!=#REF!),"",#REF!)</f>
        <v>#REF!</v>
      </c>
      <c r="C148" s="107" t="e">
        <f t="shared" ref="C148:C211" si="7">IF(E148="","",IF(Z148&lt;&gt;0,1,0))</f>
        <v>#REF!</v>
      </c>
      <c r="D148" s="88" t="e">
        <f>IF(OR(#REF!="",#REF!=0,#REF!=#REF!),"",#REF!)</f>
        <v>#REF!</v>
      </c>
      <c r="E148" s="88" t="e">
        <f>IF($D148="","",#REF!)</f>
        <v>#REF!</v>
      </c>
      <c r="F148" s="91"/>
      <c r="G148" s="91"/>
      <c r="H148" s="91"/>
      <c r="I148" s="91"/>
      <c r="J148" s="91"/>
      <c r="K148" s="91"/>
      <c r="L148" s="91"/>
      <c r="M148" s="91"/>
      <c r="N148" s="91"/>
      <c r="O148" s="91"/>
      <c r="P148" s="91"/>
      <c r="Q148" s="91"/>
      <c r="R148" s="91"/>
      <c r="S148" s="91"/>
      <c r="T148" s="109"/>
      <c r="U148" s="109"/>
      <c r="V148" s="109"/>
      <c r="W148" s="108"/>
      <c r="X148" s="108"/>
      <c r="Y148" s="91"/>
      <c r="Z148" s="186" t="e">
        <f t="array" ref="Z148">IF(E148="","",SUMPRODUCT(T148:V148,TRANSPOSE($V$4:$V$6)))</f>
        <v>#REF!</v>
      </c>
      <c r="AA148" s="109"/>
      <c r="AB148" s="91"/>
      <c r="AC148" s="91"/>
      <c r="AD148" s="91"/>
      <c r="AE148" s="91"/>
      <c r="AF148" s="91"/>
      <c r="AG148" s="91"/>
      <c r="AH148" s="91"/>
      <c r="AI148" s="113"/>
      <c r="AJ148" s="109"/>
      <c r="AK148" s="91"/>
      <c r="AL148" s="91"/>
      <c r="AM148" s="91"/>
      <c r="AN148" s="91"/>
      <c r="AO148" s="91"/>
      <c r="AP148" s="91"/>
      <c r="AQ148" s="91"/>
      <c r="AR148" s="91"/>
      <c r="AS148" s="91"/>
      <c r="AT148" s="91"/>
      <c r="AU148" s="110"/>
      <c r="AV148" s="85" t="e">
        <f t="shared" si="6"/>
        <v>#REF!</v>
      </c>
      <c r="AW148" s="85" t="e">
        <f t="shared" si="6"/>
        <v>#REF!</v>
      </c>
      <c r="AX148" s="85" t="e">
        <f t="shared" si="6"/>
        <v>#REF!</v>
      </c>
      <c r="BB148" s="85" t="s">
        <v>28</v>
      </c>
    </row>
    <row r="149" spans="1:54" ht="15.75" x14ac:dyDescent="0.2">
      <c r="A149" s="111" t="e">
        <f t="shared" ref="A149:A212" si="8">IF(D149="","",A148+1)</f>
        <v>#REF!</v>
      </c>
      <c r="B149" s="88" t="e">
        <f>IF(OR(#REF!="",#REF!=0,#REF!=#REF!),"",#REF!)</f>
        <v>#REF!</v>
      </c>
      <c r="C149" s="107" t="e">
        <f t="shared" si="7"/>
        <v>#REF!</v>
      </c>
      <c r="D149" s="88" t="e">
        <f>IF(OR(#REF!="",#REF!=0,#REF!=#REF!),"",#REF!)</f>
        <v>#REF!</v>
      </c>
      <c r="E149" s="88" t="e">
        <f>IF($D149="","",#REF!)</f>
        <v>#REF!</v>
      </c>
      <c r="F149" s="91"/>
      <c r="G149" s="91"/>
      <c r="H149" s="91"/>
      <c r="I149" s="91"/>
      <c r="J149" s="91"/>
      <c r="K149" s="91"/>
      <c r="L149" s="91"/>
      <c r="M149" s="91"/>
      <c r="N149" s="91"/>
      <c r="O149" s="91"/>
      <c r="P149" s="91"/>
      <c r="Q149" s="91"/>
      <c r="R149" s="91"/>
      <c r="S149" s="91"/>
      <c r="T149" s="109"/>
      <c r="U149" s="109"/>
      <c r="V149" s="109"/>
      <c r="W149" s="108"/>
      <c r="X149" s="108"/>
      <c r="Y149" s="91"/>
      <c r="Z149" s="186" t="e">
        <f t="array" ref="Z149">IF(E149="","",SUMPRODUCT(T149:V149,TRANSPOSE($V$4:$V$6)))</f>
        <v>#REF!</v>
      </c>
      <c r="AA149" s="109"/>
      <c r="AB149" s="91"/>
      <c r="AC149" s="91"/>
      <c r="AD149" s="91"/>
      <c r="AE149" s="91"/>
      <c r="AF149" s="91"/>
      <c r="AG149" s="91"/>
      <c r="AH149" s="91"/>
      <c r="AI149" s="109"/>
      <c r="AJ149" s="109"/>
      <c r="AK149" s="91"/>
      <c r="AL149" s="91"/>
      <c r="AM149" s="91"/>
      <c r="AN149" s="91"/>
      <c r="AO149" s="91"/>
      <c r="AP149" s="91"/>
      <c r="AQ149" s="91"/>
      <c r="AR149" s="91"/>
      <c r="AS149" s="91"/>
      <c r="AT149" s="91"/>
      <c r="AU149" s="110"/>
      <c r="AV149" s="85" t="e">
        <f t="shared" si="6"/>
        <v>#REF!</v>
      </c>
      <c r="AW149" s="85" t="e">
        <f t="shared" si="6"/>
        <v>#REF!</v>
      </c>
      <c r="AX149" s="85" t="e">
        <f t="shared" si="6"/>
        <v>#REF!</v>
      </c>
      <c r="BB149" s="85" t="s">
        <v>27</v>
      </c>
    </row>
    <row r="150" spans="1:54" ht="15.75" x14ac:dyDescent="0.2">
      <c r="A150" s="111" t="e">
        <f t="shared" si="8"/>
        <v>#REF!</v>
      </c>
      <c r="B150" s="88" t="e">
        <f>IF(OR(#REF!="",#REF!=0,#REF!=#REF!),"",#REF!)</f>
        <v>#REF!</v>
      </c>
      <c r="C150" s="107" t="e">
        <f t="shared" si="7"/>
        <v>#REF!</v>
      </c>
      <c r="D150" s="88" t="e">
        <f>IF(OR(#REF!="",#REF!=0,#REF!=#REF!),"",#REF!)</f>
        <v>#REF!</v>
      </c>
      <c r="E150" s="88" t="e">
        <f>IF($D150="","",#REF!)</f>
        <v>#REF!</v>
      </c>
      <c r="F150" s="91"/>
      <c r="G150" s="91"/>
      <c r="H150" s="91"/>
      <c r="I150" s="91"/>
      <c r="J150" s="91"/>
      <c r="K150" s="91"/>
      <c r="L150" s="91"/>
      <c r="M150" s="91"/>
      <c r="N150" s="91"/>
      <c r="O150" s="91"/>
      <c r="P150" s="91"/>
      <c r="Q150" s="91"/>
      <c r="R150" s="91"/>
      <c r="S150" s="91"/>
      <c r="T150" s="109"/>
      <c r="U150" s="109"/>
      <c r="V150" s="109"/>
      <c r="W150" s="114"/>
      <c r="X150" s="114"/>
      <c r="Y150" s="91"/>
      <c r="Z150" s="186" t="e">
        <f t="array" ref="Z150">IF(E150="","",SUMPRODUCT(T150:V150,TRANSPOSE($V$4:$V$6)))</f>
        <v>#REF!</v>
      </c>
      <c r="AA150" s="109"/>
      <c r="AB150" s="91"/>
      <c r="AC150" s="91"/>
      <c r="AD150" s="91"/>
      <c r="AE150" s="91"/>
      <c r="AF150" s="91"/>
      <c r="AG150" s="91"/>
      <c r="AH150" s="91"/>
      <c r="AI150" s="112"/>
      <c r="AJ150" s="109"/>
      <c r="AK150" s="91"/>
      <c r="AL150" s="91"/>
      <c r="AM150" s="91"/>
      <c r="AN150" s="91"/>
      <c r="AO150" s="91"/>
      <c r="AP150" s="91"/>
      <c r="AQ150" s="91"/>
      <c r="AR150" s="91"/>
      <c r="AS150" s="91"/>
      <c r="AT150" s="91"/>
      <c r="AU150" s="115"/>
      <c r="AV150" s="85" t="e">
        <f t="shared" si="6"/>
        <v>#REF!</v>
      </c>
      <c r="AW150" s="85" t="e">
        <f t="shared" si="6"/>
        <v>#REF!</v>
      </c>
      <c r="AX150" s="85" t="e">
        <f t="shared" si="6"/>
        <v>#REF!</v>
      </c>
      <c r="BB150" s="85" t="s">
        <v>47</v>
      </c>
    </row>
    <row r="151" spans="1:54" ht="15.75" x14ac:dyDescent="0.2">
      <c r="A151" s="111" t="e">
        <f t="shared" si="8"/>
        <v>#REF!</v>
      </c>
      <c r="B151" s="88" t="e">
        <f>IF(OR(#REF!="",#REF!=0,#REF!=#REF!),"",#REF!)</f>
        <v>#REF!</v>
      </c>
      <c r="C151" s="107" t="e">
        <f t="shared" si="7"/>
        <v>#REF!</v>
      </c>
      <c r="D151" s="88" t="e">
        <f>IF(OR(#REF!="",#REF!=0,#REF!=#REF!),"",#REF!)</f>
        <v>#REF!</v>
      </c>
      <c r="E151" s="88" t="e">
        <f>IF($D151="","",#REF!)</f>
        <v>#REF!</v>
      </c>
      <c r="F151" s="91"/>
      <c r="G151" s="91"/>
      <c r="H151" s="91"/>
      <c r="I151" s="91"/>
      <c r="J151" s="91"/>
      <c r="K151" s="91"/>
      <c r="L151" s="91"/>
      <c r="M151" s="91"/>
      <c r="N151" s="91"/>
      <c r="O151" s="91"/>
      <c r="P151" s="91"/>
      <c r="Q151" s="91"/>
      <c r="R151" s="91"/>
      <c r="S151" s="91"/>
      <c r="T151" s="109"/>
      <c r="U151" s="109"/>
      <c r="V151" s="109"/>
      <c r="W151" s="108"/>
      <c r="X151" s="108"/>
      <c r="Y151" s="91"/>
      <c r="Z151" s="186" t="e">
        <f t="array" ref="Z151">IF(E151="","",SUMPRODUCT(T151:V151,TRANSPOSE($V$4:$V$6)))</f>
        <v>#REF!</v>
      </c>
      <c r="AA151" s="109"/>
      <c r="AB151" s="91"/>
      <c r="AC151" s="91"/>
      <c r="AD151" s="91"/>
      <c r="AE151" s="91"/>
      <c r="AF151" s="91"/>
      <c r="AG151" s="91"/>
      <c r="AH151" s="91"/>
      <c r="AI151" s="112"/>
      <c r="AJ151" s="109"/>
      <c r="AK151" s="91"/>
      <c r="AL151" s="91"/>
      <c r="AM151" s="91"/>
      <c r="AN151" s="91"/>
      <c r="AO151" s="91"/>
      <c r="AP151" s="91"/>
      <c r="AQ151" s="91"/>
      <c r="AR151" s="91"/>
      <c r="AS151" s="91"/>
      <c r="AT151" s="91"/>
      <c r="AU151" s="115"/>
      <c r="AV151" s="85" t="e">
        <f t="shared" si="6"/>
        <v>#REF!</v>
      </c>
      <c r="AW151" s="85" t="e">
        <f t="shared" si="6"/>
        <v>#REF!</v>
      </c>
      <c r="AX151" s="85" t="e">
        <f t="shared" si="6"/>
        <v>#REF!</v>
      </c>
      <c r="BB151" s="85" t="s">
        <v>53</v>
      </c>
    </row>
    <row r="152" spans="1:54" ht="15.75" x14ac:dyDescent="0.2">
      <c r="A152" s="111" t="e">
        <f t="shared" si="8"/>
        <v>#REF!</v>
      </c>
      <c r="B152" s="88" t="e">
        <f>IF(OR(#REF!="",#REF!=0,#REF!=#REF!),"",#REF!)</f>
        <v>#REF!</v>
      </c>
      <c r="C152" s="107" t="e">
        <f t="shared" si="7"/>
        <v>#REF!</v>
      </c>
      <c r="D152" s="88" t="e">
        <f>IF(OR(#REF!="",#REF!=0,#REF!=#REF!),"",#REF!)</f>
        <v>#REF!</v>
      </c>
      <c r="E152" s="88" t="e">
        <f>IF($D152="","",#REF!)</f>
        <v>#REF!</v>
      </c>
      <c r="F152" s="91"/>
      <c r="G152" s="91"/>
      <c r="H152" s="91"/>
      <c r="I152" s="91"/>
      <c r="J152" s="91"/>
      <c r="K152" s="91"/>
      <c r="L152" s="91"/>
      <c r="M152" s="91"/>
      <c r="N152" s="91"/>
      <c r="O152" s="91"/>
      <c r="P152" s="91"/>
      <c r="Q152" s="91"/>
      <c r="R152" s="91"/>
      <c r="S152" s="91"/>
      <c r="T152" s="109"/>
      <c r="U152" s="109"/>
      <c r="V152" s="109"/>
      <c r="W152" s="108"/>
      <c r="X152" s="108"/>
      <c r="Y152" s="91"/>
      <c r="Z152" s="186" t="e">
        <f t="array" ref="Z152">IF(E152="","",SUMPRODUCT(T152:V152,TRANSPOSE($V$4:$V$6)))</f>
        <v>#REF!</v>
      </c>
      <c r="AA152" s="109"/>
      <c r="AB152" s="91"/>
      <c r="AC152" s="91"/>
      <c r="AD152" s="91"/>
      <c r="AE152" s="91"/>
      <c r="AF152" s="91"/>
      <c r="AG152" s="91"/>
      <c r="AH152" s="91"/>
      <c r="AI152" s="112"/>
      <c r="AJ152" s="109"/>
      <c r="AK152" s="91"/>
      <c r="AL152" s="91"/>
      <c r="AM152" s="91"/>
      <c r="AN152" s="91"/>
      <c r="AO152" s="91"/>
      <c r="AP152" s="91"/>
      <c r="AQ152" s="91"/>
      <c r="AR152" s="91"/>
      <c r="AS152" s="91"/>
      <c r="AT152" s="91"/>
      <c r="AU152" s="110"/>
      <c r="AV152" s="85" t="e">
        <f t="shared" si="6"/>
        <v>#REF!</v>
      </c>
      <c r="AW152" s="85" t="e">
        <f t="shared" si="6"/>
        <v>#REF!</v>
      </c>
      <c r="AX152" s="85" t="e">
        <f t="shared" si="6"/>
        <v>#REF!</v>
      </c>
      <c r="BB152" s="85" t="s">
        <v>59</v>
      </c>
    </row>
    <row r="153" spans="1:54" ht="15.75" x14ac:dyDescent="0.2">
      <c r="A153" s="111" t="e">
        <f t="shared" si="8"/>
        <v>#REF!</v>
      </c>
      <c r="B153" s="88" t="e">
        <f>IF(OR(#REF!="",#REF!=0,#REF!=#REF!),"",#REF!)</f>
        <v>#REF!</v>
      </c>
      <c r="C153" s="107" t="e">
        <f t="shared" si="7"/>
        <v>#REF!</v>
      </c>
      <c r="D153" s="88" t="e">
        <f>IF(OR(#REF!="",#REF!=0,#REF!=#REF!),"",#REF!)</f>
        <v>#REF!</v>
      </c>
      <c r="E153" s="88" t="e">
        <f>IF($D153="","",#REF!)</f>
        <v>#REF!</v>
      </c>
      <c r="F153" s="91"/>
      <c r="G153" s="91"/>
      <c r="H153" s="91"/>
      <c r="I153" s="91"/>
      <c r="J153" s="91"/>
      <c r="K153" s="91"/>
      <c r="L153" s="91"/>
      <c r="M153" s="91"/>
      <c r="N153" s="91"/>
      <c r="O153" s="91"/>
      <c r="P153" s="91"/>
      <c r="Q153" s="91"/>
      <c r="R153" s="91"/>
      <c r="S153" s="91"/>
      <c r="T153" s="109"/>
      <c r="U153" s="109"/>
      <c r="V153" s="109"/>
      <c r="W153" s="108"/>
      <c r="X153" s="108"/>
      <c r="Y153" s="91"/>
      <c r="Z153" s="186" t="e">
        <f t="array" ref="Z153">IF(E153="","",SUMPRODUCT(T153:V153,TRANSPOSE($V$4:$V$6)))</f>
        <v>#REF!</v>
      </c>
      <c r="AA153" s="109"/>
      <c r="AB153" s="91"/>
      <c r="AC153" s="91"/>
      <c r="AD153" s="91"/>
      <c r="AE153" s="91"/>
      <c r="AF153" s="91"/>
      <c r="AG153" s="91"/>
      <c r="AH153" s="91"/>
      <c r="AI153" s="112"/>
      <c r="AJ153" s="109"/>
      <c r="AK153" s="91"/>
      <c r="AL153" s="91"/>
      <c r="AM153" s="91"/>
      <c r="AN153" s="91"/>
      <c r="AO153" s="91"/>
      <c r="AP153" s="91"/>
      <c r="AQ153" s="91"/>
      <c r="AR153" s="91"/>
      <c r="AS153" s="91"/>
      <c r="AT153" s="91"/>
      <c r="AU153" s="110"/>
      <c r="AV153" s="85" t="e">
        <f t="shared" si="6"/>
        <v>#REF!</v>
      </c>
      <c r="AW153" s="85" t="e">
        <f t="shared" si="6"/>
        <v>#REF!</v>
      </c>
      <c r="AX153" s="85" t="e">
        <f t="shared" si="6"/>
        <v>#REF!</v>
      </c>
      <c r="BB153" s="85" t="s">
        <v>61</v>
      </c>
    </row>
    <row r="154" spans="1:54" ht="15.75" x14ac:dyDescent="0.2">
      <c r="A154" s="111" t="e">
        <f t="shared" si="8"/>
        <v>#REF!</v>
      </c>
      <c r="B154" s="88" t="e">
        <f>IF(OR(#REF!="",#REF!=0,#REF!=#REF!),"",#REF!)</f>
        <v>#REF!</v>
      </c>
      <c r="C154" s="107" t="e">
        <f t="shared" si="7"/>
        <v>#REF!</v>
      </c>
      <c r="D154" s="88" t="e">
        <f>IF(OR(#REF!="",#REF!=0,#REF!=#REF!),"",#REF!)</f>
        <v>#REF!</v>
      </c>
      <c r="E154" s="88" t="e">
        <f>IF($D154="","",#REF!)</f>
        <v>#REF!</v>
      </c>
      <c r="F154" s="91"/>
      <c r="G154" s="91"/>
      <c r="H154" s="91"/>
      <c r="I154" s="91"/>
      <c r="J154" s="91"/>
      <c r="K154" s="91"/>
      <c r="L154" s="91"/>
      <c r="M154" s="91"/>
      <c r="N154" s="91"/>
      <c r="O154" s="91"/>
      <c r="P154" s="91"/>
      <c r="Q154" s="91"/>
      <c r="R154" s="91"/>
      <c r="S154" s="91"/>
      <c r="T154" s="109"/>
      <c r="U154" s="109"/>
      <c r="V154" s="109"/>
      <c r="W154" s="108"/>
      <c r="X154" s="108"/>
      <c r="Y154" s="91"/>
      <c r="Z154" s="186" t="e">
        <f t="array" ref="Z154">IF(E154="","",SUMPRODUCT(T154:V154,TRANSPOSE($V$4:$V$6)))</f>
        <v>#REF!</v>
      </c>
      <c r="AA154" s="109"/>
      <c r="AB154" s="91"/>
      <c r="AC154" s="91"/>
      <c r="AD154" s="91"/>
      <c r="AE154" s="91"/>
      <c r="AF154" s="91"/>
      <c r="AG154" s="91"/>
      <c r="AH154" s="91"/>
      <c r="AI154" s="112"/>
      <c r="AJ154" s="109"/>
      <c r="AK154" s="91"/>
      <c r="AL154" s="91"/>
      <c r="AM154" s="91"/>
      <c r="AN154" s="91"/>
      <c r="AO154" s="91"/>
      <c r="AP154" s="91"/>
      <c r="AQ154" s="91"/>
      <c r="AR154" s="91"/>
      <c r="AS154" s="91"/>
      <c r="AT154" s="91"/>
      <c r="AU154" s="110"/>
      <c r="AV154" s="85" t="e">
        <f t="shared" si="6"/>
        <v>#REF!</v>
      </c>
      <c r="AW154" s="85" t="e">
        <f t="shared" si="6"/>
        <v>#REF!</v>
      </c>
      <c r="AX154" s="85" t="e">
        <f t="shared" si="6"/>
        <v>#REF!</v>
      </c>
      <c r="BB154" s="85" t="s">
        <v>63</v>
      </c>
    </row>
    <row r="155" spans="1:54" ht="15.75" x14ac:dyDescent="0.2">
      <c r="A155" s="111" t="e">
        <f t="shared" si="8"/>
        <v>#REF!</v>
      </c>
      <c r="B155" s="88" t="e">
        <f>IF(OR(#REF!="",#REF!=0,#REF!=#REF!),"",#REF!)</f>
        <v>#REF!</v>
      </c>
      <c r="C155" s="107" t="e">
        <f t="shared" si="7"/>
        <v>#REF!</v>
      </c>
      <c r="D155" s="88" t="e">
        <f>IF(OR(#REF!="",#REF!=0,#REF!=#REF!),"",#REF!)</f>
        <v>#REF!</v>
      </c>
      <c r="E155" s="88" t="e">
        <f>IF($D155="","",#REF!)</f>
        <v>#REF!</v>
      </c>
      <c r="F155" s="91"/>
      <c r="G155" s="91"/>
      <c r="H155" s="91"/>
      <c r="I155" s="91"/>
      <c r="J155" s="91"/>
      <c r="K155" s="91"/>
      <c r="L155" s="91"/>
      <c r="M155" s="91"/>
      <c r="N155" s="91"/>
      <c r="O155" s="91"/>
      <c r="P155" s="91"/>
      <c r="Q155" s="91"/>
      <c r="R155" s="91"/>
      <c r="S155" s="91"/>
      <c r="T155" s="109"/>
      <c r="U155" s="109"/>
      <c r="V155" s="109"/>
      <c r="W155" s="108"/>
      <c r="X155" s="108"/>
      <c r="Y155" s="91"/>
      <c r="Z155" s="186" t="e">
        <f t="array" ref="Z155">IF(E155="","",SUMPRODUCT(T155:V155,TRANSPOSE($V$4:$V$6)))</f>
        <v>#REF!</v>
      </c>
      <c r="AA155" s="109"/>
      <c r="AB155" s="91"/>
      <c r="AC155" s="91"/>
      <c r="AD155" s="91"/>
      <c r="AE155" s="91"/>
      <c r="AF155" s="91"/>
      <c r="AG155" s="91"/>
      <c r="AH155" s="91"/>
      <c r="AI155" s="112"/>
      <c r="AJ155" s="109"/>
      <c r="AK155" s="91"/>
      <c r="AL155" s="91"/>
      <c r="AM155" s="91"/>
      <c r="AN155" s="91"/>
      <c r="AO155" s="91"/>
      <c r="AP155" s="91"/>
      <c r="AQ155" s="91"/>
      <c r="AR155" s="91"/>
      <c r="AS155" s="91"/>
      <c r="AT155" s="91"/>
      <c r="AU155" s="110"/>
      <c r="AV155" s="85" t="e">
        <f t="shared" si="6"/>
        <v>#REF!</v>
      </c>
      <c r="AW155" s="85" t="e">
        <f t="shared" si="6"/>
        <v>#REF!</v>
      </c>
      <c r="AX155" s="85" t="e">
        <f t="shared" si="6"/>
        <v>#REF!</v>
      </c>
      <c r="BB155" s="85" t="s">
        <v>65</v>
      </c>
    </row>
    <row r="156" spans="1:54" ht="15.75" x14ac:dyDescent="0.2">
      <c r="A156" s="111" t="e">
        <f t="shared" si="8"/>
        <v>#REF!</v>
      </c>
      <c r="B156" s="88" t="e">
        <f>IF(OR(#REF!="",#REF!=0,#REF!=#REF!),"",#REF!)</f>
        <v>#REF!</v>
      </c>
      <c r="C156" s="107" t="e">
        <f t="shared" si="7"/>
        <v>#REF!</v>
      </c>
      <c r="D156" s="88" t="e">
        <f>IF(OR(#REF!="",#REF!=0,#REF!=#REF!),"",#REF!)</f>
        <v>#REF!</v>
      </c>
      <c r="E156" s="88" t="e">
        <f>IF($D156="","",#REF!)</f>
        <v>#REF!</v>
      </c>
      <c r="F156" s="91"/>
      <c r="G156" s="91"/>
      <c r="H156" s="91"/>
      <c r="I156" s="91"/>
      <c r="J156" s="91"/>
      <c r="K156" s="91"/>
      <c r="L156" s="91"/>
      <c r="M156" s="91"/>
      <c r="N156" s="91"/>
      <c r="O156" s="91"/>
      <c r="P156" s="91"/>
      <c r="Q156" s="91"/>
      <c r="R156" s="91"/>
      <c r="S156" s="91"/>
      <c r="T156" s="109"/>
      <c r="U156" s="109"/>
      <c r="V156" s="109"/>
      <c r="W156" s="108"/>
      <c r="X156" s="108"/>
      <c r="Y156" s="91"/>
      <c r="Z156" s="186" t="e">
        <f t="array" ref="Z156">IF(E156="","",SUMPRODUCT(T156:V156,TRANSPOSE($V$4:$V$6)))</f>
        <v>#REF!</v>
      </c>
      <c r="AA156" s="109"/>
      <c r="AB156" s="91"/>
      <c r="AC156" s="91"/>
      <c r="AD156" s="91"/>
      <c r="AE156" s="91"/>
      <c r="AF156" s="91"/>
      <c r="AG156" s="91"/>
      <c r="AH156" s="91"/>
      <c r="AI156" s="112"/>
      <c r="AJ156" s="109"/>
      <c r="AK156" s="91"/>
      <c r="AL156" s="91"/>
      <c r="AM156" s="91"/>
      <c r="AN156" s="91"/>
      <c r="AO156" s="91"/>
      <c r="AP156" s="91"/>
      <c r="AQ156" s="91"/>
      <c r="AR156" s="91"/>
      <c r="AS156" s="91"/>
      <c r="AT156" s="91"/>
      <c r="AU156" s="110"/>
      <c r="AV156" s="85" t="e">
        <f t="shared" si="6"/>
        <v>#REF!</v>
      </c>
      <c r="AW156" s="85" t="e">
        <f t="shared" si="6"/>
        <v>#REF!</v>
      </c>
      <c r="AX156" s="85" t="e">
        <f t="shared" si="6"/>
        <v>#REF!</v>
      </c>
      <c r="BB156" s="85" t="s">
        <v>69</v>
      </c>
    </row>
    <row r="157" spans="1:54" ht="15.75" x14ac:dyDescent="0.2">
      <c r="A157" s="111" t="e">
        <f t="shared" si="8"/>
        <v>#REF!</v>
      </c>
      <c r="B157" s="88" t="e">
        <f>IF(OR(#REF!="",#REF!=0,#REF!=#REF!),"",#REF!)</f>
        <v>#REF!</v>
      </c>
      <c r="C157" s="107" t="e">
        <f t="shared" si="7"/>
        <v>#REF!</v>
      </c>
      <c r="D157" s="88" t="e">
        <f>IF(OR(#REF!="",#REF!=0,#REF!=#REF!),"",#REF!)</f>
        <v>#REF!</v>
      </c>
      <c r="E157" s="88" t="e">
        <f>IF($D157="","",#REF!)</f>
        <v>#REF!</v>
      </c>
      <c r="F157" s="91"/>
      <c r="G157" s="91"/>
      <c r="H157" s="91"/>
      <c r="I157" s="91"/>
      <c r="J157" s="91"/>
      <c r="K157" s="91"/>
      <c r="L157" s="91"/>
      <c r="M157" s="91"/>
      <c r="N157" s="91"/>
      <c r="O157" s="91"/>
      <c r="P157" s="91"/>
      <c r="Q157" s="91"/>
      <c r="R157" s="91"/>
      <c r="S157" s="91"/>
      <c r="T157" s="109"/>
      <c r="U157" s="109"/>
      <c r="V157" s="109"/>
      <c r="W157" s="108"/>
      <c r="X157" s="108"/>
      <c r="Y157" s="91"/>
      <c r="Z157" s="186" t="e">
        <f t="array" ref="Z157">IF(E157="","",SUMPRODUCT(T157:V157,TRANSPOSE($V$4:$V$6)))</f>
        <v>#REF!</v>
      </c>
      <c r="AA157" s="109"/>
      <c r="AB157" s="91"/>
      <c r="AC157" s="91"/>
      <c r="AD157" s="91"/>
      <c r="AE157" s="91"/>
      <c r="AF157" s="91"/>
      <c r="AG157" s="91"/>
      <c r="AH157" s="91"/>
      <c r="AI157" s="112"/>
      <c r="AJ157" s="109"/>
      <c r="AK157" s="91"/>
      <c r="AL157" s="91"/>
      <c r="AM157" s="91"/>
      <c r="AN157" s="91"/>
      <c r="AO157" s="91"/>
      <c r="AP157" s="91"/>
      <c r="AQ157" s="91"/>
      <c r="AR157" s="91"/>
      <c r="AS157" s="91"/>
      <c r="AT157" s="91"/>
      <c r="AU157" s="110"/>
      <c r="AV157" s="85" t="e">
        <f t="shared" si="6"/>
        <v>#REF!</v>
      </c>
      <c r="AW157" s="85" t="e">
        <f t="shared" si="6"/>
        <v>#REF!</v>
      </c>
      <c r="AX157" s="85" t="e">
        <f t="shared" si="6"/>
        <v>#REF!</v>
      </c>
      <c r="BB157" s="85" t="s">
        <v>89</v>
      </c>
    </row>
    <row r="158" spans="1:54" ht="15.75" x14ac:dyDescent="0.2">
      <c r="A158" s="111" t="e">
        <f t="shared" si="8"/>
        <v>#REF!</v>
      </c>
      <c r="B158" s="88" t="e">
        <f>IF(OR(#REF!="",#REF!=0,#REF!=#REF!),"",#REF!)</f>
        <v>#REF!</v>
      </c>
      <c r="C158" s="107" t="e">
        <f t="shared" si="7"/>
        <v>#REF!</v>
      </c>
      <c r="D158" s="88" t="e">
        <f>IF(OR(#REF!="",#REF!=0,#REF!=#REF!),"",#REF!)</f>
        <v>#REF!</v>
      </c>
      <c r="E158" s="88" t="e">
        <f>IF($D158="","",#REF!)</f>
        <v>#REF!</v>
      </c>
      <c r="F158" s="91"/>
      <c r="G158" s="91"/>
      <c r="H158" s="91"/>
      <c r="I158" s="91"/>
      <c r="J158" s="91"/>
      <c r="K158" s="91"/>
      <c r="L158" s="91"/>
      <c r="M158" s="91"/>
      <c r="N158" s="91"/>
      <c r="O158" s="91"/>
      <c r="P158" s="91"/>
      <c r="Q158" s="91"/>
      <c r="R158" s="91"/>
      <c r="S158" s="91"/>
      <c r="T158" s="109"/>
      <c r="U158" s="109"/>
      <c r="V158" s="109"/>
      <c r="W158" s="108"/>
      <c r="X158" s="108"/>
      <c r="Y158" s="91"/>
      <c r="Z158" s="186" t="e">
        <f t="array" ref="Z158">IF(E158="","",SUMPRODUCT(T158:V158,TRANSPOSE($V$4:$V$6)))</f>
        <v>#REF!</v>
      </c>
      <c r="AA158" s="109"/>
      <c r="AB158" s="91"/>
      <c r="AC158" s="91"/>
      <c r="AD158" s="91"/>
      <c r="AE158" s="91"/>
      <c r="AF158" s="91"/>
      <c r="AG158" s="91"/>
      <c r="AH158" s="91"/>
      <c r="AI158" s="112"/>
      <c r="AJ158" s="109"/>
      <c r="AK158" s="91"/>
      <c r="AL158" s="91"/>
      <c r="AM158" s="91"/>
      <c r="AN158" s="91"/>
      <c r="AO158" s="91"/>
      <c r="AP158" s="91"/>
      <c r="AQ158" s="91"/>
      <c r="AR158" s="91"/>
      <c r="AS158" s="91"/>
      <c r="AT158" s="91"/>
      <c r="AU158" s="110"/>
      <c r="AV158" s="85" t="e">
        <f t="shared" si="6"/>
        <v>#REF!</v>
      </c>
      <c r="AW158" s="85" t="e">
        <f t="shared" si="6"/>
        <v>#REF!</v>
      </c>
      <c r="AX158" s="85" t="e">
        <f t="shared" si="6"/>
        <v>#REF!</v>
      </c>
      <c r="BB158" s="85" t="s">
        <v>91</v>
      </c>
    </row>
    <row r="159" spans="1:54" ht="15.75" x14ac:dyDescent="0.2">
      <c r="A159" s="111" t="e">
        <f t="shared" si="8"/>
        <v>#REF!</v>
      </c>
      <c r="B159" s="88" t="e">
        <f>IF(OR(#REF!="",#REF!=0,#REF!=#REF!),"",#REF!)</f>
        <v>#REF!</v>
      </c>
      <c r="C159" s="107" t="e">
        <f t="shared" si="7"/>
        <v>#REF!</v>
      </c>
      <c r="D159" s="88" t="e">
        <f>IF(OR(#REF!="",#REF!=0,#REF!=#REF!),"",#REF!)</f>
        <v>#REF!</v>
      </c>
      <c r="E159" s="88" t="e">
        <f>IF($D159="","",#REF!)</f>
        <v>#REF!</v>
      </c>
      <c r="F159" s="91"/>
      <c r="G159" s="91"/>
      <c r="H159" s="91"/>
      <c r="I159" s="91"/>
      <c r="J159" s="91"/>
      <c r="K159" s="91"/>
      <c r="L159" s="91"/>
      <c r="M159" s="91"/>
      <c r="N159" s="91"/>
      <c r="O159" s="91"/>
      <c r="P159" s="91"/>
      <c r="Q159" s="91"/>
      <c r="R159" s="91"/>
      <c r="S159" s="91"/>
      <c r="T159" s="109"/>
      <c r="U159" s="109"/>
      <c r="V159" s="109"/>
      <c r="W159" s="108"/>
      <c r="X159" s="108"/>
      <c r="Y159" s="91"/>
      <c r="Z159" s="186" t="e">
        <f t="array" ref="Z159">IF(E159="","",SUMPRODUCT(T159:V159,TRANSPOSE($V$4:$V$6)))</f>
        <v>#REF!</v>
      </c>
      <c r="AA159" s="109"/>
      <c r="AB159" s="91"/>
      <c r="AC159" s="91"/>
      <c r="AD159" s="91"/>
      <c r="AE159" s="91"/>
      <c r="AF159" s="91"/>
      <c r="AG159" s="91"/>
      <c r="AH159" s="91"/>
      <c r="AI159" s="112"/>
      <c r="AJ159" s="109"/>
      <c r="AK159" s="91"/>
      <c r="AL159" s="91"/>
      <c r="AM159" s="91"/>
      <c r="AN159" s="91"/>
      <c r="AO159" s="91"/>
      <c r="AP159" s="91"/>
      <c r="AQ159" s="91"/>
      <c r="AR159" s="91"/>
      <c r="AS159" s="91"/>
      <c r="AT159" s="91"/>
      <c r="AU159" s="110"/>
      <c r="AV159" s="85" t="e">
        <f t="shared" si="6"/>
        <v>#REF!</v>
      </c>
      <c r="AW159" s="85" t="e">
        <f t="shared" si="6"/>
        <v>#REF!</v>
      </c>
      <c r="AX159" s="85" t="e">
        <f t="shared" si="6"/>
        <v>#REF!</v>
      </c>
      <c r="BB159" s="85" t="s">
        <v>97</v>
      </c>
    </row>
    <row r="160" spans="1:54" ht="15.75" x14ac:dyDescent="0.2">
      <c r="A160" s="111" t="e">
        <f t="shared" si="8"/>
        <v>#REF!</v>
      </c>
      <c r="B160" s="88" t="e">
        <f>IF(OR(#REF!="",#REF!=0,#REF!=#REF!),"",#REF!)</f>
        <v>#REF!</v>
      </c>
      <c r="C160" s="107" t="e">
        <f t="shared" si="7"/>
        <v>#REF!</v>
      </c>
      <c r="D160" s="88" t="e">
        <f>IF(OR(#REF!="",#REF!=0,#REF!=#REF!),"",#REF!)</f>
        <v>#REF!</v>
      </c>
      <c r="E160" s="88" t="e">
        <f>IF($D160="","",#REF!)</f>
        <v>#REF!</v>
      </c>
      <c r="F160" s="91"/>
      <c r="G160" s="91"/>
      <c r="H160" s="91"/>
      <c r="I160" s="91"/>
      <c r="J160" s="91"/>
      <c r="K160" s="91"/>
      <c r="L160" s="91"/>
      <c r="M160" s="91"/>
      <c r="N160" s="91"/>
      <c r="O160" s="91"/>
      <c r="P160" s="91"/>
      <c r="Q160" s="91"/>
      <c r="R160" s="91"/>
      <c r="S160" s="91"/>
      <c r="T160" s="109"/>
      <c r="U160" s="109"/>
      <c r="V160" s="109"/>
      <c r="W160" s="108"/>
      <c r="X160" s="108"/>
      <c r="Y160" s="91"/>
      <c r="Z160" s="186" t="e">
        <f t="array" ref="Z160">IF(E160="","",SUMPRODUCT(T160:V160,TRANSPOSE($V$4:$V$6)))</f>
        <v>#REF!</v>
      </c>
      <c r="AA160" s="109"/>
      <c r="AB160" s="91"/>
      <c r="AC160" s="91"/>
      <c r="AD160" s="91"/>
      <c r="AE160" s="91"/>
      <c r="AF160" s="91"/>
      <c r="AG160" s="91"/>
      <c r="AH160" s="91"/>
      <c r="AI160" s="112"/>
      <c r="AJ160" s="109"/>
      <c r="AK160" s="91"/>
      <c r="AL160" s="91"/>
      <c r="AM160" s="91"/>
      <c r="AN160" s="91"/>
      <c r="AO160" s="91"/>
      <c r="AP160" s="91"/>
      <c r="AQ160" s="91"/>
      <c r="AR160" s="91"/>
      <c r="AS160" s="91"/>
      <c r="AT160" s="91"/>
      <c r="AU160" s="110"/>
      <c r="AV160" s="85" t="e">
        <f t="shared" si="6"/>
        <v>#REF!</v>
      </c>
      <c r="AW160" s="85" t="e">
        <f t="shared" si="6"/>
        <v>#REF!</v>
      </c>
      <c r="AX160" s="85" t="e">
        <f t="shared" si="6"/>
        <v>#REF!</v>
      </c>
      <c r="BB160" s="85" t="s">
        <v>105</v>
      </c>
    </row>
    <row r="161" spans="1:54" ht="15.75" x14ac:dyDescent="0.2">
      <c r="A161" s="111" t="e">
        <f t="shared" si="8"/>
        <v>#REF!</v>
      </c>
      <c r="B161" s="88" t="e">
        <f>IF(OR(#REF!="",#REF!=0,#REF!=#REF!),"",#REF!)</f>
        <v>#REF!</v>
      </c>
      <c r="C161" s="107" t="e">
        <f t="shared" si="7"/>
        <v>#REF!</v>
      </c>
      <c r="D161" s="88" t="e">
        <f>IF(OR(#REF!="",#REF!=0,#REF!=#REF!),"",#REF!)</f>
        <v>#REF!</v>
      </c>
      <c r="E161" s="88" t="e">
        <f>IF($D161="","",#REF!)</f>
        <v>#REF!</v>
      </c>
      <c r="F161" s="91"/>
      <c r="G161" s="91"/>
      <c r="H161" s="91"/>
      <c r="I161" s="91"/>
      <c r="J161" s="91"/>
      <c r="K161" s="91"/>
      <c r="L161" s="91"/>
      <c r="M161" s="91"/>
      <c r="N161" s="91"/>
      <c r="O161" s="91"/>
      <c r="P161" s="91"/>
      <c r="Q161" s="91"/>
      <c r="R161" s="91"/>
      <c r="S161" s="91"/>
      <c r="T161" s="109"/>
      <c r="U161" s="109"/>
      <c r="V161" s="109"/>
      <c r="W161" s="108"/>
      <c r="X161" s="108"/>
      <c r="Y161" s="91"/>
      <c r="Z161" s="186" t="e">
        <f t="array" ref="Z161">IF(E161="","",SUMPRODUCT(T161:V161,TRANSPOSE($V$4:$V$6)))</f>
        <v>#REF!</v>
      </c>
      <c r="AA161" s="109"/>
      <c r="AB161" s="91"/>
      <c r="AC161" s="91"/>
      <c r="AD161" s="91"/>
      <c r="AE161" s="91"/>
      <c r="AF161" s="91"/>
      <c r="AG161" s="91"/>
      <c r="AH161" s="91"/>
      <c r="AI161" s="112"/>
      <c r="AJ161" s="109"/>
      <c r="AK161" s="91"/>
      <c r="AL161" s="91"/>
      <c r="AM161" s="91"/>
      <c r="AN161" s="91"/>
      <c r="AO161" s="91"/>
      <c r="AP161" s="91"/>
      <c r="AQ161" s="91"/>
      <c r="AR161" s="91"/>
      <c r="AS161" s="91"/>
      <c r="AT161" s="91"/>
      <c r="AU161" s="110"/>
      <c r="AV161" s="85" t="e">
        <f t="shared" si="6"/>
        <v>#REF!</v>
      </c>
      <c r="AW161" s="85" t="e">
        <f t="shared" si="6"/>
        <v>#REF!</v>
      </c>
      <c r="AX161" s="85" t="e">
        <f t="shared" si="6"/>
        <v>#REF!</v>
      </c>
      <c r="BB161" s="85" t="s">
        <v>223</v>
      </c>
    </row>
    <row r="162" spans="1:54" ht="15.75" x14ac:dyDescent="0.2">
      <c r="A162" s="111" t="e">
        <f t="shared" si="8"/>
        <v>#REF!</v>
      </c>
      <c r="B162" s="88" t="e">
        <f>IF(OR(#REF!="",#REF!=0,#REF!=#REF!),"",#REF!)</f>
        <v>#REF!</v>
      </c>
      <c r="C162" s="107" t="e">
        <f t="shared" si="7"/>
        <v>#REF!</v>
      </c>
      <c r="D162" s="88" t="e">
        <f>IF(OR(#REF!="",#REF!=0,#REF!=#REF!),"",#REF!)</f>
        <v>#REF!</v>
      </c>
      <c r="E162" s="88" t="e">
        <f>IF($D162="","",#REF!)</f>
        <v>#REF!</v>
      </c>
      <c r="F162" s="91"/>
      <c r="G162" s="91"/>
      <c r="H162" s="91"/>
      <c r="I162" s="91"/>
      <c r="J162" s="91"/>
      <c r="K162" s="91"/>
      <c r="L162" s="91"/>
      <c r="M162" s="91"/>
      <c r="N162" s="91"/>
      <c r="O162" s="91"/>
      <c r="P162" s="91"/>
      <c r="Q162" s="91"/>
      <c r="R162" s="91"/>
      <c r="S162" s="91"/>
      <c r="T162" s="109"/>
      <c r="U162" s="109"/>
      <c r="V162" s="109"/>
      <c r="W162" s="108"/>
      <c r="X162" s="108"/>
      <c r="Y162" s="91"/>
      <c r="Z162" s="186" t="e">
        <f t="array" ref="Z162">IF(E162="","",SUMPRODUCT(T162:V162,TRANSPOSE($V$4:$V$6)))</f>
        <v>#REF!</v>
      </c>
      <c r="AA162" s="109"/>
      <c r="AB162" s="91"/>
      <c r="AC162" s="91"/>
      <c r="AD162" s="91"/>
      <c r="AE162" s="91"/>
      <c r="AF162" s="91"/>
      <c r="AG162" s="91"/>
      <c r="AH162" s="91"/>
      <c r="AI162" s="112"/>
      <c r="AJ162" s="109"/>
      <c r="AK162" s="91"/>
      <c r="AL162" s="91"/>
      <c r="AM162" s="91"/>
      <c r="AN162" s="91"/>
      <c r="AO162" s="91"/>
      <c r="AP162" s="91"/>
      <c r="AQ162" s="91"/>
      <c r="AR162" s="91"/>
      <c r="AS162" s="91"/>
      <c r="AT162" s="91"/>
      <c r="AU162" s="110"/>
      <c r="AV162" s="85" t="e">
        <f t="shared" si="6"/>
        <v>#REF!</v>
      </c>
      <c r="AW162" s="85" t="e">
        <f t="shared" si="6"/>
        <v>#REF!</v>
      </c>
      <c r="AX162" s="85" t="e">
        <f t="shared" si="6"/>
        <v>#REF!</v>
      </c>
      <c r="BB162" s="85" t="s">
        <v>110</v>
      </c>
    </row>
    <row r="163" spans="1:54" ht="15.75" x14ac:dyDescent="0.2">
      <c r="A163" s="111" t="e">
        <f t="shared" si="8"/>
        <v>#REF!</v>
      </c>
      <c r="B163" s="88" t="e">
        <f>IF(OR(#REF!="",#REF!=0,#REF!=#REF!),"",#REF!)</f>
        <v>#REF!</v>
      </c>
      <c r="C163" s="107" t="e">
        <f t="shared" si="7"/>
        <v>#REF!</v>
      </c>
      <c r="D163" s="88" t="e">
        <f>IF(OR(#REF!="",#REF!=0,#REF!=#REF!),"",#REF!)</f>
        <v>#REF!</v>
      </c>
      <c r="E163" s="88" t="e">
        <f>IF($D163="","",#REF!)</f>
        <v>#REF!</v>
      </c>
      <c r="F163" s="91"/>
      <c r="G163" s="91"/>
      <c r="H163" s="91"/>
      <c r="I163" s="91"/>
      <c r="J163" s="91"/>
      <c r="K163" s="91"/>
      <c r="L163" s="91"/>
      <c r="M163" s="91"/>
      <c r="N163" s="91"/>
      <c r="O163" s="91"/>
      <c r="P163" s="91"/>
      <c r="Q163" s="91"/>
      <c r="R163" s="91"/>
      <c r="S163" s="91"/>
      <c r="T163" s="109"/>
      <c r="U163" s="109"/>
      <c r="V163" s="109"/>
      <c r="W163" s="108"/>
      <c r="X163" s="108"/>
      <c r="Y163" s="91"/>
      <c r="Z163" s="186" t="e">
        <f t="array" ref="Z163">IF(E163="","",SUMPRODUCT(T163:V163,TRANSPOSE($V$4:$V$6)))</f>
        <v>#REF!</v>
      </c>
      <c r="AA163" s="109"/>
      <c r="AB163" s="91"/>
      <c r="AC163" s="91"/>
      <c r="AD163" s="91"/>
      <c r="AE163" s="91"/>
      <c r="AF163" s="91"/>
      <c r="AG163" s="91"/>
      <c r="AH163" s="91"/>
      <c r="AI163" s="96"/>
      <c r="AJ163" s="109"/>
      <c r="AK163" s="91"/>
      <c r="AL163" s="91"/>
      <c r="AM163" s="91"/>
      <c r="AN163" s="91"/>
      <c r="AO163" s="91"/>
      <c r="AP163" s="91"/>
      <c r="AQ163" s="91"/>
      <c r="AR163" s="91"/>
      <c r="AS163" s="91"/>
      <c r="AT163" s="91"/>
      <c r="AU163" s="110"/>
      <c r="AV163" s="85" t="e">
        <f t="shared" si="6"/>
        <v>#REF!</v>
      </c>
      <c r="AW163" s="85" t="e">
        <f t="shared" si="6"/>
        <v>#REF!</v>
      </c>
      <c r="AX163" s="85" t="e">
        <f t="shared" si="6"/>
        <v>#REF!</v>
      </c>
      <c r="BB163" s="85" t="s">
        <v>113</v>
      </c>
    </row>
    <row r="164" spans="1:54" ht="15.75" x14ac:dyDescent="0.2">
      <c r="A164" s="111" t="e">
        <f t="shared" si="8"/>
        <v>#REF!</v>
      </c>
      <c r="B164" s="88" t="e">
        <f>IF(OR(#REF!="",#REF!=0,#REF!=#REF!),"",#REF!)</f>
        <v>#REF!</v>
      </c>
      <c r="C164" s="107" t="e">
        <f t="shared" si="7"/>
        <v>#REF!</v>
      </c>
      <c r="D164" s="88" t="e">
        <f>IF(OR(#REF!="",#REF!=0,#REF!=#REF!),"",#REF!)</f>
        <v>#REF!</v>
      </c>
      <c r="E164" s="88" t="e">
        <f>IF($D164="","",#REF!)</f>
        <v>#REF!</v>
      </c>
      <c r="F164" s="91"/>
      <c r="G164" s="91"/>
      <c r="H164" s="91"/>
      <c r="I164" s="91"/>
      <c r="J164" s="91"/>
      <c r="K164" s="91"/>
      <c r="L164" s="91"/>
      <c r="M164" s="91"/>
      <c r="N164" s="91"/>
      <c r="O164" s="91"/>
      <c r="P164" s="91"/>
      <c r="Q164" s="91"/>
      <c r="R164" s="91"/>
      <c r="S164" s="91"/>
      <c r="T164" s="109"/>
      <c r="U164" s="109"/>
      <c r="V164" s="109"/>
      <c r="W164" s="108"/>
      <c r="X164" s="108"/>
      <c r="Y164" s="91"/>
      <c r="Z164" s="186" t="e">
        <f t="array" ref="Z164">IF(E164="","",SUMPRODUCT(T164:V164,TRANSPOSE($V$4:$V$6)))</f>
        <v>#REF!</v>
      </c>
      <c r="AA164" s="109"/>
      <c r="AB164" s="91"/>
      <c r="AC164" s="91"/>
      <c r="AD164" s="91"/>
      <c r="AE164" s="91"/>
      <c r="AF164" s="91"/>
      <c r="AG164" s="91"/>
      <c r="AH164" s="91"/>
      <c r="AI164" s="112"/>
      <c r="AJ164" s="109"/>
      <c r="AK164" s="91"/>
      <c r="AL164" s="91"/>
      <c r="AM164" s="91"/>
      <c r="AN164" s="91"/>
      <c r="AO164" s="91"/>
      <c r="AP164" s="91"/>
      <c r="AQ164" s="91"/>
      <c r="AR164" s="91"/>
      <c r="AS164" s="91"/>
      <c r="AT164" s="91"/>
      <c r="AU164" s="110"/>
      <c r="AV164" s="85" t="e">
        <f t="shared" si="6"/>
        <v>#REF!</v>
      </c>
      <c r="AW164" s="85" t="e">
        <f t="shared" si="6"/>
        <v>#REF!</v>
      </c>
      <c r="AX164" s="85" t="e">
        <f t="shared" si="6"/>
        <v>#REF!</v>
      </c>
      <c r="BB164" s="85" t="s">
        <v>114</v>
      </c>
    </row>
    <row r="165" spans="1:54" ht="15.75" x14ac:dyDescent="0.2">
      <c r="A165" s="111" t="e">
        <f t="shared" si="8"/>
        <v>#REF!</v>
      </c>
      <c r="B165" s="88" t="e">
        <f>IF(OR(#REF!="",#REF!=0,#REF!=#REF!),"",#REF!)</f>
        <v>#REF!</v>
      </c>
      <c r="C165" s="107" t="e">
        <f t="shared" si="7"/>
        <v>#REF!</v>
      </c>
      <c r="D165" s="88" t="e">
        <f>IF(OR(#REF!="",#REF!=0,#REF!=#REF!),"",#REF!)</f>
        <v>#REF!</v>
      </c>
      <c r="E165" s="88" t="e">
        <f>IF($D165="","",#REF!)</f>
        <v>#REF!</v>
      </c>
      <c r="F165" s="91"/>
      <c r="G165" s="91"/>
      <c r="H165" s="91"/>
      <c r="I165" s="91"/>
      <c r="J165" s="91"/>
      <c r="K165" s="91"/>
      <c r="L165" s="91"/>
      <c r="M165" s="91"/>
      <c r="N165" s="91"/>
      <c r="O165" s="91"/>
      <c r="P165" s="91"/>
      <c r="Q165" s="91"/>
      <c r="R165" s="91"/>
      <c r="S165" s="91"/>
      <c r="T165" s="109"/>
      <c r="U165" s="109"/>
      <c r="V165" s="109"/>
      <c r="W165" s="108"/>
      <c r="X165" s="108"/>
      <c r="Y165" s="91"/>
      <c r="Z165" s="186" t="e">
        <f t="array" ref="Z165">IF(E165="","",SUMPRODUCT(T165:V165,TRANSPOSE($V$4:$V$6)))</f>
        <v>#REF!</v>
      </c>
      <c r="AA165" s="109"/>
      <c r="AB165" s="91"/>
      <c r="AC165" s="91"/>
      <c r="AD165" s="91"/>
      <c r="AE165" s="91"/>
      <c r="AF165" s="91"/>
      <c r="AG165" s="91"/>
      <c r="AH165" s="91"/>
      <c r="AI165" s="112"/>
      <c r="AJ165" s="109"/>
      <c r="AK165" s="91"/>
      <c r="AL165" s="91"/>
      <c r="AM165" s="91"/>
      <c r="AN165" s="91"/>
      <c r="AO165" s="91"/>
      <c r="AP165" s="91"/>
      <c r="AQ165" s="91"/>
      <c r="AR165" s="91"/>
      <c r="AS165" s="91"/>
      <c r="AT165" s="91"/>
      <c r="AU165" s="110"/>
      <c r="AV165" s="85" t="e">
        <f t="shared" si="6"/>
        <v>#REF!</v>
      </c>
      <c r="AW165" s="85" t="e">
        <f t="shared" si="6"/>
        <v>#REF!</v>
      </c>
      <c r="AX165" s="85" t="e">
        <f t="shared" si="6"/>
        <v>#REF!</v>
      </c>
      <c r="BB165" s="85" t="s">
        <v>116</v>
      </c>
    </row>
    <row r="166" spans="1:54" ht="16.5" customHeight="1" x14ac:dyDescent="0.2">
      <c r="A166" s="111" t="e">
        <f t="shared" si="8"/>
        <v>#REF!</v>
      </c>
      <c r="B166" s="88" t="e">
        <f>IF(OR(#REF!="",#REF!=0,#REF!=#REF!),"",#REF!)</f>
        <v>#REF!</v>
      </c>
      <c r="C166" s="107" t="e">
        <f t="shared" si="7"/>
        <v>#REF!</v>
      </c>
      <c r="D166" s="88" t="e">
        <f>IF(OR(#REF!="",#REF!=0,#REF!=#REF!),"",#REF!)</f>
        <v>#REF!</v>
      </c>
      <c r="E166" s="88" t="e">
        <f>IF($D166="","",#REF!)</f>
        <v>#REF!</v>
      </c>
      <c r="F166" s="91"/>
      <c r="G166" s="91"/>
      <c r="H166" s="91"/>
      <c r="I166" s="91"/>
      <c r="J166" s="91"/>
      <c r="K166" s="91"/>
      <c r="L166" s="91"/>
      <c r="M166" s="91"/>
      <c r="N166" s="91"/>
      <c r="O166" s="91"/>
      <c r="P166" s="91"/>
      <c r="Q166" s="91"/>
      <c r="R166" s="91"/>
      <c r="S166" s="91"/>
      <c r="T166" s="109"/>
      <c r="U166" s="109"/>
      <c r="V166" s="109"/>
      <c r="W166" s="108"/>
      <c r="X166" s="108"/>
      <c r="Y166" s="91"/>
      <c r="Z166" s="186" t="e">
        <f t="array" ref="Z166">IF(E166="","",SUMPRODUCT(T166:V166,TRANSPOSE($V$4:$V$6)))</f>
        <v>#REF!</v>
      </c>
      <c r="AA166" s="109"/>
      <c r="AB166" s="91"/>
      <c r="AC166" s="91"/>
      <c r="AD166" s="91"/>
      <c r="AE166" s="91"/>
      <c r="AF166" s="91"/>
      <c r="AG166" s="91"/>
      <c r="AH166" s="91"/>
      <c r="AI166" s="112"/>
      <c r="AJ166" s="109"/>
      <c r="AK166" s="91"/>
      <c r="AL166" s="91"/>
      <c r="AM166" s="91"/>
      <c r="AN166" s="91"/>
      <c r="AO166" s="91"/>
      <c r="AP166" s="91"/>
      <c r="AQ166" s="91"/>
      <c r="AR166" s="91"/>
      <c r="AS166" s="91"/>
      <c r="AT166" s="91"/>
      <c r="AU166" s="110"/>
      <c r="AV166" s="85" t="e">
        <f t="shared" si="6"/>
        <v>#REF!</v>
      </c>
      <c r="AW166" s="85" t="e">
        <f t="shared" si="6"/>
        <v>#REF!</v>
      </c>
      <c r="AX166" s="85" t="e">
        <f t="shared" si="6"/>
        <v>#REF!</v>
      </c>
      <c r="BB166" s="85" t="s">
        <v>119</v>
      </c>
    </row>
    <row r="167" spans="1:54" ht="15.75" x14ac:dyDescent="0.2">
      <c r="A167" s="111" t="e">
        <f t="shared" si="8"/>
        <v>#REF!</v>
      </c>
      <c r="B167" s="88" t="e">
        <f>IF(OR(#REF!="",#REF!=0,#REF!=#REF!),"",#REF!)</f>
        <v>#REF!</v>
      </c>
      <c r="C167" s="107" t="e">
        <f t="shared" si="7"/>
        <v>#REF!</v>
      </c>
      <c r="D167" s="88" t="e">
        <f>IF(OR(#REF!="",#REF!=0,#REF!=#REF!),"",#REF!)</f>
        <v>#REF!</v>
      </c>
      <c r="E167" s="88" t="e">
        <f>IF($D167="","",#REF!)</f>
        <v>#REF!</v>
      </c>
      <c r="F167" s="91"/>
      <c r="G167" s="91"/>
      <c r="H167" s="91"/>
      <c r="I167" s="91"/>
      <c r="J167" s="91"/>
      <c r="K167" s="91"/>
      <c r="L167" s="91"/>
      <c r="M167" s="91"/>
      <c r="N167" s="91"/>
      <c r="O167" s="91"/>
      <c r="P167" s="91"/>
      <c r="Q167" s="91"/>
      <c r="R167" s="91"/>
      <c r="S167" s="91"/>
      <c r="T167" s="109"/>
      <c r="U167" s="109"/>
      <c r="V167" s="109"/>
      <c r="W167" s="114"/>
      <c r="X167" s="114"/>
      <c r="Y167" s="91"/>
      <c r="Z167" s="186" t="e">
        <f t="array" ref="Z167">IF(E167="","",SUMPRODUCT(T167:V167,TRANSPOSE($V$4:$V$6)))</f>
        <v>#REF!</v>
      </c>
      <c r="AA167" s="109"/>
      <c r="AB167" s="91"/>
      <c r="AC167" s="91"/>
      <c r="AD167" s="91"/>
      <c r="AE167" s="91"/>
      <c r="AF167" s="91"/>
      <c r="AG167" s="91"/>
      <c r="AH167" s="91"/>
      <c r="AI167" s="112"/>
      <c r="AJ167" s="109"/>
      <c r="AK167" s="91"/>
      <c r="AL167" s="91"/>
      <c r="AM167" s="91"/>
      <c r="AN167" s="91"/>
      <c r="AO167" s="91"/>
      <c r="AP167" s="91"/>
      <c r="AQ167" s="91"/>
      <c r="AR167" s="91"/>
      <c r="AS167" s="91"/>
      <c r="AT167" s="91"/>
      <c r="AU167" s="110"/>
      <c r="AV167" s="85" t="e">
        <f t="shared" si="6"/>
        <v>#REF!</v>
      </c>
      <c r="AW167" s="85" t="e">
        <f t="shared" si="6"/>
        <v>#REF!</v>
      </c>
      <c r="AX167" s="85" t="e">
        <f t="shared" si="6"/>
        <v>#REF!</v>
      </c>
      <c r="BB167" s="85" t="s">
        <v>224</v>
      </c>
    </row>
    <row r="168" spans="1:54" ht="15.75" x14ac:dyDescent="0.2">
      <c r="A168" s="111" t="e">
        <f t="shared" si="8"/>
        <v>#REF!</v>
      </c>
      <c r="B168" s="88" t="e">
        <f>IF(OR(#REF!="",#REF!=0,#REF!=#REF!),"",#REF!)</f>
        <v>#REF!</v>
      </c>
      <c r="C168" s="107" t="e">
        <f t="shared" si="7"/>
        <v>#REF!</v>
      </c>
      <c r="D168" s="88" t="e">
        <f>IF(OR(#REF!="",#REF!=0,#REF!=#REF!),"",#REF!)</f>
        <v>#REF!</v>
      </c>
      <c r="E168" s="88" t="e">
        <f>IF($D168="","",#REF!)</f>
        <v>#REF!</v>
      </c>
      <c r="F168" s="91"/>
      <c r="G168" s="91"/>
      <c r="H168" s="91"/>
      <c r="I168" s="91"/>
      <c r="J168" s="91"/>
      <c r="K168" s="91"/>
      <c r="L168" s="91"/>
      <c r="M168" s="91"/>
      <c r="N168" s="91"/>
      <c r="O168" s="91"/>
      <c r="P168" s="91"/>
      <c r="Q168" s="91"/>
      <c r="R168" s="91"/>
      <c r="S168" s="91"/>
      <c r="T168" s="109"/>
      <c r="U168" s="109"/>
      <c r="V168" s="109"/>
      <c r="W168" s="108"/>
      <c r="X168" s="108"/>
      <c r="Y168" s="91"/>
      <c r="Z168" s="186" t="e">
        <f t="array" ref="Z168">IF(E168="","",SUMPRODUCT(T168:V168,TRANSPOSE($V$4:$V$6)))</f>
        <v>#REF!</v>
      </c>
      <c r="AA168" s="109"/>
      <c r="AB168" s="91"/>
      <c r="AC168" s="91"/>
      <c r="AD168" s="91"/>
      <c r="AE168" s="91"/>
      <c r="AF168" s="91"/>
      <c r="AG168" s="91"/>
      <c r="AH168" s="91"/>
      <c r="AI168" s="112"/>
      <c r="AJ168" s="109"/>
      <c r="AK168" s="91"/>
      <c r="AL168" s="91"/>
      <c r="AM168" s="91"/>
      <c r="AN168" s="91"/>
      <c r="AO168" s="91"/>
      <c r="AP168" s="91"/>
      <c r="AQ168" s="91"/>
      <c r="AR168" s="91"/>
      <c r="AS168" s="91"/>
      <c r="AT168" s="91"/>
      <c r="AU168" s="110"/>
      <c r="AV168" s="85" t="e">
        <f t="shared" si="6"/>
        <v>#REF!</v>
      </c>
      <c r="AW168" s="85" t="e">
        <f t="shared" si="6"/>
        <v>#REF!</v>
      </c>
      <c r="AX168" s="85" t="e">
        <f t="shared" si="6"/>
        <v>#REF!</v>
      </c>
      <c r="BB168" s="85" t="s">
        <v>127</v>
      </c>
    </row>
    <row r="169" spans="1:54" ht="15.75" x14ac:dyDescent="0.2">
      <c r="A169" s="111" t="e">
        <f t="shared" si="8"/>
        <v>#REF!</v>
      </c>
      <c r="B169" s="88" t="e">
        <f>IF(OR(#REF!="",#REF!=0,#REF!=#REF!),"",#REF!)</f>
        <v>#REF!</v>
      </c>
      <c r="C169" s="107" t="e">
        <f t="shared" si="7"/>
        <v>#REF!</v>
      </c>
      <c r="D169" s="88" t="e">
        <f>IF(OR(#REF!="",#REF!=0,#REF!=#REF!),"",#REF!)</f>
        <v>#REF!</v>
      </c>
      <c r="E169" s="88" t="e">
        <f>IF($D169="","",#REF!)</f>
        <v>#REF!</v>
      </c>
      <c r="F169" s="91"/>
      <c r="G169" s="91"/>
      <c r="H169" s="91"/>
      <c r="I169" s="91"/>
      <c r="J169" s="91"/>
      <c r="K169" s="91"/>
      <c r="L169" s="91"/>
      <c r="M169" s="91"/>
      <c r="N169" s="91"/>
      <c r="O169" s="91"/>
      <c r="P169" s="91"/>
      <c r="Q169" s="91"/>
      <c r="R169" s="91"/>
      <c r="S169" s="91"/>
      <c r="T169" s="109"/>
      <c r="U169" s="109"/>
      <c r="V169" s="109"/>
      <c r="W169" s="108"/>
      <c r="X169" s="108"/>
      <c r="Y169" s="91"/>
      <c r="Z169" s="186" t="e">
        <f t="array" ref="Z169">IF(E169="","",SUMPRODUCT(T169:V169,TRANSPOSE($V$4:$V$6)))</f>
        <v>#REF!</v>
      </c>
      <c r="AA169" s="109"/>
      <c r="AB169" s="91"/>
      <c r="AC169" s="91"/>
      <c r="AD169" s="91"/>
      <c r="AE169" s="91"/>
      <c r="AF169" s="91"/>
      <c r="AG169" s="91"/>
      <c r="AH169" s="91"/>
      <c r="AI169" s="112"/>
      <c r="AJ169" s="109"/>
      <c r="AK169" s="91"/>
      <c r="AL169" s="91"/>
      <c r="AM169" s="91"/>
      <c r="AN169" s="91"/>
      <c r="AO169" s="91"/>
      <c r="AP169" s="91"/>
      <c r="AQ169" s="91"/>
      <c r="AR169" s="91"/>
      <c r="AS169" s="91"/>
      <c r="AT169" s="91"/>
      <c r="AU169" s="110"/>
      <c r="AV169" s="85" t="e">
        <f t="shared" si="6"/>
        <v>#REF!</v>
      </c>
      <c r="AW169" s="85" t="e">
        <f t="shared" si="6"/>
        <v>#REF!</v>
      </c>
      <c r="AX169" s="85" t="e">
        <f t="shared" si="6"/>
        <v>#REF!</v>
      </c>
      <c r="BB169" s="85" t="s">
        <v>129</v>
      </c>
    </row>
    <row r="170" spans="1:54" ht="15.75" x14ac:dyDescent="0.2">
      <c r="A170" s="111" t="e">
        <f t="shared" si="8"/>
        <v>#REF!</v>
      </c>
      <c r="B170" s="88" t="e">
        <f>IF(OR(#REF!="",#REF!=0,#REF!=#REF!),"",#REF!)</f>
        <v>#REF!</v>
      </c>
      <c r="C170" s="107" t="e">
        <f t="shared" si="7"/>
        <v>#REF!</v>
      </c>
      <c r="D170" s="88" t="e">
        <f>IF(OR(#REF!="",#REF!=0,#REF!=#REF!),"",#REF!)</f>
        <v>#REF!</v>
      </c>
      <c r="E170" s="88" t="e">
        <f>IF($D170="","",#REF!)</f>
        <v>#REF!</v>
      </c>
      <c r="F170" s="91"/>
      <c r="G170" s="91"/>
      <c r="H170" s="91"/>
      <c r="I170" s="91"/>
      <c r="J170" s="91"/>
      <c r="K170" s="91"/>
      <c r="L170" s="91"/>
      <c r="M170" s="91"/>
      <c r="N170" s="91"/>
      <c r="O170" s="91"/>
      <c r="P170" s="91"/>
      <c r="Q170" s="91"/>
      <c r="R170" s="91"/>
      <c r="S170" s="91"/>
      <c r="T170" s="109"/>
      <c r="U170" s="109"/>
      <c r="V170" s="109"/>
      <c r="W170" s="108"/>
      <c r="X170" s="108"/>
      <c r="Y170" s="91"/>
      <c r="Z170" s="186" t="e">
        <f t="array" ref="Z170">IF(E170="","",SUMPRODUCT(T170:V170,TRANSPOSE($V$4:$V$6)))</f>
        <v>#REF!</v>
      </c>
      <c r="AA170" s="109"/>
      <c r="AB170" s="91"/>
      <c r="AC170" s="91"/>
      <c r="AD170" s="91"/>
      <c r="AE170" s="91"/>
      <c r="AF170" s="91"/>
      <c r="AG170" s="91"/>
      <c r="AH170" s="91"/>
      <c r="AI170" s="112"/>
      <c r="AJ170" s="109"/>
      <c r="AK170" s="91"/>
      <c r="AL170" s="91"/>
      <c r="AM170" s="91"/>
      <c r="AN170" s="91"/>
      <c r="AO170" s="91"/>
      <c r="AP170" s="91"/>
      <c r="AQ170" s="91"/>
      <c r="AR170" s="91"/>
      <c r="AS170" s="91"/>
      <c r="AT170" s="91"/>
      <c r="AU170" s="110"/>
      <c r="AV170" s="85" t="e">
        <f t="shared" si="6"/>
        <v>#REF!</v>
      </c>
      <c r="AW170" s="85" t="e">
        <f t="shared" si="6"/>
        <v>#REF!</v>
      </c>
      <c r="AX170" s="85" t="e">
        <f t="shared" si="6"/>
        <v>#REF!</v>
      </c>
      <c r="BB170" s="85" t="s">
        <v>135</v>
      </c>
    </row>
    <row r="171" spans="1:54" ht="15.75" x14ac:dyDescent="0.2">
      <c r="A171" s="111" t="e">
        <f t="shared" si="8"/>
        <v>#REF!</v>
      </c>
      <c r="B171" s="88" t="e">
        <f>IF(OR(#REF!="",#REF!=0,#REF!=#REF!),"",#REF!)</f>
        <v>#REF!</v>
      </c>
      <c r="C171" s="107" t="e">
        <f t="shared" si="7"/>
        <v>#REF!</v>
      </c>
      <c r="D171" s="88" t="e">
        <f>IF(OR(#REF!="",#REF!=0,#REF!=#REF!),"",#REF!)</f>
        <v>#REF!</v>
      </c>
      <c r="E171" s="88" t="e">
        <f>IF($D171="","",#REF!)</f>
        <v>#REF!</v>
      </c>
      <c r="F171" s="91"/>
      <c r="G171" s="91"/>
      <c r="H171" s="91"/>
      <c r="I171" s="91"/>
      <c r="J171" s="91"/>
      <c r="K171" s="91"/>
      <c r="L171" s="91"/>
      <c r="M171" s="91"/>
      <c r="N171" s="91"/>
      <c r="O171" s="91"/>
      <c r="P171" s="91"/>
      <c r="Q171" s="91"/>
      <c r="R171" s="91"/>
      <c r="S171" s="91"/>
      <c r="T171" s="109"/>
      <c r="U171" s="109"/>
      <c r="V171" s="109"/>
      <c r="W171" s="108"/>
      <c r="X171" s="108"/>
      <c r="Y171" s="91"/>
      <c r="Z171" s="186" t="e">
        <f t="array" ref="Z171">IF(E171="","",SUMPRODUCT(T171:V171,TRANSPOSE($V$4:$V$6)))</f>
        <v>#REF!</v>
      </c>
      <c r="AA171" s="109"/>
      <c r="AB171" s="91"/>
      <c r="AC171" s="91"/>
      <c r="AD171" s="91"/>
      <c r="AE171" s="91"/>
      <c r="AF171" s="91"/>
      <c r="AG171" s="91"/>
      <c r="AH171" s="91"/>
      <c r="AI171" s="112"/>
      <c r="AJ171" s="109"/>
      <c r="AK171" s="91"/>
      <c r="AL171" s="91"/>
      <c r="AM171" s="91"/>
      <c r="AN171" s="91"/>
      <c r="AO171" s="91"/>
      <c r="AP171" s="91"/>
      <c r="AQ171" s="91"/>
      <c r="AR171" s="91"/>
      <c r="AS171" s="91"/>
      <c r="AT171" s="91"/>
      <c r="AU171" s="110"/>
      <c r="AV171" s="85" t="e">
        <f t="shared" si="6"/>
        <v>#REF!</v>
      </c>
      <c r="AW171" s="85" t="e">
        <f t="shared" si="6"/>
        <v>#REF!</v>
      </c>
      <c r="AX171" s="85" t="e">
        <f t="shared" si="6"/>
        <v>#REF!</v>
      </c>
      <c r="BB171" s="85" t="s">
        <v>141</v>
      </c>
    </row>
    <row r="172" spans="1:54" ht="15.75" x14ac:dyDescent="0.2">
      <c r="A172" s="111" t="e">
        <f t="shared" si="8"/>
        <v>#REF!</v>
      </c>
      <c r="B172" s="88" t="e">
        <f>IF(OR(#REF!="",#REF!=0,#REF!=#REF!),"",#REF!)</f>
        <v>#REF!</v>
      </c>
      <c r="C172" s="107" t="e">
        <f t="shared" si="7"/>
        <v>#REF!</v>
      </c>
      <c r="D172" s="88" t="e">
        <f>IF(OR(#REF!="",#REF!=0,#REF!=#REF!),"",#REF!)</f>
        <v>#REF!</v>
      </c>
      <c r="E172" s="88" t="e">
        <f>IF($D172="","",#REF!)</f>
        <v>#REF!</v>
      </c>
      <c r="F172" s="91"/>
      <c r="G172" s="91"/>
      <c r="H172" s="91"/>
      <c r="I172" s="91"/>
      <c r="J172" s="91"/>
      <c r="K172" s="91"/>
      <c r="L172" s="91"/>
      <c r="M172" s="91"/>
      <c r="N172" s="91"/>
      <c r="O172" s="91"/>
      <c r="P172" s="91"/>
      <c r="Q172" s="91"/>
      <c r="R172" s="91"/>
      <c r="S172" s="91"/>
      <c r="T172" s="109"/>
      <c r="U172" s="109"/>
      <c r="V172" s="109"/>
      <c r="W172" s="108"/>
      <c r="X172" s="108"/>
      <c r="Y172" s="91"/>
      <c r="Z172" s="186" t="e">
        <f t="array" ref="Z172">IF(E172="","",SUMPRODUCT(T172:V172,TRANSPOSE($V$4:$V$6)))</f>
        <v>#REF!</v>
      </c>
      <c r="AA172" s="109"/>
      <c r="AB172" s="91"/>
      <c r="AC172" s="91"/>
      <c r="AD172" s="91"/>
      <c r="AE172" s="91"/>
      <c r="AF172" s="91"/>
      <c r="AG172" s="91"/>
      <c r="AH172" s="91"/>
      <c r="AI172" s="112"/>
      <c r="AJ172" s="109"/>
      <c r="AK172" s="91"/>
      <c r="AL172" s="91"/>
      <c r="AM172" s="91"/>
      <c r="AN172" s="91"/>
      <c r="AO172" s="91"/>
      <c r="AP172" s="91"/>
      <c r="AQ172" s="91"/>
      <c r="AR172" s="91"/>
      <c r="AS172" s="91"/>
      <c r="AT172" s="91"/>
      <c r="AU172" s="110"/>
      <c r="AV172" s="85" t="e">
        <f t="shared" si="6"/>
        <v>#REF!</v>
      </c>
      <c r="AW172" s="85" t="e">
        <f t="shared" si="6"/>
        <v>#REF!</v>
      </c>
      <c r="AX172" s="85" t="e">
        <f t="shared" si="6"/>
        <v>#REF!</v>
      </c>
      <c r="BB172" s="85" t="s">
        <v>142</v>
      </c>
    </row>
    <row r="173" spans="1:54" ht="15.75" x14ac:dyDescent="0.2">
      <c r="A173" s="111" t="e">
        <f t="shared" si="8"/>
        <v>#REF!</v>
      </c>
      <c r="B173" s="88" t="e">
        <f>IF(OR(#REF!="",#REF!=0,#REF!=#REF!),"",#REF!)</f>
        <v>#REF!</v>
      </c>
      <c r="C173" s="107" t="e">
        <f t="shared" si="7"/>
        <v>#REF!</v>
      </c>
      <c r="D173" s="88" t="e">
        <f>IF(OR(#REF!="",#REF!=0,#REF!=#REF!),"",#REF!)</f>
        <v>#REF!</v>
      </c>
      <c r="E173" s="88" t="e">
        <f>IF($D173="","",#REF!)</f>
        <v>#REF!</v>
      </c>
      <c r="F173" s="91"/>
      <c r="G173" s="91"/>
      <c r="H173" s="91"/>
      <c r="I173" s="91"/>
      <c r="J173" s="91"/>
      <c r="K173" s="91"/>
      <c r="L173" s="91"/>
      <c r="M173" s="91"/>
      <c r="N173" s="91"/>
      <c r="O173" s="91"/>
      <c r="P173" s="91"/>
      <c r="Q173" s="91"/>
      <c r="R173" s="91"/>
      <c r="S173" s="91"/>
      <c r="T173" s="109"/>
      <c r="U173" s="109"/>
      <c r="V173" s="109"/>
      <c r="W173" s="108"/>
      <c r="X173" s="108"/>
      <c r="Y173" s="91"/>
      <c r="Z173" s="186" t="e">
        <f t="array" ref="Z173">IF(E173="","",SUMPRODUCT(T173:V173,TRANSPOSE($V$4:$V$6)))</f>
        <v>#REF!</v>
      </c>
      <c r="AA173" s="109"/>
      <c r="AB173" s="91"/>
      <c r="AC173" s="91"/>
      <c r="AD173" s="91"/>
      <c r="AE173" s="91"/>
      <c r="AF173" s="91"/>
      <c r="AG173" s="91"/>
      <c r="AH173" s="91"/>
      <c r="AI173" s="112"/>
      <c r="AJ173" s="109"/>
      <c r="AK173" s="91"/>
      <c r="AL173" s="91"/>
      <c r="AM173" s="91"/>
      <c r="AN173" s="91"/>
      <c r="AO173" s="91"/>
      <c r="AP173" s="91"/>
      <c r="AQ173" s="91"/>
      <c r="AR173" s="91"/>
      <c r="AS173" s="91"/>
      <c r="AT173" s="91"/>
      <c r="AU173" s="110"/>
      <c r="AV173" s="85" t="e">
        <f t="shared" si="6"/>
        <v>#REF!</v>
      </c>
      <c r="AW173" s="85" t="e">
        <f t="shared" si="6"/>
        <v>#REF!</v>
      </c>
      <c r="AX173" s="85" t="e">
        <f t="shared" si="6"/>
        <v>#REF!</v>
      </c>
      <c r="BB173" s="85" t="s">
        <v>143</v>
      </c>
    </row>
    <row r="174" spans="1:54" ht="15.75" x14ac:dyDescent="0.2">
      <c r="A174" s="111" t="e">
        <f t="shared" si="8"/>
        <v>#REF!</v>
      </c>
      <c r="B174" s="88" t="e">
        <f>IF(OR(#REF!="",#REF!=0,#REF!=#REF!),"",#REF!)</f>
        <v>#REF!</v>
      </c>
      <c r="C174" s="107" t="e">
        <f t="shared" si="7"/>
        <v>#REF!</v>
      </c>
      <c r="D174" s="88" t="e">
        <f>IF(OR(#REF!="",#REF!=0,#REF!=#REF!),"",#REF!)</f>
        <v>#REF!</v>
      </c>
      <c r="E174" s="88" t="e">
        <f>IF($D174="","",#REF!)</f>
        <v>#REF!</v>
      </c>
      <c r="F174" s="91"/>
      <c r="G174" s="91"/>
      <c r="H174" s="91"/>
      <c r="I174" s="91"/>
      <c r="J174" s="91"/>
      <c r="K174" s="91"/>
      <c r="L174" s="91"/>
      <c r="M174" s="91"/>
      <c r="N174" s="91"/>
      <c r="O174" s="91"/>
      <c r="P174" s="91"/>
      <c r="Q174" s="91"/>
      <c r="R174" s="91"/>
      <c r="S174" s="91"/>
      <c r="T174" s="109"/>
      <c r="U174" s="109"/>
      <c r="V174" s="109"/>
      <c r="W174" s="108"/>
      <c r="X174" s="108"/>
      <c r="Y174" s="91"/>
      <c r="Z174" s="186" t="e">
        <f t="array" ref="Z174">IF(E174="","",SUMPRODUCT(T174:V174,TRANSPOSE($V$4:$V$6)))</f>
        <v>#REF!</v>
      </c>
      <c r="AA174" s="109"/>
      <c r="AB174" s="91"/>
      <c r="AC174" s="91"/>
      <c r="AD174" s="91"/>
      <c r="AE174" s="91"/>
      <c r="AF174" s="91"/>
      <c r="AG174" s="91"/>
      <c r="AH174" s="91"/>
      <c r="AI174" s="112"/>
      <c r="AJ174" s="109"/>
      <c r="AK174" s="91"/>
      <c r="AL174" s="91"/>
      <c r="AM174" s="91"/>
      <c r="AN174" s="91"/>
      <c r="AO174" s="91"/>
      <c r="AP174" s="91"/>
      <c r="AQ174" s="91"/>
      <c r="AR174" s="91"/>
      <c r="AS174" s="91"/>
      <c r="AT174" s="91"/>
      <c r="AU174" s="110"/>
      <c r="AV174" s="85" t="e">
        <f t="shared" si="6"/>
        <v>#REF!</v>
      </c>
      <c r="AW174" s="85" t="e">
        <f t="shared" si="6"/>
        <v>#REF!</v>
      </c>
      <c r="AX174" s="85" t="e">
        <f t="shared" si="6"/>
        <v>#REF!</v>
      </c>
      <c r="BB174" s="85" t="s">
        <v>145</v>
      </c>
    </row>
    <row r="175" spans="1:54" ht="15.75" x14ac:dyDescent="0.2">
      <c r="A175" s="111" t="e">
        <f t="shared" si="8"/>
        <v>#REF!</v>
      </c>
      <c r="B175" s="88" t="e">
        <f>IF(OR(#REF!="",#REF!=0,#REF!=#REF!),"",#REF!)</f>
        <v>#REF!</v>
      </c>
      <c r="C175" s="107" t="e">
        <f t="shared" si="7"/>
        <v>#REF!</v>
      </c>
      <c r="D175" s="88" t="e">
        <f>IF(OR(#REF!="",#REF!=0,#REF!=#REF!),"",#REF!)</f>
        <v>#REF!</v>
      </c>
      <c r="E175" s="88" t="e">
        <f>IF($D175="","",#REF!)</f>
        <v>#REF!</v>
      </c>
      <c r="F175" s="91"/>
      <c r="G175" s="91"/>
      <c r="H175" s="91"/>
      <c r="I175" s="91"/>
      <c r="J175" s="91"/>
      <c r="K175" s="91"/>
      <c r="L175" s="91"/>
      <c r="M175" s="91"/>
      <c r="N175" s="91"/>
      <c r="O175" s="91"/>
      <c r="P175" s="91"/>
      <c r="Q175" s="91"/>
      <c r="R175" s="91"/>
      <c r="S175" s="91"/>
      <c r="T175" s="109"/>
      <c r="U175" s="109"/>
      <c r="V175" s="109"/>
      <c r="W175" s="108"/>
      <c r="X175" s="108"/>
      <c r="Y175" s="91"/>
      <c r="Z175" s="186" t="e">
        <f t="array" ref="Z175">IF(E175="","",SUMPRODUCT(T175:V175,TRANSPOSE($V$4:$V$6)))</f>
        <v>#REF!</v>
      </c>
      <c r="AA175" s="109"/>
      <c r="AB175" s="91"/>
      <c r="AC175" s="91"/>
      <c r="AD175" s="91"/>
      <c r="AE175" s="91"/>
      <c r="AF175" s="91"/>
      <c r="AG175" s="91"/>
      <c r="AH175" s="91"/>
      <c r="AI175" s="113"/>
      <c r="AJ175" s="109"/>
      <c r="AK175" s="91"/>
      <c r="AL175" s="91"/>
      <c r="AM175" s="91"/>
      <c r="AN175" s="91"/>
      <c r="AO175" s="91"/>
      <c r="AP175" s="91"/>
      <c r="AQ175" s="91"/>
      <c r="AR175" s="91"/>
      <c r="AS175" s="91"/>
      <c r="AT175" s="91"/>
      <c r="AU175" s="110"/>
      <c r="AV175" s="85" t="e">
        <f t="shared" si="6"/>
        <v>#REF!</v>
      </c>
      <c r="AW175" s="85" t="e">
        <f t="shared" si="6"/>
        <v>#REF!</v>
      </c>
      <c r="AX175" s="85" t="e">
        <f t="shared" si="6"/>
        <v>#REF!</v>
      </c>
      <c r="BB175" s="85" t="s">
        <v>147</v>
      </c>
    </row>
    <row r="176" spans="1:54" ht="15.75" x14ac:dyDescent="0.2">
      <c r="A176" s="111" t="e">
        <f t="shared" si="8"/>
        <v>#REF!</v>
      </c>
      <c r="B176" s="88" t="e">
        <f>IF(OR(#REF!="",#REF!=0,#REF!=#REF!),"",#REF!)</f>
        <v>#REF!</v>
      </c>
      <c r="C176" s="107" t="e">
        <f t="shared" si="7"/>
        <v>#REF!</v>
      </c>
      <c r="D176" s="88" t="e">
        <f>IF(OR(#REF!="",#REF!=0,#REF!=#REF!),"",#REF!)</f>
        <v>#REF!</v>
      </c>
      <c r="E176" s="88" t="e">
        <f>IF($D176="","",#REF!)</f>
        <v>#REF!</v>
      </c>
      <c r="F176" s="91"/>
      <c r="G176" s="91"/>
      <c r="H176" s="91"/>
      <c r="I176" s="91"/>
      <c r="J176" s="91"/>
      <c r="K176" s="91"/>
      <c r="L176" s="91"/>
      <c r="M176" s="91"/>
      <c r="N176" s="91"/>
      <c r="O176" s="91"/>
      <c r="P176" s="91"/>
      <c r="Q176" s="91"/>
      <c r="R176" s="91"/>
      <c r="S176" s="91"/>
      <c r="T176" s="109"/>
      <c r="U176" s="109"/>
      <c r="V176" s="109"/>
      <c r="W176" s="108"/>
      <c r="X176" s="108"/>
      <c r="Y176" s="91"/>
      <c r="Z176" s="186" t="e">
        <f t="array" ref="Z176">IF(E176="","",SUMPRODUCT(T176:V176,TRANSPOSE($V$4:$V$6)))</f>
        <v>#REF!</v>
      </c>
      <c r="AA176" s="109"/>
      <c r="AB176" s="91"/>
      <c r="AC176" s="91"/>
      <c r="AD176" s="91"/>
      <c r="AE176" s="91"/>
      <c r="AF176" s="91"/>
      <c r="AG176" s="91"/>
      <c r="AH176" s="91"/>
      <c r="AI176" s="112"/>
      <c r="AJ176" s="109"/>
      <c r="AK176" s="91"/>
      <c r="AL176" s="91"/>
      <c r="AM176" s="91"/>
      <c r="AN176" s="91"/>
      <c r="AO176" s="91"/>
      <c r="AP176" s="91"/>
      <c r="AQ176" s="91"/>
      <c r="AR176" s="91"/>
      <c r="AS176" s="91"/>
      <c r="AT176" s="91"/>
      <c r="AU176" s="110"/>
      <c r="AV176" s="85" t="e">
        <f t="shared" si="6"/>
        <v>#REF!</v>
      </c>
      <c r="AW176" s="85" t="e">
        <f t="shared" si="6"/>
        <v>#REF!</v>
      </c>
      <c r="AX176" s="85" t="e">
        <f t="shared" si="6"/>
        <v>#REF!</v>
      </c>
      <c r="BB176" s="85" t="s">
        <v>148</v>
      </c>
    </row>
    <row r="177" spans="1:54" ht="15.75" x14ac:dyDescent="0.2">
      <c r="A177" s="111" t="e">
        <f t="shared" si="8"/>
        <v>#REF!</v>
      </c>
      <c r="B177" s="88" t="e">
        <f>IF(OR(#REF!="",#REF!=0,#REF!=#REF!),"",#REF!)</f>
        <v>#REF!</v>
      </c>
      <c r="C177" s="107" t="e">
        <f t="shared" si="7"/>
        <v>#REF!</v>
      </c>
      <c r="D177" s="88" t="e">
        <f>IF(OR(#REF!="",#REF!=0,#REF!=#REF!),"",#REF!)</f>
        <v>#REF!</v>
      </c>
      <c r="E177" s="88" t="e">
        <f>IF($D177="","",#REF!)</f>
        <v>#REF!</v>
      </c>
      <c r="F177" s="91"/>
      <c r="G177" s="91"/>
      <c r="H177" s="91"/>
      <c r="I177" s="91"/>
      <c r="J177" s="91"/>
      <c r="K177" s="91"/>
      <c r="L177" s="91"/>
      <c r="M177" s="91"/>
      <c r="N177" s="91"/>
      <c r="O177" s="91"/>
      <c r="P177" s="91"/>
      <c r="Q177" s="91"/>
      <c r="R177" s="91"/>
      <c r="S177" s="91"/>
      <c r="T177" s="109"/>
      <c r="U177" s="109"/>
      <c r="V177" s="109"/>
      <c r="W177" s="108"/>
      <c r="X177" s="108"/>
      <c r="Y177" s="91"/>
      <c r="Z177" s="186" t="e">
        <f t="array" ref="Z177">IF(E177="","",SUMPRODUCT(T177:V177,TRANSPOSE($V$4:$V$6)))</f>
        <v>#REF!</v>
      </c>
      <c r="AA177" s="109"/>
      <c r="AB177" s="91"/>
      <c r="AC177" s="91"/>
      <c r="AD177" s="91"/>
      <c r="AE177" s="91"/>
      <c r="AF177" s="91"/>
      <c r="AG177" s="91"/>
      <c r="AH177" s="91"/>
      <c r="AI177" s="112"/>
      <c r="AJ177" s="109"/>
      <c r="AK177" s="91"/>
      <c r="AL177" s="91"/>
      <c r="AM177" s="91"/>
      <c r="AN177" s="91"/>
      <c r="AO177" s="91"/>
      <c r="AP177" s="91"/>
      <c r="AQ177" s="91"/>
      <c r="AR177" s="91"/>
      <c r="AS177" s="91"/>
      <c r="AT177" s="91"/>
      <c r="AU177" s="110"/>
      <c r="AV177" s="85" t="e">
        <f t="shared" si="6"/>
        <v>#REF!</v>
      </c>
      <c r="AW177" s="85" t="e">
        <f t="shared" si="6"/>
        <v>#REF!</v>
      </c>
      <c r="AX177" s="85" t="e">
        <f t="shared" si="6"/>
        <v>#REF!</v>
      </c>
      <c r="BB177" s="85" t="s">
        <v>150</v>
      </c>
    </row>
    <row r="178" spans="1:54" ht="15.75" x14ac:dyDescent="0.2">
      <c r="A178" s="111" t="e">
        <f t="shared" si="8"/>
        <v>#REF!</v>
      </c>
      <c r="B178" s="88" t="e">
        <f>IF(OR(#REF!="",#REF!=0,#REF!=#REF!),"",#REF!)</f>
        <v>#REF!</v>
      </c>
      <c r="C178" s="107" t="e">
        <f t="shared" si="7"/>
        <v>#REF!</v>
      </c>
      <c r="D178" s="88" t="e">
        <f>IF(OR(#REF!="",#REF!=0,#REF!=#REF!),"",#REF!)</f>
        <v>#REF!</v>
      </c>
      <c r="E178" s="88" t="e">
        <f>IF($D178="","",#REF!)</f>
        <v>#REF!</v>
      </c>
      <c r="F178" s="91"/>
      <c r="G178" s="91"/>
      <c r="H178" s="91"/>
      <c r="I178" s="91"/>
      <c r="J178" s="91"/>
      <c r="K178" s="91"/>
      <c r="L178" s="91"/>
      <c r="M178" s="91"/>
      <c r="N178" s="91"/>
      <c r="O178" s="91"/>
      <c r="P178" s="91"/>
      <c r="Q178" s="91"/>
      <c r="R178" s="91"/>
      <c r="S178" s="91"/>
      <c r="T178" s="109"/>
      <c r="U178" s="109"/>
      <c r="V178" s="109"/>
      <c r="W178" s="108"/>
      <c r="X178" s="108"/>
      <c r="Y178" s="91"/>
      <c r="Z178" s="186" t="e">
        <f t="array" ref="Z178">IF(E178="","",SUMPRODUCT(T178:V178,TRANSPOSE($V$4:$V$6)))</f>
        <v>#REF!</v>
      </c>
      <c r="AA178" s="109"/>
      <c r="AB178" s="91"/>
      <c r="AC178" s="91"/>
      <c r="AD178" s="91"/>
      <c r="AE178" s="91"/>
      <c r="AF178" s="91"/>
      <c r="AG178" s="91"/>
      <c r="AH178" s="91"/>
      <c r="AI178" s="112"/>
      <c r="AJ178" s="109"/>
      <c r="AK178" s="91"/>
      <c r="AL178" s="91"/>
      <c r="AM178" s="91"/>
      <c r="AN178" s="91"/>
      <c r="AO178" s="91"/>
      <c r="AP178" s="91"/>
      <c r="AQ178" s="91"/>
      <c r="AR178" s="91"/>
      <c r="AS178" s="91"/>
      <c r="AT178" s="91"/>
      <c r="AU178" s="110"/>
      <c r="AV178" s="85" t="e">
        <f t="shared" si="6"/>
        <v>#REF!</v>
      </c>
      <c r="AW178" s="85" t="e">
        <f t="shared" si="6"/>
        <v>#REF!</v>
      </c>
      <c r="AX178" s="85" t="e">
        <f t="shared" si="6"/>
        <v>#REF!</v>
      </c>
      <c r="BB178" s="85" t="s">
        <v>156</v>
      </c>
    </row>
    <row r="179" spans="1:54" ht="15.75" x14ac:dyDescent="0.2">
      <c r="A179" s="111" t="e">
        <f t="shared" si="8"/>
        <v>#REF!</v>
      </c>
      <c r="B179" s="88" t="e">
        <f>IF(OR(#REF!="",#REF!=0,#REF!=#REF!),"",#REF!)</f>
        <v>#REF!</v>
      </c>
      <c r="C179" s="107" t="e">
        <f t="shared" si="7"/>
        <v>#REF!</v>
      </c>
      <c r="D179" s="88" t="e">
        <f>IF(OR(#REF!="",#REF!=0,#REF!=#REF!),"",#REF!)</f>
        <v>#REF!</v>
      </c>
      <c r="E179" s="88" t="e">
        <f>IF($D179="","",#REF!)</f>
        <v>#REF!</v>
      </c>
      <c r="F179" s="91"/>
      <c r="G179" s="91"/>
      <c r="H179" s="91"/>
      <c r="I179" s="91"/>
      <c r="J179" s="91"/>
      <c r="K179" s="91"/>
      <c r="L179" s="91"/>
      <c r="M179" s="91"/>
      <c r="N179" s="91"/>
      <c r="O179" s="91"/>
      <c r="P179" s="91"/>
      <c r="Q179" s="91"/>
      <c r="R179" s="91"/>
      <c r="S179" s="91"/>
      <c r="T179" s="109"/>
      <c r="U179" s="109"/>
      <c r="V179" s="109"/>
      <c r="W179" s="108"/>
      <c r="X179" s="108"/>
      <c r="Y179" s="91"/>
      <c r="Z179" s="186" t="e">
        <f t="array" ref="Z179">IF(E179="","",SUMPRODUCT(T179:V179,TRANSPOSE($V$4:$V$6)))</f>
        <v>#REF!</v>
      </c>
      <c r="AA179" s="109"/>
      <c r="AB179" s="91"/>
      <c r="AC179" s="91"/>
      <c r="AD179" s="91"/>
      <c r="AE179" s="91"/>
      <c r="AF179" s="91"/>
      <c r="AG179" s="91"/>
      <c r="AH179" s="91"/>
      <c r="AI179" s="113"/>
      <c r="AJ179" s="109"/>
      <c r="AK179" s="91"/>
      <c r="AL179" s="91"/>
      <c r="AM179" s="91"/>
      <c r="AN179" s="91"/>
      <c r="AO179" s="91"/>
      <c r="AP179" s="91"/>
      <c r="AQ179" s="91"/>
      <c r="AR179" s="91"/>
      <c r="AS179" s="91"/>
      <c r="AT179" s="91"/>
      <c r="AU179" s="110"/>
      <c r="AV179" s="85" t="e">
        <f t="shared" si="6"/>
        <v>#REF!</v>
      </c>
      <c r="AW179" s="85" t="e">
        <f t="shared" si="6"/>
        <v>#REF!</v>
      </c>
      <c r="AX179" s="85" t="e">
        <f t="shared" si="6"/>
        <v>#REF!</v>
      </c>
      <c r="BB179" s="85" t="s">
        <v>160</v>
      </c>
    </row>
    <row r="180" spans="1:54" ht="15.75" x14ac:dyDescent="0.2">
      <c r="A180" s="111" t="e">
        <f t="shared" si="8"/>
        <v>#REF!</v>
      </c>
      <c r="B180" s="88" t="e">
        <f>IF(OR(#REF!="",#REF!=0,#REF!=#REF!),"",#REF!)</f>
        <v>#REF!</v>
      </c>
      <c r="C180" s="107" t="e">
        <f t="shared" si="7"/>
        <v>#REF!</v>
      </c>
      <c r="D180" s="88" t="e">
        <f>IF(OR(#REF!="",#REF!=0,#REF!=#REF!),"",#REF!)</f>
        <v>#REF!</v>
      </c>
      <c r="E180" s="88" t="e">
        <f>IF($D180="","",#REF!)</f>
        <v>#REF!</v>
      </c>
      <c r="F180" s="91"/>
      <c r="G180" s="91"/>
      <c r="H180" s="91"/>
      <c r="I180" s="91"/>
      <c r="J180" s="91"/>
      <c r="K180" s="91"/>
      <c r="L180" s="91"/>
      <c r="M180" s="91"/>
      <c r="N180" s="91"/>
      <c r="O180" s="91"/>
      <c r="P180" s="91"/>
      <c r="Q180" s="91"/>
      <c r="R180" s="91"/>
      <c r="S180" s="91"/>
      <c r="T180" s="109"/>
      <c r="U180" s="109"/>
      <c r="V180" s="109"/>
      <c r="W180" s="108"/>
      <c r="X180" s="108"/>
      <c r="Y180" s="91"/>
      <c r="Z180" s="186" t="e">
        <f t="array" ref="Z180">IF(E180="","",SUMPRODUCT(T180:V180,TRANSPOSE($V$4:$V$6)))</f>
        <v>#REF!</v>
      </c>
      <c r="AA180" s="109"/>
      <c r="AB180" s="91"/>
      <c r="AC180" s="91"/>
      <c r="AD180" s="91"/>
      <c r="AE180" s="91"/>
      <c r="AF180" s="91"/>
      <c r="AG180" s="91"/>
      <c r="AH180" s="91"/>
      <c r="AI180" s="112"/>
      <c r="AJ180" s="109"/>
      <c r="AK180" s="91"/>
      <c r="AL180" s="91"/>
      <c r="AM180" s="91"/>
      <c r="AN180" s="91"/>
      <c r="AO180" s="91"/>
      <c r="AP180" s="91"/>
      <c r="AQ180" s="91"/>
      <c r="AR180" s="91"/>
      <c r="AS180" s="91"/>
      <c r="AT180" s="91"/>
      <c r="AU180" s="110"/>
      <c r="AV180" s="85" t="e">
        <f t="shared" si="6"/>
        <v>#REF!</v>
      </c>
      <c r="AW180" s="85" t="e">
        <f t="shared" si="6"/>
        <v>#REF!</v>
      </c>
      <c r="AX180" s="85" t="e">
        <f t="shared" si="6"/>
        <v>#REF!</v>
      </c>
      <c r="BB180" s="85" t="s">
        <v>166</v>
      </c>
    </row>
    <row r="181" spans="1:54" ht="15.75" x14ac:dyDescent="0.2">
      <c r="A181" s="111" t="e">
        <f t="shared" si="8"/>
        <v>#REF!</v>
      </c>
      <c r="B181" s="88" t="e">
        <f>IF(OR(#REF!="",#REF!=0,#REF!=#REF!),"",#REF!)</f>
        <v>#REF!</v>
      </c>
      <c r="C181" s="107" t="e">
        <f t="shared" si="7"/>
        <v>#REF!</v>
      </c>
      <c r="D181" s="88" t="e">
        <f>IF(OR(#REF!="",#REF!=0,#REF!=#REF!),"",#REF!)</f>
        <v>#REF!</v>
      </c>
      <c r="E181" s="88" t="e">
        <f>IF($D181="","",#REF!)</f>
        <v>#REF!</v>
      </c>
      <c r="F181" s="91"/>
      <c r="G181" s="91"/>
      <c r="H181" s="91"/>
      <c r="I181" s="91"/>
      <c r="J181" s="91"/>
      <c r="K181" s="91"/>
      <c r="L181" s="91"/>
      <c r="M181" s="91"/>
      <c r="N181" s="91"/>
      <c r="O181" s="91"/>
      <c r="P181" s="91"/>
      <c r="Q181" s="91"/>
      <c r="R181" s="91"/>
      <c r="S181" s="91"/>
      <c r="T181" s="109"/>
      <c r="U181" s="109"/>
      <c r="V181" s="109"/>
      <c r="W181" s="108"/>
      <c r="X181" s="108"/>
      <c r="Y181" s="91"/>
      <c r="Z181" s="186" t="e">
        <f t="array" ref="Z181">IF(E181="","",SUMPRODUCT(T181:V181,TRANSPOSE($V$4:$V$6)))</f>
        <v>#REF!</v>
      </c>
      <c r="AA181" s="109"/>
      <c r="AB181" s="91"/>
      <c r="AC181" s="91"/>
      <c r="AD181" s="91"/>
      <c r="AE181" s="91"/>
      <c r="AF181" s="91"/>
      <c r="AG181" s="91"/>
      <c r="AH181" s="91"/>
      <c r="AI181" s="113"/>
      <c r="AJ181" s="109"/>
      <c r="AK181" s="91"/>
      <c r="AL181" s="91"/>
      <c r="AM181" s="91"/>
      <c r="AN181" s="91"/>
      <c r="AO181" s="91"/>
      <c r="AP181" s="91"/>
      <c r="AQ181" s="91"/>
      <c r="AR181" s="91"/>
      <c r="AS181" s="91"/>
      <c r="AT181" s="91"/>
      <c r="AU181" s="110"/>
      <c r="AV181" s="85" t="e">
        <f t="shared" si="6"/>
        <v>#REF!</v>
      </c>
      <c r="AW181" s="85" t="e">
        <f t="shared" si="6"/>
        <v>#REF!</v>
      </c>
      <c r="AX181" s="85" t="e">
        <f t="shared" si="6"/>
        <v>#REF!</v>
      </c>
      <c r="BB181" s="85" t="s">
        <v>170</v>
      </c>
    </row>
    <row r="182" spans="1:54" ht="15.75" x14ac:dyDescent="0.2">
      <c r="A182" s="111" t="e">
        <f t="shared" si="8"/>
        <v>#REF!</v>
      </c>
      <c r="B182" s="88" t="e">
        <f>IF(OR(#REF!="",#REF!=0,#REF!=#REF!),"",#REF!)</f>
        <v>#REF!</v>
      </c>
      <c r="C182" s="107" t="e">
        <f t="shared" si="7"/>
        <v>#REF!</v>
      </c>
      <c r="D182" s="88" t="e">
        <f>IF(OR(#REF!="",#REF!=0,#REF!=#REF!),"",#REF!)</f>
        <v>#REF!</v>
      </c>
      <c r="E182" s="88" t="e">
        <f>IF($D182="","",#REF!)</f>
        <v>#REF!</v>
      </c>
      <c r="F182" s="91"/>
      <c r="G182" s="91"/>
      <c r="H182" s="91"/>
      <c r="I182" s="91"/>
      <c r="J182" s="91"/>
      <c r="K182" s="91"/>
      <c r="L182" s="91"/>
      <c r="M182" s="91"/>
      <c r="N182" s="91"/>
      <c r="O182" s="91"/>
      <c r="P182" s="91"/>
      <c r="Q182" s="91"/>
      <c r="R182" s="91"/>
      <c r="S182" s="91"/>
      <c r="T182" s="109"/>
      <c r="U182" s="109"/>
      <c r="V182" s="109"/>
      <c r="W182" s="108"/>
      <c r="X182" s="108"/>
      <c r="Y182" s="91"/>
      <c r="Z182" s="186" t="e">
        <f t="array" ref="Z182">IF(E182="","",SUMPRODUCT(T182:V182,TRANSPOSE($V$4:$V$6)))</f>
        <v>#REF!</v>
      </c>
      <c r="AA182" s="109"/>
      <c r="AB182" s="91"/>
      <c r="AC182" s="91"/>
      <c r="AD182" s="91"/>
      <c r="AE182" s="91"/>
      <c r="AF182" s="91"/>
      <c r="AG182" s="91"/>
      <c r="AH182" s="91"/>
      <c r="AI182" s="112"/>
      <c r="AJ182" s="109"/>
      <c r="AK182" s="91"/>
      <c r="AL182" s="91"/>
      <c r="AM182" s="91"/>
      <c r="AN182" s="91"/>
      <c r="AO182" s="91"/>
      <c r="AP182" s="91"/>
      <c r="AQ182" s="91"/>
      <c r="AR182" s="91"/>
      <c r="AS182" s="91"/>
      <c r="AT182" s="91"/>
      <c r="AU182" s="110"/>
      <c r="AV182" s="85" t="e">
        <f t="shared" si="6"/>
        <v>#REF!</v>
      </c>
      <c r="AW182" s="85" t="e">
        <f t="shared" si="6"/>
        <v>#REF!</v>
      </c>
      <c r="AX182" s="85" t="e">
        <f t="shared" si="6"/>
        <v>#REF!</v>
      </c>
      <c r="BB182" s="85" t="s">
        <v>131</v>
      </c>
    </row>
    <row r="183" spans="1:54" ht="15.75" x14ac:dyDescent="0.2">
      <c r="A183" s="111" t="e">
        <f t="shared" si="8"/>
        <v>#REF!</v>
      </c>
      <c r="B183" s="88" t="e">
        <f>IF(OR(#REF!="",#REF!=0,#REF!=#REF!),"",#REF!)</f>
        <v>#REF!</v>
      </c>
      <c r="C183" s="107" t="e">
        <f t="shared" si="7"/>
        <v>#REF!</v>
      </c>
      <c r="D183" s="88" t="e">
        <f>IF(OR(#REF!="",#REF!=0,#REF!=#REF!),"",#REF!)</f>
        <v>#REF!</v>
      </c>
      <c r="E183" s="88" t="e">
        <f>IF($D183="","",#REF!)</f>
        <v>#REF!</v>
      </c>
      <c r="F183" s="91"/>
      <c r="G183" s="91"/>
      <c r="H183" s="91"/>
      <c r="I183" s="91"/>
      <c r="J183" s="91"/>
      <c r="K183" s="91"/>
      <c r="L183" s="91"/>
      <c r="M183" s="91"/>
      <c r="N183" s="91"/>
      <c r="O183" s="91"/>
      <c r="P183" s="91"/>
      <c r="Q183" s="91"/>
      <c r="R183" s="91"/>
      <c r="S183" s="91"/>
      <c r="T183" s="109"/>
      <c r="U183" s="109"/>
      <c r="V183" s="109"/>
      <c r="W183" s="108"/>
      <c r="X183" s="108"/>
      <c r="Y183" s="91"/>
      <c r="Z183" s="186" t="e">
        <f t="array" ref="Z183">IF(E183="","",SUMPRODUCT(T183:V183,TRANSPOSE($V$4:$V$6)))</f>
        <v>#REF!</v>
      </c>
      <c r="AA183" s="109"/>
      <c r="AB183" s="91"/>
      <c r="AC183" s="91"/>
      <c r="AD183" s="91"/>
      <c r="AE183" s="91"/>
      <c r="AF183" s="91"/>
      <c r="AG183" s="91"/>
      <c r="AH183" s="91"/>
      <c r="AI183" s="112"/>
      <c r="AJ183" s="109"/>
      <c r="AK183" s="91"/>
      <c r="AL183" s="91"/>
      <c r="AM183" s="91"/>
      <c r="AN183" s="91"/>
      <c r="AO183" s="91"/>
      <c r="AP183" s="91"/>
      <c r="AQ183" s="91"/>
      <c r="AR183" s="91"/>
      <c r="AS183" s="91"/>
      <c r="AT183" s="91"/>
      <c r="AU183" s="110"/>
      <c r="AV183" s="85" t="e">
        <f t="shared" si="6"/>
        <v>#REF!</v>
      </c>
      <c r="AW183" s="85" t="e">
        <f t="shared" si="6"/>
        <v>#REF!</v>
      </c>
      <c r="AX183" s="85" t="e">
        <f t="shared" si="6"/>
        <v>#REF!</v>
      </c>
      <c r="BB183" s="102" t="s">
        <v>128</v>
      </c>
    </row>
    <row r="184" spans="1:54" ht="15.75" x14ac:dyDescent="0.2">
      <c r="A184" s="111" t="e">
        <f t="shared" si="8"/>
        <v>#REF!</v>
      </c>
      <c r="B184" s="88" t="e">
        <f>IF(OR(#REF!="",#REF!=0,#REF!=#REF!),"",#REF!)</f>
        <v>#REF!</v>
      </c>
      <c r="C184" s="107" t="e">
        <f t="shared" si="7"/>
        <v>#REF!</v>
      </c>
      <c r="D184" s="88" t="e">
        <f>IF(OR(#REF!="",#REF!=0,#REF!=#REF!),"",#REF!)</f>
        <v>#REF!</v>
      </c>
      <c r="E184" s="88" t="e">
        <f>IF($D184="","",#REF!)</f>
        <v>#REF!</v>
      </c>
      <c r="F184" s="91"/>
      <c r="G184" s="91"/>
      <c r="H184" s="91"/>
      <c r="I184" s="91"/>
      <c r="J184" s="91"/>
      <c r="K184" s="91"/>
      <c r="L184" s="91"/>
      <c r="M184" s="91"/>
      <c r="N184" s="91"/>
      <c r="O184" s="91"/>
      <c r="P184" s="91"/>
      <c r="Q184" s="91"/>
      <c r="R184" s="91"/>
      <c r="S184" s="91"/>
      <c r="T184" s="109"/>
      <c r="U184" s="109"/>
      <c r="V184" s="109"/>
      <c r="W184" s="108"/>
      <c r="X184" s="108"/>
      <c r="Y184" s="91"/>
      <c r="Z184" s="186" t="e">
        <f t="array" ref="Z184">IF(E184="","",SUMPRODUCT(T184:V184,TRANSPOSE($V$4:$V$6)))</f>
        <v>#REF!</v>
      </c>
      <c r="AA184" s="109"/>
      <c r="AB184" s="91"/>
      <c r="AC184" s="91"/>
      <c r="AD184" s="91"/>
      <c r="AE184" s="91"/>
      <c r="AF184" s="91"/>
      <c r="AG184" s="91"/>
      <c r="AH184" s="91"/>
      <c r="AI184" s="112"/>
      <c r="AJ184" s="109"/>
      <c r="AK184" s="91"/>
      <c r="AL184" s="91"/>
      <c r="AM184" s="91"/>
      <c r="AN184" s="91"/>
      <c r="AO184" s="91"/>
      <c r="AP184" s="91"/>
      <c r="AQ184" s="91"/>
      <c r="AR184" s="91"/>
      <c r="AS184" s="91"/>
      <c r="AT184" s="91"/>
      <c r="AU184" s="115"/>
      <c r="AV184" s="85" t="e">
        <f t="shared" si="6"/>
        <v>#REF!</v>
      </c>
      <c r="AW184" s="85" t="e">
        <f t="shared" si="6"/>
        <v>#REF!</v>
      </c>
      <c r="AX184" s="85" t="e">
        <f t="shared" si="6"/>
        <v>#REF!</v>
      </c>
      <c r="BB184" s="85" t="s">
        <v>172</v>
      </c>
    </row>
    <row r="185" spans="1:54" ht="15.75" x14ac:dyDescent="0.2">
      <c r="A185" s="111" t="e">
        <f t="shared" si="8"/>
        <v>#REF!</v>
      </c>
      <c r="B185" s="88" t="e">
        <f>IF(OR(#REF!="",#REF!=0,#REF!=#REF!),"",#REF!)</f>
        <v>#REF!</v>
      </c>
      <c r="C185" s="107" t="e">
        <f t="shared" si="7"/>
        <v>#REF!</v>
      </c>
      <c r="D185" s="88" t="e">
        <f>IF(OR(#REF!="",#REF!=0,#REF!=#REF!),"",#REF!)</f>
        <v>#REF!</v>
      </c>
      <c r="E185" s="88" t="e">
        <f>IF($D185="","",#REF!)</f>
        <v>#REF!</v>
      </c>
      <c r="F185" s="91"/>
      <c r="G185" s="91"/>
      <c r="H185" s="91"/>
      <c r="I185" s="91"/>
      <c r="J185" s="91"/>
      <c r="K185" s="91"/>
      <c r="L185" s="91"/>
      <c r="M185" s="91"/>
      <c r="N185" s="91"/>
      <c r="O185" s="91"/>
      <c r="P185" s="91"/>
      <c r="Q185" s="91"/>
      <c r="R185" s="91"/>
      <c r="S185" s="91"/>
      <c r="T185" s="109"/>
      <c r="U185" s="109"/>
      <c r="V185" s="109"/>
      <c r="W185" s="108"/>
      <c r="X185" s="108"/>
      <c r="Y185" s="91"/>
      <c r="Z185" s="186" t="e">
        <f t="array" ref="Z185">IF(E185="","",SUMPRODUCT(T185:V185,TRANSPOSE($V$4:$V$6)))</f>
        <v>#REF!</v>
      </c>
      <c r="AA185" s="109"/>
      <c r="AB185" s="91"/>
      <c r="AC185" s="91"/>
      <c r="AD185" s="91"/>
      <c r="AE185" s="91"/>
      <c r="AF185" s="91"/>
      <c r="AG185" s="91"/>
      <c r="AH185" s="91"/>
      <c r="AI185" s="112"/>
      <c r="AJ185" s="109"/>
      <c r="AK185" s="91"/>
      <c r="AL185" s="91"/>
      <c r="AM185" s="91"/>
      <c r="AN185" s="91"/>
      <c r="AO185" s="91"/>
      <c r="AP185" s="91"/>
      <c r="AQ185" s="91"/>
      <c r="AR185" s="91"/>
      <c r="AS185" s="91"/>
      <c r="AT185" s="91"/>
      <c r="AU185" s="110"/>
      <c r="AV185" s="85" t="e">
        <f t="shared" si="6"/>
        <v>#REF!</v>
      </c>
      <c r="AW185" s="85" t="e">
        <f t="shared" si="6"/>
        <v>#REF!</v>
      </c>
      <c r="AX185" s="85" t="e">
        <f t="shared" si="6"/>
        <v>#REF!</v>
      </c>
      <c r="BB185" s="85" t="s">
        <v>250</v>
      </c>
    </row>
    <row r="186" spans="1:54" ht="15.75" x14ac:dyDescent="0.2">
      <c r="A186" s="111" t="e">
        <f t="shared" si="8"/>
        <v>#REF!</v>
      </c>
      <c r="B186" s="88" t="e">
        <f>IF(OR(#REF!="",#REF!=0,#REF!=#REF!),"",#REF!)</f>
        <v>#REF!</v>
      </c>
      <c r="C186" s="107" t="e">
        <f t="shared" si="7"/>
        <v>#REF!</v>
      </c>
      <c r="D186" s="88" t="e">
        <f>IF(OR(#REF!="",#REF!=0,#REF!=#REF!),"",#REF!)</f>
        <v>#REF!</v>
      </c>
      <c r="E186" s="88" t="e">
        <f>IF($D186="","",#REF!)</f>
        <v>#REF!</v>
      </c>
      <c r="F186" s="91"/>
      <c r="G186" s="91"/>
      <c r="H186" s="91"/>
      <c r="I186" s="91"/>
      <c r="J186" s="91"/>
      <c r="K186" s="91"/>
      <c r="L186" s="91"/>
      <c r="M186" s="91"/>
      <c r="N186" s="91"/>
      <c r="O186" s="91"/>
      <c r="P186" s="91"/>
      <c r="Q186" s="91"/>
      <c r="R186" s="91"/>
      <c r="S186" s="91"/>
      <c r="T186" s="109"/>
      <c r="U186" s="109"/>
      <c r="V186" s="109"/>
      <c r="W186" s="108"/>
      <c r="X186" s="108"/>
      <c r="Y186" s="91"/>
      <c r="Z186" s="186" t="e">
        <f t="array" ref="Z186">IF(E186="","",SUMPRODUCT(T186:V186,TRANSPOSE($V$4:$V$6)))</f>
        <v>#REF!</v>
      </c>
      <c r="AA186" s="109"/>
      <c r="AB186" s="91"/>
      <c r="AC186" s="91"/>
      <c r="AD186" s="91"/>
      <c r="AE186" s="91"/>
      <c r="AF186" s="91"/>
      <c r="AG186" s="91"/>
      <c r="AH186" s="91"/>
      <c r="AI186" s="112"/>
      <c r="AJ186" s="109"/>
      <c r="AK186" s="91"/>
      <c r="AL186" s="91"/>
      <c r="AM186" s="91"/>
      <c r="AN186" s="91"/>
      <c r="AO186" s="91"/>
      <c r="AP186" s="91"/>
      <c r="AQ186" s="91"/>
      <c r="AR186" s="91"/>
      <c r="AS186" s="91"/>
      <c r="AT186" s="91"/>
      <c r="AU186" s="110"/>
      <c r="AV186" s="85" t="e">
        <f t="shared" si="6"/>
        <v>#REF!</v>
      </c>
      <c r="AW186" s="85" t="e">
        <f t="shared" si="6"/>
        <v>#REF!</v>
      </c>
      <c r="AX186" s="85" t="e">
        <f t="shared" si="6"/>
        <v>#REF!</v>
      </c>
      <c r="BB186" s="85" t="s">
        <v>250</v>
      </c>
    </row>
    <row r="187" spans="1:54" ht="15.75" x14ac:dyDescent="0.2">
      <c r="A187" s="111" t="e">
        <f t="shared" si="8"/>
        <v>#REF!</v>
      </c>
      <c r="B187" s="88" t="e">
        <f>IF(OR(#REF!="",#REF!=0,#REF!=#REF!),"",#REF!)</f>
        <v>#REF!</v>
      </c>
      <c r="C187" s="107" t="e">
        <f t="shared" si="7"/>
        <v>#REF!</v>
      </c>
      <c r="D187" s="88" t="e">
        <f>IF(OR(#REF!="",#REF!=0,#REF!=#REF!),"",#REF!)</f>
        <v>#REF!</v>
      </c>
      <c r="E187" s="88" t="e">
        <f>IF($D187="","",#REF!)</f>
        <v>#REF!</v>
      </c>
      <c r="F187" s="91"/>
      <c r="G187" s="91"/>
      <c r="H187" s="91"/>
      <c r="I187" s="91"/>
      <c r="J187" s="91"/>
      <c r="K187" s="91"/>
      <c r="L187" s="91"/>
      <c r="M187" s="91"/>
      <c r="N187" s="91"/>
      <c r="O187" s="91"/>
      <c r="P187" s="91"/>
      <c r="Q187" s="91"/>
      <c r="R187" s="91"/>
      <c r="S187" s="91"/>
      <c r="T187" s="109"/>
      <c r="U187" s="109"/>
      <c r="V187" s="109"/>
      <c r="W187" s="108"/>
      <c r="X187" s="108"/>
      <c r="Y187" s="91"/>
      <c r="Z187" s="186" t="e">
        <f t="array" ref="Z187">IF(E187="","",SUMPRODUCT(T187:V187,TRANSPOSE($V$4:$V$6)))</f>
        <v>#REF!</v>
      </c>
      <c r="AA187" s="109"/>
      <c r="AB187" s="91"/>
      <c r="AC187" s="91"/>
      <c r="AD187" s="91"/>
      <c r="AE187" s="91"/>
      <c r="AF187" s="91"/>
      <c r="AG187" s="91"/>
      <c r="AH187" s="91"/>
      <c r="AI187" s="112"/>
      <c r="AJ187" s="109"/>
      <c r="AK187" s="91"/>
      <c r="AL187" s="91"/>
      <c r="AM187" s="91"/>
      <c r="AN187" s="91"/>
      <c r="AO187" s="91"/>
      <c r="AP187" s="91"/>
      <c r="AQ187" s="91"/>
      <c r="AR187" s="91"/>
      <c r="AS187" s="91"/>
      <c r="AT187" s="91"/>
      <c r="AU187" s="110"/>
      <c r="AV187" s="85" t="e">
        <f t="shared" si="6"/>
        <v>#REF!</v>
      </c>
      <c r="AW187" s="85" t="e">
        <f t="shared" si="6"/>
        <v>#REF!</v>
      </c>
      <c r="AX187" s="85" t="e">
        <f t="shared" si="6"/>
        <v>#REF!</v>
      </c>
      <c r="BB187" s="85" t="s">
        <v>250</v>
      </c>
    </row>
    <row r="188" spans="1:54" ht="15.75" x14ac:dyDescent="0.2">
      <c r="A188" s="111" t="e">
        <f t="shared" si="8"/>
        <v>#REF!</v>
      </c>
      <c r="B188" s="88" t="e">
        <f>IF(OR(#REF!="",#REF!=0,#REF!=#REF!),"",#REF!)</f>
        <v>#REF!</v>
      </c>
      <c r="C188" s="107" t="e">
        <f t="shared" si="7"/>
        <v>#REF!</v>
      </c>
      <c r="D188" s="88" t="e">
        <f>IF(OR(#REF!="",#REF!=0,#REF!=#REF!),"",#REF!)</f>
        <v>#REF!</v>
      </c>
      <c r="E188" s="88" t="e">
        <f>IF($D188="","",#REF!)</f>
        <v>#REF!</v>
      </c>
      <c r="F188" s="91"/>
      <c r="G188" s="91"/>
      <c r="H188" s="91"/>
      <c r="I188" s="91"/>
      <c r="J188" s="91"/>
      <c r="K188" s="91"/>
      <c r="L188" s="91"/>
      <c r="M188" s="91"/>
      <c r="N188" s="91"/>
      <c r="O188" s="91"/>
      <c r="P188" s="91"/>
      <c r="Q188" s="91"/>
      <c r="R188" s="91"/>
      <c r="S188" s="91"/>
      <c r="T188" s="109"/>
      <c r="U188" s="109"/>
      <c r="V188" s="109"/>
      <c r="W188" s="108"/>
      <c r="X188" s="108"/>
      <c r="Y188" s="91"/>
      <c r="Z188" s="186" t="e">
        <f t="array" ref="Z188">IF(E188="","",SUMPRODUCT(T188:V188,TRANSPOSE($V$4:$V$6)))</f>
        <v>#REF!</v>
      </c>
      <c r="AA188" s="109"/>
      <c r="AB188" s="91"/>
      <c r="AC188" s="91"/>
      <c r="AD188" s="91"/>
      <c r="AE188" s="91"/>
      <c r="AF188" s="91"/>
      <c r="AG188" s="91"/>
      <c r="AH188" s="91"/>
      <c r="AI188" s="112"/>
      <c r="AJ188" s="109"/>
      <c r="AK188" s="91"/>
      <c r="AL188" s="91"/>
      <c r="AM188" s="91"/>
      <c r="AN188" s="91"/>
      <c r="AO188" s="91"/>
      <c r="AP188" s="91"/>
      <c r="AQ188" s="91"/>
      <c r="AR188" s="91"/>
      <c r="AS188" s="91"/>
      <c r="AT188" s="91"/>
      <c r="AU188" s="110"/>
      <c r="AV188" s="85" t="e">
        <f t="shared" si="6"/>
        <v>#REF!</v>
      </c>
      <c r="AW188" s="85" t="e">
        <f t="shared" si="6"/>
        <v>#REF!</v>
      </c>
      <c r="AX188" s="85" t="e">
        <f t="shared" si="6"/>
        <v>#REF!</v>
      </c>
      <c r="BB188" s="85" t="s">
        <v>250</v>
      </c>
    </row>
    <row r="189" spans="1:54" ht="15.75" x14ac:dyDescent="0.2">
      <c r="A189" s="111" t="e">
        <f t="shared" si="8"/>
        <v>#REF!</v>
      </c>
      <c r="B189" s="88" t="e">
        <f>IF(OR(#REF!="",#REF!=0,#REF!=#REF!),"",#REF!)</f>
        <v>#REF!</v>
      </c>
      <c r="C189" s="107" t="e">
        <f t="shared" si="7"/>
        <v>#REF!</v>
      </c>
      <c r="D189" s="88" t="e">
        <f>IF(OR(#REF!="",#REF!=0,#REF!=#REF!),"",#REF!)</f>
        <v>#REF!</v>
      </c>
      <c r="E189" s="88" t="e">
        <f>IF($D189="","",#REF!)</f>
        <v>#REF!</v>
      </c>
      <c r="F189" s="91"/>
      <c r="G189" s="91"/>
      <c r="H189" s="91"/>
      <c r="I189" s="91"/>
      <c r="J189" s="91"/>
      <c r="K189" s="91"/>
      <c r="L189" s="91"/>
      <c r="M189" s="91"/>
      <c r="N189" s="91"/>
      <c r="O189" s="91"/>
      <c r="P189" s="91"/>
      <c r="Q189" s="91"/>
      <c r="R189" s="91"/>
      <c r="S189" s="91"/>
      <c r="T189" s="109"/>
      <c r="U189" s="109"/>
      <c r="V189" s="109"/>
      <c r="W189" s="108"/>
      <c r="X189" s="108"/>
      <c r="Y189" s="91"/>
      <c r="Z189" s="186" t="e">
        <f t="array" ref="Z189">IF(E189="","",SUMPRODUCT(T189:V189,TRANSPOSE($V$4:$V$6)))</f>
        <v>#REF!</v>
      </c>
      <c r="AA189" s="109"/>
      <c r="AB189" s="91"/>
      <c r="AC189" s="91"/>
      <c r="AD189" s="91"/>
      <c r="AE189" s="91"/>
      <c r="AF189" s="91"/>
      <c r="AG189" s="91"/>
      <c r="AH189" s="91"/>
      <c r="AI189" s="112"/>
      <c r="AJ189" s="109"/>
      <c r="AK189" s="91"/>
      <c r="AL189" s="91"/>
      <c r="AM189" s="91"/>
      <c r="AN189" s="91"/>
      <c r="AO189" s="91"/>
      <c r="AP189" s="91"/>
      <c r="AQ189" s="91"/>
      <c r="AR189" s="91"/>
      <c r="AS189" s="91"/>
      <c r="AT189" s="91"/>
      <c r="AU189" s="110"/>
      <c r="AV189" s="85" t="e">
        <f t="shared" si="6"/>
        <v>#REF!</v>
      </c>
      <c r="AW189" s="85" t="e">
        <f t="shared" si="6"/>
        <v>#REF!</v>
      </c>
      <c r="AX189" s="85" t="e">
        <f t="shared" si="6"/>
        <v>#REF!</v>
      </c>
      <c r="BB189" s="85" t="s">
        <v>250</v>
      </c>
    </row>
    <row r="190" spans="1:54" ht="15.75" x14ac:dyDescent="0.2">
      <c r="A190" s="111" t="e">
        <f t="shared" si="8"/>
        <v>#REF!</v>
      </c>
      <c r="B190" s="88" t="e">
        <f>IF(OR(#REF!="",#REF!=0,#REF!=#REF!),"",#REF!)</f>
        <v>#REF!</v>
      </c>
      <c r="C190" s="107" t="e">
        <f t="shared" si="7"/>
        <v>#REF!</v>
      </c>
      <c r="D190" s="88" t="e">
        <f>IF(OR(#REF!="",#REF!=0,#REF!=#REF!),"",#REF!)</f>
        <v>#REF!</v>
      </c>
      <c r="E190" s="88" t="e">
        <f>IF($D190="","",#REF!)</f>
        <v>#REF!</v>
      </c>
      <c r="F190" s="91"/>
      <c r="G190" s="91"/>
      <c r="H190" s="91"/>
      <c r="I190" s="91"/>
      <c r="J190" s="91"/>
      <c r="K190" s="91"/>
      <c r="L190" s="91"/>
      <c r="M190" s="91"/>
      <c r="N190" s="91"/>
      <c r="O190" s="91"/>
      <c r="P190" s="91"/>
      <c r="Q190" s="91"/>
      <c r="R190" s="91"/>
      <c r="S190" s="91"/>
      <c r="T190" s="109"/>
      <c r="U190" s="109"/>
      <c r="V190" s="109"/>
      <c r="W190" s="108"/>
      <c r="X190" s="108"/>
      <c r="Y190" s="91"/>
      <c r="Z190" s="186" t="e">
        <f t="array" ref="Z190">IF(E190="","",SUMPRODUCT(T190:V190,TRANSPOSE($V$4:$V$6)))</f>
        <v>#REF!</v>
      </c>
      <c r="AA190" s="109"/>
      <c r="AB190" s="91"/>
      <c r="AC190" s="91"/>
      <c r="AD190" s="91"/>
      <c r="AE190" s="91"/>
      <c r="AF190" s="91"/>
      <c r="AG190" s="91"/>
      <c r="AH190" s="91"/>
      <c r="AI190" s="96"/>
      <c r="AJ190" s="91"/>
      <c r="AK190" s="91"/>
      <c r="AL190" s="91"/>
      <c r="AM190" s="91"/>
      <c r="AN190" s="91"/>
      <c r="AO190" s="91"/>
      <c r="AP190" s="91"/>
      <c r="AQ190" s="91"/>
      <c r="AR190" s="91"/>
      <c r="AS190" s="91"/>
      <c r="AT190" s="91"/>
      <c r="AU190" s="110"/>
      <c r="AV190" s="85" t="e">
        <f t="shared" si="6"/>
        <v>#REF!</v>
      </c>
      <c r="AW190" s="85" t="e">
        <f t="shared" si="6"/>
        <v>#REF!</v>
      </c>
      <c r="AX190" s="85" t="e">
        <f t="shared" si="6"/>
        <v>#REF!</v>
      </c>
      <c r="BB190" s="85" t="s">
        <v>250</v>
      </c>
    </row>
    <row r="191" spans="1:54" ht="15.75" x14ac:dyDescent="0.2">
      <c r="A191" s="111" t="e">
        <f t="shared" si="8"/>
        <v>#REF!</v>
      </c>
      <c r="B191" s="88" t="e">
        <f>IF(OR(#REF!="",#REF!=0,#REF!=#REF!),"",#REF!)</f>
        <v>#REF!</v>
      </c>
      <c r="C191" s="107" t="e">
        <f t="shared" si="7"/>
        <v>#REF!</v>
      </c>
      <c r="D191" s="88" t="e">
        <f>IF(OR(#REF!="",#REF!=0,#REF!=#REF!),"",#REF!)</f>
        <v>#REF!</v>
      </c>
      <c r="E191" s="88" t="e">
        <f>IF($D191="","",#REF!)</f>
        <v>#REF!</v>
      </c>
      <c r="F191" s="91"/>
      <c r="G191" s="91"/>
      <c r="H191" s="91"/>
      <c r="I191" s="91"/>
      <c r="J191" s="91"/>
      <c r="K191" s="91"/>
      <c r="L191" s="91"/>
      <c r="M191" s="91"/>
      <c r="N191" s="91"/>
      <c r="O191" s="91"/>
      <c r="P191" s="91"/>
      <c r="Q191" s="91"/>
      <c r="R191" s="91"/>
      <c r="S191" s="91"/>
      <c r="T191" s="109"/>
      <c r="U191" s="109"/>
      <c r="V191" s="109"/>
      <c r="W191" s="108"/>
      <c r="X191" s="108"/>
      <c r="Y191" s="91"/>
      <c r="Z191" s="186" t="e">
        <f t="array" ref="Z191">IF(E191="","",SUMPRODUCT(T191:V191,TRANSPOSE($V$4:$V$6)))</f>
        <v>#REF!</v>
      </c>
      <c r="AA191" s="109"/>
      <c r="AB191" s="91"/>
      <c r="AC191" s="91"/>
      <c r="AD191" s="91"/>
      <c r="AE191" s="91"/>
      <c r="AF191" s="91"/>
      <c r="AG191" s="91"/>
      <c r="AH191" s="91"/>
      <c r="AI191" s="112"/>
      <c r="AJ191" s="109"/>
      <c r="AK191" s="91"/>
      <c r="AL191" s="91"/>
      <c r="AM191" s="91"/>
      <c r="AN191" s="91"/>
      <c r="AO191" s="91"/>
      <c r="AP191" s="91"/>
      <c r="AQ191" s="91"/>
      <c r="AR191" s="91"/>
      <c r="AS191" s="91"/>
      <c r="AT191" s="91"/>
      <c r="AU191" s="110"/>
      <c r="AV191" s="85" t="e">
        <f t="shared" ref="AV191:AX254" si="9">IF($E191="","",AV$18)</f>
        <v>#REF!</v>
      </c>
      <c r="AW191" s="85" t="e">
        <f t="shared" si="9"/>
        <v>#REF!</v>
      </c>
      <c r="AX191" s="85" t="e">
        <f t="shared" si="9"/>
        <v>#REF!</v>
      </c>
      <c r="BB191" s="85" t="s">
        <v>250</v>
      </c>
    </row>
    <row r="192" spans="1:54" ht="15.75" x14ac:dyDescent="0.2">
      <c r="A192" s="111" t="e">
        <f t="shared" si="8"/>
        <v>#REF!</v>
      </c>
      <c r="B192" s="88" t="e">
        <f>IF(OR(#REF!="",#REF!=0,#REF!=#REF!),"",#REF!)</f>
        <v>#REF!</v>
      </c>
      <c r="C192" s="107" t="e">
        <f t="shared" si="7"/>
        <v>#REF!</v>
      </c>
      <c r="D192" s="88" t="e">
        <f>IF(OR(#REF!="",#REF!=0,#REF!=#REF!),"",#REF!)</f>
        <v>#REF!</v>
      </c>
      <c r="E192" s="88" t="e">
        <f>IF($D192="","",#REF!)</f>
        <v>#REF!</v>
      </c>
      <c r="F192" s="91"/>
      <c r="G192" s="91"/>
      <c r="H192" s="91"/>
      <c r="I192" s="91"/>
      <c r="J192" s="91"/>
      <c r="K192" s="91"/>
      <c r="L192" s="91"/>
      <c r="M192" s="91"/>
      <c r="N192" s="91"/>
      <c r="O192" s="91"/>
      <c r="P192" s="91"/>
      <c r="Q192" s="91"/>
      <c r="R192" s="91"/>
      <c r="S192" s="91"/>
      <c r="T192" s="109"/>
      <c r="U192" s="109"/>
      <c r="V192" s="109"/>
      <c r="W192" s="108"/>
      <c r="X192" s="108"/>
      <c r="Y192" s="91"/>
      <c r="Z192" s="186" t="e">
        <f t="array" ref="Z192">IF(E192="","",SUMPRODUCT(T192:V192,TRANSPOSE($V$4:$V$6)))</f>
        <v>#REF!</v>
      </c>
      <c r="AA192" s="109"/>
      <c r="AB192" s="91"/>
      <c r="AC192" s="91"/>
      <c r="AD192" s="91"/>
      <c r="AE192" s="91"/>
      <c r="AF192" s="91"/>
      <c r="AG192" s="91"/>
      <c r="AH192" s="91"/>
      <c r="AI192" s="112"/>
      <c r="AJ192" s="109"/>
      <c r="AK192" s="91"/>
      <c r="AL192" s="91"/>
      <c r="AM192" s="91"/>
      <c r="AN192" s="91"/>
      <c r="AO192" s="91"/>
      <c r="AP192" s="91"/>
      <c r="AQ192" s="91"/>
      <c r="AR192" s="91"/>
      <c r="AS192" s="91"/>
      <c r="AT192" s="91"/>
      <c r="AU192" s="110"/>
      <c r="AV192" s="85" t="e">
        <f t="shared" si="9"/>
        <v>#REF!</v>
      </c>
      <c r="AW192" s="85" t="e">
        <f t="shared" si="9"/>
        <v>#REF!</v>
      </c>
      <c r="AX192" s="85" t="e">
        <f t="shared" si="9"/>
        <v>#REF!</v>
      </c>
      <c r="BB192" s="85" t="s">
        <v>250</v>
      </c>
    </row>
    <row r="193" spans="1:54" ht="15.75" x14ac:dyDescent="0.2">
      <c r="A193" s="111" t="e">
        <f t="shared" si="8"/>
        <v>#REF!</v>
      </c>
      <c r="B193" s="88" t="e">
        <f>IF(OR(#REF!="",#REF!=0,#REF!=#REF!),"",#REF!)</f>
        <v>#REF!</v>
      </c>
      <c r="C193" s="107" t="e">
        <f t="shared" si="7"/>
        <v>#REF!</v>
      </c>
      <c r="D193" s="88" t="e">
        <f>IF(OR(#REF!="",#REF!=0,#REF!=#REF!),"",#REF!)</f>
        <v>#REF!</v>
      </c>
      <c r="E193" s="88" t="e">
        <f>IF($D193="","",#REF!)</f>
        <v>#REF!</v>
      </c>
      <c r="F193" s="91"/>
      <c r="G193" s="91"/>
      <c r="H193" s="91"/>
      <c r="I193" s="91"/>
      <c r="J193" s="91"/>
      <c r="K193" s="91"/>
      <c r="L193" s="91"/>
      <c r="M193" s="91"/>
      <c r="N193" s="91"/>
      <c r="O193" s="91"/>
      <c r="P193" s="91"/>
      <c r="Q193" s="91"/>
      <c r="R193" s="91"/>
      <c r="S193" s="91"/>
      <c r="T193" s="109"/>
      <c r="U193" s="109"/>
      <c r="V193" s="109"/>
      <c r="W193" s="108"/>
      <c r="X193" s="108"/>
      <c r="Y193" s="91"/>
      <c r="Z193" s="186" t="e">
        <f t="array" ref="Z193">IF(E193="","",SUMPRODUCT(T193:V193,TRANSPOSE($V$4:$V$6)))</f>
        <v>#REF!</v>
      </c>
      <c r="AA193" s="109"/>
      <c r="AB193" s="91"/>
      <c r="AC193" s="91"/>
      <c r="AD193" s="91"/>
      <c r="AE193" s="91"/>
      <c r="AF193" s="91"/>
      <c r="AG193" s="91"/>
      <c r="AH193" s="91"/>
      <c r="AI193" s="96"/>
      <c r="AJ193" s="91"/>
      <c r="AK193" s="91"/>
      <c r="AL193" s="91"/>
      <c r="AM193" s="91"/>
      <c r="AN193" s="91"/>
      <c r="AO193" s="91"/>
      <c r="AP193" s="91"/>
      <c r="AQ193" s="91"/>
      <c r="AR193" s="91"/>
      <c r="AS193" s="91"/>
      <c r="AT193" s="91"/>
      <c r="AU193" s="110"/>
      <c r="AV193" s="85" t="e">
        <f t="shared" si="9"/>
        <v>#REF!</v>
      </c>
      <c r="AW193" s="85" t="e">
        <f t="shared" si="9"/>
        <v>#REF!</v>
      </c>
      <c r="AX193" s="85" t="e">
        <f t="shared" si="9"/>
        <v>#REF!</v>
      </c>
      <c r="BB193" s="85" t="s">
        <v>250</v>
      </c>
    </row>
    <row r="194" spans="1:54" ht="15.75" x14ac:dyDescent="0.2">
      <c r="A194" s="111" t="e">
        <f t="shared" si="8"/>
        <v>#REF!</v>
      </c>
      <c r="B194" s="88" t="e">
        <f>IF(OR(#REF!="",#REF!=0,#REF!=#REF!),"",#REF!)</f>
        <v>#REF!</v>
      </c>
      <c r="C194" s="107" t="e">
        <f t="shared" si="7"/>
        <v>#REF!</v>
      </c>
      <c r="D194" s="88" t="e">
        <f>IF(OR(#REF!="",#REF!=0,#REF!=#REF!),"",#REF!)</f>
        <v>#REF!</v>
      </c>
      <c r="E194" s="88" t="e">
        <f>IF($D194="","",#REF!)</f>
        <v>#REF!</v>
      </c>
      <c r="F194" s="91"/>
      <c r="G194" s="91"/>
      <c r="H194" s="91"/>
      <c r="I194" s="91"/>
      <c r="J194" s="91"/>
      <c r="K194" s="91"/>
      <c r="L194" s="91"/>
      <c r="M194" s="91"/>
      <c r="N194" s="91"/>
      <c r="O194" s="91"/>
      <c r="P194" s="91"/>
      <c r="Q194" s="91"/>
      <c r="R194" s="91"/>
      <c r="S194" s="91"/>
      <c r="T194" s="109"/>
      <c r="U194" s="109"/>
      <c r="V194" s="109"/>
      <c r="W194" s="108"/>
      <c r="X194" s="108"/>
      <c r="Y194" s="91"/>
      <c r="Z194" s="186" t="e">
        <f t="array" ref="Z194">IF(E194="","",SUMPRODUCT(T194:V194,TRANSPOSE($V$4:$V$6)))</f>
        <v>#REF!</v>
      </c>
      <c r="AA194" s="109"/>
      <c r="AB194" s="91"/>
      <c r="AC194" s="91"/>
      <c r="AD194" s="91"/>
      <c r="AE194" s="91"/>
      <c r="AF194" s="91"/>
      <c r="AG194" s="91"/>
      <c r="AH194" s="91"/>
      <c r="AI194" s="96"/>
      <c r="AJ194" s="91"/>
      <c r="AK194" s="91"/>
      <c r="AL194" s="91"/>
      <c r="AM194" s="91"/>
      <c r="AN194" s="91"/>
      <c r="AO194" s="91"/>
      <c r="AP194" s="91"/>
      <c r="AQ194" s="91"/>
      <c r="AR194" s="91"/>
      <c r="AS194" s="91"/>
      <c r="AT194" s="91"/>
      <c r="AU194" s="110"/>
      <c r="AV194" s="85" t="e">
        <f t="shared" si="9"/>
        <v>#REF!</v>
      </c>
      <c r="AW194" s="85" t="e">
        <f t="shared" si="9"/>
        <v>#REF!</v>
      </c>
      <c r="AX194" s="85" t="e">
        <f t="shared" si="9"/>
        <v>#REF!</v>
      </c>
      <c r="BB194" s="85" t="s">
        <v>250</v>
      </c>
    </row>
    <row r="195" spans="1:54" ht="15.75" x14ac:dyDescent="0.2">
      <c r="A195" s="111" t="e">
        <f t="shared" si="8"/>
        <v>#REF!</v>
      </c>
      <c r="B195" s="88" t="e">
        <f>IF(OR(#REF!="",#REF!=0,#REF!=#REF!),"",#REF!)</f>
        <v>#REF!</v>
      </c>
      <c r="C195" s="107" t="e">
        <f t="shared" si="7"/>
        <v>#REF!</v>
      </c>
      <c r="D195" s="88" t="e">
        <f>IF(OR(#REF!="",#REF!=0,#REF!=#REF!),"",#REF!)</f>
        <v>#REF!</v>
      </c>
      <c r="E195" s="88" t="e">
        <f>IF($D195="","",#REF!)</f>
        <v>#REF!</v>
      </c>
      <c r="F195" s="91"/>
      <c r="G195" s="91"/>
      <c r="H195" s="91"/>
      <c r="I195" s="91"/>
      <c r="J195" s="91"/>
      <c r="K195" s="91"/>
      <c r="L195" s="91"/>
      <c r="M195" s="91"/>
      <c r="N195" s="91"/>
      <c r="O195" s="91"/>
      <c r="P195" s="91"/>
      <c r="Q195" s="91"/>
      <c r="R195" s="91"/>
      <c r="S195" s="91"/>
      <c r="T195" s="109"/>
      <c r="U195" s="109"/>
      <c r="V195" s="109"/>
      <c r="W195" s="91"/>
      <c r="X195" s="91"/>
      <c r="Y195" s="91"/>
      <c r="Z195" s="186" t="e">
        <f t="array" ref="Z195">IF(E195="","",SUMPRODUCT(T195:V195,TRANSPOSE($V$4:$V$6)))</f>
        <v>#REF!</v>
      </c>
      <c r="AA195" s="109"/>
      <c r="AB195" s="91"/>
      <c r="AC195" s="91"/>
      <c r="AD195" s="91"/>
      <c r="AE195" s="91"/>
      <c r="AF195" s="91"/>
      <c r="AG195" s="91"/>
      <c r="AH195" s="91"/>
      <c r="AI195" s="96"/>
      <c r="AJ195" s="91"/>
      <c r="AK195" s="91"/>
      <c r="AL195" s="91"/>
      <c r="AM195" s="91"/>
      <c r="AN195" s="91"/>
      <c r="AO195" s="91"/>
      <c r="AP195" s="91"/>
      <c r="AQ195" s="91"/>
      <c r="AR195" s="91"/>
      <c r="AS195" s="91"/>
      <c r="AT195" s="91"/>
      <c r="AU195" s="110"/>
      <c r="AV195" s="85" t="e">
        <f t="shared" si="9"/>
        <v>#REF!</v>
      </c>
      <c r="AW195" s="85" t="e">
        <f t="shared" si="9"/>
        <v>#REF!</v>
      </c>
      <c r="AX195" s="85" t="e">
        <f t="shared" si="9"/>
        <v>#REF!</v>
      </c>
      <c r="BB195" s="85" t="s">
        <v>250</v>
      </c>
    </row>
    <row r="196" spans="1:54" ht="15.75" x14ac:dyDescent="0.2">
      <c r="A196" s="111" t="e">
        <f t="shared" si="8"/>
        <v>#REF!</v>
      </c>
      <c r="B196" s="88" t="e">
        <f>IF(OR(#REF!="",#REF!=0,#REF!=#REF!),"",#REF!)</f>
        <v>#REF!</v>
      </c>
      <c r="C196" s="107" t="e">
        <f t="shared" si="7"/>
        <v>#REF!</v>
      </c>
      <c r="D196" s="88" t="e">
        <f>IF(OR(#REF!="",#REF!=0,#REF!=#REF!),"",#REF!)</f>
        <v>#REF!</v>
      </c>
      <c r="E196" s="88" t="e">
        <f>IF($D196="","",#REF!)</f>
        <v>#REF!</v>
      </c>
      <c r="F196" s="91"/>
      <c r="G196" s="91"/>
      <c r="H196" s="91"/>
      <c r="I196" s="91"/>
      <c r="J196" s="91"/>
      <c r="K196" s="91"/>
      <c r="L196" s="91"/>
      <c r="M196" s="91"/>
      <c r="N196" s="91"/>
      <c r="O196" s="91"/>
      <c r="P196" s="91"/>
      <c r="Q196" s="91"/>
      <c r="R196" s="91"/>
      <c r="S196" s="91"/>
      <c r="T196" s="109"/>
      <c r="U196" s="109"/>
      <c r="V196" s="109"/>
      <c r="W196" s="108"/>
      <c r="X196" s="108"/>
      <c r="Y196" s="91"/>
      <c r="Z196" s="186" t="e">
        <f t="array" ref="Z196">IF(E196="","",SUMPRODUCT(T196:V196,TRANSPOSE($V$4:$V$6)))</f>
        <v>#REF!</v>
      </c>
      <c r="AA196" s="109"/>
      <c r="AB196" s="91"/>
      <c r="AC196" s="91"/>
      <c r="AD196" s="91"/>
      <c r="AE196" s="91"/>
      <c r="AF196" s="91"/>
      <c r="AG196" s="91"/>
      <c r="AH196" s="91"/>
      <c r="AI196" s="96"/>
      <c r="AJ196" s="91"/>
      <c r="AK196" s="91"/>
      <c r="AL196" s="91"/>
      <c r="AM196" s="91"/>
      <c r="AN196" s="91"/>
      <c r="AO196" s="91"/>
      <c r="AP196" s="91"/>
      <c r="AQ196" s="91"/>
      <c r="AR196" s="91"/>
      <c r="AS196" s="91"/>
      <c r="AT196" s="91"/>
      <c r="AU196" s="110"/>
      <c r="AV196" s="85" t="e">
        <f t="shared" si="9"/>
        <v>#REF!</v>
      </c>
      <c r="AW196" s="85" t="e">
        <f t="shared" si="9"/>
        <v>#REF!</v>
      </c>
      <c r="AX196" s="85" t="e">
        <f t="shared" si="9"/>
        <v>#REF!</v>
      </c>
      <c r="BB196" s="85" t="s">
        <v>250</v>
      </c>
    </row>
    <row r="197" spans="1:54" ht="15.75" x14ac:dyDescent="0.2">
      <c r="A197" s="111" t="e">
        <f t="shared" si="8"/>
        <v>#REF!</v>
      </c>
      <c r="B197" s="88" t="e">
        <f>IF(OR(#REF!="",#REF!=0,#REF!=#REF!),"",#REF!)</f>
        <v>#REF!</v>
      </c>
      <c r="C197" s="107" t="e">
        <f t="shared" si="7"/>
        <v>#REF!</v>
      </c>
      <c r="D197" s="88" t="e">
        <f>IF(OR(#REF!="",#REF!=0,#REF!=#REF!),"",#REF!)</f>
        <v>#REF!</v>
      </c>
      <c r="E197" s="88" t="e">
        <f>IF($D197="","",#REF!)</f>
        <v>#REF!</v>
      </c>
      <c r="F197" s="91"/>
      <c r="G197" s="91"/>
      <c r="H197" s="91"/>
      <c r="I197" s="91"/>
      <c r="J197" s="91"/>
      <c r="K197" s="91"/>
      <c r="L197" s="91"/>
      <c r="M197" s="91"/>
      <c r="N197" s="91"/>
      <c r="O197" s="91"/>
      <c r="P197" s="91"/>
      <c r="Q197" s="91"/>
      <c r="R197" s="91"/>
      <c r="S197" s="91"/>
      <c r="T197" s="109"/>
      <c r="U197" s="109"/>
      <c r="V197" s="109"/>
      <c r="W197" s="91"/>
      <c r="X197" s="91"/>
      <c r="Y197" s="91"/>
      <c r="Z197" s="186" t="e">
        <f t="array" ref="Z197">IF(E197="","",SUMPRODUCT(T197:V197,TRANSPOSE($V$4:$V$6)))</f>
        <v>#REF!</v>
      </c>
      <c r="AA197" s="109"/>
      <c r="AB197" s="91"/>
      <c r="AC197" s="91"/>
      <c r="AD197" s="91"/>
      <c r="AE197" s="91"/>
      <c r="AF197" s="91"/>
      <c r="AG197" s="91"/>
      <c r="AH197" s="91"/>
      <c r="AI197" s="96"/>
      <c r="AJ197" s="91"/>
      <c r="AK197" s="91"/>
      <c r="AL197" s="91"/>
      <c r="AM197" s="91"/>
      <c r="AN197" s="91"/>
      <c r="AO197" s="91"/>
      <c r="AP197" s="91"/>
      <c r="AQ197" s="91"/>
      <c r="AR197" s="91"/>
      <c r="AS197" s="91"/>
      <c r="AT197" s="91"/>
      <c r="AU197" s="110"/>
      <c r="AV197" s="85" t="e">
        <f t="shared" si="9"/>
        <v>#REF!</v>
      </c>
      <c r="AW197" s="85" t="e">
        <f t="shared" si="9"/>
        <v>#REF!</v>
      </c>
      <c r="AX197" s="85" t="e">
        <f t="shared" si="9"/>
        <v>#REF!</v>
      </c>
      <c r="BB197" s="85" t="s">
        <v>250</v>
      </c>
    </row>
    <row r="198" spans="1:54" ht="15.75" x14ac:dyDescent="0.2">
      <c r="A198" s="111" t="e">
        <f t="shared" si="8"/>
        <v>#REF!</v>
      </c>
      <c r="B198" s="88" t="e">
        <f>IF(OR(#REF!="",#REF!=0,#REF!=#REF!),"",#REF!)</f>
        <v>#REF!</v>
      </c>
      <c r="C198" s="107" t="e">
        <f t="shared" si="7"/>
        <v>#REF!</v>
      </c>
      <c r="D198" s="88" t="e">
        <f>IF(OR(#REF!="",#REF!=0,#REF!=#REF!),"",#REF!)</f>
        <v>#REF!</v>
      </c>
      <c r="E198" s="88" t="e">
        <f>IF($D198="","",#REF!)</f>
        <v>#REF!</v>
      </c>
      <c r="F198" s="91"/>
      <c r="G198" s="91"/>
      <c r="H198" s="91"/>
      <c r="I198" s="91"/>
      <c r="J198" s="91"/>
      <c r="K198" s="91"/>
      <c r="L198" s="91"/>
      <c r="M198" s="91"/>
      <c r="N198" s="91"/>
      <c r="O198" s="91"/>
      <c r="P198" s="91"/>
      <c r="Q198" s="91"/>
      <c r="R198" s="91"/>
      <c r="S198" s="91"/>
      <c r="T198" s="109"/>
      <c r="U198" s="109"/>
      <c r="V198" s="109"/>
      <c r="W198" s="108"/>
      <c r="X198" s="108"/>
      <c r="Y198" s="91"/>
      <c r="Z198" s="186" t="e">
        <f t="array" ref="Z198">IF(E198="","",SUMPRODUCT(T198:V198,TRANSPOSE($V$4:$V$6)))</f>
        <v>#REF!</v>
      </c>
      <c r="AA198" s="109"/>
      <c r="AB198" s="91"/>
      <c r="AC198" s="91"/>
      <c r="AD198" s="91"/>
      <c r="AE198" s="91"/>
      <c r="AF198" s="91"/>
      <c r="AG198" s="91"/>
      <c r="AH198" s="91"/>
      <c r="AI198" s="96"/>
      <c r="AJ198" s="91"/>
      <c r="AK198" s="91"/>
      <c r="AL198" s="91"/>
      <c r="AM198" s="91"/>
      <c r="AN198" s="91"/>
      <c r="AO198" s="91"/>
      <c r="AP198" s="91"/>
      <c r="AQ198" s="91"/>
      <c r="AR198" s="91"/>
      <c r="AS198" s="91"/>
      <c r="AT198" s="91"/>
      <c r="AU198" s="110"/>
      <c r="AV198" s="85" t="e">
        <f t="shared" si="9"/>
        <v>#REF!</v>
      </c>
      <c r="AW198" s="85" t="e">
        <f t="shared" si="9"/>
        <v>#REF!</v>
      </c>
      <c r="AX198" s="85" t="e">
        <f t="shared" si="9"/>
        <v>#REF!</v>
      </c>
      <c r="BB198" s="85" t="s">
        <v>250</v>
      </c>
    </row>
    <row r="199" spans="1:54" ht="15.75" x14ac:dyDescent="0.2">
      <c r="A199" s="111" t="e">
        <f t="shared" si="8"/>
        <v>#REF!</v>
      </c>
      <c r="B199" s="88" t="e">
        <f>IF(OR(#REF!="",#REF!=0,#REF!=#REF!),"",#REF!)</f>
        <v>#REF!</v>
      </c>
      <c r="C199" s="107" t="e">
        <f t="shared" si="7"/>
        <v>#REF!</v>
      </c>
      <c r="D199" s="88" t="e">
        <f>IF(OR(#REF!="",#REF!=0,#REF!=#REF!),"",#REF!)</f>
        <v>#REF!</v>
      </c>
      <c r="E199" s="88" t="e">
        <f>IF($D199="","",#REF!)</f>
        <v>#REF!</v>
      </c>
      <c r="F199" s="91"/>
      <c r="G199" s="91"/>
      <c r="H199" s="91"/>
      <c r="I199" s="91"/>
      <c r="J199" s="91"/>
      <c r="K199" s="91"/>
      <c r="L199" s="91"/>
      <c r="M199" s="91"/>
      <c r="N199" s="91"/>
      <c r="O199" s="91"/>
      <c r="P199" s="91"/>
      <c r="Q199" s="91"/>
      <c r="R199" s="91"/>
      <c r="S199" s="91"/>
      <c r="T199" s="109"/>
      <c r="U199" s="109"/>
      <c r="V199" s="109"/>
      <c r="W199" s="91"/>
      <c r="X199" s="91"/>
      <c r="Y199" s="91"/>
      <c r="Z199" s="186" t="e">
        <f t="array" ref="Z199">IF(E199="","",SUMPRODUCT(T199:V199,TRANSPOSE($V$4:$V$6)))</f>
        <v>#REF!</v>
      </c>
      <c r="AA199" s="109"/>
      <c r="AB199" s="91"/>
      <c r="AC199" s="91"/>
      <c r="AD199" s="91"/>
      <c r="AE199" s="91"/>
      <c r="AF199" s="91"/>
      <c r="AG199" s="91"/>
      <c r="AH199" s="91"/>
      <c r="AI199" s="96"/>
      <c r="AJ199" s="91"/>
      <c r="AK199" s="91"/>
      <c r="AL199" s="91"/>
      <c r="AM199" s="91"/>
      <c r="AN199" s="91"/>
      <c r="AO199" s="91"/>
      <c r="AP199" s="91"/>
      <c r="AQ199" s="91"/>
      <c r="AR199" s="91"/>
      <c r="AS199" s="91"/>
      <c r="AT199" s="91"/>
      <c r="AU199" s="110"/>
      <c r="AV199" s="85" t="e">
        <f t="shared" si="9"/>
        <v>#REF!</v>
      </c>
      <c r="AW199" s="85" t="e">
        <f t="shared" si="9"/>
        <v>#REF!</v>
      </c>
      <c r="AX199" s="85" t="e">
        <f t="shared" si="9"/>
        <v>#REF!</v>
      </c>
      <c r="BB199" s="85" t="s">
        <v>250</v>
      </c>
    </row>
    <row r="200" spans="1:54" ht="15.75" x14ac:dyDescent="0.2">
      <c r="A200" s="111" t="e">
        <f t="shared" si="8"/>
        <v>#REF!</v>
      </c>
      <c r="B200" s="88" t="e">
        <f>IF(OR(#REF!="",#REF!=0,#REF!=#REF!),"",#REF!)</f>
        <v>#REF!</v>
      </c>
      <c r="C200" s="107" t="e">
        <f t="shared" si="7"/>
        <v>#REF!</v>
      </c>
      <c r="D200" s="88" t="e">
        <f>IF(OR(#REF!="",#REF!=0,#REF!=#REF!),"",#REF!)</f>
        <v>#REF!</v>
      </c>
      <c r="E200" s="88" t="e">
        <f>IF($D200="","",#REF!)</f>
        <v>#REF!</v>
      </c>
      <c r="F200" s="91"/>
      <c r="G200" s="91"/>
      <c r="H200" s="91"/>
      <c r="I200" s="91"/>
      <c r="J200" s="91"/>
      <c r="K200" s="91"/>
      <c r="L200" s="91"/>
      <c r="M200" s="91"/>
      <c r="N200" s="91"/>
      <c r="O200" s="91"/>
      <c r="P200" s="91"/>
      <c r="Q200" s="91"/>
      <c r="R200" s="91"/>
      <c r="S200" s="91"/>
      <c r="T200" s="109"/>
      <c r="U200" s="109"/>
      <c r="V200" s="109"/>
      <c r="W200" s="108"/>
      <c r="X200" s="108"/>
      <c r="Y200" s="91"/>
      <c r="Z200" s="186" t="e">
        <f t="array" ref="Z200">IF(E200="","",SUMPRODUCT(T200:V200,TRANSPOSE($V$4:$V$6)))</f>
        <v>#REF!</v>
      </c>
      <c r="AA200" s="109"/>
      <c r="AB200" s="91"/>
      <c r="AC200" s="91"/>
      <c r="AD200" s="91"/>
      <c r="AE200" s="91"/>
      <c r="AF200" s="91"/>
      <c r="AG200" s="91"/>
      <c r="AH200" s="91"/>
      <c r="AI200" s="112"/>
      <c r="AJ200" s="91"/>
      <c r="AK200" s="91"/>
      <c r="AL200" s="91"/>
      <c r="AM200" s="91"/>
      <c r="AN200" s="91"/>
      <c r="AO200" s="91"/>
      <c r="AP200" s="91"/>
      <c r="AQ200" s="91"/>
      <c r="AR200" s="91"/>
      <c r="AS200" s="91"/>
      <c r="AT200" s="91"/>
      <c r="AU200" s="110"/>
      <c r="AV200" s="85" t="e">
        <f t="shared" si="9"/>
        <v>#REF!</v>
      </c>
      <c r="AW200" s="85" t="e">
        <f t="shared" si="9"/>
        <v>#REF!</v>
      </c>
      <c r="AX200" s="85" t="e">
        <f t="shared" si="9"/>
        <v>#REF!</v>
      </c>
      <c r="BB200" s="85" t="s">
        <v>250</v>
      </c>
    </row>
    <row r="201" spans="1:54" ht="15.75" x14ac:dyDescent="0.2">
      <c r="A201" s="111" t="e">
        <f t="shared" si="8"/>
        <v>#REF!</v>
      </c>
      <c r="B201" s="88" t="e">
        <f>IF(OR(#REF!="",#REF!=0,#REF!=#REF!),"",#REF!)</f>
        <v>#REF!</v>
      </c>
      <c r="C201" s="107" t="e">
        <f t="shared" si="7"/>
        <v>#REF!</v>
      </c>
      <c r="D201" s="88" t="e">
        <f>IF(OR(#REF!="",#REF!=0,#REF!=#REF!),"",#REF!)</f>
        <v>#REF!</v>
      </c>
      <c r="E201" s="88" t="e">
        <f>IF($D201="","",#REF!)</f>
        <v>#REF!</v>
      </c>
      <c r="F201" s="91"/>
      <c r="G201" s="91"/>
      <c r="H201" s="91"/>
      <c r="I201" s="91"/>
      <c r="J201" s="91"/>
      <c r="K201" s="91"/>
      <c r="L201" s="91"/>
      <c r="M201" s="91"/>
      <c r="N201" s="91"/>
      <c r="O201" s="91"/>
      <c r="P201" s="91"/>
      <c r="Q201" s="91"/>
      <c r="R201" s="91"/>
      <c r="S201" s="91"/>
      <c r="T201" s="109"/>
      <c r="U201" s="109"/>
      <c r="V201" s="109"/>
      <c r="W201" s="108"/>
      <c r="X201" s="108"/>
      <c r="Y201" s="91"/>
      <c r="Z201" s="186" t="e">
        <f t="array" ref="Z201">IF(E201="","",SUMPRODUCT(T201:V201,TRANSPOSE($V$4:$V$6)))</f>
        <v>#REF!</v>
      </c>
      <c r="AA201" s="109"/>
      <c r="AB201" s="91"/>
      <c r="AC201" s="91"/>
      <c r="AD201" s="91"/>
      <c r="AE201" s="91"/>
      <c r="AF201" s="91"/>
      <c r="AG201" s="91"/>
      <c r="AH201" s="91"/>
      <c r="AI201" s="112"/>
      <c r="AJ201" s="109"/>
      <c r="AK201" s="91"/>
      <c r="AL201" s="91"/>
      <c r="AM201" s="91"/>
      <c r="AN201" s="91"/>
      <c r="AO201" s="91"/>
      <c r="AP201" s="91"/>
      <c r="AQ201" s="91"/>
      <c r="AR201" s="91"/>
      <c r="AS201" s="91"/>
      <c r="AT201" s="91"/>
      <c r="AU201" s="110"/>
      <c r="AV201" s="85" t="e">
        <f t="shared" si="9"/>
        <v>#REF!</v>
      </c>
      <c r="AW201" s="85" t="e">
        <f t="shared" si="9"/>
        <v>#REF!</v>
      </c>
      <c r="AX201" s="85" t="e">
        <f t="shared" si="9"/>
        <v>#REF!</v>
      </c>
      <c r="BB201" s="85" t="s">
        <v>250</v>
      </c>
    </row>
    <row r="202" spans="1:54" ht="15.75" x14ac:dyDescent="0.2">
      <c r="A202" s="111" t="e">
        <f t="shared" si="8"/>
        <v>#REF!</v>
      </c>
      <c r="B202" s="88" t="e">
        <f>IF(OR(#REF!="",#REF!=0,#REF!=#REF!),"",#REF!)</f>
        <v>#REF!</v>
      </c>
      <c r="C202" s="107" t="e">
        <f t="shared" si="7"/>
        <v>#REF!</v>
      </c>
      <c r="D202" s="88" t="e">
        <f>IF(OR(#REF!="",#REF!=0,#REF!=#REF!),"",#REF!)</f>
        <v>#REF!</v>
      </c>
      <c r="E202" s="88" t="e">
        <f>IF($D202="","",#REF!)</f>
        <v>#REF!</v>
      </c>
      <c r="F202" s="91"/>
      <c r="G202" s="91"/>
      <c r="H202" s="91"/>
      <c r="I202" s="91"/>
      <c r="J202" s="91"/>
      <c r="K202" s="91"/>
      <c r="L202" s="91"/>
      <c r="M202" s="91"/>
      <c r="N202" s="91"/>
      <c r="O202" s="91"/>
      <c r="P202" s="91"/>
      <c r="Q202" s="91"/>
      <c r="R202" s="91"/>
      <c r="S202" s="91"/>
      <c r="T202" s="109"/>
      <c r="U202" s="109"/>
      <c r="V202" s="109"/>
      <c r="W202" s="91"/>
      <c r="X202" s="91"/>
      <c r="Y202" s="91"/>
      <c r="Z202" s="186" t="e">
        <f t="array" ref="Z202">IF(E202="","",SUMPRODUCT(T202:V202,TRANSPOSE($V$4:$V$6)))</f>
        <v>#REF!</v>
      </c>
      <c r="AA202" s="109"/>
      <c r="AB202" s="91"/>
      <c r="AC202" s="91"/>
      <c r="AD202" s="91"/>
      <c r="AE202" s="91"/>
      <c r="AF202" s="91"/>
      <c r="AG202" s="91"/>
      <c r="AH202" s="91"/>
      <c r="AI202" s="96"/>
      <c r="AJ202" s="91"/>
      <c r="AK202" s="91"/>
      <c r="AL202" s="91"/>
      <c r="AM202" s="91"/>
      <c r="AN202" s="91"/>
      <c r="AO202" s="91"/>
      <c r="AP202" s="91"/>
      <c r="AQ202" s="91"/>
      <c r="AR202" s="91"/>
      <c r="AS202" s="91"/>
      <c r="AT202" s="91"/>
      <c r="AU202" s="110"/>
      <c r="AV202" s="85" t="e">
        <f t="shared" si="9"/>
        <v>#REF!</v>
      </c>
      <c r="AW202" s="85" t="e">
        <f t="shared" si="9"/>
        <v>#REF!</v>
      </c>
      <c r="AX202" s="85" t="e">
        <f t="shared" si="9"/>
        <v>#REF!</v>
      </c>
      <c r="BB202" s="85" t="s">
        <v>250</v>
      </c>
    </row>
    <row r="203" spans="1:54" ht="15.75" x14ac:dyDescent="0.2">
      <c r="A203" s="111" t="e">
        <f t="shared" si="8"/>
        <v>#REF!</v>
      </c>
      <c r="B203" s="88" t="e">
        <f>IF(OR(#REF!="",#REF!=0,#REF!=#REF!),"",#REF!)</f>
        <v>#REF!</v>
      </c>
      <c r="C203" s="107" t="e">
        <f t="shared" si="7"/>
        <v>#REF!</v>
      </c>
      <c r="D203" s="88" t="e">
        <f>IF(OR(#REF!="",#REF!=0,#REF!=#REF!),"",#REF!)</f>
        <v>#REF!</v>
      </c>
      <c r="E203" s="88" t="e">
        <f>IF($D203="","",#REF!)</f>
        <v>#REF!</v>
      </c>
      <c r="F203" s="91"/>
      <c r="G203" s="91"/>
      <c r="H203" s="91"/>
      <c r="I203" s="91"/>
      <c r="J203" s="91"/>
      <c r="K203" s="91"/>
      <c r="L203" s="91"/>
      <c r="M203" s="91"/>
      <c r="N203" s="91"/>
      <c r="O203" s="91"/>
      <c r="P203" s="91"/>
      <c r="Q203" s="91"/>
      <c r="R203" s="91"/>
      <c r="S203" s="91"/>
      <c r="T203" s="109"/>
      <c r="U203" s="109"/>
      <c r="V203" s="109"/>
      <c r="W203" s="108"/>
      <c r="X203" s="108"/>
      <c r="Y203" s="91"/>
      <c r="Z203" s="186" t="e">
        <f t="array" ref="Z203">IF(E203="","",SUMPRODUCT(T203:V203,TRANSPOSE($V$4:$V$6)))</f>
        <v>#REF!</v>
      </c>
      <c r="AA203" s="109"/>
      <c r="AB203" s="91"/>
      <c r="AC203" s="91"/>
      <c r="AD203" s="91"/>
      <c r="AE203" s="91"/>
      <c r="AF203" s="91"/>
      <c r="AG203" s="91"/>
      <c r="AH203" s="91"/>
      <c r="AI203" s="112"/>
      <c r="AJ203" s="109"/>
      <c r="AK203" s="91"/>
      <c r="AL203" s="91"/>
      <c r="AM203" s="91"/>
      <c r="AN203" s="91"/>
      <c r="AO203" s="91"/>
      <c r="AP203" s="91"/>
      <c r="AQ203" s="91"/>
      <c r="AR203" s="91"/>
      <c r="AS203" s="91"/>
      <c r="AT203" s="91"/>
      <c r="AU203" s="110"/>
      <c r="AV203" s="85" t="e">
        <f t="shared" si="9"/>
        <v>#REF!</v>
      </c>
      <c r="AW203" s="85" t="e">
        <f t="shared" si="9"/>
        <v>#REF!</v>
      </c>
      <c r="AX203" s="85" t="e">
        <f t="shared" si="9"/>
        <v>#REF!</v>
      </c>
      <c r="BB203" s="85" t="s">
        <v>250</v>
      </c>
    </row>
    <row r="204" spans="1:54" ht="15.75" x14ac:dyDescent="0.2">
      <c r="A204" s="111" t="e">
        <f t="shared" si="8"/>
        <v>#REF!</v>
      </c>
      <c r="B204" s="88" t="e">
        <f>IF(OR(#REF!="",#REF!=0,#REF!=#REF!),"",#REF!)</f>
        <v>#REF!</v>
      </c>
      <c r="C204" s="107" t="e">
        <f t="shared" si="7"/>
        <v>#REF!</v>
      </c>
      <c r="D204" s="88" t="e">
        <f>IF(OR(#REF!="",#REF!=0,#REF!=#REF!),"",#REF!)</f>
        <v>#REF!</v>
      </c>
      <c r="E204" s="88" t="e">
        <f>IF($D204="","",#REF!)</f>
        <v>#REF!</v>
      </c>
      <c r="F204" s="91"/>
      <c r="G204" s="91"/>
      <c r="H204" s="91"/>
      <c r="I204" s="91"/>
      <c r="J204" s="91"/>
      <c r="K204" s="91"/>
      <c r="L204" s="91"/>
      <c r="M204" s="91"/>
      <c r="N204" s="91"/>
      <c r="O204" s="91"/>
      <c r="P204" s="91"/>
      <c r="Q204" s="91"/>
      <c r="R204" s="91"/>
      <c r="S204" s="91"/>
      <c r="T204" s="109"/>
      <c r="U204" s="109"/>
      <c r="V204" s="109"/>
      <c r="W204" s="108"/>
      <c r="X204" s="108"/>
      <c r="Y204" s="91"/>
      <c r="Z204" s="186" t="e">
        <f t="array" ref="Z204">IF(E204="","",SUMPRODUCT(T204:V204,TRANSPOSE($V$4:$V$6)))</f>
        <v>#REF!</v>
      </c>
      <c r="AA204" s="109"/>
      <c r="AB204" s="91"/>
      <c r="AC204" s="91"/>
      <c r="AD204" s="91"/>
      <c r="AE204" s="91"/>
      <c r="AF204" s="91"/>
      <c r="AG204" s="91"/>
      <c r="AH204" s="91"/>
      <c r="AI204" s="96"/>
      <c r="AJ204" s="91"/>
      <c r="AK204" s="91"/>
      <c r="AL204" s="91"/>
      <c r="AM204" s="91"/>
      <c r="AN204" s="91"/>
      <c r="AO204" s="91"/>
      <c r="AP204" s="91"/>
      <c r="AQ204" s="91"/>
      <c r="AR204" s="91"/>
      <c r="AS204" s="91"/>
      <c r="AT204" s="91"/>
      <c r="AU204" s="110"/>
      <c r="AV204" s="85" t="e">
        <f t="shared" si="9"/>
        <v>#REF!</v>
      </c>
      <c r="AW204" s="85" t="e">
        <f t="shared" si="9"/>
        <v>#REF!</v>
      </c>
      <c r="AX204" s="85" t="e">
        <f t="shared" si="9"/>
        <v>#REF!</v>
      </c>
      <c r="BB204" s="85" t="s">
        <v>250</v>
      </c>
    </row>
    <row r="205" spans="1:54" ht="15.75" x14ac:dyDescent="0.2">
      <c r="A205" s="111" t="e">
        <f t="shared" si="8"/>
        <v>#REF!</v>
      </c>
      <c r="B205" s="88" t="e">
        <f>IF(OR(#REF!="",#REF!=0,#REF!=#REF!),"",#REF!)</f>
        <v>#REF!</v>
      </c>
      <c r="C205" s="107" t="e">
        <f t="shared" si="7"/>
        <v>#REF!</v>
      </c>
      <c r="D205" s="88" t="e">
        <f>IF(OR(#REF!="",#REF!=0,#REF!=#REF!),"",#REF!)</f>
        <v>#REF!</v>
      </c>
      <c r="E205" s="88" t="e">
        <f>IF($D205="","",#REF!)</f>
        <v>#REF!</v>
      </c>
      <c r="F205" s="91"/>
      <c r="G205" s="91"/>
      <c r="H205" s="91"/>
      <c r="I205" s="91"/>
      <c r="J205" s="91"/>
      <c r="K205" s="91"/>
      <c r="L205" s="91"/>
      <c r="M205" s="91"/>
      <c r="N205" s="91"/>
      <c r="O205" s="91"/>
      <c r="P205" s="91"/>
      <c r="Q205" s="91"/>
      <c r="R205" s="91"/>
      <c r="S205" s="91"/>
      <c r="T205" s="109"/>
      <c r="U205" s="109"/>
      <c r="V205" s="109"/>
      <c r="W205" s="108"/>
      <c r="X205" s="108"/>
      <c r="Y205" s="91"/>
      <c r="Z205" s="186" t="e">
        <f t="array" ref="Z205">IF(E205="","",SUMPRODUCT(T205:V205,TRANSPOSE($V$4:$V$6)))</f>
        <v>#REF!</v>
      </c>
      <c r="AA205" s="109"/>
      <c r="AB205" s="91"/>
      <c r="AC205" s="91"/>
      <c r="AD205" s="91"/>
      <c r="AE205" s="91"/>
      <c r="AF205" s="91"/>
      <c r="AG205" s="91"/>
      <c r="AH205" s="91"/>
      <c r="AI205" s="96"/>
      <c r="AJ205" s="91"/>
      <c r="AK205" s="91"/>
      <c r="AL205" s="91"/>
      <c r="AM205" s="91"/>
      <c r="AN205" s="91"/>
      <c r="AO205" s="91"/>
      <c r="AP205" s="91"/>
      <c r="AQ205" s="91"/>
      <c r="AR205" s="91"/>
      <c r="AS205" s="91"/>
      <c r="AT205" s="91"/>
      <c r="AU205" s="110"/>
      <c r="AV205" s="85" t="e">
        <f t="shared" si="9"/>
        <v>#REF!</v>
      </c>
      <c r="AW205" s="85" t="e">
        <f t="shared" si="9"/>
        <v>#REF!</v>
      </c>
      <c r="AX205" s="85" t="e">
        <f t="shared" si="9"/>
        <v>#REF!</v>
      </c>
      <c r="BB205" s="85" t="s">
        <v>250</v>
      </c>
    </row>
    <row r="206" spans="1:54" ht="15.75" x14ac:dyDescent="0.2">
      <c r="A206" s="111" t="e">
        <f t="shared" si="8"/>
        <v>#REF!</v>
      </c>
      <c r="B206" s="88" t="e">
        <f>IF(OR(#REF!="",#REF!=0,#REF!=#REF!),"",#REF!)</f>
        <v>#REF!</v>
      </c>
      <c r="C206" s="107" t="e">
        <f t="shared" si="7"/>
        <v>#REF!</v>
      </c>
      <c r="D206" s="88" t="e">
        <f>IF(OR(#REF!="",#REF!=0,#REF!=#REF!),"",#REF!)</f>
        <v>#REF!</v>
      </c>
      <c r="E206" s="88" t="e">
        <f>IF($D206="","",#REF!)</f>
        <v>#REF!</v>
      </c>
      <c r="F206" s="91"/>
      <c r="G206" s="91"/>
      <c r="H206" s="91"/>
      <c r="I206" s="91"/>
      <c r="J206" s="91"/>
      <c r="K206" s="91"/>
      <c r="L206" s="91"/>
      <c r="M206" s="91"/>
      <c r="N206" s="91"/>
      <c r="O206" s="91"/>
      <c r="P206" s="91"/>
      <c r="Q206" s="91"/>
      <c r="R206" s="91"/>
      <c r="S206" s="91"/>
      <c r="T206" s="109"/>
      <c r="U206" s="109"/>
      <c r="V206" s="109"/>
      <c r="W206" s="91"/>
      <c r="X206" s="91"/>
      <c r="Y206" s="91"/>
      <c r="Z206" s="186" t="e">
        <f t="array" ref="Z206">IF(E206="","",SUMPRODUCT(T206:V206,TRANSPOSE($V$4:$V$6)))</f>
        <v>#REF!</v>
      </c>
      <c r="AA206" s="109"/>
      <c r="AB206" s="91"/>
      <c r="AC206" s="91"/>
      <c r="AD206" s="91"/>
      <c r="AE206" s="91"/>
      <c r="AF206" s="91"/>
      <c r="AG206" s="91"/>
      <c r="AH206" s="91"/>
      <c r="AI206" s="96"/>
      <c r="AJ206" s="91"/>
      <c r="AK206" s="91"/>
      <c r="AL206" s="91"/>
      <c r="AM206" s="91"/>
      <c r="AN206" s="91"/>
      <c r="AO206" s="91"/>
      <c r="AP206" s="91"/>
      <c r="AQ206" s="91"/>
      <c r="AR206" s="91"/>
      <c r="AS206" s="91"/>
      <c r="AT206" s="91"/>
      <c r="AU206" s="110"/>
      <c r="AV206" s="85" t="e">
        <f t="shared" si="9"/>
        <v>#REF!</v>
      </c>
      <c r="AW206" s="85" t="e">
        <f t="shared" si="9"/>
        <v>#REF!</v>
      </c>
      <c r="AX206" s="85" t="e">
        <f t="shared" si="9"/>
        <v>#REF!</v>
      </c>
      <c r="BB206" s="85" t="s">
        <v>250</v>
      </c>
    </row>
    <row r="207" spans="1:54" ht="15.75" x14ac:dyDescent="0.2">
      <c r="A207" s="111" t="e">
        <f t="shared" si="8"/>
        <v>#REF!</v>
      </c>
      <c r="B207" s="88" t="e">
        <f>IF(OR(#REF!="",#REF!=0,#REF!=#REF!),"",#REF!)</f>
        <v>#REF!</v>
      </c>
      <c r="C207" s="107" t="e">
        <f t="shared" si="7"/>
        <v>#REF!</v>
      </c>
      <c r="D207" s="88" t="e">
        <f>IF(OR(#REF!="",#REF!=0,#REF!=#REF!),"",#REF!)</f>
        <v>#REF!</v>
      </c>
      <c r="E207" s="88" t="e">
        <f>IF($D207="","",#REF!)</f>
        <v>#REF!</v>
      </c>
      <c r="F207" s="91"/>
      <c r="G207" s="91"/>
      <c r="H207" s="91"/>
      <c r="I207" s="91"/>
      <c r="J207" s="91"/>
      <c r="K207" s="91"/>
      <c r="L207" s="91"/>
      <c r="M207" s="91"/>
      <c r="N207" s="91"/>
      <c r="O207" s="91"/>
      <c r="P207" s="91"/>
      <c r="Q207" s="91"/>
      <c r="R207" s="91"/>
      <c r="S207" s="91"/>
      <c r="T207" s="109"/>
      <c r="U207" s="109"/>
      <c r="V207" s="109"/>
      <c r="W207" s="108"/>
      <c r="X207" s="108"/>
      <c r="Y207" s="91"/>
      <c r="Z207" s="186" t="e">
        <f t="array" ref="Z207">IF(E207="","",SUMPRODUCT(T207:V207,TRANSPOSE($V$4:$V$6)))</f>
        <v>#REF!</v>
      </c>
      <c r="AA207" s="109"/>
      <c r="AB207" s="91"/>
      <c r="AC207" s="91"/>
      <c r="AD207" s="91"/>
      <c r="AE207" s="91"/>
      <c r="AF207" s="91"/>
      <c r="AG207" s="91"/>
      <c r="AH207" s="91"/>
      <c r="AI207" s="96"/>
      <c r="AJ207" s="91"/>
      <c r="AK207" s="91"/>
      <c r="AL207" s="91"/>
      <c r="AM207" s="91"/>
      <c r="AN207" s="91"/>
      <c r="AO207" s="91"/>
      <c r="AP207" s="91"/>
      <c r="AQ207" s="91"/>
      <c r="AR207" s="91"/>
      <c r="AS207" s="91"/>
      <c r="AT207" s="91"/>
      <c r="AU207" s="110"/>
      <c r="AV207" s="85" t="e">
        <f t="shared" si="9"/>
        <v>#REF!</v>
      </c>
      <c r="AW207" s="85" t="e">
        <f t="shared" si="9"/>
        <v>#REF!</v>
      </c>
      <c r="AX207" s="85" t="e">
        <f t="shared" si="9"/>
        <v>#REF!</v>
      </c>
      <c r="BB207" s="85" t="s">
        <v>250</v>
      </c>
    </row>
    <row r="208" spans="1:54" ht="15.75" x14ac:dyDescent="0.2">
      <c r="A208" s="111" t="e">
        <f t="shared" si="8"/>
        <v>#REF!</v>
      </c>
      <c r="B208" s="88" t="e">
        <f>IF(OR(#REF!="",#REF!=0,#REF!=#REF!),"",#REF!)</f>
        <v>#REF!</v>
      </c>
      <c r="C208" s="107" t="e">
        <f t="shared" si="7"/>
        <v>#REF!</v>
      </c>
      <c r="D208" s="88" t="e">
        <f>IF(OR(#REF!="",#REF!=0,#REF!=#REF!),"",#REF!)</f>
        <v>#REF!</v>
      </c>
      <c r="E208" s="88" t="e">
        <f>IF($D208="","",#REF!)</f>
        <v>#REF!</v>
      </c>
      <c r="F208" s="91"/>
      <c r="G208" s="91"/>
      <c r="H208" s="91"/>
      <c r="I208" s="91"/>
      <c r="J208" s="91"/>
      <c r="K208" s="91"/>
      <c r="L208" s="91"/>
      <c r="M208" s="91"/>
      <c r="N208" s="91"/>
      <c r="O208" s="91"/>
      <c r="P208" s="91"/>
      <c r="Q208" s="91"/>
      <c r="R208" s="91"/>
      <c r="S208" s="91"/>
      <c r="T208" s="109"/>
      <c r="U208" s="109"/>
      <c r="V208" s="109"/>
      <c r="W208" s="108"/>
      <c r="X208" s="108"/>
      <c r="Y208" s="91"/>
      <c r="Z208" s="186" t="e">
        <f t="array" ref="Z208">IF(E208="","",SUMPRODUCT(T208:V208,TRANSPOSE($V$4:$V$6)))</f>
        <v>#REF!</v>
      </c>
      <c r="AA208" s="109"/>
      <c r="AB208" s="91"/>
      <c r="AC208" s="91"/>
      <c r="AD208" s="91"/>
      <c r="AE208" s="91"/>
      <c r="AF208" s="91"/>
      <c r="AG208" s="91"/>
      <c r="AH208" s="91"/>
      <c r="AI208" s="116"/>
      <c r="AJ208" s="91"/>
      <c r="AK208" s="91"/>
      <c r="AL208" s="91"/>
      <c r="AM208" s="91"/>
      <c r="AN208" s="91"/>
      <c r="AO208" s="91"/>
      <c r="AP208" s="91"/>
      <c r="AQ208" s="91"/>
      <c r="AR208" s="91"/>
      <c r="AS208" s="91"/>
      <c r="AT208" s="91"/>
      <c r="AU208" s="110"/>
      <c r="AV208" s="85" t="e">
        <f t="shared" si="9"/>
        <v>#REF!</v>
      </c>
      <c r="AW208" s="85" t="e">
        <f t="shared" si="9"/>
        <v>#REF!</v>
      </c>
      <c r="AX208" s="85" t="e">
        <f t="shared" si="9"/>
        <v>#REF!</v>
      </c>
      <c r="BB208" s="85" t="s">
        <v>250</v>
      </c>
    </row>
    <row r="209" spans="1:54" ht="15.75" x14ac:dyDescent="0.2">
      <c r="A209" s="111" t="e">
        <f t="shared" si="8"/>
        <v>#REF!</v>
      </c>
      <c r="B209" s="88" t="e">
        <f>IF(OR(#REF!="",#REF!=0,#REF!=#REF!),"",#REF!)</f>
        <v>#REF!</v>
      </c>
      <c r="C209" s="107" t="e">
        <f t="shared" si="7"/>
        <v>#REF!</v>
      </c>
      <c r="D209" s="88" t="e">
        <f>IF(OR(#REF!="",#REF!=0,#REF!=#REF!),"",#REF!)</f>
        <v>#REF!</v>
      </c>
      <c r="E209" s="88" t="e">
        <f>IF($D209="","",#REF!)</f>
        <v>#REF!</v>
      </c>
      <c r="F209" s="91"/>
      <c r="G209" s="91"/>
      <c r="H209" s="91"/>
      <c r="I209" s="91"/>
      <c r="J209" s="91"/>
      <c r="K209" s="91"/>
      <c r="L209" s="91"/>
      <c r="M209" s="91"/>
      <c r="N209" s="91"/>
      <c r="O209" s="91"/>
      <c r="P209" s="91"/>
      <c r="Q209" s="91"/>
      <c r="R209" s="91"/>
      <c r="S209" s="91"/>
      <c r="T209" s="109"/>
      <c r="U209" s="109"/>
      <c r="V209" s="109"/>
      <c r="W209" s="108"/>
      <c r="X209" s="108"/>
      <c r="Y209" s="91"/>
      <c r="Z209" s="186" t="e">
        <f t="array" ref="Z209">IF(E209="","",SUMPRODUCT(T209:V209,TRANSPOSE($V$4:$V$6)))</f>
        <v>#REF!</v>
      </c>
      <c r="AA209" s="109"/>
      <c r="AB209" s="91"/>
      <c r="AC209" s="91"/>
      <c r="AD209" s="91"/>
      <c r="AE209" s="91"/>
      <c r="AF209" s="91"/>
      <c r="AG209" s="91"/>
      <c r="AH209" s="91"/>
      <c r="AI209" s="96"/>
      <c r="AJ209" s="91"/>
      <c r="AK209" s="91"/>
      <c r="AL209" s="91"/>
      <c r="AM209" s="91"/>
      <c r="AN209" s="91"/>
      <c r="AO209" s="91"/>
      <c r="AP209" s="91"/>
      <c r="AQ209" s="91"/>
      <c r="AR209" s="91"/>
      <c r="AS209" s="91"/>
      <c r="AT209" s="91"/>
      <c r="AU209" s="110"/>
      <c r="AV209" s="85" t="e">
        <f t="shared" si="9"/>
        <v>#REF!</v>
      </c>
      <c r="AW209" s="85" t="e">
        <f t="shared" si="9"/>
        <v>#REF!</v>
      </c>
      <c r="AX209" s="85" t="e">
        <f t="shared" si="9"/>
        <v>#REF!</v>
      </c>
      <c r="BB209" s="85" t="s">
        <v>250</v>
      </c>
    </row>
    <row r="210" spans="1:54" ht="15.75" x14ac:dyDescent="0.2">
      <c r="A210" s="111" t="e">
        <f t="shared" si="8"/>
        <v>#REF!</v>
      </c>
      <c r="B210" s="88" t="e">
        <f>IF(OR(#REF!="",#REF!=0,#REF!=#REF!),"",#REF!)</f>
        <v>#REF!</v>
      </c>
      <c r="C210" s="107" t="e">
        <f t="shared" si="7"/>
        <v>#REF!</v>
      </c>
      <c r="D210" s="88" t="e">
        <f>IF(OR(#REF!="",#REF!=0,#REF!=#REF!),"",#REF!)</f>
        <v>#REF!</v>
      </c>
      <c r="E210" s="88" t="e">
        <f>IF($D210="","",#REF!)</f>
        <v>#REF!</v>
      </c>
      <c r="F210" s="91"/>
      <c r="G210" s="91"/>
      <c r="H210" s="91"/>
      <c r="I210" s="91"/>
      <c r="J210" s="91"/>
      <c r="K210" s="91"/>
      <c r="L210" s="91"/>
      <c r="M210" s="91"/>
      <c r="N210" s="91"/>
      <c r="O210" s="91"/>
      <c r="P210" s="91"/>
      <c r="Q210" s="91"/>
      <c r="R210" s="91"/>
      <c r="S210" s="91"/>
      <c r="T210" s="109"/>
      <c r="U210" s="109"/>
      <c r="V210" s="109"/>
      <c r="W210" s="108"/>
      <c r="X210" s="108"/>
      <c r="Y210" s="91"/>
      <c r="Z210" s="186" t="e">
        <f t="array" ref="Z210">IF(E210="","",SUMPRODUCT(T210:V210,TRANSPOSE($V$4:$V$6)))</f>
        <v>#REF!</v>
      </c>
      <c r="AA210" s="109"/>
      <c r="AB210" s="91"/>
      <c r="AC210" s="91"/>
      <c r="AD210" s="91"/>
      <c r="AE210" s="91"/>
      <c r="AF210" s="91"/>
      <c r="AG210" s="91"/>
      <c r="AH210" s="91"/>
      <c r="AI210" s="96"/>
      <c r="AJ210" s="91"/>
      <c r="AK210" s="91"/>
      <c r="AL210" s="91"/>
      <c r="AM210" s="91"/>
      <c r="AN210" s="91"/>
      <c r="AO210" s="91"/>
      <c r="AP210" s="91"/>
      <c r="AQ210" s="91"/>
      <c r="AR210" s="91"/>
      <c r="AS210" s="91"/>
      <c r="AT210" s="91"/>
      <c r="AU210" s="110"/>
      <c r="AV210" s="85" t="e">
        <f t="shared" si="9"/>
        <v>#REF!</v>
      </c>
      <c r="AW210" s="85" t="e">
        <f t="shared" si="9"/>
        <v>#REF!</v>
      </c>
      <c r="AX210" s="85" t="e">
        <f t="shared" si="9"/>
        <v>#REF!</v>
      </c>
      <c r="BB210" s="85" t="s">
        <v>250</v>
      </c>
    </row>
    <row r="211" spans="1:54" ht="15.75" x14ac:dyDescent="0.2">
      <c r="A211" s="111" t="e">
        <f t="shared" si="8"/>
        <v>#REF!</v>
      </c>
      <c r="B211" s="88" t="e">
        <f>IF(OR(#REF!="",#REF!=0,#REF!=#REF!),"",#REF!)</f>
        <v>#REF!</v>
      </c>
      <c r="C211" s="107" t="e">
        <f t="shared" si="7"/>
        <v>#REF!</v>
      </c>
      <c r="D211" s="88" t="e">
        <f>IF(OR(#REF!="",#REF!=0,#REF!=#REF!),"",#REF!)</f>
        <v>#REF!</v>
      </c>
      <c r="E211" s="88" t="e">
        <f>IF($D211="","",#REF!)</f>
        <v>#REF!</v>
      </c>
      <c r="F211" s="91"/>
      <c r="G211" s="91"/>
      <c r="H211" s="91"/>
      <c r="I211" s="91"/>
      <c r="J211" s="91"/>
      <c r="K211" s="91"/>
      <c r="L211" s="91"/>
      <c r="M211" s="91"/>
      <c r="N211" s="91"/>
      <c r="O211" s="91"/>
      <c r="P211" s="91"/>
      <c r="Q211" s="91"/>
      <c r="R211" s="91"/>
      <c r="S211" s="91"/>
      <c r="T211" s="109"/>
      <c r="U211" s="109"/>
      <c r="V211" s="109"/>
      <c r="W211" s="91"/>
      <c r="X211" s="91"/>
      <c r="Y211" s="91"/>
      <c r="Z211" s="186" t="e">
        <f t="array" ref="Z211">IF(E211="","",SUMPRODUCT(T211:V211,TRANSPOSE($V$4:$V$6)))</f>
        <v>#REF!</v>
      </c>
      <c r="AA211" s="109"/>
      <c r="AB211" s="91"/>
      <c r="AC211" s="91"/>
      <c r="AD211" s="91"/>
      <c r="AE211" s="91"/>
      <c r="AF211" s="91"/>
      <c r="AG211" s="91"/>
      <c r="AH211" s="91"/>
      <c r="AI211" s="96"/>
      <c r="AJ211" s="91"/>
      <c r="AK211" s="91"/>
      <c r="AL211" s="91"/>
      <c r="AM211" s="91"/>
      <c r="AN211" s="91"/>
      <c r="AO211" s="91"/>
      <c r="AP211" s="91"/>
      <c r="AQ211" s="91"/>
      <c r="AR211" s="91"/>
      <c r="AS211" s="91"/>
      <c r="AT211" s="91"/>
      <c r="AU211" s="110"/>
      <c r="AV211" s="85" t="e">
        <f t="shared" si="9"/>
        <v>#REF!</v>
      </c>
      <c r="AW211" s="85" t="e">
        <f t="shared" si="9"/>
        <v>#REF!</v>
      </c>
      <c r="AX211" s="85" t="e">
        <f t="shared" si="9"/>
        <v>#REF!</v>
      </c>
      <c r="BB211" s="85" t="s">
        <v>250</v>
      </c>
    </row>
    <row r="212" spans="1:54" ht="15.75" x14ac:dyDescent="0.2">
      <c r="A212" s="111" t="e">
        <f t="shared" si="8"/>
        <v>#REF!</v>
      </c>
      <c r="B212" s="88" t="e">
        <f>IF(OR(#REF!="",#REF!=0,#REF!=#REF!),"",#REF!)</f>
        <v>#REF!</v>
      </c>
      <c r="C212" s="107" t="e">
        <f t="shared" ref="C212:C275" si="10">IF(E212="","",IF(Z212&lt;&gt;0,1,0))</f>
        <v>#REF!</v>
      </c>
      <c r="D212" s="88" t="e">
        <f>IF(OR(#REF!="",#REF!=0,#REF!=#REF!),"",#REF!)</f>
        <v>#REF!</v>
      </c>
      <c r="E212" s="88" t="e">
        <f>IF($D212="","",#REF!)</f>
        <v>#REF!</v>
      </c>
      <c r="F212" s="91"/>
      <c r="G212" s="91"/>
      <c r="H212" s="91"/>
      <c r="I212" s="91"/>
      <c r="J212" s="91"/>
      <c r="K212" s="91"/>
      <c r="L212" s="91"/>
      <c r="M212" s="91"/>
      <c r="N212" s="91"/>
      <c r="O212" s="91"/>
      <c r="P212" s="91"/>
      <c r="Q212" s="91"/>
      <c r="R212" s="91"/>
      <c r="S212" s="91"/>
      <c r="T212" s="109"/>
      <c r="U212" s="109"/>
      <c r="V212" s="109"/>
      <c r="W212" s="91"/>
      <c r="X212" s="91"/>
      <c r="Y212" s="91"/>
      <c r="Z212" s="186" t="e">
        <f t="array" ref="Z212">IF(E212="","",SUMPRODUCT(T212:V212,TRANSPOSE($V$4:$V$6)))</f>
        <v>#REF!</v>
      </c>
      <c r="AA212" s="109"/>
      <c r="AB212" s="91"/>
      <c r="AC212" s="91"/>
      <c r="AD212" s="91"/>
      <c r="AE212" s="91"/>
      <c r="AF212" s="91"/>
      <c r="AG212" s="91"/>
      <c r="AH212" s="91"/>
      <c r="AI212" s="96"/>
      <c r="AJ212" s="91"/>
      <c r="AK212" s="91"/>
      <c r="AL212" s="91"/>
      <c r="AM212" s="91"/>
      <c r="AN212" s="91"/>
      <c r="AO212" s="91"/>
      <c r="AP212" s="91"/>
      <c r="AQ212" s="91"/>
      <c r="AR212" s="91"/>
      <c r="AS212" s="91"/>
      <c r="AT212" s="91"/>
      <c r="AU212" s="110"/>
      <c r="AV212" s="85" t="e">
        <f t="shared" si="9"/>
        <v>#REF!</v>
      </c>
      <c r="AW212" s="85" t="e">
        <f t="shared" si="9"/>
        <v>#REF!</v>
      </c>
      <c r="AX212" s="85" t="e">
        <f t="shared" si="9"/>
        <v>#REF!</v>
      </c>
      <c r="BB212" s="85" t="s">
        <v>250</v>
      </c>
    </row>
    <row r="213" spans="1:54" ht="15.75" x14ac:dyDescent="0.2">
      <c r="A213" s="111" t="e">
        <f t="shared" ref="A213:A276" si="11">IF(D213="","",A212+1)</f>
        <v>#REF!</v>
      </c>
      <c r="B213" s="88" t="e">
        <f>IF(OR(#REF!="",#REF!=0,#REF!=#REF!),"",#REF!)</f>
        <v>#REF!</v>
      </c>
      <c r="C213" s="107" t="e">
        <f t="shared" si="10"/>
        <v>#REF!</v>
      </c>
      <c r="D213" s="88" t="e">
        <f>IF(OR(#REF!="",#REF!=0,#REF!=#REF!),"",#REF!)</f>
        <v>#REF!</v>
      </c>
      <c r="E213" s="88" t="e">
        <f>IF($D213="","",#REF!)</f>
        <v>#REF!</v>
      </c>
      <c r="F213" s="91"/>
      <c r="G213" s="91"/>
      <c r="H213" s="91"/>
      <c r="I213" s="91"/>
      <c r="J213" s="91"/>
      <c r="K213" s="91"/>
      <c r="L213" s="91"/>
      <c r="M213" s="91"/>
      <c r="N213" s="91"/>
      <c r="O213" s="91"/>
      <c r="P213" s="91"/>
      <c r="Q213" s="91"/>
      <c r="R213" s="91"/>
      <c r="S213" s="91"/>
      <c r="T213" s="109"/>
      <c r="U213" s="109"/>
      <c r="V213" s="109"/>
      <c r="W213" s="108"/>
      <c r="X213" s="108"/>
      <c r="Y213" s="91"/>
      <c r="Z213" s="186" t="e">
        <f t="array" ref="Z213">IF(E213="","",SUMPRODUCT(T213:V213,TRANSPOSE($V$4:$V$6)))</f>
        <v>#REF!</v>
      </c>
      <c r="AA213" s="109"/>
      <c r="AB213" s="91"/>
      <c r="AC213" s="91"/>
      <c r="AD213" s="91"/>
      <c r="AE213" s="91"/>
      <c r="AF213" s="91"/>
      <c r="AG213" s="91"/>
      <c r="AH213" s="91"/>
      <c r="AI213" s="96"/>
      <c r="AJ213" s="91"/>
      <c r="AK213" s="91"/>
      <c r="AL213" s="91"/>
      <c r="AM213" s="91"/>
      <c r="AN213" s="91"/>
      <c r="AO213" s="91"/>
      <c r="AP213" s="91"/>
      <c r="AQ213" s="91"/>
      <c r="AR213" s="91"/>
      <c r="AS213" s="91"/>
      <c r="AT213" s="91"/>
      <c r="AU213" s="110"/>
      <c r="AV213" s="85" t="e">
        <f t="shared" si="9"/>
        <v>#REF!</v>
      </c>
      <c r="AW213" s="85" t="e">
        <f t="shared" si="9"/>
        <v>#REF!</v>
      </c>
      <c r="AX213" s="85" t="e">
        <f t="shared" si="9"/>
        <v>#REF!</v>
      </c>
      <c r="BB213" s="85" t="s">
        <v>250</v>
      </c>
    </row>
    <row r="214" spans="1:54" ht="15.75" x14ac:dyDescent="0.2">
      <c r="A214" s="111" t="e">
        <f t="shared" si="11"/>
        <v>#REF!</v>
      </c>
      <c r="B214" s="88" t="e">
        <f>IF(OR(#REF!="",#REF!=0,#REF!=#REF!),"",#REF!)</f>
        <v>#REF!</v>
      </c>
      <c r="C214" s="107" t="e">
        <f t="shared" si="10"/>
        <v>#REF!</v>
      </c>
      <c r="D214" s="88" t="e">
        <f>IF(OR(#REF!="",#REF!=0,#REF!=#REF!),"",#REF!)</f>
        <v>#REF!</v>
      </c>
      <c r="E214" s="88" t="e">
        <f>IF($D214="","",#REF!)</f>
        <v>#REF!</v>
      </c>
      <c r="F214" s="91"/>
      <c r="G214" s="91"/>
      <c r="H214" s="91"/>
      <c r="I214" s="91"/>
      <c r="J214" s="91"/>
      <c r="K214" s="91"/>
      <c r="L214" s="91"/>
      <c r="M214" s="91"/>
      <c r="N214" s="91"/>
      <c r="O214" s="91"/>
      <c r="P214" s="91"/>
      <c r="Q214" s="91"/>
      <c r="R214" s="91"/>
      <c r="S214" s="91"/>
      <c r="T214" s="109"/>
      <c r="U214" s="109"/>
      <c r="V214" s="109"/>
      <c r="W214" s="108"/>
      <c r="X214" s="108"/>
      <c r="Y214" s="91"/>
      <c r="Z214" s="186" t="e">
        <f t="array" ref="Z214">IF(E214="","",SUMPRODUCT(T214:V214,TRANSPOSE($V$4:$V$6)))</f>
        <v>#REF!</v>
      </c>
      <c r="AA214" s="109"/>
      <c r="AB214" s="91"/>
      <c r="AC214" s="91"/>
      <c r="AD214" s="91"/>
      <c r="AE214" s="91"/>
      <c r="AF214" s="91"/>
      <c r="AG214" s="91"/>
      <c r="AH214" s="91"/>
      <c r="AI214" s="96"/>
      <c r="AJ214" s="91"/>
      <c r="AK214" s="91"/>
      <c r="AL214" s="91"/>
      <c r="AM214" s="91"/>
      <c r="AN214" s="91"/>
      <c r="AO214" s="91"/>
      <c r="AP214" s="91"/>
      <c r="AQ214" s="91"/>
      <c r="AR214" s="91"/>
      <c r="AS214" s="91"/>
      <c r="AT214" s="91"/>
      <c r="AU214" s="110"/>
      <c r="AV214" s="85" t="e">
        <f t="shared" si="9"/>
        <v>#REF!</v>
      </c>
      <c r="AW214" s="85" t="e">
        <f t="shared" si="9"/>
        <v>#REF!</v>
      </c>
      <c r="AX214" s="85" t="e">
        <f t="shared" si="9"/>
        <v>#REF!</v>
      </c>
      <c r="BB214" s="85" t="s">
        <v>250</v>
      </c>
    </row>
    <row r="215" spans="1:54" ht="15.75" x14ac:dyDescent="0.2">
      <c r="A215" s="111" t="e">
        <f t="shared" si="11"/>
        <v>#REF!</v>
      </c>
      <c r="B215" s="88" t="e">
        <f>IF(OR(#REF!="",#REF!=0,#REF!=#REF!),"",#REF!)</f>
        <v>#REF!</v>
      </c>
      <c r="C215" s="107" t="e">
        <f t="shared" si="10"/>
        <v>#REF!</v>
      </c>
      <c r="D215" s="88" t="e">
        <f>IF(OR(#REF!="",#REF!=0,#REF!=#REF!),"",#REF!)</f>
        <v>#REF!</v>
      </c>
      <c r="E215" s="88" t="e">
        <f>IF($D215="","",#REF!)</f>
        <v>#REF!</v>
      </c>
      <c r="F215" s="91"/>
      <c r="G215" s="91"/>
      <c r="H215" s="91"/>
      <c r="I215" s="91"/>
      <c r="J215" s="91"/>
      <c r="K215" s="91"/>
      <c r="L215" s="91"/>
      <c r="M215" s="91"/>
      <c r="N215" s="91"/>
      <c r="O215" s="91"/>
      <c r="P215" s="91"/>
      <c r="Q215" s="91"/>
      <c r="R215" s="91"/>
      <c r="S215" s="91"/>
      <c r="T215" s="109"/>
      <c r="U215" s="109"/>
      <c r="V215" s="109"/>
      <c r="W215" s="108"/>
      <c r="X215" s="108"/>
      <c r="Y215" s="91"/>
      <c r="Z215" s="186" t="e">
        <f t="array" ref="Z215">IF(E215="","",SUMPRODUCT(T215:V215,TRANSPOSE($V$4:$V$6)))</f>
        <v>#REF!</v>
      </c>
      <c r="AA215" s="109"/>
      <c r="AB215" s="91"/>
      <c r="AC215" s="91"/>
      <c r="AD215" s="91"/>
      <c r="AE215" s="91"/>
      <c r="AF215" s="91"/>
      <c r="AG215" s="91"/>
      <c r="AH215" s="91"/>
      <c r="AI215" s="96"/>
      <c r="AJ215" s="91"/>
      <c r="AK215" s="91"/>
      <c r="AL215" s="91"/>
      <c r="AM215" s="91"/>
      <c r="AN215" s="91"/>
      <c r="AO215" s="91"/>
      <c r="AP215" s="91"/>
      <c r="AQ215" s="91"/>
      <c r="AR215" s="91"/>
      <c r="AS215" s="91"/>
      <c r="AT215" s="91"/>
      <c r="AU215" s="110"/>
      <c r="AV215" s="85" t="e">
        <f t="shared" si="9"/>
        <v>#REF!</v>
      </c>
      <c r="AW215" s="85" t="e">
        <f t="shared" si="9"/>
        <v>#REF!</v>
      </c>
      <c r="AX215" s="85" t="e">
        <f t="shared" si="9"/>
        <v>#REF!</v>
      </c>
      <c r="BB215" s="85" t="s">
        <v>250</v>
      </c>
    </row>
    <row r="216" spans="1:54" ht="15.75" x14ac:dyDescent="0.2">
      <c r="A216" s="111" t="e">
        <f t="shared" si="11"/>
        <v>#REF!</v>
      </c>
      <c r="B216" s="88" t="e">
        <f>IF(OR(#REF!="",#REF!=0,#REF!=#REF!),"",#REF!)</f>
        <v>#REF!</v>
      </c>
      <c r="C216" s="107" t="e">
        <f t="shared" si="10"/>
        <v>#REF!</v>
      </c>
      <c r="D216" s="88" t="e">
        <f>IF(OR(#REF!="",#REF!=0,#REF!=#REF!),"",#REF!)</f>
        <v>#REF!</v>
      </c>
      <c r="E216" s="88" t="e">
        <f>IF($D216="","",#REF!)</f>
        <v>#REF!</v>
      </c>
      <c r="F216" s="91"/>
      <c r="G216" s="91"/>
      <c r="H216" s="91"/>
      <c r="I216" s="91"/>
      <c r="J216" s="91"/>
      <c r="K216" s="91"/>
      <c r="L216" s="91"/>
      <c r="M216" s="91"/>
      <c r="N216" s="91"/>
      <c r="O216" s="91"/>
      <c r="P216" s="91"/>
      <c r="Q216" s="91"/>
      <c r="R216" s="91"/>
      <c r="S216" s="91"/>
      <c r="T216" s="109"/>
      <c r="U216" s="109"/>
      <c r="V216" s="109"/>
      <c r="W216" s="108"/>
      <c r="X216" s="108"/>
      <c r="Y216" s="91"/>
      <c r="Z216" s="186" t="e">
        <f t="array" ref="Z216">IF(E216="","",SUMPRODUCT(T216:V216,TRANSPOSE($V$4:$V$6)))</f>
        <v>#REF!</v>
      </c>
      <c r="AA216" s="109"/>
      <c r="AB216" s="91"/>
      <c r="AC216" s="91"/>
      <c r="AD216" s="91"/>
      <c r="AE216" s="91"/>
      <c r="AF216" s="91"/>
      <c r="AG216" s="91"/>
      <c r="AH216" s="91"/>
      <c r="AI216" s="96"/>
      <c r="AJ216" s="91"/>
      <c r="AK216" s="91"/>
      <c r="AL216" s="91"/>
      <c r="AM216" s="91"/>
      <c r="AN216" s="91"/>
      <c r="AO216" s="91"/>
      <c r="AP216" s="91"/>
      <c r="AQ216" s="91"/>
      <c r="AR216" s="91"/>
      <c r="AS216" s="91"/>
      <c r="AT216" s="91"/>
      <c r="AU216" s="110"/>
      <c r="AV216" s="85" t="e">
        <f t="shared" si="9"/>
        <v>#REF!</v>
      </c>
      <c r="AW216" s="85" t="e">
        <f t="shared" si="9"/>
        <v>#REF!</v>
      </c>
      <c r="AX216" s="85" t="e">
        <f t="shared" si="9"/>
        <v>#REF!</v>
      </c>
      <c r="BB216" s="85" t="s">
        <v>250</v>
      </c>
    </row>
    <row r="217" spans="1:54" ht="15.75" x14ac:dyDescent="0.2">
      <c r="A217" s="111" t="e">
        <f t="shared" si="11"/>
        <v>#REF!</v>
      </c>
      <c r="B217" s="88" t="e">
        <f>IF(OR(#REF!="",#REF!=0,#REF!=#REF!),"",#REF!)</f>
        <v>#REF!</v>
      </c>
      <c r="C217" s="107" t="e">
        <f t="shared" si="10"/>
        <v>#REF!</v>
      </c>
      <c r="D217" s="88" t="e">
        <f>IF(OR(#REF!="",#REF!=0,#REF!=#REF!),"",#REF!)</f>
        <v>#REF!</v>
      </c>
      <c r="E217" s="88" t="e">
        <f>IF($D217="","",#REF!)</f>
        <v>#REF!</v>
      </c>
      <c r="F217" s="91"/>
      <c r="G217" s="91"/>
      <c r="H217" s="91"/>
      <c r="I217" s="91"/>
      <c r="J217" s="91"/>
      <c r="K217" s="91"/>
      <c r="L217" s="91"/>
      <c r="M217" s="91"/>
      <c r="N217" s="91"/>
      <c r="O217" s="91"/>
      <c r="P217" s="91"/>
      <c r="Q217" s="91"/>
      <c r="R217" s="91"/>
      <c r="S217" s="91"/>
      <c r="T217" s="109"/>
      <c r="U217" s="109"/>
      <c r="V217" s="109"/>
      <c r="W217" s="108"/>
      <c r="X217" s="108"/>
      <c r="Y217" s="91"/>
      <c r="Z217" s="186" t="e">
        <f t="array" ref="Z217">IF(E217="","",SUMPRODUCT(T217:V217,TRANSPOSE($V$4:$V$6)))</f>
        <v>#REF!</v>
      </c>
      <c r="AA217" s="109"/>
      <c r="AB217" s="91"/>
      <c r="AC217" s="91"/>
      <c r="AD217" s="91"/>
      <c r="AE217" s="91"/>
      <c r="AF217" s="91"/>
      <c r="AG217" s="91"/>
      <c r="AH217" s="91"/>
      <c r="AI217" s="116"/>
      <c r="AJ217" s="91"/>
      <c r="AK217" s="91"/>
      <c r="AL217" s="91"/>
      <c r="AM217" s="91"/>
      <c r="AN217" s="91"/>
      <c r="AO217" s="91"/>
      <c r="AP217" s="91"/>
      <c r="AQ217" s="91"/>
      <c r="AR217" s="91"/>
      <c r="AS217" s="91"/>
      <c r="AT217" s="91"/>
      <c r="AU217" s="110"/>
      <c r="AV217" s="85" t="e">
        <f t="shared" si="9"/>
        <v>#REF!</v>
      </c>
      <c r="AW217" s="85" t="e">
        <f t="shared" si="9"/>
        <v>#REF!</v>
      </c>
      <c r="AX217" s="85" t="e">
        <f t="shared" si="9"/>
        <v>#REF!</v>
      </c>
      <c r="BB217" s="85" t="s">
        <v>250</v>
      </c>
    </row>
    <row r="218" spans="1:54" ht="15.75" x14ac:dyDescent="0.2">
      <c r="A218" s="111" t="e">
        <f t="shared" si="11"/>
        <v>#REF!</v>
      </c>
      <c r="B218" s="88" t="e">
        <f>IF(OR(#REF!="",#REF!=0,#REF!=#REF!),"",#REF!)</f>
        <v>#REF!</v>
      </c>
      <c r="C218" s="107" t="e">
        <f t="shared" si="10"/>
        <v>#REF!</v>
      </c>
      <c r="D218" s="88" t="e">
        <f>IF(OR(#REF!="",#REF!=0,#REF!=#REF!),"",#REF!)</f>
        <v>#REF!</v>
      </c>
      <c r="E218" s="88" t="e">
        <f>IF($D218="","",#REF!)</f>
        <v>#REF!</v>
      </c>
      <c r="F218" s="91"/>
      <c r="G218" s="91"/>
      <c r="H218" s="91"/>
      <c r="I218" s="91"/>
      <c r="J218" s="91"/>
      <c r="K218" s="91"/>
      <c r="L218" s="91"/>
      <c r="M218" s="91"/>
      <c r="N218" s="91"/>
      <c r="O218" s="91"/>
      <c r="P218" s="91"/>
      <c r="Q218" s="91"/>
      <c r="R218" s="91"/>
      <c r="S218" s="91"/>
      <c r="T218" s="109"/>
      <c r="U218" s="109"/>
      <c r="V218" s="109"/>
      <c r="W218" s="108"/>
      <c r="X218" s="108"/>
      <c r="Y218" s="91"/>
      <c r="Z218" s="186" t="e">
        <f t="array" ref="Z218">IF(E218="","",SUMPRODUCT(T218:V218,TRANSPOSE($V$4:$V$6)))</f>
        <v>#REF!</v>
      </c>
      <c r="AA218" s="109"/>
      <c r="AB218" s="91"/>
      <c r="AC218" s="91"/>
      <c r="AD218" s="91"/>
      <c r="AE218" s="91"/>
      <c r="AF218" s="91"/>
      <c r="AG218" s="91"/>
      <c r="AH218" s="91"/>
      <c r="AI218" s="96"/>
      <c r="AJ218" s="91"/>
      <c r="AK218" s="91"/>
      <c r="AL218" s="91"/>
      <c r="AM218" s="91"/>
      <c r="AN218" s="91"/>
      <c r="AO218" s="91"/>
      <c r="AP218" s="91"/>
      <c r="AQ218" s="91"/>
      <c r="AR218" s="91"/>
      <c r="AS218" s="91"/>
      <c r="AT218" s="91"/>
      <c r="AU218" s="110"/>
      <c r="AV218" s="85" t="e">
        <f t="shared" si="9"/>
        <v>#REF!</v>
      </c>
      <c r="AW218" s="85" t="e">
        <f t="shared" si="9"/>
        <v>#REF!</v>
      </c>
      <c r="AX218" s="85" t="e">
        <f t="shared" si="9"/>
        <v>#REF!</v>
      </c>
      <c r="BB218" s="85" t="s">
        <v>250</v>
      </c>
    </row>
    <row r="219" spans="1:54" ht="15.75" x14ac:dyDescent="0.2">
      <c r="A219" s="111" t="e">
        <f t="shared" si="11"/>
        <v>#REF!</v>
      </c>
      <c r="B219" s="88" t="e">
        <f>IF(OR(#REF!="",#REF!=0,#REF!=#REF!),"",#REF!)</f>
        <v>#REF!</v>
      </c>
      <c r="C219" s="107" t="e">
        <f t="shared" si="10"/>
        <v>#REF!</v>
      </c>
      <c r="D219" s="88" t="e">
        <f>IF(OR(#REF!="",#REF!=0,#REF!=#REF!),"",#REF!)</f>
        <v>#REF!</v>
      </c>
      <c r="E219" s="88" t="e">
        <f>IF($D219="","",#REF!)</f>
        <v>#REF!</v>
      </c>
      <c r="F219" s="91"/>
      <c r="G219" s="91"/>
      <c r="H219" s="91"/>
      <c r="I219" s="91"/>
      <c r="J219" s="91"/>
      <c r="K219" s="91"/>
      <c r="L219" s="91"/>
      <c r="M219" s="91"/>
      <c r="N219" s="91"/>
      <c r="O219" s="91"/>
      <c r="P219" s="91"/>
      <c r="Q219" s="91"/>
      <c r="R219" s="91"/>
      <c r="S219" s="91"/>
      <c r="T219" s="109"/>
      <c r="U219" s="109"/>
      <c r="V219" s="109"/>
      <c r="W219" s="108"/>
      <c r="X219" s="108"/>
      <c r="Y219" s="91"/>
      <c r="Z219" s="186" t="e">
        <f t="array" ref="Z219">IF(E219="","",SUMPRODUCT(T219:V219,TRANSPOSE($V$4:$V$6)))</f>
        <v>#REF!</v>
      </c>
      <c r="AA219" s="109"/>
      <c r="AB219" s="91"/>
      <c r="AC219" s="91"/>
      <c r="AD219" s="91"/>
      <c r="AE219" s="91"/>
      <c r="AF219" s="91"/>
      <c r="AG219" s="91"/>
      <c r="AH219" s="91"/>
      <c r="AI219" s="116"/>
      <c r="AJ219" s="91"/>
      <c r="AK219" s="91"/>
      <c r="AL219" s="91"/>
      <c r="AM219" s="91"/>
      <c r="AN219" s="91"/>
      <c r="AO219" s="91"/>
      <c r="AP219" s="91"/>
      <c r="AQ219" s="91"/>
      <c r="AR219" s="91"/>
      <c r="AS219" s="91"/>
      <c r="AT219" s="91"/>
      <c r="AU219" s="110"/>
      <c r="AV219" s="85" t="e">
        <f t="shared" si="9"/>
        <v>#REF!</v>
      </c>
      <c r="AW219" s="85" t="e">
        <f t="shared" si="9"/>
        <v>#REF!</v>
      </c>
      <c r="AX219" s="85" t="e">
        <f t="shared" si="9"/>
        <v>#REF!</v>
      </c>
      <c r="BB219" s="85" t="s">
        <v>250</v>
      </c>
    </row>
    <row r="220" spans="1:54" ht="15.75" x14ac:dyDescent="0.2">
      <c r="A220" s="111" t="e">
        <f t="shared" si="11"/>
        <v>#REF!</v>
      </c>
      <c r="B220" s="88" t="e">
        <f>IF(OR(#REF!="",#REF!=0,#REF!=#REF!),"",#REF!)</f>
        <v>#REF!</v>
      </c>
      <c r="C220" s="107" t="e">
        <f t="shared" si="10"/>
        <v>#REF!</v>
      </c>
      <c r="D220" s="88" t="e">
        <f>IF(OR(#REF!="",#REF!=0,#REF!=#REF!),"",#REF!)</f>
        <v>#REF!</v>
      </c>
      <c r="E220" s="88" t="e">
        <f>IF($D220="","",#REF!)</f>
        <v>#REF!</v>
      </c>
      <c r="F220" s="91"/>
      <c r="G220" s="91"/>
      <c r="H220" s="91"/>
      <c r="I220" s="91"/>
      <c r="J220" s="91"/>
      <c r="K220" s="91"/>
      <c r="L220" s="91"/>
      <c r="M220" s="91"/>
      <c r="N220" s="91"/>
      <c r="O220" s="91"/>
      <c r="P220" s="91"/>
      <c r="Q220" s="91"/>
      <c r="R220" s="91"/>
      <c r="S220" s="91"/>
      <c r="T220" s="109"/>
      <c r="U220" s="109"/>
      <c r="V220" s="109"/>
      <c r="W220" s="108"/>
      <c r="X220" s="108"/>
      <c r="Y220" s="91"/>
      <c r="Z220" s="186" t="e">
        <f t="array" ref="Z220">IF(E220="","",SUMPRODUCT(T220:V220,TRANSPOSE($V$4:$V$6)))</f>
        <v>#REF!</v>
      </c>
      <c r="AA220" s="109"/>
      <c r="AB220" s="91"/>
      <c r="AC220" s="91"/>
      <c r="AD220" s="91"/>
      <c r="AE220" s="91"/>
      <c r="AF220" s="91"/>
      <c r="AG220" s="91"/>
      <c r="AH220" s="91"/>
      <c r="AI220" s="96"/>
      <c r="AJ220" s="91"/>
      <c r="AK220" s="91"/>
      <c r="AL220" s="91"/>
      <c r="AM220" s="91"/>
      <c r="AN220" s="91"/>
      <c r="AO220" s="91"/>
      <c r="AP220" s="91"/>
      <c r="AQ220" s="91"/>
      <c r="AR220" s="91"/>
      <c r="AS220" s="91"/>
      <c r="AT220" s="91"/>
      <c r="AU220" s="110"/>
      <c r="AV220" s="85" t="e">
        <f t="shared" si="9"/>
        <v>#REF!</v>
      </c>
      <c r="AW220" s="85" t="e">
        <f t="shared" si="9"/>
        <v>#REF!</v>
      </c>
      <c r="AX220" s="85" t="e">
        <f t="shared" si="9"/>
        <v>#REF!</v>
      </c>
      <c r="BB220" s="85" t="s">
        <v>250</v>
      </c>
    </row>
    <row r="221" spans="1:54" ht="15.75" x14ac:dyDescent="0.2">
      <c r="A221" s="111" t="e">
        <f t="shared" si="11"/>
        <v>#REF!</v>
      </c>
      <c r="B221" s="88" t="e">
        <f>IF(OR(#REF!="",#REF!=0,#REF!=#REF!),"",#REF!)</f>
        <v>#REF!</v>
      </c>
      <c r="C221" s="107" t="e">
        <f t="shared" si="10"/>
        <v>#REF!</v>
      </c>
      <c r="D221" s="88" t="e">
        <f>IF(OR(#REF!="",#REF!=0,#REF!=#REF!),"",#REF!)</f>
        <v>#REF!</v>
      </c>
      <c r="E221" s="88" t="e">
        <f>IF($D221="","",#REF!)</f>
        <v>#REF!</v>
      </c>
      <c r="F221" s="91"/>
      <c r="G221" s="91"/>
      <c r="H221" s="91"/>
      <c r="I221" s="91"/>
      <c r="J221" s="91"/>
      <c r="K221" s="91"/>
      <c r="L221" s="91"/>
      <c r="M221" s="91"/>
      <c r="N221" s="91"/>
      <c r="O221" s="91"/>
      <c r="P221" s="91"/>
      <c r="Q221" s="91"/>
      <c r="R221" s="91"/>
      <c r="S221" s="91"/>
      <c r="T221" s="109"/>
      <c r="U221" s="109"/>
      <c r="V221" s="109"/>
      <c r="W221" s="108"/>
      <c r="X221" s="108"/>
      <c r="Y221" s="91"/>
      <c r="Z221" s="186" t="e">
        <f t="array" ref="Z221">IF(E221="","",SUMPRODUCT(T221:V221,TRANSPOSE($V$4:$V$6)))</f>
        <v>#REF!</v>
      </c>
      <c r="AA221" s="109"/>
      <c r="AB221" s="91"/>
      <c r="AC221" s="91"/>
      <c r="AD221" s="91"/>
      <c r="AE221" s="91"/>
      <c r="AF221" s="91"/>
      <c r="AG221" s="91"/>
      <c r="AH221" s="91"/>
      <c r="AI221" s="116"/>
      <c r="AJ221" s="91"/>
      <c r="AK221" s="91"/>
      <c r="AL221" s="91"/>
      <c r="AM221" s="91"/>
      <c r="AN221" s="91"/>
      <c r="AO221" s="91"/>
      <c r="AP221" s="91"/>
      <c r="AQ221" s="91"/>
      <c r="AR221" s="91"/>
      <c r="AS221" s="91"/>
      <c r="AT221" s="91"/>
      <c r="AU221" s="110"/>
      <c r="AV221" s="85" t="e">
        <f t="shared" si="9"/>
        <v>#REF!</v>
      </c>
      <c r="AW221" s="85" t="e">
        <f t="shared" si="9"/>
        <v>#REF!</v>
      </c>
      <c r="AX221" s="85" t="e">
        <f t="shared" si="9"/>
        <v>#REF!</v>
      </c>
      <c r="BB221" s="85" t="s">
        <v>250</v>
      </c>
    </row>
    <row r="222" spans="1:54" ht="15.75" x14ac:dyDescent="0.2">
      <c r="A222" s="111" t="e">
        <f t="shared" si="11"/>
        <v>#REF!</v>
      </c>
      <c r="B222" s="88" t="e">
        <f>IF(OR(#REF!="",#REF!=0,#REF!=#REF!),"",#REF!)</f>
        <v>#REF!</v>
      </c>
      <c r="C222" s="107" t="e">
        <f t="shared" si="10"/>
        <v>#REF!</v>
      </c>
      <c r="D222" s="88" t="e">
        <f>IF(OR(#REF!="",#REF!=0,#REF!=#REF!),"",#REF!)</f>
        <v>#REF!</v>
      </c>
      <c r="E222" s="88" t="e">
        <f>IF($D222="","",#REF!)</f>
        <v>#REF!</v>
      </c>
      <c r="F222" s="91"/>
      <c r="G222" s="91"/>
      <c r="H222" s="91"/>
      <c r="I222" s="91"/>
      <c r="J222" s="91"/>
      <c r="K222" s="91"/>
      <c r="L222" s="91"/>
      <c r="M222" s="91"/>
      <c r="N222" s="91"/>
      <c r="O222" s="91"/>
      <c r="P222" s="91"/>
      <c r="Q222" s="91"/>
      <c r="R222" s="91"/>
      <c r="S222" s="91"/>
      <c r="T222" s="109"/>
      <c r="U222" s="109"/>
      <c r="V222" s="109"/>
      <c r="W222" s="108"/>
      <c r="X222" s="108"/>
      <c r="Y222" s="91"/>
      <c r="Z222" s="186" t="e">
        <f t="array" ref="Z222">IF(E222="","",SUMPRODUCT(T222:V222,TRANSPOSE($V$4:$V$6)))</f>
        <v>#REF!</v>
      </c>
      <c r="AA222" s="109"/>
      <c r="AB222" s="91"/>
      <c r="AC222" s="91"/>
      <c r="AD222" s="91"/>
      <c r="AE222" s="91"/>
      <c r="AF222" s="91"/>
      <c r="AG222" s="91"/>
      <c r="AH222" s="91"/>
      <c r="AI222" s="96"/>
      <c r="AJ222" s="91"/>
      <c r="AK222" s="91"/>
      <c r="AL222" s="91"/>
      <c r="AM222" s="91"/>
      <c r="AN222" s="91"/>
      <c r="AO222" s="91"/>
      <c r="AP222" s="91"/>
      <c r="AQ222" s="91"/>
      <c r="AR222" s="91"/>
      <c r="AS222" s="91"/>
      <c r="AT222" s="91"/>
      <c r="AU222" s="110"/>
      <c r="AV222" s="85" t="e">
        <f t="shared" si="9"/>
        <v>#REF!</v>
      </c>
      <c r="AW222" s="85" t="e">
        <f t="shared" si="9"/>
        <v>#REF!</v>
      </c>
      <c r="AX222" s="85" t="e">
        <f t="shared" si="9"/>
        <v>#REF!</v>
      </c>
      <c r="BB222" s="85" t="s">
        <v>250</v>
      </c>
    </row>
    <row r="223" spans="1:54" ht="15.75" x14ac:dyDescent="0.2">
      <c r="A223" s="111" t="e">
        <f t="shared" si="11"/>
        <v>#REF!</v>
      </c>
      <c r="B223" s="88" t="e">
        <f>IF(OR(#REF!="",#REF!=0,#REF!=#REF!),"",#REF!)</f>
        <v>#REF!</v>
      </c>
      <c r="C223" s="107" t="e">
        <f t="shared" si="10"/>
        <v>#REF!</v>
      </c>
      <c r="D223" s="88" t="e">
        <f>IF(OR(#REF!="",#REF!=0,#REF!=#REF!),"",#REF!)</f>
        <v>#REF!</v>
      </c>
      <c r="E223" s="88" t="e">
        <f>IF($D223="","",#REF!)</f>
        <v>#REF!</v>
      </c>
      <c r="F223" s="91"/>
      <c r="G223" s="91"/>
      <c r="H223" s="91"/>
      <c r="I223" s="91"/>
      <c r="J223" s="91"/>
      <c r="K223" s="91"/>
      <c r="L223" s="91"/>
      <c r="M223" s="91"/>
      <c r="N223" s="91"/>
      <c r="O223" s="91"/>
      <c r="P223" s="91"/>
      <c r="Q223" s="91"/>
      <c r="R223" s="91"/>
      <c r="S223" s="91"/>
      <c r="T223" s="109"/>
      <c r="U223" s="109"/>
      <c r="V223" s="109"/>
      <c r="W223" s="108"/>
      <c r="X223" s="108"/>
      <c r="Y223" s="91"/>
      <c r="Z223" s="186" t="e">
        <f t="array" ref="Z223">IF(E223="","",SUMPRODUCT(T223:V223,TRANSPOSE($V$4:$V$6)))</f>
        <v>#REF!</v>
      </c>
      <c r="AA223" s="109"/>
      <c r="AB223" s="91"/>
      <c r="AC223" s="91"/>
      <c r="AD223" s="91"/>
      <c r="AE223" s="91"/>
      <c r="AF223" s="91"/>
      <c r="AG223" s="91"/>
      <c r="AH223" s="91"/>
      <c r="AI223" s="96"/>
      <c r="AJ223" s="91"/>
      <c r="AK223" s="91"/>
      <c r="AL223" s="91"/>
      <c r="AM223" s="91"/>
      <c r="AN223" s="91"/>
      <c r="AO223" s="91"/>
      <c r="AP223" s="91"/>
      <c r="AQ223" s="91"/>
      <c r="AR223" s="91"/>
      <c r="AS223" s="91"/>
      <c r="AT223" s="91"/>
      <c r="AU223" s="110"/>
      <c r="AV223" s="85" t="e">
        <f t="shared" si="9"/>
        <v>#REF!</v>
      </c>
      <c r="AW223" s="85" t="e">
        <f t="shared" si="9"/>
        <v>#REF!</v>
      </c>
      <c r="AX223" s="85" t="e">
        <f t="shared" si="9"/>
        <v>#REF!</v>
      </c>
      <c r="BB223" s="85" t="s">
        <v>250</v>
      </c>
    </row>
    <row r="224" spans="1:54" ht="15.75" x14ac:dyDescent="0.2">
      <c r="A224" s="111" t="e">
        <f t="shared" si="11"/>
        <v>#REF!</v>
      </c>
      <c r="B224" s="88" t="e">
        <f>IF(OR(#REF!="",#REF!=0,#REF!=#REF!),"",#REF!)</f>
        <v>#REF!</v>
      </c>
      <c r="C224" s="107" t="e">
        <f t="shared" si="10"/>
        <v>#REF!</v>
      </c>
      <c r="D224" s="88" t="e">
        <f>IF(OR(#REF!="",#REF!=0,#REF!=#REF!),"",#REF!)</f>
        <v>#REF!</v>
      </c>
      <c r="E224" s="88" t="e">
        <f>IF($D224="","",#REF!)</f>
        <v>#REF!</v>
      </c>
      <c r="F224" s="91"/>
      <c r="G224" s="91"/>
      <c r="H224" s="91"/>
      <c r="I224" s="91"/>
      <c r="J224" s="91"/>
      <c r="K224" s="91"/>
      <c r="L224" s="91"/>
      <c r="M224" s="91"/>
      <c r="N224" s="91"/>
      <c r="O224" s="91"/>
      <c r="P224" s="91"/>
      <c r="Q224" s="91"/>
      <c r="R224" s="91"/>
      <c r="S224" s="91"/>
      <c r="T224" s="109"/>
      <c r="U224" s="109"/>
      <c r="V224" s="109"/>
      <c r="W224" s="91"/>
      <c r="X224" s="91"/>
      <c r="Y224" s="91"/>
      <c r="Z224" s="186" t="e">
        <f t="array" ref="Z224">IF(E224="","",SUMPRODUCT(T224:V224,TRANSPOSE($V$4:$V$6)))</f>
        <v>#REF!</v>
      </c>
      <c r="AA224" s="109"/>
      <c r="AB224" s="91"/>
      <c r="AC224" s="91"/>
      <c r="AD224" s="91"/>
      <c r="AE224" s="91"/>
      <c r="AF224" s="91"/>
      <c r="AG224" s="91"/>
      <c r="AH224" s="91"/>
      <c r="AI224" s="96"/>
      <c r="AJ224" s="91"/>
      <c r="AK224" s="91"/>
      <c r="AL224" s="91"/>
      <c r="AM224" s="91"/>
      <c r="AN224" s="91"/>
      <c r="AO224" s="91"/>
      <c r="AP224" s="91"/>
      <c r="AQ224" s="91"/>
      <c r="AR224" s="91"/>
      <c r="AS224" s="91"/>
      <c r="AT224" s="91"/>
      <c r="AU224" s="110"/>
      <c r="AV224" s="85" t="e">
        <f t="shared" si="9"/>
        <v>#REF!</v>
      </c>
      <c r="AW224" s="85" t="e">
        <f t="shared" si="9"/>
        <v>#REF!</v>
      </c>
      <c r="AX224" s="85" t="e">
        <f t="shared" si="9"/>
        <v>#REF!</v>
      </c>
      <c r="BB224" s="85" t="s">
        <v>250</v>
      </c>
    </row>
    <row r="225" spans="1:54" ht="15.75" x14ac:dyDescent="0.2">
      <c r="A225" s="111" t="e">
        <f t="shared" si="11"/>
        <v>#REF!</v>
      </c>
      <c r="B225" s="88" t="e">
        <f>IF(OR(#REF!="",#REF!=0,#REF!=#REF!),"",#REF!)</f>
        <v>#REF!</v>
      </c>
      <c r="C225" s="107" t="e">
        <f t="shared" si="10"/>
        <v>#REF!</v>
      </c>
      <c r="D225" s="88" t="e">
        <f>IF(OR(#REF!="",#REF!=0,#REF!=#REF!),"",#REF!)</f>
        <v>#REF!</v>
      </c>
      <c r="E225" s="88" t="e">
        <f>IF($D225="","",#REF!)</f>
        <v>#REF!</v>
      </c>
      <c r="F225" s="91"/>
      <c r="G225" s="91"/>
      <c r="H225" s="91"/>
      <c r="I225" s="91"/>
      <c r="J225" s="91"/>
      <c r="K225" s="91"/>
      <c r="L225" s="91"/>
      <c r="M225" s="91"/>
      <c r="N225" s="91"/>
      <c r="O225" s="91"/>
      <c r="P225" s="91"/>
      <c r="Q225" s="91"/>
      <c r="R225" s="91"/>
      <c r="S225" s="91"/>
      <c r="T225" s="109"/>
      <c r="U225" s="109"/>
      <c r="V225" s="109"/>
      <c r="W225" s="91"/>
      <c r="X225" s="91"/>
      <c r="Y225" s="91"/>
      <c r="Z225" s="186" t="e">
        <f t="array" ref="Z225">IF(E225="","",SUMPRODUCT(T225:V225,TRANSPOSE($V$4:$V$6)))</f>
        <v>#REF!</v>
      </c>
      <c r="AA225" s="109"/>
      <c r="AB225" s="91"/>
      <c r="AC225" s="91"/>
      <c r="AD225" s="91"/>
      <c r="AE225" s="91"/>
      <c r="AF225" s="91"/>
      <c r="AG225" s="91"/>
      <c r="AH225" s="91"/>
      <c r="AI225" s="96"/>
      <c r="AJ225" s="91"/>
      <c r="AK225" s="91"/>
      <c r="AL225" s="91"/>
      <c r="AM225" s="91"/>
      <c r="AN225" s="91"/>
      <c r="AO225" s="91"/>
      <c r="AP225" s="91"/>
      <c r="AQ225" s="91"/>
      <c r="AR225" s="91"/>
      <c r="AS225" s="91"/>
      <c r="AT225" s="91"/>
      <c r="AU225" s="110"/>
      <c r="AV225" s="85" t="e">
        <f t="shared" si="9"/>
        <v>#REF!</v>
      </c>
      <c r="AW225" s="85" t="e">
        <f t="shared" si="9"/>
        <v>#REF!</v>
      </c>
      <c r="AX225" s="85" t="e">
        <f t="shared" si="9"/>
        <v>#REF!</v>
      </c>
      <c r="BB225" s="85" t="s">
        <v>250</v>
      </c>
    </row>
    <row r="226" spans="1:54" ht="15.75" x14ac:dyDescent="0.2">
      <c r="A226" s="111" t="e">
        <f t="shared" si="11"/>
        <v>#REF!</v>
      </c>
      <c r="B226" s="88" t="e">
        <f>IF(OR(#REF!="",#REF!=0,#REF!=#REF!),"",#REF!)</f>
        <v>#REF!</v>
      </c>
      <c r="C226" s="107" t="e">
        <f t="shared" si="10"/>
        <v>#REF!</v>
      </c>
      <c r="D226" s="88" t="e">
        <f>IF(OR(#REF!="",#REF!=0,#REF!=#REF!),"",#REF!)</f>
        <v>#REF!</v>
      </c>
      <c r="E226" s="88" t="e">
        <f>IF($D226="","",#REF!)</f>
        <v>#REF!</v>
      </c>
      <c r="F226" s="91"/>
      <c r="G226" s="91"/>
      <c r="H226" s="91"/>
      <c r="I226" s="91"/>
      <c r="J226" s="91"/>
      <c r="K226" s="91"/>
      <c r="L226" s="91"/>
      <c r="M226" s="91"/>
      <c r="N226" s="91"/>
      <c r="O226" s="91"/>
      <c r="P226" s="91"/>
      <c r="Q226" s="91"/>
      <c r="R226" s="91"/>
      <c r="S226" s="91"/>
      <c r="T226" s="109"/>
      <c r="U226" s="109"/>
      <c r="V226" s="109"/>
      <c r="W226" s="91"/>
      <c r="X226" s="91"/>
      <c r="Y226" s="91"/>
      <c r="Z226" s="186" t="e">
        <f t="array" ref="Z226">IF(E226="","",SUMPRODUCT(T226:V226,TRANSPOSE($V$4:$V$6)))</f>
        <v>#REF!</v>
      </c>
      <c r="AA226" s="109"/>
      <c r="AB226" s="91"/>
      <c r="AC226" s="91"/>
      <c r="AD226" s="91"/>
      <c r="AE226" s="91"/>
      <c r="AF226" s="91"/>
      <c r="AG226" s="91"/>
      <c r="AH226" s="91"/>
      <c r="AI226" s="96"/>
      <c r="AJ226" s="91"/>
      <c r="AK226" s="91"/>
      <c r="AL226" s="91"/>
      <c r="AM226" s="91"/>
      <c r="AN226" s="91"/>
      <c r="AO226" s="91"/>
      <c r="AP226" s="91"/>
      <c r="AQ226" s="91"/>
      <c r="AR226" s="91"/>
      <c r="AS226" s="91"/>
      <c r="AT226" s="91"/>
      <c r="AU226" s="110"/>
      <c r="AV226" s="85" t="e">
        <f t="shared" si="9"/>
        <v>#REF!</v>
      </c>
      <c r="AW226" s="85" t="e">
        <f t="shared" si="9"/>
        <v>#REF!</v>
      </c>
      <c r="AX226" s="85" t="e">
        <f t="shared" si="9"/>
        <v>#REF!</v>
      </c>
      <c r="BB226" s="85" t="s">
        <v>250</v>
      </c>
    </row>
    <row r="227" spans="1:54" ht="15.75" x14ac:dyDescent="0.2">
      <c r="A227" s="111" t="e">
        <f t="shared" si="11"/>
        <v>#REF!</v>
      </c>
      <c r="B227" s="88" t="e">
        <f>IF(OR(#REF!="",#REF!=0,#REF!=#REF!),"",#REF!)</f>
        <v>#REF!</v>
      </c>
      <c r="C227" s="107" t="e">
        <f t="shared" si="10"/>
        <v>#REF!</v>
      </c>
      <c r="D227" s="88" t="e">
        <f>IF(OR(#REF!="",#REF!=0,#REF!=#REF!),"",#REF!)</f>
        <v>#REF!</v>
      </c>
      <c r="E227" s="88" t="e">
        <f>IF($D227="","",#REF!)</f>
        <v>#REF!</v>
      </c>
      <c r="F227" s="91"/>
      <c r="G227" s="91"/>
      <c r="H227" s="91"/>
      <c r="I227" s="91"/>
      <c r="J227" s="91"/>
      <c r="K227" s="91"/>
      <c r="L227" s="91"/>
      <c r="M227" s="91"/>
      <c r="N227" s="91"/>
      <c r="O227" s="91"/>
      <c r="P227" s="91"/>
      <c r="Q227" s="91"/>
      <c r="R227" s="91"/>
      <c r="S227" s="91"/>
      <c r="T227" s="109"/>
      <c r="U227" s="109"/>
      <c r="V227" s="109"/>
      <c r="W227" s="108"/>
      <c r="X227" s="108"/>
      <c r="Y227" s="91"/>
      <c r="Z227" s="186" t="e">
        <f t="array" ref="Z227">IF(E227="","",SUMPRODUCT(T227:V227,TRANSPOSE($V$4:$V$6)))</f>
        <v>#REF!</v>
      </c>
      <c r="AA227" s="109"/>
      <c r="AB227" s="91"/>
      <c r="AC227" s="91"/>
      <c r="AD227" s="91"/>
      <c r="AE227" s="91"/>
      <c r="AF227" s="91"/>
      <c r="AG227" s="91"/>
      <c r="AH227" s="91"/>
      <c r="AI227" s="96"/>
      <c r="AJ227" s="91"/>
      <c r="AK227" s="91"/>
      <c r="AL227" s="91"/>
      <c r="AM227" s="91"/>
      <c r="AN227" s="91"/>
      <c r="AO227" s="91"/>
      <c r="AP227" s="91"/>
      <c r="AQ227" s="91"/>
      <c r="AR227" s="91"/>
      <c r="AS227" s="91"/>
      <c r="AT227" s="91"/>
      <c r="AU227" s="110"/>
      <c r="AV227" s="85" t="e">
        <f t="shared" si="9"/>
        <v>#REF!</v>
      </c>
      <c r="AW227" s="85" t="e">
        <f t="shared" si="9"/>
        <v>#REF!</v>
      </c>
      <c r="AX227" s="85" t="e">
        <f t="shared" si="9"/>
        <v>#REF!</v>
      </c>
      <c r="BB227" s="85" t="s">
        <v>250</v>
      </c>
    </row>
    <row r="228" spans="1:54" ht="15.75" x14ac:dyDescent="0.2">
      <c r="A228" s="111" t="e">
        <f t="shared" si="11"/>
        <v>#REF!</v>
      </c>
      <c r="B228" s="88" t="e">
        <f>IF(OR(#REF!="",#REF!=0,#REF!=#REF!),"",#REF!)</f>
        <v>#REF!</v>
      </c>
      <c r="C228" s="107" t="e">
        <f t="shared" si="10"/>
        <v>#REF!</v>
      </c>
      <c r="D228" s="88" t="e">
        <f>IF(OR(#REF!="",#REF!=0,#REF!=#REF!),"",#REF!)</f>
        <v>#REF!</v>
      </c>
      <c r="E228" s="88" t="e">
        <f>IF($D228="","",#REF!)</f>
        <v>#REF!</v>
      </c>
      <c r="F228" s="91"/>
      <c r="G228" s="91"/>
      <c r="H228" s="91"/>
      <c r="I228" s="91"/>
      <c r="J228" s="91"/>
      <c r="K228" s="91"/>
      <c r="L228" s="91"/>
      <c r="M228" s="91"/>
      <c r="N228" s="91"/>
      <c r="O228" s="91"/>
      <c r="P228" s="91"/>
      <c r="Q228" s="91"/>
      <c r="R228" s="91"/>
      <c r="S228" s="91"/>
      <c r="T228" s="109"/>
      <c r="U228" s="109"/>
      <c r="V228" s="109"/>
      <c r="W228" s="108"/>
      <c r="X228" s="108"/>
      <c r="Y228" s="91"/>
      <c r="Z228" s="186" t="e">
        <f t="array" ref="Z228">IF(E228="","",SUMPRODUCT(T228:V228,TRANSPOSE($V$4:$V$6)))</f>
        <v>#REF!</v>
      </c>
      <c r="AA228" s="109"/>
      <c r="AB228" s="91"/>
      <c r="AC228" s="91"/>
      <c r="AD228" s="91"/>
      <c r="AE228" s="91"/>
      <c r="AF228" s="91"/>
      <c r="AG228" s="91"/>
      <c r="AH228" s="91"/>
      <c r="AI228" s="116"/>
      <c r="AJ228" s="91"/>
      <c r="AK228" s="91"/>
      <c r="AL228" s="91"/>
      <c r="AM228" s="91"/>
      <c r="AN228" s="91"/>
      <c r="AO228" s="91"/>
      <c r="AP228" s="91"/>
      <c r="AQ228" s="91"/>
      <c r="AR228" s="91"/>
      <c r="AS228" s="91"/>
      <c r="AT228" s="91"/>
      <c r="AU228" s="110"/>
      <c r="AV228" s="85" t="e">
        <f t="shared" si="9"/>
        <v>#REF!</v>
      </c>
      <c r="AW228" s="85" t="e">
        <f t="shared" si="9"/>
        <v>#REF!</v>
      </c>
      <c r="AX228" s="85" t="e">
        <f t="shared" si="9"/>
        <v>#REF!</v>
      </c>
      <c r="BB228" s="85" t="s">
        <v>250</v>
      </c>
    </row>
    <row r="229" spans="1:54" ht="15.75" x14ac:dyDescent="0.2">
      <c r="A229" s="111" t="e">
        <f t="shared" si="11"/>
        <v>#REF!</v>
      </c>
      <c r="B229" s="88" t="e">
        <f>IF(OR(#REF!="",#REF!=0,#REF!=#REF!),"",#REF!)</f>
        <v>#REF!</v>
      </c>
      <c r="C229" s="107" t="e">
        <f t="shared" si="10"/>
        <v>#REF!</v>
      </c>
      <c r="D229" s="88" t="e">
        <f>IF(OR(#REF!="",#REF!=0,#REF!=#REF!),"",#REF!)</f>
        <v>#REF!</v>
      </c>
      <c r="E229" s="88" t="e">
        <f>IF($D229="","",#REF!)</f>
        <v>#REF!</v>
      </c>
      <c r="F229" s="91"/>
      <c r="G229" s="91"/>
      <c r="H229" s="91"/>
      <c r="I229" s="91"/>
      <c r="J229" s="91"/>
      <c r="K229" s="91"/>
      <c r="L229" s="91"/>
      <c r="M229" s="91"/>
      <c r="N229" s="91"/>
      <c r="O229" s="91"/>
      <c r="P229" s="91"/>
      <c r="Q229" s="91"/>
      <c r="R229" s="91"/>
      <c r="S229" s="91"/>
      <c r="T229" s="109"/>
      <c r="U229" s="109"/>
      <c r="V229" s="109"/>
      <c r="W229" s="91"/>
      <c r="X229" s="91"/>
      <c r="Y229" s="91"/>
      <c r="Z229" s="186" t="e">
        <f t="array" ref="Z229">IF(E229="","",SUMPRODUCT(T229:V229,TRANSPOSE($V$4:$V$6)))</f>
        <v>#REF!</v>
      </c>
      <c r="AA229" s="109"/>
      <c r="AB229" s="91"/>
      <c r="AC229" s="91"/>
      <c r="AD229" s="91"/>
      <c r="AE229" s="91"/>
      <c r="AF229" s="91"/>
      <c r="AG229" s="91"/>
      <c r="AH229" s="91"/>
      <c r="AI229" s="96"/>
      <c r="AJ229" s="91"/>
      <c r="AK229" s="91"/>
      <c r="AL229" s="91"/>
      <c r="AM229" s="91"/>
      <c r="AN229" s="91"/>
      <c r="AO229" s="91"/>
      <c r="AP229" s="91"/>
      <c r="AQ229" s="91"/>
      <c r="AR229" s="91"/>
      <c r="AS229" s="91"/>
      <c r="AT229" s="91"/>
      <c r="AU229" s="110"/>
      <c r="AV229" s="85" t="e">
        <f t="shared" si="9"/>
        <v>#REF!</v>
      </c>
      <c r="AW229" s="85" t="e">
        <f t="shared" si="9"/>
        <v>#REF!</v>
      </c>
      <c r="AX229" s="85" t="e">
        <f t="shared" si="9"/>
        <v>#REF!</v>
      </c>
      <c r="BB229" s="85" t="s">
        <v>250</v>
      </c>
    </row>
    <row r="230" spans="1:54" ht="15.75" x14ac:dyDescent="0.2">
      <c r="A230" s="111" t="e">
        <f t="shared" si="11"/>
        <v>#REF!</v>
      </c>
      <c r="B230" s="88" t="e">
        <f>IF(OR(#REF!="",#REF!=0,#REF!=#REF!),"",#REF!)</f>
        <v>#REF!</v>
      </c>
      <c r="C230" s="107" t="e">
        <f t="shared" si="10"/>
        <v>#REF!</v>
      </c>
      <c r="D230" s="88" t="e">
        <f>IF(OR(#REF!="",#REF!=0,#REF!=#REF!),"",#REF!)</f>
        <v>#REF!</v>
      </c>
      <c r="E230" s="88" t="e">
        <f>IF($D230="","",#REF!)</f>
        <v>#REF!</v>
      </c>
      <c r="F230" s="91"/>
      <c r="G230" s="91"/>
      <c r="H230" s="91"/>
      <c r="I230" s="91"/>
      <c r="J230" s="91"/>
      <c r="K230" s="91"/>
      <c r="L230" s="91"/>
      <c r="M230" s="91"/>
      <c r="N230" s="91"/>
      <c r="O230" s="91"/>
      <c r="P230" s="91"/>
      <c r="Q230" s="91"/>
      <c r="R230" s="91"/>
      <c r="S230" s="91"/>
      <c r="T230" s="109"/>
      <c r="U230" s="109"/>
      <c r="V230" s="109"/>
      <c r="W230" s="108"/>
      <c r="X230" s="108"/>
      <c r="Y230" s="91"/>
      <c r="Z230" s="186" t="e">
        <f t="array" ref="Z230">IF(E230="","",SUMPRODUCT(T230:V230,TRANSPOSE($V$4:$V$6)))</f>
        <v>#REF!</v>
      </c>
      <c r="AA230" s="109"/>
      <c r="AB230" s="91"/>
      <c r="AC230" s="91"/>
      <c r="AD230" s="91"/>
      <c r="AE230" s="91"/>
      <c r="AF230" s="91"/>
      <c r="AG230" s="91"/>
      <c r="AH230" s="91"/>
      <c r="AI230" s="116"/>
      <c r="AJ230" s="91"/>
      <c r="AK230" s="91"/>
      <c r="AL230" s="91"/>
      <c r="AM230" s="91"/>
      <c r="AN230" s="91"/>
      <c r="AO230" s="91"/>
      <c r="AP230" s="91"/>
      <c r="AQ230" s="91"/>
      <c r="AR230" s="91"/>
      <c r="AS230" s="91"/>
      <c r="AT230" s="91"/>
      <c r="AU230" s="110"/>
      <c r="AV230" s="85" t="e">
        <f t="shared" si="9"/>
        <v>#REF!</v>
      </c>
      <c r="AW230" s="85" t="e">
        <f t="shared" si="9"/>
        <v>#REF!</v>
      </c>
      <c r="AX230" s="85" t="e">
        <f t="shared" si="9"/>
        <v>#REF!</v>
      </c>
      <c r="BB230" s="85" t="s">
        <v>250</v>
      </c>
    </row>
    <row r="231" spans="1:54" ht="15.75" x14ac:dyDescent="0.2">
      <c r="A231" s="111" t="e">
        <f t="shared" si="11"/>
        <v>#REF!</v>
      </c>
      <c r="B231" s="88" t="e">
        <f>IF(OR(#REF!="",#REF!=0,#REF!=#REF!),"",#REF!)</f>
        <v>#REF!</v>
      </c>
      <c r="C231" s="107" t="e">
        <f t="shared" si="10"/>
        <v>#REF!</v>
      </c>
      <c r="D231" s="88" t="e">
        <f>IF(OR(#REF!="",#REF!=0,#REF!=#REF!),"",#REF!)</f>
        <v>#REF!</v>
      </c>
      <c r="E231" s="88" t="e">
        <f>IF($D231="","",#REF!)</f>
        <v>#REF!</v>
      </c>
      <c r="F231" s="91"/>
      <c r="G231" s="91"/>
      <c r="H231" s="91"/>
      <c r="I231" s="91"/>
      <c r="J231" s="91"/>
      <c r="K231" s="91"/>
      <c r="L231" s="91"/>
      <c r="M231" s="91"/>
      <c r="N231" s="91"/>
      <c r="O231" s="91"/>
      <c r="P231" s="91"/>
      <c r="Q231" s="91"/>
      <c r="R231" s="91"/>
      <c r="S231" s="91"/>
      <c r="T231" s="109"/>
      <c r="U231" s="109"/>
      <c r="V231" s="109"/>
      <c r="W231" s="108"/>
      <c r="X231" s="108"/>
      <c r="Y231" s="91"/>
      <c r="Z231" s="186" t="e">
        <f t="array" ref="Z231">IF(E231="","",SUMPRODUCT(T231:V231,TRANSPOSE($V$4:$V$6)))</f>
        <v>#REF!</v>
      </c>
      <c r="AA231" s="109"/>
      <c r="AB231" s="91"/>
      <c r="AC231" s="91"/>
      <c r="AD231" s="91"/>
      <c r="AE231" s="91"/>
      <c r="AF231" s="91"/>
      <c r="AG231" s="91"/>
      <c r="AH231" s="91"/>
      <c r="AI231" s="96"/>
      <c r="AJ231" s="91"/>
      <c r="AK231" s="91"/>
      <c r="AL231" s="91"/>
      <c r="AM231" s="91"/>
      <c r="AN231" s="91"/>
      <c r="AO231" s="91"/>
      <c r="AP231" s="91"/>
      <c r="AQ231" s="91"/>
      <c r="AR231" s="91"/>
      <c r="AS231" s="91"/>
      <c r="AT231" s="91"/>
      <c r="AU231" s="110"/>
      <c r="AV231" s="85" t="e">
        <f t="shared" si="9"/>
        <v>#REF!</v>
      </c>
      <c r="AW231" s="85" t="e">
        <f t="shared" si="9"/>
        <v>#REF!</v>
      </c>
      <c r="AX231" s="85" t="e">
        <f t="shared" si="9"/>
        <v>#REF!</v>
      </c>
      <c r="BB231" s="85" t="s">
        <v>250</v>
      </c>
    </row>
    <row r="232" spans="1:54" ht="15.75" x14ac:dyDescent="0.2">
      <c r="A232" s="111" t="e">
        <f t="shared" si="11"/>
        <v>#REF!</v>
      </c>
      <c r="B232" s="88" t="e">
        <f>IF(OR(#REF!="",#REF!=0,#REF!=#REF!),"",#REF!)</f>
        <v>#REF!</v>
      </c>
      <c r="C232" s="107" t="e">
        <f t="shared" si="10"/>
        <v>#REF!</v>
      </c>
      <c r="D232" s="88" t="e">
        <f>IF(OR(#REF!="",#REF!=0,#REF!=#REF!),"",#REF!)</f>
        <v>#REF!</v>
      </c>
      <c r="E232" s="88" t="e">
        <f>IF($D232="","",#REF!)</f>
        <v>#REF!</v>
      </c>
      <c r="F232" s="91"/>
      <c r="G232" s="91"/>
      <c r="H232" s="91"/>
      <c r="I232" s="91"/>
      <c r="J232" s="91"/>
      <c r="K232" s="91"/>
      <c r="L232" s="91"/>
      <c r="M232" s="91"/>
      <c r="N232" s="91"/>
      <c r="O232" s="91"/>
      <c r="P232" s="91"/>
      <c r="Q232" s="91"/>
      <c r="R232" s="91"/>
      <c r="S232" s="91"/>
      <c r="T232" s="109"/>
      <c r="U232" s="109"/>
      <c r="V232" s="109"/>
      <c r="W232" s="91"/>
      <c r="X232" s="91"/>
      <c r="Y232" s="91"/>
      <c r="Z232" s="186" t="e">
        <f t="array" ref="Z232">IF(E232="","",SUMPRODUCT(T232:V232,TRANSPOSE($V$4:$V$6)))</f>
        <v>#REF!</v>
      </c>
      <c r="AA232" s="109"/>
      <c r="AB232" s="91"/>
      <c r="AC232" s="91"/>
      <c r="AD232" s="91"/>
      <c r="AE232" s="91"/>
      <c r="AF232" s="91"/>
      <c r="AG232" s="91"/>
      <c r="AH232" s="91"/>
      <c r="AI232" s="96"/>
      <c r="AJ232" s="91"/>
      <c r="AK232" s="91"/>
      <c r="AL232" s="91"/>
      <c r="AM232" s="91"/>
      <c r="AN232" s="91"/>
      <c r="AO232" s="91"/>
      <c r="AP232" s="91"/>
      <c r="AQ232" s="91"/>
      <c r="AR232" s="91"/>
      <c r="AS232" s="91"/>
      <c r="AT232" s="91"/>
      <c r="AU232" s="110"/>
      <c r="AV232" s="85" t="e">
        <f t="shared" si="9"/>
        <v>#REF!</v>
      </c>
      <c r="AW232" s="85" t="e">
        <f t="shared" si="9"/>
        <v>#REF!</v>
      </c>
      <c r="AX232" s="85" t="e">
        <f t="shared" si="9"/>
        <v>#REF!</v>
      </c>
      <c r="BB232" s="85" t="s">
        <v>250</v>
      </c>
    </row>
    <row r="233" spans="1:54" ht="15.75" x14ac:dyDescent="0.2">
      <c r="A233" s="111" t="e">
        <f t="shared" si="11"/>
        <v>#REF!</v>
      </c>
      <c r="B233" s="88" t="e">
        <f>IF(OR(#REF!="",#REF!=0,#REF!=#REF!),"",#REF!)</f>
        <v>#REF!</v>
      </c>
      <c r="C233" s="107" t="e">
        <f t="shared" si="10"/>
        <v>#REF!</v>
      </c>
      <c r="D233" s="88" t="e">
        <f>IF(OR(#REF!="",#REF!=0,#REF!=#REF!),"",#REF!)</f>
        <v>#REF!</v>
      </c>
      <c r="E233" s="88" t="e">
        <f>IF($D233="","",#REF!)</f>
        <v>#REF!</v>
      </c>
      <c r="F233" s="91"/>
      <c r="G233" s="91"/>
      <c r="H233" s="91"/>
      <c r="I233" s="91"/>
      <c r="J233" s="91"/>
      <c r="K233" s="91"/>
      <c r="L233" s="91"/>
      <c r="M233" s="91"/>
      <c r="N233" s="91"/>
      <c r="O233" s="91"/>
      <c r="P233" s="91"/>
      <c r="Q233" s="91"/>
      <c r="R233" s="91"/>
      <c r="S233" s="91"/>
      <c r="T233" s="109"/>
      <c r="U233" s="109"/>
      <c r="V233" s="109"/>
      <c r="W233" s="108"/>
      <c r="X233" s="108"/>
      <c r="Y233" s="91"/>
      <c r="Z233" s="186" t="e">
        <f t="array" ref="Z233">IF(E233="","",SUMPRODUCT(T233:V233,TRANSPOSE($V$4:$V$6)))</f>
        <v>#REF!</v>
      </c>
      <c r="AA233" s="109"/>
      <c r="AB233" s="91"/>
      <c r="AC233" s="91"/>
      <c r="AD233" s="91"/>
      <c r="AE233" s="91"/>
      <c r="AF233" s="91"/>
      <c r="AG233" s="91"/>
      <c r="AH233" s="91"/>
      <c r="AI233" s="112"/>
      <c r="AJ233" s="109"/>
      <c r="AK233" s="91"/>
      <c r="AL233" s="91"/>
      <c r="AM233" s="91"/>
      <c r="AN233" s="91"/>
      <c r="AO233" s="91"/>
      <c r="AP233" s="91"/>
      <c r="AQ233" s="91"/>
      <c r="AR233" s="91"/>
      <c r="AS233" s="91"/>
      <c r="AT233" s="91"/>
      <c r="AU233" s="110"/>
      <c r="AV233" s="85" t="e">
        <f t="shared" si="9"/>
        <v>#REF!</v>
      </c>
      <c r="AW233" s="85" t="e">
        <f t="shared" si="9"/>
        <v>#REF!</v>
      </c>
      <c r="AX233" s="85" t="e">
        <f t="shared" si="9"/>
        <v>#REF!</v>
      </c>
      <c r="BB233" s="85" t="s">
        <v>250</v>
      </c>
    </row>
    <row r="234" spans="1:54" ht="15.75" x14ac:dyDescent="0.2">
      <c r="A234" s="111" t="e">
        <f t="shared" si="11"/>
        <v>#REF!</v>
      </c>
      <c r="B234" s="88" t="e">
        <f>IF(OR(#REF!="",#REF!=0,#REF!=#REF!),"",#REF!)</f>
        <v>#REF!</v>
      </c>
      <c r="C234" s="107" t="e">
        <f t="shared" si="10"/>
        <v>#REF!</v>
      </c>
      <c r="D234" s="88" t="e">
        <f>IF(OR(#REF!="",#REF!=0,#REF!=#REF!),"",#REF!)</f>
        <v>#REF!</v>
      </c>
      <c r="E234" s="88" t="e">
        <f>IF($D234="","",#REF!)</f>
        <v>#REF!</v>
      </c>
      <c r="F234" s="91"/>
      <c r="G234" s="91"/>
      <c r="H234" s="91"/>
      <c r="I234" s="91"/>
      <c r="J234" s="91"/>
      <c r="K234" s="91"/>
      <c r="L234" s="91"/>
      <c r="M234" s="91"/>
      <c r="N234" s="91"/>
      <c r="O234" s="91"/>
      <c r="P234" s="91"/>
      <c r="Q234" s="91"/>
      <c r="R234" s="91"/>
      <c r="S234" s="91"/>
      <c r="T234" s="109"/>
      <c r="U234" s="109"/>
      <c r="V234" s="109"/>
      <c r="W234" s="108"/>
      <c r="X234" s="108"/>
      <c r="Y234" s="91"/>
      <c r="Z234" s="186" t="e">
        <f t="array" ref="Z234">IF(E234="","",SUMPRODUCT(T234:V234,TRANSPOSE($V$4:$V$6)))</f>
        <v>#REF!</v>
      </c>
      <c r="AA234" s="109"/>
      <c r="AB234" s="91"/>
      <c r="AC234" s="91"/>
      <c r="AD234" s="91"/>
      <c r="AE234" s="91"/>
      <c r="AF234" s="91"/>
      <c r="AG234" s="91"/>
      <c r="AH234" s="91"/>
      <c r="AI234" s="116"/>
      <c r="AJ234" s="91"/>
      <c r="AK234" s="91"/>
      <c r="AL234" s="91"/>
      <c r="AM234" s="91"/>
      <c r="AN234" s="91"/>
      <c r="AO234" s="91"/>
      <c r="AP234" s="91"/>
      <c r="AQ234" s="91"/>
      <c r="AR234" s="91"/>
      <c r="AS234" s="91"/>
      <c r="AT234" s="91"/>
      <c r="AU234" s="110"/>
      <c r="AV234" s="85" t="e">
        <f t="shared" si="9"/>
        <v>#REF!</v>
      </c>
      <c r="AW234" s="85" t="e">
        <f t="shared" si="9"/>
        <v>#REF!</v>
      </c>
      <c r="AX234" s="85" t="e">
        <f t="shared" si="9"/>
        <v>#REF!</v>
      </c>
      <c r="BB234" s="85" t="s">
        <v>250</v>
      </c>
    </row>
    <row r="235" spans="1:54" ht="15.75" x14ac:dyDescent="0.2">
      <c r="A235" s="111" t="e">
        <f t="shared" si="11"/>
        <v>#REF!</v>
      </c>
      <c r="B235" s="88" t="e">
        <f>IF(OR(#REF!="",#REF!=0,#REF!=#REF!),"",#REF!)</f>
        <v>#REF!</v>
      </c>
      <c r="C235" s="107" t="e">
        <f t="shared" si="10"/>
        <v>#REF!</v>
      </c>
      <c r="D235" s="88" t="e">
        <f>IF(OR(#REF!="",#REF!=0,#REF!=#REF!),"",#REF!)</f>
        <v>#REF!</v>
      </c>
      <c r="E235" s="88" t="e">
        <f>IF($D235="","",#REF!)</f>
        <v>#REF!</v>
      </c>
      <c r="F235" s="91"/>
      <c r="G235" s="91"/>
      <c r="H235" s="91"/>
      <c r="I235" s="91"/>
      <c r="J235" s="91"/>
      <c r="K235" s="91"/>
      <c r="L235" s="91"/>
      <c r="M235" s="91"/>
      <c r="N235" s="91"/>
      <c r="O235" s="91"/>
      <c r="P235" s="91"/>
      <c r="Q235" s="91"/>
      <c r="R235" s="91"/>
      <c r="S235" s="91"/>
      <c r="T235" s="109"/>
      <c r="U235" s="109"/>
      <c r="V235" s="109"/>
      <c r="W235" s="91"/>
      <c r="X235" s="91"/>
      <c r="Y235" s="91"/>
      <c r="Z235" s="186" t="e">
        <f t="array" ref="Z235">IF(E235="","",SUMPRODUCT(T235:V235,TRANSPOSE($V$4:$V$6)))</f>
        <v>#REF!</v>
      </c>
      <c r="AA235" s="109"/>
      <c r="AB235" s="91"/>
      <c r="AC235" s="91"/>
      <c r="AD235" s="91"/>
      <c r="AE235" s="91"/>
      <c r="AF235" s="91"/>
      <c r="AG235" s="91"/>
      <c r="AH235" s="91"/>
      <c r="AI235" s="96"/>
      <c r="AJ235" s="91"/>
      <c r="AK235" s="91"/>
      <c r="AL235" s="91"/>
      <c r="AM235" s="91"/>
      <c r="AN235" s="91"/>
      <c r="AO235" s="91"/>
      <c r="AP235" s="91"/>
      <c r="AQ235" s="91"/>
      <c r="AR235" s="91"/>
      <c r="AS235" s="91"/>
      <c r="AT235" s="91"/>
      <c r="AU235" s="110"/>
      <c r="AV235" s="85" t="e">
        <f t="shared" si="9"/>
        <v>#REF!</v>
      </c>
      <c r="AW235" s="85" t="e">
        <f t="shared" si="9"/>
        <v>#REF!</v>
      </c>
      <c r="AX235" s="85" t="e">
        <f t="shared" si="9"/>
        <v>#REF!</v>
      </c>
      <c r="BB235" s="85" t="s">
        <v>250</v>
      </c>
    </row>
    <row r="236" spans="1:54" ht="15.75" x14ac:dyDescent="0.2">
      <c r="A236" s="111" t="e">
        <f t="shared" si="11"/>
        <v>#REF!</v>
      </c>
      <c r="B236" s="88" t="e">
        <f>IF(OR(#REF!="",#REF!=0,#REF!=#REF!),"",#REF!)</f>
        <v>#REF!</v>
      </c>
      <c r="C236" s="107" t="e">
        <f t="shared" si="10"/>
        <v>#REF!</v>
      </c>
      <c r="D236" s="88" t="e">
        <f>IF(OR(#REF!="",#REF!=0,#REF!=#REF!),"",#REF!)</f>
        <v>#REF!</v>
      </c>
      <c r="E236" s="88" t="e">
        <f>IF($D236="","",#REF!)</f>
        <v>#REF!</v>
      </c>
      <c r="F236" s="91"/>
      <c r="G236" s="91"/>
      <c r="H236" s="91"/>
      <c r="I236" s="91"/>
      <c r="J236" s="91"/>
      <c r="K236" s="91"/>
      <c r="L236" s="91"/>
      <c r="M236" s="91"/>
      <c r="N236" s="91"/>
      <c r="O236" s="91"/>
      <c r="P236" s="91"/>
      <c r="Q236" s="91"/>
      <c r="R236" s="91"/>
      <c r="S236" s="91"/>
      <c r="T236" s="109"/>
      <c r="U236" s="109"/>
      <c r="V236" s="109"/>
      <c r="W236" s="108"/>
      <c r="X236" s="108"/>
      <c r="Y236" s="91"/>
      <c r="Z236" s="186" t="e">
        <f t="array" ref="Z236">IF(E236="","",SUMPRODUCT(T236:V236,TRANSPOSE($V$4:$V$6)))</f>
        <v>#REF!</v>
      </c>
      <c r="AA236" s="109"/>
      <c r="AB236" s="91"/>
      <c r="AC236" s="91"/>
      <c r="AD236" s="91"/>
      <c r="AE236" s="91"/>
      <c r="AF236" s="91"/>
      <c r="AG236" s="91"/>
      <c r="AH236" s="91"/>
      <c r="AI236" s="96"/>
      <c r="AJ236" s="91"/>
      <c r="AK236" s="91"/>
      <c r="AL236" s="91"/>
      <c r="AM236" s="91"/>
      <c r="AN236" s="91"/>
      <c r="AO236" s="91"/>
      <c r="AP236" s="91"/>
      <c r="AQ236" s="91"/>
      <c r="AR236" s="91"/>
      <c r="AS236" s="91"/>
      <c r="AT236" s="91"/>
      <c r="AU236" s="110"/>
      <c r="AV236" s="85" t="e">
        <f t="shared" si="9"/>
        <v>#REF!</v>
      </c>
      <c r="AW236" s="85" t="e">
        <f t="shared" si="9"/>
        <v>#REF!</v>
      </c>
      <c r="AX236" s="85" t="e">
        <f t="shared" si="9"/>
        <v>#REF!</v>
      </c>
      <c r="BB236" s="85" t="s">
        <v>250</v>
      </c>
    </row>
    <row r="237" spans="1:54" ht="15.75" x14ac:dyDescent="0.2">
      <c r="A237" s="111" t="e">
        <f t="shared" si="11"/>
        <v>#REF!</v>
      </c>
      <c r="B237" s="88" t="e">
        <f>IF(OR(#REF!="",#REF!=0,#REF!=#REF!),"",#REF!)</f>
        <v>#REF!</v>
      </c>
      <c r="C237" s="107" t="e">
        <f t="shared" si="10"/>
        <v>#REF!</v>
      </c>
      <c r="D237" s="88" t="e">
        <f>IF(OR(#REF!="",#REF!=0,#REF!=#REF!),"",#REF!)</f>
        <v>#REF!</v>
      </c>
      <c r="E237" s="88" t="e">
        <f>IF($D237="","",#REF!)</f>
        <v>#REF!</v>
      </c>
      <c r="F237" s="91"/>
      <c r="G237" s="91"/>
      <c r="H237" s="91"/>
      <c r="I237" s="91"/>
      <c r="J237" s="91"/>
      <c r="K237" s="91"/>
      <c r="L237" s="91"/>
      <c r="M237" s="91"/>
      <c r="N237" s="91"/>
      <c r="O237" s="91"/>
      <c r="P237" s="91"/>
      <c r="Q237" s="91"/>
      <c r="R237" s="91"/>
      <c r="S237" s="91"/>
      <c r="T237" s="109"/>
      <c r="U237" s="109"/>
      <c r="V237" s="109"/>
      <c r="W237" s="91"/>
      <c r="X237" s="91"/>
      <c r="Y237" s="91"/>
      <c r="Z237" s="186" t="e">
        <f t="array" ref="Z237">IF(E237="","",SUMPRODUCT(T237:V237,TRANSPOSE($V$4:$V$6)))</f>
        <v>#REF!</v>
      </c>
      <c r="AA237" s="109"/>
      <c r="AB237" s="91"/>
      <c r="AC237" s="91"/>
      <c r="AD237" s="91"/>
      <c r="AE237" s="91"/>
      <c r="AF237" s="91"/>
      <c r="AG237" s="91"/>
      <c r="AH237" s="91"/>
      <c r="AI237" s="96"/>
      <c r="AJ237" s="91"/>
      <c r="AK237" s="91"/>
      <c r="AL237" s="91"/>
      <c r="AM237" s="91"/>
      <c r="AN237" s="91"/>
      <c r="AO237" s="91"/>
      <c r="AP237" s="91"/>
      <c r="AQ237" s="91"/>
      <c r="AR237" s="91"/>
      <c r="AS237" s="91"/>
      <c r="AT237" s="91"/>
      <c r="AU237" s="110"/>
      <c r="AV237" s="85" t="e">
        <f t="shared" si="9"/>
        <v>#REF!</v>
      </c>
      <c r="AW237" s="85" t="e">
        <f t="shared" si="9"/>
        <v>#REF!</v>
      </c>
      <c r="AX237" s="85" t="e">
        <f t="shared" si="9"/>
        <v>#REF!</v>
      </c>
      <c r="BB237" s="85" t="s">
        <v>250</v>
      </c>
    </row>
    <row r="238" spans="1:54" ht="15.75" x14ac:dyDescent="0.2">
      <c r="A238" s="111" t="e">
        <f t="shared" si="11"/>
        <v>#REF!</v>
      </c>
      <c r="B238" s="88" t="e">
        <f>IF(OR(#REF!="",#REF!=0,#REF!=#REF!),"",#REF!)</f>
        <v>#REF!</v>
      </c>
      <c r="C238" s="107" t="e">
        <f t="shared" si="10"/>
        <v>#REF!</v>
      </c>
      <c r="D238" s="88" t="e">
        <f>IF(OR(#REF!="",#REF!=0,#REF!=#REF!),"",#REF!)</f>
        <v>#REF!</v>
      </c>
      <c r="E238" s="88" t="e">
        <f>IF($D238="","",#REF!)</f>
        <v>#REF!</v>
      </c>
      <c r="F238" s="91"/>
      <c r="G238" s="91"/>
      <c r="H238" s="91"/>
      <c r="I238" s="91"/>
      <c r="J238" s="91"/>
      <c r="K238" s="91"/>
      <c r="L238" s="91"/>
      <c r="M238" s="91"/>
      <c r="N238" s="91"/>
      <c r="O238" s="91"/>
      <c r="P238" s="91"/>
      <c r="Q238" s="91"/>
      <c r="R238" s="91"/>
      <c r="S238" s="91"/>
      <c r="T238" s="109"/>
      <c r="U238" s="109"/>
      <c r="V238" s="109"/>
      <c r="W238" s="108"/>
      <c r="X238" s="108"/>
      <c r="Y238" s="91"/>
      <c r="Z238" s="186" t="e">
        <f t="array" ref="Z238">IF(E238="","",SUMPRODUCT(T238:V238,TRANSPOSE($V$4:$V$6)))</f>
        <v>#REF!</v>
      </c>
      <c r="AA238" s="109"/>
      <c r="AB238" s="91"/>
      <c r="AC238" s="91"/>
      <c r="AD238" s="91"/>
      <c r="AE238" s="91"/>
      <c r="AF238" s="91"/>
      <c r="AG238" s="91"/>
      <c r="AH238" s="91"/>
      <c r="AI238" s="116"/>
      <c r="AJ238" s="91"/>
      <c r="AK238" s="91"/>
      <c r="AL238" s="91"/>
      <c r="AM238" s="91"/>
      <c r="AN238" s="91"/>
      <c r="AO238" s="91"/>
      <c r="AP238" s="91"/>
      <c r="AQ238" s="91"/>
      <c r="AR238" s="91"/>
      <c r="AS238" s="91"/>
      <c r="AT238" s="91"/>
      <c r="AU238" s="110"/>
      <c r="AV238" s="85" t="e">
        <f t="shared" si="9"/>
        <v>#REF!</v>
      </c>
      <c r="AW238" s="85" t="e">
        <f t="shared" si="9"/>
        <v>#REF!</v>
      </c>
      <c r="AX238" s="85" t="e">
        <f t="shared" si="9"/>
        <v>#REF!</v>
      </c>
      <c r="BB238" s="85" t="s">
        <v>250</v>
      </c>
    </row>
    <row r="239" spans="1:54" ht="15.75" x14ac:dyDescent="0.2">
      <c r="A239" s="111" t="e">
        <f t="shared" si="11"/>
        <v>#REF!</v>
      </c>
      <c r="B239" s="88" t="e">
        <f>IF(OR(#REF!="",#REF!=0,#REF!=#REF!),"",#REF!)</f>
        <v>#REF!</v>
      </c>
      <c r="C239" s="107" t="e">
        <f t="shared" si="10"/>
        <v>#REF!</v>
      </c>
      <c r="D239" s="88" t="e">
        <f>IF(OR(#REF!="",#REF!=0,#REF!=#REF!),"",#REF!)</f>
        <v>#REF!</v>
      </c>
      <c r="E239" s="88" t="e">
        <f>IF($D239="","",#REF!)</f>
        <v>#REF!</v>
      </c>
      <c r="F239" s="91"/>
      <c r="G239" s="91"/>
      <c r="H239" s="91"/>
      <c r="I239" s="91"/>
      <c r="J239" s="91"/>
      <c r="K239" s="91"/>
      <c r="L239" s="91"/>
      <c r="M239" s="91"/>
      <c r="N239" s="91"/>
      <c r="O239" s="91"/>
      <c r="P239" s="91"/>
      <c r="Q239" s="91"/>
      <c r="R239" s="91"/>
      <c r="S239" s="91"/>
      <c r="T239" s="109"/>
      <c r="U239" s="109"/>
      <c r="V239" s="109"/>
      <c r="W239" s="108"/>
      <c r="X239" s="108"/>
      <c r="Y239" s="91"/>
      <c r="Z239" s="186" t="e">
        <f t="array" ref="Z239">IF(E239="","",SUMPRODUCT(T239:V239,TRANSPOSE($V$4:$V$6)))</f>
        <v>#REF!</v>
      </c>
      <c r="AA239" s="109"/>
      <c r="AB239" s="91"/>
      <c r="AC239" s="91"/>
      <c r="AD239" s="91"/>
      <c r="AE239" s="91"/>
      <c r="AF239" s="91"/>
      <c r="AG239" s="91"/>
      <c r="AH239" s="91"/>
      <c r="AI239" s="96"/>
      <c r="AJ239" s="91"/>
      <c r="AK239" s="91"/>
      <c r="AL239" s="91"/>
      <c r="AM239" s="91"/>
      <c r="AN239" s="91"/>
      <c r="AO239" s="91"/>
      <c r="AP239" s="91"/>
      <c r="AQ239" s="91"/>
      <c r="AR239" s="91"/>
      <c r="AS239" s="91"/>
      <c r="AT239" s="91"/>
      <c r="AU239" s="110"/>
      <c r="AV239" s="85" t="e">
        <f t="shared" si="9"/>
        <v>#REF!</v>
      </c>
      <c r="AW239" s="85" t="e">
        <f t="shared" si="9"/>
        <v>#REF!</v>
      </c>
      <c r="AX239" s="85" t="e">
        <f t="shared" si="9"/>
        <v>#REF!</v>
      </c>
      <c r="BB239" s="85" t="s">
        <v>250</v>
      </c>
    </row>
    <row r="240" spans="1:54" ht="15.75" x14ac:dyDescent="0.2">
      <c r="A240" s="111" t="e">
        <f t="shared" si="11"/>
        <v>#REF!</v>
      </c>
      <c r="B240" s="88" t="e">
        <f>IF(OR(#REF!="",#REF!=0,#REF!=#REF!),"",#REF!)</f>
        <v>#REF!</v>
      </c>
      <c r="C240" s="107" t="e">
        <f t="shared" si="10"/>
        <v>#REF!</v>
      </c>
      <c r="D240" s="88" t="e">
        <f>IF(OR(#REF!="",#REF!=0,#REF!=#REF!),"",#REF!)</f>
        <v>#REF!</v>
      </c>
      <c r="E240" s="88" t="e">
        <f>IF($D240="","",#REF!)</f>
        <v>#REF!</v>
      </c>
      <c r="F240" s="91"/>
      <c r="G240" s="91"/>
      <c r="H240" s="91"/>
      <c r="I240" s="91"/>
      <c r="J240" s="91"/>
      <c r="K240" s="91"/>
      <c r="L240" s="91"/>
      <c r="M240" s="91"/>
      <c r="N240" s="91"/>
      <c r="O240" s="91"/>
      <c r="P240" s="91"/>
      <c r="Q240" s="91"/>
      <c r="R240" s="91"/>
      <c r="S240" s="91"/>
      <c r="T240" s="109"/>
      <c r="U240" s="109"/>
      <c r="V240" s="109"/>
      <c r="W240" s="91"/>
      <c r="X240" s="91"/>
      <c r="Y240" s="91"/>
      <c r="Z240" s="186" t="e">
        <f t="array" ref="Z240">IF(E240="","",SUMPRODUCT(T240:V240,TRANSPOSE($V$4:$V$6)))</f>
        <v>#REF!</v>
      </c>
      <c r="AA240" s="109"/>
      <c r="AB240" s="91"/>
      <c r="AC240" s="91"/>
      <c r="AD240" s="91"/>
      <c r="AE240" s="91"/>
      <c r="AF240" s="91"/>
      <c r="AG240" s="91"/>
      <c r="AH240" s="91"/>
      <c r="AI240" s="96"/>
      <c r="AJ240" s="91"/>
      <c r="AK240" s="91"/>
      <c r="AL240" s="91"/>
      <c r="AM240" s="91"/>
      <c r="AN240" s="91"/>
      <c r="AO240" s="91"/>
      <c r="AP240" s="91"/>
      <c r="AQ240" s="91"/>
      <c r="AR240" s="91"/>
      <c r="AS240" s="91"/>
      <c r="AT240" s="91"/>
      <c r="AU240" s="110"/>
      <c r="AV240" s="85" t="e">
        <f t="shared" si="9"/>
        <v>#REF!</v>
      </c>
      <c r="AW240" s="85" t="e">
        <f t="shared" si="9"/>
        <v>#REF!</v>
      </c>
      <c r="AX240" s="85" t="e">
        <f t="shared" si="9"/>
        <v>#REF!</v>
      </c>
      <c r="BB240" s="85" t="s">
        <v>250</v>
      </c>
    </row>
    <row r="241" spans="1:54" ht="15.75" x14ac:dyDescent="0.2">
      <c r="A241" s="111" t="e">
        <f t="shared" si="11"/>
        <v>#REF!</v>
      </c>
      <c r="B241" s="88" t="e">
        <f>IF(OR(#REF!="",#REF!=0,#REF!=#REF!),"",#REF!)</f>
        <v>#REF!</v>
      </c>
      <c r="C241" s="107" t="e">
        <f t="shared" si="10"/>
        <v>#REF!</v>
      </c>
      <c r="D241" s="88" t="e">
        <f>IF(OR(#REF!="",#REF!=0,#REF!=#REF!),"",#REF!)</f>
        <v>#REF!</v>
      </c>
      <c r="E241" s="88" t="e">
        <f>IF($D241="","",#REF!)</f>
        <v>#REF!</v>
      </c>
      <c r="F241" s="91"/>
      <c r="G241" s="91"/>
      <c r="H241" s="91"/>
      <c r="I241" s="91"/>
      <c r="J241" s="91"/>
      <c r="K241" s="91"/>
      <c r="L241" s="91"/>
      <c r="M241" s="91"/>
      <c r="N241" s="91"/>
      <c r="O241" s="91"/>
      <c r="P241" s="91"/>
      <c r="Q241" s="91"/>
      <c r="R241" s="91"/>
      <c r="S241" s="91"/>
      <c r="T241" s="109"/>
      <c r="U241" s="109"/>
      <c r="V241" s="109"/>
      <c r="W241" s="108"/>
      <c r="X241" s="108"/>
      <c r="Y241" s="91"/>
      <c r="Z241" s="186" t="e">
        <f t="array" ref="Z241">IF(E241="","",SUMPRODUCT(T241:V241,TRANSPOSE($V$4:$V$6)))</f>
        <v>#REF!</v>
      </c>
      <c r="AA241" s="109"/>
      <c r="AB241" s="91"/>
      <c r="AC241" s="91"/>
      <c r="AD241" s="91"/>
      <c r="AE241" s="91"/>
      <c r="AF241" s="91"/>
      <c r="AG241" s="91"/>
      <c r="AH241" s="91"/>
      <c r="AI241" s="96"/>
      <c r="AJ241" s="91"/>
      <c r="AK241" s="91"/>
      <c r="AL241" s="91"/>
      <c r="AM241" s="91"/>
      <c r="AN241" s="91"/>
      <c r="AO241" s="91"/>
      <c r="AP241" s="91"/>
      <c r="AQ241" s="91"/>
      <c r="AR241" s="91"/>
      <c r="AS241" s="91"/>
      <c r="AT241" s="91"/>
      <c r="AU241" s="110"/>
      <c r="AV241" s="85" t="e">
        <f t="shared" si="9"/>
        <v>#REF!</v>
      </c>
      <c r="AW241" s="85" t="e">
        <f t="shared" si="9"/>
        <v>#REF!</v>
      </c>
      <c r="AX241" s="85" t="e">
        <f t="shared" si="9"/>
        <v>#REF!</v>
      </c>
      <c r="BB241" s="85" t="s">
        <v>250</v>
      </c>
    </row>
    <row r="242" spans="1:54" ht="15.75" x14ac:dyDescent="0.2">
      <c r="A242" s="111" t="e">
        <f t="shared" si="11"/>
        <v>#REF!</v>
      </c>
      <c r="B242" s="88" t="e">
        <f>IF(OR(#REF!="",#REF!=0,#REF!=#REF!),"",#REF!)</f>
        <v>#REF!</v>
      </c>
      <c r="C242" s="107" t="e">
        <f t="shared" si="10"/>
        <v>#REF!</v>
      </c>
      <c r="D242" s="88" t="e">
        <f>IF(OR(#REF!="",#REF!=0,#REF!=#REF!),"",#REF!)</f>
        <v>#REF!</v>
      </c>
      <c r="E242" s="88" t="e">
        <f>IF($D242="","",#REF!)</f>
        <v>#REF!</v>
      </c>
      <c r="F242" s="91"/>
      <c r="G242" s="91"/>
      <c r="H242" s="91"/>
      <c r="I242" s="91"/>
      <c r="J242" s="91"/>
      <c r="K242" s="91"/>
      <c r="L242" s="91"/>
      <c r="M242" s="91"/>
      <c r="N242" s="91"/>
      <c r="O242" s="91"/>
      <c r="P242" s="91"/>
      <c r="Q242" s="91"/>
      <c r="R242" s="91"/>
      <c r="S242" s="91"/>
      <c r="T242" s="109"/>
      <c r="U242" s="109"/>
      <c r="V242" s="109"/>
      <c r="W242" s="108"/>
      <c r="X242" s="108"/>
      <c r="Y242" s="91"/>
      <c r="Z242" s="186" t="e">
        <f t="array" ref="Z242">IF(E242="","",SUMPRODUCT(T242:V242,TRANSPOSE($V$4:$V$6)))</f>
        <v>#REF!</v>
      </c>
      <c r="AA242" s="109"/>
      <c r="AB242" s="91"/>
      <c r="AC242" s="91"/>
      <c r="AD242" s="91"/>
      <c r="AE242" s="91"/>
      <c r="AF242" s="91"/>
      <c r="AG242" s="91"/>
      <c r="AH242" s="91"/>
      <c r="AI242" s="96"/>
      <c r="AJ242" s="91"/>
      <c r="AK242" s="91"/>
      <c r="AL242" s="91"/>
      <c r="AM242" s="91"/>
      <c r="AN242" s="91"/>
      <c r="AO242" s="91"/>
      <c r="AP242" s="91"/>
      <c r="AQ242" s="91"/>
      <c r="AR242" s="91"/>
      <c r="AS242" s="91"/>
      <c r="AT242" s="91"/>
      <c r="AU242" s="110"/>
      <c r="AV242" s="85" t="e">
        <f t="shared" si="9"/>
        <v>#REF!</v>
      </c>
      <c r="AW242" s="85" t="e">
        <f t="shared" si="9"/>
        <v>#REF!</v>
      </c>
      <c r="AX242" s="85" t="e">
        <f t="shared" si="9"/>
        <v>#REF!</v>
      </c>
      <c r="BB242" s="85" t="s">
        <v>250</v>
      </c>
    </row>
    <row r="243" spans="1:54" ht="15.75" x14ac:dyDescent="0.2">
      <c r="A243" s="111" t="e">
        <f t="shared" si="11"/>
        <v>#REF!</v>
      </c>
      <c r="B243" s="88" t="e">
        <f>IF(OR(#REF!="",#REF!=0,#REF!=#REF!),"",#REF!)</f>
        <v>#REF!</v>
      </c>
      <c r="C243" s="107" t="e">
        <f t="shared" si="10"/>
        <v>#REF!</v>
      </c>
      <c r="D243" s="88" t="e">
        <f>IF(OR(#REF!="",#REF!=0,#REF!=#REF!),"",#REF!)</f>
        <v>#REF!</v>
      </c>
      <c r="E243" s="88" t="e">
        <f>IF($D243="","",#REF!)</f>
        <v>#REF!</v>
      </c>
      <c r="F243" s="91"/>
      <c r="G243" s="91"/>
      <c r="H243" s="91"/>
      <c r="I243" s="91"/>
      <c r="J243" s="91"/>
      <c r="K243" s="91"/>
      <c r="L243" s="91"/>
      <c r="M243" s="91"/>
      <c r="N243" s="91"/>
      <c r="O243" s="91"/>
      <c r="P243" s="91"/>
      <c r="Q243" s="91"/>
      <c r="R243" s="91"/>
      <c r="S243" s="91"/>
      <c r="T243" s="109"/>
      <c r="U243" s="109"/>
      <c r="V243" s="109"/>
      <c r="W243" s="108"/>
      <c r="X243" s="108"/>
      <c r="Y243" s="91"/>
      <c r="Z243" s="186" t="e">
        <f t="array" ref="Z243">IF(E243="","",SUMPRODUCT(T243:V243,TRANSPOSE($V$4:$V$6)))</f>
        <v>#REF!</v>
      </c>
      <c r="AA243" s="109"/>
      <c r="AB243" s="91"/>
      <c r="AC243" s="91"/>
      <c r="AD243" s="91"/>
      <c r="AE243" s="91"/>
      <c r="AF243" s="91"/>
      <c r="AG243" s="91"/>
      <c r="AH243" s="91"/>
      <c r="AI243" s="96"/>
      <c r="AJ243" s="91"/>
      <c r="AK243" s="91"/>
      <c r="AL243" s="91"/>
      <c r="AM243" s="91"/>
      <c r="AN243" s="91"/>
      <c r="AO243" s="91"/>
      <c r="AP243" s="91"/>
      <c r="AQ243" s="91"/>
      <c r="AR243" s="91"/>
      <c r="AS243" s="91"/>
      <c r="AT243" s="91"/>
      <c r="AU243" s="110"/>
      <c r="AV243" s="85" t="e">
        <f t="shared" si="9"/>
        <v>#REF!</v>
      </c>
      <c r="AW243" s="85" t="e">
        <f t="shared" si="9"/>
        <v>#REF!</v>
      </c>
      <c r="AX243" s="85" t="e">
        <f t="shared" si="9"/>
        <v>#REF!</v>
      </c>
      <c r="BB243" s="85" t="s">
        <v>250</v>
      </c>
    </row>
    <row r="244" spans="1:54" ht="15.75" x14ac:dyDescent="0.2">
      <c r="A244" s="111" t="e">
        <f t="shared" si="11"/>
        <v>#REF!</v>
      </c>
      <c r="B244" s="88" t="e">
        <f>IF(OR(#REF!="",#REF!=0,#REF!=#REF!),"",#REF!)</f>
        <v>#REF!</v>
      </c>
      <c r="C244" s="107" t="e">
        <f t="shared" si="10"/>
        <v>#REF!</v>
      </c>
      <c r="D244" s="88" t="e">
        <f>IF(OR(#REF!="",#REF!=0,#REF!=#REF!),"",#REF!)</f>
        <v>#REF!</v>
      </c>
      <c r="E244" s="88" t="e">
        <f>IF($D244="","",#REF!)</f>
        <v>#REF!</v>
      </c>
      <c r="F244" s="91"/>
      <c r="G244" s="91"/>
      <c r="H244" s="91"/>
      <c r="I244" s="91"/>
      <c r="J244" s="91"/>
      <c r="K244" s="91"/>
      <c r="L244" s="91"/>
      <c r="M244" s="91"/>
      <c r="N244" s="91"/>
      <c r="O244" s="91"/>
      <c r="P244" s="91"/>
      <c r="Q244" s="91"/>
      <c r="R244" s="91"/>
      <c r="S244" s="91"/>
      <c r="T244" s="109"/>
      <c r="U244" s="109"/>
      <c r="V244" s="109"/>
      <c r="W244" s="108"/>
      <c r="X244" s="108"/>
      <c r="Y244" s="91"/>
      <c r="Z244" s="186" t="e">
        <f t="array" ref="Z244">IF(E244="","",SUMPRODUCT(T244:V244,TRANSPOSE($V$4:$V$6)))</f>
        <v>#REF!</v>
      </c>
      <c r="AA244" s="109"/>
      <c r="AB244" s="91"/>
      <c r="AC244" s="91"/>
      <c r="AD244" s="91"/>
      <c r="AE244" s="91"/>
      <c r="AF244" s="91"/>
      <c r="AG244" s="91"/>
      <c r="AH244" s="91"/>
      <c r="AI244" s="116"/>
      <c r="AJ244" s="91"/>
      <c r="AK244" s="91"/>
      <c r="AL244" s="91"/>
      <c r="AM244" s="91"/>
      <c r="AN244" s="91"/>
      <c r="AO244" s="91"/>
      <c r="AP244" s="91"/>
      <c r="AQ244" s="91"/>
      <c r="AR244" s="91"/>
      <c r="AS244" s="91"/>
      <c r="AT244" s="91"/>
      <c r="AU244" s="110"/>
      <c r="AV244" s="85" t="e">
        <f t="shared" si="9"/>
        <v>#REF!</v>
      </c>
      <c r="AW244" s="85" t="e">
        <f t="shared" si="9"/>
        <v>#REF!</v>
      </c>
      <c r="AX244" s="85" t="e">
        <f t="shared" si="9"/>
        <v>#REF!</v>
      </c>
      <c r="BB244" s="85" t="s">
        <v>250</v>
      </c>
    </row>
    <row r="245" spans="1:54" ht="15.75" x14ac:dyDescent="0.2">
      <c r="A245" s="111" t="e">
        <f t="shared" si="11"/>
        <v>#REF!</v>
      </c>
      <c r="B245" s="88" t="e">
        <f>IF(OR(#REF!="",#REF!=0,#REF!=#REF!),"",#REF!)</f>
        <v>#REF!</v>
      </c>
      <c r="C245" s="107" t="e">
        <f t="shared" si="10"/>
        <v>#REF!</v>
      </c>
      <c r="D245" s="88" t="e">
        <f>IF(OR(#REF!="",#REF!=0,#REF!=#REF!),"",#REF!)</f>
        <v>#REF!</v>
      </c>
      <c r="E245" s="88" t="e">
        <f>IF($D245="","",#REF!)</f>
        <v>#REF!</v>
      </c>
      <c r="F245" s="91"/>
      <c r="G245" s="91"/>
      <c r="H245" s="91"/>
      <c r="I245" s="91"/>
      <c r="J245" s="91"/>
      <c r="K245" s="91"/>
      <c r="L245" s="91"/>
      <c r="M245" s="91"/>
      <c r="N245" s="91"/>
      <c r="O245" s="91"/>
      <c r="P245" s="91"/>
      <c r="Q245" s="91"/>
      <c r="R245" s="91"/>
      <c r="S245" s="91"/>
      <c r="T245" s="109"/>
      <c r="U245" s="109"/>
      <c r="V245" s="109"/>
      <c r="W245" s="108"/>
      <c r="X245" s="108"/>
      <c r="Y245" s="91"/>
      <c r="Z245" s="186" t="e">
        <f t="array" ref="Z245">IF(E245="","",SUMPRODUCT(T245:V245,TRANSPOSE($V$4:$V$6)))</f>
        <v>#REF!</v>
      </c>
      <c r="AA245" s="109"/>
      <c r="AB245" s="91"/>
      <c r="AC245" s="91"/>
      <c r="AD245" s="91"/>
      <c r="AE245" s="91"/>
      <c r="AF245" s="91"/>
      <c r="AG245" s="91"/>
      <c r="AH245" s="91"/>
      <c r="AI245" s="96"/>
      <c r="AJ245" s="91"/>
      <c r="AK245" s="91"/>
      <c r="AL245" s="91"/>
      <c r="AM245" s="91"/>
      <c r="AN245" s="91"/>
      <c r="AO245" s="91"/>
      <c r="AP245" s="91"/>
      <c r="AQ245" s="91"/>
      <c r="AR245" s="91"/>
      <c r="AS245" s="91"/>
      <c r="AT245" s="91"/>
      <c r="AU245" s="110"/>
      <c r="AV245" s="85" t="e">
        <f t="shared" si="9"/>
        <v>#REF!</v>
      </c>
      <c r="AW245" s="85" t="e">
        <f t="shared" si="9"/>
        <v>#REF!</v>
      </c>
      <c r="AX245" s="85" t="e">
        <f t="shared" si="9"/>
        <v>#REF!</v>
      </c>
      <c r="BB245" s="85" t="s">
        <v>250</v>
      </c>
    </row>
    <row r="246" spans="1:54" ht="15.75" x14ac:dyDescent="0.2">
      <c r="A246" s="111" t="e">
        <f t="shared" si="11"/>
        <v>#REF!</v>
      </c>
      <c r="B246" s="88" t="e">
        <f>IF(OR(#REF!="",#REF!=0,#REF!=#REF!),"",#REF!)</f>
        <v>#REF!</v>
      </c>
      <c r="C246" s="107" t="e">
        <f t="shared" si="10"/>
        <v>#REF!</v>
      </c>
      <c r="D246" s="88" t="e">
        <f>IF(OR(#REF!="",#REF!=0,#REF!=#REF!),"",#REF!)</f>
        <v>#REF!</v>
      </c>
      <c r="E246" s="88" t="e">
        <f>IF($D246="","",#REF!)</f>
        <v>#REF!</v>
      </c>
      <c r="F246" s="91"/>
      <c r="G246" s="91"/>
      <c r="H246" s="91"/>
      <c r="I246" s="91"/>
      <c r="J246" s="91"/>
      <c r="K246" s="91"/>
      <c r="L246" s="91"/>
      <c r="M246" s="91"/>
      <c r="N246" s="91"/>
      <c r="O246" s="91"/>
      <c r="P246" s="91"/>
      <c r="Q246" s="91"/>
      <c r="R246" s="91"/>
      <c r="S246" s="91"/>
      <c r="T246" s="109"/>
      <c r="U246" s="109"/>
      <c r="V246" s="109"/>
      <c r="W246" s="91"/>
      <c r="X246" s="91"/>
      <c r="Y246" s="91"/>
      <c r="Z246" s="186" t="e">
        <f t="array" ref="Z246">IF(E246="","",SUMPRODUCT(T246:V246,TRANSPOSE($V$4:$V$6)))</f>
        <v>#REF!</v>
      </c>
      <c r="AA246" s="109"/>
      <c r="AB246" s="91"/>
      <c r="AC246" s="91"/>
      <c r="AD246" s="91"/>
      <c r="AE246" s="91"/>
      <c r="AF246" s="91"/>
      <c r="AG246" s="91"/>
      <c r="AH246" s="91"/>
      <c r="AI246" s="96"/>
      <c r="AJ246" s="91"/>
      <c r="AK246" s="91"/>
      <c r="AL246" s="91"/>
      <c r="AM246" s="91"/>
      <c r="AN246" s="91"/>
      <c r="AO246" s="91"/>
      <c r="AP246" s="91"/>
      <c r="AQ246" s="91"/>
      <c r="AR246" s="91"/>
      <c r="AS246" s="91"/>
      <c r="AT246" s="91"/>
      <c r="AU246" s="110"/>
      <c r="AV246" s="85" t="e">
        <f t="shared" si="9"/>
        <v>#REF!</v>
      </c>
      <c r="AW246" s="85" t="e">
        <f t="shared" si="9"/>
        <v>#REF!</v>
      </c>
      <c r="AX246" s="85" t="e">
        <f t="shared" si="9"/>
        <v>#REF!</v>
      </c>
      <c r="BB246" s="85" t="s">
        <v>250</v>
      </c>
    </row>
    <row r="247" spans="1:54" ht="15.75" x14ac:dyDescent="0.2">
      <c r="A247" s="111" t="e">
        <f t="shared" si="11"/>
        <v>#REF!</v>
      </c>
      <c r="B247" s="88" t="e">
        <f>IF(OR(#REF!="",#REF!=0,#REF!=#REF!),"",#REF!)</f>
        <v>#REF!</v>
      </c>
      <c r="C247" s="107" t="e">
        <f t="shared" si="10"/>
        <v>#REF!</v>
      </c>
      <c r="D247" s="88" t="e">
        <f>IF(OR(#REF!="",#REF!=0,#REF!=#REF!),"",#REF!)</f>
        <v>#REF!</v>
      </c>
      <c r="E247" s="88" t="e">
        <f>IF($D247="","",#REF!)</f>
        <v>#REF!</v>
      </c>
      <c r="F247" s="91"/>
      <c r="G247" s="91"/>
      <c r="H247" s="91"/>
      <c r="I247" s="91"/>
      <c r="J247" s="91"/>
      <c r="K247" s="91"/>
      <c r="L247" s="91"/>
      <c r="M247" s="91"/>
      <c r="N247" s="91"/>
      <c r="O247" s="91"/>
      <c r="P247" s="91"/>
      <c r="Q247" s="91"/>
      <c r="R247" s="91"/>
      <c r="S247" s="91"/>
      <c r="T247" s="109"/>
      <c r="U247" s="109"/>
      <c r="V247" s="109"/>
      <c r="W247" s="108"/>
      <c r="X247" s="108"/>
      <c r="Y247" s="91"/>
      <c r="Z247" s="186" t="e">
        <f t="array" ref="Z247">IF(E247="","",SUMPRODUCT(T247:V247,TRANSPOSE($V$4:$V$6)))</f>
        <v>#REF!</v>
      </c>
      <c r="AA247" s="109"/>
      <c r="AB247" s="91"/>
      <c r="AC247" s="91"/>
      <c r="AD247" s="91"/>
      <c r="AE247" s="91"/>
      <c r="AF247" s="91"/>
      <c r="AG247" s="91"/>
      <c r="AH247" s="91"/>
      <c r="AI247" s="96"/>
      <c r="AJ247" s="91"/>
      <c r="AK247" s="91"/>
      <c r="AL247" s="91"/>
      <c r="AM247" s="91"/>
      <c r="AN247" s="91"/>
      <c r="AO247" s="91"/>
      <c r="AP247" s="91"/>
      <c r="AQ247" s="91"/>
      <c r="AR247" s="91"/>
      <c r="AS247" s="91"/>
      <c r="AT247" s="91"/>
      <c r="AU247" s="110"/>
      <c r="AV247" s="85" t="e">
        <f t="shared" si="9"/>
        <v>#REF!</v>
      </c>
      <c r="AW247" s="85" t="e">
        <f t="shared" si="9"/>
        <v>#REF!</v>
      </c>
      <c r="AX247" s="85" t="e">
        <f t="shared" si="9"/>
        <v>#REF!</v>
      </c>
      <c r="BB247" s="85" t="s">
        <v>250</v>
      </c>
    </row>
    <row r="248" spans="1:54" ht="15.75" x14ac:dyDescent="0.2">
      <c r="A248" s="111" t="e">
        <f t="shared" si="11"/>
        <v>#REF!</v>
      </c>
      <c r="B248" s="88" t="e">
        <f>IF(OR(#REF!="",#REF!=0,#REF!=#REF!),"",#REF!)</f>
        <v>#REF!</v>
      </c>
      <c r="C248" s="107" t="e">
        <f t="shared" si="10"/>
        <v>#REF!</v>
      </c>
      <c r="D248" s="88" t="e">
        <f>IF(OR(#REF!="",#REF!=0,#REF!=#REF!),"",#REF!)</f>
        <v>#REF!</v>
      </c>
      <c r="E248" s="88" t="e">
        <f>IF($D248="","",#REF!)</f>
        <v>#REF!</v>
      </c>
      <c r="F248" s="91"/>
      <c r="G248" s="91"/>
      <c r="H248" s="91"/>
      <c r="I248" s="91"/>
      <c r="J248" s="91"/>
      <c r="K248" s="91"/>
      <c r="L248" s="91"/>
      <c r="M248" s="91"/>
      <c r="N248" s="91"/>
      <c r="O248" s="91"/>
      <c r="P248" s="91"/>
      <c r="Q248" s="91"/>
      <c r="R248" s="91"/>
      <c r="S248" s="91"/>
      <c r="T248" s="109"/>
      <c r="U248" s="109"/>
      <c r="V248" s="109"/>
      <c r="W248" s="91"/>
      <c r="X248" s="91"/>
      <c r="Y248" s="91"/>
      <c r="Z248" s="186" t="e">
        <f t="array" ref="Z248">IF(E248="","",SUMPRODUCT(T248:V248,TRANSPOSE($V$4:$V$6)))</f>
        <v>#REF!</v>
      </c>
      <c r="AA248" s="109"/>
      <c r="AB248" s="91"/>
      <c r="AC248" s="91"/>
      <c r="AD248" s="91"/>
      <c r="AE248" s="91"/>
      <c r="AF248" s="91"/>
      <c r="AG248" s="91"/>
      <c r="AH248" s="91"/>
      <c r="AI248" s="96"/>
      <c r="AJ248" s="91"/>
      <c r="AK248" s="91"/>
      <c r="AL248" s="91"/>
      <c r="AM248" s="91"/>
      <c r="AN248" s="91"/>
      <c r="AO248" s="91"/>
      <c r="AP248" s="91"/>
      <c r="AQ248" s="91"/>
      <c r="AR248" s="91"/>
      <c r="AS248" s="91"/>
      <c r="AT248" s="91"/>
      <c r="AU248" s="110"/>
      <c r="AV248" s="85" t="e">
        <f t="shared" si="9"/>
        <v>#REF!</v>
      </c>
      <c r="AW248" s="85" t="e">
        <f t="shared" si="9"/>
        <v>#REF!</v>
      </c>
      <c r="AX248" s="85" t="e">
        <f t="shared" si="9"/>
        <v>#REF!</v>
      </c>
      <c r="BB248" s="85" t="s">
        <v>250</v>
      </c>
    </row>
    <row r="249" spans="1:54" ht="15.75" x14ac:dyDescent="0.2">
      <c r="A249" s="111" t="e">
        <f t="shared" si="11"/>
        <v>#REF!</v>
      </c>
      <c r="B249" s="88" t="e">
        <f>IF(OR(#REF!="",#REF!=0,#REF!=#REF!),"",#REF!)</f>
        <v>#REF!</v>
      </c>
      <c r="C249" s="107" t="e">
        <f t="shared" si="10"/>
        <v>#REF!</v>
      </c>
      <c r="D249" s="88" t="e">
        <f>IF(OR(#REF!="",#REF!=0,#REF!=#REF!),"",#REF!)</f>
        <v>#REF!</v>
      </c>
      <c r="E249" s="88" t="e">
        <f>IF($D249="","",#REF!)</f>
        <v>#REF!</v>
      </c>
      <c r="F249" s="91"/>
      <c r="G249" s="91"/>
      <c r="H249" s="91"/>
      <c r="I249" s="91"/>
      <c r="J249" s="91"/>
      <c r="K249" s="91"/>
      <c r="L249" s="91"/>
      <c r="M249" s="91"/>
      <c r="N249" s="91"/>
      <c r="O249" s="91"/>
      <c r="P249" s="91"/>
      <c r="Q249" s="91"/>
      <c r="R249" s="91"/>
      <c r="S249" s="91"/>
      <c r="T249" s="109"/>
      <c r="U249" s="109"/>
      <c r="V249" s="109"/>
      <c r="W249" s="108"/>
      <c r="X249" s="108"/>
      <c r="Y249" s="91"/>
      <c r="Z249" s="186" t="e">
        <f t="array" ref="Z249">IF(E249="","",SUMPRODUCT(T249:V249,TRANSPOSE($V$4:$V$6)))</f>
        <v>#REF!</v>
      </c>
      <c r="AA249" s="109"/>
      <c r="AB249" s="91"/>
      <c r="AC249" s="91"/>
      <c r="AD249" s="91"/>
      <c r="AE249" s="91"/>
      <c r="AF249" s="91"/>
      <c r="AG249" s="91"/>
      <c r="AH249" s="91"/>
      <c r="AI249" s="96"/>
      <c r="AJ249" s="91"/>
      <c r="AK249" s="91"/>
      <c r="AL249" s="91"/>
      <c r="AM249" s="91"/>
      <c r="AN249" s="91"/>
      <c r="AO249" s="91"/>
      <c r="AP249" s="91"/>
      <c r="AQ249" s="91"/>
      <c r="AR249" s="91"/>
      <c r="AS249" s="91"/>
      <c r="AT249" s="91"/>
      <c r="AU249" s="110"/>
      <c r="AV249" s="85" t="e">
        <f t="shared" si="9"/>
        <v>#REF!</v>
      </c>
      <c r="AW249" s="85" t="e">
        <f t="shared" si="9"/>
        <v>#REF!</v>
      </c>
      <c r="AX249" s="85" t="e">
        <f t="shared" si="9"/>
        <v>#REF!</v>
      </c>
      <c r="BB249" s="85" t="s">
        <v>250</v>
      </c>
    </row>
    <row r="250" spans="1:54" ht="15.75" x14ac:dyDescent="0.2">
      <c r="A250" s="111" t="e">
        <f t="shared" si="11"/>
        <v>#REF!</v>
      </c>
      <c r="B250" s="88" t="e">
        <f>IF(OR(#REF!="",#REF!=0,#REF!=#REF!),"",#REF!)</f>
        <v>#REF!</v>
      </c>
      <c r="C250" s="107" t="e">
        <f t="shared" si="10"/>
        <v>#REF!</v>
      </c>
      <c r="D250" s="88" t="e">
        <f>IF(OR(#REF!="",#REF!=0,#REF!=#REF!),"",#REF!)</f>
        <v>#REF!</v>
      </c>
      <c r="E250" s="88" t="e">
        <f>IF($D250="","",#REF!)</f>
        <v>#REF!</v>
      </c>
      <c r="F250" s="91"/>
      <c r="G250" s="91"/>
      <c r="H250" s="91"/>
      <c r="I250" s="91"/>
      <c r="J250" s="91"/>
      <c r="K250" s="91"/>
      <c r="L250" s="91"/>
      <c r="M250" s="91"/>
      <c r="N250" s="91"/>
      <c r="O250" s="91"/>
      <c r="P250" s="91"/>
      <c r="Q250" s="91"/>
      <c r="R250" s="91"/>
      <c r="S250" s="91"/>
      <c r="T250" s="109"/>
      <c r="U250" s="109"/>
      <c r="V250" s="109"/>
      <c r="W250" s="91"/>
      <c r="X250" s="91"/>
      <c r="Y250" s="91"/>
      <c r="Z250" s="186" t="e">
        <f t="array" ref="Z250">IF(E250="","",SUMPRODUCT(T250:V250,TRANSPOSE($V$4:$V$6)))</f>
        <v>#REF!</v>
      </c>
      <c r="AA250" s="109"/>
      <c r="AB250" s="91"/>
      <c r="AC250" s="91"/>
      <c r="AD250" s="91"/>
      <c r="AE250" s="91"/>
      <c r="AF250" s="91"/>
      <c r="AG250" s="91"/>
      <c r="AH250" s="91"/>
      <c r="AI250" s="96"/>
      <c r="AJ250" s="91"/>
      <c r="AK250" s="91"/>
      <c r="AL250" s="91"/>
      <c r="AM250" s="91"/>
      <c r="AN250" s="91"/>
      <c r="AO250" s="91"/>
      <c r="AP250" s="91"/>
      <c r="AQ250" s="91"/>
      <c r="AR250" s="91"/>
      <c r="AS250" s="91"/>
      <c r="AT250" s="91"/>
      <c r="AU250" s="110"/>
      <c r="AV250" s="85" t="e">
        <f t="shared" si="9"/>
        <v>#REF!</v>
      </c>
      <c r="AW250" s="85" t="e">
        <f t="shared" si="9"/>
        <v>#REF!</v>
      </c>
      <c r="AX250" s="85" t="e">
        <f t="shared" si="9"/>
        <v>#REF!</v>
      </c>
      <c r="BB250" s="85" t="s">
        <v>250</v>
      </c>
    </row>
    <row r="251" spans="1:54" ht="15.75" x14ac:dyDescent="0.2">
      <c r="A251" s="111" t="e">
        <f t="shared" si="11"/>
        <v>#REF!</v>
      </c>
      <c r="B251" s="88" t="e">
        <f>IF(OR(#REF!="",#REF!=0,#REF!=#REF!),"",#REF!)</f>
        <v>#REF!</v>
      </c>
      <c r="C251" s="107" t="e">
        <f t="shared" si="10"/>
        <v>#REF!</v>
      </c>
      <c r="D251" s="88" t="e">
        <f>IF(OR(#REF!="",#REF!=0,#REF!=#REF!),"",#REF!)</f>
        <v>#REF!</v>
      </c>
      <c r="E251" s="88" t="e">
        <f>IF($D251="","",#REF!)</f>
        <v>#REF!</v>
      </c>
      <c r="F251" s="91"/>
      <c r="G251" s="91"/>
      <c r="H251" s="91"/>
      <c r="I251" s="91"/>
      <c r="J251" s="91"/>
      <c r="K251" s="91"/>
      <c r="L251" s="91"/>
      <c r="M251" s="91"/>
      <c r="N251" s="91"/>
      <c r="O251" s="91"/>
      <c r="P251" s="91"/>
      <c r="Q251" s="91"/>
      <c r="R251" s="91"/>
      <c r="S251" s="91"/>
      <c r="T251" s="109"/>
      <c r="U251" s="109"/>
      <c r="V251" s="109"/>
      <c r="W251" s="108"/>
      <c r="X251" s="108"/>
      <c r="Y251" s="91"/>
      <c r="Z251" s="186" t="e">
        <f t="array" ref="Z251">IF(E251="","",SUMPRODUCT(T251:V251,TRANSPOSE($V$4:$V$6)))</f>
        <v>#REF!</v>
      </c>
      <c r="AA251" s="109"/>
      <c r="AB251" s="91"/>
      <c r="AC251" s="91"/>
      <c r="AD251" s="91"/>
      <c r="AE251" s="91"/>
      <c r="AF251" s="91"/>
      <c r="AG251" s="91"/>
      <c r="AH251" s="91"/>
      <c r="AI251" s="96"/>
      <c r="AJ251" s="91"/>
      <c r="AK251" s="91"/>
      <c r="AL251" s="91"/>
      <c r="AM251" s="91"/>
      <c r="AN251" s="91"/>
      <c r="AO251" s="91"/>
      <c r="AP251" s="91"/>
      <c r="AQ251" s="91"/>
      <c r="AR251" s="91"/>
      <c r="AS251" s="91"/>
      <c r="AT251" s="91"/>
      <c r="AU251" s="110"/>
      <c r="AV251" s="85" t="e">
        <f t="shared" si="9"/>
        <v>#REF!</v>
      </c>
      <c r="AW251" s="85" t="e">
        <f t="shared" si="9"/>
        <v>#REF!</v>
      </c>
      <c r="AX251" s="85" t="e">
        <f t="shared" si="9"/>
        <v>#REF!</v>
      </c>
      <c r="BB251" s="85" t="s">
        <v>250</v>
      </c>
    </row>
    <row r="252" spans="1:54" ht="15.75" x14ac:dyDescent="0.2">
      <c r="A252" s="111" t="e">
        <f t="shared" si="11"/>
        <v>#REF!</v>
      </c>
      <c r="B252" s="88" t="e">
        <f>IF(OR(#REF!="",#REF!=0,#REF!=#REF!),"",#REF!)</f>
        <v>#REF!</v>
      </c>
      <c r="C252" s="107" t="e">
        <f t="shared" si="10"/>
        <v>#REF!</v>
      </c>
      <c r="D252" s="88" t="e">
        <f>IF(OR(#REF!="",#REF!=0,#REF!=#REF!),"",#REF!)</f>
        <v>#REF!</v>
      </c>
      <c r="E252" s="88" t="e">
        <f>IF($D252="","",#REF!)</f>
        <v>#REF!</v>
      </c>
      <c r="F252" s="91"/>
      <c r="G252" s="91"/>
      <c r="H252" s="91"/>
      <c r="I252" s="91"/>
      <c r="J252" s="91"/>
      <c r="K252" s="91"/>
      <c r="L252" s="91"/>
      <c r="M252" s="91"/>
      <c r="N252" s="91"/>
      <c r="O252" s="91"/>
      <c r="P252" s="91"/>
      <c r="Q252" s="91"/>
      <c r="R252" s="91"/>
      <c r="S252" s="91"/>
      <c r="T252" s="109"/>
      <c r="U252" s="109"/>
      <c r="V252" s="109"/>
      <c r="W252" s="108"/>
      <c r="X252" s="108"/>
      <c r="Y252" s="91"/>
      <c r="Z252" s="186" t="e">
        <f t="array" ref="Z252">IF(E252="","",SUMPRODUCT(T252:V252,TRANSPOSE($V$4:$V$6)))</f>
        <v>#REF!</v>
      </c>
      <c r="AA252" s="109"/>
      <c r="AB252" s="91"/>
      <c r="AC252" s="91"/>
      <c r="AD252" s="91"/>
      <c r="AE252" s="91"/>
      <c r="AF252" s="91"/>
      <c r="AG252" s="91"/>
      <c r="AH252" s="91"/>
      <c r="AI252" s="116"/>
      <c r="AJ252" s="91"/>
      <c r="AK252" s="91"/>
      <c r="AL252" s="91"/>
      <c r="AM252" s="91"/>
      <c r="AN252" s="91"/>
      <c r="AO252" s="91"/>
      <c r="AP252" s="91"/>
      <c r="AQ252" s="91"/>
      <c r="AR252" s="91"/>
      <c r="AS252" s="91"/>
      <c r="AT252" s="91"/>
      <c r="AU252" s="110"/>
      <c r="AV252" s="85" t="e">
        <f t="shared" si="9"/>
        <v>#REF!</v>
      </c>
      <c r="AW252" s="85" t="e">
        <f t="shared" si="9"/>
        <v>#REF!</v>
      </c>
      <c r="AX252" s="85" t="e">
        <f t="shared" si="9"/>
        <v>#REF!</v>
      </c>
      <c r="BB252" s="85" t="s">
        <v>250</v>
      </c>
    </row>
    <row r="253" spans="1:54" ht="15.75" x14ac:dyDescent="0.2">
      <c r="A253" s="111" t="e">
        <f t="shared" si="11"/>
        <v>#REF!</v>
      </c>
      <c r="B253" s="88" t="e">
        <f>IF(OR(#REF!="",#REF!=0,#REF!=#REF!),"",#REF!)</f>
        <v>#REF!</v>
      </c>
      <c r="C253" s="107" t="e">
        <f t="shared" si="10"/>
        <v>#REF!</v>
      </c>
      <c r="D253" s="88" t="e">
        <f>IF(OR(#REF!="",#REF!=0,#REF!=#REF!),"",#REF!)</f>
        <v>#REF!</v>
      </c>
      <c r="E253" s="88" t="e">
        <f>IF($D253="","",#REF!)</f>
        <v>#REF!</v>
      </c>
      <c r="F253" s="91"/>
      <c r="G253" s="91"/>
      <c r="H253" s="91"/>
      <c r="I253" s="91"/>
      <c r="J253" s="91"/>
      <c r="K253" s="91"/>
      <c r="L253" s="91"/>
      <c r="M253" s="91"/>
      <c r="N253" s="91"/>
      <c r="O253" s="91"/>
      <c r="P253" s="91"/>
      <c r="Q253" s="91"/>
      <c r="R253" s="91"/>
      <c r="S253" s="91"/>
      <c r="T253" s="109"/>
      <c r="U253" s="109"/>
      <c r="V253" s="109"/>
      <c r="W253" s="108"/>
      <c r="X253" s="108"/>
      <c r="Y253" s="91"/>
      <c r="Z253" s="186" t="e">
        <f t="array" ref="Z253">IF(E253="","",SUMPRODUCT(T253:V253,TRANSPOSE($V$4:$V$6)))</f>
        <v>#REF!</v>
      </c>
      <c r="AA253" s="109"/>
      <c r="AB253" s="91"/>
      <c r="AC253" s="91"/>
      <c r="AD253" s="91"/>
      <c r="AE253" s="91"/>
      <c r="AF253" s="91"/>
      <c r="AG253" s="91"/>
      <c r="AH253" s="91"/>
      <c r="AI253" s="96"/>
      <c r="AJ253" s="91"/>
      <c r="AK253" s="91"/>
      <c r="AL253" s="91"/>
      <c r="AM253" s="91"/>
      <c r="AN253" s="91"/>
      <c r="AO253" s="91"/>
      <c r="AP253" s="91"/>
      <c r="AQ253" s="91"/>
      <c r="AR253" s="91"/>
      <c r="AS253" s="91"/>
      <c r="AT253" s="91"/>
      <c r="AU253" s="110"/>
      <c r="AV253" s="85" t="e">
        <f t="shared" si="9"/>
        <v>#REF!</v>
      </c>
      <c r="AW253" s="85" t="e">
        <f t="shared" si="9"/>
        <v>#REF!</v>
      </c>
      <c r="AX253" s="85" t="e">
        <f t="shared" si="9"/>
        <v>#REF!</v>
      </c>
      <c r="BB253" s="85" t="s">
        <v>250</v>
      </c>
    </row>
    <row r="254" spans="1:54" ht="15.75" x14ac:dyDescent="0.2">
      <c r="A254" s="111" t="e">
        <f t="shared" si="11"/>
        <v>#REF!</v>
      </c>
      <c r="B254" s="88" t="e">
        <f>IF(OR(#REF!="",#REF!=0,#REF!=#REF!),"",#REF!)</f>
        <v>#REF!</v>
      </c>
      <c r="C254" s="107" t="e">
        <f t="shared" si="10"/>
        <v>#REF!</v>
      </c>
      <c r="D254" s="88" t="e">
        <f>IF(OR(#REF!="",#REF!=0,#REF!=#REF!),"",#REF!)</f>
        <v>#REF!</v>
      </c>
      <c r="E254" s="88" t="e">
        <f>IF($D254="","",#REF!)</f>
        <v>#REF!</v>
      </c>
      <c r="F254" s="91"/>
      <c r="G254" s="91"/>
      <c r="H254" s="91"/>
      <c r="I254" s="91"/>
      <c r="J254" s="91"/>
      <c r="K254" s="91"/>
      <c r="L254" s="91"/>
      <c r="M254" s="91"/>
      <c r="N254" s="91"/>
      <c r="O254" s="91"/>
      <c r="P254" s="91"/>
      <c r="Q254" s="91"/>
      <c r="R254" s="91"/>
      <c r="S254" s="91"/>
      <c r="T254" s="109"/>
      <c r="U254" s="109"/>
      <c r="V254" s="109"/>
      <c r="W254" s="91"/>
      <c r="X254" s="91"/>
      <c r="Y254" s="91"/>
      <c r="Z254" s="186" t="e">
        <f t="array" ref="Z254">IF(E254="","",SUMPRODUCT(T254:V254,TRANSPOSE($V$4:$V$6)))</f>
        <v>#REF!</v>
      </c>
      <c r="AA254" s="109"/>
      <c r="AB254" s="91"/>
      <c r="AC254" s="91"/>
      <c r="AD254" s="91"/>
      <c r="AE254" s="91"/>
      <c r="AF254" s="91"/>
      <c r="AG254" s="91"/>
      <c r="AH254" s="91"/>
      <c r="AI254" s="96"/>
      <c r="AJ254" s="91"/>
      <c r="AK254" s="91"/>
      <c r="AL254" s="91"/>
      <c r="AM254" s="91"/>
      <c r="AN254" s="91"/>
      <c r="AO254" s="91"/>
      <c r="AP254" s="91"/>
      <c r="AQ254" s="91"/>
      <c r="AR254" s="91"/>
      <c r="AS254" s="91"/>
      <c r="AT254" s="91"/>
      <c r="AU254" s="110"/>
      <c r="AV254" s="85" t="e">
        <f t="shared" si="9"/>
        <v>#REF!</v>
      </c>
      <c r="AW254" s="85" t="e">
        <f t="shared" si="9"/>
        <v>#REF!</v>
      </c>
      <c r="AX254" s="85" t="e">
        <f t="shared" si="9"/>
        <v>#REF!</v>
      </c>
      <c r="BB254" s="85" t="s">
        <v>250</v>
      </c>
    </row>
    <row r="255" spans="1:54" ht="15.75" x14ac:dyDescent="0.2">
      <c r="A255" s="111" t="e">
        <f t="shared" si="11"/>
        <v>#REF!</v>
      </c>
      <c r="B255" s="88" t="e">
        <f>IF(OR(#REF!="",#REF!=0,#REF!=#REF!),"",#REF!)</f>
        <v>#REF!</v>
      </c>
      <c r="C255" s="107" t="e">
        <f t="shared" si="10"/>
        <v>#REF!</v>
      </c>
      <c r="D255" s="88" t="e">
        <f>IF(OR(#REF!="",#REF!=0,#REF!=#REF!),"",#REF!)</f>
        <v>#REF!</v>
      </c>
      <c r="E255" s="88" t="e">
        <f>IF($D255="","",#REF!)</f>
        <v>#REF!</v>
      </c>
      <c r="F255" s="91"/>
      <c r="G255" s="91"/>
      <c r="H255" s="91"/>
      <c r="I255" s="91"/>
      <c r="J255" s="91"/>
      <c r="K255" s="91"/>
      <c r="L255" s="91"/>
      <c r="M255" s="91"/>
      <c r="N255" s="91"/>
      <c r="O255" s="91"/>
      <c r="P255" s="91"/>
      <c r="Q255" s="91"/>
      <c r="R255" s="91"/>
      <c r="S255" s="91"/>
      <c r="T255" s="109"/>
      <c r="U255" s="109"/>
      <c r="V255" s="109"/>
      <c r="W255" s="91"/>
      <c r="X255" s="91"/>
      <c r="Y255" s="91"/>
      <c r="Z255" s="186" t="e">
        <f t="array" ref="Z255">IF(E255="","",SUMPRODUCT(T255:V255,TRANSPOSE($V$4:$V$6)))</f>
        <v>#REF!</v>
      </c>
      <c r="AA255" s="109"/>
      <c r="AB255" s="91"/>
      <c r="AC255" s="91"/>
      <c r="AD255" s="91"/>
      <c r="AE255" s="91"/>
      <c r="AF255" s="91"/>
      <c r="AG255" s="91"/>
      <c r="AH255" s="91"/>
      <c r="AI255" s="96"/>
      <c r="AJ255" s="91"/>
      <c r="AK255" s="91"/>
      <c r="AL255" s="91"/>
      <c r="AM255" s="91"/>
      <c r="AN255" s="91"/>
      <c r="AO255" s="91"/>
      <c r="AP255" s="91"/>
      <c r="AQ255" s="91"/>
      <c r="AR255" s="91"/>
      <c r="AS255" s="91"/>
      <c r="AT255" s="91"/>
      <c r="AU255" s="110"/>
      <c r="AV255" s="85" t="e">
        <f t="shared" ref="AV255:AX318" si="12">IF($E255="","",AV$18)</f>
        <v>#REF!</v>
      </c>
      <c r="AW255" s="85" t="e">
        <f t="shared" si="12"/>
        <v>#REF!</v>
      </c>
      <c r="AX255" s="85" t="e">
        <f t="shared" si="12"/>
        <v>#REF!</v>
      </c>
      <c r="BB255" s="85" t="s">
        <v>250</v>
      </c>
    </row>
    <row r="256" spans="1:54" ht="15.75" x14ac:dyDescent="0.2">
      <c r="A256" s="111" t="e">
        <f t="shared" si="11"/>
        <v>#REF!</v>
      </c>
      <c r="B256" s="88" t="e">
        <f>IF(OR(#REF!="",#REF!=0,#REF!=#REF!),"",#REF!)</f>
        <v>#REF!</v>
      </c>
      <c r="C256" s="107" t="e">
        <f t="shared" si="10"/>
        <v>#REF!</v>
      </c>
      <c r="D256" s="88" t="e">
        <f>IF(OR(#REF!="",#REF!=0,#REF!=#REF!),"",#REF!)</f>
        <v>#REF!</v>
      </c>
      <c r="E256" s="88" t="e">
        <f>IF($D256="","",#REF!)</f>
        <v>#REF!</v>
      </c>
      <c r="F256" s="91"/>
      <c r="G256" s="91"/>
      <c r="H256" s="91"/>
      <c r="I256" s="91"/>
      <c r="J256" s="91"/>
      <c r="K256" s="91"/>
      <c r="L256" s="91"/>
      <c r="M256" s="91"/>
      <c r="N256" s="91"/>
      <c r="O256" s="91"/>
      <c r="P256" s="91"/>
      <c r="Q256" s="91"/>
      <c r="R256" s="91"/>
      <c r="S256" s="91"/>
      <c r="T256" s="109"/>
      <c r="U256" s="109"/>
      <c r="V256" s="109"/>
      <c r="W256" s="91"/>
      <c r="X256" s="91"/>
      <c r="Y256" s="91"/>
      <c r="Z256" s="186" t="e">
        <f t="array" ref="Z256">IF(E256="","",SUMPRODUCT(T256:V256,TRANSPOSE($V$4:$V$6)))</f>
        <v>#REF!</v>
      </c>
      <c r="AA256" s="109"/>
      <c r="AB256" s="91"/>
      <c r="AC256" s="91"/>
      <c r="AD256" s="91"/>
      <c r="AE256" s="91"/>
      <c r="AF256" s="91"/>
      <c r="AG256" s="91"/>
      <c r="AH256" s="91"/>
      <c r="AI256" s="96"/>
      <c r="AJ256" s="91"/>
      <c r="AK256" s="91"/>
      <c r="AL256" s="91"/>
      <c r="AM256" s="91"/>
      <c r="AN256" s="91"/>
      <c r="AO256" s="91"/>
      <c r="AP256" s="91"/>
      <c r="AQ256" s="91"/>
      <c r="AR256" s="91"/>
      <c r="AS256" s="91"/>
      <c r="AT256" s="91"/>
      <c r="AU256" s="110"/>
      <c r="AV256" s="85" t="e">
        <f t="shared" si="12"/>
        <v>#REF!</v>
      </c>
      <c r="AW256" s="85" t="e">
        <f t="shared" si="12"/>
        <v>#REF!</v>
      </c>
      <c r="AX256" s="85" t="e">
        <f t="shared" si="12"/>
        <v>#REF!</v>
      </c>
      <c r="BB256" s="85" t="s">
        <v>250</v>
      </c>
    </row>
    <row r="257" spans="1:54" ht="15.75" x14ac:dyDescent="0.2">
      <c r="A257" s="111" t="e">
        <f t="shared" si="11"/>
        <v>#REF!</v>
      </c>
      <c r="B257" s="88" t="e">
        <f>IF(OR(#REF!="",#REF!=0,#REF!=#REF!),"",#REF!)</f>
        <v>#REF!</v>
      </c>
      <c r="C257" s="107" t="e">
        <f t="shared" si="10"/>
        <v>#REF!</v>
      </c>
      <c r="D257" s="88" t="e">
        <f>IF(OR(#REF!="",#REF!=0,#REF!=#REF!),"",#REF!)</f>
        <v>#REF!</v>
      </c>
      <c r="E257" s="88" t="e">
        <f>IF($D257="","",#REF!)</f>
        <v>#REF!</v>
      </c>
      <c r="F257" s="91"/>
      <c r="G257" s="91"/>
      <c r="H257" s="91"/>
      <c r="I257" s="91"/>
      <c r="J257" s="91"/>
      <c r="K257" s="91"/>
      <c r="L257" s="91"/>
      <c r="M257" s="91"/>
      <c r="N257" s="91"/>
      <c r="O257" s="91"/>
      <c r="P257" s="91"/>
      <c r="Q257" s="91"/>
      <c r="R257" s="91"/>
      <c r="S257" s="91"/>
      <c r="T257" s="109"/>
      <c r="U257" s="109"/>
      <c r="V257" s="109"/>
      <c r="W257" s="108"/>
      <c r="X257" s="108"/>
      <c r="Y257" s="91"/>
      <c r="Z257" s="186" t="e">
        <f t="array" ref="Z257">IF(E257="","",SUMPRODUCT(T257:V257,TRANSPOSE($V$4:$V$6)))</f>
        <v>#REF!</v>
      </c>
      <c r="AA257" s="109"/>
      <c r="AB257" s="91"/>
      <c r="AC257" s="91"/>
      <c r="AD257" s="91"/>
      <c r="AE257" s="91"/>
      <c r="AF257" s="91"/>
      <c r="AG257" s="91"/>
      <c r="AH257" s="91"/>
      <c r="AI257" s="96"/>
      <c r="AJ257" s="91"/>
      <c r="AK257" s="91"/>
      <c r="AL257" s="91"/>
      <c r="AM257" s="91"/>
      <c r="AN257" s="91"/>
      <c r="AO257" s="91"/>
      <c r="AP257" s="91"/>
      <c r="AQ257" s="91"/>
      <c r="AR257" s="91"/>
      <c r="AS257" s="91"/>
      <c r="AT257" s="91"/>
      <c r="AU257" s="110"/>
      <c r="AV257" s="85" t="e">
        <f t="shared" si="12"/>
        <v>#REF!</v>
      </c>
      <c r="AW257" s="85" t="e">
        <f t="shared" si="12"/>
        <v>#REF!</v>
      </c>
      <c r="AX257" s="85" t="e">
        <f t="shared" si="12"/>
        <v>#REF!</v>
      </c>
      <c r="BB257" s="85" t="s">
        <v>250</v>
      </c>
    </row>
    <row r="258" spans="1:54" ht="15.75" x14ac:dyDescent="0.2">
      <c r="A258" s="111" t="e">
        <f t="shared" si="11"/>
        <v>#REF!</v>
      </c>
      <c r="B258" s="88" t="e">
        <f>IF(OR(#REF!="",#REF!=0,#REF!=#REF!),"",#REF!)</f>
        <v>#REF!</v>
      </c>
      <c r="C258" s="107" t="e">
        <f t="shared" si="10"/>
        <v>#REF!</v>
      </c>
      <c r="D258" s="88" t="e">
        <f>IF(OR(#REF!="",#REF!=0,#REF!=#REF!),"",#REF!)</f>
        <v>#REF!</v>
      </c>
      <c r="E258" s="88" t="e">
        <f>IF($D258="","",#REF!)</f>
        <v>#REF!</v>
      </c>
      <c r="F258" s="91"/>
      <c r="G258" s="91"/>
      <c r="H258" s="91"/>
      <c r="I258" s="91"/>
      <c r="J258" s="91"/>
      <c r="K258" s="91"/>
      <c r="L258" s="91"/>
      <c r="M258" s="91"/>
      <c r="N258" s="91"/>
      <c r="O258" s="91"/>
      <c r="P258" s="91"/>
      <c r="Q258" s="91"/>
      <c r="R258" s="91"/>
      <c r="S258" s="91"/>
      <c r="T258" s="109"/>
      <c r="U258" s="109"/>
      <c r="V258" s="109"/>
      <c r="W258" s="91"/>
      <c r="X258" s="91"/>
      <c r="Y258" s="91"/>
      <c r="Z258" s="186" t="e">
        <f t="array" ref="Z258">IF(E258="","",SUMPRODUCT(T258:V258,TRANSPOSE($V$4:$V$6)))</f>
        <v>#REF!</v>
      </c>
      <c r="AA258" s="109"/>
      <c r="AB258" s="91"/>
      <c r="AC258" s="91"/>
      <c r="AD258" s="91"/>
      <c r="AE258" s="91"/>
      <c r="AF258" s="91"/>
      <c r="AG258" s="91"/>
      <c r="AH258" s="91"/>
      <c r="AI258" s="96"/>
      <c r="AJ258" s="91"/>
      <c r="AK258" s="91"/>
      <c r="AL258" s="91"/>
      <c r="AM258" s="91"/>
      <c r="AN258" s="91"/>
      <c r="AO258" s="91"/>
      <c r="AP258" s="91"/>
      <c r="AQ258" s="91"/>
      <c r="AR258" s="91"/>
      <c r="AS258" s="91"/>
      <c r="AT258" s="91"/>
      <c r="AU258" s="110"/>
      <c r="AV258" s="85" t="e">
        <f t="shared" si="12"/>
        <v>#REF!</v>
      </c>
      <c r="AW258" s="85" t="e">
        <f t="shared" si="12"/>
        <v>#REF!</v>
      </c>
      <c r="AX258" s="85" t="e">
        <f t="shared" si="12"/>
        <v>#REF!</v>
      </c>
      <c r="BB258" s="85" t="s">
        <v>250</v>
      </c>
    </row>
    <row r="259" spans="1:54" ht="15.75" x14ac:dyDescent="0.2">
      <c r="A259" s="111" t="e">
        <f t="shared" si="11"/>
        <v>#REF!</v>
      </c>
      <c r="B259" s="88" t="e">
        <f>IF(OR(#REF!="",#REF!=0,#REF!=#REF!),"",#REF!)</f>
        <v>#REF!</v>
      </c>
      <c r="C259" s="107" t="e">
        <f t="shared" si="10"/>
        <v>#REF!</v>
      </c>
      <c r="D259" s="88" t="e">
        <f>IF(OR(#REF!="",#REF!=0,#REF!=#REF!),"",#REF!)</f>
        <v>#REF!</v>
      </c>
      <c r="E259" s="88" t="e">
        <f>IF($D259="","",#REF!)</f>
        <v>#REF!</v>
      </c>
      <c r="F259" s="91"/>
      <c r="G259" s="91"/>
      <c r="H259" s="91"/>
      <c r="I259" s="91"/>
      <c r="J259" s="91"/>
      <c r="K259" s="91"/>
      <c r="L259" s="91"/>
      <c r="M259" s="91"/>
      <c r="N259" s="91"/>
      <c r="O259" s="91"/>
      <c r="P259" s="91"/>
      <c r="Q259" s="91"/>
      <c r="R259" s="91"/>
      <c r="S259" s="91"/>
      <c r="T259" s="109"/>
      <c r="U259" s="109"/>
      <c r="V259" s="109"/>
      <c r="W259" s="108"/>
      <c r="X259" s="108"/>
      <c r="Y259" s="91"/>
      <c r="Z259" s="186" t="e">
        <f t="array" ref="Z259">IF(E259="","",SUMPRODUCT(T259:V259,TRANSPOSE($V$4:$V$6)))</f>
        <v>#REF!</v>
      </c>
      <c r="AA259" s="109"/>
      <c r="AB259" s="91"/>
      <c r="AC259" s="91"/>
      <c r="AD259" s="91"/>
      <c r="AE259" s="91"/>
      <c r="AF259" s="91"/>
      <c r="AG259" s="91"/>
      <c r="AH259" s="91"/>
      <c r="AI259" s="96"/>
      <c r="AJ259" s="91"/>
      <c r="AK259" s="91"/>
      <c r="AL259" s="91"/>
      <c r="AM259" s="91"/>
      <c r="AN259" s="91"/>
      <c r="AO259" s="91"/>
      <c r="AP259" s="91"/>
      <c r="AQ259" s="91"/>
      <c r="AR259" s="91"/>
      <c r="AS259" s="91"/>
      <c r="AT259" s="91"/>
      <c r="AU259" s="110"/>
      <c r="AV259" s="85" t="e">
        <f t="shared" si="12"/>
        <v>#REF!</v>
      </c>
      <c r="AW259" s="85" t="e">
        <f t="shared" si="12"/>
        <v>#REF!</v>
      </c>
      <c r="AX259" s="85" t="e">
        <f t="shared" si="12"/>
        <v>#REF!</v>
      </c>
      <c r="BB259" s="85" t="s">
        <v>250</v>
      </c>
    </row>
    <row r="260" spans="1:54" ht="15.75" x14ac:dyDescent="0.2">
      <c r="A260" s="111" t="e">
        <f t="shared" si="11"/>
        <v>#REF!</v>
      </c>
      <c r="B260" s="88" t="e">
        <f>IF(OR(#REF!="",#REF!=0,#REF!=#REF!),"",#REF!)</f>
        <v>#REF!</v>
      </c>
      <c r="C260" s="107" t="e">
        <f t="shared" si="10"/>
        <v>#REF!</v>
      </c>
      <c r="D260" s="88" t="e">
        <f>IF(OR(#REF!="",#REF!=0,#REF!=#REF!),"",#REF!)</f>
        <v>#REF!</v>
      </c>
      <c r="E260" s="88" t="e">
        <f>IF($D260="","",#REF!)</f>
        <v>#REF!</v>
      </c>
      <c r="F260" s="91"/>
      <c r="G260" s="91"/>
      <c r="H260" s="91"/>
      <c r="I260" s="91"/>
      <c r="J260" s="91"/>
      <c r="K260" s="91"/>
      <c r="L260" s="91"/>
      <c r="M260" s="91"/>
      <c r="N260" s="91"/>
      <c r="O260" s="91"/>
      <c r="P260" s="91"/>
      <c r="Q260" s="91"/>
      <c r="R260" s="91"/>
      <c r="S260" s="91"/>
      <c r="T260" s="109"/>
      <c r="U260" s="109"/>
      <c r="V260" s="109"/>
      <c r="W260" s="108"/>
      <c r="X260" s="108"/>
      <c r="Y260" s="91"/>
      <c r="Z260" s="186" t="e">
        <f t="array" ref="Z260">IF(E260="","",SUMPRODUCT(T260:V260,TRANSPOSE($V$4:$V$6)))</f>
        <v>#REF!</v>
      </c>
      <c r="AA260" s="109"/>
      <c r="AB260" s="91"/>
      <c r="AC260" s="91"/>
      <c r="AD260" s="91"/>
      <c r="AE260" s="91"/>
      <c r="AF260" s="91"/>
      <c r="AG260" s="91"/>
      <c r="AH260" s="91"/>
      <c r="AI260" s="96"/>
      <c r="AJ260" s="91"/>
      <c r="AK260" s="91"/>
      <c r="AL260" s="91"/>
      <c r="AM260" s="91"/>
      <c r="AN260" s="91"/>
      <c r="AO260" s="91"/>
      <c r="AP260" s="91"/>
      <c r="AQ260" s="91"/>
      <c r="AR260" s="91"/>
      <c r="AS260" s="91"/>
      <c r="AT260" s="91"/>
      <c r="AU260" s="110"/>
      <c r="AV260" s="85" t="e">
        <f t="shared" si="12"/>
        <v>#REF!</v>
      </c>
      <c r="AW260" s="85" t="e">
        <f t="shared" si="12"/>
        <v>#REF!</v>
      </c>
      <c r="AX260" s="85" t="e">
        <f t="shared" si="12"/>
        <v>#REF!</v>
      </c>
      <c r="BB260" s="85" t="s">
        <v>250</v>
      </c>
    </row>
    <row r="261" spans="1:54" ht="15.75" x14ac:dyDescent="0.2">
      <c r="A261" s="111" t="e">
        <f t="shared" si="11"/>
        <v>#REF!</v>
      </c>
      <c r="B261" s="88" t="e">
        <f>IF(OR(#REF!="",#REF!=0,#REF!=#REF!),"",#REF!)</f>
        <v>#REF!</v>
      </c>
      <c r="C261" s="107" t="e">
        <f t="shared" si="10"/>
        <v>#REF!</v>
      </c>
      <c r="D261" s="88" t="e">
        <f>IF(OR(#REF!="",#REF!=0,#REF!=#REF!),"",#REF!)</f>
        <v>#REF!</v>
      </c>
      <c r="E261" s="88" t="e">
        <f>IF($D261="","",#REF!)</f>
        <v>#REF!</v>
      </c>
      <c r="F261" s="91"/>
      <c r="G261" s="91"/>
      <c r="H261" s="91"/>
      <c r="I261" s="91"/>
      <c r="J261" s="91"/>
      <c r="K261" s="91"/>
      <c r="L261" s="91"/>
      <c r="M261" s="91"/>
      <c r="N261" s="91"/>
      <c r="O261" s="91"/>
      <c r="P261" s="91"/>
      <c r="Q261" s="91"/>
      <c r="R261" s="91"/>
      <c r="S261" s="91"/>
      <c r="T261" s="109"/>
      <c r="U261" s="109"/>
      <c r="V261" s="109"/>
      <c r="W261" s="108"/>
      <c r="X261" s="108"/>
      <c r="Y261" s="91"/>
      <c r="Z261" s="186" t="e">
        <f t="array" ref="Z261">IF(E261="","",SUMPRODUCT(T261:V261,TRANSPOSE($V$4:$V$6)))</f>
        <v>#REF!</v>
      </c>
      <c r="AA261" s="109"/>
      <c r="AB261" s="91"/>
      <c r="AC261" s="91"/>
      <c r="AD261" s="91"/>
      <c r="AE261" s="91"/>
      <c r="AF261" s="91"/>
      <c r="AG261" s="91"/>
      <c r="AH261" s="91"/>
      <c r="AI261" s="96"/>
      <c r="AJ261" s="91"/>
      <c r="AK261" s="91"/>
      <c r="AL261" s="91"/>
      <c r="AM261" s="91"/>
      <c r="AN261" s="91"/>
      <c r="AO261" s="91"/>
      <c r="AP261" s="91"/>
      <c r="AQ261" s="91"/>
      <c r="AR261" s="91"/>
      <c r="AS261" s="91"/>
      <c r="AT261" s="91"/>
      <c r="AU261" s="110"/>
      <c r="AV261" s="85" t="e">
        <f t="shared" si="12"/>
        <v>#REF!</v>
      </c>
      <c r="AW261" s="85" t="e">
        <f t="shared" si="12"/>
        <v>#REF!</v>
      </c>
      <c r="AX261" s="85" t="e">
        <f t="shared" si="12"/>
        <v>#REF!</v>
      </c>
      <c r="BB261" s="85" t="s">
        <v>250</v>
      </c>
    </row>
    <row r="262" spans="1:54" ht="15.75" x14ac:dyDescent="0.2">
      <c r="A262" s="111" t="e">
        <f t="shared" si="11"/>
        <v>#REF!</v>
      </c>
      <c r="B262" s="88" t="e">
        <f>IF(OR(#REF!="",#REF!=0,#REF!=#REF!),"",#REF!)</f>
        <v>#REF!</v>
      </c>
      <c r="C262" s="107" t="e">
        <f t="shared" si="10"/>
        <v>#REF!</v>
      </c>
      <c r="D262" s="88" t="e">
        <f>IF(OR(#REF!="",#REF!=0,#REF!=#REF!),"",#REF!)</f>
        <v>#REF!</v>
      </c>
      <c r="E262" s="88" t="e">
        <f>IF($D262="","",#REF!)</f>
        <v>#REF!</v>
      </c>
      <c r="F262" s="91"/>
      <c r="G262" s="91"/>
      <c r="H262" s="91"/>
      <c r="I262" s="91"/>
      <c r="J262" s="91"/>
      <c r="K262" s="91"/>
      <c r="L262" s="91"/>
      <c r="M262" s="91"/>
      <c r="N262" s="91"/>
      <c r="O262" s="91"/>
      <c r="P262" s="91"/>
      <c r="Q262" s="91"/>
      <c r="R262" s="91"/>
      <c r="S262" s="91"/>
      <c r="T262" s="109"/>
      <c r="U262" s="109"/>
      <c r="V262" s="109"/>
      <c r="W262" s="108"/>
      <c r="X262" s="108"/>
      <c r="Y262" s="91"/>
      <c r="Z262" s="186" t="e">
        <f t="array" ref="Z262">IF(E262="","",SUMPRODUCT(T262:V262,TRANSPOSE($V$4:$V$6)))</f>
        <v>#REF!</v>
      </c>
      <c r="AA262" s="109"/>
      <c r="AB262" s="91"/>
      <c r="AC262" s="91"/>
      <c r="AD262" s="91"/>
      <c r="AE262" s="91"/>
      <c r="AF262" s="91"/>
      <c r="AG262" s="91"/>
      <c r="AH262" s="91"/>
      <c r="AI262" s="96"/>
      <c r="AJ262" s="91"/>
      <c r="AK262" s="91"/>
      <c r="AL262" s="91"/>
      <c r="AM262" s="91"/>
      <c r="AN262" s="91"/>
      <c r="AO262" s="91"/>
      <c r="AP262" s="91"/>
      <c r="AQ262" s="91"/>
      <c r="AR262" s="91"/>
      <c r="AS262" s="91"/>
      <c r="AT262" s="91"/>
      <c r="AU262" s="110"/>
      <c r="AV262" s="85" t="e">
        <f t="shared" si="12"/>
        <v>#REF!</v>
      </c>
      <c r="AW262" s="85" t="e">
        <f t="shared" si="12"/>
        <v>#REF!</v>
      </c>
      <c r="AX262" s="85" t="e">
        <f t="shared" si="12"/>
        <v>#REF!</v>
      </c>
      <c r="BB262" s="85" t="s">
        <v>250</v>
      </c>
    </row>
    <row r="263" spans="1:54" ht="15.75" x14ac:dyDescent="0.2">
      <c r="A263" s="111" t="e">
        <f t="shared" si="11"/>
        <v>#REF!</v>
      </c>
      <c r="B263" s="88" t="e">
        <f>IF(OR(#REF!="",#REF!=0,#REF!=#REF!),"",#REF!)</f>
        <v>#REF!</v>
      </c>
      <c r="C263" s="107" t="e">
        <f t="shared" si="10"/>
        <v>#REF!</v>
      </c>
      <c r="D263" s="88" t="e">
        <f>IF(OR(#REF!="",#REF!=0,#REF!=#REF!),"",#REF!)</f>
        <v>#REF!</v>
      </c>
      <c r="E263" s="88" t="e">
        <f>IF($D263="","",#REF!)</f>
        <v>#REF!</v>
      </c>
      <c r="F263" s="91"/>
      <c r="G263" s="91"/>
      <c r="H263" s="91"/>
      <c r="I263" s="91"/>
      <c r="J263" s="91"/>
      <c r="K263" s="91"/>
      <c r="L263" s="91"/>
      <c r="M263" s="91"/>
      <c r="N263" s="91"/>
      <c r="O263" s="91"/>
      <c r="P263" s="91"/>
      <c r="Q263" s="91"/>
      <c r="R263" s="91"/>
      <c r="S263" s="91"/>
      <c r="T263" s="109"/>
      <c r="U263" s="109"/>
      <c r="V263" s="109"/>
      <c r="W263" s="91"/>
      <c r="X263" s="91"/>
      <c r="Y263" s="91"/>
      <c r="Z263" s="186" t="e">
        <f t="array" ref="Z263">IF(E263="","",SUMPRODUCT(T263:V263,TRANSPOSE($V$4:$V$6)))</f>
        <v>#REF!</v>
      </c>
      <c r="AA263" s="109"/>
      <c r="AB263" s="91"/>
      <c r="AC263" s="91"/>
      <c r="AD263" s="91"/>
      <c r="AE263" s="91"/>
      <c r="AF263" s="91"/>
      <c r="AG263" s="91"/>
      <c r="AH263" s="91"/>
      <c r="AI263" s="96"/>
      <c r="AJ263" s="91"/>
      <c r="AK263" s="91"/>
      <c r="AL263" s="91"/>
      <c r="AM263" s="91"/>
      <c r="AN263" s="91"/>
      <c r="AO263" s="91"/>
      <c r="AP263" s="91"/>
      <c r="AQ263" s="91"/>
      <c r="AR263" s="91"/>
      <c r="AS263" s="91"/>
      <c r="AT263" s="91"/>
      <c r="AU263" s="110"/>
      <c r="AV263" s="85" t="e">
        <f t="shared" si="12"/>
        <v>#REF!</v>
      </c>
      <c r="AW263" s="85" t="e">
        <f t="shared" si="12"/>
        <v>#REF!</v>
      </c>
      <c r="AX263" s="85" t="e">
        <f t="shared" si="12"/>
        <v>#REF!</v>
      </c>
      <c r="BB263" s="85" t="s">
        <v>250</v>
      </c>
    </row>
    <row r="264" spans="1:54" ht="15.75" x14ac:dyDescent="0.2">
      <c r="A264" s="111" t="e">
        <f t="shared" si="11"/>
        <v>#REF!</v>
      </c>
      <c r="B264" s="88" t="e">
        <f>IF(OR(#REF!="",#REF!=0,#REF!=#REF!),"",#REF!)</f>
        <v>#REF!</v>
      </c>
      <c r="C264" s="107" t="e">
        <f t="shared" si="10"/>
        <v>#REF!</v>
      </c>
      <c r="D264" s="88" t="e">
        <f>IF(OR(#REF!="",#REF!=0,#REF!=#REF!),"",#REF!)</f>
        <v>#REF!</v>
      </c>
      <c r="E264" s="88" t="e">
        <f>IF($D264="","",#REF!)</f>
        <v>#REF!</v>
      </c>
      <c r="F264" s="91"/>
      <c r="G264" s="91"/>
      <c r="H264" s="91"/>
      <c r="I264" s="91"/>
      <c r="J264" s="91"/>
      <c r="K264" s="91"/>
      <c r="L264" s="91"/>
      <c r="M264" s="91"/>
      <c r="N264" s="91"/>
      <c r="O264" s="91"/>
      <c r="P264" s="91"/>
      <c r="Q264" s="91"/>
      <c r="R264" s="91"/>
      <c r="S264" s="91"/>
      <c r="T264" s="109"/>
      <c r="U264" s="109"/>
      <c r="V264" s="109"/>
      <c r="W264" s="108"/>
      <c r="X264" s="108"/>
      <c r="Y264" s="91"/>
      <c r="Z264" s="186" t="e">
        <f t="array" ref="Z264">IF(E264="","",SUMPRODUCT(T264:V264,TRANSPOSE($V$4:$V$6)))</f>
        <v>#REF!</v>
      </c>
      <c r="AA264" s="109"/>
      <c r="AB264" s="91"/>
      <c r="AC264" s="91"/>
      <c r="AD264" s="91"/>
      <c r="AE264" s="91"/>
      <c r="AF264" s="91"/>
      <c r="AG264" s="91"/>
      <c r="AH264" s="91"/>
      <c r="AI264" s="116"/>
      <c r="AJ264" s="91"/>
      <c r="AK264" s="91"/>
      <c r="AL264" s="91"/>
      <c r="AM264" s="91"/>
      <c r="AN264" s="91"/>
      <c r="AO264" s="91"/>
      <c r="AP264" s="91"/>
      <c r="AQ264" s="91"/>
      <c r="AR264" s="91"/>
      <c r="AS264" s="91"/>
      <c r="AT264" s="91"/>
      <c r="AU264" s="110"/>
      <c r="AV264" s="85" t="e">
        <f t="shared" si="12"/>
        <v>#REF!</v>
      </c>
      <c r="AW264" s="85" t="e">
        <f t="shared" si="12"/>
        <v>#REF!</v>
      </c>
      <c r="AX264" s="85" t="e">
        <f t="shared" si="12"/>
        <v>#REF!</v>
      </c>
      <c r="BB264" s="85" t="s">
        <v>250</v>
      </c>
    </row>
    <row r="265" spans="1:54" ht="15.75" x14ac:dyDescent="0.2">
      <c r="A265" s="111" t="e">
        <f t="shared" si="11"/>
        <v>#REF!</v>
      </c>
      <c r="B265" s="88" t="e">
        <f>IF(OR(#REF!="",#REF!=0,#REF!=#REF!),"",#REF!)</f>
        <v>#REF!</v>
      </c>
      <c r="C265" s="107" t="e">
        <f t="shared" si="10"/>
        <v>#REF!</v>
      </c>
      <c r="D265" s="88" t="e">
        <f>IF(OR(#REF!="",#REF!=0,#REF!=#REF!),"",#REF!)</f>
        <v>#REF!</v>
      </c>
      <c r="E265" s="88" t="e">
        <f>IF($D265="","",#REF!)</f>
        <v>#REF!</v>
      </c>
      <c r="F265" s="91"/>
      <c r="G265" s="91"/>
      <c r="H265" s="91"/>
      <c r="I265" s="91"/>
      <c r="J265" s="91"/>
      <c r="K265" s="91"/>
      <c r="L265" s="91"/>
      <c r="M265" s="91"/>
      <c r="N265" s="91"/>
      <c r="O265" s="91"/>
      <c r="P265" s="91"/>
      <c r="Q265" s="91"/>
      <c r="R265" s="91"/>
      <c r="S265" s="91"/>
      <c r="T265" s="109"/>
      <c r="U265" s="109"/>
      <c r="V265" s="109"/>
      <c r="W265" s="108"/>
      <c r="X265" s="108"/>
      <c r="Y265" s="91"/>
      <c r="Z265" s="186" t="e">
        <f t="array" ref="Z265">IF(E265="","",SUMPRODUCT(T265:V265,TRANSPOSE($V$4:$V$6)))</f>
        <v>#REF!</v>
      </c>
      <c r="AA265" s="109"/>
      <c r="AB265" s="91"/>
      <c r="AC265" s="91"/>
      <c r="AD265" s="91"/>
      <c r="AE265" s="91"/>
      <c r="AF265" s="91"/>
      <c r="AG265" s="91"/>
      <c r="AH265" s="91"/>
      <c r="AI265" s="96"/>
      <c r="AJ265" s="91"/>
      <c r="AK265" s="91"/>
      <c r="AL265" s="91"/>
      <c r="AM265" s="91"/>
      <c r="AN265" s="91"/>
      <c r="AO265" s="91"/>
      <c r="AP265" s="91"/>
      <c r="AQ265" s="91"/>
      <c r="AR265" s="91"/>
      <c r="AS265" s="91"/>
      <c r="AT265" s="91"/>
      <c r="AU265" s="110"/>
      <c r="AV265" s="85" t="e">
        <f t="shared" si="12"/>
        <v>#REF!</v>
      </c>
      <c r="AW265" s="85" t="e">
        <f t="shared" si="12"/>
        <v>#REF!</v>
      </c>
      <c r="AX265" s="85" t="e">
        <f t="shared" si="12"/>
        <v>#REF!</v>
      </c>
      <c r="BB265" s="85" t="s">
        <v>250</v>
      </c>
    </row>
    <row r="266" spans="1:54" ht="15.75" x14ac:dyDescent="0.2">
      <c r="A266" s="111" t="e">
        <f t="shared" si="11"/>
        <v>#REF!</v>
      </c>
      <c r="B266" s="88" t="e">
        <f>IF(OR(#REF!="",#REF!=0,#REF!=#REF!),"",#REF!)</f>
        <v>#REF!</v>
      </c>
      <c r="C266" s="107" t="e">
        <f t="shared" si="10"/>
        <v>#REF!</v>
      </c>
      <c r="D266" s="88" t="e">
        <f>IF(OR(#REF!="",#REF!=0,#REF!=#REF!),"",#REF!)</f>
        <v>#REF!</v>
      </c>
      <c r="E266" s="88" t="e">
        <f>IF($D266="","",#REF!)</f>
        <v>#REF!</v>
      </c>
      <c r="F266" s="91"/>
      <c r="G266" s="91"/>
      <c r="H266" s="91"/>
      <c r="I266" s="91"/>
      <c r="J266" s="91"/>
      <c r="K266" s="91"/>
      <c r="L266" s="91"/>
      <c r="M266" s="91"/>
      <c r="N266" s="91"/>
      <c r="O266" s="91"/>
      <c r="P266" s="91"/>
      <c r="Q266" s="91"/>
      <c r="R266" s="91"/>
      <c r="S266" s="91"/>
      <c r="T266" s="109"/>
      <c r="U266" s="109"/>
      <c r="V266" s="109"/>
      <c r="W266" s="108"/>
      <c r="X266" s="108"/>
      <c r="Y266" s="91"/>
      <c r="Z266" s="186" t="e">
        <f t="array" ref="Z266">IF(E266="","",SUMPRODUCT(T266:V266,TRANSPOSE($V$4:$V$6)))</f>
        <v>#REF!</v>
      </c>
      <c r="AA266" s="109"/>
      <c r="AB266" s="91"/>
      <c r="AC266" s="91"/>
      <c r="AD266" s="91"/>
      <c r="AE266" s="91"/>
      <c r="AF266" s="91"/>
      <c r="AG266" s="91"/>
      <c r="AH266" s="91"/>
      <c r="AI266" s="112"/>
      <c r="AJ266" s="109"/>
      <c r="AK266" s="91"/>
      <c r="AL266" s="91"/>
      <c r="AM266" s="91"/>
      <c r="AN266" s="91"/>
      <c r="AO266" s="91"/>
      <c r="AP266" s="91"/>
      <c r="AQ266" s="91"/>
      <c r="AR266" s="91"/>
      <c r="AS266" s="91"/>
      <c r="AT266" s="91"/>
      <c r="AU266" s="110"/>
      <c r="AV266" s="85" t="e">
        <f t="shared" si="12"/>
        <v>#REF!</v>
      </c>
      <c r="AW266" s="85" t="e">
        <f t="shared" si="12"/>
        <v>#REF!</v>
      </c>
      <c r="AX266" s="85" t="e">
        <f t="shared" si="12"/>
        <v>#REF!</v>
      </c>
      <c r="BB266" s="85" t="s">
        <v>250</v>
      </c>
    </row>
    <row r="267" spans="1:54" ht="15.75" x14ac:dyDescent="0.2">
      <c r="A267" s="111" t="e">
        <f t="shared" si="11"/>
        <v>#REF!</v>
      </c>
      <c r="B267" s="88" t="e">
        <f>IF(OR(#REF!="",#REF!=0,#REF!=#REF!),"",#REF!)</f>
        <v>#REF!</v>
      </c>
      <c r="C267" s="107" t="e">
        <f t="shared" si="10"/>
        <v>#REF!</v>
      </c>
      <c r="D267" s="88" t="e">
        <f>IF(OR(#REF!="",#REF!=0,#REF!=#REF!),"",#REF!)</f>
        <v>#REF!</v>
      </c>
      <c r="E267" s="88" t="e">
        <f>IF($D267="","",#REF!)</f>
        <v>#REF!</v>
      </c>
      <c r="F267" s="91"/>
      <c r="G267" s="91"/>
      <c r="H267" s="91"/>
      <c r="I267" s="91"/>
      <c r="J267" s="91"/>
      <c r="K267" s="91"/>
      <c r="L267" s="91"/>
      <c r="M267" s="91"/>
      <c r="N267" s="91"/>
      <c r="O267" s="91"/>
      <c r="P267" s="91"/>
      <c r="Q267" s="91"/>
      <c r="R267" s="91"/>
      <c r="S267" s="91"/>
      <c r="T267" s="109"/>
      <c r="U267" s="109"/>
      <c r="V267" s="109"/>
      <c r="W267" s="108"/>
      <c r="X267" s="108"/>
      <c r="Y267" s="91"/>
      <c r="Z267" s="186" t="e">
        <f t="array" ref="Z267">IF(E267="","",SUMPRODUCT(T267:V267,TRANSPOSE($V$4:$V$6)))</f>
        <v>#REF!</v>
      </c>
      <c r="AA267" s="109"/>
      <c r="AB267" s="91"/>
      <c r="AC267" s="91"/>
      <c r="AD267" s="91"/>
      <c r="AE267" s="91"/>
      <c r="AF267" s="91"/>
      <c r="AG267" s="91"/>
      <c r="AH267" s="91"/>
      <c r="AI267" s="96"/>
      <c r="AJ267" s="91"/>
      <c r="AK267" s="91"/>
      <c r="AL267" s="91"/>
      <c r="AM267" s="91"/>
      <c r="AN267" s="91"/>
      <c r="AO267" s="91"/>
      <c r="AP267" s="91"/>
      <c r="AQ267" s="91"/>
      <c r="AR267" s="91"/>
      <c r="AS267" s="91"/>
      <c r="AT267" s="91"/>
      <c r="AU267" s="110"/>
      <c r="AV267" s="85" t="e">
        <f t="shared" si="12"/>
        <v>#REF!</v>
      </c>
      <c r="AW267" s="85" t="e">
        <f t="shared" si="12"/>
        <v>#REF!</v>
      </c>
      <c r="AX267" s="85" t="e">
        <f t="shared" si="12"/>
        <v>#REF!</v>
      </c>
      <c r="BB267" s="85" t="s">
        <v>250</v>
      </c>
    </row>
    <row r="268" spans="1:54" ht="15.75" x14ac:dyDescent="0.2">
      <c r="A268" s="111" t="e">
        <f t="shared" si="11"/>
        <v>#REF!</v>
      </c>
      <c r="B268" s="88" t="e">
        <f>IF(OR(#REF!="",#REF!=0,#REF!=#REF!),"",#REF!)</f>
        <v>#REF!</v>
      </c>
      <c r="C268" s="107" t="e">
        <f t="shared" si="10"/>
        <v>#REF!</v>
      </c>
      <c r="D268" s="88" t="e">
        <f>IF(OR(#REF!="",#REF!=0,#REF!=#REF!),"",#REF!)</f>
        <v>#REF!</v>
      </c>
      <c r="E268" s="88" t="e">
        <f>IF($D268="","",#REF!)</f>
        <v>#REF!</v>
      </c>
      <c r="F268" s="91"/>
      <c r="G268" s="91"/>
      <c r="H268" s="91"/>
      <c r="I268" s="91"/>
      <c r="J268" s="91"/>
      <c r="K268" s="91"/>
      <c r="L268" s="91"/>
      <c r="M268" s="91"/>
      <c r="N268" s="91"/>
      <c r="O268" s="91"/>
      <c r="P268" s="91"/>
      <c r="Q268" s="91"/>
      <c r="R268" s="91"/>
      <c r="S268" s="91"/>
      <c r="T268" s="109"/>
      <c r="U268" s="109"/>
      <c r="V268" s="109"/>
      <c r="W268" s="108"/>
      <c r="X268" s="108"/>
      <c r="Y268" s="91"/>
      <c r="Z268" s="186" t="e">
        <f t="array" ref="Z268">IF(E268="","",SUMPRODUCT(T268:V268,TRANSPOSE($V$4:$V$6)))</f>
        <v>#REF!</v>
      </c>
      <c r="AA268" s="109"/>
      <c r="AB268" s="91"/>
      <c r="AC268" s="91"/>
      <c r="AD268" s="91"/>
      <c r="AE268" s="91"/>
      <c r="AF268" s="91"/>
      <c r="AG268" s="91"/>
      <c r="AH268" s="91"/>
      <c r="AI268" s="96"/>
      <c r="AJ268" s="91"/>
      <c r="AK268" s="91"/>
      <c r="AL268" s="91"/>
      <c r="AM268" s="91"/>
      <c r="AN268" s="91"/>
      <c r="AO268" s="91"/>
      <c r="AP268" s="91"/>
      <c r="AQ268" s="91"/>
      <c r="AR268" s="91"/>
      <c r="AS268" s="91"/>
      <c r="AT268" s="91"/>
      <c r="AU268" s="110"/>
      <c r="AV268" s="85" t="e">
        <f t="shared" si="12"/>
        <v>#REF!</v>
      </c>
      <c r="AW268" s="85" t="e">
        <f t="shared" si="12"/>
        <v>#REF!</v>
      </c>
      <c r="AX268" s="85" t="e">
        <f t="shared" si="12"/>
        <v>#REF!</v>
      </c>
      <c r="BB268" s="85" t="s">
        <v>250</v>
      </c>
    </row>
    <row r="269" spans="1:54" ht="15.75" x14ac:dyDescent="0.2">
      <c r="A269" s="111" t="e">
        <f t="shared" si="11"/>
        <v>#REF!</v>
      </c>
      <c r="B269" s="88" t="e">
        <f>IF(OR(#REF!="",#REF!=0,#REF!=#REF!),"",#REF!)</f>
        <v>#REF!</v>
      </c>
      <c r="C269" s="107" t="e">
        <f t="shared" si="10"/>
        <v>#REF!</v>
      </c>
      <c r="D269" s="88" t="e">
        <f>IF(OR(#REF!="",#REF!=0,#REF!=#REF!),"",#REF!)</f>
        <v>#REF!</v>
      </c>
      <c r="E269" s="88" t="e">
        <f>IF($D269="","",#REF!)</f>
        <v>#REF!</v>
      </c>
      <c r="F269" s="91"/>
      <c r="G269" s="91"/>
      <c r="H269" s="91"/>
      <c r="I269" s="91"/>
      <c r="J269" s="91"/>
      <c r="K269" s="91"/>
      <c r="L269" s="91"/>
      <c r="M269" s="91"/>
      <c r="N269" s="91"/>
      <c r="O269" s="91"/>
      <c r="P269" s="91"/>
      <c r="Q269" s="91"/>
      <c r="R269" s="91"/>
      <c r="S269" s="91"/>
      <c r="T269" s="109"/>
      <c r="U269" s="109"/>
      <c r="V269" s="109"/>
      <c r="W269" s="108"/>
      <c r="X269" s="108"/>
      <c r="Y269" s="91"/>
      <c r="Z269" s="186" t="e">
        <f t="array" ref="Z269">IF(E269="","",SUMPRODUCT(T269:V269,TRANSPOSE($V$4:$V$6)))</f>
        <v>#REF!</v>
      </c>
      <c r="AA269" s="109"/>
      <c r="AB269" s="91"/>
      <c r="AC269" s="91"/>
      <c r="AD269" s="91"/>
      <c r="AE269" s="91"/>
      <c r="AF269" s="91"/>
      <c r="AG269" s="91"/>
      <c r="AH269" s="91"/>
      <c r="AI269" s="112"/>
      <c r="AJ269" s="109"/>
      <c r="AK269" s="91"/>
      <c r="AL269" s="91"/>
      <c r="AM269" s="91"/>
      <c r="AN269" s="91"/>
      <c r="AO269" s="91"/>
      <c r="AP269" s="91"/>
      <c r="AQ269" s="91"/>
      <c r="AR269" s="91"/>
      <c r="AS269" s="91"/>
      <c r="AT269" s="91"/>
      <c r="AU269" s="110"/>
      <c r="AV269" s="85" t="e">
        <f t="shared" si="12"/>
        <v>#REF!</v>
      </c>
      <c r="AW269" s="85" t="e">
        <f t="shared" si="12"/>
        <v>#REF!</v>
      </c>
      <c r="AX269" s="85" t="e">
        <f t="shared" si="12"/>
        <v>#REF!</v>
      </c>
      <c r="BB269" s="85" t="s">
        <v>250</v>
      </c>
    </row>
    <row r="270" spans="1:54" ht="15.75" x14ac:dyDescent="0.2">
      <c r="A270" s="111" t="e">
        <f t="shared" si="11"/>
        <v>#REF!</v>
      </c>
      <c r="B270" s="88" t="e">
        <f>IF(OR(#REF!="",#REF!=0,#REF!=#REF!),"",#REF!)</f>
        <v>#REF!</v>
      </c>
      <c r="C270" s="107" t="e">
        <f t="shared" si="10"/>
        <v>#REF!</v>
      </c>
      <c r="D270" s="88" t="e">
        <f>IF(OR(#REF!="",#REF!=0,#REF!=#REF!),"",#REF!)</f>
        <v>#REF!</v>
      </c>
      <c r="E270" s="88" t="e">
        <f>IF($D270="","",#REF!)</f>
        <v>#REF!</v>
      </c>
      <c r="F270" s="91"/>
      <c r="G270" s="91"/>
      <c r="H270" s="91"/>
      <c r="I270" s="91"/>
      <c r="J270" s="91"/>
      <c r="K270" s="91"/>
      <c r="L270" s="91"/>
      <c r="M270" s="91"/>
      <c r="N270" s="91"/>
      <c r="O270" s="91"/>
      <c r="P270" s="91"/>
      <c r="Q270" s="91"/>
      <c r="R270" s="91"/>
      <c r="S270" s="91"/>
      <c r="T270" s="109"/>
      <c r="U270" s="109"/>
      <c r="V270" s="109"/>
      <c r="W270" s="91"/>
      <c r="X270" s="91"/>
      <c r="Y270" s="91"/>
      <c r="Z270" s="186" t="e">
        <f t="array" ref="Z270">IF(E270="","",SUMPRODUCT(T270:V270,TRANSPOSE($V$4:$V$6)))</f>
        <v>#REF!</v>
      </c>
      <c r="AA270" s="109"/>
      <c r="AB270" s="91"/>
      <c r="AC270" s="91"/>
      <c r="AD270" s="91"/>
      <c r="AE270" s="91"/>
      <c r="AF270" s="91"/>
      <c r="AG270" s="91"/>
      <c r="AH270" s="91"/>
      <c r="AI270" s="96"/>
      <c r="AJ270" s="91"/>
      <c r="AK270" s="91"/>
      <c r="AL270" s="91"/>
      <c r="AM270" s="91"/>
      <c r="AN270" s="91"/>
      <c r="AO270" s="91"/>
      <c r="AP270" s="91"/>
      <c r="AQ270" s="91"/>
      <c r="AR270" s="91"/>
      <c r="AS270" s="91"/>
      <c r="AT270" s="91"/>
      <c r="AU270" s="110"/>
      <c r="AV270" s="85" t="e">
        <f t="shared" si="12"/>
        <v>#REF!</v>
      </c>
      <c r="AW270" s="85" t="e">
        <f t="shared" si="12"/>
        <v>#REF!</v>
      </c>
      <c r="AX270" s="85" t="e">
        <f t="shared" si="12"/>
        <v>#REF!</v>
      </c>
      <c r="BB270" s="85" t="s">
        <v>250</v>
      </c>
    </row>
    <row r="271" spans="1:54" ht="15.75" x14ac:dyDescent="0.2">
      <c r="A271" s="111" t="e">
        <f t="shared" si="11"/>
        <v>#REF!</v>
      </c>
      <c r="B271" s="88" t="e">
        <f>IF(OR(#REF!="",#REF!=0,#REF!=#REF!),"",#REF!)</f>
        <v>#REF!</v>
      </c>
      <c r="C271" s="107" t="e">
        <f t="shared" si="10"/>
        <v>#REF!</v>
      </c>
      <c r="D271" s="88" t="e">
        <f>IF(OR(#REF!="",#REF!=0,#REF!=#REF!),"",#REF!)</f>
        <v>#REF!</v>
      </c>
      <c r="E271" s="88" t="e">
        <f>IF($D271="","",#REF!)</f>
        <v>#REF!</v>
      </c>
      <c r="F271" s="91"/>
      <c r="G271" s="91"/>
      <c r="H271" s="91"/>
      <c r="I271" s="91"/>
      <c r="J271" s="91"/>
      <c r="K271" s="91"/>
      <c r="L271" s="91"/>
      <c r="M271" s="91"/>
      <c r="N271" s="91"/>
      <c r="O271" s="91"/>
      <c r="P271" s="91"/>
      <c r="Q271" s="91"/>
      <c r="R271" s="91"/>
      <c r="S271" s="91"/>
      <c r="T271" s="109"/>
      <c r="U271" s="109"/>
      <c r="V271" s="109"/>
      <c r="W271" s="91"/>
      <c r="X271" s="91"/>
      <c r="Y271" s="91"/>
      <c r="Z271" s="186" t="e">
        <f t="array" ref="Z271">IF(E271="","",SUMPRODUCT(T271:V271,TRANSPOSE($V$4:$V$6)))</f>
        <v>#REF!</v>
      </c>
      <c r="AA271" s="109"/>
      <c r="AB271" s="91"/>
      <c r="AC271" s="91"/>
      <c r="AD271" s="91"/>
      <c r="AE271" s="91"/>
      <c r="AF271" s="91"/>
      <c r="AG271" s="91"/>
      <c r="AH271" s="91"/>
      <c r="AI271" s="96"/>
      <c r="AJ271" s="91"/>
      <c r="AK271" s="91"/>
      <c r="AL271" s="91"/>
      <c r="AM271" s="91"/>
      <c r="AN271" s="91"/>
      <c r="AO271" s="91"/>
      <c r="AP271" s="91"/>
      <c r="AQ271" s="91"/>
      <c r="AR271" s="91"/>
      <c r="AS271" s="91"/>
      <c r="AT271" s="91"/>
      <c r="AU271" s="110"/>
      <c r="AV271" s="85" t="e">
        <f t="shared" si="12"/>
        <v>#REF!</v>
      </c>
      <c r="AW271" s="85" t="e">
        <f t="shared" si="12"/>
        <v>#REF!</v>
      </c>
      <c r="AX271" s="85" t="e">
        <f t="shared" si="12"/>
        <v>#REF!</v>
      </c>
      <c r="BB271" s="85" t="s">
        <v>250</v>
      </c>
    </row>
    <row r="272" spans="1:54" ht="15.75" x14ac:dyDescent="0.2">
      <c r="A272" s="111" t="e">
        <f t="shared" si="11"/>
        <v>#REF!</v>
      </c>
      <c r="B272" s="88" t="e">
        <f>IF(OR(#REF!="",#REF!=0,#REF!=#REF!),"",#REF!)</f>
        <v>#REF!</v>
      </c>
      <c r="C272" s="107" t="e">
        <f t="shared" si="10"/>
        <v>#REF!</v>
      </c>
      <c r="D272" s="88" t="e">
        <f>IF(OR(#REF!="",#REF!=0,#REF!=#REF!),"",#REF!)</f>
        <v>#REF!</v>
      </c>
      <c r="E272" s="88" t="e">
        <f>IF($D272="","",#REF!)</f>
        <v>#REF!</v>
      </c>
      <c r="F272" s="91"/>
      <c r="G272" s="91"/>
      <c r="H272" s="91"/>
      <c r="I272" s="91"/>
      <c r="J272" s="91"/>
      <c r="K272" s="91"/>
      <c r="L272" s="91"/>
      <c r="M272" s="91"/>
      <c r="N272" s="91"/>
      <c r="O272" s="91"/>
      <c r="P272" s="91"/>
      <c r="Q272" s="91"/>
      <c r="R272" s="91"/>
      <c r="S272" s="91"/>
      <c r="T272" s="109"/>
      <c r="U272" s="109"/>
      <c r="V272" s="109"/>
      <c r="W272" s="108"/>
      <c r="X272" s="108"/>
      <c r="Y272" s="91"/>
      <c r="Z272" s="186" t="e">
        <f t="array" ref="Z272">IF(E272="","",SUMPRODUCT(T272:V272,TRANSPOSE($V$4:$V$6)))</f>
        <v>#REF!</v>
      </c>
      <c r="AA272" s="109"/>
      <c r="AB272" s="91"/>
      <c r="AC272" s="91"/>
      <c r="AD272" s="91"/>
      <c r="AE272" s="91"/>
      <c r="AF272" s="91"/>
      <c r="AG272" s="91"/>
      <c r="AH272" s="91"/>
      <c r="AI272" s="96"/>
      <c r="AJ272" s="91"/>
      <c r="AK272" s="91"/>
      <c r="AL272" s="91"/>
      <c r="AM272" s="91"/>
      <c r="AN272" s="91"/>
      <c r="AO272" s="91"/>
      <c r="AP272" s="91"/>
      <c r="AQ272" s="91"/>
      <c r="AR272" s="91"/>
      <c r="AS272" s="91"/>
      <c r="AT272" s="91"/>
      <c r="AU272" s="110"/>
      <c r="AV272" s="85" t="e">
        <f t="shared" si="12"/>
        <v>#REF!</v>
      </c>
      <c r="AW272" s="85" t="e">
        <f t="shared" si="12"/>
        <v>#REF!</v>
      </c>
      <c r="AX272" s="85" t="e">
        <f t="shared" si="12"/>
        <v>#REF!</v>
      </c>
      <c r="BB272" s="85" t="s">
        <v>250</v>
      </c>
    </row>
    <row r="273" spans="1:54" ht="15.75" x14ac:dyDescent="0.2">
      <c r="A273" s="111" t="e">
        <f t="shared" si="11"/>
        <v>#REF!</v>
      </c>
      <c r="B273" s="88" t="e">
        <f>IF(OR(#REF!="",#REF!=0,#REF!=#REF!),"",#REF!)</f>
        <v>#REF!</v>
      </c>
      <c r="C273" s="107" t="e">
        <f t="shared" si="10"/>
        <v>#REF!</v>
      </c>
      <c r="D273" s="88" t="e">
        <f>IF(OR(#REF!="",#REF!=0,#REF!=#REF!),"",#REF!)</f>
        <v>#REF!</v>
      </c>
      <c r="E273" s="88" t="e">
        <f>IF($D273="","",#REF!)</f>
        <v>#REF!</v>
      </c>
      <c r="F273" s="91"/>
      <c r="G273" s="91"/>
      <c r="H273" s="91"/>
      <c r="I273" s="91"/>
      <c r="J273" s="91"/>
      <c r="K273" s="91"/>
      <c r="L273" s="91"/>
      <c r="M273" s="91"/>
      <c r="N273" s="91"/>
      <c r="O273" s="91"/>
      <c r="P273" s="91"/>
      <c r="Q273" s="91"/>
      <c r="R273" s="91"/>
      <c r="S273" s="91"/>
      <c r="T273" s="109"/>
      <c r="U273" s="109"/>
      <c r="V273" s="109"/>
      <c r="W273" s="108"/>
      <c r="X273" s="108"/>
      <c r="Y273" s="91"/>
      <c r="Z273" s="186" t="e">
        <f t="array" ref="Z273">IF(E273="","",SUMPRODUCT(T273:V273,TRANSPOSE($V$4:$V$6)))</f>
        <v>#REF!</v>
      </c>
      <c r="AA273" s="109"/>
      <c r="AB273" s="91"/>
      <c r="AC273" s="91"/>
      <c r="AD273" s="91"/>
      <c r="AE273" s="91"/>
      <c r="AF273" s="91"/>
      <c r="AG273" s="91"/>
      <c r="AH273" s="91"/>
      <c r="AI273" s="96"/>
      <c r="AJ273" s="91"/>
      <c r="AK273" s="91"/>
      <c r="AL273" s="91"/>
      <c r="AM273" s="91"/>
      <c r="AN273" s="91"/>
      <c r="AO273" s="91"/>
      <c r="AP273" s="91"/>
      <c r="AQ273" s="91"/>
      <c r="AR273" s="91"/>
      <c r="AS273" s="91"/>
      <c r="AT273" s="91"/>
      <c r="AU273" s="110"/>
      <c r="AV273" s="85" t="e">
        <f t="shared" si="12"/>
        <v>#REF!</v>
      </c>
      <c r="AW273" s="85" t="e">
        <f t="shared" si="12"/>
        <v>#REF!</v>
      </c>
      <c r="AX273" s="85" t="e">
        <f t="shared" si="12"/>
        <v>#REF!</v>
      </c>
      <c r="BB273" s="85" t="s">
        <v>250</v>
      </c>
    </row>
    <row r="274" spans="1:54" ht="15.75" x14ac:dyDescent="0.2">
      <c r="A274" s="111" t="e">
        <f t="shared" si="11"/>
        <v>#REF!</v>
      </c>
      <c r="B274" s="88" t="e">
        <f>IF(OR(#REF!="",#REF!=0,#REF!=#REF!),"",#REF!)</f>
        <v>#REF!</v>
      </c>
      <c r="C274" s="107" t="e">
        <f t="shared" si="10"/>
        <v>#REF!</v>
      </c>
      <c r="D274" s="88" t="e">
        <f>IF(OR(#REF!="",#REF!=0,#REF!=#REF!),"",#REF!)</f>
        <v>#REF!</v>
      </c>
      <c r="E274" s="88" t="e">
        <f>IF($D274="","",#REF!)</f>
        <v>#REF!</v>
      </c>
      <c r="F274" s="91"/>
      <c r="G274" s="91"/>
      <c r="H274" s="91"/>
      <c r="I274" s="91"/>
      <c r="J274" s="91"/>
      <c r="K274" s="91"/>
      <c r="L274" s="91"/>
      <c r="M274" s="91"/>
      <c r="N274" s="91"/>
      <c r="O274" s="91"/>
      <c r="P274" s="91"/>
      <c r="Q274" s="91"/>
      <c r="R274" s="91"/>
      <c r="S274" s="91"/>
      <c r="T274" s="109"/>
      <c r="U274" s="109"/>
      <c r="V274" s="109"/>
      <c r="W274" s="91"/>
      <c r="X274" s="91"/>
      <c r="Y274" s="91"/>
      <c r="Z274" s="186" t="e">
        <f t="array" ref="Z274">IF(E274="","",SUMPRODUCT(T274:V274,TRANSPOSE($V$4:$V$6)))</f>
        <v>#REF!</v>
      </c>
      <c r="AA274" s="109"/>
      <c r="AB274" s="91"/>
      <c r="AC274" s="91"/>
      <c r="AD274" s="91"/>
      <c r="AE274" s="91"/>
      <c r="AF274" s="91"/>
      <c r="AG274" s="91"/>
      <c r="AH274" s="91"/>
      <c r="AI274" s="96"/>
      <c r="AJ274" s="91"/>
      <c r="AK274" s="91"/>
      <c r="AL274" s="91"/>
      <c r="AM274" s="91"/>
      <c r="AN274" s="91"/>
      <c r="AO274" s="91"/>
      <c r="AP274" s="91"/>
      <c r="AQ274" s="91"/>
      <c r="AR274" s="91"/>
      <c r="AS274" s="91"/>
      <c r="AT274" s="91"/>
      <c r="AU274" s="110"/>
      <c r="AV274" s="85" t="e">
        <f t="shared" si="12"/>
        <v>#REF!</v>
      </c>
      <c r="AW274" s="85" t="e">
        <f t="shared" si="12"/>
        <v>#REF!</v>
      </c>
      <c r="AX274" s="85" t="e">
        <f t="shared" si="12"/>
        <v>#REF!</v>
      </c>
      <c r="BB274" s="85" t="s">
        <v>250</v>
      </c>
    </row>
    <row r="275" spans="1:54" ht="15.75" x14ac:dyDescent="0.2">
      <c r="A275" s="111" t="e">
        <f t="shared" si="11"/>
        <v>#REF!</v>
      </c>
      <c r="B275" s="88" t="e">
        <f>IF(OR(#REF!="",#REF!=0,#REF!=#REF!),"",#REF!)</f>
        <v>#REF!</v>
      </c>
      <c r="C275" s="107" t="e">
        <f t="shared" si="10"/>
        <v>#REF!</v>
      </c>
      <c r="D275" s="88" t="e">
        <f>IF(OR(#REF!="",#REF!=0,#REF!=#REF!),"",#REF!)</f>
        <v>#REF!</v>
      </c>
      <c r="E275" s="88" t="e">
        <f>IF($D275="","",#REF!)</f>
        <v>#REF!</v>
      </c>
      <c r="F275" s="91"/>
      <c r="G275" s="91"/>
      <c r="H275" s="91"/>
      <c r="I275" s="91"/>
      <c r="J275" s="91"/>
      <c r="K275" s="91"/>
      <c r="L275" s="91"/>
      <c r="M275" s="91"/>
      <c r="N275" s="91"/>
      <c r="O275" s="91"/>
      <c r="P275" s="91"/>
      <c r="Q275" s="91"/>
      <c r="R275" s="91"/>
      <c r="S275" s="91"/>
      <c r="T275" s="109"/>
      <c r="U275" s="109"/>
      <c r="V275" s="109"/>
      <c r="W275" s="91"/>
      <c r="X275" s="91"/>
      <c r="Y275" s="91"/>
      <c r="Z275" s="186" t="e">
        <f t="array" ref="Z275">IF(E275="","",SUMPRODUCT(T275:V275,TRANSPOSE($V$4:$V$6)))</f>
        <v>#REF!</v>
      </c>
      <c r="AA275" s="109"/>
      <c r="AB275" s="91"/>
      <c r="AC275" s="91"/>
      <c r="AD275" s="91"/>
      <c r="AE275" s="91"/>
      <c r="AF275" s="91"/>
      <c r="AG275" s="91"/>
      <c r="AH275" s="91"/>
      <c r="AI275" s="96"/>
      <c r="AJ275" s="91"/>
      <c r="AK275" s="91"/>
      <c r="AL275" s="91"/>
      <c r="AM275" s="91"/>
      <c r="AN275" s="91"/>
      <c r="AO275" s="91"/>
      <c r="AP275" s="91"/>
      <c r="AQ275" s="91"/>
      <c r="AR275" s="91"/>
      <c r="AS275" s="91"/>
      <c r="AT275" s="91"/>
      <c r="AU275" s="110"/>
      <c r="AV275" s="85" t="e">
        <f t="shared" si="12"/>
        <v>#REF!</v>
      </c>
      <c r="AW275" s="85" t="e">
        <f t="shared" si="12"/>
        <v>#REF!</v>
      </c>
      <c r="AX275" s="85" t="e">
        <f t="shared" si="12"/>
        <v>#REF!</v>
      </c>
      <c r="BB275" s="85" t="s">
        <v>250</v>
      </c>
    </row>
    <row r="276" spans="1:54" ht="15.75" x14ac:dyDescent="0.2">
      <c r="A276" s="111" t="e">
        <f t="shared" si="11"/>
        <v>#REF!</v>
      </c>
      <c r="B276" s="88" t="e">
        <f>IF(OR(#REF!="",#REF!=0,#REF!=#REF!),"",#REF!)</f>
        <v>#REF!</v>
      </c>
      <c r="C276" s="107" t="e">
        <f t="shared" ref="C276:C318" si="13">IF(E276="","",IF(Z276&lt;&gt;0,1,0))</f>
        <v>#REF!</v>
      </c>
      <c r="D276" s="88" t="e">
        <f>IF(OR(#REF!="",#REF!=0,#REF!=#REF!),"",#REF!)</f>
        <v>#REF!</v>
      </c>
      <c r="E276" s="88" t="e">
        <f>IF($D276="","",#REF!)</f>
        <v>#REF!</v>
      </c>
      <c r="F276" s="91"/>
      <c r="G276" s="91"/>
      <c r="H276" s="91"/>
      <c r="I276" s="91"/>
      <c r="J276" s="91"/>
      <c r="K276" s="91"/>
      <c r="L276" s="91"/>
      <c r="M276" s="91"/>
      <c r="N276" s="91"/>
      <c r="O276" s="91"/>
      <c r="P276" s="91"/>
      <c r="Q276" s="91"/>
      <c r="R276" s="91"/>
      <c r="S276" s="91"/>
      <c r="T276" s="109"/>
      <c r="U276" s="109"/>
      <c r="V276" s="109"/>
      <c r="W276" s="91"/>
      <c r="X276" s="91"/>
      <c r="Y276" s="91"/>
      <c r="Z276" s="186" t="e">
        <f t="array" ref="Z276">IF(E276="","",SUMPRODUCT(T276:V276,TRANSPOSE($V$4:$V$6)))</f>
        <v>#REF!</v>
      </c>
      <c r="AA276" s="109"/>
      <c r="AB276" s="91"/>
      <c r="AC276" s="91"/>
      <c r="AD276" s="91"/>
      <c r="AE276" s="91"/>
      <c r="AF276" s="91"/>
      <c r="AG276" s="91"/>
      <c r="AH276" s="91"/>
      <c r="AI276" s="96"/>
      <c r="AJ276" s="91"/>
      <c r="AK276" s="91"/>
      <c r="AL276" s="91"/>
      <c r="AM276" s="91"/>
      <c r="AN276" s="91"/>
      <c r="AO276" s="91"/>
      <c r="AP276" s="91"/>
      <c r="AQ276" s="91"/>
      <c r="AR276" s="91"/>
      <c r="AS276" s="91"/>
      <c r="AT276" s="91"/>
      <c r="AU276" s="110"/>
      <c r="AV276" s="85" t="e">
        <f t="shared" si="12"/>
        <v>#REF!</v>
      </c>
      <c r="AW276" s="85" t="e">
        <f t="shared" si="12"/>
        <v>#REF!</v>
      </c>
      <c r="AX276" s="85" t="e">
        <f t="shared" si="12"/>
        <v>#REF!</v>
      </c>
      <c r="BB276" s="85" t="s">
        <v>250</v>
      </c>
    </row>
    <row r="277" spans="1:54" ht="15.75" x14ac:dyDescent="0.2">
      <c r="A277" s="111" t="e">
        <f t="shared" ref="A277:A318" si="14">IF(D277="","",A276+1)</f>
        <v>#REF!</v>
      </c>
      <c r="B277" s="88" t="e">
        <f>IF(OR(#REF!="",#REF!=0,#REF!=#REF!),"",#REF!)</f>
        <v>#REF!</v>
      </c>
      <c r="C277" s="107" t="e">
        <f t="shared" si="13"/>
        <v>#REF!</v>
      </c>
      <c r="D277" s="88" t="e">
        <f>IF(OR(#REF!="",#REF!=0,#REF!=#REF!),"",#REF!)</f>
        <v>#REF!</v>
      </c>
      <c r="E277" s="88" t="e">
        <f>IF($D277="","",#REF!)</f>
        <v>#REF!</v>
      </c>
      <c r="F277" s="91"/>
      <c r="G277" s="91"/>
      <c r="H277" s="91"/>
      <c r="I277" s="91"/>
      <c r="J277" s="91"/>
      <c r="K277" s="91"/>
      <c r="L277" s="91"/>
      <c r="M277" s="91"/>
      <c r="N277" s="91"/>
      <c r="O277" s="91"/>
      <c r="P277" s="91"/>
      <c r="Q277" s="91"/>
      <c r="R277" s="91"/>
      <c r="S277" s="91"/>
      <c r="T277" s="109"/>
      <c r="U277" s="109"/>
      <c r="V277" s="109"/>
      <c r="W277" s="91"/>
      <c r="X277" s="91"/>
      <c r="Y277" s="91"/>
      <c r="Z277" s="186" t="e">
        <f t="array" ref="Z277">IF(E277="","",SUMPRODUCT(T277:V277,TRANSPOSE($V$4:$V$6)))</f>
        <v>#REF!</v>
      </c>
      <c r="AA277" s="109"/>
      <c r="AB277" s="91"/>
      <c r="AC277" s="91"/>
      <c r="AD277" s="91"/>
      <c r="AE277" s="91"/>
      <c r="AF277" s="91"/>
      <c r="AG277" s="91"/>
      <c r="AH277" s="91"/>
      <c r="AI277" s="96"/>
      <c r="AJ277" s="91"/>
      <c r="AK277" s="91"/>
      <c r="AL277" s="91"/>
      <c r="AM277" s="91"/>
      <c r="AN277" s="91"/>
      <c r="AO277" s="91"/>
      <c r="AP277" s="91"/>
      <c r="AQ277" s="91"/>
      <c r="AR277" s="91"/>
      <c r="AS277" s="91"/>
      <c r="AT277" s="91"/>
      <c r="AU277" s="110"/>
      <c r="AV277" s="85" t="e">
        <f t="shared" si="12"/>
        <v>#REF!</v>
      </c>
      <c r="AW277" s="85" t="e">
        <f t="shared" si="12"/>
        <v>#REF!</v>
      </c>
      <c r="AX277" s="85" t="e">
        <f t="shared" si="12"/>
        <v>#REF!</v>
      </c>
      <c r="BB277" s="85" t="s">
        <v>250</v>
      </c>
    </row>
    <row r="278" spans="1:54" ht="15.75" x14ac:dyDescent="0.2">
      <c r="A278" s="111" t="e">
        <f t="shared" si="14"/>
        <v>#REF!</v>
      </c>
      <c r="B278" s="88" t="e">
        <f>IF(OR(#REF!="",#REF!=0,#REF!=#REF!),"",#REF!)</f>
        <v>#REF!</v>
      </c>
      <c r="C278" s="107" t="e">
        <f t="shared" si="13"/>
        <v>#REF!</v>
      </c>
      <c r="D278" s="88" t="e">
        <f>IF(OR(#REF!="",#REF!=0,#REF!=#REF!),"",#REF!)</f>
        <v>#REF!</v>
      </c>
      <c r="E278" s="88" t="e">
        <f>IF($D278="","",#REF!)</f>
        <v>#REF!</v>
      </c>
      <c r="F278" s="91"/>
      <c r="G278" s="91"/>
      <c r="H278" s="91"/>
      <c r="I278" s="91"/>
      <c r="J278" s="91"/>
      <c r="K278" s="91"/>
      <c r="L278" s="91"/>
      <c r="M278" s="91"/>
      <c r="N278" s="91"/>
      <c r="O278" s="91"/>
      <c r="P278" s="91"/>
      <c r="Q278" s="91"/>
      <c r="R278" s="91"/>
      <c r="S278" s="91"/>
      <c r="T278" s="109"/>
      <c r="U278" s="109"/>
      <c r="V278" s="109"/>
      <c r="W278" s="91"/>
      <c r="X278" s="91"/>
      <c r="Y278" s="91"/>
      <c r="Z278" s="186" t="e">
        <f t="array" ref="Z278">IF(E278="","",SUMPRODUCT(T278:V278,TRANSPOSE($V$4:$V$6)))</f>
        <v>#REF!</v>
      </c>
      <c r="AA278" s="109"/>
      <c r="AB278" s="91"/>
      <c r="AC278" s="91"/>
      <c r="AD278" s="91"/>
      <c r="AE278" s="91"/>
      <c r="AF278" s="91"/>
      <c r="AG278" s="91"/>
      <c r="AH278" s="91"/>
      <c r="AI278" s="96"/>
      <c r="AJ278" s="91"/>
      <c r="AK278" s="91"/>
      <c r="AL278" s="91"/>
      <c r="AM278" s="91"/>
      <c r="AN278" s="91"/>
      <c r="AO278" s="91"/>
      <c r="AP278" s="91"/>
      <c r="AQ278" s="91"/>
      <c r="AR278" s="91"/>
      <c r="AS278" s="91"/>
      <c r="AT278" s="91"/>
      <c r="AU278" s="110"/>
      <c r="AV278" s="85" t="e">
        <f t="shared" si="12"/>
        <v>#REF!</v>
      </c>
      <c r="AW278" s="85" t="e">
        <f t="shared" si="12"/>
        <v>#REF!</v>
      </c>
      <c r="AX278" s="85" t="e">
        <f t="shared" si="12"/>
        <v>#REF!</v>
      </c>
      <c r="BB278" s="85" t="s">
        <v>250</v>
      </c>
    </row>
    <row r="279" spans="1:54" ht="15.75" x14ac:dyDescent="0.2">
      <c r="A279" s="111" t="e">
        <f t="shared" si="14"/>
        <v>#REF!</v>
      </c>
      <c r="B279" s="88" t="e">
        <f>IF(OR(#REF!="",#REF!=0,#REF!=#REF!),"",#REF!)</f>
        <v>#REF!</v>
      </c>
      <c r="C279" s="107" t="e">
        <f t="shared" si="13"/>
        <v>#REF!</v>
      </c>
      <c r="D279" s="88" t="e">
        <f>IF(OR(#REF!="",#REF!=0,#REF!=#REF!),"",#REF!)</f>
        <v>#REF!</v>
      </c>
      <c r="E279" s="88" t="e">
        <f>IF($D279="","",#REF!)</f>
        <v>#REF!</v>
      </c>
      <c r="F279" s="91"/>
      <c r="G279" s="91"/>
      <c r="H279" s="91"/>
      <c r="I279" s="91"/>
      <c r="J279" s="91"/>
      <c r="K279" s="91"/>
      <c r="L279" s="91"/>
      <c r="M279" s="91"/>
      <c r="N279" s="91"/>
      <c r="O279" s="91"/>
      <c r="P279" s="91"/>
      <c r="Q279" s="91"/>
      <c r="R279" s="91"/>
      <c r="S279" s="91"/>
      <c r="T279" s="109"/>
      <c r="U279" s="109"/>
      <c r="V279" s="109"/>
      <c r="W279" s="91"/>
      <c r="X279" s="91"/>
      <c r="Y279" s="91"/>
      <c r="Z279" s="186" t="e">
        <f t="array" ref="Z279">IF(E279="","",SUMPRODUCT(T279:V279,TRANSPOSE($V$4:$V$6)))</f>
        <v>#REF!</v>
      </c>
      <c r="AA279" s="109"/>
      <c r="AB279" s="91"/>
      <c r="AC279" s="91"/>
      <c r="AD279" s="91"/>
      <c r="AE279" s="91"/>
      <c r="AF279" s="91"/>
      <c r="AG279" s="91"/>
      <c r="AH279" s="91"/>
      <c r="AI279" s="96"/>
      <c r="AJ279" s="91"/>
      <c r="AK279" s="91"/>
      <c r="AL279" s="91"/>
      <c r="AM279" s="91"/>
      <c r="AN279" s="91"/>
      <c r="AO279" s="91"/>
      <c r="AP279" s="91"/>
      <c r="AQ279" s="91"/>
      <c r="AR279" s="91"/>
      <c r="AS279" s="91"/>
      <c r="AT279" s="91"/>
      <c r="AU279" s="110"/>
      <c r="AV279" s="85" t="e">
        <f t="shared" si="12"/>
        <v>#REF!</v>
      </c>
      <c r="AW279" s="85" t="e">
        <f t="shared" si="12"/>
        <v>#REF!</v>
      </c>
      <c r="AX279" s="85" t="e">
        <f t="shared" si="12"/>
        <v>#REF!</v>
      </c>
      <c r="BB279" s="85" t="s">
        <v>250</v>
      </c>
    </row>
    <row r="280" spans="1:54" ht="15.75" x14ac:dyDescent="0.2">
      <c r="A280" s="111" t="e">
        <f t="shared" si="14"/>
        <v>#REF!</v>
      </c>
      <c r="B280" s="88" t="e">
        <f>IF(OR(#REF!="",#REF!=0,#REF!=#REF!),"",#REF!)</f>
        <v>#REF!</v>
      </c>
      <c r="C280" s="107" t="e">
        <f t="shared" si="13"/>
        <v>#REF!</v>
      </c>
      <c r="D280" s="88" t="e">
        <f>IF(OR(#REF!="",#REF!=0,#REF!=#REF!),"",#REF!)</f>
        <v>#REF!</v>
      </c>
      <c r="E280" s="88" t="e">
        <f>IF($D280="","",#REF!)</f>
        <v>#REF!</v>
      </c>
      <c r="F280" s="91"/>
      <c r="G280" s="91"/>
      <c r="H280" s="91"/>
      <c r="I280" s="91"/>
      <c r="J280" s="91"/>
      <c r="K280" s="91"/>
      <c r="L280" s="91"/>
      <c r="M280" s="91"/>
      <c r="N280" s="91"/>
      <c r="O280" s="91"/>
      <c r="P280" s="91"/>
      <c r="Q280" s="91"/>
      <c r="R280" s="91"/>
      <c r="S280" s="91"/>
      <c r="T280" s="109"/>
      <c r="U280" s="109"/>
      <c r="V280" s="109"/>
      <c r="W280" s="91"/>
      <c r="X280" s="91"/>
      <c r="Y280" s="91"/>
      <c r="Z280" s="186" t="e">
        <f t="array" ref="Z280">IF(E280="","",SUMPRODUCT(T280:V280,TRANSPOSE($V$4:$V$6)))</f>
        <v>#REF!</v>
      </c>
      <c r="AA280" s="109"/>
      <c r="AB280" s="91"/>
      <c r="AC280" s="91"/>
      <c r="AD280" s="91"/>
      <c r="AE280" s="91"/>
      <c r="AF280" s="91"/>
      <c r="AG280" s="91"/>
      <c r="AH280" s="91"/>
      <c r="AI280" s="96"/>
      <c r="AJ280" s="91"/>
      <c r="AK280" s="91"/>
      <c r="AL280" s="91"/>
      <c r="AM280" s="91"/>
      <c r="AN280" s="91"/>
      <c r="AO280" s="91"/>
      <c r="AP280" s="91"/>
      <c r="AQ280" s="91"/>
      <c r="AR280" s="91"/>
      <c r="AS280" s="91"/>
      <c r="AT280" s="91"/>
      <c r="AU280" s="110"/>
      <c r="AV280" s="85" t="e">
        <f t="shared" si="12"/>
        <v>#REF!</v>
      </c>
      <c r="AW280" s="85" t="e">
        <f t="shared" si="12"/>
        <v>#REF!</v>
      </c>
      <c r="AX280" s="85" t="e">
        <f t="shared" si="12"/>
        <v>#REF!</v>
      </c>
      <c r="BB280" s="85" t="s">
        <v>250</v>
      </c>
    </row>
    <row r="281" spans="1:54" ht="15.75" x14ac:dyDescent="0.2">
      <c r="A281" s="111" t="e">
        <f t="shared" si="14"/>
        <v>#REF!</v>
      </c>
      <c r="B281" s="88" t="e">
        <f>IF(OR(#REF!="",#REF!=0,#REF!=#REF!),"",#REF!)</f>
        <v>#REF!</v>
      </c>
      <c r="C281" s="107" t="e">
        <f t="shared" si="13"/>
        <v>#REF!</v>
      </c>
      <c r="D281" s="88" t="e">
        <f>IF(OR(#REF!="",#REF!=0,#REF!=#REF!),"",#REF!)</f>
        <v>#REF!</v>
      </c>
      <c r="E281" s="88" t="e">
        <f>IF($D281="","",#REF!)</f>
        <v>#REF!</v>
      </c>
      <c r="F281" s="91"/>
      <c r="G281" s="91"/>
      <c r="H281" s="91"/>
      <c r="I281" s="91"/>
      <c r="J281" s="91"/>
      <c r="K281" s="91"/>
      <c r="L281" s="91"/>
      <c r="M281" s="91"/>
      <c r="N281" s="91"/>
      <c r="O281" s="91"/>
      <c r="P281" s="91"/>
      <c r="Q281" s="91"/>
      <c r="R281" s="91"/>
      <c r="S281" s="91"/>
      <c r="T281" s="109"/>
      <c r="U281" s="109"/>
      <c r="V281" s="109"/>
      <c r="W281" s="91"/>
      <c r="X281" s="91"/>
      <c r="Y281" s="91"/>
      <c r="Z281" s="186" t="e">
        <f t="array" ref="Z281">IF(E281="","",SUMPRODUCT(T281:V281,TRANSPOSE($V$4:$V$6)))</f>
        <v>#REF!</v>
      </c>
      <c r="AA281" s="109"/>
      <c r="AB281" s="91"/>
      <c r="AC281" s="91"/>
      <c r="AD281" s="91"/>
      <c r="AE281" s="91"/>
      <c r="AF281" s="91"/>
      <c r="AG281" s="91"/>
      <c r="AH281" s="91"/>
      <c r="AI281" s="96"/>
      <c r="AJ281" s="91"/>
      <c r="AK281" s="91"/>
      <c r="AL281" s="91"/>
      <c r="AM281" s="91"/>
      <c r="AN281" s="91"/>
      <c r="AO281" s="91"/>
      <c r="AP281" s="91"/>
      <c r="AQ281" s="91"/>
      <c r="AR281" s="91"/>
      <c r="AS281" s="91"/>
      <c r="AT281" s="91"/>
      <c r="AU281" s="110"/>
      <c r="AV281" s="85" t="e">
        <f t="shared" si="12"/>
        <v>#REF!</v>
      </c>
      <c r="AW281" s="85" t="e">
        <f t="shared" si="12"/>
        <v>#REF!</v>
      </c>
      <c r="AX281" s="85" t="e">
        <f t="shared" si="12"/>
        <v>#REF!</v>
      </c>
      <c r="BB281" s="85" t="s">
        <v>250</v>
      </c>
    </row>
    <row r="282" spans="1:54" ht="15.75" x14ac:dyDescent="0.2">
      <c r="A282" s="111" t="e">
        <f t="shared" si="14"/>
        <v>#REF!</v>
      </c>
      <c r="B282" s="88" t="e">
        <f>IF(OR(#REF!="",#REF!=0,#REF!=#REF!),"",#REF!)</f>
        <v>#REF!</v>
      </c>
      <c r="C282" s="107" t="e">
        <f t="shared" si="13"/>
        <v>#REF!</v>
      </c>
      <c r="D282" s="88" t="e">
        <f>IF(OR(#REF!="",#REF!=0,#REF!=#REF!),"",#REF!)</f>
        <v>#REF!</v>
      </c>
      <c r="E282" s="88" t="e">
        <f>IF($D282="","",#REF!)</f>
        <v>#REF!</v>
      </c>
      <c r="F282" s="91"/>
      <c r="G282" s="91"/>
      <c r="H282" s="91"/>
      <c r="I282" s="91"/>
      <c r="J282" s="91"/>
      <c r="K282" s="91"/>
      <c r="L282" s="91"/>
      <c r="M282" s="91"/>
      <c r="N282" s="91"/>
      <c r="O282" s="91"/>
      <c r="P282" s="91"/>
      <c r="Q282" s="91"/>
      <c r="R282" s="91"/>
      <c r="S282" s="91"/>
      <c r="T282" s="109"/>
      <c r="U282" s="109"/>
      <c r="V282" s="109"/>
      <c r="W282" s="91"/>
      <c r="X282" s="91"/>
      <c r="Y282" s="91"/>
      <c r="Z282" s="186" t="e">
        <f t="array" ref="Z282">IF(E282="","",SUMPRODUCT(T282:V282,TRANSPOSE($V$4:$V$6)))</f>
        <v>#REF!</v>
      </c>
      <c r="AA282" s="109"/>
      <c r="AB282" s="91"/>
      <c r="AC282" s="91"/>
      <c r="AD282" s="91"/>
      <c r="AE282" s="91"/>
      <c r="AF282" s="91"/>
      <c r="AG282" s="91"/>
      <c r="AH282" s="91"/>
      <c r="AI282" s="96"/>
      <c r="AJ282" s="91"/>
      <c r="AK282" s="91"/>
      <c r="AL282" s="91"/>
      <c r="AM282" s="91"/>
      <c r="AN282" s="91"/>
      <c r="AO282" s="91"/>
      <c r="AP282" s="91"/>
      <c r="AQ282" s="91"/>
      <c r="AR282" s="91"/>
      <c r="AS282" s="91"/>
      <c r="AT282" s="91"/>
      <c r="AU282" s="110"/>
      <c r="AV282" s="85" t="e">
        <f t="shared" si="12"/>
        <v>#REF!</v>
      </c>
      <c r="AW282" s="85" t="e">
        <f t="shared" si="12"/>
        <v>#REF!</v>
      </c>
      <c r="AX282" s="85" t="e">
        <f t="shared" si="12"/>
        <v>#REF!</v>
      </c>
      <c r="BB282" s="85" t="s">
        <v>250</v>
      </c>
    </row>
    <row r="283" spans="1:54" ht="15.75" x14ac:dyDescent="0.2">
      <c r="A283" s="111" t="e">
        <f t="shared" si="14"/>
        <v>#REF!</v>
      </c>
      <c r="B283" s="88" t="e">
        <f>IF(OR(#REF!="",#REF!=0,#REF!=#REF!),"",#REF!)</f>
        <v>#REF!</v>
      </c>
      <c r="C283" s="107" t="e">
        <f t="shared" si="13"/>
        <v>#REF!</v>
      </c>
      <c r="D283" s="88" t="e">
        <f>IF(OR(#REF!="",#REF!=0,#REF!=#REF!),"",#REF!)</f>
        <v>#REF!</v>
      </c>
      <c r="E283" s="88" t="e">
        <f>IF($D283="","",#REF!)</f>
        <v>#REF!</v>
      </c>
      <c r="F283" s="91"/>
      <c r="G283" s="91"/>
      <c r="H283" s="91"/>
      <c r="I283" s="91"/>
      <c r="J283" s="91"/>
      <c r="K283" s="91"/>
      <c r="L283" s="91"/>
      <c r="M283" s="91"/>
      <c r="N283" s="91"/>
      <c r="O283" s="91"/>
      <c r="P283" s="91"/>
      <c r="Q283" s="91"/>
      <c r="R283" s="91"/>
      <c r="S283" s="91"/>
      <c r="T283" s="109"/>
      <c r="U283" s="109"/>
      <c r="V283" s="109"/>
      <c r="W283" s="91"/>
      <c r="X283" s="91"/>
      <c r="Y283" s="91"/>
      <c r="Z283" s="186" t="e">
        <f t="array" ref="Z283">IF(E283="","",SUMPRODUCT(T283:V283,TRANSPOSE($V$4:$V$6)))</f>
        <v>#REF!</v>
      </c>
      <c r="AA283" s="109"/>
      <c r="AB283" s="91"/>
      <c r="AC283" s="91"/>
      <c r="AD283" s="91"/>
      <c r="AE283" s="91"/>
      <c r="AF283" s="91"/>
      <c r="AG283" s="91"/>
      <c r="AH283" s="91"/>
      <c r="AI283" s="96"/>
      <c r="AJ283" s="91"/>
      <c r="AK283" s="91"/>
      <c r="AL283" s="91"/>
      <c r="AM283" s="91"/>
      <c r="AN283" s="91"/>
      <c r="AO283" s="91"/>
      <c r="AP283" s="91"/>
      <c r="AQ283" s="91"/>
      <c r="AR283" s="91"/>
      <c r="AS283" s="91"/>
      <c r="AT283" s="91"/>
      <c r="AU283" s="110"/>
      <c r="AV283" s="85" t="e">
        <f t="shared" si="12"/>
        <v>#REF!</v>
      </c>
      <c r="AW283" s="85" t="e">
        <f t="shared" si="12"/>
        <v>#REF!</v>
      </c>
      <c r="AX283" s="85" t="e">
        <f t="shared" si="12"/>
        <v>#REF!</v>
      </c>
      <c r="BB283" s="85" t="s">
        <v>250</v>
      </c>
    </row>
    <row r="284" spans="1:54" ht="15.75" x14ac:dyDescent="0.2">
      <c r="A284" s="111" t="e">
        <f t="shared" si="14"/>
        <v>#REF!</v>
      </c>
      <c r="B284" s="88" t="e">
        <f>IF(OR(#REF!="",#REF!=0,#REF!=#REF!),"",#REF!)</f>
        <v>#REF!</v>
      </c>
      <c r="C284" s="107" t="e">
        <f t="shared" si="13"/>
        <v>#REF!</v>
      </c>
      <c r="D284" s="88" t="e">
        <f>IF(OR(#REF!="",#REF!=0,#REF!=#REF!),"",#REF!)</f>
        <v>#REF!</v>
      </c>
      <c r="E284" s="88" t="e">
        <f>IF($D284="","",#REF!)</f>
        <v>#REF!</v>
      </c>
      <c r="F284" s="91"/>
      <c r="G284" s="91"/>
      <c r="H284" s="91"/>
      <c r="I284" s="91"/>
      <c r="J284" s="91"/>
      <c r="K284" s="91"/>
      <c r="L284" s="91"/>
      <c r="M284" s="91"/>
      <c r="N284" s="91"/>
      <c r="O284" s="91"/>
      <c r="P284" s="91"/>
      <c r="Q284" s="91"/>
      <c r="R284" s="91"/>
      <c r="S284" s="91"/>
      <c r="T284" s="109"/>
      <c r="U284" s="109"/>
      <c r="V284" s="109"/>
      <c r="W284" s="91"/>
      <c r="X284" s="91"/>
      <c r="Y284" s="91"/>
      <c r="Z284" s="186" t="e">
        <f t="array" ref="Z284">IF(E284="","",SUMPRODUCT(T284:V284,TRANSPOSE($V$4:$V$6)))</f>
        <v>#REF!</v>
      </c>
      <c r="AA284" s="109"/>
      <c r="AB284" s="91"/>
      <c r="AC284" s="91"/>
      <c r="AD284" s="91"/>
      <c r="AE284" s="91"/>
      <c r="AF284" s="91"/>
      <c r="AG284" s="91"/>
      <c r="AH284" s="91"/>
      <c r="AI284" s="96"/>
      <c r="AJ284" s="91"/>
      <c r="AK284" s="91"/>
      <c r="AL284" s="91"/>
      <c r="AM284" s="91"/>
      <c r="AN284" s="91"/>
      <c r="AO284" s="91"/>
      <c r="AP284" s="91"/>
      <c r="AQ284" s="91"/>
      <c r="AR284" s="91"/>
      <c r="AS284" s="91"/>
      <c r="AT284" s="91"/>
      <c r="AU284" s="110"/>
      <c r="AV284" s="85" t="e">
        <f t="shared" si="12"/>
        <v>#REF!</v>
      </c>
      <c r="AW284" s="85" t="e">
        <f t="shared" si="12"/>
        <v>#REF!</v>
      </c>
      <c r="AX284" s="85" t="e">
        <f t="shared" si="12"/>
        <v>#REF!</v>
      </c>
      <c r="BB284" s="85" t="s">
        <v>250</v>
      </c>
    </row>
    <row r="285" spans="1:54" ht="15.75" x14ac:dyDescent="0.2">
      <c r="A285" s="111" t="e">
        <f t="shared" si="14"/>
        <v>#REF!</v>
      </c>
      <c r="B285" s="88" t="e">
        <f>IF(OR(#REF!="",#REF!=0,#REF!=#REF!),"",#REF!)</f>
        <v>#REF!</v>
      </c>
      <c r="C285" s="107" t="e">
        <f t="shared" si="13"/>
        <v>#REF!</v>
      </c>
      <c r="D285" s="88" t="e">
        <f>IF(OR(#REF!="",#REF!=0,#REF!=#REF!),"",#REF!)</f>
        <v>#REF!</v>
      </c>
      <c r="E285" s="88" t="e">
        <f>IF($D285="","",#REF!)</f>
        <v>#REF!</v>
      </c>
      <c r="F285" s="91"/>
      <c r="G285" s="91"/>
      <c r="H285" s="91"/>
      <c r="I285" s="91"/>
      <c r="J285" s="91"/>
      <c r="K285" s="91"/>
      <c r="L285" s="91"/>
      <c r="M285" s="91"/>
      <c r="N285" s="91"/>
      <c r="O285" s="91"/>
      <c r="P285" s="91"/>
      <c r="Q285" s="91"/>
      <c r="R285" s="91"/>
      <c r="S285" s="91"/>
      <c r="T285" s="109"/>
      <c r="U285" s="109"/>
      <c r="V285" s="109"/>
      <c r="W285" s="91"/>
      <c r="X285" s="91"/>
      <c r="Y285" s="91"/>
      <c r="Z285" s="186" t="e">
        <f t="array" ref="Z285">IF(E285="","",SUMPRODUCT(T285:V285,TRANSPOSE($V$4:$V$6)))</f>
        <v>#REF!</v>
      </c>
      <c r="AA285" s="109"/>
      <c r="AB285" s="91"/>
      <c r="AC285" s="91"/>
      <c r="AD285" s="91"/>
      <c r="AE285" s="91"/>
      <c r="AF285" s="91"/>
      <c r="AG285" s="91"/>
      <c r="AH285" s="91"/>
      <c r="AI285" s="96"/>
      <c r="AJ285" s="91"/>
      <c r="AK285" s="91"/>
      <c r="AL285" s="91"/>
      <c r="AM285" s="91"/>
      <c r="AN285" s="91"/>
      <c r="AO285" s="91"/>
      <c r="AP285" s="91"/>
      <c r="AQ285" s="91"/>
      <c r="AR285" s="91"/>
      <c r="AS285" s="91"/>
      <c r="AT285" s="91"/>
      <c r="AU285" s="110"/>
      <c r="AV285" s="85" t="e">
        <f t="shared" si="12"/>
        <v>#REF!</v>
      </c>
      <c r="AW285" s="85" t="e">
        <f t="shared" si="12"/>
        <v>#REF!</v>
      </c>
      <c r="AX285" s="85" t="e">
        <f t="shared" si="12"/>
        <v>#REF!</v>
      </c>
      <c r="BB285" s="85" t="s">
        <v>250</v>
      </c>
    </row>
    <row r="286" spans="1:54" ht="15.75" x14ac:dyDescent="0.2">
      <c r="A286" s="111" t="e">
        <f t="shared" si="14"/>
        <v>#REF!</v>
      </c>
      <c r="B286" s="88" t="e">
        <f>IF(OR(#REF!="",#REF!=0,#REF!=#REF!),"",#REF!)</f>
        <v>#REF!</v>
      </c>
      <c r="C286" s="107" t="e">
        <f t="shared" si="13"/>
        <v>#REF!</v>
      </c>
      <c r="D286" s="88" t="e">
        <f>IF(OR(#REF!="",#REF!=0,#REF!=#REF!),"",#REF!)</f>
        <v>#REF!</v>
      </c>
      <c r="E286" s="88" t="e">
        <f>IF($D286="","",#REF!)</f>
        <v>#REF!</v>
      </c>
      <c r="F286" s="91"/>
      <c r="G286" s="91"/>
      <c r="H286" s="91"/>
      <c r="I286" s="91"/>
      <c r="J286" s="91"/>
      <c r="K286" s="91"/>
      <c r="L286" s="91"/>
      <c r="M286" s="91"/>
      <c r="N286" s="91"/>
      <c r="O286" s="91"/>
      <c r="P286" s="91"/>
      <c r="Q286" s="91"/>
      <c r="R286" s="91"/>
      <c r="S286" s="91"/>
      <c r="T286" s="109"/>
      <c r="U286" s="109"/>
      <c r="V286" s="109"/>
      <c r="W286" s="91"/>
      <c r="X286" s="91"/>
      <c r="Y286" s="91"/>
      <c r="Z286" s="186" t="e">
        <f t="array" ref="Z286">IF(E286="","",SUMPRODUCT(T286:V286,TRANSPOSE($V$4:$V$6)))</f>
        <v>#REF!</v>
      </c>
      <c r="AA286" s="109"/>
      <c r="AB286" s="91"/>
      <c r="AC286" s="91"/>
      <c r="AD286" s="91"/>
      <c r="AE286" s="91"/>
      <c r="AF286" s="91"/>
      <c r="AG286" s="91"/>
      <c r="AH286" s="91"/>
      <c r="AI286" s="96"/>
      <c r="AJ286" s="91"/>
      <c r="AK286" s="91"/>
      <c r="AL286" s="91"/>
      <c r="AM286" s="91"/>
      <c r="AN286" s="91"/>
      <c r="AO286" s="91"/>
      <c r="AP286" s="91"/>
      <c r="AQ286" s="91"/>
      <c r="AR286" s="91"/>
      <c r="AS286" s="91"/>
      <c r="AT286" s="91"/>
      <c r="AU286" s="110"/>
      <c r="AV286" s="85" t="e">
        <f t="shared" si="12"/>
        <v>#REF!</v>
      </c>
      <c r="AW286" s="85" t="e">
        <f t="shared" si="12"/>
        <v>#REF!</v>
      </c>
      <c r="AX286" s="85" t="e">
        <f t="shared" si="12"/>
        <v>#REF!</v>
      </c>
      <c r="BB286" s="85" t="s">
        <v>250</v>
      </c>
    </row>
    <row r="287" spans="1:54" ht="15.75" x14ac:dyDescent="0.2">
      <c r="A287" s="111" t="e">
        <f t="shared" si="14"/>
        <v>#REF!</v>
      </c>
      <c r="B287" s="88" t="e">
        <f>IF(OR(#REF!="",#REF!=0,#REF!=#REF!),"",#REF!)</f>
        <v>#REF!</v>
      </c>
      <c r="C287" s="107" t="e">
        <f t="shared" si="13"/>
        <v>#REF!</v>
      </c>
      <c r="D287" s="88" t="e">
        <f>IF(OR(#REF!="",#REF!=0,#REF!=#REF!),"",#REF!)</f>
        <v>#REF!</v>
      </c>
      <c r="E287" s="88" t="e">
        <f>IF($D287="","",#REF!)</f>
        <v>#REF!</v>
      </c>
      <c r="F287" s="91"/>
      <c r="G287" s="91"/>
      <c r="H287" s="91"/>
      <c r="I287" s="91"/>
      <c r="J287" s="91"/>
      <c r="K287" s="91"/>
      <c r="L287" s="91"/>
      <c r="M287" s="91"/>
      <c r="N287" s="91"/>
      <c r="O287" s="91"/>
      <c r="P287" s="91"/>
      <c r="Q287" s="91"/>
      <c r="R287" s="91"/>
      <c r="S287" s="91"/>
      <c r="T287" s="109"/>
      <c r="U287" s="109"/>
      <c r="V287" s="109"/>
      <c r="W287" s="91"/>
      <c r="X287" s="91"/>
      <c r="Y287" s="91"/>
      <c r="Z287" s="186" t="e">
        <f t="array" ref="Z287">IF(E287="","",SUMPRODUCT(T287:V287,TRANSPOSE($V$4:$V$6)))</f>
        <v>#REF!</v>
      </c>
      <c r="AA287" s="109"/>
      <c r="AB287" s="91"/>
      <c r="AC287" s="91"/>
      <c r="AD287" s="91"/>
      <c r="AE287" s="91"/>
      <c r="AF287" s="91"/>
      <c r="AG287" s="91"/>
      <c r="AH287" s="91"/>
      <c r="AI287" s="96"/>
      <c r="AJ287" s="91"/>
      <c r="AK287" s="91"/>
      <c r="AL287" s="91"/>
      <c r="AM287" s="91"/>
      <c r="AN287" s="91"/>
      <c r="AO287" s="91"/>
      <c r="AP287" s="91"/>
      <c r="AQ287" s="91"/>
      <c r="AR287" s="91"/>
      <c r="AS287" s="91"/>
      <c r="AT287" s="91"/>
      <c r="AU287" s="110"/>
      <c r="AV287" s="85" t="e">
        <f t="shared" si="12"/>
        <v>#REF!</v>
      </c>
      <c r="AW287" s="85" t="e">
        <f t="shared" si="12"/>
        <v>#REF!</v>
      </c>
      <c r="AX287" s="85" t="e">
        <f t="shared" si="12"/>
        <v>#REF!</v>
      </c>
      <c r="BB287" s="85" t="s">
        <v>250</v>
      </c>
    </row>
    <row r="288" spans="1:54" ht="15.75" x14ac:dyDescent="0.2">
      <c r="A288" s="111" t="e">
        <f t="shared" si="14"/>
        <v>#REF!</v>
      </c>
      <c r="B288" s="88" t="e">
        <f>IF(OR(#REF!="",#REF!=0,#REF!=#REF!),"",#REF!)</f>
        <v>#REF!</v>
      </c>
      <c r="C288" s="107" t="e">
        <f t="shared" si="13"/>
        <v>#REF!</v>
      </c>
      <c r="D288" s="88" t="e">
        <f>IF(OR(#REF!="",#REF!=0,#REF!=#REF!),"",#REF!)</f>
        <v>#REF!</v>
      </c>
      <c r="E288" s="88" t="e">
        <f>IF($D288="","",#REF!)</f>
        <v>#REF!</v>
      </c>
      <c r="F288" s="91"/>
      <c r="G288" s="91"/>
      <c r="H288" s="91"/>
      <c r="I288" s="91"/>
      <c r="J288" s="91"/>
      <c r="K288" s="91"/>
      <c r="L288" s="91"/>
      <c r="M288" s="91"/>
      <c r="N288" s="91"/>
      <c r="O288" s="91"/>
      <c r="P288" s="91"/>
      <c r="Q288" s="91"/>
      <c r="R288" s="91"/>
      <c r="S288" s="91"/>
      <c r="T288" s="109"/>
      <c r="U288" s="109"/>
      <c r="V288" s="109"/>
      <c r="W288" s="91"/>
      <c r="X288" s="91"/>
      <c r="Y288" s="91"/>
      <c r="Z288" s="186" t="e">
        <f t="array" ref="Z288">IF(E288="","",SUMPRODUCT(T288:V288,TRANSPOSE($V$4:$V$6)))</f>
        <v>#REF!</v>
      </c>
      <c r="AA288" s="109"/>
      <c r="AB288" s="91"/>
      <c r="AC288" s="91"/>
      <c r="AD288" s="91"/>
      <c r="AE288" s="91"/>
      <c r="AF288" s="91"/>
      <c r="AG288" s="91"/>
      <c r="AH288" s="91"/>
      <c r="AI288" s="96"/>
      <c r="AJ288" s="91"/>
      <c r="AK288" s="91"/>
      <c r="AL288" s="91"/>
      <c r="AM288" s="91"/>
      <c r="AN288" s="91"/>
      <c r="AO288" s="91"/>
      <c r="AP288" s="91"/>
      <c r="AQ288" s="91"/>
      <c r="AR288" s="91"/>
      <c r="AS288" s="91"/>
      <c r="AT288" s="91"/>
      <c r="AU288" s="110"/>
      <c r="AV288" s="85" t="e">
        <f t="shared" si="12"/>
        <v>#REF!</v>
      </c>
      <c r="AW288" s="85" t="e">
        <f t="shared" si="12"/>
        <v>#REF!</v>
      </c>
      <c r="AX288" s="85" t="e">
        <f t="shared" si="12"/>
        <v>#REF!</v>
      </c>
      <c r="BB288" s="85" t="s">
        <v>250</v>
      </c>
    </row>
    <row r="289" spans="1:54" ht="15.75" x14ac:dyDescent="0.2">
      <c r="A289" s="111" t="e">
        <f t="shared" si="14"/>
        <v>#REF!</v>
      </c>
      <c r="B289" s="88" t="e">
        <f>IF(OR(#REF!="",#REF!=0,#REF!=#REF!),"",#REF!)</f>
        <v>#REF!</v>
      </c>
      <c r="C289" s="107" t="e">
        <f t="shared" si="13"/>
        <v>#REF!</v>
      </c>
      <c r="D289" s="88" t="e">
        <f>IF(OR(#REF!="",#REF!=0,#REF!=#REF!),"",#REF!)</f>
        <v>#REF!</v>
      </c>
      <c r="E289" s="88" t="e">
        <f>IF($D289="","",#REF!)</f>
        <v>#REF!</v>
      </c>
      <c r="F289" s="91"/>
      <c r="G289" s="91"/>
      <c r="H289" s="91"/>
      <c r="I289" s="91"/>
      <c r="J289" s="91"/>
      <c r="K289" s="91"/>
      <c r="L289" s="91"/>
      <c r="M289" s="91"/>
      <c r="N289" s="91"/>
      <c r="O289" s="91"/>
      <c r="P289" s="91"/>
      <c r="Q289" s="91"/>
      <c r="R289" s="91"/>
      <c r="S289" s="91"/>
      <c r="T289" s="109"/>
      <c r="U289" s="109"/>
      <c r="V289" s="109"/>
      <c r="W289" s="91"/>
      <c r="X289" s="91"/>
      <c r="Y289" s="91"/>
      <c r="Z289" s="186" t="e">
        <f t="array" ref="Z289">IF(E289="","",SUMPRODUCT(T289:V289,TRANSPOSE($V$4:$V$6)))</f>
        <v>#REF!</v>
      </c>
      <c r="AA289" s="109"/>
      <c r="AB289" s="91"/>
      <c r="AC289" s="91"/>
      <c r="AD289" s="91"/>
      <c r="AE289" s="91"/>
      <c r="AF289" s="91"/>
      <c r="AG289" s="91"/>
      <c r="AH289" s="91"/>
      <c r="AI289" s="96"/>
      <c r="AJ289" s="91"/>
      <c r="AK289" s="91"/>
      <c r="AL289" s="91"/>
      <c r="AM289" s="91"/>
      <c r="AN289" s="91"/>
      <c r="AO289" s="91"/>
      <c r="AP289" s="91"/>
      <c r="AQ289" s="91"/>
      <c r="AR289" s="91"/>
      <c r="AS289" s="91"/>
      <c r="AT289" s="91"/>
      <c r="AU289" s="110"/>
      <c r="AV289" s="85" t="e">
        <f t="shared" si="12"/>
        <v>#REF!</v>
      </c>
      <c r="AW289" s="85" t="e">
        <f t="shared" si="12"/>
        <v>#REF!</v>
      </c>
      <c r="AX289" s="85" t="e">
        <f t="shared" si="12"/>
        <v>#REF!</v>
      </c>
      <c r="BB289" s="85" t="s">
        <v>250</v>
      </c>
    </row>
    <row r="290" spans="1:54" ht="15.75" x14ac:dyDescent="0.2">
      <c r="A290" s="111" t="e">
        <f t="shared" si="14"/>
        <v>#REF!</v>
      </c>
      <c r="B290" s="88" t="e">
        <f>IF(OR(#REF!="",#REF!=0,#REF!=#REF!),"",#REF!)</f>
        <v>#REF!</v>
      </c>
      <c r="C290" s="107" t="e">
        <f t="shared" si="13"/>
        <v>#REF!</v>
      </c>
      <c r="D290" s="88" t="e">
        <f>IF(OR(#REF!="",#REF!=0,#REF!=#REF!),"",#REF!)</f>
        <v>#REF!</v>
      </c>
      <c r="E290" s="88" t="e">
        <f>IF($D290="","",#REF!)</f>
        <v>#REF!</v>
      </c>
      <c r="F290" s="91"/>
      <c r="G290" s="91"/>
      <c r="H290" s="91"/>
      <c r="I290" s="91"/>
      <c r="J290" s="91"/>
      <c r="K290" s="91"/>
      <c r="L290" s="91"/>
      <c r="M290" s="91"/>
      <c r="N290" s="91"/>
      <c r="O290" s="91"/>
      <c r="P290" s="91"/>
      <c r="Q290" s="91"/>
      <c r="R290" s="91"/>
      <c r="S290" s="91"/>
      <c r="T290" s="109"/>
      <c r="U290" s="109"/>
      <c r="V290" s="109"/>
      <c r="W290" s="91"/>
      <c r="X290" s="91"/>
      <c r="Y290" s="91"/>
      <c r="Z290" s="186" t="e">
        <f t="array" ref="Z290">IF(E290="","",SUMPRODUCT(T290:V290,TRANSPOSE($V$4:$V$6)))</f>
        <v>#REF!</v>
      </c>
      <c r="AA290" s="109"/>
      <c r="AB290" s="91"/>
      <c r="AC290" s="91"/>
      <c r="AD290" s="91"/>
      <c r="AE290" s="91"/>
      <c r="AF290" s="91"/>
      <c r="AG290" s="91"/>
      <c r="AH290" s="91"/>
      <c r="AI290" s="96"/>
      <c r="AJ290" s="91"/>
      <c r="AK290" s="91"/>
      <c r="AL290" s="91"/>
      <c r="AM290" s="91"/>
      <c r="AN290" s="91"/>
      <c r="AO290" s="91"/>
      <c r="AP290" s="91"/>
      <c r="AQ290" s="91"/>
      <c r="AR290" s="91"/>
      <c r="AS290" s="91"/>
      <c r="AT290" s="91"/>
      <c r="AU290" s="110"/>
      <c r="AV290" s="85" t="e">
        <f t="shared" si="12"/>
        <v>#REF!</v>
      </c>
      <c r="AW290" s="85" t="e">
        <f t="shared" si="12"/>
        <v>#REF!</v>
      </c>
      <c r="AX290" s="85" t="e">
        <f t="shared" si="12"/>
        <v>#REF!</v>
      </c>
      <c r="BB290" s="85" t="s">
        <v>250</v>
      </c>
    </row>
    <row r="291" spans="1:54" ht="15.75" x14ac:dyDescent="0.2">
      <c r="A291" s="111" t="e">
        <f t="shared" si="14"/>
        <v>#REF!</v>
      </c>
      <c r="B291" s="88" t="e">
        <f>IF(OR(#REF!="",#REF!=0,#REF!=#REF!),"",#REF!)</f>
        <v>#REF!</v>
      </c>
      <c r="C291" s="107" t="e">
        <f t="shared" si="13"/>
        <v>#REF!</v>
      </c>
      <c r="D291" s="88" t="e">
        <f>IF(OR(#REF!="",#REF!=0,#REF!=#REF!),"",#REF!)</f>
        <v>#REF!</v>
      </c>
      <c r="E291" s="88" t="e">
        <f>IF($D291="","",#REF!)</f>
        <v>#REF!</v>
      </c>
      <c r="F291" s="91"/>
      <c r="G291" s="91"/>
      <c r="H291" s="91"/>
      <c r="I291" s="91"/>
      <c r="J291" s="91"/>
      <c r="K291" s="91"/>
      <c r="L291" s="91"/>
      <c r="M291" s="91"/>
      <c r="N291" s="91"/>
      <c r="O291" s="91"/>
      <c r="P291" s="91"/>
      <c r="Q291" s="91"/>
      <c r="R291" s="91"/>
      <c r="S291" s="91"/>
      <c r="T291" s="109"/>
      <c r="U291" s="109"/>
      <c r="V291" s="109"/>
      <c r="W291" s="91"/>
      <c r="X291" s="91"/>
      <c r="Y291" s="91"/>
      <c r="Z291" s="186" t="e">
        <f t="array" ref="Z291">IF(E291="","",SUMPRODUCT(T291:V291,TRANSPOSE($V$4:$V$6)))</f>
        <v>#REF!</v>
      </c>
      <c r="AA291" s="109"/>
      <c r="AB291" s="91"/>
      <c r="AC291" s="91"/>
      <c r="AD291" s="91"/>
      <c r="AE291" s="91"/>
      <c r="AF291" s="91"/>
      <c r="AG291" s="91"/>
      <c r="AH291" s="91"/>
      <c r="AI291" s="96"/>
      <c r="AJ291" s="91"/>
      <c r="AK291" s="91"/>
      <c r="AL291" s="91"/>
      <c r="AM291" s="91"/>
      <c r="AN291" s="91"/>
      <c r="AO291" s="91"/>
      <c r="AP291" s="91"/>
      <c r="AQ291" s="91"/>
      <c r="AR291" s="91"/>
      <c r="AS291" s="91"/>
      <c r="AT291" s="91"/>
      <c r="AU291" s="110"/>
      <c r="AV291" s="85" t="e">
        <f t="shared" si="12"/>
        <v>#REF!</v>
      </c>
      <c r="AW291" s="85" t="e">
        <f t="shared" si="12"/>
        <v>#REF!</v>
      </c>
      <c r="AX291" s="85" t="e">
        <f t="shared" si="12"/>
        <v>#REF!</v>
      </c>
      <c r="BB291" s="85" t="s">
        <v>250</v>
      </c>
    </row>
    <row r="292" spans="1:54" ht="15.75" x14ac:dyDescent="0.2">
      <c r="A292" s="111" t="e">
        <f t="shared" si="14"/>
        <v>#REF!</v>
      </c>
      <c r="B292" s="88" t="e">
        <f>IF(OR(#REF!="",#REF!=0,#REF!=#REF!),"",#REF!)</f>
        <v>#REF!</v>
      </c>
      <c r="C292" s="107" t="e">
        <f t="shared" si="13"/>
        <v>#REF!</v>
      </c>
      <c r="D292" s="88" t="e">
        <f>IF(OR(#REF!="",#REF!=0,#REF!=#REF!),"",#REF!)</f>
        <v>#REF!</v>
      </c>
      <c r="E292" s="88" t="e">
        <f>IF($D292="","",#REF!)</f>
        <v>#REF!</v>
      </c>
      <c r="F292" s="91"/>
      <c r="G292" s="91"/>
      <c r="H292" s="91"/>
      <c r="I292" s="91"/>
      <c r="J292" s="91"/>
      <c r="K292" s="91"/>
      <c r="L292" s="91"/>
      <c r="M292" s="91"/>
      <c r="N292" s="91"/>
      <c r="O292" s="91"/>
      <c r="P292" s="91"/>
      <c r="Q292" s="91"/>
      <c r="R292" s="91"/>
      <c r="S292" s="91"/>
      <c r="T292" s="109"/>
      <c r="U292" s="109"/>
      <c r="V292" s="109"/>
      <c r="W292" s="91"/>
      <c r="X292" s="91"/>
      <c r="Y292" s="91"/>
      <c r="Z292" s="186" t="e">
        <f t="array" ref="Z292">IF(E292="","",SUMPRODUCT(T292:V292,TRANSPOSE($V$4:$V$6)))</f>
        <v>#REF!</v>
      </c>
      <c r="AA292" s="109"/>
      <c r="AB292" s="91"/>
      <c r="AC292" s="91"/>
      <c r="AD292" s="91"/>
      <c r="AE292" s="91"/>
      <c r="AF292" s="91"/>
      <c r="AG292" s="91"/>
      <c r="AH292" s="91"/>
      <c r="AI292" s="96"/>
      <c r="AJ292" s="91"/>
      <c r="AK292" s="91"/>
      <c r="AL292" s="91"/>
      <c r="AM292" s="91"/>
      <c r="AN292" s="91"/>
      <c r="AO292" s="91"/>
      <c r="AP292" s="91"/>
      <c r="AQ292" s="91"/>
      <c r="AR292" s="91"/>
      <c r="AS292" s="91"/>
      <c r="AT292" s="91"/>
      <c r="AU292" s="110"/>
      <c r="AV292" s="85" t="e">
        <f t="shared" si="12"/>
        <v>#REF!</v>
      </c>
      <c r="AW292" s="85" t="e">
        <f t="shared" si="12"/>
        <v>#REF!</v>
      </c>
      <c r="AX292" s="85" t="e">
        <f t="shared" si="12"/>
        <v>#REF!</v>
      </c>
      <c r="BB292" s="85" t="s">
        <v>250</v>
      </c>
    </row>
    <row r="293" spans="1:54" ht="15.75" x14ac:dyDescent="0.2">
      <c r="A293" s="111" t="e">
        <f t="shared" si="14"/>
        <v>#REF!</v>
      </c>
      <c r="B293" s="88" t="e">
        <f>IF(OR(#REF!="",#REF!=0,#REF!=#REF!),"",#REF!)</f>
        <v>#REF!</v>
      </c>
      <c r="C293" s="107" t="e">
        <f t="shared" si="13"/>
        <v>#REF!</v>
      </c>
      <c r="D293" s="88" t="e">
        <f>IF(OR(#REF!="",#REF!=0,#REF!=#REF!),"",#REF!)</f>
        <v>#REF!</v>
      </c>
      <c r="E293" s="88" t="e">
        <f>IF($D293="","",#REF!)</f>
        <v>#REF!</v>
      </c>
      <c r="F293" s="91"/>
      <c r="G293" s="91"/>
      <c r="H293" s="91"/>
      <c r="I293" s="91"/>
      <c r="J293" s="91"/>
      <c r="K293" s="91"/>
      <c r="L293" s="91"/>
      <c r="M293" s="91"/>
      <c r="N293" s="91"/>
      <c r="O293" s="91"/>
      <c r="P293" s="91"/>
      <c r="Q293" s="91"/>
      <c r="R293" s="91"/>
      <c r="S293" s="91"/>
      <c r="T293" s="109"/>
      <c r="U293" s="109"/>
      <c r="V293" s="109"/>
      <c r="W293" s="91"/>
      <c r="X293" s="91"/>
      <c r="Y293" s="91"/>
      <c r="Z293" s="186" t="e">
        <f t="array" ref="Z293">IF(E293="","",SUMPRODUCT(T293:V293,TRANSPOSE($V$4:$V$6)))</f>
        <v>#REF!</v>
      </c>
      <c r="AA293" s="109"/>
      <c r="AB293" s="91"/>
      <c r="AC293" s="91"/>
      <c r="AD293" s="91"/>
      <c r="AE293" s="91"/>
      <c r="AF293" s="91"/>
      <c r="AG293" s="91"/>
      <c r="AH293" s="91"/>
      <c r="AI293" s="96"/>
      <c r="AJ293" s="91"/>
      <c r="AK293" s="91"/>
      <c r="AL293" s="91"/>
      <c r="AM293" s="91"/>
      <c r="AN293" s="91"/>
      <c r="AO293" s="91"/>
      <c r="AP293" s="91"/>
      <c r="AQ293" s="91"/>
      <c r="AR293" s="91"/>
      <c r="AS293" s="91"/>
      <c r="AT293" s="91"/>
      <c r="AU293" s="110"/>
      <c r="AV293" s="85" t="e">
        <f t="shared" si="12"/>
        <v>#REF!</v>
      </c>
      <c r="AW293" s="85" t="e">
        <f t="shared" si="12"/>
        <v>#REF!</v>
      </c>
      <c r="AX293" s="85" t="e">
        <f t="shared" si="12"/>
        <v>#REF!</v>
      </c>
      <c r="BB293" s="85" t="s">
        <v>250</v>
      </c>
    </row>
    <row r="294" spans="1:54" ht="15.75" x14ac:dyDescent="0.2">
      <c r="A294" s="111" t="e">
        <f t="shared" si="14"/>
        <v>#REF!</v>
      </c>
      <c r="B294" s="88" t="e">
        <f>IF(OR(#REF!="",#REF!=0,#REF!=#REF!),"",#REF!)</f>
        <v>#REF!</v>
      </c>
      <c r="C294" s="107" t="e">
        <f t="shared" si="13"/>
        <v>#REF!</v>
      </c>
      <c r="D294" s="88" t="e">
        <f>IF(OR(#REF!="",#REF!=0,#REF!=#REF!),"",#REF!)</f>
        <v>#REF!</v>
      </c>
      <c r="E294" s="88" t="e">
        <f>IF($D294="","",#REF!)</f>
        <v>#REF!</v>
      </c>
      <c r="F294" s="91"/>
      <c r="G294" s="91"/>
      <c r="H294" s="91"/>
      <c r="I294" s="91"/>
      <c r="J294" s="91"/>
      <c r="K294" s="91"/>
      <c r="L294" s="91"/>
      <c r="M294" s="91"/>
      <c r="N294" s="91"/>
      <c r="O294" s="91"/>
      <c r="P294" s="91"/>
      <c r="Q294" s="91"/>
      <c r="R294" s="91"/>
      <c r="S294" s="91"/>
      <c r="T294" s="109"/>
      <c r="U294" s="109"/>
      <c r="V294" s="109"/>
      <c r="W294" s="91"/>
      <c r="X294" s="91"/>
      <c r="Y294" s="91"/>
      <c r="Z294" s="186" t="e">
        <f t="array" ref="Z294">IF(E294="","",SUMPRODUCT(T294:V294,TRANSPOSE($V$4:$V$6)))</f>
        <v>#REF!</v>
      </c>
      <c r="AA294" s="109"/>
      <c r="AB294" s="91"/>
      <c r="AC294" s="91"/>
      <c r="AD294" s="91"/>
      <c r="AE294" s="91"/>
      <c r="AF294" s="91"/>
      <c r="AG294" s="91"/>
      <c r="AH294" s="91"/>
      <c r="AI294" s="96"/>
      <c r="AJ294" s="91"/>
      <c r="AK294" s="91"/>
      <c r="AL294" s="91"/>
      <c r="AM294" s="91"/>
      <c r="AN294" s="91"/>
      <c r="AO294" s="91"/>
      <c r="AP294" s="91"/>
      <c r="AQ294" s="91"/>
      <c r="AR294" s="91"/>
      <c r="AS294" s="91"/>
      <c r="AT294" s="91"/>
      <c r="AU294" s="110"/>
      <c r="AV294" s="85" t="e">
        <f t="shared" si="12"/>
        <v>#REF!</v>
      </c>
      <c r="AW294" s="85" t="e">
        <f t="shared" si="12"/>
        <v>#REF!</v>
      </c>
      <c r="AX294" s="85" t="e">
        <f t="shared" si="12"/>
        <v>#REF!</v>
      </c>
      <c r="BB294" s="85" t="s">
        <v>250</v>
      </c>
    </row>
    <row r="295" spans="1:54" ht="15.75" x14ac:dyDescent="0.2">
      <c r="A295" s="111" t="e">
        <f t="shared" si="14"/>
        <v>#REF!</v>
      </c>
      <c r="B295" s="88" t="e">
        <f>IF(OR(#REF!="",#REF!=0,#REF!=#REF!),"",#REF!)</f>
        <v>#REF!</v>
      </c>
      <c r="C295" s="107" t="e">
        <f t="shared" si="13"/>
        <v>#REF!</v>
      </c>
      <c r="D295" s="88" t="e">
        <f>IF(OR(#REF!="",#REF!=0,#REF!=#REF!),"",#REF!)</f>
        <v>#REF!</v>
      </c>
      <c r="E295" s="88" t="e">
        <f>IF($D295="","",#REF!)</f>
        <v>#REF!</v>
      </c>
      <c r="F295" s="91"/>
      <c r="G295" s="91"/>
      <c r="H295" s="91"/>
      <c r="I295" s="91"/>
      <c r="J295" s="91"/>
      <c r="K295" s="91"/>
      <c r="L295" s="91"/>
      <c r="M295" s="91"/>
      <c r="N295" s="91"/>
      <c r="O295" s="91"/>
      <c r="P295" s="91"/>
      <c r="Q295" s="91"/>
      <c r="R295" s="91"/>
      <c r="S295" s="91"/>
      <c r="T295" s="109"/>
      <c r="U295" s="109"/>
      <c r="V295" s="109"/>
      <c r="W295" s="91"/>
      <c r="X295" s="91"/>
      <c r="Y295" s="91"/>
      <c r="Z295" s="186" t="e">
        <f t="array" ref="Z295">IF(E295="","",SUMPRODUCT(T295:V295,TRANSPOSE($V$4:$V$6)))</f>
        <v>#REF!</v>
      </c>
      <c r="AA295" s="109"/>
      <c r="AB295" s="91"/>
      <c r="AC295" s="91"/>
      <c r="AD295" s="91"/>
      <c r="AE295" s="91"/>
      <c r="AF295" s="91"/>
      <c r="AG295" s="91"/>
      <c r="AH295" s="91"/>
      <c r="AI295" s="96"/>
      <c r="AJ295" s="91"/>
      <c r="AK295" s="91"/>
      <c r="AL295" s="91"/>
      <c r="AM295" s="91"/>
      <c r="AN295" s="91"/>
      <c r="AO295" s="91"/>
      <c r="AP295" s="91"/>
      <c r="AQ295" s="91"/>
      <c r="AR295" s="91"/>
      <c r="AS295" s="91"/>
      <c r="AT295" s="91"/>
      <c r="AU295" s="110"/>
      <c r="AV295" s="85" t="e">
        <f t="shared" si="12"/>
        <v>#REF!</v>
      </c>
      <c r="AW295" s="85" t="e">
        <f t="shared" si="12"/>
        <v>#REF!</v>
      </c>
      <c r="AX295" s="85" t="e">
        <f t="shared" si="12"/>
        <v>#REF!</v>
      </c>
      <c r="BB295" s="85" t="s">
        <v>250</v>
      </c>
    </row>
    <row r="296" spans="1:54" ht="15.75" x14ac:dyDescent="0.2">
      <c r="A296" s="111" t="e">
        <f t="shared" si="14"/>
        <v>#REF!</v>
      </c>
      <c r="B296" s="88" t="e">
        <f>IF(OR(#REF!="",#REF!=0,#REF!=#REF!),"",#REF!)</f>
        <v>#REF!</v>
      </c>
      <c r="C296" s="107" t="e">
        <f t="shared" si="13"/>
        <v>#REF!</v>
      </c>
      <c r="D296" s="88" t="e">
        <f>IF(OR(#REF!="",#REF!=0,#REF!=#REF!),"",#REF!)</f>
        <v>#REF!</v>
      </c>
      <c r="E296" s="88" t="e">
        <f>IF($D296="","",#REF!)</f>
        <v>#REF!</v>
      </c>
      <c r="F296" s="91"/>
      <c r="G296" s="91"/>
      <c r="H296" s="91"/>
      <c r="I296" s="91"/>
      <c r="J296" s="91"/>
      <c r="K296" s="91"/>
      <c r="L296" s="91"/>
      <c r="M296" s="91"/>
      <c r="N296" s="91"/>
      <c r="O296" s="91"/>
      <c r="P296" s="91"/>
      <c r="Q296" s="91"/>
      <c r="R296" s="91"/>
      <c r="S296" s="91"/>
      <c r="T296" s="109"/>
      <c r="U296" s="109"/>
      <c r="V296" s="109"/>
      <c r="W296" s="91"/>
      <c r="X296" s="91"/>
      <c r="Y296" s="91"/>
      <c r="Z296" s="186" t="e">
        <f t="array" ref="Z296">IF(E296="","",SUMPRODUCT(T296:V296,TRANSPOSE($V$4:$V$6)))</f>
        <v>#REF!</v>
      </c>
      <c r="AA296" s="109"/>
      <c r="AB296" s="91"/>
      <c r="AC296" s="91"/>
      <c r="AD296" s="91"/>
      <c r="AE296" s="91"/>
      <c r="AF296" s="91"/>
      <c r="AG296" s="91"/>
      <c r="AH296" s="91"/>
      <c r="AI296" s="96"/>
      <c r="AJ296" s="91"/>
      <c r="AK296" s="91"/>
      <c r="AL296" s="91"/>
      <c r="AM296" s="91"/>
      <c r="AN296" s="91"/>
      <c r="AO296" s="91"/>
      <c r="AP296" s="91"/>
      <c r="AQ296" s="91"/>
      <c r="AR296" s="91"/>
      <c r="AS296" s="91"/>
      <c r="AT296" s="91"/>
      <c r="AU296" s="110"/>
      <c r="AV296" s="85" t="e">
        <f t="shared" si="12"/>
        <v>#REF!</v>
      </c>
      <c r="AW296" s="85" t="e">
        <f t="shared" si="12"/>
        <v>#REF!</v>
      </c>
      <c r="AX296" s="85" t="e">
        <f t="shared" si="12"/>
        <v>#REF!</v>
      </c>
      <c r="BB296" s="85" t="s">
        <v>250</v>
      </c>
    </row>
    <row r="297" spans="1:54" ht="15.75" x14ac:dyDescent="0.2">
      <c r="A297" s="111" t="e">
        <f t="shared" si="14"/>
        <v>#REF!</v>
      </c>
      <c r="B297" s="88" t="e">
        <f>IF(OR(#REF!="",#REF!=0,#REF!=#REF!),"",#REF!)</f>
        <v>#REF!</v>
      </c>
      <c r="C297" s="107" t="e">
        <f t="shared" si="13"/>
        <v>#REF!</v>
      </c>
      <c r="D297" s="88" t="e">
        <f>IF(OR(#REF!="",#REF!=0,#REF!=#REF!),"",#REF!)</f>
        <v>#REF!</v>
      </c>
      <c r="E297" s="88" t="e">
        <f>IF($D297="","",#REF!)</f>
        <v>#REF!</v>
      </c>
      <c r="F297" s="91"/>
      <c r="G297" s="91"/>
      <c r="H297" s="91"/>
      <c r="I297" s="91"/>
      <c r="J297" s="91"/>
      <c r="K297" s="91"/>
      <c r="L297" s="91"/>
      <c r="M297" s="91"/>
      <c r="N297" s="91"/>
      <c r="O297" s="91"/>
      <c r="P297" s="91"/>
      <c r="Q297" s="91"/>
      <c r="R297" s="91"/>
      <c r="S297" s="91"/>
      <c r="T297" s="109"/>
      <c r="U297" s="109"/>
      <c r="V297" s="109"/>
      <c r="W297" s="91"/>
      <c r="X297" s="91"/>
      <c r="Y297" s="91"/>
      <c r="Z297" s="186" t="e">
        <f t="array" ref="Z297">IF(E297="","",SUMPRODUCT(T297:V297,TRANSPOSE($V$4:$V$6)))</f>
        <v>#REF!</v>
      </c>
      <c r="AA297" s="109"/>
      <c r="AB297" s="91"/>
      <c r="AC297" s="91"/>
      <c r="AD297" s="91"/>
      <c r="AE297" s="91"/>
      <c r="AF297" s="91"/>
      <c r="AG297" s="91"/>
      <c r="AH297" s="91"/>
      <c r="AI297" s="96"/>
      <c r="AJ297" s="91"/>
      <c r="AK297" s="91"/>
      <c r="AL297" s="91"/>
      <c r="AM297" s="91"/>
      <c r="AN297" s="91"/>
      <c r="AO297" s="91"/>
      <c r="AP297" s="91"/>
      <c r="AQ297" s="91"/>
      <c r="AR297" s="91"/>
      <c r="AS297" s="91"/>
      <c r="AT297" s="91"/>
      <c r="AU297" s="110"/>
      <c r="AV297" s="85" t="e">
        <f t="shared" si="12"/>
        <v>#REF!</v>
      </c>
      <c r="AW297" s="85" t="e">
        <f t="shared" si="12"/>
        <v>#REF!</v>
      </c>
      <c r="AX297" s="85" t="e">
        <f t="shared" si="12"/>
        <v>#REF!</v>
      </c>
      <c r="BB297" s="85" t="s">
        <v>250</v>
      </c>
    </row>
    <row r="298" spans="1:54" ht="15.75" x14ac:dyDescent="0.2">
      <c r="A298" s="111" t="e">
        <f t="shared" si="14"/>
        <v>#REF!</v>
      </c>
      <c r="B298" s="88" t="e">
        <f>IF(OR(#REF!="",#REF!=0,#REF!=#REF!),"",#REF!)</f>
        <v>#REF!</v>
      </c>
      <c r="C298" s="107" t="e">
        <f t="shared" si="13"/>
        <v>#REF!</v>
      </c>
      <c r="D298" s="88" t="e">
        <f>IF(OR(#REF!="",#REF!=0,#REF!=#REF!),"",#REF!)</f>
        <v>#REF!</v>
      </c>
      <c r="E298" s="88" t="e">
        <f>IF($D298="","",#REF!)</f>
        <v>#REF!</v>
      </c>
      <c r="F298" s="91"/>
      <c r="G298" s="91"/>
      <c r="H298" s="91"/>
      <c r="I298" s="91"/>
      <c r="J298" s="91"/>
      <c r="K298" s="91"/>
      <c r="L298" s="91"/>
      <c r="M298" s="91"/>
      <c r="N298" s="91"/>
      <c r="O298" s="91"/>
      <c r="P298" s="91"/>
      <c r="Q298" s="91"/>
      <c r="R298" s="91"/>
      <c r="S298" s="91"/>
      <c r="T298" s="109"/>
      <c r="U298" s="109"/>
      <c r="V298" s="109"/>
      <c r="W298" s="91"/>
      <c r="X298" s="91"/>
      <c r="Y298" s="91"/>
      <c r="Z298" s="186" t="e">
        <f t="array" ref="Z298">IF(E298="","",SUMPRODUCT(T298:V298,TRANSPOSE($V$4:$V$6)))</f>
        <v>#REF!</v>
      </c>
      <c r="AA298" s="109"/>
      <c r="AB298" s="91"/>
      <c r="AC298" s="91"/>
      <c r="AD298" s="91"/>
      <c r="AE298" s="91"/>
      <c r="AF298" s="91"/>
      <c r="AG298" s="91"/>
      <c r="AH298" s="91"/>
      <c r="AI298" s="96"/>
      <c r="AJ298" s="91"/>
      <c r="AK298" s="91"/>
      <c r="AL298" s="91"/>
      <c r="AM298" s="91"/>
      <c r="AN298" s="91"/>
      <c r="AO298" s="91"/>
      <c r="AP298" s="91"/>
      <c r="AQ298" s="91"/>
      <c r="AR298" s="91"/>
      <c r="AS298" s="91"/>
      <c r="AT298" s="91"/>
      <c r="AU298" s="110"/>
      <c r="AV298" s="85" t="e">
        <f t="shared" si="12"/>
        <v>#REF!</v>
      </c>
      <c r="AW298" s="85" t="e">
        <f t="shared" si="12"/>
        <v>#REF!</v>
      </c>
      <c r="AX298" s="85" t="e">
        <f t="shared" si="12"/>
        <v>#REF!</v>
      </c>
      <c r="BB298" s="85" t="s">
        <v>250</v>
      </c>
    </row>
    <row r="299" spans="1:54" ht="15.75" x14ac:dyDescent="0.2">
      <c r="A299" s="111" t="e">
        <f t="shared" si="14"/>
        <v>#REF!</v>
      </c>
      <c r="B299" s="88" t="e">
        <f>IF(OR(#REF!="",#REF!=0,#REF!=#REF!),"",#REF!)</f>
        <v>#REF!</v>
      </c>
      <c r="C299" s="107" t="e">
        <f t="shared" si="13"/>
        <v>#REF!</v>
      </c>
      <c r="D299" s="88" t="e">
        <f>IF(OR(#REF!="",#REF!=0,#REF!=#REF!),"",#REF!)</f>
        <v>#REF!</v>
      </c>
      <c r="E299" s="88" t="e">
        <f>IF($D299="","",#REF!)</f>
        <v>#REF!</v>
      </c>
      <c r="F299" s="91"/>
      <c r="G299" s="91"/>
      <c r="H299" s="91"/>
      <c r="I299" s="91"/>
      <c r="J299" s="91"/>
      <c r="K299" s="91"/>
      <c r="L299" s="91"/>
      <c r="M299" s="91"/>
      <c r="N299" s="91"/>
      <c r="O299" s="91"/>
      <c r="P299" s="91"/>
      <c r="Q299" s="91"/>
      <c r="R299" s="91"/>
      <c r="S299" s="91"/>
      <c r="T299" s="109"/>
      <c r="U299" s="109"/>
      <c r="V299" s="109"/>
      <c r="W299" s="91"/>
      <c r="X299" s="91"/>
      <c r="Y299" s="91"/>
      <c r="Z299" s="186" t="e">
        <f t="array" ref="Z299">IF(E299="","",SUMPRODUCT(T299:V299,TRANSPOSE($V$4:$V$6)))</f>
        <v>#REF!</v>
      </c>
      <c r="AA299" s="109"/>
      <c r="AB299" s="91"/>
      <c r="AC299" s="91"/>
      <c r="AD299" s="91"/>
      <c r="AE299" s="91"/>
      <c r="AF299" s="91"/>
      <c r="AG299" s="91"/>
      <c r="AH299" s="91"/>
      <c r="AI299" s="96"/>
      <c r="AJ299" s="91"/>
      <c r="AK299" s="91"/>
      <c r="AL299" s="91"/>
      <c r="AM299" s="91"/>
      <c r="AN299" s="91"/>
      <c r="AO299" s="91"/>
      <c r="AP299" s="91"/>
      <c r="AQ299" s="91"/>
      <c r="AR299" s="91"/>
      <c r="AS299" s="91"/>
      <c r="AT299" s="91"/>
      <c r="AU299" s="110"/>
      <c r="AV299" s="85" t="e">
        <f t="shared" si="12"/>
        <v>#REF!</v>
      </c>
      <c r="AW299" s="85" t="e">
        <f t="shared" si="12"/>
        <v>#REF!</v>
      </c>
      <c r="AX299" s="85" t="e">
        <f t="shared" si="12"/>
        <v>#REF!</v>
      </c>
      <c r="BB299" s="85" t="s">
        <v>250</v>
      </c>
    </row>
    <row r="300" spans="1:54" ht="15.75" x14ac:dyDescent="0.2">
      <c r="A300" s="111" t="e">
        <f t="shared" si="14"/>
        <v>#REF!</v>
      </c>
      <c r="B300" s="88" t="e">
        <f>IF(OR(#REF!="",#REF!=0,#REF!=#REF!),"",#REF!)</f>
        <v>#REF!</v>
      </c>
      <c r="C300" s="107" t="e">
        <f t="shared" si="13"/>
        <v>#REF!</v>
      </c>
      <c r="D300" s="88" t="e">
        <f>IF(OR(#REF!="",#REF!=0,#REF!=#REF!),"",#REF!)</f>
        <v>#REF!</v>
      </c>
      <c r="E300" s="88" t="e">
        <f>IF($D300="","",#REF!)</f>
        <v>#REF!</v>
      </c>
      <c r="F300" s="91"/>
      <c r="G300" s="91"/>
      <c r="H300" s="91"/>
      <c r="I300" s="91"/>
      <c r="J300" s="91"/>
      <c r="K300" s="91"/>
      <c r="L300" s="91"/>
      <c r="M300" s="91"/>
      <c r="N300" s="91"/>
      <c r="O300" s="91"/>
      <c r="P300" s="91"/>
      <c r="Q300" s="91"/>
      <c r="R300" s="91"/>
      <c r="S300" s="91"/>
      <c r="T300" s="109"/>
      <c r="U300" s="109"/>
      <c r="V300" s="109"/>
      <c r="W300" s="91"/>
      <c r="X300" s="91"/>
      <c r="Y300" s="91"/>
      <c r="Z300" s="186" t="e">
        <f t="array" ref="Z300">IF(E300="","",SUMPRODUCT(T300:V300,TRANSPOSE($V$4:$V$6)))</f>
        <v>#REF!</v>
      </c>
      <c r="AA300" s="109"/>
      <c r="AB300" s="91"/>
      <c r="AC300" s="91"/>
      <c r="AD300" s="91"/>
      <c r="AE300" s="91"/>
      <c r="AF300" s="91"/>
      <c r="AG300" s="91"/>
      <c r="AH300" s="91"/>
      <c r="AI300" s="96"/>
      <c r="AJ300" s="91"/>
      <c r="AK300" s="91"/>
      <c r="AL300" s="91"/>
      <c r="AM300" s="91"/>
      <c r="AN300" s="91"/>
      <c r="AO300" s="91"/>
      <c r="AP300" s="91"/>
      <c r="AQ300" s="91"/>
      <c r="AR300" s="91"/>
      <c r="AS300" s="91"/>
      <c r="AT300" s="91"/>
      <c r="AU300" s="110"/>
      <c r="AV300" s="85" t="e">
        <f t="shared" si="12"/>
        <v>#REF!</v>
      </c>
      <c r="AW300" s="85" t="e">
        <f t="shared" si="12"/>
        <v>#REF!</v>
      </c>
      <c r="AX300" s="85" t="e">
        <f t="shared" si="12"/>
        <v>#REF!</v>
      </c>
      <c r="BB300" s="85" t="s">
        <v>250</v>
      </c>
    </row>
    <row r="301" spans="1:54" ht="15.75" x14ac:dyDescent="0.2">
      <c r="A301" s="111" t="e">
        <f t="shared" si="14"/>
        <v>#REF!</v>
      </c>
      <c r="B301" s="88" t="e">
        <f>IF(OR(#REF!="",#REF!=0,#REF!=#REF!),"",#REF!)</f>
        <v>#REF!</v>
      </c>
      <c r="C301" s="107" t="e">
        <f t="shared" si="13"/>
        <v>#REF!</v>
      </c>
      <c r="D301" s="88" t="e">
        <f>IF(OR(#REF!="",#REF!=0,#REF!=#REF!),"",#REF!)</f>
        <v>#REF!</v>
      </c>
      <c r="E301" s="88" t="e">
        <f>IF($D301="","",#REF!)</f>
        <v>#REF!</v>
      </c>
      <c r="F301" s="91"/>
      <c r="G301" s="91"/>
      <c r="H301" s="91"/>
      <c r="I301" s="91"/>
      <c r="J301" s="91"/>
      <c r="K301" s="91"/>
      <c r="L301" s="91"/>
      <c r="M301" s="91"/>
      <c r="N301" s="91"/>
      <c r="O301" s="91"/>
      <c r="P301" s="91"/>
      <c r="Q301" s="91"/>
      <c r="R301" s="91"/>
      <c r="S301" s="91"/>
      <c r="T301" s="109"/>
      <c r="U301" s="109"/>
      <c r="V301" s="109"/>
      <c r="W301" s="91"/>
      <c r="X301" s="91"/>
      <c r="Y301" s="91"/>
      <c r="Z301" s="186" t="e">
        <f t="array" ref="Z301">IF(E301="","",SUMPRODUCT(T301:V301,TRANSPOSE($V$4:$V$6)))</f>
        <v>#REF!</v>
      </c>
      <c r="AA301" s="109"/>
      <c r="AB301" s="91"/>
      <c r="AC301" s="91"/>
      <c r="AD301" s="91"/>
      <c r="AE301" s="91"/>
      <c r="AF301" s="91"/>
      <c r="AG301" s="91"/>
      <c r="AH301" s="91"/>
      <c r="AI301" s="96"/>
      <c r="AJ301" s="91"/>
      <c r="AK301" s="91"/>
      <c r="AL301" s="91"/>
      <c r="AM301" s="91"/>
      <c r="AN301" s="91"/>
      <c r="AO301" s="91"/>
      <c r="AP301" s="91"/>
      <c r="AQ301" s="91"/>
      <c r="AR301" s="91"/>
      <c r="AS301" s="91"/>
      <c r="AT301" s="91"/>
      <c r="AU301" s="110"/>
      <c r="AV301" s="85" t="e">
        <f t="shared" si="12"/>
        <v>#REF!</v>
      </c>
      <c r="AW301" s="85" t="e">
        <f t="shared" si="12"/>
        <v>#REF!</v>
      </c>
      <c r="AX301" s="85" t="e">
        <f t="shared" si="12"/>
        <v>#REF!</v>
      </c>
      <c r="BB301" s="85" t="s">
        <v>250</v>
      </c>
    </row>
    <row r="302" spans="1:54" ht="15.75" x14ac:dyDescent="0.2">
      <c r="A302" s="111" t="e">
        <f t="shared" si="14"/>
        <v>#REF!</v>
      </c>
      <c r="B302" s="88" t="e">
        <f>IF(OR(#REF!="",#REF!=0,#REF!=#REF!),"",#REF!)</f>
        <v>#REF!</v>
      </c>
      <c r="C302" s="107" t="e">
        <f t="shared" si="13"/>
        <v>#REF!</v>
      </c>
      <c r="D302" s="88" t="e">
        <f>IF(OR(#REF!="",#REF!=0,#REF!=#REF!),"",#REF!)</f>
        <v>#REF!</v>
      </c>
      <c r="E302" s="88" t="e">
        <f>IF($D302="","",#REF!)</f>
        <v>#REF!</v>
      </c>
      <c r="F302" s="91"/>
      <c r="G302" s="91"/>
      <c r="H302" s="91"/>
      <c r="I302" s="91"/>
      <c r="J302" s="91"/>
      <c r="K302" s="91"/>
      <c r="L302" s="91"/>
      <c r="M302" s="91"/>
      <c r="N302" s="91"/>
      <c r="O302" s="91"/>
      <c r="P302" s="91"/>
      <c r="Q302" s="91"/>
      <c r="R302" s="91"/>
      <c r="S302" s="91"/>
      <c r="T302" s="109"/>
      <c r="U302" s="109"/>
      <c r="V302" s="109"/>
      <c r="W302" s="91"/>
      <c r="X302" s="91"/>
      <c r="Y302" s="91"/>
      <c r="Z302" s="186" t="e">
        <f t="array" ref="Z302">IF(E302="","",SUMPRODUCT(T302:V302,TRANSPOSE($V$4:$V$6)))</f>
        <v>#REF!</v>
      </c>
      <c r="AA302" s="109"/>
      <c r="AB302" s="91"/>
      <c r="AC302" s="91"/>
      <c r="AD302" s="91"/>
      <c r="AE302" s="91"/>
      <c r="AF302" s="91"/>
      <c r="AG302" s="91"/>
      <c r="AH302" s="91"/>
      <c r="AI302" s="96"/>
      <c r="AJ302" s="91"/>
      <c r="AK302" s="91"/>
      <c r="AL302" s="91"/>
      <c r="AM302" s="91"/>
      <c r="AN302" s="91"/>
      <c r="AO302" s="91"/>
      <c r="AP302" s="91"/>
      <c r="AQ302" s="91"/>
      <c r="AR302" s="91"/>
      <c r="AS302" s="91"/>
      <c r="AT302" s="91"/>
      <c r="AU302" s="110"/>
      <c r="AV302" s="85" t="e">
        <f t="shared" si="12"/>
        <v>#REF!</v>
      </c>
      <c r="AW302" s="85" t="e">
        <f t="shared" si="12"/>
        <v>#REF!</v>
      </c>
      <c r="AX302" s="85" t="e">
        <f t="shared" si="12"/>
        <v>#REF!</v>
      </c>
      <c r="BB302" s="85" t="s">
        <v>250</v>
      </c>
    </row>
    <row r="303" spans="1:54" ht="15.75" x14ac:dyDescent="0.2">
      <c r="A303" s="111" t="e">
        <f t="shared" si="14"/>
        <v>#REF!</v>
      </c>
      <c r="B303" s="88" t="e">
        <f>IF(OR(#REF!="",#REF!=0,#REF!=#REF!),"",#REF!)</f>
        <v>#REF!</v>
      </c>
      <c r="C303" s="107" t="e">
        <f t="shared" si="13"/>
        <v>#REF!</v>
      </c>
      <c r="D303" s="88" t="e">
        <f>IF(OR(#REF!="",#REF!=0,#REF!=#REF!),"",#REF!)</f>
        <v>#REF!</v>
      </c>
      <c r="E303" s="88" t="e">
        <f>IF($D303="","",#REF!)</f>
        <v>#REF!</v>
      </c>
      <c r="F303" s="91"/>
      <c r="G303" s="91"/>
      <c r="H303" s="91"/>
      <c r="I303" s="91"/>
      <c r="J303" s="91"/>
      <c r="K303" s="91"/>
      <c r="L303" s="91"/>
      <c r="M303" s="91"/>
      <c r="N303" s="91"/>
      <c r="O303" s="91"/>
      <c r="P303" s="91"/>
      <c r="Q303" s="91"/>
      <c r="R303" s="91"/>
      <c r="S303" s="91"/>
      <c r="T303" s="109"/>
      <c r="U303" s="109"/>
      <c r="V303" s="109"/>
      <c r="W303" s="91"/>
      <c r="X303" s="91"/>
      <c r="Y303" s="91"/>
      <c r="Z303" s="186" t="e">
        <f t="array" ref="Z303">IF(E303="","",SUMPRODUCT(T303:V303,TRANSPOSE($V$4:$V$6)))</f>
        <v>#REF!</v>
      </c>
      <c r="AA303" s="109"/>
      <c r="AB303" s="91"/>
      <c r="AC303" s="91"/>
      <c r="AD303" s="91"/>
      <c r="AE303" s="91"/>
      <c r="AF303" s="91"/>
      <c r="AG303" s="91"/>
      <c r="AH303" s="91"/>
      <c r="AI303" s="96"/>
      <c r="AJ303" s="91"/>
      <c r="AK303" s="91"/>
      <c r="AL303" s="91"/>
      <c r="AM303" s="91"/>
      <c r="AN303" s="91"/>
      <c r="AO303" s="91"/>
      <c r="AP303" s="91"/>
      <c r="AQ303" s="91"/>
      <c r="AR303" s="91"/>
      <c r="AS303" s="91"/>
      <c r="AT303" s="91"/>
      <c r="AU303" s="110"/>
      <c r="AV303" s="85" t="e">
        <f t="shared" si="12"/>
        <v>#REF!</v>
      </c>
      <c r="AW303" s="85" t="e">
        <f t="shared" si="12"/>
        <v>#REF!</v>
      </c>
      <c r="AX303" s="85" t="e">
        <f t="shared" si="12"/>
        <v>#REF!</v>
      </c>
      <c r="BB303" s="85" t="s">
        <v>250</v>
      </c>
    </row>
    <row r="304" spans="1:54" ht="15.75" x14ac:dyDescent="0.2">
      <c r="A304" s="111" t="e">
        <f t="shared" si="14"/>
        <v>#REF!</v>
      </c>
      <c r="B304" s="88" t="e">
        <f>IF(OR(#REF!="",#REF!=0,#REF!=#REF!),"",#REF!)</f>
        <v>#REF!</v>
      </c>
      <c r="C304" s="107" t="e">
        <f t="shared" si="13"/>
        <v>#REF!</v>
      </c>
      <c r="D304" s="88" t="e">
        <f>IF(OR(#REF!="",#REF!=0,#REF!=#REF!),"",#REF!)</f>
        <v>#REF!</v>
      </c>
      <c r="E304" s="88" t="e">
        <f>IF($D304="","",#REF!)</f>
        <v>#REF!</v>
      </c>
      <c r="F304" s="91"/>
      <c r="G304" s="91"/>
      <c r="H304" s="91"/>
      <c r="I304" s="91"/>
      <c r="J304" s="91"/>
      <c r="K304" s="91"/>
      <c r="L304" s="91"/>
      <c r="M304" s="91"/>
      <c r="N304" s="91"/>
      <c r="O304" s="91"/>
      <c r="P304" s="91"/>
      <c r="Q304" s="91"/>
      <c r="R304" s="91"/>
      <c r="S304" s="91"/>
      <c r="T304" s="109"/>
      <c r="U304" s="109"/>
      <c r="V304" s="109"/>
      <c r="W304" s="91"/>
      <c r="X304" s="91"/>
      <c r="Y304" s="91"/>
      <c r="Z304" s="186" t="e">
        <f t="array" ref="Z304">IF(E304="","",SUMPRODUCT(T304:V304,TRANSPOSE($V$4:$V$6)))</f>
        <v>#REF!</v>
      </c>
      <c r="AA304" s="109"/>
      <c r="AB304" s="91"/>
      <c r="AC304" s="91"/>
      <c r="AD304" s="91"/>
      <c r="AE304" s="91"/>
      <c r="AF304" s="91"/>
      <c r="AG304" s="91"/>
      <c r="AH304" s="91"/>
      <c r="AI304" s="96"/>
      <c r="AJ304" s="91"/>
      <c r="AK304" s="91"/>
      <c r="AL304" s="91"/>
      <c r="AM304" s="91"/>
      <c r="AN304" s="91"/>
      <c r="AO304" s="91"/>
      <c r="AP304" s="91"/>
      <c r="AQ304" s="91"/>
      <c r="AR304" s="91"/>
      <c r="AS304" s="91"/>
      <c r="AT304" s="91"/>
      <c r="AU304" s="110"/>
      <c r="AV304" s="85" t="e">
        <f t="shared" si="12"/>
        <v>#REF!</v>
      </c>
      <c r="AW304" s="85" t="e">
        <f t="shared" si="12"/>
        <v>#REF!</v>
      </c>
      <c r="AX304" s="85" t="e">
        <f t="shared" si="12"/>
        <v>#REF!</v>
      </c>
      <c r="BB304" s="85" t="s">
        <v>250</v>
      </c>
    </row>
    <row r="305" spans="1:54" ht="15.75" x14ac:dyDescent="0.2">
      <c r="A305" s="111" t="e">
        <f t="shared" si="14"/>
        <v>#REF!</v>
      </c>
      <c r="B305" s="88" t="e">
        <f>IF(OR(#REF!="",#REF!=0,#REF!=#REF!),"",#REF!)</f>
        <v>#REF!</v>
      </c>
      <c r="C305" s="107" t="e">
        <f t="shared" si="13"/>
        <v>#REF!</v>
      </c>
      <c r="D305" s="88" t="e">
        <f>IF(OR(#REF!="",#REF!=0,#REF!=#REF!),"",#REF!)</f>
        <v>#REF!</v>
      </c>
      <c r="E305" s="88" t="e">
        <f>IF($D305="","",#REF!)</f>
        <v>#REF!</v>
      </c>
      <c r="F305" s="91"/>
      <c r="G305" s="91"/>
      <c r="H305" s="91"/>
      <c r="I305" s="91"/>
      <c r="J305" s="91"/>
      <c r="K305" s="91"/>
      <c r="L305" s="91"/>
      <c r="M305" s="91"/>
      <c r="N305" s="91"/>
      <c r="O305" s="91"/>
      <c r="P305" s="91"/>
      <c r="Q305" s="91"/>
      <c r="R305" s="91"/>
      <c r="S305" s="91"/>
      <c r="T305" s="109"/>
      <c r="U305" s="109"/>
      <c r="V305" s="109"/>
      <c r="W305" s="91"/>
      <c r="X305" s="91"/>
      <c r="Y305" s="91"/>
      <c r="Z305" s="186" t="e">
        <f t="array" ref="Z305">IF(E305="","",SUMPRODUCT(T305:V305,TRANSPOSE($V$4:$V$6)))</f>
        <v>#REF!</v>
      </c>
      <c r="AA305" s="109"/>
      <c r="AB305" s="91"/>
      <c r="AC305" s="91"/>
      <c r="AD305" s="91"/>
      <c r="AE305" s="91"/>
      <c r="AF305" s="91"/>
      <c r="AG305" s="91"/>
      <c r="AH305" s="91"/>
      <c r="AI305" s="96"/>
      <c r="AJ305" s="91"/>
      <c r="AK305" s="91"/>
      <c r="AL305" s="91"/>
      <c r="AM305" s="91"/>
      <c r="AN305" s="91"/>
      <c r="AO305" s="91"/>
      <c r="AP305" s="91"/>
      <c r="AQ305" s="91"/>
      <c r="AR305" s="91"/>
      <c r="AS305" s="91"/>
      <c r="AT305" s="91"/>
      <c r="AU305" s="110"/>
      <c r="AV305" s="85" t="e">
        <f t="shared" si="12"/>
        <v>#REF!</v>
      </c>
      <c r="AW305" s="85" t="e">
        <f t="shared" si="12"/>
        <v>#REF!</v>
      </c>
      <c r="AX305" s="85" t="e">
        <f t="shared" si="12"/>
        <v>#REF!</v>
      </c>
      <c r="BB305" s="85" t="s">
        <v>250</v>
      </c>
    </row>
    <row r="306" spans="1:54" ht="15.75" x14ac:dyDescent="0.2">
      <c r="A306" s="111" t="e">
        <f t="shared" si="14"/>
        <v>#REF!</v>
      </c>
      <c r="B306" s="88" t="e">
        <f>IF(OR(#REF!="",#REF!=0,#REF!=#REF!),"",#REF!)</f>
        <v>#REF!</v>
      </c>
      <c r="C306" s="107" t="e">
        <f t="shared" si="13"/>
        <v>#REF!</v>
      </c>
      <c r="D306" s="88" t="e">
        <f>IF(OR(#REF!="",#REF!=0,#REF!=#REF!),"",#REF!)</f>
        <v>#REF!</v>
      </c>
      <c r="E306" s="88" t="e">
        <f>IF($D306="","",#REF!)</f>
        <v>#REF!</v>
      </c>
      <c r="F306" s="91"/>
      <c r="G306" s="91"/>
      <c r="H306" s="91"/>
      <c r="I306" s="91"/>
      <c r="J306" s="91"/>
      <c r="K306" s="91"/>
      <c r="L306" s="91"/>
      <c r="M306" s="91"/>
      <c r="N306" s="91"/>
      <c r="O306" s="91"/>
      <c r="P306" s="91"/>
      <c r="Q306" s="91"/>
      <c r="R306" s="91"/>
      <c r="S306" s="91"/>
      <c r="T306" s="109"/>
      <c r="U306" s="109"/>
      <c r="V306" s="109"/>
      <c r="W306" s="91"/>
      <c r="X306" s="91"/>
      <c r="Y306" s="91"/>
      <c r="Z306" s="186" t="e">
        <f t="array" ref="Z306">IF(E306="","",SUMPRODUCT(T306:V306,TRANSPOSE($V$4:$V$6)))</f>
        <v>#REF!</v>
      </c>
      <c r="AA306" s="109"/>
      <c r="AB306" s="91"/>
      <c r="AC306" s="91"/>
      <c r="AD306" s="91"/>
      <c r="AE306" s="91"/>
      <c r="AF306" s="91"/>
      <c r="AG306" s="91"/>
      <c r="AH306" s="91"/>
      <c r="AI306" s="96"/>
      <c r="AJ306" s="91"/>
      <c r="AK306" s="91"/>
      <c r="AL306" s="91"/>
      <c r="AM306" s="91"/>
      <c r="AN306" s="91"/>
      <c r="AO306" s="91"/>
      <c r="AP306" s="91"/>
      <c r="AQ306" s="91"/>
      <c r="AR306" s="91"/>
      <c r="AS306" s="91"/>
      <c r="AT306" s="91"/>
      <c r="AU306" s="110"/>
      <c r="AV306" s="85" t="e">
        <f t="shared" si="12"/>
        <v>#REF!</v>
      </c>
      <c r="AW306" s="85" t="e">
        <f t="shared" si="12"/>
        <v>#REF!</v>
      </c>
      <c r="AX306" s="85" t="e">
        <f t="shared" si="12"/>
        <v>#REF!</v>
      </c>
      <c r="BB306" s="85" t="s">
        <v>250</v>
      </c>
    </row>
    <row r="307" spans="1:54" ht="15.75" x14ac:dyDescent="0.2">
      <c r="A307" s="111" t="e">
        <f t="shared" si="14"/>
        <v>#REF!</v>
      </c>
      <c r="B307" s="88" t="e">
        <f>IF(OR(#REF!="",#REF!=0,#REF!=#REF!),"",#REF!)</f>
        <v>#REF!</v>
      </c>
      <c r="C307" s="107" t="e">
        <f t="shared" si="13"/>
        <v>#REF!</v>
      </c>
      <c r="D307" s="88" t="e">
        <f>IF(OR(#REF!="",#REF!=0,#REF!=#REF!),"",#REF!)</f>
        <v>#REF!</v>
      </c>
      <c r="E307" s="88" t="e">
        <f>IF($D307="","",#REF!)</f>
        <v>#REF!</v>
      </c>
      <c r="F307" s="91"/>
      <c r="G307" s="91"/>
      <c r="H307" s="91"/>
      <c r="I307" s="91"/>
      <c r="J307" s="91"/>
      <c r="K307" s="91"/>
      <c r="L307" s="91"/>
      <c r="M307" s="91"/>
      <c r="N307" s="91"/>
      <c r="O307" s="91"/>
      <c r="P307" s="91"/>
      <c r="Q307" s="91"/>
      <c r="R307" s="91"/>
      <c r="S307" s="91"/>
      <c r="T307" s="109"/>
      <c r="U307" s="109"/>
      <c r="V307" s="109"/>
      <c r="W307" s="91"/>
      <c r="X307" s="91"/>
      <c r="Y307" s="91"/>
      <c r="Z307" s="186" t="e">
        <f t="array" ref="Z307">IF(E307="","",SUMPRODUCT(T307:V307,TRANSPOSE($V$4:$V$6)))</f>
        <v>#REF!</v>
      </c>
      <c r="AA307" s="109"/>
      <c r="AB307" s="91"/>
      <c r="AC307" s="91"/>
      <c r="AD307" s="91"/>
      <c r="AE307" s="91"/>
      <c r="AF307" s="91"/>
      <c r="AG307" s="91"/>
      <c r="AH307" s="91"/>
      <c r="AI307" s="96"/>
      <c r="AJ307" s="91"/>
      <c r="AK307" s="91"/>
      <c r="AL307" s="91"/>
      <c r="AM307" s="91"/>
      <c r="AN307" s="91"/>
      <c r="AO307" s="91"/>
      <c r="AP307" s="91"/>
      <c r="AQ307" s="91"/>
      <c r="AR307" s="91"/>
      <c r="AS307" s="91"/>
      <c r="AT307" s="91"/>
      <c r="AU307" s="110"/>
      <c r="AV307" s="85" t="e">
        <f t="shared" si="12"/>
        <v>#REF!</v>
      </c>
      <c r="AW307" s="85" t="e">
        <f t="shared" si="12"/>
        <v>#REF!</v>
      </c>
      <c r="AX307" s="85" t="e">
        <f t="shared" si="12"/>
        <v>#REF!</v>
      </c>
      <c r="BB307" s="85" t="s">
        <v>250</v>
      </c>
    </row>
    <row r="308" spans="1:54" ht="15.75" x14ac:dyDescent="0.2">
      <c r="A308" s="111" t="e">
        <f t="shared" si="14"/>
        <v>#REF!</v>
      </c>
      <c r="B308" s="88" t="e">
        <f>IF(OR(#REF!="",#REF!=0,#REF!=#REF!),"",#REF!)</f>
        <v>#REF!</v>
      </c>
      <c r="C308" s="107" t="e">
        <f t="shared" si="13"/>
        <v>#REF!</v>
      </c>
      <c r="D308" s="88" t="e">
        <f>IF(OR(#REF!="",#REF!=0,#REF!=#REF!),"",#REF!)</f>
        <v>#REF!</v>
      </c>
      <c r="E308" s="88" t="e">
        <f>IF($D308="","",#REF!)</f>
        <v>#REF!</v>
      </c>
      <c r="F308" s="91"/>
      <c r="G308" s="91"/>
      <c r="H308" s="91"/>
      <c r="I308" s="91"/>
      <c r="J308" s="91"/>
      <c r="K308" s="91"/>
      <c r="L308" s="91"/>
      <c r="M308" s="91"/>
      <c r="N308" s="91"/>
      <c r="O308" s="91"/>
      <c r="P308" s="91"/>
      <c r="Q308" s="91"/>
      <c r="R308" s="91"/>
      <c r="S308" s="91"/>
      <c r="T308" s="109"/>
      <c r="U308" s="109"/>
      <c r="V308" s="109"/>
      <c r="W308" s="91"/>
      <c r="X308" s="91"/>
      <c r="Y308" s="91"/>
      <c r="Z308" s="186" t="e">
        <f t="array" ref="Z308">IF(E308="","",SUMPRODUCT(T308:V308,TRANSPOSE($V$4:$V$6)))</f>
        <v>#REF!</v>
      </c>
      <c r="AA308" s="109"/>
      <c r="AB308" s="91"/>
      <c r="AC308" s="91"/>
      <c r="AD308" s="91"/>
      <c r="AE308" s="91"/>
      <c r="AF308" s="91"/>
      <c r="AG308" s="91"/>
      <c r="AH308" s="91"/>
      <c r="AI308" s="96"/>
      <c r="AJ308" s="91"/>
      <c r="AK308" s="91"/>
      <c r="AL308" s="91"/>
      <c r="AM308" s="91"/>
      <c r="AN308" s="91"/>
      <c r="AO308" s="91"/>
      <c r="AP308" s="91"/>
      <c r="AQ308" s="91"/>
      <c r="AR308" s="91"/>
      <c r="AS308" s="91"/>
      <c r="AT308" s="91"/>
      <c r="AU308" s="110"/>
      <c r="AV308" s="85" t="e">
        <f t="shared" si="12"/>
        <v>#REF!</v>
      </c>
      <c r="AW308" s="85" t="e">
        <f t="shared" si="12"/>
        <v>#REF!</v>
      </c>
      <c r="AX308" s="85" t="e">
        <f t="shared" si="12"/>
        <v>#REF!</v>
      </c>
      <c r="BB308" s="85" t="s">
        <v>250</v>
      </c>
    </row>
    <row r="309" spans="1:54" ht="15.75" x14ac:dyDescent="0.2">
      <c r="A309" s="111" t="e">
        <f t="shared" si="14"/>
        <v>#REF!</v>
      </c>
      <c r="B309" s="88" t="e">
        <f>IF(OR(#REF!="",#REF!=0,#REF!=#REF!),"",#REF!)</f>
        <v>#REF!</v>
      </c>
      <c r="C309" s="107" t="e">
        <f t="shared" si="13"/>
        <v>#REF!</v>
      </c>
      <c r="D309" s="88" t="e">
        <f>IF(OR(#REF!="",#REF!=0,#REF!=#REF!),"",#REF!)</f>
        <v>#REF!</v>
      </c>
      <c r="E309" s="88" t="e">
        <f>IF($D309="","",#REF!)</f>
        <v>#REF!</v>
      </c>
      <c r="F309" s="91"/>
      <c r="G309" s="91"/>
      <c r="H309" s="91"/>
      <c r="I309" s="91"/>
      <c r="J309" s="91"/>
      <c r="K309" s="91"/>
      <c r="L309" s="91"/>
      <c r="M309" s="91"/>
      <c r="N309" s="91"/>
      <c r="O309" s="91"/>
      <c r="P309" s="91"/>
      <c r="Q309" s="91"/>
      <c r="R309" s="91"/>
      <c r="S309" s="91"/>
      <c r="T309" s="109"/>
      <c r="U309" s="109"/>
      <c r="V309" s="109"/>
      <c r="W309" s="91"/>
      <c r="X309" s="91"/>
      <c r="Y309" s="91"/>
      <c r="Z309" s="186" t="e">
        <f t="array" ref="Z309">IF(E309="","",SUMPRODUCT(T309:V309,TRANSPOSE($V$4:$V$6)))</f>
        <v>#REF!</v>
      </c>
      <c r="AA309" s="109"/>
      <c r="AB309" s="91"/>
      <c r="AC309" s="91"/>
      <c r="AD309" s="91"/>
      <c r="AE309" s="91"/>
      <c r="AF309" s="91"/>
      <c r="AG309" s="91"/>
      <c r="AH309" s="91"/>
      <c r="AI309" s="96"/>
      <c r="AJ309" s="91"/>
      <c r="AK309" s="91"/>
      <c r="AL309" s="91"/>
      <c r="AM309" s="91"/>
      <c r="AN309" s="91"/>
      <c r="AO309" s="91"/>
      <c r="AP309" s="91"/>
      <c r="AQ309" s="91"/>
      <c r="AR309" s="91"/>
      <c r="AS309" s="91"/>
      <c r="AT309" s="91"/>
      <c r="AU309" s="110"/>
      <c r="AV309" s="85" t="e">
        <f t="shared" si="12"/>
        <v>#REF!</v>
      </c>
      <c r="AW309" s="85" t="e">
        <f t="shared" si="12"/>
        <v>#REF!</v>
      </c>
      <c r="AX309" s="85" t="e">
        <f t="shared" si="12"/>
        <v>#REF!</v>
      </c>
      <c r="BB309" s="85" t="s">
        <v>250</v>
      </c>
    </row>
    <row r="310" spans="1:54" ht="15.75" x14ac:dyDescent="0.2">
      <c r="A310" s="111" t="e">
        <f t="shared" si="14"/>
        <v>#REF!</v>
      </c>
      <c r="B310" s="88" t="e">
        <f>IF(OR(#REF!="",#REF!=0,#REF!=#REF!),"",#REF!)</f>
        <v>#REF!</v>
      </c>
      <c r="C310" s="107" t="e">
        <f t="shared" si="13"/>
        <v>#REF!</v>
      </c>
      <c r="D310" s="88" t="e">
        <f>IF(OR(#REF!="",#REF!=0,#REF!=#REF!),"",#REF!)</f>
        <v>#REF!</v>
      </c>
      <c r="E310" s="88" t="e">
        <f>IF($D310="","",#REF!)</f>
        <v>#REF!</v>
      </c>
      <c r="F310" s="91"/>
      <c r="G310" s="91"/>
      <c r="H310" s="91"/>
      <c r="I310" s="91"/>
      <c r="J310" s="91"/>
      <c r="K310" s="91"/>
      <c r="L310" s="91"/>
      <c r="M310" s="91"/>
      <c r="N310" s="91"/>
      <c r="O310" s="91"/>
      <c r="P310" s="91"/>
      <c r="Q310" s="91"/>
      <c r="R310" s="91"/>
      <c r="S310" s="91"/>
      <c r="T310" s="109"/>
      <c r="U310" s="109"/>
      <c r="V310" s="109"/>
      <c r="W310" s="91"/>
      <c r="X310" s="91"/>
      <c r="Y310" s="91"/>
      <c r="Z310" s="186" t="e">
        <f t="array" ref="Z310">IF(E310="","",SUMPRODUCT(T310:V310,TRANSPOSE($V$4:$V$6)))</f>
        <v>#REF!</v>
      </c>
      <c r="AA310" s="109"/>
      <c r="AB310" s="91"/>
      <c r="AC310" s="91"/>
      <c r="AD310" s="91"/>
      <c r="AE310" s="91"/>
      <c r="AF310" s="91"/>
      <c r="AG310" s="91"/>
      <c r="AH310" s="91"/>
      <c r="AI310" s="96"/>
      <c r="AJ310" s="91"/>
      <c r="AK310" s="91"/>
      <c r="AL310" s="91"/>
      <c r="AM310" s="91"/>
      <c r="AN310" s="91"/>
      <c r="AO310" s="91"/>
      <c r="AP310" s="91"/>
      <c r="AQ310" s="91"/>
      <c r="AR310" s="91"/>
      <c r="AS310" s="91"/>
      <c r="AT310" s="91"/>
      <c r="AU310" s="110"/>
      <c r="AV310" s="85" t="e">
        <f t="shared" si="12"/>
        <v>#REF!</v>
      </c>
      <c r="AW310" s="85" t="e">
        <f t="shared" si="12"/>
        <v>#REF!</v>
      </c>
      <c r="AX310" s="85" t="e">
        <f t="shared" si="12"/>
        <v>#REF!</v>
      </c>
      <c r="BB310" s="85" t="s">
        <v>250</v>
      </c>
    </row>
    <row r="311" spans="1:54" ht="15.75" x14ac:dyDescent="0.2">
      <c r="A311" s="111" t="e">
        <f t="shared" si="14"/>
        <v>#REF!</v>
      </c>
      <c r="B311" s="88" t="e">
        <f>IF(OR(#REF!="",#REF!=0,#REF!=#REF!),"",#REF!)</f>
        <v>#REF!</v>
      </c>
      <c r="C311" s="107" t="e">
        <f t="shared" si="13"/>
        <v>#REF!</v>
      </c>
      <c r="D311" s="88" t="e">
        <f>IF(OR(#REF!="",#REF!=0,#REF!=#REF!),"",#REF!)</f>
        <v>#REF!</v>
      </c>
      <c r="E311" s="88" t="e">
        <f>IF($D311="","",#REF!)</f>
        <v>#REF!</v>
      </c>
      <c r="F311" s="91"/>
      <c r="G311" s="91"/>
      <c r="H311" s="91"/>
      <c r="I311" s="91"/>
      <c r="J311" s="91"/>
      <c r="K311" s="91"/>
      <c r="L311" s="91"/>
      <c r="M311" s="91"/>
      <c r="N311" s="91"/>
      <c r="O311" s="91"/>
      <c r="P311" s="91"/>
      <c r="Q311" s="91"/>
      <c r="R311" s="91"/>
      <c r="S311" s="91"/>
      <c r="T311" s="109"/>
      <c r="U311" s="109"/>
      <c r="V311" s="109"/>
      <c r="W311" s="91"/>
      <c r="X311" s="91"/>
      <c r="Y311" s="91"/>
      <c r="Z311" s="186" t="e">
        <f t="array" ref="Z311">IF(E311="","",SUMPRODUCT(T311:V311,TRANSPOSE($V$4:$V$6)))</f>
        <v>#REF!</v>
      </c>
      <c r="AA311" s="109"/>
      <c r="AB311" s="91"/>
      <c r="AC311" s="91"/>
      <c r="AD311" s="91"/>
      <c r="AE311" s="91"/>
      <c r="AF311" s="91"/>
      <c r="AG311" s="91"/>
      <c r="AH311" s="91"/>
      <c r="AI311" s="96"/>
      <c r="AJ311" s="91"/>
      <c r="AK311" s="91"/>
      <c r="AL311" s="91"/>
      <c r="AM311" s="91"/>
      <c r="AN311" s="91"/>
      <c r="AO311" s="91"/>
      <c r="AP311" s="91"/>
      <c r="AQ311" s="91"/>
      <c r="AR311" s="91"/>
      <c r="AS311" s="91"/>
      <c r="AT311" s="91"/>
      <c r="AU311" s="110"/>
      <c r="AV311" s="85" t="e">
        <f t="shared" si="12"/>
        <v>#REF!</v>
      </c>
      <c r="AW311" s="85" t="e">
        <f t="shared" si="12"/>
        <v>#REF!</v>
      </c>
      <c r="AX311" s="85" t="e">
        <f t="shared" si="12"/>
        <v>#REF!</v>
      </c>
      <c r="BB311" s="85" t="s">
        <v>250</v>
      </c>
    </row>
    <row r="312" spans="1:54" ht="15.75" x14ac:dyDescent="0.2">
      <c r="A312" s="111" t="e">
        <f t="shared" si="14"/>
        <v>#REF!</v>
      </c>
      <c r="B312" s="88" t="e">
        <f>IF(OR(#REF!="",#REF!=0,#REF!=#REF!),"",#REF!)</f>
        <v>#REF!</v>
      </c>
      <c r="C312" s="107" t="e">
        <f t="shared" si="13"/>
        <v>#REF!</v>
      </c>
      <c r="D312" s="88" t="e">
        <f>IF(OR(#REF!="",#REF!=0,#REF!=#REF!),"",#REF!)</f>
        <v>#REF!</v>
      </c>
      <c r="E312" s="88" t="e">
        <f>IF($D312="","",#REF!)</f>
        <v>#REF!</v>
      </c>
      <c r="F312" s="91"/>
      <c r="G312" s="91"/>
      <c r="H312" s="91"/>
      <c r="I312" s="91"/>
      <c r="J312" s="91"/>
      <c r="K312" s="91"/>
      <c r="L312" s="91"/>
      <c r="M312" s="91"/>
      <c r="N312" s="91"/>
      <c r="O312" s="91"/>
      <c r="P312" s="91"/>
      <c r="Q312" s="91"/>
      <c r="R312" s="91"/>
      <c r="S312" s="91"/>
      <c r="T312" s="109"/>
      <c r="U312" s="109"/>
      <c r="V312" s="109"/>
      <c r="W312" s="91"/>
      <c r="X312" s="91"/>
      <c r="Y312" s="91"/>
      <c r="Z312" s="186" t="e">
        <f t="array" ref="Z312">IF(E312="","",SUMPRODUCT(T312:V312,TRANSPOSE($V$4:$V$6)))</f>
        <v>#REF!</v>
      </c>
      <c r="AA312" s="109"/>
      <c r="AB312" s="91"/>
      <c r="AC312" s="91"/>
      <c r="AD312" s="91"/>
      <c r="AE312" s="91"/>
      <c r="AF312" s="91"/>
      <c r="AG312" s="91"/>
      <c r="AH312" s="91"/>
      <c r="AI312" s="96"/>
      <c r="AJ312" s="91"/>
      <c r="AK312" s="91"/>
      <c r="AL312" s="91"/>
      <c r="AM312" s="91"/>
      <c r="AN312" s="91"/>
      <c r="AO312" s="91"/>
      <c r="AP312" s="91"/>
      <c r="AQ312" s="91"/>
      <c r="AR312" s="91"/>
      <c r="AS312" s="91"/>
      <c r="AT312" s="91"/>
      <c r="AU312" s="110"/>
      <c r="AV312" s="85" t="e">
        <f t="shared" si="12"/>
        <v>#REF!</v>
      </c>
      <c r="AW312" s="85" t="e">
        <f t="shared" si="12"/>
        <v>#REF!</v>
      </c>
      <c r="AX312" s="85" t="e">
        <f t="shared" si="12"/>
        <v>#REF!</v>
      </c>
      <c r="BB312" s="85" t="s">
        <v>250</v>
      </c>
    </row>
    <row r="313" spans="1:54" ht="15.75" x14ac:dyDescent="0.2">
      <c r="A313" s="111" t="e">
        <f t="shared" si="14"/>
        <v>#REF!</v>
      </c>
      <c r="B313" s="88" t="e">
        <f>IF(OR(#REF!="",#REF!=0,#REF!=#REF!),"",#REF!)</f>
        <v>#REF!</v>
      </c>
      <c r="C313" s="107" t="e">
        <f t="shared" si="13"/>
        <v>#REF!</v>
      </c>
      <c r="D313" s="88" t="e">
        <f>IF(OR(#REF!="",#REF!=0,#REF!=#REF!),"",#REF!)</f>
        <v>#REF!</v>
      </c>
      <c r="E313" s="88" t="e">
        <f>IF($D313="","",#REF!)</f>
        <v>#REF!</v>
      </c>
      <c r="F313" s="91"/>
      <c r="G313" s="91"/>
      <c r="H313" s="91"/>
      <c r="I313" s="91"/>
      <c r="J313" s="91"/>
      <c r="K313" s="91"/>
      <c r="L313" s="91"/>
      <c r="M313" s="91"/>
      <c r="N313" s="91"/>
      <c r="O313" s="91"/>
      <c r="P313" s="91"/>
      <c r="Q313" s="91"/>
      <c r="R313" s="91"/>
      <c r="S313" s="91"/>
      <c r="T313" s="109"/>
      <c r="U313" s="109"/>
      <c r="V313" s="109"/>
      <c r="W313" s="91"/>
      <c r="X313" s="91"/>
      <c r="Y313" s="91"/>
      <c r="Z313" s="186" t="e">
        <f t="array" ref="Z313">IF(E313="","",SUMPRODUCT(T313:V313,TRANSPOSE($V$4:$V$6)))</f>
        <v>#REF!</v>
      </c>
      <c r="AA313" s="109"/>
      <c r="AB313" s="91"/>
      <c r="AC313" s="91"/>
      <c r="AD313" s="91"/>
      <c r="AE313" s="91"/>
      <c r="AF313" s="91"/>
      <c r="AG313" s="91"/>
      <c r="AH313" s="91"/>
      <c r="AI313" s="96"/>
      <c r="AJ313" s="91"/>
      <c r="AK313" s="91"/>
      <c r="AL313" s="91"/>
      <c r="AM313" s="91"/>
      <c r="AN313" s="91"/>
      <c r="AO313" s="91"/>
      <c r="AP313" s="91"/>
      <c r="AQ313" s="91"/>
      <c r="AR313" s="91"/>
      <c r="AS313" s="91"/>
      <c r="AT313" s="91"/>
      <c r="AU313" s="110"/>
      <c r="AV313" s="85" t="e">
        <f t="shared" si="12"/>
        <v>#REF!</v>
      </c>
      <c r="AW313" s="85" t="e">
        <f t="shared" si="12"/>
        <v>#REF!</v>
      </c>
      <c r="AX313" s="85" t="e">
        <f t="shared" si="12"/>
        <v>#REF!</v>
      </c>
      <c r="BB313" s="85" t="s">
        <v>250</v>
      </c>
    </row>
    <row r="314" spans="1:54" ht="15.75" x14ac:dyDescent="0.2">
      <c r="A314" s="111" t="e">
        <f t="shared" si="14"/>
        <v>#REF!</v>
      </c>
      <c r="B314" s="88" t="e">
        <f>IF(OR(#REF!="",#REF!=0,#REF!=#REF!),"",#REF!)</f>
        <v>#REF!</v>
      </c>
      <c r="C314" s="107" t="e">
        <f t="shared" si="13"/>
        <v>#REF!</v>
      </c>
      <c r="D314" s="88" t="e">
        <f>IF(OR(#REF!="",#REF!=0,#REF!=#REF!),"",#REF!)</f>
        <v>#REF!</v>
      </c>
      <c r="E314" s="88" t="e">
        <f>IF($D314="","",#REF!)</f>
        <v>#REF!</v>
      </c>
      <c r="F314" s="91"/>
      <c r="G314" s="91"/>
      <c r="H314" s="91"/>
      <c r="I314" s="91"/>
      <c r="J314" s="91"/>
      <c r="K314" s="91"/>
      <c r="L314" s="91"/>
      <c r="M314" s="91"/>
      <c r="N314" s="91"/>
      <c r="O314" s="91"/>
      <c r="P314" s="91"/>
      <c r="Q314" s="91"/>
      <c r="R314" s="91"/>
      <c r="S314" s="91"/>
      <c r="T314" s="109"/>
      <c r="U314" s="109"/>
      <c r="V314" s="109"/>
      <c r="W314" s="91"/>
      <c r="X314" s="91"/>
      <c r="Y314" s="91"/>
      <c r="Z314" s="186" t="e">
        <f t="array" ref="Z314">IF(E314="","",SUMPRODUCT(T314:V314,TRANSPOSE($V$4:$V$6)))</f>
        <v>#REF!</v>
      </c>
      <c r="AA314" s="109"/>
      <c r="AB314" s="91"/>
      <c r="AC314" s="91"/>
      <c r="AD314" s="91"/>
      <c r="AE314" s="91"/>
      <c r="AF314" s="91"/>
      <c r="AG314" s="91"/>
      <c r="AH314" s="91"/>
      <c r="AI314" s="96"/>
      <c r="AJ314" s="91"/>
      <c r="AK314" s="91"/>
      <c r="AL314" s="91"/>
      <c r="AM314" s="91"/>
      <c r="AN314" s="91"/>
      <c r="AO314" s="91"/>
      <c r="AP314" s="91"/>
      <c r="AQ314" s="91"/>
      <c r="AR314" s="91"/>
      <c r="AS314" s="91"/>
      <c r="AT314" s="91"/>
      <c r="AU314" s="110"/>
      <c r="AV314" s="85" t="e">
        <f t="shared" si="12"/>
        <v>#REF!</v>
      </c>
      <c r="AW314" s="85" t="e">
        <f t="shared" si="12"/>
        <v>#REF!</v>
      </c>
      <c r="AX314" s="85" t="e">
        <f t="shared" si="12"/>
        <v>#REF!</v>
      </c>
      <c r="BB314" s="85" t="s">
        <v>250</v>
      </c>
    </row>
    <row r="315" spans="1:54" ht="15.75" x14ac:dyDescent="0.2">
      <c r="A315" s="111" t="e">
        <f t="shared" si="14"/>
        <v>#REF!</v>
      </c>
      <c r="B315" s="88" t="e">
        <f>IF(OR(#REF!="",#REF!=0,#REF!=#REF!),"",#REF!)</f>
        <v>#REF!</v>
      </c>
      <c r="C315" s="107" t="e">
        <f t="shared" si="13"/>
        <v>#REF!</v>
      </c>
      <c r="D315" s="88" t="e">
        <f>IF(OR(#REF!="",#REF!=0,#REF!=#REF!),"",#REF!)</f>
        <v>#REF!</v>
      </c>
      <c r="E315" s="88" t="e">
        <f>IF($D315="","",#REF!)</f>
        <v>#REF!</v>
      </c>
      <c r="F315" s="91"/>
      <c r="G315" s="91"/>
      <c r="H315" s="91"/>
      <c r="I315" s="91"/>
      <c r="J315" s="91"/>
      <c r="K315" s="91"/>
      <c r="L315" s="91"/>
      <c r="M315" s="91"/>
      <c r="N315" s="91"/>
      <c r="O315" s="91"/>
      <c r="P315" s="91"/>
      <c r="Q315" s="91"/>
      <c r="R315" s="91"/>
      <c r="S315" s="91"/>
      <c r="T315" s="109"/>
      <c r="U315" s="109"/>
      <c r="V315" s="109"/>
      <c r="W315" s="91"/>
      <c r="X315" s="91"/>
      <c r="Y315" s="91"/>
      <c r="Z315" s="186" t="e">
        <f t="array" ref="Z315">IF(E315="","",SUMPRODUCT(T315:V315,TRANSPOSE($V$4:$V$6)))</f>
        <v>#REF!</v>
      </c>
      <c r="AA315" s="109"/>
      <c r="AB315" s="91"/>
      <c r="AC315" s="91"/>
      <c r="AD315" s="91"/>
      <c r="AE315" s="91"/>
      <c r="AF315" s="91"/>
      <c r="AG315" s="91"/>
      <c r="AH315" s="91"/>
      <c r="AI315" s="96"/>
      <c r="AJ315" s="91"/>
      <c r="AK315" s="91"/>
      <c r="AL315" s="91"/>
      <c r="AM315" s="91"/>
      <c r="AN315" s="91"/>
      <c r="AO315" s="91"/>
      <c r="AP315" s="91"/>
      <c r="AQ315" s="91"/>
      <c r="AR315" s="91"/>
      <c r="AS315" s="91"/>
      <c r="AT315" s="91"/>
      <c r="AU315" s="110"/>
      <c r="AV315" s="85" t="e">
        <f t="shared" si="12"/>
        <v>#REF!</v>
      </c>
      <c r="AW315" s="85" t="e">
        <f t="shared" si="12"/>
        <v>#REF!</v>
      </c>
      <c r="AX315" s="85" t="e">
        <f t="shared" si="12"/>
        <v>#REF!</v>
      </c>
      <c r="BB315" s="85" t="s">
        <v>250</v>
      </c>
    </row>
    <row r="316" spans="1:54" ht="15.75" x14ac:dyDescent="0.2">
      <c r="A316" s="111" t="e">
        <f t="shared" si="14"/>
        <v>#REF!</v>
      </c>
      <c r="B316" s="88" t="e">
        <f>IF(OR(#REF!="",#REF!=0,#REF!=#REF!),"",#REF!)</f>
        <v>#REF!</v>
      </c>
      <c r="C316" s="107" t="e">
        <f t="shared" si="13"/>
        <v>#REF!</v>
      </c>
      <c r="D316" s="88" t="e">
        <f>IF(OR(#REF!="",#REF!=0,#REF!=#REF!),"",#REF!)</f>
        <v>#REF!</v>
      </c>
      <c r="E316" s="88" t="e">
        <f>IF($D316="","",#REF!)</f>
        <v>#REF!</v>
      </c>
      <c r="F316" s="91"/>
      <c r="G316" s="91"/>
      <c r="H316" s="91"/>
      <c r="I316" s="91"/>
      <c r="J316" s="91"/>
      <c r="K316" s="91"/>
      <c r="L316" s="91"/>
      <c r="M316" s="91"/>
      <c r="N316" s="91"/>
      <c r="O316" s="91"/>
      <c r="P316" s="91"/>
      <c r="Q316" s="91"/>
      <c r="R316" s="91"/>
      <c r="S316" s="91"/>
      <c r="T316" s="109"/>
      <c r="U316" s="109"/>
      <c r="V316" s="109"/>
      <c r="W316" s="91"/>
      <c r="X316" s="91"/>
      <c r="Y316" s="91"/>
      <c r="Z316" s="186" t="e">
        <f t="array" ref="Z316">IF(E316="","",SUMPRODUCT(T316:V316,TRANSPOSE($V$4:$V$6)))</f>
        <v>#REF!</v>
      </c>
      <c r="AA316" s="109"/>
      <c r="AB316" s="91"/>
      <c r="AC316" s="91"/>
      <c r="AD316" s="91"/>
      <c r="AE316" s="91"/>
      <c r="AF316" s="91"/>
      <c r="AG316" s="91"/>
      <c r="AH316" s="91"/>
      <c r="AI316" s="117"/>
      <c r="AJ316" s="91"/>
      <c r="AK316" s="91"/>
      <c r="AL316" s="91"/>
      <c r="AM316" s="91"/>
      <c r="AN316" s="91"/>
      <c r="AO316" s="91"/>
      <c r="AP316" s="91"/>
      <c r="AQ316" s="91"/>
      <c r="AR316" s="91"/>
      <c r="AS316" s="91"/>
      <c r="AT316" s="91"/>
      <c r="AU316" s="110"/>
      <c r="AV316" s="85" t="e">
        <f t="shared" si="12"/>
        <v>#REF!</v>
      </c>
      <c r="AW316" s="85" t="e">
        <f t="shared" si="12"/>
        <v>#REF!</v>
      </c>
      <c r="AX316" s="85" t="e">
        <f t="shared" si="12"/>
        <v>#REF!</v>
      </c>
      <c r="BB316" s="85" t="s">
        <v>250</v>
      </c>
    </row>
    <row r="317" spans="1:54" ht="15.75" x14ac:dyDescent="0.2">
      <c r="A317" s="111" t="e">
        <f t="shared" si="14"/>
        <v>#REF!</v>
      </c>
      <c r="B317" s="88" t="e">
        <f>IF(OR(#REF!="",#REF!=0,#REF!=#REF!),"",#REF!)</f>
        <v>#REF!</v>
      </c>
      <c r="C317" s="107" t="e">
        <f t="shared" si="13"/>
        <v>#REF!</v>
      </c>
      <c r="D317" s="88" t="e">
        <f>IF(OR(#REF!="",#REF!=0,#REF!=#REF!),"",#REF!)</f>
        <v>#REF!</v>
      </c>
      <c r="E317" s="88" t="e">
        <f>IF($D317="","",#REF!)</f>
        <v>#REF!</v>
      </c>
      <c r="F317" s="91"/>
      <c r="G317" s="91"/>
      <c r="H317" s="91"/>
      <c r="I317" s="91"/>
      <c r="J317" s="91"/>
      <c r="K317" s="91"/>
      <c r="L317" s="91"/>
      <c r="M317" s="91"/>
      <c r="N317" s="91"/>
      <c r="O317" s="91"/>
      <c r="P317" s="91"/>
      <c r="Q317" s="91"/>
      <c r="R317" s="91"/>
      <c r="S317" s="91"/>
      <c r="T317" s="109"/>
      <c r="U317" s="109"/>
      <c r="V317" s="109"/>
      <c r="W317" s="91"/>
      <c r="X317" s="91"/>
      <c r="Y317" s="91"/>
      <c r="Z317" s="186" t="e">
        <f t="array" ref="Z317">IF(E317="","",SUMPRODUCT(T317:V317,TRANSPOSE($V$4:$V$6)))</f>
        <v>#REF!</v>
      </c>
      <c r="AA317" s="109"/>
      <c r="AB317" s="91"/>
      <c r="AC317" s="91"/>
      <c r="AD317" s="91"/>
      <c r="AE317" s="91"/>
      <c r="AF317" s="91"/>
      <c r="AG317" s="91"/>
      <c r="AH317" s="91"/>
      <c r="AI317" s="117"/>
      <c r="AJ317" s="91"/>
      <c r="AK317" s="91"/>
      <c r="AL317" s="91"/>
      <c r="AM317" s="91"/>
      <c r="AN317" s="91"/>
      <c r="AO317" s="91"/>
      <c r="AP317" s="91"/>
      <c r="AQ317" s="91"/>
      <c r="AR317" s="91"/>
      <c r="AS317" s="91"/>
      <c r="AT317" s="91"/>
      <c r="AU317" s="110"/>
      <c r="AV317" s="85" t="e">
        <f t="shared" si="12"/>
        <v>#REF!</v>
      </c>
      <c r="AW317" s="85" t="e">
        <f t="shared" si="12"/>
        <v>#REF!</v>
      </c>
      <c r="AX317" s="85" t="e">
        <f t="shared" si="12"/>
        <v>#REF!</v>
      </c>
      <c r="BB317" s="85" t="s">
        <v>250</v>
      </c>
    </row>
    <row r="318" spans="1:54" ht="15.75" x14ac:dyDescent="0.2">
      <c r="A318" s="111" t="e">
        <f t="shared" si="14"/>
        <v>#REF!</v>
      </c>
      <c r="B318" s="88" t="e">
        <f>IF(OR(#REF!="",#REF!=0,#REF!=#REF!),"",#REF!)</f>
        <v>#REF!</v>
      </c>
      <c r="C318" s="107" t="e">
        <f t="shared" si="13"/>
        <v>#REF!</v>
      </c>
      <c r="D318" s="88" t="e">
        <f>IF(OR(#REF!="",#REF!=0,#REF!=#REF!),"",#REF!)</f>
        <v>#REF!</v>
      </c>
      <c r="E318" s="88" t="e">
        <f>IF($D318="","",#REF!)</f>
        <v>#REF!</v>
      </c>
      <c r="F318" s="91"/>
      <c r="G318" s="91"/>
      <c r="H318" s="91"/>
      <c r="I318" s="91"/>
      <c r="J318" s="91"/>
      <c r="K318" s="91"/>
      <c r="L318" s="91"/>
      <c r="M318" s="91"/>
      <c r="N318" s="91"/>
      <c r="O318" s="91"/>
      <c r="P318" s="91"/>
      <c r="Q318" s="91"/>
      <c r="R318" s="91"/>
      <c r="S318" s="91"/>
      <c r="T318" s="109"/>
      <c r="U318" s="109"/>
      <c r="V318" s="109"/>
      <c r="W318" s="91"/>
      <c r="X318" s="91"/>
      <c r="Y318" s="91"/>
      <c r="Z318" s="186" t="e">
        <f t="array" ref="Z318">IF(E318="","",SUMPRODUCT(T318:V318,TRANSPOSE($V$4:$V$6)))</f>
        <v>#REF!</v>
      </c>
      <c r="AA318" s="109"/>
      <c r="AB318" s="91"/>
      <c r="AC318" s="91"/>
      <c r="AD318" s="91"/>
      <c r="AE318" s="91"/>
      <c r="AF318" s="91"/>
      <c r="AG318" s="91"/>
      <c r="AH318" s="91"/>
      <c r="AI318" s="117"/>
      <c r="AJ318" s="91"/>
      <c r="AK318" s="91"/>
      <c r="AL318" s="91"/>
      <c r="AM318" s="91"/>
      <c r="AN318" s="91"/>
      <c r="AO318" s="91"/>
      <c r="AP318" s="91"/>
      <c r="AQ318" s="91"/>
      <c r="AR318" s="91"/>
      <c r="AS318" s="91"/>
      <c r="AT318" s="91"/>
      <c r="AU318" s="110"/>
      <c r="AV318" s="85" t="e">
        <f t="shared" si="12"/>
        <v>#REF!</v>
      </c>
      <c r="AW318" s="85" t="e">
        <f t="shared" si="12"/>
        <v>#REF!</v>
      </c>
      <c r="AX318" s="85" t="e">
        <f t="shared" si="12"/>
        <v>#REF!</v>
      </c>
      <c r="BB318" s="85" t="s">
        <v>250</v>
      </c>
    </row>
  </sheetData>
  <sheetProtection formatColumns="0" formatRows="0" autoFilter="0"/>
  <customSheetViews>
    <customSheetView guid="{6D219446-F28D-45D5-B49F-7CFEDCEF42B5}" scale="85" hiddenRows="1" hiddenColumns="1" topLeftCell="B1">
      <pane xSplit="4" ySplit="20" topLeftCell="U111" activePane="bottomRight" state="frozen"/>
      <selection pane="bottomRight" activeCell="AH140" sqref="AH140"/>
      <pageMargins left="0.7" right="0.7" top="0.75" bottom="0.75" header="0.3" footer="0.3"/>
      <pageSetup paperSize="9" orientation="portrait" r:id="rId1"/>
    </customSheetView>
    <customSheetView guid="{82A1F10D-6026-46B8-AE8B-529469938F0C}" scale="85" hiddenRows="1" hiddenColumns="1" topLeftCell="B1">
      <pane xSplit="4" ySplit="20" topLeftCell="T157" activePane="bottomRight" state="frozen"/>
      <selection pane="bottomRight" activeCell="AE183" sqref="AE183"/>
      <pageMargins left="0.7" right="0.7" top="0.75" bottom="0.75" header="0.3" footer="0.3"/>
      <pageSetup paperSize="9" orientation="portrait" r:id="rId2"/>
    </customSheetView>
    <customSheetView guid="{469C741C-1099-4615-BDAA-CB5CEB586B7F}" scale="85" hiddenRows="1" hiddenColumns="1" topLeftCell="B1">
      <pane xSplit="4" ySplit="20" topLeftCell="O21" activePane="bottomRight" state="frozen"/>
      <selection pane="bottomRight" activeCell="X61" sqref="X61"/>
      <pageMargins left="0.7" right="0.7" top="0.75" bottom="0.75" header="0.3" footer="0.3"/>
      <pageSetup paperSize="9" orientation="portrait" r:id="rId3"/>
    </customSheetView>
    <customSheetView guid="{E5C54765-25B5-4899-A8B4-DC3948A535C4}" scale="85" hiddenRows="1" hiddenColumns="1" topLeftCell="B1">
      <pane xSplit="4" ySplit="20" topLeftCell="F45" activePane="bottomRight" state="frozen"/>
      <selection pane="bottomRight" activeCell="F50" sqref="F50"/>
      <pageMargins left="0.7" right="0.7" top="0.75" bottom="0.75" header="0.3" footer="0.3"/>
      <pageSetup paperSize="9" orientation="portrait" r:id="rId4"/>
    </customSheetView>
    <customSheetView guid="{1FEE78FD-9218-4F4F-A3E9-FCAC81CA362B}" scale="85" hiddenRows="1" hiddenColumns="1" topLeftCell="B1">
      <pane xSplit="4" ySplit="20" topLeftCell="U177" activePane="bottomRight" state="frozen"/>
      <selection pane="bottomRight" activeCell="AH189" sqref="AH189"/>
      <pageMargins left="0.7" right="0.7" top="0.75" bottom="0.75" header="0.3" footer="0.3"/>
      <pageSetup paperSize="9" orientation="portrait" r:id="rId5"/>
    </customSheetView>
  </customSheetViews>
  <mergeCells count="6">
    <mergeCell ref="A15:B15"/>
    <mergeCell ref="AU16:AU18"/>
    <mergeCell ref="T2:T3"/>
    <mergeCell ref="U2:U3"/>
    <mergeCell ref="V2:V3"/>
    <mergeCell ref="C15:D15"/>
  </mergeCells>
  <conditionalFormatting sqref="AI150:AJ178 F99 F44:F46 F85:F97 F218 F121:F127 F26:F32 F115:F116 F73:F83 F23:F24 F209:F216 F229 F34:F38 F101:F104 F106:F113 F245:F251 F148:F178 AI148:AJ148 AJ265:AJ318 AI265:AI315 F265:F318 F64:F69 F231:F233 F180 F239:F243 F40:F42 F140:F146 F71 F235:F237 F222:F227 F253:F263 F182:F207 F220 F129:F138 F48:F61 AB48:AI48 AB129:AJ138 AB220:AJ220 AB182:AJ207 AB253:AJ263 AB222:AJ227 AB235:AJ237 AB71:AJ71 AB140:AJ146 AB40:AJ42 AB239:AJ243 AB180:AJ180 AB231:AJ233 AB64:AJ69 AB265:AH318 AB148:AH178 AB245:AJ251 AB106:AJ113 AB101:AJ104 AB34:AJ38 AB229:AJ229 AB209:AJ216 AB23:AJ24 AB73:AJ83 AB115:AJ116 AB49:AJ61 AB26:AJ32 AB121:AJ127 AB218:AJ218 AB85:AJ97 AB44:AJ46 AB99:AJ99 F19:F21 W19:Y21 W48:Y61 W129:Y138 W220:Y220 W182:Y207 W253:Y263 W222:Y227 W235:Y237 W71:Y71 W140:Y146 W40:Y42 W239:Y243 W180:Y180 W231:Y233 W64:Y69 W265:Y318 W148:Y178 W245:Y251 W106:Y113 W101:Y104 W34:Y38 W229:Y229 W209:Y216 W23:Y24 W73:Y83 W115:Y116 W26:Y32 W121:Y127 W218:Y218 W85:Y97 W44:Y46 W99:Y99 AB19:AJ21">
    <cfRule type="expression" dxfId="238" priority="240">
      <formula>$E19&lt;&gt;""</formula>
    </cfRule>
  </conditionalFormatting>
  <conditionalFormatting sqref="A19">
    <cfRule type="containsBlanks" dxfId="237" priority="238">
      <formula>LEN(TRIM(A19))=0</formula>
    </cfRule>
  </conditionalFormatting>
  <conditionalFormatting sqref="A20:A318">
    <cfRule type="containsBlanks" dxfId="236" priority="237">
      <formula>LEN(TRIM(A20))=0</formula>
    </cfRule>
  </conditionalFormatting>
  <conditionalFormatting sqref="E19:E318">
    <cfRule type="containsBlanks" dxfId="235" priority="235">
      <formula>LEN(TRIM(E19))=0</formula>
    </cfRule>
  </conditionalFormatting>
  <conditionalFormatting sqref="AK19:AT21 AK99:AT99 AK44:AT46 AK85:AT97 AK218:AT218 AK121:AT127 AK26:AT32 AK48:AT61 AK115:AT116 AK73:AT83 AK23:AT24 AK209:AT216 AK229:AT229 AK34:AT38 AK101:AT104 AK106:AT113 AK245:AT251 AK148:AT178 AK265:AT318 AK64:AT69 AK231:AT233 AK180:AT180 AK239:AT243 AK40:AT42 AK140:AT146 AK71:AT71 AK235:AT237 AK222:AT227 AK253:AT263 AK182:AT207 AK220:AT220 AK129:AT138">
    <cfRule type="expression" dxfId="234" priority="233">
      <formula>$E19&lt;&gt;""</formula>
    </cfRule>
  </conditionalFormatting>
  <conditionalFormatting sqref="C19:C318">
    <cfRule type="expression" dxfId="233" priority="232">
      <formula>$E19&lt;&gt;""</formula>
    </cfRule>
  </conditionalFormatting>
  <conditionalFormatting sqref="AU19:AU318">
    <cfRule type="expression" dxfId="232" priority="231">
      <formula>$E19&lt;&gt;""</formula>
    </cfRule>
  </conditionalFormatting>
  <conditionalFormatting sqref="D126">
    <cfRule type="expression" dxfId="231" priority="228">
      <formula>$D126&lt;&gt;""</formula>
    </cfRule>
  </conditionalFormatting>
  <conditionalFormatting sqref="D187">
    <cfRule type="expression" dxfId="230" priority="226">
      <formula>$D187&lt;&gt;""</formula>
    </cfRule>
  </conditionalFormatting>
  <conditionalFormatting sqref="AI149:AJ149">
    <cfRule type="expression" dxfId="229" priority="225">
      <formula>$E149&lt;&gt;""</formula>
    </cfRule>
  </conditionalFormatting>
  <conditionalFormatting sqref="E21">
    <cfRule type="containsBlanks" dxfId="228" priority="224">
      <formula>LEN(TRIM(E21))=0</formula>
    </cfRule>
  </conditionalFormatting>
  <conditionalFormatting sqref="E22">
    <cfRule type="containsBlanks" dxfId="227" priority="223">
      <formula>LEN(TRIM(E22))=0</formula>
    </cfRule>
  </conditionalFormatting>
  <conditionalFormatting sqref="E23">
    <cfRule type="containsBlanks" dxfId="226" priority="222">
      <formula>LEN(TRIM(E23))=0</formula>
    </cfRule>
  </conditionalFormatting>
  <conditionalFormatting sqref="E24">
    <cfRule type="containsBlanks" dxfId="225" priority="221">
      <formula>LEN(TRIM(E24))=0</formula>
    </cfRule>
  </conditionalFormatting>
  <conditionalFormatting sqref="E25:E182 E185:E189">
    <cfRule type="containsBlanks" dxfId="224" priority="220">
      <formula>LEN(TRIM(E25))=0</formula>
    </cfRule>
  </conditionalFormatting>
  <conditionalFormatting sqref="E19:E318">
    <cfRule type="containsBlanks" dxfId="223" priority="219">
      <formula>LEN(TRIM(E19))=0</formula>
    </cfRule>
  </conditionalFormatting>
  <conditionalFormatting sqref="E19:E318">
    <cfRule type="containsBlanks" dxfId="222" priority="218">
      <formula>LEN(TRIM(E19))=0</formula>
    </cfRule>
  </conditionalFormatting>
  <conditionalFormatting sqref="D250">
    <cfRule type="containsBlanks" dxfId="221" priority="217">
      <formula>LEN(TRIM(D250))=0</formula>
    </cfRule>
  </conditionalFormatting>
  <conditionalFormatting sqref="D250">
    <cfRule type="containsBlanks" dxfId="220" priority="216">
      <formula>LEN(TRIM(D250))=0</formula>
    </cfRule>
  </conditionalFormatting>
  <conditionalFormatting sqref="D250">
    <cfRule type="containsBlanks" dxfId="219" priority="215">
      <formula>LEN(TRIM(D250))=0</formula>
    </cfRule>
  </conditionalFormatting>
  <conditionalFormatting sqref="D251">
    <cfRule type="containsBlanks" dxfId="218" priority="214">
      <formula>LEN(TRIM(D251))=0</formula>
    </cfRule>
  </conditionalFormatting>
  <conditionalFormatting sqref="D251">
    <cfRule type="containsBlanks" dxfId="217" priority="213">
      <formula>LEN(TRIM(D251))=0</formula>
    </cfRule>
  </conditionalFormatting>
  <conditionalFormatting sqref="D251">
    <cfRule type="containsBlanks" dxfId="216" priority="212">
      <formula>LEN(TRIM(D251))=0</formula>
    </cfRule>
  </conditionalFormatting>
  <conditionalFormatting sqref="D19:D318">
    <cfRule type="containsBlanks" dxfId="215" priority="211">
      <formula>LEN(TRIM(D19))=0</formula>
    </cfRule>
  </conditionalFormatting>
  <conditionalFormatting sqref="D19:D318">
    <cfRule type="containsBlanks" dxfId="214" priority="210">
      <formula>LEN(TRIM(D19))=0</formula>
    </cfRule>
  </conditionalFormatting>
  <conditionalFormatting sqref="D19:D318">
    <cfRule type="containsBlanks" dxfId="213" priority="209">
      <formula>LEN(TRIM(D19))=0</formula>
    </cfRule>
  </conditionalFormatting>
  <conditionalFormatting sqref="F98 AB98:AJ98 W98:Y98">
    <cfRule type="expression" dxfId="212" priority="194">
      <formula>$E98&lt;&gt;""</formula>
    </cfRule>
  </conditionalFormatting>
  <conditionalFormatting sqref="AK98:AT98">
    <cfRule type="expression" dxfId="211" priority="193">
      <formula>$E98&lt;&gt;""</formula>
    </cfRule>
  </conditionalFormatting>
  <conditionalFormatting sqref="F43 AB43:AJ43 W43:Y43">
    <cfRule type="expression" dxfId="210" priority="192">
      <formula>$E43&lt;&gt;""</formula>
    </cfRule>
  </conditionalFormatting>
  <conditionalFormatting sqref="AK43:AT43">
    <cfRule type="expression" dxfId="209" priority="191">
      <formula>$E43&lt;&gt;""</formula>
    </cfRule>
  </conditionalFormatting>
  <conditionalFormatting sqref="F84 AB84:AJ84 W84:Y84">
    <cfRule type="expression" dxfId="208" priority="190">
      <formula>$E84&lt;&gt;""</formula>
    </cfRule>
  </conditionalFormatting>
  <conditionalFormatting sqref="AK84:AT84">
    <cfRule type="expression" dxfId="207" priority="189">
      <formula>$E84&lt;&gt;""</formula>
    </cfRule>
  </conditionalFormatting>
  <conditionalFormatting sqref="F217 AB217:AJ217 W217:Y217">
    <cfRule type="expression" dxfId="206" priority="188">
      <formula>$E217&lt;&gt;""</formula>
    </cfRule>
  </conditionalFormatting>
  <conditionalFormatting sqref="AK217:AT217">
    <cfRule type="expression" dxfId="205" priority="187">
      <formula>$E217&lt;&gt;""</formula>
    </cfRule>
  </conditionalFormatting>
  <conditionalFormatting sqref="F118 AB118:AJ118 W118:Y118">
    <cfRule type="expression" dxfId="204" priority="186">
      <formula>$E118&lt;&gt;""</formula>
    </cfRule>
  </conditionalFormatting>
  <conditionalFormatting sqref="AK118:AT118">
    <cfRule type="expression" dxfId="203" priority="185">
      <formula>$E118&lt;&gt;""</formula>
    </cfRule>
  </conditionalFormatting>
  <conditionalFormatting sqref="F25 AB25:AJ25 W25:Y25">
    <cfRule type="expression" dxfId="202" priority="184">
      <formula>$E25&lt;&gt;""</formula>
    </cfRule>
  </conditionalFormatting>
  <conditionalFormatting sqref="AK25:AT25">
    <cfRule type="expression" dxfId="201" priority="183">
      <formula>$E25&lt;&gt;""</formula>
    </cfRule>
  </conditionalFormatting>
  <conditionalFormatting sqref="F47 AB47:AJ47 W47:Y47">
    <cfRule type="expression" dxfId="200" priority="182">
      <formula>$E47&lt;&gt;""</formula>
    </cfRule>
  </conditionalFormatting>
  <conditionalFormatting sqref="AK47:AT47">
    <cfRule type="expression" dxfId="199" priority="181">
      <formula>$E47&lt;&gt;""</formula>
    </cfRule>
  </conditionalFormatting>
  <conditionalFormatting sqref="F72 AB72:AJ72 W72:Y72">
    <cfRule type="expression" dxfId="198" priority="178">
      <formula>$E72&lt;&gt;""</formula>
    </cfRule>
  </conditionalFormatting>
  <conditionalFormatting sqref="AK72:AT72">
    <cfRule type="expression" dxfId="197" priority="177">
      <formula>$E72&lt;&gt;""</formula>
    </cfRule>
  </conditionalFormatting>
  <conditionalFormatting sqref="F22 AB22:AJ22 W22:Y22">
    <cfRule type="expression" dxfId="196" priority="176">
      <formula>$E22&lt;&gt;""</formula>
    </cfRule>
  </conditionalFormatting>
  <conditionalFormatting sqref="AK22:AT22">
    <cfRule type="expression" dxfId="195" priority="175">
      <formula>$E22&lt;&gt;""</formula>
    </cfRule>
  </conditionalFormatting>
  <conditionalFormatting sqref="F208 AB208:AJ208 W208:Y208">
    <cfRule type="expression" dxfId="194" priority="174">
      <formula>$E208&lt;&gt;""</formula>
    </cfRule>
  </conditionalFormatting>
  <conditionalFormatting sqref="AK208:AT208">
    <cfRule type="expression" dxfId="193" priority="173">
      <formula>$E208&lt;&gt;""</formula>
    </cfRule>
  </conditionalFormatting>
  <conditionalFormatting sqref="F228 AB228:AJ228 W228:Y228">
    <cfRule type="expression" dxfId="192" priority="172">
      <formula>$E228&lt;&gt;""</formula>
    </cfRule>
  </conditionalFormatting>
  <conditionalFormatting sqref="AK228:AT228">
    <cfRule type="expression" dxfId="191" priority="171">
      <formula>$E228&lt;&gt;""</formula>
    </cfRule>
  </conditionalFormatting>
  <conditionalFormatting sqref="F119 AB119:AJ119 W119:Y119">
    <cfRule type="expression" dxfId="190" priority="170">
      <formula>$E119&lt;&gt;""</formula>
    </cfRule>
  </conditionalFormatting>
  <conditionalFormatting sqref="AK119:AT119">
    <cfRule type="expression" dxfId="189" priority="169">
      <formula>$E119&lt;&gt;""</formula>
    </cfRule>
  </conditionalFormatting>
  <conditionalFormatting sqref="F33 AB33:AJ33 W33:Y33">
    <cfRule type="expression" dxfId="188" priority="168">
      <formula>$E33&lt;&gt;""</formula>
    </cfRule>
  </conditionalFormatting>
  <conditionalFormatting sqref="AK33:AT33">
    <cfRule type="expression" dxfId="187" priority="167">
      <formula>$E33&lt;&gt;""</formula>
    </cfRule>
  </conditionalFormatting>
  <conditionalFormatting sqref="F100 AB100:AJ100 W100:Y100">
    <cfRule type="expression" dxfId="186" priority="166">
      <formula>$E100&lt;&gt;""</formula>
    </cfRule>
  </conditionalFormatting>
  <conditionalFormatting sqref="AK100:AT100">
    <cfRule type="expression" dxfId="185" priority="165">
      <formula>$E100&lt;&gt;""</formula>
    </cfRule>
  </conditionalFormatting>
  <conditionalFormatting sqref="F105 AB105:AJ105 W105:Y105">
    <cfRule type="expression" dxfId="184" priority="164">
      <formula>$E105&lt;&gt;""</formula>
    </cfRule>
  </conditionalFormatting>
  <conditionalFormatting sqref="AK105:AT105">
    <cfRule type="expression" dxfId="183" priority="163">
      <formula>$E105&lt;&gt;""</formula>
    </cfRule>
  </conditionalFormatting>
  <conditionalFormatting sqref="F244 AB244:AJ244 W244:Y244">
    <cfRule type="expression" dxfId="182" priority="162">
      <formula>$E244&lt;&gt;""</formula>
    </cfRule>
  </conditionalFormatting>
  <conditionalFormatting sqref="AK244:AT244">
    <cfRule type="expression" dxfId="181" priority="161">
      <formula>$E244&lt;&gt;""</formula>
    </cfRule>
  </conditionalFormatting>
  <conditionalFormatting sqref="F147 AB147:AJ147 W147:Y147">
    <cfRule type="expression" dxfId="180" priority="160">
      <formula>$E147&lt;&gt;""</formula>
    </cfRule>
  </conditionalFormatting>
  <conditionalFormatting sqref="AK147:AT147">
    <cfRule type="expression" dxfId="179" priority="159">
      <formula>$E147&lt;&gt;""</formula>
    </cfRule>
  </conditionalFormatting>
  <conditionalFormatting sqref="F264 AB264:AJ264 W264:Y264">
    <cfRule type="expression" dxfId="178" priority="158">
      <formula>$E264&lt;&gt;""</formula>
    </cfRule>
  </conditionalFormatting>
  <conditionalFormatting sqref="AK264:AT264">
    <cfRule type="expression" dxfId="177" priority="157">
      <formula>$E264&lt;&gt;""</formula>
    </cfRule>
  </conditionalFormatting>
  <conditionalFormatting sqref="F62 Y62 AB62:AJ62">
    <cfRule type="expression" dxfId="176" priority="156">
      <formula>$E62&lt;&gt;""</formula>
    </cfRule>
  </conditionalFormatting>
  <conditionalFormatting sqref="AK62:AT62">
    <cfRule type="expression" dxfId="175" priority="155">
      <formula>$E62&lt;&gt;""</formula>
    </cfRule>
  </conditionalFormatting>
  <conditionalFormatting sqref="F230 AB230:AJ230 W230:Y230">
    <cfRule type="expression" dxfId="174" priority="154">
      <formula>$E230&lt;&gt;""</formula>
    </cfRule>
  </conditionalFormatting>
  <conditionalFormatting sqref="AK230:AT230">
    <cfRule type="expression" dxfId="173" priority="153">
      <formula>$E230&lt;&gt;""</formula>
    </cfRule>
  </conditionalFormatting>
  <conditionalFormatting sqref="F179 AB179:AJ179 W179:Y179">
    <cfRule type="expression" dxfId="172" priority="152">
      <formula>$E179&lt;&gt;""</formula>
    </cfRule>
  </conditionalFormatting>
  <conditionalFormatting sqref="AK179:AT179">
    <cfRule type="expression" dxfId="171" priority="151">
      <formula>$E179&lt;&gt;""</formula>
    </cfRule>
  </conditionalFormatting>
  <conditionalFormatting sqref="F63 AB63:AJ63 W63:Y63">
    <cfRule type="expression" dxfId="170" priority="150">
      <formula>$E63&lt;&gt;""</formula>
    </cfRule>
  </conditionalFormatting>
  <conditionalFormatting sqref="AK63:AT63">
    <cfRule type="expression" dxfId="169" priority="149">
      <formula>$E63&lt;&gt;""</formula>
    </cfRule>
  </conditionalFormatting>
  <conditionalFormatting sqref="F238 AB238:AJ238 W238:Y238">
    <cfRule type="expression" dxfId="168" priority="148">
      <formula>$E238&lt;&gt;""</formula>
    </cfRule>
  </conditionalFormatting>
  <conditionalFormatting sqref="AK238:AT238">
    <cfRule type="expression" dxfId="167" priority="147">
      <formula>$E238&lt;&gt;""</formula>
    </cfRule>
  </conditionalFormatting>
  <conditionalFormatting sqref="F39 AB39:AJ39 W39:Y39">
    <cfRule type="expression" dxfId="166" priority="146">
      <formula>$E39&lt;&gt;""</formula>
    </cfRule>
  </conditionalFormatting>
  <conditionalFormatting sqref="AK39:AT39">
    <cfRule type="expression" dxfId="165" priority="145">
      <formula>$E39&lt;&gt;""</formula>
    </cfRule>
  </conditionalFormatting>
  <conditionalFormatting sqref="F139 AB139:AJ139 W139:Y139">
    <cfRule type="expression" dxfId="164" priority="144">
      <formula>$E139&lt;&gt;""</formula>
    </cfRule>
  </conditionalFormatting>
  <conditionalFormatting sqref="AK139:AT139">
    <cfRule type="expression" dxfId="163" priority="143">
      <formula>$E139&lt;&gt;""</formula>
    </cfRule>
  </conditionalFormatting>
  <conditionalFormatting sqref="F70 AB70:AJ70 W70:Y70">
    <cfRule type="expression" dxfId="162" priority="142">
      <formula>$E70&lt;&gt;""</formula>
    </cfRule>
  </conditionalFormatting>
  <conditionalFormatting sqref="AK70:AT70">
    <cfRule type="expression" dxfId="161" priority="141">
      <formula>$E70&lt;&gt;""</formula>
    </cfRule>
  </conditionalFormatting>
  <conditionalFormatting sqref="F234 AB234:AJ234 W234:Y234">
    <cfRule type="expression" dxfId="160" priority="140">
      <formula>$E234&lt;&gt;""</formula>
    </cfRule>
  </conditionalFormatting>
  <conditionalFormatting sqref="AK234:AT234">
    <cfRule type="expression" dxfId="159" priority="139">
      <formula>$E234&lt;&gt;""</formula>
    </cfRule>
  </conditionalFormatting>
  <conditionalFormatting sqref="F221 AB221:AJ221 W221:Y221">
    <cfRule type="expression" dxfId="158" priority="138">
      <formula>$E221&lt;&gt;""</formula>
    </cfRule>
  </conditionalFormatting>
  <conditionalFormatting sqref="AK221:AT221">
    <cfRule type="expression" dxfId="157" priority="137">
      <formula>$E221&lt;&gt;""</formula>
    </cfRule>
  </conditionalFormatting>
  <conditionalFormatting sqref="F252 AB252:AJ252 W252:Y252">
    <cfRule type="expression" dxfId="156" priority="136">
      <formula>$E252&lt;&gt;""</formula>
    </cfRule>
  </conditionalFormatting>
  <conditionalFormatting sqref="AK252:AT252">
    <cfRule type="expression" dxfId="155" priority="135">
      <formula>$E252&lt;&gt;""</formula>
    </cfRule>
  </conditionalFormatting>
  <conditionalFormatting sqref="F114 AB114:AJ114 W114:Y114">
    <cfRule type="expression" dxfId="154" priority="134">
      <formula>$E114&lt;&gt;""</formula>
    </cfRule>
  </conditionalFormatting>
  <conditionalFormatting sqref="AK114:AT114">
    <cfRule type="expression" dxfId="153" priority="133">
      <formula>$E114&lt;&gt;""</formula>
    </cfRule>
  </conditionalFormatting>
  <conditionalFormatting sqref="F120 AB120:AJ120 W120:Y120">
    <cfRule type="expression" dxfId="152" priority="132">
      <formula>$E120&lt;&gt;""</formula>
    </cfRule>
  </conditionalFormatting>
  <conditionalFormatting sqref="AK120:AT120">
    <cfRule type="expression" dxfId="151" priority="131">
      <formula>$E120&lt;&gt;""</formula>
    </cfRule>
  </conditionalFormatting>
  <conditionalFormatting sqref="F181 AB181:AJ181 W181:Y181">
    <cfRule type="expression" dxfId="150" priority="130">
      <formula>$E181&lt;&gt;""</formula>
    </cfRule>
  </conditionalFormatting>
  <conditionalFormatting sqref="AK181:AT181">
    <cfRule type="expression" dxfId="149" priority="129">
      <formula>$E181&lt;&gt;""</formula>
    </cfRule>
  </conditionalFormatting>
  <conditionalFormatting sqref="F219 AB219:AJ219 W219:Y219">
    <cfRule type="expression" dxfId="148" priority="128">
      <formula>$E219&lt;&gt;""</formula>
    </cfRule>
  </conditionalFormatting>
  <conditionalFormatting sqref="AK219:AT219">
    <cfRule type="expression" dxfId="147" priority="127">
      <formula>$E219&lt;&gt;""</formula>
    </cfRule>
  </conditionalFormatting>
  <conditionalFormatting sqref="F128 AB128:AJ128 W128:Y128">
    <cfRule type="expression" dxfId="146" priority="126">
      <formula>$E128&lt;&gt;""</formula>
    </cfRule>
  </conditionalFormatting>
  <conditionalFormatting sqref="AK128:AT128">
    <cfRule type="expression" dxfId="145" priority="125">
      <formula>$E128&lt;&gt;""</formula>
    </cfRule>
  </conditionalFormatting>
  <conditionalFormatting sqref="F117 AB117:AJ117 W117:Y117">
    <cfRule type="expression" dxfId="144" priority="124">
      <formula>$E117&lt;&gt;""</formula>
    </cfRule>
  </conditionalFormatting>
  <conditionalFormatting sqref="AK117:AT117">
    <cfRule type="expression" dxfId="143" priority="123">
      <formula>$E117&lt;&gt;""</formula>
    </cfRule>
  </conditionalFormatting>
  <conditionalFormatting sqref="AJ48">
    <cfRule type="expression" dxfId="142" priority="122">
      <formula>$E48&lt;&gt;""</formula>
    </cfRule>
  </conditionalFormatting>
  <conditionalFormatting sqref="W62:X62">
    <cfRule type="expression" dxfId="141" priority="121">
      <formula>$E62&lt;&gt;""</formula>
    </cfRule>
  </conditionalFormatting>
  <conditionalFormatting sqref="U19:U318">
    <cfRule type="expression" dxfId="140" priority="118">
      <formula>$E19&lt;&gt;""</formula>
    </cfRule>
  </conditionalFormatting>
  <conditionalFormatting sqref="V19:V318">
    <cfRule type="expression" dxfId="139" priority="116">
      <formula>$E19&lt;&gt;""</formula>
    </cfRule>
  </conditionalFormatting>
  <conditionalFormatting sqref="T19:T318">
    <cfRule type="expression" dxfId="138" priority="115">
      <formula>$E19&lt;&gt;""</formula>
    </cfRule>
  </conditionalFormatting>
  <conditionalFormatting sqref="AA19:AA318">
    <cfRule type="expression" dxfId="137" priority="112">
      <formula>$E19&lt;&gt;""</formula>
    </cfRule>
  </conditionalFormatting>
  <conditionalFormatting sqref="G99:J99 G44:J46 G85:J97 G218:J218 G121:J127 G26:J32 G115:J116 G73:J83 G23:J24 G209:J216 G229:J229 G34:J38 G101:J104 G106:J113 G245:J251 G148:J178 G265:J318 G64:J69 G231:J233 G180:J180 G239:J243 G40:J42 G140:J146 G71:J71 G235:J237 G222:J227 G253:J263 G182:J207 G220:J220 G129:J138 G48:J61 G19:J21">
    <cfRule type="expression" dxfId="136" priority="111">
      <formula>$E19&lt;&gt;""</formula>
    </cfRule>
  </conditionalFormatting>
  <conditionalFormatting sqref="G98:J98">
    <cfRule type="expression" dxfId="135" priority="110">
      <formula>$E98&lt;&gt;""</formula>
    </cfRule>
  </conditionalFormatting>
  <conditionalFormatting sqref="G43:J43">
    <cfRule type="expression" dxfId="134" priority="109">
      <formula>$E43&lt;&gt;""</formula>
    </cfRule>
  </conditionalFormatting>
  <conditionalFormatting sqref="G84:J84">
    <cfRule type="expression" dxfId="133" priority="108">
      <formula>$E84&lt;&gt;""</formula>
    </cfRule>
  </conditionalFormatting>
  <conditionalFormatting sqref="G217:J217">
    <cfRule type="expression" dxfId="132" priority="107">
      <formula>$E217&lt;&gt;""</formula>
    </cfRule>
  </conditionalFormatting>
  <conditionalFormatting sqref="G118:J118">
    <cfRule type="expression" dxfId="131" priority="106">
      <formula>$E118&lt;&gt;""</formula>
    </cfRule>
  </conditionalFormatting>
  <conditionalFormatting sqref="G25:J25">
    <cfRule type="expression" dxfId="130" priority="105">
      <formula>$E25&lt;&gt;""</formula>
    </cfRule>
  </conditionalFormatting>
  <conditionalFormatting sqref="G47:J47">
    <cfRule type="expression" dxfId="129" priority="104">
      <formula>$E47&lt;&gt;""</formula>
    </cfRule>
  </conditionalFormatting>
  <conditionalFormatting sqref="G72:J72">
    <cfRule type="expression" dxfId="128" priority="103">
      <formula>$E72&lt;&gt;""</formula>
    </cfRule>
  </conditionalFormatting>
  <conditionalFormatting sqref="G22:J22">
    <cfRule type="expression" dxfId="127" priority="102">
      <formula>$E22&lt;&gt;""</formula>
    </cfRule>
  </conditionalFormatting>
  <conditionalFormatting sqref="G208:J208">
    <cfRule type="expression" dxfId="126" priority="101">
      <formula>$E208&lt;&gt;""</formula>
    </cfRule>
  </conditionalFormatting>
  <conditionalFormatting sqref="G228:J228">
    <cfRule type="expression" dxfId="125" priority="100">
      <formula>$E228&lt;&gt;""</formula>
    </cfRule>
  </conditionalFormatting>
  <conditionalFormatting sqref="G119:J119">
    <cfRule type="expression" dxfId="124" priority="99">
      <formula>$E119&lt;&gt;""</formula>
    </cfRule>
  </conditionalFormatting>
  <conditionalFormatting sqref="G33:J33">
    <cfRule type="expression" dxfId="123" priority="98">
      <formula>$E33&lt;&gt;""</formula>
    </cfRule>
  </conditionalFormatting>
  <conditionalFormatting sqref="G100:J100">
    <cfRule type="expression" dxfId="122" priority="97">
      <formula>$E100&lt;&gt;""</formula>
    </cfRule>
  </conditionalFormatting>
  <conditionalFormatting sqref="G105:J105">
    <cfRule type="expression" dxfId="121" priority="96">
      <formula>$E105&lt;&gt;""</formula>
    </cfRule>
  </conditionalFormatting>
  <conditionalFormatting sqref="G244:J244">
    <cfRule type="expression" dxfId="120" priority="95">
      <formula>$E244&lt;&gt;""</formula>
    </cfRule>
  </conditionalFormatting>
  <conditionalFormatting sqref="G147:J147">
    <cfRule type="expression" dxfId="119" priority="94">
      <formula>$E147&lt;&gt;""</formula>
    </cfRule>
  </conditionalFormatting>
  <conditionalFormatting sqref="G264:J264">
    <cfRule type="expression" dxfId="118" priority="93">
      <formula>$E264&lt;&gt;""</formula>
    </cfRule>
  </conditionalFormatting>
  <conditionalFormatting sqref="G62:J62">
    <cfRule type="expression" dxfId="117" priority="92">
      <formula>$E62&lt;&gt;""</formula>
    </cfRule>
  </conditionalFormatting>
  <conditionalFormatting sqref="G230:J230">
    <cfRule type="expression" dxfId="116" priority="91">
      <formula>$E230&lt;&gt;""</formula>
    </cfRule>
  </conditionalFormatting>
  <conditionalFormatting sqref="G179:J179">
    <cfRule type="expression" dxfId="115" priority="90">
      <formula>$E179&lt;&gt;""</formula>
    </cfRule>
  </conditionalFormatting>
  <conditionalFormatting sqref="G63:J63">
    <cfRule type="expression" dxfId="114" priority="89">
      <formula>$E63&lt;&gt;""</formula>
    </cfRule>
  </conditionalFormatting>
  <conditionalFormatting sqref="G238:J238">
    <cfRule type="expression" dxfId="113" priority="88">
      <formula>$E238&lt;&gt;""</formula>
    </cfRule>
  </conditionalFormatting>
  <conditionalFormatting sqref="G39:J39">
    <cfRule type="expression" dxfId="112" priority="87">
      <formula>$E39&lt;&gt;""</formula>
    </cfRule>
  </conditionalFormatting>
  <conditionalFormatting sqref="G139:J139">
    <cfRule type="expression" dxfId="111" priority="86">
      <formula>$E139&lt;&gt;""</formula>
    </cfRule>
  </conditionalFormatting>
  <conditionalFormatting sqref="G70:J70">
    <cfRule type="expression" dxfId="110" priority="85">
      <formula>$E70&lt;&gt;""</formula>
    </cfRule>
  </conditionalFormatting>
  <conditionalFormatting sqref="G234:J234">
    <cfRule type="expression" dxfId="109" priority="84">
      <formula>$E234&lt;&gt;""</formula>
    </cfRule>
  </conditionalFormatting>
  <conditionalFormatting sqref="G221:J221">
    <cfRule type="expression" dxfId="108" priority="83">
      <formula>$E221&lt;&gt;""</formula>
    </cfRule>
  </conditionalFormatting>
  <conditionalFormatting sqref="G252:J252">
    <cfRule type="expression" dxfId="107" priority="82">
      <formula>$E252&lt;&gt;""</formula>
    </cfRule>
  </conditionalFormatting>
  <conditionalFormatting sqref="G114:J114">
    <cfRule type="expression" dxfId="106" priority="81">
      <formula>$E114&lt;&gt;""</formula>
    </cfRule>
  </conditionalFormatting>
  <conditionalFormatting sqref="G120:J120">
    <cfRule type="expression" dxfId="105" priority="80">
      <formula>$E120&lt;&gt;""</formula>
    </cfRule>
  </conditionalFormatting>
  <conditionalFormatting sqref="G181:J181">
    <cfRule type="expression" dxfId="104" priority="79">
      <formula>$E181&lt;&gt;""</formula>
    </cfRule>
  </conditionalFormatting>
  <conditionalFormatting sqref="G219:J219">
    <cfRule type="expression" dxfId="103" priority="78">
      <formula>$E219&lt;&gt;""</formula>
    </cfRule>
  </conditionalFormatting>
  <conditionalFormatting sqref="G128:J128">
    <cfRule type="expression" dxfId="102" priority="77">
      <formula>$E128&lt;&gt;""</formula>
    </cfRule>
  </conditionalFormatting>
  <conditionalFormatting sqref="G117:J117">
    <cfRule type="expression" dxfId="101" priority="76">
      <formula>$E117&lt;&gt;""</formula>
    </cfRule>
  </conditionalFormatting>
  <conditionalFormatting sqref="K99:L99 K44:L46 K85:L97 K218:L218 K121:L127 K26:L32 K115:L116 K73:L83 K23:L24 K209:L216 K229:L229 K34:L38 K101:L104 K106:L113 K245:L251 K148:L178 K265:L318 K64:L69 K231:L233 K180:L180 K239:L243 K40:L42 K140:L146 K71:L71 K235:L237 K222:L227 K253:L263 K182:L207 K220:L220 K129:L138 K48:L61 K19:L21">
    <cfRule type="expression" dxfId="100" priority="75">
      <formula>$E19&lt;&gt;""</formula>
    </cfRule>
  </conditionalFormatting>
  <conditionalFormatting sqref="K98:L98">
    <cfRule type="expression" dxfId="99" priority="74">
      <formula>$E98&lt;&gt;""</formula>
    </cfRule>
  </conditionalFormatting>
  <conditionalFormatting sqref="K43:L43">
    <cfRule type="expression" dxfId="98" priority="73">
      <formula>$E43&lt;&gt;""</formula>
    </cfRule>
  </conditionalFormatting>
  <conditionalFormatting sqref="K84:L84">
    <cfRule type="expression" dxfId="97" priority="72">
      <formula>$E84&lt;&gt;""</formula>
    </cfRule>
  </conditionalFormatting>
  <conditionalFormatting sqref="K217:L217">
    <cfRule type="expression" dxfId="96" priority="71">
      <formula>$E217&lt;&gt;""</formula>
    </cfRule>
  </conditionalFormatting>
  <conditionalFormatting sqref="K118:L118">
    <cfRule type="expression" dxfId="95" priority="70">
      <formula>$E118&lt;&gt;""</formula>
    </cfRule>
  </conditionalFormatting>
  <conditionalFormatting sqref="K25:L25">
    <cfRule type="expression" dxfId="94" priority="69">
      <formula>$E25&lt;&gt;""</formula>
    </cfRule>
  </conditionalFormatting>
  <conditionalFormatting sqref="K47:L47">
    <cfRule type="expression" dxfId="93" priority="68">
      <formula>$E47&lt;&gt;""</formula>
    </cfRule>
  </conditionalFormatting>
  <conditionalFormatting sqref="K72:L72">
    <cfRule type="expression" dxfId="92" priority="67">
      <formula>$E72&lt;&gt;""</formula>
    </cfRule>
  </conditionalFormatting>
  <conditionalFormatting sqref="K22:L22">
    <cfRule type="expression" dxfId="91" priority="66">
      <formula>$E22&lt;&gt;""</formula>
    </cfRule>
  </conditionalFormatting>
  <conditionalFormatting sqref="K208:L208">
    <cfRule type="expression" dxfId="90" priority="65">
      <formula>$E208&lt;&gt;""</formula>
    </cfRule>
  </conditionalFormatting>
  <conditionalFormatting sqref="K228:L228">
    <cfRule type="expression" dxfId="89" priority="64">
      <formula>$E228&lt;&gt;""</formula>
    </cfRule>
  </conditionalFormatting>
  <conditionalFormatting sqref="K119:L119">
    <cfRule type="expression" dxfId="88" priority="63">
      <formula>$E119&lt;&gt;""</formula>
    </cfRule>
  </conditionalFormatting>
  <conditionalFormatting sqref="K33:L33">
    <cfRule type="expression" dxfId="87" priority="62">
      <formula>$E33&lt;&gt;""</formula>
    </cfRule>
  </conditionalFormatting>
  <conditionalFormatting sqref="K100:L100">
    <cfRule type="expression" dxfId="86" priority="61">
      <formula>$E100&lt;&gt;""</formula>
    </cfRule>
  </conditionalFormatting>
  <conditionalFormatting sqref="K105:L105">
    <cfRule type="expression" dxfId="85" priority="60">
      <formula>$E105&lt;&gt;""</formula>
    </cfRule>
  </conditionalFormatting>
  <conditionalFormatting sqref="K244:L244">
    <cfRule type="expression" dxfId="84" priority="59">
      <formula>$E244&lt;&gt;""</formula>
    </cfRule>
  </conditionalFormatting>
  <conditionalFormatting sqref="K147:L147">
    <cfRule type="expression" dxfId="83" priority="58">
      <formula>$E147&lt;&gt;""</formula>
    </cfRule>
  </conditionalFormatting>
  <conditionalFormatting sqref="K264:L264">
    <cfRule type="expression" dxfId="82" priority="57">
      <formula>$E264&lt;&gt;""</formula>
    </cfRule>
  </conditionalFormatting>
  <conditionalFormatting sqref="K62:L62">
    <cfRule type="expression" dxfId="81" priority="56">
      <formula>$E62&lt;&gt;""</formula>
    </cfRule>
  </conditionalFormatting>
  <conditionalFormatting sqref="K230:L230">
    <cfRule type="expression" dxfId="80" priority="55">
      <formula>$E230&lt;&gt;""</formula>
    </cfRule>
  </conditionalFormatting>
  <conditionalFormatting sqref="K179:L179">
    <cfRule type="expression" dxfId="79" priority="54">
      <formula>$E179&lt;&gt;""</formula>
    </cfRule>
  </conditionalFormatting>
  <conditionalFormatting sqref="K63:L63">
    <cfRule type="expression" dxfId="78" priority="53">
      <formula>$E63&lt;&gt;""</formula>
    </cfRule>
  </conditionalFormatting>
  <conditionalFormatting sqref="K238:L238">
    <cfRule type="expression" dxfId="77" priority="52">
      <formula>$E238&lt;&gt;""</formula>
    </cfRule>
  </conditionalFormatting>
  <conditionalFormatting sqref="K39:L39">
    <cfRule type="expression" dxfId="76" priority="51">
      <formula>$E39&lt;&gt;""</formula>
    </cfRule>
  </conditionalFormatting>
  <conditionalFormatting sqref="K139:L139">
    <cfRule type="expression" dxfId="75" priority="50">
      <formula>$E139&lt;&gt;""</formula>
    </cfRule>
  </conditionalFormatting>
  <conditionalFormatting sqref="K70:L70">
    <cfRule type="expression" dxfId="74" priority="49">
      <formula>$E70&lt;&gt;""</formula>
    </cfRule>
  </conditionalFormatting>
  <conditionalFormatting sqref="K234:L234">
    <cfRule type="expression" dxfId="73" priority="48">
      <formula>$E234&lt;&gt;""</formula>
    </cfRule>
  </conditionalFormatting>
  <conditionalFormatting sqref="K221:L221">
    <cfRule type="expression" dxfId="72" priority="47">
      <formula>$E221&lt;&gt;""</formula>
    </cfRule>
  </conditionalFormatting>
  <conditionalFormatting sqref="K252:L252">
    <cfRule type="expression" dxfId="71" priority="46">
      <formula>$E252&lt;&gt;""</formula>
    </cfRule>
  </conditionalFormatting>
  <conditionalFormatting sqref="K114:L114">
    <cfRule type="expression" dxfId="70" priority="45">
      <formula>$E114&lt;&gt;""</formula>
    </cfRule>
  </conditionalFormatting>
  <conditionalFormatting sqref="K120:L120">
    <cfRule type="expression" dxfId="69" priority="44">
      <formula>$E120&lt;&gt;""</formula>
    </cfRule>
  </conditionalFormatting>
  <conditionalFormatting sqref="K181:L181">
    <cfRule type="expression" dxfId="68" priority="43">
      <formula>$E181&lt;&gt;""</formula>
    </cfRule>
  </conditionalFormatting>
  <conditionalFormatting sqref="K219:L219">
    <cfRule type="expression" dxfId="67" priority="42">
      <formula>$E219&lt;&gt;""</formula>
    </cfRule>
  </conditionalFormatting>
  <conditionalFormatting sqref="K128:L128">
    <cfRule type="expression" dxfId="66" priority="41">
      <formula>$E128&lt;&gt;""</formula>
    </cfRule>
  </conditionalFormatting>
  <conditionalFormatting sqref="K117:L117">
    <cfRule type="expression" dxfId="65" priority="40">
      <formula>$E117&lt;&gt;""</formula>
    </cfRule>
  </conditionalFormatting>
  <conditionalFormatting sqref="M99:S99 M44:S46 M85:S97 M218:S218 M121:S127 M26:S32 M115:S116 M73:S83 M23:S24 M209:S216 M229:S229 M34:S38 M101:S104 M106:S113 M245:S251 M148:S178 M265:S318 M64:S69 M231:S233 M180:S180 M239:S243 M40:S42 M140:S146 M71:S71 M235:S237 M222:S227 M253:S263 M182:S207 M220:S220 M129:S138 M48:S61 M19:S21">
    <cfRule type="expression" dxfId="64" priority="39">
      <formula>$E19&lt;&gt;""</formula>
    </cfRule>
  </conditionalFormatting>
  <conditionalFormatting sqref="M98:S98">
    <cfRule type="expression" dxfId="63" priority="38">
      <formula>$E98&lt;&gt;""</formula>
    </cfRule>
  </conditionalFormatting>
  <conditionalFormatting sqref="M43:S43">
    <cfRule type="expression" dxfId="62" priority="37">
      <formula>$E43&lt;&gt;""</formula>
    </cfRule>
  </conditionalFormatting>
  <conditionalFormatting sqref="M84:S84">
    <cfRule type="expression" dxfId="61" priority="36">
      <formula>$E84&lt;&gt;""</formula>
    </cfRule>
  </conditionalFormatting>
  <conditionalFormatting sqref="M217:S217">
    <cfRule type="expression" dxfId="60" priority="35">
      <formula>$E217&lt;&gt;""</formula>
    </cfRule>
  </conditionalFormatting>
  <conditionalFormatting sqref="M118:S118">
    <cfRule type="expression" dxfId="59" priority="34">
      <formula>$E118&lt;&gt;""</formula>
    </cfRule>
  </conditionalFormatting>
  <conditionalFormatting sqref="M25:S25">
    <cfRule type="expression" dxfId="58" priority="33">
      <formula>$E25&lt;&gt;""</formula>
    </cfRule>
  </conditionalFormatting>
  <conditionalFormatting sqref="M47:S47">
    <cfRule type="expression" dxfId="57" priority="32">
      <formula>$E47&lt;&gt;""</formula>
    </cfRule>
  </conditionalFormatting>
  <conditionalFormatting sqref="M72:S72">
    <cfRule type="expression" dxfId="56" priority="31">
      <formula>$E72&lt;&gt;""</formula>
    </cfRule>
  </conditionalFormatting>
  <conditionalFormatting sqref="M22:S22">
    <cfRule type="expression" dxfId="55" priority="30">
      <formula>$E22&lt;&gt;""</formula>
    </cfRule>
  </conditionalFormatting>
  <conditionalFormatting sqref="M208:S208">
    <cfRule type="expression" dxfId="54" priority="29">
      <formula>$E208&lt;&gt;""</formula>
    </cfRule>
  </conditionalFormatting>
  <conditionalFormatting sqref="M228:S228">
    <cfRule type="expression" dxfId="53" priority="28">
      <formula>$E228&lt;&gt;""</formula>
    </cfRule>
  </conditionalFormatting>
  <conditionalFormatting sqref="M119:S119">
    <cfRule type="expression" dxfId="52" priority="27">
      <formula>$E119&lt;&gt;""</formula>
    </cfRule>
  </conditionalFormatting>
  <conditionalFormatting sqref="M33:S33">
    <cfRule type="expression" dxfId="51" priority="26">
      <formula>$E33&lt;&gt;""</formula>
    </cfRule>
  </conditionalFormatting>
  <conditionalFormatting sqref="M100:S100">
    <cfRule type="expression" dxfId="50" priority="25">
      <formula>$E100&lt;&gt;""</formula>
    </cfRule>
  </conditionalFormatting>
  <conditionalFormatting sqref="M105:S105">
    <cfRule type="expression" dxfId="49" priority="24">
      <formula>$E105&lt;&gt;""</formula>
    </cfRule>
  </conditionalFormatting>
  <conditionalFormatting sqref="M244:S244">
    <cfRule type="expression" dxfId="48" priority="23">
      <formula>$E244&lt;&gt;""</formula>
    </cfRule>
  </conditionalFormatting>
  <conditionalFormatting sqref="M147:S147">
    <cfRule type="expression" dxfId="47" priority="22">
      <formula>$E147&lt;&gt;""</formula>
    </cfRule>
  </conditionalFormatting>
  <conditionalFormatting sqref="M264:S264">
    <cfRule type="expression" dxfId="46" priority="21">
      <formula>$E264&lt;&gt;""</formula>
    </cfRule>
  </conditionalFormatting>
  <conditionalFormatting sqref="M62:S62">
    <cfRule type="expression" dxfId="45" priority="20">
      <formula>$E62&lt;&gt;""</formula>
    </cfRule>
  </conditionalFormatting>
  <conditionalFormatting sqref="M230:S230">
    <cfRule type="expression" dxfId="44" priority="19">
      <formula>$E230&lt;&gt;""</formula>
    </cfRule>
  </conditionalFormatting>
  <conditionalFormatting sqref="M179:S179">
    <cfRule type="expression" dxfId="43" priority="18">
      <formula>$E179&lt;&gt;""</formula>
    </cfRule>
  </conditionalFormatting>
  <conditionalFormatting sqref="M63:S63">
    <cfRule type="expression" dxfId="42" priority="17">
      <formula>$E63&lt;&gt;""</formula>
    </cfRule>
  </conditionalFormatting>
  <conditionalFormatting sqref="M238:S238">
    <cfRule type="expression" dxfId="41" priority="16">
      <formula>$E238&lt;&gt;""</formula>
    </cfRule>
  </conditionalFormatting>
  <conditionalFormatting sqref="M39:S39">
    <cfRule type="expression" dxfId="40" priority="15">
      <formula>$E39&lt;&gt;""</formula>
    </cfRule>
  </conditionalFormatting>
  <conditionalFormatting sqref="M139:S139">
    <cfRule type="expression" dxfId="39" priority="14">
      <formula>$E139&lt;&gt;""</formula>
    </cfRule>
  </conditionalFormatting>
  <conditionalFormatting sqref="M70:S70">
    <cfRule type="expression" dxfId="38" priority="13">
      <formula>$E70&lt;&gt;""</formula>
    </cfRule>
  </conditionalFormatting>
  <conditionalFormatting sqref="M234:S234">
    <cfRule type="expression" dxfId="37" priority="12">
      <formula>$E234&lt;&gt;""</formula>
    </cfRule>
  </conditionalFormatting>
  <conditionalFormatting sqref="M221:S221">
    <cfRule type="expression" dxfId="36" priority="11">
      <formula>$E221&lt;&gt;""</formula>
    </cfRule>
  </conditionalFormatting>
  <conditionalFormatting sqref="M252:S252">
    <cfRule type="expression" dxfId="35" priority="10">
      <formula>$E252&lt;&gt;""</formula>
    </cfRule>
  </conditionalFormatting>
  <conditionalFormatting sqref="M114:S114">
    <cfRule type="expression" dxfId="34" priority="9">
      <formula>$E114&lt;&gt;""</formula>
    </cfRule>
  </conditionalFormatting>
  <conditionalFormatting sqref="M120:S120">
    <cfRule type="expression" dxfId="33" priority="8">
      <formula>$E120&lt;&gt;""</formula>
    </cfRule>
  </conditionalFormatting>
  <conditionalFormatting sqref="M181:S181">
    <cfRule type="expression" dxfId="32" priority="7">
      <formula>$E181&lt;&gt;""</formula>
    </cfRule>
  </conditionalFormatting>
  <conditionalFormatting sqref="M219:S219">
    <cfRule type="expression" dxfId="31" priority="6">
      <formula>$E219&lt;&gt;""</formula>
    </cfRule>
  </conditionalFormatting>
  <conditionalFormatting sqref="M128:S128">
    <cfRule type="expression" dxfId="30" priority="5">
      <formula>$E128&lt;&gt;""</formula>
    </cfRule>
  </conditionalFormatting>
  <conditionalFormatting sqref="M117:S117">
    <cfRule type="expression" dxfId="29" priority="4">
      <formula>$E117&lt;&gt;""</formula>
    </cfRule>
  </conditionalFormatting>
  <conditionalFormatting sqref="B19:B318">
    <cfRule type="containsBlanks" dxfId="28" priority="3">
      <formula>LEN(TRIM(B19))=0</formula>
    </cfRule>
  </conditionalFormatting>
  <conditionalFormatting sqref="B19:B318">
    <cfRule type="containsBlanks" dxfId="27" priority="2">
      <formula>LEN(TRIM(B19))=0</formula>
    </cfRule>
  </conditionalFormatting>
  <conditionalFormatting sqref="B19:B318">
    <cfRule type="containsBlanks" dxfId="26" priority="1">
      <formula>LEN(TRIM(B19))=0</formula>
    </cfRule>
  </conditionalFormatting>
  <dataValidations count="4">
    <dataValidation type="date" operator="greaterThan" allowBlank="1" showInputMessage="1" showErrorMessage="1" sqref="W19:X318">
      <formula1>36526</formula1>
    </dataValidation>
    <dataValidation type="decimal" operator="greaterThan" allowBlank="1" showInputMessage="1" showErrorMessage="1" sqref="AI19:AJ19 AI48 AJ20:AJ47 AJ49:AJ318 T19:V318 Z19:AA318">
      <formula1>0</formula1>
    </dataValidation>
    <dataValidation type="list" allowBlank="1" showInputMessage="1" showErrorMessage="1" sqref="AB19:AH318 F19:S318 AK19:AT318 Y19:Y318 C19:C318">
      <formula1>$AV19:$AX19</formula1>
    </dataValidation>
    <dataValidation type="list" allowBlank="1" showInputMessage="1" showErrorMessage="1" sqref="C17 H17">
      <formula1>OFFSET($BG$1,0,0,1,COUNTA($BG$1:$CQ$1))</formula1>
    </dataValidation>
  </dataValidations>
  <pageMargins left="0.7" right="0.7" top="0.75" bottom="0.75" header="0.3" footer="0.3"/>
  <pageSetup paperSize="9" orientation="portrait"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49"/>
  <sheetViews>
    <sheetView rightToLeft="1" workbookViewId="0">
      <pane ySplit="1" topLeftCell="A2" activePane="bottomLeft" state="frozen"/>
      <selection pane="bottomLeft" activeCell="F17" sqref="F17"/>
    </sheetView>
  </sheetViews>
  <sheetFormatPr defaultRowHeight="14.25" x14ac:dyDescent="0.2"/>
  <cols>
    <col min="1" max="1" width="10.875" bestFit="1" customWidth="1"/>
    <col min="2" max="2" width="33.625" bestFit="1" customWidth="1"/>
    <col min="3" max="3" width="7.875" bestFit="1" customWidth="1"/>
    <col min="4" max="4" width="9.375" bestFit="1" customWidth="1"/>
    <col min="5" max="5" width="16.375" bestFit="1" customWidth="1"/>
  </cols>
  <sheetData>
    <row r="1" spans="1:5" x14ac:dyDescent="0.2">
      <c r="A1" s="333" t="s">
        <v>259</v>
      </c>
      <c r="B1" s="333" t="s">
        <v>792</v>
      </c>
      <c r="C1" s="333" t="s">
        <v>793</v>
      </c>
      <c r="D1" s="333" t="s">
        <v>794</v>
      </c>
      <c r="E1" s="334" t="s">
        <v>795</v>
      </c>
    </row>
    <row r="2" spans="1:5" x14ac:dyDescent="0.2">
      <c r="A2" s="335">
        <v>1001261951</v>
      </c>
      <c r="B2" s="336" t="s">
        <v>1141</v>
      </c>
      <c r="C2" s="336" t="s">
        <v>797</v>
      </c>
      <c r="D2" s="336" t="s">
        <v>809</v>
      </c>
      <c r="E2" s="336" t="s">
        <v>373</v>
      </c>
    </row>
    <row r="3" spans="1:5" x14ac:dyDescent="0.2">
      <c r="A3" s="335">
        <v>1001262360</v>
      </c>
      <c r="B3" s="336" t="s">
        <v>1142</v>
      </c>
      <c r="C3" s="336" t="s">
        <v>797</v>
      </c>
      <c r="D3" s="336" t="s">
        <v>809</v>
      </c>
      <c r="E3" s="336" t="s">
        <v>373</v>
      </c>
    </row>
    <row r="4" spans="1:5" x14ac:dyDescent="0.2">
      <c r="A4" s="335">
        <v>1001262391</v>
      </c>
      <c r="B4" s="336" t="s">
        <v>908</v>
      </c>
      <c r="C4" s="336" t="s">
        <v>800</v>
      </c>
      <c r="D4" s="336" t="s">
        <v>809</v>
      </c>
      <c r="E4" s="336" t="s">
        <v>373</v>
      </c>
    </row>
    <row r="5" spans="1:5" x14ac:dyDescent="0.2">
      <c r="A5" s="335">
        <v>1001262670</v>
      </c>
      <c r="B5" s="336" t="s">
        <v>966</v>
      </c>
      <c r="C5" s="336" t="s">
        <v>813</v>
      </c>
      <c r="D5" s="336" t="s">
        <v>809</v>
      </c>
      <c r="E5" s="336" t="s">
        <v>373</v>
      </c>
    </row>
    <row r="6" spans="1:5" x14ac:dyDescent="0.2">
      <c r="A6" s="335">
        <v>1001262671</v>
      </c>
      <c r="B6" s="336" t="s">
        <v>1143</v>
      </c>
      <c r="C6" s="336" t="s">
        <v>863</v>
      </c>
      <c r="D6" s="336" t="s">
        <v>809</v>
      </c>
      <c r="E6" s="336" t="s">
        <v>373</v>
      </c>
    </row>
    <row r="7" spans="1:5" x14ac:dyDescent="0.2">
      <c r="A7" s="335">
        <v>1001262673</v>
      </c>
      <c r="B7" s="336" t="s">
        <v>1144</v>
      </c>
      <c r="C7" s="336" t="s">
        <v>813</v>
      </c>
      <c r="D7" s="336" t="s">
        <v>809</v>
      </c>
      <c r="E7" s="336" t="s">
        <v>373</v>
      </c>
    </row>
    <row r="8" spans="1:5" x14ac:dyDescent="0.2">
      <c r="A8" s="335">
        <v>1001262783</v>
      </c>
      <c r="B8" s="336" t="s">
        <v>1145</v>
      </c>
      <c r="C8" s="336" t="s">
        <v>813</v>
      </c>
      <c r="D8" s="336" t="s">
        <v>809</v>
      </c>
      <c r="E8" s="336" t="s">
        <v>373</v>
      </c>
    </row>
    <row r="9" spans="1:5" x14ac:dyDescent="0.2">
      <c r="A9" s="335">
        <v>1001263063</v>
      </c>
      <c r="B9" s="336" t="s">
        <v>1146</v>
      </c>
      <c r="C9" s="336" t="s">
        <v>797</v>
      </c>
      <c r="D9" s="336" t="s">
        <v>809</v>
      </c>
      <c r="E9" s="336" t="s">
        <v>373</v>
      </c>
    </row>
    <row r="10" spans="1:5" x14ac:dyDescent="0.2">
      <c r="A10" s="335">
        <v>1001263126</v>
      </c>
      <c r="B10" s="336" t="s">
        <v>1084</v>
      </c>
      <c r="C10" s="336" t="s">
        <v>800</v>
      </c>
      <c r="D10" s="336" t="s">
        <v>809</v>
      </c>
      <c r="E10" s="336" t="s">
        <v>373</v>
      </c>
    </row>
    <row r="11" spans="1:5" x14ac:dyDescent="0.2">
      <c r="A11" s="335">
        <v>1001263329</v>
      </c>
      <c r="B11" s="336" t="s">
        <v>1072</v>
      </c>
      <c r="C11" s="336" t="s">
        <v>800</v>
      </c>
      <c r="D11" s="336" t="s">
        <v>809</v>
      </c>
      <c r="E11" s="336" t="s">
        <v>373</v>
      </c>
    </row>
    <row r="12" spans="1:5" x14ac:dyDescent="0.2">
      <c r="A12" s="335">
        <v>1001263416</v>
      </c>
      <c r="B12" s="336" t="s">
        <v>961</v>
      </c>
      <c r="C12" s="336" t="s">
        <v>797</v>
      </c>
      <c r="D12" s="336" t="s">
        <v>809</v>
      </c>
      <c r="E12" s="336" t="s">
        <v>373</v>
      </c>
    </row>
    <row r="13" spans="1:5" x14ac:dyDescent="0.2">
      <c r="A13" s="335">
        <v>1001263559</v>
      </c>
      <c r="B13" s="336" t="s">
        <v>810</v>
      </c>
      <c r="C13" s="336" t="s">
        <v>800</v>
      </c>
      <c r="D13" s="336" t="s">
        <v>809</v>
      </c>
      <c r="E13" s="336" t="s">
        <v>373</v>
      </c>
    </row>
    <row r="14" spans="1:5" x14ac:dyDescent="0.2">
      <c r="A14" s="335">
        <v>1001263877</v>
      </c>
      <c r="B14" s="336" t="s">
        <v>1147</v>
      </c>
      <c r="C14" s="336" t="s">
        <v>863</v>
      </c>
      <c r="D14" s="336" t="s">
        <v>809</v>
      </c>
      <c r="E14" s="336" t="s">
        <v>373</v>
      </c>
    </row>
    <row r="15" spans="1:5" x14ac:dyDescent="0.2">
      <c r="A15" s="335">
        <v>1001264263</v>
      </c>
      <c r="B15" s="336" t="s">
        <v>811</v>
      </c>
      <c r="C15" s="336" t="s">
        <v>800</v>
      </c>
      <c r="D15" s="336" t="s">
        <v>809</v>
      </c>
      <c r="E15" s="336" t="s">
        <v>373</v>
      </c>
    </row>
    <row r="16" spans="1:5" x14ac:dyDescent="0.2">
      <c r="A16" s="335">
        <v>1001264905</v>
      </c>
      <c r="B16" s="336" t="s">
        <v>978</v>
      </c>
      <c r="C16" s="336" t="s">
        <v>813</v>
      </c>
      <c r="D16" s="336" t="s">
        <v>809</v>
      </c>
      <c r="E16" s="336" t="s">
        <v>373</v>
      </c>
    </row>
    <row r="17" spans="1:5" x14ac:dyDescent="0.2">
      <c r="A17" s="335">
        <v>1001265106</v>
      </c>
      <c r="B17" s="336" t="s">
        <v>926</v>
      </c>
      <c r="C17" s="336" t="s">
        <v>797</v>
      </c>
      <c r="D17" s="336" t="s">
        <v>809</v>
      </c>
      <c r="E17" s="336" t="s">
        <v>373</v>
      </c>
    </row>
    <row r="18" spans="1:5" x14ac:dyDescent="0.2">
      <c r="A18" s="335">
        <v>1001265903</v>
      </c>
      <c r="B18" s="336" t="s">
        <v>984</v>
      </c>
      <c r="C18" s="336" t="s">
        <v>813</v>
      </c>
      <c r="D18" s="336" t="s">
        <v>809</v>
      </c>
      <c r="E18" s="336" t="s">
        <v>373</v>
      </c>
    </row>
    <row r="19" spans="1:5" x14ac:dyDescent="0.2">
      <c r="A19" s="335">
        <v>1001266343</v>
      </c>
      <c r="B19" s="336" t="s">
        <v>833</v>
      </c>
      <c r="C19" s="336" t="s">
        <v>800</v>
      </c>
      <c r="D19" s="336" t="s">
        <v>809</v>
      </c>
      <c r="E19" s="336" t="s">
        <v>373</v>
      </c>
    </row>
    <row r="20" spans="1:5" x14ac:dyDescent="0.2">
      <c r="A20" s="335">
        <v>1001266429</v>
      </c>
      <c r="B20" s="336" t="s">
        <v>1148</v>
      </c>
      <c r="C20" s="336" t="s">
        <v>813</v>
      </c>
      <c r="D20" s="336" t="s">
        <v>809</v>
      </c>
      <c r="E20" s="336" t="s">
        <v>373</v>
      </c>
    </row>
    <row r="21" spans="1:5" x14ac:dyDescent="0.2">
      <c r="A21" s="335">
        <v>1001266775</v>
      </c>
      <c r="B21" s="336" t="s">
        <v>1149</v>
      </c>
      <c r="C21" s="336" t="s">
        <v>813</v>
      </c>
      <c r="D21" s="336" t="s">
        <v>809</v>
      </c>
      <c r="E21" s="336" t="s">
        <v>373</v>
      </c>
    </row>
    <row r="22" spans="1:5" x14ac:dyDescent="0.2">
      <c r="A22" s="335">
        <v>1001266776</v>
      </c>
      <c r="B22" s="336" t="s">
        <v>993</v>
      </c>
      <c r="C22" s="336" t="s">
        <v>797</v>
      </c>
      <c r="D22" s="336" t="s">
        <v>809</v>
      </c>
      <c r="E22" s="336" t="s">
        <v>373</v>
      </c>
    </row>
    <row r="23" spans="1:5" x14ac:dyDescent="0.2">
      <c r="A23" s="335">
        <v>1001266947</v>
      </c>
      <c r="B23" s="336" t="s">
        <v>1150</v>
      </c>
      <c r="C23" s="336" t="s">
        <v>800</v>
      </c>
      <c r="D23" s="336" t="s">
        <v>809</v>
      </c>
      <c r="E23" s="336" t="s">
        <v>373</v>
      </c>
    </row>
    <row r="24" spans="1:5" x14ac:dyDescent="0.2">
      <c r="A24" s="335">
        <v>1001266964</v>
      </c>
      <c r="B24" s="336" t="s">
        <v>1151</v>
      </c>
      <c r="C24" s="336" t="s">
        <v>813</v>
      </c>
      <c r="D24" s="336" t="s">
        <v>809</v>
      </c>
      <c r="E24" s="336" t="s">
        <v>373</v>
      </c>
    </row>
    <row r="25" spans="1:5" x14ac:dyDescent="0.2">
      <c r="A25" s="335">
        <v>1001266968</v>
      </c>
      <c r="B25" s="336" t="s">
        <v>1021</v>
      </c>
      <c r="C25" s="336" t="s">
        <v>797</v>
      </c>
      <c r="D25" s="336" t="s">
        <v>809</v>
      </c>
      <c r="E25" s="336" t="s">
        <v>373</v>
      </c>
    </row>
    <row r="26" spans="1:5" x14ac:dyDescent="0.2">
      <c r="A26" s="335">
        <v>1001267104</v>
      </c>
      <c r="B26" s="336" t="s">
        <v>1152</v>
      </c>
      <c r="C26" s="336" t="s">
        <v>813</v>
      </c>
      <c r="D26" s="336" t="s">
        <v>809</v>
      </c>
      <c r="E26" s="336" t="s">
        <v>373</v>
      </c>
    </row>
    <row r="27" spans="1:5" x14ac:dyDescent="0.2">
      <c r="A27" s="335">
        <v>1001267105</v>
      </c>
      <c r="B27" s="336" t="s">
        <v>1153</v>
      </c>
      <c r="C27" s="336" t="s">
        <v>813</v>
      </c>
      <c r="D27" s="336" t="s">
        <v>809</v>
      </c>
      <c r="E27" s="336" t="s">
        <v>373</v>
      </c>
    </row>
    <row r="28" spans="1:5" x14ac:dyDescent="0.2">
      <c r="A28" s="335">
        <v>1001268238</v>
      </c>
      <c r="B28" s="336" t="s">
        <v>1154</v>
      </c>
      <c r="C28" s="336" t="s">
        <v>813</v>
      </c>
      <c r="D28" s="336" t="s">
        <v>809</v>
      </c>
      <c r="E28" s="336" t="s">
        <v>373</v>
      </c>
    </row>
    <row r="29" spans="1:5" x14ac:dyDescent="0.2">
      <c r="A29" s="335">
        <v>1001268239</v>
      </c>
      <c r="B29" s="336" t="s">
        <v>1155</v>
      </c>
      <c r="C29" s="336" t="s">
        <v>813</v>
      </c>
      <c r="D29" s="336" t="s">
        <v>809</v>
      </c>
      <c r="E29" s="336" t="s">
        <v>373</v>
      </c>
    </row>
    <row r="30" spans="1:5" x14ac:dyDescent="0.2">
      <c r="A30" s="335">
        <v>1001268258</v>
      </c>
      <c r="B30" s="336" t="s">
        <v>927</v>
      </c>
      <c r="C30" s="336" t="s">
        <v>797</v>
      </c>
      <c r="D30" s="336" t="s">
        <v>809</v>
      </c>
      <c r="E30" s="336" t="s">
        <v>373</v>
      </c>
    </row>
    <row r="31" spans="1:5" x14ac:dyDescent="0.2">
      <c r="A31" s="335">
        <v>1001268270</v>
      </c>
      <c r="B31" s="336" t="s">
        <v>1156</v>
      </c>
      <c r="C31" s="336" t="s">
        <v>813</v>
      </c>
      <c r="D31" s="336" t="s">
        <v>809</v>
      </c>
      <c r="E31" s="336" t="s">
        <v>373</v>
      </c>
    </row>
    <row r="32" spans="1:5" x14ac:dyDescent="0.2">
      <c r="A32" s="335">
        <v>1001268271</v>
      </c>
      <c r="B32" s="336" t="s">
        <v>1157</v>
      </c>
      <c r="C32" s="336" t="s">
        <v>813</v>
      </c>
      <c r="D32" s="336" t="s">
        <v>809</v>
      </c>
      <c r="E32" s="336" t="s">
        <v>373</v>
      </c>
    </row>
    <row r="33" spans="1:5" x14ac:dyDescent="0.2">
      <c r="A33" s="335">
        <v>1001268273</v>
      </c>
      <c r="B33" s="336" t="s">
        <v>1158</v>
      </c>
      <c r="C33" s="336" t="s">
        <v>813</v>
      </c>
      <c r="D33" s="336" t="s">
        <v>809</v>
      </c>
      <c r="E33" s="336" t="s">
        <v>373</v>
      </c>
    </row>
    <row r="34" spans="1:5" x14ac:dyDescent="0.2">
      <c r="A34" s="335">
        <v>1001268392</v>
      </c>
      <c r="B34" s="336" t="s">
        <v>1159</v>
      </c>
      <c r="C34" s="336" t="s">
        <v>813</v>
      </c>
      <c r="D34" s="336" t="s">
        <v>809</v>
      </c>
      <c r="E34" s="336" t="s">
        <v>373</v>
      </c>
    </row>
    <row r="35" spans="1:5" x14ac:dyDescent="0.2">
      <c r="A35" s="335">
        <v>1001268608</v>
      </c>
      <c r="B35" s="336" t="s">
        <v>855</v>
      </c>
      <c r="C35" s="336" t="s">
        <v>800</v>
      </c>
      <c r="D35" s="336" t="s">
        <v>809</v>
      </c>
      <c r="E35" s="336" t="s">
        <v>373</v>
      </c>
    </row>
    <row r="36" spans="1:5" x14ac:dyDescent="0.2">
      <c r="A36" s="335">
        <v>1001268652</v>
      </c>
      <c r="B36" s="336" t="s">
        <v>1160</v>
      </c>
      <c r="C36" s="336" t="s">
        <v>797</v>
      </c>
      <c r="D36" s="336" t="s">
        <v>809</v>
      </c>
      <c r="E36" s="336" t="s">
        <v>373</v>
      </c>
    </row>
    <row r="37" spans="1:5" x14ac:dyDescent="0.2">
      <c r="A37" s="335">
        <v>1001268753</v>
      </c>
      <c r="B37" s="336" t="s">
        <v>952</v>
      </c>
      <c r="C37" s="336" t="s">
        <v>800</v>
      </c>
      <c r="D37" s="336" t="s">
        <v>809</v>
      </c>
      <c r="E37" s="336" t="s">
        <v>373</v>
      </c>
    </row>
    <row r="38" spans="1:5" x14ac:dyDescent="0.2">
      <c r="A38" s="335">
        <v>1001268814</v>
      </c>
      <c r="B38" s="336" t="s">
        <v>1161</v>
      </c>
      <c r="C38" s="336" t="s">
        <v>797</v>
      </c>
      <c r="D38" s="336" t="s">
        <v>809</v>
      </c>
      <c r="E38" s="336" t="s">
        <v>373</v>
      </c>
    </row>
    <row r="39" spans="1:5" x14ac:dyDescent="0.2">
      <c r="A39" s="335">
        <v>1001269059</v>
      </c>
      <c r="B39" s="336" t="s">
        <v>1162</v>
      </c>
      <c r="C39" s="336" t="s">
        <v>813</v>
      </c>
      <c r="D39" s="336" t="s">
        <v>809</v>
      </c>
      <c r="E39" s="336" t="s">
        <v>373</v>
      </c>
    </row>
    <row r="40" spans="1:5" x14ac:dyDescent="0.2">
      <c r="A40" s="335">
        <v>1001269423</v>
      </c>
      <c r="B40" s="336" t="s">
        <v>1163</v>
      </c>
      <c r="C40" s="336" t="s">
        <v>797</v>
      </c>
      <c r="D40" s="336" t="s">
        <v>809</v>
      </c>
      <c r="E40" s="336" t="s">
        <v>373</v>
      </c>
    </row>
    <row r="41" spans="1:5" x14ac:dyDescent="0.2">
      <c r="A41" s="335">
        <v>1001269424</v>
      </c>
      <c r="B41" s="336" t="s">
        <v>1164</v>
      </c>
      <c r="C41" s="336" t="s">
        <v>797</v>
      </c>
      <c r="D41" s="336" t="s">
        <v>809</v>
      </c>
      <c r="E41" s="336" t="s">
        <v>373</v>
      </c>
    </row>
    <row r="42" spans="1:5" x14ac:dyDescent="0.2">
      <c r="A42" s="335">
        <v>1001269426</v>
      </c>
      <c r="B42" s="336" t="s">
        <v>1165</v>
      </c>
      <c r="C42" s="336" t="s">
        <v>813</v>
      </c>
      <c r="D42" s="336" t="s">
        <v>809</v>
      </c>
      <c r="E42" s="336" t="s">
        <v>373</v>
      </c>
    </row>
    <row r="43" spans="1:5" x14ac:dyDescent="0.2">
      <c r="A43" s="335">
        <v>1001269429</v>
      </c>
      <c r="B43" s="336" t="s">
        <v>1022</v>
      </c>
      <c r="C43" s="336" t="s">
        <v>797</v>
      </c>
      <c r="D43" s="336" t="s">
        <v>809</v>
      </c>
      <c r="E43" s="336" t="s">
        <v>373</v>
      </c>
    </row>
    <row r="44" spans="1:5" x14ac:dyDescent="0.2">
      <c r="A44" s="335">
        <v>1001269446</v>
      </c>
      <c r="B44" s="336" t="s">
        <v>1166</v>
      </c>
      <c r="C44" s="336" t="s">
        <v>813</v>
      </c>
      <c r="D44" s="336" t="s">
        <v>809</v>
      </c>
      <c r="E44" s="336" t="s">
        <v>373</v>
      </c>
    </row>
    <row r="45" spans="1:5" x14ac:dyDescent="0.2">
      <c r="A45" s="335">
        <v>1001269447</v>
      </c>
      <c r="B45" s="336" t="s">
        <v>1167</v>
      </c>
      <c r="C45" s="336" t="s">
        <v>813</v>
      </c>
      <c r="D45" s="336" t="s">
        <v>809</v>
      </c>
      <c r="E45" s="336" t="s">
        <v>373</v>
      </c>
    </row>
    <row r="46" spans="1:5" x14ac:dyDescent="0.2">
      <c r="A46" s="335">
        <v>1001269448</v>
      </c>
      <c r="B46" s="336" t="s">
        <v>1168</v>
      </c>
      <c r="C46" s="336" t="s">
        <v>813</v>
      </c>
      <c r="D46" s="336" t="s">
        <v>809</v>
      </c>
      <c r="E46" s="336" t="s">
        <v>373</v>
      </c>
    </row>
    <row r="47" spans="1:5" x14ac:dyDescent="0.2">
      <c r="A47" s="335">
        <v>1001269476</v>
      </c>
      <c r="B47" s="336" t="s">
        <v>821</v>
      </c>
      <c r="C47" s="336" t="s">
        <v>800</v>
      </c>
      <c r="D47" s="336" t="s">
        <v>809</v>
      </c>
      <c r="E47" s="336" t="s">
        <v>373</v>
      </c>
    </row>
    <row r="48" spans="1:5" x14ac:dyDescent="0.2">
      <c r="A48" s="335">
        <v>1001269642</v>
      </c>
      <c r="B48" s="336" t="s">
        <v>835</v>
      </c>
      <c r="C48" s="336" t="s">
        <v>800</v>
      </c>
      <c r="D48" s="336" t="s">
        <v>809</v>
      </c>
      <c r="E48" s="336" t="s">
        <v>373</v>
      </c>
    </row>
    <row r="49" spans="1:5" x14ac:dyDescent="0.2">
      <c r="A49" s="335">
        <v>1001269665</v>
      </c>
      <c r="B49" s="336" t="s">
        <v>998</v>
      </c>
      <c r="C49" s="336" t="s">
        <v>797</v>
      </c>
      <c r="D49" s="336" t="s">
        <v>809</v>
      </c>
      <c r="E49" s="336" t="s">
        <v>373</v>
      </c>
    </row>
    <row r="50" spans="1:5" x14ac:dyDescent="0.2">
      <c r="A50" s="335">
        <v>1001269669</v>
      </c>
      <c r="B50" s="336" t="s">
        <v>811</v>
      </c>
      <c r="C50" s="336" t="s">
        <v>800</v>
      </c>
      <c r="D50" s="336" t="s">
        <v>809</v>
      </c>
      <c r="E50" s="336" t="s">
        <v>373</v>
      </c>
    </row>
    <row r="51" spans="1:5" x14ac:dyDescent="0.2">
      <c r="A51" s="335">
        <v>1001269702</v>
      </c>
      <c r="B51" s="336" t="s">
        <v>377</v>
      </c>
      <c r="C51" s="336" t="s">
        <v>797</v>
      </c>
      <c r="D51" s="336" t="s">
        <v>809</v>
      </c>
      <c r="E51" s="336" t="s">
        <v>373</v>
      </c>
    </row>
    <row r="52" spans="1:5" x14ac:dyDescent="0.2">
      <c r="A52" s="335">
        <v>1001270049</v>
      </c>
      <c r="B52" s="336" t="s">
        <v>1169</v>
      </c>
      <c r="C52" s="336" t="s">
        <v>1097</v>
      </c>
      <c r="D52" s="336" t="s">
        <v>809</v>
      </c>
      <c r="E52" s="336" t="s">
        <v>373</v>
      </c>
    </row>
    <row r="53" spans="1:5" x14ac:dyDescent="0.2">
      <c r="A53" s="335">
        <v>1001270108</v>
      </c>
      <c r="B53" s="336" t="s">
        <v>1170</v>
      </c>
      <c r="C53" s="336" t="s">
        <v>813</v>
      </c>
      <c r="D53" s="336" t="s">
        <v>809</v>
      </c>
      <c r="E53" s="336" t="s">
        <v>373</v>
      </c>
    </row>
    <row r="54" spans="1:5" x14ac:dyDescent="0.2">
      <c r="A54" s="335">
        <v>1001270171</v>
      </c>
      <c r="B54" s="336" t="s">
        <v>1171</v>
      </c>
      <c r="C54" s="336" t="s">
        <v>813</v>
      </c>
      <c r="D54" s="336" t="s">
        <v>809</v>
      </c>
      <c r="E54" s="336" t="s">
        <v>373</v>
      </c>
    </row>
    <row r="55" spans="1:5" x14ac:dyDescent="0.2">
      <c r="A55" s="335">
        <v>1001270249</v>
      </c>
      <c r="B55" s="336" t="s">
        <v>828</v>
      </c>
      <c r="C55" s="336" t="s">
        <v>797</v>
      </c>
      <c r="D55" s="336" t="s">
        <v>809</v>
      </c>
      <c r="E55" s="336" t="s">
        <v>373</v>
      </c>
    </row>
    <row r="56" spans="1:5" x14ac:dyDescent="0.2">
      <c r="A56" s="335">
        <v>1001270272</v>
      </c>
      <c r="B56" s="336" t="s">
        <v>1008</v>
      </c>
      <c r="C56" s="336" t="s">
        <v>797</v>
      </c>
      <c r="D56" s="336" t="s">
        <v>809</v>
      </c>
      <c r="E56" s="336" t="s">
        <v>373</v>
      </c>
    </row>
    <row r="57" spans="1:5" x14ac:dyDescent="0.2">
      <c r="A57" s="335">
        <v>1001270277</v>
      </c>
      <c r="B57" s="336" t="s">
        <v>1077</v>
      </c>
      <c r="C57" s="336" t="s">
        <v>797</v>
      </c>
      <c r="D57" s="336" t="s">
        <v>809</v>
      </c>
      <c r="E57" s="336" t="s">
        <v>373</v>
      </c>
    </row>
    <row r="58" spans="1:5" x14ac:dyDescent="0.2">
      <c r="A58" s="335">
        <v>1001270285</v>
      </c>
      <c r="B58" s="336" t="s">
        <v>997</v>
      </c>
      <c r="C58" s="336" t="s">
        <v>797</v>
      </c>
      <c r="D58" s="336" t="s">
        <v>809</v>
      </c>
      <c r="E58" s="336" t="s">
        <v>373</v>
      </c>
    </row>
    <row r="59" spans="1:5" x14ac:dyDescent="0.2">
      <c r="A59" s="335">
        <v>1001270288</v>
      </c>
      <c r="B59" s="336" t="s">
        <v>1172</v>
      </c>
      <c r="C59" s="336" t="s">
        <v>797</v>
      </c>
      <c r="D59" s="336" t="s">
        <v>809</v>
      </c>
      <c r="E59" s="336" t="s">
        <v>373</v>
      </c>
    </row>
    <row r="60" spans="1:5" x14ac:dyDescent="0.2">
      <c r="A60" s="335">
        <v>1001270513</v>
      </c>
      <c r="B60" s="336" t="s">
        <v>1173</v>
      </c>
      <c r="C60" s="336" t="s">
        <v>813</v>
      </c>
      <c r="D60" s="336" t="s">
        <v>809</v>
      </c>
      <c r="E60" s="336" t="s">
        <v>373</v>
      </c>
    </row>
    <row r="61" spans="1:5" x14ac:dyDescent="0.2">
      <c r="A61" s="335">
        <v>1001270631</v>
      </c>
      <c r="B61" s="336" t="s">
        <v>1174</v>
      </c>
      <c r="C61" s="336" t="s">
        <v>813</v>
      </c>
      <c r="D61" s="336" t="s">
        <v>809</v>
      </c>
      <c r="E61" s="336" t="s">
        <v>373</v>
      </c>
    </row>
    <row r="62" spans="1:5" x14ac:dyDescent="0.2">
      <c r="A62" s="335">
        <v>1001270632</v>
      </c>
      <c r="B62" s="336" t="s">
        <v>1175</v>
      </c>
      <c r="C62" s="336" t="s">
        <v>813</v>
      </c>
      <c r="D62" s="336" t="s">
        <v>809</v>
      </c>
      <c r="E62" s="336" t="s">
        <v>373</v>
      </c>
    </row>
    <row r="63" spans="1:5" x14ac:dyDescent="0.2">
      <c r="A63" s="335">
        <v>1001270633</v>
      </c>
      <c r="B63" s="336" t="s">
        <v>1176</v>
      </c>
      <c r="C63" s="336" t="s">
        <v>813</v>
      </c>
      <c r="D63" s="336" t="s">
        <v>809</v>
      </c>
      <c r="E63" s="336" t="s">
        <v>373</v>
      </c>
    </row>
    <row r="64" spans="1:5" x14ac:dyDescent="0.2">
      <c r="A64" s="335">
        <v>1001270634</v>
      </c>
      <c r="B64" s="336" t="s">
        <v>1177</v>
      </c>
      <c r="C64" s="336" t="s">
        <v>813</v>
      </c>
      <c r="D64" s="336" t="s">
        <v>809</v>
      </c>
      <c r="E64" s="336" t="s">
        <v>373</v>
      </c>
    </row>
    <row r="65" spans="1:5" x14ac:dyDescent="0.2">
      <c r="A65" s="335">
        <v>1001270638</v>
      </c>
      <c r="B65" s="336" t="s">
        <v>1178</v>
      </c>
      <c r="C65" s="336" t="s">
        <v>813</v>
      </c>
      <c r="D65" s="336" t="s">
        <v>809</v>
      </c>
      <c r="E65" s="336" t="s">
        <v>373</v>
      </c>
    </row>
    <row r="66" spans="1:5" x14ac:dyDescent="0.2">
      <c r="A66" s="335">
        <v>1001270639</v>
      </c>
      <c r="B66" s="336" t="s">
        <v>1179</v>
      </c>
      <c r="C66" s="336" t="s">
        <v>813</v>
      </c>
      <c r="D66" s="336" t="s">
        <v>809</v>
      </c>
      <c r="E66" s="336" t="s">
        <v>373</v>
      </c>
    </row>
    <row r="67" spans="1:5" x14ac:dyDescent="0.2">
      <c r="A67" s="335">
        <v>1001270641</v>
      </c>
      <c r="B67" s="336" t="s">
        <v>989</v>
      </c>
      <c r="C67" s="336" t="s">
        <v>797</v>
      </c>
      <c r="D67" s="336" t="s">
        <v>809</v>
      </c>
      <c r="E67" s="336" t="s">
        <v>373</v>
      </c>
    </row>
    <row r="68" spans="1:5" x14ac:dyDescent="0.2">
      <c r="A68" s="335">
        <v>1001270650</v>
      </c>
      <c r="B68" s="336" t="s">
        <v>1180</v>
      </c>
      <c r="C68" s="336" t="s">
        <v>813</v>
      </c>
      <c r="D68" s="336" t="s">
        <v>809</v>
      </c>
      <c r="E68" s="336" t="s">
        <v>373</v>
      </c>
    </row>
    <row r="69" spans="1:5" x14ac:dyDescent="0.2">
      <c r="A69" s="335">
        <v>1001270651</v>
      </c>
      <c r="B69" s="336" t="s">
        <v>1181</v>
      </c>
      <c r="C69" s="336" t="s">
        <v>813</v>
      </c>
      <c r="D69" s="336" t="s">
        <v>809</v>
      </c>
      <c r="E69" s="336" t="s">
        <v>373</v>
      </c>
    </row>
    <row r="70" spans="1:5" x14ac:dyDescent="0.2">
      <c r="A70" s="335">
        <v>1001270653</v>
      </c>
      <c r="B70" s="336" t="s">
        <v>1182</v>
      </c>
      <c r="C70" s="336" t="s">
        <v>813</v>
      </c>
      <c r="D70" s="336" t="s">
        <v>809</v>
      </c>
      <c r="E70" s="336" t="s">
        <v>373</v>
      </c>
    </row>
    <row r="71" spans="1:5" x14ac:dyDescent="0.2">
      <c r="A71" s="335">
        <v>1001270654</v>
      </c>
      <c r="B71" s="336" t="s">
        <v>1183</v>
      </c>
      <c r="C71" s="336" t="s">
        <v>813</v>
      </c>
      <c r="D71" s="336" t="s">
        <v>809</v>
      </c>
      <c r="E71" s="336" t="s">
        <v>373</v>
      </c>
    </row>
    <row r="72" spans="1:5" x14ac:dyDescent="0.2">
      <c r="A72" s="335">
        <v>1001270655</v>
      </c>
      <c r="B72" s="336" t="s">
        <v>1184</v>
      </c>
      <c r="C72" s="336" t="s">
        <v>813</v>
      </c>
      <c r="D72" s="336" t="s">
        <v>809</v>
      </c>
      <c r="E72" s="336" t="s">
        <v>373</v>
      </c>
    </row>
    <row r="73" spans="1:5" x14ac:dyDescent="0.2">
      <c r="A73" s="335">
        <v>1001270656</v>
      </c>
      <c r="B73" s="336" t="s">
        <v>1185</v>
      </c>
      <c r="C73" s="336" t="s">
        <v>813</v>
      </c>
      <c r="D73" s="336" t="s">
        <v>809</v>
      </c>
      <c r="E73" s="336" t="s">
        <v>373</v>
      </c>
    </row>
    <row r="74" spans="1:5" x14ac:dyDescent="0.2">
      <c r="A74" s="335">
        <v>1001270658</v>
      </c>
      <c r="B74" s="336" t="s">
        <v>1186</v>
      </c>
      <c r="C74" s="336" t="s">
        <v>813</v>
      </c>
      <c r="D74" s="336" t="s">
        <v>809</v>
      </c>
      <c r="E74" s="336" t="s">
        <v>373</v>
      </c>
    </row>
    <row r="75" spans="1:5" x14ac:dyDescent="0.2">
      <c r="A75" s="335">
        <v>1001270661</v>
      </c>
      <c r="B75" s="336" t="s">
        <v>1187</v>
      </c>
      <c r="C75" s="336" t="s">
        <v>813</v>
      </c>
      <c r="D75" s="336" t="s">
        <v>809</v>
      </c>
      <c r="E75" s="336" t="s">
        <v>373</v>
      </c>
    </row>
    <row r="76" spans="1:5" x14ac:dyDescent="0.2">
      <c r="A76" s="335">
        <v>1001270663</v>
      </c>
      <c r="B76" s="336" t="s">
        <v>1188</v>
      </c>
      <c r="C76" s="336" t="s">
        <v>813</v>
      </c>
      <c r="D76" s="336" t="s">
        <v>809</v>
      </c>
      <c r="E76" s="336" t="s">
        <v>373</v>
      </c>
    </row>
    <row r="77" spans="1:5" x14ac:dyDescent="0.2">
      <c r="A77" s="335">
        <v>1001270666</v>
      </c>
      <c r="B77" s="336" t="s">
        <v>1189</v>
      </c>
      <c r="C77" s="336" t="s">
        <v>813</v>
      </c>
      <c r="D77" s="336" t="s">
        <v>809</v>
      </c>
      <c r="E77" s="336" t="s">
        <v>373</v>
      </c>
    </row>
    <row r="78" spans="1:5" x14ac:dyDescent="0.2">
      <c r="A78" s="335">
        <v>1001270667</v>
      </c>
      <c r="B78" s="336" t="s">
        <v>1190</v>
      </c>
      <c r="C78" s="336" t="s">
        <v>813</v>
      </c>
      <c r="D78" s="336" t="s">
        <v>809</v>
      </c>
      <c r="E78" s="336" t="s">
        <v>373</v>
      </c>
    </row>
    <row r="79" spans="1:5" x14ac:dyDescent="0.2">
      <c r="A79" s="335">
        <v>1001270668</v>
      </c>
      <c r="B79" s="336" t="s">
        <v>1191</v>
      </c>
      <c r="C79" s="336" t="s">
        <v>813</v>
      </c>
      <c r="D79" s="336" t="s">
        <v>809</v>
      </c>
      <c r="E79" s="336" t="s">
        <v>373</v>
      </c>
    </row>
    <row r="80" spans="1:5" x14ac:dyDescent="0.2">
      <c r="A80" s="335">
        <v>1001270670</v>
      </c>
      <c r="B80" s="336" t="s">
        <v>1192</v>
      </c>
      <c r="C80" s="336" t="s">
        <v>813</v>
      </c>
      <c r="D80" s="336" t="s">
        <v>809</v>
      </c>
      <c r="E80" s="336" t="s">
        <v>373</v>
      </c>
    </row>
    <row r="81" spans="1:5" x14ac:dyDescent="0.2">
      <c r="A81" s="335">
        <v>1001270671</v>
      </c>
      <c r="B81" s="336" t="s">
        <v>1193</v>
      </c>
      <c r="C81" s="336" t="s">
        <v>813</v>
      </c>
      <c r="D81" s="336" t="s">
        <v>809</v>
      </c>
      <c r="E81" s="336" t="s">
        <v>373</v>
      </c>
    </row>
    <row r="82" spans="1:5" x14ac:dyDescent="0.2">
      <c r="A82" s="335">
        <v>1001270672</v>
      </c>
      <c r="B82" s="336" t="s">
        <v>1194</v>
      </c>
      <c r="C82" s="336" t="s">
        <v>813</v>
      </c>
      <c r="D82" s="336" t="s">
        <v>809</v>
      </c>
      <c r="E82" s="336" t="s">
        <v>373</v>
      </c>
    </row>
    <row r="83" spans="1:5" x14ac:dyDescent="0.2">
      <c r="A83" s="335">
        <v>1001270673</v>
      </c>
      <c r="B83" s="336" t="s">
        <v>1195</v>
      </c>
      <c r="C83" s="336" t="s">
        <v>813</v>
      </c>
      <c r="D83" s="336" t="s">
        <v>809</v>
      </c>
      <c r="E83" s="336" t="s">
        <v>373</v>
      </c>
    </row>
    <row r="84" spans="1:5" x14ac:dyDescent="0.2">
      <c r="A84" s="335">
        <v>1001270675</v>
      </c>
      <c r="B84" s="336" t="s">
        <v>1196</v>
      </c>
      <c r="C84" s="336" t="s">
        <v>813</v>
      </c>
      <c r="D84" s="336" t="s">
        <v>809</v>
      </c>
      <c r="E84" s="336" t="s">
        <v>373</v>
      </c>
    </row>
    <row r="85" spans="1:5" x14ac:dyDescent="0.2">
      <c r="A85" s="335">
        <v>1001270676</v>
      </c>
      <c r="B85" s="336" t="s">
        <v>1197</v>
      </c>
      <c r="C85" s="336" t="s">
        <v>813</v>
      </c>
      <c r="D85" s="336" t="s">
        <v>809</v>
      </c>
      <c r="E85" s="336" t="s">
        <v>373</v>
      </c>
    </row>
    <row r="86" spans="1:5" x14ac:dyDescent="0.2">
      <c r="A86" s="335">
        <v>1001270677</v>
      </c>
      <c r="B86" s="336" t="s">
        <v>1198</v>
      </c>
      <c r="C86" s="336" t="s">
        <v>813</v>
      </c>
      <c r="D86" s="336" t="s">
        <v>809</v>
      </c>
      <c r="E86" s="336" t="s">
        <v>373</v>
      </c>
    </row>
    <row r="87" spans="1:5" x14ac:dyDescent="0.2">
      <c r="A87" s="335">
        <v>1001270678</v>
      </c>
      <c r="B87" s="336" t="s">
        <v>1199</v>
      </c>
      <c r="C87" s="336" t="s">
        <v>813</v>
      </c>
      <c r="D87" s="336" t="s">
        <v>809</v>
      </c>
      <c r="E87" s="336" t="s">
        <v>373</v>
      </c>
    </row>
    <row r="88" spans="1:5" x14ac:dyDescent="0.2">
      <c r="A88" s="335">
        <v>1001270679</v>
      </c>
      <c r="B88" s="336" t="s">
        <v>1200</v>
      </c>
      <c r="C88" s="336" t="s">
        <v>813</v>
      </c>
      <c r="D88" s="336" t="s">
        <v>809</v>
      </c>
      <c r="E88" s="336" t="s">
        <v>373</v>
      </c>
    </row>
    <row r="89" spans="1:5" x14ac:dyDescent="0.2">
      <c r="A89" s="335">
        <v>1001270987</v>
      </c>
      <c r="B89" s="336" t="s">
        <v>1201</v>
      </c>
      <c r="C89" s="336" t="s">
        <v>797</v>
      </c>
      <c r="D89" s="336" t="s">
        <v>809</v>
      </c>
      <c r="E89" s="336" t="s">
        <v>373</v>
      </c>
    </row>
    <row r="90" spans="1:5" x14ac:dyDescent="0.2">
      <c r="A90" s="335">
        <v>1001271274</v>
      </c>
      <c r="B90" s="336" t="s">
        <v>1202</v>
      </c>
      <c r="C90" s="336" t="s">
        <v>813</v>
      </c>
      <c r="D90" s="336" t="s">
        <v>809</v>
      </c>
      <c r="E90" s="336" t="s">
        <v>373</v>
      </c>
    </row>
    <row r="91" spans="1:5" x14ac:dyDescent="0.2">
      <c r="A91" s="335">
        <v>1001271347</v>
      </c>
      <c r="B91" s="336" t="s">
        <v>1203</v>
      </c>
      <c r="C91" s="336" t="s">
        <v>797</v>
      </c>
      <c r="D91" s="336" t="s">
        <v>809</v>
      </c>
      <c r="E91" s="336" t="s">
        <v>373</v>
      </c>
    </row>
    <row r="92" spans="1:5" x14ac:dyDescent="0.2">
      <c r="A92" s="335">
        <v>1001271352</v>
      </c>
      <c r="B92" s="336" t="s">
        <v>811</v>
      </c>
      <c r="C92" s="336" t="s">
        <v>800</v>
      </c>
      <c r="D92" s="336" t="s">
        <v>809</v>
      </c>
      <c r="E92" s="336" t="s">
        <v>373</v>
      </c>
    </row>
    <row r="93" spans="1:5" x14ac:dyDescent="0.2">
      <c r="A93" s="335">
        <v>1001271678</v>
      </c>
      <c r="B93" s="336" t="s">
        <v>1096</v>
      </c>
      <c r="C93" s="336" t="s">
        <v>1097</v>
      </c>
      <c r="D93" s="336" t="s">
        <v>809</v>
      </c>
      <c r="E93" s="336" t="s">
        <v>373</v>
      </c>
    </row>
    <row r="94" spans="1:5" x14ac:dyDescent="0.2">
      <c r="A94" s="335">
        <v>1001271762</v>
      </c>
      <c r="B94" s="336" t="s">
        <v>847</v>
      </c>
      <c r="C94" s="336" t="s">
        <v>800</v>
      </c>
      <c r="D94" s="336" t="s">
        <v>809</v>
      </c>
      <c r="E94" s="336" t="s">
        <v>373</v>
      </c>
    </row>
    <row r="95" spans="1:5" x14ac:dyDescent="0.2">
      <c r="A95" s="335">
        <v>1001272277</v>
      </c>
      <c r="B95" s="336" t="s">
        <v>998</v>
      </c>
      <c r="C95" s="336" t="s">
        <v>797</v>
      </c>
      <c r="D95" s="336" t="s">
        <v>809</v>
      </c>
      <c r="E95" s="336" t="s">
        <v>373</v>
      </c>
    </row>
    <row r="96" spans="1:5" x14ac:dyDescent="0.2">
      <c r="A96" s="335">
        <v>1001272318</v>
      </c>
      <c r="B96" s="336" t="s">
        <v>1204</v>
      </c>
      <c r="C96" s="336" t="s">
        <v>797</v>
      </c>
      <c r="D96" s="336" t="s">
        <v>809</v>
      </c>
      <c r="E96" s="336" t="s">
        <v>373</v>
      </c>
    </row>
    <row r="97" spans="1:5" x14ac:dyDescent="0.2">
      <c r="A97" s="335">
        <v>1001272448</v>
      </c>
      <c r="B97" s="336" t="s">
        <v>1205</v>
      </c>
      <c r="C97" s="336" t="s">
        <v>797</v>
      </c>
      <c r="D97" s="336" t="s">
        <v>809</v>
      </c>
      <c r="E97" s="336" t="s">
        <v>373</v>
      </c>
    </row>
    <row r="98" spans="1:5" x14ac:dyDescent="0.2">
      <c r="A98" s="335">
        <v>1001272517</v>
      </c>
      <c r="B98" s="336" t="s">
        <v>1026</v>
      </c>
      <c r="C98" s="336" t="s">
        <v>800</v>
      </c>
      <c r="D98" s="336" t="s">
        <v>809</v>
      </c>
      <c r="E98" s="336" t="s">
        <v>373</v>
      </c>
    </row>
    <row r="99" spans="1:5" x14ac:dyDescent="0.2">
      <c r="A99" s="335">
        <v>1001273315</v>
      </c>
      <c r="B99" s="336" t="s">
        <v>1206</v>
      </c>
      <c r="C99" s="336" t="s">
        <v>813</v>
      </c>
      <c r="D99" s="336" t="s">
        <v>809</v>
      </c>
      <c r="E99" s="336" t="s">
        <v>373</v>
      </c>
    </row>
    <row r="100" spans="1:5" x14ac:dyDescent="0.2">
      <c r="A100" s="335">
        <v>1001273940</v>
      </c>
      <c r="B100" s="336" t="s">
        <v>1207</v>
      </c>
      <c r="C100" s="336" t="s">
        <v>863</v>
      </c>
      <c r="D100" s="336" t="s">
        <v>809</v>
      </c>
      <c r="E100" s="336" t="s">
        <v>373</v>
      </c>
    </row>
    <row r="101" spans="1:5" x14ac:dyDescent="0.2">
      <c r="A101" s="335">
        <v>1001273976</v>
      </c>
      <c r="B101" s="336" t="s">
        <v>967</v>
      </c>
      <c r="C101" s="336" t="s">
        <v>797</v>
      </c>
      <c r="D101" s="336" t="s">
        <v>809</v>
      </c>
      <c r="E101" s="336" t="s">
        <v>373</v>
      </c>
    </row>
    <row r="102" spans="1:5" x14ac:dyDescent="0.2">
      <c r="A102" s="335">
        <v>1001274219</v>
      </c>
      <c r="B102" s="336" t="s">
        <v>1018</v>
      </c>
      <c r="C102" s="336" t="s">
        <v>863</v>
      </c>
      <c r="D102" s="336" t="s">
        <v>809</v>
      </c>
      <c r="E102" s="336" t="s">
        <v>373</v>
      </c>
    </row>
    <row r="103" spans="1:5" x14ac:dyDescent="0.2">
      <c r="A103" s="335">
        <v>1001274259</v>
      </c>
      <c r="B103" s="336" t="s">
        <v>1018</v>
      </c>
      <c r="C103" s="336" t="s">
        <v>800</v>
      </c>
      <c r="D103" s="336" t="s">
        <v>809</v>
      </c>
      <c r="E103" s="336" t="s">
        <v>373</v>
      </c>
    </row>
    <row r="104" spans="1:5" x14ac:dyDescent="0.2">
      <c r="A104" s="335">
        <v>1001274392</v>
      </c>
      <c r="B104" s="336" t="s">
        <v>930</v>
      </c>
      <c r="C104" s="336" t="s">
        <v>863</v>
      </c>
      <c r="D104" s="336" t="s">
        <v>809</v>
      </c>
      <c r="E104" s="336" t="s">
        <v>373</v>
      </c>
    </row>
    <row r="105" spans="1:5" x14ac:dyDescent="0.2">
      <c r="A105" s="335">
        <v>1001274400</v>
      </c>
      <c r="B105" s="336" t="s">
        <v>1208</v>
      </c>
      <c r="C105" s="336" t="s">
        <v>863</v>
      </c>
      <c r="D105" s="336" t="s">
        <v>809</v>
      </c>
      <c r="E105" s="336" t="s">
        <v>373</v>
      </c>
    </row>
    <row r="106" spans="1:5" x14ac:dyDescent="0.2">
      <c r="A106" s="335">
        <v>1001274535</v>
      </c>
      <c r="B106" s="336" t="s">
        <v>824</v>
      </c>
      <c r="C106" s="336" t="s">
        <v>800</v>
      </c>
      <c r="D106" s="336" t="s">
        <v>809</v>
      </c>
      <c r="E106" s="336" t="s">
        <v>373</v>
      </c>
    </row>
    <row r="107" spans="1:5" x14ac:dyDescent="0.2">
      <c r="A107" s="335">
        <v>1001274725</v>
      </c>
      <c r="B107" s="336" t="s">
        <v>930</v>
      </c>
      <c r="C107" s="336" t="s">
        <v>800</v>
      </c>
      <c r="D107" s="336" t="s">
        <v>809</v>
      </c>
      <c r="E107" s="336" t="s">
        <v>373</v>
      </c>
    </row>
    <row r="108" spans="1:5" x14ac:dyDescent="0.2">
      <c r="A108" s="335">
        <v>1001274745</v>
      </c>
      <c r="B108" s="336" t="s">
        <v>959</v>
      </c>
      <c r="C108" s="336" t="s">
        <v>800</v>
      </c>
      <c r="D108" s="336" t="s">
        <v>809</v>
      </c>
      <c r="E108" s="336" t="s">
        <v>373</v>
      </c>
    </row>
    <row r="109" spans="1:5" x14ac:dyDescent="0.2">
      <c r="A109" s="335">
        <v>1001276615</v>
      </c>
      <c r="B109" s="336" t="s">
        <v>808</v>
      </c>
      <c r="C109" s="336" t="s">
        <v>800</v>
      </c>
      <c r="D109" s="336" t="s">
        <v>809</v>
      </c>
      <c r="E109" s="336" t="s">
        <v>373</v>
      </c>
    </row>
    <row r="110" spans="1:5" x14ac:dyDescent="0.2">
      <c r="A110" s="335">
        <v>1001276661</v>
      </c>
      <c r="B110" s="336" t="s">
        <v>1209</v>
      </c>
      <c r="C110" s="336" t="s">
        <v>1097</v>
      </c>
      <c r="D110" s="336" t="s">
        <v>809</v>
      </c>
      <c r="E110" s="336" t="s">
        <v>373</v>
      </c>
    </row>
    <row r="111" spans="1:5" x14ac:dyDescent="0.2">
      <c r="A111" s="335">
        <v>1001276716</v>
      </c>
      <c r="B111" s="336" t="s">
        <v>1075</v>
      </c>
      <c r="C111" s="336" t="s">
        <v>800</v>
      </c>
      <c r="D111" s="336" t="s">
        <v>809</v>
      </c>
      <c r="E111" s="336" t="s">
        <v>373</v>
      </c>
    </row>
    <row r="112" spans="1:5" x14ac:dyDescent="0.2">
      <c r="A112" s="335">
        <v>1001277439</v>
      </c>
      <c r="B112" s="336" t="s">
        <v>1210</v>
      </c>
      <c r="C112" s="336" t="s">
        <v>813</v>
      </c>
      <c r="D112" s="336" t="s">
        <v>809</v>
      </c>
      <c r="E112" s="336" t="s">
        <v>373</v>
      </c>
    </row>
    <row r="113" spans="1:5" x14ac:dyDescent="0.2">
      <c r="A113" s="335">
        <v>1001277741</v>
      </c>
      <c r="B113" s="336" t="s">
        <v>1211</v>
      </c>
      <c r="C113" s="336" t="s">
        <v>797</v>
      </c>
      <c r="D113" s="336" t="s">
        <v>809</v>
      </c>
      <c r="E113" s="336" t="s">
        <v>373</v>
      </c>
    </row>
    <row r="114" spans="1:5" x14ac:dyDescent="0.2">
      <c r="A114" s="335">
        <v>1001277763</v>
      </c>
      <c r="B114" s="336" t="s">
        <v>1212</v>
      </c>
      <c r="C114" s="336" t="s">
        <v>797</v>
      </c>
      <c r="D114" s="336" t="s">
        <v>809</v>
      </c>
      <c r="E114" s="336" t="s">
        <v>373</v>
      </c>
    </row>
    <row r="115" spans="1:5" x14ac:dyDescent="0.2">
      <c r="A115" s="335">
        <v>1001277764</v>
      </c>
      <c r="B115" s="336" t="s">
        <v>811</v>
      </c>
      <c r="C115" s="336" t="s">
        <v>797</v>
      </c>
      <c r="D115" s="336" t="s">
        <v>809</v>
      </c>
      <c r="E115" s="336" t="s">
        <v>373</v>
      </c>
    </row>
    <row r="116" spans="1:5" x14ac:dyDescent="0.2">
      <c r="A116" s="335">
        <v>1001278260</v>
      </c>
      <c r="B116" s="336" t="s">
        <v>874</v>
      </c>
      <c r="C116" s="336" t="s">
        <v>800</v>
      </c>
      <c r="D116" s="336" t="s">
        <v>809</v>
      </c>
      <c r="E116" s="336" t="s">
        <v>373</v>
      </c>
    </row>
    <row r="117" spans="1:5" x14ac:dyDescent="0.2">
      <c r="A117" s="335">
        <v>1001278548</v>
      </c>
      <c r="B117" s="336" t="s">
        <v>1213</v>
      </c>
      <c r="C117" s="336" t="s">
        <v>813</v>
      </c>
      <c r="D117" s="336" t="s">
        <v>809</v>
      </c>
      <c r="E117" s="336" t="s">
        <v>373</v>
      </c>
    </row>
    <row r="118" spans="1:5" x14ac:dyDescent="0.2">
      <c r="A118" s="335">
        <v>1001278626</v>
      </c>
      <c r="B118" s="336" t="s">
        <v>1214</v>
      </c>
      <c r="C118" s="336" t="s">
        <v>813</v>
      </c>
      <c r="D118" s="336" t="s">
        <v>809</v>
      </c>
      <c r="E118" s="336" t="s">
        <v>373</v>
      </c>
    </row>
    <row r="119" spans="1:5" x14ac:dyDescent="0.2">
      <c r="A119" s="335">
        <v>1001278627</v>
      </c>
      <c r="B119" s="336" t="s">
        <v>954</v>
      </c>
      <c r="C119" s="336" t="s">
        <v>797</v>
      </c>
      <c r="D119" s="336" t="s">
        <v>809</v>
      </c>
      <c r="E119" s="336" t="s">
        <v>373</v>
      </c>
    </row>
    <row r="120" spans="1:5" x14ac:dyDescent="0.2">
      <c r="A120" s="335">
        <v>1001278693</v>
      </c>
      <c r="B120" s="336" t="s">
        <v>953</v>
      </c>
      <c r="C120" s="336" t="s">
        <v>797</v>
      </c>
      <c r="D120" s="336" t="s">
        <v>809</v>
      </c>
      <c r="E120" s="336" t="s">
        <v>373</v>
      </c>
    </row>
    <row r="121" spans="1:5" x14ac:dyDescent="0.2">
      <c r="A121" s="335">
        <v>1001279138</v>
      </c>
      <c r="B121" s="336" t="s">
        <v>1215</v>
      </c>
      <c r="C121" s="336" t="s">
        <v>813</v>
      </c>
      <c r="D121" s="336" t="s">
        <v>809</v>
      </c>
      <c r="E121" s="336" t="s">
        <v>373</v>
      </c>
    </row>
    <row r="122" spans="1:5" x14ac:dyDescent="0.2">
      <c r="A122" s="335">
        <v>1001279328</v>
      </c>
      <c r="B122" s="336" t="s">
        <v>1216</v>
      </c>
      <c r="C122" s="336" t="s">
        <v>813</v>
      </c>
      <c r="D122" s="336" t="s">
        <v>809</v>
      </c>
      <c r="E122" s="336" t="s">
        <v>373</v>
      </c>
    </row>
    <row r="123" spans="1:5" x14ac:dyDescent="0.2">
      <c r="A123" s="335">
        <v>1001279372</v>
      </c>
      <c r="B123" s="336" t="s">
        <v>896</v>
      </c>
      <c r="C123" s="336" t="s">
        <v>797</v>
      </c>
      <c r="D123" s="336" t="s">
        <v>809</v>
      </c>
      <c r="E123" s="336" t="s">
        <v>373</v>
      </c>
    </row>
    <row r="124" spans="1:5" x14ac:dyDescent="0.2">
      <c r="A124" s="335">
        <v>1001280169</v>
      </c>
      <c r="B124" s="336" t="s">
        <v>785</v>
      </c>
      <c r="C124" s="336" t="s">
        <v>797</v>
      </c>
      <c r="D124" s="336" t="s">
        <v>809</v>
      </c>
      <c r="E124" s="336" t="s">
        <v>373</v>
      </c>
    </row>
    <row r="125" spans="1:5" x14ac:dyDescent="0.2">
      <c r="A125" s="335">
        <v>1001280230</v>
      </c>
      <c r="B125" s="336" t="s">
        <v>1162</v>
      </c>
      <c r="C125" s="336" t="s">
        <v>813</v>
      </c>
      <c r="D125" s="336" t="s">
        <v>809</v>
      </c>
      <c r="E125" s="336" t="s">
        <v>373</v>
      </c>
    </row>
    <row r="126" spans="1:5" x14ac:dyDescent="0.2">
      <c r="A126" s="335">
        <v>1001280342</v>
      </c>
      <c r="B126" s="336" t="s">
        <v>994</v>
      </c>
      <c r="C126" s="336" t="s">
        <v>800</v>
      </c>
      <c r="D126" s="336" t="s">
        <v>809</v>
      </c>
      <c r="E126" s="336" t="s">
        <v>373</v>
      </c>
    </row>
    <row r="127" spans="1:5" x14ac:dyDescent="0.2">
      <c r="A127" s="335">
        <v>1001280514</v>
      </c>
      <c r="B127" s="336" t="s">
        <v>811</v>
      </c>
      <c r="C127" s="336" t="s">
        <v>797</v>
      </c>
      <c r="D127" s="336" t="s">
        <v>809</v>
      </c>
      <c r="E127" s="336" t="s">
        <v>373</v>
      </c>
    </row>
    <row r="128" spans="1:5" x14ac:dyDescent="0.2">
      <c r="A128" s="335">
        <v>1001280521</v>
      </c>
      <c r="B128" s="336" t="s">
        <v>1217</v>
      </c>
      <c r="C128" s="336" t="s">
        <v>813</v>
      </c>
      <c r="D128" s="336" t="s">
        <v>809</v>
      </c>
      <c r="E128" s="336" t="s">
        <v>373</v>
      </c>
    </row>
    <row r="129" spans="1:5" x14ac:dyDescent="0.2">
      <c r="A129" s="335">
        <v>1001280523</v>
      </c>
      <c r="B129" s="336" t="s">
        <v>1218</v>
      </c>
      <c r="C129" s="336" t="s">
        <v>813</v>
      </c>
      <c r="D129" s="336" t="s">
        <v>809</v>
      </c>
      <c r="E129" s="336" t="s">
        <v>373</v>
      </c>
    </row>
    <row r="130" spans="1:5" x14ac:dyDescent="0.2">
      <c r="A130" s="335">
        <v>1001280526</v>
      </c>
      <c r="B130" s="336" t="s">
        <v>1219</v>
      </c>
      <c r="C130" s="336" t="s">
        <v>813</v>
      </c>
      <c r="D130" s="336" t="s">
        <v>809</v>
      </c>
      <c r="E130" s="336" t="s">
        <v>373</v>
      </c>
    </row>
    <row r="131" spans="1:5" x14ac:dyDescent="0.2">
      <c r="A131" s="335">
        <v>1001280527</v>
      </c>
      <c r="B131" s="336" t="s">
        <v>1220</v>
      </c>
      <c r="C131" s="336" t="s">
        <v>813</v>
      </c>
      <c r="D131" s="336" t="s">
        <v>809</v>
      </c>
      <c r="E131" s="336" t="s">
        <v>373</v>
      </c>
    </row>
    <row r="132" spans="1:5" x14ac:dyDescent="0.2">
      <c r="A132" s="335">
        <v>1001280621</v>
      </c>
      <c r="B132" s="336" t="s">
        <v>1221</v>
      </c>
      <c r="C132" s="336" t="s">
        <v>813</v>
      </c>
      <c r="D132" s="336" t="s">
        <v>809</v>
      </c>
      <c r="E132" s="336" t="s">
        <v>373</v>
      </c>
    </row>
    <row r="133" spans="1:5" x14ac:dyDescent="0.2">
      <c r="A133" s="335">
        <v>1001280638</v>
      </c>
      <c r="B133" s="336" t="s">
        <v>1222</v>
      </c>
      <c r="C133" s="336" t="s">
        <v>813</v>
      </c>
      <c r="D133" s="336" t="s">
        <v>809</v>
      </c>
      <c r="E133" s="336" t="s">
        <v>373</v>
      </c>
    </row>
    <row r="134" spans="1:5" x14ac:dyDescent="0.2">
      <c r="A134" s="335">
        <v>1001280646</v>
      </c>
      <c r="B134" s="336" t="s">
        <v>996</v>
      </c>
      <c r="C134" s="336" t="s">
        <v>800</v>
      </c>
      <c r="D134" s="336" t="s">
        <v>809</v>
      </c>
      <c r="E134" s="336" t="s">
        <v>373</v>
      </c>
    </row>
    <row r="135" spans="1:5" x14ac:dyDescent="0.2">
      <c r="A135" s="335">
        <v>1001280663</v>
      </c>
      <c r="B135" s="336" t="s">
        <v>1223</v>
      </c>
      <c r="C135" s="336" t="s">
        <v>813</v>
      </c>
      <c r="D135" s="336" t="s">
        <v>809</v>
      </c>
      <c r="E135" s="336" t="s">
        <v>373</v>
      </c>
    </row>
    <row r="136" spans="1:5" x14ac:dyDescent="0.2">
      <c r="A136" s="335">
        <v>1001280665</v>
      </c>
      <c r="B136" s="336" t="s">
        <v>1224</v>
      </c>
      <c r="C136" s="336" t="s">
        <v>813</v>
      </c>
      <c r="D136" s="336" t="s">
        <v>809</v>
      </c>
      <c r="E136" s="336" t="s">
        <v>373</v>
      </c>
    </row>
    <row r="137" spans="1:5" x14ac:dyDescent="0.2">
      <c r="A137" s="335">
        <v>1001280716</v>
      </c>
      <c r="B137" s="336" t="s">
        <v>1225</v>
      </c>
      <c r="C137" s="336" t="s">
        <v>813</v>
      </c>
      <c r="D137" s="336" t="s">
        <v>809</v>
      </c>
      <c r="E137" s="336" t="s">
        <v>373</v>
      </c>
    </row>
    <row r="138" spans="1:5" x14ac:dyDescent="0.2">
      <c r="A138" s="335">
        <v>1001280725</v>
      </c>
      <c r="B138" s="336" t="s">
        <v>1226</v>
      </c>
      <c r="C138" s="336" t="s">
        <v>813</v>
      </c>
      <c r="D138" s="336" t="s">
        <v>809</v>
      </c>
      <c r="E138" s="336" t="s">
        <v>373</v>
      </c>
    </row>
    <row r="139" spans="1:5" x14ac:dyDescent="0.2">
      <c r="A139" s="335">
        <v>1001288841</v>
      </c>
      <c r="B139" s="336" t="s">
        <v>1089</v>
      </c>
      <c r="C139" s="336" t="s">
        <v>800</v>
      </c>
      <c r="D139" s="336" t="s">
        <v>809</v>
      </c>
      <c r="E139" s="336" t="s">
        <v>373</v>
      </c>
    </row>
    <row r="140" spans="1:5" x14ac:dyDescent="0.2">
      <c r="A140" s="335">
        <v>1001288922</v>
      </c>
      <c r="B140" s="336" t="s">
        <v>881</v>
      </c>
      <c r="C140" s="336" t="s">
        <v>797</v>
      </c>
      <c r="D140" s="336" t="s">
        <v>809</v>
      </c>
      <c r="E140" s="336" t="s">
        <v>373</v>
      </c>
    </row>
    <row r="141" spans="1:5" x14ac:dyDescent="0.2">
      <c r="A141" s="335">
        <v>1001288931</v>
      </c>
      <c r="B141" s="336" t="s">
        <v>1227</v>
      </c>
      <c r="C141" s="336" t="s">
        <v>797</v>
      </c>
      <c r="D141" s="336" t="s">
        <v>809</v>
      </c>
      <c r="E141" s="336" t="s">
        <v>373</v>
      </c>
    </row>
    <row r="142" spans="1:5" x14ac:dyDescent="0.2">
      <c r="A142" s="335">
        <v>1001290227</v>
      </c>
      <c r="B142" s="336" t="s">
        <v>811</v>
      </c>
      <c r="C142" s="336" t="s">
        <v>863</v>
      </c>
      <c r="D142" s="336" t="s">
        <v>809</v>
      </c>
      <c r="E142" s="336" t="s">
        <v>373</v>
      </c>
    </row>
    <row r="143" spans="1:5" x14ac:dyDescent="0.2">
      <c r="A143" s="335">
        <v>1001290229</v>
      </c>
      <c r="B143" s="336" t="s">
        <v>957</v>
      </c>
      <c r="C143" s="336" t="s">
        <v>863</v>
      </c>
      <c r="D143" s="336" t="s">
        <v>809</v>
      </c>
      <c r="E143" s="336" t="s">
        <v>373</v>
      </c>
    </row>
    <row r="144" spans="1:5" x14ac:dyDescent="0.2">
      <c r="A144" s="335">
        <v>1001290512</v>
      </c>
      <c r="B144" s="336" t="s">
        <v>1228</v>
      </c>
      <c r="C144" s="336" t="s">
        <v>813</v>
      </c>
      <c r="D144" s="336" t="s">
        <v>809</v>
      </c>
      <c r="E144" s="336" t="s">
        <v>373</v>
      </c>
    </row>
    <row r="145" spans="1:5" x14ac:dyDescent="0.2">
      <c r="A145" s="335">
        <v>1001290577</v>
      </c>
      <c r="B145" s="336" t="s">
        <v>1229</v>
      </c>
      <c r="C145" s="336" t="s">
        <v>863</v>
      </c>
      <c r="D145" s="336" t="s">
        <v>809</v>
      </c>
      <c r="E145" s="336" t="s">
        <v>373</v>
      </c>
    </row>
    <row r="146" spans="1:5" x14ac:dyDescent="0.2">
      <c r="A146" s="335">
        <v>1001290728</v>
      </c>
      <c r="B146" s="336" t="s">
        <v>811</v>
      </c>
      <c r="C146" s="336" t="s">
        <v>800</v>
      </c>
      <c r="D146" s="336" t="s">
        <v>809</v>
      </c>
      <c r="E146" s="336" t="s">
        <v>373</v>
      </c>
    </row>
    <row r="147" spans="1:5" x14ac:dyDescent="0.2">
      <c r="A147" s="335">
        <v>1001290834</v>
      </c>
      <c r="B147" s="336" t="s">
        <v>1230</v>
      </c>
      <c r="C147" s="336" t="s">
        <v>863</v>
      </c>
      <c r="D147" s="336" t="s">
        <v>809</v>
      </c>
      <c r="E147" s="336" t="s">
        <v>373</v>
      </c>
    </row>
    <row r="148" spans="1:5" x14ac:dyDescent="0.2">
      <c r="A148" s="335">
        <v>1001295232</v>
      </c>
      <c r="B148" s="336" t="s">
        <v>1231</v>
      </c>
      <c r="C148" s="336" t="s">
        <v>813</v>
      </c>
      <c r="D148" s="336" t="s">
        <v>809</v>
      </c>
      <c r="E148" s="336" t="s">
        <v>373</v>
      </c>
    </row>
    <row r="149" spans="1:5" x14ac:dyDescent="0.2">
      <c r="A149" s="335">
        <v>1001299400</v>
      </c>
      <c r="B149" s="336" t="s">
        <v>1148</v>
      </c>
      <c r="C149" s="336" t="s">
        <v>797</v>
      </c>
      <c r="D149" s="336" t="s">
        <v>809</v>
      </c>
      <c r="E149" s="336" t="s">
        <v>373</v>
      </c>
    </row>
    <row r="150" spans="1:5" x14ac:dyDescent="0.2">
      <c r="A150" s="335">
        <v>1001299404</v>
      </c>
      <c r="B150" s="336" t="s">
        <v>1232</v>
      </c>
      <c r="C150" s="336" t="s">
        <v>813</v>
      </c>
      <c r="D150" s="336" t="s">
        <v>809</v>
      </c>
      <c r="E150" s="336" t="s">
        <v>373</v>
      </c>
    </row>
    <row r="151" spans="1:5" x14ac:dyDescent="0.2">
      <c r="A151" s="335">
        <v>1001299408</v>
      </c>
      <c r="B151" s="336" t="s">
        <v>1233</v>
      </c>
      <c r="C151" s="336" t="s">
        <v>813</v>
      </c>
      <c r="D151" s="336" t="s">
        <v>809</v>
      </c>
      <c r="E151" s="336" t="s">
        <v>373</v>
      </c>
    </row>
    <row r="152" spans="1:5" x14ac:dyDescent="0.2">
      <c r="A152" s="335">
        <v>1001300373</v>
      </c>
      <c r="B152" s="336" t="s">
        <v>1234</v>
      </c>
      <c r="C152" s="336" t="s">
        <v>813</v>
      </c>
      <c r="D152" s="336" t="s">
        <v>809</v>
      </c>
      <c r="E152" s="336" t="s">
        <v>373</v>
      </c>
    </row>
    <row r="153" spans="1:5" x14ac:dyDescent="0.2">
      <c r="A153" s="335">
        <v>1001300378</v>
      </c>
      <c r="B153" s="336" t="s">
        <v>1235</v>
      </c>
      <c r="C153" s="336" t="s">
        <v>797</v>
      </c>
      <c r="D153" s="336" t="s">
        <v>809</v>
      </c>
      <c r="E153" s="336" t="s">
        <v>373</v>
      </c>
    </row>
    <row r="154" spans="1:5" x14ac:dyDescent="0.2">
      <c r="A154" s="335">
        <v>1001301954</v>
      </c>
      <c r="B154" s="336" t="s">
        <v>1236</v>
      </c>
      <c r="C154" s="336" t="s">
        <v>863</v>
      </c>
      <c r="D154" s="336" t="s">
        <v>809</v>
      </c>
      <c r="E154" s="336" t="s">
        <v>373</v>
      </c>
    </row>
    <row r="155" spans="1:5" x14ac:dyDescent="0.2">
      <c r="A155" s="335">
        <v>1001301995</v>
      </c>
      <c r="B155" s="336" t="s">
        <v>1237</v>
      </c>
      <c r="C155" s="336" t="s">
        <v>813</v>
      </c>
      <c r="D155" s="336" t="s">
        <v>809</v>
      </c>
      <c r="E155" s="336" t="s">
        <v>373</v>
      </c>
    </row>
    <row r="156" spans="1:5" x14ac:dyDescent="0.2">
      <c r="A156" s="335">
        <v>1001301996</v>
      </c>
      <c r="B156" s="336" t="s">
        <v>1238</v>
      </c>
      <c r="C156" s="336" t="s">
        <v>863</v>
      </c>
      <c r="D156" s="336" t="s">
        <v>809</v>
      </c>
      <c r="E156" s="336" t="s">
        <v>373</v>
      </c>
    </row>
    <row r="157" spans="1:5" x14ac:dyDescent="0.2">
      <c r="A157" s="335">
        <v>1001302043</v>
      </c>
      <c r="B157" s="336" t="s">
        <v>1239</v>
      </c>
      <c r="C157" s="336" t="s">
        <v>813</v>
      </c>
      <c r="D157" s="336" t="s">
        <v>809</v>
      </c>
      <c r="E157" s="336" t="s">
        <v>373</v>
      </c>
    </row>
    <row r="158" spans="1:5" x14ac:dyDescent="0.2">
      <c r="A158" s="335">
        <v>1001302077</v>
      </c>
      <c r="B158" s="336" t="s">
        <v>811</v>
      </c>
      <c r="C158" s="336" t="s">
        <v>813</v>
      </c>
      <c r="D158" s="336" t="s">
        <v>809</v>
      </c>
      <c r="E158" s="336" t="s">
        <v>373</v>
      </c>
    </row>
    <row r="159" spans="1:5" x14ac:dyDescent="0.2">
      <c r="A159" s="335">
        <v>1001302078</v>
      </c>
      <c r="B159" s="336" t="s">
        <v>1240</v>
      </c>
      <c r="C159" s="336" t="s">
        <v>797</v>
      </c>
      <c r="D159" s="336" t="s">
        <v>809</v>
      </c>
      <c r="E159" s="336" t="s">
        <v>373</v>
      </c>
    </row>
    <row r="160" spans="1:5" x14ac:dyDescent="0.2">
      <c r="A160" s="335">
        <v>1001302113</v>
      </c>
      <c r="B160" s="336" t="s">
        <v>978</v>
      </c>
      <c r="C160" s="336" t="s">
        <v>813</v>
      </c>
      <c r="D160" s="336" t="s">
        <v>809</v>
      </c>
      <c r="E160" s="336" t="s">
        <v>373</v>
      </c>
    </row>
    <row r="161" spans="1:5" x14ac:dyDescent="0.2">
      <c r="A161" s="335">
        <v>1001302291</v>
      </c>
      <c r="B161" s="336" t="s">
        <v>1241</v>
      </c>
      <c r="C161" s="336" t="s">
        <v>813</v>
      </c>
      <c r="D161" s="336" t="s">
        <v>809</v>
      </c>
      <c r="E161" s="336" t="s">
        <v>373</v>
      </c>
    </row>
    <row r="162" spans="1:5" x14ac:dyDescent="0.2">
      <c r="A162" s="335">
        <v>1001302426</v>
      </c>
      <c r="B162" s="336" t="s">
        <v>1102</v>
      </c>
      <c r="C162" s="336" t="s">
        <v>863</v>
      </c>
      <c r="D162" s="336" t="s">
        <v>809</v>
      </c>
      <c r="E162" s="336" t="s">
        <v>373</v>
      </c>
    </row>
    <row r="163" spans="1:5" x14ac:dyDescent="0.2">
      <c r="A163" s="335">
        <v>1001302428</v>
      </c>
      <c r="B163" s="336" t="s">
        <v>1103</v>
      </c>
      <c r="C163" s="336" t="s">
        <v>797</v>
      </c>
      <c r="D163" s="336" t="s">
        <v>809</v>
      </c>
      <c r="E163" s="336" t="s">
        <v>373</v>
      </c>
    </row>
    <row r="164" spans="1:5" x14ac:dyDescent="0.2">
      <c r="A164" s="335">
        <v>1001302439</v>
      </c>
      <c r="B164" s="336" t="s">
        <v>1242</v>
      </c>
      <c r="C164" s="336" t="s">
        <v>813</v>
      </c>
      <c r="D164" s="336" t="s">
        <v>809</v>
      </c>
      <c r="E164" s="336" t="s">
        <v>373</v>
      </c>
    </row>
    <row r="165" spans="1:5" x14ac:dyDescent="0.2">
      <c r="A165" s="335">
        <v>1001302446</v>
      </c>
      <c r="B165" s="336" t="s">
        <v>1102</v>
      </c>
      <c r="C165" s="336" t="s">
        <v>797</v>
      </c>
      <c r="D165" s="336" t="s">
        <v>809</v>
      </c>
      <c r="E165" s="336" t="s">
        <v>373</v>
      </c>
    </row>
    <row r="166" spans="1:5" x14ac:dyDescent="0.2">
      <c r="A166" s="335">
        <v>1001302463</v>
      </c>
      <c r="B166" s="336" t="s">
        <v>1243</v>
      </c>
      <c r="C166" s="336" t="s">
        <v>813</v>
      </c>
      <c r="D166" s="336" t="s">
        <v>809</v>
      </c>
      <c r="E166" s="336" t="s">
        <v>373</v>
      </c>
    </row>
    <row r="167" spans="1:5" x14ac:dyDescent="0.2">
      <c r="A167" s="335">
        <v>1001302490</v>
      </c>
      <c r="B167" s="336" t="s">
        <v>1244</v>
      </c>
      <c r="C167" s="336" t="s">
        <v>797</v>
      </c>
      <c r="D167" s="336" t="s">
        <v>809</v>
      </c>
      <c r="E167" s="336" t="s">
        <v>373</v>
      </c>
    </row>
    <row r="168" spans="1:5" x14ac:dyDescent="0.2">
      <c r="A168" s="335">
        <v>1001302540</v>
      </c>
      <c r="B168" s="336" t="s">
        <v>1245</v>
      </c>
      <c r="C168" s="336" t="s">
        <v>813</v>
      </c>
      <c r="D168" s="336" t="s">
        <v>809</v>
      </c>
      <c r="E168" s="336" t="s">
        <v>373</v>
      </c>
    </row>
    <row r="169" spans="1:5" x14ac:dyDescent="0.2">
      <c r="A169" s="335">
        <v>1001302578</v>
      </c>
      <c r="B169" s="336" t="s">
        <v>1246</v>
      </c>
      <c r="C169" s="336" t="s">
        <v>813</v>
      </c>
      <c r="D169" s="336" t="s">
        <v>809</v>
      </c>
      <c r="E169" s="336" t="s">
        <v>373</v>
      </c>
    </row>
    <row r="170" spans="1:5" x14ac:dyDescent="0.2">
      <c r="A170" s="335">
        <v>1001302644</v>
      </c>
      <c r="B170" s="336" t="s">
        <v>1232</v>
      </c>
      <c r="C170" s="336" t="s">
        <v>813</v>
      </c>
      <c r="D170" s="336" t="s">
        <v>809</v>
      </c>
      <c r="E170" s="336" t="s">
        <v>373</v>
      </c>
    </row>
    <row r="171" spans="1:5" x14ac:dyDescent="0.2">
      <c r="A171" s="335">
        <v>1001311678</v>
      </c>
      <c r="B171" s="336" t="s">
        <v>828</v>
      </c>
      <c r="C171" s="336" t="s">
        <v>797</v>
      </c>
      <c r="D171" s="336" t="s">
        <v>809</v>
      </c>
      <c r="E171" s="336" t="s">
        <v>373</v>
      </c>
    </row>
    <row r="172" spans="1:5" x14ac:dyDescent="0.2">
      <c r="A172" s="335">
        <v>1001311679</v>
      </c>
      <c r="B172" s="336" t="s">
        <v>940</v>
      </c>
      <c r="C172" s="336" t="s">
        <v>813</v>
      </c>
      <c r="D172" s="336" t="s">
        <v>809</v>
      </c>
      <c r="E172" s="336" t="s">
        <v>373</v>
      </c>
    </row>
    <row r="173" spans="1:5" x14ac:dyDescent="0.2">
      <c r="A173" s="335">
        <v>1001311735</v>
      </c>
      <c r="B173" s="336" t="s">
        <v>1247</v>
      </c>
      <c r="C173" s="336" t="s">
        <v>863</v>
      </c>
      <c r="D173" s="336" t="s">
        <v>809</v>
      </c>
      <c r="E173" s="336" t="s">
        <v>373</v>
      </c>
    </row>
    <row r="174" spans="1:5" x14ac:dyDescent="0.2">
      <c r="A174" s="335">
        <v>1001311938</v>
      </c>
      <c r="B174" s="336" t="s">
        <v>1248</v>
      </c>
      <c r="C174" s="336" t="s">
        <v>813</v>
      </c>
      <c r="D174" s="336" t="s">
        <v>809</v>
      </c>
      <c r="E174" s="336" t="s">
        <v>373</v>
      </c>
    </row>
    <row r="175" spans="1:5" x14ac:dyDescent="0.2">
      <c r="A175" s="335">
        <v>1001311961</v>
      </c>
      <c r="B175" s="336" t="s">
        <v>1249</v>
      </c>
      <c r="C175" s="336" t="s">
        <v>813</v>
      </c>
      <c r="D175" s="336" t="s">
        <v>809</v>
      </c>
      <c r="E175" s="336" t="s">
        <v>373</v>
      </c>
    </row>
    <row r="176" spans="1:5" x14ac:dyDescent="0.2">
      <c r="A176" s="335">
        <v>1001312082</v>
      </c>
      <c r="B176" s="336" t="s">
        <v>1250</v>
      </c>
      <c r="C176" s="336" t="s">
        <v>813</v>
      </c>
      <c r="D176" s="336" t="s">
        <v>809</v>
      </c>
      <c r="E176" s="336" t="s">
        <v>373</v>
      </c>
    </row>
    <row r="177" spans="1:5" x14ac:dyDescent="0.2">
      <c r="A177" s="335">
        <v>1001312085</v>
      </c>
      <c r="B177" s="336" t="s">
        <v>1251</v>
      </c>
      <c r="C177" s="336" t="s">
        <v>813</v>
      </c>
      <c r="D177" s="336" t="s">
        <v>809</v>
      </c>
      <c r="E177" s="336" t="s">
        <v>373</v>
      </c>
    </row>
    <row r="178" spans="1:5" x14ac:dyDescent="0.2">
      <c r="A178" s="335">
        <v>1001312090</v>
      </c>
      <c r="B178" s="336" t="s">
        <v>1252</v>
      </c>
      <c r="C178" s="336" t="s">
        <v>813</v>
      </c>
      <c r="D178" s="336" t="s">
        <v>809</v>
      </c>
      <c r="E178" s="336" t="s">
        <v>373</v>
      </c>
    </row>
    <row r="179" spans="1:5" x14ac:dyDescent="0.2">
      <c r="A179" s="335">
        <v>1001312181</v>
      </c>
      <c r="B179" s="336" t="s">
        <v>1253</v>
      </c>
      <c r="C179" s="336" t="s">
        <v>813</v>
      </c>
      <c r="D179" s="336" t="s">
        <v>809</v>
      </c>
      <c r="E179" s="336" t="s">
        <v>373</v>
      </c>
    </row>
    <row r="180" spans="1:5" x14ac:dyDescent="0.2">
      <c r="A180" s="335">
        <v>1001312201</v>
      </c>
      <c r="B180" s="336" t="s">
        <v>1254</v>
      </c>
      <c r="C180" s="336" t="s">
        <v>813</v>
      </c>
      <c r="D180" s="336" t="s">
        <v>809</v>
      </c>
      <c r="E180" s="336" t="s">
        <v>373</v>
      </c>
    </row>
    <row r="181" spans="1:5" x14ac:dyDescent="0.2">
      <c r="A181" s="335">
        <v>1001312203</v>
      </c>
      <c r="B181" s="336" t="s">
        <v>1255</v>
      </c>
      <c r="C181" s="336" t="s">
        <v>813</v>
      </c>
      <c r="D181" s="336" t="s">
        <v>809</v>
      </c>
      <c r="E181" s="336" t="s">
        <v>373</v>
      </c>
    </row>
    <row r="182" spans="1:5" x14ac:dyDescent="0.2">
      <c r="A182" s="335">
        <v>1001312304</v>
      </c>
      <c r="B182" s="336" t="s">
        <v>1234</v>
      </c>
      <c r="C182" s="336" t="s">
        <v>863</v>
      </c>
      <c r="D182" s="336" t="s">
        <v>809</v>
      </c>
      <c r="E182" s="336" t="s">
        <v>373</v>
      </c>
    </row>
    <row r="183" spans="1:5" x14ac:dyDescent="0.2">
      <c r="A183" s="335">
        <v>1001312878</v>
      </c>
      <c r="B183" s="336" t="s">
        <v>1256</v>
      </c>
      <c r="C183" s="336" t="s">
        <v>813</v>
      </c>
      <c r="D183" s="336" t="s">
        <v>809</v>
      </c>
      <c r="E183" s="336" t="s">
        <v>373</v>
      </c>
    </row>
    <row r="184" spans="1:5" x14ac:dyDescent="0.2">
      <c r="A184" s="335">
        <v>1001312891</v>
      </c>
      <c r="B184" s="336" t="s">
        <v>1257</v>
      </c>
      <c r="C184" s="336" t="s">
        <v>863</v>
      </c>
      <c r="D184" s="336" t="s">
        <v>809</v>
      </c>
      <c r="E184" s="336" t="s">
        <v>373</v>
      </c>
    </row>
    <row r="185" spans="1:5" x14ac:dyDescent="0.2">
      <c r="A185" s="335">
        <v>1001312892</v>
      </c>
      <c r="B185" s="336" t="s">
        <v>1258</v>
      </c>
      <c r="C185" s="336" t="s">
        <v>813</v>
      </c>
      <c r="D185" s="336" t="s">
        <v>809</v>
      </c>
      <c r="E185" s="336" t="s">
        <v>373</v>
      </c>
    </row>
    <row r="186" spans="1:5" x14ac:dyDescent="0.2">
      <c r="A186" s="335">
        <v>1001312946</v>
      </c>
      <c r="B186" s="336" t="s">
        <v>1259</v>
      </c>
      <c r="C186" s="336" t="s">
        <v>813</v>
      </c>
      <c r="D186" s="336" t="s">
        <v>809</v>
      </c>
      <c r="E186" s="336" t="s">
        <v>373</v>
      </c>
    </row>
    <row r="187" spans="1:5" x14ac:dyDescent="0.2">
      <c r="A187" s="335">
        <v>1001320300</v>
      </c>
      <c r="B187" s="336" t="s">
        <v>1260</v>
      </c>
      <c r="C187" s="336" t="s">
        <v>813</v>
      </c>
      <c r="D187" s="336" t="s">
        <v>809</v>
      </c>
      <c r="E187" s="336" t="s">
        <v>373</v>
      </c>
    </row>
    <row r="188" spans="1:5" x14ac:dyDescent="0.2">
      <c r="A188" s="335">
        <v>1001320301</v>
      </c>
      <c r="B188" s="336" t="s">
        <v>1261</v>
      </c>
      <c r="C188" s="336" t="s">
        <v>813</v>
      </c>
      <c r="D188" s="336" t="s">
        <v>809</v>
      </c>
      <c r="E188" s="336" t="s">
        <v>373</v>
      </c>
    </row>
    <row r="189" spans="1:5" x14ac:dyDescent="0.2">
      <c r="A189" s="335">
        <v>1001344724</v>
      </c>
      <c r="B189" s="336" t="s">
        <v>1262</v>
      </c>
      <c r="C189" s="336" t="s">
        <v>800</v>
      </c>
      <c r="D189" s="336" t="s">
        <v>809</v>
      </c>
      <c r="E189" s="336" t="s">
        <v>373</v>
      </c>
    </row>
    <row r="190" spans="1:5" x14ac:dyDescent="0.2">
      <c r="A190" s="335">
        <v>1001334756</v>
      </c>
      <c r="B190" s="336" t="s">
        <v>1263</v>
      </c>
      <c r="C190" s="336" t="s">
        <v>800</v>
      </c>
      <c r="D190" s="336" t="s">
        <v>1264</v>
      </c>
      <c r="E190" s="336" t="s">
        <v>1265</v>
      </c>
    </row>
    <row r="191" spans="1:5" x14ac:dyDescent="0.2">
      <c r="A191" s="335">
        <v>1001342839</v>
      </c>
      <c r="B191" s="336" t="s">
        <v>1266</v>
      </c>
      <c r="C191" s="336" t="s">
        <v>800</v>
      </c>
      <c r="D191" s="336" t="s">
        <v>1264</v>
      </c>
      <c r="E191" s="336" t="s">
        <v>1265</v>
      </c>
    </row>
    <row r="192" spans="1:5" x14ac:dyDescent="0.2">
      <c r="A192" s="335">
        <v>1001326913</v>
      </c>
      <c r="B192" s="336" t="s">
        <v>1267</v>
      </c>
      <c r="C192" s="336" t="s">
        <v>800</v>
      </c>
      <c r="D192" s="336" t="s">
        <v>1268</v>
      </c>
      <c r="E192" s="336" t="s">
        <v>1269</v>
      </c>
    </row>
    <row r="193" spans="1:5" x14ac:dyDescent="0.2">
      <c r="A193" s="335">
        <v>1001326914</v>
      </c>
      <c r="B193" s="336" t="s">
        <v>1270</v>
      </c>
      <c r="C193" s="336" t="s">
        <v>800</v>
      </c>
      <c r="D193" s="336" t="s">
        <v>1268</v>
      </c>
      <c r="E193" s="336" t="s">
        <v>1269</v>
      </c>
    </row>
    <row r="194" spans="1:5" x14ac:dyDescent="0.2">
      <c r="A194" s="335">
        <v>1001326915</v>
      </c>
      <c r="B194" s="336" t="s">
        <v>1270</v>
      </c>
      <c r="C194" s="336" t="s">
        <v>800</v>
      </c>
      <c r="D194" s="336" t="s">
        <v>1268</v>
      </c>
      <c r="E194" s="336" t="s">
        <v>1269</v>
      </c>
    </row>
    <row r="195" spans="1:5" x14ac:dyDescent="0.2">
      <c r="A195" s="335">
        <v>1001326916</v>
      </c>
      <c r="B195" s="336" t="s">
        <v>1270</v>
      </c>
      <c r="C195" s="336" t="s">
        <v>800</v>
      </c>
      <c r="D195" s="336" t="s">
        <v>1268</v>
      </c>
      <c r="E195" s="336" t="s">
        <v>1269</v>
      </c>
    </row>
    <row r="196" spans="1:5" x14ac:dyDescent="0.2">
      <c r="A196" s="335">
        <v>1001326917</v>
      </c>
      <c r="B196" s="336" t="s">
        <v>1270</v>
      </c>
      <c r="C196" s="336" t="s">
        <v>800</v>
      </c>
      <c r="D196" s="336" t="s">
        <v>1268</v>
      </c>
      <c r="E196" s="336" t="s">
        <v>1269</v>
      </c>
    </row>
    <row r="197" spans="1:5" x14ac:dyDescent="0.2">
      <c r="A197" s="335">
        <v>1001326918</v>
      </c>
      <c r="B197" s="336" t="s">
        <v>1270</v>
      </c>
      <c r="C197" s="336" t="s">
        <v>800</v>
      </c>
      <c r="D197" s="336" t="s">
        <v>1268</v>
      </c>
      <c r="E197" s="336" t="s">
        <v>1269</v>
      </c>
    </row>
    <row r="198" spans="1:5" x14ac:dyDescent="0.2">
      <c r="A198" s="335">
        <v>1001326919</v>
      </c>
      <c r="B198" s="336" t="s">
        <v>1271</v>
      </c>
      <c r="C198" s="336" t="s">
        <v>800</v>
      </c>
      <c r="D198" s="336" t="s">
        <v>1268</v>
      </c>
      <c r="E198" s="336" t="s">
        <v>1269</v>
      </c>
    </row>
    <row r="199" spans="1:5" x14ac:dyDescent="0.2">
      <c r="A199" s="335">
        <v>1001326950</v>
      </c>
      <c r="B199" s="336" t="s">
        <v>1271</v>
      </c>
      <c r="C199" s="336" t="s">
        <v>800</v>
      </c>
      <c r="D199" s="336" t="s">
        <v>1268</v>
      </c>
      <c r="E199" s="336" t="s">
        <v>1269</v>
      </c>
    </row>
    <row r="200" spans="1:5" x14ac:dyDescent="0.2">
      <c r="A200" s="335">
        <v>1001326951</v>
      </c>
      <c r="B200" s="336" t="s">
        <v>1271</v>
      </c>
      <c r="C200" s="336" t="s">
        <v>800</v>
      </c>
      <c r="D200" s="336" t="s">
        <v>1268</v>
      </c>
      <c r="E200" s="336" t="s">
        <v>1269</v>
      </c>
    </row>
    <row r="201" spans="1:5" x14ac:dyDescent="0.2">
      <c r="A201" s="335">
        <v>1001326952</v>
      </c>
      <c r="B201" s="336" t="s">
        <v>1271</v>
      </c>
      <c r="C201" s="336" t="s">
        <v>800</v>
      </c>
      <c r="D201" s="336" t="s">
        <v>1268</v>
      </c>
      <c r="E201" s="336" t="s">
        <v>1269</v>
      </c>
    </row>
    <row r="202" spans="1:5" x14ac:dyDescent="0.2">
      <c r="A202" s="335">
        <v>1001326953</v>
      </c>
      <c r="B202" s="336" t="s">
        <v>1271</v>
      </c>
      <c r="C202" s="336" t="s">
        <v>800</v>
      </c>
      <c r="D202" s="336" t="s">
        <v>1268</v>
      </c>
      <c r="E202" s="336" t="s">
        <v>1269</v>
      </c>
    </row>
    <row r="203" spans="1:5" x14ac:dyDescent="0.2">
      <c r="A203" s="335">
        <v>1001326954</v>
      </c>
      <c r="B203" s="336" t="s">
        <v>1271</v>
      </c>
      <c r="C203" s="336" t="s">
        <v>1272</v>
      </c>
      <c r="D203" s="336" t="s">
        <v>1268</v>
      </c>
      <c r="E203" s="336" t="s">
        <v>1269</v>
      </c>
    </row>
    <row r="204" spans="1:5" x14ac:dyDescent="0.2">
      <c r="A204" s="335">
        <v>1001326955</v>
      </c>
      <c r="B204" s="336" t="s">
        <v>1271</v>
      </c>
      <c r="C204" s="336" t="s">
        <v>800</v>
      </c>
      <c r="D204" s="336" t="s">
        <v>1268</v>
      </c>
      <c r="E204" s="336" t="s">
        <v>1269</v>
      </c>
    </row>
    <row r="205" spans="1:5" x14ac:dyDescent="0.2">
      <c r="A205" s="335">
        <v>1001326956</v>
      </c>
      <c r="B205" s="336" t="s">
        <v>1271</v>
      </c>
      <c r="C205" s="336" t="s">
        <v>800</v>
      </c>
      <c r="D205" s="336" t="s">
        <v>1268</v>
      </c>
      <c r="E205" s="336" t="s">
        <v>1269</v>
      </c>
    </row>
    <row r="206" spans="1:5" x14ac:dyDescent="0.2">
      <c r="A206" s="335">
        <v>1001326957</v>
      </c>
      <c r="B206" s="336" t="s">
        <v>1271</v>
      </c>
      <c r="C206" s="336" t="s">
        <v>800</v>
      </c>
      <c r="D206" s="336" t="s">
        <v>1268</v>
      </c>
      <c r="E206" s="336" t="s">
        <v>1269</v>
      </c>
    </row>
    <row r="207" spans="1:5" x14ac:dyDescent="0.2">
      <c r="A207" s="335">
        <v>1001326958</v>
      </c>
      <c r="B207" s="336" t="s">
        <v>1273</v>
      </c>
      <c r="C207" s="336" t="s">
        <v>800</v>
      </c>
      <c r="D207" s="336" t="s">
        <v>1268</v>
      </c>
      <c r="E207" s="336" t="s">
        <v>1269</v>
      </c>
    </row>
    <row r="208" spans="1:5" x14ac:dyDescent="0.2">
      <c r="A208" s="335">
        <v>1001326959</v>
      </c>
      <c r="B208" s="336" t="s">
        <v>1273</v>
      </c>
      <c r="C208" s="336" t="s">
        <v>800</v>
      </c>
      <c r="D208" s="336" t="s">
        <v>1268</v>
      </c>
      <c r="E208" s="336" t="s">
        <v>1269</v>
      </c>
    </row>
    <row r="209" spans="1:5" x14ac:dyDescent="0.2">
      <c r="A209" s="335">
        <v>1001326970</v>
      </c>
      <c r="B209" s="336" t="s">
        <v>1273</v>
      </c>
      <c r="C209" s="336" t="s">
        <v>800</v>
      </c>
      <c r="D209" s="336" t="s">
        <v>1268</v>
      </c>
      <c r="E209" s="336" t="s">
        <v>1269</v>
      </c>
    </row>
    <row r="210" spans="1:5" x14ac:dyDescent="0.2">
      <c r="A210" s="335">
        <v>1001326971</v>
      </c>
      <c r="B210" s="336" t="s">
        <v>1273</v>
      </c>
      <c r="C210" s="336" t="s">
        <v>800</v>
      </c>
      <c r="D210" s="336" t="s">
        <v>1268</v>
      </c>
      <c r="E210" s="336" t="s">
        <v>1269</v>
      </c>
    </row>
    <row r="211" spans="1:5" x14ac:dyDescent="0.2">
      <c r="A211" s="335">
        <v>1001326972</v>
      </c>
      <c r="B211" s="336" t="s">
        <v>1273</v>
      </c>
      <c r="C211" s="336" t="s">
        <v>800</v>
      </c>
      <c r="D211" s="336" t="s">
        <v>1268</v>
      </c>
      <c r="E211" s="336" t="s">
        <v>1269</v>
      </c>
    </row>
    <row r="212" spans="1:5" x14ac:dyDescent="0.2">
      <c r="A212" s="335">
        <v>1001326973</v>
      </c>
      <c r="B212" s="336" t="s">
        <v>1273</v>
      </c>
      <c r="C212" s="336" t="s">
        <v>800</v>
      </c>
      <c r="D212" s="336" t="s">
        <v>1268</v>
      </c>
      <c r="E212" s="336" t="s">
        <v>1269</v>
      </c>
    </row>
    <row r="213" spans="1:5" x14ac:dyDescent="0.2">
      <c r="A213" s="335">
        <v>1001326974</v>
      </c>
      <c r="B213" s="336" t="s">
        <v>1273</v>
      </c>
      <c r="C213" s="336" t="s">
        <v>800</v>
      </c>
      <c r="D213" s="336" t="s">
        <v>1268</v>
      </c>
      <c r="E213" s="336" t="s">
        <v>1269</v>
      </c>
    </row>
    <row r="214" spans="1:5" x14ac:dyDescent="0.2">
      <c r="A214" s="335">
        <v>1001326975</v>
      </c>
      <c r="B214" s="336" t="s">
        <v>1273</v>
      </c>
      <c r="C214" s="336" t="s">
        <v>800</v>
      </c>
      <c r="D214" s="336" t="s">
        <v>1268</v>
      </c>
      <c r="E214" s="336" t="s">
        <v>1269</v>
      </c>
    </row>
    <row r="215" spans="1:5" x14ac:dyDescent="0.2">
      <c r="A215" s="335">
        <v>1001326976</v>
      </c>
      <c r="B215" s="336" t="s">
        <v>1273</v>
      </c>
      <c r="C215" s="336" t="s">
        <v>800</v>
      </c>
      <c r="D215" s="336" t="s">
        <v>1268</v>
      </c>
      <c r="E215" s="336" t="s">
        <v>1269</v>
      </c>
    </row>
    <row r="216" spans="1:5" x14ac:dyDescent="0.2">
      <c r="A216" s="335">
        <v>1001326977</v>
      </c>
      <c r="B216" s="336" t="s">
        <v>1274</v>
      </c>
      <c r="C216" s="336" t="s">
        <v>800</v>
      </c>
      <c r="D216" s="336" t="s">
        <v>1268</v>
      </c>
      <c r="E216" s="336" t="s">
        <v>1269</v>
      </c>
    </row>
    <row r="217" spans="1:5" x14ac:dyDescent="0.2">
      <c r="A217" s="335">
        <v>1001326978</v>
      </c>
      <c r="B217" s="336" t="s">
        <v>1274</v>
      </c>
      <c r="C217" s="336" t="s">
        <v>800</v>
      </c>
      <c r="D217" s="336" t="s">
        <v>1268</v>
      </c>
      <c r="E217" s="336" t="s">
        <v>1269</v>
      </c>
    </row>
    <row r="218" spans="1:5" x14ac:dyDescent="0.2">
      <c r="A218" s="335">
        <v>1001326979</v>
      </c>
      <c r="B218" s="336" t="s">
        <v>1274</v>
      </c>
      <c r="C218" s="336" t="s">
        <v>800</v>
      </c>
      <c r="D218" s="336" t="s">
        <v>1268</v>
      </c>
      <c r="E218" s="336" t="s">
        <v>1269</v>
      </c>
    </row>
    <row r="219" spans="1:5" x14ac:dyDescent="0.2">
      <c r="A219" s="335">
        <v>1001326980</v>
      </c>
      <c r="B219" s="336" t="s">
        <v>1274</v>
      </c>
      <c r="C219" s="336" t="s">
        <v>800</v>
      </c>
      <c r="D219" s="336" t="s">
        <v>1268</v>
      </c>
      <c r="E219" s="336" t="s">
        <v>1269</v>
      </c>
    </row>
    <row r="220" spans="1:5" x14ac:dyDescent="0.2">
      <c r="A220" s="335">
        <v>1001326981</v>
      </c>
      <c r="B220" s="336" t="s">
        <v>1274</v>
      </c>
      <c r="C220" s="336" t="s">
        <v>800</v>
      </c>
      <c r="D220" s="336" t="s">
        <v>1268</v>
      </c>
      <c r="E220" s="336" t="s">
        <v>1269</v>
      </c>
    </row>
    <row r="221" spans="1:5" x14ac:dyDescent="0.2">
      <c r="A221" s="335">
        <v>1001326982</v>
      </c>
      <c r="B221" s="336" t="s">
        <v>1270</v>
      </c>
      <c r="C221" s="336" t="s">
        <v>800</v>
      </c>
      <c r="D221" s="336" t="s">
        <v>1268</v>
      </c>
      <c r="E221" s="336" t="s">
        <v>1269</v>
      </c>
    </row>
    <row r="222" spans="1:5" x14ac:dyDescent="0.2">
      <c r="A222" s="335">
        <v>1001262085</v>
      </c>
      <c r="B222" s="336" t="s">
        <v>1275</v>
      </c>
      <c r="C222" s="336" t="s">
        <v>863</v>
      </c>
      <c r="D222" s="336" t="s">
        <v>913</v>
      </c>
      <c r="E222" s="336" t="s">
        <v>914</v>
      </c>
    </row>
    <row r="223" spans="1:5" x14ac:dyDescent="0.2">
      <c r="A223" s="335">
        <v>1001262170</v>
      </c>
      <c r="B223" s="336" t="s">
        <v>1276</v>
      </c>
      <c r="C223" s="336" t="s">
        <v>797</v>
      </c>
      <c r="D223" s="336" t="s">
        <v>913</v>
      </c>
      <c r="E223" s="336" t="s">
        <v>914</v>
      </c>
    </row>
    <row r="224" spans="1:5" x14ac:dyDescent="0.2">
      <c r="A224" s="335">
        <v>1001262174</v>
      </c>
      <c r="B224" s="336" t="s">
        <v>1277</v>
      </c>
      <c r="C224" s="336" t="s">
        <v>797</v>
      </c>
      <c r="D224" s="336" t="s">
        <v>913</v>
      </c>
      <c r="E224" s="336" t="s">
        <v>914</v>
      </c>
    </row>
    <row r="225" spans="1:5" x14ac:dyDescent="0.2">
      <c r="A225" s="335">
        <v>1001262394</v>
      </c>
      <c r="B225" s="336" t="s">
        <v>1278</v>
      </c>
      <c r="C225" s="336" t="s">
        <v>863</v>
      </c>
      <c r="D225" s="336" t="s">
        <v>913</v>
      </c>
      <c r="E225" s="336" t="s">
        <v>914</v>
      </c>
    </row>
    <row r="226" spans="1:5" x14ac:dyDescent="0.2">
      <c r="A226" s="335">
        <v>1001262440</v>
      </c>
      <c r="B226" s="336" t="s">
        <v>1279</v>
      </c>
      <c r="C226" s="336" t="s">
        <v>800</v>
      </c>
      <c r="D226" s="336" t="s">
        <v>913</v>
      </c>
      <c r="E226" s="336" t="s">
        <v>914</v>
      </c>
    </row>
    <row r="227" spans="1:5" x14ac:dyDescent="0.2">
      <c r="A227" s="335">
        <v>1001262450</v>
      </c>
      <c r="B227" s="336" t="s">
        <v>1280</v>
      </c>
      <c r="C227" s="336" t="s">
        <v>800</v>
      </c>
      <c r="D227" s="336" t="s">
        <v>913</v>
      </c>
      <c r="E227" s="336" t="s">
        <v>914</v>
      </c>
    </row>
    <row r="228" spans="1:5" x14ac:dyDescent="0.2">
      <c r="A228" s="335">
        <v>1001262675</v>
      </c>
      <c r="B228" s="336" t="s">
        <v>1281</v>
      </c>
      <c r="C228" s="336" t="s">
        <v>797</v>
      </c>
      <c r="D228" s="336" t="s">
        <v>913</v>
      </c>
      <c r="E228" s="336" t="s">
        <v>914</v>
      </c>
    </row>
    <row r="229" spans="1:5" x14ac:dyDescent="0.2">
      <c r="A229" s="335">
        <v>1001263007</v>
      </c>
      <c r="B229" s="336" t="s">
        <v>1282</v>
      </c>
      <c r="C229" s="336" t="s">
        <v>797</v>
      </c>
      <c r="D229" s="336" t="s">
        <v>913</v>
      </c>
      <c r="E229" s="336" t="s">
        <v>914</v>
      </c>
    </row>
    <row r="230" spans="1:5" x14ac:dyDescent="0.2">
      <c r="A230" s="335">
        <v>1001263056</v>
      </c>
      <c r="B230" s="336" t="s">
        <v>822</v>
      </c>
      <c r="C230" s="336" t="s">
        <v>813</v>
      </c>
      <c r="D230" s="336" t="s">
        <v>913</v>
      </c>
      <c r="E230" s="336" t="s">
        <v>914</v>
      </c>
    </row>
    <row r="231" spans="1:5" x14ac:dyDescent="0.2">
      <c r="A231" s="335">
        <v>1001263093</v>
      </c>
      <c r="B231" s="336" t="s">
        <v>799</v>
      </c>
      <c r="C231" s="336" t="s">
        <v>797</v>
      </c>
      <c r="D231" s="336" t="s">
        <v>913</v>
      </c>
      <c r="E231" s="336" t="s">
        <v>914</v>
      </c>
    </row>
    <row r="232" spans="1:5" x14ac:dyDescent="0.2">
      <c r="A232" s="335">
        <v>1001263169</v>
      </c>
      <c r="B232" s="336" t="s">
        <v>1283</v>
      </c>
      <c r="C232" s="336" t="s">
        <v>800</v>
      </c>
      <c r="D232" s="336" t="s">
        <v>913</v>
      </c>
      <c r="E232" s="336" t="s">
        <v>914</v>
      </c>
    </row>
    <row r="233" spans="1:5" x14ac:dyDescent="0.2">
      <c r="A233" s="335">
        <v>1001263174</v>
      </c>
      <c r="B233" s="336" t="s">
        <v>822</v>
      </c>
      <c r="C233" s="336" t="s">
        <v>797</v>
      </c>
      <c r="D233" s="336" t="s">
        <v>913</v>
      </c>
      <c r="E233" s="336" t="s">
        <v>914</v>
      </c>
    </row>
    <row r="234" spans="1:5" x14ac:dyDescent="0.2">
      <c r="A234" s="335">
        <v>1001263411</v>
      </c>
      <c r="B234" s="336" t="s">
        <v>1284</v>
      </c>
      <c r="C234" s="336" t="s">
        <v>800</v>
      </c>
      <c r="D234" s="336" t="s">
        <v>913</v>
      </c>
      <c r="E234" s="336" t="s">
        <v>914</v>
      </c>
    </row>
    <row r="235" spans="1:5" x14ac:dyDescent="0.2">
      <c r="A235" s="335">
        <v>1001263776</v>
      </c>
      <c r="B235" s="336" t="s">
        <v>1285</v>
      </c>
      <c r="C235" s="336" t="s">
        <v>797</v>
      </c>
      <c r="D235" s="336" t="s">
        <v>913</v>
      </c>
      <c r="E235" s="336" t="s">
        <v>914</v>
      </c>
    </row>
    <row r="236" spans="1:5" x14ac:dyDescent="0.2">
      <c r="A236" s="335">
        <v>1001264721</v>
      </c>
      <c r="B236" s="336" t="s">
        <v>1286</v>
      </c>
      <c r="C236" s="336" t="s">
        <v>863</v>
      </c>
      <c r="D236" s="336" t="s">
        <v>913</v>
      </c>
      <c r="E236" s="336" t="s">
        <v>914</v>
      </c>
    </row>
    <row r="237" spans="1:5" x14ac:dyDescent="0.2">
      <c r="A237" s="335">
        <v>1001264729</v>
      </c>
      <c r="B237" s="336" t="s">
        <v>1287</v>
      </c>
      <c r="C237" s="336" t="s">
        <v>1097</v>
      </c>
      <c r="D237" s="336" t="s">
        <v>913</v>
      </c>
      <c r="E237" s="336" t="s">
        <v>914</v>
      </c>
    </row>
    <row r="238" spans="1:5" x14ac:dyDescent="0.2">
      <c r="A238" s="335">
        <v>1001264794</v>
      </c>
      <c r="B238" s="336" t="s">
        <v>1288</v>
      </c>
      <c r="C238" s="336" t="s">
        <v>863</v>
      </c>
      <c r="D238" s="336" t="s">
        <v>913</v>
      </c>
      <c r="E238" s="336" t="s">
        <v>914</v>
      </c>
    </row>
    <row r="239" spans="1:5" x14ac:dyDescent="0.2">
      <c r="A239" s="335">
        <v>1001264875</v>
      </c>
      <c r="B239" s="336" t="s">
        <v>1289</v>
      </c>
      <c r="C239" s="336" t="s">
        <v>863</v>
      </c>
      <c r="D239" s="336" t="s">
        <v>913</v>
      </c>
      <c r="E239" s="336" t="s">
        <v>914</v>
      </c>
    </row>
    <row r="240" spans="1:5" x14ac:dyDescent="0.2">
      <c r="A240" s="335">
        <v>1001265040</v>
      </c>
      <c r="B240" s="336" t="s">
        <v>1290</v>
      </c>
      <c r="C240" s="336" t="s">
        <v>800</v>
      </c>
      <c r="D240" s="336" t="s">
        <v>913</v>
      </c>
      <c r="E240" s="336" t="s">
        <v>914</v>
      </c>
    </row>
    <row r="241" spans="1:5" x14ac:dyDescent="0.2">
      <c r="A241" s="335">
        <v>1001265358</v>
      </c>
      <c r="B241" s="336" t="s">
        <v>811</v>
      </c>
      <c r="C241" s="336" t="s">
        <v>800</v>
      </c>
      <c r="D241" s="336" t="s">
        <v>913</v>
      </c>
      <c r="E241" s="336" t="s">
        <v>914</v>
      </c>
    </row>
    <row r="242" spans="1:5" x14ac:dyDescent="0.2">
      <c r="A242" s="335">
        <v>1001265386</v>
      </c>
      <c r="B242" s="336" t="s">
        <v>843</v>
      </c>
      <c r="C242" s="336" t="s">
        <v>800</v>
      </c>
      <c r="D242" s="336" t="s">
        <v>913</v>
      </c>
      <c r="E242" s="336" t="s">
        <v>914</v>
      </c>
    </row>
    <row r="243" spans="1:5" x14ac:dyDescent="0.2">
      <c r="A243" s="335">
        <v>1001265388</v>
      </c>
      <c r="B243" s="336" t="s">
        <v>1291</v>
      </c>
      <c r="C243" s="336" t="s">
        <v>800</v>
      </c>
      <c r="D243" s="336" t="s">
        <v>913</v>
      </c>
      <c r="E243" s="336" t="s">
        <v>914</v>
      </c>
    </row>
    <row r="244" spans="1:5" x14ac:dyDescent="0.2">
      <c r="A244" s="335">
        <v>1001265440</v>
      </c>
      <c r="B244" s="336" t="s">
        <v>811</v>
      </c>
      <c r="C244" s="336" t="s">
        <v>800</v>
      </c>
      <c r="D244" s="336" t="s">
        <v>913</v>
      </c>
      <c r="E244" s="336" t="s">
        <v>914</v>
      </c>
    </row>
    <row r="245" spans="1:5" x14ac:dyDescent="0.2">
      <c r="A245" s="335">
        <v>1001265731</v>
      </c>
      <c r="B245" s="336" t="s">
        <v>811</v>
      </c>
      <c r="C245" s="336" t="s">
        <v>797</v>
      </c>
      <c r="D245" s="336" t="s">
        <v>913</v>
      </c>
      <c r="E245" s="336" t="s">
        <v>914</v>
      </c>
    </row>
    <row r="246" spans="1:5" x14ac:dyDescent="0.2">
      <c r="A246" s="335">
        <v>1001265902</v>
      </c>
      <c r="B246" s="336" t="s">
        <v>1292</v>
      </c>
      <c r="C246" s="336" t="s">
        <v>863</v>
      </c>
      <c r="D246" s="336" t="s">
        <v>913</v>
      </c>
      <c r="E246" s="336" t="s">
        <v>914</v>
      </c>
    </row>
    <row r="247" spans="1:5" x14ac:dyDescent="0.2">
      <c r="A247" s="335">
        <v>1001265920</v>
      </c>
      <c r="B247" s="336" t="s">
        <v>1282</v>
      </c>
      <c r="C247" s="336" t="s">
        <v>863</v>
      </c>
      <c r="D247" s="336" t="s">
        <v>913</v>
      </c>
      <c r="E247" s="336" t="s">
        <v>914</v>
      </c>
    </row>
    <row r="248" spans="1:5" x14ac:dyDescent="0.2">
      <c r="A248" s="335">
        <v>1001266196</v>
      </c>
      <c r="B248" s="336" t="s">
        <v>1293</v>
      </c>
      <c r="C248" s="336" t="s">
        <v>800</v>
      </c>
      <c r="D248" s="336" t="s">
        <v>913</v>
      </c>
      <c r="E248" s="336" t="s">
        <v>914</v>
      </c>
    </row>
    <row r="249" spans="1:5" x14ac:dyDescent="0.2">
      <c r="A249" s="335">
        <v>1001266579</v>
      </c>
      <c r="B249" s="336" t="s">
        <v>1294</v>
      </c>
      <c r="C249" s="336" t="s">
        <v>797</v>
      </c>
      <c r="D249" s="336" t="s">
        <v>913</v>
      </c>
      <c r="E249" s="336" t="s">
        <v>914</v>
      </c>
    </row>
    <row r="250" spans="1:5" x14ac:dyDescent="0.2">
      <c r="A250" s="335">
        <v>1001266755</v>
      </c>
      <c r="B250" s="336" t="s">
        <v>821</v>
      </c>
      <c r="C250" s="336" t="s">
        <v>797</v>
      </c>
      <c r="D250" s="336" t="s">
        <v>913</v>
      </c>
      <c r="E250" s="336" t="s">
        <v>914</v>
      </c>
    </row>
    <row r="251" spans="1:5" x14ac:dyDescent="0.2">
      <c r="A251" s="335">
        <v>1001266813</v>
      </c>
      <c r="B251" s="336" t="s">
        <v>1295</v>
      </c>
      <c r="C251" s="336" t="s">
        <v>800</v>
      </c>
      <c r="D251" s="336" t="s">
        <v>913</v>
      </c>
      <c r="E251" s="336" t="s">
        <v>914</v>
      </c>
    </row>
    <row r="252" spans="1:5" x14ac:dyDescent="0.2">
      <c r="A252" s="335">
        <v>1001267005</v>
      </c>
      <c r="B252" s="336" t="s">
        <v>1296</v>
      </c>
      <c r="C252" s="336" t="s">
        <v>800</v>
      </c>
      <c r="D252" s="336" t="s">
        <v>913</v>
      </c>
      <c r="E252" s="336" t="s">
        <v>914</v>
      </c>
    </row>
    <row r="253" spans="1:5" x14ac:dyDescent="0.2">
      <c r="A253" s="335">
        <v>1001267501</v>
      </c>
      <c r="B253" s="336" t="s">
        <v>1297</v>
      </c>
      <c r="C253" s="336" t="s">
        <v>800</v>
      </c>
      <c r="D253" s="336" t="s">
        <v>913</v>
      </c>
      <c r="E253" s="336" t="s">
        <v>914</v>
      </c>
    </row>
    <row r="254" spans="1:5" x14ac:dyDescent="0.2">
      <c r="A254" s="335">
        <v>1001267598</v>
      </c>
      <c r="B254" s="336" t="s">
        <v>811</v>
      </c>
      <c r="C254" s="336" t="s">
        <v>863</v>
      </c>
      <c r="D254" s="336" t="s">
        <v>913</v>
      </c>
      <c r="E254" s="336" t="s">
        <v>914</v>
      </c>
    </row>
    <row r="255" spans="1:5" x14ac:dyDescent="0.2">
      <c r="A255" s="335">
        <v>1001267653</v>
      </c>
      <c r="B255" s="336" t="s">
        <v>1298</v>
      </c>
      <c r="C255" s="336" t="s">
        <v>813</v>
      </c>
      <c r="D255" s="336" t="s">
        <v>913</v>
      </c>
      <c r="E255" s="336" t="s">
        <v>914</v>
      </c>
    </row>
    <row r="256" spans="1:5" x14ac:dyDescent="0.2">
      <c r="A256" s="335">
        <v>1001268187</v>
      </c>
      <c r="B256" s="336" t="s">
        <v>1299</v>
      </c>
      <c r="C256" s="336" t="s">
        <v>800</v>
      </c>
      <c r="D256" s="336" t="s">
        <v>913</v>
      </c>
      <c r="E256" s="336" t="s">
        <v>914</v>
      </c>
    </row>
    <row r="257" spans="1:5" x14ac:dyDescent="0.2">
      <c r="A257" s="335">
        <v>1001268316</v>
      </c>
      <c r="B257" s="336" t="s">
        <v>1300</v>
      </c>
      <c r="C257" s="336" t="s">
        <v>863</v>
      </c>
      <c r="D257" s="336" t="s">
        <v>913</v>
      </c>
      <c r="E257" s="336" t="s">
        <v>914</v>
      </c>
    </row>
    <row r="258" spans="1:5" x14ac:dyDescent="0.2">
      <c r="A258" s="335">
        <v>1001268361</v>
      </c>
      <c r="B258" s="336" t="s">
        <v>1301</v>
      </c>
      <c r="C258" s="336" t="s">
        <v>800</v>
      </c>
      <c r="D258" s="336" t="s">
        <v>913</v>
      </c>
      <c r="E258" s="336" t="s">
        <v>914</v>
      </c>
    </row>
    <row r="259" spans="1:5" x14ac:dyDescent="0.2">
      <c r="A259" s="335">
        <v>1001268601</v>
      </c>
      <c r="B259" s="336" t="s">
        <v>1302</v>
      </c>
      <c r="C259" s="336" t="s">
        <v>800</v>
      </c>
      <c r="D259" s="336" t="s">
        <v>913</v>
      </c>
      <c r="E259" s="336" t="s">
        <v>914</v>
      </c>
    </row>
    <row r="260" spans="1:5" x14ac:dyDescent="0.2">
      <c r="A260" s="335">
        <v>1001268625</v>
      </c>
      <c r="B260" s="336" t="s">
        <v>1303</v>
      </c>
      <c r="C260" s="336" t="s">
        <v>797</v>
      </c>
      <c r="D260" s="336" t="s">
        <v>913</v>
      </c>
      <c r="E260" s="336" t="s">
        <v>914</v>
      </c>
    </row>
    <row r="261" spans="1:5" x14ac:dyDescent="0.2">
      <c r="A261" s="335">
        <v>1001268664</v>
      </c>
      <c r="B261" s="336" t="s">
        <v>992</v>
      </c>
      <c r="C261" s="336" t="s">
        <v>797</v>
      </c>
      <c r="D261" s="336" t="s">
        <v>913</v>
      </c>
      <c r="E261" s="336" t="s">
        <v>914</v>
      </c>
    </row>
    <row r="262" spans="1:5" x14ac:dyDescent="0.2">
      <c r="A262" s="335">
        <v>1001268812</v>
      </c>
      <c r="B262" s="336" t="s">
        <v>1304</v>
      </c>
      <c r="C262" s="336" t="s">
        <v>797</v>
      </c>
      <c r="D262" s="336" t="s">
        <v>913</v>
      </c>
      <c r="E262" s="336" t="s">
        <v>914</v>
      </c>
    </row>
    <row r="263" spans="1:5" x14ac:dyDescent="0.2">
      <c r="A263" s="335">
        <v>1001269150</v>
      </c>
      <c r="B263" s="336" t="s">
        <v>1305</v>
      </c>
      <c r="C263" s="336" t="s">
        <v>1097</v>
      </c>
      <c r="D263" s="336" t="s">
        <v>913</v>
      </c>
      <c r="E263" s="336" t="s">
        <v>914</v>
      </c>
    </row>
    <row r="264" spans="1:5" x14ac:dyDescent="0.2">
      <c r="A264" s="335">
        <v>1001269179</v>
      </c>
      <c r="B264" s="336" t="s">
        <v>1306</v>
      </c>
      <c r="C264" s="336" t="s">
        <v>813</v>
      </c>
      <c r="D264" s="336" t="s">
        <v>913</v>
      </c>
      <c r="E264" s="336" t="s">
        <v>914</v>
      </c>
    </row>
    <row r="265" spans="1:5" x14ac:dyDescent="0.2">
      <c r="A265" s="335">
        <v>1001269194</v>
      </c>
      <c r="B265" s="336" t="s">
        <v>1307</v>
      </c>
      <c r="C265" s="336" t="s">
        <v>797</v>
      </c>
      <c r="D265" s="336" t="s">
        <v>913</v>
      </c>
      <c r="E265" s="336" t="s">
        <v>914</v>
      </c>
    </row>
    <row r="266" spans="1:5" x14ac:dyDescent="0.2">
      <c r="A266" s="335">
        <v>1001269422</v>
      </c>
      <c r="B266" s="336" t="s">
        <v>1308</v>
      </c>
      <c r="C266" s="336" t="s">
        <v>797</v>
      </c>
      <c r="D266" s="336" t="s">
        <v>913</v>
      </c>
      <c r="E266" s="336" t="s">
        <v>914</v>
      </c>
    </row>
    <row r="267" spans="1:5" x14ac:dyDescent="0.2">
      <c r="A267" s="335">
        <v>1001269592</v>
      </c>
      <c r="B267" s="336" t="s">
        <v>1309</v>
      </c>
      <c r="C267" s="336" t="s">
        <v>800</v>
      </c>
      <c r="D267" s="336" t="s">
        <v>913</v>
      </c>
      <c r="E267" s="336" t="s">
        <v>914</v>
      </c>
    </row>
    <row r="268" spans="1:5" x14ac:dyDescent="0.2">
      <c r="A268" s="335">
        <v>1001270083</v>
      </c>
      <c r="B268" s="336" t="s">
        <v>1310</v>
      </c>
      <c r="C268" s="336" t="s">
        <v>797</v>
      </c>
      <c r="D268" s="336" t="s">
        <v>913</v>
      </c>
      <c r="E268" s="336" t="s">
        <v>914</v>
      </c>
    </row>
    <row r="269" spans="1:5" x14ac:dyDescent="0.2">
      <c r="A269" s="335">
        <v>1001270177</v>
      </c>
      <c r="B269" s="336" t="s">
        <v>1311</v>
      </c>
      <c r="C269" s="336" t="s">
        <v>863</v>
      </c>
      <c r="D269" s="336" t="s">
        <v>913</v>
      </c>
      <c r="E269" s="336" t="s">
        <v>914</v>
      </c>
    </row>
    <row r="270" spans="1:5" x14ac:dyDescent="0.2">
      <c r="A270" s="335">
        <v>1001270552</v>
      </c>
      <c r="B270" s="336" t="s">
        <v>1312</v>
      </c>
      <c r="C270" s="336" t="s">
        <v>1097</v>
      </c>
      <c r="D270" s="336" t="s">
        <v>913</v>
      </c>
      <c r="E270" s="336" t="s">
        <v>914</v>
      </c>
    </row>
    <row r="271" spans="1:5" x14ac:dyDescent="0.2">
      <c r="A271" s="335">
        <v>1001270698</v>
      </c>
      <c r="B271" s="336" t="s">
        <v>1313</v>
      </c>
      <c r="C271" s="336" t="s">
        <v>797</v>
      </c>
      <c r="D271" s="336" t="s">
        <v>913</v>
      </c>
      <c r="E271" s="336" t="s">
        <v>914</v>
      </c>
    </row>
    <row r="272" spans="1:5" x14ac:dyDescent="0.2">
      <c r="A272" s="335">
        <v>1001270809</v>
      </c>
      <c r="B272" s="336" t="s">
        <v>1314</v>
      </c>
      <c r="C272" s="336" t="s">
        <v>797</v>
      </c>
      <c r="D272" s="336" t="s">
        <v>913</v>
      </c>
      <c r="E272" s="336" t="s">
        <v>914</v>
      </c>
    </row>
    <row r="273" spans="1:5" x14ac:dyDescent="0.2">
      <c r="A273" s="335">
        <v>1001271699</v>
      </c>
      <c r="B273" s="336" t="s">
        <v>1315</v>
      </c>
      <c r="C273" s="336" t="s">
        <v>800</v>
      </c>
      <c r="D273" s="336" t="s">
        <v>913</v>
      </c>
      <c r="E273" s="336" t="s">
        <v>914</v>
      </c>
    </row>
    <row r="274" spans="1:5" x14ac:dyDescent="0.2">
      <c r="A274" s="335">
        <v>1001272254</v>
      </c>
      <c r="B274" s="336" t="s">
        <v>1316</v>
      </c>
      <c r="C274" s="336" t="s">
        <v>797</v>
      </c>
      <c r="D274" s="336" t="s">
        <v>913</v>
      </c>
      <c r="E274" s="336" t="s">
        <v>914</v>
      </c>
    </row>
    <row r="275" spans="1:5" x14ac:dyDescent="0.2">
      <c r="A275" s="335">
        <v>1001272548</v>
      </c>
      <c r="B275" s="336" t="s">
        <v>811</v>
      </c>
      <c r="C275" s="336" t="s">
        <v>797</v>
      </c>
      <c r="D275" s="336" t="s">
        <v>913</v>
      </c>
      <c r="E275" s="336" t="s">
        <v>914</v>
      </c>
    </row>
    <row r="276" spans="1:5" x14ac:dyDescent="0.2">
      <c r="A276" s="335">
        <v>1001272549</v>
      </c>
      <c r="B276" s="336" t="s">
        <v>1317</v>
      </c>
      <c r="C276" s="336" t="s">
        <v>797</v>
      </c>
      <c r="D276" s="336" t="s">
        <v>913</v>
      </c>
      <c r="E276" s="336" t="s">
        <v>914</v>
      </c>
    </row>
    <row r="277" spans="1:5" x14ac:dyDescent="0.2">
      <c r="A277" s="335">
        <v>1001273148</v>
      </c>
      <c r="B277" s="336" t="s">
        <v>1318</v>
      </c>
      <c r="C277" s="336" t="s">
        <v>797</v>
      </c>
      <c r="D277" s="336" t="s">
        <v>913</v>
      </c>
      <c r="E277" s="336" t="s">
        <v>914</v>
      </c>
    </row>
    <row r="278" spans="1:5" x14ac:dyDescent="0.2">
      <c r="A278" s="335">
        <v>1001273518</v>
      </c>
      <c r="B278" s="336" t="s">
        <v>941</v>
      </c>
      <c r="C278" s="336" t="s">
        <v>797</v>
      </c>
      <c r="D278" s="336" t="s">
        <v>913</v>
      </c>
      <c r="E278" s="336" t="s">
        <v>914</v>
      </c>
    </row>
    <row r="279" spans="1:5" x14ac:dyDescent="0.2">
      <c r="A279" s="335">
        <v>1001273862</v>
      </c>
      <c r="B279" s="336" t="s">
        <v>1319</v>
      </c>
      <c r="C279" s="336" t="s">
        <v>800</v>
      </c>
      <c r="D279" s="336" t="s">
        <v>913</v>
      </c>
      <c r="E279" s="336" t="s">
        <v>914</v>
      </c>
    </row>
    <row r="280" spans="1:5" x14ac:dyDescent="0.2">
      <c r="A280" s="335">
        <v>1001274000</v>
      </c>
      <c r="B280" s="336" t="s">
        <v>1320</v>
      </c>
      <c r="C280" s="336" t="s">
        <v>863</v>
      </c>
      <c r="D280" s="336" t="s">
        <v>913</v>
      </c>
      <c r="E280" s="336" t="s">
        <v>914</v>
      </c>
    </row>
    <row r="281" spans="1:5" x14ac:dyDescent="0.2">
      <c r="A281" s="335">
        <v>1001274128</v>
      </c>
      <c r="B281" s="336" t="s">
        <v>1321</v>
      </c>
      <c r="C281" s="336" t="s">
        <v>797</v>
      </c>
      <c r="D281" s="336" t="s">
        <v>913</v>
      </c>
      <c r="E281" s="336" t="s">
        <v>914</v>
      </c>
    </row>
    <row r="282" spans="1:5" x14ac:dyDescent="0.2">
      <c r="A282" s="335">
        <v>1001274589</v>
      </c>
      <c r="B282" s="336" t="s">
        <v>1322</v>
      </c>
      <c r="C282" s="336" t="s">
        <v>800</v>
      </c>
      <c r="D282" s="336" t="s">
        <v>913</v>
      </c>
      <c r="E282" s="336" t="s">
        <v>914</v>
      </c>
    </row>
    <row r="283" spans="1:5" x14ac:dyDescent="0.2">
      <c r="A283" s="335">
        <v>1001274604</v>
      </c>
      <c r="B283" s="336" t="s">
        <v>1323</v>
      </c>
      <c r="C283" s="336" t="s">
        <v>1097</v>
      </c>
      <c r="D283" s="336" t="s">
        <v>913</v>
      </c>
      <c r="E283" s="336" t="s">
        <v>914</v>
      </c>
    </row>
    <row r="284" spans="1:5" x14ac:dyDescent="0.2">
      <c r="A284" s="335">
        <v>1001274677</v>
      </c>
      <c r="B284" s="336" t="s">
        <v>1324</v>
      </c>
      <c r="C284" s="336" t="s">
        <v>800</v>
      </c>
      <c r="D284" s="336" t="s">
        <v>913</v>
      </c>
      <c r="E284" s="336" t="s">
        <v>914</v>
      </c>
    </row>
    <row r="285" spans="1:5" x14ac:dyDescent="0.2">
      <c r="A285" s="335">
        <v>1001274744</v>
      </c>
      <c r="B285" s="336" t="s">
        <v>1325</v>
      </c>
      <c r="C285" s="336" t="s">
        <v>797</v>
      </c>
      <c r="D285" s="336" t="s">
        <v>913</v>
      </c>
      <c r="E285" s="336" t="s">
        <v>914</v>
      </c>
    </row>
    <row r="286" spans="1:5" x14ac:dyDescent="0.2">
      <c r="A286" s="335">
        <v>1001274760</v>
      </c>
      <c r="B286" s="336" t="s">
        <v>1275</v>
      </c>
      <c r="C286" s="336" t="s">
        <v>797</v>
      </c>
      <c r="D286" s="336" t="s">
        <v>913</v>
      </c>
      <c r="E286" s="336" t="s">
        <v>914</v>
      </c>
    </row>
    <row r="287" spans="1:5" x14ac:dyDescent="0.2">
      <c r="A287" s="335">
        <v>1001275005</v>
      </c>
      <c r="B287" s="336" t="s">
        <v>1326</v>
      </c>
      <c r="C287" s="336" t="s">
        <v>813</v>
      </c>
      <c r="D287" s="336" t="s">
        <v>913</v>
      </c>
      <c r="E287" s="336" t="s">
        <v>914</v>
      </c>
    </row>
    <row r="288" spans="1:5" x14ac:dyDescent="0.2">
      <c r="A288" s="335">
        <v>1001275080</v>
      </c>
      <c r="B288" s="336" t="s">
        <v>1327</v>
      </c>
      <c r="C288" s="336" t="s">
        <v>800</v>
      </c>
      <c r="D288" s="336" t="s">
        <v>913</v>
      </c>
      <c r="E288" s="336" t="s">
        <v>914</v>
      </c>
    </row>
    <row r="289" spans="1:5" x14ac:dyDescent="0.2">
      <c r="A289" s="335">
        <v>1001275101</v>
      </c>
      <c r="B289" s="336" t="s">
        <v>1328</v>
      </c>
      <c r="C289" s="336" t="s">
        <v>800</v>
      </c>
      <c r="D289" s="336" t="s">
        <v>913</v>
      </c>
      <c r="E289" s="336" t="s">
        <v>914</v>
      </c>
    </row>
    <row r="290" spans="1:5" x14ac:dyDescent="0.2">
      <c r="A290" s="335">
        <v>1001275128</v>
      </c>
      <c r="B290" s="336" t="s">
        <v>1329</v>
      </c>
      <c r="C290" s="336" t="s">
        <v>800</v>
      </c>
      <c r="D290" s="336" t="s">
        <v>913</v>
      </c>
      <c r="E290" s="336" t="s">
        <v>914</v>
      </c>
    </row>
    <row r="291" spans="1:5" x14ac:dyDescent="0.2">
      <c r="A291" s="335">
        <v>1001275203</v>
      </c>
      <c r="B291" s="336" t="s">
        <v>1330</v>
      </c>
      <c r="C291" s="336" t="s">
        <v>863</v>
      </c>
      <c r="D291" s="336" t="s">
        <v>913</v>
      </c>
      <c r="E291" s="336" t="s">
        <v>914</v>
      </c>
    </row>
    <row r="292" spans="1:5" x14ac:dyDescent="0.2">
      <c r="A292" s="335">
        <v>1001275333</v>
      </c>
      <c r="B292" s="336" t="s">
        <v>843</v>
      </c>
      <c r="C292" s="336" t="s">
        <v>800</v>
      </c>
      <c r="D292" s="336" t="s">
        <v>913</v>
      </c>
      <c r="E292" s="336" t="s">
        <v>914</v>
      </c>
    </row>
    <row r="293" spans="1:5" x14ac:dyDescent="0.2">
      <c r="A293" s="335">
        <v>1001275336</v>
      </c>
      <c r="B293" s="336" t="s">
        <v>843</v>
      </c>
      <c r="C293" s="336" t="s">
        <v>800</v>
      </c>
      <c r="D293" s="336" t="s">
        <v>913</v>
      </c>
      <c r="E293" s="336" t="s">
        <v>914</v>
      </c>
    </row>
    <row r="294" spans="1:5" x14ac:dyDescent="0.2">
      <c r="A294" s="335">
        <v>1001275874</v>
      </c>
      <c r="B294" s="336" t="s">
        <v>1331</v>
      </c>
      <c r="C294" s="336" t="s">
        <v>797</v>
      </c>
      <c r="D294" s="336" t="s">
        <v>913</v>
      </c>
      <c r="E294" s="336" t="s">
        <v>914</v>
      </c>
    </row>
    <row r="295" spans="1:5" x14ac:dyDescent="0.2">
      <c r="A295" s="335">
        <v>1001275922</v>
      </c>
      <c r="B295" s="336" t="s">
        <v>994</v>
      </c>
      <c r="C295" s="336" t="s">
        <v>797</v>
      </c>
      <c r="D295" s="336" t="s">
        <v>913</v>
      </c>
      <c r="E295" s="336" t="s">
        <v>914</v>
      </c>
    </row>
    <row r="296" spans="1:5" x14ac:dyDescent="0.2">
      <c r="A296" s="335">
        <v>1001275934</v>
      </c>
      <c r="B296" s="336" t="s">
        <v>868</v>
      </c>
      <c r="C296" s="336" t="s">
        <v>797</v>
      </c>
      <c r="D296" s="336" t="s">
        <v>913</v>
      </c>
      <c r="E296" s="336" t="s">
        <v>914</v>
      </c>
    </row>
    <row r="297" spans="1:5" x14ac:dyDescent="0.2">
      <c r="A297" s="335">
        <v>1001276300</v>
      </c>
      <c r="B297" s="336" t="s">
        <v>1332</v>
      </c>
      <c r="C297" s="336" t="s">
        <v>800</v>
      </c>
      <c r="D297" s="336" t="s">
        <v>913</v>
      </c>
      <c r="E297" s="336" t="s">
        <v>914</v>
      </c>
    </row>
    <row r="298" spans="1:5" x14ac:dyDescent="0.2">
      <c r="A298" s="335">
        <v>1001276582</v>
      </c>
      <c r="B298" s="336" t="s">
        <v>1333</v>
      </c>
      <c r="C298" s="336" t="s">
        <v>800</v>
      </c>
      <c r="D298" s="336" t="s">
        <v>913</v>
      </c>
      <c r="E298" s="336" t="s">
        <v>914</v>
      </c>
    </row>
    <row r="299" spans="1:5" x14ac:dyDescent="0.2">
      <c r="A299" s="335">
        <v>1001276636</v>
      </c>
      <c r="B299" s="336" t="s">
        <v>1334</v>
      </c>
      <c r="C299" s="336" t="s">
        <v>1097</v>
      </c>
      <c r="D299" s="336" t="s">
        <v>913</v>
      </c>
      <c r="E299" s="336" t="s">
        <v>914</v>
      </c>
    </row>
    <row r="300" spans="1:5" x14ac:dyDescent="0.2">
      <c r="A300" s="335">
        <v>1001277139</v>
      </c>
      <c r="B300" s="336" t="s">
        <v>1335</v>
      </c>
      <c r="C300" s="336" t="s">
        <v>800</v>
      </c>
      <c r="D300" s="336" t="s">
        <v>913</v>
      </c>
      <c r="E300" s="336" t="s">
        <v>914</v>
      </c>
    </row>
    <row r="301" spans="1:5" x14ac:dyDescent="0.2">
      <c r="A301" s="335">
        <v>1001277151</v>
      </c>
      <c r="B301" s="336" t="s">
        <v>1336</v>
      </c>
      <c r="C301" s="336" t="s">
        <v>800</v>
      </c>
      <c r="D301" s="336" t="s">
        <v>913</v>
      </c>
      <c r="E301" s="336" t="s">
        <v>914</v>
      </c>
    </row>
    <row r="302" spans="1:5" x14ac:dyDescent="0.2">
      <c r="A302" s="335">
        <v>1001277350</v>
      </c>
      <c r="B302" s="336" t="s">
        <v>912</v>
      </c>
      <c r="C302" s="336" t="s">
        <v>797</v>
      </c>
      <c r="D302" s="336" t="s">
        <v>913</v>
      </c>
      <c r="E302" s="336" t="s">
        <v>914</v>
      </c>
    </row>
    <row r="303" spans="1:5" x14ac:dyDescent="0.2">
      <c r="A303" s="335">
        <v>1001277761</v>
      </c>
      <c r="B303" s="336" t="s">
        <v>1337</v>
      </c>
      <c r="C303" s="336" t="s">
        <v>800</v>
      </c>
      <c r="D303" s="336" t="s">
        <v>913</v>
      </c>
      <c r="E303" s="336" t="s">
        <v>914</v>
      </c>
    </row>
    <row r="304" spans="1:5" x14ac:dyDescent="0.2">
      <c r="A304" s="335">
        <v>1001278091</v>
      </c>
      <c r="B304" s="336" t="s">
        <v>785</v>
      </c>
      <c r="C304" s="336" t="s">
        <v>797</v>
      </c>
      <c r="D304" s="336" t="s">
        <v>913</v>
      </c>
      <c r="E304" s="336" t="s">
        <v>914</v>
      </c>
    </row>
    <row r="305" spans="1:5" x14ac:dyDescent="0.2">
      <c r="A305" s="335">
        <v>1001278245</v>
      </c>
      <c r="B305" s="336" t="s">
        <v>1338</v>
      </c>
      <c r="C305" s="336" t="s">
        <v>797</v>
      </c>
      <c r="D305" s="336" t="s">
        <v>913</v>
      </c>
      <c r="E305" s="336" t="s">
        <v>914</v>
      </c>
    </row>
    <row r="306" spans="1:5" x14ac:dyDescent="0.2">
      <c r="A306" s="335">
        <v>1001279940</v>
      </c>
      <c r="B306" s="336" t="s">
        <v>1339</v>
      </c>
      <c r="C306" s="336" t="s">
        <v>797</v>
      </c>
      <c r="D306" s="336" t="s">
        <v>913</v>
      </c>
      <c r="E306" s="336" t="s">
        <v>914</v>
      </c>
    </row>
    <row r="307" spans="1:5" x14ac:dyDescent="0.2">
      <c r="A307" s="335">
        <v>1001280343</v>
      </c>
      <c r="B307" s="336" t="s">
        <v>1340</v>
      </c>
      <c r="C307" s="336" t="s">
        <v>1097</v>
      </c>
      <c r="D307" s="336" t="s">
        <v>913</v>
      </c>
      <c r="E307" s="336" t="s">
        <v>914</v>
      </c>
    </row>
    <row r="308" spans="1:5" x14ac:dyDescent="0.2">
      <c r="A308" s="335">
        <v>1001280396</v>
      </c>
      <c r="B308" s="336" t="s">
        <v>1341</v>
      </c>
      <c r="C308" s="336" t="s">
        <v>797</v>
      </c>
      <c r="D308" s="336" t="s">
        <v>913</v>
      </c>
      <c r="E308" s="336" t="s">
        <v>914</v>
      </c>
    </row>
    <row r="309" spans="1:5" x14ac:dyDescent="0.2">
      <c r="A309" s="335">
        <v>1001280446</v>
      </c>
      <c r="B309" s="336" t="s">
        <v>1342</v>
      </c>
      <c r="C309" s="336" t="s">
        <v>797</v>
      </c>
      <c r="D309" s="336" t="s">
        <v>913</v>
      </c>
      <c r="E309" s="336" t="s">
        <v>914</v>
      </c>
    </row>
    <row r="310" spans="1:5" x14ac:dyDescent="0.2">
      <c r="A310" s="335">
        <v>1001280575</v>
      </c>
      <c r="B310" s="336" t="s">
        <v>1343</v>
      </c>
      <c r="C310" s="336" t="s">
        <v>800</v>
      </c>
      <c r="D310" s="336" t="s">
        <v>913</v>
      </c>
      <c r="E310" s="336" t="s">
        <v>914</v>
      </c>
    </row>
    <row r="311" spans="1:5" x14ac:dyDescent="0.2">
      <c r="A311" s="335">
        <v>1001280674</v>
      </c>
      <c r="B311" s="336" t="s">
        <v>1344</v>
      </c>
      <c r="C311" s="336" t="s">
        <v>800</v>
      </c>
      <c r="D311" s="336" t="s">
        <v>913</v>
      </c>
      <c r="E311" s="336" t="s">
        <v>914</v>
      </c>
    </row>
    <row r="312" spans="1:5" x14ac:dyDescent="0.2">
      <c r="A312" s="335">
        <v>1001280713</v>
      </c>
      <c r="B312" s="336" t="s">
        <v>1345</v>
      </c>
      <c r="C312" s="336" t="s">
        <v>800</v>
      </c>
      <c r="D312" s="336" t="s">
        <v>913</v>
      </c>
      <c r="E312" s="336" t="s">
        <v>914</v>
      </c>
    </row>
    <row r="313" spans="1:5" x14ac:dyDescent="0.2">
      <c r="A313" s="335">
        <v>1001280715</v>
      </c>
      <c r="B313" s="336" t="s">
        <v>1346</v>
      </c>
      <c r="C313" s="336" t="s">
        <v>863</v>
      </c>
      <c r="D313" s="336" t="s">
        <v>913</v>
      </c>
      <c r="E313" s="336" t="s">
        <v>914</v>
      </c>
    </row>
    <row r="314" spans="1:5" x14ac:dyDescent="0.2">
      <c r="A314" s="335">
        <v>1001288876</v>
      </c>
      <c r="B314" s="336" t="s">
        <v>1347</v>
      </c>
      <c r="C314" s="336" t="s">
        <v>813</v>
      </c>
      <c r="D314" s="336" t="s">
        <v>913</v>
      </c>
      <c r="E314" s="336" t="s">
        <v>914</v>
      </c>
    </row>
    <row r="315" spans="1:5" x14ac:dyDescent="0.2">
      <c r="A315" s="335">
        <v>1001288877</v>
      </c>
      <c r="B315" s="336" t="s">
        <v>1348</v>
      </c>
      <c r="C315" s="336" t="s">
        <v>797</v>
      </c>
      <c r="D315" s="336" t="s">
        <v>913</v>
      </c>
      <c r="E315" s="336" t="s">
        <v>914</v>
      </c>
    </row>
    <row r="316" spans="1:5" x14ac:dyDescent="0.2">
      <c r="A316" s="335">
        <v>1001288913</v>
      </c>
      <c r="B316" s="336" t="s">
        <v>1349</v>
      </c>
      <c r="C316" s="336" t="s">
        <v>797</v>
      </c>
      <c r="D316" s="336" t="s">
        <v>913</v>
      </c>
      <c r="E316" s="336" t="s">
        <v>914</v>
      </c>
    </row>
    <row r="317" spans="1:5" x14ac:dyDescent="0.2">
      <c r="A317" s="335">
        <v>1001288914</v>
      </c>
      <c r="B317" s="336" t="s">
        <v>1350</v>
      </c>
      <c r="C317" s="336" t="s">
        <v>797</v>
      </c>
      <c r="D317" s="336" t="s">
        <v>913</v>
      </c>
      <c r="E317" s="336" t="s">
        <v>914</v>
      </c>
    </row>
    <row r="318" spans="1:5" x14ac:dyDescent="0.2">
      <c r="A318" s="335">
        <v>1001288936</v>
      </c>
      <c r="B318" s="336" t="s">
        <v>1351</v>
      </c>
      <c r="C318" s="336" t="s">
        <v>800</v>
      </c>
      <c r="D318" s="336" t="s">
        <v>913</v>
      </c>
      <c r="E318" s="336" t="s">
        <v>914</v>
      </c>
    </row>
    <row r="319" spans="1:5" x14ac:dyDescent="0.2">
      <c r="A319" s="335">
        <v>1001288972</v>
      </c>
      <c r="B319" s="336" t="s">
        <v>1352</v>
      </c>
      <c r="C319" s="336" t="s">
        <v>1097</v>
      </c>
      <c r="D319" s="336" t="s">
        <v>913</v>
      </c>
      <c r="E319" s="336" t="s">
        <v>914</v>
      </c>
    </row>
    <row r="320" spans="1:5" x14ac:dyDescent="0.2">
      <c r="A320" s="335">
        <v>1001289072</v>
      </c>
      <c r="B320" s="336" t="s">
        <v>1282</v>
      </c>
      <c r="C320" s="336" t="s">
        <v>800</v>
      </c>
      <c r="D320" s="336" t="s">
        <v>913</v>
      </c>
      <c r="E320" s="336" t="s">
        <v>914</v>
      </c>
    </row>
    <row r="321" spans="1:5" x14ac:dyDescent="0.2">
      <c r="A321" s="335">
        <v>1001289073</v>
      </c>
      <c r="B321" s="336" t="s">
        <v>1353</v>
      </c>
      <c r="C321" s="336" t="s">
        <v>1097</v>
      </c>
      <c r="D321" s="336" t="s">
        <v>913</v>
      </c>
      <c r="E321" s="336" t="s">
        <v>914</v>
      </c>
    </row>
    <row r="322" spans="1:5" x14ac:dyDescent="0.2">
      <c r="A322" s="335">
        <v>1001290318</v>
      </c>
      <c r="B322" s="336" t="s">
        <v>1352</v>
      </c>
      <c r="C322" s="336" t="s">
        <v>800</v>
      </c>
      <c r="D322" s="336" t="s">
        <v>913</v>
      </c>
      <c r="E322" s="336" t="s">
        <v>914</v>
      </c>
    </row>
    <row r="323" spans="1:5" x14ac:dyDescent="0.2">
      <c r="A323" s="335">
        <v>1001290322</v>
      </c>
      <c r="B323" s="336" t="s">
        <v>1354</v>
      </c>
      <c r="C323" s="336" t="s">
        <v>800</v>
      </c>
      <c r="D323" s="336" t="s">
        <v>913</v>
      </c>
      <c r="E323" s="336" t="s">
        <v>914</v>
      </c>
    </row>
    <row r="324" spans="1:5" x14ac:dyDescent="0.2">
      <c r="A324" s="335">
        <v>1001290371</v>
      </c>
      <c r="B324" s="336" t="s">
        <v>1355</v>
      </c>
      <c r="C324" s="336" t="s">
        <v>863</v>
      </c>
      <c r="D324" s="336" t="s">
        <v>913</v>
      </c>
      <c r="E324" s="336" t="s">
        <v>914</v>
      </c>
    </row>
    <row r="325" spans="1:5" x14ac:dyDescent="0.2">
      <c r="A325" s="335">
        <v>1001290553</v>
      </c>
      <c r="B325" s="336" t="s">
        <v>1356</v>
      </c>
      <c r="C325" s="336" t="s">
        <v>797</v>
      </c>
      <c r="D325" s="336" t="s">
        <v>913</v>
      </c>
      <c r="E325" s="336" t="s">
        <v>914</v>
      </c>
    </row>
    <row r="326" spans="1:5" x14ac:dyDescent="0.2">
      <c r="A326" s="335">
        <v>1001290588</v>
      </c>
      <c r="B326" s="336" t="s">
        <v>1357</v>
      </c>
      <c r="C326" s="336" t="s">
        <v>797</v>
      </c>
      <c r="D326" s="336" t="s">
        <v>913</v>
      </c>
      <c r="E326" s="336" t="s">
        <v>914</v>
      </c>
    </row>
    <row r="327" spans="1:5" x14ac:dyDescent="0.2">
      <c r="A327" s="335">
        <v>1001290646</v>
      </c>
      <c r="B327" s="336" t="s">
        <v>922</v>
      </c>
      <c r="C327" s="336" t="s">
        <v>813</v>
      </c>
      <c r="D327" s="336" t="s">
        <v>913</v>
      </c>
      <c r="E327" s="336" t="s">
        <v>914</v>
      </c>
    </row>
    <row r="328" spans="1:5" x14ac:dyDescent="0.2">
      <c r="A328" s="335">
        <v>1001290674</v>
      </c>
      <c r="B328" s="336" t="s">
        <v>1289</v>
      </c>
      <c r="C328" s="336" t="s">
        <v>797</v>
      </c>
      <c r="D328" s="336" t="s">
        <v>913</v>
      </c>
      <c r="E328" s="336" t="s">
        <v>914</v>
      </c>
    </row>
    <row r="329" spans="1:5" x14ac:dyDescent="0.2">
      <c r="A329" s="335">
        <v>1001290695</v>
      </c>
      <c r="B329" s="336" t="s">
        <v>1358</v>
      </c>
      <c r="C329" s="336" t="s">
        <v>797</v>
      </c>
      <c r="D329" s="336" t="s">
        <v>913</v>
      </c>
      <c r="E329" s="336" t="s">
        <v>914</v>
      </c>
    </row>
    <row r="330" spans="1:5" x14ac:dyDescent="0.2">
      <c r="A330" s="335">
        <v>1001290696</v>
      </c>
      <c r="B330" s="336" t="s">
        <v>1359</v>
      </c>
      <c r="C330" s="336" t="s">
        <v>800</v>
      </c>
      <c r="D330" s="336" t="s">
        <v>913</v>
      </c>
      <c r="E330" s="336" t="s">
        <v>914</v>
      </c>
    </row>
    <row r="331" spans="1:5" x14ac:dyDescent="0.2">
      <c r="A331" s="335">
        <v>1001290776</v>
      </c>
      <c r="B331" s="336" t="s">
        <v>1360</v>
      </c>
      <c r="C331" s="336" t="s">
        <v>797</v>
      </c>
      <c r="D331" s="336" t="s">
        <v>913</v>
      </c>
      <c r="E331" s="336" t="s">
        <v>914</v>
      </c>
    </row>
    <row r="332" spans="1:5" x14ac:dyDescent="0.2">
      <c r="A332" s="335">
        <v>1001290787</v>
      </c>
      <c r="B332" s="336" t="s">
        <v>1361</v>
      </c>
      <c r="C332" s="336" t="s">
        <v>797</v>
      </c>
      <c r="D332" s="336" t="s">
        <v>913</v>
      </c>
      <c r="E332" s="336" t="s">
        <v>914</v>
      </c>
    </row>
    <row r="333" spans="1:5" x14ac:dyDescent="0.2">
      <c r="A333" s="335">
        <v>1001290828</v>
      </c>
      <c r="B333" s="336" t="s">
        <v>1362</v>
      </c>
      <c r="C333" s="336" t="s">
        <v>1097</v>
      </c>
      <c r="D333" s="336" t="s">
        <v>913</v>
      </c>
      <c r="E333" s="336" t="s">
        <v>914</v>
      </c>
    </row>
    <row r="334" spans="1:5" x14ac:dyDescent="0.2">
      <c r="A334" s="335">
        <v>1001295217</v>
      </c>
      <c r="B334" s="336" t="s">
        <v>1363</v>
      </c>
      <c r="C334" s="336" t="s">
        <v>797</v>
      </c>
      <c r="D334" s="336" t="s">
        <v>913</v>
      </c>
      <c r="E334" s="336" t="s">
        <v>914</v>
      </c>
    </row>
    <row r="335" spans="1:5" x14ac:dyDescent="0.2">
      <c r="A335" s="335">
        <v>1001301988</v>
      </c>
      <c r="B335" s="336" t="s">
        <v>1364</v>
      </c>
      <c r="C335" s="336" t="s">
        <v>797</v>
      </c>
      <c r="D335" s="336" t="s">
        <v>913</v>
      </c>
      <c r="E335" s="336" t="s">
        <v>914</v>
      </c>
    </row>
    <row r="336" spans="1:5" x14ac:dyDescent="0.2">
      <c r="A336" s="335">
        <v>1001301997</v>
      </c>
      <c r="B336" s="336" t="s">
        <v>843</v>
      </c>
      <c r="C336" s="336" t="s">
        <v>800</v>
      </c>
      <c r="D336" s="336" t="s">
        <v>913</v>
      </c>
      <c r="E336" s="336" t="s">
        <v>914</v>
      </c>
    </row>
    <row r="337" spans="1:5" x14ac:dyDescent="0.2">
      <c r="A337" s="335">
        <v>1001302040</v>
      </c>
      <c r="B337" s="336" t="s">
        <v>1365</v>
      </c>
      <c r="C337" s="336" t="s">
        <v>800</v>
      </c>
      <c r="D337" s="336" t="s">
        <v>913</v>
      </c>
      <c r="E337" s="336" t="s">
        <v>914</v>
      </c>
    </row>
    <row r="338" spans="1:5" x14ac:dyDescent="0.2">
      <c r="A338" s="335">
        <v>1001302070</v>
      </c>
      <c r="B338" s="336" t="s">
        <v>1366</v>
      </c>
      <c r="C338" s="336" t="s">
        <v>800</v>
      </c>
      <c r="D338" s="336" t="s">
        <v>913</v>
      </c>
      <c r="E338" s="336" t="s">
        <v>914</v>
      </c>
    </row>
    <row r="339" spans="1:5" x14ac:dyDescent="0.2">
      <c r="A339" s="335">
        <v>1001302135</v>
      </c>
      <c r="B339" s="336" t="s">
        <v>1367</v>
      </c>
      <c r="C339" s="336" t="s">
        <v>797</v>
      </c>
      <c r="D339" s="336" t="s">
        <v>913</v>
      </c>
      <c r="E339" s="336" t="s">
        <v>914</v>
      </c>
    </row>
    <row r="340" spans="1:5" x14ac:dyDescent="0.2">
      <c r="A340" s="335">
        <v>1001302164</v>
      </c>
      <c r="B340" s="336" t="s">
        <v>1368</v>
      </c>
      <c r="C340" s="336" t="s">
        <v>797</v>
      </c>
      <c r="D340" s="336" t="s">
        <v>913</v>
      </c>
      <c r="E340" s="336" t="s">
        <v>914</v>
      </c>
    </row>
    <row r="341" spans="1:5" x14ac:dyDescent="0.2">
      <c r="A341" s="335">
        <v>1001302166</v>
      </c>
      <c r="B341" s="336" t="s">
        <v>811</v>
      </c>
      <c r="C341" s="336" t="s">
        <v>800</v>
      </c>
      <c r="D341" s="336" t="s">
        <v>913</v>
      </c>
      <c r="E341" s="336" t="s">
        <v>914</v>
      </c>
    </row>
    <row r="342" spans="1:5" x14ac:dyDescent="0.2">
      <c r="A342" s="335">
        <v>1001302261</v>
      </c>
      <c r="B342" s="336" t="s">
        <v>1369</v>
      </c>
      <c r="C342" s="336" t="s">
        <v>800</v>
      </c>
      <c r="D342" s="336" t="s">
        <v>913</v>
      </c>
      <c r="E342" s="336" t="s">
        <v>914</v>
      </c>
    </row>
    <row r="343" spans="1:5" x14ac:dyDescent="0.2">
      <c r="A343" s="335">
        <v>1001302295</v>
      </c>
      <c r="B343" s="336" t="s">
        <v>1370</v>
      </c>
      <c r="C343" s="336" t="s">
        <v>800</v>
      </c>
      <c r="D343" s="336" t="s">
        <v>913</v>
      </c>
      <c r="E343" s="336" t="s">
        <v>914</v>
      </c>
    </row>
    <row r="344" spans="1:5" x14ac:dyDescent="0.2">
      <c r="A344" s="335">
        <v>1001302323</v>
      </c>
      <c r="B344" s="336" t="s">
        <v>1355</v>
      </c>
      <c r="C344" s="336" t="s">
        <v>797</v>
      </c>
      <c r="D344" s="336" t="s">
        <v>913</v>
      </c>
      <c r="E344" s="336" t="s">
        <v>914</v>
      </c>
    </row>
    <row r="345" spans="1:5" x14ac:dyDescent="0.2">
      <c r="A345" s="335">
        <v>1001302354</v>
      </c>
      <c r="B345" s="336" t="s">
        <v>1371</v>
      </c>
      <c r="C345" s="336" t="s">
        <v>863</v>
      </c>
      <c r="D345" s="336" t="s">
        <v>913</v>
      </c>
      <c r="E345" s="336" t="s">
        <v>914</v>
      </c>
    </row>
    <row r="346" spans="1:5" x14ac:dyDescent="0.2">
      <c r="A346" s="335">
        <v>1001302363</v>
      </c>
      <c r="B346" s="336" t="s">
        <v>1372</v>
      </c>
      <c r="C346" s="336" t="s">
        <v>1097</v>
      </c>
      <c r="D346" s="336" t="s">
        <v>913</v>
      </c>
      <c r="E346" s="336" t="s">
        <v>914</v>
      </c>
    </row>
    <row r="347" spans="1:5" x14ac:dyDescent="0.2">
      <c r="A347" s="335">
        <v>1001302377</v>
      </c>
      <c r="B347" s="336" t="s">
        <v>1373</v>
      </c>
      <c r="C347" s="336" t="s">
        <v>1097</v>
      </c>
      <c r="D347" s="336" t="s">
        <v>913</v>
      </c>
      <c r="E347" s="336" t="s">
        <v>914</v>
      </c>
    </row>
    <row r="348" spans="1:5" x14ac:dyDescent="0.2">
      <c r="A348" s="335">
        <v>1001302436</v>
      </c>
      <c r="B348" s="336" t="s">
        <v>1374</v>
      </c>
      <c r="C348" s="336" t="s">
        <v>1097</v>
      </c>
      <c r="D348" s="336" t="s">
        <v>913</v>
      </c>
      <c r="E348" s="336" t="s">
        <v>914</v>
      </c>
    </row>
    <row r="349" spans="1:5" x14ac:dyDescent="0.2">
      <c r="A349" s="335">
        <v>1001302640</v>
      </c>
      <c r="B349" s="336" t="s">
        <v>1375</v>
      </c>
      <c r="C349" s="336" t="s">
        <v>800</v>
      </c>
      <c r="D349" s="336" t="s">
        <v>913</v>
      </c>
      <c r="E349" s="336" t="s">
        <v>914</v>
      </c>
    </row>
    <row r="350" spans="1:5" x14ac:dyDescent="0.2">
      <c r="A350" s="335">
        <v>1001302648</v>
      </c>
      <c r="B350" s="336" t="s">
        <v>1376</v>
      </c>
      <c r="C350" s="336" t="s">
        <v>1097</v>
      </c>
      <c r="D350" s="336" t="s">
        <v>913</v>
      </c>
      <c r="E350" s="336" t="s">
        <v>914</v>
      </c>
    </row>
    <row r="351" spans="1:5" x14ac:dyDescent="0.2">
      <c r="A351" s="335">
        <v>1001311947</v>
      </c>
      <c r="B351" s="336" t="s">
        <v>1377</v>
      </c>
      <c r="C351" s="336" t="s">
        <v>813</v>
      </c>
      <c r="D351" s="336" t="s">
        <v>913</v>
      </c>
      <c r="E351" s="336" t="s">
        <v>914</v>
      </c>
    </row>
    <row r="352" spans="1:5" x14ac:dyDescent="0.2">
      <c r="A352" s="335">
        <v>1001313104</v>
      </c>
      <c r="B352" s="336" t="s">
        <v>1378</v>
      </c>
      <c r="C352" s="336" t="s">
        <v>813</v>
      </c>
      <c r="D352" s="336" t="s">
        <v>913</v>
      </c>
      <c r="E352" s="336" t="s">
        <v>914</v>
      </c>
    </row>
    <row r="353" spans="1:5" x14ac:dyDescent="0.2">
      <c r="A353" s="335">
        <v>1001314244</v>
      </c>
      <c r="B353" s="336" t="s">
        <v>1377</v>
      </c>
      <c r="C353" s="336" t="s">
        <v>797</v>
      </c>
      <c r="D353" s="336" t="s">
        <v>913</v>
      </c>
      <c r="E353" s="336" t="s">
        <v>914</v>
      </c>
    </row>
    <row r="354" spans="1:5" x14ac:dyDescent="0.2">
      <c r="A354" s="335">
        <v>1001261949</v>
      </c>
      <c r="B354" s="336" t="s">
        <v>811</v>
      </c>
      <c r="C354" s="336" t="s">
        <v>797</v>
      </c>
      <c r="D354" s="336" t="s">
        <v>801</v>
      </c>
      <c r="E354" s="336" t="s">
        <v>774</v>
      </c>
    </row>
    <row r="355" spans="1:5" x14ac:dyDescent="0.2">
      <c r="A355" s="335">
        <v>1001262290</v>
      </c>
      <c r="B355" s="336" t="s">
        <v>1086</v>
      </c>
      <c r="C355" s="336" t="s">
        <v>800</v>
      </c>
      <c r="D355" s="336" t="s">
        <v>801</v>
      </c>
      <c r="E355" s="336" t="s">
        <v>774</v>
      </c>
    </row>
    <row r="356" spans="1:5" x14ac:dyDescent="0.2">
      <c r="A356" s="335">
        <v>1001262292</v>
      </c>
      <c r="B356" s="336" t="s">
        <v>1088</v>
      </c>
      <c r="C356" s="336" t="s">
        <v>797</v>
      </c>
      <c r="D356" s="336" t="s">
        <v>801</v>
      </c>
      <c r="E356" s="336" t="s">
        <v>774</v>
      </c>
    </row>
    <row r="357" spans="1:5" x14ac:dyDescent="0.2">
      <c r="A357" s="335">
        <v>1001262294</v>
      </c>
      <c r="B357" s="336" t="s">
        <v>1087</v>
      </c>
      <c r="C357" s="336" t="s">
        <v>813</v>
      </c>
      <c r="D357" s="336" t="s">
        <v>801</v>
      </c>
      <c r="E357" s="336" t="s">
        <v>774</v>
      </c>
    </row>
    <row r="358" spans="1:5" x14ac:dyDescent="0.2">
      <c r="A358" s="335">
        <v>1001262678</v>
      </c>
      <c r="B358" s="336" t="s">
        <v>1379</v>
      </c>
      <c r="C358" s="336" t="s">
        <v>863</v>
      </c>
      <c r="D358" s="336" t="s">
        <v>801</v>
      </c>
      <c r="E358" s="336" t="s">
        <v>774</v>
      </c>
    </row>
    <row r="359" spans="1:5" x14ac:dyDescent="0.2">
      <c r="A359" s="335">
        <v>1001263333</v>
      </c>
      <c r="B359" s="336" t="s">
        <v>821</v>
      </c>
      <c r="C359" s="336" t="s">
        <v>797</v>
      </c>
      <c r="D359" s="336" t="s">
        <v>801</v>
      </c>
      <c r="E359" s="336" t="s">
        <v>774</v>
      </c>
    </row>
    <row r="360" spans="1:5" x14ac:dyDescent="0.2">
      <c r="A360" s="335">
        <v>1001263412</v>
      </c>
      <c r="B360" s="336" t="s">
        <v>923</v>
      </c>
      <c r="C360" s="336" t="s">
        <v>800</v>
      </c>
      <c r="D360" s="336" t="s">
        <v>801</v>
      </c>
      <c r="E360" s="336" t="s">
        <v>774</v>
      </c>
    </row>
    <row r="361" spans="1:5" x14ac:dyDescent="0.2">
      <c r="A361" s="335">
        <v>1001263558</v>
      </c>
      <c r="B361" s="336" t="s">
        <v>811</v>
      </c>
      <c r="C361" s="336" t="s">
        <v>800</v>
      </c>
      <c r="D361" s="336" t="s">
        <v>801</v>
      </c>
      <c r="E361" s="336" t="s">
        <v>774</v>
      </c>
    </row>
    <row r="362" spans="1:5" x14ac:dyDescent="0.2">
      <c r="A362" s="335">
        <v>1001263762</v>
      </c>
      <c r="B362" s="336" t="s">
        <v>1380</v>
      </c>
      <c r="C362" s="336" t="s">
        <v>1097</v>
      </c>
      <c r="D362" s="336" t="s">
        <v>801</v>
      </c>
      <c r="E362" s="336" t="s">
        <v>774</v>
      </c>
    </row>
    <row r="363" spans="1:5" x14ac:dyDescent="0.2">
      <c r="A363" s="335">
        <v>1001263868</v>
      </c>
      <c r="B363" s="336" t="s">
        <v>861</v>
      </c>
      <c r="C363" s="336" t="s">
        <v>813</v>
      </c>
      <c r="D363" s="336" t="s">
        <v>801</v>
      </c>
      <c r="E363" s="336" t="s">
        <v>774</v>
      </c>
    </row>
    <row r="364" spans="1:5" x14ac:dyDescent="0.2">
      <c r="A364" s="335">
        <v>1001263872</v>
      </c>
      <c r="B364" s="336" t="s">
        <v>1381</v>
      </c>
      <c r="C364" s="336" t="s">
        <v>813</v>
      </c>
      <c r="D364" s="336" t="s">
        <v>801</v>
      </c>
      <c r="E364" s="336" t="s">
        <v>774</v>
      </c>
    </row>
    <row r="365" spans="1:5" x14ac:dyDescent="0.2">
      <c r="A365" s="335">
        <v>1001263904</v>
      </c>
      <c r="B365" s="336" t="s">
        <v>861</v>
      </c>
      <c r="C365" s="336" t="s">
        <v>797</v>
      </c>
      <c r="D365" s="336" t="s">
        <v>801</v>
      </c>
      <c r="E365" s="336" t="s">
        <v>774</v>
      </c>
    </row>
    <row r="366" spans="1:5" x14ac:dyDescent="0.2">
      <c r="A366" s="335">
        <v>1001263928</v>
      </c>
      <c r="B366" s="336" t="s">
        <v>799</v>
      </c>
      <c r="C366" s="336" t="s">
        <v>800</v>
      </c>
      <c r="D366" s="336" t="s">
        <v>801</v>
      </c>
      <c r="E366" s="336" t="s">
        <v>774</v>
      </c>
    </row>
    <row r="367" spans="1:5" x14ac:dyDescent="0.2">
      <c r="A367" s="335">
        <v>1001265449</v>
      </c>
      <c r="B367" s="336" t="s">
        <v>1382</v>
      </c>
      <c r="C367" s="336" t="s">
        <v>813</v>
      </c>
      <c r="D367" s="336" t="s">
        <v>801</v>
      </c>
      <c r="E367" s="336" t="s">
        <v>774</v>
      </c>
    </row>
    <row r="368" spans="1:5" x14ac:dyDescent="0.2">
      <c r="A368" s="335">
        <v>1001265720</v>
      </c>
      <c r="B368" s="336" t="s">
        <v>1383</v>
      </c>
      <c r="C368" s="336" t="s">
        <v>813</v>
      </c>
      <c r="D368" s="336" t="s">
        <v>801</v>
      </c>
      <c r="E368" s="336" t="s">
        <v>774</v>
      </c>
    </row>
    <row r="369" spans="1:5" x14ac:dyDescent="0.2">
      <c r="A369" s="335">
        <v>1001266509</v>
      </c>
      <c r="B369" s="336" t="s">
        <v>910</v>
      </c>
      <c r="C369" s="336" t="s">
        <v>797</v>
      </c>
      <c r="D369" s="336" t="s">
        <v>801</v>
      </c>
      <c r="E369" s="336" t="s">
        <v>774</v>
      </c>
    </row>
    <row r="370" spans="1:5" x14ac:dyDescent="0.2">
      <c r="A370" s="335">
        <v>1001266520</v>
      </c>
      <c r="B370" s="336" t="s">
        <v>1384</v>
      </c>
      <c r="C370" s="336" t="s">
        <v>863</v>
      </c>
      <c r="D370" s="336" t="s">
        <v>801</v>
      </c>
      <c r="E370" s="336" t="s">
        <v>774</v>
      </c>
    </row>
    <row r="371" spans="1:5" x14ac:dyDescent="0.2">
      <c r="A371" s="335">
        <v>1001266737</v>
      </c>
      <c r="B371" s="336" t="s">
        <v>917</v>
      </c>
      <c r="C371" s="336" t="s">
        <v>800</v>
      </c>
      <c r="D371" s="336" t="s">
        <v>801</v>
      </c>
      <c r="E371" s="336" t="s">
        <v>774</v>
      </c>
    </row>
    <row r="372" spans="1:5" x14ac:dyDescent="0.2">
      <c r="A372" s="335">
        <v>1001266783</v>
      </c>
      <c r="B372" s="336" t="s">
        <v>1095</v>
      </c>
      <c r="C372" s="336" t="s">
        <v>813</v>
      </c>
      <c r="D372" s="336" t="s">
        <v>801</v>
      </c>
      <c r="E372" s="336" t="s">
        <v>774</v>
      </c>
    </row>
    <row r="373" spans="1:5" x14ac:dyDescent="0.2">
      <c r="A373" s="335">
        <v>1001267035</v>
      </c>
      <c r="B373" s="336" t="s">
        <v>1385</v>
      </c>
      <c r="C373" s="336" t="s">
        <v>797</v>
      </c>
      <c r="D373" s="336" t="s">
        <v>801</v>
      </c>
      <c r="E373" s="336" t="s">
        <v>774</v>
      </c>
    </row>
    <row r="374" spans="1:5" x14ac:dyDescent="0.2">
      <c r="A374" s="335">
        <v>1001267698</v>
      </c>
      <c r="B374" s="336" t="s">
        <v>1386</v>
      </c>
      <c r="C374" s="336" t="s">
        <v>1097</v>
      </c>
      <c r="D374" s="336" t="s">
        <v>801</v>
      </c>
      <c r="E374" s="336" t="s">
        <v>774</v>
      </c>
    </row>
    <row r="375" spans="1:5" x14ac:dyDescent="0.2">
      <c r="A375" s="335">
        <v>1001267730</v>
      </c>
      <c r="B375" s="336" t="s">
        <v>1387</v>
      </c>
      <c r="C375" s="336" t="s">
        <v>797</v>
      </c>
      <c r="D375" s="336" t="s">
        <v>801</v>
      </c>
      <c r="E375" s="336" t="s">
        <v>774</v>
      </c>
    </row>
    <row r="376" spans="1:5" x14ac:dyDescent="0.2">
      <c r="A376" s="335">
        <v>1001268183</v>
      </c>
      <c r="B376" s="336" t="s">
        <v>1388</v>
      </c>
      <c r="C376" s="336" t="s">
        <v>863</v>
      </c>
      <c r="D376" s="336" t="s">
        <v>801</v>
      </c>
      <c r="E376" s="336" t="s">
        <v>774</v>
      </c>
    </row>
    <row r="377" spans="1:5" x14ac:dyDescent="0.2">
      <c r="A377" s="335">
        <v>1001268184</v>
      </c>
      <c r="B377" s="336" t="s">
        <v>1389</v>
      </c>
      <c r="C377" s="336" t="s">
        <v>863</v>
      </c>
      <c r="D377" s="336" t="s">
        <v>801</v>
      </c>
      <c r="E377" s="336" t="s">
        <v>774</v>
      </c>
    </row>
    <row r="378" spans="1:5" x14ac:dyDescent="0.2">
      <c r="A378" s="335">
        <v>1001268186</v>
      </c>
      <c r="B378" s="336" t="s">
        <v>1390</v>
      </c>
      <c r="C378" s="336" t="s">
        <v>863</v>
      </c>
      <c r="D378" s="336" t="s">
        <v>801</v>
      </c>
      <c r="E378" s="336" t="s">
        <v>774</v>
      </c>
    </row>
    <row r="379" spans="1:5" x14ac:dyDescent="0.2">
      <c r="A379" s="335">
        <v>1001268391</v>
      </c>
      <c r="B379" s="336" t="s">
        <v>1391</v>
      </c>
      <c r="C379" s="336" t="s">
        <v>813</v>
      </c>
      <c r="D379" s="336" t="s">
        <v>801</v>
      </c>
      <c r="E379" s="336" t="s">
        <v>774</v>
      </c>
    </row>
    <row r="380" spans="1:5" x14ac:dyDescent="0.2">
      <c r="A380" s="335">
        <v>1001268525</v>
      </c>
      <c r="B380" s="336" t="s">
        <v>1104</v>
      </c>
      <c r="C380" s="336" t="s">
        <v>797</v>
      </c>
      <c r="D380" s="336" t="s">
        <v>801</v>
      </c>
      <c r="E380" s="336" t="s">
        <v>774</v>
      </c>
    </row>
    <row r="381" spans="1:5" x14ac:dyDescent="0.2">
      <c r="A381" s="335">
        <v>1001268668</v>
      </c>
      <c r="B381" s="336" t="s">
        <v>1392</v>
      </c>
      <c r="C381" s="336" t="s">
        <v>1097</v>
      </c>
      <c r="D381" s="336" t="s">
        <v>801</v>
      </c>
      <c r="E381" s="336" t="s">
        <v>774</v>
      </c>
    </row>
    <row r="382" spans="1:5" x14ac:dyDescent="0.2">
      <c r="A382" s="335">
        <v>1001268714</v>
      </c>
      <c r="B382" s="336" t="s">
        <v>1085</v>
      </c>
      <c r="C382" s="336" t="s">
        <v>813</v>
      </c>
      <c r="D382" s="336" t="s">
        <v>801</v>
      </c>
      <c r="E382" s="336" t="s">
        <v>774</v>
      </c>
    </row>
    <row r="383" spans="1:5" x14ac:dyDescent="0.2">
      <c r="A383" s="335">
        <v>1001268757</v>
      </c>
      <c r="B383" s="336" t="s">
        <v>1393</v>
      </c>
      <c r="C383" s="336" t="s">
        <v>797</v>
      </c>
      <c r="D383" s="336" t="s">
        <v>801</v>
      </c>
      <c r="E383" s="336" t="s">
        <v>774</v>
      </c>
    </row>
    <row r="384" spans="1:5" x14ac:dyDescent="0.2">
      <c r="A384" s="335">
        <v>1001268834</v>
      </c>
      <c r="B384" s="336" t="s">
        <v>1394</v>
      </c>
      <c r="C384" s="336" t="s">
        <v>863</v>
      </c>
      <c r="D384" s="336" t="s">
        <v>801</v>
      </c>
      <c r="E384" s="336" t="s">
        <v>774</v>
      </c>
    </row>
    <row r="385" spans="1:5" x14ac:dyDescent="0.2">
      <c r="A385" s="335">
        <v>1001268880</v>
      </c>
      <c r="B385" s="336" t="s">
        <v>843</v>
      </c>
      <c r="C385" s="336" t="s">
        <v>813</v>
      </c>
      <c r="D385" s="336" t="s">
        <v>801</v>
      </c>
      <c r="E385" s="336" t="s">
        <v>774</v>
      </c>
    </row>
    <row r="386" spans="1:5" x14ac:dyDescent="0.2">
      <c r="A386" s="335">
        <v>1001269024</v>
      </c>
      <c r="B386" s="336" t="s">
        <v>1395</v>
      </c>
      <c r="C386" s="336" t="s">
        <v>800</v>
      </c>
      <c r="D386" s="336" t="s">
        <v>801</v>
      </c>
      <c r="E386" s="336" t="s">
        <v>774</v>
      </c>
    </row>
    <row r="387" spans="1:5" x14ac:dyDescent="0.2">
      <c r="A387" s="335">
        <v>1001269373</v>
      </c>
      <c r="B387" s="336" t="s">
        <v>1396</v>
      </c>
      <c r="C387" s="336" t="s">
        <v>797</v>
      </c>
      <c r="D387" s="336" t="s">
        <v>801</v>
      </c>
      <c r="E387" s="336" t="s">
        <v>774</v>
      </c>
    </row>
    <row r="388" spans="1:5" x14ac:dyDescent="0.2">
      <c r="A388" s="335">
        <v>1001269378</v>
      </c>
      <c r="B388" s="336" t="s">
        <v>811</v>
      </c>
      <c r="C388" s="336" t="s">
        <v>813</v>
      </c>
      <c r="D388" s="336" t="s">
        <v>801</v>
      </c>
      <c r="E388" s="336" t="s">
        <v>774</v>
      </c>
    </row>
    <row r="389" spans="1:5" x14ac:dyDescent="0.2">
      <c r="A389" s="335">
        <v>1001269402</v>
      </c>
      <c r="B389" s="336" t="s">
        <v>1397</v>
      </c>
      <c r="C389" s="336" t="s">
        <v>797</v>
      </c>
      <c r="D389" s="336" t="s">
        <v>801</v>
      </c>
      <c r="E389" s="336" t="s">
        <v>774</v>
      </c>
    </row>
    <row r="390" spans="1:5" x14ac:dyDescent="0.2">
      <c r="A390" s="335">
        <v>1001269453</v>
      </c>
      <c r="B390" s="336" t="s">
        <v>1398</v>
      </c>
      <c r="C390" s="336" t="s">
        <v>813</v>
      </c>
      <c r="D390" s="336" t="s">
        <v>801</v>
      </c>
      <c r="E390" s="336" t="s">
        <v>774</v>
      </c>
    </row>
    <row r="391" spans="1:5" x14ac:dyDescent="0.2">
      <c r="A391" s="335">
        <v>1001269457</v>
      </c>
      <c r="B391" s="336" t="s">
        <v>1399</v>
      </c>
      <c r="C391" s="336" t="s">
        <v>797</v>
      </c>
      <c r="D391" s="336" t="s">
        <v>801</v>
      </c>
      <c r="E391" s="336" t="s">
        <v>774</v>
      </c>
    </row>
    <row r="392" spans="1:5" x14ac:dyDescent="0.2">
      <c r="A392" s="335">
        <v>1001269461</v>
      </c>
      <c r="B392" s="336" t="s">
        <v>1400</v>
      </c>
      <c r="C392" s="336" t="s">
        <v>813</v>
      </c>
      <c r="D392" s="336" t="s">
        <v>801</v>
      </c>
      <c r="E392" s="336" t="s">
        <v>774</v>
      </c>
    </row>
    <row r="393" spans="1:5" x14ac:dyDescent="0.2">
      <c r="A393" s="335">
        <v>1001269641</v>
      </c>
      <c r="B393" s="336" t="s">
        <v>1401</v>
      </c>
      <c r="C393" s="336" t="s">
        <v>797</v>
      </c>
      <c r="D393" s="336" t="s">
        <v>801</v>
      </c>
      <c r="E393" s="336" t="s">
        <v>774</v>
      </c>
    </row>
    <row r="394" spans="1:5" x14ac:dyDescent="0.2">
      <c r="A394" s="335">
        <v>1001269704</v>
      </c>
      <c r="B394" s="336" t="s">
        <v>1402</v>
      </c>
      <c r="C394" s="336" t="s">
        <v>800</v>
      </c>
      <c r="D394" s="336" t="s">
        <v>801</v>
      </c>
      <c r="E394" s="336" t="s">
        <v>774</v>
      </c>
    </row>
    <row r="395" spans="1:5" x14ac:dyDescent="0.2">
      <c r="A395" s="335">
        <v>1001270042</v>
      </c>
      <c r="B395" s="336" t="s">
        <v>1403</v>
      </c>
      <c r="C395" s="336" t="s">
        <v>813</v>
      </c>
      <c r="D395" s="336" t="s">
        <v>801</v>
      </c>
      <c r="E395" s="336" t="s">
        <v>774</v>
      </c>
    </row>
    <row r="396" spans="1:5" x14ac:dyDescent="0.2">
      <c r="A396" s="335">
        <v>1001270096</v>
      </c>
      <c r="B396" s="336" t="s">
        <v>1404</v>
      </c>
      <c r="C396" s="336" t="s">
        <v>813</v>
      </c>
      <c r="D396" s="336" t="s">
        <v>801</v>
      </c>
      <c r="E396" s="336" t="s">
        <v>774</v>
      </c>
    </row>
    <row r="397" spans="1:5" x14ac:dyDescent="0.2">
      <c r="A397" s="335">
        <v>1001270097</v>
      </c>
      <c r="B397" s="336" t="s">
        <v>1405</v>
      </c>
      <c r="C397" s="336" t="s">
        <v>813</v>
      </c>
      <c r="D397" s="336" t="s">
        <v>801</v>
      </c>
      <c r="E397" s="336" t="s">
        <v>774</v>
      </c>
    </row>
    <row r="398" spans="1:5" x14ac:dyDescent="0.2">
      <c r="A398" s="335">
        <v>1001270099</v>
      </c>
      <c r="B398" s="336" t="s">
        <v>1389</v>
      </c>
      <c r="C398" s="336" t="s">
        <v>797</v>
      </c>
      <c r="D398" s="336" t="s">
        <v>801</v>
      </c>
      <c r="E398" s="336" t="s">
        <v>774</v>
      </c>
    </row>
    <row r="399" spans="1:5" x14ac:dyDescent="0.2">
      <c r="A399" s="335">
        <v>1001270117</v>
      </c>
      <c r="B399" s="336" t="s">
        <v>1406</v>
      </c>
      <c r="C399" s="336" t="s">
        <v>813</v>
      </c>
      <c r="D399" s="336" t="s">
        <v>801</v>
      </c>
      <c r="E399" s="336" t="s">
        <v>774</v>
      </c>
    </row>
    <row r="400" spans="1:5" x14ac:dyDescent="0.2">
      <c r="A400" s="335">
        <v>1001270119</v>
      </c>
      <c r="B400" s="336" t="s">
        <v>1407</v>
      </c>
      <c r="C400" s="336" t="s">
        <v>863</v>
      </c>
      <c r="D400" s="336" t="s">
        <v>801</v>
      </c>
      <c r="E400" s="336" t="s">
        <v>774</v>
      </c>
    </row>
    <row r="401" spans="1:5" x14ac:dyDescent="0.2">
      <c r="A401" s="335">
        <v>1001270248</v>
      </c>
      <c r="B401" s="336" t="s">
        <v>799</v>
      </c>
      <c r="C401" s="336" t="s">
        <v>800</v>
      </c>
      <c r="D401" s="336" t="s">
        <v>801</v>
      </c>
      <c r="E401" s="336" t="s">
        <v>774</v>
      </c>
    </row>
    <row r="402" spans="1:5" x14ac:dyDescent="0.2">
      <c r="A402" s="335">
        <v>1001270280</v>
      </c>
      <c r="B402" s="336" t="s">
        <v>799</v>
      </c>
      <c r="C402" s="336" t="s">
        <v>863</v>
      </c>
      <c r="D402" s="336" t="s">
        <v>801</v>
      </c>
      <c r="E402" s="336" t="s">
        <v>774</v>
      </c>
    </row>
    <row r="403" spans="1:5" x14ac:dyDescent="0.2">
      <c r="A403" s="335">
        <v>1001270324</v>
      </c>
      <c r="B403" s="336" t="s">
        <v>1029</v>
      </c>
      <c r="C403" s="336" t="s">
        <v>797</v>
      </c>
      <c r="D403" s="336" t="s">
        <v>801</v>
      </c>
      <c r="E403" s="336" t="s">
        <v>774</v>
      </c>
    </row>
    <row r="404" spans="1:5" x14ac:dyDescent="0.2">
      <c r="A404" s="335">
        <v>1001270373</v>
      </c>
      <c r="B404" s="336" t="s">
        <v>844</v>
      </c>
      <c r="C404" s="336" t="s">
        <v>797</v>
      </c>
      <c r="D404" s="336" t="s">
        <v>801</v>
      </c>
      <c r="E404" s="336" t="s">
        <v>774</v>
      </c>
    </row>
    <row r="405" spans="1:5" x14ac:dyDescent="0.2">
      <c r="A405" s="335">
        <v>1001270499</v>
      </c>
      <c r="B405" s="336" t="s">
        <v>811</v>
      </c>
      <c r="C405" s="336" t="s">
        <v>797</v>
      </c>
      <c r="D405" s="336" t="s">
        <v>801</v>
      </c>
      <c r="E405" s="336" t="s">
        <v>774</v>
      </c>
    </row>
    <row r="406" spans="1:5" x14ac:dyDescent="0.2">
      <c r="A406" s="335">
        <v>1001270597</v>
      </c>
      <c r="B406" s="336" t="s">
        <v>985</v>
      </c>
      <c r="C406" s="336" t="s">
        <v>797</v>
      </c>
      <c r="D406" s="336" t="s">
        <v>801</v>
      </c>
      <c r="E406" s="336" t="s">
        <v>774</v>
      </c>
    </row>
    <row r="407" spans="1:5" x14ac:dyDescent="0.2">
      <c r="A407" s="335">
        <v>1001270643</v>
      </c>
      <c r="B407" s="336" t="s">
        <v>762</v>
      </c>
      <c r="C407" s="336" t="s">
        <v>800</v>
      </c>
      <c r="D407" s="336" t="s">
        <v>801</v>
      </c>
      <c r="E407" s="336" t="s">
        <v>774</v>
      </c>
    </row>
    <row r="408" spans="1:5" x14ac:dyDescent="0.2">
      <c r="A408" s="335">
        <v>1001270646</v>
      </c>
      <c r="B408" s="336" t="s">
        <v>1408</v>
      </c>
      <c r="C408" s="336" t="s">
        <v>797</v>
      </c>
      <c r="D408" s="336" t="s">
        <v>801</v>
      </c>
      <c r="E408" s="336" t="s">
        <v>774</v>
      </c>
    </row>
    <row r="409" spans="1:5" x14ac:dyDescent="0.2">
      <c r="A409" s="335">
        <v>1001270647</v>
      </c>
      <c r="B409" s="336" t="s">
        <v>1409</v>
      </c>
      <c r="C409" s="336" t="s">
        <v>813</v>
      </c>
      <c r="D409" s="336" t="s">
        <v>801</v>
      </c>
      <c r="E409" s="336" t="s">
        <v>774</v>
      </c>
    </row>
    <row r="410" spans="1:5" x14ac:dyDescent="0.2">
      <c r="A410" s="335">
        <v>1001270744</v>
      </c>
      <c r="B410" s="336" t="s">
        <v>969</v>
      </c>
      <c r="C410" s="336" t="s">
        <v>797</v>
      </c>
      <c r="D410" s="336" t="s">
        <v>801</v>
      </c>
      <c r="E410" s="336" t="s">
        <v>774</v>
      </c>
    </row>
    <row r="411" spans="1:5" x14ac:dyDescent="0.2">
      <c r="A411" s="335">
        <v>1001270980</v>
      </c>
      <c r="B411" s="336" t="s">
        <v>1410</v>
      </c>
      <c r="C411" s="336" t="s">
        <v>813</v>
      </c>
      <c r="D411" s="336" t="s">
        <v>801</v>
      </c>
      <c r="E411" s="336" t="s">
        <v>774</v>
      </c>
    </row>
    <row r="412" spans="1:5" x14ac:dyDescent="0.2">
      <c r="A412" s="335">
        <v>1001270988</v>
      </c>
      <c r="B412" s="336" t="s">
        <v>1411</v>
      </c>
      <c r="C412" s="336" t="s">
        <v>813</v>
      </c>
      <c r="D412" s="336" t="s">
        <v>801</v>
      </c>
      <c r="E412" s="336" t="s">
        <v>774</v>
      </c>
    </row>
    <row r="413" spans="1:5" x14ac:dyDescent="0.2">
      <c r="A413" s="335">
        <v>1001271055</v>
      </c>
      <c r="B413" s="336" t="s">
        <v>1412</v>
      </c>
      <c r="C413" s="336" t="s">
        <v>863</v>
      </c>
      <c r="D413" s="336" t="s">
        <v>801</v>
      </c>
      <c r="E413" s="336" t="s">
        <v>774</v>
      </c>
    </row>
    <row r="414" spans="1:5" x14ac:dyDescent="0.2">
      <c r="A414" s="335">
        <v>1001271056</v>
      </c>
      <c r="B414" s="336" t="s">
        <v>1413</v>
      </c>
      <c r="C414" s="336" t="s">
        <v>863</v>
      </c>
      <c r="D414" s="336" t="s">
        <v>801</v>
      </c>
      <c r="E414" s="336" t="s">
        <v>774</v>
      </c>
    </row>
    <row r="415" spans="1:5" x14ac:dyDescent="0.2">
      <c r="A415" s="335">
        <v>1001271102</v>
      </c>
      <c r="B415" s="336" t="s">
        <v>1414</v>
      </c>
      <c r="C415" s="336" t="s">
        <v>813</v>
      </c>
      <c r="D415" s="336" t="s">
        <v>801</v>
      </c>
      <c r="E415" s="336" t="s">
        <v>774</v>
      </c>
    </row>
    <row r="416" spans="1:5" x14ac:dyDescent="0.2">
      <c r="A416" s="335">
        <v>1001271104</v>
      </c>
      <c r="B416" s="336" t="s">
        <v>1415</v>
      </c>
      <c r="C416" s="336" t="s">
        <v>813</v>
      </c>
      <c r="D416" s="336" t="s">
        <v>801</v>
      </c>
      <c r="E416" s="336" t="s">
        <v>774</v>
      </c>
    </row>
    <row r="417" spans="1:5" x14ac:dyDescent="0.2">
      <c r="A417" s="335">
        <v>1001271268</v>
      </c>
      <c r="B417" s="336" t="s">
        <v>875</v>
      </c>
      <c r="C417" s="336" t="s">
        <v>797</v>
      </c>
      <c r="D417" s="336" t="s">
        <v>801</v>
      </c>
      <c r="E417" s="336" t="s">
        <v>774</v>
      </c>
    </row>
    <row r="418" spans="1:5" x14ac:dyDescent="0.2">
      <c r="A418" s="335">
        <v>1001271279</v>
      </c>
      <c r="B418" s="336" t="s">
        <v>1416</v>
      </c>
      <c r="C418" s="336" t="s">
        <v>813</v>
      </c>
      <c r="D418" s="336" t="s">
        <v>801</v>
      </c>
      <c r="E418" s="336" t="s">
        <v>774</v>
      </c>
    </row>
    <row r="419" spans="1:5" x14ac:dyDescent="0.2">
      <c r="A419" s="335">
        <v>1001271349</v>
      </c>
      <c r="B419" s="336" t="s">
        <v>938</v>
      </c>
      <c r="C419" s="336" t="s">
        <v>800</v>
      </c>
      <c r="D419" s="336" t="s">
        <v>801</v>
      </c>
      <c r="E419" s="336" t="s">
        <v>774</v>
      </c>
    </row>
    <row r="420" spans="1:5" x14ac:dyDescent="0.2">
      <c r="A420" s="335">
        <v>1001271351</v>
      </c>
      <c r="B420" s="336" t="s">
        <v>949</v>
      </c>
      <c r="C420" s="336" t="s">
        <v>797</v>
      </c>
      <c r="D420" s="336" t="s">
        <v>801</v>
      </c>
      <c r="E420" s="336" t="s">
        <v>774</v>
      </c>
    </row>
    <row r="421" spans="1:5" x14ac:dyDescent="0.2">
      <c r="A421" s="335">
        <v>1001271968</v>
      </c>
      <c r="B421" s="336" t="s">
        <v>1417</v>
      </c>
      <c r="C421" s="336" t="s">
        <v>797</v>
      </c>
      <c r="D421" s="336" t="s">
        <v>801</v>
      </c>
      <c r="E421" s="336" t="s">
        <v>774</v>
      </c>
    </row>
    <row r="422" spans="1:5" x14ac:dyDescent="0.2">
      <c r="A422" s="335">
        <v>1001272312</v>
      </c>
      <c r="B422" s="336" t="s">
        <v>1418</v>
      </c>
      <c r="C422" s="336" t="s">
        <v>813</v>
      </c>
      <c r="D422" s="336" t="s">
        <v>801</v>
      </c>
      <c r="E422" s="336" t="s">
        <v>774</v>
      </c>
    </row>
    <row r="423" spans="1:5" x14ac:dyDescent="0.2">
      <c r="A423" s="335">
        <v>1001272413</v>
      </c>
      <c r="B423" s="336" t="s">
        <v>1419</v>
      </c>
      <c r="C423" s="336" t="s">
        <v>797</v>
      </c>
      <c r="D423" s="336" t="s">
        <v>801</v>
      </c>
      <c r="E423" s="336" t="s">
        <v>774</v>
      </c>
    </row>
    <row r="424" spans="1:5" x14ac:dyDescent="0.2">
      <c r="A424" s="335">
        <v>1001272618</v>
      </c>
      <c r="B424" s="336" t="s">
        <v>799</v>
      </c>
      <c r="C424" s="336" t="s">
        <v>800</v>
      </c>
      <c r="D424" s="336" t="s">
        <v>801</v>
      </c>
      <c r="E424" s="336" t="s">
        <v>774</v>
      </c>
    </row>
    <row r="425" spans="1:5" x14ac:dyDescent="0.2">
      <c r="A425" s="335">
        <v>1001272664</v>
      </c>
      <c r="B425" s="336" t="s">
        <v>1420</v>
      </c>
      <c r="C425" s="336" t="s">
        <v>797</v>
      </c>
      <c r="D425" s="336" t="s">
        <v>801</v>
      </c>
      <c r="E425" s="336" t="s">
        <v>774</v>
      </c>
    </row>
    <row r="426" spans="1:5" x14ac:dyDescent="0.2">
      <c r="A426" s="335">
        <v>1001273528</v>
      </c>
      <c r="B426" s="336" t="s">
        <v>827</v>
      </c>
      <c r="C426" s="336" t="s">
        <v>800</v>
      </c>
      <c r="D426" s="336" t="s">
        <v>801</v>
      </c>
      <c r="E426" s="336" t="s">
        <v>774</v>
      </c>
    </row>
    <row r="427" spans="1:5" x14ac:dyDescent="0.2">
      <c r="A427" s="335">
        <v>1001273980</v>
      </c>
      <c r="B427" s="336" t="s">
        <v>1421</v>
      </c>
      <c r="C427" s="336" t="s">
        <v>813</v>
      </c>
      <c r="D427" s="336" t="s">
        <v>801</v>
      </c>
      <c r="E427" s="336" t="s">
        <v>774</v>
      </c>
    </row>
    <row r="428" spans="1:5" x14ac:dyDescent="0.2">
      <c r="A428" s="335">
        <v>1001274016</v>
      </c>
      <c r="B428" s="336" t="s">
        <v>1422</v>
      </c>
      <c r="C428" s="336" t="s">
        <v>800</v>
      </c>
      <c r="D428" s="336" t="s">
        <v>801</v>
      </c>
      <c r="E428" s="336" t="s">
        <v>774</v>
      </c>
    </row>
    <row r="429" spans="1:5" x14ac:dyDescent="0.2">
      <c r="A429" s="335">
        <v>1001274144</v>
      </c>
      <c r="B429" s="336" t="s">
        <v>991</v>
      </c>
      <c r="C429" s="336" t="s">
        <v>797</v>
      </c>
      <c r="D429" s="336" t="s">
        <v>801</v>
      </c>
      <c r="E429" s="336" t="s">
        <v>774</v>
      </c>
    </row>
    <row r="430" spans="1:5" x14ac:dyDescent="0.2">
      <c r="A430" s="335">
        <v>1001274404</v>
      </c>
      <c r="B430" s="336" t="s">
        <v>880</v>
      </c>
      <c r="C430" s="336" t="s">
        <v>800</v>
      </c>
      <c r="D430" s="336" t="s">
        <v>801</v>
      </c>
      <c r="E430" s="336" t="s">
        <v>774</v>
      </c>
    </row>
    <row r="431" spans="1:5" x14ac:dyDescent="0.2">
      <c r="A431" s="335">
        <v>1001274623</v>
      </c>
      <c r="B431" s="336" t="s">
        <v>1423</v>
      </c>
      <c r="C431" s="336" t="s">
        <v>813</v>
      </c>
      <c r="D431" s="336" t="s">
        <v>801</v>
      </c>
      <c r="E431" s="336" t="s">
        <v>774</v>
      </c>
    </row>
    <row r="432" spans="1:5" x14ac:dyDescent="0.2">
      <c r="A432" s="335">
        <v>1001274741</v>
      </c>
      <c r="B432" s="336" t="s">
        <v>958</v>
      </c>
      <c r="C432" s="336" t="s">
        <v>797</v>
      </c>
      <c r="D432" s="336" t="s">
        <v>801</v>
      </c>
      <c r="E432" s="336" t="s">
        <v>774</v>
      </c>
    </row>
    <row r="433" spans="1:5" x14ac:dyDescent="0.2">
      <c r="A433" s="335">
        <v>1001274767</v>
      </c>
      <c r="B433" s="336" t="s">
        <v>851</v>
      </c>
      <c r="C433" s="336" t="s">
        <v>813</v>
      </c>
      <c r="D433" s="336" t="s">
        <v>801</v>
      </c>
      <c r="E433" s="336" t="s">
        <v>774</v>
      </c>
    </row>
    <row r="434" spans="1:5" x14ac:dyDescent="0.2">
      <c r="A434" s="335">
        <v>1001274933</v>
      </c>
      <c r="B434" s="336" t="s">
        <v>879</v>
      </c>
      <c r="C434" s="336" t="s">
        <v>800</v>
      </c>
      <c r="D434" s="336" t="s">
        <v>801</v>
      </c>
      <c r="E434" s="336" t="s">
        <v>774</v>
      </c>
    </row>
    <row r="435" spans="1:5" x14ac:dyDescent="0.2">
      <c r="A435" s="335">
        <v>1001274935</v>
      </c>
      <c r="B435" s="336" t="s">
        <v>811</v>
      </c>
      <c r="C435" s="336" t="s">
        <v>800</v>
      </c>
      <c r="D435" s="336" t="s">
        <v>801</v>
      </c>
      <c r="E435" s="336" t="s">
        <v>774</v>
      </c>
    </row>
    <row r="436" spans="1:5" x14ac:dyDescent="0.2">
      <c r="A436" s="335">
        <v>1001274980</v>
      </c>
      <c r="B436" s="336" t="s">
        <v>868</v>
      </c>
      <c r="C436" s="336" t="s">
        <v>800</v>
      </c>
      <c r="D436" s="336" t="s">
        <v>801</v>
      </c>
      <c r="E436" s="336" t="s">
        <v>774</v>
      </c>
    </row>
    <row r="437" spans="1:5" x14ac:dyDescent="0.2">
      <c r="A437" s="335">
        <v>1001275036</v>
      </c>
      <c r="B437" s="336" t="s">
        <v>1424</v>
      </c>
      <c r="C437" s="336" t="s">
        <v>797</v>
      </c>
      <c r="D437" s="336" t="s">
        <v>801</v>
      </c>
      <c r="E437" s="336" t="s">
        <v>774</v>
      </c>
    </row>
    <row r="438" spans="1:5" x14ac:dyDescent="0.2">
      <c r="A438" s="335">
        <v>1001275136</v>
      </c>
      <c r="B438" s="336" t="s">
        <v>1425</v>
      </c>
      <c r="C438" s="336" t="s">
        <v>797</v>
      </c>
      <c r="D438" s="336" t="s">
        <v>801</v>
      </c>
      <c r="E438" s="336" t="s">
        <v>774</v>
      </c>
    </row>
    <row r="439" spans="1:5" x14ac:dyDescent="0.2">
      <c r="A439" s="335">
        <v>1001275139</v>
      </c>
      <c r="B439" s="336" t="s">
        <v>1426</v>
      </c>
      <c r="C439" s="336" t="s">
        <v>797</v>
      </c>
      <c r="D439" s="336" t="s">
        <v>801</v>
      </c>
      <c r="E439" s="336" t="s">
        <v>774</v>
      </c>
    </row>
    <row r="440" spans="1:5" x14ac:dyDescent="0.2">
      <c r="A440" s="335">
        <v>1001275808</v>
      </c>
      <c r="B440" s="336" t="s">
        <v>1427</v>
      </c>
      <c r="C440" s="336" t="s">
        <v>813</v>
      </c>
      <c r="D440" s="336" t="s">
        <v>801</v>
      </c>
      <c r="E440" s="336" t="s">
        <v>774</v>
      </c>
    </row>
    <row r="441" spans="1:5" x14ac:dyDescent="0.2">
      <c r="A441" s="335">
        <v>1001275809</v>
      </c>
      <c r="B441" s="336" t="s">
        <v>1428</v>
      </c>
      <c r="C441" s="336" t="s">
        <v>1097</v>
      </c>
      <c r="D441" s="336" t="s">
        <v>801</v>
      </c>
      <c r="E441" s="336" t="s">
        <v>774</v>
      </c>
    </row>
    <row r="442" spans="1:5" x14ac:dyDescent="0.2">
      <c r="A442" s="335">
        <v>1001275830</v>
      </c>
      <c r="B442" s="336" t="s">
        <v>1429</v>
      </c>
      <c r="C442" s="336" t="s">
        <v>813</v>
      </c>
      <c r="D442" s="336" t="s">
        <v>801</v>
      </c>
      <c r="E442" s="336" t="s">
        <v>774</v>
      </c>
    </row>
    <row r="443" spans="1:5" x14ac:dyDescent="0.2">
      <c r="A443" s="335">
        <v>1001275831</v>
      </c>
      <c r="B443" s="336" t="s">
        <v>1430</v>
      </c>
      <c r="C443" s="336" t="s">
        <v>813</v>
      </c>
      <c r="D443" s="336" t="s">
        <v>801</v>
      </c>
      <c r="E443" s="336" t="s">
        <v>774</v>
      </c>
    </row>
    <row r="444" spans="1:5" x14ac:dyDescent="0.2">
      <c r="A444" s="335">
        <v>1001275858</v>
      </c>
      <c r="B444" s="336" t="s">
        <v>1431</v>
      </c>
      <c r="C444" s="336" t="s">
        <v>797</v>
      </c>
      <c r="D444" s="336" t="s">
        <v>801</v>
      </c>
      <c r="E444" s="336" t="s">
        <v>774</v>
      </c>
    </row>
    <row r="445" spans="1:5" x14ac:dyDescent="0.2">
      <c r="A445" s="335">
        <v>1001275925</v>
      </c>
      <c r="B445" s="336" t="s">
        <v>1073</v>
      </c>
      <c r="C445" s="336" t="s">
        <v>797</v>
      </c>
      <c r="D445" s="336" t="s">
        <v>801</v>
      </c>
      <c r="E445" s="336" t="s">
        <v>774</v>
      </c>
    </row>
    <row r="446" spans="1:5" x14ac:dyDescent="0.2">
      <c r="A446" s="335">
        <v>1001277080</v>
      </c>
      <c r="B446" s="336" t="s">
        <v>832</v>
      </c>
      <c r="C446" s="336" t="s">
        <v>800</v>
      </c>
      <c r="D446" s="336" t="s">
        <v>801</v>
      </c>
      <c r="E446" s="336" t="s">
        <v>774</v>
      </c>
    </row>
    <row r="447" spans="1:5" x14ac:dyDescent="0.2">
      <c r="A447" s="335">
        <v>1001277088</v>
      </c>
      <c r="B447" s="336" t="s">
        <v>883</v>
      </c>
      <c r="C447" s="336" t="s">
        <v>813</v>
      </c>
      <c r="D447" s="336" t="s">
        <v>801</v>
      </c>
      <c r="E447" s="336" t="s">
        <v>774</v>
      </c>
    </row>
    <row r="448" spans="1:5" x14ac:dyDescent="0.2">
      <c r="A448" s="335">
        <v>1001277089</v>
      </c>
      <c r="B448" s="336" t="s">
        <v>894</v>
      </c>
      <c r="C448" s="336" t="s">
        <v>813</v>
      </c>
      <c r="D448" s="336" t="s">
        <v>801</v>
      </c>
      <c r="E448" s="336" t="s">
        <v>774</v>
      </c>
    </row>
    <row r="449" spans="1:5" x14ac:dyDescent="0.2">
      <c r="A449" s="335">
        <v>1001277111</v>
      </c>
      <c r="B449" s="336" t="s">
        <v>895</v>
      </c>
      <c r="C449" s="336" t="s">
        <v>813</v>
      </c>
      <c r="D449" s="336" t="s">
        <v>801</v>
      </c>
      <c r="E449" s="336" t="s">
        <v>774</v>
      </c>
    </row>
    <row r="450" spans="1:5" x14ac:dyDescent="0.2">
      <c r="A450" s="335">
        <v>1001277114</v>
      </c>
      <c r="B450" s="336" t="s">
        <v>1432</v>
      </c>
      <c r="C450" s="336" t="s">
        <v>813</v>
      </c>
      <c r="D450" s="336" t="s">
        <v>801</v>
      </c>
      <c r="E450" s="336" t="s">
        <v>774</v>
      </c>
    </row>
    <row r="451" spans="1:5" x14ac:dyDescent="0.2">
      <c r="A451" s="335">
        <v>1001277115</v>
      </c>
      <c r="B451" s="336" t="s">
        <v>1433</v>
      </c>
      <c r="C451" s="336" t="s">
        <v>813</v>
      </c>
      <c r="D451" s="336" t="s">
        <v>801</v>
      </c>
      <c r="E451" s="336" t="s">
        <v>774</v>
      </c>
    </row>
    <row r="452" spans="1:5" x14ac:dyDescent="0.2">
      <c r="A452" s="335">
        <v>1001277116</v>
      </c>
      <c r="B452" s="336" t="s">
        <v>1434</v>
      </c>
      <c r="C452" s="336" t="s">
        <v>813</v>
      </c>
      <c r="D452" s="336" t="s">
        <v>801</v>
      </c>
      <c r="E452" s="336" t="s">
        <v>774</v>
      </c>
    </row>
    <row r="453" spans="1:5" x14ac:dyDescent="0.2">
      <c r="A453" s="335">
        <v>1001277118</v>
      </c>
      <c r="B453" s="336" t="s">
        <v>1435</v>
      </c>
      <c r="C453" s="336" t="s">
        <v>813</v>
      </c>
      <c r="D453" s="336" t="s">
        <v>801</v>
      </c>
      <c r="E453" s="336" t="s">
        <v>774</v>
      </c>
    </row>
    <row r="454" spans="1:5" x14ac:dyDescent="0.2">
      <c r="A454" s="335">
        <v>1001277140</v>
      </c>
      <c r="B454" s="336" t="s">
        <v>1436</v>
      </c>
      <c r="C454" s="336" t="s">
        <v>797</v>
      </c>
      <c r="D454" s="336" t="s">
        <v>801</v>
      </c>
      <c r="E454" s="336" t="s">
        <v>774</v>
      </c>
    </row>
    <row r="455" spans="1:5" x14ac:dyDescent="0.2">
      <c r="A455" s="335">
        <v>1001277141</v>
      </c>
      <c r="B455" s="336" t="s">
        <v>799</v>
      </c>
      <c r="C455" s="336" t="s">
        <v>813</v>
      </c>
      <c r="D455" s="336" t="s">
        <v>801</v>
      </c>
      <c r="E455" s="336" t="s">
        <v>774</v>
      </c>
    </row>
    <row r="456" spans="1:5" x14ac:dyDescent="0.2">
      <c r="A456" s="335">
        <v>1001277152</v>
      </c>
      <c r="B456" s="336" t="s">
        <v>1437</v>
      </c>
      <c r="C456" s="336" t="s">
        <v>813</v>
      </c>
      <c r="D456" s="336" t="s">
        <v>801</v>
      </c>
      <c r="E456" s="336" t="s">
        <v>774</v>
      </c>
    </row>
    <row r="457" spans="1:5" x14ac:dyDescent="0.2">
      <c r="A457" s="335">
        <v>1001277154</v>
      </c>
      <c r="B457" s="336" t="s">
        <v>1438</v>
      </c>
      <c r="C457" s="336" t="s">
        <v>813</v>
      </c>
      <c r="D457" s="336" t="s">
        <v>801</v>
      </c>
      <c r="E457" s="336" t="s">
        <v>774</v>
      </c>
    </row>
    <row r="458" spans="1:5" x14ac:dyDescent="0.2">
      <c r="A458" s="335">
        <v>1001277155</v>
      </c>
      <c r="B458" s="336" t="s">
        <v>1439</v>
      </c>
      <c r="C458" s="336" t="s">
        <v>813</v>
      </c>
      <c r="D458" s="336" t="s">
        <v>801</v>
      </c>
      <c r="E458" s="336" t="s">
        <v>774</v>
      </c>
    </row>
    <row r="459" spans="1:5" x14ac:dyDescent="0.2">
      <c r="A459" s="335">
        <v>1001277156</v>
      </c>
      <c r="B459" s="336" t="s">
        <v>1440</v>
      </c>
      <c r="C459" s="336" t="s">
        <v>813</v>
      </c>
      <c r="D459" s="336" t="s">
        <v>801</v>
      </c>
      <c r="E459" s="336" t="s">
        <v>774</v>
      </c>
    </row>
    <row r="460" spans="1:5" x14ac:dyDescent="0.2">
      <c r="A460" s="335">
        <v>1001277157</v>
      </c>
      <c r="B460" s="336" t="s">
        <v>1441</v>
      </c>
      <c r="C460" s="336" t="s">
        <v>813</v>
      </c>
      <c r="D460" s="336" t="s">
        <v>801</v>
      </c>
      <c r="E460" s="336" t="s">
        <v>774</v>
      </c>
    </row>
    <row r="461" spans="1:5" x14ac:dyDescent="0.2">
      <c r="A461" s="335">
        <v>1001277158</v>
      </c>
      <c r="B461" s="336" t="s">
        <v>892</v>
      </c>
      <c r="C461" s="336" t="s">
        <v>797</v>
      </c>
      <c r="D461" s="336" t="s">
        <v>801</v>
      </c>
      <c r="E461" s="336" t="s">
        <v>774</v>
      </c>
    </row>
    <row r="462" spans="1:5" x14ac:dyDescent="0.2">
      <c r="A462" s="335">
        <v>1001277159</v>
      </c>
      <c r="B462" s="336" t="s">
        <v>889</v>
      </c>
      <c r="C462" s="336" t="s">
        <v>813</v>
      </c>
      <c r="D462" s="336" t="s">
        <v>801</v>
      </c>
      <c r="E462" s="336" t="s">
        <v>774</v>
      </c>
    </row>
    <row r="463" spans="1:5" x14ac:dyDescent="0.2">
      <c r="A463" s="335">
        <v>1001277160</v>
      </c>
      <c r="B463" s="336" t="s">
        <v>1442</v>
      </c>
      <c r="C463" s="336" t="s">
        <v>813</v>
      </c>
      <c r="D463" s="336" t="s">
        <v>801</v>
      </c>
      <c r="E463" s="336" t="s">
        <v>774</v>
      </c>
    </row>
    <row r="464" spans="1:5" x14ac:dyDescent="0.2">
      <c r="A464" s="335">
        <v>1001277161</v>
      </c>
      <c r="B464" s="336" t="s">
        <v>888</v>
      </c>
      <c r="C464" s="336" t="s">
        <v>797</v>
      </c>
      <c r="D464" s="336" t="s">
        <v>801</v>
      </c>
      <c r="E464" s="336" t="s">
        <v>774</v>
      </c>
    </row>
    <row r="465" spans="1:5" x14ac:dyDescent="0.2">
      <c r="A465" s="335">
        <v>1001277163</v>
      </c>
      <c r="B465" s="336" t="s">
        <v>1443</v>
      </c>
      <c r="C465" s="336" t="s">
        <v>813</v>
      </c>
      <c r="D465" s="336" t="s">
        <v>801</v>
      </c>
      <c r="E465" s="336" t="s">
        <v>774</v>
      </c>
    </row>
    <row r="466" spans="1:5" x14ac:dyDescent="0.2">
      <c r="A466" s="335">
        <v>1001277164</v>
      </c>
      <c r="B466" s="336" t="s">
        <v>1444</v>
      </c>
      <c r="C466" s="336" t="s">
        <v>813</v>
      </c>
      <c r="D466" s="336" t="s">
        <v>801</v>
      </c>
      <c r="E466" s="336" t="s">
        <v>774</v>
      </c>
    </row>
    <row r="467" spans="1:5" x14ac:dyDescent="0.2">
      <c r="A467" s="335">
        <v>1001277165</v>
      </c>
      <c r="B467" s="336" t="s">
        <v>1445</v>
      </c>
      <c r="C467" s="336" t="s">
        <v>813</v>
      </c>
      <c r="D467" s="336" t="s">
        <v>801</v>
      </c>
      <c r="E467" s="336" t="s">
        <v>774</v>
      </c>
    </row>
    <row r="468" spans="1:5" x14ac:dyDescent="0.2">
      <c r="A468" s="335">
        <v>1001277166</v>
      </c>
      <c r="B468" s="336" t="s">
        <v>886</v>
      </c>
      <c r="C468" s="336" t="s">
        <v>797</v>
      </c>
      <c r="D468" s="336" t="s">
        <v>801</v>
      </c>
      <c r="E468" s="336" t="s">
        <v>774</v>
      </c>
    </row>
    <row r="469" spans="1:5" x14ac:dyDescent="0.2">
      <c r="A469" s="335">
        <v>1001277167</v>
      </c>
      <c r="B469" s="336" t="s">
        <v>891</v>
      </c>
      <c r="C469" s="336" t="s">
        <v>813</v>
      </c>
      <c r="D469" s="336" t="s">
        <v>801</v>
      </c>
      <c r="E469" s="336" t="s">
        <v>774</v>
      </c>
    </row>
    <row r="470" spans="1:5" x14ac:dyDescent="0.2">
      <c r="A470" s="335">
        <v>1001277171</v>
      </c>
      <c r="B470" s="336" t="s">
        <v>1446</v>
      </c>
      <c r="C470" s="336" t="s">
        <v>797</v>
      </c>
      <c r="D470" s="336" t="s">
        <v>801</v>
      </c>
      <c r="E470" s="336" t="s">
        <v>774</v>
      </c>
    </row>
    <row r="471" spans="1:5" x14ac:dyDescent="0.2">
      <c r="A471" s="335">
        <v>1001277173</v>
      </c>
      <c r="B471" s="336" t="s">
        <v>890</v>
      </c>
      <c r="C471" s="336" t="s">
        <v>797</v>
      </c>
      <c r="D471" s="336" t="s">
        <v>801</v>
      </c>
      <c r="E471" s="336" t="s">
        <v>774</v>
      </c>
    </row>
    <row r="472" spans="1:5" x14ac:dyDescent="0.2">
      <c r="A472" s="335">
        <v>1001277174</v>
      </c>
      <c r="B472" s="336" t="s">
        <v>1447</v>
      </c>
      <c r="C472" s="336" t="s">
        <v>813</v>
      </c>
      <c r="D472" s="336" t="s">
        <v>801</v>
      </c>
      <c r="E472" s="336" t="s">
        <v>774</v>
      </c>
    </row>
    <row r="473" spans="1:5" x14ac:dyDescent="0.2">
      <c r="A473" s="335">
        <v>1001277175</v>
      </c>
      <c r="B473" s="336" t="s">
        <v>884</v>
      </c>
      <c r="C473" s="336" t="s">
        <v>797</v>
      </c>
      <c r="D473" s="336" t="s">
        <v>801</v>
      </c>
      <c r="E473" s="336" t="s">
        <v>774</v>
      </c>
    </row>
    <row r="474" spans="1:5" x14ac:dyDescent="0.2">
      <c r="A474" s="335">
        <v>1001277177</v>
      </c>
      <c r="B474" s="336" t="s">
        <v>1448</v>
      </c>
      <c r="C474" s="336" t="s">
        <v>813</v>
      </c>
      <c r="D474" s="336" t="s">
        <v>801</v>
      </c>
      <c r="E474" s="336" t="s">
        <v>774</v>
      </c>
    </row>
    <row r="475" spans="1:5" x14ac:dyDescent="0.2">
      <c r="A475" s="335">
        <v>1001277178</v>
      </c>
      <c r="B475" s="336" t="s">
        <v>1449</v>
      </c>
      <c r="C475" s="336" t="s">
        <v>813</v>
      </c>
      <c r="D475" s="336" t="s">
        <v>801</v>
      </c>
      <c r="E475" s="336" t="s">
        <v>774</v>
      </c>
    </row>
    <row r="476" spans="1:5" x14ac:dyDescent="0.2">
      <c r="A476" s="335">
        <v>1001277179</v>
      </c>
      <c r="B476" s="336" t="s">
        <v>887</v>
      </c>
      <c r="C476" s="336" t="s">
        <v>797</v>
      </c>
      <c r="D476" s="336" t="s">
        <v>801</v>
      </c>
      <c r="E476" s="336" t="s">
        <v>774</v>
      </c>
    </row>
    <row r="477" spans="1:5" x14ac:dyDescent="0.2">
      <c r="A477" s="335">
        <v>1001277200</v>
      </c>
      <c r="B477" s="336" t="s">
        <v>1450</v>
      </c>
      <c r="C477" s="336" t="s">
        <v>813</v>
      </c>
      <c r="D477" s="336" t="s">
        <v>801</v>
      </c>
      <c r="E477" s="336" t="s">
        <v>774</v>
      </c>
    </row>
    <row r="478" spans="1:5" x14ac:dyDescent="0.2">
      <c r="A478" s="335">
        <v>1001277201</v>
      </c>
      <c r="B478" s="336" t="s">
        <v>1451</v>
      </c>
      <c r="C478" s="336" t="s">
        <v>813</v>
      </c>
      <c r="D478" s="336" t="s">
        <v>801</v>
      </c>
      <c r="E478" s="336" t="s">
        <v>774</v>
      </c>
    </row>
    <row r="479" spans="1:5" x14ac:dyDescent="0.2">
      <c r="A479" s="335">
        <v>1001277331</v>
      </c>
      <c r="B479" s="336" t="s">
        <v>1452</v>
      </c>
      <c r="C479" s="336" t="s">
        <v>797</v>
      </c>
      <c r="D479" s="336" t="s">
        <v>801</v>
      </c>
      <c r="E479" s="336" t="s">
        <v>774</v>
      </c>
    </row>
    <row r="480" spans="1:5" x14ac:dyDescent="0.2">
      <c r="A480" s="335">
        <v>1001277336</v>
      </c>
      <c r="B480" s="336" t="s">
        <v>1453</v>
      </c>
      <c r="C480" s="336" t="s">
        <v>797</v>
      </c>
      <c r="D480" s="336" t="s">
        <v>801</v>
      </c>
      <c r="E480" s="336" t="s">
        <v>774</v>
      </c>
    </row>
    <row r="481" spans="1:5" x14ac:dyDescent="0.2">
      <c r="A481" s="335">
        <v>1001277486</v>
      </c>
      <c r="B481" s="336" t="s">
        <v>1454</v>
      </c>
      <c r="C481" s="336" t="s">
        <v>813</v>
      </c>
      <c r="D481" s="336" t="s">
        <v>801</v>
      </c>
      <c r="E481" s="336" t="s">
        <v>774</v>
      </c>
    </row>
    <row r="482" spans="1:5" x14ac:dyDescent="0.2">
      <c r="A482" s="335">
        <v>1001277616</v>
      </c>
      <c r="B482" s="336" t="s">
        <v>1455</v>
      </c>
      <c r="C482" s="336" t="s">
        <v>863</v>
      </c>
      <c r="D482" s="336" t="s">
        <v>801</v>
      </c>
      <c r="E482" s="336" t="s">
        <v>774</v>
      </c>
    </row>
    <row r="483" spans="1:5" x14ac:dyDescent="0.2">
      <c r="A483" s="335">
        <v>1001277617</v>
      </c>
      <c r="B483" s="336" t="s">
        <v>1455</v>
      </c>
      <c r="C483" s="336" t="s">
        <v>863</v>
      </c>
      <c r="D483" s="336" t="s">
        <v>801</v>
      </c>
      <c r="E483" s="336" t="s">
        <v>774</v>
      </c>
    </row>
    <row r="484" spans="1:5" x14ac:dyDescent="0.2">
      <c r="A484" s="335">
        <v>1001277689</v>
      </c>
      <c r="B484" s="336" t="s">
        <v>933</v>
      </c>
      <c r="C484" s="336" t="s">
        <v>800</v>
      </c>
      <c r="D484" s="336" t="s">
        <v>801</v>
      </c>
      <c r="E484" s="336" t="s">
        <v>774</v>
      </c>
    </row>
    <row r="485" spans="1:5" x14ac:dyDescent="0.2">
      <c r="A485" s="335">
        <v>1001277767</v>
      </c>
      <c r="B485" s="336" t="s">
        <v>1456</v>
      </c>
      <c r="C485" s="336" t="s">
        <v>813</v>
      </c>
      <c r="D485" s="336" t="s">
        <v>801</v>
      </c>
      <c r="E485" s="336" t="s">
        <v>774</v>
      </c>
    </row>
    <row r="486" spans="1:5" x14ac:dyDescent="0.2">
      <c r="A486" s="335">
        <v>1001277896</v>
      </c>
      <c r="B486" s="336" t="s">
        <v>1457</v>
      </c>
      <c r="C486" s="336" t="s">
        <v>813</v>
      </c>
      <c r="D486" s="336" t="s">
        <v>801</v>
      </c>
      <c r="E486" s="336" t="s">
        <v>774</v>
      </c>
    </row>
    <row r="487" spans="1:5" x14ac:dyDescent="0.2">
      <c r="A487" s="335">
        <v>1001278046</v>
      </c>
      <c r="B487" s="336" t="s">
        <v>1458</v>
      </c>
      <c r="C487" s="336" t="s">
        <v>813</v>
      </c>
      <c r="D487" s="336" t="s">
        <v>801</v>
      </c>
      <c r="E487" s="336" t="s">
        <v>774</v>
      </c>
    </row>
    <row r="488" spans="1:5" x14ac:dyDescent="0.2">
      <c r="A488" s="335">
        <v>1001278623</v>
      </c>
      <c r="B488" s="336" t="s">
        <v>1459</v>
      </c>
      <c r="C488" s="336" t="s">
        <v>813</v>
      </c>
      <c r="D488" s="336" t="s">
        <v>801</v>
      </c>
      <c r="E488" s="336" t="s">
        <v>774</v>
      </c>
    </row>
    <row r="489" spans="1:5" x14ac:dyDescent="0.2">
      <c r="A489" s="335">
        <v>1001278692</v>
      </c>
      <c r="B489" s="336" t="s">
        <v>1010</v>
      </c>
      <c r="C489" s="336" t="s">
        <v>841</v>
      </c>
      <c r="D489" s="336" t="s">
        <v>801</v>
      </c>
      <c r="E489" s="336" t="s">
        <v>774</v>
      </c>
    </row>
    <row r="490" spans="1:5" x14ac:dyDescent="0.2">
      <c r="A490" s="335">
        <v>1001279373</v>
      </c>
      <c r="B490" s="336" t="s">
        <v>1460</v>
      </c>
      <c r="C490" s="336" t="s">
        <v>863</v>
      </c>
      <c r="D490" s="336" t="s">
        <v>801</v>
      </c>
      <c r="E490" s="336" t="s">
        <v>774</v>
      </c>
    </row>
    <row r="491" spans="1:5" x14ac:dyDescent="0.2">
      <c r="A491" s="335">
        <v>1001279379</v>
      </c>
      <c r="B491" s="336" t="s">
        <v>1461</v>
      </c>
      <c r="C491" s="336" t="s">
        <v>813</v>
      </c>
      <c r="D491" s="336" t="s">
        <v>801</v>
      </c>
      <c r="E491" s="336" t="s">
        <v>774</v>
      </c>
    </row>
    <row r="492" spans="1:5" x14ac:dyDescent="0.2">
      <c r="A492" s="335">
        <v>1001279924</v>
      </c>
      <c r="B492" s="336" t="s">
        <v>860</v>
      </c>
      <c r="C492" s="336" t="s">
        <v>800</v>
      </c>
      <c r="D492" s="336" t="s">
        <v>801</v>
      </c>
      <c r="E492" s="336" t="s">
        <v>774</v>
      </c>
    </row>
    <row r="493" spans="1:5" x14ac:dyDescent="0.2">
      <c r="A493" s="335">
        <v>1001279945</v>
      </c>
      <c r="B493" s="336" t="s">
        <v>1462</v>
      </c>
      <c r="C493" s="336" t="s">
        <v>813</v>
      </c>
      <c r="D493" s="336" t="s">
        <v>801</v>
      </c>
      <c r="E493" s="336" t="s">
        <v>774</v>
      </c>
    </row>
    <row r="494" spans="1:5" x14ac:dyDescent="0.2">
      <c r="A494" s="335">
        <v>1001279996</v>
      </c>
      <c r="B494" s="336" t="s">
        <v>1463</v>
      </c>
      <c r="C494" s="336" t="s">
        <v>797</v>
      </c>
      <c r="D494" s="336" t="s">
        <v>801</v>
      </c>
      <c r="E494" s="336" t="s">
        <v>774</v>
      </c>
    </row>
    <row r="495" spans="1:5" x14ac:dyDescent="0.2">
      <c r="A495" s="335">
        <v>1001279998</v>
      </c>
      <c r="B495" s="336" t="s">
        <v>1464</v>
      </c>
      <c r="C495" s="336" t="s">
        <v>797</v>
      </c>
      <c r="D495" s="336" t="s">
        <v>801</v>
      </c>
      <c r="E495" s="336" t="s">
        <v>774</v>
      </c>
    </row>
    <row r="496" spans="1:5" x14ac:dyDescent="0.2">
      <c r="A496" s="335">
        <v>1001279999</v>
      </c>
      <c r="B496" s="336" t="s">
        <v>1464</v>
      </c>
      <c r="C496" s="336" t="s">
        <v>1097</v>
      </c>
      <c r="D496" s="336" t="s">
        <v>801</v>
      </c>
      <c r="E496" s="336" t="s">
        <v>774</v>
      </c>
    </row>
    <row r="497" spans="1:5" x14ac:dyDescent="0.2">
      <c r="A497" s="335">
        <v>1001280234</v>
      </c>
      <c r="B497" s="336" t="s">
        <v>1465</v>
      </c>
      <c r="C497" s="336" t="s">
        <v>797</v>
      </c>
      <c r="D497" s="336" t="s">
        <v>801</v>
      </c>
      <c r="E497" s="336" t="s">
        <v>774</v>
      </c>
    </row>
    <row r="498" spans="1:5" x14ac:dyDescent="0.2">
      <c r="A498" s="335">
        <v>1001280236</v>
      </c>
      <c r="B498" s="336" t="s">
        <v>799</v>
      </c>
      <c r="C498" s="336" t="s">
        <v>800</v>
      </c>
      <c r="D498" s="336" t="s">
        <v>801</v>
      </c>
      <c r="E498" s="336" t="s">
        <v>774</v>
      </c>
    </row>
    <row r="499" spans="1:5" x14ac:dyDescent="0.2">
      <c r="A499" s="335">
        <v>1001280237</v>
      </c>
      <c r="B499" s="336" t="s">
        <v>1101</v>
      </c>
      <c r="C499" s="336" t="s">
        <v>797</v>
      </c>
      <c r="D499" s="336" t="s">
        <v>801</v>
      </c>
      <c r="E499" s="336" t="s">
        <v>774</v>
      </c>
    </row>
    <row r="500" spans="1:5" x14ac:dyDescent="0.2">
      <c r="A500" s="335">
        <v>1001280369</v>
      </c>
      <c r="B500" s="336" t="s">
        <v>1466</v>
      </c>
      <c r="C500" s="336" t="s">
        <v>813</v>
      </c>
      <c r="D500" s="336" t="s">
        <v>801</v>
      </c>
      <c r="E500" s="336" t="s">
        <v>774</v>
      </c>
    </row>
    <row r="501" spans="1:5" x14ac:dyDescent="0.2">
      <c r="A501" s="335">
        <v>1001280454</v>
      </c>
      <c r="B501" s="336" t="s">
        <v>1467</v>
      </c>
      <c r="C501" s="336" t="s">
        <v>813</v>
      </c>
      <c r="D501" s="336" t="s">
        <v>801</v>
      </c>
      <c r="E501" s="336" t="s">
        <v>774</v>
      </c>
    </row>
    <row r="502" spans="1:5" x14ac:dyDescent="0.2">
      <c r="A502" s="335">
        <v>1001280532</v>
      </c>
      <c r="B502" s="336" t="s">
        <v>1468</v>
      </c>
      <c r="C502" s="336" t="s">
        <v>863</v>
      </c>
      <c r="D502" s="336" t="s">
        <v>801</v>
      </c>
      <c r="E502" s="336" t="s">
        <v>774</v>
      </c>
    </row>
    <row r="503" spans="1:5" x14ac:dyDescent="0.2">
      <c r="A503" s="335">
        <v>1001280608</v>
      </c>
      <c r="B503" s="336" t="s">
        <v>1469</v>
      </c>
      <c r="C503" s="336" t="s">
        <v>813</v>
      </c>
      <c r="D503" s="336" t="s">
        <v>801</v>
      </c>
      <c r="E503" s="336" t="s">
        <v>774</v>
      </c>
    </row>
    <row r="504" spans="1:5" x14ac:dyDescent="0.2">
      <c r="A504" s="335">
        <v>1001280652</v>
      </c>
      <c r="B504" s="336" t="s">
        <v>1470</v>
      </c>
      <c r="C504" s="336" t="s">
        <v>863</v>
      </c>
      <c r="D504" s="336" t="s">
        <v>801</v>
      </c>
      <c r="E504" s="336" t="s">
        <v>774</v>
      </c>
    </row>
    <row r="505" spans="1:5" x14ac:dyDescent="0.2">
      <c r="A505" s="335">
        <v>1001288878</v>
      </c>
      <c r="B505" s="336" t="s">
        <v>1471</v>
      </c>
      <c r="C505" s="336" t="s">
        <v>863</v>
      </c>
      <c r="D505" s="336" t="s">
        <v>801</v>
      </c>
      <c r="E505" s="336" t="s">
        <v>774</v>
      </c>
    </row>
    <row r="506" spans="1:5" x14ac:dyDescent="0.2">
      <c r="A506" s="335">
        <v>1001288944</v>
      </c>
      <c r="B506" s="336" t="s">
        <v>845</v>
      </c>
      <c r="C506" s="336" t="s">
        <v>813</v>
      </c>
      <c r="D506" s="336" t="s">
        <v>801</v>
      </c>
      <c r="E506" s="336" t="s">
        <v>774</v>
      </c>
    </row>
    <row r="507" spans="1:5" x14ac:dyDescent="0.2">
      <c r="A507" s="335">
        <v>1001288990</v>
      </c>
      <c r="B507" s="336" t="s">
        <v>1472</v>
      </c>
      <c r="C507" s="336" t="s">
        <v>797</v>
      </c>
      <c r="D507" s="336" t="s">
        <v>801</v>
      </c>
      <c r="E507" s="336" t="s">
        <v>774</v>
      </c>
    </row>
    <row r="508" spans="1:5" x14ac:dyDescent="0.2">
      <c r="A508" s="335">
        <v>1001289001</v>
      </c>
      <c r="B508" s="336" t="s">
        <v>1074</v>
      </c>
      <c r="C508" s="336" t="s">
        <v>813</v>
      </c>
      <c r="D508" s="336" t="s">
        <v>801</v>
      </c>
      <c r="E508" s="336" t="s">
        <v>774</v>
      </c>
    </row>
    <row r="509" spans="1:5" x14ac:dyDescent="0.2">
      <c r="A509" s="335">
        <v>1001289004</v>
      </c>
      <c r="B509" s="336" t="s">
        <v>1473</v>
      </c>
      <c r="C509" s="336" t="s">
        <v>813</v>
      </c>
      <c r="D509" s="336" t="s">
        <v>801</v>
      </c>
      <c r="E509" s="336" t="s">
        <v>774</v>
      </c>
    </row>
    <row r="510" spans="1:5" x14ac:dyDescent="0.2">
      <c r="A510" s="335">
        <v>1001289052</v>
      </c>
      <c r="B510" s="336" t="s">
        <v>774</v>
      </c>
      <c r="C510" s="336" t="s">
        <v>813</v>
      </c>
      <c r="D510" s="336" t="s">
        <v>801</v>
      </c>
      <c r="E510" s="336" t="s">
        <v>774</v>
      </c>
    </row>
    <row r="511" spans="1:5" x14ac:dyDescent="0.2">
      <c r="A511" s="335">
        <v>1001289057</v>
      </c>
      <c r="B511" s="336" t="s">
        <v>1474</v>
      </c>
      <c r="C511" s="336" t="s">
        <v>813</v>
      </c>
      <c r="D511" s="336" t="s">
        <v>801</v>
      </c>
      <c r="E511" s="336" t="s">
        <v>774</v>
      </c>
    </row>
    <row r="512" spans="1:5" x14ac:dyDescent="0.2">
      <c r="A512" s="335">
        <v>1001289062</v>
      </c>
      <c r="B512" s="336" t="s">
        <v>1475</v>
      </c>
      <c r="C512" s="336" t="s">
        <v>813</v>
      </c>
      <c r="D512" s="336" t="s">
        <v>801</v>
      </c>
      <c r="E512" s="336" t="s">
        <v>774</v>
      </c>
    </row>
    <row r="513" spans="1:5" x14ac:dyDescent="0.2">
      <c r="A513" s="335">
        <v>1001290235</v>
      </c>
      <c r="B513" s="336" t="s">
        <v>1476</v>
      </c>
      <c r="C513" s="336" t="s">
        <v>863</v>
      </c>
      <c r="D513" s="336" t="s">
        <v>801</v>
      </c>
      <c r="E513" s="336" t="s">
        <v>774</v>
      </c>
    </row>
    <row r="514" spans="1:5" x14ac:dyDescent="0.2">
      <c r="A514" s="335">
        <v>1001290288</v>
      </c>
      <c r="B514" s="336" t="s">
        <v>1477</v>
      </c>
      <c r="C514" s="336" t="s">
        <v>813</v>
      </c>
      <c r="D514" s="336" t="s">
        <v>801</v>
      </c>
      <c r="E514" s="336" t="s">
        <v>774</v>
      </c>
    </row>
    <row r="515" spans="1:5" x14ac:dyDescent="0.2">
      <c r="A515" s="335">
        <v>1001290377</v>
      </c>
      <c r="B515" s="336" t="s">
        <v>1478</v>
      </c>
      <c r="C515" s="336" t="s">
        <v>813</v>
      </c>
      <c r="D515" s="336" t="s">
        <v>801</v>
      </c>
      <c r="E515" s="336" t="s">
        <v>774</v>
      </c>
    </row>
    <row r="516" spans="1:5" x14ac:dyDescent="0.2">
      <c r="A516" s="335">
        <v>1001290458</v>
      </c>
      <c r="B516" s="336" t="s">
        <v>899</v>
      </c>
      <c r="C516" s="336" t="s">
        <v>863</v>
      </c>
      <c r="D516" s="336" t="s">
        <v>801</v>
      </c>
      <c r="E516" s="336" t="s">
        <v>774</v>
      </c>
    </row>
    <row r="517" spans="1:5" x14ac:dyDescent="0.2">
      <c r="A517" s="335">
        <v>1001290464</v>
      </c>
      <c r="B517" s="336" t="s">
        <v>1479</v>
      </c>
      <c r="C517" s="336" t="s">
        <v>813</v>
      </c>
      <c r="D517" s="336" t="s">
        <v>801</v>
      </c>
      <c r="E517" s="336" t="s">
        <v>774</v>
      </c>
    </row>
    <row r="518" spans="1:5" x14ac:dyDescent="0.2">
      <c r="A518" s="335">
        <v>1001290474</v>
      </c>
      <c r="B518" s="336" t="s">
        <v>1480</v>
      </c>
      <c r="C518" s="336" t="s">
        <v>813</v>
      </c>
      <c r="D518" s="336" t="s">
        <v>801</v>
      </c>
      <c r="E518" s="336" t="s">
        <v>774</v>
      </c>
    </row>
    <row r="519" spans="1:5" x14ac:dyDescent="0.2">
      <c r="A519" s="335">
        <v>1001290515</v>
      </c>
      <c r="B519" s="336" t="s">
        <v>1481</v>
      </c>
      <c r="C519" s="336" t="s">
        <v>863</v>
      </c>
      <c r="D519" s="336" t="s">
        <v>801</v>
      </c>
      <c r="E519" s="336" t="s">
        <v>774</v>
      </c>
    </row>
    <row r="520" spans="1:5" x14ac:dyDescent="0.2">
      <c r="A520" s="335">
        <v>1001290532</v>
      </c>
      <c r="B520" s="336" t="s">
        <v>1482</v>
      </c>
      <c r="C520" s="336" t="s">
        <v>797</v>
      </c>
      <c r="D520" s="336" t="s">
        <v>801</v>
      </c>
      <c r="E520" s="336" t="s">
        <v>774</v>
      </c>
    </row>
    <row r="521" spans="1:5" x14ac:dyDescent="0.2">
      <c r="A521" s="335">
        <v>1001290538</v>
      </c>
      <c r="B521" s="336" t="s">
        <v>1483</v>
      </c>
      <c r="C521" s="336" t="s">
        <v>813</v>
      </c>
      <c r="D521" s="336" t="s">
        <v>801</v>
      </c>
      <c r="E521" s="336" t="s">
        <v>774</v>
      </c>
    </row>
    <row r="522" spans="1:5" x14ac:dyDescent="0.2">
      <c r="A522" s="335">
        <v>1001290539</v>
      </c>
      <c r="B522" s="336" t="s">
        <v>1484</v>
      </c>
      <c r="C522" s="336" t="s">
        <v>813</v>
      </c>
      <c r="D522" s="336" t="s">
        <v>801</v>
      </c>
      <c r="E522" s="336" t="s">
        <v>774</v>
      </c>
    </row>
    <row r="523" spans="1:5" x14ac:dyDescent="0.2">
      <c r="A523" s="335">
        <v>1001290560</v>
      </c>
      <c r="B523" s="336" t="s">
        <v>1485</v>
      </c>
      <c r="C523" s="336" t="s">
        <v>813</v>
      </c>
      <c r="D523" s="336" t="s">
        <v>801</v>
      </c>
      <c r="E523" s="336" t="s">
        <v>774</v>
      </c>
    </row>
    <row r="524" spans="1:5" x14ac:dyDescent="0.2">
      <c r="A524" s="335">
        <v>1001290609</v>
      </c>
      <c r="B524" s="336" t="s">
        <v>1486</v>
      </c>
      <c r="C524" s="336" t="s">
        <v>813</v>
      </c>
      <c r="D524" s="336" t="s">
        <v>801</v>
      </c>
      <c r="E524" s="336" t="s">
        <v>774</v>
      </c>
    </row>
    <row r="525" spans="1:5" x14ac:dyDescent="0.2">
      <c r="A525" s="335">
        <v>1001290640</v>
      </c>
      <c r="B525" s="336" t="s">
        <v>1487</v>
      </c>
      <c r="C525" s="336" t="s">
        <v>813</v>
      </c>
      <c r="D525" s="336" t="s">
        <v>801</v>
      </c>
      <c r="E525" s="336" t="s">
        <v>774</v>
      </c>
    </row>
    <row r="526" spans="1:5" x14ac:dyDescent="0.2">
      <c r="A526" s="335">
        <v>1001290750</v>
      </c>
      <c r="B526" s="336" t="s">
        <v>1488</v>
      </c>
      <c r="C526" s="336" t="s">
        <v>813</v>
      </c>
      <c r="D526" s="336" t="s">
        <v>801</v>
      </c>
      <c r="E526" s="336" t="s">
        <v>774</v>
      </c>
    </row>
    <row r="527" spans="1:5" x14ac:dyDescent="0.2">
      <c r="A527" s="335">
        <v>1001290781</v>
      </c>
      <c r="B527" s="336" t="s">
        <v>1489</v>
      </c>
      <c r="C527" s="336" t="s">
        <v>813</v>
      </c>
      <c r="D527" s="336" t="s">
        <v>801</v>
      </c>
      <c r="E527" s="336" t="s">
        <v>774</v>
      </c>
    </row>
    <row r="528" spans="1:5" x14ac:dyDescent="0.2">
      <c r="A528" s="335">
        <v>1001290788</v>
      </c>
      <c r="B528" s="336" t="s">
        <v>1490</v>
      </c>
      <c r="C528" s="336" t="s">
        <v>813</v>
      </c>
      <c r="D528" s="336" t="s">
        <v>801</v>
      </c>
      <c r="E528" s="336" t="s">
        <v>774</v>
      </c>
    </row>
    <row r="529" spans="1:5" x14ac:dyDescent="0.2">
      <c r="A529" s="335">
        <v>1001290801</v>
      </c>
      <c r="B529" s="336" t="s">
        <v>1491</v>
      </c>
      <c r="C529" s="336" t="s">
        <v>863</v>
      </c>
      <c r="D529" s="336" t="s">
        <v>801</v>
      </c>
      <c r="E529" s="336" t="s">
        <v>774</v>
      </c>
    </row>
    <row r="530" spans="1:5" x14ac:dyDescent="0.2">
      <c r="A530" s="335">
        <v>1001290804</v>
      </c>
      <c r="B530" s="336" t="s">
        <v>1492</v>
      </c>
      <c r="C530" s="336" t="s">
        <v>863</v>
      </c>
      <c r="D530" s="336" t="s">
        <v>801</v>
      </c>
      <c r="E530" s="336" t="s">
        <v>774</v>
      </c>
    </row>
    <row r="531" spans="1:5" x14ac:dyDescent="0.2">
      <c r="A531" s="335">
        <v>1001290806</v>
      </c>
      <c r="B531" s="336" t="s">
        <v>1493</v>
      </c>
      <c r="C531" s="336" t="s">
        <v>797</v>
      </c>
      <c r="D531" s="336" t="s">
        <v>801</v>
      </c>
      <c r="E531" s="336" t="s">
        <v>774</v>
      </c>
    </row>
    <row r="532" spans="1:5" x14ac:dyDescent="0.2">
      <c r="A532" s="335">
        <v>1001290808</v>
      </c>
      <c r="B532" s="336" t="s">
        <v>1494</v>
      </c>
      <c r="C532" s="336" t="s">
        <v>797</v>
      </c>
      <c r="D532" s="336" t="s">
        <v>801</v>
      </c>
      <c r="E532" s="336" t="s">
        <v>774</v>
      </c>
    </row>
    <row r="533" spans="1:5" x14ac:dyDescent="0.2">
      <c r="A533" s="335">
        <v>1001290822</v>
      </c>
      <c r="B533" s="336" t="s">
        <v>1495</v>
      </c>
      <c r="C533" s="336" t="s">
        <v>813</v>
      </c>
      <c r="D533" s="336" t="s">
        <v>801</v>
      </c>
      <c r="E533" s="336" t="s">
        <v>774</v>
      </c>
    </row>
    <row r="534" spans="1:5" x14ac:dyDescent="0.2">
      <c r="A534" s="335">
        <v>1001290830</v>
      </c>
      <c r="B534" s="336" t="s">
        <v>1496</v>
      </c>
      <c r="C534" s="336" t="s">
        <v>800</v>
      </c>
      <c r="D534" s="336" t="s">
        <v>801</v>
      </c>
      <c r="E534" s="336" t="s">
        <v>774</v>
      </c>
    </row>
    <row r="535" spans="1:5" x14ac:dyDescent="0.2">
      <c r="A535" s="335">
        <v>1001295225</v>
      </c>
      <c r="B535" s="336" t="s">
        <v>1497</v>
      </c>
      <c r="C535" s="336" t="s">
        <v>813</v>
      </c>
      <c r="D535" s="336" t="s">
        <v>801</v>
      </c>
      <c r="E535" s="336" t="s">
        <v>774</v>
      </c>
    </row>
    <row r="536" spans="1:5" x14ac:dyDescent="0.2">
      <c r="A536" s="335">
        <v>1001301981</v>
      </c>
      <c r="B536" s="336" t="s">
        <v>380</v>
      </c>
      <c r="C536" s="336" t="s">
        <v>797</v>
      </c>
      <c r="D536" s="336" t="s">
        <v>801</v>
      </c>
      <c r="E536" s="336" t="s">
        <v>774</v>
      </c>
    </row>
    <row r="537" spans="1:5" x14ac:dyDescent="0.2">
      <c r="A537" s="335">
        <v>1001302050</v>
      </c>
      <c r="B537" s="336" t="s">
        <v>1498</v>
      </c>
      <c r="C537" s="336" t="s">
        <v>863</v>
      </c>
      <c r="D537" s="336" t="s">
        <v>801</v>
      </c>
      <c r="E537" s="336" t="s">
        <v>774</v>
      </c>
    </row>
    <row r="538" spans="1:5" x14ac:dyDescent="0.2">
      <c r="A538" s="335">
        <v>1001302052</v>
      </c>
      <c r="B538" s="336" t="s">
        <v>1091</v>
      </c>
      <c r="C538" s="336" t="s">
        <v>813</v>
      </c>
      <c r="D538" s="336" t="s">
        <v>801</v>
      </c>
      <c r="E538" s="336" t="s">
        <v>774</v>
      </c>
    </row>
    <row r="539" spans="1:5" x14ac:dyDescent="0.2">
      <c r="A539" s="335">
        <v>1001302130</v>
      </c>
      <c r="B539" s="336" t="s">
        <v>1499</v>
      </c>
      <c r="C539" s="336" t="s">
        <v>863</v>
      </c>
      <c r="D539" s="336" t="s">
        <v>801</v>
      </c>
      <c r="E539" s="336" t="s">
        <v>774</v>
      </c>
    </row>
    <row r="540" spans="1:5" x14ac:dyDescent="0.2">
      <c r="A540" s="335">
        <v>1001302141</v>
      </c>
      <c r="B540" s="336" t="s">
        <v>831</v>
      </c>
      <c r="C540" s="336" t="s">
        <v>797</v>
      </c>
      <c r="D540" s="336" t="s">
        <v>801</v>
      </c>
      <c r="E540" s="336" t="s">
        <v>774</v>
      </c>
    </row>
    <row r="541" spans="1:5" x14ac:dyDescent="0.2">
      <c r="A541" s="335">
        <v>1001302179</v>
      </c>
      <c r="B541" s="336" t="s">
        <v>1014</v>
      </c>
      <c r="C541" s="336" t="s">
        <v>813</v>
      </c>
      <c r="D541" s="336" t="s">
        <v>801</v>
      </c>
      <c r="E541" s="336" t="s">
        <v>774</v>
      </c>
    </row>
    <row r="542" spans="1:5" x14ac:dyDescent="0.2">
      <c r="A542" s="335">
        <v>1001302180</v>
      </c>
      <c r="B542" s="336" t="s">
        <v>1500</v>
      </c>
      <c r="C542" s="336" t="s">
        <v>813</v>
      </c>
      <c r="D542" s="336" t="s">
        <v>801</v>
      </c>
      <c r="E542" s="336" t="s">
        <v>774</v>
      </c>
    </row>
    <row r="543" spans="1:5" x14ac:dyDescent="0.2">
      <c r="A543" s="335">
        <v>1001302182</v>
      </c>
      <c r="B543" s="336" t="s">
        <v>1501</v>
      </c>
      <c r="C543" s="336" t="s">
        <v>813</v>
      </c>
      <c r="D543" s="336" t="s">
        <v>801</v>
      </c>
      <c r="E543" s="336" t="s">
        <v>774</v>
      </c>
    </row>
    <row r="544" spans="1:5" x14ac:dyDescent="0.2">
      <c r="A544" s="335">
        <v>1001302269</v>
      </c>
      <c r="B544" s="336" t="s">
        <v>799</v>
      </c>
      <c r="C544" s="336" t="s">
        <v>800</v>
      </c>
      <c r="D544" s="336" t="s">
        <v>801</v>
      </c>
      <c r="E544" s="336" t="s">
        <v>774</v>
      </c>
    </row>
    <row r="545" spans="1:5" x14ac:dyDescent="0.2">
      <c r="A545" s="335">
        <v>1001302468</v>
      </c>
      <c r="B545" s="336" t="s">
        <v>1502</v>
      </c>
      <c r="C545" s="336" t="s">
        <v>813</v>
      </c>
      <c r="D545" s="336" t="s">
        <v>801</v>
      </c>
      <c r="E545" s="336" t="s">
        <v>774</v>
      </c>
    </row>
    <row r="546" spans="1:5" x14ac:dyDescent="0.2">
      <c r="A546" s="335">
        <v>1001302496</v>
      </c>
      <c r="B546" s="336" t="s">
        <v>1503</v>
      </c>
      <c r="C546" s="336" t="s">
        <v>813</v>
      </c>
      <c r="D546" s="336" t="s">
        <v>801</v>
      </c>
      <c r="E546" s="336" t="s">
        <v>774</v>
      </c>
    </row>
    <row r="547" spans="1:5" x14ac:dyDescent="0.2">
      <c r="A547" s="335">
        <v>1001302502</v>
      </c>
      <c r="B547" s="336" t="s">
        <v>1504</v>
      </c>
      <c r="C547" s="336" t="s">
        <v>813</v>
      </c>
      <c r="D547" s="336" t="s">
        <v>801</v>
      </c>
      <c r="E547" s="336" t="s">
        <v>774</v>
      </c>
    </row>
    <row r="548" spans="1:5" x14ac:dyDescent="0.2">
      <c r="A548" s="335">
        <v>1001302659</v>
      </c>
      <c r="B548" s="336" t="s">
        <v>1505</v>
      </c>
      <c r="C548" s="336" t="s">
        <v>863</v>
      </c>
      <c r="D548" s="336" t="s">
        <v>801</v>
      </c>
      <c r="E548" s="336" t="s">
        <v>774</v>
      </c>
    </row>
    <row r="549" spans="1:5" x14ac:dyDescent="0.2">
      <c r="A549" s="335">
        <v>1001302700</v>
      </c>
      <c r="B549" s="336" t="s">
        <v>1506</v>
      </c>
      <c r="C549" s="336" t="s">
        <v>863</v>
      </c>
      <c r="D549" s="336" t="s">
        <v>801</v>
      </c>
      <c r="E549" s="336" t="s">
        <v>774</v>
      </c>
    </row>
    <row r="550" spans="1:5" x14ac:dyDescent="0.2">
      <c r="A550" s="335">
        <v>1001311056</v>
      </c>
      <c r="B550" s="336" t="s">
        <v>1507</v>
      </c>
      <c r="C550" s="336" t="s">
        <v>813</v>
      </c>
      <c r="D550" s="336" t="s">
        <v>801</v>
      </c>
      <c r="E550" s="336" t="s">
        <v>774</v>
      </c>
    </row>
    <row r="551" spans="1:5" x14ac:dyDescent="0.2">
      <c r="A551" s="335">
        <v>1001311493</v>
      </c>
      <c r="B551" s="336" t="s">
        <v>1384</v>
      </c>
      <c r="C551" s="336" t="s">
        <v>863</v>
      </c>
      <c r="D551" s="336" t="s">
        <v>801</v>
      </c>
      <c r="E551" s="336" t="s">
        <v>774</v>
      </c>
    </row>
    <row r="552" spans="1:5" x14ac:dyDescent="0.2">
      <c r="A552" s="335">
        <v>1001311515</v>
      </c>
      <c r="B552" s="336" t="s">
        <v>898</v>
      </c>
      <c r="C552" s="336" t="s">
        <v>813</v>
      </c>
      <c r="D552" s="336" t="s">
        <v>801</v>
      </c>
      <c r="E552" s="336" t="s">
        <v>774</v>
      </c>
    </row>
    <row r="553" spans="1:5" x14ac:dyDescent="0.2">
      <c r="A553" s="335">
        <v>1001311946</v>
      </c>
      <c r="B553" s="336" t="s">
        <v>1508</v>
      </c>
      <c r="C553" s="336" t="s">
        <v>813</v>
      </c>
      <c r="D553" s="336" t="s">
        <v>801</v>
      </c>
      <c r="E553" s="336" t="s">
        <v>774</v>
      </c>
    </row>
    <row r="554" spans="1:5" x14ac:dyDescent="0.2">
      <c r="A554" s="335">
        <v>1001312097</v>
      </c>
      <c r="B554" s="336" t="s">
        <v>1509</v>
      </c>
      <c r="C554" s="336" t="s">
        <v>813</v>
      </c>
      <c r="D554" s="336" t="s">
        <v>801</v>
      </c>
      <c r="E554" s="336" t="s">
        <v>774</v>
      </c>
    </row>
    <row r="555" spans="1:5" x14ac:dyDescent="0.2">
      <c r="A555" s="335">
        <v>1001312098</v>
      </c>
      <c r="B555" s="336" t="s">
        <v>1510</v>
      </c>
      <c r="C555" s="336" t="s">
        <v>813</v>
      </c>
      <c r="D555" s="336" t="s">
        <v>801</v>
      </c>
      <c r="E555" s="336" t="s">
        <v>774</v>
      </c>
    </row>
    <row r="556" spans="1:5" x14ac:dyDescent="0.2">
      <c r="A556" s="335">
        <v>1001312114</v>
      </c>
      <c r="B556" s="336" t="s">
        <v>1511</v>
      </c>
      <c r="C556" s="336" t="s">
        <v>813</v>
      </c>
      <c r="D556" s="336" t="s">
        <v>801</v>
      </c>
      <c r="E556" s="336" t="s">
        <v>774</v>
      </c>
    </row>
    <row r="557" spans="1:5" x14ac:dyDescent="0.2">
      <c r="A557" s="335">
        <v>1001312149</v>
      </c>
      <c r="B557" s="336" t="s">
        <v>899</v>
      </c>
      <c r="C557" s="336" t="s">
        <v>797</v>
      </c>
      <c r="D557" s="336" t="s">
        <v>801</v>
      </c>
      <c r="E557" s="336" t="s">
        <v>774</v>
      </c>
    </row>
    <row r="558" spans="1:5" x14ac:dyDescent="0.2">
      <c r="A558" s="335">
        <v>1001312150</v>
      </c>
      <c r="B558" s="336" t="s">
        <v>1512</v>
      </c>
      <c r="C558" s="336" t="s">
        <v>813</v>
      </c>
      <c r="D558" s="336" t="s">
        <v>801</v>
      </c>
      <c r="E558" s="336" t="s">
        <v>774</v>
      </c>
    </row>
    <row r="559" spans="1:5" x14ac:dyDescent="0.2">
      <c r="A559" s="335">
        <v>1001312159</v>
      </c>
      <c r="B559" s="336" t="s">
        <v>1457</v>
      </c>
      <c r="C559" s="336" t="s">
        <v>813</v>
      </c>
      <c r="D559" s="336" t="s">
        <v>801</v>
      </c>
      <c r="E559" s="336" t="s">
        <v>774</v>
      </c>
    </row>
    <row r="560" spans="1:5" x14ac:dyDescent="0.2">
      <c r="A560" s="335">
        <v>1001312183</v>
      </c>
      <c r="B560" s="336" t="s">
        <v>1513</v>
      </c>
      <c r="C560" s="336" t="s">
        <v>813</v>
      </c>
      <c r="D560" s="336" t="s">
        <v>801</v>
      </c>
      <c r="E560" s="336" t="s">
        <v>774</v>
      </c>
    </row>
    <row r="561" spans="1:5" x14ac:dyDescent="0.2">
      <c r="A561" s="335">
        <v>1001312186</v>
      </c>
      <c r="B561" s="336" t="s">
        <v>1514</v>
      </c>
      <c r="C561" s="336" t="s">
        <v>813</v>
      </c>
      <c r="D561" s="336" t="s">
        <v>801</v>
      </c>
      <c r="E561" s="336" t="s">
        <v>774</v>
      </c>
    </row>
    <row r="562" spans="1:5" x14ac:dyDescent="0.2">
      <c r="A562" s="335">
        <v>1001312204</v>
      </c>
      <c r="B562" s="336" t="s">
        <v>1515</v>
      </c>
      <c r="C562" s="336" t="s">
        <v>813</v>
      </c>
      <c r="D562" s="336" t="s">
        <v>801</v>
      </c>
      <c r="E562" s="336" t="s">
        <v>774</v>
      </c>
    </row>
    <row r="563" spans="1:5" x14ac:dyDescent="0.2">
      <c r="A563" s="335">
        <v>1001312269</v>
      </c>
      <c r="B563" s="336" t="s">
        <v>811</v>
      </c>
      <c r="C563" s="336" t="s">
        <v>800</v>
      </c>
      <c r="D563" s="336" t="s">
        <v>801</v>
      </c>
      <c r="E563" s="336" t="s">
        <v>774</v>
      </c>
    </row>
    <row r="564" spans="1:5" x14ac:dyDescent="0.2">
      <c r="A564" s="335">
        <v>1001312851</v>
      </c>
      <c r="B564" s="336" t="s">
        <v>1516</v>
      </c>
      <c r="C564" s="336" t="s">
        <v>1097</v>
      </c>
      <c r="D564" s="336" t="s">
        <v>801</v>
      </c>
      <c r="E564" s="336" t="s">
        <v>774</v>
      </c>
    </row>
    <row r="565" spans="1:5" x14ac:dyDescent="0.2">
      <c r="A565" s="335">
        <v>1001312916</v>
      </c>
      <c r="B565" s="336" t="s">
        <v>811</v>
      </c>
      <c r="C565" s="336" t="s">
        <v>863</v>
      </c>
      <c r="D565" s="336" t="s">
        <v>801</v>
      </c>
      <c r="E565" s="336" t="s">
        <v>774</v>
      </c>
    </row>
    <row r="566" spans="1:5" x14ac:dyDescent="0.2">
      <c r="A566" s="335">
        <v>1001353148</v>
      </c>
      <c r="B566" s="336" t="s">
        <v>924</v>
      </c>
      <c r="C566" s="336" t="s">
        <v>813</v>
      </c>
      <c r="D566" s="336" t="s">
        <v>801</v>
      </c>
      <c r="E566" s="336" t="s">
        <v>774</v>
      </c>
    </row>
    <row r="567" spans="1:5" x14ac:dyDescent="0.2">
      <c r="A567" s="335">
        <v>1001311755</v>
      </c>
      <c r="B567" s="336" t="s">
        <v>1517</v>
      </c>
      <c r="C567" s="336" t="s">
        <v>800</v>
      </c>
      <c r="D567" s="336" t="s">
        <v>1518</v>
      </c>
      <c r="E567" s="336" t="s">
        <v>1519</v>
      </c>
    </row>
    <row r="568" spans="1:5" x14ac:dyDescent="0.2">
      <c r="A568" s="335">
        <v>1001261950</v>
      </c>
      <c r="B568" s="336" t="s">
        <v>1278</v>
      </c>
      <c r="C568" s="336" t="s">
        <v>863</v>
      </c>
      <c r="D568" s="336" t="s">
        <v>806</v>
      </c>
      <c r="E568" s="336" t="s">
        <v>807</v>
      </c>
    </row>
    <row r="569" spans="1:5" x14ac:dyDescent="0.2">
      <c r="A569" s="335">
        <v>1001262086</v>
      </c>
      <c r="B569" s="336" t="s">
        <v>825</v>
      </c>
      <c r="C569" s="336" t="s">
        <v>800</v>
      </c>
      <c r="D569" s="336" t="s">
        <v>806</v>
      </c>
      <c r="E569" s="336" t="s">
        <v>807</v>
      </c>
    </row>
    <row r="570" spans="1:5" x14ac:dyDescent="0.2">
      <c r="A570" s="335">
        <v>1001262104</v>
      </c>
      <c r="B570" s="336" t="s">
        <v>811</v>
      </c>
      <c r="C570" s="336" t="s">
        <v>800</v>
      </c>
      <c r="D570" s="336" t="s">
        <v>806</v>
      </c>
      <c r="E570" s="336" t="s">
        <v>807</v>
      </c>
    </row>
    <row r="571" spans="1:5" x14ac:dyDescent="0.2">
      <c r="A571" s="335">
        <v>1001262216</v>
      </c>
      <c r="B571" s="336" t="s">
        <v>876</v>
      </c>
      <c r="C571" s="336" t="s">
        <v>800</v>
      </c>
      <c r="D571" s="336" t="s">
        <v>806</v>
      </c>
      <c r="E571" s="336" t="s">
        <v>807</v>
      </c>
    </row>
    <row r="572" spans="1:5" x14ac:dyDescent="0.2">
      <c r="A572" s="335">
        <v>1001262287</v>
      </c>
      <c r="B572" s="336" t="s">
        <v>1520</v>
      </c>
      <c r="C572" s="336" t="s">
        <v>797</v>
      </c>
      <c r="D572" s="336" t="s">
        <v>806</v>
      </c>
      <c r="E572" s="336" t="s">
        <v>807</v>
      </c>
    </row>
    <row r="573" spans="1:5" x14ac:dyDescent="0.2">
      <c r="A573" s="335">
        <v>1001262288</v>
      </c>
      <c r="B573" s="336" t="s">
        <v>1521</v>
      </c>
      <c r="C573" s="336" t="s">
        <v>813</v>
      </c>
      <c r="D573" s="336" t="s">
        <v>806</v>
      </c>
      <c r="E573" s="336" t="s">
        <v>807</v>
      </c>
    </row>
    <row r="574" spans="1:5" x14ac:dyDescent="0.2">
      <c r="A574" s="335">
        <v>1001262401</v>
      </c>
      <c r="B574" s="336" t="s">
        <v>811</v>
      </c>
      <c r="C574" s="336" t="s">
        <v>863</v>
      </c>
      <c r="D574" s="336" t="s">
        <v>806</v>
      </c>
      <c r="E574" s="336" t="s">
        <v>807</v>
      </c>
    </row>
    <row r="575" spans="1:5" x14ac:dyDescent="0.2">
      <c r="A575" s="335">
        <v>1001262406</v>
      </c>
      <c r="B575" s="336" t="s">
        <v>811</v>
      </c>
      <c r="C575" s="336" t="s">
        <v>797</v>
      </c>
      <c r="D575" s="336" t="s">
        <v>806</v>
      </c>
      <c r="E575" s="336" t="s">
        <v>807</v>
      </c>
    </row>
    <row r="576" spans="1:5" x14ac:dyDescent="0.2">
      <c r="A576" s="335">
        <v>1001262482</v>
      </c>
      <c r="B576" s="336" t="s">
        <v>866</v>
      </c>
      <c r="C576" s="336" t="s">
        <v>800</v>
      </c>
      <c r="D576" s="336" t="s">
        <v>806</v>
      </c>
      <c r="E576" s="336" t="s">
        <v>807</v>
      </c>
    </row>
    <row r="577" spans="1:5" x14ac:dyDescent="0.2">
      <c r="A577" s="335">
        <v>1001262807</v>
      </c>
      <c r="B577" s="336" t="s">
        <v>897</v>
      </c>
      <c r="C577" s="336" t="s">
        <v>1097</v>
      </c>
      <c r="D577" s="336" t="s">
        <v>806</v>
      </c>
      <c r="E577" s="336" t="s">
        <v>807</v>
      </c>
    </row>
    <row r="578" spans="1:5" x14ac:dyDescent="0.2">
      <c r="A578" s="335">
        <v>1001262942</v>
      </c>
      <c r="B578" s="336" t="s">
        <v>1522</v>
      </c>
      <c r="C578" s="336" t="s">
        <v>800</v>
      </c>
      <c r="D578" s="336" t="s">
        <v>806</v>
      </c>
      <c r="E578" s="336" t="s">
        <v>807</v>
      </c>
    </row>
    <row r="579" spans="1:5" x14ac:dyDescent="0.2">
      <c r="A579" s="335">
        <v>1001262976</v>
      </c>
      <c r="B579" s="336" t="s">
        <v>1523</v>
      </c>
      <c r="C579" s="336" t="s">
        <v>863</v>
      </c>
      <c r="D579" s="336" t="s">
        <v>806</v>
      </c>
      <c r="E579" s="336" t="s">
        <v>807</v>
      </c>
    </row>
    <row r="580" spans="1:5" x14ac:dyDescent="0.2">
      <c r="A580" s="335">
        <v>1001263054</v>
      </c>
      <c r="B580" s="336" t="s">
        <v>1524</v>
      </c>
      <c r="C580" s="336" t="s">
        <v>800</v>
      </c>
      <c r="D580" s="336" t="s">
        <v>806</v>
      </c>
      <c r="E580" s="336" t="s">
        <v>807</v>
      </c>
    </row>
    <row r="581" spans="1:5" x14ac:dyDescent="0.2">
      <c r="A581" s="335">
        <v>1001263123</v>
      </c>
      <c r="B581" s="336" t="s">
        <v>822</v>
      </c>
      <c r="C581" s="336" t="s">
        <v>800</v>
      </c>
      <c r="D581" s="336" t="s">
        <v>806</v>
      </c>
      <c r="E581" s="336" t="s">
        <v>807</v>
      </c>
    </row>
    <row r="582" spans="1:5" x14ac:dyDescent="0.2">
      <c r="A582" s="335">
        <v>1001263210</v>
      </c>
      <c r="B582" s="336" t="s">
        <v>811</v>
      </c>
      <c r="C582" s="336" t="s">
        <v>800</v>
      </c>
      <c r="D582" s="336" t="s">
        <v>806</v>
      </c>
      <c r="E582" s="336" t="s">
        <v>807</v>
      </c>
    </row>
    <row r="583" spans="1:5" x14ac:dyDescent="0.2">
      <c r="A583" s="335">
        <v>1001263630</v>
      </c>
      <c r="B583" s="336" t="s">
        <v>962</v>
      </c>
      <c r="C583" s="336" t="s">
        <v>800</v>
      </c>
      <c r="D583" s="336" t="s">
        <v>806</v>
      </c>
      <c r="E583" s="336" t="s">
        <v>807</v>
      </c>
    </row>
    <row r="584" spans="1:5" x14ac:dyDescent="0.2">
      <c r="A584" s="335">
        <v>1001263661</v>
      </c>
      <c r="B584" s="336" t="s">
        <v>1525</v>
      </c>
      <c r="C584" s="336" t="s">
        <v>800</v>
      </c>
      <c r="D584" s="336" t="s">
        <v>806</v>
      </c>
      <c r="E584" s="336" t="s">
        <v>807</v>
      </c>
    </row>
    <row r="585" spans="1:5" x14ac:dyDescent="0.2">
      <c r="A585" s="335">
        <v>1001263870</v>
      </c>
      <c r="B585" s="336" t="s">
        <v>1526</v>
      </c>
      <c r="C585" s="336" t="s">
        <v>813</v>
      </c>
      <c r="D585" s="336" t="s">
        <v>806</v>
      </c>
      <c r="E585" s="336" t="s">
        <v>807</v>
      </c>
    </row>
    <row r="586" spans="1:5" x14ac:dyDescent="0.2">
      <c r="A586" s="335">
        <v>1001263871</v>
      </c>
      <c r="B586" s="336" t="s">
        <v>1527</v>
      </c>
      <c r="C586" s="336" t="s">
        <v>813</v>
      </c>
      <c r="D586" s="336" t="s">
        <v>806</v>
      </c>
      <c r="E586" s="336" t="s">
        <v>807</v>
      </c>
    </row>
    <row r="587" spans="1:5" x14ac:dyDescent="0.2">
      <c r="A587" s="335">
        <v>1001263907</v>
      </c>
      <c r="B587" s="336" t="s">
        <v>1528</v>
      </c>
      <c r="C587" s="336" t="s">
        <v>863</v>
      </c>
      <c r="D587" s="336" t="s">
        <v>806</v>
      </c>
      <c r="E587" s="336" t="s">
        <v>807</v>
      </c>
    </row>
    <row r="588" spans="1:5" x14ac:dyDescent="0.2">
      <c r="A588" s="335">
        <v>1001265628</v>
      </c>
      <c r="B588" s="336" t="s">
        <v>1529</v>
      </c>
      <c r="C588" s="336" t="s">
        <v>797</v>
      </c>
      <c r="D588" s="336" t="s">
        <v>806</v>
      </c>
      <c r="E588" s="336" t="s">
        <v>807</v>
      </c>
    </row>
    <row r="589" spans="1:5" x14ac:dyDescent="0.2">
      <c r="A589" s="335">
        <v>1001265727</v>
      </c>
      <c r="B589" s="336" t="s">
        <v>1530</v>
      </c>
      <c r="C589" s="336" t="s">
        <v>797</v>
      </c>
      <c r="D589" s="336" t="s">
        <v>806</v>
      </c>
      <c r="E589" s="336" t="s">
        <v>807</v>
      </c>
    </row>
    <row r="590" spans="1:5" x14ac:dyDescent="0.2">
      <c r="A590" s="335">
        <v>1001265738</v>
      </c>
      <c r="B590" s="336" t="s">
        <v>1531</v>
      </c>
      <c r="C590" s="336" t="s">
        <v>797</v>
      </c>
      <c r="D590" s="336" t="s">
        <v>806</v>
      </c>
      <c r="E590" s="336" t="s">
        <v>807</v>
      </c>
    </row>
    <row r="591" spans="1:5" x14ac:dyDescent="0.2">
      <c r="A591" s="335">
        <v>1001265908</v>
      </c>
      <c r="B591" s="336" t="s">
        <v>811</v>
      </c>
      <c r="C591" s="336" t="s">
        <v>800</v>
      </c>
      <c r="D591" s="336" t="s">
        <v>806</v>
      </c>
      <c r="E591" s="336" t="s">
        <v>807</v>
      </c>
    </row>
    <row r="592" spans="1:5" x14ac:dyDescent="0.2">
      <c r="A592" s="335">
        <v>1001265929</v>
      </c>
      <c r="B592" s="336" t="s">
        <v>843</v>
      </c>
      <c r="C592" s="336" t="s">
        <v>800</v>
      </c>
      <c r="D592" s="336" t="s">
        <v>806</v>
      </c>
      <c r="E592" s="336" t="s">
        <v>807</v>
      </c>
    </row>
    <row r="593" spans="1:5" x14ac:dyDescent="0.2">
      <c r="A593" s="335">
        <v>1001266078</v>
      </c>
      <c r="B593" s="336" t="s">
        <v>1532</v>
      </c>
      <c r="C593" s="336" t="s">
        <v>797</v>
      </c>
      <c r="D593" s="336" t="s">
        <v>806</v>
      </c>
      <c r="E593" s="336" t="s">
        <v>807</v>
      </c>
    </row>
    <row r="594" spans="1:5" x14ac:dyDescent="0.2">
      <c r="A594" s="335">
        <v>1001266191</v>
      </c>
      <c r="B594" s="336" t="s">
        <v>1533</v>
      </c>
      <c r="C594" s="336" t="s">
        <v>797</v>
      </c>
      <c r="D594" s="336" t="s">
        <v>806</v>
      </c>
      <c r="E594" s="336" t="s">
        <v>807</v>
      </c>
    </row>
    <row r="595" spans="1:5" x14ac:dyDescent="0.2">
      <c r="A595" s="335">
        <v>1001266192</v>
      </c>
      <c r="B595" s="336" t="s">
        <v>1534</v>
      </c>
      <c r="C595" s="336" t="s">
        <v>863</v>
      </c>
      <c r="D595" s="336" t="s">
        <v>806</v>
      </c>
      <c r="E595" s="336" t="s">
        <v>807</v>
      </c>
    </row>
    <row r="596" spans="1:5" x14ac:dyDescent="0.2">
      <c r="A596" s="335">
        <v>1001266423</v>
      </c>
      <c r="B596" s="336" t="s">
        <v>843</v>
      </c>
      <c r="C596" s="336" t="s">
        <v>800</v>
      </c>
      <c r="D596" s="336" t="s">
        <v>806</v>
      </c>
      <c r="E596" s="336" t="s">
        <v>807</v>
      </c>
    </row>
    <row r="597" spans="1:5" x14ac:dyDescent="0.2">
      <c r="A597" s="335">
        <v>1001266541</v>
      </c>
      <c r="B597" s="336" t="s">
        <v>1535</v>
      </c>
      <c r="C597" s="336" t="s">
        <v>797</v>
      </c>
      <c r="D597" s="336" t="s">
        <v>806</v>
      </c>
      <c r="E597" s="336" t="s">
        <v>807</v>
      </c>
    </row>
    <row r="598" spans="1:5" x14ac:dyDescent="0.2">
      <c r="A598" s="335">
        <v>1001266575</v>
      </c>
      <c r="B598" s="336" t="s">
        <v>1536</v>
      </c>
      <c r="C598" s="336" t="s">
        <v>813</v>
      </c>
      <c r="D598" s="336" t="s">
        <v>806</v>
      </c>
      <c r="E598" s="336" t="s">
        <v>807</v>
      </c>
    </row>
    <row r="599" spans="1:5" x14ac:dyDescent="0.2">
      <c r="A599" s="335">
        <v>1001266577</v>
      </c>
      <c r="B599" s="336" t="s">
        <v>1537</v>
      </c>
      <c r="C599" s="336" t="s">
        <v>813</v>
      </c>
      <c r="D599" s="336" t="s">
        <v>806</v>
      </c>
      <c r="E599" s="336" t="s">
        <v>807</v>
      </c>
    </row>
    <row r="600" spans="1:5" x14ac:dyDescent="0.2">
      <c r="A600" s="335">
        <v>1001266786</v>
      </c>
      <c r="B600" s="336" t="s">
        <v>826</v>
      </c>
      <c r="C600" s="336" t="s">
        <v>800</v>
      </c>
      <c r="D600" s="336" t="s">
        <v>806</v>
      </c>
      <c r="E600" s="336" t="s">
        <v>807</v>
      </c>
    </row>
    <row r="601" spans="1:5" x14ac:dyDescent="0.2">
      <c r="A601" s="335">
        <v>1001266803</v>
      </c>
      <c r="B601" s="336" t="s">
        <v>1538</v>
      </c>
      <c r="C601" s="336" t="s">
        <v>797</v>
      </c>
      <c r="D601" s="336" t="s">
        <v>806</v>
      </c>
      <c r="E601" s="336" t="s">
        <v>807</v>
      </c>
    </row>
    <row r="602" spans="1:5" x14ac:dyDescent="0.2">
      <c r="A602" s="335">
        <v>1001266975</v>
      </c>
      <c r="B602" s="336" t="s">
        <v>805</v>
      </c>
      <c r="C602" s="336" t="s">
        <v>800</v>
      </c>
      <c r="D602" s="336" t="s">
        <v>806</v>
      </c>
      <c r="E602" s="336" t="s">
        <v>807</v>
      </c>
    </row>
    <row r="603" spans="1:5" x14ac:dyDescent="0.2">
      <c r="A603" s="335">
        <v>1001266978</v>
      </c>
      <c r="B603" s="336" t="s">
        <v>811</v>
      </c>
      <c r="C603" s="336" t="s">
        <v>800</v>
      </c>
      <c r="D603" s="336" t="s">
        <v>806</v>
      </c>
      <c r="E603" s="336" t="s">
        <v>807</v>
      </c>
    </row>
    <row r="604" spans="1:5" x14ac:dyDescent="0.2">
      <c r="A604" s="335">
        <v>1001267387</v>
      </c>
      <c r="B604" s="336" t="s">
        <v>817</v>
      </c>
      <c r="C604" s="336" t="s">
        <v>800</v>
      </c>
      <c r="D604" s="336" t="s">
        <v>806</v>
      </c>
      <c r="E604" s="336" t="s">
        <v>807</v>
      </c>
    </row>
    <row r="605" spans="1:5" x14ac:dyDescent="0.2">
      <c r="A605" s="335">
        <v>1001267508</v>
      </c>
      <c r="B605" s="336" t="s">
        <v>1539</v>
      </c>
      <c r="C605" s="336" t="s">
        <v>813</v>
      </c>
      <c r="D605" s="336" t="s">
        <v>806</v>
      </c>
      <c r="E605" s="336" t="s">
        <v>807</v>
      </c>
    </row>
    <row r="606" spans="1:5" x14ac:dyDescent="0.2">
      <c r="A606" s="335">
        <v>1001267513</v>
      </c>
      <c r="B606" s="336" t="s">
        <v>1540</v>
      </c>
      <c r="C606" s="336" t="s">
        <v>797</v>
      </c>
      <c r="D606" s="336" t="s">
        <v>806</v>
      </c>
      <c r="E606" s="336" t="s">
        <v>807</v>
      </c>
    </row>
    <row r="607" spans="1:5" x14ac:dyDescent="0.2">
      <c r="A607" s="335">
        <v>1001267517</v>
      </c>
      <c r="B607" s="336" t="s">
        <v>1541</v>
      </c>
      <c r="C607" s="336" t="s">
        <v>813</v>
      </c>
      <c r="D607" s="336" t="s">
        <v>806</v>
      </c>
      <c r="E607" s="336" t="s">
        <v>807</v>
      </c>
    </row>
    <row r="608" spans="1:5" x14ac:dyDescent="0.2">
      <c r="A608" s="335">
        <v>1001267659</v>
      </c>
      <c r="B608" s="336" t="s">
        <v>1542</v>
      </c>
      <c r="C608" s="336" t="s">
        <v>813</v>
      </c>
      <c r="D608" s="336" t="s">
        <v>806</v>
      </c>
      <c r="E608" s="336" t="s">
        <v>807</v>
      </c>
    </row>
    <row r="609" spans="1:5" x14ac:dyDescent="0.2">
      <c r="A609" s="335">
        <v>1001267685</v>
      </c>
      <c r="B609" s="336" t="s">
        <v>1543</v>
      </c>
      <c r="C609" s="336" t="s">
        <v>813</v>
      </c>
      <c r="D609" s="336" t="s">
        <v>806</v>
      </c>
      <c r="E609" s="336" t="s">
        <v>807</v>
      </c>
    </row>
    <row r="610" spans="1:5" x14ac:dyDescent="0.2">
      <c r="A610" s="335">
        <v>1001267715</v>
      </c>
      <c r="B610" s="336" t="s">
        <v>1544</v>
      </c>
      <c r="C610" s="336" t="s">
        <v>797</v>
      </c>
      <c r="D610" s="336" t="s">
        <v>806</v>
      </c>
      <c r="E610" s="336" t="s">
        <v>807</v>
      </c>
    </row>
    <row r="611" spans="1:5" x14ac:dyDescent="0.2">
      <c r="A611" s="335">
        <v>1001267732</v>
      </c>
      <c r="B611" s="336" t="s">
        <v>843</v>
      </c>
      <c r="C611" s="336" t="s">
        <v>797</v>
      </c>
      <c r="D611" s="336" t="s">
        <v>806</v>
      </c>
      <c r="E611" s="336" t="s">
        <v>807</v>
      </c>
    </row>
    <row r="612" spans="1:5" x14ac:dyDescent="0.2">
      <c r="A612" s="335">
        <v>1001267735</v>
      </c>
      <c r="B612" s="336" t="s">
        <v>1545</v>
      </c>
      <c r="C612" s="336" t="s">
        <v>797</v>
      </c>
      <c r="D612" s="336" t="s">
        <v>806</v>
      </c>
      <c r="E612" s="336" t="s">
        <v>807</v>
      </c>
    </row>
    <row r="613" spans="1:5" x14ac:dyDescent="0.2">
      <c r="A613" s="335">
        <v>1001267946</v>
      </c>
      <c r="B613" s="336" t="s">
        <v>1009</v>
      </c>
      <c r="C613" s="336" t="s">
        <v>800</v>
      </c>
      <c r="D613" s="336" t="s">
        <v>806</v>
      </c>
      <c r="E613" s="336" t="s">
        <v>807</v>
      </c>
    </row>
    <row r="614" spans="1:5" x14ac:dyDescent="0.2">
      <c r="A614" s="335">
        <v>1001267947</v>
      </c>
      <c r="B614" s="336" t="s">
        <v>1546</v>
      </c>
      <c r="C614" s="336" t="s">
        <v>797</v>
      </c>
      <c r="D614" s="336" t="s">
        <v>806</v>
      </c>
      <c r="E614" s="336" t="s">
        <v>807</v>
      </c>
    </row>
    <row r="615" spans="1:5" x14ac:dyDescent="0.2">
      <c r="A615" s="335">
        <v>1001268255</v>
      </c>
      <c r="B615" s="336" t="s">
        <v>1278</v>
      </c>
      <c r="C615" s="336" t="s">
        <v>863</v>
      </c>
      <c r="D615" s="336" t="s">
        <v>806</v>
      </c>
      <c r="E615" s="336" t="s">
        <v>807</v>
      </c>
    </row>
    <row r="616" spans="1:5" x14ac:dyDescent="0.2">
      <c r="A616" s="335">
        <v>1001268522</v>
      </c>
      <c r="B616" s="336" t="s">
        <v>856</v>
      </c>
      <c r="C616" s="336" t="s">
        <v>800</v>
      </c>
      <c r="D616" s="336" t="s">
        <v>806</v>
      </c>
      <c r="E616" s="336" t="s">
        <v>807</v>
      </c>
    </row>
    <row r="617" spans="1:5" x14ac:dyDescent="0.2">
      <c r="A617" s="335">
        <v>1001268529</v>
      </c>
      <c r="B617" s="336" t="s">
        <v>858</v>
      </c>
      <c r="C617" s="336" t="s">
        <v>800</v>
      </c>
      <c r="D617" s="336" t="s">
        <v>806</v>
      </c>
      <c r="E617" s="336" t="s">
        <v>807</v>
      </c>
    </row>
    <row r="618" spans="1:5" x14ac:dyDescent="0.2">
      <c r="A618" s="335">
        <v>1001268567</v>
      </c>
      <c r="B618" s="336" t="s">
        <v>1547</v>
      </c>
      <c r="C618" s="336" t="s">
        <v>800</v>
      </c>
      <c r="D618" s="336" t="s">
        <v>806</v>
      </c>
      <c r="E618" s="336" t="s">
        <v>807</v>
      </c>
    </row>
    <row r="619" spans="1:5" x14ac:dyDescent="0.2">
      <c r="A619" s="335">
        <v>1001268621</v>
      </c>
      <c r="B619" s="336" t="s">
        <v>871</v>
      </c>
      <c r="C619" s="336" t="s">
        <v>800</v>
      </c>
      <c r="D619" s="336" t="s">
        <v>806</v>
      </c>
      <c r="E619" s="336" t="s">
        <v>807</v>
      </c>
    </row>
    <row r="620" spans="1:5" x14ac:dyDescent="0.2">
      <c r="A620" s="335">
        <v>1001268624</v>
      </c>
      <c r="B620" s="336" t="s">
        <v>1548</v>
      </c>
      <c r="C620" s="336" t="s">
        <v>841</v>
      </c>
      <c r="D620" s="336" t="s">
        <v>806</v>
      </c>
      <c r="E620" s="336" t="s">
        <v>807</v>
      </c>
    </row>
    <row r="621" spans="1:5" x14ac:dyDescent="0.2">
      <c r="A621" s="335">
        <v>1001268627</v>
      </c>
      <c r="B621" s="336" t="s">
        <v>981</v>
      </c>
      <c r="C621" s="336" t="s">
        <v>800</v>
      </c>
      <c r="D621" s="336" t="s">
        <v>806</v>
      </c>
      <c r="E621" s="336" t="s">
        <v>807</v>
      </c>
    </row>
    <row r="622" spans="1:5" x14ac:dyDescent="0.2">
      <c r="A622" s="335">
        <v>1001268699</v>
      </c>
      <c r="B622" s="336" t="s">
        <v>1549</v>
      </c>
      <c r="C622" s="336" t="s">
        <v>863</v>
      </c>
      <c r="D622" s="336" t="s">
        <v>806</v>
      </c>
      <c r="E622" s="336" t="s">
        <v>807</v>
      </c>
    </row>
    <row r="623" spans="1:5" x14ac:dyDescent="0.2">
      <c r="A623" s="335">
        <v>1001268790</v>
      </c>
      <c r="B623" s="336" t="s">
        <v>1550</v>
      </c>
      <c r="C623" s="336" t="s">
        <v>800</v>
      </c>
      <c r="D623" s="336" t="s">
        <v>806</v>
      </c>
      <c r="E623" s="336" t="s">
        <v>807</v>
      </c>
    </row>
    <row r="624" spans="1:5" x14ac:dyDescent="0.2">
      <c r="A624" s="335">
        <v>1001268828</v>
      </c>
      <c r="B624" s="336" t="s">
        <v>1551</v>
      </c>
      <c r="C624" s="336" t="s">
        <v>813</v>
      </c>
      <c r="D624" s="336" t="s">
        <v>806</v>
      </c>
      <c r="E624" s="336" t="s">
        <v>807</v>
      </c>
    </row>
    <row r="625" spans="1:5" x14ac:dyDescent="0.2">
      <c r="A625" s="335">
        <v>1001268868</v>
      </c>
      <c r="B625" s="336" t="s">
        <v>1552</v>
      </c>
      <c r="C625" s="336" t="s">
        <v>797</v>
      </c>
      <c r="D625" s="336" t="s">
        <v>806</v>
      </c>
      <c r="E625" s="336" t="s">
        <v>807</v>
      </c>
    </row>
    <row r="626" spans="1:5" x14ac:dyDescent="0.2">
      <c r="A626" s="335">
        <v>1001268958</v>
      </c>
      <c r="B626" s="336" t="s">
        <v>1553</v>
      </c>
      <c r="C626" s="336" t="s">
        <v>800</v>
      </c>
      <c r="D626" s="336" t="s">
        <v>806</v>
      </c>
      <c r="E626" s="336" t="s">
        <v>807</v>
      </c>
    </row>
    <row r="627" spans="1:5" x14ac:dyDescent="0.2">
      <c r="A627" s="335">
        <v>1001269023</v>
      </c>
      <c r="B627" s="336" t="s">
        <v>1554</v>
      </c>
      <c r="C627" s="336" t="s">
        <v>800</v>
      </c>
      <c r="D627" s="336" t="s">
        <v>806</v>
      </c>
      <c r="E627" s="336" t="s">
        <v>807</v>
      </c>
    </row>
    <row r="628" spans="1:5" x14ac:dyDescent="0.2">
      <c r="A628" s="335">
        <v>1001269035</v>
      </c>
      <c r="B628" s="336" t="s">
        <v>1278</v>
      </c>
      <c r="C628" s="336" t="s">
        <v>863</v>
      </c>
      <c r="D628" s="336" t="s">
        <v>806</v>
      </c>
      <c r="E628" s="336" t="s">
        <v>807</v>
      </c>
    </row>
    <row r="629" spans="1:5" x14ac:dyDescent="0.2">
      <c r="A629" s="335">
        <v>1001269177</v>
      </c>
      <c r="B629" s="336" t="s">
        <v>1555</v>
      </c>
      <c r="C629" s="336" t="s">
        <v>1097</v>
      </c>
      <c r="D629" s="336" t="s">
        <v>806</v>
      </c>
      <c r="E629" s="336" t="s">
        <v>807</v>
      </c>
    </row>
    <row r="630" spans="1:5" x14ac:dyDescent="0.2">
      <c r="A630" s="335">
        <v>1001269178</v>
      </c>
      <c r="B630" s="336" t="s">
        <v>1556</v>
      </c>
      <c r="C630" s="336" t="s">
        <v>1097</v>
      </c>
      <c r="D630" s="336" t="s">
        <v>806</v>
      </c>
      <c r="E630" s="336" t="s">
        <v>807</v>
      </c>
    </row>
    <row r="631" spans="1:5" x14ac:dyDescent="0.2">
      <c r="A631" s="335">
        <v>1001269197</v>
      </c>
      <c r="B631" s="336" t="s">
        <v>1557</v>
      </c>
      <c r="C631" s="336" t="s">
        <v>800</v>
      </c>
      <c r="D631" s="336" t="s">
        <v>806</v>
      </c>
      <c r="E631" s="336" t="s">
        <v>807</v>
      </c>
    </row>
    <row r="632" spans="1:5" x14ac:dyDescent="0.2">
      <c r="A632" s="335">
        <v>1001269300</v>
      </c>
      <c r="B632" s="336" t="s">
        <v>1558</v>
      </c>
      <c r="C632" s="336" t="s">
        <v>863</v>
      </c>
      <c r="D632" s="336" t="s">
        <v>806</v>
      </c>
      <c r="E632" s="336" t="s">
        <v>807</v>
      </c>
    </row>
    <row r="633" spans="1:5" x14ac:dyDescent="0.2">
      <c r="A633" s="335">
        <v>1001269409</v>
      </c>
      <c r="B633" s="336" t="s">
        <v>821</v>
      </c>
      <c r="C633" s="336" t="s">
        <v>800</v>
      </c>
      <c r="D633" s="336" t="s">
        <v>806</v>
      </c>
      <c r="E633" s="336" t="s">
        <v>807</v>
      </c>
    </row>
    <row r="634" spans="1:5" x14ac:dyDescent="0.2">
      <c r="A634" s="335">
        <v>1001269428</v>
      </c>
      <c r="B634" s="336" t="s">
        <v>1559</v>
      </c>
      <c r="C634" s="336" t="s">
        <v>813</v>
      </c>
      <c r="D634" s="336" t="s">
        <v>806</v>
      </c>
      <c r="E634" s="336" t="s">
        <v>807</v>
      </c>
    </row>
    <row r="635" spans="1:5" x14ac:dyDescent="0.2">
      <c r="A635" s="335">
        <v>1001269444</v>
      </c>
      <c r="B635" s="336" t="s">
        <v>1560</v>
      </c>
      <c r="C635" s="336" t="s">
        <v>797</v>
      </c>
      <c r="D635" s="336" t="s">
        <v>806</v>
      </c>
      <c r="E635" s="336" t="s">
        <v>807</v>
      </c>
    </row>
    <row r="636" spans="1:5" x14ac:dyDescent="0.2">
      <c r="A636" s="335">
        <v>1001269455</v>
      </c>
      <c r="B636" s="336" t="s">
        <v>1561</v>
      </c>
      <c r="C636" s="336" t="s">
        <v>1097</v>
      </c>
      <c r="D636" s="336" t="s">
        <v>806</v>
      </c>
      <c r="E636" s="336" t="s">
        <v>807</v>
      </c>
    </row>
    <row r="637" spans="1:5" x14ac:dyDescent="0.2">
      <c r="A637" s="335">
        <v>1001269689</v>
      </c>
      <c r="B637" s="336" t="s">
        <v>1562</v>
      </c>
      <c r="C637" s="336" t="s">
        <v>863</v>
      </c>
      <c r="D637" s="336" t="s">
        <v>806</v>
      </c>
      <c r="E637" s="336" t="s">
        <v>807</v>
      </c>
    </row>
    <row r="638" spans="1:5" x14ac:dyDescent="0.2">
      <c r="A638" s="335">
        <v>1001270031</v>
      </c>
      <c r="B638" s="336" t="s">
        <v>1563</v>
      </c>
      <c r="C638" s="336" t="s">
        <v>813</v>
      </c>
      <c r="D638" s="336" t="s">
        <v>806</v>
      </c>
      <c r="E638" s="336" t="s">
        <v>807</v>
      </c>
    </row>
    <row r="639" spans="1:5" x14ac:dyDescent="0.2">
      <c r="A639" s="335">
        <v>1001270286</v>
      </c>
      <c r="B639" s="336" t="s">
        <v>1564</v>
      </c>
      <c r="C639" s="336" t="s">
        <v>800</v>
      </c>
      <c r="D639" s="336" t="s">
        <v>806</v>
      </c>
      <c r="E639" s="336" t="s">
        <v>807</v>
      </c>
    </row>
    <row r="640" spans="1:5" x14ac:dyDescent="0.2">
      <c r="A640" s="335">
        <v>1001270327</v>
      </c>
      <c r="B640" s="336" t="s">
        <v>1565</v>
      </c>
      <c r="C640" s="336" t="s">
        <v>1097</v>
      </c>
      <c r="D640" s="336" t="s">
        <v>806</v>
      </c>
      <c r="E640" s="336" t="s">
        <v>807</v>
      </c>
    </row>
    <row r="641" spans="1:5" x14ac:dyDescent="0.2">
      <c r="A641" s="335">
        <v>1001270328</v>
      </c>
      <c r="B641" s="336" t="s">
        <v>1566</v>
      </c>
      <c r="C641" s="336" t="s">
        <v>1097</v>
      </c>
      <c r="D641" s="336" t="s">
        <v>806</v>
      </c>
      <c r="E641" s="336" t="s">
        <v>807</v>
      </c>
    </row>
    <row r="642" spans="1:5" x14ac:dyDescent="0.2">
      <c r="A642" s="335">
        <v>1001270470</v>
      </c>
      <c r="B642" s="336" t="s">
        <v>1567</v>
      </c>
      <c r="C642" s="336" t="s">
        <v>797</v>
      </c>
      <c r="D642" s="336" t="s">
        <v>806</v>
      </c>
      <c r="E642" s="336" t="s">
        <v>807</v>
      </c>
    </row>
    <row r="643" spans="1:5" x14ac:dyDescent="0.2">
      <c r="A643" s="335">
        <v>1001270522</v>
      </c>
      <c r="B643" s="336" t="s">
        <v>836</v>
      </c>
      <c r="C643" s="336" t="s">
        <v>800</v>
      </c>
      <c r="D643" s="336" t="s">
        <v>806</v>
      </c>
      <c r="E643" s="336" t="s">
        <v>807</v>
      </c>
    </row>
    <row r="644" spans="1:5" x14ac:dyDescent="0.2">
      <c r="A644" s="335">
        <v>1001270526</v>
      </c>
      <c r="B644" s="336" t="s">
        <v>1568</v>
      </c>
      <c r="C644" s="336" t="s">
        <v>1097</v>
      </c>
      <c r="D644" s="336" t="s">
        <v>806</v>
      </c>
      <c r="E644" s="336" t="s">
        <v>807</v>
      </c>
    </row>
    <row r="645" spans="1:5" x14ac:dyDescent="0.2">
      <c r="A645" s="335">
        <v>1001270568</v>
      </c>
      <c r="B645" s="336" t="s">
        <v>1569</v>
      </c>
      <c r="C645" s="336" t="s">
        <v>1097</v>
      </c>
      <c r="D645" s="336" t="s">
        <v>806</v>
      </c>
      <c r="E645" s="336" t="s">
        <v>807</v>
      </c>
    </row>
    <row r="646" spans="1:5" x14ac:dyDescent="0.2">
      <c r="A646" s="335">
        <v>1001270683</v>
      </c>
      <c r="B646" s="336" t="s">
        <v>1570</v>
      </c>
      <c r="C646" s="336" t="s">
        <v>797</v>
      </c>
      <c r="D646" s="336" t="s">
        <v>806</v>
      </c>
      <c r="E646" s="336" t="s">
        <v>807</v>
      </c>
    </row>
    <row r="647" spans="1:5" x14ac:dyDescent="0.2">
      <c r="A647" s="335">
        <v>1001271061</v>
      </c>
      <c r="B647" s="336" t="s">
        <v>1571</v>
      </c>
      <c r="C647" s="336" t="s">
        <v>797</v>
      </c>
      <c r="D647" s="336" t="s">
        <v>806</v>
      </c>
      <c r="E647" s="336" t="s">
        <v>807</v>
      </c>
    </row>
    <row r="648" spans="1:5" x14ac:dyDescent="0.2">
      <c r="A648" s="335">
        <v>1001271250</v>
      </c>
      <c r="B648" s="336" t="s">
        <v>821</v>
      </c>
      <c r="C648" s="336" t="s">
        <v>800</v>
      </c>
      <c r="D648" s="336" t="s">
        <v>806</v>
      </c>
      <c r="E648" s="336" t="s">
        <v>807</v>
      </c>
    </row>
    <row r="649" spans="1:5" x14ac:dyDescent="0.2">
      <c r="A649" s="335">
        <v>1001271251</v>
      </c>
      <c r="B649" s="336" t="s">
        <v>1572</v>
      </c>
      <c r="C649" s="336" t="s">
        <v>797</v>
      </c>
      <c r="D649" s="336" t="s">
        <v>806</v>
      </c>
      <c r="E649" s="336" t="s">
        <v>807</v>
      </c>
    </row>
    <row r="650" spans="1:5" x14ac:dyDescent="0.2">
      <c r="A650" s="335">
        <v>1001271257</v>
      </c>
      <c r="B650" s="336" t="s">
        <v>878</v>
      </c>
      <c r="C650" s="336" t="s">
        <v>800</v>
      </c>
      <c r="D650" s="336" t="s">
        <v>806</v>
      </c>
      <c r="E650" s="336" t="s">
        <v>807</v>
      </c>
    </row>
    <row r="651" spans="1:5" x14ac:dyDescent="0.2">
      <c r="A651" s="335">
        <v>1001271363</v>
      </c>
      <c r="B651" s="336" t="s">
        <v>1573</v>
      </c>
      <c r="C651" s="336" t="s">
        <v>813</v>
      </c>
      <c r="D651" s="336" t="s">
        <v>806</v>
      </c>
      <c r="E651" s="336" t="s">
        <v>807</v>
      </c>
    </row>
    <row r="652" spans="1:5" x14ac:dyDescent="0.2">
      <c r="A652" s="335">
        <v>1001271380</v>
      </c>
      <c r="B652" s="336" t="s">
        <v>939</v>
      </c>
      <c r="C652" s="336" t="s">
        <v>800</v>
      </c>
      <c r="D652" s="336" t="s">
        <v>806</v>
      </c>
      <c r="E652" s="336" t="s">
        <v>807</v>
      </c>
    </row>
    <row r="653" spans="1:5" x14ac:dyDescent="0.2">
      <c r="A653" s="335">
        <v>1001271381</v>
      </c>
      <c r="B653" s="336" t="s">
        <v>1574</v>
      </c>
      <c r="C653" s="336" t="s">
        <v>1097</v>
      </c>
      <c r="D653" s="336" t="s">
        <v>806</v>
      </c>
      <c r="E653" s="336" t="s">
        <v>807</v>
      </c>
    </row>
    <row r="654" spans="1:5" x14ac:dyDescent="0.2">
      <c r="A654" s="335">
        <v>1001271382</v>
      </c>
      <c r="B654" s="336" t="s">
        <v>1575</v>
      </c>
      <c r="C654" s="336" t="s">
        <v>1097</v>
      </c>
      <c r="D654" s="336" t="s">
        <v>806</v>
      </c>
      <c r="E654" s="336" t="s">
        <v>807</v>
      </c>
    </row>
    <row r="655" spans="1:5" x14ac:dyDescent="0.2">
      <c r="A655" s="335">
        <v>1001271383</v>
      </c>
      <c r="B655" s="336" t="s">
        <v>1576</v>
      </c>
      <c r="C655" s="336" t="s">
        <v>863</v>
      </c>
      <c r="D655" s="336" t="s">
        <v>806</v>
      </c>
      <c r="E655" s="336" t="s">
        <v>807</v>
      </c>
    </row>
    <row r="656" spans="1:5" x14ac:dyDescent="0.2">
      <c r="A656" s="335">
        <v>1001271413</v>
      </c>
      <c r="B656" s="336" t="s">
        <v>1577</v>
      </c>
      <c r="C656" s="336" t="s">
        <v>863</v>
      </c>
      <c r="D656" s="336" t="s">
        <v>806</v>
      </c>
      <c r="E656" s="336" t="s">
        <v>807</v>
      </c>
    </row>
    <row r="657" spans="1:5" x14ac:dyDescent="0.2">
      <c r="A657" s="335">
        <v>1001272029</v>
      </c>
      <c r="B657" s="336" t="s">
        <v>843</v>
      </c>
      <c r="C657" s="336" t="s">
        <v>800</v>
      </c>
      <c r="D657" s="336" t="s">
        <v>806</v>
      </c>
      <c r="E657" s="336" t="s">
        <v>807</v>
      </c>
    </row>
    <row r="658" spans="1:5" x14ac:dyDescent="0.2">
      <c r="A658" s="335">
        <v>1001272256</v>
      </c>
      <c r="B658" s="336" t="s">
        <v>1578</v>
      </c>
      <c r="C658" s="336" t="s">
        <v>1097</v>
      </c>
      <c r="D658" s="336" t="s">
        <v>806</v>
      </c>
      <c r="E658" s="336" t="s">
        <v>807</v>
      </c>
    </row>
    <row r="659" spans="1:5" x14ac:dyDescent="0.2">
      <c r="A659" s="335">
        <v>1001272258</v>
      </c>
      <c r="B659" s="336" t="s">
        <v>1563</v>
      </c>
      <c r="C659" s="336" t="s">
        <v>813</v>
      </c>
      <c r="D659" s="336" t="s">
        <v>806</v>
      </c>
      <c r="E659" s="336" t="s">
        <v>807</v>
      </c>
    </row>
    <row r="660" spans="1:5" x14ac:dyDescent="0.2">
      <c r="A660" s="335">
        <v>1001272512</v>
      </c>
      <c r="B660" s="336" t="s">
        <v>1579</v>
      </c>
      <c r="C660" s="336" t="s">
        <v>813</v>
      </c>
      <c r="D660" s="336" t="s">
        <v>806</v>
      </c>
      <c r="E660" s="336" t="s">
        <v>807</v>
      </c>
    </row>
    <row r="661" spans="1:5" x14ac:dyDescent="0.2">
      <c r="A661" s="335">
        <v>1001272541</v>
      </c>
      <c r="B661" s="336" t="s">
        <v>843</v>
      </c>
      <c r="C661" s="336" t="s">
        <v>797</v>
      </c>
      <c r="D661" s="336" t="s">
        <v>806</v>
      </c>
      <c r="E661" s="336" t="s">
        <v>807</v>
      </c>
    </row>
    <row r="662" spans="1:5" x14ac:dyDescent="0.2">
      <c r="A662" s="335">
        <v>1001272543</v>
      </c>
      <c r="B662" s="336" t="s">
        <v>1537</v>
      </c>
      <c r="C662" s="336" t="s">
        <v>813</v>
      </c>
      <c r="D662" s="336" t="s">
        <v>806</v>
      </c>
      <c r="E662" s="336" t="s">
        <v>807</v>
      </c>
    </row>
    <row r="663" spans="1:5" x14ac:dyDescent="0.2">
      <c r="A663" s="335">
        <v>1001272614</v>
      </c>
      <c r="B663" s="336" t="s">
        <v>1580</v>
      </c>
      <c r="C663" s="336" t="s">
        <v>797</v>
      </c>
      <c r="D663" s="336" t="s">
        <v>806</v>
      </c>
      <c r="E663" s="336" t="s">
        <v>807</v>
      </c>
    </row>
    <row r="664" spans="1:5" x14ac:dyDescent="0.2">
      <c r="A664" s="335">
        <v>1001272638</v>
      </c>
      <c r="B664" s="336" t="s">
        <v>1581</v>
      </c>
      <c r="C664" s="336" t="s">
        <v>863</v>
      </c>
      <c r="D664" s="336" t="s">
        <v>806</v>
      </c>
      <c r="E664" s="336" t="s">
        <v>807</v>
      </c>
    </row>
    <row r="665" spans="1:5" x14ac:dyDescent="0.2">
      <c r="A665" s="335">
        <v>1001272661</v>
      </c>
      <c r="B665" s="336" t="s">
        <v>811</v>
      </c>
      <c r="C665" s="336" t="s">
        <v>800</v>
      </c>
      <c r="D665" s="336" t="s">
        <v>806</v>
      </c>
      <c r="E665" s="336" t="s">
        <v>807</v>
      </c>
    </row>
    <row r="666" spans="1:5" x14ac:dyDescent="0.2">
      <c r="A666" s="335">
        <v>1001273336</v>
      </c>
      <c r="B666" s="336" t="s">
        <v>849</v>
      </c>
      <c r="C666" s="336" t="s">
        <v>800</v>
      </c>
      <c r="D666" s="336" t="s">
        <v>806</v>
      </c>
      <c r="E666" s="336" t="s">
        <v>807</v>
      </c>
    </row>
    <row r="667" spans="1:5" x14ac:dyDescent="0.2">
      <c r="A667" s="335">
        <v>1001273357</v>
      </c>
      <c r="B667" s="336" t="s">
        <v>951</v>
      </c>
      <c r="C667" s="336" t="s">
        <v>841</v>
      </c>
      <c r="D667" s="336" t="s">
        <v>806</v>
      </c>
      <c r="E667" s="336" t="s">
        <v>807</v>
      </c>
    </row>
    <row r="668" spans="1:5" x14ac:dyDescent="0.2">
      <c r="A668" s="335">
        <v>1001273574</v>
      </c>
      <c r="B668" s="336" t="s">
        <v>1582</v>
      </c>
      <c r="C668" s="336" t="s">
        <v>1097</v>
      </c>
      <c r="D668" s="336" t="s">
        <v>806</v>
      </c>
      <c r="E668" s="336" t="s">
        <v>807</v>
      </c>
    </row>
    <row r="669" spans="1:5" x14ac:dyDescent="0.2">
      <c r="A669" s="335">
        <v>1001273943</v>
      </c>
      <c r="B669" s="336" t="s">
        <v>1577</v>
      </c>
      <c r="C669" s="336" t="s">
        <v>1097</v>
      </c>
      <c r="D669" s="336" t="s">
        <v>806</v>
      </c>
      <c r="E669" s="336" t="s">
        <v>807</v>
      </c>
    </row>
    <row r="670" spans="1:5" x14ac:dyDescent="0.2">
      <c r="A670" s="335">
        <v>1001273945</v>
      </c>
      <c r="B670" s="336" t="s">
        <v>1583</v>
      </c>
      <c r="C670" s="336" t="s">
        <v>1097</v>
      </c>
      <c r="D670" s="336" t="s">
        <v>806</v>
      </c>
      <c r="E670" s="336" t="s">
        <v>807</v>
      </c>
    </row>
    <row r="671" spans="1:5" x14ac:dyDescent="0.2">
      <c r="A671" s="335">
        <v>1001273971</v>
      </c>
      <c r="B671" s="336" t="s">
        <v>1584</v>
      </c>
      <c r="C671" s="336" t="s">
        <v>863</v>
      </c>
      <c r="D671" s="336" t="s">
        <v>806</v>
      </c>
      <c r="E671" s="336" t="s">
        <v>807</v>
      </c>
    </row>
    <row r="672" spans="1:5" x14ac:dyDescent="0.2">
      <c r="A672" s="335">
        <v>1001273973</v>
      </c>
      <c r="B672" s="336" t="s">
        <v>1585</v>
      </c>
      <c r="C672" s="336" t="s">
        <v>1097</v>
      </c>
      <c r="D672" s="336" t="s">
        <v>806</v>
      </c>
      <c r="E672" s="336" t="s">
        <v>807</v>
      </c>
    </row>
    <row r="673" spans="1:5" x14ac:dyDescent="0.2">
      <c r="A673" s="335">
        <v>1001273986</v>
      </c>
      <c r="B673" s="336" t="s">
        <v>1577</v>
      </c>
      <c r="C673" s="336" t="s">
        <v>1097</v>
      </c>
      <c r="D673" s="336" t="s">
        <v>806</v>
      </c>
      <c r="E673" s="336" t="s">
        <v>807</v>
      </c>
    </row>
    <row r="674" spans="1:5" x14ac:dyDescent="0.2">
      <c r="A674" s="335">
        <v>1001274177</v>
      </c>
      <c r="B674" s="336" t="s">
        <v>1586</v>
      </c>
      <c r="C674" s="336" t="s">
        <v>1097</v>
      </c>
      <c r="D674" s="336" t="s">
        <v>806</v>
      </c>
      <c r="E674" s="336" t="s">
        <v>807</v>
      </c>
    </row>
    <row r="675" spans="1:5" x14ac:dyDescent="0.2">
      <c r="A675" s="335">
        <v>1001274178</v>
      </c>
      <c r="B675" s="336" t="s">
        <v>843</v>
      </c>
      <c r="C675" s="336" t="s">
        <v>800</v>
      </c>
      <c r="D675" s="336" t="s">
        <v>806</v>
      </c>
      <c r="E675" s="336" t="s">
        <v>807</v>
      </c>
    </row>
    <row r="676" spans="1:5" x14ac:dyDescent="0.2">
      <c r="A676" s="335">
        <v>1001274486</v>
      </c>
      <c r="B676" s="336" t="s">
        <v>843</v>
      </c>
      <c r="C676" s="336" t="s">
        <v>797</v>
      </c>
      <c r="D676" s="336" t="s">
        <v>806</v>
      </c>
      <c r="E676" s="336" t="s">
        <v>807</v>
      </c>
    </row>
    <row r="677" spans="1:5" x14ac:dyDescent="0.2">
      <c r="A677" s="335">
        <v>1001274550</v>
      </c>
      <c r="B677" s="336" t="s">
        <v>1278</v>
      </c>
      <c r="C677" s="336" t="s">
        <v>863</v>
      </c>
      <c r="D677" s="336" t="s">
        <v>806</v>
      </c>
      <c r="E677" s="336" t="s">
        <v>807</v>
      </c>
    </row>
    <row r="678" spans="1:5" x14ac:dyDescent="0.2">
      <c r="A678" s="335">
        <v>1001274606</v>
      </c>
      <c r="B678" s="336" t="s">
        <v>811</v>
      </c>
      <c r="C678" s="336" t="s">
        <v>800</v>
      </c>
      <c r="D678" s="336" t="s">
        <v>806</v>
      </c>
      <c r="E678" s="336" t="s">
        <v>807</v>
      </c>
    </row>
    <row r="679" spans="1:5" x14ac:dyDescent="0.2">
      <c r="A679" s="335">
        <v>1001274674</v>
      </c>
      <c r="B679" s="336" t="s">
        <v>1587</v>
      </c>
      <c r="C679" s="336" t="s">
        <v>813</v>
      </c>
      <c r="D679" s="336" t="s">
        <v>806</v>
      </c>
      <c r="E679" s="336" t="s">
        <v>807</v>
      </c>
    </row>
    <row r="680" spans="1:5" x14ac:dyDescent="0.2">
      <c r="A680" s="335">
        <v>1001274720</v>
      </c>
      <c r="B680" s="336" t="s">
        <v>811</v>
      </c>
      <c r="C680" s="336" t="s">
        <v>813</v>
      </c>
      <c r="D680" s="336" t="s">
        <v>806</v>
      </c>
      <c r="E680" s="336" t="s">
        <v>807</v>
      </c>
    </row>
    <row r="681" spans="1:5" x14ac:dyDescent="0.2">
      <c r="A681" s="335">
        <v>1001274721</v>
      </c>
      <c r="B681" s="336" t="s">
        <v>1588</v>
      </c>
      <c r="C681" s="336" t="s">
        <v>813</v>
      </c>
      <c r="D681" s="336" t="s">
        <v>806</v>
      </c>
      <c r="E681" s="336" t="s">
        <v>807</v>
      </c>
    </row>
    <row r="682" spans="1:5" x14ac:dyDescent="0.2">
      <c r="A682" s="335">
        <v>1001274726</v>
      </c>
      <c r="B682" s="336" t="s">
        <v>850</v>
      </c>
      <c r="C682" s="336" t="s">
        <v>800</v>
      </c>
      <c r="D682" s="336" t="s">
        <v>806</v>
      </c>
      <c r="E682" s="336" t="s">
        <v>807</v>
      </c>
    </row>
    <row r="683" spans="1:5" x14ac:dyDescent="0.2">
      <c r="A683" s="335">
        <v>1001274727</v>
      </c>
      <c r="B683" s="336" t="s">
        <v>1589</v>
      </c>
      <c r="C683" s="336" t="s">
        <v>863</v>
      </c>
      <c r="D683" s="336" t="s">
        <v>806</v>
      </c>
      <c r="E683" s="336" t="s">
        <v>807</v>
      </c>
    </row>
    <row r="684" spans="1:5" x14ac:dyDescent="0.2">
      <c r="A684" s="335">
        <v>1001274742</v>
      </c>
      <c r="B684" s="336" t="s">
        <v>1590</v>
      </c>
      <c r="C684" s="336" t="s">
        <v>797</v>
      </c>
      <c r="D684" s="336" t="s">
        <v>806</v>
      </c>
      <c r="E684" s="336" t="s">
        <v>807</v>
      </c>
    </row>
    <row r="685" spans="1:5" x14ac:dyDescent="0.2">
      <c r="A685" s="335">
        <v>1001274743</v>
      </c>
      <c r="B685" s="336" t="s">
        <v>1591</v>
      </c>
      <c r="C685" s="336" t="s">
        <v>863</v>
      </c>
      <c r="D685" s="336" t="s">
        <v>806</v>
      </c>
      <c r="E685" s="336" t="s">
        <v>807</v>
      </c>
    </row>
    <row r="686" spans="1:5" x14ac:dyDescent="0.2">
      <c r="A686" s="335">
        <v>1001274949</v>
      </c>
      <c r="B686" s="336" t="s">
        <v>1592</v>
      </c>
      <c r="C686" s="336" t="s">
        <v>797</v>
      </c>
      <c r="D686" s="336" t="s">
        <v>806</v>
      </c>
      <c r="E686" s="336" t="s">
        <v>807</v>
      </c>
    </row>
    <row r="687" spans="1:5" x14ac:dyDescent="0.2">
      <c r="A687" s="335">
        <v>1001274983</v>
      </c>
      <c r="B687" s="336" t="s">
        <v>1593</v>
      </c>
      <c r="C687" s="336" t="s">
        <v>863</v>
      </c>
      <c r="D687" s="336" t="s">
        <v>806</v>
      </c>
      <c r="E687" s="336" t="s">
        <v>807</v>
      </c>
    </row>
    <row r="688" spans="1:5" x14ac:dyDescent="0.2">
      <c r="A688" s="335">
        <v>1001275009</v>
      </c>
      <c r="B688" s="336" t="s">
        <v>1583</v>
      </c>
      <c r="C688" s="336" t="s">
        <v>1097</v>
      </c>
      <c r="D688" s="336" t="s">
        <v>806</v>
      </c>
      <c r="E688" s="336" t="s">
        <v>807</v>
      </c>
    </row>
    <row r="689" spans="1:5" x14ac:dyDescent="0.2">
      <c r="A689" s="335">
        <v>1001275158</v>
      </c>
      <c r="B689" s="336" t="s">
        <v>980</v>
      </c>
      <c r="C689" s="336" t="s">
        <v>800</v>
      </c>
      <c r="D689" s="336" t="s">
        <v>806</v>
      </c>
      <c r="E689" s="336" t="s">
        <v>807</v>
      </c>
    </row>
    <row r="690" spans="1:5" x14ac:dyDescent="0.2">
      <c r="A690" s="335">
        <v>1001275210</v>
      </c>
      <c r="B690" s="336" t="s">
        <v>1594</v>
      </c>
      <c r="C690" s="336" t="s">
        <v>1097</v>
      </c>
      <c r="D690" s="336" t="s">
        <v>806</v>
      </c>
      <c r="E690" s="336" t="s">
        <v>807</v>
      </c>
    </row>
    <row r="691" spans="1:5" x14ac:dyDescent="0.2">
      <c r="A691" s="335">
        <v>1001275237</v>
      </c>
      <c r="B691" s="336" t="s">
        <v>1595</v>
      </c>
      <c r="C691" s="336" t="s">
        <v>800</v>
      </c>
      <c r="D691" s="336" t="s">
        <v>806</v>
      </c>
      <c r="E691" s="336" t="s">
        <v>807</v>
      </c>
    </row>
    <row r="692" spans="1:5" x14ac:dyDescent="0.2">
      <c r="A692" s="335">
        <v>1001275270</v>
      </c>
      <c r="B692" s="336" t="s">
        <v>1596</v>
      </c>
      <c r="C692" s="336" t="s">
        <v>1097</v>
      </c>
      <c r="D692" s="336" t="s">
        <v>806</v>
      </c>
      <c r="E692" s="336" t="s">
        <v>807</v>
      </c>
    </row>
    <row r="693" spans="1:5" x14ac:dyDescent="0.2">
      <c r="A693" s="335">
        <v>1001275313</v>
      </c>
      <c r="B693" s="336" t="s">
        <v>1597</v>
      </c>
      <c r="C693" s="336" t="s">
        <v>813</v>
      </c>
      <c r="D693" s="336" t="s">
        <v>806</v>
      </c>
      <c r="E693" s="336" t="s">
        <v>807</v>
      </c>
    </row>
    <row r="694" spans="1:5" x14ac:dyDescent="0.2">
      <c r="A694" s="335">
        <v>1001275592</v>
      </c>
      <c r="B694" s="336" t="s">
        <v>1598</v>
      </c>
      <c r="C694" s="336" t="s">
        <v>1097</v>
      </c>
      <c r="D694" s="336" t="s">
        <v>806</v>
      </c>
      <c r="E694" s="336" t="s">
        <v>807</v>
      </c>
    </row>
    <row r="695" spans="1:5" x14ac:dyDescent="0.2">
      <c r="A695" s="335">
        <v>1001275599</v>
      </c>
      <c r="B695" s="336" t="s">
        <v>1599</v>
      </c>
      <c r="C695" s="336" t="s">
        <v>1097</v>
      </c>
      <c r="D695" s="336" t="s">
        <v>806</v>
      </c>
      <c r="E695" s="336" t="s">
        <v>807</v>
      </c>
    </row>
    <row r="696" spans="1:5" x14ac:dyDescent="0.2">
      <c r="A696" s="335">
        <v>1001275657</v>
      </c>
      <c r="B696" s="336" t="s">
        <v>1600</v>
      </c>
      <c r="C696" s="336" t="s">
        <v>797</v>
      </c>
      <c r="D696" s="336" t="s">
        <v>806</v>
      </c>
      <c r="E696" s="336" t="s">
        <v>807</v>
      </c>
    </row>
    <row r="697" spans="1:5" x14ac:dyDescent="0.2">
      <c r="A697" s="335">
        <v>1001275669</v>
      </c>
      <c r="B697" s="336" t="s">
        <v>1601</v>
      </c>
      <c r="C697" s="336" t="s">
        <v>797</v>
      </c>
      <c r="D697" s="336" t="s">
        <v>806</v>
      </c>
      <c r="E697" s="336" t="s">
        <v>807</v>
      </c>
    </row>
    <row r="698" spans="1:5" x14ac:dyDescent="0.2">
      <c r="A698" s="335">
        <v>1001275702</v>
      </c>
      <c r="B698" s="336" t="s">
        <v>1602</v>
      </c>
      <c r="C698" s="336" t="s">
        <v>813</v>
      </c>
      <c r="D698" s="336" t="s">
        <v>806</v>
      </c>
      <c r="E698" s="336" t="s">
        <v>807</v>
      </c>
    </row>
    <row r="699" spans="1:5" x14ac:dyDescent="0.2">
      <c r="A699" s="335">
        <v>1001275913</v>
      </c>
      <c r="B699" s="336" t="s">
        <v>1556</v>
      </c>
      <c r="C699" s="336" t="s">
        <v>863</v>
      </c>
      <c r="D699" s="336" t="s">
        <v>806</v>
      </c>
      <c r="E699" s="336" t="s">
        <v>807</v>
      </c>
    </row>
    <row r="700" spans="1:5" x14ac:dyDescent="0.2">
      <c r="A700" s="335">
        <v>1001276328</v>
      </c>
      <c r="B700" s="336" t="s">
        <v>1603</v>
      </c>
      <c r="C700" s="336" t="s">
        <v>813</v>
      </c>
      <c r="D700" s="336" t="s">
        <v>806</v>
      </c>
      <c r="E700" s="336" t="s">
        <v>807</v>
      </c>
    </row>
    <row r="701" spans="1:5" x14ac:dyDescent="0.2">
      <c r="A701" s="335">
        <v>1001276499</v>
      </c>
      <c r="B701" s="336" t="s">
        <v>1604</v>
      </c>
      <c r="C701" s="336" t="s">
        <v>863</v>
      </c>
      <c r="D701" s="336" t="s">
        <v>806</v>
      </c>
      <c r="E701" s="336" t="s">
        <v>807</v>
      </c>
    </row>
    <row r="702" spans="1:5" x14ac:dyDescent="0.2">
      <c r="A702" s="335">
        <v>1001276584</v>
      </c>
      <c r="B702" s="336" t="s">
        <v>1605</v>
      </c>
      <c r="C702" s="336" t="s">
        <v>800</v>
      </c>
      <c r="D702" s="336" t="s">
        <v>806</v>
      </c>
      <c r="E702" s="336" t="s">
        <v>807</v>
      </c>
    </row>
    <row r="703" spans="1:5" x14ac:dyDescent="0.2">
      <c r="A703" s="335">
        <v>1001276710</v>
      </c>
      <c r="B703" s="336" t="s">
        <v>1606</v>
      </c>
      <c r="C703" s="336" t="s">
        <v>813</v>
      </c>
      <c r="D703" s="336" t="s">
        <v>806</v>
      </c>
      <c r="E703" s="336" t="s">
        <v>807</v>
      </c>
    </row>
    <row r="704" spans="1:5" x14ac:dyDescent="0.2">
      <c r="A704" s="335">
        <v>1001276774</v>
      </c>
      <c r="B704" s="336" t="s">
        <v>1607</v>
      </c>
      <c r="C704" s="336" t="s">
        <v>797</v>
      </c>
      <c r="D704" s="336" t="s">
        <v>806</v>
      </c>
      <c r="E704" s="336" t="s">
        <v>807</v>
      </c>
    </row>
    <row r="705" spans="1:5" x14ac:dyDescent="0.2">
      <c r="A705" s="335">
        <v>1001277110</v>
      </c>
      <c r="B705" s="336" t="s">
        <v>1608</v>
      </c>
      <c r="C705" s="336" t="s">
        <v>1097</v>
      </c>
      <c r="D705" s="336" t="s">
        <v>806</v>
      </c>
      <c r="E705" s="336" t="s">
        <v>807</v>
      </c>
    </row>
    <row r="706" spans="1:5" x14ac:dyDescent="0.2">
      <c r="A706" s="335">
        <v>1001277112</v>
      </c>
      <c r="B706" s="336" t="s">
        <v>1609</v>
      </c>
      <c r="C706" s="336" t="s">
        <v>1097</v>
      </c>
      <c r="D706" s="336" t="s">
        <v>806</v>
      </c>
      <c r="E706" s="336" t="s">
        <v>807</v>
      </c>
    </row>
    <row r="707" spans="1:5" x14ac:dyDescent="0.2">
      <c r="A707" s="335">
        <v>1001277130</v>
      </c>
      <c r="B707" s="336" t="s">
        <v>1610</v>
      </c>
      <c r="C707" s="336" t="s">
        <v>1097</v>
      </c>
      <c r="D707" s="336" t="s">
        <v>806</v>
      </c>
      <c r="E707" s="336" t="s">
        <v>807</v>
      </c>
    </row>
    <row r="708" spans="1:5" x14ac:dyDescent="0.2">
      <c r="A708" s="335">
        <v>1001277132</v>
      </c>
      <c r="B708" s="336" t="s">
        <v>1611</v>
      </c>
      <c r="C708" s="336" t="s">
        <v>1097</v>
      </c>
      <c r="D708" s="336" t="s">
        <v>806</v>
      </c>
      <c r="E708" s="336" t="s">
        <v>807</v>
      </c>
    </row>
    <row r="709" spans="1:5" x14ac:dyDescent="0.2">
      <c r="A709" s="335">
        <v>1001277147</v>
      </c>
      <c r="B709" s="336" t="s">
        <v>1612</v>
      </c>
      <c r="C709" s="336" t="s">
        <v>863</v>
      </c>
      <c r="D709" s="336" t="s">
        <v>806</v>
      </c>
      <c r="E709" s="336" t="s">
        <v>807</v>
      </c>
    </row>
    <row r="710" spans="1:5" x14ac:dyDescent="0.2">
      <c r="A710" s="335">
        <v>1001277229</v>
      </c>
      <c r="B710" s="336" t="s">
        <v>867</v>
      </c>
      <c r="C710" s="336" t="s">
        <v>800</v>
      </c>
      <c r="D710" s="336" t="s">
        <v>806</v>
      </c>
      <c r="E710" s="336" t="s">
        <v>807</v>
      </c>
    </row>
    <row r="711" spans="1:5" x14ac:dyDescent="0.2">
      <c r="A711" s="335">
        <v>1001277250</v>
      </c>
      <c r="B711" s="336" t="s">
        <v>1613</v>
      </c>
      <c r="C711" s="336" t="s">
        <v>1097</v>
      </c>
      <c r="D711" s="336" t="s">
        <v>806</v>
      </c>
      <c r="E711" s="336" t="s">
        <v>807</v>
      </c>
    </row>
    <row r="712" spans="1:5" x14ac:dyDescent="0.2">
      <c r="A712" s="335">
        <v>1001277251</v>
      </c>
      <c r="B712" s="336" t="s">
        <v>1614</v>
      </c>
      <c r="C712" s="336" t="s">
        <v>1097</v>
      </c>
      <c r="D712" s="336" t="s">
        <v>806</v>
      </c>
      <c r="E712" s="336" t="s">
        <v>807</v>
      </c>
    </row>
    <row r="713" spans="1:5" x14ac:dyDescent="0.2">
      <c r="A713" s="335">
        <v>1001277252</v>
      </c>
      <c r="B713" s="336" t="s">
        <v>1615</v>
      </c>
      <c r="C713" s="336" t="s">
        <v>813</v>
      </c>
      <c r="D713" s="336" t="s">
        <v>806</v>
      </c>
      <c r="E713" s="336" t="s">
        <v>807</v>
      </c>
    </row>
    <row r="714" spans="1:5" x14ac:dyDescent="0.2">
      <c r="A714" s="335">
        <v>1001277430</v>
      </c>
      <c r="B714" s="336" t="s">
        <v>1616</v>
      </c>
      <c r="C714" s="336" t="s">
        <v>797</v>
      </c>
      <c r="D714" s="336" t="s">
        <v>806</v>
      </c>
      <c r="E714" s="336" t="s">
        <v>807</v>
      </c>
    </row>
    <row r="715" spans="1:5" x14ac:dyDescent="0.2">
      <c r="A715" s="335">
        <v>1001277749</v>
      </c>
      <c r="B715" s="336" t="s">
        <v>811</v>
      </c>
      <c r="C715" s="336" t="s">
        <v>813</v>
      </c>
      <c r="D715" s="336" t="s">
        <v>806</v>
      </c>
      <c r="E715" s="336" t="s">
        <v>807</v>
      </c>
    </row>
    <row r="716" spans="1:5" x14ac:dyDescent="0.2">
      <c r="A716" s="335">
        <v>1001277932</v>
      </c>
      <c r="B716" s="336" t="s">
        <v>1617</v>
      </c>
      <c r="C716" s="336" t="s">
        <v>813</v>
      </c>
      <c r="D716" s="336" t="s">
        <v>806</v>
      </c>
      <c r="E716" s="336" t="s">
        <v>807</v>
      </c>
    </row>
    <row r="717" spans="1:5" x14ac:dyDescent="0.2">
      <c r="A717" s="335">
        <v>1001278051</v>
      </c>
      <c r="B717" s="336" t="s">
        <v>1618</v>
      </c>
      <c r="C717" s="336" t="s">
        <v>863</v>
      </c>
      <c r="D717" s="336" t="s">
        <v>806</v>
      </c>
      <c r="E717" s="336" t="s">
        <v>807</v>
      </c>
    </row>
    <row r="718" spans="1:5" x14ac:dyDescent="0.2">
      <c r="A718" s="335">
        <v>1001278093</v>
      </c>
      <c r="B718" s="336" t="s">
        <v>1583</v>
      </c>
      <c r="C718" s="336" t="s">
        <v>1097</v>
      </c>
      <c r="D718" s="336" t="s">
        <v>806</v>
      </c>
      <c r="E718" s="336" t="s">
        <v>807</v>
      </c>
    </row>
    <row r="719" spans="1:5" x14ac:dyDescent="0.2">
      <c r="A719" s="335">
        <v>1001278100</v>
      </c>
      <c r="B719" s="336" t="s">
        <v>811</v>
      </c>
      <c r="C719" s="336" t="s">
        <v>800</v>
      </c>
      <c r="D719" s="336" t="s">
        <v>806</v>
      </c>
      <c r="E719" s="336" t="s">
        <v>807</v>
      </c>
    </row>
    <row r="720" spans="1:5" x14ac:dyDescent="0.2">
      <c r="A720" s="335">
        <v>1001278129</v>
      </c>
      <c r="B720" s="336" t="s">
        <v>1583</v>
      </c>
      <c r="C720" s="336" t="s">
        <v>1097</v>
      </c>
      <c r="D720" s="336" t="s">
        <v>806</v>
      </c>
      <c r="E720" s="336" t="s">
        <v>807</v>
      </c>
    </row>
    <row r="721" spans="1:5" x14ac:dyDescent="0.2">
      <c r="A721" s="335">
        <v>1001278243</v>
      </c>
      <c r="B721" s="336" t="s">
        <v>1577</v>
      </c>
      <c r="C721" s="336" t="s">
        <v>1097</v>
      </c>
      <c r="D721" s="336" t="s">
        <v>806</v>
      </c>
      <c r="E721" s="336" t="s">
        <v>807</v>
      </c>
    </row>
    <row r="722" spans="1:5" x14ac:dyDescent="0.2">
      <c r="A722" s="335">
        <v>1001278244</v>
      </c>
      <c r="B722" s="336" t="s">
        <v>1619</v>
      </c>
      <c r="C722" s="336" t="s">
        <v>1097</v>
      </c>
      <c r="D722" s="336" t="s">
        <v>806</v>
      </c>
      <c r="E722" s="336" t="s">
        <v>807</v>
      </c>
    </row>
    <row r="723" spans="1:5" x14ac:dyDescent="0.2">
      <c r="A723" s="335">
        <v>1001278247</v>
      </c>
      <c r="B723" s="336" t="s">
        <v>1620</v>
      </c>
      <c r="C723" s="336" t="s">
        <v>813</v>
      </c>
      <c r="D723" s="336" t="s">
        <v>806</v>
      </c>
      <c r="E723" s="336" t="s">
        <v>807</v>
      </c>
    </row>
    <row r="724" spans="1:5" x14ac:dyDescent="0.2">
      <c r="A724" s="335">
        <v>1001278458</v>
      </c>
      <c r="B724" s="336" t="s">
        <v>1621</v>
      </c>
      <c r="C724" s="336" t="s">
        <v>813</v>
      </c>
      <c r="D724" s="336" t="s">
        <v>806</v>
      </c>
      <c r="E724" s="336" t="s">
        <v>807</v>
      </c>
    </row>
    <row r="725" spans="1:5" x14ac:dyDescent="0.2">
      <c r="A725" s="335">
        <v>1001278544</v>
      </c>
      <c r="B725" s="336" t="s">
        <v>843</v>
      </c>
      <c r="C725" s="336" t="s">
        <v>797</v>
      </c>
      <c r="D725" s="336" t="s">
        <v>806</v>
      </c>
      <c r="E725" s="336" t="s">
        <v>807</v>
      </c>
    </row>
    <row r="726" spans="1:5" x14ac:dyDescent="0.2">
      <c r="A726" s="335">
        <v>1001278803</v>
      </c>
      <c r="B726" s="336" t="s">
        <v>1622</v>
      </c>
      <c r="C726" s="336" t="s">
        <v>1097</v>
      </c>
      <c r="D726" s="336" t="s">
        <v>806</v>
      </c>
      <c r="E726" s="336" t="s">
        <v>807</v>
      </c>
    </row>
    <row r="727" spans="1:5" x14ac:dyDescent="0.2">
      <c r="A727" s="335">
        <v>1001278804</v>
      </c>
      <c r="B727" s="336" t="s">
        <v>1623</v>
      </c>
      <c r="C727" s="336" t="s">
        <v>1097</v>
      </c>
      <c r="D727" s="336" t="s">
        <v>806</v>
      </c>
      <c r="E727" s="336" t="s">
        <v>807</v>
      </c>
    </row>
    <row r="728" spans="1:5" x14ac:dyDescent="0.2">
      <c r="A728" s="335">
        <v>1001278806</v>
      </c>
      <c r="B728" s="336" t="s">
        <v>1624</v>
      </c>
      <c r="C728" s="336" t="s">
        <v>1097</v>
      </c>
      <c r="D728" s="336" t="s">
        <v>806</v>
      </c>
      <c r="E728" s="336" t="s">
        <v>807</v>
      </c>
    </row>
    <row r="729" spans="1:5" x14ac:dyDescent="0.2">
      <c r="A729" s="335">
        <v>1001279136</v>
      </c>
      <c r="B729" s="336" t="s">
        <v>1625</v>
      </c>
      <c r="C729" s="336" t="s">
        <v>1097</v>
      </c>
      <c r="D729" s="336" t="s">
        <v>806</v>
      </c>
      <c r="E729" s="336" t="s">
        <v>807</v>
      </c>
    </row>
    <row r="730" spans="1:5" x14ac:dyDescent="0.2">
      <c r="A730" s="335">
        <v>1001279212</v>
      </c>
      <c r="B730" s="336" t="s">
        <v>982</v>
      </c>
      <c r="C730" s="336" t="s">
        <v>797</v>
      </c>
      <c r="D730" s="336" t="s">
        <v>806</v>
      </c>
      <c r="E730" s="336" t="s">
        <v>807</v>
      </c>
    </row>
    <row r="731" spans="1:5" x14ac:dyDescent="0.2">
      <c r="A731" s="335">
        <v>1001279320</v>
      </c>
      <c r="B731" s="336" t="s">
        <v>1626</v>
      </c>
      <c r="C731" s="336" t="s">
        <v>797</v>
      </c>
      <c r="D731" s="336" t="s">
        <v>806</v>
      </c>
      <c r="E731" s="336" t="s">
        <v>807</v>
      </c>
    </row>
    <row r="732" spans="1:5" x14ac:dyDescent="0.2">
      <c r="A732" s="335">
        <v>1001279325</v>
      </c>
      <c r="B732" s="336" t="s">
        <v>1627</v>
      </c>
      <c r="C732" s="336" t="s">
        <v>1097</v>
      </c>
      <c r="D732" s="336" t="s">
        <v>806</v>
      </c>
      <c r="E732" s="336" t="s">
        <v>807</v>
      </c>
    </row>
    <row r="733" spans="1:5" x14ac:dyDescent="0.2">
      <c r="A733" s="335">
        <v>1001279370</v>
      </c>
      <c r="B733" s="336" t="s">
        <v>1628</v>
      </c>
      <c r="C733" s="336" t="s">
        <v>863</v>
      </c>
      <c r="D733" s="336" t="s">
        <v>806</v>
      </c>
      <c r="E733" s="336" t="s">
        <v>807</v>
      </c>
    </row>
    <row r="734" spans="1:5" x14ac:dyDescent="0.2">
      <c r="A734" s="335">
        <v>1001279943</v>
      </c>
      <c r="B734" s="336" t="s">
        <v>1629</v>
      </c>
      <c r="C734" s="336" t="s">
        <v>1097</v>
      </c>
      <c r="D734" s="336" t="s">
        <v>806</v>
      </c>
      <c r="E734" s="336" t="s">
        <v>807</v>
      </c>
    </row>
    <row r="735" spans="1:5" x14ac:dyDescent="0.2">
      <c r="A735" s="335">
        <v>1001280231</v>
      </c>
      <c r="B735" s="336" t="s">
        <v>1630</v>
      </c>
      <c r="C735" s="336" t="s">
        <v>797</v>
      </c>
      <c r="D735" s="336" t="s">
        <v>806</v>
      </c>
      <c r="E735" s="336" t="s">
        <v>807</v>
      </c>
    </row>
    <row r="736" spans="1:5" x14ac:dyDescent="0.2">
      <c r="A736" s="335">
        <v>1001280232</v>
      </c>
      <c r="B736" s="336" t="s">
        <v>1631</v>
      </c>
      <c r="C736" s="336" t="s">
        <v>863</v>
      </c>
      <c r="D736" s="336" t="s">
        <v>806</v>
      </c>
      <c r="E736" s="336" t="s">
        <v>807</v>
      </c>
    </row>
    <row r="737" spans="1:5" x14ac:dyDescent="0.2">
      <c r="A737" s="335">
        <v>1001280239</v>
      </c>
      <c r="B737" s="336" t="s">
        <v>1632</v>
      </c>
      <c r="C737" s="336" t="s">
        <v>797</v>
      </c>
      <c r="D737" s="336" t="s">
        <v>806</v>
      </c>
      <c r="E737" s="336" t="s">
        <v>807</v>
      </c>
    </row>
    <row r="738" spans="1:5" x14ac:dyDescent="0.2">
      <c r="A738" s="335">
        <v>1001280363</v>
      </c>
      <c r="B738" s="336" t="s">
        <v>1633</v>
      </c>
      <c r="C738" s="336" t="s">
        <v>800</v>
      </c>
      <c r="D738" s="336" t="s">
        <v>806</v>
      </c>
      <c r="E738" s="336" t="s">
        <v>807</v>
      </c>
    </row>
    <row r="739" spans="1:5" x14ac:dyDescent="0.2">
      <c r="A739" s="335">
        <v>1001280364</v>
      </c>
      <c r="B739" s="336" t="s">
        <v>1634</v>
      </c>
      <c r="C739" s="336" t="s">
        <v>813</v>
      </c>
      <c r="D739" s="336" t="s">
        <v>806</v>
      </c>
      <c r="E739" s="336" t="s">
        <v>807</v>
      </c>
    </row>
    <row r="740" spans="1:5" x14ac:dyDescent="0.2">
      <c r="A740" s="335">
        <v>1001280442</v>
      </c>
      <c r="B740" s="336" t="s">
        <v>1635</v>
      </c>
      <c r="C740" s="336" t="s">
        <v>797</v>
      </c>
      <c r="D740" s="336" t="s">
        <v>806</v>
      </c>
      <c r="E740" s="336" t="s">
        <v>807</v>
      </c>
    </row>
    <row r="741" spans="1:5" x14ac:dyDescent="0.2">
      <c r="A741" s="335">
        <v>1001280459</v>
      </c>
      <c r="B741" s="336" t="s">
        <v>1636</v>
      </c>
      <c r="C741" s="336" t="s">
        <v>800</v>
      </c>
      <c r="D741" s="336" t="s">
        <v>806</v>
      </c>
      <c r="E741" s="336" t="s">
        <v>807</v>
      </c>
    </row>
    <row r="742" spans="1:5" x14ac:dyDescent="0.2">
      <c r="A742" s="335">
        <v>1001280492</v>
      </c>
      <c r="B742" s="336" t="s">
        <v>1637</v>
      </c>
      <c r="C742" s="336" t="s">
        <v>797</v>
      </c>
      <c r="D742" s="336" t="s">
        <v>806</v>
      </c>
      <c r="E742" s="336" t="s">
        <v>807</v>
      </c>
    </row>
    <row r="743" spans="1:5" x14ac:dyDescent="0.2">
      <c r="A743" s="335">
        <v>1001280504</v>
      </c>
      <c r="B743" s="336" t="s">
        <v>1638</v>
      </c>
      <c r="C743" s="336" t="s">
        <v>813</v>
      </c>
      <c r="D743" s="336" t="s">
        <v>806</v>
      </c>
      <c r="E743" s="336" t="s">
        <v>807</v>
      </c>
    </row>
    <row r="744" spans="1:5" x14ac:dyDescent="0.2">
      <c r="A744" s="335">
        <v>1001280529</v>
      </c>
      <c r="B744" s="336" t="s">
        <v>1604</v>
      </c>
      <c r="C744" s="336" t="s">
        <v>863</v>
      </c>
      <c r="D744" s="336" t="s">
        <v>806</v>
      </c>
      <c r="E744" s="336" t="s">
        <v>807</v>
      </c>
    </row>
    <row r="745" spans="1:5" x14ac:dyDescent="0.2">
      <c r="A745" s="335">
        <v>1001280566</v>
      </c>
      <c r="B745" s="336" t="s">
        <v>1639</v>
      </c>
      <c r="C745" s="336" t="s">
        <v>863</v>
      </c>
      <c r="D745" s="336" t="s">
        <v>806</v>
      </c>
      <c r="E745" s="336" t="s">
        <v>807</v>
      </c>
    </row>
    <row r="746" spans="1:5" x14ac:dyDescent="0.2">
      <c r="A746" s="335">
        <v>1001280572</v>
      </c>
      <c r="B746" s="336" t="s">
        <v>1640</v>
      </c>
      <c r="C746" s="336" t="s">
        <v>797</v>
      </c>
      <c r="D746" s="336" t="s">
        <v>806</v>
      </c>
      <c r="E746" s="336" t="s">
        <v>807</v>
      </c>
    </row>
    <row r="747" spans="1:5" x14ac:dyDescent="0.2">
      <c r="A747" s="335">
        <v>1001280582</v>
      </c>
      <c r="B747" s="336" t="s">
        <v>843</v>
      </c>
      <c r="C747" s="336" t="s">
        <v>800</v>
      </c>
      <c r="D747" s="336" t="s">
        <v>806</v>
      </c>
      <c r="E747" s="336" t="s">
        <v>807</v>
      </c>
    </row>
    <row r="748" spans="1:5" x14ac:dyDescent="0.2">
      <c r="A748" s="335">
        <v>1001280583</v>
      </c>
      <c r="B748" s="336" t="s">
        <v>1641</v>
      </c>
      <c r="C748" s="336" t="s">
        <v>813</v>
      </c>
      <c r="D748" s="336" t="s">
        <v>806</v>
      </c>
      <c r="E748" s="336" t="s">
        <v>807</v>
      </c>
    </row>
    <row r="749" spans="1:5" x14ac:dyDescent="0.2">
      <c r="A749" s="335">
        <v>1001280586</v>
      </c>
      <c r="B749" s="336" t="s">
        <v>1642</v>
      </c>
      <c r="C749" s="336" t="s">
        <v>1097</v>
      </c>
      <c r="D749" s="336" t="s">
        <v>806</v>
      </c>
      <c r="E749" s="336" t="s">
        <v>807</v>
      </c>
    </row>
    <row r="750" spans="1:5" x14ac:dyDescent="0.2">
      <c r="A750" s="335">
        <v>1001280600</v>
      </c>
      <c r="B750" s="336" t="s">
        <v>1643</v>
      </c>
      <c r="C750" s="336" t="s">
        <v>1097</v>
      </c>
      <c r="D750" s="336" t="s">
        <v>806</v>
      </c>
      <c r="E750" s="336" t="s">
        <v>807</v>
      </c>
    </row>
    <row r="751" spans="1:5" x14ac:dyDescent="0.2">
      <c r="A751" s="335">
        <v>1001280602</v>
      </c>
      <c r="B751" s="336" t="s">
        <v>1643</v>
      </c>
      <c r="C751" s="336" t="s">
        <v>863</v>
      </c>
      <c r="D751" s="336" t="s">
        <v>806</v>
      </c>
      <c r="E751" s="336" t="s">
        <v>807</v>
      </c>
    </row>
    <row r="752" spans="1:5" x14ac:dyDescent="0.2">
      <c r="A752" s="335">
        <v>1001280604</v>
      </c>
      <c r="B752" s="336" t="s">
        <v>1644</v>
      </c>
      <c r="C752" s="336" t="s">
        <v>1097</v>
      </c>
      <c r="D752" s="336" t="s">
        <v>806</v>
      </c>
      <c r="E752" s="336" t="s">
        <v>807</v>
      </c>
    </row>
    <row r="753" spans="1:5" x14ac:dyDescent="0.2">
      <c r="A753" s="335">
        <v>1001280630</v>
      </c>
      <c r="B753" s="336" t="s">
        <v>1645</v>
      </c>
      <c r="C753" s="336" t="s">
        <v>1097</v>
      </c>
      <c r="D753" s="336" t="s">
        <v>806</v>
      </c>
      <c r="E753" s="336" t="s">
        <v>807</v>
      </c>
    </row>
    <row r="754" spans="1:5" x14ac:dyDescent="0.2">
      <c r="A754" s="335">
        <v>1001280632</v>
      </c>
      <c r="B754" s="336" t="s">
        <v>1646</v>
      </c>
      <c r="C754" s="336" t="s">
        <v>1097</v>
      </c>
      <c r="D754" s="336" t="s">
        <v>806</v>
      </c>
      <c r="E754" s="336" t="s">
        <v>807</v>
      </c>
    </row>
    <row r="755" spans="1:5" x14ac:dyDescent="0.2">
      <c r="A755" s="335">
        <v>1001280639</v>
      </c>
      <c r="B755" s="336" t="s">
        <v>1647</v>
      </c>
      <c r="C755" s="336" t="s">
        <v>797</v>
      </c>
      <c r="D755" s="336" t="s">
        <v>806</v>
      </c>
      <c r="E755" s="336" t="s">
        <v>807</v>
      </c>
    </row>
    <row r="756" spans="1:5" x14ac:dyDescent="0.2">
      <c r="A756" s="335">
        <v>1001280647</v>
      </c>
      <c r="B756" s="336" t="s">
        <v>1648</v>
      </c>
      <c r="C756" s="336" t="s">
        <v>863</v>
      </c>
      <c r="D756" s="336" t="s">
        <v>806</v>
      </c>
      <c r="E756" s="336" t="s">
        <v>807</v>
      </c>
    </row>
    <row r="757" spans="1:5" x14ac:dyDescent="0.2">
      <c r="A757" s="335">
        <v>1001280681</v>
      </c>
      <c r="B757" s="336" t="s">
        <v>1649</v>
      </c>
      <c r="C757" s="336" t="s">
        <v>863</v>
      </c>
      <c r="D757" s="336" t="s">
        <v>806</v>
      </c>
      <c r="E757" s="336" t="s">
        <v>807</v>
      </c>
    </row>
    <row r="758" spans="1:5" x14ac:dyDescent="0.2">
      <c r="A758" s="335">
        <v>1001280706</v>
      </c>
      <c r="B758" s="336" t="s">
        <v>1650</v>
      </c>
      <c r="C758" s="336" t="s">
        <v>863</v>
      </c>
      <c r="D758" s="336" t="s">
        <v>806</v>
      </c>
      <c r="E758" s="336" t="s">
        <v>807</v>
      </c>
    </row>
    <row r="759" spans="1:5" x14ac:dyDescent="0.2">
      <c r="A759" s="335">
        <v>1001280707</v>
      </c>
      <c r="B759" s="336" t="s">
        <v>1651</v>
      </c>
      <c r="C759" s="336" t="s">
        <v>797</v>
      </c>
      <c r="D759" s="336" t="s">
        <v>806</v>
      </c>
      <c r="E759" s="336" t="s">
        <v>807</v>
      </c>
    </row>
    <row r="760" spans="1:5" x14ac:dyDescent="0.2">
      <c r="A760" s="335">
        <v>1001280723</v>
      </c>
      <c r="B760" s="336" t="s">
        <v>1652</v>
      </c>
      <c r="C760" s="336" t="s">
        <v>797</v>
      </c>
      <c r="D760" s="336" t="s">
        <v>806</v>
      </c>
      <c r="E760" s="336" t="s">
        <v>807</v>
      </c>
    </row>
    <row r="761" spans="1:5" x14ac:dyDescent="0.2">
      <c r="A761" s="335">
        <v>1001280729</v>
      </c>
      <c r="B761" s="336" t="s">
        <v>1653</v>
      </c>
      <c r="C761" s="336" t="s">
        <v>813</v>
      </c>
      <c r="D761" s="336" t="s">
        <v>806</v>
      </c>
      <c r="E761" s="336" t="s">
        <v>807</v>
      </c>
    </row>
    <row r="762" spans="1:5" x14ac:dyDescent="0.2">
      <c r="A762" s="335">
        <v>1001280740</v>
      </c>
      <c r="B762" s="336" t="s">
        <v>1654</v>
      </c>
      <c r="C762" s="336" t="s">
        <v>863</v>
      </c>
      <c r="D762" s="336" t="s">
        <v>806</v>
      </c>
      <c r="E762" s="336" t="s">
        <v>807</v>
      </c>
    </row>
    <row r="763" spans="1:5" x14ac:dyDescent="0.2">
      <c r="A763" s="335">
        <v>1001288864</v>
      </c>
      <c r="B763" s="336" t="s">
        <v>1556</v>
      </c>
      <c r="C763" s="336" t="s">
        <v>1097</v>
      </c>
      <c r="D763" s="336" t="s">
        <v>806</v>
      </c>
      <c r="E763" s="336" t="s">
        <v>807</v>
      </c>
    </row>
    <row r="764" spans="1:5" x14ac:dyDescent="0.2">
      <c r="A764" s="335">
        <v>1001288926</v>
      </c>
      <c r="B764" s="336" t="s">
        <v>1655</v>
      </c>
      <c r="C764" s="336" t="s">
        <v>813</v>
      </c>
      <c r="D764" s="336" t="s">
        <v>806</v>
      </c>
      <c r="E764" s="336" t="s">
        <v>807</v>
      </c>
    </row>
    <row r="765" spans="1:5" x14ac:dyDescent="0.2">
      <c r="A765" s="335">
        <v>1001288950</v>
      </c>
      <c r="B765" s="336" t="s">
        <v>1656</v>
      </c>
      <c r="C765" s="336" t="s">
        <v>1097</v>
      </c>
      <c r="D765" s="336" t="s">
        <v>806</v>
      </c>
      <c r="E765" s="336" t="s">
        <v>807</v>
      </c>
    </row>
    <row r="766" spans="1:5" x14ac:dyDescent="0.2">
      <c r="A766" s="335">
        <v>1001288964</v>
      </c>
      <c r="B766" s="336" t="s">
        <v>1657</v>
      </c>
      <c r="C766" s="336" t="s">
        <v>1097</v>
      </c>
      <c r="D766" s="336" t="s">
        <v>806</v>
      </c>
      <c r="E766" s="336" t="s">
        <v>807</v>
      </c>
    </row>
    <row r="767" spans="1:5" x14ac:dyDescent="0.2">
      <c r="A767" s="335">
        <v>1001288966</v>
      </c>
      <c r="B767" s="336" t="s">
        <v>1658</v>
      </c>
      <c r="C767" s="336" t="s">
        <v>1097</v>
      </c>
      <c r="D767" s="336" t="s">
        <v>806</v>
      </c>
      <c r="E767" s="336" t="s">
        <v>807</v>
      </c>
    </row>
    <row r="768" spans="1:5" x14ac:dyDescent="0.2">
      <c r="A768" s="335">
        <v>1001288974</v>
      </c>
      <c r="B768" s="336" t="s">
        <v>1659</v>
      </c>
      <c r="C768" s="336" t="s">
        <v>1097</v>
      </c>
      <c r="D768" s="336" t="s">
        <v>806</v>
      </c>
      <c r="E768" s="336" t="s">
        <v>807</v>
      </c>
    </row>
    <row r="769" spans="1:5" x14ac:dyDescent="0.2">
      <c r="A769" s="335">
        <v>1001288980</v>
      </c>
      <c r="B769" s="336" t="s">
        <v>897</v>
      </c>
      <c r="C769" s="336" t="s">
        <v>800</v>
      </c>
      <c r="D769" s="336" t="s">
        <v>806</v>
      </c>
      <c r="E769" s="336" t="s">
        <v>807</v>
      </c>
    </row>
    <row r="770" spans="1:5" x14ac:dyDescent="0.2">
      <c r="A770" s="335">
        <v>1001288992</v>
      </c>
      <c r="B770" s="336" t="s">
        <v>1660</v>
      </c>
      <c r="C770" s="336" t="s">
        <v>1097</v>
      </c>
      <c r="D770" s="336" t="s">
        <v>806</v>
      </c>
      <c r="E770" s="336" t="s">
        <v>807</v>
      </c>
    </row>
    <row r="771" spans="1:5" x14ac:dyDescent="0.2">
      <c r="A771" s="335">
        <v>1001288998</v>
      </c>
      <c r="B771" s="336" t="s">
        <v>1661</v>
      </c>
      <c r="C771" s="336" t="s">
        <v>813</v>
      </c>
      <c r="D771" s="336" t="s">
        <v>806</v>
      </c>
      <c r="E771" s="336" t="s">
        <v>807</v>
      </c>
    </row>
    <row r="772" spans="1:5" x14ac:dyDescent="0.2">
      <c r="A772" s="335">
        <v>1001289006</v>
      </c>
      <c r="B772" s="336" t="s">
        <v>1662</v>
      </c>
      <c r="C772" s="336" t="s">
        <v>863</v>
      </c>
      <c r="D772" s="336" t="s">
        <v>806</v>
      </c>
      <c r="E772" s="336" t="s">
        <v>807</v>
      </c>
    </row>
    <row r="773" spans="1:5" x14ac:dyDescent="0.2">
      <c r="A773" s="335">
        <v>1001289018</v>
      </c>
      <c r="B773" s="336" t="s">
        <v>1663</v>
      </c>
      <c r="C773" s="336" t="s">
        <v>1097</v>
      </c>
      <c r="D773" s="336" t="s">
        <v>806</v>
      </c>
      <c r="E773" s="336" t="s">
        <v>807</v>
      </c>
    </row>
    <row r="774" spans="1:5" x14ac:dyDescent="0.2">
      <c r="A774" s="335">
        <v>1001289061</v>
      </c>
      <c r="B774" s="336" t="s">
        <v>1664</v>
      </c>
      <c r="C774" s="336" t="s">
        <v>1097</v>
      </c>
      <c r="D774" s="336" t="s">
        <v>806</v>
      </c>
      <c r="E774" s="336" t="s">
        <v>807</v>
      </c>
    </row>
    <row r="775" spans="1:5" x14ac:dyDescent="0.2">
      <c r="A775" s="335">
        <v>1001289063</v>
      </c>
      <c r="B775" s="336" t="s">
        <v>1665</v>
      </c>
      <c r="C775" s="336" t="s">
        <v>813</v>
      </c>
      <c r="D775" s="336" t="s">
        <v>806</v>
      </c>
      <c r="E775" s="336" t="s">
        <v>807</v>
      </c>
    </row>
    <row r="776" spans="1:5" x14ac:dyDescent="0.2">
      <c r="A776" s="335">
        <v>1001289077</v>
      </c>
      <c r="B776" s="336" t="s">
        <v>1666</v>
      </c>
      <c r="C776" s="336" t="s">
        <v>863</v>
      </c>
      <c r="D776" s="336" t="s">
        <v>806</v>
      </c>
      <c r="E776" s="336" t="s">
        <v>807</v>
      </c>
    </row>
    <row r="777" spans="1:5" x14ac:dyDescent="0.2">
      <c r="A777" s="335">
        <v>1001289078</v>
      </c>
      <c r="B777" s="336" t="s">
        <v>1667</v>
      </c>
      <c r="C777" s="336" t="s">
        <v>863</v>
      </c>
      <c r="D777" s="336" t="s">
        <v>806</v>
      </c>
      <c r="E777" s="336" t="s">
        <v>807</v>
      </c>
    </row>
    <row r="778" spans="1:5" x14ac:dyDescent="0.2">
      <c r="A778" s="335">
        <v>1001289084</v>
      </c>
      <c r="B778" s="336" t="s">
        <v>1668</v>
      </c>
      <c r="C778" s="336" t="s">
        <v>797</v>
      </c>
      <c r="D778" s="336" t="s">
        <v>806</v>
      </c>
      <c r="E778" s="336" t="s">
        <v>807</v>
      </c>
    </row>
    <row r="779" spans="1:5" x14ac:dyDescent="0.2">
      <c r="A779" s="335">
        <v>1001290207</v>
      </c>
      <c r="B779" s="336" t="s">
        <v>994</v>
      </c>
      <c r="C779" s="336" t="s">
        <v>800</v>
      </c>
      <c r="D779" s="336" t="s">
        <v>806</v>
      </c>
      <c r="E779" s="336" t="s">
        <v>807</v>
      </c>
    </row>
    <row r="780" spans="1:5" x14ac:dyDescent="0.2">
      <c r="A780" s="335">
        <v>1001290210</v>
      </c>
      <c r="B780" s="336" t="s">
        <v>1669</v>
      </c>
      <c r="C780" s="336" t="s">
        <v>1097</v>
      </c>
      <c r="D780" s="336" t="s">
        <v>806</v>
      </c>
      <c r="E780" s="336" t="s">
        <v>807</v>
      </c>
    </row>
    <row r="781" spans="1:5" x14ac:dyDescent="0.2">
      <c r="A781" s="335">
        <v>1001290211</v>
      </c>
      <c r="B781" s="336" t="s">
        <v>1670</v>
      </c>
      <c r="C781" s="336" t="s">
        <v>1097</v>
      </c>
      <c r="D781" s="336" t="s">
        <v>806</v>
      </c>
      <c r="E781" s="336" t="s">
        <v>807</v>
      </c>
    </row>
    <row r="782" spans="1:5" x14ac:dyDescent="0.2">
      <c r="A782" s="335">
        <v>1001290220</v>
      </c>
      <c r="B782" s="336" t="s">
        <v>1671</v>
      </c>
      <c r="C782" s="336" t="s">
        <v>1097</v>
      </c>
      <c r="D782" s="336" t="s">
        <v>806</v>
      </c>
      <c r="E782" s="336" t="s">
        <v>807</v>
      </c>
    </row>
    <row r="783" spans="1:5" x14ac:dyDescent="0.2">
      <c r="A783" s="335">
        <v>1001290225</v>
      </c>
      <c r="B783" s="336" t="s">
        <v>1582</v>
      </c>
      <c r="C783" s="336" t="s">
        <v>1097</v>
      </c>
      <c r="D783" s="336" t="s">
        <v>806</v>
      </c>
      <c r="E783" s="336" t="s">
        <v>807</v>
      </c>
    </row>
    <row r="784" spans="1:5" x14ac:dyDescent="0.2">
      <c r="A784" s="335">
        <v>1001290252</v>
      </c>
      <c r="B784" s="336" t="s">
        <v>1672</v>
      </c>
      <c r="C784" s="336" t="s">
        <v>1097</v>
      </c>
      <c r="D784" s="336" t="s">
        <v>806</v>
      </c>
      <c r="E784" s="336" t="s">
        <v>807</v>
      </c>
    </row>
    <row r="785" spans="1:5" x14ac:dyDescent="0.2">
      <c r="A785" s="335">
        <v>1001290279</v>
      </c>
      <c r="B785" s="336" t="s">
        <v>1673</v>
      </c>
      <c r="C785" s="336" t="s">
        <v>1097</v>
      </c>
      <c r="D785" s="336" t="s">
        <v>806</v>
      </c>
      <c r="E785" s="336" t="s">
        <v>807</v>
      </c>
    </row>
    <row r="786" spans="1:5" x14ac:dyDescent="0.2">
      <c r="A786" s="335">
        <v>1001290280</v>
      </c>
      <c r="B786" s="336" t="s">
        <v>1613</v>
      </c>
      <c r="C786" s="336" t="s">
        <v>1097</v>
      </c>
      <c r="D786" s="336" t="s">
        <v>806</v>
      </c>
      <c r="E786" s="336" t="s">
        <v>807</v>
      </c>
    </row>
    <row r="787" spans="1:5" x14ac:dyDescent="0.2">
      <c r="A787" s="335">
        <v>1001290281</v>
      </c>
      <c r="B787" s="336" t="s">
        <v>1674</v>
      </c>
      <c r="C787" s="336" t="s">
        <v>863</v>
      </c>
      <c r="D787" s="336" t="s">
        <v>806</v>
      </c>
      <c r="E787" s="336" t="s">
        <v>807</v>
      </c>
    </row>
    <row r="788" spans="1:5" x14ac:dyDescent="0.2">
      <c r="A788" s="335">
        <v>1001290282</v>
      </c>
      <c r="B788" s="336" t="s">
        <v>1675</v>
      </c>
      <c r="C788" s="336" t="s">
        <v>1097</v>
      </c>
      <c r="D788" s="336" t="s">
        <v>806</v>
      </c>
      <c r="E788" s="336" t="s">
        <v>807</v>
      </c>
    </row>
    <row r="789" spans="1:5" x14ac:dyDescent="0.2">
      <c r="A789" s="335">
        <v>1001290283</v>
      </c>
      <c r="B789" s="336" t="s">
        <v>1676</v>
      </c>
      <c r="C789" s="336" t="s">
        <v>863</v>
      </c>
      <c r="D789" s="336" t="s">
        <v>806</v>
      </c>
      <c r="E789" s="336" t="s">
        <v>807</v>
      </c>
    </row>
    <row r="790" spans="1:5" x14ac:dyDescent="0.2">
      <c r="A790" s="335">
        <v>1001290284</v>
      </c>
      <c r="B790" s="336" t="s">
        <v>1677</v>
      </c>
      <c r="C790" s="336" t="s">
        <v>863</v>
      </c>
      <c r="D790" s="336" t="s">
        <v>806</v>
      </c>
      <c r="E790" s="336" t="s">
        <v>807</v>
      </c>
    </row>
    <row r="791" spans="1:5" x14ac:dyDescent="0.2">
      <c r="A791" s="335">
        <v>1001290289</v>
      </c>
      <c r="B791" s="336" t="s">
        <v>1678</v>
      </c>
      <c r="C791" s="336" t="s">
        <v>813</v>
      </c>
      <c r="D791" s="336" t="s">
        <v>806</v>
      </c>
      <c r="E791" s="336" t="s">
        <v>807</v>
      </c>
    </row>
    <row r="792" spans="1:5" x14ac:dyDescent="0.2">
      <c r="A792" s="335">
        <v>1001290358</v>
      </c>
      <c r="B792" s="336" t="s">
        <v>1679</v>
      </c>
      <c r="C792" s="336" t="s">
        <v>797</v>
      </c>
      <c r="D792" s="336" t="s">
        <v>806</v>
      </c>
      <c r="E792" s="336" t="s">
        <v>807</v>
      </c>
    </row>
    <row r="793" spans="1:5" x14ac:dyDescent="0.2">
      <c r="A793" s="335">
        <v>1001290359</v>
      </c>
      <c r="B793" s="336" t="s">
        <v>1680</v>
      </c>
      <c r="C793" s="336" t="s">
        <v>797</v>
      </c>
      <c r="D793" s="336" t="s">
        <v>806</v>
      </c>
      <c r="E793" s="336" t="s">
        <v>807</v>
      </c>
    </row>
    <row r="794" spans="1:5" x14ac:dyDescent="0.2">
      <c r="A794" s="335">
        <v>1001290374</v>
      </c>
      <c r="B794" s="336" t="s">
        <v>1681</v>
      </c>
      <c r="C794" s="336" t="s">
        <v>813</v>
      </c>
      <c r="D794" s="336" t="s">
        <v>806</v>
      </c>
      <c r="E794" s="336" t="s">
        <v>807</v>
      </c>
    </row>
    <row r="795" spans="1:5" x14ac:dyDescent="0.2">
      <c r="A795" s="335">
        <v>1001290421</v>
      </c>
      <c r="B795" s="336" t="s">
        <v>1682</v>
      </c>
      <c r="C795" s="336" t="s">
        <v>1097</v>
      </c>
      <c r="D795" s="336" t="s">
        <v>806</v>
      </c>
      <c r="E795" s="336" t="s">
        <v>807</v>
      </c>
    </row>
    <row r="796" spans="1:5" x14ac:dyDescent="0.2">
      <c r="A796" s="335">
        <v>1001290422</v>
      </c>
      <c r="B796" s="336" t="s">
        <v>1565</v>
      </c>
      <c r="C796" s="336" t="s">
        <v>1097</v>
      </c>
      <c r="D796" s="336" t="s">
        <v>806</v>
      </c>
      <c r="E796" s="336" t="s">
        <v>807</v>
      </c>
    </row>
    <row r="797" spans="1:5" x14ac:dyDescent="0.2">
      <c r="A797" s="335">
        <v>1001290472</v>
      </c>
      <c r="B797" s="336" t="s">
        <v>1683</v>
      </c>
      <c r="C797" s="336" t="s">
        <v>813</v>
      </c>
      <c r="D797" s="336" t="s">
        <v>806</v>
      </c>
      <c r="E797" s="336" t="s">
        <v>807</v>
      </c>
    </row>
    <row r="798" spans="1:5" x14ac:dyDescent="0.2">
      <c r="A798" s="335">
        <v>1001290497</v>
      </c>
      <c r="B798" s="336" t="s">
        <v>1684</v>
      </c>
      <c r="C798" s="336" t="s">
        <v>813</v>
      </c>
      <c r="D798" s="336" t="s">
        <v>806</v>
      </c>
      <c r="E798" s="336" t="s">
        <v>807</v>
      </c>
    </row>
    <row r="799" spans="1:5" x14ac:dyDescent="0.2">
      <c r="A799" s="335">
        <v>1001290535</v>
      </c>
      <c r="B799" s="336" t="s">
        <v>1685</v>
      </c>
      <c r="C799" s="336" t="s">
        <v>863</v>
      </c>
      <c r="D799" s="336" t="s">
        <v>806</v>
      </c>
      <c r="E799" s="336" t="s">
        <v>807</v>
      </c>
    </row>
    <row r="800" spans="1:5" x14ac:dyDescent="0.2">
      <c r="A800" s="335">
        <v>1001290558</v>
      </c>
      <c r="B800" s="336" t="s">
        <v>1686</v>
      </c>
      <c r="C800" s="336" t="s">
        <v>1097</v>
      </c>
      <c r="D800" s="336" t="s">
        <v>806</v>
      </c>
      <c r="E800" s="336" t="s">
        <v>807</v>
      </c>
    </row>
    <row r="801" spans="1:5" x14ac:dyDescent="0.2">
      <c r="A801" s="335">
        <v>1001290645</v>
      </c>
      <c r="B801" s="336" t="s">
        <v>1687</v>
      </c>
      <c r="C801" s="336" t="s">
        <v>813</v>
      </c>
      <c r="D801" s="336" t="s">
        <v>806</v>
      </c>
      <c r="E801" s="336" t="s">
        <v>807</v>
      </c>
    </row>
    <row r="802" spans="1:5" x14ac:dyDescent="0.2">
      <c r="A802" s="335">
        <v>1001290658</v>
      </c>
      <c r="B802" s="336" t="s">
        <v>1688</v>
      </c>
      <c r="C802" s="336" t="s">
        <v>863</v>
      </c>
      <c r="D802" s="336" t="s">
        <v>806</v>
      </c>
      <c r="E802" s="336" t="s">
        <v>807</v>
      </c>
    </row>
    <row r="803" spans="1:5" x14ac:dyDescent="0.2">
      <c r="A803" s="335">
        <v>1001290672</v>
      </c>
      <c r="B803" s="336" t="s">
        <v>1689</v>
      </c>
      <c r="C803" s="336" t="s">
        <v>813</v>
      </c>
      <c r="D803" s="336" t="s">
        <v>806</v>
      </c>
      <c r="E803" s="336" t="s">
        <v>807</v>
      </c>
    </row>
    <row r="804" spans="1:5" x14ac:dyDescent="0.2">
      <c r="A804" s="335">
        <v>1001290678</v>
      </c>
      <c r="B804" s="336" t="s">
        <v>1690</v>
      </c>
      <c r="C804" s="336" t="s">
        <v>813</v>
      </c>
      <c r="D804" s="336" t="s">
        <v>806</v>
      </c>
      <c r="E804" s="336" t="s">
        <v>807</v>
      </c>
    </row>
    <row r="805" spans="1:5" x14ac:dyDescent="0.2">
      <c r="A805" s="335">
        <v>1001290693</v>
      </c>
      <c r="B805" s="336" t="s">
        <v>1108</v>
      </c>
      <c r="C805" s="336" t="s">
        <v>797</v>
      </c>
      <c r="D805" s="336" t="s">
        <v>806</v>
      </c>
      <c r="E805" s="336" t="s">
        <v>807</v>
      </c>
    </row>
    <row r="806" spans="1:5" x14ac:dyDescent="0.2">
      <c r="A806" s="335">
        <v>1001290732</v>
      </c>
      <c r="B806" s="336" t="s">
        <v>1691</v>
      </c>
      <c r="C806" s="336" t="s">
        <v>797</v>
      </c>
      <c r="D806" s="336" t="s">
        <v>806</v>
      </c>
      <c r="E806" s="336" t="s">
        <v>807</v>
      </c>
    </row>
    <row r="807" spans="1:5" x14ac:dyDescent="0.2">
      <c r="A807" s="335">
        <v>1001290734</v>
      </c>
      <c r="B807" s="336" t="s">
        <v>1692</v>
      </c>
      <c r="C807" s="336" t="s">
        <v>797</v>
      </c>
      <c r="D807" s="336" t="s">
        <v>806</v>
      </c>
      <c r="E807" s="336" t="s">
        <v>807</v>
      </c>
    </row>
    <row r="808" spans="1:5" x14ac:dyDescent="0.2">
      <c r="A808" s="335">
        <v>1001290813</v>
      </c>
      <c r="B808" s="336" t="s">
        <v>1693</v>
      </c>
      <c r="C808" s="336" t="s">
        <v>1097</v>
      </c>
      <c r="D808" s="336" t="s">
        <v>806</v>
      </c>
      <c r="E808" s="336" t="s">
        <v>807</v>
      </c>
    </row>
    <row r="809" spans="1:5" x14ac:dyDescent="0.2">
      <c r="A809" s="335">
        <v>1001295238</v>
      </c>
      <c r="B809" s="336" t="s">
        <v>1694</v>
      </c>
      <c r="C809" s="336" t="s">
        <v>797</v>
      </c>
      <c r="D809" s="336" t="s">
        <v>806</v>
      </c>
      <c r="E809" s="336" t="s">
        <v>807</v>
      </c>
    </row>
    <row r="810" spans="1:5" x14ac:dyDescent="0.2">
      <c r="A810" s="335">
        <v>1001300375</v>
      </c>
      <c r="B810" s="336" t="s">
        <v>1695</v>
      </c>
      <c r="C810" s="336" t="s">
        <v>813</v>
      </c>
      <c r="D810" s="336" t="s">
        <v>806</v>
      </c>
      <c r="E810" s="336" t="s">
        <v>807</v>
      </c>
    </row>
    <row r="811" spans="1:5" x14ac:dyDescent="0.2">
      <c r="A811" s="335">
        <v>1001302041</v>
      </c>
      <c r="B811" s="336" t="s">
        <v>1696</v>
      </c>
      <c r="C811" s="336" t="s">
        <v>1097</v>
      </c>
      <c r="D811" s="336" t="s">
        <v>806</v>
      </c>
      <c r="E811" s="336" t="s">
        <v>807</v>
      </c>
    </row>
    <row r="812" spans="1:5" x14ac:dyDescent="0.2">
      <c r="A812" s="335">
        <v>1001302051</v>
      </c>
      <c r="B812" s="336" t="s">
        <v>1697</v>
      </c>
      <c r="C812" s="336" t="s">
        <v>813</v>
      </c>
      <c r="D812" s="336" t="s">
        <v>806</v>
      </c>
      <c r="E812" s="336" t="s">
        <v>807</v>
      </c>
    </row>
    <row r="813" spans="1:5" x14ac:dyDescent="0.2">
      <c r="A813" s="335">
        <v>1001302133</v>
      </c>
      <c r="B813" s="336" t="s">
        <v>1698</v>
      </c>
      <c r="C813" s="336" t="s">
        <v>813</v>
      </c>
      <c r="D813" s="336" t="s">
        <v>806</v>
      </c>
      <c r="E813" s="336" t="s">
        <v>807</v>
      </c>
    </row>
    <row r="814" spans="1:5" x14ac:dyDescent="0.2">
      <c r="A814" s="335">
        <v>1001302177</v>
      </c>
      <c r="B814" s="336" t="s">
        <v>1699</v>
      </c>
      <c r="C814" s="336" t="s">
        <v>1097</v>
      </c>
      <c r="D814" s="336" t="s">
        <v>806</v>
      </c>
      <c r="E814" s="336" t="s">
        <v>807</v>
      </c>
    </row>
    <row r="815" spans="1:5" x14ac:dyDescent="0.2">
      <c r="A815" s="335">
        <v>1001302189</v>
      </c>
      <c r="B815" s="336" t="s">
        <v>1700</v>
      </c>
      <c r="C815" s="336" t="s">
        <v>800</v>
      </c>
      <c r="D815" s="336" t="s">
        <v>806</v>
      </c>
      <c r="E815" s="336" t="s">
        <v>807</v>
      </c>
    </row>
    <row r="816" spans="1:5" x14ac:dyDescent="0.2">
      <c r="A816" s="335">
        <v>1001302273</v>
      </c>
      <c r="B816" s="336" t="s">
        <v>1701</v>
      </c>
      <c r="C816" s="336" t="s">
        <v>1097</v>
      </c>
      <c r="D816" s="336" t="s">
        <v>806</v>
      </c>
      <c r="E816" s="336" t="s">
        <v>807</v>
      </c>
    </row>
    <row r="817" spans="1:5" x14ac:dyDescent="0.2">
      <c r="A817" s="335">
        <v>1001302277</v>
      </c>
      <c r="B817" s="336" t="s">
        <v>1702</v>
      </c>
      <c r="C817" s="336" t="s">
        <v>863</v>
      </c>
      <c r="D817" s="336" t="s">
        <v>806</v>
      </c>
      <c r="E817" s="336" t="s">
        <v>807</v>
      </c>
    </row>
    <row r="818" spans="1:5" x14ac:dyDescent="0.2">
      <c r="A818" s="335">
        <v>1001302308</v>
      </c>
      <c r="B818" s="336" t="s">
        <v>1703</v>
      </c>
      <c r="C818" s="336" t="s">
        <v>813</v>
      </c>
      <c r="D818" s="336" t="s">
        <v>806</v>
      </c>
      <c r="E818" s="336" t="s">
        <v>807</v>
      </c>
    </row>
    <row r="819" spans="1:5" x14ac:dyDescent="0.2">
      <c r="A819" s="335">
        <v>1001302318</v>
      </c>
      <c r="B819" s="336" t="s">
        <v>1704</v>
      </c>
      <c r="C819" s="336" t="s">
        <v>813</v>
      </c>
      <c r="D819" s="336" t="s">
        <v>806</v>
      </c>
      <c r="E819" s="336" t="s">
        <v>807</v>
      </c>
    </row>
    <row r="820" spans="1:5" x14ac:dyDescent="0.2">
      <c r="A820" s="335">
        <v>1001302338</v>
      </c>
      <c r="B820" s="336" t="s">
        <v>1705</v>
      </c>
      <c r="C820" s="336" t="s">
        <v>797</v>
      </c>
      <c r="D820" s="336" t="s">
        <v>806</v>
      </c>
      <c r="E820" s="336" t="s">
        <v>807</v>
      </c>
    </row>
    <row r="821" spans="1:5" x14ac:dyDescent="0.2">
      <c r="A821" s="335">
        <v>1001302357</v>
      </c>
      <c r="B821" s="336" t="s">
        <v>1706</v>
      </c>
      <c r="C821" s="336" t="s">
        <v>813</v>
      </c>
      <c r="D821" s="336" t="s">
        <v>806</v>
      </c>
      <c r="E821" s="336" t="s">
        <v>807</v>
      </c>
    </row>
    <row r="822" spans="1:5" x14ac:dyDescent="0.2">
      <c r="A822" s="335">
        <v>1001302365</v>
      </c>
      <c r="B822" s="336" t="s">
        <v>1707</v>
      </c>
      <c r="C822" s="336" t="s">
        <v>813</v>
      </c>
      <c r="D822" s="336" t="s">
        <v>806</v>
      </c>
      <c r="E822" s="336" t="s">
        <v>807</v>
      </c>
    </row>
    <row r="823" spans="1:5" x14ac:dyDescent="0.2">
      <c r="A823" s="335">
        <v>1001302367</v>
      </c>
      <c r="B823" s="336" t="s">
        <v>1708</v>
      </c>
      <c r="C823" s="336" t="s">
        <v>863</v>
      </c>
      <c r="D823" s="336" t="s">
        <v>806</v>
      </c>
      <c r="E823" s="336" t="s">
        <v>807</v>
      </c>
    </row>
    <row r="824" spans="1:5" x14ac:dyDescent="0.2">
      <c r="A824" s="335">
        <v>1001302370</v>
      </c>
      <c r="B824" s="336" t="s">
        <v>1709</v>
      </c>
      <c r="C824" s="336" t="s">
        <v>863</v>
      </c>
      <c r="D824" s="336" t="s">
        <v>806</v>
      </c>
      <c r="E824" s="336" t="s">
        <v>807</v>
      </c>
    </row>
    <row r="825" spans="1:5" x14ac:dyDescent="0.2">
      <c r="A825" s="335">
        <v>1001302376</v>
      </c>
      <c r="B825" s="336" t="s">
        <v>1710</v>
      </c>
      <c r="C825" s="336" t="s">
        <v>813</v>
      </c>
      <c r="D825" s="336" t="s">
        <v>806</v>
      </c>
      <c r="E825" s="336" t="s">
        <v>807</v>
      </c>
    </row>
    <row r="826" spans="1:5" x14ac:dyDescent="0.2">
      <c r="A826" s="335">
        <v>1001302381</v>
      </c>
      <c r="B826" s="336" t="s">
        <v>1711</v>
      </c>
      <c r="C826" s="336" t="s">
        <v>863</v>
      </c>
      <c r="D826" s="336" t="s">
        <v>806</v>
      </c>
      <c r="E826" s="336" t="s">
        <v>807</v>
      </c>
    </row>
    <row r="827" spans="1:5" x14ac:dyDescent="0.2">
      <c r="A827" s="335">
        <v>1001302465</v>
      </c>
      <c r="B827" s="336" t="s">
        <v>1712</v>
      </c>
      <c r="C827" s="336" t="s">
        <v>1097</v>
      </c>
      <c r="D827" s="336" t="s">
        <v>806</v>
      </c>
      <c r="E827" s="336" t="s">
        <v>807</v>
      </c>
    </row>
    <row r="828" spans="1:5" x14ac:dyDescent="0.2">
      <c r="A828" s="335">
        <v>1001302593</v>
      </c>
      <c r="B828" s="336" t="s">
        <v>1713</v>
      </c>
      <c r="C828" s="336" t="s">
        <v>813</v>
      </c>
      <c r="D828" s="336" t="s">
        <v>806</v>
      </c>
      <c r="E828" s="336" t="s">
        <v>807</v>
      </c>
    </row>
    <row r="829" spans="1:5" x14ac:dyDescent="0.2">
      <c r="A829" s="335">
        <v>1001302595</v>
      </c>
      <c r="B829" s="336" t="s">
        <v>1714</v>
      </c>
      <c r="C829" s="336" t="s">
        <v>813</v>
      </c>
      <c r="D829" s="336" t="s">
        <v>806</v>
      </c>
      <c r="E829" s="336" t="s">
        <v>807</v>
      </c>
    </row>
    <row r="830" spans="1:5" x14ac:dyDescent="0.2">
      <c r="A830" s="335">
        <v>1001311534</v>
      </c>
      <c r="B830" s="336" t="s">
        <v>1573</v>
      </c>
      <c r="C830" s="336" t="s">
        <v>813</v>
      </c>
      <c r="D830" s="336" t="s">
        <v>806</v>
      </c>
      <c r="E830" s="336" t="s">
        <v>807</v>
      </c>
    </row>
    <row r="831" spans="1:5" x14ac:dyDescent="0.2">
      <c r="A831" s="335">
        <v>1001311739</v>
      </c>
      <c r="B831" s="336" t="s">
        <v>1715</v>
      </c>
      <c r="C831" s="336" t="s">
        <v>813</v>
      </c>
      <c r="D831" s="336" t="s">
        <v>806</v>
      </c>
      <c r="E831" s="336" t="s">
        <v>807</v>
      </c>
    </row>
    <row r="832" spans="1:5" x14ac:dyDescent="0.2">
      <c r="A832" s="335">
        <v>1001311948</v>
      </c>
      <c r="B832" s="336" t="s">
        <v>1716</v>
      </c>
      <c r="C832" s="336" t="s">
        <v>1097</v>
      </c>
      <c r="D832" s="336" t="s">
        <v>806</v>
      </c>
      <c r="E832" s="336" t="s">
        <v>807</v>
      </c>
    </row>
    <row r="833" spans="1:5" x14ac:dyDescent="0.2">
      <c r="A833" s="335">
        <v>1001311965</v>
      </c>
      <c r="B833" s="336" t="s">
        <v>1717</v>
      </c>
      <c r="C833" s="336" t="s">
        <v>1097</v>
      </c>
      <c r="D833" s="336" t="s">
        <v>806</v>
      </c>
      <c r="E833" s="336" t="s">
        <v>807</v>
      </c>
    </row>
    <row r="834" spans="1:5" x14ac:dyDescent="0.2">
      <c r="A834" s="335">
        <v>1001311966</v>
      </c>
      <c r="B834" s="336" t="s">
        <v>1718</v>
      </c>
      <c r="C834" s="336" t="s">
        <v>1097</v>
      </c>
      <c r="D834" s="336" t="s">
        <v>806</v>
      </c>
      <c r="E834" s="336" t="s">
        <v>807</v>
      </c>
    </row>
    <row r="835" spans="1:5" x14ac:dyDescent="0.2">
      <c r="A835" s="335">
        <v>1001312053</v>
      </c>
      <c r="B835" s="336" t="s">
        <v>1719</v>
      </c>
      <c r="C835" s="336" t="s">
        <v>813</v>
      </c>
      <c r="D835" s="336" t="s">
        <v>806</v>
      </c>
      <c r="E835" s="336" t="s">
        <v>807</v>
      </c>
    </row>
    <row r="836" spans="1:5" x14ac:dyDescent="0.2">
      <c r="A836" s="335">
        <v>1001312112</v>
      </c>
      <c r="B836" s="336" t="s">
        <v>1720</v>
      </c>
      <c r="C836" s="336" t="s">
        <v>813</v>
      </c>
      <c r="D836" s="336" t="s">
        <v>806</v>
      </c>
      <c r="E836" s="336" t="s">
        <v>807</v>
      </c>
    </row>
    <row r="837" spans="1:5" x14ac:dyDescent="0.2">
      <c r="A837" s="335">
        <v>1001312116</v>
      </c>
      <c r="B837" s="336" t="s">
        <v>1721</v>
      </c>
      <c r="C837" s="336" t="s">
        <v>813</v>
      </c>
      <c r="D837" s="336" t="s">
        <v>806</v>
      </c>
      <c r="E837" s="336" t="s">
        <v>807</v>
      </c>
    </row>
    <row r="838" spans="1:5" x14ac:dyDescent="0.2">
      <c r="A838" s="335">
        <v>1001312154</v>
      </c>
      <c r="B838" s="336" t="s">
        <v>1722</v>
      </c>
      <c r="C838" s="336" t="s">
        <v>863</v>
      </c>
      <c r="D838" s="336" t="s">
        <v>806</v>
      </c>
      <c r="E838" s="336" t="s">
        <v>807</v>
      </c>
    </row>
    <row r="839" spans="1:5" x14ac:dyDescent="0.2">
      <c r="A839" s="335">
        <v>1001312182</v>
      </c>
      <c r="B839" s="336" t="s">
        <v>1723</v>
      </c>
      <c r="C839" s="336" t="s">
        <v>813</v>
      </c>
      <c r="D839" s="336" t="s">
        <v>806</v>
      </c>
      <c r="E839" s="336" t="s">
        <v>807</v>
      </c>
    </row>
    <row r="840" spans="1:5" x14ac:dyDescent="0.2">
      <c r="A840" s="335">
        <v>1001312184</v>
      </c>
      <c r="B840" s="336" t="s">
        <v>1724</v>
      </c>
      <c r="C840" s="336" t="s">
        <v>1097</v>
      </c>
      <c r="D840" s="336" t="s">
        <v>806</v>
      </c>
      <c r="E840" s="336" t="s">
        <v>807</v>
      </c>
    </row>
    <row r="841" spans="1:5" x14ac:dyDescent="0.2">
      <c r="A841" s="335">
        <v>1001312265</v>
      </c>
      <c r="B841" s="336" t="s">
        <v>1725</v>
      </c>
      <c r="C841" s="336" t="s">
        <v>863</v>
      </c>
      <c r="D841" s="336" t="s">
        <v>806</v>
      </c>
      <c r="E841" s="336" t="s">
        <v>807</v>
      </c>
    </row>
    <row r="842" spans="1:5" x14ac:dyDescent="0.2">
      <c r="A842" s="335">
        <v>1001312266</v>
      </c>
      <c r="B842" s="336" t="s">
        <v>1726</v>
      </c>
      <c r="C842" s="336" t="s">
        <v>813</v>
      </c>
      <c r="D842" s="336" t="s">
        <v>806</v>
      </c>
      <c r="E842" s="336" t="s">
        <v>807</v>
      </c>
    </row>
    <row r="843" spans="1:5" x14ac:dyDescent="0.2">
      <c r="A843" s="335">
        <v>1001312303</v>
      </c>
      <c r="B843" s="336" t="s">
        <v>1727</v>
      </c>
      <c r="C843" s="336" t="s">
        <v>813</v>
      </c>
      <c r="D843" s="336" t="s">
        <v>806</v>
      </c>
      <c r="E843" s="336" t="s">
        <v>807</v>
      </c>
    </row>
    <row r="844" spans="1:5" x14ac:dyDescent="0.2">
      <c r="A844" s="335">
        <v>1001312911</v>
      </c>
      <c r="B844" s="336" t="s">
        <v>1728</v>
      </c>
      <c r="C844" s="336" t="s">
        <v>813</v>
      </c>
      <c r="D844" s="336" t="s">
        <v>806</v>
      </c>
      <c r="E844" s="336" t="s">
        <v>807</v>
      </c>
    </row>
    <row r="845" spans="1:5" x14ac:dyDescent="0.2">
      <c r="A845" s="335">
        <v>1001312912</v>
      </c>
      <c r="B845" s="336" t="s">
        <v>1729</v>
      </c>
      <c r="C845" s="336" t="s">
        <v>863</v>
      </c>
      <c r="D845" s="336" t="s">
        <v>806</v>
      </c>
      <c r="E845" s="336" t="s">
        <v>807</v>
      </c>
    </row>
    <row r="846" spans="1:5" x14ac:dyDescent="0.2">
      <c r="A846" s="335">
        <v>1001312913</v>
      </c>
      <c r="B846" s="336" t="s">
        <v>1730</v>
      </c>
      <c r="C846" s="336" t="s">
        <v>813</v>
      </c>
      <c r="D846" s="336" t="s">
        <v>806</v>
      </c>
      <c r="E846" s="336" t="s">
        <v>807</v>
      </c>
    </row>
    <row r="847" spans="1:5" x14ac:dyDescent="0.2">
      <c r="A847" s="335">
        <v>1001312949</v>
      </c>
      <c r="B847" s="336" t="s">
        <v>1731</v>
      </c>
      <c r="C847" s="336" t="s">
        <v>813</v>
      </c>
      <c r="D847" s="336" t="s">
        <v>806</v>
      </c>
      <c r="E847" s="336" t="s">
        <v>807</v>
      </c>
    </row>
    <row r="848" spans="1:5" x14ac:dyDescent="0.2">
      <c r="A848" s="335">
        <v>1001319794</v>
      </c>
      <c r="B848" s="336" t="s">
        <v>1732</v>
      </c>
      <c r="C848" s="336" t="s">
        <v>813</v>
      </c>
      <c r="D848" s="336" t="s">
        <v>806</v>
      </c>
      <c r="E848" s="336" t="s">
        <v>807</v>
      </c>
    </row>
    <row r="849" spans="1:5" x14ac:dyDescent="0.2">
      <c r="A849" s="335">
        <v>1001319795</v>
      </c>
      <c r="B849" s="336" t="s">
        <v>383</v>
      </c>
      <c r="C849" s="336" t="s">
        <v>863</v>
      </c>
      <c r="D849" s="336" t="s">
        <v>806</v>
      </c>
      <c r="E849" s="336" t="s">
        <v>807</v>
      </c>
    </row>
    <row r="850" spans="1:5" x14ac:dyDescent="0.2">
      <c r="A850" s="335">
        <v>1001320271</v>
      </c>
      <c r="B850" s="336" t="s">
        <v>1733</v>
      </c>
      <c r="C850" s="336" t="s">
        <v>813</v>
      </c>
      <c r="D850" s="336" t="s">
        <v>806</v>
      </c>
      <c r="E850" s="336" t="s">
        <v>807</v>
      </c>
    </row>
    <row r="851" spans="1:5" x14ac:dyDescent="0.2">
      <c r="A851" s="335">
        <v>1001334723</v>
      </c>
      <c r="B851" s="336" t="s">
        <v>1729</v>
      </c>
      <c r="C851" s="336" t="s">
        <v>813</v>
      </c>
      <c r="D851" s="336" t="s">
        <v>806</v>
      </c>
      <c r="E851" s="336" t="s">
        <v>807</v>
      </c>
    </row>
    <row r="852" spans="1:5" x14ac:dyDescent="0.2">
      <c r="A852" s="335">
        <v>1001311756</v>
      </c>
      <c r="B852" s="336" t="s">
        <v>1734</v>
      </c>
      <c r="C852" s="336" t="s">
        <v>800</v>
      </c>
      <c r="D852" s="336" t="s">
        <v>1735</v>
      </c>
      <c r="E852" s="336" t="s">
        <v>1736</v>
      </c>
    </row>
    <row r="853" spans="1:5" x14ac:dyDescent="0.2">
      <c r="A853" s="335">
        <v>1001262089</v>
      </c>
      <c r="B853" s="336" t="s">
        <v>1737</v>
      </c>
      <c r="C853" s="336" t="s">
        <v>800</v>
      </c>
      <c r="D853" s="336" t="s">
        <v>819</v>
      </c>
      <c r="E853" s="336" t="s">
        <v>820</v>
      </c>
    </row>
    <row r="854" spans="1:5" x14ac:dyDescent="0.2">
      <c r="A854" s="335">
        <v>1001262100</v>
      </c>
      <c r="B854" s="336" t="s">
        <v>1738</v>
      </c>
      <c r="C854" s="336" t="s">
        <v>800</v>
      </c>
      <c r="D854" s="336" t="s">
        <v>819</v>
      </c>
      <c r="E854" s="336" t="s">
        <v>820</v>
      </c>
    </row>
    <row r="855" spans="1:5" x14ac:dyDescent="0.2">
      <c r="A855" s="335">
        <v>1001262285</v>
      </c>
      <c r="B855" s="336" t="s">
        <v>1078</v>
      </c>
      <c r="C855" s="336" t="s">
        <v>800</v>
      </c>
      <c r="D855" s="336" t="s">
        <v>819</v>
      </c>
      <c r="E855" s="336" t="s">
        <v>820</v>
      </c>
    </row>
    <row r="856" spans="1:5" x14ac:dyDescent="0.2">
      <c r="A856" s="335">
        <v>1001262291</v>
      </c>
      <c r="B856" s="336" t="s">
        <v>1079</v>
      </c>
      <c r="C856" s="336" t="s">
        <v>800</v>
      </c>
      <c r="D856" s="336" t="s">
        <v>819</v>
      </c>
      <c r="E856" s="336" t="s">
        <v>820</v>
      </c>
    </row>
    <row r="857" spans="1:5" x14ac:dyDescent="0.2">
      <c r="A857" s="335">
        <v>1001262295</v>
      </c>
      <c r="B857" s="336" t="s">
        <v>1739</v>
      </c>
      <c r="C857" s="336" t="s">
        <v>800</v>
      </c>
      <c r="D857" s="336" t="s">
        <v>819</v>
      </c>
      <c r="E857" s="336" t="s">
        <v>820</v>
      </c>
    </row>
    <row r="858" spans="1:5" x14ac:dyDescent="0.2">
      <c r="A858" s="335">
        <v>1001262820</v>
      </c>
      <c r="B858" s="336" t="s">
        <v>1740</v>
      </c>
      <c r="C858" s="336" t="s">
        <v>800</v>
      </c>
      <c r="D858" s="336" t="s">
        <v>819</v>
      </c>
      <c r="E858" s="336" t="s">
        <v>820</v>
      </c>
    </row>
    <row r="859" spans="1:5" x14ac:dyDescent="0.2">
      <c r="A859" s="335">
        <v>1001262828</v>
      </c>
      <c r="B859" s="336" t="s">
        <v>974</v>
      </c>
      <c r="C859" s="336" t="s">
        <v>800</v>
      </c>
      <c r="D859" s="336" t="s">
        <v>819</v>
      </c>
      <c r="E859" s="336" t="s">
        <v>820</v>
      </c>
    </row>
    <row r="860" spans="1:5" x14ac:dyDescent="0.2">
      <c r="A860" s="335">
        <v>1001264877</v>
      </c>
      <c r="B860" s="336" t="s">
        <v>934</v>
      </c>
      <c r="C860" s="336" t="s">
        <v>800</v>
      </c>
      <c r="D860" s="336" t="s">
        <v>819</v>
      </c>
      <c r="E860" s="336" t="s">
        <v>820</v>
      </c>
    </row>
    <row r="861" spans="1:5" x14ac:dyDescent="0.2">
      <c r="A861" s="335">
        <v>1001265444</v>
      </c>
      <c r="B861" s="336" t="s">
        <v>1092</v>
      </c>
      <c r="C861" s="336" t="s">
        <v>800</v>
      </c>
      <c r="D861" s="336" t="s">
        <v>819</v>
      </c>
      <c r="E861" s="336" t="s">
        <v>820</v>
      </c>
    </row>
    <row r="862" spans="1:5" x14ac:dyDescent="0.2">
      <c r="A862" s="335">
        <v>1001265550</v>
      </c>
      <c r="B862" s="336" t="s">
        <v>821</v>
      </c>
      <c r="C862" s="336" t="s">
        <v>800</v>
      </c>
      <c r="D862" s="336" t="s">
        <v>819</v>
      </c>
      <c r="E862" s="336" t="s">
        <v>820</v>
      </c>
    </row>
    <row r="863" spans="1:5" x14ac:dyDescent="0.2">
      <c r="A863" s="335">
        <v>1001265555</v>
      </c>
      <c r="B863" s="336" t="s">
        <v>1007</v>
      </c>
      <c r="C863" s="336" t="s">
        <v>800</v>
      </c>
      <c r="D863" s="336" t="s">
        <v>819</v>
      </c>
      <c r="E863" s="336" t="s">
        <v>820</v>
      </c>
    </row>
    <row r="864" spans="1:5" x14ac:dyDescent="0.2">
      <c r="A864" s="335">
        <v>1001266717</v>
      </c>
      <c r="B864" s="336" t="s">
        <v>1093</v>
      </c>
      <c r="C864" s="336" t="s">
        <v>800</v>
      </c>
      <c r="D864" s="336" t="s">
        <v>819</v>
      </c>
      <c r="E864" s="336" t="s">
        <v>820</v>
      </c>
    </row>
    <row r="865" spans="1:5" x14ac:dyDescent="0.2">
      <c r="A865" s="335">
        <v>1001266780</v>
      </c>
      <c r="B865" s="336" t="s">
        <v>1741</v>
      </c>
      <c r="C865" s="336" t="s">
        <v>800</v>
      </c>
      <c r="D865" s="336" t="s">
        <v>819</v>
      </c>
      <c r="E865" s="336" t="s">
        <v>820</v>
      </c>
    </row>
    <row r="866" spans="1:5" x14ac:dyDescent="0.2">
      <c r="A866" s="335">
        <v>1001266836</v>
      </c>
      <c r="B866" s="336" t="s">
        <v>1742</v>
      </c>
      <c r="C866" s="336" t="s">
        <v>800</v>
      </c>
      <c r="D866" s="336" t="s">
        <v>819</v>
      </c>
      <c r="E866" s="336" t="s">
        <v>820</v>
      </c>
    </row>
    <row r="867" spans="1:5" x14ac:dyDescent="0.2">
      <c r="A867" s="335">
        <v>1001266944</v>
      </c>
      <c r="B867" s="336" t="s">
        <v>1743</v>
      </c>
      <c r="C867" s="336" t="s">
        <v>863</v>
      </c>
      <c r="D867" s="336" t="s">
        <v>819</v>
      </c>
      <c r="E867" s="336" t="s">
        <v>820</v>
      </c>
    </row>
    <row r="868" spans="1:5" x14ac:dyDescent="0.2">
      <c r="A868" s="335">
        <v>1001266996</v>
      </c>
      <c r="B868" s="336" t="s">
        <v>1744</v>
      </c>
      <c r="C868" s="336" t="s">
        <v>863</v>
      </c>
      <c r="D868" s="336" t="s">
        <v>819</v>
      </c>
      <c r="E868" s="336" t="s">
        <v>820</v>
      </c>
    </row>
    <row r="869" spans="1:5" x14ac:dyDescent="0.2">
      <c r="A869" s="335">
        <v>1001267013</v>
      </c>
      <c r="B869" s="336" t="s">
        <v>1745</v>
      </c>
      <c r="C869" s="336" t="s">
        <v>863</v>
      </c>
      <c r="D869" s="336" t="s">
        <v>819</v>
      </c>
      <c r="E869" s="336" t="s">
        <v>820</v>
      </c>
    </row>
    <row r="870" spans="1:5" x14ac:dyDescent="0.2">
      <c r="A870" s="335">
        <v>1001267389</v>
      </c>
      <c r="B870" s="336" t="s">
        <v>941</v>
      </c>
      <c r="C870" s="336" t="s">
        <v>800</v>
      </c>
      <c r="D870" s="336" t="s">
        <v>819</v>
      </c>
      <c r="E870" s="336" t="s">
        <v>820</v>
      </c>
    </row>
    <row r="871" spans="1:5" x14ac:dyDescent="0.2">
      <c r="A871" s="335">
        <v>1001267631</v>
      </c>
      <c r="B871" s="336" t="s">
        <v>1746</v>
      </c>
      <c r="C871" s="336" t="s">
        <v>863</v>
      </c>
      <c r="D871" s="336" t="s">
        <v>819</v>
      </c>
      <c r="E871" s="336" t="s">
        <v>820</v>
      </c>
    </row>
    <row r="872" spans="1:5" x14ac:dyDescent="0.2">
      <c r="A872" s="335">
        <v>1001268157</v>
      </c>
      <c r="B872" s="336" t="s">
        <v>1747</v>
      </c>
      <c r="C872" s="336" t="s">
        <v>800</v>
      </c>
      <c r="D872" s="336" t="s">
        <v>819</v>
      </c>
      <c r="E872" s="336" t="s">
        <v>820</v>
      </c>
    </row>
    <row r="873" spans="1:5" x14ac:dyDescent="0.2">
      <c r="A873" s="335">
        <v>1001268275</v>
      </c>
      <c r="B873" s="336" t="s">
        <v>1748</v>
      </c>
      <c r="C873" s="336" t="s">
        <v>800</v>
      </c>
      <c r="D873" s="336" t="s">
        <v>819</v>
      </c>
      <c r="E873" s="336" t="s">
        <v>820</v>
      </c>
    </row>
    <row r="874" spans="1:5" x14ac:dyDescent="0.2">
      <c r="A874" s="335">
        <v>1001268276</v>
      </c>
      <c r="B874" s="336" t="s">
        <v>1749</v>
      </c>
      <c r="C874" s="336" t="s">
        <v>863</v>
      </c>
      <c r="D874" s="336" t="s">
        <v>819</v>
      </c>
      <c r="E874" s="336" t="s">
        <v>820</v>
      </c>
    </row>
    <row r="875" spans="1:5" x14ac:dyDescent="0.2">
      <c r="A875" s="335">
        <v>1001268696</v>
      </c>
      <c r="B875" s="336" t="s">
        <v>1750</v>
      </c>
      <c r="C875" s="336" t="s">
        <v>800</v>
      </c>
      <c r="D875" s="336" t="s">
        <v>819</v>
      </c>
      <c r="E875" s="336" t="s">
        <v>820</v>
      </c>
    </row>
    <row r="876" spans="1:5" x14ac:dyDescent="0.2">
      <c r="A876" s="335">
        <v>1001269042</v>
      </c>
      <c r="B876" s="336" t="s">
        <v>1099</v>
      </c>
      <c r="C876" s="336" t="s">
        <v>800</v>
      </c>
      <c r="D876" s="336" t="s">
        <v>819</v>
      </c>
      <c r="E876" s="336" t="s">
        <v>820</v>
      </c>
    </row>
    <row r="877" spans="1:5" x14ac:dyDescent="0.2">
      <c r="A877" s="335">
        <v>1001269106</v>
      </c>
      <c r="B877" s="336" t="s">
        <v>1751</v>
      </c>
      <c r="C877" s="336" t="s">
        <v>863</v>
      </c>
      <c r="D877" s="336" t="s">
        <v>819</v>
      </c>
      <c r="E877" s="336" t="s">
        <v>820</v>
      </c>
    </row>
    <row r="878" spans="1:5" x14ac:dyDescent="0.2">
      <c r="A878" s="335">
        <v>1001269209</v>
      </c>
      <c r="B878" s="336" t="s">
        <v>931</v>
      </c>
      <c r="C878" s="336" t="s">
        <v>800</v>
      </c>
      <c r="D878" s="336" t="s">
        <v>819</v>
      </c>
      <c r="E878" s="336" t="s">
        <v>820</v>
      </c>
    </row>
    <row r="879" spans="1:5" x14ac:dyDescent="0.2">
      <c r="A879" s="335">
        <v>1001269684</v>
      </c>
      <c r="B879" s="336" t="s">
        <v>900</v>
      </c>
      <c r="C879" s="336" t="s">
        <v>800</v>
      </c>
      <c r="D879" s="336" t="s">
        <v>819</v>
      </c>
      <c r="E879" s="336" t="s">
        <v>820</v>
      </c>
    </row>
    <row r="880" spans="1:5" x14ac:dyDescent="0.2">
      <c r="A880" s="335">
        <v>1001270111</v>
      </c>
      <c r="B880" s="336" t="s">
        <v>1752</v>
      </c>
      <c r="C880" s="336" t="s">
        <v>800</v>
      </c>
      <c r="D880" s="336" t="s">
        <v>819</v>
      </c>
      <c r="E880" s="336" t="s">
        <v>820</v>
      </c>
    </row>
    <row r="881" spans="1:5" x14ac:dyDescent="0.2">
      <c r="A881" s="335">
        <v>1001270240</v>
      </c>
      <c r="B881" s="336" t="s">
        <v>1753</v>
      </c>
      <c r="C881" s="336" t="s">
        <v>800</v>
      </c>
      <c r="D881" s="336" t="s">
        <v>819</v>
      </c>
      <c r="E881" s="336" t="s">
        <v>820</v>
      </c>
    </row>
    <row r="882" spans="1:5" x14ac:dyDescent="0.2">
      <c r="A882" s="335">
        <v>1001270241</v>
      </c>
      <c r="B882" s="336" t="s">
        <v>1754</v>
      </c>
      <c r="C882" s="336" t="s">
        <v>800</v>
      </c>
      <c r="D882" s="336" t="s">
        <v>819</v>
      </c>
      <c r="E882" s="336" t="s">
        <v>820</v>
      </c>
    </row>
    <row r="883" spans="1:5" x14ac:dyDescent="0.2">
      <c r="A883" s="335">
        <v>1001270276</v>
      </c>
      <c r="B883" s="336" t="s">
        <v>935</v>
      </c>
      <c r="C883" s="336" t="s">
        <v>800</v>
      </c>
      <c r="D883" s="336" t="s">
        <v>819</v>
      </c>
      <c r="E883" s="336" t="s">
        <v>820</v>
      </c>
    </row>
    <row r="884" spans="1:5" x14ac:dyDescent="0.2">
      <c r="A884" s="335">
        <v>1001270476</v>
      </c>
      <c r="B884" s="336" t="s">
        <v>1755</v>
      </c>
      <c r="C884" s="336" t="s">
        <v>800</v>
      </c>
      <c r="D884" s="336" t="s">
        <v>819</v>
      </c>
      <c r="E884" s="336" t="s">
        <v>820</v>
      </c>
    </row>
    <row r="885" spans="1:5" x14ac:dyDescent="0.2">
      <c r="A885" s="335">
        <v>1001270594</v>
      </c>
      <c r="B885" s="336" t="s">
        <v>909</v>
      </c>
      <c r="C885" s="336" t="s">
        <v>800</v>
      </c>
      <c r="D885" s="336" t="s">
        <v>819</v>
      </c>
      <c r="E885" s="336" t="s">
        <v>820</v>
      </c>
    </row>
    <row r="886" spans="1:5" x14ac:dyDescent="0.2">
      <c r="A886" s="335">
        <v>1001270595</v>
      </c>
      <c r="B886" s="336" t="s">
        <v>915</v>
      </c>
      <c r="C886" s="336" t="s">
        <v>800</v>
      </c>
      <c r="D886" s="336" t="s">
        <v>819</v>
      </c>
      <c r="E886" s="336" t="s">
        <v>820</v>
      </c>
    </row>
    <row r="887" spans="1:5" x14ac:dyDescent="0.2">
      <c r="A887" s="335">
        <v>1001270725</v>
      </c>
      <c r="B887" s="336" t="s">
        <v>1756</v>
      </c>
      <c r="C887" s="336" t="s">
        <v>800</v>
      </c>
      <c r="D887" s="336" t="s">
        <v>819</v>
      </c>
      <c r="E887" s="336" t="s">
        <v>820</v>
      </c>
    </row>
    <row r="888" spans="1:5" x14ac:dyDescent="0.2">
      <c r="A888" s="335">
        <v>1001270801</v>
      </c>
      <c r="B888" s="336" t="s">
        <v>968</v>
      </c>
      <c r="C888" s="336" t="s">
        <v>800</v>
      </c>
      <c r="D888" s="336" t="s">
        <v>819</v>
      </c>
      <c r="E888" s="336" t="s">
        <v>820</v>
      </c>
    </row>
    <row r="889" spans="1:5" x14ac:dyDescent="0.2">
      <c r="A889" s="335">
        <v>1001270944</v>
      </c>
      <c r="B889" s="336" t="s">
        <v>1757</v>
      </c>
      <c r="C889" s="336" t="s">
        <v>800</v>
      </c>
      <c r="D889" s="336" t="s">
        <v>819</v>
      </c>
      <c r="E889" s="336" t="s">
        <v>820</v>
      </c>
    </row>
    <row r="890" spans="1:5" x14ac:dyDescent="0.2">
      <c r="A890" s="335">
        <v>1001271057</v>
      </c>
      <c r="B890" s="336" t="s">
        <v>1758</v>
      </c>
      <c r="C890" s="336" t="s">
        <v>800</v>
      </c>
      <c r="D890" s="336" t="s">
        <v>819</v>
      </c>
      <c r="E890" s="336" t="s">
        <v>820</v>
      </c>
    </row>
    <row r="891" spans="1:5" x14ac:dyDescent="0.2">
      <c r="A891" s="335">
        <v>1001271538</v>
      </c>
      <c r="B891" s="336" t="s">
        <v>374</v>
      </c>
      <c r="C891" s="336" t="s">
        <v>800</v>
      </c>
      <c r="D891" s="336" t="s">
        <v>819</v>
      </c>
      <c r="E891" s="336" t="s">
        <v>820</v>
      </c>
    </row>
    <row r="892" spans="1:5" x14ac:dyDescent="0.2">
      <c r="A892" s="335">
        <v>1001271797</v>
      </c>
      <c r="B892" s="336" t="s">
        <v>1759</v>
      </c>
      <c r="C892" s="336" t="s">
        <v>800</v>
      </c>
      <c r="D892" s="336" t="s">
        <v>819</v>
      </c>
      <c r="E892" s="336" t="s">
        <v>820</v>
      </c>
    </row>
    <row r="893" spans="1:5" x14ac:dyDescent="0.2">
      <c r="A893" s="335">
        <v>1001271798</v>
      </c>
      <c r="B893" s="336" t="s">
        <v>1760</v>
      </c>
      <c r="C893" s="336" t="s">
        <v>863</v>
      </c>
      <c r="D893" s="336" t="s">
        <v>819</v>
      </c>
      <c r="E893" s="336" t="s">
        <v>820</v>
      </c>
    </row>
    <row r="894" spans="1:5" x14ac:dyDescent="0.2">
      <c r="A894" s="335">
        <v>1001271799</v>
      </c>
      <c r="B894" s="336" t="s">
        <v>932</v>
      </c>
      <c r="C894" s="336" t="s">
        <v>797</v>
      </c>
      <c r="D894" s="336" t="s">
        <v>819</v>
      </c>
      <c r="E894" s="336" t="s">
        <v>820</v>
      </c>
    </row>
    <row r="895" spans="1:5" x14ac:dyDescent="0.2">
      <c r="A895" s="335">
        <v>1001271904</v>
      </c>
      <c r="B895" s="336" t="s">
        <v>1761</v>
      </c>
      <c r="C895" s="336" t="s">
        <v>800</v>
      </c>
      <c r="D895" s="336" t="s">
        <v>819</v>
      </c>
      <c r="E895" s="336" t="s">
        <v>820</v>
      </c>
    </row>
    <row r="896" spans="1:5" x14ac:dyDescent="0.2">
      <c r="A896" s="335">
        <v>1001272194</v>
      </c>
      <c r="B896" s="336" t="s">
        <v>1762</v>
      </c>
      <c r="C896" s="336" t="s">
        <v>800</v>
      </c>
      <c r="D896" s="336" t="s">
        <v>819</v>
      </c>
      <c r="E896" s="336" t="s">
        <v>820</v>
      </c>
    </row>
    <row r="897" spans="1:5" x14ac:dyDescent="0.2">
      <c r="A897" s="335">
        <v>1001272196</v>
      </c>
      <c r="B897" s="336" t="s">
        <v>811</v>
      </c>
      <c r="C897" s="336" t="s">
        <v>800</v>
      </c>
      <c r="D897" s="336" t="s">
        <v>819</v>
      </c>
      <c r="E897" s="336" t="s">
        <v>820</v>
      </c>
    </row>
    <row r="898" spans="1:5" x14ac:dyDescent="0.2">
      <c r="A898" s="335">
        <v>1001272574</v>
      </c>
      <c r="B898" s="336" t="s">
        <v>1066</v>
      </c>
      <c r="C898" s="336" t="s">
        <v>800</v>
      </c>
      <c r="D898" s="336" t="s">
        <v>819</v>
      </c>
      <c r="E898" s="336" t="s">
        <v>820</v>
      </c>
    </row>
    <row r="899" spans="1:5" x14ac:dyDescent="0.2">
      <c r="A899" s="335">
        <v>1001272579</v>
      </c>
      <c r="B899" s="336" t="s">
        <v>1068</v>
      </c>
      <c r="C899" s="336" t="s">
        <v>800</v>
      </c>
      <c r="D899" s="336" t="s">
        <v>819</v>
      </c>
      <c r="E899" s="336" t="s">
        <v>820</v>
      </c>
    </row>
    <row r="900" spans="1:5" x14ac:dyDescent="0.2">
      <c r="A900" s="335">
        <v>1001272580</v>
      </c>
      <c r="B900" s="336" t="s">
        <v>1763</v>
      </c>
      <c r="C900" s="336" t="s">
        <v>813</v>
      </c>
      <c r="D900" s="336" t="s">
        <v>819</v>
      </c>
      <c r="E900" s="336" t="s">
        <v>820</v>
      </c>
    </row>
    <row r="901" spans="1:5" x14ac:dyDescent="0.2">
      <c r="A901" s="335">
        <v>1001272582</v>
      </c>
      <c r="B901" s="336" t="s">
        <v>1067</v>
      </c>
      <c r="C901" s="336" t="s">
        <v>800</v>
      </c>
      <c r="D901" s="336" t="s">
        <v>819</v>
      </c>
      <c r="E901" s="336" t="s">
        <v>820</v>
      </c>
    </row>
    <row r="902" spans="1:5" x14ac:dyDescent="0.2">
      <c r="A902" s="335">
        <v>1001272584</v>
      </c>
      <c r="B902" s="336" t="s">
        <v>1030</v>
      </c>
      <c r="C902" s="336" t="s">
        <v>800</v>
      </c>
      <c r="D902" s="336" t="s">
        <v>819</v>
      </c>
      <c r="E902" s="336" t="s">
        <v>820</v>
      </c>
    </row>
    <row r="903" spans="1:5" x14ac:dyDescent="0.2">
      <c r="A903" s="335">
        <v>1001272585</v>
      </c>
      <c r="B903" s="336" t="s">
        <v>1063</v>
      </c>
      <c r="C903" s="336" t="s">
        <v>800</v>
      </c>
      <c r="D903" s="336" t="s">
        <v>819</v>
      </c>
      <c r="E903" s="336" t="s">
        <v>820</v>
      </c>
    </row>
    <row r="904" spans="1:5" x14ac:dyDescent="0.2">
      <c r="A904" s="335">
        <v>1001272586</v>
      </c>
      <c r="B904" s="336" t="s">
        <v>1064</v>
      </c>
      <c r="C904" s="336" t="s">
        <v>800</v>
      </c>
      <c r="D904" s="336" t="s">
        <v>819</v>
      </c>
      <c r="E904" s="336" t="s">
        <v>820</v>
      </c>
    </row>
    <row r="905" spans="1:5" x14ac:dyDescent="0.2">
      <c r="A905" s="335">
        <v>1001272587</v>
      </c>
      <c r="B905" s="336" t="s">
        <v>1062</v>
      </c>
      <c r="C905" s="336" t="s">
        <v>800</v>
      </c>
      <c r="D905" s="336" t="s">
        <v>819</v>
      </c>
      <c r="E905" s="336" t="s">
        <v>820</v>
      </c>
    </row>
    <row r="906" spans="1:5" x14ac:dyDescent="0.2">
      <c r="A906" s="335">
        <v>1001272589</v>
      </c>
      <c r="B906" s="336" t="s">
        <v>1061</v>
      </c>
      <c r="C906" s="336" t="s">
        <v>800</v>
      </c>
      <c r="D906" s="336" t="s">
        <v>819</v>
      </c>
      <c r="E906" s="336" t="s">
        <v>820</v>
      </c>
    </row>
    <row r="907" spans="1:5" x14ac:dyDescent="0.2">
      <c r="A907" s="335">
        <v>1001272601</v>
      </c>
      <c r="B907" s="336" t="s">
        <v>1071</v>
      </c>
      <c r="C907" s="336" t="s">
        <v>800</v>
      </c>
      <c r="D907" s="336" t="s">
        <v>819</v>
      </c>
      <c r="E907" s="336" t="s">
        <v>820</v>
      </c>
    </row>
    <row r="908" spans="1:5" x14ac:dyDescent="0.2">
      <c r="A908" s="335">
        <v>1001272602</v>
      </c>
      <c r="B908" s="336" t="s">
        <v>1053</v>
      </c>
      <c r="C908" s="336" t="s">
        <v>800</v>
      </c>
      <c r="D908" s="336" t="s">
        <v>819</v>
      </c>
      <c r="E908" s="336" t="s">
        <v>820</v>
      </c>
    </row>
    <row r="909" spans="1:5" x14ac:dyDescent="0.2">
      <c r="A909" s="335">
        <v>1001272603</v>
      </c>
      <c r="B909" s="336" t="s">
        <v>1054</v>
      </c>
      <c r="C909" s="336" t="s">
        <v>800</v>
      </c>
      <c r="D909" s="336" t="s">
        <v>819</v>
      </c>
      <c r="E909" s="336" t="s">
        <v>820</v>
      </c>
    </row>
    <row r="910" spans="1:5" x14ac:dyDescent="0.2">
      <c r="A910" s="335">
        <v>1001272604</v>
      </c>
      <c r="B910" s="336" t="s">
        <v>1055</v>
      </c>
      <c r="C910" s="336" t="s">
        <v>800</v>
      </c>
      <c r="D910" s="336" t="s">
        <v>819</v>
      </c>
      <c r="E910" s="336" t="s">
        <v>820</v>
      </c>
    </row>
    <row r="911" spans="1:5" x14ac:dyDescent="0.2">
      <c r="A911" s="335">
        <v>1001272605</v>
      </c>
      <c r="B911" s="336" t="s">
        <v>1069</v>
      </c>
      <c r="C911" s="336" t="s">
        <v>800</v>
      </c>
      <c r="D911" s="336" t="s">
        <v>819</v>
      </c>
      <c r="E911" s="336" t="s">
        <v>820</v>
      </c>
    </row>
    <row r="912" spans="1:5" x14ac:dyDescent="0.2">
      <c r="A912" s="335">
        <v>1001272607</v>
      </c>
      <c r="B912" s="336" t="s">
        <v>1056</v>
      </c>
      <c r="C912" s="336" t="s">
        <v>800</v>
      </c>
      <c r="D912" s="336" t="s">
        <v>819</v>
      </c>
      <c r="E912" s="336" t="s">
        <v>820</v>
      </c>
    </row>
    <row r="913" spans="1:5" x14ac:dyDescent="0.2">
      <c r="A913" s="335">
        <v>1001273142</v>
      </c>
      <c r="B913" s="336" t="s">
        <v>1764</v>
      </c>
      <c r="C913" s="336" t="s">
        <v>1097</v>
      </c>
      <c r="D913" s="336" t="s">
        <v>819</v>
      </c>
      <c r="E913" s="336" t="s">
        <v>820</v>
      </c>
    </row>
    <row r="914" spans="1:5" x14ac:dyDescent="0.2">
      <c r="A914" s="335">
        <v>1001273224</v>
      </c>
      <c r="B914" s="336" t="s">
        <v>1013</v>
      </c>
      <c r="C914" s="336" t="s">
        <v>800</v>
      </c>
      <c r="D914" s="336" t="s">
        <v>819</v>
      </c>
      <c r="E914" s="336" t="s">
        <v>820</v>
      </c>
    </row>
    <row r="915" spans="1:5" x14ac:dyDescent="0.2">
      <c r="A915" s="335">
        <v>1001273293</v>
      </c>
      <c r="B915" s="336" t="s">
        <v>1765</v>
      </c>
      <c r="C915" s="336" t="s">
        <v>800</v>
      </c>
      <c r="D915" s="336" t="s">
        <v>819</v>
      </c>
      <c r="E915" s="336" t="s">
        <v>820</v>
      </c>
    </row>
    <row r="916" spans="1:5" x14ac:dyDescent="0.2">
      <c r="A916" s="335">
        <v>1001273353</v>
      </c>
      <c r="B916" s="336" t="s">
        <v>1766</v>
      </c>
      <c r="C916" s="336" t="s">
        <v>800</v>
      </c>
      <c r="D916" s="336" t="s">
        <v>819</v>
      </c>
      <c r="E916" s="336" t="s">
        <v>820</v>
      </c>
    </row>
    <row r="917" spans="1:5" x14ac:dyDescent="0.2">
      <c r="A917" s="335">
        <v>1001273498</v>
      </c>
      <c r="B917" s="336" t="s">
        <v>1057</v>
      </c>
      <c r="C917" s="336" t="s">
        <v>800</v>
      </c>
      <c r="D917" s="336" t="s">
        <v>819</v>
      </c>
      <c r="E917" s="336" t="s">
        <v>820</v>
      </c>
    </row>
    <row r="918" spans="1:5" x14ac:dyDescent="0.2">
      <c r="A918" s="335">
        <v>1001273521</v>
      </c>
      <c r="B918" s="336" t="s">
        <v>1060</v>
      </c>
      <c r="C918" s="336" t="s">
        <v>800</v>
      </c>
      <c r="D918" s="336" t="s">
        <v>819</v>
      </c>
      <c r="E918" s="336" t="s">
        <v>820</v>
      </c>
    </row>
    <row r="919" spans="1:5" x14ac:dyDescent="0.2">
      <c r="A919" s="335">
        <v>1001273523</v>
      </c>
      <c r="B919" s="336" t="s">
        <v>1767</v>
      </c>
      <c r="C919" s="336" t="s">
        <v>800</v>
      </c>
      <c r="D919" s="336" t="s">
        <v>819</v>
      </c>
      <c r="E919" s="336" t="s">
        <v>820</v>
      </c>
    </row>
    <row r="920" spans="1:5" x14ac:dyDescent="0.2">
      <c r="A920" s="335">
        <v>1001273524</v>
      </c>
      <c r="B920" s="336" t="s">
        <v>1768</v>
      </c>
      <c r="C920" s="336" t="s">
        <v>800</v>
      </c>
      <c r="D920" s="336" t="s">
        <v>819</v>
      </c>
      <c r="E920" s="336" t="s">
        <v>820</v>
      </c>
    </row>
    <row r="921" spans="1:5" x14ac:dyDescent="0.2">
      <c r="A921" s="335">
        <v>1001273525</v>
      </c>
      <c r="B921" s="336" t="s">
        <v>1769</v>
      </c>
      <c r="C921" s="336" t="s">
        <v>800</v>
      </c>
      <c r="D921" s="336" t="s">
        <v>819</v>
      </c>
      <c r="E921" s="336" t="s">
        <v>820</v>
      </c>
    </row>
    <row r="922" spans="1:5" x14ac:dyDescent="0.2">
      <c r="A922" s="335">
        <v>1001273526</v>
      </c>
      <c r="B922" s="336" t="s">
        <v>1770</v>
      </c>
      <c r="C922" s="336" t="s">
        <v>800</v>
      </c>
      <c r="D922" s="336" t="s">
        <v>819</v>
      </c>
      <c r="E922" s="336" t="s">
        <v>820</v>
      </c>
    </row>
    <row r="923" spans="1:5" x14ac:dyDescent="0.2">
      <c r="A923" s="335">
        <v>1001273529</v>
      </c>
      <c r="B923" s="336" t="s">
        <v>1771</v>
      </c>
      <c r="C923" s="336" t="s">
        <v>800</v>
      </c>
      <c r="D923" s="336" t="s">
        <v>819</v>
      </c>
      <c r="E923" s="336" t="s">
        <v>820</v>
      </c>
    </row>
    <row r="924" spans="1:5" x14ac:dyDescent="0.2">
      <c r="A924" s="335">
        <v>1001273573</v>
      </c>
      <c r="B924" s="336" t="s">
        <v>1772</v>
      </c>
      <c r="C924" s="336" t="s">
        <v>800</v>
      </c>
      <c r="D924" s="336" t="s">
        <v>819</v>
      </c>
      <c r="E924" s="336" t="s">
        <v>820</v>
      </c>
    </row>
    <row r="925" spans="1:5" x14ac:dyDescent="0.2">
      <c r="A925" s="335">
        <v>1001273575</v>
      </c>
      <c r="B925" s="336" t="s">
        <v>1773</v>
      </c>
      <c r="C925" s="336" t="s">
        <v>800</v>
      </c>
      <c r="D925" s="336" t="s">
        <v>819</v>
      </c>
      <c r="E925" s="336" t="s">
        <v>820</v>
      </c>
    </row>
    <row r="926" spans="1:5" x14ac:dyDescent="0.2">
      <c r="A926" s="335">
        <v>1001273578</v>
      </c>
      <c r="B926" s="336" t="s">
        <v>1774</v>
      </c>
      <c r="C926" s="336" t="s">
        <v>800</v>
      </c>
      <c r="D926" s="336" t="s">
        <v>819</v>
      </c>
      <c r="E926" s="336" t="s">
        <v>820</v>
      </c>
    </row>
    <row r="927" spans="1:5" x14ac:dyDescent="0.2">
      <c r="A927" s="335">
        <v>1001273579</v>
      </c>
      <c r="B927" s="336" t="s">
        <v>1775</v>
      </c>
      <c r="C927" s="336" t="s">
        <v>800</v>
      </c>
      <c r="D927" s="336" t="s">
        <v>819</v>
      </c>
      <c r="E927" s="336" t="s">
        <v>820</v>
      </c>
    </row>
    <row r="928" spans="1:5" x14ac:dyDescent="0.2">
      <c r="A928" s="335">
        <v>1001273590</v>
      </c>
      <c r="B928" s="336" t="s">
        <v>1776</v>
      </c>
      <c r="C928" s="336" t="s">
        <v>863</v>
      </c>
      <c r="D928" s="336" t="s">
        <v>819</v>
      </c>
      <c r="E928" s="336" t="s">
        <v>820</v>
      </c>
    </row>
    <row r="929" spans="1:5" x14ac:dyDescent="0.2">
      <c r="A929" s="335">
        <v>1001273591</v>
      </c>
      <c r="B929" s="336" t="s">
        <v>1777</v>
      </c>
      <c r="C929" s="336" t="s">
        <v>800</v>
      </c>
      <c r="D929" s="336" t="s">
        <v>819</v>
      </c>
      <c r="E929" s="336" t="s">
        <v>820</v>
      </c>
    </row>
    <row r="930" spans="1:5" x14ac:dyDescent="0.2">
      <c r="A930" s="335">
        <v>1001273592</v>
      </c>
      <c r="B930" s="336" t="s">
        <v>1052</v>
      </c>
      <c r="C930" s="336" t="s">
        <v>800</v>
      </c>
      <c r="D930" s="336" t="s">
        <v>819</v>
      </c>
      <c r="E930" s="336" t="s">
        <v>820</v>
      </c>
    </row>
    <row r="931" spans="1:5" x14ac:dyDescent="0.2">
      <c r="A931" s="335">
        <v>1001273593</v>
      </c>
      <c r="B931" s="336" t="s">
        <v>1778</v>
      </c>
      <c r="C931" s="336" t="s">
        <v>800</v>
      </c>
      <c r="D931" s="336" t="s">
        <v>819</v>
      </c>
      <c r="E931" s="336" t="s">
        <v>820</v>
      </c>
    </row>
    <row r="932" spans="1:5" x14ac:dyDescent="0.2">
      <c r="A932" s="335">
        <v>1001273594</v>
      </c>
      <c r="B932" s="336" t="s">
        <v>1058</v>
      </c>
      <c r="C932" s="336" t="s">
        <v>800</v>
      </c>
      <c r="D932" s="336" t="s">
        <v>819</v>
      </c>
      <c r="E932" s="336" t="s">
        <v>820</v>
      </c>
    </row>
    <row r="933" spans="1:5" x14ac:dyDescent="0.2">
      <c r="A933" s="335">
        <v>1001273595</v>
      </c>
      <c r="B933" s="336" t="s">
        <v>1779</v>
      </c>
      <c r="C933" s="336" t="s">
        <v>863</v>
      </c>
      <c r="D933" s="336" t="s">
        <v>819</v>
      </c>
      <c r="E933" s="336" t="s">
        <v>820</v>
      </c>
    </row>
    <row r="934" spans="1:5" x14ac:dyDescent="0.2">
      <c r="A934" s="335">
        <v>1001273596</v>
      </c>
      <c r="B934" s="336" t="s">
        <v>1034</v>
      </c>
      <c r="C934" s="336" t="s">
        <v>800</v>
      </c>
      <c r="D934" s="336" t="s">
        <v>819</v>
      </c>
      <c r="E934" s="336" t="s">
        <v>820</v>
      </c>
    </row>
    <row r="935" spans="1:5" x14ac:dyDescent="0.2">
      <c r="A935" s="335">
        <v>1001273598</v>
      </c>
      <c r="B935" s="336" t="s">
        <v>1059</v>
      </c>
      <c r="C935" s="336" t="s">
        <v>800</v>
      </c>
      <c r="D935" s="336" t="s">
        <v>819</v>
      </c>
      <c r="E935" s="336" t="s">
        <v>820</v>
      </c>
    </row>
    <row r="936" spans="1:5" x14ac:dyDescent="0.2">
      <c r="A936" s="335">
        <v>1001273634</v>
      </c>
      <c r="B936" s="336" t="s">
        <v>1780</v>
      </c>
      <c r="C936" s="336" t="s">
        <v>800</v>
      </c>
      <c r="D936" s="336" t="s">
        <v>819</v>
      </c>
      <c r="E936" s="336" t="s">
        <v>820</v>
      </c>
    </row>
    <row r="937" spans="1:5" x14ac:dyDescent="0.2">
      <c r="A937" s="335">
        <v>1001273636</v>
      </c>
      <c r="B937" s="336" t="s">
        <v>1781</v>
      </c>
      <c r="C937" s="336" t="s">
        <v>800</v>
      </c>
      <c r="D937" s="336" t="s">
        <v>819</v>
      </c>
      <c r="E937" s="336" t="s">
        <v>820</v>
      </c>
    </row>
    <row r="938" spans="1:5" x14ac:dyDescent="0.2">
      <c r="A938" s="335">
        <v>1001273638</v>
      </c>
      <c r="B938" s="336" t="s">
        <v>1782</v>
      </c>
      <c r="C938" s="336" t="s">
        <v>800</v>
      </c>
      <c r="D938" s="336" t="s">
        <v>819</v>
      </c>
      <c r="E938" s="336" t="s">
        <v>820</v>
      </c>
    </row>
    <row r="939" spans="1:5" x14ac:dyDescent="0.2">
      <c r="A939" s="335">
        <v>1001273641</v>
      </c>
      <c r="B939" s="336" t="s">
        <v>1783</v>
      </c>
      <c r="C939" s="336" t="s">
        <v>800</v>
      </c>
      <c r="D939" s="336" t="s">
        <v>819</v>
      </c>
      <c r="E939" s="336" t="s">
        <v>820</v>
      </c>
    </row>
    <row r="940" spans="1:5" x14ac:dyDescent="0.2">
      <c r="A940" s="335">
        <v>1001273649</v>
      </c>
      <c r="B940" s="336" t="s">
        <v>1784</v>
      </c>
      <c r="C940" s="336" t="s">
        <v>800</v>
      </c>
      <c r="D940" s="336" t="s">
        <v>819</v>
      </c>
      <c r="E940" s="336" t="s">
        <v>820</v>
      </c>
    </row>
    <row r="941" spans="1:5" x14ac:dyDescent="0.2">
      <c r="A941" s="335">
        <v>1001273653</v>
      </c>
      <c r="B941" s="336" t="s">
        <v>1785</v>
      </c>
      <c r="C941" s="336" t="s">
        <v>800</v>
      </c>
      <c r="D941" s="336" t="s">
        <v>819</v>
      </c>
      <c r="E941" s="336" t="s">
        <v>820</v>
      </c>
    </row>
    <row r="942" spans="1:5" x14ac:dyDescent="0.2">
      <c r="A942" s="335">
        <v>1001273655</v>
      </c>
      <c r="B942" s="336" t="s">
        <v>1786</v>
      </c>
      <c r="C942" s="336" t="s">
        <v>800</v>
      </c>
      <c r="D942" s="336" t="s">
        <v>819</v>
      </c>
      <c r="E942" s="336" t="s">
        <v>820</v>
      </c>
    </row>
    <row r="943" spans="1:5" x14ac:dyDescent="0.2">
      <c r="A943" s="335">
        <v>1001273656</v>
      </c>
      <c r="B943" s="336" t="s">
        <v>1070</v>
      </c>
      <c r="C943" s="336" t="s">
        <v>800</v>
      </c>
      <c r="D943" s="336" t="s">
        <v>819</v>
      </c>
      <c r="E943" s="336" t="s">
        <v>820</v>
      </c>
    </row>
    <row r="944" spans="1:5" x14ac:dyDescent="0.2">
      <c r="A944" s="335">
        <v>1001273657</v>
      </c>
      <c r="B944" s="336" t="s">
        <v>1787</v>
      </c>
      <c r="C944" s="336" t="s">
        <v>800</v>
      </c>
      <c r="D944" s="336" t="s">
        <v>819</v>
      </c>
      <c r="E944" s="336" t="s">
        <v>820</v>
      </c>
    </row>
    <row r="945" spans="1:5" x14ac:dyDescent="0.2">
      <c r="A945" s="335">
        <v>1001273658</v>
      </c>
      <c r="B945" s="336" t="s">
        <v>1788</v>
      </c>
      <c r="C945" s="336" t="s">
        <v>800</v>
      </c>
      <c r="D945" s="336" t="s">
        <v>819</v>
      </c>
      <c r="E945" s="336" t="s">
        <v>820</v>
      </c>
    </row>
    <row r="946" spans="1:5" x14ac:dyDescent="0.2">
      <c r="A946" s="335">
        <v>1001273659</v>
      </c>
      <c r="B946" s="336" t="s">
        <v>1789</v>
      </c>
      <c r="C946" s="336" t="s">
        <v>800</v>
      </c>
      <c r="D946" s="336" t="s">
        <v>819</v>
      </c>
      <c r="E946" s="336" t="s">
        <v>820</v>
      </c>
    </row>
    <row r="947" spans="1:5" x14ac:dyDescent="0.2">
      <c r="A947" s="335">
        <v>1001273680</v>
      </c>
      <c r="B947" s="336" t="s">
        <v>1790</v>
      </c>
      <c r="C947" s="336" t="s">
        <v>800</v>
      </c>
      <c r="D947" s="336" t="s">
        <v>819</v>
      </c>
      <c r="E947" s="336" t="s">
        <v>820</v>
      </c>
    </row>
    <row r="948" spans="1:5" x14ac:dyDescent="0.2">
      <c r="A948" s="335">
        <v>1001273681</v>
      </c>
      <c r="B948" s="336" t="s">
        <v>1791</v>
      </c>
      <c r="C948" s="336" t="s">
        <v>800</v>
      </c>
      <c r="D948" s="336" t="s">
        <v>819</v>
      </c>
      <c r="E948" s="336" t="s">
        <v>820</v>
      </c>
    </row>
    <row r="949" spans="1:5" x14ac:dyDescent="0.2">
      <c r="A949" s="335">
        <v>1001273816</v>
      </c>
      <c r="B949" s="336" t="s">
        <v>1792</v>
      </c>
      <c r="C949" s="336" t="s">
        <v>800</v>
      </c>
      <c r="D949" s="336" t="s">
        <v>819</v>
      </c>
      <c r="E949" s="336" t="s">
        <v>820</v>
      </c>
    </row>
    <row r="950" spans="1:5" x14ac:dyDescent="0.2">
      <c r="A950" s="335">
        <v>1001273853</v>
      </c>
      <c r="B950" s="336" t="s">
        <v>830</v>
      </c>
      <c r="C950" s="336" t="s">
        <v>800</v>
      </c>
      <c r="D950" s="336" t="s">
        <v>819</v>
      </c>
      <c r="E950" s="336" t="s">
        <v>820</v>
      </c>
    </row>
    <row r="951" spans="1:5" x14ac:dyDescent="0.2">
      <c r="A951" s="335">
        <v>1001273975</v>
      </c>
      <c r="B951" s="336" t="s">
        <v>1793</v>
      </c>
      <c r="C951" s="336" t="s">
        <v>797</v>
      </c>
      <c r="D951" s="336" t="s">
        <v>819</v>
      </c>
      <c r="E951" s="336" t="s">
        <v>820</v>
      </c>
    </row>
    <row r="952" spans="1:5" x14ac:dyDescent="0.2">
      <c r="A952" s="335">
        <v>1001273979</v>
      </c>
      <c r="B952" s="336" t="s">
        <v>1794</v>
      </c>
      <c r="C952" s="336" t="s">
        <v>1097</v>
      </c>
      <c r="D952" s="336" t="s">
        <v>819</v>
      </c>
      <c r="E952" s="336" t="s">
        <v>820</v>
      </c>
    </row>
    <row r="953" spans="1:5" x14ac:dyDescent="0.2">
      <c r="A953" s="335">
        <v>1001274048</v>
      </c>
      <c r="B953" s="336" t="s">
        <v>1795</v>
      </c>
      <c r="C953" s="336" t="s">
        <v>1796</v>
      </c>
      <c r="D953" s="336" t="s">
        <v>819</v>
      </c>
      <c r="E953" s="336" t="s">
        <v>820</v>
      </c>
    </row>
    <row r="954" spans="1:5" x14ac:dyDescent="0.2">
      <c r="A954" s="335">
        <v>1001274174</v>
      </c>
      <c r="B954" s="336" t="s">
        <v>854</v>
      </c>
      <c r="C954" s="336" t="s">
        <v>800</v>
      </c>
      <c r="D954" s="336" t="s">
        <v>819</v>
      </c>
      <c r="E954" s="336" t="s">
        <v>820</v>
      </c>
    </row>
    <row r="955" spans="1:5" x14ac:dyDescent="0.2">
      <c r="A955" s="335">
        <v>1001274556</v>
      </c>
      <c r="B955" s="336" t="s">
        <v>1797</v>
      </c>
      <c r="C955" s="336" t="s">
        <v>800</v>
      </c>
      <c r="D955" s="336" t="s">
        <v>819</v>
      </c>
      <c r="E955" s="336" t="s">
        <v>820</v>
      </c>
    </row>
    <row r="956" spans="1:5" x14ac:dyDescent="0.2">
      <c r="A956" s="335">
        <v>1001274740</v>
      </c>
      <c r="B956" s="336" t="s">
        <v>1798</v>
      </c>
      <c r="C956" s="336" t="s">
        <v>1097</v>
      </c>
      <c r="D956" s="336" t="s">
        <v>819</v>
      </c>
      <c r="E956" s="336" t="s">
        <v>820</v>
      </c>
    </row>
    <row r="957" spans="1:5" x14ac:dyDescent="0.2">
      <c r="A957" s="335">
        <v>1001274750</v>
      </c>
      <c r="B957" s="336" t="s">
        <v>1028</v>
      </c>
      <c r="C957" s="336" t="s">
        <v>800</v>
      </c>
      <c r="D957" s="336" t="s">
        <v>819</v>
      </c>
      <c r="E957" s="336" t="s">
        <v>820</v>
      </c>
    </row>
    <row r="958" spans="1:5" x14ac:dyDescent="0.2">
      <c r="A958" s="335">
        <v>1001274751</v>
      </c>
      <c r="B958" s="336" t="s">
        <v>1028</v>
      </c>
      <c r="C958" s="336" t="s">
        <v>863</v>
      </c>
      <c r="D958" s="336" t="s">
        <v>819</v>
      </c>
      <c r="E958" s="336" t="s">
        <v>820</v>
      </c>
    </row>
    <row r="959" spans="1:5" x14ac:dyDescent="0.2">
      <c r="A959" s="335">
        <v>1001274945</v>
      </c>
      <c r="B959" s="336" t="s">
        <v>1799</v>
      </c>
      <c r="C959" s="336" t="s">
        <v>1796</v>
      </c>
      <c r="D959" s="336" t="s">
        <v>819</v>
      </c>
      <c r="E959" s="336" t="s">
        <v>820</v>
      </c>
    </row>
    <row r="960" spans="1:5" x14ac:dyDescent="0.2">
      <c r="A960" s="335">
        <v>1001275211</v>
      </c>
      <c r="B960" s="336" t="s">
        <v>1800</v>
      </c>
      <c r="C960" s="336" t="s">
        <v>863</v>
      </c>
      <c r="D960" s="336" t="s">
        <v>819</v>
      </c>
      <c r="E960" s="336" t="s">
        <v>820</v>
      </c>
    </row>
    <row r="961" spans="1:5" x14ac:dyDescent="0.2">
      <c r="A961" s="335">
        <v>1001275257</v>
      </c>
      <c r="B961" s="336" t="s">
        <v>1801</v>
      </c>
      <c r="C961" s="336" t="s">
        <v>800</v>
      </c>
      <c r="D961" s="336" t="s">
        <v>819</v>
      </c>
      <c r="E961" s="336" t="s">
        <v>820</v>
      </c>
    </row>
    <row r="962" spans="1:5" x14ac:dyDescent="0.2">
      <c r="A962" s="335">
        <v>1001275601</v>
      </c>
      <c r="B962" s="336" t="s">
        <v>1802</v>
      </c>
      <c r="C962" s="336" t="s">
        <v>800</v>
      </c>
      <c r="D962" s="336" t="s">
        <v>819</v>
      </c>
      <c r="E962" s="336" t="s">
        <v>820</v>
      </c>
    </row>
    <row r="963" spans="1:5" x14ac:dyDescent="0.2">
      <c r="A963" s="335">
        <v>1001275643</v>
      </c>
      <c r="B963" s="336" t="s">
        <v>1803</v>
      </c>
      <c r="C963" s="336" t="s">
        <v>863</v>
      </c>
      <c r="D963" s="336" t="s">
        <v>819</v>
      </c>
      <c r="E963" s="336" t="s">
        <v>820</v>
      </c>
    </row>
    <row r="964" spans="1:5" x14ac:dyDescent="0.2">
      <c r="A964" s="335">
        <v>1001275645</v>
      </c>
      <c r="B964" s="336" t="s">
        <v>1050</v>
      </c>
      <c r="C964" s="336" t="s">
        <v>800</v>
      </c>
      <c r="D964" s="336" t="s">
        <v>819</v>
      </c>
      <c r="E964" s="336" t="s">
        <v>820</v>
      </c>
    </row>
    <row r="965" spans="1:5" x14ac:dyDescent="0.2">
      <c r="A965" s="335">
        <v>1001275646</v>
      </c>
      <c r="B965" s="336" t="s">
        <v>1049</v>
      </c>
      <c r="C965" s="336" t="s">
        <v>800</v>
      </c>
      <c r="D965" s="336" t="s">
        <v>819</v>
      </c>
      <c r="E965" s="336" t="s">
        <v>820</v>
      </c>
    </row>
    <row r="966" spans="1:5" x14ac:dyDescent="0.2">
      <c r="A966" s="335">
        <v>1001275647</v>
      </c>
      <c r="B966" s="336" t="s">
        <v>1048</v>
      </c>
      <c r="C966" s="336" t="s">
        <v>800</v>
      </c>
      <c r="D966" s="336" t="s">
        <v>819</v>
      </c>
      <c r="E966" s="336" t="s">
        <v>820</v>
      </c>
    </row>
    <row r="967" spans="1:5" x14ac:dyDescent="0.2">
      <c r="A967" s="335">
        <v>1001275648</v>
      </c>
      <c r="B967" s="336" t="s">
        <v>1804</v>
      </c>
      <c r="C967" s="336" t="s">
        <v>800</v>
      </c>
      <c r="D967" s="336" t="s">
        <v>819</v>
      </c>
      <c r="E967" s="336" t="s">
        <v>820</v>
      </c>
    </row>
    <row r="968" spans="1:5" x14ac:dyDescent="0.2">
      <c r="A968" s="335">
        <v>1001275649</v>
      </c>
      <c r="B968" s="336" t="s">
        <v>1805</v>
      </c>
      <c r="C968" s="336" t="s">
        <v>800</v>
      </c>
      <c r="D968" s="336" t="s">
        <v>819</v>
      </c>
      <c r="E968" s="336" t="s">
        <v>820</v>
      </c>
    </row>
    <row r="969" spans="1:5" x14ac:dyDescent="0.2">
      <c r="A969" s="335">
        <v>1001275660</v>
      </c>
      <c r="B969" s="336" t="s">
        <v>1806</v>
      </c>
      <c r="C969" s="336" t="s">
        <v>800</v>
      </c>
      <c r="D969" s="336" t="s">
        <v>819</v>
      </c>
      <c r="E969" s="336" t="s">
        <v>820</v>
      </c>
    </row>
    <row r="970" spans="1:5" x14ac:dyDescent="0.2">
      <c r="A970" s="335">
        <v>1001275661</v>
      </c>
      <c r="B970" s="336" t="s">
        <v>1047</v>
      </c>
      <c r="C970" s="336" t="s">
        <v>800</v>
      </c>
      <c r="D970" s="336" t="s">
        <v>819</v>
      </c>
      <c r="E970" s="336" t="s">
        <v>820</v>
      </c>
    </row>
    <row r="971" spans="1:5" x14ac:dyDescent="0.2">
      <c r="A971" s="335">
        <v>1001275662</v>
      </c>
      <c r="B971" s="336" t="s">
        <v>1046</v>
      </c>
      <c r="C971" s="336" t="s">
        <v>800</v>
      </c>
      <c r="D971" s="336" t="s">
        <v>819</v>
      </c>
      <c r="E971" s="336" t="s">
        <v>820</v>
      </c>
    </row>
    <row r="972" spans="1:5" x14ac:dyDescent="0.2">
      <c r="A972" s="335">
        <v>1001275663</v>
      </c>
      <c r="B972" s="336" t="s">
        <v>1045</v>
      </c>
      <c r="C972" s="336" t="s">
        <v>800</v>
      </c>
      <c r="D972" s="336" t="s">
        <v>819</v>
      </c>
      <c r="E972" s="336" t="s">
        <v>820</v>
      </c>
    </row>
    <row r="973" spans="1:5" x14ac:dyDescent="0.2">
      <c r="A973" s="335">
        <v>1001275664</v>
      </c>
      <c r="B973" s="336" t="s">
        <v>1807</v>
      </c>
      <c r="C973" s="336" t="s">
        <v>863</v>
      </c>
      <c r="D973" s="336" t="s">
        <v>819</v>
      </c>
      <c r="E973" s="336" t="s">
        <v>820</v>
      </c>
    </row>
    <row r="974" spans="1:5" x14ac:dyDescent="0.2">
      <c r="A974" s="335">
        <v>1001275665</v>
      </c>
      <c r="B974" s="336" t="s">
        <v>1808</v>
      </c>
      <c r="C974" s="336" t="s">
        <v>800</v>
      </c>
      <c r="D974" s="336" t="s">
        <v>819</v>
      </c>
      <c r="E974" s="336" t="s">
        <v>820</v>
      </c>
    </row>
    <row r="975" spans="1:5" x14ac:dyDescent="0.2">
      <c r="A975" s="335">
        <v>1001275666</v>
      </c>
      <c r="B975" s="336" t="s">
        <v>1044</v>
      </c>
      <c r="C975" s="336" t="s">
        <v>800</v>
      </c>
      <c r="D975" s="336" t="s">
        <v>819</v>
      </c>
      <c r="E975" s="336" t="s">
        <v>820</v>
      </c>
    </row>
    <row r="976" spans="1:5" x14ac:dyDescent="0.2">
      <c r="A976" s="335">
        <v>1001275667</v>
      </c>
      <c r="B976" s="336" t="s">
        <v>1043</v>
      </c>
      <c r="C976" s="336" t="s">
        <v>800</v>
      </c>
      <c r="D976" s="336" t="s">
        <v>819</v>
      </c>
      <c r="E976" s="336" t="s">
        <v>820</v>
      </c>
    </row>
    <row r="977" spans="1:5" x14ac:dyDescent="0.2">
      <c r="A977" s="335">
        <v>1001275675</v>
      </c>
      <c r="B977" s="336" t="s">
        <v>1042</v>
      </c>
      <c r="C977" s="336" t="s">
        <v>800</v>
      </c>
      <c r="D977" s="336" t="s">
        <v>819</v>
      </c>
      <c r="E977" s="336" t="s">
        <v>820</v>
      </c>
    </row>
    <row r="978" spans="1:5" x14ac:dyDescent="0.2">
      <c r="A978" s="335">
        <v>1001275678</v>
      </c>
      <c r="B978" s="336" t="s">
        <v>1041</v>
      </c>
      <c r="C978" s="336" t="s">
        <v>800</v>
      </c>
      <c r="D978" s="336" t="s">
        <v>819</v>
      </c>
      <c r="E978" s="336" t="s">
        <v>820</v>
      </c>
    </row>
    <row r="979" spans="1:5" x14ac:dyDescent="0.2">
      <c r="A979" s="335">
        <v>1001275682</v>
      </c>
      <c r="B979" s="336" t="s">
        <v>1040</v>
      </c>
      <c r="C979" s="336" t="s">
        <v>800</v>
      </c>
      <c r="D979" s="336" t="s">
        <v>819</v>
      </c>
      <c r="E979" s="336" t="s">
        <v>820</v>
      </c>
    </row>
    <row r="980" spans="1:5" x14ac:dyDescent="0.2">
      <c r="A980" s="335">
        <v>1001275684</v>
      </c>
      <c r="B980" s="336" t="s">
        <v>1809</v>
      </c>
      <c r="C980" s="336" t="s">
        <v>863</v>
      </c>
      <c r="D980" s="336" t="s">
        <v>819</v>
      </c>
      <c r="E980" s="336" t="s">
        <v>820</v>
      </c>
    </row>
    <row r="981" spans="1:5" x14ac:dyDescent="0.2">
      <c r="A981" s="335">
        <v>1001275685</v>
      </c>
      <c r="B981" s="336" t="s">
        <v>1039</v>
      </c>
      <c r="C981" s="336" t="s">
        <v>800</v>
      </c>
      <c r="D981" s="336" t="s">
        <v>819</v>
      </c>
      <c r="E981" s="336" t="s">
        <v>820</v>
      </c>
    </row>
    <row r="982" spans="1:5" x14ac:dyDescent="0.2">
      <c r="A982" s="335">
        <v>1001275686</v>
      </c>
      <c r="B982" s="336" t="s">
        <v>1038</v>
      </c>
      <c r="C982" s="336" t="s">
        <v>800</v>
      </c>
      <c r="D982" s="336" t="s">
        <v>819</v>
      </c>
      <c r="E982" s="336" t="s">
        <v>820</v>
      </c>
    </row>
    <row r="983" spans="1:5" x14ac:dyDescent="0.2">
      <c r="A983" s="335">
        <v>1001275688</v>
      </c>
      <c r="B983" s="336" t="s">
        <v>1037</v>
      </c>
      <c r="C983" s="336" t="s">
        <v>800</v>
      </c>
      <c r="D983" s="336" t="s">
        <v>819</v>
      </c>
      <c r="E983" s="336" t="s">
        <v>820</v>
      </c>
    </row>
    <row r="984" spans="1:5" x14ac:dyDescent="0.2">
      <c r="A984" s="335">
        <v>1001275690</v>
      </c>
      <c r="B984" s="336" t="s">
        <v>1051</v>
      </c>
      <c r="C984" s="336" t="s">
        <v>800</v>
      </c>
      <c r="D984" s="336" t="s">
        <v>819</v>
      </c>
      <c r="E984" s="336" t="s">
        <v>820</v>
      </c>
    </row>
    <row r="985" spans="1:5" x14ac:dyDescent="0.2">
      <c r="A985" s="335">
        <v>1001275802</v>
      </c>
      <c r="B985" s="336" t="s">
        <v>1810</v>
      </c>
      <c r="C985" s="336" t="s">
        <v>863</v>
      </c>
      <c r="D985" s="336" t="s">
        <v>819</v>
      </c>
      <c r="E985" s="336" t="s">
        <v>820</v>
      </c>
    </row>
    <row r="986" spans="1:5" x14ac:dyDescent="0.2">
      <c r="A986" s="335">
        <v>1001275837</v>
      </c>
      <c r="B986" s="336" t="s">
        <v>1811</v>
      </c>
      <c r="C986" s="336" t="s">
        <v>800</v>
      </c>
      <c r="D986" s="336" t="s">
        <v>819</v>
      </c>
      <c r="E986" s="336" t="s">
        <v>820</v>
      </c>
    </row>
    <row r="987" spans="1:5" x14ac:dyDescent="0.2">
      <c r="A987" s="335">
        <v>1001275856</v>
      </c>
      <c r="B987" s="336" t="s">
        <v>1812</v>
      </c>
      <c r="C987" s="336" t="s">
        <v>800</v>
      </c>
      <c r="D987" s="336" t="s">
        <v>819</v>
      </c>
      <c r="E987" s="336" t="s">
        <v>820</v>
      </c>
    </row>
    <row r="988" spans="1:5" x14ac:dyDescent="0.2">
      <c r="A988" s="335">
        <v>1001276330</v>
      </c>
      <c r="B988" s="336" t="s">
        <v>1813</v>
      </c>
      <c r="C988" s="336" t="s">
        <v>800</v>
      </c>
      <c r="D988" s="336" t="s">
        <v>819</v>
      </c>
      <c r="E988" s="336" t="s">
        <v>820</v>
      </c>
    </row>
    <row r="989" spans="1:5" x14ac:dyDescent="0.2">
      <c r="A989" s="335">
        <v>1001276676</v>
      </c>
      <c r="B989" s="336" t="s">
        <v>1814</v>
      </c>
      <c r="C989" s="336" t="s">
        <v>800</v>
      </c>
      <c r="D989" s="336" t="s">
        <v>819</v>
      </c>
      <c r="E989" s="336" t="s">
        <v>820</v>
      </c>
    </row>
    <row r="990" spans="1:5" x14ac:dyDescent="0.2">
      <c r="A990" s="335">
        <v>1001276680</v>
      </c>
      <c r="B990" s="336" t="s">
        <v>1036</v>
      </c>
      <c r="C990" s="336" t="s">
        <v>800</v>
      </c>
      <c r="D990" s="336" t="s">
        <v>819</v>
      </c>
      <c r="E990" s="336" t="s">
        <v>820</v>
      </c>
    </row>
    <row r="991" spans="1:5" x14ac:dyDescent="0.2">
      <c r="A991" s="335">
        <v>1001276682</v>
      </c>
      <c r="B991" s="336" t="s">
        <v>1815</v>
      </c>
      <c r="C991" s="336" t="s">
        <v>800</v>
      </c>
      <c r="D991" s="336" t="s">
        <v>819</v>
      </c>
      <c r="E991" s="336" t="s">
        <v>820</v>
      </c>
    </row>
    <row r="992" spans="1:5" x14ac:dyDescent="0.2">
      <c r="A992" s="335">
        <v>1001276683</v>
      </c>
      <c r="B992" s="336" t="s">
        <v>1816</v>
      </c>
      <c r="C992" s="336" t="s">
        <v>800</v>
      </c>
      <c r="D992" s="336" t="s">
        <v>819</v>
      </c>
      <c r="E992" s="336" t="s">
        <v>820</v>
      </c>
    </row>
    <row r="993" spans="1:5" x14ac:dyDescent="0.2">
      <c r="A993" s="335">
        <v>1001276698</v>
      </c>
      <c r="B993" s="336" t="s">
        <v>1033</v>
      </c>
      <c r="C993" s="336" t="s">
        <v>800</v>
      </c>
      <c r="D993" s="336" t="s">
        <v>819</v>
      </c>
      <c r="E993" s="336" t="s">
        <v>820</v>
      </c>
    </row>
    <row r="994" spans="1:5" x14ac:dyDescent="0.2">
      <c r="A994" s="335">
        <v>1001276699</v>
      </c>
      <c r="B994" s="336" t="s">
        <v>1032</v>
      </c>
      <c r="C994" s="336" t="s">
        <v>800</v>
      </c>
      <c r="D994" s="336" t="s">
        <v>819</v>
      </c>
      <c r="E994" s="336" t="s">
        <v>820</v>
      </c>
    </row>
    <row r="995" spans="1:5" x14ac:dyDescent="0.2">
      <c r="A995" s="335">
        <v>1001276731</v>
      </c>
      <c r="B995" s="336" t="s">
        <v>1031</v>
      </c>
      <c r="C995" s="336" t="s">
        <v>800</v>
      </c>
      <c r="D995" s="336" t="s">
        <v>819</v>
      </c>
      <c r="E995" s="336" t="s">
        <v>820</v>
      </c>
    </row>
    <row r="996" spans="1:5" x14ac:dyDescent="0.2">
      <c r="A996" s="335">
        <v>1001277142</v>
      </c>
      <c r="B996" s="336" t="s">
        <v>1817</v>
      </c>
      <c r="C996" s="336" t="s">
        <v>800</v>
      </c>
      <c r="D996" s="336" t="s">
        <v>819</v>
      </c>
      <c r="E996" s="336" t="s">
        <v>820</v>
      </c>
    </row>
    <row r="997" spans="1:5" x14ac:dyDescent="0.2">
      <c r="A997" s="335">
        <v>1001277330</v>
      </c>
      <c r="B997" s="336" t="s">
        <v>1818</v>
      </c>
      <c r="C997" s="336" t="s">
        <v>800</v>
      </c>
      <c r="D997" s="336" t="s">
        <v>819</v>
      </c>
      <c r="E997" s="336" t="s">
        <v>820</v>
      </c>
    </row>
    <row r="998" spans="1:5" x14ac:dyDescent="0.2">
      <c r="A998" s="335">
        <v>1001277747</v>
      </c>
      <c r="B998" s="336" t="s">
        <v>882</v>
      </c>
      <c r="C998" s="336" t="s">
        <v>800</v>
      </c>
      <c r="D998" s="336" t="s">
        <v>819</v>
      </c>
      <c r="E998" s="336" t="s">
        <v>820</v>
      </c>
    </row>
    <row r="999" spans="1:5" x14ac:dyDescent="0.2">
      <c r="A999" s="335">
        <v>1001278395</v>
      </c>
      <c r="B999" s="336" t="s">
        <v>1819</v>
      </c>
      <c r="C999" s="336" t="s">
        <v>800</v>
      </c>
      <c r="D999" s="336" t="s">
        <v>819</v>
      </c>
      <c r="E999" s="336" t="s">
        <v>820</v>
      </c>
    </row>
    <row r="1000" spans="1:5" x14ac:dyDescent="0.2">
      <c r="A1000" s="335">
        <v>1001278624</v>
      </c>
      <c r="B1000" s="336" t="s">
        <v>1820</v>
      </c>
      <c r="C1000" s="336" t="s">
        <v>800</v>
      </c>
      <c r="D1000" s="336" t="s">
        <v>819</v>
      </c>
      <c r="E1000" s="336" t="s">
        <v>820</v>
      </c>
    </row>
    <row r="1001" spans="1:5" x14ac:dyDescent="0.2">
      <c r="A1001" s="335">
        <v>1001278759</v>
      </c>
      <c r="B1001" s="336" t="s">
        <v>1821</v>
      </c>
      <c r="C1001" s="336" t="s">
        <v>800</v>
      </c>
      <c r="D1001" s="336" t="s">
        <v>819</v>
      </c>
      <c r="E1001" s="336" t="s">
        <v>820</v>
      </c>
    </row>
    <row r="1002" spans="1:5" x14ac:dyDescent="0.2">
      <c r="A1002" s="335">
        <v>1001278800</v>
      </c>
      <c r="B1002" s="336" t="s">
        <v>1822</v>
      </c>
      <c r="C1002" s="336" t="s">
        <v>1097</v>
      </c>
      <c r="D1002" s="336" t="s">
        <v>819</v>
      </c>
      <c r="E1002" s="336" t="s">
        <v>820</v>
      </c>
    </row>
    <row r="1003" spans="1:5" x14ac:dyDescent="0.2">
      <c r="A1003" s="335">
        <v>1001279230</v>
      </c>
      <c r="B1003" s="336" t="s">
        <v>1823</v>
      </c>
      <c r="C1003" s="336" t="s">
        <v>800</v>
      </c>
      <c r="D1003" s="336" t="s">
        <v>819</v>
      </c>
      <c r="E1003" s="336" t="s">
        <v>820</v>
      </c>
    </row>
    <row r="1004" spans="1:5" x14ac:dyDescent="0.2">
      <c r="A1004" s="335">
        <v>1001279371</v>
      </c>
      <c r="B1004" s="336" t="s">
        <v>811</v>
      </c>
      <c r="C1004" s="336" t="s">
        <v>863</v>
      </c>
      <c r="D1004" s="336" t="s">
        <v>819</v>
      </c>
      <c r="E1004" s="336" t="s">
        <v>820</v>
      </c>
    </row>
    <row r="1005" spans="1:5" x14ac:dyDescent="0.2">
      <c r="A1005" s="335">
        <v>1001279377</v>
      </c>
      <c r="B1005" s="336" t="s">
        <v>811</v>
      </c>
      <c r="C1005" s="336" t="s">
        <v>800</v>
      </c>
      <c r="D1005" s="336" t="s">
        <v>819</v>
      </c>
      <c r="E1005" s="336" t="s">
        <v>820</v>
      </c>
    </row>
    <row r="1006" spans="1:5" x14ac:dyDescent="0.2">
      <c r="A1006" s="335">
        <v>1001279644</v>
      </c>
      <c r="B1006" s="336" t="s">
        <v>1824</v>
      </c>
      <c r="C1006" s="336" t="s">
        <v>800</v>
      </c>
      <c r="D1006" s="336" t="s">
        <v>819</v>
      </c>
      <c r="E1006" s="336" t="s">
        <v>820</v>
      </c>
    </row>
    <row r="1007" spans="1:5" x14ac:dyDescent="0.2">
      <c r="A1007" s="335">
        <v>1001280061</v>
      </c>
      <c r="B1007" s="336" t="s">
        <v>843</v>
      </c>
      <c r="C1007" s="336" t="s">
        <v>800</v>
      </c>
      <c r="D1007" s="336" t="s">
        <v>819</v>
      </c>
      <c r="E1007" s="336" t="s">
        <v>820</v>
      </c>
    </row>
    <row r="1008" spans="1:5" x14ac:dyDescent="0.2">
      <c r="A1008" s="335">
        <v>1001280062</v>
      </c>
      <c r="B1008" s="336" t="s">
        <v>1765</v>
      </c>
      <c r="C1008" s="336" t="s">
        <v>800</v>
      </c>
      <c r="D1008" s="336" t="s">
        <v>819</v>
      </c>
      <c r="E1008" s="336" t="s">
        <v>820</v>
      </c>
    </row>
    <row r="1009" spans="1:5" x14ac:dyDescent="0.2">
      <c r="A1009" s="335">
        <v>1001280406</v>
      </c>
      <c r="B1009" s="336" t="s">
        <v>1825</v>
      </c>
      <c r="C1009" s="336" t="s">
        <v>863</v>
      </c>
      <c r="D1009" s="336" t="s">
        <v>819</v>
      </c>
      <c r="E1009" s="336" t="s">
        <v>820</v>
      </c>
    </row>
    <row r="1010" spans="1:5" x14ac:dyDescent="0.2">
      <c r="A1010" s="335">
        <v>1001280451</v>
      </c>
      <c r="B1010" s="336" t="s">
        <v>1826</v>
      </c>
      <c r="C1010" s="336" t="s">
        <v>863</v>
      </c>
      <c r="D1010" s="336" t="s">
        <v>819</v>
      </c>
      <c r="E1010" s="336" t="s">
        <v>820</v>
      </c>
    </row>
    <row r="1011" spans="1:5" x14ac:dyDescent="0.2">
      <c r="A1011" s="335">
        <v>1001280474</v>
      </c>
      <c r="B1011" s="336" t="s">
        <v>1827</v>
      </c>
      <c r="C1011" s="336" t="s">
        <v>800</v>
      </c>
      <c r="D1011" s="336" t="s">
        <v>819</v>
      </c>
      <c r="E1011" s="336" t="s">
        <v>820</v>
      </c>
    </row>
    <row r="1012" spans="1:5" x14ac:dyDescent="0.2">
      <c r="A1012" s="335">
        <v>1001280501</v>
      </c>
      <c r="B1012" s="336" t="s">
        <v>1828</v>
      </c>
      <c r="C1012" s="336" t="s">
        <v>800</v>
      </c>
      <c r="D1012" s="336" t="s">
        <v>819</v>
      </c>
      <c r="E1012" s="336" t="s">
        <v>820</v>
      </c>
    </row>
    <row r="1013" spans="1:5" x14ac:dyDescent="0.2">
      <c r="A1013" s="335">
        <v>1001280669</v>
      </c>
      <c r="B1013" s="336" t="s">
        <v>374</v>
      </c>
      <c r="C1013" s="336" t="s">
        <v>800</v>
      </c>
      <c r="D1013" s="336" t="s">
        <v>819</v>
      </c>
      <c r="E1013" s="336" t="s">
        <v>820</v>
      </c>
    </row>
    <row r="1014" spans="1:5" x14ac:dyDescent="0.2">
      <c r="A1014" s="335">
        <v>1001288839</v>
      </c>
      <c r="B1014" s="336" t="s">
        <v>1028</v>
      </c>
      <c r="C1014" s="336" t="s">
        <v>863</v>
      </c>
      <c r="D1014" s="336" t="s">
        <v>819</v>
      </c>
      <c r="E1014" s="336" t="s">
        <v>820</v>
      </c>
    </row>
    <row r="1015" spans="1:5" x14ac:dyDescent="0.2">
      <c r="A1015" s="335">
        <v>1001288870</v>
      </c>
      <c r="B1015" s="336" t="s">
        <v>811</v>
      </c>
      <c r="C1015" s="336" t="s">
        <v>800</v>
      </c>
      <c r="D1015" s="336" t="s">
        <v>819</v>
      </c>
      <c r="E1015" s="336" t="s">
        <v>820</v>
      </c>
    </row>
    <row r="1016" spans="1:5" x14ac:dyDescent="0.2">
      <c r="A1016" s="335">
        <v>1001288957</v>
      </c>
      <c r="B1016" s="336" t="s">
        <v>1829</v>
      </c>
      <c r="C1016" s="336" t="s">
        <v>800</v>
      </c>
      <c r="D1016" s="336" t="s">
        <v>819</v>
      </c>
      <c r="E1016" s="336" t="s">
        <v>820</v>
      </c>
    </row>
    <row r="1017" spans="1:5" x14ac:dyDescent="0.2">
      <c r="A1017" s="335">
        <v>1001288958</v>
      </c>
      <c r="B1017" s="336" t="s">
        <v>1830</v>
      </c>
      <c r="C1017" s="336" t="s">
        <v>863</v>
      </c>
      <c r="D1017" s="336" t="s">
        <v>819</v>
      </c>
      <c r="E1017" s="336" t="s">
        <v>820</v>
      </c>
    </row>
    <row r="1018" spans="1:5" x14ac:dyDescent="0.2">
      <c r="A1018" s="335">
        <v>1001289034</v>
      </c>
      <c r="B1018" s="336" t="s">
        <v>1795</v>
      </c>
      <c r="C1018" s="336" t="s">
        <v>800</v>
      </c>
      <c r="D1018" s="336" t="s">
        <v>819</v>
      </c>
      <c r="E1018" s="336" t="s">
        <v>820</v>
      </c>
    </row>
    <row r="1019" spans="1:5" x14ac:dyDescent="0.2">
      <c r="A1019" s="335">
        <v>1001289055</v>
      </c>
      <c r="B1019" s="336" t="s">
        <v>1831</v>
      </c>
      <c r="C1019" s="336" t="s">
        <v>800</v>
      </c>
      <c r="D1019" s="336" t="s">
        <v>819</v>
      </c>
      <c r="E1019" s="336" t="s">
        <v>820</v>
      </c>
    </row>
    <row r="1020" spans="1:5" x14ac:dyDescent="0.2">
      <c r="A1020" s="335">
        <v>1001290230</v>
      </c>
      <c r="B1020" s="336" t="s">
        <v>1826</v>
      </c>
      <c r="C1020" s="336" t="s">
        <v>1796</v>
      </c>
      <c r="D1020" s="336" t="s">
        <v>819</v>
      </c>
      <c r="E1020" s="336" t="s">
        <v>820</v>
      </c>
    </row>
    <row r="1021" spans="1:5" x14ac:dyDescent="0.2">
      <c r="A1021" s="335">
        <v>1001290354</v>
      </c>
      <c r="B1021" s="336" t="s">
        <v>1832</v>
      </c>
      <c r="C1021" s="336" t="s">
        <v>800</v>
      </c>
      <c r="D1021" s="336" t="s">
        <v>819</v>
      </c>
      <c r="E1021" s="336" t="s">
        <v>820</v>
      </c>
    </row>
    <row r="1022" spans="1:5" x14ac:dyDescent="0.2">
      <c r="A1022" s="335">
        <v>1001290395</v>
      </c>
      <c r="B1022" s="336" t="s">
        <v>1833</v>
      </c>
      <c r="C1022" s="336" t="s">
        <v>800</v>
      </c>
      <c r="D1022" s="336" t="s">
        <v>819</v>
      </c>
      <c r="E1022" s="336" t="s">
        <v>820</v>
      </c>
    </row>
    <row r="1023" spans="1:5" x14ac:dyDescent="0.2">
      <c r="A1023" s="335">
        <v>1001290516</v>
      </c>
      <c r="B1023" s="336" t="s">
        <v>1795</v>
      </c>
      <c r="C1023" s="336" t="s">
        <v>863</v>
      </c>
      <c r="D1023" s="336" t="s">
        <v>819</v>
      </c>
      <c r="E1023" s="336" t="s">
        <v>820</v>
      </c>
    </row>
    <row r="1024" spans="1:5" x14ac:dyDescent="0.2">
      <c r="A1024" s="335">
        <v>1001290627</v>
      </c>
      <c r="B1024" s="336" t="s">
        <v>1834</v>
      </c>
      <c r="C1024" s="336" t="s">
        <v>800</v>
      </c>
      <c r="D1024" s="336" t="s">
        <v>819</v>
      </c>
      <c r="E1024" s="336" t="s">
        <v>820</v>
      </c>
    </row>
    <row r="1025" spans="1:5" x14ac:dyDescent="0.2">
      <c r="A1025" s="335">
        <v>1001290710</v>
      </c>
      <c r="B1025" s="336" t="s">
        <v>1835</v>
      </c>
      <c r="C1025" s="336" t="s">
        <v>1097</v>
      </c>
      <c r="D1025" s="336" t="s">
        <v>819</v>
      </c>
      <c r="E1025" s="336" t="s">
        <v>820</v>
      </c>
    </row>
    <row r="1026" spans="1:5" x14ac:dyDescent="0.2">
      <c r="A1026" s="335">
        <v>1001290740</v>
      </c>
      <c r="B1026" s="336" t="s">
        <v>1015</v>
      </c>
      <c r="C1026" s="336" t="s">
        <v>797</v>
      </c>
      <c r="D1026" s="336" t="s">
        <v>819</v>
      </c>
      <c r="E1026" s="336" t="s">
        <v>820</v>
      </c>
    </row>
    <row r="1027" spans="1:5" x14ac:dyDescent="0.2">
      <c r="A1027" s="335">
        <v>1001302394</v>
      </c>
      <c r="B1027" s="336" t="s">
        <v>1836</v>
      </c>
      <c r="C1027" s="336" t="s">
        <v>863</v>
      </c>
      <c r="D1027" s="336" t="s">
        <v>819</v>
      </c>
      <c r="E1027" s="336" t="s">
        <v>820</v>
      </c>
    </row>
    <row r="1028" spans="1:5" x14ac:dyDescent="0.2">
      <c r="A1028" s="335">
        <v>1001302501</v>
      </c>
      <c r="B1028" s="336" t="s">
        <v>1837</v>
      </c>
      <c r="C1028" s="336" t="s">
        <v>863</v>
      </c>
      <c r="D1028" s="336" t="s">
        <v>819</v>
      </c>
      <c r="E1028" s="336" t="s">
        <v>820</v>
      </c>
    </row>
    <row r="1029" spans="1:5" x14ac:dyDescent="0.2">
      <c r="A1029" s="335">
        <v>1001302702</v>
      </c>
      <c r="B1029" s="336" t="s">
        <v>1836</v>
      </c>
      <c r="C1029" s="336" t="s">
        <v>863</v>
      </c>
      <c r="D1029" s="336" t="s">
        <v>819</v>
      </c>
      <c r="E1029" s="336" t="s">
        <v>820</v>
      </c>
    </row>
    <row r="1030" spans="1:5" x14ac:dyDescent="0.2">
      <c r="A1030" s="335">
        <v>1001311482</v>
      </c>
      <c r="B1030" s="336" t="s">
        <v>1838</v>
      </c>
      <c r="C1030" s="336" t="s">
        <v>863</v>
      </c>
      <c r="D1030" s="336" t="s">
        <v>819</v>
      </c>
      <c r="E1030" s="336" t="s">
        <v>820</v>
      </c>
    </row>
    <row r="1031" spans="1:5" x14ac:dyDescent="0.2">
      <c r="A1031" s="335">
        <v>1001311762</v>
      </c>
      <c r="B1031" s="336" t="s">
        <v>1839</v>
      </c>
      <c r="C1031" s="336" t="s">
        <v>863</v>
      </c>
      <c r="D1031" s="336" t="s">
        <v>819</v>
      </c>
      <c r="E1031" s="336" t="s">
        <v>820</v>
      </c>
    </row>
    <row r="1032" spans="1:5" x14ac:dyDescent="0.2">
      <c r="A1032" s="335">
        <v>1001312264</v>
      </c>
      <c r="B1032" s="336" t="s">
        <v>1760</v>
      </c>
      <c r="C1032" s="336" t="s">
        <v>863</v>
      </c>
      <c r="D1032" s="336" t="s">
        <v>819</v>
      </c>
      <c r="E1032" s="336" t="s">
        <v>820</v>
      </c>
    </row>
    <row r="1033" spans="1:5" x14ac:dyDescent="0.2">
      <c r="A1033" s="335">
        <v>1001312899</v>
      </c>
      <c r="B1033" s="336" t="s">
        <v>1840</v>
      </c>
      <c r="C1033" s="336" t="s">
        <v>1097</v>
      </c>
      <c r="D1033" s="336" t="s">
        <v>819</v>
      </c>
      <c r="E1033" s="336" t="s">
        <v>820</v>
      </c>
    </row>
    <row r="1034" spans="1:5" x14ac:dyDescent="0.2">
      <c r="A1034" s="335">
        <v>1001312948</v>
      </c>
      <c r="B1034" s="336" t="s">
        <v>1841</v>
      </c>
      <c r="C1034" s="336" t="s">
        <v>863</v>
      </c>
      <c r="D1034" s="336" t="s">
        <v>819</v>
      </c>
      <c r="E1034" s="336" t="s">
        <v>820</v>
      </c>
    </row>
    <row r="1035" spans="1:5" x14ac:dyDescent="0.2">
      <c r="A1035" s="335">
        <v>1001312971</v>
      </c>
      <c r="B1035" s="336" t="s">
        <v>1842</v>
      </c>
      <c r="C1035" s="336" t="s">
        <v>1097</v>
      </c>
      <c r="D1035" s="336" t="s">
        <v>819</v>
      </c>
      <c r="E1035" s="336" t="s">
        <v>820</v>
      </c>
    </row>
    <row r="1036" spans="1:5" x14ac:dyDescent="0.2">
      <c r="A1036" s="335">
        <v>1001334956</v>
      </c>
      <c r="B1036" s="336" t="s">
        <v>1843</v>
      </c>
      <c r="C1036" s="336" t="s">
        <v>863</v>
      </c>
      <c r="D1036" s="336" t="s">
        <v>819</v>
      </c>
      <c r="E1036" s="336" t="s">
        <v>820</v>
      </c>
    </row>
    <row r="1037" spans="1:5" x14ac:dyDescent="0.2">
      <c r="A1037" s="335">
        <v>1001334964</v>
      </c>
      <c r="B1037" s="336" t="s">
        <v>829</v>
      </c>
      <c r="C1037" s="336" t="s">
        <v>800</v>
      </c>
      <c r="D1037" s="336" t="s">
        <v>819</v>
      </c>
      <c r="E1037" s="336" t="s">
        <v>820</v>
      </c>
    </row>
    <row r="1038" spans="1:5" x14ac:dyDescent="0.2">
      <c r="A1038" s="335">
        <v>1001343254</v>
      </c>
      <c r="B1038" s="336" t="s">
        <v>1844</v>
      </c>
      <c r="C1038" s="336" t="s">
        <v>813</v>
      </c>
      <c r="D1038" s="336" t="s">
        <v>819</v>
      </c>
      <c r="E1038" s="336" t="s">
        <v>820</v>
      </c>
    </row>
    <row r="1039" spans="1:5" x14ac:dyDescent="0.2">
      <c r="A1039" s="335">
        <v>1001343343</v>
      </c>
      <c r="B1039" s="336" t="s">
        <v>1845</v>
      </c>
      <c r="C1039" s="336" t="s">
        <v>813</v>
      </c>
      <c r="D1039" s="336" t="s">
        <v>819</v>
      </c>
      <c r="E1039" s="336" t="s">
        <v>820</v>
      </c>
    </row>
    <row r="1040" spans="1:5" x14ac:dyDescent="0.2">
      <c r="A1040" s="335">
        <v>1001343465</v>
      </c>
      <c r="B1040" s="336" t="s">
        <v>1846</v>
      </c>
      <c r="C1040" s="336" t="s">
        <v>813</v>
      </c>
      <c r="D1040" s="336" t="s">
        <v>819</v>
      </c>
      <c r="E1040" s="336" t="s">
        <v>820</v>
      </c>
    </row>
    <row r="1041" spans="1:5" x14ac:dyDescent="0.2">
      <c r="A1041" s="335">
        <v>1001343500</v>
      </c>
      <c r="B1041" s="336" t="s">
        <v>1847</v>
      </c>
      <c r="C1041" s="336" t="s">
        <v>813</v>
      </c>
      <c r="D1041" s="336" t="s">
        <v>819</v>
      </c>
      <c r="E1041" s="336" t="s">
        <v>820</v>
      </c>
    </row>
    <row r="1042" spans="1:5" x14ac:dyDescent="0.2">
      <c r="A1042" s="335">
        <v>1001343541</v>
      </c>
      <c r="B1042" s="336" t="s">
        <v>1848</v>
      </c>
      <c r="C1042" s="336" t="s">
        <v>813</v>
      </c>
      <c r="D1042" s="336" t="s">
        <v>819</v>
      </c>
      <c r="E1042" s="336" t="s">
        <v>820</v>
      </c>
    </row>
    <row r="1043" spans="1:5" x14ac:dyDescent="0.2">
      <c r="A1043" s="335">
        <v>1001343872</v>
      </c>
      <c r="B1043" s="336" t="s">
        <v>1849</v>
      </c>
      <c r="C1043" s="336" t="s">
        <v>813</v>
      </c>
      <c r="D1043" s="336" t="s">
        <v>819</v>
      </c>
      <c r="E1043" s="336" t="s">
        <v>820</v>
      </c>
    </row>
    <row r="1044" spans="1:5" x14ac:dyDescent="0.2">
      <c r="A1044" s="335">
        <v>1001344236</v>
      </c>
      <c r="B1044" s="336" t="s">
        <v>1850</v>
      </c>
      <c r="C1044" s="336" t="s">
        <v>813</v>
      </c>
      <c r="D1044" s="336" t="s">
        <v>819</v>
      </c>
      <c r="E1044" s="336" t="s">
        <v>820</v>
      </c>
    </row>
    <row r="1045" spans="1:5" x14ac:dyDescent="0.2">
      <c r="A1045" s="335">
        <v>1001344371</v>
      </c>
      <c r="B1045" s="336" t="s">
        <v>1851</v>
      </c>
      <c r="C1045" s="336" t="s">
        <v>813</v>
      </c>
      <c r="D1045" s="336" t="s">
        <v>819</v>
      </c>
      <c r="E1045" s="336" t="s">
        <v>820</v>
      </c>
    </row>
    <row r="1046" spans="1:5" x14ac:dyDescent="0.2">
      <c r="A1046" s="335">
        <v>1001344372</v>
      </c>
      <c r="B1046" s="336" t="s">
        <v>1849</v>
      </c>
      <c r="C1046" s="336" t="s">
        <v>813</v>
      </c>
      <c r="D1046" s="336" t="s">
        <v>819</v>
      </c>
      <c r="E1046" s="336" t="s">
        <v>820</v>
      </c>
    </row>
    <row r="1047" spans="1:5" x14ac:dyDescent="0.2">
      <c r="A1047" s="335">
        <v>1001344477</v>
      </c>
      <c r="B1047" s="336" t="s">
        <v>1852</v>
      </c>
      <c r="C1047" s="336" t="s">
        <v>813</v>
      </c>
      <c r="D1047" s="336" t="s">
        <v>819</v>
      </c>
      <c r="E1047" s="336" t="s">
        <v>820</v>
      </c>
    </row>
    <row r="1048" spans="1:5" x14ac:dyDescent="0.2">
      <c r="A1048" s="335">
        <v>1001344519</v>
      </c>
      <c r="B1048" s="336" t="s">
        <v>818</v>
      </c>
      <c r="C1048" s="336" t="s">
        <v>813</v>
      </c>
      <c r="D1048" s="336" t="s">
        <v>819</v>
      </c>
      <c r="E1048" s="336" t="s">
        <v>820</v>
      </c>
    </row>
    <row r="1049" spans="1:5" x14ac:dyDescent="0.2">
      <c r="A1049" s="335">
        <v>1001345508</v>
      </c>
      <c r="B1049" s="336" t="s">
        <v>1845</v>
      </c>
      <c r="C1049" s="336" t="s">
        <v>813</v>
      </c>
      <c r="D1049" s="336" t="s">
        <v>819</v>
      </c>
      <c r="E1049" s="336" t="s">
        <v>820</v>
      </c>
    </row>
    <row r="1050" spans="1:5" x14ac:dyDescent="0.2">
      <c r="A1050" s="335">
        <v>1001345538</v>
      </c>
      <c r="B1050" s="336" t="s">
        <v>1853</v>
      </c>
      <c r="C1050" s="336" t="s">
        <v>813</v>
      </c>
      <c r="D1050" s="336" t="s">
        <v>819</v>
      </c>
      <c r="E1050" s="336" t="s">
        <v>820</v>
      </c>
    </row>
    <row r="1051" spans="1:5" x14ac:dyDescent="0.2">
      <c r="A1051" s="335">
        <v>1001346212</v>
      </c>
      <c r="B1051" s="336" t="s">
        <v>1854</v>
      </c>
      <c r="C1051" s="336" t="s">
        <v>863</v>
      </c>
      <c r="D1051" s="336" t="s">
        <v>819</v>
      </c>
      <c r="E1051" s="336" t="s">
        <v>820</v>
      </c>
    </row>
    <row r="1052" spans="1:5" x14ac:dyDescent="0.2">
      <c r="A1052" s="335">
        <v>1001346215</v>
      </c>
      <c r="B1052" s="336" t="s">
        <v>1855</v>
      </c>
      <c r="C1052" s="336" t="s">
        <v>863</v>
      </c>
      <c r="D1052" s="336" t="s">
        <v>819</v>
      </c>
      <c r="E1052" s="336" t="s">
        <v>820</v>
      </c>
    </row>
    <row r="1053" spans="1:5" x14ac:dyDescent="0.2">
      <c r="A1053" s="335">
        <v>1001346860</v>
      </c>
      <c r="B1053" s="336" t="s">
        <v>1856</v>
      </c>
      <c r="C1053" s="336" t="s">
        <v>813</v>
      </c>
      <c r="D1053" s="336" t="s">
        <v>819</v>
      </c>
      <c r="E1053" s="336" t="s">
        <v>820</v>
      </c>
    </row>
    <row r="1054" spans="1:5" x14ac:dyDescent="0.2">
      <c r="A1054" s="335">
        <v>1001346992</v>
      </c>
      <c r="B1054" s="336" t="s">
        <v>1857</v>
      </c>
      <c r="C1054" s="336" t="s">
        <v>863</v>
      </c>
      <c r="D1054" s="336" t="s">
        <v>819</v>
      </c>
      <c r="E1054" s="336" t="s">
        <v>820</v>
      </c>
    </row>
    <row r="1055" spans="1:5" x14ac:dyDescent="0.2">
      <c r="A1055" s="335">
        <v>1001346995</v>
      </c>
      <c r="B1055" s="336" t="s">
        <v>1857</v>
      </c>
      <c r="C1055" s="336" t="s">
        <v>813</v>
      </c>
      <c r="D1055" s="336" t="s">
        <v>819</v>
      </c>
      <c r="E1055" s="336" t="s">
        <v>820</v>
      </c>
    </row>
    <row r="1056" spans="1:5" x14ac:dyDescent="0.2">
      <c r="A1056" s="335">
        <v>1001347015</v>
      </c>
      <c r="B1056" s="336" t="s">
        <v>1858</v>
      </c>
      <c r="C1056" s="336" t="s">
        <v>863</v>
      </c>
      <c r="D1056" s="336" t="s">
        <v>819</v>
      </c>
      <c r="E1056" s="336" t="s">
        <v>820</v>
      </c>
    </row>
    <row r="1057" spans="1:5" x14ac:dyDescent="0.2">
      <c r="A1057" s="335">
        <v>1001347224</v>
      </c>
      <c r="B1057" s="336" t="s">
        <v>1859</v>
      </c>
      <c r="C1057" s="336" t="s">
        <v>813</v>
      </c>
      <c r="D1057" s="336" t="s">
        <v>819</v>
      </c>
      <c r="E1057" s="336" t="s">
        <v>820</v>
      </c>
    </row>
    <row r="1058" spans="1:5" x14ac:dyDescent="0.2">
      <c r="A1058" s="335">
        <v>1001347255</v>
      </c>
      <c r="B1058" s="336" t="s">
        <v>1860</v>
      </c>
      <c r="C1058" s="336" t="s">
        <v>813</v>
      </c>
      <c r="D1058" s="336" t="s">
        <v>819</v>
      </c>
      <c r="E1058" s="336" t="s">
        <v>820</v>
      </c>
    </row>
    <row r="1059" spans="1:5" x14ac:dyDescent="0.2">
      <c r="A1059" s="335">
        <v>1001347268</v>
      </c>
      <c r="B1059" s="336" t="s">
        <v>1861</v>
      </c>
      <c r="C1059" s="336" t="s">
        <v>813</v>
      </c>
      <c r="D1059" s="336" t="s">
        <v>819</v>
      </c>
      <c r="E1059" s="336" t="s">
        <v>820</v>
      </c>
    </row>
    <row r="1060" spans="1:5" x14ac:dyDescent="0.2">
      <c r="A1060" s="335">
        <v>1001347405</v>
      </c>
      <c r="B1060" s="336" t="s">
        <v>1862</v>
      </c>
      <c r="C1060" s="336" t="s">
        <v>813</v>
      </c>
      <c r="D1060" s="336" t="s">
        <v>819</v>
      </c>
      <c r="E1060" s="336" t="s">
        <v>820</v>
      </c>
    </row>
    <row r="1061" spans="1:5" x14ac:dyDescent="0.2">
      <c r="A1061" s="335">
        <v>1001347624</v>
      </c>
      <c r="B1061" s="336" t="s">
        <v>1863</v>
      </c>
      <c r="C1061" s="336" t="s">
        <v>813</v>
      </c>
      <c r="D1061" s="336" t="s">
        <v>819</v>
      </c>
      <c r="E1061" s="336" t="s">
        <v>820</v>
      </c>
    </row>
    <row r="1062" spans="1:5" x14ac:dyDescent="0.2">
      <c r="A1062" s="335">
        <v>1001347955</v>
      </c>
      <c r="B1062" s="336" t="s">
        <v>1864</v>
      </c>
      <c r="C1062" s="336" t="s">
        <v>813</v>
      </c>
      <c r="D1062" s="336" t="s">
        <v>819</v>
      </c>
      <c r="E1062" s="336" t="s">
        <v>820</v>
      </c>
    </row>
    <row r="1063" spans="1:5" x14ac:dyDescent="0.2">
      <c r="A1063" s="335">
        <v>1001348142</v>
      </c>
      <c r="B1063" s="336" t="s">
        <v>1865</v>
      </c>
      <c r="C1063" s="336" t="s">
        <v>813</v>
      </c>
      <c r="D1063" s="336" t="s">
        <v>819</v>
      </c>
      <c r="E1063" s="336" t="s">
        <v>820</v>
      </c>
    </row>
    <row r="1064" spans="1:5" x14ac:dyDescent="0.2">
      <c r="A1064" s="335">
        <v>1001348183</v>
      </c>
      <c r="B1064" s="336" t="s">
        <v>1866</v>
      </c>
      <c r="C1064" s="336" t="s">
        <v>813</v>
      </c>
      <c r="D1064" s="336" t="s">
        <v>819</v>
      </c>
      <c r="E1064" s="336" t="s">
        <v>820</v>
      </c>
    </row>
    <row r="1065" spans="1:5" x14ac:dyDescent="0.2">
      <c r="A1065" s="335">
        <v>1001348228</v>
      </c>
      <c r="B1065" s="336" t="s">
        <v>1867</v>
      </c>
      <c r="C1065" s="336" t="s">
        <v>813</v>
      </c>
      <c r="D1065" s="336" t="s">
        <v>819</v>
      </c>
      <c r="E1065" s="336" t="s">
        <v>820</v>
      </c>
    </row>
    <row r="1066" spans="1:5" x14ac:dyDescent="0.2">
      <c r="A1066" s="335">
        <v>1001348548</v>
      </c>
      <c r="B1066" s="336" t="s">
        <v>1868</v>
      </c>
      <c r="C1066" s="336" t="s">
        <v>813</v>
      </c>
      <c r="D1066" s="336" t="s">
        <v>819</v>
      </c>
      <c r="E1066" s="336" t="s">
        <v>820</v>
      </c>
    </row>
    <row r="1067" spans="1:5" x14ac:dyDescent="0.2">
      <c r="A1067" s="335">
        <v>1001348830</v>
      </c>
      <c r="B1067" s="336" t="s">
        <v>1869</v>
      </c>
      <c r="C1067" s="336" t="s">
        <v>813</v>
      </c>
      <c r="D1067" s="336" t="s">
        <v>819</v>
      </c>
      <c r="E1067" s="336" t="s">
        <v>820</v>
      </c>
    </row>
    <row r="1068" spans="1:5" x14ac:dyDescent="0.2">
      <c r="A1068" s="335">
        <v>1001348839</v>
      </c>
      <c r="B1068" s="336" t="s">
        <v>811</v>
      </c>
      <c r="C1068" s="336" t="s">
        <v>813</v>
      </c>
      <c r="D1068" s="336" t="s">
        <v>819</v>
      </c>
      <c r="E1068" s="336" t="s">
        <v>820</v>
      </c>
    </row>
    <row r="1069" spans="1:5" x14ac:dyDescent="0.2">
      <c r="A1069" s="335">
        <v>1001349144</v>
      </c>
      <c r="B1069" s="336" t="s">
        <v>1870</v>
      </c>
      <c r="C1069" s="336" t="s">
        <v>813</v>
      </c>
      <c r="D1069" s="336" t="s">
        <v>819</v>
      </c>
      <c r="E1069" s="336" t="s">
        <v>820</v>
      </c>
    </row>
    <row r="1070" spans="1:5" x14ac:dyDescent="0.2">
      <c r="A1070" s="335">
        <v>1001349284</v>
      </c>
      <c r="B1070" s="336" t="s">
        <v>1871</v>
      </c>
      <c r="C1070" s="336" t="s">
        <v>813</v>
      </c>
      <c r="D1070" s="336" t="s">
        <v>819</v>
      </c>
      <c r="E1070" s="336" t="s">
        <v>820</v>
      </c>
    </row>
    <row r="1071" spans="1:5" x14ac:dyDescent="0.2">
      <c r="A1071" s="335">
        <v>1001349360</v>
      </c>
      <c r="B1071" s="336" t="s">
        <v>1845</v>
      </c>
      <c r="C1071" s="336" t="s">
        <v>813</v>
      </c>
      <c r="D1071" s="336" t="s">
        <v>819</v>
      </c>
      <c r="E1071" s="336" t="s">
        <v>820</v>
      </c>
    </row>
    <row r="1072" spans="1:5" x14ac:dyDescent="0.2">
      <c r="A1072" s="335">
        <v>1001349361</v>
      </c>
      <c r="B1072" s="336" t="s">
        <v>1872</v>
      </c>
      <c r="C1072" s="336" t="s">
        <v>813</v>
      </c>
      <c r="D1072" s="336" t="s">
        <v>819</v>
      </c>
      <c r="E1072" s="336" t="s">
        <v>820</v>
      </c>
    </row>
    <row r="1073" spans="1:5" x14ac:dyDescent="0.2">
      <c r="A1073" s="335">
        <v>1001349484</v>
      </c>
      <c r="B1073" s="336" t="s">
        <v>1845</v>
      </c>
      <c r="C1073" s="336" t="s">
        <v>813</v>
      </c>
      <c r="D1073" s="336" t="s">
        <v>819</v>
      </c>
      <c r="E1073" s="336" t="s">
        <v>820</v>
      </c>
    </row>
    <row r="1074" spans="1:5" x14ac:dyDescent="0.2">
      <c r="A1074" s="335">
        <v>1001349486</v>
      </c>
      <c r="B1074" s="336" t="s">
        <v>1873</v>
      </c>
      <c r="C1074" s="336" t="s">
        <v>813</v>
      </c>
      <c r="D1074" s="336" t="s">
        <v>819</v>
      </c>
      <c r="E1074" s="336" t="s">
        <v>820</v>
      </c>
    </row>
    <row r="1075" spans="1:5" x14ac:dyDescent="0.2">
      <c r="A1075" s="335">
        <v>1001349488</v>
      </c>
      <c r="B1075" s="336" t="s">
        <v>1874</v>
      </c>
      <c r="C1075" s="336" t="s">
        <v>813</v>
      </c>
      <c r="D1075" s="336" t="s">
        <v>819</v>
      </c>
      <c r="E1075" s="336" t="s">
        <v>820</v>
      </c>
    </row>
    <row r="1076" spans="1:5" x14ac:dyDescent="0.2">
      <c r="A1076" s="335">
        <v>1001349489</v>
      </c>
      <c r="B1076" s="336" t="s">
        <v>1875</v>
      </c>
      <c r="C1076" s="336" t="s">
        <v>813</v>
      </c>
      <c r="D1076" s="336" t="s">
        <v>819</v>
      </c>
      <c r="E1076" s="336" t="s">
        <v>820</v>
      </c>
    </row>
    <row r="1077" spans="1:5" x14ac:dyDescent="0.2">
      <c r="A1077" s="335">
        <v>1001349502</v>
      </c>
      <c r="B1077" s="336" t="s">
        <v>1876</v>
      </c>
      <c r="C1077" s="336" t="s">
        <v>813</v>
      </c>
      <c r="D1077" s="336" t="s">
        <v>819</v>
      </c>
      <c r="E1077" s="336" t="s">
        <v>820</v>
      </c>
    </row>
    <row r="1078" spans="1:5" x14ac:dyDescent="0.2">
      <c r="A1078" s="335">
        <v>1001349810</v>
      </c>
      <c r="B1078" s="336" t="s">
        <v>1877</v>
      </c>
      <c r="C1078" s="336" t="s">
        <v>813</v>
      </c>
      <c r="D1078" s="336" t="s">
        <v>819</v>
      </c>
      <c r="E1078" s="336" t="s">
        <v>820</v>
      </c>
    </row>
    <row r="1079" spans="1:5" x14ac:dyDescent="0.2">
      <c r="A1079" s="335">
        <v>1001350231</v>
      </c>
      <c r="B1079" s="336" t="s">
        <v>1878</v>
      </c>
      <c r="C1079" s="336" t="s">
        <v>863</v>
      </c>
      <c r="D1079" s="336" t="s">
        <v>819</v>
      </c>
      <c r="E1079" s="336" t="s">
        <v>820</v>
      </c>
    </row>
    <row r="1080" spans="1:5" x14ac:dyDescent="0.2">
      <c r="A1080" s="335">
        <v>1001350238</v>
      </c>
      <c r="B1080" s="336" t="s">
        <v>1879</v>
      </c>
      <c r="C1080" s="336" t="s">
        <v>813</v>
      </c>
      <c r="D1080" s="336" t="s">
        <v>819</v>
      </c>
      <c r="E1080" s="336" t="s">
        <v>820</v>
      </c>
    </row>
    <row r="1081" spans="1:5" x14ac:dyDescent="0.2">
      <c r="A1081" s="335">
        <v>1001350446</v>
      </c>
      <c r="B1081" s="336" t="s">
        <v>1880</v>
      </c>
      <c r="C1081" s="336" t="s">
        <v>863</v>
      </c>
      <c r="D1081" s="336" t="s">
        <v>819</v>
      </c>
      <c r="E1081" s="336" t="s">
        <v>820</v>
      </c>
    </row>
    <row r="1082" spans="1:5" x14ac:dyDescent="0.2">
      <c r="A1082" s="335">
        <v>1001358206</v>
      </c>
      <c r="B1082" s="336" t="s">
        <v>1881</v>
      </c>
      <c r="C1082" s="336" t="s">
        <v>813</v>
      </c>
      <c r="D1082" s="336" t="s">
        <v>819</v>
      </c>
      <c r="E1082" s="336" t="s">
        <v>820</v>
      </c>
    </row>
    <row r="1083" spans="1:5" x14ac:dyDescent="0.2">
      <c r="A1083" s="335">
        <v>1001358217</v>
      </c>
      <c r="B1083" s="336" t="s">
        <v>1882</v>
      </c>
      <c r="C1083" s="336" t="s">
        <v>813</v>
      </c>
      <c r="D1083" s="336" t="s">
        <v>819</v>
      </c>
      <c r="E1083" s="336" t="s">
        <v>820</v>
      </c>
    </row>
    <row r="1084" spans="1:5" x14ac:dyDescent="0.2">
      <c r="A1084" s="335">
        <v>1001358236</v>
      </c>
      <c r="B1084" s="336" t="s">
        <v>1883</v>
      </c>
      <c r="C1084" s="336" t="s">
        <v>813</v>
      </c>
      <c r="D1084" s="336" t="s">
        <v>819</v>
      </c>
      <c r="E1084" s="336" t="s">
        <v>820</v>
      </c>
    </row>
    <row r="1085" spans="1:5" x14ac:dyDescent="0.2">
      <c r="A1085" s="335">
        <v>1001262001</v>
      </c>
      <c r="B1085" s="336" t="s">
        <v>1884</v>
      </c>
      <c r="C1085" s="336" t="s">
        <v>797</v>
      </c>
      <c r="D1085" s="336" t="s">
        <v>798</v>
      </c>
      <c r="E1085" s="336" t="s">
        <v>392</v>
      </c>
    </row>
    <row r="1086" spans="1:5" x14ac:dyDescent="0.2">
      <c r="A1086" s="335">
        <v>1001262063</v>
      </c>
      <c r="B1086" s="336" t="s">
        <v>1885</v>
      </c>
      <c r="C1086" s="336" t="s">
        <v>797</v>
      </c>
      <c r="D1086" s="336" t="s">
        <v>798</v>
      </c>
      <c r="E1086" s="336" t="s">
        <v>392</v>
      </c>
    </row>
    <row r="1087" spans="1:5" x14ac:dyDescent="0.2">
      <c r="A1087" s="335">
        <v>1001262805</v>
      </c>
      <c r="B1087" s="336" t="s">
        <v>1886</v>
      </c>
      <c r="C1087" s="336" t="s">
        <v>813</v>
      </c>
      <c r="D1087" s="336" t="s">
        <v>798</v>
      </c>
      <c r="E1087" s="336" t="s">
        <v>392</v>
      </c>
    </row>
    <row r="1088" spans="1:5" x14ac:dyDescent="0.2">
      <c r="A1088" s="335">
        <v>1001263321</v>
      </c>
      <c r="B1088" s="336" t="s">
        <v>1887</v>
      </c>
      <c r="C1088" s="336" t="s">
        <v>797</v>
      </c>
      <c r="D1088" s="336" t="s">
        <v>798</v>
      </c>
      <c r="E1088" s="336" t="s">
        <v>392</v>
      </c>
    </row>
    <row r="1089" spans="1:5" x14ac:dyDescent="0.2">
      <c r="A1089" s="335">
        <v>1001263637</v>
      </c>
      <c r="B1089" s="336" t="s">
        <v>843</v>
      </c>
      <c r="C1089" s="336" t="s">
        <v>863</v>
      </c>
      <c r="D1089" s="336" t="s">
        <v>798</v>
      </c>
      <c r="E1089" s="336" t="s">
        <v>392</v>
      </c>
    </row>
    <row r="1090" spans="1:5" x14ac:dyDescent="0.2">
      <c r="A1090" s="335">
        <v>1001264593</v>
      </c>
      <c r="B1090" s="336" t="s">
        <v>1888</v>
      </c>
      <c r="C1090" s="336" t="s">
        <v>813</v>
      </c>
      <c r="D1090" s="336" t="s">
        <v>798</v>
      </c>
      <c r="E1090" s="336" t="s">
        <v>392</v>
      </c>
    </row>
    <row r="1091" spans="1:5" x14ac:dyDescent="0.2">
      <c r="A1091" s="335">
        <v>1001264724</v>
      </c>
      <c r="B1091" s="336" t="s">
        <v>1889</v>
      </c>
      <c r="C1091" s="336" t="s">
        <v>813</v>
      </c>
      <c r="D1091" s="336" t="s">
        <v>798</v>
      </c>
      <c r="E1091" s="336" t="s">
        <v>392</v>
      </c>
    </row>
    <row r="1092" spans="1:5" x14ac:dyDescent="0.2">
      <c r="A1092" s="335">
        <v>1001265559</v>
      </c>
      <c r="B1092" s="336" t="s">
        <v>1890</v>
      </c>
      <c r="C1092" s="336" t="s">
        <v>797</v>
      </c>
      <c r="D1092" s="336" t="s">
        <v>798</v>
      </c>
      <c r="E1092" s="336" t="s">
        <v>392</v>
      </c>
    </row>
    <row r="1093" spans="1:5" x14ac:dyDescent="0.2">
      <c r="A1093" s="335">
        <v>1001266712</v>
      </c>
      <c r="B1093" s="336" t="s">
        <v>1891</v>
      </c>
      <c r="C1093" s="336" t="s">
        <v>797</v>
      </c>
      <c r="D1093" s="336" t="s">
        <v>798</v>
      </c>
      <c r="E1093" s="336" t="s">
        <v>392</v>
      </c>
    </row>
    <row r="1094" spans="1:5" x14ac:dyDescent="0.2">
      <c r="A1094" s="335">
        <v>1001266797</v>
      </c>
      <c r="B1094" s="336" t="s">
        <v>1892</v>
      </c>
      <c r="C1094" s="336" t="s">
        <v>1097</v>
      </c>
      <c r="D1094" s="336" t="s">
        <v>798</v>
      </c>
      <c r="E1094" s="336" t="s">
        <v>392</v>
      </c>
    </row>
    <row r="1095" spans="1:5" x14ac:dyDescent="0.2">
      <c r="A1095" s="335">
        <v>1001266912</v>
      </c>
      <c r="B1095" s="336" t="s">
        <v>1020</v>
      </c>
      <c r="C1095" s="336" t="s">
        <v>797</v>
      </c>
      <c r="D1095" s="336" t="s">
        <v>798</v>
      </c>
      <c r="E1095" s="336" t="s">
        <v>392</v>
      </c>
    </row>
    <row r="1096" spans="1:5" x14ac:dyDescent="0.2">
      <c r="A1096" s="335">
        <v>1001266943</v>
      </c>
      <c r="B1096" s="336" t="s">
        <v>906</v>
      </c>
      <c r="C1096" s="336" t="s">
        <v>863</v>
      </c>
      <c r="D1096" s="336" t="s">
        <v>798</v>
      </c>
      <c r="E1096" s="336" t="s">
        <v>392</v>
      </c>
    </row>
    <row r="1097" spans="1:5" x14ac:dyDescent="0.2">
      <c r="A1097" s="335">
        <v>1001267686</v>
      </c>
      <c r="B1097" s="336" t="s">
        <v>1893</v>
      </c>
      <c r="C1097" s="336" t="s">
        <v>813</v>
      </c>
      <c r="D1097" s="336" t="s">
        <v>798</v>
      </c>
      <c r="E1097" s="336" t="s">
        <v>392</v>
      </c>
    </row>
    <row r="1098" spans="1:5" x14ac:dyDescent="0.2">
      <c r="A1098" s="335">
        <v>1001268250</v>
      </c>
      <c r="B1098" s="336" t="s">
        <v>1894</v>
      </c>
      <c r="C1098" s="336" t="s">
        <v>1097</v>
      </c>
      <c r="D1098" s="336" t="s">
        <v>798</v>
      </c>
      <c r="E1098" s="336" t="s">
        <v>392</v>
      </c>
    </row>
    <row r="1099" spans="1:5" x14ac:dyDescent="0.2">
      <c r="A1099" s="335">
        <v>1001268256</v>
      </c>
      <c r="B1099" s="336" t="s">
        <v>1895</v>
      </c>
      <c r="C1099" s="336" t="s">
        <v>863</v>
      </c>
      <c r="D1099" s="336" t="s">
        <v>798</v>
      </c>
      <c r="E1099" s="336" t="s">
        <v>392</v>
      </c>
    </row>
    <row r="1100" spans="1:5" x14ac:dyDescent="0.2">
      <c r="A1100" s="335">
        <v>1001268263</v>
      </c>
      <c r="B1100" s="336" t="s">
        <v>1896</v>
      </c>
      <c r="C1100" s="336" t="s">
        <v>1097</v>
      </c>
      <c r="D1100" s="336" t="s">
        <v>798</v>
      </c>
      <c r="E1100" s="336" t="s">
        <v>392</v>
      </c>
    </row>
    <row r="1101" spans="1:5" x14ac:dyDescent="0.2">
      <c r="A1101" s="335">
        <v>1001268298</v>
      </c>
      <c r="B1101" s="336" t="s">
        <v>1897</v>
      </c>
      <c r="C1101" s="336" t="s">
        <v>863</v>
      </c>
      <c r="D1101" s="336" t="s">
        <v>798</v>
      </c>
      <c r="E1101" s="336" t="s">
        <v>392</v>
      </c>
    </row>
    <row r="1102" spans="1:5" x14ac:dyDescent="0.2">
      <c r="A1102" s="335">
        <v>1001268330</v>
      </c>
      <c r="B1102" s="336" t="s">
        <v>906</v>
      </c>
      <c r="C1102" s="336" t="s">
        <v>797</v>
      </c>
      <c r="D1102" s="336" t="s">
        <v>798</v>
      </c>
      <c r="E1102" s="336" t="s">
        <v>392</v>
      </c>
    </row>
    <row r="1103" spans="1:5" x14ac:dyDescent="0.2">
      <c r="A1103" s="335">
        <v>1001268419</v>
      </c>
      <c r="B1103" s="336" t="s">
        <v>1898</v>
      </c>
      <c r="C1103" s="336" t="s">
        <v>863</v>
      </c>
      <c r="D1103" s="336" t="s">
        <v>798</v>
      </c>
      <c r="E1103" s="336" t="s">
        <v>392</v>
      </c>
    </row>
    <row r="1104" spans="1:5" x14ac:dyDescent="0.2">
      <c r="A1104" s="335">
        <v>1001268564</v>
      </c>
      <c r="B1104" s="336" t="s">
        <v>857</v>
      </c>
      <c r="C1104" s="336" t="s">
        <v>797</v>
      </c>
      <c r="D1104" s="336" t="s">
        <v>798</v>
      </c>
      <c r="E1104" s="336" t="s">
        <v>392</v>
      </c>
    </row>
    <row r="1105" spans="1:5" x14ac:dyDescent="0.2">
      <c r="A1105" s="335">
        <v>1001268715</v>
      </c>
      <c r="B1105" s="336" t="s">
        <v>1105</v>
      </c>
      <c r="C1105" s="336" t="s">
        <v>863</v>
      </c>
      <c r="D1105" s="336" t="s">
        <v>798</v>
      </c>
      <c r="E1105" s="336" t="s">
        <v>392</v>
      </c>
    </row>
    <row r="1106" spans="1:5" x14ac:dyDescent="0.2">
      <c r="A1106" s="335">
        <v>1001268716</v>
      </c>
      <c r="B1106" s="336" t="s">
        <v>1105</v>
      </c>
      <c r="C1106" s="336" t="s">
        <v>863</v>
      </c>
      <c r="D1106" s="336" t="s">
        <v>798</v>
      </c>
      <c r="E1106" s="336" t="s">
        <v>392</v>
      </c>
    </row>
    <row r="1107" spans="1:5" x14ac:dyDescent="0.2">
      <c r="A1107" s="335">
        <v>1001268787</v>
      </c>
      <c r="B1107" s="336" t="s">
        <v>1899</v>
      </c>
      <c r="C1107" s="336" t="s">
        <v>863</v>
      </c>
      <c r="D1107" s="336" t="s">
        <v>798</v>
      </c>
      <c r="E1107" s="336" t="s">
        <v>392</v>
      </c>
    </row>
    <row r="1108" spans="1:5" x14ac:dyDescent="0.2">
      <c r="A1108" s="335">
        <v>1001268811</v>
      </c>
      <c r="B1108" s="336" t="s">
        <v>1900</v>
      </c>
      <c r="C1108" s="336" t="s">
        <v>797</v>
      </c>
      <c r="D1108" s="336" t="s">
        <v>798</v>
      </c>
      <c r="E1108" s="336" t="s">
        <v>392</v>
      </c>
    </row>
    <row r="1109" spans="1:5" x14ac:dyDescent="0.2">
      <c r="A1109" s="335">
        <v>1001268816</v>
      </c>
      <c r="B1109" s="336" t="s">
        <v>1901</v>
      </c>
      <c r="C1109" s="336" t="s">
        <v>797</v>
      </c>
      <c r="D1109" s="336" t="s">
        <v>798</v>
      </c>
      <c r="E1109" s="336" t="s">
        <v>392</v>
      </c>
    </row>
    <row r="1110" spans="1:5" x14ac:dyDescent="0.2">
      <c r="A1110" s="335">
        <v>1001268817</v>
      </c>
      <c r="B1110" s="336" t="s">
        <v>1902</v>
      </c>
      <c r="C1110" s="336" t="s">
        <v>797</v>
      </c>
      <c r="D1110" s="336" t="s">
        <v>798</v>
      </c>
      <c r="E1110" s="336" t="s">
        <v>392</v>
      </c>
    </row>
    <row r="1111" spans="1:5" x14ac:dyDescent="0.2">
      <c r="A1111" s="335">
        <v>1001268837</v>
      </c>
      <c r="B1111" s="336" t="s">
        <v>1903</v>
      </c>
      <c r="C1111" s="336" t="s">
        <v>797</v>
      </c>
      <c r="D1111" s="336" t="s">
        <v>798</v>
      </c>
      <c r="E1111" s="336" t="s">
        <v>392</v>
      </c>
    </row>
    <row r="1112" spans="1:5" x14ac:dyDescent="0.2">
      <c r="A1112" s="335">
        <v>1001268852</v>
      </c>
      <c r="B1112" s="336" t="s">
        <v>1904</v>
      </c>
      <c r="C1112" s="336" t="s">
        <v>797</v>
      </c>
      <c r="D1112" s="336" t="s">
        <v>798</v>
      </c>
      <c r="E1112" s="336" t="s">
        <v>392</v>
      </c>
    </row>
    <row r="1113" spans="1:5" x14ac:dyDescent="0.2">
      <c r="A1113" s="335">
        <v>1001268955</v>
      </c>
      <c r="B1113" s="336" t="s">
        <v>796</v>
      </c>
      <c r="C1113" s="336" t="s">
        <v>797</v>
      </c>
      <c r="D1113" s="336" t="s">
        <v>798</v>
      </c>
      <c r="E1113" s="336" t="s">
        <v>392</v>
      </c>
    </row>
    <row r="1114" spans="1:5" x14ac:dyDescent="0.2">
      <c r="A1114" s="335">
        <v>1001269451</v>
      </c>
      <c r="B1114" s="336" t="s">
        <v>1905</v>
      </c>
      <c r="C1114" s="336" t="s">
        <v>813</v>
      </c>
      <c r="D1114" s="336" t="s">
        <v>798</v>
      </c>
      <c r="E1114" s="336" t="s">
        <v>392</v>
      </c>
    </row>
    <row r="1115" spans="1:5" x14ac:dyDescent="0.2">
      <c r="A1115" s="335">
        <v>1001269725</v>
      </c>
      <c r="B1115" s="336" t="s">
        <v>1906</v>
      </c>
      <c r="C1115" s="336" t="s">
        <v>797</v>
      </c>
      <c r="D1115" s="336" t="s">
        <v>798</v>
      </c>
      <c r="E1115" s="336" t="s">
        <v>392</v>
      </c>
    </row>
    <row r="1116" spans="1:5" x14ac:dyDescent="0.2">
      <c r="A1116" s="335">
        <v>1001270113</v>
      </c>
      <c r="B1116" s="336" t="s">
        <v>1907</v>
      </c>
      <c r="C1116" s="336" t="s">
        <v>797</v>
      </c>
      <c r="D1116" s="336" t="s">
        <v>798</v>
      </c>
      <c r="E1116" s="336" t="s">
        <v>392</v>
      </c>
    </row>
    <row r="1117" spans="1:5" x14ac:dyDescent="0.2">
      <c r="A1117" s="335">
        <v>1001270247</v>
      </c>
      <c r="B1117" s="336" t="s">
        <v>1908</v>
      </c>
      <c r="C1117" s="336" t="s">
        <v>797</v>
      </c>
      <c r="D1117" s="336" t="s">
        <v>798</v>
      </c>
      <c r="E1117" s="336" t="s">
        <v>392</v>
      </c>
    </row>
    <row r="1118" spans="1:5" x14ac:dyDescent="0.2">
      <c r="A1118" s="335">
        <v>1001270583</v>
      </c>
      <c r="B1118" s="336" t="s">
        <v>1909</v>
      </c>
      <c r="C1118" s="336" t="s">
        <v>813</v>
      </c>
      <c r="D1118" s="336" t="s">
        <v>798</v>
      </c>
      <c r="E1118" s="336" t="s">
        <v>392</v>
      </c>
    </row>
    <row r="1119" spans="1:5" x14ac:dyDescent="0.2">
      <c r="A1119" s="335">
        <v>1001270723</v>
      </c>
      <c r="B1119" s="336" t="s">
        <v>1910</v>
      </c>
      <c r="C1119" s="336" t="s">
        <v>813</v>
      </c>
      <c r="D1119" s="336" t="s">
        <v>798</v>
      </c>
      <c r="E1119" s="336" t="s">
        <v>392</v>
      </c>
    </row>
    <row r="1120" spans="1:5" x14ac:dyDescent="0.2">
      <c r="A1120" s="335">
        <v>1001270818</v>
      </c>
      <c r="B1120" s="336" t="s">
        <v>1911</v>
      </c>
      <c r="C1120" s="336" t="s">
        <v>797</v>
      </c>
      <c r="D1120" s="336" t="s">
        <v>798</v>
      </c>
      <c r="E1120" s="336" t="s">
        <v>392</v>
      </c>
    </row>
    <row r="1121" spans="1:5" x14ac:dyDescent="0.2">
      <c r="A1121" s="335">
        <v>1001271006</v>
      </c>
      <c r="B1121" s="336" t="s">
        <v>1912</v>
      </c>
      <c r="C1121" s="336" t="s">
        <v>797</v>
      </c>
      <c r="D1121" s="336" t="s">
        <v>798</v>
      </c>
      <c r="E1121" s="336" t="s">
        <v>392</v>
      </c>
    </row>
    <row r="1122" spans="1:5" x14ac:dyDescent="0.2">
      <c r="A1122" s="335">
        <v>1001271204</v>
      </c>
      <c r="B1122" s="336" t="s">
        <v>1913</v>
      </c>
      <c r="C1122" s="336" t="s">
        <v>863</v>
      </c>
      <c r="D1122" s="336" t="s">
        <v>798</v>
      </c>
      <c r="E1122" s="336" t="s">
        <v>392</v>
      </c>
    </row>
    <row r="1123" spans="1:5" x14ac:dyDescent="0.2">
      <c r="A1123" s="335">
        <v>1001271356</v>
      </c>
      <c r="B1123" s="336" t="s">
        <v>1914</v>
      </c>
      <c r="C1123" s="336" t="s">
        <v>813</v>
      </c>
      <c r="D1123" s="336" t="s">
        <v>798</v>
      </c>
      <c r="E1123" s="336" t="s">
        <v>392</v>
      </c>
    </row>
    <row r="1124" spans="1:5" x14ac:dyDescent="0.2">
      <c r="A1124" s="335">
        <v>1001271943</v>
      </c>
      <c r="B1124" s="336" t="s">
        <v>1915</v>
      </c>
      <c r="C1124" s="336" t="s">
        <v>797</v>
      </c>
      <c r="D1124" s="336" t="s">
        <v>798</v>
      </c>
      <c r="E1124" s="336" t="s">
        <v>392</v>
      </c>
    </row>
    <row r="1125" spans="1:5" x14ac:dyDescent="0.2">
      <c r="A1125" s="335">
        <v>1001272251</v>
      </c>
      <c r="B1125" s="336" t="s">
        <v>1759</v>
      </c>
      <c r="C1125" s="336" t="s">
        <v>797</v>
      </c>
      <c r="D1125" s="336" t="s">
        <v>798</v>
      </c>
      <c r="E1125" s="336" t="s">
        <v>392</v>
      </c>
    </row>
    <row r="1126" spans="1:5" x14ac:dyDescent="0.2">
      <c r="A1126" s="335">
        <v>1001272440</v>
      </c>
      <c r="B1126" s="336" t="s">
        <v>1916</v>
      </c>
      <c r="C1126" s="336" t="s">
        <v>797</v>
      </c>
      <c r="D1126" s="336" t="s">
        <v>798</v>
      </c>
      <c r="E1126" s="336" t="s">
        <v>392</v>
      </c>
    </row>
    <row r="1127" spans="1:5" x14ac:dyDescent="0.2">
      <c r="A1127" s="335">
        <v>1001272442</v>
      </c>
      <c r="B1127" s="336" t="s">
        <v>1917</v>
      </c>
      <c r="C1127" s="336" t="s">
        <v>797</v>
      </c>
      <c r="D1127" s="336" t="s">
        <v>798</v>
      </c>
      <c r="E1127" s="336" t="s">
        <v>392</v>
      </c>
    </row>
    <row r="1128" spans="1:5" x14ac:dyDescent="0.2">
      <c r="A1128" s="335">
        <v>1001272443</v>
      </c>
      <c r="B1128" s="336" t="s">
        <v>1918</v>
      </c>
      <c r="C1128" s="336" t="s">
        <v>797</v>
      </c>
      <c r="D1128" s="336" t="s">
        <v>798</v>
      </c>
      <c r="E1128" s="336" t="s">
        <v>392</v>
      </c>
    </row>
    <row r="1129" spans="1:5" x14ac:dyDescent="0.2">
      <c r="A1129" s="335">
        <v>1001273239</v>
      </c>
      <c r="B1129" s="336" t="s">
        <v>1919</v>
      </c>
      <c r="C1129" s="336" t="s">
        <v>797</v>
      </c>
      <c r="D1129" s="336" t="s">
        <v>798</v>
      </c>
      <c r="E1129" s="336" t="s">
        <v>392</v>
      </c>
    </row>
    <row r="1130" spans="1:5" x14ac:dyDescent="0.2">
      <c r="A1130" s="335">
        <v>1001273294</v>
      </c>
      <c r="B1130" s="336" t="s">
        <v>1920</v>
      </c>
      <c r="C1130" s="336" t="s">
        <v>797</v>
      </c>
      <c r="D1130" s="336" t="s">
        <v>798</v>
      </c>
      <c r="E1130" s="336" t="s">
        <v>392</v>
      </c>
    </row>
    <row r="1131" spans="1:5" x14ac:dyDescent="0.2">
      <c r="A1131" s="335">
        <v>1001274094</v>
      </c>
      <c r="B1131" s="336" t="s">
        <v>1921</v>
      </c>
      <c r="C1131" s="336" t="s">
        <v>1097</v>
      </c>
      <c r="D1131" s="336" t="s">
        <v>798</v>
      </c>
      <c r="E1131" s="336" t="s">
        <v>392</v>
      </c>
    </row>
    <row r="1132" spans="1:5" x14ac:dyDescent="0.2">
      <c r="A1132" s="335">
        <v>1001274545</v>
      </c>
      <c r="B1132" s="336" t="s">
        <v>1922</v>
      </c>
      <c r="C1132" s="336" t="s">
        <v>797</v>
      </c>
      <c r="D1132" s="336" t="s">
        <v>798</v>
      </c>
      <c r="E1132" s="336" t="s">
        <v>392</v>
      </c>
    </row>
    <row r="1133" spans="1:5" x14ac:dyDescent="0.2">
      <c r="A1133" s="335">
        <v>1001275033</v>
      </c>
      <c r="B1133" s="336" t="s">
        <v>1923</v>
      </c>
      <c r="C1133" s="336" t="s">
        <v>797</v>
      </c>
      <c r="D1133" s="336" t="s">
        <v>798</v>
      </c>
      <c r="E1133" s="336" t="s">
        <v>392</v>
      </c>
    </row>
    <row r="1134" spans="1:5" x14ac:dyDescent="0.2">
      <c r="A1134" s="335">
        <v>1001275104</v>
      </c>
      <c r="B1134" s="336" t="s">
        <v>1924</v>
      </c>
      <c r="C1134" s="336" t="s">
        <v>797</v>
      </c>
      <c r="D1134" s="336" t="s">
        <v>798</v>
      </c>
      <c r="E1134" s="336" t="s">
        <v>392</v>
      </c>
    </row>
    <row r="1135" spans="1:5" x14ac:dyDescent="0.2">
      <c r="A1135" s="335">
        <v>1001275329</v>
      </c>
      <c r="B1135" s="336" t="s">
        <v>1003</v>
      </c>
      <c r="C1135" s="336" t="s">
        <v>797</v>
      </c>
      <c r="D1135" s="336" t="s">
        <v>798</v>
      </c>
      <c r="E1135" s="336" t="s">
        <v>392</v>
      </c>
    </row>
    <row r="1136" spans="1:5" x14ac:dyDescent="0.2">
      <c r="A1136" s="335">
        <v>1001275480</v>
      </c>
      <c r="B1136" s="336" t="s">
        <v>1925</v>
      </c>
      <c r="C1136" s="336" t="s">
        <v>863</v>
      </c>
      <c r="D1136" s="336" t="s">
        <v>798</v>
      </c>
      <c r="E1136" s="336" t="s">
        <v>392</v>
      </c>
    </row>
    <row r="1137" spans="1:5" x14ac:dyDescent="0.2">
      <c r="A1137" s="335">
        <v>1001275807</v>
      </c>
      <c r="B1137" s="336" t="s">
        <v>1926</v>
      </c>
      <c r="C1137" s="336" t="s">
        <v>797</v>
      </c>
      <c r="D1137" s="336" t="s">
        <v>798</v>
      </c>
      <c r="E1137" s="336" t="s">
        <v>392</v>
      </c>
    </row>
    <row r="1138" spans="1:5" x14ac:dyDescent="0.2">
      <c r="A1138" s="335">
        <v>1001275872</v>
      </c>
      <c r="B1138" s="336" t="s">
        <v>1927</v>
      </c>
      <c r="C1138" s="336" t="s">
        <v>797</v>
      </c>
      <c r="D1138" s="336" t="s">
        <v>798</v>
      </c>
      <c r="E1138" s="336" t="s">
        <v>392</v>
      </c>
    </row>
    <row r="1139" spans="1:5" x14ac:dyDescent="0.2">
      <c r="A1139" s="335">
        <v>1001275873</v>
      </c>
      <c r="B1139" s="336" t="s">
        <v>1928</v>
      </c>
      <c r="C1139" s="336" t="s">
        <v>797</v>
      </c>
      <c r="D1139" s="336" t="s">
        <v>798</v>
      </c>
      <c r="E1139" s="336" t="s">
        <v>392</v>
      </c>
    </row>
    <row r="1140" spans="1:5" x14ac:dyDescent="0.2">
      <c r="A1140" s="335">
        <v>1001275915</v>
      </c>
      <c r="B1140" s="336" t="s">
        <v>1929</v>
      </c>
      <c r="C1140" s="336" t="s">
        <v>813</v>
      </c>
      <c r="D1140" s="336" t="s">
        <v>798</v>
      </c>
      <c r="E1140" s="336" t="s">
        <v>392</v>
      </c>
    </row>
    <row r="1141" spans="1:5" x14ac:dyDescent="0.2">
      <c r="A1141" s="335">
        <v>1001275936</v>
      </c>
      <c r="B1141" s="336" t="s">
        <v>999</v>
      </c>
      <c r="C1141" s="336" t="s">
        <v>797</v>
      </c>
      <c r="D1141" s="336" t="s">
        <v>798</v>
      </c>
      <c r="E1141" s="336" t="s">
        <v>392</v>
      </c>
    </row>
    <row r="1142" spans="1:5" x14ac:dyDescent="0.2">
      <c r="A1142" s="335">
        <v>1001277014</v>
      </c>
      <c r="B1142" s="336" t="s">
        <v>1930</v>
      </c>
      <c r="C1142" s="336" t="s">
        <v>797</v>
      </c>
      <c r="D1142" s="336" t="s">
        <v>798</v>
      </c>
      <c r="E1142" s="336" t="s">
        <v>392</v>
      </c>
    </row>
    <row r="1143" spans="1:5" x14ac:dyDescent="0.2">
      <c r="A1143" s="335">
        <v>1001277137</v>
      </c>
      <c r="B1143" s="336" t="s">
        <v>1931</v>
      </c>
      <c r="C1143" s="336" t="s">
        <v>813</v>
      </c>
      <c r="D1143" s="336" t="s">
        <v>798</v>
      </c>
      <c r="E1143" s="336" t="s">
        <v>392</v>
      </c>
    </row>
    <row r="1144" spans="1:5" x14ac:dyDescent="0.2">
      <c r="A1144" s="335">
        <v>1001277145</v>
      </c>
      <c r="B1144" s="336" t="s">
        <v>392</v>
      </c>
      <c r="C1144" s="336" t="s">
        <v>813</v>
      </c>
      <c r="D1144" s="336" t="s">
        <v>798</v>
      </c>
      <c r="E1144" s="336" t="s">
        <v>392</v>
      </c>
    </row>
    <row r="1145" spans="1:5" x14ac:dyDescent="0.2">
      <c r="A1145" s="335">
        <v>1001277259</v>
      </c>
      <c r="B1145" s="336" t="s">
        <v>1932</v>
      </c>
      <c r="C1145" s="336" t="s">
        <v>863</v>
      </c>
      <c r="D1145" s="336" t="s">
        <v>798</v>
      </c>
      <c r="E1145" s="336" t="s">
        <v>392</v>
      </c>
    </row>
    <row r="1146" spans="1:5" x14ac:dyDescent="0.2">
      <c r="A1146" s="335">
        <v>1001277311</v>
      </c>
      <c r="B1146" s="336" t="s">
        <v>1932</v>
      </c>
      <c r="C1146" s="336" t="s">
        <v>1097</v>
      </c>
      <c r="D1146" s="336" t="s">
        <v>798</v>
      </c>
      <c r="E1146" s="336" t="s">
        <v>392</v>
      </c>
    </row>
    <row r="1147" spans="1:5" x14ac:dyDescent="0.2">
      <c r="A1147" s="335">
        <v>1001277355</v>
      </c>
      <c r="B1147" s="336" t="s">
        <v>1933</v>
      </c>
      <c r="C1147" s="336" t="s">
        <v>797</v>
      </c>
      <c r="D1147" s="336" t="s">
        <v>798</v>
      </c>
      <c r="E1147" s="336" t="s">
        <v>392</v>
      </c>
    </row>
    <row r="1148" spans="1:5" x14ac:dyDescent="0.2">
      <c r="A1148" s="335">
        <v>1001277868</v>
      </c>
      <c r="B1148" s="336" t="s">
        <v>1934</v>
      </c>
      <c r="C1148" s="336" t="s">
        <v>813</v>
      </c>
      <c r="D1148" s="336" t="s">
        <v>798</v>
      </c>
      <c r="E1148" s="336" t="s">
        <v>392</v>
      </c>
    </row>
    <row r="1149" spans="1:5" x14ac:dyDescent="0.2">
      <c r="A1149" s="335">
        <v>1001278016</v>
      </c>
      <c r="B1149" s="336" t="s">
        <v>1935</v>
      </c>
      <c r="C1149" s="336" t="s">
        <v>797</v>
      </c>
      <c r="D1149" s="336" t="s">
        <v>798</v>
      </c>
      <c r="E1149" s="336" t="s">
        <v>392</v>
      </c>
    </row>
    <row r="1150" spans="1:5" x14ac:dyDescent="0.2">
      <c r="A1150" s="335">
        <v>1001278121</v>
      </c>
      <c r="B1150" s="336" t="s">
        <v>1936</v>
      </c>
      <c r="C1150" s="336" t="s">
        <v>797</v>
      </c>
      <c r="D1150" s="336" t="s">
        <v>798</v>
      </c>
      <c r="E1150" s="336" t="s">
        <v>392</v>
      </c>
    </row>
    <row r="1151" spans="1:5" x14ac:dyDescent="0.2">
      <c r="A1151" s="335">
        <v>1001278122</v>
      </c>
      <c r="B1151" s="336" t="s">
        <v>1937</v>
      </c>
      <c r="C1151" s="336" t="s">
        <v>797</v>
      </c>
      <c r="D1151" s="336" t="s">
        <v>798</v>
      </c>
      <c r="E1151" s="336" t="s">
        <v>392</v>
      </c>
    </row>
    <row r="1152" spans="1:5" x14ac:dyDescent="0.2">
      <c r="A1152" s="335">
        <v>1001278691</v>
      </c>
      <c r="B1152" s="336" t="s">
        <v>1932</v>
      </c>
      <c r="C1152" s="336" t="s">
        <v>863</v>
      </c>
      <c r="D1152" s="336" t="s">
        <v>798</v>
      </c>
      <c r="E1152" s="336" t="s">
        <v>392</v>
      </c>
    </row>
    <row r="1153" spans="1:5" x14ac:dyDescent="0.2">
      <c r="A1153" s="335">
        <v>1001278808</v>
      </c>
      <c r="B1153" s="336" t="s">
        <v>1938</v>
      </c>
      <c r="C1153" s="336" t="s">
        <v>797</v>
      </c>
      <c r="D1153" s="336" t="s">
        <v>798</v>
      </c>
      <c r="E1153" s="336" t="s">
        <v>392</v>
      </c>
    </row>
    <row r="1154" spans="1:5" x14ac:dyDescent="0.2">
      <c r="A1154" s="335">
        <v>1001279249</v>
      </c>
      <c r="B1154" s="336" t="s">
        <v>1939</v>
      </c>
      <c r="C1154" s="336" t="s">
        <v>1097</v>
      </c>
      <c r="D1154" s="336" t="s">
        <v>798</v>
      </c>
      <c r="E1154" s="336" t="s">
        <v>392</v>
      </c>
    </row>
    <row r="1155" spans="1:5" x14ac:dyDescent="0.2">
      <c r="A1155" s="335">
        <v>1001279322</v>
      </c>
      <c r="B1155" s="336" t="s">
        <v>1932</v>
      </c>
      <c r="C1155" s="336" t="s">
        <v>813</v>
      </c>
      <c r="D1155" s="336" t="s">
        <v>798</v>
      </c>
      <c r="E1155" s="336" t="s">
        <v>392</v>
      </c>
    </row>
    <row r="1156" spans="1:5" x14ac:dyDescent="0.2">
      <c r="A1156" s="335">
        <v>1001279323</v>
      </c>
      <c r="B1156" s="336" t="s">
        <v>1940</v>
      </c>
      <c r="C1156" s="336" t="s">
        <v>797</v>
      </c>
      <c r="D1156" s="336" t="s">
        <v>798</v>
      </c>
      <c r="E1156" s="336" t="s">
        <v>392</v>
      </c>
    </row>
    <row r="1157" spans="1:5" x14ac:dyDescent="0.2">
      <c r="A1157" s="335">
        <v>1001279995</v>
      </c>
      <c r="B1157" s="336" t="s">
        <v>1941</v>
      </c>
      <c r="C1157" s="336" t="s">
        <v>813</v>
      </c>
      <c r="D1157" s="336" t="s">
        <v>798</v>
      </c>
      <c r="E1157" s="336" t="s">
        <v>392</v>
      </c>
    </row>
    <row r="1158" spans="1:5" x14ac:dyDescent="0.2">
      <c r="A1158" s="335">
        <v>1001280004</v>
      </c>
      <c r="B1158" s="336" t="s">
        <v>1942</v>
      </c>
      <c r="C1158" s="336" t="s">
        <v>797</v>
      </c>
      <c r="D1158" s="336" t="s">
        <v>798</v>
      </c>
      <c r="E1158" s="336" t="s">
        <v>392</v>
      </c>
    </row>
    <row r="1159" spans="1:5" x14ac:dyDescent="0.2">
      <c r="A1159" s="335">
        <v>1001280064</v>
      </c>
      <c r="B1159" s="336" t="s">
        <v>1943</v>
      </c>
      <c r="C1159" s="336" t="s">
        <v>1097</v>
      </c>
      <c r="D1159" s="336" t="s">
        <v>798</v>
      </c>
      <c r="E1159" s="336" t="s">
        <v>392</v>
      </c>
    </row>
    <row r="1160" spans="1:5" x14ac:dyDescent="0.2">
      <c r="A1160" s="335">
        <v>1001280494</v>
      </c>
      <c r="B1160" s="336" t="s">
        <v>1944</v>
      </c>
      <c r="C1160" s="336" t="s">
        <v>813</v>
      </c>
      <c r="D1160" s="336" t="s">
        <v>798</v>
      </c>
      <c r="E1160" s="336" t="s">
        <v>392</v>
      </c>
    </row>
    <row r="1161" spans="1:5" x14ac:dyDescent="0.2">
      <c r="A1161" s="335">
        <v>1001280520</v>
      </c>
      <c r="B1161" s="336" t="s">
        <v>1945</v>
      </c>
      <c r="C1161" s="336" t="s">
        <v>797</v>
      </c>
      <c r="D1161" s="336" t="s">
        <v>798</v>
      </c>
      <c r="E1161" s="336" t="s">
        <v>392</v>
      </c>
    </row>
    <row r="1162" spans="1:5" x14ac:dyDescent="0.2">
      <c r="A1162" s="335">
        <v>1001280641</v>
      </c>
      <c r="B1162" s="336" t="s">
        <v>1946</v>
      </c>
      <c r="C1162" s="336" t="s">
        <v>863</v>
      </c>
      <c r="D1162" s="336" t="s">
        <v>798</v>
      </c>
      <c r="E1162" s="336" t="s">
        <v>392</v>
      </c>
    </row>
    <row r="1163" spans="1:5" x14ac:dyDescent="0.2">
      <c r="A1163" s="335">
        <v>1001280642</v>
      </c>
      <c r="B1163" s="336" t="s">
        <v>1947</v>
      </c>
      <c r="C1163" s="336" t="s">
        <v>863</v>
      </c>
      <c r="D1163" s="336" t="s">
        <v>798</v>
      </c>
      <c r="E1163" s="336" t="s">
        <v>392</v>
      </c>
    </row>
    <row r="1164" spans="1:5" x14ac:dyDescent="0.2">
      <c r="A1164" s="335">
        <v>1001280722</v>
      </c>
      <c r="B1164" s="336" t="s">
        <v>1948</v>
      </c>
      <c r="C1164" s="336" t="s">
        <v>797</v>
      </c>
      <c r="D1164" s="336" t="s">
        <v>798</v>
      </c>
      <c r="E1164" s="336" t="s">
        <v>392</v>
      </c>
    </row>
    <row r="1165" spans="1:5" x14ac:dyDescent="0.2">
      <c r="A1165" s="335">
        <v>1001280749</v>
      </c>
      <c r="B1165" s="336" t="s">
        <v>1090</v>
      </c>
      <c r="C1165" s="336" t="s">
        <v>797</v>
      </c>
      <c r="D1165" s="336" t="s">
        <v>798</v>
      </c>
      <c r="E1165" s="336" t="s">
        <v>392</v>
      </c>
    </row>
    <row r="1166" spans="1:5" x14ac:dyDescent="0.2">
      <c r="A1166" s="335">
        <v>1001288923</v>
      </c>
      <c r="B1166" s="336" t="s">
        <v>1949</v>
      </c>
      <c r="C1166" s="336" t="s">
        <v>813</v>
      </c>
      <c r="D1166" s="336" t="s">
        <v>798</v>
      </c>
      <c r="E1166" s="336" t="s">
        <v>392</v>
      </c>
    </row>
    <row r="1167" spans="1:5" x14ac:dyDescent="0.2">
      <c r="A1167" s="335">
        <v>1001288934</v>
      </c>
      <c r="B1167" s="336" t="s">
        <v>1950</v>
      </c>
      <c r="C1167" s="336" t="s">
        <v>797</v>
      </c>
      <c r="D1167" s="336" t="s">
        <v>798</v>
      </c>
      <c r="E1167" s="336" t="s">
        <v>392</v>
      </c>
    </row>
    <row r="1168" spans="1:5" x14ac:dyDescent="0.2">
      <c r="A1168" s="335">
        <v>1001289000</v>
      </c>
      <c r="B1168" s="336" t="s">
        <v>1951</v>
      </c>
      <c r="C1168" s="336" t="s">
        <v>797</v>
      </c>
      <c r="D1168" s="336" t="s">
        <v>798</v>
      </c>
      <c r="E1168" s="336" t="s">
        <v>392</v>
      </c>
    </row>
    <row r="1169" spans="1:5" x14ac:dyDescent="0.2">
      <c r="A1169" s="335">
        <v>1001289030</v>
      </c>
      <c r="B1169" s="336" t="s">
        <v>1952</v>
      </c>
      <c r="C1169" s="336" t="s">
        <v>813</v>
      </c>
      <c r="D1169" s="336" t="s">
        <v>798</v>
      </c>
      <c r="E1169" s="336" t="s">
        <v>392</v>
      </c>
    </row>
    <row r="1170" spans="1:5" x14ac:dyDescent="0.2">
      <c r="A1170" s="335">
        <v>1001289067</v>
      </c>
      <c r="B1170" s="336" t="s">
        <v>1953</v>
      </c>
      <c r="C1170" s="336" t="s">
        <v>797</v>
      </c>
      <c r="D1170" s="336" t="s">
        <v>798</v>
      </c>
      <c r="E1170" s="336" t="s">
        <v>392</v>
      </c>
    </row>
    <row r="1171" spans="1:5" x14ac:dyDescent="0.2">
      <c r="A1171" s="335">
        <v>1001289069</v>
      </c>
      <c r="B1171" s="336" t="s">
        <v>1954</v>
      </c>
      <c r="C1171" s="336" t="s">
        <v>797</v>
      </c>
      <c r="D1171" s="336" t="s">
        <v>798</v>
      </c>
      <c r="E1171" s="336" t="s">
        <v>392</v>
      </c>
    </row>
    <row r="1172" spans="1:5" x14ac:dyDescent="0.2">
      <c r="A1172" s="335">
        <v>1001290234</v>
      </c>
      <c r="B1172" s="336" t="s">
        <v>1955</v>
      </c>
      <c r="C1172" s="336" t="s">
        <v>797</v>
      </c>
      <c r="D1172" s="336" t="s">
        <v>798</v>
      </c>
      <c r="E1172" s="336" t="s">
        <v>392</v>
      </c>
    </row>
    <row r="1173" spans="1:5" x14ac:dyDescent="0.2">
      <c r="A1173" s="335">
        <v>1001290237</v>
      </c>
      <c r="B1173" s="336" t="s">
        <v>1956</v>
      </c>
      <c r="C1173" s="336" t="s">
        <v>797</v>
      </c>
      <c r="D1173" s="336" t="s">
        <v>798</v>
      </c>
      <c r="E1173" s="336" t="s">
        <v>392</v>
      </c>
    </row>
    <row r="1174" spans="1:5" x14ac:dyDescent="0.2">
      <c r="A1174" s="335">
        <v>1001290264</v>
      </c>
      <c r="B1174" s="336" t="s">
        <v>1957</v>
      </c>
      <c r="C1174" s="336" t="s">
        <v>797</v>
      </c>
      <c r="D1174" s="336" t="s">
        <v>798</v>
      </c>
      <c r="E1174" s="336" t="s">
        <v>392</v>
      </c>
    </row>
    <row r="1175" spans="1:5" x14ac:dyDescent="0.2">
      <c r="A1175" s="335">
        <v>1001290321</v>
      </c>
      <c r="B1175" s="336" t="s">
        <v>1958</v>
      </c>
      <c r="C1175" s="336" t="s">
        <v>797</v>
      </c>
      <c r="D1175" s="336" t="s">
        <v>798</v>
      </c>
      <c r="E1175" s="336" t="s">
        <v>392</v>
      </c>
    </row>
    <row r="1176" spans="1:5" x14ac:dyDescent="0.2">
      <c r="A1176" s="335">
        <v>1001290355</v>
      </c>
      <c r="B1176" s="336" t="s">
        <v>1959</v>
      </c>
      <c r="C1176" s="336" t="s">
        <v>797</v>
      </c>
      <c r="D1176" s="336" t="s">
        <v>798</v>
      </c>
      <c r="E1176" s="336" t="s">
        <v>392</v>
      </c>
    </row>
    <row r="1177" spans="1:5" x14ac:dyDescent="0.2">
      <c r="A1177" s="335">
        <v>1001290429</v>
      </c>
      <c r="B1177" s="336" t="s">
        <v>1960</v>
      </c>
      <c r="C1177" s="336" t="s">
        <v>813</v>
      </c>
      <c r="D1177" s="336" t="s">
        <v>798</v>
      </c>
      <c r="E1177" s="336" t="s">
        <v>392</v>
      </c>
    </row>
    <row r="1178" spans="1:5" x14ac:dyDescent="0.2">
      <c r="A1178" s="335">
        <v>1001290520</v>
      </c>
      <c r="B1178" s="336" t="s">
        <v>1899</v>
      </c>
      <c r="C1178" s="336" t="s">
        <v>1097</v>
      </c>
      <c r="D1178" s="336" t="s">
        <v>798</v>
      </c>
      <c r="E1178" s="336" t="s">
        <v>392</v>
      </c>
    </row>
    <row r="1179" spans="1:5" x14ac:dyDescent="0.2">
      <c r="A1179" s="335">
        <v>1001290582</v>
      </c>
      <c r="B1179" s="336" t="s">
        <v>906</v>
      </c>
      <c r="C1179" s="336" t="s">
        <v>813</v>
      </c>
      <c r="D1179" s="336" t="s">
        <v>798</v>
      </c>
      <c r="E1179" s="336" t="s">
        <v>392</v>
      </c>
    </row>
    <row r="1180" spans="1:5" x14ac:dyDescent="0.2">
      <c r="A1180" s="335">
        <v>1001290702</v>
      </c>
      <c r="B1180" s="336" t="s">
        <v>392</v>
      </c>
      <c r="C1180" s="336" t="s">
        <v>863</v>
      </c>
      <c r="D1180" s="336" t="s">
        <v>798</v>
      </c>
      <c r="E1180" s="336" t="s">
        <v>392</v>
      </c>
    </row>
    <row r="1181" spans="1:5" x14ac:dyDescent="0.2">
      <c r="A1181" s="335">
        <v>1001290744</v>
      </c>
      <c r="B1181" s="336" t="s">
        <v>1961</v>
      </c>
      <c r="C1181" s="336" t="s">
        <v>797</v>
      </c>
      <c r="D1181" s="336" t="s">
        <v>798</v>
      </c>
      <c r="E1181" s="336" t="s">
        <v>392</v>
      </c>
    </row>
    <row r="1182" spans="1:5" x14ac:dyDescent="0.2">
      <c r="A1182" s="335">
        <v>1001290753</v>
      </c>
      <c r="B1182" s="336" t="s">
        <v>906</v>
      </c>
      <c r="C1182" s="336" t="s">
        <v>797</v>
      </c>
      <c r="D1182" s="336" t="s">
        <v>798</v>
      </c>
      <c r="E1182" s="336" t="s">
        <v>392</v>
      </c>
    </row>
    <row r="1183" spans="1:5" x14ac:dyDescent="0.2">
      <c r="A1183" s="335">
        <v>1001290796</v>
      </c>
      <c r="B1183" s="336" t="s">
        <v>1899</v>
      </c>
      <c r="C1183" s="336" t="s">
        <v>813</v>
      </c>
      <c r="D1183" s="336" t="s">
        <v>798</v>
      </c>
      <c r="E1183" s="336" t="s">
        <v>392</v>
      </c>
    </row>
    <row r="1184" spans="1:5" x14ac:dyDescent="0.2">
      <c r="A1184" s="335">
        <v>1001294351</v>
      </c>
      <c r="B1184" s="336" t="s">
        <v>1962</v>
      </c>
      <c r="C1184" s="336" t="s">
        <v>863</v>
      </c>
      <c r="D1184" s="336" t="s">
        <v>798</v>
      </c>
      <c r="E1184" s="336" t="s">
        <v>392</v>
      </c>
    </row>
    <row r="1185" spans="1:5" x14ac:dyDescent="0.2">
      <c r="A1185" s="335">
        <v>1001295211</v>
      </c>
      <c r="B1185" s="336" t="s">
        <v>1963</v>
      </c>
      <c r="C1185" s="336" t="s">
        <v>797</v>
      </c>
      <c r="D1185" s="336" t="s">
        <v>798</v>
      </c>
      <c r="E1185" s="336" t="s">
        <v>392</v>
      </c>
    </row>
    <row r="1186" spans="1:5" x14ac:dyDescent="0.2">
      <c r="A1186" s="335">
        <v>1001301960</v>
      </c>
      <c r="B1186" s="336" t="s">
        <v>1964</v>
      </c>
      <c r="C1186" s="336" t="s">
        <v>863</v>
      </c>
      <c r="D1186" s="336" t="s">
        <v>798</v>
      </c>
      <c r="E1186" s="336" t="s">
        <v>392</v>
      </c>
    </row>
    <row r="1187" spans="1:5" x14ac:dyDescent="0.2">
      <c r="A1187" s="335">
        <v>1001301990</v>
      </c>
      <c r="B1187" s="336" t="s">
        <v>1965</v>
      </c>
      <c r="C1187" s="336" t="s">
        <v>797</v>
      </c>
      <c r="D1187" s="336" t="s">
        <v>798</v>
      </c>
      <c r="E1187" s="336" t="s">
        <v>392</v>
      </c>
    </row>
    <row r="1188" spans="1:5" x14ac:dyDescent="0.2">
      <c r="A1188" s="335">
        <v>1001302059</v>
      </c>
      <c r="B1188" s="336" t="s">
        <v>1966</v>
      </c>
      <c r="C1188" s="336" t="s">
        <v>797</v>
      </c>
      <c r="D1188" s="336" t="s">
        <v>798</v>
      </c>
      <c r="E1188" s="336" t="s">
        <v>392</v>
      </c>
    </row>
    <row r="1189" spans="1:5" x14ac:dyDescent="0.2">
      <c r="A1189" s="335">
        <v>1001302073</v>
      </c>
      <c r="B1189" s="336" t="s">
        <v>1967</v>
      </c>
      <c r="C1189" s="336" t="s">
        <v>1097</v>
      </c>
      <c r="D1189" s="336" t="s">
        <v>798</v>
      </c>
      <c r="E1189" s="336" t="s">
        <v>392</v>
      </c>
    </row>
    <row r="1190" spans="1:5" x14ac:dyDescent="0.2">
      <c r="A1190" s="335">
        <v>1001302154</v>
      </c>
      <c r="B1190" s="336" t="s">
        <v>1968</v>
      </c>
      <c r="C1190" s="336" t="s">
        <v>863</v>
      </c>
      <c r="D1190" s="336" t="s">
        <v>798</v>
      </c>
      <c r="E1190" s="336" t="s">
        <v>392</v>
      </c>
    </row>
    <row r="1191" spans="1:5" x14ac:dyDescent="0.2">
      <c r="A1191" s="335">
        <v>1001302306</v>
      </c>
      <c r="B1191" s="336" t="s">
        <v>1969</v>
      </c>
      <c r="C1191" s="336" t="s">
        <v>863</v>
      </c>
      <c r="D1191" s="336" t="s">
        <v>798</v>
      </c>
      <c r="E1191" s="336" t="s">
        <v>392</v>
      </c>
    </row>
    <row r="1192" spans="1:5" x14ac:dyDescent="0.2">
      <c r="A1192" s="335">
        <v>1001302351</v>
      </c>
      <c r="B1192" s="336" t="s">
        <v>1970</v>
      </c>
      <c r="C1192" s="336" t="s">
        <v>813</v>
      </c>
      <c r="D1192" s="336" t="s">
        <v>798</v>
      </c>
      <c r="E1192" s="336" t="s">
        <v>392</v>
      </c>
    </row>
    <row r="1193" spans="1:5" x14ac:dyDescent="0.2">
      <c r="A1193" s="335">
        <v>1001302368</v>
      </c>
      <c r="B1193" s="336" t="s">
        <v>1971</v>
      </c>
      <c r="C1193" s="336" t="s">
        <v>863</v>
      </c>
      <c r="D1193" s="336" t="s">
        <v>798</v>
      </c>
      <c r="E1193" s="336" t="s">
        <v>392</v>
      </c>
    </row>
    <row r="1194" spans="1:5" x14ac:dyDescent="0.2">
      <c r="A1194" s="335">
        <v>1001302374</v>
      </c>
      <c r="B1194" s="336" t="s">
        <v>1970</v>
      </c>
      <c r="C1194" s="336" t="s">
        <v>863</v>
      </c>
      <c r="D1194" s="336" t="s">
        <v>798</v>
      </c>
      <c r="E1194" s="336" t="s">
        <v>392</v>
      </c>
    </row>
    <row r="1195" spans="1:5" x14ac:dyDescent="0.2">
      <c r="A1195" s="335">
        <v>1001302448</v>
      </c>
      <c r="B1195" s="336" t="s">
        <v>1972</v>
      </c>
      <c r="C1195" s="336" t="s">
        <v>863</v>
      </c>
      <c r="D1195" s="336" t="s">
        <v>798</v>
      </c>
      <c r="E1195" s="336" t="s">
        <v>392</v>
      </c>
    </row>
    <row r="1196" spans="1:5" x14ac:dyDescent="0.2">
      <c r="A1196" s="335">
        <v>1001302491</v>
      </c>
      <c r="B1196" s="336" t="s">
        <v>1973</v>
      </c>
      <c r="C1196" s="336" t="s">
        <v>863</v>
      </c>
      <c r="D1196" s="336" t="s">
        <v>798</v>
      </c>
      <c r="E1196" s="336" t="s">
        <v>392</v>
      </c>
    </row>
    <row r="1197" spans="1:5" x14ac:dyDescent="0.2">
      <c r="A1197" s="335">
        <v>1001311969</v>
      </c>
      <c r="B1197" s="336" t="s">
        <v>1974</v>
      </c>
      <c r="C1197" s="336" t="s">
        <v>1097</v>
      </c>
      <c r="D1197" s="336" t="s">
        <v>798</v>
      </c>
      <c r="E1197" s="336" t="s">
        <v>392</v>
      </c>
    </row>
    <row r="1198" spans="1:5" x14ac:dyDescent="0.2">
      <c r="A1198" s="335">
        <v>1001312301</v>
      </c>
      <c r="B1198" s="336" t="s">
        <v>1975</v>
      </c>
      <c r="C1198" s="336" t="s">
        <v>1097</v>
      </c>
      <c r="D1198" s="336" t="s">
        <v>798</v>
      </c>
      <c r="E1198" s="336" t="s">
        <v>392</v>
      </c>
    </row>
    <row r="1199" spans="1:5" x14ac:dyDescent="0.2">
      <c r="A1199" s="335">
        <v>1001312897</v>
      </c>
      <c r="B1199" s="336" t="s">
        <v>1976</v>
      </c>
      <c r="C1199" s="336" t="s">
        <v>797</v>
      </c>
      <c r="D1199" s="336" t="s">
        <v>798</v>
      </c>
      <c r="E1199" s="336" t="s">
        <v>392</v>
      </c>
    </row>
    <row r="1200" spans="1:5" x14ac:dyDescent="0.2">
      <c r="A1200" s="335">
        <v>1001312915</v>
      </c>
      <c r="B1200" s="336" t="s">
        <v>1977</v>
      </c>
      <c r="C1200" s="336" t="s">
        <v>797</v>
      </c>
      <c r="D1200" s="336" t="s">
        <v>798</v>
      </c>
      <c r="E1200" s="336" t="s">
        <v>392</v>
      </c>
    </row>
    <row r="1201" spans="1:5" x14ac:dyDescent="0.2">
      <c r="A1201" s="335">
        <v>1001312983</v>
      </c>
      <c r="B1201" s="336" t="s">
        <v>1978</v>
      </c>
      <c r="C1201" s="336" t="s">
        <v>1097</v>
      </c>
      <c r="D1201" s="336" t="s">
        <v>798</v>
      </c>
      <c r="E1201" s="336" t="s">
        <v>392</v>
      </c>
    </row>
    <row r="1202" spans="1:5" x14ac:dyDescent="0.2">
      <c r="A1202" s="335">
        <v>1001320272</v>
      </c>
      <c r="B1202" s="336" t="s">
        <v>1979</v>
      </c>
      <c r="C1202" s="336" t="s">
        <v>863</v>
      </c>
      <c r="D1202" s="336" t="s">
        <v>798</v>
      </c>
      <c r="E1202" s="336" t="s">
        <v>392</v>
      </c>
    </row>
    <row r="1203" spans="1:5" x14ac:dyDescent="0.2">
      <c r="A1203" s="335">
        <v>1001351017</v>
      </c>
      <c r="B1203" s="336" t="s">
        <v>1978</v>
      </c>
      <c r="C1203" s="336" t="s">
        <v>813</v>
      </c>
      <c r="D1203" s="336" t="s">
        <v>798</v>
      </c>
      <c r="E1203" s="336" t="s">
        <v>392</v>
      </c>
    </row>
    <row r="1204" spans="1:5" x14ac:dyDescent="0.2">
      <c r="A1204" s="335">
        <v>1001262148</v>
      </c>
      <c r="B1204" s="336" t="s">
        <v>1980</v>
      </c>
      <c r="C1204" s="336" t="s">
        <v>797</v>
      </c>
      <c r="D1204" s="336" t="s">
        <v>1981</v>
      </c>
      <c r="E1204" s="336" t="s">
        <v>1982</v>
      </c>
    </row>
    <row r="1205" spans="1:5" x14ac:dyDescent="0.2">
      <c r="A1205" s="335">
        <v>1001265669</v>
      </c>
      <c r="B1205" s="336" t="s">
        <v>1983</v>
      </c>
      <c r="C1205" s="336" t="s">
        <v>797</v>
      </c>
      <c r="D1205" s="336" t="s">
        <v>1981</v>
      </c>
      <c r="E1205" s="336" t="s">
        <v>1982</v>
      </c>
    </row>
    <row r="1206" spans="1:5" x14ac:dyDescent="0.2">
      <c r="A1206" s="335">
        <v>1001265938</v>
      </c>
      <c r="B1206" s="336" t="s">
        <v>1984</v>
      </c>
      <c r="C1206" s="336" t="s">
        <v>797</v>
      </c>
      <c r="D1206" s="336" t="s">
        <v>1981</v>
      </c>
      <c r="E1206" s="336" t="s">
        <v>1982</v>
      </c>
    </row>
    <row r="1207" spans="1:5" x14ac:dyDescent="0.2">
      <c r="A1207" s="335">
        <v>1001276734</v>
      </c>
      <c r="B1207" s="336" t="s">
        <v>1985</v>
      </c>
      <c r="C1207" s="336" t="s">
        <v>797</v>
      </c>
      <c r="D1207" s="336" t="s">
        <v>1981</v>
      </c>
      <c r="E1207" s="336" t="s">
        <v>1982</v>
      </c>
    </row>
    <row r="1208" spans="1:5" x14ac:dyDescent="0.2">
      <c r="A1208" s="335">
        <v>1001262067</v>
      </c>
      <c r="B1208" s="336" t="s">
        <v>1986</v>
      </c>
      <c r="C1208" s="336" t="s">
        <v>813</v>
      </c>
      <c r="D1208" s="336" t="s">
        <v>814</v>
      </c>
      <c r="E1208" s="336" t="s">
        <v>815</v>
      </c>
    </row>
    <row r="1209" spans="1:5" x14ac:dyDescent="0.2">
      <c r="A1209" s="335">
        <v>1001262223</v>
      </c>
      <c r="B1209" s="336" t="s">
        <v>1987</v>
      </c>
      <c r="C1209" s="336" t="s">
        <v>813</v>
      </c>
      <c r="D1209" s="336" t="s">
        <v>814</v>
      </c>
      <c r="E1209" s="336" t="s">
        <v>815</v>
      </c>
    </row>
    <row r="1210" spans="1:5" x14ac:dyDescent="0.2">
      <c r="A1210" s="335">
        <v>1001262260</v>
      </c>
      <c r="B1210" s="336" t="s">
        <v>1988</v>
      </c>
      <c r="C1210" s="336" t="s">
        <v>797</v>
      </c>
      <c r="D1210" s="336" t="s">
        <v>814</v>
      </c>
      <c r="E1210" s="336" t="s">
        <v>815</v>
      </c>
    </row>
    <row r="1211" spans="1:5" x14ac:dyDescent="0.2">
      <c r="A1211" s="335">
        <v>1001262261</v>
      </c>
      <c r="B1211" s="336" t="s">
        <v>1989</v>
      </c>
      <c r="C1211" s="336" t="s">
        <v>797</v>
      </c>
      <c r="D1211" s="336" t="s">
        <v>814</v>
      </c>
      <c r="E1211" s="336" t="s">
        <v>815</v>
      </c>
    </row>
    <row r="1212" spans="1:5" x14ac:dyDescent="0.2">
      <c r="A1212" s="335">
        <v>1001262293</v>
      </c>
      <c r="B1212" s="336" t="s">
        <v>781</v>
      </c>
      <c r="C1212" s="336" t="s">
        <v>813</v>
      </c>
      <c r="D1212" s="336" t="s">
        <v>814</v>
      </c>
      <c r="E1212" s="336" t="s">
        <v>815</v>
      </c>
    </row>
    <row r="1213" spans="1:5" x14ac:dyDescent="0.2">
      <c r="A1213" s="335">
        <v>1001262497</v>
      </c>
      <c r="B1213" s="336" t="s">
        <v>1990</v>
      </c>
      <c r="C1213" s="336" t="s">
        <v>863</v>
      </c>
      <c r="D1213" s="336" t="s">
        <v>814</v>
      </c>
      <c r="E1213" s="336" t="s">
        <v>815</v>
      </c>
    </row>
    <row r="1214" spans="1:5" x14ac:dyDescent="0.2">
      <c r="A1214" s="335">
        <v>1001262801</v>
      </c>
      <c r="B1214" s="336" t="s">
        <v>1991</v>
      </c>
      <c r="C1214" s="336" t="s">
        <v>813</v>
      </c>
      <c r="D1214" s="336" t="s">
        <v>814</v>
      </c>
      <c r="E1214" s="336" t="s">
        <v>815</v>
      </c>
    </row>
    <row r="1215" spans="1:5" x14ac:dyDescent="0.2">
      <c r="A1215" s="335">
        <v>1001262827</v>
      </c>
      <c r="B1215" s="336" t="s">
        <v>1992</v>
      </c>
      <c r="C1215" s="336" t="s">
        <v>797</v>
      </c>
      <c r="D1215" s="336" t="s">
        <v>814</v>
      </c>
      <c r="E1215" s="336" t="s">
        <v>815</v>
      </c>
    </row>
    <row r="1216" spans="1:5" x14ac:dyDescent="0.2">
      <c r="A1216" s="335">
        <v>1001263519</v>
      </c>
      <c r="B1216" s="336" t="s">
        <v>1993</v>
      </c>
      <c r="C1216" s="336" t="s">
        <v>797</v>
      </c>
      <c r="D1216" s="336" t="s">
        <v>814</v>
      </c>
      <c r="E1216" s="336" t="s">
        <v>815</v>
      </c>
    </row>
    <row r="1217" spans="1:5" x14ac:dyDescent="0.2">
      <c r="A1217" s="335">
        <v>1001264795</v>
      </c>
      <c r="B1217" s="336" t="s">
        <v>1109</v>
      </c>
      <c r="C1217" s="336" t="s">
        <v>813</v>
      </c>
      <c r="D1217" s="336" t="s">
        <v>814</v>
      </c>
      <c r="E1217" s="336" t="s">
        <v>815</v>
      </c>
    </row>
    <row r="1218" spans="1:5" x14ac:dyDescent="0.2">
      <c r="A1218" s="335">
        <v>1001265107</v>
      </c>
      <c r="B1218" s="336" t="s">
        <v>1994</v>
      </c>
      <c r="C1218" s="336" t="s">
        <v>797</v>
      </c>
      <c r="D1218" s="336" t="s">
        <v>814</v>
      </c>
      <c r="E1218" s="336" t="s">
        <v>815</v>
      </c>
    </row>
    <row r="1219" spans="1:5" x14ac:dyDescent="0.2">
      <c r="A1219" s="335">
        <v>1001265161</v>
      </c>
      <c r="B1219" s="336" t="s">
        <v>1025</v>
      </c>
      <c r="C1219" s="336" t="s">
        <v>797</v>
      </c>
      <c r="D1219" s="336" t="s">
        <v>814</v>
      </c>
      <c r="E1219" s="336" t="s">
        <v>815</v>
      </c>
    </row>
    <row r="1220" spans="1:5" x14ac:dyDescent="0.2">
      <c r="A1220" s="335">
        <v>1001265554</v>
      </c>
      <c r="B1220" s="336" t="s">
        <v>1995</v>
      </c>
      <c r="C1220" s="336" t="s">
        <v>863</v>
      </c>
      <c r="D1220" s="336" t="s">
        <v>814</v>
      </c>
      <c r="E1220" s="336" t="s">
        <v>815</v>
      </c>
    </row>
    <row r="1221" spans="1:5" x14ac:dyDescent="0.2">
      <c r="A1221" s="335">
        <v>1001265592</v>
      </c>
      <c r="B1221" s="336" t="s">
        <v>955</v>
      </c>
      <c r="C1221" s="336" t="s">
        <v>797</v>
      </c>
      <c r="D1221" s="336" t="s">
        <v>814</v>
      </c>
      <c r="E1221" s="336" t="s">
        <v>815</v>
      </c>
    </row>
    <row r="1222" spans="1:5" x14ac:dyDescent="0.2">
      <c r="A1222" s="335">
        <v>1001266362</v>
      </c>
      <c r="B1222" s="336" t="s">
        <v>1996</v>
      </c>
      <c r="C1222" s="336" t="s">
        <v>813</v>
      </c>
      <c r="D1222" s="336" t="s">
        <v>814</v>
      </c>
      <c r="E1222" s="336" t="s">
        <v>815</v>
      </c>
    </row>
    <row r="1223" spans="1:5" x14ac:dyDescent="0.2">
      <c r="A1223" s="335">
        <v>1001266435</v>
      </c>
      <c r="B1223" s="336" t="s">
        <v>834</v>
      </c>
      <c r="C1223" s="336" t="s">
        <v>813</v>
      </c>
      <c r="D1223" s="336" t="s">
        <v>814</v>
      </c>
      <c r="E1223" s="336" t="s">
        <v>815</v>
      </c>
    </row>
    <row r="1224" spans="1:5" x14ac:dyDescent="0.2">
      <c r="A1224" s="335">
        <v>1001266529</v>
      </c>
      <c r="B1224" s="336" t="s">
        <v>1997</v>
      </c>
      <c r="C1224" s="336" t="s">
        <v>813</v>
      </c>
      <c r="D1224" s="336" t="s">
        <v>814</v>
      </c>
      <c r="E1224" s="336" t="s">
        <v>815</v>
      </c>
    </row>
    <row r="1225" spans="1:5" x14ac:dyDescent="0.2">
      <c r="A1225" s="335">
        <v>1001266714</v>
      </c>
      <c r="B1225" s="336" t="s">
        <v>1094</v>
      </c>
      <c r="C1225" s="336" t="s">
        <v>797</v>
      </c>
      <c r="D1225" s="336" t="s">
        <v>814</v>
      </c>
      <c r="E1225" s="336" t="s">
        <v>815</v>
      </c>
    </row>
    <row r="1226" spans="1:5" x14ac:dyDescent="0.2">
      <c r="A1226" s="335">
        <v>1001266852</v>
      </c>
      <c r="B1226" s="336" t="s">
        <v>1998</v>
      </c>
      <c r="C1226" s="336" t="s">
        <v>797</v>
      </c>
      <c r="D1226" s="336" t="s">
        <v>814</v>
      </c>
      <c r="E1226" s="336" t="s">
        <v>815</v>
      </c>
    </row>
    <row r="1227" spans="1:5" x14ac:dyDescent="0.2">
      <c r="A1227" s="335">
        <v>1001266870</v>
      </c>
      <c r="B1227" s="336" t="s">
        <v>1999</v>
      </c>
      <c r="C1227" s="336" t="s">
        <v>797</v>
      </c>
      <c r="D1227" s="336" t="s">
        <v>814</v>
      </c>
      <c r="E1227" s="336" t="s">
        <v>815</v>
      </c>
    </row>
    <row r="1228" spans="1:5" x14ac:dyDescent="0.2">
      <c r="A1228" s="335">
        <v>1001266948</v>
      </c>
      <c r="B1228" s="336" t="s">
        <v>2000</v>
      </c>
      <c r="C1228" s="336" t="s">
        <v>813</v>
      </c>
      <c r="D1228" s="336" t="s">
        <v>814</v>
      </c>
      <c r="E1228" s="336" t="s">
        <v>815</v>
      </c>
    </row>
    <row r="1229" spans="1:5" x14ac:dyDescent="0.2">
      <c r="A1229" s="335">
        <v>1001266991</v>
      </c>
      <c r="B1229" s="336" t="s">
        <v>2001</v>
      </c>
      <c r="C1229" s="336" t="s">
        <v>813</v>
      </c>
      <c r="D1229" s="336" t="s">
        <v>814</v>
      </c>
      <c r="E1229" s="336" t="s">
        <v>815</v>
      </c>
    </row>
    <row r="1230" spans="1:5" x14ac:dyDescent="0.2">
      <c r="A1230" s="335">
        <v>1001267515</v>
      </c>
      <c r="B1230" s="336" t="s">
        <v>2002</v>
      </c>
      <c r="C1230" s="336" t="s">
        <v>863</v>
      </c>
      <c r="D1230" s="336" t="s">
        <v>814</v>
      </c>
      <c r="E1230" s="336" t="s">
        <v>815</v>
      </c>
    </row>
    <row r="1231" spans="1:5" x14ac:dyDescent="0.2">
      <c r="A1231" s="335">
        <v>1001267649</v>
      </c>
      <c r="B1231" s="336" t="s">
        <v>2003</v>
      </c>
      <c r="C1231" s="336" t="s">
        <v>813</v>
      </c>
      <c r="D1231" s="336" t="s">
        <v>814</v>
      </c>
      <c r="E1231" s="336" t="s">
        <v>815</v>
      </c>
    </row>
    <row r="1232" spans="1:5" x14ac:dyDescent="0.2">
      <c r="A1232" s="335">
        <v>1001267694</v>
      </c>
      <c r="B1232" s="336" t="s">
        <v>2004</v>
      </c>
      <c r="C1232" s="336" t="s">
        <v>813</v>
      </c>
      <c r="D1232" s="336" t="s">
        <v>814</v>
      </c>
      <c r="E1232" s="336" t="s">
        <v>815</v>
      </c>
    </row>
    <row r="1233" spans="1:5" x14ac:dyDescent="0.2">
      <c r="A1233" s="335">
        <v>1001268185</v>
      </c>
      <c r="B1233" s="336" t="s">
        <v>2005</v>
      </c>
      <c r="C1233" s="336" t="s">
        <v>863</v>
      </c>
      <c r="D1233" s="336" t="s">
        <v>814</v>
      </c>
      <c r="E1233" s="336" t="s">
        <v>815</v>
      </c>
    </row>
    <row r="1234" spans="1:5" x14ac:dyDescent="0.2">
      <c r="A1234" s="335">
        <v>1001268260</v>
      </c>
      <c r="B1234" s="336" t="s">
        <v>2006</v>
      </c>
      <c r="C1234" s="336" t="s">
        <v>813</v>
      </c>
      <c r="D1234" s="336" t="s">
        <v>814</v>
      </c>
      <c r="E1234" s="336" t="s">
        <v>815</v>
      </c>
    </row>
    <row r="1235" spans="1:5" x14ac:dyDescent="0.2">
      <c r="A1235" s="335">
        <v>1001268278</v>
      </c>
      <c r="B1235" s="336" t="s">
        <v>2007</v>
      </c>
      <c r="C1235" s="336" t="s">
        <v>813</v>
      </c>
      <c r="D1235" s="336" t="s">
        <v>814</v>
      </c>
      <c r="E1235" s="336" t="s">
        <v>815</v>
      </c>
    </row>
    <row r="1236" spans="1:5" x14ac:dyDescent="0.2">
      <c r="A1236" s="335">
        <v>1001268315</v>
      </c>
      <c r="B1236" s="336" t="s">
        <v>902</v>
      </c>
      <c r="C1236" s="336" t="s">
        <v>813</v>
      </c>
      <c r="D1236" s="336" t="s">
        <v>814</v>
      </c>
      <c r="E1236" s="336" t="s">
        <v>815</v>
      </c>
    </row>
    <row r="1237" spans="1:5" x14ac:dyDescent="0.2">
      <c r="A1237" s="335">
        <v>1001268332</v>
      </c>
      <c r="B1237" s="336" t="s">
        <v>2008</v>
      </c>
      <c r="C1237" s="336" t="s">
        <v>797</v>
      </c>
      <c r="D1237" s="336" t="s">
        <v>814</v>
      </c>
      <c r="E1237" s="336" t="s">
        <v>815</v>
      </c>
    </row>
    <row r="1238" spans="1:5" x14ac:dyDescent="0.2">
      <c r="A1238" s="335">
        <v>1001268353</v>
      </c>
      <c r="B1238" s="336" t="s">
        <v>2009</v>
      </c>
      <c r="C1238" s="336" t="s">
        <v>813</v>
      </c>
      <c r="D1238" s="336" t="s">
        <v>814</v>
      </c>
      <c r="E1238" s="336" t="s">
        <v>815</v>
      </c>
    </row>
    <row r="1239" spans="1:5" x14ac:dyDescent="0.2">
      <c r="A1239" s="335">
        <v>1001268356</v>
      </c>
      <c r="B1239" s="336" t="s">
        <v>2010</v>
      </c>
      <c r="C1239" s="336" t="s">
        <v>797</v>
      </c>
      <c r="D1239" s="336" t="s">
        <v>814</v>
      </c>
      <c r="E1239" s="336" t="s">
        <v>815</v>
      </c>
    </row>
    <row r="1240" spans="1:5" x14ac:dyDescent="0.2">
      <c r="A1240" s="335">
        <v>1001268650</v>
      </c>
      <c r="B1240" s="336" t="s">
        <v>1024</v>
      </c>
      <c r="C1240" s="336" t="s">
        <v>813</v>
      </c>
      <c r="D1240" s="336" t="s">
        <v>814</v>
      </c>
      <c r="E1240" s="336" t="s">
        <v>815</v>
      </c>
    </row>
    <row r="1241" spans="1:5" x14ac:dyDescent="0.2">
      <c r="A1241" s="335">
        <v>1001268819</v>
      </c>
      <c r="B1241" s="336" t="s">
        <v>823</v>
      </c>
      <c r="C1241" s="336" t="s">
        <v>797</v>
      </c>
      <c r="D1241" s="336" t="s">
        <v>814</v>
      </c>
      <c r="E1241" s="336" t="s">
        <v>815</v>
      </c>
    </row>
    <row r="1242" spans="1:5" x14ac:dyDescent="0.2">
      <c r="A1242" s="335">
        <v>1001268830</v>
      </c>
      <c r="B1242" s="336" t="s">
        <v>2011</v>
      </c>
      <c r="C1242" s="336" t="s">
        <v>797</v>
      </c>
      <c r="D1242" s="336" t="s">
        <v>814</v>
      </c>
      <c r="E1242" s="336" t="s">
        <v>815</v>
      </c>
    </row>
    <row r="1243" spans="1:5" x14ac:dyDescent="0.2">
      <c r="A1243" s="335">
        <v>1001269047</v>
      </c>
      <c r="B1243" s="336" t="s">
        <v>2012</v>
      </c>
      <c r="C1243" s="336" t="s">
        <v>813</v>
      </c>
      <c r="D1243" s="336" t="s">
        <v>814</v>
      </c>
      <c r="E1243" s="336" t="s">
        <v>815</v>
      </c>
    </row>
    <row r="1244" spans="1:5" x14ac:dyDescent="0.2">
      <c r="A1244" s="335">
        <v>1001269372</v>
      </c>
      <c r="B1244" s="336" t="s">
        <v>2013</v>
      </c>
      <c r="C1244" s="336" t="s">
        <v>797</v>
      </c>
      <c r="D1244" s="336" t="s">
        <v>814</v>
      </c>
      <c r="E1244" s="336" t="s">
        <v>815</v>
      </c>
    </row>
    <row r="1245" spans="1:5" x14ac:dyDescent="0.2">
      <c r="A1245" s="335">
        <v>1001269399</v>
      </c>
      <c r="B1245" s="336" t="s">
        <v>1023</v>
      </c>
      <c r="C1245" s="336" t="s">
        <v>813</v>
      </c>
      <c r="D1245" s="336" t="s">
        <v>814</v>
      </c>
      <c r="E1245" s="336" t="s">
        <v>815</v>
      </c>
    </row>
    <row r="1246" spans="1:5" x14ac:dyDescent="0.2">
      <c r="A1246" s="335">
        <v>1001269442</v>
      </c>
      <c r="B1246" s="336" t="s">
        <v>2014</v>
      </c>
      <c r="C1246" s="336" t="s">
        <v>797</v>
      </c>
      <c r="D1246" s="336" t="s">
        <v>814</v>
      </c>
      <c r="E1246" s="336" t="s">
        <v>815</v>
      </c>
    </row>
    <row r="1247" spans="1:5" x14ac:dyDescent="0.2">
      <c r="A1247" s="335">
        <v>1001269462</v>
      </c>
      <c r="B1247" s="336" t="s">
        <v>2015</v>
      </c>
      <c r="C1247" s="336" t="s">
        <v>797</v>
      </c>
      <c r="D1247" s="336" t="s">
        <v>814</v>
      </c>
      <c r="E1247" s="336" t="s">
        <v>815</v>
      </c>
    </row>
    <row r="1248" spans="1:5" x14ac:dyDescent="0.2">
      <c r="A1248" s="335">
        <v>1001269619</v>
      </c>
      <c r="B1248" s="336" t="s">
        <v>2016</v>
      </c>
      <c r="C1248" s="336" t="s">
        <v>813</v>
      </c>
      <c r="D1248" s="336" t="s">
        <v>814</v>
      </c>
      <c r="E1248" s="336" t="s">
        <v>815</v>
      </c>
    </row>
    <row r="1249" spans="1:5" x14ac:dyDescent="0.2">
      <c r="A1249" s="335">
        <v>1001269626</v>
      </c>
      <c r="B1249" s="336" t="s">
        <v>2017</v>
      </c>
      <c r="C1249" s="336" t="s">
        <v>863</v>
      </c>
      <c r="D1249" s="336" t="s">
        <v>814</v>
      </c>
      <c r="E1249" s="336" t="s">
        <v>815</v>
      </c>
    </row>
    <row r="1250" spans="1:5" x14ac:dyDescent="0.2">
      <c r="A1250" s="335">
        <v>1001270093</v>
      </c>
      <c r="B1250" s="336" t="s">
        <v>2018</v>
      </c>
      <c r="C1250" s="336" t="s">
        <v>797</v>
      </c>
      <c r="D1250" s="336" t="s">
        <v>814</v>
      </c>
      <c r="E1250" s="336" t="s">
        <v>815</v>
      </c>
    </row>
    <row r="1251" spans="1:5" x14ac:dyDescent="0.2">
      <c r="A1251" s="335">
        <v>1001270095</v>
      </c>
      <c r="B1251" s="336" t="s">
        <v>2019</v>
      </c>
      <c r="C1251" s="336" t="s">
        <v>797</v>
      </c>
      <c r="D1251" s="336" t="s">
        <v>814</v>
      </c>
      <c r="E1251" s="336" t="s">
        <v>815</v>
      </c>
    </row>
    <row r="1252" spans="1:5" x14ac:dyDescent="0.2">
      <c r="A1252" s="335">
        <v>1001270325</v>
      </c>
      <c r="B1252" s="336" t="s">
        <v>2020</v>
      </c>
      <c r="C1252" s="336" t="s">
        <v>813</v>
      </c>
      <c r="D1252" s="336" t="s">
        <v>814</v>
      </c>
      <c r="E1252" s="336" t="s">
        <v>815</v>
      </c>
    </row>
    <row r="1253" spans="1:5" x14ac:dyDescent="0.2">
      <c r="A1253" s="335">
        <v>1001270554</v>
      </c>
      <c r="B1253" s="336" t="s">
        <v>2021</v>
      </c>
      <c r="C1253" s="336" t="s">
        <v>797</v>
      </c>
      <c r="D1253" s="336" t="s">
        <v>814</v>
      </c>
      <c r="E1253" s="336" t="s">
        <v>815</v>
      </c>
    </row>
    <row r="1254" spans="1:5" x14ac:dyDescent="0.2">
      <c r="A1254" s="335">
        <v>1001270943</v>
      </c>
      <c r="B1254" s="336" t="s">
        <v>2022</v>
      </c>
      <c r="C1254" s="336" t="s">
        <v>863</v>
      </c>
      <c r="D1254" s="336" t="s">
        <v>814</v>
      </c>
      <c r="E1254" s="336" t="s">
        <v>815</v>
      </c>
    </row>
    <row r="1255" spans="1:5" x14ac:dyDescent="0.2">
      <c r="A1255" s="335">
        <v>1001271348</v>
      </c>
      <c r="B1255" s="336" t="s">
        <v>2023</v>
      </c>
      <c r="C1255" s="336" t="s">
        <v>813</v>
      </c>
      <c r="D1255" s="336" t="s">
        <v>814</v>
      </c>
      <c r="E1255" s="336" t="s">
        <v>815</v>
      </c>
    </row>
    <row r="1256" spans="1:5" x14ac:dyDescent="0.2">
      <c r="A1256" s="335">
        <v>1001271670</v>
      </c>
      <c r="B1256" s="336" t="s">
        <v>2024</v>
      </c>
      <c r="C1256" s="336" t="s">
        <v>797</v>
      </c>
      <c r="D1256" s="336" t="s">
        <v>814</v>
      </c>
      <c r="E1256" s="336" t="s">
        <v>815</v>
      </c>
    </row>
    <row r="1257" spans="1:5" x14ac:dyDescent="0.2">
      <c r="A1257" s="335">
        <v>1001271671</v>
      </c>
      <c r="B1257" s="336" t="s">
        <v>2025</v>
      </c>
      <c r="C1257" s="336" t="s">
        <v>863</v>
      </c>
      <c r="D1257" s="336" t="s">
        <v>814</v>
      </c>
      <c r="E1257" s="336" t="s">
        <v>815</v>
      </c>
    </row>
    <row r="1258" spans="1:5" x14ac:dyDescent="0.2">
      <c r="A1258" s="335">
        <v>1001271711</v>
      </c>
      <c r="B1258" s="336" t="s">
        <v>2024</v>
      </c>
      <c r="C1258" s="336" t="s">
        <v>813</v>
      </c>
      <c r="D1258" s="336" t="s">
        <v>814</v>
      </c>
      <c r="E1258" s="336" t="s">
        <v>815</v>
      </c>
    </row>
    <row r="1259" spans="1:5" x14ac:dyDescent="0.2">
      <c r="A1259" s="335">
        <v>1001271719</v>
      </c>
      <c r="B1259" s="336" t="s">
        <v>2026</v>
      </c>
      <c r="C1259" s="336" t="s">
        <v>797</v>
      </c>
      <c r="D1259" s="336" t="s">
        <v>814</v>
      </c>
      <c r="E1259" s="336" t="s">
        <v>815</v>
      </c>
    </row>
    <row r="1260" spans="1:5" x14ac:dyDescent="0.2">
      <c r="A1260" s="335">
        <v>1001271761</v>
      </c>
      <c r="B1260" s="336" t="s">
        <v>2027</v>
      </c>
      <c r="C1260" s="336" t="s">
        <v>797</v>
      </c>
      <c r="D1260" s="336" t="s">
        <v>814</v>
      </c>
      <c r="E1260" s="336" t="s">
        <v>815</v>
      </c>
    </row>
    <row r="1261" spans="1:5" x14ac:dyDescent="0.2">
      <c r="A1261" s="335">
        <v>1001271771</v>
      </c>
      <c r="B1261" s="336" t="s">
        <v>2028</v>
      </c>
      <c r="C1261" s="336" t="s">
        <v>813</v>
      </c>
      <c r="D1261" s="336" t="s">
        <v>814</v>
      </c>
      <c r="E1261" s="336" t="s">
        <v>815</v>
      </c>
    </row>
    <row r="1262" spans="1:5" x14ac:dyDescent="0.2">
      <c r="A1262" s="335">
        <v>1001271949</v>
      </c>
      <c r="B1262" s="336" t="s">
        <v>2029</v>
      </c>
      <c r="C1262" s="336" t="s">
        <v>797</v>
      </c>
      <c r="D1262" s="336" t="s">
        <v>814</v>
      </c>
      <c r="E1262" s="336" t="s">
        <v>815</v>
      </c>
    </row>
    <row r="1263" spans="1:5" x14ac:dyDescent="0.2">
      <c r="A1263" s="335">
        <v>1001272290</v>
      </c>
      <c r="B1263" s="336" t="s">
        <v>2024</v>
      </c>
      <c r="C1263" s="336" t="s">
        <v>813</v>
      </c>
      <c r="D1263" s="336" t="s">
        <v>814</v>
      </c>
      <c r="E1263" s="336" t="s">
        <v>815</v>
      </c>
    </row>
    <row r="1264" spans="1:5" x14ac:dyDescent="0.2">
      <c r="A1264" s="335">
        <v>1001272417</v>
      </c>
      <c r="B1264" s="336" t="s">
        <v>2030</v>
      </c>
      <c r="C1264" s="336" t="s">
        <v>813</v>
      </c>
      <c r="D1264" s="336" t="s">
        <v>814</v>
      </c>
      <c r="E1264" s="336" t="s">
        <v>815</v>
      </c>
    </row>
    <row r="1265" spans="1:5" x14ac:dyDescent="0.2">
      <c r="A1265" s="335">
        <v>1001272518</v>
      </c>
      <c r="B1265" s="336" t="s">
        <v>1027</v>
      </c>
      <c r="C1265" s="336" t="s">
        <v>797</v>
      </c>
      <c r="D1265" s="336" t="s">
        <v>814</v>
      </c>
      <c r="E1265" s="336" t="s">
        <v>815</v>
      </c>
    </row>
    <row r="1266" spans="1:5" x14ac:dyDescent="0.2">
      <c r="A1266" s="335">
        <v>1001272583</v>
      </c>
      <c r="B1266" s="336" t="s">
        <v>2031</v>
      </c>
      <c r="C1266" s="336" t="s">
        <v>797</v>
      </c>
      <c r="D1266" s="336" t="s">
        <v>814</v>
      </c>
      <c r="E1266" s="336" t="s">
        <v>815</v>
      </c>
    </row>
    <row r="1267" spans="1:5" x14ac:dyDescent="0.2">
      <c r="A1267" s="335">
        <v>1001272600</v>
      </c>
      <c r="B1267" s="336" t="s">
        <v>2032</v>
      </c>
      <c r="C1267" s="336" t="s">
        <v>813</v>
      </c>
      <c r="D1267" s="336" t="s">
        <v>814</v>
      </c>
      <c r="E1267" s="336" t="s">
        <v>815</v>
      </c>
    </row>
    <row r="1268" spans="1:5" x14ac:dyDescent="0.2">
      <c r="A1268" s="335">
        <v>1001273156</v>
      </c>
      <c r="B1268" s="336" t="s">
        <v>2033</v>
      </c>
      <c r="C1268" s="336" t="s">
        <v>797</v>
      </c>
      <c r="D1268" s="336" t="s">
        <v>814</v>
      </c>
      <c r="E1268" s="336" t="s">
        <v>815</v>
      </c>
    </row>
    <row r="1269" spans="1:5" x14ac:dyDescent="0.2">
      <c r="A1269" s="335">
        <v>1001273225</v>
      </c>
      <c r="B1269" s="336" t="s">
        <v>2034</v>
      </c>
      <c r="C1269" s="336" t="s">
        <v>813</v>
      </c>
      <c r="D1269" s="336" t="s">
        <v>814</v>
      </c>
      <c r="E1269" s="336" t="s">
        <v>815</v>
      </c>
    </row>
    <row r="1270" spans="1:5" x14ac:dyDescent="0.2">
      <c r="A1270" s="335">
        <v>1001273271</v>
      </c>
      <c r="B1270" s="336" t="s">
        <v>2035</v>
      </c>
      <c r="C1270" s="336" t="s">
        <v>813</v>
      </c>
      <c r="D1270" s="336" t="s">
        <v>814</v>
      </c>
      <c r="E1270" s="336" t="s">
        <v>815</v>
      </c>
    </row>
    <row r="1271" spans="1:5" x14ac:dyDescent="0.2">
      <c r="A1271" s="335">
        <v>1001273490</v>
      </c>
      <c r="B1271" s="336" t="s">
        <v>2036</v>
      </c>
      <c r="C1271" s="336" t="s">
        <v>797</v>
      </c>
      <c r="D1271" s="336" t="s">
        <v>814</v>
      </c>
      <c r="E1271" s="336" t="s">
        <v>815</v>
      </c>
    </row>
    <row r="1272" spans="1:5" x14ac:dyDescent="0.2">
      <c r="A1272" s="335">
        <v>1001273819</v>
      </c>
      <c r="B1272" s="336" t="s">
        <v>2037</v>
      </c>
      <c r="C1272" s="336" t="s">
        <v>813</v>
      </c>
      <c r="D1272" s="336" t="s">
        <v>814</v>
      </c>
      <c r="E1272" s="336" t="s">
        <v>815</v>
      </c>
    </row>
    <row r="1273" spans="1:5" x14ac:dyDescent="0.2">
      <c r="A1273" s="335">
        <v>1001274068</v>
      </c>
      <c r="B1273" s="336" t="s">
        <v>2038</v>
      </c>
      <c r="C1273" s="336" t="s">
        <v>797</v>
      </c>
      <c r="D1273" s="336" t="s">
        <v>814</v>
      </c>
      <c r="E1273" s="336" t="s">
        <v>815</v>
      </c>
    </row>
    <row r="1274" spans="1:5" x14ac:dyDescent="0.2">
      <c r="A1274" s="335">
        <v>1001274093</v>
      </c>
      <c r="B1274" s="336" t="s">
        <v>2039</v>
      </c>
      <c r="C1274" s="336" t="s">
        <v>797</v>
      </c>
      <c r="D1274" s="336" t="s">
        <v>814</v>
      </c>
      <c r="E1274" s="336" t="s">
        <v>815</v>
      </c>
    </row>
    <row r="1275" spans="1:5" x14ac:dyDescent="0.2">
      <c r="A1275" s="335">
        <v>1001274254</v>
      </c>
      <c r="B1275" s="336" t="s">
        <v>1019</v>
      </c>
      <c r="C1275" s="336" t="s">
        <v>797</v>
      </c>
      <c r="D1275" s="336" t="s">
        <v>814</v>
      </c>
      <c r="E1275" s="336" t="s">
        <v>815</v>
      </c>
    </row>
    <row r="1276" spans="1:5" x14ac:dyDescent="0.2">
      <c r="A1276" s="335">
        <v>1001274536</v>
      </c>
      <c r="B1276" s="336" t="s">
        <v>2040</v>
      </c>
      <c r="C1276" s="336" t="s">
        <v>797</v>
      </c>
      <c r="D1276" s="336" t="s">
        <v>814</v>
      </c>
      <c r="E1276" s="336" t="s">
        <v>815</v>
      </c>
    </row>
    <row r="1277" spans="1:5" x14ac:dyDescent="0.2">
      <c r="A1277" s="335">
        <v>1001274538</v>
      </c>
      <c r="B1277" s="336" t="s">
        <v>2041</v>
      </c>
      <c r="C1277" s="336" t="s">
        <v>813</v>
      </c>
      <c r="D1277" s="336" t="s">
        <v>814</v>
      </c>
      <c r="E1277" s="336" t="s">
        <v>815</v>
      </c>
    </row>
    <row r="1278" spans="1:5" x14ac:dyDescent="0.2">
      <c r="A1278" s="335">
        <v>1001274936</v>
      </c>
      <c r="B1278" s="336" t="s">
        <v>2042</v>
      </c>
      <c r="C1278" s="336" t="s">
        <v>813</v>
      </c>
      <c r="D1278" s="336" t="s">
        <v>814</v>
      </c>
      <c r="E1278" s="336" t="s">
        <v>815</v>
      </c>
    </row>
    <row r="1279" spans="1:5" x14ac:dyDescent="0.2">
      <c r="A1279" s="335">
        <v>1001275002</v>
      </c>
      <c r="B1279" s="336" t="s">
        <v>1002</v>
      </c>
      <c r="C1279" s="336" t="s">
        <v>813</v>
      </c>
      <c r="D1279" s="336" t="s">
        <v>814</v>
      </c>
      <c r="E1279" s="336" t="s">
        <v>815</v>
      </c>
    </row>
    <row r="1280" spans="1:5" x14ac:dyDescent="0.2">
      <c r="A1280" s="335">
        <v>1001275106</v>
      </c>
      <c r="B1280" s="336" t="s">
        <v>2043</v>
      </c>
      <c r="C1280" s="336" t="s">
        <v>813</v>
      </c>
      <c r="D1280" s="336" t="s">
        <v>814</v>
      </c>
      <c r="E1280" s="336" t="s">
        <v>815</v>
      </c>
    </row>
    <row r="1281" spans="1:5" x14ac:dyDescent="0.2">
      <c r="A1281" s="335">
        <v>1001275117</v>
      </c>
      <c r="B1281" s="336" t="s">
        <v>2044</v>
      </c>
      <c r="C1281" s="336" t="s">
        <v>797</v>
      </c>
      <c r="D1281" s="336" t="s">
        <v>814</v>
      </c>
      <c r="E1281" s="336" t="s">
        <v>815</v>
      </c>
    </row>
    <row r="1282" spans="1:5" x14ac:dyDescent="0.2">
      <c r="A1282" s="335">
        <v>1001275125</v>
      </c>
      <c r="B1282" s="336" t="s">
        <v>2045</v>
      </c>
      <c r="C1282" s="336" t="s">
        <v>813</v>
      </c>
      <c r="D1282" s="336" t="s">
        <v>814</v>
      </c>
      <c r="E1282" s="336" t="s">
        <v>815</v>
      </c>
    </row>
    <row r="1283" spans="1:5" x14ac:dyDescent="0.2">
      <c r="A1283" s="335">
        <v>1001275127</v>
      </c>
      <c r="B1283" s="336" t="s">
        <v>1000</v>
      </c>
      <c r="C1283" s="336" t="s">
        <v>813</v>
      </c>
      <c r="D1283" s="336" t="s">
        <v>814</v>
      </c>
      <c r="E1283" s="336" t="s">
        <v>815</v>
      </c>
    </row>
    <row r="1284" spans="1:5" x14ac:dyDescent="0.2">
      <c r="A1284" s="335">
        <v>1001275919</v>
      </c>
      <c r="B1284" s="336" t="s">
        <v>2046</v>
      </c>
      <c r="C1284" s="336" t="s">
        <v>863</v>
      </c>
      <c r="D1284" s="336" t="s">
        <v>814</v>
      </c>
      <c r="E1284" s="336" t="s">
        <v>815</v>
      </c>
    </row>
    <row r="1285" spans="1:5" x14ac:dyDescent="0.2">
      <c r="A1285" s="335">
        <v>1001275920</v>
      </c>
      <c r="B1285" s="336" t="s">
        <v>2047</v>
      </c>
      <c r="C1285" s="336" t="s">
        <v>813</v>
      </c>
      <c r="D1285" s="336" t="s">
        <v>814</v>
      </c>
      <c r="E1285" s="336" t="s">
        <v>815</v>
      </c>
    </row>
    <row r="1286" spans="1:5" x14ac:dyDescent="0.2">
      <c r="A1286" s="335">
        <v>1001276325</v>
      </c>
      <c r="B1286" s="336" t="s">
        <v>2048</v>
      </c>
      <c r="C1286" s="336" t="s">
        <v>797</v>
      </c>
      <c r="D1286" s="336" t="s">
        <v>814</v>
      </c>
      <c r="E1286" s="336" t="s">
        <v>815</v>
      </c>
    </row>
    <row r="1287" spans="1:5" x14ac:dyDescent="0.2">
      <c r="A1287" s="335">
        <v>1001276685</v>
      </c>
      <c r="B1287" s="336" t="s">
        <v>1035</v>
      </c>
      <c r="C1287" s="336" t="s">
        <v>797</v>
      </c>
      <c r="D1287" s="336" t="s">
        <v>814</v>
      </c>
      <c r="E1287" s="336" t="s">
        <v>815</v>
      </c>
    </row>
    <row r="1288" spans="1:5" x14ac:dyDescent="0.2">
      <c r="A1288" s="335">
        <v>1001276687</v>
      </c>
      <c r="B1288" s="336" t="s">
        <v>2049</v>
      </c>
      <c r="C1288" s="336" t="s">
        <v>797</v>
      </c>
      <c r="D1288" s="336" t="s">
        <v>814</v>
      </c>
      <c r="E1288" s="336" t="s">
        <v>815</v>
      </c>
    </row>
    <row r="1289" spans="1:5" x14ac:dyDescent="0.2">
      <c r="A1289" s="335">
        <v>1001276688</v>
      </c>
      <c r="B1289" s="336" t="s">
        <v>2050</v>
      </c>
      <c r="C1289" s="336" t="s">
        <v>813</v>
      </c>
      <c r="D1289" s="336" t="s">
        <v>814</v>
      </c>
      <c r="E1289" s="336" t="s">
        <v>815</v>
      </c>
    </row>
    <row r="1290" spans="1:5" x14ac:dyDescent="0.2">
      <c r="A1290" s="335">
        <v>1001276690</v>
      </c>
      <c r="B1290" s="336" t="s">
        <v>2051</v>
      </c>
      <c r="C1290" s="336" t="s">
        <v>813</v>
      </c>
      <c r="D1290" s="336" t="s">
        <v>814</v>
      </c>
      <c r="E1290" s="336" t="s">
        <v>815</v>
      </c>
    </row>
    <row r="1291" spans="1:5" x14ac:dyDescent="0.2">
      <c r="A1291" s="335">
        <v>1001276739</v>
      </c>
      <c r="B1291" s="336" t="s">
        <v>2052</v>
      </c>
      <c r="C1291" s="336" t="s">
        <v>813</v>
      </c>
      <c r="D1291" s="336" t="s">
        <v>814</v>
      </c>
      <c r="E1291" s="336" t="s">
        <v>815</v>
      </c>
    </row>
    <row r="1292" spans="1:5" x14ac:dyDescent="0.2">
      <c r="A1292" s="335">
        <v>1001277072</v>
      </c>
      <c r="B1292" s="336" t="s">
        <v>2053</v>
      </c>
      <c r="C1292" s="336" t="s">
        <v>813</v>
      </c>
      <c r="D1292" s="336" t="s">
        <v>814</v>
      </c>
      <c r="E1292" s="336" t="s">
        <v>815</v>
      </c>
    </row>
    <row r="1293" spans="1:5" x14ac:dyDescent="0.2">
      <c r="A1293" s="335">
        <v>1001277079</v>
      </c>
      <c r="B1293" s="336" t="s">
        <v>2054</v>
      </c>
      <c r="C1293" s="336" t="s">
        <v>1097</v>
      </c>
      <c r="D1293" s="336" t="s">
        <v>814</v>
      </c>
      <c r="E1293" s="336" t="s">
        <v>815</v>
      </c>
    </row>
    <row r="1294" spans="1:5" x14ac:dyDescent="0.2">
      <c r="A1294" s="335">
        <v>1001277143</v>
      </c>
      <c r="B1294" s="336" t="s">
        <v>885</v>
      </c>
      <c r="C1294" s="336" t="s">
        <v>797</v>
      </c>
      <c r="D1294" s="336" t="s">
        <v>814</v>
      </c>
      <c r="E1294" s="336" t="s">
        <v>815</v>
      </c>
    </row>
    <row r="1295" spans="1:5" x14ac:dyDescent="0.2">
      <c r="A1295" s="335">
        <v>1001277149</v>
      </c>
      <c r="B1295" s="336" t="s">
        <v>893</v>
      </c>
      <c r="C1295" s="336" t="s">
        <v>797</v>
      </c>
      <c r="D1295" s="336" t="s">
        <v>814</v>
      </c>
      <c r="E1295" s="336" t="s">
        <v>815</v>
      </c>
    </row>
    <row r="1296" spans="1:5" x14ac:dyDescent="0.2">
      <c r="A1296" s="335">
        <v>1001277202</v>
      </c>
      <c r="B1296" s="336" t="s">
        <v>2055</v>
      </c>
      <c r="C1296" s="336" t="s">
        <v>813</v>
      </c>
      <c r="D1296" s="336" t="s">
        <v>814</v>
      </c>
      <c r="E1296" s="336" t="s">
        <v>815</v>
      </c>
    </row>
    <row r="1297" spans="1:5" x14ac:dyDescent="0.2">
      <c r="A1297" s="335">
        <v>1001277257</v>
      </c>
      <c r="B1297" s="336" t="s">
        <v>2056</v>
      </c>
      <c r="C1297" s="336" t="s">
        <v>797</v>
      </c>
      <c r="D1297" s="336" t="s">
        <v>814</v>
      </c>
      <c r="E1297" s="336" t="s">
        <v>815</v>
      </c>
    </row>
    <row r="1298" spans="1:5" x14ac:dyDescent="0.2">
      <c r="A1298" s="335">
        <v>1001277280</v>
      </c>
      <c r="B1298" s="336" t="s">
        <v>2057</v>
      </c>
      <c r="C1298" s="336" t="s">
        <v>863</v>
      </c>
      <c r="D1298" s="336" t="s">
        <v>814</v>
      </c>
      <c r="E1298" s="336" t="s">
        <v>815</v>
      </c>
    </row>
    <row r="1299" spans="1:5" x14ac:dyDescent="0.2">
      <c r="A1299" s="335">
        <v>1001277281</v>
      </c>
      <c r="B1299" s="336" t="s">
        <v>2054</v>
      </c>
      <c r="C1299" s="336" t="s">
        <v>813</v>
      </c>
      <c r="D1299" s="336" t="s">
        <v>814</v>
      </c>
      <c r="E1299" s="336" t="s">
        <v>815</v>
      </c>
    </row>
    <row r="1300" spans="1:5" x14ac:dyDescent="0.2">
      <c r="A1300" s="335">
        <v>1001277356</v>
      </c>
      <c r="B1300" s="336" t="s">
        <v>2058</v>
      </c>
      <c r="C1300" s="336" t="s">
        <v>797</v>
      </c>
      <c r="D1300" s="336" t="s">
        <v>814</v>
      </c>
      <c r="E1300" s="336" t="s">
        <v>815</v>
      </c>
    </row>
    <row r="1301" spans="1:5" x14ac:dyDescent="0.2">
      <c r="A1301" s="335">
        <v>1001277357</v>
      </c>
      <c r="B1301" s="336" t="s">
        <v>848</v>
      </c>
      <c r="C1301" s="336" t="s">
        <v>797</v>
      </c>
      <c r="D1301" s="336" t="s">
        <v>814</v>
      </c>
      <c r="E1301" s="336" t="s">
        <v>815</v>
      </c>
    </row>
    <row r="1302" spans="1:5" x14ac:dyDescent="0.2">
      <c r="A1302" s="335">
        <v>1001277358</v>
      </c>
      <c r="B1302" s="336" t="s">
        <v>2059</v>
      </c>
      <c r="C1302" s="336" t="s">
        <v>797</v>
      </c>
      <c r="D1302" s="336" t="s">
        <v>814</v>
      </c>
      <c r="E1302" s="336" t="s">
        <v>815</v>
      </c>
    </row>
    <row r="1303" spans="1:5" x14ac:dyDescent="0.2">
      <c r="A1303" s="335">
        <v>1001277535</v>
      </c>
      <c r="B1303" s="336" t="s">
        <v>812</v>
      </c>
      <c r="C1303" s="336" t="s">
        <v>813</v>
      </c>
      <c r="D1303" s="336" t="s">
        <v>814</v>
      </c>
      <c r="E1303" s="336" t="s">
        <v>815</v>
      </c>
    </row>
    <row r="1304" spans="1:5" x14ac:dyDescent="0.2">
      <c r="A1304" s="335">
        <v>1001277536</v>
      </c>
      <c r="B1304" s="336" t="s">
        <v>816</v>
      </c>
      <c r="C1304" s="336" t="s">
        <v>813</v>
      </c>
      <c r="D1304" s="336" t="s">
        <v>814</v>
      </c>
      <c r="E1304" s="336" t="s">
        <v>815</v>
      </c>
    </row>
    <row r="1305" spans="1:5" x14ac:dyDescent="0.2">
      <c r="A1305" s="335">
        <v>1001278095</v>
      </c>
      <c r="B1305" s="336" t="s">
        <v>2060</v>
      </c>
      <c r="C1305" s="336" t="s">
        <v>797</v>
      </c>
      <c r="D1305" s="336" t="s">
        <v>814</v>
      </c>
      <c r="E1305" s="336" t="s">
        <v>815</v>
      </c>
    </row>
    <row r="1306" spans="1:5" x14ac:dyDescent="0.2">
      <c r="A1306" s="335">
        <v>1001278337</v>
      </c>
      <c r="B1306" s="336" t="s">
        <v>2061</v>
      </c>
      <c r="C1306" s="336" t="s">
        <v>863</v>
      </c>
      <c r="D1306" s="336" t="s">
        <v>814</v>
      </c>
      <c r="E1306" s="336" t="s">
        <v>815</v>
      </c>
    </row>
    <row r="1307" spans="1:5" x14ac:dyDescent="0.2">
      <c r="A1307" s="335">
        <v>1001278809</v>
      </c>
      <c r="B1307" s="336" t="s">
        <v>2062</v>
      </c>
      <c r="C1307" s="336" t="s">
        <v>797</v>
      </c>
      <c r="D1307" s="336" t="s">
        <v>814</v>
      </c>
      <c r="E1307" s="336" t="s">
        <v>815</v>
      </c>
    </row>
    <row r="1308" spans="1:5" x14ac:dyDescent="0.2">
      <c r="A1308" s="335">
        <v>1001279446</v>
      </c>
      <c r="B1308" s="336" t="s">
        <v>2063</v>
      </c>
      <c r="C1308" s="336" t="s">
        <v>813</v>
      </c>
      <c r="D1308" s="336" t="s">
        <v>814</v>
      </c>
      <c r="E1308" s="336" t="s">
        <v>815</v>
      </c>
    </row>
    <row r="1309" spans="1:5" x14ac:dyDescent="0.2">
      <c r="A1309" s="335">
        <v>1001279732</v>
      </c>
      <c r="B1309" s="336" t="s">
        <v>2064</v>
      </c>
      <c r="C1309" s="336" t="s">
        <v>813</v>
      </c>
      <c r="D1309" s="336" t="s">
        <v>814</v>
      </c>
      <c r="E1309" s="336" t="s">
        <v>815</v>
      </c>
    </row>
    <row r="1310" spans="1:5" x14ac:dyDescent="0.2">
      <c r="A1310" s="335">
        <v>1001279923</v>
      </c>
      <c r="B1310" s="336" t="s">
        <v>2065</v>
      </c>
      <c r="C1310" s="336" t="s">
        <v>813</v>
      </c>
      <c r="D1310" s="336" t="s">
        <v>814</v>
      </c>
      <c r="E1310" s="336" t="s">
        <v>815</v>
      </c>
    </row>
    <row r="1311" spans="1:5" x14ac:dyDescent="0.2">
      <c r="A1311" s="335">
        <v>1001280063</v>
      </c>
      <c r="B1311" s="336" t="s">
        <v>846</v>
      </c>
      <c r="C1311" s="336" t="s">
        <v>797</v>
      </c>
      <c r="D1311" s="336" t="s">
        <v>814</v>
      </c>
      <c r="E1311" s="336" t="s">
        <v>815</v>
      </c>
    </row>
    <row r="1312" spans="1:5" x14ac:dyDescent="0.2">
      <c r="A1312" s="335">
        <v>1001280536</v>
      </c>
      <c r="B1312" s="336" t="s">
        <v>2066</v>
      </c>
      <c r="C1312" s="336" t="s">
        <v>813</v>
      </c>
      <c r="D1312" s="336" t="s">
        <v>814</v>
      </c>
      <c r="E1312" s="336" t="s">
        <v>815</v>
      </c>
    </row>
    <row r="1313" spans="1:5" x14ac:dyDescent="0.2">
      <c r="A1313" s="335">
        <v>1001280724</v>
      </c>
      <c r="B1313" s="336" t="s">
        <v>2067</v>
      </c>
      <c r="C1313" s="336" t="s">
        <v>797</v>
      </c>
      <c r="D1313" s="336" t="s">
        <v>814</v>
      </c>
      <c r="E1313" s="336" t="s">
        <v>815</v>
      </c>
    </row>
    <row r="1314" spans="1:5" x14ac:dyDescent="0.2">
      <c r="A1314" s="335">
        <v>1001280744</v>
      </c>
      <c r="B1314" s="336" t="s">
        <v>2068</v>
      </c>
      <c r="C1314" s="336" t="s">
        <v>797</v>
      </c>
      <c r="D1314" s="336" t="s">
        <v>814</v>
      </c>
      <c r="E1314" s="336" t="s">
        <v>815</v>
      </c>
    </row>
    <row r="1315" spans="1:5" x14ac:dyDescent="0.2">
      <c r="A1315" s="335">
        <v>1001288834</v>
      </c>
      <c r="B1315" s="336" t="s">
        <v>2069</v>
      </c>
      <c r="C1315" s="336" t="s">
        <v>813</v>
      </c>
      <c r="D1315" s="336" t="s">
        <v>814</v>
      </c>
      <c r="E1315" s="336" t="s">
        <v>815</v>
      </c>
    </row>
    <row r="1316" spans="1:5" x14ac:dyDescent="0.2">
      <c r="A1316" s="335">
        <v>1001288912</v>
      </c>
      <c r="B1316" s="336" t="s">
        <v>1098</v>
      </c>
      <c r="C1316" s="336" t="s">
        <v>813</v>
      </c>
      <c r="D1316" s="336" t="s">
        <v>814</v>
      </c>
      <c r="E1316" s="336" t="s">
        <v>815</v>
      </c>
    </row>
    <row r="1317" spans="1:5" x14ac:dyDescent="0.2">
      <c r="A1317" s="335">
        <v>1001288933</v>
      </c>
      <c r="B1317" s="336" t="s">
        <v>2070</v>
      </c>
      <c r="C1317" s="336" t="s">
        <v>813</v>
      </c>
      <c r="D1317" s="336" t="s">
        <v>814</v>
      </c>
      <c r="E1317" s="336" t="s">
        <v>815</v>
      </c>
    </row>
    <row r="1318" spans="1:5" x14ac:dyDescent="0.2">
      <c r="A1318" s="335">
        <v>1001288953</v>
      </c>
      <c r="B1318" s="336" t="s">
        <v>2071</v>
      </c>
      <c r="C1318" s="336" t="s">
        <v>813</v>
      </c>
      <c r="D1318" s="336" t="s">
        <v>814</v>
      </c>
      <c r="E1318" s="336" t="s">
        <v>815</v>
      </c>
    </row>
    <row r="1319" spans="1:5" x14ac:dyDescent="0.2">
      <c r="A1319" s="335">
        <v>1001288955</v>
      </c>
      <c r="B1319" s="336" t="s">
        <v>2072</v>
      </c>
      <c r="C1319" s="336" t="s">
        <v>813</v>
      </c>
      <c r="D1319" s="336" t="s">
        <v>814</v>
      </c>
      <c r="E1319" s="336" t="s">
        <v>815</v>
      </c>
    </row>
    <row r="1320" spans="1:5" x14ac:dyDescent="0.2">
      <c r="A1320" s="335">
        <v>1001288965</v>
      </c>
      <c r="B1320" s="336" t="s">
        <v>2073</v>
      </c>
      <c r="C1320" s="336" t="s">
        <v>813</v>
      </c>
      <c r="D1320" s="336" t="s">
        <v>814</v>
      </c>
      <c r="E1320" s="336" t="s">
        <v>815</v>
      </c>
    </row>
    <row r="1321" spans="1:5" x14ac:dyDescent="0.2">
      <c r="A1321" s="335">
        <v>1001288979</v>
      </c>
      <c r="B1321" s="336" t="s">
        <v>2074</v>
      </c>
      <c r="C1321" s="336" t="s">
        <v>813</v>
      </c>
      <c r="D1321" s="336" t="s">
        <v>814</v>
      </c>
      <c r="E1321" s="336" t="s">
        <v>815</v>
      </c>
    </row>
    <row r="1322" spans="1:5" x14ac:dyDescent="0.2">
      <c r="A1322" s="335">
        <v>1001289059</v>
      </c>
      <c r="B1322" s="336" t="s">
        <v>2024</v>
      </c>
      <c r="C1322" s="336" t="s">
        <v>813</v>
      </c>
      <c r="D1322" s="336" t="s">
        <v>814</v>
      </c>
      <c r="E1322" s="336" t="s">
        <v>815</v>
      </c>
    </row>
    <row r="1323" spans="1:5" x14ac:dyDescent="0.2">
      <c r="A1323" s="335">
        <v>1001289064</v>
      </c>
      <c r="B1323" s="336" t="s">
        <v>2075</v>
      </c>
      <c r="C1323" s="336" t="s">
        <v>813</v>
      </c>
      <c r="D1323" s="336" t="s">
        <v>814</v>
      </c>
      <c r="E1323" s="336" t="s">
        <v>815</v>
      </c>
    </row>
    <row r="1324" spans="1:5" x14ac:dyDescent="0.2">
      <c r="A1324" s="335">
        <v>1001290226</v>
      </c>
      <c r="B1324" s="336" t="s">
        <v>2076</v>
      </c>
      <c r="C1324" s="336" t="s">
        <v>797</v>
      </c>
      <c r="D1324" s="336" t="s">
        <v>814</v>
      </c>
      <c r="E1324" s="336" t="s">
        <v>815</v>
      </c>
    </row>
    <row r="1325" spans="1:5" x14ac:dyDescent="0.2">
      <c r="A1325" s="335">
        <v>1001290238</v>
      </c>
      <c r="B1325" s="336" t="s">
        <v>2077</v>
      </c>
      <c r="C1325" s="336" t="s">
        <v>813</v>
      </c>
      <c r="D1325" s="336" t="s">
        <v>814</v>
      </c>
      <c r="E1325" s="336" t="s">
        <v>815</v>
      </c>
    </row>
    <row r="1326" spans="1:5" x14ac:dyDescent="0.2">
      <c r="A1326" s="335">
        <v>1001290255</v>
      </c>
      <c r="B1326" s="336" t="s">
        <v>1534</v>
      </c>
      <c r="C1326" s="336" t="s">
        <v>813</v>
      </c>
      <c r="D1326" s="336" t="s">
        <v>814</v>
      </c>
      <c r="E1326" s="336" t="s">
        <v>815</v>
      </c>
    </row>
    <row r="1327" spans="1:5" x14ac:dyDescent="0.2">
      <c r="A1327" s="335">
        <v>1001290291</v>
      </c>
      <c r="B1327" s="336" t="s">
        <v>2078</v>
      </c>
      <c r="C1327" s="336" t="s">
        <v>813</v>
      </c>
      <c r="D1327" s="336" t="s">
        <v>814</v>
      </c>
      <c r="E1327" s="336" t="s">
        <v>815</v>
      </c>
    </row>
    <row r="1328" spans="1:5" x14ac:dyDescent="0.2">
      <c r="A1328" s="335">
        <v>1001290300</v>
      </c>
      <c r="B1328" s="336" t="s">
        <v>2079</v>
      </c>
      <c r="C1328" s="336" t="s">
        <v>797</v>
      </c>
      <c r="D1328" s="336" t="s">
        <v>814</v>
      </c>
      <c r="E1328" s="336" t="s">
        <v>815</v>
      </c>
    </row>
    <row r="1329" spans="1:5" x14ac:dyDescent="0.2">
      <c r="A1329" s="335">
        <v>1001290517</v>
      </c>
      <c r="B1329" s="336" t="s">
        <v>2080</v>
      </c>
      <c r="C1329" s="336" t="s">
        <v>813</v>
      </c>
      <c r="D1329" s="336" t="s">
        <v>814</v>
      </c>
      <c r="E1329" s="336" t="s">
        <v>815</v>
      </c>
    </row>
    <row r="1330" spans="1:5" x14ac:dyDescent="0.2">
      <c r="A1330" s="335">
        <v>1001290537</v>
      </c>
      <c r="B1330" s="336" t="s">
        <v>2081</v>
      </c>
      <c r="C1330" s="336" t="s">
        <v>813</v>
      </c>
      <c r="D1330" s="336" t="s">
        <v>814</v>
      </c>
      <c r="E1330" s="336" t="s">
        <v>815</v>
      </c>
    </row>
    <row r="1331" spans="1:5" x14ac:dyDescent="0.2">
      <c r="A1331" s="335">
        <v>1001290550</v>
      </c>
      <c r="B1331" s="336" t="s">
        <v>2082</v>
      </c>
      <c r="C1331" s="336" t="s">
        <v>813</v>
      </c>
      <c r="D1331" s="336" t="s">
        <v>814</v>
      </c>
      <c r="E1331" s="336" t="s">
        <v>815</v>
      </c>
    </row>
    <row r="1332" spans="1:5" x14ac:dyDescent="0.2">
      <c r="A1332" s="335">
        <v>1001290579</v>
      </c>
      <c r="B1332" s="336" t="s">
        <v>2083</v>
      </c>
      <c r="C1332" s="336" t="s">
        <v>813</v>
      </c>
      <c r="D1332" s="336" t="s">
        <v>814</v>
      </c>
      <c r="E1332" s="336" t="s">
        <v>815</v>
      </c>
    </row>
    <row r="1333" spans="1:5" x14ac:dyDescent="0.2">
      <c r="A1333" s="335">
        <v>1001290642</v>
      </c>
      <c r="B1333" s="336" t="s">
        <v>2084</v>
      </c>
      <c r="C1333" s="336" t="s">
        <v>797</v>
      </c>
      <c r="D1333" s="336" t="s">
        <v>814</v>
      </c>
      <c r="E1333" s="336" t="s">
        <v>815</v>
      </c>
    </row>
    <row r="1334" spans="1:5" x14ac:dyDescent="0.2">
      <c r="A1334" s="335">
        <v>1001290643</v>
      </c>
      <c r="B1334" s="336" t="s">
        <v>2085</v>
      </c>
      <c r="C1334" s="336" t="s">
        <v>813</v>
      </c>
      <c r="D1334" s="336" t="s">
        <v>814</v>
      </c>
      <c r="E1334" s="336" t="s">
        <v>815</v>
      </c>
    </row>
    <row r="1335" spans="1:5" x14ac:dyDescent="0.2">
      <c r="A1335" s="335">
        <v>1001290668</v>
      </c>
      <c r="B1335" s="336" t="s">
        <v>2086</v>
      </c>
      <c r="C1335" s="336" t="s">
        <v>813</v>
      </c>
      <c r="D1335" s="336" t="s">
        <v>814</v>
      </c>
      <c r="E1335" s="336" t="s">
        <v>815</v>
      </c>
    </row>
    <row r="1336" spans="1:5" x14ac:dyDescent="0.2">
      <c r="A1336" s="335">
        <v>1001290805</v>
      </c>
      <c r="B1336" s="336" t="s">
        <v>2087</v>
      </c>
      <c r="C1336" s="336" t="s">
        <v>813</v>
      </c>
      <c r="D1336" s="336" t="s">
        <v>814</v>
      </c>
      <c r="E1336" s="336" t="s">
        <v>815</v>
      </c>
    </row>
    <row r="1337" spans="1:5" x14ac:dyDescent="0.2">
      <c r="A1337" s="335">
        <v>1001290816</v>
      </c>
      <c r="B1337" s="336" t="s">
        <v>2088</v>
      </c>
      <c r="C1337" s="336" t="s">
        <v>863</v>
      </c>
      <c r="D1337" s="336" t="s">
        <v>814</v>
      </c>
      <c r="E1337" s="336" t="s">
        <v>815</v>
      </c>
    </row>
    <row r="1338" spans="1:5" x14ac:dyDescent="0.2">
      <c r="A1338" s="335">
        <v>1001290818</v>
      </c>
      <c r="B1338" s="336" t="s">
        <v>2071</v>
      </c>
      <c r="C1338" s="336" t="s">
        <v>813</v>
      </c>
      <c r="D1338" s="336" t="s">
        <v>814</v>
      </c>
      <c r="E1338" s="336" t="s">
        <v>815</v>
      </c>
    </row>
    <row r="1339" spans="1:5" x14ac:dyDescent="0.2">
      <c r="A1339" s="335">
        <v>1001290819</v>
      </c>
      <c r="B1339" s="336" t="s">
        <v>2088</v>
      </c>
      <c r="C1339" s="336" t="s">
        <v>813</v>
      </c>
      <c r="D1339" s="336" t="s">
        <v>814</v>
      </c>
      <c r="E1339" s="336" t="s">
        <v>815</v>
      </c>
    </row>
    <row r="1340" spans="1:5" x14ac:dyDescent="0.2">
      <c r="A1340" s="335">
        <v>1001295231</v>
      </c>
      <c r="B1340" s="336" t="s">
        <v>2089</v>
      </c>
      <c r="C1340" s="336" t="s">
        <v>863</v>
      </c>
      <c r="D1340" s="336" t="s">
        <v>814</v>
      </c>
      <c r="E1340" s="336" t="s">
        <v>815</v>
      </c>
    </row>
    <row r="1341" spans="1:5" x14ac:dyDescent="0.2">
      <c r="A1341" s="335">
        <v>1001299407</v>
      </c>
      <c r="B1341" s="336" t="s">
        <v>2090</v>
      </c>
      <c r="C1341" s="336" t="s">
        <v>813</v>
      </c>
      <c r="D1341" s="336" t="s">
        <v>814</v>
      </c>
      <c r="E1341" s="336" t="s">
        <v>815</v>
      </c>
    </row>
    <row r="1342" spans="1:5" x14ac:dyDescent="0.2">
      <c r="A1342" s="335">
        <v>1001301955</v>
      </c>
      <c r="B1342" s="336" t="s">
        <v>2091</v>
      </c>
      <c r="C1342" s="336" t="s">
        <v>797</v>
      </c>
      <c r="D1342" s="336" t="s">
        <v>814</v>
      </c>
      <c r="E1342" s="336" t="s">
        <v>815</v>
      </c>
    </row>
    <row r="1343" spans="1:5" x14ac:dyDescent="0.2">
      <c r="A1343" s="335">
        <v>1001301968</v>
      </c>
      <c r="B1343" s="336" t="s">
        <v>2092</v>
      </c>
      <c r="C1343" s="336" t="s">
        <v>797</v>
      </c>
      <c r="D1343" s="336" t="s">
        <v>814</v>
      </c>
      <c r="E1343" s="336" t="s">
        <v>815</v>
      </c>
    </row>
    <row r="1344" spans="1:5" x14ac:dyDescent="0.2">
      <c r="A1344" s="335">
        <v>1001301969</v>
      </c>
      <c r="B1344" s="336" t="s">
        <v>2093</v>
      </c>
      <c r="C1344" s="336" t="s">
        <v>813</v>
      </c>
      <c r="D1344" s="336" t="s">
        <v>814</v>
      </c>
      <c r="E1344" s="336" t="s">
        <v>815</v>
      </c>
    </row>
    <row r="1345" spans="1:5" x14ac:dyDescent="0.2">
      <c r="A1345" s="335">
        <v>1001302095</v>
      </c>
      <c r="B1345" s="336" t="s">
        <v>2094</v>
      </c>
      <c r="C1345" s="336" t="s">
        <v>863</v>
      </c>
      <c r="D1345" s="336" t="s">
        <v>814</v>
      </c>
      <c r="E1345" s="336" t="s">
        <v>815</v>
      </c>
    </row>
    <row r="1346" spans="1:5" x14ac:dyDescent="0.2">
      <c r="A1346" s="335">
        <v>1001302138</v>
      </c>
      <c r="B1346" s="336" t="s">
        <v>2095</v>
      </c>
      <c r="C1346" s="336" t="s">
        <v>813</v>
      </c>
      <c r="D1346" s="336" t="s">
        <v>814</v>
      </c>
      <c r="E1346" s="336" t="s">
        <v>815</v>
      </c>
    </row>
    <row r="1347" spans="1:5" x14ac:dyDescent="0.2">
      <c r="A1347" s="335">
        <v>1001302155</v>
      </c>
      <c r="B1347" s="336" t="s">
        <v>2096</v>
      </c>
      <c r="C1347" s="336" t="s">
        <v>863</v>
      </c>
      <c r="D1347" s="336" t="s">
        <v>814</v>
      </c>
      <c r="E1347" s="336" t="s">
        <v>815</v>
      </c>
    </row>
    <row r="1348" spans="1:5" x14ac:dyDescent="0.2">
      <c r="A1348" s="335">
        <v>1001302161</v>
      </c>
      <c r="B1348" s="336" t="s">
        <v>2097</v>
      </c>
      <c r="C1348" s="336" t="s">
        <v>813</v>
      </c>
      <c r="D1348" s="336" t="s">
        <v>814</v>
      </c>
      <c r="E1348" s="336" t="s">
        <v>815</v>
      </c>
    </row>
    <row r="1349" spans="1:5" x14ac:dyDescent="0.2">
      <c r="A1349" s="335">
        <v>1001302263</v>
      </c>
      <c r="B1349" s="336" t="s">
        <v>2098</v>
      </c>
      <c r="C1349" s="336" t="s">
        <v>863</v>
      </c>
      <c r="D1349" s="336" t="s">
        <v>814</v>
      </c>
      <c r="E1349" s="336" t="s">
        <v>815</v>
      </c>
    </row>
    <row r="1350" spans="1:5" x14ac:dyDescent="0.2">
      <c r="A1350" s="335">
        <v>1001302327</v>
      </c>
      <c r="B1350" s="336" t="s">
        <v>2099</v>
      </c>
      <c r="C1350" s="336" t="s">
        <v>813</v>
      </c>
      <c r="D1350" s="336" t="s">
        <v>814</v>
      </c>
      <c r="E1350" s="336" t="s">
        <v>815</v>
      </c>
    </row>
    <row r="1351" spans="1:5" x14ac:dyDescent="0.2">
      <c r="A1351" s="335">
        <v>1001302330</v>
      </c>
      <c r="B1351" s="336" t="s">
        <v>2100</v>
      </c>
      <c r="C1351" s="336" t="s">
        <v>797</v>
      </c>
      <c r="D1351" s="336" t="s">
        <v>814</v>
      </c>
      <c r="E1351" s="336" t="s">
        <v>815</v>
      </c>
    </row>
    <row r="1352" spans="1:5" x14ac:dyDescent="0.2">
      <c r="A1352" s="335">
        <v>1001302356</v>
      </c>
      <c r="B1352" s="336" t="s">
        <v>2101</v>
      </c>
      <c r="C1352" s="336" t="s">
        <v>813</v>
      </c>
      <c r="D1352" s="336" t="s">
        <v>814</v>
      </c>
      <c r="E1352" s="336" t="s">
        <v>815</v>
      </c>
    </row>
    <row r="1353" spans="1:5" x14ac:dyDescent="0.2">
      <c r="A1353" s="335">
        <v>1001302389</v>
      </c>
      <c r="B1353" s="336" t="s">
        <v>1410</v>
      </c>
      <c r="C1353" s="336" t="s">
        <v>863</v>
      </c>
      <c r="D1353" s="336" t="s">
        <v>814</v>
      </c>
      <c r="E1353" s="336" t="s">
        <v>815</v>
      </c>
    </row>
    <row r="1354" spans="1:5" x14ac:dyDescent="0.2">
      <c r="A1354" s="335">
        <v>1001302396</v>
      </c>
      <c r="B1354" s="336" t="s">
        <v>2102</v>
      </c>
      <c r="C1354" s="336" t="s">
        <v>813</v>
      </c>
      <c r="D1354" s="336" t="s">
        <v>814</v>
      </c>
      <c r="E1354" s="336" t="s">
        <v>815</v>
      </c>
    </row>
    <row r="1355" spans="1:5" x14ac:dyDescent="0.2">
      <c r="A1355" s="335">
        <v>1001302400</v>
      </c>
      <c r="B1355" s="336" t="s">
        <v>2103</v>
      </c>
      <c r="C1355" s="336" t="s">
        <v>813</v>
      </c>
      <c r="D1355" s="336" t="s">
        <v>814</v>
      </c>
      <c r="E1355" s="336" t="s">
        <v>815</v>
      </c>
    </row>
    <row r="1356" spans="1:5" x14ac:dyDescent="0.2">
      <c r="A1356" s="335">
        <v>1001302422</v>
      </c>
      <c r="B1356" s="336" t="s">
        <v>2104</v>
      </c>
      <c r="C1356" s="336" t="s">
        <v>813</v>
      </c>
      <c r="D1356" s="336" t="s">
        <v>814</v>
      </c>
      <c r="E1356" s="336" t="s">
        <v>815</v>
      </c>
    </row>
    <row r="1357" spans="1:5" x14ac:dyDescent="0.2">
      <c r="A1357" s="335">
        <v>1001302437</v>
      </c>
      <c r="B1357" s="336" t="s">
        <v>2105</v>
      </c>
      <c r="C1357" s="336" t="s">
        <v>813</v>
      </c>
      <c r="D1357" s="336" t="s">
        <v>814</v>
      </c>
      <c r="E1357" s="336" t="s">
        <v>815</v>
      </c>
    </row>
    <row r="1358" spans="1:5" x14ac:dyDescent="0.2">
      <c r="A1358" s="335">
        <v>1001302444</v>
      </c>
      <c r="B1358" s="336" t="s">
        <v>2106</v>
      </c>
      <c r="C1358" s="336" t="s">
        <v>813</v>
      </c>
      <c r="D1358" s="336" t="s">
        <v>814</v>
      </c>
      <c r="E1358" s="336" t="s">
        <v>815</v>
      </c>
    </row>
    <row r="1359" spans="1:5" x14ac:dyDescent="0.2">
      <c r="A1359" s="335">
        <v>1001302449</v>
      </c>
      <c r="B1359" s="336" t="s">
        <v>2107</v>
      </c>
      <c r="C1359" s="336" t="s">
        <v>813</v>
      </c>
      <c r="D1359" s="336" t="s">
        <v>814</v>
      </c>
      <c r="E1359" s="336" t="s">
        <v>815</v>
      </c>
    </row>
    <row r="1360" spans="1:5" x14ac:dyDescent="0.2">
      <c r="A1360" s="335">
        <v>1001302571</v>
      </c>
      <c r="B1360" s="336" t="s">
        <v>2108</v>
      </c>
      <c r="C1360" s="336" t="s">
        <v>813</v>
      </c>
      <c r="D1360" s="336" t="s">
        <v>814</v>
      </c>
      <c r="E1360" s="336" t="s">
        <v>815</v>
      </c>
    </row>
    <row r="1361" spans="1:5" x14ac:dyDescent="0.2">
      <c r="A1361" s="335">
        <v>1001302573</v>
      </c>
      <c r="B1361" s="336" t="s">
        <v>2109</v>
      </c>
      <c r="C1361" s="336" t="s">
        <v>813</v>
      </c>
      <c r="D1361" s="336" t="s">
        <v>814</v>
      </c>
      <c r="E1361" s="336" t="s">
        <v>815</v>
      </c>
    </row>
    <row r="1362" spans="1:5" x14ac:dyDescent="0.2">
      <c r="A1362" s="335">
        <v>1001302661</v>
      </c>
      <c r="B1362" s="336" t="s">
        <v>2110</v>
      </c>
      <c r="C1362" s="336" t="s">
        <v>863</v>
      </c>
      <c r="D1362" s="336" t="s">
        <v>814</v>
      </c>
      <c r="E1362" s="336" t="s">
        <v>815</v>
      </c>
    </row>
    <row r="1363" spans="1:5" x14ac:dyDescent="0.2">
      <c r="A1363" s="335">
        <v>1001302668</v>
      </c>
      <c r="B1363" s="336" t="s">
        <v>2111</v>
      </c>
      <c r="C1363" s="336" t="s">
        <v>863</v>
      </c>
      <c r="D1363" s="336" t="s">
        <v>814</v>
      </c>
      <c r="E1363" s="336" t="s">
        <v>815</v>
      </c>
    </row>
    <row r="1364" spans="1:5" x14ac:dyDescent="0.2">
      <c r="A1364" s="335">
        <v>1001302669</v>
      </c>
      <c r="B1364" s="336" t="s">
        <v>2112</v>
      </c>
      <c r="C1364" s="336" t="s">
        <v>863</v>
      </c>
      <c r="D1364" s="336" t="s">
        <v>814</v>
      </c>
      <c r="E1364" s="336" t="s">
        <v>815</v>
      </c>
    </row>
    <row r="1365" spans="1:5" x14ac:dyDescent="0.2">
      <c r="A1365" s="335">
        <v>1001311008</v>
      </c>
      <c r="B1365" s="336" t="s">
        <v>2113</v>
      </c>
      <c r="C1365" s="336" t="s">
        <v>813</v>
      </c>
      <c r="D1365" s="336" t="s">
        <v>814</v>
      </c>
      <c r="E1365" s="336" t="s">
        <v>815</v>
      </c>
    </row>
    <row r="1366" spans="1:5" x14ac:dyDescent="0.2">
      <c r="A1366" s="335">
        <v>1001312035</v>
      </c>
      <c r="B1366" s="336" t="s">
        <v>1534</v>
      </c>
      <c r="C1366" s="336" t="s">
        <v>1097</v>
      </c>
      <c r="D1366" s="336" t="s">
        <v>814</v>
      </c>
      <c r="E1366" s="336" t="s">
        <v>815</v>
      </c>
    </row>
    <row r="1367" spans="1:5" x14ac:dyDescent="0.2">
      <c r="A1367" s="335">
        <v>1001312094</v>
      </c>
      <c r="B1367" s="336" t="s">
        <v>2114</v>
      </c>
      <c r="C1367" s="336" t="s">
        <v>813</v>
      </c>
      <c r="D1367" s="336" t="s">
        <v>814</v>
      </c>
      <c r="E1367" s="336" t="s">
        <v>815</v>
      </c>
    </row>
    <row r="1368" spans="1:5" x14ac:dyDescent="0.2">
      <c r="A1368" s="335">
        <v>1001312096</v>
      </c>
      <c r="B1368" s="336" t="s">
        <v>2115</v>
      </c>
      <c r="C1368" s="336" t="s">
        <v>863</v>
      </c>
      <c r="D1368" s="336" t="s">
        <v>814</v>
      </c>
      <c r="E1368" s="336" t="s">
        <v>815</v>
      </c>
    </row>
    <row r="1369" spans="1:5" x14ac:dyDescent="0.2">
      <c r="A1369" s="335">
        <v>1001312115</v>
      </c>
      <c r="B1369" s="336" t="s">
        <v>2103</v>
      </c>
      <c r="C1369" s="336" t="s">
        <v>813</v>
      </c>
      <c r="D1369" s="336" t="s">
        <v>814</v>
      </c>
      <c r="E1369" s="336" t="s">
        <v>815</v>
      </c>
    </row>
    <row r="1370" spans="1:5" x14ac:dyDescent="0.2">
      <c r="A1370" s="335">
        <v>1001312140</v>
      </c>
      <c r="B1370" s="336" t="s">
        <v>2116</v>
      </c>
      <c r="C1370" s="336" t="s">
        <v>863</v>
      </c>
      <c r="D1370" s="336" t="s">
        <v>814</v>
      </c>
      <c r="E1370" s="336" t="s">
        <v>815</v>
      </c>
    </row>
    <row r="1371" spans="1:5" x14ac:dyDescent="0.2">
      <c r="A1371" s="335">
        <v>1001312202</v>
      </c>
      <c r="B1371" s="336" t="s">
        <v>2117</v>
      </c>
      <c r="C1371" s="336" t="s">
        <v>813</v>
      </c>
      <c r="D1371" s="336" t="s">
        <v>814</v>
      </c>
      <c r="E1371" s="336" t="s">
        <v>815</v>
      </c>
    </row>
    <row r="1372" spans="1:5" x14ac:dyDescent="0.2">
      <c r="A1372" s="335">
        <v>1001312267</v>
      </c>
      <c r="B1372" s="336" t="s">
        <v>2118</v>
      </c>
      <c r="C1372" s="336" t="s">
        <v>813</v>
      </c>
      <c r="D1372" s="336" t="s">
        <v>814</v>
      </c>
      <c r="E1372" s="336" t="s">
        <v>815</v>
      </c>
    </row>
    <row r="1373" spans="1:5" x14ac:dyDescent="0.2">
      <c r="A1373" s="335">
        <v>1001313848</v>
      </c>
      <c r="B1373" s="336" t="s">
        <v>2119</v>
      </c>
      <c r="C1373" s="336" t="s">
        <v>813</v>
      </c>
      <c r="D1373" s="336" t="s">
        <v>814</v>
      </c>
      <c r="E1373" s="336" t="s">
        <v>815</v>
      </c>
    </row>
    <row r="1374" spans="1:5" x14ac:dyDescent="0.2">
      <c r="A1374" s="335">
        <v>1001314088</v>
      </c>
      <c r="B1374" s="336" t="s">
        <v>2120</v>
      </c>
      <c r="C1374" s="336" t="s">
        <v>813</v>
      </c>
      <c r="D1374" s="336" t="s">
        <v>814</v>
      </c>
      <c r="E1374" s="336" t="s">
        <v>815</v>
      </c>
    </row>
    <row r="1375" spans="1:5" x14ac:dyDescent="0.2">
      <c r="A1375" s="335">
        <v>1001314621</v>
      </c>
      <c r="B1375" s="336" t="s">
        <v>2121</v>
      </c>
      <c r="C1375" s="336" t="s">
        <v>813</v>
      </c>
      <c r="D1375" s="336" t="s">
        <v>814</v>
      </c>
      <c r="E1375" s="336" t="s">
        <v>815</v>
      </c>
    </row>
    <row r="1376" spans="1:5" x14ac:dyDescent="0.2">
      <c r="A1376" s="335">
        <v>1001315345</v>
      </c>
      <c r="B1376" s="336" t="s">
        <v>2122</v>
      </c>
      <c r="C1376" s="336" t="s">
        <v>813</v>
      </c>
      <c r="D1376" s="336" t="s">
        <v>814</v>
      </c>
      <c r="E1376" s="336" t="s">
        <v>815</v>
      </c>
    </row>
    <row r="1377" spans="1:5" x14ac:dyDescent="0.2">
      <c r="A1377" s="335">
        <v>1001315580</v>
      </c>
      <c r="B1377" s="336" t="s">
        <v>2123</v>
      </c>
      <c r="C1377" s="336" t="s">
        <v>813</v>
      </c>
      <c r="D1377" s="336" t="s">
        <v>814</v>
      </c>
      <c r="E1377" s="336" t="s">
        <v>815</v>
      </c>
    </row>
    <row r="1378" spans="1:5" x14ac:dyDescent="0.2">
      <c r="A1378" s="335">
        <v>1001315583</v>
      </c>
      <c r="B1378" s="336" t="s">
        <v>2124</v>
      </c>
      <c r="C1378" s="336" t="s">
        <v>813</v>
      </c>
      <c r="D1378" s="336" t="s">
        <v>814</v>
      </c>
      <c r="E1378" s="336" t="s">
        <v>815</v>
      </c>
    </row>
    <row r="1379" spans="1:5" x14ac:dyDescent="0.2">
      <c r="A1379" s="335">
        <v>1001316033</v>
      </c>
      <c r="B1379" s="336" t="s">
        <v>2125</v>
      </c>
      <c r="C1379" s="336" t="s">
        <v>813</v>
      </c>
      <c r="D1379" s="336" t="s">
        <v>814</v>
      </c>
      <c r="E1379" s="336" t="s">
        <v>815</v>
      </c>
    </row>
    <row r="1380" spans="1:5" x14ac:dyDescent="0.2">
      <c r="A1380" s="335">
        <v>1001316034</v>
      </c>
      <c r="B1380" s="336" t="s">
        <v>2126</v>
      </c>
      <c r="C1380" s="336" t="s">
        <v>813</v>
      </c>
      <c r="D1380" s="336" t="s">
        <v>814</v>
      </c>
      <c r="E1380" s="336" t="s">
        <v>815</v>
      </c>
    </row>
    <row r="1381" spans="1:5" x14ac:dyDescent="0.2">
      <c r="A1381" s="335">
        <v>1001316037</v>
      </c>
      <c r="B1381" s="336" t="s">
        <v>2127</v>
      </c>
      <c r="C1381" s="336" t="s">
        <v>813</v>
      </c>
      <c r="D1381" s="336" t="s">
        <v>814</v>
      </c>
      <c r="E1381" s="336" t="s">
        <v>815</v>
      </c>
    </row>
    <row r="1382" spans="1:5" x14ac:dyDescent="0.2">
      <c r="A1382" s="335">
        <v>1001262309</v>
      </c>
      <c r="B1382" s="336" t="s">
        <v>2128</v>
      </c>
      <c r="C1382" s="336" t="s">
        <v>813</v>
      </c>
      <c r="D1382" s="336" t="s">
        <v>838</v>
      </c>
      <c r="E1382" s="336" t="s">
        <v>839</v>
      </c>
    </row>
    <row r="1383" spans="1:5" x14ac:dyDescent="0.2">
      <c r="A1383" s="335">
        <v>1001263224</v>
      </c>
      <c r="B1383" s="336" t="s">
        <v>1080</v>
      </c>
      <c r="C1383" s="336" t="s">
        <v>797</v>
      </c>
      <c r="D1383" s="336" t="s">
        <v>838</v>
      </c>
      <c r="E1383" s="336" t="s">
        <v>839</v>
      </c>
    </row>
    <row r="1384" spans="1:5" x14ac:dyDescent="0.2">
      <c r="A1384" s="335">
        <v>1001263875</v>
      </c>
      <c r="B1384" s="336" t="s">
        <v>950</v>
      </c>
      <c r="C1384" s="336" t="s">
        <v>797</v>
      </c>
      <c r="D1384" s="336" t="s">
        <v>838</v>
      </c>
      <c r="E1384" s="336" t="s">
        <v>839</v>
      </c>
    </row>
    <row r="1385" spans="1:5" x14ac:dyDescent="0.2">
      <c r="A1385" s="335">
        <v>1001265502</v>
      </c>
      <c r="B1385" s="336" t="s">
        <v>2129</v>
      </c>
      <c r="C1385" s="336" t="s">
        <v>813</v>
      </c>
      <c r="D1385" s="336" t="s">
        <v>838</v>
      </c>
      <c r="E1385" s="336" t="s">
        <v>839</v>
      </c>
    </row>
    <row r="1386" spans="1:5" x14ac:dyDescent="0.2">
      <c r="A1386" s="335">
        <v>1001265503</v>
      </c>
      <c r="B1386" s="336" t="s">
        <v>2130</v>
      </c>
      <c r="C1386" s="336" t="s">
        <v>813</v>
      </c>
      <c r="D1386" s="336" t="s">
        <v>838</v>
      </c>
      <c r="E1386" s="336" t="s">
        <v>839</v>
      </c>
    </row>
    <row r="1387" spans="1:5" x14ac:dyDescent="0.2">
      <c r="A1387" s="335">
        <v>1001265504</v>
      </c>
      <c r="B1387" s="336" t="s">
        <v>2131</v>
      </c>
      <c r="C1387" s="336" t="s">
        <v>813</v>
      </c>
      <c r="D1387" s="336" t="s">
        <v>838</v>
      </c>
      <c r="E1387" s="336" t="s">
        <v>839</v>
      </c>
    </row>
    <row r="1388" spans="1:5" x14ac:dyDescent="0.2">
      <c r="A1388" s="335">
        <v>1001265505</v>
      </c>
      <c r="B1388" s="336" t="s">
        <v>2132</v>
      </c>
      <c r="C1388" s="336" t="s">
        <v>813</v>
      </c>
      <c r="D1388" s="336" t="s">
        <v>838</v>
      </c>
      <c r="E1388" s="336" t="s">
        <v>839</v>
      </c>
    </row>
    <row r="1389" spans="1:5" x14ac:dyDescent="0.2">
      <c r="A1389" s="335">
        <v>1001265506</v>
      </c>
      <c r="B1389" s="336" t="s">
        <v>2133</v>
      </c>
      <c r="C1389" s="336" t="s">
        <v>863</v>
      </c>
      <c r="D1389" s="336" t="s">
        <v>838</v>
      </c>
      <c r="E1389" s="336" t="s">
        <v>839</v>
      </c>
    </row>
    <row r="1390" spans="1:5" x14ac:dyDescent="0.2">
      <c r="A1390" s="335">
        <v>1001265507</v>
      </c>
      <c r="B1390" s="336" t="s">
        <v>2134</v>
      </c>
      <c r="C1390" s="336" t="s">
        <v>863</v>
      </c>
      <c r="D1390" s="336" t="s">
        <v>838</v>
      </c>
      <c r="E1390" s="336" t="s">
        <v>839</v>
      </c>
    </row>
    <row r="1391" spans="1:5" x14ac:dyDescent="0.2">
      <c r="A1391" s="335">
        <v>1001265509</v>
      </c>
      <c r="B1391" s="336" t="s">
        <v>2135</v>
      </c>
      <c r="C1391" s="336" t="s">
        <v>813</v>
      </c>
      <c r="D1391" s="336" t="s">
        <v>838</v>
      </c>
      <c r="E1391" s="336" t="s">
        <v>839</v>
      </c>
    </row>
    <row r="1392" spans="1:5" x14ac:dyDescent="0.2">
      <c r="A1392" s="335">
        <v>1001266960</v>
      </c>
      <c r="B1392" s="336" t="s">
        <v>2136</v>
      </c>
      <c r="C1392" s="336" t="s">
        <v>797</v>
      </c>
      <c r="D1392" s="336" t="s">
        <v>838</v>
      </c>
      <c r="E1392" s="336" t="s">
        <v>839</v>
      </c>
    </row>
    <row r="1393" spans="1:5" x14ac:dyDescent="0.2">
      <c r="A1393" s="335">
        <v>1001266997</v>
      </c>
      <c r="B1393" s="336" t="s">
        <v>2137</v>
      </c>
      <c r="C1393" s="336" t="s">
        <v>797</v>
      </c>
      <c r="D1393" s="336" t="s">
        <v>838</v>
      </c>
      <c r="E1393" s="336" t="s">
        <v>839</v>
      </c>
    </row>
    <row r="1394" spans="1:5" x14ac:dyDescent="0.2">
      <c r="A1394" s="335">
        <v>1001267500</v>
      </c>
      <c r="B1394" s="336" t="s">
        <v>2138</v>
      </c>
      <c r="C1394" s="336" t="s">
        <v>813</v>
      </c>
      <c r="D1394" s="336" t="s">
        <v>838</v>
      </c>
      <c r="E1394" s="336" t="s">
        <v>839</v>
      </c>
    </row>
    <row r="1395" spans="1:5" x14ac:dyDescent="0.2">
      <c r="A1395" s="335">
        <v>1001268261</v>
      </c>
      <c r="B1395" s="336" t="s">
        <v>859</v>
      </c>
      <c r="C1395" s="336" t="s">
        <v>863</v>
      </c>
      <c r="D1395" s="336" t="s">
        <v>838</v>
      </c>
      <c r="E1395" s="336" t="s">
        <v>839</v>
      </c>
    </row>
    <row r="1396" spans="1:5" x14ac:dyDescent="0.2">
      <c r="A1396" s="335">
        <v>1001268403</v>
      </c>
      <c r="B1396" s="336" t="s">
        <v>2139</v>
      </c>
      <c r="C1396" s="336" t="s">
        <v>863</v>
      </c>
      <c r="D1396" s="336" t="s">
        <v>838</v>
      </c>
      <c r="E1396" s="336" t="s">
        <v>839</v>
      </c>
    </row>
    <row r="1397" spans="1:5" x14ac:dyDescent="0.2">
      <c r="A1397" s="335">
        <v>1001268562</v>
      </c>
      <c r="B1397" s="336" t="s">
        <v>859</v>
      </c>
      <c r="C1397" s="336" t="s">
        <v>797</v>
      </c>
      <c r="D1397" s="336" t="s">
        <v>838</v>
      </c>
      <c r="E1397" s="336" t="s">
        <v>839</v>
      </c>
    </row>
    <row r="1398" spans="1:5" x14ac:dyDescent="0.2">
      <c r="A1398" s="335">
        <v>1001268651</v>
      </c>
      <c r="B1398" s="336" t="s">
        <v>2140</v>
      </c>
      <c r="C1398" s="336" t="s">
        <v>863</v>
      </c>
      <c r="D1398" s="336" t="s">
        <v>838</v>
      </c>
      <c r="E1398" s="336" t="s">
        <v>839</v>
      </c>
    </row>
    <row r="1399" spans="1:5" x14ac:dyDescent="0.2">
      <c r="A1399" s="335">
        <v>1001269048</v>
      </c>
      <c r="B1399" s="336" t="s">
        <v>2141</v>
      </c>
      <c r="C1399" s="336" t="s">
        <v>797</v>
      </c>
      <c r="D1399" s="336" t="s">
        <v>838</v>
      </c>
      <c r="E1399" s="336" t="s">
        <v>839</v>
      </c>
    </row>
    <row r="1400" spans="1:5" x14ac:dyDescent="0.2">
      <c r="A1400" s="335">
        <v>1001269049</v>
      </c>
      <c r="B1400" s="336" t="s">
        <v>873</v>
      </c>
      <c r="C1400" s="336" t="s">
        <v>797</v>
      </c>
      <c r="D1400" s="336" t="s">
        <v>838</v>
      </c>
      <c r="E1400" s="336" t="s">
        <v>839</v>
      </c>
    </row>
    <row r="1401" spans="1:5" x14ac:dyDescent="0.2">
      <c r="A1401" s="335">
        <v>1001269092</v>
      </c>
      <c r="B1401" s="336" t="s">
        <v>1141</v>
      </c>
      <c r="C1401" s="336" t="s">
        <v>797</v>
      </c>
      <c r="D1401" s="336" t="s">
        <v>838</v>
      </c>
      <c r="E1401" s="336" t="s">
        <v>839</v>
      </c>
    </row>
    <row r="1402" spans="1:5" x14ac:dyDescent="0.2">
      <c r="A1402" s="335">
        <v>1001269100</v>
      </c>
      <c r="B1402" s="336" t="s">
        <v>2142</v>
      </c>
      <c r="C1402" s="336" t="s">
        <v>797</v>
      </c>
      <c r="D1402" s="336" t="s">
        <v>838</v>
      </c>
      <c r="E1402" s="336" t="s">
        <v>839</v>
      </c>
    </row>
    <row r="1403" spans="1:5" x14ac:dyDescent="0.2">
      <c r="A1403" s="335">
        <v>1001269101</v>
      </c>
      <c r="B1403" s="336" t="s">
        <v>872</v>
      </c>
      <c r="C1403" s="336" t="s">
        <v>797</v>
      </c>
      <c r="D1403" s="336" t="s">
        <v>838</v>
      </c>
      <c r="E1403" s="336" t="s">
        <v>839</v>
      </c>
    </row>
    <row r="1404" spans="1:5" x14ac:dyDescent="0.2">
      <c r="A1404" s="335">
        <v>1001270074</v>
      </c>
      <c r="B1404" s="336" t="s">
        <v>2143</v>
      </c>
      <c r="C1404" s="336" t="s">
        <v>797</v>
      </c>
      <c r="D1404" s="336" t="s">
        <v>838</v>
      </c>
      <c r="E1404" s="336" t="s">
        <v>839</v>
      </c>
    </row>
    <row r="1405" spans="1:5" x14ac:dyDescent="0.2">
      <c r="A1405" s="335">
        <v>1001270515</v>
      </c>
      <c r="B1405" s="336" t="s">
        <v>2144</v>
      </c>
      <c r="C1405" s="336" t="s">
        <v>797</v>
      </c>
      <c r="D1405" s="336" t="s">
        <v>838</v>
      </c>
      <c r="E1405" s="336" t="s">
        <v>839</v>
      </c>
    </row>
    <row r="1406" spans="1:5" x14ac:dyDescent="0.2">
      <c r="A1406" s="335">
        <v>1001270688</v>
      </c>
      <c r="B1406" s="336" t="s">
        <v>1017</v>
      </c>
      <c r="C1406" s="336" t="s">
        <v>797</v>
      </c>
      <c r="D1406" s="336" t="s">
        <v>838</v>
      </c>
      <c r="E1406" s="336" t="s">
        <v>839</v>
      </c>
    </row>
    <row r="1407" spans="1:5" x14ac:dyDescent="0.2">
      <c r="A1407" s="335">
        <v>1001270721</v>
      </c>
      <c r="B1407" s="336" t="s">
        <v>1016</v>
      </c>
      <c r="C1407" s="336" t="s">
        <v>797</v>
      </c>
      <c r="D1407" s="336" t="s">
        <v>838</v>
      </c>
      <c r="E1407" s="336" t="s">
        <v>839</v>
      </c>
    </row>
    <row r="1408" spans="1:5" x14ac:dyDescent="0.2">
      <c r="A1408" s="335">
        <v>1001272306</v>
      </c>
      <c r="B1408" s="336" t="s">
        <v>2145</v>
      </c>
      <c r="C1408" s="336" t="s">
        <v>797</v>
      </c>
      <c r="D1408" s="336" t="s">
        <v>838</v>
      </c>
      <c r="E1408" s="336" t="s">
        <v>839</v>
      </c>
    </row>
    <row r="1409" spans="1:5" x14ac:dyDescent="0.2">
      <c r="A1409" s="335">
        <v>1001272447</v>
      </c>
      <c r="B1409" s="336" t="s">
        <v>2146</v>
      </c>
      <c r="C1409" s="336" t="s">
        <v>797</v>
      </c>
      <c r="D1409" s="336" t="s">
        <v>838</v>
      </c>
      <c r="E1409" s="336" t="s">
        <v>839</v>
      </c>
    </row>
    <row r="1410" spans="1:5" x14ac:dyDescent="0.2">
      <c r="A1410" s="335">
        <v>1001273926</v>
      </c>
      <c r="B1410" s="336" t="s">
        <v>2147</v>
      </c>
      <c r="C1410" s="336" t="s">
        <v>813</v>
      </c>
      <c r="D1410" s="336" t="s">
        <v>838</v>
      </c>
      <c r="E1410" s="336" t="s">
        <v>839</v>
      </c>
    </row>
    <row r="1411" spans="1:5" x14ac:dyDescent="0.2">
      <c r="A1411" s="335">
        <v>1001275797</v>
      </c>
      <c r="B1411" s="336" t="s">
        <v>2148</v>
      </c>
      <c r="C1411" s="336" t="s">
        <v>813</v>
      </c>
      <c r="D1411" s="336" t="s">
        <v>838</v>
      </c>
      <c r="E1411" s="336" t="s">
        <v>839</v>
      </c>
    </row>
    <row r="1412" spans="1:5" x14ac:dyDescent="0.2">
      <c r="A1412" s="335">
        <v>1001275855</v>
      </c>
      <c r="B1412" s="336" t="s">
        <v>2149</v>
      </c>
      <c r="C1412" s="336" t="s">
        <v>813</v>
      </c>
      <c r="D1412" s="336" t="s">
        <v>838</v>
      </c>
      <c r="E1412" s="336" t="s">
        <v>839</v>
      </c>
    </row>
    <row r="1413" spans="1:5" x14ac:dyDescent="0.2">
      <c r="A1413" s="335">
        <v>1001275857</v>
      </c>
      <c r="B1413" s="336" t="s">
        <v>2150</v>
      </c>
      <c r="C1413" s="336" t="s">
        <v>813</v>
      </c>
      <c r="D1413" s="336" t="s">
        <v>838</v>
      </c>
      <c r="E1413" s="336" t="s">
        <v>839</v>
      </c>
    </row>
    <row r="1414" spans="1:5" x14ac:dyDescent="0.2">
      <c r="A1414" s="335">
        <v>1001276307</v>
      </c>
      <c r="B1414" s="336" t="s">
        <v>2151</v>
      </c>
      <c r="C1414" s="336" t="s">
        <v>813</v>
      </c>
      <c r="D1414" s="336" t="s">
        <v>838</v>
      </c>
      <c r="E1414" s="336" t="s">
        <v>839</v>
      </c>
    </row>
    <row r="1415" spans="1:5" x14ac:dyDescent="0.2">
      <c r="A1415" s="335">
        <v>1001276308</v>
      </c>
      <c r="B1415" s="336" t="s">
        <v>2152</v>
      </c>
      <c r="C1415" s="336" t="s">
        <v>813</v>
      </c>
      <c r="D1415" s="336" t="s">
        <v>838</v>
      </c>
      <c r="E1415" s="336" t="s">
        <v>839</v>
      </c>
    </row>
    <row r="1416" spans="1:5" x14ac:dyDescent="0.2">
      <c r="A1416" s="335">
        <v>1001276410</v>
      </c>
      <c r="B1416" s="336" t="s">
        <v>2153</v>
      </c>
      <c r="C1416" s="336" t="s">
        <v>813</v>
      </c>
      <c r="D1416" s="336" t="s">
        <v>838</v>
      </c>
      <c r="E1416" s="336" t="s">
        <v>839</v>
      </c>
    </row>
    <row r="1417" spans="1:5" x14ac:dyDescent="0.2">
      <c r="A1417" s="335">
        <v>1001276412</v>
      </c>
      <c r="B1417" s="336" t="s">
        <v>2154</v>
      </c>
      <c r="C1417" s="336" t="s">
        <v>813</v>
      </c>
      <c r="D1417" s="336" t="s">
        <v>838</v>
      </c>
      <c r="E1417" s="336" t="s">
        <v>839</v>
      </c>
    </row>
    <row r="1418" spans="1:5" x14ac:dyDescent="0.2">
      <c r="A1418" s="335">
        <v>1001276413</v>
      </c>
      <c r="B1418" s="336" t="s">
        <v>2155</v>
      </c>
      <c r="C1418" s="336" t="s">
        <v>863</v>
      </c>
      <c r="D1418" s="336" t="s">
        <v>838</v>
      </c>
      <c r="E1418" s="336" t="s">
        <v>839</v>
      </c>
    </row>
    <row r="1419" spans="1:5" x14ac:dyDescent="0.2">
      <c r="A1419" s="335">
        <v>1001277938</v>
      </c>
      <c r="B1419" s="336" t="s">
        <v>1004</v>
      </c>
      <c r="C1419" s="336" t="s">
        <v>797</v>
      </c>
      <c r="D1419" s="336" t="s">
        <v>838</v>
      </c>
      <c r="E1419" s="336" t="s">
        <v>839</v>
      </c>
    </row>
    <row r="1420" spans="1:5" x14ac:dyDescent="0.2">
      <c r="A1420" s="335">
        <v>1001278090</v>
      </c>
      <c r="B1420" s="336" t="s">
        <v>2156</v>
      </c>
      <c r="C1420" s="336" t="s">
        <v>813</v>
      </c>
      <c r="D1420" s="336" t="s">
        <v>838</v>
      </c>
      <c r="E1420" s="336" t="s">
        <v>839</v>
      </c>
    </row>
    <row r="1421" spans="1:5" x14ac:dyDescent="0.2">
      <c r="A1421" s="335">
        <v>1001278681</v>
      </c>
      <c r="B1421" s="336" t="s">
        <v>2157</v>
      </c>
      <c r="C1421" s="336" t="s">
        <v>797</v>
      </c>
      <c r="D1421" s="336" t="s">
        <v>838</v>
      </c>
      <c r="E1421" s="336" t="s">
        <v>839</v>
      </c>
    </row>
    <row r="1422" spans="1:5" x14ac:dyDescent="0.2">
      <c r="A1422" s="335">
        <v>1001278682</v>
      </c>
      <c r="B1422" s="336" t="s">
        <v>2158</v>
      </c>
      <c r="C1422" s="336" t="s">
        <v>813</v>
      </c>
      <c r="D1422" s="336" t="s">
        <v>838</v>
      </c>
      <c r="E1422" s="336" t="s">
        <v>839</v>
      </c>
    </row>
    <row r="1423" spans="1:5" x14ac:dyDescent="0.2">
      <c r="A1423" s="335">
        <v>1001279646</v>
      </c>
      <c r="B1423" s="336" t="s">
        <v>2159</v>
      </c>
      <c r="C1423" s="336" t="s">
        <v>813</v>
      </c>
      <c r="D1423" s="336" t="s">
        <v>838</v>
      </c>
      <c r="E1423" s="336" t="s">
        <v>839</v>
      </c>
    </row>
    <row r="1424" spans="1:5" x14ac:dyDescent="0.2">
      <c r="A1424" s="335">
        <v>1001279677</v>
      </c>
      <c r="B1424" s="336" t="s">
        <v>842</v>
      </c>
      <c r="C1424" s="336" t="s">
        <v>797</v>
      </c>
      <c r="D1424" s="336" t="s">
        <v>838</v>
      </c>
      <c r="E1424" s="336" t="s">
        <v>839</v>
      </c>
    </row>
    <row r="1425" spans="1:5" x14ac:dyDescent="0.2">
      <c r="A1425" s="335">
        <v>1001279678</v>
      </c>
      <c r="B1425" s="336" t="s">
        <v>2160</v>
      </c>
      <c r="C1425" s="336" t="s">
        <v>797</v>
      </c>
      <c r="D1425" s="336" t="s">
        <v>838</v>
      </c>
      <c r="E1425" s="336" t="s">
        <v>839</v>
      </c>
    </row>
    <row r="1426" spans="1:5" x14ac:dyDescent="0.2">
      <c r="A1426" s="335">
        <v>1001279679</v>
      </c>
      <c r="B1426" s="336" t="s">
        <v>2161</v>
      </c>
      <c r="C1426" s="336" t="s">
        <v>797</v>
      </c>
      <c r="D1426" s="336" t="s">
        <v>838</v>
      </c>
      <c r="E1426" s="336" t="s">
        <v>839</v>
      </c>
    </row>
    <row r="1427" spans="1:5" x14ac:dyDescent="0.2">
      <c r="A1427" s="335">
        <v>1001279700</v>
      </c>
      <c r="B1427" s="336" t="s">
        <v>837</v>
      </c>
      <c r="C1427" s="336" t="s">
        <v>797</v>
      </c>
      <c r="D1427" s="336" t="s">
        <v>838</v>
      </c>
      <c r="E1427" s="336" t="s">
        <v>839</v>
      </c>
    </row>
    <row r="1428" spans="1:5" x14ac:dyDescent="0.2">
      <c r="A1428" s="335">
        <v>1001279702</v>
      </c>
      <c r="B1428" s="336" t="s">
        <v>840</v>
      </c>
      <c r="C1428" s="336" t="s">
        <v>841</v>
      </c>
      <c r="D1428" s="336" t="s">
        <v>838</v>
      </c>
      <c r="E1428" s="336" t="s">
        <v>839</v>
      </c>
    </row>
    <row r="1429" spans="1:5" x14ac:dyDescent="0.2">
      <c r="A1429" s="335">
        <v>1001280469</v>
      </c>
      <c r="B1429" s="336" t="s">
        <v>973</v>
      </c>
      <c r="C1429" s="336" t="s">
        <v>797</v>
      </c>
      <c r="D1429" s="336" t="s">
        <v>838</v>
      </c>
      <c r="E1429" s="336" t="s">
        <v>839</v>
      </c>
    </row>
    <row r="1430" spans="1:5" x14ac:dyDescent="0.2">
      <c r="A1430" s="335">
        <v>1001280545</v>
      </c>
      <c r="B1430" s="336" t="s">
        <v>2162</v>
      </c>
      <c r="C1430" s="336" t="s">
        <v>841</v>
      </c>
      <c r="D1430" s="336" t="s">
        <v>838</v>
      </c>
      <c r="E1430" s="336" t="s">
        <v>839</v>
      </c>
    </row>
    <row r="1431" spans="1:5" x14ac:dyDescent="0.2">
      <c r="A1431" s="335">
        <v>1001280611</v>
      </c>
      <c r="B1431" s="336" t="s">
        <v>2163</v>
      </c>
      <c r="C1431" s="336" t="s">
        <v>813</v>
      </c>
      <c r="D1431" s="336" t="s">
        <v>838</v>
      </c>
      <c r="E1431" s="336" t="s">
        <v>839</v>
      </c>
    </row>
    <row r="1432" spans="1:5" x14ac:dyDescent="0.2">
      <c r="A1432" s="335">
        <v>1001280653</v>
      </c>
      <c r="B1432" s="336" t="s">
        <v>2164</v>
      </c>
      <c r="C1432" s="336" t="s">
        <v>863</v>
      </c>
      <c r="D1432" s="336" t="s">
        <v>838</v>
      </c>
      <c r="E1432" s="336" t="s">
        <v>839</v>
      </c>
    </row>
    <row r="1433" spans="1:5" x14ac:dyDescent="0.2">
      <c r="A1433" s="335">
        <v>1001280688</v>
      </c>
      <c r="B1433" s="336" t="s">
        <v>2165</v>
      </c>
      <c r="C1433" s="336" t="s">
        <v>863</v>
      </c>
      <c r="D1433" s="336" t="s">
        <v>838</v>
      </c>
      <c r="E1433" s="336" t="s">
        <v>839</v>
      </c>
    </row>
    <row r="1434" spans="1:5" x14ac:dyDescent="0.2">
      <c r="A1434" s="335">
        <v>1001288997</v>
      </c>
      <c r="B1434" s="336" t="s">
        <v>2166</v>
      </c>
      <c r="C1434" s="336" t="s">
        <v>813</v>
      </c>
      <c r="D1434" s="336" t="s">
        <v>838</v>
      </c>
      <c r="E1434" s="336" t="s">
        <v>839</v>
      </c>
    </row>
    <row r="1435" spans="1:5" x14ac:dyDescent="0.2">
      <c r="A1435" s="335">
        <v>1001289932</v>
      </c>
      <c r="B1435" s="336" t="s">
        <v>877</v>
      </c>
      <c r="C1435" s="336" t="s">
        <v>797</v>
      </c>
      <c r="D1435" s="336" t="s">
        <v>838</v>
      </c>
      <c r="E1435" s="336" t="s">
        <v>839</v>
      </c>
    </row>
    <row r="1436" spans="1:5" x14ac:dyDescent="0.2">
      <c r="A1436" s="335">
        <v>1001290493</v>
      </c>
      <c r="B1436" s="336" t="s">
        <v>2167</v>
      </c>
      <c r="C1436" s="336" t="s">
        <v>863</v>
      </c>
      <c r="D1436" s="336" t="s">
        <v>838</v>
      </c>
      <c r="E1436" s="336" t="s">
        <v>839</v>
      </c>
    </row>
    <row r="1437" spans="1:5" x14ac:dyDescent="0.2">
      <c r="A1437" s="335">
        <v>1001290585</v>
      </c>
      <c r="B1437" s="336" t="s">
        <v>2168</v>
      </c>
      <c r="C1437" s="336" t="s">
        <v>813</v>
      </c>
      <c r="D1437" s="336" t="s">
        <v>838</v>
      </c>
      <c r="E1437" s="336" t="s">
        <v>839</v>
      </c>
    </row>
    <row r="1438" spans="1:5" x14ac:dyDescent="0.2">
      <c r="A1438" s="335">
        <v>1001290589</v>
      </c>
      <c r="B1438" s="336" t="s">
        <v>2169</v>
      </c>
      <c r="C1438" s="336" t="s">
        <v>797</v>
      </c>
      <c r="D1438" s="336" t="s">
        <v>838</v>
      </c>
      <c r="E1438" s="336" t="s">
        <v>839</v>
      </c>
    </row>
    <row r="1439" spans="1:5" x14ac:dyDescent="0.2">
      <c r="A1439" s="335">
        <v>1001290600</v>
      </c>
      <c r="B1439" s="336" t="s">
        <v>2170</v>
      </c>
      <c r="C1439" s="336" t="s">
        <v>863</v>
      </c>
      <c r="D1439" s="336" t="s">
        <v>838</v>
      </c>
      <c r="E1439" s="336" t="s">
        <v>839</v>
      </c>
    </row>
    <row r="1440" spans="1:5" x14ac:dyDescent="0.2">
      <c r="A1440" s="335">
        <v>1001290730</v>
      </c>
      <c r="B1440" s="336" t="s">
        <v>2171</v>
      </c>
      <c r="C1440" s="336" t="s">
        <v>863</v>
      </c>
      <c r="D1440" s="336" t="s">
        <v>838</v>
      </c>
      <c r="E1440" s="336" t="s">
        <v>839</v>
      </c>
    </row>
    <row r="1441" spans="1:5" x14ac:dyDescent="0.2">
      <c r="A1441" s="335">
        <v>1001294354</v>
      </c>
      <c r="B1441" s="336" t="s">
        <v>2172</v>
      </c>
      <c r="C1441" s="336" t="s">
        <v>813</v>
      </c>
      <c r="D1441" s="336" t="s">
        <v>838</v>
      </c>
      <c r="E1441" s="336" t="s">
        <v>839</v>
      </c>
    </row>
    <row r="1442" spans="1:5" x14ac:dyDescent="0.2">
      <c r="A1442" s="335">
        <v>1001294486</v>
      </c>
      <c r="B1442" s="336" t="s">
        <v>2173</v>
      </c>
      <c r="C1442" s="336" t="s">
        <v>813</v>
      </c>
      <c r="D1442" s="336" t="s">
        <v>838</v>
      </c>
      <c r="E1442" s="336" t="s">
        <v>839</v>
      </c>
    </row>
    <row r="1443" spans="1:5" x14ac:dyDescent="0.2">
      <c r="A1443" s="335">
        <v>1001295215</v>
      </c>
      <c r="B1443" s="336" t="s">
        <v>2174</v>
      </c>
      <c r="C1443" s="336" t="s">
        <v>813</v>
      </c>
      <c r="D1443" s="336" t="s">
        <v>838</v>
      </c>
      <c r="E1443" s="336" t="s">
        <v>839</v>
      </c>
    </row>
    <row r="1444" spans="1:5" x14ac:dyDescent="0.2">
      <c r="A1444" s="335">
        <v>1001295233</v>
      </c>
      <c r="B1444" s="336" t="s">
        <v>2175</v>
      </c>
      <c r="C1444" s="336" t="s">
        <v>813</v>
      </c>
      <c r="D1444" s="336" t="s">
        <v>838</v>
      </c>
      <c r="E1444" s="336" t="s">
        <v>839</v>
      </c>
    </row>
    <row r="1445" spans="1:5" x14ac:dyDescent="0.2">
      <c r="A1445" s="335">
        <v>1001301962</v>
      </c>
      <c r="B1445" s="336" t="s">
        <v>2176</v>
      </c>
      <c r="C1445" s="336" t="s">
        <v>797</v>
      </c>
      <c r="D1445" s="336" t="s">
        <v>838</v>
      </c>
      <c r="E1445" s="336" t="s">
        <v>839</v>
      </c>
    </row>
    <row r="1446" spans="1:5" x14ac:dyDescent="0.2">
      <c r="A1446" s="335">
        <v>1001301963</v>
      </c>
      <c r="B1446" s="336" t="s">
        <v>2177</v>
      </c>
      <c r="C1446" s="336" t="s">
        <v>863</v>
      </c>
      <c r="D1446" s="336" t="s">
        <v>838</v>
      </c>
      <c r="E1446" s="336" t="s">
        <v>839</v>
      </c>
    </row>
    <row r="1447" spans="1:5" x14ac:dyDescent="0.2">
      <c r="A1447" s="335">
        <v>1001301964</v>
      </c>
      <c r="B1447" s="336" t="s">
        <v>2178</v>
      </c>
      <c r="C1447" s="336" t="s">
        <v>813</v>
      </c>
      <c r="D1447" s="336" t="s">
        <v>838</v>
      </c>
      <c r="E1447" s="336" t="s">
        <v>839</v>
      </c>
    </row>
    <row r="1448" spans="1:5" x14ac:dyDescent="0.2">
      <c r="A1448" s="335">
        <v>1001301982</v>
      </c>
      <c r="B1448" s="336" t="s">
        <v>2179</v>
      </c>
      <c r="C1448" s="336" t="s">
        <v>813</v>
      </c>
      <c r="D1448" s="336" t="s">
        <v>838</v>
      </c>
      <c r="E1448" s="336" t="s">
        <v>839</v>
      </c>
    </row>
    <row r="1449" spans="1:5" x14ac:dyDescent="0.2">
      <c r="A1449" s="335">
        <v>1001301985</v>
      </c>
      <c r="B1449" s="336" t="s">
        <v>2180</v>
      </c>
      <c r="C1449" s="336" t="s">
        <v>863</v>
      </c>
      <c r="D1449" s="336" t="s">
        <v>838</v>
      </c>
      <c r="E1449" s="336" t="s">
        <v>839</v>
      </c>
    </row>
    <row r="1450" spans="1:5" x14ac:dyDescent="0.2">
      <c r="A1450" s="335">
        <v>1001301986</v>
      </c>
      <c r="B1450" s="336" t="s">
        <v>2181</v>
      </c>
      <c r="C1450" s="336" t="s">
        <v>813</v>
      </c>
      <c r="D1450" s="336" t="s">
        <v>838</v>
      </c>
      <c r="E1450" s="336" t="s">
        <v>839</v>
      </c>
    </row>
    <row r="1451" spans="1:5" x14ac:dyDescent="0.2">
      <c r="A1451" s="335">
        <v>1001302076</v>
      </c>
      <c r="B1451" s="336" t="s">
        <v>2182</v>
      </c>
      <c r="C1451" s="336" t="s">
        <v>863</v>
      </c>
      <c r="D1451" s="336" t="s">
        <v>838</v>
      </c>
      <c r="E1451" s="336" t="s">
        <v>839</v>
      </c>
    </row>
    <row r="1452" spans="1:5" x14ac:dyDescent="0.2">
      <c r="A1452" s="335">
        <v>1001302157</v>
      </c>
      <c r="B1452" s="336" t="s">
        <v>2183</v>
      </c>
      <c r="C1452" s="336" t="s">
        <v>813</v>
      </c>
      <c r="D1452" s="336" t="s">
        <v>838</v>
      </c>
      <c r="E1452" s="336" t="s">
        <v>839</v>
      </c>
    </row>
    <row r="1453" spans="1:5" x14ac:dyDescent="0.2">
      <c r="A1453" s="335">
        <v>1001302284</v>
      </c>
      <c r="B1453" s="336" t="s">
        <v>2184</v>
      </c>
      <c r="C1453" s="336" t="s">
        <v>863</v>
      </c>
      <c r="D1453" s="336" t="s">
        <v>838</v>
      </c>
      <c r="E1453" s="336" t="s">
        <v>839</v>
      </c>
    </row>
    <row r="1454" spans="1:5" x14ac:dyDescent="0.2">
      <c r="A1454" s="335">
        <v>1001302287</v>
      </c>
      <c r="B1454" s="336" t="s">
        <v>2185</v>
      </c>
      <c r="C1454" s="336" t="s">
        <v>813</v>
      </c>
      <c r="D1454" s="336" t="s">
        <v>838</v>
      </c>
      <c r="E1454" s="336" t="s">
        <v>839</v>
      </c>
    </row>
    <row r="1455" spans="1:5" x14ac:dyDescent="0.2">
      <c r="A1455" s="335">
        <v>1001302294</v>
      </c>
      <c r="B1455" s="336" t="s">
        <v>2186</v>
      </c>
      <c r="C1455" s="336" t="s">
        <v>813</v>
      </c>
      <c r="D1455" s="336" t="s">
        <v>838</v>
      </c>
      <c r="E1455" s="336" t="s">
        <v>839</v>
      </c>
    </row>
    <row r="1456" spans="1:5" x14ac:dyDescent="0.2">
      <c r="A1456" s="335">
        <v>1001302346</v>
      </c>
      <c r="B1456" s="336" t="s">
        <v>2187</v>
      </c>
      <c r="C1456" s="336" t="s">
        <v>797</v>
      </c>
      <c r="D1456" s="336" t="s">
        <v>838</v>
      </c>
      <c r="E1456" s="336" t="s">
        <v>839</v>
      </c>
    </row>
    <row r="1457" spans="1:5" x14ac:dyDescent="0.2">
      <c r="A1457" s="335">
        <v>1001302353</v>
      </c>
      <c r="B1457" s="336" t="s">
        <v>2188</v>
      </c>
      <c r="C1457" s="336" t="s">
        <v>813</v>
      </c>
      <c r="D1457" s="336" t="s">
        <v>838</v>
      </c>
      <c r="E1457" s="336" t="s">
        <v>839</v>
      </c>
    </row>
    <row r="1458" spans="1:5" x14ac:dyDescent="0.2">
      <c r="A1458" s="335">
        <v>1001311026</v>
      </c>
      <c r="B1458" s="336" t="s">
        <v>2189</v>
      </c>
      <c r="C1458" s="336" t="s">
        <v>863</v>
      </c>
      <c r="D1458" s="336" t="s">
        <v>838</v>
      </c>
      <c r="E1458" s="336" t="s">
        <v>839</v>
      </c>
    </row>
    <row r="1459" spans="1:5" x14ac:dyDescent="0.2">
      <c r="A1459" s="335">
        <v>1001312153</v>
      </c>
      <c r="B1459" s="336" t="s">
        <v>2190</v>
      </c>
      <c r="C1459" s="336" t="s">
        <v>813</v>
      </c>
      <c r="D1459" s="336" t="s">
        <v>838</v>
      </c>
      <c r="E1459" s="336" t="s">
        <v>839</v>
      </c>
    </row>
    <row r="1460" spans="1:5" x14ac:dyDescent="0.2">
      <c r="A1460" s="335">
        <v>1001312871</v>
      </c>
      <c r="B1460" s="336" t="s">
        <v>2191</v>
      </c>
      <c r="C1460" s="336" t="s">
        <v>813</v>
      </c>
      <c r="D1460" s="336" t="s">
        <v>838</v>
      </c>
      <c r="E1460" s="336" t="s">
        <v>839</v>
      </c>
    </row>
    <row r="1461" spans="1:5" x14ac:dyDescent="0.2">
      <c r="A1461" s="335">
        <v>1001312879</v>
      </c>
      <c r="B1461" s="336" t="s">
        <v>2192</v>
      </c>
      <c r="C1461" s="336" t="s">
        <v>813</v>
      </c>
      <c r="D1461" s="336" t="s">
        <v>838</v>
      </c>
      <c r="E1461" s="336" t="s">
        <v>839</v>
      </c>
    </row>
    <row r="1462" spans="1:5" x14ac:dyDescent="0.2">
      <c r="A1462" s="335">
        <v>1001312898</v>
      </c>
      <c r="B1462" s="336" t="s">
        <v>2193</v>
      </c>
      <c r="C1462" s="336" t="s">
        <v>813</v>
      </c>
      <c r="D1462" s="336" t="s">
        <v>838</v>
      </c>
      <c r="E1462" s="336" t="s">
        <v>839</v>
      </c>
    </row>
    <row r="1463" spans="1:5" x14ac:dyDescent="0.2">
      <c r="A1463" s="335">
        <v>1001312914</v>
      </c>
      <c r="B1463" s="336" t="s">
        <v>2139</v>
      </c>
      <c r="C1463" s="336" t="s">
        <v>813</v>
      </c>
      <c r="D1463" s="336" t="s">
        <v>838</v>
      </c>
      <c r="E1463" s="336" t="s">
        <v>839</v>
      </c>
    </row>
    <row r="1464" spans="1:5" x14ac:dyDescent="0.2">
      <c r="A1464" s="335">
        <v>1001312972</v>
      </c>
      <c r="B1464" s="336" t="s">
        <v>2187</v>
      </c>
      <c r="C1464" s="336" t="s">
        <v>813</v>
      </c>
      <c r="D1464" s="336" t="s">
        <v>838</v>
      </c>
      <c r="E1464" s="336" t="s">
        <v>839</v>
      </c>
    </row>
    <row r="1465" spans="1:5" x14ac:dyDescent="0.2">
      <c r="A1465" s="335">
        <v>1001312974</v>
      </c>
      <c r="B1465" s="336" t="s">
        <v>843</v>
      </c>
      <c r="C1465" s="336" t="s">
        <v>813</v>
      </c>
      <c r="D1465" s="336" t="s">
        <v>838</v>
      </c>
      <c r="E1465" s="336" t="s">
        <v>839</v>
      </c>
    </row>
    <row r="1466" spans="1:5" x14ac:dyDescent="0.2">
      <c r="A1466" s="335">
        <v>1001312980</v>
      </c>
      <c r="B1466" s="336" t="s">
        <v>2194</v>
      </c>
      <c r="C1466" s="336" t="s">
        <v>813</v>
      </c>
      <c r="D1466" s="336" t="s">
        <v>838</v>
      </c>
      <c r="E1466" s="336" t="s">
        <v>839</v>
      </c>
    </row>
    <row r="1467" spans="1:5" x14ac:dyDescent="0.2">
      <c r="A1467" s="335">
        <v>1001313686</v>
      </c>
      <c r="B1467" s="336" t="s">
        <v>2195</v>
      </c>
      <c r="C1467" s="336" t="s">
        <v>813</v>
      </c>
      <c r="D1467" s="336" t="s">
        <v>838</v>
      </c>
      <c r="E1467" s="336" t="s">
        <v>839</v>
      </c>
    </row>
    <row r="1468" spans="1:5" x14ac:dyDescent="0.2">
      <c r="A1468" s="335">
        <v>1001319796</v>
      </c>
      <c r="B1468" s="336" t="s">
        <v>2196</v>
      </c>
      <c r="C1468" s="336" t="s">
        <v>813</v>
      </c>
      <c r="D1468" s="336" t="s">
        <v>838</v>
      </c>
      <c r="E1468" s="336" t="s">
        <v>839</v>
      </c>
    </row>
    <row r="1469" spans="1:5" x14ac:dyDescent="0.2">
      <c r="A1469" s="335">
        <v>1001342804</v>
      </c>
      <c r="B1469" s="336" t="s">
        <v>2197</v>
      </c>
      <c r="C1469" s="336" t="s">
        <v>813</v>
      </c>
      <c r="D1469" s="336" t="s">
        <v>838</v>
      </c>
      <c r="E1469" s="336" t="s">
        <v>839</v>
      </c>
    </row>
    <row r="1470" spans="1:5" x14ac:dyDescent="0.2">
      <c r="A1470" s="335">
        <v>1001342805</v>
      </c>
      <c r="B1470" s="336" t="s">
        <v>2198</v>
      </c>
      <c r="C1470" s="336" t="s">
        <v>813</v>
      </c>
      <c r="D1470" s="336" t="s">
        <v>838</v>
      </c>
      <c r="E1470" s="336" t="s">
        <v>839</v>
      </c>
    </row>
    <row r="1471" spans="1:5" x14ac:dyDescent="0.2">
      <c r="A1471" s="335">
        <v>1001262082</v>
      </c>
      <c r="B1471" s="336" t="s">
        <v>2199</v>
      </c>
      <c r="C1471" s="336" t="s">
        <v>813</v>
      </c>
      <c r="D1471" s="336" t="s">
        <v>864</v>
      </c>
      <c r="E1471" s="336" t="s">
        <v>865</v>
      </c>
    </row>
    <row r="1472" spans="1:5" x14ac:dyDescent="0.2">
      <c r="A1472" s="335">
        <v>1001263557</v>
      </c>
      <c r="B1472" s="336" t="s">
        <v>2200</v>
      </c>
      <c r="C1472" s="336" t="s">
        <v>813</v>
      </c>
      <c r="D1472" s="336" t="s">
        <v>864</v>
      </c>
      <c r="E1472" s="336" t="s">
        <v>865</v>
      </c>
    </row>
    <row r="1473" spans="1:5" x14ac:dyDescent="0.2">
      <c r="A1473" s="335">
        <v>1001264882</v>
      </c>
      <c r="B1473" s="336" t="s">
        <v>2201</v>
      </c>
      <c r="C1473" s="336" t="s">
        <v>813</v>
      </c>
      <c r="D1473" s="336" t="s">
        <v>864</v>
      </c>
      <c r="E1473" s="336" t="s">
        <v>865</v>
      </c>
    </row>
    <row r="1474" spans="1:5" x14ac:dyDescent="0.2">
      <c r="A1474" s="335">
        <v>1001265103</v>
      </c>
      <c r="B1474" s="336" t="s">
        <v>1278</v>
      </c>
      <c r="C1474" s="336" t="s">
        <v>863</v>
      </c>
      <c r="D1474" s="336" t="s">
        <v>864</v>
      </c>
      <c r="E1474" s="336" t="s">
        <v>865</v>
      </c>
    </row>
    <row r="1475" spans="1:5" x14ac:dyDescent="0.2">
      <c r="A1475" s="335">
        <v>1001265923</v>
      </c>
      <c r="B1475" s="336" t="s">
        <v>2202</v>
      </c>
      <c r="C1475" s="336" t="s">
        <v>863</v>
      </c>
      <c r="D1475" s="336" t="s">
        <v>864</v>
      </c>
      <c r="E1475" s="336" t="s">
        <v>865</v>
      </c>
    </row>
    <row r="1476" spans="1:5" x14ac:dyDescent="0.2">
      <c r="A1476" s="335">
        <v>1001265925</v>
      </c>
      <c r="B1476" s="336" t="s">
        <v>862</v>
      </c>
      <c r="C1476" s="336" t="s">
        <v>863</v>
      </c>
      <c r="D1476" s="336" t="s">
        <v>864</v>
      </c>
      <c r="E1476" s="336" t="s">
        <v>865</v>
      </c>
    </row>
    <row r="1477" spans="1:5" x14ac:dyDescent="0.2">
      <c r="A1477" s="335">
        <v>1001266075</v>
      </c>
      <c r="B1477" s="336" t="s">
        <v>2203</v>
      </c>
      <c r="C1477" s="336" t="s">
        <v>863</v>
      </c>
      <c r="D1477" s="336" t="s">
        <v>864</v>
      </c>
      <c r="E1477" s="336" t="s">
        <v>865</v>
      </c>
    </row>
    <row r="1478" spans="1:5" x14ac:dyDescent="0.2">
      <c r="A1478" s="335">
        <v>1001266076</v>
      </c>
      <c r="B1478" s="336" t="s">
        <v>2204</v>
      </c>
      <c r="C1478" s="336" t="s">
        <v>863</v>
      </c>
      <c r="D1478" s="336" t="s">
        <v>864</v>
      </c>
      <c r="E1478" s="336" t="s">
        <v>865</v>
      </c>
    </row>
    <row r="1479" spans="1:5" x14ac:dyDescent="0.2">
      <c r="A1479" s="335">
        <v>1001266102</v>
      </c>
      <c r="B1479" s="336" t="s">
        <v>2205</v>
      </c>
      <c r="C1479" s="336" t="s">
        <v>813</v>
      </c>
      <c r="D1479" s="336" t="s">
        <v>864</v>
      </c>
      <c r="E1479" s="336" t="s">
        <v>865</v>
      </c>
    </row>
    <row r="1480" spans="1:5" x14ac:dyDescent="0.2">
      <c r="A1480" s="335">
        <v>1001266773</v>
      </c>
      <c r="B1480" s="336" t="s">
        <v>2206</v>
      </c>
      <c r="C1480" s="336" t="s">
        <v>797</v>
      </c>
      <c r="D1480" s="336" t="s">
        <v>864</v>
      </c>
      <c r="E1480" s="336" t="s">
        <v>865</v>
      </c>
    </row>
    <row r="1481" spans="1:5" x14ac:dyDescent="0.2">
      <c r="A1481" s="335">
        <v>1001266792</v>
      </c>
      <c r="B1481" s="336" t="s">
        <v>2207</v>
      </c>
      <c r="C1481" s="336" t="s">
        <v>813</v>
      </c>
      <c r="D1481" s="336" t="s">
        <v>864</v>
      </c>
      <c r="E1481" s="336" t="s">
        <v>865</v>
      </c>
    </row>
    <row r="1482" spans="1:5" x14ac:dyDescent="0.2">
      <c r="A1482" s="335">
        <v>1001266810</v>
      </c>
      <c r="B1482" s="336" t="s">
        <v>2208</v>
      </c>
      <c r="C1482" s="336" t="s">
        <v>813</v>
      </c>
      <c r="D1482" s="336" t="s">
        <v>864</v>
      </c>
      <c r="E1482" s="336" t="s">
        <v>865</v>
      </c>
    </row>
    <row r="1483" spans="1:5" x14ac:dyDescent="0.2">
      <c r="A1483" s="335">
        <v>1001266816</v>
      </c>
      <c r="B1483" s="336" t="s">
        <v>2209</v>
      </c>
      <c r="C1483" s="336" t="s">
        <v>797</v>
      </c>
      <c r="D1483" s="336" t="s">
        <v>864</v>
      </c>
      <c r="E1483" s="336" t="s">
        <v>865</v>
      </c>
    </row>
    <row r="1484" spans="1:5" x14ac:dyDescent="0.2">
      <c r="A1484" s="335">
        <v>1001266830</v>
      </c>
      <c r="B1484" s="336" t="s">
        <v>2210</v>
      </c>
      <c r="C1484" s="336" t="s">
        <v>797</v>
      </c>
      <c r="D1484" s="336" t="s">
        <v>864</v>
      </c>
      <c r="E1484" s="336" t="s">
        <v>865</v>
      </c>
    </row>
    <row r="1485" spans="1:5" x14ac:dyDescent="0.2">
      <c r="A1485" s="335">
        <v>1001266834</v>
      </c>
      <c r="B1485" s="336" t="s">
        <v>2211</v>
      </c>
      <c r="C1485" s="336" t="s">
        <v>797</v>
      </c>
      <c r="D1485" s="336" t="s">
        <v>864</v>
      </c>
      <c r="E1485" s="336" t="s">
        <v>865</v>
      </c>
    </row>
    <row r="1486" spans="1:5" x14ac:dyDescent="0.2">
      <c r="A1486" s="335">
        <v>1001266860</v>
      </c>
      <c r="B1486" s="336" t="s">
        <v>2212</v>
      </c>
      <c r="C1486" s="336" t="s">
        <v>813</v>
      </c>
      <c r="D1486" s="336" t="s">
        <v>864</v>
      </c>
      <c r="E1486" s="336" t="s">
        <v>865</v>
      </c>
    </row>
    <row r="1487" spans="1:5" x14ac:dyDescent="0.2">
      <c r="A1487" s="335">
        <v>1001266877</v>
      </c>
      <c r="B1487" s="336" t="s">
        <v>2213</v>
      </c>
      <c r="C1487" s="336" t="s">
        <v>813</v>
      </c>
      <c r="D1487" s="336" t="s">
        <v>864</v>
      </c>
      <c r="E1487" s="336" t="s">
        <v>865</v>
      </c>
    </row>
    <row r="1488" spans="1:5" x14ac:dyDescent="0.2">
      <c r="A1488" s="335">
        <v>1001266878</v>
      </c>
      <c r="B1488" s="336" t="s">
        <v>2214</v>
      </c>
      <c r="C1488" s="336" t="s">
        <v>813</v>
      </c>
      <c r="D1488" s="336" t="s">
        <v>864</v>
      </c>
      <c r="E1488" s="336" t="s">
        <v>865</v>
      </c>
    </row>
    <row r="1489" spans="1:5" x14ac:dyDescent="0.2">
      <c r="A1489" s="335">
        <v>1001266900</v>
      </c>
      <c r="B1489" s="336" t="s">
        <v>2215</v>
      </c>
      <c r="C1489" s="336" t="s">
        <v>813</v>
      </c>
      <c r="D1489" s="336" t="s">
        <v>864</v>
      </c>
      <c r="E1489" s="336" t="s">
        <v>865</v>
      </c>
    </row>
    <row r="1490" spans="1:5" x14ac:dyDescent="0.2">
      <c r="A1490" s="335">
        <v>1001266963</v>
      </c>
      <c r="B1490" s="336" t="s">
        <v>2216</v>
      </c>
      <c r="C1490" s="336" t="s">
        <v>813</v>
      </c>
      <c r="D1490" s="336" t="s">
        <v>864</v>
      </c>
      <c r="E1490" s="336" t="s">
        <v>865</v>
      </c>
    </row>
    <row r="1491" spans="1:5" x14ac:dyDescent="0.2">
      <c r="A1491" s="335">
        <v>1001266976</v>
      </c>
      <c r="B1491" s="336" t="s">
        <v>2217</v>
      </c>
      <c r="C1491" s="336" t="s">
        <v>797</v>
      </c>
      <c r="D1491" s="336" t="s">
        <v>864</v>
      </c>
      <c r="E1491" s="336" t="s">
        <v>865</v>
      </c>
    </row>
    <row r="1492" spans="1:5" x14ac:dyDescent="0.2">
      <c r="A1492" s="335">
        <v>1001267095</v>
      </c>
      <c r="B1492" s="336" t="s">
        <v>2218</v>
      </c>
      <c r="C1492" s="336" t="s">
        <v>797</v>
      </c>
      <c r="D1492" s="336" t="s">
        <v>864</v>
      </c>
      <c r="E1492" s="336" t="s">
        <v>865</v>
      </c>
    </row>
    <row r="1493" spans="1:5" x14ac:dyDescent="0.2">
      <c r="A1493" s="335">
        <v>1001267634</v>
      </c>
      <c r="B1493" s="336" t="s">
        <v>2219</v>
      </c>
      <c r="C1493" s="336" t="s">
        <v>797</v>
      </c>
      <c r="D1493" s="336" t="s">
        <v>864</v>
      </c>
      <c r="E1493" s="336" t="s">
        <v>865</v>
      </c>
    </row>
    <row r="1494" spans="1:5" x14ac:dyDescent="0.2">
      <c r="A1494" s="335">
        <v>1001267635</v>
      </c>
      <c r="B1494" s="336" t="s">
        <v>2220</v>
      </c>
      <c r="C1494" s="336" t="s">
        <v>797</v>
      </c>
      <c r="D1494" s="336" t="s">
        <v>864</v>
      </c>
      <c r="E1494" s="336" t="s">
        <v>865</v>
      </c>
    </row>
    <row r="1495" spans="1:5" x14ac:dyDescent="0.2">
      <c r="A1495" s="335">
        <v>1001268265</v>
      </c>
      <c r="B1495" s="336" t="s">
        <v>2221</v>
      </c>
      <c r="C1495" s="336" t="s">
        <v>813</v>
      </c>
      <c r="D1495" s="336" t="s">
        <v>864</v>
      </c>
      <c r="E1495" s="336" t="s">
        <v>865</v>
      </c>
    </row>
    <row r="1496" spans="1:5" x14ac:dyDescent="0.2">
      <c r="A1496" s="335">
        <v>1001268286</v>
      </c>
      <c r="B1496" s="336" t="s">
        <v>2222</v>
      </c>
      <c r="C1496" s="336" t="s">
        <v>813</v>
      </c>
      <c r="D1496" s="336" t="s">
        <v>864</v>
      </c>
      <c r="E1496" s="336" t="s">
        <v>865</v>
      </c>
    </row>
    <row r="1497" spans="1:5" x14ac:dyDescent="0.2">
      <c r="A1497" s="335">
        <v>1001268287</v>
      </c>
      <c r="B1497" s="336" t="s">
        <v>2223</v>
      </c>
      <c r="C1497" s="336" t="s">
        <v>813</v>
      </c>
      <c r="D1497" s="336" t="s">
        <v>864</v>
      </c>
      <c r="E1497" s="336" t="s">
        <v>865</v>
      </c>
    </row>
    <row r="1498" spans="1:5" x14ac:dyDescent="0.2">
      <c r="A1498" s="335">
        <v>1001268295</v>
      </c>
      <c r="B1498" s="336" t="s">
        <v>2224</v>
      </c>
      <c r="C1498" s="336" t="s">
        <v>797</v>
      </c>
      <c r="D1498" s="336" t="s">
        <v>864</v>
      </c>
      <c r="E1498" s="336" t="s">
        <v>865</v>
      </c>
    </row>
    <row r="1499" spans="1:5" x14ac:dyDescent="0.2">
      <c r="A1499" s="335">
        <v>1001268314</v>
      </c>
      <c r="B1499" s="336" t="s">
        <v>2225</v>
      </c>
      <c r="C1499" s="336" t="s">
        <v>797</v>
      </c>
      <c r="D1499" s="336" t="s">
        <v>864</v>
      </c>
      <c r="E1499" s="336" t="s">
        <v>865</v>
      </c>
    </row>
    <row r="1500" spans="1:5" x14ac:dyDescent="0.2">
      <c r="A1500" s="335">
        <v>1001268318</v>
      </c>
      <c r="B1500" s="336" t="s">
        <v>2226</v>
      </c>
      <c r="C1500" s="336" t="s">
        <v>863</v>
      </c>
      <c r="D1500" s="336" t="s">
        <v>864</v>
      </c>
      <c r="E1500" s="336" t="s">
        <v>865</v>
      </c>
    </row>
    <row r="1501" spans="1:5" x14ac:dyDescent="0.2">
      <c r="A1501" s="335">
        <v>1001268319</v>
      </c>
      <c r="B1501" s="336" t="s">
        <v>2227</v>
      </c>
      <c r="C1501" s="336" t="s">
        <v>863</v>
      </c>
      <c r="D1501" s="336" t="s">
        <v>864</v>
      </c>
      <c r="E1501" s="336" t="s">
        <v>865</v>
      </c>
    </row>
    <row r="1502" spans="1:5" x14ac:dyDescent="0.2">
      <c r="A1502" s="335">
        <v>1001268561</v>
      </c>
      <c r="B1502" s="336" t="s">
        <v>2228</v>
      </c>
      <c r="C1502" s="336" t="s">
        <v>813</v>
      </c>
      <c r="D1502" s="336" t="s">
        <v>864</v>
      </c>
      <c r="E1502" s="336" t="s">
        <v>865</v>
      </c>
    </row>
    <row r="1503" spans="1:5" x14ac:dyDescent="0.2">
      <c r="A1503" s="335">
        <v>1001268853</v>
      </c>
      <c r="B1503" s="336" t="s">
        <v>2229</v>
      </c>
      <c r="C1503" s="336" t="s">
        <v>797</v>
      </c>
      <c r="D1503" s="336" t="s">
        <v>864</v>
      </c>
      <c r="E1503" s="336" t="s">
        <v>865</v>
      </c>
    </row>
    <row r="1504" spans="1:5" x14ac:dyDescent="0.2">
      <c r="A1504" s="335">
        <v>1001268854</v>
      </c>
      <c r="B1504" s="336" t="s">
        <v>2230</v>
      </c>
      <c r="C1504" s="336" t="s">
        <v>797</v>
      </c>
      <c r="D1504" s="336" t="s">
        <v>864</v>
      </c>
      <c r="E1504" s="336" t="s">
        <v>865</v>
      </c>
    </row>
    <row r="1505" spans="1:5" x14ac:dyDescent="0.2">
      <c r="A1505" s="335">
        <v>1001268858</v>
      </c>
      <c r="B1505" s="336" t="s">
        <v>983</v>
      </c>
      <c r="C1505" s="336" t="s">
        <v>813</v>
      </c>
      <c r="D1505" s="336" t="s">
        <v>864</v>
      </c>
      <c r="E1505" s="336" t="s">
        <v>865</v>
      </c>
    </row>
    <row r="1506" spans="1:5" x14ac:dyDescent="0.2">
      <c r="A1506" s="335">
        <v>1001268864</v>
      </c>
      <c r="B1506" s="336" t="s">
        <v>2231</v>
      </c>
      <c r="C1506" s="336" t="s">
        <v>797</v>
      </c>
      <c r="D1506" s="336" t="s">
        <v>864</v>
      </c>
      <c r="E1506" s="336" t="s">
        <v>865</v>
      </c>
    </row>
    <row r="1507" spans="1:5" x14ac:dyDescent="0.2">
      <c r="A1507" s="335">
        <v>1001269479</v>
      </c>
      <c r="B1507" s="336" t="s">
        <v>2232</v>
      </c>
      <c r="C1507" s="336" t="s">
        <v>813</v>
      </c>
      <c r="D1507" s="336" t="s">
        <v>864</v>
      </c>
      <c r="E1507" s="336" t="s">
        <v>865</v>
      </c>
    </row>
    <row r="1508" spans="1:5" x14ac:dyDescent="0.2">
      <c r="A1508" s="335">
        <v>1001269550</v>
      </c>
      <c r="B1508" s="336" t="s">
        <v>2233</v>
      </c>
      <c r="C1508" s="336" t="s">
        <v>813</v>
      </c>
      <c r="D1508" s="336" t="s">
        <v>864</v>
      </c>
      <c r="E1508" s="336" t="s">
        <v>865</v>
      </c>
    </row>
    <row r="1509" spans="1:5" x14ac:dyDescent="0.2">
      <c r="A1509" s="335">
        <v>1001269551</v>
      </c>
      <c r="B1509" s="336" t="s">
        <v>2234</v>
      </c>
      <c r="C1509" s="336" t="s">
        <v>813</v>
      </c>
      <c r="D1509" s="336" t="s">
        <v>864</v>
      </c>
      <c r="E1509" s="336" t="s">
        <v>865</v>
      </c>
    </row>
    <row r="1510" spans="1:5" x14ac:dyDescent="0.2">
      <c r="A1510" s="335">
        <v>1001269559</v>
      </c>
      <c r="B1510" s="336" t="s">
        <v>2223</v>
      </c>
      <c r="C1510" s="336" t="s">
        <v>813</v>
      </c>
      <c r="D1510" s="336" t="s">
        <v>864</v>
      </c>
      <c r="E1510" s="336" t="s">
        <v>865</v>
      </c>
    </row>
    <row r="1511" spans="1:5" x14ac:dyDescent="0.2">
      <c r="A1511" s="335">
        <v>1001269591</v>
      </c>
      <c r="B1511" s="336" t="s">
        <v>2235</v>
      </c>
      <c r="C1511" s="336" t="s">
        <v>813</v>
      </c>
      <c r="D1511" s="336" t="s">
        <v>864</v>
      </c>
      <c r="E1511" s="336" t="s">
        <v>865</v>
      </c>
    </row>
    <row r="1512" spans="1:5" x14ac:dyDescent="0.2">
      <c r="A1512" s="335">
        <v>1001269686</v>
      </c>
      <c r="B1512" s="336" t="s">
        <v>904</v>
      </c>
      <c r="C1512" s="336" t="s">
        <v>797</v>
      </c>
      <c r="D1512" s="336" t="s">
        <v>864</v>
      </c>
      <c r="E1512" s="336" t="s">
        <v>865</v>
      </c>
    </row>
    <row r="1513" spans="1:5" x14ac:dyDescent="0.2">
      <c r="A1513" s="335">
        <v>1001269687</v>
      </c>
      <c r="B1513" s="336" t="s">
        <v>905</v>
      </c>
      <c r="C1513" s="336" t="s">
        <v>797</v>
      </c>
      <c r="D1513" s="336" t="s">
        <v>864</v>
      </c>
      <c r="E1513" s="336" t="s">
        <v>865</v>
      </c>
    </row>
    <row r="1514" spans="1:5" x14ac:dyDescent="0.2">
      <c r="A1514" s="335">
        <v>1001269688</v>
      </c>
      <c r="B1514" s="336" t="s">
        <v>903</v>
      </c>
      <c r="C1514" s="336" t="s">
        <v>813</v>
      </c>
      <c r="D1514" s="336" t="s">
        <v>864</v>
      </c>
      <c r="E1514" s="336" t="s">
        <v>865</v>
      </c>
    </row>
    <row r="1515" spans="1:5" x14ac:dyDescent="0.2">
      <c r="A1515" s="335">
        <v>1001269710</v>
      </c>
      <c r="B1515" s="336" t="s">
        <v>901</v>
      </c>
      <c r="C1515" s="336" t="s">
        <v>813</v>
      </c>
      <c r="D1515" s="336" t="s">
        <v>864</v>
      </c>
      <c r="E1515" s="336" t="s">
        <v>865</v>
      </c>
    </row>
    <row r="1516" spans="1:5" x14ac:dyDescent="0.2">
      <c r="A1516" s="335">
        <v>1001270116</v>
      </c>
      <c r="B1516" s="336" t="s">
        <v>393</v>
      </c>
      <c r="C1516" s="336" t="s">
        <v>813</v>
      </c>
      <c r="D1516" s="336" t="s">
        <v>864</v>
      </c>
      <c r="E1516" s="336" t="s">
        <v>865</v>
      </c>
    </row>
    <row r="1517" spans="1:5" x14ac:dyDescent="0.2">
      <c r="A1517" s="335">
        <v>1001270246</v>
      </c>
      <c r="B1517" s="336" t="s">
        <v>916</v>
      </c>
      <c r="C1517" s="336" t="s">
        <v>797</v>
      </c>
      <c r="D1517" s="336" t="s">
        <v>864</v>
      </c>
      <c r="E1517" s="336" t="s">
        <v>865</v>
      </c>
    </row>
    <row r="1518" spans="1:5" x14ac:dyDescent="0.2">
      <c r="A1518" s="335">
        <v>1001270287</v>
      </c>
      <c r="B1518" s="336" t="s">
        <v>2236</v>
      </c>
      <c r="C1518" s="336" t="s">
        <v>813</v>
      </c>
      <c r="D1518" s="336" t="s">
        <v>864</v>
      </c>
      <c r="E1518" s="336" t="s">
        <v>865</v>
      </c>
    </row>
    <row r="1519" spans="1:5" x14ac:dyDescent="0.2">
      <c r="A1519" s="335">
        <v>1001270473</v>
      </c>
      <c r="B1519" s="336" t="s">
        <v>2237</v>
      </c>
      <c r="C1519" s="336" t="s">
        <v>813</v>
      </c>
      <c r="D1519" s="336" t="s">
        <v>864</v>
      </c>
      <c r="E1519" s="336" t="s">
        <v>865</v>
      </c>
    </row>
    <row r="1520" spans="1:5" x14ac:dyDescent="0.2">
      <c r="A1520" s="335">
        <v>1001270474</v>
      </c>
      <c r="B1520" s="336" t="s">
        <v>2238</v>
      </c>
      <c r="C1520" s="336" t="s">
        <v>813</v>
      </c>
      <c r="D1520" s="336" t="s">
        <v>864</v>
      </c>
      <c r="E1520" s="336" t="s">
        <v>865</v>
      </c>
    </row>
    <row r="1521" spans="1:5" x14ac:dyDescent="0.2">
      <c r="A1521" s="335">
        <v>1001270662</v>
      </c>
      <c r="B1521" s="336" t="s">
        <v>2239</v>
      </c>
      <c r="C1521" s="336" t="s">
        <v>813</v>
      </c>
      <c r="D1521" s="336" t="s">
        <v>864</v>
      </c>
      <c r="E1521" s="336" t="s">
        <v>865</v>
      </c>
    </row>
    <row r="1522" spans="1:5" x14ac:dyDescent="0.2">
      <c r="A1522" s="335">
        <v>1001270669</v>
      </c>
      <c r="B1522" s="336" t="s">
        <v>393</v>
      </c>
      <c r="C1522" s="336" t="s">
        <v>863</v>
      </c>
      <c r="D1522" s="336" t="s">
        <v>864</v>
      </c>
      <c r="E1522" s="336" t="s">
        <v>865</v>
      </c>
    </row>
    <row r="1523" spans="1:5" x14ac:dyDescent="0.2">
      <c r="A1523" s="335">
        <v>1001270940</v>
      </c>
      <c r="B1523" s="336" t="s">
        <v>1065</v>
      </c>
      <c r="C1523" s="336" t="s">
        <v>797</v>
      </c>
      <c r="D1523" s="336" t="s">
        <v>864</v>
      </c>
      <c r="E1523" s="336" t="s">
        <v>865</v>
      </c>
    </row>
    <row r="1524" spans="1:5" x14ac:dyDescent="0.2">
      <c r="A1524" s="335">
        <v>1001271058</v>
      </c>
      <c r="B1524" s="336" t="s">
        <v>2240</v>
      </c>
      <c r="C1524" s="336" t="s">
        <v>813</v>
      </c>
      <c r="D1524" s="336" t="s">
        <v>864</v>
      </c>
      <c r="E1524" s="336" t="s">
        <v>865</v>
      </c>
    </row>
    <row r="1525" spans="1:5" x14ac:dyDescent="0.2">
      <c r="A1525" s="335">
        <v>1001271059</v>
      </c>
      <c r="B1525" s="336" t="s">
        <v>2241</v>
      </c>
      <c r="C1525" s="336" t="s">
        <v>813</v>
      </c>
      <c r="D1525" s="336" t="s">
        <v>864</v>
      </c>
      <c r="E1525" s="336" t="s">
        <v>865</v>
      </c>
    </row>
    <row r="1526" spans="1:5" x14ac:dyDescent="0.2">
      <c r="A1526" s="335">
        <v>1001271201</v>
      </c>
      <c r="B1526" s="336" t="s">
        <v>2234</v>
      </c>
      <c r="C1526" s="336" t="s">
        <v>813</v>
      </c>
      <c r="D1526" s="336" t="s">
        <v>864</v>
      </c>
      <c r="E1526" s="336" t="s">
        <v>865</v>
      </c>
    </row>
    <row r="1527" spans="1:5" x14ac:dyDescent="0.2">
      <c r="A1527" s="335">
        <v>1001271215</v>
      </c>
      <c r="B1527" s="336" t="s">
        <v>2242</v>
      </c>
      <c r="C1527" s="336" t="s">
        <v>813</v>
      </c>
      <c r="D1527" s="336" t="s">
        <v>864</v>
      </c>
      <c r="E1527" s="336" t="s">
        <v>865</v>
      </c>
    </row>
    <row r="1528" spans="1:5" x14ac:dyDescent="0.2">
      <c r="A1528" s="335">
        <v>1001271278</v>
      </c>
      <c r="B1528" s="336" t="s">
        <v>843</v>
      </c>
      <c r="C1528" s="336" t="s">
        <v>797</v>
      </c>
      <c r="D1528" s="336" t="s">
        <v>864</v>
      </c>
      <c r="E1528" s="336" t="s">
        <v>865</v>
      </c>
    </row>
    <row r="1529" spans="1:5" x14ac:dyDescent="0.2">
      <c r="A1529" s="335">
        <v>1001271631</v>
      </c>
      <c r="B1529" s="336" t="s">
        <v>393</v>
      </c>
      <c r="C1529" s="336" t="s">
        <v>813</v>
      </c>
      <c r="D1529" s="336" t="s">
        <v>864</v>
      </c>
      <c r="E1529" s="336" t="s">
        <v>865</v>
      </c>
    </row>
    <row r="1530" spans="1:5" x14ac:dyDescent="0.2">
      <c r="A1530" s="335">
        <v>1001272305</v>
      </c>
      <c r="B1530" s="336" t="s">
        <v>2243</v>
      </c>
      <c r="C1530" s="336" t="s">
        <v>813</v>
      </c>
      <c r="D1530" s="336" t="s">
        <v>864</v>
      </c>
      <c r="E1530" s="336" t="s">
        <v>865</v>
      </c>
    </row>
    <row r="1531" spans="1:5" x14ac:dyDescent="0.2">
      <c r="A1531" s="335">
        <v>1001272308</v>
      </c>
      <c r="B1531" s="336" t="s">
        <v>2244</v>
      </c>
      <c r="C1531" s="336" t="s">
        <v>797</v>
      </c>
      <c r="D1531" s="336" t="s">
        <v>864</v>
      </c>
      <c r="E1531" s="336" t="s">
        <v>865</v>
      </c>
    </row>
    <row r="1532" spans="1:5" x14ac:dyDescent="0.2">
      <c r="A1532" s="335">
        <v>1001272315</v>
      </c>
      <c r="B1532" s="336" t="s">
        <v>2245</v>
      </c>
      <c r="C1532" s="336" t="s">
        <v>797</v>
      </c>
      <c r="D1532" s="336" t="s">
        <v>864</v>
      </c>
      <c r="E1532" s="336" t="s">
        <v>865</v>
      </c>
    </row>
    <row r="1533" spans="1:5" x14ac:dyDescent="0.2">
      <c r="A1533" s="335">
        <v>1001272319</v>
      </c>
      <c r="B1533" s="336" t="s">
        <v>2246</v>
      </c>
      <c r="C1533" s="336" t="s">
        <v>813</v>
      </c>
      <c r="D1533" s="336" t="s">
        <v>864</v>
      </c>
      <c r="E1533" s="336" t="s">
        <v>865</v>
      </c>
    </row>
    <row r="1534" spans="1:5" x14ac:dyDescent="0.2">
      <c r="A1534" s="335">
        <v>1001272411</v>
      </c>
      <c r="B1534" s="336" t="s">
        <v>2247</v>
      </c>
      <c r="C1534" s="336" t="s">
        <v>813</v>
      </c>
      <c r="D1534" s="336" t="s">
        <v>864</v>
      </c>
      <c r="E1534" s="336" t="s">
        <v>865</v>
      </c>
    </row>
    <row r="1535" spans="1:5" x14ac:dyDescent="0.2">
      <c r="A1535" s="335">
        <v>1001272414</v>
      </c>
      <c r="B1535" s="336" t="s">
        <v>2248</v>
      </c>
      <c r="C1535" s="336" t="s">
        <v>813</v>
      </c>
      <c r="D1535" s="336" t="s">
        <v>864</v>
      </c>
      <c r="E1535" s="336" t="s">
        <v>865</v>
      </c>
    </row>
    <row r="1536" spans="1:5" x14ac:dyDescent="0.2">
      <c r="A1536" s="335">
        <v>1001272415</v>
      </c>
      <c r="B1536" s="336" t="s">
        <v>2249</v>
      </c>
      <c r="C1536" s="336" t="s">
        <v>813</v>
      </c>
      <c r="D1536" s="336" t="s">
        <v>864</v>
      </c>
      <c r="E1536" s="336" t="s">
        <v>865</v>
      </c>
    </row>
    <row r="1537" spans="1:5" x14ac:dyDescent="0.2">
      <c r="A1537" s="335">
        <v>1001272571</v>
      </c>
      <c r="B1537" s="336" t="s">
        <v>2250</v>
      </c>
      <c r="C1537" s="336" t="s">
        <v>813</v>
      </c>
      <c r="D1537" s="336" t="s">
        <v>864</v>
      </c>
      <c r="E1537" s="336" t="s">
        <v>865</v>
      </c>
    </row>
    <row r="1538" spans="1:5" x14ac:dyDescent="0.2">
      <c r="A1538" s="335">
        <v>1001272631</v>
      </c>
      <c r="B1538" s="336" t="s">
        <v>2251</v>
      </c>
      <c r="C1538" s="336" t="s">
        <v>863</v>
      </c>
      <c r="D1538" s="336" t="s">
        <v>864</v>
      </c>
      <c r="E1538" s="336" t="s">
        <v>865</v>
      </c>
    </row>
    <row r="1539" spans="1:5" x14ac:dyDescent="0.2">
      <c r="A1539" s="335">
        <v>1001273112</v>
      </c>
      <c r="B1539" s="336" t="s">
        <v>2252</v>
      </c>
      <c r="C1539" s="336" t="s">
        <v>813</v>
      </c>
      <c r="D1539" s="336" t="s">
        <v>864</v>
      </c>
      <c r="E1539" s="336" t="s">
        <v>865</v>
      </c>
    </row>
    <row r="1540" spans="1:5" x14ac:dyDescent="0.2">
      <c r="A1540" s="335">
        <v>1001273116</v>
      </c>
      <c r="B1540" s="336" t="s">
        <v>2253</v>
      </c>
      <c r="C1540" s="336" t="s">
        <v>813</v>
      </c>
      <c r="D1540" s="336" t="s">
        <v>864</v>
      </c>
      <c r="E1540" s="336" t="s">
        <v>865</v>
      </c>
    </row>
    <row r="1541" spans="1:5" x14ac:dyDescent="0.2">
      <c r="A1541" s="335">
        <v>1001273117</v>
      </c>
      <c r="B1541" s="336" t="s">
        <v>2254</v>
      </c>
      <c r="C1541" s="336" t="s">
        <v>813</v>
      </c>
      <c r="D1541" s="336" t="s">
        <v>864</v>
      </c>
      <c r="E1541" s="336" t="s">
        <v>865</v>
      </c>
    </row>
    <row r="1542" spans="1:5" x14ac:dyDescent="0.2">
      <c r="A1542" s="335">
        <v>1001273118</v>
      </c>
      <c r="B1542" s="336" t="s">
        <v>2255</v>
      </c>
      <c r="C1542" s="336" t="s">
        <v>863</v>
      </c>
      <c r="D1542" s="336" t="s">
        <v>864</v>
      </c>
      <c r="E1542" s="336" t="s">
        <v>865</v>
      </c>
    </row>
    <row r="1543" spans="1:5" x14ac:dyDescent="0.2">
      <c r="A1543" s="335">
        <v>1001273149</v>
      </c>
      <c r="B1543" s="336" t="s">
        <v>2256</v>
      </c>
      <c r="C1543" s="336" t="s">
        <v>813</v>
      </c>
      <c r="D1543" s="336" t="s">
        <v>864</v>
      </c>
      <c r="E1543" s="336" t="s">
        <v>865</v>
      </c>
    </row>
    <row r="1544" spans="1:5" x14ac:dyDescent="0.2">
      <c r="A1544" s="335">
        <v>1001273200</v>
      </c>
      <c r="B1544" s="336" t="s">
        <v>2257</v>
      </c>
      <c r="C1544" s="336" t="s">
        <v>813</v>
      </c>
      <c r="D1544" s="336" t="s">
        <v>864</v>
      </c>
      <c r="E1544" s="336" t="s">
        <v>865</v>
      </c>
    </row>
    <row r="1545" spans="1:5" x14ac:dyDescent="0.2">
      <c r="A1545" s="335">
        <v>1001273206</v>
      </c>
      <c r="B1545" s="336" t="s">
        <v>2258</v>
      </c>
      <c r="C1545" s="336" t="s">
        <v>813</v>
      </c>
      <c r="D1545" s="336" t="s">
        <v>864</v>
      </c>
      <c r="E1545" s="336" t="s">
        <v>865</v>
      </c>
    </row>
    <row r="1546" spans="1:5" x14ac:dyDescent="0.2">
      <c r="A1546" s="335">
        <v>1001273370</v>
      </c>
      <c r="B1546" s="336" t="s">
        <v>2259</v>
      </c>
      <c r="C1546" s="336" t="s">
        <v>863</v>
      </c>
      <c r="D1546" s="336" t="s">
        <v>864</v>
      </c>
      <c r="E1546" s="336" t="s">
        <v>865</v>
      </c>
    </row>
    <row r="1547" spans="1:5" x14ac:dyDescent="0.2">
      <c r="A1547" s="335">
        <v>1001273684</v>
      </c>
      <c r="B1547" s="336" t="s">
        <v>2260</v>
      </c>
      <c r="C1547" s="336" t="s">
        <v>813</v>
      </c>
      <c r="D1547" s="336" t="s">
        <v>864</v>
      </c>
      <c r="E1547" s="336" t="s">
        <v>865</v>
      </c>
    </row>
    <row r="1548" spans="1:5" x14ac:dyDescent="0.2">
      <c r="A1548" s="335">
        <v>1001273685</v>
      </c>
      <c r="B1548" s="336" t="s">
        <v>2261</v>
      </c>
      <c r="C1548" s="336" t="s">
        <v>813</v>
      </c>
      <c r="D1548" s="336" t="s">
        <v>864</v>
      </c>
      <c r="E1548" s="336" t="s">
        <v>865</v>
      </c>
    </row>
    <row r="1549" spans="1:5" x14ac:dyDescent="0.2">
      <c r="A1549" s="335">
        <v>1001273686</v>
      </c>
      <c r="B1549" s="336" t="s">
        <v>2262</v>
      </c>
      <c r="C1549" s="336" t="s">
        <v>813</v>
      </c>
      <c r="D1549" s="336" t="s">
        <v>864</v>
      </c>
      <c r="E1549" s="336" t="s">
        <v>865</v>
      </c>
    </row>
    <row r="1550" spans="1:5" x14ac:dyDescent="0.2">
      <c r="A1550" s="335">
        <v>1001273865</v>
      </c>
      <c r="B1550" s="336" t="s">
        <v>2263</v>
      </c>
      <c r="C1550" s="336" t="s">
        <v>863</v>
      </c>
      <c r="D1550" s="336" t="s">
        <v>864</v>
      </c>
      <c r="E1550" s="336" t="s">
        <v>865</v>
      </c>
    </row>
    <row r="1551" spans="1:5" x14ac:dyDescent="0.2">
      <c r="A1551" s="335">
        <v>1001273948</v>
      </c>
      <c r="B1551" s="336" t="s">
        <v>2264</v>
      </c>
      <c r="C1551" s="336" t="s">
        <v>813</v>
      </c>
      <c r="D1551" s="336" t="s">
        <v>864</v>
      </c>
      <c r="E1551" s="336" t="s">
        <v>865</v>
      </c>
    </row>
    <row r="1552" spans="1:5" x14ac:dyDescent="0.2">
      <c r="A1552" s="335">
        <v>1001274015</v>
      </c>
      <c r="B1552" s="336" t="s">
        <v>2265</v>
      </c>
      <c r="C1552" s="336" t="s">
        <v>813</v>
      </c>
      <c r="D1552" s="336" t="s">
        <v>864</v>
      </c>
      <c r="E1552" s="336" t="s">
        <v>865</v>
      </c>
    </row>
    <row r="1553" spans="1:5" x14ac:dyDescent="0.2">
      <c r="A1553" s="335">
        <v>1001274031</v>
      </c>
      <c r="B1553" s="336" t="s">
        <v>2266</v>
      </c>
      <c r="C1553" s="336" t="s">
        <v>813</v>
      </c>
      <c r="D1553" s="336" t="s">
        <v>864</v>
      </c>
      <c r="E1553" s="336" t="s">
        <v>865</v>
      </c>
    </row>
    <row r="1554" spans="1:5" x14ac:dyDescent="0.2">
      <c r="A1554" s="335">
        <v>1001274060</v>
      </c>
      <c r="B1554" s="336" t="s">
        <v>2267</v>
      </c>
      <c r="C1554" s="336" t="s">
        <v>813</v>
      </c>
      <c r="D1554" s="336" t="s">
        <v>864</v>
      </c>
      <c r="E1554" s="336" t="s">
        <v>865</v>
      </c>
    </row>
    <row r="1555" spans="1:5" x14ac:dyDescent="0.2">
      <c r="A1555" s="335">
        <v>1001274062</v>
      </c>
      <c r="B1555" s="336" t="s">
        <v>2268</v>
      </c>
      <c r="C1555" s="336" t="s">
        <v>813</v>
      </c>
      <c r="D1555" s="336" t="s">
        <v>864</v>
      </c>
      <c r="E1555" s="336" t="s">
        <v>865</v>
      </c>
    </row>
    <row r="1556" spans="1:5" x14ac:dyDescent="0.2">
      <c r="A1556" s="335">
        <v>1001274171</v>
      </c>
      <c r="B1556" s="336" t="s">
        <v>2269</v>
      </c>
      <c r="C1556" s="336" t="s">
        <v>813</v>
      </c>
      <c r="D1556" s="336" t="s">
        <v>864</v>
      </c>
      <c r="E1556" s="336" t="s">
        <v>865</v>
      </c>
    </row>
    <row r="1557" spans="1:5" x14ac:dyDescent="0.2">
      <c r="A1557" s="335">
        <v>1001274485</v>
      </c>
      <c r="B1557" s="336" t="s">
        <v>2270</v>
      </c>
      <c r="C1557" s="336" t="s">
        <v>813</v>
      </c>
      <c r="D1557" s="336" t="s">
        <v>864</v>
      </c>
      <c r="E1557" s="336" t="s">
        <v>865</v>
      </c>
    </row>
    <row r="1558" spans="1:5" x14ac:dyDescent="0.2">
      <c r="A1558" s="335">
        <v>1001274510</v>
      </c>
      <c r="B1558" s="336" t="s">
        <v>2271</v>
      </c>
      <c r="C1558" s="336" t="s">
        <v>797</v>
      </c>
      <c r="D1558" s="336" t="s">
        <v>864</v>
      </c>
      <c r="E1558" s="336" t="s">
        <v>865</v>
      </c>
    </row>
    <row r="1559" spans="1:5" x14ac:dyDescent="0.2">
      <c r="A1559" s="335">
        <v>1001274512</v>
      </c>
      <c r="B1559" s="336" t="s">
        <v>2272</v>
      </c>
      <c r="C1559" s="336" t="s">
        <v>813</v>
      </c>
      <c r="D1559" s="336" t="s">
        <v>864</v>
      </c>
      <c r="E1559" s="336" t="s">
        <v>865</v>
      </c>
    </row>
    <row r="1560" spans="1:5" x14ac:dyDescent="0.2">
      <c r="A1560" s="335">
        <v>1001274513</v>
      </c>
      <c r="B1560" s="336" t="s">
        <v>2273</v>
      </c>
      <c r="C1560" s="336" t="s">
        <v>813</v>
      </c>
      <c r="D1560" s="336" t="s">
        <v>864</v>
      </c>
      <c r="E1560" s="336" t="s">
        <v>865</v>
      </c>
    </row>
    <row r="1561" spans="1:5" x14ac:dyDescent="0.2">
      <c r="A1561" s="335">
        <v>1001274601</v>
      </c>
      <c r="B1561" s="336" t="s">
        <v>2274</v>
      </c>
      <c r="C1561" s="336" t="s">
        <v>797</v>
      </c>
      <c r="D1561" s="336" t="s">
        <v>864</v>
      </c>
      <c r="E1561" s="336" t="s">
        <v>865</v>
      </c>
    </row>
    <row r="1562" spans="1:5" x14ac:dyDescent="0.2">
      <c r="A1562" s="335">
        <v>1001274603</v>
      </c>
      <c r="B1562" s="336" t="s">
        <v>2275</v>
      </c>
      <c r="C1562" s="336" t="s">
        <v>813</v>
      </c>
      <c r="D1562" s="336" t="s">
        <v>864</v>
      </c>
      <c r="E1562" s="336" t="s">
        <v>865</v>
      </c>
    </row>
    <row r="1563" spans="1:5" x14ac:dyDescent="0.2">
      <c r="A1563" s="335">
        <v>1001274690</v>
      </c>
      <c r="B1563" s="336" t="s">
        <v>2276</v>
      </c>
      <c r="C1563" s="336" t="s">
        <v>813</v>
      </c>
      <c r="D1563" s="336" t="s">
        <v>864</v>
      </c>
      <c r="E1563" s="336" t="s">
        <v>865</v>
      </c>
    </row>
    <row r="1564" spans="1:5" x14ac:dyDescent="0.2">
      <c r="A1564" s="335">
        <v>1001274728</v>
      </c>
      <c r="B1564" s="336" t="s">
        <v>937</v>
      </c>
      <c r="C1564" s="336" t="s">
        <v>797</v>
      </c>
      <c r="D1564" s="336" t="s">
        <v>864</v>
      </c>
      <c r="E1564" s="336" t="s">
        <v>865</v>
      </c>
    </row>
    <row r="1565" spans="1:5" x14ac:dyDescent="0.2">
      <c r="A1565" s="335">
        <v>1001274941</v>
      </c>
      <c r="B1565" s="336" t="s">
        <v>2277</v>
      </c>
      <c r="C1565" s="336" t="s">
        <v>797</v>
      </c>
      <c r="D1565" s="336" t="s">
        <v>864</v>
      </c>
      <c r="E1565" s="336" t="s">
        <v>865</v>
      </c>
    </row>
    <row r="1566" spans="1:5" x14ac:dyDescent="0.2">
      <c r="A1566" s="335">
        <v>1001274989</v>
      </c>
      <c r="B1566" s="336" t="s">
        <v>2278</v>
      </c>
      <c r="C1566" s="336" t="s">
        <v>813</v>
      </c>
      <c r="D1566" s="336" t="s">
        <v>864</v>
      </c>
      <c r="E1566" s="336" t="s">
        <v>865</v>
      </c>
    </row>
    <row r="1567" spans="1:5" x14ac:dyDescent="0.2">
      <c r="A1567" s="335">
        <v>1001275109</v>
      </c>
      <c r="B1567" s="336" t="s">
        <v>2279</v>
      </c>
      <c r="C1567" s="336" t="s">
        <v>813</v>
      </c>
      <c r="D1567" s="336" t="s">
        <v>864</v>
      </c>
      <c r="E1567" s="336" t="s">
        <v>865</v>
      </c>
    </row>
    <row r="1568" spans="1:5" x14ac:dyDescent="0.2">
      <c r="A1568" s="335">
        <v>1001275123</v>
      </c>
      <c r="B1568" s="336" t="s">
        <v>924</v>
      </c>
      <c r="C1568" s="336" t="s">
        <v>813</v>
      </c>
      <c r="D1568" s="336" t="s">
        <v>864</v>
      </c>
      <c r="E1568" s="336" t="s">
        <v>865</v>
      </c>
    </row>
    <row r="1569" spans="1:5" x14ac:dyDescent="0.2">
      <c r="A1569" s="335">
        <v>1001275217</v>
      </c>
      <c r="B1569" s="336" t="s">
        <v>2280</v>
      </c>
      <c r="C1569" s="336" t="s">
        <v>813</v>
      </c>
      <c r="D1569" s="336" t="s">
        <v>864</v>
      </c>
      <c r="E1569" s="336" t="s">
        <v>865</v>
      </c>
    </row>
    <row r="1570" spans="1:5" x14ac:dyDescent="0.2">
      <c r="A1570" s="335">
        <v>1001275271</v>
      </c>
      <c r="B1570" s="336" t="s">
        <v>2281</v>
      </c>
      <c r="C1570" s="336" t="s">
        <v>813</v>
      </c>
      <c r="D1570" s="336" t="s">
        <v>864</v>
      </c>
      <c r="E1570" s="336" t="s">
        <v>865</v>
      </c>
    </row>
    <row r="1571" spans="1:5" x14ac:dyDescent="0.2">
      <c r="A1571" s="335">
        <v>1001275272</v>
      </c>
      <c r="B1571" s="336" t="s">
        <v>2282</v>
      </c>
      <c r="C1571" s="336" t="s">
        <v>813</v>
      </c>
      <c r="D1571" s="336" t="s">
        <v>864</v>
      </c>
      <c r="E1571" s="336" t="s">
        <v>865</v>
      </c>
    </row>
    <row r="1572" spans="1:5" x14ac:dyDescent="0.2">
      <c r="A1572" s="335">
        <v>1001275274</v>
      </c>
      <c r="B1572" s="336" t="s">
        <v>2283</v>
      </c>
      <c r="C1572" s="336" t="s">
        <v>813</v>
      </c>
      <c r="D1572" s="336" t="s">
        <v>864</v>
      </c>
      <c r="E1572" s="336" t="s">
        <v>865</v>
      </c>
    </row>
    <row r="1573" spans="1:5" x14ac:dyDescent="0.2">
      <c r="A1573" s="335">
        <v>1001275276</v>
      </c>
      <c r="B1573" s="336" t="s">
        <v>2284</v>
      </c>
      <c r="C1573" s="336" t="s">
        <v>813</v>
      </c>
      <c r="D1573" s="336" t="s">
        <v>864</v>
      </c>
      <c r="E1573" s="336" t="s">
        <v>865</v>
      </c>
    </row>
    <row r="1574" spans="1:5" x14ac:dyDescent="0.2">
      <c r="A1574" s="335">
        <v>1001275277</v>
      </c>
      <c r="B1574" s="336" t="s">
        <v>2285</v>
      </c>
      <c r="C1574" s="336" t="s">
        <v>813</v>
      </c>
      <c r="D1574" s="336" t="s">
        <v>864</v>
      </c>
      <c r="E1574" s="336" t="s">
        <v>865</v>
      </c>
    </row>
    <row r="1575" spans="1:5" x14ac:dyDescent="0.2">
      <c r="A1575" s="335">
        <v>1001275311</v>
      </c>
      <c r="B1575" s="336" t="s">
        <v>2286</v>
      </c>
      <c r="C1575" s="336" t="s">
        <v>813</v>
      </c>
      <c r="D1575" s="336" t="s">
        <v>864</v>
      </c>
      <c r="E1575" s="336" t="s">
        <v>865</v>
      </c>
    </row>
    <row r="1576" spans="1:5" x14ac:dyDescent="0.2">
      <c r="A1576" s="335">
        <v>1001275312</v>
      </c>
      <c r="B1576" s="336" t="s">
        <v>2287</v>
      </c>
      <c r="C1576" s="336" t="s">
        <v>797</v>
      </c>
      <c r="D1576" s="336" t="s">
        <v>864</v>
      </c>
      <c r="E1576" s="336" t="s">
        <v>865</v>
      </c>
    </row>
    <row r="1577" spans="1:5" x14ac:dyDescent="0.2">
      <c r="A1577" s="335">
        <v>1001275314</v>
      </c>
      <c r="B1577" s="336" t="s">
        <v>2288</v>
      </c>
      <c r="C1577" s="336" t="s">
        <v>813</v>
      </c>
      <c r="D1577" s="336" t="s">
        <v>864</v>
      </c>
      <c r="E1577" s="336" t="s">
        <v>865</v>
      </c>
    </row>
    <row r="1578" spans="1:5" x14ac:dyDescent="0.2">
      <c r="A1578" s="335">
        <v>1001275705</v>
      </c>
      <c r="B1578" s="336" t="s">
        <v>2255</v>
      </c>
      <c r="C1578" s="336" t="s">
        <v>813</v>
      </c>
      <c r="D1578" s="336" t="s">
        <v>864</v>
      </c>
      <c r="E1578" s="336" t="s">
        <v>865</v>
      </c>
    </row>
    <row r="1579" spans="1:5" x14ac:dyDescent="0.2">
      <c r="A1579" s="335">
        <v>1001275836</v>
      </c>
      <c r="B1579" s="336" t="s">
        <v>2289</v>
      </c>
      <c r="C1579" s="336" t="s">
        <v>813</v>
      </c>
      <c r="D1579" s="336" t="s">
        <v>864</v>
      </c>
      <c r="E1579" s="336" t="s">
        <v>865</v>
      </c>
    </row>
    <row r="1580" spans="1:5" x14ac:dyDescent="0.2">
      <c r="A1580" s="335">
        <v>1001276305</v>
      </c>
      <c r="B1580" s="336" t="s">
        <v>2290</v>
      </c>
      <c r="C1580" s="336" t="s">
        <v>813</v>
      </c>
      <c r="D1580" s="336" t="s">
        <v>864</v>
      </c>
      <c r="E1580" s="336" t="s">
        <v>865</v>
      </c>
    </row>
    <row r="1581" spans="1:5" x14ac:dyDescent="0.2">
      <c r="A1581" s="335">
        <v>1001276306</v>
      </c>
      <c r="B1581" s="336" t="s">
        <v>2291</v>
      </c>
      <c r="C1581" s="336" t="s">
        <v>813</v>
      </c>
      <c r="D1581" s="336" t="s">
        <v>864</v>
      </c>
      <c r="E1581" s="336" t="s">
        <v>865</v>
      </c>
    </row>
    <row r="1582" spans="1:5" x14ac:dyDescent="0.2">
      <c r="A1582" s="335">
        <v>1001276419</v>
      </c>
      <c r="B1582" s="336" t="s">
        <v>2292</v>
      </c>
      <c r="C1582" s="336" t="s">
        <v>863</v>
      </c>
      <c r="D1582" s="336" t="s">
        <v>864</v>
      </c>
      <c r="E1582" s="336" t="s">
        <v>865</v>
      </c>
    </row>
    <row r="1583" spans="1:5" x14ac:dyDescent="0.2">
      <c r="A1583" s="335">
        <v>1001276441</v>
      </c>
      <c r="B1583" s="336" t="s">
        <v>2249</v>
      </c>
      <c r="C1583" s="336" t="s">
        <v>863</v>
      </c>
      <c r="D1583" s="336" t="s">
        <v>864</v>
      </c>
      <c r="E1583" s="336" t="s">
        <v>865</v>
      </c>
    </row>
    <row r="1584" spans="1:5" x14ac:dyDescent="0.2">
      <c r="A1584" s="335">
        <v>1001276442</v>
      </c>
      <c r="B1584" s="336" t="s">
        <v>2293</v>
      </c>
      <c r="C1584" s="336" t="s">
        <v>863</v>
      </c>
      <c r="D1584" s="336" t="s">
        <v>864</v>
      </c>
      <c r="E1584" s="336" t="s">
        <v>865</v>
      </c>
    </row>
    <row r="1585" spans="1:5" x14ac:dyDescent="0.2">
      <c r="A1585" s="335">
        <v>1001276444</v>
      </c>
      <c r="B1585" s="336" t="s">
        <v>2294</v>
      </c>
      <c r="C1585" s="336" t="s">
        <v>863</v>
      </c>
      <c r="D1585" s="336" t="s">
        <v>864</v>
      </c>
      <c r="E1585" s="336" t="s">
        <v>865</v>
      </c>
    </row>
    <row r="1586" spans="1:5" x14ac:dyDescent="0.2">
      <c r="A1586" s="335">
        <v>1001276490</v>
      </c>
      <c r="B1586" s="336" t="s">
        <v>2295</v>
      </c>
      <c r="C1586" s="336" t="s">
        <v>813</v>
      </c>
      <c r="D1586" s="336" t="s">
        <v>864</v>
      </c>
      <c r="E1586" s="336" t="s">
        <v>865</v>
      </c>
    </row>
    <row r="1587" spans="1:5" x14ac:dyDescent="0.2">
      <c r="A1587" s="335">
        <v>1001276492</v>
      </c>
      <c r="B1587" s="336" t="s">
        <v>2296</v>
      </c>
      <c r="C1587" s="336" t="s">
        <v>813</v>
      </c>
      <c r="D1587" s="336" t="s">
        <v>864</v>
      </c>
      <c r="E1587" s="336" t="s">
        <v>865</v>
      </c>
    </row>
    <row r="1588" spans="1:5" x14ac:dyDescent="0.2">
      <c r="A1588" s="335">
        <v>1001276493</v>
      </c>
      <c r="B1588" s="336" t="s">
        <v>2297</v>
      </c>
      <c r="C1588" s="336" t="s">
        <v>813</v>
      </c>
      <c r="D1588" s="336" t="s">
        <v>864</v>
      </c>
      <c r="E1588" s="336" t="s">
        <v>865</v>
      </c>
    </row>
    <row r="1589" spans="1:5" x14ac:dyDescent="0.2">
      <c r="A1589" s="335">
        <v>1001276494</v>
      </c>
      <c r="B1589" s="336" t="s">
        <v>2298</v>
      </c>
      <c r="C1589" s="336" t="s">
        <v>813</v>
      </c>
      <c r="D1589" s="336" t="s">
        <v>864</v>
      </c>
      <c r="E1589" s="336" t="s">
        <v>865</v>
      </c>
    </row>
    <row r="1590" spans="1:5" x14ac:dyDescent="0.2">
      <c r="A1590" s="335">
        <v>1001276614</v>
      </c>
      <c r="B1590" s="336" t="s">
        <v>2299</v>
      </c>
      <c r="C1590" s="336" t="s">
        <v>863</v>
      </c>
      <c r="D1590" s="336" t="s">
        <v>864</v>
      </c>
      <c r="E1590" s="336" t="s">
        <v>865</v>
      </c>
    </row>
    <row r="1591" spans="1:5" x14ac:dyDescent="0.2">
      <c r="A1591" s="335">
        <v>1001276616</v>
      </c>
      <c r="B1591" s="336" t="s">
        <v>2300</v>
      </c>
      <c r="C1591" s="336" t="s">
        <v>863</v>
      </c>
      <c r="D1591" s="336" t="s">
        <v>864</v>
      </c>
      <c r="E1591" s="336" t="s">
        <v>865</v>
      </c>
    </row>
    <row r="1592" spans="1:5" x14ac:dyDescent="0.2">
      <c r="A1592" s="335">
        <v>1001276635</v>
      </c>
      <c r="B1592" s="336" t="s">
        <v>2301</v>
      </c>
      <c r="C1592" s="336" t="s">
        <v>813</v>
      </c>
      <c r="D1592" s="336" t="s">
        <v>864</v>
      </c>
      <c r="E1592" s="336" t="s">
        <v>865</v>
      </c>
    </row>
    <row r="1593" spans="1:5" x14ac:dyDescent="0.2">
      <c r="A1593" s="335">
        <v>1001277053</v>
      </c>
      <c r="B1593" s="336" t="s">
        <v>2302</v>
      </c>
      <c r="C1593" s="336" t="s">
        <v>813</v>
      </c>
      <c r="D1593" s="336" t="s">
        <v>864</v>
      </c>
      <c r="E1593" s="336" t="s">
        <v>865</v>
      </c>
    </row>
    <row r="1594" spans="1:5" x14ac:dyDescent="0.2">
      <c r="A1594" s="335">
        <v>1001277054</v>
      </c>
      <c r="B1594" s="336" t="s">
        <v>2303</v>
      </c>
      <c r="C1594" s="336" t="s">
        <v>813</v>
      </c>
      <c r="D1594" s="336" t="s">
        <v>864</v>
      </c>
      <c r="E1594" s="336" t="s">
        <v>865</v>
      </c>
    </row>
    <row r="1595" spans="1:5" x14ac:dyDescent="0.2">
      <c r="A1595" s="335">
        <v>1001277056</v>
      </c>
      <c r="B1595" s="336" t="s">
        <v>2304</v>
      </c>
      <c r="C1595" s="336" t="s">
        <v>813</v>
      </c>
      <c r="D1595" s="336" t="s">
        <v>864</v>
      </c>
      <c r="E1595" s="336" t="s">
        <v>865</v>
      </c>
    </row>
    <row r="1596" spans="1:5" x14ac:dyDescent="0.2">
      <c r="A1596" s="335">
        <v>1001277070</v>
      </c>
      <c r="B1596" s="336" t="s">
        <v>2305</v>
      </c>
      <c r="C1596" s="336" t="s">
        <v>813</v>
      </c>
      <c r="D1596" s="336" t="s">
        <v>864</v>
      </c>
      <c r="E1596" s="336" t="s">
        <v>865</v>
      </c>
    </row>
    <row r="1597" spans="1:5" x14ac:dyDescent="0.2">
      <c r="A1597" s="335">
        <v>1001277138</v>
      </c>
      <c r="B1597" s="336" t="s">
        <v>2306</v>
      </c>
      <c r="C1597" s="336" t="s">
        <v>813</v>
      </c>
      <c r="D1597" s="336" t="s">
        <v>864</v>
      </c>
      <c r="E1597" s="336" t="s">
        <v>865</v>
      </c>
    </row>
    <row r="1598" spans="1:5" x14ac:dyDescent="0.2">
      <c r="A1598" s="335">
        <v>1001277204</v>
      </c>
      <c r="B1598" s="336" t="s">
        <v>1818</v>
      </c>
      <c r="C1598" s="336" t="s">
        <v>863</v>
      </c>
      <c r="D1598" s="336" t="s">
        <v>864</v>
      </c>
      <c r="E1598" s="336" t="s">
        <v>865</v>
      </c>
    </row>
    <row r="1599" spans="1:5" x14ac:dyDescent="0.2">
      <c r="A1599" s="335">
        <v>1001277221</v>
      </c>
      <c r="B1599" s="336" t="s">
        <v>2307</v>
      </c>
      <c r="C1599" s="336" t="s">
        <v>813</v>
      </c>
      <c r="D1599" s="336" t="s">
        <v>864</v>
      </c>
      <c r="E1599" s="336" t="s">
        <v>865</v>
      </c>
    </row>
    <row r="1600" spans="1:5" x14ac:dyDescent="0.2">
      <c r="A1600" s="335">
        <v>1001277256</v>
      </c>
      <c r="B1600" s="336" t="s">
        <v>2308</v>
      </c>
      <c r="C1600" s="336" t="s">
        <v>813</v>
      </c>
      <c r="D1600" s="336" t="s">
        <v>864</v>
      </c>
      <c r="E1600" s="336" t="s">
        <v>865</v>
      </c>
    </row>
    <row r="1601" spans="1:5" x14ac:dyDescent="0.2">
      <c r="A1601" s="335">
        <v>1001277310</v>
      </c>
      <c r="B1601" s="336" t="s">
        <v>2309</v>
      </c>
      <c r="C1601" s="336" t="s">
        <v>813</v>
      </c>
      <c r="D1601" s="336" t="s">
        <v>864</v>
      </c>
      <c r="E1601" s="336" t="s">
        <v>865</v>
      </c>
    </row>
    <row r="1602" spans="1:5" x14ac:dyDescent="0.2">
      <c r="A1602" s="335">
        <v>1001277359</v>
      </c>
      <c r="B1602" s="336" t="s">
        <v>2310</v>
      </c>
      <c r="C1602" s="336" t="s">
        <v>813</v>
      </c>
      <c r="D1602" s="336" t="s">
        <v>864</v>
      </c>
      <c r="E1602" s="336" t="s">
        <v>865</v>
      </c>
    </row>
    <row r="1603" spans="1:5" x14ac:dyDescent="0.2">
      <c r="A1603" s="335">
        <v>1001277432</v>
      </c>
      <c r="B1603" s="336" t="s">
        <v>2311</v>
      </c>
      <c r="C1603" s="336" t="s">
        <v>813</v>
      </c>
      <c r="D1603" s="336" t="s">
        <v>864</v>
      </c>
      <c r="E1603" s="336" t="s">
        <v>865</v>
      </c>
    </row>
    <row r="1604" spans="1:5" x14ac:dyDescent="0.2">
      <c r="A1604" s="335">
        <v>1001277533</v>
      </c>
      <c r="B1604" s="336" t="s">
        <v>2312</v>
      </c>
      <c r="C1604" s="336" t="s">
        <v>863</v>
      </c>
      <c r="D1604" s="336" t="s">
        <v>864</v>
      </c>
      <c r="E1604" s="336" t="s">
        <v>865</v>
      </c>
    </row>
    <row r="1605" spans="1:5" x14ac:dyDescent="0.2">
      <c r="A1605" s="335">
        <v>1001277769</v>
      </c>
      <c r="B1605" s="336" t="s">
        <v>2313</v>
      </c>
      <c r="C1605" s="336" t="s">
        <v>797</v>
      </c>
      <c r="D1605" s="336" t="s">
        <v>864</v>
      </c>
      <c r="E1605" s="336" t="s">
        <v>865</v>
      </c>
    </row>
    <row r="1606" spans="1:5" x14ac:dyDescent="0.2">
      <c r="A1606" s="335">
        <v>1001277890</v>
      </c>
      <c r="B1606" s="336" t="s">
        <v>2314</v>
      </c>
      <c r="C1606" s="336" t="s">
        <v>797</v>
      </c>
      <c r="D1606" s="336" t="s">
        <v>864</v>
      </c>
      <c r="E1606" s="336" t="s">
        <v>865</v>
      </c>
    </row>
    <row r="1607" spans="1:5" x14ac:dyDescent="0.2">
      <c r="A1607" s="335">
        <v>1001278014</v>
      </c>
      <c r="B1607" s="336" t="s">
        <v>2315</v>
      </c>
      <c r="C1607" s="336" t="s">
        <v>797</v>
      </c>
      <c r="D1607" s="336" t="s">
        <v>864</v>
      </c>
      <c r="E1607" s="336" t="s">
        <v>865</v>
      </c>
    </row>
    <row r="1608" spans="1:5" x14ac:dyDescent="0.2">
      <c r="A1608" s="335">
        <v>1001278017</v>
      </c>
      <c r="B1608" s="336" t="s">
        <v>2316</v>
      </c>
      <c r="C1608" s="336" t="s">
        <v>797</v>
      </c>
      <c r="D1608" s="336" t="s">
        <v>864</v>
      </c>
      <c r="E1608" s="336" t="s">
        <v>865</v>
      </c>
    </row>
    <row r="1609" spans="1:5" x14ac:dyDescent="0.2">
      <c r="A1609" s="335">
        <v>1001278018</v>
      </c>
      <c r="B1609" s="336" t="s">
        <v>2317</v>
      </c>
      <c r="C1609" s="336" t="s">
        <v>813</v>
      </c>
      <c r="D1609" s="336" t="s">
        <v>864</v>
      </c>
      <c r="E1609" s="336" t="s">
        <v>865</v>
      </c>
    </row>
    <row r="1610" spans="1:5" x14ac:dyDescent="0.2">
      <c r="A1610" s="335">
        <v>1001278107</v>
      </c>
      <c r="B1610" s="336" t="s">
        <v>2318</v>
      </c>
      <c r="C1610" s="336" t="s">
        <v>813</v>
      </c>
      <c r="D1610" s="336" t="s">
        <v>864</v>
      </c>
      <c r="E1610" s="336" t="s">
        <v>865</v>
      </c>
    </row>
    <row r="1611" spans="1:5" x14ac:dyDescent="0.2">
      <c r="A1611" s="335">
        <v>1001278120</v>
      </c>
      <c r="B1611" s="336" t="s">
        <v>2319</v>
      </c>
      <c r="C1611" s="336" t="s">
        <v>813</v>
      </c>
      <c r="D1611" s="336" t="s">
        <v>864</v>
      </c>
      <c r="E1611" s="336" t="s">
        <v>865</v>
      </c>
    </row>
    <row r="1612" spans="1:5" x14ac:dyDescent="0.2">
      <c r="A1612" s="335">
        <v>1001278396</v>
      </c>
      <c r="B1612" s="336" t="s">
        <v>2320</v>
      </c>
      <c r="C1612" s="336" t="s">
        <v>813</v>
      </c>
      <c r="D1612" s="336" t="s">
        <v>864</v>
      </c>
      <c r="E1612" s="336" t="s">
        <v>865</v>
      </c>
    </row>
    <row r="1613" spans="1:5" x14ac:dyDescent="0.2">
      <c r="A1613" s="335">
        <v>1001278397</v>
      </c>
      <c r="B1613" s="336" t="s">
        <v>2321</v>
      </c>
      <c r="C1613" s="336" t="s">
        <v>813</v>
      </c>
      <c r="D1613" s="336" t="s">
        <v>864</v>
      </c>
      <c r="E1613" s="336" t="s">
        <v>865</v>
      </c>
    </row>
    <row r="1614" spans="1:5" x14ac:dyDescent="0.2">
      <c r="A1614" s="335">
        <v>1001278398</v>
      </c>
      <c r="B1614" s="336" t="s">
        <v>2322</v>
      </c>
      <c r="C1614" s="336" t="s">
        <v>813</v>
      </c>
      <c r="D1614" s="336" t="s">
        <v>864</v>
      </c>
      <c r="E1614" s="336" t="s">
        <v>865</v>
      </c>
    </row>
    <row r="1615" spans="1:5" x14ac:dyDescent="0.2">
      <c r="A1615" s="335">
        <v>1001278683</v>
      </c>
      <c r="B1615" s="336" t="s">
        <v>2323</v>
      </c>
      <c r="C1615" s="336" t="s">
        <v>863</v>
      </c>
      <c r="D1615" s="336" t="s">
        <v>864</v>
      </c>
      <c r="E1615" s="336" t="s">
        <v>865</v>
      </c>
    </row>
    <row r="1616" spans="1:5" x14ac:dyDescent="0.2">
      <c r="A1616" s="335">
        <v>1001278801</v>
      </c>
      <c r="B1616" s="336" t="s">
        <v>1282</v>
      </c>
      <c r="C1616" s="336" t="s">
        <v>863</v>
      </c>
      <c r="D1616" s="336" t="s">
        <v>864</v>
      </c>
      <c r="E1616" s="336" t="s">
        <v>865</v>
      </c>
    </row>
    <row r="1617" spans="1:5" x14ac:dyDescent="0.2">
      <c r="A1617" s="335">
        <v>1001279130</v>
      </c>
      <c r="B1617" s="336" t="s">
        <v>2324</v>
      </c>
      <c r="C1617" s="336" t="s">
        <v>797</v>
      </c>
      <c r="D1617" s="336" t="s">
        <v>864</v>
      </c>
      <c r="E1617" s="336" t="s">
        <v>865</v>
      </c>
    </row>
    <row r="1618" spans="1:5" x14ac:dyDescent="0.2">
      <c r="A1618" s="335">
        <v>1001279131</v>
      </c>
      <c r="B1618" s="336" t="s">
        <v>2325</v>
      </c>
      <c r="C1618" s="336" t="s">
        <v>813</v>
      </c>
      <c r="D1618" s="336" t="s">
        <v>864</v>
      </c>
      <c r="E1618" s="336" t="s">
        <v>865</v>
      </c>
    </row>
    <row r="1619" spans="1:5" x14ac:dyDescent="0.2">
      <c r="A1619" s="335">
        <v>1001279991</v>
      </c>
      <c r="B1619" s="336" t="s">
        <v>987</v>
      </c>
      <c r="C1619" s="336" t="s">
        <v>813</v>
      </c>
      <c r="D1619" s="336" t="s">
        <v>864</v>
      </c>
      <c r="E1619" s="336" t="s">
        <v>865</v>
      </c>
    </row>
    <row r="1620" spans="1:5" x14ac:dyDescent="0.2">
      <c r="A1620" s="335">
        <v>1001280002</v>
      </c>
      <c r="B1620" s="336" t="s">
        <v>2326</v>
      </c>
      <c r="C1620" s="336" t="s">
        <v>813</v>
      </c>
      <c r="D1620" s="336" t="s">
        <v>864</v>
      </c>
      <c r="E1620" s="336" t="s">
        <v>865</v>
      </c>
    </row>
    <row r="1621" spans="1:5" x14ac:dyDescent="0.2">
      <c r="A1621" s="335">
        <v>1001280134</v>
      </c>
      <c r="B1621" s="336" t="s">
        <v>2327</v>
      </c>
      <c r="C1621" s="336" t="s">
        <v>1097</v>
      </c>
      <c r="D1621" s="336" t="s">
        <v>864</v>
      </c>
      <c r="E1621" s="336" t="s">
        <v>865</v>
      </c>
    </row>
    <row r="1622" spans="1:5" x14ac:dyDescent="0.2">
      <c r="A1622" s="335">
        <v>1001280265</v>
      </c>
      <c r="B1622" s="336" t="s">
        <v>2328</v>
      </c>
      <c r="C1622" s="336" t="s">
        <v>813</v>
      </c>
      <c r="D1622" s="336" t="s">
        <v>864</v>
      </c>
      <c r="E1622" s="336" t="s">
        <v>865</v>
      </c>
    </row>
    <row r="1623" spans="1:5" x14ac:dyDescent="0.2">
      <c r="A1623" s="335">
        <v>1001280401</v>
      </c>
      <c r="B1623" s="336" t="s">
        <v>2329</v>
      </c>
      <c r="C1623" s="336" t="s">
        <v>813</v>
      </c>
      <c r="D1623" s="336" t="s">
        <v>864</v>
      </c>
      <c r="E1623" s="336" t="s">
        <v>865</v>
      </c>
    </row>
    <row r="1624" spans="1:5" x14ac:dyDescent="0.2">
      <c r="A1624" s="335">
        <v>1001280502</v>
      </c>
      <c r="B1624" s="336" t="s">
        <v>2330</v>
      </c>
      <c r="C1624" s="336" t="s">
        <v>863</v>
      </c>
      <c r="D1624" s="336" t="s">
        <v>864</v>
      </c>
      <c r="E1624" s="336" t="s">
        <v>865</v>
      </c>
    </row>
    <row r="1625" spans="1:5" x14ac:dyDescent="0.2">
      <c r="A1625" s="335">
        <v>1001280503</v>
      </c>
      <c r="B1625" s="336" t="s">
        <v>2331</v>
      </c>
      <c r="C1625" s="336" t="s">
        <v>863</v>
      </c>
      <c r="D1625" s="336" t="s">
        <v>864</v>
      </c>
      <c r="E1625" s="336" t="s">
        <v>865</v>
      </c>
    </row>
    <row r="1626" spans="1:5" x14ac:dyDescent="0.2">
      <c r="A1626" s="335">
        <v>1001280546</v>
      </c>
      <c r="B1626" s="336" t="s">
        <v>965</v>
      </c>
      <c r="C1626" s="336" t="s">
        <v>797</v>
      </c>
      <c r="D1626" s="336" t="s">
        <v>864</v>
      </c>
      <c r="E1626" s="336" t="s">
        <v>865</v>
      </c>
    </row>
    <row r="1627" spans="1:5" x14ac:dyDescent="0.2">
      <c r="A1627" s="335">
        <v>1001280576</v>
      </c>
      <c r="B1627" s="336" t="s">
        <v>2332</v>
      </c>
      <c r="C1627" s="336" t="s">
        <v>1097</v>
      </c>
      <c r="D1627" s="336" t="s">
        <v>864</v>
      </c>
      <c r="E1627" s="336" t="s">
        <v>865</v>
      </c>
    </row>
    <row r="1628" spans="1:5" x14ac:dyDescent="0.2">
      <c r="A1628" s="335">
        <v>1001280577</v>
      </c>
      <c r="B1628" s="336" t="s">
        <v>924</v>
      </c>
      <c r="C1628" s="336" t="s">
        <v>813</v>
      </c>
      <c r="D1628" s="336" t="s">
        <v>864</v>
      </c>
      <c r="E1628" s="336" t="s">
        <v>865</v>
      </c>
    </row>
    <row r="1629" spans="1:5" x14ac:dyDescent="0.2">
      <c r="A1629" s="335">
        <v>1001280606</v>
      </c>
      <c r="B1629" s="336" t="s">
        <v>2333</v>
      </c>
      <c r="C1629" s="336" t="s">
        <v>813</v>
      </c>
      <c r="D1629" s="336" t="s">
        <v>864</v>
      </c>
      <c r="E1629" s="336" t="s">
        <v>865</v>
      </c>
    </row>
    <row r="1630" spans="1:5" x14ac:dyDescent="0.2">
      <c r="A1630" s="335">
        <v>1001280631</v>
      </c>
      <c r="B1630" s="336" t="s">
        <v>2334</v>
      </c>
      <c r="C1630" s="336" t="s">
        <v>813</v>
      </c>
      <c r="D1630" s="336" t="s">
        <v>864</v>
      </c>
      <c r="E1630" s="336" t="s">
        <v>865</v>
      </c>
    </row>
    <row r="1631" spans="1:5" x14ac:dyDescent="0.2">
      <c r="A1631" s="335">
        <v>1001280660</v>
      </c>
      <c r="B1631" s="336" t="s">
        <v>2335</v>
      </c>
      <c r="C1631" s="336" t="s">
        <v>813</v>
      </c>
      <c r="D1631" s="336" t="s">
        <v>864</v>
      </c>
      <c r="E1631" s="336" t="s">
        <v>865</v>
      </c>
    </row>
    <row r="1632" spans="1:5" x14ac:dyDescent="0.2">
      <c r="A1632" s="335">
        <v>1001280661</v>
      </c>
      <c r="B1632" s="336" t="s">
        <v>2336</v>
      </c>
      <c r="C1632" s="336" t="s">
        <v>813</v>
      </c>
      <c r="D1632" s="336" t="s">
        <v>864</v>
      </c>
      <c r="E1632" s="336" t="s">
        <v>865</v>
      </c>
    </row>
    <row r="1633" spans="1:5" x14ac:dyDescent="0.2">
      <c r="A1633" s="335">
        <v>1001280662</v>
      </c>
      <c r="B1633" s="336" t="s">
        <v>2337</v>
      </c>
      <c r="C1633" s="336" t="s">
        <v>863</v>
      </c>
      <c r="D1633" s="336" t="s">
        <v>864</v>
      </c>
      <c r="E1633" s="336" t="s">
        <v>865</v>
      </c>
    </row>
    <row r="1634" spans="1:5" x14ac:dyDescent="0.2">
      <c r="A1634" s="335">
        <v>1001280667</v>
      </c>
      <c r="B1634" s="336" t="s">
        <v>2338</v>
      </c>
      <c r="C1634" s="336" t="s">
        <v>813</v>
      </c>
      <c r="D1634" s="336" t="s">
        <v>864</v>
      </c>
      <c r="E1634" s="336" t="s">
        <v>865</v>
      </c>
    </row>
    <row r="1635" spans="1:5" x14ac:dyDescent="0.2">
      <c r="A1635" s="335">
        <v>1001280680</v>
      </c>
      <c r="B1635" s="336" t="s">
        <v>393</v>
      </c>
      <c r="C1635" s="336" t="s">
        <v>813</v>
      </c>
      <c r="D1635" s="336" t="s">
        <v>864</v>
      </c>
      <c r="E1635" s="336" t="s">
        <v>865</v>
      </c>
    </row>
    <row r="1636" spans="1:5" x14ac:dyDescent="0.2">
      <c r="A1636" s="335">
        <v>1001280684</v>
      </c>
      <c r="B1636" s="336" t="s">
        <v>2339</v>
      </c>
      <c r="C1636" s="336" t="s">
        <v>813</v>
      </c>
      <c r="D1636" s="336" t="s">
        <v>864</v>
      </c>
      <c r="E1636" s="336" t="s">
        <v>865</v>
      </c>
    </row>
    <row r="1637" spans="1:5" x14ac:dyDescent="0.2">
      <c r="A1637" s="335">
        <v>1001280689</v>
      </c>
      <c r="B1637" s="336" t="s">
        <v>2340</v>
      </c>
      <c r="C1637" s="336" t="s">
        <v>813</v>
      </c>
      <c r="D1637" s="336" t="s">
        <v>864</v>
      </c>
      <c r="E1637" s="336" t="s">
        <v>865</v>
      </c>
    </row>
    <row r="1638" spans="1:5" x14ac:dyDescent="0.2">
      <c r="A1638" s="335">
        <v>1001280719</v>
      </c>
      <c r="B1638" s="336" t="s">
        <v>2341</v>
      </c>
      <c r="C1638" s="336" t="s">
        <v>813</v>
      </c>
      <c r="D1638" s="336" t="s">
        <v>864</v>
      </c>
      <c r="E1638" s="336" t="s">
        <v>865</v>
      </c>
    </row>
    <row r="1639" spans="1:5" x14ac:dyDescent="0.2">
      <c r="A1639" s="335">
        <v>1001280745</v>
      </c>
      <c r="B1639" s="336" t="s">
        <v>2342</v>
      </c>
      <c r="C1639" s="336" t="s">
        <v>813</v>
      </c>
      <c r="D1639" s="336" t="s">
        <v>864</v>
      </c>
      <c r="E1639" s="336" t="s">
        <v>865</v>
      </c>
    </row>
    <row r="1640" spans="1:5" x14ac:dyDescent="0.2">
      <c r="A1640" s="335">
        <v>1001280746</v>
      </c>
      <c r="B1640" s="336" t="s">
        <v>2343</v>
      </c>
      <c r="C1640" s="336" t="s">
        <v>813</v>
      </c>
      <c r="D1640" s="336" t="s">
        <v>864</v>
      </c>
      <c r="E1640" s="336" t="s">
        <v>865</v>
      </c>
    </row>
    <row r="1641" spans="1:5" x14ac:dyDescent="0.2">
      <c r="A1641" s="335">
        <v>1001288873</v>
      </c>
      <c r="B1641" s="336" t="s">
        <v>2344</v>
      </c>
      <c r="C1641" s="336" t="s">
        <v>797</v>
      </c>
      <c r="D1641" s="336" t="s">
        <v>864</v>
      </c>
      <c r="E1641" s="336" t="s">
        <v>865</v>
      </c>
    </row>
    <row r="1642" spans="1:5" x14ac:dyDescent="0.2">
      <c r="A1642" s="335">
        <v>1001288941</v>
      </c>
      <c r="B1642" s="336" t="s">
        <v>2345</v>
      </c>
      <c r="C1642" s="336" t="s">
        <v>813</v>
      </c>
      <c r="D1642" s="336" t="s">
        <v>864</v>
      </c>
      <c r="E1642" s="336" t="s">
        <v>865</v>
      </c>
    </row>
    <row r="1643" spans="1:5" x14ac:dyDescent="0.2">
      <c r="A1643" s="335">
        <v>1001288962</v>
      </c>
      <c r="B1643" s="336" t="s">
        <v>374</v>
      </c>
      <c r="C1643" s="336" t="s">
        <v>813</v>
      </c>
      <c r="D1643" s="336" t="s">
        <v>864</v>
      </c>
      <c r="E1643" s="336" t="s">
        <v>865</v>
      </c>
    </row>
    <row r="1644" spans="1:5" x14ac:dyDescent="0.2">
      <c r="A1644" s="335">
        <v>1001288967</v>
      </c>
      <c r="B1644" s="336" t="s">
        <v>2346</v>
      </c>
      <c r="C1644" s="336" t="s">
        <v>813</v>
      </c>
      <c r="D1644" s="336" t="s">
        <v>864</v>
      </c>
      <c r="E1644" s="336" t="s">
        <v>865</v>
      </c>
    </row>
    <row r="1645" spans="1:5" x14ac:dyDescent="0.2">
      <c r="A1645" s="335">
        <v>1001288968</v>
      </c>
      <c r="B1645" s="336" t="s">
        <v>2347</v>
      </c>
      <c r="C1645" s="336" t="s">
        <v>813</v>
      </c>
      <c r="D1645" s="336" t="s">
        <v>864</v>
      </c>
      <c r="E1645" s="336" t="s">
        <v>865</v>
      </c>
    </row>
    <row r="1646" spans="1:5" x14ac:dyDescent="0.2">
      <c r="A1646" s="335">
        <v>1001288969</v>
      </c>
      <c r="B1646" s="336" t="s">
        <v>2249</v>
      </c>
      <c r="C1646" s="336" t="s">
        <v>813</v>
      </c>
      <c r="D1646" s="336" t="s">
        <v>864</v>
      </c>
      <c r="E1646" s="336" t="s">
        <v>865</v>
      </c>
    </row>
    <row r="1647" spans="1:5" x14ac:dyDescent="0.2">
      <c r="A1647" s="335">
        <v>1001288977</v>
      </c>
      <c r="B1647" s="336" t="s">
        <v>2348</v>
      </c>
      <c r="C1647" s="336" t="s">
        <v>813</v>
      </c>
      <c r="D1647" s="336" t="s">
        <v>864</v>
      </c>
      <c r="E1647" s="336" t="s">
        <v>865</v>
      </c>
    </row>
    <row r="1648" spans="1:5" x14ac:dyDescent="0.2">
      <c r="A1648" s="335">
        <v>1001288984</v>
      </c>
      <c r="B1648" s="336" t="s">
        <v>2349</v>
      </c>
      <c r="C1648" s="336" t="s">
        <v>813</v>
      </c>
      <c r="D1648" s="336" t="s">
        <v>864</v>
      </c>
      <c r="E1648" s="336" t="s">
        <v>865</v>
      </c>
    </row>
    <row r="1649" spans="1:5" x14ac:dyDescent="0.2">
      <c r="A1649" s="335">
        <v>1001288989</v>
      </c>
      <c r="B1649" s="336" t="s">
        <v>2350</v>
      </c>
      <c r="C1649" s="336" t="s">
        <v>813</v>
      </c>
      <c r="D1649" s="336" t="s">
        <v>864</v>
      </c>
      <c r="E1649" s="336" t="s">
        <v>865</v>
      </c>
    </row>
    <row r="1650" spans="1:5" x14ac:dyDescent="0.2">
      <c r="A1650" s="335">
        <v>1001289005</v>
      </c>
      <c r="B1650" s="336" t="s">
        <v>2351</v>
      </c>
      <c r="C1650" s="336" t="s">
        <v>813</v>
      </c>
      <c r="D1650" s="336" t="s">
        <v>864</v>
      </c>
      <c r="E1650" s="336" t="s">
        <v>865</v>
      </c>
    </row>
    <row r="1651" spans="1:5" x14ac:dyDescent="0.2">
      <c r="A1651" s="335">
        <v>1001289020</v>
      </c>
      <c r="B1651" s="336" t="s">
        <v>2352</v>
      </c>
      <c r="C1651" s="336" t="s">
        <v>813</v>
      </c>
      <c r="D1651" s="336" t="s">
        <v>864</v>
      </c>
      <c r="E1651" s="336" t="s">
        <v>865</v>
      </c>
    </row>
    <row r="1652" spans="1:5" x14ac:dyDescent="0.2">
      <c r="A1652" s="335">
        <v>1001289070</v>
      </c>
      <c r="B1652" s="336" t="s">
        <v>2353</v>
      </c>
      <c r="C1652" s="336" t="s">
        <v>813</v>
      </c>
      <c r="D1652" s="336" t="s">
        <v>864</v>
      </c>
      <c r="E1652" s="336" t="s">
        <v>865</v>
      </c>
    </row>
    <row r="1653" spans="1:5" x14ac:dyDescent="0.2">
      <c r="A1653" s="335">
        <v>1001289079</v>
      </c>
      <c r="B1653" s="336" t="s">
        <v>2354</v>
      </c>
      <c r="C1653" s="336" t="s">
        <v>797</v>
      </c>
      <c r="D1653" s="336" t="s">
        <v>864</v>
      </c>
      <c r="E1653" s="336" t="s">
        <v>865</v>
      </c>
    </row>
    <row r="1654" spans="1:5" x14ac:dyDescent="0.2">
      <c r="A1654" s="335">
        <v>1001289081</v>
      </c>
      <c r="B1654" s="336" t="s">
        <v>2199</v>
      </c>
      <c r="C1654" s="336" t="s">
        <v>813</v>
      </c>
      <c r="D1654" s="336" t="s">
        <v>864</v>
      </c>
      <c r="E1654" s="336" t="s">
        <v>865</v>
      </c>
    </row>
    <row r="1655" spans="1:5" x14ac:dyDescent="0.2">
      <c r="A1655" s="335">
        <v>1001290209</v>
      </c>
      <c r="B1655" s="336" t="s">
        <v>2355</v>
      </c>
      <c r="C1655" s="336" t="s">
        <v>797</v>
      </c>
      <c r="D1655" s="336" t="s">
        <v>864</v>
      </c>
      <c r="E1655" s="336" t="s">
        <v>865</v>
      </c>
    </row>
    <row r="1656" spans="1:5" x14ac:dyDescent="0.2">
      <c r="A1656" s="335">
        <v>1001290212</v>
      </c>
      <c r="B1656" s="336" t="s">
        <v>2356</v>
      </c>
      <c r="C1656" s="336" t="s">
        <v>813</v>
      </c>
      <c r="D1656" s="336" t="s">
        <v>864</v>
      </c>
      <c r="E1656" s="336" t="s">
        <v>865</v>
      </c>
    </row>
    <row r="1657" spans="1:5" x14ac:dyDescent="0.2">
      <c r="A1657" s="335">
        <v>1001290214</v>
      </c>
      <c r="B1657" s="336" t="s">
        <v>2357</v>
      </c>
      <c r="C1657" s="336" t="s">
        <v>813</v>
      </c>
      <c r="D1657" s="336" t="s">
        <v>864</v>
      </c>
      <c r="E1657" s="336" t="s">
        <v>865</v>
      </c>
    </row>
    <row r="1658" spans="1:5" x14ac:dyDescent="0.2">
      <c r="A1658" s="335">
        <v>1001290215</v>
      </c>
      <c r="B1658" s="336" t="s">
        <v>2358</v>
      </c>
      <c r="C1658" s="336" t="s">
        <v>813</v>
      </c>
      <c r="D1658" s="336" t="s">
        <v>864</v>
      </c>
      <c r="E1658" s="336" t="s">
        <v>865</v>
      </c>
    </row>
    <row r="1659" spans="1:5" x14ac:dyDescent="0.2">
      <c r="A1659" s="335">
        <v>1001290254</v>
      </c>
      <c r="B1659" s="336" t="s">
        <v>2359</v>
      </c>
      <c r="C1659" s="336" t="s">
        <v>797</v>
      </c>
      <c r="D1659" s="336" t="s">
        <v>864</v>
      </c>
      <c r="E1659" s="336" t="s">
        <v>865</v>
      </c>
    </row>
    <row r="1660" spans="1:5" x14ac:dyDescent="0.2">
      <c r="A1660" s="335">
        <v>1001290256</v>
      </c>
      <c r="B1660" s="336" t="s">
        <v>2360</v>
      </c>
      <c r="C1660" s="336" t="s">
        <v>797</v>
      </c>
      <c r="D1660" s="336" t="s">
        <v>864</v>
      </c>
      <c r="E1660" s="336" t="s">
        <v>865</v>
      </c>
    </row>
    <row r="1661" spans="1:5" x14ac:dyDescent="0.2">
      <c r="A1661" s="335">
        <v>1001290296</v>
      </c>
      <c r="B1661" s="336" t="s">
        <v>2361</v>
      </c>
      <c r="C1661" s="336" t="s">
        <v>813</v>
      </c>
      <c r="D1661" s="336" t="s">
        <v>864</v>
      </c>
      <c r="E1661" s="336" t="s">
        <v>865</v>
      </c>
    </row>
    <row r="1662" spans="1:5" x14ac:dyDescent="0.2">
      <c r="A1662" s="335">
        <v>1001290297</v>
      </c>
      <c r="B1662" s="336" t="s">
        <v>2362</v>
      </c>
      <c r="C1662" s="336" t="s">
        <v>813</v>
      </c>
      <c r="D1662" s="336" t="s">
        <v>864</v>
      </c>
      <c r="E1662" s="336" t="s">
        <v>865</v>
      </c>
    </row>
    <row r="1663" spans="1:5" x14ac:dyDescent="0.2">
      <c r="A1663" s="335">
        <v>1001290320</v>
      </c>
      <c r="B1663" s="336" t="s">
        <v>2363</v>
      </c>
      <c r="C1663" s="336" t="s">
        <v>813</v>
      </c>
      <c r="D1663" s="336" t="s">
        <v>864</v>
      </c>
      <c r="E1663" s="336" t="s">
        <v>865</v>
      </c>
    </row>
    <row r="1664" spans="1:5" x14ac:dyDescent="0.2">
      <c r="A1664" s="335">
        <v>1001290326</v>
      </c>
      <c r="B1664" s="336" t="s">
        <v>2364</v>
      </c>
      <c r="C1664" s="336" t="s">
        <v>813</v>
      </c>
      <c r="D1664" s="336" t="s">
        <v>864</v>
      </c>
      <c r="E1664" s="336" t="s">
        <v>865</v>
      </c>
    </row>
    <row r="1665" spans="1:5" x14ac:dyDescent="0.2">
      <c r="A1665" s="335">
        <v>1001290416</v>
      </c>
      <c r="B1665" s="336" t="s">
        <v>2365</v>
      </c>
      <c r="C1665" s="336" t="s">
        <v>813</v>
      </c>
      <c r="D1665" s="336" t="s">
        <v>864</v>
      </c>
      <c r="E1665" s="336" t="s">
        <v>865</v>
      </c>
    </row>
    <row r="1666" spans="1:5" x14ac:dyDescent="0.2">
      <c r="A1666" s="335">
        <v>1001290419</v>
      </c>
      <c r="B1666" s="336" t="s">
        <v>2366</v>
      </c>
      <c r="C1666" s="336" t="s">
        <v>863</v>
      </c>
      <c r="D1666" s="336" t="s">
        <v>864</v>
      </c>
      <c r="E1666" s="336" t="s">
        <v>865</v>
      </c>
    </row>
    <row r="1667" spans="1:5" x14ac:dyDescent="0.2">
      <c r="A1667" s="335">
        <v>1001290449</v>
      </c>
      <c r="B1667" s="336" t="s">
        <v>2367</v>
      </c>
      <c r="C1667" s="336" t="s">
        <v>813</v>
      </c>
      <c r="D1667" s="336" t="s">
        <v>864</v>
      </c>
      <c r="E1667" s="336" t="s">
        <v>865</v>
      </c>
    </row>
    <row r="1668" spans="1:5" x14ac:dyDescent="0.2">
      <c r="A1668" s="335">
        <v>1001290452</v>
      </c>
      <c r="B1668" s="336" t="s">
        <v>2368</v>
      </c>
      <c r="C1668" s="336" t="s">
        <v>813</v>
      </c>
      <c r="D1668" s="336" t="s">
        <v>864</v>
      </c>
      <c r="E1668" s="336" t="s">
        <v>865</v>
      </c>
    </row>
    <row r="1669" spans="1:5" x14ac:dyDescent="0.2">
      <c r="A1669" s="335">
        <v>1001290453</v>
      </c>
      <c r="B1669" s="336" t="s">
        <v>2369</v>
      </c>
      <c r="C1669" s="336" t="s">
        <v>813</v>
      </c>
      <c r="D1669" s="336" t="s">
        <v>864</v>
      </c>
      <c r="E1669" s="336" t="s">
        <v>865</v>
      </c>
    </row>
    <row r="1670" spans="1:5" x14ac:dyDescent="0.2">
      <c r="A1670" s="335">
        <v>1001290504</v>
      </c>
      <c r="B1670" s="336" t="s">
        <v>861</v>
      </c>
      <c r="C1670" s="336" t="s">
        <v>863</v>
      </c>
      <c r="D1670" s="336" t="s">
        <v>864</v>
      </c>
      <c r="E1670" s="336" t="s">
        <v>865</v>
      </c>
    </row>
    <row r="1671" spans="1:5" x14ac:dyDescent="0.2">
      <c r="A1671" s="335">
        <v>1001290506</v>
      </c>
      <c r="B1671" s="336" t="s">
        <v>2370</v>
      </c>
      <c r="C1671" s="336" t="s">
        <v>813</v>
      </c>
      <c r="D1671" s="336" t="s">
        <v>864</v>
      </c>
      <c r="E1671" s="336" t="s">
        <v>865</v>
      </c>
    </row>
    <row r="1672" spans="1:5" x14ac:dyDescent="0.2">
      <c r="A1672" s="335">
        <v>1001290509</v>
      </c>
      <c r="B1672" s="336" t="s">
        <v>2371</v>
      </c>
      <c r="C1672" s="336" t="s">
        <v>813</v>
      </c>
      <c r="D1672" s="336" t="s">
        <v>864</v>
      </c>
      <c r="E1672" s="336" t="s">
        <v>865</v>
      </c>
    </row>
    <row r="1673" spans="1:5" x14ac:dyDescent="0.2">
      <c r="A1673" s="335">
        <v>1001290510</v>
      </c>
      <c r="B1673" s="336" t="s">
        <v>2372</v>
      </c>
      <c r="C1673" s="336" t="s">
        <v>813</v>
      </c>
      <c r="D1673" s="336" t="s">
        <v>864</v>
      </c>
      <c r="E1673" s="336" t="s">
        <v>865</v>
      </c>
    </row>
    <row r="1674" spans="1:5" x14ac:dyDescent="0.2">
      <c r="A1674" s="335">
        <v>1001290513</v>
      </c>
      <c r="B1674" s="336" t="s">
        <v>2373</v>
      </c>
      <c r="C1674" s="336" t="s">
        <v>813</v>
      </c>
      <c r="D1674" s="336" t="s">
        <v>864</v>
      </c>
      <c r="E1674" s="336" t="s">
        <v>865</v>
      </c>
    </row>
    <row r="1675" spans="1:5" x14ac:dyDescent="0.2">
      <c r="A1675" s="335">
        <v>1001290514</v>
      </c>
      <c r="B1675" s="336" t="s">
        <v>2374</v>
      </c>
      <c r="C1675" s="336" t="s">
        <v>863</v>
      </c>
      <c r="D1675" s="336" t="s">
        <v>864</v>
      </c>
      <c r="E1675" s="336" t="s">
        <v>865</v>
      </c>
    </row>
    <row r="1676" spans="1:5" x14ac:dyDescent="0.2">
      <c r="A1676" s="335">
        <v>1001290518</v>
      </c>
      <c r="B1676" s="336" t="s">
        <v>2375</v>
      </c>
      <c r="C1676" s="336" t="s">
        <v>813</v>
      </c>
      <c r="D1676" s="336" t="s">
        <v>864</v>
      </c>
      <c r="E1676" s="336" t="s">
        <v>865</v>
      </c>
    </row>
    <row r="1677" spans="1:5" x14ac:dyDescent="0.2">
      <c r="A1677" s="335">
        <v>1001290524</v>
      </c>
      <c r="B1677" s="336" t="s">
        <v>2376</v>
      </c>
      <c r="C1677" s="336" t="s">
        <v>813</v>
      </c>
      <c r="D1677" s="336" t="s">
        <v>864</v>
      </c>
      <c r="E1677" s="336" t="s">
        <v>865</v>
      </c>
    </row>
    <row r="1678" spans="1:5" x14ac:dyDescent="0.2">
      <c r="A1678" s="335">
        <v>1001290526</v>
      </c>
      <c r="B1678" s="336" t="s">
        <v>2377</v>
      </c>
      <c r="C1678" s="336" t="s">
        <v>813</v>
      </c>
      <c r="D1678" s="336" t="s">
        <v>864</v>
      </c>
      <c r="E1678" s="336" t="s">
        <v>865</v>
      </c>
    </row>
    <row r="1679" spans="1:5" x14ac:dyDescent="0.2">
      <c r="A1679" s="335">
        <v>1001290569</v>
      </c>
      <c r="B1679" s="336" t="s">
        <v>2378</v>
      </c>
      <c r="C1679" s="336" t="s">
        <v>813</v>
      </c>
      <c r="D1679" s="336" t="s">
        <v>864</v>
      </c>
      <c r="E1679" s="336" t="s">
        <v>865</v>
      </c>
    </row>
    <row r="1680" spans="1:5" x14ac:dyDescent="0.2">
      <c r="A1680" s="335">
        <v>1001290580</v>
      </c>
      <c r="B1680" s="336" t="s">
        <v>2379</v>
      </c>
      <c r="C1680" s="336" t="s">
        <v>863</v>
      </c>
      <c r="D1680" s="336" t="s">
        <v>864</v>
      </c>
      <c r="E1680" s="336" t="s">
        <v>865</v>
      </c>
    </row>
    <row r="1681" spans="1:5" x14ac:dyDescent="0.2">
      <c r="A1681" s="335">
        <v>1001290621</v>
      </c>
      <c r="B1681" s="336" t="s">
        <v>2380</v>
      </c>
      <c r="C1681" s="336" t="s">
        <v>813</v>
      </c>
      <c r="D1681" s="336" t="s">
        <v>864</v>
      </c>
      <c r="E1681" s="336" t="s">
        <v>865</v>
      </c>
    </row>
    <row r="1682" spans="1:5" x14ac:dyDescent="0.2">
      <c r="A1682" s="335">
        <v>1001290623</v>
      </c>
      <c r="B1682" s="336" t="s">
        <v>2381</v>
      </c>
      <c r="C1682" s="336" t="s">
        <v>813</v>
      </c>
      <c r="D1682" s="336" t="s">
        <v>864</v>
      </c>
      <c r="E1682" s="336" t="s">
        <v>865</v>
      </c>
    </row>
    <row r="1683" spans="1:5" x14ac:dyDescent="0.2">
      <c r="A1683" s="335">
        <v>1001290641</v>
      </c>
      <c r="B1683" s="336" t="s">
        <v>2382</v>
      </c>
      <c r="C1683" s="336" t="s">
        <v>813</v>
      </c>
      <c r="D1683" s="336" t="s">
        <v>864</v>
      </c>
      <c r="E1683" s="336" t="s">
        <v>865</v>
      </c>
    </row>
    <row r="1684" spans="1:5" x14ac:dyDescent="0.2">
      <c r="A1684" s="335">
        <v>1001290660</v>
      </c>
      <c r="B1684" s="336" t="s">
        <v>2383</v>
      </c>
      <c r="C1684" s="336" t="s">
        <v>813</v>
      </c>
      <c r="D1684" s="336" t="s">
        <v>864</v>
      </c>
      <c r="E1684" s="336" t="s">
        <v>865</v>
      </c>
    </row>
    <row r="1685" spans="1:5" x14ac:dyDescent="0.2">
      <c r="A1685" s="335">
        <v>1001290661</v>
      </c>
      <c r="B1685" s="336" t="s">
        <v>2384</v>
      </c>
      <c r="C1685" s="336" t="s">
        <v>813</v>
      </c>
      <c r="D1685" s="336" t="s">
        <v>864</v>
      </c>
      <c r="E1685" s="336" t="s">
        <v>865</v>
      </c>
    </row>
    <row r="1686" spans="1:5" x14ac:dyDescent="0.2">
      <c r="A1686" s="335">
        <v>1001290679</v>
      </c>
      <c r="B1686" s="336" t="s">
        <v>2385</v>
      </c>
      <c r="C1686" s="336" t="s">
        <v>813</v>
      </c>
      <c r="D1686" s="336" t="s">
        <v>864</v>
      </c>
      <c r="E1686" s="336" t="s">
        <v>865</v>
      </c>
    </row>
    <row r="1687" spans="1:5" x14ac:dyDescent="0.2">
      <c r="A1687" s="335">
        <v>1001290700</v>
      </c>
      <c r="B1687" s="336" t="s">
        <v>2386</v>
      </c>
      <c r="C1687" s="336" t="s">
        <v>797</v>
      </c>
      <c r="D1687" s="336" t="s">
        <v>864</v>
      </c>
      <c r="E1687" s="336" t="s">
        <v>865</v>
      </c>
    </row>
    <row r="1688" spans="1:5" x14ac:dyDescent="0.2">
      <c r="A1688" s="335">
        <v>1001290706</v>
      </c>
      <c r="B1688" s="336" t="s">
        <v>2387</v>
      </c>
      <c r="C1688" s="336" t="s">
        <v>813</v>
      </c>
      <c r="D1688" s="336" t="s">
        <v>864</v>
      </c>
      <c r="E1688" s="336" t="s">
        <v>865</v>
      </c>
    </row>
    <row r="1689" spans="1:5" x14ac:dyDescent="0.2">
      <c r="A1689" s="335">
        <v>1001290707</v>
      </c>
      <c r="B1689" s="336" t="s">
        <v>2388</v>
      </c>
      <c r="C1689" s="336" t="s">
        <v>813</v>
      </c>
      <c r="D1689" s="336" t="s">
        <v>864</v>
      </c>
      <c r="E1689" s="336" t="s">
        <v>865</v>
      </c>
    </row>
    <row r="1690" spans="1:5" x14ac:dyDescent="0.2">
      <c r="A1690" s="335">
        <v>1001290709</v>
      </c>
      <c r="B1690" s="336" t="s">
        <v>2389</v>
      </c>
      <c r="C1690" s="336" t="s">
        <v>813</v>
      </c>
      <c r="D1690" s="336" t="s">
        <v>864</v>
      </c>
      <c r="E1690" s="336" t="s">
        <v>865</v>
      </c>
    </row>
    <row r="1691" spans="1:5" x14ac:dyDescent="0.2">
      <c r="A1691" s="335">
        <v>1001290713</v>
      </c>
      <c r="B1691" s="336" t="s">
        <v>2293</v>
      </c>
      <c r="C1691" s="336" t="s">
        <v>813</v>
      </c>
      <c r="D1691" s="336" t="s">
        <v>864</v>
      </c>
      <c r="E1691" s="336" t="s">
        <v>865</v>
      </c>
    </row>
    <row r="1692" spans="1:5" x14ac:dyDescent="0.2">
      <c r="A1692" s="335">
        <v>1001290715</v>
      </c>
      <c r="B1692" s="336" t="s">
        <v>2390</v>
      </c>
      <c r="C1692" s="336" t="s">
        <v>797</v>
      </c>
      <c r="D1692" s="336" t="s">
        <v>864</v>
      </c>
      <c r="E1692" s="336" t="s">
        <v>865</v>
      </c>
    </row>
    <row r="1693" spans="1:5" x14ac:dyDescent="0.2">
      <c r="A1693" s="335">
        <v>1001290721</v>
      </c>
      <c r="B1693" s="336" t="s">
        <v>2391</v>
      </c>
      <c r="C1693" s="336" t="s">
        <v>813</v>
      </c>
      <c r="D1693" s="336" t="s">
        <v>864</v>
      </c>
      <c r="E1693" s="336" t="s">
        <v>865</v>
      </c>
    </row>
    <row r="1694" spans="1:5" x14ac:dyDescent="0.2">
      <c r="A1694" s="335">
        <v>1001290723</v>
      </c>
      <c r="B1694" s="336" t="s">
        <v>2292</v>
      </c>
      <c r="C1694" s="336" t="s">
        <v>813</v>
      </c>
      <c r="D1694" s="336" t="s">
        <v>864</v>
      </c>
      <c r="E1694" s="336" t="s">
        <v>865</v>
      </c>
    </row>
    <row r="1695" spans="1:5" x14ac:dyDescent="0.2">
      <c r="A1695" s="335">
        <v>1001290724</v>
      </c>
      <c r="B1695" s="336" t="s">
        <v>2249</v>
      </c>
      <c r="C1695" s="336" t="s">
        <v>813</v>
      </c>
      <c r="D1695" s="336" t="s">
        <v>864</v>
      </c>
      <c r="E1695" s="336" t="s">
        <v>865</v>
      </c>
    </row>
    <row r="1696" spans="1:5" x14ac:dyDescent="0.2">
      <c r="A1696" s="335">
        <v>1001290729</v>
      </c>
      <c r="B1696" s="336" t="s">
        <v>2294</v>
      </c>
      <c r="C1696" s="336" t="s">
        <v>813</v>
      </c>
      <c r="D1696" s="336" t="s">
        <v>864</v>
      </c>
      <c r="E1696" s="336" t="s">
        <v>865</v>
      </c>
    </row>
    <row r="1697" spans="1:5" x14ac:dyDescent="0.2">
      <c r="A1697" s="335">
        <v>1001290772</v>
      </c>
      <c r="B1697" s="336" t="s">
        <v>2392</v>
      </c>
      <c r="C1697" s="336" t="s">
        <v>813</v>
      </c>
      <c r="D1697" s="336" t="s">
        <v>864</v>
      </c>
      <c r="E1697" s="336" t="s">
        <v>865</v>
      </c>
    </row>
    <row r="1698" spans="1:5" x14ac:dyDescent="0.2">
      <c r="A1698" s="335">
        <v>1001290777</v>
      </c>
      <c r="B1698" s="336" t="s">
        <v>2393</v>
      </c>
      <c r="C1698" s="336" t="s">
        <v>813</v>
      </c>
      <c r="D1698" s="336" t="s">
        <v>864</v>
      </c>
      <c r="E1698" s="336" t="s">
        <v>865</v>
      </c>
    </row>
    <row r="1699" spans="1:5" x14ac:dyDescent="0.2">
      <c r="A1699" s="335">
        <v>1001290786</v>
      </c>
      <c r="B1699" s="336" t="s">
        <v>2394</v>
      </c>
      <c r="C1699" s="336" t="s">
        <v>863</v>
      </c>
      <c r="D1699" s="336" t="s">
        <v>864</v>
      </c>
      <c r="E1699" s="336" t="s">
        <v>865</v>
      </c>
    </row>
    <row r="1700" spans="1:5" x14ac:dyDescent="0.2">
      <c r="A1700" s="335">
        <v>1001290789</v>
      </c>
      <c r="B1700" s="336" t="s">
        <v>2395</v>
      </c>
      <c r="C1700" s="336" t="s">
        <v>813</v>
      </c>
      <c r="D1700" s="336" t="s">
        <v>864</v>
      </c>
      <c r="E1700" s="336" t="s">
        <v>865</v>
      </c>
    </row>
    <row r="1701" spans="1:5" x14ac:dyDescent="0.2">
      <c r="A1701" s="335">
        <v>1001290794</v>
      </c>
      <c r="B1701" s="336" t="s">
        <v>2396</v>
      </c>
      <c r="C1701" s="336" t="s">
        <v>863</v>
      </c>
      <c r="D1701" s="336" t="s">
        <v>864</v>
      </c>
      <c r="E1701" s="336" t="s">
        <v>865</v>
      </c>
    </row>
    <row r="1702" spans="1:5" x14ac:dyDescent="0.2">
      <c r="A1702" s="335">
        <v>1001290795</v>
      </c>
      <c r="B1702" s="336" t="s">
        <v>2397</v>
      </c>
      <c r="C1702" s="336" t="s">
        <v>813</v>
      </c>
      <c r="D1702" s="336" t="s">
        <v>864</v>
      </c>
      <c r="E1702" s="336" t="s">
        <v>865</v>
      </c>
    </row>
    <row r="1703" spans="1:5" x14ac:dyDescent="0.2">
      <c r="A1703" s="335">
        <v>1001290797</v>
      </c>
      <c r="B1703" s="336" t="s">
        <v>2398</v>
      </c>
      <c r="C1703" s="336" t="s">
        <v>813</v>
      </c>
      <c r="D1703" s="336" t="s">
        <v>864</v>
      </c>
      <c r="E1703" s="336" t="s">
        <v>865</v>
      </c>
    </row>
    <row r="1704" spans="1:5" x14ac:dyDescent="0.2">
      <c r="A1704" s="335">
        <v>1001290799</v>
      </c>
      <c r="B1704" s="336" t="s">
        <v>2399</v>
      </c>
      <c r="C1704" s="336" t="s">
        <v>813</v>
      </c>
      <c r="D1704" s="336" t="s">
        <v>864</v>
      </c>
      <c r="E1704" s="336" t="s">
        <v>865</v>
      </c>
    </row>
    <row r="1705" spans="1:5" x14ac:dyDescent="0.2">
      <c r="A1705" s="335">
        <v>1001290811</v>
      </c>
      <c r="B1705" s="336" t="s">
        <v>924</v>
      </c>
      <c r="C1705" s="336" t="s">
        <v>863</v>
      </c>
      <c r="D1705" s="336" t="s">
        <v>864</v>
      </c>
      <c r="E1705" s="336" t="s">
        <v>865</v>
      </c>
    </row>
    <row r="1706" spans="1:5" x14ac:dyDescent="0.2">
      <c r="A1706" s="335">
        <v>1001290832</v>
      </c>
      <c r="B1706" s="336" t="s">
        <v>2400</v>
      </c>
      <c r="C1706" s="336" t="s">
        <v>813</v>
      </c>
      <c r="D1706" s="336" t="s">
        <v>864</v>
      </c>
      <c r="E1706" s="336" t="s">
        <v>865</v>
      </c>
    </row>
    <row r="1707" spans="1:5" x14ac:dyDescent="0.2">
      <c r="A1707" s="335">
        <v>1001290833</v>
      </c>
      <c r="B1707" s="336" t="s">
        <v>2401</v>
      </c>
      <c r="C1707" s="336" t="s">
        <v>813</v>
      </c>
      <c r="D1707" s="336" t="s">
        <v>864</v>
      </c>
      <c r="E1707" s="336" t="s">
        <v>865</v>
      </c>
    </row>
    <row r="1708" spans="1:5" x14ac:dyDescent="0.2">
      <c r="A1708" s="335">
        <v>1001291270</v>
      </c>
      <c r="B1708" s="336" t="s">
        <v>2402</v>
      </c>
      <c r="C1708" s="336" t="s">
        <v>813</v>
      </c>
      <c r="D1708" s="336" t="s">
        <v>864</v>
      </c>
      <c r="E1708" s="336" t="s">
        <v>865</v>
      </c>
    </row>
    <row r="1709" spans="1:5" x14ac:dyDescent="0.2">
      <c r="A1709" s="335">
        <v>1001291272</v>
      </c>
      <c r="B1709" s="336" t="s">
        <v>2403</v>
      </c>
      <c r="C1709" s="336" t="s">
        <v>813</v>
      </c>
      <c r="D1709" s="336" t="s">
        <v>864</v>
      </c>
      <c r="E1709" s="336" t="s">
        <v>865</v>
      </c>
    </row>
    <row r="1710" spans="1:5" x14ac:dyDescent="0.2">
      <c r="A1710" s="335">
        <v>1001291273</v>
      </c>
      <c r="B1710" s="336" t="s">
        <v>2404</v>
      </c>
      <c r="C1710" s="336" t="s">
        <v>813</v>
      </c>
      <c r="D1710" s="336" t="s">
        <v>864</v>
      </c>
      <c r="E1710" s="336" t="s">
        <v>865</v>
      </c>
    </row>
    <row r="1711" spans="1:5" x14ac:dyDescent="0.2">
      <c r="A1711" s="335">
        <v>1001291278</v>
      </c>
      <c r="B1711" s="336" t="s">
        <v>2232</v>
      </c>
      <c r="C1711" s="336" t="s">
        <v>813</v>
      </c>
      <c r="D1711" s="336" t="s">
        <v>864</v>
      </c>
      <c r="E1711" s="336" t="s">
        <v>865</v>
      </c>
    </row>
    <row r="1712" spans="1:5" x14ac:dyDescent="0.2">
      <c r="A1712" s="335">
        <v>1001294480</v>
      </c>
      <c r="B1712" s="336" t="s">
        <v>2405</v>
      </c>
      <c r="C1712" s="336" t="s">
        <v>797</v>
      </c>
      <c r="D1712" s="336" t="s">
        <v>864</v>
      </c>
      <c r="E1712" s="336" t="s">
        <v>865</v>
      </c>
    </row>
    <row r="1713" spans="1:5" x14ac:dyDescent="0.2">
      <c r="A1713" s="335">
        <v>1001294482</v>
      </c>
      <c r="B1713" s="336" t="s">
        <v>2406</v>
      </c>
      <c r="C1713" s="336" t="s">
        <v>813</v>
      </c>
      <c r="D1713" s="336" t="s">
        <v>864</v>
      </c>
      <c r="E1713" s="336" t="s">
        <v>865</v>
      </c>
    </row>
    <row r="1714" spans="1:5" x14ac:dyDescent="0.2">
      <c r="A1714" s="335">
        <v>1001295216</v>
      </c>
      <c r="B1714" s="336" t="s">
        <v>2407</v>
      </c>
      <c r="C1714" s="336" t="s">
        <v>813</v>
      </c>
      <c r="D1714" s="336" t="s">
        <v>864</v>
      </c>
      <c r="E1714" s="336" t="s">
        <v>865</v>
      </c>
    </row>
    <row r="1715" spans="1:5" x14ac:dyDescent="0.2">
      <c r="A1715" s="335">
        <v>1001295234</v>
      </c>
      <c r="B1715" s="336" t="s">
        <v>2408</v>
      </c>
      <c r="C1715" s="336" t="s">
        <v>813</v>
      </c>
      <c r="D1715" s="336" t="s">
        <v>864</v>
      </c>
      <c r="E1715" s="336" t="s">
        <v>865</v>
      </c>
    </row>
    <row r="1716" spans="1:5" x14ac:dyDescent="0.2">
      <c r="A1716" s="335">
        <v>1001295236</v>
      </c>
      <c r="B1716" s="336" t="s">
        <v>1005</v>
      </c>
      <c r="C1716" s="336" t="s">
        <v>813</v>
      </c>
      <c r="D1716" s="336" t="s">
        <v>864</v>
      </c>
      <c r="E1716" s="336" t="s">
        <v>865</v>
      </c>
    </row>
    <row r="1717" spans="1:5" x14ac:dyDescent="0.2">
      <c r="A1717" s="335">
        <v>1001295237</v>
      </c>
      <c r="B1717" s="336" t="s">
        <v>2223</v>
      </c>
      <c r="C1717" s="336" t="s">
        <v>813</v>
      </c>
      <c r="D1717" s="336" t="s">
        <v>864</v>
      </c>
      <c r="E1717" s="336" t="s">
        <v>865</v>
      </c>
    </row>
    <row r="1718" spans="1:5" x14ac:dyDescent="0.2">
      <c r="A1718" s="335">
        <v>1001301959</v>
      </c>
      <c r="B1718" s="336" t="s">
        <v>774</v>
      </c>
      <c r="C1718" s="336" t="s">
        <v>813</v>
      </c>
      <c r="D1718" s="336" t="s">
        <v>864</v>
      </c>
      <c r="E1718" s="336" t="s">
        <v>865</v>
      </c>
    </row>
    <row r="1719" spans="1:5" x14ac:dyDescent="0.2">
      <c r="A1719" s="335">
        <v>1001301967</v>
      </c>
      <c r="B1719" s="336" t="s">
        <v>2409</v>
      </c>
      <c r="C1719" s="336" t="s">
        <v>797</v>
      </c>
      <c r="D1719" s="336" t="s">
        <v>864</v>
      </c>
      <c r="E1719" s="336" t="s">
        <v>865</v>
      </c>
    </row>
    <row r="1720" spans="1:5" x14ac:dyDescent="0.2">
      <c r="A1720" s="335">
        <v>1001301991</v>
      </c>
      <c r="B1720" s="336" t="s">
        <v>2275</v>
      </c>
      <c r="C1720" s="336" t="s">
        <v>797</v>
      </c>
      <c r="D1720" s="336" t="s">
        <v>864</v>
      </c>
      <c r="E1720" s="336" t="s">
        <v>865</v>
      </c>
    </row>
    <row r="1721" spans="1:5" x14ac:dyDescent="0.2">
      <c r="A1721" s="335">
        <v>1001301992</v>
      </c>
      <c r="B1721" s="336" t="s">
        <v>2410</v>
      </c>
      <c r="C1721" s="336" t="s">
        <v>813</v>
      </c>
      <c r="D1721" s="336" t="s">
        <v>864</v>
      </c>
      <c r="E1721" s="336" t="s">
        <v>865</v>
      </c>
    </row>
    <row r="1722" spans="1:5" x14ac:dyDescent="0.2">
      <c r="A1722" s="335">
        <v>1001301994</v>
      </c>
      <c r="B1722" s="336" t="s">
        <v>2411</v>
      </c>
      <c r="C1722" s="336" t="s">
        <v>797</v>
      </c>
      <c r="D1722" s="336" t="s">
        <v>864</v>
      </c>
      <c r="E1722" s="336" t="s">
        <v>865</v>
      </c>
    </row>
    <row r="1723" spans="1:5" x14ac:dyDescent="0.2">
      <c r="A1723" s="335">
        <v>1001302121</v>
      </c>
      <c r="B1723" s="336" t="s">
        <v>2412</v>
      </c>
      <c r="C1723" s="336" t="s">
        <v>813</v>
      </c>
      <c r="D1723" s="336" t="s">
        <v>864</v>
      </c>
      <c r="E1723" s="336" t="s">
        <v>865</v>
      </c>
    </row>
    <row r="1724" spans="1:5" x14ac:dyDescent="0.2">
      <c r="A1724" s="335">
        <v>1001302124</v>
      </c>
      <c r="B1724" s="336" t="s">
        <v>2306</v>
      </c>
      <c r="C1724" s="336" t="s">
        <v>863</v>
      </c>
      <c r="D1724" s="336" t="s">
        <v>864</v>
      </c>
      <c r="E1724" s="336" t="s">
        <v>865</v>
      </c>
    </row>
    <row r="1725" spans="1:5" x14ac:dyDescent="0.2">
      <c r="A1725" s="335">
        <v>1001302128</v>
      </c>
      <c r="B1725" s="336" t="s">
        <v>2413</v>
      </c>
      <c r="C1725" s="336" t="s">
        <v>813</v>
      </c>
      <c r="D1725" s="336" t="s">
        <v>864</v>
      </c>
      <c r="E1725" s="336" t="s">
        <v>865</v>
      </c>
    </row>
    <row r="1726" spans="1:5" x14ac:dyDescent="0.2">
      <c r="A1726" s="335">
        <v>1001302136</v>
      </c>
      <c r="B1726" s="336" t="s">
        <v>2414</v>
      </c>
      <c r="C1726" s="336" t="s">
        <v>813</v>
      </c>
      <c r="D1726" s="336" t="s">
        <v>864</v>
      </c>
      <c r="E1726" s="336" t="s">
        <v>865</v>
      </c>
    </row>
    <row r="1727" spans="1:5" x14ac:dyDescent="0.2">
      <c r="A1727" s="335">
        <v>1001302140</v>
      </c>
      <c r="B1727" s="336" t="s">
        <v>2415</v>
      </c>
      <c r="C1727" s="336" t="s">
        <v>863</v>
      </c>
      <c r="D1727" s="336" t="s">
        <v>864</v>
      </c>
      <c r="E1727" s="336" t="s">
        <v>865</v>
      </c>
    </row>
    <row r="1728" spans="1:5" x14ac:dyDescent="0.2">
      <c r="A1728" s="335">
        <v>1001302145</v>
      </c>
      <c r="B1728" s="336" t="s">
        <v>2307</v>
      </c>
      <c r="C1728" s="336" t="s">
        <v>863</v>
      </c>
      <c r="D1728" s="336" t="s">
        <v>864</v>
      </c>
      <c r="E1728" s="336" t="s">
        <v>865</v>
      </c>
    </row>
    <row r="1729" spans="1:5" x14ac:dyDescent="0.2">
      <c r="A1729" s="335">
        <v>1001302150</v>
      </c>
      <c r="B1729" s="336" t="s">
        <v>2416</v>
      </c>
      <c r="C1729" s="336" t="s">
        <v>813</v>
      </c>
      <c r="D1729" s="336" t="s">
        <v>864</v>
      </c>
      <c r="E1729" s="336" t="s">
        <v>865</v>
      </c>
    </row>
    <row r="1730" spans="1:5" x14ac:dyDescent="0.2">
      <c r="A1730" s="335">
        <v>1001302151</v>
      </c>
      <c r="B1730" s="336" t="s">
        <v>2417</v>
      </c>
      <c r="C1730" s="336" t="s">
        <v>813</v>
      </c>
      <c r="D1730" s="336" t="s">
        <v>864</v>
      </c>
      <c r="E1730" s="336" t="s">
        <v>865</v>
      </c>
    </row>
    <row r="1731" spans="1:5" x14ac:dyDescent="0.2">
      <c r="A1731" s="335">
        <v>1001302152</v>
      </c>
      <c r="B1731" s="336" t="s">
        <v>2249</v>
      </c>
      <c r="C1731" s="336" t="s">
        <v>813</v>
      </c>
      <c r="D1731" s="336" t="s">
        <v>864</v>
      </c>
      <c r="E1731" s="336" t="s">
        <v>865</v>
      </c>
    </row>
    <row r="1732" spans="1:5" x14ac:dyDescent="0.2">
      <c r="A1732" s="335">
        <v>1001302158</v>
      </c>
      <c r="B1732" s="336" t="s">
        <v>2418</v>
      </c>
      <c r="C1732" s="336" t="s">
        <v>1097</v>
      </c>
      <c r="D1732" s="336" t="s">
        <v>864</v>
      </c>
      <c r="E1732" s="336" t="s">
        <v>865</v>
      </c>
    </row>
    <row r="1733" spans="1:5" x14ac:dyDescent="0.2">
      <c r="A1733" s="335">
        <v>1001302170</v>
      </c>
      <c r="B1733" s="336" t="s">
        <v>905</v>
      </c>
      <c r="C1733" s="336" t="s">
        <v>1097</v>
      </c>
      <c r="D1733" s="336" t="s">
        <v>864</v>
      </c>
      <c r="E1733" s="336" t="s">
        <v>865</v>
      </c>
    </row>
    <row r="1734" spans="1:5" x14ac:dyDescent="0.2">
      <c r="A1734" s="335">
        <v>1001302225</v>
      </c>
      <c r="B1734" s="336" t="s">
        <v>2419</v>
      </c>
      <c r="C1734" s="336" t="s">
        <v>863</v>
      </c>
      <c r="D1734" s="336" t="s">
        <v>864</v>
      </c>
      <c r="E1734" s="336" t="s">
        <v>865</v>
      </c>
    </row>
    <row r="1735" spans="1:5" x14ac:dyDescent="0.2">
      <c r="A1735" s="335">
        <v>1001302264</v>
      </c>
      <c r="B1735" s="336" t="s">
        <v>2420</v>
      </c>
      <c r="C1735" s="336" t="s">
        <v>813</v>
      </c>
      <c r="D1735" s="336" t="s">
        <v>864</v>
      </c>
      <c r="E1735" s="336" t="s">
        <v>865</v>
      </c>
    </row>
    <row r="1736" spans="1:5" x14ac:dyDescent="0.2">
      <c r="A1736" s="335">
        <v>1001302279</v>
      </c>
      <c r="B1736" s="336" t="s">
        <v>924</v>
      </c>
      <c r="C1736" s="336" t="s">
        <v>813</v>
      </c>
      <c r="D1736" s="336" t="s">
        <v>864</v>
      </c>
      <c r="E1736" s="336" t="s">
        <v>865</v>
      </c>
    </row>
    <row r="1737" spans="1:5" x14ac:dyDescent="0.2">
      <c r="A1737" s="335">
        <v>1001302331</v>
      </c>
      <c r="B1737" s="336" t="s">
        <v>2421</v>
      </c>
      <c r="C1737" s="336" t="s">
        <v>813</v>
      </c>
      <c r="D1737" s="336" t="s">
        <v>864</v>
      </c>
      <c r="E1737" s="336" t="s">
        <v>865</v>
      </c>
    </row>
    <row r="1738" spans="1:5" x14ac:dyDescent="0.2">
      <c r="A1738" s="335">
        <v>1001302332</v>
      </c>
      <c r="B1738" s="336" t="s">
        <v>2422</v>
      </c>
      <c r="C1738" s="336" t="s">
        <v>813</v>
      </c>
      <c r="D1738" s="336" t="s">
        <v>864</v>
      </c>
      <c r="E1738" s="336" t="s">
        <v>865</v>
      </c>
    </row>
    <row r="1739" spans="1:5" x14ac:dyDescent="0.2">
      <c r="A1739" s="335">
        <v>1001302333</v>
      </c>
      <c r="B1739" s="336" t="s">
        <v>2423</v>
      </c>
      <c r="C1739" s="336" t="s">
        <v>813</v>
      </c>
      <c r="D1739" s="336" t="s">
        <v>864</v>
      </c>
      <c r="E1739" s="336" t="s">
        <v>865</v>
      </c>
    </row>
    <row r="1740" spans="1:5" x14ac:dyDescent="0.2">
      <c r="A1740" s="335">
        <v>1001302335</v>
      </c>
      <c r="B1740" s="336" t="s">
        <v>2424</v>
      </c>
      <c r="C1740" s="336" t="s">
        <v>813</v>
      </c>
      <c r="D1740" s="336" t="s">
        <v>864</v>
      </c>
      <c r="E1740" s="336" t="s">
        <v>865</v>
      </c>
    </row>
    <row r="1741" spans="1:5" x14ac:dyDescent="0.2">
      <c r="A1741" s="335">
        <v>1001302341</v>
      </c>
      <c r="B1741" s="336" t="s">
        <v>2425</v>
      </c>
      <c r="C1741" s="336" t="s">
        <v>813</v>
      </c>
      <c r="D1741" s="336" t="s">
        <v>864</v>
      </c>
      <c r="E1741" s="336" t="s">
        <v>865</v>
      </c>
    </row>
    <row r="1742" spans="1:5" x14ac:dyDescent="0.2">
      <c r="A1742" s="335">
        <v>1001302342</v>
      </c>
      <c r="B1742" s="336" t="s">
        <v>2426</v>
      </c>
      <c r="C1742" s="336" t="s">
        <v>813</v>
      </c>
      <c r="D1742" s="336" t="s">
        <v>864</v>
      </c>
      <c r="E1742" s="336" t="s">
        <v>865</v>
      </c>
    </row>
    <row r="1743" spans="1:5" x14ac:dyDescent="0.2">
      <c r="A1743" s="335">
        <v>1001302352</v>
      </c>
      <c r="B1743" s="336" t="s">
        <v>2427</v>
      </c>
      <c r="C1743" s="336" t="s">
        <v>813</v>
      </c>
      <c r="D1743" s="336" t="s">
        <v>864</v>
      </c>
      <c r="E1743" s="336" t="s">
        <v>865</v>
      </c>
    </row>
    <row r="1744" spans="1:5" x14ac:dyDescent="0.2">
      <c r="A1744" s="335">
        <v>1001302361</v>
      </c>
      <c r="B1744" s="336" t="s">
        <v>2428</v>
      </c>
      <c r="C1744" s="336" t="s">
        <v>813</v>
      </c>
      <c r="D1744" s="336" t="s">
        <v>864</v>
      </c>
      <c r="E1744" s="336" t="s">
        <v>865</v>
      </c>
    </row>
    <row r="1745" spans="1:5" x14ac:dyDescent="0.2">
      <c r="A1745" s="335">
        <v>1001302362</v>
      </c>
      <c r="B1745" s="336" t="s">
        <v>2429</v>
      </c>
      <c r="C1745" s="336" t="s">
        <v>813</v>
      </c>
      <c r="D1745" s="336" t="s">
        <v>864</v>
      </c>
      <c r="E1745" s="336" t="s">
        <v>865</v>
      </c>
    </row>
    <row r="1746" spans="1:5" x14ac:dyDescent="0.2">
      <c r="A1746" s="335">
        <v>1001302384</v>
      </c>
      <c r="B1746" s="336" t="s">
        <v>2430</v>
      </c>
      <c r="C1746" s="336" t="s">
        <v>813</v>
      </c>
      <c r="D1746" s="336" t="s">
        <v>864</v>
      </c>
      <c r="E1746" s="336" t="s">
        <v>865</v>
      </c>
    </row>
    <row r="1747" spans="1:5" x14ac:dyDescent="0.2">
      <c r="A1747" s="335">
        <v>1001302390</v>
      </c>
      <c r="B1747" s="336" t="s">
        <v>2431</v>
      </c>
      <c r="C1747" s="336" t="s">
        <v>863</v>
      </c>
      <c r="D1747" s="336" t="s">
        <v>864</v>
      </c>
      <c r="E1747" s="336" t="s">
        <v>865</v>
      </c>
    </row>
    <row r="1748" spans="1:5" x14ac:dyDescent="0.2">
      <c r="A1748" s="335">
        <v>1001302431</v>
      </c>
      <c r="B1748" s="336" t="s">
        <v>2432</v>
      </c>
      <c r="C1748" s="336" t="s">
        <v>813</v>
      </c>
      <c r="D1748" s="336" t="s">
        <v>864</v>
      </c>
      <c r="E1748" s="336" t="s">
        <v>865</v>
      </c>
    </row>
    <row r="1749" spans="1:5" x14ac:dyDescent="0.2">
      <c r="A1749" s="335">
        <v>1001302505</v>
      </c>
      <c r="B1749" s="336" t="s">
        <v>2433</v>
      </c>
      <c r="C1749" s="336" t="s">
        <v>813</v>
      </c>
      <c r="D1749" s="336" t="s">
        <v>864</v>
      </c>
      <c r="E1749" s="336" t="s">
        <v>865</v>
      </c>
    </row>
    <row r="1750" spans="1:5" x14ac:dyDescent="0.2">
      <c r="A1750" s="335">
        <v>1001302508</v>
      </c>
      <c r="B1750" s="336" t="s">
        <v>811</v>
      </c>
      <c r="C1750" s="336" t="s">
        <v>797</v>
      </c>
      <c r="D1750" s="336" t="s">
        <v>864</v>
      </c>
      <c r="E1750" s="336" t="s">
        <v>865</v>
      </c>
    </row>
    <row r="1751" spans="1:5" x14ac:dyDescent="0.2">
      <c r="A1751" s="335">
        <v>1001302592</v>
      </c>
      <c r="B1751" s="336" t="s">
        <v>2434</v>
      </c>
      <c r="C1751" s="336" t="s">
        <v>813</v>
      </c>
      <c r="D1751" s="336" t="s">
        <v>864</v>
      </c>
      <c r="E1751" s="336" t="s">
        <v>865</v>
      </c>
    </row>
    <row r="1752" spans="1:5" x14ac:dyDescent="0.2">
      <c r="A1752" s="335">
        <v>1001302599</v>
      </c>
      <c r="B1752" s="336" t="s">
        <v>2232</v>
      </c>
      <c r="C1752" s="336" t="s">
        <v>813</v>
      </c>
      <c r="D1752" s="336" t="s">
        <v>864</v>
      </c>
      <c r="E1752" s="336" t="s">
        <v>865</v>
      </c>
    </row>
    <row r="1753" spans="1:5" x14ac:dyDescent="0.2">
      <c r="A1753" s="335">
        <v>1001302646</v>
      </c>
      <c r="B1753" s="336" t="s">
        <v>2234</v>
      </c>
      <c r="C1753" s="336" t="s">
        <v>813</v>
      </c>
      <c r="D1753" s="336" t="s">
        <v>864</v>
      </c>
      <c r="E1753" s="336" t="s">
        <v>865</v>
      </c>
    </row>
    <row r="1754" spans="1:5" x14ac:dyDescent="0.2">
      <c r="A1754" s="335">
        <v>1001302706</v>
      </c>
      <c r="B1754" s="336" t="s">
        <v>2249</v>
      </c>
      <c r="C1754" s="336" t="s">
        <v>863</v>
      </c>
      <c r="D1754" s="336" t="s">
        <v>864</v>
      </c>
      <c r="E1754" s="336" t="s">
        <v>865</v>
      </c>
    </row>
    <row r="1755" spans="1:5" x14ac:dyDescent="0.2">
      <c r="A1755" s="335">
        <v>1001310804</v>
      </c>
      <c r="B1755" s="336" t="s">
        <v>2435</v>
      </c>
      <c r="C1755" s="336" t="s">
        <v>813</v>
      </c>
      <c r="D1755" s="336" t="s">
        <v>864</v>
      </c>
      <c r="E1755" s="336" t="s">
        <v>865</v>
      </c>
    </row>
    <row r="1756" spans="1:5" x14ac:dyDescent="0.2">
      <c r="A1756" s="335">
        <v>1001310805</v>
      </c>
      <c r="B1756" s="336" t="s">
        <v>2434</v>
      </c>
      <c r="C1756" s="336" t="s">
        <v>813</v>
      </c>
      <c r="D1756" s="336" t="s">
        <v>864</v>
      </c>
      <c r="E1756" s="336" t="s">
        <v>865</v>
      </c>
    </row>
    <row r="1757" spans="1:5" x14ac:dyDescent="0.2">
      <c r="A1757" s="335">
        <v>1001310806</v>
      </c>
      <c r="B1757" s="336" t="s">
        <v>2436</v>
      </c>
      <c r="C1757" s="336" t="s">
        <v>863</v>
      </c>
      <c r="D1757" s="336" t="s">
        <v>864</v>
      </c>
      <c r="E1757" s="336" t="s">
        <v>865</v>
      </c>
    </row>
    <row r="1758" spans="1:5" x14ac:dyDescent="0.2">
      <c r="A1758" s="335">
        <v>1001310817</v>
      </c>
      <c r="B1758" s="336" t="s">
        <v>2437</v>
      </c>
      <c r="C1758" s="336" t="s">
        <v>813</v>
      </c>
      <c r="D1758" s="336" t="s">
        <v>864</v>
      </c>
      <c r="E1758" s="336" t="s">
        <v>865</v>
      </c>
    </row>
    <row r="1759" spans="1:5" x14ac:dyDescent="0.2">
      <c r="A1759" s="335">
        <v>1001310900</v>
      </c>
      <c r="B1759" s="336" t="s">
        <v>2438</v>
      </c>
      <c r="C1759" s="336" t="s">
        <v>813</v>
      </c>
      <c r="D1759" s="336" t="s">
        <v>864</v>
      </c>
      <c r="E1759" s="336" t="s">
        <v>865</v>
      </c>
    </row>
    <row r="1760" spans="1:5" x14ac:dyDescent="0.2">
      <c r="A1760" s="335">
        <v>1001311001</v>
      </c>
      <c r="B1760" s="336" t="s">
        <v>2439</v>
      </c>
      <c r="C1760" s="336" t="s">
        <v>813</v>
      </c>
      <c r="D1760" s="336" t="s">
        <v>864</v>
      </c>
      <c r="E1760" s="336" t="s">
        <v>865</v>
      </c>
    </row>
    <row r="1761" spans="1:5" x14ac:dyDescent="0.2">
      <c r="A1761" s="335">
        <v>1001311002</v>
      </c>
      <c r="B1761" s="336" t="s">
        <v>2440</v>
      </c>
      <c r="C1761" s="336" t="s">
        <v>813</v>
      </c>
      <c r="D1761" s="336" t="s">
        <v>864</v>
      </c>
      <c r="E1761" s="336" t="s">
        <v>865</v>
      </c>
    </row>
    <row r="1762" spans="1:5" x14ac:dyDescent="0.2">
      <c r="A1762" s="335">
        <v>1001311473</v>
      </c>
      <c r="B1762" s="336" t="s">
        <v>2441</v>
      </c>
      <c r="C1762" s="336" t="s">
        <v>863</v>
      </c>
      <c r="D1762" s="336" t="s">
        <v>864</v>
      </c>
      <c r="E1762" s="336" t="s">
        <v>865</v>
      </c>
    </row>
    <row r="1763" spans="1:5" x14ac:dyDescent="0.2">
      <c r="A1763" s="335">
        <v>1001311672</v>
      </c>
      <c r="B1763" s="336" t="s">
        <v>2442</v>
      </c>
      <c r="C1763" s="336" t="s">
        <v>813</v>
      </c>
      <c r="D1763" s="336" t="s">
        <v>864</v>
      </c>
      <c r="E1763" s="336" t="s">
        <v>865</v>
      </c>
    </row>
    <row r="1764" spans="1:5" x14ac:dyDescent="0.2">
      <c r="A1764" s="335">
        <v>1001311674</v>
      </c>
      <c r="B1764" s="336" t="s">
        <v>2443</v>
      </c>
      <c r="C1764" s="336" t="s">
        <v>863</v>
      </c>
      <c r="D1764" s="336" t="s">
        <v>864</v>
      </c>
      <c r="E1764" s="336" t="s">
        <v>865</v>
      </c>
    </row>
    <row r="1765" spans="1:5" x14ac:dyDescent="0.2">
      <c r="A1765" s="335">
        <v>1001311675</v>
      </c>
      <c r="B1765" s="336" t="s">
        <v>2444</v>
      </c>
      <c r="C1765" s="336" t="s">
        <v>813</v>
      </c>
      <c r="D1765" s="336" t="s">
        <v>864</v>
      </c>
      <c r="E1765" s="336" t="s">
        <v>865</v>
      </c>
    </row>
    <row r="1766" spans="1:5" x14ac:dyDescent="0.2">
      <c r="A1766" s="335">
        <v>1001311765</v>
      </c>
      <c r="B1766" s="336" t="s">
        <v>2445</v>
      </c>
      <c r="C1766" s="336" t="s">
        <v>813</v>
      </c>
      <c r="D1766" s="336" t="s">
        <v>864</v>
      </c>
      <c r="E1766" s="336" t="s">
        <v>865</v>
      </c>
    </row>
    <row r="1767" spans="1:5" x14ac:dyDescent="0.2">
      <c r="A1767" s="335">
        <v>1001311768</v>
      </c>
      <c r="B1767" s="336" t="s">
        <v>2446</v>
      </c>
      <c r="C1767" s="336" t="s">
        <v>813</v>
      </c>
      <c r="D1767" s="336" t="s">
        <v>864</v>
      </c>
      <c r="E1767" s="336" t="s">
        <v>865</v>
      </c>
    </row>
    <row r="1768" spans="1:5" x14ac:dyDescent="0.2">
      <c r="A1768" s="335">
        <v>1001311838</v>
      </c>
      <c r="B1768" s="336" t="s">
        <v>2447</v>
      </c>
      <c r="C1768" s="336" t="s">
        <v>813</v>
      </c>
      <c r="D1768" s="336" t="s">
        <v>864</v>
      </c>
      <c r="E1768" s="336" t="s">
        <v>865</v>
      </c>
    </row>
    <row r="1769" spans="1:5" x14ac:dyDescent="0.2">
      <c r="A1769" s="335">
        <v>1001311887</v>
      </c>
      <c r="B1769" s="336" t="s">
        <v>2448</v>
      </c>
      <c r="C1769" s="336" t="s">
        <v>813</v>
      </c>
      <c r="D1769" s="336" t="s">
        <v>864</v>
      </c>
      <c r="E1769" s="336" t="s">
        <v>865</v>
      </c>
    </row>
    <row r="1770" spans="1:5" x14ac:dyDescent="0.2">
      <c r="A1770" s="335">
        <v>1001311930</v>
      </c>
      <c r="B1770" s="336" t="s">
        <v>1744</v>
      </c>
      <c r="C1770" s="336" t="s">
        <v>813</v>
      </c>
      <c r="D1770" s="336" t="s">
        <v>864</v>
      </c>
      <c r="E1770" s="336" t="s">
        <v>865</v>
      </c>
    </row>
    <row r="1771" spans="1:5" x14ac:dyDescent="0.2">
      <c r="A1771" s="335">
        <v>1001311931</v>
      </c>
      <c r="B1771" s="336" t="s">
        <v>1745</v>
      </c>
      <c r="C1771" s="336" t="s">
        <v>813</v>
      </c>
      <c r="D1771" s="336" t="s">
        <v>864</v>
      </c>
      <c r="E1771" s="336" t="s">
        <v>865</v>
      </c>
    </row>
    <row r="1772" spans="1:5" x14ac:dyDescent="0.2">
      <c r="A1772" s="335">
        <v>1001311932</v>
      </c>
      <c r="B1772" s="336" t="s">
        <v>2449</v>
      </c>
      <c r="C1772" s="336" t="s">
        <v>813</v>
      </c>
      <c r="D1772" s="336" t="s">
        <v>864</v>
      </c>
      <c r="E1772" s="336" t="s">
        <v>865</v>
      </c>
    </row>
    <row r="1773" spans="1:5" x14ac:dyDescent="0.2">
      <c r="A1773" s="335">
        <v>1001311936</v>
      </c>
      <c r="B1773" s="336" t="s">
        <v>2450</v>
      </c>
      <c r="C1773" s="336" t="s">
        <v>813</v>
      </c>
      <c r="D1773" s="336" t="s">
        <v>864</v>
      </c>
      <c r="E1773" s="336" t="s">
        <v>865</v>
      </c>
    </row>
    <row r="1774" spans="1:5" x14ac:dyDescent="0.2">
      <c r="A1774" s="335">
        <v>1001311949</v>
      </c>
      <c r="B1774" s="336" t="s">
        <v>2346</v>
      </c>
      <c r="C1774" s="336" t="s">
        <v>813</v>
      </c>
      <c r="D1774" s="336" t="s">
        <v>864</v>
      </c>
      <c r="E1774" s="336" t="s">
        <v>865</v>
      </c>
    </row>
    <row r="1775" spans="1:5" x14ac:dyDescent="0.2">
      <c r="A1775" s="335">
        <v>1001312032</v>
      </c>
      <c r="B1775" s="336" t="s">
        <v>2451</v>
      </c>
      <c r="C1775" s="336" t="s">
        <v>813</v>
      </c>
      <c r="D1775" s="336" t="s">
        <v>864</v>
      </c>
      <c r="E1775" s="336" t="s">
        <v>865</v>
      </c>
    </row>
    <row r="1776" spans="1:5" x14ac:dyDescent="0.2">
      <c r="A1776" s="335">
        <v>1001312036</v>
      </c>
      <c r="B1776" s="336" t="s">
        <v>2452</v>
      </c>
      <c r="C1776" s="336" t="s">
        <v>813</v>
      </c>
      <c r="D1776" s="336" t="s">
        <v>864</v>
      </c>
      <c r="E1776" s="336" t="s">
        <v>865</v>
      </c>
    </row>
    <row r="1777" spans="1:5" x14ac:dyDescent="0.2">
      <c r="A1777" s="335">
        <v>1001312093</v>
      </c>
      <c r="B1777" s="336" t="s">
        <v>2249</v>
      </c>
      <c r="C1777" s="336" t="s">
        <v>813</v>
      </c>
      <c r="D1777" s="336" t="s">
        <v>864</v>
      </c>
      <c r="E1777" s="336" t="s">
        <v>865</v>
      </c>
    </row>
    <row r="1778" spans="1:5" x14ac:dyDescent="0.2">
      <c r="A1778" s="335">
        <v>1001312099</v>
      </c>
      <c r="B1778" s="336" t="s">
        <v>2453</v>
      </c>
      <c r="C1778" s="336" t="s">
        <v>1097</v>
      </c>
      <c r="D1778" s="336" t="s">
        <v>864</v>
      </c>
      <c r="E1778" s="336" t="s">
        <v>865</v>
      </c>
    </row>
    <row r="1779" spans="1:5" x14ac:dyDescent="0.2">
      <c r="A1779" s="335">
        <v>1001312113</v>
      </c>
      <c r="B1779" s="336" t="s">
        <v>2454</v>
      </c>
      <c r="C1779" s="336" t="s">
        <v>813</v>
      </c>
      <c r="D1779" s="336" t="s">
        <v>864</v>
      </c>
      <c r="E1779" s="336" t="s">
        <v>865</v>
      </c>
    </row>
    <row r="1780" spans="1:5" x14ac:dyDescent="0.2">
      <c r="A1780" s="335">
        <v>1001312117</v>
      </c>
      <c r="B1780" s="336" t="s">
        <v>2455</v>
      </c>
      <c r="C1780" s="336" t="s">
        <v>1097</v>
      </c>
      <c r="D1780" s="336" t="s">
        <v>864</v>
      </c>
      <c r="E1780" s="336" t="s">
        <v>865</v>
      </c>
    </row>
    <row r="1781" spans="1:5" x14ac:dyDescent="0.2">
      <c r="A1781" s="335">
        <v>1001312119</v>
      </c>
      <c r="B1781" s="336" t="s">
        <v>2456</v>
      </c>
      <c r="C1781" s="336" t="s">
        <v>813</v>
      </c>
      <c r="D1781" s="336" t="s">
        <v>864</v>
      </c>
      <c r="E1781" s="336" t="s">
        <v>865</v>
      </c>
    </row>
    <row r="1782" spans="1:5" x14ac:dyDescent="0.2">
      <c r="A1782" s="335">
        <v>1001312141</v>
      </c>
      <c r="B1782" s="336" t="s">
        <v>2457</v>
      </c>
      <c r="C1782" s="336" t="s">
        <v>1097</v>
      </c>
      <c r="D1782" s="336" t="s">
        <v>864</v>
      </c>
      <c r="E1782" s="336" t="s">
        <v>865</v>
      </c>
    </row>
    <row r="1783" spans="1:5" x14ac:dyDescent="0.2">
      <c r="A1783" s="335">
        <v>1001312151</v>
      </c>
      <c r="B1783" s="336" t="s">
        <v>2458</v>
      </c>
      <c r="C1783" s="336" t="s">
        <v>863</v>
      </c>
      <c r="D1783" s="336" t="s">
        <v>864</v>
      </c>
      <c r="E1783" s="336" t="s">
        <v>865</v>
      </c>
    </row>
    <row r="1784" spans="1:5" x14ac:dyDescent="0.2">
      <c r="A1784" s="335">
        <v>1001312306</v>
      </c>
      <c r="B1784" s="336" t="s">
        <v>1506</v>
      </c>
      <c r="C1784" s="336" t="s">
        <v>813</v>
      </c>
      <c r="D1784" s="336" t="s">
        <v>864</v>
      </c>
      <c r="E1784" s="336" t="s">
        <v>865</v>
      </c>
    </row>
    <row r="1785" spans="1:5" x14ac:dyDescent="0.2">
      <c r="A1785" s="335">
        <v>1001312307</v>
      </c>
      <c r="B1785" s="336" t="s">
        <v>2459</v>
      </c>
      <c r="C1785" s="336" t="s">
        <v>813</v>
      </c>
      <c r="D1785" s="336" t="s">
        <v>864</v>
      </c>
      <c r="E1785" s="336" t="s">
        <v>865</v>
      </c>
    </row>
    <row r="1786" spans="1:5" x14ac:dyDescent="0.2">
      <c r="A1786" s="335">
        <v>1001312308</v>
      </c>
      <c r="B1786" s="336" t="s">
        <v>2460</v>
      </c>
      <c r="C1786" s="336" t="s">
        <v>813</v>
      </c>
      <c r="D1786" s="336" t="s">
        <v>864</v>
      </c>
      <c r="E1786" s="336" t="s">
        <v>865</v>
      </c>
    </row>
    <row r="1787" spans="1:5" x14ac:dyDescent="0.2">
      <c r="A1787" s="335">
        <v>1001312856</v>
      </c>
      <c r="B1787" s="336" t="s">
        <v>2461</v>
      </c>
      <c r="C1787" s="336" t="s">
        <v>813</v>
      </c>
      <c r="D1787" s="336" t="s">
        <v>864</v>
      </c>
      <c r="E1787" s="336" t="s">
        <v>865</v>
      </c>
    </row>
    <row r="1788" spans="1:5" x14ac:dyDescent="0.2">
      <c r="A1788" s="335">
        <v>1001312857</v>
      </c>
      <c r="B1788" s="336" t="s">
        <v>2462</v>
      </c>
      <c r="C1788" s="336" t="s">
        <v>813</v>
      </c>
      <c r="D1788" s="336" t="s">
        <v>864</v>
      </c>
      <c r="E1788" s="336" t="s">
        <v>865</v>
      </c>
    </row>
    <row r="1789" spans="1:5" x14ac:dyDescent="0.2">
      <c r="A1789" s="335">
        <v>1001312858</v>
      </c>
      <c r="B1789" s="336" t="s">
        <v>2463</v>
      </c>
      <c r="C1789" s="336" t="s">
        <v>813</v>
      </c>
      <c r="D1789" s="336" t="s">
        <v>864</v>
      </c>
      <c r="E1789" s="336" t="s">
        <v>865</v>
      </c>
    </row>
    <row r="1790" spans="1:5" x14ac:dyDescent="0.2">
      <c r="A1790" s="335">
        <v>1001312875</v>
      </c>
      <c r="B1790" s="336" t="s">
        <v>2464</v>
      </c>
      <c r="C1790" s="336" t="s">
        <v>813</v>
      </c>
      <c r="D1790" s="336" t="s">
        <v>864</v>
      </c>
      <c r="E1790" s="336" t="s">
        <v>865</v>
      </c>
    </row>
    <row r="1791" spans="1:5" x14ac:dyDescent="0.2">
      <c r="A1791" s="335">
        <v>1001312896</v>
      </c>
      <c r="B1791" s="336" t="s">
        <v>2294</v>
      </c>
      <c r="C1791" s="336" t="s">
        <v>813</v>
      </c>
      <c r="D1791" s="336" t="s">
        <v>864</v>
      </c>
      <c r="E1791" s="336" t="s">
        <v>865</v>
      </c>
    </row>
    <row r="1792" spans="1:5" x14ac:dyDescent="0.2">
      <c r="A1792" s="335">
        <v>1001312945</v>
      </c>
      <c r="B1792" s="336" t="s">
        <v>2465</v>
      </c>
      <c r="C1792" s="336" t="s">
        <v>813</v>
      </c>
      <c r="D1792" s="336" t="s">
        <v>864</v>
      </c>
      <c r="E1792" s="336" t="s">
        <v>865</v>
      </c>
    </row>
    <row r="1793" spans="1:5" x14ac:dyDescent="0.2">
      <c r="A1793" s="335">
        <v>1001314030</v>
      </c>
      <c r="B1793" s="336" t="s">
        <v>2466</v>
      </c>
      <c r="C1793" s="336" t="s">
        <v>813</v>
      </c>
      <c r="D1793" s="336" t="s">
        <v>864</v>
      </c>
      <c r="E1793" s="336" t="s">
        <v>865</v>
      </c>
    </row>
    <row r="1794" spans="1:5" x14ac:dyDescent="0.2">
      <c r="A1794" s="335">
        <v>1001314276</v>
      </c>
      <c r="B1794" s="336" t="s">
        <v>2467</v>
      </c>
      <c r="C1794" s="336" t="s">
        <v>813</v>
      </c>
      <c r="D1794" s="336" t="s">
        <v>864</v>
      </c>
      <c r="E1794" s="336" t="s">
        <v>865</v>
      </c>
    </row>
    <row r="1795" spans="1:5" x14ac:dyDescent="0.2">
      <c r="A1795" s="335">
        <v>1001315088</v>
      </c>
      <c r="B1795" s="336" t="s">
        <v>2468</v>
      </c>
      <c r="C1795" s="336" t="s">
        <v>813</v>
      </c>
      <c r="D1795" s="336" t="s">
        <v>864</v>
      </c>
      <c r="E1795" s="336" t="s">
        <v>865</v>
      </c>
    </row>
    <row r="1796" spans="1:5" x14ac:dyDescent="0.2">
      <c r="A1796" s="335">
        <v>1001315135</v>
      </c>
      <c r="B1796" s="336" t="s">
        <v>2469</v>
      </c>
      <c r="C1796" s="336" t="s">
        <v>813</v>
      </c>
      <c r="D1796" s="336" t="s">
        <v>864</v>
      </c>
      <c r="E1796" s="336" t="s">
        <v>865</v>
      </c>
    </row>
    <row r="1797" spans="1:5" x14ac:dyDescent="0.2">
      <c r="A1797" s="335">
        <v>1001315346</v>
      </c>
      <c r="B1797" s="336" t="s">
        <v>2470</v>
      </c>
      <c r="C1797" s="336" t="s">
        <v>813</v>
      </c>
      <c r="D1797" s="336" t="s">
        <v>864</v>
      </c>
      <c r="E1797" s="336" t="s">
        <v>865</v>
      </c>
    </row>
    <row r="1798" spans="1:5" x14ac:dyDescent="0.2">
      <c r="A1798" s="335">
        <v>1001315347</v>
      </c>
      <c r="B1798" s="336" t="s">
        <v>2471</v>
      </c>
      <c r="C1798" s="336" t="s">
        <v>813</v>
      </c>
      <c r="D1798" s="336" t="s">
        <v>864</v>
      </c>
      <c r="E1798" s="336" t="s">
        <v>865</v>
      </c>
    </row>
    <row r="1799" spans="1:5" x14ac:dyDescent="0.2">
      <c r="A1799" s="335">
        <v>1001315349</v>
      </c>
      <c r="B1799" s="336" t="s">
        <v>1760</v>
      </c>
      <c r="C1799" s="336" t="s">
        <v>813</v>
      </c>
      <c r="D1799" s="336" t="s">
        <v>864</v>
      </c>
      <c r="E1799" s="336" t="s">
        <v>865</v>
      </c>
    </row>
    <row r="1800" spans="1:5" x14ac:dyDescent="0.2">
      <c r="A1800" s="335">
        <v>1001316030</v>
      </c>
      <c r="B1800" s="336" t="s">
        <v>1413</v>
      </c>
      <c r="C1800" s="336" t="s">
        <v>813</v>
      </c>
      <c r="D1800" s="336" t="s">
        <v>864</v>
      </c>
      <c r="E1800" s="336" t="s">
        <v>865</v>
      </c>
    </row>
    <row r="1801" spans="1:5" x14ac:dyDescent="0.2">
      <c r="A1801" s="335">
        <v>1001316031</v>
      </c>
      <c r="B1801" s="336" t="s">
        <v>1412</v>
      </c>
      <c r="C1801" s="336" t="s">
        <v>813</v>
      </c>
      <c r="D1801" s="336" t="s">
        <v>864</v>
      </c>
      <c r="E1801" s="336" t="s">
        <v>865</v>
      </c>
    </row>
    <row r="1802" spans="1:5" x14ac:dyDescent="0.2">
      <c r="A1802" s="335">
        <v>1001316035</v>
      </c>
      <c r="B1802" s="336" t="s">
        <v>2472</v>
      </c>
      <c r="C1802" s="336" t="s">
        <v>863</v>
      </c>
      <c r="D1802" s="336" t="s">
        <v>864</v>
      </c>
      <c r="E1802" s="336" t="s">
        <v>865</v>
      </c>
    </row>
    <row r="1803" spans="1:5" x14ac:dyDescent="0.2">
      <c r="A1803" s="335">
        <v>1001318083</v>
      </c>
      <c r="B1803" s="336" t="s">
        <v>2473</v>
      </c>
      <c r="C1803" s="336" t="s">
        <v>813</v>
      </c>
      <c r="D1803" s="336" t="s">
        <v>864</v>
      </c>
      <c r="E1803" s="336" t="s">
        <v>865</v>
      </c>
    </row>
    <row r="1804" spans="1:5" x14ac:dyDescent="0.2">
      <c r="A1804" s="335">
        <v>1001318088</v>
      </c>
      <c r="B1804" s="336" t="s">
        <v>2474</v>
      </c>
      <c r="C1804" s="336" t="s">
        <v>813</v>
      </c>
      <c r="D1804" s="336" t="s">
        <v>864</v>
      </c>
      <c r="E1804" s="336" t="s">
        <v>865</v>
      </c>
    </row>
    <row r="1805" spans="1:5" x14ac:dyDescent="0.2">
      <c r="A1805" s="335">
        <v>1001318089</v>
      </c>
      <c r="B1805" s="336" t="s">
        <v>2475</v>
      </c>
      <c r="C1805" s="336" t="s">
        <v>813</v>
      </c>
      <c r="D1805" s="336" t="s">
        <v>864</v>
      </c>
      <c r="E1805" s="336" t="s">
        <v>865</v>
      </c>
    </row>
    <row r="1806" spans="1:5" x14ac:dyDescent="0.2">
      <c r="A1806" s="335">
        <v>1001320302</v>
      </c>
      <c r="B1806" s="336" t="s">
        <v>1260</v>
      </c>
      <c r="C1806" s="336" t="s">
        <v>813</v>
      </c>
      <c r="D1806" s="336" t="s">
        <v>864</v>
      </c>
      <c r="E1806" s="336" t="s">
        <v>865</v>
      </c>
    </row>
    <row r="1807" spans="1:5" x14ac:dyDescent="0.2">
      <c r="A1807" s="335">
        <v>1001320307</v>
      </c>
      <c r="B1807" s="336" t="s">
        <v>2476</v>
      </c>
      <c r="C1807" s="336" t="s">
        <v>813</v>
      </c>
      <c r="D1807" s="336" t="s">
        <v>864</v>
      </c>
      <c r="E1807" s="336" t="s">
        <v>865</v>
      </c>
    </row>
    <row r="1808" spans="1:5" x14ac:dyDescent="0.2">
      <c r="A1808" s="335">
        <v>1001334720</v>
      </c>
      <c r="B1808" s="336" t="s">
        <v>1282</v>
      </c>
      <c r="C1808" s="336" t="s">
        <v>813</v>
      </c>
      <c r="D1808" s="336" t="s">
        <v>864</v>
      </c>
      <c r="E1808" s="336" t="s">
        <v>865</v>
      </c>
    </row>
    <row r="1809" spans="1:5" x14ac:dyDescent="0.2">
      <c r="A1809" s="335">
        <v>1001342090</v>
      </c>
      <c r="B1809" s="336" t="s">
        <v>1820</v>
      </c>
      <c r="C1809" s="336" t="s">
        <v>813</v>
      </c>
      <c r="D1809" s="336" t="s">
        <v>864</v>
      </c>
      <c r="E1809" s="336" t="s">
        <v>865</v>
      </c>
    </row>
    <row r="1810" spans="1:5" x14ac:dyDescent="0.2">
      <c r="A1810" s="335">
        <v>1001262140</v>
      </c>
      <c r="B1810" s="336" t="s">
        <v>2477</v>
      </c>
      <c r="C1810" s="336" t="s">
        <v>863</v>
      </c>
      <c r="D1810" s="336" t="s">
        <v>852</v>
      </c>
      <c r="E1810" s="336" t="s">
        <v>853</v>
      </c>
    </row>
    <row r="1811" spans="1:5" x14ac:dyDescent="0.2">
      <c r="A1811" s="335">
        <v>1001263099</v>
      </c>
      <c r="B1811" s="336" t="s">
        <v>2478</v>
      </c>
      <c r="C1811" s="336" t="s">
        <v>813</v>
      </c>
      <c r="D1811" s="336" t="s">
        <v>852</v>
      </c>
      <c r="E1811" s="336" t="s">
        <v>853</v>
      </c>
    </row>
    <row r="1812" spans="1:5" x14ac:dyDescent="0.2">
      <c r="A1812" s="335">
        <v>1001263122</v>
      </c>
      <c r="B1812" s="336" t="s">
        <v>979</v>
      </c>
      <c r="C1812" s="336" t="s">
        <v>797</v>
      </c>
      <c r="D1812" s="336" t="s">
        <v>852</v>
      </c>
      <c r="E1812" s="336" t="s">
        <v>853</v>
      </c>
    </row>
    <row r="1813" spans="1:5" x14ac:dyDescent="0.2">
      <c r="A1813" s="335">
        <v>1001263220</v>
      </c>
      <c r="B1813" s="336" t="s">
        <v>2479</v>
      </c>
      <c r="C1813" s="336" t="s">
        <v>797</v>
      </c>
      <c r="D1813" s="336" t="s">
        <v>852</v>
      </c>
      <c r="E1813" s="336" t="s">
        <v>853</v>
      </c>
    </row>
    <row r="1814" spans="1:5" x14ac:dyDescent="0.2">
      <c r="A1814" s="335">
        <v>1001263309</v>
      </c>
      <c r="B1814" s="336" t="s">
        <v>971</v>
      </c>
      <c r="C1814" s="336" t="s">
        <v>797</v>
      </c>
      <c r="D1814" s="336" t="s">
        <v>852</v>
      </c>
      <c r="E1814" s="336" t="s">
        <v>853</v>
      </c>
    </row>
    <row r="1815" spans="1:5" x14ac:dyDescent="0.2">
      <c r="A1815" s="335">
        <v>1001264594</v>
      </c>
      <c r="B1815" s="336" t="s">
        <v>2480</v>
      </c>
      <c r="C1815" s="336" t="s">
        <v>797</v>
      </c>
      <c r="D1815" s="336" t="s">
        <v>852</v>
      </c>
      <c r="E1815" s="336" t="s">
        <v>853</v>
      </c>
    </row>
    <row r="1816" spans="1:5" x14ac:dyDescent="0.2">
      <c r="A1816" s="335">
        <v>1001264597</v>
      </c>
      <c r="B1816" s="336" t="s">
        <v>2481</v>
      </c>
      <c r="C1816" s="336" t="s">
        <v>813</v>
      </c>
      <c r="D1816" s="336" t="s">
        <v>852</v>
      </c>
      <c r="E1816" s="336" t="s">
        <v>853</v>
      </c>
    </row>
    <row r="1817" spans="1:5" x14ac:dyDescent="0.2">
      <c r="A1817" s="335">
        <v>1001265735</v>
      </c>
      <c r="B1817" s="336" t="s">
        <v>979</v>
      </c>
      <c r="C1817" s="336" t="s">
        <v>797</v>
      </c>
      <c r="D1817" s="336" t="s">
        <v>852</v>
      </c>
      <c r="E1817" s="336" t="s">
        <v>853</v>
      </c>
    </row>
    <row r="1818" spans="1:5" x14ac:dyDescent="0.2">
      <c r="A1818" s="335">
        <v>1001265905</v>
      </c>
      <c r="B1818" s="336" t="s">
        <v>2482</v>
      </c>
      <c r="C1818" s="336" t="s">
        <v>813</v>
      </c>
      <c r="D1818" s="336" t="s">
        <v>852</v>
      </c>
      <c r="E1818" s="336" t="s">
        <v>853</v>
      </c>
    </row>
    <row r="1819" spans="1:5" x14ac:dyDescent="0.2">
      <c r="A1819" s="335">
        <v>1001266106</v>
      </c>
      <c r="B1819" s="336" t="s">
        <v>2483</v>
      </c>
      <c r="C1819" s="336" t="s">
        <v>797</v>
      </c>
      <c r="D1819" s="336" t="s">
        <v>852</v>
      </c>
      <c r="E1819" s="336" t="s">
        <v>853</v>
      </c>
    </row>
    <row r="1820" spans="1:5" x14ac:dyDescent="0.2">
      <c r="A1820" s="335">
        <v>1001266348</v>
      </c>
      <c r="B1820" s="336" t="s">
        <v>2484</v>
      </c>
      <c r="C1820" s="336" t="s">
        <v>813</v>
      </c>
      <c r="D1820" s="336" t="s">
        <v>852</v>
      </c>
      <c r="E1820" s="336" t="s">
        <v>853</v>
      </c>
    </row>
    <row r="1821" spans="1:5" x14ac:dyDescent="0.2">
      <c r="A1821" s="335">
        <v>1001266502</v>
      </c>
      <c r="B1821" s="336" t="s">
        <v>2434</v>
      </c>
      <c r="C1821" s="336" t="s">
        <v>813</v>
      </c>
      <c r="D1821" s="336" t="s">
        <v>852</v>
      </c>
      <c r="E1821" s="336" t="s">
        <v>853</v>
      </c>
    </row>
    <row r="1822" spans="1:5" x14ac:dyDescent="0.2">
      <c r="A1822" s="335">
        <v>1001266582</v>
      </c>
      <c r="B1822" s="336" t="s">
        <v>2485</v>
      </c>
      <c r="C1822" s="336" t="s">
        <v>863</v>
      </c>
      <c r="D1822" s="336" t="s">
        <v>852</v>
      </c>
      <c r="E1822" s="336" t="s">
        <v>853</v>
      </c>
    </row>
    <row r="1823" spans="1:5" x14ac:dyDescent="0.2">
      <c r="A1823" s="335">
        <v>1001266584</v>
      </c>
      <c r="B1823" s="336" t="s">
        <v>2486</v>
      </c>
      <c r="C1823" s="336" t="s">
        <v>863</v>
      </c>
      <c r="D1823" s="336" t="s">
        <v>852</v>
      </c>
      <c r="E1823" s="336" t="s">
        <v>853</v>
      </c>
    </row>
    <row r="1824" spans="1:5" x14ac:dyDescent="0.2">
      <c r="A1824" s="335">
        <v>1001266585</v>
      </c>
      <c r="B1824" s="336" t="s">
        <v>2487</v>
      </c>
      <c r="C1824" s="336" t="s">
        <v>863</v>
      </c>
      <c r="D1824" s="336" t="s">
        <v>852</v>
      </c>
      <c r="E1824" s="336" t="s">
        <v>853</v>
      </c>
    </row>
    <row r="1825" spans="1:5" x14ac:dyDescent="0.2">
      <c r="A1825" s="335">
        <v>1001266586</v>
      </c>
      <c r="B1825" s="336" t="s">
        <v>2488</v>
      </c>
      <c r="C1825" s="336" t="s">
        <v>863</v>
      </c>
      <c r="D1825" s="336" t="s">
        <v>852</v>
      </c>
      <c r="E1825" s="336" t="s">
        <v>853</v>
      </c>
    </row>
    <row r="1826" spans="1:5" x14ac:dyDescent="0.2">
      <c r="A1826" s="335">
        <v>1001266587</v>
      </c>
      <c r="B1826" s="336" t="s">
        <v>2489</v>
      </c>
      <c r="C1826" s="336" t="s">
        <v>863</v>
      </c>
      <c r="D1826" s="336" t="s">
        <v>852</v>
      </c>
      <c r="E1826" s="336" t="s">
        <v>853</v>
      </c>
    </row>
    <row r="1827" spans="1:5" x14ac:dyDescent="0.2">
      <c r="A1827" s="335">
        <v>1001266749</v>
      </c>
      <c r="B1827" s="336" t="s">
        <v>986</v>
      </c>
      <c r="C1827" s="336" t="s">
        <v>797</v>
      </c>
      <c r="D1827" s="336" t="s">
        <v>852</v>
      </c>
      <c r="E1827" s="336" t="s">
        <v>853</v>
      </c>
    </row>
    <row r="1828" spans="1:5" x14ac:dyDescent="0.2">
      <c r="A1828" s="335">
        <v>1001266833</v>
      </c>
      <c r="B1828" s="336" t="s">
        <v>964</v>
      </c>
      <c r="C1828" s="336" t="s">
        <v>797</v>
      </c>
      <c r="D1828" s="336" t="s">
        <v>852</v>
      </c>
      <c r="E1828" s="336" t="s">
        <v>853</v>
      </c>
    </row>
    <row r="1829" spans="1:5" x14ac:dyDescent="0.2">
      <c r="A1829" s="335">
        <v>1001266855</v>
      </c>
      <c r="B1829" s="336" t="s">
        <v>2490</v>
      </c>
      <c r="C1829" s="336" t="s">
        <v>813</v>
      </c>
      <c r="D1829" s="336" t="s">
        <v>852</v>
      </c>
      <c r="E1829" s="336" t="s">
        <v>853</v>
      </c>
    </row>
    <row r="1830" spans="1:5" x14ac:dyDescent="0.2">
      <c r="A1830" s="335">
        <v>1001266857</v>
      </c>
      <c r="B1830" s="336" t="s">
        <v>990</v>
      </c>
      <c r="C1830" s="336" t="s">
        <v>813</v>
      </c>
      <c r="D1830" s="336" t="s">
        <v>852</v>
      </c>
      <c r="E1830" s="336" t="s">
        <v>853</v>
      </c>
    </row>
    <row r="1831" spans="1:5" x14ac:dyDescent="0.2">
      <c r="A1831" s="335">
        <v>1001266859</v>
      </c>
      <c r="B1831" s="336" t="s">
        <v>1100</v>
      </c>
      <c r="C1831" s="336" t="s">
        <v>797</v>
      </c>
      <c r="D1831" s="336" t="s">
        <v>852</v>
      </c>
      <c r="E1831" s="336" t="s">
        <v>853</v>
      </c>
    </row>
    <row r="1832" spans="1:5" x14ac:dyDescent="0.2">
      <c r="A1832" s="335">
        <v>1001266863</v>
      </c>
      <c r="B1832" s="336" t="s">
        <v>2491</v>
      </c>
      <c r="C1832" s="336" t="s">
        <v>813</v>
      </c>
      <c r="D1832" s="336" t="s">
        <v>852</v>
      </c>
      <c r="E1832" s="336" t="s">
        <v>853</v>
      </c>
    </row>
    <row r="1833" spans="1:5" x14ac:dyDescent="0.2">
      <c r="A1833" s="335">
        <v>1001266872</v>
      </c>
      <c r="B1833" s="336" t="s">
        <v>988</v>
      </c>
      <c r="C1833" s="336" t="s">
        <v>797</v>
      </c>
      <c r="D1833" s="336" t="s">
        <v>852</v>
      </c>
      <c r="E1833" s="336" t="s">
        <v>853</v>
      </c>
    </row>
    <row r="1834" spans="1:5" x14ac:dyDescent="0.2">
      <c r="A1834" s="335">
        <v>1001266901</v>
      </c>
      <c r="B1834" s="336" t="s">
        <v>2492</v>
      </c>
      <c r="C1834" s="336" t="s">
        <v>813</v>
      </c>
      <c r="D1834" s="336" t="s">
        <v>852</v>
      </c>
      <c r="E1834" s="336" t="s">
        <v>853</v>
      </c>
    </row>
    <row r="1835" spans="1:5" x14ac:dyDescent="0.2">
      <c r="A1835" s="335">
        <v>1001267001</v>
      </c>
      <c r="B1835" s="336" t="s">
        <v>2493</v>
      </c>
      <c r="C1835" s="336" t="s">
        <v>813</v>
      </c>
      <c r="D1835" s="336" t="s">
        <v>852</v>
      </c>
      <c r="E1835" s="336" t="s">
        <v>853</v>
      </c>
    </row>
    <row r="1836" spans="1:5" x14ac:dyDescent="0.2">
      <c r="A1836" s="335">
        <v>1001267003</v>
      </c>
      <c r="B1836" s="336" t="s">
        <v>2494</v>
      </c>
      <c r="C1836" s="336" t="s">
        <v>813</v>
      </c>
      <c r="D1836" s="336" t="s">
        <v>852</v>
      </c>
      <c r="E1836" s="336" t="s">
        <v>853</v>
      </c>
    </row>
    <row r="1837" spans="1:5" x14ac:dyDescent="0.2">
      <c r="A1837" s="335">
        <v>1001267060</v>
      </c>
      <c r="B1837" s="336" t="s">
        <v>2495</v>
      </c>
      <c r="C1837" s="336" t="s">
        <v>813</v>
      </c>
      <c r="D1837" s="336" t="s">
        <v>852</v>
      </c>
      <c r="E1837" s="336" t="s">
        <v>853</v>
      </c>
    </row>
    <row r="1838" spans="1:5" x14ac:dyDescent="0.2">
      <c r="A1838" s="335">
        <v>1001267085</v>
      </c>
      <c r="B1838" s="336" t="s">
        <v>1012</v>
      </c>
      <c r="C1838" s="336" t="s">
        <v>797</v>
      </c>
      <c r="D1838" s="336" t="s">
        <v>852</v>
      </c>
      <c r="E1838" s="336" t="s">
        <v>853</v>
      </c>
    </row>
    <row r="1839" spans="1:5" x14ac:dyDescent="0.2">
      <c r="A1839" s="335">
        <v>1001267466</v>
      </c>
      <c r="B1839" s="336" t="s">
        <v>2496</v>
      </c>
      <c r="C1839" s="336" t="s">
        <v>813</v>
      </c>
      <c r="D1839" s="336" t="s">
        <v>852</v>
      </c>
      <c r="E1839" s="336" t="s">
        <v>853</v>
      </c>
    </row>
    <row r="1840" spans="1:5" x14ac:dyDescent="0.2">
      <c r="A1840" s="335">
        <v>1001267519</v>
      </c>
      <c r="B1840" s="336" t="s">
        <v>2497</v>
      </c>
      <c r="C1840" s="336" t="s">
        <v>813</v>
      </c>
      <c r="D1840" s="336" t="s">
        <v>852</v>
      </c>
      <c r="E1840" s="336" t="s">
        <v>853</v>
      </c>
    </row>
    <row r="1841" spans="1:5" x14ac:dyDescent="0.2">
      <c r="A1841" s="335">
        <v>1001267544</v>
      </c>
      <c r="B1841" s="336" t="s">
        <v>2498</v>
      </c>
      <c r="C1841" s="336" t="s">
        <v>813</v>
      </c>
      <c r="D1841" s="336" t="s">
        <v>852</v>
      </c>
      <c r="E1841" s="336" t="s">
        <v>853</v>
      </c>
    </row>
    <row r="1842" spans="1:5" x14ac:dyDescent="0.2">
      <c r="A1842" s="335">
        <v>1001267560</v>
      </c>
      <c r="B1842" s="336" t="s">
        <v>2499</v>
      </c>
      <c r="C1842" s="336" t="s">
        <v>813</v>
      </c>
      <c r="D1842" s="336" t="s">
        <v>852</v>
      </c>
      <c r="E1842" s="336" t="s">
        <v>853</v>
      </c>
    </row>
    <row r="1843" spans="1:5" x14ac:dyDescent="0.2">
      <c r="A1843" s="335">
        <v>1001267561</v>
      </c>
      <c r="B1843" s="336" t="s">
        <v>2500</v>
      </c>
      <c r="C1843" s="336" t="s">
        <v>813</v>
      </c>
      <c r="D1843" s="336" t="s">
        <v>852</v>
      </c>
      <c r="E1843" s="336" t="s">
        <v>853</v>
      </c>
    </row>
    <row r="1844" spans="1:5" x14ac:dyDescent="0.2">
      <c r="A1844" s="335">
        <v>1001267562</v>
      </c>
      <c r="B1844" s="336" t="s">
        <v>2501</v>
      </c>
      <c r="C1844" s="336" t="s">
        <v>813</v>
      </c>
      <c r="D1844" s="336" t="s">
        <v>852</v>
      </c>
      <c r="E1844" s="336" t="s">
        <v>853</v>
      </c>
    </row>
    <row r="1845" spans="1:5" x14ac:dyDescent="0.2">
      <c r="A1845" s="335">
        <v>1001267565</v>
      </c>
      <c r="B1845" s="336" t="s">
        <v>2502</v>
      </c>
      <c r="C1845" s="336" t="s">
        <v>813</v>
      </c>
      <c r="D1845" s="336" t="s">
        <v>852</v>
      </c>
      <c r="E1845" s="336" t="s">
        <v>853</v>
      </c>
    </row>
    <row r="1846" spans="1:5" x14ac:dyDescent="0.2">
      <c r="A1846" s="335">
        <v>1001268367</v>
      </c>
      <c r="B1846" s="336" t="s">
        <v>2503</v>
      </c>
      <c r="C1846" s="336" t="s">
        <v>813</v>
      </c>
      <c r="D1846" s="336" t="s">
        <v>852</v>
      </c>
      <c r="E1846" s="336" t="s">
        <v>853</v>
      </c>
    </row>
    <row r="1847" spans="1:5" x14ac:dyDescent="0.2">
      <c r="A1847" s="335">
        <v>1001268368</v>
      </c>
      <c r="B1847" s="336" t="s">
        <v>2504</v>
      </c>
      <c r="C1847" s="336" t="s">
        <v>813</v>
      </c>
      <c r="D1847" s="336" t="s">
        <v>852</v>
      </c>
      <c r="E1847" s="336" t="s">
        <v>853</v>
      </c>
    </row>
    <row r="1848" spans="1:5" x14ac:dyDescent="0.2">
      <c r="A1848" s="335">
        <v>1001268507</v>
      </c>
      <c r="B1848" s="336" t="s">
        <v>2505</v>
      </c>
      <c r="C1848" s="336" t="s">
        <v>797</v>
      </c>
      <c r="D1848" s="336" t="s">
        <v>852</v>
      </c>
      <c r="E1848" s="336" t="s">
        <v>853</v>
      </c>
    </row>
    <row r="1849" spans="1:5" x14ac:dyDescent="0.2">
      <c r="A1849" s="335">
        <v>1001268570</v>
      </c>
      <c r="B1849" s="336" t="s">
        <v>2506</v>
      </c>
      <c r="C1849" s="336" t="s">
        <v>797</v>
      </c>
      <c r="D1849" s="336" t="s">
        <v>852</v>
      </c>
      <c r="E1849" s="336" t="s">
        <v>853</v>
      </c>
    </row>
    <row r="1850" spans="1:5" x14ac:dyDescent="0.2">
      <c r="A1850" s="335">
        <v>1001268572</v>
      </c>
      <c r="B1850" s="336" t="s">
        <v>2507</v>
      </c>
      <c r="C1850" s="336" t="s">
        <v>813</v>
      </c>
      <c r="D1850" s="336" t="s">
        <v>852</v>
      </c>
      <c r="E1850" s="336" t="s">
        <v>853</v>
      </c>
    </row>
    <row r="1851" spans="1:5" x14ac:dyDescent="0.2">
      <c r="A1851" s="335">
        <v>1001268791</v>
      </c>
      <c r="B1851" s="336" t="s">
        <v>908</v>
      </c>
      <c r="C1851" s="336" t="s">
        <v>813</v>
      </c>
      <c r="D1851" s="336" t="s">
        <v>852</v>
      </c>
      <c r="E1851" s="336" t="s">
        <v>853</v>
      </c>
    </row>
    <row r="1852" spans="1:5" x14ac:dyDescent="0.2">
      <c r="A1852" s="335">
        <v>1001268829</v>
      </c>
      <c r="B1852" s="336" t="s">
        <v>785</v>
      </c>
      <c r="C1852" s="336" t="s">
        <v>797</v>
      </c>
      <c r="D1852" s="336" t="s">
        <v>852</v>
      </c>
      <c r="E1852" s="336" t="s">
        <v>853</v>
      </c>
    </row>
    <row r="1853" spans="1:5" x14ac:dyDescent="0.2">
      <c r="A1853" s="335">
        <v>1001268839</v>
      </c>
      <c r="B1853" s="336" t="s">
        <v>911</v>
      </c>
      <c r="C1853" s="336" t="s">
        <v>863</v>
      </c>
      <c r="D1853" s="336" t="s">
        <v>852</v>
      </c>
      <c r="E1853" s="336" t="s">
        <v>853</v>
      </c>
    </row>
    <row r="1854" spans="1:5" x14ac:dyDescent="0.2">
      <c r="A1854" s="335">
        <v>1001268850</v>
      </c>
      <c r="B1854" s="336" t="s">
        <v>911</v>
      </c>
      <c r="C1854" s="336" t="s">
        <v>797</v>
      </c>
      <c r="D1854" s="336" t="s">
        <v>852</v>
      </c>
      <c r="E1854" s="336" t="s">
        <v>853</v>
      </c>
    </row>
    <row r="1855" spans="1:5" x14ac:dyDescent="0.2">
      <c r="A1855" s="335">
        <v>1001268856</v>
      </c>
      <c r="B1855" s="336" t="s">
        <v>2508</v>
      </c>
      <c r="C1855" s="336" t="s">
        <v>797</v>
      </c>
      <c r="D1855" s="336" t="s">
        <v>852</v>
      </c>
      <c r="E1855" s="336" t="s">
        <v>853</v>
      </c>
    </row>
    <row r="1856" spans="1:5" x14ac:dyDescent="0.2">
      <c r="A1856" s="335">
        <v>1001268859</v>
      </c>
      <c r="B1856" s="336" t="s">
        <v>2509</v>
      </c>
      <c r="C1856" s="336" t="s">
        <v>813</v>
      </c>
      <c r="D1856" s="336" t="s">
        <v>852</v>
      </c>
      <c r="E1856" s="336" t="s">
        <v>853</v>
      </c>
    </row>
    <row r="1857" spans="1:5" x14ac:dyDescent="0.2">
      <c r="A1857" s="335">
        <v>1001268860</v>
      </c>
      <c r="B1857" s="336" t="s">
        <v>942</v>
      </c>
      <c r="C1857" s="336" t="s">
        <v>813</v>
      </c>
      <c r="D1857" s="336" t="s">
        <v>852</v>
      </c>
      <c r="E1857" s="336" t="s">
        <v>853</v>
      </c>
    </row>
    <row r="1858" spans="1:5" x14ac:dyDescent="0.2">
      <c r="A1858" s="335">
        <v>1001268861</v>
      </c>
      <c r="B1858" s="336" t="s">
        <v>943</v>
      </c>
      <c r="C1858" s="336" t="s">
        <v>813</v>
      </c>
      <c r="D1858" s="336" t="s">
        <v>852</v>
      </c>
      <c r="E1858" s="336" t="s">
        <v>853</v>
      </c>
    </row>
    <row r="1859" spans="1:5" x14ac:dyDescent="0.2">
      <c r="A1859" s="335">
        <v>1001268865</v>
      </c>
      <c r="B1859" s="336" t="s">
        <v>1662</v>
      </c>
      <c r="C1859" s="336" t="s">
        <v>797</v>
      </c>
      <c r="D1859" s="336" t="s">
        <v>852</v>
      </c>
      <c r="E1859" s="336" t="s">
        <v>853</v>
      </c>
    </row>
    <row r="1860" spans="1:5" x14ac:dyDescent="0.2">
      <c r="A1860" s="335">
        <v>1001268866</v>
      </c>
      <c r="B1860" s="336" t="s">
        <v>2487</v>
      </c>
      <c r="C1860" s="336" t="s">
        <v>797</v>
      </c>
      <c r="D1860" s="336" t="s">
        <v>852</v>
      </c>
      <c r="E1860" s="336" t="s">
        <v>853</v>
      </c>
    </row>
    <row r="1861" spans="1:5" x14ac:dyDescent="0.2">
      <c r="A1861" s="335">
        <v>1001268867</v>
      </c>
      <c r="B1861" s="336" t="s">
        <v>2510</v>
      </c>
      <c r="C1861" s="336" t="s">
        <v>797</v>
      </c>
      <c r="D1861" s="336" t="s">
        <v>852</v>
      </c>
      <c r="E1861" s="336" t="s">
        <v>853</v>
      </c>
    </row>
    <row r="1862" spans="1:5" x14ac:dyDescent="0.2">
      <c r="A1862" s="335">
        <v>1001268943</v>
      </c>
      <c r="B1862" s="336" t="s">
        <v>2506</v>
      </c>
      <c r="C1862" s="336" t="s">
        <v>813</v>
      </c>
      <c r="D1862" s="336" t="s">
        <v>852</v>
      </c>
      <c r="E1862" s="336" t="s">
        <v>853</v>
      </c>
    </row>
    <row r="1863" spans="1:5" x14ac:dyDescent="0.2">
      <c r="A1863" s="335">
        <v>1001268944</v>
      </c>
      <c r="B1863" s="336" t="s">
        <v>2511</v>
      </c>
      <c r="C1863" s="336" t="s">
        <v>813</v>
      </c>
      <c r="D1863" s="336" t="s">
        <v>852</v>
      </c>
      <c r="E1863" s="336" t="s">
        <v>853</v>
      </c>
    </row>
    <row r="1864" spans="1:5" x14ac:dyDescent="0.2">
      <c r="A1864" s="335">
        <v>1001268945</v>
      </c>
      <c r="B1864" s="336" t="s">
        <v>2512</v>
      </c>
      <c r="C1864" s="336" t="s">
        <v>813</v>
      </c>
      <c r="D1864" s="336" t="s">
        <v>852</v>
      </c>
      <c r="E1864" s="336" t="s">
        <v>853</v>
      </c>
    </row>
    <row r="1865" spans="1:5" x14ac:dyDescent="0.2">
      <c r="A1865" s="335">
        <v>1001268946</v>
      </c>
      <c r="B1865" s="336" t="s">
        <v>2513</v>
      </c>
      <c r="C1865" s="336" t="s">
        <v>813</v>
      </c>
      <c r="D1865" s="336" t="s">
        <v>852</v>
      </c>
      <c r="E1865" s="336" t="s">
        <v>853</v>
      </c>
    </row>
    <row r="1866" spans="1:5" x14ac:dyDescent="0.2">
      <c r="A1866" s="335">
        <v>1001269032</v>
      </c>
      <c r="B1866" s="336" t="s">
        <v>2514</v>
      </c>
      <c r="C1866" s="336" t="s">
        <v>797</v>
      </c>
      <c r="D1866" s="336" t="s">
        <v>852</v>
      </c>
      <c r="E1866" s="336" t="s">
        <v>853</v>
      </c>
    </row>
    <row r="1867" spans="1:5" x14ac:dyDescent="0.2">
      <c r="A1867" s="335">
        <v>1001269041</v>
      </c>
      <c r="B1867" s="336" t="s">
        <v>2515</v>
      </c>
      <c r="C1867" s="336" t="s">
        <v>797</v>
      </c>
      <c r="D1867" s="336" t="s">
        <v>852</v>
      </c>
      <c r="E1867" s="336" t="s">
        <v>853</v>
      </c>
    </row>
    <row r="1868" spans="1:5" x14ac:dyDescent="0.2">
      <c r="A1868" s="335">
        <v>1001269174</v>
      </c>
      <c r="B1868" s="336" t="s">
        <v>2516</v>
      </c>
      <c r="C1868" s="336" t="s">
        <v>813</v>
      </c>
      <c r="D1868" s="336" t="s">
        <v>852</v>
      </c>
      <c r="E1868" s="336" t="s">
        <v>853</v>
      </c>
    </row>
    <row r="1869" spans="1:5" x14ac:dyDescent="0.2">
      <c r="A1869" s="335">
        <v>1001269379</v>
      </c>
      <c r="B1869" s="336" t="s">
        <v>2517</v>
      </c>
      <c r="C1869" s="336" t="s">
        <v>797</v>
      </c>
      <c r="D1869" s="336" t="s">
        <v>852</v>
      </c>
      <c r="E1869" s="336" t="s">
        <v>853</v>
      </c>
    </row>
    <row r="1870" spans="1:5" x14ac:dyDescent="0.2">
      <c r="A1870" s="335">
        <v>1001269458</v>
      </c>
      <c r="B1870" s="336" t="s">
        <v>2518</v>
      </c>
      <c r="C1870" s="336" t="s">
        <v>797</v>
      </c>
      <c r="D1870" s="336" t="s">
        <v>852</v>
      </c>
      <c r="E1870" s="336" t="s">
        <v>853</v>
      </c>
    </row>
    <row r="1871" spans="1:5" x14ac:dyDescent="0.2">
      <c r="A1871" s="335">
        <v>1001269644</v>
      </c>
      <c r="B1871" s="336" t="s">
        <v>2519</v>
      </c>
      <c r="C1871" s="336" t="s">
        <v>813</v>
      </c>
      <c r="D1871" s="336" t="s">
        <v>852</v>
      </c>
      <c r="E1871" s="336" t="s">
        <v>853</v>
      </c>
    </row>
    <row r="1872" spans="1:5" x14ac:dyDescent="0.2">
      <c r="A1872" s="335">
        <v>1001269645</v>
      </c>
      <c r="B1872" s="336" t="s">
        <v>2520</v>
      </c>
      <c r="C1872" s="336" t="s">
        <v>813</v>
      </c>
      <c r="D1872" s="336" t="s">
        <v>852</v>
      </c>
      <c r="E1872" s="336" t="s">
        <v>853</v>
      </c>
    </row>
    <row r="1873" spans="1:5" x14ac:dyDescent="0.2">
      <c r="A1873" s="335">
        <v>1001269646</v>
      </c>
      <c r="B1873" s="336" t="s">
        <v>2521</v>
      </c>
      <c r="C1873" s="336" t="s">
        <v>813</v>
      </c>
      <c r="D1873" s="336" t="s">
        <v>852</v>
      </c>
      <c r="E1873" s="336" t="s">
        <v>853</v>
      </c>
    </row>
    <row r="1874" spans="1:5" x14ac:dyDescent="0.2">
      <c r="A1874" s="335">
        <v>1001269647</v>
      </c>
      <c r="B1874" s="336" t="s">
        <v>2522</v>
      </c>
      <c r="C1874" s="336" t="s">
        <v>813</v>
      </c>
      <c r="D1874" s="336" t="s">
        <v>852</v>
      </c>
      <c r="E1874" s="336" t="s">
        <v>853</v>
      </c>
    </row>
    <row r="1875" spans="1:5" x14ac:dyDescent="0.2">
      <c r="A1875" s="335">
        <v>1001269648</v>
      </c>
      <c r="B1875" s="336" t="s">
        <v>2523</v>
      </c>
      <c r="C1875" s="336" t="s">
        <v>813</v>
      </c>
      <c r="D1875" s="336" t="s">
        <v>852</v>
      </c>
      <c r="E1875" s="336" t="s">
        <v>853</v>
      </c>
    </row>
    <row r="1876" spans="1:5" x14ac:dyDescent="0.2">
      <c r="A1876" s="335">
        <v>1001269649</v>
      </c>
      <c r="B1876" s="336" t="s">
        <v>2524</v>
      </c>
      <c r="C1876" s="336" t="s">
        <v>813</v>
      </c>
      <c r="D1876" s="336" t="s">
        <v>852</v>
      </c>
      <c r="E1876" s="336" t="s">
        <v>853</v>
      </c>
    </row>
    <row r="1877" spans="1:5" x14ac:dyDescent="0.2">
      <c r="A1877" s="335">
        <v>1001269670</v>
      </c>
      <c r="B1877" s="336" t="s">
        <v>2525</v>
      </c>
      <c r="C1877" s="336" t="s">
        <v>813</v>
      </c>
      <c r="D1877" s="336" t="s">
        <v>852</v>
      </c>
      <c r="E1877" s="336" t="s">
        <v>853</v>
      </c>
    </row>
    <row r="1878" spans="1:5" x14ac:dyDescent="0.2">
      <c r="A1878" s="335">
        <v>1001269671</v>
      </c>
      <c r="B1878" s="336" t="s">
        <v>2526</v>
      </c>
      <c r="C1878" s="336" t="s">
        <v>813</v>
      </c>
      <c r="D1878" s="336" t="s">
        <v>852</v>
      </c>
      <c r="E1878" s="336" t="s">
        <v>853</v>
      </c>
    </row>
    <row r="1879" spans="1:5" x14ac:dyDescent="0.2">
      <c r="A1879" s="335">
        <v>1001269673</v>
      </c>
      <c r="B1879" s="336" t="s">
        <v>2527</v>
      </c>
      <c r="C1879" s="336" t="s">
        <v>813</v>
      </c>
      <c r="D1879" s="336" t="s">
        <v>852</v>
      </c>
      <c r="E1879" s="336" t="s">
        <v>853</v>
      </c>
    </row>
    <row r="1880" spans="1:5" x14ac:dyDescent="0.2">
      <c r="A1880" s="335">
        <v>1001269748</v>
      </c>
      <c r="B1880" s="336" t="s">
        <v>2528</v>
      </c>
      <c r="C1880" s="336" t="s">
        <v>813</v>
      </c>
      <c r="D1880" s="336" t="s">
        <v>852</v>
      </c>
      <c r="E1880" s="336" t="s">
        <v>853</v>
      </c>
    </row>
    <row r="1881" spans="1:5" x14ac:dyDescent="0.2">
      <c r="A1881" s="335">
        <v>1001270072</v>
      </c>
      <c r="B1881" s="336" t="s">
        <v>2529</v>
      </c>
      <c r="C1881" s="336" t="s">
        <v>813</v>
      </c>
      <c r="D1881" s="336" t="s">
        <v>852</v>
      </c>
      <c r="E1881" s="336" t="s">
        <v>853</v>
      </c>
    </row>
    <row r="1882" spans="1:5" x14ac:dyDescent="0.2">
      <c r="A1882" s="335">
        <v>1001270078</v>
      </c>
      <c r="B1882" s="336" t="s">
        <v>870</v>
      </c>
      <c r="C1882" s="336" t="s">
        <v>797</v>
      </c>
      <c r="D1882" s="336" t="s">
        <v>852</v>
      </c>
      <c r="E1882" s="336" t="s">
        <v>853</v>
      </c>
    </row>
    <row r="1883" spans="1:5" x14ac:dyDescent="0.2">
      <c r="A1883" s="335">
        <v>1001270091</v>
      </c>
      <c r="B1883" s="336" t="s">
        <v>869</v>
      </c>
      <c r="C1883" s="336" t="s">
        <v>797</v>
      </c>
      <c r="D1883" s="336" t="s">
        <v>852</v>
      </c>
      <c r="E1883" s="336" t="s">
        <v>853</v>
      </c>
    </row>
    <row r="1884" spans="1:5" x14ac:dyDescent="0.2">
      <c r="A1884" s="335">
        <v>1001270162</v>
      </c>
      <c r="B1884" s="336" t="s">
        <v>2530</v>
      </c>
      <c r="C1884" s="336" t="s">
        <v>797</v>
      </c>
      <c r="D1884" s="336" t="s">
        <v>852</v>
      </c>
      <c r="E1884" s="336" t="s">
        <v>853</v>
      </c>
    </row>
    <row r="1885" spans="1:5" x14ac:dyDescent="0.2">
      <c r="A1885" s="335">
        <v>1001270170</v>
      </c>
      <c r="B1885" s="336" t="s">
        <v>2531</v>
      </c>
      <c r="C1885" s="336" t="s">
        <v>797</v>
      </c>
      <c r="D1885" s="336" t="s">
        <v>852</v>
      </c>
      <c r="E1885" s="336" t="s">
        <v>853</v>
      </c>
    </row>
    <row r="1886" spans="1:5" x14ac:dyDescent="0.2">
      <c r="A1886" s="335">
        <v>1001270173</v>
      </c>
      <c r="B1886" s="336" t="s">
        <v>2532</v>
      </c>
      <c r="C1886" s="336" t="s">
        <v>813</v>
      </c>
      <c r="D1886" s="336" t="s">
        <v>852</v>
      </c>
      <c r="E1886" s="336" t="s">
        <v>853</v>
      </c>
    </row>
    <row r="1887" spans="1:5" x14ac:dyDescent="0.2">
      <c r="A1887" s="335">
        <v>1001270479</v>
      </c>
      <c r="B1887" s="336" t="s">
        <v>925</v>
      </c>
      <c r="C1887" s="336" t="s">
        <v>797</v>
      </c>
      <c r="D1887" s="336" t="s">
        <v>852</v>
      </c>
      <c r="E1887" s="336" t="s">
        <v>853</v>
      </c>
    </row>
    <row r="1888" spans="1:5" x14ac:dyDescent="0.2">
      <c r="A1888" s="335">
        <v>1001270591</v>
      </c>
      <c r="B1888" s="336" t="s">
        <v>2533</v>
      </c>
      <c r="C1888" s="336" t="s">
        <v>813</v>
      </c>
      <c r="D1888" s="336" t="s">
        <v>852</v>
      </c>
      <c r="E1888" s="336" t="s">
        <v>853</v>
      </c>
    </row>
    <row r="1889" spans="1:5" x14ac:dyDescent="0.2">
      <c r="A1889" s="335">
        <v>1001270674</v>
      </c>
      <c r="B1889" s="336" t="s">
        <v>811</v>
      </c>
      <c r="C1889" s="336" t="s">
        <v>797</v>
      </c>
      <c r="D1889" s="336" t="s">
        <v>852</v>
      </c>
      <c r="E1889" s="336" t="s">
        <v>853</v>
      </c>
    </row>
    <row r="1890" spans="1:5" x14ac:dyDescent="0.2">
      <c r="A1890" s="335">
        <v>1001270720</v>
      </c>
      <c r="B1890" s="336" t="s">
        <v>2534</v>
      </c>
      <c r="C1890" s="336" t="s">
        <v>813</v>
      </c>
      <c r="D1890" s="336" t="s">
        <v>852</v>
      </c>
      <c r="E1890" s="336" t="s">
        <v>853</v>
      </c>
    </row>
    <row r="1891" spans="1:5" x14ac:dyDescent="0.2">
      <c r="A1891" s="335">
        <v>1001271005</v>
      </c>
      <c r="B1891" s="336" t="s">
        <v>843</v>
      </c>
      <c r="C1891" s="336" t="s">
        <v>797</v>
      </c>
      <c r="D1891" s="336" t="s">
        <v>852</v>
      </c>
      <c r="E1891" s="336" t="s">
        <v>853</v>
      </c>
    </row>
    <row r="1892" spans="1:5" x14ac:dyDescent="0.2">
      <c r="A1892" s="335">
        <v>1001271254</v>
      </c>
      <c r="B1892" s="336" t="s">
        <v>2535</v>
      </c>
      <c r="C1892" s="336" t="s">
        <v>797</v>
      </c>
      <c r="D1892" s="336" t="s">
        <v>852</v>
      </c>
      <c r="E1892" s="336" t="s">
        <v>853</v>
      </c>
    </row>
    <row r="1893" spans="1:5" x14ac:dyDescent="0.2">
      <c r="A1893" s="335">
        <v>1001271255</v>
      </c>
      <c r="B1893" s="336" t="s">
        <v>2536</v>
      </c>
      <c r="C1893" s="336" t="s">
        <v>797</v>
      </c>
      <c r="D1893" s="336" t="s">
        <v>852</v>
      </c>
      <c r="E1893" s="336" t="s">
        <v>853</v>
      </c>
    </row>
    <row r="1894" spans="1:5" x14ac:dyDescent="0.2">
      <c r="A1894" s="335">
        <v>1001271256</v>
      </c>
      <c r="B1894" s="336" t="s">
        <v>2487</v>
      </c>
      <c r="C1894" s="336" t="s">
        <v>797</v>
      </c>
      <c r="D1894" s="336" t="s">
        <v>852</v>
      </c>
      <c r="E1894" s="336" t="s">
        <v>853</v>
      </c>
    </row>
    <row r="1895" spans="1:5" x14ac:dyDescent="0.2">
      <c r="A1895" s="335">
        <v>1001271270</v>
      </c>
      <c r="B1895" s="336" t="s">
        <v>2537</v>
      </c>
      <c r="C1895" s="336" t="s">
        <v>813</v>
      </c>
      <c r="D1895" s="336" t="s">
        <v>852</v>
      </c>
      <c r="E1895" s="336" t="s">
        <v>853</v>
      </c>
    </row>
    <row r="1896" spans="1:5" x14ac:dyDescent="0.2">
      <c r="A1896" s="335">
        <v>1001271396</v>
      </c>
      <c r="B1896" s="336" t="s">
        <v>2538</v>
      </c>
      <c r="C1896" s="336" t="s">
        <v>813</v>
      </c>
      <c r="D1896" s="336" t="s">
        <v>852</v>
      </c>
      <c r="E1896" s="336" t="s">
        <v>853</v>
      </c>
    </row>
    <row r="1897" spans="1:5" x14ac:dyDescent="0.2">
      <c r="A1897" s="335">
        <v>1001271397</v>
      </c>
      <c r="B1897" s="336" t="s">
        <v>2539</v>
      </c>
      <c r="C1897" s="336" t="s">
        <v>813</v>
      </c>
      <c r="D1897" s="336" t="s">
        <v>852</v>
      </c>
      <c r="E1897" s="336" t="s">
        <v>853</v>
      </c>
    </row>
    <row r="1898" spans="1:5" x14ac:dyDescent="0.2">
      <c r="A1898" s="335">
        <v>1001271773</v>
      </c>
      <c r="B1898" s="336" t="s">
        <v>2540</v>
      </c>
      <c r="C1898" s="336" t="s">
        <v>797</v>
      </c>
      <c r="D1898" s="336" t="s">
        <v>852</v>
      </c>
      <c r="E1898" s="336" t="s">
        <v>853</v>
      </c>
    </row>
    <row r="1899" spans="1:5" x14ac:dyDescent="0.2">
      <c r="A1899" s="335">
        <v>1001271775</v>
      </c>
      <c r="B1899" s="336" t="s">
        <v>2541</v>
      </c>
      <c r="C1899" s="336" t="s">
        <v>813</v>
      </c>
      <c r="D1899" s="336" t="s">
        <v>852</v>
      </c>
      <c r="E1899" s="336" t="s">
        <v>853</v>
      </c>
    </row>
    <row r="1900" spans="1:5" x14ac:dyDescent="0.2">
      <c r="A1900" s="335">
        <v>1001273113</v>
      </c>
      <c r="B1900" s="336" t="s">
        <v>2542</v>
      </c>
      <c r="C1900" s="336" t="s">
        <v>797</v>
      </c>
      <c r="D1900" s="336" t="s">
        <v>852</v>
      </c>
      <c r="E1900" s="336" t="s">
        <v>853</v>
      </c>
    </row>
    <row r="1901" spans="1:5" x14ac:dyDescent="0.2">
      <c r="A1901" s="335">
        <v>1001273495</v>
      </c>
      <c r="B1901" s="336" t="s">
        <v>2543</v>
      </c>
      <c r="C1901" s="336" t="s">
        <v>813</v>
      </c>
      <c r="D1901" s="336" t="s">
        <v>852</v>
      </c>
      <c r="E1901" s="336" t="s">
        <v>853</v>
      </c>
    </row>
    <row r="1902" spans="1:5" x14ac:dyDescent="0.2">
      <c r="A1902" s="335">
        <v>1001273514</v>
      </c>
      <c r="B1902" s="336" t="s">
        <v>2544</v>
      </c>
      <c r="C1902" s="336" t="s">
        <v>813</v>
      </c>
      <c r="D1902" s="336" t="s">
        <v>852</v>
      </c>
      <c r="E1902" s="336" t="s">
        <v>853</v>
      </c>
    </row>
    <row r="1903" spans="1:5" x14ac:dyDescent="0.2">
      <c r="A1903" s="335">
        <v>1001273556</v>
      </c>
      <c r="B1903" s="336" t="s">
        <v>2545</v>
      </c>
      <c r="C1903" s="336" t="s">
        <v>813</v>
      </c>
      <c r="D1903" s="336" t="s">
        <v>852</v>
      </c>
      <c r="E1903" s="336" t="s">
        <v>853</v>
      </c>
    </row>
    <row r="1904" spans="1:5" x14ac:dyDescent="0.2">
      <c r="A1904" s="335">
        <v>1001273683</v>
      </c>
      <c r="B1904" s="336" t="s">
        <v>2546</v>
      </c>
      <c r="C1904" s="336" t="s">
        <v>813</v>
      </c>
      <c r="D1904" s="336" t="s">
        <v>852</v>
      </c>
      <c r="E1904" s="336" t="s">
        <v>853</v>
      </c>
    </row>
    <row r="1905" spans="1:5" x14ac:dyDescent="0.2">
      <c r="A1905" s="335">
        <v>1001274442</v>
      </c>
      <c r="B1905" s="336" t="s">
        <v>2487</v>
      </c>
      <c r="C1905" s="336" t="s">
        <v>813</v>
      </c>
      <c r="D1905" s="336" t="s">
        <v>852</v>
      </c>
      <c r="E1905" s="336" t="s">
        <v>853</v>
      </c>
    </row>
    <row r="1906" spans="1:5" x14ac:dyDescent="0.2">
      <c r="A1906" s="335">
        <v>1001274447</v>
      </c>
      <c r="B1906" s="336" t="s">
        <v>2547</v>
      </c>
      <c r="C1906" s="336" t="s">
        <v>813</v>
      </c>
      <c r="D1906" s="336" t="s">
        <v>852</v>
      </c>
      <c r="E1906" s="336" t="s">
        <v>853</v>
      </c>
    </row>
    <row r="1907" spans="1:5" x14ac:dyDescent="0.2">
      <c r="A1907" s="335">
        <v>1001274514</v>
      </c>
      <c r="B1907" s="336" t="s">
        <v>1001</v>
      </c>
      <c r="C1907" s="336" t="s">
        <v>797</v>
      </c>
      <c r="D1907" s="336" t="s">
        <v>852</v>
      </c>
      <c r="E1907" s="336" t="s">
        <v>853</v>
      </c>
    </row>
    <row r="1908" spans="1:5" x14ac:dyDescent="0.2">
      <c r="A1908" s="335">
        <v>1001274539</v>
      </c>
      <c r="B1908" s="336" t="s">
        <v>2548</v>
      </c>
      <c r="C1908" s="336" t="s">
        <v>797</v>
      </c>
      <c r="D1908" s="336" t="s">
        <v>852</v>
      </c>
      <c r="E1908" s="336" t="s">
        <v>853</v>
      </c>
    </row>
    <row r="1909" spans="1:5" x14ac:dyDescent="0.2">
      <c r="A1909" s="335">
        <v>1001274641</v>
      </c>
      <c r="B1909" s="336" t="s">
        <v>2549</v>
      </c>
      <c r="C1909" s="336" t="s">
        <v>797</v>
      </c>
      <c r="D1909" s="336" t="s">
        <v>852</v>
      </c>
      <c r="E1909" s="336" t="s">
        <v>853</v>
      </c>
    </row>
    <row r="1910" spans="1:5" x14ac:dyDescent="0.2">
      <c r="A1910" s="335">
        <v>1001274694</v>
      </c>
      <c r="B1910" s="336" t="s">
        <v>2550</v>
      </c>
      <c r="C1910" s="336" t="s">
        <v>813</v>
      </c>
      <c r="D1910" s="336" t="s">
        <v>852</v>
      </c>
      <c r="E1910" s="336" t="s">
        <v>853</v>
      </c>
    </row>
    <row r="1911" spans="1:5" x14ac:dyDescent="0.2">
      <c r="A1911" s="335">
        <v>1001274753</v>
      </c>
      <c r="B1911" s="336" t="s">
        <v>2551</v>
      </c>
      <c r="C1911" s="336" t="s">
        <v>797</v>
      </c>
      <c r="D1911" s="336" t="s">
        <v>852</v>
      </c>
      <c r="E1911" s="336" t="s">
        <v>853</v>
      </c>
    </row>
    <row r="1912" spans="1:5" x14ac:dyDescent="0.2">
      <c r="A1912" s="335">
        <v>1001274754</v>
      </c>
      <c r="B1912" s="336" t="s">
        <v>936</v>
      </c>
      <c r="C1912" s="336" t="s">
        <v>797</v>
      </c>
      <c r="D1912" s="336" t="s">
        <v>852</v>
      </c>
      <c r="E1912" s="336" t="s">
        <v>853</v>
      </c>
    </row>
    <row r="1913" spans="1:5" x14ac:dyDescent="0.2">
      <c r="A1913" s="335">
        <v>1001275062</v>
      </c>
      <c r="B1913" s="336" t="s">
        <v>2552</v>
      </c>
      <c r="C1913" s="336" t="s">
        <v>813</v>
      </c>
      <c r="D1913" s="336" t="s">
        <v>852</v>
      </c>
      <c r="E1913" s="336" t="s">
        <v>853</v>
      </c>
    </row>
    <row r="1914" spans="1:5" x14ac:dyDescent="0.2">
      <c r="A1914" s="335">
        <v>1001275087</v>
      </c>
      <c r="B1914" s="336" t="s">
        <v>2553</v>
      </c>
      <c r="C1914" s="336" t="s">
        <v>863</v>
      </c>
      <c r="D1914" s="336" t="s">
        <v>852</v>
      </c>
      <c r="E1914" s="336" t="s">
        <v>853</v>
      </c>
    </row>
    <row r="1915" spans="1:5" x14ac:dyDescent="0.2">
      <c r="A1915" s="335">
        <v>1001275092</v>
      </c>
      <c r="B1915" s="336" t="s">
        <v>2553</v>
      </c>
      <c r="C1915" s="336" t="s">
        <v>813</v>
      </c>
      <c r="D1915" s="336" t="s">
        <v>852</v>
      </c>
      <c r="E1915" s="336" t="s">
        <v>853</v>
      </c>
    </row>
    <row r="1916" spans="1:5" x14ac:dyDescent="0.2">
      <c r="A1916" s="335">
        <v>1001275157</v>
      </c>
      <c r="B1916" s="336" t="s">
        <v>2554</v>
      </c>
      <c r="C1916" s="336" t="s">
        <v>813</v>
      </c>
      <c r="D1916" s="336" t="s">
        <v>852</v>
      </c>
      <c r="E1916" s="336" t="s">
        <v>853</v>
      </c>
    </row>
    <row r="1917" spans="1:5" x14ac:dyDescent="0.2">
      <c r="A1917" s="335">
        <v>1001275300</v>
      </c>
      <c r="B1917" s="336" t="s">
        <v>2555</v>
      </c>
      <c r="C1917" s="336" t="s">
        <v>797</v>
      </c>
      <c r="D1917" s="336" t="s">
        <v>852</v>
      </c>
      <c r="E1917" s="336" t="s">
        <v>853</v>
      </c>
    </row>
    <row r="1918" spans="1:5" x14ac:dyDescent="0.2">
      <c r="A1918" s="335">
        <v>1001275331</v>
      </c>
      <c r="B1918" s="336" t="s">
        <v>2556</v>
      </c>
      <c r="C1918" s="336" t="s">
        <v>813</v>
      </c>
      <c r="D1918" s="336" t="s">
        <v>852</v>
      </c>
      <c r="E1918" s="336" t="s">
        <v>853</v>
      </c>
    </row>
    <row r="1919" spans="1:5" x14ac:dyDescent="0.2">
      <c r="A1919" s="335">
        <v>1001275475</v>
      </c>
      <c r="B1919" s="336" t="s">
        <v>2557</v>
      </c>
      <c r="C1919" s="336" t="s">
        <v>813</v>
      </c>
      <c r="D1919" s="336" t="s">
        <v>852</v>
      </c>
      <c r="E1919" s="336" t="s">
        <v>853</v>
      </c>
    </row>
    <row r="1920" spans="1:5" x14ac:dyDescent="0.2">
      <c r="A1920" s="335">
        <v>1001275477</v>
      </c>
      <c r="B1920" s="336" t="s">
        <v>2558</v>
      </c>
      <c r="C1920" s="336" t="s">
        <v>813</v>
      </c>
      <c r="D1920" s="336" t="s">
        <v>852</v>
      </c>
      <c r="E1920" s="336" t="s">
        <v>853</v>
      </c>
    </row>
    <row r="1921" spans="1:5" x14ac:dyDescent="0.2">
      <c r="A1921" s="335">
        <v>1001275605</v>
      </c>
      <c r="B1921" s="336" t="s">
        <v>2559</v>
      </c>
      <c r="C1921" s="336" t="s">
        <v>797</v>
      </c>
      <c r="D1921" s="336" t="s">
        <v>852</v>
      </c>
      <c r="E1921" s="336" t="s">
        <v>853</v>
      </c>
    </row>
    <row r="1922" spans="1:5" x14ac:dyDescent="0.2">
      <c r="A1922" s="335">
        <v>1001275784</v>
      </c>
      <c r="B1922" s="336" t="s">
        <v>2560</v>
      </c>
      <c r="C1922" s="336" t="s">
        <v>863</v>
      </c>
      <c r="D1922" s="336" t="s">
        <v>852</v>
      </c>
      <c r="E1922" s="336" t="s">
        <v>853</v>
      </c>
    </row>
    <row r="1923" spans="1:5" x14ac:dyDescent="0.2">
      <c r="A1923" s="335">
        <v>1001275795</v>
      </c>
      <c r="B1923" s="336" t="s">
        <v>2561</v>
      </c>
      <c r="C1923" s="336" t="s">
        <v>813</v>
      </c>
      <c r="D1923" s="336" t="s">
        <v>852</v>
      </c>
      <c r="E1923" s="336" t="s">
        <v>853</v>
      </c>
    </row>
    <row r="1924" spans="1:5" x14ac:dyDescent="0.2">
      <c r="A1924" s="335">
        <v>1001275930</v>
      </c>
      <c r="B1924" s="336" t="s">
        <v>2562</v>
      </c>
      <c r="C1924" s="336" t="s">
        <v>813</v>
      </c>
      <c r="D1924" s="336" t="s">
        <v>852</v>
      </c>
      <c r="E1924" s="336" t="s">
        <v>853</v>
      </c>
    </row>
    <row r="1925" spans="1:5" x14ac:dyDescent="0.2">
      <c r="A1925" s="335">
        <v>1001275931</v>
      </c>
      <c r="B1925" s="336" t="s">
        <v>2563</v>
      </c>
      <c r="C1925" s="336" t="s">
        <v>813</v>
      </c>
      <c r="D1925" s="336" t="s">
        <v>852</v>
      </c>
      <c r="E1925" s="336" t="s">
        <v>853</v>
      </c>
    </row>
    <row r="1926" spans="1:5" x14ac:dyDescent="0.2">
      <c r="A1926" s="335">
        <v>1001276109</v>
      </c>
      <c r="B1926" s="336" t="s">
        <v>2564</v>
      </c>
      <c r="C1926" s="336" t="s">
        <v>813</v>
      </c>
      <c r="D1926" s="336" t="s">
        <v>852</v>
      </c>
      <c r="E1926" s="336" t="s">
        <v>853</v>
      </c>
    </row>
    <row r="1927" spans="1:5" x14ac:dyDescent="0.2">
      <c r="A1927" s="335">
        <v>1001276293</v>
      </c>
      <c r="B1927" s="336" t="s">
        <v>2565</v>
      </c>
      <c r="C1927" s="336" t="s">
        <v>813</v>
      </c>
      <c r="D1927" s="336" t="s">
        <v>852</v>
      </c>
      <c r="E1927" s="336" t="s">
        <v>853</v>
      </c>
    </row>
    <row r="1928" spans="1:5" x14ac:dyDescent="0.2">
      <c r="A1928" s="335">
        <v>1001276295</v>
      </c>
      <c r="B1928" s="336" t="s">
        <v>2566</v>
      </c>
      <c r="C1928" s="336" t="s">
        <v>797</v>
      </c>
      <c r="D1928" s="336" t="s">
        <v>852</v>
      </c>
      <c r="E1928" s="336" t="s">
        <v>853</v>
      </c>
    </row>
    <row r="1929" spans="1:5" x14ac:dyDescent="0.2">
      <c r="A1929" s="335">
        <v>1001276326</v>
      </c>
      <c r="B1929" s="336" t="s">
        <v>2567</v>
      </c>
      <c r="C1929" s="336" t="s">
        <v>797</v>
      </c>
      <c r="D1929" s="336" t="s">
        <v>852</v>
      </c>
      <c r="E1929" s="336" t="s">
        <v>853</v>
      </c>
    </row>
    <row r="1930" spans="1:5" x14ac:dyDescent="0.2">
      <c r="A1930" s="335">
        <v>1001276339</v>
      </c>
      <c r="B1930" s="336" t="s">
        <v>2568</v>
      </c>
      <c r="C1930" s="336" t="s">
        <v>813</v>
      </c>
      <c r="D1930" s="336" t="s">
        <v>852</v>
      </c>
      <c r="E1930" s="336" t="s">
        <v>853</v>
      </c>
    </row>
    <row r="1931" spans="1:5" x14ac:dyDescent="0.2">
      <c r="A1931" s="335">
        <v>1001276498</v>
      </c>
      <c r="B1931" s="336" t="s">
        <v>2569</v>
      </c>
      <c r="C1931" s="336" t="s">
        <v>813</v>
      </c>
      <c r="D1931" s="336" t="s">
        <v>852</v>
      </c>
      <c r="E1931" s="336" t="s">
        <v>853</v>
      </c>
    </row>
    <row r="1932" spans="1:5" x14ac:dyDescent="0.2">
      <c r="A1932" s="335">
        <v>1001276512</v>
      </c>
      <c r="B1932" s="336" t="s">
        <v>925</v>
      </c>
      <c r="C1932" s="336" t="s">
        <v>863</v>
      </c>
      <c r="D1932" s="336" t="s">
        <v>852</v>
      </c>
      <c r="E1932" s="336" t="s">
        <v>853</v>
      </c>
    </row>
    <row r="1933" spans="1:5" x14ac:dyDescent="0.2">
      <c r="A1933" s="335">
        <v>1001276514</v>
      </c>
      <c r="B1933" s="336" t="s">
        <v>921</v>
      </c>
      <c r="C1933" s="336" t="s">
        <v>797</v>
      </c>
      <c r="D1933" s="336" t="s">
        <v>852</v>
      </c>
      <c r="E1933" s="336" t="s">
        <v>853</v>
      </c>
    </row>
    <row r="1934" spans="1:5" x14ac:dyDescent="0.2">
      <c r="A1934" s="335">
        <v>1001276719</v>
      </c>
      <c r="B1934" s="336" t="s">
        <v>2570</v>
      </c>
      <c r="C1934" s="336" t="s">
        <v>797</v>
      </c>
      <c r="D1934" s="336" t="s">
        <v>852</v>
      </c>
      <c r="E1934" s="336" t="s">
        <v>853</v>
      </c>
    </row>
    <row r="1935" spans="1:5" x14ac:dyDescent="0.2">
      <c r="A1935" s="335">
        <v>1001276737</v>
      </c>
      <c r="B1935" s="336" t="s">
        <v>2571</v>
      </c>
      <c r="C1935" s="336" t="s">
        <v>797</v>
      </c>
      <c r="D1935" s="336" t="s">
        <v>852</v>
      </c>
      <c r="E1935" s="336" t="s">
        <v>853</v>
      </c>
    </row>
    <row r="1936" spans="1:5" x14ac:dyDescent="0.2">
      <c r="A1936" s="335">
        <v>1001276738</v>
      </c>
      <c r="B1936" s="336" t="s">
        <v>2572</v>
      </c>
      <c r="C1936" s="336" t="s">
        <v>797</v>
      </c>
      <c r="D1936" s="336" t="s">
        <v>852</v>
      </c>
      <c r="E1936" s="336" t="s">
        <v>853</v>
      </c>
    </row>
    <row r="1937" spans="1:5" x14ac:dyDescent="0.2">
      <c r="A1937" s="335">
        <v>1001277314</v>
      </c>
      <c r="B1937" s="336" t="s">
        <v>2573</v>
      </c>
      <c r="C1937" s="336" t="s">
        <v>813</v>
      </c>
      <c r="D1937" s="336" t="s">
        <v>852</v>
      </c>
      <c r="E1937" s="336" t="s">
        <v>853</v>
      </c>
    </row>
    <row r="1938" spans="1:5" x14ac:dyDescent="0.2">
      <c r="A1938" s="335">
        <v>1001277315</v>
      </c>
      <c r="B1938" s="336" t="s">
        <v>2574</v>
      </c>
      <c r="C1938" s="336" t="s">
        <v>797</v>
      </c>
      <c r="D1938" s="336" t="s">
        <v>852</v>
      </c>
      <c r="E1938" s="336" t="s">
        <v>853</v>
      </c>
    </row>
    <row r="1939" spans="1:5" x14ac:dyDescent="0.2">
      <c r="A1939" s="335">
        <v>1001277334</v>
      </c>
      <c r="B1939" s="336" t="s">
        <v>2575</v>
      </c>
      <c r="C1939" s="336" t="s">
        <v>797</v>
      </c>
      <c r="D1939" s="336" t="s">
        <v>852</v>
      </c>
      <c r="E1939" s="336" t="s">
        <v>853</v>
      </c>
    </row>
    <row r="1940" spans="1:5" x14ac:dyDescent="0.2">
      <c r="A1940" s="335">
        <v>1001277384</v>
      </c>
      <c r="B1940" s="336" t="s">
        <v>2576</v>
      </c>
      <c r="C1940" s="336" t="s">
        <v>813</v>
      </c>
      <c r="D1940" s="336" t="s">
        <v>852</v>
      </c>
      <c r="E1940" s="336" t="s">
        <v>853</v>
      </c>
    </row>
    <row r="1941" spans="1:5" x14ac:dyDescent="0.2">
      <c r="A1941" s="335">
        <v>1001277538</v>
      </c>
      <c r="B1941" s="336" t="s">
        <v>2577</v>
      </c>
      <c r="C1941" s="336" t="s">
        <v>813</v>
      </c>
      <c r="D1941" s="336" t="s">
        <v>852</v>
      </c>
      <c r="E1941" s="336" t="s">
        <v>853</v>
      </c>
    </row>
    <row r="1942" spans="1:5" x14ac:dyDescent="0.2">
      <c r="A1942" s="335">
        <v>1001277618</v>
      </c>
      <c r="B1942" s="336" t="s">
        <v>1455</v>
      </c>
      <c r="C1942" s="336" t="s">
        <v>863</v>
      </c>
      <c r="D1942" s="336" t="s">
        <v>852</v>
      </c>
      <c r="E1942" s="336" t="s">
        <v>853</v>
      </c>
    </row>
    <row r="1943" spans="1:5" x14ac:dyDescent="0.2">
      <c r="A1943" s="335">
        <v>1001277860</v>
      </c>
      <c r="B1943" s="336" t="s">
        <v>2578</v>
      </c>
      <c r="C1943" s="336" t="s">
        <v>813</v>
      </c>
      <c r="D1943" s="336" t="s">
        <v>852</v>
      </c>
      <c r="E1943" s="336" t="s">
        <v>853</v>
      </c>
    </row>
    <row r="1944" spans="1:5" x14ac:dyDescent="0.2">
      <c r="A1944" s="335">
        <v>1001278094</v>
      </c>
      <c r="B1944" s="336" t="s">
        <v>2579</v>
      </c>
      <c r="C1944" s="336" t="s">
        <v>797</v>
      </c>
      <c r="D1944" s="336" t="s">
        <v>852</v>
      </c>
      <c r="E1944" s="336" t="s">
        <v>853</v>
      </c>
    </row>
    <row r="1945" spans="1:5" x14ac:dyDescent="0.2">
      <c r="A1945" s="335">
        <v>1001278102</v>
      </c>
      <c r="B1945" s="336" t="s">
        <v>2580</v>
      </c>
      <c r="C1945" s="336" t="s">
        <v>797</v>
      </c>
      <c r="D1945" s="336" t="s">
        <v>852</v>
      </c>
      <c r="E1945" s="336" t="s">
        <v>853</v>
      </c>
    </row>
    <row r="1946" spans="1:5" x14ac:dyDescent="0.2">
      <c r="A1946" s="335">
        <v>1001278103</v>
      </c>
      <c r="B1946" s="336" t="s">
        <v>2581</v>
      </c>
      <c r="C1946" s="336" t="s">
        <v>797</v>
      </c>
      <c r="D1946" s="336" t="s">
        <v>852</v>
      </c>
      <c r="E1946" s="336" t="s">
        <v>853</v>
      </c>
    </row>
    <row r="1947" spans="1:5" x14ac:dyDescent="0.2">
      <c r="A1947" s="335">
        <v>1001278106</v>
      </c>
      <c r="B1947" s="336" t="s">
        <v>2582</v>
      </c>
      <c r="C1947" s="336" t="s">
        <v>797</v>
      </c>
      <c r="D1947" s="336" t="s">
        <v>852</v>
      </c>
      <c r="E1947" s="336" t="s">
        <v>853</v>
      </c>
    </row>
    <row r="1948" spans="1:5" x14ac:dyDescent="0.2">
      <c r="A1948" s="335">
        <v>1001278246</v>
      </c>
      <c r="B1948" s="336" t="s">
        <v>2583</v>
      </c>
      <c r="C1948" s="336" t="s">
        <v>863</v>
      </c>
      <c r="D1948" s="336" t="s">
        <v>852</v>
      </c>
      <c r="E1948" s="336" t="s">
        <v>853</v>
      </c>
    </row>
    <row r="1949" spans="1:5" x14ac:dyDescent="0.2">
      <c r="A1949" s="335">
        <v>1001278385</v>
      </c>
      <c r="B1949" s="336" t="s">
        <v>2584</v>
      </c>
      <c r="C1949" s="336" t="s">
        <v>813</v>
      </c>
      <c r="D1949" s="336" t="s">
        <v>852</v>
      </c>
      <c r="E1949" s="336" t="s">
        <v>853</v>
      </c>
    </row>
    <row r="1950" spans="1:5" x14ac:dyDescent="0.2">
      <c r="A1950" s="335">
        <v>1001278451</v>
      </c>
      <c r="B1950" s="336" t="s">
        <v>2585</v>
      </c>
      <c r="C1950" s="336" t="s">
        <v>813</v>
      </c>
      <c r="D1950" s="336" t="s">
        <v>852</v>
      </c>
      <c r="E1950" s="336" t="s">
        <v>853</v>
      </c>
    </row>
    <row r="1951" spans="1:5" x14ac:dyDescent="0.2">
      <c r="A1951" s="335">
        <v>1001278453</v>
      </c>
      <c r="B1951" s="336" t="s">
        <v>2586</v>
      </c>
      <c r="C1951" s="336" t="s">
        <v>813</v>
      </c>
      <c r="D1951" s="336" t="s">
        <v>852</v>
      </c>
      <c r="E1951" s="336" t="s">
        <v>853</v>
      </c>
    </row>
    <row r="1952" spans="1:5" x14ac:dyDescent="0.2">
      <c r="A1952" s="335">
        <v>1001278454</v>
      </c>
      <c r="B1952" s="336" t="s">
        <v>2576</v>
      </c>
      <c r="C1952" s="336" t="s">
        <v>813</v>
      </c>
      <c r="D1952" s="336" t="s">
        <v>852</v>
      </c>
      <c r="E1952" s="336" t="s">
        <v>853</v>
      </c>
    </row>
    <row r="1953" spans="1:5" x14ac:dyDescent="0.2">
      <c r="A1953" s="335">
        <v>1001278686</v>
      </c>
      <c r="B1953" s="336" t="s">
        <v>2587</v>
      </c>
      <c r="C1953" s="336" t="s">
        <v>813</v>
      </c>
      <c r="D1953" s="336" t="s">
        <v>852</v>
      </c>
      <c r="E1953" s="336" t="s">
        <v>853</v>
      </c>
    </row>
    <row r="1954" spans="1:5" x14ac:dyDescent="0.2">
      <c r="A1954" s="335">
        <v>1001279239</v>
      </c>
      <c r="B1954" s="336" t="s">
        <v>2588</v>
      </c>
      <c r="C1954" s="336" t="s">
        <v>863</v>
      </c>
      <c r="D1954" s="336" t="s">
        <v>852</v>
      </c>
      <c r="E1954" s="336" t="s">
        <v>853</v>
      </c>
    </row>
    <row r="1955" spans="1:5" x14ac:dyDescent="0.2">
      <c r="A1955" s="335">
        <v>1001279374</v>
      </c>
      <c r="B1955" s="336" t="s">
        <v>2588</v>
      </c>
      <c r="C1955" s="336" t="s">
        <v>797</v>
      </c>
      <c r="D1955" s="336" t="s">
        <v>852</v>
      </c>
      <c r="E1955" s="336" t="s">
        <v>853</v>
      </c>
    </row>
    <row r="1956" spans="1:5" x14ac:dyDescent="0.2">
      <c r="A1956" s="335">
        <v>1001279378</v>
      </c>
      <c r="B1956" s="336" t="s">
        <v>2589</v>
      </c>
      <c r="C1956" s="336" t="s">
        <v>863</v>
      </c>
      <c r="D1956" s="336" t="s">
        <v>852</v>
      </c>
      <c r="E1956" s="336" t="s">
        <v>853</v>
      </c>
    </row>
    <row r="1957" spans="1:5" x14ac:dyDescent="0.2">
      <c r="A1957" s="335">
        <v>1001279709</v>
      </c>
      <c r="B1957" s="336" t="s">
        <v>2590</v>
      </c>
      <c r="C1957" s="336" t="s">
        <v>797</v>
      </c>
      <c r="D1957" s="336" t="s">
        <v>852</v>
      </c>
      <c r="E1957" s="336" t="s">
        <v>853</v>
      </c>
    </row>
    <row r="1958" spans="1:5" x14ac:dyDescent="0.2">
      <c r="A1958" s="335">
        <v>1001279921</v>
      </c>
      <c r="B1958" s="336" t="s">
        <v>2591</v>
      </c>
      <c r="C1958" s="336" t="s">
        <v>813</v>
      </c>
      <c r="D1958" s="336" t="s">
        <v>852</v>
      </c>
      <c r="E1958" s="336" t="s">
        <v>853</v>
      </c>
    </row>
    <row r="1959" spans="1:5" x14ac:dyDescent="0.2">
      <c r="A1959" s="335">
        <v>1001280001</v>
      </c>
      <c r="B1959" s="336" t="s">
        <v>785</v>
      </c>
      <c r="C1959" s="336" t="s">
        <v>797</v>
      </c>
      <c r="D1959" s="336" t="s">
        <v>852</v>
      </c>
      <c r="E1959" s="336" t="s">
        <v>853</v>
      </c>
    </row>
    <row r="1960" spans="1:5" x14ac:dyDescent="0.2">
      <c r="A1960" s="335">
        <v>1001280070</v>
      </c>
      <c r="B1960" s="336" t="s">
        <v>2592</v>
      </c>
      <c r="C1960" s="336" t="s">
        <v>797</v>
      </c>
      <c r="D1960" s="336" t="s">
        <v>852</v>
      </c>
      <c r="E1960" s="336" t="s">
        <v>853</v>
      </c>
    </row>
    <row r="1961" spans="1:5" x14ac:dyDescent="0.2">
      <c r="A1961" s="335">
        <v>1001280079</v>
      </c>
      <c r="B1961" s="336" t="s">
        <v>373</v>
      </c>
      <c r="C1961" s="336" t="s">
        <v>797</v>
      </c>
      <c r="D1961" s="336" t="s">
        <v>852</v>
      </c>
      <c r="E1961" s="336" t="s">
        <v>853</v>
      </c>
    </row>
    <row r="1962" spans="1:5" x14ac:dyDescent="0.2">
      <c r="A1962" s="335">
        <v>1001280260</v>
      </c>
      <c r="B1962" s="336" t="s">
        <v>2593</v>
      </c>
      <c r="C1962" s="336" t="s">
        <v>797</v>
      </c>
      <c r="D1962" s="336" t="s">
        <v>852</v>
      </c>
      <c r="E1962" s="336" t="s">
        <v>853</v>
      </c>
    </row>
    <row r="1963" spans="1:5" x14ac:dyDescent="0.2">
      <c r="A1963" s="335">
        <v>1001280261</v>
      </c>
      <c r="B1963" s="336" t="s">
        <v>2594</v>
      </c>
      <c r="C1963" s="336" t="s">
        <v>813</v>
      </c>
      <c r="D1963" s="336" t="s">
        <v>852</v>
      </c>
      <c r="E1963" s="336" t="s">
        <v>853</v>
      </c>
    </row>
    <row r="1964" spans="1:5" x14ac:dyDescent="0.2">
      <c r="A1964" s="335">
        <v>1001280262</v>
      </c>
      <c r="B1964" s="336" t="s">
        <v>2595</v>
      </c>
      <c r="C1964" s="336" t="s">
        <v>813</v>
      </c>
      <c r="D1964" s="336" t="s">
        <v>852</v>
      </c>
      <c r="E1964" s="336" t="s">
        <v>853</v>
      </c>
    </row>
    <row r="1965" spans="1:5" x14ac:dyDescent="0.2">
      <c r="A1965" s="335">
        <v>1001280263</v>
      </c>
      <c r="B1965" s="336" t="s">
        <v>2596</v>
      </c>
      <c r="C1965" s="336" t="s">
        <v>813</v>
      </c>
      <c r="D1965" s="336" t="s">
        <v>852</v>
      </c>
      <c r="E1965" s="336" t="s">
        <v>853</v>
      </c>
    </row>
    <row r="1966" spans="1:5" x14ac:dyDescent="0.2">
      <c r="A1966" s="335">
        <v>1001280422</v>
      </c>
      <c r="B1966" s="336" t="s">
        <v>2597</v>
      </c>
      <c r="C1966" s="336" t="s">
        <v>813</v>
      </c>
      <c r="D1966" s="336" t="s">
        <v>852</v>
      </c>
      <c r="E1966" s="336" t="s">
        <v>853</v>
      </c>
    </row>
    <row r="1967" spans="1:5" x14ac:dyDescent="0.2">
      <c r="A1967" s="335">
        <v>1001280528</v>
      </c>
      <c r="B1967" s="336" t="s">
        <v>2598</v>
      </c>
      <c r="C1967" s="336" t="s">
        <v>797</v>
      </c>
      <c r="D1967" s="336" t="s">
        <v>852</v>
      </c>
      <c r="E1967" s="336" t="s">
        <v>853</v>
      </c>
    </row>
    <row r="1968" spans="1:5" x14ac:dyDescent="0.2">
      <c r="A1968" s="335">
        <v>1001280539</v>
      </c>
      <c r="B1968" s="336" t="s">
        <v>2599</v>
      </c>
      <c r="C1968" s="336" t="s">
        <v>813</v>
      </c>
      <c r="D1968" s="336" t="s">
        <v>852</v>
      </c>
      <c r="E1968" s="336" t="s">
        <v>853</v>
      </c>
    </row>
    <row r="1969" spans="1:5" x14ac:dyDescent="0.2">
      <c r="A1969" s="335">
        <v>1001280540</v>
      </c>
      <c r="B1969" s="336" t="s">
        <v>2600</v>
      </c>
      <c r="C1969" s="336" t="s">
        <v>813</v>
      </c>
      <c r="D1969" s="336" t="s">
        <v>852</v>
      </c>
      <c r="E1969" s="336" t="s">
        <v>853</v>
      </c>
    </row>
    <row r="1970" spans="1:5" x14ac:dyDescent="0.2">
      <c r="A1970" s="335">
        <v>1001280541</v>
      </c>
      <c r="B1970" s="336" t="s">
        <v>2601</v>
      </c>
      <c r="C1970" s="336" t="s">
        <v>813</v>
      </c>
      <c r="D1970" s="336" t="s">
        <v>852</v>
      </c>
      <c r="E1970" s="336" t="s">
        <v>853</v>
      </c>
    </row>
    <row r="1971" spans="1:5" x14ac:dyDescent="0.2">
      <c r="A1971" s="335">
        <v>1001280542</v>
      </c>
      <c r="B1971" s="336" t="s">
        <v>2602</v>
      </c>
      <c r="C1971" s="336" t="s">
        <v>797</v>
      </c>
      <c r="D1971" s="336" t="s">
        <v>852</v>
      </c>
      <c r="E1971" s="336" t="s">
        <v>853</v>
      </c>
    </row>
    <row r="1972" spans="1:5" x14ac:dyDescent="0.2">
      <c r="A1972" s="335">
        <v>1001280554</v>
      </c>
      <c r="B1972" s="336" t="s">
        <v>1563</v>
      </c>
      <c r="C1972" s="336" t="s">
        <v>813</v>
      </c>
      <c r="D1972" s="336" t="s">
        <v>852</v>
      </c>
      <c r="E1972" s="336" t="s">
        <v>853</v>
      </c>
    </row>
    <row r="1973" spans="1:5" x14ac:dyDescent="0.2">
      <c r="A1973" s="335">
        <v>1001280557</v>
      </c>
      <c r="B1973" s="336" t="s">
        <v>2603</v>
      </c>
      <c r="C1973" s="336" t="s">
        <v>813</v>
      </c>
      <c r="D1973" s="336" t="s">
        <v>852</v>
      </c>
      <c r="E1973" s="336" t="s">
        <v>853</v>
      </c>
    </row>
    <row r="1974" spans="1:5" x14ac:dyDescent="0.2">
      <c r="A1974" s="335">
        <v>1001280559</v>
      </c>
      <c r="B1974" s="336" t="s">
        <v>2604</v>
      </c>
      <c r="C1974" s="336" t="s">
        <v>813</v>
      </c>
      <c r="D1974" s="336" t="s">
        <v>852</v>
      </c>
      <c r="E1974" s="336" t="s">
        <v>853</v>
      </c>
    </row>
    <row r="1975" spans="1:5" x14ac:dyDescent="0.2">
      <c r="A1975" s="335">
        <v>1001280560</v>
      </c>
      <c r="B1975" s="336" t="s">
        <v>2497</v>
      </c>
      <c r="C1975" s="336" t="s">
        <v>813</v>
      </c>
      <c r="D1975" s="336" t="s">
        <v>852</v>
      </c>
      <c r="E1975" s="336" t="s">
        <v>853</v>
      </c>
    </row>
    <row r="1976" spans="1:5" x14ac:dyDescent="0.2">
      <c r="A1976" s="335">
        <v>1001280561</v>
      </c>
      <c r="B1976" s="336" t="s">
        <v>2249</v>
      </c>
      <c r="C1976" s="336" t="s">
        <v>813</v>
      </c>
      <c r="D1976" s="336" t="s">
        <v>852</v>
      </c>
      <c r="E1976" s="336" t="s">
        <v>853</v>
      </c>
    </row>
    <row r="1977" spans="1:5" x14ac:dyDescent="0.2">
      <c r="A1977" s="335">
        <v>1001280562</v>
      </c>
      <c r="B1977" s="336" t="s">
        <v>2605</v>
      </c>
      <c r="C1977" s="336" t="s">
        <v>813</v>
      </c>
      <c r="D1977" s="336" t="s">
        <v>852</v>
      </c>
      <c r="E1977" s="336" t="s">
        <v>853</v>
      </c>
    </row>
    <row r="1978" spans="1:5" x14ac:dyDescent="0.2">
      <c r="A1978" s="335">
        <v>1001280578</v>
      </c>
      <c r="B1978" s="336" t="s">
        <v>2606</v>
      </c>
      <c r="C1978" s="336" t="s">
        <v>813</v>
      </c>
      <c r="D1978" s="336" t="s">
        <v>852</v>
      </c>
      <c r="E1978" s="336" t="s">
        <v>853</v>
      </c>
    </row>
    <row r="1979" spans="1:5" x14ac:dyDescent="0.2">
      <c r="A1979" s="335">
        <v>1001280579</v>
      </c>
      <c r="B1979" s="336" t="s">
        <v>2607</v>
      </c>
      <c r="C1979" s="336" t="s">
        <v>813</v>
      </c>
      <c r="D1979" s="336" t="s">
        <v>852</v>
      </c>
      <c r="E1979" s="336" t="s">
        <v>853</v>
      </c>
    </row>
    <row r="1980" spans="1:5" x14ac:dyDescent="0.2">
      <c r="A1980" s="335">
        <v>1001280580</v>
      </c>
      <c r="B1980" s="336" t="s">
        <v>2608</v>
      </c>
      <c r="C1980" s="336" t="s">
        <v>813</v>
      </c>
      <c r="D1980" s="336" t="s">
        <v>852</v>
      </c>
      <c r="E1980" s="336" t="s">
        <v>853</v>
      </c>
    </row>
    <row r="1981" spans="1:5" x14ac:dyDescent="0.2">
      <c r="A1981" s="335">
        <v>1001280596</v>
      </c>
      <c r="B1981" s="336" t="s">
        <v>2609</v>
      </c>
      <c r="C1981" s="336" t="s">
        <v>813</v>
      </c>
      <c r="D1981" s="336" t="s">
        <v>852</v>
      </c>
      <c r="E1981" s="336" t="s">
        <v>853</v>
      </c>
    </row>
    <row r="1982" spans="1:5" x14ac:dyDescent="0.2">
      <c r="A1982" s="335">
        <v>1001280597</v>
      </c>
      <c r="B1982" s="336" t="s">
        <v>2610</v>
      </c>
      <c r="C1982" s="336" t="s">
        <v>797</v>
      </c>
      <c r="D1982" s="336" t="s">
        <v>852</v>
      </c>
      <c r="E1982" s="336" t="s">
        <v>853</v>
      </c>
    </row>
    <row r="1983" spans="1:5" x14ac:dyDescent="0.2">
      <c r="A1983" s="335">
        <v>1001280598</v>
      </c>
      <c r="B1983" s="336" t="s">
        <v>2611</v>
      </c>
      <c r="C1983" s="336" t="s">
        <v>797</v>
      </c>
      <c r="D1983" s="336" t="s">
        <v>852</v>
      </c>
      <c r="E1983" s="336" t="s">
        <v>853</v>
      </c>
    </row>
    <row r="1984" spans="1:5" x14ac:dyDescent="0.2">
      <c r="A1984" s="335">
        <v>1001280605</v>
      </c>
      <c r="B1984" s="336" t="s">
        <v>2612</v>
      </c>
      <c r="C1984" s="336" t="s">
        <v>797</v>
      </c>
      <c r="D1984" s="336" t="s">
        <v>852</v>
      </c>
      <c r="E1984" s="336" t="s">
        <v>853</v>
      </c>
    </row>
    <row r="1985" spans="1:5" x14ac:dyDescent="0.2">
      <c r="A1985" s="335">
        <v>1001280607</v>
      </c>
      <c r="B1985" s="336" t="s">
        <v>2613</v>
      </c>
      <c r="C1985" s="336" t="s">
        <v>797</v>
      </c>
      <c r="D1985" s="336" t="s">
        <v>852</v>
      </c>
      <c r="E1985" s="336" t="s">
        <v>853</v>
      </c>
    </row>
    <row r="1986" spans="1:5" x14ac:dyDescent="0.2">
      <c r="A1986" s="335">
        <v>1001280624</v>
      </c>
      <c r="B1986" s="336" t="s">
        <v>2614</v>
      </c>
      <c r="C1986" s="336" t="s">
        <v>813</v>
      </c>
      <c r="D1986" s="336" t="s">
        <v>852</v>
      </c>
      <c r="E1986" s="336" t="s">
        <v>853</v>
      </c>
    </row>
    <row r="1987" spans="1:5" x14ac:dyDescent="0.2">
      <c r="A1987" s="335">
        <v>1001280625</v>
      </c>
      <c r="B1987" s="336" t="s">
        <v>2615</v>
      </c>
      <c r="C1987" s="336" t="s">
        <v>813</v>
      </c>
      <c r="D1987" s="336" t="s">
        <v>852</v>
      </c>
      <c r="E1987" s="336" t="s">
        <v>853</v>
      </c>
    </row>
    <row r="1988" spans="1:5" x14ac:dyDescent="0.2">
      <c r="A1988" s="335">
        <v>1001280626</v>
      </c>
      <c r="B1988" s="336" t="s">
        <v>2616</v>
      </c>
      <c r="C1988" s="336" t="s">
        <v>813</v>
      </c>
      <c r="D1988" s="336" t="s">
        <v>852</v>
      </c>
      <c r="E1988" s="336" t="s">
        <v>853</v>
      </c>
    </row>
    <row r="1989" spans="1:5" x14ac:dyDescent="0.2">
      <c r="A1989" s="335">
        <v>1001280627</v>
      </c>
      <c r="B1989" s="336" t="s">
        <v>2564</v>
      </c>
      <c r="C1989" s="336" t="s">
        <v>813</v>
      </c>
      <c r="D1989" s="336" t="s">
        <v>852</v>
      </c>
      <c r="E1989" s="336" t="s">
        <v>853</v>
      </c>
    </row>
    <row r="1990" spans="1:5" x14ac:dyDescent="0.2">
      <c r="A1990" s="335">
        <v>1001280629</v>
      </c>
      <c r="B1990" s="336" t="s">
        <v>2617</v>
      </c>
      <c r="C1990" s="336" t="s">
        <v>813</v>
      </c>
      <c r="D1990" s="336" t="s">
        <v>852</v>
      </c>
      <c r="E1990" s="336" t="s">
        <v>853</v>
      </c>
    </row>
    <row r="1991" spans="1:5" x14ac:dyDescent="0.2">
      <c r="A1991" s="335">
        <v>1001280645</v>
      </c>
      <c r="B1991" s="336" t="s">
        <v>995</v>
      </c>
      <c r="C1991" s="336" t="s">
        <v>797</v>
      </c>
      <c r="D1991" s="336" t="s">
        <v>852</v>
      </c>
      <c r="E1991" s="336" t="s">
        <v>853</v>
      </c>
    </row>
    <row r="1992" spans="1:5" x14ac:dyDescent="0.2">
      <c r="A1992" s="335">
        <v>1001280654</v>
      </c>
      <c r="B1992" s="336" t="s">
        <v>395</v>
      </c>
      <c r="C1992" s="336" t="s">
        <v>813</v>
      </c>
      <c r="D1992" s="336" t="s">
        <v>852</v>
      </c>
      <c r="E1992" s="336" t="s">
        <v>853</v>
      </c>
    </row>
    <row r="1993" spans="1:5" x14ac:dyDescent="0.2">
      <c r="A1993" s="335">
        <v>1001280673</v>
      </c>
      <c r="B1993" s="336" t="s">
        <v>2618</v>
      </c>
      <c r="C1993" s="336" t="s">
        <v>813</v>
      </c>
      <c r="D1993" s="336" t="s">
        <v>852</v>
      </c>
      <c r="E1993" s="336" t="s">
        <v>853</v>
      </c>
    </row>
    <row r="1994" spans="1:5" x14ac:dyDescent="0.2">
      <c r="A1994" s="335">
        <v>1001280678</v>
      </c>
      <c r="B1994" s="336" t="s">
        <v>2619</v>
      </c>
      <c r="C1994" s="336" t="s">
        <v>813</v>
      </c>
      <c r="D1994" s="336" t="s">
        <v>852</v>
      </c>
      <c r="E1994" s="336" t="s">
        <v>853</v>
      </c>
    </row>
    <row r="1995" spans="1:5" x14ac:dyDescent="0.2">
      <c r="A1995" s="335">
        <v>1001280728</v>
      </c>
      <c r="B1995" s="336" t="s">
        <v>970</v>
      </c>
      <c r="C1995" s="336" t="s">
        <v>797</v>
      </c>
      <c r="D1995" s="336" t="s">
        <v>852</v>
      </c>
      <c r="E1995" s="336" t="s">
        <v>853</v>
      </c>
    </row>
    <row r="1996" spans="1:5" x14ac:dyDescent="0.2">
      <c r="A1996" s="335">
        <v>1001280733</v>
      </c>
      <c r="B1996" s="336" t="s">
        <v>2620</v>
      </c>
      <c r="C1996" s="336" t="s">
        <v>797</v>
      </c>
      <c r="D1996" s="336" t="s">
        <v>852</v>
      </c>
      <c r="E1996" s="336" t="s">
        <v>853</v>
      </c>
    </row>
    <row r="1997" spans="1:5" x14ac:dyDescent="0.2">
      <c r="A1997" s="335">
        <v>1001280736</v>
      </c>
      <c r="B1997" s="336" t="s">
        <v>2621</v>
      </c>
      <c r="C1997" s="336" t="s">
        <v>813</v>
      </c>
      <c r="D1997" s="336" t="s">
        <v>852</v>
      </c>
      <c r="E1997" s="336" t="s">
        <v>853</v>
      </c>
    </row>
    <row r="1998" spans="1:5" x14ac:dyDescent="0.2">
      <c r="A1998" s="335">
        <v>1001280737</v>
      </c>
      <c r="B1998" s="336" t="s">
        <v>2622</v>
      </c>
      <c r="C1998" s="336" t="s">
        <v>813</v>
      </c>
      <c r="D1998" s="336" t="s">
        <v>852</v>
      </c>
      <c r="E1998" s="336" t="s">
        <v>853</v>
      </c>
    </row>
    <row r="1999" spans="1:5" x14ac:dyDescent="0.2">
      <c r="A1999" s="335">
        <v>1001280738</v>
      </c>
      <c r="B1999" s="336" t="s">
        <v>1466</v>
      </c>
      <c r="C1999" s="336" t="s">
        <v>813</v>
      </c>
      <c r="D1999" s="336" t="s">
        <v>852</v>
      </c>
      <c r="E1999" s="336" t="s">
        <v>853</v>
      </c>
    </row>
    <row r="2000" spans="1:5" x14ac:dyDescent="0.2">
      <c r="A2000" s="335">
        <v>1001280739</v>
      </c>
      <c r="B2000" s="336" t="s">
        <v>2223</v>
      </c>
      <c r="C2000" s="336" t="s">
        <v>813</v>
      </c>
      <c r="D2000" s="336" t="s">
        <v>852</v>
      </c>
      <c r="E2000" s="336" t="s">
        <v>853</v>
      </c>
    </row>
    <row r="2001" spans="1:5" x14ac:dyDescent="0.2">
      <c r="A2001" s="335">
        <v>1001288832</v>
      </c>
      <c r="B2001" s="336" t="s">
        <v>1076</v>
      </c>
      <c r="C2001" s="336" t="s">
        <v>797</v>
      </c>
      <c r="D2001" s="336" t="s">
        <v>852</v>
      </c>
      <c r="E2001" s="336" t="s">
        <v>853</v>
      </c>
    </row>
    <row r="2002" spans="1:5" x14ac:dyDescent="0.2">
      <c r="A2002" s="335">
        <v>1001288836</v>
      </c>
      <c r="B2002" s="336" t="s">
        <v>908</v>
      </c>
      <c r="C2002" s="336" t="s">
        <v>797</v>
      </c>
      <c r="D2002" s="336" t="s">
        <v>852</v>
      </c>
      <c r="E2002" s="336" t="s">
        <v>853</v>
      </c>
    </row>
    <row r="2003" spans="1:5" x14ac:dyDescent="0.2">
      <c r="A2003" s="335">
        <v>1001288837</v>
      </c>
      <c r="B2003" s="336" t="s">
        <v>908</v>
      </c>
      <c r="C2003" s="336" t="s">
        <v>797</v>
      </c>
      <c r="D2003" s="336" t="s">
        <v>852</v>
      </c>
      <c r="E2003" s="336" t="s">
        <v>853</v>
      </c>
    </row>
    <row r="2004" spans="1:5" x14ac:dyDescent="0.2">
      <c r="A2004" s="335">
        <v>1001288844</v>
      </c>
      <c r="B2004" s="336" t="s">
        <v>2623</v>
      </c>
      <c r="C2004" s="336" t="s">
        <v>813</v>
      </c>
      <c r="D2004" s="336" t="s">
        <v>852</v>
      </c>
      <c r="E2004" s="336" t="s">
        <v>853</v>
      </c>
    </row>
    <row r="2005" spans="1:5" x14ac:dyDescent="0.2">
      <c r="A2005" s="335">
        <v>1001288845</v>
      </c>
      <c r="B2005" s="336" t="s">
        <v>373</v>
      </c>
      <c r="C2005" s="336" t="s">
        <v>813</v>
      </c>
      <c r="D2005" s="336" t="s">
        <v>852</v>
      </c>
      <c r="E2005" s="336" t="s">
        <v>853</v>
      </c>
    </row>
    <row r="2006" spans="1:5" x14ac:dyDescent="0.2">
      <c r="A2006" s="335">
        <v>1001288846</v>
      </c>
      <c r="B2006" s="336" t="s">
        <v>2624</v>
      </c>
      <c r="C2006" s="336" t="s">
        <v>813</v>
      </c>
      <c r="D2006" s="336" t="s">
        <v>852</v>
      </c>
      <c r="E2006" s="336" t="s">
        <v>853</v>
      </c>
    </row>
    <row r="2007" spans="1:5" x14ac:dyDescent="0.2">
      <c r="A2007" s="335">
        <v>1001288847</v>
      </c>
      <c r="B2007" s="336" t="s">
        <v>2625</v>
      </c>
      <c r="C2007" s="336" t="s">
        <v>813</v>
      </c>
      <c r="D2007" s="336" t="s">
        <v>852</v>
      </c>
      <c r="E2007" s="336" t="s">
        <v>853</v>
      </c>
    </row>
    <row r="2008" spans="1:5" x14ac:dyDescent="0.2">
      <c r="A2008" s="335">
        <v>1001288848</v>
      </c>
      <c r="B2008" s="336" t="s">
        <v>2626</v>
      </c>
      <c r="C2008" s="336" t="s">
        <v>813</v>
      </c>
      <c r="D2008" s="336" t="s">
        <v>852</v>
      </c>
      <c r="E2008" s="336" t="s">
        <v>853</v>
      </c>
    </row>
    <row r="2009" spans="1:5" x14ac:dyDescent="0.2">
      <c r="A2009" s="335">
        <v>1001288861</v>
      </c>
      <c r="B2009" s="336" t="s">
        <v>975</v>
      </c>
      <c r="C2009" s="336" t="s">
        <v>797</v>
      </c>
      <c r="D2009" s="336" t="s">
        <v>852</v>
      </c>
      <c r="E2009" s="336" t="s">
        <v>853</v>
      </c>
    </row>
    <row r="2010" spans="1:5" x14ac:dyDescent="0.2">
      <c r="A2010" s="335">
        <v>1001288862</v>
      </c>
      <c r="B2010" s="336" t="s">
        <v>2627</v>
      </c>
      <c r="C2010" s="336" t="s">
        <v>797</v>
      </c>
      <c r="D2010" s="336" t="s">
        <v>852</v>
      </c>
      <c r="E2010" s="336" t="s">
        <v>853</v>
      </c>
    </row>
    <row r="2011" spans="1:5" x14ac:dyDescent="0.2">
      <c r="A2011" s="335">
        <v>1001288866</v>
      </c>
      <c r="B2011" s="336" t="s">
        <v>785</v>
      </c>
      <c r="C2011" s="336" t="s">
        <v>797</v>
      </c>
      <c r="D2011" s="336" t="s">
        <v>852</v>
      </c>
      <c r="E2011" s="336" t="s">
        <v>853</v>
      </c>
    </row>
    <row r="2012" spans="1:5" x14ac:dyDescent="0.2">
      <c r="A2012" s="335">
        <v>1001288868</v>
      </c>
      <c r="B2012" s="336" t="s">
        <v>785</v>
      </c>
      <c r="C2012" s="336" t="s">
        <v>797</v>
      </c>
      <c r="D2012" s="336" t="s">
        <v>852</v>
      </c>
      <c r="E2012" s="336" t="s">
        <v>853</v>
      </c>
    </row>
    <row r="2013" spans="1:5" x14ac:dyDescent="0.2">
      <c r="A2013" s="335">
        <v>1001288869</v>
      </c>
      <c r="B2013" s="336" t="s">
        <v>2628</v>
      </c>
      <c r="C2013" s="336" t="s">
        <v>813</v>
      </c>
      <c r="D2013" s="336" t="s">
        <v>852</v>
      </c>
      <c r="E2013" s="336" t="s">
        <v>853</v>
      </c>
    </row>
    <row r="2014" spans="1:5" x14ac:dyDescent="0.2">
      <c r="A2014" s="335">
        <v>1001288874</v>
      </c>
      <c r="B2014" s="336" t="s">
        <v>2629</v>
      </c>
      <c r="C2014" s="336" t="s">
        <v>863</v>
      </c>
      <c r="D2014" s="336" t="s">
        <v>852</v>
      </c>
      <c r="E2014" s="336" t="s">
        <v>853</v>
      </c>
    </row>
    <row r="2015" spans="1:5" x14ac:dyDescent="0.2">
      <c r="A2015" s="335">
        <v>1001288875</v>
      </c>
      <c r="B2015" s="336" t="s">
        <v>972</v>
      </c>
      <c r="C2015" s="336" t="s">
        <v>813</v>
      </c>
      <c r="D2015" s="336" t="s">
        <v>852</v>
      </c>
      <c r="E2015" s="336" t="s">
        <v>853</v>
      </c>
    </row>
    <row r="2016" spans="1:5" x14ac:dyDescent="0.2">
      <c r="A2016" s="335">
        <v>1001288911</v>
      </c>
      <c r="B2016" s="336" t="s">
        <v>2630</v>
      </c>
      <c r="C2016" s="336" t="s">
        <v>813</v>
      </c>
      <c r="D2016" s="336" t="s">
        <v>852</v>
      </c>
      <c r="E2016" s="336" t="s">
        <v>853</v>
      </c>
    </row>
    <row r="2017" spans="1:5" x14ac:dyDescent="0.2">
      <c r="A2017" s="335">
        <v>1001288915</v>
      </c>
      <c r="B2017" s="336" t="s">
        <v>2631</v>
      </c>
      <c r="C2017" s="336" t="s">
        <v>797</v>
      </c>
      <c r="D2017" s="336" t="s">
        <v>852</v>
      </c>
      <c r="E2017" s="336" t="s">
        <v>853</v>
      </c>
    </row>
    <row r="2018" spans="1:5" x14ac:dyDescent="0.2">
      <c r="A2018" s="335">
        <v>1001288916</v>
      </c>
      <c r="B2018" s="336" t="s">
        <v>2632</v>
      </c>
      <c r="C2018" s="336" t="s">
        <v>797</v>
      </c>
      <c r="D2018" s="336" t="s">
        <v>852</v>
      </c>
      <c r="E2018" s="336" t="s">
        <v>853</v>
      </c>
    </row>
    <row r="2019" spans="1:5" x14ac:dyDescent="0.2">
      <c r="A2019" s="335">
        <v>1001288917</v>
      </c>
      <c r="B2019" s="336" t="s">
        <v>2633</v>
      </c>
      <c r="C2019" s="336" t="s">
        <v>797</v>
      </c>
      <c r="D2019" s="336" t="s">
        <v>852</v>
      </c>
      <c r="E2019" s="336" t="s">
        <v>853</v>
      </c>
    </row>
    <row r="2020" spans="1:5" x14ac:dyDescent="0.2">
      <c r="A2020" s="335">
        <v>1001288918</v>
      </c>
      <c r="B2020" s="336" t="s">
        <v>2634</v>
      </c>
      <c r="C2020" s="336" t="s">
        <v>797</v>
      </c>
      <c r="D2020" s="336" t="s">
        <v>852</v>
      </c>
      <c r="E2020" s="336" t="s">
        <v>853</v>
      </c>
    </row>
    <row r="2021" spans="1:5" x14ac:dyDescent="0.2">
      <c r="A2021" s="335">
        <v>1001288920</v>
      </c>
      <c r="B2021" s="336" t="s">
        <v>2622</v>
      </c>
      <c r="C2021" s="336" t="s">
        <v>813</v>
      </c>
      <c r="D2021" s="336" t="s">
        <v>852</v>
      </c>
      <c r="E2021" s="336" t="s">
        <v>853</v>
      </c>
    </row>
    <row r="2022" spans="1:5" x14ac:dyDescent="0.2">
      <c r="A2022" s="335">
        <v>1001288921</v>
      </c>
      <c r="B2022" s="336" t="s">
        <v>2635</v>
      </c>
      <c r="C2022" s="336" t="s">
        <v>813</v>
      </c>
      <c r="D2022" s="336" t="s">
        <v>852</v>
      </c>
      <c r="E2022" s="336" t="s">
        <v>853</v>
      </c>
    </row>
    <row r="2023" spans="1:5" x14ac:dyDescent="0.2">
      <c r="A2023" s="335">
        <v>1001288924</v>
      </c>
      <c r="B2023" s="336" t="s">
        <v>2636</v>
      </c>
      <c r="C2023" s="336" t="s">
        <v>797</v>
      </c>
      <c r="D2023" s="336" t="s">
        <v>852</v>
      </c>
      <c r="E2023" s="336" t="s">
        <v>853</v>
      </c>
    </row>
    <row r="2024" spans="1:5" x14ac:dyDescent="0.2">
      <c r="A2024" s="335">
        <v>1001288925</v>
      </c>
      <c r="B2024" s="336" t="s">
        <v>2637</v>
      </c>
      <c r="C2024" s="336" t="s">
        <v>797</v>
      </c>
      <c r="D2024" s="336" t="s">
        <v>852</v>
      </c>
      <c r="E2024" s="336" t="s">
        <v>853</v>
      </c>
    </row>
    <row r="2025" spans="1:5" x14ac:dyDescent="0.2">
      <c r="A2025" s="335">
        <v>1001288956</v>
      </c>
      <c r="B2025" s="336" t="s">
        <v>2638</v>
      </c>
      <c r="C2025" s="336" t="s">
        <v>813</v>
      </c>
      <c r="D2025" s="336" t="s">
        <v>852</v>
      </c>
      <c r="E2025" s="336" t="s">
        <v>853</v>
      </c>
    </row>
    <row r="2026" spans="1:5" x14ac:dyDescent="0.2">
      <c r="A2026" s="335">
        <v>1001288959</v>
      </c>
      <c r="B2026" s="336" t="s">
        <v>2639</v>
      </c>
      <c r="C2026" s="336" t="s">
        <v>813</v>
      </c>
      <c r="D2026" s="336" t="s">
        <v>852</v>
      </c>
      <c r="E2026" s="336" t="s">
        <v>853</v>
      </c>
    </row>
    <row r="2027" spans="1:5" x14ac:dyDescent="0.2">
      <c r="A2027" s="335">
        <v>1001288961</v>
      </c>
      <c r="B2027" s="336" t="s">
        <v>2640</v>
      </c>
      <c r="C2027" s="336" t="s">
        <v>797</v>
      </c>
      <c r="D2027" s="336" t="s">
        <v>852</v>
      </c>
      <c r="E2027" s="336" t="s">
        <v>853</v>
      </c>
    </row>
    <row r="2028" spans="1:5" x14ac:dyDescent="0.2">
      <c r="A2028" s="335">
        <v>1001288994</v>
      </c>
      <c r="B2028" s="336" t="s">
        <v>2641</v>
      </c>
      <c r="C2028" s="336" t="s">
        <v>797</v>
      </c>
      <c r="D2028" s="336" t="s">
        <v>852</v>
      </c>
      <c r="E2028" s="336" t="s">
        <v>853</v>
      </c>
    </row>
    <row r="2029" spans="1:5" x14ac:dyDescent="0.2">
      <c r="A2029" s="335">
        <v>1001289009</v>
      </c>
      <c r="B2029" s="336" t="s">
        <v>2642</v>
      </c>
      <c r="C2029" s="336" t="s">
        <v>813</v>
      </c>
      <c r="D2029" s="336" t="s">
        <v>852</v>
      </c>
      <c r="E2029" s="336" t="s">
        <v>853</v>
      </c>
    </row>
    <row r="2030" spans="1:5" x14ac:dyDescent="0.2">
      <c r="A2030" s="335">
        <v>1001289017</v>
      </c>
      <c r="B2030" s="336" t="s">
        <v>2643</v>
      </c>
      <c r="C2030" s="336" t="s">
        <v>1097</v>
      </c>
      <c r="D2030" s="336" t="s">
        <v>852</v>
      </c>
      <c r="E2030" s="336" t="s">
        <v>853</v>
      </c>
    </row>
    <row r="2031" spans="1:5" x14ac:dyDescent="0.2">
      <c r="A2031" s="335">
        <v>1001289050</v>
      </c>
      <c r="B2031" s="336" t="s">
        <v>2644</v>
      </c>
      <c r="C2031" s="336" t="s">
        <v>813</v>
      </c>
      <c r="D2031" s="336" t="s">
        <v>852</v>
      </c>
      <c r="E2031" s="336" t="s">
        <v>853</v>
      </c>
    </row>
    <row r="2032" spans="1:5" x14ac:dyDescent="0.2">
      <c r="A2032" s="335">
        <v>1001289051</v>
      </c>
      <c r="B2032" s="336" t="s">
        <v>2645</v>
      </c>
      <c r="C2032" s="336" t="s">
        <v>813</v>
      </c>
      <c r="D2032" s="336" t="s">
        <v>852</v>
      </c>
      <c r="E2032" s="336" t="s">
        <v>853</v>
      </c>
    </row>
    <row r="2033" spans="1:5" x14ac:dyDescent="0.2">
      <c r="A2033" s="335">
        <v>1001289066</v>
      </c>
      <c r="B2033" s="336" t="s">
        <v>2646</v>
      </c>
      <c r="C2033" s="336" t="s">
        <v>813</v>
      </c>
      <c r="D2033" s="336" t="s">
        <v>852</v>
      </c>
      <c r="E2033" s="336" t="s">
        <v>853</v>
      </c>
    </row>
    <row r="2034" spans="1:5" x14ac:dyDescent="0.2">
      <c r="A2034" s="335">
        <v>1001289071</v>
      </c>
      <c r="B2034" s="336" t="s">
        <v>785</v>
      </c>
      <c r="C2034" s="336" t="s">
        <v>797</v>
      </c>
      <c r="D2034" s="336" t="s">
        <v>852</v>
      </c>
      <c r="E2034" s="336" t="s">
        <v>853</v>
      </c>
    </row>
    <row r="2035" spans="1:5" x14ac:dyDescent="0.2">
      <c r="A2035" s="335">
        <v>1001290202</v>
      </c>
      <c r="B2035" s="336" t="s">
        <v>2586</v>
      </c>
      <c r="C2035" s="336" t="s">
        <v>813</v>
      </c>
      <c r="D2035" s="336" t="s">
        <v>852</v>
      </c>
      <c r="E2035" s="336" t="s">
        <v>853</v>
      </c>
    </row>
    <row r="2036" spans="1:5" x14ac:dyDescent="0.2">
      <c r="A2036" s="335">
        <v>1001290203</v>
      </c>
      <c r="B2036" s="336" t="s">
        <v>2647</v>
      </c>
      <c r="C2036" s="336" t="s">
        <v>813</v>
      </c>
      <c r="D2036" s="336" t="s">
        <v>852</v>
      </c>
      <c r="E2036" s="336" t="s">
        <v>853</v>
      </c>
    </row>
    <row r="2037" spans="1:5" x14ac:dyDescent="0.2">
      <c r="A2037" s="335">
        <v>1001290208</v>
      </c>
      <c r="B2037" s="336" t="s">
        <v>785</v>
      </c>
      <c r="C2037" s="336" t="s">
        <v>797</v>
      </c>
      <c r="D2037" s="336" t="s">
        <v>852</v>
      </c>
      <c r="E2037" s="336" t="s">
        <v>853</v>
      </c>
    </row>
    <row r="2038" spans="1:5" x14ac:dyDescent="0.2">
      <c r="A2038" s="335">
        <v>1001290250</v>
      </c>
      <c r="B2038" s="336" t="s">
        <v>2648</v>
      </c>
      <c r="C2038" s="336" t="s">
        <v>813</v>
      </c>
      <c r="D2038" s="336" t="s">
        <v>852</v>
      </c>
      <c r="E2038" s="336" t="s">
        <v>853</v>
      </c>
    </row>
    <row r="2039" spans="1:5" x14ac:dyDescent="0.2">
      <c r="A2039" s="335">
        <v>1001290251</v>
      </c>
      <c r="B2039" s="336" t="s">
        <v>785</v>
      </c>
      <c r="C2039" s="336" t="s">
        <v>797</v>
      </c>
      <c r="D2039" s="336" t="s">
        <v>852</v>
      </c>
      <c r="E2039" s="336" t="s">
        <v>853</v>
      </c>
    </row>
    <row r="2040" spans="1:5" x14ac:dyDescent="0.2">
      <c r="A2040" s="335">
        <v>1001290258</v>
      </c>
      <c r="B2040" s="336" t="s">
        <v>785</v>
      </c>
      <c r="C2040" s="336" t="s">
        <v>797</v>
      </c>
      <c r="D2040" s="336" t="s">
        <v>852</v>
      </c>
      <c r="E2040" s="336" t="s">
        <v>853</v>
      </c>
    </row>
    <row r="2041" spans="1:5" x14ac:dyDescent="0.2">
      <c r="A2041" s="335">
        <v>1001290265</v>
      </c>
      <c r="B2041" s="336" t="s">
        <v>2649</v>
      </c>
      <c r="C2041" s="336" t="s">
        <v>813</v>
      </c>
      <c r="D2041" s="336" t="s">
        <v>852</v>
      </c>
      <c r="E2041" s="336" t="s">
        <v>853</v>
      </c>
    </row>
    <row r="2042" spans="1:5" x14ac:dyDescent="0.2">
      <c r="A2042" s="335">
        <v>1001290266</v>
      </c>
      <c r="B2042" s="336" t="s">
        <v>785</v>
      </c>
      <c r="C2042" s="336" t="s">
        <v>797</v>
      </c>
      <c r="D2042" s="336" t="s">
        <v>852</v>
      </c>
      <c r="E2042" s="336" t="s">
        <v>853</v>
      </c>
    </row>
    <row r="2043" spans="1:5" x14ac:dyDescent="0.2">
      <c r="A2043" s="335">
        <v>1001290276</v>
      </c>
      <c r="B2043" s="336" t="s">
        <v>2650</v>
      </c>
      <c r="C2043" s="336" t="s">
        <v>797</v>
      </c>
      <c r="D2043" s="336" t="s">
        <v>852</v>
      </c>
      <c r="E2043" s="336" t="s">
        <v>853</v>
      </c>
    </row>
    <row r="2044" spans="1:5" x14ac:dyDescent="0.2">
      <c r="A2044" s="335">
        <v>1001290285</v>
      </c>
      <c r="B2044" s="336" t="s">
        <v>2626</v>
      </c>
      <c r="C2044" s="336" t="s">
        <v>813</v>
      </c>
      <c r="D2044" s="336" t="s">
        <v>852</v>
      </c>
      <c r="E2044" s="336" t="s">
        <v>853</v>
      </c>
    </row>
    <row r="2045" spans="1:5" x14ac:dyDescent="0.2">
      <c r="A2045" s="335">
        <v>1001290292</v>
      </c>
      <c r="B2045" s="336" t="s">
        <v>2651</v>
      </c>
      <c r="C2045" s="336" t="s">
        <v>813</v>
      </c>
      <c r="D2045" s="336" t="s">
        <v>852</v>
      </c>
      <c r="E2045" s="336" t="s">
        <v>853</v>
      </c>
    </row>
    <row r="2046" spans="1:5" x14ac:dyDescent="0.2">
      <c r="A2046" s="335">
        <v>1001290293</v>
      </c>
      <c r="B2046" s="336" t="s">
        <v>2652</v>
      </c>
      <c r="C2046" s="336" t="s">
        <v>813</v>
      </c>
      <c r="D2046" s="336" t="s">
        <v>852</v>
      </c>
      <c r="E2046" s="336" t="s">
        <v>853</v>
      </c>
    </row>
    <row r="2047" spans="1:5" x14ac:dyDescent="0.2">
      <c r="A2047" s="335">
        <v>1001290294</v>
      </c>
      <c r="B2047" s="336" t="s">
        <v>2489</v>
      </c>
      <c r="C2047" s="336" t="s">
        <v>813</v>
      </c>
      <c r="D2047" s="336" t="s">
        <v>852</v>
      </c>
      <c r="E2047" s="336" t="s">
        <v>853</v>
      </c>
    </row>
    <row r="2048" spans="1:5" x14ac:dyDescent="0.2">
      <c r="A2048" s="335">
        <v>1001290295</v>
      </c>
      <c r="B2048" s="336" t="s">
        <v>2488</v>
      </c>
      <c r="C2048" s="336" t="s">
        <v>813</v>
      </c>
      <c r="D2048" s="336" t="s">
        <v>852</v>
      </c>
      <c r="E2048" s="336" t="s">
        <v>853</v>
      </c>
    </row>
    <row r="2049" spans="1:5" x14ac:dyDescent="0.2">
      <c r="A2049" s="335">
        <v>1001290350</v>
      </c>
      <c r="B2049" s="336" t="s">
        <v>2653</v>
      </c>
      <c r="C2049" s="336" t="s">
        <v>813</v>
      </c>
      <c r="D2049" s="336" t="s">
        <v>852</v>
      </c>
      <c r="E2049" s="336" t="s">
        <v>853</v>
      </c>
    </row>
    <row r="2050" spans="1:5" x14ac:dyDescent="0.2">
      <c r="A2050" s="335">
        <v>1001290365</v>
      </c>
      <c r="B2050" s="336" t="s">
        <v>2560</v>
      </c>
      <c r="C2050" s="336" t="s">
        <v>813</v>
      </c>
      <c r="D2050" s="336" t="s">
        <v>852</v>
      </c>
      <c r="E2050" s="336" t="s">
        <v>853</v>
      </c>
    </row>
    <row r="2051" spans="1:5" x14ac:dyDescent="0.2">
      <c r="A2051" s="335">
        <v>1001290445</v>
      </c>
      <c r="B2051" s="336" t="s">
        <v>2654</v>
      </c>
      <c r="C2051" s="336" t="s">
        <v>813</v>
      </c>
      <c r="D2051" s="336" t="s">
        <v>852</v>
      </c>
      <c r="E2051" s="336" t="s">
        <v>853</v>
      </c>
    </row>
    <row r="2052" spans="1:5" x14ac:dyDescent="0.2">
      <c r="A2052" s="335">
        <v>1001290448</v>
      </c>
      <c r="B2052" s="336" t="s">
        <v>2655</v>
      </c>
      <c r="C2052" s="336" t="s">
        <v>813</v>
      </c>
      <c r="D2052" s="336" t="s">
        <v>852</v>
      </c>
      <c r="E2052" s="336" t="s">
        <v>853</v>
      </c>
    </row>
    <row r="2053" spans="1:5" x14ac:dyDescent="0.2">
      <c r="A2053" s="335">
        <v>1001290463</v>
      </c>
      <c r="B2053" s="336" t="s">
        <v>929</v>
      </c>
      <c r="C2053" s="336" t="s">
        <v>797</v>
      </c>
      <c r="D2053" s="336" t="s">
        <v>852</v>
      </c>
      <c r="E2053" s="336" t="s">
        <v>853</v>
      </c>
    </row>
    <row r="2054" spans="1:5" x14ac:dyDescent="0.2">
      <c r="A2054" s="335">
        <v>1001290478</v>
      </c>
      <c r="B2054" s="336" t="s">
        <v>2656</v>
      </c>
      <c r="C2054" s="336" t="s">
        <v>813</v>
      </c>
      <c r="D2054" s="336" t="s">
        <v>852</v>
      </c>
      <c r="E2054" s="336" t="s">
        <v>853</v>
      </c>
    </row>
    <row r="2055" spans="1:5" x14ac:dyDescent="0.2">
      <c r="A2055" s="335">
        <v>1001290479</v>
      </c>
      <c r="B2055" s="336" t="s">
        <v>2657</v>
      </c>
      <c r="C2055" s="336" t="s">
        <v>813</v>
      </c>
      <c r="D2055" s="336" t="s">
        <v>852</v>
      </c>
      <c r="E2055" s="336" t="s">
        <v>853</v>
      </c>
    </row>
    <row r="2056" spans="1:5" x14ac:dyDescent="0.2">
      <c r="A2056" s="335">
        <v>1001290500</v>
      </c>
      <c r="B2056" s="336" t="s">
        <v>1012</v>
      </c>
      <c r="C2056" s="336" t="s">
        <v>813</v>
      </c>
      <c r="D2056" s="336" t="s">
        <v>852</v>
      </c>
      <c r="E2056" s="336" t="s">
        <v>853</v>
      </c>
    </row>
    <row r="2057" spans="1:5" x14ac:dyDescent="0.2">
      <c r="A2057" s="335">
        <v>1001290527</v>
      </c>
      <c r="B2057" s="336" t="s">
        <v>2658</v>
      </c>
      <c r="C2057" s="336" t="s">
        <v>813</v>
      </c>
      <c r="D2057" s="336" t="s">
        <v>852</v>
      </c>
      <c r="E2057" s="336" t="s">
        <v>853</v>
      </c>
    </row>
    <row r="2058" spans="1:5" x14ac:dyDescent="0.2">
      <c r="A2058" s="335">
        <v>1001290528</v>
      </c>
      <c r="B2058" s="336" t="s">
        <v>2659</v>
      </c>
      <c r="C2058" s="336" t="s">
        <v>813</v>
      </c>
      <c r="D2058" s="336" t="s">
        <v>852</v>
      </c>
      <c r="E2058" s="336" t="s">
        <v>853</v>
      </c>
    </row>
    <row r="2059" spans="1:5" x14ac:dyDescent="0.2">
      <c r="A2059" s="335">
        <v>1001290529</v>
      </c>
      <c r="B2059" s="336" t="s">
        <v>2660</v>
      </c>
      <c r="C2059" s="336" t="s">
        <v>813</v>
      </c>
      <c r="D2059" s="336" t="s">
        <v>852</v>
      </c>
      <c r="E2059" s="336" t="s">
        <v>853</v>
      </c>
    </row>
    <row r="2060" spans="1:5" x14ac:dyDescent="0.2">
      <c r="A2060" s="335">
        <v>1001290557</v>
      </c>
      <c r="B2060" s="336" t="s">
        <v>2661</v>
      </c>
      <c r="C2060" s="336" t="s">
        <v>813</v>
      </c>
      <c r="D2060" s="336" t="s">
        <v>852</v>
      </c>
      <c r="E2060" s="336" t="s">
        <v>853</v>
      </c>
    </row>
    <row r="2061" spans="1:5" x14ac:dyDescent="0.2">
      <c r="A2061" s="335">
        <v>1001290570</v>
      </c>
      <c r="B2061" s="336" t="s">
        <v>2662</v>
      </c>
      <c r="C2061" s="336" t="s">
        <v>813</v>
      </c>
      <c r="D2061" s="336" t="s">
        <v>852</v>
      </c>
      <c r="E2061" s="336" t="s">
        <v>853</v>
      </c>
    </row>
    <row r="2062" spans="1:5" x14ac:dyDescent="0.2">
      <c r="A2062" s="335">
        <v>1001290572</v>
      </c>
      <c r="B2062" s="336" t="s">
        <v>2663</v>
      </c>
      <c r="C2062" s="336" t="s">
        <v>813</v>
      </c>
      <c r="D2062" s="336" t="s">
        <v>852</v>
      </c>
      <c r="E2062" s="336" t="s">
        <v>853</v>
      </c>
    </row>
    <row r="2063" spans="1:5" x14ac:dyDescent="0.2">
      <c r="A2063" s="335">
        <v>1001290586</v>
      </c>
      <c r="B2063" s="336" t="s">
        <v>976</v>
      </c>
      <c r="C2063" s="336" t="s">
        <v>797</v>
      </c>
      <c r="D2063" s="336" t="s">
        <v>852</v>
      </c>
      <c r="E2063" s="336" t="s">
        <v>853</v>
      </c>
    </row>
    <row r="2064" spans="1:5" x14ac:dyDescent="0.2">
      <c r="A2064" s="335">
        <v>1001290587</v>
      </c>
      <c r="B2064" s="336" t="s">
        <v>920</v>
      </c>
      <c r="C2064" s="336" t="s">
        <v>797</v>
      </c>
      <c r="D2064" s="336" t="s">
        <v>852</v>
      </c>
      <c r="E2064" s="336" t="s">
        <v>853</v>
      </c>
    </row>
    <row r="2065" spans="1:5" x14ac:dyDescent="0.2">
      <c r="A2065" s="335">
        <v>1001290601</v>
      </c>
      <c r="B2065" s="336" t="s">
        <v>2664</v>
      </c>
      <c r="C2065" s="336" t="s">
        <v>797</v>
      </c>
      <c r="D2065" s="336" t="s">
        <v>852</v>
      </c>
      <c r="E2065" s="336" t="s">
        <v>853</v>
      </c>
    </row>
    <row r="2066" spans="1:5" x14ac:dyDescent="0.2">
      <c r="A2066" s="335">
        <v>1001290604</v>
      </c>
      <c r="B2066" s="336" t="s">
        <v>2665</v>
      </c>
      <c r="C2066" s="336" t="s">
        <v>813</v>
      </c>
      <c r="D2066" s="336" t="s">
        <v>852</v>
      </c>
      <c r="E2066" s="336" t="s">
        <v>853</v>
      </c>
    </row>
    <row r="2067" spans="1:5" x14ac:dyDescent="0.2">
      <c r="A2067" s="335">
        <v>1001290606</v>
      </c>
      <c r="B2067" s="336" t="s">
        <v>2666</v>
      </c>
      <c r="C2067" s="336" t="s">
        <v>813</v>
      </c>
      <c r="D2067" s="336" t="s">
        <v>852</v>
      </c>
      <c r="E2067" s="336" t="s">
        <v>853</v>
      </c>
    </row>
    <row r="2068" spans="1:5" x14ac:dyDescent="0.2">
      <c r="A2068" s="335">
        <v>1001290622</v>
      </c>
      <c r="B2068" s="336" t="s">
        <v>2667</v>
      </c>
      <c r="C2068" s="336" t="s">
        <v>797</v>
      </c>
      <c r="D2068" s="336" t="s">
        <v>852</v>
      </c>
      <c r="E2068" s="336" t="s">
        <v>853</v>
      </c>
    </row>
    <row r="2069" spans="1:5" x14ac:dyDescent="0.2">
      <c r="A2069" s="335">
        <v>1001290649</v>
      </c>
      <c r="B2069" s="336" t="s">
        <v>2668</v>
      </c>
      <c r="C2069" s="336" t="s">
        <v>863</v>
      </c>
      <c r="D2069" s="336" t="s">
        <v>852</v>
      </c>
      <c r="E2069" s="336" t="s">
        <v>853</v>
      </c>
    </row>
    <row r="2070" spans="1:5" x14ac:dyDescent="0.2">
      <c r="A2070" s="335">
        <v>1001290654</v>
      </c>
      <c r="B2070" s="336" t="s">
        <v>2669</v>
      </c>
      <c r="C2070" s="336" t="s">
        <v>863</v>
      </c>
      <c r="D2070" s="336" t="s">
        <v>852</v>
      </c>
      <c r="E2070" s="336" t="s">
        <v>853</v>
      </c>
    </row>
    <row r="2071" spans="1:5" x14ac:dyDescent="0.2">
      <c r="A2071" s="335">
        <v>1001290675</v>
      </c>
      <c r="B2071" s="336" t="s">
        <v>2670</v>
      </c>
      <c r="C2071" s="336" t="s">
        <v>813</v>
      </c>
      <c r="D2071" s="336" t="s">
        <v>852</v>
      </c>
      <c r="E2071" s="336" t="s">
        <v>853</v>
      </c>
    </row>
    <row r="2072" spans="1:5" x14ac:dyDescent="0.2">
      <c r="A2072" s="335">
        <v>1001290692</v>
      </c>
      <c r="B2072" s="336" t="s">
        <v>2671</v>
      </c>
      <c r="C2072" s="336" t="s">
        <v>813</v>
      </c>
      <c r="D2072" s="336" t="s">
        <v>852</v>
      </c>
      <c r="E2072" s="336" t="s">
        <v>853</v>
      </c>
    </row>
    <row r="2073" spans="1:5" x14ac:dyDescent="0.2">
      <c r="A2073" s="335">
        <v>1001290697</v>
      </c>
      <c r="B2073" s="336" t="s">
        <v>1150</v>
      </c>
      <c r="C2073" s="336" t="s">
        <v>797</v>
      </c>
      <c r="D2073" s="336" t="s">
        <v>852</v>
      </c>
      <c r="E2073" s="336" t="s">
        <v>853</v>
      </c>
    </row>
    <row r="2074" spans="1:5" x14ac:dyDescent="0.2">
      <c r="A2074" s="335">
        <v>1001290703</v>
      </c>
      <c r="B2074" s="336" t="s">
        <v>2672</v>
      </c>
      <c r="C2074" s="336" t="s">
        <v>813</v>
      </c>
      <c r="D2074" s="336" t="s">
        <v>852</v>
      </c>
      <c r="E2074" s="336" t="s">
        <v>853</v>
      </c>
    </row>
    <row r="2075" spans="1:5" x14ac:dyDescent="0.2">
      <c r="A2075" s="335">
        <v>1001290719</v>
      </c>
      <c r="B2075" s="336" t="s">
        <v>2673</v>
      </c>
      <c r="C2075" s="336" t="s">
        <v>813</v>
      </c>
      <c r="D2075" s="336" t="s">
        <v>852</v>
      </c>
      <c r="E2075" s="336" t="s">
        <v>853</v>
      </c>
    </row>
    <row r="2076" spans="1:5" x14ac:dyDescent="0.2">
      <c r="A2076" s="335">
        <v>1001290743</v>
      </c>
      <c r="B2076" s="336" t="s">
        <v>2674</v>
      </c>
      <c r="C2076" s="336" t="s">
        <v>813</v>
      </c>
      <c r="D2076" s="336" t="s">
        <v>852</v>
      </c>
      <c r="E2076" s="336" t="s">
        <v>853</v>
      </c>
    </row>
    <row r="2077" spans="1:5" x14ac:dyDescent="0.2">
      <c r="A2077" s="335">
        <v>1001290752</v>
      </c>
      <c r="B2077" s="336" t="s">
        <v>2506</v>
      </c>
      <c r="C2077" s="336" t="s">
        <v>813</v>
      </c>
      <c r="D2077" s="336" t="s">
        <v>852</v>
      </c>
      <c r="E2077" s="336" t="s">
        <v>853</v>
      </c>
    </row>
    <row r="2078" spans="1:5" x14ac:dyDescent="0.2">
      <c r="A2078" s="335">
        <v>1001290754</v>
      </c>
      <c r="B2078" s="336" t="s">
        <v>2675</v>
      </c>
      <c r="C2078" s="336" t="s">
        <v>813</v>
      </c>
      <c r="D2078" s="336" t="s">
        <v>852</v>
      </c>
      <c r="E2078" s="336" t="s">
        <v>853</v>
      </c>
    </row>
    <row r="2079" spans="1:5" x14ac:dyDescent="0.2">
      <c r="A2079" s="335">
        <v>1001290755</v>
      </c>
      <c r="B2079" s="336" t="s">
        <v>2676</v>
      </c>
      <c r="C2079" s="336" t="s">
        <v>813</v>
      </c>
      <c r="D2079" s="336" t="s">
        <v>852</v>
      </c>
      <c r="E2079" s="336" t="s">
        <v>853</v>
      </c>
    </row>
    <row r="2080" spans="1:5" x14ac:dyDescent="0.2">
      <c r="A2080" s="335">
        <v>1001290756</v>
      </c>
      <c r="B2080" s="336" t="s">
        <v>2677</v>
      </c>
      <c r="C2080" s="336" t="s">
        <v>813</v>
      </c>
      <c r="D2080" s="336" t="s">
        <v>852</v>
      </c>
      <c r="E2080" s="336" t="s">
        <v>853</v>
      </c>
    </row>
    <row r="2081" spans="1:5" x14ac:dyDescent="0.2">
      <c r="A2081" s="335">
        <v>1001290783</v>
      </c>
      <c r="B2081" s="336" t="s">
        <v>2678</v>
      </c>
      <c r="C2081" s="336" t="s">
        <v>813</v>
      </c>
      <c r="D2081" s="336" t="s">
        <v>852</v>
      </c>
      <c r="E2081" s="336" t="s">
        <v>853</v>
      </c>
    </row>
    <row r="2082" spans="1:5" x14ac:dyDescent="0.2">
      <c r="A2082" s="335">
        <v>1001290807</v>
      </c>
      <c r="B2082" s="336" t="s">
        <v>2679</v>
      </c>
      <c r="C2082" s="336" t="s">
        <v>813</v>
      </c>
      <c r="D2082" s="336" t="s">
        <v>852</v>
      </c>
      <c r="E2082" s="336" t="s">
        <v>853</v>
      </c>
    </row>
    <row r="2083" spans="1:5" x14ac:dyDescent="0.2">
      <c r="A2083" s="335">
        <v>1001290810</v>
      </c>
      <c r="B2083" s="336" t="s">
        <v>2680</v>
      </c>
      <c r="C2083" s="336" t="s">
        <v>863</v>
      </c>
      <c r="D2083" s="336" t="s">
        <v>852</v>
      </c>
      <c r="E2083" s="336" t="s">
        <v>853</v>
      </c>
    </row>
    <row r="2084" spans="1:5" x14ac:dyDescent="0.2">
      <c r="A2084" s="335">
        <v>1001290814</v>
      </c>
      <c r="B2084" s="336" t="s">
        <v>907</v>
      </c>
      <c r="C2084" s="336" t="s">
        <v>797</v>
      </c>
      <c r="D2084" s="336" t="s">
        <v>852</v>
      </c>
      <c r="E2084" s="336" t="s">
        <v>853</v>
      </c>
    </row>
    <row r="2085" spans="1:5" x14ac:dyDescent="0.2">
      <c r="A2085" s="335">
        <v>1001290838</v>
      </c>
      <c r="B2085" s="336" t="s">
        <v>2681</v>
      </c>
      <c r="C2085" s="336" t="s">
        <v>797</v>
      </c>
      <c r="D2085" s="336" t="s">
        <v>852</v>
      </c>
      <c r="E2085" s="336" t="s">
        <v>853</v>
      </c>
    </row>
    <row r="2086" spans="1:5" x14ac:dyDescent="0.2">
      <c r="A2086" s="335">
        <v>1001295228</v>
      </c>
      <c r="B2086" s="336" t="s">
        <v>2682</v>
      </c>
      <c r="C2086" s="336" t="s">
        <v>813</v>
      </c>
      <c r="D2086" s="336" t="s">
        <v>852</v>
      </c>
      <c r="E2086" s="336" t="s">
        <v>853</v>
      </c>
    </row>
    <row r="2087" spans="1:5" x14ac:dyDescent="0.2">
      <c r="A2087" s="335">
        <v>1001299405</v>
      </c>
      <c r="B2087" s="336" t="s">
        <v>1011</v>
      </c>
      <c r="C2087" s="336" t="s">
        <v>797</v>
      </c>
      <c r="D2087" s="336" t="s">
        <v>852</v>
      </c>
      <c r="E2087" s="336" t="s">
        <v>853</v>
      </c>
    </row>
    <row r="2088" spans="1:5" x14ac:dyDescent="0.2">
      <c r="A2088" s="335">
        <v>1001300372</v>
      </c>
      <c r="B2088" s="336" t="s">
        <v>2683</v>
      </c>
      <c r="C2088" s="336" t="s">
        <v>797</v>
      </c>
      <c r="D2088" s="336" t="s">
        <v>852</v>
      </c>
      <c r="E2088" s="336" t="s">
        <v>853</v>
      </c>
    </row>
    <row r="2089" spans="1:5" x14ac:dyDescent="0.2">
      <c r="A2089" s="335">
        <v>1001300374</v>
      </c>
      <c r="B2089" s="336" t="s">
        <v>2684</v>
      </c>
      <c r="C2089" s="336" t="s">
        <v>813</v>
      </c>
      <c r="D2089" s="336" t="s">
        <v>852</v>
      </c>
      <c r="E2089" s="336" t="s">
        <v>853</v>
      </c>
    </row>
    <row r="2090" spans="1:5" x14ac:dyDescent="0.2">
      <c r="A2090" s="335">
        <v>1001301993</v>
      </c>
      <c r="B2090" s="336" t="s">
        <v>948</v>
      </c>
      <c r="C2090" s="336" t="s">
        <v>813</v>
      </c>
      <c r="D2090" s="336" t="s">
        <v>852</v>
      </c>
      <c r="E2090" s="336" t="s">
        <v>853</v>
      </c>
    </row>
    <row r="2091" spans="1:5" x14ac:dyDescent="0.2">
      <c r="A2091" s="335">
        <v>1001301999</v>
      </c>
      <c r="B2091" s="336" t="s">
        <v>960</v>
      </c>
      <c r="C2091" s="336" t="s">
        <v>797</v>
      </c>
      <c r="D2091" s="336" t="s">
        <v>852</v>
      </c>
      <c r="E2091" s="336" t="s">
        <v>853</v>
      </c>
    </row>
    <row r="2092" spans="1:5" x14ac:dyDescent="0.2">
      <c r="A2092" s="335">
        <v>1001302048</v>
      </c>
      <c r="B2092" s="336" t="s">
        <v>2685</v>
      </c>
      <c r="C2092" s="336" t="s">
        <v>813</v>
      </c>
      <c r="D2092" s="336" t="s">
        <v>852</v>
      </c>
      <c r="E2092" s="336" t="s">
        <v>853</v>
      </c>
    </row>
    <row r="2093" spans="1:5" x14ac:dyDescent="0.2">
      <c r="A2093" s="335">
        <v>1001302056</v>
      </c>
      <c r="B2093" s="336" t="s">
        <v>948</v>
      </c>
      <c r="C2093" s="336" t="s">
        <v>797</v>
      </c>
      <c r="D2093" s="336" t="s">
        <v>852</v>
      </c>
      <c r="E2093" s="336" t="s">
        <v>853</v>
      </c>
    </row>
    <row r="2094" spans="1:5" x14ac:dyDescent="0.2">
      <c r="A2094" s="335">
        <v>1001302079</v>
      </c>
      <c r="B2094" s="336" t="s">
        <v>2686</v>
      </c>
      <c r="C2094" s="336" t="s">
        <v>813</v>
      </c>
      <c r="D2094" s="336" t="s">
        <v>852</v>
      </c>
      <c r="E2094" s="336" t="s">
        <v>853</v>
      </c>
    </row>
    <row r="2095" spans="1:5" x14ac:dyDescent="0.2">
      <c r="A2095" s="335">
        <v>1001302099</v>
      </c>
      <c r="B2095" s="336" t="s">
        <v>2687</v>
      </c>
      <c r="C2095" s="336" t="s">
        <v>813</v>
      </c>
      <c r="D2095" s="336" t="s">
        <v>852</v>
      </c>
      <c r="E2095" s="336" t="s">
        <v>853</v>
      </c>
    </row>
    <row r="2096" spans="1:5" x14ac:dyDescent="0.2">
      <c r="A2096" s="335">
        <v>1001302108</v>
      </c>
      <c r="B2096" s="336" t="s">
        <v>2688</v>
      </c>
      <c r="C2096" s="336" t="s">
        <v>813</v>
      </c>
      <c r="D2096" s="336" t="s">
        <v>852</v>
      </c>
      <c r="E2096" s="336" t="s">
        <v>853</v>
      </c>
    </row>
    <row r="2097" spans="1:5" x14ac:dyDescent="0.2">
      <c r="A2097" s="335">
        <v>1001302116</v>
      </c>
      <c r="B2097" s="336" t="s">
        <v>2689</v>
      </c>
      <c r="C2097" s="336" t="s">
        <v>813</v>
      </c>
      <c r="D2097" s="336" t="s">
        <v>852</v>
      </c>
      <c r="E2097" s="336" t="s">
        <v>853</v>
      </c>
    </row>
    <row r="2098" spans="1:5" x14ac:dyDescent="0.2">
      <c r="A2098" s="335">
        <v>1001302117</v>
      </c>
      <c r="B2098" s="336" t="s">
        <v>2690</v>
      </c>
      <c r="C2098" s="336" t="s">
        <v>797</v>
      </c>
      <c r="D2098" s="336" t="s">
        <v>852</v>
      </c>
      <c r="E2098" s="336" t="s">
        <v>853</v>
      </c>
    </row>
    <row r="2099" spans="1:5" x14ac:dyDescent="0.2">
      <c r="A2099" s="335">
        <v>1001302118</v>
      </c>
      <c r="B2099" s="336" t="s">
        <v>2691</v>
      </c>
      <c r="C2099" s="336" t="s">
        <v>797</v>
      </c>
      <c r="D2099" s="336" t="s">
        <v>852</v>
      </c>
      <c r="E2099" s="336" t="s">
        <v>853</v>
      </c>
    </row>
    <row r="2100" spans="1:5" x14ac:dyDescent="0.2">
      <c r="A2100" s="335">
        <v>1001302119</v>
      </c>
      <c r="B2100" s="336" t="s">
        <v>2692</v>
      </c>
      <c r="C2100" s="336" t="s">
        <v>797</v>
      </c>
      <c r="D2100" s="336" t="s">
        <v>852</v>
      </c>
      <c r="E2100" s="336" t="s">
        <v>853</v>
      </c>
    </row>
    <row r="2101" spans="1:5" x14ac:dyDescent="0.2">
      <c r="A2101" s="335">
        <v>1001302127</v>
      </c>
      <c r="B2101" s="336" t="s">
        <v>2693</v>
      </c>
      <c r="C2101" s="336" t="s">
        <v>813</v>
      </c>
      <c r="D2101" s="336" t="s">
        <v>852</v>
      </c>
      <c r="E2101" s="336" t="s">
        <v>853</v>
      </c>
    </row>
    <row r="2102" spans="1:5" x14ac:dyDescent="0.2">
      <c r="A2102" s="335">
        <v>1001302134</v>
      </c>
      <c r="B2102" s="336" t="s">
        <v>2694</v>
      </c>
      <c r="C2102" s="336" t="s">
        <v>813</v>
      </c>
      <c r="D2102" s="336" t="s">
        <v>852</v>
      </c>
      <c r="E2102" s="336" t="s">
        <v>853</v>
      </c>
    </row>
    <row r="2103" spans="1:5" x14ac:dyDescent="0.2">
      <c r="A2103" s="335">
        <v>1001302139</v>
      </c>
      <c r="B2103" s="336" t="s">
        <v>2695</v>
      </c>
      <c r="C2103" s="336" t="s">
        <v>863</v>
      </c>
      <c r="D2103" s="336" t="s">
        <v>852</v>
      </c>
      <c r="E2103" s="336" t="s">
        <v>853</v>
      </c>
    </row>
    <row r="2104" spans="1:5" x14ac:dyDescent="0.2">
      <c r="A2104" s="335">
        <v>1001302142</v>
      </c>
      <c r="B2104" s="336" t="s">
        <v>2696</v>
      </c>
      <c r="C2104" s="336" t="s">
        <v>813</v>
      </c>
      <c r="D2104" s="336" t="s">
        <v>852</v>
      </c>
      <c r="E2104" s="336" t="s">
        <v>853</v>
      </c>
    </row>
    <row r="2105" spans="1:5" x14ac:dyDescent="0.2">
      <c r="A2105" s="335">
        <v>1001302156</v>
      </c>
      <c r="B2105" s="336" t="s">
        <v>2697</v>
      </c>
      <c r="C2105" s="336" t="s">
        <v>813</v>
      </c>
      <c r="D2105" s="336" t="s">
        <v>852</v>
      </c>
      <c r="E2105" s="336" t="s">
        <v>853</v>
      </c>
    </row>
    <row r="2106" spans="1:5" x14ac:dyDescent="0.2">
      <c r="A2106" s="335">
        <v>1001302167</v>
      </c>
      <c r="B2106" s="336" t="s">
        <v>2698</v>
      </c>
      <c r="C2106" s="336" t="s">
        <v>813</v>
      </c>
      <c r="D2106" s="336" t="s">
        <v>852</v>
      </c>
      <c r="E2106" s="336" t="s">
        <v>853</v>
      </c>
    </row>
    <row r="2107" spans="1:5" x14ac:dyDescent="0.2">
      <c r="A2107" s="335">
        <v>1001302171</v>
      </c>
      <c r="B2107" s="336" t="s">
        <v>373</v>
      </c>
      <c r="C2107" s="336" t="s">
        <v>813</v>
      </c>
      <c r="D2107" s="336" t="s">
        <v>852</v>
      </c>
      <c r="E2107" s="336" t="s">
        <v>853</v>
      </c>
    </row>
    <row r="2108" spans="1:5" x14ac:dyDescent="0.2">
      <c r="A2108" s="335">
        <v>1001302223</v>
      </c>
      <c r="B2108" s="336" t="s">
        <v>1012</v>
      </c>
      <c r="C2108" s="336" t="s">
        <v>797</v>
      </c>
      <c r="D2108" s="336" t="s">
        <v>852</v>
      </c>
      <c r="E2108" s="336" t="s">
        <v>853</v>
      </c>
    </row>
    <row r="2109" spans="1:5" x14ac:dyDescent="0.2">
      <c r="A2109" s="335">
        <v>1001302227</v>
      </c>
      <c r="B2109" s="336" t="s">
        <v>2699</v>
      </c>
      <c r="C2109" s="336" t="s">
        <v>813</v>
      </c>
      <c r="D2109" s="336" t="s">
        <v>852</v>
      </c>
      <c r="E2109" s="336" t="s">
        <v>853</v>
      </c>
    </row>
    <row r="2110" spans="1:5" x14ac:dyDescent="0.2">
      <c r="A2110" s="335">
        <v>1001302266</v>
      </c>
      <c r="B2110" s="336" t="s">
        <v>2700</v>
      </c>
      <c r="C2110" s="336" t="s">
        <v>797</v>
      </c>
      <c r="D2110" s="336" t="s">
        <v>852</v>
      </c>
      <c r="E2110" s="336" t="s">
        <v>853</v>
      </c>
    </row>
    <row r="2111" spans="1:5" x14ac:dyDescent="0.2">
      <c r="A2111" s="335">
        <v>1001302289</v>
      </c>
      <c r="B2111" s="336" t="s">
        <v>2701</v>
      </c>
      <c r="C2111" s="336" t="s">
        <v>813</v>
      </c>
      <c r="D2111" s="336" t="s">
        <v>852</v>
      </c>
      <c r="E2111" s="336" t="s">
        <v>853</v>
      </c>
    </row>
    <row r="2112" spans="1:5" x14ac:dyDescent="0.2">
      <c r="A2112" s="335">
        <v>1001302305</v>
      </c>
      <c r="B2112" s="336" t="s">
        <v>2702</v>
      </c>
      <c r="C2112" s="336" t="s">
        <v>813</v>
      </c>
      <c r="D2112" s="336" t="s">
        <v>852</v>
      </c>
      <c r="E2112" s="336" t="s">
        <v>853</v>
      </c>
    </row>
    <row r="2113" spans="1:5" x14ac:dyDescent="0.2">
      <c r="A2113" s="335">
        <v>1001302310</v>
      </c>
      <c r="B2113" s="336" t="s">
        <v>2703</v>
      </c>
      <c r="C2113" s="336" t="s">
        <v>813</v>
      </c>
      <c r="D2113" s="336" t="s">
        <v>852</v>
      </c>
      <c r="E2113" s="336" t="s">
        <v>853</v>
      </c>
    </row>
    <row r="2114" spans="1:5" x14ac:dyDescent="0.2">
      <c r="A2114" s="335">
        <v>1001302311</v>
      </c>
      <c r="B2114" s="336" t="s">
        <v>2704</v>
      </c>
      <c r="C2114" s="336" t="s">
        <v>813</v>
      </c>
      <c r="D2114" s="336" t="s">
        <v>852</v>
      </c>
      <c r="E2114" s="336" t="s">
        <v>853</v>
      </c>
    </row>
    <row r="2115" spans="1:5" x14ac:dyDescent="0.2">
      <c r="A2115" s="335">
        <v>1001302334</v>
      </c>
      <c r="B2115" s="336" t="s">
        <v>928</v>
      </c>
      <c r="C2115" s="336" t="s">
        <v>797</v>
      </c>
      <c r="D2115" s="336" t="s">
        <v>852</v>
      </c>
      <c r="E2115" s="336" t="s">
        <v>853</v>
      </c>
    </row>
    <row r="2116" spans="1:5" x14ac:dyDescent="0.2">
      <c r="A2116" s="335">
        <v>1001302359</v>
      </c>
      <c r="B2116" s="336" t="s">
        <v>944</v>
      </c>
      <c r="C2116" s="336" t="s">
        <v>797</v>
      </c>
      <c r="D2116" s="336" t="s">
        <v>852</v>
      </c>
      <c r="E2116" s="336" t="s">
        <v>853</v>
      </c>
    </row>
    <row r="2117" spans="1:5" x14ac:dyDescent="0.2">
      <c r="A2117" s="335">
        <v>1001302469</v>
      </c>
      <c r="B2117" s="336" t="s">
        <v>2705</v>
      </c>
      <c r="C2117" s="336" t="s">
        <v>813</v>
      </c>
      <c r="D2117" s="336" t="s">
        <v>852</v>
      </c>
      <c r="E2117" s="336" t="s">
        <v>853</v>
      </c>
    </row>
    <row r="2118" spans="1:5" x14ac:dyDescent="0.2">
      <c r="A2118" s="335">
        <v>1001302493</v>
      </c>
      <c r="B2118" s="336" t="s">
        <v>2706</v>
      </c>
      <c r="C2118" s="336" t="s">
        <v>813</v>
      </c>
      <c r="D2118" s="336" t="s">
        <v>852</v>
      </c>
      <c r="E2118" s="336" t="s">
        <v>853</v>
      </c>
    </row>
    <row r="2119" spans="1:5" x14ac:dyDescent="0.2">
      <c r="A2119" s="335">
        <v>1001302503</v>
      </c>
      <c r="B2119" s="336" t="s">
        <v>2707</v>
      </c>
      <c r="C2119" s="336" t="s">
        <v>797</v>
      </c>
      <c r="D2119" s="336" t="s">
        <v>852</v>
      </c>
      <c r="E2119" s="336" t="s">
        <v>853</v>
      </c>
    </row>
    <row r="2120" spans="1:5" x14ac:dyDescent="0.2">
      <c r="A2120" s="335">
        <v>1001302504</v>
      </c>
      <c r="B2120" s="336" t="s">
        <v>2708</v>
      </c>
      <c r="C2120" s="336" t="s">
        <v>813</v>
      </c>
      <c r="D2120" s="336" t="s">
        <v>852</v>
      </c>
      <c r="E2120" s="336" t="s">
        <v>853</v>
      </c>
    </row>
    <row r="2121" spans="1:5" x14ac:dyDescent="0.2">
      <c r="A2121" s="335">
        <v>1001311763</v>
      </c>
      <c r="B2121" s="336" t="s">
        <v>2709</v>
      </c>
      <c r="C2121" s="336" t="s">
        <v>813</v>
      </c>
      <c r="D2121" s="336" t="s">
        <v>852</v>
      </c>
      <c r="E2121" s="336" t="s">
        <v>853</v>
      </c>
    </row>
    <row r="2122" spans="1:5" x14ac:dyDescent="0.2">
      <c r="A2122" s="335">
        <v>1001311832</v>
      </c>
      <c r="B2122" s="336" t="s">
        <v>1478</v>
      </c>
      <c r="C2122" s="336" t="s">
        <v>813</v>
      </c>
      <c r="D2122" s="336" t="s">
        <v>852</v>
      </c>
      <c r="E2122" s="336" t="s">
        <v>853</v>
      </c>
    </row>
    <row r="2123" spans="1:5" x14ac:dyDescent="0.2">
      <c r="A2123" s="335">
        <v>1001311945</v>
      </c>
      <c r="B2123" s="336" t="s">
        <v>2710</v>
      </c>
      <c r="C2123" s="336" t="s">
        <v>863</v>
      </c>
      <c r="D2123" s="336" t="s">
        <v>852</v>
      </c>
      <c r="E2123" s="336" t="s">
        <v>853</v>
      </c>
    </row>
    <row r="2124" spans="1:5" x14ac:dyDescent="0.2">
      <c r="A2124" s="335">
        <v>1001312144</v>
      </c>
      <c r="B2124" s="336" t="s">
        <v>2711</v>
      </c>
      <c r="C2124" s="336" t="s">
        <v>813</v>
      </c>
      <c r="D2124" s="336" t="s">
        <v>852</v>
      </c>
      <c r="E2124" s="336" t="s">
        <v>853</v>
      </c>
    </row>
    <row r="2125" spans="1:5" x14ac:dyDescent="0.2">
      <c r="A2125" s="335">
        <v>1001312189</v>
      </c>
      <c r="B2125" s="336" t="s">
        <v>2712</v>
      </c>
      <c r="C2125" s="336" t="s">
        <v>813</v>
      </c>
      <c r="D2125" s="336" t="s">
        <v>852</v>
      </c>
      <c r="E2125" s="336" t="s">
        <v>853</v>
      </c>
    </row>
    <row r="2126" spans="1:5" x14ac:dyDescent="0.2">
      <c r="A2126" s="335">
        <v>1001312854</v>
      </c>
      <c r="B2126" s="336" t="s">
        <v>2713</v>
      </c>
      <c r="C2126" s="336" t="s">
        <v>813</v>
      </c>
      <c r="D2126" s="336" t="s">
        <v>852</v>
      </c>
      <c r="E2126" s="336" t="s">
        <v>853</v>
      </c>
    </row>
    <row r="2127" spans="1:5" x14ac:dyDescent="0.2">
      <c r="A2127" s="335">
        <v>1001312982</v>
      </c>
      <c r="B2127" s="336" t="s">
        <v>2714</v>
      </c>
      <c r="C2127" s="336" t="s">
        <v>813</v>
      </c>
      <c r="D2127" s="336" t="s">
        <v>852</v>
      </c>
      <c r="E2127" s="336" t="s">
        <v>853</v>
      </c>
    </row>
    <row r="2128" spans="1:5" x14ac:dyDescent="0.2">
      <c r="A2128" s="335">
        <v>1001313101</v>
      </c>
      <c r="B2128" s="336" t="s">
        <v>2715</v>
      </c>
      <c r="C2128" s="336" t="s">
        <v>813</v>
      </c>
      <c r="D2128" s="336" t="s">
        <v>852</v>
      </c>
      <c r="E2128" s="336" t="s">
        <v>853</v>
      </c>
    </row>
    <row r="2129" spans="1:5" x14ac:dyDescent="0.2">
      <c r="A2129" s="335">
        <v>1001313677</v>
      </c>
      <c r="B2129" s="336" t="s">
        <v>2716</v>
      </c>
      <c r="C2129" s="336" t="s">
        <v>813</v>
      </c>
      <c r="D2129" s="336" t="s">
        <v>852</v>
      </c>
      <c r="E2129" s="336" t="s">
        <v>853</v>
      </c>
    </row>
    <row r="2130" spans="1:5" x14ac:dyDescent="0.2">
      <c r="A2130" s="335">
        <v>1001313726</v>
      </c>
      <c r="B2130" s="336" t="s">
        <v>2717</v>
      </c>
      <c r="C2130" s="336" t="s">
        <v>863</v>
      </c>
      <c r="D2130" s="336" t="s">
        <v>852</v>
      </c>
      <c r="E2130" s="336" t="s">
        <v>853</v>
      </c>
    </row>
    <row r="2131" spans="1:5" x14ac:dyDescent="0.2">
      <c r="A2131" s="335">
        <v>1001314278</v>
      </c>
      <c r="B2131" s="336" t="s">
        <v>2547</v>
      </c>
      <c r="C2131" s="336" t="s">
        <v>863</v>
      </c>
      <c r="D2131" s="336" t="s">
        <v>852</v>
      </c>
      <c r="E2131" s="336" t="s">
        <v>853</v>
      </c>
    </row>
    <row r="2132" spans="1:5" x14ac:dyDescent="0.2">
      <c r="A2132" s="335">
        <v>1001314315</v>
      </c>
      <c r="B2132" s="336" t="s">
        <v>2718</v>
      </c>
      <c r="C2132" s="336" t="s">
        <v>813</v>
      </c>
      <c r="D2132" s="336" t="s">
        <v>852</v>
      </c>
      <c r="E2132" s="336" t="s">
        <v>853</v>
      </c>
    </row>
    <row r="2133" spans="1:5" x14ac:dyDescent="0.2">
      <c r="A2133" s="335">
        <v>1001315585</v>
      </c>
      <c r="B2133" s="336" t="s">
        <v>2719</v>
      </c>
      <c r="C2133" s="336" t="s">
        <v>813</v>
      </c>
      <c r="D2133" s="336" t="s">
        <v>852</v>
      </c>
      <c r="E2133" s="336" t="s">
        <v>853</v>
      </c>
    </row>
    <row r="2134" spans="1:5" x14ac:dyDescent="0.2">
      <c r="A2134" s="335">
        <v>1001316032</v>
      </c>
      <c r="B2134" s="336" t="s">
        <v>2720</v>
      </c>
      <c r="C2134" s="336" t="s">
        <v>813</v>
      </c>
      <c r="D2134" s="336" t="s">
        <v>852</v>
      </c>
      <c r="E2134" s="336" t="s">
        <v>853</v>
      </c>
    </row>
    <row r="2135" spans="1:5" x14ac:dyDescent="0.2">
      <c r="A2135" s="335">
        <v>1001316038</v>
      </c>
      <c r="B2135" s="336" t="s">
        <v>2721</v>
      </c>
      <c r="C2135" s="336" t="s">
        <v>813</v>
      </c>
      <c r="D2135" s="336" t="s">
        <v>852</v>
      </c>
      <c r="E2135" s="336" t="s">
        <v>853</v>
      </c>
    </row>
    <row r="2136" spans="1:5" x14ac:dyDescent="0.2">
      <c r="A2136" s="335">
        <v>1001320273</v>
      </c>
      <c r="B2136" s="336" t="s">
        <v>836</v>
      </c>
      <c r="C2136" s="336" t="s">
        <v>813</v>
      </c>
      <c r="D2136" s="336" t="s">
        <v>852</v>
      </c>
      <c r="E2136" s="336" t="s">
        <v>853</v>
      </c>
    </row>
    <row r="2137" spans="1:5" x14ac:dyDescent="0.2">
      <c r="A2137" s="335">
        <v>1001320303</v>
      </c>
      <c r="B2137" s="336" t="s">
        <v>2722</v>
      </c>
      <c r="C2137" s="336" t="s">
        <v>813</v>
      </c>
      <c r="D2137" s="336" t="s">
        <v>852</v>
      </c>
      <c r="E2137" s="336" t="s">
        <v>853</v>
      </c>
    </row>
    <row r="2138" spans="1:5" x14ac:dyDescent="0.2">
      <c r="A2138" s="335">
        <v>1001320386</v>
      </c>
      <c r="B2138" s="336" t="s">
        <v>2723</v>
      </c>
      <c r="C2138" s="336" t="s">
        <v>1272</v>
      </c>
      <c r="D2138" s="336" t="s">
        <v>852</v>
      </c>
      <c r="E2138" s="336" t="s">
        <v>853</v>
      </c>
    </row>
    <row r="2139" spans="1:5" x14ac:dyDescent="0.2">
      <c r="A2139" s="335">
        <v>1001334722</v>
      </c>
      <c r="B2139" s="336" t="s">
        <v>2717</v>
      </c>
      <c r="C2139" s="336" t="s">
        <v>813</v>
      </c>
      <c r="D2139" s="336" t="s">
        <v>852</v>
      </c>
      <c r="E2139" s="336" t="s">
        <v>853</v>
      </c>
    </row>
    <row r="2140" spans="1:5" x14ac:dyDescent="0.2">
      <c r="A2140" s="335">
        <v>1001334724</v>
      </c>
      <c r="B2140" s="336" t="s">
        <v>2547</v>
      </c>
      <c r="C2140" s="336" t="s">
        <v>813</v>
      </c>
      <c r="D2140" s="336" t="s">
        <v>852</v>
      </c>
      <c r="E2140" s="336" t="s">
        <v>853</v>
      </c>
    </row>
    <row r="2141" spans="1:5" x14ac:dyDescent="0.2">
      <c r="A2141" s="335">
        <v>1001334725</v>
      </c>
      <c r="B2141" s="336" t="s">
        <v>2710</v>
      </c>
      <c r="C2141" s="336" t="s">
        <v>797</v>
      </c>
      <c r="D2141" s="336" t="s">
        <v>852</v>
      </c>
      <c r="E2141" s="336" t="s">
        <v>853</v>
      </c>
    </row>
    <row r="2142" spans="1:5" x14ac:dyDescent="0.2">
      <c r="A2142" s="335">
        <v>1001262676</v>
      </c>
      <c r="B2142" s="336" t="s">
        <v>2724</v>
      </c>
      <c r="C2142" s="336" t="s">
        <v>800</v>
      </c>
      <c r="D2142" s="336" t="s">
        <v>2725</v>
      </c>
      <c r="E2142" s="336" t="s">
        <v>2726</v>
      </c>
    </row>
    <row r="2143" spans="1:5" x14ac:dyDescent="0.2">
      <c r="A2143" s="335">
        <v>1001262784</v>
      </c>
      <c r="B2143" s="336" t="s">
        <v>395</v>
      </c>
      <c r="C2143" s="336" t="s">
        <v>863</v>
      </c>
      <c r="D2143" s="336" t="s">
        <v>2725</v>
      </c>
      <c r="E2143" s="336" t="s">
        <v>2726</v>
      </c>
    </row>
    <row r="2144" spans="1:5" x14ac:dyDescent="0.2">
      <c r="A2144" s="335">
        <v>1001262808</v>
      </c>
      <c r="B2144" s="336" t="s">
        <v>2727</v>
      </c>
      <c r="C2144" s="336" t="s">
        <v>800</v>
      </c>
      <c r="D2144" s="336" t="s">
        <v>2725</v>
      </c>
      <c r="E2144" s="336" t="s">
        <v>2726</v>
      </c>
    </row>
    <row r="2145" spans="1:5" x14ac:dyDescent="0.2">
      <c r="A2145" s="335">
        <v>1001263048</v>
      </c>
      <c r="B2145" s="336" t="s">
        <v>2728</v>
      </c>
      <c r="C2145" s="336" t="s">
        <v>800</v>
      </c>
      <c r="D2145" s="336" t="s">
        <v>2725</v>
      </c>
      <c r="E2145" s="336" t="s">
        <v>2726</v>
      </c>
    </row>
    <row r="2146" spans="1:5" x14ac:dyDescent="0.2">
      <c r="A2146" s="335">
        <v>1001263132</v>
      </c>
      <c r="B2146" s="336" t="s">
        <v>2729</v>
      </c>
      <c r="C2146" s="336" t="s">
        <v>800</v>
      </c>
      <c r="D2146" s="336" t="s">
        <v>2725</v>
      </c>
      <c r="E2146" s="336" t="s">
        <v>2726</v>
      </c>
    </row>
    <row r="2147" spans="1:5" x14ac:dyDescent="0.2">
      <c r="A2147" s="335">
        <v>1001263178</v>
      </c>
      <c r="B2147" s="336" t="s">
        <v>2730</v>
      </c>
      <c r="C2147" s="336" t="s">
        <v>800</v>
      </c>
      <c r="D2147" s="336" t="s">
        <v>2725</v>
      </c>
      <c r="E2147" s="336" t="s">
        <v>2726</v>
      </c>
    </row>
    <row r="2148" spans="1:5" x14ac:dyDescent="0.2">
      <c r="A2148" s="335">
        <v>1001263980</v>
      </c>
      <c r="B2148" s="336" t="s">
        <v>2731</v>
      </c>
      <c r="C2148" s="336" t="s">
        <v>800</v>
      </c>
      <c r="D2148" s="336" t="s">
        <v>2725</v>
      </c>
      <c r="E2148" s="336" t="s">
        <v>2726</v>
      </c>
    </row>
    <row r="2149" spans="1:5" x14ac:dyDescent="0.2">
      <c r="A2149" s="335">
        <v>1001265909</v>
      </c>
      <c r="B2149" s="336" t="s">
        <v>2732</v>
      </c>
      <c r="C2149" s="336" t="s">
        <v>800</v>
      </c>
      <c r="D2149" s="336" t="s">
        <v>2725</v>
      </c>
      <c r="E2149" s="336" t="s">
        <v>2726</v>
      </c>
    </row>
    <row r="2150" spans="1:5" x14ac:dyDescent="0.2">
      <c r="A2150" s="335">
        <v>1001265934</v>
      </c>
      <c r="B2150" s="336" t="s">
        <v>2733</v>
      </c>
      <c r="C2150" s="336" t="s">
        <v>800</v>
      </c>
      <c r="D2150" s="336" t="s">
        <v>2725</v>
      </c>
      <c r="E2150" s="336" t="s">
        <v>2726</v>
      </c>
    </row>
    <row r="2151" spans="1:5" x14ac:dyDescent="0.2">
      <c r="A2151" s="335">
        <v>1001266523</v>
      </c>
      <c r="B2151" s="336" t="s">
        <v>1384</v>
      </c>
      <c r="C2151" s="336" t="s">
        <v>863</v>
      </c>
      <c r="D2151" s="336" t="s">
        <v>2725</v>
      </c>
      <c r="E2151" s="336" t="s">
        <v>2726</v>
      </c>
    </row>
    <row r="2152" spans="1:5" x14ac:dyDescent="0.2">
      <c r="A2152" s="335">
        <v>1001266745</v>
      </c>
      <c r="B2152" s="336" t="s">
        <v>2734</v>
      </c>
      <c r="C2152" s="336" t="s">
        <v>1097</v>
      </c>
      <c r="D2152" s="336" t="s">
        <v>2725</v>
      </c>
      <c r="E2152" s="336" t="s">
        <v>2726</v>
      </c>
    </row>
    <row r="2153" spans="1:5" x14ac:dyDescent="0.2">
      <c r="A2153" s="335">
        <v>1001266747</v>
      </c>
      <c r="B2153" s="336" t="s">
        <v>2735</v>
      </c>
      <c r="C2153" s="336" t="s">
        <v>863</v>
      </c>
      <c r="D2153" s="336" t="s">
        <v>2725</v>
      </c>
      <c r="E2153" s="336" t="s">
        <v>2726</v>
      </c>
    </row>
    <row r="2154" spans="1:5" x14ac:dyDescent="0.2">
      <c r="A2154" s="335">
        <v>1001266789</v>
      </c>
      <c r="B2154" s="336" t="s">
        <v>2736</v>
      </c>
      <c r="C2154" s="336" t="s">
        <v>1097</v>
      </c>
      <c r="D2154" s="336" t="s">
        <v>2725</v>
      </c>
      <c r="E2154" s="336" t="s">
        <v>2726</v>
      </c>
    </row>
    <row r="2155" spans="1:5" x14ac:dyDescent="0.2">
      <c r="A2155" s="335">
        <v>1001266854</v>
      </c>
      <c r="B2155" s="336" t="s">
        <v>1742</v>
      </c>
      <c r="C2155" s="336" t="s">
        <v>800</v>
      </c>
      <c r="D2155" s="336" t="s">
        <v>2725</v>
      </c>
      <c r="E2155" s="336" t="s">
        <v>2726</v>
      </c>
    </row>
    <row r="2156" spans="1:5" x14ac:dyDescent="0.2">
      <c r="A2156" s="335">
        <v>1001266873</v>
      </c>
      <c r="B2156" s="336" t="s">
        <v>2737</v>
      </c>
      <c r="C2156" s="336" t="s">
        <v>800</v>
      </c>
      <c r="D2156" s="336" t="s">
        <v>2725</v>
      </c>
      <c r="E2156" s="336" t="s">
        <v>2726</v>
      </c>
    </row>
    <row r="2157" spans="1:5" x14ac:dyDescent="0.2">
      <c r="A2157" s="335">
        <v>1001267034</v>
      </c>
      <c r="B2157" s="336" t="s">
        <v>979</v>
      </c>
      <c r="C2157" s="336" t="s">
        <v>1097</v>
      </c>
      <c r="D2157" s="336" t="s">
        <v>2725</v>
      </c>
      <c r="E2157" s="336" t="s">
        <v>2726</v>
      </c>
    </row>
    <row r="2158" spans="1:5" x14ac:dyDescent="0.2">
      <c r="A2158" s="335">
        <v>1001267061</v>
      </c>
      <c r="B2158" s="336" t="s">
        <v>2738</v>
      </c>
      <c r="C2158" s="336" t="s">
        <v>863</v>
      </c>
      <c r="D2158" s="336" t="s">
        <v>2725</v>
      </c>
      <c r="E2158" s="336" t="s">
        <v>2726</v>
      </c>
    </row>
    <row r="2159" spans="1:5" x14ac:dyDescent="0.2">
      <c r="A2159" s="335">
        <v>1001267731</v>
      </c>
      <c r="B2159" s="336" t="s">
        <v>2739</v>
      </c>
      <c r="C2159" s="336" t="s">
        <v>863</v>
      </c>
      <c r="D2159" s="336" t="s">
        <v>2725</v>
      </c>
      <c r="E2159" s="336" t="s">
        <v>2726</v>
      </c>
    </row>
    <row r="2160" spans="1:5" x14ac:dyDescent="0.2">
      <c r="A2160" s="335">
        <v>1001268563</v>
      </c>
      <c r="B2160" s="336" t="s">
        <v>2740</v>
      </c>
      <c r="C2160" s="336" t="s">
        <v>800</v>
      </c>
      <c r="D2160" s="336" t="s">
        <v>2725</v>
      </c>
      <c r="E2160" s="336" t="s">
        <v>2726</v>
      </c>
    </row>
    <row r="2161" spans="1:5" x14ac:dyDescent="0.2">
      <c r="A2161" s="335">
        <v>1001268606</v>
      </c>
      <c r="B2161" s="336" t="s">
        <v>2741</v>
      </c>
      <c r="C2161" s="336" t="s">
        <v>800</v>
      </c>
      <c r="D2161" s="336" t="s">
        <v>2725</v>
      </c>
      <c r="E2161" s="336" t="s">
        <v>2726</v>
      </c>
    </row>
    <row r="2162" spans="1:5" x14ac:dyDescent="0.2">
      <c r="A2162" s="335">
        <v>1001268851</v>
      </c>
      <c r="B2162" s="336" t="s">
        <v>911</v>
      </c>
      <c r="C2162" s="336" t="s">
        <v>800</v>
      </c>
      <c r="D2162" s="336" t="s">
        <v>2725</v>
      </c>
      <c r="E2162" s="336" t="s">
        <v>2726</v>
      </c>
    </row>
    <row r="2163" spans="1:5" x14ac:dyDescent="0.2">
      <c r="A2163" s="335">
        <v>1001268863</v>
      </c>
      <c r="B2163" s="336" t="s">
        <v>2742</v>
      </c>
      <c r="C2163" s="336" t="s">
        <v>800</v>
      </c>
      <c r="D2163" s="336" t="s">
        <v>2725</v>
      </c>
      <c r="E2163" s="336" t="s">
        <v>2726</v>
      </c>
    </row>
    <row r="2164" spans="1:5" x14ac:dyDescent="0.2">
      <c r="A2164" s="335">
        <v>1001269107</v>
      </c>
      <c r="B2164" s="336" t="s">
        <v>2743</v>
      </c>
      <c r="C2164" s="336" t="s">
        <v>1097</v>
      </c>
      <c r="D2164" s="336" t="s">
        <v>2725</v>
      </c>
      <c r="E2164" s="336" t="s">
        <v>2726</v>
      </c>
    </row>
    <row r="2165" spans="1:5" x14ac:dyDescent="0.2">
      <c r="A2165" s="335">
        <v>1001269396</v>
      </c>
      <c r="B2165" s="336" t="s">
        <v>2744</v>
      </c>
      <c r="C2165" s="336" t="s">
        <v>1097</v>
      </c>
      <c r="D2165" s="336" t="s">
        <v>2725</v>
      </c>
      <c r="E2165" s="336" t="s">
        <v>2726</v>
      </c>
    </row>
    <row r="2166" spans="1:5" x14ac:dyDescent="0.2">
      <c r="A2166" s="335">
        <v>1001269553</v>
      </c>
      <c r="B2166" s="336" t="s">
        <v>2745</v>
      </c>
      <c r="C2166" s="336" t="s">
        <v>800</v>
      </c>
      <c r="D2166" s="336" t="s">
        <v>2725</v>
      </c>
      <c r="E2166" s="336" t="s">
        <v>2726</v>
      </c>
    </row>
    <row r="2167" spans="1:5" x14ac:dyDescent="0.2">
      <c r="A2167" s="335">
        <v>1001270274</v>
      </c>
      <c r="B2167" s="336" t="s">
        <v>2746</v>
      </c>
      <c r="C2167" s="336" t="s">
        <v>800</v>
      </c>
      <c r="D2167" s="336" t="s">
        <v>2725</v>
      </c>
      <c r="E2167" s="336" t="s">
        <v>2726</v>
      </c>
    </row>
    <row r="2168" spans="1:5" x14ac:dyDescent="0.2">
      <c r="A2168" s="335">
        <v>1001270482</v>
      </c>
      <c r="B2168" s="336" t="s">
        <v>2747</v>
      </c>
      <c r="C2168" s="336" t="s">
        <v>800</v>
      </c>
      <c r="D2168" s="336" t="s">
        <v>2725</v>
      </c>
      <c r="E2168" s="336" t="s">
        <v>2726</v>
      </c>
    </row>
    <row r="2169" spans="1:5" x14ac:dyDescent="0.2">
      <c r="A2169" s="335">
        <v>1001270596</v>
      </c>
      <c r="B2169" s="336" t="s">
        <v>2748</v>
      </c>
      <c r="C2169" s="336" t="s">
        <v>800</v>
      </c>
      <c r="D2169" s="336" t="s">
        <v>2725</v>
      </c>
      <c r="E2169" s="336" t="s">
        <v>2726</v>
      </c>
    </row>
    <row r="2170" spans="1:5" x14ac:dyDescent="0.2">
      <c r="A2170" s="335">
        <v>1001270648</v>
      </c>
      <c r="B2170" s="336" t="s">
        <v>2749</v>
      </c>
      <c r="C2170" s="336" t="s">
        <v>800</v>
      </c>
      <c r="D2170" s="336" t="s">
        <v>2725</v>
      </c>
      <c r="E2170" s="336" t="s">
        <v>2726</v>
      </c>
    </row>
    <row r="2171" spans="1:5" x14ac:dyDescent="0.2">
      <c r="A2171" s="335">
        <v>1001270680</v>
      </c>
      <c r="B2171" s="336" t="s">
        <v>2750</v>
      </c>
      <c r="C2171" s="336" t="s">
        <v>2751</v>
      </c>
      <c r="D2171" s="336" t="s">
        <v>2725</v>
      </c>
      <c r="E2171" s="336" t="s">
        <v>2726</v>
      </c>
    </row>
    <row r="2172" spans="1:5" x14ac:dyDescent="0.2">
      <c r="A2172" s="335">
        <v>1001270685</v>
      </c>
      <c r="B2172" s="336" t="s">
        <v>2752</v>
      </c>
      <c r="C2172" s="336" t="s">
        <v>800</v>
      </c>
      <c r="D2172" s="336" t="s">
        <v>2725</v>
      </c>
      <c r="E2172" s="336" t="s">
        <v>2726</v>
      </c>
    </row>
    <row r="2173" spans="1:5" x14ac:dyDescent="0.2">
      <c r="A2173" s="335">
        <v>1001271258</v>
      </c>
      <c r="B2173" s="336" t="s">
        <v>2753</v>
      </c>
      <c r="C2173" s="336" t="s">
        <v>800</v>
      </c>
      <c r="D2173" s="336" t="s">
        <v>2725</v>
      </c>
      <c r="E2173" s="336" t="s">
        <v>2726</v>
      </c>
    </row>
    <row r="2174" spans="1:5" x14ac:dyDescent="0.2">
      <c r="A2174" s="335">
        <v>1001271271</v>
      </c>
      <c r="B2174" s="336" t="s">
        <v>2754</v>
      </c>
      <c r="C2174" s="336" t="s">
        <v>1097</v>
      </c>
      <c r="D2174" s="336" t="s">
        <v>2725</v>
      </c>
      <c r="E2174" s="336" t="s">
        <v>2726</v>
      </c>
    </row>
    <row r="2175" spans="1:5" x14ac:dyDescent="0.2">
      <c r="A2175" s="335">
        <v>1001271532</v>
      </c>
      <c r="B2175" s="336" t="s">
        <v>2467</v>
      </c>
      <c r="C2175" s="336" t="s">
        <v>1097</v>
      </c>
      <c r="D2175" s="336" t="s">
        <v>2725</v>
      </c>
      <c r="E2175" s="336" t="s">
        <v>2726</v>
      </c>
    </row>
    <row r="2176" spans="1:5" x14ac:dyDescent="0.2">
      <c r="A2176" s="335">
        <v>1001271679</v>
      </c>
      <c r="B2176" s="336" t="s">
        <v>2755</v>
      </c>
      <c r="C2176" s="336" t="s">
        <v>797</v>
      </c>
      <c r="D2176" s="336" t="s">
        <v>2725</v>
      </c>
      <c r="E2176" s="336" t="s">
        <v>2726</v>
      </c>
    </row>
    <row r="2177" spans="1:5" x14ac:dyDescent="0.2">
      <c r="A2177" s="335">
        <v>1001272257</v>
      </c>
      <c r="B2177" s="336" t="s">
        <v>2755</v>
      </c>
      <c r="C2177" s="336" t="s">
        <v>800</v>
      </c>
      <c r="D2177" s="336" t="s">
        <v>2725</v>
      </c>
      <c r="E2177" s="336" t="s">
        <v>2726</v>
      </c>
    </row>
    <row r="2178" spans="1:5" x14ac:dyDescent="0.2">
      <c r="A2178" s="335">
        <v>1001272608</v>
      </c>
      <c r="B2178" s="336" t="s">
        <v>1580</v>
      </c>
      <c r="C2178" s="336" t="s">
        <v>1097</v>
      </c>
      <c r="D2178" s="336" t="s">
        <v>2725</v>
      </c>
      <c r="E2178" s="336" t="s">
        <v>2726</v>
      </c>
    </row>
    <row r="2179" spans="1:5" x14ac:dyDescent="0.2">
      <c r="A2179" s="335">
        <v>1001272639</v>
      </c>
      <c r="B2179" s="336" t="s">
        <v>2756</v>
      </c>
      <c r="C2179" s="336" t="s">
        <v>800</v>
      </c>
      <c r="D2179" s="336" t="s">
        <v>2725</v>
      </c>
      <c r="E2179" s="336" t="s">
        <v>2726</v>
      </c>
    </row>
    <row r="2180" spans="1:5" x14ac:dyDescent="0.2">
      <c r="A2180" s="335">
        <v>1001273505</v>
      </c>
      <c r="B2180" s="336" t="s">
        <v>2757</v>
      </c>
      <c r="C2180" s="336" t="s">
        <v>1097</v>
      </c>
      <c r="D2180" s="336" t="s">
        <v>2725</v>
      </c>
      <c r="E2180" s="336" t="s">
        <v>2726</v>
      </c>
    </row>
    <row r="2181" spans="1:5" x14ac:dyDescent="0.2">
      <c r="A2181" s="335">
        <v>1001273520</v>
      </c>
      <c r="B2181" s="336" t="s">
        <v>2757</v>
      </c>
      <c r="C2181" s="336" t="s">
        <v>1796</v>
      </c>
      <c r="D2181" s="336" t="s">
        <v>2725</v>
      </c>
      <c r="E2181" s="336" t="s">
        <v>2726</v>
      </c>
    </row>
    <row r="2182" spans="1:5" x14ac:dyDescent="0.2">
      <c r="A2182" s="335">
        <v>1001274019</v>
      </c>
      <c r="B2182" s="336" t="s">
        <v>2758</v>
      </c>
      <c r="C2182" s="336" t="s">
        <v>800</v>
      </c>
      <c r="D2182" s="336" t="s">
        <v>2725</v>
      </c>
      <c r="E2182" s="336" t="s">
        <v>2726</v>
      </c>
    </row>
    <row r="2183" spans="1:5" x14ac:dyDescent="0.2">
      <c r="A2183" s="335">
        <v>1001274689</v>
      </c>
      <c r="B2183" s="336" t="s">
        <v>2759</v>
      </c>
      <c r="C2183" s="336" t="s">
        <v>800</v>
      </c>
      <c r="D2183" s="336" t="s">
        <v>2725</v>
      </c>
      <c r="E2183" s="336" t="s">
        <v>2726</v>
      </c>
    </row>
    <row r="2184" spans="1:5" x14ac:dyDescent="0.2">
      <c r="A2184" s="335">
        <v>1001275254</v>
      </c>
      <c r="B2184" s="336" t="s">
        <v>2760</v>
      </c>
      <c r="C2184" s="336" t="s">
        <v>800</v>
      </c>
      <c r="D2184" s="336" t="s">
        <v>2725</v>
      </c>
      <c r="E2184" s="336" t="s">
        <v>2726</v>
      </c>
    </row>
    <row r="2185" spans="1:5" x14ac:dyDescent="0.2">
      <c r="A2185" s="335">
        <v>1001275273</v>
      </c>
      <c r="B2185" s="336" t="s">
        <v>2761</v>
      </c>
      <c r="C2185" s="336" t="s">
        <v>863</v>
      </c>
      <c r="D2185" s="336" t="s">
        <v>2725</v>
      </c>
      <c r="E2185" s="336" t="s">
        <v>2726</v>
      </c>
    </row>
    <row r="2186" spans="1:5" x14ac:dyDescent="0.2">
      <c r="A2186" s="335">
        <v>1001275301</v>
      </c>
      <c r="B2186" s="336" t="s">
        <v>2762</v>
      </c>
      <c r="C2186" s="336" t="s">
        <v>2751</v>
      </c>
      <c r="D2186" s="336" t="s">
        <v>2725</v>
      </c>
      <c r="E2186" s="336" t="s">
        <v>2726</v>
      </c>
    </row>
    <row r="2187" spans="1:5" x14ac:dyDescent="0.2">
      <c r="A2187" s="335">
        <v>1001275659</v>
      </c>
      <c r="B2187" s="336" t="s">
        <v>2763</v>
      </c>
      <c r="C2187" s="336" t="s">
        <v>800</v>
      </c>
      <c r="D2187" s="336" t="s">
        <v>2725</v>
      </c>
      <c r="E2187" s="336" t="s">
        <v>2726</v>
      </c>
    </row>
    <row r="2188" spans="1:5" x14ac:dyDescent="0.2">
      <c r="A2188" s="335">
        <v>1001277017</v>
      </c>
      <c r="B2188" s="336" t="s">
        <v>2764</v>
      </c>
      <c r="C2188" s="336" t="s">
        <v>800</v>
      </c>
      <c r="D2188" s="336" t="s">
        <v>2725</v>
      </c>
      <c r="E2188" s="336" t="s">
        <v>2726</v>
      </c>
    </row>
    <row r="2189" spans="1:5" x14ac:dyDescent="0.2">
      <c r="A2189" s="335">
        <v>1001277619</v>
      </c>
      <c r="B2189" s="336" t="s">
        <v>1209</v>
      </c>
      <c r="C2189" s="336" t="s">
        <v>1097</v>
      </c>
      <c r="D2189" s="336" t="s">
        <v>2725</v>
      </c>
      <c r="E2189" s="336" t="s">
        <v>2726</v>
      </c>
    </row>
    <row r="2190" spans="1:5" x14ac:dyDescent="0.2">
      <c r="A2190" s="335">
        <v>1001278092</v>
      </c>
      <c r="B2190" s="336" t="s">
        <v>2755</v>
      </c>
      <c r="C2190" s="336" t="s">
        <v>863</v>
      </c>
      <c r="D2190" s="336" t="s">
        <v>2725</v>
      </c>
      <c r="E2190" s="336" t="s">
        <v>2726</v>
      </c>
    </row>
    <row r="2191" spans="1:5" x14ac:dyDescent="0.2">
      <c r="A2191" s="335">
        <v>1001278101</v>
      </c>
      <c r="B2191" s="336" t="s">
        <v>2765</v>
      </c>
      <c r="C2191" s="336" t="s">
        <v>800</v>
      </c>
      <c r="D2191" s="336" t="s">
        <v>2725</v>
      </c>
      <c r="E2191" s="336" t="s">
        <v>2726</v>
      </c>
    </row>
    <row r="2192" spans="1:5" x14ac:dyDescent="0.2">
      <c r="A2192" s="335">
        <v>1001278629</v>
      </c>
      <c r="B2192" s="336" t="s">
        <v>2766</v>
      </c>
      <c r="C2192" s="336" t="s">
        <v>800</v>
      </c>
      <c r="D2192" s="336" t="s">
        <v>2725</v>
      </c>
      <c r="E2192" s="336" t="s">
        <v>2726</v>
      </c>
    </row>
    <row r="2193" spans="1:5" x14ac:dyDescent="0.2">
      <c r="A2193" s="335">
        <v>1001278690</v>
      </c>
      <c r="B2193" s="336" t="s">
        <v>2767</v>
      </c>
      <c r="C2193" s="336" t="s">
        <v>800</v>
      </c>
      <c r="D2193" s="336" t="s">
        <v>2725</v>
      </c>
      <c r="E2193" s="336" t="s">
        <v>2726</v>
      </c>
    </row>
    <row r="2194" spans="1:5" x14ac:dyDescent="0.2">
      <c r="A2194" s="335">
        <v>1001279133</v>
      </c>
      <c r="B2194" s="336" t="s">
        <v>2765</v>
      </c>
      <c r="C2194" s="336" t="s">
        <v>863</v>
      </c>
      <c r="D2194" s="336" t="s">
        <v>2725</v>
      </c>
      <c r="E2194" s="336" t="s">
        <v>2726</v>
      </c>
    </row>
    <row r="2195" spans="1:5" x14ac:dyDescent="0.2">
      <c r="A2195" s="335">
        <v>1001279237</v>
      </c>
      <c r="B2195" s="336" t="s">
        <v>2768</v>
      </c>
      <c r="C2195" s="336" t="s">
        <v>800</v>
      </c>
      <c r="D2195" s="336" t="s">
        <v>2725</v>
      </c>
      <c r="E2195" s="336" t="s">
        <v>2726</v>
      </c>
    </row>
    <row r="2196" spans="1:5" x14ac:dyDescent="0.2">
      <c r="A2196" s="335">
        <v>1001280367</v>
      </c>
      <c r="B2196" s="336" t="s">
        <v>2769</v>
      </c>
      <c r="C2196" s="336" t="s">
        <v>800</v>
      </c>
      <c r="D2196" s="336" t="s">
        <v>2725</v>
      </c>
      <c r="E2196" s="336" t="s">
        <v>2726</v>
      </c>
    </row>
    <row r="2197" spans="1:5" x14ac:dyDescent="0.2">
      <c r="A2197" s="335">
        <v>1001280491</v>
      </c>
      <c r="B2197" s="336" t="s">
        <v>2770</v>
      </c>
      <c r="C2197" s="336" t="s">
        <v>800</v>
      </c>
      <c r="D2197" s="336" t="s">
        <v>2725</v>
      </c>
      <c r="E2197" s="336" t="s">
        <v>2726</v>
      </c>
    </row>
    <row r="2198" spans="1:5" x14ac:dyDescent="0.2">
      <c r="A2198" s="335">
        <v>1001280500</v>
      </c>
      <c r="B2198" s="336" t="s">
        <v>2771</v>
      </c>
      <c r="C2198" s="336" t="s">
        <v>800</v>
      </c>
      <c r="D2198" s="336" t="s">
        <v>2725</v>
      </c>
      <c r="E2198" s="336" t="s">
        <v>2726</v>
      </c>
    </row>
    <row r="2199" spans="1:5" x14ac:dyDescent="0.2">
      <c r="A2199" s="335">
        <v>1001280666</v>
      </c>
      <c r="B2199" s="336" t="s">
        <v>2772</v>
      </c>
      <c r="C2199" s="336" t="s">
        <v>800</v>
      </c>
      <c r="D2199" s="336" t="s">
        <v>2725</v>
      </c>
      <c r="E2199" s="336" t="s">
        <v>2726</v>
      </c>
    </row>
    <row r="2200" spans="1:5" x14ac:dyDescent="0.2">
      <c r="A2200" s="335">
        <v>1001280686</v>
      </c>
      <c r="B2200" s="336" t="s">
        <v>2773</v>
      </c>
      <c r="C2200" s="336" t="s">
        <v>800</v>
      </c>
      <c r="D2200" s="336" t="s">
        <v>2725</v>
      </c>
      <c r="E2200" s="336" t="s">
        <v>2726</v>
      </c>
    </row>
    <row r="2201" spans="1:5" x14ac:dyDescent="0.2">
      <c r="A2201" s="335">
        <v>1001280709</v>
      </c>
      <c r="B2201" s="336" t="s">
        <v>2774</v>
      </c>
      <c r="C2201" s="336" t="s">
        <v>800</v>
      </c>
      <c r="D2201" s="336" t="s">
        <v>2725</v>
      </c>
      <c r="E2201" s="336" t="s">
        <v>2726</v>
      </c>
    </row>
    <row r="2202" spans="1:5" x14ac:dyDescent="0.2">
      <c r="A2202" s="335">
        <v>1001280727</v>
      </c>
      <c r="B2202" s="336" t="s">
        <v>2775</v>
      </c>
      <c r="C2202" s="336" t="s">
        <v>800</v>
      </c>
      <c r="D2202" s="336" t="s">
        <v>2725</v>
      </c>
      <c r="E2202" s="336" t="s">
        <v>2726</v>
      </c>
    </row>
    <row r="2203" spans="1:5" x14ac:dyDescent="0.2">
      <c r="A2203" s="335">
        <v>1001288830</v>
      </c>
      <c r="B2203" s="336" t="s">
        <v>2776</v>
      </c>
      <c r="C2203" s="336" t="s">
        <v>800</v>
      </c>
      <c r="D2203" s="336" t="s">
        <v>2725</v>
      </c>
      <c r="E2203" s="336" t="s">
        <v>2726</v>
      </c>
    </row>
    <row r="2204" spans="1:5" x14ac:dyDescent="0.2">
      <c r="A2204" s="335">
        <v>1001288867</v>
      </c>
      <c r="B2204" s="336" t="s">
        <v>785</v>
      </c>
      <c r="C2204" s="336" t="s">
        <v>800</v>
      </c>
      <c r="D2204" s="336" t="s">
        <v>2725</v>
      </c>
      <c r="E2204" s="336" t="s">
        <v>2726</v>
      </c>
    </row>
    <row r="2205" spans="1:5" x14ac:dyDescent="0.2">
      <c r="A2205" s="335">
        <v>1001289008</v>
      </c>
      <c r="B2205" s="336" t="s">
        <v>2777</v>
      </c>
      <c r="C2205" s="336" t="s">
        <v>1097</v>
      </c>
      <c r="D2205" s="336" t="s">
        <v>2725</v>
      </c>
      <c r="E2205" s="336" t="s">
        <v>2726</v>
      </c>
    </row>
    <row r="2206" spans="1:5" x14ac:dyDescent="0.2">
      <c r="A2206" s="335">
        <v>1001289085</v>
      </c>
      <c r="B2206" s="336" t="s">
        <v>2778</v>
      </c>
      <c r="C2206" s="336" t="s">
        <v>800</v>
      </c>
      <c r="D2206" s="336" t="s">
        <v>2725</v>
      </c>
      <c r="E2206" s="336" t="s">
        <v>2726</v>
      </c>
    </row>
    <row r="2207" spans="1:5" x14ac:dyDescent="0.2">
      <c r="A2207" s="335">
        <v>1001290278</v>
      </c>
      <c r="B2207" s="336" t="s">
        <v>2650</v>
      </c>
      <c r="C2207" s="336" t="s">
        <v>800</v>
      </c>
      <c r="D2207" s="336" t="s">
        <v>2725</v>
      </c>
      <c r="E2207" s="336" t="s">
        <v>2726</v>
      </c>
    </row>
    <row r="2208" spans="1:5" x14ac:dyDescent="0.2">
      <c r="A2208" s="335">
        <v>1001290467</v>
      </c>
      <c r="B2208" s="336" t="s">
        <v>2779</v>
      </c>
      <c r="C2208" s="336" t="s">
        <v>800</v>
      </c>
      <c r="D2208" s="336" t="s">
        <v>2725</v>
      </c>
      <c r="E2208" s="336" t="s">
        <v>2726</v>
      </c>
    </row>
    <row r="2209" spans="1:5" x14ac:dyDescent="0.2">
      <c r="A2209" s="335">
        <v>1001290651</v>
      </c>
      <c r="B2209" s="336" t="s">
        <v>2780</v>
      </c>
      <c r="C2209" s="336" t="s">
        <v>800</v>
      </c>
      <c r="D2209" s="336" t="s">
        <v>2725</v>
      </c>
      <c r="E2209" s="336" t="s">
        <v>2726</v>
      </c>
    </row>
    <row r="2210" spans="1:5" x14ac:dyDescent="0.2">
      <c r="A2210" s="335">
        <v>1001290812</v>
      </c>
      <c r="B2210" s="336" t="s">
        <v>373</v>
      </c>
      <c r="C2210" s="336" t="s">
        <v>800</v>
      </c>
      <c r="D2210" s="336" t="s">
        <v>2725</v>
      </c>
      <c r="E2210" s="336" t="s">
        <v>2726</v>
      </c>
    </row>
    <row r="2211" spans="1:5" x14ac:dyDescent="0.2">
      <c r="A2211" s="335">
        <v>1001290817</v>
      </c>
      <c r="B2211" s="336" t="s">
        <v>2781</v>
      </c>
      <c r="C2211" s="336" t="s">
        <v>800</v>
      </c>
      <c r="D2211" s="336" t="s">
        <v>2725</v>
      </c>
      <c r="E2211" s="336" t="s">
        <v>2726</v>
      </c>
    </row>
    <row r="2212" spans="1:5" x14ac:dyDescent="0.2">
      <c r="A2212" s="335">
        <v>1001300370</v>
      </c>
      <c r="B2212" s="336" t="s">
        <v>2760</v>
      </c>
      <c r="C2212" s="336" t="s">
        <v>800</v>
      </c>
      <c r="D2212" s="336" t="s">
        <v>2725</v>
      </c>
      <c r="E2212" s="336" t="s">
        <v>2726</v>
      </c>
    </row>
    <row r="2213" spans="1:5" x14ac:dyDescent="0.2">
      <c r="A2213" s="335">
        <v>1001301950</v>
      </c>
      <c r="B2213" s="336" t="s">
        <v>2782</v>
      </c>
      <c r="C2213" s="336" t="s">
        <v>863</v>
      </c>
      <c r="D2213" s="336" t="s">
        <v>2725</v>
      </c>
      <c r="E2213" s="336" t="s">
        <v>2726</v>
      </c>
    </row>
    <row r="2214" spans="1:5" x14ac:dyDescent="0.2">
      <c r="A2214" s="335">
        <v>1001301952</v>
      </c>
      <c r="B2214" s="336" t="s">
        <v>2782</v>
      </c>
      <c r="C2214" s="336" t="s">
        <v>800</v>
      </c>
      <c r="D2214" s="336" t="s">
        <v>2725</v>
      </c>
      <c r="E2214" s="336" t="s">
        <v>2726</v>
      </c>
    </row>
    <row r="2215" spans="1:5" x14ac:dyDescent="0.2">
      <c r="A2215" s="335">
        <v>1001301966</v>
      </c>
      <c r="B2215" s="336" t="s">
        <v>2147</v>
      </c>
      <c r="C2215" s="336" t="s">
        <v>863</v>
      </c>
      <c r="D2215" s="336" t="s">
        <v>2725</v>
      </c>
      <c r="E2215" s="336" t="s">
        <v>2726</v>
      </c>
    </row>
    <row r="2216" spans="1:5" x14ac:dyDescent="0.2">
      <c r="A2216" s="335">
        <v>1001301989</v>
      </c>
      <c r="B2216" s="336" t="s">
        <v>2783</v>
      </c>
      <c r="C2216" s="336" t="s">
        <v>800</v>
      </c>
      <c r="D2216" s="336" t="s">
        <v>2725</v>
      </c>
      <c r="E2216" s="336" t="s">
        <v>2726</v>
      </c>
    </row>
    <row r="2217" spans="1:5" x14ac:dyDescent="0.2">
      <c r="A2217" s="335">
        <v>1001302162</v>
      </c>
      <c r="B2217" s="336" t="s">
        <v>2784</v>
      </c>
      <c r="C2217" s="336" t="s">
        <v>863</v>
      </c>
      <c r="D2217" s="336" t="s">
        <v>2725</v>
      </c>
      <c r="E2217" s="336" t="s">
        <v>2726</v>
      </c>
    </row>
    <row r="2218" spans="1:5" x14ac:dyDescent="0.2">
      <c r="A2218" s="335">
        <v>1001302285</v>
      </c>
      <c r="B2218" s="336" t="s">
        <v>785</v>
      </c>
      <c r="C2218" s="336" t="s">
        <v>800</v>
      </c>
      <c r="D2218" s="336" t="s">
        <v>2725</v>
      </c>
      <c r="E2218" s="336" t="s">
        <v>2726</v>
      </c>
    </row>
    <row r="2219" spans="1:5" x14ac:dyDescent="0.2">
      <c r="A2219" s="335">
        <v>1001302292</v>
      </c>
      <c r="B2219" s="336" t="s">
        <v>2785</v>
      </c>
      <c r="C2219" s="336" t="s">
        <v>800</v>
      </c>
      <c r="D2219" s="336" t="s">
        <v>2725</v>
      </c>
      <c r="E2219" s="336" t="s">
        <v>2726</v>
      </c>
    </row>
    <row r="2220" spans="1:5" x14ac:dyDescent="0.2">
      <c r="A2220" s="335">
        <v>1001311036</v>
      </c>
      <c r="B2220" s="336" t="s">
        <v>2786</v>
      </c>
      <c r="C2220" s="336" t="s">
        <v>863</v>
      </c>
      <c r="D2220" s="336" t="s">
        <v>2725</v>
      </c>
      <c r="E2220" s="336" t="s">
        <v>2726</v>
      </c>
    </row>
    <row r="2221" spans="1:5" x14ac:dyDescent="0.2">
      <c r="A2221" s="335">
        <v>1001312893</v>
      </c>
      <c r="B2221" s="336" t="s">
        <v>2787</v>
      </c>
      <c r="C2221" s="336" t="s">
        <v>1097</v>
      </c>
      <c r="D2221" s="336" t="s">
        <v>2725</v>
      </c>
      <c r="E2221" s="336" t="s">
        <v>2726</v>
      </c>
    </row>
    <row r="2222" spans="1:5" x14ac:dyDescent="0.2">
      <c r="A2222" s="335">
        <v>1001312986</v>
      </c>
      <c r="B2222" s="336" t="s">
        <v>2788</v>
      </c>
      <c r="C2222" s="336" t="s">
        <v>1097</v>
      </c>
      <c r="D2222" s="336" t="s">
        <v>2725</v>
      </c>
      <c r="E2222" s="336" t="s">
        <v>2726</v>
      </c>
    </row>
    <row r="2223" spans="1:5" x14ac:dyDescent="0.2">
      <c r="A2223" s="335">
        <v>1001262400</v>
      </c>
      <c r="B2223" s="336" t="s">
        <v>2789</v>
      </c>
      <c r="C2223" s="336" t="s">
        <v>863</v>
      </c>
      <c r="D2223" s="336" t="s">
        <v>803</v>
      </c>
      <c r="E2223" s="336" t="s">
        <v>804</v>
      </c>
    </row>
    <row r="2224" spans="1:5" x14ac:dyDescent="0.2">
      <c r="A2224" s="335">
        <v>1001262707</v>
      </c>
      <c r="B2224" s="336" t="s">
        <v>2789</v>
      </c>
      <c r="C2224" s="336" t="s">
        <v>797</v>
      </c>
      <c r="D2224" s="336" t="s">
        <v>803</v>
      </c>
      <c r="E2224" s="336" t="s">
        <v>804</v>
      </c>
    </row>
    <row r="2225" spans="1:5" x14ac:dyDescent="0.2">
      <c r="A2225" s="335">
        <v>1001263876</v>
      </c>
      <c r="B2225" s="336" t="s">
        <v>802</v>
      </c>
      <c r="C2225" s="336" t="s">
        <v>797</v>
      </c>
      <c r="D2225" s="336" t="s">
        <v>803</v>
      </c>
      <c r="E2225" s="336" t="s">
        <v>804</v>
      </c>
    </row>
    <row r="2226" spans="1:5" x14ac:dyDescent="0.2">
      <c r="A2226" s="335">
        <v>1001263942</v>
      </c>
      <c r="B2226" s="336" t="s">
        <v>2790</v>
      </c>
      <c r="C2226" s="336" t="s">
        <v>797</v>
      </c>
      <c r="D2226" s="336" t="s">
        <v>803</v>
      </c>
      <c r="E2226" s="336" t="s">
        <v>804</v>
      </c>
    </row>
    <row r="2227" spans="1:5" x14ac:dyDescent="0.2">
      <c r="A2227" s="335">
        <v>1001265638</v>
      </c>
      <c r="B2227" s="336" t="s">
        <v>2791</v>
      </c>
      <c r="C2227" s="336" t="s">
        <v>797</v>
      </c>
      <c r="D2227" s="336" t="s">
        <v>803</v>
      </c>
      <c r="E2227" s="336" t="s">
        <v>804</v>
      </c>
    </row>
    <row r="2228" spans="1:5" x14ac:dyDescent="0.2">
      <c r="A2228" s="335">
        <v>1001265639</v>
      </c>
      <c r="B2228" s="336" t="s">
        <v>2792</v>
      </c>
      <c r="C2228" s="336" t="s">
        <v>797</v>
      </c>
      <c r="D2228" s="336" t="s">
        <v>803</v>
      </c>
      <c r="E2228" s="336" t="s">
        <v>804</v>
      </c>
    </row>
    <row r="2229" spans="1:5" x14ac:dyDescent="0.2">
      <c r="A2229" s="335">
        <v>1001266801</v>
      </c>
      <c r="B2229" s="336" t="s">
        <v>2793</v>
      </c>
      <c r="C2229" s="336" t="s">
        <v>797</v>
      </c>
      <c r="D2229" s="336" t="s">
        <v>803</v>
      </c>
      <c r="E2229" s="336" t="s">
        <v>804</v>
      </c>
    </row>
    <row r="2230" spans="1:5" x14ac:dyDescent="0.2">
      <c r="A2230" s="335">
        <v>1001268257</v>
      </c>
      <c r="B2230" s="336" t="s">
        <v>2794</v>
      </c>
      <c r="C2230" s="336" t="s">
        <v>797</v>
      </c>
      <c r="D2230" s="336" t="s">
        <v>803</v>
      </c>
      <c r="E2230" s="336" t="s">
        <v>804</v>
      </c>
    </row>
    <row r="2231" spans="1:5" x14ac:dyDescent="0.2">
      <c r="A2231" s="335">
        <v>1001268974</v>
      </c>
      <c r="B2231" s="336" t="s">
        <v>2795</v>
      </c>
      <c r="C2231" s="336" t="s">
        <v>813</v>
      </c>
      <c r="D2231" s="336" t="s">
        <v>803</v>
      </c>
      <c r="E2231" s="336" t="s">
        <v>804</v>
      </c>
    </row>
    <row r="2232" spans="1:5" x14ac:dyDescent="0.2">
      <c r="A2232" s="335">
        <v>1001269421</v>
      </c>
      <c r="B2232" s="336" t="s">
        <v>2796</v>
      </c>
      <c r="C2232" s="336" t="s">
        <v>797</v>
      </c>
      <c r="D2232" s="336" t="s">
        <v>803</v>
      </c>
      <c r="E2232" s="336" t="s">
        <v>804</v>
      </c>
    </row>
    <row r="2233" spans="1:5" x14ac:dyDescent="0.2">
      <c r="A2233" s="335">
        <v>1001269440</v>
      </c>
      <c r="B2233" s="336" t="s">
        <v>2797</v>
      </c>
      <c r="C2233" s="336" t="s">
        <v>797</v>
      </c>
      <c r="D2233" s="336" t="s">
        <v>803</v>
      </c>
      <c r="E2233" s="336" t="s">
        <v>804</v>
      </c>
    </row>
    <row r="2234" spans="1:5" x14ac:dyDescent="0.2">
      <c r="A2234" s="335">
        <v>1001270044</v>
      </c>
      <c r="B2234" s="336" t="s">
        <v>2798</v>
      </c>
      <c r="C2234" s="336" t="s">
        <v>863</v>
      </c>
      <c r="D2234" s="336" t="s">
        <v>803</v>
      </c>
      <c r="E2234" s="336" t="s">
        <v>804</v>
      </c>
    </row>
    <row r="2235" spans="1:5" x14ac:dyDescent="0.2">
      <c r="A2235" s="335">
        <v>1001270374</v>
      </c>
      <c r="B2235" s="336" t="s">
        <v>2799</v>
      </c>
      <c r="C2235" s="336" t="s">
        <v>797</v>
      </c>
      <c r="D2235" s="336" t="s">
        <v>803</v>
      </c>
      <c r="E2235" s="336" t="s">
        <v>804</v>
      </c>
    </row>
    <row r="2236" spans="1:5" x14ac:dyDescent="0.2">
      <c r="A2236" s="335">
        <v>1001270376</v>
      </c>
      <c r="B2236" s="336" t="s">
        <v>2800</v>
      </c>
      <c r="C2236" s="336" t="s">
        <v>797</v>
      </c>
      <c r="D2236" s="336" t="s">
        <v>803</v>
      </c>
      <c r="E2236" s="336" t="s">
        <v>804</v>
      </c>
    </row>
    <row r="2237" spans="1:5" x14ac:dyDescent="0.2">
      <c r="A2237" s="335">
        <v>1001270377</v>
      </c>
      <c r="B2237" s="336" t="s">
        <v>2801</v>
      </c>
      <c r="C2237" s="336" t="s">
        <v>797</v>
      </c>
      <c r="D2237" s="336" t="s">
        <v>803</v>
      </c>
      <c r="E2237" s="336" t="s">
        <v>804</v>
      </c>
    </row>
    <row r="2238" spans="1:5" x14ac:dyDescent="0.2">
      <c r="A2238" s="335">
        <v>1001270976</v>
      </c>
      <c r="B2238" s="336" t="s">
        <v>843</v>
      </c>
      <c r="C2238" s="336" t="s">
        <v>797</v>
      </c>
      <c r="D2238" s="336" t="s">
        <v>803</v>
      </c>
      <c r="E2238" s="336" t="s">
        <v>804</v>
      </c>
    </row>
    <row r="2239" spans="1:5" x14ac:dyDescent="0.2">
      <c r="A2239" s="335">
        <v>1001271067</v>
      </c>
      <c r="B2239" s="336" t="s">
        <v>2802</v>
      </c>
      <c r="C2239" s="336" t="s">
        <v>797</v>
      </c>
      <c r="D2239" s="336" t="s">
        <v>803</v>
      </c>
      <c r="E2239" s="336" t="s">
        <v>804</v>
      </c>
    </row>
    <row r="2240" spans="1:5" x14ac:dyDescent="0.2">
      <c r="A2240" s="335">
        <v>1001272444</v>
      </c>
      <c r="B2240" s="336" t="s">
        <v>2803</v>
      </c>
      <c r="C2240" s="336" t="s">
        <v>797</v>
      </c>
      <c r="D2240" s="336" t="s">
        <v>803</v>
      </c>
      <c r="E2240" s="336" t="s">
        <v>804</v>
      </c>
    </row>
    <row r="2241" spans="1:5" x14ac:dyDescent="0.2">
      <c r="A2241" s="335">
        <v>1001272652</v>
      </c>
      <c r="B2241" s="336" t="s">
        <v>2804</v>
      </c>
      <c r="C2241" s="336" t="s">
        <v>863</v>
      </c>
      <c r="D2241" s="336" t="s">
        <v>803</v>
      </c>
      <c r="E2241" s="336" t="s">
        <v>804</v>
      </c>
    </row>
    <row r="2242" spans="1:5" x14ac:dyDescent="0.2">
      <c r="A2242" s="335">
        <v>1001273555</v>
      </c>
      <c r="B2242" s="336" t="s">
        <v>2805</v>
      </c>
      <c r="C2242" s="336" t="s">
        <v>797</v>
      </c>
      <c r="D2242" s="336" t="s">
        <v>803</v>
      </c>
      <c r="E2242" s="336" t="s">
        <v>804</v>
      </c>
    </row>
    <row r="2243" spans="1:5" x14ac:dyDescent="0.2">
      <c r="A2243" s="335">
        <v>1001274001</v>
      </c>
      <c r="B2243" s="336" t="s">
        <v>2806</v>
      </c>
      <c r="C2243" s="336" t="s">
        <v>797</v>
      </c>
      <c r="D2243" s="336" t="s">
        <v>803</v>
      </c>
      <c r="E2243" s="336" t="s">
        <v>804</v>
      </c>
    </row>
    <row r="2244" spans="1:5" x14ac:dyDescent="0.2">
      <c r="A2244" s="335">
        <v>1001274004</v>
      </c>
      <c r="B2244" s="336" t="s">
        <v>821</v>
      </c>
      <c r="C2244" s="336" t="s">
        <v>797</v>
      </c>
      <c r="D2244" s="336" t="s">
        <v>803</v>
      </c>
      <c r="E2244" s="336" t="s">
        <v>804</v>
      </c>
    </row>
    <row r="2245" spans="1:5" x14ac:dyDescent="0.2">
      <c r="A2245" s="335">
        <v>1001274006</v>
      </c>
      <c r="B2245" s="336" t="s">
        <v>2758</v>
      </c>
      <c r="C2245" s="336" t="s">
        <v>863</v>
      </c>
      <c r="D2245" s="336" t="s">
        <v>803</v>
      </c>
      <c r="E2245" s="336" t="s">
        <v>804</v>
      </c>
    </row>
    <row r="2246" spans="1:5" x14ac:dyDescent="0.2">
      <c r="A2246" s="335">
        <v>1001274179</v>
      </c>
      <c r="B2246" s="336" t="s">
        <v>2807</v>
      </c>
      <c r="C2246" s="336" t="s">
        <v>863</v>
      </c>
      <c r="D2246" s="336" t="s">
        <v>803</v>
      </c>
      <c r="E2246" s="336" t="s">
        <v>804</v>
      </c>
    </row>
    <row r="2247" spans="1:5" x14ac:dyDescent="0.2">
      <c r="A2247" s="335">
        <v>1001274208</v>
      </c>
      <c r="B2247" s="336" t="s">
        <v>2808</v>
      </c>
      <c r="C2247" s="336" t="s">
        <v>813</v>
      </c>
      <c r="D2247" s="336" t="s">
        <v>803</v>
      </c>
      <c r="E2247" s="336" t="s">
        <v>804</v>
      </c>
    </row>
    <row r="2248" spans="1:5" x14ac:dyDescent="0.2">
      <c r="A2248" s="335">
        <v>1001274215</v>
      </c>
      <c r="B2248" s="336" t="s">
        <v>2809</v>
      </c>
      <c r="C2248" s="336" t="s">
        <v>813</v>
      </c>
      <c r="D2248" s="336" t="s">
        <v>803</v>
      </c>
      <c r="E2248" s="336" t="s">
        <v>804</v>
      </c>
    </row>
    <row r="2249" spans="1:5" x14ac:dyDescent="0.2">
      <c r="A2249" s="335">
        <v>1001275655</v>
      </c>
      <c r="B2249" s="336" t="s">
        <v>2810</v>
      </c>
      <c r="C2249" s="336" t="s">
        <v>797</v>
      </c>
      <c r="D2249" s="336" t="s">
        <v>803</v>
      </c>
      <c r="E2249" s="336" t="s">
        <v>804</v>
      </c>
    </row>
    <row r="2250" spans="1:5" x14ac:dyDescent="0.2">
      <c r="A2250" s="335">
        <v>1001277131</v>
      </c>
      <c r="B2250" s="336" t="s">
        <v>2811</v>
      </c>
      <c r="C2250" s="336" t="s">
        <v>1097</v>
      </c>
      <c r="D2250" s="336" t="s">
        <v>803</v>
      </c>
      <c r="E2250" s="336" t="s">
        <v>804</v>
      </c>
    </row>
    <row r="2251" spans="1:5" x14ac:dyDescent="0.2">
      <c r="A2251" s="335">
        <v>1001277284</v>
      </c>
      <c r="B2251" s="336" t="s">
        <v>2811</v>
      </c>
      <c r="C2251" s="336" t="s">
        <v>797</v>
      </c>
      <c r="D2251" s="336" t="s">
        <v>803</v>
      </c>
      <c r="E2251" s="336" t="s">
        <v>804</v>
      </c>
    </row>
    <row r="2252" spans="1:5" x14ac:dyDescent="0.2">
      <c r="A2252" s="335">
        <v>1001278096</v>
      </c>
      <c r="B2252" s="336" t="s">
        <v>2812</v>
      </c>
      <c r="C2252" s="336" t="s">
        <v>797</v>
      </c>
      <c r="D2252" s="336" t="s">
        <v>803</v>
      </c>
      <c r="E2252" s="336" t="s">
        <v>804</v>
      </c>
    </row>
    <row r="2253" spans="1:5" x14ac:dyDescent="0.2">
      <c r="A2253" s="335">
        <v>1001278689</v>
      </c>
      <c r="B2253" s="336" t="s">
        <v>2813</v>
      </c>
      <c r="C2253" s="336" t="s">
        <v>813</v>
      </c>
      <c r="D2253" s="336" t="s">
        <v>803</v>
      </c>
      <c r="E2253" s="336" t="s">
        <v>804</v>
      </c>
    </row>
    <row r="2254" spans="1:5" x14ac:dyDescent="0.2">
      <c r="A2254" s="335">
        <v>1001290200</v>
      </c>
      <c r="B2254" s="336" t="s">
        <v>2814</v>
      </c>
      <c r="C2254" s="336" t="s">
        <v>797</v>
      </c>
      <c r="D2254" s="336" t="s">
        <v>803</v>
      </c>
      <c r="E2254" s="336" t="s">
        <v>804</v>
      </c>
    </row>
    <row r="2255" spans="1:5" x14ac:dyDescent="0.2">
      <c r="A2255" s="335">
        <v>1001290204</v>
      </c>
      <c r="B2255" s="336" t="s">
        <v>2815</v>
      </c>
      <c r="C2255" s="336" t="s">
        <v>797</v>
      </c>
      <c r="D2255" s="336" t="s">
        <v>803</v>
      </c>
      <c r="E2255" s="336" t="s">
        <v>804</v>
      </c>
    </row>
    <row r="2256" spans="1:5" x14ac:dyDescent="0.2">
      <c r="A2256" s="335">
        <v>1001290270</v>
      </c>
      <c r="B2256" s="336" t="s">
        <v>2816</v>
      </c>
      <c r="C2256" s="336" t="s">
        <v>797</v>
      </c>
      <c r="D2256" s="336" t="s">
        <v>803</v>
      </c>
      <c r="E2256" s="336" t="s">
        <v>804</v>
      </c>
    </row>
    <row r="2257" spans="1:5" x14ac:dyDescent="0.2">
      <c r="A2257" s="335">
        <v>1001294356</v>
      </c>
      <c r="B2257" s="336" t="s">
        <v>2817</v>
      </c>
      <c r="C2257" s="336" t="s">
        <v>797</v>
      </c>
      <c r="D2257" s="336" t="s">
        <v>803</v>
      </c>
      <c r="E2257" s="336" t="s">
        <v>804</v>
      </c>
    </row>
    <row r="2258" spans="1:5" x14ac:dyDescent="0.2">
      <c r="A2258" s="335">
        <v>1001302349</v>
      </c>
      <c r="B2258" s="336" t="s">
        <v>2818</v>
      </c>
      <c r="C2258" s="336" t="s">
        <v>797</v>
      </c>
      <c r="D2258" s="336" t="s">
        <v>803</v>
      </c>
      <c r="E2258" s="336" t="s">
        <v>804</v>
      </c>
    </row>
    <row r="2259" spans="1:5" x14ac:dyDescent="0.2">
      <c r="A2259" s="335">
        <v>1001302360</v>
      </c>
      <c r="B2259" s="336" t="s">
        <v>2819</v>
      </c>
      <c r="C2259" s="336" t="s">
        <v>813</v>
      </c>
      <c r="D2259" s="336" t="s">
        <v>803</v>
      </c>
      <c r="E2259" s="336" t="s">
        <v>804</v>
      </c>
    </row>
    <row r="2260" spans="1:5" x14ac:dyDescent="0.2">
      <c r="A2260" s="335">
        <v>1001311512</v>
      </c>
      <c r="B2260" s="336" t="s">
        <v>2820</v>
      </c>
      <c r="C2260" s="336" t="s">
        <v>813</v>
      </c>
      <c r="D2260" s="336" t="s">
        <v>803</v>
      </c>
      <c r="E2260" s="336" t="s">
        <v>804</v>
      </c>
    </row>
    <row r="2261" spans="1:5" x14ac:dyDescent="0.2">
      <c r="A2261" s="335">
        <v>1001311757</v>
      </c>
      <c r="B2261" s="336" t="s">
        <v>2821</v>
      </c>
      <c r="C2261" s="336" t="s">
        <v>800</v>
      </c>
      <c r="D2261" s="336" t="s">
        <v>2822</v>
      </c>
      <c r="E2261" s="336" t="s">
        <v>2823</v>
      </c>
    </row>
    <row r="2262" spans="1:5" x14ac:dyDescent="0.2">
      <c r="A2262" s="335">
        <v>1001311758</v>
      </c>
      <c r="B2262" s="336" t="s">
        <v>2824</v>
      </c>
      <c r="C2262" s="336" t="s">
        <v>800</v>
      </c>
      <c r="D2262" s="336" t="s">
        <v>2825</v>
      </c>
      <c r="E2262" s="336" t="s">
        <v>2826</v>
      </c>
    </row>
    <row r="2263" spans="1:5" x14ac:dyDescent="0.2">
      <c r="A2263" s="335">
        <v>1001312969</v>
      </c>
      <c r="B2263" s="336" t="s">
        <v>2827</v>
      </c>
      <c r="C2263" s="336" t="s">
        <v>800</v>
      </c>
      <c r="D2263" s="336" t="s">
        <v>2828</v>
      </c>
      <c r="E2263" s="336" t="s">
        <v>2829</v>
      </c>
    </row>
    <row r="2264" spans="1:5" x14ac:dyDescent="0.2">
      <c r="A2264" s="335">
        <v>1001262080</v>
      </c>
      <c r="B2264" s="336" t="s">
        <v>2830</v>
      </c>
      <c r="C2264" s="336" t="s">
        <v>797</v>
      </c>
      <c r="D2264" s="336" t="s">
        <v>1082</v>
      </c>
      <c r="E2264" s="336" t="s">
        <v>1083</v>
      </c>
    </row>
    <row r="2265" spans="1:5" x14ac:dyDescent="0.2">
      <c r="A2265" s="335">
        <v>1001262348</v>
      </c>
      <c r="B2265" s="336" t="s">
        <v>2831</v>
      </c>
      <c r="C2265" s="336" t="s">
        <v>841</v>
      </c>
      <c r="D2265" s="336" t="s">
        <v>1082</v>
      </c>
      <c r="E2265" s="336" t="s">
        <v>1083</v>
      </c>
    </row>
    <row r="2266" spans="1:5" x14ac:dyDescent="0.2">
      <c r="A2266" s="335">
        <v>1001262483</v>
      </c>
      <c r="B2266" s="336" t="s">
        <v>2832</v>
      </c>
      <c r="C2266" s="336" t="s">
        <v>797</v>
      </c>
      <c r="D2266" s="336" t="s">
        <v>1082</v>
      </c>
      <c r="E2266" s="336" t="s">
        <v>1083</v>
      </c>
    </row>
    <row r="2267" spans="1:5" x14ac:dyDescent="0.2">
      <c r="A2267" s="335">
        <v>1001265166</v>
      </c>
      <c r="B2267" s="336" t="s">
        <v>2833</v>
      </c>
      <c r="C2267" s="336" t="s">
        <v>797</v>
      </c>
      <c r="D2267" s="336" t="s">
        <v>1082</v>
      </c>
      <c r="E2267" s="336" t="s">
        <v>1083</v>
      </c>
    </row>
    <row r="2268" spans="1:5" x14ac:dyDescent="0.2">
      <c r="A2268" s="335">
        <v>1001266107</v>
      </c>
      <c r="B2268" s="336" t="s">
        <v>2834</v>
      </c>
      <c r="C2268" s="336" t="s">
        <v>841</v>
      </c>
      <c r="D2268" s="336" t="s">
        <v>1082</v>
      </c>
      <c r="E2268" s="336" t="s">
        <v>1083</v>
      </c>
    </row>
    <row r="2269" spans="1:5" x14ac:dyDescent="0.2">
      <c r="A2269" s="335">
        <v>1001268633</v>
      </c>
      <c r="B2269" s="336" t="s">
        <v>2835</v>
      </c>
      <c r="C2269" s="336" t="s">
        <v>797</v>
      </c>
      <c r="D2269" s="336" t="s">
        <v>1082</v>
      </c>
      <c r="E2269" s="336" t="s">
        <v>1083</v>
      </c>
    </row>
    <row r="2270" spans="1:5" x14ac:dyDescent="0.2">
      <c r="A2270" s="335">
        <v>1001269153</v>
      </c>
      <c r="B2270" s="336" t="s">
        <v>2836</v>
      </c>
      <c r="C2270" s="336" t="s">
        <v>863</v>
      </c>
      <c r="D2270" s="336" t="s">
        <v>1082</v>
      </c>
      <c r="E2270" s="336" t="s">
        <v>1083</v>
      </c>
    </row>
    <row r="2271" spans="1:5" x14ac:dyDescent="0.2">
      <c r="A2271" s="335">
        <v>1001271214</v>
      </c>
      <c r="B2271" s="336" t="s">
        <v>2837</v>
      </c>
      <c r="C2271" s="336" t="s">
        <v>797</v>
      </c>
      <c r="D2271" s="336" t="s">
        <v>1082</v>
      </c>
      <c r="E2271" s="336" t="s">
        <v>1083</v>
      </c>
    </row>
    <row r="2272" spans="1:5" x14ac:dyDescent="0.2">
      <c r="A2272" s="335">
        <v>1001273202</v>
      </c>
      <c r="B2272" s="336" t="s">
        <v>1081</v>
      </c>
      <c r="C2272" s="336" t="s">
        <v>797</v>
      </c>
      <c r="D2272" s="336" t="s">
        <v>1082</v>
      </c>
      <c r="E2272" s="336" t="s">
        <v>1083</v>
      </c>
    </row>
    <row r="2273" spans="1:5" x14ac:dyDescent="0.2">
      <c r="A2273" s="335">
        <v>1001273205</v>
      </c>
      <c r="B2273" s="336" t="s">
        <v>2838</v>
      </c>
      <c r="C2273" s="336" t="s">
        <v>797</v>
      </c>
      <c r="D2273" s="336" t="s">
        <v>1082</v>
      </c>
      <c r="E2273" s="336" t="s">
        <v>1083</v>
      </c>
    </row>
    <row r="2274" spans="1:5" x14ac:dyDescent="0.2">
      <c r="A2274" s="335">
        <v>1001273494</v>
      </c>
      <c r="B2274" s="336" t="s">
        <v>2839</v>
      </c>
      <c r="C2274" s="336" t="s">
        <v>863</v>
      </c>
      <c r="D2274" s="336" t="s">
        <v>1082</v>
      </c>
      <c r="E2274" s="336" t="s">
        <v>1083</v>
      </c>
    </row>
    <row r="2275" spans="1:5" x14ac:dyDescent="0.2">
      <c r="A2275" s="335">
        <v>1001274684</v>
      </c>
      <c r="B2275" s="336" t="s">
        <v>2840</v>
      </c>
      <c r="C2275" s="336" t="s">
        <v>813</v>
      </c>
      <c r="D2275" s="336" t="s">
        <v>1082</v>
      </c>
      <c r="E2275" s="336" t="s">
        <v>1083</v>
      </c>
    </row>
    <row r="2276" spans="1:5" x14ac:dyDescent="0.2">
      <c r="A2276" s="335">
        <v>1001275216</v>
      </c>
      <c r="B2276" s="336" t="s">
        <v>2841</v>
      </c>
      <c r="C2276" s="336" t="s">
        <v>797</v>
      </c>
      <c r="D2276" s="336" t="s">
        <v>1082</v>
      </c>
      <c r="E2276" s="336" t="s">
        <v>1083</v>
      </c>
    </row>
    <row r="2277" spans="1:5" x14ac:dyDescent="0.2">
      <c r="A2277" s="335">
        <v>1001288946</v>
      </c>
      <c r="B2277" s="336" t="s">
        <v>2842</v>
      </c>
      <c r="C2277" s="336" t="s">
        <v>813</v>
      </c>
      <c r="D2277" s="336" t="s">
        <v>1082</v>
      </c>
      <c r="E2277" s="336" t="s">
        <v>1083</v>
      </c>
    </row>
    <row r="2278" spans="1:5" x14ac:dyDescent="0.2">
      <c r="A2278" s="335">
        <v>1001289074</v>
      </c>
      <c r="B2278" s="336" t="s">
        <v>2843</v>
      </c>
      <c r="C2278" s="336" t="s">
        <v>813</v>
      </c>
      <c r="D2278" s="336" t="s">
        <v>1082</v>
      </c>
      <c r="E2278" s="336" t="s">
        <v>1083</v>
      </c>
    </row>
    <row r="2279" spans="1:5" x14ac:dyDescent="0.2">
      <c r="A2279" s="335">
        <v>1001290468</v>
      </c>
      <c r="B2279" s="336" t="s">
        <v>2844</v>
      </c>
      <c r="C2279" s="336" t="s">
        <v>813</v>
      </c>
      <c r="D2279" s="336" t="s">
        <v>1082</v>
      </c>
      <c r="E2279" s="336" t="s">
        <v>1083</v>
      </c>
    </row>
    <row r="2280" spans="1:5" x14ac:dyDescent="0.2">
      <c r="A2280" s="335">
        <v>1001294352</v>
      </c>
      <c r="B2280" s="336" t="s">
        <v>2845</v>
      </c>
      <c r="C2280" s="336" t="s">
        <v>813</v>
      </c>
      <c r="D2280" s="336" t="s">
        <v>1082</v>
      </c>
      <c r="E2280" s="336" t="s">
        <v>1083</v>
      </c>
    </row>
    <row r="2281" spans="1:5" x14ac:dyDescent="0.2">
      <c r="A2281" s="335">
        <v>1001302270</v>
      </c>
      <c r="B2281" s="336" t="s">
        <v>2832</v>
      </c>
      <c r="C2281" s="336" t="s">
        <v>797</v>
      </c>
      <c r="D2281" s="336" t="s">
        <v>1082</v>
      </c>
      <c r="E2281" s="336" t="s">
        <v>1083</v>
      </c>
    </row>
    <row r="2282" spans="1:5" x14ac:dyDescent="0.2">
      <c r="A2282" s="335">
        <v>1001302286</v>
      </c>
      <c r="B2282" s="336" t="s">
        <v>2846</v>
      </c>
      <c r="C2282" s="336" t="s">
        <v>813</v>
      </c>
      <c r="D2282" s="336" t="s">
        <v>1082</v>
      </c>
      <c r="E2282" s="336" t="s">
        <v>1083</v>
      </c>
    </row>
    <row r="2283" spans="1:5" x14ac:dyDescent="0.2">
      <c r="A2283" s="335">
        <v>1001302649</v>
      </c>
      <c r="B2283" s="336" t="s">
        <v>2847</v>
      </c>
      <c r="C2283" s="336" t="s">
        <v>813</v>
      </c>
      <c r="D2283" s="336" t="s">
        <v>1082</v>
      </c>
      <c r="E2283" s="336" t="s">
        <v>1083</v>
      </c>
    </row>
    <row r="2284" spans="1:5" x14ac:dyDescent="0.2">
      <c r="A2284" s="335">
        <v>1001311837</v>
      </c>
      <c r="B2284" s="336" t="s">
        <v>2848</v>
      </c>
      <c r="C2284" s="336" t="s">
        <v>797</v>
      </c>
      <c r="D2284" s="336" t="s">
        <v>1082</v>
      </c>
      <c r="E2284" s="336" t="s">
        <v>1083</v>
      </c>
    </row>
    <row r="2285" spans="1:5" x14ac:dyDescent="0.2">
      <c r="A2285" s="335">
        <v>1001262105</v>
      </c>
      <c r="B2285" s="336" t="s">
        <v>2849</v>
      </c>
      <c r="C2285" s="336" t="s">
        <v>800</v>
      </c>
      <c r="D2285" s="336" t="s">
        <v>956</v>
      </c>
      <c r="E2285" s="336" t="s">
        <v>957</v>
      </c>
    </row>
    <row r="2286" spans="1:5" x14ac:dyDescent="0.2">
      <c r="A2286" s="335">
        <v>1001262106</v>
      </c>
      <c r="B2286" s="336" t="s">
        <v>2850</v>
      </c>
      <c r="C2286" s="336" t="s">
        <v>800</v>
      </c>
      <c r="D2286" s="336" t="s">
        <v>956</v>
      </c>
      <c r="E2286" s="336" t="s">
        <v>957</v>
      </c>
    </row>
    <row r="2287" spans="1:5" x14ac:dyDescent="0.2">
      <c r="A2287" s="335">
        <v>1001262299</v>
      </c>
      <c r="B2287" s="336" t="s">
        <v>2851</v>
      </c>
      <c r="C2287" s="336" t="s">
        <v>800</v>
      </c>
      <c r="D2287" s="336" t="s">
        <v>956</v>
      </c>
      <c r="E2287" s="336" t="s">
        <v>957</v>
      </c>
    </row>
    <row r="2288" spans="1:5" x14ac:dyDescent="0.2">
      <c r="A2288" s="335">
        <v>1001262300</v>
      </c>
      <c r="B2288" s="336" t="s">
        <v>2852</v>
      </c>
      <c r="C2288" s="336" t="s">
        <v>800</v>
      </c>
      <c r="D2288" s="336" t="s">
        <v>956</v>
      </c>
      <c r="E2288" s="336" t="s">
        <v>957</v>
      </c>
    </row>
    <row r="2289" spans="1:5" x14ac:dyDescent="0.2">
      <c r="A2289" s="335">
        <v>1001262302</v>
      </c>
      <c r="B2289" s="336" t="s">
        <v>2853</v>
      </c>
      <c r="C2289" s="336" t="s">
        <v>800</v>
      </c>
      <c r="D2289" s="336" t="s">
        <v>956</v>
      </c>
      <c r="E2289" s="336" t="s">
        <v>957</v>
      </c>
    </row>
    <row r="2290" spans="1:5" x14ac:dyDescent="0.2">
      <c r="A2290" s="335">
        <v>1001262303</v>
      </c>
      <c r="B2290" s="336" t="s">
        <v>2854</v>
      </c>
      <c r="C2290" s="336" t="s">
        <v>1097</v>
      </c>
      <c r="D2290" s="336" t="s">
        <v>956</v>
      </c>
      <c r="E2290" s="336" t="s">
        <v>957</v>
      </c>
    </row>
    <row r="2291" spans="1:5" x14ac:dyDescent="0.2">
      <c r="A2291" s="335">
        <v>1001262305</v>
      </c>
      <c r="B2291" s="336" t="s">
        <v>2855</v>
      </c>
      <c r="C2291" s="336" t="s">
        <v>800</v>
      </c>
      <c r="D2291" s="336" t="s">
        <v>956</v>
      </c>
      <c r="E2291" s="336" t="s">
        <v>957</v>
      </c>
    </row>
    <row r="2292" spans="1:5" x14ac:dyDescent="0.2">
      <c r="A2292" s="335">
        <v>1001262306</v>
      </c>
      <c r="B2292" s="336" t="s">
        <v>2856</v>
      </c>
      <c r="C2292" s="336" t="s">
        <v>800</v>
      </c>
      <c r="D2292" s="336" t="s">
        <v>956</v>
      </c>
      <c r="E2292" s="336" t="s">
        <v>957</v>
      </c>
    </row>
    <row r="2293" spans="1:5" x14ac:dyDescent="0.2">
      <c r="A2293" s="335">
        <v>1001262307</v>
      </c>
      <c r="B2293" s="336" t="s">
        <v>2857</v>
      </c>
      <c r="C2293" s="336" t="s">
        <v>1097</v>
      </c>
      <c r="D2293" s="336" t="s">
        <v>956</v>
      </c>
      <c r="E2293" s="336" t="s">
        <v>957</v>
      </c>
    </row>
    <row r="2294" spans="1:5" x14ac:dyDescent="0.2">
      <c r="A2294" s="335">
        <v>1001262308</v>
      </c>
      <c r="B2294" s="336" t="s">
        <v>2858</v>
      </c>
      <c r="C2294" s="336" t="s">
        <v>1097</v>
      </c>
      <c r="D2294" s="336" t="s">
        <v>956</v>
      </c>
      <c r="E2294" s="336" t="s">
        <v>957</v>
      </c>
    </row>
    <row r="2295" spans="1:5" x14ac:dyDescent="0.2">
      <c r="A2295" s="335">
        <v>1001262785</v>
      </c>
      <c r="B2295" s="336" t="s">
        <v>2859</v>
      </c>
      <c r="C2295" s="336" t="s">
        <v>1097</v>
      </c>
      <c r="D2295" s="336" t="s">
        <v>956</v>
      </c>
      <c r="E2295" s="336" t="s">
        <v>957</v>
      </c>
    </row>
    <row r="2296" spans="1:5" x14ac:dyDescent="0.2">
      <c r="A2296" s="335">
        <v>1001262809</v>
      </c>
      <c r="B2296" s="336" t="s">
        <v>2860</v>
      </c>
      <c r="C2296" s="336" t="s">
        <v>1097</v>
      </c>
      <c r="D2296" s="336" t="s">
        <v>956</v>
      </c>
      <c r="E2296" s="336" t="s">
        <v>957</v>
      </c>
    </row>
    <row r="2297" spans="1:5" x14ac:dyDescent="0.2">
      <c r="A2297" s="335">
        <v>1001263049</v>
      </c>
      <c r="B2297" s="336" t="s">
        <v>2724</v>
      </c>
      <c r="C2297" s="336" t="s">
        <v>800</v>
      </c>
      <c r="D2297" s="336" t="s">
        <v>956</v>
      </c>
      <c r="E2297" s="336" t="s">
        <v>957</v>
      </c>
    </row>
    <row r="2298" spans="1:5" x14ac:dyDescent="0.2">
      <c r="A2298" s="335">
        <v>1001263336</v>
      </c>
      <c r="B2298" s="336" t="s">
        <v>2861</v>
      </c>
      <c r="C2298" s="336" t="s">
        <v>800</v>
      </c>
      <c r="D2298" s="336" t="s">
        <v>956</v>
      </c>
      <c r="E2298" s="336" t="s">
        <v>957</v>
      </c>
    </row>
    <row r="2299" spans="1:5" x14ac:dyDescent="0.2">
      <c r="A2299" s="335">
        <v>1001264906</v>
      </c>
      <c r="B2299" s="336" t="s">
        <v>2862</v>
      </c>
      <c r="C2299" s="336" t="s">
        <v>1097</v>
      </c>
      <c r="D2299" s="336" t="s">
        <v>956</v>
      </c>
      <c r="E2299" s="336" t="s">
        <v>957</v>
      </c>
    </row>
    <row r="2300" spans="1:5" x14ac:dyDescent="0.2">
      <c r="A2300" s="335">
        <v>1001265108</v>
      </c>
      <c r="B2300" s="336" t="s">
        <v>2863</v>
      </c>
      <c r="C2300" s="336" t="s">
        <v>800</v>
      </c>
      <c r="D2300" s="336" t="s">
        <v>956</v>
      </c>
      <c r="E2300" s="336" t="s">
        <v>957</v>
      </c>
    </row>
    <row r="2301" spans="1:5" x14ac:dyDescent="0.2">
      <c r="A2301" s="335">
        <v>1001265162</v>
      </c>
      <c r="B2301" s="336" t="s">
        <v>2864</v>
      </c>
      <c r="C2301" s="336" t="s">
        <v>800</v>
      </c>
      <c r="D2301" s="336" t="s">
        <v>956</v>
      </c>
      <c r="E2301" s="336" t="s">
        <v>957</v>
      </c>
    </row>
    <row r="2302" spans="1:5" x14ac:dyDescent="0.2">
      <c r="A2302" s="335">
        <v>1001265730</v>
      </c>
      <c r="B2302" s="336" t="s">
        <v>2865</v>
      </c>
      <c r="C2302" s="336" t="s">
        <v>800</v>
      </c>
      <c r="D2302" s="336" t="s">
        <v>956</v>
      </c>
      <c r="E2302" s="336" t="s">
        <v>957</v>
      </c>
    </row>
    <row r="2303" spans="1:5" x14ac:dyDescent="0.2">
      <c r="A2303" s="335">
        <v>1001266543</v>
      </c>
      <c r="B2303" s="336" t="s">
        <v>1300</v>
      </c>
      <c r="C2303" s="336" t="s">
        <v>800</v>
      </c>
      <c r="D2303" s="336" t="s">
        <v>956</v>
      </c>
      <c r="E2303" s="336" t="s">
        <v>957</v>
      </c>
    </row>
    <row r="2304" spans="1:5" x14ac:dyDescent="0.2">
      <c r="A2304" s="335">
        <v>1001266576</v>
      </c>
      <c r="B2304" s="336" t="s">
        <v>2863</v>
      </c>
      <c r="C2304" s="336" t="s">
        <v>800</v>
      </c>
      <c r="D2304" s="336" t="s">
        <v>956</v>
      </c>
      <c r="E2304" s="336" t="s">
        <v>957</v>
      </c>
    </row>
    <row r="2305" spans="1:5" x14ac:dyDescent="0.2">
      <c r="A2305" s="335">
        <v>1001266718</v>
      </c>
      <c r="B2305" s="336" t="s">
        <v>2866</v>
      </c>
      <c r="C2305" s="336" t="s">
        <v>800</v>
      </c>
      <c r="D2305" s="336" t="s">
        <v>956</v>
      </c>
      <c r="E2305" s="336" t="s">
        <v>957</v>
      </c>
    </row>
    <row r="2306" spans="1:5" x14ac:dyDescent="0.2">
      <c r="A2306" s="335">
        <v>1001266730</v>
      </c>
      <c r="B2306" s="336" t="s">
        <v>2867</v>
      </c>
      <c r="C2306" s="336" t="s">
        <v>800</v>
      </c>
      <c r="D2306" s="336" t="s">
        <v>956</v>
      </c>
      <c r="E2306" s="336" t="s">
        <v>957</v>
      </c>
    </row>
    <row r="2307" spans="1:5" x14ac:dyDescent="0.2">
      <c r="A2307" s="335">
        <v>1001266740</v>
      </c>
      <c r="B2307" s="336" t="s">
        <v>2868</v>
      </c>
      <c r="C2307" s="336" t="s">
        <v>800</v>
      </c>
      <c r="D2307" s="336" t="s">
        <v>956</v>
      </c>
      <c r="E2307" s="336" t="s">
        <v>957</v>
      </c>
    </row>
    <row r="2308" spans="1:5" x14ac:dyDescent="0.2">
      <c r="A2308" s="335">
        <v>1001266772</v>
      </c>
      <c r="B2308" s="336" t="s">
        <v>2869</v>
      </c>
      <c r="C2308" s="336" t="s">
        <v>800</v>
      </c>
      <c r="D2308" s="336" t="s">
        <v>956</v>
      </c>
      <c r="E2308" s="336" t="s">
        <v>957</v>
      </c>
    </row>
    <row r="2309" spans="1:5" x14ac:dyDescent="0.2">
      <c r="A2309" s="335">
        <v>1001266779</v>
      </c>
      <c r="B2309" s="336" t="s">
        <v>2870</v>
      </c>
      <c r="C2309" s="336" t="s">
        <v>800</v>
      </c>
      <c r="D2309" s="336" t="s">
        <v>956</v>
      </c>
      <c r="E2309" s="336" t="s">
        <v>957</v>
      </c>
    </row>
    <row r="2310" spans="1:5" x14ac:dyDescent="0.2">
      <c r="A2310" s="335">
        <v>1001266909</v>
      </c>
      <c r="B2310" s="336" t="s">
        <v>822</v>
      </c>
      <c r="C2310" s="336" t="s">
        <v>800</v>
      </c>
      <c r="D2310" s="336" t="s">
        <v>956</v>
      </c>
      <c r="E2310" s="336" t="s">
        <v>957</v>
      </c>
    </row>
    <row r="2311" spans="1:5" x14ac:dyDescent="0.2">
      <c r="A2311" s="335">
        <v>1001267460</v>
      </c>
      <c r="B2311" s="336" t="s">
        <v>2871</v>
      </c>
      <c r="C2311" s="336" t="s">
        <v>800</v>
      </c>
      <c r="D2311" s="336" t="s">
        <v>956</v>
      </c>
      <c r="E2311" s="336" t="s">
        <v>957</v>
      </c>
    </row>
    <row r="2312" spans="1:5" x14ac:dyDescent="0.2">
      <c r="A2312" s="335">
        <v>1001267689</v>
      </c>
      <c r="B2312" s="336" t="s">
        <v>2872</v>
      </c>
      <c r="C2312" s="336" t="s">
        <v>800</v>
      </c>
      <c r="D2312" s="336" t="s">
        <v>956</v>
      </c>
      <c r="E2312" s="336" t="s">
        <v>957</v>
      </c>
    </row>
    <row r="2313" spans="1:5" x14ac:dyDescent="0.2">
      <c r="A2313" s="335">
        <v>1001267733</v>
      </c>
      <c r="B2313" s="336" t="s">
        <v>2863</v>
      </c>
      <c r="C2313" s="336" t="s">
        <v>800</v>
      </c>
      <c r="D2313" s="336" t="s">
        <v>956</v>
      </c>
      <c r="E2313" s="336" t="s">
        <v>957</v>
      </c>
    </row>
    <row r="2314" spans="1:5" x14ac:dyDescent="0.2">
      <c r="A2314" s="335">
        <v>1001268130</v>
      </c>
      <c r="B2314" s="336" t="s">
        <v>1009</v>
      </c>
      <c r="C2314" s="336" t="s">
        <v>800</v>
      </c>
      <c r="D2314" s="336" t="s">
        <v>956</v>
      </c>
      <c r="E2314" s="336" t="s">
        <v>957</v>
      </c>
    </row>
    <row r="2315" spans="1:5" x14ac:dyDescent="0.2">
      <c r="A2315" s="335">
        <v>1001268259</v>
      </c>
      <c r="B2315" s="336" t="s">
        <v>2862</v>
      </c>
      <c r="C2315" s="336" t="s">
        <v>800</v>
      </c>
      <c r="D2315" s="336" t="s">
        <v>956</v>
      </c>
      <c r="E2315" s="336" t="s">
        <v>957</v>
      </c>
    </row>
    <row r="2316" spans="1:5" x14ac:dyDescent="0.2">
      <c r="A2316" s="335">
        <v>1001268262</v>
      </c>
      <c r="B2316" s="336" t="s">
        <v>2873</v>
      </c>
      <c r="C2316" s="336" t="s">
        <v>800</v>
      </c>
      <c r="D2316" s="336" t="s">
        <v>956</v>
      </c>
      <c r="E2316" s="336" t="s">
        <v>957</v>
      </c>
    </row>
    <row r="2317" spans="1:5" x14ac:dyDescent="0.2">
      <c r="A2317" s="335">
        <v>1001268311</v>
      </c>
      <c r="B2317" s="336" t="s">
        <v>2874</v>
      </c>
      <c r="C2317" s="336" t="s">
        <v>800</v>
      </c>
      <c r="D2317" s="336" t="s">
        <v>956</v>
      </c>
      <c r="E2317" s="336" t="s">
        <v>957</v>
      </c>
    </row>
    <row r="2318" spans="1:5" x14ac:dyDescent="0.2">
      <c r="A2318" s="335">
        <v>1001268312</v>
      </c>
      <c r="B2318" s="336" t="s">
        <v>2875</v>
      </c>
      <c r="C2318" s="336" t="s">
        <v>800</v>
      </c>
      <c r="D2318" s="336" t="s">
        <v>956</v>
      </c>
      <c r="E2318" s="336" t="s">
        <v>957</v>
      </c>
    </row>
    <row r="2319" spans="1:5" x14ac:dyDescent="0.2">
      <c r="A2319" s="335">
        <v>1001268313</v>
      </c>
      <c r="B2319" s="336" t="s">
        <v>2876</v>
      </c>
      <c r="C2319" s="336" t="s">
        <v>800</v>
      </c>
      <c r="D2319" s="336" t="s">
        <v>956</v>
      </c>
      <c r="E2319" s="336" t="s">
        <v>957</v>
      </c>
    </row>
    <row r="2320" spans="1:5" x14ac:dyDescent="0.2">
      <c r="A2320" s="335">
        <v>1001268333</v>
      </c>
      <c r="B2320" s="336" t="s">
        <v>2877</v>
      </c>
      <c r="C2320" s="336" t="s">
        <v>800</v>
      </c>
      <c r="D2320" s="336" t="s">
        <v>956</v>
      </c>
      <c r="E2320" s="336" t="s">
        <v>957</v>
      </c>
    </row>
    <row r="2321" spans="1:5" x14ac:dyDescent="0.2">
      <c r="A2321" s="335">
        <v>1001268655</v>
      </c>
      <c r="B2321" s="336" t="s">
        <v>2878</v>
      </c>
      <c r="C2321" s="336" t="s">
        <v>800</v>
      </c>
      <c r="D2321" s="336" t="s">
        <v>956</v>
      </c>
      <c r="E2321" s="336" t="s">
        <v>957</v>
      </c>
    </row>
    <row r="2322" spans="1:5" x14ac:dyDescent="0.2">
      <c r="A2322" s="335">
        <v>1001268700</v>
      </c>
      <c r="B2322" s="336" t="s">
        <v>2879</v>
      </c>
      <c r="C2322" s="336" t="s">
        <v>800</v>
      </c>
      <c r="D2322" s="336" t="s">
        <v>956</v>
      </c>
      <c r="E2322" s="336" t="s">
        <v>957</v>
      </c>
    </row>
    <row r="2323" spans="1:5" x14ac:dyDescent="0.2">
      <c r="A2323" s="335">
        <v>1001268710</v>
      </c>
      <c r="B2323" s="336" t="s">
        <v>2880</v>
      </c>
      <c r="C2323" s="336" t="s">
        <v>863</v>
      </c>
      <c r="D2323" s="336" t="s">
        <v>956</v>
      </c>
      <c r="E2323" s="336" t="s">
        <v>957</v>
      </c>
    </row>
    <row r="2324" spans="1:5" x14ac:dyDescent="0.2">
      <c r="A2324" s="335">
        <v>1001268711</v>
      </c>
      <c r="B2324" s="336" t="s">
        <v>2881</v>
      </c>
      <c r="C2324" s="336" t="s">
        <v>800</v>
      </c>
      <c r="D2324" s="336" t="s">
        <v>956</v>
      </c>
      <c r="E2324" s="336" t="s">
        <v>957</v>
      </c>
    </row>
    <row r="2325" spans="1:5" x14ac:dyDescent="0.2">
      <c r="A2325" s="335">
        <v>1001268712</v>
      </c>
      <c r="B2325" s="336" t="s">
        <v>2882</v>
      </c>
      <c r="C2325" s="336" t="s">
        <v>800</v>
      </c>
      <c r="D2325" s="336" t="s">
        <v>956</v>
      </c>
      <c r="E2325" s="336" t="s">
        <v>957</v>
      </c>
    </row>
    <row r="2326" spans="1:5" x14ac:dyDescent="0.2">
      <c r="A2326" s="335">
        <v>1001268815</v>
      </c>
      <c r="B2326" s="336" t="s">
        <v>2883</v>
      </c>
      <c r="C2326" s="336" t="s">
        <v>800</v>
      </c>
      <c r="D2326" s="336" t="s">
        <v>956</v>
      </c>
      <c r="E2326" s="336" t="s">
        <v>957</v>
      </c>
    </row>
    <row r="2327" spans="1:5" x14ac:dyDescent="0.2">
      <c r="A2327" s="335">
        <v>1001268818</v>
      </c>
      <c r="B2327" s="336" t="s">
        <v>2884</v>
      </c>
      <c r="C2327" s="336" t="s">
        <v>800</v>
      </c>
      <c r="D2327" s="336" t="s">
        <v>956</v>
      </c>
      <c r="E2327" s="336" t="s">
        <v>957</v>
      </c>
    </row>
    <row r="2328" spans="1:5" x14ac:dyDescent="0.2">
      <c r="A2328" s="335">
        <v>1001268831</v>
      </c>
      <c r="B2328" s="336" t="s">
        <v>2885</v>
      </c>
      <c r="C2328" s="336" t="s">
        <v>800</v>
      </c>
      <c r="D2328" s="336" t="s">
        <v>956</v>
      </c>
      <c r="E2328" s="336" t="s">
        <v>957</v>
      </c>
    </row>
    <row r="2329" spans="1:5" x14ac:dyDescent="0.2">
      <c r="A2329" s="335">
        <v>1001268832</v>
      </c>
      <c r="B2329" s="336" t="s">
        <v>2886</v>
      </c>
      <c r="C2329" s="336" t="s">
        <v>800</v>
      </c>
      <c r="D2329" s="336" t="s">
        <v>956</v>
      </c>
      <c r="E2329" s="336" t="s">
        <v>957</v>
      </c>
    </row>
    <row r="2330" spans="1:5" x14ac:dyDescent="0.2">
      <c r="A2330" s="335">
        <v>1001268833</v>
      </c>
      <c r="B2330" s="336" t="s">
        <v>1394</v>
      </c>
      <c r="C2330" s="336" t="s">
        <v>863</v>
      </c>
      <c r="D2330" s="336" t="s">
        <v>956</v>
      </c>
      <c r="E2330" s="336" t="s">
        <v>957</v>
      </c>
    </row>
    <row r="2331" spans="1:5" x14ac:dyDescent="0.2">
      <c r="A2331" s="335">
        <v>1001268855</v>
      </c>
      <c r="B2331" s="336" t="s">
        <v>2887</v>
      </c>
      <c r="C2331" s="336" t="s">
        <v>863</v>
      </c>
      <c r="D2331" s="336" t="s">
        <v>956</v>
      </c>
      <c r="E2331" s="336" t="s">
        <v>957</v>
      </c>
    </row>
    <row r="2332" spans="1:5" x14ac:dyDescent="0.2">
      <c r="A2332" s="335">
        <v>1001268959</v>
      </c>
      <c r="B2332" s="336" t="s">
        <v>2888</v>
      </c>
      <c r="C2332" s="336" t="s">
        <v>800</v>
      </c>
      <c r="D2332" s="336" t="s">
        <v>956</v>
      </c>
      <c r="E2332" s="336" t="s">
        <v>957</v>
      </c>
    </row>
    <row r="2333" spans="1:5" x14ac:dyDescent="0.2">
      <c r="A2333" s="335">
        <v>1001269102</v>
      </c>
      <c r="B2333" s="336" t="s">
        <v>2141</v>
      </c>
      <c r="C2333" s="336" t="s">
        <v>800</v>
      </c>
      <c r="D2333" s="336" t="s">
        <v>956</v>
      </c>
      <c r="E2333" s="336" t="s">
        <v>957</v>
      </c>
    </row>
    <row r="2334" spans="1:5" x14ac:dyDescent="0.2">
      <c r="A2334" s="335">
        <v>1001269103</v>
      </c>
      <c r="B2334" s="336" t="s">
        <v>873</v>
      </c>
      <c r="C2334" s="336" t="s">
        <v>800</v>
      </c>
      <c r="D2334" s="336" t="s">
        <v>956</v>
      </c>
      <c r="E2334" s="336" t="s">
        <v>957</v>
      </c>
    </row>
    <row r="2335" spans="1:5" x14ac:dyDescent="0.2">
      <c r="A2335" s="335">
        <v>1001269104</v>
      </c>
      <c r="B2335" s="336" t="s">
        <v>2142</v>
      </c>
      <c r="C2335" s="336" t="s">
        <v>800</v>
      </c>
      <c r="D2335" s="336" t="s">
        <v>956</v>
      </c>
      <c r="E2335" s="336" t="s">
        <v>957</v>
      </c>
    </row>
    <row r="2336" spans="1:5" x14ac:dyDescent="0.2">
      <c r="A2336" s="335">
        <v>1001269105</v>
      </c>
      <c r="B2336" s="336" t="s">
        <v>872</v>
      </c>
      <c r="C2336" s="336" t="s">
        <v>800</v>
      </c>
      <c r="D2336" s="336" t="s">
        <v>956</v>
      </c>
      <c r="E2336" s="336" t="s">
        <v>957</v>
      </c>
    </row>
    <row r="2337" spans="1:5" x14ac:dyDescent="0.2">
      <c r="A2337" s="335">
        <v>1001269398</v>
      </c>
      <c r="B2337" s="336" t="s">
        <v>2889</v>
      </c>
      <c r="C2337" s="336" t="s">
        <v>800</v>
      </c>
      <c r="D2337" s="336" t="s">
        <v>956</v>
      </c>
      <c r="E2337" s="336" t="s">
        <v>957</v>
      </c>
    </row>
    <row r="2338" spans="1:5" x14ac:dyDescent="0.2">
      <c r="A2338" s="335">
        <v>1001269427</v>
      </c>
      <c r="B2338" s="336" t="s">
        <v>2890</v>
      </c>
      <c r="C2338" s="336" t="s">
        <v>800</v>
      </c>
      <c r="D2338" s="336" t="s">
        <v>956</v>
      </c>
      <c r="E2338" s="336" t="s">
        <v>957</v>
      </c>
    </row>
    <row r="2339" spans="1:5" x14ac:dyDescent="0.2">
      <c r="A2339" s="335">
        <v>1001269441</v>
      </c>
      <c r="B2339" s="336" t="s">
        <v>2891</v>
      </c>
      <c r="C2339" s="336" t="s">
        <v>800</v>
      </c>
      <c r="D2339" s="336" t="s">
        <v>956</v>
      </c>
      <c r="E2339" s="336" t="s">
        <v>957</v>
      </c>
    </row>
    <row r="2340" spans="1:5" x14ac:dyDescent="0.2">
      <c r="A2340" s="335">
        <v>1001269443</v>
      </c>
      <c r="B2340" s="336" t="s">
        <v>2892</v>
      </c>
      <c r="C2340" s="336" t="s">
        <v>800</v>
      </c>
      <c r="D2340" s="336" t="s">
        <v>956</v>
      </c>
      <c r="E2340" s="336" t="s">
        <v>957</v>
      </c>
    </row>
    <row r="2341" spans="1:5" x14ac:dyDescent="0.2">
      <c r="A2341" s="335">
        <v>1001269643</v>
      </c>
      <c r="B2341" s="336" t="s">
        <v>2893</v>
      </c>
      <c r="C2341" s="336" t="s">
        <v>800</v>
      </c>
      <c r="D2341" s="336" t="s">
        <v>956</v>
      </c>
      <c r="E2341" s="336" t="s">
        <v>957</v>
      </c>
    </row>
    <row r="2342" spans="1:5" x14ac:dyDescent="0.2">
      <c r="A2342" s="335">
        <v>1001269685</v>
      </c>
      <c r="B2342" s="336" t="s">
        <v>2894</v>
      </c>
      <c r="C2342" s="336" t="s">
        <v>800</v>
      </c>
      <c r="D2342" s="336" t="s">
        <v>956</v>
      </c>
      <c r="E2342" s="336" t="s">
        <v>957</v>
      </c>
    </row>
    <row r="2343" spans="1:5" x14ac:dyDescent="0.2">
      <c r="A2343" s="335">
        <v>1001269713</v>
      </c>
      <c r="B2343" s="336" t="s">
        <v>2895</v>
      </c>
      <c r="C2343" s="336" t="s">
        <v>800</v>
      </c>
      <c r="D2343" s="336" t="s">
        <v>956</v>
      </c>
      <c r="E2343" s="336" t="s">
        <v>957</v>
      </c>
    </row>
    <row r="2344" spans="1:5" x14ac:dyDescent="0.2">
      <c r="A2344" s="335">
        <v>1001270032</v>
      </c>
      <c r="B2344" s="336" t="s">
        <v>2896</v>
      </c>
      <c r="C2344" s="336" t="s">
        <v>1097</v>
      </c>
      <c r="D2344" s="336" t="s">
        <v>956</v>
      </c>
      <c r="E2344" s="336" t="s">
        <v>957</v>
      </c>
    </row>
    <row r="2345" spans="1:5" x14ac:dyDescent="0.2">
      <c r="A2345" s="335">
        <v>1001270080</v>
      </c>
      <c r="B2345" s="336" t="s">
        <v>2897</v>
      </c>
      <c r="C2345" s="336" t="s">
        <v>1097</v>
      </c>
      <c r="D2345" s="336" t="s">
        <v>956</v>
      </c>
      <c r="E2345" s="336" t="s">
        <v>957</v>
      </c>
    </row>
    <row r="2346" spans="1:5" x14ac:dyDescent="0.2">
      <c r="A2346" s="335">
        <v>1001270523</v>
      </c>
      <c r="B2346" s="336" t="s">
        <v>2898</v>
      </c>
      <c r="C2346" s="336" t="s">
        <v>800</v>
      </c>
      <c r="D2346" s="336" t="s">
        <v>956</v>
      </c>
      <c r="E2346" s="336" t="s">
        <v>957</v>
      </c>
    </row>
    <row r="2347" spans="1:5" x14ac:dyDescent="0.2">
      <c r="A2347" s="335">
        <v>1001271277</v>
      </c>
      <c r="B2347" s="336" t="s">
        <v>2899</v>
      </c>
      <c r="C2347" s="336" t="s">
        <v>800</v>
      </c>
      <c r="D2347" s="336" t="s">
        <v>956</v>
      </c>
      <c r="E2347" s="336" t="s">
        <v>957</v>
      </c>
    </row>
    <row r="2348" spans="1:5" x14ac:dyDescent="0.2">
      <c r="A2348" s="335">
        <v>1001271353</v>
      </c>
      <c r="B2348" s="336" t="s">
        <v>811</v>
      </c>
      <c r="C2348" s="336" t="s">
        <v>800</v>
      </c>
      <c r="D2348" s="336" t="s">
        <v>956</v>
      </c>
      <c r="E2348" s="336" t="s">
        <v>957</v>
      </c>
    </row>
    <row r="2349" spans="1:5" x14ac:dyDescent="0.2">
      <c r="A2349" s="335">
        <v>1001271384</v>
      </c>
      <c r="B2349" s="336" t="s">
        <v>2900</v>
      </c>
      <c r="C2349" s="336" t="s">
        <v>800</v>
      </c>
      <c r="D2349" s="336" t="s">
        <v>956</v>
      </c>
      <c r="E2349" s="336" t="s">
        <v>957</v>
      </c>
    </row>
    <row r="2350" spans="1:5" x14ac:dyDescent="0.2">
      <c r="A2350" s="335">
        <v>1001271672</v>
      </c>
      <c r="B2350" s="336" t="s">
        <v>2025</v>
      </c>
      <c r="C2350" s="336" t="s">
        <v>800</v>
      </c>
      <c r="D2350" s="336" t="s">
        <v>956</v>
      </c>
      <c r="E2350" s="336" t="s">
        <v>957</v>
      </c>
    </row>
    <row r="2351" spans="1:5" x14ac:dyDescent="0.2">
      <c r="A2351" s="335">
        <v>1001271673</v>
      </c>
      <c r="B2351" s="336" t="s">
        <v>2901</v>
      </c>
      <c r="C2351" s="336" t="s">
        <v>800</v>
      </c>
      <c r="D2351" s="336" t="s">
        <v>956</v>
      </c>
      <c r="E2351" s="336" t="s">
        <v>957</v>
      </c>
    </row>
    <row r="2352" spans="1:5" x14ac:dyDescent="0.2">
      <c r="A2352" s="335">
        <v>1001271930</v>
      </c>
      <c r="B2352" s="336" t="s">
        <v>2902</v>
      </c>
      <c r="C2352" s="336" t="s">
        <v>800</v>
      </c>
      <c r="D2352" s="336" t="s">
        <v>956</v>
      </c>
      <c r="E2352" s="336" t="s">
        <v>957</v>
      </c>
    </row>
    <row r="2353" spans="1:5" x14ac:dyDescent="0.2">
      <c r="A2353" s="335">
        <v>1001272217</v>
      </c>
      <c r="B2353" s="336" t="s">
        <v>2903</v>
      </c>
      <c r="C2353" s="336" t="s">
        <v>800</v>
      </c>
      <c r="D2353" s="336" t="s">
        <v>956</v>
      </c>
      <c r="E2353" s="336" t="s">
        <v>957</v>
      </c>
    </row>
    <row r="2354" spans="1:5" x14ac:dyDescent="0.2">
      <c r="A2354" s="335">
        <v>1001272278</v>
      </c>
      <c r="B2354" s="336" t="s">
        <v>2904</v>
      </c>
      <c r="C2354" s="336" t="s">
        <v>800</v>
      </c>
      <c r="D2354" s="336" t="s">
        <v>956</v>
      </c>
      <c r="E2354" s="336" t="s">
        <v>957</v>
      </c>
    </row>
    <row r="2355" spans="1:5" x14ac:dyDescent="0.2">
      <c r="A2355" s="335">
        <v>1001272279</v>
      </c>
      <c r="B2355" s="336" t="s">
        <v>2901</v>
      </c>
      <c r="C2355" s="336" t="s">
        <v>1097</v>
      </c>
      <c r="D2355" s="336" t="s">
        <v>956</v>
      </c>
      <c r="E2355" s="336" t="s">
        <v>957</v>
      </c>
    </row>
    <row r="2356" spans="1:5" x14ac:dyDescent="0.2">
      <c r="A2356" s="335">
        <v>1001272542</v>
      </c>
      <c r="B2356" s="336" t="s">
        <v>2863</v>
      </c>
      <c r="C2356" s="336" t="s">
        <v>800</v>
      </c>
      <c r="D2356" s="336" t="s">
        <v>956</v>
      </c>
      <c r="E2356" s="336" t="s">
        <v>957</v>
      </c>
    </row>
    <row r="2357" spans="1:5" x14ac:dyDescent="0.2">
      <c r="A2357" s="335">
        <v>1001272581</v>
      </c>
      <c r="B2357" s="336" t="s">
        <v>2905</v>
      </c>
      <c r="C2357" s="336" t="s">
        <v>800</v>
      </c>
      <c r="D2357" s="336" t="s">
        <v>956</v>
      </c>
      <c r="E2357" s="336" t="s">
        <v>957</v>
      </c>
    </row>
    <row r="2358" spans="1:5" x14ac:dyDescent="0.2">
      <c r="A2358" s="335">
        <v>1001272588</v>
      </c>
      <c r="B2358" s="336" t="s">
        <v>2906</v>
      </c>
      <c r="C2358" s="336" t="s">
        <v>800</v>
      </c>
      <c r="D2358" s="336" t="s">
        <v>956</v>
      </c>
      <c r="E2358" s="336" t="s">
        <v>957</v>
      </c>
    </row>
    <row r="2359" spans="1:5" x14ac:dyDescent="0.2">
      <c r="A2359" s="335">
        <v>1001273184</v>
      </c>
      <c r="B2359" s="336" t="s">
        <v>2907</v>
      </c>
      <c r="C2359" s="336" t="s">
        <v>800</v>
      </c>
      <c r="D2359" s="336" t="s">
        <v>956</v>
      </c>
      <c r="E2359" s="336" t="s">
        <v>957</v>
      </c>
    </row>
    <row r="2360" spans="1:5" x14ac:dyDescent="0.2">
      <c r="A2360" s="335">
        <v>1001273313</v>
      </c>
      <c r="B2360" s="336" t="s">
        <v>2862</v>
      </c>
      <c r="C2360" s="336" t="s">
        <v>800</v>
      </c>
      <c r="D2360" s="336" t="s">
        <v>956</v>
      </c>
      <c r="E2360" s="336" t="s">
        <v>957</v>
      </c>
    </row>
    <row r="2361" spans="1:5" x14ac:dyDescent="0.2">
      <c r="A2361" s="335">
        <v>1001273317</v>
      </c>
      <c r="B2361" s="336" t="s">
        <v>1920</v>
      </c>
      <c r="C2361" s="336" t="s">
        <v>800</v>
      </c>
      <c r="D2361" s="336" t="s">
        <v>956</v>
      </c>
      <c r="E2361" s="336" t="s">
        <v>957</v>
      </c>
    </row>
    <row r="2362" spans="1:5" x14ac:dyDescent="0.2">
      <c r="A2362" s="335">
        <v>1001273354</v>
      </c>
      <c r="B2362" s="336" t="s">
        <v>2908</v>
      </c>
      <c r="C2362" s="336" t="s">
        <v>800</v>
      </c>
      <c r="D2362" s="336" t="s">
        <v>956</v>
      </c>
      <c r="E2362" s="336" t="s">
        <v>957</v>
      </c>
    </row>
    <row r="2363" spans="1:5" x14ac:dyDescent="0.2">
      <c r="A2363" s="335">
        <v>1001273355</v>
      </c>
      <c r="B2363" s="336" t="s">
        <v>2909</v>
      </c>
      <c r="C2363" s="336" t="s">
        <v>1097</v>
      </c>
      <c r="D2363" s="336" t="s">
        <v>956</v>
      </c>
      <c r="E2363" s="336" t="s">
        <v>957</v>
      </c>
    </row>
    <row r="2364" spans="1:5" x14ac:dyDescent="0.2">
      <c r="A2364" s="335">
        <v>1001273379</v>
      </c>
      <c r="B2364" s="336" t="s">
        <v>2910</v>
      </c>
      <c r="C2364" s="336" t="s">
        <v>800</v>
      </c>
      <c r="D2364" s="336" t="s">
        <v>956</v>
      </c>
      <c r="E2364" s="336" t="s">
        <v>957</v>
      </c>
    </row>
    <row r="2365" spans="1:5" x14ac:dyDescent="0.2">
      <c r="A2365" s="335">
        <v>1001273491</v>
      </c>
      <c r="B2365" s="336" t="s">
        <v>2911</v>
      </c>
      <c r="C2365" s="336" t="s">
        <v>800</v>
      </c>
      <c r="D2365" s="336" t="s">
        <v>956</v>
      </c>
      <c r="E2365" s="336" t="s">
        <v>957</v>
      </c>
    </row>
    <row r="2366" spans="1:5" x14ac:dyDescent="0.2">
      <c r="A2366" s="335">
        <v>1001273517</v>
      </c>
      <c r="B2366" s="336" t="s">
        <v>1919</v>
      </c>
      <c r="C2366" s="336" t="s">
        <v>800</v>
      </c>
      <c r="D2366" s="336" t="s">
        <v>956</v>
      </c>
      <c r="E2366" s="336" t="s">
        <v>957</v>
      </c>
    </row>
    <row r="2367" spans="1:5" x14ac:dyDescent="0.2">
      <c r="A2367" s="335">
        <v>1001273977</v>
      </c>
      <c r="B2367" s="336" t="s">
        <v>2912</v>
      </c>
      <c r="C2367" s="336" t="s">
        <v>800</v>
      </c>
      <c r="D2367" s="336" t="s">
        <v>956</v>
      </c>
      <c r="E2367" s="336" t="s">
        <v>957</v>
      </c>
    </row>
    <row r="2368" spans="1:5" x14ac:dyDescent="0.2">
      <c r="A2368" s="335">
        <v>1001274040</v>
      </c>
      <c r="B2368" s="336" t="s">
        <v>2862</v>
      </c>
      <c r="C2368" s="336" t="s">
        <v>1097</v>
      </c>
      <c r="D2368" s="336" t="s">
        <v>956</v>
      </c>
      <c r="E2368" s="336" t="s">
        <v>957</v>
      </c>
    </row>
    <row r="2369" spans="1:5" x14ac:dyDescent="0.2">
      <c r="A2369" s="335">
        <v>1001274209</v>
      </c>
      <c r="B2369" s="336" t="s">
        <v>2862</v>
      </c>
      <c r="C2369" s="336" t="s">
        <v>813</v>
      </c>
      <c r="D2369" s="336" t="s">
        <v>956</v>
      </c>
      <c r="E2369" s="336" t="s">
        <v>957</v>
      </c>
    </row>
    <row r="2370" spans="1:5" x14ac:dyDescent="0.2">
      <c r="A2370" s="335">
        <v>1001274211</v>
      </c>
      <c r="B2370" s="336" t="s">
        <v>2862</v>
      </c>
      <c r="C2370" s="336" t="s">
        <v>863</v>
      </c>
      <c r="D2370" s="336" t="s">
        <v>956</v>
      </c>
      <c r="E2370" s="336" t="s">
        <v>957</v>
      </c>
    </row>
    <row r="2371" spans="1:5" x14ac:dyDescent="0.2">
      <c r="A2371" s="335">
        <v>1001274608</v>
      </c>
      <c r="B2371" s="336" t="s">
        <v>2913</v>
      </c>
      <c r="C2371" s="336" t="s">
        <v>800</v>
      </c>
      <c r="D2371" s="336" t="s">
        <v>956</v>
      </c>
      <c r="E2371" s="336" t="s">
        <v>957</v>
      </c>
    </row>
    <row r="2372" spans="1:5" x14ac:dyDescent="0.2">
      <c r="A2372" s="335">
        <v>1001274937</v>
      </c>
      <c r="B2372" s="336" t="s">
        <v>2042</v>
      </c>
      <c r="C2372" s="336" t="s">
        <v>800</v>
      </c>
      <c r="D2372" s="336" t="s">
        <v>956</v>
      </c>
      <c r="E2372" s="336" t="s">
        <v>957</v>
      </c>
    </row>
    <row r="2373" spans="1:5" x14ac:dyDescent="0.2">
      <c r="A2373" s="335">
        <v>1001274938</v>
      </c>
      <c r="B2373" s="336" t="s">
        <v>879</v>
      </c>
      <c r="C2373" s="336" t="s">
        <v>800</v>
      </c>
      <c r="D2373" s="336" t="s">
        <v>956</v>
      </c>
      <c r="E2373" s="336" t="s">
        <v>957</v>
      </c>
    </row>
    <row r="2374" spans="1:5" x14ac:dyDescent="0.2">
      <c r="A2374" s="335">
        <v>1001274986</v>
      </c>
      <c r="B2374" s="336" t="s">
        <v>2914</v>
      </c>
      <c r="C2374" s="336" t="s">
        <v>800</v>
      </c>
      <c r="D2374" s="336" t="s">
        <v>956</v>
      </c>
      <c r="E2374" s="336" t="s">
        <v>957</v>
      </c>
    </row>
    <row r="2375" spans="1:5" x14ac:dyDescent="0.2">
      <c r="A2375" s="335">
        <v>1001275034</v>
      </c>
      <c r="B2375" s="336" t="s">
        <v>2863</v>
      </c>
      <c r="C2375" s="336" t="s">
        <v>800</v>
      </c>
      <c r="D2375" s="336" t="s">
        <v>956</v>
      </c>
      <c r="E2375" s="336" t="s">
        <v>957</v>
      </c>
    </row>
    <row r="2376" spans="1:5" x14ac:dyDescent="0.2">
      <c r="A2376" s="335">
        <v>1001275108</v>
      </c>
      <c r="B2376" s="336" t="s">
        <v>2915</v>
      </c>
      <c r="C2376" s="336" t="s">
        <v>800</v>
      </c>
      <c r="D2376" s="336" t="s">
        <v>956</v>
      </c>
      <c r="E2376" s="336" t="s">
        <v>957</v>
      </c>
    </row>
    <row r="2377" spans="1:5" x14ac:dyDescent="0.2">
      <c r="A2377" s="335">
        <v>1001275122</v>
      </c>
      <c r="B2377" s="336" t="s">
        <v>2916</v>
      </c>
      <c r="C2377" s="336" t="s">
        <v>800</v>
      </c>
      <c r="D2377" s="336" t="s">
        <v>956</v>
      </c>
      <c r="E2377" s="336" t="s">
        <v>957</v>
      </c>
    </row>
    <row r="2378" spans="1:5" x14ac:dyDescent="0.2">
      <c r="A2378" s="335">
        <v>1001275478</v>
      </c>
      <c r="B2378" s="336" t="s">
        <v>2861</v>
      </c>
      <c r="C2378" s="336" t="s">
        <v>797</v>
      </c>
      <c r="D2378" s="336" t="s">
        <v>956</v>
      </c>
      <c r="E2378" s="336" t="s">
        <v>957</v>
      </c>
    </row>
    <row r="2379" spans="1:5" x14ac:dyDescent="0.2">
      <c r="A2379" s="335">
        <v>1001275875</v>
      </c>
      <c r="B2379" s="336" t="s">
        <v>2917</v>
      </c>
      <c r="C2379" s="336" t="s">
        <v>800</v>
      </c>
      <c r="D2379" s="336" t="s">
        <v>956</v>
      </c>
      <c r="E2379" s="336" t="s">
        <v>957</v>
      </c>
    </row>
    <row r="2380" spans="1:5" x14ac:dyDescent="0.2">
      <c r="A2380" s="335">
        <v>1001275937</v>
      </c>
      <c r="B2380" s="336" t="s">
        <v>2918</v>
      </c>
      <c r="C2380" s="336" t="s">
        <v>800</v>
      </c>
      <c r="D2380" s="336" t="s">
        <v>956</v>
      </c>
      <c r="E2380" s="336" t="s">
        <v>957</v>
      </c>
    </row>
    <row r="2381" spans="1:5" x14ac:dyDescent="0.2">
      <c r="A2381" s="335">
        <v>1001276322</v>
      </c>
      <c r="B2381" s="336" t="s">
        <v>2919</v>
      </c>
      <c r="C2381" s="336" t="s">
        <v>800</v>
      </c>
      <c r="D2381" s="336" t="s">
        <v>956</v>
      </c>
      <c r="E2381" s="336" t="s">
        <v>957</v>
      </c>
    </row>
    <row r="2382" spans="1:5" x14ac:dyDescent="0.2">
      <c r="A2382" s="335">
        <v>1001276694</v>
      </c>
      <c r="B2382" s="336" t="s">
        <v>2920</v>
      </c>
      <c r="C2382" s="336" t="s">
        <v>863</v>
      </c>
      <c r="D2382" s="336" t="s">
        <v>956</v>
      </c>
      <c r="E2382" s="336" t="s">
        <v>957</v>
      </c>
    </row>
    <row r="2383" spans="1:5" x14ac:dyDescent="0.2">
      <c r="A2383" s="335">
        <v>1001276695</v>
      </c>
      <c r="B2383" s="336" t="s">
        <v>2921</v>
      </c>
      <c r="C2383" s="336" t="s">
        <v>800</v>
      </c>
      <c r="D2383" s="336" t="s">
        <v>956</v>
      </c>
      <c r="E2383" s="336" t="s">
        <v>957</v>
      </c>
    </row>
    <row r="2384" spans="1:5" x14ac:dyDescent="0.2">
      <c r="A2384" s="335">
        <v>1001276697</v>
      </c>
      <c r="B2384" s="336" t="s">
        <v>2922</v>
      </c>
      <c r="C2384" s="336" t="s">
        <v>800</v>
      </c>
      <c r="D2384" s="336" t="s">
        <v>956</v>
      </c>
      <c r="E2384" s="336" t="s">
        <v>957</v>
      </c>
    </row>
    <row r="2385" spans="1:5" x14ac:dyDescent="0.2">
      <c r="A2385" s="335">
        <v>1001276771</v>
      </c>
      <c r="B2385" s="336" t="s">
        <v>2923</v>
      </c>
      <c r="C2385" s="336" t="s">
        <v>800</v>
      </c>
      <c r="D2385" s="336" t="s">
        <v>956</v>
      </c>
      <c r="E2385" s="336" t="s">
        <v>957</v>
      </c>
    </row>
    <row r="2386" spans="1:5" x14ac:dyDescent="0.2">
      <c r="A2386" s="335">
        <v>1001276772</v>
      </c>
      <c r="B2386" s="336" t="s">
        <v>2924</v>
      </c>
      <c r="C2386" s="336" t="s">
        <v>800</v>
      </c>
      <c r="D2386" s="336" t="s">
        <v>956</v>
      </c>
      <c r="E2386" s="336" t="s">
        <v>957</v>
      </c>
    </row>
    <row r="2387" spans="1:5" x14ac:dyDescent="0.2">
      <c r="A2387" s="335">
        <v>1001276773</v>
      </c>
      <c r="B2387" s="336" t="s">
        <v>2925</v>
      </c>
      <c r="C2387" s="336" t="s">
        <v>863</v>
      </c>
      <c r="D2387" s="336" t="s">
        <v>956</v>
      </c>
      <c r="E2387" s="336" t="s">
        <v>957</v>
      </c>
    </row>
    <row r="2388" spans="1:5" x14ac:dyDescent="0.2">
      <c r="A2388" s="335">
        <v>1001276954</v>
      </c>
      <c r="B2388" s="336" t="s">
        <v>2926</v>
      </c>
      <c r="C2388" s="336" t="s">
        <v>800</v>
      </c>
      <c r="D2388" s="336" t="s">
        <v>956</v>
      </c>
      <c r="E2388" s="336" t="s">
        <v>957</v>
      </c>
    </row>
    <row r="2389" spans="1:5" x14ac:dyDescent="0.2">
      <c r="A2389" s="335">
        <v>1001277205</v>
      </c>
      <c r="B2389" s="336" t="s">
        <v>895</v>
      </c>
      <c r="C2389" s="336" t="s">
        <v>800</v>
      </c>
      <c r="D2389" s="336" t="s">
        <v>956</v>
      </c>
      <c r="E2389" s="336" t="s">
        <v>957</v>
      </c>
    </row>
    <row r="2390" spans="1:5" x14ac:dyDescent="0.2">
      <c r="A2390" s="335">
        <v>1001277337</v>
      </c>
      <c r="B2390" s="336" t="s">
        <v>2927</v>
      </c>
      <c r="C2390" s="336" t="s">
        <v>800</v>
      </c>
      <c r="D2390" s="336" t="s">
        <v>956</v>
      </c>
      <c r="E2390" s="336" t="s">
        <v>957</v>
      </c>
    </row>
    <row r="2391" spans="1:5" x14ac:dyDescent="0.2">
      <c r="A2391" s="335">
        <v>1001277338</v>
      </c>
      <c r="B2391" s="336" t="s">
        <v>2928</v>
      </c>
      <c r="C2391" s="336" t="s">
        <v>1097</v>
      </c>
      <c r="D2391" s="336" t="s">
        <v>956</v>
      </c>
      <c r="E2391" s="336" t="s">
        <v>957</v>
      </c>
    </row>
    <row r="2392" spans="1:5" x14ac:dyDescent="0.2">
      <c r="A2392" s="335">
        <v>1001277387</v>
      </c>
      <c r="B2392" s="336" t="s">
        <v>2929</v>
      </c>
      <c r="C2392" s="336" t="s">
        <v>800</v>
      </c>
      <c r="D2392" s="336" t="s">
        <v>956</v>
      </c>
      <c r="E2392" s="336" t="s">
        <v>957</v>
      </c>
    </row>
    <row r="2393" spans="1:5" x14ac:dyDescent="0.2">
      <c r="A2393" s="335">
        <v>1001277537</v>
      </c>
      <c r="B2393" s="336" t="s">
        <v>2930</v>
      </c>
      <c r="C2393" s="336" t="s">
        <v>800</v>
      </c>
      <c r="D2393" s="336" t="s">
        <v>956</v>
      </c>
      <c r="E2393" s="336" t="s">
        <v>957</v>
      </c>
    </row>
    <row r="2394" spans="1:5" x14ac:dyDescent="0.2">
      <c r="A2394" s="335">
        <v>1001277539</v>
      </c>
      <c r="B2394" s="336" t="s">
        <v>2931</v>
      </c>
      <c r="C2394" s="336" t="s">
        <v>800</v>
      </c>
      <c r="D2394" s="336" t="s">
        <v>956</v>
      </c>
      <c r="E2394" s="336" t="s">
        <v>957</v>
      </c>
    </row>
    <row r="2395" spans="1:5" x14ac:dyDescent="0.2">
      <c r="A2395" s="335">
        <v>1001277934</v>
      </c>
      <c r="B2395" s="336" t="s">
        <v>2932</v>
      </c>
      <c r="C2395" s="336" t="s">
        <v>863</v>
      </c>
      <c r="D2395" s="336" t="s">
        <v>956</v>
      </c>
      <c r="E2395" s="336" t="s">
        <v>957</v>
      </c>
    </row>
    <row r="2396" spans="1:5" x14ac:dyDescent="0.2">
      <c r="A2396" s="335">
        <v>1001278047</v>
      </c>
      <c r="B2396" s="336" t="s">
        <v>2933</v>
      </c>
      <c r="C2396" s="336" t="s">
        <v>800</v>
      </c>
      <c r="D2396" s="336" t="s">
        <v>956</v>
      </c>
      <c r="E2396" s="336" t="s">
        <v>957</v>
      </c>
    </row>
    <row r="2397" spans="1:5" x14ac:dyDescent="0.2">
      <c r="A2397" s="335">
        <v>1001278248</v>
      </c>
      <c r="B2397" s="336" t="s">
        <v>2934</v>
      </c>
      <c r="C2397" s="336" t="s">
        <v>1097</v>
      </c>
      <c r="D2397" s="336" t="s">
        <v>956</v>
      </c>
      <c r="E2397" s="336" t="s">
        <v>957</v>
      </c>
    </row>
    <row r="2398" spans="1:5" x14ac:dyDescent="0.2">
      <c r="A2398" s="335">
        <v>1001278264</v>
      </c>
      <c r="B2398" s="336" t="s">
        <v>811</v>
      </c>
      <c r="C2398" s="336" t="s">
        <v>800</v>
      </c>
      <c r="D2398" s="336" t="s">
        <v>956</v>
      </c>
      <c r="E2398" s="336" t="s">
        <v>957</v>
      </c>
    </row>
    <row r="2399" spans="1:5" x14ac:dyDescent="0.2">
      <c r="A2399" s="335">
        <v>1001278625</v>
      </c>
      <c r="B2399" s="336" t="s">
        <v>2935</v>
      </c>
      <c r="C2399" s="336" t="s">
        <v>800</v>
      </c>
      <c r="D2399" s="336" t="s">
        <v>956</v>
      </c>
      <c r="E2399" s="336" t="s">
        <v>957</v>
      </c>
    </row>
    <row r="2400" spans="1:5" x14ac:dyDescent="0.2">
      <c r="A2400" s="335">
        <v>1001278695</v>
      </c>
      <c r="B2400" s="336" t="s">
        <v>2936</v>
      </c>
      <c r="C2400" s="336" t="s">
        <v>800</v>
      </c>
      <c r="D2400" s="336" t="s">
        <v>956</v>
      </c>
      <c r="E2400" s="336" t="s">
        <v>957</v>
      </c>
    </row>
    <row r="2401" spans="1:5" x14ac:dyDescent="0.2">
      <c r="A2401" s="335">
        <v>1001278758</v>
      </c>
      <c r="B2401" s="336" t="s">
        <v>2937</v>
      </c>
      <c r="C2401" s="336" t="s">
        <v>800</v>
      </c>
      <c r="D2401" s="336" t="s">
        <v>956</v>
      </c>
      <c r="E2401" s="336" t="s">
        <v>957</v>
      </c>
    </row>
    <row r="2402" spans="1:5" x14ac:dyDescent="0.2">
      <c r="A2402" s="335">
        <v>1001279137</v>
      </c>
      <c r="B2402" s="336" t="s">
        <v>2938</v>
      </c>
      <c r="C2402" s="336" t="s">
        <v>1097</v>
      </c>
      <c r="D2402" s="336" t="s">
        <v>956</v>
      </c>
      <c r="E2402" s="336" t="s">
        <v>957</v>
      </c>
    </row>
    <row r="2403" spans="1:5" x14ac:dyDescent="0.2">
      <c r="A2403" s="335">
        <v>1001279375</v>
      </c>
      <c r="B2403" s="336" t="s">
        <v>2939</v>
      </c>
      <c r="C2403" s="336" t="s">
        <v>800</v>
      </c>
      <c r="D2403" s="336" t="s">
        <v>956</v>
      </c>
      <c r="E2403" s="336" t="s">
        <v>957</v>
      </c>
    </row>
    <row r="2404" spans="1:5" x14ac:dyDescent="0.2">
      <c r="A2404" s="335">
        <v>1001279430</v>
      </c>
      <c r="B2404" s="336" t="s">
        <v>2940</v>
      </c>
      <c r="C2404" s="336" t="s">
        <v>800</v>
      </c>
      <c r="D2404" s="336" t="s">
        <v>956</v>
      </c>
      <c r="E2404" s="336" t="s">
        <v>957</v>
      </c>
    </row>
    <row r="2405" spans="1:5" x14ac:dyDescent="0.2">
      <c r="A2405" s="335">
        <v>1001280344</v>
      </c>
      <c r="B2405" s="336" t="s">
        <v>2941</v>
      </c>
      <c r="C2405" s="336" t="s">
        <v>800</v>
      </c>
      <c r="D2405" s="336" t="s">
        <v>956</v>
      </c>
      <c r="E2405" s="336" t="s">
        <v>957</v>
      </c>
    </row>
    <row r="2406" spans="1:5" x14ac:dyDescent="0.2">
      <c r="A2406" s="335">
        <v>1001280509</v>
      </c>
      <c r="B2406" s="336" t="s">
        <v>2942</v>
      </c>
      <c r="C2406" s="336" t="s">
        <v>800</v>
      </c>
      <c r="D2406" s="336" t="s">
        <v>956</v>
      </c>
      <c r="E2406" s="336" t="s">
        <v>957</v>
      </c>
    </row>
    <row r="2407" spans="1:5" x14ac:dyDescent="0.2">
      <c r="A2407" s="335">
        <v>1001280516</v>
      </c>
      <c r="B2407" s="336" t="s">
        <v>2943</v>
      </c>
      <c r="C2407" s="336" t="s">
        <v>800</v>
      </c>
      <c r="D2407" s="336" t="s">
        <v>956</v>
      </c>
      <c r="E2407" s="336" t="s">
        <v>957</v>
      </c>
    </row>
    <row r="2408" spans="1:5" x14ac:dyDescent="0.2">
      <c r="A2408" s="335">
        <v>1001280519</v>
      </c>
      <c r="B2408" s="336" t="s">
        <v>2944</v>
      </c>
      <c r="C2408" s="336" t="s">
        <v>800</v>
      </c>
      <c r="D2408" s="336" t="s">
        <v>956</v>
      </c>
      <c r="E2408" s="336" t="s">
        <v>957</v>
      </c>
    </row>
    <row r="2409" spans="1:5" x14ac:dyDescent="0.2">
      <c r="A2409" s="335">
        <v>1001280538</v>
      </c>
      <c r="B2409" s="336" t="s">
        <v>2945</v>
      </c>
      <c r="C2409" s="336" t="s">
        <v>800</v>
      </c>
      <c r="D2409" s="336" t="s">
        <v>956</v>
      </c>
      <c r="E2409" s="336" t="s">
        <v>957</v>
      </c>
    </row>
    <row r="2410" spans="1:5" x14ac:dyDescent="0.2">
      <c r="A2410" s="335">
        <v>1001280622</v>
      </c>
      <c r="B2410" s="336" t="s">
        <v>2859</v>
      </c>
      <c r="C2410" s="336" t="s">
        <v>1097</v>
      </c>
      <c r="D2410" s="336" t="s">
        <v>956</v>
      </c>
      <c r="E2410" s="336" t="s">
        <v>957</v>
      </c>
    </row>
    <row r="2411" spans="1:5" x14ac:dyDescent="0.2">
      <c r="A2411" s="335">
        <v>1001280685</v>
      </c>
      <c r="B2411" s="336" t="s">
        <v>2863</v>
      </c>
      <c r="C2411" s="336" t="s">
        <v>800</v>
      </c>
      <c r="D2411" s="336" t="s">
        <v>956</v>
      </c>
      <c r="E2411" s="336" t="s">
        <v>957</v>
      </c>
    </row>
    <row r="2412" spans="1:5" x14ac:dyDescent="0.2">
      <c r="A2412" s="335">
        <v>1001288840</v>
      </c>
      <c r="B2412" s="336" t="s">
        <v>2946</v>
      </c>
      <c r="C2412" s="336" t="s">
        <v>800</v>
      </c>
      <c r="D2412" s="336" t="s">
        <v>956</v>
      </c>
      <c r="E2412" s="336" t="s">
        <v>957</v>
      </c>
    </row>
    <row r="2413" spans="1:5" x14ac:dyDescent="0.2">
      <c r="A2413" s="335">
        <v>1001288842</v>
      </c>
      <c r="B2413" s="336" t="s">
        <v>2947</v>
      </c>
      <c r="C2413" s="336" t="s">
        <v>800</v>
      </c>
      <c r="D2413" s="336" t="s">
        <v>956</v>
      </c>
      <c r="E2413" s="336" t="s">
        <v>957</v>
      </c>
    </row>
    <row r="2414" spans="1:5" x14ac:dyDescent="0.2">
      <c r="A2414" s="335">
        <v>1001288843</v>
      </c>
      <c r="B2414" s="336" t="s">
        <v>1653</v>
      </c>
      <c r="C2414" s="336" t="s">
        <v>800</v>
      </c>
      <c r="D2414" s="336" t="s">
        <v>956</v>
      </c>
      <c r="E2414" s="336" t="s">
        <v>957</v>
      </c>
    </row>
    <row r="2415" spans="1:5" x14ac:dyDescent="0.2">
      <c r="A2415" s="335">
        <v>1001288973</v>
      </c>
      <c r="B2415" s="336" t="s">
        <v>2948</v>
      </c>
      <c r="C2415" s="336" t="s">
        <v>800</v>
      </c>
      <c r="D2415" s="336" t="s">
        <v>956</v>
      </c>
      <c r="E2415" s="336" t="s">
        <v>957</v>
      </c>
    </row>
    <row r="2416" spans="1:5" x14ac:dyDescent="0.2">
      <c r="A2416" s="335">
        <v>1001288975</v>
      </c>
      <c r="B2416" s="336" t="s">
        <v>2949</v>
      </c>
      <c r="C2416" s="336" t="s">
        <v>800</v>
      </c>
      <c r="D2416" s="336" t="s">
        <v>956</v>
      </c>
      <c r="E2416" s="336" t="s">
        <v>957</v>
      </c>
    </row>
    <row r="2417" spans="1:5" x14ac:dyDescent="0.2">
      <c r="A2417" s="335">
        <v>1001288976</v>
      </c>
      <c r="B2417" s="336" t="s">
        <v>2950</v>
      </c>
      <c r="C2417" s="336" t="s">
        <v>800</v>
      </c>
      <c r="D2417" s="336" t="s">
        <v>956</v>
      </c>
      <c r="E2417" s="336" t="s">
        <v>957</v>
      </c>
    </row>
    <row r="2418" spans="1:5" x14ac:dyDescent="0.2">
      <c r="A2418" s="335">
        <v>1001289038</v>
      </c>
      <c r="B2418" s="336" t="s">
        <v>2951</v>
      </c>
      <c r="C2418" s="336" t="s">
        <v>863</v>
      </c>
      <c r="D2418" s="336" t="s">
        <v>956</v>
      </c>
      <c r="E2418" s="336" t="s">
        <v>957</v>
      </c>
    </row>
    <row r="2419" spans="1:5" x14ac:dyDescent="0.2">
      <c r="A2419" s="335">
        <v>1001290218</v>
      </c>
      <c r="B2419" s="336" t="s">
        <v>2952</v>
      </c>
      <c r="C2419" s="336" t="s">
        <v>800</v>
      </c>
      <c r="D2419" s="336" t="s">
        <v>956</v>
      </c>
      <c r="E2419" s="336" t="s">
        <v>957</v>
      </c>
    </row>
    <row r="2420" spans="1:5" x14ac:dyDescent="0.2">
      <c r="A2420" s="335">
        <v>1001290219</v>
      </c>
      <c r="B2420" s="336" t="s">
        <v>2953</v>
      </c>
      <c r="C2420" s="336" t="s">
        <v>800</v>
      </c>
      <c r="D2420" s="336" t="s">
        <v>956</v>
      </c>
      <c r="E2420" s="336" t="s">
        <v>957</v>
      </c>
    </row>
    <row r="2421" spans="1:5" x14ac:dyDescent="0.2">
      <c r="A2421" s="335">
        <v>1001290360</v>
      </c>
      <c r="B2421" s="336" t="s">
        <v>2954</v>
      </c>
      <c r="C2421" s="336" t="s">
        <v>800</v>
      </c>
      <c r="D2421" s="336" t="s">
        <v>956</v>
      </c>
      <c r="E2421" s="336" t="s">
        <v>957</v>
      </c>
    </row>
    <row r="2422" spans="1:5" x14ac:dyDescent="0.2">
      <c r="A2422" s="335">
        <v>1001290461</v>
      </c>
      <c r="B2422" s="336" t="s">
        <v>1480</v>
      </c>
      <c r="C2422" s="336" t="s">
        <v>800</v>
      </c>
      <c r="D2422" s="336" t="s">
        <v>956</v>
      </c>
      <c r="E2422" s="336" t="s">
        <v>957</v>
      </c>
    </row>
    <row r="2423" spans="1:5" x14ac:dyDescent="0.2">
      <c r="A2423" s="335">
        <v>1001290465</v>
      </c>
      <c r="B2423" s="336" t="s">
        <v>1479</v>
      </c>
      <c r="C2423" s="336" t="s">
        <v>800</v>
      </c>
      <c r="D2423" s="336" t="s">
        <v>956</v>
      </c>
      <c r="E2423" s="336" t="s">
        <v>957</v>
      </c>
    </row>
    <row r="2424" spans="1:5" x14ac:dyDescent="0.2">
      <c r="A2424" s="335">
        <v>1001290471</v>
      </c>
      <c r="B2424" s="336" t="s">
        <v>899</v>
      </c>
      <c r="C2424" s="336" t="s">
        <v>863</v>
      </c>
      <c r="D2424" s="336" t="s">
        <v>956</v>
      </c>
      <c r="E2424" s="336" t="s">
        <v>957</v>
      </c>
    </row>
    <row r="2425" spans="1:5" x14ac:dyDescent="0.2">
      <c r="A2425" s="335">
        <v>1001290602</v>
      </c>
      <c r="B2425" s="336" t="s">
        <v>2083</v>
      </c>
      <c r="C2425" s="336" t="s">
        <v>1097</v>
      </c>
      <c r="D2425" s="336" t="s">
        <v>956</v>
      </c>
      <c r="E2425" s="336" t="s">
        <v>957</v>
      </c>
    </row>
    <row r="2426" spans="1:5" x14ac:dyDescent="0.2">
      <c r="A2426" s="335">
        <v>1001290659</v>
      </c>
      <c r="B2426" s="336" t="s">
        <v>2955</v>
      </c>
      <c r="C2426" s="336" t="s">
        <v>800</v>
      </c>
      <c r="D2426" s="336" t="s">
        <v>956</v>
      </c>
      <c r="E2426" s="336" t="s">
        <v>957</v>
      </c>
    </row>
    <row r="2427" spans="1:5" x14ac:dyDescent="0.2">
      <c r="A2427" s="335">
        <v>1001290749</v>
      </c>
      <c r="B2427" s="336" t="s">
        <v>2956</v>
      </c>
      <c r="C2427" s="336" t="s">
        <v>800</v>
      </c>
      <c r="D2427" s="336" t="s">
        <v>956</v>
      </c>
      <c r="E2427" s="336" t="s">
        <v>957</v>
      </c>
    </row>
    <row r="2428" spans="1:5" x14ac:dyDescent="0.2">
      <c r="A2428" s="335">
        <v>1001301965</v>
      </c>
      <c r="B2428" s="336" t="s">
        <v>2957</v>
      </c>
      <c r="C2428" s="336" t="s">
        <v>1097</v>
      </c>
      <c r="D2428" s="336" t="s">
        <v>956</v>
      </c>
      <c r="E2428" s="336" t="s">
        <v>957</v>
      </c>
    </row>
    <row r="2429" spans="1:5" x14ac:dyDescent="0.2">
      <c r="A2429" s="335">
        <v>1001301980</v>
      </c>
      <c r="B2429" s="336" t="s">
        <v>2958</v>
      </c>
      <c r="C2429" s="336" t="s">
        <v>1097</v>
      </c>
      <c r="D2429" s="336" t="s">
        <v>956</v>
      </c>
      <c r="E2429" s="336" t="s">
        <v>957</v>
      </c>
    </row>
    <row r="2430" spans="1:5" x14ac:dyDescent="0.2">
      <c r="A2430" s="335">
        <v>1001302339</v>
      </c>
      <c r="B2430" s="336" t="s">
        <v>2959</v>
      </c>
      <c r="C2430" s="336" t="s">
        <v>800</v>
      </c>
      <c r="D2430" s="336" t="s">
        <v>956</v>
      </c>
      <c r="E2430" s="336" t="s">
        <v>957</v>
      </c>
    </row>
    <row r="2431" spans="1:5" x14ac:dyDescent="0.2">
      <c r="A2431" s="335">
        <v>1001302350</v>
      </c>
      <c r="B2431" s="336" t="s">
        <v>2960</v>
      </c>
      <c r="C2431" s="336" t="s">
        <v>800</v>
      </c>
      <c r="D2431" s="336" t="s">
        <v>956</v>
      </c>
      <c r="E2431" s="336" t="s">
        <v>957</v>
      </c>
    </row>
    <row r="2432" spans="1:5" x14ac:dyDescent="0.2">
      <c r="A2432" s="335">
        <v>1001302375</v>
      </c>
      <c r="B2432" s="336" t="s">
        <v>2961</v>
      </c>
      <c r="C2432" s="336" t="s">
        <v>1097</v>
      </c>
      <c r="D2432" s="336" t="s">
        <v>956</v>
      </c>
      <c r="E2432" s="336" t="s">
        <v>957</v>
      </c>
    </row>
    <row r="2433" spans="1:5" x14ac:dyDescent="0.2">
      <c r="A2433" s="335">
        <v>1001302395</v>
      </c>
      <c r="B2433" s="336" t="s">
        <v>1558</v>
      </c>
      <c r="C2433" s="336" t="s">
        <v>800</v>
      </c>
      <c r="D2433" s="336" t="s">
        <v>956</v>
      </c>
      <c r="E2433" s="336" t="s">
        <v>957</v>
      </c>
    </row>
    <row r="2434" spans="1:5" x14ac:dyDescent="0.2">
      <c r="A2434" s="335">
        <v>1001311478</v>
      </c>
      <c r="B2434" s="336" t="s">
        <v>1384</v>
      </c>
      <c r="C2434" s="336" t="s">
        <v>800</v>
      </c>
      <c r="D2434" s="336" t="s">
        <v>956</v>
      </c>
      <c r="E2434" s="336" t="s">
        <v>957</v>
      </c>
    </row>
    <row r="2435" spans="1:5" x14ac:dyDescent="0.2">
      <c r="A2435" s="335">
        <v>1001311939</v>
      </c>
      <c r="B2435" s="336" t="s">
        <v>2962</v>
      </c>
      <c r="C2435" s="336" t="s">
        <v>813</v>
      </c>
      <c r="D2435" s="336" t="s">
        <v>956</v>
      </c>
      <c r="E2435" s="336" t="s">
        <v>957</v>
      </c>
    </row>
    <row r="2436" spans="1:5" x14ac:dyDescent="0.2">
      <c r="A2436" s="335">
        <v>1001312180</v>
      </c>
      <c r="B2436" s="336" t="s">
        <v>899</v>
      </c>
      <c r="C2436" s="336" t="s">
        <v>800</v>
      </c>
      <c r="D2436" s="336" t="s">
        <v>956</v>
      </c>
      <c r="E2436" s="336" t="s">
        <v>957</v>
      </c>
    </row>
    <row r="2437" spans="1:5" x14ac:dyDescent="0.2">
      <c r="A2437" s="335">
        <v>1001356697</v>
      </c>
      <c r="B2437" s="336" t="s">
        <v>2854</v>
      </c>
      <c r="C2437" s="336" t="s">
        <v>1796</v>
      </c>
      <c r="D2437" s="336" t="s">
        <v>956</v>
      </c>
      <c r="E2437" s="336" t="s">
        <v>957</v>
      </c>
    </row>
    <row r="2438" spans="1:5" x14ac:dyDescent="0.2">
      <c r="A2438" s="335">
        <v>1001356698</v>
      </c>
      <c r="B2438" s="336" t="s">
        <v>2857</v>
      </c>
      <c r="C2438" s="336" t="s">
        <v>1796</v>
      </c>
      <c r="D2438" s="336" t="s">
        <v>956</v>
      </c>
      <c r="E2438" s="336" t="s">
        <v>957</v>
      </c>
    </row>
    <row r="2439" spans="1:5" x14ac:dyDescent="0.2">
      <c r="A2439" s="335">
        <v>1001311759</v>
      </c>
      <c r="B2439" s="336" t="s">
        <v>2963</v>
      </c>
      <c r="C2439" s="336" t="s">
        <v>800</v>
      </c>
      <c r="D2439" s="336" t="s">
        <v>2964</v>
      </c>
      <c r="E2439" s="336" t="s">
        <v>2965</v>
      </c>
    </row>
    <row r="2440" spans="1:5" x14ac:dyDescent="0.2">
      <c r="A2440" s="335">
        <v>1001315581</v>
      </c>
      <c r="B2440" s="336" t="s">
        <v>2966</v>
      </c>
      <c r="C2440" s="336" t="s">
        <v>797</v>
      </c>
      <c r="D2440" s="336" t="s">
        <v>2967</v>
      </c>
      <c r="E2440" s="336" t="s">
        <v>2968</v>
      </c>
    </row>
    <row r="2441" spans="1:5" x14ac:dyDescent="0.2">
      <c r="A2441" s="335">
        <v>1001315586</v>
      </c>
      <c r="B2441" s="336" t="s">
        <v>2969</v>
      </c>
      <c r="C2441" s="336" t="s">
        <v>797</v>
      </c>
      <c r="D2441" s="336" t="s">
        <v>2967</v>
      </c>
      <c r="E2441" s="336" t="s">
        <v>2968</v>
      </c>
    </row>
    <row r="2442" spans="1:5" x14ac:dyDescent="0.2">
      <c r="A2442" s="335">
        <v>1001315587</v>
      </c>
      <c r="B2442" s="336" t="s">
        <v>2970</v>
      </c>
      <c r="C2442" s="336" t="s">
        <v>797</v>
      </c>
      <c r="D2442" s="336" t="s">
        <v>2967</v>
      </c>
      <c r="E2442" s="336" t="s">
        <v>2968</v>
      </c>
    </row>
    <row r="2443" spans="1:5" x14ac:dyDescent="0.2">
      <c r="A2443" s="335">
        <v>1001315588</v>
      </c>
      <c r="B2443" s="336" t="s">
        <v>2971</v>
      </c>
      <c r="C2443" s="336" t="s">
        <v>797</v>
      </c>
      <c r="D2443" s="336" t="s">
        <v>2967</v>
      </c>
      <c r="E2443" s="336" t="s">
        <v>2968</v>
      </c>
    </row>
    <row r="2444" spans="1:5" x14ac:dyDescent="0.2">
      <c r="A2444" s="335">
        <v>1001315589</v>
      </c>
      <c r="B2444" s="336" t="s">
        <v>2972</v>
      </c>
      <c r="C2444" s="336" t="s">
        <v>797</v>
      </c>
      <c r="D2444" s="336" t="s">
        <v>2967</v>
      </c>
      <c r="E2444" s="336" t="s">
        <v>2968</v>
      </c>
    </row>
    <row r="2445" spans="1:5" x14ac:dyDescent="0.2">
      <c r="A2445" s="335">
        <v>1001316039</v>
      </c>
      <c r="B2445" s="336" t="s">
        <v>2973</v>
      </c>
      <c r="C2445" s="336" t="s">
        <v>863</v>
      </c>
      <c r="D2445" s="336" t="s">
        <v>2967</v>
      </c>
      <c r="E2445" s="336" t="s">
        <v>2968</v>
      </c>
    </row>
    <row r="2446" spans="1:5" x14ac:dyDescent="0.2">
      <c r="A2446" s="335">
        <v>1001317970</v>
      </c>
      <c r="B2446" s="336" t="s">
        <v>2974</v>
      </c>
      <c r="C2446" s="336" t="s">
        <v>813</v>
      </c>
      <c r="D2446" s="336" t="s">
        <v>2967</v>
      </c>
      <c r="E2446" s="336" t="s">
        <v>2968</v>
      </c>
    </row>
    <row r="2447" spans="1:5" x14ac:dyDescent="0.2">
      <c r="A2447" s="335">
        <v>1001317971</v>
      </c>
      <c r="B2447" s="336" t="s">
        <v>2975</v>
      </c>
      <c r="C2447" s="336" t="s">
        <v>813</v>
      </c>
      <c r="D2447" s="336" t="s">
        <v>2967</v>
      </c>
      <c r="E2447" s="336" t="s">
        <v>2968</v>
      </c>
    </row>
    <row r="2448" spans="1:5" x14ac:dyDescent="0.2">
      <c r="A2448" s="335">
        <v>1001317972</v>
      </c>
      <c r="B2448" s="336" t="s">
        <v>2976</v>
      </c>
      <c r="C2448" s="336" t="s">
        <v>797</v>
      </c>
      <c r="D2448" s="336" t="s">
        <v>2967</v>
      </c>
      <c r="E2448" s="336" t="s">
        <v>2968</v>
      </c>
    </row>
    <row r="2449" spans="1:5" x14ac:dyDescent="0.2">
      <c r="A2449" s="335">
        <v>1001317973</v>
      </c>
      <c r="B2449" s="336" t="s">
        <v>2977</v>
      </c>
      <c r="C2449" s="336" t="s">
        <v>797</v>
      </c>
      <c r="D2449" s="336" t="s">
        <v>2967</v>
      </c>
      <c r="E2449" s="336" t="s">
        <v>2968</v>
      </c>
    </row>
    <row r="2450" spans="1:5" x14ac:dyDescent="0.2">
      <c r="A2450" s="335">
        <v>1001317974</v>
      </c>
      <c r="B2450" s="336" t="s">
        <v>2978</v>
      </c>
      <c r="C2450" s="336" t="s">
        <v>797</v>
      </c>
      <c r="D2450" s="336" t="s">
        <v>2967</v>
      </c>
      <c r="E2450" s="336" t="s">
        <v>2968</v>
      </c>
    </row>
    <row r="2451" spans="1:5" x14ac:dyDescent="0.2">
      <c r="A2451" s="335">
        <v>1001317975</v>
      </c>
      <c r="B2451" s="336" t="s">
        <v>2979</v>
      </c>
      <c r="C2451" s="336" t="s">
        <v>797</v>
      </c>
      <c r="D2451" s="336" t="s">
        <v>2967</v>
      </c>
      <c r="E2451" s="336" t="s">
        <v>2968</v>
      </c>
    </row>
    <row r="2452" spans="1:5" x14ac:dyDescent="0.2">
      <c r="A2452" s="335">
        <v>1001317976</v>
      </c>
      <c r="B2452" s="336" t="s">
        <v>2980</v>
      </c>
      <c r="C2452" s="336" t="s">
        <v>797</v>
      </c>
      <c r="D2452" s="336" t="s">
        <v>2967</v>
      </c>
      <c r="E2452" s="336" t="s">
        <v>2968</v>
      </c>
    </row>
    <row r="2453" spans="1:5" x14ac:dyDescent="0.2">
      <c r="A2453" s="335">
        <v>1001317977</v>
      </c>
      <c r="B2453" s="336" t="s">
        <v>2981</v>
      </c>
      <c r="C2453" s="336" t="s">
        <v>797</v>
      </c>
      <c r="D2453" s="336" t="s">
        <v>2967</v>
      </c>
      <c r="E2453" s="336" t="s">
        <v>2968</v>
      </c>
    </row>
    <row r="2454" spans="1:5" x14ac:dyDescent="0.2">
      <c r="A2454" s="335">
        <v>1001317978</v>
      </c>
      <c r="B2454" s="336" t="s">
        <v>2982</v>
      </c>
      <c r="C2454" s="336" t="s">
        <v>797</v>
      </c>
      <c r="D2454" s="336" t="s">
        <v>2967</v>
      </c>
      <c r="E2454" s="336" t="s">
        <v>2968</v>
      </c>
    </row>
    <row r="2455" spans="1:5" x14ac:dyDescent="0.2">
      <c r="A2455" s="335">
        <v>1001317979</v>
      </c>
      <c r="B2455" s="336" t="s">
        <v>2983</v>
      </c>
      <c r="C2455" s="336" t="s">
        <v>797</v>
      </c>
      <c r="D2455" s="336" t="s">
        <v>2967</v>
      </c>
      <c r="E2455" s="336" t="s">
        <v>2968</v>
      </c>
    </row>
    <row r="2456" spans="1:5" x14ac:dyDescent="0.2">
      <c r="A2456" s="335">
        <v>1001318080</v>
      </c>
      <c r="B2456" s="336" t="s">
        <v>2984</v>
      </c>
      <c r="C2456" s="336" t="s">
        <v>797</v>
      </c>
      <c r="D2456" s="336" t="s">
        <v>2967</v>
      </c>
      <c r="E2456" s="336" t="s">
        <v>2968</v>
      </c>
    </row>
    <row r="2457" spans="1:5" x14ac:dyDescent="0.2">
      <c r="A2457" s="335">
        <v>1001318081</v>
      </c>
      <c r="B2457" s="336" t="s">
        <v>2985</v>
      </c>
      <c r="C2457" s="336" t="s">
        <v>797</v>
      </c>
      <c r="D2457" s="336" t="s">
        <v>2967</v>
      </c>
      <c r="E2457" s="336" t="s">
        <v>2968</v>
      </c>
    </row>
    <row r="2458" spans="1:5" x14ac:dyDescent="0.2">
      <c r="A2458" s="335">
        <v>1001318940</v>
      </c>
      <c r="B2458" s="336" t="s">
        <v>2986</v>
      </c>
      <c r="C2458" s="336" t="s">
        <v>797</v>
      </c>
      <c r="D2458" s="336" t="s">
        <v>2967</v>
      </c>
      <c r="E2458" s="336" t="s">
        <v>2968</v>
      </c>
    </row>
    <row r="2459" spans="1:5" x14ac:dyDescent="0.2">
      <c r="A2459" s="335">
        <v>1001318941</v>
      </c>
      <c r="B2459" s="336" t="s">
        <v>2987</v>
      </c>
      <c r="C2459" s="336" t="s">
        <v>813</v>
      </c>
      <c r="D2459" s="336" t="s">
        <v>2967</v>
      </c>
      <c r="E2459" s="336" t="s">
        <v>2968</v>
      </c>
    </row>
    <row r="2460" spans="1:5" x14ac:dyDescent="0.2">
      <c r="A2460" s="335">
        <v>1001320552</v>
      </c>
      <c r="B2460" s="336" t="s">
        <v>2988</v>
      </c>
      <c r="C2460" s="336" t="s">
        <v>813</v>
      </c>
      <c r="D2460" s="336" t="s">
        <v>2967</v>
      </c>
      <c r="E2460" s="336" t="s">
        <v>2968</v>
      </c>
    </row>
    <row r="2461" spans="1:5" x14ac:dyDescent="0.2">
      <c r="A2461" s="335">
        <v>1001321927</v>
      </c>
      <c r="B2461" s="336" t="s">
        <v>2989</v>
      </c>
      <c r="C2461" s="336" t="s">
        <v>813</v>
      </c>
      <c r="D2461" s="336" t="s">
        <v>2967</v>
      </c>
      <c r="E2461" s="336" t="s">
        <v>2968</v>
      </c>
    </row>
    <row r="2462" spans="1:5" x14ac:dyDescent="0.2">
      <c r="A2462" s="335">
        <v>1001322381</v>
      </c>
      <c r="B2462" s="336" t="s">
        <v>2990</v>
      </c>
      <c r="C2462" s="336" t="s">
        <v>797</v>
      </c>
      <c r="D2462" s="336" t="s">
        <v>2967</v>
      </c>
      <c r="E2462" s="336" t="s">
        <v>2968</v>
      </c>
    </row>
    <row r="2463" spans="1:5" x14ac:dyDescent="0.2">
      <c r="A2463" s="335">
        <v>1001322811</v>
      </c>
      <c r="B2463" s="336" t="s">
        <v>2991</v>
      </c>
      <c r="C2463" s="336" t="s">
        <v>813</v>
      </c>
      <c r="D2463" s="336" t="s">
        <v>2967</v>
      </c>
      <c r="E2463" s="336" t="s">
        <v>2968</v>
      </c>
    </row>
    <row r="2464" spans="1:5" x14ac:dyDescent="0.2">
      <c r="A2464" s="335">
        <v>1001346518</v>
      </c>
      <c r="B2464" s="336" t="s">
        <v>2992</v>
      </c>
      <c r="C2464" s="336" t="s">
        <v>813</v>
      </c>
      <c r="D2464" s="336" t="s">
        <v>2967</v>
      </c>
      <c r="E2464" s="336" t="s">
        <v>2968</v>
      </c>
    </row>
    <row r="2465" spans="1:5" x14ac:dyDescent="0.2">
      <c r="A2465" s="335">
        <v>1001346649</v>
      </c>
      <c r="B2465" s="336" t="s">
        <v>2993</v>
      </c>
      <c r="C2465" s="336" t="s">
        <v>813</v>
      </c>
      <c r="D2465" s="336" t="s">
        <v>2967</v>
      </c>
      <c r="E2465" s="336" t="s">
        <v>2968</v>
      </c>
    </row>
    <row r="2466" spans="1:5" x14ac:dyDescent="0.2">
      <c r="A2466" s="335">
        <v>1001346666</v>
      </c>
      <c r="B2466" s="336" t="s">
        <v>2994</v>
      </c>
      <c r="C2466" s="336" t="s">
        <v>813</v>
      </c>
      <c r="D2466" s="336" t="s">
        <v>2967</v>
      </c>
      <c r="E2466" s="336" t="s">
        <v>2968</v>
      </c>
    </row>
    <row r="2467" spans="1:5" x14ac:dyDescent="0.2">
      <c r="A2467" s="335">
        <v>1001346667</v>
      </c>
      <c r="B2467" s="336" t="s">
        <v>2995</v>
      </c>
      <c r="C2467" s="336" t="s">
        <v>813</v>
      </c>
      <c r="D2467" s="336" t="s">
        <v>2967</v>
      </c>
      <c r="E2467" s="336" t="s">
        <v>2968</v>
      </c>
    </row>
    <row r="2468" spans="1:5" x14ac:dyDescent="0.2">
      <c r="A2468" s="335">
        <v>1001346768</v>
      </c>
      <c r="B2468" s="336" t="s">
        <v>2996</v>
      </c>
      <c r="C2468" s="336" t="s">
        <v>813</v>
      </c>
      <c r="D2468" s="336" t="s">
        <v>2967</v>
      </c>
      <c r="E2468" s="336" t="s">
        <v>2968</v>
      </c>
    </row>
    <row r="2469" spans="1:5" x14ac:dyDescent="0.2">
      <c r="A2469" s="335">
        <v>1001347087</v>
      </c>
      <c r="B2469" s="336" t="s">
        <v>2997</v>
      </c>
      <c r="C2469" s="336" t="s">
        <v>863</v>
      </c>
      <c r="D2469" s="336" t="s">
        <v>2967</v>
      </c>
      <c r="E2469" s="336" t="s">
        <v>2968</v>
      </c>
    </row>
    <row r="2470" spans="1:5" x14ac:dyDescent="0.2">
      <c r="A2470" s="335">
        <v>1001348546</v>
      </c>
      <c r="B2470" s="336" t="s">
        <v>2998</v>
      </c>
      <c r="C2470" s="336" t="s">
        <v>813</v>
      </c>
      <c r="D2470" s="336" t="s">
        <v>2967</v>
      </c>
      <c r="E2470" s="336" t="s">
        <v>2968</v>
      </c>
    </row>
    <row r="2471" spans="1:5" x14ac:dyDescent="0.2">
      <c r="A2471" s="335">
        <v>1001348781</v>
      </c>
      <c r="B2471" s="336" t="s">
        <v>2999</v>
      </c>
      <c r="C2471" s="336" t="s">
        <v>863</v>
      </c>
      <c r="D2471" s="336" t="s">
        <v>2967</v>
      </c>
      <c r="E2471" s="336" t="s">
        <v>2968</v>
      </c>
    </row>
    <row r="2472" spans="1:5" x14ac:dyDescent="0.2">
      <c r="A2472" s="335">
        <v>1001348858</v>
      </c>
      <c r="B2472" s="336" t="s">
        <v>3000</v>
      </c>
      <c r="C2472" s="336" t="s">
        <v>863</v>
      </c>
      <c r="D2472" s="336" t="s">
        <v>2967</v>
      </c>
      <c r="E2472" s="336" t="s">
        <v>2968</v>
      </c>
    </row>
    <row r="2473" spans="1:5" x14ac:dyDescent="0.2">
      <c r="A2473" s="335">
        <v>1001350057</v>
      </c>
      <c r="B2473" s="336" t="s">
        <v>3001</v>
      </c>
      <c r="C2473" s="336" t="s">
        <v>863</v>
      </c>
      <c r="D2473" s="336" t="s">
        <v>2967</v>
      </c>
      <c r="E2473" s="336" t="s">
        <v>2968</v>
      </c>
    </row>
    <row r="2474" spans="1:5" x14ac:dyDescent="0.2">
      <c r="A2474" s="335">
        <v>1001350070</v>
      </c>
      <c r="B2474" s="336" t="s">
        <v>3001</v>
      </c>
      <c r="C2474" s="336" t="s">
        <v>813</v>
      </c>
      <c r="D2474" s="336" t="s">
        <v>2967</v>
      </c>
      <c r="E2474" s="336" t="s">
        <v>2968</v>
      </c>
    </row>
    <row r="2475" spans="1:5" x14ac:dyDescent="0.2">
      <c r="A2475" s="335">
        <v>1001350250</v>
      </c>
      <c r="B2475" s="336" t="s">
        <v>3002</v>
      </c>
      <c r="C2475" s="336" t="s">
        <v>813</v>
      </c>
      <c r="D2475" s="336" t="s">
        <v>2967</v>
      </c>
      <c r="E2475" s="336" t="s">
        <v>2968</v>
      </c>
    </row>
    <row r="2476" spans="1:5" x14ac:dyDescent="0.2">
      <c r="A2476" s="335">
        <v>1001350259</v>
      </c>
      <c r="B2476" s="336" t="s">
        <v>3002</v>
      </c>
      <c r="C2476" s="336" t="s">
        <v>813</v>
      </c>
      <c r="D2476" s="336" t="s">
        <v>2967</v>
      </c>
      <c r="E2476" s="336" t="s">
        <v>2968</v>
      </c>
    </row>
    <row r="2477" spans="1:5" x14ac:dyDescent="0.2">
      <c r="A2477" s="335">
        <v>1001350627</v>
      </c>
      <c r="B2477" s="336" t="s">
        <v>3003</v>
      </c>
      <c r="C2477" s="336" t="s">
        <v>813</v>
      </c>
      <c r="D2477" s="336" t="s">
        <v>2967</v>
      </c>
      <c r="E2477" s="336" t="s">
        <v>2968</v>
      </c>
    </row>
    <row r="2478" spans="1:5" x14ac:dyDescent="0.2">
      <c r="A2478" s="335">
        <v>1001350728</v>
      </c>
      <c r="B2478" s="336" t="s">
        <v>3004</v>
      </c>
      <c r="C2478" s="336" t="s">
        <v>813</v>
      </c>
      <c r="D2478" s="336" t="s">
        <v>2967</v>
      </c>
      <c r="E2478" s="336" t="s">
        <v>2968</v>
      </c>
    </row>
    <row r="2479" spans="1:5" x14ac:dyDescent="0.2">
      <c r="A2479" s="335">
        <v>1001351749</v>
      </c>
      <c r="B2479" s="336" t="s">
        <v>3005</v>
      </c>
      <c r="C2479" s="336" t="s">
        <v>813</v>
      </c>
      <c r="D2479" s="336" t="s">
        <v>2967</v>
      </c>
      <c r="E2479" s="336" t="s">
        <v>2968</v>
      </c>
    </row>
    <row r="2480" spans="1:5" x14ac:dyDescent="0.2">
      <c r="A2480" s="335">
        <v>1001351753</v>
      </c>
      <c r="B2480" s="336" t="s">
        <v>3006</v>
      </c>
      <c r="C2480" s="336" t="s">
        <v>813</v>
      </c>
      <c r="D2480" s="336" t="s">
        <v>2967</v>
      </c>
      <c r="E2480" s="336" t="s">
        <v>2968</v>
      </c>
    </row>
    <row r="2481" spans="1:5" x14ac:dyDescent="0.2">
      <c r="A2481" s="335">
        <v>1001351812</v>
      </c>
      <c r="B2481" s="336" t="s">
        <v>1282</v>
      </c>
      <c r="C2481" s="336" t="s">
        <v>863</v>
      </c>
      <c r="D2481" s="336" t="s">
        <v>2967</v>
      </c>
      <c r="E2481" s="336" t="s">
        <v>2968</v>
      </c>
    </row>
    <row r="2482" spans="1:5" x14ac:dyDescent="0.2">
      <c r="A2482" s="335">
        <v>1001351823</v>
      </c>
      <c r="B2482" s="336" t="s">
        <v>3007</v>
      </c>
      <c r="C2482" s="336" t="s">
        <v>863</v>
      </c>
      <c r="D2482" s="336" t="s">
        <v>2967</v>
      </c>
      <c r="E2482" s="336" t="s">
        <v>2968</v>
      </c>
    </row>
    <row r="2483" spans="1:5" x14ac:dyDescent="0.2">
      <c r="A2483" s="335">
        <v>1001351824</v>
      </c>
      <c r="B2483" s="336" t="s">
        <v>3008</v>
      </c>
      <c r="C2483" s="336" t="s">
        <v>813</v>
      </c>
      <c r="D2483" s="336" t="s">
        <v>2967</v>
      </c>
      <c r="E2483" s="336" t="s">
        <v>2968</v>
      </c>
    </row>
    <row r="2484" spans="1:5" x14ac:dyDescent="0.2">
      <c r="A2484" s="335">
        <v>1001351910</v>
      </c>
      <c r="B2484" s="336" t="s">
        <v>3002</v>
      </c>
      <c r="C2484" s="336" t="s">
        <v>813</v>
      </c>
      <c r="D2484" s="336" t="s">
        <v>2967</v>
      </c>
      <c r="E2484" s="336" t="s">
        <v>2968</v>
      </c>
    </row>
    <row r="2485" spans="1:5" x14ac:dyDescent="0.2">
      <c r="A2485" s="335">
        <v>1001352124</v>
      </c>
      <c r="B2485" s="336" t="s">
        <v>3009</v>
      </c>
      <c r="C2485" s="336" t="s">
        <v>813</v>
      </c>
      <c r="D2485" s="336" t="s">
        <v>2967</v>
      </c>
      <c r="E2485" s="336" t="s">
        <v>2968</v>
      </c>
    </row>
    <row r="2486" spans="1:5" x14ac:dyDescent="0.2">
      <c r="A2486" s="335">
        <v>1001352342</v>
      </c>
      <c r="B2486" s="336" t="s">
        <v>3010</v>
      </c>
      <c r="C2486" s="336" t="s">
        <v>813</v>
      </c>
      <c r="D2486" s="336" t="s">
        <v>2967</v>
      </c>
      <c r="E2486" s="336" t="s">
        <v>2968</v>
      </c>
    </row>
    <row r="2487" spans="1:5" x14ac:dyDescent="0.2">
      <c r="A2487" s="335">
        <v>1001352355</v>
      </c>
      <c r="B2487" s="336" t="s">
        <v>3011</v>
      </c>
      <c r="C2487" s="336" t="s">
        <v>813</v>
      </c>
      <c r="D2487" s="336" t="s">
        <v>2967</v>
      </c>
      <c r="E2487" s="336" t="s">
        <v>2968</v>
      </c>
    </row>
    <row r="2488" spans="1:5" x14ac:dyDescent="0.2">
      <c r="A2488" s="335">
        <v>1001352420</v>
      </c>
      <c r="B2488" s="336" t="s">
        <v>3002</v>
      </c>
      <c r="C2488" s="336" t="s">
        <v>813</v>
      </c>
      <c r="D2488" s="336" t="s">
        <v>2967</v>
      </c>
      <c r="E2488" s="336" t="s">
        <v>2968</v>
      </c>
    </row>
    <row r="2489" spans="1:5" x14ac:dyDescent="0.2">
      <c r="A2489" s="335">
        <v>1001352491</v>
      </c>
      <c r="B2489" s="336" t="s">
        <v>3012</v>
      </c>
      <c r="C2489" s="336" t="s">
        <v>813</v>
      </c>
      <c r="D2489" s="336" t="s">
        <v>2967</v>
      </c>
      <c r="E2489" s="336" t="s">
        <v>2968</v>
      </c>
    </row>
    <row r="2490" spans="1:5" x14ac:dyDescent="0.2">
      <c r="A2490" s="335">
        <v>1001352514</v>
      </c>
      <c r="B2490" s="336" t="s">
        <v>3013</v>
      </c>
      <c r="C2490" s="336" t="s">
        <v>813</v>
      </c>
      <c r="D2490" s="336" t="s">
        <v>2967</v>
      </c>
      <c r="E2490" s="336" t="s">
        <v>2968</v>
      </c>
    </row>
    <row r="2491" spans="1:5" x14ac:dyDescent="0.2">
      <c r="A2491" s="335">
        <v>1001352867</v>
      </c>
      <c r="B2491" s="336" t="s">
        <v>3014</v>
      </c>
      <c r="C2491" s="336" t="s">
        <v>813</v>
      </c>
      <c r="D2491" s="336" t="s">
        <v>2967</v>
      </c>
      <c r="E2491" s="336" t="s">
        <v>2968</v>
      </c>
    </row>
    <row r="2492" spans="1:5" x14ac:dyDescent="0.2">
      <c r="A2492" s="335">
        <v>1001352903</v>
      </c>
      <c r="B2492" s="336" t="s">
        <v>3002</v>
      </c>
      <c r="C2492" s="336" t="s">
        <v>813</v>
      </c>
      <c r="D2492" s="336" t="s">
        <v>2967</v>
      </c>
      <c r="E2492" s="336" t="s">
        <v>2968</v>
      </c>
    </row>
    <row r="2493" spans="1:5" x14ac:dyDescent="0.2">
      <c r="A2493" s="335">
        <v>1001353002</v>
      </c>
      <c r="B2493" s="336" t="s">
        <v>3015</v>
      </c>
      <c r="C2493" s="336" t="s">
        <v>863</v>
      </c>
      <c r="D2493" s="336" t="s">
        <v>2967</v>
      </c>
      <c r="E2493" s="336" t="s">
        <v>2968</v>
      </c>
    </row>
    <row r="2494" spans="1:5" x14ac:dyDescent="0.2">
      <c r="A2494" s="335">
        <v>1001353003</v>
      </c>
      <c r="B2494" s="336" t="s">
        <v>3016</v>
      </c>
      <c r="C2494" s="336" t="s">
        <v>813</v>
      </c>
      <c r="D2494" s="336" t="s">
        <v>2967</v>
      </c>
      <c r="E2494" s="336" t="s">
        <v>2968</v>
      </c>
    </row>
    <row r="2495" spans="1:5" x14ac:dyDescent="0.2">
      <c r="A2495" s="335">
        <v>1001353030</v>
      </c>
      <c r="B2495" s="336" t="s">
        <v>3015</v>
      </c>
      <c r="C2495" s="336" t="s">
        <v>813</v>
      </c>
      <c r="D2495" s="336" t="s">
        <v>2967</v>
      </c>
      <c r="E2495" s="336" t="s">
        <v>2968</v>
      </c>
    </row>
    <row r="2496" spans="1:5" x14ac:dyDescent="0.2">
      <c r="A2496" s="335">
        <v>1001353037</v>
      </c>
      <c r="B2496" s="336" t="s">
        <v>3017</v>
      </c>
      <c r="C2496" s="336" t="s">
        <v>813</v>
      </c>
      <c r="D2496" s="336" t="s">
        <v>2967</v>
      </c>
      <c r="E2496" s="336" t="s">
        <v>2968</v>
      </c>
    </row>
    <row r="2497" spans="1:5" x14ac:dyDescent="0.2">
      <c r="A2497" s="335">
        <v>1001353361</v>
      </c>
      <c r="B2497" s="336" t="s">
        <v>3018</v>
      </c>
      <c r="C2497" s="336" t="s">
        <v>863</v>
      </c>
      <c r="D2497" s="336" t="s">
        <v>2967</v>
      </c>
      <c r="E2497" s="336" t="s">
        <v>2968</v>
      </c>
    </row>
    <row r="2498" spans="1:5" x14ac:dyDescent="0.2">
      <c r="A2498" s="335">
        <v>1001353398</v>
      </c>
      <c r="B2498" s="336" t="s">
        <v>3019</v>
      </c>
      <c r="C2498" s="336" t="s">
        <v>813</v>
      </c>
      <c r="D2498" s="336" t="s">
        <v>2967</v>
      </c>
      <c r="E2498" s="336" t="s">
        <v>2968</v>
      </c>
    </row>
    <row r="2499" spans="1:5" x14ac:dyDescent="0.2">
      <c r="A2499" s="335">
        <v>1001353421</v>
      </c>
      <c r="B2499" s="336" t="s">
        <v>3020</v>
      </c>
      <c r="C2499" s="336" t="s">
        <v>813</v>
      </c>
      <c r="D2499" s="336" t="s">
        <v>2967</v>
      </c>
      <c r="E2499" s="336" t="s">
        <v>2968</v>
      </c>
    </row>
    <row r="2500" spans="1:5" x14ac:dyDescent="0.2">
      <c r="A2500" s="335">
        <v>1001353436</v>
      </c>
      <c r="B2500" s="336" t="s">
        <v>3021</v>
      </c>
      <c r="C2500" s="336" t="s">
        <v>813</v>
      </c>
      <c r="D2500" s="336" t="s">
        <v>2967</v>
      </c>
      <c r="E2500" s="336" t="s">
        <v>2968</v>
      </c>
    </row>
    <row r="2501" spans="1:5" x14ac:dyDescent="0.2">
      <c r="A2501" s="335">
        <v>1001353438</v>
      </c>
      <c r="B2501" s="336" t="s">
        <v>3022</v>
      </c>
      <c r="C2501" s="336" t="s">
        <v>813</v>
      </c>
      <c r="D2501" s="336" t="s">
        <v>2967</v>
      </c>
      <c r="E2501" s="336" t="s">
        <v>2968</v>
      </c>
    </row>
    <row r="2502" spans="1:5" x14ac:dyDescent="0.2">
      <c r="A2502" s="335">
        <v>1001353445</v>
      </c>
      <c r="B2502" s="336" t="s">
        <v>3023</v>
      </c>
      <c r="C2502" s="336" t="s">
        <v>863</v>
      </c>
      <c r="D2502" s="336" t="s">
        <v>2967</v>
      </c>
      <c r="E2502" s="336" t="s">
        <v>2968</v>
      </c>
    </row>
    <row r="2503" spans="1:5" x14ac:dyDescent="0.2">
      <c r="A2503" s="335">
        <v>1001353478</v>
      </c>
      <c r="B2503" s="336" t="s">
        <v>3024</v>
      </c>
      <c r="C2503" s="336" t="s">
        <v>813</v>
      </c>
      <c r="D2503" s="336" t="s">
        <v>2967</v>
      </c>
      <c r="E2503" s="336" t="s">
        <v>2968</v>
      </c>
    </row>
    <row r="2504" spans="1:5" x14ac:dyDescent="0.2">
      <c r="A2504" s="335">
        <v>1001353515</v>
      </c>
      <c r="B2504" s="336" t="s">
        <v>3025</v>
      </c>
      <c r="C2504" s="336" t="s">
        <v>813</v>
      </c>
      <c r="D2504" s="336" t="s">
        <v>2967</v>
      </c>
      <c r="E2504" s="336" t="s">
        <v>2968</v>
      </c>
    </row>
    <row r="2505" spans="1:5" x14ac:dyDescent="0.2">
      <c r="A2505" s="335">
        <v>1001353523</v>
      </c>
      <c r="B2505" s="336" t="s">
        <v>3026</v>
      </c>
      <c r="C2505" s="336" t="s">
        <v>813</v>
      </c>
      <c r="D2505" s="336" t="s">
        <v>2967</v>
      </c>
      <c r="E2505" s="336" t="s">
        <v>2968</v>
      </c>
    </row>
    <row r="2506" spans="1:5" x14ac:dyDescent="0.2">
      <c r="A2506" s="335">
        <v>1001353525</v>
      </c>
      <c r="B2506" s="336" t="s">
        <v>3027</v>
      </c>
      <c r="C2506" s="336" t="s">
        <v>813</v>
      </c>
      <c r="D2506" s="336" t="s">
        <v>2967</v>
      </c>
      <c r="E2506" s="336" t="s">
        <v>2968</v>
      </c>
    </row>
    <row r="2507" spans="1:5" x14ac:dyDescent="0.2">
      <c r="A2507" s="335">
        <v>1001354038</v>
      </c>
      <c r="B2507" s="336" t="s">
        <v>3028</v>
      </c>
      <c r="C2507" s="336" t="s">
        <v>813</v>
      </c>
      <c r="D2507" s="336" t="s">
        <v>2967</v>
      </c>
      <c r="E2507" s="336" t="s">
        <v>2968</v>
      </c>
    </row>
    <row r="2508" spans="1:5" x14ac:dyDescent="0.2">
      <c r="A2508" s="335">
        <v>1001354165</v>
      </c>
      <c r="B2508" s="336" t="s">
        <v>3029</v>
      </c>
      <c r="C2508" s="336" t="s">
        <v>813</v>
      </c>
      <c r="D2508" s="336" t="s">
        <v>2967</v>
      </c>
      <c r="E2508" s="336" t="s">
        <v>2968</v>
      </c>
    </row>
    <row r="2509" spans="1:5" x14ac:dyDescent="0.2">
      <c r="A2509" s="335">
        <v>1001354172</v>
      </c>
      <c r="B2509" s="336" t="s">
        <v>3030</v>
      </c>
      <c r="C2509" s="336" t="s">
        <v>813</v>
      </c>
      <c r="D2509" s="336" t="s">
        <v>2967</v>
      </c>
      <c r="E2509" s="336" t="s">
        <v>2968</v>
      </c>
    </row>
    <row r="2510" spans="1:5" x14ac:dyDescent="0.2">
      <c r="A2510" s="335">
        <v>1001263622</v>
      </c>
      <c r="B2510" s="336" t="s">
        <v>3031</v>
      </c>
      <c r="C2510" s="336" t="s">
        <v>797</v>
      </c>
      <c r="D2510" s="336" t="s">
        <v>3032</v>
      </c>
      <c r="E2510" s="336" t="s">
        <v>3033</v>
      </c>
    </row>
    <row r="2511" spans="1:5" x14ac:dyDescent="0.2">
      <c r="A2511" s="335">
        <v>1001263941</v>
      </c>
      <c r="B2511" s="336" t="s">
        <v>3034</v>
      </c>
      <c r="C2511" s="336" t="s">
        <v>797</v>
      </c>
      <c r="D2511" s="336" t="s">
        <v>3032</v>
      </c>
      <c r="E2511" s="336" t="s">
        <v>3033</v>
      </c>
    </row>
    <row r="2512" spans="1:5" x14ac:dyDescent="0.2">
      <c r="A2512" s="335">
        <v>1001267874</v>
      </c>
      <c r="B2512" s="336" t="s">
        <v>3035</v>
      </c>
      <c r="C2512" s="336" t="s">
        <v>1097</v>
      </c>
      <c r="D2512" s="336" t="s">
        <v>3032</v>
      </c>
      <c r="E2512" s="336" t="s">
        <v>3033</v>
      </c>
    </row>
    <row r="2513" spans="1:5" x14ac:dyDescent="0.2">
      <c r="A2513" s="335">
        <v>1001267894</v>
      </c>
      <c r="B2513" s="336" t="s">
        <v>3036</v>
      </c>
      <c r="C2513" s="336" t="s">
        <v>863</v>
      </c>
      <c r="D2513" s="336" t="s">
        <v>3032</v>
      </c>
      <c r="E2513" s="336" t="s">
        <v>3033</v>
      </c>
    </row>
    <row r="2514" spans="1:5" x14ac:dyDescent="0.2">
      <c r="A2514" s="335">
        <v>1001268882</v>
      </c>
      <c r="B2514" s="336" t="s">
        <v>3037</v>
      </c>
      <c r="C2514" s="336" t="s">
        <v>797</v>
      </c>
      <c r="D2514" s="336" t="s">
        <v>3032</v>
      </c>
      <c r="E2514" s="336" t="s">
        <v>3033</v>
      </c>
    </row>
    <row r="2515" spans="1:5" x14ac:dyDescent="0.2">
      <c r="A2515" s="335">
        <v>1001270045</v>
      </c>
      <c r="B2515" s="336" t="s">
        <v>3038</v>
      </c>
      <c r="C2515" s="336" t="s">
        <v>797</v>
      </c>
      <c r="D2515" s="336" t="s">
        <v>3032</v>
      </c>
      <c r="E2515" s="336" t="s">
        <v>3033</v>
      </c>
    </row>
    <row r="2516" spans="1:5" x14ac:dyDescent="0.2">
      <c r="A2516" s="335">
        <v>1001270686</v>
      </c>
      <c r="B2516" s="336" t="s">
        <v>811</v>
      </c>
      <c r="C2516" s="336" t="s">
        <v>797</v>
      </c>
      <c r="D2516" s="336" t="s">
        <v>3032</v>
      </c>
      <c r="E2516" s="336" t="s">
        <v>3033</v>
      </c>
    </row>
    <row r="2517" spans="1:5" x14ac:dyDescent="0.2">
      <c r="A2517" s="335">
        <v>1001270691</v>
      </c>
      <c r="B2517" s="336" t="s">
        <v>3039</v>
      </c>
      <c r="C2517" s="336" t="s">
        <v>1097</v>
      </c>
      <c r="D2517" s="336" t="s">
        <v>3032</v>
      </c>
      <c r="E2517" s="336" t="s">
        <v>3033</v>
      </c>
    </row>
    <row r="2518" spans="1:5" x14ac:dyDescent="0.2">
      <c r="A2518" s="335">
        <v>1001271935</v>
      </c>
      <c r="B2518" s="336" t="s">
        <v>3040</v>
      </c>
      <c r="C2518" s="336" t="s">
        <v>863</v>
      </c>
      <c r="D2518" s="336" t="s">
        <v>3032</v>
      </c>
      <c r="E2518" s="336" t="s">
        <v>3033</v>
      </c>
    </row>
    <row r="2519" spans="1:5" x14ac:dyDescent="0.2">
      <c r="A2519" s="335">
        <v>1001272611</v>
      </c>
      <c r="B2519" s="336" t="s">
        <v>3041</v>
      </c>
      <c r="C2519" s="336" t="s">
        <v>797</v>
      </c>
      <c r="D2519" s="336" t="s">
        <v>3032</v>
      </c>
      <c r="E2519" s="336" t="s">
        <v>3033</v>
      </c>
    </row>
    <row r="2520" spans="1:5" x14ac:dyDescent="0.2">
      <c r="A2520" s="335">
        <v>1001273333</v>
      </c>
      <c r="B2520" s="336" t="s">
        <v>3042</v>
      </c>
      <c r="C2520" s="336" t="s">
        <v>797</v>
      </c>
      <c r="D2520" s="336" t="s">
        <v>3032</v>
      </c>
      <c r="E2520" s="336" t="s">
        <v>3033</v>
      </c>
    </row>
    <row r="2521" spans="1:5" x14ac:dyDescent="0.2">
      <c r="A2521" s="335">
        <v>1001274683</v>
      </c>
      <c r="B2521" s="336" t="s">
        <v>3043</v>
      </c>
      <c r="C2521" s="336" t="s">
        <v>1097</v>
      </c>
      <c r="D2521" s="336" t="s">
        <v>3032</v>
      </c>
      <c r="E2521" s="336" t="s">
        <v>3033</v>
      </c>
    </row>
    <row r="2522" spans="1:5" x14ac:dyDescent="0.2">
      <c r="A2522" s="335">
        <v>1001280233</v>
      </c>
      <c r="B2522" s="336" t="s">
        <v>3044</v>
      </c>
      <c r="C2522" s="336" t="s">
        <v>797</v>
      </c>
      <c r="D2522" s="336" t="s">
        <v>3032</v>
      </c>
      <c r="E2522" s="336" t="s">
        <v>3033</v>
      </c>
    </row>
    <row r="2523" spans="1:5" x14ac:dyDescent="0.2">
      <c r="A2523" s="335">
        <v>1001280581</v>
      </c>
      <c r="B2523" s="336" t="s">
        <v>3045</v>
      </c>
      <c r="C2523" s="336" t="s">
        <v>863</v>
      </c>
      <c r="D2523" s="336" t="s">
        <v>3032</v>
      </c>
      <c r="E2523" s="336" t="s">
        <v>3033</v>
      </c>
    </row>
    <row r="2524" spans="1:5" x14ac:dyDescent="0.2">
      <c r="A2524" s="335">
        <v>1001289082</v>
      </c>
      <c r="B2524" s="336" t="s">
        <v>3046</v>
      </c>
      <c r="C2524" s="336" t="s">
        <v>797</v>
      </c>
      <c r="D2524" s="336" t="s">
        <v>3032</v>
      </c>
      <c r="E2524" s="336" t="s">
        <v>3033</v>
      </c>
    </row>
    <row r="2525" spans="1:5" x14ac:dyDescent="0.2">
      <c r="A2525" s="335">
        <v>1001264880</v>
      </c>
      <c r="B2525" s="336" t="s">
        <v>3047</v>
      </c>
      <c r="C2525" s="336" t="s">
        <v>863</v>
      </c>
      <c r="D2525" s="336" t="s">
        <v>919</v>
      </c>
      <c r="E2525" s="336" t="s">
        <v>394</v>
      </c>
    </row>
    <row r="2526" spans="1:5" x14ac:dyDescent="0.2">
      <c r="A2526" s="335">
        <v>1001264894</v>
      </c>
      <c r="B2526" s="336" t="s">
        <v>977</v>
      </c>
      <c r="C2526" s="336" t="s">
        <v>797</v>
      </c>
      <c r="D2526" s="336" t="s">
        <v>919</v>
      </c>
      <c r="E2526" s="336" t="s">
        <v>394</v>
      </c>
    </row>
    <row r="2527" spans="1:5" x14ac:dyDescent="0.2">
      <c r="A2527" s="335">
        <v>1001265142</v>
      </c>
      <c r="B2527" s="336" t="s">
        <v>3048</v>
      </c>
      <c r="C2527" s="336" t="s">
        <v>797</v>
      </c>
      <c r="D2527" s="336" t="s">
        <v>919</v>
      </c>
      <c r="E2527" s="336" t="s">
        <v>394</v>
      </c>
    </row>
    <row r="2528" spans="1:5" x14ac:dyDescent="0.2">
      <c r="A2528" s="335">
        <v>1001266589</v>
      </c>
      <c r="B2528" s="336" t="s">
        <v>3049</v>
      </c>
      <c r="C2528" s="336" t="s">
        <v>797</v>
      </c>
      <c r="D2528" s="336" t="s">
        <v>919</v>
      </c>
      <c r="E2528" s="336" t="s">
        <v>394</v>
      </c>
    </row>
    <row r="2529" spans="1:5" x14ac:dyDescent="0.2">
      <c r="A2529" s="335">
        <v>1001266660</v>
      </c>
      <c r="B2529" s="336" t="s">
        <v>918</v>
      </c>
      <c r="C2529" s="336" t="s">
        <v>797</v>
      </c>
      <c r="D2529" s="336" t="s">
        <v>919</v>
      </c>
      <c r="E2529" s="336" t="s">
        <v>394</v>
      </c>
    </row>
    <row r="2530" spans="1:5" x14ac:dyDescent="0.2">
      <c r="A2530" s="335">
        <v>1001266661</v>
      </c>
      <c r="B2530" s="336" t="s">
        <v>3050</v>
      </c>
      <c r="C2530" s="336" t="s">
        <v>797</v>
      </c>
      <c r="D2530" s="336" t="s">
        <v>919</v>
      </c>
      <c r="E2530" s="336" t="s">
        <v>394</v>
      </c>
    </row>
    <row r="2531" spans="1:5" x14ac:dyDescent="0.2">
      <c r="A2531" s="335">
        <v>1001267009</v>
      </c>
      <c r="B2531" s="336" t="s">
        <v>3051</v>
      </c>
      <c r="C2531" s="336" t="s">
        <v>863</v>
      </c>
      <c r="D2531" s="336" t="s">
        <v>919</v>
      </c>
      <c r="E2531" s="336" t="s">
        <v>394</v>
      </c>
    </row>
    <row r="2532" spans="1:5" x14ac:dyDescent="0.2">
      <c r="A2532" s="335">
        <v>1001268972</v>
      </c>
      <c r="B2532" s="336" t="s">
        <v>3052</v>
      </c>
      <c r="C2532" s="336" t="s">
        <v>863</v>
      </c>
      <c r="D2532" s="336" t="s">
        <v>919</v>
      </c>
      <c r="E2532" s="336" t="s">
        <v>394</v>
      </c>
    </row>
    <row r="2533" spans="1:5" x14ac:dyDescent="0.2">
      <c r="A2533" s="335">
        <v>1001270205</v>
      </c>
      <c r="B2533" s="336" t="s">
        <v>3053</v>
      </c>
      <c r="C2533" s="336" t="s">
        <v>863</v>
      </c>
      <c r="D2533" s="336" t="s">
        <v>919</v>
      </c>
      <c r="E2533" s="336" t="s">
        <v>394</v>
      </c>
    </row>
    <row r="2534" spans="1:5" x14ac:dyDescent="0.2">
      <c r="A2534" s="335">
        <v>1001273371</v>
      </c>
      <c r="B2534" s="336" t="s">
        <v>3054</v>
      </c>
      <c r="C2534" s="336" t="s">
        <v>863</v>
      </c>
      <c r="D2534" s="336" t="s">
        <v>919</v>
      </c>
      <c r="E2534" s="336" t="s">
        <v>394</v>
      </c>
    </row>
    <row r="2535" spans="1:5" x14ac:dyDescent="0.2">
      <c r="A2535" s="335">
        <v>1001275699</v>
      </c>
      <c r="B2535" s="336" t="s">
        <v>3055</v>
      </c>
      <c r="C2535" s="336" t="s">
        <v>863</v>
      </c>
      <c r="D2535" s="336" t="s">
        <v>919</v>
      </c>
      <c r="E2535" s="336" t="s">
        <v>394</v>
      </c>
    </row>
    <row r="2536" spans="1:5" x14ac:dyDescent="0.2">
      <c r="A2536" s="335">
        <v>1001275801</v>
      </c>
      <c r="B2536" s="336" t="s">
        <v>3056</v>
      </c>
      <c r="C2536" s="336" t="s">
        <v>797</v>
      </c>
      <c r="D2536" s="336" t="s">
        <v>919</v>
      </c>
      <c r="E2536" s="336" t="s">
        <v>394</v>
      </c>
    </row>
    <row r="2537" spans="1:5" x14ac:dyDescent="0.2">
      <c r="A2537" s="335">
        <v>1001275803</v>
      </c>
      <c r="B2537" s="336" t="s">
        <v>3057</v>
      </c>
      <c r="C2537" s="336" t="s">
        <v>863</v>
      </c>
      <c r="D2537" s="336" t="s">
        <v>919</v>
      </c>
      <c r="E2537" s="336" t="s">
        <v>394</v>
      </c>
    </row>
    <row r="2538" spans="1:5" x14ac:dyDescent="0.2">
      <c r="A2538" s="335">
        <v>1001288937</v>
      </c>
      <c r="B2538" s="336" t="s">
        <v>3058</v>
      </c>
      <c r="C2538" s="336" t="s">
        <v>797</v>
      </c>
      <c r="D2538" s="336" t="s">
        <v>919</v>
      </c>
      <c r="E2538" s="336" t="s">
        <v>394</v>
      </c>
    </row>
    <row r="2539" spans="1:5" x14ac:dyDescent="0.2">
      <c r="A2539" s="335">
        <v>1001288939</v>
      </c>
      <c r="B2539" s="336" t="s">
        <v>3059</v>
      </c>
      <c r="C2539" s="336" t="s">
        <v>863</v>
      </c>
      <c r="D2539" s="336" t="s">
        <v>919</v>
      </c>
      <c r="E2539" s="336" t="s">
        <v>394</v>
      </c>
    </row>
    <row r="2540" spans="1:5" x14ac:dyDescent="0.2">
      <c r="A2540" s="335">
        <v>1001290444</v>
      </c>
      <c r="B2540" s="336" t="s">
        <v>3060</v>
      </c>
      <c r="C2540" s="336" t="s">
        <v>863</v>
      </c>
      <c r="D2540" s="336" t="s">
        <v>919</v>
      </c>
      <c r="E2540" s="336" t="s">
        <v>394</v>
      </c>
    </row>
    <row r="2541" spans="1:5" x14ac:dyDescent="0.2">
      <c r="A2541" s="335">
        <v>1001290603</v>
      </c>
      <c r="B2541" s="336" t="s">
        <v>3061</v>
      </c>
      <c r="C2541" s="336" t="s">
        <v>813</v>
      </c>
      <c r="D2541" s="336" t="s">
        <v>919</v>
      </c>
      <c r="E2541" s="336" t="s">
        <v>394</v>
      </c>
    </row>
    <row r="2542" spans="1:5" x14ac:dyDescent="0.2">
      <c r="A2542" s="335">
        <v>1001290673</v>
      </c>
      <c r="B2542" s="336" t="s">
        <v>3062</v>
      </c>
      <c r="C2542" s="336" t="s">
        <v>813</v>
      </c>
      <c r="D2542" s="336" t="s">
        <v>919</v>
      </c>
      <c r="E2542" s="336" t="s">
        <v>394</v>
      </c>
    </row>
    <row r="2543" spans="1:5" x14ac:dyDescent="0.2">
      <c r="A2543" s="335">
        <v>1001290791</v>
      </c>
      <c r="B2543" s="336" t="s">
        <v>3063</v>
      </c>
      <c r="C2543" s="336" t="s">
        <v>797</v>
      </c>
      <c r="D2543" s="336" t="s">
        <v>919</v>
      </c>
      <c r="E2543" s="336" t="s">
        <v>394</v>
      </c>
    </row>
    <row r="2544" spans="1:5" x14ac:dyDescent="0.2">
      <c r="A2544" s="335">
        <v>1001290809</v>
      </c>
      <c r="B2544" s="336" t="s">
        <v>3064</v>
      </c>
      <c r="C2544" s="336" t="s">
        <v>813</v>
      </c>
      <c r="D2544" s="336" t="s">
        <v>919</v>
      </c>
      <c r="E2544" s="336" t="s">
        <v>394</v>
      </c>
    </row>
    <row r="2545" spans="1:5" x14ac:dyDescent="0.2">
      <c r="A2545" s="335">
        <v>1001290820</v>
      </c>
      <c r="B2545" s="336" t="s">
        <v>3065</v>
      </c>
      <c r="C2545" s="336" t="s">
        <v>797</v>
      </c>
      <c r="D2545" s="336" t="s">
        <v>919</v>
      </c>
      <c r="E2545" s="336" t="s">
        <v>394</v>
      </c>
    </row>
    <row r="2546" spans="1:5" x14ac:dyDescent="0.2">
      <c r="A2546" s="335">
        <v>1001290821</v>
      </c>
      <c r="B2546" s="336" t="s">
        <v>3066</v>
      </c>
      <c r="C2546" s="336" t="s">
        <v>797</v>
      </c>
      <c r="D2546" s="336" t="s">
        <v>919</v>
      </c>
      <c r="E2546" s="336" t="s">
        <v>394</v>
      </c>
    </row>
    <row r="2547" spans="1:5" x14ac:dyDescent="0.2">
      <c r="A2547" s="335">
        <v>1001290824</v>
      </c>
      <c r="B2547" s="336" t="s">
        <v>3067</v>
      </c>
      <c r="C2547" s="336" t="s">
        <v>797</v>
      </c>
      <c r="D2547" s="336" t="s">
        <v>919</v>
      </c>
      <c r="E2547" s="336" t="s">
        <v>394</v>
      </c>
    </row>
    <row r="2548" spans="1:5" x14ac:dyDescent="0.2">
      <c r="A2548" s="335">
        <v>1001290825</v>
      </c>
      <c r="B2548" s="336" t="s">
        <v>3068</v>
      </c>
      <c r="C2548" s="336" t="s">
        <v>797</v>
      </c>
      <c r="D2548" s="336" t="s">
        <v>919</v>
      </c>
      <c r="E2548" s="336" t="s">
        <v>394</v>
      </c>
    </row>
    <row r="2549" spans="1:5" x14ac:dyDescent="0.2">
      <c r="A2549" s="335">
        <v>1001291277</v>
      </c>
      <c r="B2549" s="336" t="s">
        <v>3069</v>
      </c>
      <c r="C2549" s="336" t="s">
        <v>797</v>
      </c>
      <c r="D2549" s="336" t="s">
        <v>919</v>
      </c>
      <c r="E2549" s="336" t="s">
        <v>394</v>
      </c>
    </row>
    <row r="2550" spans="1:5" x14ac:dyDescent="0.2">
      <c r="A2550" s="335">
        <v>1001291279</v>
      </c>
      <c r="B2550" s="336" t="s">
        <v>3070</v>
      </c>
      <c r="C2550" s="336" t="s">
        <v>813</v>
      </c>
      <c r="D2550" s="336" t="s">
        <v>919</v>
      </c>
      <c r="E2550" s="336" t="s">
        <v>394</v>
      </c>
    </row>
    <row r="2551" spans="1:5" x14ac:dyDescent="0.2">
      <c r="A2551" s="335">
        <v>1001302147</v>
      </c>
      <c r="B2551" s="336" t="s">
        <v>3071</v>
      </c>
      <c r="C2551" s="336" t="s">
        <v>813</v>
      </c>
      <c r="D2551" s="336" t="s">
        <v>919</v>
      </c>
      <c r="E2551" s="336" t="s">
        <v>394</v>
      </c>
    </row>
    <row r="2552" spans="1:5" x14ac:dyDescent="0.2">
      <c r="A2552" s="335">
        <v>1001302315</v>
      </c>
      <c r="B2552" s="336" t="s">
        <v>3072</v>
      </c>
      <c r="C2552" s="336" t="s">
        <v>813</v>
      </c>
      <c r="D2552" s="336" t="s">
        <v>919</v>
      </c>
      <c r="E2552" s="336" t="s">
        <v>394</v>
      </c>
    </row>
    <row r="2553" spans="1:5" x14ac:dyDescent="0.2">
      <c r="A2553" s="335">
        <v>1001302316</v>
      </c>
      <c r="B2553" s="336" t="s">
        <v>2565</v>
      </c>
      <c r="C2553" s="336" t="s">
        <v>863</v>
      </c>
      <c r="D2553" s="336" t="s">
        <v>919</v>
      </c>
      <c r="E2553" s="336" t="s">
        <v>394</v>
      </c>
    </row>
    <row r="2554" spans="1:5" x14ac:dyDescent="0.2">
      <c r="A2554" s="335">
        <v>1001302364</v>
      </c>
      <c r="B2554" s="336" t="s">
        <v>3073</v>
      </c>
      <c r="C2554" s="336" t="s">
        <v>863</v>
      </c>
      <c r="D2554" s="336" t="s">
        <v>919</v>
      </c>
      <c r="E2554" s="336" t="s">
        <v>394</v>
      </c>
    </row>
    <row r="2555" spans="1:5" x14ac:dyDescent="0.2">
      <c r="A2555" s="335">
        <v>1001302645</v>
      </c>
      <c r="B2555" s="336" t="s">
        <v>3074</v>
      </c>
      <c r="C2555" s="336" t="s">
        <v>813</v>
      </c>
      <c r="D2555" s="336" t="s">
        <v>919</v>
      </c>
      <c r="E2555" s="336" t="s">
        <v>394</v>
      </c>
    </row>
    <row r="2556" spans="1:5" x14ac:dyDescent="0.2">
      <c r="A2556" s="335">
        <v>1001302647</v>
      </c>
      <c r="B2556" s="336" t="s">
        <v>3075</v>
      </c>
      <c r="C2556" s="336" t="s">
        <v>1097</v>
      </c>
      <c r="D2556" s="336" t="s">
        <v>919</v>
      </c>
      <c r="E2556" s="336" t="s">
        <v>394</v>
      </c>
    </row>
    <row r="2557" spans="1:5" x14ac:dyDescent="0.2">
      <c r="A2557" s="335">
        <v>1001311835</v>
      </c>
      <c r="B2557" s="336" t="s">
        <v>3076</v>
      </c>
      <c r="C2557" s="336" t="s">
        <v>813</v>
      </c>
      <c r="D2557" s="336" t="s">
        <v>919</v>
      </c>
      <c r="E2557" s="336" t="s">
        <v>394</v>
      </c>
    </row>
    <row r="2558" spans="1:5" x14ac:dyDescent="0.2">
      <c r="A2558" s="335">
        <v>1001312855</v>
      </c>
      <c r="B2558" s="336" t="s">
        <v>3077</v>
      </c>
      <c r="C2558" s="336" t="s">
        <v>863</v>
      </c>
      <c r="D2558" s="336" t="s">
        <v>919</v>
      </c>
      <c r="E2558" s="336" t="s">
        <v>394</v>
      </c>
    </row>
    <row r="2559" spans="1:5" x14ac:dyDescent="0.2">
      <c r="A2559" s="335">
        <v>1001314089</v>
      </c>
      <c r="B2559" s="336" t="s">
        <v>3078</v>
      </c>
      <c r="C2559" s="336" t="s">
        <v>813</v>
      </c>
      <c r="D2559" s="336" t="s">
        <v>919</v>
      </c>
      <c r="E2559" s="336" t="s">
        <v>394</v>
      </c>
    </row>
    <row r="2560" spans="1:5" x14ac:dyDescent="0.2">
      <c r="A2560" s="335">
        <v>1001314620</v>
      </c>
      <c r="B2560" s="336" t="s">
        <v>3079</v>
      </c>
      <c r="C2560" s="336" t="s">
        <v>813</v>
      </c>
      <c r="D2560" s="336" t="s">
        <v>919</v>
      </c>
      <c r="E2560" s="336" t="s">
        <v>394</v>
      </c>
    </row>
    <row r="2561" spans="1:5" x14ac:dyDescent="0.2">
      <c r="A2561" s="335">
        <v>1001315075</v>
      </c>
      <c r="B2561" s="336" t="s">
        <v>3080</v>
      </c>
      <c r="C2561" s="336" t="s">
        <v>863</v>
      </c>
      <c r="D2561" s="336" t="s">
        <v>919</v>
      </c>
      <c r="E2561" s="336" t="s">
        <v>394</v>
      </c>
    </row>
    <row r="2562" spans="1:5" x14ac:dyDescent="0.2">
      <c r="A2562" s="335">
        <v>1001334721</v>
      </c>
      <c r="B2562" s="336" t="s">
        <v>3059</v>
      </c>
      <c r="C2562" s="336" t="s">
        <v>813</v>
      </c>
      <c r="D2562" s="336" t="s">
        <v>919</v>
      </c>
      <c r="E2562" s="336" t="s">
        <v>394</v>
      </c>
    </row>
    <row r="2563" spans="1:5" x14ac:dyDescent="0.2">
      <c r="A2563" s="335">
        <v>1001266905</v>
      </c>
      <c r="B2563" s="336" t="s">
        <v>3081</v>
      </c>
      <c r="C2563" s="336" t="s">
        <v>813</v>
      </c>
      <c r="D2563" s="336" t="s">
        <v>1106</v>
      </c>
      <c r="E2563" s="336" t="s">
        <v>1107</v>
      </c>
    </row>
    <row r="2564" spans="1:5" x14ac:dyDescent="0.2">
      <c r="A2564" s="335">
        <v>1001272577</v>
      </c>
      <c r="B2564" s="336" t="s">
        <v>3082</v>
      </c>
      <c r="C2564" s="336" t="s">
        <v>813</v>
      </c>
      <c r="D2564" s="336" t="s">
        <v>1106</v>
      </c>
      <c r="E2564" s="336" t="s">
        <v>1107</v>
      </c>
    </row>
    <row r="2565" spans="1:5" x14ac:dyDescent="0.2">
      <c r="A2565" s="335">
        <v>1001273331</v>
      </c>
      <c r="B2565" s="336" t="s">
        <v>3083</v>
      </c>
      <c r="C2565" s="336" t="s">
        <v>813</v>
      </c>
      <c r="D2565" s="336" t="s">
        <v>1106</v>
      </c>
      <c r="E2565" s="336" t="s">
        <v>1107</v>
      </c>
    </row>
    <row r="2566" spans="1:5" x14ac:dyDescent="0.2">
      <c r="A2566" s="335">
        <v>1001274465</v>
      </c>
      <c r="B2566" s="336" t="s">
        <v>3084</v>
      </c>
      <c r="C2566" s="336" t="s">
        <v>797</v>
      </c>
      <c r="D2566" s="336" t="s">
        <v>1106</v>
      </c>
      <c r="E2566" s="336" t="s">
        <v>1107</v>
      </c>
    </row>
    <row r="2567" spans="1:5" x14ac:dyDescent="0.2">
      <c r="A2567" s="335">
        <v>1001274466</v>
      </c>
      <c r="B2567" s="336" t="s">
        <v>3085</v>
      </c>
      <c r="C2567" s="336" t="s">
        <v>797</v>
      </c>
      <c r="D2567" s="336" t="s">
        <v>1106</v>
      </c>
      <c r="E2567" s="336" t="s">
        <v>1107</v>
      </c>
    </row>
    <row r="2568" spans="1:5" x14ac:dyDescent="0.2">
      <c r="A2568" s="335">
        <v>1001274467</v>
      </c>
      <c r="B2568" s="336" t="s">
        <v>3086</v>
      </c>
      <c r="C2568" s="336" t="s">
        <v>797</v>
      </c>
      <c r="D2568" s="336" t="s">
        <v>1106</v>
      </c>
      <c r="E2568" s="336" t="s">
        <v>1107</v>
      </c>
    </row>
    <row r="2569" spans="1:5" x14ac:dyDescent="0.2">
      <c r="A2569" s="335">
        <v>1001274468</v>
      </c>
      <c r="B2569" s="336" t="s">
        <v>3087</v>
      </c>
      <c r="C2569" s="336" t="s">
        <v>797</v>
      </c>
      <c r="D2569" s="336" t="s">
        <v>1106</v>
      </c>
      <c r="E2569" s="336" t="s">
        <v>1107</v>
      </c>
    </row>
    <row r="2570" spans="1:5" x14ac:dyDescent="0.2">
      <c r="A2570" s="335">
        <v>1001274469</v>
      </c>
      <c r="B2570" s="336" t="s">
        <v>3088</v>
      </c>
      <c r="C2570" s="336" t="s">
        <v>797</v>
      </c>
      <c r="D2570" s="336" t="s">
        <v>1106</v>
      </c>
      <c r="E2570" s="336" t="s">
        <v>1107</v>
      </c>
    </row>
    <row r="2571" spans="1:5" x14ac:dyDescent="0.2">
      <c r="A2571" s="335">
        <v>1001274482</v>
      </c>
      <c r="B2571" s="336" t="s">
        <v>3089</v>
      </c>
      <c r="C2571" s="336" t="s">
        <v>797</v>
      </c>
      <c r="D2571" s="336" t="s">
        <v>1106</v>
      </c>
      <c r="E2571" s="336" t="s">
        <v>1107</v>
      </c>
    </row>
    <row r="2572" spans="1:5" x14ac:dyDescent="0.2">
      <c r="A2572" s="335">
        <v>1001274483</v>
      </c>
      <c r="B2572" s="336" t="s">
        <v>3090</v>
      </c>
      <c r="C2572" s="336" t="s">
        <v>797</v>
      </c>
      <c r="D2572" s="336" t="s">
        <v>1106</v>
      </c>
      <c r="E2572" s="336" t="s">
        <v>1107</v>
      </c>
    </row>
    <row r="2573" spans="1:5" x14ac:dyDescent="0.2">
      <c r="A2573" s="335">
        <v>1001276415</v>
      </c>
      <c r="B2573" s="336" t="s">
        <v>3091</v>
      </c>
      <c r="C2573" s="336" t="s">
        <v>797</v>
      </c>
      <c r="D2573" s="336" t="s">
        <v>1106</v>
      </c>
      <c r="E2573" s="336" t="s">
        <v>1107</v>
      </c>
    </row>
    <row r="2574" spans="1:5" x14ac:dyDescent="0.2">
      <c r="A2574" s="335">
        <v>1001276416</v>
      </c>
      <c r="B2574" s="336" t="s">
        <v>3092</v>
      </c>
      <c r="C2574" s="336" t="s">
        <v>797</v>
      </c>
      <c r="D2574" s="336" t="s">
        <v>1106</v>
      </c>
      <c r="E2574" s="336" t="s">
        <v>1107</v>
      </c>
    </row>
    <row r="2575" spans="1:5" x14ac:dyDescent="0.2">
      <c r="A2575" s="335">
        <v>1001276417</v>
      </c>
      <c r="B2575" s="336" t="s">
        <v>3093</v>
      </c>
      <c r="C2575" s="336" t="s">
        <v>797</v>
      </c>
      <c r="D2575" s="336" t="s">
        <v>1106</v>
      </c>
      <c r="E2575" s="336" t="s">
        <v>1107</v>
      </c>
    </row>
    <row r="2576" spans="1:5" x14ac:dyDescent="0.2">
      <c r="A2576" s="335">
        <v>1001276418</v>
      </c>
      <c r="B2576" s="336" t="s">
        <v>3094</v>
      </c>
      <c r="C2576" s="336" t="s">
        <v>797</v>
      </c>
      <c r="D2576" s="336" t="s">
        <v>1106</v>
      </c>
      <c r="E2576" s="336" t="s">
        <v>1107</v>
      </c>
    </row>
    <row r="2577" spans="1:5" x14ac:dyDescent="0.2">
      <c r="A2577" s="335">
        <v>1001280402</v>
      </c>
      <c r="B2577" s="336" t="s">
        <v>3095</v>
      </c>
      <c r="C2577" s="336" t="s">
        <v>813</v>
      </c>
      <c r="D2577" s="336" t="s">
        <v>1106</v>
      </c>
      <c r="E2577" s="336" t="s">
        <v>1107</v>
      </c>
    </row>
    <row r="2578" spans="1:5" x14ac:dyDescent="0.2">
      <c r="A2578" s="335">
        <v>1001280403</v>
      </c>
      <c r="B2578" s="336" t="s">
        <v>3096</v>
      </c>
      <c r="C2578" s="336" t="s">
        <v>813</v>
      </c>
      <c r="D2578" s="336" t="s">
        <v>1106</v>
      </c>
      <c r="E2578" s="336" t="s">
        <v>1107</v>
      </c>
    </row>
    <row r="2579" spans="1:5" x14ac:dyDescent="0.2">
      <c r="A2579" s="335">
        <v>1001290568</v>
      </c>
      <c r="B2579" s="336" t="s">
        <v>3097</v>
      </c>
      <c r="C2579" s="336" t="s">
        <v>813</v>
      </c>
      <c r="D2579" s="336" t="s">
        <v>1106</v>
      </c>
      <c r="E2579" s="336" t="s">
        <v>1107</v>
      </c>
    </row>
    <row r="2580" spans="1:5" x14ac:dyDescent="0.2">
      <c r="A2580" s="335">
        <v>1001290607</v>
      </c>
      <c r="B2580" s="336" t="s">
        <v>3098</v>
      </c>
      <c r="C2580" s="336" t="s">
        <v>813</v>
      </c>
      <c r="D2580" s="336" t="s">
        <v>1106</v>
      </c>
      <c r="E2580" s="336" t="s">
        <v>1107</v>
      </c>
    </row>
    <row r="2581" spans="1:5" x14ac:dyDescent="0.2">
      <c r="A2581" s="335">
        <v>1001302427</v>
      </c>
      <c r="B2581" s="336" t="s">
        <v>1105</v>
      </c>
      <c r="C2581" s="336" t="s">
        <v>813</v>
      </c>
      <c r="D2581" s="336" t="s">
        <v>1106</v>
      </c>
      <c r="E2581" s="336" t="s">
        <v>1107</v>
      </c>
    </row>
    <row r="2582" spans="1:5" x14ac:dyDescent="0.2">
      <c r="A2582" s="335">
        <v>1001302441</v>
      </c>
      <c r="B2582" s="336" t="s">
        <v>3099</v>
      </c>
      <c r="C2582" s="336" t="s">
        <v>813</v>
      </c>
      <c r="D2582" s="336" t="s">
        <v>1106</v>
      </c>
      <c r="E2582" s="336" t="s">
        <v>1107</v>
      </c>
    </row>
    <row r="2583" spans="1:5" x14ac:dyDescent="0.2">
      <c r="A2583" s="335">
        <v>1001302596</v>
      </c>
      <c r="B2583" s="336" t="s">
        <v>3100</v>
      </c>
      <c r="C2583" s="336" t="s">
        <v>813</v>
      </c>
      <c r="D2583" s="336" t="s">
        <v>1106</v>
      </c>
      <c r="E2583" s="336" t="s">
        <v>1107</v>
      </c>
    </row>
    <row r="2584" spans="1:5" x14ac:dyDescent="0.2">
      <c r="A2584" s="335">
        <v>1001321694</v>
      </c>
      <c r="B2584" s="336" t="s">
        <v>1979</v>
      </c>
      <c r="C2584" s="336" t="s">
        <v>813</v>
      </c>
      <c r="D2584" s="336" t="s">
        <v>1106</v>
      </c>
      <c r="E2584" s="336" t="s">
        <v>1107</v>
      </c>
    </row>
    <row r="2585" spans="1:5" x14ac:dyDescent="0.2">
      <c r="A2585" s="335">
        <v>1001311770</v>
      </c>
      <c r="B2585" s="336" t="s">
        <v>3101</v>
      </c>
      <c r="C2585" s="336" t="s">
        <v>800</v>
      </c>
      <c r="D2585" s="336" t="s">
        <v>3102</v>
      </c>
      <c r="E2585" s="336" t="s">
        <v>3103</v>
      </c>
    </row>
    <row r="2586" spans="1:5" x14ac:dyDescent="0.2">
      <c r="A2586" s="335">
        <v>1001338087</v>
      </c>
      <c r="B2586" s="336" t="s">
        <v>3104</v>
      </c>
      <c r="C2586" s="336" t="s">
        <v>800</v>
      </c>
      <c r="D2586" s="336" t="s">
        <v>3105</v>
      </c>
      <c r="E2586" s="336" t="s">
        <v>3106</v>
      </c>
    </row>
    <row r="2587" spans="1:5" x14ac:dyDescent="0.2">
      <c r="A2587" s="335">
        <v>1001338088</v>
      </c>
      <c r="B2587" s="336" t="s">
        <v>3107</v>
      </c>
      <c r="C2587" s="336" t="s">
        <v>800</v>
      </c>
      <c r="D2587" s="336" t="s">
        <v>3105</v>
      </c>
      <c r="E2587" s="336" t="s">
        <v>3106</v>
      </c>
    </row>
    <row r="2588" spans="1:5" x14ac:dyDescent="0.2">
      <c r="A2588" s="335">
        <v>1001338089</v>
      </c>
      <c r="B2588" s="336" t="s">
        <v>3108</v>
      </c>
      <c r="C2588" s="336" t="s">
        <v>800</v>
      </c>
      <c r="D2588" s="336" t="s">
        <v>3105</v>
      </c>
      <c r="E2588" s="336" t="s">
        <v>3106</v>
      </c>
    </row>
    <row r="2589" spans="1:5" x14ac:dyDescent="0.2">
      <c r="A2589" s="335">
        <v>1001338360</v>
      </c>
      <c r="B2589" s="336" t="s">
        <v>3109</v>
      </c>
      <c r="C2589" s="336" t="s">
        <v>800</v>
      </c>
      <c r="D2589" s="336" t="s">
        <v>3105</v>
      </c>
      <c r="E2589" s="336" t="s">
        <v>3106</v>
      </c>
    </row>
    <row r="2590" spans="1:5" x14ac:dyDescent="0.2">
      <c r="A2590" s="335">
        <v>1001338361</v>
      </c>
      <c r="B2590" s="336" t="s">
        <v>3110</v>
      </c>
      <c r="C2590" s="336" t="s">
        <v>800</v>
      </c>
      <c r="D2590" s="336" t="s">
        <v>3105</v>
      </c>
      <c r="E2590" s="336" t="s">
        <v>3106</v>
      </c>
    </row>
    <row r="2591" spans="1:5" x14ac:dyDescent="0.2">
      <c r="A2591" s="335">
        <v>1001338363</v>
      </c>
      <c r="B2591" s="336" t="s">
        <v>3111</v>
      </c>
      <c r="C2591" s="336" t="s">
        <v>800</v>
      </c>
      <c r="D2591" s="336" t="s">
        <v>3105</v>
      </c>
      <c r="E2591" s="336" t="s">
        <v>3106</v>
      </c>
    </row>
    <row r="2592" spans="1:5" x14ac:dyDescent="0.2">
      <c r="A2592" s="335">
        <v>1001338364</v>
      </c>
      <c r="B2592" s="336" t="s">
        <v>3112</v>
      </c>
      <c r="C2592" s="336" t="s">
        <v>800</v>
      </c>
      <c r="D2592" s="336" t="s">
        <v>3105</v>
      </c>
      <c r="E2592" s="336" t="s">
        <v>3106</v>
      </c>
    </row>
    <row r="2593" spans="1:5" x14ac:dyDescent="0.2">
      <c r="A2593" s="335">
        <v>1001338365</v>
      </c>
      <c r="B2593" s="336" t="s">
        <v>1935</v>
      </c>
      <c r="C2593" s="336" t="s">
        <v>800</v>
      </c>
      <c r="D2593" s="336" t="s">
        <v>3105</v>
      </c>
      <c r="E2593" s="336" t="s">
        <v>3106</v>
      </c>
    </row>
    <row r="2594" spans="1:5" x14ac:dyDescent="0.2">
      <c r="A2594" s="335">
        <v>1001338366</v>
      </c>
      <c r="B2594" s="336" t="s">
        <v>3113</v>
      </c>
      <c r="C2594" s="336" t="s">
        <v>800</v>
      </c>
      <c r="D2594" s="336" t="s">
        <v>3105</v>
      </c>
      <c r="E2594" s="336" t="s">
        <v>3106</v>
      </c>
    </row>
    <row r="2595" spans="1:5" x14ac:dyDescent="0.2">
      <c r="A2595" s="335">
        <v>1001338369</v>
      </c>
      <c r="B2595" s="336" t="s">
        <v>3114</v>
      </c>
      <c r="C2595" s="336" t="s">
        <v>800</v>
      </c>
      <c r="D2595" s="336" t="s">
        <v>3105</v>
      </c>
      <c r="E2595" s="336" t="s">
        <v>3106</v>
      </c>
    </row>
    <row r="2596" spans="1:5" x14ac:dyDescent="0.2">
      <c r="A2596" s="335">
        <v>1001338460</v>
      </c>
      <c r="B2596" s="336" t="s">
        <v>3115</v>
      </c>
      <c r="C2596" s="336" t="s">
        <v>800</v>
      </c>
      <c r="D2596" s="336" t="s">
        <v>3105</v>
      </c>
      <c r="E2596" s="336" t="s">
        <v>3106</v>
      </c>
    </row>
    <row r="2597" spans="1:5" x14ac:dyDescent="0.2">
      <c r="A2597" s="335">
        <v>1001338461</v>
      </c>
      <c r="B2597" s="336" t="s">
        <v>3116</v>
      </c>
      <c r="C2597" s="336" t="s">
        <v>800</v>
      </c>
      <c r="D2597" s="336" t="s">
        <v>3105</v>
      </c>
      <c r="E2597" s="336" t="s">
        <v>3106</v>
      </c>
    </row>
    <row r="2598" spans="1:5" x14ac:dyDescent="0.2">
      <c r="A2598" s="335">
        <v>1001338462</v>
      </c>
      <c r="B2598" s="336" t="s">
        <v>3117</v>
      </c>
      <c r="C2598" s="336" t="s">
        <v>800</v>
      </c>
      <c r="D2598" s="336" t="s">
        <v>3105</v>
      </c>
      <c r="E2598" s="336" t="s">
        <v>3106</v>
      </c>
    </row>
    <row r="2599" spans="1:5" x14ac:dyDescent="0.2">
      <c r="A2599" s="335">
        <v>1001338463</v>
      </c>
      <c r="B2599" s="336" t="s">
        <v>3118</v>
      </c>
      <c r="C2599" s="336" t="s">
        <v>800</v>
      </c>
      <c r="D2599" s="336" t="s">
        <v>3105</v>
      </c>
      <c r="E2599" s="336" t="s">
        <v>3106</v>
      </c>
    </row>
    <row r="2600" spans="1:5" x14ac:dyDescent="0.2">
      <c r="A2600" s="335">
        <v>1001338464</v>
      </c>
      <c r="B2600" s="336" t="s">
        <v>3119</v>
      </c>
      <c r="C2600" s="336" t="s">
        <v>800</v>
      </c>
      <c r="D2600" s="336" t="s">
        <v>3105</v>
      </c>
      <c r="E2600" s="336" t="s">
        <v>3106</v>
      </c>
    </row>
    <row r="2601" spans="1:5" x14ac:dyDescent="0.2">
      <c r="A2601" s="335">
        <v>1001338465</v>
      </c>
      <c r="B2601" s="336" t="s">
        <v>3120</v>
      </c>
      <c r="C2601" s="336" t="s">
        <v>800</v>
      </c>
      <c r="D2601" s="336" t="s">
        <v>3105</v>
      </c>
      <c r="E2601" s="336" t="s">
        <v>3106</v>
      </c>
    </row>
    <row r="2602" spans="1:5" x14ac:dyDescent="0.2">
      <c r="A2602" s="335">
        <v>1001338467</v>
      </c>
      <c r="B2602" s="336" t="s">
        <v>3121</v>
      </c>
      <c r="C2602" s="336" t="s">
        <v>800</v>
      </c>
      <c r="D2602" s="336" t="s">
        <v>3105</v>
      </c>
      <c r="E2602" s="336" t="s">
        <v>3106</v>
      </c>
    </row>
    <row r="2603" spans="1:5" x14ac:dyDescent="0.2">
      <c r="A2603" s="335">
        <v>1001338468</v>
      </c>
      <c r="B2603" s="336" t="s">
        <v>3122</v>
      </c>
      <c r="C2603" s="336" t="s">
        <v>800</v>
      </c>
      <c r="D2603" s="336" t="s">
        <v>3105</v>
      </c>
      <c r="E2603" s="336" t="s">
        <v>3106</v>
      </c>
    </row>
    <row r="2604" spans="1:5" x14ac:dyDescent="0.2">
      <c r="A2604" s="335">
        <v>1001338750</v>
      </c>
      <c r="B2604" s="336" t="s">
        <v>3123</v>
      </c>
      <c r="C2604" s="336" t="s">
        <v>800</v>
      </c>
      <c r="D2604" s="336" t="s">
        <v>3105</v>
      </c>
      <c r="E2604" s="336" t="s">
        <v>3106</v>
      </c>
    </row>
    <row r="2605" spans="1:5" x14ac:dyDescent="0.2">
      <c r="A2605" s="335">
        <v>1001338751</v>
      </c>
      <c r="B2605" s="336" t="s">
        <v>3124</v>
      </c>
      <c r="C2605" s="336" t="s">
        <v>800</v>
      </c>
      <c r="D2605" s="336" t="s">
        <v>3105</v>
      </c>
      <c r="E2605" s="336" t="s">
        <v>3106</v>
      </c>
    </row>
    <row r="2606" spans="1:5" x14ac:dyDescent="0.2">
      <c r="A2606" s="335">
        <v>1001338752</v>
      </c>
      <c r="B2606" s="336" t="s">
        <v>3125</v>
      </c>
      <c r="C2606" s="336" t="s">
        <v>800</v>
      </c>
      <c r="D2606" s="336" t="s">
        <v>3105</v>
      </c>
      <c r="E2606" s="336" t="s">
        <v>3106</v>
      </c>
    </row>
    <row r="2607" spans="1:5" x14ac:dyDescent="0.2">
      <c r="A2607" s="335">
        <v>1001338754</v>
      </c>
      <c r="B2607" s="336" t="s">
        <v>3126</v>
      </c>
      <c r="C2607" s="336" t="s">
        <v>800</v>
      </c>
      <c r="D2607" s="336" t="s">
        <v>3105</v>
      </c>
      <c r="E2607" s="336" t="s">
        <v>3106</v>
      </c>
    </row>
    <row r="2608" spans="1:5" x14ac:dyDescent="0.2">
      <c r="A2608" s="335">
        <v>1001338755</v>
      </c>
      <c r="B2608" s="336" t="s">
        <v>3127</v>
      </c>
      <c r="C2608" s="336" t="s">
        <v>800</v>
      </c>
      <c r="D2608" s="336" t="s">
        <v>3105</v>
      </c>
      <c r="E2608" s="336" t="s">
        <v>3106</v>
      </c>
    </row>
    <row r="2609" spans="1:5" x14ac:dyDescent="0.2">
      <c r="A2609" s="335">
        <v>1001338758</v>
      </c>
      <c r="B2609" s="336" t="s">
        <v>3128</v>
      </c>
      <c r="C2609" s="336" t="s">
        <v>800</v>
      </c>
      <c r="D2609" s="336" t="s">
        <v>3105</v>
      </c>
      <c r="E2609" s="336" t="s">
        <v>3106</v>
      </c>
    </row>
    <row r="2610" spans="1:5" x14ac:dyDescent="0.2">
      <c r="A2610" s="335">
        <v>1001338759</v>
      </c>
      <c r="B2610" s="336" t="s">
        <v>3129</v>
      </c>
      <c r="C2610" s="336" t="s">
        <v>800</v>
      </c>
      <c r="D2610" s="336" t="s">
        <v>3105</v>
      </c>
      <c r="E2610" s="336" t="s">
        <v>3106</v>
      </c>
    </row>
    <row r="2611" spans="1:5" x14ac:dyDescent="0.2">
      <c r="A2611" s="335">
        <v>1001338840</v>
      </c>
      <c r="B2611" s="336" t="s">
        <v>3130</v>
      </c>
      <c r="C2611" s="336" t="s">
        <v>800</v>
      </c>
      <c r="D2611" s="336" t="s">
        <v>3105</v>
      </c>
      <c r="E2611" s="336" t="s">
        <v>3106</v>
      </c>
    </row>
    <row r="2612" spans="1:5" x14ac:dyDescent="0.2">
      <c r="A2612" s="335">
        <v>1001338843</v>
      </c>
      <c r="B2612" s="336" t="s">
        <v>3131</v>
      </c>
      <c r="C2612" s="336" t="s">
        <v>800</v>
      </c>
      <c r="D2612" s="336" t="s">
        <v>3105</v>
      </c>
      <c r="E2612" s="336" t="s">
        <v>3106</v>
      </c>
    </row>
    <row r="2613" spans="1:5" x14ac:dyDescent="0.2">
      <c r="A2613" s="335">
        <v>1001338844</v>
      </c>
      <c r="B2613" s="336" t="s">
        <v>3132</v>
      </c>
      <c r="C2613" s="336" t="s">
        <v>863</v>
      </c>
      <c r="D2613" s="336" t="s">
        <v>3105</v>
      </c>
      <c r="E2613" s="336" t="s">
        <v>3106</v>
      </c>
    </row>
    <row r="2614" spans="1:5" x14ac:dyDescent="0.2">
      <c r="A2614" s="335">
        <v>1001338845</v>
      </c>
      <c r="B2614" s="336" t="s">
        <v>3132</v>
      </c>
      <c r="C2614" s="336" t="s">
        <v>800</v>
      </c>
      <c r="D2614" s="336" t="s">
        <v>3105</v>
      </c>
      <c r="E2614" s="336" t="s">
        <v>3106</v>
      </c>
    </row>
    <row r="2615" spans="1:5" x14ac:dyDescent="0.2">
      <c r="A2615" s="335">
        <v>1001338846</v>
      </c>
      <c r="B2615" s="336" t="s">
        <v>3133</v>
      </c>
      <c r="C2615" s="336" t="s">
        <v>863</v>
      </c>
      <c r="D2615" s="336" t="s">
        <v>3105</v>
      </c>
      <c r="E2615" s="336" t="s">
        <v>3106</v>
      </c>
    </row>
    <row r="2616" spans="1:5" x14ac:dyDescent="0.2">
      <c r="A2616" s="335">
        <v>1001338847</v>
      </c>
      <c r="B2616" s="336" t="s">
        <v>3134</v>
      </c>
      <c r="C2616" s="336" t="s">
        <v>800</v>
      </c>
      <c r="D2616" s="336" t="s">
        <v>3105</v>
      </c>
      <c r="E2616" s="336" t="s">
        <v>3106</v>
      </c>
    </row>
    <row r="2617" spans="1:5" x14ac:dyDescent="0.2">
      <c r="A2617" s="335">
        <v>1001338848</v>
      </c>
      <c r="B2617" s="336" t="s">
        <v>3135</v>
      </c>
      <c r="C2617" s="336" t="s">
        <v>800</v>
      </c>
      <c r="D2617" s="336" t="s">
        <v>3105</v>
      </c>
      <c r="E2617" s="336" t="s">
        <v>3106</v>
      </c>
    </row>
    <row r="2618" spans="1:5" x14ac:dyDescent="0.2">
      <c r="A2618" s="335">
        <v>1001338930</v>
      </c>
      <c r="B2618" s="336" t="s">
        <v>3136</v>
      </c>
      <c r="C2618" s="336" t="s">
        <v>863</v>
      </c>
      <c r="D2618" s="336" t="s">
        <v>3105</v>
      </c>
      <c r="E2618" s="336" t="s">
        <v>3106</v>
      </c>
    </row>
    <row r="2619" spans="1:5" x14ac:dyDescent="0.2">
      <c r="A2619" s="335">
        <v>1001338931</v>
      </c>
      <c r="B2619" s="336" t="s">
        <v>3126</v>
      </c>
      <c r="C2619" s="336" t="s">
        <v>800</v>
      </c>
      <c r="D2619" s="336" t="s">
        <v>3105</v>
      </c>
      <c r="E2619" s="336" t="s">
        <v>3106</v>
      </c>
    </row>
    <row r="2620" spans="1:5" x14ac:dyDescent="0.2">
      <c r="A2620" s="335">
        <v>1001338932</v>
      </c>
      <c r="B2620" s="336" t="s">
        <v>3137</v>
      </c>
      <c r="C2620" s="336" t="s">
        <v>800</v>
      </c>
      <c r="D2620" s="336" t="s">
        <v>3105</v>
      </c>
      <c r="E2620" s="336" t="s">
        <v>3106</v>
      </c>
    </row>
    <row r="2621" spans="1:5" x14ac:dyDescent="0.2">
      <c r="A2621" s="335">
        <v>1001338933</v>
      </c>
      <c r="B2621" s="336" t="s">
        <v>3138</v>
      </c>
      <c r="C2621" s="336" t="s">
        <v>800</v>
      </c>
      <c r="D2621" s="336" t="s">
        <v>3105</v>
      </c>
      <c r="E2621" s="336" t="s">
        <v>3106</v>
      </c>
    </row>
    <row r="2622" spans="1:5" x14ac:dyDescent="0.2">
      <c r="A2622" s="335">
        <v>1001338934</v>
      </c>
      <c r="B2622" s="336" t="s">
        <v>3139</v>
      </c>
      <c r="C2622" s="336" t="s">
        <v>800</v>
      </c>
      <c r="D2622" s="336" t="s">
        <v>3105</v>
      </c>
      <c r="E2622" s="336" t="s">
        <v>3106</v>
      </c>
    </row>
    <row r="2623" spans="1:5" x14ac:dyDescent="0.2">
      <c r="A2623" s="335">
        <v>1001338935</v>
      </c>
      <c r="B2623" s="336" t="s">
        <v>3124</v>
      </c>
      <c r="C2623" s="336" t="s">
        <v>800</v>
      </c>
      <c r="D2623" s="336" t="s">
        <v>3105</v>
      </c>
      <c r="E2623" s="336" t="s">
        <v>3106</v>
      </c>
    </row>
    <row r="2624" spans="1:5" x14ac:dyDescent="0.2">
      <c r="A2624" s="335">
        <v>1001338936</v>
      </c>
      <c r="B2624" s="336" t="s">
        <v>3140</v>
      </c>
      <c r="C2624" s="336" t="s">
        <v>800</v>
      </c>
      <c r="D2624" s="336" t="s">
        <v>3105</v>
      </c>
      <c r="E2624" s="336" t="s">
        <v>3106</v>
      </c>
    </row>
    <row r="2625" spans="1:5" x14ac:dyDescent="0.2">
      <c r="A2625" s="335">
        <v>1001338937</v>
      </c>
      <c r="B2625" s="336" t="s">
        <v>3141</v>
      </c>
      <c r="C2625" s="336" t="s">
        <v>800</v>
      </c>
      <c r="D2625" s="336" t="s">
        <v>3105</v>
      </c>
      <c r="E2625" s="336" t="s">
        <v>3106</v>
      </c>
    </row>
    <row r="2626" spans="1:5" x14ac:dyDescent="0.2">
      <c r="A2626" s="335">
        <v>1001338938</v>
      </c>
      <c r="B2626" s="336" t="s">
        <v>3126</v>
      </c>
      <c r="C2626" s="336" t="s">
        <v>800</v>
      </c>
      <c r="D2626" s="336" t="s">
        <v>3105</v>
      </c>
      <c r="E2626" s="336" t="s">
        <v>3106</v>
      </c>
    </row>
    <row r="2627" spans="1:5" x14ac:dyDescent="0.2">
      <c r="A2627" s="335">
        <v>1001338990</v>
      </c>
      <c r="B2627" s="336" t="s">
        <v>3142</v>
      </c>
      <c r="C2627" s="336" t="s">
        <v>800</v>
      </c>
      <c r="D2627" s="336" t="s">
        <v>3105</v>
      </c>
      <c r="E2627" s="336" t="s">
        <v>3106</v>
      </c>
    </row>
    <row r="2628" spans="1:5" x14ac:dyDescent="0.2">
      <c r="A2628" s="335">
        <v>1001338991</v>
      </c>
      <c r="B2628" s="336" t="s">
        <v>3143</v>
      </c>
      <c r="C2628" s="336" t="s">
        <v>800</v>
      </c>
      <c r="D2628" s="336" t="s">
        <v>3105</v>
      </c>
      <c r="E2628" s="336" t="s">
        <v>3106</v>
      </c>
    </row>
    <row r="2629" spans="1:5" x14ac:dyDescent="0.2">
      <c r="A2629" s="335">
        <v>1001338993</v>
      </c>
      <c r="B2629" s="336" t="s">
        <v>3144</v>
      </c>
      <c r="C2629" s="336" t="s">
        <v>800</v>
      </c>
      <c r="D2629" s="336" t="s">
        <v>3105</v>
      </c>
      <c r="E2629" s="336" t="s">
        <v>3106</v>
      </c>
    </row>
    <row r="2630" spans="1:5" x14ac:dyDescent="0.2">
      <c r="A2630" s="335">
        <v>1001338994</v>
      </c>
      <c r="B2630" s="336" t="s">
        <v>3126</v>
      </c>
      <c r="C2630" s="336" t="s">
        <v>800</v>
      </c>
      <c r="D2630" s="336" t="s">
        <v>3105</v>
      </c>
      <c r="E2630" s="336" t="s">
        <v>3106</v>
      </c>
    </row>
    <row r="2631" spans="1:5" x14ac:dyDescent="0.2">
      <c r="A2631" s="335">
        <v>1001338995</v>
      </c>
      <c r="B2631" s="336" t="s">
        <v>3126</v>
      </c>
      <c r="C2631" s="336" t="s">
        <v>800</v>
      </c>
      <c r="D2631" s="336" t="s">
        <v>3105</v>
      </c>
      <c r="E2631" s="336" t="s">
        <v>3106</v>
      </c>
    </row>
    <row r="2632" spans="1:5" x14ac:dyDescent="0.2">
      <c r="A2632" s="335">
        <v>1001338996</v>
      </c>
      <c r="B2632" s="336" t="s">
        <v>3145</v>
      </c>
      <c r="C2632" s="336" t="s">
        <v>800</v>
      </c>
      <c r="D2632" s="336" t="s">
        <v>3105</v>
      </c>
      <c r="E2632" s="336" t="s">
        <v>3106</v>
      </c>
    </row>
    <row r="2633" spans="1:5" x14ac:dyDescent="0.2">
      <c r="A2633" s="335">
        <v>1001338998</v>
      </c>
      <c r="B2633" s="336" t="s">
        <v>3146</v>
      </c>
      <c r="C2633" s="336" t="s">
        <v>800</v>
      </c>
      <c r="D2633" s="336" t="s">
        <v>3105</v>
      </c>
      <c r="E2633" s="336" t="s">
        <v>3106</v>
      </c>
    </row>
    <row r="2634" spans="1:5" x14ac:dyDescent="0.2">
      <c r="A2634" s="335">
        <v>1001338999</v>
      </c>
      <c r="B2634" s="336" t="s">
        <v>3147</v>
      </c>
      <c r="C2634" s="336" t="s">
        <v>800</v>
      </c>
      <c r="D2634" s="336" t="s">
        <v>3105</v>
      </c>
      <c r="E2634" s="336" t="s">
        <v>3106</v>
      </c>
    </row>
    <row r="2635" spans="1:5" x14ac:dyDescent="0.2">
      <c r="A2635" s="335">
        <v>1001339032</v>
      </c>
      <c r="B2635" s="336" t="s">
        <v>3148</v>
      </c>
      <c r="C2635" s="336" t="s">
        <v>800</v>
      </c>
      <c r="D2635" s="336" t="s">
        <v>3105</v>
      </c>
      <c r="E2635" s="336" t="s">
        <v>3106</v>
      </c>
    </row>
    <row r="2636" spans="1:5" x14ac:dyDescent="0.2">
      <c r="A2636" s="335">
        <v>1001339033</v>
      </c>
      <c r="B2636" s="336" t="s">
        <v>3149</v>
      </c>
      <c r="C2636" s="336" t="s">
        <v>863</v>
      </c>
      <c r="D2636" s="336" t="s">
        <v>3105</v>
      </c>
      <c r="E2636" s="336" t="s">
        <v>3106</v>
      </c>
    </row>
    <row r="2637" spans="1:5" x14ac:dyDescent="0.2">
      <c r="A2637" s="335">
        <v>1001339034</v>
      </c>
      <c r="B2637" s="336" t="s">
        <v>3150</v>
      </c>
      <c r="C2637" s="336" t="s">
        <v>800</v>
      </c>
      <c r="D2637" s="336" t="s">
        <v>3105</v>
      </c>
      <c r="E2637" s="336" t="s">
        <v>3106</v>
      </c>
    </row>
    <row r="2638" spans="1:5" x14ac:dyDescent="0.2">
      <c r="A2638" s="335">
        <v>1001339035</v>
      </c>
      <c r="B2638" s="336" t="s">
        <v>3151</v>
      </c>
      <c r="C2638" s="336" t="s">
        <v>800</v>
      </c>
      <c r="D2638" s="336" t="s">
        <v>3105</v>
      </c>
      <c r="E2638" s="336" t="s">
        <v>3106</v>
      </c>
    </row>
    <row r="2639" spans="1:5" x14ac:dyDescent="0.2">
      <c r="A2639" s="335">
        <v>1001339037</v>
      </c>
      <c r="B2639" s="336" t="s">
        <v>3139</v>
      </c>
      <c r="C2639" s="336" t="s">
        <v>800</v>
      </c>
      <c r="D2639" s="336" t="s">
        <v>3105</v>
      </c>
      <c r="E2639" s="336" t="s">
        <v>3106</v>
      </c>
    </row>
    <row r="2640" spans="1:5" x14ac:dyDescent="0.2">
      <c r="A2640" s="335">
        <v>1001339038</v>
      </c>
      <c r="B2640" s="336" t="s">
        <v>3152</v>
      </c>
      <c r="C2640" s="336" t="s">
        <v>800</v>
      </c>
      <c r="D2640" s="336" t="s">
        <v>3105</v>
      </c>
      <c r="E2640" s="336" t="s">
        <v>3106</v>
      </c>
    </row>
    <row r="2641" spans="1:5" x14ac:dyDescent="0.2">
      <c r="A2641" s="335">
        <v>1001339039</v>
      </c>
      <c r="B2641" s="336" t="s">
        <v>3153</v>
      </c>
      <c r="C2641" s="336" t="s">
        <v>800</v>
      </c>
      <c r="D2641" s="336" t="s">
        <v>3105</v>
      </c>
      <c r="E2641" s="336" t="s">
        <v>3106</v>
      </c>
    </row>
    <row r="2642" spans="1:5" x14ac:dyDescent="0.2">
      <c r="A2642" s="335">
        <v>1001339050</v>
      </c>
      <c r="B2642" s="336" t="s">
        <v>3154</v>
      </c>
      <c r="C2642" s="336" t="s">
        <v>800</v>
      </c>
      <c r="D2642" s="336" t="s">
        <v>3105</v>
      </c>
      <c r="E2642" s="336" t="s">
        <v>3106</v>
      </c>
    </row>
    <row r="2643" spans="1:5" x14ac:dyDescent="0.2">
      <c r="A2643" s="335">
        <v>1001339051</v>
      </c>
      <c r="B2643" s="336" t="s">
        <v>3155</v>
      </c>
      <c r="C2643" s="336" t="s">
        <v>800</v>
      </c>
      <c r="D2643" s="336" t="s">
        <v>3105</v>
      </c>
      <c r="E2643" s="336" t="s">
        <v>3106</v>
      </c>
    </row>
    <row r="2644" spans="1:5" x14ac:dyDescent="0.2">
      <c r="A2644" s="335">
        <v>1001339052</v>
      </c>
      <c r="B2644" s="336" t="s">
        <v>3156</v>
      </c>
      <c r="C2644" s="336" t="s">
        <v>863</v>
      </c>
      <c r="D2644" s="336" t="s">
        <v>3105</v>
      </c>
      <c r="E2644" s="336" t="s">
        <v>3106</v>
      </c>
    </row>
    <row r="2645" spans="1:5" x14ac:dyDescent="0.2">
      <c r="A2645" s="335">
        <v>1001339054</v>
      </c>
      <c r="B2645" s="336" t="s">
        <v>3157</v>
      </c>
      <c r="C2645" s="336" t="s">
        <v>800</v>
      </c>
      <c r="D2645" s="336" t="s">
        <v>3105</v>
      </c>
      <c r="E2645" s="336" t="s">
        <v>3106</v>
      </c>
    </row>
    <row r="2646" spans="1:5" x14ac:dyDescent="0.2">
      <c r="A2646" s="335">
        <v>1001339056</v>
      </c>
      <c r="B2646" s="336" t="s">
        <v>3158</v>
      </c>
      <c r="C2646" s="336" t="s">
        <v>863</v>
      </c>
      <c r="D2646" s="336" t="s">
        <v>3105</v>
      </c>
      <c r="E2646" s="336" t="s">
        <v>3106</v>
      </c>
    </row>
    <row r="2647" spans="1:5" x14ac:dyDescent="0.2">
      <c r="A2647" s="335">
        <v>1001339057</v>
      </c>
      <c r="B2647" s="336" t="s">
        <v>3159</v>
      </c>
      <c r="C2647" s="336" t="s">
        <v>800</v>
      </c>
      <c r="D2647" s="336" t="s">
        <v>3105</v>
      </c>
      <c r="E2647" s="336" t="s">
        <v>3106</v>
      </c>
    </row>
    <row r="2648" spans="1:5" x14ac:dyDescent="0.2">
      <c r="A2648" s="335">
        <v>1001339120</v>
      </c>
      <c r="B2648" s="336" t="s">
        <v>3160</v>
      </c>
      <c r="C2648" s="336" t="s">
        <v>800</v>
      </c>
      <c r="D2648" s="336" t="s">
        <v>3105</v>
      </c>
      <c r="E2648" s="336" t="s">
        <v>3106</v>
      </c>
    </row>
    <row r="2649" spans="1:5" x14ac:dyDescent="0.2">
      <c r="A2649" s="335">
        <v>1001339121</v>
      </c>
      <c r="B2649" s="336" t="s">
        <v>3161</v>
      </c>
      <c r="C2649" s="336" t="s">
        <v>800</v>
      </c>
      <c r="D2649" s="336" t="s">
        <v>3105</v>
      </c>
      <c r="E2649" s="336" t="s">
        <v>3106</v>
      </c>
    </row>
    <row r="2650" spans="1:5" x14ac:dyDescent="0.2">
      <c r="A2650" s="335">
        <v>1001339123</v>
      </c>
      <c r="B2650" s="336" t="s">
        <v>3162</v>
      </c>
      <c r="C2650" s="336" t="s">
        <v>800</v>
      </c>
      <c r="D2650" s="336" t="s">
        <v>3105</v>
      </c>
      <c r="E2650" s="336" t="s">
        <v>3106</v>
      </c>
    </row>
    <row r="2651" spans="1:5" x14ac:dyDescent="0.2">
      <c r="A2651" s="335">
        <v>1001339124</v>
      </c>
      <c r="B2651" s="336" t="s">
        <v>3163</v>
      </c>
      <c r="C2651" s="336" t="s">
        <v>800</v>
      </c>
      <c r="D2651" s="336" t="s">
        <v>3105</v>
      </c>
      <c r="E2651" s="336" t="s">
        <v>3106</v>
      </c>
    </row>
    <row r="2652" spans="1:5" x14ac:dyDescent="0.2">
      <c r="A2652" s="335">
        <v>1001339126</v>
      </c>
      <c r="B2652" s="336" t="s">
        <v>3164</v>
      </c>
      <c r="C2652" s="336" t="s">
        <v>800</v>
      </c>
      <c r="D2652" s="336" t="s">
        <v>3105</v>
      </c>
      <c r="E2652" s="336" t="s">
        <v>3106</v>
      </c>
    </row>
    <row r="2653" spans="1:5" x14ac:dyDescent="0.2">
      <c r="A2653" s="335">
        <v>1001339128</v>
      </c>
      <c r="B2653" s="336" t="s">
        <v>1935</v>
      </c>
      <c r="C2653" s="336" t="s">
        <v>800</v>
      </c>
      <c r="D2653" s="336" t="s">
        <v>3105</v>
      </c>
      <c r="E2653" s="336" t="s">
        <v>3106</v>
      </c>
    </row>
    <row r="2654" spans="1:5" x14ac:dyDescent="0.2">
      <c r="A2654" s="335">
        <v>1001339140</v>
      </c>
      <c r="B2654" s="336" t="s">
        <v>3165</v>
      </c>
      <c r="C2654" s="336" t="s">
        <v>800</v>
      </c>
      <c r="D2654" s="336" t="s">
        <v>3105</v>
      </c>
      <c r="E2654" s="336" t="s">
        <v>3106</v>
      </c>
    </row>
    <row r="2655" spans="1:5" x14ac:dyDescent="0.2">
      <c r="A2655" s="335">
        <v>1001339141</v>
      </c>
      <c r="B2655" s="336" t="s">
        <v>3166</v>
      </c>
      <c r="C2655" s="336" t="s">
        <v>800</v>
      </c>
      <c r="D2655" s="336" t="s">
        <v>3105</v>
      </c>
      <c r="E2655" s="336" t="s">
        <v>3106</v>
      </c>
    </row>
    <row r="2656" spans="1:5" x14ac:dyDescent="0.2">
      <c r="A2656" s="335">
        <v>1001339148</v>
      </c>
      <c r="B2656" s="336" t="s">
        <v>3167</v>
      </c>
      <c r="C2656" s="336" t="s">
        <v>800</v>
      </c>
      <c r="D2656" s="336" t="s">
        <v>3105</v>
      </c>
      <c r="E2656" s="336" t="s">
        <v>3106</v>
      </c>
    </row>
    <row r="2657" spans="1:5" x14ac:dyDescent="0.2">
      <c r="A2657" s="335">
        <v>1001339173</v>
      </c>
      <c r="B2657" s="336" t="s">
        <v>3168</v>
      </c>
      <c r="C2657" s="336" t="s">
        <v>800</v>
      </c>
      <c r="D2657" s="336" t="s">
        <v>3105</v>
      </c>
      <c r="E2657" s="336" t="s">
        <v>3106</v>
      </c>
    </row>
    <row r="2658" spans="1:5" x14ac:dyDescent="0.2">
      <c r="A2658" s="335">
        <v>1001339177</v>
      </c>
      <c r="B2658" s="336" t="s">
        <v>3169</v>
      </c>
      <c r="C2658" s="336" t="s">
        <v>800</v>
      </c>
      <c r="D2658" s="336" t="s">
        <v>3105</v>
      </c>
      <c r="E2658" s="336" t="s">
        <v>3106</v>
      </c>
    </row>
    <row r="2659" spans="1:5" x14ac:dyDescent="0.2">
      <c r="A2659" s="335">
        <v>1001339178</v>
      </c>
      <c r="B2659" s="336" t="s">
        <v>3170</v>
      </c>
      <c r="C2659" s="336" t="s">
        <v>800</v>
      </c>
      <c r="D2659" s="336" t="s">
        <v>3105</v>
      </c>
      <c r="E2659" s="336" t="s">
        <v>3106</v>
      </c>
    </row>
    <row r="2660" spans="1:5" x14ac:dyDescent="0.2">
      <c r="A2660" s="335">
        <v>1001339179</v>
      </c>
      <c r="B2660" s="336" t="s">
        <v>3171</v>
      </c>
      <c r="C2660" s="336" t="s">
        <v>800</v>
      </c>
      <c r="D2660" s="336" t="s">
        <v>3105</v>
      </c>
      <c r="E2660" s="336" t="s">
        <v>3106</v>
      </c>
    </row>
    <row r="2661" spans="1:5" x14ac:dyDescent="0.2">
      <c r="A2661" s="335">
        <v>1001339190</v>
      </c>
      <c r="B2661" s="336" t="s">
        <v>3172</v>
      </c>
      <c r="C2661" s="336" t="s">
        <v>800</v>
      </c>
      <c r="D2661" s="336" t="s">
        <v>3105</v>
      </c>
      <c r="E2661" s="336" t="s">
        <v>3106</v>
      </c>
    </row>
    <row r="2662" spans="1:5" x14ac:dyDescent="0.2">
      <c r="A2662" s="335">
        <v>1001339192</v>
      </c>
      <c r="B2662" s="336" t="s">
        <v>3173</v>
      </c>
      <c r="C2662" s="336" t="s">
        <v>800</v>
      </c>
      <c r="D2662" s="336" t="s">
        <v>3105</v>
      </c>
      <c r="E2662" s="336" t="s">
        <v>3106</v>
      </c>
    </row>
    <row r="2663" spans="1:5" x14ac:dyDescent="0.2">
      <c r="A2663" s="335">
        <v>1001339193</v>
      </c>
      <c r="B2663" s="336" t="s">
        <v>3174</v>
      </c>
      <c r="C2663" s="336" t="s">
        <v>800</v>
      </c>
      <c r="D2663" s="336" t="s">
        <v>3105</v>
      </c>
      <c r="E2663" s="336" t="s">
        <v>3106</v>
      </c>
    </row>
    <row r="2664" spans="1:5" x14ac:dyDescent="0.2">
      <c r="A2664" s="335">
        <v>1001339194</v>
      </c>
      <c r="B2664" s="336" t="s">
        <v>3175</v>
      </c>
      <c r="C2664" s="336" t="s">
        <v>863</v>
      </c>
      <c r="D2664" s="336" t="s">
        <v>3105</v>
      </c>
      <c r="E2664" s="336" t="s">
        <v>3106</v>
      </c>
    </row>
    <row r="2665" spans="1:5" x14ac:dyDescent="0.2">
      <c r="A2665" s="335">
        <v>1001339195</v>
      </c>
      <c r="B2665" s="336" t="s">
        <v>3176</v>
      </c>
      <c r="C2665" s="336" t="s">
        <v>800</v>
      </c>
      <c r="D2665" s="336" t="s">
        <v>3105</v>
      </c>
      <c r="E2665" s="336" t="s">
        <v>3106</v>
      </c>
    </row>
    <row r="2666" spans="1:5" x14ac:dyDescent="0.2">
      <c r="A2666" s="335">
        <v>1001339196</v>
      </c>
      <c r="B2666" s="336" t="s">
        <v>3177</v>
      </c>
      <c r="C2666" s="336" t="s">
        <v>800</v>
      </c>
      <c r="D2666" s="336" t="s">
        <v>3105</v>
      </c>
      <c r="E2666" s="336" t="s">
        <v>3106</v>
      </c>
    </row>
    <row r="2667" spans="1:5" x14ac:dyDescent="0.2">
      <c r="A2667" s="335">
        <v>1001339197</v>
      </c>
      <c r="B2667" s="336" t="s">
        <v>3178</v>
      </c>
      <c r="C2667" s="336" t="s">
        <v>800</v>
      </c>
      <c r="D2667" s="336" t="s">
        <v>3105</v>
      </c>
      <c r="E2667" s="336" t="s">
        <v>3106</v>
      </c>
    </row>
    <row r="2668" spans="1:5" x14ac:dyDescent="0.2">
      <c r="A2668" s="335">
        <v>1001339199</v>
      </c>
      <c r="B2668" s="336" t="s">
        <v>3179</v>
      </c>
      <c r="C2668" s="336" t="s">
        <v>800</v>
      </c>
      <c r="D2668" s="336" t="s">
        <v>3105</v>
      </c>
      <c r="E2668" s="336" t="s">
        <v>3106</v>
      </c>
    </row>
    <row r="2669" spans="1:5" x14ac:dyDescent="0.2">
      <c r="A2669" s="335">
        <v>1001339260</v>
      </c>
      <c r="B2669" s="336" t="s">
        <v>3180</v>
      </c>
      <c r="C2669" s="336" t="s">
        <v>800</v>
      </c>
      <c r="D2669" s="336" t="s">
        <v>3105</v>
      </c>
      <c r="E2669" s="336" t="s">
        <v>3106</v>
      </c>
    </row>
    <row r="2670" spans="1:5" x14ac:dyDescent="0.2">
      <c r="A2670" s="335">
        <v>1001339261</v>
      </c>
      <c r="B2670" s="336" t="s">
        <v>3121</v>
      </c>
      <c r="C2670" s="336" t="s">
        <v>800</v>
      </c>
      <c r="D2670" s="336" t="s">
        <v>3105</v>
      </c>
      <c r="E2670" s="336" t="s">
        <v>3106</v>
      </c>
    </row>
    <row r="2671" spans="1:5" x14ac:dyDescent="0.2">
      <c r="A2671" s="335">
        <v>1001339262</v>
      </c>
      <c r="B2671" s="336" t="s">
        <v>3181</v>
      </c>
      <c r="C2671" s="336" t="s">
        <v>800</v>
      </c>
      <c r="D2671" s="336" t="s">
        <v>3105</v>
      </c>
      <c r="E2671" s="336" t="s">
        <v>3106</v>
      </c>
    </row>
    <row r="2672" spans="1:5" x14ac:dyDescent="0.2">
      <c r="A2672" s="335">
        <v>1001339263</v>
      </c>
      <c r="B2672" s="336" t="s">
        <v>3182</v>
      </c>
      <c r="C2672" s="336" t="s">
        <v>800</v>
      </c>
      <c r="D2672" s="336" t="s">
        <v>3105</v>
      </c>
      <c r="E2672" s="336" t="s">
        <v>3106</v>
      </c>
    </row>
    <row r="2673" spans="1:5" x14ac:dyDescent="0.2">
      <c r="A2673" s="335">
        <v>1001339265</v>
      </c>
      <c r="B2673" s="336" t="s">
        <v>3183</v>
      </c>
      <c r="C2673" s="336" t="s">
        <v>800</v>
      </c>
      <c r="D2673" s="336" t="s">
        <v>3105</v>
      </c>
      <c r="E2673" s="336" t="s">
        <v>3106</v>
      </c>
    </row>
    <row r="2674" spans="1:5" x14ac:dyDescent="0.2">
      <c r="A2674" s="335">
        <v>1001339266</v>
      </c>
      <c r="B2674" s="336" t="s">
        <v>3184</v>
      </c>
      <c r="C2674" s="336" t="s">
        <v>800</v>
      </c>
      <c r="D2674" s="336" t="s">
        <v>3105</v>
      </c>
      <c r="E2674" s="336" t="s">
        <v>3106</v>
      </c>
    </row>
    <row r="2675" spans="1:5" x14ac:dyDescent="0.2">
      <c r="A2675" s="335">
        <v>1001339267</v>
      </c>
      <c r="B2675" s="336" t="s">
        <v>3185</v>
      </c>
      <c r="C2675" s="336" t="s">
        <v>800</v>
      </c>
      <c r="D2675" s="336" t="s">
        <v>3105</v>
      </c>
      <c r="E2675" s="336" t="s">
        <v>3106</v>
      </c>
    </row>
    <row r="2676" spans="1:5" x14ac:dyDescent="0.2">
      <c r="A2676" s="335">
        <v>1001339268</v>
      </c>
      <c r="B2676" s="336" t="s">
        <v>3186</v>
      </c>
      <c r="C2676" s="336" t="s">
        <v>800</v>
      </c>
      <c r="D2676" s="336" t="s">
        <v>3105</v>
      </c>
      <c r="E2676" s="336" t="s">
        <v>3106</v>
      </c>
    </row>
    <row r="2677" spans="1:5" x14ac:dyDescent="0.2">
      <c r="A2677" s="335">
        <v>1001339269</v>
      </c>
      <c r="B2677" s="336" t="s">
        <v>3187</v>
      </c>
      <c r="C2677" s="336" t="s">
        <v>800</v>
      </c>
      <c r="D2677" s="336" t="s">
        <v>3105</v>
      </c>
      <c r="E2677" s="336" t="s">
        <v>3106</v>
      </c>
    </row>
    <row r="2678" spans="1:5" x14ac:dyDescent="0.2">
      <c r="A2678" s="335">
        <v>1001339290</v>
      </c>
      <c r="B2678" s="336" t="s">
        <v>3188</v>
      </c>
      <c r="C2678" s="336" t="s">
        <v>863</v>
      </c>
      <c r="D2678" s="336" t="s">
        <v>3105</v>
      </c>
      <c r="E2678" s="336" t="s">
        <v>3106</v>
      </c>
    </row>
    <row r="2679" spans="1:5" x14ac:dyDescent="0.2">
      <c r="A2679" s="335">
        <v>1001339292</v>
      </c>
      <c r="B2679" s="336" t="s">
        <v>3189</v>
      </c>
      <c r="C2679" s="336" t="s">
        <v>800</v>
      </c>
      <c r="D2679" s="336" t="s">
        <v>3105</v>
      </c>
      <c r="E2679" s="336" t="s">
        <v>3106</v>
      </c>
    </row>
    <row r="2680" spans="1:5" x14ac:dyDescent="0.2">
      <c r="A2680" s="335">
        <v>1001339296</v>
      </c>
      <c r="B2680" s="336" t="s">
        <v>3190</v>
      </c>
      <c r="C2680" s="336" t="s">
        <v>800</v>
      </c>
      <c r="D2680" s="336" t="s">
        <v>3105</v>
      </c>
      <c r="E2680" s="336" t="s">
        <v>3106</v>
      </c>
    </row>
    <row r="2681" spans="1:5" x14ac:dyDescent="0.2">
      <c r="A2681" s="335">
        <v>1001339297</v>
      </c>
      <c r="B2681" s="336" t="s">
        <v>3191</v>
      </c>
      <c r="C2681" s="336" t="s">
        <v>800</v>
      </c>
      <c r="D2681" s="336" t="s">
        <v>3105</v>
      </c>
      <c r="E2681" s="336" t="s">
        <v>3106</v>
      </c>
    </row>
    <row r="2682" spans="1:5" x14ac:dyDescent="0.2">
      <c r="A2682" s="335">
        <v>1001339298</v>
      </c>
      <c r="B2682" s="336" t="s">
        <v>3192</v>
      </c>
      <c r="C2682" s="336" t="s">
        <v>800</v>
      </c>
      <c r="D2682" s="336" t="s">
        <v>3105</v>
      </c>
      <c r="E2682" s="336" t="s">
        <v>3106</v>
      </c>
    </row>
    <row r="2683" spans="1:5" x14ac:dyDescent="0.2">
      <c r="A2683" s="335">
        <v>1001339299</v>
      </c>
      <c r="B2683" s="336" t="s">
        <v>3193</v>
      </c>
      <c r="C2683" s="336" t="s">
        <v>800</v>
      </c>
      <c r="D2683" s="336" t="s">
        <v>3105</v>
      </c>
      <c r="E2683" s="336" t="s">
        <v>3106</v>
      </c>
    </row>
    <row r="2684" spans="1:5" x14ac:dyDescent="0.2">
      <c r="A2684" s="335">
        <v>1001339310</v>
      </c>
      <c r="B2684" s="336" t="s">
        <v>3194</v>
      </c>
      <c r="C2684" s="336" t="s">
        <v>800</v>
      </c>
      <c r="D2684" s="336" t="s">
        <v>3105</v>
      </c>
      <c r="E2684" s="336" t="s">
        <v>3106</v>
      </c>
    </row>
    <row r="2685" spans="1:5" x14ac:dyDescent="0.2">
      <c r="A2685" s="335">
        <v>1001339311</v>
      </c>
      <c r="B2685" s="336" t="s">
        <v>3195</v>
      </c>
      <c r="C2685" s="336" t="s">
        <v>863</v>
      </c>
      <c r="D2685" s="336" t="s">
        <v>3105</v>
      </c>
      <c r="E2685" s="336" t="s">
        <v>3106</v>
      </c>
    </row>
    <row r="2686" spans="1:5" x14ac:dyDescent="0.2">
      <c r="A2686" s="335">
        <v>1001339313</v>
      </c>
      <c r="B2686" s="336" t="s">
        <v>3196</v>
      </c>
      <c r="C2686" s="336" t="s">
        <v>800</v>
      </c>
      <c r="D2686" s="336" t="s">
        <v>3105</v>
      </c>
      <c r="E2686" s="336" t="s">
        <v>3106</v>
      </c>
    </row>
    <row r="2687" spans="1:5" x14ac:dyDescent="0.2">
      <c r="A2687" s="335">
        <v>1001339314</v>
      </c>
      <c r="B2687" s="336" t="s">
        <v>3197</v>
      </c>
      <c r="C2687" s="336" t="s">
        <v>800</v>
      </c>
      <c r="D2687" s="336" t="s">
        <v>3105</v>
      </c>
      <c r="E2687" s="336" t="s">
        <v>3106</v>
      </c>
    </row>
    <row r="2688" spans="1:5" x14ac:dyDescent="0.2">
      <c r="A2688" s="335">
        <v>1001339315</v>
      </c>
      <c r="B2688" s="336" t="s">
        <v>3198</v>
      </c>
      <c r="C2688" s="336" t="s">
        <v>800</v>
      </c>
      <c r="D2688" s="336" t="s">
        <v>3105</v>
      </c>
      <c r="E2688" s="336" t="s">
        <v>3106</v>
      </c>
    </row>
    <row r="2689" spans="1:5" x14ac:dyDescent="0.2">
      <c r="A2689" s="335">
        <v>1001339318</v>
      </c>
      <c r="B2689" s="336" t="s">
        <v>3199</v>
      </c>
      <c r="C2689" s="336" t="s">
        <v>800</v>
      </c>
      <c r="D2689" s="336" t="s">
        <v>3105</v>
      </c>
      <c r="E2689" s="336" t="s">
        <v>3106</v>
      </c>
    </row>
    <row r="2690" spans="1:5" x14ac:dyDescent="0.2">
      <c r="A2690" s="335">
        <v>1001339322</v>
      </c>
      <c r="B2690" s="336" t="s">
        <v>3121</v>
      </c>
      <c r="C2690" s="336" t="s">
        <v>800</v>
      </c>
      <c r="D2690" s="336" t="s">
        <v>3105</v>
      </c>
      <c r="E2690" s="336" t="s">
        <v>3106</v>
      </c>
    </row>
    <row r="2691" spans="1:5" x14ac:dyDescent="0.2">
      <c r="A2691" s="335">
        <v>1001339323</v>
      </c>
      <c r="B2691" s="336" t="s">
        <v>3200</v>
      </c>
      <c r="C2691" s="336" t="s">
        <v>800</v>
      </c>
      <c r="D2691" s="336" t="s">
        <v>3105</v>
      </c>
      <c r="E2691" s="336" t="s">
        <v>3106</v>
      </c>
    </row>
    <row r="2692" spans="1:5" x14ac:dyDescent="0.2">
      <c r="A2692" s="335">
        <v>1001339324</v>
      </c>
      <c r="B2692" s="336" t="s">
        <v>3121</v>
      </c>
      <c r="C2692" s="336" t="s">
        <v>800</v>
      </c>
      <c r="D2692" s="336" t="s">
        <v>3105</v>
      </c>
      <c r="E2692" s="336" t="s">
        <v>3106</v>
      </c>
    </row>
    <row r="2693" spans="1:5" x14ac:dyDescent="0.2">
      <c r="A2693" s="335">
        <v>1001339325</v>
      </c>
      <c r="B2693" s="336" t="s">
        <v>3201</v>
      </c>
      <c r="C2693" s="336" t="s">
        <v>800</v>
      </c>
      <c r="D2693" s="336" t="s">
        <v>3105</v>
      </c>
      <c r="E2693" s="336" t="s">
        <v>3106</v>
      </c>
    </row>
    <row r="2694" spans="1:5" x14ac:dyDescent="0.2">
      <c r="A2694" s="335">
        <v>1001339326</v>
      </c>
      <c r="B2694" s="336" t="s">
        <v>3202</v>
      </c>
      <c r="C2694" s="336" t="s">
        <v>800</v>
      </c>
      <c r="D2694" s="336" t="s">
        <v>3105</v>
      </c>
      <c r="E2694" s="336" t="s">
        <v>3106</v>
      </c>
    </row>
    <row r="2695" spans="1:5" x14ac:dyDescent="0.2">
      <c r="A2695" s="335">
        <v>1001339327</v>
      </c>
      <c r="B2695" s="336" t="s">
        <v>3203</v>
      </c>
      <c r="C2695" s="336" t="s">
        <v>800</v>
      </c>
      <c r="D2695" s="336" t="s">
        <v>3105</v>
      </c>
      <c r="E2695" s="336" t="s">
        <v>3106</v>
      </c>
    </row>
    <row r="2696" spans="1:5" x14ac:dyDescent="0.2">
      <c r="A2696" s="335">
        <v>1001339328</v>
      </c>
      <c r="B2696" s="336" t="s">
        <v>3204</v>
      </c>
      <c r="C2696" s="336" t="s">
        <v>800</v>
      </c>
      <c r="D2696" s="336" t="s">
        <v>3105</v>
      </c>
      <c r="E2696" s="336" t="s">
        <v>3106</v>
      </c>
    </row>
    <row r="2697" spans="1:5" x14ac:dyDescent="0.2">
      <c r="A2697" s="335">
        <v>1001339329</v>
      </c>
      <c r="B2697" s="336" t="s">
        <v>3205</v>
      </c>
      <c r="C2697" s="336" t="s">
        <v>800</v>
      </c>
      <c r="D2697" s="336" t="s">
        <v>3105</v>
      </c>
      <c r="E2697" s="336" t="s">
        <v>3106</v>
      </c>
    </row>
    <row r="2698" spans="1:5" x14ac:dyDescent="0.2">
      <c r="A2698" s="335">
        <v>1001339350</v>
      </c>
      <c r="B2698" s="336" t="s">
        <v>3206</v>
      </c>
      <c r="C2698" s="336" t="s">
        <v>800</v>
      </c>
      <c r="D2698" s="336" t="s">
        <v>3105</v>
      </c>
      <c r="E2698" s="336" t="s">
        <v>3106</v>
      </c>
    </row>
    <row r="2699" spans="1:5" x14ac:dyDescent="0.2">
      <c r="A2699" s="335">
        <v>1001339352</v>
      </c>
      <c r="B2699" s="336" t="s">
        <v>3207</v>
      </c>
      <c r="C2699" s="336" t="s">
        <v>800</v>
      </c>
      <c r="D2699" s="336" t="s">
        <v>3105</v>
      </c>
      <c r="E2699" s="336" t="s">
        <v>3106</v>
      </c>
    </row>
    <row r="2700" spans="1:5" x14ac:dyDescent="0.2">
      <c r="A2700" s="335">
        <v>1001339353</v>
      </c>
      <c r="B2700" s="336" t="s">
        <v>3208</v>
      </c>
      <c r="C2700" s="336" t="s">
        <v>800</v>
      </c>
      <c r="D2700" s="336" t="s">
        <v>3105</v>
      </c>
      <c r="E2700" s="336" t="s">
        <v>3106</v>
      </c>
    </row>
    <row r="2701" spans="1:5" x14ac:dyDescent="0.2">
      <c r="A2701" s="335">
        <v>1001339358</v>
      </c>
      <c r="B2701" s="336" t="s">
        <v>3209</v>
      </c>
      <c r="C2701" s="336" t="s">
        <v>800</v>
      </c>
      <c r="D2701" s="336" t="s">
        <v>3105</v>
      </c>
      <c r="E2701" s="336" t="s">
        <v>3106</v>
      </c>
    </row>
    <row r="2702" spans="1:5" x14ac:dyDescent="0.2">
      <c r="A2702" s="335">
        <v>1001339402</v>
      </c>
      <c r="B2702" s="336" t="s">
        <v>3210</v>
      </c>
      <c r="C2702" s="336" t="s">
        <v>800</v>
      </c>
      <c r="D2702" s="336" t="s">
        <v>3105</v>
      </c>
      <c r="E2702" s="336" t="s">
        <v>3106</v>
      </c>
    </row>
    <row r="2703" spans="1:5" x14ac:dyDescent="0.2">
      <c r="A2703" s="335">
        <v>1001339403</v>
      </c>
      <c r="B2703" s="336" t="s">
        <v>3211</v>
      </c>
      <c r="C2703" s="336" t="s">
        <v>863</v>
      </c>
      <c r="D2703" s="336" t="s">
        <v>3105</v>
      </c>
      <c r="E2703" s="336" t="s">
        <v>3106</v>
      </c>
    </row>
    <row r="2704" spans="1:5" x14ac:dyDescent="0.2">
      <c r="A2704" s="335">
        <v>1001339405</v>
      </c>
      <c r="B2704" s="336" t="s">
        <v>3212</v>
      </c>
      <c r="C2704" s="336" t="s">
        <v>800</v>
      </c>
      <c r="D2704" s="336" t="s">
        <v>3105</v>
      </c>
      <c r="E2704" s="336" t="s">
        <v>3106</v>
      </c>
    </row>
    <row r="2705" spans="1:5" x14ac:dyDescent="0.2">
      <c r="A2705" s="335">
        <v>1001339406</v>
      </c>
      <c r="B2705" s="336" t="s">
        <v>3213</v>
      </c>
      <c r="C2705" s="336" t="s">
        <v>863</v>
      </c>
      <c r="D2705" s="336" t="s">
        <v>3105</v>
      </c>
      <c r="E2705" s="336" t="s">
        <v>3106</v>
      </c>
    </row>
    <row r="2706" spans="1:5" x14ac:dyDescent="0.2">
      <c r="A2706" s="335">
        <v>1001339407</v>
      </c>
      <c r="B2706" s="336" t="s">
        <v>3214</v>
      </c>
      <c r="C2706" s="336" t="s">
        <v>800</v>
      </c>
      <c r="D2706" s="336" t="s">
        <v>3105</v>
      </c>
      <c r="E2706" s="336" t="s">
        <v>3106</v>
      </c>
    </row>
    <row r="2707" spans="1:5" x14ac:dyDescent="0.2">
      <c r="A2707" s="335">
        <v>1001339408</v>
      </c>
      <c r="B2707" s="336" t="s">
        <v>3215</v>
      </c>
      <c r="C2707" s="336" t="s">
        <v>800</v>
      </c>
      <c r="D2707" s="336" t="s">
        <v>3105</v>
      </c>
      <c r="E2707" s="336" t="s">
        <v>3106</v>
      </c>
    </row>
    <row r="2708" spans="1:5" x14ac:dyDescent="0.2">
      <c r="A2708" s="335">
        <v>1001339409</v>
      </c>
      <c r="B2708" s="336" t="s">
        <v>3216</v>
      </c>
      <c r="C2708" s="336" t="s">
        <v>800</v>
      </c>
      <c r="D2708" s="336" t="s">
        <v>3105</v>
      </c>
      <c r="E2708" s="336" t="s">
        <v>3106</v>
      </c>
    </row>
    <row r="2709" spans="1:5" x14ac:dyDescent="0.2">
      <c r="A2709" s="335">
        <v>1001339460</v>
      </c>
      <c r="B2709" s="336" t="s">
        <v>3217</v>
      </c>
      <c r="C2709" s="336" t="s">
        <v>800</v>
      </c>
      <c r="D2709" s="336" t="s">
        <v>3105</v>
      </c>
      <c r="E2709" s="336" t="s">
        <v>3106</v>
      </c>
    </row>
    <row r="2710" spans="1:5" x14ac:dyDescent="0.2">
      <c r="A2710" s="335">
        <v>1001339461</v>
      </c>
      <c r="B2710" s="336" t="s">
        <v>3218</v>
      </c>
      <c r="C2710" s="336" t="s">
        <v>800</v>
      </c>
      <c r="D2710" s="336" t="s">
        <v>3105</v>
      </c>
      <c r="E2710" s="336" t="s">
        <v>3106</v>
      </c>
    </row>
    <row r="2711" spans="1:5" x14ac:dyDescent="0.2">
      <c r="A2711" s="335">
        <v>1001339462</v>
      </c>
      <c r="B2711" s="336" t="s">
        <v>3219</v>
      </c>
      <c r="C2711" s="336" t="s">
        <v>800</v>
      </c>
      <c r="D2711" s="336" t="s">
        <v>3105</v>
      </c>
      <c r="E2711" s="336" t="s">
        <v>3106</v>
      </c>
    </row>
    <row r="2712" spans="1:5" x14ac:dyDescent="0.2">
      <c r="A2712" s="335">
        <v>1001339463</v>
      </c>
      <c r="B2712" s="336" t="s">
        <v>3220</v>
      </c>
      <c r="C2712" s="336" t="s">
        <v>800</v>
      </c>
      <c r="D2712" s="336" t="s">
        <v>3105</v>
      </c>
      <c r="E2712" s="336" t="s">
        <v>3106</v>
      </c>
    </row>
    <row r="2713" spans="1:5" x14ac:dyDescent="0.2">
      <c r="A2713" s="335">
        <v>1001339464</v>
      </c>
      <c r="B2713" s="336" t="s">
        <v>3221</v>
      </c>
      <c r="C2713" s="336" t="s">
        <v>800</v>
      </c>
      <c r="D2713" s="336" t="s">
        <v>3105</v>
      </c>
      <c r="E2713" s="336" t="s">
        <v>3106</v>
      </c>
    </row>
    <row r="2714" spans="1:5" x14ac:dyDescent="0.2">
      <c r="A2714" s="335">
        <v>1001339465</v>
      </c>
      <c r="B2714" s="336" t="s">
        <v>3222</v>
      </c>
      <c r="C2714" s="336" t="s">
        <v>800</v>
      </c>
      <c r="D2714" s="336" t="s">
        <v>3105</v>
      </c>
      <c r="E2714" s="336" t="s">
        <v>3106</v>
      </c>
    </row>
    <row r="2715" spans="1:5" x14ac:dyDescent="0.2">
      <c r="A2715" s="335">
        <v>1001339466</v>
      </c>
      <c r="B2715" s="336" t="s">
        <v>3223</v>
      </c>
      <c r="C2715" s="336" t="s">
        <v>800</v>
      </c>
      <c r="D2715" s="336" t="s">
        <v>3105</v>
      </c>
      <c r="E2715" s="336" t="s">
        <v>3106</v>
      </c>
    </row>
    <row r="2716" spans="1:5" x14ac:dyDescent="0.2">
      <c r="A2716" s="335">
        <v>1001339467</v>
      </c>
      <c r="B2716" s="336" t="s">
        <v>3224</v>
      </c>
      <c r="C2716" s="336" t="s">
        <v>800</v>
      </c>
      <c r="D2716" s="336" t="s">
        <v>3105</v>
      </c>
      <c r="E2716" s="336" t="s">
        <v>3106</v>
      </c>
    </row>
    <row r="2717" spans="1:5" x14ac:dyDescent="0.2">
      <c r="A2717" s="335">
        <v>1001339468</v>
      </c>
      <c r="B2717" s="336" t="s">
        <v>3225</v>
      </c>
      <c r="C2717" s="336" t="s">
        <v>800</v>
      </c>
      <c r="D2717" s="336" t="s">
        <v>3105</v>
      </c>
      <c r="E2717" s="336" t="s">
        <v>3106</v>
      </c>
    </row>
    <row r="2718" spans="1:5" x14ac:dyDescent="0.2">
      <c r="A2718" s="335">
        <v>1001339469</v>
      </c>
      <c r="B2718" s="336" t="s">
        <v>3226</v>
      </c>
      <c r="C2718" s="336" t="s">
        <v>800</v>
      </c>
      <c r="D2718" s="336" t="s">
        <v>3105</v>
      </c>
      <c r="E2718" s="336" t="s">
        <v>3106</v>
      </c>
    </row>
    <row r="2719" spans="1:5" x14ac:dyDescent="0.2">
      <c r="A2719" s="335">
        <v>1001339512</v>
      </c>
      <c r="B2719" s="336" t="s">
        <v>3227</v>
      </c>
      <c r="C2719" s="336" t="s">
        <v>800</v>
      </c>
      <c r="D2719" s="336" t="s">
        <v>3105</v>
      </c>
      <c r="E2719" s="336" t="s">
        <v>3106</v>
      </c>
    </row>
    <row r="2720" spans="1:5" x14ac:dyDescent="0.2">
      <c r="A2720" s="335">
        <v>1001339513</v>
      </c>
      <c r="B2720" s="336" t="s">
        <v>3121</v>
      </c>
      <c r="C2720" s="336" t="s">
        <v>800</v>
      </c>
      <c r="D2720" s="336" t="s">
        <v>3105</v>
      </c>
      <c r="E2720" s="336" t="s">
        <v>3106</v>
      </c>
    </row>
    <row r="2721" spans="1:5" x14ac:dyDescent="0.2">
      <c r="A2721" s="335">
        <v>1001339515</v>
      </c>
      <c r="B2721" s="336" t="s">
        <v>3228</v>
      </c>
      <c r="C2721" s="336" t="s">
        <v>800</v>
      </c>
      <c r="D2721" s="336" t="s">
        <v>3105</v>
      </c>
      <c r="E2721" s="336" t="s">
        <v>3106</v>
      </c>
    </row>
    <row r="2722" spans="1:5" x14ac:dyDescent="0.2">
      <c r="A2722" s="335">
        <v>1001339516</v>
      </c>
      <c r="B2722" s="336" t="s">
        <v>3152</v>
      </c>
      <c r="C2722" s="336" t="s">
        <v>800</v>
      </c>
      <c r="D2722" s="336" t="s">
        <v>3105</v>
      </c>
      <c r="E2722" s="336" t="s">
        <v>3106</v>
      </c>
    </row>
    <row r="2723" spans="1:5" x14ac:dyDescent="0.2">
      <c r="A2723" s="335">
        <v>1001339517</v>
      </c>
      <c r="B2723" s="336" t="s">
        <v>3229</v>
      </c>
      <c r="C2723" s="336" t="s">
        <v>800</v>
      </c>
      <c r="D2723" s="336" t="s">
        <v>3105</v>
      </c>
      <c r="E2723" s="336" t="s">
        <v>3106</v>
      </c>
    </row>
    <row r="2724" spans="1:5" x14ac:dyDescent="0.2">
      <c r="A2724" s="335">
        <v>1001339518</v>
      </c>
      <c r="B2724" s="336" t="s">
        <v>3230</v>
      </c>
      <c r="C2724" s="336" t="s">
        <v>800</v>
      </c>
      <c r="D2724" s="336" t="s">
        <v>3105</v>
      </c>
      <c r="E2724" s="336" t="s">
        <v>3106</v>
      </c>
    </row>
    <row r="2725" spans="1:5" x14ac:dyDescent="0.2">
      <c r="A2725" s="335">
        <v>1001339519</v>
      </c>
      <c r="B2725" s="336" t="s">
        <v>3231</v>
      </c>
      <c r="C2725" s="336" t="s">
        <v>800</v>
      </c>
      <c r="D2725" s="336" t="s">
        <v>3105</v>
      </c>
      <c r="E2725" s="336" t="s">
        <v>3106</v>
      </c>
    </row>
    <row r="2726" spans="1:5" x14ac:dyDescent="0.2">
      <c r="A2726" s="335">
        <v>1001339531</v>
      </c>
      <c r="B2726" s="336" t="s">
        <v>3232</v>
      </c>
      <c r="C2726" s="336" t="s">
        <v>1097</v>
      </c>
      <c r="D2726" s="336" t="s">
        <v>3105</v>
      </c>
      <c r="E2726" s="336" t="s">
        <v>3106</v>
      </c>
    </row>
    <row r="2727" spans="1:5" x14ac:dyDescent="0.2">
      <c r="A2727" s="335">
        <v>1001339532</v>
      </c>
      <c r="B2727" s="336" t="s">
        <v>3233</v>
      </c>
      <c r="C2727" s="336" t="s">
        <v>800</v>
      </c>
      <c r="D2727" s="336" t="s">
        <v>3105</v>
      </c>
      <c r="E2727" s="336" t="s">
        <v>3106</v>
      </c>
    </row>
    <row r="2728" spans="1:5" x14ac:dyDescent="0.2">
      <c r="A2728" s="335">
        <v>1001339533</v>
      </c>
      <c r="B2728" s="336" t="s">
        <v>3234</v>
      </c>
      <c r="C2728" s="336" t="s">
        <v>800</v>
      </c>
      <c r="D2728" s="336" t="s">
        <v>3105</v>
      </c>
      <c r="E2728" s="336" t="s">
        <v>3106</v>
      </c>
    </row>
    <row r="2729" spans="1:5" x14ac:dyDescent="0.2">
      <c r="A2729" s="335">
        <v>1001339534</v>
      </c>
      <c r="B2729" s="336" t="s">
        <v>3235</v>
      </c>
      <c r="C2729" s="336" t="s">
        <v>800</v>
      </c>
      <c r="D2729" s="336" t="s">
        <v>3105</v>
      </c>
      <c r="E2729" s="336" t="s">
        <v>3106</v>
      </c>
    </row>
    <row r="2730" spans="1:5" x14ac:dyDescent="0.2">
      <c r="A2730" s="335">
        <v>1001339536</v>
      </c>
      <c r="B2730" s="336" t="s">
        <v>3173</v>
      </c>
      <c r="C2730" s="336" t="s">
        <v>800</v>
      </c>
      <c r="D2730" s="336" t="s">
        <v>3105</v>
      </c>
      <c r="E2730" s="336" t="s">
        <v>3106</v>
      </c>
    </row>
    <row r="2731" spans="1:5" x14ac:dyDescent="0.2">
      <c r="A2731" s="335">
        <v>1001339538</v>
      </c>
      <c r="B2731" s="336" t="s">
        <v>1935</v>
      </c>
      <c r="C2731" s="336" t="s">
        <v>800</v>
      </c>
      <c r="D2731" s="336" t="s">
        <v>3105</v>
      </c>
      <c r="E2731" s="336" t="s">
        <v>3106</v>
      </c>
    </row>
    <row r="2732" spans="1:5" x14ac:dyDescent="0.2">
      <c r="A2732" s="335">
        <v>1001339610</v>
      </c>
      <c r="B2732" s="336" t="s">
        <v>3188</v>
      </c>
      <c r="C2732" s="336" t="s">
        <v>800</v>
      </c>
      <c r="D2732" s="336" t="s">
        <v>3105</v>
      </c>
      <c r="E2732" s="336" t="s">
        <v>3106</v>
      </c>
    </row>
    <row r="2733" spans="1:5" x14ac:dyDescent="0.2">
      <c r="A2733" s="335">
        <v>1001339611</v>
      </c>
      <c r="B2733" s="336" t="s">
        <v>3175</v>
      </c>
      <c r="C2733" s="336" t="s">
        <v>800</v>
      </c>
      <c r="D2733" s="336" t="s">
        <v>3105</v>
      </c>
      <c r="E2733" s="336" t="s">
        <v>3106</v>
      </c>
    </row>
    <row r="2734" spans="1:5" x14ac:dyDescent="0.2">
      <c r="A2734" s="335">
        <v>1001339612</v>
      </c>
      <c r="B2734" s="336" t="s">
        <v>3236</v>
      </c>
      <c r="C2734" s="336" t="s">
        <v>800</v>
      </c>
      <c r="D2734" s="336" t="s">
        <v>3105</v>
      </c>
      <c r="E2734" s="336" t="s">
        <v>3106</v>
      </c>
    </row>
    <row r="2735" spans="1:5" x14ac:dyDescent="0.2">
      <c r="A2735" s="335">
        <v>1001339613</v>
      </c>
      <c r="B2735" s="336" t="s">
        <v>3237</v>
      </c>
      <c r="C2735" s="336" t="s">
        <v>863</v>
      </c>
      <c r="D2735" s="336" t="s">
        <v>3105</v>
      </c>
      <c r="E2735" s="336" t="s">
        <v>3106</v>
      </c>
    </row>
    <row r="2736" spans="1:5" x14ac:dyDescent="0.2">
      <c r="A2736" s="335">
        <v>1001339614</v>
      </c>
      <c r="B2736" s="336" t="s">
        <v>3173</v>
      </c>
      <c r="C2736" s="336" t="s">
        <v>800</v>
      </c>
      <c r="D2736" s="336" t="s">
        <v>3105</v>
      </c>
      <c r="E2736" s="336" t="s">
        <v>3106</v>
      </c>
    </row>
    <row r="2737" spans="1:5" x14ac:dyDescent="0.2">
      <c r="A2737" s="335">
        <v>1001339615</v>
      </c>
      <c r="B2737" s="336" t="s">
        <v>3238</v>
      </c>
      <c r="C2737" s="336" t="s">
        <v>800</v>
      </c>
      <c r="D2737" s="336" t="s">
        <v>3105</v>
      </c>
      <c r="E2737" s="336" t="s">
        <v>3106</v>
      </c>
    </row>
    <row r="2738" spans="1:5" x14ac:dyDescent="0.2">
      <c r="A2738" s="335">
        <v>1001339616</v>
      </c>
      <c r="B2738" s="336" t="s">
        <v>3239</v>
      </c>
      <c r="C2738" s="336" t="s">
        <v>800</v>
      </c>
      <c r="D2738" s="336" t="s">
        <v>3105</v>
      </c>
      <c r="E2738" s="336" t="s">
        <v>3106</v>
      </c>
    </row>
    <row r="2739" spans="1:5" x14ac:dyDescent="0.2">
      <c r="A2739" s="335">
        <v>1001339617</v>
      </c>
      <c r="B2739" s="336" t="s">
        <v>3240</v>
      </c>
      <c r="C2739" s="336" t="s">
        <v>800</v>
      </c>
      <c r="D2739" s="336" t="s">
        <v>3105</v>
      </c>
      <c r="E2739" s="336" t="s">
        <v>3106</v>
      </c>
    </row>
    <row r="2740" spans="1:5" x14ac:dyDescent="0.2">
      <c r="A2740" s="335">
        <v>1001339618</v>
      </c>
      <c r="B2740" s="336" t="s">
        <v>3241</v>
      </c>
      <c r="C2740" s="336" t="s">
        <v>863</v>
      </c>
      <c r="D2740" s="336" t="s">
        <v>3105</v>
      </c>
      <c r="E2740" s="336" t="s">
        <v>3106</v>
      </c>
    </row>
    <row r="2741" spans="1:5" x14ac:dyDescent="0.2">
      <c r="A2741" s="335">
        <v>1001339650</v>
      </c>
      <c r="B2741" s="336" t="s">
        <v>3242</v>
      </c>
      <c r="C2741" s="336" t="s">
        <v>800</v>
      </c>
      <c r="D2741" s="336" t="s">
        <v>3105</v>
      </c>
      <c r="E2741" s="336" t="s">
        <v>3106</v>
      </c>
    </row>
    <row r="2742" spans="1:5" x14ac:dyDescent="0.2">
      <c r="A2742" s="335">
        <v>1001339651</v>
      </c>
      <c r="B2742" s="336" t="s">
        <v>3243</v>
      </c>
      <c r="C2742" s="336" t="s">
        <v>800</v>
      </c>
      <c r="D2742" s="336" t="s">
        <v>3105</v>
      </c>
      <c r="E2742" s="336" t="s">
        <v>3106</v>
      </c>
    </row>
    <row r="2743" spans="1:5" x14ac:dyDescent="0.2">
      <c r="A2743" s="335">
        <v>1001339652</v>
      </c>
      <c r="B2743" s="336" t="s">
        <v>3244</v>
      </c>
      <c r="C2743" s="336" t="s">
        <v>800</v>
      </c>
      <c r="D2743" s="336" t="s">
        <v>3105</v>
      </c>
      <c r="E2743" s="336" t="s">
        <v>3106</v>
      </c>
    </row>
    <row r="2744" spans="1:5" x14ac:dyDescent="0.2">
      <c r="A2744" s="335">
        <v>1001339653</v>
      </c>
      <c r="B2744" s="336" t="s">
        <v>3245</v>
      </c>
      <c r="C2744" s="336" t="s">
        <v>800</v>
      </c>
      <c r="D2744" s="336" t="s">
        <v>3105</v>
      </c>
      <c r="E2744" s="336" t="s">
        <v>3106</v>
      </c>
    </row>
    <row r="2745" spans="1:5" x14ac:dyDescent="0.2">
      <c r="A2745" s="335">
        <v>1001339655</v>
      </c>
      <c r="B2745" s="336" t="s">
        <v>3246</v>
      </c>
      <c r="C2745" s="336" t="s">
        <v>800</v>
      </c>
      <c r="D2745" s="336" t="s">
        <v>3105</v>
      </c>
      <c r="E2745" s="336" t="s">
        <v>3106</v>
      </c>
    </row>
    <row r="2746" spans="1:5" x14ac:dyDescent="0.2">
      <c r="A2746" s="335">
        <v>1001339656</v>
      </c>
      <c r="B2746" s="336" t="s">
        <v>3247</v>
      </c>
      <c r="C2746" s="336" t="s">
        <v>800</v>
      </c>
      <c r="D2746" s="336" t="s">
        <v>3105</v>
      </c>
      <c r="E2746" s="336" t="s">
        <v>3106</v>
      </c>
    </row>
    <row r="2747" spans="1:5" x14ac:dyDescent="0.2">
      <c r="A2747" s="335">
        <v>1001339657</v>
      </c>
      <c r="B2747" s="336" t="s">
        <v>3248</v>
      </c>
      <c r="C2747" s="336" t="s">
        <v>800</v>
      </c>
      <c r="D2747" s="336" t="s">
        <v>3105</v>
      </c>
      <c r="E2747" s="336" t="s">
        <v>3106</v>
      </c>
    </row>
    <row r="2748" spans="1:5" x14ac:dyDescent="0.2">
      <c r="A2748" s="335">
        <v>1001339658</v>
      </c>
      <c r="B2748" s="336" t="s">
        <v>3249</v>
      </c>
      <c r="C2748" s="336" t="s">
        <v>800</v>
      </c>
      <c r="D2748" s="336" t="s">
        <v>3105</v>
      </c>
      <c r="E2748" s="336" t="s">
        <v>3106</v>
      </c>
    </row>
    <row r="2749" spans="1:5" x14ac:dyDescent="0.2">
      <c r="A2749" s="335">
        <v>1001339659</v>
      </c>
      <c r="B2749" s="336" t="s">
        <v>3250</v>
      </c>
      <c r="C2749" s="336" t="s">
        <v>800</v>
      </c>
      <c r="D2749" s="336" t="s">
        <v>3105</v>
      </c>
      <c r="E2749" s="336" t="s">
        <v>3106</v>
      </c>
    </row>
    <row r="2750" spans="1:5" x14ac:dyDescent="0.2">
      <c r="A2750" s="335">
        <v>1001339660</v>
      </c>
      <c r="B2750" s="336" t="s">
        <v>3251</v>
      </c>
      <c r="C2750" s="336" t="s">
        <v>863</v>
      </c>
      <c r="D2750" s="336" t="s">
        <v>3105</v>
      </c>
      <c r="E2750" s="336" t="s">
        <v>3106</v>
      </c>
    </row>
    <row r="2751" spans="1:5" x14ac:dyDescent="0.2">
      <c r="A2751" s="335">
        <v>1001339661</v>
      </c>
      <c r="B2751" s="336" t="s">
        <v>3251</v>
      </c>
      <c r="C2751" s="336" t="s">
        <v>800</v>
      </c>
      <c r="D2751" s="336" t="s">
        <v>3105</v>
      </c>
      <c r="E2751" s="336" t="s">
        <v>3106</v>
      </c>
    </row>
    <row r="2752" spans="1:5" x14ac:dyDescent="0.2">
      <c r="A2752" s="335">
        <v>1001339662</v>
      </c>
      <c r="B2752" s="336" t="s">
        <v>3252</v>
      </c>
      <c r="C2752" s="336" t="s">
        <v>863</v>
      </c>
      <c r="D2752" s="336" t="s">
        <v>3105</v>
      </c>
      <c r="E2752" s="336" t="s">
        <v>3106</v>
      </c>
    </row>
    <row r="2753" spans="1:5" x14ac:dyDescent="0.2">
      <c r="A2753" s="335">
        <v>1001339663</v>
      </c>
      <c r="B2753" s="336" t="s">
        <v>3253</v>
      </c>
      <c r="C2753" s="336" t="s">
        <v>800</v>
      </c>
      <c r="D2753" s="336" t="s">
        <v>3105</v>
      </c>
      <c r="E2753" s="336" t="s">
        <v>3106</v>
      </c>
    </row>
    <row r="2754" spans="1:5" x14ac:dyDescent="0.2">
      <c r="A2754" s="335">
        <v>1001339664</v>
      </c>
      <c r="B2754" s="336" t="s">
        <v>3254</v>
      </c>
      <c r="C2754" s="336" t="s">
        <v>800</v>
      </c>
      <c r="D2754" s="336" t="s">
        <v>3105</v>
      </c>
      <c r="E2754" s="336" t="s">
        <v>3106</v>
      </c>
    </row>
    <row r="2755" spans="1:5" x14ac:dyDescent="0.2">
      <c r="A2755" s="335">
        <v>1001339665</v>
      </c>
      <c r="B2755" s="336" t="s">
        <v>3121</v>
      </c>
      <c r="C2755" s="336" t="s">
        <v>800</v>
      </c>
      <c r="D2755" s="336" t="s">
        <v>3105</v>
      </c>
      <c r="E2755" s="336" t="s">
        <v>3106</v>
      </c>
    </row>
    <row r="2756" spans="1:5" x14ac:dyDescent="0.2">
      <c r="A2756" s="335">
        <v>1001339666</v>
      </c>
      <c r="B2756" s="336" t="s">
        <v>3255</v>
      </c>
      <c r="C2756" s="336" t="s">
        <v>800</v>
      </c>
      <c r="D2756" s="336" t="s">
        <v>3105</v>
      </c>
      <c r="E2756" s="336" t="s">
        <v>3106</v>
      </c>
    </row>
    <row r="2757" spans="1:5" x14ac:dyDescent="0.2">
      <c r="A2757" s="335">
        <v>1001339668</v>
      </c>
      <c r="B2757" s="336" t="s">
        <v>3170</v>
      </c>
      <c r="C2757" s="336" t="s">
        <v>800</v>
      </c>
      <c r="D2757" s="336" t="s">
        <v>3105</v>
      </c>
      <c r="E2757" s="336" t="s">
        <v>3106</v>
      </c>
    </row>
    <row r="2758" spans="1:5" x14ac:dyDescent="0.2">
      <c r="A2758" s="335">
        <v>1001339669</v>
      </c>
      <c r="B2758" s="336" t="s">
        <v>3256</v>
      </c>
      <c r="C2758" s="336" t="s">
        <v>800</v>
      </c>
      <c r="D2758" s="336" t="s">
        <v>3105</v>
      </c>
      <c r="E2758" s="336" t="s">
        <v>3106</v>
      </c>
    </row>
    <row r="2759" spans="1:5" x14ac:dyDescent="0.2">
      <c r="A2759" s="335">
        <v>1001339693</v>
      </c>
      <c r="B2759" s="336" t="s">
        <v>3210</v>
      </c>
      <c r="C2759" s="336" t="s">
        <v>800</v>
      </c>
      <c r="D2759" s="336" t="s">
        <v>3105</v>
      </c>
      <c r="E2759" s="336" t="s">
        <v>3106</v>
      </c>
    </row>
    <row r="2760" spans="1:5" x14ac:dyDescent="0.2">
      <c r="A2760" s="335">
        <v>1001339694</v>
      </c>
      <c r="B2760" s="336" t="s">
        <v>3257</v>
      </c>
      <c r="C2760" s="336" t="s">
        <v>800</v>
      </c>
      <c r="D2760" s="336" t="s">
        <v>3105</v>
      </c>
      <c r="E2760" s="336" t="s">
        <v>3106</v>
      </c>
    </row>
    <row r="2761" spans="1:5" x14ac:dyDescent="0.2">
      <c r="A2761" s="335">
        <v>1001339695</v>
      </c>
      <c r="B2761" s="336" t="s">
        <v>1935</v>
      </c>
      <c r="C2761" s="336" t="s">
        <v>800</v>
      </c>
      <c r="D2761" s="336" t="s">
        <v>3105</v>
      </c>
      <c r="E2761" s="336" t="s">
        <v>3106</v>
      </c>
    </row>
    <row r="2762" spans="1:5" x14ac:dyDescent="0.2">
      <c r="A2762" s="335">
        <v>1001339696</v>
      </c>
      <c r="B2762" s="336" t="s">
        <v>3173</v>
      </c>
      <c r="C2762" s="336" t="s">
        <v>800</v>
      </c>
      <c r="D2762" s="336" t="s">
        <v>3105</v>
      </c>
      <c r="E2762" s="336" t="s">
        <v>3106</v>
      </c>
    </row>
    <row r="2763" spans="1:5" x14ac:dyDescent="0.2">
      <c r="A2763" s="335">
        <v>1001339697</v>
      </c>
      <c r="B2763" s="336" t="s">
        <v>3258</v>
      </c>
      <c r="C2763" s="336" t="s">
        <v>800</v>
      </c>
      <c r="D2763" s="336" t="s">
        <v>3105</v>
      </c>
      <c r="E2763" s="336" t="s">
        <v>3106</v>
      </c>
    </row>
    <row r="2764" spans="1:5" x14ac:dyDescent="0.2">
      <c r="A2764" s="335">
        <v>1001339698</v>
      </c>
      <c r="B2764" s="336" t="s">
        <v>3259</v>
      </c>
      <c r="C2764" s="336" t="s">
        <v>800</v>
      </c>
      <c r="D2764" s="336" t="s">
        <v>3105</v>
      </c>
      <c r="E2764" s="336" t="s">
        <v>3106</v>
      </c>
    </row>
    <row r="2765" spans="1:5" x14ac:dyDescent="0.2">
      <c r="A2765" s="335">
        <v>1001339699</v>
      </c>
      <c r="B2765" s="336" t="s">
        <v>3260</v>
      </c>
      <c r="C2765" s="336" t="s">
        <v>800</v>
      </c>
      <c r="D2765" s="336" t="s">
        <v>3105</v>
      </c>
      <c r="E2765" s="336" t="s">
        <v>3106</v>
      </c>
    </row>
    <row r="2766" spans="1:5" x14ac:dyDescent="0.2">
      <c r="A2766" s="335">
        <v>1001339700</v>
      </c>
      <c r="B2766" s="336" t="s">
        <v>3121</v>
      </c>
      <c r="C2766" s="336" t="s">
        <v>800</v>
      </c>
      <c r="D2766" s="336" t="s">
        <v>3105</v>
      </c>
      <c r="E2766" s="336" t="s">
        <v>3106</v>
      </c>
    </row>
    <row r="2767" spans="1:5" x14ac:dyDescent="0.2">
      <c r="A2767" s="335">
        <v>1001339703</v>
      </c>
      <c r="B2767" s="336" t="s">
        <v>3173</v>
      </c>
      <c r="C2767" s="336" t="s">
        <v>863</v>
      </c>
      <c r="D2767" s="336" t="s">
        <v>3105</v>
      </c>
      <c r="E2767" s="336" t="s">
        <v>3106</v>
      </c>
    </row>
    <row r="2768" spans="1:5" x14ac:dyDescent="0.2">
      <c r="A2768" s="335">
        <v>1001339704</v>
      </c>
      <c r="B2768" s="336" t="s">
        <v>3139</v>
      </c>
      <c r="C2768" s="336" t="s">
        <v>800</v>
      </c>
      <c r="D2768" s="336" t="s">
        <v>3105</v>
      </c>
      <c r="E2768" s="336" t="s">
        <v>3106</v>
      </c>
    </row>
    <row r="2769" spans="1:5" x14ac:dyDescent="0.2">
      <c r="A2769" s="335">
        <v>1001339705</v>
      </c>
      <c r="B2769" s="336" t="s">
        <v>3261</v>
      </c>
      <c r="C2769" s="336" t="s">
        <v>800</v>
      </c>
      <c r="D2769" s="336" t="s">
        <v>3105</v>
      </c>
      <c r="E2769" s="336" t="s">
        <v>3106</v>
      </c>
    </row>
    <row r="2770" spans="1:5" x14ac:dyDescent="0.2">
      <c r="A2770" s="335">
        <v>1001339706</v>
      </c>
      <c r="B2770" s="336" t="s">
        <v>3262</v>
      </c>
      <c r="C2770" s="336" t="s">
        <v>800</v>
      </c>
      <c r="D2770" s="336" t="s">
        <v>3105</v>
      </c>
      <c r="E2770" s="336" t="s">
        <v>3106</v>
      </c>
    </row>
    <row r="2771" spans="1:5" x14ac:dyDescent="0.2">
      <c r="A2771" s="335">
        <v>1001339708</v>
      </c>
      <c r="B2771" s="336" t="s">
        <v>3173</v>
      </c>
      <c r="C2771" s="336" t="s">
        <v>800</v>
      </c>
      <c r="D2771" s="336" t="s">
        <v>3105</v>
      </c>
      <c r="E2771" s="336" t="s">
        <v>3106</v>
      </c>
    </row>
    <row r="2772" spans="1:5" x14ac:dyDescent="0.2">
      <c r="A2772" s="335">
        <v>1001339709</v>
      </c>
      <c r="B2772" s="336" t="s">
        <v>3263</v>
      </c>
      <c r="C2772" s="336" t="s">
        <v>800</v>
      </c>
      <c r="D2772" s="336" t="s">
        <v>3105</v>
      </c>
      <c r="E2772" s="336" t="s">
        <v>3106</v>
      </c>
    </row>
    <row r="2773" spans="1:5" x14ac:dyDescent="0.2">
      <c r="A2773" s="335">
        <v>1001339720</v>
      </c>
      <c r="B2773" s="336" t="s">
        <v>3126</v>
      </c>
      <c r="C2773" s="336" t="s">
        <v>800</v>
      </c>
      <c r="D2773" s="336" t="s">
        <v>3105</v>
      </c>
      <c r="E2773" s="336" t="s">
        <v>3106</v>
      </c>
    </row>
    <row r="2774" spans="1:5" x14ac:dyDescent="0.2">
      <c r="A2774" s="335">
        <v>1001339722</v>
      </c>
      <c r="B2774" s="336" t="s">
        <v>3173</v>
      </c>
      <c r="C2774" s="336" t="s">
        <v>800</v>
      </c>
      <c r="D2774" s="336" t="s">
        <v>3105</v>
      </c>
      <c r="E2774" s="336" t="s">
        <v>3106</v>
      </c>
    </row>
    <row r="2775" spans="1:5" x14ac:dyDescent="0.2">
      <c r="A2775" s="335">
        <v>1001339723</v>
      </c>
      <c r="B2775" s="336" t="s">
        <v>3264</v>
      </c>
      <c r="C2775" s="336" t="s">
        <v>863</v>
      </c>
      <c r="D2775" s="336" t="s">
        <v>3105</v>
      </c>
      <c r="E2775" s="336" t="s">
        <v>3106</v>
      </c>
    </row>
    <row r="2776" spans="1:5" x14ac:dyDescent="0.2">
      <c r="A2776" s="335">
        <v>1001339724</v>
      </c>
      <c r="B2776" s="336" t="s">
        <v>3265</v>
      </c>
      <c r="C2776" s="336" t="s">
        <v>800</v>
      </c>
      <c r="D2776" s="336" t="s">
        <v>3105</v>
      </c>
      <c r="E2776" s="336" t="s">
        <v>3106</v>
      </c>
    </row>
    <row r="2777" spans="1:5" x14ac:dyDescent="0.2">
      <c r="A2777" s="335">
        <v>1001339725</v>
      </c>
      <c r="B2777" s="336" t="s">
        <v>3266</v>
      </c>
      <c r="C2777" s="336" t="s">
        <v>800</v>
      </c>
      <c r="D2777" s="336" t="s">
        <v>3105</v>
      </c>
      <c r="E2777" s="336" t="s">
        <v>3106</v>
      </c>
    </row>
    <row r="2778" spans="1:5" x14ac:dyDescent="0.2">
      <c r="A2778" s="335">
        <v>1001339726</v>
      </c>
      <c r="B2778" s="336" t="s">
        <v>3267</v>
      </c>
      <c r="C2778" s="336" t="s">
        <v>800</v>
      </c>
      <c r="D2778" s="336" t="s">
        <v>3105</v>
      </c>
      <c r="E2778" s="336" t="s">
        <v>3106</v>
      </c>
    </row>
    <row r="2779" spans="1:5" x14ac:dyDescent="0.2">
      <c r="A2779" s="335">
        <v>1001339727</v>
      </c>
      <c r="B2779" s="336" t="s">
        <v>3268</v>
      </c>
      <c r="C2779" s="336" t="s">
        <v>800</v>
      </c>
      <c r="D2779" s="336" t="s">
        <v>3105</v>
      </c>
      <c r="E2779" s="336" t="s">
        <v>3106</v>
      </c>
    </row>
    <row r="2780" spans="1:5" x14ac:dyDescent="0.2">
      <c r="A2780" s="335">
        <v>1001339729</v>
      </c>
      <c r="B2780" s="336" t="s">
        <v>3269</v>
      </c>
      <c r="C2780" s="336" t="s">
        <v>800</v>
      </c>
      <c r="D2780" s="336" t="s">
        <v>3105</v>
      </c>
      <c r="E2780" s="336" t="s">
        <v>3106</v>
      </c>
    </row>
    <row r="2781" spans="1:5" x14ac:dyDescent="0.2">
      <c r="A2781" s="335">
        <v>1001339730</v>
      </c>
      <c r="B2781" s="336" t="s">
        <v>3170</v>
      </c>
      <c r="C2781" s="336" t="s">
        <v>800</v>
      </c>
      <c r="D2781" s="336" t="s">
        <v>3105</v>
      </c>
      <c r="E2781" s="336" t="s">
        <v>3106</v>
      </c>
    </row>
    <row r="2782" spans="1:5" x14ac:dyDescent="0.2">
      <c r="A2782" s="335">
        <v>1001339731</v>
      </c>
      <c r="B2782" s="336" t="s">
        <v>3158</v>
      </c>
      <c r="C2782" s="336" t="s">
        <v>800</v>
      </c>
      <c r="D2782" s="336" t="s">
        <v>3105</v>
      </c>
      <c r="E2782" s="336" t="s">
        <v>3106</v>
      </c>
    </row>
    <row r="2783" spans="1:5" x14ac:dyDescent="0.2">
      <c r="A2783" s="335">
        <v>1001339732</v>
      </c>
      <c r="B2783" s="336" t="s">
        <v>3270</v>
      </c>
      <c r="C2783" s="336" t="s">
        <v>800</v>
      </c>
      <c r="D2783" s="336" t="s">
        <v>3105</v>
      </c>
      <c r="E2783" s="336" t="s">
        <v>3106</v>
      </c>
    </row>
    <row r="2784" spans="1:5" x14ac:dyDescent="0.2">
      <c r="A2784" s="335">
        <v>1001339735</v>
      </c>
      <c r="B2784" s="336" t="s">
        <v>3271</v>
      </c>
      <c r="C2784" s="336" t="s">
        <v>800</v>
      </c>
      <c r="D2784" s="336" t="s">
        <v>3105</v>
      </c>
      <c r="E2784" s="336" t="s">
        <v>3106</v>
      </c>
    </row>
    <row r="2785" spans="1:5" x14ac:dyDescent="0.2">
      <c r="A2785" s="335">
        <v>1001339736</v>
      </c>
      <c r="B2785" s="336" t="s">
        <v>3272</v>
      </c>
      <c r="C2785" s="336" t="s">
        <v>800</v>
      </c>
      <c r="D2785" s="336" t="s">
        <v>3105</v>
      </c>
      <c r="E2785" s="336" t="s">
        <v>3106</v>
      </c>
    </row>
    <row r="2786" spans="1:5" x14ac:dyDescent="0.2">
      <c r="A2786" s="335">
        <v>1001339737</v>
      </c>
      <c r="B2786" s="336" t="s">
        <v>3273</v>
      </c>
      <c r="C2786" s="336" t="s">
        <v>800</v>
      </c>
      <c r="D2786" s="336" t="s">
        <v>3105</v>
      </c>
      <c r="E2786" s="336" t="s">
        <v>3106</v>
      </c>
    </row>
    <row r="2787" spans="1:5" x14ac:dyDescent="0.2">
      <c r="A2787" s="335">
        <v>1001339738</v>
      </c>
      <c r="B2787" s="336" t="s">
        <v>3274</v>
      </c>
      <c r="C2787" s="336" t="s">
        <v>800</v>
      </c>
      <c r="D2787" s="336" t="s">
        <v>3105</v>
      </c>
      <c r="E2787" s="336" t="s">
        <v>3106</v>
      </c>
    </row>
    <row r="2788" spans="1:5" x14ac:dyDescent="0.2">
      <c r="A2788" s="335">
        <v>1001339739</v>
      </c>
      <c r="B2788" s="336" t="s">
        <v>3126</v>
      </c>
      <c r="C2788" s="336" t="s">
        <v>863</v>
      </c>
      <c r="D2788" s="336" t="s">
        <v>3105</v>
      </c>
      <c r="E2788" s="336" t="s">
        <v>3106</v>
      </c>
    </row>
    <row r="2789" spans="1:5" x14ac:dyDescent="0.2">
      <c r="A2789" s="335">
        <v>1001339750</v>
      </c>
      <c r="B2789" s="336" t="s">
        <v>3275</v>
      </c>
      <c r="C2789" s="336" t="s">
        <v>800</v>
      </c>
      <c r="D2789" s="336" t="s">
        <v>3105</v>
      </c>
      <c r="E2789" s="336" t="s">
        <v>3106</v>
      </c>
    </row>
    <row r="2790" spans="1:5" x14ac:dyDescent="0.2">
      <c r="A2790" s="335">
        <v>1001339751</v>
      </c>
      <c r="B2790" s="336" t="s">
        <v>3276</v>
      </c>
      <c r="C2790" s="336" t="s">
        <v>800</v>
      </c>
      <c r="D2790" s="336" t="s">
        <v>3105</v>
      </c>
      <c r="E2790" s="336" t="s">
        <v>3106</v>
      </c>
    </row>
    <row r="2791" spans="1:5" x14ac:dyDescent="0.2">
      <c r="A2791" s="335">
        <v>1001339752</v>
      </c>
      <c r="B2791" s="336" t="s">
        <v>3277</v>
      </c>
      <c r="C2791" s="336" t="s">
        <v>800</v>
      </c>
      <c r="D2791" s="336" t="s">
        <v>3105</v>
      </c>
      <c r="E2791" s="336" t="s">
        <v>3106</v>
      </c>
    </row>
    <row r="2792" spans="1:5" x14ac:dyDescent="0.2">
      <c r="A2792" s="335">
        <v>1001339753</v>
      </c>
      <c r="B2792" s="336" t="s">
        <v>3278</v>
      </c>
      <c r="C2792" s="336" t="s">
        <v>800</v>
      </c>
      <c r="D2792" s="336" t="s">
        <v>3105</v>
      </c>
      <c r="E2792" s="336" t="s">
        <v>3106</v>
      </c>
    </row>
    <row r="2793" spans="1:5" x14ac:dyDescent="0.2">
      <c r="A2793" s="335">
        <v>1001339754</v>
      </c>
      <c r="B2793" s="336" t="s">
        <v>3279</v>
      </c>
      <c r="C2793" s="336" t="s">
        <v>800</v>
      </c>
      <c r="D2793" s="336" t="s">
        <v>3105</v>
      </c>
      <c r="E2793" s="336" t="s">
        <v>3106</v>
      </c>
    </row>
    <row r="2794" spans="1:5" x14ac:dyDescent="0.2">
      <c r="A2794" s="335">
        <v>1001339755</v>
      </c>
      <c r="B2794" s="336" t="s">
        <v>3280</v>
      </c>
      <c r="C2794" s="336" t="s">
        <v>800</v>
      </c>
      <c r="D2794" s="336" t="s">
        <v>3105</v>
      </c>
      <c r="E2794" s="336" t="s">
        <v>3106</v>
      </c>
    </row>
    <row r="2795" spans="1:5" x14ac:dyDescent="0.2">
      <c r="A2795" s="335">
        <v>1001339756</v>
      </c>
      <c r="B2795" s="336" t="s">
        <v>3121</v>
      </c>
      <c r="C2795" s="336" t="s">
        <v>800</v>
      </c>
      <c r="D2795" s="336" t="s">
        <v>3105</v>
      </c>
      <c r="E2795" s="336" t="s">
        <v>3106</v>
      </c>
    </row>
    <row r="2796" spans="1:5" x14ac:dyDescent="0.2">
      <c r="A2796" s="335">
        <v>1001339757</v>
      </c>
      <c r="B2796" s="336" t="s">
        <v>3121</v>
      </c>
      <c r="C2796" s="336" t="s">
        <v>800</v>
      </c>
      <c r="D2796" s="336" t="s">
        <v>3105</v>
      </c>
      <c r="E2796" s="336" t="s">
        <v>3106</v>
      </c>
    </row>
    <row r="2797" spans="1:5" x14ac:dyDescent="0.2">
      <c r="A2797" s="335">
        <v>1001339758</v>
      </c>
      <c r="B2797" s="336" t="s">
        <v>3281</v>
      </c>
      <c r="C2797" s="336" t="s">
        <v>800</v>
      </c>
      <c r="D2797" s="336" t="s">
        <v>3105</v>
      </c>
      <c r="E2797" s="336" t="s">
        <v>3106</v>
      </c>
    </row>
    <row r="2798" spans="1:5" x14ac:dyDescent="0.2">
      <c r="A2798" s="335">
        <v>1001339791</v>
      </c>
      <c r="B2798" s="336" t="s">
        <v>3282</v>
      </c>
      <c r="C2798" s="336" t="s">
        <v>863</v>
      </c>
      <c r="D2798" s="336" t="s">
        <v>3105</v>
      </c>
      <c r="E2798" s="336" t="s">
        <v>3106</v>
      </c>
    </row>
    <row r="2799" spans="1:5" x14ac:dyDescent="0.2">
      <c r="A2799" s="335">
        <v>1001339792</v>
      </c>
      <c r="B2799" s="336" t="s">
        <v>3283</v>
      </c>
      <c r="C2799" s="336" t="s">
        <v>800</v>
      </c>
      <c r="D2799" s="336" t="s">
        <v>3105</v>
      </c>
      <c r="E2799" s="336" t="s">
        <v>3106</v>
      </c>
    </row>
    <row r="2800" spans="1:5" x14ac:dyDescent="0.2">
      <c r="A2800" s="335">
        <v>1001339793</v>
      </c>
      <c r="B2800" s="336" t="s">
        <v>3284</v>
      </c>
      <c r="C2800" s="336" t="s">
        <v>800</v>
      </c>
      <c r="D2800" s="336" t="s">
        <v>3105</v>
      </c>
      <c r="E2800" s="336" t="s">
        <v>3106</v>
      </c>
    </row>
    <row r="2801" spans="1:5" x14ac:dyDescent="0.2">
      <c r="A2801" s="335">
        <v>1001339794</v>
      </c>
      <c r="B2801" s="336" t="s">
        <v>3285</v>
      </c>
      <c r="C2801" s="336" t="s">
        <v>800</v>
      </c>
      <c r="D2801" s="336" t="s">
        <v>3105</v>
      </c>
      <c r="E2801" s="336" t="s">
        <v>3106</v>
      </c>
    </row>
    <row r="2802" spans="1:5" x14ac:dyDescent="0.2">
      <c r="A2802" s="335">
        <v>1001339795</v>
      </c>
      <c r="B2802" s="336" t="s">
        <v>3286</v>
      </c>
      <c r="C2802" s="336" t="s">
        <v>800</v>
      </c>
      <c r="D2802" s="336" t="s">
        <v>3105</v>
      </c>
      <c r="E2802" s="336" t="s">
        <v>3106</v>
      </c>
    </row>
    <row r="2803" spans="1:5" x14ac:dyDescent="0.2">
      <c r="A2803" s="335">
        <v>1001339796</v>
      </c>
      <c r="B2803" s="336" t="s">
        <v>3139</v>
      </c>
      <c r="C2803" s="336" t="s">
        <v>800</v>
      </c>
      <c r="D2803" s="336" t="s">
        <v>3105</v>
      </c>
      <c r="E2803" s="336" t="s">
        <v>3106</v>
      </c>
    </row>
    <row r="2804" spans="1:5" x14ac:dyDescent="0.2">
      <c r="A2804" s="335">
        <v>1001339797</v>
      </c>
      <c r="B2804" s="336" t="s">
        <v>3287</v>
      </c>
      <c r="C2804" s="336" t="s">
        <v>863</v>
      </c>
      <c r="D2804" s="336" t="s">
        <v>3105</v>
      </c>
      <c r="E2804" s="336" t="s">
        <v>3106</v>
      </c>
    </row>
    <row r="2805" spans="1:5" x14ac:dyDescent="0.2">
      <c r="A2805" s="335">
        <v>1001339798</v>
      </c>
      <c r="B2805" s="336" t="s">
        <v>3288</v>
      </c>
      <c r="C2805" s="336" t="s">
        <v>800</v>
      </c>
      <c r="D2805" s="336" t="s">
        <v>3105</v>
      </c>
      <c r="E2805" s="336" t="s">
        <v>3106</v>
      </c>
    </row>
    <row r="2806" spans="1:5" x14ac:dyDescent="0.2">
      <c r="A2806" s="335">
        <v>1001339799</v>
      </c>
      <c r="B2806" s="336" t="s">
        <v>3289</v>
      </c>
      <c r="C2806" s="336" t="s">
        <v>800</v>
      </c>
      <c r="D2806" s="336" t="s">
        <v>3105</v>
      </c>
      <c r="E2806" s="336" t="s">
        <v>3106</v>
      </c>
    </row>
    <row r="2807" spans="1:5" x14ac:dyDescent="0.2">
      <c r="A2807" s="335">
        <v>1001339820</v>
      </c>
      <c r="B2807" s="336" t="s">
        <v>3290</v>
      </c>
      <c r="C2807" s="336" t="s">
        <v>800</v>
      </c>
      <c r="D2807" s="336" t="s">
        <v>3105</v>
      </c>
      <c r="E2807" s="336" t="s">
        <v>3106</v>
      </c>
    </row>
    <row r="2808" spans="1:5" x14ac:dyDescent="0.2">
      <c r="A2808" s="335">
        <v>1001339821</v>
      </c>
      <c r="B2808" s="336" t="s">
        <v>3124</v>
      </c>
      <c r="C2808" s="336" t="s">
        <v>800</v>
      </c>
      <c r="D2808" s="336" t="s">
        <v>3105</v>
      </c>
      <c r="E2808" s="336" t="s">
        <v>3106</v>
      </c>
    </row>
    <row r="2809" spans="1:5" x14ac:dyDescent="0.2">
      <c r="A2809" s="335">
        <v>1001339822</v>
      </c>
      <c r="B2809" s="336" t="s">
        <v>3291</v>
      </c>
      <c r="C2809" s="336" t="s">
        <v>800</v>
      </c>
      <c r="D2809" s="336" t="s">
        <v>3105</v>
      </c>
      <c r="E2809" s="336" t="s">
        <v>3106</v>
      </c>
    </row>
    <row r="2810" spans="1:5" x14ac:dyDescent="0.2">
      <c r="A2810" s="335">
        <v>1001339824</v>
      </c>
      <c r="B2810" s="336" t="s">
        <v>3292</v>
      </c>
      <c r="C2810" s="336" t="s">
        <v>800</v>
      </c>
      <c r="D2810" s="336" t="s">
        <v>3105</v>
      </c>
      <c r="E2810" s="336" t="s">
        <v>3106</v>
      </c>
    </row>
    <row r="2811" spans="1:5" x14ac:dyDescent="0.2">
      <c r="A2811" s="335">
        <v>1001339825</v>
      </c>
      <c r="B2811" s="336" t="s">
        <v>3126</v>
      </c>
      <c r="C2811" s="336" t="s">
        <v>800</v>
      </c>
      <c r="D2811" s="336" t="s">
        <v>3105</v>
      </c>
      <c r="E2811" s="336" t="s">
        <v>3106</v>
      </c>
    </row>
    <row r="2812" spans="1:5" x14ac:dyDescent="0.2">
      <c r="A2812" s="335">
        <v>1001339826</v>
      </c>
      <c r="B2812" s="336" t="s">
        <v>3293</v>
      </c>
      <c r="C2812" s="336" t="s">
        <v>800</v>
      </c>
      <c r="D2812" s="336" t="s">
        <v>3105</v>
      </c>
      <c r="E2812" s="336" t="s">
        <v>3106</v>
      </c>
    </row>
    <row r="2813" spans="1:5" x14ac:dyDescent="0.2">
      <c r="A2813" s="335">
        <v>1001339827</v>
      </c>
      <c r="B2813" s="336" t="s">
        <v>3294</v>
      </c>
      <c r="C2813" s="336" t="s">
        <v>863</v>
      </c>
      <c r="D2813" s="336" t="s">
        <v>3105</v>
      </c>
      <c r="E2813" s="336" t="s">
        <v>3106</v>
      </c>
    </row>
    <row r="2814" spans="1:5" x14ac:dyDescent="0.2">
      <c r="A2814" s="335">
        <v>1001339828</v>
      </c>
      <c r="B2814" s="336" t="s">
        <v>3295</v>
      </c>
      <c r="C2814" s="336" t="s">
        <v>800</v>
      </c>
      <c r="D2814" s="336" t="s">
        <v>3105</v>
      </c>
      <c r="E2814" s="336" t="s">
        <v>3106</v>
      </c>
    </row>
    <row r="2815" spans="1:5" x14ac:dyDescent="0.2">
      <c r="A2815" s="335">
        <v>1001339829</v>
      </c>
      <c r="B2815" s="336" t="s">
        <v>3296</v>
      </c>
      <c r="C2815" s="336" t="s">
        <v>800</v>
      </c>
      <c r="D2815" s="336" t="s">
        <v>3105</v>
      </c>
      <c r="E2815" s="336" t="s">
        <v>3106</v>
      </c>
    </row>
    <row r="2816" spans="1:5" x14ac:dyDescent="0.2">
      <c r="A2816" s="335">
        <v>1001339832</v>
      </c>
      <c r="B2816" s="336" t="s">
        <v>3297</v>
      </c>
      <c r="C2816" s="336" t="s">
        <v>800</v>
      </c>
      <c r="D2816" s="336" t="s">
        <v>3105</v>
      </c>
      <c r="E2816" s="336" t="s">
        <v>3106</v>
      </c>
    </row>
    <row r="2817" spans="1:5" x14ac:dyDescent="0.2">
      <c r="A2817" s="335">
        <v>1001339833</v>
      </c>
      <c r="B2817" s="336" t="s">
        <v>3298</v>
      </c>
      <c r="C2817" s="336" t="s">
        <v>800</v>
      </c>
      <c r="D2817" s="336" t="s">
        <v>3105</v>
      </c>
      <c r="E2817" s="336" t="s">
        <v>3106</v>
      </c>
    </row>
    <row r="2818" spans="1:5" x14ac:dyDescent="0.2">
      <c r="A2818" s="335">
        <v>1001339834</v>
      </c>
      <c r="B2818" s="336" t="s">
        <v>3299</v>
      </c>
      <c r="C2818" s="336" t="s">
        <v>800</v>
      </c>
      <c r="D2818" s="336" t="s">
        <v>3105</v>
      </c>
      <c r="E2818" s="336" t="s">
        <v>3106</v>
      </c>
    </row>
    <row r="2819" spans="1:5" x14ac:dyDescent="0.2">
      <c r="A2819" s="335">
        <v>1001339835</v>
      </c>
      <c r="B2819" s="336" t="s">
        <v>3170</v>
      </c>
      <c r="C2819" s="336" t="s">
        <v>800</v>
      </c>
      <c r="D2819" s="336" t="s">
        <v>3105</v>
      </c>
      <c r="E2819" s="336" t="s">
        <v>3106</v>
      </c>
    </row>
    <row r="2820" spans="1:5" x14ac:dyDescent="0.2">
      <c r="A2820" s="335">
        <v>1001339836</v>
      </c>
      <c r="B2820" s="336" t="s">
        <v>3300</v>
      </c>
      <c r="C2820" s="336" t="s">
        <v>800</v>
      </c>
      <c r="D2820" s="336" t="s">
        <v>3105</v>
      </c>
      <c r="E2820" s="336" t="s">
        <v>3106</v>
      </c>
    </row>
    <row r="2821" spans="1:5" x14ac:dyDescent="0.2">
      <c r="A2821" s="335">
        <v>1001339837</v>
      </c>
      <c r="B2821" s="336" t="s">
        <v>3301</v>
      </c>
      <c r="C2821" s="336" t="s">
        <v>800</v>
      </c>
      <c r="D2821" s="336" t="s">
        <v>3105</v>
      </c>
      <c r="E2821" s="336" t="s">
        <v>3106</v>
      </c>
    </row>
    <row r="2822" spans="1:5" x14ac:dyDescent="0.2">
      <c r="A2822" s="335">
        <v>1001339839</v>
      </c>
      <c r="B2822" s="336" t="s">
        <v>3302</v>
      </c>
      <c r="C2822" s="336" t="s">
        <v>800</v>
      </c>
      <c r="D2822" s="336" t="s">
        <v>3105</v>
      </c>
      <c r="E2822" s="336" t="s">
        <v>3106</v>
      </c>
    </row>
    <row r="2823" spans="1:5" x14ac:dyDescent="0.2">
      <c r="A2823" s="335">
        <v>1001339841</v>
      </c>
      <c r="B2823" s="336" t="s">
        <v>3136</v>
      </c>
      <c r="C2823" s="336" t="s">
        <v>800</v>
      </c>
      <c r="D2823" s="336" t="s">
        <v>3105</v>
      </c>
      <c r="E2823" s="336" t="s">
        <v>3106</v>
      </c>
    </row>
    <row r="2824" spans="1:5" x14ac:dyDescent="0.2">
      <c r="A2824" s="335">
        <v>1001339842</v>
      </c>
      <c r="B2824" s="336" t="s">
        <v>3303</v>
      </c>
      <c r="C2824" s="336" t="s">
        <v>800</v>
      </c>
      <c r="D2824" s="336" t="s">
        <v>3105</v>
      </c>
      <c r="E2824" s="336" t="s">
        <v>3106</v>
      </c>
    </row>
    <row r="2825" spans="1:5" x14ac:dyDescent="0.2">
      <c r="A2825" s="335">
        <v>1001339843</v>
      </c>
      <c r="B2825" s="336" t="s">
        <v>3304</v>
      </c>
      <c r="C2825" s="336" t="s">
        <v>800</v>
      </c>
      <c r="D2825" s="336" t="s">
        <v>3105</v>
      </c>
      <c r="E2825" s="336" t="s">
        <v>3106</v>
      </c>
    </row>
    <row r="2826" spans="1:5" x14ac:dyDescent="0.2">
      <c r="A2826" s="335">
        <v>1001339844</v>
      </c>
      <c r="B2826" s="336" t="s">
        <v>3305</v>
      </c>
      <c r="C2826" s="336" t="s">
        <v>800</v>
      </c>
      <c r="D2826" s="336" t="s">
        <v>3105</v>
      </c>
      <c r="E2826" s="336" t="s">
        <v>3106</v>
      </c>
    </row>
    <row r="2827" spans="1:5" x14ac:dyDescent="0.2">
      <c r="A2827" s="335">
        <v>1001339845</v>
      </c>
      <c r="B2827" s="336" t="s">
        <v>3306</v>
      </c>
      <c r="C2827" s="336" t="s">
        <v>800</v>
      </c>
      <c r="D2827" s="336" t="s">
        <v>3105</v>
      </c>
      <c r="E2827" s="336" t="s">
        <v>3106</v>
      </c>
    </row>
    <row r="2828" spans="1:5" x14ac:dyDescent="0.2">
      <c r="A2828" s="335">
        <v>1001339846</v>
      </c>
      <c r="B2828" s="336" t="s">
        <v>3126</v>
      </c>
      <c r="C2828" s="336" t="s">
        <v>800</v>
      </c>
      <c r="D2828" s="336" t="s">
        <v>3105</v>
      </c>
      <c r="E2828" s="336" t="s">
        <v>3106</v>
      </c>
    </row>
    <row r="2829" spans="1:5" x14ac:dyDescent="0.2">
      <c r="A2829" s="335">
        <v>1001339847</v>
      </c>
      <c r="B2829" s="336" t="s">
        <v>3307</v>
      </c>
      <c r="C2829" s="336" t="s">
        <v>800</v>
      </c>
      <c r="D2829" s="336" t="s">
        <v>3105</v>
      </c>
      <c r="E2829" s="336" t="s">
        <v>3106</v>
      </c>
    </row>
    <row r="2830" spans="1:5" x14ac:dyDescent="0.2">
      <c r="A2830" s="335">
        <v>1001339848</v>
      </c>
      <c r="B2830" s="336" t="s">
        <v>3308</v>
      </c>
      <c r="C2830" s="336" t="s">
        <v>800</v>
      </c>
      <c r="D2830" s="336" t="s">
        <v>3105</v>
      </c>
      <c r="E2830" s="336" t="s">
        <v>3106</v>
      </c>
    </row>
    <row r="2831" spans="1:5" x14ac:dyDescent="0.2">
      <c r="A2831" s="335">
        <v>1001339849</v>
      </c>
      <c r="B2831" s="336" t="s">
        <v>3309</v>
      </c>
      <c r="C2831" s="336" t="s">
        <v>1097</v>
      </c>
      <c r="D2831" s="336" t="s">
        <v>3105</v>
      </c>
      <c r="E2831" s="336" t="s">
        <v>3106</v>
      </c>
    </row>
    <row r="2832" spans="1:5" x14ac:dyDescent="0.2">
      <c r="A2832" s="335">
        <v>1001339870</v>
      </c>
      <c r="B2832" s="336" t="s">
        <v>3310</v>
      </c>
      <c r="C2832" s="336" t="s">
        <v>800</v>
      </c>
      <c r="D2832" s="336" t="s">
        <v>3105</v>
      </c>
      <c r="E2832" s="336" t="s">
        <v>3106</v>
      </c>
    </row>
    <row r="2833" spans="1:5" x14ac:dyDescent="0.2">
      <c r="A2833" s="335">
        <v>1001339871</v>
      </c>
      <c r="B2833" s="336" t="s">
        <v>3311</v>
      </c>
      <c r="C2833" s="336" t="s">
        <v>800</v>
      </c>
      <c r="D2833" s="336" t="s">
        <v>3105</v>
      </c>
      <c r="E2833" s="336" t="s">
        <v>3106</v>
      </c>
    </row>
    <row r="2834" spans="1:5" x14ac:dyDescent="0.2">
      <c r="A2834" s="335">
        <v>1001339872</v>
      </c>
      <c r="B2834" s="336" t="s">
        <v>3312</v>
      </c>
      <c r="C2834" s="336" t="s">
        <v>800</v>
      </c>
      <c r="D2834" s="336" t="s">
        <v>3105</v>
      </c>
      <c r="E2834" s="336" t="s">
        <v>3106</v>
      </c>
    </row>
    <row r="2835" spans="1:5" x14ac:dyDescent="0.2">
      <c r="A2835" s="335">
        <v>1001339873</v>
      </c>
      <c r="B2835" s="336" t="s">
        <v>3313</v>
      </c>
      <c r="C2835" s="336" t="s">
        <v>800</v>
      </c>
      <c r="D2835" s="336" t="s">
        <v>3105</v>
      </c>
      <c r="E2835" s="336" t="s">
        <v>3106</v>
      </c>
    </row>
    <row r="2836" spans="1:5" x14ac:dyDescent="0.2">
      <c r="A2836" s="335">
        <v>1001339874</v>
      </c>
      <c r="B2836" s="336" t="s">
        <v>3152</v>
      </c>
      <c r="C2836" s="336" t="s">
        <v>800</v>
      </c>
      <c r="D2836" s="336" t="s">
        <v>3105</v>
      </c>
      <c r="E2836" s="336" t="s">
        <v>3106</v>
      </c>
    </row>
    <row r="2837" spans="1:5" x14ac:dyDescent="0.2">
      <c r="A2837" s="335">
        <v>1001339875</v>
      </c>
      <c r="B2837" s="336" t="s">
        <v>3314</v>
      </c>
      <c r="C2837" s="336" t="s">
        <v>800</v>
      </c>
      <c r="D2837" s="336" t="s">
        <v>3105</v>
      </c>
      <c r="E2837" s="336" t="s">
        <v>3106</v>
      </c>
    </row>
    <row r="2838" spans="1:5" x14ac:dyDescent="0.2">
      <c r="A2838" s="335">
        <v>1001339877</v>
      </c>
      <c r="B2838" s="336" t="s">
        <v>3315</v>
      </c>
      <c r="C2838" s="336" t="s">
        <v>800</v>
      </c>
      <c r="D2838" s="336" t="s">
        <v>3105</v>
      </c>
      <c r="E2838" s="336" t="s">
        <v>3106</v>
      </c>
    </row>
    <row r="2839" spans="1:5" x14ac:dyDescent="0.2">
      <c r="A2839" s="335">
        <v>1001339878</v>
      </c>
      <c r="B2839" s="336" t="s">
        <v>3316</v>
      </c>
      <c r="C2839" s="336" t="s">
        <v>863</v>
      </c>
      <c r="D2839" s="336" t="s">
        <v>3105</v>
      </c>
      <c r="E2839" s="336" t="s">
        <v>3106</v>
      </c>
    </row>
    <row r="2840" spans="1:5" x14ac:dyDescent="0.2">
      <c r="A2840" s="335">
        <v>1001339879</v>
      </c>
      <c r="B2840" s="336" t="s">
        <v>3317</v>
      </c>
      <c r="C2840" s="336" t="s">
        <v>863</v>
      </c>
      <c r="D2840" s="336" t="s">
        <v>3105</v>
      </c>
      <c r="E2840" s="336" t="s">
        <v>3106</v>
      </c>
    </row>
    <row r="2841" spans="1:5" x14ac:dyDescent="0.2">
      <c r="A2841" s="335">
        <v>1001339891</v>
      </c>
      <c r="B2841" s="336" t="s">
        <v>3318</v>
      </c>
      <c r="C2841" s="336" t="s">
        <v>800</v>
      </c>
      <c r="D2841" s="336" t="s">
        <v>3105</v>
      </c>
      <c r="E2841" s="336" t="s">
        <v>3106</v>
      </c>
    </row>
    <row r="2842" spans="1:5" x14ac:dyDescent="0.2">
      <c r="A2842" s="335">
        <v>1001339892</v>
      </c>
      <c r="B2842" s="336" t="s">
        <v>3319</v>
      </c>
      <c r="C2842" s="336" t="s">
        <v>863</v>
      </c>
      <c r="D2842" s="336" t="s">
        <v>3105</v>
      </c>
      <c r="E2842" s="336" t="s">
        <v>3106</v>
      </c>
    </row>
    <row r="2843" spans="1:5" x14ac:dyDescent="0.2">
      <c r="A2843" s="335">
        <v>1001339893</v>
      </c>
      <c r="B2843" s="336" t="s">
        <v>3320</v>
      </c>
      <c r="C2843" s="336" t="s">
        <v>800</v>
      </c>
      <c r="D2843" s="336" t="s">
        <v>3105</v>
      </c>
      <c r="E2843" s="336" t="s">
        <v>3106</v>
      </c>
    </row>
    <row r="2844" spans="1:5" x14ac:dyDescent="0.2">
      <c r="A2844" s="335">
        <v>1001339894</v>
      </c>
      <c r="B2844" s="336" t="s">
        <v>3321</v>
      </c>
      <c r="C2844" s="336" t="s">
        <v>863</v>
      </c>
      <c r="D2844" s="336" t="s">
        <v>3105</v>
      </c>
      <c r="E2844" s="336" t="s">
        <v>3106</v>
      </c>
    </row>
    <row r="2845" spans="1:5" x14ac:dyDescent="0.2">
      <c r="A2845" s="335">
        <v>1001339895</v>
      </c>
      <c r="B2845" s="336" t="s">
        <v>3322</v>
      </c>
      <c r="C2845" s="336" t="s">
        <v>1097</v>
      </c>
      <c r="D2845" s="336" t="s">
        <v>3105</v>
      </c>
      <c r="E2845" s="336" t="s">
        <v>3106</v>
      </c>
    </row>
    <row r="2846" spans="1:5" x14ac:dyDescent="0.2">
      <c r="A2846" s="335">
        <v>1001339897</v>
      </c>
      <c r="B2846" s="336" t="s">
        <v>3323</v>
      </c>
      <c r="C2846" s="336" t="s">
        <v>863</v>
      </c>
      <c r="D2846" s="336" t="s">
        <v>3105</v>
      </c>
      <c r="E2846" s="336" t="s">
        <v>3106</v>
      </c>
    </row>
    <row r="2847" spans="1:5" x14ac:dyDescent="0.2">
      <c r="A2847" s="335">
        <v>1001339900</v>
      </c>
      <c r="B2847" s="336" t="s">
        <v>3324</v>
      </c>
      <c r="C2847" s="336" t="s">
        <v>800</v>
      </c>
      <c r="D2847" s="336" t="s">
        <v>3105</v>
      </c>
      <c r="E2847" s="336" t="s">
        <v>3106</v>
      </c>
    </row>
    <row r="2848" spans="1:5" x14ac:dyDescent="0.2">
      <c r="A2848" s="335">
        <v>1001341163</v>
      </c>
      <c r="B2848" s="336" t="s">
        <v>3325</v>
      </c>
      <c r="C2848" s="336" t="s">
        <v>800</v>
      </c>
      <c r="D2848" s="336" t="s">
        <v>3105</v>
      </c>
      <c r="E2848" s="336" t="s">
        <v>3106</v>
      </c>
    </row>
    <row r="2849" spans="1:5" x14ac:dyDescent="0.2">
      <c r="A2849" s="335">
        <v>1001341167</v>
      </c>
      <c r="B2849" s="336" t="s">
        <v>3326</v>
      </c>
      <c r="C2849" s="336" t="s">
        <v>800</v>
      </c>
      <c r="D2849" s="336" t="s">
        <v>3105</v>
      </c>
      <c r="E2849" s="336" t="s">
        <v>3106</v>
      </c>
    </row>
    <row r="2850" spans="1:5" x14ac:dyDescent="0.2">
      <c r="A2850" s="335">
        <v>1001341168</v>
      </c>
      <c r="B2850" s="336" t="s">
        <v>3327</v>
      </c>
      <c r="C2850" s="336" t="s">
        <v>800</v>
      </c>
      <c r="D2850" s="336" t="s">
        <v>3105</v>
      </c>
      <c r="E2850" s="336" t="s">
        <v>3106</v>
      </c>
    </row>
    <row r="2851" spans="1:5" x14ac:dyDescent="0.2">
      <c r="A2851" s="335">
        <v>1001341199</v>
      </c>
      <c r="B2851" s="336" t="s">
        <v>3241</v>
      </c>
      <c r="C2851" s="336" t="s">
        <v>863</v>
      </c>
      <c r="D2851" s="336" t="s">
        <v>3105</v>
      </c>
      <c r="E2851" s="336" t="s">
        <v>3106</v>
      </c>
    </row>
    <row r="2852" spans="1:5" x14ac:dyDescent="0.2">
      <c r="A2852" s="335">
        <v>1001341322</v>
      </c>
      <c r="B2852" s="336" t="s">
        <v>3252</v>
      </c>
      <c r="C2852" s="336" t="s">
        <v>800</v>
      </c>
      <c r="D2852" s="336" t="s">
        <v>3105</v>
      </c>
      <c r="E2852" s="336" t="s">
        <v>3106</v>
      </c>
    </row>
    <row r="2853" spans="1:5" x14ac:dyDescent="0.2">
      <c r="A2853" s="335">
        <v>1001341323</v>
      </c>
      <c r="B2853" s="336" t="s">
        <v>3328</v>
      </c>
      <c r="C2853" s="336" t="s">
        <v>800</v>
      </c>
      <c r="D2853" s="336" t="s">
        <v>3105</v>
      </c>
      <c r="E2853" s="336" t="s">
        <v>3106</v>
      </c>
    </row>
    <row r="2854" spans="1:5" x14ac:dyDescent="0.2">
      <c r="A2854" s="335">
        <v>1001341327</v>
      </c>
      <c r="B2854" s="336" t="s">
        <v>3329</v>
      </c>
      <c r="C2854" s="336" t="s">
        <v>800</v>
      </c>
      <c r="D2854" s="336" t="s">
        <v>3105</v>
      </c>
      <c r="E2854" s="336" t="s">
        <v>3106</v>
      </c>
    </row>
    <row r="2855" spans="1:5" x14ac:dyDescent="0.2">
      <c r="A2855" s="335">
        <v>1001341328</v>
      </c>
      <c r="B2855" s="336" t="s">
        <v>3170</v>
      </c>
      <c r="C2855" s="336" t="s">
        <v>800</v>
      </c>
      <c r="D2855" s="336" t="s">
        <v>3105</v>
      </c>
      <c r="E2855" s="336" t="s">
        <v>3106</v>
      </c>
    </row>
    <row r="2856" spans="1:5" x14ac:dyDescent="0.2">
      <c r="A2856" s="335">
        <v>1001341329</v>
      </c>
      <c r="B2856" s="336" t="s">
        <v>3316</v>
      </c>
      <c r="C2856" s="336" t="s">
        <v>800</v>
      </c>
      <c r="D2856" s="336" t="s">
        <v>3105</v>
      </c>
      <c r="E2856" s="336" t="s">
        <v>3106</v>
      </c>
    </row>
    <row r="2857" spans="1:5" x14ac:dyDescent="0.2">
      <c r="A2857" s="335">
        <v>1001341443</v>
      </c>
      <c r="B2857" s="336" t="s">
        <v>3330</v>
      </c>
      <c r="C2857" s="336" t="s">
        <v>800</v>
      </c>
      <c r="D2857" s="336" t="s">
        <v>3105</v>
      </c>
      <c r="E2857" s="336" t="s">
        <v>3106</v>
      </c>
    </row>
    <row r="2858" spans="1:5" x14ac:dyDescent="0.2">
      <c r="A2858" s="335">
        <v>1001341492</v>
      </c>
      <c r="B2858" s="336" t="s">
        <v>3331</v>
      </c>
      <c r="C2858" s="336" t="s">
        <v>800</v>
      </c>
      <c r="D2858" s="336" t="s">
        <v>3105</v>
      </c>
      <c r="E2858" s="336" t="s">
        <v>3106</v>
      </c>
    </row>
    <row r="2859" spans="1:5" x14ac:dyDescent="0.2">
      <c r="A2859" s="335">
        <v>1001341495</v>
      </c>
      <c r="B2859" s="336" t="s">
        <v>3332</v>
      </c>
      <c r="C2859" s="336" t="s">
        <v>800</v>
      </c>
      <c r="D2859" s="336" t="s">
        <v>3105</v>
      </c>
      <c r="E2859" s="336" t="s">
        <v>3106</v>
      </c>
    </row>
    <row r="2860" spans="1:5" x14ac:dyDescent="0.2">
      <c r="A2860" s="335">
        <v>1001341497</v>
      </c>
      <c r="B2860" s="336" t="s">
        <v>3294</v>
      </c>
      <c r="C2860" s="336" t="s">
        <v>800</v>
      </c>
      <c r="D2860" s="336" t="s">
        <v>3105</v>
      </c>
      <c r="E2860" s="336" t="s">
        <v>3106</v>
      </c>
    </row>
    <row r="2861" spans="1:5" x14ac:dyDescent="0.2">
      <c r="A2861" s="335">
        <v>1001341499</v>
      </c>
      <c r="B2861" s="336" t="s">
        <v>3127</v>
      </c>
      <c r="C2861" s="336" t="s">
        <v>863</v>
      </c>
      <c r="D2861" s="336" t="s">
        <v>3105</v>
      </c>
      <c r="E2861" s="336" t="s">
        <v>3106</v>
      </c>
    </row>
    <row r="2862" spans="1:5" x14ac:dyDescent="0.2">
      <c r="A2862" s="335">
        <v>1001342867</v>
      </c>
      <c r="B2862" s="336" t="s">
        <v>3333</v>
      </c>
      <c r="C2862" s="336" t="s">
        <v>813</v>
      </c>
      <c r="D2862" s="336" t="s">
        <v>946</v>
      </c>
      <c r="E2862" s="336" t="s">
        <v>947</v>
      </c>
    </row>
    <row r="2863" spans="1:5" x14ac:dyDescent="0.2">
      <c r="A2863" s="335">
        <v>1001342869</v>
      </c>
      <c r="B2863" s="336" t="s">
        <v>3334</v>
      </c>
      <c r="C2863" s="336" t="s">
        <v>813</v>
      </c>
      <c r="D2863" s="336" t="s">
        <v>946</v>
      </c>
      <c r="E2863" s="336" t="s">
        <v>947</v>
      </c>
    </row>
    <row r="2864" spans="1:5" x14ac:dyDescent="0.2">
      <c r="A2864" s="335">
        <v>1001345644</v>
      </c>
      <c r="B2864" s="336" t="s">
        <v>3335</v>
      </c>
      <c r="C2864" s="336" t="s">
        <v>813</v>
      </c>
      <c r="D2864" s="336" t="s">
        <v>946</v>
      </c>
      <c r="E2864" s="336" t="s">
        <v>947</v>
      </c>
    </row>
    <row r="2865" spans="1:5" x14ac:dyDescent="0.2">
      <c r="A2865" s="335">
        <v>1001345721</v>
      </c>
      <c r="B2865" s="336" t="s">
        <v>3336</v>
      </c>
      <c r="C2865" s="336" t="s">
        <v>813</v>
      </c>
      <c r="D2865" s="336" t="s">
        <v>946</v>
      </c>
      <c r="E2865" s="336" t="s">
        <v>947</v>
      </c>
    </row>
    <row r="2866" spans="1:5" x14ac:dyDescent="0.2">
      <c r="A2866" s="335">
        <v>1001345723</v>
      </c>
      <c r="B2866" s="336" t="s">
        <v>3337</v>
      </c>
      <c r="C2866" s="336" t="s">
        <v>813</v>
      </c>
      <c r="D2866" s="336" t="s">
        <v>946</v>
      </c>
      <c r="E2866" s="336" t="s">
        <v>947</v>
      </c>
    </row>
    <row r="2867" spans="1:5" x14ac:dyDescent="0.2">
      <c r="A2867" s="335">
        <v>1001346201</v>
      </c>
      <c r="B2867" s="336" t="s">
        <v>3338</v>
      </c>
      <c r="C2867" s="336" t="s">
        <v>813</v>
      </c>
      <c r="D2867" s="336" t="s">
        <v>946</v>
      </c>
      <c r="E2867" s="336" t="s">
        <v>947</v>
      </c>
    </row>
    <row r="2868" spans="1:5" x14ac:dyDescent="0.2">
      <c r="A2868" s="335">
        <v>1001346210</v>
      </c>
      <c r="B2868" s="336" t="s">
        <v>3339</v>
      </c>
      <c r="C2868" s="336" t="s">
        <v>813</v>
      </c>
      <c r="D2868" s="336" t="s">
        <v>946</v>
      </c>
      <c r="E2868" s="336" t="s">
        <v>947</v>
      </c>
    </row>
    <row r="2869" spans="1:5" x14ac:dyDescent="0.2">
      <c r="A2869" s="335">
        <v>1001346240</v>
      </c>
      <c r="B2869" s="336" t="s">
        <v>3340</v>
      </c>
      <c r="C2869" s="336" t="s">
        <v>813</v>
      </c>
      <c r="D2869" s="336" t="s">
        <v>946</v>
      </c>
      <c r="E2869" s="336" t="s">
        <v>947</v>
      </c>
    </row>
    <row r="2870" spans="1:5" x14ac:dyDescent="0.2">
      <c r="A2870" s="335">
        <v>1001346261</v>
      </c>
      <c r="B2870" s="336" t="s">
        <v>811</v>
      </c>
      <c r="C2870" s="336" t="s">
        <v>813</v>
      </c>
      <c r="D2870" s="336" t="s">
        <v>946</v>
      </c>
      <c r="E2870" s="336" t="s">
        <v>947</v>
      </c>
    </row>
    <row r="2871" spans="1:5" x14ac:dyDescent="0.2">
      <c r="A2871" s="335">
        <v>1001346528</v>
      </c>
      <c r="B2871" s="336" t="s">
        <v>3341</v>
      </c>
      <c r="C2871" s="336" t="s">
        <v>813</v>
      </c>
      <c r="D2871" s="336" t="s">
        <v>946</v>
      </c>
      <c r="E2871" s="336" t="s">
        <v>947</v>
      </c>
    </row>
    <row r="2872" spans="1:5" x14ac:dyDescent="0.2">
      <c r="A2872" s="335">
        <v>1001346560</v>
      </c>
      <c r="B2872" s="336" t="s">
        <v>3342</v>
      </c>
      <c r="C2872" s="336" t="s">
        <v>813</v>
      </c>
      <c r="D2872" s="336" t="s">
        <v>946</v>
      </c>
      <c r="E2872" s="336" t="s">
        <v>947</v>
      </c>
    </row>
    <row r="2873" spans="1:5" x14ac:dyDescent="0.2">
      <c r="A2873" s="335">
        <v>1001346562</v>
      </c>
      <c r="B2873" s="336" t="s">
        <v>3343</v>
      </c>
      <c r="C2873" s="336" t="s">
        <v>813</v>
      </c>
      <c r="D2873" s="336" t="s">
        <v>946</v>
      </c>
      <c r="E2873" s="336" t="s">
        <v>947</v>
      </c>
    </row>
    <row r="2874" spans="1:5" x14ac:dyDescent="0.2">
      <c r="A2874" s="335">
        <v>1001346563</v>
      </c>
      <c r="B2874" s="336" t="s">
        <v>3344</v>
      </c>
      <c r="C2874" s="336" t="s">
        <v>863</v>
      </c>
      <c r="D2874" s="336" t="s">
        <v>946</v>
      </c>
      <c r="E2874" s="336" t="s">
        <v>947</v>
      </c>
    </row>
    <row r="2875" spans="1:5" x14ac:dyDescent="0.2">
      <c r="A2875" s="335">
        <v>1001346564</v>
      </c>
      <c r="B2875" s="336" t="s">
        <v>3345</v>
      </c>
      <c r="C2875" s="336" t="s">
        <v>813</v>
      </c>
      <c r="D2875" s="336" t="s">
        <v>946</v>
      </c>
      <c r="E2875" s="336" t="s">
        <v>947</v>
      </c>
    </row>
    <row r="2876" spans="1:5" x14ac:dyDescent="0.2">
      <c r="A2876" s="335">
        <v>1001346567</v>
      </c>
      <c r="B2876" s="336" t="s">
        <v>3346</v>
      </c>
      <c r="C2876" s="336" t="s">
        <v>813</v>
      </c>
      <c r="D2876" s="336" t="s">
        <v>946</v>
      </c>
      <c r="E2876" s="336" t="s">
        <v>947</v>
      </c>
    </row>
    <row r="2877" spans="1:5" x14ac:dyDescent="0.2">
      <c r="A2877" s="335">
        <v>1001346581</v>
      </c>
      <c r="B2877" s="336" t="s">
        <v>3347</v>
      </c>
      <c r="C2877" s="336" t="s">
        <v>813</v>
      </c>
      <c r="D2877" s="336" t="s">
        <v>946</v>
      </c>
      <c r="E2877" s="336" t="s">
        <v>947</v>
      </c>
    </row>
    <row r="2878" spans="1:5" x14ac:dyDescent="0.2">
      <c r="A2878" s="335">
        <v>1001346582</v>
      </c>
      <c r="B2878" s="336" t="s">
        <v>373</v>
      </c>
      <c r="C2878" s="336" t="s">
        <v>863</v>
      </c>
      <c r="D2878" s="336" t="s">
        <v>946</v>
      </c>
      <c r="E2878" s="336" t="s">
        <v>947</v>
      </c>
    </row>
    <row r="2879" spans="1:5" x14ac:dyDescent="0.2">
      <c r="A2879" s="335">
        <v>1001346583</v>
      </c>
      <c r="B2879" s="336" t="s">
        <v>373</v>
      </c>
      <c r="C2879" s="336" t="s">
        <v>813</v>
      </c>
      <c r="D2879" s="336" t="s">
        <v>946</v>
      </c>
      <c r="E2879" s="336" t="s">
        <v>947</v>
      </c>
    </row>
    <row r="2880" spans="1:5" x14ac:dyDescent="0.2">
      <c r="A2880" s="335">
        <v>1001346584</v>
      </c>
      <c r="B2880" s="336" t="s">
        <v>3348</v>
      </c>
      <c r="C2880" s="336" t="s">
        <v>813</v>
      </c>
      <c r="D2880" s="336" t="s">
        <v>946</v>
      </c>
      <c r="E2880" s="336" t="s">
        <v>947</v>
      </c>
    </row>
    <row r="2881" spans="1:5" x14ac:dyDescent="0.2">
      <c r="A2881" s="335">
        <v>1001346641</v>
      </c>
      <c r="B2881" s="336" t="s">
        <v>3349</v>
      </c>
      <c r="C2881" s="336" t="s">
        <v>813</v>
      </c>
      <c r="D2881" s="336" t="s">
        <v>946</v>
      </c>
      <c r="E2881" s="336" t="s">
        <v>947</v>
      </c>
    </row>
    <row r="2882" spans="1:5" x14ac:dyDescent="0.2">
      <c r="A2882" s="335">
        <v>1001346657</v>
      </c>
      <c r="B2882" s="336" t="s">
        <v>3350</v>
      </c>
      <c r="C2882" s="336" t="s">
        <v>813</v>
      </c>
      <c r="D2882" s="336" t="s">
        <v>946</v>
      </c>
      <c r="E2882" s="336" t="s">
        <v>947</v>
      </c>
    </row>
    <row r="2883" spans="1:5" x14ac:dyDescent="0.2">
      <c r="A2883" s="335">
        <v>1001346658</v>
      </c>
      <c r="B2883" s="336" t="s">
        <v>3351</v>
      </c>
      <c r="C2883" s="336" t="s">
        <v>813</v>
      </c>
      <c r="D2883" s="336" t="s">
        <v>946</v>
      </c>
      <c r="E2883" s="336" t="s">
        <v>947</v>
      </c>
    </row>
    <row r="2884" spans="1:5" x14ac:dyDescent="0.2">
      <c r="A2884" s="335">
        <v>1001346660</v>
      </c>
      <c r="B2884" s="336" t="s">
        <v>3352</v>
      </c>
      <c r="C2884" s="336" t="s">
        <v>813</v>
      </c>
      <c r="D2884" s="336" t="s">
        <v>946</v>
      </c>
      <c r="E2884" s="336" t="s">
        <v>947</v>
      </c>
    </row>
    <row r="2885" spans="1:5" x14ac:dyDescent="0.2">
      <c r="A2885" s="335">
        <v>1001346661</v>
      </c>
      <c r="B2885" s="336" t="s">
        <v>3353</v>
      </c>
      <c r="C2885" s="336" t="s">
        <v>813</v>
      </c>
      <c r="D2885" s="336" t="s">
        <v>946</v>
      </c>
      <c r="E2885" s="336" t="s">
        <v>947</v>
      </c>
    </row>
    <row r="2886" spans="1:5" x14ac:dyDescent="0.2">
      <c r="A2886" s="335">
        <v>1001346662</v>
      </c>
      <c r="B2886" s="336" t="s">
        <v>3354</v>
      </c>
      <c r="C2886" s="336" t="s">
        <v>813</v>
      </c>
      <c r="D2886" s="336" t="s">
        <v>946</v>
      </c>
      <c r="E2886" s="336" t="s">
        <v>947</v>
      </c>
    </row>
    <row r="2887" spans="1:5" x14ac:dyDescent="0.2">
      <c r="A2887" s="335">
        <v>1001346663</v>
      </c>
      <c r="B2887" s="336" t="s">
        <v>3355</v>
      </c>
      <c r="C2887" s="336" t="s">
        <v>813</v>
      </c>
      <c r="D2887" s="336" t="s">
        <v>946</v>
      </c>
      <c r="E2887" s="336" t="s">
        <v>947</v>
      </c>
    </row>
    <row r="2888" spans="1:5" x14ac:dyDescent="0.2">
      <c r="A2888" s="335">
        <v>1001346668</v>
      </c>
      <c r="B2888" s="336" t="s">
        <v>3356</v>
      </c>
      <c r="C2888" s="336" t="s">
        <v>813</v>
      </c>
      <c r="D2888" s="336" t="s">
        <v>946</v>
      </c>
      <c r="E2888" s="336" t="s">
        <v>947</v>
      </c>
    </row>
    <row r="2889" spans="1:5" x14ac:dyDescent="0.2">
      <c r="A2889" s="335">
        <v>1001346670</v>
      </c>
      <c r="B2889" s="336" t="s">
        <v>3357</v>
      </c>
      <c r="C2889" s="336" t="s">
        <v>813</v>
      </c>
      <c r="D2889" s="336" t="s">
        <v>946</v>
      </c>
      <c r="E2889" s="336" t="s">
        <v>947</v>
      </c>
    </row>
    <row r="2890" spans="1:5" x14ac:dyDescent="0.2">
      <c r="A2890" s="335">
        <v>1001346671</v>
      </c>
      <c r="B2890" s="336" t="s">
        <v>3358</v>
      </c>
      <c r="C2890" s="336" t="s">
        <v>863</v>
      </c>
      <c r="D2890" s="336" t="s">
        <v>946</v>
      </c>
      <c r="E2890" s="336" t="s">
        <v>947</v>
      </c>
    </row>
    <row r="2891" spans="1:5" x14ac:dyDescent="0.2">
      <c r="A2891" s="335">
        <v>1001346672</v>
      </c>
      <c r="B2891" s="336" t="s">
        <v>3358</v>
      </c>
      <c r="C2891" s="336" t="s">
        <v>863</v>
      </c>
      <c r="D2891" s="336" t="s">
        <v>946</v>
      </c>
      <c r="E2891" s="336" t="s">
        <v>947</v>
      </c>
    </row>
    <row r="2892" spans="1:5" x14ac:dyDescent="0.2">
      <c r="A2892" s="335">
        <v>1001346673</v>
      </c>
      <c r="B2892" s="336" t="s">
        <v>3359</v>
      </c>
      <c r="C2892" s="336" t="s">
        <v>813</v>
      </c>
      <c r="D2892" s="336" t="s">
        <v>946</v>
      </c>
      <c r="E2892" s="336" t="s">
        <v>947</v>
      </c>
    </row>
    <row r="2893" spans="1:5" x14ac:dyDescent="0.2">
      <c r="A2893" s="335">
        <v>1001346674</v>
      </c>
      <c r="B2893" s="336" t="s">
        <v>3358</v>
      </c>
      <c r="C2893" s="336" t="s">
        <v>813</v>
      </c>
      <c r="D2893" s="336" t="s">
        <v>946</v>
      </c>
      <c r="E2893" s="336" t="s">
        <v>947</v>
      </c>
    </row>
    <row r="2894" spans="1:5" x14ac:dyDescent="0.2">
      <c r="A2894" s="335">
        <v>1001346676</v>
      </c>
      <c r="B2894" s="336" t="s">
        <v>3360</v>
      </c>
      <c r="C2894" s="336" t="s">
        <v>813</v>
      </c>
      <c r="D2894" s="336" t="s">
        <v>946</v>
      </c>
      <c r="E2894" s="336" t="s">
        <v>947</v>
      </c>
    </row>
    <row r="2895" spans="1:5" x14ac:dyDescent="0.2">
      <c r="A2895" s="335">
        <v>1001346677</v>
      </c>
      <c r="B2895" s="336" t="s">
        <v>3361</v>
      </c>
      <c r="C2895" s="336" t="s">
        <v>813</v>
      </c>
      <c r="D2895" s="336" t="s">
        <v>946</v>
      </c>
      <c r="E2895" s="336" t="s">
        <v>947</v>
      </c>
    </row>
    <row r="2896" spans="1:5" x14ac:dyDescent="0.2">
      <c r="A2896" s="335">
        <v>1001346678</v>
      </c>
      <c r="B2896" s="336" t="s">
        <v>796</v>
      </c>
      <c r="C2896" s="336" t="s">
        <v>813</v>
      </c>
      <c r="D2896" s="336" t="s">
        <v>946</v>
      </c>
      <c r="E2896" s="336" t="s">
        <v>947</v>
      </c>
    </row>
    <row r="2897" spans="1:5" x14ac:dyDescent="0.2">
      <c r="A2897" s="335">
        <v>1001346679</v>
      </c>
      <c r="B2897" s="336" t="s">
        <v>3362</v>
      </c>
      <c r="C2897" s="336" t="s">
        <v>813</v>
      </c>
      <c r="D2897" s="336" t="s">
        <v>946</v>
      </c>
      <c r="E2897" s="336" t="s">
        <v>947</v>
      </c>
    </row>
    <row r="2898" spans="1:5" x14ac:dyDescent="0.2">
      <c r="A2898" s="335">
        <v>1001346701</v>
      </c>
      <c r="B2898" s="336" t="s">
        <v>1817</v>
      </c>
      <c r="C2898" s="336" t="s">
        <v>813</v>
      </c>
      <c r="D2898" s="336" t="s">
        <v>946</v>
      </c>
      <c r="E2898" s="336" t="s">
        <v>947</v>
      </c>
    </row>
    <row r="2899" spans="1:5" x14ac:dyDescent="0.2">
      <c r="A2899" s="335">
        <v>1001346702</v>
      </c>
      <c r="B2899" s="336" t="s">
        <v>883</v>
      </c>
      <c r="C2899" s="336" t="s">
        <v>813</v>
      </c>
      <c r="D2899" s="336" t="s">
        <v>946</v>
      </c>
      <c r="E2899" s="336" t="s">
        <v>947</v>
      </c>
    </row>
    <row r="2900" spans="1:5" x14ac:dyDescent="0.2">
      <c r="A2900" s="335">
        <v>1001346703</v>
      </c>
      <c r="B2900" s="336" t="s">
        <v>3363</v>
      </c>
      <c r="C2900" s="336" t="s">
        <v>813</v>
      </c>
      <c r="D2900" s="336" t="s">
        <v>946</v>
      </c>
      <c r="E2900" s="336" t="s">
        <v>947</v>
      </c>
    </row>
    <row r="2901" spans="1:5" x14ac:dyDescent="0.2">
      <c r="A2901" s="335">
        <v>1001346704</v>
      </c>
      <c r="B2901" s="336" t="s">
        <v>884</v>
      </c>
      <c r="C2901" s="336" t="s">
        <v>813</v>
      </c>
      <c r="D2901" s="336" t="s">
        <v>946</v>
      </c>
      <c r="E2901" s="336" t="s">
        <v>947</v>
      </c>
    </row>
    <row r="2902" spans="1:5" x14ac:dyDescent="0.2">
      <c r="A2902" s="335">
        <v>1001346706</v>
      </c>
      <c r="B2902" s="336" t="s">
        <v>1446</v>
      </c>
      <c r="C2902" s="336" t="s">
        <v>863</v>
      </c>
      <c r="D2902" s="336" t="s">
        <v>946</v>
      </c>
      <c r="E2902" s="336" t="s">
        <v>947</v>
      </c>
    </row>
    <row r="2903" spans="1:5" x14ac:dyDescent="0.2">
      <c r="A2903" s="335">
        <v>1001346707</v>
      </c>
      <c r="B2903" s="336" t="s">
        <v>885</v>
      </c>
      <c r="C2903" s="336" t="s">
        <v>813</v>
      </c>
      <c r="D2903" s="336" t="s">
        <v>946</v>
      </c>
      <c r="E2903" s="336" t="s">
        <v>947</v>
      </c>
    </row>
    <row r="2904" spans="1:5" x14ac:dyDescent="0.2">
      <c r="A2904" s="335">
        <v>1001346708</v>
      </c>
      <c r="B2904" s="336" t="s">
        <v>886</v>
      </c>
      <c r="C2904" s="336" t="s">
        <v>813</v>
      </c>
      <c r="D2904" s="336" t="s">
        <v>946</v>
      </c>
      <c r="E2904" s="336" t="s">
        <v>947</v>
      </c>
    </row>
    <row r="2905" spans="1:5" x14ac:dyDescent="0.2">
      <c r="A2905" s="335">
        <v>1001346709</v>
      </c>
      <c r="B2905" s="336" t="s">
        <v>3364</v>
      </c>
      <c r="C2905" s="336" t="s">
        <v>813</v>
      </c>
      <c r="D2905" s="336" t="s">
        <v>946</v>
      </c>
      <c r="E2905" s="336" t="s">
        <v>947</v>
      </c>
    </row>
    <row r="2906" spans="1:5" x14ac:dyDescent="0.2">
      <c r="A2906" s="335">
        <v>1001346710</v>
      </c>
      <c r="B2906" s="336" t="s">
        <v>3365</v>
      </c>
      <c r="C2906" s="336" t="s">
        <v>813</v>
      </c>
      <c r="D2906" s="336" t="s">
        <v>946</v>
      </c>
      <c r="E2906" s="336" t="s">
        <v>947</v>
      </c>
    </row>
    <row r="2907" spans="1:5" x14ac:dyDescent="0.2">
      <c r="A2907" s="335">
        <v>1001346711</v>
      </c>
      <c r="B2907" s="336" t="s">
        <v>3366</v>
      </c>
      <c r="C2907" s="336" t="s">
        <v>863</v>
      </c>
      <c r="D2907" s="336" t="s">
        <v>946</v>
      </c>
      <c r="E2907" s="336" t="s">
        <v>947</v>
      </c>
    </row>
    <row r="2908" spans="1:5" x14ac:dyDescent="0.2">
      <c r="A2908" s="335">
        <v>1001346712</v>
      </c>
      <c r="B2908" s="336" t="s">
        <v>889</v>
      </c>
      <c r="C2908" s="336" t="s">
        <v>813</v>
      </c>
      <c r="D2908" s="336" t="s">
        <v>946</v>
      </c>
      <c r="E2908" s="336" t="s">
        <v>947</v>
      </c>
    </row>
    <row r="2909" spans="1:5" x14ac:dyDescent="0.2">
      <c r="A2909" s="335">
        <v>1001346713</v>
      </c>
      <c r="B2909" s="336" t="s">
        <v>890</v>
      </c>
      <c r="C2909" s="336" t="s">
        <v>813</v>
      </c>
      <c r="D2909" s="336" t="s">
        <v>946</v>
      </c>
      <c r="E2909" s="336" t="s">
        <v>947</v>
      </c>
    </row>
    <row r="2910" spans="1:5" x14ac:dyDescent="0.2">
      <c r="A2910" s="335">
        <v>1001346714</v>
      </c>
      <c r="B2910" s="336" t="s">
        <v>891</v>
      </c>
      <c r="C2910" s="336" t="s">
        <v>813</v>
      </c>
      <c r="D2910" s="336" t="s">
        <v>946</v>
      </c>
      <c r="E2910" s="336" t="s">
        <v>947</v>
      </c>
    </row>
    <row r="2911" spans="1:5" x14ac:dyDescent="0.2">
      <c r="A2911" s="335">
        <v>1001346715</v>
      </c>
      <c r="B2911" s="336" t="s">
        <v>892</v>
      </c>
      <c r="C2911" s="336" t="s">
        <v>813</v>
      </c>
      <c r="D2911" s="336" t="s">
        <v>946</v>
      </c>
      <c r="E2911" s="336" t="s">
        <v>947</v>
      </c>
    </row>
    <row r="2912" spans="1:5" x14ac:dyDescent="0.2">
      <c r="A2912" s="335">
        <v>1001346716</v>
      </c>
      <c r="B2912" s="336" t="s">
        <v>1432</v>
      </c>
      <c r="C2912" s="336" t="s">
        <v>863</v>
      </c>
      <c r="D2912" s="336" t="s">
        <v>946</v>
      </c>
      <c r="E2912" s="336" t="s">
        <v>947</v>
      </c>
    </row>
    <row r="2913" spans="1:5" x14ac:dyDescent="0.2">
      <c r="A2913" s="335">
        <v>1001346717</v>
      </c>
      <c r="B2913" s="336" t="s">
        <v>3367</v>
      </c>
      <c r="C2913" s="336" t="s">
        <v>813</v>
      </c>
      <c r="D2913" s="336" t="s">
        <v>946</v>
      </c>
      <c r="E2913" s="336" t="s">
        <v>947</v>
      </c>
    </row>
    <row r="2914" spans="1:5" x14ac:dyDescent="0.2">
      <c r="A2914" s="335">
        <v>1001346718</v>
      </c>
      <c r="B2914" s="336" t="s">
        <v>893</v>
      </c>
      <c r="C2914" s="336" t="s">
        <v>813</v>
      </c>
      <c r="D2914" s="336" t="s">
        <v>946</v>
      </c>
      <c r="E2914" s="336" t="s">
        <v>947</v>
      </c>
    </row>
    <row r="2915" spans="1:5" x14ac:dyDescent="0.2">
      <c r="A2915" s="335">
        <v>1001346719</v>
      </c>
      <c r="B2915" s="336" t="s">
        <v>3368</v>
      </c>
      <c r="C2915" s="336" t="s">
        <v>813</v>
      </c>
      <c r="D2915" s="336" t="s">
        <v>946</v>
      </c>
      <c r="E2915" s="336" t="s">
        <v>947</v>
      </c>
    </row>
    <row r="2916" spans="1:5" x14ac:dyDescent="0.2">
      <c r="A2916" s="335">
        <v>1001346748</v>
      </c>
      <c r="B2916" s="336" t="s">
        <v>3369</v>
      </c>
      <c r="C2916" s="336" t="s">
        <v>813</v>
      </c>
      <c r="D2916" s="336" t="s">
        <v>946</v>
      </c>
      <c r="E2916" s="336" t="s">
        <v>947</v>
      </c>
    </row>
    <row r="2917" spans="1:5" x14ac:dyDescent="0.2">
      <c r="A2917" s="335">
        <v>1001346760</v>
      </c>
      <c r="B2917" s="336" t="s">
        <v>3370</v>
      </c>
      <c r="C2917" s="336" t="s">
        <v>813</v>
      </c>
      <c r="D2917" s="336" t="s">
        <v>946</v>
      </c>
      <c r="E2917" s="336" t="s">
        <v>947</v>
      </c>
    </row>
    <row r="2918" spans="1:5" x14ac:dyDescent="0.2">
      <c r="A2918" s="335">
        <v>1001346761</v>
      </c>
      <c r="B2918" s="336" t="s">
        <v>936</v>
      </c>
      <c r="C2918" s="336" t="s">
        <v>863</v>
      </c>
      <c r="D2918" s="336" t="s">
        <v>946</v>
      </c>
      <c r="E2918" s="336" t="s">
        <v>947</v>
      </c>
    </row>
    <row r="2919" spans="1:5" x14ac:dyDescent="0.2">
      <c r="A2919" s="335">
        <v>1001346762</v>
      </c>
      <c r="B2919" s="336" t="s">
        <v>3371</v>
      </c>
      <c r="C2919" s="336" t="s">
        <v>813</v>
      </c>
      <c r="D2919" s="336" t="s">
        <v>946</v>
      </c>
      <c r="E2919" s="336" t="s">
        <v>947</v>
      </c>
    </row>
    <row r="2920" spans="1:5" x14ac:dyDescent="0.2">
      <c r="A2920" s="335">
        <v>1001346790</v>
      </c>
      <c r="B2920" s="336" t="s">
        <v>3372</v>
      </c>
      <c r="C2920" s="336" t="s">
        <v>863</v>
      </c>
      <c r="D2920" s="336" t="s">
        <v>946</v>
      </c>
      <c r="E2920" s="336" t="s">
        <v>947</v>
      </c>
    </row>
    <row r="2921" spans="1:5" x14ac:dyDescent="0.2">
      <c r="A2921" s="335">
        <v>1001346791</v>
      </c>
      <c r="B2921" s="336" t="s">
        <v>3373</v>
      </c>
      <c r="C2921" s="336" t="s">
        <v>813</v>
      </c>
      <c r="D2921" s="336" t="s">
        <v>946</v>
      </c>
      <c r="E2921" s="336" t="s">
        <v>947</v>
      </c>
    </row>
    <row r="2922" spans="1:5" x14ac:dyDescent="0.2">
      <c r="A2922" s="335">
        <v>1001346793</v>
      </c>
      <c r="B2922" s="336" t="s">
        <v>963</v>
      </c>
      <c r="C2922" s="336" t="s">
        <v>813</v>
      </c>
      <c r="D2922" s="336" t="s">
        <v>946</v>
      </c>
      <c r="E2922" s="336" t="s">
        <v>947</v>
      </c>
    </row>
    <row r="2923" spans="1:5" x14ac:dyDescent="0.2">
      <c r="A2923" s="335">
        <v>1001346798</v>
      </c>
      <c r="B2923" s="336" t="s">
        <v>3344</v>
      </c>
      <c r="C2923" s="336" t="s">
        <v>813</v>
      </c>
      <c r="D2923" s="336" t="s">
        <v>946</v>
      </c>
      <c r="E2923" s="336" t="s">
        <v>947</v>
      </c>
    </row>
    <row r="2924" spans="1:5" x14ac:dyDescent="0.2">
      <c r="A2924" s="335">
        <v>1001346801</v>
      </c>
      <c r="B2924" s="336" t="s">
        <v>3374</v>
      </c>
      <c r="C2924" s="336" t="s">
        <v>813</v>
      </c>
      <c r="D2924" s="336" t="s">
        <v>946</v>
      </c>
      <c r="E2924" s="336" t="s">
        <v>947</v>
      </c>
    </row>
    <row r="2925" spans="1:5" x14ac:dyDescent="0.2">
      <c r="A2925" s="335">
        <v>1001346807</v>
      </c>
      <c r="B2925" s="336" t="s">
        <v>3375</v>
      </c>
      <c r="C2925" s="336" t="s">
        <v>813</v>
      </c>
      <c r="D2925" s="336" t="s">
        <v>946</v>
      </c>
      <c r="E2925" s="336" t="s">
        <v>947</v>
      </c>
    </row>
    <row r="2926" spans="1:5" x14ac:dyDescent="0.2">
      <c r="A2926" s="335">
        <v>1001346823</v>
      </c>
      <c r="B2926" s="336" t="s">
        <v>3376</v>
      </c>
      <c r="C2926" s="336" t="s">
        <v>863</v>
      </c>
      <c r="D2926" s="336" t="s">
        <v>946</v>
      </c>
      <c r="E2926" s="336" t="s">
        <v>947</v>
      </c>
    </row>
    <row r="2927" spans="1:5" x14ac:dyDescent="0.2">
      <c r="A2927" s="335">
        <v>1001346859</v>
      </c>
      <c r="B2927" s="336" t="s">
        <v>3377</v>
      </c>
      <c r="C2927" s="336" t="s">
        <v>813</v>
      </c>
      <c r="D2927" s="336" t="s">
        <v>946</v>
      </c>
      <c r="E2927" s="336" t="s">
        <v>947</v>
      </c>
    </row>
    <row r="2928" spans="1:5" x14ac:dyDescent="0.2">
      <c r="A2928" s="335">
        <v>1001346861</v>
      </c>
      <c r="B2928" s="336" t="s">
        <v>3378</v>
      </c>
      <c r="C2928" s="336" t="s">
        <v>813</v>
      </c>
      <c r="D2928" s="336" t="s">
        <v>946</v>
      </c>
      <c r="E2928" s="336" t="s">
        <v>947</v>
      </c>
    </row>
    <row r="2929" spans="1:5" x14ac:dyDescent="0.2">
      <c r="A2929" s="335">
        <v>1001346968</v>
      </c>
      <c r="B2929" s="336" t="s">
        <v>3379</v>
      </c>
      <c r="C2929" s="336" t="s">
        <v>813</v>
      </c>
      <c r="D2929" s="336" t="s">
        <v>946</v>
      </c>
      <c r="E2929" s="336" t="s">
        <v>947</v>
      </c>
    </row>
    <row r="2930" spans="1:5" x14ac:dyDescent="0.2">
      <c r="A2930" s="335">
        <v>1001346979</v>
      </c>
      <c r="B2930" s="336" t="s">
        <v>3380</v>
      </c>
      <c r="C2930" s="336" t="s">
        <v>813</v>
      </c>
      <c r="D2930" s="336" t="s">
        <v>946</v>
      </c>
      <c r="E2930" s="336" t="s">
        <v>947</v>
      </c>
    </row>
    <row r="2931" spans="1:5" x14ac:dyDescent="0.2">
      <c r="A2931" s="335">
        <v>1001346993</v>
      </c>
      <c r="B2931" s="336" t="s">
        <v>3381</v>
      </c>
      <c r="C2931" s="336" t="s">
        <v>813</v>
      </c>
      <c r="D2931" s="336" t="s">
        <v>946</v>
      </c>
      <c r="E2931" s="336" t="s">
        <v>947</v>
      </c>
    </row>
    <row r="2932" spans="1:5" x14ac:dyDescent="0.2">
      <c r="A2932" s="335">
        <v>1001346994</v>
      </c>
      <c r="B2932" s="336" t="s">
        <v>3382</v>
      </c>
      <c r="C2932" s="336" t="s">
        <v>813</v>
      </c>
      <c r="D2932" s="336" t="s">
        <v>946</v>
      </c>
      <c r="E2932" s="336" t="s">
        <v>947</v>
      </c>
    </row>
    <row r="2933" spans="1:5" x14ac:dyDescent="0.2">
      <c r="A2933" s="335">
        <v>1001346996</v>
      </c>
      <c r="B2933" s="336" t="s">
        <v>3383</v>
      </c>
      <c r="C2933" s="336" t="s">
        <v>813</v>
      </c>
      <c r="D2933" s="336" t="s">
        <v>946</v>
      </c>
      <c r="E2933" s="336" t="s">
        <v>947</v>
      </c>
    </row>
    <row r="2934" spans="1:5" x14ac:dyDescent="0.2">
      <c r="A2934" s="335">
        <v>1001347012</v>
      </c>
      <c r="B2934" s="336" t="s">
        <v>3384</v>
      </c>
      <c r="C2934" s="336" t="s">
        <v>813</v>
      </c>
      <c r="D2934" s="336" t="s">
        <v>946</v>
      </c>
      <c r="E2934" s="336" t="s">
        <v>947</v>
      </c>
    </row>
    <row r="2935" spans="1:5" x14ac:dyDescent="0.2">
      <c r="A2935" s="335">
        <v>1001347014</v>
      </c>
      <c r="B2935" s="336" t="s">
        <v>3385</v>
      </c>
      <c r="C2935" s="336" t="s">
        <v>813</v>
      </c>
      <c r="D2935" s="336" t="s">
        <v>946</v>
      </c>
      <c r="E2935" s="336" t="s">
        <v>947</v>
      </c>
    </row>
    <row r="2936" spans="1:5" x14ac:dyDescent="0.2">
      <c r="A2936" s="335">
        <v>1001347016</v>
      </c>
      <c r="B2936" s="336" t="s">
        <v>3380</v>
      </c>
      <c r="C2936" s="336" t="s">
        <v>813</v>
      </c>
      <c r="D2936" s="336" t="s">
        <v>946</v>
      </c>
      <c r="E2936" s="336" t="s">
        <v>947</v>
      </c>
    </row>
    <row r="2937" spans="1:5" x14ac:dyDescent="0.2">
      <c r="A2937" s="335">
        <v>1001347018</v>
      </c>
      <c r="B2937" s="336" t="s">
        <v>3386</v>
      </c>
      <c r="C2937" s="336" t="s">
        <v>813</v>
      </c>
      <c r="D2937" s="336" t="s">
        <v>946</v>
      </c>
      <c r="E2937" s="336" t="s">
        <v>947</v>
      </c>
    </row>
    <row r="2938" spans="1:5" x14ac:dyDescent="0.2">
      <c r="A2938" s="335">
        <v>1001347019</v>
      </c>
      <c r="B2938" s="336" t="s">
        <v>3387</v>
      </c>
      <c r="C2938" s="336" t="s">
        <v>813</v>
      </c>
      <c r="D2938" s="336" t="s">
        <v>946</v>
      </c>
      <c r="E2938" s="336" t="s">
        <v>947</v>
      </c>
    </row>
    <row r="2939" spans="1:5" x14ac:dyDescent="0.2">
      <c r="A2939" s="335">
        <v>1001347046</v>
      </c>
      <c r="B2939" s="336" t="s">
        <v>3388</v>
      </c>
      <c r="C2939" s="336" t="s">
        <v>813</v>
      </c>
      <c r="D2939" s="336" t="s">
        <v>946</v>
      </c>
      <c r="E2939" s="336" t="s">
        <v>947</v>
      </c>
    </row>
    <row r="2940" spans="1:5" x14ac:dyDescent="0.2">
      <c r="A2940" s="335">
        <v>1001347059</v>
      </c>
      <c r="B2940" s="336" t="s">
        <v>934</v>
      </c>
      <c r="C2940" s="336" t="s">
        <v>813</v>
      </c>
      <c r="D2940" s="336" t="s">
        <v>946</v>
      </c>
      <c r="E2940" s="336" t="s">
        <v>947</v>
      </c>
    </row>
    <row r="2941" spans="1:5" x14ac:dyDescent="0.2">
      <c r="A2941" s="335">
        <v>1001347063</v>
      </c>
      <c r="B2941" s="336" t="s">
        <v>3389</v>
      </c>
      <c r="C2941" s="336" t="s">
        <v>813</v>
      </c>
      <c r="D2941" s="336" t="s">
        <v>946</v>
      </c>
      <c r="E2941" s="336" t="s">
        <v>947</v>
      </c>
    </row>
    <row r="2942" spans="1:5" x14ac:dyDescent="0.2">
      <c r="A2942" s="335">
        <v>1001347067</v>
      </c>
      <c r="B2942" s="336" t="s">
        <v>1006</v>
      </c>
      <c r="C2942" s="336" t="s">
        <v>813</v>
      </c>
      <c r="D2942" s="336" t="s">
        <v>946</v>
      </c>
      <c r="E2942" s="336" t="s">
        <v>947</v>
      </c>
    </row>
    <row r="2943" spans="1:5" x14ac:dyDescent="0.2">
      <c r="A2943" s="335">
        <v>1001347068</v>
      </c>
      <c r="B2943" s="336" t="s">
        <v>3390</v>
      </c>
      <c r="C2943" s="336" t="s">
        <v>813</v>
      </c>
      <c r="D2943" s="336" t="s">
        <v>946</v>
      </c>
      <c r="E2943" s="336" t="s">
        <v>947</v>
      </c>
    </row>
    <row r="2944" spans="1:5" x14ac:dyDescent="0.2">
      <c r="A2944" s="335">
        <v>1001347084</v>
      </c>
      <c r="B2944" s="336" t="s">
        <v>987</v>
      </c>
      <c r="C2944" s="336" t="s">
        <v>813</v>
      </c>
      <c r="D2944" s="336" t="s">
        <v>946</v>
      </c>
      <c r="E2944" s="336" t="s">
        <v>947</v>
      </c>
    </row>
    <row r="2945" spans="1:5" x14ac:dyDescent="0.2">
      <c r="A2945" s="335">
        <v>1001347085</v>
      </c>
      <c r="B2945" s="336" t="s">
        <v>3391</v>
      </c>
      <c r="C2945" s="336" t="s">
        <v>813</v>
      </c>
      <c r="D2945" s="336" t="s">
        <v>946</v>
      </c>
      <c r="E2945" s="336" t="s">
        <v>947</v>
      </c>
    </row>
    <row r="2946" spans="1:5" x14ac:dyDescent="0.2">
      <c r="A2946" s="335">
        <v>1001347086</v>
      </c>
      <c r="B2946" s="336" t="s">
        <v>3392</v>
      </c>
      <c r="C2946" s="336" t="s">
        <v>813</v>
      </c>
      <c r="D2946" s="336" t="s">
        <v>946</v>
      </c>
      <c r="E2946" s="336" t="s">
        <v>947</v>
      </c>
    </row>
    <row r="2947" spans="1:5" x14ac:dyDescent="0.2">
      <c r="A2947" s="335">
        <v>1001347088</v>
      </c>
      <c r="B2947" s="336" t="s">
        <v>948</v>
      </c>
      <c r="C2947" s="336" t="s">
        <v>813</v>
      </c>
      <c r="D2947" s="336" t="s">
        <v>946</v>
      </c>
      <c r="E2947" s="336" t="s">
        <v>947</v>
      </c>
    </row>
    <row r="2948" spans="1:5" x14ac:dyDescent="0.2">
      <c r="A2948" s="335">
        <v>1001347089</v>
      </c>
      <c r="B2948" s="336" t="s">
        <v>3393</v>
      </c>
      <c r="C2948" s="336" t="s">
        <v>813</v>
      </c>
      <c r="D2948" s="336" t="s">
        <v>946</v>
      </c>
      <c r="E2948" s="336" t="s">
        <v>947</v>
      </c>
    </row>
    <row r="2949" spans="1:5" x14ac:dyDescent="0.2">
      <c r="A2949" s="335">
        <v>1001347108</v>
      </c>
      <c r="B2949" s="336" t="s">
        <v>3394</v>
      </c>
      <c r="C2949" s="336" t="s">
        <v>813</v>
      </c>
      <c r="D2949" s="336" t="s">
        <v>946</v>
      </c>
      <c r="E2949" s="336" t="s">
        <v>947</v>
      </c>
    </row>
    <row r="2950" spans="1:5" x14ac:dyDescent="0.2">
      <c r="A2950" s="335">
        <v>1001347150</v>
      </c>
      <c r="B2950" s="336" t="s">
        <v>3395</v>
      </c>
      <c r="C2950" s="336" t="s">
        <v>863</v>
      </c>
      <c r="D2950" s="336" t="s">
        <v>946</v>
      </c>
      <c r="E2950" s="336" t="s">
        <v>947</v>
      </c>
    </row>
    <row r="2951" spans="1:5" x14ac:dyDescent="0.2">
      <c r="A2951" s="335">
        <v>1001347151</v>
      </c>
      <c r="B2951" s="336" t="s">
        <v>3396</v>
      </c>
      <c r="C2951" s="336" t="s">
        <v>813</v>
      </c>
      <c r="D2951" s="336" t="s">
        <v>946</v>
      </c>
      <c r="E2951" s="336" t="s">
        <v>947</v>
      </c>
    </row>
    <row r="2952" spans="1:5" x14ac:dyDescent="0.2">
      <c r="A2952" s="335">
        <v>1001347153</v>
      </c>
      <c r="B2952" s="336" t="s">
        <v>3397</v>
      </c>
      <c r="C2952" s="336" t="s">
        <v>813</v>
      </c>
      <c r="D2952" s="336" t="s">
        <v>946</v>
      </c>
      <c r="E2952" s="336" t="s">
        <v>947</v>
      </c>
    </row>
    <row r="2953" spans="1:5" x14ac:dyDescent="0.2">
      <c r="A2953" s="335">
        <v>1001347156</v>
      </c>
      <c r="B2953" s="336" t="s">
        <v>3398</v>
      </c>
      <c r="C2953" s="336" t="s">
        <v>813</v>
      </c>
      <c r="D2953" s="336" t="s">
        <v>946</v>
      </c>
      <c r="E2953" s="336" t="s">
        <v>947</v>
      </c>
    </row>
    <row r="2954" spans="1:5" x14ac:dyDescent="0.2">
      <c r="A2954" s="335">
        <v>1001347193</v>
      </c>
      <c r="B2954" s="336" t="s">
        <v>3399</v>
      </c>
      <c r="C2954" s="336" t="s">
        <v>813</v>
      </c>
      <c r="D2954" s="336" t="s">
        <v>946</v>
      </c>
      <c r="E2954" s="336" t="s">
        <v>947</v>
      </c>
    </row>
    <row r="2955" spans="1:5" x14ac:dyDescent="0.2">
      <c r="A2955" s="335">
        <v>1001347197</v>
      </c>
      <c r="B2955" s="336" t="s">
        <v>3400</v>
      </c>
      <c r="C2955" s="336" t="s">
        <v>813</v>
      </c>
      <c r="D2955" s="336" t="s">
        <v>946</v>
      </c>
      <c r="E2955" s="336" t="s">
        <v>947</v>
      </c>
    </row>
    <row r="2956" spans="1:5" x14ac:dyDescent="0.2">
      <c r="A2956" s="335">
        <v>1001347234</v>
      </c>
      <c r="B2956" s="336" t="s">
        <v>3401</v>
      </c>
      <c r="C2956" s="336" t="s">
        <v>813</v>
      </c>
      <c r="D2956" s="336" t="s">
        <v>946</v>
      </c>
      <c r="E2956" s="336" t="s">
        <v>947</v>
      </c>
    </row>
    <row r="2957" spans="1:5" x14ac:dyDescent="0.2">
      <c r="A2957" s="335">
        <v>1001347253</v>
      </c>
      <c r="B2957" s="336" t="s">
        <v>3402</v>
      </c>
      <c r="C2957" s="336" t="s">
        <v>813</v>
      </c>
      <c r="D2957" s="336" t="s">
        <v>946</v>
      </c>
      <c r="E2957" s="336" t="s">
        <v>947</v>
      </c>
    </row>
    <row r="2958" spans="1:5" x14ac:dyDescent="0.2">
      <c r="A2958" s="335">
        <v>1001347256</v>
      </c>
      <c r="B2958" s="336" t="s">
        <v>3403</v>
      </c>
      <c r="C2958" s="336" t="s">
        <v>813</v>
      </c>
      <c r="D2958" s="336" t="s">
        <v>946</v>
      </c>
      <c r="E2958" s="336" t="s">
        <v>947</v>
      </c>
    </row>
    <row r="2959" spans="1:5" x14ac:dyDescent="0.2">
      <c r="A2959" s="335">
        <v>1001347259</v>
      </c>
      <c r="B2959" s="336" t="s">
        <v>3404</v>
      </c>
      <c r="C2959" s="336" t="s">
        <v>813</v>
      </c>
      <c r="D2959" s="336" t="s">
        <v>946</v>
      </c>
      <c r="E2959" s="336" t="s">
        <v>947</v>
      </c>
    </row>
    <row r="2960" spans="1:5" x14ac:dyDescent="0.2">
      <c r="A2960" s="335">
        <v>1001347265</v>
      </c>
      <c r="B2960" s="336" t="s">
        <v>3405</v>
      </c>
      <c r="C2960" s="336" t="s">
        <v>863</v>
      </c>
      <c r="D2960" s="336" t="s">
        <v>946</v>
      </c>
      <c r="E2960" s="336" t="s">
        <v>947</v>
      </c>
    </row>
    <row r="2961" spans="1:5" x14ac:dyDescent="0.2">
      <c r="A2961" s="335">
        <v>1001347266</v>
      </c>
      <c r="B2961" s="336" t="s">
        <v>3405</v>
      </c>
      <c r="C2961" s="336" t="s">
        <v>813</v>
      </c>
      <c r="D2961" s="336" t="s">
        <v>946</v>
      </c>
      <c r="E2961" s="336" t="s">
        <v>947</v>
      </c>
    </row>
    <row r="2962" spans="1:5" x14ac:dyDescent="0.2">
      <c r="A2962" s="335">
        <v>1001347304</v>
      </c>
      <c r="B2962" s="336" t="s">
        <v>3406</v>
      </c>
      <c r="C2962" s="336" t="s">
        <v>813</v>
      </c>
      <c r="D2962" s="336" t="s">
        <v>946</v>
      </c>
      <c r="E2962" s="336" t="s">
        <v>947</v>
      </c>
    </row>
    <row r="2963" spans="1:5" x14ac:dyDescent="0.2">
      <c r="A2963" s="335">
        <v>1001347308</v>
      </c>
      <c r="B2963" s="336" t="s">
        <v>3407</v>
      </c>
      <c r="C2963" s="336" t="s">
        <v>813</v>
      </c>
      <c r="D2963" s="336" t="s">
        <v>946</v>
      </c>
      <c r="E2963" s="336" t="s">
        <v>947</v>
      </c>
    </row>
    <row r="2964" spans="1:5" x14ac:dyDescent="0.2">
      <c r="A2964" s="335">
        <v>1001347310</v>
      </c>
      <c r="B2964" s="336" t="s">
        <v>908</v>
      </c>
      <c r="C2964" s="336" t="s">
        <v>813</v>
      </c>
      <c r="D2964" s="336" t="s">
        <v>946</v>
      </c>
      <c r="E2964" s="336" t="s">
        <v>947</v>
      </c>
    </row>
    <row r="2965" spans="1:5" x14ac:dyDescent="0.2">
      <c r="A2965" s="335">
        <v>1001347313</v>
      </c>
      <c r="B2965" s="336" t="s">
        <v>3408</v>
      </c>
      <c r="C2965" s="336" t="s">
        <v>813</v>
      </c>
      <c r="D2965" s="336" t="s">
        <v>946</v>
      </c>
      <c r="E2965" s="336" t="s">
        <v>947</v>
      </c>
    </row>
    <row r="2966" spans="1:5" x14ac:dyDescent="0.2">
      <c r="A2966" s="335">
        <v>1001347315</v>
      </c>
      <c r="B2966" s="336" t="s">
        <v>3409</v>
      </c>
      <c r="C2966" s="336" t="s">
        <v>813</v>
      </c>
      <c r="D2966" s="336" t="s">
        <v>946</v>
      </c>
      <c r="E2966" s="336" t="s">
        <v>947</v>
      </c>
    </row>
    <row r="2967" spans="1:5" x14ac:dyDescent="0.2">
      <c r="A2967" s="335">
        <v>1001347316</v>
      </c>
      <c r="B2967" s="336" t="s">
        <v>3410</v>
      </c>
      <c r="C2967" s="336" t="s">
        <v>813</v>
      </c>
      <c r="D2967" s="336" t="s">
        <v>946</v>
      </c>
      <c r="E2967" s="336" t="s">
        <v>947</v>
      </c>
    </row>
    <row r="2968" spans="1:5" x14ac:dyDescent="0.2">
      <c r="A2968" s="335">
        <v>1001347325</v>
      </c>
      <c r="B2968" s="336" t="s">
        <v>3411</v>
      </c>
      <c r="C2968" s="336" t="s">
        <v>813</v>
      </c>
      <c r="D2968" s="336" t="s">
        <v>946</v>
      </c>
      <c r="E2968" s="336" t="s">
        <v>947</v>
      </c>
    </row>
    <row r="2969" spans="1:5" x14ac:dyDescent="0.2">
      <c r="A2969" s="335">
        <v>1001347369</v>
      </c>
      <c r="B2969" s="336" t="s">
        <v>1099</v>
      </c>
      <c r="C2969" s="336" t="s">
        <v>813</v>
      </c>
      <c r="D2969" s="336" t="s">
        <v>946</v>
      </c>
      <c r="E2969" s="336" t="s">
        <v>947</v>
      </c>
    </row>
    <row r="2970" spans="1:5" x14ac:dyDescent="0.2">
      <c r="A2970" s="335">
        <v>1001347378</v>
      </c>
      <c r="B2970" s="336" t="s">
        <v>1742</v>
      </c>
      <c r="C2970" s="336" t="s">
        <v>813</v>
      </c>
      <c r="D2970" s="336" t="s">
        <v>946</v>
      </c>
      <c r="E2970" s="336" t="s">
        <v>947</v>
      </c>
    </row>
    <row r="2971" spans="1:5" x14ac:dyDescent="0.2">
      <c r="A2971" s="335">
        <v>1001347400</v>
      </c>
      <c r="B2971" s="336" t="s">
        <v>3412</v>
      </c>
      <c r="C2971" s="336" t="s">
        <v>813</v>
      </c>
      <c r="D2971" s="336" t="s">
        <v>946</v>
      </c>
      <c r="E2971" s="336" t="s">
        <v>947</v>
      </c>
    </row>
    <row r="2972" spans="1:5" x14ac:dyDescent="0.2">
      <c r="A2972" s="335">
        <v>1001347498</v>
      </c>
      <c r="B2972" s="336" t="s">
        <v>3413</v>
      </c>
      <c r="C2972" s="336" t="s">
        <v>813</v>
      </c>
      <c r="D2972" s="336" t="s">
        <v>946</v>
      </c>
      <c r="E2972" s="336" t="s">
        <v>947</v>
      </c>
    </row>
    <row r="2973" spans="1:5" x14ac:dyDescent="0.2">
      <c r="A2973" s="335">
        <v>1001347499</v>
      </c>
      <c r="B2973" s="336" t="s">
        <v>3414</v>
      </c>
      <c r="C2973" s="336" t="s">
        <v>813</v>
      </c>
      <c r="D2973" s="336" t="s">
        <v>946</v>
      </c>
      <c r="E2973" s="336" t="s">
        <v>947</v>
      </c>
    </row>
    <row r="2974" spans="1:5" x14ac:dyDescent="0.2">
      <c r="A2974" s="335">
        <v>1001347570</v>
      </c>
      <c r="B2974" s="336" t="s">
        <v>3415</v>
      </c>
      <c r="C2974" s="336" t="s">
        <v>813</v>
      </c>
      <c r="D2974" s="336" t="s">
        <v>946</v>
      </c>
      <c r="E2974" s="336" t="s">
        <v>947</v>
      </c>
    </row>
    <row r="2975" spans="1:5" x14ac:dyDescent="0.2">
      <c r="A2975" s="335">
        <v>1001347572</v>
      </c>
      <c r="B2975" s="336" t="s">
        <v>3416</v>
      </c>
      <c r="C2975" s="336" t="s">
        <v>813</v>
      </c>
      <c r="D2975" s="336" t="s">
        <v>946</v>
      </c>
      <c r="E2975" s="336" t="s">
        <v>947</v>
      </c>
    </row>
    <row r="2976" spans="1:5" x14ac:dyDescent="0.2">
      <c r="A2976" s="335">
        <v>1001347574</v>
      </c>
      <c r="B2976" s="336" t="s">
        <v>3417</v>
      </c>
      <c r="C2976" s="336" t="s">
        <v>813</v>
      </c>
      <c r="D2976" s="336" t="s">
        <v>946</v>
      </c>
      <c r="E2976" s="336" t="s">
        <v>947</v>
      </c>
    </row>
    <row r="2977" spans="1:5" x14ac:dyDescent="0.2">
      <c r="A2977" s="335">
        <v>1001347578</v>
      </c>
      <c r="B2977" s="336" t="s">
        <v>1073</v>
      </c>
      <c r="C2977" s="336" t="s">
        <v>813</v>
      </c>
      <c r="D2977" s="336" t="s">
        <v>946</v>
      </c>
      <c r="E2977" s="336" t="s">
        <v>947</v>
      </c>
    </row>
    <row r="2978" spans="1:5" x14ac:dyDescent="0.2">
      <c r="A2978" s="335">
        <v>1001347595</v>
      </c>
      <c r="B2978" s="336" t="s">
        <v>3418</v>
      </c>
      <c r="C2978" s="336" t="s">
        <v>813</v>
      </c>
      <c r="D2978" s="336" t="s">
        <v>946</v>
      </c>
      <c r="E2978" s="336" t="s">
        <v>947</v>
      </c>
    </row>
    <row r="2979" spans="1:5" x14ac:dyDescent="0.2">
      <c r="A2979" s="335">
        <v>1001347598</v>
      </c>
      <c r="B2979" s="336" t="s">
        <v>3419</v>
      </c>
      <c r="C2979" s="336" t="s">
        <v>863</v>
      </c>
      <c r="D2979" s="336" t="s">
        <v>946</v>
      </c>
      <c r="E2979" s="336" t="s">
        <v>947</v>
      </c>
    </row>
    <row r="2980" spans="1:5" x14ac:dyDescent="0.2">
      <c r="A2980" s="335">
        <v>1001347600</v>
      </c>
      <c r="B2980" s="336" t="s">
        <v>894</v>
      </c>
      <c r="C2980" s="336" t="s">
        <v>813</v>
      </c>
      <c r="D2980" s="336" t="s">
        <v>946</v>
      </c>
      <c r="E2980" s="336" t="s">
        <v>947</v>
      </c>
    </row>
    <row r="2981" spans="1:5" x14ac:dyDescent="0.2">
      <c r="A2981" s="335">
        <v>1001347603</v>
      </c>
      <c r="B2981" s="336" t="s">
        <v>3420</v>
      </c>
      <c r="C2981" s="336" t="s">
        <v>813</v>
      </c>
      <c r="D2981" s="336" t="s">
        <v>946</v>
      </c>
      <c r="E2981" s="336" t="s">
        <v>947</v>
      </c>
    </row>
    <row r="2982" spans="1:5" x14ac:dyDescent="0.2">
      <c r="A2982" s="335">
        <v>1001347605</v>
      </c>
      <c r="B2982" s="336" t="s">
        <v>3421</v>
      </c>
      <c r="C2982" s="336" t="s">
        <v>813</v>
      </c>
      <c r="D2982" s="336" t="s">
        <v>946</v>
      </c>
      <c r="E2982" s="336" t="s">
        <v>947</v>
      </c>
    </row>
    <row r="2983" spans="1:5" x14ac:dyDescent="0.2">
      <c r="A2983" s="335">
        <v>1001347608</v>
      </c>
      <c r="B2983" s="336" t="s">
        <v>3422</v>
      </c>
      <c r="C2983" s="336" t="s">
        <v>813</v>
      </c>
      <c r="D2983" s="336" t="s">
        <v>946</v>
      </c>
      <c r="E2983" s="336" t="s">
        <v>947</v>
      </c>
    </row>
    <row r="2984" spans="1:5" x14ac:dyDescent="0.2">
      <c r="A2984" s="335">
        <v>1001347621</v>
      </c>
      <c r="B2984" s="336" t="s">
        <v>3423</v>
      </c>
      <c r="C2984" s="336" t="s">
        <v>813</v>
      </c>
      <c r="D2984" s="336" t="s">
        <v>946</v>
      </c>
      <c r="E2984" s="336" t="s">
        <v>947</v>
      </c>
    </row>
    <row r="2985" spans="1:5" x14ac:dyDescent="0.2">
      <c r="A2985" s="335">
        <v>1001347622</v>
      </c>
      <c r="B2985" s="336" t="s">
        <v>3424</v>
      </c>
      <c r="C2985" s="336" t="s">
        <v>813</v>
      </c>
      <c r="D2985" s="336" t="s">
        <v>946</v>
      </c>
      <c r="E2985" s="336" t="s">
        <v>947</v>
      </c>
    </row>
    <row r="2986" spans="1:5" x14ac:dyDescent="0.2">
      <c r="A2986" s="335">
        <v>1001347628</v>
      </c>
      <c r="B2986" s="336" t="s">
        <v>3425</v>
      </c>
      <c r="C2986" s="336" t="s">
        <v>813</v>
      </c>
      <c r="D2986" s="336" t="s">
        <v>946</v>
      </c>
      <c r="E2986" s="336" t="s">
        <v>947</v>
      </c>
    </row>
    <row r="2987" spans="1:5" x14ac:dyDescent="0.2">
      <c r="A2987" s="335">
        <v>1001347665</v>
      </c>
      <c r="B2987" s="336" t="s">
        <v>3426</v>
      </c>
      <c r="C2987" s="336" t="s">
        <v>813</v>
      </c>
      <c r="D2987" s="336" t="s">
        <v>946</v>
      </c>
      <c r="E2987" s="336" t="s">
        <v>947</v>
      </c>
    </row>
    <row r="2988" spans="1:5" x14ac:dyDescent="0.2">
      <c r="A2988" s="335">
        <v>1001347669</v>
      </c>
      <c r="B2988" s="336" t="s">
        <v>3427</v>
      </c>
      <c r="C2988" s="336" t="s">
        <v>863</v>
      </c>
      <c r="D2988" s="336" t="s">
        <v>946</v>
      </c>
      <c r="E2988" s="336" t="s">
        <v>947</v>
      </c>
    </row>
    <row r="2989" spans="1:5" x14ac:dyDescent="0.2">
      <c r="A2989" s="335">
        <v>1001347675</v>
      </c>
      <c r="B2989" s="336" t="s">
        <v>3428</v>
      </c>
      <c r="C2989" s="336" t="s">
        <v>813</v>
      </c>
      <c r="D2989" s="336" t="s">
        <v>946</v>
      </c>
      <c r="E2989" s="336" t="s">
        <v>947</v>
      </c>
    </row>
    <row r="2990" spans="1:5" x14ac:dyDescent="0.2">
      <c r="A2990" s="335">
        <v>1001347676</v>
      </c>
      <c r="B2990" s="336" t="s">
        <v>3429</v>
      </c>
      <c r="C2990" s="336" t="s">
        <v>813</v>
      </c>
      <c r="D2990" s="336" t="s">
        <v>946</v>
      </c>
      <c r="E2990" s="336" t="s">
        <v>947</v>
      </c>
    </row>
    <row r="2991" spans="1:5" x14ac:dyDescent="0.2">
      <c r="A2991" s="335">
        <v>1001347694</v>
      </c>
      <c r="B2991" s="336" t="s">
        <v>3430</v>
      </c>
      <c r="C2991" s="336" t="s">
        <v>813</v>
      </c>
      <c r="D2991" s="336" t="s">
        <v>946</v>
      </c>
      <c r="E2991" s="336" t="s">
        <v>947</v>
      </c>
    </row>
    <row r="2992" spans="1:5" x14ac:dyDescent="0.2">
      <c r="A2992" s="335">
        <v>1001347695</v>
      </c>
      <c r="B2992" s="336" t="s">
        <v>3431</v>
      </c>
      <c r="C2992" s="336" t="s">
        <v>813</v>
      </c>
      <c r="D2992" s="336" t="s">
        <v>946</v>
      </c>
      <c r="E2992" s="336" t="s">
        <v>947</v>
      </c>
    </row>
    <row r="2993" spans="1:5" x14ac:dyDescent="0.2">
      <c r="A2993" s="335">
        <v>1001347696</v>
      </c>
      <c r="B2993" s="336" t="s">
        <v>3432</v>
      </c>
      <c r="C2993" s="336" t="s">
        <v>813</v>
      </c>
      <c r="D2993" s="336" t="s">
        <v>946</v>
      </c>
      <c r="E2993" s="336" t="s">
        <v>947</v>
      </c>
    </row>
    <row r="2994" spans="1:5" x14ac:dyDescent="0.2">
      <c r="A2994" s="335">
        <v>1001347697</v>
      </c>
      <c r="B2994" s="336" t="s">
        <v>3433</v>
      </c>
      <c r="C2994" s="336" t="s">
        <v>813</v>
      </c>
      <c r="D2994" s="336" t="s">
        <v>946</v>
      </c>
      <c r="E2994" s="336" t="s">
        <v>947</v>
      </c>
    </row>
    <row r="2995" spans="1:5" x14ac:dyDescent="0.2">
      <c r="A2995" s="335">
        <v>1001347710</v>
      </c>
      <c r="B2995" s="336" t="s">
        <v>3434</v>
      </c>
      <c r="C2995" s="336" t="s">
        <v>813</v>
      </c>
      <c r="D2995" s="336" t="s">
        <v>946</v>
      </c>
      <c r="E2995" s="336" t="s">
        <v>947</v>
      </c>
    </row>
    <row r="2996" spans="1:5" x14ac:dyDescent="0.2">
      <c r="A2996" s="335">
        <v>1001347713</v>
      </c>
      <c r="B2996" s="336" t="s">
        <v>3435</v>
      </c>
      <c r="C2996" s="336" t="s">
        <v>813</v>
      </c>
      <c r="D2996" s="336" t="s">
        <v>946</v>
      </c>
      <c r="E2996" s="336" t="s">
        <v>947</v>
      </c>
    </row>
    <row r="2997" spans="1:5" x14ac:dyDescent="0.2">
      <c r="A2997" s="335">
        <v>1001347715</v>
      </c>
      <c r="B2997" s="336" t="s">
        <v>3380</v>
      </c>
      <c r="C2997" s="336" t="s">
        <v>813</v>
      </c>
      <c r="D2997" s="336" t="s">
        <v>946</v>
      </c>
      <c r="E2997" s="336" t="s">
        <v>947</v>
      </c>
    </row>
    <row r="2998" spans="1:5" x14ac:dyDescent="0.2">
      <c r="A2998" s="335">
        <v>1001347716</v>
      </c>
      <c r="B2998" s="336" t="s">
        <v>3436</v>
      </c>
      <c r="C2998" s="336" t="s">
        <v>813</v>
      </c>
      <c r="D2998" s="336" t="s">
        <v>946</v>
      </c>
      <c r="E2998" s="336" t="s">
        <v>947</v>
      </c>
    </row>
    <row r="2999" spans="1:5" x14ac:dyDescent="0.2">
      <c r="A2999" s="335">
        <v>1001347719</v>
      </c>
      <c r="B2999" s="336" t="s">
        <v>3437</v>
      </c>
      <c r="C2999" s="336" t="s">
        <v>863</v>
      </c>
      <c r="D2999" s="336" t="s">
        <v>946</v>
      </c>
      <c r="E2999" s="336" t="s">
        <v>947</v>
      </c>
    </row>
    <row r="3000" spans="1:5" x14ac:dyDescent="0.2">
      <c r="A3000" s="335">
        <v>1001347740</v>
      </c>
      <c r="B3000" s="336" t="s">
        <v>3438</v>
      </c>
      <c r="C3000" s="336" t="s">
        <v>813</v>
      </c>
      <c r="D3000" s="336" t="s">
        <v>946</v>
      </c>
      <c r="E3000" s="336" t="s">
        <v>947</v>
      </c>
    </row>
    <row r="3001" spans="1:5" x14ac:dyDescent="0.2">
      <c r="A3001" s="335">
        <v>1001347742</v>
      </c>
      <c r="B3001" s="336" t="s">
        <v>3439</v>
      </c>
      <c r="C3001" s="336" t="s">
        <v>813</v>
      </c>
      <c r="D3001" s="336" t="s">
        <v>946</v>
      </c>
      <c r="E3001" s="336" t="s">
        <v>947</v>
      </c>
    </row>
    <row r="3002" spans="1:5" x14ac:dyDescent="0.2">
      <c r="A3002" s="335">
        <v>1001347746</v>
      </c>
      <c r="B3002" s="336" t="s">
        <v>3440</v>
      </c>
      <c r="C3002" s="336" t="s">
        <v>813</v>
      </c>
      <c r="D3002" s="336" t="s">
        <v>946</v>
      </c>
      <c r="E3002" s="336" t="s">
        <v>947</v>
      </c>
    </row>
    <row r="3003" spans="1:5" x14ac:dyDescent="0.2">
      <c r="A3003" s="335">
        <v>1001347748</v>
      </c>
      <c r="B3003" s="336" t="s">
        <v>3441</v>
      </c>
      <c r="C3003" s="336" t="s">
        <v>813</v>
      </c>
      <c r="D3003" s="336" t="s">
        <v>946</v>
      </c>
      <c r="E3003" s="336" t="s">
        <v>947</v>
      </c>
    </row>
    <row r="3004" spans="1:5" x14ac:dyDescent="0.2">
      <c r="A3004" s="335">
        <v>1001347749</v>
      </c>
      <c r="B3004" s="336" t="s">
        <v>3442</v>
      </c>
      <c r="C3004" s="336" t="s">
        <v>813</v>
      </c>
      <c r="D3004" s="336" t="s">
        <v>946</v>
      </c>
      <c r="E3004" s="336" t="s">
        <v>947</v>
      </c>
    </row>
    <row r="3005" spans="1:5" x14ac:dyDescent="0.2">
      <c r="A3005" s="335">
        <v>1001347757</v>
      </c>
      <c r="B3005" s="336" t="s">
        <v>3443</v>
      </c>
      <c r="C3005" s="336" t="s">
        <v>813</v>
      </c>
      <c r="D3005" s="336" t="s">
        <v>946</v>
      </c>
      <c r="E3005" s="336" t="s">
        <v>947</v>
      </c>
    </row>
    <row r="3006" spans="1:5" x14ac:dyDescent="0.2">
      <c r="A3006" s="335">
        <v>1001347773</v>
      </c>
      <c r="B3006" s="336" t="s">
        <v>3444</v>
      </c>
      <c r="C3006" s="336" t="s">
        <v>813</v>
      </c>
      <c r="D3006" s="336" t="s">
        <v>946</v>
      </c>
      <c r="E3006" s="336" t="s">
        <v>947</v>
      </c>
    </row>
    <row r="3007" spans="1:5" x14ac:dyDescent="0.2">
      <c r="A3007" s="335">
        <v>1001347776</v>
      </c>
      <c r="B3007" s="336" t="s">
        <v>3445</v>
      </c>
      <c r="C3007" s="336" t="s">
        <v>813</v>
      </c>
      <c r="D3007" s="336" t="s">
        <v>946</v>
      </c>
      <c r="E3007" s="336" t="s">
        <v>947</v>
      </c>
    </row>
    <row r="3008" spans="1:5" x14ac:dyDescent="0.2">
      <c r="A3008" s="335">
        <v>1001347844</v>
      </c>
      <c r="B3008" s="336" t="s">
        <v>3446</v>
      </c>
      <c r="C3008" s="336" t="s">
        <v>813</v>
      </c>
      <c r="D3008" s="336" t="s">
        <v>946</v>
      </c>
      <c r="E3008" s="336" t="s">
        <v>947</v>
      </c>
    </row>
    <row r="3009" spans="1:5" x14ac:dyDescent="0.2">
      <c r="A3009" s="335">
        <v>1001347845</v>
      </c>
      <c r="B3009" s="336" t="s">
        <v>3447</v>
      </c>
      <c r="C3009" s="336" t="s">
        <v>813</v>
      </c>
      <c r="D3009" s="336" t="s">
        <v>946</v>
      </c>
      <c r="E3009" s="336" t="s">
        <v>947</v>
      </c>
    </row>
    <row r="3010" spans="1:5" x14ac:dyDescent="0.2">
      <c r="A3010" s="335">
        <v>1001347854</v>
      </c>
      <c r="B3010" s="336" t="s">
        <v>3448</v>
      </c>
      <c r="C3010" s="336" t="s">
        <v>813</v>
      </c>
      <c r="D3010" s="336" t="s">
        <v>946</v>
      </c>
      <c r="E3010" s="336" t="s">
        <v>947</v>
      </c>
    </row>
    <row r="3011" spans="1:5" x14ac:dyDescent="0.2">
      <c r="A3011" s="335">
        <v>1001347855</v>
      </c>
      <c r="B3011" s="336" t="s">
        <v>3449</v>
      </c>
      <c r="C3011" s="336" t="s">
        <v>863</v>
      </c>
      <c r="D3011" s="336" t="s">
        <v>946</v>
      </c>
      <c r="E3011" s="336" t="s">
        <v>947</v>
      </c>
    </row>
    <row r="3012" spans="1:5" x14ac:dyDescent="0.2">
      <c r="A3012" s="335">
        <v>1001347954</v>
      </c>
      <c r="B3012" s="336" t="s">
        <v>2364</v>
      </c>
      <c r="C3012" s="336" t="s">
        <v>813</v>
      </c>
      <c r="D3012" s="336" t="s">
        <v>946</v>
      </c>
      <c r="E3012" s="336" t="s">
        <v>947</v>
      </c>
    </row>
    <row r="3013" spans="1:5" x14ac:dyDescent="0.2">
      <c r="A3013" s="335">
        <v>1001347990</v>
      </c>
      <c r="B3013" s="336" t="s">
        <v>3450</v>
      </c>
      <c r="C3013" s="336" t="s">
        <v>813</v>
      </c>
      <c r="D3013" s="336" t="s">
        <v>946</v>
      </c>
      <c r="E3013" s="336" t="s">
        <v>947</v>
      </c>
    </row>
    <row r="3014" spans="1:5" x14ac:dyDescent="0.2">
      <c r="A3014" s="335">
        <v>1001347994</v>
      </c>
      <c r="B3014" s="336" t="s">
        <v>2081</v>
      </c>
      <c r="C3014" s="336" t="s">
        <v>813</v>
      </c>
      <c r="D3014" s="336" t="s">
        <v>946</v>
      </c>
      <c r="E3014" s="336" t="s">
        <v>947</v>
      </c>
    </row>
    <row r="3015" spans="1:5" x14ac:dyDescent="0.2">
      <c r="A3015" s="335">
        <v>1001348065</v>
      </c>
      <c r="B3015" s="336" t="s">
        <v>3451</v>
      </c>
      <c r="C3015" s="336" t="s">
        <v>813</v>
      </c>
      <c r="D3015" s="336" t="s">
        <v>946</v>
      </c>
      <c r="E3015" s="336" t="s">
        <v>947</v>
      </c>
    </row>
    <row r="3016" spans="1:5" x14ac:dyDescent="0.2">
      <c r="A3016" s="335">
        <v>1001348072</v>
      </c>
      <c r="B3016" s="336" t="s">
        <v>3452</v>
      </c>
      <c r="C3016" s="336" t="s">
        <v>813</v>
      </c>
      <c r="D3016" s="336" t="s">
        <v>946</v>
      </c>
      <c r="E3016" s="336" t="s">
        <v>947</v>
      </c>
    </row>
    <row r="3017" spans="1:5" x14ac:dyDescent="0.2">
      <c r="A3017" s="335">
        <v>1001348075</v>
      </c>
      <c r="B3017" s="336" t="s">
        <v>3453</v>
      </c>
      <c r="C3017" s="336" t="s">
        <v>813</v>
      </c>
      <c r="D3017" s="336" t="s">
        <v>946</v>
      </c>
      <c r="E3017" s="336" t="s">
        <v>947</v>
      </c>
    </row>
    <row r="3018" spans="1:5" x14ac:dyDescent="0.2">
      <c r="A3018" s="335">
        <v>1001348078</v>
      </c>
      <c r="B3018" s="336" t="s">
        <v>3454</v>
      </c>
      <c r="C3018" s="336" t="s">
        <v>813</v>
      </c>
      <c r="D3018" s="336" t="s">
        <v>946</v>
      </c>
      <c r="E3018" s="336" t="s">
        <v>947</v>
      </c>
    </row>
    <row r="3019" spans="1:5" x14ac:dyDescent="0.2">
      <c r="A3019" s="335">
        <v>1001348103</v>
      </c>
      <c r="B3019" s="336" t="s">
        <v>3455</v>
      </c>
      <c r="C3019" s="336" t="s">
        <v>813</v>
      </c>
      <c r="D3019" s="336" t="s">
        <v>946</v>
      </c>
      <c r="E3019" s="336" t="s">
        <v>947</v>
      </c>
    </row>
    <row r="3020" spans="1:5" x14ac:dyDescent="0.2">
      <c r="A3020" s="335">
        <v>1001348105</v>
      </c>
      <c r="B3020" s="336" t="s">
        <v>3456</v>
      </c>
      <c r="C3020" s="336" t="s">
        <v>813</v>
      </c>
      <c r="D3020" s="336" t="s">
        <v>946</v>
      </c>
      <c r="E3020" s="336" t="s">
        <v>947</v>
      </c>
    </row>
    <row r="3021" spans="1:5" x14ac:dyDescent="0.2">
      <c r="A3021" s="335">
        <v>1001348109</v>
      </c>
      <c r="B3021" s="336" t="s">
        <v>3457</v>
      </c>
      <c r="C3021" s="336" t="s">
        <v>863</v>
      </c>
      <c r="D3021" s="336" t="s">
        <v>946</v>
      </c>
      <c r="E3021" s="336" t="s">
        <v>947</v>
      </c>
    </row>
    <row r="3022" spans="1:5" x14ac:dyDescent="0.2">
      <c r="A3022" s="335">
        <v>1001348110</v>
      </c>
      <c r="B3022" s="336" t="s">
        <v>3458</v>
      </c>
      <c r="C3022" s="336" t="s">
        <v>813</v>
      </c>
      <c r="D3022" s="336" t="s">
        <v>946</v>
      </c>
      <c r="E3022" s="336" t="s">
        <v>947</v>
      </c>
    </row>
    <row r="3023" spans="1:5" x14ac:dyDescent="0.2">
      <c r="A3023" s="335">
        <v>1001348120</v>
      </c>
      <c r="B3023" s="336" t="s">
        <v>3459</v>
      </c>
      <c r="C3023" s="336" t="s">
        <v>813</v>
      </c>
      <c r="D3023" s="336" t="s">
        <v>946</v>
      </c>
      <c r="E3023" s="336" t="s">
        <v>947</v>
      </c>
    </row>
    <row r="3024" spans="1:5" x14ac:dyDescent="0.2">
      <c r="A3024" s="335">
        <v>1001348121</v>
      </c>
      <c r="B3024" s="336" t="s">
        <v>3444</v>
      </c>
      <c r="C3024" s="336" t="s">
        <v>863</v>
      </c>
      <c r="D3024" s="336" t="s">
        <v>946</v>
      </c>
      <c r="E3024" s="336" t="s">
        <v>947</v>
      </c>
    </row>
    <row r="3025" spans="1:5" x14ac:dyDescent="0.2">
      <c r="A3025" s="335">
        <v>1001348123</v>
      </c>
      <c r="B3025" s="336" t="s">
        <v>3460</v>
      </c>
      <c r="C3025" s="336" t="s">
        <v>813</v>
      </c>
      <c r="D3025" s="336" t="s">
        <v>946</v>
      </c>
      <c r="E3025" s="336" t="s">
        <v>947</v>
      </c>
    </row>
    <row r="3026" spans="1:5" x14ac:dyDescent="0.2">
      <c r="A3026" s="335">
        <v>1001348124</v>
      </c>
      <c r="B3026" s="336" t="s">
        <v>3461</v>
      </c>
      <c r="C3026" s="336" t="s">
        <v>813</v>
      </c>
      <c r="D3026" s="336" t="s">
        <v>946</v>
      </c>
      <c r="E3026" s="336" t="s">
        <v>947</v>
      </c>
    </row>
    <row r="3027" spans="1:5" x14ac:dyDescent="0.2">
      <c r="A3027" s="335">
        <v>1001348125</v>
      </c>
      <c r="B3027" s="336" t="s">
        <v>3462</v>
      </c>
      <c r="C3027" s="336" t="s">
        <v>813</v>
      </c>
      <c r="D3027" s="336" t="s">
        <v>946</v>
      </c>
      <c r="E3027" s="336" t="s">
        <v>947</v>
      </c>
    </row>
    <row r="3028" spans="1:5" x14ac:dyDescent="0.2">
      <c r="A3028" s="335">
        <v>1001348126</v>
      </c>
      <c r="B3028" s="336" t="s">
        <v>3463</v>
      </c>
      <c r="C3028" s="336" t="s">
        <v>813</v>
      </c>
      <c r="D3028" s="336" t="s">
        <v>946</v>
      </c>
      <c r="E3028" s="336" t="s">
        <v>947</v>
      </c>
    </row>
    <row r="3029" spans="1:5" x14ac:dyDescent="0.2">
      <c r="A3029" s="335">
        <v>1001348127</v>
      </c>
      <c r="B3029" s="336" t="s">
        <v>3464</v>
      </c>
      <c r="C3029" s="336" t="s">
        <v>813</v>
      </c>
      <c r="D3029" s="336" t="s">
        <v>946</v>
      </c>
      <c r="E3029" s="336" t="s">
        <v>947</v>
      </c>
    </row>
    <row r="3030" spans="1:5" x14ac:dyDescent="0.2">
      <c r="A3030" s="335">
        <v>1001348128</v>
      </c>
      <c r="B3030" s="336" t="s">
        <v>3465</v>
      </c>
      <c r="C3030" s="336" t="s">
        <v>813</v>
      </c>
      <c r="D3030" s="336" t="s">
        <v>946</v>
      </c>
      <c r="E3030" s="336" t="s">
        <v>947</v>
      </c>
    </row>
    <row r="3031" spans="1:5" x14ac:dyDescent="0.2">
      <c r="A3031" s="335">
        <v>1001348129</v>
      </c>
      <c r="B3031" s="336" t="s">
        <v>3466</v>
      </c>
      <c r="C3031" s="336" t="s">
        <v>813</v>
      </c>
      <c r="D3031" s="336" t="s">
        <v>946</v>
      </c>
      <c r="E3031" s="336" t="s">
        <v>947</v>
      </c>
    </row>
    <row r="3032" spans="1:5" x14ac:dyDescent="0.2">
      <c r="A3032" s="335">
        <v>1001348132</v>
      </c>
      <c r="B3032" s="336" t="s">
        <v>3467</v>
      </c>
      <c r="C3032" s="336" t="s">
        <v>813</v>
      </c>
      <c r="D3032" s="336" t="s">
        <v>946</v>
      </c>
      <c r="E3032" s="336" t="s">
        <v>947</v>
      </c>
    </row>
    <row r="3033" spans="1:5" x14ac:dyDescent="0.2">
      <c r="A3033" s="335">
        <v>1001348134</v>
      </c>
      <c r="B3033" s="336" t="s">
        <v>3468</v>
      </c>
      <c r="C3033" s="336" t="s">
        <v>813</v>
      </c>
      <c r="D3033" s="336" t="s">
        <v>946</v>
      </c>
      <c r="E3033" s="336" t="s">
        <v>947</v>
      </c>
    </row>
    <row r="3034" spans="1:5" x14ac:dyDescent="0.2">
      <c r="A3034" s="335">
        <v>1001348135</v>
      </c>
      <c r="B3034" s="336" t="s">
        <v>3469</v>
      </c>
      <c r="C3034" s="336" t="s">
        <v>813</v>
      </c>
      <c r="D3034" s="336" t="s">
        <v>946</v>
      </c>
      <c r="E3034" s="336" t="s">
        <v>947</v>
      </c>
    </row>
    <row r="3035" spans="1:5" x14ac:dyDescent="0.2">
      <c r="A3035" s="335">
        <v>1001348136</v>
      </c>
      <c r="B3035" s="336" t="s">
        <v>3470</v>
      </c>
      <c r="C3035" s="336" t="s">
        <v>813</v>
      </c>
      <c r="D3035" s="336" t="s">
        <v>946</v>
      </c>
      <c r="E3035" s="336" t="s">
        <v>947</v>
      </c>
    </row>
    <row r="3036" spans="1:5" x14ac:dyDescent="0.2">
      <c r="A3036" s="335">
        <v>1001348137</v>
      </c>
      <c r="B3036" s="336" t="s">
        <v>3471</v>
      </c>
      <c r="C3036" s="336" t="s">
        <v>813</v>
      </c>
      <c r="D3036" s="336" t="s">
        <v>946</v>
      </c>
      <c r="E3036" s="336" t="s">
        <v>947</v>
      </c>
    </row>
    <row r="3037" spans="1:5" x14ac:dyDescent="0.2">
      <c r="A3037" s="335">
        <v>1001348138</v>
      </c>
      <c r="B3037" s="336" t="s">
        <v>3472</v>
      </c>
      <c r="C3037" s="336" t="s">
        <v>813</v>
      </c>
      <c r="D3037" s="336" t="s">
        <v>946</v>
      </c>
      <c r="E3037" s="336" t="s">
        <v>947</v>
      </c>
    </row>
    <row r="3038" spans="1:5" x14ac:dyDescent="0.2">
      <c r="A3038" s="335">
        <v>1001348139</v>
      </c>
      <c r="B3038" s="336" t="s">
        <v>3473</v>
      </c>
      <c r="C3038" s="336" t="s">
        <v>813</v>
      </c>
      <c r="D3038" s="336" t="s">
        <v>946</v>
      </c>
      <c r="E3038" s="336" t="s">
        <v>947</v>
      </c>
    </row>
    <row r="3039" spans="1:5" x14ac:dyDescent="0.2">
      <c r="A3039" s="335">
        <v>1001348145</v>
      </c>
      <c r="B3039" s="336" t="s">
        <v>3474</v>
      </c>
      <c r="C3039" s="336" t="s">
        <v>813</v>
      </c>
      <c r="D3039" s="336" t="s">
        <v>946</v>
      </c>
      <c r="E3039" s="336" t="s">
        <v>947</v>
      </c>
    </row>
    <row r="3040" spans="1:5" x14ac:dyDescent="0.2">
      <c r="A3040" s="335">
        <v>1001348146</v>
      </c>
      <c r="B3040" s="336" t="s">
        <v>3475</v>
      </c>
      <c r="C3040" s="336" t="s">
        <v>813</v>
      </c>
      <c r="D3040" s="336" t="s">
        <v>946</v>
      </c>
      <c r="E3040" s="336" t="s">
        <v>947</v>
      </c>
    </row>
    <row r="3041" spans="1:5" x14ac:dyDescent="0.2">
      <c r="A3041" s="335">
        <v>1001348148</v>
      </c>
      <c r="B3041" s="336" t="s">
        <v>3476</v>
      </c>
      <c r="C3041" s="336" t="s">
        <v>813</v>
      </c>
      <c r="D3041" s="336" t="s">
        <v>946</v>
      </c>
      <c r="E3041" s="336" t="s">
        <v>947</v>
      </c>
    </row>
    <row r="3042" spans="1:5" x14ac:dyDescent="0.2">
      <c r="A3042" s="335">
        <v>1001348157</v>
      </c>
      <c r="B3042" s="336" t="s">
        <v>3477</v>
      </c>
      <c r="C3042" s="336" t="s">
        <v>813</v>
      </c>
      <c r="D3042" s="336" t="s">
        <v>946</v>
      </c>
      <c r="E3042" s="336" t="s">
        <v>947</v>
      </c>
    </row>
    <row r="3043" spans="1:5" x14ac:dyDescent="0.2">
      <c r="A3043" s="335">
        <v>1001348158</v>
      </c>
      <c r="B3043" s="336" t="s">
        <v>3478</v>
      </c>
      <c r="C3043" s="336" t="s">
        <v>813</v>
      </c>
      <c r="D3043" s="336" t="s">
        <v>946</v>
      </c>
      <c r="E3043" s="336" t="s">
        <v>947</v>
      </c>
    </row>
    <row r="3044" spans="1:5" x14ac:dyDescent="0.2">
      <c r="A3044" s="335">
        <v>1001348159</v>
      </c>
      <c r="B3044" s="336" t="s">
        <v>3479</v>
      </c>
      <c r="C3044" s="336" t="s">
        <v>813</v>
      </c>
      <c r="D3044" s="336" t="s">
        <v>946</v>
      </c>
      <c r="E3044" s="336" t="s">
        <v>947</v>
      </c>
    </row>
    <row r="3045" spans="1:5" x14ac:dyDescent="0.2">
      <c r="A3045" s="335">
        <v>1001348160</v>
      </c>
      <c r="B3045" s="336" t="s">
        <v>3480</v>
      </c>
      <c r="C3045" s="336" t="s">
        <v>813</v>
      </c>
      <c r="D3045" s="336" t="s">
        <v>946</v>
      </c>
      <c r="E3045" s="336" t="s">
        <v>947</v>
      </c>
    </row>
    <row r="3046" spans="1:5" x14ac:dyDescent="0.2">
      <c r="A3046" s="335">
        <v>1001348161</v>
      </c>
      <c r="B3046" s="336" t="s">
        <v>3481</v>
      </c>
      <c r="C3046" s="336" t="s">
        <v>813</v>
      </c>
      <c r="D3046" s="336" t="s">
        <v>946</v>
      </c>
      <c r="E3046" s="336" t="s">
        <v>947</v>
      </c>
    </row>
    <row r="3047" spans="1:5" x14ac:dyDescent="0.2">
      <c r="A3047" s="335">
        <v>1001348162</v>
      </c>
      <c r="B3047" s="336" t="s">
        <v>3482</v>
      </c>
      <c r="C3047" s="336" t="s">
        <v>813</v>
      </c>
      <c r="D3047" s="336" t="s">
        <v>946</v>
      </c>
      <c r="E3047" s="336" t="s">
        <v>947</v>
      </c>
    </row>
    <row r="3048" spans="1:5" x14ac:dyDescent="0.2">
      <c r="A3048" s="335">
        <v>1001348163</v>
      </c>
      <c r="B3048" s="336" t="s">
        <v>3483</v>
      </c>
      <c r="C3048" s="336" t="s">
        <v>813</v>
      </c>
      <c r="D3048" s="336" t="s">
        <v>946</v>
      </c>
      <c r="E3048" s="336" t="s">
        <v>947</v>
      </c>
    </row>
    <row r="3049" spans="1:5" x14ac:dyDescent="0.2">
      <c r="A3049" s="335">
        <v>1001348165</v>
      </c>
      <c r="B3049" s="336" t="s">
        <v>3484</v>
      </c>
      <c r="C3049" s="336" t="s">
        <v>813</v>
      </c>
      <c r="D3049" s="336" t="s">
        <v>946</v>
      </c>
      <c r="E3049" s="336" t="s">
        <v>947</v>
      </c>
    </row>
    <row r="3050" spans="1:5" x14ac:dyDescent="0.2">
      <c r="A3050" s="335">
        <v>1001348166</v>
      </c>
      <c r="B3050" s="336" t="s">
        <v>3485</v>
      </c>
      <c r="C3050" s="336" t="s">
        <v>813</v>
      </c>
      <c r="D3050" s="336" t="s">
        <v>946</v>
      </c>
      <c r="E3050" s="336" t="s">
        <v>947</v>
      </c>
    </row>
    <row r="3051" spans="1:5" x14ac:dyDescent="0.2">
      <c r="A3051" s="335">
        <v>1001348167</v>
      </c>
      <c r="B3051" s="336" t="s">
        <v>3486</v>
      </c>
      <c r="C3051" s="336" t="s">
        <v>813</v>
      </c>
      <c r="D3051" s="336" t="s">
        <v>946</v>
      </c>
      <c r="E3051" s="336" t="s">
        <v>947</v>
      </c>
    </row>
    <row r="3052" spans="1:5" x14ac:dyDescent="0.2">
      <c r="A3052" s="335">
        <v>1001348168</v>
      </c>
      <c r="B3052" s="336" t="s">
        <v>3487</v>
      </c>
      <c r="C3052" s="336" t="s">
        <v>813</v>
      </c>
      <c r="D3052" s="336" t="s">
        <v>946</v>
      </c>
      <c r="E3052" s="336" t="s">
        <v>947</v>
      </c>
    </row>
    <row r="3053" spans="1:5" x14ac:dyDescent="0.2">
      <c r="A3053" s="335">
        <v>1001348169</v>
      </c>
      <c r="B3053" s="336" t="s">
        <v>3488</v>
      </c>
      <c r="C3053" s="336" t="s">
        <v>813</v>
      </c>
      <c r="D3053" s="336" t="s">
        <v>946</v>
      </c>
      <c r="E3053" s="336" t="s">
        <v>947</v>
      </c>
    </row>
    <row r="3054" spans="1:5" x14ac:dyDescent="0.2">
      <c r="A3054" s="335">
        <v>1001348170</v>
      </c>
      <c r="B3054" s="336" t="s">
        <v>3489</v>
      </c>
      <c r="C3054" s="336" t="s">
        <v>813</v>
      </c>
      <c r="D3054" s="336" t="s">
        <v>946</v>
      </c>
      <c r="E3054" s="336" t="s">
        <v>947</v>
      </c>
    </row>
    <row r="3055" spans="1:5" x14ac:dyDescent="0.2">
      <c r="A3055" s="335">
        <v>1001348171</v>
      </c>
      <c r="B3055" s="336" t="s">
        <v>3490</v>
      </c>
      <c r="C3055" s="336" t="s">
        <v>813</v>
      </c>
      <c r="D3055" s="336" t="s">
        <v>946</v>
      </c>
      <c r="E3055" s="336" t="s">
        <v>947</v>
      </c>
    </row>
    <row r="3056" spans="1:5" x14ac:dyDescent="0.2">
      <c r="A3056" s="335">
        <v>1001348172</v>
      </c>
      <c r="B3056" s="336" t="s">
        <v>3491</v>
      </c>
      <c r="C3056" s="336" t="s">
        <v>813</v>
      </c>
      <c r="D3056" s="336" t="s">
        <v>946</v>
      </c>
      <c r="E3056" s="336" t="s">
        <v>947</v>
      </c>
    </row>
    <row r="3057" spans="1:5" x14ac:dyDescent="0.2">
      <c r="A3057" s="335">
        <v>1001348173</v>
      </c>
      <c r="B3057" s="336" t="s">
        <v>3492</v>
      </c>
      <c r="C3057" s="336" t="s">
        <v>813</v>
      </c>
      <c r="D3057" s="336" t="s">
        <v>946</v>
      </c>
      <c r="E3057" s="336" t="s">
        <v>947</v>
      </c>
    </row>
    <row r="3058" spans="1:5" x14ac:dyDescent="0.2">
      <c r="A3058" s="335">
        <v>1001348174</v>
      </c>
      <c r="B3058" s="336" t="s">
        <v>3493</v>
      </c>
      <c r="C3058" s="336" t="s">
        <v>813</v>
      </c>
      <c r="D3058" s="336" t="s">
        <v>946</v>
      </c>
      <c r="E3058" s="336" t="s">
        <v>947</v>
      </c>
    </row>
    <row r="3059" spans="1:5" x14ac:dyDescent="0.2">
      <c r="A3059" s="335">
        <v>1001348175</v>
      </c>
      <c r="B3059" s="336" t="s">
        <v>3494</v>
      </c>
      <c r="C3059" s="336" t="s">
        <v>813</v>
      </c>
      <c r="D3059" s="336" t="s">
        <v>946</v>
      </c>
      <c r="E3059" s="336" t="s">
        <v>947</v>
      </c>
    </row>
    <row r="3060" spans="1:5" x14ac:dyDescent="0.2">
      <c r="A3060" s="335">
        <v>1001348176</v>
      </c>
      <c r="B3060" s="336" t="s">
        <v>3495</v>
      </c>
      <c r="C3060" s="336" t="s">
        <v>813</v>
      </c>
      <c r="D3060" s="336" t="s">
        <v>946</v>
      </c>
      <c r="E3060" s="336" t="s">
        <v>947</v>
      </c>
    </row>
    <row r="3061" spans="1:5" x14ac:dyDescent="0.2">
      <c r="A3061" s="335">
        <v>1001348177</v>
      </c>
      <c r="B3061" s="336" t="s">
        <v>3496</v>
      </c>
      <c r="C3061" s="336" t="s">
        <v>813</v>
      </c>
      <c r="D3061" s="336" t="s">
        <v>946</v>
      </c>
      <c r="E3061" s="336" t="s">
        <v>947</v>
      </c>
    </row>
    <row r="3062" spans="1:5" x14ac:dyDescent="0.2">
      <c r="A3062" s="335">
        <v>1001348178</v>
      </c>
      <c r="B3062" s="336" t="s">
        <v>3497</v>
      </c>
      <c r="C3062" s="336" t="s">
        <v>813</v>
      </c>
      <c r="D3062" s="336" t="s">
        <v>946</v>
      </c>
      <c r="E3062" s="336" t="s">
        <v>947</v>
      </c>
    </row>
    <row r="3063" spans="1:5" x14ac:dyDescent="0.2">
      <c r="A3063" s="335">
        <v>1001348184</v>
      </c>
      <c r="B3063" s="336" t="s">
        <v>3498</v>
      </c>
      <c r="C3063" s="336" t="s">
        <v>813</v>
      </c>
      <c r="D3063" s="336" t="s">
        <v>946</v>
      </c>
      <c r="E3063" s="336" t="s">
        <v>947</v>
      </c>
    </row>
    <row r="3064" spans="1:5" x14ac:dyDescent="0.2">
      <c r="A3064" s="335">
        <v>1001348185</v>
      </c>
      <c r="B3064" s="336" t="s">
        <v>3499</v>
      </c>
      <c r="C3064" s="336" t="s">
        <v>813</v>
      </c>
      <c r="D3064" s="336" t="s">
        <v>946</v>
      </c>
      <c r="E3064" s="336" t="s">
        <v>947</v>
      </c>
    </row>
    <row r="3065" spans="1:5" x14ac:dyDescent="0.2">
      <c r="A3065" s="335">
        <v>1001348191</v>
      </c>
      <c r="B3065" s="336" t="s">
        <v>3500</v>
      </c>
      <c r="C3065" s="336" t="s">
        <v>813</v>
      </c>
      <c r="D3065" s="336" t="s">
        <v>946</v>
      </c>
      <c r="E3065" s="336" t="s">
        <v>947</v>
      </c>
    </row>
    <row r="3066" spans="1:5" x14ac:dyDescent="0.2">
      <c r="A3066" s="335">
        <v>1001348197</v>
      </c>
      <c r="B3066" s="336" t="s">
        <v>3501</v>
      </c>
      <c r="C3066" s="336" t="s">
        <v>813</v>
      </c>
      <c r="D3066" s="336" t="s">
        <v>946</v>
      </c>
      <c r="E3066" s="336" t="s">
        <v>947</v>
      </c>
    </row>
    <row r="3067" spans="1:5" x14ac:dyDescent="0.2">
      <c r="A3067" s="335">
        <v>1001348198</v>
      </c>
      <c r="B3067" s="336" t="s">
        <v>3502</v>
      </c>
      <c r="C3067" s="336" t="s">
        <v>813</v>
      </c>
      <c r="D3067" s="336" t="s">
        <v>946</v>
      </c>
      <c r="E3067" s="336" t="s">
        <v>947</v>
      </c>
    </row>
    <row r="3068" spans="1:5" x14ac:dyDescent="0.2">
      <c r="A3068" s="335">
        <v>1001348199</v>
      </c>
      <c r="B3068" s="336" t="s">
        <v>3503</v>
      </c>
      <c r="C3068" s="336" t="s">
        <v>813</v>
      </c>
      <c r="D3068" s="336" t="s">
        <v>946</v>
      </c>
      <c r="E3068" s="336" t="s">
        <v>947</v>
      </c>
    </row>
    <row r="3069" spans="1:5" x14ac:dyDescent="0.2">
      <c r="A3069" s="335">
        <v>1001348210</v>
      </c>
      <c r="B3069" s="336" t="s">
        <v>3504</v>
      </c>
      <c r="C3069" s="336" t="s">
        <v>813</v>
      </c>
      <c r="D3069" s="336" t="s">
        <v>946</v>
      </c>
      <c r="E3069" s="336" t="s">
        <v>947</v>
      </c>
    </row>
    <row r="3070" spans="1:5" x14ac:dyDescent="0.2">
      <c r="A3070" s="335">
        <v>1001348211</v>
      </c>
      <c r="B3070" s="336" t="s">
        <v>3505</v>
      </c>
      <c r="C3070" s="336" t="s">
        <v>813</v>
      </c>
      <c r="D3070" s="336" t="s">
        <v>946</v>
      </c>
      <c r="E3070" s="336" t="s">
        <v>947</v>
      </c>
    </row>
    <row r="3071" spans="1:5" x14ac:dyDescent="0.2">
      <c r="A3071" s="335">
        <v>1001348212</v>
      </c>
      <c r="B3071" s="336" t="s">
        <v>3506</v>
      </c>
      <c r="C3071" s="336" t="s">
        <v>813</v>
      </c>
      <c r="D3071" s="336" t="s">
        <v>946</v>
      </c>
      <c r="E3071" s="336" t="s">
        <v>947</v>
      </c>
    </row>
    <row r="3072" spans="1:5" x14ac:dyDescent="0.2">
      <c r="A3072" s="335">
        <v>1001348213</v>
      </c>
      <c r="B3072" s="336" t="s">
        <v>3507</v>
      </c>
      <c r="C3072" s="336" t="s">
        <v>813</v>
      </c>
      <c r="D3072" s="336" t="s">
        <v>946</v>
      </c>
      <c r="E3072" s="336" t="s">
        <v>947</v>
      </c>
    </row>
    <row r="3073" spans="1:5" x14ac:dyDescent="0.2">
      <c r="A3073" s="335">
        <v>1001348214</v>
      </c>
      <c r="B3073" s="336" t="s">
        <v>3508</v>
      </c>
      <c r="C3073" s="336" t="s">
        <v>813</v>
      </c>
      <c r="D3073" s="336" t="s">
        <v>946</v>
      </c>
      <c r="E3073" s="336" t="s">
        <v>947</v>
      </c>
    </row>
    <row r="3074" spans="1:5" x14ac:dyDescent="0.2">
      <c r="A3074" s="335">
        <v>1001348215</v>
      </c>
      <c r="B3074" s="336" t="s">
        <v>3509</v>
      </c>
      <c r="C3074" s="336" t="s">
        <v>813</v>
      </c>
      <c r="D3074" s="336" t="s">
        <v>946</v>
      </c>
      <c r="E3074" s="336" t="s">
        <v>947</v>
      </c>
    </row>
    <row r="3075" spans="1:5" x14ac:dyDescent="0.2">
      <c r="A3075" s="335">
        <v>1001348216</v>
      </c>
      <c r="B3075" s="336" t="s">
        <v>3510</v>
      </c>
      <c r="C3075" s="336" t="s">
        <v>813</v>
      </c>
      <c r="D3075" s="336" t="s">
        <v>946</v>
      </c>
      <c r="E3075" s="336" t="s">
        <v>947</v>
      </c>
    </row>
    <row r="3076" spans="1:5" x14ac:dyDescent="0.2">
      <c r="A3076" s="335">
        <v>1001348217</v>
      </c>
      <c r="B3076" s="336" t="s">
        <v>3511</v>
      </c>
      <c r="C3076" s="336" t="s">
        <v>813</v>
      </c>
      <c r="D3076" s="336" t="s">
        <v>946</v>
      </c>
      <c r="E3076" s="336" t="s">
        <v>947</v>
      </c>
    </row>
    <row r="3077" spans="1:5" x14ac:dyDescent="0.2">
      <c r="A3077" s="335">
        <v>1001348219</v>
      </c>
      <c r="B3077" s="336" t="s">
        <v>3512</v>
      </c>
      <c r="C3077" s="336" t="s">
        <v>813</v>
      </c>
      <c r="D3077" s="336" t="s">
        <v>946</v>
      </c>
      <c r="E3077" s="336" t="s">
        <v>947</v>
      </c>
    </row>
    <row r="3078" spans="1:5" x14ac:dyDescent="0.2">
      <c r="A3078" s="335">
        <v>1001348220</v>
      </c>
      <c r="B3078" s="336" t="s">
        <v>3513</v>
      </c>
      <c r="C3078" s="336" t="s">
        <v>813</v>
      </c>
      <c r="D3078" s="336" t="s">
        <v>946</v>
      </c>
      <c r="E3078" s="336" t="s">
        <v>947</v>
      </c>
    </row>
    <row r="3079" spans="1:5" x14ac:dyDescent="0.2">
      <c r="A3079" s="335">
        <v>1001348221</v>
      </c>
      <c r="B3079" s="336" t="s">
        <v>3514</v>
      </c>
      <c r="C3079" s="336" t="s">
        <v>813</v>
      </c>
      <c r="D3079" s="336" t="s">
        <v>946</v>
      </c>
      <c r="E3079" s="336" t="s">
        <v>947</v>
      </c>
    </row>
    <row r="3080" spans="1:5" x14ac:dyDescent="0.2">
      <c r="A3080" s="335">
        <v>1001348222</v>
      </c>
      <c r="B3080" s="336" t="s">
        <v>3515</v>
      </c>
      <c r="C3080" s="336" t="s">
        <v>813</v>
      </c>
      <c r="D3080" s="336" t="s">
        <v>946</v>
      </c>
      <c r="E3080" s="336" t="s">
        <v>947</v>
      </c>
    </row>
    <row r="3081" spans="1:5" x14ac:dyDescent="0.2">
      <c r="A3081" s="335">
        <v>1001348223</v>
      </c>
      <c r="B3081" s="336" t="s">
        <v>3516</v>
      </c>
      <c r="C3081" s="336" t="s">
        <v>813</v>
      </c>
      <c r="D3081" s="336" t="s">
        <v>946</v>
      </c>
      <c r="E3081" s="336" t="s">
        <v>947</v>
      </c>
    </row>
    <row r="3082" spans="1:5" x14ac:dyDescent="0.2">
      <c r="A3082" s="335">
        <v>1001348230</v>
      </c>
      <c r="B3082" s="336" t="s">
        <v>3517</v>
      </c>
      <c r="C3082" s="336" t="s">
        <v>813</v>
      </c>
      <c r="D3082" s="336" t="s">
        <v>946</v>
      </c>
      <c r="E3082" s="336" t="s">
        <v>947</v>
      </c>
    </row>
    <row r="3083" spans="1:5" x14ac:dyDescent="0.2">
      <c r="A3083" s="335">
        <v>1001348231</v>
      </c>
      <c r="B3083" s="336" t="s">
        <v>3518</v>
      </c>
      <c r="C3083" s="336" t="s">
        <v>813</v>
      </c>
      <c r="D3083" s="336" t="s">
        <v>946</v>
      </c>
      <c r="E3083" s="336" t="s">
        <v>947</v>
      </c>
    </row>
    <row r="3084" spans="1:5" x14ac:dyDescent="0.2">
      <c r="A3084" s="335">
        <v>1001348232</v>
      </c>
      <c r="B3084" s="336" t="s">
        <v>3519</v>
      </c>
      <c r="C3084" s="336" t="s">
        <v>813</v>
      </c>
      <c r="D3084" s="336" t="s">
        <v>946</v>
      </c>
      <c r="E3084" s="336" t="s">
        <v>947</v>
      </c>
    </row>
    <row r="3085" spans="1:5" x14ac:dyDescent="0.2">
      <c r="A3085" s="335">
        <v>1001348233</v>
      </c>
      <c r="B3085" s="336" t="s">
        <v>3520</v>
      </c>
      <c r="C3085" s="336" t="s">
        <v>813</v>
      </c>
      <c r="D3085" s="336" t="s">
        <v>946</v>
      </c>
      <c r="E3085" s="336" t="s">
        <v>947</v>
      </c>
    </row>
    <row r="3086" spans="1:5" x14ac:dyDescent="0.2">
      <c r="A3086" s="335">
        <v>1001348234</v>
      </c>
      <c r="B3086" s="336" t="s">
        <v>3521</v>
      </c>
      <c r="C3086" s="336" t="s">
        <v>813</v>
      </c>
      <c r="D3086" s="336" t="s">
        <v>946</v>
      </c>
      <c r="E3086" s="336" t="s">
        <v>947</v>
      </c>
    </row>
    <row r="3087" spans="1:5" x14ac:dyDescent="0.2">
      <c r="A3087" s="335">
        <v>1001348235</v>
      </c>
      <c r="B3087" s="336" t="s">
        <v>3522</v>
      </c>
      <c r="C3087" s="336" t="s">
        <v>813</v>
      </c>
      <c r="D3087" s="336" t="s">
        <v>946</v>
      </c>
      <c r="E3087" s="336" t="s">
        <v>947</v>
      </c>
    </row>
    <row r="3088" spans="1:5" x14ac:dyDescent="0.2">
      <c r="A3088" s="335">
        <v>1001348236</v>
      </c>
      <c r="B3088" s="336" t="s">
        <v>3523</v>
      </c>
      <c r="C3088" s="336" t="s">
        <v>813</v>
      </c>
      <c r="D3088" s="336" t="s">
        <v>946</v>
      </c>
      <c r="E3088" s="336" t="s">
        <v>947</v>
      </c>
    </row>
    <row r="3089" spans="1:5" x14ac:dyDescent="0.2">
      <c r="A3089" s="335">
        <v>1001348238</v>
      </c>
      <c r="B3089" s="336" t="s">
        <v>3524</v>
      </c>
      <c r="C3089" s="336" t="s">
        <v>863</v>
      </c>
      <c r="D3089" s="336" t="s">
        <v>946</v>
      </c>
      <c r="E3089" s="336" t="s">
        <v>947</v>
      </c>
    </row>
    <row r="3090" spans="1:5" x14ac:dyDescent="0.2">
      <c r="A3090" s="335">
        <v>1001348239</v>
      </c>
      <c r="B3090" s="336" t="s">
        <v>3525</v>
      </c>
      <c r="C3090" s="336" t="s">
        <v>863</v>
      </c>
      <c r="D3090" s="336" t="s">
        <v>946</v>
      </c>
      <c r="E3090" s="336" t="s">
        <v>947</v>
      </c>
    </row>
    <row r="3091" spans="1:5" x14ac:dyDescent="0.2">
      <c r="A3091" s="335">
        <v>1001348240</v>
      </c>
      <c r="B3091" s="336" t="s">
        <v>3526</v>
      </c>
      <c r="C3091" s="336" t="s">
        <v>813</v>
      </c>
      <c r="D3091" s="336" t="s">
        <v>946</v>
      </c>
      <c r="E3091" s="336" t="s">
        <v>947</v>
      </c>
    </row>
    <row r="3092" spans="1:5" x14ac:dyDescent="0.2">
      <c r="A3092" s="335">
        <v>1001348241</v>
      </c>
      <c r="B3092" s="336" t="s">
        <v>3527</v>
      </c>
      <c r="C3092" s="336" t="s">
        <v>813</v>
      </c>
      <c r="D3092" s="336" t="s">
        <v>946</v>
      </c>
      <c r="E3092" s="336" t="s">
        <v>947</v>
      </c>
    </row>
    <row r="3093" spans="1:5" x14ac:dyDescent="0.2">
      <c r="A3093" s="335">
        <v>1001348246</v>
      </c>
      <c r="B3093" s="336" t="s">
        <v>3528</v>
      </c>
      <c r="C3093" s="336" t="s">
        <v>813</v>
      </c>
      <c r="D3093" s="336" t="s">
        <v>946</v>
      </c>
      <c r="E3093" s="336" t="s">
        <v>947</v>
      </c>
    </row>
    <row r="3094" spans="1:5" x14ac:dyDescent="0.2">
      <c r="A3094" s="335">
        <v>1001348248</v>
      </c>
      <c r="B3094" s="336" t="s">
        <v>3529</v>
      </c>
      <c r="C3094" s="336" t="s">
        <v>813</v>
      </c>
      <c r="D3094" s="336" t="s">
        <v>946</v>
      </c>
      <c r="E3094" s="336" t="s">
        <v>947</v>
      </c>
    </row>
    <row r="3095" spans="1:5" x14ac:dyDescent="0.2">
      <c r="A3095" s="335">
        <v>1001348256</v>
      </c>
      <c r="B3095" s="336" t="s">
        <v>3525</v>
      </c>
      <c r="C3095" s="336" t="s">
        <v>863</v>
      </c>
      <c r="D3095" s="336" t="s">
        <v>946</v>
      </c>
      <c r="E3095" s="336" t="s">
        <v>947</v>
      </c>
    </row>
    <row r="3096" spans="1:5" x14ac:dyDescent="0.2">
      <c r="A3096" s="335">
        <v>1001348257</v>
      </c>
      <c r="B3096" s="336" t="s">
        <v>3530</v>
      </c>
      <c r="C3096" s="336" t="s">
        <v>813</v>
      </c>
      <c r="D3096" s="336" t="s">
        <v>946</v>
      </c>
      <c r="E3096" s="336" t="s">
        <v>947</v>
      </c>
    </row>
    <row r="3097" spans="1:5" x14ac:dyDescent="0.2">
      <c r="A3097" s="335">
        <v>1001348272</v>
      </c>
      <c r="B3097" s="336" t="s">
        <v>3531</v>
      </c>
      <c r="C3097" s="336" t="s">
        <v>813</v>
      </c>
      <c r="D3097" s="336" t="s">
        <v>946</v>
      </c>
      <c r="E3097" s="336" t="s">
        <v>947</v>
      </c>
    </row>
    <row r="3098" spans="1:5" x14ac:dyDescent="0.2">
      <c r="A3098" s="335">
        <v>1001348410</v>
      </c>
      <c r="B3098" s="336" t="s">
        <v>3532</v>
      </c>
      <c r="C3098" s="336" t="s">
        <v>813</v>
      </c>
      <c r="D3098" s="336" t="s">
        <v>946</v>
      </c>
      <c r="E3098" s="336" t="s">
        <v>947</v>
      </c>
    </row>
    <row r="3099" spans="1:5" x14ac:dyDescent="0.2">
      <c r="A3099" s="335">
        <v>1001348412</v>
      </c>
      <c r="B3099" s="336" t="s">
        <v>3533</v>
      </c>
      <c r="C3099" s="336" t="s">
        <v>813</v>
      </c>
      <c r="D3099" s="336" t="s">
        <v>946</v>
      </c>
      <c r="E3099" s="336" t="s">
        <v>947</v>
      </c>
    </row>
    <row r="3100" spans="1:5" x14ac:dyDescent="0.2">
      <c r="A3100" s="335">
        <v>1001348413</v>
      </c>
      <c r="B3100" s="336" t="s">
        <v>3534</v>
      </c>
      <c r="C3100" s="336" t="s">
        <v>813</v>
      </c>
      <c r="D3100" s="336" t="s">
        <v>946</v>
      </c>
      <c r="E3100" s="336" t="s">
        <v>947</v>
      </c>
    </row>
    <row r="3101" spans="1:5" x14ac:dyDescent="0.2">
      <c r="A3101" s="335">
        <v>1001348419</v>
      </c>
      <c r="B3101" s="336" t="s">
        <v>784</v>
      </c>
      <c r="C3101" s="336" t="s">
        <v>813</v>
      </c>
      <c r="D3101" s="336" t="s">
        <v>946</v>
      </c>
      <c r="E3101" s="336" t="s">
        <v>947</v>
      </c>
    </row>
    <row r="3102" spans="1:5" x14ac:dyDescent="0.2">
      <c r="A3102" s="335">
        <v>1001348511</v>
      </c>
      <c r="B3102" s="336" t="s">
        <v>3535</v>
      </c>
      <c r="C3102" s="336" t="s">
        <v>813</v>
      </c>
      <c r="D3102" s="336" t="s">
        <v>946</v>
      </c>
      <c r="E3102" s="336" t="s">
        <v>947</v>
      </c>
    </row>
    <row r="3103" spans="1:5" x14ac:dyDescent="0.2">
      <c r="A3103" s="335">
        <v>1001348513</v>
      </c>
      <c r="B3103" s="336" t="s">
        <v>3536</v>
      </c>
      <c r="C3103" s="336" t="s">
        <v>813</v>
      </c>
      <c r="D3103" s="336" t="s">
        <v>946</v>
      </c>
      <c r="E3103" s="336" t="s">
        <v>947</v>
      </c>
    </row>
    <row r="3104" spans="1:5" x14ac:dyDescent="0.2">
      <c r="A3104" s="335">
        <v>1001348519</v>
      </c>
      <c r="B3104" s="336" t="s">
        <v>3537</v>
      </c>
      <c r="C3104" s="336" t="s">
        <v>813</v>
      </c>
      <c r="D3104" s="336" t="s">
        <v>946</v>
      </c>
      <c r="E3104" s="336" t="s">
        <v>947</v>
      </c>
    </row>
    <row r="3105" spans="1:5" x14ac:dyDescent="0.2">
      <c r="A3105" s="335">
        <v>1001348542</v>
      </c>
      <c r="B3105" s="336" t="s">
        <v>3538</v>
      </c>
      <c r="C3105" s="336" t="s">
        <v>813</v>
      </c>
      <c r="D3105" s="336" t="s">
        <v>946</v>
      </c>
      <c r="E3105" s="336" t="s">
        <v>947</v>
      </c>
    </row>
    <row r="3106" spans="1:5" x14ac:dyDescent="0.2">
      <c r="A3106" s="335">
        <v>1001348549</v>
      </c>
      <c r="B3106" s="336" t="s">
        <v>3405</v>
      </c>
      <c r="C3106" s="336" t="s">
        <v>813</v>
      </c>
      <c r="D3106" s="336" t="s">
        <v>946</v>
      </c>
      <c r="E3106" s="336" t="s">
        <v>947</v>
      </c>
    </row>
    <row r="3107" spans="1:5" x14ac:dyDescent="0.2">
      <c r="A3107" s="335">
        <v>1001348574</v>
      </c>
      <c r="B3107" s="336" t="s">
        <v>3539</v>
      </c>
      <c r="C3107" s="336" t="s">
        <v>863</v>
      </c>
      <c r="D3107" s="336" t="s">
        <v>946</v>
      </c>
      <c r="E3107" s="336" t="s">
        <v>947</v>
      </c>
    </row>
    <row r="3108" spans="1:5" x14ac:dyDescent="0.2">
      <c r="A3108" s="335">
        <v>1001348578</v>
      </c>
      <c r="B3108" s="336" t="s">
        <v>3540</v>
      </c>
      <c r="C3108" s="336" t="s">
        <v>813</v>
      </c>
      <c r="D3108" s="336" t="s">
        <v>946</v>
      </c>
      <c r="E3108" s="336" t="s">
        <v>947</v>
      </c>
    </row>
    <row r="3109" spans="1:5" x14ac:dyDescent="0.2">
      <c r="A3109" s="335">
        <v>1001348615</v>
      </c>
      <c r="B3109" s="336" t="s">
        <v>3541</v>
      </c>
      <c r="C3109" s="336" t="s">
        <v>813</v>
      </c>
      <c r="D3109" s="336" t="s">
        <v>946</v>
      </c>
      <c r="E3109" s="336" t="s">
        <v>947</v>
      </c>
    </row>
    <row r="3110" spans="1:5" x14ac:dyDescent="0.2">
      <c r="A3110" s="335">
        <v>1001348616</v>
      </c>
      <c r="B3110" s="336" t="s">
        <v>3542</v>
      </c>
      <c r="C3110" s="336" t="s">
        <v>813</v>
      </c>
      <c r="D3110" s="336" t="s">
        <v>946</v>
      </c>
      <c r="E3110" s="336" t="s">
        <v>947</v>
      </c>
    </row>
    <row r="3111" spans="1:5" x14ac:dyDescent="0.2">
      <c r="A3111" s="335">
        <v>1001348650</v>
      </c>
      <c r="B3111" s="336" t="s">
        <v>3543</v>
      </c>
      <c r="C3111" s="336" t="s">
        <v>813</v>
      </c>
      <c r="D3111" s="336" t="s">
        <v>946</v>
      </c>
      <c r="E3111" s="336" t="s">
        <v>947</v>
      </c>
    </row>
    <row r="3112" spans="1:5" x14ac:dyDescent="0.2">
      <c r="A3112" s="335">
        <v>1001348655</v>
      </c>
      <c r="B3112" s="336" t="s">
        <v>3544</v>
      </c>
      <c r="C3112" s="336" t="s">
        <v>813</v>
      </c>
      <c r="D3112" s="336" t="s">
        <v>946</v>
      </c>
      <c r="E3112" s="336" t="s">
        <v>947</v>
      </c>
    </row>
    <row r="3113" spans="1:5" x14ac:dyDescent="0.2">
      <c r="A3113" s="335">
        <v>1001348656</v>
      </c>
      <c r="B3113" s="336" t="s">
        <v>3545</v>
      </c>
      <c r="C3113" s="336" t="s">
        <v>813</v>
      </c>
      <c r="D3113" s="336" t="s">
        <v>946</v>
      </c>
      <c r="E3113" s="336" t="s">
        <v>947</v>
      </c>
    </row>
    <row r="3114" spans="1:5" x14ac:dyDescent="0.2">
      <c r="A3114" s="335">
        <v>1001348658</v>
      </c>
      <c r="B3114" s="336" t="s">
        <v>3546</v>
      </c>
      <c r="C3114" s="336" t="s">
        <v>813</v>
      </c>
      <c r="D3114" s="336" t="s">
        <v>946</v>
      </c>
      <c r="E3114" s="336" t="s">
        <v>947</v>
      </c>
    </row>
    <row r="3115" spans="1:5" x14ac:dyDescent="0.2">
      <c r="A3115" s="335">
        <v>1001348701</v>
      </c>
      <c r="B3115" s="336" t="s">
        <v>3547</v>
      </c>
      <c r="C3115" s="336" t="s">
        <v>813</v>
      </c>
      <c r="D3115" s="336" t="s">
        <v>946</v>
      </c>
      <c r="E3115" s="336" t="s">
        <v>947</v>
      </c>
    </row>
    <row r="3116" spans="1:5" x14ac:dyDescent="0.2">
      <c r="A3116" s="335">
        <v>1001348720</v>
      </c>
      <c r="B3116" s="336" t="s">
        <v>3548</v>
      </c>
      <c r="C3116" s="336" t="s">
        <v>813</v>
      </c>
      <c r="D3116" s="336" t="s">
        <v>946</v>
      </c>
      <c r="E3116" s="336" t="s">
        <v>947</v>
      </c>
    </row>
    <row r="3117" spans="1:5" x14ac:dyDescent="0.2">
      <c r="A3117" s="335">
        <v>1001348726</v>
      </c>
      <c r="B3117" s="336" t="s">
        <v>3549</v>
      </c>
      <c r="C3117" s="336" t="s">
        <v>813</v>
      </c>
      <c r="D3117" s="336" t="s">
        <v>946</v>
      </c>
      <c r="E3117" s="336" t="s">
        <v>947</v>
      </c>
    </row>
    <row r="3118" spans="1:5" x14ac:dyDescent="0.2">
      <c r="A3118" s="335">
        <v>1001348730</v>
      </c>
      <c r="B3118" s="336" t="s">
        <v>3550</v>
      </c>
      <c r="C3118" s="336" t="s">
        <v>813</v>
      </c>
      <c r="D3118" s="336" t="s">
        <v>946</v>
      </c>
      <c r="E3118" s="336" t="s">
        <v>947</v>
      </c>
    </row>
    <row r="3119" spans="1:5" x14ac:dyDescent="0.2">
      <c r="A3119" s="335">
        <v>1001348760</v>
      </c>
      <c r="B3119" s="336" t="s">
        <v>3380</v>
      </c>
      <c r="C3119" s="336" t="s">
        <v>813</v>
      </c>
      <c r="D3119" s="336" t="s">
        <v>946</v>
      </c>
      <c r="E3119" s="336" t="s">
        <v>947</v>
      </c>
    </row>
    <row r="3120" spans="1:5" x14ac:dyDescent="0.2">
      <c r="A3120" s="335">
        <v>1001348773</v>
      </c>
      <c r="B3120" s="336" t="s">
        <v>3551</v>
      </c>
      <c r="C3120" s="336" t="s">
        <v>813</v>
      </c>
      <c r="D3120" s="336" t="s">
        <v>946</v>
      </c>
      <c r="E3120" s="336" t="s">
        <v>947</v>
      </c>
    </row>
    <row r="3121" spans="1:5" x14ac:dyDescent="0.2">
      <c r="A3121" s="335">
        <v>1001348825</v>
      </c>
      <c r="B3121" s="336" t="s">
        <v>3552</v>
      </c>
      <c r="C3121" s="336" t="s">
        <v>813</v>
      </c>
      <c r="D3121" s="336" t="s">
        <v>946</v>
      </c>
      <c r="E3121" s="336" t="s">
        <v>947</v>
      </c>
    </row>
    <row r="3122" spans="1:5" x14ac:dyDescent="0.2">
      <c r="A3122" s="335">
        <v>1001348829</v>
      </c>
      <c r="B3122" s="336" t="s">
        <v>810</v>
      </c>
      <c r="C3122" s="336" t="s">
        <v>813</v>
      </c>
      <c r="D3122" s="336" t="s">
        <v>946</v>
      </c>
      <c r="E3122" s="336" t="s">
        <v>947</v>
      </c>
    </row>
    <row r="3123" spans="1:5" x14ac:dyDescent="0.2">
      <c r="A3123" s="335">
        <v>1001348833</v>
      </c>
      <c r="B3123" s="336" t="s">
        <v>3553</v>
      </c>
      <c r="C3123" s="336" t="s">
        <v>813</v>
      </c>
      <c r="D3123" s="336" t="s">
        <v>946</v>
      </c>
      <c r="E3123" s="336" t="s">
        <v>947</v>
      </c>
    </row>
    <row r="3124" spans="1:5" x14ac:dyDescent="0.2">
      <c r="A3124" s="335">
        <v>1001348835</v>
      </c>
      <c r="B3124" s="336" t="s">
        <v>3554</v>
      </c>
      <c r="C3124" s="336" t="s">
        <v>813</v>
      </c>
      <c r="D3124" s="336" t="s">
        <v>946</v>
      </c>
      <c r="E3124" s="336" t="s">
        <v>947</v>
      </c>
    </row>
    <row r="3125" spans="1:5" x14ac:dyDescent="0.2">
      <c r="A3125" s="335">
        <v>1001348851</v>
      </c>
      <c r="B3125" s="336" t="s">
        <v>3555</v>
      </c>
      <c r="C3125" s="336" t="s">
        <v>813</v>
      </c>
      <c r="D3125" s="336" t="s">
        <v>946</v>
      </c>
      <c r="E3125" s="336" t="s">
        <v>947</v>
      </c>
    </row>
    <row r="3126" spans="1:5" x14ac:dyDescent="0.2">
      <c r="A3126" s="335">
        <v>1001348855</v>
      </c>
      <c r="B3126" s="336" t="s">
        <v>3556</v>
      </c>
      <c r="C3126" s="336" t="s">
        <v>813</v>
      </c>
      <c r="D3126" s="336" t="s">
        <v>946</v>
      </c>
      <c r="E3126" s="336" t="s">
        <v>947</v>
      </c>
    </row>
    <row r="3127" spans="1:5" x14ac:dyDescent="0.2">
      <c r="A3127" s="335">
        <v>1001348857</v>
      </c>
      <c r="B3127" s="336" t="s">
        <v>3557</v>
      </c>
      <c r="C3127" s="336" t="s">
        <v>813</v>
      </c>
      <c r="D3127" s="336" t="s">
        <v>946</v>
      </c>
      <c r="E3127" s="336" t="s">
        <v>947</v>
      </c>
    </row>
    <row r="3128" spans="1:5" x14ac:dyDescent="0.2">
      <c r="A3128" s="335">
        <v>1001348859</v>
      </c>
      <c r="B3128" s="336" t="s">
        <v>1854</v>
      </c>
      <c r="C3128" s="336" t="s">
        <v>863</v>
      </c>
      <c r="D3128" s="336" t="s">
        <v>946</v>
      </c>
      <c r="E3128" s="336" t="s">
        <v>947</v>
      </c>
    </row>
    <row r="3129" spans="1:5" x14ac:dyDescent="0.2">
      <c r="A3129" s="335">
        <v>1001348860</v>
      </c>
      <c r="B3129" s="336" t="s">
        <v>1854</v>
      </c>
      <c r="C3129" s="336" t="s">
        <v>813</v>
      </c>
      <c r="D3129" s="336" t="s">
        <v>946</v>
      </c>
      <c r="E3129" s="336" t="s">
        <v>947</v>
      </c>
    </row>
    <row r="3130" spans="1:5" x14ac:dyDescent="0.2">
      <c r="A3130" s="335">
        <v>1001348861</v>
      </c>
      <c r="B3130" s="336" t="s">
        <v>1855</v>
      </c>
      <c r="C3130" s="336" t="s">
        <v>813</v>
      </c>
      <c r="D3130" s="336" t="s">
        <v>946</v>
      </c>
      <c r="E3130" s="336" t="s">
        <v>947</v>
      </c>
    </row>
    <row r="3131" spans="1:5" x14ac:dyDescent="0.2">
      <c r="A3131" s="335">
        <v>1001348862</v>
      </c>
      <c r="B3131" s="336" t="s">
        <v>3558</v>
      </c>
      <c r="C3131" s="336" t="s">
        <v>813</v>
      </c>
      <c r="D3131" s="336" t="s">
        <v>946</v>
      </c>
      <c r="E3131" s="336" t="s">
        <v>947</v>
      </c>
    </row>
    <row r="3132" spans="1:5" x14ac:dyDescent="0.2">
      <c r="A3132" s="335">
        <v>1001348863</v>
      </c>
      <c r="B3132" s="336" t="s">
        <v>3380</v>
      </c>
      <c r="C3132" s="336" t="s">
        <v>813</v>
      </c>
      <c r="D3132" s="336" t="s">
        <v>946</v>
      </c>
      <c r="E3132" s="336" t="s">
        <v>947</v>
      </c>
    </row>
    <row r="3133" spans="1:5" x14ac:dyDescent="0.2">
      <c r="A3133" s="335">
        <v>1001348864</v>
      </c>
      <c r="B3133" s="336" t="s">
        <v>3559</v>
      </c>
      <c r="C3133" s="336" t="s">
        <v>813</v>
      </c>
      <c r="D3133" s="336" t="s">
        <v>946</v>
      </c>
      <c r="E3133" s="336" t="s">
        <v>947</v>
      </c>
    </row>
    <row r="3134" spans="1:5" x14ac:dyDescent="0.2">
      <c r="A3134" s="335">
        <v>1001348865</v>
      </c>
      <c r="B3134" s="336" t="s">
        <v>3560</v>
      </c>
      <c r="C3134" s="336" t="s">
        <v>813</v>
      </c>
      <c r="D3134" s="336" t="s">
        <v>946</v>
      </c>
      <c r="E3134" s="336" t="s">
        <v>947</v>
      </c>
    </row>
    <row r="3135" spans="1:5" x14ac:dyDescent="0.2">
      <c r="A3135" s="335">
        <v>1001348866</v>
      </c>
      <c r="B3135" s="336" t="s">
        <v>3561</v>
      </c>
      <c r="C3135" s="336" t="s">
        <v>863</v>
      </c>
      <c r="D3135" s="336" t="s">
        <v>946</v>
      </c>
      <c r="E3135" s="336" t="s">
        <v>947</v>
      </c>
    </row>
    <row r="3136" spans="1:5" x14ac:dyDescent="0.2">
      <c r="A3136" s="335">
        <v>1001348945</v>
      </c>
      <c r="B3136" s="336" t="s">
        <v>3562</v>
      </c>
      <c r="C3136" s="336" t="s">
        <v>813</v>
      </c>
      <c r="D3136" s="336" t="s">
        <v>946</v>
      </c>
      <c r="E3136" s="336" t="s">
        <v>947</v>
      </c>
    </row>
    <row r="3137" spans="1:5" x14ac:dyDescent="0.2">
      <c r="A3137" s="335">
        <v>1001348946</v>
      </c>
      <c r="B3137" s="336" t="s">
        <v>3563</v>
      </c>
      <c r="C3137" s="336" t="s">
        <v>813</v>
      </c>
      <c r="D3137" s="336" t="s">
        <v>946</v>
      </c>
      <c r="E3137" s="336" t="s">
        <v>947</v>
      </c>
    </row>
    <row r="3138" spans="1:5" x14ac:dyDescent="0.2">
      <c r="A3138" s="335">
        <v>1001348947</v>
      </c>
      <c r="B3138" s="336" t="s">
        <v>3564</v>
      </c>
      <c r="C3138" s="336" t="s">
        <v>813</v>
      </c>
      <c r="D3138" s="336" t="s">
        <v>946</v>
      </c>
      <c r="E3138" s="336" t="s">
        <v>947</v>
      </c>
    </row>
    <row r="3139" spans="1:5" x14ac:dyDescent="0.2">
      <c r="A3139" s="335">
        <v>1001348948</v>
      </c>
      <c r="B3139" s="336" t="s">
        <v>3565</v>
      </c>
      <c r="C3139" s="336" t="s">
        <v>813</v>
      </c>
      <c r="D3139" s="336" t="s">
        <v>946</v>
      </c>
      <c r="E3139" s="336" t="s">
        <v>947</v>
      </c>
    </row>
    <row r="3140" spans="1:5" x14ac:dyDescent="0.2">
      <c r="A3140" s="335">
        <v>1001348949</v>
      </c>
      <c r="B3140" s="336" t="s">
        <v>3566</v>
      </c>
      <c r="C3140" s="336" t="s">
        <v>813</v>
      </c>
      <c r="D3140" s="336" t="s">
        <v>946</v>
      </c>
      <c r="E3140" s="336" t="s">
        <v>947</v>
      </c>
    </row>
    <row r="3141" spans="1:5" x14ac:dyDescent="0.2">
      <c r="A3141" s="335">
        <v>1001348950</v>
      </c>
      <c r="B3141" s="336" t="s">
        <v>3566</v>
      </c>
      <c r="C3141" s="336" t="s">
        <v>813</v>
      </c>
      <c r="D3141" s="336" t="s">
        <v>946</v>
      </c>
      <c r="E3141" s="336" t="s">
        <v>947</v>
      </c>
    </row>
    <row r="3142" spans="1:5" x14ac:dyDescent="0.2">
      <c r="A3142" s="335">
        <v>1001348951</v>
      </c>
      <c r="B3142" s="336" t="s">
        <v>3564</v>
      </c>
      <c r="C3142" s="336" t="s">
        <v>813</v>
      </c>
      <c r="D3142" s="336" t="s">
        <v>946</v>
      </c>
      <c r="E3142" s="336" t="s">
        <v>947</v>
      </c>
    </row>
    <row r="3143" spans="1:5" x14ac:dyDescent="0.2">
      <c r="A3143" s="335">
        <v>1001348952</v>
      </c>
      <c r="B3143" s="336" t="s">
        <v>3567</v>
      </c>
      <c r="C3143" s="336" t="s">
        <v>813</v>
      </c>
      <c r="D3143" s="336" t="s">
        <v>946</v>
      </c>
      <c r="E3143" s="336" t="s">
        <v>947</v>
      </c>
    </row>
    <row r="3144" spans="1:5" x14ac:dyDescent="0.2">
      <c r="A3144" s="335">
        <v>1001348953</v>
      </c>
      <c r="B3144" s="336" t="s">
        <v>3568</v>
      </c>
      <c r="C3144" s="336" t="s">
        <v>813</v>
      </c>
      <c r="D3144" s="336" t="s">
        <v>946</v>
      </c>
      <c r="E3144" s="336" t="s">
        <v>947</v>
      </c>
    </row>
    <row r="3145" spans="1:5" x14ac:dyDescent="0.2">
      <c r="A3145" s="335">
        <v>1001348954</v>
      </c>
      <c r="B3145" s="336" t="s">
        <v>3569</v>
      </c>
      <c r="C3145" s="336" t="s">
        <v>813</v>
      </c>
      <c r="D3145" s="336" t="s">
        <v>946</v>
      </c>
      <c r="E3145" s="336" t="s">
        <v>947</v>
      </c>
    </row>
    <row r="3146" spans="1:5" x14ac:dyDescent="0.2">
      <c r="A3146" s="335">
        <v>1001348955</v>
      </c>
      <c r="B3146" s="336" t="s">
        <v>945</v>
      </c>
      <c r="C3146" s="336" t="s">
        <v>813</v>
      </c>
      <c r="D3146" s="336" t="s">
        <v>946</v>
      </c>
      <c r="E3146" s="336" t="s">
        <v>947</v>
      </c>
    </row>
    <row r="3147" spans="1:5" x14ac:dyDescent="0.2">
      <c r="A3147" s="335">
        <v>1001348956</v>
      </c>
      <c r="B3147" s="336" t="s">
        <v>3570</v>
      </c>
      <c r="C3147" s="336" t="s">
        <v>813</v>
      </c>
      <c r="D3147" s="336" t="s">
        <v>946</v>
      </c>
      <c r="E3147" s="336" t="s">
        <v>947</v>
      </c>
    </row>
    <row r="3148" spans="1:5" x14ac:dyDescent="0.2">
      <c r="A3148" s="335">
        <v>1001348957</v>
      </c>
      <c r="B3148" s="336" t="s">
        <v>3571</v>
      </c>
      <c r="C3148" s="336" t="s">
        <v>813</v>
      </c>
      <c r="D3148" s="336" t="s">
        <v>946</v>
      </c>
      <c r="E3148" s="336" t="s">
        <v>947</v>
      </c>
    </row>
    <row r="3149" spans="1:5" x14ac:dyDescent="0.2">
      <c r="A3149" s="335">
        <v>1001348958</v>
      </c>
      <c r="B3149" s="336" t="s">
        <v>3572</v>
      </c>
      <c r="C3149" s="336" t="s">
        <v>813</v>
      </c>
      <c r="D3149" s="336" t="s">
        <v>946</v>
      </c>
      <c r="E3149" s="336" t="s">
        <v>947</v>
      </c>
    </row>
    <row r="3150" spans="1:5" x14ac:dyDescent="0.2">
      <c r="A3150" s="335">
        <v>1001348959</v>
      </c>
      <c r="B3150" s="336" t="s">
        <v>3573</v>
      </c>
      <c r="C3150" s="336" t="s">
        <v>813</v>
      </c>
      <c r="D3150" s="336" t="s">
        <v>946</v>
      </c>
      <c r="E3150" s="336" t="s">
        <v>947</v>
      </c>
    </row>
    <row r="3151" spans="1:5" x14ac:dyDescent="0.2">
      <c r="A3151" s="335">
        <v>1001348970</v>
      </c>
      <c r="B3151" s="336" t="s">
        <v>3574</v>
      </c>
      <c r="C3151" s="336" t="s">
        <v>813</v>
      </c>
      <c r="D3151" s="336" t="s">
        <v>946</v>
      </c>
      <c r="E3151" s="336" t="s">
        <v>947</v>
      </c>
    </row>
    <row r="3152" spans="1:5" x14ac:dyDescent="0.2">
      <c r="A3152" s="335">
        <v>1001348971</v>
      </c>
      <c r="B3152" s="336" t="s">
        <v>3575</v>
      </c>
      <c r="C3152" s="336" t="s">
        <v>813</v>
      </c>
      <c r="D3152" s="336" t="s">
        <v>946</v>
      </c>
      <c r="E3152" s="336" t="s">
        <v>947</v>
      </c>
    </row>
    <row r="3153" spans="1:5" x14ac:dyDescent="0.2">
      <c r="A3153" s="335">
        <v>1001348972</v>
      </c>
      <c r="B3153" s="336" t="s">
        <v>3576</v>
      </c>
      <c r="C3153" s="336" t="s">
        <v>813</v>
      </c>
      <c r="D3153" s="336" t="s">
        <v>946</v>
      </c>
      <c r="E3153" s="336" t="s">
        <v>947</v>
      </c>
    </row>
    <row r="3154" spans="1:5" x14ac:dyDescent="0.2">
      <c r="A3154" s="335">
        <v>1001348973</v>
      </c>
      <c r="B3154" s="336" t="s">
        <v>3577</v>
      </c>
      <c r="C3154" s="336" t="s">
        <v>863</v>
      </c>
      <c r="D3154" s="336" t="s">
        <v>946</v>
      </c>
      <c r="E3154" s="336" t="s">
        <v>947</v>
      </c>
    </row>
    <row r="3155" spans="1:5" x14ac:dyDescent="0.2">
      <c r="A3155" s="335">
        <v>1001348975</v>
      </c>
      <c r="B3155" s="336" t="s">
        <v>3578</v>
      </c>
      <c r="C3155" s="336" t="s">
        <v>813</v>
      </c>
      <c r="D3155" s="336" t="s">
        <v>946</v>
      </c>
      <c r="E3155" s="336" t="s">
        <v>947</v>
      </c>
    </row>
    <row r="3156" spans="1:5" x14ac:dyDescent="0.2">
      <c r="A3156" s="335">
        <v>1001348979</v>
      </c>
      <c r="B3156" s="336" t="s">
        <v>3579</v>
      </c>
      <c r="C3156" s="336" t="s">
        <v>813</v>
      </c>
      <c r="D3156" s="336" t="s">
        <v>946</v>
      </c>
      <c r="E3156" s="336" t="s">
        <v>947</v>
      </c>
    </row>
    <row r="3157" spans="1:5" x14ac:dyDescent="0.2">
      <c r="A3157" s="335">
        <v>1001348980</v>
      </c>
      <c r="B3157" s="336" t="s">
        <v>3580</v>
      </c>
      <c r="C3157" s="336" t="s">
        <v>813</v>
      </c>
      <c r="D3157" s="336" t="s">
        <v>946</v>
      </c>
      <c r="E3157" s="336" t="s">
        <v>947</v>
      </c>
    </row>
    <row r="3158" spans="1:5" x14ac:dyDescent="0.2">
      <c r="A3158" s="335">
        <v>1001348981</v>
      </c>
      <c r="B3158" s="336" t="s">
        <v>3581</v>
      </c>
      <c r="C3158" s="336" t="s">
        <v>813</v>
      </c>
      <c r="D3158" s="336" t="s">
        <v>946</v>
      </c>
      <c r="E3158" s="336" t="s">
        <v>947</v>
      </c>
    </row>
    <row r="3159" spans="1:5" x14ac:dyDescent="0.2">
      <c r="A3159" s="335">
        <v>1001348984</v>
      </c>
      <c r="B3159" s="336" t="s">
        <v>3582</v>
      </c>
      <c r="C3159" s="336" t="s">
        <v>813</v>
      </c>
      <c r="D3159" s="336" t="s">
        <v>946</v>
      </c>
      <c r="E3159" s="336" t="s">
        <v>947</v>
      </c>
    </row>
    <row r="3160" spans="1:5" x14ac:dyDescent="0.2">
      <c r="A3160" s="335">
        <v>1001349066</v>
      </c>
      <c r="B3160" s="336" t="s">
        <v>3583</v>
      </c>
      <c r="C3160" s="336" t="s">
        <v>813</v>
      </c>
      <c r="D3160" s="336" t="s">
        <v>946</v>
      </c>
      <c r="E3160" s="336" t="s">
        <v>947</v>
      </c>
    </row>
    <row r="3161" spans="1:5" x14ac:dyDescent="0.2">
      <c r="A3161" s="335">
        <v>1001349067</v>
      </c>
      <c r="B3161" s="336" t="s">
        <v>1141</v>
      </c>
      <c r="C3161" s="336" t="s">
        <v>813</v>
      </c>
      <c r="D3161" s="336" t="s">
        <v>946</v>
      </c>
      <c r="E3161" s="336" t="s">
        <v>947</v>
      </c>
    </row>
    <row r="3162" spans="1:5" x14ac:dyDescent="0.2">
      <c r="A3162" s="335">
        <v>1001349104</v>
      </c>
      <c r="B3162" s="336" t="s">
        <v>3584</v>
      </c>
      <c r="C3162" s="336" t="s">
        <v>813</v>
      </c>
      <c r="D3162" s="336" t="s">
        <v>946</v>
      </c>
      <c r="E3162" s="336" t="s">
        <v>947</v>
      </c>
    </row>
    <row r="3163" spans="1:5" x14ac:dyDescent="0.2">
      <c r="A3163" s="335">
        <v>1001349107</v>
      </c>
      <c r="B3163" s="336" t="s">
        <v>3585</v>
      </c>
      <c r="C3163" s="336" t="s">
        <v>813</v>
      </c>
      <c r="D3163" s="336" t="s">
        <v>946</v>
      </c>
      <c r="E3163" s="336" t="s">
        <v>947</v>
      </c>
    </row>
    <row r="3164" spans="1:5" x14ac:dyDescent="0.2">
      <c r="A3164" s="335">
        <v>1001349109</v>
      </c>
      <c r="B3164" s="336" t="s">
        <v>1074</v>
      </c>
      <c r="C3164" s="336" t="s">
        <v>813</v>
      </c>
      <c r="D3164" s="336" t="s">
        <v>946</v>
      </c>
      <c r="E3164" s="336" t="s">
        <v>947</v>
      </c>
    </row>
    <row r="3165" spans="1:5" x14ac:dyDescent="0.2">
      <c r="A3165" s="335">
        <v>1001349111</v>
      </c>
      <c r="B3165" s="336" t="s">
        <v>3586</v>
      </c>
      <c r="C3165" s="336" t="s">
        <v>813</v>
      </c>
      <c r="D3165" s="336" t="s">
        <v>946</v>
      </c>
      <c r="E3165" s="336" t="s">
        <v>947</v>
      </c>
    </row>
    <row r="3166" spans="1:5" x14ac:dyDescent="0.2">
      <c r="A3166" s="335">
        <v>1001349137</v>
      </c>
      <c r="B3166" s="336" t="s">
        <v>3587</v>
      </c>
      <c r="C3166" s="336" t="s">
        <v>813</v>
      </c>
      <c r="D3166" s="336" t="s">
        <v>946</v>
      </c>
      <c r="E3166" s="336" t="s">
        <v>947</v>
      </c>
    </row>
    <row r="3167" spans="1:5" x14ac:dyDescent="0.2">
      <c r="A3167" s="335">
        <v>1001349141</v>
      </c>
      <c r="B3167" s="336" t="s">
        <v>3588</v>
      </c>
      <c r="C3167" s="336" t="s">
        <v>813</v>
      </c>
      <c r="D3167" s="336" t="s">
        <v>946</v>
      </c>
      <c r="E3167" s="336" t="s">
        <v>947</v>
      </c>
    </row>
    <row r="3168" spans="1:5" x14ac:dyDescent="0.2">
      <c r="A3168" s="335">
        <v>1001349143</v>
      </c>
      <c r="B3168" s="336" t="s">
        <v>1294</v>
      </c>
      <c r="C3168" s="336" t="s">
        <v>813</v>
      </c>
      <c r="D3168" s="336" t="s">
        <v>946</v>
      </c>
      <c r="E3168" s="336" t="s">
        <v>947</v>
      </c>
    </row>
    <row r="3169" spans="1:5" x14ac:dyDescent="0.2">
      <c r="A3169" s="335">
        <v>1001349148</v>
      </c>
      <c r="B3169" s="336" t="s">
        <v>3589</v>
      </c>
      <c r="C3169" s="336" t="s">
        <v>813</v>
      </c>
      <c r="D3169" s="336" t="s">
        <v>946</v>
      </c>
      <c r="E3169" s="336" t="s">
        <v>947</v>
      </c>
    </row>
    <row r="3170" spans="1:5" x14ac:dyDescent="0.2">
      <c r="A3170" s="335">
        <v>1001349157</v>
      </c>
      <c r="B3170" s="336" t="s">
        <v>3590</v>
      </c>
      <c r="C3170" s="336" t="s">
        <v>813</v>
      </c>
      <c r="D3170" s="336" t="s">
        <v>946</v>
      </c>
      <c r="E3170" s="336" t="s">
        <v>947</v>
      </c>
    </row>
    <row r="3171" spans="1:5" x14ac:dyDescent="0.2">
      <c r="A3171" s="335">
        <v>1001349167</v>
      </c>
      <c r="B3171" s="336" t="s">
        <v>3591</v>
      </c>
      <c r="C3171" s="336" t="s">
        <v>813</v>
      </c>
      <c r="D3171" s="336" t="s">
        <v>946</v>
      </c>
      <c r="E3171" s="336" t="s">
        <v>947</v>
      </c>
    </row>
    <row r="3172" spans="1:5" x14ac:dyDescent="0.2">
      <c r="A3172" s="335">
        <v>1001349210</v>
      </c>
      <c r="B3172" s="336" t="s">
        <v>3592</v>
      </c>
      <c r="C3172" s="336" t="s">
        <v>813</v>
      </c>
      <c r="D3172" s="336" t="s">
        <v>946</v>
      </c>
      <c r="E3172" s="336" t="s">
        <v>947</v>
      </c>
    </row>
    <row r="3173" spans="1:5" x14ac:dyDescent="0.2">
      <c r="A3173" s="335">
        <v>1001349214</v>
      </c>
      <c r="B3173" s="336" t="s">
        <v>3593</v>
      </c>
      <c r="C3173" s="336" t="s">
        <v>813</v>
      </c>
      <c r="D3173" s="336" t="s">
        <v>946</v>
      </c>
      <c r="E3173" s="336" t="s">
        <v>947</v>
      </c>
    </row>
    <row r="3174" spans="1:5" x14ac:dyDescent="0.2">
      <c r="A3174" s="335">
        <v>1001349220</v>
      </c>
      <c r="B3174" s="336" t="s">
        <v>3594</v>
      </c>
      <c r="C3174" s="336" t="s">
        <v>813</v>
      </c>
      <c r="D3174" s="336" t="s">
        <v>946</v>
      </c>
      <c r="E3174" s="336" t="s">
        <v>947</v>
      </c>
    </row>
    <row r="3175" spans="1:5" x14ac:dyDescent="0.2">
      <c r="A3175" s="335">
        <v>1001349260</v>
      </c>
      <c r="B3175" s="336" t="s">
        <v>3595</v>
      </c>
      <c r="C3175" s="336" t="s">
        <v>813</v>
      </c>
      <c r="D3175" s="336" t="s">
        <v>946</v>
      </c>
      <c r="E3175" s="336" t="s">
        <v>947</v>
      </c>
    </row>
    <row r="3176" spans="1:5" x14ac:dyDescent="0.2">
      <c r="A3176" s="335">
        <v>1001349287</v>
      </c>
      <c r="B3176" s="336" t="s">
        <v>3596</v>
      </c>
      <c r="C3176" s="336" t="s">
        <v>813</v>
      </c>
      <c r="D3176" s="336" t="s">
        <v>946</v>
      </c>
      <c r="E3176" s="336" t="s">
        <v>947</v>
      </c>
    </row>
    <row r="3177" spans="1:5" x14ac:dyDescent="0.2">
      <c r="A3177" s="335">
        <v>1001349302</v>
      </c>
      <c r="B3177" s="336" t="s">
        <v>3597</v>
      </c>
      <c r="C3177" s="336" t="s">
        <v>863</v>
      </c>
      <c r="D3177" s="336" t="s">
        <v>946</v>
      </c>
      <c r="E3177" s="336" t="s">
        <v>947</v>
      </c>
    </row>
    <row r="3178" spans="1:5" x14ac:dyDescent="0.2">
      <c r="A3178" s="335">
        <v>1001349307</v>
      </c>
      <c r="B3178" s="336" t="s">
        <v>3597</v>
      </c>
      <c r="C3178" s="336" t="s">
        <v>813</v>
      </c>
      <c r="D3178" s="336" t="s">
        <v>946</v>
      </c>
      <c r="E3178" s="336" t="s">
        <v>947</v>
      </c>
    </row>
    <row r="3179" spans="1:5" x14ac:dyDescent="0.2">
      <c r="A3179" s="335">
        <v>1001349309</v>
      </c>
      <c r="B3179" s="336" t="s">
        <v>3598</v>
      </c>
      <c r="C3179" s="336" t="s">
        <v>813</v>
      </c>
      <c r="D3179" s="336" t="s">
        <v>946</v>
      </c>
      <c r="E3179" s="336" t="s">
        <v>947</v>
      </c>
    </row>
    <row r="3180" spans="1:5" x14ac:dyDescent="0.2">
      <c r="A3180" s="335">
        <v>1001349320</v>
      </c>
      <c r="B3180" s="336" t="s">
        <v>3599</v>
      </c>
      <c r="C3180" s="336" t="s">
        <v>813</v>
      </c>
      <c r="D3180" s="336" t="s">
        <v>946</v>
      </c>
      <c r="E3180" s="336" t="s">
        <v>947</v>
      </c>
    </row>
    <row r="3181" spans="1:5" x14ac:dyDescent="0.2">
      <c r="A3181" s="335">
        <v>1001349321</v>
      </c>
      <c r="B3181" s="336" t="s">
        <v>3600</v>
      </c>
      <c r="C3181" s="336" t="s">
        <v>813</v>
      </c>
      <c r="D3181" s="336" t="s">
        <v>946</v>
      </c>
      <c r="E3181" s="336" t="s">
        <v>947</v>
      </c>
    </row>
    <row r="3182" spans="1:5" x14ac:dyDescent="0.2">
      <c r="A3182" s="335">
        <v>1001349324</v>
      </c>
      <c r="B3182" s="336" t="s">
        <v>3601</v>
      </c>
      <c r="C3182" s="336" t="s">
        <v>813</v>
      </c>
      <c r="D3182" s="336" t="s">
        <v>946</v>
      </c>
      <c r="E3182" s="336" t="s">
        <v>947</v>
      </c>
    </row>
    <row r="3183" spans="1:5" x14ac:dyDescent="0.2">
      <c r="A3183" s="335">
        <v>1001349326</v>
      </c>
      <c r="B3183" s="336" t="s">
        <v>3602</v>
      </c>
      <c r="C3183" s="336" t="s">
        <v>813</v>
      </c>
      <c r="D3183" s="336" t="s">
        <v>946</v>
      </c>
      <c r="E3183" s="336" t="s">
        <v>947</v>
      </c>
    </row>
    <row r="3184" spans="1:5" x14ac:dyDescent="0.2">
      <c r="A3184" s="335">
        <v>1001349328</v>
      </c>
      <c r="B3184" s="336" t="s">
        <v>3603</v>
      </c>
      <c r="C3184" s="336" t="s">
        <v>813</v>
      </c>
      <c r="D3184" s="336" t="s">
        <v>946</v>
      </c>
      <c r="E3184" s="336" t="s">
        <v>947</v>
      </c>
    </row>
    <row r="3185" spans="1:5" x14ac:dyDescent="0.2">
      <c r="A3185" s="335">
        <v>1001349332</v>
      </c>
      <c r="B3185" s="336" t="s">
        <v>3604</v>
      </c>
      <c r="C3185" s="336" t="s">
        <v>863</v>
      </c>
      <c r="D3185" s="336" t="s">
        <v>946</v>
      </c>
      <c r="E3185" s="336" t="s">
        <v>947</v>
      </c>
    </row>
    <row r="3186" spans="1:5" x14ac:dyDescent="0.2">
      <c r="A3186" s="335">
        <v>1001349364</v>
      </c>
      <c r="B3186" s="336" t="s">
        <v>3605</v>
      </c>
      <c r="C3186" s="336" t="s">
        <v>813</v>
      </c>
      <c r="D3186" s="336" t="s">
        <v>946</v>
      </c>
      <c r="E3186" s="336" t="s">
        <v>947</v>
      </c>
    </row>
    <row r="3187" spans="1:5" x14ac:dyDescent="0.2">
      <c r="A3187" s="335">
        <v>1001349365</v>
      </c>
      <c r="B3187" s="336" t="s">
        <v>3606</v>
      </c>
      <c r="C3187" s="336" t="s">
        <v>813</v>
      </c>
      <c r="D3187" s="336" t="s">
        <v>946</v>
      </c>
      <c r="E3187" s="336" t="s">
        <v>947</v>
      </c>
    </row>
    <row r="3188" spans="1:5" x14ac:dyDescent="0.2">
      <c r="A3188" s="335">
        <v>1001349367</v>
      </c>
      <c r="B3188" s="336" t="s">
        <v>3607</v>
      </c>
      <c r="C3188" s="336" t="s">
        <v>813</v>
      </c>
      <c r="D3188" s="336" t="s">
        <v>946</v>
      </c>
      <c r="E3188" s="336" t="s">
        <v>947</v>
      </c>
    </row>
    <row r="3189" spans="1:5" x14ac:dyDescent="0.2">
      <c r="A3189" s="335">
        <v>1001349368</v>
      </c>
      <c r="B3189" s="336" t="s">
        <v>3608</v>
      </c>
      <c r="C3189" s="336" t="s">
        <v>813</v>
      </c>
      <c r="D3189" s="336" t="s">
        <v>946</v>
      </c>
      <c r="E3189" s="336" t="s">
        <v>947</v>
      </c>
    </row>
    <row r="3190" spans="1:5" x14ac:dyDescent="0.2">
      <c r="A3190" s="335">
        <v>1001349371</v>
      </c>
      <c r="B3190" s="336" t="s">
        <v>3609</v>
      </c>
      <c r="C3190" s="336" t="s">
        <v>813</v>
      </c>
      <c r="D3190" s="336" t="s">
        <v>946</v>
      </c>
      <c r="E3190" s="336" t="s">
        <v>947</v>
      </c>
    </row>
    <row r="3191" spans="1:5" x14ac:dyDescent="0.2">
      <c r="A3191" s="335">
        <v>1001349377</v>
      </c>
      <c r="B3191" s="336" t="s">
        <v>3589</v>
      </c>
      <c r="C3191" s="336" t="s">
        <v>813</v>
      </c>
      <c r="D3191" s="336" t="s">
        <v>946</v>
      </c>
      <c r="E3191" s="336" t="s">
        <v>947</v>
      </c>
    </row>
    <row r="3192" spans="1:5" x14ac:dyDescent="0.2">
      <c r="A3192" s="335">
        <v>1001349379</v>
      </c>
      <c r="B3192" s="336" t="s">
        <v>3610</v>
      </c>
      <c r="C3192" s="336" t="s">
        <v>813</v>
      </c>
      <c r="D3192" s="336" t="s">
        <v>946</v>
      </c>
      <c r="E3192" s="336" t="s">
        <v>947</v>
      </c>
    </row>
    <row r="3193" spans="1:5" x14ac:dyDescent="0.2">
      <c r="A3193" s="335">
        <v>1001349380</v>
      </c>
      <c r="B3193" s="336" t="s">
        <v>3611</v>
      </c>
      <c r="C3193" s="336" t="s">
        <v>813</v>
      </c>
      <c r="D3193" s="336" t="s">
        <v>946</v>
      </c>
      <c r="E3193" s="336" t="s">
        <v>947</v>
      </c>
    </row>
    <row r="3194" spans="1:5" x14ac:dyDescent="0.2">
      <c r="A3194" s="335">
        <v>1001349381</v>
      </c>
      <c r="B3194" s="336" t="s">
        <v>3612</v>
      </c>
      <c r="C3194" s="336" t="s">
        <v>813</v>
      </c>
      <c r="D3194" s="336" t="s">
        <v>946</v>
      </c>
      <c r="E3194" s="336" t="s">
        <v>947</v>
      </c>
    </row>
    <row r="3195" spans="1:5" x14ac:dyDescent="0.2">
      <c r="A3195" s="335">
        <v>1001349384</v>
      </c>
      <c r="B3195" s="336" t="s">
        <v>3613</v>
      </c>
      <c r="C3195" s="336" t="s">
        <v>813</v>
      </c>
      <c r="D3195" s="336" t="s">
        <v>946</v>
      </c>
      <c r="E3195" s="336" t="s">
        <v>947</v>
      </c>
    </row>
    <row r="3196" spans="1:5" x14ac:dyDescent="0.2">
      <c r="A3196" s="335">
        <v>1001349393</v>
      </c>
      <c r="B3196" s="336" t="s">
        <v>3614</v>
      </c>
      <c r="C3196" s="336" t="s">
        <v>813</v>
      </c>
      <c r="D3196" s="336" t="s">
        <v>946</v>
      </c>
      <c r="E3196" s="336" t="s">
        <v>947</v>
      </c>
    </row>
    <row r="3197" spans="1:5" x14ac:dyDescent="0.2">
      <c r="A3197" s="335">
        <v>1001349398</v>
      </c>
      <c r="B3197" s="336" t="s">
        <v>3615</v>
      </c>
      <c r="C3197" s="336" t="s">
        <v>813</v>
      </c>
      <c r="D3197" s="336" t="s">
        <v>946</v>
      </c>
      <c r="E3197" s="336" t="s">
        <v>947</v>
      </c>
    </row>
    <row r="3198" spans="1:5" x14ac:dyDescent="0.2">
      <c r="A3198" s="335">
        <v>1001349422</v>
      </c>
      <c r="B3198" s="336" t="s">
        <v>3616</v>
      </c>
      <c r="C3198" s="336" t="s">
        <v>813</v>
      </c>
      <c r="D3198" s="336" t="s">
        <v>946</v>
      </c>
      <c r="E3198" s="336" t="s">
        <v>947</v>
      </c>
    </row>
    <row r="3199" spans="1:5" x14ac:dyDescent="0.2">
      <c r="A3199" s="335">
        <v>1001349426</v>
      </c>
      <c r="B3199" s="336" t="s">
        <v>3617</v>
      </c>
      <c r="C3199" s="336" t="s">
        <v>863</v>
      </c>
      <c r="D3199" s="336" t="s">
        <v>946</v>
      </c>
      <c r="E3199" s="336" t="s">
        <v>947</v>
      </c>
    </row>
    <row r="3200" spans="1:5" x14ac:dyDescent="0.2">
      <c r="A3200" s="335">
        <v>1001349448</v>
      </c>
      <c r="B3200" s="336" t="s">
        <v>3618</v>
      </c>
      <c r="C3200" s="336" t="s">
        <v>813</v>
      </c>
      <c r="D3200" s="336" t="s">
        <v>946</v>
      </c>
      <c r="E3200" s="336" t="s">
        <v>947</v>
      </c>
    </row>
    <row r="3201" spans="1:5" x14ac:dyDescent="0.2">
      <c r="A3201" s="335">
        <v>1001349449</v>
      </c>
      <c r="B3201" s="336" t="s">
        <v>3619</v>
      </c>
      <c r="C3201" s="336" t="s">
        <v>813</v>
      </c>
      <c r="D3201" s="336" t="s">
        <v>946</v>
      </c>
      <c r="E3201" s="336" t="s">
        <v>947</v>
      </c>
    </row>
    <row r="3202" spans="1:5" x14ac:dyDescent="0.2">
      <c r="A3202" s="335">
        <v>1001349480</v>
      </c>
      <c r="B3202" s="336" t="s">
        <v>3620</v>
      </c>
      <c r="C3202" s="336" t="s">
        <v>813</v>
      </c>
      <c r="D3202" s="336" t="s">
        <v>946</v>
      </c>
      <c r="E3202" s="336" t="s">
        <v>947</v>
      </c>
    </row>
    <row r="3203" spans="1:5" x14ac:dyDescent="0.2">
      <c r="A3203" s="335">
        <v>1001349483</v>
      </c>
      <c r="B3203" s="336" t="s">
        <v>3621</v>
      </c>
      <c r="C3203" s="336" t="s">
        <v>813</v>
      </c>
      <c r="D3203" s="336" t="s">
        <v>946</v>
      </c>
      <c r="E3203" s="336" t="s">
        <v>947</v>
      </c>
    </row>
    <row r="3204" spans="1:5" x14ac:dyDescent="0.2">
      <c r="A3204" s="335">
        <v>1001349487</v>
      </c>
      <c r="B3204" s="336" t="s">
        <v>3577</v>
      </c>
      <c r="C3204" s="336" t="s">
        <v>813</v>
      </c>
      <c r="D3204" s="336" t="s">
        <v>946</v>
      </c>
      <c r="E3204" s="336" t="s">
        <v>947</v>
      </c>
    </row>
    <row r="3205" spans="1:5" x14ac:dyDescent="0.2">
      <c r="A3205" s="335">
        <v>1001349501</v>
      </c>
      <c r="B3205" s="336" t="s">
        <v>3622</v>
      </c>
      <c r="C3205" s="336" t="s">
        <v>863</v>
      </c>
      <c r="D3205" s="336" t="s">
        <v>946</v>
      </c>
      <c r="E3205" s="336" t="s">
        <v>947</v>
      </c>
    </row>
    <row r="3206" spans="1:5" x14ac:dyDescent="0.2">
      <c r="A3206" s="335">
        <v>1001349530</v>
      </c>
      <c r="B3206" s="336" t="s">
        <v>3623</v>
      </c>
      <c r="C3206" s="336" t="s">
        <v>813</v>
      </c>
      <c r="D3206" s="336" t="s">
        <v>946</v>
      </c>
      <c r="E3206" s="336" t="s">
        <v>947</v>
      </c>
    </row>
    <row r="3207" spans="1:5" x14ac:dyDescent="0.2">
      <c r="A3207" s="335">
        <v>1001349531</v>
      </c>
      <c r="B3207" s="336" t="s">
        <v>3624</v>
      </c>
      <c r="C3207" s="336" t="s">
        <v>863</v>
      </c>
      <c r="D3207" s="336" t="s">
        <v>946</v>
      </c>
      <c r="E3207" s="336" t="s">
        <v>947</v>
      </c>
    </row>
    <row r="3208" spans="1:5" x14ac:dyDescent="0.2">
      <c r="A3208" s="335">
        <v>1001349532</v>
      </c>
      <c r="B3208" s="336" t="s">
        <v>3625</v>
      </c>
      <c r="C3208" s="336" t="s">
        <v>813</v>
      </c>
      <c r="D3208" s="336" t="s">
        <v>946</v>
      </c>
      <c r="E3208" s="336" t="s">
        <v>947</v>
      </c>
    </row>
    <row r="3209" spans="1:5" x14ac:dyDescent="0.2">
      <c r="A3209" s="335">
        <v>1001349542</v>
      </c>
      <c r="B3209" s="336" t="s">
        <v>3626</v>
      </c>
      <c r="C3209" s="336" t="s">
        <v>813</v>
      </c>
      <c r="D3209" s="336" t="s">
        <v>946</v>
      </c>
      <c r="E3209" s="336" t="s">
        <v>947</v>
      </c>
    </row>
    <row r="3210" spans="1:5" x14ac:dyDescent="0.2">
      <c r="A3210" s="335">
        <v>1001349543</v>
      </c>
      <c r="B3210" s="336" t="s">
        <v>3627</v>
      </c>
      <c r="C3210" s="336" t="s">
        <v>813</v>
      </c>
      <c r="D3210" s="336" t="s">
        <v>946</v>
      </c>
      <c r="E3210" s="336" t="s">
        <v>947</v>
      </c>
    </row>
    <row r="3211" spans="1:5" x14ac:dyDescent="0.2">
      <c r="A3211" s="335">
        <v>1001349548</v>
      </c>
      <c r="B3211" s="336" t="s">
        <v>3624</v>
      </c>
      <c r="C3211" s="336" t="s">
        <v>813</v>
      </c>
      <c r="D3211" s="336" t="s">
        <v>946</v>
      </c>
      <c r="E3211" s="336" t="s">
        <v>947</v>
      </c>
    </row>
    <row r="3212" spans="1:5" x14ac:dyDescent="0.2">
      <c r="A3212" s="335">
        <v>1001349549</v>
      </c>
      <c r="B3212" s="336" t="s">
        <v>3628</v>
      </c>
      <c r="C3212" s="336" t="s">
        <v>813</v>
      </c>
      <c r="D3212" s="336" t="s">
        <v>946</v>
      </c>
      <c r="E3212" s="336" t="s">
        <v>947</v>
      </c>
    </row>
    <row r="3213" spans="1:5" x14ac:dyDescent="0.2">
      <c r="A3213" s="335">
        <v>1001349550</v>
      </c>
      <c r="B3213" s="336" t="s">
        <v>3629</v>
      </c>
      <c r="C3213" s="336" t="s">
        <v>813</v>
      </c>
      <c r="D3213" s="336" t="s">
        <v>946</v>
      </c>
      <c r="E3213" s="336" t="s">
        <v>947</v>
      </c>
    </row>
    <row r="3214" spans="1:5" x14ac:dyDescent="0.2">
      <c r="A3214" s="335">
        <v>1001349551</v>
      </c>
      <c r="B3214" s="336" t="s">
        <v>3387</v>
      </c>
      <c r="C3214" s="336" t="s">
        <v>813</v>
      </c>
      <c r="D3214" s="336" t="s">
        <v>946</v>
      </c>
      <c r="E3214" s="336" t="s">
        <v>947</v>
      </c>
    </row>
    <row r="3215" spans="1:5" x14ac:dyDescent="0.2">
      <c r="A3215" s="335">
        <v>1001349552</v>
      </c>
      <c r="B3215" s="336" t="s">
        <v>3630</v>
      </c>
      <c r="C3215" s="336" t="s">
        <v>813</v>
      </c>
      <c r="D3215" s="336" t="s">
        <v>946</v>
      </c>
      <c r="E3215" s="336" t="s">
        <v>947</v>
      </c>
    </row>
    <row r="3216" spans="1:5" x14ac:dyDescent="0.2">
      <c r="A3216" s="335">
        <v>1001349555</v>
      </c>
      <c r="B3216" s="336" t="s">
        <v>3631</v>
      </c>
      <c r="C3216" s="336" t="s">
        <v>813</v>
      </c>
      <c r="D3216" s="336" t="s">
        <v>946</v>
      </c>
      <c r="E3216" s="336" t="s">
        <v>947</v>
      </c>
    </row>
    <row r="3217" spans="1:5" x14ac:dyDescent="0.2">
      <c r="A3217" s="335">
        <v>1001349557</v>
      </c>
      <c r="B3217" s="336" t="s">
        <v>3632</v>
      </c>
      <c r="C3217" s="336" t="s">
        <v>813</v>
      </c>
      <c r="D3217" s="336" t="s">
        <v>946</v>
      </c>
      <c r="E3217" s="336" t="s">
        <v>947</v>
      </c>
    </row>
    <row r="3218" spans="1:5" x14ac:dyDescent="0.2">
      <c r="A3218" s="335">
        <v>1001349558</v>
      </c>
      <c r="B3218" s="336" t="s">
        <v>3633</v>
      </c>
      <c r="C3218" s="336" t="s">
        <v>813</v>
      </c>
      <c r="D3218" s="336" t="s">
        <v>946</v>
      </c>
      <c r="E3218" s="336" t="s">
        <v>947</v>
      </c>
    </row>
    <row r="3219" spans="1:5" x14ac:dyDescent="0.2">
      <c r="A3219" s="335">
        <v>1001349559</v>
      </c>
      <c r="B3219" s="336" t="s">
        <v>3634</v>
      </c>
      <c r="C3219" s="336" t="s">
        <v>813</v>
      </c>
      <c r="D3219" s="336" t="s">
        <v>946</v>
      </c>
      <c r="E3219" s="336" t="s">
        <v>947</v>
      </c>
    </row>
    <row r="3220" spans="1:5" x14ac:dyDescent="0.2">
      <c r="A3220" s="335">
        <v>1001349660</v>
      </c>
      <c r="B3220" s="336" t="s">
        <v>3635</v>
      </c>
      <c r="C3220" s="336" t="s">
        <v>813</v>
      </c>
      <c r="D3220" s="336" t="s">
        <v>946</v>
      </c>
      <c r="E3220" s="336" t="s">
        <v>947</v>
      </c>
    </row>
    <row r="3221" spans="1:5" x14ac:dyDescent="0.2">
      <c r="A3221" s="335">
        <v>1001349666</v>
      </c>
      <c r="B3221" s="336" t="s">
        <v>3636</v>
      </c>
      <c r="C3221" s="336" t="s">
        <v>813</v>
      </c>
      <c r="D3221" s="336" t="s">
        <v>946</v>
      </c>
      <c r="E3221" s="336" t="s">
        <v>947</v>
      </c>
    </row>
    <row r="3222" spans="1:5" x14ac:dyDescent="0.2">
      <c r="A3222" s="335">
        <v>1001349667</v>
      </c>
      <c r="B3222" s="336" t="s">
        <v>3637</v>
      </c>
      <c r="C3222" s="336" t="s">
        <v>813</v>
      </c>
      <c r="D3222" s="336" t="s">
        <v>946</v>
      </c>
      <c r="E3222" s="336" t="s">
        <v>947</v>
      </c>
    </row>
    <row r="3223" spans="1:5" x14ac:dyDescent="0.2">
      <c r="A3223" s="335">
        <v>1001349700</v>
      </c>
      <c r="B3223" s="336" t="s">
        <v>3638</v>
      </c>
      <c r="C3223" s="336" t="s">
        <v>813</v>
      </c>
      <c r="D3223" s="336" t="s">
        <v>946</v>
      </c>
      <c r="E3223" s="336" t="s">
        <v>947</v>
      </c>
    </row>
    <row r="3224" spans="1:5" x14ac:dyDescent="0.2">
      <c r="A3224" s="335">
        <v>1001349701</v>
      </c>
      <c r="B3224" s="336" t="s">
        <v>3639</v>
      </c>
      <c r="C3224" s="336" t="s">
        <v>813</v>
      </c>
      <c r="D3224" s="336" t="s">
        <v>946</v>
      </c>
      <c r="E3224" s="336" t="s">
        <v>947</v>
      </c>
    </row>
    <row r="3225" spans="1:5" x14ac:dyDescent="0.2">
      <c r="A3225" s="335">
        <v>1001349724</v>
      </c>
      <c r="B3225" s="336" t="s">
        <v>3640</v>
      </c>
      <c r="C3225" s="336" t="s">
        <v>813</v>
      </c>
      <c r="D3225" s="336" t="s">
        <v>946</v>
      </c>
      <c r="E3225" s="336" t="s">
        <v>947</v>
      </c>
    </row>
    <row r="3226" spans="1:5" x14ac:dyDescent="0.2">
      <c r="A3226" s="335">
        <v>1001349725</v>
      </c>
      <c r="B3226" s="336" t="s">
        <v>3641</v>
      </c>
      <c r="C3226" s="336" t="s">
        <v>813</v>
      </c>
      <c r="D3226" s="336" t="s">
        <v>946</v>
      </c>
      <c r="E3226" s="336" t="s">
        <v>947</v>
      </c>
    </row>
    <row r="3227" spans="1:5" x14ac:dyDescent="0.2">
      <c r="A3227" s="335">
        <v>1001349802</v>
      </c>
      <c r="B3227" s="336" t="s">
        <v>3642</v>
      </c>
      <c r="C3227" s="336" t="s">
        <v>813</v>
      </c>
      <c r="D3227" s="336" t="s">
        <v>946</v>
      </c>
      <c r="E3227" s="336" t="s">
        <v>947</v>
      </c>
    </row>
    <row r="3228" spans="1:5" x14ac:dyDescent="0.2">
      <c r="A3228" s="335">
        <v>1001349835</v>
      </c>
      <c r="B3228" s="336" t="s">
        <v>3643</v>
      </c>
      <c r="C3228" s="336" t="s">
        <v>813</v>
      </c>
      <c r="D3228" s="336" t="s">
        <v>946</v>
      </c>
      <c r="E3228" s="336" t="s">
        <v>947</v>
      </c>
    </row>
    <row r="3229" spans="1:5" x14ac:dyDescent="0.2">
      <c r="A3229" s="335">
        <v>1001349841</v>
      </c>
      <c r="B3229" s="336" t="s">
        <v>3644</v>
      </c>
      <c r="C3229" s="336" t="s">
        <v>813</v>
      </c>
      <c r="D3229" s="336" t="s">
        <v>946</v>
      </c>
      <c r="E3229" s="336" t="s">
        <v>947</v>
      </c>
    </row>
    <row r="3230" spans="1:5" x14ac:dyDescent="0.2">
      <c r="A3230" s="335">
        <v>1001349845</v>
      </c>
      <c r="B3230" s="336" t="s">
        <v>3645</v>
      </c>
      <c r="C3230" s="336" t="s">
        <v>813</v>
      </c>
      <c r="D3230" s="336" t="s">
        <v>946</v>
      </c>
      <c r="E3230" s="336" t="s">
        <v>947</v>
      </c>
    </row>
    <row r="3231" spans="1:5" x14ac:dyDescent="0.2">
      <c r="A3231" s="335">
        <v>1001349846</v>
      </c>
      <c r="B3231" s="336" t="s">
        <v>3646</v>
      </c>
      <c r="C3231" s="336" t="s">
        <v>813</v>
      </c>
      <c r="D3231" s="336" t="s">
        <v>946</v>
      </c>
      <c r="E3231" s="336" t="s">
        <v>947</v>
      </c>
    </row>
    <row r="3232" spans="1:5" x14ac:dyDescent="0.2">
      <c r="A3232" s="335">
        <v>1001349871</v>
      </c>
      <c r="B3232" s="336" t="s">
        <v>3647</v>
      </c>
      <c r="C3232" s="336" t="s">
        <v>813</v>
      </c>
      <c r="D3232" s="336" t="s">
        <v>946</v>
      </c>
      <c r="E3232" s="336" t="s">
        <v>947</v>
      </c>
    </row>
    <row r="3233" spans="1:5" x14ac:dyDescent="0.2">
      <c r="A3233" s="335">
        <v>1001349874</v>
      </c>
      <c r="B3233" s="336" t="s">
        <v>3648</v>
      </c>
      <c r="C3233" s="336" t="s">
        <v>813</v>
      </c>
      <c r="D3233" s="336" t="s">
        <v>946</v>
      </c>
      <c r="E3233" s="336" t="s">
        <v>947</v>
      </c>
    </row>
    <row r="3234" spans="1:5" x14ac:dyDescent="0.2">
      <c r="A3234" s="335">
        <v>1001350042</v>
      </c>
      <c r="B3234" s="336" t="s">
        <v>3649</v>
      </c>
      <c r="C3234" s="336" t="s">
        <v>813</v>
      </c>
      <c r="D3234" s="336" t="s">
        <v>946</v>
      </c>
      <c r="E3234" s="336" t="s">
        <v>947</v>
      </c>
    </row>
    <row r="3235" spans="1:5" x14ac:dyDescent="0.2">
      <c r="A3235" s="335">
        <v>1001350043</v>
      </c>
      <c r="B3235" s="336" t="s">
        <v>3650</v>
      </c>
      <c r="C3235" s="336" t="s">
        <v>813</v>
      </c>
      <c r="D3235" s="336" t="s">
        <v>946</v>
      </c>
      <c r="E3235" s="336" t="s">
        <v>947</v>
      </c>
    </row>
    <row r="3236" spans="1:5" x14ac:dyDescent="0.2">
      <c r="A3236" s="335">
        <v>1001350055</v>
      </c>
      <c r="B3236" s="336" t="s">
        <v>3651</v>
      </c>
      <c r="C3236" s="336" t="s">
        <v>813</v>
      </c>
      <c r="D3236" s="336" t="s">
        <v>946</v>
      </c>
      <c r="E3236" s="336" t="s">
        <v>947</v>
      </c>
    </row>
    <row r="3237" spans="1:5" x14ac:dyDescent="0.2">
      <c r="A3237" s="335">
        <v>1001350095</v>
      </c>
      <c r="B3237" s="336" t="s">
        <v>3652</v>
      </c>
      <c r="C3237" s="336" t="s">
        <v>813</v>
      </c>
      <c r="D3237" s="336" t="s">
        <v>946</v>
      </c>
      <c r="E3237" s="336" t="s">
        <v>947</v>
      </c>
    </row>
    <row r="3238" spans="1:5" x14ac:dyDescent="0.2">
      <c r="A3238" s="335">
        <v>1001350100</v>
      </c>
      <c r="B3238" s="336" t="s">
        <v>3653</v>
      </c>
      <c r="C3238" s="336" t="s">
        <v>813</v>
      </c>
      <c r="D3238" s="336" t="s">
        <v>946</v>
      </c>
      <c r="E3238" s="336" t="s">
        <v>947</v>
      </c>
    </row>
    <row r="3239" spans="1:5" x14ac:dyDescent="0.2">
      <c r="A3239" s="335">
        <v>1001350106</v>
      </c>
      <c r="B3239" s="336" t="s">
        <v>3654</v>
      </c>
      <c r="C3239" s="336" t="s">
        <v>813</v>
      </c>
      <c r="D3239" s="336" t="s">
        <v>946</v>
      </c>
      <c r="E3239" s="336" t="s">
        <v>947</v>
      </c>
    </row>
    <row r="3240" spans="1:5" x14ac:dyDescent="0.2">
      <c r="A3240" s="335">
        <v>1001350112</v>
      </c>
      <c r="B3240" s="336" t="s">
        <v>3655</v>
      </c>
      <c r="C3240" s="336" t="s">
        <v>813</v>
      </c>
      <c r="D3240" s="336" t="s">
        <v>946</v>
      </c>
      <c r="E3240" s="336" t="s">
        <v>947</v>
      </c>
    </row>
    <row r="3241" spans="1:5" x14ac:dyDescent="0.2">
      <c r="A3241" s="335">
        <v>1001350115</v>
      </c>
      <c r="B3241" s="336" t="s">
        <v>3652</v>
      </c>
      <c r="C3241" s="336" t="s">
        <v>813</v>
      </c>
      <c r="D3241" s="336" t="s">
        <v>946</v>
      </c>
      <c r="E3241" s="336" t="s">
        <v>947</v>
      </c>
    </row>
    <row r="3242" spans="1:5" x14ac:dyDescent="0.2">
      <c r="A3242" s="335">
        <v>1001350123</v>
      </c>
      <c r="B3242" s="336" t="s">
        <v>3604</v>
      </c>
      <c r="C3242" s="336" t="s">
        <v>813</v>
      </c>
      <c r="D3242" s="336" t="s">
        <v>946</v>
      </c>
      <c r="E3242" s="336" t="s">
        <v>947</v>
      </c>
    </row>
    <row r="3243" spans="1:5" x14ac:dyDescent="0.2">
      <c r="A3243" s="335">
        <v>1001350131</v>
      </c>
      <c r="B3243" s="336" t="s">
        <v>3656</v>
      </c>
      <c r="C3243" s="336" t="s">
        <v>813</v>
      </c>
      <c r="D3243" s="336" t="s">
        <v>946</v>
      </c>
      <c r="E3243" s="336" t="s">
        <v>947</v>
      </c>
    </row>
    <row r="3244" spans="1:5" x14ac:dyDescent="0.2">
      <c r="A3244" s="335">
        <v>1001350182</v>
      </c>
      <c r="B3244" s="336" t="s">
        <v>3657</v>
      </c>
      <c r="C3244" s="336" t="s">
        <v>813</v>
      </c>
      <c r="D3244" s="336" t="s">
        <v>946</v>
      </c>
      <c r="E3244" s="336" t="s">
        <v>947</v>
      </c>
    </row>
    <row r="3245" spans="1:5" x14ac:dyDescent="0.2">
      <c r="A3245" s="335">
        <v>1001350197</v>
      </c>
      <c r="B3245" s="336" t="s">
        <v>3658</v>
      </c>
      <c r="C3245" s="336" t="s">
        <v>813</v>
      </c>
      <c r="D3245" s="336" t="s">
        <v>946</v>
      </c>
      <c r="E3245" s="336" t="s">
        <v>947</v>
      </c>
    </row>
    <row r="3246" spans="1:5" x14ac:dyDescent="0.2">
      <c r="A3246" s="335">
        <v>1001350242</v>
      </c>
      <c r="B3246" s="336" t="s">
        <v>3659</v>
      </c>
      <c r="C3246" s="336" t="s">
        <v>813</v>
      </c>
      <c r="D3246" s="336" t="s">
        <v>946</v>
      </c>
      <c r="E3246" s="336" t="s">
        <v>947</v>
      </c>
    </row>
    <row r="3247" spans="1:5" x14ac:dyDescent="0.2">
      <c r="A3247" s="335">
        <v>1001350257</v>
      </c>
      <c r="B3247" s="336" t="s">
        <v>3660</v>
      </c>
      <c r="C3247" s="336" t="s">
        <v>813</v>
      </c>
      <c r="D3247" s="336" t="s">
        <v>946</v>
      </c>
      <c r="E3247" s="336" t="s">
        <v>947</v>
      </c>
    </row>
    <row r="3248" spans="1:5" x14ac:dyDescent="0.2">
      <c r="A3248" s="335">
        <v>1001350272</v>
      </c>
      <c r="B3248" s="336" t="s">
        <v>3661</v>
      </c>
      <c r="C3248" s="336" t="s">
        <v>813</v>
      </c>
      <c r="D3248" s="336" t="s">
        <v>946</v>
      </c>
      <c r="E3248" s="336" t="s">
        <v>947</v>
      </c>
    </row>
    <row r="3249" spans="1:5" x14ac:dyDescent="0.2">
      <c r="A3249" s="335">
        <v>1001350278</v>
      </c>
      <c r="B3249" s="336" t="s">
        <v>3662</v>
      </c>
      <c r="C3249" s="336" t="s">
        <v>813</v>
      </c>
      <c r="D3249" s="336" t="s">
        <v>946</v>
      </c>
      <c r="E3249" s="336" t="s">
        <v>947</v>
      </c>
    </row>
    <row r="3250" spans="1:5" x14ac:dyDescent="0.2">
      <c r="A3250" s="335">
        <v>1001350294</v>
      </c>
      <c r="B3250" s="336" t="s">
        <v>3663</v>
      </c>
      <c r="C3250" s="336" t="s">
        <v>863</v>
      </c>
      <c r="D3250" s="336" t="s">
        <v>946</v>
      </c>
      <c r="E3250" s="336" t="s">
        <v>947</v>
      </c>
    </row>
    <row r="3251" spans="1:5" x14ac:dyDescent="0.2">
      <c r="A3251" s="335">
        <v>1001350296</v>
      </c>
      <c r="B3251" s="336" t="s">
        <v>3664</v>
      </c>
      <c r="C3251" s="336" t="s">
        <v>863</v>
      </c>
      <c r="D3251" s="336" t="s">
        <v>946</v>
      </c>
      <c r="E3251" s="336" t="s">
        <v>947</v>
      </c>
    </row>
    <row r="3252" spans="1:5" x14ac:dyDescent="0.2">
      <c r="A3252" s="335">
        <v>1001350298</v>
      </c>
      <c r="B3252" s="336" t="s">
        <v>3665</v>
      </c>
      <c r="C3252" s="336" t="s">
        <v>813</v>
      </c>
      <c r="D3252" s="336" t="s">
        <v>946</v>
      </c>
      <c r="E3252" s="336" t="s">
        <v>947</v>
      </c>
    </row>
    <row r="3253" spans="1:5" x14ac:dyDescent="0.2">
      <c r="A3253" s="335">
        <v>1001350310</v>
      </c>
      <c r="B3253" s="336" t="s">
        <v>3666</v>
      </c>
      <c r="C3253" s="336" t="s">
        <v>863</v>
      </c>
      <c r="D3253" s="336" t="s">
        <v>946</v>
      </c>
      <c r="E3253" s="336" t="s">
        <v>947</v>
      </c>
    </row>
    <row r="3254" spans="1:5" x14ac:dyDescent="0.2">
      <c r="A3254" s="335">
        <v>1001350316</v>
      </c>
      <c r="B3254" s="336" t="s">
        <v>3667</v>
      </c>
      <c r="C3254" s="336" t="s">
        <v>813</v>
      </c>
      <c r="D3254" s="336" t="s">
        <v>946</v>
      </c>
      <c r="E3254" s="336" t="s">
        <v>947</v>
      </c>
    </row>
    <row r="3255" spans="1:5" x14ac:dyDescent="0.2">
      <c r="A3255" s="335">
        <v>1001350318</v>
      </c>
      <c r="B3255" s="336" t="s">
        <v>3668</v>
      </c>
      <c r="C3255" s="336" t="s">
        <v>813</v>
      </c>
      <c r="D3255" s="336" t="s">
        <v>946</v>
      </c>
      <c r="E3255" s="336" t="s">
        <v>947</v>
      </c>
    </row>
    <row r="3256" spans="1:5" x14ac:dyDescent="0.2">
      <c r="A3256" s="335">
        <v>1001350320</v>
      </c>
      <c r="B3256" s="336" t="s">
        <v>3669</v>
      </c>
      <c r="C3256" s="336" t="s">
        <v>813</v>
      </c>
      <c r="D3256" s="336" t="s">
        <v>946</v>
      </c>
      <c r="E3256" s="336" t="s">
        <v>947</v>
      </c>
    </row>
    <row r="3257" spans="1:5" x14ac:dyDescent="0.2">
      <c r="A3257" s="335">
        <v>1001350325</v>
      </c>
      <c r="B3257" s="336" t="s">
        <v>3670</v>
      </c>
      <c r="C3257" s="336" t="s">
        <v>813</v>
      </c>
      <c r="D3257" s="336" t="s">
        <v>946</v>
      </c>
      <c r="E3257" s="336" t="s">
        <v>947</v>
      </c>
    </row>
    <row r="3258" spans="1:5" x14ac:dyDescent="0.2">
      <c r="A3258" s="335">
        <v>1001350327</v>
      </c>
      <c r="B3258" s="336" t="s">
        <v>3671</v>
      </c>
      <c r="C3258" s="336" t="s">
        <v>813</v>
      </c>
      <c r="D3258" s="336" t="s">
        <v>946</v>
      </c>
      <c r="E3258" s="336" t="s">
        <v>947</v>
      </c>
    </row>
    <row r="3259" spans="1:5" x14ac:dyDescent="0.2">
      <c r="A3259" s="335">
        <v>1001350329</v>
      </c>
      <c r="B3259" s="336" t="s">
        <v>3672</v>
      </c>
      <c r="C3259" s="336" t="s">
        <v>813</v>
      </c>
      <c r="D3259" s="336" t="s">
        <v>946</v>
      </c>
      <c r="E3259" s="336" t="s">
        <v>947</v>
      </c>
    </row>
    <row r="3260" spans="1:5" x14ac:dyDescent="0.2">
      <c r="A3260" s="335">
        <v>1001350350</v>
      </c>
      <c r="B3260" s="336" t="s">
        <v>3673</v>
      </c>
      <c r="C3260" s="336" t="s">
        <v>813</v>
      </c>
      <c r="D3260" s="336" t="s">
        <v>946</v>
      </c>
      <c r="E3260" s="336" t="s">
        <v>947</v>
      </c>
    </row>
    <row r="3261" spans="1:5" x14ac:dyDescent="0.2">
      <c r="A3261" s="335">
        <v>1001350351</v>
      </c>
      <c r="B3261" s="336" t="s">
        <v>3674</v>
      </c>
      <c r="C3261" s="336" t="s">
        <v>813</v>
      </c>
      <c r="D3261" s="336" t="s">
        <v>946</v>
      </c>
      <c r="E3261" s="336" t="s">
        <v>947</v>
      </c>
    </row>
    <row r="3262" spans="1:5" x14ac:dyDescent="0.2">
      <c r="A3262" s="335">
        <v>1001350352</v>
      </c>
      <c r="B3262" s="336" t="s">
        <v>3675</v>
      </c>
      <c r="C3262" s="336" t="s">
        <v>813</v>
      </c>
      <c r="D3262" s="336" t="s">
        <v>946</v>
      </c>
      <c r="E3262" s="336" t="s">
        <v>947</v>
      </c>
    </row>
    <row r="3263" spans="1:5" x14ac:dyDescent="0.2">
      <c r="A3263" s="335">
        <v>1001350356</v>
      </c>
      <c r="B3263" s="336" t="s">
        <v>3663</v>
      </c>
      <c r="C3263" s="336" t="s">
        <v>813</v>
      </c>
      <c r="D3263" s="336" t="s">
        <v>946</v>
      </c>
      <c r="E3263" s="336" t="s">
        <v>947</v>
      </c>
    </row>
    <row r="3264" spans="1:5" x14ac:dyDescent="0.2">
      <c r="A3264" s="335">
        <v>1001350362</v>
      </c>
      <c r="B3264" s="336" t="s">
        <v>3380</v>
      </c>
      <c r="C3264" s="336" t="s">
        <v>813</v>
      </c>
      <c r="D3264" s="336" t="s">
        <v>946</v>
      </c>
      <c r="E3264" s="336" t="s">
        <v>947</v>
      </c>
    </row>
    <row r="3265" spans="1:5" x14ac:dyDescent="0.2">
      <c r="A3265" s="335">
        <v>1001350364</v>
      </c>
      <c r="B3265" s="336" t="s">
        <v>3676</v>
      </c>
      <c r="C3265" s="336" t="s">
        <v>813</v>
      </c>
      <c r="D3265" s="336" t="s">
        <v>946</v>
      </c>
      <c r="E3265" s="336" t="s">
        <v>947</v>
      </c>
    </row>
    <row r="3266" spans="1:5" x14ac:dyDescent="0.2">
      <c r="A3266" s="335">
        <v>1001350366</v>
      </c>
      <c r="B3266" s="336" t="s">
        <v>3677</v>
      </c>
      <c r="C3266" s="336" t="s">
        <v>813</v>
      </c>
      <c r="D3266" s="336" t="s">
        <v>946</v>
      </c>
      <c r="E3266" s="336" t="s">
        <v>947</v>
      </c>
    </row>
    <row r="3267" spans="1:5" x14ac:dyDescent="0.2">
      <c r="A3267" s="335">
        <v>1001350380</v>
      </c>
      <c r="B3267" s="336" t="s">
        <v>3545</v>
      </c>
      <c r="C3267" s="336" t="s">
        <v>813</v>
      </c>
      <c r="D3267" s="336" t="s">
        <v>946</v>
      </c>
      <c r="E3267" s="336" t="s">
        <v>947</v>
      </c>
    </row>
    <row r="3268" spans="1:5" x14ac:dyDescent="0.2">
      <c r="A3268" s="335">
        <v>1001350382</v>
      </c>
      <c r="B3268" s="336" t="s">
        <v>3673</v>
      </c>
      <c r="C3268" s="336" t="s">
        <v>813</v>
      </c>
      <c r="D3268" s="336" t="s">
        <v>946</v>
      </c>
      <c r="E3268" s="336" t="s">
        <v>947</v>
      </c>
    </row>
    <row r="3269" spans="1:5" x14ac:dyDescent="0.2">
      <c r="A3269" s="335">
        <v>1001350383</v>
      </c>
      <c r="B3269" s="336" t="s">
        <v>3678</v>
      </c>
      <c r="C3269" s="336" t="s">
        <v>813</v>
      </c>
      <c r="D3269" s="336" t="s">
        <v>946</v>
      </c>
      <c r="E3269" s="336" t="s">
        <v>947</v>
      </c>
    </row>
    <row r="3270" spans="1:5" x14ac:dyDescent="0.2">
      <c r="A3270" s="335">
        <v>1001350385</v>
      </c>
      <c r="B3270" s="336" t="s">
        <v>3679</v>
      </c>
      <c r="C3270" s="336" t="s">
        <v>813</v>
      </c>
      <c r="D3270" s="336" t="s">
        <v>946</v>
      </c>
      <c r="E3270" s="336" t="s">
        <v>947</v>
      </c>
    </row>
    <row r="3271" spans="1:5" x14ac:dyDescent="0.2">
      <c r="A3271" s="335">
        <v>1001350410</v>
      </c>
      <c r="B3271" s="336" t="s">
        <v>3380</v>
      </c>
      <c r="C3271" s="336" t="s">
        <v>813</v>
      </c>
      <c r="D3271" s="336" t="s">
        <v>946</v>
      </c>
      <c r="E3271" s="336" t="s">
        <v>947</v>
      </c>
    </row>
    <row r="3272" spans="1:5" x14ac:dyDescent="0.2">
      <c r="A3272" s="335">
        <v>1001350413</v>
      </c>
      <c r="B3272" s="336" t="s">
        <v>3680</v>
      </c>
      <c r="C3272" s="336" t="s">
        <v>813</v>
      </c>
      <c r="D3272" s="336" t="s">
        <v>946</v>
      </c>
      <c r="E3272" s="336" t="s">
        <v>947</v>
      </c>
    </row>
    <row r="3273" spans="1:5" x14ac:dyDescent="0.2">
      <c r="A3273" s="335">
        <v>1001350418</v>
      </c>
      <c r="B3273" s="336" t="s">
        <v>3680</v>
      </c>
      <c r="C3273" s="336" t="s">
        <v>813</v>
      </c>
      <c r="D3273" s="336" t="s">
        <v>946</v>
      </c>
      <c r="E3273" s="336" t="s">
        <v>947</v>
      </c>
    </row>
    <row r="3274" spans="1:5" x14ac:dyDescent="0.2">
      <c r="A3274" s="335">
        <v>1001350420</v>
      </c>
      <c r="B3274" s="336" t="s">
        <v>3680</v>
      </c>
      <c r="C3274" s="336" t="s">
        <v>813</v>
      </c>
      <c r="D3274" s="336" t="s">
        <v>946</v>
      </c>
      <c r="E3274" s="336" t="s">
        <v>947</v>
      </c>
    </row>
    <row r="3275" spans="1:5" x14ac:dyDescent="0.2">
      <c r="A3275" s="335">
        <v>1001350421</v>
      </c>
      <c r="B3275" s="336" t="s">
        <v>3673</v>
      </c>
      <c r="C3275" s="336" t="s">
        <v>813</v>
      </c>
      <c r="D3275" s="336" t="s">
        <v>946</v>
      </c>
      <c r="E3275" s="336" t="s">
        <v>947</v>
      </c>
    </row>
    <row r="3276" spans="1:5" x14ac:dyDescent="0.2">
      <c r="A3276" s="335">
        <v>1001350423</v>
      </c>
      <c r="B3276" s="336" t="s">
        <v>3681</v>
      </c>
      <c r="C3276" s="336" t="s">
        <v>813</v>
      </c>
      <c r="D3276" s="336" t="s">
        <v>946</v>
      </c>
      <c r="E3276" s="336" t="s">
        <v>947</v>
      </c>
    </row>
    <row r="3277" spans="1:5" x14ac:dyDescent="0.2">
      <c r="A3277" s="335">
        <v>1001350424</v>
      </c>
      <c r="B3277" s="336" t="s">
        <v>3682</v>
      </c>
      <c r="C3277" s="336" t="s">
        <v>813</v>
      </c>
      <c r="D3277" s="336" t="s">
        <v>946</v>
      </c>
      <c r="E3277" s="336" t="s">
        <v>947</v>
      </c>
    </row>
    <row r="3278" spans="1:5" x14ac:dyDescent="0.2">
      <c r="A3278" s="335">
        <v>1001350425</v>
      </c>
      <c r="B3278" s="336" t="s">
        <v>3683</v>
      </c>
      <c r="C3278" s="336" t="s">
        <v>813</v>
      </c>
      <c r="D3278" s="336" t="s">
        <v>946</v>
      </c>
      <c r="E3278" s="336" t="s">
        <v>947</v>
      </c>
    </row>
    <row r="3279" spans="1:5" x14ac:dyDescent="0.2">
      <c r="A3279" s="335">
        <v>1001350426</v>
      </c>
      <c r="B3279" s="336" t="s">
        <v>3684</v>
      </c>
      <c r="C3279" s="336" t="s">
        <v>813</v>
      </c>
      <c r="D3279" s="336" t="s">
        <v>946</v>
      </c>
      <c r="E3279" s="336" t="s">
        <v>947</v>
      </c>
    </row>
    <row r="3280" spans="1:5" x14ac:dyDescent="0.2">
      <c r="A3280" s="335">
        <v>1001350427</v>
      </c>
      <c r="B3280" s="336" t="s">
        <v>3685</v>
      </c>
      <c r="C3280" s="336" t="s">
        <v>813</v>
      </c>
      <c r="D3280" s="336" t="s">
        <v>946</v>
      </c>
      <c r="E3280" s="336" t="s">
        <v>947</v>
      </c>
    </row>
    <row r="3281" spans="1:5" x14ac:dyDescent="0.2">
      <c r="A3281" s="335">
        <v>1001350428</v>
      </c>
      <c r="B3281" s="336" t="s">
        <v>3686</v>
      </c>
      <c r="C3281" s="336" t="s">
        <v>813</v>
      </c>
      <c r="D3281" s="336" t="s">
        <v>946</v>
      </c>
      <c r="E3281" s="336" t="s">
        <v>947</v>
      </c>
    </row>
    <row r="3282" spans="1:5" x14ac:dyDescent="0.2">
      <c r="A3282" s="335">
        <v>1001350429</v>
      </c>
      <c r="B3282" s="336" t="s">
        <v>3687</v>
      </c>
      <c r="C3282" s="336" t="s">
        <v>813</v>
      </c>
      <c r="D3282" s="336" t="s">
        <v>946</v>
      </c>
      <c r="E3282" s="336" t="s">
        <v>947</v>
      </c>
    </row>
    <row r="3283" spans="1:5" x14ac:dyDescent="0.2">
      <c r="A3283" s="335">
        <v>1001350430</v>
      </c>
      <c r="B3283" s="336" t="s">
        <v>3688</v>
      </c>
      <c r="C3283" s="336" t="s">
        <v>813</v>
      </c>
      <c r="D3283" s="336" t="s">
        <v>946</v>
      </c>
      <c r="E3283" s="336" t="s">
        <v>947</v>
      </c>
    </row>
    <row r="3284" spans="1:5" x14ac:dyDescent="0.2">
      <c r="A3284" s="335">
        <v>1001350431</v>
      </c>
      <c r="B3284" s="336" t="s">
        <v>3689</v>
      </c>
      <c r="C3284" s="336" t="s">
        <v>813</v>
      </c>
      <c r="D3284" s="336" t="s">
        <v>946</v>
      </c>
      <c r="E3284" s="336" t="s">
        <v>947</v>
      </c>
    </row>
    <row r="3285" spans="1:5" x14ac:dyDescent="0.2">
      <c r="A3285" s="335">
        <v>1001350432</v>
      </c>
      <c r="B3285" s="336" t="s">
        <v>3690</v>
      </c>
      <c r="C3285" s="336" t="s">
        <v>813</v>
      </c>
      <c r="D3285" s="336" t="s">
        <v>946</v>
      </c>
      <c r="E3285" s="336" t="s">
        <v>947</v>
      </c>
    </row>
    <row r="3286" spans="1:5" x14ac:dyDescent="0.2">
      <c r="A3286" s="335">
        <v>1001350435</v>
      </c>
      <c r="B3286" s="336" t="s">
        <v>3691</v>
      </c>
      <c r="C3286" s="336" t="s">
        <v>813</v>
      </c>
      <c r="D3286" s="336" t="s">
        <v>946</v>
      </c>
      <c r="E3286" s="336" t="s">
        <v>947</v>
      </c>
    </row>
    <row r="3287" spans="1:5" x14ac:dyDescent="0.2">
      <c r="A3287" s="335">
        <v>1001350437</v>
      </c>
      <c r="B3287" s="336" t="s">
        <v>3692</v>
      </c>
      <c r="C3287" s="336" t="s">
        <v>813</v>
      </c>
      <c r="D3287" s="336" t="s">
        <v>946</v>
      </c>
      <c r="E3287" s="336" t="s">
        <v>947</v>
      </c>
    </row>
    <row r="3288" spans="1:5" x14ac:dyDescent="0.2">
      <c r="A3288" s="335">
        <v>1001350438</v>
      </c>
      <c r="B3288" s="336" t="s">
        <v>3693</v>
      </c>
      <c r="C3288" s="336" t="s">
        <v>813</v>
      </c>
      <c r="D3288" s="336" t="s">
        <v>946</v>
      </c>
      <c r="E3288" s="336" t="s">
        <v>947</v>
      </c>
    </row>
    <row r="3289" spans="1:5" x14ac:dyDescent="0.2">
      <c r="A3289" s="335">
        <v>1001350439</v>
      </c>
      <c r="B3289" s="336" t="s">
        <v>3694</v>
      </c>
      <c r="C3289" s="336" t="s">
        <v>813</v>
      </c>
      <c r="D3289" s="336" t="s">
        <v>946</v>
      </c>
      <c r="E3289" s="336" t="s">
        <v>947</v>
      </c>
    </row>
    <row r="3290" spans="1:5" x14ac:dyDescent="0.2">
      <c r="A3290" s="335">
        <v>1001350442</v>
      </c>
      <c r="B3290" s="336" t="s">
        <v>3695</v>
      </c>
      <c r="C3290" s="336" t="s">
        <v>813</v>
      </c>
      <c r="D3290" s="336" t="s">
        <v>946</v>
      </c>
      <c r="E3290" s="336" t="s">
        <v>947</v>
      </c>
    </row>
    <row r="3291" spans="1:5" x14ac:dyDescent="0.2">
      <c r="A3291" s="335">
        <v>1001350444</v>
      </c>
      <c r="B3291" s="336" t="s">
        <v>3696</v>
      </c>
      <c r="C3291" s="336" t="s">
        <v>813</v>
      </c>
      <c r="D3291" s="336" t="s">
        <v>946</v>
      </c>
      <c r="E3291" s="336" t="s">
        <v>947</v>
      </c>
    </row>
    <row r="3292" spans="1:5" x14ac:dyDescent="0.2">
      <c r="A3292" s="335">
        <v>1001350449</v>
      </c>
      <c r="B3292" s="336" t="s">
        <v>3697</v>
      </c>
      <c r="C3292" s="336" t="s">
        <v>813</v>
      </c>
      <c r="D3292" s="336" t="s">
        <v>946</v>
      </c>
      <c r="E3292" s="336" t="s">
        <v>947</v>
      </c>
    </row>
    <row r="3293" spans="1:5" x14ac:dyDescent="0.2">
      <c r="A3293" s="335">
        <v>1001350450</v>
      </c>
      <c r="B3293" s="336" t="s">
        <v>3698</v>
      </c>
      <c r="C3293" s="336" t="s">
        <v>813</v>
      </c>
      <c r="D3293" s="336" t="s">
        <v>946</v>
      </c>
      <c r="E3293" s="336" t="s">
        <v>947</v>
      </c>
    </row>
    <row r="3294" spans="1:5" x14ac:dyDescent="0.2">
      <c r="A3294" s="335">
        <v>1001350452</v>
      </c>
      <c r="B3294" s="336" t="s">
        <v>3699</v>
      </c>
      <c r="C3294" s="336" t="s">
        <v>813</v>
      </c>
      <c r="D3294" s="336" t="s">
        <v>946</v>
      </c>
      <c r="E3294" s="336" t="s">
        <v>947</v>
      </c>
    </row>
    <row r="3295" spans="1:5" x14ac:dyDescent="0.2">
      <c r="A3295" s="335">
        <v>1001350453</v>
      </c>
      <c r="B3295" s="336" t="s">
        <v>3700</v>
      </c>
      <c r="C3295" s="336" t="s">
        <v>813</v>
      </c>
      <c r="D3295" s="336" t="s">
        <v>946</v>
      </c>
      <c r="E3295" s="336" t="s">
        <v>947</v>
      </c>
    </row>
    <row r="3296" spans="1:5" x14ac:dyDescent="0.2">
      <c r="A3296" s="335">
        <v>1001350454</v>
      </c>
      <c r="B3296" s="336" t="s">
        <v>3701</v>
      </c>
      <c r="C3296" s="336" t="s">
        <v>813</v>
      </c>
      <c r="D3296" s="336" t="s">
        <v>946</v>
      </c>
      <c r="E3296" s="336" t="s">
        <v>947</v>
      </c>
    </row>
    <row r="3297" spans="1:5" x14ac:dyDescent="0.2">
      <c r="A3297" s="335">
        <v>1001350540</v>
      </c>
      <c r="B3297" s="336" t="s">
        <v>3702</v>
      </c>
      <c r="C3297" s="336" t="s">
        <v>813</v>
      </c>
      <c r="D3297" s="336" t="s">
        <v>946</v>
      </c>
      <c r="E3297" s="336" t="s">
        <v>947</v>
      </c>
    </row>
    <row r="3298" spans="1:5" x14ac:dyDescent="0.2">
      <c r="A3298" s="335">
        <v>1001350542</v>
      </c>
      <c r="B3298" s="336" t="s">
        <v>3703</v>
      </c>
      <c r="C3298" s="336" t="s">
        <v>813</v>
      </c>
      <c r="D3298" s="336" t="s">
        <v>946</v>
      </c>
      <c r="E3298" s="336" t="s">
        <v>947</v>
      </c>
    </row>
    <row r="3299" spans="1:5" x14ac:dyDescent="0.2">
      <c r="A3299" s="335">
        <v>1001350587</v>
      </c>
      <c r="B3299" s="336" t="s">
        <v>1880</v>
      </c>
      <c r="C3299" s="336" t="s">
        <v>813</v>
      </c>
      <c r="D3299" s="336" t="s">
        <v>946</v>
      </c>
      <c r="E3299" s="336" t="s">
        <v>947</v>
      </c>
    </row>
    <row r="3300" spans="1:5" x14ac:dyDescent="0.2">
      <c r="A3300" s="335">
        <v>1001350599</v>
      </c>
      <c r="B3300" s="336" t="s">
        <v>3380</v>
      </c>
      <c r="C3300" s="336" t="s">
        <v>863</v>
      </c>
      <c r="D3300" s="336" t="s">
        <v>946</v>
      </c>
      <c r="E3300" s="336" t="s">
        <v>947</v>
      </c>
    </row>
    <row r="3301" spans="1:5" x14ac:dyDescent="0.2">
      <c r="A3301" s="335">
        <v>1001350603</v>
      </c>
      <c r="B3301" s="336" t="s">
        <v>3704</v>
      </c>
      <c r="C3301" s="336" t="s">
        <v>813</v>
      </c>
      <c r="D3301" s="336" t="s">
        <v>946</v>
      </c>
      <c r="E3301" s="336" t="s">
        <v>947</v>
      </c>
    </row>
    <row r="3302" spans="1:5" x14ac:dyDescent="0.2">
      <c r="A3302" s="335">
        <v>1001350625</v>
      </c>
      <c r="B3302" s="336" t="s">
        <v>3705</v>
      </c>
      <c r="C3302" s="336" t="s">
        <v>813</v>
      </c>
      <c r="D3302" s="336" t="s">
        <v>946</v>
      </c>
      <c r="E3302" s="336" t="s">
        <v>947</v>
      </c>
    </row>
    <row r="3303" spans="1:5" x14ac:dyDescent="0.2">
      <c r="A3303" s="335">
        <v>1001350655</v>
      </c>
      <c r="B3303" s="336" t="s">
        <v>3706</v>
      </c>
      <c r="C3303" s="336" t="s">
        <v>813</v>
      </c>
      <c r="D3303" s="336" t="s">
        <v>946</v>
      </c>
      <c r="E3303" s="336" t="s">
        <v>947</v>
      </c>
    </row>
    <row r="3304" spans="1:5" x14ac:dyDescent="0.2">
      <c r="A3304" s="335">
        <v>1001350656</v>
      </c>
      <c r="B3304" s="336" t="s">
        <v>3707</v>
      </c>
      <c r="C3304" s="336" t="s">
        <v>813</v>
      </c>
      <c r="D3304" s="336" t="s">
        <v>946</v>
      </c>
      <c r="E3304" s="336" t="s">
        <v>947</v>
      </c>
    </row>
    <row r="3305" spans="1:5" x14ac:dyDescent="0.2">
      <c r="A3305" s="335">
        <v>1001350660</v>
      </c>
      <c r="B3305" s="336" t="s">
        <v>3666</v>
      </c>
      <c r="C3305" s="336" t="s">
        <v>813</v>
      </c>
      <c r="D3305" s="336" t="s">
        <v>946</v>
      </c>
      <c r="E3305" s="336" t="s">
        <v>947</v>
      </c>
    </row>
    <row r="3306" spans="1:5" x14ac:dyDescent="0.2">
      <c r="A3306" s="335">
        <v>1001350662</v>
      </c>
      <c r="B3306" s="336" t="s">
        <v>3708</v>
      </c>
      <c r="C3306" s="336" t="s">
        <v>813</v>
      </c>
      <c r="D3306" s="336" t="s">
        <v>946</v>
      </c>
      <c r="E3306" s="336" t="s">
        <v>947</v>
      </c>
    </row>
    <row r="3307" spans="1:5" x14ac:dyDescent="0.2">
      <c r="A3307" s="335">
        <v>1001350664</v>
      </c>
      <c r="B3307" s="336" t="s">
        <v>3709</v>
      </c>
      <c r="C3307" s="336" t="s">
        <v>813</v>
      </c>
      <c r="D3307" s="336" t="s">
        <v>946</v>
      </c>
      <c r="E3307" s="336" t="s">
        <v>947</v>
      </c>
    </row>
    <row r="3308" spans="1:5" x14ac:dyDescent="0.2">
      <c r="A3308" s="335">
        <v>1001350666</v>
      </c>
      <c r="B3308" s="336" t="s">
        <v>3710</v>
      </c>
      <c r="C3308" s="336" t="s">
        <v>813</v>
      </c>
      <c r="D3308" s="336" t="s">
        <v>946</v>
      </c>
      <c r="E3308" s="336" t="s">
        <v>947</v>
      </c>
    </row>
    <row r="3309" spans="1:5" x14ac:dyDescent="0.2">
      <c r="A3309" s="335">
        <v>1001350676</v>
      </c>
      <c r="B3309" s="336" t="s">
        <v>3711</v>
      </c>
      <c r="C3309" s="336" t="s">
        <v>813</v>
      </c>
      <c r="D3309" s="336" t="s">
        <v>946</v>
      </c>
      <c r="E3309" s="336" t="s">
        <v>947</v>
      </c>
    </row>
    <row r="3310" spans="1:5" x14ac:dyDescent="0.2">
      <c r="A3310" s="335">
        <v>1001350682</v>
      </c>
      <c r="B3310" s="336" t="s">
        <v>3712</v>
      </c>
      <c r="C3310" s="336" t="s">
        <v>813</v>
      </c>
      <c r="D3310" s="336" t="s">
        <v>946</v>
      </c>
      <c r="E3310" s="336" t="s">
        <v>947</v>
      </c>
    </row>
    <row r="3311" spans="1:5" x14ac:dyDescent="0.2">
      <c r="A3311" s="335">
        <v>1001350703</v>
      </c>
      <c r="B3311" s="336" t="s">
        <v>862</v>
      </c>
      <c r="C3311" s="336" t="s">
        <v>813</v>
      </c>
      <c r="D3311" s="336" t="s">
        <v>946</v>
      </c>
      <c r="E3311" s="336" t="s">
        <v>947</v>
      </c>
    </row>
    <row r="3312" spans="1:5" x14ac:dyDescent="0.2">
      <c r="A3312" s="335">
        <v>1001350706</v>
      </c>
      <c r="B3312" s="336" t="s">
        <v>3713</v>
      </c>
      <c r="C3312" s="336" t="s">
        <v>813</v>
      </c>
      <c r="D3312" s="336" t="s">
        <v>946</v>
      </c>
      <c r="E3312" s="336" t="s">
        <v>947</v>
      </c>
    </row>
    <row r="3313" spans="1:5" x14ac:dyDescent="0.2">
      <c r="A3313" s="335">
        <v>1001350716</v>
      </c>
      <c r="B3313" s="336" t="s">
        <v>3714</v>
      </c>
      <c r="C3313" s="336" t="s">
        <v>813</v>
      </c>
      <c r="D3313" s="336" t="s">
        <v>946</v>
      </c>
      <c r="E3313" s="336" t="s">
        <v>947</v>
      </c>
    </row>
    <row r="3314" spans="1:5" x14ac:dyDescent="0.2">
      <c r="A3314" s="335">
        <v>1001350721</v>
      </c>
      <c r="B3314" s="336" t="s">
        <v>3715</v>
      </c>
      <c r="C3314" s="336" t="s">
        <v>863</v>
      </c>
      <c r="D3314" s="336" t="s">
        <v>946</v>
      </c>
      <c r="E3314" s="336" t="s">
        <v>947</v>
      </c>
    </row>
    <row r="3315" spans="1:5" x14ac:dyDescent="0.2">
      <c r="A3315" s="335">
        <v>1001350722</v>
      </c>
      <c r="B3315" s="336" t="s">
        <v>3716</v>
      </c>
      <c r="C3315" s="336" t="s">
        <v>813</v>
      </c>
      <c r="D3315" s="336" t="s">
        <v>946</v>
      </c>
      <c r="E3315" s="336" t="s">
        <v>947</v>
      </c>
    </row>
    <row r="3316" spans="1:5" x14ac:dyDescent="0.2">
      <c r="A3316" s="335">
        <v>1001350744</v>
      </c>
      <c r="B3316" s="336" t="s">
        <v>3717</v>
      </c>
      <c r="C3316" s="336" t="s">
        <v>813</v>
      </c>
      <c r="D3316" s="336" t="s">
        <v>946</v>
      </c>
      <c r="E3316" s="336" t="s">
        <v>947</v>
      </c>
    </row>
    <row r="3317" spans="1:5" x14ac:dyDescent="0.2">
      <c r="A3317" s="335">
        <v>1001350748</v>
      </c>
      <c r="B3317" s="336" t="s">
        <v>3715</v>
      </c>
      <c r="C3317" s="336" t="s">
        <v>863</v>
      </c>
      <c r="D3317" s="336" t="s">
        <v>946</v>
      </c>
      <c r="E3317" s="336" t="s">
        <v>947</v>
      </c>
    </row>
    <row r="3318" spans="1:5" x14ac:dyDescent="0.2">
      <c r="A3318" s="335">
        <v>1001350749</v>
      </c>
      <c r="B3318" s="336" t="s">
        <v>3718</v>
      </c>
      <c r="C3318" s="336" t="s">
        <v>813</v>
      </c>
      <c r="D3318" s="336" t="s">
        <v>946</v>
      </c>
      <c r="E3318" s="336" t="s">
        <v>947</v>
      </c>
    </row>
    <row r="3319" spans="1:5" x14ac:dyDescent="0.2">
      <c r="A3319" s="335">
        <v>1001350751</v>
      </c>
      <c r="B3319" s="336" t="s">
        <v>3715</v>
      </c>
      <c r="C3319" s="336" t="s">
        <v>863</v>
      </c>
      <c r="D3319" s="336" t="s">
        <v>946</v>
      </c>
      <c r="E3319" s="336" t="s">
        <v>947</v>
      </c>
    </row>
    <row r="3320" spans="1:5" x14ac:dyDescent="0.2">
      <c r="A3320" s="335">
        <v>1001350758</v>
      </c>
      <c r="B3320" s="336" t="s">
        <v>3719</v>
      </c>
      <c r="C3320" s="336" t="s">
        <v>813</v>
      </c>
      <c r="D3320" s="336" t="s">
        <v>946</v>
      </c>
      <c r="E3320" s="336" t="s">
        <v>947</v>
      </c>
    </row>
    <row r="3321" spans="1:5" x14ac:dyDescent="0.2">
      <c r="A3321" s="335">
        <v>1001350762</v>
      </c>
      <c r="B3321" s="336" t="s">
        <v>3720</v>
      </c>
      <c r="C3321" s="336" t="s">
        <v>813</v>
      </c>
      <c r="D3321" s="336" t="s">
        <v>946</v>
      </c>
      <c r="E3321" s="336" t="s">
        <v>947</v>
      </c>
    </row>
    <row r="3322" spans="1:5" x14ac:dyDescent="0.2">
      <c r="A3322" s="335">
        <v>1001350764</v>
      </c>
      <c r="B3322" s="336" t="s">
        <v>3721</v>
      </c>
      <c r="C3322" s="336" t="s">
        <v>813</v>
      </c>
      <c r="D3322" s="336" t="s">
        <v>946</v>
      </c>
      <c r="E3322" s="336" t="s">
        <v>947</v>
      </c>
    </row>
    <row r="3323" spans="1:5" x14ac:dyDescent="0.2">
      <c r="A3323" s="335">
        <v>1001350788</v>
      </c>
      <c r="B3323" s="336" t="s">
        <v>3722</v>
      </c>
      <c r="C3323" s="336" t="s">
        <v>813</v>
      </c>
      <c r="D3323" s="336" t="s">
        <v>946</v>
      </c>
      <c r="E3323" s="336" t="s">
        <v>947</v>
      </c>
    </row>
    <row r="3324" spans="1:5" x14ac:dyDescent="0.2">
      <c r="A3324" s="335">
        <v>1001350854</v>
      </c>
      <c r="B3324" s="336" t="s">
        <v>828</v>
      </c>
      <c r="C3324" s="336" t="s">
        <v>813</v>
      </c>
      <c r="D3324" s="336" t="s">
        <v>946</v>
      </c>
      <c r="E3324" s="336" t="s">
        <v>947</v>
      </c>
    </row>
    <row r="3325" spans="1:5" x14ac:dyDescent="0.2">
      <c r="A3325" s="335">
        <v>1001350855</v>
      </c>
      <c r="B3325" s="336" t="s">
        <v>876</v>
      </c>
      <c r="C3325" s="336" t="s">
        <v>813</v>
      </c>
      <c r="D3325" s="336" t="s">
        <v>946</v>
      </c>
      <c r="E3325" s="336" t="s">
        <v>947</v>
      </c>
    </row>
    <row r="3326" spans="1:5" x14ac:dyDescent="0.2">
      <c r="A3326" s="335">
        <v>1001350856</v>
      </c>
      <c r="B3326" s="336" t="s">
        <v>1250</v>
      </c>
      <c r="C3326" s="336" t="s">
        <v>813</v>
      </c>
      <c r="D3326" s="336" t="s">
        <v>946</v>
      </c>
      <c r="E3326" s="336" t="s">
        <v>947</v>
      </c>
    </row>
    <row r="3327" spans="1:5" x14ac:dyDescent="0.2">
      <c r="A3327" s="335">
        <v>1001350858</v>
      </c>
      <c r="B3327" s="336" t="s">
        <v>1255</v>
      </c>
      <c r="C3327" s="336" t="s">
        <v>813</v>
      </c>
      <c r="D3327" s="336" t="s">
        <v>946</v>
      </c>
      <c r="E3327" s="336" t="s">
        <v>947</v>
      </c>
    </row>
    <row r="3328" spans="1:5" x14ac:dyDescent="0.2">
      <c r="A3328" s="335">
        <v>1001350859</v>
      </c>
      <c r="B3328" s="336" t="s">
        <v>3723</v>
      </c>
      <c r="C3328" s="336" t="s">
        <v>813</v>
      </c>
      <c r="D3328" s="336" t="s">
        <v>946</v>
      </c>
      <c r="E3328" s="336" t="s">
        <v>947</v>
      </c>
    </row>
    <row r="3329" spans="1:5" x14ac:dyDescent="0.2">
      <c r="A3329" s="335">
        <v>1001350880</v>
      </c>
      <c r="B3329" s="336" t="s">
        <v>3724</v>
      </c>
      <c r="C3329" s="336" t="s">
        <v>813</v>
      </c>
      <c r="D3329" s="336" t="s">
        <v>946</v>
      </c>
      <c r="E3329" s="336" t="s">
        <v>947</v>
      </c>
    </row>
    <row r="3330" spans="1:5" x14ac:dyDescent="0.2">
      <c r="A3330" s="335">
        <v>1001350960</v>
      </c>
      <c r="B3330" s="336" t="s">
        <v>3725</v>
      </c>
      <c r="C3330" s="336" t="s">
        <v>813</v>
      </c>
      <c r="D3330" s="336" t="s">
        <v>946</v>
      </c>
      <c r="E3330" s="336" t="s">
        <v>947</v>
      </c>
    </row>
    <row r="3331" spans="1:5" x14ac:dyDescent="0.2">
      <c r="A3331" s="335">
        <v>1001350994</v>
      </c>
      <c r="B3331" s="336" t="s">
        <v>3726</v>
      </c>
      <c r="C3331" s="336" t="s">
        <v>813</v>
      </c>
      <c r="D3331" s="336" t="s">
        <v>946</v>
      </c>
      <c r="E3331" s="336" t="s">
        <v>947</v>
      </c>
    </row>
    <row r="3332" spans="1:5" x14ac:dyDescent="0.2">
      <c r="A3332" s="335">
        <v>1001350998</v>
      </c>
      <c r="B3332" s="336" t="s">
        <v>3727</v>
      </c>
      <c r="C3332" s="336" t="s">
        <v>813</v>
      </c>
      <c r="D3332" s="336" t="s">
        <v>946</v>
      </c>
      <c r="E3332" s="336" t="s">
        <v>947</v>
      </c>
    </row>
    <row r="3333" spans="1:5" x14ac:dyDescent="0.2">
      <c r="A3333" s="335">
        <v>1001350999</v>
      </c>
      <c r="B3333" s="336" t="s">
        <v>3728</v>
      </c>
      <c r="C3333" s="336" t="s">
        <v>813</v>
      </c>
      <c r="D3333" s="336" t="s">
        <v>946</v>
      </c>
      <c r="E3333" s="336" t="s">
        <v>947</v>
      </c>
    </row>
    <row r="3334" spans="1:5" x14ac:dyDescent="0.2">
      <c r="A3334" s="335">
        <v>1001351060</v>
      </c>
      <c r="B3334" s="336" t="s">
        <v>3729</v>
      </c>
      <c r="C3334" s="336" t="s">
        <v>813</v>
      </c>
      <c r="D3334" s="336" t="s">
        <v>946</v>
      </c>
      <c r="E3334" s="336" t="s">
        <v>947</v>
      </c>
    </row>
    <row r="3335" spans="1:5" x14ac:dyDescent="0.2">
      <c r="A3335" s="335">
        <v>1001351063</v>
      </c>
      <c r="B3335" s="336" t="s">
        <v>3730</v>
      </c>
      <c r="C3335" s="336" t="s">
        <v>813</v>
      </c>
      <c r="D3335" s="336" t="s">
        <v>946</v>
      </c>
      <c r="E3335" s="336" t="s">
        <v>947</v>
      </c>
    </row>
    <row r="3336" spans="1:5" x14ac:dyDescent="0.2">
      <c r="A3336" s="335">
        <v>1001351065</v>
      </c>
      <c r="B3336" s="336" t="s">
        <v>3731</v>
      </c>
      <c r="C3336" s="336" t="s">
        <v>813</v>
      </c>
      <c r="D3336" s="336" t="s">
        <v>946</v>
      </c>
      <c r="E3336" s="336" t="s">
        <v>947</v>
      </c>
    </row>
    <row r="3337" spans="1:5" x14ac:dyDescent="0.2">
      <c r="A3337" s="335">
        <v>1001351066</v>
      </c>
      <c r="B3337" s="336" t="s">
        <v>3598</v>
      </c>
      <c r="C3337" s="336" t="s">
        <v>813</v>
      </c>
      <c r="D3337" s="336" t="s">
        <v>946</v>
      </c>
      <c r="E3337" s="336" t="s">
        <v>947</v>
      </c>
    </row>
    <row r="3338" spans="1:5" x14ac:dyDescent="0.2">
      <c r="A3338" s="335">
        <v>1001351067</v>
      </c>
      <c r="B3338" s="336" t="s">
        <v>3732</v>
      </c>
      <c r="C3338" s="336" t="s">
        <v>813</v>
      </c>
      <c r="D3338" s="336" t="s">
        <v>946</v>
      </c>
      <c r="E3338" s="336" t="s">
        <v>947</v>
      </c>
    </row>
    <row r="3339" spans="1:5" x14ac:dyDescent="0.2">
      <c r="A3339" s="335">
        <v>1001351084</v>
      </c>
      <c r="B3339" s="336" t="s">
        <v>907</v>
      </c>
      <c r="C3339" s="336" t="s">
        <v>813</v>
      </c>
      <c r="D3339" s="336" t="s">
        <v>946</v>
      </c>
      <c r="E3339" s="336" t="s">
        <v>947</v>
      </c>
    </row>
    <row r="3340" spans="1:5" x14ac:dyDescent="0.2">
      <c r="A3340" s="335">
        <v>1001351086</v>
      </c>
      <c r="B3340" s="336" t="s">
        <v>3733</v>
      </c>
      <c r="C3340" s="336" t="s">
        <v>813</v>
      </c>
      <c r="D3340" s="336" t="s">
        <v>946</v>
      </c>
      <c r="E3340" s="336" t="s">
        <v>947</v>
      </c>
    </row>
    <row r="3341" spans="1:5" x14ac:dyDescent="0.2">
      <c r="A3341" s="335">
        <v>1001351087</v>
      </c>
      <c r="B3341" s="336" t="s">
        <v>1552</v>
      </c>
      <c r="C3341" s="336" t="s">
        <v>813</v>
      </c>
      <c r="D3341" s="336" t="s">
        <v>946</v>
      </c>
      <c r="E3341" s="336" t="s">
        <v>947</v>
      </c>
    </row>
    <row r="3342" spans="1:5" x14ac:dyDescent="0.2">
      <c r="A3342" s="335">
        <v>1001351088</v>
      </c>
      <c r="B3342" s="336" t="s">
        <v>1552</v>
      </c>
      <c r="C3342" s="336" t="s">
        <v>813</v>
      </c>
      <c r="D3342" s="336" t="s">
        <v>946</v>
      </c>
      <c r="E3342" s="336" t="s">
        <v>947</v>
      </c>
    </row>
    <row r="3343" spans="1:5" x14ac:dyDescent="0.2">
      <c r="A3343" s="335">
        <v>1001351089</v>
      </c>
      <c r="B3343" s="336" t="s">
        <v>3734</v>
      </c>
      <c r="C3343" s="336" t="s">
        <v>813</v>
      </c>
      <c r="D3343" s="336" t="s">
        <v>946</v>
      </c>
      <c r="E3343" s="336" t="s">
        <v>947</v>
      </c>
    </row>
    <row r="3344" spans="1:5" x14ac:dyDescent="0.2">
      <c r="A3344" s="335">
        <v>1001351101</v>
      </c>
      <c r="B3344" s="336" t="s">
        <v>3735</v>
      </c>
      <c r="C3344" s="336" t="s">
        <v>863</v>
      </c>
      <c r="D3344" s="336" t="s">
        <v>946</v>
      </c>
      <c r="E3344" s="336" t="s">
        <v>947</v>
      </c>
    </row>
    <row r="3345" spans="1:5" x14ac:dyDescent="0.2">
      <c r="A3345" s="335">
        <v>1001351102</v>
      </c>
      <c r="B3345" s="336" t="s">
        <v>822</v>
      </c>
      <c r="C3345" s="336" t="s">
        <v>813</v>
      </c>
      <c r="D3345" s="336" t="s">
        <v>946</v>
      </c>
      <c r="E3345" s="336" t="s">
        <v>947</v>
      </c>
    </row>
    <row r="3346" spans="1:5" x14ac:dyDescent="0.2">
      <c r="A3346" s="335">
        <v>1001351107</v>
      </c>
      <c r="B3346" s="336" t="s">
        <v>3736</v>
      </c>
      <c r="C3346" s="336" t="s">
        <v>863</v>
      </c>
      <c r="D3346" s="336" t="s">
        <v>946</v>
      </c>
      <c r="E3346" s="336" t="s">
        <v>947</v>
      </c>
    </row>
    <row r="3347" spans="1:5" x14ac:dyDescent="0.2">
      <c r="A3347" s="335">
        <v>1001351108</v>
      </c>
      <c r="B3347" s="336" t="s">
        <v>3737</v>
      </c>
      <c r="C3347" s="336" t="s">
        <v>813</v>
      </c>
      <c r="D3347" s="336" t="s">
        <v>946</v>
      </c>
      <c r="E3347" s="336" t="s">
        <v>947</v>
      </c>
    </row>
    <row r="3348" spans="1:5" x14ac:dyDescent="0.2">
      <c r="A3348" s="335">
        <v>1001351297</v>
      </c>
      <c r="B3348" s="336" t="s">
        <v>3380</v>
      </c>
      <c r="C3348" s="336" t="s">
        <v>813</v>
      </c>
      <c r="D3348" s="336" t="s">
        <v>946</v>
      </c>
      <c r="E3348" s="336" t="s">
        <v>947</v>
      </c>
    </row>
    <row r="3349" spans="1:5" x14ac:dyDescent="0.2">
      <c r="A3349" s="335">
        <v>1001351303</v>
      </c>
      <c r="B3349" s="336" t="s">
        <v>3380</v>
      </c>
      <c r="C3349" s="336" t="s">
        <v>813</v>
      </c>
      <c r="D3349" s="336" t="s">
        <v>946</v>
      </c>
      <c r="E3349" s="336" t="s">
        <v>947</v>
      </c>
    </row>
  </sheetData>
  <sheetProtection algorithmName="SHA-512" hashValue="Q7sabsdbflteujhRRU8+oa4FgSCTDuudSngulxTJGThHf/pgoc5T39mzi7iysOH3kbRys0vEwc5dkPQXBi4dvw==" saltValue="KVQyHji/RPXAmsnjohhGUw==" spinCount="100000" sheet="1" objects="1" scenarios="1"/>
  <autoFilter ref="A1:E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tint="-0.249977111117893"/>
  </sheetPr>
  <dimension ref="A1:AL628"/>
  <sheetViews>
    <sheetView rightToLeft="1" view="pageBreakPreview" zoomScale="85" zoomScaleNormal="100" zoomScaleSheetLayoutView="85" workbookViewId="0">
      <pane ySplit="30" topLeftCell="A58" activePane="bottomLeft" state="frozen"/>
      <selection pane="bottomLeft" activeCell="A61" sqref="A61"/>
    </sheetView>
  </sheetViews>
  <sheetFormatPr defaultRowHeight="15" x14ac:dyDescent="0.25"/>
  <cols>
    <col min="1" max="1" width="6.25" bestFit="1" customWidth="1"/>
    <col min="2" max="4" width="13.125" style="174" customWidth="1"/>
    <col min="5" max="5" width="13.125" style="9" customWidth="1"/>
    <col min="6" max="6" width="13.25" style="9" customWidth="1"/>
    <col min="7" max="7" width="9.375" style="9" customWidth="1"/>
    <col min="8" max="8" width="8.875" style="12" customWidth="1"/>
    <col min="9" max="10" width="16.875" style="12" customWidth="1"/>
    <col min="11" max="11" width="17.375" style="12" customWidth="1"/>
    <col min="12" max="12" width="19.625" style="12" customWidth="1"/>
    <col min="13" max="13" width="22.875" style="12" customWidth="1"/>
    <col min="14" max="14" width="14.125" style="12" customWidth="1"/>
    <col min="15" max="15" width="18" style="12" hidden="1" customWidth="1"/>
    <col min="16" max="17" width="18" style="12" customWidth="1"/>
    <col min="18" max="18" width="19.875" style="12" customWidth="1"/>
    <col min="19" max="23" width="13.375" style="9" customWidth="1"/>
    <col min="24" max="24" width="13.375" style="9" hidden="1" customWidth="1"/>
    <col min="25" max="25" width="12.125" style="9" customWidth="1"/>
    <col min="26" max="26" width="14.625" style="52" bestFit="1" customWidth="1"/>
    <col min="27" max="27" width="23.125" style="12" customWidth="1"/>
    <col min="28" max="28" width="13.625" style="18" hidden="1" customWidth="1"/>
    <col min="29" max="29" width="24.625" style="9" customWidth="1"/>
    <col min="30" max="30" width="9" style="9" customWidth="1"/>
    <col min="31" max="31" width="26.125" style="9" hidden="1" customWidth="1"/>
    <col min="32" max="32" width="0" style="9" hidden="1" customWidth="1"/>
    <col min="33" max="33" width="11" style="9" hidden="1" customWidth="1"/>
    <col min="34" max="34" width="18.375" style="9" hidden="1" customWidth="1"/>
    <col min="35" max="36" width="0" style="9" hidden="1" customWidth="1"/>
    <col min="37" max="38" width="0" hidden="1" customWidth="1"/>
  </cols>
  <sheetData>
    <row r="1" spans="1:36" ht="14.25" customHeight="1" x14ac:dyDescent="0.2">
      <c r="A1" s="426" t="s">
        <v>458</v>
      </c>
      <c r="B1" s="426"/>
      <c r="C1" s="426"/>
      <c r="D1" s="426"/>
      <c r="E1" s="426"/>
      <c r="F1" s="426"/>
      <c r="G1" s="426"/>
      <c r="H1" s="426"/>
      <c r="I1" s="426"/>
      <c r="J1" s="426"/>
      <c r="K1" s="426"/>
      <c r="L1" s="426"/>
      <c r="M1" s="426"/>
      <c r="N1" s="426"/>
      <c r="O1" s="426"/>
      <c r="P1" s="426"/>
      <c r="Q1" s="426"/>
      <c r="R1" s="426"/>
      <c r="S1" s="426"/>
      <c r="T1" s="426"/>
      <c r="U1" s="426"/>
      <c r="V1" s="426"/>
      <c r="W1" s="426"/>
      <c r="X1" s="426"/>
      <c r="Y1" s="426"/>
      <c r="Z1" s="426"/>
      <c r="AA1" s="426"/>
      <c r="AB1" s="426"/>
      <c r="AC1" s="426"/>
      <c r="AD1" s="426"/>
    </row>
    <row r="2" spans="1:36" ht="14.25" customHeight="1" x14ac:dyDescent="0.2">
      <c r="A2" s="426"/>
      <c r="B2" s="426"/>
      <c r="C2" s="426"/>
      <c r="D2" s="426"/>
      <c r="E2" s="426"/>
      <c r="F2" s="426"/>
      <c r="G2" s="426"/>
      <c r="H2" s="426"/>
      <c r="I2" s="426"/>
      <c r="J2" s="426"/>
      <c r="K2" s="426"/>
      <c r="L2" s="426"/>
      <c r="M2" s="426"/>
      <c r="N2" s="426"/>
      <c r="O2" s="426"/>
      <c r="P2" s="426"/>
      <c r="Q2" s="426"/>
      <c r="R2" s="426"/>
      <c r="S2" s="426"/>
      <c r="T2" s="426"/>
      <c r="U2" s="426"/>
      <c r="V2" s="426"/>
      <c r="W2" s="426"/>
      <c r="X2" s="426"/>
      <c r="Y2" s="426"/>
      <c r="Z2" s="426"/>
      <c r="AA2" s="426"/>
      <c r="AB2" s="426"/>
      <c r="AC2" s="426"/>
      <c r="AD2" s="426"/>
    </row>
    <row r="3" spans="1:36" s="174" customFormat="1" hidden="1" x14ac:dyDescent="0.25">
      <c r="E3" s="9"/>
      <c r="F3" s="9"/>
      <c r="G3" s="9"/>
      <c r="H3" s="12"/>
      <c r="I3" s="12"/>
      <c r="J3" s="12"/>
      <c r="K3" s="12"/>
      <c r="L3" s="12"/>
      <c r="M3" s="12"/>
      <c r="N3" s="12"/>
      <c r="O3" s="12"/>
      <c r="P3" s="12"/>
      <c r="Q3" s="12"/>
      <c r="R3" s="12"/>
      <c r="S3" s="9"/>
      <c r="T3" s="9"/>
      <c r="U3" s="9"/>
      <c r="V3" s="9"/>
      <c r="W3" s="9"/>
      <c r="X3" s="9"/>
      <c r="Y3" s="9"/>
      <c r="Z3" s="52"/>
      <c r="AA3" s="12"/>
      <c r="AB3" s="18"/>
      <c r="AC3" s="9"/>
      <c r="AD3" s="9"/>
      <c r="AE3" s="9"/>
      <c r="AF3" s="9"/>
      <c r="AG3" s="9"/>
      <c r="AH3" s="9"/>
      <c r="AI3" s="9"/>
      <c r="AJ3" s="9"/>
    </row>
    <row r="4" spans="1:36" s="174" customFormat="1" hidden="1" x14ac:dyDescent="0.25">
      <c r="E4" s="9"/>
      <c r="F4" s="9"/>
      <c r="G4" s="9"/>
      <c r="H4" s="12"/>
      <c r="I4" s="12"/>
      <c r="J4" s="12"/>
      <c r="K4" s="12"/>
      <c r="L4" s="12"/>
      <c r="M4" s="12"/>
      <c r="N4" s="12"/>
      <c r="O4" s="12"/>
      <c r="P4" s="12"/>
      <c r="Q4" s="12"/>
      <c r="R4" s="12"/>
      <c r="S4" s="9"/>
      <c r="T4" s="9"/>
      <c r="U4" s="9"/>
      <c r="V4" s="9"/>
      <c r="W4" s="9"/>
      <c r="X4" s="9"/>
      <c r="Y4" s="9"/>
      <c r="Z4" s="52"/>
      <c r="AA4" s="12"/>
      <c r="AB4" s="18"/>
      <c r="AC4" s="9"/>
      <c r="AD4" s="9"/>
      <c r="AE4" s="9"/>
      <c r="AF4" s="9"/>
      <c r="AG4" s="9"/>
      <c r="AH4" s="9"/>
      <c r="AI4" s="9"/>
      <c r="AJ4" s="9"/>
    </row>
    <row r="5" spans="1:36" s="174" customFormat="1" hidden="1" x14ac:dyDescent="0.25">
      <c r="E5" s="9"/>
      <c r="F5" s="9"/>
      <c r="G5" s="9"/>
      <c r="H5" s="12"/>
      <c r="I5" s="12"/>
      <c r="J5" s="12"/>
      <c r="K5" s="12"/>
      <c r="L5" s="12"/>
      <c r="M5" s="12"/>
      <c r="N5" s="12"/>
      <c r="O5" s="12"/>
      <c r="P5" s="12"/>
      <c r="Q5" s="12"/>
      <c r="R5" s="12"/>
      <c r="S5" s="9"/>
      <c r="T5" s="9"/>
      <c r="U5" s="9"/>
      <c r="V5" s="9"/>
      <c r="W5" s="9"/>
      <c r="X5" s="9"/>
      <c r="Y5" s="9"/>
      <c r="Z5" s="52"/>
      <c r="AA5" s="12"/>
      <c r="AB5" s="18"/>
      <c r="AC5" s="9"/>
      <c r="AD5" s="9"/>
      <c r="AE5" s="9"/>
      <c r="AF5" s="9"/>
      <c r="AG5" s="9"/>
      <c r="AH5" s="9"/>
      <c r="AI5" s="9"/>
      <c r="AJ5" s="9"/>
    </row>
    <row r="6" spans="1:36" s="174" customFormat="1" hidden="1" x14ac:dyDescent="0.25">
      <c r="E6" s="9"/>
      <c r="F6" s="9"/>
      <c r="G6" s="9"/>
      <c r="H6" s="12"/>
      <c r="I6" s="12"/>
      <c r="J6" s="12"/>
      <c r="K6" s="12"/>
      <c r="L6" s="12"/>
      <c r="M6" s="12"/>
      <c r="N6" s="12"/>
      <c r="O6" s="12"/>
      <c r="P6" s="12"/>
      <c r="Q6" s="12"/>
      <c r="R6" s="12"/>
      <c r="S6" s="9"/>
      <c r="T6" s="9"/>
      <c r="U6" s="9"/>
      <c r="V6" s="9"/>
      <c r="W6" s="9"/>
      <c r="X6" s="9"/>
      <c r="Y6" s="9"/>
      <c r="Z6" s="52"/>
      <c r="AA6" s="12"/>
      <c r="AB6" s="18"/>
      <c r="AC6" s="9"/>
      <c r="AD6" s="9"/>
      <c r="AE6" s="9"/>
      <c r="AF6" s="9"/>
      <c r="AG6" s="9"/>
      <c r="AH6" s="9"/>
      <c r="AI6" s="9"/>
      <c r="AJ6" s="9"/>
    </row>
    <row r="7" spans="1:36" s="174" customFormat="1" hidden="1" x14ac:dyDescent="0.25">
      <c r="E7" s="9"/>
      <c r="F7" s="9"/>
      <c r="G7" s="9"/>
      <c r="H7" s="12"/>
      <c r="I7" s="12"/>
      <c r="J7" s="12"/>
      <c r="K7" s="12"/>
      <c r="L7" s="12"/>
      <c r="M7" s="12"/>
      <c r="N7" s="12"/>
      <c r="O7" s="12"/>
      <c r="P7" s="12"/>
      <c r="Q7" s="12"/>
      <c r="R7" s="12"/>
      <c r="S7" s="9"/>
      <c r="T7" s="9"/>
      <c r="U7" s="9"/>
      <c r="V7" s="9"/>
      <c r="W7" s="9"/>
      <c r="X7" s="9"/>
      <c r="Y7" s="9"/>
      <c r="Z7" s="52"/>
      <c r="AA7" s="12"/>
      <c r="AB7" s="18"/>
      <c r="AC7" s="9"/>
      <c r="AD7" s="9"/>
      <c r="AE7" s="9"/>
      <c r="AF7" s="9"/>
      <c r="AG7" s="9"/>
      <c r="AH7" s="9"/>
      <c r="AI7" s="9"/>
      <c r="AJ7" s="9"/>
    </row>
    <row r="8" spans="1:36" s="174" customFormat="1" hidden="1" x14ac:dyDescent="0.25">
      <c r="E8" s="9"/>
      <c r="F8" s="9"/>
      <c r="G8" s="9"/>
      <c r="H8" s="12"/>
      <c r="I8" s="12"/>
      <c r="J8" s="12"/>
      <c r="K8" s="12"/>
      <c r="L8" s="12"/>
      <c r="M8" s="12"/>
      <c r="N8" s="12"/>
      <c r="O8" s="12"/>
      <c r="P8" s="12"/>
      <c r="Q8" s="12"/>
      <c r="R8" s="12"/>
      <c r="S8" s="9"/>
      <c r="T8" s="9"/>
      <c r="U8" s="9"/>
      <c r="V8" s="9"/>
      <c r="W8" s="9"/>
      <c r="X8" s="9"/>
      <c r="Y8" s="9"/>
      <c r="Z8" s="52"/>
      <c r="AA8" s="12"/>
      <c r="AB8" s="18"/>
      <c r="AC8" s="9"/>
      <c r="AD8" s="9"/>
      <c r="AE8" s="9"/>
      <c r="AF8" s="9"/>
      <c r="AG8" s="9"/>
      <c r="AH8" s="9"/>
      <c r="AI8" s="9"/>
      <c r="AJ8" s="9"/>
    </row>
    <row r="9" spans="1:36" s="174" customFormat="1" hidden="1" x14ac:dyDescent="0.25">
      <c r="E9" s="9"/>
      <c r="F9" s="9"/>
      <c r="G9" s="9"/>
      <c r="H9" s="12"/>
      <c r="I9" s="12"/>
      <c r="J9" s="12"/>
      <c r="K9" s="12"/>
      <c r="L9" s="12"/>
      <c r="M9" s="12"/>
      <c r="N9" s="12"/>
      <c r="O9" s="12"/>
      <c r="P9" s="12"/>
      <c r="Q9" s="12"/>
      <c r="R9" s="12"/>
      <c r="S9" s="9"/>
      <c r="T9" s="9"/>
      <c r="U9" s="9"/>
      <c r="V9" s="9"/>
      <c r="W9" s="9"/>
      <c r="X9" s="9"/>
      <c r="Y9" s="9"/>
      <c r="Z9" s="52"/>
      <c r="AA9" s="12"/>
      <c r="AB9" s="18"/>
      <c r="AC9" s="9"/>
      <c r="AD9" s="9"/>
      <c r="AE9" s="9"/>
      <c r="AF9" s="9"/>
      <c r="AG9" s="9"/>
      <c r="AH9" s="9"/>
      <c r="AI9" s="9"/>
      <c r="AJ9" s="9"/>
    </row>
    <row r="10" spans="1:36" s="174" customFormat="1" hidden="1" x14ac:dyDescent="0.25">
      <c r="E10" s="9"/>
      <c r="F10" s="9"/>
      <c r="G10" s="9"/>
      <c r="H10" s="12"/>
      <c r="I10" s="12"/>
      <c r="J10" s="12"/>
      <c r="K10" s="12"/>
      <c r="L10" s="12"/>
      <c r="M10" s="12"/>
      <c r="N10" s="12"/>
      <c r="O10" s="12"/>
      <c r="P10" s="12"/>
      <c r="Q10" s="12"/>
      <c r="R10" s="12"/>
      <c r="S10" s="9"/>
      <c r="T10" s="9"/>
      <c r="U10" s="9"/>
      <c r="V10" s="9"/>
      <c r="W10" s="9"/>
      <c r="X10" s="9"/>
      <c r="Y10" s="9"/>
      <c r="Z10" s="52"/>
      <c r="AA10" s="12"/>
      <c r="AB10" s="18"/>
      <c r="AC10" s="9"/>
      <c r="AD10" s="9"/>
      <c r="AE10" s="9"/>
      <c r="AF10" s="9"/>
      <c r="AG10" s="9"/>
      <c r="AH10" s="9"/>
      <c r="AI10" s="9"/>
      <c r="AJ10" s="9"/>
    </row>
    <row r="11" spans="1:36" s="174" customFormat="1" hidden="1" x14ac:dyDescent="0.25">
      <c r="E11" s="9"/>
      <c r="F11" s="9"/>
      <c r="G11" s="9"/>
      <c r="H11" s="12"/>
      <c r="I11" s="12"/>
      <c r="J11" s="12"/>
      <c r="K11" s="12"/>
      <c r="L11" s="12"/>
      <c r="M11" s="12"/>
      <c r="N11" s="12"/>
      <c r="O11" s="12"/>
      <c r="P11" s="12"/>
      <c r="Q11" s="12"/>
      <c r="R11" s="12"/>
      <c r="S11" s="9"/>
      <c r="T11" s="9"/>
      <c r="U11" s="9"/>
      <c r="V11" s="9"/>
      <c r="W11" s="9"/>
      <c r="X11" s="9"/>
      <c r="Y11" s="9"/>
      <c r="Z11" s="52"/>
      <c r="AA11" s="12"/>
      <c r="AB11" s="18"/>
      <c r="AC11" s="9"/>
      <c r="AD11" s="9"/>
      <c r="AE11" s="9"/>
      <c r="AF11" s="9"/>
      <c r="AG11" s="9"/>
      <c r="AH11" s="9"/>
      <c r="AI11" s="9"/>
      <c r="AJ11" s="9"/>
    </row>
    <row r="12" spans="1:36" s="174" customFormat="1" hidden="1" x14ac:dyDescent="0.25">
      <c r="E12" s="9"/>
      <c r="F12" s="9"/>
      <c r="G12" s="9"/>
      <c r="H12" s="12"/>
      <c r="I12" s="12"/>
      <c r="J12" s="12"/>
      <c r="K12" s="12"/>
      <c r="L12" s="12"/>
      <c r="M12" s="12"/>
      <c r="N12" s="12"/>
      <c r="O12" s="12"/>
      <c r="P12" s="12"/>
      <c r="Q12" s="12"/>
      <c r="R12" s="12"/>
      <c r="S12" s="9"/>
      <c r="T12" s="9"/>
      <c r="U12" s="9"/>
      <c r="V12" s="9"/>
      <c r="W12" s="9"/>
      <c r="X12" s="9"/>
      <c r="Y12" s="9"/>
      <c r="Z12" s="52"/>
      <c r="AA12" s="12"/>
      <c r="AB12" s="18"/>
      <c r="AC12" s="9"/>
      <c r="AD12" s="9"/>
      <c r="AE12" s="9"/>
      <c r="AF12" s="9"/>
      <c r="AG12" s="9"/>
      <c r="AH12" s="9"/>
      <c r="AI12" s="9"/>
      <c r="AJ12" s="9"/>
    </row>
    <row r="13" spans="1:36" s="174" customFormat="1" hidden="1" x14ac:dyDescent="0.25">
      <c r="E13" s="9"/>
      <c r="F13" s="9"/>
      <c r="G13" s="9"/>
      <c r="H13" s="12"/>
      <c r="I13" s="12"/>
      <c r="J13" s="12"/>
      <c r="K13" s="12"/>
      <c r="L13" s="12"/>
      <c r="M13" s="12"/>
      <c r="N13" s="12"/>
      <c r="O13" s="12"/>
      <c r="P13" s="12"/>
      <c r="Q13" s="12"/>
      <c r="R13" s="12"/>
      <c r="S13" s="9"/>
      <c r="T13" s="9"/>
      <c r="U13" s="9"/>
      <c r="V13" s="9"/>
      <c r="W13" s="9"/>
      <c r="X13" s="9"/>
      <c r="Y13" s="9"/>
      <c r="Z13" s="52"/>
      <c r="AA13" s="12"/>
      <c r="AB13" s="18"/>
      <c r="AC13" s="9"/>
      <c r="AD13" s="9"/>
      <c r="AE13" s="9"/>
      <c r="AF13" s="9"/>
      <c r="AG13" s="9"/>
      <c r="AH13" s="9"/>
      <c r="AI13" s="9"/>
      <c r="AJ13" s="9"/>
    </row>
    <row r="14" spans="1:36" s="174" customFormat="1" hidden="1" x14ac:dyDescent="0.25">
      <c r="E14" s="9"/>
      <c r="F14" s="9"/>
      <c r="G14" s="9"/>
      <c r="H14" s="12"/>
      <c r="I14" s="12"/>
      <c r="J14" s="12"/>
      <c r="K14" s="12"/>
      <c r="L14" s="12"/>
      <c r="M14" s="12"/>
      <c r="N14" s="12"/>
      <c r="O14" s="12"/>
      <c r="P14" s="12"/>
      <c r="Q14" s="12"/>
      <c r="R14" s="12"/>
      <c r="S14" s="9"/>
      <c r="T14" s="9"/>
      <c r="U14" s="9"/>
      <c r="V14" s="9"/>
      <c r="W14" s="9"/>
      <c r="X14" s="9"/>
      <c r="Y14" s="9"/>
      <c r="Z14" s="52"/>
      <c r="AA14" s="12"/>
      <c r="AB14" s="18"/>
      <c r="AC14" s="9"/>
      <c r="AD14" s="9"/>
      <c r="AE14" s="9"/>
      <c r="AF14" s="9"/>
      <c r="AG14" s="9"/>
      <c r="AH14" s="9"/>
      <c r="AI14" s="9"/>
      <c r="AJ14" s="9"/>
    </row>
    <row r="15" spans="1:36" s="174" customFormat="1" hidden="1" x14ac:dyDescent="0.25">
      <c r="E15" s="9"/>
      <c r="F15" s="9"/>
      <c r="G15" s="9"/>
      <c r="H15" s="12"/>
      <c r="I15" s="12"/>
      <c r="J15" s="12"/>
      <c r="K15" s="12"/>
      <c r="L15" s="12"/>
      <c r="M15" s="12"/>
      <c r="N15" s="12"/>
      <c r="O15" s="12"/>
      <c r="P15" s="12"/>
      <c r="Q15" s="12"/>
      <c r="R15" s="12"/>
      <c r="S15" s="9"/>
      <c r="T15" s="9"/>
      <c r="U15" s="9"/>
      <c r="V15" s="9"/>
      <c r="W15" s="9"/>
      <c r="X15" s="9"/>
      <c r="Y15" s="9"/>
      <c r="Z15" s="52"/>
      <c r="AA15" s="12"/>
      <c r="AB15" s="18"/>
      <c r="AC15" s="9"/>
      <c r="AD15" s="9"/>
      <c r="AE15" s="9"/>
      <c r="AF15" s="9"/>
      <c r="AG15" s="9"/>
      <c r="AH15" s="9"/>
      <c r="AI15" s="9"/>
      <c r="AJ15" s="9"/>
    </row>
    <row r="16" spans="1:36" s="174" customFormat="1" hidden="1" x14ac:dyDescent="0.25">
      <c r="E16" s="9"/>
      <c r="F16" s="9"/>
      <c r="G16" s="9"/>
      <c r="H16" s="12"/>
      <c r="I16" s="12"/>
      <c r="J16" s="12"/>
      <c r="K16" s="12"/>
      <c r="L16" s="12"/>
      <c r="M16" s="12"/>
      <c r="N16" s="12"/>
      <c r="O16" s="12"/>
      <c r="P16" s="12"/>
      <c r="Q16" s="12"/>
      <c r="R16" s="12"/>
      <c r="S16" s="9"/>
      <c r="T16" s="9"/>
      <c r="U16" s="9"/>
      <c r="V16" s="9"/>
      <c r="W16" s="9"/>
      <c r="X16" s="9"/>
      <c r="Y16" s="9"/>
      <c r="Z16" s="52"/>
      <c r="AA16" s="12"/>
      <c r="AB16" s="18"/>
      <c r="AC16" s="9"/>
      <c r="AD16" s="9"/>
      <c r="AE16" s="9"/>
      <c r="AF16" s="9"/>
      <c r="AG16" s="9"/>
      <c r="AH16" s="9"/>
      <c r="AI16" s="9"/>
      <c r="AJ16" s="9"/>
    </row>
    <row r="17" spans="1:37" s="174" customFormat="1" hidden="1" x14ac:dyDescent="0.25">
      <c r="E17" s="9"/>
      <c r="F17" s="9"/>
      <c r="G17" s="9"/>
      <c r="H17" s="12"/>
      <c r="I17" s="12"/>
      <c r="J17" s="12"/>
      <c r="K17" s="12"/>
      <c r="L17" s="12"/>
      <c r="M17" s="12"/>
      <c r="N17" s="12"/>
      <c r="O17" s="12"/>
      <c r="P17" s="12"/>
      <c r="Q17" s="12"/>
      <c r="R17" s="12"/>
      <c r="S17" s="9"/>
      <c r="T17" s="9"/>
      <c r="U17" s="9"/>
      <c r="V17" s="9"/>
      <c r="W17" s="9"/>
      <c r="X17" s="9"/>
      <c r="Y17" s="9"/>
      <c r="Z17" s="52"/>
      <c r="AA17" s="12"/>
      <c r="AB17" s="18"/>
      <c r="AC17" s="9"/>
      <c r="AD17" s="9"/>
      <c r="AE17" s="9"/>
      <c r="AF17" s="9"/>
      <c r="AG17" s="9"/>
      <c r="AH17" s="9"/>
      <c r="AI17" s="9"/>
      <c r="AJ17" s="9"/>
    </row>
    <row r="18" spans="1:37" s="174" customFormat="1" hidden="1" x14ac:dyDescent="0.25">
      <c r="E18" s="9"/>
      <c r="F18" s="9"/>
      <c r="G18" s="9"/>
      <c r="H18" s="12"/>
      <c r="I18" s="12"/>
      <c r="J18" s="12"/>
      <c r="K18" s="12"/>
      <c r="L18" s="12"/>
      <c r="M18" s="12"/>
      <c r="N18" s="12"/>
      <c r="O18" s="12"/>
      <c r="P18" s="12"/>
      <c r="Q18" s="12"/>
      <c r="R18" s="12"/>
      <c r="S18" s="9"/>
      <c r="T18" s="9"/>
      <c r="U18" s="9"/>
      <c r="V18" s="9"/>
      <c r="W18" s="9"/>
      <c r="X18" s="9"/>
      <c r="Y18" s="9"/>
      <c r="Z18" s="52"/>
      <c r="AA18" s="12"/>
      <c r="AB18" s="18"/>
      <c r="AC18" s="9"/>
      <c r="AD18" s="9"/>
      <c r="AE18" s="9"/>
      <c r="AF18" s="9"/>
      <c r="AG18" s="9"/>
      <c r="AH18" s="9"/>
      <c r="AI18" s="9"/>
      <c r="AJ18" s="9"/>
    </row>
    <row r="19" spans="1:37" s="174" customFormat="1" hidden="1" x14ac:dyDescent="0.25">
      <c r="E19" s="9"/>
      <c r="F19" s="9"/>
      <c r="G19" s="9"/>
      <c r="H19" s="12"/>
      <c r="I19" s="12"/>
      <c r="J19" s="12"/>
      <c r="K19" s="12"/>
      <c r="L19" s="12"/>
      <c r="M19" s="12"/>
      <c r="N19" s="12"/>
      <c r="O19" s="12"/>
      <c r="P19" s="12"/>
      <c r="Q19" s="12"/>
      <c r="R19" s="12"/>
      <c r="S19" s="9"/>
      <c r="T19" s="9"/>
      <c r="U19" s="9"/>
      <c r="V19" s="9"/>
      <c r="W19" s="9"/>
      <c r="X19" s="9"/>
      <c r="Y19" s="9"/>
      <c r="Z19" s="52"/>
      <c r="AA19" s="12"/>
      <c r="AB19" s="18"/>
      <c r="AC19" s="9"/>
      <c r="AD19" s="9"/>
      <c r="AE19" s="9"/>
      <c r="AF19" s="9"/>
      <c r="AG19" s="9"/>
      <c r="AH19" s="9"/>
      <c r="AI19" s="9"/>
      <c r="AJ19" s="9"/>
    </row>
    <row r="20" spans="1:37" s="174" customFormat="1" hidden="1" x14ac:dyDescent="0.25">
      <c r="E20" s="9"/>
      <c r="F20" s="9"/>
      <c r="G20" s="9"/>
      <c r="H20" s="12"/>
      <c r="I20" s="12"/>
      <c r="J20" s="12"/>
      <c r="K20" s="12"/>
      <c r="L20" s="12"/>
      <c r="M20" s="12"/>
      <c r="N20" s="12"/>
      <c r="O20" s="12"/>
      <c r="P20" s="12"/>
      <c r="Q20" s="12"/>
      <c r="R20" s="12"/>
      <c r="S20" s="9"/>
      <c r="T20" s="9"/>
      <c r="U20" s="9"/>
      <c r="V20" s="9"/>
      <c r="W20" s="9"/>
      <c r="X20" s="9"/>
      <c r="Y20" s="9"/>
      <c r="Z20" s="52"/>
      <c r="AA20" s="12"/>
      <c r="AB20" s="18"/>
      <c r="AC20" s="9"/>
      <c r="AD20" s="9"/>
      <c r="AE20" s="9"/>
      <c r="AF20" s="9"/>
      <c r="AG20" s="9"/>
      <c r="AH20" s="9"/>
      <c r="AI20" s="9"/>
      <c r="AJ20" s="9"/>
    </row>
    <row r="21" spans="1:37" s="174" customFormat="1" hidden="1" x14ac:dyDescent="0.25">
      <c r="E21" s="9"/>
      <c r="F21" s="9"/>
      <c r="G21" s="9"/>
      <c r="H21" s="12"/>
      <c r="I21" s="12"/>
      <c r="J21" s="12"/>
      <c r="K21" s="12"/>
      <c r="L21" s="12"/>
      <c r="M21" s="12"/>
      <c r="N21" s="12"/>
      <c r="O21" s="12"/>
      <c r="P21" s="12"/>
      <c r="Q21" s="12"/>
      <c r="R21" s="12"/>
      <c r="S21" s="9"/>
      <c r="T21" s="9"/>
      <c r="U21" s="9"/>
      <c r="V21" s="9"/>
      <c r="W21" s="9"/>
      <c r="X21" s="9"/>
      <c r="Y21" s="9"/>
      <c r="Z21" s="52"/>
      <c r="AA21" s="12"/>
      <c r="AB21" s="18"/>
      <c r="AC21" s="9"/>
      <c r="AD21" s="9"/>
      <c r="AE21" s="9"/>
      <c r="AF21" s="9"/>
      <c r="AG21" s="9"/>
      <c r="AH21" s="9"/>
      <c r="AI21" s="9"/>
      <c r="AJ21" s="9"/>
    </row>
    <row r="22" spans="1:37" s="174" customFormat="1" hidden="1" x14ac:dyDescent="0.25">
      <c r="E22" s="9"/>
      <c r="F22" s="9"/>
      <c r="G22" s="9"/>
      <c r="H22" s="12"/>
      <c r="I22" s="12"/>
      <c r="J22" s="12"/>
      <c r="K22" s="12"/>
      <c r="L22" s="12"/>
      <c r="M22" s="12"/>
      <c r="N22" s="12"/>
      <c r="O22" s="12"/>
      <c r="P22" s="12"/>
      <c r="Q22" s="12"/>
      <c r="R22" s="12"/>
      <c r="S22" s="9"/>
      <c r="T22" s="9"/>
      <c r="U22" s="9"/>
      <c r="V22" s="9"/>
      <c r="W22" s="9"/>
      <c r="X22" s="9"/>
      <c r="Y22" s="9"/>
      <c r="Z22" s="52"/>
      <c r="AA22" s="12"/>
      <c r="AB22" s="18"/>
      <c r="AC22" s="9"/>
      <c r="AD22" s="9"/>
      <c r="AE22" s="9"/>
      <c r="AF22" s="9"/>
      <c r="AG22" s="9"/>
      <c r="AH22" s="9"/>
      <c r="AI22" s="9"/>
      <c r="AJ22" s="9"/>
    </row>
    <row r="23" spans="1:37" s="174" customFormat="1" hidden="1" x14ac:dyDescent="0.25">
      <c r="E23" s="9"/>
      <c r="F23" s="9"/>
      <c r="G23" s="9"/>
      <c r="H23" s="12"/>
      <c r="I23" s="12"/>
      <c r="J23" s="12"/>
      <c r="K23" s="12"/>
      <c r="L23" s="12"/>
      <c r="M23" s="12"/>
      <c r="N23" s="12"/>
      <c r="O23" s="12"/>
      <c r="P23" s="12"/>
      <c r="Q23" s="12"/>
      <c r="R23" s="12"/>
      <c r="S23" s="9"/>
      <c r="T23" s="9"/>
      <c r="U23" s="9"/>
      <c r="V23" s="9"/>
      <c r="W23" s="9"/>
      <c r="X23" s="9"/>
      <c r="Y23" s="9"/>
      <c r="Z23" s="52"/>
      <c r="AA23" s="12"/>
      <c r="AB23" s="18"/>
      <c r="AC23" s="9"/>
      <c r="AD23" s="9"/>
      <c r="AE23" s="9"/>
      <c r="AF23" s="9"/>
      <c r="AG23" s="9"/>
      <c r="AH23" s="9"/>
      <c r="AI23" s="9"/>
      <c r="AJ23" s="9"/>
    </row>
    <row r="24" spans="1:37" s="174" customFormat="1" hidden="1" x14ac:dyDescent="0.25">
      <c r="E24" s="9"/>
      <c r="F24" s="9"/>
      <c r="G24" s="9"/>
      <c r="H24" s="12"/>
      <c r="I24" s="12"/>
      <c r="J24" s="12"/>
      <c r="K24" s="12"/>
      <c r="L24" s="12"/>
      <c r="M24" s="12"/>
      <c r="N24" s="12"/>
      <c r="O24" s="12"/>
      <c r="P24" s="12"/>
      <c r="Q24" s="12"/>
      <c r="R24" s="12"/>
      <c r="S24" s="9"/>
      <c r="T24" s="9"/>
      <c r="U24" s="9"/>
      <c r="V24" s="9"/>
      <c r="W24" s="9"/>
      <c r="X24" s="9"/>
      <c r="Y24" s="9"/>
      <c r="Z24" s="52"/>
      <c r="AA24" s="12"/>
      <c r="AB24" s="18"/>
      <c r="AC24" s="9"/>
      <c r="AD24" s="9"/>
      <c r="AE24" s="9"/>
      <c r="AF24" s="9"/>
      <c r="AG24" s="9"/>
      <c r="AH24" s="9"/>
      <c r="AI24" s="9"/>
      <c r="AJ24" s="9"/>
    </row>
    <row r="25" spans="1:37" s="174" customFormat="1" hidden="1" x14ac:dyDescent="0.25">
      <c r="E25" s="9"/>
      <c r="F25" s="9"/>
      <c r="G25" s="9"/>
      <c r="H25" s="12"/>
      <c r="I25" s="12"/>
      <c r="J25" s="12"/>
      <c r="K25" s="12"/>
      <c r="L25" s="12"/>
      <c r="M25" s="12"/>
      <c r="N25" s="12"/>
      <c r="O25" s="12"/>
      <c r="P25" s="12"/>
      <c r="Q25" s="12"/>
      <c r="R25" s="12"/>
      <c r="S25" s="9"/>
      <c r="T25" s="9"/>
      <c r="U25" s="9"/>
      <c r="V25" s="9"/>
      <c r="W25" s="9"/>
      <c r="X25" s="9"/>
      <c r="Y25" s="9"/>
      <c r="Z25" s="52"/>
      <c r="AA25" s="12"/>
      <c r="AB25" s="18"/>
      <c r="AC25" s="9"/>
      <c r="AD25" s="9"/>
      <c r="AE25" s="9"/>
      <c r="AF25" s="9"/>
      <c r="AG25" s="9"/>
      <c r="AH25" s="9"/>
      <c r="AI25" s="9"/>
      <c r="AJ25" s="9"/>
    </row>
    <row r="26" spans="1:37" s="174" customFormat="1" hidden="1" x14ac:dyDescent="0.25">
      <c r="E26" s="9"/>
      <c r="F26" s="9"/>
      <c r="G26" s="9"/>
      <c r="H26" s="12"/>
      <c r="I26" s="12"/>
      <c r="J26" s="12"/>
      <c r="K26" s="12"/>
      <c r="L26" s="12"/>
      <c r="M26" s="12"/>
      <c r="N26" s="12"/>
      <c r="O26" s="12"/>
      <c r="P26" s="12"/>
      <c r="Q26" s="12"/>
      <c r="R26" s="12"/>
      <c r="S26" s="9"/>
      <c r="T26" s="9"/>
      <c r="U26" s="9"/>
      <c r="V26" s="9"/>
      <c r="W26" s="9"/>
      <c r="X26" s="9"/>
      <c r="Y26" s="9"/>
      <c r="Z26" s="52"/>
      <c r="AA26" s="12"/>
      <c r="AB26" s="18"/>
      <c r="AC26" s="9"/>
      <c r="AD26" s="9"/>
      <c r="AE26" s="9"/>
      <c r="AF26" s="9"/>
      <c r="AG26" s="9"/>
      <c r="AH26" s="9"/>
      <c r="AI26" s="9"/>
      <c r="AJ26" s="9"/>
    </row>
    <row r="27" spans="1:37" s="174" customFormat="1" hidden="1" x14ac:dyDescent="0.25">
      <c r="E27" s="9"/>
      <c r="F27" s="9"/>
      <c r="G27" s="9"/>
      <c r="H27" s="12"/>
      <c r="I27" s="12"/>
      <c r="J27" s="12"/>
      <c r="K27" s="12"/>
      <c r="L27" s="12"/>
      <c r="M27" s="12"/>
      <c r="N27" s="12"/>
      <c r="O27" s="12"/>
      <c r="P27" s="12"/>
      <c r="Q27" s="12"/>
      <c r="R27" s="12"/>
      <c r="S27" s="9"/>
      <c r="T27" s="9"/>
      <c r="U27" s="9"/>
      <c r="V27" s="9"/>
      <c r="W27" s="9"/>
      <c r="X27" s="9"/>
      <c r="Y27" s="9"/>
      <c r="Z27" s="52"/>
      <c r="AA27" s="12"/>
      <c r="AB27" s="18"/>
      <c r="AC27" s="9"/>
      <c r="AD27" s="9"/>
      <c r="AE27" s="9"/>
      <c r="AF27" s="9"/>
      <c r="AG27" s="9"/>
      <c r="AH27" s="9"/>
      <c r="AI27" s="9"/>
      <c r="AJ27" s="9"/>
    </row>
    <row r="28" spans="1:37" s="174" customFormat="1" hidden="1" x14ac:dyDescent="0.25">
      <c r="E28" s="9"/>
      <c r="F28" s="9"/>
      <c r="G28" s="9"/>
      <c r="H28" s="12"/>
      <c r="I28" s="12"/>
      <c r="J28" s="12"/>
      <c r="K28" s="12"/>
      <c r="L28" s="12"/>
      <c r="M28" s="12"/>
      <c r="N28" s="12"/>
      <c r="O28" s="12"/>
      <c r="P28" s="12"/>
      <c r="Q28" s="12"/>
      <c r="R28" s="12"/>
      <c r="S28" s="9"/>
      <c r="T28" s="9"/>
      <c r="U28" s="9"/>
      <c r="V28" s="9"/>
      <c r="W28" s="9"/>
      <c r="X28" s="9"/>
      <c r="Y28" s="9"/>
      <c r="Z28" s="52"/>
      <c r="AA28" s="12"/>
      <c r="AB28" s="18"/>
      <c r="AC28" s="9"/>
      <c r="AD28" s="9"/>
      <c r="AE28" s="9"/>
      <c r="AF28" s="9"/>
      <c r="AG28" s="9"/>
      <c r="AH28" s="9"/>
      <c r="AI28" s="9"/>
      <c r="AJ28" s="9"/>
    </row>
    <row r="29" spans="1:37" ht="15.75" thickBot="1" x14ac:dyDescent="0.3"/>
    <row r="30" spans="1:37" ht="120.75" thickBot="1" x14ac:dyDescent="0.25">
      <c r="A30" s="19" t="s">
        <v>266</v>
      </c>
      <c r="B30" s="267" t="str">
        <f>'הזנה לתנאי סף'!C29</f>
        <v>מספר בקשה חדשה</v>
      </c>
      <c r="C30" s="267" t="str">
        <f>'הזנה לתנאי סף'!D29</f>
        <v>מספר בקשה המקורית ל-2020</v>
      </c>
      <c r="D30" s="267" t="str">
        <f>'הזנה לתנאי סף'!E29</f>
        <v>מספר מרכבה - ספק</v>
      </c>
      <c r="E30" s="20" t="s">
        <v>519</v>
      </c>
      <c r="F30" s="20" t="s">
        <v>256</v>
      </c>
      <c r="G30" s="20" t="s">
        <v>358</v>
      </c>
      <c r="H30" s="20" t="s">
        <v>372</v>
      </c>
      <c r="I30" s="230" t="str">
        <f>'הזנה לתנאי סף'!R29</f>
        <v>סך הכנסות המוסד בשנת 2018 מהפעילות בעדה מבוקש הסיוע המיוחד (בש"ח)</v>
      </c>
      <c r="J30" s="20" t="s">
        <v>452</v>
      </c>
      <c r="K30" s="230" t="str">
        <f>'הזנה לתנאי סף'!N29</f>
        <v>המוסד צירף אישור על שימור או הגדלה של התמיכה המקומית בתרבות בשנת 2020 בהשוואה לשנת 2019</v>
      </c>
      <c r="L30" s="230" t="str">
        <f>'הזנה לתנאי סף'!O29</f>
        <v>המוסד צירף אישור על התמיכה המקומית בפעילות נתמכת מסוימת של המוסד בשנת 2020 בהשוואה לשנת 2019</v>
      </c>
      <c r="M30" s="230" t="str">
        <f>'הזנה לתנאי סף'!Q29</f>
        <v>המוסד צירף הצהרה כי במהלך התקופה שבין 20 לאוקטובר 2020 ועד 31 לדצמבר 2020 יעבדו בגוף 70% לפחות ממספר העובדים שעבדו בו ביום 1 במרץ 2020 או ניתן אישור ועדה מיוחד</v>
      </c>
      <c r="N30" s="20" t="s">
        <v>447</v>
      </c>
      <c r="O30" s="20"/>
      <c r="P30" s="20" t="s">
        <v>448</v>
      </c>
      <c r="Q30" s="20" t="s">
        <v>449</v>
      </c>
      <c r="R30" s="20" t="s">
        <v>451</v>
      </c>
      <c r="S30" s="20" t="s">
        <v>450</v>
      </c>
      <c r="T30" s="20" t="s">
        <v>506</v>
      </c>
      <c r="U30" s="20" t="s">
        <v>507</v>
      </c>
      <c r="V30" s="268" t="s">
        <v>1134</v>
      </c>
      <c r="W30" s="236" t="s">
        <v>1135</v>
      </c>
      <c r="X30" s="236" t="s">
        <v>517</v>
      </c>
      <c r="Y30" s="236" t="s">
        <v>518</v>
      </c>
      <c r="Z30" s="20" t="s">
        <v>488</v>
      </c>
      <c r="AA30" s="236" t="s">
        <v>509</v>
      </c>
      <c r="AB30" s="20" t="s">
        <v>275</v>
      </c>
      <c r="AC30" s="236" t="s">
        <v>508</v>
      </c>
      <c r="AD30" s="21" t="s">
        <v>267</v>
      </c>
      <c r="AE30" s="303" t="s">
        <v>792</v>
      </c>
      <c r="AF30" s="303" t="s">
        <v>793</v>
      </c>
      <c r="AG30" s="303" t="s">
        <v>794</v>
      </c>
      <c r="AH30" s="303" t="s">
        <v>795</v>
      </c>
      <c r="AK30" s="23" t="s">
        <v>277</v>
      </c>
    </row>
    <row r="31" spans="1:37" s="14" customFormat="1" ht="29.25" x14ac:dyDescent="0.25">
      <c r="A31" s="54">
        <f>'הזנה לתנאי סף'!B31</f>
        <v>1</v>
      </c>
      <c r="B31" s="266">
        <f>IF($F31="","",'הזנה לתנאי סף'!C31)</f>
        <v>1001346678</v>
      </c>
      <c r="C31" s="266">
        <f>IF($F31="","",'הזנה לתנאי סף'!D31)</f>
        <v>1001268955</v>
      </c>
      <c r="D31" s="266">
        <f>IF($F31="","",'הזנה לתנאי סף'!E31)</f>
        <v>40000100</v>
      </c>
      <c r="E31" s="55">
        <f>IF($F31="","",'הזנה לתנאי סף'!F31)</f>
        <v>20000159</v>
      </c>
      <c r="F31" s="55" t="str">
        <f>IF('הזנה לתנאי סף'!BL31=1,'הזנה לתנאי סף'!G31,"")</f>
        <v>ירושלים</v>
      </c>
      <c r="G31" s="55" t="str">
        <f>IF($F31="","",'הזנה לתנאי סף'!H31)</f>
        <v>בית עגנון בירושלים</v>
      </c>
      <c r="H31" s="55" t="str">
        <f>IF($F31="","",'הזנה לתנאי סף'!I31)</f>
        <v>מרכזי פרינג'</v>
      </c>
      <c r="I31" s="187">
        <f>IF($F31="","",'הזנה לתנאי סף'!R31)</f>
        <v>2714261</v>
      </c>
      <c r="J31" s="187">
        <f>IF($F31="","",'תחום תמיכה א'!P31)</f>
        <v>2654584</v>
      </c>
      <c r="K31" s="177">
        <f>IF($F31="","",'הזנה לתנאי סף'!N31)</f>
        <v>1</v>
      </c>
      <c r="L31" s="177">
        <f>IF($F31="","",'הזנה לתנאי סף'!O31)</f>
        <v>1</v>
      </c>
      <c r="M31" s="177">
        <f>IF($F31="","",'הזנה לתנאי סף'!Q31)</f>
        <v>1</v>
      </c>
      <c r="N31" s="187">
        <f>IF($F31="","",'תחום תמיכה א'!AE31)</f>
        <v>85875.460870772033</v>
      </c>
      <c r="O31" s="187">
        <f>IF(I31="","",'תחום תמיכה א'!AF31)</f>
        <v>0</v>
      </c>
      <c r="P31" s="187">
        <f>IF($F31="","",'תחום תמיכה ב'!AC31)</f>
        <v>162014.64057179153</v>
      </c>
      <c r="Q31" s="187">
        <f>IF($F31="","",IF('תחום תמיכה ג'!O31="",0,'תחום תמיכה ג'!O31))</f>
        <v>28007.208508322165</v>
      </c>
      <c r="R31" s="187">
        <f>IF($F31="","",IFERROR(S31-P31,""))</f>
        <v>4858.0174623374187</v>
      </c>
      <c r="S31" s="187">
        <f>IF($F31="","",'תחום תמיכה ב'!AE31)</f>
        <v>166872.65803412895</v>
      </c>
      <c r="T31" s="187">
        <f>IF($F31="","",IF(Q31='תחום תמיכה ג'!$Q$2,'תחום תמיכה ג'!$Q$2,IFERROR(SUMIF(N31:R31,"&gt;0"),'תחום תמיכה ג'!$Q$2)))</f>
        <v>280755.32741322322</v>
      </c>
      <c r="U31" s="187">
        <f>IF($F31="","",'הזנה לתנאי סף'!Y31)</f>
        <v>1000000</v>
      </c>
      <c r="V31" s="269">
        <f>IF(F31="","",'הגבלה לסכום מבוקש '!AA31)</f>
        <v>308554.72836980317</v>
      </c>
      <c r="W31" s="187">
        <f>IF(G31="","",V31/4)</f>
        <v>77138.682092450792</v>
      </c>
      <c r="X31" s="187">
        <f>IF(F31="","",'הזנה לתנאי סף'!Z31)</f>
        <v>600000</v>
      </c>
      <c r="Y31" s="237"/>
      <c r="Z31" s="187" t="str">
        <f>IF(OR($F31="",Y31=""),"",IFERROR(IF(Y31&gt;V31,MIN(Y31,T31)-V31,0),'תחום תמיכה ג'!$Q$2))</f>
        <v/>
      </c>
      <c r="AA31" s="259"/>
      <c r="AB31" s="260" t="str">
        <f>Z31</f>
        <v/>
      </c>
      <c r="AC31" s="261"/>
      <c r="AD31" s="179"/>
      <c r="AE31" s="13" t="str">
        <f>IF($C31="","",IFERROR(VLOOKUP($C31,גיליון1!$A:$E,2,0),"לא הגיש בקשה שוטפת"))</f>
        <v>בית עגנון</v>
      </c>
      <c r="AF31" s="13" t="str">
        <f>IF($C31="","",IFERROR(VLOOKUP($C31,גיליון1!$A:$E,3,0),"לא הגיש בקשה שוטפת"))</f>
        <v>מועד</v>
      </c>
      <c r="AG31" s="13" t="str">
        <f>IF($C31="","",IFERROR(VLOOKUP($C31,גיליון1!$A:$E,4,0),"לא הגיש בקשה שוטפת"))</f>
        <v>19-42-02-22</v>
      </c>
      <c r="AH31" s="13" t="str">
        <f>IF($C31="","",IFERROR(VLOOKUP($C31,גיליון1!$A:$E,5,0),"לא הגיש בקשה שוטפת"))</f>
        <v>ספרות</v>
      </c>
      <c r="AI31" s="13">
        <f>IF(T31&gt;U31,1,0)</f>
        <v>0</v>
      </c>
      <c r="AJ31" s="176"/>
      <c r="AK31" s="14" t="s">
        <v>214</v>
      </c>
    </row>
    <row r="32" spans="1:37" ht="57.75" x14ac:dyDescent="0.25">
      <c r="A32" s="54">
        <f>'הזנה לתנאי סף'!B32</f>
        <v>2</v>
      </c>
      <c r="B32" s="266">
        <f>IF($F32="","",'הזנה לתנאי סף'!C32)</f>
        <v>1001349309</v>
      </c>
      <c r="C32" s="266">
        <f>IF($F32="","",'הזנה לתנאי סף'!D32)</f>
        <v>1001263928</v>
      </c>
      <c r="D32" s="266">
        <f>IF($F32="","",'הזנה לתנאי סף'!E32)</f>
        <v>40000096</v>
      </c>
      <c r="E32" s="55">
        <f>IF($F32="","",'הזנה לתנאי סף'!F32)</f>
        <v>20000254</v>
      </c>
      <c r="F32" s="55" t="str">
        <f>IF('הזנה לתנאי סף'!BL32=1,'הזנה לתנאי סף'!G32,"")</f>
        <v>באר שבע</v>
      </c>
      <c r="G32" s="55" t="str">
        <f>IF($F32="","",'הזנה לתנאי סף'!H32)</f>
        <v>עמותת הסינפונייטה הישראלית באר שבע</v>
      </c>
      <c r="H32" s="55" t="str">
        <f>IF($F32="","",'הזנה לתנאי סף'!I32)</f>
        <v>מוסיקה-גופים כליים</v>
      </c>
      <c r="I32" s="187">
        <f>IF($F32="","",'הזנה לתנאי סף'!R32)</f>
        <v>12149169</v>
      </c>
      <c r="J32" s="187">
        <f>IF($F32="","",'תחום תמיכה א'!P32)</f>
        <v>11736381</v>
      </c>
      <c r="K32" s="177">
        <f>IF($F32="","",'הזנה לתנאי סף'!N32)</f>
        <v>1</v>
      </c>
      <c r="L32" s="177">
        <f>IF($F32="","",'הזנה לתנאי סף'!O32)</f>
        <v>1</v>
      </c>
      <c r="M32" s="177">
        <f>IF($F32="","",'הזנה לתנאי סף'!Q32)</f>
        <v>1</v>
      </c>
      <c r="N32" s="187">
        <f>IF($F32="","",'תחום תמיכה א'!AE32)</f>
        <v>161230.37123620135</v>
      </c>
      <c r="O32" s="178"/>
      <c r="P32" s="187">
        <f>IF($F32="","",'תחום תמיכה ב'!AC32)</f>
        <v>130776.3826352</v>
      </c>
      <c r="Q32" s="187">
        <f>IF($F32="","",IF('תחום תמיכה ג'!O32="",0,'תחום תמיכה ג'!O32))</f>
        <v>1649.8530559941917</v>
      </c>
      <c r="R32" s="187">
        <f t="shared" ref="R32:R95" si="0">IF($F32="","",IFERROR(S32-P32,""))</f>
        <v>3921.336666000876</v>
      </c>
      <c r="S32" s="187">
        <f>IF($F32="","",'תחום תמיכה ב'!AE32)</f>
        <v>134697.71930120088</v>
      </c>
      <c r="T32" s="187">
        <f>IF($F32="","",IF(Q32='תחום תמיכה ג'!$Q$2,'תחום תמיכה ג'!$Q$2,IFERROR(SUMIF(N32:R32,"&gt;0"),'תחום תמיכה ג'!$Q$2)))</f>
        <v>297577.94359339646</v>
      </c>
      <c r="U32" s="187">
        <f>IF($F32="","",'הזנה לתנאי סף'!Y32)</f>
        <v>2000000</v>
      </c>
      <c r="V32" s="269">
        <f>IF(F32="","",'הגבלה לסכום מבוקש '!AA32)</f>
        <v>320049.61302385281</v>
      </c>
      <c r="W32" s="187">
        <f t="shared" ref="W32:W95" si="1">IF(G32="","",V32/4)</f>
        <v>80012.403255963203</v>
      </c>
      <c r="X32" s="187">
        <f>IF(F32="","",'הזנה לתנאי סף'!Z32)</f>
        <v>20000</v>
      </c>
      <c r="Y32" s="237"/>
      <c r="Z32" s="187" t="str">
        <f>IF(OR($F32="",Y32=""),"",IFERROR(IF(Y32&gt;V32,MIN(Y32,T32)-V32,0),'תחום תמיכה ג'!$Q$2))</f>
        <v/>
      </c>
      <c r="AA32" s="259"/>
      <c r="AB32" s="260"/>
      <c r="AC32" s="261"/>
      <c r="AD32" s="180"/>
      <c r="AE32" s="13" t="str">
        <f>IF($C32="","",IFERROR(VLOOKUP($C32,גיליון1!$A:$E,2,0),"לא הגיש בקשה שוטפת"))</f>
        <v>בקשת תמיכה לשנת 2020</v>
      </c>
      <c r="AF32" s="13" t="str">
        <f>IF($C32="","",IFERROR(VLOOKUP($C32,גיליון1!$A:$E,3,0),"לא הגיש בקשה שוטפת"))</f>
        <v>חויב</v>
      </c>
      <c r="AG32" s="13" t="str">
        <f>IF($C32="","",IFERROR(VLOOKUP($C32,גיליון1!$A:$E,4,0),"לא הגיש בקשה שוטפת"))</f>
        <v>19-42-02-16</v>
      </c>
      <c r="AH32" s="13" t="str">
        <f>IF($C32="","",IFERROR(VLOOKUP($C32,גיליון1!$A:$E,5,0),"לא הגיש בקשה שוטפת"))</f>
        <v>מוסיקה</v>
      </c>
      <c r="AI32" s="13">
        <f t="shared" ref="AI32:AI95" si="2">IF(T32&gt;U32,1,0)</f>
        <v>0</v>
      </c>
      <c r="AK32" t="s">
        <v>222</v>
      </c>
    </row>
    <row r="33" spans="1:37" ht="57.75" x14ac:dyDescent="0.25">
      <c r="A33" s="54">
        <f>'הזנה לתנאי סף'!B33</f>
        <v>3</v>
      </c>
      <c r="B33" s="266">
        <f>IF($F33="","",'הזנה לתנאי סף'!C33)</f>
        <v>1001347990</v>
      </c>
      <c r="C33" s="266">
        <f>IF($F33="","",'הזנה לתנאי סף'!D33)</f>
        <v>1001263876</v>
      </c>
      <c r="D33" s="266">
        <f>IF($F33="","",'הזנה לתנאי סף'!E33)</f>
        <v>40000104</v>
      </c>
      <c r="E33" s="55">
        <f>IF($F33="","",'הזנה לתנאי סף'!F33)</f>
        <v>20000250</v>
      </c>
      <c r="F33" s="55" t="str">
        <f>IF('הזנה לתנאי סף'!BL33=1,'הזנה לתנאי סף'!G33,"")</f>
        <v>רמת גן</v>
      </c>
      <c r="G33" s="55" t="str">
        <f>IF($F33="","",'הזנה לתנאי סף'!H33)</f>
        <v>בית צבי ביה"ס לאומנויות הבמה</v>
      </c>
      <c r="H33" s="55" t="str">
        <f>IF($F33="","",'הזנה לתנאי סף'!I33)</f>
        <v>בתי ספר למשחק</v>
      </c>
      <c r="I33" s="187">
        <f>IF($F33="","",'הזנה לתנאי סף'!R33)</f>
        <v>9598737</v>
      </c>
      <c r="J33" s="187">
        <f>IF($F33="","",'תחום תמיכה א'!P33)</f>
        <v>10639200</v>
      </c>
      <c r="K33" s="177">
        <f>IF($F33="","",'הזנה לתנאי סף'!N33)</f>
        <v>0</v>
      </c>
      <c r="L33" s="177">
        <f>IF($F33="","",'הזנה לתנאי סף'!O33)</f>
        <v>1</v>
      </c>
      <c r="M33" s="177">
        <f>IF($F33="","",'הזנה לתנאי סף'!Q33)</f>
        <v>1</v>
      </c>
      <c r="N33" s="187">
        <f>IF($F33="","",'תחום תמיכה א'!AE33)</f>
        <v>336176.73013158946</v>
      </c>
      <c r="O33" s="178"/>
      <c r="P33" s="187">
        <f>IF($F33="","",'תחום תמיכה ב'!AC33)</f>
        <v>546624.2343339423</v>
      </c>
      <c r="Q33" s="187">
        <f>IF($F33="","",IF('תחום תמיכה ג'!O33="",0,'תחום תמיכה ג'!O33))</f>
        <v>0</v>
      </c>
      <c r="R33" s="187">
        <f t="shared" si="0"/>
        <v>16390.556226024521</v>
      </c>
      <c r="S33" s="187">
        <f>IF($F33="","",'תחום תמיכה ב'!AE33)</f>
        <v>563014.79055996682</v>
      </c>
      <c r="T33" s="187">
        <f>IF($F33="","",IF(Q33='תחום תמיכה ג'!$Q$2,'תחום תמיכה ג'!$Q$2,IFERROR(SUMIF(N33:R33,"&gt;0"),'תחום תמיכה ג'!$Q$2)))</f>
        <v>899191.52069155627</v>
      </c>
      <c r="U33" s="187">
        <f>IF($F33="","",'הזנה לתנאי סף'!Y33)</f>
        <v>250000</v>
      </c>
      <c r="V33" s="269">
        <f>IF(F33="","",'הגבלה לסכום מבוקש '!AA33)</f>
        <v>250000</v>
      </c>
      <c r="W33" s="187">
        <f t="shared" si="1"/>
        <v>62500</v>
      </c>
      <c r="X33" s="187">
        <f>IF(F33="","",'הזנה לתנאי סף'!Z33)</f>
        <v>250000</v>
      </c>
      <c r="Y33" s="237"/>
      <c r="Z33" s="187" t="str">
        <f>IF(OR($F33="",Y33=""),"",IFERROR(IF(Y33&gt;V33,MIN(Y33,T33)-V33,0),'תחום תמיכה ג'!$Q$2))</f>
        <v/>
      </c>
      <c r="AA33" s="259"/>
      <c r="AB33" s="260" t="str">
        <f t="shared" ref="AB33:AB95" si="3">Z33</f>
        <v/>
      </c>
      <c r="AC33" s="261"/>
      <c r="AD33" s="180"/>
      <c r="AE33" s="13" t="str">
        <f>IF($C33="","",IFERROR(VLOOKUP($C33,גיליון1!$A:$E,2,0),"לא הגיש בקשה שוטפת"))</f>
        <v>תמיכה לפעילות השוטפת של בית הספר</v>
      </c>
      <c r="AF33" s="13" t="str">
        <f>IF($C33="","",IFERROR(VLOOKUP($C33,גיליון1!$A:$E,3,0),"לא הגיש בקשה שוטפת"))</f>
        <v>מועד</v>
      </c>
      <c r="AG33" s="13" t="str">
        <f>IF($C33="","",IFERROR(VLOOKUP($C33,גיליון1!$A:$E,4,0),"לא הגיש בקשה שוטפת"))</f>
        <v>19-42-02-36</v>
      </c>
      <c r="AH33" s="13" t="str">
        <f>IF($C33="","",IFERROR(VLOOKUP($C33,גיליון1!$A:$E,5,0),"לא הגיש בקשה שוטפת"))</f>
        <v>בתי ספר לאומנות -</v>
      </c>
      <c r="AI33" s="13">
        <f t="shared" si="2"/>
        <v>1</v>
      </c>
      <c r="AK33" t="s">
        <v>185</v>
      </c>
    </row>
    <row r="34" spans="1:37" ht="43.5" x14ac:dyDescent="0.25">
      <c r="A34" s="54">
        <f>'הזנה לתנאי סף'!B34</f>
        <v>4</v>
      </c>
      <c r="B34" s="266">
        <f>IF($F34="","",'הזנה לתנאי סף'!C34)</f>
        <v>1001347193</v>
      </c>
      <c r="C34" s="266">
        <f>IF($F34="","",'הזנה לתנאי סף'!D34)</f>
        <v>1001266975</v>
      </c>
      <c r="D34" s="266">
        <f>IF($F34="","",'הזנה לתנאי סף'!E34)</f>
        <v>40000118</v>
      </c>
      <c r="E34" s="55">
        <f>IF($F34="","",'הזנה לתנאי סף'!F34)</f>
        <v>20000161</v>
      </c>
      <c r="F34" s="55" t="str">
        <f>IF('הזנה לתנאי סף'!BL34=1,'הזנה לתנאי סף'!G34,"")</f>
        <v>מנשה</v>
      </c>
      <c r="G34" s="55" t="str">
        <f>IF($F34="","",'הזנה לתנאי סף'!H34)</f>
        <v>מוזיאון חצר ראשונים עין שמר</v>
      </c>
      <c r="H34" s="55" t="str">
        <f>IF($F34="","",'הזנה לתנאי סף'!I34)</f>
        <v>מוזיאונים</v>
      </c>
      <c r="I34" s="187">
        <f>IF($F34="","",'הזנה לתנאי סף'!R34)</f>
        <v>1467056</v>
      </c>
      <c r="J34" s="187">
        <f>IF($F34="","",'תחום תמיכה א'!P34)</f>
        <v>1334584</v>
      </c>
      <c r="K34" s="177">
        <f>IF($F34="","",'הזנה לתנאי סף'!N34)</f>
        <v>1</v>
      </c>
      <c r="L34" s="177">
        <f>IF($F34="","",'הזנה לתנאי סף'!O34)</f>
        <v>1</v>
      </c>
      <c r="M34" s="177">
        <f>IF($F34="","",'הזנה לתנאי סף'!Q34)</f>
        <v>1</v>
      </c>
      <c r="N34" s="187">
        <f>IF($F34="","",'תחום תמיכה א'!AE34)</f>
        <v>52769.556366761099</v>
      </c>
      <c r="O34" s="178"/>
      <c r="P34" s="187">
        <f>IF($F34="","",'תחום תמיכה ב'!AC34)</f>
        <v>130821.51933281172</v>
      </c>
      <c r="Q34" s="187">
        <f>IF($F34="","",IF('תחום תמיכה ג'!O34="",0,'תחום תמיכה ג'!O34))</f>
        <v>0</v>
      </c>
      <c r="R34" s="187">
        <f t="shared" si="0"/>
        <v>3922.6900922370114</v>
      </c>
      <c r="S34" s="187">
        <f>IF($F34="","",'תחום תמיכה ב'!AE34)</f>
        <v>134744.20942504873</v>
      </c>
      <c r="T34" s="187">
        <f>IF($F34="","",IF(Q34='תחום תמיכה ג'!$Q$2,'תחום תמיכה ג'!$Q$2,IFERROR(SUMIF(N34:R34,"&gt;0"),'תחום תמיכה ג'!$Q$2)))</f>
        <v>187513.76579180983</v>
      </c>
      <c r="U34" s="187">
        <f>IF($F34="","",'הזנה לתנאי סף'!Y34)</f>
        <v>590000</v>
      </c>
      <c r="V34" s="269">
        <f>IF(F34="","",'הגבלה לסכום מבוקש '!AA34)</f>
        <v>209943.02929415781</v>
      </c>
      <c r="W34" s="187">
        <f t="shared" si="1"/>
        <v>52485.757323539452</v>
      </c>
      <c r="X34" s="187">
        <f>IF(F34="","",'הזנה לתנאי סף'!Z34)</f>
        <v>300000</v>
      </c>
      <c r="Y34" s="237"/>
      <c r="Z34" s="187" t="str">
        <f>IF(OR($F34="",Y34=""),"",IFERROR(IF(Y34&gt;V34,MIN(Y34,T34)-V34,0),'תחום תמיכה ג'!$Q$2))</f>
        <v/>
      </c>
      <c r="AA34" s="259"/>
      <c r="AB34" s="260" t="str">
        <f t="shared" si="3"/>
        <v/>
      </c>
      <c r="AC34" s="261"/>
      <c r="AD34" s="180"/>
      <c r="AE34" s="13" t="str">
        <f>IF($C34="","",IFERROR(VLOOKUP($C34,גיליון1!$A:$E,2,0),"לא הגיש בקשה שוטפת"))</f>
        <v>תמיכה שוטפת בפעילות המוזאון לשנת 2020</v>
      </c>
      <c r="AF34" s="13" t="str">
        <f>IF($C34="","",IFERROR(VLOOKUP($C34,גיליון1!$A:$E,3,0),"לא הגיש בקשה שוטפת"))</f>
        <v>חויב</v>
      </c>
      <c r="AG34" s="13" t="str">
        <f>IF($C34="","",IFERROR(VLOOKUP($C34,גיליון1!$A:$E,4,0),"לא הגיש בקשה שוטפת"))</f>
        <v>19-42-02-18</v>
      </c>
      <c r="AH34" s="13" t="str">
        <f>IF($C34="","",IFERROR(VLOOKUP($C34,גיליון1!$A:$E,5,0),"לא הגיש בקשה שוטפת"))</f>
        <v>מוזיאונים ואמנות פלס</v>
      </c>
      <c r="AI34" s="13">
        <f t="shared" si="2"/>
        <v>0</v>
      </c>
      <c r="AK34" t="s">
        <v>13</v>
      </c>
    </row>
    <row r="35" spans="1:37" ht="29.25" x14ac:dyDescent="0.25">
      <c r="A35" s="54">
        <f>'הזנה לתנאי סף'!B35</f>
        <v>5</v>
      </c>
      <c r="B35" s="266">
        <f>IF($F35="","",'הזנה לתנאי סף'!C35)</f>
        <v>1001349260</v>
      </c>
      <c r="C35" s="266">
        <f>IF($F35="","",'הזנה לתנאי סף'!D35)</f>
        <v>1001276615</v>
      </c>
      <c r="D35" s="266">
        <f>IF($F35="","",'הזנה לתנאי סף'!E35)</f>
        <v>40000478</v>
      </c>
      <c r="E35" s="55">
        <f>IF($F35="","",'הזנה לתנאי סף'!F35)</f>
        <v>20000201</v>
      </c>
      <c r="F35" s="55" t="str">
        <f>IF('הזנה לתנאי סף'!BL35=1,'הזנה לתנאי סף'!G35,"")</f>
        <v>תל אביב -יפו</v>
      </c>
      <c r="G35" s="55" t="str">
        <f>IF($F35="","",'הזנה לתנאי סף'!H35)</f>
        <v>תיאטרון היידישפיל</v>
      </c>
      <c r="H35" s="55" t="str">
        <f>IF($F35="","",'הזנה לתנאי סף'!I35)</f>
        <v>תיאטרון</v>
      </c>
      <c r="I35" s="187">
        <f>IF($F35="","",'הזנה לתנאי סף'!R35)</f>
        <v>16867224</v>
      </c>
      <c r="J35" s="187">
        <f>IF($F35="","",'תחום תמיכה א'!P35)</f>
        <v>16429358</v>
      </c>
      <c r="K35" s="177">
        <f>IF($F35="","",'הזנה לתנאי סף'!N35)</f>
        <v>1</v>
      </c>
      <c r="L35" s="177">
        <f>IF($F35="","",'הזנה לתנאי סף'!O35)</f>
        <v>1</v>
      </c>
      <c r="M35" s="177">
        <f>IF($F35="","",'הזנה לתנאי סף'!Q35)</f>
        <v>1</v>
      </c>
      <c r="N35" s="187">
        <f>IF($F35="","",'תחום תמיכה א'!AE35)</f>
        <v>369734.59468717029</v>
      </c>
      <c r="O35" s="178"/>
      <c r="P35" s="187">
        <f>IF($F35="","",'תחום תמיכה ב'!AC35)</f>
        <v>487236.75282867794</v>
      </c>
      <c r="Q35" s="187">
        <f>IF($F35="","",IF('תחום תמיכה ג'!O35="",0,'תחום תמיכה ג'!O35))</f>
        <v>204319.20925830651</v>
      </c>
      <c r="R35" s="187">
        <f t="shared" si="0"/>
        <v>14609.819490266556</v>
      </c>
      <c r="S35" s="187">
        <f>IF($F35="","",'תחום תמיכה ב'!AE35)</f>
        <v>501846.5723189445</v>
      </c>
      <c r="T35" s="187">
        <f>IF($F35="","",IF(Q35='תחום תמיכה ג'!$Q$2,'תחום תמיכה ג'!$Q$2,IFERROR(SUMIF(N35:R35,"&gt;0"),'תחום תמיכה ג'!$Q$2)))</f>
        <v>1075900.3762644213</v>
      </c>
      <c r="U35" s="187">
        <f>IF($F35="","",'הזנה לתנאי סף'!Y35)</f>
        <v>6400000</v>
      </c>
      <c r="V35" s="269">
        <f>IF(F35="","",'הגבלה לסכום מבוקש '!AA35)</f>
        <v>1159608.6906596492</v>
      </c>
      <c r="W35" s="187">
        <f t="shared" si="1"/>
        <v>289902.1726649123</v>
      </c>
      <c r="X35" s="187">
        <f>IF(F35="","",'הזנה לתנאי סף'!Z35)</f>
        <v>1000000</v>
      </c>
      <c r="Y35" s="237"/>
      <c r="Z35" s="187" t="str">
        <f>IF(OR($F35="",Y35=""),"",IFERROR(IF(Y35&gt;V35,MIN(Y35,T35)-V35,0),'תחום תמיכה ג'!$Q$2))</f>
        <v/>
      </c>
      <c r="AA35" s="259"/>
      <c r="AB35" s="260" t="str">
        <f t="shared" si="3"/>
        <v/>
      </c>
      <c r="AC35" s="261"/>
      <c r="AD35" s="180"/>
      <c r="AE35" s="13" t="str">
        <f>IF($C35="","",IFERROR(VLOOKUP($C35,גיליון1!$A:$E,2,0),"לא הגיש בקשה שוטפת"))</f>
        <v>בקשת תמיכה שוטפת לשנת 2020</v>
      </c>
      <c r="AF35" s="13" t="str">
        <f>IF($C35="","",IFERROR(VLOOKUP($C35,גיליון1!$A:$E,3,0),"לא הגיש בקשה שוטפת"))</f>
        <v>חויב</v>
      </c>
      <c r="AG35" s="13" t="str">
        <f>IF($C35="","",IFERROR(VLOOKUP($C35,גיליון1!$A:$E,4,0),"לא הגיש בקשה שוטפת"))</f>
        <v>19-42-02-07</v>
      </c>
      <c r="AH35" s="13" t="str">
        <f>IF($C35="","",IFERROR(VLOOKUP($C35,גיליון1!$A:$E,5,0),"לא הגיש בקשה שוטפת"))</f>
        <v>תיאטרון</v>
      </c>
      <c r="AI35" s="13">
        <f t="shared" si="2"/>
        <v>0</v>
      </c>
      <c r="AK35" t="s">
        <v>2</v>
      </c>
    </row>
    <row r="36" spans="1:37" ht="57.75" x14ac:dyDescent="0.25">
      <c r="A36" s="54">
        <f>'הזנה לתנאי סף'!B36</f>
        <v>6</v>
      </c>
      <c r="B36" s="266">
        <f>IF($F36="","",'הזנה לתנאי סף'!C36)</f>
        <v>1001350859</v>
      </c>
      <c r="C36" s="266">
        <f>IF($F36="","",'הזנה לתנאי סף'!D36)</f>
        <v>1001263559</v>
      </c>
      <c r="D36" s="266">
        <f>IF($F36="","",'הזנה לתנאי סף'!E36)</f>
        <v>40000062</v>
      </c>
      <c r="E36" s="55">
        <f>IF($F36="","",'הזנה לתנאי סף'!F36)</f>
        <v>20000201</v>
      </c>
      <c r="F36" s="55" t="str">
        <f>IF('הזנה לתנאי סף'!BL36=1,'הזנה לתנאי סף'!G36,"")</f>
        <v>תל אביב -יפו</v>
      </c>
      <c r="G36" s="55" t="str">
        <f>IF($F36="","",'הזנה לתנאי סף'!H36)</f>
        <v>תיאטרון אורנה פורת לילדים</v>
      </c>
      <c r="H36" s="55" t="str">
        <f>IF($F36="","",'הזנה לתנאי סף'!I36)</f>
        <v>מחול</v>
      </c>
      <c r="I36" s="187">
        <f>IF($F36="","",'הזנה לתנאי סף'!R36)</f>
        <v>27399876</v>
      </c>
      <c r="J36" s="187">
        <f>IF($F36="","",'תחום תמיכה א'!P36)</f>
        <v>26296911</v>
      </c>
      <c r="K36" s="177">
        <f>IF($F36="","",'הזנה לתנאי סף'!N36)</f>
        <v>1</v>
      </c>
      <c r="L36" s="177">
        <f>IF($F36="","",'הזנה לתנאי סף'!O36)</f>
        <v>1</v>
      </c>
      <c r="M36" s="177">
        <f>IF($F36="","",'הזנה לתנאי סף'!Q36)</f>
        <v>1</v>
      </c>
      <c r="N36" s="187">
        <f>IF($F36="","",'תחום תמיכה א'!AE36)</f>
        <v>1098247.3039701416</v>
      </c>
      <c r="O36" s="178"/>
      <c r="P36" s="187">
        <f>IF($F36="","",'תחום תמיכה ב'!AC36)</f>
        <v>2725817.9950657911</v>
      </c>
      <c r="Q36" s="187">
        <f>IF($F36="","",IF('תחום תמיכה ג'!O36="",0,'תחום תמיכה ג'!O36))</f>
        <v>1143052.0667839171</v>
      </c>
      <c r="R36" s="187">
        <f t="shared" si="0"/>
        <v>81733.794998084661</v>
      </c>
      <c r="S36" s="187">
        <f>IF($F36="","",'תחום תמיכה ב'!AE36)</f>
        <v>2807551.7900638757</v>
      </c>
      <c r="T36" s="187">
        <f>IF($F36="","",IF(Q36='תחום תמיכה ג'!$Q$2,'תחום תמיכה ג'!$Q$2,IFERROR(SUMIF(N36:R36,"&gt;0"),'תחום תמיכה ג'!$Q$2)))</f>
        <v>5048851.1608179342</v>
      </c>
      <c r="U36" s="187">
        <f>IF($F36="","",'הזנה לתנאי סף'!Y36)</f>
        <v>1250000</v>
      </c>
      <c r="V36" s="269">
        <f>IF(F36="","",'הגבלה לסכום מבוקש '!AA36)</f>
        <v>1250000</v>
      </c>
      <c r="W36" s="187">
        <f t="shared" si="1"/>
        <v>312500</v>
      </c>
      <c r="X36" s="187">
        <f>IF(F36="","",'הזנה לתנאי סף'!Z36)</f>
        <v>150000</v>
      </c>
      <c r="Y36" s="237"/>
      <c r="Z36" s="187" t="str">
        <f>IF(OR($F36="",Y36=""),"",IFERROR(IF(Y36&gt;V36,MIN(Y36,T36)-V36,0),'תחום תמיכה ג'!$Q$2))</f>
        <v/>
      </c>
      <c r="AA36" s="259"/>
      <c r="AB36" s="260" t="str">
        <f t="shared" si="3"/>
        <v/>
      </c>
      <c r="AC36" s="261"/>
      <c r="AD36" s="180"/>
      <c r="AE36" s="13" t="str">
        <f>IF($C36="","",IFERROR(VLOOKUP($C36,גיליון1!$A:$E,2,0),"לא הגיש בקשה שוטפת"))</f>
        <v>תמיכה שוטפת בפעילות התיאטרון</v>
      </c>
      <c r="AF36" s="13" t="str">
        <f>IF($C36="","",IFERROR(VLOOKUP($C36,גיליון1!$A:$E,3,0),"לא הגיש בקשה שוטפת"))</f>
        <v>חויב</v>
      </c>
      <c r="AG36" s="13" t="str">
        <f>IF($C36="","",IFERROR(VLOOKUP($C36,גיליון1!$A:$E,4,0),"לא הגיש בקשה שוטפת"))</f>
        <v>19-42-02-07</v>
      </c>
      <c r="AH36" s="13" t="str">
        <f>IF($C36="","",IFERROR(VLOOKUP($C36,גיליון1!$A:$E,5,0),"לא הגיש בקשה שוטפת"))</f>
        <v>תיאטרון</v>
      </c>
      <c r="AI36" s="13">
        <f t="shared" si="2"/>
        <v>1</v>
      </c>
      <c r="AK36" t="s">
        <v>244</v>
      </c>
    </row>
    <row r="37" spans="1:37" ht="72" x14ac:dyDescent="0.25">
      <c r="A37" s="54">
        <f>'הזנה לתנאי סף'!B37</f>
        <v>7</v>
      </c>
      <c r="B37" s="266">
        <f>IF($F37="","",'הזנה לתנאי סף'!C37)</f>
        <v>1001347316</v>
      </c>
      <c r="C37" s="266">
        <f>IF($F37="","",'הזנה לתנאי סף'!D37)</f>
        <v>1001278100</v>
      </c>
      <c r="D37" s="266">
        <f>IF($F37="","",'הזנה לתנאי סף'!E37)</f>
        <v>40000007</v>
      </c>
      <c r="E37" s="55">
        <f>IF($F37="","",'הזנה לתנאי סף'!F37)</f>
        <v>20000135</v>
      </c>
      <c r="F37" s="55" t="str">
        <f>IF('הזנה לתנאי סף'!BL37=1,'הזנה לתנאי סף'!G37,"")</f>
        <v>הגלבוע</v>
      </c>
      <c r="G37" s="55" t="str">
        <f>IF($F37="","",'הזנה לתנאי סף'!H37)</f>
        <v>משכן לאמנות עין חרוד ע"ש חיים אתר בע"מ</v>
      </c>
      <c r="H37" s="55" t="str">
        <f>IF($F37="","",'הזנה לתנאי סף'!I37)</f>
        <v>מוזיאונים</v>
      </c>
      <c r="I37" s="187">
        <f>IF($F37="","",'הזנה לתנאי סף'!R37)</f>
        <v>2480000</v>
      </c>
      <c r="J37" s="187">
        <f>IF($F37="","",'תחום תמיכה א'!P37)</f>
        <v>1042000</v>
      </c>
      <c r="K37" s="177">
        <f>IF($F37="","",'הזנה לתנאי סף'!N37)</f>
        <v>0</v>
      </c>
      <c r="L37" s="177">
        <f>IF($F37="","",'הזנה לתנאי סף'!O37)</f>
        <v>1</v>
      </c>
      <c r="M37" s="177">
        <f>IF($F37="","",'הזנה לתנאי סף'!Q37)</f>
        <v>1</v>
      </c>
      <c r="N37" s="187">
        <f>IF($F37="","",'תחום תמיכה א'!AE37)</f>
        <v>44557.74096703207</v>
      </c>
      <c r="O37" s="178"/>
      <c r="P37" s="187">
        <f>IF($F37="","",'תחום תמיכה ב'!AC37)</f>
        <v>235322.24875947798</v>
      </c>
      <c r="Q37" s="187">
        <f>IF($F37="","",IF('תחום תמיכה ג'!O37="",0,'תחום תמיכה ג'!O37))</f>
        <v>0</v>
      </c>
      <c r="R37" s="187">
        <f t="shared" si="0"/>
        <v>7056.1499239538098</v>
      </c>
      <c r="S37" s="187">
        <f>IF($F37="","",'תחום תמיכה ב'!AE37)</f>
        <v>242378.39868343179</v>
      </c>
      <c r="T37" s="187">
        <f>IF($F37="","",IF(Q37='תחום תמיכה ג'!$Q$2,'תחום תמיכה ג'!$Q$2,IFERROR(SUMIF(N37:R37,"&gt;0"),'תחום תמיכה ג'!$Q$2)))</f>
        <v>286936.13965046388</v>
      </c>
      <c r="U37" s="187">
        <f>IF($F37="","",'הזנה לתנאי סף'!Y37)</f>
        <v>1103000</v>
      </c>
      <c r="V37" s="269">
        <f>IF(F37="","",'הגבלה לסכום מבוקש '!AA37)</f>
        <v>327259.05231252965</v>
      </c>
      <c r="W37" s="187">
        <f t="shared" si="1"/>
        <v>81814.763078132411</v>
      </c>
      <c r="X37" s="187">
        <f>IF(F37="","",'הזנה לתנאי סף'!Z37)</f>
        <v>1103000</v>
      </c>
      <c r="Y37" s="237" t="str">
        <f>IFERROR(VLOOKUP(G37*1,#REF!,3,0),"")</f>
        <v/>
      </c>
      <c r="Z37" s="187" t="str">
        <f>IF(OR($F37="",Y37=""),"",IFERROR(IF(Y37&gt;V37,MIN(Y37,T37)-V37,0),'תחום תמיכה ג'!$Q$2))</f>
        <v/>
      </c>
      <c r="AA37" s="259"/>
      <c r="AB37" s="260" t="str">
        <f t="shared" si="3"/>
        <v/>
      </c>
      <c r="AC37" s="261"/>
      <c r="AD37" s="180"/>
      <c r="AE37" s="13" t="str">
        <f>IF($C37="","",IFERROR(VLOOKUP($C37,גיליון1!$A:$E,2,0),"לא הגיש בקשה שוטפת"))</f>
        <v>תמיכה שוטפת</v>
      </c>
      <c r="AF37" s="13" t="str">
        <f>IF($C37="","",IFERROR(VLOOKUP($C37,גיליון1!$A:$E,3,0),"לא הגיש בקשה שוטפת"))</f>
        <v>חויב</v>
      </c>
      <c r="AG37" s="13" t="str">
        <f>IF($C37="","",IFERROR(VLOOKUP($C37,גיליון1!$A:$E,4,0),"לא הגיש בקשה שוטפת"))</f>
        <v>19-42-02-18</v>
      </c>
      <c r="AH37" s="13" t="str">
        <f>IF($C37="","",IFERROR(VLOOKUP($C37,גיליון1!$A:$E,5,0),"לא הגיש בקשה שוטפת"))</f>
        <v>מוזיאונים ואמנות פלס</v>
      </c>
      <c r="AI37" s="13">
        <f t="shared" si="2"/>
        <v>0</v>
      </c>
      <c r="AK37" t="s">
        <v>193</v>
      </c>
    </row>
    <row r="38" spans="1:37" ht="57.75" x14ac:dyDescent="0.25">
      <c r="A38" s="54">
        <f>'הזנה לתנאי סף'!B38</f>
        <v>8</v>
      </c>
      <c r="B38" s="266">
        <f>IF($F38="","",'הזנה לתנאי סף'!C38)</f>
        <v>1001349107</v>
      </c>
      <c r="C38" s="266">
        <f>IF($F38="","",'הזנה לתנאי סף'!D38)</f>
        <v>1001277535</v>
      </c>
      <c r="D38" s="266">
        <f>IF($F38="","",'הזנה לתנאי סף'!E38)</f>
        <v>40000019</v>
      </c>
      <c r="E38" s="55">
        <f>IF($F38="","",'הזנה לתנאי סף'!F38)</f>
        <v>20000159</v>
      </c>
      <c r="F38" s="55" t="str">
        <f>IF('הזנה לתנאי סף'!BL38=1,'הזנה לתנאי סף'!G38,"")</f>
        <v>ירושלים</v>
      </c>
      <c r="G38" s="55" t="str">
        <f>IF($F38="","",'הזנה לתנאי סף'!H38)</f>
        <v>תיאטרון ירושלים לאומנויות הבמה</v>
      </c>
      <c r="H38" s="55" t="str">
        <f>IF($F38="","",'הזנה לתנאי סף'!I38)</f>
        <v>סינמטקים ופסטיבלים</v>
      </c>
      <c r="I38" s="187">
        <f>IF($F38="","",'הזנה לתנאי סף'!R38)</f>
        <v>624726</v>
      </c>
      <c r="J38" s="187">
        <f>IF($F38="","",'תחום תמיכה א'!P38)</f>
        <v>624726</v>
      </c>
      <c r="K38" s="177">
        <f>IF($F38="","",'הזנה לתנאי סף'!N38)</f>
        <v>1</v>
      </c>
      <c r="L38" s="177">
        <f>IF($F38="","",'הזנה לתנאי סף'!O38)</f>
        <v>1</v>
      </c>
      <c r="M38" s="177">
        <f>IF($F38="","",'הזנה לתנאי סף'!Q38)</f>
        <v>1</v>
      </c>
      <c r="N38" s="187">
        <f>IF($F38="","",'תחום תמיכה א'!AE38)</f>
        <v>18467.910036105644</v>
      </c>
      <c r="O38" s="178"/>
      <c r="P38" s="187">
        <f>IF($F38="","",'תחום תמיכה ב'!AC38)</f>
        <v>31138.906539633805</v>
      </c>
      <c r="Q38" s="187">
        <f>IF($F38="","",IF('תחום תמיכה ג'!O38="",0,'תחום תמיכה ג'!O38))</f>
        <v>5382.932339316777</v>
      </c>
      <c r="R38" s="187">
        <f t="shared" si="0"/>
        <v>933.70173950792741</v>
      </c>
      <c r="S38" s="187">
        <f>IF($F38="","",'תחום תמיכה ב'!AE38)</f>
        <v>32072.608279141732</v>
      </c>
      <c r="T38" s="187">
        <f>IF($F38="","",IF(Q38='תחום תמיכה ג'!$Q$2,'תחום תמיכה ג'!$Q$2,IFERROR(SUMIF(N38:R38,"&gt;0"),'תחום תמיכה ג'!$Q$2)))</f>
        <v>55923.450654564149</v>
      </c>
      <c r="U38" s="187">
        <f>IF($F38="","",'הזנה לתנאי סף'!Y38)</f>
        <v>150000</v>
      </c>
      <c r="V38" s="269">
        <f>IF(F38="","",'הגבלה לסכום מבוקש '!AA38)</f>
        <v>61267.336495644413</v>
      </c>
      <c r="W38" s="187">
        <f t="shared" si="1"/>
        <v>15316.834123911103</v>
      </c>
      <c r="X38" s="187">
        <f>IF(F38="","",'הזנה לתנאי סף'!Z38)</f>
        <v>150000</v>
      </c>
      <c r="Y38" s="237" t="str">
        <f>IFERROR(VLOOKUP(G38*1,#REF!,3,0),"")</f>
        <v/>
      </c>
      <c r="Z38" s="187" t="str">
        <f>IF(OR($F38="",Y38=""),"",IFERROR(IF(Y38&gt;V38,MIN(Y38,T38)-V38,0),'תחום תמיכה ג'!$Q$2))</f>
        <v/>
      </c>
      <c r="AA38" s="259"/>
      <c r="AB38" s="260" t="str">
        <f t="shared" si="3"/>
        <v/>
      </c>
      <c r="AC38" s="261"/>
      <c r="AD38" s="180"/>
      <c r="AE38" s="13" t="str">
        <f>IF($C38="","",IFERROR(VLOOKUP($C38,גיליון1!$A:$E,2,0),"לא הגיש בקשה שוטפת"))</f>
        <v>תאטרון ירושלים - פסטיבל סוף הקיץ</v>
      </c>
      <c r="AF38" s="13" t="str">
        <f>IF($C38="","",IFERROR(VLOOKUP($C38,גיליון1!$A:$E,3,0),"לא הגיש בקשה שוטפת"))</f>
        <v>טיוט</v>
      </c>
      <c r="AG38" s="13" t="str">
        <f>IF($C38="","",IFERROR(VLOOKUP($C38,גיליון1!$A:$E,4,0),"לא הגיש בקשה שוטפת"))</f>
        <v>19-42-02-26</v>
      </c>
      <c r="AH38" s="13" t="str">
        <f>IF($C38="","",IFERROR(VLOOKUP($C38,גיליון1!$A:$E,5,0),"לא הגיש בקשה שוטפת"))</f>
        <v>פסטיבלים לתרבות</v>
      </c>
      <c r="AI38" s="13">
        <f t="shared" si="2"/>
        <v>0</v>
      </c>
      <c r="AK38" t="s">
        <v>204</v>
      </c>
    </row>
    <row r="39" spans="1:37" ht="57.75" x14ac:dyDescent="0.25">
      <c r="A39" s="54">
        <f>'הזנה לתנאי סף'!B39</f>
        <v>9</v>
      </c>
      <c r="B39" s="266">
        <f>IF($F39="","",'הזנה לתנאי סף'!C39)</f>
        <v>1001349111</v>
      </c>
      <c r="C39" s="266">
        <f>IF($F39="","",'הזנה לתנאי סף'!D39)</f>
        <v>1001277536</v>
      </c>
      <c r="D39" s="266">
        <f>IF($F39="","",'הזנה לתנאי סף'!E39)</f>
        <v>40000019</v>
      </c>
      <c r="E39" s="55">
        <f>IF($F39="","",'הזנה לתנאי סף'!F39)</f>
        <v>20000159</v>
      </c>
      <c r="F39" s="55" t="str">
        <f>IF('הזנה לתנאי סף'!BL39=1,'הזנה לתנאי סף'!G39,"")</f>
        <v>ירושלים</v>
      </c>
      <c r="G39" s="55" t="str">
        <f>IF($F39="","",'הזנה לתנאי סף'!H39)</f>
        <v>תיאטרון ירושלים לאומנויות הבמה</v>
      </c>
      <c r="H39" s="55" t="str">
        <f>IF($F39="","",'הזנה לתנאי סף'!I39)</f>
        <v>סינמטקים ופסטיבלים</v>
      </c>
      <c r="I39" s="187">
        <f>IF($F39="","",'הזנה לתנאי סף'!R39)</f>
        <v>754246</v>
      </c>
      <c r="J39" s="187">
        <f>IF($F39="","",'תחום תמיכה א'!P39)</f>
        <v>754246</v>
      </c>
      <c r="K39" s="177">
        <f>IF($F39="","",'הזנה לתנאי סף'!N39)</f>
        <v>1</v>
      </c>
      <c r="L39" s="177">
        <f>IF($F39="","",'הזנה לתנאי סף'!O39)</f>
        <v>1</v>
      </c>
      <c r="M39" s="177">
        <f>IF($F39="","",'הזנה לתנאי סף'!Q39)</f>
        <v>1</v>
      </c>
      <c r="N39" s="187">
        <f>IF($F39="","",'תחום תמיכה א'!AE39)</f>
        <v>17095.339054204167</v>
      </c>
      <c r="O39" s="178"/>
      <c r="P39" s="187">
        <f>IF($F39="","",'תחום תמיכה ב'!AC39)</f>
        <v>22100.386047538213</v>
      </c>
      <c r="Q39" s="187">
        <f>IF($F39="","",IF('תחום תמיכה ג'!O39="",0,'תחום תמיכה ג'!O39))</f>
        <v>3820.4579411052682</v>
      </c>
      <c r="R39" s="187">
        <f t="shared" si="0"/>
        <v>662.68123031611685</v>
      </c>
      <c r="S39" s="187">
        <f>IF($F39="","",'תחום תמיכה ב'!AE39)</f>
        <v>22763.06727785433</v>
      </c>
      <c r="T39" s="187">
        <f>IF($F39="","",IF(Q39='תחום תמיכה ג'!$Q$2,'תחום תמיכה ג'!$Q$2,IFERROR(SUMIF(N39:R39,"&gt;0"),'תחום תמיכה ג'!$Q$2)))</f>
        <v>43678.864273163766</v>
      </c>
      <c r="U39" s="187">
        <f>IF($F39="","",'הזנה לתנאי סף'!Y39)</f>
        <v>200000</v>
      </c>
      <c r="V39" s="269">
        <f>IF(F39="","",'הגבלה לסכום מבוקש '!AA39)</f>
        <v>47473.42537561214</v>
      </c>
      <c r="W39" s="187">
        <f t="shared" si="1"/>
        <v>11868.356343903035</v>
      </c>
      <c r="X39" s="187">
        <f>IF(F39="","",'הזנה לתנאי סף'!Z39)</f>
        <v>200000</v>
      </c>
      <c r="Y39" s="237" t="str">
        <f>IFERROR(VLOOKUP(G39*1,#REF!,3,0),"")</f>
        <v/>
      </c>
      <c r="Z39" s="187" t="str">
        <f>IF(OR($F39="",Y39=""),"",IFERROR(IF(Y39&gt;V39,MIN(Y39,T39)-V39,0),'תחום תמיכה ג'!$Q$2))</f>
        <v/>
      </c>
      <c r="AA39" s="259"/>
      <c r="AB39" s="260" t="str">
        <f t="shared" si="3"/>
        <v/>
      </c>
      <c r="AC39" s="261"/>
      <c r="AD39" s="180"/>
      <c r="AE39" s="13" t="str">
        <f>IF($C39="","",IFERROR(VLOOKUP($C39,גיליון1!$A:$E,2,0),"לא הגיש בקשה שוטפת"))</f>
        <v>תאטרון ירושלים - פסטיבל פסנתרים</v>
      </c>
      <c r="AF39" s="13" t="str">
        <f>IF($C39="","",IFERROR(VLOOKUP($C39,גיליון1!$A:$E,3,0),"לא הגיש בקשה שוטפת"))</f>
        <v>טיוט</v>
      </c>
      <c r="AG39" s="13" t="str">
        <f>IF($C39="","",IFERROR(VLOOKUP($C39,גיליון1!$A:$E,4,0),"לא הגיש בקשה שוטפת"))</f>
        <v>19-42-02-26</v>
      </c>
      <c r="AH39" s="13" t="str">
        <f>IF($C39="","",IFERROR(VLOOKUP($C39,גיליון1!$A:$E,5,0),"לא הגיש בקשה שוטפת"))</f>
        <v>פסטיבלים לתרבות</v>
      </c>
      <c r="AI39" s="13">
        <f t="shared" si="2"/>
        <v>0</v>
      </c>
      <c r="AK39" t="s">
        <v>245</v>
      </c>
    </row>
    <row r="40" spans="1:37" ht="29.25" x14ac:dyDescent="0.25">
      <c r="A40" s="54">
        <f>'הזנה לתנאי סף'!B40</f>
        <v>10</v>
      </c>
      <c r="B40" s="266">
        <f>IF($F40="","",'הזנה לתנאי סף'!C40)</f>
        <v>1001346994</v>
      </c>
      <c r="C40" s="266">
        <f>IF($F40="","",'הזנה לתנאי סף'!D40)</f>
        <v>1001267387</v>
      </c>
      <c r="D40" s="266">
        <f>IF($F40="","",'הזנה לתנאי סף'!E40)</f>
        <v>40000039</v>
      </c>
      <c r="E40" s="55">
        <f>IF($F40="","",'הזנה לתנאי סף'!F40)</f>
        <v>20000201</v>
      </c>
      <c r="F40" s="55" t="str">
        <f>IF('הזנה לתנאי סף'!BL40=1,'הזנה לתנאי סף'!G40,"")</f>
        <v>תל אביב -יפו</v>
      </c>
      <c r="G40" s="55" t="str">
        <f>IF($F40="","",'הזנה לתנאי סף'!H40)</f>
        <v>מוזיאון ת"א לאומנות</v>
      </c>
      <c r="H40" s="55" t="str">
        <f>IF($F40="","",'הזנה לתנאי סף'!I40)</f>
        <v>מוזיאונים</v>
      </c>
      <c r="I40" s="187">
        <f>IF($F40="","",'הזנה לתנאי סף'!R40)</f>
        <v>90278000</v>
      </c>
      <c r="J40" s="187">
        <f>IF($F40="","",'תחום תמיכה א'!P40)</f>
        <v>95433000</v>
      </c>
      <c r="K40" s="177">
        <f>IF($F40="","",'הזנה לתנאי סף'!N40)</f>
        <v>1</v>
      </c>
      <c r="L40" s="177">
        <f>IF($F40="","",'הזנה לתנאי סף'!O40)</f>
        <v>1</v>
      </c>
      <c r="M40" s="177">
        <f>IF($F40="","",'הזנה לתנאי סף'!Q40)</f>
        <v>1</v>
      </c>
      <c r="N40" s="187">
        <f>IF($F40="","",'תחום תמיכה א'!AE40)</f>
        <v>2425910.7717410512</v>
      </c>
      <c r="O40" s="178"/>
      <c r="P40" s="187">
        <f>IF($F40="","",'תחום תמיכה ב'!AC40)</f>
        <v>3327299.2384256655</v>
      </c>
      <c r="Q40" s="187">
        <f>IF($F40="","",IF('תחום תמיכה ג'!O40="",0,'תחום תמיכה ג'!O40))</f>
        <v>1395278.8770840927</v>
      </c>
      <c r="R40" s="187">
        <f t="shared" si="0"/>
        <v>99769.24150587013</v>
      </c>
      <c r="S40" s="187">
        <f>IF($F40="","",'תחום תמיכה ב'!AE40)</f>
        <v>3427068.4799315357</v>
      </c>
      <c r="T40" s="187">
        <f>IF($F40="","",IF(Q40='תחום תמיכה ג'!$Q$2,'תחום תמיכה ג'!$Q$2,IFERROR(SUMIF(N40:R40,"&gt;0"),'תחום תמיכה ג'!$Q$2)))</f>
        <v>7248258.1287566796</v>
      </c>
      <c r="U40" s="187">
        <f>IF($F40="","",'הזנה לתנאי סף'!Y40)</f>
        <v>18000000</v>
      </c>
      <c r="V40" s="269">
        <f>IF(F40="","",'הגבלה לסכום מבוקש '!AA40)</f>
        <v>7819850.1753721368</v>
      </c>
      <c r="W40" s="187">
        <f t="shared" si="1"/>
        <v>1954962.5438430342</v>
      </c>
      <c r="X40" s="187">
        <f>IF(F40="","",'הזנה לתנאי סף'!Z40)</f>
        <v>7000000</v>
      </c>
      <c r="Y40" s="237" t="str">
        <f>IFERROR(VLOOKUP(G40*1,#REF!,3,0),"")</f>
        <v/>
      </c>
      <c r="Z40" s="187" t="str">
        <f>IF(OR($F40="",Y40=""),"",IFERROR(IF(Y40&gt;V40,MIN(Y40,T40)-V40,0),'תחום תמיכה ג'!$Q$2))</f>
        <v/>
      </c>
      <c r="AA40" s="259"/>
      <c r="AB40" s="260" t="str">
        <f t="shared" si="3"/>
        <v/>
      </c>
      <c r="AC40" s="261"/>
      <c r="AD40" s="180"/>
      <c r="AE40" s="13" t="str">
        <f>IF($C40="","",IFERROR(VLOOKUP($C40,גיליון1!$A:$E,2,0),"לא הגיש בקשה שוטפת"))</f>
        <v>בקשה לתמיכה בפעילות המוזיאון</v>
      </c>
      <c r="AF40" s="13" t="str">
        <f>IF($C40="","",IFERROR(VLOOKUP($C40,גיליון1!$A:$E,3,0),"לא הגיש בקשה שוטפת"))</f>
        <v>חויב</v>
      </c>
      <c r="AG40" s="13" t="str">
        <f>IF($C40="","",IFERROR(VLOOKUP($C40,גיליון1!$A:$E,4,0),"לא הגיש בקשה שוטפת"))</f>
        <v>19-42-02-18</v>
      </c>
      <c r="AH40" s="13" t="str">
        <f>IF($C40="","",IFERROR(VLOOKUP($C40,גיליון1!$A:$E,5,0),"לא הגיש בקשה שוטפת"))</f>
        <v>מוזיאונים ואמנות פלס</v>
      </c>
      <c r="AI40" s="13">
        <f t="shared" si="2"/>
        <v>0</v>
      </c>
      <c r="AK40" t="s">
        <v>197</v>
      </c>
    </row>
    <row r="41" spans="1:37" ht="29.25" x14ac:dyDescent="0.25">
      <c r="A41" s="54">
        <f>'הזנה לתנאי סף'!B41</f>
        <v>11</v>
      </c>
      <c r="B41" s="266">
        <f>IF($F41="","",'הזנה לתנאי סף'!C41)</f>
        <v>1001350182</v>
      </c>
      <c r="C41" s="266">
        <f>IF($F41="","",'הזנה לתנאי סף'!D41)</f>
        <v>1001344519</v>
      </c>
      <c r="D41" s="266">
        <f>IF($F41="","",'הזנה לתנאי סף'!E41)</f>
        <v>40000070</v>
      </c>
      <c r="E41" s="55">
        <f>IF($F41="","",'הזנה לתנאי סף'!F41)</f>
        <v>20000159</v>
      </c>
      <c r="F41" s="55" t="str">
        <f>IF('הזנה לתנאי סף'!BL41=1,'הזנה לתנאי סף'!G41,"")</f>
        <v>ירושלים</v>
      </c>
      <c r="G41" s="55" t="str">
        <f>IF($F41="","",'הזנה לתנאי סף'!H41)</f>
        <v>הורה ירושלים</v>
      </c>
      <c r="H41" s="55" t="str">
        <f>IF($F41="","",'הזנה לתנאי סף'!I41)</f>
        <v>מחול</v>
      </c>
      <c r="I41" s="187">
        <f>IF($F41="","",'הזנה לתנאי סף'!R41)</f>
        <v>1211274</v>
      </c>
      <c r="J41" s="187">
        <f>IF($F41="","",'תחום תמיכה א'!P41)</f>
        <v>1162035</v>
      </c>
      <c r="K41" s="177">
        <f>IF($F41="","",'הזנה לתנאי סף'!N41)</f>
        <v>0</v>
      </c>
      <c r="L41" s="177">
        <f>IF($F41="","",'הזנה לתנאי סף'!O41)</f>
        <v>1</v>
      </c>
      <c r="M41" s="177">
        <f>IF($F41="","",'הזנה לתנאי סף'!Q41)</f>
        <v>1</v>
      </c>
      <c r="N41" s="187">
        <f>IF($F41="","",'תחום תמיכה א'!AE41)</f>
        <v>54834.253855365787</v>
      </c>
      <c r="O41" s="178"/>
      <c r="P41" s="187">
        <f>IF($F41="","",'תחום תמיכה ב'!AC41)</f>
        <v>153838.59046789521</v>
      </c>
      <c r="Q41" s="187">
        <f>IF($F41="","",IF('תחום תמיכה ג'!O41="",0,'תחום תמיכה ג'!O41))</f>
        <v>0</v>
      </c>
      <c r="R41" s="187">
        <f t="shared" si="0"/>
        <v>4612.8581727973069</v>
      </c>
      <c r="S41" s="187">
        <f>IF($F41="","",'תחום תמיכה ב'!AE41)</f>
        <v>158451.44864069251</v>
      </c>
      <c r="T41" s="187">
        <f>IF($F41="","",IF(Q41='תחום תמיכה ג'!$Q$2,'תחום תמיכה ג'!$Q$2,IFERROR(SUMIF(N41:R41,"&gt;0"),'תחום תמיכה ג'!$Q$2)))</f>
        <v>213285.70249605831</v>
      </c>
      <c r="U41" s="187">
        <f>IF($F41="","",'הזנה לתנאי סף'!Y41)</f>
        <v>1600000</v>
      </c>
      <c r="V41" s="269">
        <f>IF(F41="","",'הגבלה לסכום מבוקש '!AA41)</f>
        <v>239657.9403898787</v>
      </c>
      <c r="W41" s="187">
        <f t="shared" si="1"/>
        <v>59914.485097469675</v>
      </c>
      <c r="X41" s="187">
        <f>IF(F41="","",'הזנה לתנאי סף'!Z41)</f>
        <v>40000</v>
      </c>
      <c r="Y41" s="237" t="str">
        <f>IFERROR(VLOOKUP(G41*1,#REF!,3,0),"")</f>
        <v/>
      </c>
      <c r="Z41" s="187" t="str">
        <f>IF(OR($F41="",Y41=""),"",IFERROR(IF(Y41&gt;V41,MIN(Y41,T41)-V41,0),'תחום תמיכה ג'!$Q$2))</f>
        <v/>
      </c>
      <c r="AA41" s="259"/>
      <c r="AB41" s="260" t="str">
        <f t="shared" si="3"/>
        <v/>
      </c>
      <c r="AC41" s="261"/>
      <c r="AD41" s="180"/>
      <c r="AE41" s="13" t="str">
        <f>IF($C41="","",IFERROR(VLOOKUP($C41,גיליון1!$A:$E,2,0),"לא הגיש בקשה שוטפת"))</f>
        <v>הרכבים 2020</v>
      </c>
      <c r="AF41" s="13" t="str">
        <f>IF($C41="","",IFERROR(VLOOKUP($C41,גיליון1!$A:$E,3,0),"לא הגיש בקשה שוטפת"))</f>
        <v>טיוט</v>
      </c>
      <c r="AG41" s="13" t="str">
        <f>IF($C41="","",IFERROR(VLOOKUP($C41,גיליון1!$A:$E,4,0),"לא הגיש בקשה שוטפת"))</f>
        <v>19-42-02-20</v>
      </c>
      <c r="AH41" s="13" t="str">
        <f>IF($C41="","",IFERROR(VLOOKUP($C41,גיליון1!$A:$E,5,0),"לא הגיש בקשה שוטפת"))</f>
        <v>מחול וארגוני גג</v>
      </c>
      <c r="AI41" s="13">
        <f t="shared" si="2"/>
        <v>0</v>
      </c>
      <c r="AK41" t="s">
        <v>203</v>
      </c>
    </row>
    <row r="42" spans="1:37" ht="29.25" x14ac:dyDescent="0.25">
      <c r="A42" s="54">
        <f>'הזנה לתנאי סף'!B42</f>
        <v>12</v>
      </c>
      <c r="B42" s="266">
        <f>IF($F42="","",'הזנה לתנאי סף'!C42)</f>
        <v>1001349551</v>
      </c>
      <c r="C42" s="266">
        <f>IF($F42="","",'הזנה לתנאי סף'!D42)</f>
        <v>1001271250</v>
      </c>
      <c r="D42" s="266">
        <f>IF($F42="","",'הזנה לתנאי סף'!E42)</f>
        <v>40000101</v>
      </c>
      <c r="E42" s="55">
        <f>IF($F42="","",'הזנה לתנאי סף'!F42)</f>
        <v>20000208</v>
      </c>
      <c r="F42" s="55" t="str">
        <f>IF('הזנה לתנאי סף'!BL42=1,'הזנה לתנאי סף'!G42,"")</f>
        <v>חוף אשקלון</v>
      </c>
      <c r="G42" s="55" t="str">
        <f>IF($F42="","",'הזנה לתנאי סף'!H42)</f>
        <v>מוזיאון יד מרדכי</v>
      </c>
      <c r="H42" s="55" t="str">
        <f>IF($F42="","",'הזנה לתנאי סף'!I42)</f>
        <v>מוזיאונים</v>
      </c>
      <c r="I42" s="187">
        <f>IF($F42="","",'הזנה לתנאי סף'!R42)</f>
        <v>1838329</v>
      </c>
      <c r="J42" s="187">
        <f>IF($F42="","",'תחום תמיכה א'!P42)</f>
        <v>1616144</v>
      </c>
      <c r="K42" s="177">
        <f>IF($F42="","",'הזנה לתנאי סף'!N42)</f>
        <v>1</v>
      </c>
      <c r="L42" s="177">
        <f>IF($F42="","",'הזנה לתנאי סף'!O42)</f>
        <v>1</v>
      </c>
      <c r="M42" s="177">
        <f>IF($F42="","",'הזנה לתנאי סף'!Q42)</f>
        <v>1</v>
      </c>
      <c r="N42" s="187">
        <f>IF($F42="","",'תחום תמיכה א'!AE42)</f>
        <v>61962.076459677301</v>
      </c>
      <c r="O42" s="178"/>
      <c r="P42" s="187">
        <f>IF($F42="","",'תחום תמיכה ב'!AC42)</f>
        <v>120335.36554796778</v>
      </c>
      <c r="Q42" s="187">
        <f>IF($F42="","",IF('תחום תמיכה ג'!O42="",0,'תחום תמיכה ג'!O42))</f>
        <v>0</v>
      </c>
      <c r="R42" s="187">
        <f t="shared" si="0"/>
        <v>3608.2622231275454</v>
      </c>
      <c r="S42" s="187">
        <f>IF($F42="","",'תחום תמיכה ב'!AE42)</f>
        <v>123943.62777109533</v>
      </c>
      <c r="T42" s="187">
        <f>IF($F42="","",IF(Q42='תחום תמיכה ג'!$Q$2,'תחום תמיכה ג'!$Q$2,IFERROR(SUMIF(N42:R42,"&gt;0"),'תחום תמיכה ג'!$Q$2)))</f>
        <v>185905.70423077262</v>
      </c>
      <c r="U42" s="187">
        <f>IF($F42="","",'הזנה לתנאי סף'!Y42)</f>
        <v>500000</v>
      </c>
      <c r="V42" s="269">
        <f>IF(F42="","",'הגבלה לסכום מבוקש '!AA42)</f>
        <v>206543.2350988072</v>
      </c>
      <c r="W42" s="187">
        <f t="shared" si="1"/>
        <v>51635.8087747018</v>
      </c>
      <c r="X42" s="187">
        <f>IF(F42="","",'הזנה לתנאי סף'!Z42)</f>
        <v>200000</v>
      </c>
      <c r="Y42" s="237" t="str">
        <f>IFERROR(VLOOKUP(G42*1,#REF!,3,0),"")</f>
        <v/>
      </c>
      <c r="Z42" s="187" t="str">
        <f>IF(OR($F42="",Y42=""),"",IFERROR(IF(Y42&gt;V42,MIN(Y42,T42)-V42,0),'תחום תמיכה ג'!$Q$2))</f>
        <v/>
      </c>
      <c r="AA42" s="259"/>
      <c r="AB42" s="260" t="str">
        <f t="shared" si="3"/>
        <v/>
      </c>
      <c r="AC42" s="261"/>
      <c r="AD42" s="180"/>
      <c r="AE42" s="13" t="str">
        <f>IF($C42="","",IFERROR(VLOOKUP($C42,גיליון1!$A:$E,2,0),"לא הגיש בקשה שוטפת"))</f>
        <v>תמיכה שוטפת לשנת 2020</v>
      </c>
      <c r="AF42" s="13" t="str">
        <f>IF($C42="","",IFERROR(VLOOKUP($C42,גיליון1!$A:$E,3,0),"לא הגיש בקשה שוטפת"))</f>
        <v>חויב</v>
      </c>
      <c r="AG42" s="13" t="str">
        <f>IF($C42="","",IFERROR(VLOOKUP($C42,גיליון1!$A:$E,4,0),"לא הגיש בקשה שוטפת"))</f>
        <v>19-42-02-18</v>
      </c>
      <c r="AH42" s="13" t="str">
        <f>IF($C42="","",IFERROR(VLOOKUP($C42,גיליון1!$A:$E,5,0),"לא הגיש בקשה שוטפת"))</f>
        <v>מוזיאונים ואמנות פלס</v>
      </c>
      <c r="AI42" s="13">
        <f t="shared" si="2"/>
        <v>0</v>
      </c>
      <c r="AK42" t="s">
        <v>211</v>
      </c>
    </row>
    <row r="43" spans="1:37" ht="29.25" x14ac:dyDescent="0.25">
      <c r="A43" s="54">
        <f>'הזנה לתנאי סף'!B43</f>
        <v>13</v>
      </c>
      <c r="B43" s="266">
        <f>IF($F43="","",'הזנה לתנאי סף'!C43)</f>
        <v>1001347156</v>
      </c>
      <c r="C43" s="266">
        <f>IF($F43="","",'הזנה לתנאי סף'!D43)</f>
        <v>1001263123</v>
      </c>
      <c r="D43" s="266">
        <f>IF($F43="","",'הזנה לתנאי סף'!E43)</f>
        <v>40000052</v>
      </c>
      <c r="E43" s="55">
        <f>IF($F43="","",'הזנה לתנאי סף'!F43)</f>
        <v>20000132</v>
      </c>
      <c r="F43" s="55" t="str">
        <f>IF('הזנה לתנאי סף'!BL43=1,'הזנה לתנאי סף'!G43,"")</f>
        <v>עמק הירדן</v>
      </c>
      <c r="G43" s="55" t="str">
        <f>IF($F43="","",'הזנה לתנאי סף'!H43)</f>
        <v>בית יגאל אלון</v>
      </c>
      <c r="H43" s="55" t="str">
        <f>IF($F43="","",'הזנה לתנאי סף'!I43)</f>
        <v>מוזיאונים</v>
      </c>
      <c r="I43" s="187">
        <f>IF($F43="","",'הזנה לתנאי סף'!R43)</f>
        <v>5001495</v>
      </c>
      <c r="J43" s="187">
        <f>IF($F43="","",'תחום תמיכה א'!P43)</f>
        <v>4872308</v>
      </c>
      <c r="K43" s="177">
        <f>IF($F43="","",'הזנה לתנאי סף'!N43)</f>
        <v>0</v>
      </c>
      <c r="L43" s="177">
        <f>IF($F43="","",'הזנה לתנאי סף'!O43)</f>
        <v>1</v>
      </c>
      <c r="M43" s="177">
        <f>IF($F43="","",'הזנה לתנאי סף'!Q43)</f>
        <v>1</v>
      </c>
      <c r="N43" s="187">
        <f>IF($F43="","",'תחום תמיכה א'!AE43)</f>
        <v>211927.62493552931</v>
      </c>
      <c r="O43" s="178"/>
      <c r="P43" s="187">
        <f>IF($F43="","",'תחום תמיכה ב'!AC43)</f>
        <v>539713.08958726958</v>
      </c>
      <c r="Q43" s="187">
        <f>IF($F43="","",IF('תחום תמיכה ג'!O43="",0,'תחום תמיכה ג'!O43))</f>
        <v>0</v>
      </c>
      <c r="R43" s="187">
        <f t="shared" si="0"/>
        <v>16183.325189708383</v>
      </c>
      <c r="S43" s="187">
        <f>IF($F43="","",'תחום תמיכה ב'!AE43)</f>
        <v>555896.41477697797</v>
      </c>
      <c r="T43" s="187">
        <f>IF($F43="","",IF(Q43='תחום תמיכה ג'!$Q$2,'תחום תמיכה ג'!$Q$2,IFERROR(SUMIF(N43:R43,"&gt;0"),'תחום תמיכה ג'!$Q$2)))</f>
        <v>767824.03971250728</v>
      </c>
      <c r="U43" s="187">
        <f>IF($F43="","",'הזנה לתנאי סף'!Y43)</f>
        <v>800000</v>
      </c>
      <c r="V43" s="269">
        <f>IF(F43="","",'הגבלה לסכום מבוקש '!AA43)</f>
        <v>800000</v>
      </c>
      <c r="W43" s="187">
        <f t="shared" si="1"/>
        <v>200000</v>
      </c>
      <c r="X43" s="187">
        <f>IF(F43="","",'הזנה לתנאי סף'!Z43)</f>
        <v>600000</v>
      </c>
      <c r="Y43" s="237" t="str">
        <f>IFERROR(VLOOKUP(G43*1,#REF!,3,0),"")</f>
        <v/>
      </c>
      <c r="Z43" s="187" t="str">
        <f>IF(OR($F43="",Y43=""),"",IFERROR(IF(Y43&gt;V43,MIN(Y43,T43)-V43,0),'תחום תמיכה ג'!$Q$2))</f>
        <v/>
      </c>
      <c r="AA43" s="259"/>
      <c r="AB43" s="260" t="str">
        <f t="shared" si="3"/>
        <v/>
      </c>
      <c r="AC43" s="261"/>
      <c r="AD43" s="180"/>
      <c r="AE43" s="13" t="str">
        <f>IF($C43="","",IFERROR(VLOOKUP($C43,גיליון1!$A:$E,2,0),"לא הגיש בקשה שוטפת"))</f>
        <v>תמיכה בפעילות שוטפת</v>
      </c>
      <c r="AF43" s="13" t="str">
        <f>IF($C43="","",IFERROR(VLOOKUP($C43,גיליון1!$A:$E,3,0),"לא הגיש בקשה שוטפת"))</f>
        <v>חויב</v>
      </c>
      <c r="AG43" s="13" t="str">
        <f>IF($C43="","",IFERROR(VLOOKUP($C43,גיליון1!$A:$E,4,0),"לא הגיש בקשה שוטפת"))</f>
        <v>19-42-02-18</v>
      </c>
      <c r="AH43" s="13" t="str">
        <f>IF($C43="","",IFERROR(VLOOKUP($C43,גיליון1!$A:$E,5,0),"לא הגיש בקשה שוטפת"))</f>
        <v>מוזיאונים ואמנות פלס</v>
      </c>
      <c r="AI43" s="13">
        <f t="shared" si="2"/>
        <v>0</v>
      </c>
      <c r="AJ43"/>
      <c r="AK43" t="s">
        <v>201</v>
      </c>
    </row>
    <row r="44" spans="1:37" ht="29.25" x14ac:dyDescent="0.25">
      <c r="A44" s="54">
        <f>'הזנה לתנאי סף'!B44</f>
        <v>14</v>
      </c>
      <c r="B44" s="266">
        <f>IF($F44="","",'הזנה לתנאי סף'!C44)</f>
        <v>1001348127</v>
      </c>
      <c r="C44" s="266">
        <f>IF($F44="","",'הזנה לתנאי סף'!D44)</f>
        <v>1001268819</v>
      </c>
      <c r="D44" s="266">
        <f>IF($F44="","",'הזנה לתנאי סף'!E44)</f>
        <v>40000028</v>
      </c>
      <c r="E44" s="55">
        <f>IF($F44="","",'הזנה לתנאי סף'!F44)</f>
        <v>20000159</v>
      </c>
      <c r="F44" s="55" t="str">
        <f>IF('הזנה לתנאי סף'!BL44=1,'הזנה לתנאי סף'!G44,"")</f>
        <v>ירושלים</v>
      </c>
      <c r="G44" s="55" t="str">
        <f>IF($F44="","",'הזנה לתנאי סף'!H44)</f>
        <v>הקם בע"מ</v>
      </c>
      <c r="H44" s="55" t="str">
        <f>IF($F44="","",'הזנה לתנאי סף'!I44)</f>
        <v>סינמטקים ופסטיבלים</v>
      </c>
      <c r="I44" s="187">
        <f>IF($F44="","",'הזנה לתנאי סף'!R44)</f>
        <v>1457162</v>
      </c>
      <c r="J44" s="187">
        <f>IF($F44="","",'תחום תמיכה א'!P44)</f>
        <v>1457162</v>
      </c>
      <c r="K44" s="177">
        <f>IF($F44="","",'הזנה לתנאי סף'!N44)</f>
        <v>1</v>
      </c>
      <c r="L44" s="177">
        <f>IF($F44="","",'הזנה לתנאי סף'!O44)</f>
        <v>1</v>
      </c>
      <c r="M44" s="177">
        <f>IF($F44="","",'הזנה לתנאי סף'!Q44)</f>
        <v>1</v>
      </c>
      <c r="N44" s="187">
        <f>IF($F44="","",'תחום תמיכה א'!AE44)</f>
        <v>37245.330482802165</v>
      </c>
      <c r="O44" s="178"/>
      <c r="P44" s="187">
        <f>IF($F44="","",'תחום תמיכה ב'!AC44)</f>
        <v>54299.179302773628</v>
      </c>
      <c r="Q44" s="187">
        <f>IF($F44="","",IF('תחום תמיכה ג'!O44="",0,'תחום תמיכה ג'!O44))</f>
        <v>9386.6111803005424</v>
      </c>
      <c r="R44" s="187">
        <f t="shared" si="0"/>
        <v>1628.1637283673481</v>
      </c>
      <c r="S44" s="187">
        <f>IF($F44="","",'תחום תמיכה ב'!AE44)</f>
        <v>55927.343031140976</v>
      </c>
      <c r="T44" s="187">
        <f>IF($F44="","",IF(Q44='תחום תמיכה ג'!$Q$2,'תחום תמיכה ג'!$Q$2,IFERROR(SUMIF(N44:R44,"&gt;0"),'תחום תמיכה ג'!$Q$2)))</f>
        <v>102559.28469424369</v>
      </c>
      <c r="U44" s="187">
        <f>IF($F44="","",'הזנה לתנאי סף'!Y44)</f>
        <v>2400000</v>
      </c>
      <c r="V44" s="269">
        <f>IF(F44="","",'הגבלה לסכום מבוקש '!AA44)</f>
        <v>111880.10317550592</v>
      </c>
      <c r="W44" s="187">
        <f t="shared" si="1"/>
        <v>27970.025793876481</v>
      </c>
      <c r="X44" s="187">
        <f>IF(F44="","",'הזנה לתנאי סף'!Z44)</f>
        <v>200000</v>
      </c>
      <c r="Y44" s="237" t="str">
        <f>IFERROR(VLOOKUP(G44*1,#REF!,3,0),"")</f>
        <v/>
      </c>
      <c r="Z44" s="187" t="str">
        <f>IF(OR($F44="",Y44=""),"",IFERROR(IF(Y44&gt;V44,MIN(Y44,T44)-V44,0),'תחום תמיכה ג'!$Q$2))</f>
        <v/>
      </c>
      <c r="AA44" s="259"/>
      <c r="AB44" s="260" t="str">
        <f t="shared" si="3"/>
        <v/>
      </c>
      <c r="AC44" s="261"/>
      <c r="AD44" s="180"/>
      <c r="AE44" s="13" t="str">
        <f>IF($C44="","",IFERROR(VLOOKUP($C44,גיליון1!$A:$E,2,0),"לא הגיש בקשה שוטפת"))</f>
        <v>פסטיבל העוד הבינלאומי 2020</v>
      </c>
      <c r="AF44" s="13" t="str">
        <f>IF($C44="","",IFERROR(VLOOKUP($C44,גיליון1!$A:$E,3,0),"לא הגיש בקשה שוטפת"))</f>
        <v>מועד</v>
      </c>
      <c r="AG44" s="13" t="str">
        <f>IF($C44="","",IFERROR(VLOOKUP($C44,גיליון1!$A:$E,4,0),"לא הגיש בקשה שוטפת"))</f>
        <v>19-42-02-26</v>
      </c>
      <c r="AH44" s="13" t="str">
        <f>IF($C44="","",IFERROR(VLOOKUP($C44,גיליון1!$A:$E,5,0),"לא הגיש בקשה שוטפת"))</f>
        <v>פסטיבלים לתרבות</v>
      </c>
      <c r="AI44" s="13">
        <f t="shared" si="2"/>
        <v>0</v>
      </c>
      <c r="AJ44"/>
      <c r="AK44" t="s">
        <v>189</v>
      </c>
    </row>
    <row r="45" spans="1:37" ht="57.75" x14ac:dyDescent="0.25">
      <c r="A45" s="54">
        <f>'הזנה לתנאי סף'!B45</f>
        <v>15</v>
      </c>
      <c r="B45" s="266">
        <f>IF($F45="","",'הזנה לתנאי סף'!C45)</f>
        <v>1001346801</v>
      </c>
      <c r="C45" s="266">
        <f>IF($F45="","",'הזנה לתנאי סף'!D45)</f>
        <v>1001274535</v>
      </c>
      <c r="D45" s="266">
        <f>IF($F45="","",'הזנה לתנאי סף'!E45)</f>
        <v>40000095</v>
      </c>
      <c r="E45" s="55">
        <f>IF($F45="","",'הזנה לתנאי סף'!F45)</f>
        <v>20000182</v>
      </c>
      <c r="F45" s="55" t="str">
        <f>IF('הזנה לתנאי סף'!BL45=1,'הזנה לתנאי סף'!G45,"")</f>
        <v>חיפה</v>
      </c>
      <c r="G45" s="55" t="str">
        <f>IF($F45="","",'הזנה לתנאי סף'!H45)</f>
        <v>בית גפן - מרכז תרבות ערבי יהודי</v>
      </c>
      <c r="H45" s="55" t="str">
        <f>IF($F45="","",'הזנה לתנאי סף'!I45)</f>
        <v>תיאטרון</v>
      </c>
      <c r="I45" s="187">
        <f>IF($F45="","",'הזנה לתנאי סף'!R45)</f>
        <v>2697522</v>
      </c>
      <c r="J45" s="187">
        <f>IF($F45="","",'תחום תמיכה א'!P45)</f>
        <v>2734231</v>
      </c>
      <c r="K45" s="177">
        <f>IF($F45="","",'הזנה לתנאי סף'!N45)</f>
        <v>1</v>
      </c>
      <c r="L45" s="177">
        <f>IF($F45="","",'הזנה לתנאי סף'!O45)</f>
        <v>1</v>
      </c>
      <c r="M45" s="177">
        <f>IF($F45="","",'הזנה לתנאי סף'!Q45)</f>
        <v>1</v>
      </c>
      <c r="N45" s="187">
        <f>IF($F45="","",'תחום תמיכה א'!AE45)</f>
        <v>38583.195585438392</v>
      </c>
      <c r="O45" s="178"/>
      <c r="P45" s="187">
        <f>IF($F45="","",'תחום תמיכה ב'!AC45)</f>
        <v>30637.153801987861</v>
      </c>
      <c r="Q45" s="187">
        <f>IF($F45="","",IF('תחום תמיכה ג'!O45="",0,'תחום תמיכה ג'!O45))</f>
        <v>6621.6289862719996</v>
      </c>
      <c r="R45" s="187">
        <f t="shared" si="0"/>
        <v>918.65665745449587</v>
      </c>
      <c r="S45" s="187">
        <f>IF($F45="","",'תחום תמיכה ב'!AE45)</f>
        <v>31555.810459442357</v>
      </c>
      <c r="T45" s="187">
        <f>IF($F45="","",IF(Q45='תחום תמיכה ג'!$Q$2,'תחום תמיכה ג'!$Q$2,IFERROR(SUMIF(N45:R45,"&gt;0"),'תחום תמיכה ג'!$Q$2)))</f>
        <v>76760.635031152749</v>
      </c>
      <c r="U45" s="187">
        <f>IF($F45="","",'הזנה לתנאי סף'!Y45)</f>
        <v>600000</v>
      </c>
      <c r="V45" s="269">
        <f>IF(F45="","",'הגבלה לסכום מבוקש '!AA45)</f>
        <v>82028.310881789352</v>
      </c>
      <c r="W45" s="187">
        <f t="shared" si="1"/>
        <v>20507.077720447338</v>
      </c>
      <c r="X45" s="187">
        <f>IF(F45="","",'הזנה לתנאי סף'!Z45)</f>
        <v>100000</v>
      </c>
      <c r="Y45" s="237" t="str">
        <f>IFERROR(VLOOKUP(G45*1,#REF!,3,0),"")</f>
        <v/>
      </c>
      <c r="Z45" s="187" t="str">
        <f>IF(OR($F45="",Y45=""),"",IFERROR(IF(Y45&gt;V45,MIN(Y45,T45)-V45,0),'תחום תמיכה ג'!$Q$2))</f>
        <v/>
      </c>
      <c r="AA45" s="259"/>
      <c r="AB45" s="260" t="str">
        <f t="shared" si="3"/>
        <v/>
      </c>
      <c r="AC45" s="261"/>
      <c r="AD45" s="180"/>
      <c r="AE45" s="13" t="str">
        <f>IF($C45="","",IFERROR(VLOOKUP($C45,גיליון1!$A:$E,2,0),"לא הגיש בקשה שוטפת"))</f>
        <v>תאטרון בית הגפן</v>
      </c>
      <c r="AF45" s="13" t="str">
        <f>IF($C45="","",IFERROR(VLOOKUP($C45,גיליון1!$A:$E,3,0),"לא הגיש בקשה שוטפת"))</f>
        <v>חויב</v>
      </c>
      <c r="AG45" s="13" t="str">
        <f>IF($C45="","",IFERROR(VLOOKUP($C45,גיליון1!$A:$E,4,0),"לא הגיש בקשה שוטפת"))</f>
        <v>19-42-02-07</v>
      </c>
      <c r="AH45" s="13" t="str">
        <f>IF($C45="","",IFERROR(VLOOKUP($C45,גיליון1!$A:$E,5,0),"לא הגיש בקשה שוטפת"))</f>
        <v>תיאטרון</v>
      </c>
      <c r="AI45" s="13">
        <f t="shared" si="2"/>
        <v>0</v>
      </c>
      <c r="AJ45"/>
      <c r="AK45" t="s">
        <v>179</v>
      </c>
    </row>
    <row r="46" spans="1:37" ht="29.25" x14ac:dyDescent="0.25">
      <c r="A46" s="54">
        <f>'הזנה לתנאי סף'!B46</f>
        <v>16</v>
      </c>
      <c r="B46" s="266">
        <f>IF($F46="","",'הזנה לתנאי סף'!C46)</f>
        <v>1001348773</v>
      </c>
      <c r="C46" s="266">
        <f>IF($F46="","",'הזנה לתנאי סף'!D46)</f>
        <v>1001262086</v>
      </c>
      <c r="D46" s="266">
        <f>IF($F46="","",'הזנה לתנאי סף'!E46)</f>
        <v>40000043</v>
      </c>
      <c r="E46" s="55">
        <f>IF($F46="","",'הזנה לתנאי סף'!F46)</f>
        <v>20000159</v>
      </c>
      <c r="F46" s="55" t="str">
        <f>IF('הזנה לתנאי סף'!BL46=1,'הזנה לתנאי סף'!G46,"")</f>
        <v>ירושלים</v>
      </c>
      <c r="G46" s="55" t="str">
        <f>IF($F46="","",'הזנה לתנאי סף'!H46)</f>
        <v>מוזיאון ישראל</v>
      </c>
      <c r="H46" s="55" t="str">
        <f>IF($F46="","",'הזנה לתנאי סף'!I46)</f>
        <v>מוזיאונים</v>
      </c>
      <c r="I46" s="187">
        <f>IF($F46="","",'הזנה לתנאי סף'!R46)</f>
        <v>120115000</v>
      </c>
      <c r="J46" s="187">
        <f>IF($F46="","",'תחום תמיכה א'!P46)</f>
        <v>136407000</v>
      </c>
      <c r="K46" s="177">
        <f>IF($F46="","",'הזנה לתנאי סף'!N46)</f>
        <v>1</v>
      </c>
      <c r="L46" s="177">
        <f>IF($F46="","",'הזנה לתנאי סף'!O46)</f>
        <v>1</v>
      </c>
      <c r="M46" s="177">
        <f>IF($F46="","",'הזנה לתנאי סף'!Q46)</f>
        <v>1</v>
      </c>
      <c r="N46" s="187">
        <f>IF($F46="","",'תחום תמיכה א'!AE46)</f>
        <v>6017194.640049044</v>
      </c>
      <c r="O46" s="178"/>
      <c r="P46" s="187">
        <f>IF($F46="","",'תחום תמיכה ב'!AC46)</f>
        <v>13331207.514792737</v>
      </c>
      <c r="Q46" s="187">
        <f>IF($F46="","",IF('תחום תמיכה ג'!O46="",0,'תחום תמיכה ג'!O46))</f>
        <v>2304544.2511663921</v>
      </c>
      <c r="R46" s="187">
        <f t="shared" si="0"/>
        <v>399736.95384775475</v>
      </c>
      <c r="S46" s="187">
        <f>IF($F46="","",'תחום תמיכה ב'!AE46)</f>
        <v>13730944.468640491</v>
      </c>
      <c r="T46" s="187">
        <f>IF($F46="","",IF(Q46='תחום תמיכה ג'!$Q$2,'תחום תמיכה ג'!$Q$2,IFERROR(SUMIF(N46:R46,"&gt;0"),'תחום תמיכה ג'!$Q$2)))</f>
        <v>22052683.359855928</v>
      </c>
      <c r="U46" s="187">
        <f>IF($F46="","",'הזנה לתנאי סף'!Y46)</f>
        <v>35000000</v>
      </c>
      <c r="V46" s="269">
        <f>IF(F46="","",'הגבלה לסכום מבוקש '!AA46)</f>
        <v>24339650.75320407</v>
      </c>
      <c r="W46" s="187">
        <f t="shared" si="1"/>
        <v>6084912.6883010175</v>
      </c>
      <c r="X46" s="187">
        <f>IF(F46="","",'הזנה לתנאי סף'!Z46)</f>
        <v>25000000</v>
      </c>
      <c r="Y46" s="237" t="str">
        <f>IFERROR(VLOOKUP(G46*1,#REF!,3,0),"")</f>
        <v/>
      </c>
      <c r="Z46" s="187" t="str">
        <f>IF(OR($F46="",Y46=""),"",IFERROR(IF(Y46&gt;V46,MIN(Y46,T46)-V46,0),'תחום תמיכה ג'!$Q$2))</f>
        <v/>
      </c>
      <c r="AA46" s="259"/>
      <c r="AB46" s="260" t="str">
        <f t="shared" si="3"/>
        <v/>
      </c>
      <c r="AC46" s="261"/>
      <c r="AD46" s="180"/>
      <c r="AE46" s="13" t="str">
        <f>IF($C46="","",IFERROR(VLOOKUP($C46,גיליון1!$A:$E,2,0),"לא הגיש בקשה שוטפת"))</f>
        <v>תמיכה שוטפת מוזיאון ישראל</v>
      </c>
      <c r="AF46" s="13" t="str">
        <f>IF($C46="","",IFERROR(VLOOKUP($C46,גיליון1!$A:$E,3,0),"לא הגיש בקשה שוטפת"))</f>
        <v>חויב</v>
      </c>
      <c r="AG46" s="13" t="str">
        <f>IF($C46="","",IFERROR(VLOOKUP($C46,גיליון1!$A:$E,4,0),"לא הגיש בקשה שוטפת"))</f>
        <v>19-42-02-18</v>
      </c>
      <c r="AH46" s="13" t="str">
        <f>IF($C46="","",IFERROR(VLOOKUP($C46,גיליון1!$A:$E,5,0),"לא הגיש בקשה שוטפת"))</f>
        <v>מוזיאונים ואמנות פלס</v>
      </c>
      <c r="AI46" s="13">
        <f t="shared" si="2"/>
        <v>0</v>
      </c>
      <c r="AJ46"/>
      <c r="AK46" t="s">
        <v>195</v>
      </c>
    </row>
    <row r="47" spans="1:37" ht="43.5" x14ac:dyDescent="0.25">
      <c r="A47" s="54">
        <f>'הזנה לתנאי סף'!B47</f>
        <v>17</v>
      </c>
      <c r="B47" s="266">
        <f>IF($F47="","",'הזנה לתנאי סף'!C47)</f>
        <v>1001346968</v>
      </c>
      <c r="C47" s="266">
        <f>IF($F47="","",'הזנה לתנאי סף'!D47)</f>
        <v>1001266786</v>
      </c>
      <c r="D47" s="266">
        <f>IF($F47="","",'הזנה לתנאי סף'!E47)</f>
        <v>40000128</v>
      </c>
      <c r="E47" s="55">
        <f>IF($F47="","",'הזנה לתנאי סף'!F47)</f>
        <v>20000184</v>
      </c>
      <c r="F47" s="55" t="str">
        <f>IF('הזנה לתנאי סף'!BL47=1,'הזנה לתנאי סף'!G47,"")</f>
        <v>קצרין</v>
      </c>
      <c r="G47" s="55" t="str">
        <f>IF($F47="","",'הזנה לתנאי סף'!H47)</f>
        <v>מוזיאון עתיקות הגולן</v>
      </c>
      <c r="H47" s="55" t="str">
        <f>IF($F47="","",'הזנה לתנאי סף'!I47)</f>
        <v>מוזיאונים</v>
      </c>
      <c r="I47" s="187">
        <f>IF($F47="","",'הזנה לתנאי סף'!R47)</f>
        <v>2389517</v>
      </c>
      <c r="J47" s="187">
        <f>IF($F47="","",'תחום תמיכה א'!P47)</f>
        <v>2215028</v>
      </c>
      <c r="K47" s="177">
        <f>IF($F47="","",'הזנה לתנאי סף'!N47)</f>
        <v>1</v>
      </c>
      <c r="L47" s="177">
        <f>IF($F47="","",'הזנה לתנאי סף'!O47)</f>
        <v>1</v>
      </c>
      <c r="M47" s="177">
        <f>IF($F47="","",'הזנה לתנאי סף'!Q47)</f>
        <v>1</v>
      </c>
      <c r="N47" s="187">
        <f>IF($F47="","",'תחום תמיכה א'!AE47)</f>
        <v>72369.253730197554</v>
      </c>
      <c r="O47" s="178"/>
      <c r="P47" s="187">
        <f>IF($F47="","",'תחום תמיכה ב'!AC47)</f>
        <v>145484.69584469</v>
      </c>
      <c r="Q47" s="187">
        <f>IF($F47="","",IF('תחום תמיכה ג'!O47="",0,'תחום תמיכה ג'!O47))</f>
        <v>0</v>
      </c>
      <c r="R47" s="187">
        <f t="shared" si="0"/>
        <v>4362.3662060538772</v>
      </c>
      <c r="S47" s="187">
        <f>IF($F47="","",'תחום תמיכה ב'!AE47)</f>
        <v>149847.06205074387</v>
      </c>
      <c r="T47" s="187">
        <f>IF($F47="","",IF(Q47='תחום תמיכה ג'!$Q$2,'תחום תמיכה ג'!$Q$2,IFERROR(SUMIF(N47:R47,"&gt;0"),'תחום תמיכה ג'!$Q$2)))</f>
        <v>222216.31578094143</v>
      </c>
      <c r="U47" s="187">
        <f>IF($F47="","",'הזנה לתנאי סף'!Y47)</f>
        <v>500000</v>
      </c>
      <c r="V47" s="269">
        <f>IF(F47="","",'הגבלה לסכום מבוקש '!AA47)</f>
        <v>247165.80240157669</v>
      </c>
      <c r="W47" s="187">
        <f t="shared" si="1"/>
        <v>61791.450600394171</v>
      </c>
      <c r="X47" s="187">
        <f>IF(F47="","",'הזנה לתנאי סף'!Z47)</f>
        <v>500000</v>
      </c>
      <c r="Y47" s="237" t="str">
        <f>IFERROR(VLOOKUP(G47*1,#REF!,3,0),"")</f>
        <v/>
      </c>
      <c r="Z47" s="187" t="str">
        <f>IF(OR($F47="",Y47=""),"",IFERROR(IF(Y47&gt;V47,MIN(Y47,T47)-V47,0),'תחום תמיכה ג'!$Q$2))</f>
        <v/>
      </c>
      <c r="AA47" s="259"/>
      <c r="AB47" s="260" t="str">
        <f t="shared" si="3"/>
        <v/>
      </c>
      <c r="AC47" s="261"/>
      <c r="AD47" s="180"/>
      <c r="AE47" s="13" t="str">
        <f>IF($C47="","",IFERROR(VLOOKUP($C47,גיליון1!$A:$E,2,0),"לא הגיש בקשה שוטפת"))</f>
        <v>בקשה לתמיכה בשוטף 2020</v>
      </c>
      <c r="AF47" s="13" t="str">
        <f>IF($C47="","",IFERROR(VLOOKUP($C47,גיליון1!$A:$E,3,0),"לא הגיש בקשה שוטפת"))</f>
        <v>חויב</v>
      </c>
      <c r="AG47" s="13" t="str">
        <f>IF($C47="","",IFERROR(VLOOKUP($C47,גיליון1!$A:$E,4,0),"לא הגיש בקשה שוטפת"))</f>
        <v>19-42-02-18</v>
      </c>
      <c r="AH47" s="13" t="str">
        <f>IF($C47="","",IFERROR(VLOOKUP($C47,גיליון1!$A:$E,5,0),"לא הגיש בקשה שוטפת"))</f>
        <v>מוזיאונים ואמנות פלס</v>
      </c>
      <c r="AI47" s="13">
        <f t="shared" si="2"/>
        <v>0</v>
      </c>
      <c r="AJ47"/>
      <c r="AK47" t="s">
        <v>176</v>
      </c>
    </row>
    <row r="48" spans="1:37" ht="43.5" x14ac:dyDescent="0.25">
      <c r="A48" s="54">
        <f>'הזנה לתנאי סף'!B48</f>
        <v>18</v>
      </c>
      <c r="B48" s="266">
        <f>IF($F48="","",'הזנה לתנאי סף'!C48)</f>
        <v>1001346240</v>
      </c>
      <c r="C48" s="266">
        <f>IF($F48="","",'הזנה לתנאי סף'!D48)</f>
        <v>1001273528</v>
      </c>
      <c r="D48" s="266">
        <f>IF($F48="","",'הזנה לתנאי סף'!E48)</f>
        <v>40000133</v>
      </c>
      <c r="E48" s="55">
        <f>IF($F48="","",'הזנה לתנאי סף'!F48)</f>
        <v>20000201</v>
      </c>
      <c r="F48" s="55" t="str">
        <f>IF('הזנה לתנאי סף'!BL48=1,'הזנה לתנאי סף'!G48,"")</f>
        <v>תל אביב -יפו</v>
      </c>
      <c r="G48" s="55" t="str">
        <f>IF($F48="","",'הזנה לתנאי סף'!H48)</f>
        <v>האופרה הישראלית ת"א</v>
      </c>
      <c r="H48" s="55" t="str">
        <f>IF($F48="","",'הזנה לתנאי סף'!I48)</f>
        <v>אופרה</v>
      </c>
      <c r="I48" s="187">
        <f>IF($F48="","",'הזנה לתנאי סף'!R48)</f>
        <v>74042000</v>
      </c>
      <c r="J48" s="187">
        <f>IF($F48="","",'תחום תמיכה א'!P48)</f>
        <v>75998000</v>
      </c>
      <c r="K48" s="177">
        <f>IF($F48="","",'הזנה לתנאי סף'!N48)</f>
        <v>1</v>
      </c>
      <c r="L48" s="177">
        <f>IF($F48="","",'הזנה לתנאי סף'!O48)</f>
        <v>1</v>
      </c>
      <c r="M48" s="177">
        <f>IF($F48="","",'הזנה לתנאי סף'!Q48)</f>
        <v>1</v>
      </c>
      <c r="N48" s="187">
        <f>IF($F48="","",'תחום תמיכה א'!AE48)</f>
        <v>2510410.8998508323</v>
      </c>
      <c r="O48" s="178"/>
      <c r="P48" s="187">
        <f>IF($F48="","",'תחום תמיכה ב'!AC48)</f>
        <v>4608089.1946065715</v>
      </c>
      <c r="Q48" s="187">
        <f>IF($F48="","",IF('תחום תמיכה ג'!O48="",0,'תחום תמיכה ג'!O48))</f>
        <v>1932368.8842594733</v>
      </c>
      <c r="R48" s="187">
        <f t="shared" si="0"/>
        <v>138173.79525949247</v>
      </c>
      <c r="S48" s="187">
        <f>IF($F48="","",'תחום תמיכה ב'!AE48)</f>
        <v>4746262.9898660639</v>
      </c>
      <c r="T48" s="187">
        <f>IF($F48="","",IF(Q48='תחום תמיכה ג'!$Q$2,'תחום תמיכה ג'!$Q$2,IFERROR(SUMIF(N48:R48,"&gt;0"),'תחום תמיכה ג'!$Q$2)))</f>
        <v>9189042.7739763688</v>
      </c>
      <c r="U48" s="187">
        <f>IF($F48="","",'הזנה לתנאי סף'!Y48)</f>
        <v>10000000</v>
      </c>
      <c r="V48" s="269">
        <f>IF(F48="","",'הגבלה לסכום מבוקש '!AA48)</f>
        <v>9980273.2064751573</v>
      </c>
      <c r="W48" s="187">
        <f t="shared" si="1"/>
        <v>2495068.3016187893</v>
      </c>
      <c r="X48" s="187">
        <f>IF(F48="","",'הזנה לתנאי סף'!Z48)</f>
        <v>3500000</v>
      </c>
      <c r="Y48" s="237" t="str">
        <f>IFERROR(VLOOKUP(G48*1,#REF!,3,0),"")</f>
        <v/>
      </c>
      <c r="Z48" s="187" t="str">
        <f>IF(OR($F48="",Y48=""),"",IFERROR(IF(Y48&gt;V48,MIN(Y48,T48)-V48,0),'תחום תמיכה ג'!$Q$2))</f>
        <v/>
      </c>
      <c r="AA48" s="259"/>
      <c r="AB48" s="260" t="str">
        <f t="shared" si="3"/>
        <v/>
      </c>
      <c r="AC48" s="261"/>
      <c r="AD48" s="180"/>
      <c r="AE48" s="13" t="str">
        <f>IF($C48="","",IFERROR(VLOOKUP($C48,גיליון1!$A:$E,2,0),"לא הגיש בקשה שוטפת"))</f>
        <v>פעילות שוטפת לשנת 2020</v>
      </c>
      <c r="AF48" s="13" t="str">
        <f>IF($C48="","",IFERROR(VLOOKUP($C48,גיליון1!$A:$E,3,0),"לא הגיש בקשה שוטפת"))</f>
        <v>חויב</v>
      </c>
      <c r="AG48" s="13" t="str">
        <f>IF($C48="","",IFERROR(VLOOKUP($C48,גיליון1!$A:$E,4,0),"לא הגיש בקשה שוטפת"))</f>
        <v>19-42-02-16</v>
      </c>
      <c r="AH48" s="13" t="str">
        <f>IF($C48="","",IFERROR(VLOOKUP($C48,גיליון1!$A:$E,5,0),"לא הגיש בקשה שוטפת"))</f>
        <v>מוסיקה</v>
      </c>
      <c r="AI48" s="13">
        <f t="shared" si="2"/>
        <v>0</v>
      </c>
      <c r="AJ48"/>
      <c r="AK48" t="s">
        <v>200</v>
      </c>
    </row>
    <row r="49" spans="1:37" ht="29.25" x14ac:dyDescent="0.25">
      <c r="A49" s="54">
        <f>'הזנה לתנאי סף'!B49</f>
        <v>19</v>
      </c>
      <c r="B49" s="266">
        <f>IF($F49="","",'הזנה לתנאי סף'!C49)</f>
        <v>1001348851</v>
      </c>
      <c r="C49" s="266">
        <f>IF($F49="","",'הזנה לתנאי סף'!D49)</f>
        <v>1001270249</v>
      </c>
      <c r="D49" s="266">
        <f>IF($F49="","",'הזנה לתנאי סף'!E49)</f>
        <v>40000134</v>
      </c>
      <c r="E49" s="55">
        <f>IF($F49="","",'הזנה לתנאי סף'!F49)</f>
        <v>20000201</v>
      </c>
      <c r="F49" s="55" t="str">
        <f>IF('הזנה לתנאי סף'!BL49=1,'הזנה לתנאי סף'!G49,"")</f>
        <v>תל אביב -יפו</v>
      </c>
      <c r="G49" s="55" t="str">
        <f>IF($F49="","",'הזנה לתנאי סף'!H49)</f>
        <v>תיאטרון תמונע</v>
      </c>
      <c r="H49" s="55" t="str">
        <f>IF($F49="","",'הזנה לתנאי סף'!I49)</f>
        <v>מרכזי פרינג'</v>
      </c>
      <c r="I49" s="187">
        <f>IF($F49="","",'הזנה לתנאי סף'!R49)</f>
        <v>2167218</v>
      </c>
      <c r="J49" s="187">
        <f>IF($F49="","",'תחום תמיכה א'!P49)</f>
        <v>2167218</v>
      </c>
      <c r="K49" s="177">
        <f>IF($F49="","",'הזנה לתנאי סף'!N49)</f>
        <v>1</v>
      </c>
      <c r="L49" s="177">
        <f>IF($F49="","",'הזנה לתנאי סף'!O49)</f>
        <v>1</v>
      </c>
      <c r="M49" s="177">
        <f>IF($F49="","",'הזנה לתנאי סף'!Q49)</f>
        <v>1</v>
      </c>
      <c r="N49" s="187">
        <f>IF($F49="","",'תחום תמיכה א'!AE49)</f>
        <v>37552.271661796811</v>
      </c>
      <c r="O49" s="178"/>
      <c r="P49" s="187">
        <f>IF($F49="","",'תחום תמיכה ב'!AC49)</f>
        <v>37113.10303611472</v>
      </c>
      <c r="Q49" s="187">
        <f>IF($F49="","",IF('תחום תמיכה ג'!O49="",0,'תחום תמיכה ג'!O49))</f>
        <v>15563.111406185975</v>
      </c>
      <c r="R49" s="187">
        <f t="shared" si="0"/>
        <v>1112.8383335892431</v>
      </c>
      <c r="S49" s="187">
        <f>IF($F49="","",'תחום תמיכה ב'!AE49)</f>
        <v>38225.941369703964</v>
      </c>
      <c r="T49" s="187">
        <f>IF($F49="","",IF(Q49='תחום תמיכה ג'!$Q$2,'תחום תמיכה ג'!$Q$2,IFERROR(SUMIF(N49:R49,"&gt;0"),'תחום תמיכה ג'!$Q$2)))</f>
        <v>91341.324437686737</v>
      </c>
      <c r="U49" s="187">
        <f>IF($F49="","",'הזנה לתנאי סף'!Y49)</f>
        <v>200000</v>
      </c>
      <c r="V49" s="269">
        <f>IF(F49="","",'הגבלה לסכום מבוקש '!AA49)</f>
        <v>97721.71000705038</v>
      </c>
      <c r="W49" s="187">
        <f t="shared" si="1"/>
        <v>24430.427501762595</v>
      </c>
      <c r="X49" s="187">
        <f>IF(F49="","",'הזנה לתנאי סף'!Z49)</f>
        <v>200000</v>
      </c>
      <c r="Y49" s="237" t="str">
        <f>IFERROR(VLOOKUP(G49*1,#REF!,3,0),"")</f>
        <v/>
      </c>
      <c r="Z49" s="187" t="str">
        <f>IF(OR($F49="",Y49=""),"",IFERROR(IF(Y49&gt;V49,MIN(Y49,T49)-V49,0),'תחום תמיכה ג'!$Q$2))</f>
        <v/>
      </c>
      <c r="AA49" s="259"/>
      <c r="AB49" s="260" t="str">
        <f t="shared" si="3"/>
        <v/>
      </c>
      <c r="AC49" s="261"/>
      <c r="AD49" s="180"/>
      <c r="AE49" s="13" t="str">
        <f>IF($C49="","",IFERROR(VLOOKUP($C49,גיליון1!$A:$E,2,0),"לא הגיש בקשה שוטפת"))</f>
        <v>מרכז פרינג'</v>
      </c>
      <c r="AF49" s="13" t="str">
        <f>IF($C49="","",IFERROR(VLOOKUP($C49,גיליון1!$A:$E,3,0),"לא הגיש בקשה שוטפת"))</f>
        <v>מועד</v>
      </c>
      <c r="AG49" s="13" t="str">
        <f>IF($C49="","",IFERROR(VLOOKUP($C49,גיליון1!$A:$E,4,0),"לא הגיש בקשה שוטפת"))</f>
        <v>19-42-02-07</v>
      </c>
      <c r="AH49" s="13" t="str">
        <f>IF($C49="","",IFERROR(VLOOKUP($C49,גיליון1!$A:$E,5,0),"לא הגיש בקשה שוטפת"))</f>
        <v>תיאטרון</v>
      </c>
      <c r="AI49" s="13">
        <f t="shared" si="2"/>
        <v>0</v>
      </c>
      <c r="AJ49"/>
      <c r="AK49" t="s">
        <v>186</v>
      </c>
    </row>
    <row r="50" spans="1:37" ht="57.75" x14ac:dyDescent="0.25">
      <c r="A50" s="54">
        <f>'הזנה לתנאי סף'!B50</f>
        <v>20</v>
      </c>
      <c r="B50" s="266">
        <f>IF($F50="","",'הזנה לתנאי סף'!C50)</f>
        <v>1001350603</v>
      </c>
      <c r="C50" s="266">
        <f>IF($F50="","",'הזנה לתנאי סף'!D50)</f>
        <v>1001334964</v>
      </c>
      <c r="D50" s="266">
        <f>IF($F50="","",'הזנה לתנאי סף'!E50)</f>
        <v>40000065</v>
      </c>
      <c r="E50" s="55">
        <f>IF($F50="","",'הזנה לתנאי סף'!F50)</f>
        <v>20000201</v>
      </c>
      <c r="F50" s="55" t="str">
        <f>IF('הזנה לתנאי סף'!BL50=1,'הזנה לתנאי סף'!G50,"")</f>
        <v>תל אביב -יפו</v>
      </c>
      <c r="G50" s="55" t="str">
        <f>IF($F50="","",'הזנה לתנאי סף'!H50)</f>
        <v>אנחנו כאן אגודה לתרבות פולקלור</v>
      </c>
      <c r="H50" s="55" t="str">
        <f>IF($F50="","",'הזנה לתנאי סף'!I50)</f>
        <v>מחול</v>
      </c>
      <c r="I50" s="187">
        <f>IF($F50="","",'הזנה לתנאי סף'!R50)</f>
        <v>742434</v>
      </c>
      <c r="J50" s="187">
        <f>IF($F50="","",'תחום תמיכה א'!P50)</f>
        <v>547577</v>
      </c>
      <c r="K50" s="177">
        <f>IF($F50="","",'הזנה לתנאי סף'!N50)</f>
        <v>0</v>
      </c>
      <c r="L50" s="177">
        <f>IF($F50="","",'הזנה לתנאי סף'!O50)</f>
        <v>1</v>
      </c>
      <c r="M50" s="177">
        <f>IF($F50="","",'הזנה לתנאי סף'!Q50)</f>
        <v>1</v>
      </c>
      <c r="N50" s="187">
        <f>IF($F50="","",'תחום תמיכה א'!AE50)</f>
        <v>11970.967966385582</v>
      </c>
      <c r="O50" s="178"/>
      <c r="P50" s="187">
        <f>IF($F50="","",'תחום תמיכה ב'!AC50)</f>
        <v>20238.738164719281</v>
      </c>
      <c r="Q50" s="187">
        <f>IF($F50="","",IF('תחום תמיכה ג'!O50="",0,'תחום תמיכה ג'!O50))</f>
        <v>0</v>
      </c>
      <c r="R50" s="187">
        <f t="shared" si="0"/>
        <v>606.85962128412211</v>
      </c>
      <c r="S50" s="187">
        <f>IF($F50="","",'תחום תמיכה ב'!AE50)</f>
        <v>20845.597786003404</v>
      </c>
      <c r="T50" s="187">
        <f>IF($F50="","",IF(Q50='תחום תמיכה ג'!$Q$2,'תחום תמיכה ג'!$Q$2,IFERROR(SUMIF(N50:R50,"&gt;0"),'תחום תמיכה ג'!$Q$2)))</f>
        <v>32816.565752388982</v>
      </c>
      <c r="U50" s="187">
        <f>IF($F50="","",'הזנה לתנאי סף'!Y50)</f>
        <v>250000</v>
      </c>
      <c r="V50" s="269">
        <f>IF(F50="","",'הגבלה לסכום מבוקש '!AA50)</f>
        <v>36288.217652173087</v>
      </c>
      <c r="W50" s="187">
        <f t="shared" si="1"/>
        <v>9072.0544130432718</v>
      </c>
      <c r="X50" s="187">
        <f>IF(F50="","",'הזנה לתנאי סף'!Z50)</f>
        <v>250000</v>
      </c>
      <c r="Y50" s="237" t="str">
        <f>IFERROR(VLOOKUP(G50*1,#REF!,3,0),"")</f>
        <v/>
      </c>
      <c r="Z50" s="187" t="str">
        <f>IF(OR($F50="",Y50=""),"",IFERROR(IF(Y50&gt;V50,MIN(Y50,T50)-V50,0),'תחום תמיכה ג'!$Q$2))</f>
        <v/>
      </c>
      <c r="AA50" s="259"/>
      <c r="AB50" s="260" t="str">
        <f t="shared" si="3"/>
        <v/>
      </c>
      <c r="AC50" s="261"/>
      <c r="AD50" s="180"/>
      <c r="AE50" s="13" t="str">
        <f>IF($C50="","",IFERROR(VLOOKUP($C50,גיליון1!$A:$E,2,0),"לא הגיש בקשה שוטפת"))</f>
        <v>הפקות מופעי מחול הקשורים למורשת ישראל</v>
      </c>
      <c r="AF50" s="13" t="str">
        <f>IF($C50="","",IFERROR(VLOOKUP($C50,גיליון1!$A:$E,3,0),"לא הגיש בקשה שוטפת"))</f>
        <v>חויב</v>
      </c>
      <c r="AG50" s="13" t="str">
        <f>IF($C50="","",IFERROR(VLOOKUP($C50,גיליון1!$A:$E,4,0),"לא הגיש בקשה שוטפת"))</f>
        <v>19-42-02-20</v>
      </c>
      <c r="AH50" s="13" t="str">
        <f>IF($C50="","",IFERROR(VLOOKUP($C50,גיליון1!$A:$E,5,0),"לא הגיש בקשה שוטפת"))</f>
        <v>מחול וארגוני גג</v>
      </c>
      <c r="AI50" s="13">
        <f t="shared" si="2"/>
        <v>0</v>
      </c>
      <c r="AJ50"/>
      <c r="AK50" t="s">
        <v>173</v>
      </c>
    </row>
    <row r="51" spans="1:37" ht="43.5" x14ac:dyDescent="0.25">
      <c r="A51" s="54">
        <f>'הזנה לתנאי סף'!B51</f>
        <v>21</v>
      </c>
      <c r="B51" s="266">
        <f>IF($F51="","",'הזנה לתנאי סף'!C51)</f>
        <v>1001346663</v>
      </c>
      <c r="C51" s="266">
        <f>IF($F51="","",'הזנה לתנאי סף'!D51)</f>
        <v>1001273853</v>
      </c>
      <c r="D51" s="266">
        <f>IF($F51="","",'הזנה לתנאי סף'!E51)</f>
        <v>40000140</v>
      </c>
      <c r="E51" s="55">
        <f>IF($F51="","",'הזנה לתנאי סף'!F51)</f>
        <v>20000201</v>
      </c>
      <c r="F51" s="55" t="str">
        <f>IF('הזנה לתנאי סף'!BL51=1,'הזנה לתנאי סף'!G51,"")</f>
        <v>תל אביב -יפו</v>
      </c>
      <c r="G51" s="55" t="str">
        <f>IF($F51="","",'הזנה לתנאי סף'!H51)</f>
        <v>להקת המחול בת שבע</v>
      </c>
      <c r="H51" s="55" t="str">
        <f>IF($F51="","",'הזנה לתנאי סף'!I51)</f>
        <v>מחול</v>
      </c>
      <c r="I51" s="187">
        <f>IF($F51="","",'הזנה לתנאי סף'!R51)</f>
        <v>23544310</v>
      </c>
      <c r="J51" s="187">
        <f>IF($F51="","",'תחום תמיכה א'!P51)</f>
        <v>23673557</v>
      </c>
      <c r="K51" s="177">
        <f>IF($F51="","",'הזנה לתנאי סף'!N51)</f>
        <v>1</v>
      </c>
      <c r="L51" s="177">
        <f>IF($F51="","",'הזנה לתנאי סף'!O51)</f>
        <v>1</v>
      </c>
      <c r="M51" s="177">
        <f>IF($F51="","",'הזנה לתנאי סף'!Q51)</f>
        <v>1</v>
      </c>
      <c r="N51" s="187">
        <f>IF($F51="","",'תחום תמיכה א'!AE51)</f>
        <v>884405.93520439393</v>
      </c>
      <c r="O51" s="178"/>
      <c r="P51" s="187">
        <f>IF($F51="","",'תחום תמיכה ב'!AC51)</f>
        <v>1874216.1232697661</v>
      </c>
      <c r="Q51" s="187">
        <f>IF($F51="","",IF('תחום תמיכה ג'!O51="",0,'תחום תמיכה ג'!O51))</f>
        <v>785938.97948477627</v>
      </c>
      <c r="R51" s="187">
        <f t="shared" si="0"/>
        <v>56198.468378567602</v>
      </c>
      <c r="S51" s="187">
        <f>IF($F51="","",'תחום תמיכה ב'!AE51)</f>
        <v>1930414.5916483337</v>
      </c>
      <c r="T51" s="187">
        <f>IF($F51="","",IF(Q51='תחום תמיכה ג'!$Q$2,'תחום תמיכה ג'!$Q$2,IFERROR(SUMIF(N51:R51,"&gt;0"),'תחום תמיכה ג'!$Q$2)))</f>
        <v>3600759.5063375034</v>
      </c>
      <c r="U51" s="187">
        <f>IF($F51="","",'הזנה לתנאי סף'!Y51)</f>
        <v>7000000</v>
      </c>
      <c r="V51" s="269">
        <f>IF(F51="","",'הגבלה לסכום מבוקש '!AA51)</f>
        <v>3922508.952475463</v>
      </c>
      <c r="W51" s="187">
        <f t="shared" si="1"/>
        <v>980627.23811886576</v>
      </c>
      <c r="X51" s="187">
        <f>IF(F51="","",'הזנה לתנאי סף'!Z51)</f>
        <v>1000000</v>
      </c>
      <c r="Y51" s="237" t="str">
        <f>IFERROR(VLOOKUP(G51*1,#REF!,3,0),"")</f>
        <v/>
      </c>
      <c r="Z51" s="187" t="str">
        <f>IF(OR($F51="",Y51=""),"",IFERROR(IF(Y51&gt;V51,MIN(Y51,T51)-V51,0),'תחום תמיכה ג'!$Q$2))</f>
        <v/>
      </c>
      <c r="AA51" s="259"/>
      <c r="AB51" s="260" t="str">
        <f t="shared" si="3"/>
        <v/>
      </c>
      <c r="AC51" s="261"/>
      <c r="AD51" s="180"/>
      <c r="AE51" s="13" t="str">
        <f>IF($C51="","",IFERROR(VLOOKUP($C51,גיליון1!$A:$E,2,0),"לא הגיש בקשה שוטפת"))</f>
        <v>להקת מחול בת שבע בקשת תמיכה לשנת 2020</v>
      </c>
      <c r="AF51" s="13" t="str">
        <f>IF($C51="","",IFERROR(VLOOKUP($C51,גיליון1!$A:$E,3,0),"לא הגיש בקשה שוטפת"))</f>
        <v>חויב</v>
      </c>
      <c r="AG51" s="13" t="str">
        <f>IF($C51="","",IFERROR(VLOOKUP($C51,גיליון1!$A:$E,4,0),"לא הגיש בקשה שוטפת"))</f>
        <v>19-42-02-20</v>
      </c>
      <c r="AH51" s="13" t="str">
        <f>IF($C51="","",IFERROR(VLOOKUP($C51,גיליון1!$A:$E,5,0),"לא הגיש בקשה שוטפת"))</f>
        <v>מחול וארגוני גג</v>
      </c>
      <c r="AI51" s="13">
        <f t="shared" si="2"/>
        <v>0</v>
      </c>
      <c r="AJ51"/>
      <c r="AK51" t="s">
        <v>217</v>
      </c>
    </row>
    <row r="52" spans="1:37" ht="43.5" x14ac:dyDescent="0.25">
      <c r="A52" s="54">
        <f>'הזנה לתנאי סף'!B52</f>
        <v>22</v>
      </c>
      <c r="B52" s="266">
        <f>IF($F52="","",'הזנה לתנאי סף'!C52)</f>
        <v>1001350716</v>
      </c>
      <c r="C52" s="266">
        <f>IF($F52="","",'הזנה לתנאי סף'!D52)</f>
        <v>1001302141</v>
      </c>
      <c r="D52" s="266">
        <f>IF($F52="","",'הזנה לתנאי סף'!E52)</f>
        <v>40000150</v>
      </c>
      <c r="E52" s="55">
        <f>IF($F52="","",'הזנה לתנאי סף'!F52)</f>
        <v>20000233</v>
      </c>
      <c r="F52" s="55" t="str">
        <f>IF('הזנה לתנאי סף'!BL52=1,'הזנה לתנאי סף'!G52,"")</f>
        <v>נתניה</v>
      </c>
      <c r="G52" s="55" t="str">
        <f>IF($F52="","",'הזנה לתנאי סף'!H52)</f>
        <v>היכל התרבות נתניה</v>
      </c>
      <c r="H52" s="55" t="str">
        <f>IF($F52="","",'הזנה לתנאי סף'!I52)</f>
        <v>קבוצות מוסיקה</v>
      </c>
      <c r="I52" s="187">
        <f>IF($F52="","",'הזנה לתנאי סף'!R52)</f>
        <v>271845</v>
      </c>
      <c r="J52" s="187">
        <f>IF($F52="","",'תחום תמיכה א'!P52)</f>
        <v>338075</v>
      </c>
      <c r="K52" s="177">
        <f>IF($F52="","",'הזנה לתנאי סף'!N52)</f>
        <v>0</v>
      </c>
      <c r="L52" s="177">
        <f>IF($F52="","",'הזנה לתנאי סף'!O52)</f>
        <v>1</v>
      </c>
      <c r="M52" s="177">
        <f>IF($F52="","",'הזנה לתנאי סף'!Q52)</f>
        <v>1</v>
      </c>
      <c r="N52" s="187">
        <f>IF($F52="","",'תחום תמיכה א'!AE52)</f>
        <v>12297.013725391025</v>
      </c>
      <c r="O52" s="178"/>
      <c r="P52" s="187">
        <f>IF($F52="","",'תחום תמיכה ב'!AC52)</f>
        <v>20514.077409656169</v>
      </c>
      <c r="Q52" s="187">
        <f>IF($F52="","",IF('תחום תמיכה ג'!O52="",0,'תחום תמיכה ג'!O52))</f>
        <v>0</v>
      </c>
      <c r="R52" s="187">
        <f t="shared" si="0"/>
        <v>615.11568292922675</v>
      </c>
      <c r="S52" s="187">
        <f>IF($F52="","",'תחום תמיכה ב'!AE52)</f>
        <v>21129.193092585396</v>
      </c>
      <c r="T52" s="187">
        <f>IF($F52="","",IF(Q52='תחום תמיכה ג'!$Q$2,'תחום תמיכה ג'!$Q$2,IFERROR(SUMIF(N52:R52,"&gt;0"),'תחום תמיכה ג'!$Q$2)))</f>
        <v>33426.206817976417</v>
      </c>
      <c r="U52" s="187">
        <f>IF($F52="","",'הזנה לתנאי סף'!Y52)</f>
        <v>841523</v>
      </c>
      <c r="V52" s="269">
        <f>IF(F52="","",'הגבלה לסכום מבוקש '!AA52)</f>
        <v>36945.163337310129</v>
      </c>
      <c r="W52" s="187">
        <f t="shared" si="1"/>
        <v>9236.2908343275321</v>
      </c>
      <c r="X52" s="187">
        <f>IF(F52="","",'הזנה לתנאי סף'!Z52)</f>
        <v>510000</v>
      </c>
      <c r="Y52" s="237" t="str">
        <f>IFERROR(VLOOKUP(G52*1,#REF!,3,0),"")</f>
        <v/>
      </c>
      <c r="Z52" s="187" t="str">
        <f>IF(OR($F52="",Y52=""),"",IFERROR(IF(Y52&gt;V52,MIN(Y52,T52)-V52,0),'תחום תמיכה ג'!$Q$2))</f>
        <v/>
      </c>
      <c r="AA52" s="259"/>
      <c r="AB52" s="260" t="str">
        <f t="shared" si="3"/>
        <v/>
      </c>
      <c r="AC52" s="261"/>
      <c r="AD52" s="180"/>
      <c r="AE52" s="13" t="str">
        <f>IF($C52="","",IFERROR(VLOOKUP($C52,גיליון1!$A:$E,2,0),"לא הגיש בקשה שוטפת"))</f>
        <v>תמיכה באנסמבל כלי ההקשה "טרמולו"</v>
      </c>
      <c r="AF52" s="13" t="str">
        <f>IF($C52="","",IFERROR(VLOOKUP($C52,גיליון1!$A:$E,3,0),"לא הגיש בקשה שוטפת"))</f>
        <v>מועד</v>
      </c>
      <c r="AG52" s="13" t="str">
        <f>IF($C52="","",IFERROR(VLOOKUP($C52,גיליון1!$A:$E,4,0),"לא הגיש בקשה שוטפת"))</f>
        <v>19-42-02-16</v>
      </c>
      <c r="AH52" s="13" t="str">
        <f>IF($C52="","",IFERROR(VLOOKUP($C52,גיליון1!$A:$E,5,0),"לא הגיש בקשה שוטפת"))</f>
        <v>מוסיקה</v>
      </c>
      <c r="AI52" s="13">
        <f t="shared" si="2"/>
        <v>0</v>
      </c>
      <c r="AJ52"/>
      <c r="AK52" t="s">
        <v>216</v>
      </c>
    </row>
    <row r="53" spans="1:37" ht="43.5" x14ac:dyDescent="0.25">
      <c r="A53" s="54">
        <f>'הזנה לתנאי סף'!B53</f>
        <v>23</v>
      </c>
      <c r="B53" s="266">
        <f>IF($F53="","",'הזנה לתנאי סף'!C53)</f>
        <v>1001346670</v>
      </c>
      <c r="C53" s="266">
        <f>IF($F53="","",'הזנה לתנאי סף'!D53)</f>
        <v>1001277080</v>
      </c>
      <c r="D53" s="266">
        <f>IF($F53="","",'הזנה לתנאי סף'!E53)</f>
        <v>40000106</v>
      </c>
      <c r="E53" s="55">
        <f>IF($F53="","",'הזנה לתנאי סף'!F53)</f>
        <v>20000201</v>
      </c>
      <c r="F53" s="55" t="str">
        <f>IF('הזנה לתנאי סף'!BL53=1,'הזנה לתנאי סף'!G53,"")</f>
        <v>תל אביב -יפו</v>
      </c>
      <c r="G53" s="55" t="str">
        <f>IF($F53="","",'הזנה לתנאי סף'!H53)</f>
        <v>התזמורת הקאמרית הישראלית</v>
      </c>
      <c r="H53" s="55" t="str">
        <f>IF($F53="","",'הזנה לתנאי סף'!I53)</f>
        <v>מוסיקה-גופים כליים</v>
      </c>
      <c r="I53" s="187">
        <f>IF($F53="","",'הזנה לתנאי סף'!R53)</f>
        <v>6726212</v>
      </c>
      <c r="J53" s="187">
        <f>IF($F53="","",'תחום תמיכה א'!P53)</f>
        <v>6473332</v>
      </c>
      <c r="K53" s="177">
        <f>IF($F53="","",'הזנה לתנאי סף'!N53)</f>
        <v>1</v>
      </c>
      <c r="L53" s="177">
        <f>IF($F53="","",'הזנה לתנאי סף'!O53)</f>
        <v>1</v>
      </c>
      <c r="M53" s="177">
        <f>IF($F53="","",'הזנה לתנאי סף'!Q53)</f>
        <v>1</v>
      </c>
      <c r="N53" s="187">
        <f>IF($F53="","",'תחום תמיכה א'!AE53)</f>
        <v>193590.95087524049</v>
      </c>
      <c r="O53" s="178"/>
      <c r="P53" s="187">
        <f>IF($F53="","",'תחום תמיכה ב'!AC53)</f>
        <v>343117.07661254634</v>
      </c>
      <c r="Q53" s="187">
        <f>IF($F53="","",IF('תחום תמיכה ג'!O53="",0,'תחום תמיכה ג'!O53))</f>
        <v>143883.66511659208</v>
      </c>
      <c r="R53" s="187">
        <f t="shared" si="0"/>
        <v>10288.3834690933</v>
      </c>
      <c r="S53" s="187">
        <f>IF($F53="","",'תחום תמיכה ב'!AE53)</f>
        <v>353405.46008163964</v>
      </c>
      <c r="T53" s="187">
        <f>IF($F53="","",IF(Q53='תחום תמיכה ג'!$Q$2,'תחום תמיכה ג'!$Q$2,IFERROR(SUMIF(N53:R53,"&gt;0"),'תחום תמיכה ג'!$Q$2)))</f>
        <v>690880.07607347216</v>
      </c>
      <c r="U53" s="187">
        <f>IF($F53="","",'הזנה לתנאי סף'!Y53)</f>
        <v>1400000</v>
      </c>
      <c r="V53" s="269">
        <f>IF(F53="","",'הגבלה לסכום מבוקש '!AA53)</f>
        <v>749797.91573949775</v>
      </c>
      <c r="W53" s="187">
        <f t="shared" si="1"/>
        <v>187449.47893487444</v>
      </c>
      <c r="X53" s="187">
        <f>IF(F53="","",'הזנה לתנאי סף'!Z53)</f>
        <v>50000</v>
      </c>
      <c r="Y53" s="237" t="str">
        <f>IFERROR(VLOOKUP(G53*1,#REF!,3,0),"")</f>
        <v/>
      </c>
      <c r="Z53" s="187" t="str">
        <f>IF(OR($F53="",Y53=""),"",IFERROR(IF(Y53&gt;V53,MIN(Y53,T53)-V53,0),'תחום תמיכה ג'!$Q$2))</f>
        <v/>
      </c>
      <c r="AA53" s="259"/>
      <c r="AB53" s="260" t="str">
        <f t="shared" si="3"/>
        <v/>
      </c>
      <c r="AC53" s="261"/>
      <c r="AD53" s="180"/>
      <c r="AE53" s="13" t="str">
        <f>IF($C53="","",IFERROR(VLOOKUP($C53,גיליון1!$A:$E,2,0),"לא הגיש בקשה שוטפת"))</f>
        <v>הקאמרית הישראלית תמיכה שוטפת 2020</v>
      </c>
      <c r="AF53" s="13" t="str">
        <f>IF($C53="","",IFERROR(VLOOKUP($C53,גיליון1!$A:$E,3,0),"לא הגיש בקשה שוטפת"))</f>
        <v>חויב</v>
      </c>
      <c r="AG53" s="13" t="str">
        <f>IF($C53="","",IFERROR(VLOOKUP($C53,גיליון1!$A:$E,4,0),"לא הגיש בקשה שוטפת"))</f>
        <v>19-42-02-16</v>
      </c>
      <c r="AH53" s="13" t="str">
        <f>IF($C53="","",IFERROR(VLOOKUP($C53,גיליון1!$A:$E,5,0),"לא הגיש בקשה שוטפת"))</f>
        <v>מוסיקה</v>
      </c>
      <c r="AI53" s="13">
        <f t="shared" si="2"/>
        <v>0</v>
      </c>
      <c r="AJ53"/>
      <c r="AK53" t="s">
        <v>187</v>
      </c>
    </row>
    <row r="54" spans="1:37" ht="29.25" x14ac:dyDescent="0.25">
      <c r="A54" s="54">
        <f>'הזנה לתנאי סף'!B54</f>
        <v>24</v>
      </c>
      <c r="B54" s="266">
        <f>IF($F54="","",'הזנה לתנאי סף'!C54)</f>
        <v>1001346676</v>
      </c>
      <c r="C54" s="266">
        <f>IF($F54="","",'הזנה לתנאי סף'!D54)</f>
        <v>1001266343</v>
      </c>
      <c r="D54" s="266">
        <f>IF($F54="","",'הזנה לתנאי סף'!E54)</f>
        <v>40000132</v>
      </c>
      <c r="E54" s="55">
        <f>IF($F54="","",'הזנה לתנאי סף'!F54)</f>
        <v>20000201</v>
      </c>
      <c r="F54" s="55" t="str">
        <f>IF('הזנה לתנאי סף'!BL54=1,'הזנה לתנאי סף'!G54,"")</f>
        <v>תל אביב -יפו</v>
      </c>
      <c r="G54" s="55" t="str">
        <f>IF($F54="","",'הזנה לתנאי סף'!H54)</f>
        <v>תיאטרון הנפש</v>
      </c>
      <c r="H54" s="55" t="str">
        <f>IF($F54="","",'הזנה לתנאי סף'!I54)</f>
        <v>תיאטרון</v>
      </c>
      <c r="I54" s="187">
        <f>IF($F54="","",'הזנה לתנאי סף'!R54)</f>
        <v>3028116</v>
      </c>
      <c r="J54" s="187">
        <f>IF($F54="","",'תחום תמיכה א'!P54)</f>
        <v>3083965</v>
      </c>
      <c r="K54" s="177">
        <f>IF($F54="","",'הזנה לתנאי סף'!N54)</f>
        <v>1</v>
      </c>
      <c r="L54" s="177">
        <f>IF($F54="","",'הזנה לתנאי סף'!O54)</f>
        <v>1</v>
      </c>
      <c r="M54" s="177">
        <f>IF($F54="","",'הזנה לתנאי סף'!Q54)</f>
        <v>1</v>
      </c>
      <c r="N54" s="187">
        <f>IF($F54="","",'תחום תמיכה א'!AE54)</f>
        <v>92448.647684089519</v>
      </c>
      <c r="O54" s="178"/>
      <c r="P54" s="187">
        <f>IF($F54="","",'תחום תמיכה ב'!AC54)</f>
        <v>155201.70874036694</v>
      </c>
      <c r="Q54" s="187">
        <f>IF($F54="","",IF('תחום תמיכה ג'!O54="",0,'תחום תמיכה ג'!O54))</f>
        <v>65082.714350409195</v>
      </c>
      <c r="R54" s="187">
        <f t="shared" si="0"/>
        <v>4653.7313454163377</v>
      </c>
      <c r="S54" s="187">
        <f>IF($F54="","",'תחום תמיכה ב'!AE54)</f>
        <v>159855.44008578328</v>
      </c>
      <c r="T54" s="187">
        <f>IF($F54="","",IF(Q54='תחום תמיכה ג'!$Q$2,'תחום תמיכה ג'!$Q$2,IFERROR(SUMIF(N54:R54,"&gt;0"),'תחום תמיכה ג'!$Q$2)))</f>
        <v>317386.80212028202</v>
      </c>
      <c r="U54" s="187">
        <f>IF($F54="","",'הזנה לתנאי סף'!Y54)</f>
        <v>1000000</v>
      </c>
      <c r="V54" s="269">
        <f>IF(F54="","",'הגבלה לסכום מבוקש '!AA54)</f>
        <v>344039.25609409279</v>
      </c>
      <c r="W54" s="187">
        <f t="shared" si="1"/>
        <v>86009.814023523199</v>
      </c>
      <c r="X54" s="187">
        <f>IF(F54="","",'הזנה לתנאי סף'!Z54)</f>
        <v>1000000</v>
      </c>
      <c r="Y54" s="237" t="str">
        <f>IFERROR(VLOOKUP(G54*1,#REF!,3,0),"")</f>
        <v/>
      </c>
      <c r="Z54" s="187" t="str">
        <f>IF(OR($F54="",Y54=""),"",IFERROR(IF(Y54&gt;V54,MIN(Y54,T54)-V54,0),'תחום תמיכה ג'!$Q$2))</f>
        <v/>
      </c>
      <c r="AA54" s="259"/>
      <c r="AB54" s="260" t="str">
        <f t="shared" si="3"/>
        <v/>
      </c>
      <c r="AC54" s="261"/>
      <c r="AD54" s="180"/>
      <c r="AE54" s="13" t="str">
        <f>IF($C54="","",IFERROR(VLOOKUP($C54,גיליון1!$A:$E,2,0),"לא הגיש בקשה שוטפת"))</f>
        <v>תמיכה שוטפת לתיאטרון ילדים -קטן</v>
      </c>
      <c r="AF54" s="13" t="str">
        <f>IF($C54="","",IFERROR(VLOOKUP($C54,גיליון1!$A:$E,3,0),"לא הגיש בקשה שוטפת"))</f>
        <v>חויב</v>
      </c>
      <c r="AG54" s="13" t="str">
        <f>IF($C54="","",IFERROR(VLOOKUP($C54,גיליון1!$A:$E,4,0),"לא הגיש בקשה שוטפת"))</f>
        <v>19-42-02-07</v>
      </c>
      <c r="AH54" s="13" t="str">
        <f>IF($C54="","",IFERROR(VLOOKUP($C54,גיליון1!$A:$E,5,0),"לא הגיש בקשה שוטפת"))</f>
        <v>תיאטרון</v>
      </c>
      <c r="AI54" s="13">
        <f t="shared" si="2"/>
        <v>0</v>
      </c>
      <c r="AJ54"/>
      <c r="AK54" t="s">
        <v>191</v>
      </c>
    </row>
    <row r="55" spans="1:37" ht="29.25" x14ac:dyDescent="0.25">
      <c r="A55" s="54">
        <f>'הזנה לתנאי סף'!B55</f>
        <v>25</v>
      </c>
      <c r="B55" s="266">
        <f>IF($F55="","",'הזנה לתנאי סף'!C55)</f>
        <v>1001346807</v>
      </c>
      <c r="C55" s="266">
        <f>IF($F55="","",'הזנה לתנאי סף'!D55)</f>
        <v>1001266435</v>
      </c>
      <c r="D55" s="266">
        <f>IF($F55="","",'הזנה לתנאי סף'!E55)</f>
        <v>40000132</v>
      </c>
      <c r="E55" s="55">
        <f>IF($F55="","",'הזנה לתנאי סף'!F55)</f>
        <v>20000201</v>
      </c>
      <c r="F55" s="55" t="str">
        <f>IF('הזנה לתנאי סף'!BL55=1,'הזנה לתנאי סף'!G55,"")</f>
        <v>תל אביב -יפו</v>
      </c>
      <c r="G55" s="55" t="str">
        <f>IF($F55="","",'הזנה לתנאי סף'!H55)</f>
        <v>תיאטרון הנפש</v>
      </c>
      <c r="H55" s="55" t="str">
        <f>IF($F55="","",'הזנה לתנאי סף'!I55)</f>
        <v>סינמטקים ופסטיבלים</v>
      </c>
      <c r="I55" s="187">
        <f>IF($F55="","",'הזנה לתנאי סף'!R55)</f>
        <v>543170</v>
      </c>
      <c r="J55" s="187">
        <f>IF($F55="","",'תחום תמיכה א'!P55)</f>
        <v>536361</v>
      </c>
      <c r="K55" s="177">
        <f>IF($F55="","",'הזנה לתנאי סף'!N55)</f>
        <v>1</v>
      </c>
      <c r="L55" s="177">
        <f>IF($F55="","",'הזנה לתנאי סף'!O55)</f>
        <v>1</v>
      </c>
      <c r="M55" s="177">
        <f>IF($F55="","",'הזנה לתנאי סף'!Q55)</f>
        <v>1</v>
      </c>
      <c r="N55" s="187">
        <f>IF($F55="","",'תחום תמיכה א'!AE55)</f>
        <v>10754.015259659185</v>
      </c>
      <c r="O55" s="178"/>
      <c r="P55" s="187">
        <f>IF($F55="","",'תחום תמיכה ב'!AC55)</f>
        <v>12454.32305517559</v>
      </c>
      <c r="Q55" s="187">
        <f>IF($F55="","",IF('תחום תמיכה ג'!O55="",0,'תחום תמיכה ג'!O55))</f>
        <v>5222.6303202864592</v>
      </c>
      <c r="R55" s="187">
        <f t="shared" si="0"/>
        <v>373.44352751147926</v>
      </c>
      <c r="S55" s="187">
        <f>IF($F55="","",'תחום תמיכה ב'!AE55)</f>
        <v>12827.766582687069</v>
      </c>
      <c r="T55" s="187">
        <f>IF($F55="","",IF(Q55='תחום תמיכה ג'!$Q$2,'תחום תמיכה ג'!$Q$2,IFERROR(SUMIF(N55:R55,"&gt;0"),'תחום תמיכה ג'!$Q$2)))</f>
        <v>28804.412162632711</v>
      </c>
      <c r="U55" s="187">
        <f>IF($F55="","",'הזנה לתנאי סף'!Y55)</f>
        <v>300000</v>
      </c>
      <c r="V55" s="269">
        <f>IF(F55="","",'הגבלה לסכום מבוקש '!AA55)</f>
        <v>30944.684826171866</v>
      </c>
      <c r="W55" s="187">
        <f t="shared" si="1"/>
        <v>7736.1712065429665</v>
      </c>
      <c r="X55" s="187">
        <f>IF(F55="","",'הזנה לתנאי סף'!Z55)</f>
        <v>300000</v>
      </c>
      <c r="Y55" s="237" t="str">
        <f>IFERROR(VLOOKUP(G55*1,#REF!,3,0),"")</f>
        <v/>
      </c>
      <c r="Z55" s="187" t="str">
        <f>IF(OR($F55="",Y55=""),"",IFERROR(IF(Y55&gt;V55,MIN(Y55,T55)-V55,0),'תחום תמיכה ג'!$Q$2))</f>
        <v/>
      </c>
      <c r="AA55" s="259"/>
      <c r="AB55" s="260" t="str">
        <f t="shared" si="3"/>
        <v/>
      </c>
      <c r="AC55" s="261"/>
      <c r="AD55" s="180"/>
      <c r="AE55" s="13" t="str">
        <f>IF($C55="","",IFERROR(VLOOKUP($C55,גיליון1!$A:$E,2,0),"לא הגיש בקשה שוטפת"))</f>
        <v>להפיק פסטיבל הסיגדיאדה (לתרבות אתיופית)</v>
      </c>
      <c r="AF55" s="13" t="str">
        <f>IF($C55="","",IFERROR(VLOOKUP($C55,גיליון1!$A:$E,3,0),"לא הגיש בקשה שוטפת"))</f>
        <v>טיוט</v>
      </c>
      <c r="AG55" s="13" t="str">
        <f>IF($C55="","",IFERROR(VLOOKUP($C55,גיליון1!$A:$E,4,0),"לא הגיש בקשה שוטפת"))</f>
        <v>19-42-02-26</v>
      </c>
      <c r="AH55" s="13" t="str">
        <f>IF($C55="","",IFERROR(VLOOKUP($C55,גיליון1!$A:$E,5,0),"לא הגיש בקשה שוטפת"))</f>
        <v>פסטיבלים לתרבות</v>
      </c>
      <c r="AI55" s="13">
        <f t="shared" si="2"/>
        <v>0</v>
      </c>
      <c r="AJ55"/>
      <c r="AK55" t="s">
        <v>198</v>
      </c>
    </row>
    <row r="56" spans="1:37" ht="29.25" x14ac:dyDescent="0.25">
      <c r="A56" s="54">
        <f>'הזנה לתנאי סף'!B56</f>
        <v>26</v>
      </c>
      <c r="B56" s="266">
        <f>IF($F56="","",'הזנה לתנאי סף'!C56)</f>
        <v>1001346564</v>
      </c>
      <c r="C56" s="266">
        <f>IF($F56="","",'הזנה לתנאי סף'!D56)</f>
        <v>1001269642</v>
      </c>
      <c r="D56" s="266">
        <f>IF($F56="","",'הזנה לתנאי סף'!E56)</f>
        <v>40000060</v>
      </c>
      <c r="E56" s="55">
        <f>IF($F56="","",'הזנה לתנאי סף'!F56)</f>
        <v>20000159</v>
      </c>
      <c r="F56" s="55" t="str">
        <f>IF('הזנה לתנאי סף'!BL56=1,'הזנה לתנאי סף'!G56,"")</f>
        <v>ירושלים</v>
      </c>
      <c r="G56" s="55" t="str">
        <f>IF($F56="","",'הזנה לתנאי סף'!H56)</f>
        <v>תיאטרון הקרון</v>
      </c>
      <c r="H56" s="55" t="str">
        <f>IF($F56="","",'הזנה לתנאי סף'!I56)</f>
        <v>תיאטרון</v>
      </c>
      <c r="I56" s="187">
        <f>IF($F56="","",'הזנה לתנאי סף'!R56)</f>
        <v>5833226</v>
      </c>
      <c r="J56" s="187">
        <f>IF($F56="","",'תחום תמיכה א'!P56)</f>
        <v>5062977</v>
      </c>
      <c r="K56" s="177">
        <f>IF($F56="","",'הזנה לתנאי סף'!N56)</f>
        <v>1</v>
      </c>
      <c r="L56" s="177">
        <f>IF($F56="","",'הזנה לתנאי סף'!O56)</f>
        <v>1</v>
      </c>
      <c r="M56" s="177">
        <f>IF($F56="","",'הזנה לתנאי סף'!Q56)</f>
        <v>1</v>
      </c>
      <c r="N56" s="187">
        <f>IF($F56="","",'תחום תמיכה א'!AE56)</f>
        <v>118211.94083349194</v>
      </c>
      <c r="O56" s="178"/>
      <c r="P56" s="187">
        <f>IF($F56="","",'תחום תמיכה ב'!AC56)</f>
        <v>181374.8339061474</v>
      </c>
      <c r="Q56" s="187">
        <f>IF($F56="","",IF('תחום תמיכה ג'!O56="",0,'תחום תמיכה ג'!O56))</f>
        <v>31353.973773257982</v>
      </c>
      <c r="R56" s="187">
        <f t="shared" si="0"/>
        <v>5438.5338709816861</v>
      </c>
      <c r="S56" s="187">
        <f>IF($F56="","",'תחום תמיכה ב'!AE56)</f>
        <v>186813.36777712908</v>
      </c>
      <c r="T56" s="187">
        <f>IF($F56="","",IF(Q56='תחום תמיכה ג'!$Q$2,'תחום תמיכה ג'!$Q$2,IFERROR(SUMIF(N56:R56,"&gt;0"),'תחום תמיכה ג'!$Q$2)))</f>
        <v>336379.28238387906</v>
      </c>
      <c r="U56" s="187">
        <f>IF($F56="","",'הזנה לתנאי סף'!Y56)</f>
        <v>500000</v>
      </c>
      <c r="V56" s="269">
        <f>IF(F56="","",'הגבלה לסכום מבוקש '!AA56)</f>
        <v>367510.66749082075</v>
      </c>
      <c r="W56" s="187">
        <f t="shared" si="1"/>
        <v>91877.666872705187</v>
      </c>
      <c r="X56" s="187">
        <f>IF(F56="","",'הזנה לתנאי סף'!Z56)</f>
        <v>50000</v>
      </c>
      <c r="Y56" s="237" t="str">
        <f>IFERROR(VLOOKUP(G56*1,#REF!,3,0),"")</f>
        <v/>
      </c>
      <c r="Z56" s="187" t="str">
        <f>IF(OR($F56="",Y56=""),"",IFERROR(IF(Y56&gt;V56,MIN(Y56,T56)-V56,0),'תחום תמיכה ג'!$Q$2))</f>
        <v/>
      </c>
      <c r="AA56" s="259"/>
      <c r="AB56" s="260" t="str">
        <f t="shared" si="3"/>
        <v/>
      </c>
      <c r="AC56" s="261"/>
      <c r="AD56" s="180"/>
      <c r="AE56" s="13" t="str">
        <f>IF($C56="","",IFERROR(VLOOKUP($C56,גיליון1!$A:$E,2,0),"לא הגיש בקשה שוטפת"))</f>
        <v>תמיכה שוטפת לתיאטרון הקרון</v>
      </c>
      <c r="AF56" s="13" t="str">
        <f>IF($C56="","",IFERROR(VLOOKUP($C56,גיליון1!$A:$E,3,0),"לא הגיש בקשה שוטפת"))</f>
        <v>חויב</v>
      </c>
      <c r="AG56" s="13" t="str">
        <f>IF($C56="","",IFERROR(VLOOKUP($C56,גיליון1!$A:$E,4,0),"לא הגיש בקשה שוטפת"))</f>
        <v>19-42-02-07</v>
      </c>
      <c r="AH56" s="13" t="str">
        <f>IF($C56="","",IFERROR(VLOOKUP($C56,גיליון1!$A:$E,5,0),"לא הגיש בקשה שוטפת"))</f>
        <v>תיאטרון</v>
      </c>
      <c r="AI56" s="13">
        <f t="shared" si="2"/>
        <v>0</v>
      </c>
      <c r="AJ56"/>
      <c r="AK56" t="s">
        <v>209</v>
      </c>
    </row>
    <row r="57" spans="1:37" ht="29.25" x14ac:dyDescent="0.25">
      <c r="A57" s="54">
        <f>'הזנה לתנאי סף'!B57</f>
        <v>27</v>
      </c>
      <c r="B57" s="266">
        <f>IF($F57="","",'הזנה לתנאי סף'!C57)</f>
        <v>1001347019</v>
      </c>
      <c r="C57" s="266">
        <f>IF($F57="","",'הזנה לתנאי סף'!D57)</f>
        <v>1001270522</v>
      </c>
      <c r="D57" s="266">
        <f>IF($F57="","",'הזנה לתנאי סף'!E57)</f>
        <v>40000075</v>
      </c>
      <c r="E57" s="55">
        <f>IF($F57="","",'הזנה לתנאי סף'!F57)</f>
        <v>20000159</v>
      </c>
      <c r="F57" s="55" t="str">
        <f>IF('הזנה לתנאי סף'!BL57=1,'הזנה לתנאי סף'!G57,"")</f>
        <v>ירושלים</v>
      </c>
      <c r="G57" s="55" t="str">
        <f>IF($F57="","",'הזנה לתנאי סף'!H57)</f>
        <v>מוזיאון חצר הישוב הישן</v>
      </c>
      <c r="H57" s="55" t="str">
        <f>IF($F57="","",'הזנה לתנאי סף'!I57)</f>
        <v>מוזיאונים</v>
      </c>
      <c r="I57" s="187">
        <f>IF($F57="","",'הזנה לתנאי סף'!R57)</f>
        <v>848579</v>
      </c>
      <c r="J57" s="187">
        <f>IF($F57="","",'תחום תמיכה א'!P57)</f>
        <v>727768</v>
      </c>
      <c r="K57" s="177">
        <f>IF($F57="","",'הזנה לתנאי סף'!N57)</f>
        <v>1</v>
      </c>
      <c r="L57" s="177">
        <f>IF($F57="","",'הזנה לתנאי סף'!O57)</f>
        <v>1</v>
      </c>
      <c r="M57" s="177">
        <f>IF($F57="","",'הזנה לתנאי סף'!Q57)</f>
        <v>1</v>
      </c>
      <c r="N57" s="187">
        <f>IF($F57="","",'תחום תמיכה א'!AE57)</f>
        <v>10705.409495762351</v>
      </c>
      <c r="O57" s="178"/>
      <c r="P57" s="187">
        <f>IF($F57="","",'תחום תמיכה ב'!AC57)</f>
        <v>10472.982441670905</v>
      </c>
      <c r="Q57" s="187">
        <f>IF($F57="","",IF('תחום תמיכה ג'!O57="",0,'תחום תמיכה ג'!O57))</f>
        <v>1810.4475121055445</v>
      </c>
      <c r="R57" s="187">
        <f t="shared" si="0"/>
        <v>314.03292569627592</v>
      </c>
      <c r="S57" s="187">
        <f>IF($F57="","",'תחום תמיכה ב'!AE57)</f>
        <v>10787.015367367181</v>
      </c>
      <c r="T57" s="187">
        <f>IF($F57="","",IF(Q57='תחום תמיכה ג'!$Q$2,'תחום תמיכה ג'!$Q$2,IFERROR(SUMIF(N57:R57,"&gt;0"),'תחום תמיכה ג'!$Q$2)))</f>
        <v>23302.872375235074</v>
      </c>
      <c r="U57" s="187">
        <f>IF($F57="","",'הזנה לתנאי סף'!Y57)</f>
        <v>200000</v>
      </c>
      <c r="V57" s="269">
        <f>IF(F57="","",'הגבלה לסכום מבוקש '!AA57)</f>
        <v>25102.233607963921</v>
      </c>
      <c r="W57" s="187">
        <f t="shared" si="1"/>
        <v>6275.5584019909802</v>
      </c>
      <c r="X57" s="187">
        <f>IF(F57="","",'הזנה לתנאי סף'!Z57)</f>
        <v>100000</v>
      </c>
      <c r="Y57" s="237" t="str">
        <f>IFERROR(VLOOKUP(G57*1,#REF!,3,0),"")</f>
        <v/>
      </c>
      <c r="Z57" s="187" t="str">
        <f>IF(OR($F57="",Y57=""),"",IFERROR(IF(Y57&gt;V57,MIN(Y57,T57)-V57,0),'תחום תמיכה ג'!$Q$2))</f>
        <v/>
      </c>
      <c r="AA57" s="259"/>
      <c r="AB57" s="260" t="str">
        <f t="shared" si="3"/>
        <v/>
      </c>
      <c r="AC57" s="261"/>
      <c r="AD57" s="180"/>
      <c r="AE57" s="13" t="str">
        <f>IF($C57="","",IFERROR(VLOOKUP($C57,גיליון1!$A:$E,2,0),"לא הגיש בקשה שוטפת"))</f>
        <v>תמיכה שוטפת - 2020</v>
      </c>
      <c r="AF57" s="13" t="str">
        <f>IF($C57="","",IFERROR(VLOOKUP($C57,גיליון1!$A:$E,3,0),"לא הגיש בקשה שוטפת"))</f>
        <v>חויב</v>
      </c>
      <c r="AG57" s="13" t="str">
        <f>IF($C57="","",IFERROR(VLOOKUP($C57,גיליון1!$A:$E,4,0),"לא הגיש בקשה שוטפת"))</f>
        <v>19-42-02-18</v>
      </c>
      <c r="AH57" s="13" t="str">
        <f>IF($C57="","",IFERROR(VLOOKUP($C57,גיליון1!$A:$E,5,0),"לא הגיש בקשה שוטפת"))</f>
        <v>מוזיאונים ואמנות פלס</v>
      </c>
      <c r="AI57" s="13">
        <f t="shared" si="2"/>
        <v>0</v>
      </c>
      <c r="AJ57"/>
      <c r="AK57" t="s">
        <v>181</v>
      </c>
    </row>
    <row r="58" spans="1:37" ht="43.5" x14ac:dyDescent="0.25">
      <c r="A58" s="54">
        <f>'הזנה לתנאי סף'!B58</f>
        <v>28</v>
      </c>
      <c r="B58" s="266">
        <f>IF($F58="","",'הזנה לתנאי סף'!C58)</f>
        <v>1001348863</v>
      </c>
      <c r="C58" s="266">
        <f>IF($F58="","",'הזנה לתנאי סף'!D58)</f>
        <v>1001271791</v>
      </c>
      <c r="D58" s="266">
        <f>IF($F58="","",'הזנה לתנאי סף'!E58)</f>
        <v>40000111</v>
      </c>
      <c r="E58" s="55">
        <f>IF($F58="","",'הזנה לתנאי סף'!F58)</f>
        <v>20000201</v>
      </c>
      <c r="F58" s="55" t="str">
        <f>IF('הזנה לתנאי סף'!BL58=1,'הזנה לתנאי סף'!G58,"")</f>
        <v>תל אביב -יפו</v>
      </c>
      <c r="G58" s="55" t="str">
        <f>IF($F58="","",'הזנה לתנאי סף'!H58)</f>
        <v>הבלט הישראלי</v>
      </c>
      <c r="H58" s="55" t="str">
        <f>IF($F58="","",'הזנה לתנאי סף'!I58)</f>
        <v>מחול</v>
      </c>
      <c r="I58" s="187">
        <f>IF($F58="","",'הזנה לתנאי סף'!R58)</f>
        <v>10652225</v>
      </c>
      <c r="J58" s="187">
        <f>IF($F58="","",'תחום תמיכה א'!P58)</f>
        <v>11058568</v>
      </c>
      <c r="K58" s="177">
        <f>IF($F58="","",'הזנה לתנאי סף'!N58)</f>
        <v>1</v>
      </c>
      <c r="L58" s="177">
        <f>IF($F58="","",'הזנה לתנאי סף'!O58)</f>
        <v>1</v>
      </c>
      <c r="M58" s="177">
        <f>IF($F58="","",'הזנה לתנאי סף'!Q58)</f>
        <v>1</v>
      </c>
      <c r="N58" s="187">
        <f>IF($F58="","",'תחום תמיכה א'!AE58)</f>
        <v>240208.18824225711</v>
      </c>
      <c r="O58" s="178"/>
      <c r="P58" s="187">
        <f>IF($F58="","",'תחום תמיכה ב'!AC58)</f>
        <v>286665.61226810608</v>
      </c>
      <c r="Q58" s="187">
        <f>IF($F58="","",IF('תחום תמיכה ג'!O58="",0,'תחום תמיכה ג'!O58))</f>
        <v>120211.15172476028</v>
      </c>
      <c r="R58" s="187">
        <f t="shared" si="0"/>
        <v>8595.6833613009658</v>
      </c>
      <c r="S58" s="187">
        <f>IF($F58="","",'תחום תמיכה ב'!AE58)</f>
        <v>295261.29562940705</v>
      </c>
      <c r="T58" s="187">
        <f>IF($F58="","",IF(Q58='תחום תמיכה ג'!$Q$2,'תחום תמיכה ג'!$Q$2,IFERROR(SUMIF(N58:R58,"&gt;0"),'תחום תמיכה ג'!$Q$2)))</f>
        <v>655680.63559642446</v>
      </c>
      <c r="U58" s="187">
        <f>IF($F58="","",'הזנה לתנאי סף'!Y58)</f>
        <v>2000000</v>
      </c>
      <c r="V58" s="269">
        <f>IF(F58="","",'הגבלה לסכום מבוקש '!AA58)</f>
        <v>704940.72431895591</v>
      </c>
      <c r="W58" s="187">
        <f t="shared" si="1"/>
        <v>176235.18107973898</v>
      </c>
      <c r="X58" s="187">
        <f>IF(F58="","",'הזנה לתנאי סף'!Z58)</f>
        <v>100000</v>
      </c>
      <c r="Y58" s="237" t="str">
        <f>IFERROR(VLOOKUP(G58*1,#REF!,3,0),"")</f>
        <v/>
      </c>
      <c r="Z58" s="187" t="str">
        <f>IF(OR($F58="",Y58=""),"",IFERROR(IF(Y58&gt;V58,MIN(Y58,T58)-V58,0),'תחום תמיכה ג'!$Q$2))</f>
        <v/>
      </c>
      <c r="AA58" s="259"/>
      <c r="AB58" s="260" t="str">
        <f t="shared" si="3"/>
        <v/>
      </c>
      <c r="AC58" s="261"/>
      <c r="AD58" s="180"/>
      <c r="AE58" s="13" t="str">
        <f>IF($C58="","",IFERROR(VLOOKUP($C58,גיליון1!$A:$E,2,0),"לא הגיש בקשה שוטפת"))</f>
        <v>לא הגיש בקשה שוטפת</v>
      </c>
      <c r="AF58" s="13" t="str">
        <f>IF($C58="","",IFERROR(VLOOKUP($C58,גיליון1!$A:$E,3,0),"לא הגיש בקשה שוטפת"))</f>
        <v>לא הגיש בקשה שוטפת</v>
      </c>
      <c r="AG58" s="13" t="str">
        <f>IF($C58="","",IFERROR(VLOOKUP($C58,גיליון1!$A:$E,4,0),"לא הגיש בקשה שוטפת"))</f>
        <v>לא הגיש בקשה שוטפת</v>
      </c>
      <c r="AH58" s="13" t="str">
        <f>IF($C58="","",IFERROR(VLOOKUP($C58,גיליון1!$A:$E,5,0),"לא הגיש בקשה שוטפת"))</f>
        <v>לא הגיש בקשה שוטפת</v>
      </c>
      <c r="AI58" s="13">
        <f t="shared" si="2"/>
        <v>0</v>
      </c>
      <c r="AJ58"/>
      <c r="AK58" t="s">
        <v>194</v>
      </c>
    </row>
    <row r="59" spans="1:37" ht="43.5" x14ac:dyDescent="0.25">
      <c r="A59" s="54">
        <f>'הזנה לתנאי סף'!B59</f>
        <v>29</v>
      </c>
      <c r="B59" s="266">
        <f>IF($F59="","",'הזנה לתנאי סף'!C59)</f>
        <v>1001350366</v>
      </c>
      <c r="C59" s="266">
        <f>IF($F59="","",'הזנה לתנאי סף'!D59)</f>
        <v>1001276978</v>
      </c>
      <c r="D59" s="266">
        <f>IF($F59="","",'הזנה לתנאי סף'!E59)</f>
        <v>40000047</v>
      </c>
      <c r="E59" s="55">
        <f>IF($F59="","",'הזנה לתנאי סף'!F59)</f>
        <v>20000201</v>
      </c>
      <c r="F59" s="55" t="str">
        <f>IF('הזנה לתנאי סף'!BL59=1,'הזנה לתנאי סף'!G59,"")</f>
        <v>תל אביב -יפו</v>
      </c>
      <c r="G59" s="55" t="str">
        <f>IF($F59="","",'הזנה לתנאי סף'!H59)</f>
        <v>סינמטק</v>
      </c>
      <c r="H59" s="55" t="str">
        <f>IF($F59="","",'הזנה לתנאי סף'!I59)</f>
        <v>סינמטקים ופסטיבלים</v>
      </c>
      <c r="I59" s="187">
        <f>IF($F59="","",'הזנה לתנאי סף'!R59)</f>
        <v>625521</v>
      </c>
      <c r="J59" s="187">
        <f>IF($F59="","",'תחום תמיכה א'!P59)</f>
        <v>673057</v>
      </c>
      <c r="K59" s="177">
        <f>IF($F59="","",'הזנה לתנאי סף'!N59)</f>
        <v>1</v>
      </c>
      <c r="L59" s="177">
        <f>IF($F59="","",'הזנה לתנאי סף'!O59)</f>
        <v>1</v>
      </c>
      <c r="M59" s="177">
        <f>IF($F59="","",'הזנה לתנאי סף'!Q59)</f>
        <v>1</v>
      </c>
      <c r="N59" s="187">
        <f>IF($F59="","",'תחום תמיכה א'!AE59)</f>
        <v>11649.1591813833</v>
      </c>
      <c r="O59" s="178"/>
      <c r="P59" s="187">
        <f>IF($F59="","",'תחום תמיכה ב'!AC59)</f>
        <v>10687.713453603285</v>
      </c>
      <c r="Q59" s="187">
        <f>IF($F59="","",IF('תחום תמיכה ג'!O59="",0,'תחום תמיכה ג'!O59))</f>
        <v>4481.8153576099812</v>
      </c>
      <c r="R59" s="187">
        <f t="shared" si="0"/>
        <v>320.47164630813677</v>
      </c>
      <c r="S59" s="187">
        <f>IF($F59="","",'תחום תמיכה ב'!AE59)</f>
        <v>11008.185099911421</v>
      </c>
      <c r="T59" s="187">
        <f>IF($F59="","",IF(Q59='תחום תמיכה ג'!$Q$2,'תחום תמיכה ג'!$Q$2,IFERROR(SUMIF(N59:R59,"&gt;0"),'תחום תמיכה ג'!$Q$2)))</f>
        <v>27139.159638904697</v>
      </c>
      <c r="U59" s="187">
        <f>IF($F59="","",'הזנה לתנאי סף'!Y59)</f>
        <v>202000</v>
      </c>
      <c r="V59" s="269">
        <f>IF(F59="","",'הגבלה לסכום מבוקש '!AA59)</f>
        <v>28976.942982344775</v>
      </c>
      <c r="W59" s="187">
        <f t="shared" si="1"/>
        <v>7244.2357455861938</v>
      </c>
      <c r="X59" s="187">
        <f>IF(F59="","",'הזנה לתנאי סף'!Z59)</f>
        <v>202000</v>
      </c>
      <c r="Y59" s="237" t="str">
        <f>IFERROR(VLOOKUP(G59*1,#REF!,3,0),"")</f>
        <v/>
      </c>
      <c r="Z59" s="187" t="str">
        <f>IF(OR($F59="",Y59=""),"",IFERROR(IF(Y59&gt;V59,MIN(Y59,T59)-V59,0),'תחום תמיכה ג'!$Q$2))</f>
        <v/>
      </c>
      <c r="AA59" s="259"/>
      <c r="AB59" s="260" t="str">
        <f t="shared" si="3"/>
        <v/>
      </c>
      <c r="AC59" s="261"/>
      <c r="AD59" s="180"/>
      <c r="AE59" s="13" t="str">
        <f>IF($C59="","",IFERROR(VLOOKUP($C59,גיליון1!$A:$E,2,0),"לא הגיש בקשה שוטפת"))</f>
        <v>לא הגיש בקשה שוטפת</v>
      </c>
      <c r="AF59" s="13" t="str">
        <f>IF($C59="","",IFERROR(VLOOKUP($C59,גיליון1!$A:$E,3,0),"לא הגיש בקשה שוטפת"))</f>
        <v>לא הגיש בקשה שוטפת</v>
      </c>
      <c r="AG59" s="13" t="str">
        <f>IF($C59="","",IFERROR(VLOOKUP($C59,גיליון1!$A:$E,4,0),"לא הגיש בקשה שוטפת"))</f>
        <v>לא הגיש בקשה שוטפת</v>
      </c>
      <c r="AH59" s="13" t="str">
        <f>IF($C59="","",IFERROR(VLOOKUP($C59,גיליון1!$A:$E,5,0),"לא הגיש בקשה שוטפת"))</f>
        <v>לא הגיש בקשה שוטפת</v>
      </c>
      <c r="AI59" s="13">
        <f t="shared" si="2"/>
        <v>0</v>
      </c>
      <c r="AJ59"/>
      <c r="AK59" t="s">
        <v>202</v>
      </c>
    </row>
    <row r="60" spans="1:37" ht="29.25" x14ac:dyDescent="0.25">
      <c r="A60" s="54">
        <f>'הזנה לתנאי סף'!B60</f>
        <v>30</v>
      </c>
      <c r="B60" s="266">
        <f>IF($F60="","",'הזנה לתנאי סף'!C60)</f>
        <v>1001350413</v>
      </c>
      <c r="C60" s="266">
        <f>IF($F60="","",'הזנה לתנאי סף'!D60)</f>
        <v>1001279700</v>
      </c>
      <c r="D60" s="266">
        <f>IF($F60="","",'הזנה לתנאי סף'!E60)</f>
        <v>40000047</v>
      </c>
      <c r="E60" s="55">
        <f>IF($F60="","",'הזנה לתנאי סף'!F60)</f>
        <v>20000201</v>
      </c>
      <c r="F60" s="55" t="str">
        <f>IF('הזנה לתנאי סף'!BL60=1,'הזנה לתנאי סף'!G60,"")</f>
        <v>תל אביב -יפו</v>
      </c>
      <c r="G60" s="55" t="str">
        <f>IF($F60="","",'הזנה לתנאי סף'!H60)</f>
        <v>סינמטק</v>
      </c>
      <c r="H60" s="55" t="str">
        <f>IF($F60="","",'הזנה לתנאי סף'!I60)</f>
        <v>סינמטקים ופסטיבלים</v>
      </c>
      <c r="I60" s="187">
        <f>IF($F60="","",'הזנה לתנאי סף'!R60)</f>
        <v>525871</v>
      </c>
      <c r="J60" s="187">
        <f>IF($F60="","",'תחום תמיכה א'!P60)</f>
        <v>532964</v>
      </c>
      <c r="K60" s="177">
        <f>IF($F60="","",'הזנה לתנאי סף'!N60)</f>
        <v>1</v>
      </c>
      <c r="L60" s="177">
        <f>IF($F60="","",'הזנה לתנאי סף'!O60)</f>
        <v>1</v>
      </c>
      <c r="M60" s="177">
        <f>IF($F60="","",'הזנה לתנאי סף'!Q60)</f>
        <v>1</v>
      </c>
      <c r="N60" s="187">
        <f>IF($F60="","",'תחום תמיכה א'!AE60)</f>
        <v>14590.014488025099</v>
      </c>
      <c r="O60" s="178"/>
      <c r="P60" s="187">
        <f>IF($F60="","",'תחום תמיכה ב'!AC60)</f>
        <v>22477.725155133663</v>
      </c>
      <c r="Q60" s="187">
        <f>IF($F60="","",IF('תחום תמיכה ג'!O60="",0,'תחום תמיכה ג'!O60))</f>
        <v>9425.8715151508986</v>
      </c>
      <c r="R60" s="187">
        <f t="shared" si="0"/>
        <v>673.99576317223546</v>
      </c>
      <c r="S60" s="187">
        <f>IF($F60="","",'תחום תמיכה ב'!AE60)</f>
        <v>23151.720918305899</v>
      </c>
      <c r="T60" s="187">
        <f>IF($F60="","",IF(Q60='תחום תמיכה ג'!$Q$2,'תחום תמיכה ג'!$Q$2,IFERROR(SUMIF(N60:R60,"&gt;0"),'תחום תמיכה ג'!$Q$2)))</f>
        <v>47167.6069214819</v>
      </c>
      <c r="U60" s="187">
        <f>IF($F60="","",'הזנה לתנאי סף'!Y60)</f>
        <v>263000</v>
      </c>
      <c r="V60" s="269">
        <f>IF(F60="","",'הגבלה לסכום מבוקש '!AA60)</f>
        <v>51028.204814210345</v>
      </c>
      <c r="W60" s="187">
        <f t="shared" si="1"/>
        <v>12757.051203552586</v>
      </c>
      <c r="X60" s="187">
        <f>IF(F60="","",'הזנה לתנאי סף'!Z60)</f>
        <v>263000</v>
      </c>
      <c r="Y60" s="237" t="str">
        <f>IFERROR(VLOOKUP(G60*1,#REF!,3,0),"")</f>
        <v/>
      </c>
      <c r="Z60" s="187" t="str">
        <f>IF(OR($F60="",Y60=""),"",IFERROR(IF(Y60&gt;V60,MIN(Y60,T60)-V60,0),'תחום תמיכה ג'!$Q$2))</f>
        <v/>
      </c>
      <c r="AA60" s="259"/>
      <c r="AB60" s="260" t="str">
        <f t="shared" si="3"/>
        <v/>
      </c>
      <c r="AC60" s="261"/>
      <c r="AD60" s="180"/>
      <c r="AE60" s="13" t="str">
        <f>IF($C60="","",IFERROR(VLOOKUP($C60,גיליון1!$A:$E,2,0),"לא הגיש בקשה שוטפת"))</f>
        <v>תמיכה בפסטיבל אנימציה 2020</v>
      </c>
      <c r="AF60" s="13" t="str">
        <f>IF($C60="","",IFERROR(VLOOKUP($C60,גיליון1!$A:$E,3,0),"לא הגיש בקשה שוטפת"))</f>
        <v>מועד</v>
      </c>
      <c r="AG60" s="13" t="str">
        <f>IF($C60="","",IFERROR(VLOOKUP($C60,גיליון1!$A:$E,4,0),"לא הגיש בקשה שוטפת"))</f>
        <v>19-42-02-28</v>
      </c>
      <c r="AH60" s="13" t="str">
        <f>IF($C60="","",IFERROR(VLOOKUP($C60,גיליון1!$A:$E,5,0),"לא הגיש בקשה שוטפת"))</f>
        <v>חוק  הקולנוע</v>
      </c>
      <c r="AI60" s="13">
        <f t="shared" si="2"/>
        <v>0</v>
      </c>
      <c r="AJ60"/>
      <c r="AK60" t="s">
        <v>192</v>
      </c>
    </row>
    <row r="61" spans="1:37" ht="29.25" x14ac:dyDescent="0.25">
      <c r="A61" s="54">
        <f>'הזנה לתנאי סף'!B61</f>
        <v>31</v>
      </c>
      <c r="B61" s="266">
        <f>IF($F61="","",'הזנה לתנאי סף'!C61)</f>
        <v>1001350418</v>
      </c>
      <c r="C61" s="266">
        <f>IF($F61="","",'הזנה לתנאי סף'!D61)</f>
        <v>1001279702</v>
      </c>
      <c r="D61" s="266">
        <f>IF($F61="","",'הזנה לתנאי סף'!E61)</f>
        <v>40000047</v>
      </c>
      <c r="E61" s="55">
        <f>IF($F61="","",'הזנה לתנאי סף'!F61)</f>
        <v>20000201</v>
      </c>
      <c r="F61" s="55" t="str">
        <f>IF('הזנה לתנאי סף'!BL61=1,'הזנה לתנאי סף'!G61,"")</f>
        <v>תל אביב -יפו</v>
      </c>
      <c r="G61" s="55" t="str">
        <f>IF($F61="","",'הזנה לתנאי סף'!H61)</f>
        <v>סינמטק</v>
      </c>
      <c r="H61" s="55" t="str">
        <f>IF($F61="","",'הזנה לתנאי סף'!I61)</f>
        <v>סינמטקים ופסטיבלים</v>
      </c>
      <c r="I61" s="187">
        <f>IF($F61="","",'הזנה לתנאי סף'!R61)</f>
        <v>24448000</v>
      </c>
      <c r="J61" s="187">
        <f>IF($F61="","",'תחום תמיכה א'!P61)</f>
        <v>25846000</v>
      </c>
      <c r="K61" s="177">
        <f>IF($F61="","",'הזנה לתנאי סף'!N61)</f>
        <v>1</v>
      </c>
      <c r="L61" s="177">
        <f>IF($F61="","",'הזנה לתנאי סף'!O61)</f>
        <v>1</v>
      </c>
      <c r="M61" s="177">
        <f>IF($F61="","",'הזנה לתנאי סף'!Q61)</f>
        <v>1</v>
      </c>
      <c r="N61" s="187">
        <f>IF($F61="","",'תחום תמיכה א'!AE61)</f>
        <v>1008095.0388626376</v>
      </c>
      <c r="O61" s="178"/>
      <c r="P61" s="187">
        <f>IF($F61="","",'תחום תמיכה ב'!AC61)</f>
        <v>2121373.0642230557</v>
      </c>
      <c r="Q61" s="187">
        <f>IF($F61="","",IF('תחום תמיכה ג'!O61="",0,'תחום תמיכה ג'!O61))</f>
        <v>889582.45556720253</v>
      </c>
      <c r="R61" s="187">
        <f t="shared" si="0"/>
        <v>63609.48216628097</v>
      </c>
      <c r="S61" s="187">
        <f>IF($F61="","",'תחום תמיכה ב'!AE61)</f>
        <v>2184982.5463893367</v>
      </c>
      <c r="T61" s="187">
        <f>IF($F61="","",IF(Q61='תחום תמיכה ג'!$Q$2,'תחום תמיכה ג'!$Q$2,IFERROR(SUMIF(N61:R61,"&gt;0"),'תחום תמיכה ג'!$Q$2)))</f>
        <v>4082660.0408191769</v>
      </c>
      <c r="U61" s="187">
        <f>IF($F61="","",'הזנה לתנאי סף'!Y61)</f>
        <v>213400</v>
      </c>
      <c r="V61" s="269">
        <f>IF(F61="","",'הגבלה לסכום מבוקש '!AA61)</f>
        <v>213400</v>
      </c>
      <c r="W61" s="187">
        <f t="shared" si="1"/>
        <v>53350</v>
      </c>
      <c r="X61" s="187">
        <f>IF(F61="","",'הזנה לתנאי סף'!Z61)</f>
        <v>213400</v>
      </c>
      <c r="Y61" s="237" t="str">
        <f>IFERROR(VLOOKUP(G61*1,#REF!,3,0),"")</f>
        <v/>
      </c>
      <c r="Z61" s="187" t="str">
        <f>IF(OR($F61="",Y61=""),"",IFERROR(IF(Y61&gt;V61,MIN(Y61,T61)-V61,0),'תחום תמיכה ג'!$Q$2))</f>
        <v/>
      </c>
      <c r="AA61" s="259"/>
      <c r="AB61" s="260" t="str">
        <f t="shared" si="3"/>
        <v/>
      </c>
      <c r="AC61" s="261"/>
      <c r="AD61" s="180"/>
      <c r="AE61" s="13" t="str">
        <f>IF($C61="","",IFERROR(VLOOKUP($C61,גיליון1!$A:$E,2,0),"לא הגיש בקשה שוטפת"))</f>
        <v>תמיכה בסינמטק ת"א 2020</v>
      </c>
      <c r="AF61" s="13" t="str">
        <f>IF($C61="","",IFERROR(VLOOKUP($C61,גיליון1!$A:$E,3,0),"לא הגיש בקשה שוטפת"))</f>
        <v>מקדמ</v>
      </c>
      <c r="AG61" s="13" t="str">
        <f>IF($C61="","",IFERROR(VLOOKUP($C61,גיליון1!$A:$E,4,0),"לא הגיש בקשה שוטפת"))</f>
        <v>19-42-02-28</v>
      </c>
      <c r="AH61" s="13" t="str">
        <f>IF($C61="","",IFERROR(VLOOKUP($C61,גיליון1!$A:$E,5,0),"לא הגיש בקשה שוטפת"))</f>
        <v>חוק  הקולנוע</v>
      </c>
      <c r="AI61" s="13">
        <f t="shared" si="2"/>
        <v>1</v>
      </c>
      <c r="AJ61"/>
      <c r="AK61" t="s">
        <v>199</v>
      </c>
    </row>
    <row r="62" spans="1:37" ht="29.25" x14ac:dyDescent="0.25">
      <c r="A62" s="54">
        <f>'הזנה לתנאי סף'!B62</f>
        <v>32</v>
      </c>
      <c r="B62" s="266">
        <f>IF($F62="","",'הזנה לתנאי סף'!C62)</f>
        <v>1001350420</v>
      </c>
      <c r="C62" s="266">
        <f>IF($F62="","",'הזנה לתנאי סף'!D62)</f>
        <v>1001279677</v>
      </c>
      <c r="D62" s="266">
        <f>IF($F62="","",'הזנה לתנאי סף'!E62)</f>
        <v>40000047</v>
      </c>
      <c r="E62" s="55">
        <f>IF($F62="","",'הזנה לתנאי סף'!F62)</f>
        <v>20000201</v>
      </c>
      <c r="F62" s="55" t="str">
        <f>IF('הזנה לתנאי סף'!BL62=1,'הזנה לתנאי סף'!G62,"")</f>
        <v>תל אביב -יפו</v>
      </c>
      <c r="G62" s="55" t="str">
        <f>IF($F62="","",'הזנה לתנאי סף'!H62)</f>
        <v>סינמטק</v>
      </c>
      <c r="H62" s="55" t="str">
        <f>IF($F62="","",'הזנה לתנאי סף'!I62)</f>
        <v>סינמטקים ופסטיבלים</v>
      </c>
      <c r="I62" s="187">
        <f>IF($F62="","",'הזנה לתנאי סף'!R62)</f>
        <v>582322</v>
      </c>
      <c r="J62" s="187">
        <f>IF($F62="","",'תחום תמיכה א'!P62)</f>
        <v>747414</v>
      </c>
      <c r="K62" s="177">
        <f>IF($F62="","",'הזנה לתנאי סף'!N62)</f>
        <v>1</v>
      </c>
      <c r="L62" s="177">
        <f>IF($F62="","",'הזנה לתנאי סף'!O62)</f>
        <v>1</v>
      </c>
      <c r="M62" s="177">
        <f>IF($F62="","",'הזנה לתנאי סף'!Q62)</f>
        <v>1</v>
      </c>
      <c r="N62" s="187">
        <f>IF($F62="","",'תחום תמיכה א'!AE62)</f>
        <v>23065.975714931799</v>
      </c>
      <c r="O62" s="178"/>
      <c r="P62" s="187">
        <f>IF($F62="","",'תחום תמיכה ב'!AC62)</f>
        <v>31633.106264361832</v>
      </c>
      <c r="Q62" s="187">
        <f>IF($F62="","",IF('תחום תמיכה ג'!O62="",0,'תחום תמיכה ג'!O62))</f>
        <v>13265.114383912247</v>
      </c>
      <c r="R62" s="187">
        <f t="shared" si="0"/>
        <v>948.52034407438987</v>
      </c>
      <c r="S62" s="187">
        <f>IF($F62="","",'תחום תמיכה ב'!AE62)</f>
        <v>32581.626608436221</v>
      </c>
      <c r="T62" s="187">
        <f>IF($F62="","",IF(Q62='תחום תמיכה ג'!$Q$2,'תחום תמיכה ג'!$Q$2,IFERROR(SUMIF(N62:R62,"&gt;0"),'תחום תמיכה ג'!$Q$2)))</f>
        <v>68912.716707280269</v>
      </c>
      <c r="U62" s="187">
        <f>IF($F62="","",'הזנה לתנאי סף'!Y62)</f>
        <v>203500</v>
      </c>
      <c r="V62" s="269">
        <f>IF(F62="","",'הגבלה לסכום מבוקש '!AA62)</f>
        <v>74346.924585396875</v>
      </c>
      <c r="W62" s="187">
        <f t="shared" si="1"/>
        <v>18586.731146349219</v>
      </c>
      <c r="X62" s="187">
        <f>IF(F62="","",'הזנה לתנאי סף'!Z62)</f>
        <v>203500</v>
      </c>
      <c r="Y62" s="237" t="str">
        <f>IFERROR(VLOOKUP(G62*1,#REF!,3,0),"")</f>
        <v/>
      </c>
      <c r="Z62" s="187" t="str">
        <f>IF(OR($F62="",Y62=""),"",IFERROR(IF(Y62&gt;V62,MIN(Y62,T62)-V62,0),'תחום תמיכה ג'!$Q$2))</f>
        <v/>
      </c>
      <c r="AA62" s="259"/>
      <c r="AB62" s="260" t="str">
        <f t="shared" si="3"/>
        <v/>
      </c>
      <c r="AC62" s="261"/>
      <c r="AD62" s="180"/>
      <c r="AE62" s="13" t="str">
        <f>IF($C62="","",IFERROR(VLOOKUP($C62,גיליון1!$A:$E,2,0),"לא הגיש בקשה שוטפת"))</f>
        <v>תמיכה בפסטיבל גאה 2020</v>
      </c>
      <c r="AF62" s="13" t="str">
        <f>IF($C62="","",IFERROR(VLOOKUP($C62,גיליון1!$A:$E,3,0),"לא הגיש בקשה שוטפת"))</f>
        <v>מועד</v>
      </c>
      <c r="AG62" s="13" t="str">
        <f>IF($C62="","",IFERROR(VLOOKUP($C62,גיליון1!$A:$E,4,0),"לא הגיש בקשה שוטפת"))</f>
        <v>19-42-02-28</v>
      </c>
      <c r="AH62" s="13" t="str">
        <f>IF($C62="","",IFERROR(VLOOKUP($C62,גיליון1!$A:$E,5,0),"לא הגיש בקשה שוטפת"))</f>
        <v>חוק  הקולנוע</v>
      </c>
      <c r="AI62" s="13">
        <f t="shared" si="2"/>
        <v>0</v>
      </c>
      <c r="AJ62"/>
      <c r="AK62" t="s">
        <v>251</v>
      </c>
    </row>
    <row r="63" spans="1:37" ht="29.25" x14ac:dyDescent="0.25">
      <c r="A63" s="54">
        <f>'הזנה לתנאי סף'!B63</f>
        <v>33</v>
      </c>
      <c r="B63" s="266">
        <f>IF($F63="","",'הזנה לתנאי סף'!C63)</f>
        <v>1001346673</v>
      </c>
      <c r="C63" s="266">
        <f>IF($F63="","",'הזנה לתנאי סף'!D63)</f>
        <v>1001280582</v>
      </c>
      <c r="D63" s="266">
        <f>IF($F63="","",'הזנה לתנאי סף'!E63)</f>
        <v>40000026</v>
      </c>
      <c r="E63" s="55">
        <f>IF($F63="","",'הזנה לתנאי סף'!F63)</f>
        <v>20000182</v>
      </c>
      <c r="F63" s="55" t="str">
        <f>IF('הזנה לתנאי סף'!BL63=1,'הזנה לתנאי סף'!G63,"")</f>
        <v>חיפה</v>
      </c>
      <c r="G63" s="55" t="str">
        <f>IF($F63="","",'הזנה לתנאי סף'!H63)</f>
        <v>מוזיאוני חיפה</v>
      </c>
      <c r="H63" s="55" t="str">
        <f>IF($F63="","",'הזנה לתנאי סף'!I63)</f>
        <v>מוזיאונים</v>
      </c>
      <c r="I63" s="187">
        <f>IF($F63="","",'הזנה לתנאי סף'!R63)</f>
        <v>19868686</v>
      </c>
      <c r="J63" s="187">
        <f>IF($F63="","",'תחום תמיכה א'!P63)</f>
        <v>19332466</v>
      </c>
      <c r="K63" s="177">
        <f>IF($F63="","",'הזנה לתנאי סף'!N63)</f>
        <v>1</v>
      </c>
      <c r="L63" s="177">
        <f>IF($F63="","",'הזנה לתנאי סף'!O63)</f>
        <v>1</v>
      </c>
      <c r="M63" s="177">
        <f>IF($F63="","",'הזנה לתנאי סף'!Q63)</f>
        <v>1</v>
      </c>
      <c r="N63" s="187">
        <f>IF($F63="","",'תחום תמיכה א'!AE63)</f>
        <v>312198.5641130585</v>
      </c>
      <c r="O63" s="178"/>
      <c r="P63" s="187">
        <f>IF($F63="","",'תחום תמיכה ב'!AC63)</f>
        <v>295538.37234245572</v>
      </c>
      <c r="Q63" s="187">
        <f>IF($F63="","",IF('תחום תמיכה ג'!O63="",0,'תחום תמיכה ג'!O63))</f>
        <v>63874.910362315612</v>
      </c>
      <c r="R63" s="187">
        <f t="shared" si="0"/>
        <v>8861.7335357061238</v>
      </c>
      <c r="S63" s="187">
        <f>IF($F63="","",'תחום תמיכה ב'!AE63)</f>
        <v>304400.10587816185</v>
      </c>
      <c r="T63" s="187">
        <f>IF($F63="","",IF(Q63='תחום תמיכה ג'!$Q$2,'תחום תמיכה ג'!$Q$2,IFERROR(SUMIF(N63:R63,"&gt;0"),'תחום תמיכה ג'!$Q$2)))</f>
        <v>680473.58035353594</v>
      </c>
      <c r="U63" s="187">
        <f>IF($F63="","",'הזנה לתנאי סף'!Y63)</f>
        <v>4000000</v>
      </c>
      <c r="V63" s="269">
        <f>IF(F63="","",'הגבלה לסכום מבוקש '!AA63)</f>
        <v>731260.39608166448</v>
      </c>
      <c r="W63" s="187">
        <f t="shared" si="1"/>
        <v>182815.09902041612</v>
      </c>
      <c r="X63" s="187">
        <f>IF(F63="","",'הזנה לתנאי סף'!Z63)</f>
        <v>4000000</v>
      </c>
      <c r="Y63" s="237" t="str">
        <f>IFERROR(VLOOKUP(G63*1,#REF!,3,0),"")</f>
        <v/>
      </c>
      <c r="Z63" s="187" t="str">
        <f>IF(OR($F63="",Y63=""),"",IFERROR(IF(Y63&gt;V63,MIN(Y63,T63)-V63,0),'תחום תמיכה ג'!$Q$2))</f>
        <v/>
      </c>
      <c r="AA63" s="259"/>
      <c r="AB63" s="260" t="str">
        <f t="shared" si="3"/>
        <v/>
      </c>
      <c r="AC63" s="261"/>
      <c r="AD63" s="180"/>
      <c r="AE63" s="13" t="str">
        <f>IF($C63="","",IFERROR(VLOOKUP($C63,גיליון1!$A:$E,2,0),"לא הגיש בקשה שוטפת"))</f>
        <v>תמיכה שוטפת 2020</v>
      </c>
      <c r="AF63" s="13" t="str">
        <f>IF($C63="","",IFERROR(VLOOKUP($C63,גיליון1!$A:$E,3,0),"לא הגיש בקשה שוטפת"))</f>
        <v>חויב</v>
      </c>
      <c r="AG63" s="13" t="str">
        <f>IF($C63="","",IFERROR(VLOOKUP($C63,גיליון1!$A:$E,4,0),"לא הגיש בקשה שוטפת"))</f>
        <v>19-42-02-18</v>
      </c>
      <c r="AH63" s="13" t="str">
        <f>IF($C63="","",IFERROR(VLOOKUP($C63,גיליון1!$A:$E,5,0),"לא הגיש בקשה שוטפת"))</f>
        <v>מוזיאונים ואמנות פלס</v>
      </c>
      <c r="AI63" s="13">
        <f t="shared" si="2"/>
        <v>0</v>
      </c>
      <c r="AJ63"/>
      <c r="AK63" t="s">
        <v>213</v>
      </c>
    </row>
    <row r="64" spans="1:37" ht="29.25" x14ac:dyDescent="0.25">
      <c r="A64" s="54">
        <f>'הזנה לתנאי סף'!B64</f>
        <v>34</v>
      </c>
      <c r="B64" s="266">
        <f>IF($F64="","",'הזנה לתנאי סף'!C64)</f>
        <v>1001349871</v>
      </c>
      <c r="C64" s="266">
        <f>IF($F64="","",'הזנה לתנאי סף'!D64)</f>
        <v>1001270373</v>
      </c>
      <c r="D64" s="266">
        <f>IF($F64="","",'הזנה לתנאי סף'!E64)</f>
        <v>40000076</v>
      </c>
      <c r="E64" s="55">
        <f>IF($F64="","",'הזנה לתנאי סף'!F64)</f>
        <v>20000159</v>
      </c>
      <c r="F64" s="55" t="str">
        <f>IF('הזנה לתנאי סף'!BL64=1,'הזנה לתנאי סף'!G64,"")</f>
        <v>ירושלים</v>
      </c>
      <c r="G64" s="55" t="str">
        <f>IF($F64="","",'הזנה לתנאי סף'!H64)</f>
        <v>רננות</v>
      </c>
      <c r="H64" s="55" t="str">
        <f>IF($F64="","",'הזנה לתנאי סף'!I64)</f>
        <v>חזנות</v>
      </c>
      <c r="I64" s="187">
        <f>IF($F64="","",'הזנה לתנאי סף'!R64)</f>
        <v>263862</v>
      </c>
      <c r="J64" s="187">
        <f>IF($F64="","",'תחום תמיכה א'!P64)</f>
        <v>264796</v>
      </c>
      <c r="K64" s="177">
        <f>IF($F64="","",'הזנה לתנאי סף'!N64)</f>
        <v>1</v>
      </c>
      <c r="L64" s="177">
        <f>IF($F64="","",'הזנה לתנאי סף'!O64)</f>
        <v>1</v>
      </c>
      <c r="M64" s="177">
        <f>IF($F64="","",'הזנה לתנאי סף'!Q64)</f>
        <v>1</v>
      </c>
      <c r="N64" s="187">
        <f>IF($F64="","",'תחום תמיכה א'!AE64)</f>
        <v>5286.2265551243472</v>
      </c>
      <c r="O64" s="178"/>
      <c r="P64" s="187">
        <f>IF($F64="","",'תחום תמיכה ב'!AC64)</f>
        <v>5997.9520785319464</v>
      </c>
      <c r="Q64" s="187">
        <f>IF($F64="","",IF('תחום תמיכה ג'!O64="",0,'תחום תמיכה ג'!O64))</f>
        <v>1036.8562612212261</v>
      </c>
      <c r="R64" s="187">
        <f t="shared" si="0"/>
        <v>179.84890645027554</v>
      </c>
      <c r="S64" s="187">
        <f>IF($F64="","",'תחום תמיכה ב'!AE64)</f>
        <v>6177.800984982222</v>
      </c>
      <c r="T64" s="187">
        <f>IF($F64="","",IF(Q64='תחום תמיכה ג'!$Q$2,'תחום תמיכה ג'!$Q$2,IFERROR(SUMIF(N64:R64,"&gt;0"),'תחום תמיכה ג'!$Q$2)))</f>
        <v>12500.883801327796</v>
      </c>
      <c r="U64" s="187">
        <f>IF($F64="","",'הזנה לתנאי סף'!Y64)</f>
        <v>200000</v>
      </c>
      <c r="V64" s="269">
        <f>IF(F64="","",'הגבלה לסכום מבוקש '!AA64)</f>
        <v>13531.006193793677</v>
      </c>
      <c r="W64" s="187">
        <f t="shared" si="1"/>
        <v>3382.7515484484193</v>
      </c>
      <c r="X64" s="187">
        <f>IF(F64="","",'הזנה לתנאי סף'!Z64)</f>
        <v>100000</v>
      </c>
      <c r="Y64" s="237" t="str">
        <f>IFERROR(VLOOKUP(G64*1,#REF!,3,0),"")</f>
        <v/>
      </c>
      <c r="Z64" s="187" t="str">
        <f>IF(OR($F64="",Y64=""),"",IFERROR(IF(Y64&gt;V64,MIN(Y64,T64)-V64,0),'תחום תמיכה ג'!$Q$2))</f>
        <v/>
      </c>
      <c r="AA64" s="259"/>
      <c r="AB64" s="260" t="str">
        <f t="shared" si="3"/>
        <v/>
      </c>
      <c r="AC64" s="261"/>
      <c r="AD64" s="180"/>
      <c r="AE64" s="13" t="str">
        <f>IF($C64="","",IFERROR(VLOOKUP($C64,גיליון1!$A:$E,2,0),"לא הגיש בקשה שוטפת"))</f>
        <v>בקשת תמיכה בפעילות חזנית עניפה של המכון</v>
      </c>
      <c r="AF64" s="13" t="str">
        <f>IF($C64="","",IFERROR(VLOOKUP($C64,גיליון1!$A:$E,3,0),"לא הגיש בקשה שוטפת"))</f>
        <v>מועד</v>
      </c>
      <c r="AG64" s="13" t="str">
        <f>IF($C64="","",IFERROR(VLOOKUP($C64,גיליון1!$A:$E,4,0),"לא הגיש בקשה שוטפת"))</f>
        <v>19-42-02-16</v>
      </c>
      <c r="AH64" s="13" t="str">
        <f>IF($C64="","",IFERROR(VLOOKUP($C64,גיליון1!$A:$E,5,0),"לא הגיש בקשה שוטפת"))</f>
        <v>מוסיקה</v>
      </c>
      <c r="AI64" s="13">
        <f t="shared" si="2"/>
        <v>0</v>
      </c>
      <c r="AJ64"/>
      <c r="AK64" t="s">
        <v>180</v>
      </c>
    </row>
    <row r="65" spans="1:37" ht="29.25" x14ac:dyDescent="0.25">
      <c r="A65" s="54">
        <f>'הזנה לתנאי סף'!B65</f>
        <v>35</v>
      </c>
      <c r="B65" s="266">
        <f>IF($F65="","",'הזנה לתנאי סף'!C65)</f>
        <v>1001350106</v>
      </c>
      <c r="C65" s="266">
        <f>IF($F65="","",'הזנה לתנאי סף'!D65)</f>
        <v>1001288944</v>
      </c>
      <c r="D65" s="266">
        <f>IF($F65="","",'הזנה לתנאי סף'!E65)</f>
        <v>40000076</v>
      </c>
      <c r="E65" s="55">
        <f>IF($F65="","",'הזנה לתנאי סף'!F65)</f>
        <v>20000159</v>
      </c>
      <c r="F65" s="55" t="str">
        <f>IF('הזנה לתנאי סף'!BL65=1,'הזנה לתנאי סף'!G65,"")</f>
        <v>ירושלים</v>
      </c>
      <c r="G65" s="55" t="str">
        <f>IF($F65="","",'הזנה לתנאי סף'!H65)</f>
        <v>רננות</v>
      </c>
      <c r="H65" s="55" t="str">
        <f>IF($F65="","",'הזנה לתנאי סף'!I65)</f>
        <v>קבוצות מוסיקה</v>
      </c>
      <c r="I65" s="187">
        <f>IF($F65="","",'הזנה לתנאי סף'!R65)</f>
        <v>56450</v>
      </c>
      <c r="J65" s="187">
        <f>IF($F65="","",'תחום תמיכה א'!P65)</f>
        <v>77642</v>
      </c>
      <c r="K65" s="177">
        <f>IF($F65="","",'הזנה לתנאי סף'!N65)</f>
        <v>1</v>
      </c>
      <c r="L65" s="177">
        <f>IF($F65="","",'הזנה לתנאי סף'!O65)</f>
        <v>1</v>
      </c>
      <c r="M65" s="177">
        <f>IF($F65="","",'הזנה לתנאי סף'!Q65)</f>
        <v>1</v>
      </c>
      <c r="N65" s="187">
        <f>IF($F65="","",'תחום תמיכה א'!AE65)</f>
        <v>4244.2612679435424</v>
      </c>
      <c r="O65" s="178"/>
      <c r="P65" s="187">
        <f>IF($F65="","",'תחום תמיכה ב'!AC65)</f>
        <v>9621.2650148453249</v>
      </c>
      <c r="Q65" s="187">
        <f>IF($F65="","",IF('תחום תמיכה ג'!O65="",0,'תחום תמיכה ג'!O65))</f>
        <v>1663.212500015971</v>
      </c>
      <c r="R65" s="187">
        <f t="shared" si="0"/>
        <v>288.49413415316121</v>
      </c>
      <c r="S65" s="187">
        <f>IF($F65="","",'תחום תמיכה ב'!AE65)</f>
        <v>9909.7591489984861</v>
      </c>
      <c r="T65" s="187">
        <f>IF($F65="","",IF(Q65='תחום תמיכה ג'!$Q$2,'תחום תמיכה ג'!$Q$2,IFERROR(SUMIF(N65:R65,"&gt;0"),'תחום תמיכה ג'!$Q$2)))</f>
        <v>15817.232916957999</v>
      </c>
      <c r="U65" s="187">
        <f>IF($F65="","",'הזנה לתנאי סף'!Y65)</f>
        <v>100000</v>
      </c>
      <c r="V65" s="269">
        <f>IF(F65="","",'הגבלה לסכום מבוקש '!AA65)</f>
        <v>17467.71521619023</v>
      </c>
      <c r="W65" s="187">
        <f t="shared" si="1"/>
        <v>4366.9288040475576</v>
      </c>
      <c r="X65" s="187">
        <f>IF(F65="","",'הזנה לתנאי סף'!Z65)</f>
        <v>100000</v>
      </c>
      <c r="Y65" s="237" t="str">
        <f>IFERROR(VLOOKUP(G65*1,#REF!,3,0),"")</f>
        <v/>
      </c>
      <c r="Z65" s="187" t="str">
        <f>IF(OR($F65="",Y65=""),"",IFERROR(IF(Y65&gt;V65,MIN(Y65,T65)-V65,0),'תחום תמיכה ג'!$Q$2))</f>
        <v/>
      </c>
      <c r="AA65" s="259"/>
      <c r="AB65" s="260" t="str">
        <f t="shared" si="3"/>
        <v/>
      </c>
      <c r="AC65" s="261"/>
      <c r="AD65" s="180"/>
      <c r="AE65" s="13" t="str">
        <f>IF($C65="","",IFERROR(VLOOKUP($C65,גיליון1!$A:$E,2,0),"לא הגיש בקשה שוטפת"))</f>
        <v>תמיכה בהרכב - תזמורת הלאדינו הישראלית</v>
      </c>
      <c r="AF65" s="13" t="str">
        <f>IF($C65="","",IFERROR(VLOOKUP($C65,גיליון1!$A:$E,3,0),"לא הגיש בקשה שוטפת"))</f>
        <v>טיוט</v>
      </c>
      <c r="AG65" s="13" t="str">
        <f>IF($C65="","",IFERROR(VLOOKUP($C65,גיליון1!$A:$E,4,0),"לא הגיש בקשה שוטפת"))</f>
        <v>19-42-02-16</v>
      </c>
      <c r="AH65" s="13" t="str">
        <f>IF($C65="","",IFERROR(VLOOKUP($C65,גיליון1!$A:$E,5,0),"לא הגיש בקשה שוטפת"))</f>
        <v>מוסיקה</v>
      </c>
      <c r="AI65" s="13">
        <f t="shared" si="2"/>
        <v>0</v>
      </c>
      <c r="AJ65"/>
      <c r="AK65" t="s">
        <v>188</v>
      </c>
    </row>
    <row r="66" spans="1:37" ht="29.25" x14ac:dyDescent="0.25">
      <c r="A66" s="54">
        <f>'הזנה לתנאי סף'!B66</f>
        <v>36</v>
      </c>
      <c r="B66" s="266">
        <f>IF($F66="","",'הזנה לתנאי סף'!C66)</f>
        <v>1001348855</v>
      </c>
      <c r="C66" s="266">
        <f>IF($F66="","",'הזנה לתנאי סף'!D66)</f>
        <v>1001272029</v>
      </c>
      <c r="D66" s="266">
        <f>IF($F66="","",'הזנה לתנאי סף'!E66)</f>
        <v>40000107</v>
      </c>
      <c r="E66" s="55">
        <f>IF($F66="","",'הזנה לתנאי סף'!F66)</f>
        <v>20000139</v>
      </c>
      <c r="F66" s="55" t="str">
        <f>IF('הזנה לתנאי סף'!BL66=1,'הזנה לתנאי סף'!G66,"")</f>
        <v>מטה אשר</v>
      </c>
      <c r="G66" s="55" t="str">
        <f>IF($F66="","",'הזנה לתנאי סף'!H66)</f>
        <v>בית לוחמי הגטאות</v>
      </c>
      <c r="H66" s="55" t="str">
        <f>IF($F66="","",'הזנה לתנאי סף'!I66)</f>
        <v>מוזיאונים</v>
      </c>
      <c r="I66" s="187">
        <f>IF($F66="","",'הזנה לתנאי סף'!R66)</f>
        <v>13932795</v>
      </c>
      <c r="J66" s="187">
        <f>IF($F66="","",'תחום תמיכה א'!P66)</f>
        <v>15361998</v>
      </c>
      <c r="K66" s="177">
        <f>IF($F66="","",'הזנה לתנאי סף'!N66)</f>
        <v>0</v>
      </c>
      <c r="L66" s="177">
        <f>IF($F66="","",'הזנה לתנאי סף'!O66)</f>
        <v>1</v>
      </c>
      <c r="M66" s="177">
        <f>IF($F66="","",'הזנה לתנאי סף'!Q66)</f>
        <v>1</v>
      </c>
      <c r="N66" s="187">
        <f>IF($F66="","",'תחום תמיכה א'!AE66)</f>
        <v>699334.20647721842</v>
      </c>
      <c r="O66" s="178"/>
      <c r="P66" s="187">
        <f>IF($F66="","",'תחום תמיכה ב'!AC66)</f>
        <v>1646909.8225506288</v>
      </c>
      <c r="Q66" s="187">
        <f>IF($F66="","",IF('תחום תמיכה ג'!O66="",0,'תחום תמיכה ג'!O66))</f>
        <v>0</v>
      </c>
      <c r="R66" s="187">
        <f t="shared" si="0"/>
        <v>49382.677075413289</v>
      </c>
      <c r="S66" s="187">
        <f>IF($F66="","",'תחום תמיכה ב'!AE66)</f>
        <v>1696292.4996260421</v>
      </c>
      <c r="T66" s="187">
        <f>IF($F66="","",IF(Q66='תחום תמיכה ג'!$Q$2,'תחום תמיכה ג'!$Q$2,IFERROR(SUMIF(N66:R66,"&gt;0"),'תחום תמיכה ג'!$Q$2)))</f>
        <v>2395626.7061032606</v>
      </c>
      <c r="U66" s="187">
        <f>IF($F66="","",'הזנה לתנאי סף'!Y66)</f>
        <v>2800000</v>
      </c>
      <c r="V66" s="269">
        <f>IF(F66="","",'הגבלה לסכום מבוקש '!AA66)</f>
        <v>2678004.2578462311</v>
      </c>
      <c r="W66" s="187">
        <f t="shared" si="1"/>
        <v>669501.06446155778</v>
      </c>
      <c r="X66" s="187">
        <f>IF(F66="","",'הזנה לתנאי סף'!Z66)</f>
        <v>2800000</v>
      </c>
      <c r="Y66" s="237" t="str">
        <f>IFERROR(VLOOKUP(G66*1,#REF!,3,0),"")</f>
        <v/>
      </c>
      <c r="Z66" s="187" t="str">
        <f>IF(OR($F66="",Y66=""),"",IFERROR(IF(Y66&gt;V66,MIN(Y66,T66)-V66,0),'תחום תמיכה ג'!$Q$2))</f>
        <v/>
      </c>
      <c r="AA66" s="259"/>
      <c r="AB66" s="260" t="str">
        <f t="shared" si="3"/>
        <v/>
      </c>
      <c r="AC66" s="261"/>
      <c r="AD66" s="180"/>
      <c r="AE66" s="13" t="str">
        <f>IF($C66="","",IFERROR(VLOOKUP($C66,גיליון1!$A:$E,2,0),"לא הגיש בקשה שוטפת"))</f>
        <v>תמיכה שוטפת 2020</v>
      </c>
      <c r="AF66" s="13" t="str">
        <f>IF($C66="","",IFERROR(VLOOKUP($C66,גיליון1!$A:$E,3,0),"לא הגיש בקשה שוטפת"))</f>
        <v>חויב</v>
      </c>
      <c r="AG66" s="13" t="str">
        <f>IF($C66="","",IFERROR(VLOOKUP($C66,גיליון1!$A:$E,4,0),"לא הגיש בקשה שוטפת"))</f>
        <v>19-42-02-18</v>
      </c>
      <c r="AH66" s="13" t="str">
        <f>IF($C66="","",IFERROR(VLOOKUP($C66,גיליון1!$A:$E,5,0),"לא הגיש בקשה שוטפת"))</f>
        <v>מוזיאונים ואמנות פלס</v>
      </c>
      <c r="AI66" s="13">
        <f t="shared" si="2"/>
        <v>0</v>
      </c>
      <c r="AJ66"/>
      <c r="AK66" t="s">
        <v>3</v>
      </c>
    </row>
    <row r="67" spans="1:37" ht="29.25" x14ac:dyDescent="0.25">
      <c r="A67" s="54">
        <f>'הזנה לתנאי סף'!B67</f>
        <v>37</v>
      </c>
      <c r="B67" s="266">
        <f>IF($F67="","",'הזנה לתנאי סף'!C67)</f>
        <v>1001347716</v>
      </c>
      <c r="C67" s="266">
        <f>IF($F67="","",'הזנה לתנאי סף'!D67)</f>
        <v>1001280063</v>
      </c>
      <c r="D67" s="266">
        <f>IF($F67="","",'הזנה לתנאי סף'!E67)</f>
        <v>40000157</v>
      </c>
      <c r="E67" s="55">
        <f>IF($F67="","",'הזנה לתנאי סף'!F67)</f>
        <v>20000201</v>
      </c>
      <c r="F67" s="55" t="str">
        <f>IF('הזנה לתנאי סף'!BL67=1,'הזנה לתנאי סף'!G67,"")</f>
        <v>תל אביב -יפו</v>
      </c>
      <c r="G67" s="55" t="str">
        <f>IF($F67="","",'הזנה לתנאי סף'!H67)</f>
        <v>מרכז סוזן דלל</v>
      </c>
      <c r="H67" s="55" t="str">
        <f>IF($F67="","",'הזנה לתנאי סף'!I67)</f>
        <v>מחול</v>
      </c>
      <c r="I67" s="187">
        <f>IF($F67="","",'הזנה לתנאי סף'!R67)</f>
        <v>1201655</v>
      </c>
      <c r="J67" s="187">
        <f>IF($F67="","",'תחום תמיכה א'!P67)</f>
        <v>1220134</v>
      </c>
      <c r="K67" s="177">
        <f>IF($F67="","",'הזנה לתנאי סף'!N67)</f>
        <v>1</v>
      </c>
      <c r="L67" s="177">
        <f>IF($F67="","",'הזנה לתנאי סף'!O67)</f>
        <v>1</v>
      </c>
      <c r="M67" s="177">
        <f>IF($F67="","",'הזנה לתנאי סף'!Q67)</f>
        <v>1</v>
      </c>
      <c r="N67" s="187">
        <f>IF($F67="","",'תחום תמיכה א'!AE67)</f>
        <v>41935.84672023249</v>
      </c>
      <c r="O67" s="178"/>
      <c r="P67" s="187">
        <f>IF($F67="","",'תחום תמיכה ב'!AC67)</f>
        <v>80964.196480589249</v>
      </c>
      <c r="Q67" s="187">
        <f>IF($F67="","",IF('תחום תמיכה ג'!O67="",0,'תחום תמיכה ג'!O67))</f>
        <v>33951.750370040005</v>
      </c>
      <c r="R67" s="187">
        <f t="shared" si="0"/>
        <v>2427.7156616134889</v>
      </c>
      <c r="S67" s="187">
        <f>IF($F67="","",'תחום תמיכה ב'!AE67)</f>
        <v>83391.912142202738</v>
      </c>
      <c r="T67" s="187">
        <f>IF($F67="","",IF(Q67='תחום תמיכה ג'!$Q$2,'תחום תמיכה ג'!$Q$2,IFERROR(SUMIF(N67:R67,"&gt;0"),'תחום תמיכה ג'!$Q$2)))</f>
        <v>159279.50923247525</v>
      </c>
      <c r="U67" s="187">
        <f>IF($F67="","",'הזנה לתנאי סף'!Y67)</f>
        <v>116000</v>
      </c>
      <c r="V67" s="269">
        <f>IF(F67="","",'הגבלה לסכום מבוקש '!AA67)</f>
        <v>116000</v>
      </c>
      <c r="W67" s="187">
        <f t="shared" si="1"/>
        <v>29000</v>
      </c>
      <c r="X67" s="187">
        <f>IF(F67="","",'הזנה לתנאי סף'!Z67)</f>
        <v>70000</v>
      </c>
      <c r="Y67" s="237" t="str">
        <f>IFERROR(VLOOKUP(G67*1,#REF!,3,0),"")</f>
        <v/>
      </c>
      <c r="Z67" s="187" t="str">
        <f>IF(OR($F67="",Y67=""),"",IFERROR(IF(Y67&gt;V67,MIN(Y67,T67)-V67,0),'תחום תמיכה ג'!$Q$2))</f>
        <v/>
      </c>
      <c r="AA67" s="259"/>
      <c r="AB67" s="260" t="str">
        <f t="shared" si="3"/>
        <v/>
      </c>
      <c r="AC67" s="261"/>
      <c r="AD67" s="180"/>
      <c r="AE67" s="13" t="str">
        <f>IF($C67="","",IFERROR(VLOOKUP($C67,גיליון1!$A:$E,2,0),"לא הגיש בקשה שוטפת"))</f>
        <v>תל אביב דאנס 2020</v>
      </c>
      <c r="AF67" s="13" t="str">
        <f>IF($C67="","",IFERROR(VLOOKUP($C67,גיליון1!$A:$E,3,0),"לא הגיש בקשה שוטפת"))</f>
        <v>מועד</v>
      </c>
      <c r="AG67" s="13" t="str">
        <f>IF($C67="","",IFERROR(VLOOKUP($C67,גיליון1!$A:$E,4,0),"לא הגיש בקשה שוטפת"))</f>
        <v>19-42-02-26</v>
      </c>
      <c r="AH67" s="13" t="str">
        <f>IF($C67="","",IFERROR(VLOOKUP($C67,גיליון1!$A:$E,5,0),"לא הגיש בקשה שוטפת"))</f>
        <v>פסטיבלים לתרבות</v>
      </c>
      <c r="AI67" s="13">
        <f t="shared" si="2"/>
        <v>1</v>
      </c>
      <c r="AJ67"/>
      <c r="AK67" t="s">
        <v>9</v>
      </c>
    </row>
    <row r="68" spans="1:37" ht="29.25" x14ac:dyDescent="0.25">
      <c r="A68" s="54">
        <f>'הזנה לתנאי סף'!B68</f>
        <v>38</v>
      </c>
      <c r="B68" s="266">
        <f>IF($F68="","",'הזנה לתנאי סף'!C68)</f>
        <v>1001347748</v>
      </c>
      <c r="C68" s="266">
        <f>IF($F68="","",'הזנה לתנאי סף'!D68)</f>
        <v>1001280061</v>
      </c>
      <c r="D68" s="266">
        <f>IF($F68="","",'הזנה לתנאי סף'!E68)</f>
        <v>40000157</v>
      </c>
      <c r="E68" s="55">
        <f>IF($F68="","",'הזנה לתנאי סף'!F68)</f>
        <v>20000201</v>
      </c>
      <c r="F68" s="55" t="str">
        <f>IF('הזנה לתנאי סף'!BL68=1,'הזנה לתנאי סף'!G68,"")</f>
        <v>תל אביב -יפו</v>
      </c>
      <c r="G68" s="55" t="str">
        <f>IF($F68="","",'הזנה לתנאי סף'!H68)</f>
        <v>מרכז סוזן דלל</v>
      </c>
      <c r="H68" s="55" t="str">
        <f>IF($F68="","",'הזנה לתנאי סף'!I68)</f>
        <v>מחול</v>
      </c>
      <c r="I68" s="187">
        <f>IF($F68="","",'הזנה לתנאי סף'!R68)</f>
        <v>8311070</v>
      </c>
      <c r="J68" s="187">
        <f>IF($F68="","",'תחום תמיכה א'!P68)</f>
        <v>7732430</v>
      </c>
      <c r="K68" s="177">
        <f>IF($F68="","",'הזנה לתנאי סף'!N68)</f>
        <v>1</v>
      </c>
      <c r="L68" s="177">
        <f>IF($F68="","",'הזנה לתנאי סף'!O68)</f>
        <v>1</v>
      </c>
      <c r="M68" s="177">
        <f>IF($F68="","",'הזנה לתנאי סף'!Q68)</f>
        <v>1</v>
      </c>
      <c r="N68" s="187">
        <f>IF($F68="","",'תחום תמיכה א'!AE68)</f>
        <v>227316.55788245364</v>
      </c>
      <c r="O68" s="178"/>
      <c r="P68" s="187">
        <f>IF($F68="","",'תחום תמיכה ב'!AC68)</f>
        <v>409679.77716317819</v>
      </c>
      <c r="Q68" s="187">
        <f>IF($F68="","",IF('תחום תמיכה ג'!O68="",0,'תחום תמיכה ג'!O68))</f>
        <v>171796.25230063932</v>
      </c>
      <c r="R68" s="187">
        <f t="shared" si="0"/>
        <v>12284.269522810879</v>
      </c>
      <c r="S68" s="187">
        <f>IF($F68="","",'תחום תמיכה ב'!AE68)</f>
        <v>421964.04668598907</v>
      </c>
      <c r="T68" s="187">
        <f>IF($F68="","",IF(Q68='תחום תמיכה ג'!$Q$2,'תחום תמיכה ג'!$Q$2,IFERROR(SUMIF(N68:R68,"&gt;0"),'תחום תמיכה ג'!$Q$2)))</f>
        <v>821076.85686908197</v>
      </c>
      <c r="U68" s="187">
        <f>IF($F68="","",'הזנה לתנאי סף'!Y68)</f>
        <v>3191000</v>
      </c>
      <c r="V68" s="269">
        <f>IF(F68="","",'הגבלה לסכום מבוקש '!AA68)</f>
        <v>891422.6680335406</v>
      </c>
      <c r="W68" s="187">
        <f t="shared" si="1"/>
        <v>222855.66700838515</v>
      </c>
      <c r="X68" s="187">
        <f>IF(F68="","",'הזנה לתנאי סף'!Z68)</f>
        <v>180000</v>
      </c>
      <c r="Y68" s="237" t="str">
        <f>IFERROR(VLOOKUP(G68*1,#REF!,3,0),"")</f>
        <v/>
      </c>
      <c r="Z68" s="187" t="str">
        <f>IF(OR($F68="",Y68=""),"",IFERROR(IF(Y68&gt;V68,MIN(Y68,T68)-V68,0),'תחום תמיכה ג'!$Q$2))</f>
        <v/>
      </c>
      <c r="AA68" s="259"/>
      <c r="AB68" s="260" t="str">
        <f t="shared" si="3"/>
        <v/>
      </c>
      <c r="AC68" s="261"/>
      <c r="AD68" s="180"/>
      <c r="AE68" s="13" t="str">
        <f>IF($C68="","",IFERROR(VLOOKUP($C68,גיליון1!$A:$E,2,0),"לא הגיש בקשה שוטפת"))</f>
        <v>תמיכה שוטפת 2020</v>
      </c>
      <c r="AF68" s="13" t="str">
        <f>IF($C68="","",IFERROR(VLOOKUP($C68,גיליון1!$A:$E,3,0),"לא הגיש בקשה שוטפת"))</f>
        <v>חויב</v>
      </c>
      <c r="AG68" s="13" t="str">
        <f>IF($C68="","",IFERROR(VLOOKUP($C68,גיליון1!$A:$E,4,0),"לא הגיש בקשה שוטפת"))</f>
        <v>19-42-02-20</v>
      </c>
      <c r="AH68" s="13" t="str">
        <f>IF($C68="","",IFERROR(VLOOKUP($C68,גיליון1!$A:$E,5,0),"לא הגיש בקשה שוטפת"))</f>
        <v>מחול וארגוני גג</v>
      </c>
      <c r="AI68" s="13">
        <f t="shared" si="2"/>
        <v>0</v>
      </c>
      <c r="AJ68"/>
      <c r="AK68" t="s">
        <v>11</v>
      </c>
    </row>
    <row r="69" spans="1:37" ht="15.75" x14ac:dyDescent="0.25">
      <c r="A69" s="54">
        <f>'הזנה לתנאי סף'!B69</f>
        <v>39</v>
      </c>
      <c r="B69" s="266">
        <f>IF($F69="","",'הזנה לתנאי סף'!C69)</f>
        <v>1001346567</v>
      </c>
      <c r="C69" s="266">
        <f>IF($F69="","",'הזנה לתנאי סף'!D69)</f>
        <v>1001271762</v>
      </c>
      <c r="D69" s="266">
        <f>IF($F69="","",'הזנה לתנאי סף'!E69)</f>
        <v>40000192</v>
      </c>
      <c r="E69" s="55">
        <f>IF($F69="","",'הזנה לתנאי סף'!F69)</f>
        <v>20000201</v>
      </c>
      <c r="F69" s="55" t="str">
        <f>IF('הזנה לתנאי סף'!BL69=1,'הזנה לתנאי סף'!G69,"")</f>
        <v>תל אביב -יפו</v>
      </c>
      <c r="G69" s="55" t="str">
        <f>IF($F69="","",'הזנה לתנאי סף'!H69)</f>
        <v>תיאטרון יפו</v>
      </c>
      <c r="H69" s="55" t="str">
        <f>IF($F69="","",'הזנה לתנאי סף'!I69)</f>
        <v>תיאטרון</v>
      </c>
      <c r="I69" s="187">
        <f>IF($F69="","",'הזנה לתנאי סף'!R69)</f>
        <v>3101646</v>
      </c>
      <c r="J69" s="187">
        <f>IF($F69="","",'תחום תמיכה א'!P69)</f>
        <v>3006406</v>
      </c>
      <c r="K69" s="177">
        <f>IF($F69="","",'הזנה לתנאי סף'!N69)</f>
        <v>1</v>
      </c>
      <c r="L69" s="177">
        <f>IF($F69="","",'הזנה לתנאי סף'!O69)</f>
        <v>1</v>
      </c>
      <c r="M69" s="177">
        <f>IF($F69="","",'הזנה לתנאי סף'!Q69)</f>
        <v>1</v>
      </c>
      <c r="N69" s="187">
        <f>IF($F69="","",'תחום תמיכה א'!AE69)</f>
        <v>111795.81612134936</v>
      </c>
      <c r="O69" s="178"/>
      <c r="P69" s="187">
        <f>IF($F69="","",'תחום תמיכה ב'!AC69)</f>
        <v>244627.63108684908</v>
      </c>
      <c r="Q69" s="187">
        <f>IF($F69="","",IF('תחום תמיכה ג'!O69="",0,'תחום תמיכה ג'!O69))</f>
        <v>102582.82827849899</v>
      </c>
      <c r="R69" s="187">
        <f t="shared" si="0"/>
        <v>7335.1722992191208</v>
      </c>
      <c r="S69" s="187">
        <f>IF($F69="","",'תחום תמיכה ב'!AE69)</f>
        <v>251962.8033860682</v>
      </c>
      <c r="T69" s="187">
        <f>IF($F69="","",IF(Q69='תחום תמיכה ג'!$Q$2,'תחום תמיכה ג'!$Q$2,IFERROR(SUMIF(N69:R69,"&gt;0"),'תחום תמיכה ג'!$Q$2)))</f>
        <v>466341.44778591656</v>
      </c>
      <c r="U69" s="187">
        <f>IF($F69="","",'הזנה לתנאי סף'!Y69)</f>
        <v>700000</v>
      </c>
      <c r="V69" s="269">
        <f>IF(F69="","",'הגבלה לסכום מבוקש '!AA69)</f>
        <v>508335.3769983463</v>
      </c>
      <c r="W69" s="187">
        <f t="shared" si="1"/>
        <v>127083.84424958657</v>
      </c>
      <c r="X69" s="187">
        <f>IF(F69="","",'הזנה לתנאי סף'!Z69)</f>
        <v>600000</v>
      </c>
      <c r="Y69" s="237" t="str">
        <f>IFERROR(VLOOKUP(G69*1,#REF!,3,0),"")</f>
        <v/>
      </c>
      <c r="Z69" s="187" t="str">
        <f>IF(OR($F69="",Y69=""),"",IFERROR(IF(Y69&gt;V69,MIN(Y69,T69)-V69,0),'תחום תמיכה ג'!$Q$2))</f>
        <v/>
      </c>
      <c r="AA69" s="259"/>
      <c r="AB69" s="260" t="str">
        <f t="shared" si="3"/>
        <v/>
      </c>
      <c r="AC69" s="261"/>
      <c r="AD69" s="180"/>
      <c r="AE69" s="13" t="str">
        <f>IF($C69="","",IFERROR(VLOOKUP($C69,גיליון1!$A:$E,2,0),"לא הגיש בקשה שוטפת"))</f>
        <v>הפקה והרצה של הצגות תיאטרון</v>
      </c>
      <c r="AF69" s="13" t="str">
        <f>IF($C69="","",IFERROR(VLOOKUP($C69,גיליון1!$A:$E,3,0),"לא הגיש בקשה שוטפת"))</f>
        <v>חויב</v>
      </c>
      <c r="AG69" s="13" t="str">
        <f>IF($C69="","",IFERROR(VLOOKUP($C69,גיליון1!$A:$E,4,0),"לא הגיש בקשה שוטפת"))</f>
        <v>19-42-02-07</v>
      </c>
      <c r="AH69" s="13" t="str">
        <f>IF($C69="","",IFERROR(VLOOKUP($C69,גיליון1!$A:$E,5,0),"לא הגיש בקשה שוטפת"))</f>
        <v>תיאטרון</v>
      </c>
      <c r="AI69" s="13">
        <f t="shared" si="2"/>
        <v>0</v>
      </c>
      <c r="AJ69"/>
      <c r="AK69" t="s">
        <v>12</v>
      </c>
    </row>
    <row r="70" spans="1:37" ht="29.25" x14ac:dyDescent="0.25">
      <c r="A70" s="54">
        <f>'הזנה לתנאי סף'!B70</f>
        <v>40</v>
      </c>
      <c r="B70" s="266">
        <f>IF($F70="","",'הזנה לתנאי סף'!C70)</f>
        <v>1001346993</v>
      </c>
      <c r="C70" s="266">
        <f>IF($F70="","",'הזנה לתנאי סף'!D70)</f>
        <v>1001277357</v>
      </c>
      <c r="D70" s="266">
        <f>IF($F70="","",'הזנה לתנאי סף'!E70)</f>
        <v>40000192</v>
      </c>
      <c r="E70" s="55">
        <f>IF($F70="","",'הזנה לתנאי סף'!F70)</f>
        <v>20000201</v>
      </c>
      <c r="F70" s="55" t="str">
        <f>IF('הזנה לתנאי סף'!BL70=1,'הזנה לתנאי סף'!G70,"")</f>
        <v>תל אביב -יפו</v>
      </c>
      <c r="G70" s="55" t="str">
        <f>IF($F70="","",'הזנה לתנאי סף'!H70)</f>
        <v>תיאטרון יפו</v>
      </c>
      <c r="H70" s="55" t="str">
        <f>IF($F70="","",'הזנה לתנאי סף'!I70)</f>
        <v>סינמטקים ופסטיבלים</v>
      </c>
      <c r="I70" s="187">
        <f>IF($F70="","",'הזנה לתנאי סף'!R70)</f>
        <v>112268</v>
      </c>
      <c r="J70" s="187">
        <f>IF($F70="","",'תחום תמיכה א'!P70)</f>
        <v>158256</v>
      </c>
      <c r="K70" s="177">
        <f>IF($F70="","",'הזנה לתנאי סף'!N70)</f>
        <v>1</v>
      </c>
      <c r="L70" s="177">
        <f>IF($F70="","",'הזנה לתנאי סף'!O70)</f>
        <v>1</v>
      </c>
      <c r="M70" s="177">
        <f>IF($F70="","",'הזנה לתנאי סף'!Q70)</f>
        <v>1</v>
      </c>
      <c r="N70" s="187">
        <f>IF($F70="","",'תחום תמיכה א'!AE70)</f>
        <v>2382.5887134377422</v>
      </c>
      <c r="O70" s="178"/>
      <c r="P70" s="187">
        <f>IF($F70="","",'תחום תמיכה ב'!AC70)</f>
        <v>1451.4136915908862</v>
      </c>
      <c r="Q70" s="187">
        <f>IF($F70="","",IF('תחום תמיכה ג'!O70="",0,'תחום תמיכה ג'!O70))</f>
        <v>608.63983689835243</v>
      </c>
      <c r="R70" s="187">
        <f t="shared" si="0"/>
        <v>43.520715374483188</v>
      </c>
      <c r="S70" s="187">
        <f>IF($F70="","",'תחום תמיכה ב'!AE70)</f>
        <v>1494.9344069653694</v>
      </c>
      <c r="T70" s="187">
        <f>IF($F70="","",IF(Q70='תחום תמיכה ג'!$Q$2,'תחום תמיכה ג'!$Q$2,IFERROR(SUMIF(N70:R70,"&gt;0"),'תחום תמיכה ג'!$Q$2)))</f>
        <v>4486.1629573014643</v>
      </c>
      <c r="U70" s="187">
        <f>IF($F70="","",'הזנה לתנאי סף'!Y70)</f>
        <v>70000</v>
      </c>
      <c r="V70" s="269">
        <f>IF(F70="","",'הגבלה לסכום מבוקש '!AA70)</f>
        <v>4736.102291767801</v>
      </c>
      <c r="W70" s="187">
        <f t="shared" si="1"/>
        <v>1184.0255729419503</v>
      </c>
      <c r="X70" s="187">
        <f>IF(F70="","",'הזנה לתנאי סף'!Z70)</f>
        <v>70000</v>
      </c>
      <c r="Y70" s="237" t="str">
        <f>IFERROR(VLOOKUP(G70*1,#REF!,3,0),"")</f>
        <v/>
      </c>
      <c r="Z70" s="187" t="str">
        <f>IF(OR($F70="",Y70=""),"",IFERROR(IF(Y70&gt;V70,MIN(Y70,T70)-V70,0),'תחום תמיכה ג'!$Q$2))</f>
        <v/>
      </c>
      <c r="AA70" s="259"/>
      <c r="AB70" s="260" t="str">
        <f t="shared" si="3"/>
        <v/>
      </c>
      <c r="AC70" s="261"/>
      <c r="AD70" s="180"/>
      <c r="AE70" s="13" t="str">
        <f>IF($C70="","",IFERROR(VLOOKUP($C70,גיליון1!$A:$E,2,0),"לא הגיש בקשה שוטפת"))</f>
        <v>פסטיבל יפו לילדים ה - 14</v>
      </c>
      <c r="AF70" s="13" t="str">
        <f>IF($C70="","",IFERROR(VLOOKUP($C70,גיליון1!$A:$E,3,0),"לא הגיש בקשה שוטפת"))</f>
        <v>מועד</v>
      </c>
      <c r="AG70" s="13" t="str">
        <f>IF($C70="","",IFERROR(VLOOKUP($C70,גיליון1!$A:$E,4,0),"לא הגיש בקשה שוטפת"))</f>
        <v>19-42-02-26</v>
      </c>
      <c r="AH70" s="13" t="str">
        <f>IF($C70="","",IFERROR(VLOOKUP($C70,גיליון1!$A:$E,5,0),"לא הגיש בקשה שוטפת"))</f>
        <v>פסטיבלים לתרבות</v>
      </c>
      <c r="AI70" s="13">
        <f t="shared" si="2"/>
        <v>0</v>
      </c>
      <c r="AJ70"/>
      <c r="AK70" t="s">
        <v>14</v>
      </c>
    </row>
    <row r="71" spans="1:37" ht="57.75" x14ac:dyDescent="0.25">
      <c r="A71" s="54">
        <f>'הזנה לתנאי סף'!B71</f>
        <v>41</v>
      </c>
      <c r="B71" s="266">
        <f>IF($F71="","",'הזנה לתנאי סף'!C71)</f>
        <v>1001349157</v>
      </c>
      <c r="C71" s="266">
        <f>IF($F71="","",'הזנה לתנאי סף'!D71)</f>
        <v>1001273336</v>
      </c>
      <c r="D71" s="266">
        <f>IF($F71="","",'הזנה לתנאי סף'!E71)</f>
        <v>40000050</v>
      </c>
      <c r="E71" s="55">
        <f>IF($F71="","",'הזנה לתנאי סף'!F71)</f>
        <v>20000250</v>
      </c>
      <c r="F71" s="55" t="str">
        <f>IF('הזנה לתנאי סף'!BL71=1,'הזנה לתנאי סף'!G71,"")</f>
        <v>רמת גן</v>
      </c>
      <c r="G71" s="55" t="str">
        <f>IF($F71="","",'הזנה לתנאי סף'!H71)</f>
        <v>אגודת שוחרי מוזאון האדם והחי</v>
      </c>
      <c r="H71" s="55" t="str">
        <f>IF($F71="","",'הזנה לתנאי סף'!I71)</f>
        <v>מוזיאונים</v>
      </c>
      <c r="I71" s="187">
        <f>IF($F71="","",'הזנה לתנאי סף'!R71)</f>
        <v>1373304</v>
      </c>
      <c r="J71" s="187">
        <f>IF($F71="","",'תחום תמיכה א'!P71)</f>
        <v>1402448</v>
      </c>
      <c r="K71" s="177">
        <f>IF($F71="","",'הזנה לתנאי סף'!N71)</f>
        <v>0</v>
      </c>
      <c r="L71" s="177">
        <f>IF($F71="","",'הזנה לתנאי סף'!O71)</f>
        <v>1</v>
      </c>
      <c r="M71" s="177">
        <f>IF($F71="","",'הזנה לתנאי סף'!Q71)</f>
        <v>1</v>
      </c>
      <c r="N71" s="187">
        <f>IF($F71="","",'תחום תמיכה א'!AE71)</f>
        <v>22256.590892696331</v>
      </c>
      <c r="O71" s="178"/>
      <c r="P71" s="187">
        <f>IF($F71="","",'תחום תמיכה ב'!AC71)</f>
        <v>19727.310231383279</v>
      </c>
      <c r="Q71" s="187">
        <f>IF($F71="","",IF('תחום תמיכה ג'!O71="",0,'תחום תמיכה ג'!O71))</f>
        <v>0</v>
      </c>
      <c r="R71" s="187">
        <f t="shared" si="0"/>
        <v>591.52442798242555</v>
      </c>
      <c r="S71" s="187">
        <f>IF($F71="","",'תחום תמיכה ב'!AE71)</f>
        <v>20318.834659365704</v>
      </c>
      <c r="T71" s="187">
        <f>IF($F71="","",IF(Q71='תחום תמיכה ג'!$Q$2,'תחום תמיכה ג'!$Q$2,IFERROR(SUMIF(N71:R71,"&gt;0"),'תחום תמיכה ג'!$Q$2)))</f>
        <v>42575.425552062035</v>
      </c>
      <c r="U71" s="187">
        <f>IF($F71="","",'הזנה לתנאי סף'!Y71)</f>
        <v>141583</v>
      </c>
      <c r="V71" s="269">
        <f>IF(F71="","",'הגבלה לסכום מבוקש '!AA71)</f>
        <v>45964.170716160181</v>
      </c>
      <c r="W71" s="187">
        <f t="shared" si="1"/>
        <v>11491.042679040045</v>
      </c>
      <c r="X71" s="187">
        <f>IF(F71="","",'הזנה לתנאי סף'!Z71)</f>
        <v>141583</v>
      </c>
      <c r="Y71" s="237" t="str">
        <f>IFERROR(VLOOKUP(G71*1,#REF!,3,0),"")</f>
        <v/>
      </c>
      <c r="Z71" s="187" t="str">
        <f>IF(OR($F71="",Y71=""),"",IFERROR(IF(Y71&gt;V71,MIN(Y71,T71)-V71,0),'תחום תמיכה ג'!$Q$2))</f>
        <v/>
      </c>
      <c r="AA71" s="259"/>
      <c r="AB71" s="260" t="str">
        <f t="shared" si="3"/>
        <v/>
      </c>
      <c r="AC71" s="261"/>
      <c r="AD71" s="180"/>
      <c r="AE71" s="13" t="str">
        <f>IF($C71="","",IFERROR(VLOOKUP($C71,גיליון1!$A:$E,2,0),"לא הגיש בקשה שוטפת"))</f>
        <v>תמיכה שוטפת בפעילות מוזאלית</v>
      </c>
      <c r="AF71" s="13" t="str">
        <f>IF($C71="","",IFERROR(VLOOKUP($C71,גיליון1!$A:$E,3,0),"לא הגיש בקשה שוטפת"))</f>
        <v>חויב</v>
      </c>
      <c r="AG71" s="13" t="str">
        <f>IF($C71="","",IFERROR(VLOOKUP($C71,גיליון1!$A:$E,4,0),"לא הגיש בקשה שוטפת"))</f>
        <v>19-42-02-18</v>
      </c>
      <c r="AH71" s="13" t="str">
        <f>IF($C71="","",IFERROR(VLOOKUP($C71,גיליון1!$A:$E,5,0),"לא הגיש בקשה שוטפת"))</f>
        <v>מוזיאונים ואמנות פלס</v>
      </c>
      <c r="AI71" s="13">
        <f t="shared" si="2"/>
        <v>0</v>
      </c>
      <c r="AJ71"/>
      <c r="AK71" t="s">
        <v>15</v>
      </c>
    </row>
    <row r="72" spans="1:37" ht="29.25" x14ac:dyDescent="0.25">
      <c r="A72" s="54">
        <f>'הזנה לתנאי סף'!B72</f>
        <v>42</v>
      </c>
      <c r="B72" s="266">
        <f>IF($F72="","",'הזנה לתנאי סף'!C72)</f>
        <v>1001347603</v>
      </c>
      <c r="C72" s="266">
        <f>IF($F72="","",'הזנה לתנאי סף'!D72)</f>
        <v>1001274726</v>
      </c>
      <c r="D72" s="266">
        <f>IF($F72="","",'הזנה לתנאי סף'!E72)</f>
        <v>40000220</v>
      </c>
      <c r="E72" s="55">
        <f>IF($F72="","",'הזנה לתנאי סף'!F72)</f>
        <v>20000136</v>
      </c>
      <c r="F72" s="55" t="str">
        <f>IF('הזנה לתנאי סף'!BL72=1,'הזנה לתנאי סף'!G72,"")</f>
        <v>עמק יזרעאל</v>
      </c>
      <c r="G72" s="55" t="str">
        <f>IF($F72="","",'הזנה לתנאי סף'!H72)</f>
        <v>מוזיאון העמק</v>
      </c>
      <c r="H72" s="55" t="str">
        <f>IF($F72="","",'הזנה לתנאי סף'!I72)</f>
        <v>מוזיאונים</v>
      </c>
      <c r="I72" s="187">
        <f>IF($F72="","",'הזנה לתנאי סף'!R72)</f>
        <v>834687</v>
      </c>
      <c r="J72" s="187">
        <f>IF($F72="","",'תחום תמיכה א'!P72)</f>
        <v>610276</v>
      </c>
      <c r="K72" s="177">
        <f>IF($F72="","",'הזנה לתנאי סף'!N72)</f>
        <v>1</v>
      </c>
      <c r="L72" s="177">
        <f>IF($F72="","",'הזנה לתנאי סף'!O72)</f>
        <v>1</v>
      </c>
      <c r="M72" s="177">
        <f>IF($F72="","",'הזנה לתנאי סף'!Q72)</f>
        <v>1</v>
      </c>
      <c r="N72" s="187">
        <f>IF($F72="","",'תחום תמיכה א'!AE72)</f>
        <v>19994.110148523068</v>
      </c>
      <c r="O72" s="178"/>
      <c r="P72" s="187">
        <f>IF($F72="","",'תחום תמיכה ב'!AC72)</f>
        <v>47217.332760812598</v>
      </c>
      <c r="Q72" s="187">
        <f>IF($F72="","",IF('תחום תמיכה ג'!O72="",0,'תחום תמיכה ג'!O72))</f>
        <v>62237</v>
      </c>
      <c r="R72" s="187">
        <f t="shared" si="0"/>
        <v>1415.8141898008325</v>
      </c>
      <c r="S72" s="187">
        <f>IF($F72="","",'תחום תמיכה ב'!AE72)</f>
        <v>48633.146950613431</v>
      </c>
      <c r="T72" s="187">
        <f>IF($F72="","",IF(Q72='תחום תמיכה ג'!$Q$2,'תחום תמיכה ג'!$Q$2,IFERROR(SUMIF(N72:R72,"&gt;0"),'תחום תמיכה ג'!$Q$2)))</f>
        <v>130864.25709913649</v>
      </c>
      <c r="U72" s="187">
        <f>IF($F72="","",'הזנה לתנאי סף'!Y72)</f>
        <v>150000</v>
      </c>
      <c r="V72" s="269">
        <f>IF(F72="","",'הגבלה לסכום מבוקש '!AA72)</f>
        <v>138988.40757661359</v>
      </c>
      <c r="W72" s="187">
        <f t="shared" si="1"/>
        <v>34747.101894153398</v>
      </c>
      <c r="X72" s="187">
        <f>IF(F72="","",'הזנה לתנאי סף'!Z72)</f>
        <v>120000</v>
      </c>
      <c r="Y72" s="237" t="str">
        <f>IFERROR(VLOOKUP(G72*1,#REF!,3,0),"")</f>
        <v/>
      </c>
      <c r="Z72" s="187" t="str">
        <f>IF(OR($F72="",Y72=""),"",IFERROR(IF(Y72&gt;V72,MIN(Y72,T72)-V72,0),'תחום תמיכה ג'!$Q$2))</f>
        <v/>
      </c>
      <c r="AA72" s="259"/>
      <c r="AB72" s="260" t="str">
        <f t="shared" si="3"/>
        <v/>
      </c>
      <c r="AC72" s="261"/>
      <c r="AD72" s="180"/>
      <c r="AE72" s="13" t="str">
        <f>IF($C72="","",IFERROR(VLOOKUP($C72,גיליון1!$A:$E,2,0),"לא הגיש בקשה שוטפת"))</f>
        <v>תמיכה בשוטף</v>
      </c>
      <c r="AF72" s="13" t="str">
        <f>IF($C72="","",IFERROR(VLOOKUP($C72,גיליון1!$A:$E,3,0),"לא הגיש בקשה שוטפת"))</f>
        <v>חויב</v>
      </c>
      <c r="AG72" s="13" t="str">
        <f>IF($C72="","",IFERROR(VLOOKUP($C72,גיליון1!$A:$E,4,0),"לא הגיש בקשה שוטפת"))</f>
        <v>19-42-02-18</v>
      </c>
      <c r="AH72" s="13" t="str">
        <f>IF($C72="","",IFERROR(VLOOKUP($C72,גיליון1!$A:$E,5,0),"לא הגיש בקשה שוטפת"))</f>
        <v>מוזיאונים ואמנות פלס</v>
      </c>
      <c r="AI72" s="13">
        <f t="shared" si="2"/>
        <v>0</v>
      </c>
      <c r="AJ72"/>
      <c r="AK72" t="s">
        <v>225</v>
      </c>
    </row>
    <row r="73" spans="1:37" ht="72" x14ac:dyDescent="0.25">
      <c r="A73" s="54">
        <f>'הזנה לתנאי סף'!B73</f>
        <v>43</v>
      </c>
      <c r="B73" s="266">
        <f>IF($F73="","",'הזנה לתנאי סף'!C73)</f>
        <v>1001347012</v>
      </c>
      <c r="C73" s="266">
        <f>IF($F73="","",'הזנה לתנאי סף'!D73)</f>
        <v>1010013470</v>
      </c>
      <c r="D73" s="266">
        <f>IF($F73="","",'הזנה לתנאי סף'!E73)</f>
        <v>40000280</v>
      </c>
      <c r="E73" s="55">
        <f>IF($F73="","",'הזנה לתנאי סף'!F73)</f>
        <v>20000227</v>
      </c>
      <c r="F73" s="55" t="str">
        <f>IF('הזנה לתנאי סף'!BL73=1,'הזנה לתנאי סף'!G73,"")</f>
        <v>כפר סבא</v>
      </c>
      <c r="G73" s="55" t="str">
        <f>IF($F73="","",'הזנה לתנאי סף'!H73)</f>
        <v>מרכז קהילתי בכפר סבא ע"ש שושנה ופנחס ספיר</v>
      </c>
      <c r="H73" s="55" t="str">
        <f>IF($F73="","",'הזנה לתנאי סף'!I73)</f>
        <v>מוזיאונים</v>
      </c>
      <c r="I73" s="187">
        <f>IF($F73="","",'הזנה לתנאי סף'!R73)</f>
        <v>1624117</v>
      </c>
      <c r="J73" s="187">
        <f>IF($F73="","",'תחום תמיכה א'!P73)</f>
        <v>1841673</v>
      </c>
      <c r="K73" s="177">
        <f>IF($F73="","",'הזנה לתנאי סף'!N73)</f>
        <v>1</v>
      </c>
      <c r="L73" s="177">
        <f>IF($F73="","",'הזנה לתנאי סף'!O73)</f>
        <v>1</v>
      </c>
      <c r="M73" s="177">
        <f>IF($F73="","",'הזנה לתנאי סף'!Q73)</f>
        <v>1</v>
      </c>
      <c r="N73" s="187">
        <f>IF($F73="","",'תחום תמיכה א'!AE73)</f>
        <v>47156.050961627843</v>
      </c>
      <c r="O73" s="178"/>
      <c r="P73" s="187">
        <f>IF($F73="","",'תחום תמיכה ב'!AC73)</f>
        <v>60732.976331422258</v>
      </c>
      <c r="Q73" s="187">
        <f>IF($F73="","",IF('תחום תמיכה ג'!O73="",0,'תחום תמיכה ג'!O73))</f>
        <v>0</v>
      </c>
      <c r="R73" s="187">
        <f t="shared" si="0"/>
        <v>1821.0814684185025</v>
      </c>
      <c r="S73" s="187">
        <f>IF($F73="","",'תחום תמיכה ב'!AE73)</f>
        <v>62554.057799840761</v>
      </c>
      <c r="T73" s="187">
        <f>IF($F73="","",IF(Q73='תחום תמיכה ג'!$Q$2,'תחום תמיכה ג'!$Q$2,IFERROR(SUMIF(N73:R73,"&gt;0"),'תחום תמיכה ג'!$Q$2)))</f>
        <v>109710.10876146861</v>
      </c>
      <c r="U73" s="187">
        <f>IF($F73="","",'הזנה לתנאי סף'!Y73)</f>
        <v>210000</v>
      </c>
      <c r="V73" s="269">
        <f>IF(F73="","",'הגבלה לסכום מבוקש '!AA73)</f>
        <v>120133.05449003122</v>
      </c>
      <c r="W73" s="187">
        <f t="shared" si="1"/>
        <v>30033.263622507806</v>
      </c>
      <c r="X73" s="187">
        <f>IF(F73="","",'הזנה לתנאי סף'!Z73)</f>
        <v>210000</v>
      </c>
      <c r="Y73" s="237" t="str">
        <f>IFERROR(VLOOKUP(G73*1,#REF!,3,0),"")</f>
        <v/>
      </c>
      <c r="Z73" s="187" t="str">
        <f>IF(OR($F73="",Y73=""),"",IFERROR(IF(Y73&gt;V73,MIN(Y73,T73)-V73,0),'תחום תמיכה ג'!$Q$2))</f>
        <v/>
      </c>
      <c r="AA73" s="259"/>
      <c r="AB73" s="260" t="str">
        <f t="shared" si="3"/>
        <v/>
      </c>
      <c r="AC73" s="261"/>
      <c r="AD73" s="180"/>
      <c r="AE73" s="13" t="str">
        <f>IF($C73="","",IFERROR(VLOOKUP($C73,גיליון1!$A:$E,2,0),"לא הגיש בקשה שוטפת"))</f>
        <v>לא הגיש בקשה שוטפת</v>
      </c>
      <c r="AF73" s="13" t="str">
        <f>IF($C73="","",IFERROR(VLOOKUP($C73,גיליון1!$A:$E,3,0),"לא הגיש בקשה שוטפת"))</f>
        <v>לא הגיש בקשה שוטפת</v>
      </c>
      <c r="AG73" s="13" t="str">
        <f>IF($C73="","",IFERROR(VLOOKUP($C73,גיליון1!$A:$E,4,0),"לא הגיש בקשה שוטפת"))</f>
        <v>לא הגיש בקשה שוטפת</v>
      </c>
      <c r="AH73" s="13" t="str">
        <f>IF($C73="","",IFERROR(VLOOKUP($C73,גיליון1!$A:$E,5,0),"לא הגיש בקשה שוטפת"))</f>
        <v>לא הגיש בקשה שוטפת</v>
      </c>
      <c r="AI73" s="13">
        <f t="shared" si="2"/>
        <v>0</v>
      </c>
      <c r="AJ73"/>
      <c r="AK73" t="s">
        <v>226</v>
      </c>
    </row>
    <row r="74" spans="1:37" ht="43.5" x14ac:dyDescent="0.25">
      <c r="A74" s="54">
        <f>'הזנה לתנאי סף'!B74</f>
        <v>44</v>
      </c>
      <c r="B74" s="266">
        <f>IF($F74="","",'הזנה לתנאי סף'!C74)</f>
        <v>1001346658</v>
      </c>
      <c r="C74" s="266">
        <f>IF($F74="","",'הזנה לתנאי סף'!D74)</f>
        <v>1001274373</v>
      </c>
      <c r="D74" s="266">
        <f>IF($F74="","",'הזנה לתנאי סף'!E74)</f>
        <v>40000168</v>
      </c>
      <c r="E74" s="55">
        <f>IF($F74="","",'הזנה לתנאי סף'!F74)</f>
        <v>20000139</v>
      </c>
      <c r="F74" s="55" t="str">
        <f>IF('הזנה לתנאי סף'!BL74=1,'הזנה לתנאי סף'!G74,"")</f>
        <v>מטה אשר</v>
      </c>
      <c r="G74" s="55" t="str">
        <f>IF($F74="","",'הזנה לתנאי סף'!H74)</f>
        <v>קשת איילון</v>
      </c>
      <c r="H74" s="55" t="str">
        <f>IF($F74="","",'הזנה לתנאי סף'!I74)</f>
        <v>מוסיקה-גופים כליים</v>
      </c>
      <c r="I74" s="187">
        <f>IF($F74="","",'הזנה לתנאי סף'!R74)</f>
        <v>792000</v>
      </c>
      <c r="J74" s="187">
        <f>IF($F74="","",'תחום תמיכה א'!P74)</f>
        <v>1316000</v>
      </c>
      <c r="K74" s="177">
        <f>IF($F74="","",'הזנה לתנאי סף'!N74)</f>
        <v>0</v>
      </c>
      <c r="L74" s="177">
        <f>IF($F74="","",'הזנה לתנאי סף'!O74)</f>
        <v>1</v>
      </c>
      <c r="M74" s="177">
        <f>IF($F74="","",'הזנה לתנאי סף'!Q74)</f>
        <v>1</v>
      </c>
      <c r="N74" s="187">
        <f>IF($F74="","",'תחום תמיכה א'!AE74)</f>
        <v>56587.974702499094</v>
      </c>
      <c r="O74" s="178"/>
      <c r="P74" s="187">
        <f>IF($F74="","",'תחום תמיכה ב'!AC74)</f>
        <v>83525.511289755435</v>
      </c>
      <c r="Q74" s="187">
        <f>IF($F74="","",IF('תחום תמיכה ג'!O74="",0,'תחום תמיכה ג'!O74))</f>
        <v>0</v>
      </c>
      <c r="R74" s="187">
        <f t="shared" si="0"/>
        <v>2504.5168199875625</v>
      </c>
      <c r="S74" s="187">
        <f>IF($F74="","",'תחום תמיכה ב'!AE74)</f>
        <v>86030.028109742998</v>
      </c>
      <c r="T74" s="187">
        <f>IF($F74="","",IF(Q74='תחום תמיכה ג'!$Q$2,'תחום תמיכה ג'!$Q$2,IFERROR(SUMIF(N74:R74,"&gt;0"),'תחום תמיכה ג'!$Q$2)))</f>
        <v>142618.00281224208</v>
      </c>
      <c r="U74" s="187">
        <f>IF($F74="","",'הזנה לתנאי סף'!Y74)</f>
        <v>800000</v>
      </c>
      <c r="V74" s="269">
        <f>IF(F74="","",'הגבלה לסכום מבוקש '!AA74)</f>
        <v>156948.82208454658</v>
      </c>
      <c r="W74" s="187">
        <f t="shared" si="1"/>
        <v>39237.205521136646</v>
      </c>
      <c r="X74" s="187">
        <f>IF(F74="","",'הזנה לתנאי סף'!Z74)</f>
        <v>800000</v>
      </c>
      <c r="Y74" s="237" t="str">
        <f>IFERROR(VLOOKUP(G74*1,#REF!,3,0),"")</f>
        <v/>
      </c>
      <c r="Z74" s="187" t="str">
        <f>IF(OR($F74="",Y74=""),"",IFERROR(IF(Y74&gt;V74,MIN(Y74,T74)-V74,0),'תחום תמיכה ג'!$Q$2))</f>
        <v/>
      </c>
      <c r="AA74" s="259"/>
      <c r="AB74" s="260" t="str">
        <f t="shared" si="3"/>
        <v/>
      </c>
      <c r="AC74" s="261"/>
      <c r="AD74" s="180"/>
      <c r="AE74" s="13" t="str">
        <f>IF($C74="","",IFERROR(VLOOKUP($C74,גיליון1!$A:$E,2,0),"לא הגיש בקשה שוטפת"))</f>
        <v>לא הגיש בקשה שוטפת</v>
      </c>
      <c r="AF74" s="13" t="str">
        <f>IF($C74="","",IFERROR(VLOOKUP($C74,גיליון1!$A:$E,3,0),"לא הגיש בקשה שוטפת"))</f>
        <v>לא הגיש בקשה שוטפת</v>
      </c>
      <c r="AG74" s="13" t="str">
        <f>IF($C74="","",IFERROR(VLOOKUP($C74,גיליון1!$A:$E,4,0),"לא הגיש בקשה שוטפת"))</f>
        <v>לא הגיש בקשה שוטפת</v>
      </c>
      <c r="AH74" s="13" t="str">
        <f>IF($C74="","",IFERROR(VLOOKUP($C74,גיליון1!$A:$E,5,0),"לא הגיש בקשה שוטפת"))</f>
        <v>לא הגיש בקשה שוטפת</v>
      </c>
      <c r="AI74" s="13">
        <f t="shared" si="2"/>
        <v>0</v>
      </c>
      <c r="AJ74"/>
      <c r="AK74" t="s">
        <v>228</v>
      </c>
    </row>
    <row r="75" spans="1:37" ht="15.75" x14ac:dyDescent="0.25">
      <c r="A75" s="54" t="str">
        <f>'הזנה לתנאי סף'!B75</f>
        <v/>
      </c>
      <c r="B75" s="266" t="str">
        <f>IF($F75="","",'הזנה לתנאי סף'!C75)</f>
        <v/>
      </c>
      <c r="C75" s="266" t="str">
        <f>IF($F75="","",'הזנה לתנאי סף'!D75)</f>
        <v/>
      </c>
      <c r="D75" s="266" t="str">
        <f>IF($F75="","",'הזנה לתנאי סף'!E75)</f>
        <v/>
      </c>
      <c r="E75" s="55" t="str">
        <f>IF($F75="","",'הזנה לתנאי סף'!F75)</f>
        <v/>
      </c>
      <c r="F75" s="55" t="str">
        <f>IF('הזנה לתנאי סף'!BL75=1,'הזנה לתנאי סף'!G75,"")</f>
        <v/>
      </c>
      <c r="G75" s="55" t="str">
        <f>IF($F75="","",'הזנה לתנאי סף'!H75)</f>
        <v/>
      </c>
      <c r="H75" s="55" t="str">
        <f>IF($F75="","",'הזנה לתנאי סף'!I75)</f>
        <v/>
      </c>
      <c r="I75" s="187" t="str">
        <f>IF($F75="","",'הזנה לתנאי סף'!R75)</f>
        <v/>
      </c>
      <c r="J75" s="187" t="str">
        <f>IF($F75="","",'תחום תמיכה א'!P75)</f>
        <v/>
      </c>
      <c r="K75" s="177" t="str">
        <f>IF($F75="","",'הזנה לתנאי סף'!N75)</f>
        <v/>
      </c>
      <c r="L75" s="177" t="str">
        <f>IF($F75="","",'הזנה לתנאי סף'!O75)</f>
        <v/>
      </c>
      <c r="M75" s="177" t="str">
        <f>IF($F75="","",'הזנה לתנאי סף'!Q75)</f>
        <v/>
      </c>
      <c r="N75" s="187" t="str">
        <f>IF($F75="","",'תחום תמיכה א'!AE75)</f>
        <v/>
      </c>
      <c r="O75" s="178"/>
      <c r="P75" s="187" t="str">
        <f>IF($F75="","",'תחום תמיכה ב'!AC75)</f>
        <v/>
      </c>
      <c r="Q75" s="187" t="str">
        <f>IF($F75="","",IF('תחום תמיכה ג'!O75="",0,'תחום תמיכה ג'!O75))</f>
        <v/>
      </c>
      <c r="R75" s="187" t="str">
        <f t="shared" si="0"/>
        <v/>
      </c>
      <c r="S75" s="187" t="str">
        <f>IF($F75="","",'תחום תמיכה ב'!AE75)</f>
        <v/>
      </c>
      <c r="T75" s="187" t="str">
        <f>IF($F75="","",IF(Q75='תחום תמיכה ג'!$Q$2,'תחום תמיכה ג'!$Q$2,IFERROR(SUMIF(N75:R75,"&gt;0"),'תחום תמיכה ג'!$Q$2)))</f>
        <v/>
      </c>
      <c r="U75" s="187" t="str">
        <f>IF($F75="","",'הזנה לתנאי סף'!Y75)</f>
        <v/>
      </c>
      <c r="V75" s="269" t="str">
        <f>IF(F75="","",'הגבלה לסכום מבוקש '!AA75)</f>
        <v/>
      </c>
      <c r="W75" s="187" t="str">
        <f t="shared" si="1"/>
        <v/>
      </c>
      <c r="X75" s="187" t="str">
        <f>IF(F75="","",'הזנה לתנאי סף'!Z75)</f>
        <v/>
      </c>
      <c r="Y75" s="237" t="str">
        <f>IFERROR(VLOOKUP(G75*1,#REF!,3,0),"")</f>
        <v/>
      </c>
      <c r="Z75" s="187" t="str">
        <f>IF(OR($F75="",Y75=""),"",IFERROR(IF(Y75&gt;V75,MIN(Y75,T75)-V75,0),'תחום תמיכה ג'!$Q$2))</f>
        <v/>
      </c>
      <c r="AA75" s="259"/>
      <c r="AB75" s="260" t="str">
        <f t="shared" si="3"/>
        <v/>
      </c>
      <c r="AC75" s="261"/>
      <c r="AD75" s="180"/>
      <c r="AE75" s="13" t="str">
        <f>IF($C75="","",IFERROR(VLOOKUP($C75,גיליון1!$A:$E,2,0),"לא הגיש בקשה שוטפת"))</f>
        <v/>
      </c>
      <c r="AF75" s="13" t="str">
        <f>IF($C75="","",IFERROR(VLOOKUP($C75,גיליון1!$A:$E,3,0),"לא הגיש בקשה שוטפת"))</f>
        <v/>
      </c>
      <c r="AG75" s="13" t="str">
        <f>IF($C75="","",IFERROR(VLOOKUP($C75,גיליון1!$A:$E,4,0),"לא הגיש בקשה שוטפת"))</f>
        <v/>
      </c>
      <c r="AH75" s="13" t="str">
        <f>IF($C75="","",IFERROR(VLOOKUP($C75,גיליון1!$A:$E,5,0),"לא הגיש בקשה שוטפת"))</f>
        <v/>
      </c>
      <c r="AI75" s="13">
        <f t="shared" si="2"/>
        <v>0</v>
      </c>
      <c r="AJ75"/>
      <c r="AK75" t="s">
        <v>227</v>
      </c>
    </row>
    <row r="76" spans="1:37" ht="57.75" x14ac:dyDescent="0.25">
      <c r="A76" s="54">
        <f>'הזנה לתנאי סף'!B76</f>
        <v>46</v>
      </c>
      <c r="B76" s="266">
        <f>IF($F76="","",'הזנה לתנאי סף'!C76)</f>
        <v>1001348760</v>
      </c>
      <c r="C76" s="266">
        <f>IF($F76="","",'הזנה לתנאי סף'!D76)</f>
        <v>1001271005</v>
      </c>
      <c r="D76" s="266">
        <f>IF($F76="","",'הזנה לתנאי סף'!E76)</f>
        <v>40000158</v>
      </c>
      <c r="E76" s="55">
        <f>IF($F76="","",'הזנה לתנאי סף'!F76)</f>
        <v>20000062</v>
      </c>
      <c r="F76" s="55" t="str">
        <f>IF('הזנה לתנאי סף'!BL76=1,'הזנה לתנאי סף'!G76,"")</f>
        <v>עיילבון</v>
      </c>
      <c r="G76" s="55" t="str">
        <f>IF($F76="","",'הזנה לתנאי סף'!H76)</f>
        <v>ג'בינה- לקידום התיאטרון הערבי</v>
      </c>
      <c r="H76" s="55" t="str">
        <f>IF($F76="","",'הזנה לתנאי סף'!I76)</f>
        <v>תיאטרון</v>
      </c>
      <c r="I76" s="187">
        <f>IF($F76="","",'הזנה לתנאי סף'!R76)</f>
        <v>475723</v>
      </c>
      <c r="J76" s="187">
        <f>IF($F76="","",'תחום תמיכה א'!P76)</f>
        <v>481741</v>
      </c>
      <c r="K76" s="177">
        <f>IF($F76="","",'הזנה לתנאי סף'!N76)</f>
        <v>0</v>
      </c>
      <c r="L76" s="177">
        <f>IF($F76="","",'הזנה לתנאי סף'!O76)</f>
        <v>1</v>
      </c>
      <c r="M76" s="177">
        <f>IF($F76="","",'הזנה לתנאי סף'!Q76)</f>
        <v>1</v>
      </c>
      <c r="N76" s="187">
        <f>IF($F76="","",'תחום תמיכה א'!AE76)</f>
        <v>8599.00413969074</v>
      </c>
      <c r="O76" s="178"/>
      <c r="P76" s="187">
        <f>IF($F76="","",'תחום תמיכה ב'!AC76)</f>
        <v>8645.3122512773734</v>
      </c>
      <c r="Q76" s="187">
        <f>IF($F76="","",IF('תחום תמיכה ג'!O76="",0,'תחום תמיכה ג'!O76))</f>
        <v>0</v>
      </c>
      <c r="R76" s="187">
        <f t="shared" si="0"/>
        <v>259.23013954689122</v>
      </c>
      <c r="S76" s="187">
        <f>IF($F76="","",'תחום תמיכה ב'!AE76)</f>
        <v>8904.5423908242647</v>
      </c>
      <c r="T76" s="187">
        <f>IF($F76="","",IF(Q76='תחום תמיכה ג'!$Q$2,'תחום תמיכה ג'!$Q$2,IFERROR(SUMIF(N76:R76,"&gt;0"),'תחום תמיכה ג'!$Q$2)))</f>
        <v>17503.546530515006</v>
      </c>
      <c r="U76" s="187">
        <f>IF($F76="","",'הזנה לתנאי סף'!Y76)</f>
        <v>100000</v>
      </c>
      <c r="V76" s="269">
        <f>IF(F76="","",'הגבלה לסכום מבוקש '!AA76)</f>
        <v>18988.107143428115</v>
      </c>
      <c r="W76" s="187">
        <f t="shared" si="1"/>
        <v>4747.0267858570287</v>
      </c>
      <c r="X76" s="187">
        <f>IF(F76="","",'הזנה לתנאי סף'!Z76)</f>
        <v>100000</v>
      </c>
      <c r="Y76" s="237" t="str">
        <f>IFERROR(VLOOKUP(G76*1,#REF!,3,0),"")</f>
        <v/>
      </c>
      <c r="Z76" s="187" t="str">
        <f>IF(OR($F76="",Y76=""),"",IFERROR(IF(Y76&gt;V76,MIN(Y76,T76)-V76,0),'תחום תמיכה ג'!$Q$2))</f>
        <v/>
      </c>
      <c r="AA76" s="259"/>
      <c r="AB76" s="260" t="str">
        <f t="shared" si="3"/>
        <v/>
      </c>
      <c r="AC76" s="261"/>
      <c r="AD76" s="180"/>
      <c r="AE76" s="13" t="str">
        <f>IF($C76="","",IFERROR(VLOOKUP($C76,גיליון1!$A:$E,2,0),"לא הגיש בקשה שוטפת"))</f>
        <v>תמיכה שוטפת 2020</v>
      </c>
      <c r="AF76" s="13" t="str">
        <f>IF($C76="","",IFERROR(VLOOKUP($C76,גיליון1!$A:$E,3,0),"לא הגיש בקשה שוטפת"))</f>
        <v>מועד</v>
      </c>
      <c r="AG76" s="13" t="str">
        <f>IF($C76="","",IFERROR(VLOOKUP($C76,גיליון1!$A:$E,4,0),"לא הגיש בקשה שוטפת"))</f>
        <v>19-42-02-33</v>
      </c>
      <c r="AH76" s="13" t="str">
        <f>IF($C76="","",IFERROR(VLOOKUP($C76,גיליון1!$A:$E,5,0),"לא הגיש בקשה שוטפת"))</f>
        <v>תרבות ערבית ודרוזית</v>
      </c>
      <c r="AI76" s="13">
        <f t="shared" si="2"/>
        <v>0</v>
      </c>
      <c r="AJ76"/>
      <c r="AK76" t="s">
        <v>25</v>
      </c>
    </row>
    <row r="77" spans="1:37" ht="57.75" x14ac:dyDescent="0.25">
      <c r="A77" s="54">
        <f>'הזנה לתנאי סף'!B77</f>
        <v>47</v>
      </c>
      <c r="B77" s="266">
        <f>IF($F77="","",'הזנה לתנאי סף'!C77)</f>
        <v>1001350788</v>
      </c>
      <c r="C77" s="266">
        <f>IF($F77="","",'הזנה לתנאי סף'!D77)</f>
        <v>1001274174</v>
      </c>
      <c r="D77" s="266">
        <f>IF($F77="","",'הזנה לתנאי סף'!E77)</f>
        <v>40000291</v>
      </c>
      <c r="E77" s="55">
        <f>IF($F77="","",'הזנה לתנאי סף'!F77)</f>
        <v>20000014</v>
      </c>
      <c r="F77" s="55" t="str">
        <f>IF('הזנה לתנאי סף'!BL77=1,'הזנה לתנאי סף'!G77,"")</f>
        <v>אשדוד</v>
      </c>
      <c r="G77" s="55" t="str">
        <f>IF($F77="","",'הזנה לתנאי סף'!H77)</f>
        <v>החברה העירונית לתרבות ופנאי אשדוד</v>
      </c>
      <c r="H77" s="55" t="str">
        <f>IF($F77="","",'הזנה לתנאי סף'!I77)</f>
        <v>תיאטרון</v>
      </c>
      <c r="I77" s="187">
        <f>IF($F77="","",'הזנה לתנאי סף'!R77)</f>
        <v>2104634</v>
      </c>
      <c r="J77" s="187">
        <f>IF($F77="","",'תחום תמיכה א'!P77)</f>
        <v>2267407</v>
      </c>
      <c r="K77" s="177">
        <f>IF($F77="","",'הזנה לתנאי סף'!N77)</f>
        <v>1</v>
      </c>
      <c r="L77" s="177">
        <f>IF($F77="","",'הזנה לתנאי סף'!O77)</f>
        <v>1</v>
      </c>
      <c r="M77" s="177">
        <f>IF($F77="","",'הזנה לתנאי סף'!Q77)</f>
        <v>1</v>
      </c>
      <c r="N77" s="187">
        <f>IF($F77="","",'תחום תמיכה א'!AE77)</f>
        <v>49756.724727561326</v>
      </c>
      <c r="O77" s="178"/>
      <c r="P77" s="187">
        <f>IF($F77="","",'תחום תמיכה ב'!AC77)</f>
        <v>57806.759422109055</v>
      </c>
      <c r="Q77" s="187">
        <f>IF($F77="","",IF('תחום תמיכה ג'!O77="",0,'תחום תמיכה ג'!O77))</f>
        <v>0</v>
      </c>
      <c r="R77" s="187">
        <f t="shared" si="0"/>
        <v>1733.3387015064509</v>
      </c>
      <c r="S77" s="187">
        <f>IF($F77="","",'תחום תמיכה ב'!AE77)</f>
        <v>59540.098123615506</v>
      </c>
      <c r="T77" s="187">
        <f>IF($F77="","",IF(Q77='תחום תמיכה ג'!$Q$2,'תחום תמיכה ג'!$Q$2,IFERROR(SUMIF(N77:R77,"&gt;0"),'תחום תמיכה ג'!$Q$2)))</f>
        <v>109296.82285117682</v>
      </c>
      <c r="U77" s="187">
        <f>IF($F77="","",'הזנה לתנאי סף'!Y77)</f>
        <v>250000</v>
      </c>
      <c r="V77" s="269">
        <f>IF(F77="","",'הגבלה לסכום מבוקש '!AA77)</f>
        <v>119219.79221393903</v>
      </c>
      <c r="W77" s="187">
        <f t="shared" si="1"/>
        <v>29804.948053484757</v>
      </c>
      <c r="X77" s="187">
        <f>IF(F77="","",'הזנה לתנאי סף'!Z77)</f>
        <v>250000</v>
      </c>
      <c r="Y77" s="237" t="str">
        <f>IFERROR(VLOOKUP(G77*1,#REF!,3,0),"")</f>
        <v/>
      </c>
      <c r="Z77" s="187" t="str">
        <f>IF(OR($F77="",Y77=""),"",IFERROR(IF(Y77&gt;V77,MIN(Y77,T77)-V77,0),'תחום תמיכה ג'!$Q$2))</f>
        <v/>
      </c>
      <c r="AA77" s="259"/>
      <c r="AB77" s="260" t="str">
        <f t="shared" si="3"/>
        <v/>
      </c>
      <c r="AC77" s="261"/>
      <c r="AD77" s="180"/>
      <c r="AE77" s="13" t="str">
        <f>IF($C77="","",IFERROR(VLOOKUP($C77,גיליון1!$A:$E,2,0),"לא הגיש בקשה שוטפת"))</f>
        <v>בלט תיאטרון פאנוב 2020</v>
      </c>
      <c r="AF77" s="13" t="str">
        <f>IF($C77="","",IFERROR(VLOOKUP($C77,גיליון1!$A:$E,3,0),"לא הגיש בקשה שוטפת"))</f>
        <v>חויב</v>
      </c>
      <c r="AG77" s="13" t="str">
        <f>IF($C77="","",IFERROR(VLOOKUP($C77,גיליון1!$A:$E,4,0),"לא הגיש בקשה שוטפת"))</f>
        <v>19-42-02-20</v>
      </c>
      <c r="AH77" s="13" t="str">
        <f>IF($C77="","",IFERROR(VLOOKUP($C77,גיליון1!$A:$E,5,0),"לא הגיש בקשה שוטפת"))</f>
        <v>מחול וארגוני גג</v>
      </c>
      <c r="AI77" s="13">
        <f t="shared" si="2"/>
        <v>0</v>
      </c>
      <c r="AJ77"/>
      <c r="AK77" t="s">
        <v>23</v>
      </c>
    </row>
    <row r="78" spans="1:37" ht="43.5" x14ac:dyDescent="0.25">
      <c r="A78" s="54">
        <f>'הזנה לתנאי סף'!B78</f>
        <v>48</v>
      </c>
      <c r="B78" s="266">
        <f>IF($F78="","",'הזנה לתנאי סף'!C78)</f>
        <v>1001346581</v>
      </c>
      <c r="C78" s="266">
        <f>IF($F78="","",'הזנה לתנאי סף'!D78)</f>
        <v>1001263210</v>
      </c>
      <c r="D78" s="266">
        <f>IF($F78="","",'הזנה לתנאי סף'!E78)</f>
        <v>40000298</v>
      </c>
      <c r="E78" s="55">
        <f>IF($F78="","",'הזנה לתנאי סף'!F78)</f>
        <v>20000257</v>
      </c>
      <c r="F78" s="55" t="str">
        <f>IF('הזנה לתנאי סף'!BL78=1,'הזנה לתנאי סף'!G78,"")</f>
        <v>זכרון יעקב</v>
      </c>
      <c r="G78" s="55" t="str">
        <f>IF($F78="","",'הזנה לתנאי סף'!H78)</f>
        <v>בית אהרונסון, מוזיאון נילי</v>
      </c>
      <c r="H78" s="55" t="str">
        <f>IF($F78="","",'הזנה לתנאי סף'!I78)</f>
        <v>מוזיאונים</v>
      </c>
      <c r="I78" s="187">
        <f>IF($F78="","",'הזנה לתנאי סף'!R78)</f>
        <v>601235</v>
      </c>
      <c r="J78" s="187">
        <f>IF($F78="","",'תחום תמיכה א'!P78)</f>
        <v>481110</v>
      </c>
      <c r="K78" s="177">
        <f>IF($F78="","",'הזנה לתנאי סף'!N78)</f>
        <v>0</v>
      </c>
      <c r="L78" s="177">
        <f>IF($F78="","",'הזנה לתנאי סף'!O78)</f>
        <v>1</v>
      </c>
      <c r="M78" s="177">
        <f>IF($F78="","",'הזנה לתנאי סף'!Q78)</f>
        <v>1</v>
      </c>
      <c r="N78" s="187">
        <f>IF($F78="","",'תחום תמיכה א'!AE78)</f>
        <v>16860.708857432179</v>
      </c>
      <c r="O78" s="178"/>
      <c r="P78" s="187">
        <f>IF($F78="","",'תחום תמיכה ב'!AC78)</f>
        <v>41240.81556069199</v>
      </c>
      <c r="Q78" s="187">
        <f>IF($F78="","",IF('תחום תמיכה ג'!O78="",0,'תחום תמיכה ג'!O78))</f>
        <v>0</v>
      </c>
      <c r="R78" s="187">
        <f t="shared" si="0"/>
        <v>1236.6080092996272</v>
      </c>
      <c r="S78" s="187">
        <f>IF($F78="","",'תחום תמיכה ב'!AE78)</f>
        <v>42477.423569991617</v>
      </c>
      <c r="T78" s="187">
        <f>IF($F78="","",IF(Q78='תחום תמיכה ג'!$Q$2,'תחום תמיכה ג'!$Q$2,IFERROR(SUMIF(N78:R78,"&gt;0"),'תחום תמיכה ג'!$Q$2)))</f>
        <v>59338.1324274238</v>
      </c>
      <c r="U78" s="187">
        <f>IF($F78="","",'הזנה לתנאי סף'!Y78)</f>
        <v>130000</v>
      </c>
      <c r="V78" s="269">
        <f>IF(F78="","",'הגבלה לסכום מבוקש '!AA78)</f>
        <v>66408.945767826677</v>
      </c>
      <c r="W78" s="187">
        <f t="shared" si="1"/>
        <v>16602.236441956669</v>
      </c>
      <c r="X78" s="187">
        <f>IF(F78="","",'הזנה לתנאי סף'!Z78)</f>
        <v>130000</v>
      </c>
      <c r="Y78" s="237" t="str">
        <f>IFERROR(VLOOKUP(G78*1,#REF!,3,0),"")</f>
        <v/>
      </c>
      <c r="Z78" s="187" t="str">
        <f>IF(OR($F78="",Y78=""),"",IFERROR(IF(Y78&gt;V78,MIN(Y78,T78)-V78,0),'תחום תמיכה ג'!$Q$2))</f>
        <v/>
      </c>
      <c r="AA78" s="259"/>
      <c r="AB78" s="260" t="str">
        <f t="shared" si="3"/>
        <v/>
      </c>
      <c r="AC78" s="261"/>
      <c r="AD78" s="180"/>
      <c r="AE78" s="13" t="str">
        <f>IF($C78="","",IFERROR(VLOOKUP($C78,גיליון1!$A:$E,2,0),"לא הגיש בקשה שוטפת"))</f>
        <v>תמיכה שוטפת</v>
      </c>
      <c r="AF78" s="13" t="str">
        <f>IF($C78="","",IFERROR(VLOOKUP($C78,גיליון1!$A:$E,3,0),"לא הגיש בקשה שוטפת"))</f>
        <v>חויב</v>
      </c>
      <c r="AG78" s="13" t="str">
        <f>IF($C78="","",IFERROR(VLOOKUP($C78,גיליון1!$A:$E,4,0),"לא הגיש בקשה שוטפת"))</f>
        <v>19-42-02-18</v>
      </c>
      <c r="AH78" s="13" t="str">
        <f>IF($C78="","",IFERROR(VLOOKUP($C78,גיליון1!$A:$E,5,0),"לא הגיש בקשה שוטפת"))</f>
        <v>מוזיאונים ואמנות פלס</v>
      </c>
      <c r="AI78" s="13">
        <f t="shared" si="2"/>
        <v>0</v>
      </c>
      <c r="AJ78"/>
      <c r="AK78" t="s">
        <v>24</v>
      </c>
    </row>
    <row r="79" spans="1:37" ht="29.25" x14ac:dyDescent="0.25">
      <c r="A79" s="54">
        <f>'הזנה לתנאי סף'!B79</f>
        <v>49</v>
      </c>
      <c r="B79" s="266">
        <f>IF($F79="","",'הזנה לתנאי סף'!C79)</f>
        <v>1001349393</v>
      </c>
      <c r="C79" s="266">
        <f>IF($F79="","",'הזנה לתנאי סף'!D79)</f>
        <v>1001272661</v>
      </c>
      <c r="D79" s="266">
        <f>IF($F79="","",'הזנה לתנאי סף'!E79)</f>
        <v>40000323</v>
      </c>
      <c r="E79" s="55">
        <f>IF($F79="","",'הזנה לתנאי סף'!F79)</f>
        <v>20000127</v>
      </c>
      <c r="F79" s="55" t="str">
        <f>IF('הזנה לתנאי סף'!BL79=1,'הזנה לתנאי סף'!G79,"")</f>
        <v>הגליל העליון</v>
      </c>
      <c r="G79" s="55" t="str">
        <f>IF($F79="","",'הזנה לתנאי סף'!H79)</f>
        <v>מכון בר דוד לאמנות</v>
      </c>
      <c r="H79" s="55" t="str">
        <f>IF($F79="","",'הזנה לתנאי סף'!I79)</f>
        <v>מוזיאונים</v>
      </c>
      <c r="I79" s="187">
        <f>IF($F79="","",'הזנה לתנאי סף'!R79)</f>
        <v>397000</v>
      </c>
      <c r="J79" s="187">
        <f>IF($F79="","",'תחום תמיכה א'!P79)</f>
        <v>405000</v>
      </c>
      <c r="K79" s="177">
        <f>IF($F79="","",'הזנה לתנאי סף'!N79)</f>
        <v>0</v>
      </c>
      <c r="L79" s="177">
        <f>IF($F79="","",'הזנה לתנאי סף'!O79)</f>
        <v>1</v>
      </c>
      <c r="M79" s="177">
        <f>IF($F79="","",'הזנה לתנאי סף'!Q79)</f>
        <v>1</v>
      </c>
      <c r="N79" s="187">
        <f>IF($F79="","",'תחום תמיכה א'!AE79)</f>
        <v>20744.971985947457</v>
      </c>
      <c r="O79" s="178"/>
      <c r="P79" s="187">
        <f>IF($F79="","",'תחום תמיכה ב'!AC79)</f>
        <v>20926.888620515252</v>
      </c>
      <c r="Q79" s="187">
        <f>IF($F79="","",IF('תחום תמיכה ג'!O79="",0,'תחום תמיכה ג'!O79))</f>
        <v>0</v>
      </c>
      <c r="R79" s="187">
        <f t="shared" si="0"/>
        <v>627.49384865501997</v>
      </c>
      <c r="S79" s="187">
        <f>IF($F79="","",'תחום תמיכה ב'!AE79)</f>
        <v>21554.382469170272</v>
      </c>
      <c r="T79" s="187">
        <f>IF($F79="","",IF(Q79='תחום תמיכה ג'!$Q$2,'תחום תמיכה ג'!$Q$2,IFERROR(SUMIF(N79:R79,"&gt;0"),'תחום תמיכה ג'!$Q$2)))</f>
        <v>42299.354455117733</v>
      </c>
      <c r="U79" s="187">
        <f>IF($F79="","",'הזנה לתנאי סף'!Y79)</f>
        <v>27500</v>
      </c>
      <c r="V79" s="269">
        <f>IF(F79="","",'הגבלה לסכום מבוקש '!AA79)</f>
        <v>27500</v>
      </c>
      <c r="W79" s="187">
        <f t="shared" si="1"/>
        <v>6875</v>
      </c>
      <c r="X79" s="187">
        <f>IF(F79="","",'הזנה לתנאי סף'!Z79)</f>
        <v>27500</v>
      </c>
      <c r="Y79" s="237" t="str">
        <f>IFERROR(VLOOKUP(G79*1,#REF!,3,0),"")</f>
        <v/>
      </c>
      <c r="Z79" s="187" t="str">
        <f>IF(OR($F79="",Y79=""),"",IFERROR(IF(Y79&gt;V79,MIN(Y79,T79)-V79,0),'תחום תמיכה ג'!$Q$2))</f>
        <v/>
      </c>
      <c r="AA79" s="259"/>
      <c r="AB79" s="260" t="str">
        <f t="shared" si="3"/>
        <v/>
      </c>
      <c r="AC79" s="261"/>
      <c r="AD79" s="180"/>
      <c r="AE79" s="13" t="str">
        <f>IF($C79="","",IFERROR(VLOOKUP($C79,גיליון1!$A:$E,2,0),"לא הגיש בקשה שוטפת"))</f>
        <v>תמיכה שוטפת</v>
      </c>
      <c r="AF79" s="13" t="str">
        <f>IF($C79="","",IFERROR(VLOOKUP($C79,גיליון1!$A:$E,3,0),"לא הגיש בקשה שוטפת"))</f>
        <v>חויב</v>
      </c>
      <c r="AG79" s="13" t="str">
        <f>IF($C79="","",IFERROR(VLOOKUP($C79,גיליון1!$A:$E,4,0),"לא הגיש בקשה שוטפת"))</f>
        <v>19-42-02-18</v>
      </c>
      <c r="AH79" s="13" t="str">
        <f>IF($C79="","",IFERROR(VLOOKUP($C79,גיליון1!$A:$E,5,0),"לא הגיש בקשה שוטפת"))</f>
        <v>מוזיאונים ואמנות פלס</v>
      </c>
      <c r="AI79" s="13">
        <f t="shared" si="2"/>
        <v>1</v>
      </c>
      <c r="AJ79"/>
      <c r="AK79" t="s">
        <v>31</v>
      </c>
    </row>
    <row r="80" spans="1:37" ht="57.75" x14ac:dyDescent="0.25">
      <c r="A80" s="54">
        <f>'הזנה לתנאי סף'!B80</f>
        <v>50</v>
      </c>
      <c r="B80" s="266">
        <f>IF($F80="","",'הזנה לתנאי סף'!C80)</f>
        <v>1001348701</v>
      </c>
      <c r="C80" s="266">
        <f>IF($F80="","",'הזנה לתנאי סף'!D80)</f>
        <v>1001266423</v>
      </c>
      <c r="D80" s="266">
        <f>IF($F80="","",'הזנה לתנאי סף'!E80)</f>
        <v>40000341</v>
      </c>
      <c r="E80" s="55">
        <f>IF($F80="","",'הזנה לתנאי סף'!F80)</f>
        <v>20000182</v>
      </c>
      <c r="F80" s="55" t="str">
        <f>IF('הזנה לתנאי סף'!BL80=1,'הזנה לתנאי סף'!G80,"")</f>
        <v>חיפה</v>
      </c>
      <c r="G80" s="55" t="str">
        <f>IF($F80="","",'הזנה לתנאי סף'!H80)</f>
        <v>מדעטק- המוזיאון הלאומי למדע</v>
      </c>
      <c r="H80" s="55" t="str">
        <f>IF($F80="","",'הזנה לתנאי סף'!I80)</f>
        <v>מוזיאונים</v>
      </c>
      <c r="I80" s="187">
        <f>IF($F80="","",'הזנה לתנאי סף'!R80)</f>
        <v>25364543</v>
      </c>
      <c r="J80" s="187">
        <f>IF($F80="","",'תחום תמיכה א'!P80)</f>
        <v>26568684</v>
      </c>
      <c r="K80" s="177">
        <f>IF($F80="","",'הזנה לתנאי סף'!N80)</f>
        <v>1</v>
      </c>
      <c r="L80" s="177">
        <f>IF($F80="","",'הזנה לתנאי סף'!O80)</f>
        <v>1</v>
      </c>
      <c r="M80" s="177">
        <f>IF($F80="","",'הזנה לתנאי סף'!Q80)</f>
        <v>1</v>
      </c>
      <c r="N80" s="187">
        <f>IF($F80="","",'תחום תמיכה א'!AE80)</f>
        <v>1147538.1585370442</v>
      </c>
      <c r="O80" s="178"/>
      <c r="P80" s="187">
        <f>IF($F80="","",'תחום תמיכה ב'!AC80)</f>
        <v>2698849.4874431361</v>
      </c>
      <c r="Q80" s="187">
        <f>IF($F80="","",IF('תחום תמיכה ג'!O80="",0,'תחום תמיכה ג'!O80))</f>
        <v>583304.18390494457</v>
      </c>
      <c r="R80" s="187">
        <f t="shared" si="0"/>
        <v>80925.14288799325</v>
      </c>
      <c r="S80" s="187">
        <f>IF($F80="","",'תחום תמיכה ב'!AE80)</f>
        <v>2779774.6303311293</v>
      </c>
      <c r="T80" s="187">
        <f>IF($F80="","",IF(Q80='תחום תמיכה ג'!$Q$2,'תחום תמיכה ג'!$Q$2,IFERROR(SUMIF(N80:R80,"&gt;0"),'תחום תמיכה ג'!$Q$2)))</f>
        <v>4510616.9727731179</v>
      </c>
      <c r="U80" s="187">
        <f>IF($F80="","",'הזנה לתנאי סף'!Y80)</f>
        <v>3000000</v>
      </c>
      <c r="V80" s="269">
        <f>IF(F80="","",'הגבלה לסכום מבוקש '!AA80)</f>
        <v>3000000</v>
      </c>
      <c r="W80" s="187">
        <f t="shared" si="1"/>
        <v>750000</v>
      </c>
      <c r="X80" s="187">
        <f>IF(F80="","",'הזנה לתנאי סף'!Z80)</f>
        <v>3000000</v>
      </c>
      <c r="Y80" s="237" t="str">
        <f>IFERROR(VLOOKUP(G80*1,#REF!,3,0),"")</f>
        <v/>
      </c>
      <c r="Z80" s="187" t="str">
        <f>IF(OR($F80="",Y80=""),"",IFERROR(IF(Y80&gt;V80,MIN(Y80,T80)-V80,0),'תחום תמיכה ג'!$Q$2))</f>
        <v/>
      </c>
      <c r="AA80" s="259"/>
      <c r="AB80" s="260" t="str">
        <f t="shared" si="3"/>
        <v/>
      </c>
      <c r="AC80" s="261"/>
      <c r="AD80" s="180"/>
      <c r="AE80" s="13" t="str">
        <f>IF($C80="","",IFERROR(VLOOKUP($C80,גיליון1!$A:$E,2,0),"לא הגיש בקשה שוטפת"))</f>
        <v>תמיכה שוטפת 2020</v>
      </c>
      <c r="AF80" s="13" t="str">
        <f>IF($C80="","",IFERROR(VLOOKUP($C80,גיליון1!$A:$E,3,0),"לא הגיש בקשה שוטפת"))</f>
        <v>חויב</v>
      </c>
      <c r="AG80" s="13" t="str">
        <f>IF($C80="","",IFERROR(VLOOKUP($C80,גיליון1!$A:$E,4,0),"לא הגיש בקשה שוטפת"))</f>
        <v>19-42-02-18</v>
      </c>
      <c r="AH80" s="13" t="str">
        <f>IF($C80="","",IFERROR(VLOOKUP($C80,גיליון1!$A:$E,5,0),"לא הגיש בקשה שוטפת"))</f>
        <v>מוזיאונים ואמנות פלס</v>
      </c>
      <c r="AI80" s="13">
        <f t="shared" si="2"/>
        <v>1</v>
      </c>
      <c r="AJ80"/>
      <c r="AK80" t="s">
        <v>32</v>
      </c>
    </row>
    <row r="81" spans="1:37" ht="57.75" x14ac:dyDescent="0.25">
      <c r="A81" s="54">
        <f>'הזנה לתנאי סף'!B81</f>
        <v>51</v>
      </c>
      <c r="B81" s="266">
        <f>IF($F81="","",'הזנה לתנאי סף'!C81)</f>
        <v>1001346261</v>
      </c>
      <c r="C81" s="266">
        <f>IF($F81="","",'הזנה לתנאי סף'!D81)</f>
        <v>1001274606</v>
      </c>
      <c r="D81" s="266">
        <f>IF($F81="","",'הזנה לתנאי סף'!E81)</f>
        <v>40000183</v>
      </c>
      <c r="E81" s="55">
        <f>IF($F81="","",'הזנה לתנאי סף'!F81)</f>
        <v>20000159</v>
      </c>
      <c r="F81" s="55" t="str">
        <f>IF('הזנה לתנאי סף'!BL81=1,'הזנה לתנאי סף'!G81,"")</f>
        <v>ירושלים</v>
      </c>
      <c r="G81" s="55" t="str">
        <f>IF($F81="","",'הזנה לתנאי סף'!H81)</f>
        <v>מוזיאון המדע ע"ש בלומפילד ירושלים</v>
      </c>
      <c r="H81" s="55" t="str">
        <f>IF($F81="","",'הזנה לתנאי סף'!I81)</f>
        <v>מוזיאונים</v>
      </c>
      <c r="I81" s="187">
        <f>IF($F81="","",'הזנה לתנאי סף'!R81)</f>
        <v>15560591</v>
      </c>
      <c r="J81" s="187">
        <f>IF($F81="","",'תחום תמיכה א'!P81)</f>
        <v>15838744</v>
      </c>
      <c r="K81" s="177">
        <f>IF($F81="","",'הזנה לתנאי סף'!N81)</f>
        <v>1</v>
      </c>
      <c r="L81" s="177">
        <f>IF($F81="","",'הזנה לתנאי סף'!O81)</f>
        <v>1</v>
      </c>
      <c r="M81" s="177">
        <f>IF($F81="","",'הזנה לתנאי סף'!Q81)</f>
        <v>1</v>
      </c>
      <c r="N81" s="187">
        <f>IF($F81="","",'תחום תמיכה א'!AE81)</f>
        <v>630673.46749152406</v>
      </c>
      <c r="O81" s="178"/>
      <c r="P81" s="187">
        <f>IF($F81="","",'תחום תמיכה ב'!AC81)</f>
        <v>1407184.9069467888</v>
      </c>
      <c r="Q81" s="187">
        <f>IF($F81="","",IF('תחום תמיכה ג'!O81="",0,'תחום תמיכה ג'!O81))</f>
        <v>243257.77571415706</v>
      </c>
      <c r="R81" s="187">
        <f t="shared" si="0"/>
        <v>42194.51295610494</v>
      </c>
      <c r="S81" s="187">
        <f>IF($F81="","",'תחום תמיכה ב'!AE81)</f>
        <v>1449379.4199028937</v>
      </c>
      <c r="T81" s="187">
        <f>IF($F81="","",IF(Q81='תחום תמיכה ג'!$Q$2,'תחום תמיכה ג'!$Q$2,IFERROR(SUMIF(N81:R81,"&gt;0"),'תחום תמיכה ג'!$Q$2)))</f>
        <v>2323310.6631085752</v>
      </c>
      <c r="U81" s="187">
        <f>IF($F81="","",'הזנה לתנאי סף'!Y81)</f>
        <v>5000000</v>
      </c>
      <c r="V81" s="269">
        <f>IF(F81="","",'הגבלה לסכום מבוקש '!AA81)</f>
        <v>2564711.063428232</v>
      </c>
      <c r="W81" s="187">
        <f t="shared" si="1"/>
        <v>641177.765857058</v>
      </c>
      <c r="X81" s="187">
        <f>IF(F81="","",'הזנה לתנאי סף'!Z81)</f>
        <v>1000000</v>
      </c>
      <c r="Y81" s="237" t="str">
        <f>IFERROR(VLOOKUP(G81*1,#REF!,3,0),"")</f>
        <v/>
      </c>
      <c r="Z81" s="187" t="str">
        <f>IF(OR($F81="",Y81=""),"",IFERROR(IF(Y81&gt;V81,MIN(Y81,T81)-V81,0),'תחום תמיכה ג'!$Q$2))</f>
        <v/>
      </c>
      <c r="AA81" s="259"/>
      <c r="AB81" s="260" t="str">
        <f t="shared" si="3"/>
        <v/>
      </c>
      <c r="AC81" s="261"/>
      <c r="AD81" s="180"/>
      <c r="AE81" s="13" t="str">
        <f>IF($C81="","",IFERROR(VLOOKUP($C81,גיליון1!$A:$E,2,0),"לא הגיש בקשה שוטפת"))</f>
        <v>תמיכה שוטפת</v>
      </c>
      <c r="AF81" s="13" t="str">
        <f>IF($C81="","",IFERROR(VLOOKUP($C81,גיליון1!$A:$E,3,0),"לא הגיש בקשה שוטפת"))</f>
        <v>חויב</v>
      </c>
      <c r="AG81" s="13" t="str">
        <f>IF($C81="","",IFERROR(VLOOKUP($C81,גיליון1!$A:$E,4,0),"לא הגיש בקשה שוטפת"))</f>
        <v>19-42-02-18</v>
      </c>
      <c r="AH81" s="13" t="str">
        <f>IF($C81="","",IFERROR(VLOOKUP($C81,גיליון1!$A:$E,5,0),"לא הגיש בקשה שוטפת"))</f>
        <v>מוזיאונים ואמנות פלס</v>
      </c>
      <c r="AI81" s="13">
        <f t="shared" si="2"/>
        <v>0</v>
      </c>
      <c r="AJ81"/>
      <c r="AK81" t="s">
        <v>33</v>
      </c>
    </row>
    <row r="82" spans="1:37" ht="86.25" x14ac:dyDescent="0.25">
      <c r="A82" s="54">
        <f>'הזנה לתנאי סף'!B82</f>
        <v>52</v>
      </c>
      <c r="B82" s="266">
        <f>IF($F82="","",'הזנה לתנאי סף'!C82)</f>
        <v>1001349066</v>
      </c>
      <c r="C82" s="266">
        <f>IF($F82="","",'הזנה לתנאי סף'!D82)</f>
        <v>1001268608</v>
      </c>
      <c r="D82" s="266">
        <f>IF($F82="","",'הזנה לתנאי סף'!E82)</f>
        <v>40000293</v>
      </c>
      <c r="E82" s="55">
        <f>IF($F82="","",'הזנה לתנאי סף'!F82)</f>
        <v>20000224</v>
      </c>
      <c r="F82" s="55" t="str">
        <f>IF('הזנה לתנאי סף'!BL82=1,'הזנה לתנאי סף'!G82,"")</f>
        <v>חולון</v>
      </c>
      <c r="G82" s="55" t="str">
        <f>IF($F82="","",'הזנה לתנאי סף'!H82)</f>
        <v>החברה לפיתוח תיאטרון מוזיקה אומנות ומחול חולון</v>
      </c>
      <c r="H82" s="55" t="str">
        <f>IF($F82="","",'הזנה לתנאי סף'!I82)</f>
        <v>תיאטרון</v>
      </c>
      <c r="I82" s="187">
        <f>IF($F82="","",'הזנה לתנאי סף'!R82)</f>
        <v>13778524</v>
      </c>
      <c r="J82" s="187">
        <f>IF($F82="","",'תחום תמיכה א'!P82)</f>
        <v>9955313</v>
      </c>
      <c r="K82" s="177">
        <f>IF($F82="","",'הזנה לתנאי סף'!N82)</f>
        <v>0</v>
      </c>
      <c r="L82" s="177">
        <f>IF($F82="","",'הזנה לתנאי סף'!O82)</f>
        <v>1</v>
      </c>
      <c r="M82" s="177">
        <f>IF($F82="","",'הזנה לתנאי סף'!Q82)</f>
        <v>1</v>
      </c>
      <c r="N82" s="187">
        <f>IF($F82="","",'תחום תמיכה א'!AE82)</f>
        <v>200829.68478854789</v>
      </c>
      <c r="O82" s="178"/>
      <c r="P82" s="187">
        <f>IF($F82="","",'תחום תמיכה ב'!AC82)</f>
        <v>319820.36205190164</v>
      </c>
      <c r="Q82" s="187">
        <f>IF($F82="","",IF('תחום תמיכה ג'!O82="",0,'תחום תמיכה ג'!O82))</f>
        <v>0</v>
      </c>
      <c r="R82" s="187">
        <f t="shared" si="0"/>
        <v>9589.8302658069879</v>
      </c>
      <c r="S82" s="187">
        <f>IF($F82="","",'תחום תמיכה ב'!AE82)</f>
        <v>329410.19231770863</v>
      </c>
      <c r="T82" s="187">
        <f>IF($F82="","",IF(Q82='תחום תמיכה ג'!$Q$2,'תחום תמיכה ג'!$Q$2,IFERROR(SUMIF(N82:R82,"&gt;0"),'תחום תמיכה ג'!$Q$2)))</f>
        <v>530239.87710625655</v>
      </c>
      <c r="U82" s="187">
        <f>IF($F82="","",'הזנה לתנאי סף'!Y82)</f>
        <v>1300000</v>
      </c>
      <c r="V82" s="269">
        <f>IF(F82="","",'הגבלה לסכום מבוקש '!AA82)</f>
        <v>585105.57112533262</v>
      </c>
      <c r="W82" s="187">
        <f t="shared" si="1"/>
        <v>146276.39278133315</v>
      </c>
      <c r="X82" s="187">
        <f>IF(F82="","",'הזנה לתנאי סף'!Z82)</f>
        <v>1300000</v>
      </c>
      <c r="Y82" s="237" t="str">
        <f>IFERROR(VLOOKUP(G82*1,#REF!,3,0),"")</f>
        <v/>
      </c>
      <c r="Z82" s="187" t="str">
        <f>IF(OR($F82="",Y82=""),"",IFERROR(IF(Y82&gt;V82,MIN(Y82,T82)-V82,0),'תחום תמיכה ג'!$Q$2))</f>
        <v/>
      </c>
      <c r="AA82" s="259"/>
      <c r="AB82" s="260" t="str">
        <f t="shared" si="3"/>
        <v/>
      </c>
      <c r="AC82" s="261"/>
      <c r="AD82" s="180"/>
      <c r="AE82" s="13" t="str">
        <f>IF($C82="","",IFERROR(VLOOKUP($C82,גיליון1!$A:$E,2,0),"לא הגיש בקשה שוטפת"))</f>
        <v>תאטרון שוטף 2020</v>
      </c>
      <c r="AF82" s="13" t="str">
        <f>IF($C82="","",IFERROR(VLOOKUP($C82,גיליון1!$A:$E,3,0),"לא הגיש בקשה שוטפת"))</f>
        <v>חויב</v>
      </c>
      <c r="AG82" s="13" t="str">
        <f>IF($C82="","",IFERROR(VLOOKUP($C82,גיליון1!$A:$E,4,0),"לא הגיש בקשה שוטפת"))</f>
        <v>19-42-02-07</v>
      </c>
      <c r="AH82" s="13" t="str">
        <f>IF($C82="","",IFERROR(VLOOKUP($C82,גיליון1!$A:$E,5,0),"לא הגיש בקשה שוטפת"))</f>
        <v>תיאטרון</v>
      </c>
      <c r="AI82" s="13">
        <f t="shared" si="2"/>
        <v>0</v>
      </c>
      <c r="AJ82"/>
      <c r="AK82" t="s">
        <v>35</v>
      </c>
    </row>
    <row r="83" spans="1:37" ht="86.25" x14ac:dyDescent="0.25">
      <c r="A83" s="54">
        <f>'הזנה לתנאי סף'!B83</f>
        <v>53</v>
      </c>
      <c r="B83" s="266">
        <f>IF($F83="","",'הזנה לתנאי סף'!C83)</f>
        <v>1001350257</v>
      </c>
      <c r="C83" s="266">
        <f>IF($F83="","",'הזנה לתנאי סף'!D83)</f>
        <v>1001268522</v>
      </c>
      <c r="D83" s="266">
        <f>IF($F83="","",'הזנה לתנאי סף'!E83)</f>
        <v>40000293</v>
      </c>
      <c r="E83" s="55">
        <f>IF($F83="","",'הזנה לתנאי סף'!F83)</f>
        <v>20000224</v>
      </c>
      <c r="F83" s="55" t="str">
        <f>IF('הזנה לתנאי סף'!BL83=1,'הזנה לתנאי סף'!G83,"")</f>
        <v>חולון</v>
      </c>
      <c r="G83" s="55" t="str">
        <f>IF($F83="","",'הזנה לתנאי סף'!H83)</f>
        <v>החברה לפיתוח תיאטרון מוזיקה אומנות ומחול חולון</v>
      </c>
      <c r="H83" s="55" t="str">
        <f>IF($F83="","",'הזנה לתנאי סף'!I83)</f>
        <v>מוזיאונים</v>
      </c>
      <c r="I83" s="187">
        <f>IF($F83="","",'הזנה לתנאי סף'!R83)</f>
        <v>9786779</v>
      </c>
      <c r="J83" s="187">
        <f>IF($F83="","",'תחום תמיכה א'!P83)</f>
        <v>10670207</v>
      </c>
      <c r="K83" s="177">
        <f>IF($F83="","",'הזנה לתנאי סף'!N83)</f>
        <v>0</v>
      </c>
      <c r="L83" s="177">
        <f>IF($F83="","",'הזנה לתנאי סף'!O83)</f>
        <v>1</v>
      </c>
      <c r="M83" s="177">
        <f>IF($F83="","",'הזנה לתנאי סף'!Q83)</f>
        <v>1</v>
      </c>
      <c r="N83" s="187">
        <f>IF($F83="","",'תחום תמיכה א'!AE83)</f>
        <v>182527.62211989053</v>
      </c>
      <c r="O83" s="178"/>
      <c r="P83" s="187">
        <f>IF($F83="","",'תחום תמיכה ב'!AC83)</f>
        <v>163346.08215285157</v>
      </c>
      <c r="Q83" s="187">
        <f>IF($F83="","",IF('תחום תמיכה ג'!O83="",0,'תחום תמיכה ג'!O83))</f>
        <v>0</v>
      </c>
      <c r="R83" s="187">
        <f t="shared" si="0"/>
        <v>4897.9408077094122</v>
      </c>
      <c r="S83" s="187">
        <f>IF($F83="","",'תחום תמיכה ב'!AE83)</f>
        <v>168244.02296056098</v>
      </c>
      <c r="T83" s="187">
        <f>IF($F83="","",IF(Q83='תחום תמיכה ג'!$Q$2,'תחום תמיכה ג'!$Q$2,IFERROR(SUMIF(N83:R83,"&gt;0"),'תחום תמיכה ג'!$Q$2)))</f>
        <v>350771.6450804515</v>
      </c>
      <c r="U83" s="187">
        <f>IF($F83="","",'הזנה לתנאי סף'!Y83)</f>
        <v>850000</v>
      </c>
      <c r="V83" s="269">
        <f>IF(F83="","",'הגבלה לסכום מבוקש '!AA83)</f>
        <v>378830.33214129793</v>
      </c>
      <c r="W83" s="187">
        <f t="shared" si="1"/>
        <v>94707.583035324482</v>
      </c>
      <c r="X83" s="187">
        <f>IF(F83="","",'הזנה לתנאי סף'!Z83)</f>
        <v>850000</v>
      </c>
      <c r="Y83" s="237" t="str">
        <f>IFERROR(VLOOKUP(G83*1,#REF!,3,0),"")</f>
        <v/>
      </c>
      <c r="Z83" s="187" t="str">
        <f>IF(OR($F83="",Y83=""),"",IFERROR(IF(Y83&gt;V83,MIN(Y83,T83)-V83,0),'תחום תמיכה ג'!$Q$2))</f>
        <v/>
      </c>
      <c r="AA83" s="259"/>
      <c r="AB83" s="260" t="str">
        <f t="shared" si="3"/>
        <v/>
      </c>
      <c r="AC83" s="261"/>
      <c r="AD83" s="180"/>
      <c r="AE83" s="13" t="str">
        <f>IF($C83="","",IFERROR(VLOOKUP($C83,גיליון1!$A:$E,2,0),"לא הגיש בקשה שוטפת"))</f>
        <v>מוזאון העיצוב שוטף 2020</v>
      </c>
      <c r="AF83" s="13" t="str">
        <f>IF($C83="","",IFERROR(VLOOKUP($C83,גיליון1!$A:$E,3,0),"לא הגיש בקשה שוטפת"))</f>
        <v>חויב</v>
      </c>
      <c r="AG83" s="13" t="str">
        <f>IF($C83="","",IFERROR(VLOOKUP($C83,גיליון1!$A:$E,4,0),"לא הגיש בקשה שוטפת"))</f>
        <v>19-42-02-18</v>
      </c>
      <c r="AH83" s="13" t="str">
        <f>IF($C83="","",IFERROR(VLOOKUP($C83,גיליון1!$A:$E,5,0),"לא הגיש בקשה שוטפת"))</f>
        <v>מוזיאונים ואמנות פלס</v>
      </c>
      <c r="AI83" s="13">
        <f t="shared" si="2"/>
        <v>0</v>
      </c>
      <c r="AJ83"/>
      <c r="AK83" t="s">
        <v>37</v>
      </c>
    </row>
    <row r="84" spans="1:37" ht="86.25" x14ac:dyDescent="0.25">
      <c r="A84" s="54">
        <f>'הזנה לתנאי סף'!B84</f>
        <v>54</v>
      </c>
      <c r="B84" s="266">
        <f>IF($F84="","",'הזנה לתנאי סף'!C84)</f>
        <v>1001350298</v>
      </c>
      <c r="C84" s="266">
        <f>IF($F84="","",'הזנה לתנאי סף'!D84)</f>
        <v>1001268564</v>
      </c>
      <c r="D84" s="266">
        <f>IF($F84="","",'הזנה לתנאי סף'!E84)</f>
        <v>40000293</v>
      </c>
      <c r="E84" s="55">
        <f>IF($F84="","",'הזנה לתנאי סף'!F84)</f>
        <v>20000224</v>
      </c>
      <c r="F84" s="55" t="str">
        <f>IF('הזנה לתנאי סף'!BL84=1,'הזנה לתנאי סף'!G84,"")</f>
        <v>חולון</v>
      </c>
      <c r="G84" s="55" t="str">
        <f>IF($F84="","",'הזנה לתנאי סף'!H84)</f>
        <v>החברה לפיתוח תיאטרון מוזיקה אומנות ומחול חולון</v>
      </c>
      <c r="H84" s="55" t="str">
        <f>IF($F84="","",'הזנה לתנאי סף'!I84)</f>
        <v>ספרות</v>
      </c>
      <c r="I84" s="187">
        <f>IF($F84="","",'הזנה לתנאי סף'!R84)</f>
        <v>524913</v>
      </c>
      <c r="J84" s="187">
        <f>IF($F84="","",'תחום תמיכה א'!P84)</f>
        <v>768293</v>
      </c>
      <c r="K84" s="177">
        <f>IF($F84="","",'הזנה לתנאי סף'!N84)</f>
        <v>0</v>
      </c>
      <c r="L84" s="177">
        <f>IF($F84="","",'הזנה לתנאי סף'!O84)</f>
        <v>1</v>
      </c>
      <c r="M84" s="177">
        <f>IF($F84="","",'הזנה לתנאי סף'!Q84)</f>
        <v>1</v>
      </c>
      <c r="N84" s="187">
        <f>IF($F84="","",'תחום תמיכה א'!AE84)</f>
        <v>13420.898216404607</v>
      </c>
      <c r="O84" s="178"/>
      <c r="P84" s="187">
        <f>IF($F84="","",'תחום תמיכה ב'!AC84)</f>
        <v>9135.9597969975839</v>
      </c>
      <c r="Q84" s="187">
        <f>IF($F84="","",IF('תחום תמיכה ג'!O84="",0,'תחום תמיכה ג'!O84))</f>
        <v>0</v>
      </c>
      <c r="R84" s="187">
        <f t="shared" si="0"/>
        <v>273.94223184021394</v>
      </c>
      <c r="S84" s="187">
        <f>IF($F84="","",'תחום תמיכה ב'!AE84)</f>
        <v>9409.9020288377978</v>
      </c>
      <c r="T84" s="187">
        <f>IF($F84="","",IF(Q84='תחום תמיכה ג'!$Q$2,'תחום תמיכה ג'!$Q$2,IFERROR(SUMIF(N84:R84,"&gt;0"),'תחום תמיכה ג'!$Q$2)))</f>
        <v>22830.800245242404</v>
      </c>
      <c r="U84" s="187">
        <f>IF($F84="","",'הזנה לתנאי סף'!Y84)</f>
        <v>100000</v>
      </c>
      <c r="V84" s="269">
        <f>IF(F84="","",'הגבלה לסכום מבוקש '!AA84)</f>
        <v>24401.587478170281</v>
      </c>
      <c r="W84" s="187">
        <f t="shared" si="1"/>
        <v>6100.3968695425701</v>
      </c>
      <c r="X84" s="187">
        <f>IF(F84="","",'הזנה לתנאי סף'!Z84)</f>
        <v>100000</v>
      </c>
      <c r="Y84" s="237" t="str">
        <f>IFERROR(VLOOKUP(G84*1,#REF!,3,0),"")</f>
        <v/>
      </c>
      <c r="Z84" s="187" t="str">
        <f>IF(OR($F84="",Y84=""),"",IFERROR(IF(Y84&gt;V84,MIN(Y84,T84)-V84,0),'תחום תמיכה ג'!$Q$2))</f>
        <v/>
      </c>
      <c r="AA84" s="259"/>
      <c r="AB84" s="260" t="str">
        <f t="shared" si="3"/>
        <v/>
      </c>
      <c r="AC84" s="261"/>
      <c r="AD84" s="180"/>
      <c r="AE84" s="13" t="str">
        <f>IF($C84="","",IFERROR(VLOOKUP($C84,גיליון1!$A:$E,2,0),"לא הגיש בקשה שוטפת"))</f>
        <v>תן למילים 2020</v>
      </c>
      <c r="AF84" s="13" t="str">
        <f>IF($C84="","",IFERROR(VLOOKUP($C84,גיליון1!$A:$E,3,0),"לא הגיש בקשה שוטפת"))</f>
        <v>מועד</v>
      </c>
      <c r="AG84" s="13" t="str">
        <f>IF($C84="","",IFERROR(VLOOKUP($C84,גיליון1!$A:$E,4,0),"לא הגיש בקשה שוטפת"))</f>
        <v>19-42-02-22</v>
      </c>
      <c r="AH84" s="13" t="str">
        <f>IF($C84="","",IFERROR(VLOOKUP($C84,גיליון1!$A:$E,5,0),"לא הגיש בקשה שוטפת"))</f>
        <v>ספרות</v>
      </c>
      <c r="AI84" s="13">
        <f t="shared" si="2"/>
        <v>0</v>
      </c>
      <c r="AJ84"/>
      <c r="AK84" t="s">
        <v>36</v>
      </c>
    </row>
    <row r="85" spans="1:37" ht="86.25" x14ac:dyDescent="0.25">
      <c r="A85" s="54">
        <f>'הזנה לתנאי סף'!B85</f>
        <v>55</v>
      </c>
      <c r="B85" s="266">
        <f>IF($F85="","",'הזנה לתנאי סף'!C85)</f>
        <v>1001350320</v>
      </c>
      <c r="C85" s="266">
        <f>IF($F85="","",'הזנה לתנאי סף'!D85)</f>
        <v>1001268529</v>
      </c>
      <c r="D85" s="266">
        <f>IF($F85="","",'הזנה לתנאי סף'!E85)</f>
        <v>40000293</v>
      </c>
      <c r="E85" s="55">
        <f>IF($F85="","",'הזנה לתנאי סף'!F85)</f>
        <v>20000224</v>
      </c>
      <c r="F85" s="55" t="str">
        <f>IF('הזנה לתנאי סף'!BL85=1,'הזנה לתנאי סף'!G85,"")</f>
        <v>חולון</v>
      </c>
      <c r="G85" s="55" t="str">
        <f>IF($F85="","",'הזנה לתנאי סף'!H85)</f>
        <v>החברה לפיתוח תיאטרון מוזיקה אומנות ומחול חולון</v>
      </c>
      <c r="H85" s="55" t="str">
        <f>IF($F85="","",'הזנה לתנאי סף'!I85)</f>
        <v>מוזיאונים</v>
      </c>
      <c r="I85" s="187">
        <f>IF($F85="","",'הזנה לתנאי סף'!R85)</f>
        <v>1718436</v>
      </c>
      <c r="J85" s="187">
        <f>IF($F85="","",'תחום תמיכה א'!P85)</f>
        <v>2470658</v>
      </c>
      <c r="K85" s="177">
        <f>IF($F85="","",'הזנה לתנאי סף'!N85)</f>
        <v>0</v>
      </c>
      <c r="L85" s="177">
        <f>IF($F85="","",'הזנה לתנאי סף'!O85)</f>
        <v>1</v>
      </c>
      <c r="M85" s="177">
        <f>IF($F85="","",'הזנה לתנאי סף'!Q85)</f>
        <v>1</v>
      </c>
      <c r="N85" s="187">
        <f>IF($F85="","",'תחום תמיכה א'!AE85)</f>
        <v>42454.995085317692</v>
      </c>
      <c r="O85" s="178"/>
      <c r="P85" s="187">
        <f>IF($F85="","",'תחום תמיכה ב'!AC85)</f>
        <v>28941.639227069267</v>
      </c>
      <c r="Q85" s="187">
        <f>IF($F85="","",IF('תחום תמיכה ג'!O85="",0,'תחום תמיכה ג'!O85))</f>
        <v>0</v>
      </c>
      <c r="R85" s="187">
        <f t="shared" si="0"/>
        <v>867.81656433987519</v>
      </c>
      <c r="S85" s="187">
        <f>IF($F85="","",'תחום תמיכה ב'!AE85)</f>
        <v>29809.455791409142</v>
      </c>
      <c r="T85" s="187">
        <f>IF($F85="","",IF(Q85='תחום תמיכה ג'!$Q$2,'תחום תמיכה ג'!$Q$2,IFERROR(SUMIF(N85:R85,"&gt;0"),'תחום תמיכה ג'!$Q$2)))</f>
        <v>72264.450876726827</v>
      </c>
      <c r="U85" s="187">
        <f>IF($F85="","",'הזנה לתנאי סף'!Y85)</f>
        <v>200000</v>
      </c>
      <c r="V85" s="269">
        <f>IF(F85="","",'הגבלה לסכום מבוקש '!AA85)</f>
        <v>77240.491205124432</v>
      </c>
      <c r="W85" s="187">
        <f t="shared" si="1"/>
        <v>19310.122801281108</v>
      </c>
      <c r="X85" s="187">
        <f>IF(F85="","",'הזנה לתנאי סף'!Z85)</f>
        <v>200000</v>
      </c>
      <c r="Y85" s="237" t="str">
        <f>IFERROR(VLOOKUP(G85*1,#REF!,3,0),"")</f>
        <v/>
      </c>
      <c r="Z85" s="187" t="str">
        <f>IF(OR($F85="",Y85=""),"",IFERROR(IF(Y85&gt;V85,MIN(Y85,T85)-V85,0),'תחום תמיכה ג'!$Q$2))</f>
        <v/>
      </c>
      <c r="AA85" s="259"/>
      <c r="AB85" s="260" t="str">
        <f t="shared" si="3"/>
        <v/>
      </c>
      <c r="AC85" s="261"/>
      <c r="AD85" s="180"/>
      <c r="AE85" s="13" t="str">
        <f>IF($C85="","",IFERROR(VLOOKUP($C85,גיליון1!$A:$E,2,0),"לא הגיש בקשה שוטפת"))</f>
        <v>מוזאון הקומיקס שוטף 2020</v>
      </c>
      <c r="AF85" s="13" t="str">
        <f>IF($C85="","",IFERROR(VLOOKUP($C85,גיליון1!$A:$E,3,0),"לא הגיש בקשה שוטפת"))</f>
        <v>חויב</v>
      </c>
      <c r="AG85" s="13" t="str">
        <f>IF($C85="","",IFERROR(VLOOKUP($C85,גיליון1!$A:$E,4,0),"לא הגיש בקשה שוטפת"))</f>
        <v>19-42-02-18</v>
      </c>
      <c r="AH85" s="13" t="str">
        <f>IF($C85="","",IFERROR(VLOOKUP($C85,גיליון1!$A:$E,5,0),"לא הגיש בקשה שוטפת"))</f>
        <v>מוזיאונים ואמנות פלס</v>
      </c>
      <c r="AI85" s="13">
        <f t="shared" si="2"/>
        <v>0</v>
      </c>
      <c r="AJ85"/>
      <c r="AK85" t="s">
        <v>230</v>
      </c>
    </row>
    <row r="86" spans="1:37" ht="86.25" x14ac:dyDescent="0.25">
      <c r="A86" s="54">
        <f>'הזנה לתנאי סף'!B86</f>
        <v>56</v>
      </c>
      <c r="B86" s="266">
        <f>IF($F86="","",'הזנה לתנאי סף'!C86)</f>
        <v>1001350327</v>
      </c>
      <c r="C86" s="266">
        <f>IF($F86="","",'הזנה לתנאי סף'!D86)</f>
        <v>1001268562</v>
      </c>
      <c r="D86" s="266">
        <f>IF($F86="","",'הזנה לתנאי סף'!E86)</f>
        <v>40000293</v>
      </c>
      <c r="E86" s="55">
        <f>IF($F86="","",'הזנה לתנאי סף'!F86)</f>
        <v>20000224</v>
      </c>
      <c r="F86" s="55" t="str">
        <f>IF('הזנה לתנאי סף'!BL86=1,'הזנה לתנאי סף'!G86,"")</f>
        <v>חולון</v>
      </c>
      <c r="G86" s="55" t="str">
        <f>IF($F86="","",'הזנה לתנאי סף'!H86)</f>
        <v>החברה לפיתוח תיאטרון מוזיקה אומנות ומחול חולון</v>
      </c>
      <c r="H86" s="55" t="str">
        <f>IF($F86="","",'הזנה לתנאי סף'!I86)</f>
        <v>סינמטקים ופסטיבלים</v>
      </c>
      <c r="I86" s="187">
        <f>IF($F86="","",'הזנה לתנאי סף'!R86)</f>
        <v>2262960</v>
      </c>
      <c r="J86" s="187">
        <f>IF($F86="","",'תחום תמיכה א'!P86)</f>
        <v>3875067</v>
      </c>
      <c r="K86" s="177">
        <f>IF($F86="","",'הזנה לתנאי סף'!N86)</f>
        <v>0</v>
      </c>
      <c r="L86" s="177">
        <f>IF($F86="","",'הזנה לתנאי סף'!O86)</f>
        <v>1</v>
      </c>
      <c r="M86" s="177">
        <f>IF($F86="","",'הזנה לתנאי סף'!Q86)</f>
        <v>1</v>
      </c>
      <c r="N86" s="187">
        <f>IF($F86="","",'תחום תמיכה א'!AE86)</f>
        <v>142292.18115465244</v>
      </c>
      <c r="O86" s="178"/>
      <c r="P86" s="187">
        <f>IF($F86="","",'תחום תמיכה ב'!AC86)</f>
        <v>174035.54485720824</v>
      </c>
      <c r="Q86" s="187">
        <f>IF($F86="","",IF('תחום תמיכה ג'!O86="",0,'תחום תמיכה ג'!O86))</f>
        <v>0</v>
      </c>
      <c r="R86" s="187">
        <f t="shared" si="0"/>
        <v>5218.464905392786</v>
      </c>
      <c r="S86" s="187">
        <f>IF($F86="","",'תחום תמיכה ב'!AE86)</f>
        <v>179254.00976260102</v>
      </c>
      <c r="T86" s="187">
        <f>IF($F86="","",IF(Q86='תחום תמיכה ג'!$Q$2,'תחום תמיכה ג'!$Q$2,IFERROR(SUMIF(N86:R86,"&gt;0"),'תחום תמיכה ג'!$Q$2)))</f>
        <v>321546.19091725344</v>
      </c>
      <c r="U86" s="187">
        <f>IF($F86="","",'הזנה לתנאי סף'!Y86)</f>
        <v>800000</v>
      </c>
      <c r="V86" s="269">
        <f>IF(F86="","",'הגבלה לסכום מבוקש '!AA86)</f>
        <v>351417.29579050216</v>
      </c>
      <c r="W86" s="187">
        <f t="shared" si="1"/>
        <v>87854.32394762554</v>
      </c>
      <c r="X86" s="187">
        <f>IF(F86="","",'הזנה לתנאי סף'!Z86)</f>
        <v>800000</v>
      </c>
      <c r="Y86" s="237" t="str">
        <f>IFERROR(VLOOKUP(G86*1,#REF!,3,0),"")</f>
        <v/>
      </c>
      <c r="Z86" s="187" t="str">
        <f>IF(OR($F86="",Y86=""),"",IFERROR(IF(Y86&gt;V86,MIN(Y86,T86)-V86,0),'תחום תמיכה ג'!$Q$2))</f>
        <v/>
      </c>
      <c r="AA86" s="259"/>
      <c r="AB86" s="260" t="str">
        <f t="shared" si="3"/>
        <v/>
      </c>
      <c r="AC86" s="261"/>
      <c r="AD86" s="180"/>
      <c r="AE86" s="13" t="str">
        <f>IF($C86="","",IFERROR(VLOOKUP($C86,גיליון1!$A:$E,2,0),"לא הגיש בקשה שוטפת"))</f>
        <v>סינמטק שוטף 2020</v>
      </c>
      <c r="AF86" s="13" t="str">
        <f>IF($C86="","",IFERROR(VLOOKUP($C86,גיליון1!$A:$E,3,0),"לא הגיש בקשה שוטפת"))</f>
        <v>מועד</v>
      </c>
      <c r="AG86" s="13" t="str">
        <f>IF($C86="","",IFERROR(VLOOKUP($C86,גיליון1!$A:$E,4,0),"לא הגיש בקשה שוטפת"))</f>
        <v>19-42-02-28</v>
      </c>
      <c r="AH86" s="13" t="str">
        <f>IF($C86="","",IFERROR(VLOOKUP($C86,גיליון1!$A:$E,5,0),"לא הגיש בקשה שוטפת"))</f>
        <v>חוק  הקולנוע</v>
      </c>
      <c r="AI86" s="13">
        <f t="shared" si="2"/>
        <v>0</v>
      </c>
      <c r="AJ86"/>
      <c r="AK86" t="s">
        <v>39</v>
      </c>
    </row>
    <row r="87" spans="1:37" ht="29.25" x14ac:dyDescent="0.25">
      <c r="A87" s="54">
        <f>'הזנה לתנאי סף'!B87</f>
        <v>57</v>
      </c>
      <c r="B87" s="266">
        <f>IF($F87="","",'הזנה לתנאי סף'!C87)</f>
        <v>1001350660</v>
      </c>
      <c r="C87" s="266">
        <f>IF($F87="","",'הזנה לתנאי סף'!D87)</f>
        <v>1001269476</v>
      </c>
      <c r="D87" s="266">
        <f>IF($F87="","",'הזנה לתנאי סף'!E87)</f>
        <v>40000373</v>
      </c>
      <c r="E87" s="55">
        <f>IF($F87="","",'הזנה לתנאי סף'!F87)</f>
        <v>20000254</v>
      </c>
      <c r="F87" s="55" t="str">
        <f>IF('הזנה לתנאי סף'!BL87=1,'הזנה לתנאי סף'!G87,"")</f>
        <v>באר שבע</v>
      </c>
      <c r="G87" s="55" t="str">
        <f>IF($F87="","",'הזנה לתנאי סף'!H87)</f>
        <v>תיאטרון באר שבע</v>
      </c>
      <c r="H87" s="55" t="str">
        <f>IF($F87="","",'הזנה לתנאי סף'!I87)</f>
        <v>תיאטרון</v>
      </c>
      <c r="I87" s="187">
        <f>IF($F87="","",'הזנה לתנאי סף'!R87)</f>
        <v>30338137</v>
      </c>
      <c r="J87" s="187">
        <f>IF($F87="","",'תחום תמיכה א'!P87)</f>
        <v>34731132</v>
      </c>
      <c r="K87" s="177">
        <f>IF($F87="","",'הזנה לתנאי סף'!N87)</f>
        <v>1</v>
      </c>
      <c r="L87" s="177">
        <f>IF($F87="","",'הזנה לתנאי סף'!O87)</f>
        <v>1</v>
      </c>
      <c r="M87" s="177">
        <f>IF($F87="","",'הזנה לתנאי סף'!Q87)</f>
        <v>1</v>
      </c>
      <c r="N87" s="187">
        <f>IF($F87="","",'תחום תמיכה א'!AE87)</f>
        <v>918542.64019054431</v>
      </c>
      <c r="O87" s="178"/>
      <c r="P87" s="187">
        <f>IF($F87="","",'תחום תמיכה ב'!AC87)</f>
        <v>1210339.2376620863</v>
      </c>
      <c r="Q87" s="187">
        <f>IF($F87="","",IF('תחום תמיכה ג'!O87="",0,'תחום תמיכה ג'!O87))</f>
        <v>15269.438179956118</v>
      </c>
      <c r="R87" s="187">
        <f t="shared" si="0"/>
        <v>36292.085277991137</v>
      </c>
      <c r="S87" s="187">
        <f>IF($F87="","",'תחום תמיכה ב'!AE87)</f>
        <v>1246631.3229400774</v>
      </c>
      <c r="T87" s="187">
        <f>IF($F87="","",IF(Q87='תחום תמיכה ג'!$Q$2,'תחום תמיכה ג'!$Q$2,IFERROR(SUMIF(N87:R87,"&gt;0"),'תחום תמיכה ג'!$Q$2)))</f>
        <v>2180443.401310578</v>
      </c>
      <c r="U87" s="187">
        <f>IF($F87="","",'הזנה לתנאי סף'!Y87)</f>
        <v>5000000</v>
      </c>
      <c r="V87" s="269">
        <f>IF(F87="","",'הגבלה לסכום מבוקש '!AA87)</f>
        <v>2388158.160058727</v>
      </c>
      <c r="W87" s="187">
        <f t="shared" si="1"/>
        <v>597039.54001468176</v>
      </c>
      <c r="X87" s="187">
        <f>IF(F87="","",'הזנה לתנאי סף'!Z87)</f>
        <v>1000000</v>
      </c>
      <c r="Y87" s="237" t="str">
        <f>IFERROR(VLOOKUP(G87*1,#REF!,3,0),"")</f>
        <v/>
      </c>
      <c r="Z87" s="187" t="str">
        <f>IF(OR($F87="",Y87=""),"",IFERROR(IF(Y87&gt;V87,MIN(Y87,T87)-V87,0),'תחום תמיכה ג'!$Q$2))</f>
        <v/>
      </c>
      <c r="AA87" s="259"/>
      <c r="AB87" s="260" t="str">
        <f t="shared" si="3"/>
        <v/>
      </c>
      <c r="AC87" s="261"/>
      <c r="AD87" s="180"/>
      <c r="AE87" s="13" t="str">
        <f>IF($C87="","",IFERROR(VLOOKUP($C87,גיליון1!$A:$E,2,0),"לא הגיש בקשה שוטפת"))</f>
        <v>תמיכה שוטפת לשנת 2020</v>
      </c>
      <c r="AF87" s="13" t="str">
        <f>IF($C87="","",IFERROR(VLOOKUP($C87,גיליון1!$A:$E,3,0),"לא הגיש בקשה שוטפת"))</f>
        <v>חויב</v>
      </c>
      <c r="AG87" s="13" t="str">
        <f>IF($C87="","",IFERROR(VLOOKUP($C87,גיליון1!$A:$E,4,0),"לא הגיש בקשה שוטפת"))</f>
        <v>19-42-02-07</v>
      </c>
      <c r="AH87" s="13" t="str">
        <f>IF($C87="","",IFERROR(VLOOKUP($C87,גיליון1!$A:$E,5,0),"לא הגיש בקשה שוטפת"))</f>
        <v>תיאטרון</v>
      </c>
      <c r="AI87" s="13">
        <f t="shared" si="2"/>
        <v>0</v>
      </c>
      <c r="AJ87"/>
      <c r="AK87" t="s">
        <v>42</v>
      </c>
    </row>
    <row r="88" spans="1:37" ht="43.5" x14ac:dyDescent="0.25">
      <c r="A88" s="54">
        <f>'הזנה לתנאי סף'!B88</f>
        <v>58</v>
      </c>
      <c r="B88" s="266">
        <f>IF($F88="","",'הזנה לתנאי סף'!C88)</f>
        <v>1001348833</v>
      </c>
      <c r="C88" s="266">
        <f>IF($F88="","",'הזנה לתנאי סף'!D88)</f>
        <v>1001279924</v>
      </c>
      <c r="D88" s="266">
        <f>IF($F88="","",'הזנה לתנאי סף'!E88)</f>
        <v>40000399</v>
      </c>
      <c r="E88" s="55">
        <f>IF($F88="","",'הזנה לתנאי סף'!F88)</f>
        <v>20000159</v>
      </c>
      <c r="F88" s="55" t="str">
        <f>IF('הזנה לתנאי סף'!BL88=1,'הזנה לתנאי סף'!G88,"")</f>
        <v>ירושלים</v>
      </c>
      <c r="G88" s="55" t="str">
        <f>IF($F88="","",'הזנה לתנאי סף'!H88)</f>
        <v>הקאמרטה הישראלית ירושלים</v>
      </c>
      <c r="H88" s="55" t="str">
        <f>IF($F88="","",'הזנה לתנאי סף'!I88)</f>
        <v>מוסיקה-גופים כליים</v>
      </c>
      <c r="I88" s="187">
        <f>IF($F88="","",'הזנה לתנאי סף'!R88)</f>
        <v>10030000</v>
      </c>
      <c r="J88" s="187">
        <f>IF($F88="","",'תחום תמיכה א'!P88)</f>
        <v>9980000</v>
      </c>
      <c r="K88" s="177">
        <f>IF($F88="","",'הזנה לתנאי סף'!N88)</f>
        <v>1</v>
      </c>
      <c r="L88" s="177">
        <f>IF($F88="","",'הזנה לתנאי סף'!O88)</f>
        <v>1</v>
      </c>
      <c r="M88" s="177">
        <f>IF($F88="","",'הזנה לתנאי סף'!Q88)</f>
        <v>1</v>
      </c>
      <c r="N88" s="187">
        <f>IF($F88="","",'תחום תמיכה א'!AE88)</f>
        <v>231927.4754292318</v>
      </c>
      <c r="O88" s="178"/>
      <c r="P88" s="187">
        <f>IF($F88="","",'תחום תמיכה ב'!AC88)</f>
        <v>308959.59709066455</v>
      </c>
      <c r="Q88" s="187">
        <f>IF($F88="","",IF('תחום תמיכה ג'!O88="",0,'תחום תמיכה ג'!O88))</f>
        <v>53409.345142058992</v>
      </c>
      <c r="R88" s="187">
        <f t="shared" si="0"/>
        <v>9264.1696610010113</v>
      </c>
      <c r="S88" s="187">
        <f>IF($F88="","",'תחום תמיכה ב'!AE88)</f>
        <v>318223.76675166556</v>
      </c>
      <c r="T88" s="187">
        <f>IF($F88="","",IF(Q88='תחום תמיכה ג'!$Q$2,'תחום תמיכה ג'!$Q$2,IFERROR(SUMIF(N88:R88,"&gt;0"),'תחום תמיכה ג'!$Q$2)))</f>
        <v>603560.58732295642</v>
      </c>
      <c r="U88" s="187">
        <f>IF($F88="","",'הזנה לתנאי סף'!Y88)</f>
        <v>2400000</v>
      </c>
      <c r="V88" s="269">
        <f>IF(F88="","",'הגבלה לסכום מבוקש '!AA88)</f>
        <v>656604.68340445694</v>
      </c>
      <c r="W88" s="187">
        <f t="shared" si="1"/>
        <v>164151.17085111424</v>
      </c>
      <c r="X88" s="187">
        <f>IF(F88="","",'הזנה לתנאי סף'!Z88)</f>
        <v>50000</v>
      </c>
      <c r="Y88" s="237" t="str">
        <f>IFERROR(VLOOKUP(G88*1,#REF!,3,0),"")</f>
        <v/>
      </c>
      <c r="Z88" s="187" t="str">
        <f>IF(OR($F88="",Y88=""),"",IFERROR(IF(Y88&gt;V88,MIN(Y88,T88)-V88,0),'תחום תמיכה ג'!$Q$2))</f>
        <v/>
      </c>
      <c r="AA88" s="259"/>
      <c r="AB88" s="260" t="str">
        <f t="shared" si="3"/>
        <v/>
      </c>
      <c r="AC88" s="261"/>
      <c r="AD88" s="180"/>
      <c r="AE88" s="13" t="str">
        <f>IF($C88="","",IFERROR(VLOOKUP($C88,גיליון1!$A:$E,2,0),"לא הגיש בקשה שוטפת"))</f>
        <v>תמיכה בתזמורת קאמרית- הקאמרטה י-ם</v>
      </c>
      <c r="AF88" s="13" t="str">
        <f>IF($C88="","",IFERROR(VLOOKUP($C88,גיליון1!$A:$E,3,0),"לא הגיש בקשה שוטפת"))</f>
        <v>חויב</v>
      </c>
      <c r="AG88" s="13" t="str">
        <f>IF($C88="","",IFERROR(VLOOKUP($C88,גיליון1!$A:$E,4,0),"לא הגיש בקשה שוטפת"))</f>
        <v>19-42-02-16</v>
      </c>
      <c r="AH88" s="13" t="str">
        <f>IF($C88="","",IFERROR(VLOOKUP($C88,גיליון1!$A:$E,5,0),"לא הגיש בקשה שוטפת"))</f>
        <v>מוסיקה</v>
      </c>
      <c r="AI88" s="13">
        <f t="shared" si="2"/>
        <v>0</v>
      </c>
      <c r="AJ88"/>
      <c r="AK88" t="s">
        <v>43</v>
      </c>
    </row>
    <row r="89" spans="1:37" ht="29.25" x14ac:dyDescent="0.25">
      <c r="A89" s="54">
        <f>'הזנה לתנאי סף'!B89</f>
        <v>59</v>
      </c>
      <c r="B89" s="266">
        <f>IF($F89="","",'הזנה לתנאי סף'!C89)</f>
        <v>1001349874</v>
      </c>
      <c r="C89" s="266">
        <f>IF($F89="","",'הזנה לתנאי סף'!D89)</f>
        <v>1001269409</v>
      </c>
      <c r="D89" s="266">
        <f>IF($F89="","",'הזנה לתנאי סף'!E89)</f>
        <v>40000299</v>
      </c>
      <c r="E89" s="55">
        <f>IF($F89="","",'הזנה לתנאי סף'!F89)</f>
        <v>20000201</v>
      </c>
      <c r="F89" s="55" t="str">
        <f>IF('הזנה לתנאי סף'!BL89=1,'הזנה לתנאי סף'!G89,"")</f>
        <v>תל אביב -יפו</v>
      </c>
      <c r="G89" s="55" t="str">
        <f>IF($F89="","",'הזנה לתנאי סף'!H89)</f>
        <v>מוזיאון ארץ ישראל ת"א</v>
      </c>
      <c r="H89" s="55" t="str">
        <f>IF($F89="","",'הזנה לתנאי סף'!I89)</f>
        <v>מוזיאונים</v>
      </c>
      <c r="I89" s="187">
        <f>IF($F89="","",'הזנה לתנאי סף'!R89)</f>
        <v>31843000</v>
      </c>
      <c r="J89" s="187">
        <f>IF($F89="","",'תחום תמיכה א'!P89)</f>
        <v>31933000</v>
      </c>
      <c r="K89" s="177">
        <f>IF($F89="","",'הזנה לתנאי סף'!N89)</f>
        <v>1</v>
      </c>
      <c r="L89" s="177">
        <f>IF($F89="","",'הזנה לתנאי סף'!O89)</f>
        <v>1</v>
      </c>
      <c r="M89" s="177">
        <f>IF($F89="","",'הזנה לתנאי סף'!Q89)</f>
        <v>1</v>
      </c>
      <c r="N89" s="187">
        <f>IF($F89="","",'תחום תמיכה א'!AE89)</f>
        <v>766040.76167619159</v>
      </c>
      <c r="O89" s="178"/>
      <c r="P89" s="187">
        <f>IF($F89="","",'תחום תמיכה ב'!AC89)</f>
        <v>1045191.1699937843</v>
      </c>
      <c r="Q89" s="187">
        <f>IF($F89="","",IF('תחום תמיכה ג'!O89="",0,'תחום תמיכה ג'!O89))</f>
        <v>438293.3597211283</v>
      </c>
      <c r="R89" s="187">
        <f t="shared" si="0"/>
        <v>31340.111840452533</v>
      </c>
      <c r="S89" s="187">
        <f>IF($F89="","",'תחום תמיכה ב'!AE89)</f>
        <v>1076531.2818342368</v>
      </c>
      <c r="T89" s="187">
        <f>IF($F89="","",IF(Q89='תחום תמיכה ג'!$Q$2,'תחום תמיכה ג'!$Q$2,IFERROR(SUMIF(N89:R89,"&gt;0"),'תחום תמיכה ג'!$Q$2)))</f>
        <v>2280865.4032315565</v>
      </c>
      <c r="U89" s="187">
        <f>IF($F89="","",'הזנה לתנאי סף'!Y89)</f>
        <v>2500000</v>
      </c>
      <c r="V89" s="269">
        <f>IF(F89="","",'הגבלה לסכום מבוקש '!AA89)</f>
        <v>2460419.1421267339</v>
      </c>
      <c r="W89" s="187">
        <f t="shared" si="1"/>
        <v>615104.78553168348</v>
      </c>
      <c r="X89" s="187">
        <f>IF(F89="","",'הזנה לתנאי סף'!Z89)</f>
        <v>2500000</v>
      </c>
      <c r="Y89" s="237" t="str">
        <f>IFERROR(VLOOKUP(G89*1,#REF!,3,0),"")</f>
        <v/>
      </c>
      <c r="Z89" s="187" t="str">
        <f>IF(OR($F89="",Y89=""),"",IFERROR(IF(Y89&gt;V89,MIN(Y89,T89)-V89,0),'תחום תמיכה ג'!$Q$2))</f>
        <v/>
      </c>
      <c r="AA89" s="259"/>
      <c r="AB89" s="260" t="str">
        <f t="shared" si="3"/>
        <v/>
      </c>
      <c r="AC89" s="261"/>
      <c r="AD89" s="180"/>
      <c r="AE89" s="13" t="str">
        <f>IF($C89="","",IFERROR(VLOOKUP($C89,גיליון1!$A:$E,2,0),"לא הגיש בקשה שוטפת"))</f>
        <v>תמיכה שוטפת לשנת 2020</v>
      </c>
      <c r="AF89" s="13" t="str">
        <f>IF($C89="","",IFERROR(VLOOKUP($C89,גיליון1!$A:$E,3,0),"לא הגיש בקשה שוטפת"))</f>
        <v>חויב</v>
      </c>
      <c r="AG89" s="13" t="str">
        <f>IF($C89="","",IFERROR(VLOOKUP($C89,גיליון1!$A:$E,4,0),"לא הגיש בקשה שוטפת"))</f>
        <v>19-42-02-18</v>
      </c>
      <c r="AH89" s="13" t="str">
        <f>IF($C89="","",IFERROR(VLOOKUP($C89,גיליון1!$A:$E,5,0),"לא הגיש בקשה שוטפת"))</f>
        <v>מוזיאונים ואמנות פלס</v>
      </c>
      <c r="AI89" s="13">
        <f t="shared" si="2"/>
        <v>0</v>
      </c>
      <c r="AJ89"/>
      <c r="AK89" t="s">
        <v>45</v>
      </c>
    </row>
    <row r="90" spans="1:37" ht="43.5" x14ac:dyDescent="0.25">
      <c r="A90" s="54">
        <f>'הזנה לתנאי סף'!B90</f>
        <v>60</v>
      </c>
      <c r="B90" s="266">
        <f>IF($F90="","",'הזנה לתנאי סף'!C90)</f>
        <v>1001351086</v>
      </c>
      <c r="C90" s="266">
        <f>IF($F90="","",'הזנה לתנאי סף'!D90)</f>
        <v>1001263868</v>
      </c>
      <c r="D90" s="266">
        <f>IF($F90="","",'הזנה לתנאי סף'!E90)</f>
        <v>40000490</v>
      </c>
      <c r="E90" s="55">
        <f>IF($F90="","",'הזנה לתנאי סף'!F90)</f>
        <v>20000201</v>
      </c>
      <c r="F90" s="55" t="str">
        <f>IF('הזנה לתנאי סף'!BL90=1,'הזנה לתנאי סף'!G90,"")</f>
        <v>תל אביב -יפו</v>
      </c>
      <c r="G90" s="55" t="str">
        <f>IF($F90="","",'הזנה לתנאי סף'!H90)</f>
        <v>המקהלה הקאמרית תל אביב</v>
      </c>
      <c r="H90" s="55" t="str">
        <f>IF($F90="","",'הזנה לתנאי סף'!I90)</f>
        <v>מקהלות</v>
      </c>
      <c r="I90" s="187">
        <f>IF($F90="","",'הזנה לתנאי סף'!R90)</f>
        <v>131113</v>
      </c>
      <c r="J90" s="187">
        <f>IF($F90="","",'תחום תמיכה א'!P90)</f>
        <v>155293</v>
      </c>
      <c r="K90" s="177">
        <f>IF($F90="","",'הזנה לתנאי סף'!N90)</f>
        <v>1</v>
      </c>
      <c r="L90" s="177">
        <f>IF($F90="","",'הזנה לתנאי סף'!O90)</f>
        <v>1</v>
      </c>
      <c r="M90" s="177">
        <f>IF($F90="","",'הזנה לתנאי סף'!Q90)</f>
        <v>1</v>
      </c>
      <c r="N90" s="187">
        <f>IF($F90="","",'תחום תמיכה א'!AE90)</f>
        <v>3450.1735567809196</v>
      </c>
      <c r="O90" s="178"/>
      <c r="P90" s="187">
        <f>IF($F90="","",'תחום תמיכה ב'!AC90)</f>
        <v>3691.3167871576338</v>
      </c>
      <c r="Q90" s="187">
        <f>IF($F90="","",IF('תחום תמיכה ג'!O90="",0,'תחום תמיכה ג'!O90))</f>
        <v>1547.9270040598813</v>
      </c>
      <c r="R90" s="187">
        <f t="shared" si="0"/>
        <v>110.68432672345307</v>
      </c>
      <c r="S90" s="187">
        <f>IF($F90="","",'תחום תמיכה ב'!AE90)</f>
        <v>3802.0011138810869</v>
      </c>
      <c r="T90" s="187">
        <f>IF($F90="","",IF(Q90='תחום תמיכה ג'!$Q$2,'תחום תמיכה ג'!$Q$2,IFERROR(SUMIF(N90:R90,"&gt;0"),'תחום תמיכה ג'!$Q$2)))</f>
        <v>8800.1016747218873</v>
      </c>
      <c r="U90" s="187">
        <f>IF($F90="","",'הזנה לתנאי סף'!Y90)</f>
        <v>120000</v>
      </c>
      <c r="V90" s="269">
        <f>IF(F90="","",'הגבלה לסכום מבוקש '!AA90)</f>
        <v>9434.573312034945</v>
      </c>
      <c r="W90" s="187">
        <f t="shared" si="1"/>
        <v>2358.6433280087363</v>
      </c>
      <c r="X90" s="187">
        <f>IF(F90="","",'הזנה לתנאי סף'!Z90)</f>
        <v>120000</v>
      </c>
      <c r="Y90" s="237" t="str">
        <f>IFERROR(VLOOKUP(G90*1,#REF!,3,0),"")</f>
        <v/>
      </c>
      <c r="Z90" s="187" t="str">
        <f>IF(OR($F90="",Y90=""),"",IFERROR(IF(Y90&gt;V90,MIN(Y90,T90)-V90,0),'תחום תמיכה ג'!$Q$2))</f>
        <v/>
      </c>
      <c r="AA90" s="259"/>
      <c r="AB90" s="260" t="str">
        <f t="shared" si="3"/>
        <v/>
      </c>
      <c r="AC90" s="261"/>
      <c r="AD90" s="180"/>
      <c r="AE90" s="13" t="str">
        <f>IF($C90="","",IFERROR(VLOOKUP($C90,גיליון1!$A:$E,2,0),"לא הגיש בקשה שוטפת"))</f>
        <v>תמיכה 2020</v>
      </c>
      <c r="AF90" s="13" t="str">
        <f>IF($C90="","",IFERROR(VLOOKUP($C90,גיליון1!$A:$E,3,0),"לא הגיש בקשה שוטפת"))</f>
        <v>טיוט</v>
      </c>
      <c r="AG90" s="13" t="str">
        <f>IF($C90="","",IFERROR(VLOOKUP($C90,גיליון1!$A:$E,4,0),"לא הגיש בקשה שוטפת"))</f>
        <v>19-42-02-16</v>
      </c>
      <c r="AH90" s="13" t="str">
        <f>IF($C90="","",IFERROR(VLOOKUP($C90,גיליון1!$A:$E,5,0),"לא הגיש בקשה שוטפת"))</f>
        <v>מוסיקה</v>
      </c>
      <c r="AI90" s="13">
        <f t="shared" si="2"/>
        <v>0</v>
      </c>
      <c r="AJ90"/>
      <c r="AK90" t="s">
        <v>46</v>
      </c>
    </row>
    <row r="91" spans="1:37" ht="43.5" x14ac:dyDescent="0.25">
      <c r="A91" s="54">
        <f>'הזנה לתנאי סף'!B91</f>
        <v>61</v>
      </c>
      <c r="B91" s="266">
        <f>IF($F91="","",'הזנה לתנאי סף'!C91)</f>
        <v>1001350880</v>
      </c>
      <c r="C91" s="266">
        <f>IF($F91="","",'הזנה לתנאי סף'!D91)</f>
        <v>1001265925</v>
      </c>
      <c r="D91" s="266">
        <f>IF($F91="","",'הזנה לתנאי סף'!E91)</f>
        <v>40000016</v>
      </c>
      <c r="E91" s="55">
        <f>IF($F91="","",'הזנה לתנאי סף'!F91)</f>
        <v>20000015</v>
      </c>
      <c r="F91" s="55" t="str">
        <f>IF('הזנה לתנאי סף'!BL91=1,'הזנה לתנאי סף'!G91,"")</f>
        <v>מצפה רמון</v>
      </c>
      <c r="G91" s="55" t="str">
        <f>IF($F91="","",'הזנה לתנאי סף'!H91)</f>
        <v>מרכז תרבות מצפה רמון</v>
      </c>
      <c r="H91" s="55" t="str">
        <f>IF($F91="","",'הזנה לתנאי סף'!I91)</f>
        <v>סינמטקים ופסטיבלים</v>
      </c>
      <c r="I91" s="187">
        <f>IF($F91="","",'הזנה לתנאי סף'!R91)</f>
        <v>55000</v>
      </c>
      <c r="J91" s="187">
        <f>IF($F91="","",'תחום תמיכה א'!P91)</f>
        <v>55000</v>
      </c>
      <c r="K91" s="177">
        <f>IF($F91="","",'הזנה לתנאי סף'!N91)</f>
        <v>0</v>
      </c>
      <c r="L91" s="177">
        <f>IF($F91="","",'הזנה לתנאי סף'!O91)</f>
        <v>1</v>
      </c>
      <c r="M91" s="177">
        <f>IF($F91="","",'הזנה לתנאי סף'!Q91)</f>
        <v>1</v>
      </c>
      <c r="N91" s="187">
        <f>IF($F91="","",'תחום תמיכה א'!AE91)</f>
        <v>3006.5476125923451</v>
      </c>
      <c r="O91" s="178"/>
      <c r="P91" s="187">
        <f>IF($F91="","",'תחום תמיכה ב'!AC91)</f>
        <v>9374.1288895747184</v>
      </c>
      <c r="Q91" s="187">
        <f>IF($F91="","",IF('תחום תמיכה ג'!O91="",0,'תחום תמיכה ג'!O91))</f>
        <v>0</v>
      </c>
      <c r="R91" s="187">
        <f t="shared" si="0"/>
        <v>281.08374452477983</v>
      </c>
      <c r="S91" s="187">
        <f>IF($F91="","",'תחום תמיכה ב'!AE91)</f>
        <v>9655.2126340994982</v>
      </c>
      <c r="T91" s="187">
        <f>IF($F91="","",IF(Q91='תחום תמיכה ג'!$Q$2,'תחום תמיכה ג'!$Q$2,IFERROR(SUMIF(N91:R91,"&gt;0"),'תחום תמיכה ג'!$Q$2)))</f>
        <v>12661.760246691843</v>
      </c>
      <c r="U91" s="187">
        <f>IF($F91="","",'הזנה לתנאי סף'!Y91)</f>
        <v>450000</v>
      </c>
      <c r="V91" s="269">
        <f>IF(F91="","",'הגבלה לסכום מבוקש '!AA91)</f>
        <v>14268.595741720734</v>
      </c>
      <c r="W91" s="187">
        <f t="shared" si="1"/>
        <v>3567.1489354301834</v>
      </c>
      <c r="X91" s="187">
        <f>IF(F91="","",'הזנה לתנאי סף'!Z91)</f>
        <v>90000</v>
      </c>
      <c r="Y91" s="237" t="str">
        <f>IFERROR(VLOOKUP(G91*1,#REF!,3,0),"")</f>
        <v/>
      </c>
      <c r="Z91" s="187" t="str">
        <f>IF(OR($F91="",Y91=""),"",IFERROR(IF(Y91&gt;V91,MIN(Y91,T91)-V91,0),'תחום תמיכה ג'!$Q$2))</f>
        <v/>
      </c>
      <c r="AA91" s="259"/>
      <c r="AB91" s="260" t="str">
        <f t="shared" si="3"/>
        <v/>
      </c>
      <c r="AC91" s="261"/>
      <c r="AD91" s="180"/>
      <c r="AE91" s="13" t="str">
        <f>IF($C91="","",IFERROR(VLOOKUP($C91,גיליון1!$A:$E,2,0),"לא הגיש בקשה שוטפת"))</f>
        <v>תמיכה</v>
      </c>
      <c r="AF91" s="13" t="str">
        <f>IF($C91="","",IFERROR(VLOOKUP($C91,גיליון1!$A:$E,3,0),"לא הגיש בקשה שוטפת"))</f>
        <v>בוטל</v>
      </c>
      <c r="AG91" s="13" t="str">
        <f>IF($C91="","",IFERROR(VLOOKUP($C91,גיליון1!$A:$E,4,0),"לא הגיש בקשה שוטפת"))</f>
        <v>19-42-02-31</v>
      </c>
      <c r="AH91" s="13" t="str">
        <f>IF($C91="","",IFERROR(VLOOKUP($C91,גיליון1!$A:$E,5,0),"לא הגיש בקשה שוטפת"))</f>
        <v>תרבות בקהילה תמיכה</v>
      </c>
      <c r="AI91" s="13">
        <f t="shared" si="2"/>
        <v>0</v>
      </c>
      <c r="AJ91"/>
      <c r="AK91" t="s">
        <v>254</v>
      </c>
    </row>
    <row r="92" spans="1:37" ht="43.5" x14ac:dyDescent="0.25">
      <c r="A92" s="54">
        <f>'הזנה לתנאי סף'!B92</f>
        <v>62</v>
      </c>
      <c r="B92" s="266">
        <f>IF($F92="","",'הזנה לתנאי סף'!C92)</f>
        <v>1001347234</v>
      </c>
      <c r="C92" s="266">
        <f>IF($F92="","",'הזנה לתנאי סף'!D92)</f>
        <v>1001262482</v>
      </c>
      <c r="D92" s="266">
        <f>IF($F92="","",'הזנה לתנאי סף'!E92)</f>
        <v>40000408</v>
      </c>
      <c r="E92" s="55">
        <f>IF($F92="","",'הזנה לתנאי סף'!F92)</f>
        <v>20000162</v>
      </c>
      <c r="F92" s="55" t="str">
        <f>IF('הזנה לתנאי סף'!BL92=1,'הזנה לתנאי סף'!G92,"")</f>
        <v>חוף הכרמל</v>
      </c>
      <c r="G92" s="55" t="str">
        <f>IF($F92="","",'הזנה לתנאי סף'!H92)</f>
        <v>מוזיאון ינקו דאדא עין הוד</v>
      </c>
      <c r="H92" s="55" t="str">
        <f>IF($F92="","",'הזנה לתנאי סף'!I92)</f>
        <v>מוזיאונים</v>
      </c>
      <c r="I92" s="187">
        <f>IF($F92="","",'הזנה לתנאי סף'!R92)</f>
        <v>1079562</v>
      </c>
      <c r="J92" s="187">
        <f>IF($F92="","",'תחום תמיכה א'!P92)</f>
        <v>1116133</v>
      </c>
      <c r="K92" s="177">
        <f>IF($F92="","",'הזנה לתנאי סף'!N92)</f>
        <v>0</v>
      </c>
      <c r="L92" s="177">
        <f>IF($F92="","",'הזנה לתנאי סף'!O92)</f>
        <v>1</v>
      </c>
      <c r="M92" s="177">
        <f>IF($F92="","",'הזנה לתנאי סף'!Q92)</f>
        <v>1</v>
      </c>
      <c r="N92" s="187">
        <f>IF($F92="","",'תחום תמיכה א'!AE92)</f>
        <v>39860.723462532522</v>
      </c>
      <c r="O92" s="178"/>
      <c r="P92" s="187">
        <f>IF($F92="","",'תחום תמיכה ב'!AC92)</f>
        <v>78535.042563522904</v>
      </c>
      <c r="Q92" s="187">
        <f>IF($F92="","",IF('תחום תמיכה ג'!O92="",0,'תחום תמיכה ג'!O92))</f>
        <v>0</v>
      </c>
      <c r="R92" s="187">
        <f t="shared" si="0"/>
        <v>2354.8773544940486</v>
      </c>
      <c r="S92" s="187">
        <f>IF($F92="","",'תחום תמיכה ב'!AE92)</f>
        <v>80889.919918016953</v>
      </c>
      <c r="T92" s="187">
        <f>IF($F92="","",IF(Q92='תחום תמיכה ג'!$Q$2,'תחום תמיכה ג'!$Q$2,IFERROR(SUMIF(N92:R92,"&gt;0"),'תחום תמיכה ג'!$Q$2)))</f>
        <v>120750.64338054947</v>
      </c>
      <c r="U92" s="187">
        <f>IF($F92="","",'הזנה לתנאי סף'!Y92)</f>
        <v>450000</v>
      </c>
      <c r="V92" s="269">
        <f>IF(F92="","",'הגבלה לסכום מבוקש '!AA92)</f>
        <v>134219.15028654493</v>
      </c>
      <c r="W92" s="187">
        <f t="shared" si="1"/>
        <v>33554.787571636232</v>
      </c>
      <c r="X92" s="187">
        <f>IF(F92="","",'הזנה לתנאי סף'!Z92)</f>
        <v>250000</v>
      </c>
      <c r="Y92" s="237" t="str">
        <f>IFERROR(VLOOKUP(G92*1,#REF!,3,0),"")</f>
        <v/>
      </c>
      <c r="Z92" s="187" t="str">
        <f>IF(OR($F92="",Y92=""),"",IFERROR(IF(Y92&gt;V92,MIN(Y92,T92)-V92,0),'תחום תמיכה ג'!$Q$2))</f>
        <v/>
      </c>
      <c r="AA92" s="259"/>
      <c r="AB92" s="260" t="str">
        <f t="shared" si="3"/>
        <v/>
      </c>
      <c r="AC92" s="261"/>
      <c r="AD92" s="180"/>
      <c r="AE92" s="13" t="str">
        <f>IF($C92="","",IFERROR(VLOOKUP($C92,גיליון1!$A:$E,2,0),"לא הגיש בקשה שוטפת"))</f>
        <v>תמיכה בפעילות השוטפת של המוזיאון</v>
      </c>
      <c r="AF92" s="13" t="str">
        <f>IF($C92="","",IFERROR(VLOOKUP($C92,גיליון1!$A:$E,3,0),"לא הגיש בקשה שוטפת"))</f>
        <v>חויב</v>
      </c>
      <c r="AG92" s="13" t="str">
        <f>IF($C92="","",IFERROR(VLOOKUP($C92,גיליון1!$A:$E,4,0),"לא הגיש בקשה שוטפת"))</f>
        <v>19-42-02-18</v>
      </c>
      <c r="AH92" s="13" t="str">
        <f>IF($C92="","",IFERROR(VLOOKUP($C92,גיליון1!$A:$E,5,0),"לא הגיש בקשה שוטפת"))</f>
        <v>מוזיאונים ואמנות פלס</v>
      </c>
      <c r="AI92" s="13">
        <f t="shared" si="2"/>
        <v>0</v>
      </c>
      <c r="AJ92"/>
      <c r="AK92" t="s">
        <v>51</v>
      </c>
    </row>
    <row r="93" spans="1:37" ht="72" x14ac:dyDescent="0.25">
      <c r="A93" s="54">
        <f>'הזנה לתנאי סף'!B93</f>
        <v>63</v>
      </c>
      <c r="B93" s="266">
        <f>IF($F93="","",'הזנה לתנאי סף'!C93)</f>
        <v>1001348950</v>
      </c>
      <c r="C93" s="266">
        <f>IF($F93="","",'הזנה לתנאי סף'!D93)</f>
        <v>1001288866</v>
      </c>
      <c r="D93" s="266">
        <f>IF($F93="","",'הזנה לתנאי סף'!E93)</f>
        <v>40000513</v>
      </c>
      <c r="E93" s="55">
        <f>IF($F93="","",'הזנה לתנאי סף'!F93)</f>
        <v>20000102</v>
      </c>
      <c r="F93" s="55" t="str">
        <f>IF('הזנה לתנאי סף'!BL93=1,'הזנה לתנאי סף'!G93,"")</f>
        <v>מעלות-תרשיחא</v>
      </c>
      <c r="G93" s="55" t="str">
        <f>IF($F93="","",'הזנה לתנאי סף'!H93)</f>
        <v>בית האומנות לחינוך ולתרבות - תרשיחא</v>
      </c>
      <c r="H93" s="55" t="str">
        <f>IF($F93="","",'הזנה לתנאי סף'!I93)</f>
        <v>תרבות ערבית</v>
      </c>
      <c r="I93" s="187">
        <f>IF($F93="","",'הזנה לתנאי סף'!R93)</f>
        <v>1393771</v>
      </c>
      <c r="J93" s="187">
        <f>IF($F93="","",'תחום תמיכה א'!P93)</f>
        <v>1368038</v>
      </c>
      <c r="K93" s="177">
        <f>IF($F93="","",'הזנה לתנאי סף'!N93)</f>
        <v>0</v>
      </c>
      <c r="L93" s="177">
        <f>IF($F93="","",'הזנה לתנאי סף'!O93)</f>
        <v>1</v>
      </c>
      <c r="M93" s="177">
        <f>IF($F93="","",'הזנה לתנאי סף'!Q93)</f>
        <v>1</v>
      </c>
      <c r="N93" s="187">
        <f>IF($F93="","",'תחום תמיכה א'!AE93)</f>
        <v>23369.753947183312</v>
      </c>
      <c r="O93" s="178"/>
      <c r="P93" s="187">
        <f>IF($F93="","",'תחום תמיכה ב'!AC93)</f>
        <v>23198.548905250787</v>
      </c>
      <c r="Q93" s="187">
        <f>IF($F93="","",IF('תחום תמיכה ג'!O93="",0,'תחום תמיכה ג'!O93))</f>
        <v>0</v>
      </c>
      <c r="R93" s="187">
        <f t="shared" si="0"/>
        <v>695.60970098043617</v>
      </c>
      <c r="S93" s="187">
        <f>IF($F93="","",'תחום תמיכה ב'!AE93)</f>
        <v>23894.158606231224</v>
      </c>
      <c r="T93" s="187">
        <f>IF($F93="","",IF(Q93='תחום תמיכה ג'!$Q$2,'תחום תמיכה ג'!$Q$2,IFERROR(SUMIF(N93:R93,"&gt;0"),'תחום תמיכה ג'!$Q$2)))</f>
        <v>47263.912553414535</v>
      </c>
      <c r="U93" s="187">
        <f>IF($F93="","",'הזנה לתנאי סף'!Y93)</f>
        <v>1050000</v>
      </c>
      <c r="V93" s="269">
        <f>IF(F93="","",'הגבלה לסכום מבוקש '!AA93)</f>
        <v>51247.668613017398</v>
      </c>
      <c r="W93" s="187">
        <f t="shared" si="1"/>
        <v>12811.91715325435</v>
      </c>
      <c r="X93" s="187">
        <f>IF(F93="","",'הזנה לתנאי סף'!Z93)</f>
        <v>50000</v>
      </c>
      <c r="Y93" s="237" t="str">
        <f>IFERROR(VLOOKUP(G93*1,#REF!,3,0),"")</f>
        <v/>
      </c>
      <c r="Z93" s="187" t="str">
        <f>IF(OR($F93="",Y93=""),"",IFERROR(IF(Y93&gt;V93,MIN(Y93,T93)-V93,0),'תחום תמיכה ג'!$Q$2))</f>
        <v/>
      </c>
      <c r="AA93" s="259"/>
      <c r="AB93" s="260" t="str">
        <f t="shared" si="3"/>
        <v/>
      </c>
      <c r="AC93" s="261"/>
      <c r="AD93" s="180"/>
      <c r="AE93" s="13" t="str">
        <f>IF($C93="","",IFERROR(VLOOKUP($C93,גיליון1!$A:$E,2,0),"לא הגיש בקשה שוטפת"))</f>
        <v>שוטף</v>
      </c>
      <c r="AF93" s="13" t="str">
        <f>IF($C93="","",IFERROR(VLOOKUP($C93,גיליון1!$A:$E,3,0),"לא הגיש בקשה שוטפת"))</f>
        <v>מועד</v>
      </c>
      <c r="AG93" s="13" t="str">
        <f>IF($C93="","",IFERROR(VLOOKUP($C93,גיליון1!$A:$E,4,0),"לא הגיש בקשה שוטפת"))</f>
        <v>19-42-02-33</v>
      </c>
      <c r="AH93" s="13" t="str">
        <f>IF($C93="","",IFERROR(VLOOKUP($C93,גיליון1!$A:$E,5,0),"לא הגיש בקשה שוטפת"))</f>
        <v>תרבות ערבית ודרוזית</v>
      </c>
      <c r="AI93" s="13">
        <f t="shared" si="2"/>
        <v>0</v>
      </c>
      <c r="AJ93"/>
      <c r="AK93" t="s">
        <v>52</v>
      </c>
    </row>
    <row r="94" spans="1:37" ht="43.5" x14ac:dyDescent="0.25">
      <c r="A94" s="54">
        <f>'הזנה לתנאי סף'!B94</f>
        <v>64</v>
      </c>
      <c r="B94" s="266">
        <f>IF($F94="","",'הזנה לתנאי סף'!C94)</f>
        <v>1001350242</v>
      </c>
      <c r="C94" s="266">
        <f>IF($F94="","",'הזנה לתנאי סף'!D94)</f>
        <v>1001277229</v>
      </c>
      <c r="D94" s="266">
        <f>IF($F94="","",'הזנה לתנאי סף'!E94)</f>
        <v>40000531</v>
      </c>
      <c r="E94" s="55">
        <f>IF($F94="","",'הזנה לתנאי סף'!F94)</f>
        <v>20000005</v>
      </c>
      <c r="F94" s="55" t="str">
        <f>IF('הזנה לתנאי סף'!BL94=1,'הזנה לתנאי סף'!G94,"")</f>
        <v>אליכין</v>
      </c>
      <c r="G94" s="55" t="str">
        <f>IF($F94="","",'הזנה לתנאי סף'!H94)</f>
        <v>מכון רימון לידיעת הארץ</v>
      </c>
      <c r="H94" s="55" t="str">
        <f>IF($F94="","",'הזנה לתנאי סף'!I94)</f>
        <v>מוזיאונים</v>
      </c>
      <c r="I94" s="187">
        <f>IF($F94="","",'הזנה לתנאי סף'!R94)</f>
        <v>649541</v>
      </c>
      <c r="J94" s="187">
        <f>IF($F94="","",'תחום תמיכה א'!P94)</f>
        <v>815816</v>
      </c>
      <c r="K94" s="177">
        <f>IF($F94="","",'הזנה לתנאי סף'!N94)</f>
        <v>0</v>
      </c>
      <c r="L94" s="177">
        <f>IF($F94="","",'הזנה לתנאי סף'!O94)</f>
        <v>1</v>
      </c>
      <c r="M94" s="177">
        <f>IF($F94="","",'הזנה לתנאי סף'!Q94)</f>
        <v>1</v>
      </c>
      <c r="N94" s="187">
        <f>IF($F94="","",'תחום תמיכה א'!AE94)</f>
        <v>15913.478808142514</v>
      </c>
      <c r="O94" s="178"/>
      <c r="P94" s="187">
        <f>IF($F94="","",'תחום תמיכה ב'!AC94)</f>
        <v>14096.452460526216</v>
      </c>
      <c r="Q94" s="187">
        <f>IF($F94="","",IF('תחום תמיכה ג'!O94="",0,'תחום תמיכה ג'!O94))</f>
        <v>0</v>
      </c>
      <c r="R94" s="187">
        <f t="shared" si="0"/>
        <v>422.68286352738869</v>
      </c>
      <c r="S94" s="187">
        <f>IF($F94="","",'תחום תמיכה ב'!AE94)</f>
        <v>14519.135324053605</v>
      </c>
      <c r="T94" s="187">
        <f>IF($F94="","",IF(Q94='תחום תמיכה ג'!$Q$2,'תחום תמיכה ג'!$Q$2,IFERROR(SUMIF(N94:R94,"&gt;0"),'תחום תמיכה ג'!$Q$2)))</f>
        <v>30432.614132196119</v>
      </c>
      <c r="U94" s="187">
        <f>IF($F94="","",'הזנה לתנאי סף'!Y94)</f>
        <v>1600000</v>
      </c>
      <c r="V94" s="269">
        <f>IF(F94="","",'הגבלה לסכום מבוקש '!AA94)</f>
        <v>32854.09843925458</v>
      </c>
      <c r="W94" s="187">
        <f t="shared" si="1"/>
        <v>8213.5246098136449</v>
      </c>
      <c r="X94" s="187">
        <f>IF(F94="","",'הזנה לתנאי סף'!Z94)</f>
        <v>40000</v>
      </c>
      <c r="Y94" s="237" t="str">
        <f>IFERROR(VLOOKUP(G94*1,#REF!,3,0),"")</f>
        <v/>
      </c>
      <c r="Z94" s="187" t="str">
        <f>IF(OR($F94="",Y94=""),"",IFERROR(IF(Y94&gt;V94,MIN(Y94,T94)-V94,0),'תחום תמיכה ג'!$Q$2))</f>
        <v/>
      </c>
      <c r="AA94" s="259"/>
      <c r="AB94" s="260" t="str">
        <f t="shared" si="3"/>
        <v/>
      </c>
      <c r="AC94" s="261"/>
      <c r="AD94" s="180"/>
      <c r="AE94" s="13" t="str">
        <f>IF($C94="","",IFERROR(VLOOKUP($C94,גיליון1!$A:$E,2,0),"לא הגיש בקשה שוטפת"))</f>
        <v>מוזיאון שוטפת 2020</v>
      </c>
      <c r="AF94" s="13" t="str">
        <f>IF($C94="","",IFERROR(VLOOKUP($C94,גיליון1!$A:$E,3,0),"לא הגיש בקשה שוטפת"))</f>
        <v>חויב</v>
      </c>
      <c r="AG94" s="13" t="str">
        <f>IF($C94="","",IFERROR(VLOOKUP($C94,גיליון1!$A:$E,4,0),"לא הגיש בקשה שוטפת"))</f>
        <v>19-42-02-18</v>
      </c>
      <c r="AH94" s="13" t="str">
        <f>IF($C94="","",IFERROR(VLOOKUP($C94,גיליון1!$A:$E,5,0),"לא הגיש בקשה שוטפת"))</f>
        <v>מוזיאונים ואמנות פלס</v>
      </c>
      <c r="AI94" s="13">
        <f t="shared" si="2"/>
        <v>0</v>
      </c>
      <c r="AJ94"/>
      <c r="AK94" t="s">
        <v>55</v>
      </c>
    </row>
    <row r="95" spans="1:37" ht="43.5" x14ac:dyDescent="0.25">
      <c r="A95" s="54">
        <f>'הזנה לתנאי סף'!B95</f>
        <v>65</v>
      </c>
      <c r="B95" s="266">
        <f>IF($F95="","",'הזנה לתנאי סף'!C95)</f>
        <v>1001348656</v>
      </c>
      <c r="C95" s="266">
        <f>IF($F95="","",'הזנה לתנאי סף'!D95)</f>
        <v>1001274980</v>
      </c>
      <c r="D95" s="266">
        <f>IF($F95="","",'הזנה לתנאי סף'!E95)</f>
        <v>40000533</v>
      </c>
      <c r="E95" s="55">
        <f>IF($F95="","",'הזנה לתנאי סף'!F95)</f>
        <v>20000159</v>
      </c>
      <c r="F95" s="55" t="str">
        <f>IF('הזנה לתנאי סף'!BL95=1,'הזנה לתנאי סף'!G95,"")</f>
        <v>ירושלים</v>
      </c>
      <c r="G95" s="55" t="str">
        <f>IF($F95="","",'הזנה לתנאי סף'!H95)</f>
        <v xml:space="preserve">תזמורת הבארוק ירושלים </v>
      </c>
      <c r="H95" s="55" t="str">
        <f>IF($F95="","",'הזנה לתנאי סף'!I95)</f>
        <v>מוסיקה-גופים כליים</v>
      </c>
      <c r="I95" s="187">
        <f>IF($F95="","",'הזנה לתנאי סף'!R95)</f>
        <v>1630035</v>
      </c>
      <c r="J95" s="187">
        <f>IF($F95="","",'תחום תמיכה א'!P95)</f>
        <v>1415947</v>
      </c>
      <c r="K95" s="177">
        <f>IF($F95="","",'הזנה לתנאי סף'!N95)</f>
        <v>1</v>
      </c>
      <c r="L95" s="177">
        <f>IF($F95="","",'הזנה לתנאי סף'!O95)</f>
        <v>1</v>
      </c>
      <c r="M95" s="177">
        <f>IF($F95="","",'הזנה לתנאי סף'!Q95)</f>
        <v>1</v>
      </c>
      <c r="N95" s="187">
        <f>IF($F95="","",'תחום תמיכה א'!AE95)</f>
        <v>30384.490924826892</v>
      </c>
      <c r="O95" s="178"/>
      <c r="P95" s="187">
        <f>IF($F95="","",'תחום תמיכה ב'!AC95)</f>
        <v>42811.880192629738</v>
      </c>
      <c r="Q95" s="187">
        <f>IF($F95="","",IF('תחום תמיכה ג'!O95="",0,'תחום תמיכה ג'!O95))</f>
        <v>7400.8203885560115</v>
      </c>
      <c r="R95" s="187">
        <f t="shared" si="0"/>
        <v>1283.7164643718206</v>
      </c>
      <c r="S95" s="187">
        <f>IF($F95="","",'תחום תמיכה ב'!AE95)</f>
        <v>44095.596657001559</v>
      </c>
      <c r="T95" s="187">
        <f>IF($F95="","",IF(Q95='תחום תמיכה ג'!$Q$2,'תחום תמיכה ג'!$Q$2,IFERROR(SUMIF(N95:R95,"&gt;0"),'תחום תמיכה ג'!$Q$2)))</f>
        <v>81880.907970384462</v>
      </c>
      <c r="U95" s="187">
        <f>IF($F95="","",'הזנה לתנאי סף'!Y95)</f>
        <v>120000</v>
      </c>
      <c r="V95" s="269">
        <f>IF(F95="","",'הגבלה לסכום מבוקש '!AA95)</f>
        <v>89230.318283377506</v>
      </c>
      <c r="W95" s="187">
        <f t="shared" si="1"/>
        <v>22307.579570844377</v>
      </c>
      <c r="X95" s="187">
        <f>IF(F95="","",'הזנה לתנאי סף'!Z95)</f>
        <v>120000</v>
      </c>
      <c r="Y95" s="237" t="str">
        <f>IFERROR(VLOOKUP(G95*1,#REF!,3,0),"")</f>
        <v/>
      </c>
      <c r="Z95" s="187" t="str">
        <f>IF(OR($F95="",Y95=""),"",IFERROR(IF(Y95&gt;V95,MIN(Y95,T95)-V95,0),'תחום תמיכה ג'!$Q$2))</f>
        <v/>
      </c>
      <c r="AA95" s="259"/>
      <c r="AB95" s="260" t="str">
        <f t="shared" si="3"/>
        <v/>
      </c>
      <c r="AC95" s="261"/>
      <c r="AD95" s="180"/>
      <c r="AE95" s="13" t="str">
        <f>IF($C95="","",IFERROR(VLOOKUP($C95,גיליון1!$A:$E,2,0),"לא הגיש בקשה שוטפת"))</f>
        <v>תמיכה בפעילות שוטפת 2020</v>
      </c>
      <c r="AF95" s="13" t="str">
        <f>IF($C95="","",IFERROR(VLOOKUP($C95,גיליון1!$A:$E,3,0),"לא הגיש בקשה שוטפת"))</f>
        <v>חויב</v>
      </c>
      <c r="AG95" s="13" t="str">
        <f>IF($C95="","",IFERROR(VLOOKUP($C95,גיליון1!$A:$E,4,0),"לא הגיש בקשה שוטפת"))</f>
        <v>19-42-02-16</v>
      </c>
      <c r="AH95" s="13" t="str">
        <f>IF($C95="","",IFERROR(VLOOKUP($C95,גיליון1!$A:$E,5,0),"לא הגיש בקשה שוטפת"))</f>
        <v>מוסיקה</v>
      </c>
      <c r="AI95" s="13">
        <f t="shared" si="2"/>
        <v>0</v>
      </c>
      <c r="AJ95"/>
      <c r="AK95" t="s">
        <v>58</v>
      </c>
    </row>
    <row r="96" spans="1:37" ht="72" x14ac:dyDescent="0.25">
      <c r="A96" s="54">
        <f>'הזנה לתנאי סף'!B96</f>
        <v>66</v>
      </c>
      <c r="B96" s="266">
        <f>IF($F96="","",'הזנה לתנאי סף'!C96)</f>
        <v>1001347378</v>
      </c>
      <c r="C96" s="266">
        <f>IF($F96="","",'הזנה לתנאי סף'!D96)</f>
        <v>1001266836</v>
      </c>
      <c r="D96" s="266">
        <f>IF($F96="","",'הזנה לתנאי סף'!E96)</f>
        <v>40000550</v>
      </c>
      <c r="E96" s="55">
        <f>IF($F96="","",'הזנה לתנאי סף'!F96)</f>
        <v>20000096</v>
      </c>
      <c r="F96" s="55" t="str">
        <f>IF('הזנה לתנאי סף'!BL96=1,'הזנה לתנאי סף'!G96,"")</f>
        <v>שדרות</v>
      </c>
      <c r="G96" s="55" t="str">
        <f>IF($F96="","",'הזנה לתנאי סף'!H96)</f>
        <v>מרכז התנועה שדרות אדמה (ע''ר)</v>
      </c>
      <c r="H96" s="55" t="str">
        <f>IF($F96="","",'הזנה לתנאי סף'!I96)</f>
        <v>מחול</v>
      </c>
      <c r="I96" s="187">
        <f>IF($F96="","",'הזנה לתנאי סף'!R96)</f>
        <v>1005807</v>
      </c>
      <c r="J96" s="187">
        <f>IF($F96="","",'תחום תמיכה א'!P96)</f>
        <v>970975</v>
      </c>
      <c r="K96" s="177">
        <f>IF($F96="","",'הזנה לתנאי סף'!N96)</f>
        <v>0</v>
      </c>
      <c r="L96" s="177">
        <f>IF($F96="","",'הזנה לתנאי סף'!O96)</f>
        <v>1</v>
      </c>
      <c r="M96" s="177">
        <f>IF($F96="","",'הזנה לתנאי סף'!Q96)</f>
        <v>1</v>
      </c>
      <c r="N96" s="187">
        <f>IF($F96="","",'תחום תמיכה א'!AE96)</f>
        <v>16385.895692522063</v>
      </c>
      <c r="O96" s="178"/>
      <c r="P96" s="187">
        <f>IF($F96="","",'תחום תמיכה ב'!AC96)</f>
        <v>16337.905050349647</v>
      </c>
      <c r="Q96" s="187">
        <f>IF($F96="","",IF('תחום תמיכה ג'!O96="",0,'תחום תמיכה ג'!O96))</f>
        <v>0</v>
      </c>
      <c r="R96" s="187">
        <f t="shared" ref="R96:R159" si="4">IF($F96="","",IFERROR(S96-P96,""))</f>
        <v>489.89293654260109</v>
      </c>
      <c r="S96" s="187">
        <f>IF($F96="","",'תחום תמיכה ב'!AE96)</f>
        <v>16827.797986892248</v>
      </c>
      <c r="T96" s="187">
        <f>IF($F96="","",IF(Q96='תחום תמיכה ג'!$Q$2,'תחום תמיכה ג'!$Q$2,IFERROR(SUMIF(N96:R96,"&gt;0"),'תחום תמיכה ג'!$Q$2)))</f>
        <v>33213.693679414311</v>
      </c>
      <c r="U96" s="187">
        <f>IF($F96="","",'הזנה לתנאי סף'!Y96)</f>
        <v>1250000</v>
      </c>
      <c r="V96" s="269">
        <f>IF(F96="","",'הגבלה לסכום מבוקש '!AA96)</f>
        <v>36019.276986558129</v>
      </c>
      <c r="W96" s="187">
        <f t="shared" ref="W96:W159" si="5">IF(G96="","",V96/4)</f>
        <v>9004.8192466395321</v>
      </c>
      <c r="X96" s="187">
        <f>IF(F96="","",'הזנה לתנאי סף'!Z96)</f>
        <v>1250000</v>
      </c>
      <c r="Y96" s="237" t="str">
        <f>IFERROR(VLOOKUP(G96*1,#REF!,3,0),"")</f>
        <v/>
      </c>
      <c r="Z96" s="187" t="str">
        <f>IF(OR($F96="",Y96=""),"",IFERROR(IF(Y96&gt;V96,MIN(Y96,T96)-V96,0),'תחום תמיכה ג'!$Q$2))</f>
        <v/>
      </c>
      <c r="AA96" s="259"/>
      <c r="AB96" s="260" t="str">
        <f t="shared" ref="AB96:AB159" si="6">Z96</f>
        <v/>
      </c>
      <c r="AC96" s="261"/>
      <c r="AD96" s="180"/>
      <c r="AE96" s="13" t="str">
        <f>IF($C96="","",IFERROR(VLOOKUP($C96,גיליון1!$A:$E,2,0),"לא הגיש בקשה שוטפת"))</f>
        <v>מרכז מחול בשדרות</v>
      </c>
      <c r="AF96" s="13" t="str">
        <f>IF($C96="","",IFERROR(VLOOKUP($C96,גיליון1!$A:$E,3,0),"לא הגיש בקשה שוטפת"))</f>
        <v>חויב</v>
      </c>
      <c r="AG96" s="13" t="str">
        <f>IF($C96="","",IFERROR(VLOOKUP($C96,גיליון1!$A:$E,4,0),"לא הגיש בקשה שוטפת"))</f>
        <v>19-42-02-20</v>
      </c>
      <c r="AH96" s="13" t="str">
        <f>IF($C96="","",IFERROR(VLOOKUP($C96,גיליון1!$A:$E,5,0),"לא הגיש בקשה שוטפת"))</f>
        <v>מחול וארגוני גג</v>
      </c>
      <c r="AI96" s="13">
        <f t="shared" ref="AI96:AI159" si="7">IF(T96&gt;U96,1,0)</f>
        <v>0</v>
      </c>
      <c r="AJ96"/>
      <c r="AK96" t="s">
        <v>255</v>
      </c>
    </row>
    <row r="97" spans="1:37" ht="43.5" x14ac:dyDescent="0.25">
      <c r="A97" s="54">
        <f>'הזנה לתנאי סף'!B97</f>
        <v>67</v>
      </c>
      <c r="B97" s="266">
        <f>IF($F97="","",'הזנה לתנאי סף'!C97)</f>
        <v>1001348650</v>
      </c>
      <c r="C97" s="266">
        <f>IF($F97="","",'הזנה לתנאי סף'!D97)</f>
        <v>1001270091</v>
      </c>
      <c r="D97" s="266">
        <f>IF($F97="","",'הזנה לתנאי סף'!E97)</f>
        <v>40000685</v>
      </c>
      <c r="E97" s="55">
        <f>IF($F97="","",'הזנה לתנאי סף'!F97)</f>
        <v>20000231</v>
      </c>
      <c r="F97" s="55" t="str">
        <f>IF('הזנה לתנאי סף'!BL97=1,'הזנה לתנאי סף'!G97,"")</f>
        <v>נצרת</v>
      </c>
      <c r="G97" s="55" t="str">
        <f>IF($F97="","",'הזנה לתנאי סף'!H97)</f>
        <v>אלערביא לתרבות ואמנות</v>
      </c>
      <c r="H97" s="55" t="str">
        <f>IF($F97="","",'הזנה לתנאי סף'!I97)</f>
        <v>תרבות ערבית</v>
      </c>
      <c r="I97" s="187">
        <f>IF($F97="","",'הזנה לתנאי סף'!R97)</f>
        <v>37960</v>
      </c>
      <c r="J97" s="187">
        <f>IF($F97="","",'תחום תמיכה א'!P97)</f>
        <v>37168</v>
      </c>
      <c r="K97" s="177">
        <f>IF($F97="","",'הזנה לתנאי סף'!N97)</f>
        <v>0</v>
      </c>
      <c r="L97" s="177">
        <f>IF($F97="","",'הזנה לתנאי סף'!O97)</f>
        <v>1</v>
      </c>
      <c r="M97" s="177">
        <f>IF($F97="","",'הזנה לתנאי סף'!Q97)</f>
        <v>1</v>
      </c>
      <c r="N97" s="187">
        <f>IF($F97="","",'תחום תמיכה א'!AE97)</f>
        <v>2031.7702120878594</v>
      </c>
      <c r="O97" s="178"/>
      <c r="P97" s="187">
        <f>IF($F97="","",'תחום תמיכה ב'!AC97)</f>
        <v>6469.8533208773879</v>
      </c>
      <c r="Q97" s="187">
        <f>IF($F97="","",IF('תחום תמיכה ג'!O97="",0,'תחום תמיכה ג'!O97))</f>
        <v>0</v>
      </c>
      <c r="R97" s="187">
        <f t="shared" si="4"/>
        <v>193.99888985746657</v>
      </c>
      <c r="S97" s="187">
        <f>IF($F97="","",'תחום תמיכה ב'!AE97)</f>
        <v>6663.8522107348545</v>
      </c>
      <c r="T97" s="187">
        <f>IF($F97="","",IF(Q97='תחום תמיכה ג'!$Q$2,'תחום תמיכה ג'!$Q$2,IFERROR(SUMIF(N97:R97,"&gt;0"),'תחום תמיכה ג'!$Q$2)))</f>
        <v>8695.6224228227147</v>
      </c>
      <c r="U97" s="187">
        <f>IF($F97="","",'הזנה לתנאי סף'!Y97)</f>
        <v>65000</v>
      </c>
      <c r="V97" s="269">
        <f>IF(F97="","",'הגבלה לסכום מבוקש '!AA97)</f>
        <v>9804.6113532691634</v>
      </c>
      <c r="W97" s="187">
        <f t="shared" si="5"/>
        <v>2451.1528383172908</v>
      </c>
      <c r="X97" s="187">
        <f>IF(F97="","",'הזנה לתנאי סף'!Z97)</f>
        <v>65000</v>
      </c>
      <c r="Y97" s="237" t="str">
        <f>IFERROR(VLOOKUP(G97*1,#REF!,3,0),"")</f>
        <v/>
      </c>
      <c r="Z97" s="187" t="str">
        <f>IF(OR($F97="",Y97=""),"",IFERROR(IF(Y97&gt;V97,MIN(Y97,T97)-V97,0),'תחום תמיכה ג'!$Q$2))</f>
        <v/>
      </c>
      <c r="AA97" s="259"/>
      <c r="AB97" s="260" t="str">
        <f t="shared" si="6"/>
        <v/>
      </c>
      <c r="AC97" s="261"/>
      <c r="AD97" s="180"/>
      <c r="AE97" s="13" t="str">
        <f>IF($C97="","",IFERROR(VLOOKUP($C97,גיליון1!$A:$E,2,0),"לא הגיש בקשה שוטפת"))</f>
        <v>בקשת תמיכה להפעלת קוראל/מוסיקה</v>
      </c>
      <c r="AF97" s="13" t="str">
        <f>IF($C97="","",IFERROR(VLOOKUP($C97,גיליון1!$A:$E,3,0),"לא הגיש בקשה שוטפת"))</f>
        <v>מועד</v>
      </c>
      <c r="AG97" s="13" t="str">
        <f>IF($C97="","",IFERROR(VLOOKUP($C97,גיליון1!$A:$E,4,0),"לא הגיש בקשה שוטפת"))</f>
        <v>19-42-02-33</v>
      </c>
      <c r="AH97" s="13" t="str">
        <f>IF($C97="","",IFERROR(VLOOKUP($C97,גיליון1!$A:$E,5,0),"לא הגיש בקשה שוטפת"))</f>
        <v>תרבות ערבית ודרוזית</v>
      </c>
      <c r="AI97" s="13">
        <f t="shared" si="7"/>
        <v>0</v>
      </c>
      <c r="AJ97"/>
      <c r="AK97" t="s">
        <v>232</v>
      </c>
    </row>
    <row r="98" spans="1:37" ht="43.5" x14ac:dyDescent="0.25">
      <c r="A98" s="54">
        <f>'הזנה לתנאי סף'!B98</f>
        <v>68</v>
      </c>
      <c r="B98" s="266">
        <f>IF($F98="","",'הזנה לתנאי סף'!C98)</f>
        <v>1001348519</v>
      </c>
      <c r="C98" s="266">
        <f>IF($F98="","",'הזנה לתנאי סף'!D98)</f>
        <v>1001270078</v>
      </c>
      <c r="D98" s="266">
        <f>IF($F98="","",'הזנה לתנאי סף'!E98)</f>
        <v>40000685</v>
      </c>
      <c r="E98" s="55">
        <f>IF($F98="","",'הזנה לתנאי סף'!F98)</f>
        <v>20000231</v>
      </c>
      <c r="F98" s="55" t="str">
        <f>IF('הזנה לתנאי סף'!BL98=1,'הזנה לתנאי סף'!G98,"")</f>
        <v>נצרת</v>
      </c>
      <c r="G98" s="55" t="str">
        <f>IF($F98="","",'הזנה לתנאי סף'!H98)</f>
        <v>אלערביא לתרבות ואמנות</v>
      </c>
      <c r="H98" s="55" t="str">
        <f>IF($F98="","",'הזנה לתנאי סף'!I98)</f>
        <v>תרבות ערבית</v>
      </c>
      <c r="I98" s="187">
        <f>IF($F98="","",'הזנה לתנאי סף'!R98)</f>
        <v>244964</v>
      </c>
      <c r="J98" s="187">
        <f>IF($F98="","",'תחום תמיכה א'!P98)</f>
        <v>231708</v>
      </c>
      <c r="K98" s="177">
        <f>IF($F98="","",'הזנה לתנאי סף'!N98)</f>
        <v>0</v>
      </c>
      <c r="L98" s="177">
        <f>IF($F98="","",'הזנה לתנאי סף'!O98)</f>
        <v>1</v>
      </c>
      <c r="M98" s="177">
        <f>IF($F98="","",'הזנה לתנאי סף'!Q98)</f>
        <v>1</v>
      </c>
      <c r="N98" s="187">
        <f>IF($F98="","",'תחום תמיכה א'!AE98)</f>
        <v>5131.3414631499545</v>
      </c>
      <c r="O98" s="178"/>
      <c r="P98" s="187">
        <f>IF($F98="","",'תחום תמיכה ב'!AC98)</f>
        <v>6852.3490502781451</v>
      </c>
      <c r="Q98" s="187">
        <f>IF($F98="","",IF('תחום תמיכה ג'!O98="",0,'תחום תמיכה ג'!O98))</f>
        <v>0</v>
      </c>
      <c r="R98" s="187">
        <f t="shared" si="4"/>
        <v>205.46804428783435</v>
      </c>
      <c r="S98" s="187">
        <f>IF($F98="","",'תחום תמיכה ב'!AE98)</f>
        <v>7057.8170945659795</v>
      </c>
      <c r="T98" s="187">
        <f>IF($F98="","",IF(Q98='תחום תמיכה ג'!$Q$2,'תחום תמיכה ג'!$Q$2,IFERROR(SUMIF(N98:R98,"&gt;0"),'תחום תמיכה ג'!$Q$2)))</f>
        <v>12189.158557715935</v>
      </c>
      <c r="U98" s="187">
        <f>IF($F98="","",'הזנה לתנאי סף'!Y98)</f>
        <v>499898</v>
      </c>
      <c r="V98" s="269">
        <f>IF(F98="","",'הגבלה לסכום מבוקש '!AA98)</f>
        <v>13365.0671950208</v>
      </c>
      <c r="W98" s="187">
        <f t="shared" si="5"/>
        <v>3341.2667987551999</v>
      </c>
      <c r="X98" s="187">
        <f>IF(F98="","",'הזנה לתנאי סף'!Z98)</f>
        <v>499898</v>
      </c>
      <c r="Y98" s="237" t="str">
        <f>IFERROR(VLOOKUP(G98*1,#REF!,3,0),"")</f>
        <v/>
      </c>
      <c r="Z98" s="187" t="str">
        <f>IF(OR($F98="",Y98=""),"",IFERROR(IF(Y98&gt;V98,MIN(Y98,T98)-V98,0),'תחום תמיכה ג'!$Q$2))</f>
        <v/>
      </c>
      <c r="AA98" s="259"/>
      <c r="AB98" s="260" t="str">
        <f t="shared" si="6"/>
        <v/>
      </c>
      <c r="AC98" s="261"/>
      <c r="AD98" s="180"/>
      <c r="AE98" s="13" t="str">
        <f>IF($C98="","",IFERROR(VLOOKUP($C98,גיליון1!$A:$E,2,0),"לא הגיש בקשה שוטפת"))</f>
        <v>בקשת תמיכה לכתיבה יצירתית</v>
      </c>
      <c r="AF98" s="13" t="str">
        <f>IF($C98="","",IFERROR(VLOOKUP($C98,גיליון1!$A:$E,3,0),"לא הגיש בקשה שוטפת"))</f>
        <v>מועד</v>
      </c>
      <c r="AG98" s="13" t="str">
        <f>IF($C98="","",IFERROR(VLOOKUP($C98,גיליון1!$A:$E,4,0),"לא הגיש בקשה שוטפת"))</f>
        <v>19-42-02-33</v>
      </c>
      <c r="AH98" s="13" t="str">
        <f>IF($C98="","",IFERROR(VLOOKUP($C98,גיליון1!$A:$E,5,0),"לא הגיש בקשה שוטפת"))</f>
        <v>תרבות ערבית ודרוזית</v>
      </c>
      <c r="AI98" s="13">
        <f t="shared" si="7"/>
        <v>0</v>
      </c>
      <c r="AJ98"/>
      <c r="AK98" t="s">
        <v>64</v>
      </c>
    </row>
    <row r="99" spans="1:37" ht="29.25" x14ac:dyDescent="0.25">
      <c r="A99" s="54">
        <f>'הזנה לתנאי סף'!B99</f>
        <v>69</v>
      </c>
      <c r="B99" s="266">
        <f>IF($F99="","",'הזנה לתנאי סף'!C99)</f>
        <v>1001349422</v>
      </c>
      <c r="C99" s="266">
        <f>IF($F99="","",'הזנה לתנאי סף'!D99)</f>
        <v>1001288961</v>
      </c>
      <c r="D99" s="266">
        <f>IF($F99="","",'הזנה לתנאי סף'!E99)</f>
        <v>40000581</v>
      </c>
      <c r="E99" s="55">
        <f>IF($F99="","",'הזנה לתנאי סף'!F99)</f>
        <v>20000111</v>
      </c>
      <c r="F99" s="55" t="str">
        <f>IF('הזנה לתנאי סף'!BL99=1,'הזנה לתנאי סף'!G99,"")</f>
        <v>מיתר</v>
      </c>
      <c r="G99" s="55" t="str">
        <f>IF($F99="","",'הזנה לתנאי סף'!H99)</f>
        <v>נוה הבדואים</v>
      </c>
      <c r="H99" s="55" t="str">
        <f>IF($F99="","",'הזנה לתנאי סף'!I99)</f>
        <v>תרבות ערבית</v>
      </c>
      <c r="I99" s="187">
        <f>IF($F99="","",'הזנה לתנאי סף'!R99)</f>
        <v>1678495</v>
      </c>
      <c r="J99" s="187">
        <f>IF($F99="","",'תחום תמיכה א'!P99)</f>
        <v>1661437</v>
      </c>
      <c r="K99" s="177">
        <f>IF($F99="","",'הזנה לתנאי סף'!N99)</f>
        <v>0</v>
      </c>
      <c r="L99" s="177">
        <f>IF($F99="","",'הזנה לתנאי סף'!O99)</f>
        <v>1</v>
      </c>
      <c r="M99" s="177">
        <f>IF($F99="","",'הזנה לתנאי סף'!Q99)</f>
        <v>1</v>
      </c>
      <c r="N99" s="187">
        <f>IF($F99="","",'תחום תמיכה א'!AE99)</f>
        <v>66381.635115087047</v>
      </c>
      <c r="O99" s="178"/>
      <c r="P99" s="187">
        <f>IF($F99="","",'תחום תמיכה ב'!AC99)</f>
        <v>93850.204801722241</v>
      </c>
      <c r="Q99" s="187">
        <f>IF($F99="","",IF('תחום תמיכה ג'!O99="",0,'תחום תמיכה ג'!O99))</f>
        <v>0</v>
      </c>
      <c r="R99" s="187">
        <f t="shared" si="4"/>
        <v>2814.1032943790051</v>
      </c>
      <c r="S99" s="187">
        <f>IF($F99="","",'תחום תמיכה ב'!AE99)</f>
        <v>96664.308096101246</v>
      </c>
      <c r="T99" s="187">
        <f>IF($F99="","",IF(Q99='תחום תמיכה ג'!$Q$2,'תחום תמיכה ג'!$Q$2,IFERROR(SUMIF(N99:R99,"&gt;0"),'תחום תמיכה ג'!$Q$2)))</f>
        <v>163045.94321118831</v>
      </c>
      <c r="U99" s="187">
        <f>IF($F99="","",'הזנה לתנאי סף'!Y99)</f>
        <v>1558964</v>
      </c>
      <c r="V99" s="269">
        <f>IF(F99="","",'הגבלה לסכום מבוקש '!AA99)</f>
        <v>179149.48742421714</v>
      </c>
      <c r="W99" s="187">
        <f t="shared" si="5"/>
        <v>44787.371856054284</v>
      </c>
      <c r="X99" s="187">
        <f>IF(F99="","",'הזנה לתנאי סף'!Z99)</f>
        <v>1558964</v>
      </c>
      <c r="Y99" s="237" t="str">
        <f>IFERROR(VLOOKUP(G99*1,#REF!,3,0),"")</f>
        <v/>
      </c>
      <c r="Z99" s="187" t="str">
        <f>IF(OR($F99="",Y99=""),"",IFERROR(IF(Y99&gt;V99,MIN(Y99,T99)-V99,0),'תחום תמיכה ג'!$Q$2))</f>
        <v/>
      </c>
      <c r="AA99" s="259"/>
      <c r="AB99" s="260" t="str">
        <f t="shared" si="6"/>
        <v/>
      </c>
      <c r="AC99" s="261"/>
      <c r="AD99" s="180"/>
      <c r="AE99" s="13" t="str">
        <f>IF($C99="","",IFERROR(VLOOKUP($C99,גיליון1!$A:$E,2,0),"לא הגיש בקשה שוטפת"))</f>
        <v>תמיכה שוטפת מחול נוה הבדואים לשנת 2020</v>
      </c>
      <c r="AF99" s="13" t="str">
        <f>IF($C99="","",IFERROR(VLOOKUP($C99,גיליון1!$A:$E,3,0),"לא הגיש בקשה שוטפת"))</f>
        <v>מועד</v>
      </c>
      <c r="AG99" s="13" t="str">
        <f>IF($C99="","",IFERROR(VLOOKUP($C99,גיליון1!$A:$E,4,0),"לא הגיש בקשה שוטפת"))</f>
        <v>19-42-02-33</v>
      </c>
      <c r="AH99" s="13" t="str">
        <f>IF($C99="","",IFERROR(VLOOKUP($C99,גיליון1!$A:$E,5,0),"לא הגיש בקשה שוטפת"))</f>
        <v>תרבות ערבית ודרוזית</v>
      </c>
      <c r="AI99" s="13">
        <f t="shared" si="7"/>
        <v>0</v>
      </c>
      <c r="AJ99"/>
      <c r="AK99" t="s">
        <v>233</v>
      </c>
    </row>
    <row r="100" spans="1:37" ht="43.5" x14ac:dyDescent="0.25">
      <c r="A100" s="54">
        <f>'הזנה לתנאי סף'!B100</f>
        <v>70</v>
      </c>
      <c r="B100" s="266">
        <f>IF($F100="","",'הזנה לתנאי סף'!C100)</f>
        <v>1001349725</v>
      </c>
      <c r="C100" s="266">
        <f>IF($F100="","",'הזנה לתנאי סף'!D100)</f>
        <v>1001268621</v>
      </c>
      <c r="D100" s="266">
        <f>IF($F100="","",'הזנה לתנאי סף'!E100)</f>
        <v>40000391</v>
      </c>
      <c r="E100" s="55">
        <f>IF($F100="","",'הזנה לתנאי סף'!F100)</f>
        <v>20000132</v>
      </c>
      <c r="F100" s="55" t="str">
        <f>IF('הזנה לתנאי סף'!BL100=1,'הזנה לתנאי סף'!G100,"")</f>
        <v>עמק הירדן</v>
      </c>
      <c r="G100" s="55" t="str">
        <f>IF($F100="","",'הזנה לתנאי סף'!H100)</f>
        <v>מרכז תרבות והנצחה</v>
      </c>
      <c r="H100" s="55" t="str">
        <f>IF($F100="","",'הזנה לתנאי סף'!I100)</f>
        <v>מוזיאונים</v>
      </c>
      <c r="I100" s="187">
        <f>IF($F100="","",'הזנה לתנאי סף'!R100)</f>
        <v>232000</v>
      </c>
      <c r="J100" s="187">
        <f>IF($F100="","",'תחום תמיכה א'!P100)</f>
        <v>238000</v>
      </c>
      <c r="K100" s="177">
        <f>IF($F100="","",'הזנה לתנאי סף'!N100)</f>
        <v>0</v>
      </c>
      <c r="L100" s="177">
        <f>IF($F100="","",'הזנה לתנאי סף'!O100)</f>
        <v>1</v>
      </c>
      <c r="M100" s="177">
        <f>IF($F100="","",'הזנה לתנאי סף'!Q100)</f>
        <v>1</v>
      </c>
      <c r="N100" s="187">
        <f>IF($F100="","",'תחום תמיכה א'!AE100)</f>
        <v>3701.1637851567825</v>
      </c>
      <c r="O100" s="178"/>
      <c r="P100" s="187">
        <f>IF($F100="","",'תחום תמיכה ב'!AC100)</f>
        <v>3200.1336554065415</v>
      </c>
      <c r="Q100" s="187">
        <f>IF($F100="","",IF('תחום תמיכה ג'!O100="",0,'תחום תמיכה ג'!O100))</f>
        <v>0</v>
      </c>
      <c r="R100" s="187">
        <f t="shared" si="4"/>
        <v>95.956174855010886</v>
      </c>
      <c r="S100" s="187">
        <f>IF($F100="","",'תחום תמיכה ב'!AE100)</f>
        <v>3296.0898302615524</v>
      </c>
      <c r="T100" s="187">
        <f>IF($F100="","",IF(Q100='תחום תמיכה ג'!$Q$2,'תחום תמיכה ג'!$Q$2,IFERROR(SUMIF(N100:R100,"&gt;0"),'תחום תמיכה ג'!$Q$2)))</f>
        <v>6997.2536154183344</v>
      </c>
      <c r="U100" s="187">
        <f>IF($F100="","",'הזנה לתנאי סף'!Y100)</f>
        <v>120000</v>
      </c>
      <c r="V100" s="269">
        <f>IF(F100="","",'הגבלה לסכום מבוקש '!AA100)</f>
        <v>7547.0119113678138</v>
      </c>
      <c r="W100" s="187">
        <f t="shared" si="5"/>
        <v>1886.7529778419535</v>
      </c>
      <c r="X100" s="187">
        <f>IF(F100="","",'הזנה לתנאי סף'!Z100)</f>
        <v>65000</v>
      </c>
      <c r="Y100" s="237" t="str">
        <f>IFERROR(VLOOKUP(G100*1,#REF!,3,0),"")</f>
        <v/>
      </c>
      <c r="Z100" s="187" t="str">
        <f>IF(OR($F100="",Y100=""),"",IFERROR(IF(Y100&gt;V100,MIN(Y100,T100)-V100,0),'תחום תמיכה ג'!$Q$2))</f>
        <v/>
      </c>
      <c r="AA100" s="259"/>
      <c r="AB100" s="260" t="str">
        <f t="shared" si="6"/>
        <v/>
      </c>
      <c r="AC100" s="261"/>
      <c r="AD100" s="180"/>
      <c r="AE100" s="13" t="str">
        <f>IF($C100="","",IFERROR(VLOOKUP($C100,גיליון1!$A:$E,2,0),"לא הגיש בקשה שוטפת"))</f>
        <v>תמיכה שוטפת במוזיאון מוכר</v>
      </c>
      <c r="AF100" s="13" t="str">
        <f>IF($C100="","",IFERROR(VLOOKUP($C100,גיליון1!$A:$E,3,0),"לא הגיש בקשה שוטפת"))</f>
        <v>חויב</v>
      </c>
      <c r="AG100" s="13" t="str">
        <f>IF($C100="","",IFERROR(VLOOKUP($C100,גיליון1!$A:$E,4,0),"לא הגיש בקשה שוטפת"))</f>
        <v>19-42-02-18</v>
      </c>
      <c r="AH100" s="13" t="str">
        <f>IF($C100="","",IFERROR(VLOOKUP($C100,גיליון1!$A:$E,5,0),"לא הגיש בקשה שוטפת"))</f>
        <v>מוזיאונים ואמנות פלס</v>
      </c>
      <c r="AI100" s="13">
        <f t="shared" si="7"/>
        <v>0</v>
      </c>
      <c r="AJ100"/>
      <c r="AK100" t="s">
        <v>68</v>
      </c>
    </row>
    <row r="101" spans="1:37" ht="29.25" x14ac:dyDescent="0.25">
      <c r="A101" s="54">
        <f>'הזנה לתנאי סף'!B101</f>
        <v>71</v>
      </c>
      <c r="B101" s="266">
        <f>IF($F101="","",'הזנה לתנאי סף'!C101)</f>
        <v>1001347665</v>
      </c>
      <c r="C101" s="266">
        <f>IF($F101="","",'הזנה לתנאי סף'!D101)</f>
        <v>1001269101</v>
      </c>
      <c r="D101" s="266">
        <f>IF($F101="","",'הזנה לתנאי סף'!E101)</f>
        <v>40000411</v>
      </c>
      <c r="E101" s="55">
        <f>IF($F101="","",'הזנה לתנאי סף'!F101)</f>
        <v>20000159</v>
      </c>
      <c r="F101" s="55" t="str">
        <f>IF('הזנה לתנאי סף'!BL101=1,'הזנה לתנאי סף'!G101,"")</f>
        <v>ירושלים</v>
      </c>
      <c r="G101" s="55" t="str">
        <f>IF($F101="","",'הזנה לתנאי סף'!H101)</f>
        <v>סינמטק ירושלים</v>
      </c>
      <c r="H101" s="55" t="str">
        <f>IF($F101="","",'הזנה לתנאי סף'!I101)</f>
        <v>סינמטקים ופסטיבלים</v>
      </c>
      <c r="I101" s="187">
        <f>IF($F101="","",'הזנה לתנאי סף'!R101)</f>
        <v>11424409</v>
      </c>
      <c r="J101" s="187">
        <f>IF($F101="","",'תחום תמיכה א'!P101)</f>
        <v>10527163</v>
      </c>
      <c r="K101" s="177">
        <f>IF($F101="","",'הזנה לתנאי סף'!N101)</f>
        <v>1</v>
      </c>
      <c r="L101" s="177">
        <f>IF($F101="","",'הזנה לתנאי סף'!O101)</f>
        <v>1</v>
      </c>
      <c r="M101" s="177">
        <f>IF($F101="","",'הזנה לתנאי סף'!Q101)</f>
        <v>1</v>
      </c>
      <c r="N101" s="187">
        <f>IF($F101="","",'תחום תמיכה א'!AE101)</f>
        <v>478254.86847671279</v>
      </c>
      <c r="O101" s="178"/>
      <c r="P101" s="187">
        <f>IF($F101="","",'תחום תמיכה ב'!AC101)</f>
        <v>1344891.6135566067</v>
      </c>
      <c r="Q101" s="187">
        <f>IF($F101="","",IF('תחום תמיכה ג'!O101="",0,'תחום תמיכה ג'!O101))</f>
        <v>232489.23497924843</v>
      </c>
      <c r="R101" s="187">
        <f t="shared" si="4"/>
        <v>40326.645299157361</v>
      </c>
      <c r="S101" s="187">
        <f>IF($F101="","",'תחום תמיכה ב'!AE101)</f>
        <v>1385218.2588557641</v>
      </c>
      <c r="T101" s="187">
        <f>IF($F101="","",IF(Q101='תחום תמיכה ג'!$Q$2,'תחום תמיכה ג'!$Q$2,IFERROR(SUMIF(N101:R101,"&gt;0"),'תחום תמיכה ג'!$Q$2)))</f>
        <v>2095962.3623117253</v>
      </c>
      <c r="U101" s="187">
        <f>IF($F101="","",'הזנה לתנאי סף'!Y101)</f>
        <v>4900000</v>
      </c>
      <c r="V101" s="269">
        <f>IF(F101="","",'הגבלה לסכום מבוקש '!AA101)</f>
        <v>2326619.7561255787</v>
      </c>
      <c r="W101" s="187">
        <f t="shared" si="5"/>
        <v>581654.93903139466</v>
      </c>
      <c r="X101" s="187">
        <f>IF(F101="","",'הזנה לתנאי סף'!Z101)</f>
        <v>3750000</v>
      </c>
      <c r="Y101" s="237" t="str">
        <f>IFERROR(VLOOKUP(G101*1,#REF!,3,0),"")</f>
        <v/>
      </c>
      <c r="Z101" s="187" t="str">
        <f>IF(OR($F101="",Y101=""),"",IFERROR(IF(Y101&gt;V101,MIN(Y101,T101)-V101,0),'תחום תמיכה ג'!$Q$2))</f>
        <v/>
      </c>
      <c r="AA101" s="259"/>
      <c r="AB101" s="260" t="str">
        <f t="shared" si="6"/>
        <v/>
      </c>
      <c r="AC101" s="261"/>
      <c r="AD101" s="180"/>
      <c r="AE101" s="13" t="str">
        <f>IF($C101="","",IFERROR(VLOOKUP($C101,גיליון1!$A:$E,2,0),"לא הגיש בקשה שוטפת"))</f>
        <v>פעילות סינמטק ירושלים</v>
      </c>
      <c r="AF101" s="13" t="str">
        <f>IF($C101="","",IFERROR(VLOOKUP($C101,גיליון1!$A:$E,3,0),"לא הגיש בקשה שוטפת"))</f>
        <v>מועד</v>
      </c>
      <c r="AG101" s="13" t="str">
        <f>IF($C101="","",IFERROR(VLOOKUP($C101,גיליון1!$A:$E,4,0),"לא הגיש בקשה שוטפת"))</f>
        <v>19-42-02-28</v>
      </c>
      <c r="AH101" s="13" t="str">
        <f>IF($C101="","",IFERROR(VLOOKUP($C101,גיליון1!$A:$E,5,0),"לא הגיש בקשה שוטפת"))</f>
        <v>חוק  הקולנוע</v>
      </c>
      <c r="AI101" s="13">
        <f t="shared" si="7"/>
        <v>0</v>
      </c>
      <c r="AJ101"/>
      <c r="AK101" t="s">
        <v>70</v>
      </c>
    </row>
    <row r="102" spans="1:37" ht="29.25" x14ac:dyDescent="0.25">
      <c r="A102" s="54">
        <f>'הזנה לתנאי סף'!B102</f>
        <v>72</v>
      </c>
      <c r="B102" s="266">
        <f>IF($F102="","",'הזנה לתנאי סף'!C102)</f>
        <v>1001347675</v>
      </c>
      <c r="C102" s="266">
        <f>IF($F102="","",'הזנה לתנאי סף'!D102)</f>
        <v>1001269049</v>
      </c>
      <c r="D102" s="266">
        <f>IF($F102="","",'הזנה לתנאי סף'!E102)</f>
        <v>40000411</v>
      </c>
      <c r="E102" s="55">
        <f>IF($F102="","",'הזנה לתנאי סף'!F102)</f>
        <v>20000159</v>
      </c>
      <c r="F102" s="55" t="str">
        <f>IF('הזנה לתנאי סף'!BL102=1,'הזנה לתנאי סף'!G102,"")</f>
        <v>ירושלים</v>
      </c>
      <c r="G102" s="55" t="str">
        <f>IF($F102="","",'הזנה לתנאי סף'!H102)</f>
        <v>סינמטק ירושלים</v>
      </c>
      <c r="H102" s="55" t="str">
        <f>IF($F102="","",'הזנה לתנאי סף'!I102)</f>
        <v>סינמטקים ופסטיבלים</v>
      </c>
      <c r="I102" s="187">
        <f>IF($F102="","",'הזנה לתנאי סף'!R102)</f>
        <v>10364369</v>
      </c>
      <c r="J102" s="187">
        <f>IF($F102="","",'תחום תמיכה א'!P102)</f>
        <v>10527274</v>
      </c>
      <c r="K102" s="177">
        <f>IF($F102="","",'הזנה לתנאי סף'!N102)</f>
        <v>1</v>
      </c>
      <c r="L102" s="177">
        <f>IF($F102="","",'הזנה לתנאי סף'!O102)</f>
        <v>1</v>
      </c>
      <c r="M102" s="177">
        <f>IF($F102="","",'הזנה לתנאי סף'!Q102)</f>
        <v>1</v>
      </c>
      <c r="N102" s="187">
        <f>IF($F102="","",'תחום תמיכה א'!AE102)</f>
        <v>353846.59031986672</v>
      </c>
      <c r="O102" s="178"/>
      <c r="P102" s="187">
        <f>IF($F102="","",'תחום תמיכה ב'!AC102)</f>
        <v>667880.06643668341</v>
      </c>
      <c r="Q102" s="187">
        <f>IF($F102="","",IF('תחום תמיכה ג'!O102="",0,'תחום תמיכה ג'!O102))</f>
        <v>115455.34535167849</v>
      </c>
      <c r="R102" s="187">
        <f t="shared" si="4"/>
        <v>20026.418686888646</v>
      </c>
      <c r="S102" s="187">
        <f>IF($F102="","",'תחום תמיכה ב'!AE102)</f>
        <v>687906.48512357206</v>
      </c>
      <c r="T102" s="187">
        <f>IF($F102="","",IF(Q102='תחום תמיכה ג'!$Q$2,'תחום תמיכה ג'!$Q$2,IFERROR(SUMIF(N102:R102,"&gt;0"),'תחום תמיכה ג'!$Q$2)))</f>
        <v>1157208.4207951173</v>
      </c>
      <c r="U102" s="187">
        <f>IF($F102="","",'הזנה לתנאי סף'!Y102)</f>
        <v>2000000</v>
      </c>
      <c r="V102" s="269">
        <f>IF(F102="","",'הגבלה לסכום מבוקש '!AA102)</f>
        <v>1271807.0383746342</v>
      </c>
      <c r="W102" s="187">
        <f t="shared" si="5"/>
        <v>317951.75959365856</v>
      </c>
      <c r="X102" s="187">
        <f>IF(F102="","",'הזנה לתנאי סף'!Z102)</f>
        <v>1250000</v>
      </c>
      <c r="Y102" s="237" t="str">
        <f>IFERROR(VLOOKUP(G102*1,#REF!,3,0),"")</f>
        <v/>
      </c>
      <c r="Z102" s="187" t="str">
        <f>IF(OR($F102="",Y102=""),"",IFERROR(IF(Y102&gt;V102,MIN(Y102,T102)-V102,0),'תחום תמיכה ג'!$Q$2))</f>
        <v/>
      </c>
      <c r="AA102" s="259"/>
      <c r="AB102" s="260" t="str">
        <f t="shared" si="6"/>
        <v/>
      </c>
      <c r="AC102" s="261"/>
      <c r="AD102" s="180"/>
      <c r="AE102" s="13" t="str">
        <f>IF($C102="","",IFERROR(VLOOKUP($C102,גיליון1!$A:$E,2,0),"לא הגיש בקשה שוטפת"))</f>
        <v>פסטיבל הקולנוע ירושלים</v>
      </c>
      <c r="AF102" s="13" t="str">
        <f>IF($C102="","",IFERROR(VLOOKUP($C102,גיליון1!$A:$E,3,0),"לא הגיש בקשה שוטפת"))</f>
        <v>מועד</v>
      </c>
      <c r="AG102" s="13" t="str">
        <f>IF($C102="","",IFERROR(VLOOKUP($C102,גיליון1!$A:$E,4,0),"לא הגיש בקשה שוטפת"))</f>
        <v>19-42-02-28</v>
      </c>
      <c r="AH102" s="13" t="str">
        <f>IF($C102="","",IFERROR(VLOOKUP($C102,גיליון1!$A:$E,5,0),"לא הגיש בקשה שוטפת"))</f>
        <v>חוק  הקולנוע</v>
      </c>
      <c r="AI102" s="13">
        <f t="shared" si="7"/>
        <v>0</v>
      </c>
      <c r="AJ102"/>
      <c r="AK102" t="s">
        <v>72</v>
      </c>
    </row>
    <row r="103" spans="1:37" ht="29.25" x14ac:dyDescent="0.25">
      <c r="A103" s="54">
        <f>'הזנה לתנאי סף'!B103</f>
        <v>73</v>
      </c>
      <c r="B103" s="266">
        <f>IF($F103="","",'הזנה לתנאי סף'!C103)</f>
        <v>1001346703</v>
      </c>
      <c r="C103" s="266">
        <f>IF($F103="","",'הזנה לתנאי סף'!D103)</f>
        <v>1001278260</v>
      </c>
      <c r="D103" s="266">
        <f>IF($F103="","",'הזנה לתנאי סף'!E103)</f>
        <v>40000449</v>
      </c>
      <c r="E103" s="55">
        <f>IF($F103="","",'הזנה לתנאי סף'!F103)</f>
        <v>20000201</v>
      </c>
      <c r="F103" s="55" t="str">
        <f>IF('הזנה לתנאי סף'!BL103=1,'הזנה לתנאי סף'!G103,"")</f>
        <v>תל אביב -יפו</v>
      </c>
      <c r="G103" s="55" t="str">
        <f>IF($F103="","",'הזנה לתנאי סף'!H103)</f>
        <v>תיאטרון בית ליסין</v>
      </c>
      <c r="H103" s="55" t="str">
        <f>IF($F103="","",'הזנה לתנאי סף'!I103)</f>
        <v>תיאטרון</v>
      </c>
      <c r="I103" s="187">
        <f>IF($F103="","",'הזנה לתנאי סף'!R103)</f>
        <v>57910193</v>
      </c>
      <c r="J103" s="187">
        <f>IF($F103="","",'תחום תמיכה א'!P103)</f>
        <v>60050497</v>
      </c>
      <c r="K103" s="177">
        <f>IF($F103="","",'הזנה לתנאי סף'!N103)</f>
        <v>1</v>
      </c>
      <c r="L103" s="177">
        <f>IF($F103="","",'הזנה לתנאי סף'!O103)</f>
        <v>1</v>
      </c>
      <c r="M103" s="177">
        <f>IF($F103="","",'הזנה לתנאי סף'!Q103)</f>
        <v>1</v>
      </c>
      <c r="N103" s="187">
        <f>IF($F103="","",'תחום תמיכה א'!AE103)</f>
        <v>2337602.489157028</v>
      </c>
      <c r="O103" s="178"/>
      <c r="P103" s="187">
        <f>IF($F103="","",'תחום תמיכה ב'!AC103)</f>
        <v>4984236.4484257838</v>
      </c>
      <c r="Q103" s="187">
        <f>IF($F103="","",IF('תחום תמיכה ג'!O103="",0,'תחום תמיכה ג'!O103))</f>
        <v>2090103.5153578962</v>
      </c>
      <c r="R103" s="187">
        <f t="shared" si="4"/>
        <v>149452.59031785838</v>
      </c>
      <c r="S103" s="187">
        <f>IF($F103="","",'תחום תמיכה ב'!AE103)</f>
        <v>5133689.0387436422</v>
      </c>
      <c r="T103" s="187">
        <f>IF($F103="","",IF(Q103='תחום תמיכה ג'!$Q$2,'תחום תמיכה ג'!$Q$2,IFERROR(SUMIF(N103:R103,"&gt;0"),'תחום תמיכה ג'!$Q$2)))</f>
        <v>9561395.0432585664</v>
      </c>
      <c r="U103" s="187">
        <f>IF($F103="","",'הזנה לתנאי סף'!Y103)</f>
        <v>12000000</v>
      </c>
      <c r="V103" s="269">
        <f>IF(F103="","",'הגבלה לסכום מבוקש '!AA103)</f>
        <v>10417039.726502443</v>
      </c>
      <c r="W103" s="187">
        <f t="shared" si="5"/>
        <v>2604259.9316256107</v>
      </c>
      <c r="X103" s="187">
        <f>IF(F103="","",'הזנה לתנאי סף'!Z103)</f>
        <v>2000000</v>
      </c>
      <c r="Y103" s="237" t="str">
        <f>IFERROR(VLOOKUP(G103*1,#REF!,3,0),"")</f>
        <v/>
      </c>
      <c r="Z103" s="187" t="str">
        <f>IF(OR($F103="",Y103=""),"",IFERROR(IF(Y103&gt;V103,MIN(Y103,T103)-V103,0),'תחום תמיכה ג'!$Q$2))</f>
        <v/>
      </c>
      <c r="AA103" s="259"/>
      <c r="AB103" s="260" t="str">
        <f t="shared" si="6"/>
        <v/>
      </c>
      <c r="AC103" s="261"/>
      <c r="AD103" s="180"/>
      <c r="AE103" s="13" t="str">
        <f>IF($C103="","",IFERROR(VLOOKUP($C103,גיליון1!$A:$E,2,0),"לא הגיש בקשה שוטפת"))</f>
        <v>בקשת תמיכה שוטפת 2020</v>
      </c>
      <c r="AF103" s="13" t="str">
        <f>IF($C103="","",IFERROR(VLOOKUP($C103,גיליון1!$A:$E,3,0),"לא הגיש בקשה שוטפת"))</f>
        <v>חויב</v>
      </c>
      <c r="AG103" s="13" t="str">
        <f>IF($C103="","",IFERROR(VLOOKUP($C103,גיליון1!$A:$E,4,0),"לא הגיש בקשה שוטפת"))</f>
        <v>19-42-02-07</v>
      </c>
      <c r="AH103" s="13" t="str">
        <f>IF($C103="","",IFERROR(VLOOKUP($C103,גיליון1!$A:$E,5,0),"לא הגיש בקשה שוטפת"))</f>
        <v>תיאטרון</v>
      </c>
      <c r="AI103" s="13">
        <f t="shared" si="7"/>
        <v>0</v>
      </c>
      <c r="AJ103"/>
      <c r="AK103" t="s">
        <v>73</v>
      </c>
    </row>
    <row r="104" spans="1:37" ht="72" x14ac:dyDescent="0.25">
      <c r="A104" s="54">
        <f>'הזנה לתנאי סף'!B104</f>
        <v>74</v>
      </c>
      <c r="B104" s="266">
        <f>IF($F104="","",'הזנה לתנאי סף'!C104)</f>
        <v>1001348511</v>
      </c>
      <c r="C104" s="266">
        <f>IF($F104="","",'הזנה לתנאי סף'!D104)</f>
        <v>1001271268</v>
      </c>
      <c r="D104" s="266">
        <f>IF($F104="","",'הזנה לתנאי סף'!E104)</f>
        <v>40000594</v>
      </c>
      <c r="E104" s="55">
        <f>IF($F104="","",'הזנה לתנאי סף'!F104)</f>
        <v>20000185</v>
      </c>
      <c r="F104" s="55" t="str">
        <f>IF('הזנה לתנאי סף'!BL104=1,'הזנה לתנאי סף'!G104,"")</f>
        <v>עמק חפר</v>
      </c>
      <c r="G104" s="55" t="str">
        <f>IF($F104="","",'הזנה לתנאי סף'!H104)</f>
        <v>עמותת מקהלות מורן והבית לשירה בישרא</v>
      </c>
      <c r="H104" s="55" t="str">
        <f>IF($F104="","",'הזנה לתנאי סף'!I104)</f>
        <v>מקהלות</v>
      </c>
      <c r="I104" s="187">
        <f>IF($F104="","",'הזנה לתנאי סף'!R104)</f>
        <v>543814</v>
      </c>
      <c r="J104" s="187">
        <f>IF($F104="","",'תחום תמיכה א'!P104)</f>
        <v>542470</v>
      </c>
      <c r="K104" s="177">
        <f>IF($F104="","",'הזנה לתנאי סף'!N104)</f>
        <v>0</v>
      </c>
      <c r="L104" s="177">
        <f>IF($F104="","",'הזנה לתנאי סף'!O104)</f>
        <v>1</v>
      </c>
      <c r="M104" s="177">
        <f>IF($F104="","",'הזנה לתנאי סף'!Q104)</f>
        <v>1</v>
      </c>
      <c r="N104" s="187">
        <f>IF($F104="","",'תחום תמיכה א'!AE104)</f>
        <v>18127.699997579377</v>
      </c>
      <c r="O104" s="178"/>
      <c r="P104" s="187">
        <f>IF($F104="","",'תחום תמיכה ב'!AC104)</f>
        <v>22088.472067532512</v>
      </c>
      <c r="Q104" s="187">
        <f>IF($F104="","",IF('תחום תמיכה ג'!O104="",0,'תחום תמיכה ג'!O104))</f>
        <v>0</v>
      </c>
      <c r="R104" s="187">
        <f t="shared" si="4"/>
        <v>662.32398900317639</v>
      </c>
      <c r="S104" s="187">
        <f>IF($F104="","",'תחום תמיכה ב'!AE104)</f>
        <v>22750.796056535688</v>
      </c>
      <c r="T104" s="187">
        <f>IF($F104="","",IF(Q104='תחום תמיכה ג'!$Q$2,'תחום תמיכה ג'!$Q$2,IFERROR(SUMIF(N104:R104,"&gt;0"),'תחום תמיכה ג'!$Q$2)))</f>
        <v>40878.496054115065</v>
      </c>
      <c r="U104" s="187">
        <f>IF($F104="","",'הזנה לתנאי סף'!Y104)</f>
        <v>211375</v>
      </c>
      <c r="V104" s="269">
        <f>IF(F104="","",'הגבלה לסכום מבוקש '!AA104)</f>
        <v>44669.747206508444</v>
      </c>
      <c r="W104" s="187">
        <f t="shared" si="5"/>
        <v>11167.436801627111</v>
      </c>
      <c r="X104" s="187">
        <f>IF(F104="","",'הזנה לתנאי סף'!Z104)</f>
        <v>80000</v>
      </c>
      <c r="Y104" s="237" t="str">
        <f>IFERROR(VLOOKUP(G104*1,#REF!,3,0),"")</f>
        <v/>
      </c>
      <c r="Z104" s="187" t="str">
        <f>IF(OR($F104="",Y104=""),"",IFERROR(IF(Y104&gt;V104,MIN(Y104,T104)-V104,0),'תחום תמיכה ג'!$Q$2))</f>
        <v/>
      </c>
      <c r="AA104" s="259"/>
      <c r="AB104" s="260" t="str">
        <f t="shared" si="6"/>
        <v/>
      </c>
      <c r="AC104" s="261"/>
      <c r="AD104" s="180"/>
      <c r="AE104" s="13" t="str">
        <f>IF($C104="","",IFERROR(VLOOKUP($C104,גיליון1!$A:$E,2,0),"לא הגיש בקשה שוטפת"))</f>
        <v>אנסמבל זמרי מורן</v>
      </c>
      <c r="AF104" s="13" t="str">
        <f>IF($C104="","",IFERROR(VLOOKUP($C104,גיליון1!$A:$E,3,0),"לא הגיש בקשה שוטפת"))</f>
        <v>מועד</v>
      </c>
      <c r="AG104" s="13" t="str">
        <f>IF($C104="","",IFERROR(VLOOKUP($C104,גיליון1!$A:$E,4,0),"לא הגיש בקשה שוטפת"))</f>
        <v>19-42-02-16</v>
      </c>
      <c r="AH104" s="13" t="str">
        <f>IF($C104="","",IFERROR(VLOOKUP($C104,גיליון1!$A:$E,5,0),"לא הגיש בקשה שוטפת"))</f>
        <v>מוסיקה</v>
      </c>
      <c r="AI104" s="13">
        <f t="shared" si="7"/>
        <v>0</v>
      </c>
      <c r="AJ104"/>
      <c r="AK104" t="s">
        <v>234</v>
      </c>
    </row>
    <row r="105" spans="1:37" ht="57.75" x14ac:dyDescent="0.25">
      <c r="A105" s="54">
        <f>'הזנה לתנאי סף'!B105</f>
        <v>75</v>
      </c>
      <c r="B105" s="266">
        <f>IF($F105="","",'הזנה לתנאי סף'!C105)</f>
        <v>1001347498</v>
      </c>
      <c r="C105" s="266">
        <f>IF($F105="","",'הזנה לתנאי סף'!D105)</f>
        <v>1001270248</v>
      </c>
      <c r="D105" s="266">
        <f>IF($F105="","",'הזנה לתנאי סף'!E105)</f>
        <v>40000624</v>
      </c>
      <c r="E105" s="55">
        <f>IF($F105="","",'הזנה לתנאי סף'!F105)</f>
        <v>20000247</v>
      </c>
      <c r="F105" s="55" t="str">
        <f>IF('הזנה לתנאי סף'!BL105=1,'הזנה לתנאי סף'!G105,"")</f>
        <v>ראשון לציון</v>
      </c>
      <c r="G105" s="55" t="str">
        <f>IF($F105="","",'הזנה לתנאי סף'!H105)</f>
        <v>עמותת התזמורת הסימפונית ראשון לציון</v>
      </c>
      <c r="H105" s="55" t="str">
        <f>IF($F105="","",'הזנה לתנאי סף'!I105)</f>
        <v>מוסיקה-גופים כליים</v>
      </c>
      <c r="I105" s="187">
        <f>IF($F105="","",'הזנה לתנאי סף'!R105)</f>
        <v>16694630</v>
      </c>
      <c r="J105" s="187">
        <f>IF($F105="","",'תחום תמיכה א'!P105)</f>
        <v>16328524</v>
      </c>
      <c r="K105" s="177">
        <f>IF($F105="","",'הזנה לתנאי סף'!N105)</f>
        <v>1</v>
      </c>
      <c r="L105" s="177">
        <f>IF($F105="","",'הזנה לתנאי סף'!O105)</f>
        <v>1</v>
      </c>
      <c r="M105" s="177">
        <f>IF($F105="","",'הזנה לתנאי סף'!Q105)</f>
        <v>1</v>
      </c>
      <c r="N105" s="187">
        <f>IF($F105="","",'תחום תמיכה א'!AE105)</f>
        <v>402250.40619088919</v>
      </c>
      <c r="O105" s="178"/>
      <c r="P105" s="187">
        <f>IF($F105="","",'תחום תמיכה ב'!AC105)</f>
        <v>577874.27485058235</v>
      </c>
      <c r="Q105" s="187">
        <f>IF($F105="","",IF('תחום תמיכה ג'!O105="",0,'תחום תמיכה ג'!O105))</f>
        <v>1020000</v>
      </c>
      <c r="R105" s="187">
        <f t="shared" si="4"/>
        <v>17327.590323639452</v>
      </c>
      <c r="S105" s="187">
        <f>IF($F105="","",'תחום תמיכה ב'!AE105)</f>
        <v>595201.86517422181</v>
      </c>
      <c r="T105" s="187">
        <f>IF($F105="","",IF(Q105='תחום תמיכה ג'!$Q$2,'תחום תמיכה ג'!$Q$2,IFERROR(SUMIF(N105:R105,"&gt;0"),'תחום תמיכה ג'!$Q$2)))</f>
        <v>2017452.2713651112</v>
      </c>
      <c r="U105" s="187">
        <f>IF($F105="","",'הזנה לתנאי סף'!Y105)</f>
        <v>4000000</v>
      </c>
      <c r="V105" s="269">
        <f>IF(F105="","",'הגבלה לסכום מבוקש '!AA105)</f>
        <v>2117069.8886835263</v>
      </c>
      <c r="W105" s="187">
        <f t="shared" si="5"/>
        <v>529267.47217088158</v>
      </c>
      <c r="X105" s="187">
        <f>IF(F105="","",'הזנה לתנאי סף'!Z105)</f>
        <v>50000</v>
      </c>
      <c r="Y105" s="237" t="str">
        <f>IFERROR(VLOOKUP(G105*1,#REF!,3,0),"")</f>
        <v/>
      </c>
      <c r="Z105" s="187" t="str">
        <f>IF(OR($F105="",Y105=""),"",IFERROR(IF(Y105&gt;V105,MIN(Y105,T105)-V105,0),'תחום תמיכה ג'!$Q$2))</f>
        <v/>
      </c>
      <c r="AA105" s="259"/>
      <c r="AB105" s="260" t="str">
        <f t="shared" si="6"/>
        <v/>
      </c>
      <c r="AC105" s="261"/>
      <c r="AD105" s="180"/>
      <c r="AE105" s="13" t="str">
        <f>IF($C105="","",IFERROR(VLOOKUP($C105,גיליון1!$A:$E,2,0),"לא הגיש בקשה שוטפת"))</f>
        <v>בקשת תמיכה לשנת 2020</v>
      </c>
      <c r="AF105" s="13" t="str">
        <f>IF($C105="","",IFERROR(VLOOKUP($C105,גיליון1!$A:$E,3,0),"לא הגיש בקשה שוטפת"))</f>
        <v>חויב</v>
      </c>
      <c r="AG105" s="13" t="str">
        <f>IF($C105="","",IFERROR(VLOOKUP($C105,גיליון1!$A:$E,4,0),"לא הגיש בקשה שוטפת"))</f>
        <v>19-42-02-16</v>
      </c>
      <c r="AH105" s="13" t="str">
        <f>IF($C105="","",IFERROR(VLOOKUP($C105,גיליון1!$A:$E,5,0),"לא הגיש בקשה שוטפת"))</f>
        <v>מוסיקה</v>
      </c>
      <c r="AI105" s="13">
        <f t="shared" si="7"/>
        <v>0</v>
      </c>
      <c r="AJ105"/>
      <c r="AK105" t="s">
        <v>75</v>
      </c>
    </row>
    <row r="106" spans="1:37" ht="57.75" x14ac:dyDescent="0.25">
      <c r="A106" s="54">
        <f>'הזנה לתנאי סף'!B106</f>
        <v>76</v>
      </c>
      <c r="B106" s="266">
        <f>IF($F106="","",'הזנה לתנאי סף'!C106)</f>
        <v>1001345723</v>
      </c>
      <c r="C106" s="266">
        <f>IF($F106="","",'הזנה לתנאי סף'!D106)</f>
        <v>1001262216</v>
      </c>
      <c r="D106" s="266">
        <f>IF($F106="","",'הזנה לתנאי סף'!E106)</f>
        <v>40000690</v>
      </c>
      <c r="E106" s="55">
        <f>IF($F106="","",'הזנה לתנאי סף'!F106)</f>
        <v>20000135</v>
      </c>
      <c r="F106" s="55" t="str">
        <f>IF('הזנה לתנאי סף'!BL106=1,'הזנה לתנאי סף'!G106,"")</f>
        <v>הגלבוע</v>
      </c>
      <c r="G106" s="55" t="str">
        <f>IF($F106="","",'הזנה לתנאי סף'!H106)</f>
        <v>בית חיים שטורמן - מוזיאון ומכון ליד</v>
      </c>
      <c r="H106" s="55" t="str">
        <f>IF($F106="","",'הזנה לתנאי סף'!I106)</f>
        <v>מוזיאונים</v>
      </c>
      <c r="I106" s="187">
        <f>IF($F106="","",'הזנה לתנאי סף'!R106)</f>
        <v>780872</v>
      </c>
      <c r="J106" s="187">
        <f>IF($F106="","",'תחום תמיכה א'!P106)</f>
        <v>776665</v>
      </c>
      <c r="K106" s="177">
        <f>IF($F106="","",'הזנה לתנאי סף'!N106)</f>
        <v>0</v>
      </c>
      <c r="L106" s="177">
        <f>IF($F106="","",'הזנה לתנאי סף'!O106)</f>
        <v>1</v>
      </c>
      <c r="M106" s="177">
        <f>IF($F106="","",'הזנה לתנאי סף'!Q106)</f>
        <v>1</v>
      </c>
      <c r="N106" s="187">
        <f>IF($F106="","",'תחום תמיכה א'!AE106)</f>
        <v>15375.616652167379</v>
      </c>
      <c r="O106" s="178"/>
      <c r="P106" s="187">
        <f>IF($F106="","",'תחום תמיכה ב'!AC106)</f>
        <v>17455.604977111641</v>
      </c>
      <c r="Q106" s="187">
        <f>IF($F106="","",IF('תחום תמיכה ג'!O106="",0,'תחום תמיכה ג'!O106))</f>
        <v>0</v>
      </c>
      <c r="R106" s="187">
        <f t="shared" si="4"/>
        <v>523.40722724311854</v>
      </c>
      <c r="S106" s="187">
        <f>IF($F106="","",'תחום תמיכה ב'!AE106)</f>
        <v>17979.01220435476</v>
      </c>
      <c r="T106" s="187">
        <f>IF($F106="","",IF(Q106='תחום תמיכה ג'!$Q$2,'תחום תמיכה ג'!$Q$2,IFERROR(SUMIF(N106:R106,"&gt;0"),'תחום תמיכה ג'!$Q$2)))</f>
        <v>33354.628856522133</v>
      </c>
      <c r="U106" s="187">
        <f>IF($F106="","",'הזנה לתנאי סף'!Y106)</f>
        <v>780872</v>
      </c>
      <c r="V106" s="269">
        <f>IF(F106="","",'הגבלה לסכום מבוקש '!AA106)</f>
        <v>36351.175792046</v>
      </c>
      <c r="W106" s="187">
        <f t="shared" si="5"/>
        <v>9087.7939480115001</v>
      </c>
      <c r="X106" s="187">
        <f>IF(F106="","",'הזנה לתנאי סף'!Z106)</f>
        <v>230000</v>
      </c>
      <c r="Y106" s="237" t="str">
        <f>IFERROR(VLOOKUP(G106*1,#REF!,3,0),"")</f>
        <v/>
      </c>
      <c r="Z106" s="187" t="str">
        <f>IF(OR($F106="",Y106=""),"",IFERROR(IF(Y106&gt;V106,MIN(Y106,T106)-V106,0),'תחום תמיכה ג'!$Q$2))</f>
        <v/>
      </c>
      <c r="AA106" s="259"/>
      <c r="AB106" s="260" t="str">
        <f t="shared" si="6"/>
        <v/>
      </c>
      <c r="AC106" s="261"/>
      <c r="AD106" s="180"/>
      <c r="AE106" s="13" t="str">
        <f>IF($C106="","",IFERROR(VLOOKUP($C106,גיליון1!$A:$E,2,0),"לא הגיש בקשה שוטפת"))</f>
        <v>תמיכה שוטפת במוזאון</v>
      </c>
      <c r="AF106" s="13" t="str">
        <f>IF($C106="","",IFERROR(VLOOKUP($C106,גיליון1!$A:$E,3,0),"לא הגיש בקשה שוטפת"))</f>
        <v>חויב</v>
      </c>
      <c r="AG106" s="13" t="str">
        <f>IF($C106="","",IFERROR(VLOOKUP($C106,גיליון1!$A:$E,4,0),"לא הגיש בקשה שוטפת"))</f>
        <v>19-42-02-18</v>
      </c>
      <c r="AH106" s="13" t="str">
        <f>IF($C106="","",IFERROR(VLOOKUP($C106,גיליון1!$A:$E,5,0),"לא הגיש בקשה שוטפת"))</f>
        <v>מוזיאונים ואמנות פלס</v>
      </c>
      <c r="AI106" s="13">
        <f t="shared" si="7"/>
        <v>0</v>
      </c>
      <c r="AJ106"/>
      <c r="AK106" t="s">
        <v>76</v>
      </c>
    </row>
    <row r="107" spans="1:37" ht="29.25" x14ac:dyDescent="0.25">
      <c r="A107" s="54">
        <f>'הזנה לתנאי סף'!B107</f>
        <v>77</v>
      </c>
      <c r="B107" s="266">
        <f>IF($F107="","",'הזנה לתנאי סף'!C107)</f>
        <v>1001350383</v>
      </c>
      <c r="C107" s="266">
        <f>IF($F107="","",'הזנה לתנאי סף'!D107)</f>
        <v>1001289932</v>
      </c>
      <c r="D107" s="266">
        <f>IF($F107="","",'הזנה לתנאי סף'!E107)</f>
        <v>40000702</v>
      </c>
      <c r="E107" s="55">
        <f>IF($F107="","",'הזנה לתנאי סף'!F107)</f>
        <v>20000096</v>
      </c>
      <c r="F107" s="55" t="str">
        <f>IF('הזנה לתנאי סף'!BL107=1,'הזנה לתנאי סף'!G107,"")</f>
        <v>שדרות</v>
      </c>
      <c r="G107" s="55" t="str">
        <f>IF($F107="","",'הזנה לתנאי סף'!H107)</f>
        <v>סינמטק שדרות</v>
      </c>
      <c r="H107" s="55" t="str">
        <f>IF($F107="","",'הזנה לתנאי סף'!I107)</f>
        <v>סינמטקים ופסטיבלים</v>
      </c>
      <c r="I107" s="187">
        <f>IF($F107="","",'הזנה לתנאי סף'!R107)</f>
        <v>1875270</v>
      </c>
      <c r="J107" s="187">
        <f>IF($F107="","",'תחום תמיכה א'!P107)</f>
        <v>2116662</v>
      </c>
      <c r="K107" s="177">
        <f>IF($F107="","",'הזנה לתנאי סף'!N107)</f>
        <v>0</v>
      </c>
      <c r="L107" s="177">
        <f>IF($F107="","",'הזנה לתנאי סף'!O107)</f>
        <v>1</v>
      </c>
      <c r="M107" s="177">
        <f>IF($F107="","",'הזנה לתנאי סף'!Q107)</f>
        <v>1</v>
      </c>
      <c r="N107" s="187">
        <f>IF($F107="","",'תחום תמיכה א'!AE107)</f>
        <v>91504.500398272052</v>
      </c>
      <c r="O107" s="178"/>
      <c r="P107" s="187">
        <f>IF($F107="","",'תחום תמיכה ב'!AC107)</f>
        <v>184394.83929113421</v>
      </c>
      <c r="Q107" s="187">
        <f>IF($F107="","",IF('תחום תמיכה ג'!O107="",0,'תחום תמיכה ג'!O107))</f>
        <v>0</v>
      </c>
      <c r="R107" s="187">
        <f t="shared" si="4"/>
        <v>5529.088890236977</v>
      </c>
      <c r="S107" s="187">
        <f>IF($F107="","",'תחום תמיכה ב'!AE107)</f>
        <v>189923.92818137119</v>
      </c>
      <c r="T107" s="187">
        <f>IF($F107="","",IF(Q107='תחום תמיכה ג'!$Q$2,'תחום תמיכה ג'!$Q$2,IFERROR(SUMIF(N107:R107,"&gt;0"),'תחום תמיכה ג'!$Q$2)))</f>
        <v>281428.42857964325</v>
      </c>
      <c r="U107" s="187">
        <f>IF($F107="","",'הזנה לתנאי סף'!Y107)</f>
        <v>810000</v>
      </c>
      <c r="V107" s="269">
        <f>IF(F107="","",'הגבלה לסכום מבוקש '!AA107)</f>
        <v>313050.60005932784</v>
      </c>
      <c r="W107" s="187">
        <f t="shared" si="5"/>
        <v>78262.650014831961</v>
      </c>
      <c r="X107" s="187">
        <f>IF(F107="","",'הזנה לתנאי סף'!Z107)</f>
        <v>810000</v>
      </c>
      <c r="Y107" s="237" t="str">
        <f>IFERROR(VLOOKUP(G107*1,#REF!,3,0),"")</f>
        <v/>
      </c>
      <c r="Z107" s="187" t="str">
        <f>IF(OR($F107="",Y107=""),"",IFERROR(IF(Y107&gt;V107,MIN(Y107,T107)-V107,0),'תחום תמיכה ג'!$Q$2))</f>
        <v/>
      </c>
      <c r="AA107" s="259"/>
      <c r="AB107" s="260" t="str">
        <f t="shared" si="6"/>
        <v/>
      </c>
      <c r="AC107" s="261"/>
      <c r="AD107" s="180"/>
      <c r="AE107" s="13" t="str">
        <f>IF($C107="","",IFERROR(VLOOKUP($C107,גיליון1!$A:$E,2,0),"לא הגיש בקשה שוטפת"))</f>
        <v>תמיכה לשוטף לשנת 2020</v>
      </c>
      <c r="AF107" s="13" t="str">
        <f>IF($C107="","",IFERROR(VLOOKUP($C107,גיליון1!$A:$E,3,0),"לא הגיש בקשה שוטפת"))</f>
        <v>מועד</v>
      </c>
      <c r="AG107" s="13" t="str">
        <f>IF($C107="","",IFERROR(VLOOKUP($C107,גיליון1!$A:$E,4,0),"לא הגיש בקשה שוטפת"))</f>
        <v>19-42-02-28</v>
      </c>
      <c r="AH107" s="13" t="str">
        <f>IF($C107="","",IFERROR(VLOOKUP($C107,גיליון1!$A:$E,5,0),"לא הגיש בקשה שוטפת"))</f>
        <v>חוק  הקולנוע</v>
      </c>
      <c r="AI107" s="13">
        <f t="shared" si="7"/>
        <v>0</v>
      </c>
      <c r="AJ107"/>
      <c r="AK107" t="s">
        <v>235</v>
      </c>
    </row>
    <row r="108" spans="1:37" ht="29.25" x14ac:dyDescent="0.25">
      <c r="A108" s="54">
        <f>'הזנה לתנאי סף'!B108</f>
        <v>78</v>
      </c>
      <c r="B108" s="266">
        <f>IF($F108="","",'הזנה לתנאי סף'!C108)</f>
        <v>1001346201</v>
      </c>
      <c r="C108" s="266">
        <f>IF($F108="","",'הזנה לתנאי סף'!D108)</f>
        <v>1001271257</v>
      </c>
      <c r="D108" s="266">
        <f>IF($F108="","",'הזנה לתנאי סף'!E108)</f>
        <v>40002836</v>
      </c>
      <c r="E108" s="55">
        <f>IF($F108="","",'הזנה לתנאי סף'!F108)</f>
        <v>20000244</v>
      </c>
      <c r="F108" s="55" t="str">
        <f>IF('הזנה לתנאי סף'!BL108=1,'הזנה לתנאי סף'!G108,"")</f>
        <v>צפת</v>
      </c>
      <c r="G108" s="55" t="str">
        <f>IF($F108="","",'הזנה לתנאי סף'!H108)</f>
        <v>בית המאירי</v>
      </c>
      <c r="H108" s="55" t="str">
        <f>IF($F108="","",'הזנה לתנאי סף'!I108)</f>
        <v>מוזיאונים</v>
      </c>
      <c r="I108" s="187">
        <f>IF($F108="","",'הזנה לתנאי סף'!R108)</f>
        <v>369262</v>
      </c>
      <c r="J108" s="187">
        <f>IF($F108="","",'תחום תמיכה א'!P108)</f>
        <v>366545</v>
      </c>
      <c r="K108" s="177">
        <f>IF($F108="","",'הזנה לתנאי סף'!N108)</f>
        <v>0</v>
      </c>
      <c r="L108" s="177">
        <f>IF($F108="","",'הזנה לתנאי סף'!O108)</f>
        <v>1</v>
      </c>
      <c r="M108" s="177">
        <f>IF($F108="","",'הזנה לתנאי סף'!Q108)</f>
        <v>1</v>
      </c>
      <c r="N108" s="187">
        <f>IF($F108="","",'תחום תמיכה א'!AE108)</f>
        <v>6559.8761645047271</v>
      </c>
      <c r="O108" s="178"/>
      <c r="P108" s="187">
        <f>IF($F108="","",'תחום תמיכה ב'!AC108)</f>
        <v>6745.7266449121298</v>
      </c>
      <c r="Q108" s="187">
        <f>IF($F108="","",IF('תחום תמיכה ג'!O108="",0,'תחום תמיכה ג'!O108))</f>
        <v>0</v>
      </c>
      <c r="R108" s="187">
        <f t="shared" si="4"/>
        <v>202.27096589222401</v>
      </c>
      <c r="S108" s="187">
        <f>IF($F108="","",'תחום תמיכה ב'!AE108)</f>
        <v>6947.9976108043538</v>
      </c>
      <c r="T108" s="187">
        <f>IF($F108="","",IF(Q108='תחום תמיכה ג'!$Q$2,'תחום תמיכה ג'!$Q$2,IFERROR(SUMIF(N108:R108,"&gt;0"),'תחום תמיכה ג'!$Q$2)))</f>
        <v>13507.873775309083</v>
      </c>
      <c r="U108" s="187">
        <f>IF($F108="","",'הזנה לתנאי סף'!Y108)</f>
        <v>180000</v>
      </c>
      <c r="V108" s="269">
        <f>IF(F108="","",'הגבלה לסכום מבוקש '!AA108)</f>
        <v>14666.172103708845</v>
      </c>
      <c r="W108" s="187">
        <f t="shared" si="5"/>
        <v>3666.5430259272111</v>
      </c>
      <c r="X108" s="187">
        <f>IF(F108="","",'הזנה לתנאי סף'!Z108)</f>
        <v>125000</v>
      </c>
      <c r="Y108" s="237" t="str">
        <f>IFERROR(VLOOKUP(G108*1,#REF!,3,0),"")</f>
        <v/>
      </c>
      <c r="Z108" s="187" t="str">
        <f>IF(OR($F108="",Y108=""),"",IFERROR(IF(Y108&gt;V108,MIN(Y108,T108)-V108,0),'תחום תמיכה ג'!$Q$2))</f>
        <v/>
      </c>
      <c r="AA108" s="259"/>
      <c r="AB108" s="260" t="str">
        <f t="shared" si="6"/>
        <v/>
      </c>
      <c r="AC108" s="261"/>
      <c r="AD108" s="180"/>
      <c r="AE108" s="13" t="str">
        <f>IF($C108="","",IFERROR(VLOOKUP($C108,גיליון1!$A:$E,2,0),"לא הגיש בקשה שוטפת"))</f>
        <v>תמיכה בתפעול השוטף של המוזאון בשנת 2020</v>
      </c>
      <c r="AF108" s="13" t="str">
        <f>IF($C108="","",IFERROR(VLOOKUP($C108,גיליון1!$A:$E,3,0),"לא הגיש בקשה שוטפת"))</f>
        <v>חויב</v>
      </c>
      <c r="AG108" s="13" t="str">
        <f>IF($C108="","",IFERROR(VLOOKUP($C108,גיליון1!$A:$E,4,0),"לא הגיש בקשה שוטפת"))</f>
        <v>19-42-02-18</v>
      </c>
      <c r="AH108" s="13" t="str">
        <f>IF($C108="","",IFERROR(VLOOKUP($C108,גיליון1!$A:$E,5,0),"לא הגיש בקשה שוטפת"))</f>
        <v>מוזיאונים ואמנות פלס</v>
      </c>
      <c r="AI108" s="13">
        <f t="shared" si="7"/>
        <v>0</v>
      </c>
      <c r="AJ108"/>
      <c r="AK108" t="s">
        <v>77</v>
      </c>
    </row>
    <row r="109" spans="1:37" ht="43.5" x14ac:dyDescent="0.25">
      <c r="A109" s="54">
        <f>'הזנה לתנאי סף'!B109</f>
        <v>79</v>
      </c>
      <c r="B109" s="266">
        <f>IF($F109="","",'הזנה לתנאי סף'!C109)</f>
        <v>1001350540</v>
      </c>
      <c r="C109" s="266">
        <f>IF($F109="","",'הזנה לתנאי סף'!D109)</f>
        <v>1001274933</v>
      </c>
      <c r="D109" s="266">
        <f>IF($F109="","",'הזנה לתנאי סף'!E109)</f>
        <v>40000481</v>
      </c>
      <c r="E109" s="55">
        <f>IF($F109="","",'הזנה לתנאי סף'!F109)</f>
        <v>20000159</v>
      </c>
      <c r="F109" s="55" t="str">
        <f>IF('הזנה לתנאי סף'!BL109=1,'הזנה לתנאי סף'!G109,"")</f>
        <v>ירושלים</v>
      </c>
      <c r="G109" s="55" t="str">
        <f>IF($F109="","",'הזנה לתנאי סף'!H109)</f>
        <v>התזמורת הסימפונית ירושלים</v>
      </c>
      <c r="H109" s="55" t="str">
        <f>IF($F109="","",'הזנה לתנאי סף'!I109)</f>
        <v>מוסיקה-גופים כליים</v>
      </c>
      <c r="I109" s="187">
        <f>IF($F109="","",'הזנה לתנאי סף'!R109)</f>
        <v>11327730</v>
      </c>
      <c r="J109" s="187">
        <f>IF($F109="","",'תחום תמיכה א'!P109)</f>
        <v>17162482</v>
      </c>
      <c r="K109" s="177">
        <f>IF($F109="","",'הזנה לתנאי סף'!N109)</f>
        <v>1</v>
      </c>
      <c r="L109" s="177">
        <f>IF($F109="","",'הזנה לתנאי סף'!O109)</f>
        <v>1</v>
      </c>
      <c r="M109" s="177">
        <f>IF($F109="","",'הזנה לתנאי סף'!Q109)</f>
        <v>1</v>
      </c>
      <c r="N109" s="187">
        <f>IF($F109="","",'תחום תמיכה א'!AE109)</f>
        <v>245862.55101681247</v>
      </c>
      <c r="O109" s="178"/>
      <c r="P109" s="187">
        <f>IF($F109="","",'תחום תמיכה ב'!AC109)</f>
        <v>132594.31519267918</v>
      </c>
      <c r="Q109" s="187">
        <f>IF($F109="","",IF('תחום תמיכה ג'!O109="",0,'תחום תמיכה ג'!O109))</f>
        <v>22921.364510721454</v>
      </c>
      <c r="R109" s="187">
        <f t="shared" si="4"/>
        <v>3975.8474687185662</v>
      </c>
      <c r="S109" s="187">
        <f>IF($F109="","",'תחום תמיכה ב'!AE109)</f>
        <v>136570.16266139774</v>
      </c>
      <c r="T109" s="187">
        <f>IF($F109="","",IF(Q109='תחום תמיכה ג'!$Q$2,'תחום תמיכה ג'!$Q$2,IFERROR(SUMIF(N109:R109,"&gt;0"),'תחום תמיכה ג'!$Q$2)))</f>
        <v>405354.07818893169</v>
      </c>
      <c r="U109" s="187">
        <f>IF($F109="","",'הזנה לתנאי סף'!Y109)</f>
        <v>4000000</v>
      </c>
      <c r="V109" s="269">
        <f>IF(F109="","",'הגבלה לסכום מבוקש '!AA109)</f>
        <v>428185.31781795382</v>
      </c>
      <c r="W109" s="187">
        <f t="shared" si="5"/>
        <v>107046.32945448846</v>
      </c>
      <c r="X109" s="187">
        <f>IF(F109="","",'הזנה לתנאי סף'!Z109)</f>
        <v>50000</v>
      </c>
      <c r="Y109" s="237" t="str">
        <f>IFERROR(VLOOKUP(G109*1,#REF!,3,0),"")</f>
        <v/>
      </c>
      <c r="Z109" s="187" t="str">
        <f>IF(OR($F109="",Y109=""),"",IFERROR(IF(Y109&gt;V109,MIN(Y109,T109)-V109,0),'תחום תמיכה ג'!$Q$2))</f>
        <v/>
      </c>
      <c r="AA109" s="259"/>
      <c r="AB109" s="260" t="str">
        <f t="shared" si="6"/>
        <v/>
      </c>
      <c r="AC109" s="261"/>
      <c r="AD109" s="180"/>
      <c r="AE109" s="13" t="str">
        <f>IF($C109="","",IFERROR(VLOOKUP($C109,גיליון1!$A:$E,2,0),"לא הגיש בקשה שוטפת"))</f>
        <v>תמיכה שוטפת לשנת 2020 לתזמורת הסימפונית</v>
      </c>
      <c r="AF109" s="13" t="str">
        <f>IF($C109="","",IFERROR(VLOOKUP($C109,גיליון1!$A:$E,3,0),"לא הגיש בקשה שוטפת"))</f>
        <v>חויב</v>
      </c>
      <c r="AG109" s="13" t="str">
        <f>IF($C109="","",IFERROR(VLOOKUP($C109,גיליון1!$A:$E,4,0),"לא הגיש בקשה שוטפת"))</f>
        <v>19-42-02-16</v>
      </c>
      <c r="AH109" s="13" t="str">
        <f>IF($C109="","",IFERROR(VLOOKUP($C109,גיליון1!$A:$E,5,0),"לא הגיש בקשה שוטפת"))</f>
        <v>מוסיקה</v>
      </c>
      <c r="AI109" s="13">
        <f t="shared" si="7"/>
        <v>0</v>
      </c>
      <c r="AJ109"/>
      <c r="AK109" t="s">
        <v>79</v>
      </c>
    </row>
    <row r="110" spans="1:37" ht="29.25" x14ac:dyDescent="0.25">
      <c r="A110" s="54">
        <f>'הזנה לתנאי סף'!B110</f>
        <v>80</v>
      </c>
      <c r="B110" s="266">
        <f>IF($F110="","",'הזנה לתנאי סף'!C110)</f>
        <v>1001351066</v>
      </c>
      <c r="C110" s="266">
        <f>IF($F110="","",'הזנה לתנאי סף'!D110)</f>
        <v>1001274404</v>
      </c>
      <c r="D110" s="266">
        <f>IF($F110="","",'הזנה לתנאי סף'!E110)</f>
        <v>40216097</v>
      </c>
      <c r="E110" s="55">
        <f>IF($F110="","",'הזנה לתנאי סף'!F110)</f>
        <v>20000201</v>
      </c>
      <c r="F110" s="55" t="str">
        <f>IF('הזנה לתנאי סף'!BL110=1,'הזנה לתנאי סף'!G110,"")</f>
        <v>תל אביב -יפו</v>
      </c>
      <c r="G110" s="55" t="str">
        <f>IF($F110="","",'הזנה לתנאי סף'!H110)</f>
        <v>אנסמבל סולני ת"א</v>
      </c>
      <c r="H110" s="55" t="str">
        <f>IF($F110="","",'הזנה לתנאי סף'!I110)</f>
        <v>קבוצות מוסיקה</v>
      </c>
      <c r="I110" s="187">
        <f>IF($F110="","",'הזנה לתנאי סף'!R110)</f>
        <v>1221158</v>
      </c>
      <c r="J110" s="187">
        <f>IF($F110="","",'תחום תמיכה א'!P110)</f>
        <v>1383481</v>
      </c>
      <c r="K110" s="177">
        <f>IF($F110="","",'הזנה לתנאי סף'!N110)</f>
        <v>1</v>
      </c>
      <c r="L110" s="177">
        <f>IF($F110="","",'הזנה לתנאי סף'!O110)</f>
        <v>1</v>
      </c>
      <c r="M110" s="177">
        <f>IF($F110="","",'הזנה לתנאי סף'!Q110)</f>
        <v>1</v>
      </c>
      <c r="N110" s="187">
        <f>IF($F110="","",'תחום תמיכה א'!AE110)</f>
        <v>30181.7308855066</v>
      </c>
      <c r="O110" s="178"/>
      <c r="P110" s="187">
        <f>IF($F110="","",'תחום תמיכה ב'!AC110)</f>
        <v>33149.057411483234</v>
      </c>
      <c r="Q110" s="187">
        <f>IF($F110="","",IF('תחום תמיכה ג'!O110="",0,'תחום תמיכה ג'!O110))</f>
        <v>13900.817536139308</v>
      </c>
      <c r="R110" s="187">
        <f t="shared" si="4"/>
        <v>993.97621842485387</v>
      </c>
      <c r="S110" s="187">
        <f>IF($F110="","",'תחום תמיכה ב'!AE110)</f>
        <v>34143.033629908088</v>
      </c>
      <c r="T110" s="187">
        <f>IF($F110="","",IF(Q110='תחום תמיכה ג'!$Q$2,'תחום תמיכה ג'!$Q$2,IFERROR(SUMIF(N110:R110,"&gt;0"),'תחום תמיכה ג'!$Q$2)))</f>
        <v>78225.582051553996</v>
      </c>
      <c r="U110" s="187">
        <f>IF($F110="","",'הזנה לתנאי סף'!Y110)</f>
        <v>200000</v>
      </c>
      <c r="V110" s="269">
        <f>IF(F110="","",'הגבלה לסכום מבוקש '!AA110)</f>
        <v>83922.949773513552</v>
      </c>
      <c r="W110" s="187">
        <f t="shared" si="5"/>
        <v>20980.737443378388</v>
      </c>
      <c r="X110" s="187">
        <f>IF(F110="","",'הזנה לתנאי סף'!Z110)</f>
        <v>200000</v>
      </c>
      <c r="Y110" s="237" t="str">
        <f>IFERROR(VLOOKUP(G110*1,#REF!,3,0),"")</f>
        <v/>
      </c>
      <c r="Z110" s="187" t="str">
        <f>IF(OR($F110="",Y110=""),"",IFERROR(IF(Y110&gt;V110,MIN(Y110,T110)-V110,0),'תחום תמיכה ג'!$Q$2))</f>
        <v/>
      </c>
      <c r="AA110" s="259"/>
      <c r="AB110" s="260" t="str">
        <f t="shared" si="6"/>
        <v/>
      </c>
      <c r="AC110" s="261"/>
      <c r="AD110" s="180"/>
      <c r="AE110" s="13" t="str">
        <f>IF($C110="","",IFERROR(VLOOKUP($C110,גיליון1!$A:$E,2,0),"לא הגיש בקשה שוטפת"))</f>
        <v>אנסמבל סולני תל אביב תמיכה 2020</v>
      </c>
      <c r="AF110" s="13" t="str">
        <f>IF($C110="","",IFERROR(VLOOKUP($C110,גיליון1!$A:$E,3,0),"לא הגיש בקשה שוטפת"))</f>
        <v>חויב</v>
      </c>
      <c r="AG110" s="13" t="str">
        <f>IF($C110="","",IFERROR(VLOOKUP($C110,גיליון1!$A:$E,4,0),"לא הגיש בקשה שוטפת"))</f>
        <v>19-42-02-16</v>
      </c>
      <c r="AH110" s="13" t="str">
        <f>IF($C110="","",IFERROR(VLOOKUP($C110,גיליון1!$A:$E,5,0),"לא הגיש בקשה שוטפת"))</f>
        <v>מוסיקה</v>
      </c>
      <c r="AI110" s="13">
        <f t="shared" si="7"/>
        <v>0</v>
      </c>
      <c r="AJ110"/>
      <c r="AK110" t="s">
        <v>81</v>
      </c>
    </row>
    <row r="111" spans="1:37" ht="29.25" x14ac:dyDescent="0.25">
      <c r="A111" s="54">
        <f>'הזנה לתנאי סף'!B111</f>
        <v>81</v>
      </c>
      <c r="B111" s="266">
        <f>IF($F111="","",'הזנה לתנאי סף'!C111)</f>
        <v>1001348972</v>
      </c>
      <c r="C111" s="266">
        <f>IF($F111="","",'הזנה לתנאי סף'!D111)</f>
        <v>1001288922</v>
      </c>
      <c r="D111" s="266">
        <f>IF($F111="","",'הזנה לתנאי סף'!E111)</f>
        <v>40216100</v>
      </c>
      <c r="E111" s="55">
        <f>IF($F111="","",'הזנה לתנאי סף'!F111)</f>
        <v>20000201</v>
      </c>
      <c r="F111" s="55" t="str">
        <f>IF('הזנה לתנאי סף'!BL111=1,'הזנה לתנאי סף'!G111,"")</f>
        <v>תל אביב -יפו</v>
      </c>
      <c r="G111" s="55" t="str">
        <f>IF($F111="","",'הזנה לתנאי סף'!H111)</f>
        <v>אורתו-דה</v>
      </c>
      <c r="H111" s="55" t="str">
        <f>IF($F111="","",'הזנה לתנאי סף'!I111)</f>
        <v>קבוצות תיאטרון</v>
      </c>
      <c r="I111" s="187">
        <f>IF($F111="","",'הזנה לתנאי סף'!R111)</f>
        <v>1860910</v>
      </c>
      <c r="J111" s="187">
        <f>IF($F111="","",'תחום תמיכה א'!P111)</f>
        <v>1880967</v>
      </c>
      <c r="K111" s="177">
        <f>IF($F111="","",'הזנה לתנאי סף'!N111)</f>
        <v>1</v>
      </c>
      <c r="L111" s="177">
        <f>IF($F111="","",'הזנה לתנאי סף'!O111)</f>
        <v>1</v>
      </c>
      <c r="M111" s="177">
        <f>IF($F111="","",'הזנה לתנאי סף'!Q111)</f>
        <v>1</v>
      </c>
      <c r="N111" s="187">
        <f>IF($F111="","",'תחום תמיכה א'!AE111)</f>
        <v>61651.66863271076</v>
      </c>
      <c r="O111" s="178"/>
      <c r="P111" s="187">
        <f>IF($F111="","",'תחום תמיכה ב'!AC111)</f>
        <v>114027.637499348</v>
      </c>
      <c r="Q111" s="187">
        <f>IF($F111="","",IF('תחום תמיכה ג'!O111="",0,'תחום תמיכה ג'!O111))</f>
        <v>47816.66529095282</v>
      </c>
      <c r="R111" s="187">
        <f t="shared" si="4"/>
        <v>3419.124668029297</v>
      </c>
      <c r="S111" s="187">
        <f>IF($F111="","",'תחום תמיכה ב'!AE111)</f>
        <v>117446.7621673773</v>
      </c>
      <c r="T111" s="187">
        <f>IF($F111="","",IF(Q111='תחום תמיכה ג'!$Q$2,'תחום תמיכה ג'!$Q$2,IFERROR(SUMIF(N111:R111,"&gt;0"),'תחום תמיכה ג'!$Q$2)))</f>
        <v>226915.09609104088</v>
      </c>
      <c r="U111" s="187">
        <f>IF($F111="","",'הזנה לתנאי סף'!Y111)</f>
        <v>90000</v>
      </c>
      <c r="V111" s="269">
        <f>IF(F111="","",'הגבלה לסכום מבוקש '!AA111)</f>
        <v>90000</v>
      </c>
      <c r="W111" s="187">
        <f t="shared" si="5"/>
        <v>22500</v>
      </c>
      <c r="X111" s="187">
        <f>IF(F111="","",'הזנה לתנאי סף'!Z111)</f>
        <v>90000</v>
      </c>
      <c r="Y111" s="237" t="str">
        <f>IFERROR(VLOOKUP(G111*1,#REF!,3,0),"")</f>
        <v/>
      </c>
      <c r="Z111" s="187" t="str">
        <f>IF(OR($F111="",Y111=""),"",IFERROR(IF(Y111&gt;V111,MIN(Y111,T111)-V111,0),'תחום תמיכה ג'!$Q$2))</f>
        <v/>
      </c>
      <c r="AA111" s="259"/>
      <c r="AB111" s="260" t="str">
        <f t="shared" si="6"/>
        <v/>
      </c>
      <c r="AC111" s="261"/>
      <c r="AD111" s="180"/>
      <c r="AE111" s="13" t="str">
        <f>IF($C111="","",IFERROR(VLOOKUP($C111,גיליון1!$A:$E,2,0),"לא הגיש בקשה שוטפת"))</f>
        <v>אורתו דה קבוצה בקשת תמיכה 2020</v>
      </c>
      <c r="AF111" s="13" t="str">
        <f>IF($C111="","",IFERROR(VLOOKUP($C111,גיליון1!$A:$E,3,0),"לא הגיש בקשה שוטפת"))</f>
        <v>מועד</v>
      </c>
      <c r="AG111" s="13" t="str">
        <f>IF($C111="","",IFERROR(VLOOKUP($C111,גיליון1!$A:$E,4,0),"לא הגיש בקשה שוטפת"))</f>
        <v>19-42-02-07</v>
      </c>
      <c r="AH111" s="13" t="str">
        <f>IF($C111="","",IFERROR(VLOOKUP($C111,גיליון1!$A:$E,5,0),"לא הגיש בקשה שוטפת"))</f>
        <v>תיאטרון</v>
      </c>
      <c r="AI111" s="13">
        <f t="shared" si="7"/>
        <v>1</v>
      </c>
      <c r="AJ111"/>
      <c r="AK111" t="s">
        <v>86</v>
      </c>
    </row>
    <row r="112" spans="1:37" ht="72" x14ac:dyDescent="0.25">
      <c r="A112" s="54">
        <f>'הזנה לתנאי סף'!B112</f>
        <v>82</v>
      </c>
      <c r="B112" s="266">
        <f>IF($F112="","",'הזנה לתנאי סף'!C112)</f>
        <v>1001347046</v>
      </c>
      <c r="C112" s="266">
        <f>IF($F112="","",'הזנה לתנאי סף'!D112)</f>
        <v>1001277747</v>
      </c>
      <c r="D112" s="266">
        <f>IF($F112="","",'הזנה לתנאי סף'!E112)</f>
        <v>40216106</v>
      </c>
      <c r="E112" s="55">
        <f>IF($F112="","",'הזנה לתנאי סף'!F112)</f>
        <v>20000201</v>
      </c>
      <c r="F112" s="55" t="str">
        <f>IF('הזנה לתנאי סף'!BL112=1,'הזנה לתנאי סף'!G112,"")</f>
        <v>תל אביב -יפו</v>
      </c>
      <c r="G112" s="55" t="str">
        <f>IF($F112="","",'הזנה לתנאי סף'!H112)</f>
        <v>העמותה לקידום תרבות הפלמנקו בישראל</v>
      </c>
      <c r="H112" s="55" t="str">
        <f>IF($F112="","",'הזנה לתנאי סף'!I112)</f>
        <v>מחול</v>
      </c>
      <c r="I112" s="187">
        <f>IF($F112="","",'הזנה לתנאי סף'!R112)</f>
        <v>1702838</v>
      </c>
      <c r="J112" s="187">
        <f>IF($F112="","",'תחום תמיכה א'!P112)</f>
        <v>1708006</v>
      </c>
      <c r="K112" s="177">
        <f>IF($F112="","",'הזנה לתנאי סף'!N112)</f>
        <v>1</v>
      </c>
      <c r="L112" s="177">
        <f>IF($F112="","",'הזנה לתנאי סף'!O112)</f>
        <v>1</v>
      </c>
      <c r="M112" s="177">
        <f>IF($F112="","",'הזנה לתנאי סף'!Q112)</f>
        <v>1</v>
      </c>
      <c r="N112" s="187">
        <f>IF($F112="","",'תחום תמיכה א'!AE112)</f>
        <v>56448.724581400202</v>
      </c>
      <c r="O112" s="178"/>
      <c r="P112" s="187">
        <f>IF($F112="","",'תחום תמיכה ב'!AC112)</f>
        <v>106086.53267294963</v>
      </c>
      <c r="Q112" s="187">
        <f>IF($F112="","",IF('תחום תמיכה ג'!O112="",0,'תחום תמיכה ג'!O112))</f>
        <v>44486.620401384425</v>
      </c>
      <c r="R112" s="187">
        <f t="shared" si="4"/>
        <v>3181.0102249101765</v>
      </c>
      <c r="S112" s="187">
        <f>IF($F112="","",'תחום תמיכה ב'!AE112)</f>
        <v>109267.54289785981</v>
      </c>
      <c r="T112" s="187">
        <f>IF($F112="","",IF(Q112='תחום תמיכה ג'!$Q$2,'תחום תמיכה ג'!$Q$2,IFERROR(SUMIF(N112:R112,"&gt;0"),'תחום תמיכה ג'!$Q$2)))</f>
        <v>210202.88788064441</v>
      </c>
      <c r="U112" s="187">
        <f>IF($F112="","",'הזנה לתנאי סף'!Y112)</f>
        <v>1500000</v>
      </c>
      <c r="V112" s="269">
        <f>IF(F112="","",'הגבלה לסכום מבוקש '!AA112)</f>
        <v>228417.8282923619</v>
      </c>
      <c r="W112" s="187">
        <f t="shared" si="5"/>
        <v>57104.457073090474</v>
      </c>
      <c r="X112" s="187">
        <f>IF(F112="","",'הזנה לתנאי סף'!Z112)</f>
        <v>500000</v>
      </c>
      <c r="Y112" s="237" t="str">
        <f>IFERROR(VLOOKUP(G112*1,#REF!,3,0),"")</f>
        <v/>
      </c>
      <c r="Z112" s="187" t="str">
        <f>IF(OR($F112="",Y112=""),"",IFERROR(IF(Y112&gt;V112,MIN(Y112,T112)-V112,0),'תחום תמיכה ג'!$Q$2))</f>
        <v/>
      </c>
      <c r="AA112" s="259"/>
      <c r="AB112" s="260" t="str">
        <f t="shared" si="6"/>
        <v/>
      </c>
      <c r="AC112" s="261"/>
      <c r="AD112" s="180"/>
      <c r="AE112" s="13" t="str">
        <f>IF($C112="","",IFERROR(VLOOKUP($C112,גיליון1!$A:$E,2,0),"לא הגיש בקשה שוטפת"))</f>
        <v>תמיכה בפעילות שוטפת להקת הפלמנקו הישראלי</v>
      </c>
      <c r="AF112" s="13" t="str">
        <f>IF($C112="","",IFERROR(VLOOKUP($C112,גיליון1!$A:$E,3,0),"לא הגיש בקשה שוטפת"))</f>
        <v>חויב</v>
      </c>
      <c r="AG112" s="13" t="str">
        <f>IF($C112="","",IFERROR(VLOOKUP($C112,גיליון1!$A:$E,4,0),"לא הגיש בקשה שוטפת"))</f>
        <v>19-42-02-20</v>
      </c>
      <c r="AH112" s="13" t="str">
        <f>IF($C112="","",IFERROR(VLOOKUP($C112,גיליון1!$A:$E,5,0),"לא הגיש בקשה שוטפת"))</f>
        <v>מחול וארגוני גג</v>
      </c>
      <c r="AI112" s="13">
        <f t="shared" si="7"/>
        <v>0</v>
      </c>
      <c r="AJ112"/>
      <c r="AK112" t="s">
        <v>93</v>
      </c>
    </row>
    <row r="113" spans="1:37" ht="57.75" x14ac:dyDescent="0.25">
      <c r="A113" s="54">
        <f>'הזנה לתנאי סף'!B113</f>
        <v>83</v>
      </c>
      <c r="B113" s="266">
        <f>IF($F113="","",'הזנה לתנאי סף'!C113)</f>
        <v>1001346702</v>
      </c>
      <c r="C113" s="266">
        <f>IF($F113="","",'הזנה לתנאי סף'!D113)</f>
        <v>1001277088</v>
      </c>
      <c r="D113" s="266">
        <f>IF($F113="","",'הזנה לתנאי סף'!E113)</f>
        <v>40221541</v>
      </c>
      <c r="E113" s="55">
        <f>IF($F113="","",'הזנה לתנאי סף'!F113)</f>
        <v>20000201</v>
      </c>
      <c r="F113" s="55" t="str">
        <f>IF('הזנה לתנאי סף'!BL113=1,'הזנה לתנאי סף'!G113,"")</f>
        <v>תל אביב -יפו</v>
      </c>
      <c r="G113" s="55" t="str">
        <f>IF($F113="","",'הזנה לתנאי סף'!H113)</f>
        <v>מרכז פליציה בלומנטל למוזיקה</v>
      </c>
      <c r="H113" s="55" t="str">
        <f>IF($F113="","",'הזנה לתנאי סף'!I113)</f>
        <v>אופרה</v>
      </c>
      <c r="I113" s="187">
        <f>IF($F113="","",'הזנה לתנאי סף'!R113)</f>
        <v>162910</v>
      </c>
      <c r="J113" s="187">
        <f>IF($F113="","",'תחום תמיכה א'!P113)</f>
        <v>162910</v>
      </c>
      <c r="K113" s="177">
        <f>IF($F113="","",'הזנה לתנאי סף'!N113)</f>
        <v>0</v>
      </c>
      <c r="L113" s="177">
        <f>IF($F113="","",'הזנה לתנאי סף'!O113)</f>
        <v>1</v>
      </c>
      <c r="M113" s="177">
        <f>IF($F113="","",'הזנה לתנאי סף'!Q113)</f>
        <v>1</v>
      </c>
      <c r="N113" s="187">
        <f>IF($F113="","",'תחום תמיכה א'!AE113)</f>
        <v>2345.6537828425007</v>
      </c>
      <c r="O113" s="178"/>
      <c r="P113" s="187">
        <f>IF($F113="","",'תחום תמיכה ב'!AC113)</f>
        <v>1926.3602870142863</v>
      </c>
      <c r="Q113" s="187">
        <f>IF($F113="","",IF('תחום תמיכה ג'!O113="",0,'תחום תמיכה ג'!O113))</f>
        <v>0</v>
      </c>
      <c r="R113" s="187">
        <f t="shared" si="4"/>
        <v>57.762013852827522</v>
      </c>
      <c r="S113" s="187">
        <f>IF($F113="","",'תחום תמיכה ב'!AE113)</f>
        <v>1984.1223008671138</v>
      </c>
      <c r="T113" s="187">
        <f>IF($F113="","",IF(Q113='תחום תמיכה ג'!$Q$2,'תחום תמיכה ג'!$Q$2,IFERROR(SUMIF(N113:R113,"&gt;0"),'תחום תמיכה ג'!$Q$2)))</f>
        <v>4329.7760837096139</v>
      </c>
      <c r="U113" s="187">
        <f>IF($F113="","",'הזנה לתנאי סף'!Y113)</f>
        <v>115000</v>
      </c>
      <c r="V113" s="269">
        <f>IF(F113="","",'הגבלה לסכום מבוקש '!AA113)</f>
        <v>4660.7635213377998</v>
      </c>
      <c r="W113" s="187">
        <f t="shared" si="5"/>
        <v>1165.19088033445</v>
      </c>
      <c r="X113" s="187">
        <f>IF(F113="","",'הזנה לתנאי סף'!Z113)</f>
        <v>115000</v>
      </c>
      <c r="Y113" s="237" t="str">
        <f>IFERROR(VLOOKUP(G113*1,#REF!,3,0),"")</f>
        <v/>
      </c>
      <c r="Z113" s="187" t="str">
        <f>IF(OR($F113="",Y113=""),"",IFERROR(IF(Y113&gt;V113,MIN(Y113,T113)-V113,0),'תחום תמיכה ג'!$Q$2))</f>
        <v/>
      </c>
      <c r="AA113" s="259"/>
      <c r="AB113" s="260" t="str">
        <f t="shared" si="6"/>
        <v/>
      </c>
      <c r="AC113" s="261"/>
      <c r="AD113" s="180"/>
      <c r="AE113" s="13" t="str">
        <f>IF($C113="","",IFERROR(VLOOKUP($C113,גיליון1!$A:$E,2,0),"לא הגיש בקשה שוטפת"))</f>
        <v>אופרה קאמרה</v>
      </c>
      <c r="AF113" s="13" t="str">
        <f>IF($C113="","",IFERROR(VLOOKUP($C113,גיליון1!$A:$E,3,0),"לא הגיש בקשה שוטפת"))</f>
        <v>טיוט</v>
      </c>
      <c r="AG113" s="13" t="str">
        <f>IF($C113="","",IFERROR(VLOOKUP($C113,גיליון1!$A:$E,4,0),"לא הגיש בקשה שוטפת"))</f>
        <v>19-42-02-16</v>
      </c>
      <c r="AH113" s="13" t="str">
        <f>IF($C113="","",IFERROR(VLOOKUP($C113,גיליון1!$A:$E,5,0),"לא הגיש בקשה שוטפת"))</f>
        <v>מוסיקה</v>
      </c>
      <c r="AI113" s="13">
        <f t="shared" si="7"/>
        <v>0</v>
      </c>
      <c r="AJ113"/>
      <c r="AK113" t="s">
        <v>95</v>
      </c>
    </row>
    <row r="114" spans="1:37" ht="57.75" x14ac:dyDescent="0.25">
      <c r="A114" s="54">
        <f>'הזנה לתנאי סף'!B114</f>
        <v>84</v>
      </c>
      <c r="B114" s="266">
        <f>IF($F114="","",'הזנה לתנאי סף'!C114)</f>
        <v>1001346704</v>
      </c>
      <c r="C114" s="266">
        <f>IF($F114="","",'הזנה לתנאי סף'!D114)</f>
        <v>1001277175</v>
      </c>
      <c r="D114" s="266">
        <f>IF($F114="","",'הזנה לתנאי סף'!E114)</f>
        <v>40221541</v>
      </c>
      <c r="E114" s="55">
        <f>IF($F114="","",'הזנה לתנאי סף'!F114)</f>
        <v>20000201</v>
      </c>
      <c r="F114" s="55" t="str">
        <f>IF('הזנה לתנאי סף'!BL114=1,'הזנה לתנאי סף'!G114,"")</f>
        <v>תל אביב -יפו</v>
      </c>
      <c r="G114" s="55" t="str">
        <f>IF($F114="","",'הזנה לתנאי סף'!H114)</f>
        <v>מרכז פליציה בלומנטל למוזיקה</v>
      </c>
      <c r="H114" s="55" t="str">
        <f>IF($F114="","",'הזנה לתנאי סף'!I114)</f>
        <v>קבוצות מוסיקה</v>
      </c>
      <c r="I114" s="187">
        <f>IF($F114="","",'הזנה לתנאי סף'!R114)</f>
        <v>134905</v>
      </c>
      <c r="J114" s="187">
        <f>IF($F114="","",'תחום תמיכה א'!P114)</f>
        <v>134905</v>
      </c>
      <c r="K114" s="177">
        <f>IF($F114="","",'הזנה לתנאי סף'!N114)</f>
        <v>0</v>
      </c>
      <c r="L114" s="177">
        <f>IF($F114="","",'הזנה לתנאי סף'!O114)</f>
        <v>1</v>
      </c>
      <c r="M114" s="177">
        <f>IF($F114="","",'הזנה לתנאי סף'!Q114)</f>
        <v>1</v>
      </c>
      <c r="N114" s="187">
        <f>IF($F114="","",'תחום תמיכה א'!AE114)</f>
        <v>4094.6445258405388</v>
      </c>
      <c r="O114" s="178"/>
      <c r="P114" s="187">
        <f>IF($F114="","",'תחום תמיכה ב'!AC114)</f>
        <v>7088.6217262241225</v>
      </c>
      <c r="Q114" s="187">
        <f>IF($F114="","",IF('תחום תמיכה ג'!O114="",0,'תחום תמיכה ג'!O114))</f>
        <v>0</v>
      </c>
      <c r="R114" s="187">
        <f t="shared" si="4"/>
        <v>212.55269282063182</v>
      </c>
      <c r="S114" s="187">
        <f>IF($F114="","",'תחום תמיכה ב'!AE114)</f>
        <v>7301.1744190447544</v>
      </c>
      <c r="T114" s="187">
        <f>IF($F114="","",IF(Q114='תחום תמיכה ג'!$Q$2,'תחום תמיכה ג'!$Q$2,IFERROR(SUMIF(N114:R114,"&gt;0"),'תחום תמיכה ג'!$Q$2)))</f>
        <v>11395.818944885294</v>
      </c>
      <c r="U114" s="187">
        <f>IF($F114="","",'הזנה לתנאי סף'!Y114)</f>
        <v>86000</v>
      </c>
      <c r="V114" s="269">
        <f>IF(F114="","",'הגבלה לסכום מבוקש '!AA114)</f>
        <v>12611.720946596492</v>
      </c>
      <c r="W114" s="187">
        <f t="shared" si="5"/>
        <v>3152.9302366491229</v>
      </c>
      <c r="X114" s="187">
        <f>IF(F114="","",'הזנה לתנאי סף'!Z114)</f>
        <v>86000</v>
      </c>
      <c r="Y114" s="237" t="str">
        <f>IFERROR(VLOOKUP(G114*1,#REF!,3,0),"")</f>
        <v/>
      </c>
      <c r="Z114" s="187" t="str">
        <f>IF(OR($F114="",Y114=""),"",IFERROR(IF(Y114&gt;V114,MIN(Y114,T114)-V114,0),'תחום תמיכה ג'!$Q$2))</f>
        <v/>
      </c>
      <c r="AA114" s="259"/>
      <c r="AB114" s="260" t="str">
        <f t="shared" si="6"/>
        <v/>
      </c>
      <c r="AC114" s="261"/>
      <c r="AD114" s="180"/>
      <c r="AE114" s="13" t="str">
        <f>IF($C114="","",IFERROR(VLOOKUP($C114,גיליון1!$A:$E,2,0),"לא הגיש בקשה שוטפת"))</f>
        <v>אנסמבל הפניקס</v>
      </c>
      <c r="AF114" s="13" t="str">
        <f>IF($C114="","",IFERROR(VLOOKUP($C114,גיליון1!$A:$E,3,0),"לא הגיש בקשה שוטפת"))</f>
        <v>מועד</v>
      </c>
      <c r="AG114" s="13" t="str">
        <f>IF($C114="","",IFERROR(VLOOKUP($C114,גיליון1!$A:$E,4,0),"לא הגיש בקשה שוטפת"))</f>
        <v>19-42-02-16</v>
      </c>
      <c r="AH114" s="13" t="str">
        <f>IF($C114="","",IFERROR(VLOOKUP($C114,גיליון1!$A:$E,5,0),"לא הגיש בקשה שוטפת"))</f>
        <v>מוסיקה</v>
      </c>
      <c r="AI114" s="13">
        <f t="shared" si="7"/>
        <v>0</v>
      </c>
      <c r="AJ114"/>
      <c r="AK114" t="s">
        <v>236</v>
      </c>
    </row>
    <row r="115" spans="1:37" ht="57.75" x14ac:dyDescent="0.25">
      <c r="A115" s="54">
        <f>'הזנה לתנאי סף'!B115</f>
        <v>85</v>
      </c>
      <c r="B115" s="266">
        <f>IF($F115="","",'הזנה לתנאי סף'!C115)</f>
        <v>1001346707</v>
      </c>
      <c r="C115" s="266">
        <f>IF($F115="","",'הזנה לתנאי סף'!D115)</f>
        <v>1001277143</v>
      </c>
      <c r="D115" s="266">
        <f>IF($F115="","",'הזנה לתנאי סף'!E115)</f>
        <v>40221541</v>
      </c>
      <c r="E115" s="55">
        <f>IF($F115="","",'הזנה לתנאי סף'!F115)</f>
        <v>20000201</v>
      </c>
      <c r="F115" s="55" t="str">
        <f>IF('הזנה לתנאי סף'!BL115=1,'הזנה לתנאי סף'!G115,"")</f>
        <v>תל אביב -יפו</v>
      </c>
      <c r="G115" s="55" t="str">
        <f>IF($F115="","",'הזנה לתנאי סף'!H115)</f>
        <v>מרכז פליציה בלומנטל למוזיקה</v>
      </c>
      <c r="H115" s="55" t="str">
        <f>IF($F115="","",'הזנה לתנאי סף'!I115)</f>
        <v>סינמטקים ופסטיבלים</v>
      </c>
      <c r="I115" s="187">
        <f>IF($F115="","",'הזנה לתנאי סף'!R115)</f>
        <v>147730</v>
      </c>
      <c r="J115" s="187">
        <f>IF($F115="","",'תחום תמיכה א'!P115)</f>
        <v>65730</v>
      </c>
      <c r="K115" s="177">
        <f>IF($F115="","",'הזנה לתנאי סף'!N115)</f>
        <v>1</v>
      </c>
      <c r="L115" s="177">
        <f>IF($F115="","",'הזנה לתנאי סף'!O115)</f>
        <v>1</v>
      </c>
      <c r="M115" s="177">
        <f>IF($F115="","",'הזנה לתנאי סף'!Q115)</f>
        <v>1</v>
      </c>
      <c r="N115" s="187">
        <f>IF($F115="","",'תחום תמיכה א'!AE115)</f>
        <v>1598.6889129259671</v>
      </c>
      <c r="O115" s="178"/>
      <c r="P115" s="187">
        <f>IF($F115="","",'תחום תמיכה ב'!AC115)</f>
        <v>4984.5596528506039</v>
      </c>
      <c r="Q115" s="187">
        <f>IF($F115="","",IF('תחום תמיכה ג'!O115="",0,'תחום תמיכה ג'!O115))</f>
        <v>2090.2390487964653</v>
      </c>
      <c r="R115" s="187">
        <f t="shared" si="4"/>
        <v>149.46228161942327</v>
      </c>
      <c r="S115" s="187">
        <f>IF($F115="","",'תחום תמיכה ב'!AE115)</f>
        <v>5134.0219344700272</v>
      </c>
      <c r="T115" s="187">
        <f>IF($F115="","",IF(Q115='תחום תמיכה ג'!$Q$2,'תחום תמיכה ג'!$Q$2,IFERROR(SUMIF(N115:R115,"&gt;0"),'תחום תמיכה ג'!$Q$2)))</f>
        <v>8822.9498961924583</v>
      </c>
      <c r="U115" s="187">
        <f>IF($F115="","",'הזנה לתנאי סף'!Y115)</f>
        <v>76000</v>
      </c>
      <c r="V115" s="269">
        <f>IF(F115="","",'הגבלה לסכום מבוקש '!AA115)</f>
        <v>9678.313548106602</v>
      </c>
      <c r="W115" s="187">
        <f t="shared" si="5"/>
        <v>2419.5783870266505</v>
      </c>
      <c r="X115" s="187">
        <f>IF(F115="","",'הזנה לתנאי סף'!Z115)</f>
        <v>76000</v>
      </c>
      <c r="Y115" s="237" t="str">
        <f>IFERROR(VLOOKUP(G115*1,#REF!,3,0),"")</f>
        <v/>
      </c>
      <c r="Z115" s="187" t="str">
        <f>IF(OR($F115="",Y115=""),"",IFERROR(IF(Y115&gt;V115,MIN(Y115,T115)-V115,0),'תחום תמיכה ג'!$Q$2))</f>
        <v/>
      </c>
      <c r="AA115" s="259"/>
      <c r="AB115" s="260" t="str">
        <f t="shared" si="6"/>
        <v/>
      </c>
      <c r="AC115" s="261"/>
      <c r="AD115" s="180"/>
      <c r="AE115" s="13" t="str">
        <f>IF($C115="","",IFERROR(VLOOKUP($C115,גיליון1!$A:$E,2,0),"לא הגיש בקשה שוטפת"))</f>
        <v>פסטיבל צליל מעודכן</v>
      </c>
      <c r="AF115" s="13" t="str">
        <f>IF($C115="","",IFERROR(VLOOKUP($C115,גיליון1!$A:$E,3,0),"לא הגיש בקשה שוטפת"))</f>
        <v>מועד</v>
      </c>
      <c r="AG115" s="13" t="str">
        <f>IF($C115="","",IFERROR(VLOOKUP($C115,גיליון1!$A:$E,4,0),"לא הגיש בקשה שוטפת"))</f>
        <v>19-42-02-26</v>
      </c>
      <c r="AH115" s="13" t="str">
        <f>IF($C115="","",IFERROR(VLOOKUP($C115,גיליון1!$A:$E,5,0),"לא הגיש בקשה שוטפת"))</f>
        <v>פסטיבלים לתרבות</v>
      </c>
      <c r="AI115" s="13">
        <f t="shared" si="7"/>
        <v>0</v>
      </c>
      <c r="AJ115"/>
      <c r="AK115" t="s">
        <v>94</v>
      </c>
    </row>
    <row r="116" spans="1:37" ht="57.75" x14ac:dyDescent="0.25">
      <c r="A116" s="54">
        <f>'הזנה לתנאי סף'!B116</f>
        <v>86</v>
      </c>
      <c r="B116" s="266">
        <f>IF($F116="","",'הזנה לתנאי סף'!C116)</f>
        <v>1001346708</v>
      </c>
      <c r="C116" s="266">
        <f>IF($F116="","",'הזנה לתנאי סף'!D116)</f>
        <v>1001277166</v>
      </c>
      <c r="D116" s="266">
        <f>IF($F116="","",'הזנה לתנאי סף'!E116)</f>
        <v>40221541</v>
      </c>
      <c r="E116" s="55">
        <f>IF($F116="","",'הזנה לתנאי סף'!F116)</f>
        <v>20000201</v>
      </c>
      <c r="F116" s="55" t="str">
        <f>IF('הזנה לתנאי סף'!BL116=1,'הזנה לתנאי סף'!G116,"")</f>
        <v>תל אביב -יפו</v>
      </c>
      <c r="G116" s="55" t="str">
        <f>IF($F116="","",'הזנה לתנאי סף'!H116)</f>
        <v>מרכז פליציה בלומנטל למוזיקה</v>
      </c>
      <c r="H116" s="55" t="str">
        <f>IF($F116="","",'הזנה לתנאי סף'!I116)</f>
        <v>מוסיקה-גופים כליים</v>
      </c>
      <c r="I116" s="187">
        <f>IF($F116="","",'הזנה לתנאי סף'!R116)</f>
        <v>373172</v>
      </c>
      <c r="J116" s="187">
        <f>IF($F116="","",'תחום תמיכה א'!P116)</f>
        <v>373172</v>
      </c>
      <c r="K116" s="177">
        <f>IF($F116="","",'הזנה לתנאי סף'!N116)</f>
        <v>0</v>
      </c>
      <c r="L116" s="177">
        <f>IF($F116="","",'הזנה לתנאי סף'!O116)</f>
        <v>1</v>
      </c>
      <c r="M116" s="177">
        <f>IF($F116="","",'הזנה לתנאי סף'!Q116)</f>
        <v>1</v>
      </c>
      <c r="N116" s="187">
        <f>IF($F116="","",'תחום תמיכה א'!AE116)</f>
        <v>11545.798806379171</v>
      </c>
      <c r="O116" s="178"/>
      <c r="P116" s="187">
        <f>IF($F116="","",'תחום תמיכה ב'!AC116)</f>
        <v>20374.940956818446</v>
      </c>
      <c r="Q116" s="187">
        <f>IF($F116="","",IF('תחום תמיכה ג'!O116="",0,'תחום תמיכה ג'!O116))</f>
        <v>0</v>
      </c>
      <c r="R116" s="187">
        <f t="shared" si="4"/>
        <v>610.94366912141413</v>
      </c>
      <c r="S116" s="187">
        <f>IF($F116="","",'תחום תמיכה ב'!AE116)</f>
        <v>20985.88462593986</v>
      </c>
      <c r="T116" s="187">
        <f>IF($F116="","",IF(Q116='תחום תמיכה ג'!$Q$2,'תחום תמיכה ג'!$Q$2,IFERROR(SUMIF(N116:R116,"&gt;0"),'תחום תמיכה ג'!$Q$2)))</f>
        <v>32531.683432319031</v>
      </c>
      <c r="U116" s="187">
        <f>IF($F116="","",'הזנה לתנאי סף'!Y116)</f>
        <v>110000</v>
      </c>
      <c r="V116" s="269">
        <f>IF(F116="","",'הגבלה לסכום מבוקש '!AA116)</f>
        <v>36026.468604810958</v>
      </c>
      <c r="W116" s="187">
        <f t="shared" si="5"/>
        <v>9006.6171512027395</v>
      </c>
      <c r="X116" s="187">
        <f>IF(F116="","",'הזנה לתנאי סף'!Z116)</f>
        <v>110000</v>
      </c>
      <c r="Y116" s="237" t="str">
        <f>IFERROR(VLOOKUP(G116*1,#REF!,3,0),"")</f>
        <v/>
      </c>
      <c r="Z116" s="187" t="str">
        <f>IF(OR($F116="",Y116=""),"",IFERROR(IF(Y116&gt;V116,MIN(Y116,T116)-V116,0),'תחום תמיכה ג'!$Q$2))</f>
        <v/>
      </c>
      <c r="AA116" s="259"/>
      <c r="AB116" s="260" t="str">
        <f t="shared" si="6"/>
        <v/>
      </c>
      <c r="AC116" s="261"/>
      <c r="AD116" s="180"/>
      <c r="AE116" s="13" t="str">
        <f>IF($C116="","",IFERROR(VLOOKUP($C116,גיליון1!$A:$E,2,0),"לא הגיש בקשה שוטפת"))</f>
        <v>הפרויקט הקאמרי הישראלי</v>
      </c>
      <c r="AF116" s="13" t="str">
        <f>IF($C116="","",IFERROR(VLOOKUP($C116,גיליון1!$A:$E,3,0),"לא הגיש בקשה שוטפת"))</f>
        <v>מועד</v>
      </c>
      <c r="AG116" s="13" t="str">
        <f>IF($C116="","",IFERROR(VLOOKUP($C116,גיליון1!$A:$E,4,0),"לא הגיש בקשה שוטפת"))</f>
        <v>19-42-02-16</v>
      </c>
      <c r="AH116" s="13" t="str">
        <f>IF($C116="","",IFERROR(VLOOKUP($C116,גיליון1!$A:$E,5,0),"לא הגיש בקשה שוטפת"))</f>
        <v>מוסיקה</v>
      </c>
      <c r="AI116" s="13">
        <f t="shared" si="7"/>
        <v>0</v>
      </c>
      <c r="AJ116"/>
      <c r="AK116" t="s">
        <v>100</v>
      </c>
    </row>
    <row r="117" spans="1:37" ht="57.75" x14ac:dyDescent="0.25">
      <c r="A117" s="54">
        <f>'הזנה לתנאי סף'!B117</f>
        <v>87</v>
      </c>
      <c r="B117" s="266">
        <f>IF($F117="","",'הזנה לתנאי סף'!C117)</f>
        <v>1001346709</v>
      </c>
      <c r="C117" s="266">
        <f>IF($F117="","",'הזנה לתנאי סף'!D117)</f>
        <v>1001277179</v>
      </c>
      <c r="D117" s="266">
        <f>IF($F117="","",'הזנה לתנאי סף'!E117)</f>
        <v>40221541</v>
      </c>
      <c r="E117" s="55">
        <f>IF($F117="","",'הזנה לתנאי סף'!F117)</f>
        <v>20000201</v>
      </c>
      <c r="F117" s="55" t="str">
        <f>IF('הזנה לתנאי סף'!BL117=1,'הזנה לתנאי סף'!G117,"")</f>
        <v>תל אביב -יפו</v>
      </c>
      <c r="G117" s="55" t="str">
        <f>IF($F117="","",'הזנה לתנאי סף'!H117)</f>
        <v>מרכז פליציה בלומנטל למוזיקה</v>
      </c>
      <c r="H117" s="55" t="str">
        <f>IF($F117="","",'הזנה לתנאי סף'!I117)</f>
        <v>קבוצות מוסיקה</v>
      </c>
      <c r="I117" s="187">
        <f>IF($F117="","",'הזנה לתנאי סף'!R117)</f>
        <v>141454</v>
      </c>
      <c r="J117" s="187">
        <f>IF($F117="","",'תחום תמיכה א'!P117)</f>
        <v>141454</v>
      </c>
      <c r="K117" s="177">
        <f>IF($F117="","",'הזנה לתנאי סף'!N117)</f>
        <v>0</v>
      </c>
      <c r="L117" s="177">
        <f>IF($F117="","",'הזנה לתנאי סף'!O117)</f>
        <v>1</v>
      </c>
      <c r="M117" s="177">
        <f>IF($F117="","",'הזנה לתנאי סף'!Q117)</f>
        <v>1</v>
      </c>
      <c r="N117" s="187">
        <f>IF($F117="","",'תחום תמיכה א'!AE117)</f>
        <v>4345.4999257348336</v>
      </c>
      <c r="O117" s="178"/>
      <c r="P117" s="187">
        <f>IF($F117="","",'תחום תמיכה ב'!AC117)</f>
        <v>7614.1547503194233</v>
      </c>
      <c r="Q117" s="187">
        <f>IF($F117="","",IF('תחום תמיכה ג'!O117="",0,'תחום תמיכה ג'!O117))</f>
        <v>0</v>
      </c>
      <c r="R117" s="187">
        <f t="shared" si="4"/>
        <v>228.31082800569675</v>
      </c>
      <c r="S117" s="187">
        <f>IF($F117="","",'תחום תמיכה ב'!AE117)</f>
        <v>7842.4655783251201</v>
      </c>
      <c r="T117" s="187">
        <f>IF($F117="","",IF(Q117='תחום תמיכה ג'!$Q$2,'תחום תמיכה ג'!$Q$2,IFERROR(SUMIF(N117:R117,"&gt;0"),'תחום תמיכה ג'!$Q$2)))</f>
        <v>12187.965504059954</v>
      </c>
      <c r="U117" s="187">
        <f>IF($F117="","",'הזנה לתנאי סף'!Y117)</f>
        <v>92000</v>
      </c>
      <c r="V117" s="269">
        <f>IF(F117="","",'הגבלה לסכום מבוקש '!AA117)</f>
        <v>13493.987496238276</v>
      </c>
      <c r="W117" s="187">
        <f t="shared" si="5"/>
        <v>3373.4968740595691</v>
      </c>
      <c r="X117" s="187">
        <f>IF(F117="","",'הזנה לתנאי סף'!Z117)</f>
        <v>92000</v>
      </c>
      <c r="Y117" s="237" t="str">
        <f>IFERROR(VLOOKUP(G117*1,#REF!,3,0),"")</f>
        <v/>
      </c>
      <c r="Z117" s="187" t="str">
        <f>IF(OR($F117="",Y117=""),"",IFERROR(IF(Y117&gt;V117,MIN(Y117,T117)-V117,0),'תחום תמיכה ג'!$Q$2))</f>
        <v/>
      </c>
      <c r="AA117" s="259"/>
      <c r="AB117" s="260" t="str">
        <f t="shared" si="6"/>
        <v/>
      </c>
      <c r="AC117" s="261"/>
      <c r="AD117" s="180"/>
      <c r="AE117" s="13" t="str">
        <f>IF($C117="","",IFERROR(VLOOKUP($C117,גיליון1!$A:$E,2,0),"לא הגיש בקשה שוטפת"))</f>
        <v>אנסמבל פרץ אליהו</v>
      </c>
      <c r="AF117" s="13" t="str">
        <f>IF($C117="","",IFERROR(VLOOKUP($C117,גיליון1!$A:$E,3,0),"לא הגיש בקשה שוטפת"))</f>
        <v>מועד</v>
      </c>
      <c r="AG117" s="13" t="str">
        <f>IF($C117="","",IFERROR(VLOOKUP($C117,גיליון1!$A:$E,4,0),"לא הגיש בקשה שוטפת"))</f>
        <v>19-42-02-16</v>
      </c>
      <c r="AH117" s="13" t="str">
        <f>IF($C117="","",IFERROR(VLOOKUP($C117,גיליון1!$A:$E,5,0),"לא הגיש בקשה שוטפת"))</f>
        <v>מוסיקה</v>
      </c>
      <c r="AI117" s="13">
        <f t="shared" si="7"/>
        <v>0</v>
      </c>
      <c r="AJ117"/>
      <c r="AK117" t="s">
        <v>101</v>
      </c>
    </row>
    <row r="118" spans="1:37" ht="57.75" x14ac:dyDescent="0.25">
      <c r="A118" s="54">
        <f>'הזנה לתנאי סף'!B118</f>
        <v>88</v>
      </c>
      <c r="B118" s="266">
        <f>IF($F118="","",'הזנה לתנאי סף'!C118)</f>
        <v>1001346710</v>
      </c>
      <c r="C118" s="266">
        <f>IF($F118="","",'הזנה לתנאי סף'!D118)</f>
        <v>1001277161</v>
      </c>
      <c r="D118" s="266">
        <f>IF($F118="","",'הזנה לתנאי סף'!E118)</f>
        <v>40221541</v>
      </c>
      <c r="E118" s="55">
        <f>IF($F118="","",'הזנה לתנאי סף'!F118)</f>
        <v>20000201</v>
      </c>
      <c r="F118" s="55" t="str">
        <f>IF('הזנה לתנאי סף'!BL118=1,'הזנה לתנאי סף'!G118,"")</f>
        <v>תל אביב -יפו</v>
      </c>
      <c r="G118" s="55" t="str">
        <f>IF($F118="","",'הזנה לתנאי סף'!H118)</f>
        <v>מרכז פליציה בלומנטל למוזיקה</v>
      </c>
      <c r="H118" s="55" t="str">
        <f>IF($F118="","",'הזנה לתנאי סף'!I118)</f>
        <v>קבוצות מוסיקה</v>
      </c>
      <c r="I118" s="187">
        <f>IF($F118="","",'הזנה לתנאי סף'!R118)</f>
        <v>84080</v>
      </c>
      <c r="J118" s="187">
        <f>IF($F118="","",'תחום תמיכה א'!P118)</f>
        <v>84080</v>
      </c>
      <c r="K118" s="177">
        <f>IF($F118="","",'הזנה לתנאי סף'!N118)</f>
        <v>0</v>
      </c>
      <c r="L118" s="177">
        <f>IF($F118="","",'הזנה לתנאי סף'!O118)</f>
        <v>1</v>
      </c>
      <c r="M118" s="177">
        <f>IF($F118="","",'הזנה לתנאי סף'!Q118)</f>
        <v>1</v>
      </c>
      <c r="N118" s="187">
        <f>IF($F118="","",'תחום תמיכה א'!AE118)</f>
        <v>1589.6437195306435</v>
      </c>
      <c r="O118" s="178"/>
      <c r="P118" s="187">
        <f>IF($F118="","",'תחום תמיכה ב'!AC118)</f>
        <v>1714.2112162885692</v>
      </c>
      <c r="Q118" s="187">
        <f>IF($F118="","",IF('תחום תמיכה ג'!O118="",0,'תחום תמיכה ג'!O118))</f>
        <v>0</v>
      </c>
      <c r="R118" s="187">
        <f t="shared" si="4"/>
        <v>51.400712882946891</v>
      </c>
      <c r="S118" s="187">
        <f>IF($F118="","",'תחום תמיכה ב'!AE118)</f>
        <v>1765.6119291715161</v>
      </c>
      <c r="T118" s="187">
        <f>IF($F118="","",IF(Q118='תחום תמיכה ג'!$Q$2,'תחום תמיכה ג'!$Q$2,IFERROR(SUMIF(N118:R118,"&gt;0"),'תחום תמיכה ג'!$Q$2)))</f>
        <v>3355.2556487021593</v>
      </c>
      <c r="U118" s="187">
        <f>IF($F118="","",'הזנה לתנאי סף'!Y118)</f>
        <v>82000</v>
      </c>
      <c r="V118" s="269">
        <f>IF(F118="","",'הגבלה לסכום מבוקש '!AA118)</f>
        <v>3649.5650006699225</v>
      </c>
      <c r="W118" s="187">
        <f t="shared" si="5"/>
        <v>912.39125016748062</v>
      </c>
      <c r="X118" s="187">
        <f>IF(F118="","",'הזנה לתנאי סף'!Z118)</f>
        <v>82000</v>
      </c>
      <c r="Y118" s="237" t="str">
        <f>IFERROR(VLOOKUP(G118*1,#REF!,3,0),"")</f>
        <v/>
      </c>
      <c r="Z118" s="187" t="str">
        <f>IF(OR($F118="",Y118=""),"",IFERROR(IF(Y118&gt;V118,MIN(Y118,T118)-V118,0),'תחום תמיכה ג'!$Q$2))</f>
        <v/>
      </c>
      <c r="AA118" s="259"/>
      <c r="AB118" s="260" t="str">
        <f t="shared" si="6"/>
        <v/>
      </c>
      <c r="AC118" s="261"/>
      <c r="AD118" s="180"/>
      <c r="AE118" s="13" t="str">
        <f>IF($C118="","",IFERROR(VLOOKUP($C118,גיליון1!$A:$E,2,0),"לא הגיש בקשה שוטפת"))</f>
        <v>יניב ד'אור -אנסמבל נאיה</v>
      </c>
      <c r="AF118" s="13" t="str">
        <f>IF($C118="","",IFERROR(VLOOKUP($C118,גיליון1!$A:$E,3,0),"לא הגיש בקשה שוטפת"))</f>
        <v>מועד</v>
      </c>
      <c r="AG118" s="13" t="str">
        <f>IF($C118="","",IFERROR(VLOOKUP($C118,גיליון1!$A:$E,4,0),"לא הגיש בקשה שוטפת"))</f>
        <v>19-42-02-16</v>
      </c>
      <c r="AH118" s="13" t="str">
        <f>IF($C118="","",IFERROR(VLOOKUP($C118,גיליון1!$A:$E,5,0),"לא הגיש בקשה שוטפת"))</f>
        <v>מוסיקה</v>
      </c>
      <c r="AI118" s="13">
        <f t="shared" si="7"/>
        <v>0</v>
      </c>
      <c r="AJ118"/>
      <c r="AK118" t="s">
        <v>103</v>
      </c>
    </row>
    <row r="119" spans="1:37" ht="57.75" x14ac:dyDescent="0.25">
      <c r="A119" s="54">
        <f>'הזנה לתנאי סף'!B119</f>
        <v>89</v>
      </c>
      <c r="B119" s="266">
        <f>IF($F119="","",'הזנה לתנאי סף'!C119)</f>
        <v>1001346712</v>
      </c>
      <c r="C119" s="266">
        <f>IF($F119="","",'הזנה לתנאי סף'!D119)</f>
        <v>1001277159</v>
      </c>
      <c r="D119" s="266">
        <f>IF($F119="","",'הזנה לתנאי סף'!E119)</f>
        <v>40221541</v>
      </c>
      <c r="E119" s="55">
        <f>IF($F119="","",'הזנה לתנאי סף'!F119)</f>
        <v>20000201</v>
      </c>
      <c r="F119" s="55" t="str">
        <f>IF('הזנה לתנאי סף'!BL119=1,'הזנה לתנאי סף'!G119,"")</f>
        <v>תל אביב -יפו</v>
      </c>
      <c r="G119" s="55" t="str">
        <f>IF($F119="","",'הזנה לתנאי סף'!H119)</f>
        <v>מרכז פליציה בלומנטל למוזיקה</v>
      </c>
      <c r="H119" s="55" t="str">
        <f>IF($F119="","",'הזנה לתנאי סף'!I119)</f>
        <v>מוסיקה-גופים כליים</v>
      </c>
      <c r="I119" s="187">
        <f>IF($F119="","",'הזנה לתנאי סף'!R119)</f>
        <v>103769</v>
      </c>
      <c r="J119" s="187">
        <f>IF($F119="","",'תחום תמיכה א'!P119)</f>
        <v>103769</v>
      </c>
      <c r="K119" s="177">
        <f>IF($F119="","",'הזנה לתנאי סף'!N119)</f>
        <v>0</v>
      </c>
      <c r="L119" s="177">
        <f>IF($F119="","",'הזנה לתנאי סף'!O119)</f>
        <v>1</v>
      </c>
      <c r="M119" s="177">
        <f>IF($F119="","",'הזנה לתנאי סף'!Q119)</f>
        <v>1</v>
      </c>
      <c r="N119" s="187">
        <f>IF($F119="","",'תחום תמיכה א'!AE119)</f>
        <v>3759.2231412793262</v>
      </c>
      <c r="O119" s="178"/>
      <c r="P119" s="187">
        <f>IF($F119="","",'תחום תמיכה ב'!AC119)</f>
        <v>7767.5850600704989</v>
      </c>
      <c r="Q119" s="187">
        <f>IF($F119="","",IF('תחום תמיכה ג'!O119="",0,'תחום תמיכה ג'!O119))</f>
        <v>0</v>
      </c>
      <c r="R119" s="187">
        <f t="shared" si="4"/>
        <v>232.911443859869</v>
      </c>
      <c r="S119" s="187">
        <f>IF($F119="","",'תחום תמיכה ב'!AE119)</f>
        <v>8000.4965039303679</v>
      </c>
      <c r="T119" s="187">
        <f>IF($F119="","",IF(Q119='תחום תמיכה ג'!$Q$2,'תחום תמיכה ג'!$Q$2,IFERROR(SUMIF(N119:R119,"&gt;0"),'תחום תמיכה ג'!$Q$2)))</f>
        <v>11759.719645209694</v>
      </c>
      <c r="U119" s="187">
        <f>IF($F119="","",'הזנה לתנאי סף'!Y119)</f>
        <v>85000</v>
      </c>
      <c r="V119" s="269">
        <f>IF(F119="","",'הגבלה לסכום מבוקש '!AA119)</f>
        <v>13091.752036020387</v>
      </c>
      <c r="W119" s="187">
        <f t="shared" si="5"/>
        <v>3272.9380090050968</v>
      </c>
      <c r="X119" s="187">
        <f>IF(F119="","",'הזנה לתנאי סף'!Z119)</f>
        <v>85000</v>
      </c>
      <c r="Y119" s="237" t="str">
        <f>IFERROR(VLOOKUP(G119*1,#REF!,3,0),"")</f>
        <v/>
      </c>
      <c r="Z119" s="187" t="str">
        <f>IF(OR($F119="",Y119=""),"",IFERROR(IF(Y119&gt;V119,MIN(Y119,T119)-V119,0),'תחום תמיכה ג'!$Q$2))</f>
        <v/>
      </c>
      <c r="AA119" s="259"/>
      <c r="AB119" s="260" t="str">
        <f t="shared" si="6"/>
        <v/>
      </c>
      <c r="AC119" s="261"/>
      <c r="AD119" s="180"/>
      <c r="AE119" s="13" t="str">
        <f>IF($C119="","",IFERROR(VLOOKUP($C119,גיליון1!$A:$E,2,0),"לא הגיש בקשה שוטפת"))</f>
        <v>מארש דונדורמה</v>
      </c>
      <c r="AF119" s="13" t="str">
        <f>IF($C119="","",IFERROR(VLOOKUP($C119,גיליון1!$A:$E,3,0),"לא הגיש בקשה שוטפת"))</f>
        <v>טיוט</v>
      </c>
      <c r="AG119" s="13" t="str">
        <f>IF($C119="","",IFERROR(VLOOKUP($C119,גיליון1!$A:$E,4,0),"לא הגיש בקשה שוטפת"))</f>
        <v>19-42-02-16</v>
      </c>
      <c r="AH119" s="13" t="str">
        <f>IF($C119="","",IFERROR(VLOOKUP($C119,גיליון1!$A:$E,5,0),"לא הגיש בקשה שוטפת"))</f>
        <v>מוסיקה</v>
      </c>
      <c r="AI119" s="13">
        <f t="shared" si="7"/>
        <v>0</v>
      </c>
      <c r="AJ119"/>
      <c r="AK119" t="s">
        <v>104</v>
      </c>
    </row>
    <row r="120" spans="1:37" ht="57.75" x14ac:dyDescent="0.25">
      <c r="A120" s="54">
        <f>'הזנה לתנאי סף'!B120</f>
        <v>90</v>
      </c>
      <c r="B120" s="266">
        <f>IF($F120="","",'הזנה לתנאי סף'!C120)</f>
        <v>1001346713</v>
      </c>
      <c r="C120" s="266">
        <f>IF($F120="","",'הזנה לתנאי סף'!D120)</f>
        <v>1001277173</v>
      </c>
      <c r="D120" s="266">
        <f>IF($F120="","",'הזנה לתנאי סף'!E120)</f>
        <v>40221541</v>
      </c>
      <c r="E120" s="55">
        <f>IF($F120="","",'הזנה לתנאי סף'!F120)</f>
        <v>20000201</v>
      </c>
      <c r="F120" s="55" t="str">
        <f>IF('הזנה לתנאי סף'!BL120=1,'הזנה לתנאי סף'!G120,"")</f>
        <v>תל אביב -יפו</v>
      </c>
      <c r="G120" s="55" t="str">
        <f>IF($F120="","",'הזנה לתנאי סף'!H120)</f>
        <v>מרכז פליציה בלומנטל למוזיקה</v>
      </c>
      <c r="H120" s="55" t="str">
        <f>IF($F120="","",'הזנה לתנאי סף'!I120)</f>
        <v>קבוצות מוסיקה</v>
      </c>
      <c r="I120" s="187">
        <f>IF($F120="","",'הזנה לתנאי סף'!R120)</f>
        <v>121901</v>
      </c>
      <c r="J120" s="187">
        <f>IF($F120="","",'תחום תמיכה א'!P120)</f>
        <v>121901</v>
      </c>
      <c r="K120" s="177">
        <f>IF($F120="","",'הזנה לתנאי סף'!N120)</f>
        <v>0</v>
      </c>
      <c r="L120" s="177">
        <f>IF($F120="","",'הזנה לתנאי סף'!O120)</f>
        <v>1</v>
      </c>
      <c r="M120" s="177">
        <f>IF($F120="","",'הזנה לתנאי סף'!Q120)</f>
        <v>1</v>
      </c>
      <c r="N120" s="187">
        <f>IF($F120="","",'תחום תמיכה א'!AE120)</f>
        <v>3276.6449172072316</v>
      </c>
      <c r="O120" s="178"/>
      <c r="P120" s="187">
        <f>IF($F120="","",'תחום תמיכה ב'!AC120)</f>
        <v>5023.5291978771847</v>
      </c>
      <c r="Q120" s="187">
        <f>IF($F120="","",IF('תחום תמיכה ג'!O120="",0,'תחום תמיכה ג'!O120))</f>
        <v>0</v>
      </c>
      <c r="R120" s="187">
        <f t="shared" si="4"/>
        <v>150.63078546309043</v>
      </c>
      <c r="S120" s="187">
        <f>IF($F120="","",'תחום תמיכה ב'!AE120)</f>
        <v>5174.1599833402752</v>
      </c>
      <c r="T120" s="187">
        <f>IF($F120="","",IF(Q120='תחום תמיכה ג'!$Q$2,'תחום תמיכה ג'!$Q$2,IFERROR(SUMIF(N120:R120,"&gt;0"),'תחום תמיכה ג'!$Q$2)))</f>
        <v>8450.8049005475077</v>
      </c>
      <c r="U120" s="187">
        <f>IF($F120="","",'הזנה לתנאי סף'!Y120)</f>
        <v>90000</v>
      </c>
      <c r="V120" s="269">
        <f>IF(F120="","",'הגבלה לסכום מבוקש '!AA120)</f>
        <v>9312.6549746305463</v>
      </c>
      <c r="W120" s="187">
        <f t="shared" si="5"/>
        <v>2328.1637436576366</v>
      </c>
      <c r="X120" s="187">
        <f>IF(F120="","",'הזנה לתנאי סף'!Z120)</f>
        <v>90000</v>
      </c>
      <c r="Y120" s="237" t="str">
        <f>IFERROR(VLOOKUP(G120*1,#REF!,3,0),"")</f>
        <v/>
      </c>
      <c r="Z120" s="187" t="str">
        <f>IF(OR($F120="",Y120=""),"",IFERROR(IF(Y120&gt;V120,MIN(Y120,T120)-V120,0),'תחום תמיכה ג'!$Q$2))</f>
        <v/>
      </c>
      <c r="AA120" s="259"/>
      <c r="AB120" s="260" t="str">
        <f t="shared" si="6"/>
        <v/>
      </c>
      <c r="AC120" s="261"/>
      <c r="AD120" s="180"/>
      <c r="AE120" s="13" t="str">
        <f>IF($C120="","",IFERROR(VLOOKUP($C120,גיליון1!$A:$E,2,0),"לא הגיש בקשה שוטפת"))</f>
        <v>אנסמבל מודאליוס</v>
      </c>
      <c r="AF120" s="13" t="str">
        <f>IF($C120="","",IFERROR(VLOOKUP($C120,גיליון1!$A:$E,3,0),"לא הגיש בקשה שוטפת"))</f>
        <v>מועד</v>
      </c>
      <c r="AG120" s="13" t="str">
        <f>IF($C120="","",IFERROR(VLOOKUP($C120,גיליון1!$A:$E,4,0),"לא הגיש בקשה שוטפת"))</f>
        <v>19-42-02-16</v>
      </c>
      <c r="AH120" s="13" t="str">
        <f>IF($C120="","",IFERROR(VLOOKUP($C120,גיליון1!$A:$E,5,0),"לא הגיש בקשה שוטפת"))</f>
        <v>מוסיקה</v>
      </c>
      <c r="AI120" s="13">
        <f t="shared" si="7"/>
        <v>0</v>
      </c>
      <c r="AJ120"/>
      <c r="AK120" t="s">
        <v>106</v>
      </c>
    </row>
    <row r="121" spans="1:37" ht="57.75" x14ac:dyDescent="0.25">
      <c r="A121" s="54">
        <f>'הזנה לתנאי סף'!B121</f>
        <v>91</v>
      </c>
      <c r="B121" s="266">
        <f>IF($F121="","",'הזנה לתנאי סף'!C121)</f>
        <v>1001346714</v>
      </c>
      <c r="C121" s="266">
        <f>IF($F121="","",'הזנה לתנאי סף'!D121)</f>
        <v>1001277167</v>
      </c>
      <c r="D121" s="266">
        <f>IF($F121="","",'הזנה לתנאי סף'!E121)</f>
        <v>40221541</v>
      </c>
      <c r="E121" s="55">
        <f>IF($F121="","",'הזנה לתנאי סף'!F121)</f>
        <v>20000201</v>
      </c>
      <c r="F121" s="55" t="str">
        <f>IF('הזנה לתנאי סף'!BL121=1,'הזנה לתנאי סף'!G121,"")</f>
        <v>תל אביב -יפו</v>
      </c>
      <c r="G121" s="55" t="str">
        <f>IF($F121="","",'הזנה לתנאי סף'!H121)</f>
        <v>מרכז פליציה בלומנטל למוזיקה</v>
      </c>
      <c r="H121" s="55" t="str">
        <f>IF($F121="","",'הזנה לתנאי סף'!I121)</f>
        <v>קבוצות מוסיקה</v>
      </c>
      <c r="I121" s="187">
        <f>IF($F121="","",'הזנה לתנאי סף'!R121)</f>
        <v>77032</v>
      </c>
      <c r="J121" s="187">
        <f>IF($F121="","",'תחום תמיכה א'!P121)</f>
        <v>77032</v>
      </c>
      <c r="K121" s="177">
        <f>IF($F121="","",'הזנה לתנאי סף'!N121)</f>
        <v>0</v>
      </c>
      <c r="L121" s="177">
        <f>IF($F121="","",'הזנה לתנאי סף'!O121)</f>
        <v>1</v>
      </c>
      <c r="M121" s="177">
        <f>IF($F121="","",'הזנה לתנאי סף'!Q121)</f>
        <v>1</v>
      </c>
      <c r="N121" s="187">
        <f>IF($F121="","",'תחום תמיכה א'!AE121)</f>
        <v>2570.9808602807848</v>
      </c>
      <c r="O121" s="178"/>
      <c r="P121" s="187">
        <f>IF($F121="","",'תחום תמיכה ב'!AC121)</f>
        <v>4894.2252324602714</v>
      </c>
      <c r="Q121" s="187">
        <f>IF($F121="","",IF('תחום תמיכה ג'!O121="",0,'תחום תמיכה ג'!O121))</f>
        <v>0</v>
      </c>
      <c r="R121" s="187">
        <f t="shared" si="4"/>
        <v>146.75359930430932</v>
      </c>
      <c r="S121" s="187">
        <f>IF($F121="","",'תחום תמיכה ב'!AE121)</f>
        <v>5040.9788317645807</v>
      </c>
      <c r="T121" s="187">
        <f>IF($F121="","",IF(Q121='תחום תמיכה ג'!$Q$2,'תחום תמיכה ג'!$Q$2,IFERROR(SUMIF(N121:R121,"&gt;0"),'תחום תמיכה ג'!$Q$2)))</f>
        <v>7611.959692045366</v>
      </c>
      <c r="U121" s="187">
        <f>IF($F121="","",'הזנה לתנאי סף'!Y121)</f>
        <v>55000</v>
      </c>
      <c r="V121" s="269">
        <f>IF(F121="","",'הגבלה לסכום מבוקש '!AA121)</f>
        <v>8451.3431274160102</v>
      </c>
      <c r="W121" s="187">
        <f t="shared" si="5"/>
        <v>2112.8357818540026</v>
      </c>
      <c r="X121" s="187">
        <f>IF(F121="","",'הזנה לתנאי סף'!Z121)</f>
        <v>55000</v>
      </c>
      <c r="Y121" s="237" t="str">
        <f>IFERROR(VLOOKUP(G121*1,#REF!,3,0),"")</f>
        <v/>
      </c>
      <c r="Z121" s="187" t="str">
        <f>IF(OR($F121="",Y121=""),"",IFERROR(IF(Y121&gt;V121,MIN(Y121,T121)-V121,0),'תחום תמיכה ג'!$Q$2))</f>
        <v/>
      </c>
      <c r="AA121" s="259"/>
      <c r="AB121" s="260" t="str">
        <f t="shared" si="6"/>
        <v/>
      </c>
      <c r="AC121" s="261"/>
      <c r="AD121" s="180"/>
      <c r="AE121" s="13" t="str">
        <f>IF($C121="","",IFERROR(VLOOKUP($C121,גיליון1!$A:$E,2,0),"לא הגיש בקשה שוטפת"))</f>
        <v>הודנא אורקסטרה</v>
      </c>
      <c r="AF121" s="13" t="str">
        <f>IF($C121="","",IFERROR(VLOOKUP($C121,גיליון1!$A:$E,3,0),"לא הגיש בקשה שוטפת"))</f>
        <v>טיוט</v>
      </c>
      <c r="AG121" s="13" t="str">
        <f>IF($C121="","",IFERROR(VLOOKUP($C121,גיליון1!$A:$E,4,0),"לא הגיש בקשה שוטפת"))</f>
        <v>19-42-02-16</v>
      </c>
      <c r="AH121" s="13" t="str">
        <f>IF($C121="","",IFERROR(VLOOKUP($C121,גיליון1!$A:$E,5,0),"לא הגיש בקשה שוטפת"))</f>
        <v>מוסיקה</v>
      </c>
      <c r="AI121" s="13">
        <f t="shared" si="7"/>
        <v>0</v>
      </c>
      <c r="AJ121"/>
      <c r="AK121" t="s">
        <v>107</v>
      </c>
    </row>
    <row r="122" spans="1:37" ht="57.75" x14ac:dyDescent="0.25">
      <c r="A122" s="54">
        <f>'הזנה לתנאי סף'!B122</f>
        <v>92</v>
      </c>
      <c r="B122" s="266">
        <f>IF($F122="","",'הזנה לתנאי סף'!C122)</f>
        <v>1001346715</v>
      </c>
      <c r="C122" s="266">
        <f>IF($F122="","",'הזנה לתנאי סף'!D122)</f>
        <v>1001277158</v>
      </c>
      <c r="D122" s="266">
        <f>IF($F122="","",'הזנה לתנאי סף'!E122)</f>
        <v>40221541</v>
      </c>
      <c r="E122" s="55">
        <f>IF($F122="","",'הזנה לתנאי סף'!F122)</f>
        <v>20000201</v>
      </c>
      <c r="F122" s="55" t="str">
        <f>IF('הזנה לתנאי סף'!BL122=1,'הזנה לתנאי סף'!G122,"")</f>
        <v>תל אביב -יפו</v>
      </c>
      <c r="G122" s="55" t="str">
        <f>IF($F122="","",'הזנה לתנאי סף'!H122)</f>
        <v>מרכז פליציה בלומנטל למוזיקה</v>
      </c>
      <c r="H122" s="55" t="str">
        <f>IF($F122="","",'הזנה לתנאי סף'!I122)</f>
        <v>מוסיקה-גופים כליים</v>
      </c>
      <c r="I122" s="187">
        <f>IF($F122="","",'הזנה לתנאי סף'!R122)</f>
        <v>340933</v>
      </c>
      <c r="J122" s="187">
        <f>IF($F122="","",'תחום תמיכה א'!P122)</f>
        <v>340933</v>
      </c>
      <c r="K122" s="177">
        <f>IF($F122="","",'הזנה לתנאי סף'!N122)</f>
        <v>0</v>
      </c>
      <c r="L122" s="177">
        <f>IF($F122="","",'הזנה לתנאי סף'!O122)</f>
        <v>1</v>
      </c>
      <c r="M122" s="177">
        <f>IF($F122="","",'הזנה לתנאי סף'!Q122)</f>
        <v>1</v>
      </c>
      <c r="N122" s="187">
        <f>IF($F122="","",'תחום תמיכה א'!AE122)</f>
        <v>16943.48106751723</v>
      </c>
      <c r="O122" s="178"/>
      <c r="P122" s="187">
        <f>IF($F122="","",'תחום תמיכה ב'!AC122)</f>
        <v>48027.909294247183</v>
      </c>
      <c r="Q122" s="187">
        <f>IF($F122="","",IF('תחום תמיכה ג'!O122="",0,'תחום תמיכה ג'!O122))</f>
        <v>0</v>
      </c>
      <c r="R122" s="187">
        <f t="shared" si="4"/>
        <v>1440.1193695061229</v>
      </c>
      <c r="S122" s="187">
        <f>IF($F122="","",'תחום תמיכה ב'!AE122)</f>
        <v>49468.028663753306</v>
      </c>
      <c r="T122" s="187">
        <f>IF($F122="","",IF(Q122='תחום תמיכה ג'!$Q$2,'תחום תמיכה ג'!$Q$2,IFERROR(SUMIF(N122:R122,"&gt;0"),'תחום תמיכה ג'!$Q$2)))</f>
        <v>66411.509731270533</v>
      </c>
      <c r="U122" s="187">
        <f>IF($F122="","",'הזנה לתנאי סף'!Y122)</f>
        <v>95000</v>
      </c>
      <c r="V122" s="269">
        <f>IF(F122="","",'הגבלה לסכום מבוקש '!AA122)</f>
        <v>74644.75696603753</v>
      </c>
      <c r="W122" s="187">
        <f t="shared" si="5"/>
        <v>18661.189241509383</v>
      </c>
      <c r="X122" s="187">
        <f>IF(F122="","",'הזנה לתנאי סף'!Z122)</f>
        <v>95000</v>
      </c>
      <c r="Y122" s="237" t="str">
        <f>IFERROR(VLOOKUP(G122*1,#REF!,3,0),"")</f>
        <v/>
      </c>
      <c r="Z122" s="187" t="str">
        <f>IF(OR($F122="",Y122=""),"",IFERROR(IF(Y122&gt;V122,MIN(Y122,T122)-V122,0),'תחום תמיכה ג'!$Q$2))</f>
        <v/>
      </c>
      <c r="AA122" s="259"/>
      <c r="AB122" s="260" t="str">
        <f t="shared" si="6"/>
        <v/>
      </c>
      <c r="AC122" s="261"/>
      <c r="AD122" s="180"/>
      <c r="AE122" s="13" t="str">
        <f>IF($C122="","",IFERROR(VLOOKUP($C122,גיליון1!$A:$E,2,0),"לא הגיש בקשה שוטפת"))</f>
        <v>רביעיית כרמל</v>
      </c>
      <c r="AF122" s="13" t="str">
        <f>IF($C122="","",IFERROR(VLOOKUP($C122,גיליון1!$A:$E,3,0),"לא הגיש בקשה שוטפת"))</f>
        <v>מועד</v>
      </c>
      <c r="AG122" s="13" t="str">
        <f>IF($C122="","",IFERROR(VLOOKUP($C122,גיליון1!$A:$E,4,0),"לא הגיש בקשה שוטפת"))</f>
        <v>19-42-02-16</v>
      </c>
      <c r="AH122" s="13" t="str">
        <f>IF($C122="","",IFERROR(VLOOKUP($C122,גיליון1!$A:$E,5,0),"לא הגיש בקשה שוטפת"))</f>
        <v>מוסיקה</v>
      </c>
      <c r="AI122" s="13">
        <f t="shared" si="7"/>
        <v>0</v>
      </c>
      <c r="AJ122"/>
      <c r="AK122" t="s">
        <v>108</v>
      </c>
    </row>
    <row r="123" spans="1:37" ht="57.75" x14ac:dyDescent="0.25">
      <c r="A123" s="54">
        <f>'הזנה לתנאי סף'!B123</f>
        <v>93</v>
      </c>
      <c r="B123" s="266">
        <f>IF($F123="","",'הזנה לתנאי סף'!C123)</f>
        <v>1001346718</v>
      </c>
      <c r="C123" s="266">
        <f>IF($F123="","",'הזנה לתנאי סף'!D123)</f>
        <v>1001277149</v>
      </c>
      <c r="D123" s="266">
        <f>IF($F123="","",'הזנה לתנאי סף'!E123)</f>
        <v>40221541</v>
      </c>
      <c r="E123" s="55">
        <f>IF($F123="","",'הזנה לתנאי סף'!F123)</f>
        <v>20000201</v>
      </c>
      <c r="F123" s="55" t="str">
        <f>IF('הזנה לתנאי סף'!BL123=1,'הזנה לתנאי סף'!G123,"")</f>
        <v>תל אביב -יפו</v>
      </c>
      <c r="G123" s="55" t="str">
        <f>IF($F123="","",'הזנה לתנאי סף'!H123)</f>
        <v>מרכז פליציה בלומנטל למוזיקה</v>
      </c>
      <c r="H123" s="55" t="str">
        <f>IF($F123="","",'הזנה לתנאי סף'!I123)</f>
        <v>סינמטקים ופסטיבלים</v>
      </c>
      <c r="I123" s="187">
        <f>IF($F123="","",'הזנה לתנאי סף'!R123)</f>
        <v>641584</v>
      </c>
      <c r="J123" s="187">
        <f>IF($F123="","",'תחום תמיכה א'!P123)</f>
        <v>640416</v>
      </c>
      <c r="K123" s="177">
        <f>IF($F123="","",'הזנה לתנאי סף'!N123)</f>
        <v>1</v>
      </c>
      <c r="L123" s="177">
        <f>IF($F123="","",'הזנה לתנאי סף'!O123)</f>
        <v>1</v>
      </c>
      <c r="M123" s="177">
        <f>IF($F123="","",'הזנה לתנאי סף'!Q123)</f>
        <v>1</v>
      </c>
      <c r="N123" s="187">
        <f>IF($F123="","",'תחום תמיכה א'!AE123)</f>
        <v>24968.064386357401</v>
      </c>
      <c r="O123" s="178"/>
      <c r="P123" s="187">
        <f>IF($F123="","",'תחום תמיכה ב'!AC123)</f>
        <v>55623.250823072412</v>
      </c>
      <c r="Q123" s="187">
        <f>IF($F123="","",IF('תחום תמיכה ג'!O123="",0,'תחום תמיכה ג'!O123))</f>
        <v>23325.208040171645</v>
      </c>
      <c r="R123" s="187">
        <f t="shared" si="4"/>
        <v>1667.8660820823789</v>
      </c>
      <c r="S123" s="187">
        <f>IF($F123="","",'תחום תמיכה ב'!AE123)</f>
        <v>57291.116905154791</v>
      </c>
      <c r="T123" s="187">
        <f>IF($F123="","",IF(Q123='תחום תמיכה ג'!$Q$2,'תחום תמיכה ג'!$Q$2,IFERROR(SUMIF(N123:R123,"&gt;0"),'תחום תמיכה ג'!$Q$2)))</f>
        <v>105584.38933168384</v>
      </c>
      <c r="U123" s="187">
        <f>IF($F123="","",'הזנה לתנאי סף'!Y123)</f>
        <v>140000</v>
      </c>
      <c r="V123" s="269">
        <f>IF(F123="","",'הגבלה לסכום מבוקש '!AA123)</f>
        <v>115132.73226659608</v>
      </c>
      <c r="W123" s="187">
        <f t="shared" si="5"/>
        <v>28783.18306664902</v>
      </c>
      <c r="X123" s="187">
        <f>IF(F123="","",'הזנה לתנאי סף'!Z123)</f>
        <v>140000</v>
      </c>
      <c r="Y123" s="237" t="str">
        <f>IFERROR(VLOOKUP(G123*1,#REF!,3,0),"")</f>
        <v/>
      </c>
      <c r="Z123" s="187" t="str">
        <f>IF(OR($F123="",Y123=""),"",IFERROR(IF(Y123&gt;V123,MIN(Y123,T123)-V123,0),'תחום תמיכה ג'!$Q$2))</f>
        <v/>
      </c>
      <c r="AA123" s="259"/>
      <c r="AB123" s="260" t="str">
        <f t="shared" si="6"/>
        <v/>
      </c>
      <c r="AC123" s="261"/>
      <c r="AD123" s="180"/>
      <c r="AE123" s="13" t="str">
        <f>IF($C123="","",IFERROR(VLOOKUP($C123,גיליון1!$A:$E,2,0),"לא הגיש בקשה שוטפת"))</f>
        <v>פסטיבל פליציה בלומנטל למוזיקה</v>
      </c>
      <c r="AF123" s="13" t="str">
        <f>IF($C123="","",IFERROR(VLOOKUP($C123,גיליון1!$A:$E,3,0),"לא הגיש בקשה שוטפת"))</f>
        <v>מועד</v>
      </c>
      <c r="AG123" s="13" t="str">
        <f>IF($C123="","",IFERROR(VLOOKUP($C123,גיליון1!$A:$E,4,0),"לא הגיש בקשה שוטפת"))</f>
        <v>19-42-02-26</v>
      </c>
      <c r="AH123" s="13" t="str">
        <f>IF($C123="","",IFERROR(VLOOKUP($C123,גיליון1!$A:$E,5,0),"לא הגיש בקשה שוטפת"))</f>
        <v>פסטיבלים לתרבות</v>
      </c>
      <c r="AI123" s="13">
        <f t="shared" si="7"/>
        <v>0</v>
      </c>
      <c r="AJ123"/>
      <c r="AK123" t="s">
        <v>111</v>
      </c>
    </row>
    <row r="124" spans="1:37" ht="57.75" x14ac:dyDescent="0.25">
      <c r="A124" s="54">
        <f>'הזנה לתנאי סף'!B124</f>
        <v>94</v>
      </c>
      <c r="B124" s="266">
        <f>IF($F124="","",'הזנה לתנאי סף'!C124)</f>
        <v>1001347600</v>
      </c>
      <c r="C124" s="266">
        <f>IF($F124="","",'הזנה לתנאי סף'!D124)</f>
        <v>1001277089</v>
      </c>
      <c r="D124" s="266">
        <f>IF($F124="","",'הזנה לתנאי סף'!E124)</f>
        <v>40221541</v>
      </c>
      <c r="E124" s="55">
        <f>IF($F124="","",'הזנה לתנאי סף'!F124)</f>
        <v>20000201</v>
      </c>
      <c r="F124" s="55" t="str">
        <f>IF('הזנה לתנאי סף'!BL124=1,'הזנה לתנאי סף'!G124,"")</f>
        <v>תל אביב -יפו</v>
      </c>
      <c r="G124" s="55" t="str">
        <f>IF($F124="","",'הזנה לתנאי סף'!H124)</f>
        <v>מרכז פליציה בלומנטל למוזיקה</v>
      </c>
      <c r="H124" s="55" t="str">
        <f>IF($F124="","",'הזנה לתנאי סף'!I124)</f>
        <v>אופרה</v>
      </c>
      <c r="I124" s="187">
        <f>IF($F124="","",'הזנה לתנאי סף'!R124)</f>
        <v>157836</v>
      </c>
      <c r="J124" s="187">
        <f>IF($F124="","",'תחום תמיכה א'!P124)</f>
        <v>157836</v>
      </c>
      <c r="K124" s="177">
        <f>IF($F124="","",'הזנה לתנאי סף'!N124)</f>
        <v>0</v>
      </c>
      <c r="L124" s="177">
        <f>IF($F124="","",'הזנה לתנאי סף'!O124)</f>
        <v>1</v>
      </c>
      <c r="M124" s="177">
        <f>IF($F124="","",'הזנה לתנאי סף'!Q124)</f>
        <v>1</v>
      </c>
      <c r="N124" s="187">
        <f>IF($F124="","",'תחום תמיכה א'!AE124)</f>
        <v>5894.8012427546928</v>
      </c>
      <c r="O124" s="178"/>
      <c r="P124" s="187">
        <f>IF($F124="","",'תחום תמיכה ב'!AC124)</f>
        <v>12557.11018258144</v>
      </c>
      <c r="Q124" s="187">
        <f>IF($F124="","",IF('תחום תמיכה ג'!O124="",0,'תחום תמיכה ג'!O124))</f>
        <v>0</v>
      </c>
      <c r="R124" s="187">
        <f t="shared" si="4"/>
        <v>376.52560489707139</v>
      </c>
      <c r="S124" s="187">
        <f>IF($F124="","",'תחום תמיכה ב'!AE124)</f>
        <v>12933.635787478512</v>
      </c>
      <c r="T124" s="187">
        <f>IF($F124="","",IF(Q124='תחום תמיכה ג'!$Q$2,'תחום תמיכה ג'!$Q$2,IFERROR(SUMIF(N124:R124,"&gt;0"),'תחום תמיכה ג'!$Q$2)))</f>
        <v>18828.437030233203</v>
      </c>
      <c r="U124" s="187">
        <f>IF($F124="","",'הזנה לתנאי סף'!Y124)</f>
        <v>60000</v>
      </c>
      <c r="V124" s="269">
        <f>IF(F124="","",'הגבלה לסכום מבוקש '!AA124)</f>
        <v>20981.723070782755</v>
      </c>
      <c r="W124" s="187">
        <f t="shared" si="5"/>
        <v>5245.4307676956887</v>
      </c>
      <c r="X124" s="187">
        <f>IF(F124="","",'הזנה לתנאי סף'!Z124)</f>
        <v>24000</v>
      </c>
      <c r="Y124" s="237" t="str">
        <f>IFERROR(VLOOKUP(G124*1,#REF!,3,0),"")</f>
        <v/>
      </c>
      <c r="Z124" s="187" t="str">
        <f>IF(OR($F124="",Y124=""),"",IFERROR(IF(Y124&gt;V124,MIN(Y124,T124)-V124,0),'תחום תמיכה ג'!$Q$2))</f>
        <v/>
      </c>
      <c r="AA124" s="259"/>
      <c r="AB124" s="260" t="str">
        <f t="shared" si="6"/>
        <v/>
      </c>
      <c r="AC124" s="261"/>
      <c r="AD124" s="180"/>
      <c r="AE124" s="13" t="str">
        <f>IF($C124="","",IFERROR(VLOOKUP($C124,גיליון1!$A:$E,2,0),"לא הגיש בקשה שוטפת"))</f>
        <v>אופרה אורפאוס</v>
      </c>
      <c r="AF124" s="13" t="str">
        <f>IF($C124="","",IFERROR(VLOOKUP($C124,גיליון1!$A:$E,3,0),"לא הגיש בקשה שוטפת"))</f>
        <v>טיוט</v>
      </c>
      <c r="AG124" s="13" t="str">
        <f>IF($C124="","",IFERROR(VLOOKUP($C124,גיליון1!$A:$E,4,0),"לא הגיש בקשה שוטפת"))</f>
        <v>19-42-02-16</v>
      </c>
      <c r="AH124" s="13" t="str">
        <f>IF($C124="","",IFERROR(VLOOKUP($C124,גיליון1!$A:$E,5,0),"לא הגיש בקשה שוטפת"))</f>
        <v>מוסיקה</v>
      </c>
      <c r="AI124" s="13">
        <f t="shared" si="7"/>
        <v>0</v>
      </c>
      <c r="AJ124"/>
      <c r="AK124" t="s">
        <v>118</v>
      </c>
    </row>
    <row r="125" spans="1:37" ht="57.75" x14ac:dyDescent="0.25">
      <c r="A125" s="54">
        <f>'הזנה לתנאי סף'!B125</f>
        <v>95</v>
      </c>
      <c r="B125" s="266">
        <f>IF($F125="","",'הזנה לתנאי סף'!C125)</f>
        <v>1001347697</v>
      </c>
      <c r="C125" s="266">
        <f>IF($F125="","",'הזנה לתנאי סף'!D125)</f>
        <v>1001277111</v>
      </c>
      <c r="D125" s="266">
        <f>IF($F125="","",'הזנה לתנאי סף'!E125)</f>
        <v>40221541</v>
      </c>
      <c r="E125" s="55">
        <f>IF($F125="","",'הזנה לתנאי סף'!F125)</f>
        <v>20000201</v>
      </c>
      <c r="F125" s="55" t="str">
        <f>IF('הזנה לתנאי סף'!BL125=1,'הזנה לתנאי סף'!G125,"")</f>
        <v>תל אביב -יפו</v>
      </c>
      <c r="G125" s="55" t="str">
        <f>IF($F125="","",'הזנה לתנאי סף'!H125)</f>
        <v>מרכז פליציה בלומנטל למוזיקה</v>
      </c>
      <c r="H125" s="55" t="str">
        <f>IF($F125="","",'הזנה לתנאי סף'!I125)</f>
        <v>מקהלות</v>
      </c>
      <c r="I125" s="187">
        <f>IF($F125="","",'הזנה לתנאי סף'!R125)</f>
        <v>167747</v>
      </c>
      <c r="J125" s="187">
        <f>IF($F125="","",'תחום תמיכה א'!P125)</f>
        <v>167747</v>
      </c>
      <c r="K125" s="177">
        <f>IF($F125="","",'הזנה לתנאי סף'!N125)</f>
        <v>0</v>
      </c>
      <c r="L125" s="177">
        <f>IF($F125="","",'הזנה לתנאי סף'!O125)</f>
        <v>1</v>
      </c>
      <c r="M125" s="177">
        <f>IF($F125="","",'הזנה לתנאי סף'!Q125)</f>
        <v>1</v>
      </c>
      <c r="N125" s="187">
        <f>IF($F125="","",'תחום תמיכה א'!AE125)</f>
        <v>3060.2828181046766</v>
      </c>
      <c r="O125" s="178"/>
      <c r="P125" s="187">
        <f>IF($F125="","",'תחום תמיכה ב'!AC125)</f>
        <v>3184.3867214992947</v>
      </c>
      <c r="Q125" s="187">
        <f>IF($F125="","",IF('תחום תמיכה ג'!O125="",0,'תחום תמיכה ג'!O125))</f>
        <v>0</v>
      </c>
      <c r="R125" s="187">
        <f t="shared" si="4"/>
        <v>95.484002219071044</v>
      </c>
      <c r="S125" s="187">
        <f>IF($F125="","",'תחום תמיכה ב'!AE125)</f>
        <v>3279.8707237183658</v>
      </c>
      <c r="T125" s="187">
        <f>IF($F125="","",IF(Q125='תחום תמיכה ג'!$Q$2,'תחום תמיכה ג'!$Q$2,IFERROR(SUMIF(N125:R125,"&gt;0"),'תחום תמיכה ג'!$Q$2)))</f>
        <v>6340.1535418230424</v>
      </c>
      <c r="U125" s="187">
        <f>IF($F125="","",'הזנה לתנאי סף'!Y125)</f>
        <v>45000</v>
      </c>
      <c r="V125" s="269">
        <f>IF(F125="","",'הגבלה לסכום מבוקש '!AA125)</f>
        <v>6886.9231184392247</v>
      </c>
      <c r="W125" s="187">
        <f t="shared" si="5"/>
        <v>1721.7307796098062</v>
      </c>
      <c r="X125" s="187">
        <f>IF(F125="","",'הזנה לתנאי סף'!Z125)</f>
        <v>9000</v>
      </c>
      <c r="Y125" s="237" t="str">
        <f>IFERROR(VLOOKUP(G125*1,#REF!,3,0),"")</f>
        <v/>
      </c>
      <c r="Z125" s="187" t="str">
        <f>IF(OR($F125="",Y125=""),"",IFERROR(IF(Y125&gt;V125,MIN(Y125,T125)-V125,0),'תחום תמיכה ג'!$Q$2))</f>
        <v/>
      </c>
      <c r="AA125" s="259"/>
      <c r="AB125" s="260" t="str">
        <f t="shared" si="6"/>
        <v/>
      </c>
      <c r="AC125" s="261"/>
      <c r="AD125" s="180"/>
      <c r="AE125" s="13" t="str">
        <f>IF($C125="","",IFERROR(VLOOKUP($C125,גיליון1!$A:$E,2,0),"לא הגיש בקשה שוטפת"))</f>
        <v>המאסטרקלאס הבינלאומי לשירה אמנותית</v>
      </c>
      <c r="AF125" s="13" t="str">
        <f>IF($C125="","",IFERROR(VLOOKUP($C125,גיליון1!$A:$E,3,0),"לא הגיש בקשה שוטפת"))</f>
        <v>טיוט</v>
      </c>
      <c r="AG125" s="13" t="str">
        <f>IF($C125="","",IFERROR(VLOOKUP($C125,גיליון1!$A:$E,4,0),"לא הגיש בקשה שוטפת"))</f>
        <v>19-42-02-16</v>
      </c>
      <c r="AH125" s="13" t="str">
        <f>IF($C125="","",IFERROR(VLOOKUP($C125,גיליון1!$A:$E,5,0),"לא הגיש בקשה שוטפת"))</f>
        <v>מוסיקה</v>
      </c>
      <c r="AI125" s="13">
        <f t="shared" si="7"/>
        <v>0</v>
      </c>
      <c r="AJ125"/>
      <c r="AK125" t="s">
        <v>250</v>
      </c>
    </row>
    <row r="126" spans="1:37" ht="29.25" x14ac:dyDescent="0.25">
      <c r="A126" s="54">
        <f>'הזנה לתנאי סף'!B126</f>
        <v>96</v>
      </c>
      <c r="B126" s="266">
        <f>IF($F126="","",'הזנה לתנאי סף'!C126)</f>
        <v>1001349148</v>
      </c>
      <c r="C126" s="266">
        <f>IF($F126="","",'הזנה לתנאי סף'!D126)</f>
        <v>1001279372</v>
      </c>
      <c r="D126" s="266">
        <f>IF($F126="","",'הזנה לתנאי סף'!E126)</f>
        <v>40133812</v>
      </c>
      <c r="E126" s="55">
        <f>IF($F126="","",'הזנה לתנאי סף'!F126)</f>
        <v>20000201</v>
      </c>
      <c r="F126" s="55" t="str">
        <f>IF('הזנה לתנאי סף'!BL126=1,'הזנה לתנאי סף'!G126,"")</f>
        <v>תל אביב -יפו</v>
      </c>
      <c r="G126" s="55" t="str">
        <f>IF($F126="","",'הזנה לתנאי סף'!H126)</f>
        <v>תיאטרון "מלנקי"</v>
      </c>
      <c r="H126" s="55" t="str">
        <f>IF($F126="","",'הזנה לתנאי סף'!I126)</f>
        <v>קבוצות תיאטרון</v>
      </c>
      <c r="I126" s="187">
        <f>IF($F126="","",'הזנה לתנאי סף'!R126)</f>
        <v>968216</v>
      </c>
      <c r="J126" s="187">
        <f>IF($F126="","",'תחום תמיכה א'!P126)</f>
        <v>1088388</v>
      </c>
      <c r="K126" s="177">
        <f>IF($F126="","",'הזנה לתנאי סף'!N126)</f>
        <v>1</v>
      </c>
      <c r="L126" s="177">
        <f>IF($F126="","",'הזנה לתנאי סף'!O126)</f>
        <v>1</v>
      </c>
      <c r="M126" s="177">
        <f>IF($F126="","",'הזנה לתנאי סף'!Q126)</f>
        <v>1</v>
      </c>
      <c r="N126" s="187">
        <f>IF($F126="","",'תחום תמיכה א'!AE126)</f>
        <v>20477.915230519462</v>
      </c>
      <c r="O126" s="178"/>
      <c r="P126" s="187">
        <f>IF($F126="","",'תחום תמיכה ב'!AC126)</f>
        <v>19549.41138100082</v>
      </c>
      <c r="Q126" s="187">
        <f>IF($F126="","",IF('תחום תמיכה ג'!O126="",0,'תחום תמיכה ג'!O126))</f>
        <v>8197.90430759214</v>
      </c>
      <c r="R126" s="187">
        <f t="shared" si="4"/>
        <v>586.19012165901222</v>
      </c>
      <c r="S126" s="187">
        <f>IF($F126="","",'תחום תמיכה ב'!AE126)</f>
        <v>20135.601502659832</v>
      </c>
      <c r="T126" s="187">
        <f>IF($F126="","",IF(Q126='תחום תמיכה ג'!$Q$2,'תחום תמיכה ג'!$Q$2,IFERROR(SUMIF(N126:R126,"&gt;0"),'תחום תמיכה ג'!$Q$2)))</f>
        <v>48811.421040771434</v>
      </c>
      <c r="U126" s="187">
        <f>IF($F126="","",'הזנה לתנאי סף'!Y126)</f>
        <v>600000</v>
      </c>
      <c r="V126" s="269">
        <f>IF(F126="","",'הגבלה לסכום מבוקש '!AA126)</f>
        <v>52172.621082084872</v>
      </c>
      <c r="W126" s="187">
        <f t="shared" si="5"/>
        <v>13043.155270521218</v>
      </c>
      <c r="X126" s="187">
        <f>IF(F126="","",'הזנה לתנאי סף'!Z126)</f>
        <v>150000</v>
      </c>
      <c r="Y126" s="237" t="str">
        <f>IFERROR(VLOOKUP(G126*1,#REF!,3,0),"")</f>
        <v/>
      </c>
      <c r="Z126" s="187" t="str">
        <f>IF(OR($F126="",Y126=""),"",IFERROR(IF(Y126&gt;V126,MIN(Y126,T126)-V126,0),'תחום תמיכה ג'!$Q$2))</f>
        <v/>
      </c>
      <c r="AA126" s="259"/>
      <c r="AB126" s="260" t="str">
        <f t="shared" si="6"/>
        <v/>
      </c>
      <c r="AC126" s="261"/>
      <c r="AD126" s="180"/>
      <c r="AE126" s="13" t="str">
        <f>IF($C126="","",IFERROR(VLOOKUP($C126,גיליון1!$A:$E,2,0),"לא הגיש בקשה שוטפת"))</f>
        <v>תמיכה שותפת לשנת 2020 עבור</v>
      </c>
      <c r="AF126" s="13" t="str">
        <f>IF($C126="","",IFERROR(VLOOKUP($C126,גיליון1!$A:$E,3,0),"לא הגיש בקשה שוטפת"))</f>
        <v>מועד</v>
      </c>
      <c r="AG126" s="13" t="str">
        <f>IF($C126="","",IFERROR(VLOOKUP($C126,גיליון1!$A:$E,4,0),"לא הגיש בקשה שוטפת"))</f>
        <v>19-42-02-07</v>
      </c>
      <c r="AH126" s="13" t="str">
        <f>IF($C126="","",IFERROR(VLOOKUP($C126,גיליון1!$A:$E,5,0),"לא הגיש בקשה שוטפת"))</f>
        <v>תיאטרון</v>
      </c>
      <c r="AI126" s="13">
        <f t="shared" si="7"/>
        <v>0</v>
      </c>
      <c r="AJ126"/>
      <c r="AK126" t="s">
        <v>237</v>
      </c>
    </row>
    <row r="127" spans="1:37" ht="29.25" x14ac:dyDescent="0.25">
      <c r="A127" s="54">
        <f>'הזנה לתנאי סף'!B127</f>
        <v>97</v>
      </c>
      <c r="B127" s="266">
        <f>IF($F127="","",'הזנה לתנאי סף'!C127)</f>
        <v>1001350656</v>
      </c>
      <c r="C127" s="266">
        <f>IF($F127="","",'הזנה לתנאי סף'!D127)</f>
        <v>1001288980</v>
      </c>
      <c r="D127" s="266">
        <f>IF($F127="","",'הזנה לתנאי סף'!E127)</f>
        <v>40209197</v>
      </c>
      <c r="E127" s="55">
        <f>IF($F127="","",'הזנה לתנאי סף'!F127)</f>
        <v>20000248</v>
      </c>
      <c r="F127" s="55" t="str">
        <f>IF('הזנה לתנאי סף'!BL127=1,'הזנה לתנאי סף'!G127,"")</f>
        <v>רחובות</v>
      </c>
      <c r="G127" s="55" t="str">
        <f>IF($F127="","",'הזנה לתנאי סף'!H127)</f>
        <v>מכון דוידסון לחינוך מדעי</v>
      </c>
      <c r="H127" s="55" t="str">
        <f>IF($F127="","",'הזנה לתנאי סף'!I127)</f>
        <v>מוזיאונים</v>
      </c>
      <c r="I127" s="187">
        <f>IF($F127="","",'הזנה לתנאי סף'!R127)</f>
        <v>4333254</v>
      </c>
      <c r="J127" s="187">
        <f>IF($F127="","",'תחום תמיכה א'!P127)</f>
        <v>5155364</v>
      </c>
      <c r="K127" s="177">
        <f>IF($F127="","",'הזנה לתנאי סף'!N127)</f>
        <v>0</v>
      </c>
      <c r="L127" s="177">
        <f>IF($F127="","",'הזנה לתנאי סף'!O127)</f>
        <v>1</v>
      </c>
      <c r="M127" s="177">
        <f>IF($F127="","",'הזנה לתנאי סף'!Q127)</f>
        <v>1</v>
      </c>
      <c r="N127" s="187">
        <f>IF($F127="","",'תחום תמיכה א'!AE127)</f>
        <v>233921.82183370626</v>
      </c>
      <c r="O127" s="178"/>
      <c r="P127" s="187">
        <f>IF($F127="","",'תחום תמיכה ב'!AC127)</f>
        <v>458280.56725595077</v>
      </c>
      <c r="Q127" s="187">
        <f>IF($F127="","",IF('תחום תמיכה ג'!O127="",0,'תחום תמיכה ג'!O127))</f>
        <v>0</v>
      </c>
      <c r="R127" s="187">
        <f t="shared" si="4"/>
        <v>13741.566752992105</v>
      </c>
      <c r="S127" s="187">
        <f>IF($F127="","",'תחום תמיכה ב'!AE127)</f>
        <v>472022.13400894287</v>
      </c>
      <c r="T127" s="187">
        <f>IF($F127="","",IF(Q127='תחום תמיכה ג'!$Q$2,'תחום תמיכה ג'!$Q$2,IFERROR(SUMIF(N127:R127,"&gt;0"),'תחום תמיכה ג'!$Q$2)))</f>
        <v>705943.9558426491</v>
      </c>
      <c r="U127" s="187">
        <f>IF($F127="","",'הזנה לתנאי סף'!Y127)</f>
        <v>909691</v>
      </c>
      <c r="V127" s="269">
        <f>IF(F127="","",'הגבלה לסכום מבוקש '!AA127)</f>
        <v>784538.19842569914</v>
      </c>
      <c r="W127" s="187">
        <f t="shared" si="5"/>
        <v>196134.54960642479</v>
      </c>
      <c r="X127" s="187">
        <f>IF(F127="","",'הזנה לתנאי סף'!Z127)</f>
        <v>909691</v>
      </c>
      <c r="Y127" s="237" t="str">
        <f>IFERROR(VLOOKUP(G127*1,#REF!,3,0),"")</f>
        <v/>
      </c>
      <c r="Z127" s="187" t="str">
        <f>IF(OR($F127="",Y127=""),"",IFERROR(IF(Y127&gt;V127,MIN(Y127,T127)-V127,0),'תחום תמיכה ג'!$Q$2))</f>
        <v/>
      </c>
      <c r="AA127" s="259"/>
      <c r="AB127" s="260" t="str">
        <f t="shared" si="6"/>
        <v/>
      </c>
      <c r="AC127" s="261"/>
      <c r="AD127" s="180"/>
      <c r="AE127" s="13" t="str">
        <f>IF($C127="","",IFERROR(VLOOKUP($C127,גיליון1!$A:$E,2,0),"לא הגיש בקשה שוטפת"))</f>
        <v>תמיכה שוטפת במוזיאון 2020</v>
      </c>
      <c r="AF127" s="13" t="str">
        <f>IF($C127="","",IFERROR(VLOOKUP($C127,גיליון1!$A:$E,3,0),"לא הגיש בקשה שוטפת"))</f>
        <v>חויב</v>
      </c>
      <c r="AG127" s="13" t="str">
        <f>IF($C127="","",IFERROR(VLOOKUP($C127,גיליון1!$A:$E,4,0),"לא הגיש בקשה שוטפת"))</f>
        <v>19-42-02-18</v>
      </c>
      <c r="AH127" s="13" t="str">
        <f>IF($C127="","",IFERROR(VLOOKUP($C127,גיליון1!$A:$E,5,0),"לא הגיש בקשה שוטפת"))</f>
        <v>מוזיאונים ואמנות פלס</v>
      </c>
      <c r="AI127" s="13">
        <f t="shared" si="7"/>
        <v>0</v>
      </c>
      <c r="AJ127"/>
      <c r="AK127" t="s">
        <v>122</v>
      </c>
    </row>
    <row r="128" spans="1:37" ht="57.75" x14ac:dyDescent="0.25">
      <c r="A128" s="54">
        <f>'הזנה לתנאי סף'!B128</f>
        <v>98</v>
      </c>
      <c r="B128" s="266">
        <f>IF($F128="","",'הזנה לתנאי סף'!C128)</f>
        <v>1001348864</v>
      </c>
      <c r="C128" s="266">
        <f>IF($F128="","",'הזנה לתנאי סף'!D128)</f>
        <v>1001311515</v>
      </c>
      <c r="D128" s="266">
        <f>IF($F128="","",'הזנה לתנאי סף'!E128)</f>
        <v>40216045</v>
      </c>
      <c r="E128" s="55">
        <f>IF($F128="","",'הזנה לתנאי סף'!F128)</f>
        <v>20000158</v>
      </c>
      <c r="F128" s="55" t="str">
        <f>IF('הזנה לתנאי סף'!BL128=1,'הזנה לתנאי סף'!G128,"")</f>
        <v>גולן</v>
      </c>
      <c r="G128" s="55" t="str">
        <f>IF($F128="","",'הזנה לתנאי סף'!H128)</f>
        <v>תל-חי כיתות אומן בינ"ל לפסנתר</v>
      </c>
      <c r="H128" s="55" t="str">
        <f>IF($F128="","",'הזנה לתנאי סף'!I128)</f>
        <v>מרכזי מוסיקה</v>
      </c>
      <c r="I128" s="187">
        <f>IF($F128="","",'הזנה לתנאי סף'!R128)</f>
        <v>939811</v>
      </c>
      <c r="J128" s="187">
        <f>IF($F128="","",'תחום תמיכה א'!P128)</f>
        <v>959375</v>
      </c>
      <c r="K128" s="177">
        <f>IF($F128="","",'הזנה לתנאי סף'!N128)</f>
        <v>0</v>
      </c>
      <c r="L128" s="177">
        <f>IF($F128="","",'הזנה לתנאי סף'!O128)</f>
        <v>1</v>
      </c>
      <c r="M128" s="177">
        <f>IF($F128="","",'הזנה לתנאי סף'!Q128)</f>
        <v>1</v>
      </c>
      <c r="N128" s="187">
        <f>IF($F128="","",'תחום תמיכה א'!AE128)</f>
        <v>48537.585128042425</v>
      </c>
      <c r="O128" s="178"/>
      <c r="P128" s="187">
        <f>IF($F128="","",'תחום תמיכה ב'!AC128)</f>
        <v>137207.38851352682</v>
      </c>
      <c r="Q128" s="187">
        <f>IF($F128="","",IF('תחום תמיכה ג'!O128="",0,'תחום תמיכה ג'!O128))</f>
        <v>0</v>
      </c>
      <c r="R128" s="187">
        <f t="shared" si="4"/>
        <v>4114.1707132637966</v>
      </c>
      <c r="S128" s="187">
        <f>IF($F128="","",'תחום תמיכה ב'!AE128)</f>
        <v>141321.55922679062</v>
      </c>
      <c r="T128" s="187">
        <f>IF($F128="","",IF(Q128='תחום תמיכה ג'!$Q$2,'תחום תמיכה ג'!$Q$2,IFERROR(SUMIF(N128:R128,"&gt;0"),'תחום תמיכה ג'!$Q$2)))</f>
        <v>189859.14435483306</v>
      </c>
      <c r="U128" s="187">
        <f>IF($F128="","",'הזנה לתנאי סף'!Y128)</f>
        <v>100000</v>
      </c>
      <c r="V128" s="269">
        <f>IF(F128="","",'הגבלה לסכום מבוקש '!AA128)</f>
        <v>100000</v>
      </c>
      <c r="W128" s="187">
        <f t="shared" si="5"/>
        <v>25000</v>
      </c>
      <c r="X128" s="187">
        <f>IF(F128="","",'הזנה לתנאי סף'!Z128)</f>
        <v>100000</v>
      </c>
      <c r="Y128" s="237" t="str">
        <f>IFERROR(VLOOKUP(G128*1,#REF!,3,0),"")</f>
        <v/>
      </c>
      <c r="Z128" s="187" t="str">
        <f>IF(OR($F128="",Y128=""),"",IFERROR(IF(Y128&gt;V128,MIN(Y128,T128)-V128,0),'תחום תמיכה ג'!$Q$2))</f>
        <v/>
      </c>
      <c r="AA128" s="259"/>
      <c r="AB128" s="260" t="str">
        <f t="shared" si="6"/>
        <v/>
      </c>
      <c r="AC128" s="261"/>
      <c r="AD128" s="180"/>
      <c r="AE128" s="13" t="str">
        <f>IF($C128="","",IFERROR(VLOOKUP($C128,גיליון1!$A:$E,2,0),"לא הגיש בקשה שוטפת"))</f>
        <v>תמיכה עבור כיתות אמן בינ"ל לפסנתר</v>
      </c>
      <c r="AF128" s="13" t="str">
        <f>IF($C128="","",IFERROR(VLOOKUP($C128,גיליון1!$A:$E,3,0),"לא הגיש בקשה שוטפת"))</f>
        <v>טיוט</v>
      </c>
      <c r="AG128" s="13" t="str">
        <f>IF($C128="","",IFERROR(VLOOKUP($C128,גיליון1!$A:$E,4,0),"לא הגיש בקשה שוטפת"))</f>
        <v>19-42-02-16</v>
      </c>
      <c r="AH128" s="13" t="str">
        <f>IF($C128="","",IFERROR(VLOOKUP($C128,גיליון1!$A:$E,5,0),"לא הגיש בקשה שוטפת"))</f>
        <v>מוסיקה</v>
      </c>
      <c r="AI128" s="13">
        <f t="shared" si="7"/>
        <v>1</v>
      </c>
      <c r="AJ128"/>
      <c r="AK128" t="s">
        <v>123</v>
      </c>
    </row>
    <row r="129" spans="1:37" ht="43.5" x14ac:dyDescent="0.25">
      <c r="A129" s="54">
        <f>'הזנה לתנאי סף'!B129</f>
        <v>99</v>
      </c>
      <c r="B129" s="266">
        <f>IF($F129="","",'הזנה לתנאי סף'!C129)</f>
        <v>1001350625</v>
      </c>
      <c r="C129" s="266">
        <f>IF($F129="","",'הזנה לתנאי סף'!D129)</f>
        <v>1001312149</v>
      </c>
      <c r="D129" s="266">
        <f>IF($F129="","",'הזנה לתנאי סף'!E129)</f>
        <v>40233029</v>
      </c>
      <c r="E129" s="55">
        <f>IF($F129="","",'הזנה לתנאי סף'!F129)</f>
        <v>20000159</v>
      </c>
      <c r="F129" s="55" t="str">
        <f>IF('הזנה לתנאי סף'!BL129=1,'הזנה לתנאי סף'!G129,"")</f>
        <v>ירושלים</v>
      </c>
      <c r="G129" s="55" t="str">
        <f>IF($F129="","",'הזנה לתנאי סף'!H129)</f>
        <v>המרכז למוסיקה ירושלים</v>
      </c>
      <c r="H129" s="55" t="str">
        <f>IF($F129="","",'הזנה לתנאי סף'!I129)</f>
        <v>מרכזי מוסיקה</v>
      </c>
      <c r="I129" s="187">
        <f>IF($F129="","",'הזנה לתנאי סף'!R129)</f>
        <v>1855143</v>
      </c>
      <c r="J129" s="187">
        <f>IF($F129="","",'תחום תמיכה א'!P129)</f>
        <v>1855143</v>
      </c>
      <c r="K129" s="177">
        <f>IF($F129="","",'הזנה לתנאי סף'!N129)</f>
        <v>0</v>
      </c>
      <c r="L129" s="177">
        <f>IF($F129="","",'הזנה לתנאי סף'!O129)</f>
        <v>1</v>
      </c>
      <c r="M129" s="177">
        <f>IF($F129="","",'הזנה לתנאי סף'!Q129)</f>
        <v>1</v>
      </c>
      <c r="N129" s="187">
        <f>IF($F129="","",'תחום תמיכה א'!AE129)</f>
        <v>98677.243218868796</v>
      </c>
      <c r="O129" s="178"/>
      <c r="P129" s="187">
        <f>IF($F129="","",'תחום תמיכה ב'!AC129)</f>
        <v>299373.98772155331</v>
      </c>
      <c r="Q129" s="187">
        <f>IF($F129="","",IF('תחום תמיכה ג'!O129="",0,'תחום תמיכה ג'!O129))</f>
        <v>0</v>
      </c>
      <c r="R129" s="187">
        <f t="shared" si="4"/>
        <v>8976.7446632481297</v>
      </c>
      <c r="S129" s="187">
        <f>IF($F129="","",'תחום תמיכה ב'!AE129)</f>
        <v>308350.73238480143</v>
      </c>
      <c r="T129" s="187">
        <f>IF($F129="","",IF(Q129='תחום תמיכה ג'!$Q$2,'תחום תמיכה ג'!$Q$2,IFERROR(SUMIF(N129:R129,"&gt;0"),'תחום תמיכה ג'!$Q$2)))</f>
        <v>407027.97560367023</v>
      </c>
      <c r="U129" s="187">
        <f>IF($F129="","",'הזנה לתנאי סף'!Y129)</f>
        <v>1270065</v>
      </c>
      <c r="V129" s="269">
        <f>IF(F129="","",'הגבלה לסכום מבוקש '!AA129)</f>
        <v>458345.39476771554</v>
      </c>
      <c r="W129" s="187">
        <f t="shared" si="5"/>
        <v>114586.34869192888</v>
      </c>
      <c r="X129" s="187">
        <f>IF(F129="","",'הזנה לתנאי סף'!Z129)</f>
        <v>1270065</v>
      </c>
      <c r="Y129" s="237" t="str">
        <f>IFERROR(VLOOKUP(G129*1,#REF!,3,0),"")</f>
        <v/>
      </c>
      <c r="Z129" s="187" t="str">
        <f>IF(OR($F129="",Y129=""),"",IFERROR(IF(Y129&gt;V129,MIN(Y129,T129)-V129,0),'תחום תמיכה ג'!$Q$2))</f>
        <v/>
      </c>
      <c r="AA129" s="259"/>
      <c r="AB129" s="260" t="str">
        <f t="shared" si="6"/>
        <v/>
      </c>
      <c r="AC129" s="261"/>
      <c r="AD129" s="180"/>
      <c r="AE129" s="13" t="str">
        <f>IF($C129="","",IFERROR(VLOOKUP($C129,גיליון1!$A:$E,2,0),"לא הגיש בקשה שוטפת"))</f>
        <v>מרכז מוסיקלי תרבותי בירושלים</v>
      </c>
      <c r="AF129" s="13" t="str">
        <f>IF($C129="","",IFERROR(VLOOKUP($C129,גיליון1!$A:$E,3,0),"לא הגיש בקשה שוטפת"))</f>
        <v>מועד</v>
      </c>
      <c r="AG129" s="13" t="str">
        <f>IF($C129="","",IFERROR(VLOOKUP($C129,גיליון1!$A:$E,4,0),"לא הגיש בקשה שוטפת"))</f>
        <v>19-42-02-16</v>
      </c>
      <c r="AH129" s="13" t="str">
        <f>IF($C129="","",IFERROR(VLOOKUP($C129,גיליון1!$A:$E,5,0),"לא הגיש בקשה שוטפת"))</f>
        <v>מוסיקה</v>
      </c>
      <c r="AI129" s="13">
        <f t="shared" si="7"/>
        <v>0</v>
      </c>
      <c r="AJ129"/>
      <c r="AK129" t="s">
        <v>126</v>
      </c>
    </row>
    <row r="130" spans="1:37" ht="43.5" x14ac:dyDescent="0.25">
      <c r="A130" s="54">
        <f>'הזנה לתנאי סף'!B130</f>
        <v>100</v>
      </c>
      <c r="B130" s="266">
        <f>IF($F130="","",'הזנה לתנאי סף'!C130)</f>
        <v>1001347014</v>
      </c>
      <c r="C130" s="266">
        <f>IF($F130="","",'הזנה לתנאי סף'!D130)</f>
        <v>1001269702</v>
      </c>
      <c r="D130" s="266">
        <f>IF($F130="","",'הזנה לתנאי סף'!E130)</f>
        <v>40216083</v>
      </c>
      <c r="E130" s="55">
        <f>IF($F130="","",'הזנה לתנאי סף'!F130)</f>
        <v>20000159</v>
      </c>
      <c r="F130" s="55" t="str">
        <f>IF('הזנה לתנאי סף'!BL130=1,'הזנה לתנאי סף'!G130,"")</f>
        <v>ירושלים</v>
      </c>
      <c r="G130" s="55" t="str">
        <f>IF($F130="","",'הזנה לתנאי סף'!H130)</f>
        <v>תאטרון "פסיק" ירושלים</v>
      </c>
      <c r="H130" s="55" t="str">
        <f>IF($F130="","",'הזנה לתנאי סף'!I130)</f>
        <v>תיאטרון</v>
      </c>
      <c r="I130" s="187">
        <f>IF($F130="","",'הזנה לתנאי סף'!R130)</f>
        <v>3398572</v>
      </c>
      <c r="J130" s="187">
        <f>IF($F130="","",'תחום תמיכה א'!P130)</f>
        <v>3398572</v>
      </c>
      <c r="K130" s="177">
        <f>IF($F130="","",'הזנה לתנאי סף'!N130)</f>
        <v>1</v>
      </c>
      <c r="L130" s="177">
        <f>IF($F130="","",'הזנה לתנאי סף'!O130)</f>
        <v>1</v>
      </c>
      <c r="M130" s="177">
        <f>IF($F130="","",'הזנה לתנאי סף'!Q130)</f>
        <v>1</v>
      </c>
      <c r="N130" s="187">
        <f>IF($F130="","",'תחום תמיכה א'!AE130)</f>
        <v>107927.13293926834</v>
      </c>
      <c r="O130" s="178"/>
      <c r="P130" s="187">
        <f>IF($F130="","",'תחום תמיכה ב'!AC130)</f>
        <v>195488.963454977</v>
      </c>
      <c r="Q130" s="187">
        <f>IF($F130="","",IF('תחום תמיכה ג'!O130="",0,'תחום תמיכה ג'!O130))</f>
        <v>33793.860488387159</v>
      </c>
      <c r="R130" s="187">
        <f t="shared" si="4"/>
        <v>5861.7467829254165</v>
      </c>
      <c r="S130" s="187">
        <f>IF($F130="","",'תחום תמיכה ב'!AE130)</f>
        <v>201350.71023790241</v>
      </c>
      <c r="T130" s="187">
        <f>IF($F130="","",IF(Q130='תחום תמיכה ג'!$Q$2,'תחום תמיכה ג'!$Q$2,IFERROR(SUMIF(N130:R130,"&gt;0"),'תחום תמיכה ג'!$Q$2)))</f>
        <v>343071.7036655579</v>
      </c>
      <c r="U130" s="187">
        <f>IF($F130="","",'הזנה לתנאי סף'!Y130)</f>
        <v>2551736</v>
      </c>
      <c r="V130" s="269">
        <f>IF(F130="","",'הגבלה לסכום מבוקש '!AA130)</f>
        <v>376616.78273107205</v>
      </c>
      <c r="W130" s="187">
        <f t="shared" si="5"/>
        <v>94154.195682768011</v>
      </c>
      <c r="X130" s="187">
        <f>IF(F130="","",'הזנה לתנאי סף'!Z130)</f>
        <v>1000000</v>
      </c>
      <c r="Y130" s="237" t="str">
        <f>IFERROR(VLOOKUP(G130*1,#REF!,3,0),"")</f>
        <v/>
      </c>
      <c r="Z130" s="187" t="str">
        <f>IF(OR($F130="",Y130=""),"",IFERROR(IF(Y130&gt;V130,MIN(Y130,T130)-V130,0),'תחום תמיכה ג'!$Q$2))</f>
        <v/>
      </c>
      <c r="AA130" s="259"/>
      <c r="AB130" s="260" t="str">
        <f t="shared" si="6"/>
        <v/>
      </c>
      <c r="AC130" s="261"/>
      <c r="AD130" s="180"/>
      <c r="AE130" s="13" t="str">
        <f>IF($C130="","",IFERROR(VLOOKUP($C130,גיליון1!$A:$E,2,0),"לא הגיש בקשה שוטפת"))</f>
        <v>קבוצות תיאטרון</v>
      </c>
      <c r="AF130" s="13" t="str">
        <f>IF($C130="","",IFERROR(VLOOKUP($C130,גיליון1!$A:$E,3,0),"לא הגיש בקשה שוטפת"))</f>
        <v>מועד</v>
      </c>
      <c r="AG130" s="13" t="str">
        <f>IF($C130="","",IFERROR(VLOOKUP($C130,גיליון1!$A:$E,4,0),"לא הגיש בקשה שוטפת"))</f>
        <v>19-42-02-07</v>
      </c>
      <c r="AH130" s="13" t="str">
        <f>IF($C130="","",IFERROR(VLOOKUP($C130,גיליון1!$A:$E,5,0),"לא הגיש בקשה שוטפת"))</f>
        <v>תיאטרון</v>
      </c>
      <c r="AI130" s="13">
        <f t="shared" si="7"/>
        <v>0</v>
      </c>
      <c r="AJ130"/>
      <c r="AK130" t="s">
        <v>124</v>
      </c>
    </row>
    <row r="131" spans="1:37" ht="43.5" x14ac:dyDescent="0.25">
      <c r="A131" s="54">
        <f>'הזנה לתנאי סף'!B131</f>
        <v>101</v>
      </c>
      <c r="B131" s="266">
        <f>IF($F131="","",'הזנה לתנאי סף'!C131)</f>
        <v>1001350428</v>
      </c>
      <c r="C131" s="266">
        <f>IF($F131="","",'הזנה לתנאי סף'!D131)</f>
        <v>1001269684</v>
      </c>
      <c r="D131" s="266">
        <f>IF($F131="","",'הזנה לתנאי סף'!E131)</f>
        <v>40216083</v>
      </c>
      <c r="E131" s="55">
        <f>IF($F131="","",'הזנה לתנאי סף'!F131)</f>
        <v>20000159</v>
      </c>
      <c r="F131" s="55" t="str">
        <f>IF('הזנה לתנאי סף'!BL131=1,'הזנה לתנאי סף'!G131,"")</f>
        <v>ירושלים</v>
      </c>
      <c r="G131" s="55" t="str">
        <f>IF($F131="","",'הזנה לתנאי סף'!H131)</f>
        <v>תאטרון "פסיק" ירושלים</v>
      </c>
      <c r="H131" s="55" t="str">
        <f>IF($F131="","",'הזנה לתנאי סף'!I131)</f>
        <v>תיאטרון</v>
      </c>
      <c r="I131" s="187">
        <f>IF($F131="","",'הזנה לתנאי סף'!R131)</f>
        <v>187862</v>
      </c>
      <c r="J131" s="187">
        <f>IF($F131="","",'תחום תמיכה א'!P131)</f>
        <v>187862</v>
      </c>
      <c r="K131" s="177">
        <f>IF($F131="","",'הזנה לתנאי סף'!N131)</f>
        <v>1</v>
      </c>
      <c r="L131" s="177">
        <f>IF($F131="","",'הזנה לתנאי סף'!O131)</f>
        <v>1</v>
      </c>
      <c r="M131" s="177">
        <f>IF($F131="","",'הזנה לתנאי סף'!Q131)</f>
        <v>1</v>
      </c>
      <c r="N131" s="187">
        <f>IF($F131="","",'תחום תמיכה א'!AE131)</f>
        <v>2604.052884019301</v>
      </c>
      <c r="O131" s="178"/>
      <c r="P131" s="187">
        <f>IF($F131="","",'תחום תמיכה ב'!AC131)</f>
        <v>2058.8186625991329</v>
      </c>
      <c r="Q131" s="187">
        <f>IF($F131="","",IF('תחום תמיכה ג'!O131="",0,'תחום תמיכה ג'!O131))</f>
        <v>355.90464763391526</v>
      </c>
      <c r="R131" s="187">
        <f t="shared" si="4"/>
        <v>61.733785165302834</v>
      </c>
      <c r="S131" s="187">
        <f>IF($F131="","",'תחום תמיכה ב'!AE131)</f>
        <v>2120.5524477644358</v>
      </c>
      <c r="T131" s="187">
        <f>IF($F131="","",IF(Q131='תחום תמיכה ג'!$Q$2,'תחום תמיכה ג'!$Q$2,IFERROR(SUMIF(N131:R131,"&gt;0"),'תחום תמיכה ג'!$Q$2)))</f>
        <v>5080.5099794176522</v>
      </c>
      <c r="U131" s="187">
        <f>IF($F131="","",'הזנה לתנאי סף'!Y131)</f>
        <v>180000</v>
      </c>
      <c r="V131" s="269">
        <f>IF(F131="","",'הגבלה לסכום מבוקש '!AA131)</f>
        <v>5434.4626991913365</v>
      </c>
      <c r="W131" s="187">
        <f t="shared" si="5"/>
        <v>1358.6156747978341</v>
      </c>
      <c r="X131" s="187">
        <f>IF(F131="","",'הזנה לתנאי סף'!Z131)</f>
        <v>90000</v>
      </c>
      <c r="Y131" s="237" t="str">
        <f>IFERROR(VLOOKUP(G131*1,#REF!,3,0),"")</f>
        <v/>
      </c>
      <c r="Z131" s="187" t="str">
        <f>IF(OR($F131="",Y131=""),"",IFERROR(IF(Y131&gt;V131,MIN(Y131,T131)-V131,0),'תחום תמיכה ג'!$Q$2))</f>
        <v/>
      </c>
      <c r="AA131" s="259"/>
      <c r="AB131" s="260" t="str">
        <f t="shared" si="6"/>
        <v/>
      </c>
      <c r="AC131" s="261"/>
      <c r="AD131" s="180"/>
      <c r="AE131" s="13" t="str">
        <f>IF($C131="","",IFERROR(VLOOKUP($C131,גיליון1!$A:$E,2,0),"לא הגיש בקשה שוטפת"))</f>
        <v>מחול במזיא</v>
      </c>
      <c r="AF131" s="13" t="str">
        <f>IF($C131="","",IFERROR(VLOOKUP($C131,גיליון1!$A:$E,3,0),"לא הגיש בקשה שוטפת"))</f>
        <v>חויב</v>
      </c>
      <c r="AG131" s="13" t="str">
        <f>IF($C131="","",IFERROR(VLOOKUP($C131,גיליון1!$A:$E,4,0),"לא הגיש בקשה שוטפת"))</f>
        <v>19-42-02-20</v>
      </c>
      <c r="AH131" s="13" t="str">
        <f>IF($C131="","",IFERROR(VLOOKUP($C131,גיליון1!$A:$E,5,0),"לא הגיש בקשה שוטפת"))</f>
        <v>מחול וארגוני גג</v>
      </c>
      <c r="AI131" s="13">
        <f t="shared" si="7"/>
        <v>0</v>
      </c>
      <c r="AJ131"/>
      <c r="AK131" t="s">
        <v>128</v>
      </c>
    </row>
    <row r="132" spans="1:37" ht="43.5" x14ac:dyDescent="0.25">
      <c r="A132" s="54">
        <f>'הזנה לתנאי סף'!B132</f>
        <v>102</v>
      </c>
      <c r="B132" s="266">
        <f>IF($F132="","",'הזנה לתנאי סף'!C132)</f>
        <v>1001350429</v>
      </c>
      <c r="C132" s="266">
        <f>IF($F132="","",'הזנה לתנאי סף'!D132)</f>
        <v>1001269710</v>
      </c>
      <c r="D132" s="266">
        <f>IF($F132="","",'הזנה לתנאי סף'!E132)</f>
        <v>40216083</v>
      </c>
      <c r="E132" s="55">
        <f>IF($F132="","",'הזנה לתנאי סף'!F132)</f>
        <v>20000159</v>
      </c>
      <c r="F132" s="55" t="str">
        <f>IF('הזנה לתנאי סף'!BL132=1,'הזנה לתנאי סף'!G132,"")</f>
        <v>ירושלים</v>
      </c>
      <c r="G132" s="55" t="str">
        <f>IF($F132="","",'הזנה לתנאי סף'!H132)</f>
        <v>תאטרון "פסיק" ירושלים</v>
      </c>
      <c r="H132" s="55" t="str">
        <f>IF($F132="","",'הזנה לתנאי סף'!I132)</f>
        <v>תיאטרון</v>
      </c>
      <c r="I132" s="187">
        <f>IF($F132="","",'הזנה לתנאי סף'!R132)</f>
        <v>150091</v>
      </c>
      <c r="J132" s="187">
        <f>IF($F132="","",'תחום תמיכה א'!P132)</f>
        <v>150091</v>
      </c>
      <c r="K132" s="177">
        <f>IF($F132="","",'הזנה לתנאי סף'!N132)</f>
        <v>1</v>
      </c>
      <c r="L132" s="177">
        <f>IF($F132="","",'הזנה לתנאי סף'!O132)</f>
        <v>1</v>
      </c>
      <c r="M132" s="177">
        <f>IF($F132="","",'הזנה לתנאי סף'!Q132)</f>
        <v>1</v>
      </c>
      <c r="N132" s="187">
        <f>IF($F132="","",'תחום תמיכה א'!AE132)</f>
        <v>3284.844592514301</v>
      </c>
      <c r="O132" s="178"/>
      <c r="P132" s="187">
        <f>IF($F132="","",'תחום תמיכה ב'!AC132)</f>
        <v>2735.7090074489106</v>
      </c>
      <c r="Q132" s="187">
        <f>IF($F132="","",IF('תחום תמיכה ג'!O132="",0,'תחום תמיכה ג'!O132))</f>
        <v>472.91758522135063</v>
      </c>
      <c r="R132" s="187">
        <f t="shared" si="4"/>
        <v>82.030377521168703</v>
      </c>
      <c r="S132" s="187">
        <f>IF($F132="","",'תחום תמיכה ב'!AE132)</f>
        <v>2817.7393849700793</v>
      </c>
      <c r="T132" s="187">
        <f>IF($F132="","",IF(Q132='תחום תמיכה ג'!$Q$2,'תחום תמיכה ג'!$Q$2,IFERROR(SUMIF(N132:R132,"&gt;0"),'תחום תמיכה ג'!$Q$2)))</f>
        <v>6575.501562705731</v>
      </c>
      <c r="U132" s="187">
        <f>IF($F132="","",'הזנה לתנאי סף'!Y132)</f>
        <v>130000</v>
      </c>
      <c r="V132" s="269">
        <f>IF(F132="","",'הגבלה לסכום מבוקש '!AA132)</f>
        <v>7045.7456274551168</v>
      </c>
      <c r="W132" s="187">
        <f t="shared" si="5"/>
        <v>1761.4364068637792</v>
      </c>
      <c r="X132" s="187">
        <f>IF(F132="","",'הזנה לתנאי סף'!Z132)</f>
        <v>65000</v>
      </c>
      <c r="Y132" s="237" t="str">
        <f>IFERROR(VLOOKUP(G132*1,#REF!,3,0),"")</f>
        <v/>
      </c>
      <c r="Z132" s="187" t="str">
        <f>IF(OR($F132="",Y132=""),"",IFERROR(IF(Y132&gt;V132,MIN(Y132,T132)-V132,0),'תחום תמיכה ג'!$Q$2))</f>
        <v/>
      </c>
      <c r="AA132" s="259"/>
      <c r="AB132" s="260" t="str">
        <f t="shared" si="6"/>
        <v/>
      </c>
      <c r="AC132" s="261"/>
      <c r="AD132" s="180"/>
      <c r="AE132" s="13" t="str">
        <f>IF($C132="","",IFERROR(VLOOKUP($C132,גיליון1!$A:$E,2,0),"לא הגיש בקשה שוטפת"))</f>
        <v>יוזמות</v>
      </c>
      <c r="AF132" s="13" t="str">
        <f>IF($C132="","",IFERROR(VLOOKUP($C132,גיליון1!$A:$E,3,0),"לא הגיש בקשה שוטפת"))</f>
        <v>טיוט</v>
      </c>
      <c r="AG132" s="13" t="str">
        <f>IF($C132="","",IFERROR(VLOOKUP($C132,גיליון1!$A:$E,4,0),"לא הגיש בקשה שוטפת"))</f>
        <v>19-42-02-31</v>
      </c>
      <c r="AH132" s="13" t="str">
        <f>IF($C132="","",IFERROR(VLOOKUP($C132,גיליון1!$A:$E,5,0),"לא הגיש בקשה שוטפת"))</f>
        <v>תרבות בקהילה תמיכה</v>
      </c>
      <c r="AI132" s="13">
        <f t="shared" si="7"/>
        <v>0</v>
      </c>
      <c r="AJ132"/>
      <c r="AK132" t="s">
        <v>130</v>
      </c>
    </row>
    <row r="133" spans="1:37" ht="43.5" x14ac:dyDescent="0.25">
      <c r="A133" s="54">
        <f>'הזנה לתנאי סף'!B133</f>
        <v>103</v>
      </c>
      <c r="B133" s="266">
        <f>IF($F133="","",'הזנה לתנאי סף'!C133)</f>
        <v>1001350431</v>
      </c>
      <c r="C133" s="266">
        <f>IF($F133="","",'הזנה לתנאי סף'!D133)</f>
        <v>1001268315</v>
      </c>
      <c r="D133" s="266">
        <f>IF($F133="","",'הזנה לתנאי סף'!E133)</f>
        <v>40216083</v>
      </c>
      <c r="E133" s="55">
        <f>IF($F133="","",'הזנה לתנאי סף'!F133)</f>
        <v>20000159</v>
      </c>
      <c r="F133" s="55" t="str">
        <f>IF('הזנה לתנאי סף'!BL133=1,'הזנה לתנאי סף'!G133,"")</f>
        <v>ירושלים</v>
      </c>
      <c r="G133" s="55" t="str">
        <f>IF($F133="","",'הזנה לתנאי סף'!H133)</f>
        <v>תאטרון "פסיק" ירושלים</v>
      </c>
      <c r="H133" s="55" t="str">
        <f>IF($F133="","",'הזנה לתנאי סף'!I133)</f>
        <v>תיאטרון</v>
      </c>
      <c r="I133" s="187">
        <f>IF($F133="","",'הזנה לתנאי סף'!R133)</f>
        <v>658629</v>
      </c>
      <c r="J133" s="187">
        <f>IF($F133="","",'תחום תמיכה א'!P133)</f>
        <v>658629</v>
      </c>
      <c r="K133" s="177">
        <f>IF($F133="","",'הזנה לתנאי סף'!N133)</f>
        <v>1</v>
      </c>
      <c r="L133" s="177">
        <f>IF($F133="","",'הזנה לתנאי סף'!O133)</f>
        <v>1</v>
      </c>
      <c r="M133" s="177">
        <f>IF($F133="","",'הזנה לתנאי סף'!Q133)</f>
        <v>1</v>
      </c>
      <c r="N133" s="187">
        <f>IF($F133="","",'תחום תמיכה א'!AE133)</f>
        <v>23134.891898379668</v>
      </c>
      <c r="O133" s="178"/>
      <c r="P133" s="187">
        <f>IF($F133="","",'תחום תמיכה ב'!AC133)</f>
        <v>46350.192079686123</v>
      </c>
      <c r="Q133" s="187">
        <f>IF($F133="","",IF('תחום תמיכה ג'!O133="",0,'תחום תמיכה ג'!O133))</f>
        <v>8012.4826336378128</v>
      </c>
      <c r="R133" s="187">
        <f t="shared" si="4"/>
        <v>1389.8129311716839</v>
      </c>
      <c r="S133" s="187">
        <f>IF($F133="","",'תחום תמיכה ב'!AE133)</f>
        <v>47740.005010857807</v>
      </c>
      <c r="T133" s="187">
        <f>IF($F133="","",IF(Q133='תחום תמיכה ג'!$Q$2,'תחום תמיכה ג'!$Q$2,IFERROR(SUMIF(N133:R133,"&gt;0"),'תחום תמיכה ג'!$Q$2)))</f>
        <v>78887.379542875278</v>
      </c>
      <c r="U133" s="187">
        <f>IF($F133="","",'הזנה לתנאי סף'!Y133)</f>
        <v>650000</v>
      </c>
      <c r="V133" s="269">
        <f>IF(F133="","",'הגבלה לסכום מבוקש '!AA133)</f>
        <v>86839.758810199695</v>
      </c>
      <c r="W133" s="187">
        <f t="shared" si="5"/>
        <v>21709.939702549924</v>
      </c>
      <c r="X133" s="187">
        <f>IF(F133="","",'הזנה לתנאי סף'!Z133)</f>
        <v>300000</v>
      </c>
      <c r="Y133" s="237" t="str">
        <f>IFERROR(VLOOKUP(G133*1,#REF!,3,0),"")</f>
        <v/>
      </c>
      <c r="Z133" s="187" t="str">
        <f>IF(OR($F133="",Y133=""),"",IFERROR(IF(Y133&gt;V133,MIN(Y133,T133)-V133,0),'תחום תמיכה ג'!$Q$2))</f>
        <v/>
      </c>
      <c r="AA133" s="259"/>
      <c r="AB133" s="260" t="str">
        <f t="shared" si="6"/>
        <v/>
      </c>
      <c r="AC133" s="261"/>
      <c r="AD133" s="180"/>
      <c r="AE133" s="13" t="str">
        <f>IF($C133="","",IFERROR(VLOOKUP($C133,גיליון1!$A:$E,2,0),"לא הגיש בקשה שוטפת"))</f>
        <v>פסטיבל אורות חנוכה 2020</v>
      </c>
      <c r="AF133" s="13" t="str">
        <f>IF($C133="","",IFERROR(VLOOKUP($C133,גיליון1!$A:$E,3,0),"לא הגיש בקשה שוטפת"))</f>
        <v>טיוט</v>
      </c>
      <c r="AG133" s="13" t="str">
        <f>IF($C133="","",IFERROR(VLOOKUP($C133,גיליון1!$A:$E,4,0),"לא הגיש בקשה שוטפת"))</f>
        <v>19-42-02-26</v>
      </c>
      <c r="AH133" s="13" t="str">
        <f>IF($C133="","",IFERROR(VLOOKUP($C133,גיליון1!$A:$E,5,0),"לא הגיש בקשה שוטפת"))</f>
        <v>פסטיבלים לתרבות</v>
      </c>
      <c r="AI133" s="13">
        <f t="shared" si="7"/>
        <v>0</v>
      </c>
      <c r="AJ133"/>
      <c r="AK133" t="s">
        <v>238</v>
      </c>
    </row>
    <row r="134" spans="1:37" ht="43.5" x14ac:dyDescent="0.25">
      <c r="A134" s="54">
        <f>'הזנה לתנאי סף'!B134</f>
        <v>104</v>
      </c>
      <c r="B134" s="266">
        <f>IF($F134="","",'הזנה לתנאי סף'!C134)</f>
        <v>1001350432</v>
      </c>
      <c r="C134" s="266">
        <f>IF($F134="","",'הזנה לתנאי סף'!D134)</f>
        <v>1001269688</v>
      </c>
      <c r="D134" s="266">
        <f>IF($F134="","",'הזנה לתנאי סף'!E134)</f>
        <v>40216083</v>
      </c>
      <c r="E134" s="55">
        <f>IF($F134="","",'הזנה לתנאי סף'!F134)</f>
        <v>20000159</v>
      </c>
      <c r="F134" s="55" t="str">
        <f>IF('הזנה לתנאי סף'!BL134=1,'הזנה לתנאי סף'!G134,"")</f>
        <v>ירושלים</v>
      </c>
      <c r="G134" s="55" t="str">
        <f>IF($F134="","",'הזנה לתנאי סף'!H134)</f>
        <v>תאטרון "פסיק" ירושלים</v>
      </c>
      <c r="H134" s="55" t="str">
        <f>IF($F134="","",'הזנה לתנאי סף'!I134)</f>
        <v>תיאטרון</v>
      </c>
      <c r="I134" s="187">
        <f>IF($F134="","",'הזנה לתנאי סף'!R134)</f>
        <v>606447</v>
      </c>
      <c r="J134" s="187">
        <f>IF($F134="","",'תחום תמיכה א'!P134)</f>
        <v>606447</v>
      </c>
      <c r="K134" s="177">
        <f>IF($F134="","",'הזנה לתנאי סף'!N134)</f>
        <v>1</v>
      </c>
      <c r="L134" s="177">
        <f>IF($F134="","",'הזנה לתנאי סף'!O134)</f>
        <v>1</v>
      </c>
      <c r="M134" s="177">
        <f>IF($F134="","",'הזנה לתנאי סף'!Q134)</f>
        <v>1</v>
      </c>
      <c r="N134" s="187">
        <f>IF($F134="","",'תחום תמיכה א'!AE134)</f>
        <v>13471.902536009922</v>
      </c>
      <c r="O134" s="178"/>
      <c r="P134" s="187">
        <f>IF($F134="","",'תחום תמיכה ב'!AC134)</f>
        <v>17069.564884070176</v>
      </c>
      <c r="Q134" s="187">
        <f>IF($F134="","",IF('תחום תמיכה ג'!O134="",0,'תחום תמיכה ג'!O134))</f>
        <v>2950.7880347556979</v>
      </c>
      <c r="R134" s="187">
        <f t="shared" si="4"/>
        <v>511.83179488380119</v>
      </c>
      <c r="S134" s="187">
        <f>IF($F134="","",'תחום תמיכה ב'!AE134)</f>
        <v>17581.396678953977</v>
      </c>
      <c r="T134" s="187">
        <f>IF($F134="","",IF(Q134='תחום תמיכה ג'!$Q$2,'תחום תמיכה ג'!$Q$2,IFERROR(SUMIF(N134:R134,"&gt;0"),'תחום תמיכה ג'!$Q$2)))</f>
        <v>34004.087249719596</v>
      </c>
      <c r="U134" s="187">
        <f>IF($F134="","",'הזנה לתנאי סף'!Y134)</f>
        <v>600000</v>
      </c>
      <c r="V134" s="269">
        <f>IF(F134="","",'הגבלה לסכום מבוקש '!AA134)</f>
        <v>36934.99552760645</v>
      </c>
      <c r="W134" s="187">
        <f t="shared" si="5"/>
        <v>9233.7488819016125</v>
      </c>
      <c r="X134" s="187">
        <f>IF(F134="","",'הזנה לתנאי סף'!Z134)</f>
        <v>300000</v>
      </c>
      <c r="Y134" s="237" t="str">
        <f>IFERROR(VLOOKUP(G134*1,#REF!,3,0),"")</f>
        <v/>
      </c>
      <c r="Z134" s="187" t="str">
        <f>IF(OR($F134="",Y134=""),"",IFERROR(IF(Y134&gt;V134,MIN(Y134,T134)-V134,0),'תחום תמיכה ג'!$Q$2))</f>
        <v/>
      </c>
      <c r="AA134" s="259"/>
      <c r="AB134" s="260" t="str">
        <f t="shared" si="6"/>
        <v/>
      </c>
      <c r="AC134" s="261"/>
      <c r="AD134" s="180"/>
      <c r="AE134" s="13" t="str">
        <f>IF($C134="","",IFERROR(VLOOKUP($C134,גיליון1!$A:$E,2,0),"לא הגיש בקשה שוטפת"))</f>
        <v>שיתופי פעולה- אתנחתא</v>
      </c>
      <c r="AF134" s="13" t="str">
        <f>IF($C134="","",IFERROR(VLOOKUP($C134,גיליון1!$A:$E,3,0),"לא הגיש בקשה שוטפת"))</f>
        <v>טיוט</v>
      </c>
      <c r="AG134" s="13" t="str">
        <f>IF($C134="","",IFERROR(VLOOKUP($C134,גיליון1!$A:$E,4,0),"לא הגיש בקשה שוטפת"))</f>
        <v>19-42-02-31</v>
      </c>
      <c r="AH134" s="13" t="str">
        <f>IF($C134="","",IFERROR(VLOOKUP($C134,גיליון1!$A:$E,5,0),"לא הגיש בקשה שוטפת"))</f>
        <v>תרבות בקהילה תמיכה</v>
      </c>
      <c r="AI134" s="13">
        <f t="shared" si="7"/>
        <v>0</v>
      </c>
      <c r="AJ134"/>
      <c r="AK134" t="s">
        <v>132</v>
      </c>
    </row>
    <row r="135" spans="1:37" ht="43.5" x14ac:dyDescent="0.25">
      <c r="A135" s="54">
        <f>'הזנה לתנאי סף'!B135</f>
        <v>105</v>
      </c>
      <c r="B135" s="266">
        <f>IF($F135="","",'הזנה לתנאי סף'!C135)</f>
        <v>1001350435</v>
      </c>
      <c r="C135" s="266">
        <f>IF($F135="","",'הזנה לתנאי סף'!D135)</f>
        <v>1001269686</v>
      </c>
      <c r="D135" s="266">
        <f>IF($F135="","",'הזנה לתנאי סף'!E135)</f>
        <v>40216083</v>
      </c>
      <c r="E135" s="55">
        <f>IF($F135="","",'הזנה לתנאי סף'!F135)</f>
        <v>20000159</v>
      </c>
      <c r="F135" s="55" t="str">
        <f>IF('הזנה לתנאי סף'!BL135=1,'הזנה לתנאי סף'!G135,"")</f>
        <v>ירושלים</v>
      </c>
      <c r="G135" s="55" t="str">
        <f>IF($F135="","",'הזנה לתנאי סף'!H135)</f>
        <v>תאטרון "פסיק" ירושלים</v>
      </c>
      <c r="H135" s="55" t="str">
        <f>IF($F135="","",'הזנה לתנאי סף'!I135)</f>
        <v>תיאטרון</v>
      </c>
      <c r="I135" s="187">
        <f>IF($F135="","",'הזנה לתנאי סף'!R135)</f>
        <v>164532</v>
      </c>
      <c r="J135" s="187">
        <f>IF($F135="","",'תחום תמיכה א'!P135)</f>
        <v>164532</v>
      </c>
      <c r="K135" s="177">
        <f>IF($F135="","",'הזנה לתנאי סף'!N135)</f>
        <v>1</v>
      </c>
      <c r="L135" s="177">
        <f>IF($F135="","",'הזנה לתנאי סף'!O135)</f>
        <v>1</v>
      </c>
      <c r="M135" s="177">
        <f>IF($F135="","",'הזנה לתנאי סף'!Q135)</f>
        <v>1</v>
      </c>
      <c r="N135" s="187">
        <f>IF($F135="","",'תחום תמיכה א'!AE135)</f>
        <v>3250.5152852287015</v>
      </c>
      <c r="O135" s="178"/>
      <c r="P135" s="187">
        <f>IF($F135="","",'תחום תמיכה ב'!AC135)</f>
        <v>3662.7855034553713</v>
      </c>
      <c r="Q135" s="187">
        <f>IF($F135="","",IF('תחום תמיכה ג'!O135="",0,'תחום תמיכה ג'!O135))</f>
        <v>633.1797975447621</v>
      </c>
      <c r="R135" s="187">
        <f t="shared" si="4"/>
        <v>109.82881469096446</v>
      </c>
      <c r="S135" s="187">
        <f>IF($F135="","",'תחום תמיכה ב'!AE135)</f>
        <v>3772.6143181463358</v>
      </c>
      <c r="T135" s="187">
        <f>IF($F135="","",IF(Q135='תחום תמיכה ג'!$Q$2,'תחום תמיכה ג'!$Q$2,IFERROR(SUMIF(N135:R135,"&gt;0"),'תחום תמיכה ג'!$Q$2)))</f>
        <v>7656.3094009198003</v>
      </c>
      <c r="U135" s="187">
        <f>IF($F135="","",'הזנה לתנאי סף'!Y135)</f>
        <v>100000</v>
      </c>
      <c r="V135" s="269">
        <f>IF(F135="","",'הגבלה לסכום מבוקש '!AA135)</f>
        <v>8285.3871903555828</v>
      </c>
      <c r="W135" s="187">
        <f t="shared" si="5"/>
        <v>2071.3467975888957</v>
      </c>
      <c r="X135" s="187">
        <f>IF(F135="","",'הזנה לתנאי סף'!Z135)</f>
        <v>100000</v>
      </c>
      <c r="Y135" s="237" t="str">
        <f>IFERROR(VLOOKUP(G135*1,#REF!,3,0),"")</f>
        <v/>
      </c>
      <c r="Z135" s="187" t="str">
        <f>IF(OR($F135="",Y135=""),"",IFERROR(IF(Y135&gt;V135,MIN(Y135,T135)-V135,0),'תחום תמיכה ג'!$Q$2))</f>
        <v/>
      </c>
      <c r="AA135" s="259"/>
      <c r="AB135" s="260" t="str">
        <f t="shared" si="6"/>
        <v/>
      </c>
      <c r="AC135" s="261"/>
      <c r="AD135" s="180"/>
      <c r="AE135" s="13" t="str">
        <f>IF($C135="","",IFERROR(VLOOKUP($C135,גיליון1!$A:$E,2,0),"לא הגיש בקשה שוטפת"))</f>
        <v>אמנויות הבמה 1-</v>
      </c>
      <c r="AF135" s="13" t="str">
        <f>IF($C135="","",IFERROR(VLOOKUP($C135,גיליון1!$A:$E,3,0),"לא הגיש בקשה שוטפת"))</f>
        <v>מועד</v>
      </c>
      <c r="AG135" s="13" t="str">
        <f>IF($C135="","",IFERROR(VLOOKUP($C135,גיליון1!$A:$E,4,0),"לא הגיש בקשה שוטפת"))</f>
        <v>19-42-02-31</v>
      </c>
      <c r="AH135" s="13" t="str">
        <f>IF($C135="","",IFERROR(VLOOKUP($C135,גיליון1!$A:$E,5,0),"לא הגיש בקשה שוטפת"))</f>
        <v>תרבות בקהילה תמיכה</v>
      </c>
      <c r="AI135" s="13">
        <f t="shared" si="7"/>
        <v>0</v>
      </c>
      <c r="AJ135"/>
      <c r="AK135" t="s">
        <v>240</v>
      </c>
    </row>
    <row r="136" spans="1:37" ht="43.5" x14ac:dyDescent="0.25">
      <c r="A136" s="54">
        <f>'הזנה לתנאי סף'!B136</f>
        <v>106</v>
      </c>
      <c r="B136" s="266">
        <f>IF($F136="","",'הזנה לתנאי סף'!C136)</f>
        <v>1001350437</v>
      </c>
      <c r="C136" s="266">
        <f>IF($F136="","",'הזנה לתנאי סף'!D136)</f>
        <v>1001269687</v>
      </c>
      <c r="D136" s="266">
        <f>IF($F136="","",'הזנה לתנאי סף'!E136)</f>
        <v>40216083</v>
      </c>
      <c r="E136" s="55">
        <f>IF($F136="","",'הזנה לתנאי סף'!F136)</f>
        <v>20000159</v>
      </c>
      <c r="F136" s="55" t="str">
        <f>IF('הזנה לתנאי סף'!BL136=1,'הזנה לתנאי סף'!G136,"")</f>
        <v>ירושלים</v>
      </c>
      <c r="G136" s="55" t="str">
        <f>IF($F136="","",'הזנה לתנאי סף'!H136)</f>
        <v>תאטרון "פסיק" ירושלים</v>
      </c>
      <c r="H136" s="55" t="str">
        <f>IF($F136="","",'הזנה לתנאי סף'!I136)</f>
        <v>תיאטרון</v>
      </c>
      <c r="I136" s="187">
        <f>IF($F136="","",'הזנה לתנאי סף'!R136)</f>
        <v>161304</v>
      </c>
      <c r="J136" s="187">
        <f>IF($F136="","",'תחום תמיכה א'!P136)</f>
        <v>161304</v>
      </c>
      <c r="K136" s="177">
        <f>IF($F136="","",'הזנה לתנאי סף'!N136)</f>
        <v>1</v>
      </c>
      <c r="L136" s="177">
        <f>IF($F136="","",'הזנה לתנאי סף'!O136)</f>
        <v>1</v>
      </c>
      <c r="M136" s="177">
        <f>IF($F136="","",'הזנה לתנאי סף'!Q136)</f>
        <v>1</v>
      </c>
      <c r="N136" s="187">
        <f>IF($F136="","",'תחום תמיכה א'!AE136)</f>
        <v>3176.0622334405061</v>
      </c>
      <c r="O136" s="178"/>
      <c r="P136" s="187">
        <f>IF($F136="","",'תחום תמיכה ב'!AC136)</f>
        <v>3566.894864140033</v>
      </c>
      <c r="Q136" s="187">
        <f>IF($F136="","",IF('תחום תמיכה ג'!O136="",0,'תחום תמיכה ג'!O136))</f>
        <v>616.60333803577748</v>
      </c>
      <c r="R136" s="187">
        <f t="shared" si="4"/>
        <v>106.95352886108776</v>
      </c>
      <c r="S136" s="187">
        <f>IF($F136="","",'תחום תמיכה ב'!AE136)</f>
        <v>3673.8483930011207</v>
      </c>
      <c r="T136" s="187">
        <f>IF($F136="","",IF(Q136='תחום תמיכה ג'!$Q$2,'תחום תמיכה ג'!$Q$2,IFERROR(SUMIF(N136:R136,"&gt;0"),'תחום תמיכה ג'!$Q$2)))</f>
        <v>7466.5139644774044</v>
      </c>
      <c r="U136" s="187">
        <f>IF($F136="","",'הזנה לתנאי סף'!Y136)</f>
        <v>100000</v>
      </c>
      <c r="V136" s="269">
        <f>IF(F136="","",'הגבלה לסכום מבוקש '!AA136)</f>
        <v>8079.1275304719611</v>
      </c>
      <c r="W136" s="187">
        <f t="shared" si="5"/>
        <v>2019.7818826179903</v>
      </c>
      <c r="X136" s="187">
        <f>IF(F136="","",'הזנה לתנאי סף'!Z136)</f>
        <v>50000</v>
      </c>
      <c r="Y136" s="237" t="str">
        <f>IFERROR(VLOOKUP(G136*1,#REF!,3,0),"")</f>
        <v/>
      </c>
      <c r="Z136" s="187" t="str">
        <f>IF(OR($F136="",Y136=""),"",IFERROR(IF(Y136&gt;V136,MIN(Y136,T136)-V136,0),'תחום תמיכה ג'!$Q$2))</f>
        <v/>
      </c>
      <c r="AA136" s="259"/>
      <c r="AB136" s="260" t="str">
        <f t="shared" si="6"/>
        <v/>
      </c>
      <c r="AC136" s="261"/>
      <c r="AD136" s="180"/>
      <c r="AE136" s="13" t="str">
        <f>IF($C136="","",IFERROR(VLOOKUP($C136,גיליון1!$A:$E,2,0),"לא הגיש בקשה שוטפת"))</f>
        <v>אמנויות הבמה 2</v>
      </c>
      <c r="AF136" s="13" t="str">
        <f>IF($C136="","",IFERROR(VLOOKUP($C136,גיליון1!$A:$E,3,0),"לא הגיש בקשה שוטפת"))</f>
        <v>מועד</v>
      </c>
      <c r="AG136" s="13" t="str">
        <f>IF($C136="","",IFERROR(VLOOKUP($C136,גיליון1!$A:$E,4,0),"לא הגיש בקשה שוטפת"))</f>
        <v>19-42-02-31</v>
      </c>
      <c r="AH136" s="13" t="str">
        <f>IF($C136="","",IFERROR(VLOOKUP($C136,גיליון1!$A:$E,5,0),"לא הגיש בקשה שוטפת"))</f>
        <v>תרבות בקהילה תמיכה</v>
      </c>
      <c r="AI136" s="13">
        <f t="shared" si="7"/>
        <v>0</v>
      </c>
      <c r="AJ136"/>
      <c r="AK136" t="s">
        <v>136</v>
      </c>
    </row>
    <row r="137" spans="1:37" ht="43.5" x14ac:dyDescent="0.25">
      <c r="A137" s="54">
        <f>'הזנה לתנאי סף'!B137</f>
        <v>107</v>
      </c>
      <c r="B137" s="266">
        <f>IF($F137="","",'הזנה לתנאי סף'!C137)</f>
        <v>1001350444</v>
      </c>
      <c r="C137" s="266">
        <f>IF($F137="","",'הזנה לתנאי סף'!D137)</f>
        <v>1001268330</v>
      </c>
      <c r="D137" s="266">
        <f>IF($F137="","",'הזנה לתנאי סף'!E137)</f>
        <v>40216083</v>
      </c>
      <c r="E137" s="55">
        <f>IF($F137="","",'הזנה לתנאי סף'!F137)</f>
        <v>20000159</v>
      </c>
      <c r="F137" s="55" t="str">
        <f>IF('הזנה לתנאי סף'!BL137=1,'הזנה לתנאי סף'!G137,"")</f>
        <v>ירושלים</v>
      </c>
      <c r="G137" s="55" t="str">
        <f>IF($F137="","",'הזנה לתנאי סף'!H137)</f>
        <v>תאטרון "פסיק" ירושלים</v>
      </c>
      <c r="H137" s="55" t="str">
        <f>IF($F137="","",'הזנה לתנאי סף'!I137)</f>
        <v>תיאטרון</v>
      </c>
      <c r="I137" s="187">
        <f>IF($F137="","",'הזנה לתנאי סף'!R137)</f>
        <v>96959</v>
      </c>
      <c r="J137" s="187">
        <f>IF($F137="","",'תחום תמיכה א'!P137)</f>
        <v>96959</v>
      </c>
      <c r="K137" s="177">
        <f>IF($F137="","",'הזנה לתנאי סף'!N137)</f>
        <v>1</v>
      </c>
      <c r="L137" s="177">
        <f>IF($F137="","",'הזנה לתנאי סף'!O137)</f>
        <v>1</v>
      </c>
      <c r="M137" s="177">
        <f>IF($F137="","",'הזנה לתנאי סף'!Q137)</f>
        <v>1</v>
      </c>
      <c r="N137" s="187">
        <f>IF($F137="","",'תחום תמיכה א'!AE137)</f>
        <v>1343.1614798001181</v>
      </c>
      <c r="O137" s="178"/>
      <c r="P137" s="187">
        <f>IF($F137="","",'תחום תמיכה ב'!AC137)</f>
        <v>1061.2697054439668</v>
      </c>
      <c r="Q137" s="187">
        <f>IF($F137="","",IF('תחום תמיכה ג'!O137="",0,'תחום תמיכה ג'!O137))</f>
        <v>183.45997509258399</v>
      </c>
      <c r="R137" s="187">
        <f t="shared" si="4"/>
        <v>31.822227565982757</v>
      </c>
      <c r="S137" s="187">
        <f>IF($F137="","",'תחום תמיכה ב'!AE137)</f>
        <v>1093.0919330099496</v>
      </c>
      <c r="T137" s="187">
        <f>IF($F137="","",IF(Q137='תחום תמיכה ג'!$Q$2,'תחום תמיכה ג'!$Q$2,IFERROR(SUMIF(N137:R137,"&gt;0"),'תחום תמיכה ג'!$Q$2)))</f>
        <v>2619.7133879026519</v>
      </c>
      <c r="U137" s="187">
        <f>IF($F137="","",'הזנה לתנאי סף'!Y137)</f>
        <v>80000</v>
      </c>
      <c r="V137" s="269">
        <f>IF(F137="","",'הגבלה לסכום מבוקש '!AA137)</f>
        <v>2802.1675739983871</v>
      </c>
      <c r="W137" s="187">
        <f t="shared" si="5"/>
        <v>700.54189349959677</v>
      </c>
      <c r="X137" s="187">
        <f>IF(F137="","",'הזנה לתנאי סף'!Z137)</f>
        <v>40000</v>
      </c>
      <c r="Y137" s="237" t="str">
        <f>IFERROR(VLOOKUP(G137*1,#REF!,3,0),"")</f>
        <v/>
      </c>
      <c r="Z137" s="187" t="str">
        <f>IF(OR($F137="",Y137=""),"",IFERROR(IF(Y137&gt;V137,MIN(Y137,T137)-V137,0),'תחום תמיכה ג'!$Q$2))</f>
        <v/>
      </c>
      <c r="AA137" s="259"/>
      <c r="AB137" s="260" t="str">
        <f t="shared" si="6"/>
        <v/>
      </c>
      <c r="AC137" s="261"/>
      <c r="AD137" s="180"/>
      <c r="AE137" s="13" t="str">
        <f>IF($C137="","",IFERROR(VLOOKUP($C137,גיליון1!$A:$E,2,0),"לא הגיש בקשה שוטפת"))</f>
        <v>אירועי ספרות 2020</v>
      </c>
      <c r="AF137" s="13" t="str">
        <f>IF($C137="","",IFERROR(VLOOKUP($C137,גיליון1!$A:$E,3,0),"לא הגיש בקשה שוטפת"))</f>
        <v>מועד</v>
      </c>
      <c r="AG137" s="13" t="str">
        <f>IF($C137="","",IFERROR(VLOOKUP($C137,גיליון1!$A:$E,4,0),"לא הגיש בקשה שוטפת"))</f>
        <v>19-42-02-22</v>
      </c>
      <c r="AH137" s="13" t="str">
        <f>IF($C137="","",IFERROR(VLOOKUP($C137,גיליון1!$A:$E,5,0),"לא הגיש בקשה שוטפת"))</f>
        <v>ספרות</v>
      </c>
      <c r="AI137" s="13">
        <f t="shared" si="7"/>
        <v>0</v>
      </c>
      <c r="AJ137"/>
      <c r="AK137" t="s">
        <v>138</v>
      </c>
    </row>
    <row r="138" spans="1:37" ht="86.25" x14ac:dyDescent="0.25">
      <c r="A138" s="54">
        <f>'הזנה לתנאי סף'!B138</f>
        <v>108</v>
      </c>
      <c r="B138" s="266">
        <f>IF($F138="","",'הזנה לתנאי סף'!C138)</f>
        <v>1001351084</v>
      </c>
      <c r="C138" s="266">
        <f>IF($F138="","",'הזנה לתנאי סף'!D138)</f>
        <v>1001290814</v>
      </c>
      <c r="D138" s="266">
        <f>IF($F138="","",'הזנה לתנאי סף'!E138)</f>
        <v>40258570</v>
      </c>
      <c r="E138" s="55">
        <f>IF($F138="","",'הזנה לתנאי סף'!F138)</f>
        <v>20000055</v>
      </c>
      <c r="F138" s="55" t="str">
        <f>IF('הזנה לתנאי סף'!BL138=1,'הזנה לתנאי סף'!G138,"")</f>
        <v>מג'ד אל-כרום</v>
      </c>
      <c r="G138" s="55" t="str">
        <f>IF($F138="","",'הזנה לתנאי סף'!H138)</f>
        <v>עמותת האומנים לקידום תיאטרון מגד אל כרום</v>
      </c>
      <c r="H138" s="55" t="str">
        <f>IF($F138="","",'הזנה לתנאי סף'!I138)</f>
        <v>תיאטרון</v>
      </c>
      <c r="I138" s="187">
        <f>IF($F138="","",'הזנה לתנאי סף'!R138)</f>
        <v>1531432</v>
      </c>
      <c r="J138" s="187">
        <f>IF($F138="","",'תחום תמיכה א'!P138)</f>
        <v>1552932</v>
      </c>
      <c r="K138" s="177">
        <f>IF($F138="","",'הזנה לתנאי סף'!N138)</f>
        <v>0</v>
      </c>
      <c r="L138" s="177">
        <f>IF($F138="","",'הזנה לתנאי סף'!O138)</f>
        <v>1</v>
      </c>
      <c r="M138" s="177">
        <f>IF($F138="","",'הזנה לתנאי סף'!Q138)</f>
        <v>1</v>
      </c>
      <c r="N138" s="187">
        <f>IF($F138="","",'תחום תמיכה א'!AE138)</f>
        <v>84890.254493059183</v>
      </c>
      <c r="O138" s="178"/>
      <c r="P138" s="187">
        <f>IF($F138="","",'תחום תמיכה ב'!AC138)</f>
        <v>87818.543824606808</v>
      </c>
      <c r="Q138" s="187">
        <f>IF($F138="","",IF('תחום תמיכה ג'!O138="",0,'תחום תמיכה ג'!O138))</f>
        <v>0</v>
      </c>
      <c r="R138" s="187">
        <f t="shared" si="4"/>
        <v>2633.2436248435115</v>
      </c>
      <c r="S138" s="187">
        <f>IF($F138="","",'תחום תמיכה ב'!AE138)</f>
        <v>90451.787449450319</v>
      </c>
      <c r="T138" s="187">
        <f>IF($F138="","",IF(Q138='תחום תמיכה ג'!$Q$2,'תחום תמיכה ג'!$Q$2,IFERROR(SUMIF(N138:R138,"&gt;0"),'תחום תמיכה ג'!$Q$2)))</f>
        <v>175342.0419425095</v>
      </c>
      <c r="U138" s="187">
        <f>IF($F138="","",'הזנה לתנאי סף'!Y138)</f>
        <v>1100000</v>
      </c>
      <c r="V138" s="269">
        <f>IF(F138="","",'הגבלה לסכום מבוקש '!AA138)</f>
        <v>190420.99711555205</v>
      </c>
      <c r="W138" s="187">
        <f t="shared" si="5"/>
        <v>47605.249278888012</v>
      </c>
      <c r="X138" s="187">
        <f>IF(F138="","",'הזנה לתנאי סף'!Z138)</f>
        <v>900000</v>
      </c>
      <c r="Y138" s="237" t="str">
        <f>IFERROR(VLOOKUP(G138*1,#REF!,3,0),"")</f>
        <v/>
      </c>
      <c r="Z138" s="187" t="str">
        <f>IF(OR($F138="",Y138=""),"",IFERROR(IF(Y138&gt;V138,MIN(Y138,T138)-V138,0),'תחום תמיכה ג'!$Q$2))</f>
        <v/>
      </c>
      <c r="AA138" s="259"/>
      <c r="AB138" s="260" t="str">
        <f t="shared" si="6"/>
        <v/>
      </c>
      <c r="AC138" s="261"/>
      <c r="AD138" s="180"/>
      <c r="AE138" s="13" t="str">
        <f>IF($C138="","",IFERROR(VLOOKUP($C138,גיליון1!$A:$E,2,0),"לא הגיש בקשה שוטפת"))</f>
        <v>תיאטרון שוטף</v>
      </c>
      <c r="AF138" s="13" t="str">
        <f>IF($C138="","",IFERROR(VLOOKUP($C138,גיליון1!$A:$E,3,0),"לא הגיש בקשה שוטפת"))</f>
        <v>מועד</v>
      </c>
      <c r="AG138" s="13" t="str">
        <f>IF($C138="","",IFERROR(VLOOKUP($C138,גיליון1!$A:$E,4,0),"לא הגיש בקשה שוטפת"))</f>
        <v>19-42-02-33</v>
      </c>
      <c r="AH138" s="13" t="str">
        <f>IF($C138="","",IFERROR(VLOOKUP($C138,גיליון1!$A:$E,5,0),"לא הגיש בקשה שוטפת"))</f>
        <v>תרבות ערבית ודרוזית</v>
      </c>
      <c r="AI138" s="13">
        <f t="shared" si="7"/>
        <v>0</v>
      </c>
      <c r="AJ138"/>
      <c r="AK138" t="s">
        <v>140</v>
      </c>
    </row>
    <row r="139" spans="1:37" ht="72" x14ac:dyDescent="0.25">
      <c r="A139" s="54">
        <f>'הזנה לתנאי סף'!B139</f>
        <v>109</v>
      </c>
      <c r="B139" s="266">
        <f>IF($F139="","",'הזנה לתנאי סף'!C139)</f>
        <v>1001347400</v>
      </c>
      <c r="C139" s="266">
        <f>IF($F139="","",'הזנה לתנאי סף'!D139)</f>
        <v>1001266852</v>
      </c>
      <c r="D139" s="266">
        <f>IF($F139="","",'הזנה לתנאי סף'!E139)</f>
        <v>40000550</v>
      </c>
      <c r="E139" s="55">
        <f>IF($F139="","",'הזנה לתנאי סף'!F139)</f>
        <v>20000096</v>
      </c>
      <c r="F139" s="55" t="str">
        <f>IF('הזנה לתנאי סף'!BL139=1,'הזנה לתנאי סף'!G139,"")</f>
        <v>שדרות</v>
      </c>
      <c r="G139" s="55" t="str">
        <f>IF($F139="","",'הזנה לתנאי סף'!H139)</f>
        <v>מרכז התנועה שדרות אדמה (ע''ר)</v>
      </c>
      <c r="H139" s="55" t="str">
        <f>IF($F139="","",'הזנה לתנאי סף'!I139)</f>
        <v>מרכזי מחול</v>
      </c>
      <c r="I139" s="187">
        <f>IF($F139="","",'הזנה לתנאי סף'!R139)</f>
        <v>132314</v>
      </c>
      <c r="J139" s="187">
        <f>IF($F139="","",'תחום תמיכה א'!P139)</f>
        <v>132757</v>
      </c>
      <c r="K139" s="177">
        <f>IF($F139="","",'הזנה לתנאי סף'!N139)</f>
        <v>0</v>
      </c>
      <c r="L139" s="177">
        <f>IF($F139="","",'הזנה לתנאי סף'!O139)</f>
        <v>1</v>
      </c>
      <c r="M139" s="177">
        <f>IF($F139="","",'הזנה לתנאי סף'!Q139)</f>
        <v>1</v>
      </c>
      <c r="N139" s="187">
        <f>IF($F139="","",'תחום תמיכה א'!AE139)</f>
        <v>2236.4626410078367</v>
      </c>
      <c r="O139" s="178"/>
      <c r="P139" s="187">
        <f>IF($F139="","",'תחום תמיכה ב'!AC139)</f>
        <v>2141.7642907604859</v>
      </c>
      <c r="Q139" s="187">
        <f>IF($F139="","",IF('תחום תמיכה ג'!O139="",0,'תחום תמיכה ג'!O139))</f>
        <v>0</v>
      </c>
      <c r="R139" s="187">
        <f t="shared" si="4"/>
        <v>64.22091415938803</v>
      </c>
      <c r="S139" s="187">
        <f>IF($F139="","",'תחום תמיכה ב'!AE139)</f>
        <v>2205.9852049198739</v>
      </c>
      <c r="T139" s="187">
        <f>IF($F139="","",IF(Q139='תחום תמיכה ג'!$Q$2,'תחום תמיכה ג'!$Q$2,IFERROR(SUMIF(N139:R139,"&gt;0"),'תחום תמיכה ג'!$Q$2)))</f>
        <v>4442.4478459277107</v>
      </c>
      <c r="U139" s="187">
        <f>IF($F139="","",'הזנה לתנאי סף'!Y139)</f>
        <v>125000</v>
      </c>
      <c r="V139" s="269">
        <f>IF(F139="","",'הגבלה לסכום מבוקש '!AA139)</f>
        <v>4810.2768785657963</v>
      </c>
      <c r="W139" s="187">
        <f t="shared" si="5"/>
        <v>1202.5692196414491</v>
      </c>
      <c r="X139" s="187">
        <f>IF(F139="","",'הזנה לתנאי סף'!Z139)</f>
        <v>125000</v>
      </c>
      <c r="Y139" s="237" t="str">
        <f>IFERROR(VLOOKUP(G139*1,#REF!,3,0),"")</f>
        <v/>
      </c>
      <c r="Z139" s="187" t="str">
        <f>IF(OR($F139="",Y139=""),"",IFERROR(IF(Y139&gt;V139,MIN(Y139,T139)-V139,0),'תחום תמיכה ג'!$Q$2))</f>
        <v/>
      </c>
      <c r="AA139" s="259"/>
      <c r="AB139" s="260" t="str">
        <f t="shared" si="6"/>
        <v/>
      </c>
      <c r="AC139" s="261"/>
      <c r="AD139" s="180"/>
      <c r="AE139" s="13" t="str">
        <f>IF($C139="","",IFERROR(VLOOKUP($C139,גיליון1!$A:$E,2,0),"לא הגיש בקשה שוטפת"))</f>
        <v>פסטיבל מחול אדמה בשדרות</v>
      </c>
      <c r="AF139" s="13" t="str">
        <f>IF($C139="","",IFERROR(VLOOKUP($C139,גיליון1!$A:$E,3,0),"לא הגיש בקשה שוטפת"))</f>
        <v>מועד</v>
      </c>
      <c r="AG139" s="13" t="str">
        <f>IF($C139="","",IFERROR(VLOOKUP($C139,גיליון1!$A:$E,4,0),"לא הגיש בקשה שוטפת"))</f>
        <v>19-42-02-26</v>
      </c>
      <c r="AH139" s="13" t="str">
        <f>IF($C139="","",IFERROR(VLOOKUP($C139,גיליון1!$A:$E,5,0),"לא הגיש בקשה שוטפת"))</f>
        <v>פסטיבלים לתרבות</v>
      </c>
      <c r="AI139" s="13">
        <f t="shared" si="7"/>
        <v>0</v>
      </c>
      <c r="AJ139"/>
      <c r="AK139" t="s">
        <v>146</v>
      </c>
    </row>
    <row r="140" spans="1:37" ht="43.5" x14ac:dyDescent="0.25">
      <c r="A140" s="54">
        <f>'הזנה לתנאי סף'!B140</f>
        <v>110</v>
      </c>
      <c r="B140" s="266">
        <f>IF($F140="","",'הזנה לתנאי סף'!C140)</f>
        <v>1001350749</v>
      </c>
      <c r="C140" s="266">
        <f>IF($F140="","",'הזנה לתנאי סף'!D140)</f>
        <v>1001270674</v>
      </c>
      <c r="D140" s="266">
        <f>IF($F140="","",'הזנה לתנאי סף'!E140)</f>
        <v>40000590</v>
      </c>
      <c r="E140" s="55">
        <f>IF($F140="","",'הזנה לתנאי סף'!F140)</f>
        <v>20000235</v>
      </c>
      <c r="F140" s="55" t="str">
        <f>IF('הזנה לתנאי סף'!BL140=1,'הזנה לתנאי סף'!G140,"")</f>
        <v>סח'נין</v>
      </c>
      <c r="G140" s="55" t="str">
        <f>IF($F140="","",'הזנה לתנאי סף'!H140)</f>
        <v>אמנות למען השלום</v>
      </c>
      <c r="H140" s="55" t="str">
        <f>IF($F140="","",'הזנה לתנאי סף'!I140)</f>
        <v>תיאטרון</v>
      </c>
      <c r="I140" s="187">
        <f>IF($F140="","",'הזנה לתנאי סף'!R140)</f>
        <v>1662914</v>
      </c>
      <c r="J140" s="187">
        <f>IF($F140="","",'תחום תמיכה א'!P140)</f>
        <v>1376734</v>
      </c>
      <c r="K140" s="177">
        <f>IF($F140="","",'הזנה לתנאי סף'!N140)</f>
        <v>0</v>
      </c>
      <c r="L140" s="177">
        <f>IF($F140="","",'הזנה לתנאי סף'!O140)</f>
        <v>1</v>
      </c>
      <c r="M140" s="177">
        <f>IF($F140="","",'הזנה לתנאי סף'!Q140)</f>
        <v>1</v>
      </c>
      <c r="N140" s="187">
        <f>IF($F140="","",'תחום תמיכה א'!AE140)</f>
        <v>32416.901485177565</v>
      </c>
      <c r="O140" s="178"/>
      <c r="P140" s="187">
        <f>IF($F140="","",'תחום תמיכה ב'!AC140)</f>
        <v>52586.002106814791</v>
      </c>
      <c r="Q140" s="187">
        <f>IF($F140="","",IF('תחום תמיכה ג'!O140="",0,'תחום תמיכה ג'!O140))</f>
        <v>0</v>
      </c>
      <c r="R140" s="187">
        <f t="shared" si="4"/>
        <v>1576.7940206380154</v>
      </c>
      <c r="S140" s="187">
        <f>IF($F140="","",'תחום תמיכה ב'!AE140)</f>
        <v>54162.796127452806</v>
      </c>
      <c r="T140" s="187">
        <f>IF($F140="","",IF(Q140='תחום תמיכה ג'!$Q$2,'תחום תמיכה ג'!$Q$2,IFERROR(SUMIF(N140:R140,"&gt;0"),'תחום תמיכה ג'!$Q$2)))</f>
        <v>86579.697612630378</v>
      </c>
      <c r="U140" s="187">
        <f>IF($F140="","",'הזנה לתנאי סף'!Y140)</f>
        <v>600000</v>
      </c>
      <c r="V140" s="269">
        <f>IF(F140="","",'הגבלה לסכום מבוקש '!AA140)</f>
        <v>95600.635157664612</v>
      </c>
      <c r="W140" s="187">
        <f t="shared" si="5"/>
        <v>23900.158789416153</v>
      </c>
      <c r="X140" s="187">
        <f>IF(F140="","",'הזנה לתנאי סף'!Z140)</f>
        <v>600000</v>
      </c>
      <c r="Y140" s="237" t="str">
        <f>IFERROR(VLOOKUP(G140*1,#REF!,3,0),"")</f>
        <v/>
      </c>
      <c r="Z140" s="187" t="str">
        <f>IF(OR($F140="",Y140=""),"",IFERROR(IF(Y140&gt;V140,MIN(Y140,T140)-V140,0),'תחום תמיכה ג'!$Q$2))</f>
        <v/>
      </c>
      <c r="AA140" s="259"/>
      <c r="AB140" s="260" t="str">
        <f t="shared" si="6"/>
        <v/>
      </c>
      <c r="AC140" s="261"/>
      <c r="AD140" s="180"/>
      <c r="AE140" s="13" t="str">
        <f>IF($C140="","",IFERROR(VLOOKUP($C140,גיליון1!$A:$E,2,0),"לא הגיש בקשה שוטפת"))</f>
        <v>תמיכה שוטפת</v>
      </c>
      <c r="AF140" s="13" t="str">
        <f>IF($C140="","",IFERROR(VLOOKUP($C140,גיליון1!$A:$E,3,0),"לא הגיש בקשה שוטפת"))</f>
        <v>מועד</v>
      </c>
      <c r="AG140" s="13" t="str">
        <f>IF($C140="","",IFERROR(VLOOKUP($C140,גיליון1!$A:$E,4,0),"לא הגיש בקשה שוטפת"))</f>
        <v>19-42-02-33</v>
      </c>
      <c r="AH140" s="13" t="str">
        <f>IF($C140="","",IFERROR(VLOOKUP($C140,גיליון1!$A:$E,5,0),"לא הגיש בקשה שוטפת"))</f>
        <v>תרבות ערבית ודרוזית</v>
      </c>
      <c r="AI140" s="13">
        <f t="shared" si="7"/>
        <v>0</v>
      </c>
      <c r="AJ140"/>
      <c r="AK140" t="s">
        <v>149</v>
      </c>
    </row>
    <row r="141" spans="1:37" ht="15.75" x14ac:dyDescent="0.25">
      <c r="A141" s="54">
        <f>'הזנה לתנאי סף'!B141</f>
        <v>111</v>
      </c>
      <c r="B141" s="266">
        <f>IF($F141="","",'הזנה לתנאי סף'!C141)</f>
        <v>1001347197</v>
      </c>
      <c r="C141" s="266">
        <f>IF($F141="","",'הזנה לתנאי סף'!D141)</f>
        <v>1001262104</v>
      </c>
      <c r="D141" s="266">
        <f>IF($F141="","",'הזנה לתנאי סף'!E141)</f>
        <v>40000479</v>
      </c>
      <c r="E141" s="55">
        <f>IF($F141="","",'הזנה לתנאי סף'!F141)</f>
        <v>20000162</v>
      </c>
      <c r="F141" s="55" t="str">
        <f>IF('הזנה לתנאי סף'!BL141=1,'הזנה לתנאי סף'!G141,"")</f>
        <v>חוף הכרמל</v>
      </c>
      <c r="G141" s="55" t="str">
        <f>IF($F141="","",'הזנה לתנאי סף'!H141)</f>
        <v>המזגגה</v>
      </c>
      <c r="H141" s="55" t="str">
        <f>IF($F141="","",'הזנה לתנאי סף'!I141)</f>
        <v>מוזיאונים</v>
      </c>
      <c r="I141" s="187">
        <f>IF($F141="","",'הזנה לתנאי סף'!R141)</f>
        <v>774200</v>
      </c>
      <c r="J141" s="187">
        <f>IF($F141="","",'תחום תמיכה א'!P141)</f>
        <v>538348</v>
      </c>
      <c r="K141" s="177">
        <f>IF($F141="","",'הזנה לתנאי סף'!N141)</f>
        <v>1</v>
      </c>
      <c r="L141" s="177">
        <f>IF($F141="","",'הזנה לתנאי סף'!O141)</f>
        <v>1</v>
      </c>
      <c r="M141" s="177">
        <f>IF($F141="","",'הזנה לתנאי סף'!Q141)</f>
        <v>1</v>
      </c>
      <c r="N141" s="187">
        <f>IF($F141="","",'תחום תמיכה א'!AE141)</f>
        <v>12924.945993965746</v>
      </c>
      <c r="O141" s="178"/>
      <c r="P141" s="187">
        <f>IF($F141="","",'תחום תמיכה ב'!AC141)</f>
        <v>25453.169617317348</v>
      </c>
      <c r="Q141" s="187">
        <f>IF($F141="","",IF('תחום תמיכה ג'!O141="",0,'תחום תמיכה ג'!O141))</f>
        <v>0</v>
      </c>
      <c r="R141" s="187">
        <f t="shared" si="4"/>
        <v>763.21462082910512</v>
      </c>
      <c r="S141" s="187">
        <f>IF($F141="","",'תחום תמיכה ב'!AE141)</f>
        <v>26216.384238146453</v>
      </c>
      <c r="T141" s="187">
        <f>IF($F141="","",IF(Q141='תחום תמיכה ג'!$Q$2,'תחום תמיכה ג'!$Q$2,IFERROR(SUMIF(N141:R141,"&gt;0"),'תחום תמיכה ג'!$Q$2)))</f>
        <v>39141.330232112203</v>
      </c>
      <c r="U141" s="187">
        <f>IF($F141="","",'הזנה לתנאי סף'!Y141)</f>
        <v>200000</v>
      </c>
      <c r="V141" s="269">
        <f>IF(F141="","",'הגבלה לסכום מבוקש '!AA141)</f>
        <v>43506.46963837713</v>
      </c>
      <c r="W141" s="187">
        <f t="shared" si="5"/>
        <v>10876.617409594282</v>
      </c>
      <c r="X141" s="187">
        <f>IF(F141="","",'הזנה לתנאי סף'!Z141)</f>
        <v>130000</v>
      </c>
      <c r="Y141" s="237" t="str">
        <f>IFERROR(VLOOKUP(G141*1,#REF!,3,0),"")</f>
        <v/>
      </c>
      <c r="Z141" s="187" t="str">
        <f>IF(OR($F141="",Y141=""),"",IFERROR(IF(Y141&gt;V141,MIN(Y141,T141)-V141,0),'תחום תמיכה ג'!$Q$2))</f>
        <v/>
      </c>
      <c r="AA141" s="259"/>
      <c r="AB141" s="260" t="str">
        <f t="shared" si="6"/>
        <v/>
      </c>
      <c r="AC141" s="261"/>
      <c r="AD141" s="180"/>
      <c r="AE141" s="13" t="str">
        <f>IF($C141="","",IFERROR(VLOOKUP($C141,גיליון1!$A:$E,2,0),"לא הגיש בקשה שוטפת"))</f>
        <v>תמיכה שוטפת</v>
      </c>
      <c r="AF141" s="13" t="str">
        <f>IF($C141="","",IFERROR(VLOOKUP($C141,גיליון1!$A:$E,3,0),"לא הגיש בקשה שוטפת"))</f>
        <v>חויב</v>
      </c>
      <c r="AG141" s="13" t="str">
        <f>IF($C141="","",IFERROR(VLOOKUP($C141,גיליון1!$A:$E,4,0),"לא הגיש בקשה שוטפת"))</f>
        <v>19-42-02-18</v>
      </c>
      <c r="AH141" s="13" t="str">
        <f>IF($C141="","",IFERROR(VLOOKUP($C141,גיליון1!$A:$E,5,0),"לא הגיש בקשה שוטפת"))</f>
        <v>מוזיאונים ואמנות פלס</v>
      </c>
      <c r="AI141" s="13">
        <f t="shared" si="7"/>
        <v>0</v>
      </c>
      <c r="AJ141"/>
      <c r="AK141" t="s">
        <v>151</v>
      </c>
    </row>
    <row r="142" spans="1:37" ht="43.5" x14ac:dyDescent="0.25">
      <c r="A142" s="54">
        <f>'הזנה לתנאי סף'!B142</f>
        <v>112</v>
      </c>
      <c r="B142" s="266">
        <f>IF($F142="","",'הזנה לתנאי סף'!C142)</f>
        <v>1001346660</v>
      </c>
      <c r="C142" s="266">
        <f>IF($F142="","",'הזנה לתנאי סף'!D142)</f>
        <v>1001262391</v>
      </c>
      <c r="D142" s="266">
        <f>IF($F142="","",'הזנה לתנאי סף'!E142)</f>
        <v>40000448</v>
      </c>
      <c r="E142" s="55">
        <f>IF($F142="","",'הזנה לתנאי סף'!F142)</f>
        <v>20000238</v>
      </c>
      <c r="F142" s="55" t="str">
        <f>IF('הזנה לתנאי סף'!BL142=1,'הזנה לתנאי סף'!G142,"")</f>
        <v>עכו</v>
      </c>
      <c r="G142" s="55" t="str">
        <f>IF($F142="","",'הזנה לתנאי סף'!H142)</f>
        <v>המרכז לתיאטרון של עכו</v>
      </c>
      <c r="H142" s="55" t="str">
        <f>IF($F142="","",'הזנה לתנאי סף'!I142)</f>
        <v>תיאטרון</v>
      </c>
      <c r="I142" s="187">
        <f>IF($F142="","",'הזנה לתנאי סף'!R142)</f>
        <v>2122449</v>
      </c>
      <c r="J142" s="187">
        <f>IF($F142="","",'תחום תמיכה א'!P142)</f>
        <v>2706500</v>
      </c>
      <c r="K142" s="177">
        <f>IF($F142="","",'הזנה לתנאי סף'!N142)</f>
        <v>0</v>
      </c>
      <c r="L142" s="177">
        <f>IF($F142="","",'הזנה לתנאי סף'!O142)</f>
        <v>1</v>
      </c>
      <c r="M142" s="177">
        <f>IF($F142="","",'הזנה לתנאי סף'!Q142)</f>
        <v>1</v>
      </c>
      <c r="N142" s="187">
        <f>IF($F142="","",'תחום תמיכה א'!AE142)</f>
        <v>43738.470677523328</v>
      </c>
      <c r="O142" s="178"/>
      <c r="P142" s="187">
        <f>IF($F142="","",'תחום תמיכה ב'!AC142)</f>
        <v>31615.920184698334</v>
      </c>
      <c r="Q142" s="187">
        <f>IF($F142="","",IF('תחום תמיכה ג'!O142="",0,'תחום תמיכה ג'!O142))</f>
        <v>0</v>
      </c>
      <c r="R142" s="187">
        <f t="shared" si="4"/>
        <v>948.00501857775816</v>
      </c>
      <c r="S142" s="187">
        <f>IF($F142="","",'תחום תמיכה ב'!AE142)</f>
        <v>32563.925203276092</v>
      </c>
      <c r="T142" s="187">
        <f>IF($F142="","",IF(Q142='תחום תמיכה ג'!$Q$2,'תחום תמיכה ג'!$Q$2,IFERROR(SUMIF(N142:R142,"&gt;0"),'תחום תמיכה ג'!$Q$2)))</f>
        <v>76302.39588079942</v>
      </c>
      <c r="U142" s="187">
        <f>IF($F142="","",'הזנה לתנאי סף'!Y142)</f>
        <v>3000000</v>
      </c>
      <c r="V142" s="269">
        <f>IF(F142="","",'הגבלה לסכום מבוקש '!AA142)</f>
        <v>81737.033149351511</v>
      </c>
      <c r="W142" s="187">
        <f t="shared" si="5"/>
        <v>20434.258287337878</v>
      </c>
      <c r="X142" s="187">
        <f>IF(F142="","",'הזנה לתנאי סף'!Z142)</f>
        <v>3000000</v>
      </c>
      <c r="Y142" s="237" t="str">
        <f>IFERROR(VLOOKUP(G142*1,#REF!,3,0),"")</f>
        <v/>
      </c>
      <c r="Z142" s="187" t="str">
        <f>IF(OR($F142="",Y142=""),"",IFERROR(IF(Y142&gt;V142,MIN(Y142,T142)-V142,0),'תחום תמיכה ג'!$Q$2))</f>
        <v/>
      </c>
      <c r="AA142" s="259"/>
      <c r="AB142" s="260" t="str">
        <f t="shared" si="6"/>
        <v/>
      </c>
      <c r="AC142" s="261"/>
      <c r="AD142" s="180"/>
      <c r="AE142" s="13" t="str">
        <f>IF($C142="","",IFERROR(VLOOKUP($C142,גיליון1!$A:$E,2,0),"לא הגיש בקשה שוטפת"))</f>
        <v>פעילות שוטפת</v>
      </c>
      <c r="AF142" s="13" t="str">
        <f>IF($C142="","",IFERROR(VLOOKUP($C142,גיליון1!$A:$E,3,0),"לא הגיש בקשה שוטפת"))</f>
        <v>חויב</v>
      </c>
      <c r="AG142" s="13" t="str">
        <f>IF($C142="","",IFERROR(VLOOKUP($C142,גיליון1!$A:$E,4,0),"לא הגיש בקשה שוטפת"))</f>
        <v>19-42-02-07</v>
      </c>
      <c r="AH142" s="13" t="str">
        <f>IF($C142="","",IFERROR(VLOOKUP($C142,גיליון1!$A:$E,5,0),"לא הגיש בקשה שוטפת"))</f>
        <v>תיאטרון</v>
      </c>
      <c r="AI142" s="13">
        <f t="shared" si="7"/>
        <v>0</v>
      </c>
      <c r="AJ142"/>
      <c r="AK142" t="s">
        <v>152</v>
      </c>
    </row>
    <row r="143" spans="1:37" ht="57.75" x14ac:dyDescent="0.25">
      <c r="A143" s="54">
        <f>'הזנה לתנאי סף'!B143</f>
        <v>113</v>
      </c>
      <c r="B143" s="266">
        <f>IF($F143="","",'הזנה לתנאי סף'!C143)</f>
        <v>1001347313</v>
      </c>
      <c r="C143" s="266">
        <f>IF($F143="","",'הזנה לתנאי סף'!D143)</f>
        <v>1001270594</v>
      </c>
      <c r="D143" s="266">
        <f>IF($F143="","",'הזנה לתנאי סף'!E143)</f>
        <v>40002883</v>
      </c>
      <c r="E143" s="55">
        <f>IF($F143="","",'הזנה לתנאי סף'!F143)</f>
        <v>20000254</v>
      </c>
      <c r="F143" s="55" t="str">
        <f>IF('הזנה לתנאי סף'!BL143=1,'הזנה לתנאי סף'!G143,"")</f>
        <v>באר שבע</v>
      </c>
      <c r="G143" s="55" t="str">
        <f>IF($F143="","",'הזנה לתנאי סף'!H143)</f>
        <v>בת-דור באר-שבע - מרכז עירוני לאמנות</v>
      </c>
      <c r="H143" s="55" t="str">
        <f>IF($F143="","",'הזנה לתנאי סף'!I143)</f>
        <v>מחול</v>
      </c>
      <c r="I143" s="187">
        <f>IF($F143="","",'הזנה לתנאי סף'!R143)</f>
        <v>5150333</v>
      </c>
      <c r="J143" s="187">
        <f>IF($F143="","",'תחום תמיכה א'!P143)</f>
        <v>4995299</v>
      </c>
      <c r="K143" s="177">
        <f>IF($F143="","",'הזנה לתנאי סף'!N143)</f>
        <v>1</v>
      </c>
      <c r="L143" s="177">
        <f>IF($F143="","",'הזנה לתנאי סף'!O143)</f>
        <v>1</v>
      </c>
      <c r="M143" s="177">
        <f>IF($F143="","",'הזנה לתנאי סף'!Q143)</f>
        <v>1</v>
      </c>
      <c r="N143" s="187">
        <f>IF($F143="","",'תחום תמיכה א'!AE143)</f>
        <v>82730.484672786508</v>
      </c>
      <c r="O143" s="178"/>
      <c r="P143" s="187">
        <f>IF($F143="","",'תחום תמיכה ב'!AC143)</f>
        <v>80575.110193221262</v>
      </c>
      <c r="Q143" s="187">
        <f>IF($F143="","",IF('תחום תמיכה ג'!O143="",0,'תחום תמיכה ג'!O143))</f>
        <v>1016.522166392858</v>
      </c>
      <c r="R143" s="187">
        <f t="shared" si="4"/>
        <v>2416.0488889581466</v>
      </c>
      <c r="S143" s="187">
        <f>IF($F143="","",'תחום תמיכה ב'!AE143)</f>
        <v>82991.159082179409</v>
      </c>
      <c r="T143" s="187">
        <f>IF($F143="","",IF(Q143='תחום תמיכה ג'!$Q$2,'תחום תמיכה ג'!$Q$2,IFERROR(SUMIF(N143:R143,"&gt;0"),'תחום תמיכה ג'!$Q$2)))</f>
        <v>166738.16592135877</v>
      </c>
      <c r="U143" s="187">
        <f>IF($F143="","",'הזנה לתנאי סף'!Y143)</f>
        <v>1300000</v>
      </c>
      <c r="V143" s="269">
        <f>IF(F143="","",'הגבלה לסכום מבוקש '!AA143)</f>
        <v>180576.04897582406</v>
      </c>
      <c r="W143" s="187">
        <f t="shared" si="5"/>
        <v>45144.012243956015</v>
      </c>
      <c r="X143" s="187">
        <f>IF(F143="","",'הזנה לתנאי סף'!Z143)</f>
        <v>50000</v>
      </c>
      <c r="Y143" s="237" t="str">
        <f>IFERROR(VLOOKUP(G143*1,#REF!,3,0),"")</f>
        <v/>
      </c>
      <c r="Z143" s="187" t="str">
        <f>IF(OR($F143="",Y143=""),"",IFERROR(IF(Y143&gt;V143,MIN(Y143,T143)-V143,0),'תחום תמיכה ג'!$Q$2))</f>
        <v/>
      </c>
      <c r="AA143" s="259"/>
      <c r="AB143" s="260" t="str">
        <f t="shared" si="6"/>
        <v/>
      </c>
      <c r="AC143" s="261"/>
      <c r="AD143" s="180"/>
      <c r="AE143" s="13" t="str">
        <f>IF($C143="","",IFERROR(VLOOKUP($C143,גיליון1!$A:$E,2,0),"לא הגיש בקשה שוטפת"))</f>
        <v>תמיכה שוטפת להקת המחול קמע</v>
      </c>
      <c r="AF143" s="13" t="str">
        <f>IF($C143="","",IFERROR(VLOOKUP($C143,גיליון1!$A:$E,3,0),"לא הגיש בקשה שוטפת"))</f>
        <v>חויב</v>
      </c>
      <c r="AG143" s="13" t="str">
        <f>IF($C143="","",IFERROR(VLOOKUP($C143,גיליון1!$A:$E,4,0),"לא הגיש בקשה שוטפת"))</f>
        <v>19-42-02-20</v>
      </c>
      <c r="AH143" s="13" t="str">
        <f>IF($C143="","",IFERROR(VLOOKUP($C143,גיליון1!$A:$E,5,0),"לא הגיש בקשה שוטפת"))</f>
        <v>מחול וארגוני גג</v>
      </c>
      <c r="AI143" s="13">
        <f t="shared" si="7"/>
        <v>0</v>
      </c>
      <c r="AJ143"/>
      <c r="AK143" t="s">
        <v>154</v>
      </c>
    </row>
    <row r="144" spans="1:37" ht="72" x14ac:dyDescent="0.25">
      <c r="A144" s="54">
        <f>'הזנה לתנאי סף'!B144</f>
        <v>114</v>
      </c>
      <c r="B144" s="266">
        <f>IF($F144="","",'הזנה לתנאי סף'!C144)</f>
        <v>1001346798</v>
      </c>
      <c r="C144" s="266">
        <f>IF($F144="","",'הזנה לתנאי סף'!D144)</f>
        <v>1001266509</v>
      </c>
      <c r="D144" s="266">
        <f>IF($F144="","",'הזנה לתנאי סף'!E144)</f>
        <v>40000709</v>
      </c>
      <c r="E144" s="55">
        <f>IF($F144="","",'הזנה לתנאי סף'!F144)</f>
        <v>20000159</v>
      </c>
      <c r="F144" s="55" t="str">
        <f>IF('הזנה לתנאי סף'!BL144=1,'הזנה לתנאי סף'!G144,"")</f>
        <v>ירושלים</v>
      </c>
      <c r="G144" s="55" t="str">
        <f>IF($F144="","",'הזנה לתנאי סף'!H144)</f>
        <v>צוללת צהובה - המקום למוסיקה בירושלים</v>
      </c>
      <c r="H144" s="55" t="str">
        <f>IF($F144="","",'הזנה לתנאי סף'!I144)</f>
        <v>מרכזי מוסיקה</v>
      </c>
      <c r="I144" s="187">
        <f>IF($F144="","",'הזנה לתנאי סף'!R144)</f>
        <v>4976356</v>
      </c>
      <c r="J144" s="187">
        <f>IF($F144="","",'תחום תמיכה א'!P144)</f>
        <v>4789186</v>
      </c>
      <c r="K144" s="177">
        <f>IF($F144="","",'הזנה לתנאי סף'!N144)</f>
        <v>1</v>
      </c>
      <c r="L144" s="177">
        <f>IF($F144="","",'הזנה לתנאי סף'!O144)</f>
        <v>1</v>
      </c>
      <c r="M144" s="177">
        <f>IF($F144="","",'הזנה לתנאי סף'!Q144)</f>
        <v>1</v>
      </c>
      <c r="N144" s="187">
        <f>IF($F144="","",'תחום תמיכה א'!AE144)</f>
        <v>154737.2358085007</v>
      </c>
      <c r="O144" s="178"/>
      <c r="P144" s="187">
        <f>IF($F144="","",'תחום תמיכה ב'!AC144)</f>
        <v>296302.38018339867</v>
      </c>
      <c r="Q144" s="187">
        <f>IF($F144="","",IF('תחום תמיכה ג'!O144="",0,'תחום תמיכה ג'!O144))</f>
        <v>51221.312555585588</v>
      </c>
      <c r="R144" s="187">
        <f t="shared" si="4"/>
        <v>8884.6423507339787</v>
      </c>
      <c r="S144" s="187">
        <f>IF($F144="","",'תחום תמיכה ב'!AE144)</f>
        <v>305187.02253413264</v>
      </c>
      <c r="T144" s="187">
        <f>IF($F144="","",IF(Q144='תחום תמיכה ג'!$Q$2,'תחום תמיכה ג'!$Q$2,IFERROR(SUMIF(N144:R144,"&gt;0"),'תחום תמיכה ג'!$Q$2)))</f>
        <v>511145.57089821895</v>
      </c>
      <c r="U144" s="187">
        <f>IF($F144="","",'הזנה לתנאי סף'!Y144)</f>
        <v>500000</v>
      </c>
      <c r="V144" s="269">
        <f>IF(F144="","",'הגבלה לסכום מבוקש '!AA144)</f>
        <v>500000</v>
      </c>
      <c r="W144" s="187">
        <f t="shared" si="5"/>
        <v>125000</v>
      </c>
      <c r="X144" s="187">
        <f>IF(F144="","",'הזנה לתנאי סף'!Z144)</f>
        <v>500000</v>
      </c>
      <c r="Y144" s="237" t="str">
        <f>IFERROR(VLOOKUP(G144*1,#REF!,3,0),"")</f>
        <v/>
      </c>
      <c r="Z144" s="187" t="str">
        <f>IF(OR($F144="",Y144=""),"",IFERROR(IF(Y144&gt;V144,MIN(Y144,T144)-V144,0),'תחום תמיכה ג'!$Q$2))</f>
        <v/>
      </c>
      <c r="AA144" s="259"/>
      <c r="AB144" s="260" t="str">
        <f t="shared" si="6"/>
        <v/>
      </c>
      <c r="AC144" s="261"/>
      <c r="AD144" s="180"/>
      <c r="AE144" s="13" t="str">
        <f>IF($C144="","",IFERROR(VLOOKUP($C144,גיליון1!$A:$E,2,0),"לא הגיש בקשה שוטפת"))</f>
        <v>תמיכה שוטפת מרכזי מוסיקה</v>
      </c>
      <c r="AF144" s="13" t="str">
        <f>IF($C144="","",IFERROR(VLOOKUP($C144,גיליון1!$A:$E,3,0),"לא הגיש בקשה שוטפת"))</f>
        <v>מועד</v>
      </c>
      <c r="AG144" s="13" t="str">
        <f>IF($C144="","",IFERROR(VLOOKUP($C144,גיליון1!$A:$E,4,0),"לא הגיש בקשה שוטפת"))</f>
        <v>19-42-02-16</v>
      </c>
      <c r="AH144" s="13" t="str">
        <f>IF($C144="","",IFERROR(VLOOKUP($C144,גיליון1!$A:$E,5,0),"לא הגיש בקשה שוטפת"))</f>
        <v>מוסיקה</v>
      </c>
      <c r="AI144" s="13">
        <f t="shared" si="7"/>
        <v>1</v>
      </c>
      <c r="AJ144"/>
      <c r="AK144" t="s">
        <v>159</v>
      </c>
    </row>
    <row r="145" spans="1:37" ht="57.75" x14ac:dyDescent="0.25">
      <c r="A145" s="54">
        <f>'הזנה לתנאי סף'!B145</f>
        <v>115</v>
      </c>
      <c r="B145" s="266">
        <f>IF($F145="","",'הזנה לתנאי סף'!C145)</f>
        <v>1001346657</v>
      </c>
      <c r="C145" s="266">
        <f>IF($F145="","",'הזנה לתנאי סף'!D145)</f>
        <v>1001288870</v>
      </c>
      <c r="D145" s="266">
        <f>IF($F145="","",'הזנה לתנאי סף'!E145)</f>
        <v>40221446</v>
      </c>
      <c r="E145" s="55">
        <f>IF($F145="","",'הזנה לתנאי סף'!F145)</f>
        <v>20000201</v>
      </c>
      <c r="F145" s="55" t="str">
        <f>IF('הזנה לתנאי סף'!BL145=1,'הזנה לתנאי סף'!G145,"")</f>
        <v>תל אביב -יפו</v>
      </c>
      <c r="G145" s="55" t="str">
        <f>IF($F145="","",'הזנה לתנאי סף'!H145)</f>
        <v>תאטרון מחול אבשלום פולק</v>
      </c>
      <c r="H145" s="55" t="str">
        <f>IF($F145="","",'הזנה לתנאי סף'!I145)</f>
        <v>תיאטרון</v>
      </c>
      <c r="I145" s="187">
        <f>IF($F145="","",'הזנה לתנאי סף'!R145)</f>
        <v>4066744</v>
      </c>
      <c r="J145" s="187">
        <f>IF($F145="","",'תחום תמיכה א'!P145)</f>
        <v>4152063</v>
      </c>
      <c r="K145" s="177">
        <f>IF($F145="","",'הזנה לתנאי סף'!N145)</f>
        <v>1</v>
      </c>
      <c r="L145" s="177">
        <f>IF($F145="","",'הזנה לתנאי סף'!O145)</f>
        <v>1</v>
      </c>
      <c r="M145" s="177">
        <f>IF($F145="","",'הזנה לתנאי סף'!Q145)</f>
        <v>1</v>
      </c>
      <c r="N145" s="187">
        <f>IF($F145="","",'תחום תמיכה א'!AE145)</f>
        <v>129592.4942518587</v>
      </c>
      <c r="O145" s="178"/>
      <c r="P145" s="187">
        <f>IF($F145="","",'תחום תמיכה ב'!AC145)</f>
        <v>225962.35972193457</v>
      </c>
      <c r="Q145" s="187">
        <f>IF($F145="","",IF('תחום תמיכה ג'!O145="",0,'תחום תמיכה ג'!O145))</f>
        <v>94755.681693742052</v>
      </c>
      <c r="R145" s="187">
        <f t="shared" si="4"/>
        <v>6775.4931621361757</v>
      </c>
      <c r="S145" s="187">
        <f>IF($F145="","",'תחום תמיכה ב'!AE145)</f>
        <v>232737.85288407074</v>
      </c>
      <c r="T145" s="187">
        <f>IF($F145="","",IF(Q145='תחום תמיכה ג'!$Q$2,'תחום תמיכה ג'!$Q$2,IFERROR(SUMIF(N145:R145,"&gt;0"),'תחום תמיכה ג'!$Q$2)))</f>
        <v>457086.0288296715</v>
      </c>
      <c r="U145" s="187">
        <f>IF($F145="","",'הזנה לתנאי סף'!Y145)</f>
        <v>2500000</v>
      </c>
      <c r="V145" s="269">
        <f>IF(F145="","",'הגבלה לסכום מבוקש '!AA145)</f>
        <v>495887.7770885746</v>
      </c>
      <c r="W145" s="187">
        <f t="shared" si="5"/>
        <v>123971.94427214365</v>
      </c>
      <c r="X145" s="187">
        <f>IF(F145="","",'הזנה לתנאי סף'!Z145)</f>
        <v>150000</v>
      </c>
      <c r="Y145" s="237" t="str">
        <f>IFERROR(VLOOKUP(G145*1,#REF!,3,0),"")</f>
        <v/>
      </c>
      <c r="Z145" s="187" t="str">
        <f>IF(OR($F145="",Y145=""),"",IFERROR(IF(Y145&gt;V145,MIN(Y145,T145)-V145,0),'תחום תמיכה ג'!$Q$2))</f>
        <v/>
      </c>
      <c r="AA145" s="259"/>
      <c r="AB145" s="260" t="str">
        <f t="shared" si="6"/>
        <v/>
      </c>
      <c r="AC145" s="261"/>
      <c r="AD145" s="180"/>
      <c r="AE145" s="13" t="str">
        <f>IF($C145="","",IFERROR(VLOOKUP($C145,גיליון1!$A:$E,2,0),"לא הגיש בקשה שוטפת"))</f>
        <v>תמיכה שוטפת</v>
      </c>
      <c r="AF145" s="13" t="str">
        <f>IF($C145="","",IFERROR(VLOOKUP($C145,גיליון1!$A:$E,3,0),"לא הגיש בקשה שוטפת"))</f>
        <v>חויב</v>
      </c>
      <c r="AG145" s="13" t="str">
        <f>IF($C145="","",IFERROR(VLOOKUP($C145,גיליון1!$A:$E,4,0),"לא הגיש בקשה שוטפת"))</f>
        <v>19-42-02-20</v>
      </c>
      <c r="AH145" s="13" t="str">
        <f>IF($C145="","",IFERROR(VLOOKUP($C145,גיליון1!$A:$E,5,0),"לא הגיש בקשה שוטפת"))</f>
        <v>מחול וארגוני גג</v>
      </c>
      <c r="AI145" s="13">
        <f t="shared" si="7"/>
        <v>0</v>
      </c>
      <c r="AJ145"/>
      <c r="AK145" t="s">
        <v>242</v>
      </c>
    </row>
    <row r="146" spans="1:37" ht="29.25" x14ac:dyDescent="0.25">
      <c r="A146" s="54">
        <f>'הזנה לתנאי סף'!B146</f>
        <v>116</v>
      </c>
      <c r="B146" s="266">
        <f>IF($F146="","",'הזנה לתנאי סף'!C146)</f>
        <v>1001350382</v>
      </c>
      <c r="C146" s="266">
        <f>IF($F146="","",'הזנה לתנאי סף'!D146)</f>
        <v>1001266978</v>
      </c>
      <c r="D146" s="266">
        <f>IF($F146="","",'הזנה לתנאי סף'!E146)</f>
        <v>40000422</v>
      </c>
      <c r="E146" s="55">
        <f>IF($F146="","",'הזנה לתנאי סף'!F146)</f>
        <v>20000201</v>
      </c>
      <c r="F146" s="55" t="str">
        <f>IF('הזנה לתנאי סף'!BL146=1,'הזנה לתנאי סף'!G146,"")</f>
        <v>תל אביב -יפו</v>
      </c>
      <c r="G146" s="55" t="str">
        <f>IF($F146="","",'הזנה לתנאי סף'!H146)</f>
        <v>מוזיאון נחום גוטמן</v>
      </c>
      <c r="H146" s="55" t="str">
        <f>IF($F146="","",'הזנה לתנאי סף'!I146)</f>
        <v>מוזיאונים</v>
      </c>
      <c r="I146" s="187">
        <f>IF($F146="","",'הזנה לתנאי סף'!R146)</f>
        <v>2421672</v>
      </c>
      <c r="J146" s="187">
        <f>IF($F146="","",'תחום תמיכה א'!P146)</f>
        <v>2560426</v>
      </c>
      <c r="K146" s="177">
        <f>IF($F146="","",'הזנה לתנאי סף'!N146)</f>
        <v>1</v>
      </c>
      <c r="L146" s="177">
        <f>IF($F146="","",'הזנה לתנאי סף'!O146)</f>
        <v>1</v>
      </c>
      <c r="M146" s="177">
        <f>IF($F146="","",'הזנה לתנאי סף'!Q146)</f>
        <v>1</v>
      </c>
      <c r="N146" s="187">
        <f>IF($F146="","",'תחום תמיכה א'!AE146)</f>
        <v>65869.631160283781</v>
      </c>
      <c r="O146" s="178"/>
      <c r="P146" s="187">
        <f>IF($F146="","",'תחום תמיכה ב'!AC146)</f>
        <v>91415.273867613854</v>
      </c>
      <c r="Q146" s="187">
        <f>IF($F146="","",IF('תחום תמיכה ג'!O146="",0,'תחום תמיכה ג'!O146))</f>
        <v>38334.334104163754</v>
      </c>
      <c r="R146" s="187">
        <f t="shared" si="4"/>
        <v>2741.0917631017219</v>
      </c>
      <c r="S146" s="187">
        <f>IF($F146="","",'תחום תמיכה ב'!AE146)</f>
        <v>94156.365630715576</v>
      </c>
      <c r="T146" s="187">
        <f>IF($F146="","",IF(Q146='תחום תמיכה ג'!$Q$2,'תחום תמיכה ג'!$Q$2,IFERROR(SUMIF(N146:R146,"&gt;0"),'תחום תמיכה ג'!$Q$2)))</f>
        <v>198360.33089516309</v>
      </c>
      <c r="U146" s="187">
        <f>IF($F146="","",'הזנה לתנאי סף'!Y146)</f>
        <v>200000</v>
      </c>
      <c r="V146" s="269">
        <f>IF(F146="","",'הגבלה לסכום מבוקש '!AA146)</f>
        <v>200000</v>
      </c>
      <c r="W146" s="187">
        <f t="shared" si="5"/>
        <v>50000</v>
      </c>
      <c r="X146" s="187">
        <f>IF(F146="","",'הזנה לתנאי סף'!Z146)</f>
        <v>200000</v>
      </c>
      <c r="Y146" s="237" t="str">
        <f>IFERROR(VLOOKUP(G146*1,#REF!,3,0),"")</f>
        <v/>
      </c>
      <c r="Z146" s="187" t="str">
        <f>IF(OR($F146="",Y146=""),"",IFERROR(IF(Y146&gt;V146,MIN(Y146,T146)-V146,0),'תחום תמיכה ג'!$Q$2))</f>
        <v/>
      </c>
      <c r="AA146" s="259"/>
      <c r="AB146" s="260" t="str">
        <f t="shared" si="6"/>
        <v/>
      </c>
      <c r="AC146" s="261"/>
      <c r="AD146" s="180"/>
      <c r="AE146" s="13" t="str">
        <f>IF($C146="","",IFERROR(VLOOKUP($C146,גיליון1!$A:$E,2,0),"לא הגיש בקשה שוטפת"))</f>
        <v>תמיכה שוטפת</v>
      </c>
      <c r="AF146" s="13" t="str">
        <f>IF($C146="","",IFERROR(VLOOKUP($C146,גיליון1!$A:$E,3,0),"לא הגיש בקשה שוטפת"))</f>
        <v>חויב</v>
      </c>
      <c r="AG146" s="13" t="str">
        <f>IF($C146="","",IFERROR(VLOOKUP($C146,גיליון1!$A:$E,4,0),"לא הגיש בקשה שוטפת"))</f>
        <v>19-42-02-18</v>
      </c>
      <c r="AH146" s="13" t="str">
        <f>IF($C146="","",IFERROR(VLOOKUP($C146,גיליון1!$A:$E,5,0),"לא הגיש בקשה שוטפת"))</f>
        <v>מוזיאונים ואמנות פלס</v>
      </c>
      <c r="AI146" s="13">
        <f t="shared" si="7"/>
        <v>0</v>
      </c>
      <c r="AJ146"/>
      <c r="AK146" t="s">
        <v>165</v>
      </c>
    </row>
    <row r="147" spans="1:37" ht="43.5" x14ac:dyDescent="0.25">
      <c r="A147" s="54">
        <f>'הזנה לתנאי סף'!B147</f>
        <v>117</v>
      </c>
      <c r="B147" s="266">
        <f>IF($F147="","",'הזנה לתנאי סף'!C147)</f>
        <v>1001347845</v>
      </c>
      <c r="C147" s="266">
        <f>IF($F147="","",'הזנה לתנאי סף'!D147)</f>
        <v>1001268850</v>
      </c>
      <c r="D147" s="266">
        <f>IF($F147="","",'הזנה לתנאי סף'!E147)</f>
        <v>40216081</v>
      </c>
      <c r="E147" s="55">
        <f>IF($F147="","",'הזנה לתנאי סף'!F147)</f>
        <v>20000253</v>
      </c>
      <c r="F147" s="55" t="str">
        <f>IF('הזנה לתנאי סף'!BL147=1,'הזנה לתנאי סף'!G147,"")</f>
        <v>טמרה</v>
      </c>
      <c r="G147" s="55" t="str">
        <f>IF($F147="","",'הזנה לתנאי סף'!H147)</f>
        <v>אלאג'יאל טמרה (ע"ר)</v>
      </c>
      <c r="H147" s="55" t="str">
        <f>IF($F147="","",'הזנה לתנאי סף'!I147)</f>
        <v>תיאטרון</v>
      </c>
      <c r="I147" s="187">
        <f>IF($F147="","",'הזנה לתנאי סף'!R147)</f>
        <v>1724397</v>
      </c>
      <c r="J147" s="187">
        <f>IF($F147="","",'תחום תמיכה א'!P147)</f>
        <v>1734414</v>
      </c>
      <c r="K147" s="177">
        <f>IF($F147="","",'הזנה לתנאי סף'!N147)</f>
        <v>0</v>
      </c>
      <c r="L147" s="177">
        <f>IF($F147="","",'הזנה לתנאי סף'!O147)</f>
        <v>1</v>
      </c>
      <c r="M147" s="177">
        <f>IF($F147="","",'הזנה לתנאי סף'!Q147)</f>
        <v>1</v>
      </c>
      <c r="N147" s="187">
        <f>IF($F147="","",'תחום תמיכה א'!AE147)</f>
        <v>38877.200939917057</v>
      </c>
      <c r="O147" s="178"/>
      <c r="P147" s="187">
        <f>IF($F147="","",'תחום תמיכה ב'!AC147)</f>
        <v>49417.243918343869</v>
      </c>
      <c r="Q147" s="187">
        <f>IF($F147="","",IF('תחום תמיכה ג'!O147="",0,'תחום תמיכה ג'!O147))</f>
        <v>0</v>
      </c>
      <c r="R147" s="187">
        <f t="shared" si="4"/>
        <v>1481.778640798344</v>
      </c>
      <c r="S147" s="187">
        <f>IF($F147="","",'תחום תמיכה ב'!AE147)</f>
        <v>50899.022559142213</v>
      </c>
      <c r="T147" s="187">
        <f>IF($F147="","",IF(Q147='תחום תמיכה ג'!$Q$2,'תחום תמיכה ג'!$Q$2,IFERROR(SUMIF(N147:R147,"&gt;0"),'תחום תמיכה ג'!$Q$2)))</f>
        <v>89776.22349905927</v>
      </c>
      <c r="U147" s="187">
        <f>IF($F147="","",'הזנה לתנאי סף'!Y147)</f>
        <v>1200000</v>
      </c>
      <c r="V147" s="269">
        <f>IF(F147="","",'הגבלה לסכום מבוקש '!AA147)</f>
        <v>98257.403071327135</v>
      </c>
      <c r="W147" s="187">
        <f t="shared" si="5"/>
        <v>24564.350767831784</v>
      </c>
      <c r="X147" s="187">
        <f>IF(F147="","",'הזנה לתנאי סף'!Z147)</f>
        <v>600000</v>
      </c>
      <c r="Y147" s="237" t="str">
        <f>IFERROR(VLOOKUP(G147*1,#REF!,3,0),"")</f>
        <v/>
      </c>
      <c r="Z147" s="187" t="str">
        <f>IF(OR($F147="",Y147=""),"",IFERROR(IF(Y147&gt;V147,MIN(Y147,T147)-V147,0),'תחום תמיכה ג'!$Q$2))</f>
        <v/>
      </c>
      <c r="AA147" s="259"/>
      <c r="AB147" s="260" t="str">
        <f t="shared" si="6"/>
        <v/>
      </c>
      <c r="AC147" s="261"/>
      <c r="AD147" s="180"/>
      <c r="AE147" s="13" t="str">
        <f>IF($C147="","",IFERROR(VLOOKUP($C147,גיליון1!$A:$E,2,0),"לא הגיש בקשה שוטפת"))</f>
        <v>שוטף אלאג'יאל טמרה</v>
      </c>
      <c r="AF147" s="13" t="str">
        <f>IF($C147="","",IFERROR(VLOOKUP($C147,גיליון1!$A:$E,3,0),"לא הגיש בקשה שוטפת"))</f>
        <v>מועד</v>
      </c>
      <c r="AG147" s="13" t="str">
        <f>IF($C147="","",IFERROR(VLOOKUP($C147,גיליון1!$A:$E,4,0),"לא הגיש בקשה שוטפת"))</f>
        <v>19-42-02-33</v>
      </c>
      <c r="AH147" s="13" t="str">
        <f>IF($C147="","",IFERROR(VLOOKUP($C147,גיליון1!$A:$E,5,0),"לא הגיש בקשה שוטפת"))</f>
        <v>תרבות ערבית ודרוזית</v>
      </c>
      <c r="AI147" s="13">
        <f t="shared" si="7"/>
        <v>0</v>
      </c>
      <c r="AJ147"/>
      <c r="AK147" t="s">
        <v>168</v>
      </c>
    </row>
    <row r="148" spans="1:37" ht="29.25" x14ac:dyDescent="0.25">
      <c r="A148" s="54">
        <f>'הזנה לתנאי סף'!B148</f>
        <v>118</v>
      </c>
      <c r="B148" s="266">
        <f>IF($F148="","",'הזנה לתנאי סף'!C148)</f>
        <v>1001350385</v>
      </c>
      <c r="C148" s="266">
        <f>IF($F148="","",'הזנה לתנאי סף'!D148)</f>
        <v>1001271278</v>
      </c>
      <c r="D148" s="266">
        <f>IF($F148="","",'הזנה לתנאי סף'!E148)</f>
        <v>40216101</v>
      </c>
      <c r="E148" s="55">
        <f>IF($F148="","",'הזנה לתנאי סף'!F148)</f>
        <v>20000186</v>
      </c>
      <c r="F148" s="55" t="str">
        <f>IF('הזנה לתנאי סף'!BL148=1,'הזנה לתנאי סף'!G148,"")</f>
        <v>לב השרון</v>
      </c>
      <c r="G148" s="55" t="str">
        <f>IF($F148="","",'הזנה לתנאי סף'!H148)</f>
        <v>איסמבל קולות נשים</v>
      </c>
      <c r="H148" s="55" t="str">
        <f>IF($F148="","",'הזנה לתנאי סף'!I148)</f>
        <v>מקהלות</v>
      </c>
      <c r="I148" s="187">
        <f>IF($F148="","",'הזנה לתנאי סף'!R148)</f>
        <v>133597</v>
      </c>
      <c r="J148" s="187">
        <f>IF($F148="","",'תחום תמיכה א'!P148)</f>
        <v>137213</v>
      </c>
      <c r="K148" s="177">
        <f>IF($F148="","",'הזנה לתנאי סף'!N148)</f>
        <v>0</v>
      </c>
      <c r="L148" s="177">
        <f>IF($F148="","",'הזנה לתנאי סף'!O148)</f>
        <v>1</v>
      </c>
      <c r="M148" s="177">
        <f>IF($F148="","",'הזנה לתנאי סף'!Q148)</f>
        <v>1</v>
      </c>
      <c r="N148" s="187">
        <f>IF($F148="","",'תחום תמיכה א'!AE148)</f>
        <v>3289.8745082261671</v>
      </c>
      <c r="O148" s="178"/>
      <c r="P148" s="187">
        <f>IF($F148="","",'תחום תמיכה ב'!AC148)</f>
        <v>4380.4859230363209</v>
      </c>
      <c r="Q148" s="187">
        <f>IF($F148="","",IF('תחום תמיכה ג'!O148="",0,'תחום תמיכה ג'!O148))</f>
        <v>0</v>
      </c>
      <c r="R148" s="187">
        <f t="shared" si="4"/>
        <v>131.34909926985165</v>
      </c>
      <c r="S148" s="187">
        <f>IF($F148="","",'תחום תמיכה ב'!AE148)</f>
        <v>4511.8350223061725</v>
      </c>
      <c r="T148" s="187">
        <f>IF($F148="","",IF(Q148='תחום תמיכה ג'!$Q$2,'תחום תמיכה ג'!$Q$2,IFERROR(SUMIF(N148:R148,"&gt;0"),'תחום תמיכה ג'!$Q$2)))</f>
        <v>7801.7095305323401</v>
      </c>
      <c r="U148" s="187">
        <f>IF($F148="","",'הזנה לתנאי סף'!Y148)</f>
        <v>55000</v>
      </c>
      <c r="V148" s="269">
        <f>IF(F148="","",'הגבלה לסכום מבוקש '!AA148)</f>
        <v>8553.4343863215363</v>
      </c>
      <c r="W148" s="187">
        <f t="shared" si="5"/>
        <v>2138.3585965803841</v>
      </c>
      <c r="X148" s="187">
        <f>IF(F148="","",'הזנה לתנאי סף'!Z148)</f>
        <v>55000</v>
      </c>
      <c r="Y148" s="237" t="str">
        <f>IFERROR(VLOOKUP(G148*1,#REF!,3,0),"")</f>
        <v/>
      </c>
      <c r="Z148" s="187" t="str">
        <f>IF(OR($F148="",Y148=""),"",IFERROR(IF(Y148&gt;V148,MIN(Y148,T148)-V148,0),'תחום תמיכה ג'!$Q$2))</f>
        <v/>
      </c>
      <c r="AA148" s="259"/>
      <c r="AB148" s="260" t="str">
        <f t="shared" si="6"/>
        <v/>
      </c>
      <c r="AC148" s="261"/>
      <c r="AD148" s="180"/>
      <c r="AE148" s="13" t="str">
        <f>IF($C148="","",IFERROR(VLOOKUP($C148,גיליון1!$A:$E,2,0),"לא הגיש בקשה שוטפת"))</f>
        <v>תמיכה שוטפת 2020</v>
      </c>
      <c r="AF148" s="13" t="str">
        <f>IF($C148="","",IFERROR(VLOOKUP($C148,גיליון1!$A:$E,3,0),"לא הגיש בקשה שוטפת"))</f>
        <v>מועד</v>
      </c>
      <c r="AG148" s="13" t="str">
        <f>IF($C148="","",IFERROR(VLOOKUP($C148,גיליון1!$A:$E,4,0),"לא הגיש בקשה שוטפת"))</f>
        <v>19-42-02-31</v>
      </c>
      <c r="AH148" s="13" t="str">
        <f>IF($C148="","",IFERROR(VLOOKUP($C148,גיליון1!$A:$E,5,0),"לא הגיש בקשה שוטפת"))</f>
        <v>תרבות בקהילה תמיכה</v>
      </c>
      <c r="AI148" s="13">
        <f t="shared" si="7"/>
        <v>0</v>
      </c>
      <c r="AJ148"/>
      <c r="AK148" t="s">
        <v>172</v>
      </c>
    </row>
    <row r="149" spans="1:37" ht="29.25" x14ac:dyDescent="0.25">
      <c r="A149" s="54">
        <f>'הזנה לתנאי סף'!B149</f>
        <v>119</v>
      </c>
      <c r="B149" s="266">
        <f>IF($F149="","",'הזנה לתנאי סף'!C149)</f>
        <v>1001349532</v>
      </c>
      <c r="C149" s="266">
        <f>IF($F149="","",'הזנה לתנאי סף'!D149)</f>
        <v>1001277350</v>
      </c>
      <c r="D149" s="266">
        <f>IF($F149="","",'הזנה לתנאי סף'!E149)</f>
        <v>40000449</v>
      </c>
      <c r="E149" s="55">
        <f>IF($F149="","",'הזנה לתנאי סף'!F149)</f>
        <v>20000201</v>
      </c>
      <c r="F149" s="55" t="str">
        <f>IF('הזנה לתנאי סף'!BL149=1,'הזנה לתנאי סף'!G149,"")</f>
        <v>תל אביב -יפו</v>
      </c>
      <c r="G149" s="55" t="str">
        <f>IF($F149="","",'הזנה לתנאי סף'!H149)</f>
        <v>תיאטרון מחול ענבל</v>
      </c>
      <c r="H149" s="55" t="str">
        <f>IF($F149="","",'הזנה לתנאי סף'!I149)</f>
        <v>מחול</v>
      </c>
      <c r="I149" s="187">
        <f>IF($F149="","",'הזנה לתנאי סף'!R149)</f>
        <v>1806689</v>
      </c>
      <c r="J149" s="187">
        <f>IF($F149="","",'תחום תמיכה א'!P149)</f>
        <v>1762102</v>
      </c>
      <c r="K149" s="177">
        <f>IF($F149="","",'הזנה לתנאי סף'!N149)</f>
        <v>1</v>
      </c>
      <c r="L149" s="177">
        <f>IF($F149="","",'הזנה לתנאי סף'!O149)</f>
        <v>1</v>
      </c>
      <c r="M149" s="177">
        <f>IF($F149="","",'הזנה לתנאי סף'!Q149)</f>
        <v>1</v>
      </c>
      <c r="N149" s="187">
        <f>IF($F149="","",'תחום תמיכה א'!AE149)</f>
        <v>32345.8941374141</v>
      </c>
      <c r="O149" s="178"/>
      <c r="P149" s="187">
        <f>IF($F149="","",'תחום תמיכה ב'!AC149)</f>
        <v>34722.98655467404</v>
      </c>
      <c r="Q149" s="187">
        <f>IF($F149="","",IF('תחום תמיכה ג'!O149="",0,'תחום תמיכה ג'!O149))</f>
        <v>14560.83334179924</v>
      </c>
      <c r="R149" s="187">
        <f t="shared" si="4"/>
        <v>1041.1705660166335</v>
      </c>
      <c r="S149" s="187">
        <f>IF($F149="","",'תחום תמיכה ב'!AE149)</f>
        <v>35764.157120690674</v>
      </c>
      <c r="T149" s="187">
        <f>IF($F149="","",IF(Q149='תחום תמיכה ג'!$Q$2,'תחום תמיכה ג'!$Q$2,IFERROR(SUMIF(N149:R149,"&gt;0"),'תחום תמיכה ג'!$Q$2)))</f>
        <v>82670.884599904006</v>
      </c>
      <c r="U149" s="187">
        <f>IF($F149="","",'הזנה לתנאי סף'!Y149)</f>
        <v>200000</v>
      </c>
      <c r="V149" s="269">
        <f>IF(F149="","",'הגבלה לסכום מבוקש '!AA149)</f>
        <v>88639.098286096618</v>
      </c>
      <c r="W149" s="187">
        <f t="shared" si="5"/>
        <v>22159.774571524154</v>
      </c>
      <c r="X149" s="187">
        <f>IF(F149="","",'הזנה לתנאי סף'!Z149)</f>
        <v>100000</v>
      </c>
      <c r="Y149" s="237" t="str">
        <f>IFERROR(VLOOKUP(G149*1,#REF!,3,0),"")</f>
        <v/>
      </c>
      <c r="Z149" s="187" t="str">
        <f>IF(OR($F149="",Y149=""),"",IFERROR(IF(Y149&gt;V149,MIN(Y149,T149)-V149,0),'תחום תמיכה ג'!$Q$2))</f>
        <v/>
      </c>
      <c r="AA149" s="259"/>
      <c r="AB149" s="260" t="str">
        <f t="shared" si="6"/>
        <v/>
      </c>
      <c r="AC149" s="261"/>
      <c r="AD149" s="180"/>
      <c r="AE149" s="13" t="str">
        <f>IF($C149="","",IFERROR(VLOOKUP($C149,גיליון1!$A:$E,2,0),"לא הגיש בקשה שוטפת"))</f>
        <v>פעילות שוטפת של מרכז האתני הרב תחומי</v>
      </c>
      <c r="AF149" s="13" t="str">
        <f>IF($C149="","",IFERROR(VLOOKUP($C149,גיליון1!$A:$E,3,0),"לא הגיש בקשה שוטפת"))</f>
        <v>מועד</v>
      </c>
      <c r="AG149" s="13" t="str">
        <f>IF($C149="","",IFERROR(VLOOKUP($C149,גיליון1!$A:$E,4,0),"לא הגיש בקשה שוטפת"))</f>
        <v>19-42-02-14</v>
      </c>
      <c r="AH149" s="13" t="str">
        <f>IF($C149="","",IFERROR(VLOOKUP($C149,גיליון1!$A:$E,5,0),"לא הגיש בקשה שוטפת"))</f>
        <v>מחקר מורשת ואיגודים</v>
      </c>
      <c r="AI149" s="13">
        <f t="shared" si="7"/>
        <v>0</v>
      </c>
      <c r="AJ149"/>
      <c r="AK149" t="s">
        <v>243</v>
      </c>
    </row>
    <row r="150" spans="1:37" ht="57.75" x14ac:dyDescent="0.25">
      <c r="A150" s="54">
        <f>'הזנה לתנאי סף'!B150</f>
        <v>120</v>
      </c>
      <c r="B150" s="266">
        <f>IF($F150="","",'הזנה לתנאי סף'!C150)</f>
        <v>1001350998</v>
      </c>
      <c r="C150" s="266">
        <f>IF($F150="","",'הזנה לתנאי סף'!D150)</f>
        <v>1001270595</v>
      </c>
      <c r="D150" s="266">
        <f>IF($F150="","",'הזנה לתנאי סף'!E150)</f>
        <v>40002883</v>
      </c>
      <c r="E150" s="55">
        <f>IF($F150="","",'הזנה לתנאי סף'!F150)</f>
        <v>20000254</v>
      </c>
      <c r="F150" s="55" t="str">
        <f>IF('הזנה לתנאי סף'!BL150=1,'הזנה לתנאי סף'!G150,"")</f>
        <v>באר שבע</v>
      </c>
      <c r="G150" s="55" t="str">
        <f>IF($F150="","",'הזנה לתנאי סף'!H150)</f>
        <v>בת-דור באר-שבע - מרכז עירוני לאמנות</v>
      </c>
      <c r="H150" s="55" t="str">
        <f>IF($F150="","",'הזנה לתנאי סף'!I150)</f>
        <v>מרכזי מחול</v>
      </c>
      <c r="I150" s="187">
        <f>IF($F150="","",'הזנה לתנאי סף'!R150)</f>
        <v>2507124</v>
      </c>
      <c r="J150" s="187">
        <f>IF($F150="","",'תחום תמיכה א'!P150)</f>
        <v>2670041</v>
      </c>
      <c r="K150" s="177">
        <f>IF($F150="","",'הזנה לתנאי סף'!N150)</f>
        <v>1</v>
      </c>
      <c r="L150" s="177">
        <f>IF($F150="","",'הזנה לתנאי סף'!O150)</f>
        <v>1</v>
      </c>
      <c r="M150" s="177">
        <f>IF($F150="","",'הזנה לתנאי סף'!Q150)</f>
        <v>1</v>
      </c>
      <c r="N150" s="187">
        <f>IF($F150="","",'תחום תמיכה א'!AE150)</f>
        <v>104385.02921062359</v>
      </c>
      <c r="O150" s="178"/>
      <c r="P150" s="187">
        <f>IF($F150="","",'תחום תמיכה ב'!AC150)</f>
        <v>187038.51749709342</v>
      </c>
      <c r="Q150" s="187">
        <f>IF($F150="","",IF('תחום תמיכה ג'!O150="",0,'תחום תמיכה ג'!O150))</f>
        <v>2359.6467761461317</v>
      </c>
      <c r="R150" s="187">
        <f t="shared" si="4"/>
        <v>5608.3597193671449</v>
      </c>
      <c r="S150" s="187">
        <f>IF($F150="","",'תחום תמיכה ב'!AE150)</f>
        <v>192646.87721646056</v>
      </c>
      <c r="T150" s="187">
        <f>IF($F150="","",IF(Q150='תחום תמיכה ג'!$Q$2,'תחום תמיכה ג'!$Q$2,IFERROR(SUMIF(N150:R150,"&gt;0"),'תחום תמיכה ג'!$Q$2)))</f>
        <v>299391.55320323026</v>
      </c>
      <c r="U150" s="187">
        <f>IF($F150="","",'הזנה לתנאי סף'!Y150)</f>
        <v>1300000</v>
      </c>
      <c r="V150" s="269">
        <f>IF(F150="","",'הגבלה לסכום מבוקש '!AA150)</f>
        <v>331473.43527618767</v>
      </c>
      <c r="W150" s="187">
        <f t="shared" si="5"/>
        <v>82868.358819046916</v>
      </c>
      <c r="X150" s="187">
        <f>IF(F150="","",'הזנה לתנאי סף'!Z150)</f>
        <v>50000</v>
      </c>
      <c r="Y150" s="237" t="str">
        <f>IFERROR(VLOOKUP(G150*1,#REF!,3,0),"")</f>
        <v/>
      </c>
      <c r="Z150" s="187" t="str">
        <f>IF(OR($F150="",Y150=""),"",IFERROR(IF(Y150&gt;V150,MIN(Y150,T150)-V150,0),'תחום תמיכה ג'!$Q$2))</f>
        <v/>
      </c>
      <c r="AA150" s="259"/>
      <c r="AB150" s="260" t="str">
        <f t="shared" si="6"/>
        <v/>
      </c>
      <c r="AC150" s="261"/>
      <c r="AD150" s="180"/>
      <c r="AE150" s="13" t="str">
        <f>IF($C150="","",IFERROR(VLOOKUP($C150,גיליון1!$A:$E,2,0),"לא הגיש בקשה שוטפת"))</f>
        <v>בקשת תמיכה בת-דור באר שבע</v>
      </c>
      <c r="AF150" s="13" t="str">
        <f>IF($C150="","",IFERROR(VLOOKUP($C150,גיליון1!$A:$E,3,0),"לא הגיש בקשה שוטפת"))</f>
        <v>חויב</v>
      </c>
      <c r="AG150" s="13" t="str">
        <f>IF($C150="","",IFERROR(VLOOKUP($C150,גיליון1!$A:$E,4,0),"לא הגיש בקשה שוטפת"))</f>
        <v>19-42-02-20</v>
      </c>
      <c r="AH150" s="13" t="str">
        <f>IF($C150="","",IFERROR(VLOOKUP($C150,גיליון1!$A:$E,5,0),"לא הגיש בקשה שוטפת"))</f>
        <v>מחול וארגוני גג</v>
      </c>
      <c r="AI150" s="13">
        <f t="shared" si="7"/>
        <v>0</v>
      </c>
      <c r="AJ150"/>
      <c r="AK150" t="s">
        <v>220</v>
      </c>
    </row>
    <row r="151" spans="1:37" ht="29.25" x14ac:dyDescent="0.25">
      <c r="A151" s="54">
        <f>'הזנה לתנאי סף'!B151</f>
        <v>121</v>
      </c>
      <c r="B151" s="266">
        <f>IF($F151="","",'הזנה לתנאי סף'!C151)</f>
        <v>1001350131</v>
      </c>
      <c r="C151" s="266">
        <f>IF($F151="","",'הזנה לתנאי סף'!D151)</f>
        <v>1001270246</v>
      </c>
      <c r="D151" s="266">
        <f>IF($F151="","",'הזנה לתנאי סף'!E151)</f>
        <v>40269761</v>
      </c>
      <c r="E151" s="55">
        <f>IF($F151="","",'הזנה לתנאי סף'!F151)</f>
        <v>20000201</v>
      </c>
      <c r="F151" s="55" t="str">
        <f>IF('הזנה לתנאי סף'!BL151=1,'הזנה לתנאי סף'!G151,"")</f>
        <v>תל אביב -יפו</v>
      </c>
      <c r="G151" s="55" t="str">
        <f>IF($F151="","",'הזנה לתנאי סף'!H151)</f>
        <v>נא לגעת</v>
      </c>
      <c r="H151" s="55" t="str">
        <f>IF($F151="","",'הזנה לתנאי סף'!I151)</f>
        <v>תיאטרון</v>
      </c>
      <c r="I151" s="187">
        <f>IF($F151="","",'הזנה לתנאי סף'!R151)</f>
        <v>2586576</v>
      </c>
      <c r="J151" s="187">
        <f>IF($F151="","",'תחום תמיכה א'!P151)</f>
        <v>2586576</v>
      </c>
      <c r="K151" s="177">
        <f>IF($F151="","",'הזנה לתנאי סף'!N151)</f>
        <v>1</v>
      </c>
      <c r="L151" s="177">
        <f>IF($F151="","",'הזנה לתנאי סף'!O151)</f>
        <v>1</v>
      </c>
      <c r="M151" s="177">
        <f>IF($F151="","",'הזנה לתנאי סף'!Q151)</f>
        <v>1</v>
      </c>
      <c r="N151" s="187">
        <f>IF($F151="","",'תחום תמיכה א'!AE151)</f>
        <v>70538.745454608827</v>
      </c>
      <c r="O151" s="178"/>
      <c r="P151" s="187">
        <f>IF($F151="","",'תחום תמיכה ב'!AC151)</f>
        <v>63954.389821418554</v>
      </c>
      <c r="Q151" s="187">
        <f>IF($F151="","",IF('תחום תמיכה ג'!O151="",0,'תחום תמיכה ג'!O151))</f>
        <v>26818.810939544168</v>
      </c>
      <c r="R151" s="187">
        <f t="shared" si="4"/>
        <v>1917.6757202254885</v>
      </c>
      <c r="S151" s="187">
        <f>IF($F151="","",'תחום תמיכה ב'!AE151)</f>
        <v>65872.065541644042</v>
      </c>
      <c r="T151" s="187">
        <f>IF($F151="","",IF(Q151='תחום תמיכה ג'!$Q$2,'תחום תמיכה ג'!$Q$2,IFERROR(SUMIF(N151:R151,"&gt;0"),'תחום תמיכה ג'!$Q$2)))</f>
        <v>163229.62193579704</v>
      </c>
      <c r="U151" s="187">
        <f>IF($F151="","",'הזנה לתנאי סף'!Y151)</f>
        <v>400000</v>
      </c>
      <c r="V151" s="269">
        <f>IF(F151="","",'הגבלה לסכום מבוקש '!AA151)</f>
        <v>174227.14329925203</v>
      </c>
      <c r="W151" s="187">
        <f t="shared" si="5"/>
        <v>43556.785824813007</v>
      </c>
      <c r="X151" s="187">
        <f>IF(F151="","",'הזנה לתנאי סף'!Z151)</f>
        <v>400000</v>
      </c>
      <c r="Y151" s="237" t="str">
        <f>IFERROR(VLOOKUP(G151*1,#REF!,3,0),"")</f>
        <v/>
      </c>
      <c r="Z151" s="187" t="str">
        <f>IF(OR($F151="",Y151=""),"",IFERROR(IF(Y151&gt;V151,MIN(Y151,T151)-V151,0),'תחום תמיכה ג'!$Q$2))</f>
        <v/>
      </c>
      <c r="AA151" s="259"/>
      <c r="AB151" s="260" t="str">
        <f t="shared" si="6"/>
        <v/>
      </c>
      <c r="AC151" s="261"/>
      <c r="AD151" s="180"/>
      <c r="AE151" s="13" t="str">
        <f>IF($C151="","",IFERROR(VLOOKUP($C151,גיליון1!$A:$E,2,0),"לא הגיש בקשה שוטפת"))</f>
        <v>נא לגעת תמיכה בתיאטרון נא לגעת 2020</v>
      </c>
      <c r="AF151" s="13" t="str">
        <f>IF($C151="","",IFERROR(VLOOKUP($C151,גיליון1!$A:$E,3,0),"לא הגיש בקשה שוטפת"))</f>
        <v>מועד</v>
      </c>
      <c r="AG151" s="13" t="str">
        <f>IF($C151="","",IFERROR(VLOOKUP($C151,גיליון1!$A:$E,4,0),"לא הגיש בקשה שוטפת"))</f>
        <v>19-42-02-31</v>
      </c>
      <c r="AH151" s="13" t="str">
        <f>IF($C151="","",IFERROR(VLOOKUP($C151,גיליון1!$A:$E,5,0),"לא הגיש בקשה שוטפת"))</f>
        <v>תרבות בקהילה תמיכה</v>
      </c>
      <c r="AI151" s="13">
        <f t="shared" si="7"/>
        <v>0</v>
      </c>
      <c r="AJ151"/>
      <c r="AK151" t="s">
        <v>85</v>
      </c>
    </row>
    <row r="152" spans="1:37" ht="43.5" x14ac:dyDescent="0.25">
      <c r="A152" s="54">
        <f>'הזנה לתנאי סף'!B152</f>
        <v>122</v>
      </c>
      <c r="B152" s="266">
        <f>IF($F152="","",'הזנה לתנאי סף'!C152)</f>
        <v>1001347266</v>
      </c>
      <c r="C152" s="266">
        <f>IF($F152="","",'הזנה לתנאי סף'!D152)</f>
        <v>1001266737</v>
      </c>
      <c r="D152" s="266">
        <f>IF($F152="","",'הזנה לתנאי סף'!E152)</f>
        <v>40299484</v>
      </c>
      <c r="E152" s="55">
        <f>IF($F152="","",'הזנה לתנאי סף'!F152)</f>
        <v>20000159</v>
      </c>
      <c r="F152" s="55" t="str">
        <f>IF('הזנה לתנאי סף'!BL152=1,'הזנה לתנאי סף'!G152,"")</f>
        <v>ירושלים</v>
      </c>
      <c r="G152" s="55" t="str">
        <f>IF($F152="","",'הזנה לתנאי סף'!H152)</f>
        <v>קרן אהבת קדומים תזמורת י-ם</v>
      </c>
      <c r="H152" s="55" t="str">
        <f>IF($F152="","",'הזנה לתנאי סף'!I152)</f>
        <v>מוסיקה-גופים כליים</v>
      </c>
      <c r="I152" s="187">
        <f>IF($F152="","",'הזנה לתנאי סף'!R152)</f>
        <v>10115818</v>
      </c>
      <c r="J152" s="187">
        <f>IF($F152="","",'תחום תמיכה א'!P152)</f>
        <v>11376568</v>
      </c>
      <c r="K152" s="177">
        <f>IF($F152="","",'הזנה לתנאי סף'!N152)</f>
        <v>1</v>
      </c>
      <c r="L152" s="177">
        <f>IF($F152="","",'הזנה לתנאי סף'!O152)</f>
        <v>1</v>
      </c>
      <c r="M152" s="177">
        <f>IF($F152="","",'הזנה לתנאי סף'!Q152)</f>
        <v>1</v>
      </c>
      <c r="N152" s="187">
        <f>IF($F152="","",'תחום תמיכה א'!AE152)</f>
        <v>207964.16748615482</v>
      </c>
      <c r="O152" s="178"/>
      <c r="P152" s="187">
        <f>IF($F152="","",'תחום תמיכה ב'!AC152)</f>
        <v>192802.62171277488</v>
      </c>
      <c r="Q152" s="187">
        <f>IF($F152="","",IF('תחום תמיכה ג'!O152="",0,'תחום תמיכה ג'!O152))</f>
        <v>33329.476942351233</v>
      </c>
      <c r="R152" s="187">
        <f t="shared" si="4"/>
        <v>5781.1966854319617</v>
      </c>
      <c r="S152" s="187">
        <f>IF($F152="","",'תחום תמיכה ב'!AE152)</f>
        <v>198583.81839820684</v>
      </c>
      <c r="T152" s="187">
        <f>IF($F152="","",IF(Q152='תחום תמיכה ג'!$Q$2,'תחום תמיכה ג'!$Q$2,IFERROR(SUMIF(N152:R152,"&gt;0"),'תחום תמיכה ג'!$Q$2)))</f>
        <v>439877.46282671287</v>
      </c>
      <c r="U152" s="187">
        <f>IF($F152="","",'הזנה לתנאי סף'!Y152)</f>
        <v>1200000</v>
      </c>
      <c r="V152" s="269">
        <f>IF(F152="","",'הגבלה לסכום מבוקש '!AA152)</f>
        <v>473007.80181174655</v>
      </c>
      <c r="W152" s="187">
        <f t="shared" si="5"/>
        <v>118251.95045293664</v>
      </c>
      <c r="X152" s="187">
        <f>IF(F152="","",'הזנה לתנאי סף'!Z152)</f>
        <v>100000</v>
      </c>
      <c r="Y152" s="237" t="str">
        <f>IFERROR(VLOOKUP(G152*1,#REF!,3,0),"")</f>
        <v/>
      </c>
      <c r="Z152" s="187" t="str">
        <f>IF(OR($F152="",Y152=""),"",IFERROR(IF(Y152&gt;V152,MIN(Y152,T152)-V152,0),'תחום תמיכה ג'!$Q$2))</f>
        <v/>
      </c>
      <c r="AA152" s="259"/>
      <c r="AB152" s="260" t="str">
        <f t="shared" si="6"/>
        <v/>
      </c>
      <c r="AC152" s="261"/>
      <c r="AD152" s="180"/>
      <c r="AE152" s="13" t="str">
        <f>IF($C152="","",IFERROR(VLOOKUP($C152,גיליון1!$A:$E,2,0),"לא הגיש בקשה שוטפת"))</f>
        <v>תמיכה שוטפת בתזמורת ירושלים מזרח ומערב</v>
      </c>
      <c r="AF152" s="13" t="str">
        <f>IF($C152="","",IFERROR(VLOOKUP($C152,גיליון1!$A:$E,3,0),"לא הגיש בקשה שוטפת"))</f>
        <v>חויב</v>
      </c>
      <c r="AG152" s="13" t="str">
        <f>IF($C152="","",IFERROR(VLOOKUP($C152,גיליון1!$A:$E,4,0),"לא הגיש בקשה שוטפת"))</f>
        <v>19-42-02-16</v>
      </c>
      <c r="AH152" s="13" t="str">
        <f>IF($C152="","",IFERROR(VLOOKUP($C152,גיליון1!$A:$E,5,0),"לא הגיש בקשה שוטפת"))</f>
        <v>מוסיקה</v>
      </c>
      <c r="AI152" s="13">
        <f t="shared" si="7"/>
        <v>0</v>
      </c>
      <c r="AJ152"/>
      <c r="AK152" t="s">
        <v>98</v>
      </c>
    </row>
    <row r="153" spans="1:37" ht="29.25" x14ac:dyDescent="0.25">
      <c r="A153" s="54">
        <f>'הזנה לתנאי סף'!B153</f>
        <v>123</v>
      </c>
      <c r="B153" s="266">
        <f>IF($F153="","",'הזנה לתנאי סף'!C153)</f>
        <v>1001348246</v>
      </c>
      <c r="C153" s="266">
        <f>IF($F153="","",'הזנה לתנאי סף'!D153)</f>
        <v>1001266660</v>
      </c>
      <c r="D153" s="266">
        <f>IF($F153="","",'הזנה לתנאי סף'!E153)</f>
        <v>40327977</v>
      </c>
      <c r="E153" s="55">
        <f>IF($F153="","",'הזנה לתנאי סף'!F153)</f>
        <v>20000159</v>
      </c>
      <c r="F153" s="55" t="str">
        <f>IF('הזנה לתנאי סף'!BL153=1,'הזנה לתנאי סף'!G153,"")</f>
        <v>ירושלים</v>
      </c>
      <c r="G153" s="55" t="str">
        <f>IF($F153="","",'הזנה לתנאי סף'!H153)</f>
        <v>אביבים</v>
      </c>
      <c r="H153" s="55" t="str">
        <f>IF($F153="","",'הזנה לתנאי סף'!I153)</f>
        <v>תרבות חרדית</v>
      </c>
      <c r="I153" s="187">
        <f>IF($F153="","",'הזנה לתנאי סף'!R153)</f>
        <v>304105</v>
      </c>
      <c r="J153" s="187">
        <f>IF($F153="","",'תחום תמיכה א'!P153)</f>
        <v>304105</v>
      </c>
      <c r="K153" s="177">
        <f>IF($F153="","",'הזנה לתנאי סף'!N153)</f>
        <v>0</v>
      </c>
      <c r="L153" s="177">
        <f>IF($F153="","",'הזנה לתנאי סף'!O153)</f>
        <v>1</v>
      </c>
      <c r="M153" s="177">
        <f>IF($F153="","",'הזנה לתנאי סף'!Q153)</f>
        <v>1</v>
      </c>
      <c r="N153" s="187">
        <f>IF($F153="","",'תחום תמיכה א'!AE153)</f>
        <v>6784.138026559508</v>
      </c>
      <c r="O153" s="178"/>
      <c r="P153" s="187">
        <f>IF($F153="","",'תחום תמיכה ב'!AC153)</f>
        <v>8632.2344687858349</v>
      </c>
      <c r="Q153" s="187">
        <f>IF($F153="","",IF('תחום תמיכה ג'!O153="",0,'תחום תמיכה ג'!O153))</f>
        <v>0</v>
      </c>
      <c r="R153" s="187">
        <f t="shared" si="4"/>
        <v>258.83800155560675</v>
      </c>
      <c r="S153" s="187">
        <f>IF($F153="","",'תחום תמיכה ב'!AE153)</f>
        <v>8891.0724703414417</v>
      </c>
      <c r="T153" s="187">
        <f>IF($F153="","",IF(Q153='תחום תמיכה ג'!$Q$2,'תחום תמיכה ג'!$Q$2,IFERROR(SUMIF(N153:R153,"&gt;0"),'תחום תמיכה ג'!$Q$2)))</f>
        <v>15675.210496900949</v>
      </c>
      <c r="U153" s="187">
        <f>IF($F153="","",'הזנה לתנאי סף'!Y153)</f>
        <v>600000</v>
      </c>
      <c r="V153" s="269">
        <f>IF(F153="","",'הגבלה לסכום מבוקש '!AA153)</f>
        <v>17156.704978063379</v>
      </c>
      <c r="W153" s="187">
        <f t="shared" si="5"/>
        <v>4289.1762445158447</v>
      </c>
      <c r="X153" s="187">
        <f>IF(F153="","",'הזנה לתנאי סף'!Z153)</f>
        <v>60000</v>
      </c>
      <c r="Y153" s="237" t="str">
        <f>IFERROR(VLOOKUP(G153*1,#REF!,3,0),"")</f>
        <v/>
      </c>
      <c r="Z153" s="187" t="str">
        <f>IF(OR($F153="",Y153=""),"",IFERROR(IF(Y153&gt;V153,MIN(Y153,T153)-V153,0),'תחום תמיכה ג'!$Q$2))</f>
        <v/>
      </c>
      <c r="AA153" s="259"/>
      <c r="AB153" s="260" t="str">
        <f t="shared" si="6"/>
        <v/>
      </c>
      <c r="AC153" s="261"/>
      <c r="AD153" s="180"/>
      <c r="AE153" s="13" t="str">
        <f>IF($C153="","",IFERROR(VLOOKUP($C153,גיליון1!$A:$E,2,0),"לא הגיש בקשה שוטפת"))</f>
        <v>תמיכה שוטפת בתזמורת הכליזמר 'אביבים'</v>
      </c>
      <c r="AF153" s="13" t="str">
        <f>IF($C153="","",IFERROR(VLOOKUP($C153,גיליון1!$A:$E,3,0),"לא הגיש בקשה שוטפת"))</f>
        <v>מועד</v>
      </c>
      <c r="AG153" s="13" t="str">
        <f>IF($C153="","",IFERROR(VLOOKUP($C153,גיליון1!$A:$E,4,0),"לא הגיש בקשה שוטפת"))</f>
        <v>19-42-02-65</v>
      </c>
      <c r="AH153" s="13" t="str">
        <f>IF($C153="","",IFERROR(VLOOKUP($C153,גיליון1!$A:$E,5,0),"לא הגיש בקשה שוטפת"))</f>
        <v>תרבות חרדית</v>
      </c>
      <c r="AI153" s="13">
        <f t="shared" si="7"/>
        <v>0</v>
      </c>
      <c r="AJ153"/>
      <c r="AK153" t="s">
        <v>219</v>
      </c>
    </row>
    <row r="154" spans="1:37" ht="29.25" x14ac:dyDescent="0.25">
      <c r="A154" s="54">
        <f>'הזנה לתנאי סף'!B154</f>
        <v>124</v>
      </c>
      <c r="B154" s="266">
        <f>IF($F154="","",'הזנה לתנאי סף'!C154)</f>
        <v>1001349552</v>
      </c>
      <c r="C154" s="266">
        <f>IF($F154="","",'הזנה לתנאי סף'!D154)</f>
        <v>1001290587</v>
      </c>
      <c r="D154" s="266">
        <f>IF($F154="","",'הזנה לתנאי סף'!E154)</f>
        <v>41053690</v>
      </c>
      <c r="E154" s="55">
        <f>IF($F154="","",'הזנה לתנאי סף'!F154)</f>
        <v>20000072</v>
      </c>
      <c r="F154" s="55" t="str">
        <f>IF('הזנה לתנאי סף'!BL154=1,'הזנה לתנאי סף'!G154,"")</f>
        <v>ראמה</v>
      </c>
      <c r="G154" s="55" t="str">
        <f>IF($F154="","",'הזנה לתנאי סף'!H154)</f>
        <v>סיראג'</v>
      </c>
      <c r="H154" s="55" t="str">
        <f>IF($F154="","",'הזנה לתנאי סף'!I154)</f>
        <v>תרבות ערבית</v>
      </c>
      <c r="I154" s="187">
        <f>IF($F154="","",'הזנה לתנאי סף'!R154)</f>
        <v>1243105</v>
      </c>
      <c r="J154" s="187">
        <f>IF($F154="","",'תחום תמיכה א'!P154)</f>
        <v>1254316</v>
      </c>
      <c r="K154" s="177">
        <f>IF($F154="","",'הזנה לתנאי סף'!N154)</f>
        <v>0</v>
      </c>
      <c r="L154" s="177">
        <f>IF($F154="","",'הזנה לתנאי סף'!O154)</f>
        <v>1</v>
      </c>
      <c r="M154" s="177">
        <f>IF($F154="","",'הזנה לתנאי סף'!Q154)</f>
        <v>1</v>
      </c>
      <c r="N154" s="187">
        <f>IF($F154="","",'תחום תמיכה א'!AE154)</f>
        <v>44540.119594806085</v>
      </c>
      <c r="O154" s="178"/>
      <c r="P154" s="187">
        <f>IF($F154="","",'תחום תמיכה ב'!AC154)</f>
        <v>89403.410230437687</v>
      </c>
      <c r="Q154" s="187">
        <f>IF($F154="","",IF('תחום תמיכה ג'!O154="",0,'תחום תמיכה ג'!O154))</f>
        <v>0</v>
      </c>
      <c r="R154" s="187">
        <f t="shared" si="4"/>
        <v>2680.7659268269927</v>
      </c>
      <c r="S154" s="187">
        <f>IF($F154="","",'תחום תמיכה ב'!AE154)</f>
        <v>92084.176157264679</v>
      </c>
      <c r="T154" s="187">
        <f>IF($F154="","",IF(Q154='תחום תמיכה ג'!$Q$2,'תחום תמיכה ג'!$Q$2,IFERROR(SUMIF(N154:R154,"&gt;0"),'תחום תמיכה ג'!$Q$2)))</f>
        <v>136624.29575207079</v>
      </c>
      <c r="U154" s="187">
        <f>IF($F154="","",'הזנה לתנאי סף'!Y154)</f>
        <v>500000</v>
      </c>
      <c r="V154" s="269">
        <f>IF(F154="","",'הגבלה לסכום מבוקש '!AA154)</f>
        <v>151956.31166163561</v>
      </c>
      <c r="W154" s="187">
        <f t="shared" si="5"/>
        <v>37989.077915408903</v>
      </c>
      <c r="X154" s="187">
        <f>IF(F154="","",'הזנה לתנאי סף'!Z154)</f>
        <v>200000</v>
      </c>
      <c r="Y154" s="237" t="str">
        <f>IFERROR(VLOOKUP(G154*1,#REF!,3,0),"")</f>
        <v/>
      </c>
      <c r="Z154" s="187" t="str">
        <f>IF(OR($F154="",Y154=""),"",IFERROR(IF(Y154&gt;V154,MIN(Y154,T154)-V154,0),'תחום תמיכה ג'!$Q$2))</f>
        <v/>
      </c>
      <c r="AA154" s="259"/>
      <c r="AB154" s="260" t="str">
        <f t="shared" si="6"/>
        <v/>
      </c>
      <c r="AC154" s="261"/>
      <c r="AD154" s="180"/>
      <c r="AE154" s="13" t="str">
        <f>IF($C154="","",IFERROR(VLOOKUP($C154,גיליון1!$A:$E,2,0),"לא הגיש בקשה שוטפת"))</f>
        <v>תזמורת ולהקת סיראג' + בי"ס למוסיקה</v>
      </c>
      <c r="AF154" s="13" t="str">
        <f>IF($C154="","",IFERROR(VLOOKUP($C154,גיליון1!$A:$E,3,0),"לא הגיש בקשה שוטפת"))</f>
        <v>מועד</v>
      </c>
      <c r="AG154" s="13" t="str">
        <f>IF($C154="","",IFERROR(VLOOKUP($C154,גיליון1!$A:$E,4,0),"לא הגיש בקשה שוטפת"))</f>
        <v>19-42-02-33</v>
      </c>
      <c r="AH154" s="13" t="str">
        <f>IF($C154="","",IFERROR(VLOOKUP($C154,גיליון1!$A:$E,5,0),"לא הגיש בקשה שוטפת"))</f>
        <v>תרבות ערבית ודרוזית</v>
      </c>
      <c r="AI154" s="13">
        <f t="shared" si="7"/>
        <v>0</v>
      </c>
      <c r="AJ154"/>
      <c r="AK154" t="s">
        <v>5</v>
      </c>
    </row>
    <row r="155" spans="1:37" ht="29.25" x14ac:dyDescent="0.25">
      <c r="A155" s="54">
        <f>'הזנה לתנאי סף'!B155</f>
        <v>125</v>
      </c>
      <c r="B155" s="266">
        <f>IF($F155="","",'הזנה לתנאי סף'!C155)</f>
        <v>1001347776</v>
      </c>
      <c r="C155" s="266">
        <f>IF($F155="","",'הזנה לתנאי סף'!D155)</f>
        <v>1001276514</v>
      </c>
      <c r="D155" s="266">
        <f>IF($F155="","",'הזנה לתנאי סף'!E155)</f>
        <v>40946840</v>
      </c>
      <c r="E155" s="55">
        <f>IF($F155="","",'הזנה לתנאי סף'!F155)</f>
        <v>20000231</v>
      </c>
      <c r="F155" s="55" t="str">
        <f>IF('הזנה לתנאי סף'!BL155=1,'הזנה לתנאי סף'!G155,"")</f>
        <v>נצרת</v>
      </c>
      <c r="G155" s="55" t="str">
        <f>IF($F155="","",'הזנה לתנאי סף'!H155)</f>
        <v>נצרת עלא אלעהד</v>
      </c>
      <c r="H155" s="55" t="str">
        <f>IF($F155="","",'הזנה לתנאי סף'!I155)</f>
        <v>תרבות ערבית</v>
      </c>
      <c r="I155" s="187">
        <f>IF($F155="","",'הזנה לתנאי סף'!R155)</f>
        <v>370873</v>
      </c>
      <c r="J155" s="187">
        <f>IF($F155="","",'תחום תמיכה א'!P155)</f>
        <v>409724</v>
      </c>
      <c r="K155" s="177">
        <f>IF($F155="","",'הזנה לתנאי סף'!N155)</f>
        <v>0</v>
      </c>
      <c r="L155" s="177">
        <f>IF($F155="","",'הזנה לתנאי סף'!O155)</f>
        <v>1</v>
      </c>
      <c r="M155" s="177">
        <f>IF($F155="","",'הזנה לתנאי סף'!Q155)</f>
        <v>1</v>
      </c>
      <c r="N155" s="187">
        <f>IF($F155="","",'תחום תמיכה א'!AE155)</f>
        <v>7951.4901146560842</v>
      </c>
      <c r="O155" s="178"/>
      <c r="P155" s="187">
        <f>IF($F155="","",'תחום תמיכה ב'!AC155)</f>
        <v>7967.0381084035898</v>
      </c>
      <c r="Q155" s="187">
        <f>IF($F155="","",IF('תחום תמיכה ג'!O155="",0,'תחום תמיכה ג'!O155))</f>
        <v>0</v>
      </c>
      <c r="R155" s="187">
        <f t="shared" si="4"/>
        <v>238.89205393497559</v>
      </c>
      <c r="S155" s="187">
        <f>IF($F155="","",'תחום תמיכה ב'!AE155)</f>
        <v>8205.9301623385654</v>
      </c>
      <c r="T155" s="187">
        <f>IF($F155="","",IF(Q155='תחום תמיכה ג'!$Q$2,'תחום תמיכה ג'!$Q$2,IFERROR(SUMIF(N155:R155,"&gt;0"),'תחום תמיכה ג'!$Q$2)))</f>
        <v>16157.42027699465</v>
      </c>
      <c r="U155" s="187">
        <f>IF($F155="","",'הזנה לתנאי סף'!Y155)</f>
        <v>130000</v>
      </c>
      <c r="V155" s="269">
        <f>IF(F155="","",'הגבלה לסכום מבוקש '!AA155)</f>
        <v>17525.520979115099</v>
      </c>
      <c r="W155" s="187">
        <f t="shared" si="5"/>
        <v>4381.3802447787748</v>
      </c>
      <c r="X155" s="187">
        <f>IF(F155="","",'הזנה לתנאי סף'!Z155)</f>
        <v>130000</v>
      </c>
      <c r="Y155" s="237" t="str">
        <f>IFERROR(VLOOKUP(G155*1,#REF!,3,0),"")</f>
        <v/>
      </c>
      <c r="Z155" s="187" t="str">
        <f>IF(OR($F155="",Y155=""),"",IFERROR(IF(Y155&gt;V155,MIN(Y155,T155)-V155,0),'תחום תמיכה ג'!$Q$2))</f>
        <v/>
      </c>
      <c r="AA155" s="259"/>
      <c r="AB155" s="260" t="str">
        <f t="shared" si="6"/>
        <v/>
      </c>
      <c r="AC155" s="261"/>
      <c r="AD155" s="180"/>
      <c r="AE155" s="13" t="str">
        <f>IF($C155="","",IFERROR(VLOOKUP($C155,גיליון1!$A:$E,2,0),"לא הגיש בקשה שוטפת"))</f>
        <v>בקשת תמיכה לפעיות השוטפת</v>
      </c>
      <c r="AF155" s="13" t="str">
        <f>IF($C155="","",IFERROR(VLOOKUP($C155,גיליון1!$A:$E,3,0),"לא הגיש בקשה שוטפת"))</f>
        <v>מועד</v>
      </c>
      <c r="AG155" s="13" t="str">
        <f>IF($C155="","",IFERROR(VLOOKUP($C155,גיליון1!$A:$E,4,0),"לא הגיש בקשה שוטפת"))</f>
        <v>19-42-02-33</v>
      </c>
      <c r="AH155" s="13" t="str">
        <f>IF($C155="","",IFERROR(VLOOKUP($C155,גיליון1!$A:$E,5,0),"לא הגיש בקשה שוטפת"))</f>
        <v>תרבות ערבית ודרוזית</v>
      </c>
      <c r="AI155" s="13">
        <f t="shared" si="7"/>
        <v>0</v>
      </c>
      <c r="AJ155"/>
      <c r="AK155" t="s">
        <v>6</v>
      </c>
    </row>
    <row r="156" spans="1:37" ht="43.5" x14ac:dyDescent="0.25">
      <c r="A156" s="54">
        <f>'הזנה לתנאי סף'!B156</f>
        <v>126</v>
      </c>
      <c r="B156" s="266">
        <f>IF($F156="","",'הזנה לתנאי סף'!C156)</f>
        <v>1001348954</v>
      </c>
      <c r="C156" s="266">
        <f>IF($F156="","",'הזנה לתנאי סף'!D156)</f>
        <v>1001290646</v>
      </c>
      <c r="D156" s="266">
        <f>IF($F156="","",'הזנה לתנאי סף'!E156)</f>
        <v>40970756</v>
      </c>
      <c r="E156" s="55">
        <f>IF($F156="","",'הזנה לתנאי סף'!F156)</f>
        <v>20000201</v>
      </c>
      <c r="F156" s="55" t="str">
        <f>IF('הזנה לתנאי סף'!BL156=1,'הזנה לתנאי סף'!G156,"")</f>
        <v>תל אביב -יפו</v>
      </c>
      <c r="G156" s="55" t="str">
        <f>IF($F156="","",'הזנה לתנאי סף'!H156)</f>
        <v>אלמז אמנות בישראל</v>
      </c>
      <c r="H156" s="55" t="str">
        <f>IF($F156="","",'הזנה לתנאי סף'!I156)</f>
        <v>אחר</v>
      </c>
      <c r="I156" s="187">
        <f>IF($F156="","",'הזנה לתנאי סף'!R156)</f>
        <v>155151</v>
      </c>
      <c r="J156" s="187">
        <f>IF($F156="","",'תחום תמיכה א'!P156)</f>
        <v>145967</v>
      </c>
      <c r="K156" s="177">
        <f>IF($F156="","",'הזנה לתנאי סף'!N156)</f>
        <v>0</v>
      </c>
      <c r="L156" s="177">
        <f>IF($F156="","",'הזנה לתנאי סף'!O156)</f>
        <v>1</v>
      </c>
      <c r="M156" s="177">
        <f>IF($F156="","",'הזנה לתנאי סף'!Q156)</f>
        <v>1</v>
      </c>
      <c r="N156" s="187">
        <f>IF($F156="","",'תחום תמיכה א'!AE156)</f>
        <v>7979.2133703139416</v>
      </c>
      <c r="O156" s="178"/>
      <c r="P156" s="187">
        <f>IF($F156="","",'תחום תמיכה ב'!AC156)</f>
        <v>26443.73584266195</v>
      </c>
      <c r="Q156" s="187">
        <f>IF($F156="","",IF('תחום תמיכה ג'!O156="",0,'תחום תמיכה ג'!O156))</f>
        <v>0</v>
      </c>
      <c r="R156" s="187">
        <f t="shared" si="4"/>
        <v>792.91680085025655</v>
      </c>
      <c r="S156" s="187">
        <f>IF($F156="","",'תחום תמיכה ב'!AE156)</f>
        <v>27236.652643512207</v>
      </c>
      <c r="T156" s="187">
        <f>IF($F156="","",IF(Q156='תחום תמיכה ג'!$Q$2,'תחום תמיכה ג'!$Q$2,IFERROR(SUMIF(N156:R156,"&gt;0"),'תחום תמיכה ג'!$Q$2)))</f>
        <v>35215.866013826148</v>
      </c>
      <c r="U156" s="187">
        <f>IF($F156="","",'הזנה לתנאי סף'!Y156)</f>
        <v>75000</v>
      </c>
      <c r="V156" s="269">
        <f>IF(F156="","",'הגבלה לסכום מבוקש '!AA156)</f>
        <v>39748.403493020574</v>
      </c>
      <c r="W156" s="187">
        <f t="shared" si="5"/>
        <v>9937.1008732551436</v>
      </c>
      <c r="X156" s="187">
        <f>IF(F156="","",'הזנה לתנאי סף'!Z156)</f>
        <v>75000</v>
      </c>
      <c r="Y156" s="237" t="str">
        <f>IFERROR(VLOOKUP(G156*1,#REF!,3,0),"")</f>
        <v/>
      </c>
      <c r="Z156" s="187" t="str">
        <f>IF(OR($F156="",Y156=""),"",IFERROR(IF(Y156&gt;V156,MIN(Y156,T156)-V156,0),'תחום תמיכה ג'!$Q$2))</f>
        <v/>
      </c>
      <c r="AA156" s="259"/>
      <c r="AB156" s="260" t="str">
        <f t="shared" si="6"/>
        <v/>
      </c>
      <c r="AC156" s="261"/>
      <c r="AD156" s="180"/>
      <c r="AE156" s="13" t="str">
        <f>IF($C156="","",IFERROR(VLOOKUP($C156,גיליון1!$A:$E,2,0),"לא הגיש בקשה שוטפת"))</f>
        <v>אלמז שימור מורשת יהדות אתיופיה 2020</v>
      </c>
      <c r="AF156" s="13" t="str">
        <f>IF($C156="","",IFERROR(VLOOKUP($C156,גיליון1!$A:$E,3,0),"לא הגיש בקשה שוטפת"))</f>
        <v>טיוט</v>
      </c>
      <c r="AG156" s="13" t="str">
        <f>IF($C156="","",IFERROR(VLOOKUP($C156,גיליון1!$A:$E,4,0),"לא הגיש בקשה שוטפת"))</f>
        <v>19-42-02-14</v>
      </c>
      <c r="AH156" s="13" t="str">
        <f>IF($C156="","",IFERROR(VLOOKUP($C156,גיליון1!$A:$E,5,0),"לא הגיש בקשה שוטפת"))</f>
        <v>מחקר מורשת ואיגודים</v>
      </c>
      <c r="AI156" s="13">
        <f t="shared" si="7"/>
        <v>0</v>
      </c>
      <c r="AJ156"/>
      <c r="AK156" t="s">
        <v>7</v>
      </c>
    </row>
    <row r="157" spans="1:37" ht="29.25" x14ac:dyDescent="0.25">
      <c r="A157" s="54">
        <f>'הזנה לתנאי סף'!B157</f>
        <v>127</v>
      </c>
      <c r="B157" s="266">
        <f>IF($F157="","",'הזנה לתנאי סף'!C157)</f>
        <v>1001348952</v>
      </c>
      <c r="C157" s="266">
        <f>IF($F157="","",'הזנה לתנאי סף'!D157)</f>
        <v>1001263412</v>
      </c>
      <c r="D157" s="266">
        <f>IF($F157="","",'הזנה לתנאי סף'!E157)</f>
        <v>40374797</v>
      </c>
      <c r="E157" s="55">
        <f>IF($F157="","",'הזנה לתנאי סף'!F157)</f>
        <v>20000027</v>
      </c>
      <c r="F157" s="55" t="str">
        <f>IF('הזנה לתנאי סף'!BL157=1,'הזנה לתנאי סף'!G157,"")</f>
        <v>כפר שמריהו</v>
      </c>
      <c r="G157" s="55" t="str">
        <f>IF($F157="","",'הזנה לתנאי סף'!H157)</f>
        <v>בארוקדה</v>
      </c>
      <c r="H157" s="55" t="str">
        <f>IF($F157="","",'הזנה לתנאי סף'!I157)</f>
        <v>מוסיקה-גופים כליים</v>
      </c>
      <c r="I157" s="187">
        <f>IF($F157="","",'הזנה לתנאי סף'!R157)</f>
        <v>1690820</v>
      </c>
      <c r="J157" s="187">
        <f>IF($F157="","",'תחום תמיכה א'!P157)</f>
        <v>1465119</v>
      </c>
      <c r="K157" s="177">
        <f>IF($F157="","",'הזנה לתנאי סף'!N157)</f>
        <v>0</v>
      </c>
      <c r="L157" s="177">
        <f>IF($F157="","",'הזנה לתנאי סף'!O157)</f>
        <v>1</v>
      </c>
      <c r="M157" s="177">
        <f>IF($F157="","",'הזנה לתנאי סף'!Q157)</f>
        <v>1</v>
      </c>
      <c r="N157" s="187">
        <f>IF($F157="","",'תחום תמיכה א'!AE157)</f>
        <v>56843.712358373625</v>
      </c>
      <c r="O157" s="178"/>
      <c r="P157" s="187">
        <f>IF($F157="","",'תחום תמיכה ב'!AC157)</f>
        <v>130217.65212225412</v>
      </c>
      <c r="Q157" s="187">
        <f>IF($F157="","",IF('תחום תמיכה ג'!O157="",0,'תחום תמיכה ג'!O157))</f>
        <v>0</v>
      </c>
      <c r="R157" s="187">
        <f t="shared" si="4"/>
        <v>3904.5831023781648</v>
      </c>
      <c r="S157" s="187">
        <f>IF($F157="","",'תחום תמיכה ב'!AE157)</f>
        <v>134122.23522463228</v>
      </c>
      <c r="T157" s="187">
        <f>IF($F157="","",IF(Q157='תחום תמיכה ג'!$Q$2,'תחום תמיכה ג'!$Q$2,IFERROR(SUMIF(N157:R157,"&gt;0"),'תחום תמיכה ג'!$Q$2)))</f>
        <v>190965.94758300594</v>
      </c>
      <c r="U157" s="187">
        <f>IF($F157="","",'הזנה לתנאי סף'!Y157)</f>
        <v>350000</v>
      </c>
      <c r="V157" s="269">
        <f>IF(F157="","",'הגבלה לסכום מבוקש '!AA157)</f>
        <v>213293.6444292902</v>
      </c>
      <c r="W157" s="187">
        <f t="shared" si="5"/>
        <v>53323.41110732255</v>
      </c>
      <c r="X157" s="187">
        <f>IF(F157="","",'הזנה לתנאי סף'!Z157)</f>
        <v>350000</v>
      </c>
      <c r="Y157" s="237" t="str">
        <f>IFERROR(VLOOKUP(G157*1,#REF!,3,0),"")</f>
        <v/>
      </c>
      <c r="Z157" s="187" t="str">
        <f>IF(OR($F157="",Y157=""),"",IFERROR(IF(Y157&gt;V157,MIN(Y157,T157)-V157,0),'תחום תמיכה ג'!$Q$2))</f>
        <v/>
      </c>
      <c r="AA157" s="259"/>
      <c r="AB157" s="260" t="str">
        <f t="shared" si="6"/>
        <v/>
      </c>
      <c r="AC157" s="261"/>
      <c r="AD157" s="180"/>
      <c r="AE157" s="13" t="str">
        <f>IF($C157="","",IFERROR(VLOOKUP($C157,גיליון1!$A:$E,2,0),"לא הגיש בקשה שוטפת"))</f>
        <v>תמיכה שוטפת - בארוקדה</v>
      </c>
      <c r="AF157" s="13" t="str">
        <f>IF($C157="","",IFERROR(VLOOKUP($C157,גיליון1!$A:$E,3,0),"לא הגיש בקשה שוטפת"))</f>
        <v>חויב</v>
      </c>
      <c r="AG157" s="13" t="str">
        <f>IF($C157="","",IFERROR(VLOOKUP($C157,גיליון1!$A:$E,4,0),"לא הגיש בקשה שוטפת"))</f>
        <v>19-42-02-16</v>
      </c>
      <c r="AH157" s="13" t="str">
        <f>IF($C157="","",IFERROR(VLOOKUP($C157,גיליון1!$A:$E,5,0),"לא הגיש בקשה שוטפת"))</f>
        <v>מוסיקה</v>
      </c>
      <c r="AI157" s="13">
        <f t="shared" si="7"/>
        <v>0</v>
      </c>
      <c r="AJ157"/>
      <c r="AK157" t="s">
        <v>10</v>
      </c>
    </row>
    <row r="158" spans="1:37" ht="57.75" x14ac:dyDescent="0.25">
      <c r="A158" s="54">
        <f>'הזנה לתנאי סף'!B158</f>
        <v>128</v>
      </c>
      <c r="B158" s="266">
        <f>IF($F158="","",'הזנה לתנאי סף'!C158)</f>
        <v>1001349365</v>
      </c>
      <c r="C158" s="266">
        <f>IF($F158="","",'הזנה לתנאי סף'!D158)</f>
        <v>1001290811</v>
      </c>
      <c r="D158" s="266">
        <f>IF($F158="","",'הזנה לתנאי סף'!E158)</f>
        <v>40984631</v>
      </c>
      <c r="E158" s="55">
        <f>IF($F158="","",'הזנה לתנאי סף'!F158)</f>
        <v>20000201</v>
      </c>
      <c r="F158" s="55" t="str">
        <f>IF('הזנה לתנאי סף'!BL158=1,'הזנה לתנאי סף'!G158,"")</f>
        <v>תל אביב -יפו</v>
      </c>
      <c r="G158" s="55" t="str">
        <f>IF($F158="","",'הזנה לתנאי סף'!H158)</f>
        <v>תמיד - תרבות מוסיקלית יהודית</v>
      </c>
      <c r="H158" s="55" t="str">
        <f>IF($F158="","",'הזנה לתנאי סף'!I158)</f>
        <v>אחר</v>
      </c>
      <c r="I158" s="187">
        <f>IF($F158="","",'הזנה לתנאי סף'!R158)</f>
        <v>398094</v>
      </c>
      <c r="J158" s="187">
        <f>IF($F158="","",'תחום תמיכה א'!P158)</f>
        <v>398094</v>
      </c>
      <c r="K158" s="177">
        <f>IF($F158="","",'הזנה לתנאי סף'!N158)</f>
        <v>0</v>
      </c>
      <c r="L158" s="177">
        <f>IF($F158="","",'הזנה לתנאי סף'!O158)</f>
        <v>1</v>
      </c>
      <c r="M158" s="177">
        <f>IF($F158="","",'הזנה לתנאי סף'!Q158)</f>
        <v>1</v>
      </c>
      <c r="N158" s="187">
        <f>IF($F158="","",'תחום תמיכה א'!AE158)</f>
        <v>21761.610277951582</v>
      </c>
      <c r="O158" s="178"/>
      <c r="P158" s="187">
        <f>IF($F158="","",'תחום תמיכה ב'!AC158)</f>
        <v>67850.626657570159</v>
      </c>
      <c r="Q158" s="187">
        <f>IF($F158="","",IF('תחום תמיכה ג'!O158="",0,'תחום תמיכה ג'!O158))</f>
        <v>0</v>
      </c>
      <c r="R158" s="187">
        <f t="shared" si="4"/>
        <v>2034.5045853245101</v>
      </c>
      <c r="S158" s="187">
        <f>IF($F158="","",'תחום תמיכה ב'!AE158)</f>
        <v>69885.131242894669</v>
      </c>
      <c r="T158" s="187">
        <f>IF($F158="","",IF(Q158='תחום תמיכה ג'!$Q$2,'תחום תמיכה ג'!$Q$2,IFERROR(SUMIF(N158:R158,"&gt;0"),'תחום תמיכה ג'!$Q$2)))</f>
        <v>91646.741520846248</v>
      </c>
      <c r="U158" s="187">
        <f>IF($F158="","",'הזנה לתנאי סף'!Y158)</f>
        <v>950000</v>
      </c>
      <c r="V158" s="269">
        <f>IF(F158="","",'הגבלה לסכום מבוקש '!AA158)</f>
        <v>103277.13369462865</v>
      </c>
      <c r="W158" s="187">
        <f t="shared" si="5"/>
        <v>25819.283423657162</v>
      </c>
      <c r="X158" s="187">
        <f>IF(F158="","",'הזנה לתנאי סף'!Z158)</f>
        <v>266000</v>
      </c>
      <c r="Y158" s="237" t="str">
        <f>IFERROR(VLOOKUP(G158*1,#REF!,3,0),"")</f>
        <v/>
      </c>
      <c r="Z158" s="187" t="str">
        <f>IF(OR($F158="",Y158=""),"",IFERROR(IF(Y158&gt;V158,MIN(Y158,T158)-V158,0),'תחום תמיכה ג'!$Q$2))</f>
        <v/>
      </c>
      <c r="AA158" s="259"/>
      <c r="AB158" s="260" t="str">
        <f t="shared" si="6"/>
        <v/>
      </c>
      <c r="AC158" s="261"/>
      <c r="AD158" s="180"/>
      <c r="AE158" s="13" t="str">
        <f>IF($C158="","",IFERROR(VLOOKUP($C158,גיליון1!$A:$E,2,0),"לא הגיש בקשה שוטפת"))</f>
        <v>תרבות בקהילה 2020</v>
      </c>
      <c r="AF158" s="13" t="str">
        <f>IF($C158="","",IFERROR(VLOOKUP($C158,גיליון1!$A:$E,3,0),"לא הגיש בקשה שוטפת"))</f>
        <v>בוטל</v>
      </c>
      <c r="AG158" s="13" t="str">
        <f>IF($C158="","",IFERROR(VLOOKUP($C158,גיליון1!$A:$E,4,0),"לא הגיש בקשה שוטפת"))</f>
        <v>19-42-02-31</v>
      </c>
      <c r="AH158" s="13" t="str">
        <f>IF($C158="","",IFERROR(VLOOKUP($C158,גיליון1!$A:$E,5,0),"לא הגיש בקשה שוטפת"))</f>
        <v>תרבות בקהילה תמיכה</v>
      </c>
      <c r="AI158" s="13">
        <f t="shared" si="7"/>
        <v>0</v>
      </c>
      <c r="AJ158"/>
      <c r="AK158" t="s">
        <v>62</v>
      </c>
    </row>
    <row r="159" spans="1:37" ht="15.75" x14ac:dyDescent="0.25">
      <c r="A159" s="54">
        <f>'הזנה לתנאי סף'!B159</f>
        <v>129</v>
      </c>
      <c r="B159" s="266">
        <f>IF($F159="","",'הזנה לתנאי סף'!C159)</f>
        <v>1001347325</v>
      </c>
      <c r="C159" s="266">
        <f>IF($F159="","",'הזנה לתנאי סף'!D159)</f>
        <v>1001270479</v>
      </c>
      <c r="D159" s="266">
        <f>IF($F159="","",'הזנה לתנאי סף'!E159)</f>
        <v>40384065</v>
      </c>
      <c r="E159" s="55">
        <f>IF($F159="","",'הזנה לתנאי סף'!F159)</f>
        <v>20000041</v>
      </c>
      <c r="F159" s="55" t="str">
        <f>IF('הזנה לתנאי סף'!BL159=1,'הזנה לתנאי סף'!G159,"")</f>
        <v>דייר אל-אסד</v>
      </c>
      <c r="G159" s="55" t="str">
        <f>IF($F159="","",'הזנה לתנאי סף'!H159)</f>
        <v>אל אסדי</v>
      </c>
      <c r="H159" s="55" t="str">
        <f>IF($F159="","",'הזנה לתנאי סף'!I159)</f>
        <v>אחר</v>
      </c>
      <c r="I159" s="187">
        <f>IF($F159="","",'הזנה לתנאי סף'!R159)</f>
        <v>1097822</v>
      </c>
      <c r="J159" s="187">
        <f>IF($F159="","",'תחום תמיכה א'!P159)</f>
        <v>1069833</v>
      </c>
      <c r="K159" s="177">
        <f>IF($F159="","",'הזנה לתנאי סף'!N159)</f>
        <v>0</v>
      </c>
      <c r="L159" s="177">
        <f>IF($F159="","",'הזנה לתנאי סף'!O159)</f>
        <v>1</v>
      </c>
      <c r="M159" s="177">
        <f>IF($F159="","",'הזנה לתנאי סף'!Q159)</f>
        <v>1</v>
      </c>
      <c r="N159" s="187">
        <f>IF($F159="","",'תחום תמיכה א'!AE159)</f>
        <v>32047.837368973102</v>
      </c>
      <c r="O159" s="178"/>
      <c r="P159" s="187">
        <f>IF($F159="","",'תחום תמיכה ב'!AC159)</f>
        <v>56189.458158991096</v>
      </c>
      <c r="Q159" s="187">
        <f>IF($F159="","",IF('תחום תמיכה ג'!O159="",0,'תחום תמיכה ג'!O159))</f>
        <v>0</v>
      </c>
      <c r="R159" s="187">
        <f t="shared" si="4"/>
        <v>1684.843838632587</v>
      </c>
      <c r="S159" s="187">
        <f>IF($F159="","",'תחום תמיכה ב'!AE159)</f>
        <v>57874.301997623683</v>
      </c>
      <c r="T159" s="187">
        <f>IF($F159="","",IF(Q159='תחום תמיכה ג'!$Q$2,'תחום תמיכה ג'!$Q$2,IFERROR(SUMIF(N159:R159,"&gt;0"),'תחום תמיכה ג'!$Q$2)))</f>
        <v>89922.139366596777</v>
      </c>
      <c r="U159" s="187">
        <f>IF($F159="","",'הזנה לתנאי סף'!Y159)</f>
        <v>500000</v>
      </c>
      <c r="V159" s="269">
        <f>IF(F159="","",'הגבלה לסכום מבוקש '!AA159)</f>
        <v>99560.057208821061</v>
      </c>
      <c r="W159" s="187">
        <f t="shared" si="5"/>
        <v>24890.014302205265</v>
      </c>
      <c r="X159" s="187">
        <f>IF(F159="","",'הזנה לתנאי סף'!Z159)</f>
        <v>500000</v>
      </c>
      <c r="Y159" s="237" t="str">
        <f>IFERROR(VLOOKUP(G159*1,#REF!,3,0),"")</f>
        <v/>
      </c>
      <c r="Z159" s="187" t="str">
        <f>IF(OR($F159="",Y159=""),"",IFERROR(IF(Y159&gt;V159,MIN(Y159,T159)-V159,0),'תחום תמיכה ג'!$Q$2))</f>
        <v/>
      </c>
      <c r="AA159" s="259"/>
      <c r="AB159" s="260" t="str">
        <f t="shared" si="6"/>
        <v/>
      </c>
      <c r="AC159" s="261"/>
      <c r="AD159" s="180"/>
      <c r="AE159" s="13" t="str">
        <f>IF($C159="","",IFERROR(VLOOKUP($C159,גיליון1!$A:$E,2,0),"לא הגיש בקשה שוטפת"))</f>
        <v>בקשת תמיכה לפעילות השוטפת</v>
      </c>
      <c r="AF159" s="13" t="str">
        <f>IF($C159="","",IFERROR(VLOOKUP($C159,גיליון1!$A:$E,3,0),"לא הגיש בקשה שוטפת"))</f>
        <v>מועד</v>
      </c>
      <c r="AG159" s="13" t="str">
        <f>IF($C159="","",IFERROR(VLOOKUP($C159,גיליון1!$A:$E,4,0),"לא הגיש בקשה שוטפת"))</f>
        <v>19-42-02-33</v>
      </c>
      <c r="AH159" s="13" t="str">
        <f>IF($C159="","",IFERROR(VLOOKUP($C159,גיליון1!$A:$E,5,0),"לא הגיש בקשה שוטפת"))</f>
        <v>תרבות ערבית ודרוזית</v>
      </c>
      <c r="AI159" s="13">
        <f t="shared" si="7"/>
        <v>0</v>
      </c>
      <c r="AJ159"/>
      <c r="AK159" t="s">
        <v>17</v>
      </c>
    </row>
    <row r="160" spans="1:37" ht="43.5" x14ac:dyDescent="0.25">
      <c r="A160" s="54">
        <f>'הזנה לתנאי סף'!B160</f>
        <v>130</v>
      </c>
      <c r="B160" s="266">
        <f>IF($F160="","",'הזנה לתנאי סף'!C160)</f>
        <v>1001350318</v>
      </c>
      <c r="C160" s="266">
        <f>IF($F160="","",'הזנה לתנאי סף'!D160)</f>
        <v>1001265106</v>
      </c>
      <c r="D160" s="266">
        <f>IF($F160="","",'הזנה לתנאי סף'!E160)</f>
        <v>40992259</v>
      </c>
      <c r="E160" s="55">
        <f>IF($F160="","",'הזנה לתנאי סף'!F160)</f>
        <v>20000201</v>
      </c>
      <c r="F160" s="55" t="str">
        <f>IF('הזנה לתנאי סף'!BL160=1,'הזנה לתנאי סף'!G160,"")</f>
        <v>תל אביב -יפו</v>
      </c>
      <c r="G160" s="55" t="str">
        <f>IF($F160="","",'הזנה לתנאי סף'!H160)</f>
        <v>גלרית תיאטרון החנות</v>
      </c>
      <c r="H160" s="55" t="str">
        <f>IF($F160="","",'הזנה לתנאי סף'!I160)</f>
        <v>קבוצות תיאטרון</v>
      </c>
      <c r="I160" s="187">
        <f>IF($F160="","",'הזנה לתנאי סף'!R160)</f>
        <v>674525</v>
      </c>
      <c r="J160" s="187">
        <f>IF($F160="","",'תחום תמיכה א'!P160)</f>
        <v>492762</v>
      </c>
      <c r="K160" s="177">
        <f>IF($F160="","",'הזנה לתנאי סף'!N160)</f>
        <v>1</v>
      </c>
      <c r="L160" s="177">
        <f>IF($F160="","",'הזנה לתנאי סף'!O160)</f>
        <v>1</v>
      </c>
      <c r="M160" s="177">
        <f>IF($F160="","",'הזנה לתנאי סף'!Q160)</f>
        <v>1</v>
      </c>
      <c r="N160" s="187">
        <f>IF($F160="","",'תחום תמיכה א'!AE160)</f>
        <v>15107.092774970064</v>
      </c>
      <c r="O160" s="178"/>
      <c r="P160" s="187">
        <f>IF($F160="","",'תחום תמיכה ב'!AC160)</f>
        <v>36161.20241817979</v>
      </c>
      <c r="Q160" s="187">
        <f>IF($F160="","",IF('תחום תמיכה ג'!O160="",0,'תחום תמיכה ג'!O160))</f>
        <v>15163.938764919019</v>
      </c>
      <c r="R160" s="187">
        <f t="shared" ref="R160:R223" si="8">IF($F160="","",IFERROR(S160-P160,""))</f>
        <v>1084.2955438264325</v>
      </c>
      <c r="S160" s="187">
        <f>IF($F160="","",'תחום תמיכה ב'!AE160)</f>
        <v>37245.497962006222</v>
      </c>
      <c r="T160" s="187">
        <f>IF($F160="","",IF(Q160='תחום תמיכה ג'!$Q$2,'תחום תמיכה ג'!$Q$2,IFERROR(SUMIF(N160:R160,"&gt;0"),'תחום תמיכה ג'!$Q$2)))</f>
        <v>67516.529501895304</v>
      </c>
      <c r="U160" s="187">
        <f>IF($F160="","",'הזנה לתנאי סף'!Y160)</f>
        <v>200000</v>
      </c>
      <c r="V160" s="269">
        <f>IF(F160="","",'הגבלה לסכום מבוקש '!AA160)</f>
        <v>73723.485530506718</v>
      </c>
      <c r="W160" s="187">
        <f t="shared" ref="W160:W223" si="9">IF(G160="","",V160/4)</f>
        <v>18430.871382626679</v>
      </c>
      <c r="X160" s="187">
        <f>IF(F160="","",'הזנה לתנאי סף'!Z160)</f>
        <v>1</v>
      </c>
      <c r="Y160" s="237" t="str">
        <f>IFERROR(VLOOKUP(G160*1,#REF!,3,0),"")</f>
        <v/>
      </c>
      <c r="Z160" s="187" t="str">
        <f>IF(OR($F160="",Y160=""),"",IFERROR(IF(Y160&gt;V160,MIN(Y160,T160)-V160,0),'תחום תמיכה ג'!$Q$2))</f>
        <v/>
      </c>
      <c r="AA160" s="259"/>
      <c r="AB160" s="260" t="str">
        <f t="shared" ref="AB160:AB223" si="10">Z160</f>
        <v/>
      </c>
      <c r="AC160" s="261"/>
      <c r="AD160" s="180"/>
      <c r="AE160" s="13" t="str">
        <f>IF($C160="","",IFERROR(VLOOKUP($C160,גיליון1!$A:$E,2,0),"לא הגיש בקשה שוטפת"))</f>
        <v>תמיכה בקבוצת תיאטרון החנות</v>
      </c>
      <c r="AF160" s="13" t="str">
        <f>IF($C160="","",IFERROR(VLOOKUP($C160,גיליון1!$A:$E,3,0),"לא הגיש בקשה שוטפת"))</f>
        <v>מועד</v>
      </c>
      <c r="AG160" s="13" t="str">
        <f>IF($C160="","",IFERROR(VLOOKUP($C160,גיליון1!$A:$E,4,0),"לא הגיש בקשה שוטפת"))</f>
        <v>19-42-02-07</v>
      </c>
      <c r="AH160" s="13" t="str">
        <f>IF($C160="","",IFERROR(VLOOKUP($C160,גיליון1!$A:$E,5,0),"לא הגיש בקשה שוטפת"))</f>
        <v>תיאטרון</v>
      </c>
      <c r="AI160" s="13">
        <f t="shared" ref="AI160:AI223" si="11">IF(T160&gt;U160,1,0)</f>
        <v>0</v>
      </c>
      <c r="AJ160"/>
      <c r="AK160" t="s">
        <v>28</v>
      </c>
    </row>
    <row r="161" spans="1:37" ht="29.25" x14ac:dyDescent="0.25">
      <c r="A161" s="54">
        <f>'הזנה לתנאי סף'!B161</f>
        <v>131</v>
      </c>
      <c r="B161" s="266">
        <f>IF($F161="","",'הזנה לתנאי סף'!C161)</f>
        <v>1001347256</v>
      </c>
      <c r="C161" s="266">
        <f>IF($F161="","",'הזנה לתנאי סף'!D161)</f>
        <v>1001268258</v>
      </c>
      <c r="D161" s="266">
        <f>IF($F161="","",'הזנה לתנאי סף'!E161)</f>
        <v>41484317</v>
      </c>
      <c r="E161" s="55">
        <f>IF($F161="","",'הזנה לתנאי סף'!F161)</f>
        <v>20000201</v>
      </c>
      <c r="F161" s="55" t="str">
        <f>IF('הזנה לתנאי סף'!BL161=1,'הזנה לתנאי סף'!G161,"")</f>
        <v>תל אביב -יפו</v>
      </c>
      <c r="G161" s="55" t="str">
        <f>IF($F161="","",'הזנה לתנאי סף'!H161)</f>
        <v>קידום נתיב אמן</v>
      </c>
      <c r="H161" s="55" t="str">
        <f>IF($F161="","",'הזנה לתנאי סף'!I161)</f>
        <v>מרכזי פרינג'</v>
      </c>
      <c r="I161" s="187">
        <f>IF($F161="","",'הזנה לתנאי סף'!R161)</f>
        <v>493002</v>
      </c>
      <c r="J161" s="187">
        <f>IF($F161="","",'תחום תמיכה א'!P161)</f>
        <v>493002</v>
      </c>
      <c r="K161" s="177">
        <f>IF($F161="","",'הזנה לתנאי סף'!N161)</f>
        <v>0</v>
      </c>
      <c r="L161" s="177">
        <f>IF($F161="","",'הזנה לתנאי סף'!O161)</f>
        <v>1</v>
      </c>
      <c r="M161" s="177">
        <f>IF($F161="","",'הזנה לתנאי סף'!Q161)</f>
        <v>1</v>
      </c>
      <c r="N161" s="187">
        <f>IF($F161="","",'תחום תמיכה א'!AE161)</f>
        <v>26949.708838240931</v>
      </c>
      <c r="O161" s="178"/>
      <c r="P161" s="187">
        <f>IF($F161="","",'תחום תמיכה ב'!AC161)</f>
        <v>84026.623469420301</v>
      </c>
      <c r="Q161" s="187">
        <f>IF($F161="","",IF('תחום תמיכה ג'!O161="",0,'תחום תמיכה ג'!O161))</f>
        <v>0</v>
      </c>
      <c r="R161" s="187">
        <f t="shared" si="8"/>
        <v>2519.5426948764652</v>
      </c>
      <c r="S161" s="187">
        <f>IF($F161="","",'תחום תמיכה ב'!AE161)</f>
        <v>86546.166164296767</v>
      </c>
      <c r="T161" s="187">
        <f>IF($F161="","",IF(Q161='תחום תמיכה ג'!$Q$2,'תחום תמיכה ג'!$Q$2,IFERROR(SUMIF(N161:R161,"&gt;0"),'תחום תמיכה ג'!$Q$2)))</f>
        <v>113495.87500253769</v>
      </c>
      <c r="U161" s="187">
        <f>IF($F161="","",'הזנה לתנאי סף'!Y161)</f>
        <v>1000000</v>
      </c>
      <c r="V161" s="269">
        <f>IF(F161="","",'הגבלה לסכום מבוקש '!AA161)</f>
        <v>127899.02250654192</v>
      </c>
      <c r="W161" s="187">
        <f t="shared" si="9"/>
        <v>31974.75562663548</v>
      </c>
      <c r="X161" s="187">
        <f>IF(F161="","",'הזנה לתנאי סף'!Z161)</f>
        <v>200000</v>
      </c>
      <c r="Y161" s="237" t="str">
        <f>IFERROR(VLOOKUP(G161*1,#REF!,3,0),"")</f>
        <v/>
      </c>
      <c r="Z161" s="187" t="str">
        <f>IF(OR($F161="",Y161=""),"",IFERROR(IF(Y161&gt;V161,MIN(Y161,T161)-V161,0),'תחום תמיכה ג'!$Q$2))</f>
        <v/>
      </c>
      <c r="AA161" s="259"/>
      <c r="AB161" s="260" t="str">
        <f t="shared" si="10"/>
        <v/>
      </c>
      <c r="AC161" s="261"/>
      <c r="AD161" s="180"/>
      <c r="AE161" s="13" t="str">
        <f>IF($C161="","",IFERROR(VLOOKUP($C161,גיליון1!$A:$E,2,0),"לא הגיש בקשה שוטפת"))</f>
        <v>תיאטרון הבית - מרכז פרינג'</v>
      </c>
      <c r="AF161" s="13" t="str">
        <f>IF($C161="","",IFERROR(VLOOKUP($C161,גיליון1!$A:$E,3,0),"לא הגיש בקשה שוטפת"))</f>
        <v>מועד</v>
      </c>
      <c r="AG161" s="13" t="str">
        <f>IF($C161="","",IFERROR(VLOOKUP($C161,גיליון1!$A:$E,4,0),"לא הגיש בקשה שוטפת"))</f>
        <v>19-42-02-07</v>
      </c>
      <c r="AH161" s="13" t="str">
        <f>IF($C161="","",IFERROR(VLOOKUP($C161,גיליון1!$A:$E,5,0),"לא הגיש בקשה שוטפת"))</f>
        <v>תיאטרון</v>
      </c>
      <c r="AI161" s="13">
        <f t="shared" si="11"/>
        <v>0</v>
      </c>
      <c r="AJ161"/>
      <c r="AK161" t="s">
        <v>27</v>
      </c>
    </row>
    <row r="162" spans="1:37" ht="29.25" x14ac:dyDescent="0.25">
      <c r="A162" s="54">
        <f>'הזנה לתנאי סף'!B162</f>
        <v>132</v>
      </c>
      <c r="B162" s="266">
        <f>IF($F162="","",'הזנה לתנאי סף'!C162)</f>
        <v>1001350329</v>
      </c>
      <c r="C162" s="266">
        <f>IF($F162="","",'הזנה לתנאי סף'!D162)</f>
        <v>1001302334</v>
      </c>
      <c r="D162" s="266">
        <f>IF($F162="","",'הזנה לתנאי סף'!E162)</f>
        <v>41484318</v>
      </c>
      <c r="E162" s="55">
        <f>IF($F162="","",'הזנה לתנאי סף'!F162)</f>
        <v>20000182</v>
      </c>
      <c r="F162" s="55" t="str">
        <f>IF('הזנה לתנאי סף'!BL162=1,'הזנה לתנאי סף'!G162,"")</f>
        <v>חיפה</v>
      </c>
      <c r="G162" s="55" t="str">
        <f>IF($F162="","",'הזנה לתנאי סף'!H162)</f>
        <v>תיאטרון אלמג'ד</v>
      </c>
      <c r="H162" s="55" t="str">
        <f>IF($F162="","",'הזנה לתנאי סף'!I162)</f>
        <v>תיאטרון</v>
      </c>
      <c r="I162" s="187">
        <f>IF($F162="","",'הזנה לתנאי סף'!R162)</f>
        <v>796670</v>
      </c>
      <c r="J162" s="187">
        <f>IF($F162="","",'תחום תמיכה א'!P162)</f>
        <v>817876</v>
      </c>
      <c r="K162" s="177">
        <f>IF($F162="","",'הזנה לתנאי סף'!N162)</f>
        <v>0</v>
      </c>
      <c r="L162" s="177">
        <f>IF($F162="","",'הזנה לתנאי סף'!O162)</f>
        <v>1</v>
      </c>
      <c r="M162" s="177">
        <f>IF($F162="","",'הזנה לתנאי סף'!Q162)</f>
        <v>1</v>
      </c>
      <c r="N162" s="187">
        <f>IF($F162="","",'תחום תמיכה א'!AE162)</f>
        <v>21428.250740945077</v>
      </c>
      <c r="O162" s="178"/>
      <c r="P162" s="187">
        <f>IF($F162="","",'תחום תמיכה ב'!AC162)</f>
        <v>31191.367258634084</v>
      </c>
      <c r="Q162" s="187">
        <f>IF($F162="","",IF('תחום תמיכה ג'!O162="",0,'תחום תמיכה ג'!O162))</f>
        <v>0</v>
      </c>
      <c r="R162" s="187">
        <f t="shared" si="8"/>
        <v>935.27477690807063</v>
      </c>
      <c r="S162" s="187">
        <f>IF($F162="","",'תחום תמיכה ב'!AE162)</f>
        <v>32126.642035542154</v>
      </c>
      <c r="T162" s="187">
        <f>IF($F162="","",IF(Q162='תחום תמיכה ג'!$Q$2,'תחום תמיכה ג'!$Q$2,IFERROR(SUMIF(N162:R162,"&gt;0"),'תחום תמיכה ג'!$Q$2)))</f>
        <v>53554.892776487235</v>
      </c>
      <c r="U162" s="187">
        <f>IF($F162="","",'הזנה לתנאי סף'!Y162)</f>
        <v>1300000</v>
      </c>
      <c r="V162" s="269">
        <f>IF(F162="","",'הגבלה לסכום מבוקש '!AA162)</f>
        <v>58906.660268191619</v>
      </c>
      <c r="W162" s="187">
        <f t="shared" si="9"/>
        <v>14726.665067047905</v>
      </c>
      <c r="X162" s="187">
        <f>IF(F162="","",'הזנה לתנאי סף'!Z162)</f>
        <v>700000</v>
      </c>
      <c r="Y162" s="237" t="str">
        <f>IFERROR(VLOOKUP(G162*1,#REF!,3,0),"")</f>
        <v/>
      </c>
      <c r="Z162" s="187" t="str">
        <f>IF(OR($F162="",Y162=""),"",IFERROR(IF(Y162&gt;V162,MIN(Y162,T162)-V162,0),'תחום תמיכה ג'!$Q$2))</f>
        <v/>
      </c>
      <c r="AA162" s="259"/>
      <c r="AB162" s="260" t="str">
        <f t="shared" si="10"/>
        <v/>
      </c>
      <c r="AC162" s="261"/>
      <c r="AD162" s="180"/>
      <c r="AE162" s="13" t="str">
        <f>IF($C162="","",IFERROR(VLOOKUP($C162,גיליון1!$A:$E,2,0),"לא הגיש בקשה שוטפת"))</f>
        <v>3 הפקות מקוריות</v>
      </c>
      <c r="AF162" s="13" t="str">
        <f>IF($C162="","",IFERROR(VLOOKUP($C162,גיליון1!$A:$E,3,0),"לא הגיש בקשה שוטפת"))</f>
        <v>מועד</v>
      </c>
      <c r="AG162" s="13" t="str">
        <f>IF($C162="","",IFERROR(VLOOKUP($C162,גיליון1!$A:$E,4,0),"לא הגיש בקשה שוטפת"))</f>
        <v>19-42-02-33</v>
      </c>
      <c r="AH162" s="13" t="str">
        <f>IF($C162="","",IFERROR(VLOOKUP($C162,גיליון1!$A:$E,5,0),"לא הגיש בקשה שוטפת"))</f>
        <v>תרבות ערבית ודרוזית</v>
      </c>
      <c r="AI162" s="13">
        <f t="shared" si="11"/>
        <v>0</v>
      </c>
      <c r="AJ162"/>
      <c r="AK162" t="s">
        <v>47</v>
      </c>
    </row>
    <row r="163" spans="1:37" ht="29.25" x14ac:dyDescent="0.25">
      <c r="A163" s="54">
        <f>'הזנה לתנאי סף'!B163</f>
        <v>133</v>
      </c>
      <c r="B163" s="266">
        <f>IF($F163="","",'הזנה לתנאי סף'!C163)</f>
        <v>1001349802</v>
      </c>
      <c r="C163" s="266">
        <f>IF($F163="","",'הזנה לתנאי סף'!D163)</f>
        <v>1001290463</v>
      </c>
      <c r="D163" s="266">
        <f>IF($F163="","",'הזנה לתנאי סף'!E163)</f>
        <v>41484540</v>
      </c>
      <c r="E163" s="55">
        <f>IF($F163="","",'הזנה לתנאי סף'!F163)</f>
        <v>20000231</v>
      </c>
      <c r="F163" s="55" t="str">
        <f>IF('הזנה לתנאי סף'!BL163=1,'הזנה לתנאי סף'!G163,"")</f>
        <v>נצרת</v>
      </c>
      <c r="G163" s="55" t="str">
        <f>IF($F163="","",'הזנה לתנאי סף'!H163)</f>
        <v>להקת מחול ביסאן</v>
      </c>
      <c r="H163" s="55" t="str">
        <f>IF($F163="","",'הזנה לתנאי סף'!I163)</f>
        <v>מחול</v>
      </c>
      <c r="I163" s="187">
        <f>IF($F163="","",'הזנה לתנאי סף'!R163)</f>
        <v>421108</v>
      </c>
      <c r="J163" s="187">
        <f>IF($F163="","",'תחום תמיכה א'!P163)</f>
        <v>323521</v>
      </c>
      <c r="K163" s="177">
        <f>IF($F163="","",'הזנה לתנאי סף'!N163)</f>
        <v>0</v>
      </c>
      <c r="L163" s="177">
        <f>IF($F163="","",'הזנה לתנאי סף'!O163)</f>
        <v>1</v>
      </c>
      <c r="M163" s="177">
        <f>IF($F163="","",'הזנה לתנאי סף'!Q163)</f>
        <v>1</v>
      </c>
      <c r="N163" s="187">
        <f>IF($F163="","",'תחום תמיכה א'!AE163)</f>
        <v>14299.010561672767</v>
      </c>
      <c r="O163" s="178"/>
      <c r="P163" s="187">
        <f>IF($F163="","",'תחום תמיכה ב'!AC163)</f>
        <v>46919.994400213938</v>
      </c>
      <c r="Q163" s="187">
        <f>IF($F163="","",IF('תחום תמיכה ג'!O163="",0,'תחום תמיכה ג'!O163))</f>
        <v>0</v>
      </c>
      <c r="R163" s="187">
        <f t="shared" si="8"/>
        <v>1406.8984835232186</v>
      </c>
      <c r="S163" s="187">
        <f>IF($F163="","",'תחום תמיכה ב'!AE163)</f>
        <v>48326.892883737157</v>
      </c>
      <c r="T163" s="187">
        <f>IF($F163="","",IF(Q163='תחום תמיכה ג'!$Q$2,'תחום תמיכה ג'!$Q$2,IFERROR(SUMIF(N163:R163,"&gt;0"),'תחום תמיכה ג'!$Q$2)))</f>
        <v>62625.903445409924</v>
      </c>
      <c r="U163" s="187">
        <f>IF($F163="","",'הזנה לתנאי סף'!Y163)</f>
        <v>577897</v>
      </c>
      <c r="V163" s="269">
        <f>IF(F163="","",'הגבלה לסכום מבוקש '!AA163)</f>
        <v>70668.198788063048</v>
      </c>
      <c r="W163" s="187">
        <f t="shared" si="9"/>
        <v>17667.049697015762</v>
      </c>
      <c r="X163" s="187">
        <f>IF(F163="","",'הזנה לתנאי סף'!Z163)</f>
        <v>577897</v>
      </c>
      <c r="Y163" s="237" t="str">
        <f>IFERROR(VLOOKUP(G163*1,#REF!,3,0),"")</f>
        <v/>
      </c>
      <c r="Z163" s="187" t="str">
        <f>IF(OR($F163="",Y163=""),"",IFERROR(IF(Y163&gt;V163,MIN(Y163,T163)-V163,0),'תחום תמיכה ג'!$Q$2))</f>
        <v/>
      </c>
      <c r="AA163" s="259"/>
      <c r="AB163" s="260" t="str">
        <f t="shared" si="10"/>
        <v/>
      </c>
      <c r="AC163" s="261"/>
      <c r="AD163" s="180"/>
      <c r="AE163" s="13" t="str">
        <f>IF($C163="","",IFERROR(VLOOKUP($C163,גיליון1!$A:$E,2,0),"לא הגיש בקשה שוטפת"))</f>
        <v>תמיכה בלהקת המחול ביסאן לשנת 2020</v>
      </c>
      <c r="AF163" s="13" t="str">
        <f>IF($C163="","",IFERROR(VLOOKUP($C163,גיליון1!$A:$E,3,0),"לא הגיש בקשה שוטפת"))</f>
        <v>מועד</v>
      </c>
      <c r="AG163" s="13" t="str">
        <f>IF($C163="","",IFERROR(VLOOKUP($C163,גיליון1!$A:$E,4,0),"לא הגיש בקשה שוטפת"))</f>
        <v>19-42-02-33</v>
      </c>
      <c r="AH163" s="13" t="str">
        <f>IF($C163="","",IFERROR(VLOOKUP($C163,גיליון1!$A:$E,5,0),"לא הגיש בקשה שוטפת"))</f>
        <v>תרבות ערבית ודרוזית</v>
      </c>
      <c r="AI163" s="13">
        <f t="shared" si="11"/>
        <v>0</v>
      </c>
      <c r="AJ163"/>
      <c r="AK163" t="s">
        <v>53</v>
      </c>
    </row>
    <row r="164" spans="1:37" ht="86.25" x14ac:dyDescent="0.25">
      <c r="A164" s="54">
        <f>'הזנה לתנאי סף'!B164</f>
        <v>134</v>
      </c>
      <c r="B164" s="266">
        <f>IF($F164="","",'הזנה לתנאי סף'!C164)</f>
        <v>1001348957</v>
      </c>
      <c r="C164" s="266">
        <f>IF($F164="","",'הזנה לתנאי סף'!D164)</f>
        <v>1001274725</v>
      </c>
      <c r="D164" s="266">
        <f>IF($F164="","",'הזנה לתנאי סף'!E164)</f>
        <v>40993419</v>
      </c>
      <c r="E164" s="55">
        <f>IF($F164="","",'הזנה לתנאי סף'!F164)</f>
        <v>20000182</v>
      </c>
      <c r="F164" s="55" t="str">
        <f>IF('הזנה לתנאי סף'!BL164=1,'הזנה לתנאי סף'!G164,"")</f>
        <v>חיפה</v>
      </c>
      <c r="G164" s="55" t="str">
        <f>IF($F164="","",'הזנה לתנאי סף'!H164)</f>
        <v>התאטרון העברי - עמותה לטיפוח תרבות עברית</v>
      </c>
      <c r="H164" s="55" t="str">
        <f>IF($F164="","",'הזנה לתנאי סף'!I164)</f>
        <v>תיאטרון</v>
      </c>
      <c r="I164" s="187">
        <f>IF($F164="","",'הזנה לתנאי סף'!R164)</f>
        <v>6357068</v>
      </c>
      <c r="J164" s="187">
        <f>IF($F164="","",'תחום תמיכה א'!P164)</f>
        <v>6555106</v>
      </c>
      <c r="K164" s="177">
        <f>IF($F164="","",'הזנה לתנאי סף'!N164)</f>
        <v>0</v>
      </c>
      <c r="L164" s="177">
        <f>IF($F164="","",'הזנה לתנאי סף'!O164)</f>
        <v>1</v>
      </c>
      <c r="M164" s="177">
        <f>IF($F164="","",'הזנה לתנאי סף'!Q164)</f>
        <v>1</v>
      </c>
      <c r="N164" s="187">
        <f>IF($F164="","",'תחום תמיכה א'!AE164)</f>
        <v>321141.16212487465</v>
      </c>
      <c r="O164" s="178"/>
      <c r="P164" s="187">
        <f>IF($F164="","",'תחום תמיכה ב'!AC164)</f>
        <v>870255.56039761368</v>
      </c>
      <c r="Q164" s="187">
        <f>IF($F164="","",IF('תחום תמיכה ג'!O164="",0,'תחום תמיכה ג'!O164))</f>
        <v>0</v>
      </c>
      <c r="R164" s="187">
        <f t="shared" si="8"/>
        <v>26094.658446836169</v>
      </c>
      <c r="S164" s="187">
        <f>IF($F164="","",'תחום תמיכה ב'!AE164)</f>
        <v>896350.21884444985</v>
      </c>
      <c r="T164" s="187">
        <f>IF($F164="","",IF(Q164='תחום תמיכה ג'!$Q$2,'תחום תמיכה ג'!$Q$2,IFERROR(SUMIF(N164:R164,"&gt;0"),'תחום תמיכה ג'!$Q$2)))</f>
        <v>1217491.3809693246</v>
      </c>
      <c r="U164" s="187">
        <f>IF($F164="","",'הזנה לתנאי סף'!Y164)</f>
        <v>1118000</v>
      </c>
      <c r="V164" s="269">
        <f>IF(F164="","",'הגבלה לסכום מבוקש '!AA164)</f>
        <v>1118000</v>
      </c>
      <c r="W164" s="187">
        <f t="shared" si="9"/>
        <v>279500</v>
      </c>
      <c r="X164" s="187">
        <f>IF(F164="","",'הזנה לתנאי סף'!Z164)</f>
        <v>1000000</v>
      </c>
      <c r="Y164" s="237" t="str">
        <f>IFERROR(VLOOKUP(G164*1,#REF!,3,0),"")</f>
        <v/>
      </c>
      <c r="Z164" s="187" t="str">
        <f>IF(OR($F164="",Y164=""),"",IFERROR(IF(Y164&gt;V164,MIN(Y164,T164)-V164,0),'תחום תמיכה ג'!$Q$2))</f>
        <v/>
      </c>
      <c r="AA164" s="259"/>
      <c r="AB164" s="260" t="str">
        <f t="shared" si="10"/>
        <v/>
      </c>
      <c r="AC164" s="261"/>
      <c r="AD164" s="180"/>
      <c r="AE164" s="13" t="str">
        <f>IF($C164="","",IFERROR(VLOOKUP($C164,גיליון1!$A:$E,2,0),"לא הגיש בקשה שוטפת"))</f>
        <v>התיאטרון העברי - תמיכה שוטפת 2020</v>
      </c>
      <c r="AF164" s="13" t="str">
        <f>IF($C164="","",IFERROR(VLOOKUP($C164,גיליון1!$A:$E,3,0),"לא הגיש בקשה שוטפת"))</f>
        <v>חויב</v>
      </c>
      <c r="AG164" s="13" t="str">
        <f>IF($C164="","",IFERROR(VLOOKUP($C164,גיליון1!$A:$E,4,0),"לא הגיש בקשה שוטפת"))</f>
        <v>19-42-02-07</v>
      </c>
      <c r="AH164" s="13" t="str">
        <f>IF($C164="","",IFERROR(VLOOKUP($C164,גיליון1!$A:$E,5,0),"לא הגיש בקשה שוטפת"))</f>
        <v>תיאטרון</v>
      </c>
      <c r="AI164" s="13">
        <f t="shared" si="11"/>
        <v>1</v>
      </c>
      <c r="AJ164"/>
      <c r="AK164" t="s">
        <v>59</v>
      </c>
    </row>
    <row r="165" spans="1:37" ht="29.25" x14ac:dyDescent="0.25">
      <c r="A165" s="54">
        <f>'הזנה לתנאי סף'!B165</f>
        <v>135</v>
      </c>
      <c r="B165" s="266">
        <f>IF($F165="","",'הזנה לתנאי סף'!C165)</f>
        <v>1001348221</v>
      </c>
      <c r="C165" s="266">
        <f>IF($F165="","",'הזנה לתנאי סף'!D165)</f>
        <v>1001269209</v>
      </c>
      <c r="D165" s="266">
        <f>IF($F165="","",'הזנה לתנאי סף'!E165)</f>
        <v>41489877</v>
      </c>
      <c r="E165" s="55">
        <f>IF($F165="","",'הזנה לתנאי סף'!F165)</f>
        <v>20000201</v>
      </c>
      <c r="F165" s="55" t="str">
        <f>IF('הזנה לתנאי סף'!BL165=1,'הזנה לתנאי סף'!G165,"")</f>
        <v>תל אביב -יפו</v>
      </c>
      <c r="G165" s="55" t="str">
        <f>IF($F165="","",'הזנה לתנאי סף'!H165)</f>
        <v>עמותת רננה רז</v>
      </c>
      <c r="H165" s="55" t="str">
        <f>IF($F165="","",'הזנה לתנאי סף'!I165)</f>
        <v>מחול</v>
      </c>
      <c r="I165" s="187">
        <f>IF($F165="","",'הזנה לתנאי סף'!R165)</f>
        <v>805850</v>
      </c>
      <c r="J165" s="187">
        <f>IF($F165="","",'תחום תמיכה א'!P165)</f>
        <v>746643</v>
      </c>
      <c r="K165" s="177">
        <f>IF($F165="","",'הזנה לתנאי סף'!N165)</f>
        <v>1</v>
      </c>
      <c r="L165" s="177">
        <f>IF($F165="","",'הזנה לתנאי סף'!O165)</f>
        <v>1</v>
      </c>
      <c r="M165" s="177">
        <f>IF($F165="","",'הזנה לתנאי סף'!Q165)</f>
        <v>1</v>
      </c>
      <c r="N165" s="187">
        <f>IF($F165="","",'תחום תמיכה א'!AE165)</f>
        <v>32239.668381881042</v>
      </c>
      <c r="O165" s="178"/>
      <c r="P165" s="187">
        <f>IF($F165="","",'תחום תמיכה ב'!AC165)</f>
        <v>70708.114227196522</v>
      </c>
      <c r="Q165" s="187">
        <f>IF($F165="","",IF('תחום תמיכה ג'!O165="",0,'תחום תמיכה ג'!O165))</f>
        <v>29650.936435262436</v>
      </c>
      <c r="R165" s="187">
        <f t="shared" si="8"/>
        <v>2120.1864993951458</v>
      </c>
      <c r="S165" s="187">
        <f>IF($F165="","",'תחום תמיכה ב'!AE165)</f>
        <v>72828.300726591668</v>
      </c>
      <c r="T165" s="187">
        <f>IF($F165="","",IF(Q165='תחום תמיכה ג'!$Q$2,'תחום תמיכה ג'!$Q$2,IFERROR(SUMIF(N165:R165,"&gt;0"),'תחום תמיכה ג'!$Q$2)))</f>
        <v>134718.90554373513</v>
      </c>
      <c r="U165" s="187">
        <f>IF($F165="","",'הזנה לתנאי סף'!Y165)</f>
        <v>500000</v>
      </c>
      <c r="V165" s="269">
        <f>IF(F165="","",'הגבלה לסכום מבוקש '!AA165)</f>
        <v>146856.95905289572</v>
      </c>
      <c r="W165" s="187">
        <f t="shared" si="9"/>
        <v>36714.23976322393</v>
      </c>
      <c r="X165" s="187">
        <f>IF(F165="","",'הזנה לתנאי סף'!Z165)</f>
        <v>100000</v>
      </c>
      <c r="Y165" s="237" t="str">
        <f>IFERROR(VLOOKUP(G165*1,#REF!,3,0),"")</f>
        <v/>
      </c>
      <c r="Z165" s="187" t="str">
        <f>IF(OR($F165="",Y165=""),"",IFERROR(IF(Y165&gt;V165,MIN(Y165,T165)-V165,0),'תחום תמיכה ג'!$Q$2))</f>
        <v/>
      </c>
      <c r="AA165" s="259"/>
      <c r="AB165" s="260" t="str">
        <f t="shared" si="10"/>
        <v/>
      </c>
      <c r="AC165" s="261"/>
      <c r="AD165" s="180"/>
      <c r="AE165" s="13" t="str">
        <f>IF($C165="","",IFERROR(VLOOKUP($C165,גיליון1!$A:$E,2,0),"לא הגיש בקשה שוטפת"))</f>
        <v>תמיכה ביוצרים</v>
      </c>
      <c r="AF165" s="13" t="str">
        <f>IF($C165="","",IFERROR(VLOOKUP($C165,גיליון1!$A:$E,3,0),"לא הגיש בקשה שוטפת"))</f>
        <v>חויב</v>
      </c>
      <c r="AG165" s="13" t="str">
        <f>IF($C165="","",IFERROR(VLOOKUP($C165,גיליון1!$A:$E,4,0),"לא הגיש בקשה שוטפת"))</f>
        <v>19-42-02-20</v>
      </c>
      <c r="AH165" s="13" t="str">
        <f>IF($C165="","",IFERROR(VLOOKUP($C165,גיליון1!$A:$E,5,0),"לא הגיש בקשה שוטפת"))</f>
        <v>מחול וארגוני גג</v>
      </c>
      <c r="AI165" s="13">
        <f t="shared" si="11"/>
        <v>0</v>
      </c>
      <c r="AJ165"/>
      <c r="AK165" t="s">
        <v>61</v>
      </c>
    </row>
    <row r="166" spans="1:37" ht="29.25" x14ac:dyDescent="0.25">
      <c r="A166" s="54">
        <f>'הזנה לתנאי סף'!B166</f>
        <v>136</v>
      </c>
      <c r="B166" s="266">
        <f>IF($F166="","",'הזנה לתנאי סף'!C166)</f>
        <v>1001347308</v>
      </c>
      <c r="C166" s="266">
        <f>IF($F166="","",'הזנה לתנאי סף'!D166)</f>
        <v>1001271799</v>
      </c>
      <c r="D166" s="266">
        <f>IF($F166="","",'הזנה לתנאי סף'!E166)</f>
        <v>40221577</v>
      </c>
      <c r="E166" s="55">
        <f>IF($F166="","",'הזנה לתנאי סף'!F166)</f>
        <v>20000159</v>
      </c>
      <c r="F166" s="55" t="str">
        <f>IF('הזנה לתנאי סף'!BL166=1,'הזנה לתנאי סף'!G166,"")</f>
        <v>ירושלים</v>
      </c>
      <c r="G166" s="55" t="str">
        <f>IF($F166="","",'הזנה לתנאי סף'!H166)</f>
        <v>בלט ירושלים</v>
      </c>
      <c r="H166" s="55" t="str">
        <f>IF($F166="","",'הזנה לתנאי סף'!I166)</f>
        <v>מחול</v>
      </c>
      <c r="I166" s="187">
        <f>IF($F166="","",'הזנה לתנאי סף'!R166)</f>
        <v>834289</v>
      </c>
      <c r="J166" s="187">
        <f>IF($F166="","",'תחום תמיכה א'!P166)</f>
        <v>787375</v>
      </c>
      <c r="K166" s="177">
        <f>IF($F166="","",'הזנה לתנאי סף'!N166)</f>
        <v>1</v>
      </c>
      <c r="L166" s="177">
        <f>IF($F166="","",'הזנה לתנאי סף'!O166)</f>
        <v>1</v>
      </c>
      <c r="M166" s="177">
        <f>IF($F166="","",'הזנה לתנאי סף'!Q166)</f>
        <v>1</v>
      </c>
      <c r="N166" s="187">
        <f>IF($F166="","",'תחום תמיכה א'!AE166)</f>
        <v>21737.746969333628</v>
      </c>
      <c r="O166" s="178"/>
      <c r="P166" s="187">
        <f>IF($F166="","",'תחום תמיכה ב'!AC166)</f>
        <v>36269.349921570654</v>
      </c>
      <c r="Q166" s="187">
        <f>IF($F166="","",IF('תחום תמיכה ג'!O166="",0,'תחום תמיכה ג'!O166))</f>
        <v>6269.8237772197335</v>
      </c>
      <c r="R166" s="187">
        <f t="shared" si="8"/>
        <v>1087.5383523659984</v>
      </c>
      <c r="S166" s="187">
        <f>IF($F166="","",'תחום תמיכה ב'!AE166)</f>
        <v>37356.888273936653</v>
      </c>
      <c r="T166" s="187">
        <f>IF($F166="","",IF(Q166='תחום תמיכה ג'!$Q$2,'תחום תמיכה ג'!$Q$2,IFERROR(SUMIF(N166:R166,"&gt;0"),'תחום תמיכה ג'!$Q$2)))</f>
        <v>65364.459020490016</v>
      </c>
      <c r="U166" s="187">
        <f>IF($F166="","",'הזנה לתנאי סף'!Y166)</f>
        <v>1408511</v>
      </c>
      <c r="V166" s="269">
        <f>IF(F166="","",'הגבלה לסכום מבוקש '!AA166)</f>
        <v>71588.906391052267</v>
      </c>
      <c r="W166" s="187">
        <f t="shared" si="9"/>
        <v>17897.226597763067</v>
      </c>
      <c r="X166" s="187">
        <f>IF(F166="","",'הזנה לתנאי סף'!Z166)</f>
        <v>900000</v>
      </c>
      <c r="Y166" s="237" t="str">
        <f>IFERROR(VLOOKUP(G166*1,#REF!,3,0),"")</f>
        <v/>
      </c>
      <c r="Z166" s="187" t="str">
        <f>IF(OR($F166="",Y166=""),"",IFERROR(IF(Y166&gt;V166,MIN(Y166,T166)-V166,0),'תחום תמיכה ג'!$Q$2))</f>
        <v/>
      </c>
      <c r="AA166" s="259"/>
      <c r="AB166" s="260" t="str">
        <f t="shared" si="10"/>
        <v/>
      </c>
      <c r="AC166" s="261"/>
      <c r="AD166" s="180"/>
      <c r="AE166" s="13" t="str">
        <f>IF($C166="","",IFERROR(VLOOKUP($C166,גיליון1!$A:$E,2,0),"לא הגיש בקשה שוטפת"))</f>
        <v>תמיכה ללהקה קטנה</v>
      </c>
      <c r="AF166" s="13" t="str">
        <f>IF($C166="","",IFERROR(VLOOKUP($C166,גיליון1!$A:$E,3,0),"לא הגיש בקשה שוטפת"))</f>
        <v>מועד</v>
      </c>
      <c r="AG166" s="13" t="str">
        <f>IF($C166="","",IFERROR(VLOOKUP($C166,גיליון1!$A:$E,4,0),"לא הגיש בקשה שוטפת"))</f>
        <v>19-42-02-20</v>
      </c>
      <c r="AH166" s="13" t="str">
        <f>IF($C166="","",IFERROR(VLOOKUP($C166,גיליון1!$A:$E,5,0),"לא הגיש בקשה שוטפת"))</f>
        <v>מחול וארגוני גג</v>
      </c>
      <c r="AI166" s="13">
        <f t="shared" si="11"/>
        <v>0</v>
      </c>
      <c r="AJ166"/>
      <c r="AK166" t="s">
        <v>63</v>
      </c>
    </row>
    <row r="167" spans="1:37" ht="43.5" x14ac:dyDescent="0.25">
      <c r="A167" s="54">
        <f>'הזנה לתנאי סף'!B167</f>
        <v>137</v>
      </c>
      <c r="B167" s="266">
        <f>IF($F167="","",'הזנה לתנאי סף'!C167)</f>
        <v>1001347068</v>
      </c>
      <c r="C167" s="266">
        <f>IF($F167="","",'הזנה לתנאי סף'!D167)</f>
        <v>1001265731</v>
      </c>
      <c r="D167" s="266">
        <f>IF($F167="","",'הזנה לתנאי סף'!E167)</f>
        <v>40000188</v>
      </c>
      <c r="E167" s="55">
        <f>IF($F167="","",'הזנה לתנאי סף'!F167)</f>
        <v>20000228</v>
      </c>
      <c r="F167" s="55" t="str">
        <f>IF('הזנה לתנאי סף'!BL167=1,'הזנה לתנאי סף'!G167,"")</f>
        <v>לוד</v>
      </c>
      <c r="G167" s="55" t="str">
        <f>IF($F167="","",'הזנה לתנאי סף'!H167)</f>
        <v>מכון הברמן למחקרי ספרות</v>
      </c>
      <c r="H167" s="55" t="str">
        <f>IF($F167="","",'הזנה לתנאי סף'!I167)</f>
        <v>אחר</v>
      </c>
      <c r="I167" s="187">
        <f>IF($F167="","",'הזנה לתנאי סף'!R167)</f>
        <v>349412</v>
      </c>
      <c r="J167" s="187">
        <f>IF($F167="","",'תחום תמיכה א'!P167)</f>
        <v>341655</v>
      </c>
      <c r="K167" s="177">
        <f>IF($F167="","",'הזנה לתנאי סף'!N167)</f>
        <v>0</v>
      </c>
      <c r="L167" s="177">
        <f>IF($F167="","",'הזנה לתנאי סף'!O167)</f>
        <v>1</v>
      </c>
      <c r="M167" s="177">
        <f>IF($F167="","",'הזנה לתנאי סף'!Q167)</f>
        <v>1</v>
      </c>
      <c r="N167" s="187">
        <f>IF($F167="","",'תחום תמיכה א'!AE167)</f>
        <v>5313.6650178830614</v>
      </c>
      <c r="O167" s="178"/>
      <c r="P167" s="187">
        <f>IF($F167="","",'תחום תמיכה ב'!AC167)</f>
        <v>4820.6770432587537</v>
      </c>
      <c r="Q167" s="187">
        <f>IF($F167="","",IF('תחום תמיכה ג'!O167="",0,'תחום תמיכה ג'!O167))</f>
        <v>0</v>
      </c>
      <c r="R167" s="187">
        <f t="shared" si="8"/>
        <v>144.54825300842276</v>
      </c>
      <c r="S167" s="187">
        <f>IF($F167="","",'תחום תמיכה ב'!AE167)</f>
        <v>4965.2252962671764</v>
      </c>
      <c r="T167" s="187">
        <f>IF($F167="","",IF(Q167='תחום תמיכה ג'!$Q$2,'תחום תמיכה ג'!$Q$2,IFERROR(SUMIF(N167:R167,"&gt;0"),'תחום תמיכה ג'!$Q$2)))</f>
        <v>10278.890314150238</v>
      </c>
      <c r="U167" s="187">
        <f>IF($F167="","",'הזנה לתנאי סף'!Y167)</f>
        <v>345000</v>
      </c>
      <c r="V167" s="269">
        <f>IF(F167="","",'הגבלה לסכום מבוקש '!AA167)</f>
        <v>11106.926285607302</v>
      </c>
      <c r="W167" s="187">
        <f t="shared" si="9"/>
        <v>2776.7315714018255</v>
      </c>
      <c r="X167" s="187">
        <f>IF(F167="","",'הזנה לתנאי סף'!Z167)</f>
        <v>345000</v>
      </c>
      <c r="Y167" s="237" t="str">
        <f>IFERROR(VLOOKUP(G167*1,#REF!,3,0),"")</f>
        <v/>
      </c>
      <c r="Z167" s="187" t="str">
        <f>IF(OR($F167="",Y167=""),"",IFERROR(IF(Y167&gt;V167,MIN(Y167,T167)-V167,0),'תחום תמיכה ג'!$Q$2))</f>
        <v/>
      </c>
      <c r="AA167" s="259"/>
      <c r="AB167" s="260" t="str">
        <f t="shared" si="10"/>
        <v/>
      </c>
      <c r="AC167" s="261"/>
      <c r="AD167" s="180"/>
      <c r="AE167" s="13" t="str">
        <f>IF($C167="","",IFERROR(VLOOKUP($C167,גיליון1!$A:$E,2,0),"לא הגיש בקשה שוטפת"))</f>
        <v>תמיכה שוטפת</v>
      </c>
      <c r="AF167" s="13" t="str">
        <f>IF($C167="","",IFERROR(VLOOKUP($C167,גיליון1!$A:$E,3,0),"לא הגיש בקשה שוטפת"))</f>
        <v>מועד</v>
      </c>
      <c r="AG167" s="13" t="str">
        <f>IF($C167="","",IFERROR(VLOOKUP($C167,גיליון1!$A:$E,4,0),"לא הגיש בקשה שוטפת"))</f>
        <v>19-42-02-14</v>
      </c>
      <c r="AH167" s="13" t="str">
        <f>IF($C167="","",IFERROR(VLOOKUP($C167,גיליון1!$A:$E,5,0),"לא הגיש בקשה שוטפת"))</f>
        <v>מחקר מורשת ואיגודים</v>
      </c>
      <c r="AI167" s="13">
        <f t="shared" si="11"/>
        <v>0</v>
      </c>
      <c r="AJ167"/>
      <c r="AK167" t="s">
        <v>65</v>
      </c>
    </row>
    <row r="168" spans="1:37" ht="57.75" x14ac:dyDescent="0.25">
      <c r="A168" s="54">
        <f>'הזנה לתנאי סף'!B168</f>
        <v>138</v>
      </c>
      <c r="B168" s="266">
        <f>IF($F168="","",'הזנה לתנאי סף'!C168)</f>
        <v>1001348953</v>
      </c>
      <c r="C168" s="266">
        <f>IF($F168="","",'הזנה לתנאי סף'!D168)</f>
        <v>1001277689</v>
      </c>
      <c r="D168" s="266">
        <f>IF($F168="","",'הזנה לתנאי סף'!E168)</f>
        <v>40821399</v>
      </c>
      <c r="E168" s="55">
        <f>IF($F168="","",'הזנה לתנאי סף'!F168)</f>
        <v>20000233</v>
      </c>
      <c r="F168" s="55" t="str">
        <f>IF('הזנה לתנאי סף'!BL168=1,'הזנה לתנאי סף'!G168,"")</f>
        <v>נתניה</v>
      </c>
      <c r="G168" s="55" t="str">
        <f>IF($F168="","",'הזנה לתנאי סף'!H168)</f>
        <v>תזמורת נתניה הקאמרית הקיבוצית</v>
      </c>
      <c r="H168" s="55" t="str">
        <f>IF($F168="","",'הזנה לתנאי סף'!I168)</f>
        <v>מוסיקה-גופים כליים</v>
      </c>
      <c r="I168" s="187">
        <f>IF($F168="","",'הזנה לתנאי סף'!R168)</f>
        <v>7965000</v>
      </c>
      <c r="J168" s="187">
        <f>IF($F168="","",'תחום תמיכה א'!P168)</f>
        <v>7421000</v>
      </c>
      <c r="K168" s="177">
        <f>IF($F168="","",'הזנה לתנאי סף'!N168)</f>
        <v>0</v>
      </c>
      <c r="L168" s="177">
        <f>IF($F168="","",'הזנה לתנאי סף'!O168)</f>
        <v>1</v>
      </c>
      <c r="M168" s="177">
        <f>IF($F168="","",'הזנה לתנאי סף'!Q168)</f>
        <v>1</v>
      </c>
      <c r="N168" s="187">
        <f>IF($F168="","",'תחום תמיכה א'!AE168)</f>
        <v>0</v>
      </c>
      <c r="O168" s="178"/>
      <c r="P168" s="187">
        <f>IF($F168="","",'תחום תמיכה ב'!AC168)</f>
        <v>0</v>
      </c>
      <c r="Q168" s="187">
        <f>IF($F168="","",IF('תחום תמיכה ג'!O168="",0,'תחום תמיכה ג'!O168))</f>
        <v>0</v>
      </c>
      <c r="R168" s="187">
        <f t="shared" si="8"/>
        <v>0</v>
      </c>
      <c r="S168" s="187">
        <f>IF($F168="","",'תחום תמיכה ב'!AE168)</f>
        <v>0</v>
      </c>
      <c r="T168" s="187">
        <f>IF($F168="","",IF(Q168='תחום תמיכה ג'!$Q$2,'תחום תמיכה ג'!$Q$2,IFERROR(SUMIF(N168:R168,"&gt;0"),'תחום תמיכה ג'!$Q$2)))</f>
        <v>0</v>
      </c>
      <c r="U168" s="187">
        <f>IF($F168="","",'הזנה לתנאי סף'!Y168)</f>
        <v>1000000</v>
      </c>
      <c r="V168" s="269">
        <f>IF(F168="","",'הגבלה לסכום מבוקש '!AA168)</f>
        <v>0</v>
      </c>
      <c r="W168" s="187">
        <f t="shared" si="9"/>
        <v>0</v>
      </c>
      <c r="X168" s="187">
        <f>IF(F168="","",'הזנה לתנאי סף'!Z168)</f>
        <v>1</v>
      </c>
      <c r="Y168" s="237" t="str">
        <f>IFERROR(VLOOKUP(G168*1,#REF!,3,0),"")</f>
        <v/>
      </c>
      <c r="Z168" s="187" t="str">
        <f>IF(OR($F168="",Y168=""),"",IFERROR(IF(Y168&gt;V168,MIN(Y168,T168)-V168,0),'תחום תמיכה ג'!$Q$2))</f>
        <v/>
      </c>
      <c r="AA168" s="259"/>
      <c r="AB168" s="260" t="str">
        <f t="shared" si="10"/>
        <v/>
      </c>
      <c r="AC168" s="261"/>
      <c r="AD168" s="180"/>
      <c r="AE168" s="13" t="str">
        <f>IF($C168="","",IFERROR(VLOOKUP($C168,גיליון1!$A:$E,2,0),"לא הגיש בקשה שוטפת"))</f>
        <v>בקשת תמיכה לפי סעיף 3 א</v>
      </c>
      <c r="AF168" s="13" t="str">
        <f>IF($C168="","",IFERROR(VLOOKUP($C168,גיליון1!$A:$E,3,0),"לא הגיש בקשה שוטפת"))</f>
        <v>חויב</v>
      </c>
      <c r="AG168" s="13" t="str">
        <f>IF($C168="","",IFERROR(VLOOKUP($C168,גיליון1!$A:$E,4,0),"לא הגיש בקשה שוטפת"))</f>
        <v>19-42-02-16</v>
      </c>
      <c r="AH168" s="13" t="str">
        <f>IF($C168="","",IFERROR(VLOOKUP($C168,גיליון1!$A:$E,5,0),"לא הגיש בקשה שוטפת"))</f>
        <v>מוסיקה</v>
      </c>
      <c r="AI168" s="13">
        <f t="shared" si="11"/>
        <v>0</v>
      </c>
      <c r="AJ168"/>
      <c r="AK168" t="s">
        <v>69</v>
      </c>
    </row>
    <row r="169" spans="1:37" ht="57.75" x14ac:dyDescent="0.25">
      <c r="A169" s="54">
        <f>'הזנה לתנאי סף'!B169</f>
        <v>139</v>
      </c>
      <c r="B169" s="266">
        <f>IF($F169="","",'הזנה לתנאי סף'!C169)</f>
        <v>1001347059</v>
      </c>
      <c r="C169" s="266">
        <f>IF($F169="","",'הזנה לתנאי סף'!D169)</f>
        <v>1001264877</v>
      </c>
      <c r="D169" s="266">
        <f>IF($F169="","",'הזנה לתנאי סף'!E169)</f>
        <v>41489885</v>
      </c>
      <c r="E169" s="55">
        <f>IF($F169="","",'הזנה לתנאי סף'!F169)</f>
        <v>20000201</v>
      </c>
      <c r="F169" s="55" t="str">
        <f>IF('הזנה לתנאי סף'!BL169=1,'הזנה לתנאי סף'!G169,"")</f>
        <v>תל אביב -יפו</v>
      </c>
      <c r="G169" s="55" t="str">
        <f>IF($F169="","",'הזנה לתנאי סף'!H169)</f>
        <v>עמותה למחול ואמניות ניב שינפלד</v>
      </c>
      <c r="H169" s="55" t="str">
        <f>IF($F169="","",'הזנה לתנאי סף'!I169)</f>
        <v>מחול</v>
      </c>
      <c r="I169" s="187">
        <f>IF($F169="","",'הזנה לתנאי סף'!R169)</f>
        <v>559889</v>
      </c>
      <c r="J169" s="187">
        <f>IF($F169="","",'תחום תמיכה א'!P169)</f>
        <v>608933</v>
      </c>
      <c r="K169" s="177">
        <f>IF($F169="","",'הזנה לתנאי סף'!N169)</f>
        <v>1</v>
      </c>
      <c r="L169" s="177">
        <f>IF($F169="","",'הזנה לתנאי סף'!O169)</f>
        <v>1</v>
      </c>
      <c r="M169" s="177">
        <f>IF($F169="","",'הזנה לתנאי סף'!Q169)</f>
        <v>1</v>
      </c>
      <c r="N169" s="187">
        <f>IF($F169="","",'תחום תמיכה א'!AE169)</f>
        <v>16397.701638120725</v>
      </c>
      <c r="O169" s="178"/>
      <c r="P169" s="187">
        <f>IF($F169="","",'תחום תמיכה ב'!AC169)</f>
        <v>22723.892757913723</v>
      </c>
      <c r="Q169" s="187">
        <f>IF($F169="","",IF('תחום תמיכה ג'!O169="",0,'תחום תמיכה ג'!O169))</f>
        <v>9529.1001194239452</v>
      </c>
      <c r="R169" s="187">
        <f t="shared" si="8"/>
        <v>681.37711160313484</v>
      </c>
      <c r="S169" s="187">
        <f>IF($F169="","",'תחום תמיכה ב'!AE169)</f>
        <v>23405.269869516858</v>
      </c>
      <c r="T169" s="187">
        <f>IF($F169="","",IF(Q169='תחום תמיכה ג'!$Q$2,'תחום תמיכה ג'!$Q$2,IFERROR(SUMIF(N169:R169,"&gt;0"),'תחום תמיכה ג'!$Q$2)))</f>
        <v>49332.071627061523</v>
      </c>
      <c r="U169" s="187">
        <f>IF($F169="","",'הזנה לתנאי סף'!Y169)</f>
        <v>130000</v>
      </c>
      <c r="V169" s="269">
        <f>IF(F169="","",'הגבלה לסכום מבוקש '!AA169)</f>
        <v>53235.699671450471</v>
      </c>
      <c r="W169" s="187">
        <f t="shared" si="9"/>
        <v>13308.924917862618</v>
      </c>
      <c r="X169" s="187">
        <f>IF(F169="","",'הזנה לתנאי סף'!Z169)</f>
        <v>1</v>
      </c>
      <c r="Y169" s="237" t="str">
        <f>IFERROR(VLOOKUP(G169*1,#REF!,3,0),"")</f>
        <v/>
      </c>
      <c r="Z169" s="187" t="str">
        <f>IF(OR($F169="",Y169=""),"",IFERROR(IF(Y169&gt;V169,MIN(Y169,T169)-V169,0),'תחום תמיכה ג'!$Q$2))</f>
        <v/>
      </c>
      <c r="AA169" s="259"/>
      <c r="AB169" s="260" t="str">
        <f t="shared" si="10"/>
        <v/>
      </c>
      <c r="AC169" s="261"/>
      <c r="AD169" s="180"/>
      <c r="AE169" s="13" t="str">
        <f>IF($C169="","",IFERROR(VLOOKUP($C169,גיליון1!$A:$E,2,0),"לא הגיש בקשה שוטפת"))</f>
        <v>תמיכה ביוצרים ניב שינפלד ואורן לאור</v>
      </c>
      <c r="AF169" s="13" t="str">
        <f>IF($C169="","",IFERROR(VLOOKUP($C169,גיליון1!$A:$E,3,0),"לא הגיש בקשה שוטפת"))</f>
        <v>חויב</v>
      </c>
      <c r="AG169" s="13" t="str">
        <f>IF($C169="","",IFERROR(VLOOKUP($C169,גיליון1!$A:$E,4,0),"לא הגיש בקשה שוטפת"))</f>
        <v>19-42-02-20</v>
      </c>
      <c r="AH169" s="13" t="str">
        <f>IF($C169="","",IFERROR(VLOOKUP($C169,גיליון1!$A:$E,5,0),"לא הגיש בקשה שוטפת"))</f>
        <v>מחול וארגוני גג</v>
      </c>
      <c r="AI169" s="13">
        <f t="shared" si="11"/>
        <v>0</v>
      </c>
      <c r="AJ169"/>
      <c r="AK169" t="s">
        <v>89</v>
      </c>
    </row>
    <row r="170" spans="1:37" ht="57.75" x14ac:dyDescent="0.25">
      <c r="A170" s="54">
        <f>'הזנה לתנאי סף'!B170</f>
        <v>140</v>
      </c>
      <c r="B170" s="266">
        <f>IF($F170="","",'הזנה לתנאי סף'!C170)</f>
        <v>1001348829</v>
      </c>
      <c r="C170" s="266">
        <f>IF($F170="","",'הזנה לתנאי סף'!D170)</f>
        <v>1001270276</v>
      </c>
      <c r="D170" s="266">
        <f>IF($F170="","",'הזנה לתנאי סף'!E170)</f>
        <v>41489893</v>
      </c>
      <c r="E170" s="55">
        <f>IF($F170="","",'הזנה לתנאי סף'!F170)</f>
        <v>20000201</v>
      </c>
      <c r="F170" s="55" t="str">
        <f>IF('הזנה לתנאי סף'!BL170=1,'הזנה לתנאי סף'!G170,"")</f>
        <v>תל אביב -יפו</v>
      </c>
      <c r="G170" s="55" t="str">
        <f>IF($F170="","",'הזנה לתנאי סף'!H170)</f>
        <v>תאטרון מחול יוסי ברג ועודד גרף</v>
      </c>
      <c r="H170" s="55" t="str">
        <f>IF($F170="","",'הזנה לתנאי סף'!I170)</f>
        <v>אחר</v>
      </c>
      <c r="I170" s="187">
        <f>IF($F170="","",'הזנה לתנאי סף'!R170)</f>
        <v>442617</v>
      </c>
      <c r="J170" s="187">
        <f>IF($F170="","",'תחום תמיכה א'!P170)</f>
        <v>367410</v>
      </c>
      <c r="K170" s="177">
        <f>IF($F170="","",'הזנה לתנאי סף'!N170)</f>
        <v>1</v>
      </c>
      <c r="L170" s="177">
        <f>IF($F170="","",'הזנה לתנאי סף'!O170)</f>
        <v>1</v>
      </c>
      <c r="M170" s="177">
        <f>IF($F170="","",'הזנה לתנאי סף'!Q170)</f>
        <v>1</v>
      </c>
      <c r="N170" s="187">
        <f>IF($F170="","",'תחום תמיכה א'!AE170)</f>
        <v>11556.006362396072</v>
      </c>
      <c r="O170" s="178"/>
      <c r="P170" s="187">
        <f>IF($F170="","",'תחום תמיכה ב'!AC170)</f>
        <v>22326.844596220933</v>
      </c>
      <c r="Q170" s="187">
        <f>IF($F170="","",IF('תחום תמיכה ג'!O170="",0,'תחום תמיכה ג'!O170))</f>
        <v>9362.6008437359706</v>
      </c>
      <c r="R170" s="187">
        <f t="shared" si="8"/>
        <v>669.47160173016891</v>
      </c>
      <c r="S170" s="187">
        <f>IF($F170="","",'תחום תמיכה ב'!AE170)</f>
        <v>22996.316197951102</v>
      </c>
      <c r="T170" s="187">
        <f>IF($F170="","",IF(Q170='תחום תמיכה ג'!$Q$2,'תחום תמיכה ג'!$Q$2,IFERROR(SUMIF(N170:R170,"&gt;0"),'תחום תמיכה ג'!$Q$2)))</f>
        <v>43914.923404083143</v>
      </c>
      <c r="U170" s="187">
        <f>IF($F170="","",'הזנה לתנאי סף'!Y170)</f>
        <v>200000</v>
      </c>
      <c r="V170" s="269">
        <f>IF(F170="","",'הגבלה לסכום מבוקש '!AA170)</f>
        <v>47748.270362842435</v>
      </c>
      <c r="W170" s="187">
        <f t="shared" si="9"/>
        <v>11937.067590710609</v>
      </c>
      <c r="X170" s="187">
        <f>IF(F170="","",'הזנה לתנאי סף'!Z170)</f>
        <v>1</v>
      </c>
      <c r="Y170" s="237" t="str">
        <f>IFERROR(VLOOKUP(G170*1,#REF!,3,0),"")</f>
        <v/>
      </c>
      <c r="Z170" s="187" t="str">
        <f>IF(OR($F170="",Y170=""),"",IFERROR(IF(Y170&gt;V170,MIN(Y170,T170)-V170,0),'תחום תמיכה ג'!$Q$2))</f>
        <v/>
      </c>
      <c r="AA170" s="259"/>
      <c r="AB170" s="260" t="str">
        <f t="shared" si="10"/>
        <v/>
      </c>
      <c r="AC170" s="261"/>
      <c r="AD170" s="180"/>
      <c r="AE170" s="13" t="str">
        <f>IF($C170="","",IFERROR(VLOOKUP($C170,גיליון1!$A:$E,2,0),"לא הגיש בקשה שוטפת"))</f>
        <v>יוסי ועודד 2020 תמיכה שוטפת</v>
      </c>
      <c r="AF170" s="13" t="str">
        <f>IF($C170="","",IFERROR(VLOOKUP($C170,גיליון1!$A:$E,3,0),"לא הגיש בקשה שוטפת"))</f>
        <v>חויב</v>
      </c>
      <c r="AG170" s="13" t="str">
        <f>IF($C170="","",IFERROR(VLOOKUP($C170,גיליון1!$A:$E,4,0),"לא הגיש בקשה שוטפת"))</f>
        <v>19-42-02-20</v>
      </c>
      <c r="AH170" s="13" t="str">
        <f>IF($C170="","",IFERROR(VLOOKUP($C170,גיליון1!$A:$E,5,0),"לא הגיש בקשה שוטפת"))</f>
        <v>מחול וארגוני גג</v>
      </c>
      <c r="AI170" s="13">
        <f t="shared" si="11"/>
        <v>0</v>
      </c>
      <c r="AJ170"/>
      <c r="AK170" t="s">
        <v>91</v>
      </c>
    </row>
    <row r="171" spans="1:37" ht="57.75" x14ac:dyDescent="0.25">
      <c r="A171" s="54">
        <f>'הזנה לתנאי סף'!B171</f>
        <v>141</v>
      </c>
      <c r="B171" s="266">
        <f>IF($F171="","",'הזנה לתנאי סף'!C171)</f>
        <v>1001346762</v>
      </c>
      <c r="C171" s="266">
        <f>IF($F171="","",'הזנה לתנאי סף'!D171)</f>
        <v>1001274754</v>
      </c>
      <c r="D171" s="266">
        <f>IF($F171="","",'הזנה לתנאי סף'!E171)</f>
        <v>41512756</v>
      </c>
      <c r="E171" s="55">
        <f>IF($F171="","",'הזנה לתנאי סף'!F171)</f>
        <v>20000071</v>
      </c>
      <c r="F171" s="55" t="str">
        <f>IF('הזנה לתנאי סף'!BL171=1,'הזנה לתנאי סף'!G171,"")</f>
        <v>ריינה</v>
      </c>
      <c r="G171" s="55" t="str">
        <f>IF($F171="","",'הזנה לתנאי סף'!H171)</f>
        <v>מרכז על-קלעה לאומנויות הבמה</v>
      </c>
      <c r="H171" s="55" t="str">
        <f>IF($F171="","",'הזנה לתנאי סף'!I171)</f>
        <v>אחר</v>
      </c>
      <c r="I171" s="187">
        <f>IF($F171="","",'הזנה לתנאי סף'!R171)</f>
        <v>650986</v>
      </c>
      <c r="J171" s="187">
        <f>IF($F171="","",'תחום תמיכה א'!P171)</f>
        <v>782893</v>
      </c>
      <c r="K171" s="177">
        <f>IF($F171="","",'הזנה לתנאי סף'!N171)</f>
        <v>0</v>
      </c>
      <c r="L171" s="177">
        <f>IF($F171="","",'הזנה לתנאי סף'!O171)</f>
        <v>1</v>
      </c>
      <c r="M171" s="177">
        <f>IF($F171="","",'הזנה לתנאי סף'!Q171)</f>
        <v>1</v>
      </c>
      <c r="N171" s="187">
        <f>IF($F171="","",'תחום תמיכה א'!AE171)</f>
        <v>42796.456001186518</v>
      </c>
      <c r="O171" s="178"/>
      <c r="P171" s="187">
        <f>IF($F171="","",'תחום תמיכה ב'!AC171)</f>
        <v>110953.21216924886</v>
      </c>
      <c r="Q171" s="187">
        <f>IF($F171="","",IF('תחום תמיכה ג'!O171="",0,'תחום תמיכה ג'!O171))</f>
        <v>0</v>
      </c>
      <c r="R171" s="187">
        <f t="shared" si="8"/>
        <v>3326.9378638765193</v>
      </c>
      <c r="S171" s="187">
        <f>IF($F171="","",'תחום תמיכה ב'!AE171)</f>
        <v>114280.15003312538</v>
      </c>
      <c r="T171" s="187">
        <f>IF($F171="","",IF(Q171='תחום תמיכה ג'!$Q$2,'תחום תמיכה ג'!$Q$2,IFERROR(SUMIF(N171:R171,"&gt;0"),'תחום תמיכה ג'!$Q$2)))</f>
        <v>157076.6060343119</v>
      </c>
      <c r="U171" s="187">
        <f>IF($F171="","",'הזנה לתנאי סף'!Y171)</f>
        <v>600000</v>
      </c>
      <c r="V171" s="269">
        <f>IF(F171="","",'הגבלה לסכום מבוקש '!AA171)</f>
        <v>176098.56943510988</v>
      </c>
      <c r="W171" s="187">
        <f t="shared" si="9"/>
        <v>44024.64235877747</v>
      </c>
      <c r="X171" s="187">
        <f>IF(F171="","",'הזנה לתנאי סף'!Z171)</f>
        <v>300000</v>
      </c>
      <c r="Y171" s="237" t="str">
        <f>IFERROR(VLOOKUP(G171*1,#REF!,3,0),"")</f>
        <v/>
      </c>
      <c r="Z171" s="187" t="str">
        <f>IF(OR($F171="",Y171=""),"",IFERROR(IF(Y171&gt;V171,MIN(Y171,T171)-V171,0),'תחום תמיכה ג'!$Q$2))</f>
        <v/>
      </c>
      <c r="AA171" s="259"/>
      <c r="AB171" s="260" t="str">
        <f t="shared" si="10"/>
        <v/>
      </c>
      <c r="AC171" s="261"/>
      <c r="AD171" s="180"/>
      <c r="AE171" s="13" t="str">
        <f>IF($C171="","",IFERROR(VLOOKUP($C171,גיליון1!$A:$E,2,0),"לא הגיש בקשה שוטפת"))</f>
        <v>שוטף מרכז אל קלעה לאומנויות הבמה (ע"ר)</v>
      </c>
      <c r="AF171" s="13" t="str">
        <f>IF($C171="","",IFERROR(VLOOKUP($C171,גיליון1!$A:$E,3,0),"לא הגיש בקשה שוטפת"))</f>
        <v>מועד</v>
      </c>
      <c r="AG171" s="13" t="str">
        <f>IF($C171="","",IFERROR(VLOOKUP($C171,גיליון1!$A:$E,4,0),"לא הגיש בקשה שוטפת"))</f>
        <v>19-42-02-33</v>
      </c>
      <c r="AH171" s="13" t="str">
        <f>IF($C171="","",IFERROR(VLOOKUP($C171,גיליון1!$A:$E,5,0),"לא הגיש בקשה שוטפת"))</f>
        <v>תרבות ערבית ודרוזית</v>
      </c>
      <c r="AI171" s="13">
        <f t="shared" si="11"/>
        <v>0</v>
      </c>
      <c r="AJ171"/>
      <c r="AK171" t="s">
        <v>97</v>
      </c>
    </row>
    <row r="172" spans="1:37" ht="43.5" x14ac:dyDescent="0.25">
      <c r="A172" s="54">
        <f>'הזנה לתנאי סף'!B172</f>
        <v>142</v>
      </c>
      <c r="B172" s="266">
        <f>IF($F172="","",'הזנה לתנאי סף'!C172)</f>
        <v>1001348970</v>
      </c>
      <c r="C172" s="266">
        <f>IF($F172="","",'הזנה לתנאי סף'!D172)</f>
        <v>1001274728</v>
      </c>
      <c r="D172" s="266">
        <f>IF($F172="","",'הזנה לתנאי סף'!E172)</f>
        <v>41512788</v>
      </c>
      <c r="E172" s="55">
        <f>IF($F172="","",'הזנה לתנאי סף'!F172)</f>
        <v>20000201</v>
      </c>
      <c r="F172" s="55" t="str">
        <f>IF('הזנה לתנאי סף'!BL172=1,'הזנה לתנאי סף'!G172,"")</f>
        <v>תל אביב -יפו</v>
      </c>
      <c r="G172" s="55" t="str">
        <f>IF($F172="","",'הזנה לתנאי סף'!H172)</f>
        <v>פלטפורמא - תיאטרון אקטיביסטי</v>
      </c>
      <c r="H172" s="55" t="str">
        <f>IF($F172="","",'הזנה לתנאי סף'!I172)</f>
        <v>תיאטרון</v>
      </c>
      <c r="I172" s="187">
        <f>IF($F172="","",'הזנה לתנאי סף'!R172)</f>
        <v>478752</v>
      </c>
      <c r="J172" s="187">
        <f>IF($F172="","",'תחום תמיכה א'!P172)</f>
        <v>443752</v>
      </c>
      <c r="K172" s="177">
        <f>IF($F172="","",'הזנה לתנאי סף'!N172)</f>
        <v>0</v>
      </c>
      <c r="L172" s="177">
        <f>IF($F172="","",'הזנה לתנאי סף'!O172)</f>
        <v>1</v>
      </c>
      <c r="M172" s="177">
        <f>IF($F172="","",'הזנה לתנאי סף'!Q172)</f>
        <v>1</v>
      </c>
      <c r="N172" s="187">
        <f>IF($F172="","",'תחום תמיכה א'!AE172)</f>
        <v>20509.406440042228</v>
      </c>
      <c r="O172" s="178"/>
      <c r="P172" s="187">
        <f>IF($F172="","",'תחום תמיכה ב'!AC172)</f>
        <v>58330.214851864839</v>
      </c>
      <c r="Q172" s="187">
        <f>IF($F172="","",IF('תחום תמיכה ג'!O172="",0,'תחום תמיכה ג'!O172))</f>
        <v>0</v>
      </c>
      <c r="R172" s="187">
        <f t="shared" si="8"/>
        <v>1749.0345399166908</v>
      </c>
      <c r="S172" s="187">
        <f>IF($F172="","",'תחום תמיכה ב'!AE172)</f>
        <v>60079.24939178153</v>
      </c>
      <c r="T172" s="187">
        <f>IF($F172="","",IF(Q172='תחום תמיכה ג'!$Q$2,'תחום תמיכה ג'!$Q$2,IFERROR(SUMIF(N172:R172,"&gt;0"),'תחום תמיכה ג'!$Q$2)))</f>
        <v>80588.655831823766</v>
      </c>
      <c r="U172" s="187">
        <f>IF($F172="","",'הזנה לתנאי סף'!Y172)</f>
        <v>153427</v>
      </c>
      <c r="V172" s="269">
        <f>IF(F172="","",'הגבלה לסכום מבוקש '!AA172)</f>
        <v>90587.95806690515</v>
      </c>
      <c r="W172" s="187">
        <f t="shared" si="9"/>
        <v>22646.989516726288</v>
      </c>
      <c r="X172" s="187">
        <f>IF(F172="","",'הזנה לתנאי סף'!Z172)</f>
        <v>30000</v>
      </c>
      <c r="Y172" s="237" t="str">
        <f>IFERROR(VLOOKUP(G172*1,#REF!,3,0),"")</f>
        <v/>
      </c>
      <c r="Z172" s="187" t="str">
        <f>IF(OR($F172="",Y172=""),"",IFERROR(IF(Y172&gt;V172,MIN(Y172,T172)-V172,0),'תחום תמיכה ג'!$Q$2))</f>
        <v/>
      </c>
      <c r="AA172" s="259"/>
      <c r="AB172" s="260" t="str">
        <f t="shared" si="10"/>
        <v/>
      </c>
      <c r="AC172" s="261"/>
      <c r="AD172" s="180"/>
      <c r="AE172" s="13" t="str">
        <f>IF($C172="","",IFERROR(VLOOKUP($C172,גיליון1!$A:$E,2,0),"לא הגיש בקשה שוטפת"))</f>
        <v>פלטפורמא - מאלימות לאמנות בקהילה 2020</v>
      </c>
      <c r="AF172" s="13" t="str">
        <f>IF($C172="","",IFERROR(VLOOKUP($C172,גיליון1!$A:$E,3,0),"לא הגיש בקשה שוטפת"))</f>
        <v>מועד</v>
      </c>
      <c r="AG172" s="13" t="str">
        <f>IF($C172="","",IFERROR(VLOOKUP($C172,גיליון1!$A:$E,4,0),"לא הגיש בקשה שוטפת"))</f>
        <v>19-42-02-31</v>
      </c>
      <c r="AH172" s="13" t="str">
        <f>IF($C172="","",IFERROR(VLOOKUP($C172,גיליון1!$A:$E,5,0),"לא הגיש בקשה שוטפת"))</f>
        <v>תרבות בקהילה תמיכה</v>
      </c>
      <c r="AI172" s="13">
        <f t="shared" si="11"/>
        <v>0</v>
      </c>
      <c r="AJ172"/>
      <c r="AK172" t="s">
        <v>105</v>
      </c>
    </row>
    <row r="173" spans="1:37" ht="29.25" x14ac:dyDescent="0.25">
      <c r="A173" s="54">
        <f>'הזנה לתנאי סף'!B173</f>
        <v>143</v>
      </c>
      <c r="B173" s="266">
        <f>IF($F173="","",'הזנה לתנאי סף'!C173)</f>
        <v>1001350042</v>
      </c>
      <c r="C173" s="266">
        <f>IF($F173="","",'הזנה לתנאי סף'!D173)</f>
        <v>1001271349</v>
      </c>
      <c r="D173" s="266">
        <f>IF($F173="","",'הזנה לתנאי סף'!E173)</f>
        <v>41553249</v>
      </c>
      <c r="E173" s="55">
        <f>IF($F173="","",'הזנה לתנאי סף'!F173)</f>
        <v>20000201</v>
      </c>
      <c r="F173" s="55" t="str">
        <f>IF('הזנה לתנאי סף'!BL173=1,'הזנה לתנאי סף'!G173,"")</f>
        <v>תל אביב -יפו</v>
      </c>
      <c r="G173" s="55" t="str">
        <f>IF($F173="","",'הזנה לתנאי סף'!H173)</f>
        <v>גליא</v>
      </c>
      <c r="H173" s="55" t="str">
        <f>IF($F173="","",'הזנה לתנאי סף'!I173)</f>
        <v>מוסיקה-גופים כליים</v>
      </c>
      <c r="I173" s="187">
        <f>IF($F173="","",'הזנה לתנאי סף'!R173)</f>
        <v>1773947</v>
      </c>
      <c r="J173" s="187">
        <f>IF($F173="","",'תחום תמיכה א'!P173)</f>
        <v>1501070</v>
      </c>
      <c r="K173" s="177">
        <f>IF($F173="","",'הזנה לתנאי סף'!N173)</f>
        <v>1</v>
      </c>
      <c r="L173" s="177">
        <f>IF($F173="","",'הזנה לתנאי סף'!O173)</f>
        <v>1</v>
      </c>
      <c r="M173" s="177">
        <f>IF($F173="","",'הזנה לתנאי סף'!Q173)</f>
        <v>1</v>
      </c>
      <c r="N173" s="187">
        <f>IF($F173="","",'תחום תמיכה א'!AE173)</f>
        <v>53745.01530099893</v>
      </c>
      <c r="O173" s="178"/>
      <c r="P173" s="187">
        <f>IF($F173="","",'תחום תמיכה ב'!AC173)</f>
        <v>129709.7342972461</v>
      </c>
      <c r="Q173" s="187">
        <f>IF($F173="","",IF('תחום תמיכה ג'!O173="",0,'תחום תמיכה ג'!O173))</f>
        <v>54392.839191334686</v>
      </c>
      <c r="R173" s="187">
        <f t="shared" si="8"/>
        <v>3889.3531598580739</v>
      </c>
      <c r="S173" s="187">
        <f>IF($F173="","",'תחום תמיכה ב'!AE173)</f>
        <v>133599.08745710418</v>
      </c>
      <c r="T173" s="187">
        <f>IF($F173="","",IF(Q173='תחום תמיכה ג'!$Q$2,'תחום תמיכה ג'!$Q$2,IFERROR(SUMIF(N173:R173,"&gt;0"),'תחום תמיכה ג'!$Q$2)))</f>
        <v>241736.94194943778</v>
      </c>
      <c r="U173" s="187">
        <f>IF($F173="","",'הזנה לתנאי סף'!Y173)</f>
        <v>3200000</v>
      </c>
      <c r="V173" s="269">
        <f>IF(F173="","",'הגבלה לסכום מבוקש '!AA173)</f>
        <v>264001.00548297376</v>
      </c>
      <c r="W173" s="187">
        <f t="shared" si="9"/>
        <v>66000.251370743441</v>
      </c>
      <c r="X173" s="187">
        <f>IF(F173="","",'הזנה לתנאי סף'!Z173)</f>
        <v>200000</v>
      </c>
      <c r="Y173" s="237" t="str">
        <f>IFERROR(VLOOKUP(G173*1,#REF!,3,0),"")</f>
        <v/>
      </c>
      <c r="Z173" s="187" t="str">
        <f>IF(OR($F173="",Y173=""),"",IFERROR(IF(Y173&gt;V173,MIN(Y173,T173)-V173,0),'תחום תמיכה ג'!$Q$2))</f>
        <v/>
      </c>
      <c r="AA173" s="259"/>
      <c r="AB173" s="260" t="str">
        <f t="shared" si="10"/>
        <v/>
      </c>
      <c r="AC173" s="261"/>
      <c r="AD173" s="180"/>
      <c r="AE173" s="13" t="str">
        <f>IF($C173="","",IFERROR(VLOOKUP($C173,גיליון1!$A:$E,2,0),"לא הגיש בקשה שוטפת"))</f>
        <v>תזמורות</v>
      </c>
      <c r="AF173" s="13" t="str">
        <f>IF($C173="","",IFERROR(VLOOKUP($C173,גיליון1!$A:$E,3,0),"לא הגיש בקשה שוטפת"))</f>
        <v>חויב</v>
      </c>
      <c r="AG173" s="13" t="str">
        <f>IF($C173="","",IFERROR(VLOOKUP($C173,גיליון1!$A:$E,4,0),"לא הגיש בקשה שוטפת"))</f>
        <v>19-42-02-16</v>
      </c>
      <c r="AH173" s="13" t="str">
        <f>IF($C173="","",IFERROR(VLOOKUP($C173,גיליון1!$A:$E,5,0),"לא הגיש בקשה שוטפת"))</f>
        <v>מוסיקה</v>
      </c>
      <c r="AI173" s="13">
        <f t="shared" si="11"/>
        <v>0</v>
      </c>
      <c r="AJ173"/>
      <c r="AK173" t="s">
        <v>223</v>
      </c>
    </row>
    <row r="174" spans="1:37" ht="29.25" x14ac:dyDescent="0.25">
      <c r="A174" s="54">
        <f>'הזנה לתנאי סף'!B174</f>
        <v>144</v>
      </c>
      <c r="B174" s="266">
        <f>IF($F174="","",'הזנה לתנאי סף'!C174)</f>
        <v>1001348949</v>
      </c>
      <c r="C174" s="266">
        <f>IF($F174="","",'הזנה לתנאי סף'!D174)</f>
        <v>1001290266</v>
      </c>
      <c r="D174" s="266">
        <f>IF($F174="","",'הזנה לתנאי סף'!E174)</f>
        <v>40997665</v>
      </c>
      <c r="E174" s="55">
        <f>IF($F174="","",'הזנה לתנאי סף'!F174)</f>
        <v>20000201</v>
      </c>
      <c r="F174" s="55" t="str">
        <f>IF('הזנה לתנאי סף'!BL174=1,'הזנה לתנאי סף'!G174,"")</f>
        <v>תל אביב -יפו</v>
      </c>
      <c r="G174" s="55" t="str">
        <f>IF($F174="","",'הזנה לתנאי סף'!H174)</f>
        <v>אלמינא - בית ליוצרים</v>
      </c>
      <c r="H174" s="55" t="str">
        <f>IF($F174="","",'הזנה לתנאי סף'!I174)</f>
        <v>תרבות ערבית</v>
      </c>
      <c r="I174" s="187">
        <f>IF($F174="","",'הזנה לתנאי סף'!R174)</f>
        <v>2020850</v>
      </c>
      <c r="J174" s="187">
        <f>IF($F174="","",'תחום תמיכה א'!P174)</f>
        <v>2061061</v>
      </c>
      <c r="K174" s="177">
        <f>IF($F174="","",'הזנה לתנאי סף'!N174)</f>
        <v>1</v>
      </c>
      <c r="L174" s="177">
        <f>IF($F174="","",'הזנה לתנאי סף'!O174)</f>
        <v>1</v>
      </c>
      <c r="M174" s="177">
        <f>IF($F174="","",'הזנה לתנאי סף'!Q174)</f>
        <v>1</v>
      </c>
      <c r="N174" s="187">
        <f>IF($F174="","",'תחום תמיכה א'!AE174)</f>
        <v>56357.131320271401</v>
      </c>
      <c r="O174" s="178"/>
      <c r="P174" s="187">
        <f>IF($F174="","",'תחום תמיכה ב'!AC174)</f>
        <v>86180.216986701751</v>
      </c>
      <c r="Q174" s="187">
        <f>IF($F174="","",IF('תחום תמיכה ג'!O174="",0,'תחום תמיכה ג'!O174))</f>
        <v>36139.050854038491</v>
      </c>
      <c r="R174" s="187">
        <f t="shared" si="8"/>
        <v>2584.1183090111299</v>
      </c>
      <c r="S174" s="187">
        <f>IF($F174="","",'תחום תמיכה ב'!AE174)</f>
        <v>88764.335295712881</v>
      </c>
      <c r="T174" s="187">
        <f>IF($F174="","",IF(Q174='תחום תמיכה ג'!$Q$2,'תחום תמיכה ג'!$Q$2,IFERROR(SUMIF(N174:R174,"&gt;0"),'תחום תמיכה ג'!$Q$2)))</f>
        <v>181260.51747002275</v>
      </c>
      <c r="U174" s="187">
        <f>IF($F174="","",'הזנה לתנאי סף'!Y174)</f>
        <v>1600000</v>
      </c>
      <c r="V174" s="269">
        <f>IF(F174="","",'הגבלה לסכום מבוקש '!AA174)</f>
        <v>196062.34666708685</v>
      </c>
      <c r="W174" s="187">
        <f t="shared" si="9"/>
        <v>49015.586666771713</v>
      </c>
      <c r="X174" s="187">
        <f>IF(F174="","",'הזנה לתנאי סף'!Z174)</f>
        <v>20000</v>
      </c>
      <c r="Y174" s="237" t="str">
        <f>IFERROR(VLOOKUP(G174*1,#REF!,3,0),"")</f>
        <v/>
      </c>
      <c r="Z174" s="187" t="str">
        <f>IF(OR($F174="",Y174=""),"",IFERROR(IF(Y174&gt;V174,MIN(Y174,T174)-V174,0),'תחום תמיכה ג'!$Q$2))</f>
        <v/>
      </c>
      <c r="AA174" s="259"/>
      <c r="AB174" s="260" t="str">
        <f t="shared" si="10"/>
        <v/>
      </c>
      <c r="AC174" s="261"/>
      <c r="AD174" s="180"/>
      <c r="AE174" s="13" t="str">
        <f>IF($C174="","",IFERROR(VLOOKUP($C174,גיליון1!$A:$E,2,0),"לא הגיש בקשה שוטפת"))</f>
        <v>שוטף</v>
      </c>
      <c r="AF174" s="13" t="str">
        <f>IF($C174="","",IFERROR(VLOOKUP($C174,גיליון1!$A:$E,3,0),"לא הגיש בקשה שוטפת"))</f>
        <v>מועד</v>
      </c>
      <c r="AG174" s="13" t="str">
        <f>IF($C174="","",IFERROR(VLOOKUP($C174,גיליון1!$A:$E,4,0),"לא הגיש בקשה שוטפת"))</f>
        <v>19-42-02-33</v>
      </c>
      <c r="AH174" s="13" t="str">
        <f>IF($C174="","",IFERROR(VLOOKUP($C174,גיליון1!$A:$E,5,0),"לא הגיש בקשה שוטפת"))</f>
        <v>תרבות ערבית ודרוזית</v>
      </c>
      <c r="AI174" s="13">
        <f t="shared" si="11"/>
        <v>0</v>
      </c>
      <c r="AJ174"/>
      <c r="AK174" t="s">
        <v>110</v>
      </c>
    </row>
    <row r="175" spans="1:37" ht="43.5" x14ac:dyDescent="0.25">
      <c r="A175" s="54">
        <f>'הזנה לתנאי סף'!B175</f>
        <v>145</v>
      </c>
      <c r="B175" s="266">
        <f>IF($F175="","",'הזנה לתנאי סף'!C175)</f>
        <v>1001350055</v>
      </c>
      <c r="C175" s="266">
        <f>IF($F175="","",'הזנה לתנאי סף'!D175)</f>
        <v>1001271380</v>
      </c>
      <c r="D175" s="266">
        <f>IF($F175="","",'הזנה לתנאי סף'!E175)</f>
        <v>41555435</v>
      </c>
      <c r="E175" s="55">
        <f>IF($F175="","",'הזנה לתנאי סף'!F175)</f>
        <v>20000159</v>
      </c>
      <c r="F175" s="55" t="str">
        <f>IF('הזנה לתנאי סף'!BL175=1,'הזנה לתנאי סף'!G175,"")</f>
        <v>ירושלים</v>
      </c>
      <c r="G175" s="55" t="str">
        <f>IF($F175="","",'הזנה לתנאי סף'!H175)</f>
        <v>מוזיאון יהדות איטליה</v>
      </c>
      <c r="H175" s="55" t="str">
        <f>IF($F175="","",'הזנה לתנאי סף'!I175)</f>
        <v>מוזיאונים</v>
      </c>
      <c r="I175" s="187">
        <f>IF($F175="","",'הזנה לתנאי סף'!R175)</f>
        <v>1146668</v>
      </c>
      <c r="J175" s="187">
        <f>IF($F175="","",'תחום תמיכה א'!P175)</f>
        <v>1014228</v>
      </c>
      <c r="K175" s="177">
        <f>IF($F175="","",'הזנה לתנאי סף'!N175)</f>
        <v>1</v>
      </c>
      <c r="L175" s="177">
        <f>IF($F175="","",'הזנה לתנאי סף'!O175)</f>
        <v>1</v>
      </c>
      <c r="M175" s="177">
        <f>IF($F175="","",'הזנה לתנאי סף'!Q175)</f>
        <v>1</v>
      </c>
      <c r="N175" s="187">
        <f>IF($F175="","",'תחום תמיכה א'!AE175)</f>
        <v>17269.827541777147</v>
      </c>
      <c r="O175" s="178"/>
      <c r="P175" s="187">
        <f>IF($F175="","",'תחום תמיכה ב'!AC175)</f>
        <v>18962.68978935873</v>
      </c>
      <c r="Q175" s="187">
        <f>IF($F175="","",IF('תחום תמיכה ג'!O175="",0,'תחום תמיכה ג'!O175))</f>
        <v>3278.0494709295449</v>
      </c>
      <c r="R175" s="187">
        <f t="shared" si="8"/>
        <v>568.59724407913382</v>
      </c>
      <c r="S175" s="187">
        <f>IF($F175="","",'תחום תמיכה ב'!AE175)</f>
        <v>19531.287033437864</v>
      </c>
      <c r="T175" s="187">
        <f>IF($F175="","",IF(Q175='תחום תמיכה ג'!$Q$2,'תחום תמיכה ג'!$Q$2,IFERROR(SUMIF(N175:R175,"&gt;0"),'תחום תמיכה ג'!$Q$2)))</f>
        <v>40079.164046144564</v>
      </c>
      <c r="U175" s="187">
        <f>IF($F175="","",'הזנה לתנאי סף'!Y175)</f>
        <v>1200000</v>
      </c>
      <c r="V175" s="269">
        <f>IF(F175="","",'הגבלה לסכום מבוקש '!AA175)</f>
        <v>43336.17794971235</v>
      </c>
      <c r="W175" s="187">
        <f t="shared" si="9"/>
        <v>10834.044487428087</v>
      </c>
      <c r="X175" s="187">
        <f>IF(F175="","",'הזנה לתנאי סף'!Z175)</f>
        <v>30000</v>
      </c>
      <c r="Y175" s="237" t="str">
        <f>IFERROR(VLOOKUP(G175*1,#REF!,3,0),"")</f>
        <v/>
      </c>
      <c r="Z175" s="187" t="str">
        <f>IF(OR($F175="",Y175=""),"",IFERROR(IF(Y175&gt;V175,MIN(Y175,T175)-V175,0),'תחום תמיכה ג'!$Q$2))</f>
        <v/>
      </c>
      <c r="AA175" s="259"/>
      <c r="AB175" s="260" t="str">
        <f t="shared" si="10"/>
        <v/>
      </c>
      <c r="AC175" s="261"/>
      <c r="AD175" s="180"/>
      <c r="AE175" s="13" t="str">
        <f>IF($C175="","",IFERROR(VLOOKUP($C175,גיליון1!$A:$E,2,0),"לא הגיש בקשה שוטפת"))</f>
        <v>מוזיאונים- תמיכה שוטפת</v>
      </c>
      <c r="AF175" s="13" t="str">
        <f>IF($C175="","",IFERROR(VLOOKUP($C175,גיליון1!$A:$E,3,0),"לא הגיש בקשה שוטפת"))</f>
        <v>חויב</v>
      </c>
      <c r="AG175" s="13" t="str">
        <f>IF($C175="","",IFERROR(VLOOKUP($C175,גיליון1!$A:$E,4,0),"לא הגיש בקשה שוטפת"))</f>
        <v>19-42-02-18</v>
      </c>
      <c r="AH175" s="13" t="str">
        <f>IF($C175="","",IFERROR(VLOOKUP($C175,גיליון1!$A:$E,5,0),"לא הגיש בקשה שוטפת"))</f>
        <v>מוזיאונים ואמנות פלס</v>
      </c>
      <c r="AI175" s="13">
        <f t="shared" si="11"/>
        <v>0</v>
      </c>
      <c r="AJ175"/>
      <c r="AK175" t="s">
        <v>113</v>
      </c>
    </row>
    <row r="176" spans="1:37" ht="29.25" x14ac:dyDescent="0.25">
      <c r="A176" s="54">
        <f>'הזנה לתנאי סף'!B176</f>
        <v>146</v>
      </c>
      <c r="B176" s="266">
        <f>IF($F176="","",'הזנה לתנאי סף'!C176)</f>
        <v>1001348980</v>
      </c>
      <c r="C176" s="266">
        <f>IF($F176="","",'הזנה לתנאי סף'!D176)</f>
        <v>1001311679</v>
      </c>
      <c r="D176" s="266">
        <f>IF($F176="","",'הזנה לתנאי סף'!E176)</f>
        <v>41555455</v>
      </c>
      <c r="E176" s="55">
        <f>IF($F176="","",'הזנה לתנאי סף'!F176)</f>
        <v>20000201</v>
      </c>
      <c r="F176" s="55" t="str">
        <f>IF('הזנה לתנאי סף'!BL176=1,'הזנה לתנאי סף'!G176,"")</f>
        <v>תל אביב -יפו</v>
      </c>
      <c r="G176" s="55" t="str">
        <f>IF($F176="","",'הזנה לתנאי סף'!H176)</f>
        <v>תאטרון השחר</v>
      </c>
      <c r="H176" s="55" t="str">
        <f>IF($F176="","",'הזנה לתנאי סף'!I176)</f>
        <v>תיאטרון</v>
      </c>
      <c r="I176" s="187">
        <f>IF($F176="","",'הזנה לתנאי סף'!R176)</f>
        <v>523327</v>
      </c>
      <c r="J176" s="187">
        <f>IF($F176="","",'תחום תמיכה א'!P176)</f>
        <v>612774</v>
      </c>
      <c r="K176" s="177">
        <f>IF($F176="","",'הזנה לתנאי סף'!N176)</f>
        <v>0</v>
      </c>
      <c r="L176" s="177">
        <f>IF($F176="","",'הזנה לתנאי סף'!O176)</f>
        <v>1</v>
      </c>
      <c r="M176" s="177">
        <f>IF($F176="","",'הזנה לתנאי סף'!Q176)</f>
        <v>1</v>
      </c>
      <c r="N176" s="187">
        <f>IF($F176="","",'תחום תמיכה א'!AE176)</f>
        <v>33496.985577430205</v>
      </c>
      <c r="O176" s="178"/>
      <c r="P176" s="187">
        <f>IF($F176="","",'תחום תמיכה ב'!AC176)</f>
        <v>89195.177261717632</v>
      </c>
      <c r="Q176" s="187">
        <f>IF($F176="","",IF('תחום תמיכה ג'!O176="",0,'תחום תמיכה ג'!O176))</f>
        <v>0</v>
      </c>
      <c r="R176" s="187">
        <f t="shared" si="8"/>
        <v>2674.5220503803575</v>
      </c>
      <c r="S176" s="187">
        <f>IF($F176="","",'תחום תמיכה ב'!AE176)</f>
        <v>91869.69931209799</v>
      </c>
      <c r="T176" s="187">
        <f>IF($F176="","",IF(Q176='תחום תמיכה ג'!$Q$2,'תחום תמיכה ג'!$Q$2,IFERROR(SUMIF(N176:R176,"&gt;0"),'תחום תמיכה ג'!$Q$2)))</f>
        <v>125366.6848895282</v>
      </c>
      <c r="U176" s="187">
        <f>IF($F176="","",'הזנה לתנאי סף'!Y176)</f>
        <v>150000</v>
      </c>
      <c r="V176" s="269">
        <f>IF(F176="","",'הגבלה לסכום מבוקש '!AA176)</f>
        <v>140658.00940806951</v>
      </c>
      <c r="W176" s="187">
        <f t="shared" si="9"/>
        <v>35164.502352017378</v>
      </c>
      <c r="X176" s="187">
        <f>IF(F176="","",'הזנה לתנאי סף'!Z176)</f>
        <v>50000</v>
      </c>
      <c r="Y176" s="237" t="str">
        <f>IFERROR(VLOOKUP(G176*1,#REF!,3,0),"")</f>
        <v/>
      </c>
      <c r="Z176" s="187" t="str">
        <f>IF(OR($F176="",Y176=""),"",IFERROR(IF(Y176&gt;V176,MIN(Y176,T176)-V176,0),'תחום תמיכה ג'!$Q$2))</f>
        <v/>
      </c>
      <c r="AA176" s="259"/>
      <c r="AB176" s="260" t="str">
        <f t="shared" si="10"/>
        <v/>
      </c>
      <c r="AC176" s="261"/>
      <c r="AD176" s="180"/>
      <c r="AE176" s="13" t="str">
        <f>IF($C176="","",IFERROR(VLOOKUP($C176,גיליון1!$A:$E,2,0),"לא הגיש בקשה שוטפת"))</f>
        <v>ת' השחר 5 הדקות הארוכות פרויקט 2020</v>
      </c>
      <c r="AF176" s="13" t="str">
        <f>IF($C176="","",IFERROR(VLOOKUP($C176,גיליון1!$A:$E,3,0),"לא הגיש בקשה שוטפת"))</f>
        <v>טיוט</v>
      </c>
      <c r="AG176" s="13" t="str">
        <f>IF($C176="","",IFERROR(VLOOKUP($C176,גיליון1!$A:$E,4,0),"לא הגיש בקשה שוטפת"))</f>
        <v>19-42-02-07</v>
      </c>
      <c r="AH176" s="13" t="str">
        <f>IF($C176="","",IFERROR(VLOOKUP($C176,גיליון1!$A:$E,5,0),"לא הגיש בקשה שוטפת"))</f>
        <v>תיאטרון</v>
      </c>
      <c r="AI176" s="13">
        <f t="shared" si="11"/>
        <v>0</v>
      </c>
      <c r="AJ176"/>
      <c r="AK176" t="s">
        <v>114</v>
      </c>
    </row>
    <row r="177" spans="1:37" ht="29.25" x14ac:dyDescent="0.25">
      <c r="A177" s="54">
        <f>'הזנה לתנאי סף'!B177</f>
        <v>147</v>
      </c>
      <c r="B177" s="266">
        <f>IF($F177="","",'הזנה לתנאי סף'!C177)</f>
        <v>1001348615</v>
      </c>
      <c r="C177" s="266">
        <f>IF($F177="","",'הזנה לתנאי סף'!D177)</f>
        <v>1001267389</v>
      </c>
      <c r="D177" s="266">
        <f>IF($F177="","",'הזנה לתנאי סף'!E177)</f>
        <v>41556008</v>
      </c>
      <c r="E177" s="55">
        <f>IF($F177="","",'הזנה לתנאי סף'!F177)</f>
        <v>20000159</v>
      </c>
      <c r="F177" s="55" t="str">
        <f>IF('הזנה לתנאי סף'!BL177=1,'הזנה לתנאי סף'!G177,"")</f>
        <v>ירושלים</v>
      </c>
      <c r="G177" s="55" t="str">
        <f>IF($F177="","",'הזנה לתנאי סף'!H177)</f>
        <v>פלמנרו נטורל</v>
      </c>
      <c r="H177" s="55" t="str">
        <f>IF($F177="","",'הזנה לתנאי סף'!I177)</f>
        <v>מחול</v>
      </c>
      <c r="I177" s="187">
        <f>IF($F177="","",'הזנה לתנאי סף'!R177)</f>
        <v>539257</v>
      </c>
      <c r="J177" s="187">
        <f>IF($F177="","",'תחום תמיכה א'!P177)</f>
        <v>482662</v>
      </c>
      <c r="K177" s="177">
        <f>IF($F177="","",'הזנה לתנאי סף'!N177)</f>
        <v>1</v>
      </c>
      <c r="L177" s="177">
        <f>IF($F177="","",'הזנה לתנאי סף'!O177)</f>
        <v>1</v>
      </c>
      <c r="M177" s="177">
        <f>IF($F177="","",'הזנה לתנאי סף'!Q177)</f>
        <v>1</v>
      </c>
      <c r="N177" s="187">
        <f>IF($F177="","",'תחום תמיכה א'!AE177)</f>
        <v>10562.265391733245</v>
      </c>
      <c r="O177" s="178"/>
      <c r="P177" s="187">
        <f>IF($F177="","",'תחום תמיכה ב'!AC177)</f>
        <v>14729.268007048999</v>
      </c>
      <c r="Q177" s="187">
        <f>IF($F177="","",IF('תחום תמיכה ג'!O177="",0,'תחום תמיכה ג'!O177))</f>
        <v>2546.2247040913735</v>
      </c>
      <c r="R177" s="187">
        <f t="shared" si="8"/>
        <v>441.65787075264052</v>
      </c>
      <c r="S177" s="187">
        <f>IF($F177="","",'תחום תמיכה ב'!AE177)</f>
        <v>15170.925877801639</v>
      </c>
      <c r="T177" s="187">
        <f>IF($F177="","",IF(Q177='תחום תמיכה ג'!$Q$2,'תחום תמיכה ג'!$Q$2,IFERROR(SUMIF(N177:R177,"&gt;0"),'תחום תמיכה ג'!$Q$2)))</f>
        <v>28279.415973626259</v>
      </c>
      <c r="U177" s="187">
        <f>IF($F177="","",'הזנה לתנאי סף'!Y177)</f>
        <v>150000</v>
      </c>
      <c r="V177" s="269">
        <f>IF(F177="","",'הגבלה לסכום מבוקש '!AA177)</f>
        <v>30808.002678499583</v>
      </c>
      <c r="W177" s="187">
        <f t="shared" si="9"/>
        <v>7702.0006696248956</v>
      </c>
      <c r="X177" s="187">
        <f>IF(F177="","",'הזנה לתנאי סף'!Z177)</f>
        <v>50000</v>
      </c>
      <c r="Y177" s="237" t="str">
        <f>IFERROR(VLOOKUP(G177*1,#REF!,3,0),"")</f>
        <v/>
      </c>
      <c r="Z177" s="187" t="str">
        <f>IF(OR($F177="",Y177=""),"",IFERROR(IF(Y177&gt;V177,MIN(Y177,T177)-V177,0),'תחום תמיכה ג'!$Q$2))</f>
        <v/>
      </c>
      <c r="AA177" s="259"/>
      <c r="AB177" s="260" t="str">
        <f t="shared" si="10"/>
        <v/>
      </c>
      <c r="AC177" s="261"/>
      <c r="AD177" s="180"/>
      <c r="AE177" s="13" t="str">
        <f>IF($C177="","",IFERROR(VLOOKUP($C177,גיליון1!$A:$E,2,0),"לא הגיש בקשה שוטפת"))</f>
        <v>תמיכה לפעילות שוטפת</v>
      </c>
      <c r="AF177" s="13" t="str">
        <f>IF($C177="","",IFERROR(VLOOKUP($C177,גיליון1!$A:$E,3,0),"לא הגיש בקשה שוטפת"))</f>
        <v>חויב</v>
      </c>
      <c r="AG177" s="13" t="str">
        <f>IF($C177="","",IFERROR(VLOOKUP($C177,גיליון1!$A:$E,4,0),"לא הגיש בקשה שוטפת"))</f>
        <v>19-42-02-20</v>
      </c>
      <c r="AH177" s="13" t="str">
        <f>IF($C177="","",IFERROR(VLOOKUP($C177,גיליון1!$A:$E,5,0),"לא הגיש בקשה שוטפת"))</f>
        <v>מחול וארגוני גג</v>
      </c>
      <c r="AI177" s="13">
        <f t="shared" si="11"/>
        <v>0</v>
      </c>
      <c r="AJ177"/>
      <c r="AK177" t="s">
        <v>116</v>
      </c>
    </row>
    <row r="178" spans="1:37" ht="29.25" x14ac:dyDescent="0.25">
      <c r="A178" s="54">
        <f>'הזנה לתנאי סף'!B178</f>
        <v>148</v>
      </c>
      <c r="B178" s="266">
        <f>IF($F178="","",'הזנה לתנאי סף'!C178)</f>
        <v>1001348065</v>
      </c>
      <c r="C178" s="266">
        <f>IF($F178="","",'הזנה לתנאי סף'!D178)</f>
        <v>1001268860</v>
      </c>
      <c r="D178" s="266">
        <f>IF($F178="","",'הזנה לתנאי סף'!E178)</f>
        <v>41558839</v>
      </c>
      <c r="E178" s="55">
        <f>IF($F178="","",'הזנה לתנאי סף'!F178)</f>
        <v>20000041</v>
      </c>
      <c r="F178" s="55" t="str">
        <f>IF('הזנה לתנאי סף'!BL178=1,'הזנה לתנאי סף'!G178,"")</f>
        <v>דייר אל-אסד</v>
      </c>
      <c r="G178" s="55" t="str">
        <f>IF($F178="","",'הזנה לתנאי סף'!H178)</f>
        <v>אג'יאל דיר אל אסד</v>
      </c>
      <c r="H178" s="55" t="str">
        <f>IF($F178="","",'הזנה לתנאי סף'!I178)</f>
        <v>אחר</v>
      </c>
      <c r="I178" s="187">
        <f>IF($F178="","",'הזנה לתנאי סף'!R178)</f>
        <v>145145</v>
      </c>
      <c r="J178" s="187">
        <f>IF($F178="","",'תחום תמיכה א'!P178)</f>
        <v>157496</v>
      </c>
      <c r="K178" s="177">
        <f>IF($F178="","",'הזנה לתנאי סף'!N178)</f>
        <v>0</v>
      </c>
      <c r="L178" s="177">
        <f>IF($F178="","",'הזנה לתנאי סף'!O178)</f>
        <v>1</v>
      </c>
      <c r="M178" s="177">
        <f>IF($F178="","",'הזנה לתנאי סף'!Q178)</f>
        <v>1</v>
      </c>
      <c r="N178" s="187">
        <f>IF($F178="","",'תחום תמיכה א'!AE178)</f>
        <v>6312.4230865829395</v>
      </c>
      <c r="O178" s="178"/>
      <c r="P178" s="187">
        <f>IF($F178="","",'תחום תמיכה ב'!AC178)</f>
        <v>13298.806301651379</v>
      </c>
      <c r="Q178" s="187">
        <f>IF($F178="","",IF('תחום תמיכה ג'!O178="",0,'תחום תמיכה ג'!O178))</f>
        <v>0</v>
      </c>
      <c r="R178" s="187">
        <f t="shared" si="8"/>
        <v>398.76540177884272</v>
      </c>
      <c r="S178" s="187">
        <f>IF($F178="","",'תחום תמיכה ב'!AE178)</f>
        <v>13697.571703430222</v>
      </c>
      <c r="T178" s="187">
        <f>IF($F178="","",IF(Q178='תחום תמיכה ג'!$Q$2,'תחום תמיכה ג'!$Q$2,IFERROR(SUMIF(N178:R178,"&gt;0"),'תחום תמיכה ג'!$Q$2)))</f>
        <v>20009.994790013159</v>
      </c>
      <c r="U178" s="187">
        <f>IF($F178="","",'הזנה לתנאי סף'!Y178)</f>
        <v>90000</v>
      </c>
      <c r="V178" s="269">
        <f>IF(F178="","",'הגבלה לסכום מבוקש '!AA178)</f>
        <v>22290.498073090221</v>
      </c>
      <c r="W178" s="187">
        <f t="shared" si="9"/>
        <v>5572.6245182725552</v>
      </c>
      <c r="X178" s="187">
        <f>IF(F178="","",'הזנה לתנאי סף'!Z178)</f>
        <v>90000</v>
      </c>
      <c r="Y178" s="237" t="str">
        <f>IFERROR(VLOOKUP(G178*1,#REF!,3,0),"")</f>
        <v/>
      </c>
      <c r="Z178" s="187" t="str">
        <f>IF(OR($F178="",Y178=""),"",IFERROR(IF(Y178&gt;V178,MIN(Y178,T178)-V178,0),'תחום תמיכה ג'!$Q$2))</f>
        <v/>
      </c>
      <c r="AA178" s="259"/>
      <c r="AB178" s="260" t="str">
        <f t="shared" si="10"/>
        <v/>
      </c>
      <c r="AC178" s="261"/>
      <c r="AD178" s="180"/>
      <c r="AE178" s="13" t="str">
        <f>IF($C178="","",IFERROR(VLOOKUP($C178,גיליון1!$A:$E,2,0),"לא הגיש בקשה שוטפת"))</f>
        <v>בקשת תמיכה לפעילות ציור</v>
      </c>
      <c r="AF178" s="13" t="str">
        <f>IF($C178="","",IFERROR(VLOOKUP($C178,גיליון1!$A:$E,3,0),"לא הגיש בקשה שוטפת"))</f>
        <v>טיוט</v>
      </c>
      <c r="AG178" s="13" t="str">
        <f>IF($C178="","",IFERROR(VLOOKUP($C178,גיליון1!$A:$E,4,0),"לא הגיש בקשה שוטפת"))</f>
        <v>19-42-02-33</v>
      </c>
      <c r="AH178" s="13" t="str">
        <f>IF($C178="","",IFERROR(VLOOKUP($C178,גיליון1!$A:$E,5,0),"לא הגיש בקשה שוטפת"))</f>
        <v>תרבות ערבית ודרוזית</v>
      </c>
      <c r="AI178" s="13">
        <f t="shared" si="11"/>
        <v>0</v>
      </c>
      <c r="AJ178"/>
      <c r="AK178" t="s">
        <v>119</v>
      </c>
    </row>
    <row r="179" spans="1:37" ht="29.25" x14ac:dyDescent="0.25">
      <c r="A179" s="54">
        <f>'הזנה לתנאי סף'!B179</f>
        <v>149</v>
      </c>
      <c r="B179" s="266">
        <f>IF($F179="","",'הזנה לתנאי סף'!C179)</f>
        <v>1001348191</v>
      </c>
      <c r="C179" s="266">
        <f>IF($F179="","",'הזנה לתנאי סף'!D179)</f>
        <v>1001268861</v>
      </c>
      <c r="D179" s="266">
        <f>IF($F179="","",'הזנה לתנאי סף'!E179)</f>
        <v>41558839</v>
      </c>
      <c r="E179" s="55">
        <f>IF($F179="","",'הזנה לתנאי סף'!F179)</f>
        <v>20000041</v>
      </c>
      <c r="F179" s="55" t="str">
        <f>IF('הזנה לתנאי סף'!BL179=1,'הזנה לתנאי סף'!G179,"")</f>
        <v>דייר אל-אסד</v>
      </c>
      <c r="G179" s="55" t="str">
        <f>IF($F179="","",'הזנה לתנאי סף'!H179)</f>
        <v>אג'יאל דיר אל אסד</v>
      </c>
      <c r="H179" s="55" t="str">
        <f>IF($F179="","",'הזנה לתנאי סף'!I179)</f>
        <v>קבוצות מוסיקה</v>
      </c>
      <c r="I179" s="187">
        <f>IF($F179="","",'הזנה לתנאי סף'!R179)</f>
        <v>133971</v>
      </c>
      <c r="J179" s="187">
        <f>IF($F179="","",'תחום תמיכה א'!P179)</f>
        <v>155375</v>
      </c>
      <c r="K179" s="177">
        <f>IF($F179="","",'הזנה לתנאי סף'!N179)</f>
        <v>0</v>
      </c>
      <c r="L179" s="177">
        <f>IF($F179="","",'הזנה לתנאי סף'!O179)</f>
        <v>1</v>
      </c>
      <c r="M179" s="177">
        <f>IF($F179="","",'הזנה לתנאי סף'!Q179)</f>
        <v>1</v>
      </c>
      <c r="N179" s="187">
        <f>IF($F179="","",'תחום תמיכה א'!AE179)</f>
        <v>6038.4084301292196</v>
      </c>
      <c r="O179" s="178"/>
      <c r="P179" s="187">
        <f>IF($F179="","",'תחום תמיכה ב'!AC179)</f>
        <v>11541.198847986025</v>
      </c>
      <c r="Q179" s="187">
        <f>IF($F179="","",IF('תחום תמיכה ג'!O179="",0,'תחום תמיכה ג'!O179))</f>
        <v>0</v>
      </c>
      <c r="R179" s="187">
        <f t="shared" si="8"/>
        <v>346.06345045082526</v>
      </c>
      <c r="S179" s="187">
        <f>IF($F179="","",'תחום תמיכה ב'!AE179)</f>
        <v>11887.26229843685</v>
      </c>
      <c r="T179" s="187">
        <f>IF($F179="","",IF(Q179='תחום תמיכה ג'!$Q$2,'תחום תמיכה ג'!$Q$2,IFERROR(SUMIF(N179:R179,"&gt;0"),'תחום תמיכה ג'!$Q$2)))</f>
        <v>17925.670728566067</v>
      </c>
      <c r="U179" s="187">
        <f>IF($F179="","",'הזנה לתנאי סף'!Y179)</f>
        <v>80000</v>
      </c>
      <c r="V179" s="269">
        <f>IF(F179="","",'הגבלה לסכום מבוקש '!AA179)</f>
        <v>19905.031414342593</v>
      </c>
      <c r="W179" s="187">
        <f t="shared" si="9"/>
        <v>4976.2578535856483</v>
      </c>
      <c r="X179" s="187">
        <f>IF(F179="","",'הזנה לתנאי סף'!Z179)</f>
        <v>80000</v>
      </c>
      <c r="Y179" s="237" t="str">
        <f>IFERROR(VLOOKUP(G179*1,#REF!,3,0),"")</f>
        <v/>
      </c>
      <c r="Z179" s="187" t="str">
        <f>IF(OR($F179="",Y179=""),"",IFERROR(IF(Y179&gt;V179,MIN(Y179,T179)-V179,0),'תחום תמיכה ג'!$Q$2))</f>
        <v/>
      </c>
      <c r="AA179" s="259"/>
      <c r="AB179" s="260" t="str">
        <f t="shared" si="10"/>
        <v/>
      </c>
      <c r="AC179" s="261"/>
      <c r="AD179" s="180"/>
      <c r="AE179" s="13" t="str">
        <f>IF($C179="","",IFERROR(VLOOKUP($C179,גיליון1!$A:$E,2,0),"לא הגיש בקשה שוטפת"))</f>
        <v>בקשת תמיכה לפעילות מוסיקה</v>
      </c>
      <c r="AF179" s="13" t="str">
        <f>IF($C179="","",IFERROR(VLOOKUP($C179,גיליון1!$A:$E,3,0),"לא הגיש בקשה שוטפת"))</f>
        <v>טיוט</v>
      </c>
      <c r="AG179" s="13" t="str">
        <f>IF($C179="","",IFERROR(VLOOKUP($C179,גיליון1!$A:$E,4,0),"לא הגיש בקשה שוטפת"))</f>
        <v>19-42-02-33</v>
      </c>
      <c r="AH179" s="13" t="str">
        <f>IF($C179="","",IFERROR(VLOOKUP($C179,גיליון1!$A:$E,5,0),"לא הגיש בקשה שוטפת"))</f>
        <v>תרבות ערבית ודרוזית</v>
      </c>
      <c r="AI179" s="13">
        <f t="shared" si="11"/>
        <v>0</v>
      </c>
      <c r="AJ179"/>
      <c r="AK179" t="s">
        <v>224</v>
      </c>
    </row>
    <row r="180" spans="1:37" ht="43.5" x14ac:dyDescent="0.25">
      <c r="A180" s="54">
        <f>'הזנה לתנאי סף'!B180</f>
        <v>150</v>
      </c>
      <c r="B180" s="266">
        <f>IF($F180="","",'הזנה לתנאי סף'!C180)</f>
        <v>1001351065</v>
      </c>
      <c r="C180" s="266">
        <f>IF($F180="","",'הזנה לתנאי סף'!D180)</f>
        <v>1001302359</v>
      </c>
      <c r="D180" s="266">
        <f>IF($F180="","",'הזנה לתנאי סף'!E180)</f>
        <v>41635262</v>
      </c>
      <c r="E180" s="55">
        <f>IF($F180="","",'הזנה לתנאי סף'!F180)</f>
        <v>20000231</v>
      </c>
      <c r="F180" s="55" t="str">
        <f>IF('הזנה לתנאי סף'!BL180=1,'הזנה לתנאי סף'!G180,"")</f>
        <v>נצרת</v>
      </c>
      <c r="G180" s="55" t="str">
        <f>IF($F180="","",'הזנה לתנאי סף'!H180)</f>
        <v>אלמדינה לתרבות ואומנות</v>
      </c>
      <c r="H180" s="55" t="str">
        <f>IF($F180="","",'הזנה לתנאי סף'!I180)</f>
        <v>אחר</v>
      </c>
      <c r="I180" s="187">
        <f>IF($F180="","",'הזנה לתנאי סף'!R180)</f>
        <v>454330</v>
      </c>
      <c r="J180" s="187">
        <f>IF($F180="","",'תחום תמיכה א'!P180)</f>
        <v>454121</v>
      </c>
      <c r="K180" s="177">
        <f>IF($F180="","",'הזנה לתנאי סף'!N180)</f>
        <v>0</v>
      </c>
      <c r="L180" s="177">
        <f>IF($F180="","",'הזנה לתנאי סף'!O180)</f>
        <v>1</v>
      </c>
      <c r="M180" s="177">
        <f>IF($F180="","",'הזנה לתנאי סף'!Q180)</f>
        <v>1</v>
      </c>
      <c r="N180" s="187">
        <f>IF($F180="","",'תחום תמיכה א'!AE180)</f>
        <v>24824.29833414633</v>
      </c>
      <c r="O180" s="178"/>
      <c r="P180" s="187">
        <f>IF($F180="","",'תחום תמיכה ב'!AC180)</f>
        <v>77435.41778909968</v>
      </c>
      <c r="Q180" s="187">
        <f>IF($F180="","",IF('תחום תמיכה ג'!O180="",0,'תחום תמיכה ג'!O180))</f>
        <v>0</v>
      </c>
      <c r="R180" s="187">
        <f t="shared" si="8"/>
        <v>2321.9050481807935</v>
      </c>
      <c r="S180" s="187">
        <f>IF($F180="","",'תחום תמיכה ב'!AE180)</f>
        <v>79757.322837280473</v>
      </c>
      <c r="T180" s="187">
        <f>IF($F180="","",IF(Q180='תחום תמיכה ג'!$Q$2,'תחום תמיכה ג'!$Q$2,IFERROR(SUMIF(N180:R180,"&gt;0"),'תחום תמיכה ג'!$Q$2)))</f>
        <v>104581.6211714268</v>
      </c>
      <c r="U180" s="187">
        <f>IF($F180="","",'הזנה לתנאי סף'!Y180)</f>
        <v>380000</v>
      </c>
      <c r="V180" s="269">
        <f>IF(F180="","",'הגבלה לסכום מבוקש '!AA180)</f>
        <v>117854.95361404</v>
      </c>
      <c r="W180" s="187">
        <f t="shared" si="9"/>
        <v>29463.73840351</v>
      </c>
      <c r="X180" s="187">
        <f>IF(F180="","",'הזנה לתנאי סף'!Z180)</f>
        <v>380000</v>
      </c>
      <c r="Y180" s="237" t="str">
        <f>IFERROR(VLOOKUP(G180*1,#REF!,3,0),"")</f>
        <v/>
      </c>
      <c r="Z180" s="187" t="str">
        <f>IF(OR($F180="",Y180=""),"",IFERROR(IF(Y180&gt;V180,MIN(Y180,T180)-V180,0),'תחום תמיכה ג'!$Q$2))</f>
        <v/>
      </c>
      <c r="AA180" s="259"/>
      <c r="AB180" s="260" t="str">
        <f t="shared" si="10"/>
        <v/>
      </c>
      <c r="AC180" s="261"/>
      <c r="AD180" s="180"/>
      <c r="AE180" s="13" t="str">
        <f>IF($C180="","",IFERROR(VLOOKUP($C180,גיליון1!$A:$E,2,0),"לא הגיש בקשה שוטפת"))</f>
        <v>בית ספר עאידה למחול</v>
      </c>
      <c r="AF180" s="13" t="str">
        <f>IF($C180="","",IFERROR(VLOOKUP($C180,גיליון1!$A:$E,3,0),"לא הגיש בקשה שוטפת"))</f>
        <v>מועד</v>
      </c>
      <c r="AG180" s="13" t="str">
        <f>IF($C180="","",IFERROR(VLOOKUP($C180,גיליון1!$A:$E,4,0),"לא הגיש בקשה שוטפת"))</f>
        <v>19-42-02-33</v>
      </c>
      <c r="AH180" s="13" t="str">
        <f>IF($C180="","",IFERROR(VLOOKUP($C180,גיליון1!$A:$E,5,0),"לא הגיש בקשה שוטפת"))</f>
        <v>תרבות ערבית ודרוזית</v>
      </c>
      <c r="AI180" s="13">
        <f t="shared" si="11"/>
        <v>0</v>
      </c>
      <c r="AJ180"/>
      <c r="AK180" t="s">
        <v>127</v>
      </c>
    </row>
    <row r="181" spans="1:37" ht="43.5" x14ac:dyDescent="0.25">
      <c r="A181" s="54">
        <f>'הזנה לתנאי סף'!B181</f>
        <v>151</v>
      </c>
      <c r="B181" s="266">
        <f>IF($F181="","",'הזנה לתנאי סף'!C181)</f>
        <v>1001348955</v>
      </c>
      <c r="C181" s="266">
        <f>IF($F181="","",'הזנה לתנאי סף'!D181)</f>
        <v>1001348955</v>
      </c>
      <c r="D181" s="266">
        <f>IF($F181="","",'הזנה לתנאי סף'!E181)</f>
        <v>41905827</v>
      </c>
      <c r="E181" s="55">
        <f>IF($F181="","",'הזנה לתנאי סף'!F181)</f>
        <v>20000189</v>
      </c>
      <c r="F181" s="55" t="str">
        <f>IF('הזנה לתנאי סף'!BL181=1,'הזנה לתנאי סף'!G181,"")</f>
        <v>מסעדה</v>
      </c>
      <c r="G181" s="55" t="str">
        <f>IF($F181="","",'הזנה לתנאי סף'!H181)</f>
        <v>גולן הייטז ארטיסטיק פרודקשין</v>
      </c>
      <c r="H181" s="55" t="str">
        <f>IF($F181="","",'הזנה לתנאי סף'!I181)</f>
        <v>תיאטרון</v>
      </c>
      <c r="I181" s="187">
        <f>IF($F181="","",'הזנה לתנאי סף'!R181)</f>
        <v>227270</v>
      </c>
      <c r="J181" s="187">
        <f>IF($F181="","",'תחום תמיכה א'!P181)</f>
        <v>146365</v>
      </c>
      <c r="K181" s="177">
        <f>IF($F181="","",'הזנה לתנאי סף'!N181)</f>
        <v>0</v>
      </c>
      <c r="L181" s="177">
        <f>IF($F181="","",'הזנה לתנאי סף'!O181)</f>
        <v>1</v>
      </c>
      <c r="M181" s="177">
        <f>IF($F181="","",'הזנה לתנאי סף'!Q181)</f>
        <v>1</v>
      </c>
      <c r="N181" s="187">
        <f>IF($F181="","",'תחום תמיכה א'!AE181)</f>
        <v>8000.9698421287021</v>
      </c>
      <c r="O181" s="178"/>
      <c r="P181" s="187">
        <f>IF($F181="","",'תחום תמיכה ב'!AC181)</f>
        <v>38735.604958793578</v>
      </c>
      <c r="Q181" s="187">
        <f>IF($F181="","",IF('תחום תמיכה ג'!O181="",0,'תחום תמיכה ג'!O181))</f>
        <v>0</v>
      </c>
      <c r="R181" s="187">
        <f t="shared" si="8"/>
        <v>1161.4891385117589</v>
      </c>
      <c r="S181" s="187">
        <f>IF($F181="","",'תחום תמיכה ב'!AE181)</f>
        <v>39897.094097305337</v>
      </c>
      <c r="T181" s="187">
        <f>IF($F181="","",IF(Q181='תחום תמיכה ג'!$Q$2,'תחום תמיכה ג'!$Q$2,IFERROR(SUMIF(N181:R181,"&gt;0"),'תחום תמיכה ג'!$Q$2)))</f>
        <v>47898.06393943404</v>
      </c>
      <c r="U181" s="187">
        <f>IF($F181="","",'הזנה לתנאי סף'!Y181)</f>
        <v>350000</v>
      </c>
      <c r="V181" s="269">
        <f>IF(F181="","",'הגבלה לסכום מבוקש '!AA181)</f>
        <v>54535.786615857709</v>
      </c>
      <c r="W181" s="187">
        <f t="shared" si="9"/>
        <v>13633.946653964427</v>
      </c>
      <c r="X181" s="187">
        <f>IF(F181="","",'הזנה לתנאי סף'!Z181)</f>
        <v>200000</v>
      </c>
      <c r="Y181" s="237" t="str">
        <f>IFERROR(VLOOKUP(G181*1,#REF!,3,0),"")</f>
        <v/>
      </c>
      <c r="Z181" s="187" t="str">
        <f>IF(OR($F181="",Y181=""),"",IFERROR(IF(Y181&gt;V181,MIN(Y181,T181)-V181,0),'תחום תמיכה ג'!$Q$2))</f>
        <v/>
      </c>
      <c r="AA181" s="259"/>
      <c r="AB181" s="260" t="str">
        <f t="shared" si="10"/>
        <v/>
      </c>
      <c r="AC181" s="261"/>
      <c r="AD181" s="180"/>
      <c r="AE181" s="13" t="str">
        <f>IF($C181="","",IFERROR(VLOOKUP($C181,גיליון1!$A:$E,2,0),"לא הגיש בקשה שוטפת"))</f>
        <v>סיוע מיוחד לעידוד קיום פעילות</v>
      </c>
      <c r="AF181" s="13" t="str">
        <f>IF($C181="","",IFERROR(VLOOKUP($C181,גיליון1!$A:$E,3,0),"לא הגיש בקשה שוטפת"))</f>
        <v>טיוט</v>
      </c>
      <c r="AG181" s="13" t="str">
        <f>IF($C181="","",IFERROR(VLOOKUP($C181,גיליון1!$A:$E,4,0),"לא הגיש בקשה שוטפת"))</f>
        <v>19-42-02-74</v>
      </c>
      <c r="AH181" s="13" t="str">
        <f>IF($C181="","",IFERROR(VLOOKUP($C181,גיליון1!$A:$E,5,0),"לא הגיש בקשה שוטפת"))</f>
        <v>סיוע למוסדות בגין</v>
      </c>
      <c r="AI181" s="13">
        <f t="shared" si="11"/>
        <v>0</v>
      </c>
      <c r="AJ181"/>
      <c r="AK181" t="s">
        <v>129</v>
      </c>
    </row>
    <row r="182" spans="1:37" ht="72" x14ac:dyDescent="0.25">
      <c r="A182" s="54">
        <f>'הזנה לתנאי סף'!B182</f>
        <v>152</v>
      </c>
      <c r="B182" s="266">
        <f>IF($F182="","",'הזנה לתנאי סף'!C182)</f>
        <v>1001347088</v>
      </c>
      <c r="C182" s="266">
        <f>IF($F182="","",'הזנה לתנאי סף'!D182)</f>
        <v>1001301993</v>
      </c>
      <c r="D182" s="266">
        <f>IF($F182="","",'הזנה לתנאי סף'!E182)</f>
        <v>42000072</v>
      </c>
      <c r="E182" s="55">
        <f>IF($F182="","",'הזנה לתנאי סף'!F182)</f>
        <v>20000055</v>
      </c>
      <c r="F182" s="55" t="str">
        <f>IF('הזנה לתנאי סף'!BL182=1,'הזנה לתנאי סף'!G182,"")</f>
        <v>מג'ד אל-כרום</v>
      </c>
      <c r="G182" s="55" t="str">
        <f>IF($F182="","",'הזנה לתנאי סף'!H182)</f>
        <v>כנארי עמותה לקידום המוסיקה והשירה</v>
      </c>
      <c r="H182" s="55" t="str">
        <f>IF($F182="","",'הזנה לתנאי סף'!I182)</f>
        <v>אחר</v>
      </c>
      <c r="I182" s="187">
        <f>IF($F182="","",'הזנה לתנאי סף'!R182)</f>
        <v>174450</v>
      </c>
      <c r="J182" s="187">
        <f>IF($F182="","",'תחום תמיכה א'!P182)</f>
        <v>194401</v>
      </c>
      <c r="K182" s="177">
        <f>IF($F182="","",'הזנה לתנאי סף'!N182)</f>
        <v>0</v>
      </c>
      <c r="L182" s="177">
        <f>IF($F182="","",'הזנה לתנאי סף'!O182)</f>
        <v>1</v>
      </c>
      <c r="M182" s="177">
        <f>IF($F182="","",'הזנה לתנאי סף'!Q182)</f>
        <v>1</v>
      </c>
      <c r="N182" s="187">
        <f>IF($F182="","",'תחום תמיכה א'!AE182)</f>
        <v>10626.833862464808</v>
      </c>
      <c r="O182" s="178"/>
      <c r="P182" s="187">
        <f>IF($F182="","",'תחום תמיכה ב'!AC182)</f>
        <v>29733.032450660176</v>
      </c>
      <c r="Q182" s="187">
        <f>IF($F182="","",IF('תחום תמיכה ג'!O182="",0,'תחום תמיכה ג'!O182))</f>
        <v>0</v>
      </c>
      <c r="R182" s="187">
        <f t="shared" si="8"/>
        <v>891.54653149723526</v>
      </c>
      <c r="S182" s="187">
        <f>IF($F182="","",'תחום תמיכה ב'!AE182)</f>
        <v>30624.578982157411</v>
      </c>
      <c r="T182" s="187">
        <f>IF($F182="","",IF(Q182='תחום תמיכה ג'!$Q$2,'תחום תמיכה ג'!$Q$2,IFERROR(SUMIF(N182:R182,"&gt;0"),'תחום תמיכה ג'!$Q$2)))</f>
        <v>41251.412844622217</v>
      </c>
      <c r="U182" s="187">
        <f>IF($F182="","",'הזנה לתנאי סף'!Y182)</f>
        <v>120000</v>
      </c>
      <c r="V182" s="269">
        <f>IF(F182="","",'הגבלה לסכום מבוקש '!AA182)</f>
        <v>46348.499467156435</v>
      </c>
      <c r="W182" s="187">
        <f t="shared" si="9"/>
        <v>11587.124866789109</v>
      </c>
      <c r="X182" s="187">
        <f>IF(F182="","",'הזנה לתנאי סף'!Z182)</f>
        <v>60000</v>
      </c>
      <c r="Y182" s="237" t="str">
        <f>IFERROR(VLOOKUP(G182*1,#REF!,3,0),"")</f>
        <v/>
      </c>
      <c r="Z182" s="187" t="str">
        <f>IF(OR($F182="",Y182=""),"",IFERROR(IF(Y182&gt;V182,MIN(Y182,T182)-V182,0),'תחום תמיכה ג'!$Q$2))</f>
        <v/>
      </c>
      <c r="AA182" s="259"/>
      <c r="AB182" s="260" t="str">
        <f t="shared" si="10"/>
        <v/>
      </c>
      <c r="AC182" s="261"/>
      <c r="AD182" s="180"/>
      <c r="AE182" s="13" t="str">
        <f>IF($C182="","",IFERROR(VLOOKUP($C182,גיליון1!$A:$E,2,0),"לא הגיש בקשה שוטפת"))</f>
        <v>להקת מוסיקה</v>
      </c>
      <c r="AF182" s="13" t="str">
        <f>IF($C182="","",IFERROR(VLOOKUP($C182,גיליון1!$A:$E,3,0),"לא הגיש בקשה שוטפת"))</f>
        <v>טיוט</v>
      </c>
      <c r="AG182" s="13" t="str">
        <f>IF($C182="","",IFERROR(VLOOKUP($C182,גיליון1!$A:$E,4,0),"לא הגיש בקשה שוטפת"))</f>
        <v>19-42-02-33</v>
      </c>
      <c r="AH182" s="13" t="str">
        <f>IF($C182="","",IFERROR(VLOOKUP($C182,גיליון1!$A:$E,5,0),"לא הגיש בקשה שוטפת"))</f>
        <v>תרבות ערבית ודרוזית</v>
      </c>
      <c r="AI182" s="13">
        <f t="shared" si="11"/>
        <v>0</v>
      </c>
      <c r="AJ182"/>
      <c r="AK182" t="s">
        <v>135</v>
      </c>
    </row>
    <row r="183" spans="1:37" ht="72" x14ac:dyDescent="0.25">
      <c r="A183" s="54">
        <f>'הזנה לתנאי סף'!B183</f>
        <v>153</v>
      </c>
      <c r="B183" s="266">
        <f>IF($F183="","",'הזנה לתנאי סף'!C183)</f>
        <v>1001348513</v>
      </c>
      <c r="C183" s="266">
        <f>IF($F183="","",'הזנה לתנאי סף'!D183)</f>
        <v>1001271351</v>
      </c>
      <c r="D183" s="266">
        <f>IF($F183="","",'הזנה לתנאי סף'!E183)</f>
        <v>40000594</v>
      </c>
      <c r="E183" s="55">
        <f>IF($F183="","",'הזנה לתנאי סף'!F183)</f>
        <v>20000185</v>
      </c>
      <c r="F183" s="55" t="str">
        <f>IF('הזנה לתנאי סף'!BL183=1,'הזנה לתנאי סף'!G183,"")</f>
        <v>עמק חפר</v>
      </c>
      <c r="G183" s="55" t="str">
        <f>IF($F183="","",'הזנה לתנאי סף'!H183)</f>
        <v>עמותת מקהלות מורן והבית לשירה בישרא</v>
      </c>
      <c r="H183" s="55" t="str">
        <f>IF($F183="","",'הזנה לתנאי סף'!I183)</f>
        <v>מקהלות</v>
      </c>
      <c r="I183" s="187">
        <f>IF($F183="","",'הזנה לתנאי סף'!R183)</f>
        <v>222569</v>
      </c>
      <c r="J183" s="187">
        <f>IF($F183="","",'תחום תמיכה א'!P183)</f>
        <v>222569</v>
      </c>
      <c r="K183" s="177">
        <f>IF($F183="","",'הזנה לתנאי סף'!N183)</f>
        <v>0</v>
      </c>
      <c r="L183" s="177">
        <f>IF($F183="","",'הזנה לתנאי סף'!O183)</f>
        <v>1</v>
      </c>
      <c r="M183" s="177">
        <f>IF($F183="","",'הזנה לתנאי סף'!Q183)</f>
        <v>1</v>
      </c>
      <c r="N183" s="187">
        <f>IF($F183="","",'תחום תמיכה א'!AE183)</f>
        <v>6150.6311123352789</v>
      </c>
      <c r="O183" s="178"/>
      <c r="P183" s="187">
        <f>IF($F183="","",'תחום תמיכה ב'!AC183)</f>
        <v>9694.6497917466677</v>
      </c>
      <c r="Q183" s="187">
        <f>IF($F183="","",IF('תחום תמיכה ג'!O183="",0,'תחום תמיכה ג'!O183))</f>
        <v>0</v>
      </c>
      <c r="R183" s="187">
        <f t="shared" si="8"/>
        <v>290.69458052268783</v>
      </c>
      <c r="S183" s="187">
        <f>IF($F183="","",'תחום תמיכה ב'!AE183)</f>
        <v>9985.3443722693555</v>
      </c>
      <c r="T183" s="187">
        <f>IF($F183="","",IF(Q183='תחום תמיכה ג'!$Q$2,'תחום תמיכה ג'!$Q$2,IFERROR(SUMIF(N183:R183,"&gt;0"),'תחום תמיכה ג'!$Q$2)))</f>
        <v>16135.975484604634</v>
      </c>
      <c r="U183" s="187">
        <f>IF($F183="","",'הזנה לתנאי סף'!Y183)</f>
        <v>110053</v>
      </c>
      <c r="V183" s="269">
        <f>IF(F183="","",'הגבלה לסכום מבוקש '!AA183)</f>
        <v>17799.13679332603</v>
      </c>
      <c r="W183" s="187">
        <f t="shared" si="9"/>
        <v>4449.7841983315075</v>
      </c>
      <c r="X183" s="187">
        <f>IF(F183="","",'הזנה לתנאי סף'!Z183)</f>
        <v>50000</v>
      </c>
      <c r="Y183" s="237" t="str">
        <f>IFERROR(VLOOKUP(G183*1,#REF!,3,0),"")</f>
        <v/>
      </c>
      <c r="Z183" s="187" t="str">
        <f>IF(OR($F183="",Y183=""),"",IFERROR(IF(Y183&gt;V183,MIN(Y183,T183)-V183,0),'תחום תמיכה ג'!$Q$2))</f>
        <v/>
      </c>
      <c r="AA183" s="259"/>
      <c r="AB183" s="260" t="str">
        <f t="shared" si="10"/>
        <v/>
      </c>
      <c r="AC183" s="261"/>
      <c r="AD183" s="180"/>
      <c r="AE183" s="13" t="str">
        <f>IF($C183="","",IFERROR(VLOOKUP($C183,גיליון1!$A:$E,2,0),"לא הגיש בקשה שוטפת"))</f>
        <v>מקהלות ועתודה צעירה</v>
      </c>
      <c r="AF183" s="13" t="str">
        <f>IF($C183="","",IFERROR(VLOOKUP($C183,גיליון1!$A:$E,3,0),"לא הגיש בקשה שוטפת"))</f>
        <v>מועד</v>
      </c>
      <c r="AG183" s="13" t="str">
        <f>IF($C183="","",IFERROR(VLOOKUP($C183,גיליון1!$A:$E,4,0),"לא הגיש בקשה שוטפת"))</f>
        <v>19-42-02-16</v>
      </c>
      <c r="AH183" s="13" t="str">
        <f>IF($C183="","",IFERROR(VLOOKUP($C183,גיליון1!$A:$E,5,0),"לא הגיש בקשה שוטפת"))</f>
        <v>מוסיקה</v>
      </c>
      <c r="AI183" s="13">
        <f t="shared" si="11"/>
        <v>0</v>
      </c>
      <c r="AJ183"/>
      <c r="AK183" t="s">
        <v>141</v>
      </c>
    </row>
    <row r="184" spans="1:37" ht="43.5" x14ac:dyDescent="0.25">
      <c r="A184" s="54">
        <f>'הזנה לתנאי סף'!B184</f>
        <v>154</v>
      </c>
      <c r="B184" s="266">
        <f>IF($F184="","",'הזנה לתנאי סף'!C184)</f>
        <v>1001347628</v>
      </c>
      <c r="C184" s="266">
        <f>IF($F184="","",'הזנה לתנאי סף'!D184)</f>
        <v>1001263875</v>
      </c>
      <c r="D184" s="266">
        <f>IF($F184="","",'הזנה לתנאי סף'!E184)</f>
        <v>40384415</v>
      </c>
      <c r="E184" s="55">
        <f>IF($F184="","",'הזנה לתנאי סף'!F184)</f>
        <v>20000095</v>
      </c>
      <c r="F184" s="55" t="str">
        <f>IF('הזנה לתנאי סף'!BL184=1,'הזנה לתנאי סף'!G184,"")</f>
        <v>מטה יהודה</v>
      </c>
      <c r="G184" s="55" t="str">
        <f>IF($F184="","",'הזנה לתנאי סף'!H184)</f>
        <v>סינמטק ראש פינה (ע"ר)</v>
      </c>
      <c r="H184" s="55" t="str">
        <f>IF($F184="","",'הזנה לתנאי סף'!I184)</f>
        <v>סינמטקים ופסטיבלים</v>
      </c>
      <c r="I184" s="187">
        <f>IF($F184="","",'הזנה לתנאי סף'!R184)</f>
        <v>1815671</v>
      </c>
      <c r="J184" s="187">
        <f>IF($F184="","",'תחום תמיכה א'!P184)</f>
        <v>1844588</v>
      </c>
      <c r="K184" s="177">
        <f>IF($F184="","",'הזנה לתנאי סף'!N184)</f>
        <v>1</v>
      </c>
      <c r="L184" s="177">
        <f>IF($F184="","",'הזנה לתנאי סף'!O184)</f>
        <v>1</v>
      </c>
      <c r="M184" s="177">
        <f>IF($F184="","",'הזנה לתנאי סף'!Q184)</f>
        <v>1</v>
      </c>
      <c r="N184" s="187">
        <f>IF($F184="","",'תחום תמיכה א'!AE184)</f>
        <v>80739.605234888499</v>
      </c>
      <c r="O184" s="178"/>
      <c r="P184" s="187">
        <f>IF($F184="","",'תחום תמיכה ב'!AC184)</f>
        <v>198412.52350570288</v>
      </c>
      <c r="Q184" s="187">
        <f>IF($F184="","",IF('תחום תמיכה ג'!O184="",0,'תחום תמיכה ג'!O184))</f>
        <v>0</v>
      </c>
      <c r="R184" s="187">
        <f t="shared" si="8"/>
        <v>5949.4098837939091</v>
      </c>
      <c r="S184" s="187">
        <f>IF($F184="","",'תחום תמיכה ב'!AE184)</f>
        <v>204361.93338949679</v>
      </c>
      <c r="T184" s="187">
        <f>IF($F184="","",IF(Q184='תחום תמיכה ג'!$Q$2,'תחום תמיכה ג'!$Q$2,IFERROR(SUMIF(N184:R184,"&gt;0"),'תחום תמיכה ג'!$Q$2)))</f>
        <v>285101.53862438526</v>
      </c>
      <c r="U184" s="187">
        <f>IF($F184="","",'הזנה לתנאי סף'!Y184)</f>
        <v>770000</v>
      </c>
      <c r="V184" s="269">
        <f>IF(F184="","",'הגבלה לסכום מבוקש '!AA184)</f>
        <v>319119.55674586276</v>
      </c>
      <c r="W184" s="187">
        <f t="shared" si="9"/>
        <v>79779.889186465691</v>
      </c>
      <c r="X184" s="187">
        <f>IF(F184="","",'הזנה לתנאי סף'!Z184)</f>
        <v>400000</v>
      </c>
      <c r="Y184" s="237" t="str">
        <f>IFERROR(VLOOKUP(G184*1,#REF!,3,0),"")</f>
        <v/>
      </c>
      <c r="Z184" s="187" t="str">
        <f>IF(OR($F184="",Y184=""),"",IFERROR(IF(Y184&gt;V184,MIN(Y184,T184)-V184,0),'תחום תמיכה ג'!$Q$2))</f>
        <v/>
      </c>
      <c r="AA184" s="259"/>
      <c r="AB184" s="260" t="str">
        <f t="shared" si="10"/>
        <v/>
      </c>
      <c r="AC184" s="261"/>
      <c r="AD184" s="180"/>
      <c r="AE184" s="13" t="str">
        <f>IF($C184="","",IFERROR(VLOOKUP($C184,גיליון1!$A:$E,2,0),"לא הגיש בקשה שוטפת"))</f>
        <v>תמיכה שוטפת בפעילות סינמטק ר"פ לשנת 2020</v>
      </c>
      <c r="AF184" s="13" t="str">
        <f>IF($C184="","",IFERROR(VLOOKUP($C184,גיליון1!$A:$E,3,0),"לא הגיש בקשה שוטפת"))</f>
        <v>מועד</v>
      </c>
      <c r="AG184" s="13" t="str">
        <f>IF($C184="","",IFERROR(VLOOKUP($C184,גיליון1!$A:$E,4,0),"לא הגיש בקשה שוטפת"))</f>
        <v>19-42-02-28</v>
      </c>
      <c r="AH184" s="13" t="str">
        <f>IF($C184="","",IFERROR(VLOOKUP($C184,גיליון1!$A:$E,5,0),"לא הגיש בקשה שוטפת"))</f>
        <v>חוק  הקולנוע</v>
      </c>
      <c r="AI184" s="13">
        <f t="shared" si="11"/>
        <v>0</v>
      </c>
      <c r="AJ184"/>
      <c r="AK184" t="s">
        <v>142</v>
      </c>
    </row>
    <row r="185" spans="1:37" ht="57.75" x14ac:dyDescent="0.25">
      <c r="A185" s="54">
        <f>'הזנה לתנאי סף'!B185</f>
        <v>155</v>
      </c>
      <c r="B185" s="266">
        <f>IF($F185="","",'הזנה לתנאי סף'!C185)</f>
        <v>1001349214</v>
      </c>
      <c r="C185" s="266">
        <f>IF($F185="","",'הזנה לתנאי סף'!D185)</f>
        <v>1001275601</v>
      </c>
      <c r="D185" s="266">
        <f>IF($F185="","",'הזנה לתנאי סף'!E185)</f>
        <v>40395783</v>
      </c>
      <c r="E185" s="55">
        <f>IF($F185="","",'הזנה לתנאי סף'!F185)</f>
        <v>20000139</v>
      </c>
      <c r="F185" s="55" t="str">
        <f>IF('הזנה לתנאי סף'!BL185=1,'הזנה לתנאי סף'!G185,"")</f>
        <v>מטה אשר</v>
      </c>
      <c r="G185" s="55" t="str">
        <f>IF($F185="","",'הזנה לתנאי סף'!H185)</f>
        <v>להקת המחול הקיבוצית (ע"ר)</v>
      </c>
      <c r="H185" s="55" t="str">
        <f>IF($F185="","",'הזנה לתנאי סף'!I185)</f>
        <v>מחול</v>
      </c>
      <c r="I185" s="187">
        <f>IF($F185="","",'הזנה לתנאי סף'!R185)</f>
        <v>18688227</v>
      </c>
      <c r="J185" s="187">
        <f>IF($F185="","",'תחום תמיכה א'!P185)</f>
        <v>16873654</v>
      </c>
      <c r="K185" s="177">
        <f>IF($F185="","",'הזנה לתנאי סף'!N185)</f>
        <v>0</v>
      </c>
      <c r="L185" s="177">
        <f>IF($F185="","",'הזנה לתנאי סף'!O185)</f>
        <v>1</v>
      </c>
      <c r="M185" s="177">
        <f>IF($F185="","",'הזנה לתנאי סף'!Q185)</f>
        <v>1</v>
      </c>
      <c r="N185" s="187">
        <f>IF($F185="","",'תחום תמיכה א'!AE185)</f>
        <v>458708.62589556008</v>
      </c>
      <c r="O185" s="178"/>
      <c r="P185" s="187">
        <f>IF($F185="","",'תחום תמיכה ב'!AC185)</f>
        <v>787702.78637135308</v>
      </c>
      <c r="Q185" s="187">
        <f>IF($F185="","",IF('תחום תמיכה ג'!O185="",0,'תחום תמיכה ג'!O185))</f>
        <v>0</v>
      </c>
      <c r="R185" s="187">
        <f t="shared" si="8"/>
        <v>23619.309204517165</v>
      </c>
      <c r="S185" s="187">
        <f>IF($F185="","",'תחום תמיכה ב'!AE185)</f>
        <v>811322.09557587025</v>
      </c>
      <c r="T185" s="187">
        <f>IF($F185="","",IF(Q185='תחום תמיכה ג'!$Q$2,'תחום תמיכה ג'!$Q$2,IFERROR(SUMIF(N185:R185,"&gt;0"),'תחום תמיכה ג'!$Q$2)))</f>
        <v>1270030.7214714303</v>
      </c>
      <c r="U185" s="187">
        <f>IF($F185="","",'הזנה לתנאי סף'!Y185)</f>
        <v>3000000</v>
      </c>
      <c r="V185" s="269">
        <f>IF(F185="","",'הגבלה לסכום מבוקש '!AA185)</f>
        <v>1405146.0349371557</v>
      </c>
      <c r="W185" s="187">
        <f t="shared" si="9"/>
        <v>351286.50873428892</v>
      </c>
      <c r="X185" s="187">
        <f>IF(F185="","",'הזנה לתנאי סף'!Z185)</f>
        <v>50000</v>
      </c>
      <c r="Y185" s="237" t="str">
        <f>IFERROR(VLOOKUP(G185*1,#REF!,3,0),"")</f>
        <v/>
      </c>
      <c r="Z185" s="187" t="str">
        <f>IF(OR($F185="",Y185=""),"",IFERROR(IF(Y185&gt;V185,MIN(Y185,T185)-V185,0),'תחום תמיכה ג'!$Q$2))</f>
        <v/>
      </c>
      <c r="AA185" s="259"/>
      <c r="AB185" s="260" t="str">
        <f t="shared" si="10"/>
        <v/>
      </c>
      <c r="AC185" s="261"/>
      <c r="AD185" s="180"/>
      <c r="AE185" s="13" t="str">
        <f>IF($C185="","",IFERROR(VLOOKUP($C185,גיליון1!$A:$E,2,0),"לא הגיש בקשה שוטפת"))</f>
        <v>תמיכה במחול 2020</v>
      </c>
      <c r="AF185" s="13" t="str">
        <f>IF($C185="","",IFERROR(VLOOKUP($C185,גיליון1!$A:$E,3,0),"לא הגיש בקשה שוטפת"))</f>
        <v>חויב</v>
      </c>
      <c r="AG185" s="13" t="str">
        <f>IF($C185="","",IFERROR(VLOOKUP($C185,גיליון1!$A:$E,4,0),"לא הגיש בקשה שוטפת"))</f>
        <v>19-42-02-20</v>
      </c>
      <c r="AH185" s="13" t="str">
        <f>IF($C185="","",IFERROR(VLOOKUP($C185,גיליון1!$A:$E,5,0),"לא הגיש בקשה שוטפת"))</f>
        <v>מחול וארגוני גג</v>
      </c>
      <c r="AI185" s="13">
        <f t="shared" si="11"/>
        <v>0</v>
      </c>
      <c r="AJ185"/>
      <c r="AK185" t="s">
        <v>143</v>
      </c>
    </row>
    <row r="186" spans="1:37" ht="29.25" x14ac:dyDescent="0.25">
      <c r="A186" s="54">
        <f>'הזנה לתנאי סף'!B186</f>
        <v>156</v>
      </c>
      <c r="B186" s="266">
        <f>IF($F186="","",'הזנה לתנאי סף'!C186)</f>
        <v>1001350960</v>
      </c>
      <c r="C186" s="266">
        <f>IF($F186="","",'הזנה לתנאי סף'!D186)</f>
        <v>1001273357</v>
      </c>
      <c r="D186" s="266">
        <f>IF($F186="","",'הזנה לתנאי סף'!E186)</f>
        <v>40404400</v>
      </c>
      <c r="E186" s="55">
        <f>IF($F186="","",'הזנה לתנאי סף'!F186)</f>
        <v>20000159</v>
      </c>
      <c r="F186" s="55" t="str">
        <f>IF('הזנה לתנאי סף'!BL186=1,'הזנה לתנאי סף'!G186,"")</f>
        <v>ירושלים</v>
      </c>
      <c r="G186" s="55" t="str">
        <f>IF($F186="","",'הזנה לתנאי סף'!H186)</f>
        <v>סדנאות האמנים</v>
      </c>
      <c r="H186" s="55" t="str">
        <f>IF($F186="","",'הזנה לתנאי סף'!I186)</f>
        <v>אחר</v>
      </c>
      <c r="I186" s="187">
        <f>IF($F186="","",'הזנה לתנאי סף'!R186)</f>
        <v>1052640</v>
      </c>
      <c r="J186" s="187">
        <f>IF($F186="","",'תחום תמיכה א'!P186)</f>
        <v>1051861</v>
      </c>
      <c r="K186" s="177">
        <f>IF($F186="","",'הזנה לתנאי סף'!N186)</f>
        <v>1</v>
      </c>
      <c r="L186" s="177">
        <f>IF($F186="","",'הזנה לתנאי סף'!O186)</f>
        <v>1</v>
      </c>
      <c r="M186" s="177">
        <f>IF($F186="","",'הזנה לתנאי סף'!Q186)</f>
        <v>1</v>
      </c>
      <c r="N186" s="187">
        <f>IF($F186="","",'תחום תמיכה א'!AE186)</f>
        <v>28052.289050235817</v>
      </c>
      <c r="O186" s="178"/>
      <c r="P186" s="187">
        <f>IF($F186="","",'תחום תמיכה ב'!AC186)</f>
        <v>42702.884500268192</v>
      </c>
      <c r="Q186" s="187">
        <f>IF($F186="","",IF('תחום תמיכה ג'!O186="",0,'תחום תמיכה ג'!O186))</f>
        <v>7381.9784797525535</v>
      </c>
      <c r="R186" s="187">
        <f t="shared" si="8"/>
        <v>1280.4482228416528</v>
      </c>
      <c r="S186" s="187">
        <f>IF($F186="","",'תחום תמיכה ב'!AE186)</f>
        <v>43983.332723109845</v>
      </c>
      <c r="T186" s="187">
        <f>IF($F186="","",IF(Q186='תחום תמיכה ג'!$Q$2,'תחום תמיכה ג'!$Q$2,IFERROR(SUMIF(N186:R186,"&gt;0"),'תחום תמיכה ג'!$Q$2)))</f>
        <v>79417.600253098208</v>
      </c>
      <c r="U186" s="187">
        <f>IF($F186="","",'הזנה לתנאי סף'!Y186)</f>
        <v>800000</v>
      </c>
      <c r="V186" s="269">
        <f>IF(F186="","",'הגבלה לסכום מבוקש '!AA186)</f>
        <v>86747.272852675902</v>
      </c>
      <c r="W186" s="187">
        <f t="shared" si="9"/>
        <v>21686.818213168975</v>
      </c>
      <c r="X186" s="187">
        <f>IF(F186="","",'הזנה לתנאי סף'!Z186)</f>
        <v>500000</v>
      </c>
      <c r="Y186" s="237" t="str">
        <f>IFERROR(VLOOKUP(G186*1,#REF!,3,0),"")</f>
        <v/>
      </c>
      <c r="Z186" s="187" t="str">
        <f>IF(OR($F186="",Y186=""),"",IFERROR(IF(Y186&gt;V186,MIN(Y186,T186)-V186,0),'תחום תמיכה ג'!$Q$2))</f>
        <v/>
      </c>
      <c r="AA186" s="259"/>
      <c r="AB186" s="260" t="str">
        <f t="shared" si="10"/>
        <v/>
      </c>
      <c r="AC186" s="261"/>
      <c r="AD186" s="180"/>
      <c r="AE186" s="13" t="str">
        <f>IF($C186="","",IFERROR(VLOOKUP($C186,גיליון1!$A:$E,2,0),"לא הגיש בקשה שוטפת"))</f>
        <v>תמיכה שוטפת - גלריה סדנאות האמנים 2020</v>
      </c>
      <c r="AF186" s="13" t="str">
        <f>IF($C186="","",IFERROR(VLOOKUP($C186,גיליון1!$A:$E,3,0),"לא הגיש בקשה שוטפת"))</f>
        <v>מקדמ</v>
      </c>
      <c r="AG186" s="13" t="str">
        <f>IF($C186="","",IFERROR(VLOOKUP($C186,גיליון1!$A:$E,4,0),"לא הגיש בקשה שוטפת"))</f>
        <v>19-42-02-18</v>
      </c>
      <c r="AH186" s="13" t="str">
        <f>IF($C186="","",IFERROR(VLOOKUP($C186,גיליון1!$A:$E,5,0),"לא הגיש בקשה שוטפת"))</f>
        <v>מוזיאונים ואמנות פלס</v>
      </c>
      <c r="AI186" s="13">
        <f t="shared" si="11"/>
        <v>0</v>
      </c>
      <c r="AJ186"/>
      <c r="AK186" t="s">
        <v>145</v>
      </c>
    </row>
    <row r="187" spans="1:37" ht="57.75" x14ac:dyDescent="0.25">
      <c r="A187" s="54">
        <f>'הזנה לתנאי סף'!B187</f>
        <v>157</v>
      </c>
      <c r="B187" s="266">
        <f>IF($F187="","",'הזנה לתנאי סף'!C187)</f>
        <v>1001347605</v>
      </c>
      <c r="C187" s="266">
        <f>IF($F187="","",'הזנה לתנאי סף'!D187)</f>
        <v>1001268753</v>
      </c>
      <c r="D187" s="266">
        <f>IF($F187="","",'הזנה לתנאי סף'!E187)</f>
        <v>40507218</v>
      </c>
      <c r="E187" s="55">
        <f>IF($F187="","",'הזנה לתנאי סף'!F187)</f>
        <v>20000122</v>
      </c>
      <c r="F187" s="55" t="str">
        <f>IF('הזנה לתנאי סף'!BL187=1,'הזנה לתנאי סף'!G187,"")</f>
        <v>אלעד</v>
      </c>
      <c r="G187" s="55" t="str">
        <f>IF($F187="","",'הזנה לתנאי סף'!H187)</f>
        <v>ארגון אמנים משמחי לב (ע"ר)</v>
      </c>
      <c r="H187" s="55" t="str">
        <f>IF($F187="","",'הזנה לתנאי סף'!I187)</f>
        <v>תיאטרון</v>
      </c>
      <c r="I187" s="187">
        <f>IF($F187="","",'הזנה לתנאי סף'!R187)</f>
        <v>1809543</v>
      </c>
      <c r="J187" s="187">
        <f>IF($F187="","",'תחום תמיכה א'!P187)</f>
        <v>1870550</v>
      </c>
      <c r="K187" s="177">
        <f>IF($F187="","",'הזנה לתנאי סף'!N187)</f>
        <v>0</v>
      </c>
      <c r="L187" s="177">
        <f>IF($F187="","",'הזנה לתנאי סף'!O187)</f>
        <v>1</v>
      </c>
      <c r="M187" s="177">
        <f>IF($F187="","",'הזנה לתנאי סף'!Q187)</f>
        <v>1</v>
      </c>
      <c r="N187" s="187">
        <f>IF($F187="","",'תחום תמיכה א'!AE187)</f>
        <v>102252.68430426564</v>
      </c>
      <c r="O187" s="178"/>
      <c r="P187" s="187">
        <f>IF($F187="","",'תחום תמיכה ב'!AC187)</f>
        <v>308416.16933141288</v>
      </c>
      <c r="Q187" s="187">
        <f>IF($F187="","",IF('תחום תמיכה ג'!O187="",0,'תחום תמיכה ג'!O187))</f>
        <v>0</v>
      </c>
      <c r="R187" s="187">
        <f t="shared" si="8"/>
        <v>9247.8749512473587</v>
      </c>
      <c r="S187" s="187">
        <f>IF($F187="","",'תחום תמיכה ב'!AE187)</f>
        <v>317664.04428266024</v>
      </c>
      <c r="T187" s="187">
        <f>IF($F187="","",IF(Q187='תחום תמיכה ג'!$Q$2,'תחום תמיכה ג'!$Q$2,IFERROR(SUMIF(N187:R187,"&gt;0"),'תחום תמיכה ג'!$Q$2)))</f>
        <v>419916.72858692589</v>
      </c>
      <c r="U187" s="187">
        <f>IF($F187="","",'הזנה לתנאי סף'!Y187)</f>
        <v>2500000</v>
      </c>
      <c r="V187" s="269">
        <f>IF(F187="","",'הגבלה לסכום מבוקש '!AA187)</f>
        <v>472784.3911024949</v>
      </c>
      <c r="W187" s="187">
        <f t="shared" si="9"/>
        <v>118196.09777562373</v>
      </c>
      <c r="X187" s="187">
        <f>IF(F187="","",'הזנה לתנאי סף'!Z187)</f>
        <v>1000000</v>
      </c>
      <c r="Y187" s="237" t="str">
        <f>IFERROR(VLOOKUP(G187*1,#REF!,3,0),"")</f>
        <v/>
      </c>
      <c r="Z187" s="187" t="str">
        <f>IF(OR($F187="",Y187=""),"",IFERROR(IF(Y187&gt;V187,MIN(Y187,T187)-V187,0),'תחום תמיכה ג'!$Q$2))</f>
        <v/>
      </c>
      <c r="AA187" s="259"/>
      <c r="AB187" s="260" t="str">
        <f t="shared" si="10"/>
        <v/>
      </c>
      <c r="AC187" s="261"/>
      <c r="AD187" s="180"/>
      <c r="AE187" s="13" t="str">
        <f>IF($C187="","",IFERROR(VLOOKUP($C187,גיליון1!$A:$E,2,0),"לא הגיש בקשה שוטפת"))</f>
        <v>תאטרון 2020- בקשה לתמיכה</v>
      </c>
      <c r="AF187" s="13" t="str">
        <f>IF($C187="","",IFERROR(VLOOKUP($C187,גיליון1!$A:$E,3,0),"לא הגיש בקשה שוטפת"))</f>
        <v>חויב</v>
      </c>
      <c r="AG187" s="13" t="str">
        <f>IF($C187="","",IFERROR(VLOOKUP($C187,גיליון1!$A:$E,4,0),"לא הגיש בקשה שוטפת"))</f>
        <v>19-42-02-07</v>
      </c>
      <c r="AH187" s="13" t="str">
        <f>IF($C187="","",IFERROR(VLOOKUP($C187,גיליון1!$A:$E,5,0),"לא הגיש בקשה שוטפת"))</f>
        <v>תיאטרון</v>
      </c>
      <c r="AI187" s="13">
        <f t="shared" si="11"/>
        <v>0</v>
      </c>
      <c r="AJ187"/>
      <c r="AK187" t="s">
        <v>147</v>
      </c>
    </row>
    <row r="188" spans="1:37" ht="57.75" x14ac:dyDescent="0.25">
      <c r="A188" s="54">
        <f>'הזנה לתנאי סף'!B188</f>
        <v>158</v>
      </c>
      <c r="B188" s="266">
        <f>IF($F188="","",'הזנה לתנאי סף'!C188)</f>
        <v>1001347746</v>
      </c>
      <c r="C188" s="266">
        <f>IF($F188="","",'הזנה לתנאי סף'!D188)</f>
        <v>1001278693</v>
      </c>
      <c r="D188" s="266">
        <f>IF($F188="","",'הזנה לתנאי סף'!E188)</f>
        <v>40521896</v>
      </c>
      <c r="E188" s="55">
        <f>IF($F188="","",'הזנה לתנאי סף'!F188)</f>
        <v>20000254</v>
      </c>
      <c r="F188" s="55" t="str">
        <f>IF('הזנה לתנאי סף'!BL188=1,'הזנה לתנאי סף'!G188,"")</f>
        <v>באר שבע</v>
      </c>
      <c r="G188" s="55" t="str">
        <f>IF($F188="","",'הזנה לתנאי סף'!H188)</f>
        <v>תיאטרון הפרינג' באר שבע (ע"ר)</v>
      </c>
      <c r="H188" s="55" t="str">
        <f>IF($F188="","",'הזנה לתנאי סף'!I188)</f>
        <v>אחר</v>
      </c>
      <c r="I188" s="187">
        <f>IF($F188="","",'הזנה לתנאי סף'!R188)</f>
        <v>1992560</v>
      </c>
      <c r="J188" s="187">
        <f>IF($F188="","",'תחום תמיכה א'!P188)</f>
        <v>1613382</v>
      </c>
      <c r="K188" s="177">
        <f>IF($F188="","",'הזנה לתנאי סף'!N188)</f>
        <v>1</v>
      </c>
      <c r="L188" s="177">
        <f>IF($F188="","",'הזנה לתנאי סף'!O188)</f>
        <v>1</v>
      </c>
      <c r="M188" s="177">
        <f>IF($F188="","",'הזנה לתנאי סף'!Q188)</f>
        <v>1</v>
      </c>
      <c r="N188" s="187">
        <f>IF($F188="","",'תחום תמיכה א'!AE188)</f>
        <v>35790.045249903676</v>
      </c>
      <c r="O188" s="178"/>
      <c r="P188" s="187">
        <f>IF($F188="","",'תחום תמיכה ב'!AC188)</f>
        <v>55926.665508867482</v>
      </c>
      <c r="Q188" s="187">
        <f>IF($F188="","",IF('תחום תמיכה ג'!O188="",0,'תחום תמיכה ג'!O188))</f>
        <v>705.56149468332364</v>
      </c>
      <c r="R188" s="187">
        <f t="shared" si="8"/>
        <v>1676.96398728848</v>
      </c>
      <c r="S188" s="187">
        <f>IF($F188="","",'תחום תמיכה ב'!AE188)</f>
        <v>57603.629496155962</v>
      </c>
      <c r="T188" s="187">
        <f>IF($F188="","",IF(Q188='תחום תמיכה ג'!$Q$2,'תחום תמיכה ג'!$Q$2,IFERROR(SUMIF(N188:R188,"&gt;0"),'תחום תמיכה ג'!$Q$2)))</f>
        <v>94099.236240742961</v>
      </c>
      <c r="U188" s="187">
        <f>IF($F188="","",'הזנה לתנאי סף'!Y188)</f>
        <v>2500000</v>
      </c>
      <c r="V188" s="269">
        <f>IF(F188="","",'הגבלה לסכום מבוקש '!AA188)</f>
        <v>103694.17190858803</v>
      </c>
      <c r="W188" s="187">
        <f t="shared" si="9"/>
        <v>25923.542977147008</v>
      </c>
      <c r="X188" s="187">
        <f>IF(F188="","",'הזנה לתנאי סף'!Z188)</f>
        <v>2500000</v>
      </c>
      <c r="Y188" s="237" t="str">
        <f>IFERROR(VLOOKUP(G188*1,#REF!,3,0),"")</f>
        <v/>
      </c>
      <c r="Z188" s="187" t="str">
        <f>IF(OR($F188="",Y188=""),"",IFERROR(IF(Y188&gt;V188,MIN(Y188,T188)-V188,0),'תחום תמיכה ג'!$Q$2))</f>
        <v/>
      </c>
      <c r="AA188" s="259"/>
      <c r="AB188" s="260" t="str">
        <f t="shared" si="10"/>
        <v/>
      </c>
      <c r="AC188" s="261"/>
      <c r="AD188" s="180"/>
      <c r="AE188" s="13" t="str">
        <f>IF($C188="","",IFERROR(VLOOKUP($C188,גיליון1!$A:$E,2,0),"לא הגיש בקשה שוטפת"))</f>
        <v>אנסמל עיט 2020</v>
      </c>
      <c r="AF188" s="13" t="str">
        <f>IF($C188="","",IFERROR(VLOOKUP($C188,גיליון1!$A:$E,3,0),"לא הגיש בקשה שוטפת"))</f>
        <v>מועד</v>
      </c>
      <c r="AG188" s="13" t="str">
        <f>IF($C188="","",IFERROR(VLOOKUP($C188,גיליון1!$A:$E,4,0),"לא הגיש בקשה שוטפת"))</f>
        <v>19-42-02-07</v>
      </c>
      <c r="AH188" s="13" t="str">
        <f>IF($C188="","",IFERROR(VLOOKUP($C188,גיליון1!$A:$E,5,0),"לא הגיש בקשה שוטפת"))</f>
        <v>תיאטרון</v>
      </c>
      <c r="AI188" s="13">
        <f t="shared" si="11"/>
        <v>0</v>
      </c>
      <c r="AJ188"/>
      <c r="AK188" t="s">
        <v>148</v>
      </c>
    </row>
    <row r="189" spans="1:37" ht="57.75" x14ac:dyDescent="0.25">
      <c r="A189" s="54">
        <f>'הזנה לתנאי סף'!B189</f>
        <v>159</v>
      </c>
      <c r="B189" s="266">
        <f>IF($F189="","",'הזנה לתנאי סף'!C189)</f>
        <v>1001347757</v>
      </c>
      <c r="C189" s="266">
        <f>IF($F189="","",'הזנה לתנאי סף'!D189)</f>
        <v>1001278627</v>
      </c>
      <c r="D189" s="266">
        <f>IF($F189="","",'הזנה לתנאי סף'!E189)</f>
        <v>40521896</v>
      </c>
      <c r="E189" s="55">
        <f>IF($F189="","",'הזנה לתנאי סף'!F189)</f>
        <v>20000254</v>
      </c>
      <c r="F189" s="55" t="str">
        <f>IF('הזנה לתנאי סף'!BL189=1,'הזנה לתנאי סף'!G189,"")</f>
        <v>באר שבע</v>
      </c>
      <c r="G189" s="55" t="str">
        <f>IF($F189="","",'הזנה לתנאי סף'!H189)</f>
        <v>תיאטרון הפרינג' באר שבע (ע"ר)</v>
      </c>
      <c r="H189" s="55" t="str">
        <f>IF($F189="","",'הזנה לתנאי סף'!I189)</f>
        <v>אחר</v>
      </c>
      <c r="I189" s="187">
        <f>IF($F189="","",'הזנה לתנאי סף'!R189)</f>
        <v>1332551</v>
      </c>
      <c r="J189" s="187">
        <f>IF($F189="","",'תחום תמיכה א'!P189)</f>
        <v>1034040</v>
      </c>
      <c r="K189" s="177">
        <f>IF($F189="","",'הזנה לתנאי סף'!N189)</f>
        <v>1</v>
      </c>
      <c r="L189" s="177">
        <f>IF($F189="","",'הזנה לתנאי סף'!O189)</f>
        <v>1</v>
      </c>
      <c r="M189" s="177">
        <f>IF($F189="","",'הזנה לתנאי סף'!Q189)</f>
        <v>1</v>
      </c>
      <c r="N189" s="187">
        <f>IF($F189="","",'תחום תמיכה א'!AE189)</f>
        <v>25535.511738206613</v>
      </c>
      <c r="O189" s="178"/>
      <c r="P189" s="187">
        <f>IF($F189="","",'תחום תמיכה ב'!AC189)</f>
        <v>46350.639575573732</v>
      </c>
      <c r="Q189" s="187">
        <f>IF($F189="","",IF('תחום תמיכה ג'!O189="",0,'תחום תמיכה ג'!O189))</f>
        <v>584.75194687379565</v>
      </c>
      <c r="R189" s="187">
        <f t="shared" si="8"/>
        <v>1389.8263493592531</v>
      </c>
      <c r="S189" s="187">
        <f>IF($F189="","",'תחום תמיכה ב'!AE189)</f>
        <v>47740.465924932985</v>
      </c>
      <c r="T189" s="187">
        <f>IF($F189="","",IF(Q189='תחום תמיכה ג'!$Q$2,'תחום תמיכה ג'!$Q$2,IFERROR(SUMIF(N189:R189,"&gt;0"),'תחום תמיכה ג'!$Q$2)))</f>
        <v>73860.729610013397</v>
      </c>
      <c r="U189" s="187">
        <f>IF($F189="","",'הזנה לתנאי סף'!Y189)</f>
        <v>1500000</v>
      </c>
      <c r="V189" s="269">
        <f>IF(F189="","",'הגבלה לסכום מבוקש '!AA189)</f>
        <v>81810.896541686205</v>
      </c>
      <c r="W189" s="187">
        <f t="shared" si="9"/>
        <v>20452.724135421551</v>
      </c>
      <c r="X189" s="187">
        <f>IF(F189="","",'הזנה לתנאי סף'!Z189)</f>
        <v>1500000</v>
      </c>
      <c r="Y189" s="237" t="str">
        <f>IFERROR(VLOOKUP(G189*1,#REF!,3,0),"")</f>
        <v/>
      </c>
      <c r="Z189" s="187" t="str">
        <f>IF(OR($F189="",Y189=""),"",IFERROR(IF(Y189&gt;V189,MIN(Y189,T189)-V189,0),'תחום תמיכה ג'!$Q$2))</f>
        <v/>
      </c>
      <c r="AA189" s="259"/>
      <c r="AB189" s="260" t="str">
        <f t="shared" si="10"/>
        <v/>
      </c>
      <c r="AC189" s="261"/>
      <c r="AD189" s="180"/>
      <c r="AE189" s="13" t="str">
        <f>IF($C189="","",IFERROR(VLOOKUP($C189,גיליון1!$A:$E,2,0),"לא הגיש בקשה שוטפת"))</f>
        <v>מרכז אירוח 2020</v>
      </c>
      <c r="AF189" s="13" t="str">
        <f>IF($C189="","",IFERROR(VLOOKUP($C189,גיליון1!$A:$E,3,0),"לא הגיש בקשה שוטפת"))</f>
        <v>מועד</v>
      </c>
      <c r="AG189" s="13" t="str">
        <f>IF($C189="","",IFERROR(VLOOKUP($C189,גיליון1!$A:$E,4,0),"לא הגיש בקשה שוטפת"))</f>
        <v>19-42-02-07</v>
      </c>
      <c r="AH189" s="13" t="str">
        <f>IF($C189="","",IFERROR(VLOOKUP($C189,גיליון1!$A:$E,5,0),"לא הגיש בקשה שוטפת"))</f>
        <v>תיאטרון</v>
      </c>
      <c r="AI189" s="13">
        <f t="shared" si="11"/>
        <v>0</v>
      </c>
      <c r="AJ189"/>
      <c r="AK189" t="s">
        <v>150</v>
      </c>
    </row>
    <row r="190" spans="1:37" ht="57.75" x14ac:dyDescent="0.25">
      <c r="A190" s="54">
        <f>'הזנה לתנאי סף'!B190</f>
        <v>160</v>
      </c>
      <c r="B190" s="266">
        <f>IF($F190="","",'הזנה לתנאי סף'!C190)</f>
        <v>1001350316</v>
      </c>
      <c r="C190" s="266">
        <f>IF($F190="","",'הזנה לתנאי סף'!D190)</f>
        <v>1001265592</v>
      </c>
      <c r="D190" s="266">
        <f>IF($F190="","",'הזנה לתנאי סף'!E190)</f>
        <v>40521896</v>
      </c>
      <c r="E190" s="55">
        <f>IF($F190="","",'הזנה לתנאי סף'!F190)</f>
        <v>20000254</v>
      </c>
      <c r="F190" s="55" t="str">
        <f>IF('הזנה לתנאי סף'!BL190=1,'הזנה לתנאי סף'!G190,"")</f>
        <v>באר שבע</v>
      </c>
      <c r="G190" s="55" t="str">
        <f>IF($F190="","",'הזנה לתנאי סף'!H190)</f>
        <v>תיאטרון הפרינג' באר שבע (ע"ר)</v>
      </c>
      <c r="H190" s="55" t="str">
        <f>IF($F190="","",'הזנה לתנאי סף'!I190)</f>
        <v>אחר</v>
      </c>
      <c r="I190" s="187">
        <f>IF($F190="","",'הזנה לתנאי סף'!R190)</f>
        <v>843196</v>
      </c>
      <c r="J190" s="187">
        <f>IF($F190="","",'תחום תמיכה א'!P190)</f>
        <v>604368</v>
      </c>
      <c r="K190" s="177">
        <f>IF($F190="","",'הזנה לתנאי סף'!N190)</f>
        <v>1</v>
      </c>
      <c r="L190" s="177">
        <f>IF($F190="","",'הזנה לתנאי סף'!O190)</f>
        <v>1</v>
      </c>
      <c r="M190" s="177">
        <f>IF($F190="","",'הזנה לתנאי סף'!Q190)</f>
        <v>1</v>
      </c>
      <c r="N190" s="187">
        <f>IF($F190="","",'תחום תמיכה א'!AE190)</f>
        <v>19407.375761293511</v>
      </c>
      <c r="O190" s="178"/>
      <c r="P190" s="187">
        <f>IF($F190="","",'תחום תמיכה ב'!AC190)</f>
        <v>49592.577728214113</v>
      </c>
      <c r="Q190" s="187">
        <f>IF($F190="","",IF('תחום תמיכה ג'!O190="",0,'תחום תמיכה ג'!O190))</f>
        <v>625.6516985009539</v>
      </c>
      <c r="R190" s="187">
        <f t="shared" si="8"/>
        <v>1487.0360342479835</v>
      </c>
      <c r="S190" s="187">
        <f>IF($F190="","",'תחום תמיכה ב'!AE190)</f>
        <v>51079.613762462097</v>
      </c>
      <c r="T190" s="187">
        <f>IF($F190="","",IF(Q190='תחום תמיכה ג'!$Q$2,'תחום תמיכה ג'!$Q$2,IFERROR(SUMIF(N190:R190,"&gt;0"),'תחום תמיכה ג'!$Q$2)))</f>
        <v>71112.641222256556</v>
      </c>
      <c r="U190" s="187">
        <f>IF($F190="","",'הזנה לתנאי סף'!Y190)</f>
        <v>1000000</v>
      </c>
      <c r="V190" s="269">
        <f>IF(F190="","",'הגבלה לסכום מבוקש '!AA190)</f>
        <v>79615.26920837404</v>
      </c>
      <c r="W190" s="187">
        <f t="shared" si="9"/>
        <v>19903.81730209351</v>
      </c>
      <c r="X190" s="187">
        <f>IF(F190="","",'הזנה לתנאי סף'!Z190)</f>
        <v>1000000</v>
      </c>
      <c r="Y190" s="237" t="str">
        <f>IFERROR(VLOOKUP(G190*1,#REF!,3,0),"")</f>
        <v/>
      </c>
      <c r="Z190" s="187" t="str">
        <f>IF(OR($F190="",Y190=""),"",IFERROR(IF(Y190&gt;V190,MIN(Y190,T190)-V190,0),'תחום תמיכה ג'!$Q$2))</f>
        <v/>
      </c>
      <c r="AA190" s="259"/>
      <c r="AB190" s="260" t="str">
        <f t="shared" si="10"/>
        <v/>
      </c>
      <c r="AC190" s="261"/>
      <c r="AD190" s="180"/>
      <c r="AE190" s="13" t="str">
        <f>IF($C190="","",IFERROR(VLOOKUP($C190,גיליון1!$A:$E,2,0),"לא הגיש בקשה שוטפת"))</f>
        <v>פסטיבל פרינג 2020</v>
      </c>
      <c r="AF190" s="13" t="str">
        <f>IF($C190="","",IFERROR(VLOOKUP($C190,גיליון1!$A:$E,3,0),"לא הגיש בקשה שוטפת"))</f>
        <v>מועד</v>
      </c>
      <c r="AG190" s="13" t="str">
        <f>IF($C190="","",IFERROR(VLOOKUP($C190,גיליון1!$A:$E,4,0),"לא הגיש בקשה שוטפת"))</f>
        <v>19-42-02-26</v>
      </c>
      <c r="AH190" s="13" t="str">
        <f>IF($C190="","",IFERROR(VLOOKUP($C190,גיליון1!$A:$E,5,0),"לא הגיש בקשה שוטפת"))</f>
        <v>פסטיבלים לתרבות</v>
      </c>
      <c r="AI190" s="13">
        <f t="shared" si="11"/>
        <v>0</v>
      </c>
      <c r="AJ190"/>
      <c r="AK190" t="s">
        <v>156</v>
      </c>
    </row>
    <row r="191" spans="1:37" ht="43.5" x14ac:dyDescent="0.25">
      <c r="A191" s="54">
        <f>'הזנה לתנאי סף'!B191</f>
        <v>161</v>
      </c>
      <c r="B191" s="266">
        <f>IF($F191="","",'הזנה לתנאי סף'!C191)</f>
        <v>1001348946</v>
      </c>
      <c r="C191" s="266">
        <f>IF($F191="","",'הזנה לתנאי סף'!D191)</f>
        <v>1001278264</v>
      </c>
      <c r="D191" s="266">
        <f>IF($F191="","",'הזנה לתנאי סף'!E191)</f>
        <v>40526318</v>
      </c>
      <c r="E191" s="55">
        <f>IF($F191="","",'הזנה לתנאי סף'!F191)</f>
        <v>20000159</v>
      </c>
      <c r="F191" s="55" t="str">
        <f>IF('הזנה לתנאי סף'!BL191=1,'הזנה לתנאי סף'!G191,"")</f>
        <v>ירושלים</v>
      </c>
      <c r="G191" s="55" t="str">
        <f>IF($F191="","",'הזנה לתנאי סף'!H191)</f>
        <v>קהילות שרות פיוט וניגון (ע"ר)</v>
      </c>
      <c r="H191" s="55" t="str">
        <f>IF($F191="","",'הזנה לתנאי סף'!I191)</f>
        <v>חזנות</v>
      </c>
      <c r="I191" s="187">
        <f>IF($F191="","",'הזנה לתנאי סף'!R191)</f>
        <v>647714</v>
      </c>
      <c r="J191" s="187">
        <f>IF($F191="","",'תחום תמיכה א'!P191)</f>
        <v>624720</v>
      </c>
      <c r="K191" s="177">
        <f>IF($F191="","",'הזנה לתנאי סף'!N191)</f>
        <v>1</v>
      </c>
      <c r="L191" s="177">
        <f>IF($F191="","",'הזנה לתנאי סף'!O191)</f>
        <v>1</v>
      </c>
      <c r="M191" s="177">
        <f>IF($F191="","",'הזנה לתנאי סף'!Q191)</f>
        <v>1</v>
      </c>
      <c r="N191" s="187">
        <f>IF($F191="","",'תחום תמיכה א'!AE191)</f>
        <v>21112.12555365144</v>
      </c>
      <c r="O191" s="178"/>
      <c r="P191" s="187">
        <f>IF($F191="","",'תחום תמיכה ב'!AC191)</f>
        <v>42192.360468135121</v>
      </c>
      <c r="Q191" s="187">
        <f>IF($F191="","",IF('תחום תמיכה ג'!O191="",0,'תחום תמיכה ג'!O191))</f>
        <v>7293.7250171889373</v>
      </c>
      <c r="R191" s="187">
        <f t="shared" si="8"/>
        <v>1265.1401330647568</v>
      </c>
      <c r="S191" s="187">
        <f>IF($F191="","",'תחום תמיכה ב'!AE191)</f>
        <v>43457.500601199878</v>
      </c>
      <c r="T191" s="187">
        <f>IF($F191="","",IF(Q191='תחום תמיכה ג'!$Q$2,'תחום תמיכה ג'!$Q$2,IFERROR(SUMIF(N191:R191,"&gt;0"),'תחום תמיכה ג'!$Q$2)))</f>
        <v>71863.351172040246</v>
      </c>
      <c r="U191" s="187">
        <f>IF($F191="","",'הזנה לתנאי סף'!Y191)</f>
        <v>200000</v>
      </c>
      <c r="V191" s="269">
        <f>IF(F191="","",'הגבלה לסכום מבוקש '!AA191)</f>
        <v>79102.388303548854</v>
      </c>
      <c r="W191" s="187">
        <f t="shared" si="9"/>
        <v>19775.597075887214</v>
      </c>
      <c r="X191" s="187">
        <f>IF(F191="","",'הזנה לתנאי סף'!Z191)</f>
        <v>50000</v>
      </c>
      <c r="Y191" s="237" t="str">
        <f>IFERROR(VLOOKUP(G191*1,#REF!,3,0),"")</f>
        <v/>
      </c>
      <c r="Z191" s="187" t="str">
        <f>IF(OR($F191="",Y191=""),"",IFERROR(IF(Y191&gt;V191,MIN(Y191,T191)-V191,0),'תחום תמיכה ג'!$Q$2))</f>
        <v/>
      </c>
      <c r="AA191" s="259"/>
      <c r="AB191" s="260" t="str">
        <f t="shared" si="10"/>
        <v/>
      </c>
      <c r="AC191" s="261"/>
      <c r="AD191" s="180"/>
      <c r="AE191" s="13" t="str">
        <f>IF($C191="","",IFERROR(VLOOKUP($C191,גיליון1!$A:$E,2,0),"לא הגיש בקשה שוטפת"))</f>
        <v>תמיכה שוטפת</v>
      </c>
      <c r="AF191" s="13" t="str">
        <f>IF($C191="","",IFERROR(VLOOKUP($C191,גיליון1!$A:$E,3,0),"לא הגיש בקשה שוטפת"))</f>
        <v>חויב</v>
      </c>
      <c r="AG191" s="13" t="str">
        <f>IF($C191="","",IFERROR(VLOOKUP($C191,גיליון1!$A:$E,4,0),"לא הגיש בקשה שוטפת"))</f>
        <v>19-42-02-47</v>
      </c>
      <c r="AH191" s="13" t="str">
        <f>IF($C191="","",IFERROR(VLOOKUP($C191,גיליון1!$A:$E,5,0),"לא הגיש בקשה שוטפת"))</f>
        <v>מענק ירושלים לתרבות</v>
      </c>
      <c r="AI191" s="13">
        <f t="shared" si="11"/>
        <v>0</v>
      </c>
      <c r="AJ191"/>
      <c r="AK191" t="s">
        <v>160</v>
      </c>
    </row>
    <row r="192" spans="1:37" ht="57.75" x14ac:dyDescent="0.25">
      <c r="A192" s="54">
        <f>'הזנה לתנאי סף'!B192</f>
        <v>162</v>
      </c>
      <c r="B192" s="266">
        <f>IF($F192="","",'הזנה לתנאי סף'!C192)</f>
        <v>1001348956</v>
      </c>
      <c r="C192" s="266">
        <f>IF($F192="","",'הזנה לתנאי סף'!D192)</f>
        <v>1001274741</v>
      </c>
      <c r="D192" s="266">
        <f>IF($F192="","",'הזנה לתנאי סף'!E192)</f>
        <v>40527700</v>
      </c>
      <c r="E192" s="55">
        <f>IF($F192="","",'הזנה לתנאי סף'!F192)</f>
        <v>20000201</v>
      </c>
      <c r="F192" s="55" t="str">
        <f>IF('הזנה לתנאי סף'!BL192=1,'הזנה לתנאי סף'!G192,"")</f>
        <v>תל אביב -יפו</v>
      </c>
      <c r="G192" s="55" t="str">
        <f>IF($F192="","",'הזנה לתנאי סף'!H192)</f>
        <v>המקהלה הישראלית ע"ש גארי ברתיני (ע"</v>
      </c>
      <c r="H192" s="55" t="str">
        <f>IF($F192="","",'הזנה לתנאי סף'!I192)</f>
        <v>מוסיקה-גופים כליים</v>
      </c>
      <c r="I192" s="187">
        <f>IF($F192="","",'הזנה לתנאי סף'!R192)</f>
        <v>1598624</v>
      </c>
      <c r="J192" s="187">
        <f>IF($F192="","",'תחום תמיכה א'!P192)</f>
        <v>1451585</v>
      </c>
      <c r="K192" s="177">
        <f>IF($F192="","",'הזנה לתנאי סף'!N192)</f>
        <v>1</v>
      </c>
      <c r="L192" s="177">
        <f>IF($F192="","",'הזנה לתנאי סף'!O192)</f>
        <v>1</v>
      </c>
      <c r="M192" s="177">
        <f>IF($F192="","",'הזנה לתנאי סף'!Q192)</f>
        <v>1</v>
      </c>
      <c r="N192" s="187">
        <f>IF($F192="","",'תחום תמיכה א'!AE192)</f>
        <v>65253.392585750902</v>
      </c>
      <c r="O192" s="178"/>
      <c r="P192" s="187">
        <f>IF($F192="","",'תחום תמיכה ב'!AC192)</f>
        <v>184257.43259402367</v>
      </c>
      <c r="Q192" s="187">
        <f>IF($F192="","",IF('תחום תמיכה ג'!O192="",0,'תחום תמיכה ג'!O192))</f>
        <v>77267.022056552814</v>
      </c>
      <c r="R192" s="187">
        <f t="shared" si="8"/>
        <v>5524.9687432450301</v>
      </c>
      <c r="S192" s="187">
        <f>IF($F192="","",'תחום תמיכה ב'!AE192)</f>
        <v>189782.4013372687</v>
      </c>
      <c r="T192" s="187">
        <f>IF($F192="","",IF(Q192='תחום תמיכה ג'!$Q$2,'תחום תמיכה ג'!$Q$2,IFERROR(SUMIF(N192:R192,"&gt;0"),'תחום תמיכה ג'!$Q$2)))</f>
        <v>332302.81597957236</v>
      </c>
      <c r="U192" s="187">
        <f>IF($F192="","",'הזנה לתנאי סף'!Y192)</f>
        <v>180000</v>
      </c>
      <c r="V192" s="269">
        <f>IF(F192="","",'הגבלה לסכום מבוקש '!AA192)</f>
        <v>180000</v>
      </c>
      <c r="W192" s="187">
        <f t="shared" si="9"/>
        <v>45000</v>
      </c>
      <c r="X192" s="187">
        <f>IF(F192="","",'הזנה לתנאי סף'!Z192)</f>
        <v>50000</v>
      </c>
      <c r="Y192" s="237" t="str">
        <f>IFERROR(VLOOKUP(G192*1,#REF!,3,0),"")</f>
        <v/>
      </c>
      <c r="Z192" s="187" t="str">
        <f>IF(OR($F192="",Y192=""),"",IFERROR(IF(Y192&gt;V192,MIN(Y192,T192)-V192,0),'תחום תמיכה ג'!$Q$2))</f>
        <v/>
      </c>
      <c r="AA192" s="259"/>
      <c r="AB192" s="260" t="str">
        <f t="shared" si="10"/>
        <v/>
      </c>
      <c r="AC192" s="261"/>
      <c r="AD192" s="180"/>
      <c r="AE192" s="13" t="str">
        <f>IF($C192="","",IFERROR(VLOOKUP($C192,גיליון1!$A:$E,2,0),"לא הגיש בקשה שוטפת"))</f>
        <v>מקהלת ברתיני תמיכה שוטפת 2020</v>
      </c>
      <c r="AF192" s="13" t="str">
        <f>IF($C192="","",IFERROR(VLOOKUP($C192,גיליון1!$A:$E,3,0),"לא הגיש בקשה שוטפת"))</f>
        <v>מועד</v>
      </c>
      <c r="AG192" s="13" t="str">
        <f>IF($C192="","",IFERROR(VLOOKUP($C192,גיליון1!$A:$E,4,0),"לא הגיש בקשה שוטפת"))</f>
        <v>19-42-02-16</v>
      </c>
      <c r="AH192" s="13" t="str">
        <f>IF($C192="","",IFERROR(VLOOKUP($C192,גיליון1!$A:$E,5,0),"לא הגיש בקשה שוטפת"))</f>
        <v>מוסיקה</v>
      </c>
      <c r="AI192" s="13">
        <f t="shared" si="11"/>
        <v>1</v>
      </c>
      <c r="AJ192"/>
      <c r="AK192" t="s">
        <v>166</v>
      </c>
    </row>
    <row r="193" spans="1:37" ht="43.5" x14ac:dyDescent="0.25">
      <c r="A193" s="54">
        <f>'הזנה לתנאי סף'!B193</f>
        <v>163</v>
      </c>
      <c r="B193" s="266">
        <f>IF($F193="","",'הזנה לתנאי סף'!C193)</f>
        <v>1001348979</v>
      </c>
      <c r="C193" s="266">
        <f>IF($F193="","",'הזנה לתנאי סף'!D193)</f>
        <v>1001274745</v>
      </c>
      <c r="D193" s="266">
        <f>IF($F193="","",'הזנה לתנאי סף'!E193)</f>
        <v>40527701</v>
      </c>
      <c r="E193" s="55">
        <f>IF($F193="","",'הזנה לתנאי סף'!F193)</f>
        <v>20000201</v>
      </c>
      <c r="F193" s="55" t="str">
        <f>IF('הזנה לתנאי סף'!BL193=1,'הזנה לתנאי סף'!G193,"")</f>
        <v>תל אביב -יפו</v>
      </c>
      <c r="G193" s="55" t="str">
        <f>IF($F193="","",'הזנה לתנאי סף'!H193)</f>
        <v>תיאטרון הקיבוץ (ע"ר)</v>
      </c>
      <c r="H193" s="55" t="str">
        <f>IF($F193="","",'הזנה לתנאי סף'!I193)</f>
        <v>תיאטרון</v>
      </c>
      <c r="I193" s="187">
        <f>IF($F193="","",'הזנה לתנאי סף'!R193)</f>
        <v>5787000</v>
      </c>
      <c r="J193" s="187">
        <f>IF($F193="","",'תחום תמיכה א'!P193)</f>
        <v>5717000</v>
      </c>
      <c r="K193" s="177">
        <f>IF($F193="","",'הזנה לתנאי סף'!N193)</f>
        <v>1</v>
      </c>
      <c r="L193" s="177">
        <f>IF($F193="","",'הזנה לתנאי סף'!O193)</f>
        <v>1</v>
      </c>
      <c r="M193" s="177">
        <f>IF($F193="","",'הזנה לתנאי סף'!Q193)</f>
        <v>1</v>
      </c>
      <c r="N193" s="187">
        <f>IF($F193="","",'תחום תמיכה א'!AE193)</f>
        <v>272068.50448056741</v>
      </c>
      <c r="O193" s="178"/>
      <c r="P193" s="187">
        <f>IF($F193="","",'תחום תמיכה ב'!AC193)</f>
        <v>747534.21449180099</v>
      </c>
      <c r="Q193" s="187">
        <f>IF($F193="","",IF('תחום תמיכה ג'!O193="",0,'תחום תמיכה ג'!O193))</f>
        <v>313473.06768584211</v>
      </c>
      <c r="R193" s="187">
        <f t="shared" si="8"/>
        <v>22414.852478018147</v>
      </c>
      <c r="S193" s="187">
        <f>IF($F193="","",'תחום תמיכה ב'!AE193)</f>
        <v>769949.06696981913</v>
      </c>
      <c r="T193" s="187">
        <f>IF($F193="","",IF(Q193='תחום תמיכה ג'!$Q$2,'תחום תמיכה ג'!$Q$2,IFERROR(SUMIF(N193:R193,"&gt;0"),'תחום תמיכה ג'!$Q$2)))</f>
        <v>1355490.6391362287</v>
      </c>
      <c r="U193" s="187">
        <f>IF($F193="","",'הזנה לתנאי סף'!Y193)</f>
        <v>700000</v>
      </c>
      <c r="V193" s="269">
        <f>IF(F193="","",'הגבלה לסכום מבוקש '!AA193)</f>
        <v>700000</v>
      </c>
      <c r="W193" s="187">
        <f t="shared" si="9"/>
        <v>175000</v>
      </c>
      <c r="X193" s="187">
        <f>IF(F193="","",'הזנה לתנאי סף'!Z193)</f>
        <v>400000</v>
      </c>
      <c r="Y193" s="237" t="str">
        <f>IFERROR(VLOOKUP(G193*1,#REF!,3,0),"")</f>
        <v/>
      </c>
      <c r="Z193" s="187" t="str">
        <f>IF(OR($F193="",Y193=""),"",IFERROR(IF(Y193&gt;V193,MIN(Y193,T193)-V193,0),'תחום תמיכה ג'!$Q$2))</f>
        <v/>
      </c>
      <c r="AA193" s="259"/>
      <c r="AB193" s="260" t="str">
        <f t="shared" si="10"/>
        <v/>
      </c>
      <c r="AC193" s="261"/>
      <c r="AD193" s="180"/>
      <c r="AE193" s="13" t="str">
        <f>IF($C193="","",IFERROR(VLOOKUP($C193,גיליון1!$A:$E,2,0),"לא הגיש בקשה שוטפת"))</f>
        <v>תיאטרון הקיבוץ - תמיכה שוטפת 2020</v>
      </c>
      <c r="AF193" s="13" t="str">
        <f>IF($C193="","",IFERROR(VLOOKUP($C193,גיליון1!$A:$E,3,0),"לא הגיש בקשה שוטפת"))</f>
        <v>חויב</v>
      </c>
      <c r="AG193" s="13" t="str">
        <f>IF($C193="","",IFERROR(VLOOKUP($C193,גיליון1!$A:$E,4,0),"לא הגיש בקשה שוטפת"))</f>
        <v>19-42-02-07</v>
      </c>
      <c r="AH193" s="13" t="str">
        <f>IF($C193="","",IFERROR(VLOOKUP($C193,גיליון1!$A:$E,5,0),"לא הגיש בקשה שוטפת"))</f>
        <v>תיאטרון</v>
      </c>
      <c r="AI193" s="13">
        <f t="shared" si="11"/>
        <v>1</v>
      </c>
      <c r="AJ193"/>
      <c r="AK193" t="s">
        <v>170</v>
      </c>
    </row>
    <row r="194" spans="1:37" ht="29.25" x14ac:dyDescent="0.25">
      <c r="A194" s="54">
        <f>'הזנה לתנאי סף'!B194</f>
        <v>164</v>
      </c>
      <c r="B194" s="266">
        <f>IF($F194="","",'הזנה לתנאי סף'!C194)</f>
        <v>1001350362</v>
      </c>
      <c r="C194" s="266">
        <f>IF($F194="","",'הזנה לתנאי סף'!D194)</f>
        <v>1001301999</v>
      </c>
      <c r="D194" s="266">
        <f>IF($F194="","",'הזנה לתנאי סף'!E194)</f>
        <v>40216094</v>
      </c>
      <c r="E194" s="55">
        <f>IF($F194="","",'הזנה לתנאי סף'!F194)</f>
        <v>20000231</v>
      </c>
      <c r="F194" s="55" t="str">
        <f>IF('הזנה לתנאי סף'!BL194=1,'הזנה לתנאי סף'!G194,"")</f>
        <v>נצרת</v>
      </c>
      <c r="G194" s="55" t="str">
        <f>IF($F194="","",'הזנה לתנאי סף'!H194)</f>
        <v>אלחנין נצרת (ע"ר)</v>
      </c>
      <c r="H194" s="55" t="str">
        <f>IF($F194="","",'הזנה לתנאי סף'!I194)</f>
        <v>תיאטרון</v>
      </c>
      <c r="I194" s="187">
        <f>IF($F194="","",'הזנה לתנאי סף'!R194)</f>
        <v>1706019</v>
      </c>
      <c r="J194" s="187">
        <f>IF($F194="","",'תחום תמיכה א'!P194)</f>
        <v>1488051</v>
      </c>
      <c r="K194" s="177">
        <f>IF($F194="","",'הזנה לתנאי סף'!N194)</f>
        <v>0</v>
      </c>
      <c r="L194" s="177">
        <f>IF($F194="","",'הזנה לתנאי סף'!O194)</f>
        <v>1</v>
      </c>
      <c r="M194" s="177">
        <f>IF($F194="","",'הזנה לתנאי סף'!Q194)</f>
        <v>1</v>
      </c>
      <c r="N194" s="187">
        <f>IF($F194="","",'תחום תמיכה א'!AE194)</f>
        <v>34005.857294909263</v>
      </c>
      <c r="O194" s="178"/>
      <c r="P194" s="187">
        <f>IF($F194="","",'תחום תמיכה ב'!AC194)</f>
        <v>50817.48010490842</v>
      </c>
      <c r="Q194" s="187">
        <f>IF($F194="","",IF('תחום תמיכה ג'!O194="",0,'תחום תמיכה ג'!O194))</f>
        <v>0</v>
      </c>
      <c r="R194" s="187">
        <f t="shared" si="8"/>
        <v>1523.7647960107352</v>
      </c>
      <c r="S194" s="187">
        <f>IF($F194="","",'תחום תמיכה ב'!AE194)</f>
        <v>52341.244900919155</v>
      </c>
      <c r="T194" s="187">
        <f>IF($F194="","",IF(Q194='תחום תמיכה ג'!$Q$2,'תחום תמיכה ג'!$Q$2,IFERROR(SUMIF(N194:R194,"&gt;0"),'תחום תמיכה ג'!$Q$2)))</f>
        <v>86347.102195828425</v>
      </c>
      <c r="U194" s="187">
        <f>IF($F194="","",'הזנה לתנאי סף'!Y194)</f>
        <v>400000</v>
      </c>
      <c r="V194" s="269">
        <f>IF(F194="","",'הגבלה לסכום מבוקש '!AA194)</f>
        <v>95065.876115719409</v>
      </c>
      <c r="W194" s="187">
        <f t="shared" si="9"/>
        <v>23766.469028929852</v>
      </c>
      <c r="X194" s="187">
        <f>IF(F194="","",'הזנה לתנאי סף'!Z194)</f>
        <v>400000</v>
      </c>
      <c r="Y194" s="237" t="str">
        <f>IFERROR(VLOOKUP(G194*1,#REF!,3,0),"")</f>
        <v/>
      </c>
      <c r="Z194" s="187" t="str">
        <f>IF(OR($F194="",Y194=""),"",IFERROR(IF(Y194&gt;V194,MIN(Y194,T194)-V194,0),'תחום תמיכה ג'!$Q$2))</f>
        <v/>
      </c>
      <c r="AA194" s="259"/>
      <c r="AB194" s="260" t="str">
        <f t="shared" si="10"/>
        <v/>
      </c>
      <c r="AC194" s="261"/>
      <c r="AD194" s="180"/>
      <c r="AE194" s="13" t="str">
        <f>IF($C194="","",IFERROR(VLOOKUP($C194,גיליון1!$A:$E,2,0),"לא הגיש בקשה שוטפת"))</f>
        <v>בקשת תמיכה בפעילות השוטפת</v>
      </c>
      <c r="AF194" s="13" t="str">
        <f>IF($C194="","",IFERROR(VLOOKUP($C194,גיליון1!$A:$E,3,0),"לא הגיש בקשה שוטפת"))</f>
        <v>מועד</v>
      </c>
      <c r="AG194" s="13" t="str">
        <f>IF($C194="","",IFERROR(VLOOKUP($C194,גיליון1!$A:$E,4,0),"לא הגיש בקשה שוטפת"))</f>
        <v>19-42-02-33</v>
      </c>
      <c r="AH194" s="13" t="str">
        <f>IF($C194="","",IFERROR(VLOOKUP($C194,גיליון1!$A:$E,5,0),"לא הגיש בקשה שוטפת"))</f>
        <v>תרבות ערבית ודרוזית</v>
      </c>
      <c r="AI194" s="13">
        <f t="shared" si="11"/>
        <v>0</v>
      </c>
      <c r="AJ194"/>
      <c r="AK194" t="s">
        <v>131</v>
      </c>
    </row>
    <row r="195" spans="1:37" ht="72" x14ac:dyDescent="0.25">
      <c r="A195" s="54">
        <f>'הזנה לתנאי סף'!B195</f>
        <v>165</v>
      </c>
      <c r="B195" s="266">
        <f>IF($F195="","",'הזנה לתנאי סף'!C195)</f>
        <v>1001349141</v>
      </c>
      <c r="C195" s="266">
        <f>IF($F195="","",'הזנה לתנאי סף'!D195)</f>
        <v>1001263416</v>
      </c>
      <c r="D195" s="266">
        <f>IF($F195="","",'הזנה לתנאי סף'!E195)</f>
        <v>41375324</v>
      </c>
      <c r="E195" s="55">
        <f>IF($F195="","",'הזנה לתנאי סף'!F195)</f>
        <v>20000201</v>
      </c>
      <c r="F195" s="55" t="str">
        <f>IF('הזנה לתנאי סף'!BL195=1,'הזנה לתנאי סף'!G195,"")</f>
        <v>תל אביב -יפו</v>
      </c>
      <c r="G195" s="55" t="str">
        <f>IF($F195="","",'הזנה לתנאי סף'!H195)</f>
        <v>אדם יוצר - טיפוח הביטוי האמנותי (ע"</v>
      </c>
      <c r="H195" s="55" t="str">
        <f>IF($F195="","",'הזנה לתנאי סף'!I195)</f>
        <v>תיאטרון</v>
      </c>
      <c r="I195" s="187">
        <f>IF($F195="","",'הזנה לתנאי סף'!R195)</f>
        <v>70272</v>
      </c>
      <c r="J195" s="187">
        <f>IF($F195="","",'תחום תמיכה א'!P195)</f>
        <v>70535</v>
      </c>
      <c r="K195" s="177">
        <f>IF($F195="","",'הזנה לתנאי סף'!N195)</f>
        <v>0</v>
      </c>
      <c r="L195" s="177">
        <f>IF($F195="","",'הזנה לתנאי סף'!O195)</f>
        <v>1</v>
      </c>
      <c r="M195" s="177">
        <f>IF($F195="","",'הזנה לתנאי סף'!Q195)</f>
        <v>1</v>
      </c>
      <c r="N195" s="187">
        <f>IF($F195="","",'תחום תמיכה א'!AE195)</f>
        <v>3855.7606518945645</v>
      </c>
      <c r="O195" s="178"/>
      <c r="P195" s="187">
        <f>IF($F195="","",'תחום תמיכה ב'!AC195)</f>
        <v>7371.3036426403087</v>
      </c>
      <c r="Q195" s="187">
        <f>IF($F195="","",IF('תחום תמיכה ג'!O195="",0,'תחום תמיכה ג'!O195))</f>
        <v>0</v>
      </c>
      <c r="R195" s="187">
        <f t="shared" si="8"/>
        <v>221.02892485367647</v>
      </c>
      <c r="S195" s="187">
        <f>IF($F195="","",'תחום תמיכה ב'!AE195)</f>
        <v>7592.3325674939852</v>
      </c>
      <c r="T195" s="187">
        <f>IF($F195="","",IF(Q195='תחום תמיכה ג'!$Q$2,'תחום תמיכה ג'!$Q$2,IFERROR(SUMIF(N195:R195,"&gt;0"),'תחום תמיכה ג'!$Q$2)))</f>
        <v>11448.093219388549</v>
      </c>
      <c r="U195" s="187">
        <f>IF($F195="","",'הזנה לתנאי סף'!Y195)</f>
        <v>50000</v>
      </c>
      <c r="V195" s="269">
        <f>IF(F195="","",'הגבלה לסכום מבוקש '!AA195)</f>
        <v>12712.300160872284</v>
      </c>
      <c r="W195" s="187">
        <f t="shared" si="9"/>
        <v>3178.0750402180711</v>
      </c>
      <c r="X195" s="187">
        <f>IF(F195="","",'הזנה לתנאי סף'!Z195)</f>
        <v>25000</v>
      </c>
      <c r="Y195" s="237" t="str">
        <f>IFERROR(VLOOKUP(G195*1,#REF!,3,0),"")</f>
        <v/>
      </c>
      <c r="Z195" s="187" t="str">
        <f>IF(OR($F195="",Y195=""),"",IFERROR(IF(Y195&gt;V195,MIN(Y195,T195)-V195,0),'תחום תמיכה ג'!$Q$2))</f>
        <v/>
      </c>
      <c r="AA195" s="259"/>
      <c r="AB195" s="260" t="str">
        <f t="shared" si="10"/>
        <v/>
      </c>
      <c r="AC195" s="261"/>
      <c r="AD195" s="180"/>
      <c r="AE195" s="13" t="str">
        <f>IF($C195="","",IFERROR(VLOOKUP($C195,גיליון1!$A:$E,2,0),"לא הגיש בקשה שוטפת"))</f>
        <v>קבוצת תאטרון אנסמבל פספורט</v>
      </c>
      <c r="AF195" s="13" t="str">
        <f>IF($C195="","",IFERROR(VLOOKUP($C195,גיליון1!$A:$E,3,0),"לא הגיש בקשה שוטפת"))</f>
        <v>מועד</v>
      </c>
      <c r="AG195" s="13" t="str">
        <f>IF($C195="","",IFERROR(VLOOKUP($C195,גיליון1!$A:$E,4,0),"לא הגיש בקשה שוטפת"))</f>
        <v>19-42-02-07</v>
      </c>
      <c r="AH195" s="13" t="str">
        <f>IF($C195="","",IFERROR(VLOOKUP($C195,גיליון1!$A:$E,5,0),"לא הגיש בקשה שוטפת"))</f>
        <v>תיאטרון</v>
      </c>
      <c r="AI195" s="13">
        <f t="shared" si="11"/>
        <v>0</v>
      </c>
      <c r="AJ195"/>
      <c r="AK195" t="s">
        <v>128</v>
      </c>
    </row>
    <row r="196" spans="1:37" ht="72" x14ac:dyDescent="0.25">
      <c r="A196" s="54">
        <f>'הזנה לתנאי סף'!B196</f>
        <v>166</v>
      </c>
      <c r="B196" s="266">
        <f>IF($F196="","",'הזנה לתנאי סף'!C196)</f>
        <v>1001349841</v>
      </c>
      <c r="C196" s="266">
        <f>IF($F196="","",'הזנה לתנאי סף'!D196)</f>
        <v>1001263630</v>
      </c>
      <c r="D196" s="266">
        <f>IF($F196="","",'הזנה לתנאי סף'!E196)</f>
        <v>40003600</v>
      </c>
      <c r="E196" s="55">
        <f>IF($F196="","",'הזנה לתנאי סף'!F196)</f>
        <v>20000254</v>
      </c>
      <c r="F196" s="55" t="str">
        <f>IF('הזנה לתנאי סף'!BL196=1,'הזנה לתנאי סף'!G196,"")</f>
        <v>באר שבע</v>
      </c>
      <c r="G196" s="55" t="str">
        <f>IF($F196="","",'הזנה לתנאי סף'!H196)</f>
        <v>חברת בית יציב ב.ש בע"מ - חברה לתועל</v>
      </c>
      <c r="H196" s="55" t="str">
        <f>IF($F196="","",'הזנה לתנאי סף'!I196)</f>
        <v>מוזיאונים</v>
      </c>
      <c r="I196" s="187">
        <f>IF($F196="","",'הזנה לתנאי סף'!R196)</f>
        <v>9887297</v>
      </c>
      <c r="J196" s="187">
        <f>IF($F196="","",'תחום תמיכה א'!P196)</f>
        <v>9887490</v>
      </c>
      <c r="K196" s="177">
        <f>IF($F196="","",'הזנה לתנאי סף'!N196)</f>
        <v>1</v>
      </c>
      <c r="L196" s="177">
        <f>IF($F196="","",'הזנה לתנאי סף'!O196)</f>
        <v>1</v>
      </c>
      <c r="M196" s="177">
        <f>IF($F196="","",'הזנה לתנאי סף'!Q196)</f>
        <v>1</v>
      </c>
      <c r="N196" s="187">
        <f>IF($F196="","",'תחום תמיכה א'!AE196)</f>
        <v>458496.36369900266</v>
      </c>
      <c r="O196" s="178"/>
      <c r="P196" s="187">
        <f>IF($F196="","",'תחום תמיכה ב'!AC196)</f>
        <v>1212647.8330915791</v>
      </c>
      <c r="Q196" s="187">
        <f>IF($F196="","",IF('תחום תמיכה ג'!O196="",0,'תחום תמיכה ג'!O196))</f>
        <v>15298.563035282847</v>
      </c>
      <c r="R196" s="187">
        <f t="shared" si="8"/>
        <v>36361.308632561937</v>
      </c>
      <c r="S196" s="187">
        <f>IF($F196="","",'תחום תמיכה ב'!AE196)</f>
        <v>1249009.1417241411</v>
      </c>
      <c r="T196" s="187">
        <f>IF($F196="","",IF(Q196='תחום תמיכה ג'!$Q$2,'תחום תמיכה ג'!$Q$2,IFERROR(SUMIF(N196:R196,"&gt;0"),'תחום תמיכה ג'!$Q$2)))</f>
        <v>1722804.0684584265</v>
      </c>
      <c r="U196" s="187">
        <f>IF($F196="","",'הזנה לתנאי סף'!Y196)</f>
        <v>3700000</v>
      </c>
      <c r="V196" s="269">
        <f>IF(F196="","",'הגבלה לסכום מבוקש '!AA196)</f>
        <v>1930704.7524082023</v>
      </c>
      <c r="W196" s="187">
        <f t="shared" si="9"/>
        <v>482676.18810205057</v>
      </c>
      <c r="X196" s="187">
        <f>IF(F196="","",'הזנה לתנאי סף'!Z196)</f>
        <v>3700000</v>
      </c>
      <c r="Y196" s="237" t="str">
        <f>IFERROR(VLOOKUP(G196*1,#REF!,3,0),"")</f>
        <v/>
      </c>
      <c r="Z196" s="187" t="str">
        <f>IF(OR($F196="",Y196=""),"",IFERROR(IF(Y196&gt;V196,MIN(Y196,T196)-V196,0),'תחום תמיכה ג'!$Q$2))</f>
        <v/>
      </c>
      <c r="AA196" s="259"/>
      <c r="AB196" s="260" t="str">
        <f t="shared" si="10"/>
        <v/>
      </c>
      <c r="AC196" s="261"/>
      <c r="AD196" s="180"/>
      <c r="AE196" s="13" t="str">
        <f>IF($C196="","",IFERROR(VLOOKUP($C196,גיליון1!$A:$E,2,0),"לא הגיש בקשה שוטפת"))</f>
        <v>סיוע בתמיכה שוטפת לקיום פעילות המוזיאון</v>
      </c>
      <c r="AF196" s="13" t="str">
        <f>IF($C196="","",IFERROR(VLOOKUP($C196,גיליון1!$A:$E,3,0),"לא הגיש בקשה שוטפת"))</f>
        <v>חויב</v>
      </c>
      <c r="AG196" s="13" t="str">
        <f>IF($C196="","",IFERROR(VLOOKUP($C196,גיליון1!$A:$E,4,0),"לא הגיש בקשה שוטפת"))</f>
        <v>19-42-02-18</v>
      </c>
      <c r="AH196" s="13" t="str">
        <f>IF($C196="","",IFERROR(VLOOKUP($C196,גיליון1!$A:$E,5,0),"לא הגיש בקשה שוטפת"))</f>
        <v>מוזיאונים ואמנות פלס</v>
      </c>
      <c r="AI196" s="13">
        <f t="shared" si="11"/>
        <v>0</v>
      </c>
      <c r="AJ196"/>
      <c r="AK196" t="s">
        <v>172</v>
      </c>
    </row>
    <row r="197" spans="1:37" ht="57.75" x14ac:dyDescent="0.25">
      <c r="A197" s="54">
        <f>'הזנה לתנאי סף'!B197</f>
        <v>167</v>
      </c>
      <c r="B197" s="266">
        <f>IF($F197="","",'הזנה לתנאי סף'!C197)</f>
        <v>1001346793</v>
      </c>
      <c r="C197" s="266">
        <f>IF($F197="","",'הזנה לתנאי סף'!D197)</f>
        <v>1001346793</v>
      </c>
      <c r="D197" s="266">
        <f>IF($F197="","",'הזנה לתנאי סף'!E197)</f>
        <v>40462864</v>
      </c>
      <c r="E197" s="55">
        <f>IF($F197="","",'הזנה לתנאי סף'!F197)</f>
        <v>20000244</v>
      </c>
      <c r="F197" s="55" t="str">
        <f>IF('הזנה לתנאי סף'!BL197=1,'הזנה לתנאי סף'!G197,"")</f>
        <v>צפת</v>
      </c>
      <c r="G197" s="55" t="str">
        <f>IF($F197="","",'הזנה לתנאי סף'!H197)</f>
        <v>עמותת כליזמרים - כיתת אומן בצפת (ע"</v>
      </c>
      <c r="H197" s="55" t="str">
        <f>IF($F197="","",'הזנה לתנאי סף'!I197)</f>
        <v>אחר</v>
      </c>
      <c r="I197" s="187">
        <f>IF($F197="","",'הזנה לתנאי סף'!R197)</f>
        <v>452304</v>
      </c>
      <c r="J197" s="187">
        <f>IF($F197="","",'תחום תמיכה א'!P197)</f>
        <v>511698</v>
      </c>
      <c r="K197" s="177">
        <f>IF($F197="","",'הזנה לתנאי סף'!N197)</f>
        <v>0</v>
      </c>
      <c r="L197" s="177">
        <f>IF($F197="","",'הזנה לתנאי סף'!O197)</f>
        <v>1</v>
      </c>
      <c r="M197" s="177">
        <f>IF($F197="","",'הזנה לתנאי סף'!Q197)</f>
        <v>1</v>
      </c>
      <c r="N197" s="187">
        <f>IF($F197="","",'תחום תמיכה א'!AE197)</f>
        <v>21875.754303449106</v>
      </c>
      <c r="O197" s="178"/>
      <c r="P197" s="187">
        <f>IF($F197="","",'תחום תמיכה ב'!AC197)</f>
        <v>47150.521632327545</v>
      </c>
      <c r="Q197" s="187">
        <f>IF($F197="","",IF('תחום תמיכה ג'!O197="",0,'תחום תמיכה ג'!O197))</f>
        <v>0</v>
      </c>
      <c r="R197" s="187">
        <f t="shared" si="8"/>
        <v>1413.8108546225194</v>
      </c>
      <c r="S197" s="187">
        <f>IF($F197="","",'תחום תמיכה ב'!AE197)</f>
        <v>48564.332486950065</v>
      </c>
      <c r="T197" s="187">
        <f>IF($F197="","",IF(Q197='תחום תמיכה ג'!$Q$2,'תחום תמיכה ג'!$Q$2,IFERROR(SUMIF(N197:R197,"&gt;0"),'תחום תמיכה ג'!$Q$2)))</f>
        <v>70440.08679039916</v>
      </c>
      <c r="U197" s="187">
        <f>IF($F197="","",'הזנה לתנאי סף'!Y197)</f>
        <v>100000</v>
      </c>
      <c r="V197" s="269">
        <f>IF(F197="","",'הגבלה לסכום מבוקש '!AA197)</f>
        <v>78525.313427156376</v>
      </c>
      <c r="W197" s="187">
        <f t="shared" si="9"/>
        <v>19631.328356789094</v>
      </c>
      <c r="X197" s="187">
        <f>IF(F197="","",'הזנה לתנאי סף'!Z197)</f>
        <v>50000</v>
      </c>
      <c r="Y197" s="237" t="str">
        <f>IFERROR(VLOOKUP(G197*1,#REF!,3,0),"")</f>
        <v/>
      </c>
      <c r="Z197" s="187" t="str">
        <f>IF(OR($F197="",Y197=""),"",IFERROR(IF(Y197&gt;V197,MIN(Y197,T197)-V197,0),'תחום תמיכה ג'!$Q$2))</f>
        <v/>
      </c>
      <c r="AA197" s="259"/>
      <c r="AB197" s="260" t="str">
        <f t="shared" si="10"/>
        <v/>
      </c>
      <c r="AC197" s="261"/>
      <c r="AD197" s="180"/>
      <c r="AE197" s="13" t="str">
        <f>IF($C197="","",IFERROR(VLOOKUP($C197,גיליון1!$A:$E,2,0),"לא הגיש בקשה שוטפת"))</f>
        <v>סיוע לנפגעי קורונה</v>
      </c>
      <c r="AF197" s="13" t="str">
        <f>IF($C197="","",IFERROR(VLOOKUP($C197,גיליון1!$A:$E,3,0),"לא הגיש בקשה שוטפת"))</f>
        <v>טיוט</v>
      </c>
      <c r="AG197" s="13" t="str">
        <f>IF($C197="","",IFERROR(VLOOKUP($C197,גיליון1!$A:$E,4,0),"לא הגיש בקשה שוטפת"))</f>
        <v>19-42-02-74</v>
      </c>
      <c r="AH197" s="13" t="str">
        <f>IF($C197="","",IFERROR(VLOOKUP($C197,גיליון1!$A:$E,5,0),"לא הגיש בקשה שוטפת"))</f>
        <v>סיוע למוסדות בגין</v>
      </c>
      <c r="AI197" s="13">
        <f t="shared" si="11"/>
        <v>0</v>
      </c>
      <c r="AJ197"/>
      <c r="AK197" t="s">
        <v>46</v>
      </c>
    </row>
    <row r="198" spans="1:37" ht="43.5" x14ac:dyDescent="0.25">
      <c r="A198" s="54">
        <f>'הזנה לתנאי סף'!B198</f>
        <v>168</v>
      </c>
      <c r="B198" s="266">
        <f>IF($F198="","",'הזנה לתנאי סף'!C198)</f>
        <v>1001350197</v>
      </c>
      <c r="C198" s="266">
        <f>IF($F198="","",'הזנה לתנאי סף'!D198)</f>
        <v>1001280236</v>
      </c>
      <c r="D198" s="266">
        <f>IF($F198="","",'הזנה לתנאי סף'!E198)</f>
        <v>40384701</v>
      </c>
      <c r="E198" s="55">
        <f>IF($F198="","",'הזנה לתנאי סף'!F198)</f>
        <v>20000201</v>
      </c>
      <c r="F198" s="55" t="str">
        <f>IF('הזנה לתנאי סף'!BL198=1,'הזנה לתנאי סף'!G198,"")</f>
        <v>תל אביב -יפו</v>
      </c>
      <c r="G198" s="55" t="str">
        <f>IF($F198="","",'הזנה לתנאי סף'!H198)</f>
        <v>תזמורת המהפכה (ע"ר)</v>
      </c>
      <c r="H198" s="55" t="str">
        <f>IF($F198="","",'הזנה לתנאי סף'!I198)</f>
        <v>מרכזי מוסיקה</v>
      </c>
      <c r="I198" s="187">
        <f>IF($F198="","",'הזנה לתנאי סף'!R198)</f>
        <v>1718528</v>
      </c>
      <c r="J198" s="187">
        <f>IF($F198="","",'תחום תמיכה א'!P198)</f>
        <v>1638546</v>
      </c>
      <c r="K198" s="177">
        <f>IF($F198="","",'הזנה לתנאי סף'!N198)</f>
        <v>1</v>
      </c>
      <c r="L198" s="177">
        <f>IF($F198="","",'הזנה לתנאי סף'!O198)</f>
        <v>1</v>
      </c>
      <c r="M198" s="177">
        <f>IF($F198="","",'הזנה לתנאי סף'!Q198)</f>
        <v>1</v>
      </c>
      <c r="N198" s="187">
        <f>IF($F198="","",'תחום תמיכה א'!AE198)</f>
        <v>52773.325720847606</v>
      </c>
      <c r="O198" s="178"/>
      <c r="P198" s="187">
        <f>IF($F198="","",'תחום תמיכה ב'!AC198)</f>
        <v>101677.69731802649</v>
      </c>
      <c r="Q198" s="187">
        <f>IF($F198="","",IF('תחום תמיכה ג'!O198="",0,'תחום תמיכה ג'!O198))</f>
        <v>42637.807174060617</v>
      </c>
      <c r="R198" s="187">
        <f t="shared" si="8"/>
        <v>3048.8110664440319</v>
      </c>
      <c r="S198" s="187">
        <f>IF($F198="","",'תחום תמיכה ב'!AE198)</f>
        <v>104726.50838447052</v>
      </c>
      <c r="T198" s="187">
        <f>IF($F198="","",IF(Q198='תחום תמיכה ג'!$Q$2,'תחום תמיכה ג'!$Q$2,IFERROR(SUMIF(N198:R198,"&gt;0"),'תחום תמיכה ג'!$Q$2)))</f>
        <v>200137.64127937873</v>
      </c>
      <c r="U198" s="187">
        <f>IF($F198="","",'הזנה לתנאי סף'!Y198)</f>
        <v>147328</v>
      </c>
      <c r="V198" s="269">
        <f>IF(F198="","",'הגבלה לסכום מבוקש '!AA198)</f>
        <v>147328</v>
      </c>
      <c r="W198" s="187">
        <f t="shared" si="9"/>
        <v>36832</v>
      </c>
      <c r="X198" s="187">
        <f>IF(F198="","",'הזנה לתנאי סף'!Z198)</f>
        <v>147328</v>
      </c>
      <c r="Y198" s="237" t="str">
        <f>IFERROR(VLOOKUP(G198*1,#REF!,3,0),"")</f>
        <v/>
      </c>
      <c r="Z198" s="187" t="str">
        <f>IF(OR($F198="",Y198=""),"",IFERROR(IF(Y198&gt;V198,MIN(Y198,T198)-V198,0),'תחום תמיכה ג'!$Q$2))</f>
        <v/>
      </c>
      <c r="AA198" s="259"/>
      <c r="AB198" s="260" t="str">
        <f t="shared" si="10"/>
        <v/>
      </c>
      <c r="AC198" s="261"/>
      <c r="AD198" s="180"/>
      <c r="AE198" s="13" t="str">
        <f>IF($C198="","",IFERROR(VLOOKUP($C198,גיליון1!$A:$E,2,0),"לא הגיש בקשה שוטפת"))</f>
        <v>בקשת תמיכה לשנת 2020</v>
      </c>
      <c r="AF198" s="13" t="str">
        <f>IF($C198="","",IFERROR(VLOOKUP($C198,גיליון1!$A:$E,3,0),"לא הגיש בקשה שוטפת"))</f>
        <v>חויב</v>
      </c>
      <c r="AG198" s="13" t="str">
        <f>IF($C198="","",IFERROR(VLOOKUP($C198,גיליון1!$A:$E,4,0),"לא הגיש בקשה שוטפת"))</f>
        <v>19-42-02-16</v>
      </c>
      <c r="AH198" s="13" t="str">
        <f>IF($C198="","",IFERROR(VLOOKUP($C198,גיליון1!$A:$E,5,0),"לא הגיש בקשה שוטפת"))</f>
        <v>מוסיקה</v>
      </c>
      <c r="AI198" s="13">
        <f t="shared" si="11"/>
        <v>1</v>
      </c>
      <c r="AJ198"/>
      <c r="AK198" t="s">
        <v>177</v>
      </c>
    </row>
    <row r="199" spans="1:37" ht="29.25" x14ac:dyDescent="0.25">
      <c r="A199" s="54">
        <f>'הזנה לתנאי סף'!B199</f>
        <v>169</v>
      </c>
      <c r="B199" s="266">
        <f>IF($F199="","",'הזנה לתנאי סף'!C199)</f>
        <v>1001350703</v>
      </c>
      <c r="C199" s="266">
        <f>IF($F199="","",'הזנה לתנאי סף'!D199)</f>
        <v>1001279377</v>
      </c>
      <c r="D199" s="266">
        <f>IF($F199="","",'הזנה לתנאי סף'!E199)</f>
        <v>40000394</v>
      </c>
      <c r="E199" s="55">
        <f>IF($F199="","",'הזנה לתנאי סף'!F199)</f>
        <v>20000159</v>
      </c>
      <c r="F199" s="55" t="str">
        <f>IF('הזנה לתנאי סף'!BL199=1,'הזנה לתנאי סף'!G199,"")</f>
        <v>ירושלים</v>
      </c>
      <c r="G199" s="55" t="str">
        <f>IF($F199="","",'הזנה לתנאי סף'!H199)</f>
        <v>להקת קולבן דאנס</v>
      </c>
      <c r="H199" s="55" t="str">
        <f>IF($F199="","",'הזנה לתנאי סף'!I199)</f>
        <v>מחול</v>
      </c>
      <c r="I199" s="187">
        <f>IF($F199="","",'הזנה לתנאי סף'!R199)</f>
        <v>2940431</v>
      </c>
      <c r="J199" s="187">
        <f>IF($F199="","",'תחום תמיכה א'!P199)</f>
        <v>3249008</v>
      </c>
      <c r="K199" s="177">
        <f>IF($F199="","",'הזנה לתנאי סף'!N199)</f>
        <v>1</v>
      </c>
      <c r="L199" s="177">
        <f>IF($F199="","",'הזנה לתנאי סף'!O199)</f>
        <v>1</v>
      </c>
      <c r="M199" s="177">
        <f>IF($F199="","",'הזנה לתנאי סף'!Q199)</f>
        <v>1</v>
      </c>
      <c r="N199" s="187">
        <f>IF($F199="","",'תחום תמיכה א'!AE199)</f>
        <v>65711.01160811483</v>
      </c>
      <c r="O199" s="178"/>
      <c r="P199" s="187">
        <f>IF($F199="","",'תחום תמיכה ב'!AC199)</f>
        <v>51450.839234727391</v>
      </c>
      <c r="Q199" s="187">
        <f>IF($F199="","",IF('תחום תמיכה ג'!O199="",0,'תחום תמיכה ג'!O199))</f>
        <v>8894.2232460568466</v>
      </c>
      <c r="R199" s="187">
        <f t="shared" si="8"/>
        <v>1542.7561026095282</v>
      </c>
      <c r="S199" s="187">
        <f>IF($F199="","",'תחום תמיכה ב'!AE199)</f>
        <v>52993.595337336919</v>
      </c>
      <c r="T199" s="187">
        <f>IF($F199="","",IF(Q199='תחום תמיכה ג'!$Q$2,'תחום תמיכה ג'!$Q$2,IFERROR(SUMIF(N199:R199,"&gt;0"),'תחום תמיכה ג'!$Q$2)))</f>
        <v>127598.8301915086</v>
      </c>
      <c r="U199" s="187">
        <f>IF($F199="","",'הזנה לתנאי סף'!Y199)</f>
        <v>1000000</v>
      </c>
      <c r="V199" s="269">
        <f>IF(F199="","",'הגבלה לסכום מבוקש '!AA199)</f>
        <v>136444.5627606771</v>
      </c>
      <c r="W199" s="187">
        <f t="shared" si="9"/>
        <v>34111.140690169275</v>
      </c>
      <c r="X199" s="187">
        <f>IF(F199="","",'הזנה לתנאי סף'!Z199)</f>
        <v>100000</v>
      </c>
      <c r="Y199" s="237" t="str">
        <f>IFERROR(VLOOKUP(G199*1,#REF!,3,0),"")</f>
        <v/>
      </c>
      <c r="Z199" s="187" t="str">
        <f>IF(OR($F199="",Y199=""),"",IFERROR(IF(Y199&gt;V199,MIN(Y199,T199)-V199,0),'תחום תמיכה ג'!$Q$2))</f>
        <v/>
      </c>
      <c r="AA199" s="259"/>
      <c r="AB199" s="260" t="str">
        <f t="shared" si="10"/>
        <v/>
      </c>
      <c r="AC199" s="261"/>
      <c r="AD199" s="180"/>
      <c r="AE199" s="13" t="str">
        <f>IF($C199="","",IFERROR(VLOOKUP($C199,גיליון1!$A:$E,2,0),"לא הגיש בקשה שוטפת"))</f>
        <v>תמיכה שוטפת</v>
      </c>
      <c r="AF199" s="13" t="str">
        <f>IF($C199="","",IFERROR(VLOOKUP($C199,גיליון1!$A:$E,3,0),"לא הגיש בקשה שוטפת"))</f>
        <v>חויב</v>
      </c>
      <c r="AG199" s="13" t="str">
        <f>IF($C199="","",IFERROR(VLOOKUP($C199,גיליון1!$A:$E,4,0),"לא הגיש בקשה שוטפת"))</f>
        <v>19-42-02-20</v>
      </c>
      <c r="AH199" s="13" t="str">
        <f>IF($C199="","",IFERROR(VLOOKUP($C199,גיליון1!$A:$E,5,0),"לא הגיש בקשה שוטפת"))</f>
        <v>מחול וארגוני גג</v>
      </c>
      <c r="AI199" s="13">
        <f t="shared" si="11"/>
        <v>0</v>
      </c>
      <c r="AJ199"/>
      <c r="AK199" t="s">
        <v>92</v>
      </c>
    </row>
    <row r="200" spans="1:37" ht="43.5" x14ac:dyDescent="0.25">
      <c r="A200" s="54">
        <f>'הזנה לתנאי סף'!B200</f>
        <v>170</v>
      </c>
      <c r="B200" s="266">
        <f>IF($F200="","",'הזנה לתנאי סף'!C200)</f>
        <v>1001346528</v>
      </c>
      <c r="C200" s="266">
        <f>IF($F200="","",'הזנה לתנאי סף'!D200)</f>
        <v>1001266833</v>
      </c>
      <c r="D200" s="266">
        <f>IF($F200="","",'הזנה לתנאי סף'!E200)</f>
        <v>40318159</v>
      </c>
      <c r="E200" s="55">
        <f>IF($F200="","",'הזנה לתנאי סף'!F200)</f>
        <v>20000154</v>
      </c>
      <c r="F200" s="55" t="str">
        <f>IF('הזנה לתנאי סף'!BL200=1,'הזנה לתנאי סף'!G200,"")</f>
        <v>אום אל-פחם</v>
      </c>
      <c r="G200" s="55" t="str">
        <f>IF($F200="","",'הזנה לתנאי סף'!H200)</f>
        <v>אלמיאדין תאטרון א.א. פחם</v>
      </c>
      <c r="H200" s="55" t="str">
        <f>IF($F200="","",'הזנה לתנאי סף'!I200)</f>
        <v>תיאטרון</v>
      </c>
      <c r="I200" s="187">
        <f>IF($F200="","",'הזנה לתנאי סף'!R200)</f>
        <v>750004</v>
      </c>
      <c r="J200" s="187">
        <f>IF($F200="","",'תחום תמיכה א'!P200)</f>
        <v>537753</v>
      </c>
      <c r="K200" s="177">
        <f>IF($F200="","",'הזנה לתנאי סף'!N200)</f>
        <v>0</v>
      </c>
      <c r="L200" s="177">
        <f>IF($F200="","",'הזנה לתנאי סף'!O200)</f>
        <v>1</v>
      </c>
      <c r="M200" s="177">
        <f>IF($F200="","",'הזנה לתנאי סף'!Q200)</f>
        <v>1</v>
      </c>
      <c r="N200" s="187">
        <f>IF($F200="","",'תחום תמיכה א'!AE200)</f>
        <v>20930.898602718451</v>
      </c>
      <c r="O200" s="178"/>
      <c r="P200" s="187">
        <f>IF($F200="","",'תחום תמיכה ב'!AC200)</f>
        <v>64808.367491130193</v>
      </c>
      <c r="Q200" s="187">
        <f>IF($F200="","",IF('תחום תמיכה ג'!O200="",0,'תחום תמיכה ג'!O200))</f>
        <v>0</v>
      </c>
      <c r="R200" s="187">
        <f t="shared" si="8"/>
        <v>1943.2822852696409</v>
      </c>
      <c r="S200" s="187">
        <f>IF($F200="","",'תחום תמיכה ב'!AE200)</f>
        <v>66751.649776399834</v>
      </c>
      <c r="T200" s="187">
        <f>IF($F200="","",IF(Q200='תחום תמיכה ג'!$Q$2,'תחום תמיכה ג'!$Q$2,IFERROR(SUMIF(N200:R200,"&gt;0"),'תחום תמיכה ג'!$Q$2)))</f>
        <v>87682.548379118292</v>
      </c>
      <c r="U200" s="187">
        <f>IF($F200="","",'הזנה לתנאי סף'!Y200)</f>
        <v>520000</v>
      </c>
      <c r="V200" s="269">
        <f>IF(F200="","",'הגבלה לסכום מבוקש '!AA200)</f>
        <v>98791.52773090759</v>
      </c>
      <c r="W200" s="187">
        <f t="shared" si="9"/>
        <v>24697.881932726898</v>
      </c>
      <c r="X200" s="187">
        <f>IF(F200="","",'הזנה לתנאי סף'!Z200)</f>
        <v>520000</v>
      </c>
      <c r="Y200" s="237" t="str">
        <f>IFERROR(VLOOKUP(G200*1,#REF!,3,0),"")</f>
        <v/>
      </c>
      <c r="Z200" s="187" t="str">
        <f>IF(OR($F200="",Y200=""),"",IFERROR(IF(Y200&gt;V200,MIN(Y200,T200)-V200,0),'תחום תמיכה ג'!$Q$2))</f>
        <v/>
      </c>
      <c r="AA200" s="259"/>
      <c r="AB200" s="260" t="str">
        <f t="shared" si="10"/>
        <v/>
      </c>
      <c r="AC200" s="262"/>
      <c r="AD200" s="180"/>
      <c r="AE200" s="13" t="str">
        <f>IF($C200="","",IFERROR(VLOOKUP($C200,גיליון1!$A:$E,2,0),"לא הגיש בקשה שוטפת"))</f>
        <v>תמיכה שותף תיאטרון אלמיאדין</v>
      </c>
      <c r="AF200" s="13" t="str">
        <f>IF($C200="","",IFERROR(VLOOKUP($C200,גיליון1!$A:$E,3,0),"לא הגיש בקשה שוטפת"))</f>
        <v>מועד</v>
      </c>
      <c r="AG200" s="13" t="str">
        <f>IF($C200="","",IFERROR(VLOOKUP($C200,גיליון1!$A:$E,4,0),"לא הגיש בקשה שוטפת"))</f>
        <v>19-42-02-33</v>
      </c>
      <c r="AH200" s="13" t="str">
        <f>IF($C200="","",IFERROR(VLOOKUP($C200,גיליון1!$A:$E,5,0),"לא הגיש בקשה שוטפת"))</f>
        <v>תרבות ערבית ודרוזית</v>
      </c>
      <c r="AI200" s="13">
        <f t="shared" si="11"/>
        <v>0</v>
      </c>
      <c r="AJ200"/>
      <c r="AK200" t="s">
        <v>250</v>
      </c>
    </row>
    <row r="201" spans="1:37" ht="72" x14ac:dyDescent="0.25">
      <c r="A201" s="54">
        <f>'הזנה לתנאי סף'!B201</f>
        <v>171</v>
      </c>
      <c r="B201" s="266">
        <f>IF($F201="","",'הזנה לתנאי סף'!C201)</f>
        <v>1001349724</v>
      </c>
      <c r="C201" s="266">
        <f>IF($F201="","",'הזנה לתנאי סף'!D201)</f>
        <v>1001269669</v>
      </c>
      <c r="D201" s="266">
        <f>IF($F201="","",'הזנה לתנאי סף'!E201)</f>
        <v>40461779</v>
      </c>
      <c r="E201" s="55">
        <f>IF($F201="","",'הזנה לתנאי סף'!F201)</f>
        <v>20000222</v>
      </c>
      <c r="F201" s="55" t="str">
        <f>IF('הזנה לתנאי סף'!BL201=1,'הזנה לתנאי סף'!G201,"")</f>
        <v>הרצלייה</v>
      </c>
      <c r="G201" s="55" t="str">
        <f>IF($F201="","",'הזנה לתנאי סף'!H201)</f>
        <v>שיא - עמותה לפיתוח התרבות והאומנות</v>
      </c>
      <c r="H201" s="55" t="str">
        <f>IF($F201="","",'הזנה לתנאי סף'!I201)</f>
        <v>תיאטרון</v>
      </c>
      <c r="I201" s="187">
        <f>IF($F201="","",'הזנה לתנאי סף'!R201)</f>
        <v>4374440</v>
      </c>
      <c r="J201" s="187">
        <f>IF($F201="","",'תחום תמיכה א'!P201)</f>
        <v>4651189</v>
      </c>
      <c r="K201" s="177">
        <f>IF($F201="","",'הזנה לתנאי סף'!N201)</f>
        <v>0</v>
      </c>
      <c r="L201" s="177">
        <f>IF($F201="","",'הזנה לתנאי סף'!O201)</f>
        <v>1</v>
      </c>
      <c r="M201" s="177">
        <f>IF($F201="","",'הזנה לתנאי סף'!Q201)</f>
        <v>1</v>
      </c>
      <c r="N201" s="187">
        <f>IF($F201="","",'תחום תמיכה א'!AE201)</f>
        <v>205923.97700277116</v>
      </c>
      <c r="O201" s="178"/>
      <c r="P201" s="187">
        <f>IF($F201="","",'תחום תמיכה ב'!AC201)</f>
        <v>489064.07491519308</v>
      </c>
      <c r="Q201" s="187">
        <f>IF($F201="","",IF('תחום תמיכה ג'!O201="",0,'תחום תמיכה ג'!O201))</f>
        <v>0</v>
      </c>
      <c r="R201" s="187">
        <f t="shared" si="8"/>
        <v>14664.611838502984</v>
      </c>
      <c r="S201" s="187">
        <f>IF($F201="","",'תחום תמיכה ב'!AE201)</f>
        <v>503728.68675369606</v>
      </c>
      <c r="T201" s="187">
        <f>IF($F201="","",IF(Q201='תחום תמיכה ג'!$Q$2,'תחום תמיכה ג'!$Q$2,IFERROR(SUMIF(N201:R201,"&gt;0"),'תחום תמיכה ג'!$Q$2)))</f>
        <v>709652.66375646717</v>
      </c>
      <c r="U201" s="187">
        <f>IF($F201="","",'הזנה לתנאי סף'!Y201)</f>
        <v>1500000</v>
      </c>
      <c r="V201" s="269">
        <f>IF(F201="","",'הגבלה לסכום מבוקש '!AA201)</f>
        <v>793506.31647395005</v>
      </c>
      <c r="W201" s="187">
        <f t="shared" si="9"/>
        <v>198376.57911848751</v>
      </c>
      <c r="X201" s="187">
        <f>IF(F201="","",'הזנה לתנאי סף'!Z201)</f>
        <v>1500000</v>
      </c>
      <c r="Y201" s="237" t="str">
        <f>IFERROR(VLOOKUP(G201*1,#REF!,3,0),"")</f>
        <v/>
      </c>
      <c r="Z201" s="187" t="str">
        <f>IF(OR($F201="",Y201=""),"",IFERROR(IF(Y201&gt;V201,MIN(Y201,T201)-V201,0),'תחום תמיכה ג'!$Q$2))</f>
        <v/>
      </c>
      <c r="AA201" s="259"/>
      <c r="AB201" s="260" t="str">
        <f t="shared" si="10"/>
        <v/>
      </c>
      <c r="AC201" s="262"/>
      <c r="AD201" s="180"/>
      <c r="AE201" s="13" t="str">
        <f>IF($C201="","",IFERROR(VLOOKUP($C201,גיליון1!$A:$E,2,0),"לא הגיש בקשה שוטפת"))</f>
        <v>תמיכה שוטפת</v>
      </c>
      <c r="AF201" s="13" t="str">
        <f>IF($C201="","",IFERROR(VLOOKUP($C201,גיליון1!$A:$E,3,0),"לא הגיש בקשה שוטפת"))</f>
        <v>חויב</v>
      </c>
      <c r="AG201" s="13" t="str">
        <f>IF($C201="","",IFERROR(VLOOKUP($C201,גיליון1!$A:$E,4,0),"לא הגיש בקשה שוטפת"))</f>
        <v>19-42-02-07</v>
      </c>
      <c r="AH201" s="13" t="str">
        <f>IF($C201="","",IFERROR(VLOOKUP($C201,גיליון1!$A:$E,5,0),"לא הגיש בקשה שוטפת"))</f>
        <v>תיאטרון</v>
      </c>
      <c r="AI201" s="13">
        <f t="shared" si="11"/>
        <v>0</v>
      </c>
      <c r="AJ201"/>
      <c r="AK201" t="s">
        <v>250</v>
      </c>
    </row>
    <row r="202" spans="1:37" ht="43.5" x14ac:dyDescent="0.25">
      <c r="A202" s="54">
        <f>'הזנה לתנאי סף'!B202</f>
        <v>172</v>
      </c>
      <c r="B202" s="266">
        <f>IF($F202="","",'הזנה לתנאי סף'!C202)</f>
        <v>1001350043</v>
      </c>
      <c r="C202" s="266">
        <f>IF($F202="","",'הזנה לתנאי סף'!D202)</f>
        <v>1001280546</v>
      </c>
      <c r="D202" s="266">
        <f>IF($F202="","",'הזנה לתנאי סף'!E202)</f>
        <v>40000403</v>
      </c>
      <c r="E202" s="55">
        <f>IF($F202="","",'הזנה לתנאי סף'!F202)</f>
        <v>20000254</v>
      </c>
      <c r="F202" s="55" t="str">
        <f>IF('הזנה לתנאי סף'!BL202=1,'הזנה לתנאי סף'!G202,"")</f>
        <v>באר שבע</v>
      </c>
      <c r="G202" s="55" t="str">
        <f>IF($F202="","",'הזנה לתנאי סף'!H202)</f>
        <v>החוג לאופרה קלה בנגב</v>
      </c>
      <c r="H202" s="55" t="str">
        <f>IF($F202="","",'הזנה לתנאי סף'!I202)</f>
        <v>אופרה</v>
      </c>
      <c r="I202" s="187">
        <f>IF($F202="","",'הזנה לתנאי סף'!R202)</f>
        <v>372898</v>
      </c>
      <c r="J202" s="187">
        <f>IF($F202="","",'תחום תמיכה א'!P202)</f>
        <v>396744</v>
      </c>
      <c r="K202" s="177">
        <f>IF($F202="","",'הזנה לתנאי סף'!N202)</f>
        <v>0</v>
      </c>
      <c r="L202" s="177">
        <f>IF($F202="","",'הזנה לתנאי סף'!O202)</f>
        <v>1</v>
      </c>
      <c r="M202" s="177">
        <f>IF($F202="","",'הזנה לתנאי סף'!Q202)</f>
        <v>1</v>
      </c>
      <c r="N202" s="187">
        <f>IF($F202="","",'תחום תמיכה א'!AE202)</f>
        <v>17097.579492815872</v>
      </c>
      <c r="O202" s="178"/>
      <c r="P202" s="187">
        <f>IF($F202="","",'תחום תמיכה ב'!AC202)</f>
        <v>39499.902208389809</v>
      </c>
      <c r="Q202" s="187">
        <f>IF($F202="","",IF('תחום תמיכה ג'!O202="",0,'תחום תמיכה ג'!O202))</f>
        <v>0</v>
      </c>
      <c r="R202" s="187">
        <f t="shared" si="8"/>
        <v>1184.4066314732045</v>
      </c>
      <c r="S202" s="187">
        <f>IF($F202="","",'תחום תמיכה ב'!AE202)</f>
        <v>40684.308839863013</v>
      </c>
      <c r="T202" s="187">
        <f>IF($F202="","",IF(Q202='תחום תמיכה ג'!$Q$2,'תחום תמיכה ג'!$Q$2,IFERROR(SUMIF(N202:R202,"&gt;0"),'תחום תמיכה ג'!$Q$2)))</f>
        <v>57781.888332678885</v>
      </c>
      <c r="U202" s="187">
        <f>IF($F202="","",'הזנה לתנאי סף'!Y202)</f>
        <v>50000</v>
      </c>
      <c r="V202" s="269">
        <f>IF(F202="","",'הגבלה לסכום מבוקש '!AA202)</f>
        <v>50000</v>
      </c>
      <c r="W202" s="187">
        <f t="shared" si="9"/>
        <v>12500</v>
      </c>
      <c r="X202" s="187">
        <f>IF(F202="","",'הזנה לתנאי סף'!Z202)</f>
        <v>50000</v>
      </c>
      <c r="Y202" s="237" t="str">
        <f>IFERROR(VLOOKUP(G202*1,#REF!,3,0),"")</f>
        <v/>
      </c>
      <c r="Z202" s="187" t="str">
        <f>IF(OR($F202="",Y202=""),"",IFERROR(IF(Y202&gt;V202,MIN(Y202,T202)-V202,0),'תחום תמיכה ג'!$Q$2))</f>
        <v/>
      </c>
      <c r="AA202" s="259"/>
      <c r="AB202" s="260" t="str">
        <f t="shared" si="10"/>
        <v/>
      </c>
      <c r="AC202" s="262"/>
      <c r="AD202" s="180"/>
      <c r="AE202" s="13" t="str">
        <f>IF($C202="","",IFERROR(VLOOKUP($C202,גיליון1!$A:$E,2,0),"לא הגיש בקשה שוטפת"))</f>
        <v>צלילי המוסיקה</v>
      </c>
      <c r="AF202" s="13" t="str">
        <f>IF($C202="","",IFERROR(VLOOKUP($C202,גיליון1!$A:$E,3,0),"לא הגיש בקשה שוטפת"))</f>
        <v>מועד</v>
      </c>
      <c r="AG202" s="13" t="str">
        <f>IF($C202="","",IFERROR(VLOOKUP($C202,גיליון1!$A:$E,4,0),"לא הגיש בקשה שוטפת"))</f>
        <v>19-42-02-31</v>
      </c>
      <c r="AH202" s="13" t="str">
        <f>IF($C202="","",IFERROR(VLOOKUP($C202,גיליון1!$A:$E,5,0),"לא הגיש בקשה שוטפת"))</f>
        <v>תרבות בקהילה תמיכה</v>
      </c>
      <c r="AI202" s="13">
        <f t="shared" si="11"/>
        <v>1</v>
      </c>
      <c r="AJ202"/>
      <c r="AK202" t="s">
        <v>250</v>
      </c>
    </row>
    <row r="203" spans="1:37" x14ac:dyDescent="0.25">
      <c r="A203" s="54">
        <f>'הזנה לתנאי סף'!B203</f>
        <v>173</v>
      </c>
      <c r="B203" s="266">
        <f>IF($F203="","",'הזנה לתנאי סף'!C203)</f>
        <v>1001350380</v>
      </c>
      <c r="C203" s="266">
        <f>IF($F203="","",'הזנה לתנאי סף'!D203)</f>
        <v>1001290728</v>
      </c>
      <c r="D203" s="266">
        <f>IF($F203="","",'הזנה לתנאי סף'!E203)</f>
        <v>40221579</v>
      </c>
      <c r="E203" s="55">
        <f>IF($F203="","",'הזנה לתנאי סף'!F203)</f>
        <v>20000159</v>
      </c>
      <c r="F203" s="55" t="str">
        <f>IF('הזנה לתנאי סף'!BL203=1,'הזנה לתנאי סף'!G203,"")</f>
        <v>ירושלים</v>
      </c>
      <c r="G203" s="55" t="str">
        <f>IF($F203="","",'הזנה לתנאי סף'!H203)</f>
        <v>אספקלריה</v>
      </c>
      <c r="H203" s="55" t="str">
        <f>IF($F203="","",'הזנה לתנאי סף'!I203)</f>
        <v>תיאטרון</v>
      </c>
      <c r="I203" s="187">
        <f>IF($F203="","",'הזנה לתנאי סף'!R203)</f>
        <v>4222424</v>
      </c>
      <c r="J203" s="187">
        <f>IF($F203="","",'תחום תמיכה א'!P203)</f>
        <v>3512856</v>
      </c>
      <c r="K203" s="177">
        <f>IF($F203="","",'הזנה לתנאי סף'!N203)</f>
        <v>1</v>
      </c>
      <c r="L203" s="177">
        <f>IF($F203="","",'הזנה לתנאי סף'!O203)</f>
        <v>1</v>
      </c>
      <c r="M203" s="177">
        <f>IF($F203="","",'הזנה לתנאי סף'!Q203)</f>
        <v>1</v>
      </c>
      <c r="N203" s="187">
        <f>IF($F203="","",'תחום תמיכה א'!AE203)</f>
        <v>82372.100917443298</v>
      </c>
      <c r="O203" s="178"/>
      <c r="P203" s="187">
        <f>IF($F203="","",'תחום תמיכה ב'!AC203)</f>
        <v>132421.61209321572</v>
      </c>
      <c r="Q203" s="187">
        <f>IF($F203="","",IF('תחום תמיכה ג'!O203="",0,'תחום תמיכה ג'!O203))</f>
        <v>22891.509605636114</v>
      </c>
      <c r="R203" s="187">
        <f t="shared" si="8"/>
        <v>3970.6689572579053</v>
      </c>
      <c r="S203" s="187">
        <f>IF($F203="","",'תחום תמיכה ב'!AE203)</f>
        <v>136392.28105047363</v>
      </c>
      <c r="T203" s="187">
        <f>IF($F203="","",IF(Q203='תחום תמיכה ג'!$Q$2,'תחום תמיכה ג'!$Q$2,IFERROR(SUMIF(N203:R203,"&gt;0"),'תחום תמיכה ג'!$Q$2)))</f>
        <v>241655.89157355306</v>
      </c>
      <c r="U203" s="187">
        <f>IF($F203="","",'הזנה לתנאי סף'!Y203)</f>
        <v>800000</v>
      </c>
      <c r="V203" s="269">
        <f>IF(F203="","",'הגבלה לסכום מבוקש '!AA203)</f>
        <v>264383.09797570627</v>
      </c>
      <c r="W203" s="187">
        <f t="shared" si="9"/>
        <v>66095.774493926569</v>
      </c>
      <c r="X203" s="187">
        <f>IF(F203="","",'הזנה לתנאי סף'!Z203)</f>
        <v>1</v>
      </c>
      <c r="Y203" s="237" t="str">
        <f>IFERROR(VLOOKUP(G203*1,#REF!,3,0),"")</f>
        <v/>
      </c>
      <c r="Z203" s="187" t="str">
        <f>IF(OR($F203="",Y203=""),"",IFERROR(IF(Y203&gt;V203,MIN(Y203,T203)-V203,0),'תחום תמיכה ג'!$Q$2))</f>
        <v/>
      </c>
      <c r="AA203" s="259"/>
      <c r="AB203" s="260" t="str">
        <f t="shared" si="10"/>
        <v/>
      </c>
      <c r="AC203" s="262"/>
      <c r="AD203" s="180"/>
      <c r="AE203" s="13" t="str">
        <f>IF($C203="","",IFERROR(VLOOKUP($C203,גיליון1!$A:$E,2,0),"לא הגיש בקשה שוטפת"))</f>
        <v>תמיכה שוטפת</v>
      </c>
      <c r="AF203" s="13" t="str">
        <f>IF($C203="","",IFERROR(VLOOKUP($C203,גיליון1!$A:$E,3,0),"לא הגיש בקשה שוטפת"))</f>
        <v>חויב</v>
      </c>
      <c r="AG203" s="13" t="str">
        <f>IF($C203="","",IFERROR(VLOOKUP($C203,גיליון1!$A:$E,4,0),"לא הגיש בקשה שוטפת"))</f>
        <v>19-42-02-07</v>
      </c>
      <c r="AH203" s="13" t="str">
        <f>IF($C203="","",IFERROR(VLOOKUP($C203,גיליון1!$A:$E,5,0),"לא הגיש בקשה שוטפת"))</f>
        <v>תיאטרון</v>
      </c>
      <c r="AI203" s="13">
        <f t="shared" si="11"/>
        <v>0</v>
      </c>
      <c r="AJ203"/>
      <c r="AK203" t="s">
        <v>250</v>
      </c>
    </row>
    <row r="204" spans="1:37" ht="29.25" x14ac:dyDescent="0.25">
      <c r="A204" s="54">
        <f>'הזנה לתנאי סף'!B204</f>
        <v>174</v>
      </c>
      <c r="B204" s="266">
        <f>IF($F204="","",'הזנה לתנאי סף'!C204)</f>
        <v>1001348865</v>
      </c>
      <c r="C204" s="266">
        <f>IF($F204="","",'הזנה לתנאי סף'!D204)</f>
        <v>1001262670</v>
      </c>
      <c r="D204" s="266">
        <f>IF($F204="","",'הזנה לתנאי סף'!E204)</f>
        <v>41481124</v>
      </c>
      <c r="E204" s="55">
        <f>IF($F204="","",'הזנה לתנאי סף'!F204)</f>
        <v>20000159</v>
      </c>
      <c r="F204" s="55" t="str">
        <f>IF('הזנה לתנאי סף'!BL204=1,'הזנה לתנאי סף'!G204,"")</f>
        <v>ירושלים</v>
      </c>
      <c r="G204" s="55" t="str">
        <f>IF($F204="","",'הזנה לתנאי סף'!H204)</f>
        <v>האיל המרקד</v>
      </c>
      <c r="H204" s="55" t="str">
        <f>IF($F204="","",'הזנה לתנאי סף'!I204)</f>
        <v>תיאטרון</v>
      </c>
      <c r="I204" s="187">
        <f>IF($F204="","",'הזנה לתנאי סף'!R204)</f>
        <v>969529</v>
      </c>
      <c r="J204" s="187">
        <f>IF($F204="","",'תחום תמיכה א'!P204)</f>
        <v>599923</v>
      </c>
      <c r="K204" s="177">
        <f>IF($F204="","",'הזנה לתנאי סף'!N204)</f>
        <v>1</v>
      </c>
      <c r="L204" s="177">
        <f>IF($F204="","",'הזנה לתנאי סף'!O204)</f>
        <v>1</v>
      </c>
      <c r="M204" s="177">
        <f>IF($F204="","",'הזנה לתנאי סף'!Q204)</f>
        <v>1</v>
      </c>
      <c r="N204" s="187">
        <f>IF($F204="","",'תחום תמיכה א'!AE204)</f>
        <v>25608.806315654263</v>
      </c>
      <c r="O204" s="178"/>
      <c r="P204" s="187">
        <f>IF($F204="","",'תחום תמיכה ב'!AC204)</f>
        <v>100763.84735718304</v>
      </c>
      <c r="Q204" s="187">
        <f>IF($F204="","",IF('תחום תמיכה ג'!O204="",0,'תחום תמיכה ג'!O204))</f>
        <v>17418.883090277537</v>
      </c>
      <c r="R204" s="187">
        <f t="shared" si="8"/>
        <v>3021.409227622149</v>
      </c>
      <c r="S204" s="187">
        <f>IF($F204="","",'תחום תמיכה ב'!AE204)</f>
        <v>103785.25658480519</v>
      </c>
      <c r="T204" s="187">
        <f>IF($F204="","",IF(Q204='תחום תמיכה ג'!$Q$2,'תחום תמיכה ג'!$Q$2,IFERROR(SUMIF(N204:R204,"&gt;0"),'תחום תמיכה ג'!$Q$2)))</f>
        <v>146812.945990737</v>
      </c>
      <c r="U204" s="187">
        <f>IF($F204="","",'הזנה לתנאי סף'!Y204)</f>
        <v>479382</v>
      </c>
      <c r="V204" s="269">
        <f>IF(F204="","",'הגבלה לסכום מבוקש '!AA204)</f>
        <v>164089.92621119268</v>
      </c>
      <c r="W204" s="187">
        <f t="shared" si="9"/>
        <v>41022.48155279817</v>
      </c>
      <c r="X204" s="187">
        <f>IF(F204="","",'הזנה לתנאי סף'!Z204)</f>
        <v>479382</v>
      </c>
      <c r="Y204" s="237" t="str">
        <f>IFERROR(VLOOKUP(G204*1,#REF!,3,0),"")</f>
        <v/>
      </c>
      <c r="Z204" s="187" t="str">
        <f>IF(OR($F204="",Y204=""),"",IFERROR(IF(Y204&gt;V204,MIN(Y204,T204)-V204,0),'תחום תמיכה ג'!$Q$2))</f>
        <v/>
      </c>
      <c r="AA204" s="259"/>
      <c r="AB204" s="260" t="str">
        <f t="shared" si="10"/>
        <v/>
      </c>
      <c r="AC204" s="262"/>
      <c r="AD204" s="180"/>
      <c r="AE204" s="13" t="str">
        <f>IF($C204="","",IFERROR(VLOOKUP($C204,גיליון1!$A:$E,2,0),"לא הגיש בקשה שוטפת"))</f>
        <v>קבוצת תאטרון האיל המרקד</v>
      </c>
      <c r="AF204" s="13" t="str">
        <f>IF($C204="","",IFERROR(VLOOKUP($C204,גיליון1!$A:$E,3,0),"לא הגיש בקשה שוטפת"))</f>
        <v>טיוט</v>
      </c>
      <c r="AG204" s="13" t="str">
        <f>IF($C204="","",IFERROR(VLOOKUP($C204,גיליון1!$A:$E,4,0),"לא הגיש בקשה שוטפת"))</f>
        <v>19-42-02-07</v>
      </c>
      <c r="AH204" s="13" t="str">
        <f>IF($C204="","",IFERROR(VLOOKUP($C204,גיליון1!$A:$E,5,0),"לא הגיש בקשה שוטפת"))</f>
        <v>תיאטרון</v>
      </c>
      <c r="AI204" s="13">
        <f t="shared" si="11"/>
        <v>0</v>
      </c>
      <c r="AJ204"/>
      <c r="AK204" t="s">
        <v>250</v>
      </c>
    </row>
    <row r="205" spans="1:37" ht="29.25" x14ac:dyDescent="0.25">
      <c r="A205" s="54">
        <f>'הזנה לתנאי סף'!B205</f>
        <v>175</v>
      </c>
      <c r="B205" s="266">
        <f>IF($F205="","",'הזנה לתנאי סף'!C205)</f>
        <v>1001348123</v>
      </c>
      <c r="C205" s="266">
        <f>IF($F205="","",'הזנה לתנאי סף'!D205)</f>
        <v>1001273976</v>
      </c>
      <c r="D205" s="266">
        <f>IF($F205="","",'הזנה לתנאי סף'!E205)</f>
        <v>41482603</v>
      </c>
      <c r="E205" s="55">
        <f>IF($F205="","",'הזנה לתנאי סף'!F205)</f>
        <v>20000159</v>
      </c>
      <c r="F205" s="55" t="str">
        <f>IF('הזנה לתנאי סף'!BL205=1,'הזנה לתנאי סף'!G205,"")</f>
        <v>ירושלים</v>
      </c>
      <c r="G205" s="55" t="str">
        <f>IF($F205="","",'הזנה לתנאי סף'!H205)</f>
        <v>במת חוצות</v>
      </c>
      <c r="H205" s="55" t="str">
        <f>IF($F205="","",'הזנה לתנאי סף'!I205)</f>
        <v>קבוצות תיאטרון</v>
      </c>
      <c r="I205" s="187">
        <f>IF($F205="","",'הזנה לתנאי סף'!R205)</f>
        <v>2363625</v>
      </c>
      <c r="J205" s="187">
        <f>IF($F205="","",'תחום תמיכה א'!P205)</f>
        <v>1817856</v>
      </c>
      <c r="K205" s="177">
        <f>IF($F205="","",'הזנה לתנאי סף'!N205)</f>
        <v>1</v>
      </c>
      <c r="L205" s="177">
        <f>IF($F205="","",'הזנה לתנאי סף'!O205)</f>
        <v>1</v>
      </c>
      <c r="M205" s="177">
        <f>IF($F205="","",'הזנה לתנאי סף'!Q205)</f>
        <v>1</v>
      </c>
      <c r="N205" s="187">
        <f>IF($F205="","",'תחום תמיכה א'!AE205)</f>
        <v>25175.382001171798</v>
      </c>
      <c r="O205" s="178"/>
      <c r="P205" s="187">
        <f>IF($F205="","",'תחום תמיכה ב'!AC205)</f>
        <v>25856.467737249677</v>
      </c>
      <c r="Q205" s="187">
        <f>IF($F205="","",IF('תחום תמיכה ג'!O205="",0,'תחום תמיכה ג'!O205))</f>
        <v>4469.7656992607735</v>
      </c>
      <c r="R205" s="187">
        <f t="shared" si="8"/>
        <v>775.30753602642653</v>
      </c>
      <c r="S205" s="187">
        <f>IF($F205="","",'תחום תמיכה ב'!AE205)</f>
        <v>26631.775273276104</v>
      </c>
      <c r="T205" s="187">
        <f>IF($F205="","",IF(Q205='תחום תמיכה ג'!$Q$2,'תחום תמיכה ג'!$Q$2,IFERROR(SUMIF(N205:R205,"&gt;0"),'תחום תמיכה ג'!$Q$2)))</f>
        <v>56276.922973708672</v>
      </c>
      <c r="U205" s="187">
        <f>IF($F205="","",'הזנה לתנאי סף'!Y205)</f>
        <v>350000</v>
      </c>
      <c r="V205" s="269">
        <f>IF(F205="","",'הגבלה לסכום מבוקש '!AA205)</f>
        <v>60718.746655114475</v>
      </c>
      <c r="W205" s="187">
        <f t="shared" si="9"/>
        <v>15179.686663778619</v>
      </c>
      <c r="X205" s="187">
        <f>IF(F205="","",'הזנה לתנאי סף'!Z205)</f>
        <v>150000</v>
      </c>
      <c r="Y205" s="237" t="str">
        <f>IFERROR(VLOOKUP(G205*1,#REF!,3,0),"")</f>
        <v/>
      </c>
      <c r="Z205" s="187" t="str">
        <f>IF(OR($F205="",Y205=""),"",IFERROR(IF(Y205&gt;V205,MIN(Y205,T205)-V205,0),'תחום תמיכה ג'!$Q$2))</f>
        <v/>
      </c>
      <c r="AA205" s="259"/>
      <c r="AB205" s="260" t="str">
        <f t="shared" si="10"/>
        <v/>
      </c>
      <c r="AC205" s="262"/>
      <c r="AD205" s="180"/>
      <c r="AE205" s="13" t="str">
        <f>IF($C205="","",IFERROR(VLOOKUP($C205,גיליון1!$A:$E,2,0),"לא הגיש בקשה שוטפת"))</f>
        <v>המשך תמיכה שוטפת קבוצת תיאטרון מסתורין</v>
      </c>
      <c r="AF205" s="13" t="str">
        <f>IF($C205="","",IFERROR(VLOOKUP($C205,גיליון1!$A:$E,3,0),"לא הגיש בקשה שוטפת"))</f>
        <v>מועד</v>
      </c>
      <c r="AG205" s="13" t="str">
        <f>IF($C205="","",IFERROR(VLOOKUP($C205,גיליון1!$A:$E,4,0),"לא הגיש בקשה שוטפת"))</f>
        <v>19-42-02-07</v>
      </c>
      <c r="AH205" s="13" t="str">
        <f>IF($C205="","",IFERROR(VLOOKUP($C205,גיליון1!$A:$E,5,0),"לא הגיש בקשה שוטפת"))</f>
        <v>תיאטרון</v>
      </c>
      <c r="AI205" s="13">
        <f t="shared" si="11"/>
        <v>0</v>
      </c>
      <c r="AJ205"/>
      <c r="AK205" t="s">
        <v>250</v>
      </c>
    </row>
    <row r="206" spans="1:37" ht="29.25" x14ac:dyDescent="0.25">
      <c r="A206" s="54">
        <f>'הזנה לתנאי סף'!B206</f>
        <v>176</v>
      </c>
      <c r="B206" s="266">
        <f>IF($F206="","",'הזנה לתנאי סף'!C206)</f>
        <v>1001347085</v>
      </c>
      <c r="C206" s="266">
        <f>IF($F206="","",'הזנה לתנאי סף'!D206)</f>
        <v>1001270801</v>
      </c>
      <c r="D206" s="266">
        <f>IF($F206="","",'הזנה לתנאי סף'!E206)</f>
        <v>40323479</v>
      </c>
      <c r="E206" s="55">
        <f>IF($F206="","",'הזנה לתנאי סף'!F206)</f>
        <v>20000201</v>
      </c>
      <c r="F206" s="55" t="str">
        <f>IF('הזנה לתנאי סף'!BL206=1,'הזנה לתנאי סף'!G206,"")</f>
        <v>תל אביב -יפו</v>
      </c>
      <c r="G206" s="55" t="str">
        <f>IF($F206="","",'הזנה לתנאי סף'!H206)</f>
        <v>להקת יסמין גודר</v>
      </c>
      <c r="H206" s="55" t="str">
        <f>IF($F206="","",'הזנה לתנאי סף'!I206)</f>
        <v>מחול</v>
      </c>
      <c r="I206" s="187">
        <f>IF($F206="","",'הזנה לתנאי סף'!R206)</f>
        <v>1264462</v>
      </c>
      <c r="J206" s="187">
        <f>IF($F206="","",'תחום תמיכה א'!P206)</f>
        <v>1173433</v>
      </c>
      <c r="K206" s="177">
        <f>IF($F206="","",'הזנה לתנאי סף'!N206)</f>
        <v>1</v>
      </c>
      <c r="L206" s="177">
        <f>IF($F206="","",'הזנה לתנאי סף'!O206)</f>
        <v>1</v>
      </c>
      <c r="M206" s="177">
        <f>IF($F206="","",'הזנה לתנאי סף'!Q206)</f>
        <v>1</v>
      </c>
      <c r="N206" s="187">
        <f>IF($F206="","",'תחום תמיכה א'!AE206)</f>
        <v>32375.114193105859</v>
      </c>
      <c r="O206" s="178"/>
      <c r="P206" s="187">
        <f>IF($F206="","",'תחום תמיכה ב'!AC206)</f>
        <v>48055.168114563457</v>
      </c>
      <c r="Q206" s="187">
        <f>IF($F206="","",IF('תחום תמיכה ג'!O206="",0,'תחום תמיכה ג'!O206))</f>
        <v>20151.587278546293</v>
      </c>
      <c r="R206" s="187">
        <f t="shared" si="8"/>
        <v>1440.9367266574991</v>
      </c>
      <c r="S206" s="187">
        <f>IF($F206="","",'תחום תמיכה ב'!AE206)</f>
        <v>49496.104841220957</v>
      </c>
      <c r="T206" s="187">
        <f>IF($F206="","",IF(Q206='תחום תמיכה ג'!$Q$2,'תחום תמיכה ג'!$Q$2,IFERROR(SUMIF(N206:R206,"&gt;0"),'תחום תמיכה ג'!$Q$2)))</f>
        <v>102022.80631287312</v>
      </c>
      <c r="U206" s="187">
        <f>IF($F206="","",'הזנה לתנאי סף'!Y206)</f>
        <v>700000</v>
      </c>
      <c r="V206" s="269">
        <f>IF(F206="","",'הגבלה לסכום מבוקש '!AA206)</f>
        <v>110276.92402799339</v>
      </c>
      <c r="W206" s="187">
        <f t="shared" si="9"/>
        <v>27569.231006998347</v>
      </c>
      <c r="X206" s="187">
        <f>IF(F206="","",'הזנה לתנאי סף'!Z206)</f>
        <v>100000</v>
      </c>
      <c r="Y206" s="237" t="str">
        <f>IFERROR(VLOOKUP(G206*1,#REF!,3,0),"")</f>
        <v/>
      </c>
      <c r="Z206" s="187" t="str">
        <f>IF(OR($F206="",Y206=""),"",IFERROR(IF(Y206&gt;V206,MIN(Y206,T206)-V206,0),'תחום תמיכה ג'!$Q$2))</f>
        <v/>
      </c>
      <c r="AA206" s="259"/>
      <c r="AB206" s="260" t="str">
        <f t="shared" si="10"/>
        <v/>
      </c>
      <c r="AC206" s="262"/>
      <c r="AD206" s="180"/>
      <c r="AE206" s="13" t="str">
        <f>IF($C206="","",IFERROR(VLOOKUP($C206,גיליון1!$A:$E,2,0),"לא הגיש בקשה שוטפת"))</f>
        <v>בקשה לתמיכה בלהקת מחול של יסמין גודר</v>
      </c>
      <c r="AF206" s="13" t="str">
        <f>IF($C206="","",IFERROR(VLOOKUP($C206,גיליון1!$A:$E,3,0),"לא הגיש בקשה שוטפת"))</f>
        <v>חויב</v>
      </c>
      <c r="AG206" s="13" t="str">
        <f>IF($C206="","",IFERROR(VLOOKUP($C206,גיליון1!$A:$E,4,0),"לא הגיש בקשה שוטפת"))</f>
        <v>19-42-02-20</v>
      </c>
      <c r="AH206" s="13" t="str">
        <f>IF($C206="","",IFERROR(VLOOKUP($C206,גיליון1!$A:$E,5,0),"לא הגיש בקשה שוטפת"))</f>
        <v>מחול וארגוני גג</v>
      </c>
      <c r="AI206" s="13">
        <f t="shared" si="11"/>
        <v>0</v>
      </c>
      <c r="AJ206"/>
      <c r="AK206" t="s">
        <v>250</v>
      </c>
    </row>
    <row r="207" spans="1:37" ht="29.25" x14ac:dyDescent="0.25">
      <c r="A207" s="54">
        <f>'הזנה לתנאי סף'!B207</f>
        <v>177</v>
      </c>
      <c r="B207" s="266">
        <f>IF($F207="","",'הזנה לתנאי סף'!C207)</f>
        <v>1001350682</v>
      </c>
      <c r="C207" s="266">
        <f>IF($F207="","",'הזנה לתנאי סף'!D207)</f>
        <v>1001270744</v>
      </c>
      <c r="D207" s="266">
        <f>IF($F207="","",'הזנה לתנאי סף'!E207)</f>
        <v>40467070</v>
      </c>
      <c r="E207" s="55">
        <f>IF($F207="","",'הזנה לתנאי סף'!F207)</f>
        <v>20000201</v>
      </c>
      <c r="F207" s="55" t="str">
        <f>IF('הזנה לתנאי סף'!BL207=1,'הזנה לתנאי סף'!G207,"")</f>
        <v>תל אביב -יפו</v>
      </c>
      <c r="G207" s="55" t="str">
        <f>IF($F207="","",'הזנה לתנאי סף'!H207)</f>
        <v>זמרי קולגיום</v>
      </c>
      <c r="H207" s="55" t="str">
        <f>IF($F207="","",'הזנה לתנאי סף'!I207)</f>
        <v>אחר</v>
      </c>
      <c r="I207" s="187">
        <f>IF($F207="","",'הזנה לתנאי סף'!R207)</f>
        <v>319244</v>
      </c>
      <c r="J207" s="187">
        <f>IF($F207="","",'תחום תמיכה א'!P207)</f>
        <v>263547</v>
      </c>
      <c r="K207" s="177">
        <f>IF($F207="","",'הזנה לתנאי סף'!N207)</f>
        <v>1</v>
      </c>
      <c r="L207" s="177">
        <f>IF($F207="","",'הזנה לתנאי סף'!O207)</f>
        <v>1</v>
      </c>
      <c r="M207" s="177">
        <f>IF($F207="","",'הזנה לתנאי סף'!Q207)</f>
        <v>1</v>
      </c>
      <c r="N207" s="187">
        <f>IF($F207="","",'תחום תמיכה א'!AE207)</f>
        <v>5791.7463328934082</v>
      </c>
      <c r="O207" s="178"/>
      <c r="P207" s="187">
        <f>IF($F207="","",'תחום תמיכה ב'!AC207)</f>
        <v>8793.9317942584639</v>
      </c>
      <c r="Q207" s="187">
        <f>IF($F207="","",IF('תחום תמיכה ג'!O207="",0,'תחום תמיכה ג'!O207))</f>
        <v>3687.6717120437534</v>
      </c>
      <c r="R207" s="187">
        <f t="shared" si="8"/>
        <v>263.68650430811613</v>
      </c>
      <c r="S207" s="187">
        <f>IF($F207="","",'תחום תמיכה ב'!AE207)</f>
        <v>9057.6182985665801</v>
      </c>
      <c r="T207" s="187">
        <f>IF($F207="","",IF(Q207='תחום תמיכה ג'!$Q$2,'תחום תמיכה ג'!$Q$2,IFERROR(SUMIF(N207:R207,"&gt;0"),'תחום תמיכה ג'!$Q$2)))</f>
        <v>18537.03634350374</v>
      </c>
      <c r="U207" s="187">
        <f>IF($F207="","",'הזנה לתנאי סף'!Y207)</f>
        <v>160000</v>
      </c>
      <c r="V207" s="269">
        <f>IF(F207="","",'הגבלה לסכום מבוקש '!AA207)</f>
        <v>20047.451258826739</v>
      </c>
      <c r="W207" s="187">
        <f t="shared" si="9"/>
        <v>5011.8628147066847</v>
      </c>
      <c r="X207" s="187">
        <f>IF(F207="","",'הזנה לתנאי סף'!Z207)</f>
        <v>160000</v>
      </c>
      <c r="Y207" s="237" t="str">
        <f>IFERROR(VLOOKUP(G207*1,#REF!,3,0),"")</f>
        <v/>
      </c>
      <c r="Z207" s="187" t="str">
        <f>IF(OR($F207="",Y207=""),"",IFERROR(IF(Y207&gt;V207,MIN(Y207,T207)-V207,0),'תחום תמיכה ג'!$Q$2))</f>
        <v/>
      </c>
      <c r="AA207" s="259"/>
      <c r="AB207" s="260" t="str">
        <f t="shared" si="10"/>
        <v/>
      </c>
      <c r="AC207" s="262"/>
      <c r="AD207" s="180"/>
      <c r="AE207" s="13" t="str">
        <f>IF($C207="","",IFERROR(VLOOKUP($C207,גיליון1!$A:$E,2,0),"לא הגיש בקשה שוטפת"))</f>
        <v>תמיכה בקידום ופעילות זמרי קולגיום</v>
      </c>
      <c r="AF207" s="13" t="str">
        <f>IF($C207="","",IFERROR(VLOOKUP($C207,גיליון1!$A:$E,3,0),"לא הגיש בקשה שוטפת"))</f>
        <v>מועד</v>
      </c>
      <c r="AG207" s="13" t="str">
        <f>IF($C207="","",IFERROR(VLOOKUP($C207,גיליון1!$A:$E,4,0),"לא הגיש בקשה שוטפת"))</f>
        <v>19-42-02-16</v>
      </c>
      <c r="AH207" s="13" t="str">
        <f>IF($C207="","",IFERROR(VLOOKUP($C207,גיליון1!$A:$E,5,0),"לא הגיש בקשה שוטפת"))</f>
        <v>מוסיקה</v>
      </c>
      <c r="AI207" s="13">
        <f t="shared" si="11"/>
        <v>0</v>
      </c>
      <c r="AJ207"/>
      <c r="AK207" t="s">
        <v>250</v>
      </c>
    </row>
    <row r="208" spans="1:37" ht="43.5" x14ac:dyDescent="0.25">
      <c r="A208" s="54">
        <f>'הזנה לתנאי סף'!B208</f>
        <v>178</v>
      </c>
      <c r="B208" s="266">
        <f>IF($F208="","",'הזנה לתנאי סף'!C208)</f>
        <v>1001348272</v>
      </c>
      <c r="C208" s="266">
        <f>IF($F208="","",'הזנה לתנאי סף'!D208)</f>
        <v>1001280728</v>
      </c>
      <c r="D208" s="266">
        <f>IF($F208="","",'הזנה לתנאי סף'!E208)</f>
        <v>40343383</v>
      </c>
      <c r="E208" s="55">
        <f>IF($F208="","",'הזנה לתנאי סף'!F208)</f>
        <v>20000231</v>
      </c>
      <c r="F208" s="55" t="str">
        <f>IF('הזנה לתנאי סף'!BL208=1,'הזנה לתנאי סף'!G208,"")</f>
        <v>נצרת</v>
      </c>
      <c r="G208" s="55" t="str">
        <f>IF($F208="","",'הזנה לתנאי סף'!H208)</f>
        <v>תיאטרון אנסמבל פרינג' נצרת</v>
      </c>
      <c r="H208" s="55" t="str">
        <f>IF($F208="","",'הזנה לתנאי סף'!I208)</f>
        <v>מרכזי פרינג'</v>
      </c>
      <c r="I208" s="187">
        <f>IF($F208="","",'הזנה לתנאי סף'!R208)</f>
        <v>2231283</v>
      </c>
      <c r="J208" s="187">
        <f>IF($F208="","",'תחום תמיכה א'!P208)</f>
        <v>2021655</v>
      </c>
      <c r="K208" s="177">
        <f>IF($F208="","",'הזנה לתנאי סף'!N208)</f>
        <v>0</v>
      </c>
      <c r="L208" s="177">
        <f>IF($F208="","",'הזנה לתנאי סף'!O208)</f>
        <v>1</v>
      </c>
      <c r="M208" s="177">
        <f>IF($F208="","",'הזנה לתנאי סף'!Q208)</f>
        <v>1</v>
      </c>
      <c r="N208" s="187">
        <f>IF($F208="","",'תחום תמיכה א'!AE208)</f>
        <v>42568.21841989614</v>
      </c>
      <c r="O208" s="178"/>
      <c r="P208" s="187">
        <f>IF($F208="","",'תחום תמיכה ב'!AC208)</f>
        <v>56424.660552803987</v>
      </c>
      <c r="Q208" s="187">
        <f>IF($F208="","",IF('תחום תמיכה ג'!O208="",0,'תחום תמיכה ג'!O208))</f>
        <v>0</v>
      </c>
      <c r="R208" s="187">
        <f t="shared" si="8"/>
        <v>1691.8963946997028</v>
      </c>
      <c r="S208" s="187">
        <f>IF($F208="","",'תחום תמיכה ב'!AE208)</f>
        <v>58116.55694750369</v>
      </c>
      <c r="T208" s="187">
        <f>IF($F208="","",IF(Q208='תחום תמיכה ג'!$Q$2,'תחום תמיכה ג'!$Q$2,IFERROR(SUMIF(N208:R208,"&gt;0"),'תחום תמיכה ג'!$Q$2)))</f>
        <v>100684.77536739982</v>
      </c>
      <c r="U208" s="187">
        <f>IF($F208="","",'הזנה לתנאי סף'!Y208)</f>
        <v>1500000</v>
      </c>
      <c r="V208" s="269">
        <f>IF(F208="","",'הגבלה לסכום מבוקש '!AA208)</f>
        <v>110367.76551427394</v>
      </c>
      <c r="W208" s="187">
        <f t="shared" si="9"/>
        <v>27591.941378568485</v>
      </c>
      <c r="X208" s="187">
        <f>IF(F208="","",'הזנה לתנאי סף'!Z208)</f>
        <v>100000</v>
      </c>
      <c r="Y208" s="237" t="str">
        <f>IFERROR(VLOOKUP(G208*1,#REF!,3,0),"")</f>
        <v/>
      </c>
      <c r="Z208" s="187" t="str">
        <f>IF(OR($F208="",Y208=""),"",IFERROR(IF(Y208&gt;V208,MIN(Y208,T208)-V208,0),'תחום תמיכה ג'!$Q$2))</f>
        <v/>
      </c>
      <c r="AA208" s="259"/>
      <c r="AB208" s="260" t="str">
        <f t="shared" si="10"/>
        <v/>
      </c>
      <c r="AC208" s="262"/>
      <c r="AD208" s="180"/>
      <c r="AE208" s="13" t="str">
        <f>IF($C208="","",IFERROR(VLOOKUP($C208,גיליון1!$A:$E,2,0),"לא הגיש בקשה שוטפת"))</f>
        <v>פעילות שוטפת לתיאטרון</v>
      </c>
      <c r="AF208" s="13" t="str">
        <f>IF($C208="","",IFERROR(VLOOKUP($C208,גיליון1!$A:$E,3,0),"לא הגיש בקשה שוטפת"))</f>
        <v>מועד</v>
      </c>
      <c r="AG208" s="13" t="str">
        <f>IF($C208="","",IFERROR(VLOOKUP($C208,גיליון1!$A:$E,4,0),"לא הגיש בקשה שוטפת"))</f>
        <v>19-42-02-33</v>
      </c>
      <c r="AH208" s="13" t="str">
        <f>IF($C208="","",IFERROR(VLOOKUP($C208,גיליון1!$A:$E,5,0),"לא הגיש בקשה שוטפת"))</f>
        <v>תרבות ערבית ודרוזית</v>
      </c>
      <c r="AI208" s="13">
        <f t="shared" si="11"/>
        <v>0</v>
      </c>
      <c r="AJ208"/>
      <c r="AK208" t="s">
        <v>250</v>
      </c>
    </row>
    <row r="209" spans="1:37" ht="43.5" x14ac:dyDescent="0.25">
      <c r="A209" s="54">
        <f>'הזנה לתנאי סף'!B209</f>
        <v>179</v>
      </c>
      <c r="B209" s="266">
        <f>IF($F209="","",'הזנה לתנאי סף'!C209)</f>
        <v>1001346674</v>
      </c>
      <c r="C209" s="266">
        <f>IF($F209="","",'הזנה לתנאי סף'!D209)</f>
        <v>1001263309</v>
      </c>
      <c r="D209" s="266">
        <f>IF($F209="","",'הזנה לתנאי סף'!E209)</f>
        <v>40507679</v>
      </c>
      <c r="E209" s="55">
        <f>IF($F209="","",'הזנה לתנאי סף'!F209)</f>
        <v>20000057</v>
      </c>
      <c r="F209" s="55" t="str">
        <f>IF('הזנה לתנאי סף'!BL209=1,'הזנה לתנאי סף'!G209,"")</f>
        <v>מעיליא</v>
      </c>
      <c r="G209" s="55" t="str">
        <f>IF($F209="","",'הזנה לתנאי סף'!H209)</f>
        <v>"ביאת" למוסיקה ושירה (ע"ר)</v>
      </c>
      <c r="H209" s="55" t="str">
        <f>IF($F209="","",'הזנה לתנאי סף'!I209)</f>
        <v>אחר</v>
      </c>
      <c r="I209" s="187">
        <f>IF($F209="","",'הזנה לתנאי סף'!R209)</f>
        <v>1455405</v>
      </c>
      <c r="J209" s="187">
        <f>IF($F209="","",'תחום תמיכה א'!P209)</f>
        <v>1369898</v>
      </c>
      <c r="K209" s="177">
        <f>IF($F209="","",'הזנה לתנאי סף'!N209)</f>
        <v>0</v>
      </c>
      <c r="L209" s="177">
        <f>IF($F209="","",'הזנה לתנאי סף'!O209)</f>
        <v>1</v>
      </c>
      <c r="M209" s="177">
        <f>IF($F209="","",'הזנה לתנאי סף'!Q209)</f>
        <v>1</v>
      </c>
      <c r="N209" s="187">
        <f>IF($F209="","",'תחום תמיכה א'!AE209)</f>
        <v>49880.797502977643</v>
      </c>
      <c r="O209" s="178"/>
      <c r="P209" s="187">
        <f>IF($F209="","",'תחום תמיכה ב'!AC209)</f>
        <v>110060.53373466662</v>
      </c>
      <c r="Q209" s="187">
        <f>IF($F209="","",IF('תחום תמיכה ג'!O209="",0,'תחום תמיכה ג'!O209))</f>
        <v>0</v>
      </c>
      <c r="R209" s="187">
        <f t="shared" si="8"/>
        <v>3300.1708543757268</v>
      </c>
      <c r="S209" s="187">
        <f>IF($F209="","",'תחום תמיכה ב'!AE209)</f>
        <v>113360.70458904235</v>
      </c>
      <c r="T209" s="187">
        <f>IF($F209="","",IF(Q209='תחום תמיכה ג'!$Q$2,'תחום תמיכה ג'!$Q$2,IFERROR(SUMIF(N209:R209,"&gt;0"),'תחום תמיכה ג'!$Q$2)))</f>
        <v>163241.50209201997</v>
      </c>
      <c r="U209" s="187">
        <f>IF($F209="","",'הזנה לתנאי סף'!Y209)</f>
        <v>1685000</v>
      </c>
      <c r="V209" s="269">
        <f>IF(F209="","",'הגבלה לסכום מבוקש '!AA209)</f>
        <v>182113.80600378884</v>
      </c>
      <c r="W209" s="187">
        <f t="shared" si="9"/>
        <v>45528.451500947209</v>
      </c>
      <c r="X209" s="187">
        <f>IF(F209="","",'הזנה לתנאי סף'!Z209)</f>
        <v>616000</v>
      </c>
      <c r="Y209" s="237" t="str">
        <f>IFERROR(VLOOKUP(G209*1,#REF!,3,0),"")</f>
        <v/>
      </c>
      <c r="Z209" s="187" t="str">
        <f>IF(OR($F209="",Y209=""),"",IFERROR(IF(Y209&gt;V209,MIN(Y209,T209)-V209,0),'תחום תמיכה ג'!$Q$2))</f>
        <v/>
      </c>
      <c r="AA209" s="259"/>
      <c r="AB209" s="260" t="str">
        <f t="shared" si="10"/>
        <v/>
      </c>
      <c r="AC209" s="262"/>
      <c r="AD209" s="180"/>
      <c r="AE209" s="13" t="str">
        <f>IF($C209="","",IFERROR(VLOOKUP($C209,גיליון1!$A:$E,2,0),"לא הגיש בקשה שוטפת"))</f>
        <v>תמיכה שוטפת במקהילה למוסיקה וזמר,</v>
      </c>
      <c r="AF209" s="13" t="str">
        <f>IF($C209="","",IFERROR(VLOOKUP($C209,גיליון1!$A:$E,3,0),"לא הגיש בקשה שוטפת"))</f>
        <v>מועד</v>
      </c>
      <c r="AG209" s="13" t="str">
        <f>IF($C209="","",IFERROR(VLOOKUP($C209,גיליון1!$A:$E,4,0),"לא הגיש בקשה שוטפת"))</f>
        <v>19-42-02-33</v>
      </c>
      <c r="AH209" s="13" t="str">
        <f>IF($C209="","",IFERROR(VLOOKUP($C209,גיליון1!$A:$E,5,0),"לא הגיש בקשה שוטפת"))</f>
        <v>תרבות ערבית ודרוזית</v>
      </c>
      <c r="AI209" s="13">
        <f t="shared" si="11"/>
        <v>0</v>
      </c>
      <c r="AJ209"/>
      <c r="AK209" t="s">
        <v>250</v>
      </c>
    </row>
    <row r="210" spans="1:37" ht="57.75" x14ac:dyDescent="0.25">
      <c r="A210" s="54">
        <f>'הזנה לתנאי סף'!B210</f>
        <v>180</v>
      </c>
      <c r="B210" s="266">
        <f>IF($F210="","",'הזנה לתנאי סף'!C210)</f>
        <v>1001350423</v>
      </c>
      <c r="C210" s="266">
        <f>IF($F210="","",'הזנה לתנאי סף'!D210)</f>
        <v>1001288875</v>
      </c>
      <c r="D210" s="266">
        <f>IF($F210="","",'הזנה לתנאי סף'!E210)</f>
        <v>41904917</v>
      </c>
      <c r="E210" s="55">
        <f>IF($F210="","",'הזנה לתנאי סף'!F210)</f>
        <v>20000065</v>
      </c>
      <c r="F210" s="55" t="str">
        <f>IF('הזנה לתנאי סף'!BL210=1,'הזנה לתנאי סף'!G210,"")</f>
        <v>עספיא</v>
      </c>
      <c r="G210" s="55" t="str">
        <f>IF($F210="","",'הזנה לתנאי סף'!H210)</f>
        <v>התאחדות מוסיקאים ואמנים ערבים</v>
      </c>
      <c r="H210" s="55" t="str">
        <f>IF($F210="","",'הזנה לתנאי סף'!I210)</f>
        <v>אחר</v>
      </c>
      <c r="I210" s="187">
        <f>IF($F210="","",'הזנה לתנאי סף'!R210)</f>
        <v>163700</v>
      </c>
      <c r="J210" s="187">
        <f>IF($F210="","",'תחום תמיכה א'!P210)</f>
        <v>49899</v>
      </c>
      <c r="K210" s="177">
        <f>IF($F210="","",'הזנה לתנאי סף'!N210)</f>
        <v>0</v>
      </c>
      <c r="L210" s="177">
        <f>IF($F210="","",'הזנה לתנאי סף'!O210)</f>
        <v>1</v>
      </c>
      <c r="M210" s="177">
        <f>IF($F210="","",'הזנה לתנאי סף'!Q210)</f>
        <v>1</v>
      </c>
      <c r="N210" s="187">
        <f>IF($F210="","",'תחום תמיכה א'!AE210)</f>
        <v>2727.7039876499161</v>
      </c>
      <c r="O210" s="178"/>
      <c r="P210" s="187">
        <f>IF($F210="","",'תחום תמיכה ב'!AC210)</f>
        <v>27900.81634951603</v>
      </c>
      <c r="Q210" s="187">
        <f>IF($F210="","",IF('תחום תמיכה ג'!O210="",0,'תחום תמיכה ג'!O210))</f>
        <v>0</v>
      </c>
      <c r="R210" s="187">
        <f t="shared" si="8"/>
        <v>836.60743597648252</v>
      </c>
      <c r="S210" s="187">
        <f>IF($F210="","",'תחום תמיכה ב'!AE210)</f>
        <v>28737.423785492512</v>
      </c>
      <c r="T210" s="187">
        <f>IF($F210="","",IF(Q210='תחום תמיכה ג'!$Q$2,'תחום תמיכה ג'!$Q$2,IFERROR(SUMIF(N210:R210,"&gt;0"),'תחום תמיכה ג'!$Q$2)))</f>
        <v>31465.127773142427</v>
      </c>
      <c r="U210" s="187">
        <f>IF($F210="","",'הזנה לתנאי סף'!Y210)</f>
        <v>450000</v>
      </c>
      <c r="V210" s="269">
        <f>IF(F210="","",'הגבלה לסכום מבוקש '!AA210)</f>
        <v>36244.821981481051</v>
      </c>
      <c r="W210" s="187">
        <f t="shared" si="9"/>
        <v>9061.2054953702627</v>
      </c>
      <c r="X210" s="187">
        <f>IF(F210="","",'הזנה לתנאי סף'!Z210)</f>
        <v>50000</v>
      </c>
      <c r="Y210" s="237" t="str">
        <f>IFERROR(VLOOKUP(G210*1,#REF!,3,0),"")</f>
        <v/>
      </c>
      <c r="Z210" s="187" t="str">
        <f>IF(OR($F210="",Y210=""),"",IFERROR(IF(Y210&gt;V210,MIN(Y210,T210)-V210,0),'תחום תמיכה ג'!$Q$2))</f>
        <v/>
      </c>
      <c r="AA210" s="259"/>
      <c r="AB210" s="260" t="str">
        <f t="shared" si="10"/>
        <v/>
      </c>
      <c r="AC210" s="262"/>
      <c r="AD210" s="180"/>
      <c r="AE210" s="13" t="str">
        <f>IF($C210="","",IFERROR(VLOOKUP($C210,גיליון1!$A:$E,2,0),"לא הגיש בקשה שוטפת"))</f>
        <v>פעילות שוטפת של הגוף 2020</v>
      </c>
      <c r="AF210" s="13" t="str">
        <f>IF($C210="","",IFERROR(VLOOKUP($C210,גיליון1!$A:$E,3,0),"לא הגיש בקשה שוטפת"))</f>
        <v>טיוט</v>
      </c>
      <c r="AG210" s="13" t="str">
        <f>IF($C210="","",IFERROR(VLOOKUP($C210,גיליון1!$A:$E,4,0),"לא הגיש בקשה שוטפת"))</f>
        <v>19-42-02-33</v>
      </c>
      <c r="AH210" s="13" t="str">
        <f>IF($C210="","",IFERROR(VLOOKUP($C210,גיליון1!$A:$E,5,0),"לא הגיש בקשה שוטפת"))</f>
        <v>תרבות ערבית ודרוזית</v>
      </c>
      <c r="AI210" s="13">
        <f t="shared" si="11"/>
        <v>0</v>
      </c>
      <c r="AJ210"/>
      <c r="AK210" t="s">
        <v>250</v>
      </c>
    </row>
    <row r="211" spans="1:37" ht="72" x14ac:dyDescent="0.25">
      <c r="A211" s="54">
        <f>'הזנה לתנאי סף'!B211</f>
        <v>181</v>
      </c>
      <c r="B211" s="266">
        <f>IF($F211="","",'הזנה לתנאי סף'!C211)</f>
        <v>1001350410</v>
      </c>
      <c r="C211" s="266">
        <f>IF($F211="","",'הזנה לתנאי סף'!D211)</f>
        <v>1001280469</v>
      </c>
      <c r="D211" s="266">
        <f>IF($F211="","",'הזנה לתנאי סף'!E211)</f>
        <v>40822680</v>
      </c>
      <c r="E211" s="55">
        <f>IF($F211="","",'הזנה לתנאי סף'!F211)</f>
        <v>20000201</v>
      </c>
      <c r="F211" s="55" t="str">
        <f>IF('הזנה לתנאי סף'!BL211=1,'הזנה לתנאי סף'!G211,"")</f>
        <v>תל אביב -יפו</v>
      </c>
      <c r="G211" s="55" t="str">
        <f>IF($F211="","",'הזנה לתנאי סף'!H211)</f>
        <v>העמותה לקידום סרטי תרבות ואמנות (ע"</v>
      </c>
      <c r="H211" s="55" t="str">
        <f>IF($F211="","",'הזנה לתנאי סף'!I211)</f>
        <v>סינמטקים ופסטיבלים</v>
      </c>
      <c r="I211" s="187">
        <f>IF($F211="","",'הזנה לתנאי סף'!R211)</f>
        <v>600374</v>
      </c>
      <c r="J211" s="187">
        <f>IF($F211="","",'תחום תמיכה א'!P211)</f>
        <v>520875</v>
      </c>
      <c r="K211" s="177">
        <f>IF($F211="","",'הזנה לתנאי סף'!N211)</f>
        <v>1</v>
      </c>
      <c r="L211" s="177">
        <f>IF($F211="","",'הזנה לתנאי סף'!O211)</f>
        <v>1</v>
      </c>
      <c r="M211" s="177">
        <f>IF($F211="","",'הזנה לתנאי סף'!Q211)</f>
        <v>1</v>
      </c>
      <c r="N211" s="187">
        <f>IF($F211="","",'תחום תמיכה א'!AE211)</f>
        <v>21235.444571099502</v>
      </c>
      <c r="O211" s="178"/>
      <c r="P211" s="187">
        <f>IF($F211="","",'תחום תמיכה ב'!AC211)</f>
        <v>40636.948528175933</v>
      </c>
      <c r="Q211" s="187">
        <f>IF($F211="","",IF('תחום תמיכה ג'!O211="",0,'תחום תמיכה ג'!O211))</f>
        <v>17040.810533574171</v>
      </c>
      <c r="R211" s="187">
        <f t="shared" si="8"/>
        <v>1218.5010247793471</v>
      </c>
      <c r="S211" s="187">
        <f>IF($F211="","",'תחום תמיכה ב'!AE211)</f>
        <v>41855.449552955281</v>
      </c>
      <c r="T211" s="187">
        <f>IF($F211="","",IF(Q211='תחום תמיכה ג'!$Q$2,'תחום תמיכה ג'!$Q$2,IFERROR(SUMIF(N211:R211,"&gt;0"),'תחום תמיכה ג'!$Q$2)))</f>
        <v>80131.704657628958</v>
      </c>
      <c r="U211" s="187">
        <f>IF($F211="","",'הזנה לתנאי סף'!Y211)</f>
        <v>256054</v>
      </c>
      <c r="V211" s="269">
        <f>IF(F211="","",'הגבלה לסכום מבוקש '!AA211)</f>
        <v>87108.84736544131</v>
      </c>
      <c r="W211" s="187">
        <f t="shared" si="9"/>
        <v>21777.211841360328</v>
      </c>
      <c r="X211" s="187">
        <f>IF(F211="","",'הזנה לתנאי סף'!Z211)</f>
        <v>150000</v>
      </c>
      <c r="Y211" s="237" t="str">
        <f>IFERROR(VLOOKUP(G211*1,#REF!,3,0),"")</f>
        <v/>
      </c>
      <c r="Z211" s="187" t="str">
        <f>IF(OR($F211="",Y211=""),"",IFERROR(IF(Y211&gt;V211,MIN(Y211,T211)-V211,0),'תחום תמיכה ג'!$Q$2))</f>
        <v/>
      </c>
      <c r="AA211" s="259"/>
      <c r="AB211" s="260" t="str">
        <f t="shared" si="10"/>
        <v/>
      </c>
      <c r="AC211" s="262"/>
      <c r="AD211" s="180"/>
      <c r="AE211" s="13" t="str">
        <f>IF($C211="","",IFERROR(VLOOKUP($C211,גיליון1!$A:$E,2,0),"לא הגיש בקשה שוטפת"))</f>
        <v>פסטיבל אפוס</v>
      </c>
      <c r="AF211" s="13" t="str">
        <f>IF($C211="","",IFERROR(VLOOKUP($C211,גיליון1!$A:$E,3,0),"לא הגיש בקשה שוטפת"))</f>
        <v>מועד</v>
      </c>
      <c r="AG211" s="13" t="str">
        <f>IF($C211="","",IFERROR(VLOOKUP($C211,גיליון1!$A:$E,4,0),"לא הגיש בקשה שוטפת"))</f>
        <v>19-42-02-28</v>
      </c>
      <c r="AH211" s="13" t="str">
        <f>IF($C211="","",IFERROR(VLOOKUP($C211,גיליון1!$A:$E,5,0),"לא הגיש בקשה שוטפת"))</f>
        <v>חוק  הקולנוע</v>
      </c>
      <c r="AI211" s="13">
        <f t="shared" si="11"/>
        <v>0</v>
      </c>
      <c r="AJ211"/>
      <c r="AK211" t="s">
        <v>250</v>
      </c>
    </row>
    <row r="212" spans="1:37" ht="43.5" x14ac:dyDescent="0.25">
      <c r="A212" s="54">
        <f>'הזנה לתנאי סף'!B212</f>
        <v>182</v>
      </c>
      <c r="B212" s="266">
        <f>IF($F212="","",'הזנה לתנאי סף'!C212)</f>
        <v>1001349287</v>
      </c>
      <c r="C212" s="266">
        <f>IF($F212="","",'הזנה לתנאי סף'!D212)</f>
        <v>1001262828</v>
      </c>
      <c r="D212" s="266">
        <f>IF($F212="","",'הזנה לתנאי סף'!E212)</f>
        <v>41489778</v>
      </c>
      <c r="E212" s="55">
        <f>IF($F212="","",'הזנה לתנאי סף'!F212)</f>
        <v>20000211</v>
      </c>
      <c r="F212" s="55" t="str">
        <f>IF('הזנה לתנאי סף'!BL212=1,'הזנה לתנאי סף'!G212,"")</f>
        <v>בת ים</v>
      </c>
      <c r="G212" s="55" t="str">
        <f>IF($F212="","",'הזנה לתנאי סף'!H212)</f>
        <v>כלים גוף לעבודה כוריאוגרפית</v>
      </c>
      <c r="H212" s="55" t="str">
        <f>IF($F212="","",'הזנה לתנאי סף'!I212)</f>
        <v>מרכזי מחול</v>
      </c>
      <c r="I212" s="187">
        <f>IF($F212="","",'הזנה לתנאי סף'!R212)</f>
        <v>965128</v>
      </c>
      <c r="J212" s="187">
        <f>IF($F212="","",'תחום תמיכה א'!P212)</f>
        <v>968938</v>
      </c>
      <c r="K212" s="177">
        <f>IF($F212="","",'הזנה לתנאי סף'!N212)</f>
        <v>0</v>
      </c>
      <c r="L212" s="177">
        <f>IF($F212="","",'הזנה לתנאי סף'!O212)</f>
        <v>1</v>
      </c>
      <c r="M212" s="177">
        <f>IF($F212="","",'הזנה לתנאי סף'!Q212)</f>
        <v>1</v>
      </c>
      <c r="N212" s="187">
        <f>IF($F212="","",'תחום תמיכה א'!AE212)</f>
        <v>28819.181692052036</v>
      </c>
      <c r="O212" s="178"/>
      <c r="P212" s="187">
        <f>IF($F212="","",'תחום תמיכה ב'!AC212)</f>
        <v>48698.284988623614</v>
      </c>
      <c r="Q212" s="187">
        <f>IF($F212="","",IF('תחום תמיכה ג'!O212="",0,'תחום תמיכה ג'!O212))</f>
        <v>0</v>
      </c>
      <c r="R212" s="187">
        <f t="shared" si="8"/>
        <v>1460.2206197271735</v>
      </c>
      <c r="S212" s="187">
        <f>IF($F212="","",'תחום תמיכה ב'!AE212)</f>
        <v>50158.505608350788</v>
      </c>
      <c r="T212" s="187">
        <f>IF($F212="","",IF(Q212='תחום תמיכה ג'!$Q$2,'תחום תמיכה ג'!$Q$2,IFERROR(SUMIF(N212:R212,"&gt;0"),'תחום תמיכה ג'!$Q$2)))</f>
        <v>78977.687300402831</v>
      </c>
      <c r="U212" s="187">
        <f>IF($F212="","",'הזנה לתנאי סף'!Y212)</f>
        <v>220000</v>
      </c>
      <c r="V212" s="269">
        <f>IF(F212="","",'הגבלה לסכום מבוקש '!AA212)</f>
        <v>87331.154202732519</v>
      </c>
      <c r="W212" s="187">
        <f t="shared" si="9"/>
        <v>21832.78855068313</v>
      </c>
      <c r="X212" s="187">
        <f>IF(F212="","",'הזנה לתנאי סף'!Z212)</f>
        <v>100000</v>
      </c>
      <c r="Y212" s="237" t="str">
        <f>IFERROR(VLOOKUP(G212*1,#REF!,3,0),"")</f>
        <v/>
      </c>
      <c r="Z212" s="187" t="str">
        <f>IF(OR($F212="",Y212=""),"",IFERROR(IF(Y212&gt;V212,MIN(Y212,T212)-V212,0),'תחום תמיכה ג'!$Q$2))</f>
        <v/>
      </c>
      <c r="AA212" s="259"/>
      <c r="AB212" s="260" t="str">
        <f t="shared" si="10"/>
        <v/>
      </c>
      <c r="AC212" s="262"/>
      <c r="AD212" s="180"/>
      <c r="AE212" s="13" t="str">
        <f>IF($C212="","",IFERROR(VLOOKUP($C212,גיליון1!$A:$E,2,0),"לא הגיש בקשה שוטפת"))</f>
        <v>מרכז מחול כלים</v>
      </c>
      <c r="AF212" s="13" t="str">
        <f>IF($C212="","",IFERROR(VLOOKUP($C212,גיליון1!$A:$E,3,0),"לא הגיש בקשה שוטפת"))</f>
        <v>חויב</v>
      </c>
      <c r="AG212" s="13" t="str">
        <f>IF($C212="","",IFERROR(VLOOKUP($C212,גיליון1!$A:$E,4,0),"לא הגיש בקשה שוטפת"))</f>
        <v>19-42-02-20</v>
      </c>
      <c r="AH212" s="13" t="str">
        <f>IF($C212="","",IFERROR(VLOOKUP($C212,גיליון1!$A:$E,5,0),"לא הגיש בקשה שוטפת"))</f>
        <v>מחול וארגוני גג</v>
      </c>
      <c r="AI212" s="13">
        <f t="shared" si="11"/>
        <v>0</v>
      </c>
      <c r="AJ212"/>
      <c r="AK212" t="s">
        <v>250</v>
      </c>
    </row>
    <row r="213" spans="1:37" ht="29.25" x14ac:dyDescent="0.25">
      <c r="A213" s="54">
        <f>'הזנה לתנאי סף'!B213</f>
        <v>183</v>
      </c>
      <c r="B213" s="266">
        <f>IF($F213="","",'הזנה לתנאי סף'!C213)</f>
        <v>1001348951</v>
      </c>
      <c r="C213" s="266">
        <f>IF($F213="","",'הזנה לתנאי סף'!D213)</f>
        <v>1001290208</v>
      </c>
      <c r="D213" s="266">
        <f>IF($F213="","",'הזנה לתנאי סף'!E213)</f>
        <v>40298756</v>
      </c>
      <c r="E213" s="55">
        <f>IF($F213="","",'הזנה לתנאי סף'!F213)</f>
        <v>20000182</v>
      </c>
      <c r="F213" s="55" t="str">
        <f>IF('הזנה לתנאי סף'!BL213=1,'הזנה לתנאי סף'!G213,"")</f>
        <v>חיפה</v>
      </c>
      <c r="G213" s="55" t="str">
        <f>IF($F213="","",'הזנה לתנאי סף'!H213)</f>
        <v>סרד לחינוך ספרותי</v>
      </c>
      <c r="H213" s="55" t="str">
        <f>IF($F213="","",'הזנה לתנאי סף'!I213)</f>
        <v>תרבות ערבית</v>
      </c>
      <c r="I213" s="187">
        <f>IF($F213="","",'הזנה לתנאי סף'!R213)</f>
        <v>131009</v>
      </c>
      <c r="J213" s="187">
        <f>IF($F213="","",'תחום תמיכה א'!P213)</f>
        <v>240669</v>
      </c>
      <c r="K213" s="177">
        <f>IF($F213="","",'הזנה לתנאי סף'!N213)</f>
        <v>1</v>
      </c>
      <c r="L213" s="177">
        <f>IF($F213="","",'הזנה לתנאי סף'!O213)</f>
        <v>1</v>
      </c>
      <c r="M213" s="177">
        <f>IF($F213="","",'הזנה לתנאי סף'!Q213)</f>
        <v>1</v>
      </c>
      <c r="N213" s="187">
        <f>IF($F213="","",'תחום תמיכה א'!AE213)</f>
        <v>13156.051043181582</v>
      </c>
      <c r="O213" s="178"/>
      <c r="P213" s="187">
        <f>IF($F213="","",'תחום תמיכה ב'!AC213)</f>
        <v>22329.004576259897</v>
      </c>
      <c r="Q213" s="187">
        <f>IF($F213="","",IF('תחום תמיכה ג'!O213="",0,'תחום תמיכה ג'!O213))</f>
        <v>4825.98301697233</v>
      </c>
      <c r="R213" s="187">
        <f t="shared" si="8"/>
        <v>669.53636884448861</v>
      </c>
      <c r="S213" s="187">
        <f>IF($F213="","",'תחום תמיכה ב'!AE213)</f>
        <v>22998.540945104385</v>
      </c>
      <c r="T213" s="187">
        <f>IF($F213="","",IF(Q213='תחום תמיכה ג'!$Q$2,'תחום תמיכה ג'!$Q$2,IFERROR(SUMIF(N213:R213,"&gt;0"),'תחום תמיכה ג'!$Q$2)))</f>
        <v>40980.575005258303</v>
      </c>
      <c r="U213" s="187">
        <f>IF($F213="","",'הזנה לתנאי סף'!Y213)</f>
        <v>350000</v>
      </c>
      <c r="V213" s="269">
        <f>IF(F213="","",'הגבלה לסכום מבוקש '!AA213)</f>
        <v>44812.954795152</v>
      </c>
      <c r="W213" s="187">
        <f t="shared" si="9"/>
        <v>11203.238698788</v>
      </c>
      <c r="X213" s="187">
        <f>IF(F213="","",'הזנה לתנאי סף'!Z213)</f>
        <v>90000</v>
      </c>
      <c r="Y213" s="237" t="str">
        <f>IFERROR(VLOOKUP(G213*1,#REF!,3,0),"")</f>
        <v/>
      </c>
      <c r="Z213" s="187" t="str">
        <f>IF(OR($F213="",Y213=""),"",IFERROR(IF(Y213&gt;V213,MIN(Y213,T213)-V213,0),'תחום תמיכה ג'!$Q$2))</f>
        <v/>
      </c>
      <c r="AA213" s="259"/>
      <c r="AB213" s="260" t="str">
        <f t="shared" si="10"/>
        <v/>
      </c>
      <c r="AC213" s="262"/>
      <c r="AD213" s="180"/>
      <c r="AE213" s="13" t="str">
        <f>IF($C213="","",IFERROR(VLOOKUP($C213,גיליון1!$A:$E,2,0),"לא הגיש בקשה שוטפת"))</f>
        <v>שוטף</v>
      </c>
      <c r="AF213" s="13" t="str">
        <f>IF($C213="","",IFERROR(VLOOKUP($C213,גיליון1!$A:$E,3,0),"לא הגיש בקשה שוטפת"))</f>
        <v>מועד</v>
      </c>
      <c r="AG213" s="13" t="str">
        <f>IF($C213="","",IFERROR(VLOOKUP($C213,גיליון1!$A:$E,4,0),"לא הגיש בקשה שוטפת"))</f>
        <v>19-42-02-33</v>
      </c>
      <c r="AH213" s="13" t="str">
        <f>IF($C213="","",IFERROR(VLOOKUP($C213,גיליון1!$A:$E,5,0),"לא הגיש בקשה שוטפת"))</f>
        <v>תרבות ערבית ודרוזית</v>
      </c>
      <c r="AI213" s="13">
        <f t="shared" si="11"/>
        <v>0</v>
      </c>
      <c r="AJ213"/>
      <c r="AK213" t="s">
        <v>250</v>
      </c>
    </row>
    <row r="214" spans="1:37" ht="29.25" x14ac:dyDescent="0.25">
      <c r="A214" s="54">
        <f>'הזנה לתנאי סף'!B214</f>
        <v>184</v>
      </c>
      <c r="B214" s="266">
        <f>IF($F214="","",'הזנה לתנאי סף'!C214)</f>
        <v>1001350272</v>
      </c>
      <c r="C214" s="266">
        <f>IF($F214="","",'הזנה לתנאי סף'!D214)</f>
        <v>1001288861</v>
      </c>
      <c r="D214" s="266">
        <f>IF($F214="","",'הזנה לתנאי סף'!E214)</f>
        <v>40000218</v>
      </c>
      <c r="E214" s="55">
        <f>IF($F214="","",'הזנה לתנאי סף'!F214)</f>
        <v>20000061</v>
      </c>
      <c r="F214" s="55" t="str">
        <f>IF('הזנה לתנאי סף'!BL214=1,'הזנה לתנאי סף'!G214,"")</f>
        <v>אעבלין</v>
      </c>
      <c r="G214" s="55" t="str">
        <f>IF($F214="","",'הזנה לתנאי סף'!H214)</f>
        <v>אלכרואן</v>
      </c>
      <c r="H214" s="55" t="str">
        <f>IF($F214="","",'הזנה לתנאי סף'!I214)</f>
        <v>תרבות ערבית</v>
      </c>
      <c r="I214" s="187">
        <f>IF($F214="","",'הזנה לתנאי סף'!R214)</f>
        <v>1135710</v>
      </c>
      <c r="J214" s="187">
        <f>IF($F214="","",'תחום תמיכה א'!P214)</f>
        <v>1118692</v>
      </c>
      <c r="K214" s="177">
        <f>IF($F214="","",'הזנה לתנאי סף'!N214)</f>
        <v>0</v>
      </c>
      <c r="L214" s="177">
        <f>IF($F214="","",'הזנה לתנאי סף'!O214)</f>
        <v>1</v>
      </c>
      <c r="M214" s="177">
        <f>IF($F214="","",'הזנה לתנאי סף'!Q214)</f>
        <v>1</v>
      </c>
      <c r="N214" s="187">
        <f>IF($F214="","",'תחום תמיכה א'!AE214)</f>
        <v>32859.791763639296</v>
      </c>
      <c r="O214" s="178"/>
      <c r="P214" s="187">
        <f>IF($F214="","",'תחום תמיכה ב'!AC214)</f>
        <v>49123.726481355843</v>
      </c>
      <c r="Q214" s="187">
        <f>IF($F214="","",IF('תחום תמיכה ג'!O214="",0,'תחום תמיכה ג'!O214))</f>
        <v>0</v>
      </c>
      <c r="R214" s="187">
        <f t="shared" si="8"/>
        <v>1472.9775051148245</v>
      </c>
      <c r="S214" s="187">
        <f>IF($F214="","",'תחום תמיכה ב'!AE214)</f>
        <v>50596.703986470668</v>
      </c>
      <c r="T214" s="187">
        <f>IF($F214="","",IF(Q214='תחום תמיכה ג'!$Q$2,'תחום תמיכה ג'!$Q$2,IFERROR(SUMIF(N214:R214,"&gt;0"),'תחום תמיכה ג'!$Q$2)))</f>
        <v>83456.495750109956</v>
      </c>
      <c r="U214" s="187">
        <f>IF($F214="","",'הזנה לתנאי סף'!Y214)</f>
        <v>500000</v>
      </c>
      <c r="V214" s="269">
        <f>IF(F214="","",'הגבלה לסכום מבוקש '!AA214)</f>
        <v>91884.665974375777</v>
      </c>
      <c r="W214" s="187">
        <f t="shared" si="9"/>
        <v>22971.166493593944</v>
      </c>
      <c r="X214" s="187">
        <f>IF(F214="","",'הזנה לתנאי סף'!Z214)</f>
        <v>350000</v>
      </c>
      <c r="Y214" s="237" t="str">
        <f>IFERROR(VLOOKUP(G214*1,#REF!,3,0),"")</f>
        <v/>
      </c>
      <c r="Z214" s="187" t="str">
        <f>IF(OR($F214="",Y214=""),"",IFERROR(IF(Y214&gt;V214,MIN(Y214,T214)-V214,0),'תחום תמיכה ג'!$Q$2))</f>
        <v/>
      </c>
      <c r="AA214" s="259"/>
      <c r="AB214" s="260" t="str">
        <f t="shared" si="10"/>
        <v/>
      </c>
      <c r="AC214" s="262"/>
      <c r="AD214" s="180"/>
      <c r="AE214" s="13" t="str">
        <f>IF($C214="","",IFERROR(VLOOKUP($C214,גיליון1!$A:$E,2,0),"לא הגיש בקשה שוטפת"))</f>
        <v>מימון שוטף מקהלה ותזמורת 2020</v>
      </c>
      <c r="AF214" s="13" t="str">
        <f>IF($C214="","",IFERROR(VLOOKUP($C214,גיליון1!$A:$E,3,0),"לא הגיש בקשה שוטפת"))</f>
        <v>מועד</v>
      </c>
      <c r="AG214" s="13" t="str">
        <f>IF($C214="","",IFERROR(VLOOKUP($C214,גיליון1!$A:$E,4,0),"לא הגיש בקשה שוטפת"))</f>
        <v>19-42-02-33</v>
      </c>
      <c r="AH214" s="13" t="str">
        <f>IF($C214="","",IFERROR(VLOOKUP($C214,גיליון1!$A:$E,5,0),"לא הגיש בקשה שוטפת"))</f>
        <v>תרבות ערבית ודרוזית</v>
      </c>
      <c r="AI214" s="13">
        <f t="shared" si="11"/>
        <v>0</v>
      </c>
      <c r="AJ214"/>
      <c r="AK214" t="s">
        <v>250</v>
      </c>
    </row>
    <row r="215" spans="1:37" x14ac:dyDescent="0.25">
      <c r="A215" s="54">
        <f>'הזנה לתנאי סף'!B215</f>
        <v>185</v>
      </c>
      <c r="B215" s="266">
        <f>IF($F215="","",'הזנה לתנאי סף'!C215)</f>
        <v>1001350325</v>
      </c>
      <c r="C215" s="266">
        <f>IF($F215="","",'הזנה לתנאי סף'!D215)</f>
        <v>1001271352</v>
      </c>
      <c r="D215" s="266">
        <f>IF($F215="","",'הזנה לתנאי סף'!E215)</f>
        <v>40000402</v>
      </c>
      <c r="E215" s="55">
        <f>IF($F215="","",'הזנה לתנאי סף'!F215)</f>
        <v>20000159</v>
      </c>
      <c r="F215" s="55" t="str">
        <f>IF('הזנה לתנאי סף'!BL215=1,'הזנה לתנאי סף'!G215,"")</f>
        <v>ירושלים</v>
      </c>
      <c r="G215" s="55" t="str">
        <f>IF($F215="","",'הזנה לתנאי סף'!H215)</f>
        <v>מרכז החאן</v>
      </c>
      <c r="H215" s="55" t="str">
        <f>IF($F215="","",'הזנה לתנאי סף'!I215)</f>
        <v>תיאטרון</v>
      </c>
      <c r="I215" s="187">
        <f>IF($F215="","",'הזנה לתנאי סף'!R215)</f>
        <v>17766188</v>
      </c>
      <c r="J215" s="187">
        <f>IF($F215="","",'תחום תמיכה א'!P215)</f>
        <v>17729120</v>
      </c>
      <c r="K215" s="177">
        <f>IF($F215="","",'הזנה לתנאי סף'!N215)</f>
        <v>1</v>
      </c>
      <c r="L215" s="177">
        <f>IF($F215="","",'הזנה לתנאי סף'!O215)</f>
        <v>1</v>
      </c>
      <c r="M215" s="177">
        <f>IF($F215="","",'הזנה לתנאי סף'!Q215)</f>
        <v>1</v>
      </c>
      <c r="N215" s="187">
        <f>IF($F215="","",'תחום תמיכה א'!AE215)</f>
        <v>300025.71896817652</v>
      </c>
      <c r="O215" s="178"/>
      <c r="P215" s="187">
        <f>IF($F215="","",'תחום תמיכה ב'!AC215)</f>
        <v>290197.92512697325</v>
      </c>
      <c r="Q215" s="187">
        <f>IF($F215="","",IF('תחום תמיכה ג'!O215="",0,'תחום תמיכה ג'!O215))</f>
        <v>50166.045297073673</v>
      </c>
      <c r="R215" s="187">
        <f t="shared" si="8"/>
        <v>8701.5999469271046</v>
      </c>
      <c r="S215" s="187">
        <f>IF($F215="","",'תחום תמיכה ב'!AE215)</f>
        <v>298899.52507390035</v>
      </c>
      <c r="T215" s="187">
        <f>IF($F215="","",IF(Q215='תחום תמיכה ג'!$Q$2,'תחום תמיכה ג'!$Q$2,IFERROR(SUMIF(N215:R215,"&gt;0"),'תחום תמיכה ג'!$Q$2)))</f>
        <v>649091.28933915053</v>
      </c>
      <c r="U215" s="187">
        <f>IF($F215="","",'הזנה לתנאי סף'!Y215)</f>
        <v>1500000</v>
      </c>
      <c r="V215" s="269">
        <f>IF(F215="","",'הגבלה לסכום מבוקש '!AA215)</f>
        <v>698951.68513098173</v>
      </c>
      <c r="W215" s="187">
        <f t="shared" si="9"/>
        <v>174737.92128274543</v>
      </c>
      <c r="X215" s="187">
        <f>IF(F215="","",'הזנה לתנאי סף'!Z215)</f>
        <v>1</v>
      </c>
      <c r="Y215" s="237" t="str">
        <f>IFERROR(VLOOKUP(G215*1,#REF!,3,0),"")</f>
        <v/>
      </c>
      <c r="Z215" s="187" t="str">
        <f>IF(OR($F215="",Y215=""),"",IFERROR(IF(Y215&gt;V215,MIN(Y215,T215)-V215,0),'תחום תמיכה ג'!$Q$2))</f>
        <v/>
      </c>
      <c r="AA215" s="259"/>
      <c r="AB215" s="260" t="str">
        <f t="shared" si="10"/>
        <v/>
      </c>
      <c r="AC215" s="262"/>
      <c r="AD215" s="180"/>
      <c r="AE215" s="13" t="str">
        <f>IF($C215="","",IFERROR(VLOOKUP($C215,גיליון1!$A:$E,2,0),"לא הגיש בקשה שוטפת"))</f>
        <v>תמיכה שוטפת</v>
      </c>
      <c r="AF215" s="13" t="str">
        <f>IF($C215="","",IFERROR(VLOOKUP($C215,גיליון1!$A:$E,3,0),"לא הגיש בקשה שוטפת"))</f>
        <v>חויב</v>
      </c>
      <c r="AG215" s="13" t="str">
        <f>IF($C215="","",IFERROR(VLOOKUP($C215,גיליון1!$A:$E,4,0),"לא הגיש בקשה שוטפת"))</f>
        <v>19-42-02-07</v>
      </c>
      <c r="AH215" s="13" t="str">
        <f>IF($C215="","",IFERROR(VLOOKUP($C215,גיליון1!$A:$E,5,0),"לא הגיש בקשה שוטפת"))</f>
        <v>תיאטרון</v>
      </c>
      <c r="AI215" s="13">
        <f t="shared" si="11"/>
        <v>0</v>
      </c>
      <c r="AJ215"/>
      <c r="AK215" t="s">
        <v>250</v>
      </c>
    </row>
    <row r="216" spans="1:37" ht="72" x14ac:dyDescent="0.25">
      <c r="A216" s="54">
        <f>'הזנה לתנאי סף'!B216</f>
        <v>186</v>
      </c>
      <c r="B216" s="266">
        <f>IF($F216="","",'הזנה לתנאי סף'!C216)</f>
        <v>1001350764</v>
      </c>
      <c r="C216" s="266">
        <f>IF($F216="","",'הזנה לתנאי סף'!D216)</f>
        <v>1001290586</v>
      </c>
      <c r="D216" s="266">
        <f>IF($F216="","",'הזנה לתנאי סף'!E216)</f>
        <v>40000625</v>
      </c>
      <c r="E216" s="55">
        <f>IF($F216="","",'הזנה לתנאי סף'!F216)</f>
        <v>20000154</v>
      </c>
      <c r="F216" s="55" t="str">
        <f>IF('הזנה לתנאי סף'!BL216=1,'הזנה לתנאי סף'!G216,"")</f>
        <v>אום אל-פחם</v>
      </c>
      <c r="G216" s="55" t="str">
        <f>IF($F216="","",'הזנה לתנאי סף'!H216)</f>
        <v>אבדאע - עמותה לקידום האמנויות במגזר</v>
      </c>
      <c r="H216" s="55" t="str">
        <f>IF($F216="","",'הזנה לתנאי סף'!I216)</f>
        <v>תרבות ערבית</v>
      </c>
      <c r="I216" s="187">
        <f>IF($F216="","",'הזנה לתנאי סף'!R216)</f>
        <v>693448</v>
      </c>
      <c r="J216" s="187">
        <f>IF($F216="","",'תחום תמיכה א'!P216)</f>
        <v>712940</v>
      </c>
      <c r="K216" s="177">
        <f>IF($F216="","",'הזנה לתנאי סף'!N216)</f>
        <v>0</v>
      </c>
      <c r="L216" s="177">
        <f>IF($F216="","",'הזנה לתנאי סף'!O216)</f>
        <v>1</v>
      </c>
      <c r="M216" s="177">
        <f>IF($F216="","",'הזנה לתנאי סף'!Q216)</f>
        <v>1</v>
      </c>
      <c r="N216" s="187">
        <f>IF($F216="","",'תחום תמיכה א'!AE216)</f>
        <v>14373.082942520334</v>
      </c>
      <c r="O216" s="178"/>
      <c r="P216" s="187">
        <f>IF($F216="","",'תחום תמיכה ב'!AC216)</f>
        <v>16075.527703676946</v>
      </c>
      <c r="Q216" s="187">
        <f>IF($F216="","",IF('תחום תמיכה ג'!O216="",0,'תחום תמיכה ג'!O216))</f>
        <v>0</v>
      </c>
      <c r="R216" s="187">
        <f t="shared" si="8"/>
        <v>482.02553809416895</v>
      </c>
      <c r="S216" s="187">
        <f>IF($F216="","",'תחום תמיכה ב'!AE216)</f>
        <v>16557.553241771115</v>
      </c>
      <c r="T216" s="187">
        <f>IF($F216="","",IF(Q216='תחום תמיכה ג'!$Q$2,'תחום תמיכה ג'!$Q$2,IFERROR(SUMIF(N216:R216,"&gt;0"),'תחום תמיכה ג'!$Q$2)))</f>
        <v>30930.636184291448</v>
      </c>
      <c r="U216" s="187">
        <f>IF($F216="","",'הזנה לתנאי סף'!Y216)</f>
        <v>180000</v>
      </c>
      <c r="V216" s="269">
        <f>IF(F216="","",'הגבלה לסכום מבוקש '!AA216)</f>
        <v>33690.36677061292</v>
      </c>
      <c r="W216" s="187">
        <f t="shared" si="9"/>
        <v>8422.59169265323</v>
      </c>
      <c r="X216" s="187">
        <f>IF(F216="","",'הזנה לתנאי סף'!Z216)</f>
        <v>50000</v>
      </c>
      <c r="Y216" s="237" t="str">
        <f>IFERROR(VLOOKUP(G216*1,#REF!,3,0),"")</f>
        <v/>
      </c>
      <c r="Z216" s="187" t="str">
        <f>IF(OR($F216="",Y216=""),"",IFERROR(IF(Y216&gt;V216,MIN(Y216,T216)-V216,0),'תחום תמיכה ג'!$Q$2))</f>
        <v/>
      </c>
      <c r="AA216" s="259"/>
      <c r="AB216" s="260" t="str">
        <f t="shared" si="10"/>
        <v/>
      </c>
      <c r="AC216" s="262"/>
      <c r="AD216" s="180"/>
      <c r="AE216" s="13" t="str">
        <f>IF($C216="","",IFERROR(VLOOKUP($C216,גיליון1!$A:$E,2,0),"לא הגיש בקשה שוטפת"))</f>
        <v>תקציב שוטף</v>
      </c>
      <c r="AF216" s="13" t="str">
        <f>IF($C216="","",IFERROR(VLOOKUP($C216,גיליון1!$A:$E,3,0),"לא הגיש בקשה שוטפת"))</f>
        <v>מועד</v>
      </c>
      <c r="AG216" s="13" t="str">
        <f>IF($C216="","",IFERROR(VLOOKUP($C216,גיליון1!$A:$E,4,0),"לא הגיש בקשה שוטפת"))</f>
        <v>19-42-02-33</v>
      </c>
      <c r="AH216" s="13" t="str">
        <f>IF($C216="","",IFERROR(VLOOKUP($C216,גיליון1!$A:$E,5,0),"לא הגיש בקשה שוטפת"))</f>
        <v>תרבות ערבית ודרוזית</v>
      </c>
      <c r="AI216" s="13">
        <f t="shared" si="11"/>
        <v>0</v>
      </c>
      <c r="AJ216"/>
      <c r="AK216" t="s">
        <v>250</v>
      </c>
    </row>
    <row r="217" spans="1:37" ht="29.25" x14ac:dyDescent="0.25">
      <c r="A217" s="54">
        <f>'הזנה לתנאי סף'!B217</f>
        <v>187</v>
      </c>
      <c r="B217" s="266">
        <f>IF($F217="","",'הזנה לתנאי סף'!C217)</f>
        <v>1001349137</v>
      </c>
      <c r="C217" s="266">
        <f>IF($F217="","",'הזנה לתנאי סף'!D217)</f>
        <v>1001264894</v>
      </c>
      <c r="D217" s="266">
        <f>IF($F217="","",'הזנה לתנאי סף'!E217)</f>
        <v>40188899</v>
      </c>
      <c r="E217" s="55">
        <f>IF($F217="","",'הזנה לתנאי סף'!F217)</f>
        <v>20000159</v>
      </c>
      <c r="F217" s="55" t="str">
        <f>IF('הזנה לתנאי סף'!BL217=1,'הזנה לתנאי סף'!G217,"")</f>
        <v>ירושלים</v>
      </c>
      <c r="G217" s="55" t="str">
        <f>IF($F217="","",'הזנה לתנאי סף'!H217)</f>
        <v>נהר אפרסמון</v>
      </c>
      <c r="H217" s="55" t="str">
        <f>IF($F217="","",'הזנה לתנאי סף'!I217)</f>
        <v>תרבות חרדית</v>
      </c>
      <c r="I217" s="187">
        <f>IF($F217="","",'הזנה לתנאי סף'!R217)</f>
        <v>213225</v>
      </c>
      <c r="J217" s="187">
        <f>IF($F217="","",'תחום תמיכה א'!P217)</f>
        <v>213255</v>
      </c>
      <c r="K217" s="177">
        <f>IF($F217="","",'הזנה לתנאי סף'!N217)</f>
        <v>0</v>
      </c>
      <c r="L217" s="177">
        <f>IF($F217="","",'הזנה לתנאי סף'!O217)</f>
        <v>1</v>
      </c>
      <c r="M217" s="177">
        <f>IF($F217="","",'הזנה לתנאי סף'!Q217)</f>
        <v>1</v>
      </c>
      <c r="N217" s="187">
        <f>IF($F217="","",'תחום תמיכה א'!AE217)</f>
        <v>4686.7737576441268</v>
      </c>
      <c r="O217" s="178"/>
      <c r="P217" s="187">
        <f>IF($F217="","",'תחום תמיכה ב'!AC217)</f>
        <v>5874.150855525214</v>
      </c>
      <c r="Q217" s="187">
        <f>IF($F217="","",IF('תחום תמיכה ג'!O217="",0,'תחום תמיכה ג'!O217))</f>
        <v>0</v>
      </c>
      <c r="R217" s="187">
        <f t="shared" si="8"/>
        <v>176.1367203101654</v>
      </c>
      <c r="S217" s="187">
        <f>IF($F217="","",'תחום תמיכה ב'!AE217)</f>
        <v>6050.2875758353794</v>
      </c>
      <c r="T217" s="187">
        <f>IF($F217="","",IF(Q217='תחום תמיכה ג'!$Q$2,'תחום תמיכה ג'!$Q$2,IFERROR(SUMIF(N217:R217,"&gt;0"),'תחום תמיכה ג'!$Q$2)))</f>
        <v>10737.061333479505</v>
      </c>
      <c r="U217" s="187">
        <f>IF($F217="","",'הזנה לתנאי סף'!Y217)</f>
        <v>450000</v>
      </c>
      <c r="V217" s="269">
        <f>IF(F217="","",'הגבלה לסכום מבוקש '!AA217)</f>
        <v>11745.235770891286</v>
      </c>
      <c r="W217" s="187">
        <f t="shared" si="9"/>
        <v>2936.3089427228215</v>
      </c>
      <c r="X217" s="187">
        <f>IF(F217="","",'הזנה לתנאי סף'!Z217)</f>
        <v>80000</v>
      </c>
      <c r="Y217" s="237" t="str">
        <f>IFERROR(VLOOKUP(G217*1,#REF!,3,0),"")</f>
        <v/>
      </c>
      <c r="Z217" s="187" t="str">
        <f>IF(OR($F217="",Y217=""),"",IFERROR(IF(Y217&gt;V217,MIN(Y217,T217)-V217,0),'תחום תמיכה ג'!$Q$2))</f>
        <v/>
      </c>
      <c r="AA217" s="259"/>
      <c r="AB217" s="260" t="str">
        <f t="shared" si="10"/>
        <v/>
      </c>
      <c r="AC217" s="262"/>
      <c r="AD217" s="180"/>
      <c r="AE217" s="13" t="str">
        <f>IF($C217="","",IFERROR(VLOOKUP($C217,גיליון1!$A:$E,2,0),"לא הגיש בקשה שוטפת"))</f>
        <v>בקשת תמיכה תרבות חרדית</v>
      </c>
      <c r="AF217" s="13" t="str">
        <f>IF($C217="","",IFERROR(VLOOKUP($C217,גיליון1!$A:$E,3,0),"לא הגיש בקשה שוטפת"))</f>
        <v>מועד</v>
      </c>
      <c r="AG217" s="13" t="str">
        <f>IF($C217="","",IFERROR(VLOOKUP($C217,גיליון1!$A:$E,4,0),"לא הגיש בקשה שוטפת"))</f>
        <v>19-42-02-65</v>
      </c>
      <c r="AH217" s="13" t="str">
        <f>IF($C217="","",IFERROR(VLOOKUP($C217,גיליון1!$A:$E,5,0),"לא הגיש בקשה שוטפת"))</f>
        <v>תרבות חרדית</v>
      </c>
      <c r="AI217" s="13">
        <f t="shared" si="11"/>
        <v>0</v>
      </c>
      <c r="AJ217"/>
      <c r="AK217" t="s">
        <v>250</v>
      </c>
    </row>
    <row r="218" spans="1:37" ht="29.25" x14ac:dyDescent="0.25">
      <c r="A218" s="54">
        <f>'הזנה לתנאי סף'!B218</f>
        <v>188</v>
      </c>
      <c r="B218" s="266">
        <f>IF($F218="","",'הזנה לתנאי סף'!C218)</f>
        <v>1001349367</v>
      </c>
      <c r="C218" s="266">
        <f>IF($F218="","",'הזנה לתנאי סף'!D218)</f>
        <v>1001264905</v>
      </c>
      <c r="D218" s="266">
        <f>IF($F218="","",'הזנה לתנאי סף'!E218)</f>
        <v>40188899</v>
      </c>
      <c r="E218" s="55">
        <f>IF($F218="","",'הזנה לתנאי סף'!F218)</f>
        <v>20000159</v>
      </c>
      <c r="F218" s="55" t="str">
        <f>IF('הזנה לתנאי סף'!BL218=1,'הזנה לתנאי סף'!G218,"")</f>
        <v>ירושלים</v>
      </c>
      <c r="G218" s="55" t="str">
        <f>IF($F218="","",'הזנה לתנאי סף'!H218)</f>
        <v>נהר אפרסמון</v>
      </c>
      <c r="H218" s="55" t="str">
        <f>IF($F218="","",'הזנה לתנאי סף'!I218)</f>
        <v>אחר</v>
      </c>
      <c r="I218" s="187">
        <f>IF($F218="","",'הזנה לתנאי סף'!R218)</f>
        <v>254855</v>
      </c>
      <c r="J218" s="187">
        <f>IF($F218="","",'תחום תמיכה א'!P218)</f>
        <v>254855</v>
      </c>
      <c r="K218" s="177">
        <f>IF($F218="","",'הזנה לתנאי סף'!N218)</f>
        <v>1</v>
      </c>
      <c r="L218" s="177">
        <f>IF($F218="","",'הזנה לתנאי סף'!O218)</f>
        <v>1</v>
      </c>
      <c r="M218" s="177">
        <f>IF($F218="","",'הזנה לתנאי סף'!Q218)</f>
        <v>1</v>
      </c>
      <c r="N218" s="187">
        <f>IF($F218="","",'תחום תמיכה א'!AE218)</f>
        <v>3836.5187471739728</v>
      </c>
      <c r="O218" s="178"/>
      <c r="P218" s="187">
        <f>IF($F218="","",'תחום תמיכה ב'!AC218)</f>
        <v>3294.1163100778808</v>
      </c>
      <c r="Q218" s="187">
        <f>IF($F218="","",IF('תחום תמיכה ג'!O218="",0,'תחום תמיכה ג'!O218))</f>
        <v>569.44855120136162</v>
      </c>
      <c r="R218" s="187">
        <f t="shared" si="8"/>
        <v>98.774249665650586</v>
      </c>
      <c r="S218" s="187">
        <f>IF($F218="","",'תחום תמיכה ב'!AE218)</f>
        <v>3392.8905597435314</v>
      </c>
      <c r="T218" s="187">
        <f>IF($F218="","",IF(Q218='תחום תמיכה ג'!$Q$2,'תחום תמיכה ג'!$Q$2,IFERROR(SUMIF(N218:R218,"&gt;0"),'תחום תמיכה ג'!$Q$2)))</f>
        <v>7798.8578581188649</v>
      </c>
      <c r="U218" s="187">
        <f>IF($F218="","",'הזנה לתנאי סף'!Y218)</f>
        <v>450000</v>
      </c>
      <c r="V218" s="269">
        <f>IF(F218="","",'הגבלה לסכום מבוקש '!AA218)</f>
        <v>8365.0330727402579</v>
      </c>
      <c r="W218" s="187">
        <f t="shared" si="9"/>
        <v>2091.2582681850645</v>
      </c>
      <c r="X218" s="187">
        <f>IF(F218="","",'הזנה לתנאי סף'!Z218)</f>
        <v>80000</v>
      </c>
      <c r="Y218" s="237" t="str">
        <f>IFERROR(VLOOKUP(G218*1,#REF!,3,0),"")</f>
        <v/>
      </c>
      <c r="Z218" s="187" t="str">
        <f>IF(OR($F218="",Y218=""),"",IFERROR(IF(Y218&gt;V218,MIN(Y218,T218)-V218,0),'תחום תמיכה ג'!$Q$2))</f>
        <v/>
      </c>
      <c r="AA218" s="259"/>
      <c r="AB218" s="260" t="str">
        <f t="shared" si="10"/>
        <v/>
      </c>
      <c r="AC218" s="262"/>
      <c r="AD218" s="180"/>
      <c r="AE218" s="13" t="str">
        <f>IF($C218="","",IFERROR(VLOOKUP($C218,גיליון1!$A:$E,2,0),"לא הגיש בקשה שוטפת"))</f>
        <v>פרויקט הפקתי</v>
      </c>
      <c r="AF218" s="13" t="str">
        <f>IF($C218="","",IFERROR(VLOOKUP($C218,גיליון1!$A:$E,3,0),"לא הגיש בקשה שוטפת"))</f>
        <v>טיוט</v>
      </c>
      <c r="AG218" s="13" t="str">
        <f>IF($C218="","",IFERROR(VLOOKUP($C218,גיליון1!$A:$E,4,0),"לא הגיש בקשה שוטפת"))</f>
        <v>19-42-02-07</v>
      </c>
      <c r="AH218" s="13" t="str">
        <f>IF($C218="","",IFERROR(VLOOKUP($C218,גיליון1!$A:$E,5,0),"לא הגיש בקשה שוטפת"))</f>
        <v>תיאטרון</v>
      </c>
      <c r="AI218" s="13">
        <f t="shared" si="11"/>
        <v>0</v>
      </c>
      <c r="AJ218"/>
      <c r="AK218" t="s">
        <v>250</v>
      </c>
    </row>
    <row r="219" spans="1:37" ht="29.25" x14ac:dyDescent="0.25">
      <c r="A219" s="54">
        <f>'הזנה לתנאי סף'!B219</f>
        <v>189</v>
      </c>
      <c r="B219" s="266">
        <f>IF($F219="","",'הזנה לתנאי סף'!C219)</f>
        <v>1001346791</v>
      </c>
      <c r="C219" s="266">
        <f>IF($F219="","",'הזנה לתנאי סף'!D219)</f>
        <v>1001265735</v>
      </c>
      <c r="D219" s="266">
        <f>IF($F219="","",'הזנה לתנאי סף'!E219)</f>
        <v>40221576</v>
      </c>
      <c r="E219" s="55">
        <f>IF($F219="","",'הזנה לתנאי סף'!F219)</f>
        <v>20000231</v>
      </c>
      <c r="F219" s="55" t="str">
        <f>IF('הזנה לתנאי סף'!BL219=1,'הזנה לתנאי סף'!G219,"")</f>
        <v>נצרת</v>
      </c>
      <c r="G219" s="55" t="str">
        <f>IF($F219="","",'הזנה לתנאי סף'!H219)</f>
        <v>אורפיאוס</v>
      </c>
      <c r="H219" s="55" t="str">
        <f>IF($F219="","",'הזנה לתנאי סף'!I219)</f>
        <v>מוסיקה-גופים כליים</v>
      </c>
      <c r="I219" s="187">
        <f>IF($F219="","",'הזנה לתנאי סף'!R219)</f>
        <v>459458</v>
      </c>
      <c r="J219" s="187">
        <f>IF($F219="","",'תחום תמיכה א'!P219)</f>
        <v>393434</v>
      </c>
      <c r="K219" s="177">
        <f>IF($F219="","",'הזנה לתנאי סף'!N219)</f>
        <v>0</v>
      </c>
      <c r="L219" s="177">
        <f>IF($F219="","",'הזנה לתנאי סף'!O219)</f>
        <v>1</v>
      </c>
      <c r="M219" s="177">
        <f>IF($F219="","",'הזנה לתנאי סף'!Q219)</f>
        <v>1</v>
      </c>
      <c r="N219" s="187">
        <f>IF($F219="","",'תחום תמיכה א'!AE219)</f>
        <v>6089.3186878430924</v>
      </c>
      <c r="O219" s="178"/>
      <c r="P219" s="187">
        <f>IF($F219="","",'תחום תמיכה ב'!AC219)</f>
        <v>6277.6469387867819</v>
      </c>
      <c r="Q219" s="187">
        <f>IF($F219="","",IF('תחום תמיכה ג'!O219="",0,'תחום תמיכה ג'!O219))</f>
        <v>0</v>
      </c>
      <c r="R219" s="187">
        <f t="shared" si="8"/>
        <v>188.23557144825736</v>
      </c>
      <c r="S219" s="187">
        <f>IF($F219="","",'תחום תמיכה ב'!AE219)</f>
        <v>6465.8825102350393</v>
      </c>
      <c r="T219" s="187">
        <f>IF($F219="","",IF(Q219='תחום תמיכה ג'!$Q$2,'תחום תמיכה ג'!$Q$2,IFERROR(SUMIF(N219:R219,"&gt;0"),'תחום תמיכה ג'!$Q$2)))</f>
        <v>12555.201198078132</v>
      </c>
      <c r="U219" s="187">
        <f>IF($F219="","",'הזנה לתנאי סף'!Y219)</f>
        <v>100000</v>
      </c>
      <c r="V219" s="269">
        <f>IF(F219="","",'הגבלה לסכום מבוקש '!AA219)</f>
        <v>13633.119281274894</v>
      </c>
      <c r="W219" s="187">
        <f t="shared" si="9"/>
        <v>3408.2798203187235</v>
      </c>
      <c r="X219" s="187">
        <f>IF(F219="","",'הזנה לתנאי סף'!Z219)</f>
        <v>100000</v>
      </c>
      <c r="Y219" s="237" t="str">
        <f>IFERROR(VLOOKUP(G219*1,#REF!,3,0),"")</f>
        <v/>
      </c>
      <c r="Z219" s="187" t="str">
        <f>IF(OR($F219="",Y219=""),"",IFERROR(IF(Y219&gt;V219,MIN(Y219,T219)-V219,0),'תחום תמיכה ג'!$Q$2))</f>
        <v/>
      </c>
      <c r="AA219" s="259"/>
      <c r="AB219" s="260" t="str">
        <f t="shared" si="10"/>
        <v/>
      </c>
      <c r="AC219" s="262"/>
      <c r="AD219" s="180"/>
      <c r="AE219" s="13" t="str">
        <f>IF($C219="","",IFERROR(VLOOKUP($C219,גיליון1!$A:$E,2,0),"לא הגיש בקשה שוטפת"))</f>
        <v>תמיכה בפעילות השוטפת של העמותה</v>
      </c>
      <c r="AF219" s="13" t="str">
        <f>IF($C219="","",IFERROR(VLOOKUP($C219,גיליון1!$A:$E,3,0),"לא הגיש בקשה שוטפת"))</f>
        <v>מועד</v>
      </c>
      <c r="AG219" s="13" t="str">
        <f>IF($C219="","",IFERROR(VLOOKUP($C219,גיליון1!$A:$E,4,0),"לא הגיש בקשה שוטפת"))</f>
        <v>19-42-02-33</v>
      </c>
      <c r="AH219" s="13" t="str">
        <f>IF($C219="","",IFERROR(VLOOKUP($C219,גיליון1!$A:$E,5,0),"לא הגיש בקשה שוטפת"))</f>
        <v>תרבות ערבית ודרוזית</v>
      </c>
      <c r="AI219" s="13">
        <f t="shared" si="11"/>
        <v>0</v>
      </c>
      <c r="AJ219"/>
      <c r="AK219" t="s">
        <v>250</v>
      </c>
    </row>
    <row r="220" spans="1:37" ht="29.25" x14ac:dyDescent="0.25">
      <c r="A220" s="54">
        <f>'הזנה לתנאי סף'!B220</f>
        <v>190</v>
      </c>
      <c r="B220" s="266">
        <f>IF($F220="","",'הזנה לתנאי סף'!C220)</f>
        <v>1001349328</v>
      </c>
      <c r="C220" s="266">
        <f>IF($F220="","",'הזנה לתנאי סף'!D220)</f>
        <v>1001275158</v>
      </c>
      <c r="D220" s="266">
        <f>IF($F220="","",'הזנה לתנאי סף'!E220)</f>
        <v>40268014</v>
      </c>
      <c r="E220" s="55">
        <f>IF($F220="","",'הזנה לתנאי סף'!F220)</f>
        <v>20000194</v>
      </c>
      <c r="F220" s="55" t="str">
        <f>IF('הזנה לתנאי סף'!BL220=1,'הזנה לתנאי סף'!G220,"")</f>
        <v>גן רווה</v>
      </c>
      <c r="G220" s="55" t="str">
        <f>IF($F220="","",'הזנה לתנאי סף'!H220)</f>
        <v>מוזיאון בית מרים</v>
      </c>
      <c r="H220" s="55" t="str">
        <f>IF($F220="","",'הזנה לתנאי סף'!I220)</f>
        <v>מוזיאונים</v>
      </c>
      <c r="I220" s="187">
        <f>IF($F220="","",'הזנה לתנאי סף'!R220)</f>
        <v>271192</v>
      </c>
      <c r="J220" s="187">
        <f>IF($F220="","",'תחום תמיכה א'!P220)</f>
        <v>199123</v>
      </c>
      <c r="K220" s="177">
        <f>IF($F220="","",'הזנה לתנאי סף'!N220)</f>
        <v>0</v>
      </c>
      <c r="L220" s="177">
        <f>IF($F220="","",'הזנה לתנאי סף'!O220)</f>
        <v>1</v>
      </c>
      <c r="M220" s="177">
        <f>IF($F220="","",'הזנה לתנאי סף'!Q220)</f>
        <v>1</v>
      </c>
      <c r="N220" s="187">
        <f>IF($F220="","",'תחום תמיכה א'!AE220)</f>
        <v>7442.9311189593982</v>
      </c>
      <c r="O220" s="178"/>
      <c r="P220" s="187">
        <f>IF($F220="","",'תחום תמיכה ב'!AC220)</f>
        <v>21611.228656689145</v>
      </c>
      <c r="Q220" s="187">
        <f>IF($F220="","",IF('תחום תמיכה ג'!O220="",0,'תחום תמיכה ג'!O220))</f>
        <v>0</v>
      </c>
      <c r="R220" s="187">
        <f t="shared" si="8"/>
        <v>648.01382039446253</v>
      </c>
      <c r="S220" s="187">
        <f>IF($F220="","",'תחום תמיכה ב'!AE220)</f>
        <v>22259.242477083608</v>
      </c>
      <c r="T220" s="187">
        <f>IF($F220="","",IF(Q220='תחום תמיכה ג'!$Q$2,'תחום תמיכה ג'!$Q$2,IFERROR(SUMIF(N220:R220,"&gt;0"),'תחום תמיכה ג'!$Q$2)))</f>
        <v>29702.173596043005</v>
      </c>
      <c r="U220" s="187">
        <f>IF($F220="","",'הזנה לתנאי סף'!Y220)</f>
        <v>100000</v>
      </c>
      <c r="V220" s="269">
        <f>IF(F220="","",'הגבלה לסכום מבוקש '!AA220)</f>
        <v>33406.824274921877</v>
      </c>
      <c r="W220" s="187">
        <f t="shared" si="9"/>
        <v>8351.7060687304693</v>
      </c>
      <c r="X220" s="187">
        <f>IF(F220="","",'הזנה לתנאי סף'!Z220)</f>
        <v>30000</v>
      </c>
      <c r="Y220" s="237" t="str">
        <f>IFERROR(VLOOKUP(G220*1,#REF!,3,0),"")</f>
        <v/>
      </c>
      <c r="Z220" s="187" t="str">
        <f>IF(OR($F220="",Y220=""),"",IFERROR(IF(Y220&gt;V220,MIN(Y220,T220)-V220,0),'תחום תמיכה ג'!$Q$2))</f>
        <v/>
      </c>
      <c r="AA220" s="259"/>
      <c r="AB220" s="260" t="str">
        <f t="shared" si="10"/>
        <v/>
      </c>
      <c r="AC220" s="262"/>
      <c r="AD220" s="180"/>
      <c r="AE220" s="13" t="str">
        <f>IF($C220="","",IFERROR(VLOOKUP($C220,גיליון1!$A:$E,2,0),"לא הגיש בקשה שוטפת"))</f>
        <v>בקשת תמיכה שוטפת למוזיאון בית מרים</v>
      </c>
      <c r="AF220" s="13" t="str">
        <f>IF($C220="","",IFERROR(VLOOKUP($C220,גיליון1!$A:$E,3,0),"לא הגיש בקשה שוטפת"))</f>
        <v>חויב</v>
      </c>
      <c r="AG220" s="13" t="str">
        <f>IF($C220="","",IFERROR(VLOOKUP($C220,גיליון1!$A:$E,4,0),"לא הגיש בקשה שוטפת"))</f>
        <v>19-42-02-18</v>
      </c>
      <c r="AH220" s="13" t="str">
        <f>IF($C220="","",IFERROR(VLOOKUP($C220,גיליון1!$A:$E,5,0),"לא הגיש בקשה שוטפת"))</f>
        <v>מוזיאונים ואמנות פלס</v>
      </c>
      <c r="AI220" s="13">
        <f t="shared" si="11"/>
        <v>0</v>
      </c>
      <c r="AJ220"/>
      <c r="AK220" t="s">
        <v>250</v>
      </c>
    </row>
    <row r="221" spans="1:37" ht="86.25" x14ac:dyDescent="0.25">
      <c r="A221" s="54">
        <f>'הזנה לתנאי סף'!B221</f>
        <v>191</v>
      </c>
      <c r="B221" s="266">
        <f>IF($F221="","",'הזנה לתנאי סף'!C221)</f>
        <v>1001350855</v>
      </c>
      <c r="C221" s="266">
        <f>IF($F221="","",'הזנה לתנאי סף'!D221)</f>
        <v>1001268627</v>
      </c>
      <c r="D221" s="266">
        <f>IF($F221="","",'הזנה לתנאי סף'!E221)</f>
        <v>40000006</v>
      </c>
      <c r="E221" s="55">
        <f>IF($F221="","",'הזנה לתנאי סף'!F221)</f>
        <v>20000137</v>
      </c>
      <c r="F221" s="55" t="str">
        <f>IF('הזנה לתנאי סף'!BL221=1,'הזנה לתנאי סף'!G221,"")</f>
        <v>מגידו</v>
      </c>
      <c r="G221" s="55" t="str">
        <f>IF($F221="","",'הזנה לתנאי סף'!H221)</f>
        <v>וילפריד ישראל לאמנות וידיעת המזרח בע"מ</v>
      </c>
      <c r="H221" s="55" t="str">
        <f>IF($F221="","",'הזנה לתנאי סף'!I221)</f>
        <v>מוזיאונים</v>
      </c>
      <c r="I221" s="187">
        <f>IF($F221="","",'הזנה לתנאי סף'!R221)</f>
        <v>907132</v>
      </c>
      <c r="J221" s="187">
        <f>IF($F221="","",'תחום תמיכה א'!P221)</f>
        <v>1086293</v>
      </c>
      <c r="K221" s="177">
        <f>IF($F221="","",'הזנה לתנאי סף'!N221)</f>
        <v>0</v>
      </c>
      <c r="L221" s="177">
        <f>IF($F221="","",'הזנה לתנאי סף'!O221)</f>
        <v>1</v>
      </c>
      <c r="M221" s="177">
        <f>IF($F221="","",'הזנה לתנאי סף'!Q221)</f>
        <v>1</v>
      </c>
      <c r="N221" s="187">
        <f>IF($F221="","",'תחום תמיכה א'!AE221)</f>
        <v>38396.149103309399</v>
      </c>
      <c r="O221" s="178"/>
      <c r="P221" s="187">
        <f>IF($F221="","",'תחום תמיכה ב'!AC221)</f>
        <v>64641.184025750357</v>
      </c>
      <c r="Q221" s="187">
        <f>IF($F221="","",IF('תחום תמיכה ג'!O221="",0,'תחום תמיכה ג'!O221))</f>
        <v>0</v>
      </c>
      <c r="R221" s="187">
        <f t="shared" si="8"/>
        <v>1938.2692803253813</v>
      </c>
      <c r="S221" s="187">
        <f>IF($F221="","",'תחום תמיכה ב'!AE221)</f>
        <v>66579.453306075739</v>
      </c>
      <c r="T221" s="187">
        <f>IF($F221="","",IF(Q221='תחום תמיכה ג'!$Q$2,'תחום תמיכה ג'!$Q$2,IFERROR(SUMIF(N221:R221,"&gt;0"),'תחום תמיכה ג'!$Q$2)))</f>
        <v>104975.60240938514</v>
      </c>
      <c r="U221" s="187">
        <f>IF($F221="","",'הזנה לתנאי סף'!Y221)</f>
        <v>150000</v>
      </c>
      <c r="V221" s="269">
        <f>IF(F221="","",'הגבלה לסכום מבוקש '!AA221)</f>
        <v>116063.90136154433</v>
      </c>
      <c r="W221" s="187">
        <f t="shared" si="9"/>
        <v>29015.975340386081</v>
      </c>
      <c r="X221" s="187">
        <f>IF(F221="","",'הזנה לתנאי סף'!Z221)</f>
        <v>50000</v>
      </c>
      <c r="Y221" s="237" t="str">
        <f>IFERROR(VLOOKUP(G221*1,#REF!,3,0),"")</f>
        <v/>
      </c>
      <c r="Z221" s="187" t="str">
        <f>IF(OR($F221="",Y221=""),"",IFERROR(IF(Y221&gt;V221,MIN(Y221,T221)-V221,0),'תחום תמיכה ג'!$Q$2))</f>
        <v/>
      </c>
      <c r="AA221" s="259"/>
      <c r="AB221" s="260" t="str">
        <f t="shared" si="10"/>
        <v/>
      </c>
      <c r="AC221" s="262"/>
      <c r="AD221" s="180"/>
      <c r="AE221" s="13" t="str">
        <f>IF($C221="","",IFERROR(VLOOKUP($C221,גיליון1!$A:$E,2,0),"לא הגיש בקשה שוטפת"))</f>
        <v>תמיכה שוטפת בפעילות המוזיאון</v>
      </c>
      <c r="AF221" s="13" t="str">
        <f>IF($C221="","",IFERROR(VLOOKUP($C221,גיליון1!$A:$E,3,0),"לא הגיש בקשה שוטפת"))</f>
        <v>חויב</v>
      </c>
      <c r="AG221" s="13" t="str">
        <f>IF($C221="","",IFERROR(VLOOKUP($C221,גיליון1!$A:$E,4,0),"לא הגיש בקשה שוטפת"))</f>
        <v>19-42-02-18</v>
      </c>
      <c r="AH221" s="13" t="str">
        <f>IF($C221="","",IFERROR(VLOOKUP($C221,גיליון1!$A:$E,5,0),"לא הגיש בקשה שוטפת"))</f>
        <v>מוזיאונים ואמנות פלס</v>
      </c>
      <c r="AI221" s="13">
        <f t="shared" si="11"/>
        <v>0</v>
      </c>
      <c r="AJ221"/>
      <c r="AK221" t="s">
        <v>250</v>
      </c>
    </row>
    <row r="222" spans="1:37" ht="57.75" x14ac:dyDescent="0.25">
      <c r="A222" s="54">
        <f>'הזנה לתנאי סף'!B222</f>
        <v>192</v>
      </c>
      <c r="B222" s="266">
        <f>IF($F222="","",'הזנה לתנאי סף'!C222)</f>
        <v>1001350662</v>
      </c>
      <c r="C222" s="266">
        <f>IF($F222="","",'הזנה לתנאי סף'!D222)</f>
        <v>1001279212</v>
      </c>
      <c r="D222" s="266">
        <f>IF($F222="","",'הזנה לתנאי סף'!E222)</f>
        <v>40000437</v>
      </c>
      <c r="E222" s="55">
        <f>IF($F222="","",'הזנה לתנאי סף'!F222)</f>
        <v>20000201</v>
      </c>
      <c r="F222" s="55" t="str">
        <f>IF('הזנה לתנאי סף'!BL222=1,'הזנה לתנאי סף'!G222,"")</f>
        <v>תל אביב -יפו</v>
      </c>
      <c r="G222" s="55" t="str">
        <f>IF($F222="","",'הזנה לתנאי סף'!H222)</f>
        <v>עמותת אמנים יוצרים בישראל</v>
      </c>
      <c r="H222" s="55" t="str">
        <f>IF($F222="","",'הזנה לתנאי סף'!I222)</f>
        <v>חללי תצוגה</v>
      </c>
      <c r="I222" s="187">
        <f>IF($F222="","",'הזנה לתנאי סף'!R222)</f>
        <v>996893</v>
      </c>
      <c r="J222" s="187">
        <f>IF($F222="","",'תחום תמיכה א'!P222)</f>
        <v>706197</v>
      </c>
      <c r="K222" s="177">
        <f>IF($F222="","",'הזנה לתנאי סף'!N222)</f>
        <v>1</v>
      </c>
      <c r="L222" s="177">
        <f>IF($F222="","",'הזנה לתנאי סף'!O222)</f>
        <v>1</v>
      </c>
      <c r="M222" s="177">
        <f>IF($F222="","",'הזנה לתנאי סף'!Q222)</f>
        <v>1</v>
      </c>
      <c r="N222" s="187">
        <f>IF($F222="","",'תחום תמיכה א'!AE222)</f>
        <v>22587.684679195194</v>
      </c>
      <c r="O222" s="178"/>
      <c r="P222" s="187">
        <f>IF($F222="","",'תחום תמיכה ב'!AC222)</f>
        <v>58169.814793121695</v>
      </c>
      <c r="Q222" s="187">
        <f>IF($F222="","",IF('תחום תמיכה ג'!O222="",0,'תחום תמיכה ג'!O222))</f>
        <v>24393.091227688728</v>
      </c>
      <c r="R222" s="187">
        <f t="shared" si="8"/>
        <v>1744.2249357748442</v>
      </c>
      <c r="S222" s="187">
        <f>IF($F222="","",'תחום תמיכה ב'!AE222)</f>
        <v>59914.03972889654</v>
      </c>
      <c r="T222" s="187">
        <f>IF($F222="","",IF(Q222='תחום תמיכה ג'!$Q$2,'תחום תמיכה ג'!$Q$2,IFERROR(SUMIF(N222:R222,"&gt;0"),'תחום תמיכה ג'!$Q$2)))</f>
        <v>106894.81563578045</v>
      </c>
      <c r="U222" s="187">
        <f>IF($F222="","",'הזנה לתנאי סף'!Y222)</f>
        <v>65000</v>
      </c>
      <c r="V222" s="269">
        <f>IF(F222="","",'הגבלה לסכום מבוקש '!AA222)</f>
        <v>65000</v>
      </c>
      <c r="W222" s="187">
        <f t="shared" si="9"/>
        <v>16250</v>
      </c>
      <c r="X222" s="187">
        <f>IF(F222="","",'הזנה לתנאי סף'!Z222)</f>
        <v>50000</v>
      </c>
      <c r="Y222" s="237" t="str">
        <f>IFERROR(VLOOKUP(G222*1,#REF!,3,0),"")</f>
        <v/>
      </c>
      <c r="Z222" s="187" t="str">
        <f>IF(OR($F222="",Y222=""),"",IFERROR(IF(Y222&gt;V222,MIN(Y222,T222)-V222,0),'תחום תמיכה ג'!$Q$2))</f>
        <v/>
      </c>
      <c r="AA222" s="259"/>
      <c r="AB222" s="260" t="str">
        <f t="shared" si="10"/>
        <v/>
      </c>
      <c r="AC222" s="262"/>
      <c r="AD222" s="180"/>
      <c r="AE222" s="13" t="str">
        <f>IF($C222="","",IFERROR(VLOOKUP($C222,גיליון1!$A:$E,2,0),"לא הגיש בקשה שוטפת"))</f>
        <v>אמנים יוצרים חלל תצוגה בר יוחאי 2020</v>
      </c>
      <c r="AF222" s="13" t="str">
        <f>IF($C222="","",IFERROR(VLOOKUP($C222,גיליון1!$A:$E,3,0),"לא הגיש בקשה שוטפת"))</f>
        <v>מועד</v>
      </c>
      <c r="AG222" s="13" t="str">
        <f>IF($C222="","",IFERROR(VLOOKUP($C222,גיליון1!$A:$E,4,0),"לא הגיש בקשה שוטפת"))</f>
        <v>19-42-02-18</v>
      </c>
      <c r="AH222" s="13" t="str">
        <f>IF($C222="","",IFERROR(VLOOKUP($C222,גיליון1!$A:$E,5,0),"לא הגיש בקשה שוטפת"))</f>
        <v>מוזיאונים ואמנות פלס</v>
      </c>
      <c r="AI222" s="13">
        <f t="shared" si="11"/>
        <v>1</v>
      </c>
      <c r="AJ222"/>
      <c r="AK222" t="s">
        <v>250</v>
      </c>
    </row>
    <row r="223" spans="1:37" x14ac:dyDescent="0.25">
      <c r="A223" s="54" t="str">
        <f>'הזנה לתנאי סף'!B223</f>
        <v/>
      </c>
      <c r="B223" s="266" t="str">
        <f>IF($F223="","",'הזנה לתנאי סף'!C223)</f>
        <v/>
      </c>
      <c r="C223" s="266" t="str">
        <f>IF($F223="","",'הזנה לתנאי סף'!D223)</f>
        <v/>
      </c>
      <c r="D223" s="266" t="str">
        <f>IF($F223="","",'הזנה לתנאי סף'!E223)</f>
        <v/>
      </c>
      <c r="E223" s="55" t="str">
        <f>IF($F223="","",'הזנה לתנאי סף'!F223)</f>
        <v/>
      </c>
      <c r="F223" s="55" t="str">
        <f>IF('הזנה לתנאי סף'!BL223=1,'הזנה לתנאי סף'!G223,"")</f>
        <v/>
      </c>
      <c r="G223" s="55" t="str">
        <f>IF($F223="","",'הזנה לתנאי סף'!H223)</f>
        <v/>
      </c>
      <c r="H223" s="55" t="str">
        <f>IF($F223="","",'הזנה לתנאי סף'!I223)</f>
        <v/>
      </c>
      <c r="I223" s="187" t="str">
        <f>IF($F223="","",'הזנה לתנאי סף'!R223)</f>
        <v/>
      </c>
      <c r="J223" s="187" t="str">
        <f>IF($F223="","",'תחום תמיכה א'!P223)</f>
        <v/>
      </c>
      <c r="K223" s="177" t="str">
        <f>IF($F223="","",'הזנה לתנאי סף'!N223)</f>
        <v/>
      </c>
      <c r="L223" s="177" t="str">
        <f>IF($F223="","",'הזנה לתנאי סף'!O223)</f>
        <v/>
      </c>
      <c r="M223" s="177" t="str">
        <f>IF($F223="","",'הזנה לתנאי סף'!Q223)</f>
        <v/>
      </c>
      <c r="N223" s="187" t="str">
        <f>IF($F223="","",'תחום תמיכה א'!AE223)</f>
        <v/>
      </c>
      <c r="O223" s="178"/>
      <c r="P223" s="187" t="str">
        <f>IF($F223="","",'תחום תמיכה ב'!AC223)</f>
        <v/>
      </c>
      <c r="Q223" s="187" t="str">
        <f>IF($F223="","",IF('תחום תמיכה ג'!O223="",0,'תחום תמיכה ג'!O223))</f>
        <v/>
      </c>
      <c r="R223" s="187" t="str">
        <f t="shared" si="8"/>
        <v/>
      </c>
      <c r="S223" s="187" t="str">
        <f>IF($F223="","",'תחום תמיכה ב'!AE223)</f>
        <v/>
      </c>
      <c r="T223" s="187" t="str">
        <f>IF($F223="","",IF(Q223='תחום תמיכה ג'!$Q$2,'תחום תמיכה ג'!$Q$2,IFERROR(SUMIF(N223:R223,"&gt;0"),'תחום תמיכה ג'!$Q$2)))</f>
        <v/>
      </c>
      <c r="U223" s="187" t="str">
        <f>IF($F223="","",'הזנה לתנאי סף'!Y223)</f>
        <v/>
      </c>
      <c r="V223" s="269" t="str">
        <f>IF(F223="","",'הגבלה לסכום מבוקש '!AA223)</f>
        <v/>
      </c>
      <c r="W223" s="187" t="str">
        <f t="shared" si="9"/>
        <v/>
      </c>
      <c r="X223" s="187" t="str">
        <f>IF(F223="","",'הזנה לתנאי סף'!Z223)</f>
        <v/>
      </c>
      <c r="Y223" s="237" t="str">
        <f>IFERROR(VLOOKUP(G223*1,#REF!,3,0),"")</f>
        <v/>
      </c>
      <c r="Z223" s="187" t="str">
        <f>IF(OR($F223="",Y223=""),"",IFERROR(IF(Y223&gt;V223,MIN(Y223,T223)-V223,0),'תחום תמיכה ג'!$Q$2))</f>
        <v/>
      </c>
      <c r="AA223" s="259"/>
      <c r="AB223" s="260" t="str">
        <f t="shared" si="10"/>
        <v/>
      </c>
      <c r="AC223" s="262"/>
      <c r="AD223" s="180"/>
      <c r="AE223" s="13" t="str">
        <f>IF($C223="","",IFERROR(VLOOKUP($C223,גיליון1!$A:$E,2,0),"לא הגיש בקשה שוטפת"))</f>
        <v/>
      </c>
      <c r="AF223" s="13" t="str">
        <f>IF($C223="","",IFERROR(VLOOKUP($C223,גיליון1!$A:$E,3,0),"לא הגיש בקשה שוטפת"))</f>
        <v/>
      </c>
      <c r="AG223" s="13" t="str">
        <f>IF($C223="","",IFERROR(VLOOKUP($C223,גיליון1!$A:$E,4,0),"לא הגיש בקשה שוטפת"))</f>
        <v/>
      </c>
      <c r="AH223" s="13" t="str">
        <f>IF($C223="","",IFERROR(VLOOKUP($C223,גיליון1!$A:$E,5,0),"לא הגיש בקשה שוטפת"))</f>
        <v/>
      </c>
      <c r="AI223" s="13">
        <f t="shared" si="11"/>
        <v>0</v>
      </c>
      <c r="AJ223"/>
      <c r="AK223" t="s">
        <v>250</v>
      </c>
    </row>
    <row r="224" spans="1:37" ht="43.5" x14ac:dyDescent="0.25">
      <c r="A224" s="54">
        <f>'הזנה לתנאי סף'!B224</f>
        <v>194</v>
      </c>
      <c r="B224" s="266">
        <f>IF($F224="","",'הזנה לתנאי סף'!C224)</f>
        <v>1001349549</v>
      </c>
      <c r="C224" s="266">
        <f>IF($F224="","",'הזנה לתנאי סף'!D224)</f>
        <v>1001265903</v>
      </c>
      <c r="D224" s="266">
        <f>IF($F224="","",'הזנה לתנאי סף'!E224)</f>
        <v>41534722</v>
      </c>
      <c r="E224" s="55">
        <f>IF($F224="","",'הזנה לתנאי סף'!F224)</f>
        <v>20000228</v>
      </c>
      <c r="F224" s="55" t="str">
        <f>IF('הזנה לתנאי סף'!BL224=1,'הזנה לתנאי סף'!G224,"")</f>
        <v>לוד</v>
      </c>
      <c r="G224" s="55" t="str">
        <f>IF($F224="","",'הזנה לתנאי סף'!H224)</f>
        <v>המרכז לתאטרון לוד</v>
      </c>
      <c r="H224" s="55" t="str">
        <f>IF($F224="","",'הזנה לתנאי סף'!I224)</f>
        <v>מרכזי פרינג'</v>
      </c>
      <c r="I224" s="187">
        <f>IF($F224="","",'הזנה לתנאי סף'!R224)</f>
        <v>20685</v>
      </c>
      <c r="J224" s="187">
        <f>IF($F224="","",'תחום תמיכה א'!P224)</f>
        <v>29213</v>
      </c>
      <c r="K224" s="177">
        <f>IF($F224="","",'הזנה לתנאי סף'!N224)</f>
        <v>0</v>
      </c>
      <c r="L224" s="177">
        <f>IF($F224="","",'הזנה לתנאי סף'!O224)</f>
        <v>1</v>
      </c>
      <c r="M224" s="177">
        <f>IF($F224="","",'הזנה לתנאי סף'!Q224)</f>
        <v>1</v>
      </c>
      <c r="N224" s="187">
        <f>IF($F224="","",'תחום תמיכה א'!AE224)</f>
        <v>1596.914098302912</v>
      </c>
      <c r="O224" s="178"/>
      <c r="P224" s="187">
        <f>IF($F224="","",'תחום תמיכה ב'!AC224)</f>
        <v>3525.5246560155106</v>
      </c>
      <c r="Q224" s="187">
        <f>IF($F224="","",IF('תחום תמיכה ג'!O224="",0,'תחום תמיכה ג'!O224))</f>
        <v>0</v>
      </c>
      <c r="R224" s="187">
        <f t="shared" ref="R224:R287" si="12">IF($F224="","",IFERROR(S224-P224,""))</f>
        <v>105.71304100900124</v>
      </c>
      <c r="S224" s="187">
        <f>IF($F224="","",'תחום תמיכה ב'!AE224)</f>
        <v>3631.2376970245118</v>
      </c>
      <c r="T224" s="187">
        <f>IF($F224="","",IF(Q224='תחום תמיכה ג'!$Q$2,'תחום תמיכה ג'!$Q$2,IFERROR(SUMIF(N224:R224,"&gt;0"),'תחום תמיכה ג'!$Q$2)))</f>
        <v>5228.1517953274233</v>
      </c>
      <c r="U224" s="187">
        <f>IF($F224="","",'הזנה לתנאי סף'!Y224)</f>
        <v>50000</v>
      </c>
      <c r="V224" s="269">
        <f>IF(F224="","",'הגבלה לסכום מבוקש '!AA224)</f>
        <v>5832.6802809655537</v>
      </c>
      <c r="W224" s="187">
        <f t="shared" ref="W224:W287" si="13">IF(G224="","",V224/4)</f>
        <v>1458.1700702413884</v>
      </c>
      <c r="X224" s="187">
        <f>IF(F224="","",'הזנה לתנאי סף'!Z224)</f>
        <v>25000</v>
      </c>
      <c r="Y224" s="237" t="str">
        <f>IFERROR(VLOOKUP(G224*1,#REF!,3,0),"")</f>
        <v/>
      </c>
      <c r="Z224" s="187" t="str">
        <f>IF(OR($F224="",Y224=""),"",IFERROR(IF(Y224&gt;V224,MIN(Y224,T224)-V224,0),'תחום תמיכה ג'!$Q$2))</f>
        <v/>
      </c>
      <c r="AA224" s="259"/>
      <c r="AB224" s="260" t="str">
        <f t="shared" ref="AB224:AB287" si="14">Z224</f>
        <v/>
      </c>
      <c r="AC224" s="262"/>
      <c r="AD224" s="180"/>
      <c r="AE224" s="13" t="str">
        <f>IF($C224="","",IFERROR(VLOOKUP($C224,גיליון1!$A:$E,2,0),"לא הגיש בקשה שוטפת"))</f>
        <v>קבוצת תיאטרון פרינג' בפריפריה</v>
      </c>
      <c r="AF224" s="13" t="str">
        <f>IF($C224="","",IFERROR(VLOOKUP($C224,גיליון1!$A:$E,3,0),"לא הגיש בקשה שוטפת"))</f>
        <v>טיוט</v>
      </c>
      <c r="AG224" s="13" t="str">
        <f>IF($C224="","",IFERROR(VLOOKUP($C224,גיליון1!$A:$E,4,0),"לא הגיש בקשה שוטפת"))</f>
        <v>19-42-02-07</v>
      </c>
      <c r="AH224" s="13" t="str">
        <f>IF($C224="","",IFERROR(VLOOKUP($C224,גיליון1!$A:$E,5,0),"לא הגיש בקשה שוטפת"))</f>
        <v>תיאטרון</v>
      </c>
      <c r="AI224" s="13">
        <f t="shared" ref="AI224:AI287" si="15">IF(T224&gt;U224,1,0)</f>
        <v>0</v>
      </c>
      <c r="AJ224"/>
      <c r="AK224" t="s">
        <v>250</v>
      </c>
    </row>
    <row r="225" spans="1:37" ht="72" x14ac:dyDescent="0.25">
      <c r="A225" s="54">
        <f>'הזנה לתנאי סף'!B225</f>
        <v>195</v>
      </c>
      <c r="B225" s="266">
        <f>IF($F225="","",'הזנה לתנאי סף'!C225)</f>
        <v>1001350350</v>
      </c>
      <c r="C225" s="266">
        <f>IF($F225="","",'הזנה לתנאי סף'!D225)</f>
        <v>1001270597</v>
      </c>
      <c r="D225" s="266">
        <f>IF($F225="","",'הזנה לתנאי סף'!E225)</f>
        <v>41103047</v>
      </c>
      <c r="E225" s="55">
        <f>IF($F225="","",'הזנה לתנאי סף'!F225)</f>
        <v>20000201</v>
      </c>
      <c r="F225" s="55" t="str">
        <f>IF('הזנה לתנאי סף'!BL225=1,'הזנה לתנאי סף'!G225,"")</f>
        <v>תל אביב -יפו</v>
      </c>
      <c r="G225" s="55" t="str">
        <f>IF($F225="","",'הזנה לתנאי סף'!H225)</f>
        <v>א.מ.א. - אומנות מקורית אלטרנטיבית</v>
      </c>
      <c r="H225" s="55" t="str">
        <f>IF($F225="","",'הזנה לתנאי סף'!I225)</f>
        <v>מרכזי מוסיקה</v>
      </c>
      <c r="I225" s="187">
        <f>IF($F225="","",'הזנה לתנאי סף'!R225)</f>
        <v>1737267</v>
      </c>
      <c r="J225" s="187">
        <f>IF($F225="","",'תחום תמיכה א'!P225)</f>
        <v>1639061</v>
      </c>
      <c r="K225" s="177">
        <f>IF($F225="","",'הזנה לתנאי סף'!N225)</f>
        <v>1</v>
      </c>
      <c r="L225" s="177">
        <f>IF($F225="","",'הזנה לתנאי סף'!O225)</f>
        <v>1</v>
      </c>
      <c r="M225" s="177">
        <f>IF($F225="","",'הזנה לתנאי סף'!Q225)</f>
        <v>1</v>
      </c>
      <c r="N225" s="187">
        <f>IF($F225="","",'תחום תמיכה א'!AE225)</f>
        <v>75951.255838549259</v>
      </c>
      <c r="O225" s="178"/>
      <c r="P225" s="187">
        <f>IF($F225="","",'תחום תמיכה ב'!AC225)</f>
        <v>212766.71748132154</v>
      </c>
      <c r="Q225" s="187">
        <f>IF($F225="","",IF('תחום תמיכה ג'!O225="",0,'תחום תמיכה ג'!O225))</f>
        <v>89222.184533264968</v>
      </c>
      <c r="R225" s="187">
        <f t="shared" si="12"/>
        <v>6379.821140117594</v>
      </c>
      <c r="S225" s="187">
        <f>IF($F225="","",'תחום תמיכה ב'!AE225)</f>
        <v>219146.53862143913</v>
      </c>
      <c r="T225" s="187">
        <f>IF($F225="","",IF(Q225='תחום תמיכה ג'!$Q$2,'תחום תמיכה ג'!$Q$2,IFERROR(SUMIF(N225:R225,"&gt;0"),'תחום תמיכה ג'!$Q$2)))</f>
        <v>384319.97899325332</v>
      </c>
      <c r="U225" s="187">
        <f>IF($F225="","",'הזנה לתנאי סף'!Y225)</f>
        <v>500000</v>
      </c>
      <c r="V225" s="269">
        <f>IF(F225="","",'הגבלה לסכום מבוקש '!AA225)</f>
        <v>420834.82282487472</v>
      </c>
      <c r="W225" s="187">
        <f t="shared" si="13"/>
        <v>105208.70570621868</v>
      </c>
      <c r="X225" s="187">
        <f>IF(F225="","",'הזנה לתנאי סף'!Z225)</f>
        <v>100000</v>
      </c>
      <c r="Y225" s="237" t="str">
        <f>IFERROR(VLOOKUP(G225*1,#REF!,3,0),"")</f>
        <v/>
      </c>
      <c r="Z225" s="187" t="str">
        <f>IF(OR($F225="",Y225=""),"",IFERROR(IF(Y225&gt;V225,MIN(Y225,T225)-V225,0),'תחום תמיכה ג'!$Q$2))</f>
        <v/>
      </c>
      <c r="AA225" s="259"/>
      <c r="AB225" s="260" t="str">
        <f t="shared" si="14"/>
        <v/>
      </c>
      <c r="AC225" s="262"/>
      <c r="AD225" s="180"/>
      <c r="AE225" s="13" t="str">
        <f>IF($C225="","",IFERROR(VLOOKUP($C225,גיליון1!$A:$E,2,0),"לא הגיש בקשה שוטפת"))</f>
        <v>,תמיכה שוטפת למרכז למוזיקה לבונטין 7</v>
      </c>
      <c r="AF225" s="13" t="str">
        <f>IF($C225="","",IFERROR(VLOOKUP($C225,גיליון1!$A:$E,3,0),"לא הגיש בקשה שוטפת"))</f>
        <v>מועד</v>
      </c>
      <c r="AG225" s="13" t="str">
        <f>IF($C225="","",IFERROR(VLOOKUP($C225,גיליון1!$A:$E,4,0),"לא הגיש בקשה שוטפת"))</f>
        <v>19-42-02-16</v>
      </c>
      <c r="AH225" s="13" t="str">
        <f>IF($C225="","",IFERROR(VLOOKUP($C225,גיליון1!$A:$E,5,0),"לא הגיש בקשה שוטפת"))</f>
        <v>מוסיקה</v>
      </c>
      <c r="AI225" s="13">
        <f t="shared" si="15"/>
        <v>0</v>
      </c>
      <c r="AJ225"/>
      <c r="AK225" t="s">
        <v>250</v>
      </c>
    </row>
    <row r="226" spans="1:37" ht="43.5" x14ac:dyDescent="0.25">
      <c r="A226" s="54">
        <f>'הזנה לתנאי סף'!B226</f>
        <v>196</v>
      </c>
      <c r="B226" s="266">
        <f>IF($F226="","",'הזנה לתנאי סף'!C226)</f>
        <v>1001347622</v>
      </c>
      <c r="C226" s="266">
        <f>IF($F226="","",'הזנה לתנאי סף'!D226)</f>
        <v>1001266749</v>
      </c>
      <c r="D226" s="266">
        <f>IF($F226="","",'הזנה לתנאי סף'!E226)</f>
        <v>40000166</v>
      </c>
      <c r="E226" s="55">
        <f>IF($F226="","",'הזנה לתנאי סף'!F226)</f>
        <v>20000231</v>
      </c>
      <c r="F226" s="55" t="str">
        <f>IF('הזנה לתנאי סף'!BL226=1,'הזנה לתנאי סף'!G226,"")</f>
        <v>נצרת</v>
      </c>
      <c r="G226" s="55" t="str">
        <f>IF($F226="","",'הזנה לתנאי סף'!H226)</f>
        <v>האגודה הנצרתית לאומנות</v>
      </c>
      <c r="H226" s="55" t="str">
        <f>IF($F226="","",'הזנה לתנאי סף'!I226)</f>
        <v>תרבות ערבית</v>
      </c>
      <c r="I226" s="187">
        <f>IF($F226="","",'הזנה לתנאי סף'!R226)</f>
        <v>1054252</v>
      </c>
      <c r="J226" s="187">
        <f>IF($F226="","",'תחום תמיכה א'!P226)</f>
        <v>1265790</v>
      </c>
      <c r="K226" s="177">
        <f>IF($F226="","",'הזנה לתנאי סף'!N226)</f>
        <v>0</v>
      </c>
      <c r="L226" s="177">
        <f>IF($F226="","",'הזנה לתנאי סף'!O226)</f>
        <v>1</v>
      </c>
      <c r="M226" s="177">
        <f>IF($F226="","",'הזנה לתנאי סף'!Q226)</f>
        <v>1</v>
      </c>
      <c r="N226" s="187">
        <f>IF($F226="","",'תחום תמיכה א'!AE226)</f>
        <v>37336.019962119834</v>
      </c>
      <c r="O226" s="178"/>
      <c r="P226" s="187">
        <f>IF($F226="","",'תחום תמיכה ב'!AC226)</f>
        <v>51856.175255238661</v>
      </c>
      <c r="Q226" s="187">
        <f>IF($F226="","",IF('תחום תמיכה ג'!O226="",0,'תחום תמיכה ג'!O226))</f>
        <v>0</v>
      </c>
      <c r="R226" s="187">
        <f t="shared" si="12"/>
        <v>1554.9101243621772</v>
      </c>
      <c r="S226" s="187">
        <f>IF($F226="","",'תחום תמיכה ב'!AE226)</f>
        <v>53411.085379600838</v>
      </c>
      <c r="T226" s="187">
        <f>IF($F226="","",IF(Q226='תחום תמיכה ג'!$Q$2,'תחום תמיכה ג'!$Q$2,IFERROR(SUMIF(N226:R226,"&gt;0"),'תחום תמיכה ג'!$Q$2)))</f>
        <v>90747.105341720686</v>
      </c>
      <c r="U226" s="187">
        <f>IF($F226="","",'הזנה לתנאי סף'!Y226)</f>
        <v>350000</v>
      </c>
      <c r="V226" s="269">
        <f>IF(F226="","",'הגבלה לסכום מבוקש '!AA226)</f>
        <v>99645.288401180049</v>
      </c>
      <c r="W226" s="187">
        <f t="shared" si="13"/>
        <v>24911.322100295012</v>
      </c>
      <c r="X226" s="187">
        <f>IF(F226="","",'הזנה לתנאי סף'!Z226)</f>
        <v>350000</v>
      </c>
      <c r="Y226" s="237" t="str">
        <f>IFERROR(VLOOKUP(G226*1,#REF!,3,0),"")</f>
        <v/>
      </c>
      <c r="Z226" s="187" t="str">
        <f>IF(OR($F226="",Y226=""),"",IFERROR(IF(Y226&gt;V226,MIN(Y226,T226)-V226,0),'תחום תמיכה ג'!$Q$2))</f>
        <v/>
      </c>
      <c r="AA226" s="259"/>
      <c r="AB226" s="260" t="str">
        <f t="shared" si="14"/>
        <v/>
      </c>
      <c r="AC226" s="262"/>
      <c r="AD226" s="180"/>
      <c r="AE226" s="13" t="str">
        <f>IF($C226="","",IFERROR(VLOOKUP($C226,גיליון1!$A:$E,2,0),"לא הגיש בקשה שוטפת"))</f>
        <v>בקשת תמיכה תקנת תרבות ערבית</v>
      </c>
      <c r="AF226" s="13" t="str">
        <f>IF($C226="","",IFERROR(VLOOKUP($C226,גיליון1!$A:$E,3,0),"לא הגיש בקשה שוטפת"))</f>
        <v>מועד</v>
      </c>
      <c r="AG226" s="13" t="str">
        <f>IF($C226="","",IFERROR(VLOOKUP($C226,גיליון1!$A:$E,4,0),"לא הגיש בקשה שוטפת"))</f>
        <v>19-42-02-33</v>
      </c>
      <c r="AH226" s="13" t="str">
        <f>IF($C226="","",IFERROR(VLOOKUP($C226,גיליון1!$A:$E,5,0),"לא הגיש בקשה שוטפת"))</f>
        <v>תרבות ערבית ודרוזית</v>
      </c>
      <c r="AI226" s="13">
        <f t="shared" si="15"/>
        <v>0</v>
      </c>
      <c r="AJ226"/>
      <c r="AK226" t="s">
        <v>250</v>
      </c>
    </row>
    <row r="227" spans="1:37" ht="57.75" x14ac:dyDescent="0.25">
      <c r="A227" s="54">
        <f>'הזנה לתנאי סף'!B227</f>
        <v>197</v>
      </c>
      <c r="B227" s="266">
        <f>IF($F227="","",'הזנה לתנאי סף'!C227)</f>
        <v>1001347084</v>
      </c>
      <c r="C227" s="266">
        <f>IF($F227="","",'הזנה לתנאי סף'!D227)</f>
        <v>1001347084</v>
      </c>
      <c r="D227" s="266">
        <f>IF($F227="","",'הזנה לתנאי סף'!E227)</f>
        <v>40461777</v>
      </c>
      <c r="E227" s="55">
        <f>IF($F227="","",'הזנה לתנאי סף'!F227)</f>
        <v>20000256</v>
      </c>
      <c r="F227" s="55" t="str">
        <f>IF('הזנה לתנאי סף'!BL227=1,'הזנה לתנאי סף'!G227,"")</f>
        <v>בית שאן</v>
      </c>
      <c r="G227" s="55" t="str">
        <f>IF($F227="","",'הזנה לתנאי סף'!H227)</f>
        <v>העמותה לקידום התיאטרון בבית שאן</v>
      </c>
      <c r="H227" s="55" t="str">
        <f>IF($F227="","",'הזנה לתנאי סף'!I227)</f>
        <v>תיאטרון</v>
      </c>
      <c r="I227" s="187">
        <f>IF($F227="","",'הזנה לתנאי סף'!R227)</f>
        <v>87594</v>
      </c>
      <c r="J227" s="187">
        <f>IF($F227="","",'תחום תמיכה א'!P227)</f>
        <v>77903</v>
      </c>
      <c r="K227" s="177">
        <f>IF($F227="","",'הזנה לתנאי סף'!N227)</f>
        <v>0</v>
      </c>
      <c r="L227" s="177">
        <f>IF($F227="","",'הזנה לתנאי סף'!O227)</f>
        <v>1</v>
      </c>
      <c r="M227" s="177">
        <f>IF($F227="","",'הזנה לתנאי סף'!Q227)</f>
        <v>1</v>
      </c>
      <c r="N227" s="187">
        <f>IF($F227="","",'תחום תמיכה א'!AE227)</f>
        <v>1555.0042304809272</v>
      </c>
      <c r="O227" s="178"/>
      <c r="P227" s="187">
        <f>IF($F227="","",'תחום תמיכה ב'!AC227)</f>
        <v>1674.5784804120469</v>
      </c>
      <c r="Q227" s="187">
        <f>IF($F227="","",IF('תחום תמיכה ג'!O227="",0,'תחום תמיכה ג'!O227))</f>
        <v>0</v>
      </c>
      <c r="R227" s="187">
        <f t="shared" si="12"/>
        <v>50.212323226994613</v>
      </c>
      <c r="S227" s="187">
        <f>IF($F227="","",'תחום תמיכה ב'!AE227)</f>
        <v>1724.7908036390415</v>
      </c>
      <c r="T227" s="187">
        <f>IF($F227="","",IF(Q227='תחום תמיכה ג'!$Q$2,'תחום תמיכה ג'!$Q$2,IFERROR(SUMIF(N227:R227,"&gt;0"),'תחום תמיכה ג'!$Q$2)))</f>
        <v>3279.7950341199689</v>
      </c>
      <c r="U227" s="187">
        <f>IF($F227="","",'הזנה לתנאי סף'!Y227)</f>
        <v>75000</v>
      </c>
      <c r="V227" s="269">
        <f>IF(F227="","",'הגבלה לסכום מבוקש '!AA227)</f>
        <v>3567.3008864556136</v>
      </c>
      <c r="W227" s="187">
        <f t="shared" si="13"/>
        <v>891.82522161390341</v>
      </c>
      <c r="X227" s="187">
        <f>IF(F227="","",'הזנה לתנאי סף'!Z227)</f>
        <v>75000</v>
      </c>
      <c r="Y227" s="237" t="str">
        <f>IFERROR(VLOOKUP(G227*1,#REF!,3,0),"")</f>
        <v/>
      </c>
      <c r="Z227" s="187" t="str">
        <f>IF(OR($F227="",Y227=""),"",IFERROR(IF(Y227&gt;V227,MIN(Y227,T227)-V227,0),'תחום תמיכה ג'!$Q$2))</f>
        <v/>
      </c>
      <c r="AA227" s="259"/>
      <c r="AB227" s="260" t="str">
        <f t="shared" si="14"/>
        <v/>
      </c>
      <c r="AC227" s="262"/>
      <c r="AD227" s="180"/>
      <c r="AE227" s="13" t="str">
        <f>IF($C227="","",IFERROR(VLOOKUP($C227,גיליון1!$A:$E,2,0),"לא הגיש בקשה שוטפת"))</f>
        <v>תיאטרון השרפרף</v>
      </c>
      <c r="AF227" s="13" t="str">
        <f>IF($C227="","",IFERROR(VLOOKUP($C227,גיליון1!$A:$E,3,0),"לא הגיש בקשה שוטפת"))</f>
        <v>טיוט</v>
      </c>
      <c r="AG227" s="13" t="str">
        <f>IF($C227="","",IFERROR(VLOOKUP($C227,גיליון1!$A:$E,4,0),"לא הגיש בקשה שוטפת"))</f>
        <v>19-42-02-74</v>
      </c>
      <c r="AH227" s="13" t="str">
        <f>IF($C227="","",IFERROR(VLOOKUP($C227,גיליון1!$A:$E,5,0),"לא הגיש בקשה שוטפת"))</f>
        <v>סיוע למוסדות בגין</v>
      </c>
      <c r="AI227" s="13">
        <f t="shared" si="15"/>
        <v>0</v>
      </c>
      <c r="AJ227"/>
      <c r="AK227" t="s">
        <v>250</v>
      </c>
    </row>
    <row r="228" spans="1:37" ht="57.75" x14ac:dyDescent="0.25">
      <c r="A228" s="54">
        <f>'הזנה לתנאי סף'!B228</f>
        <v>198</v>
      </c>
      <c r="B228" s="266">
        <f>IF($F228="","",'הזנה לתנאי סף'!C228)</f>
        <v>1001348948</v>
      </c>
      <c r="C228" s="266">
        <f>IF($F228="","",'הזנה לתנאי סף'!D228)</f>
        <v>1001266872</v>
      </c>
      <c r="D228" s="266">
        <f>IF($F228="","",'הזנה לתנאי סף'!E228)</f>
        <v>40000626</v>
      </c>
      <c r="E228" s="55">
        <f>IF($F228="","",'הזנה לתנאי סף'!F228)</f>
        <v>20000052</v>
      </c>
      <c r="F228" s="55" t="str">
        <f>IF('הזנה לתנאי סף'!BL228=1,'הזנה לתנאי סף'!G228,"")</f>
        <v>כפר כנא</v>
      </c>
      <c r="G228" s="55" t="str">
        <f>IF($F228="","",'הזנה לתנאי סף'!H228)</f>
        <v>עמותת אלפאראבי המוסיקלית כפר קנא</v>
      </c>
      <c r="H228" s="55" t="str">
        <f>IF($F228="","",'הזנה לתנאי סף'!I228)</f>
        <v>תרבות ערבית</v>
      </c>
      <c r="I228" s="187">
        <f>IF($F228="","",'הזנה לתנאי סף'!R228)</f>
        <v>2504784</v>
      </c>
      <c r="J228" s="187">
        <f>IF($F228="","",'תחום תמיכה א'!P228)</f>
        <v>2663349</v>
      </c>
      <c r="K228" s="177">
        <f>IF($F228="","",'הזנה לתנאי סף'!N228)</f>
        <v>0</v>
      </c>
      <c r="L228" s="177">
        <f>IF($F228="","",'הזנה לתנאי סף'!O228)</f>
        <v>1</v>
      </c>
      <c r="M228" s="177">
        <f>IF($F228="","",'הזנה לתנאי סף'!Q228)</f>
        <v>1</v>
      </c>
      <c r="N228" s="187">
        <f>IF($F228="","",'תחום תמיכה א'!AE228)</f>
        <v>70884.346797489721</v>
      </c>
      <c r="O228" s="178"/>
      <c r="P228" s="187">
        <f>IF($F228="","",'תחום תמיכה ב'!AC228)</f>
        <v>101198.07318638368</v>
      </c>
      <c r="Q228" s="187">
        <f>IF($F228="","",IF('תחום תמיכה ג'!O228="",0,'תחום תמיכה ג'!O228))</f>
        <v>0</v>
      </c>
      <c r="R228" s="187">
        <f t="shared" si="12"/>
        <v>3034.4295117977599</v>
      </c>
      <c r="S228" s="187">
        <f>IF($F228="","",'תחום תמיכה ב'!AE228)</f>
        <v>104232.50269818144</v>
      </c>
      <c r="T228" s="187">
        <f>IF($F228="","",IF(Q228='תחום תמיכה ג'!$Q$2,'תחום תמיכה ג'!$Q$2,IFERROR(SUMIF(N228:R228,"&gt;0"),'תחום תמיכה ג'!$Q$2)))</f>
        <v>175116.84949567117</v>
      </c>
      <c r="U228" s="187">
        <f>IF($F228="","",'הזנה לתנאי סף'!Y228)</f>
        <v>1350000</v>
      </c>
      <c r="V228" s="269">
        <f>IF(F228="","",'הגבלה לסכום מבוקש '!AA228)</f>
        <v>192480.88156874105</v>
      </c>
      <c r="W228" s="187">
        <f t="shared" si="13"/>
        <v>48120.220392185263</v>
      </c>
      <c r="X228" s="187">
        <f>IF(F228="","",'הזנה לתנאי סף'!Z228)</f>
        <v>100000</v>
      </c>
      <c r="Y228" s="237" t="str">
        <f>IFERROR(VLOOKUP(G228*1,#REF!,3,0),"")</f>
        <v/>
      </c>
      <c r="Z228" s="187" t="str">
        <f>IF(OR($F228="",Y228=""),"",IFERROR(IF(Y228&gt;V228,MIN(Y228,T228)-V228,0),'תחום תמיכה ג'!$Q$2))</f>
        <v/>
      </c>
      <c r="AA228" s="259"/>
      <c r="AB228" s="260" t="str">
        <f t="shared" si="14"/>
        <v/>
      </c>
      <c r="AC228" s="262"/>
      <c r="AD228" s="180"/>
      <c r="AE228" s="13" t="str">
        <f>IF($C228="","",IFERROR(VLOOKUP($C228,גיליון1!$A:$E,2,0),"לא הגיש בקשה שוטפת"))</f>
        <v>תמיכה בפעילותה השוטפת של העמותה במוסיקה</v>
      </c>
      <c r="AF228" s="13" t="str">
        <f>IF($C228="","",IFERROR(VLOOKUP($C228,גיליון1!$A:$E,3,0),"לא הגיש בקשה שוטפת"))</f>
        <v>מועד</v>
      </c>
      <c r="AG228" s="13" t="str">
        <f>IF($C228="","",IFERROR(VLOOKUP($C228,גיליון1!$A:$E,4,0),"לא הגיש בקשה שוטפת"))</f>
        <v>19-42-02-33</v>
      </c>
      <c r="AH228" s="13" t="str">
        <f>IF($C228="","",IFERROR(VLOOKUP($C228,גיליון1!$A:$E,5,0),"לא הגיש בקשה שוטפת"))</f>
        <v>תרבות ערבית ודרוזית</v>
      </c>
      <c r="AI228" s="13">
        <f t="shared" si="15"/>
        <v>0</v>
      </c>
      <c r="AJ228"/>
      <c r="AK228" t="s">
        <v>250</v>
      </c>
    </row>
    <row r="229" spans="1:37" ht="29.25" x14ac:dyDescent="0.25">
      <c r="A229" s="54">
        <f>'הזנה לתנאי סף'!B229</f>
        <v>199</v>
      </c>
      <c r="B229" s="266">
        <f>IF($F229="","",'הזנה לתנאי סף'!C229)</f>
        <v>1001349377</v>
      </c>
      <c r="C229" s="266">
        <f>IF($F229="","",'הזנה לתנאי סף'!D229)</f>
        <v>1001270641</v>
      </c>
      <c r="D229" s="266">
        <f>IF($F229="","",'הזנה לתנאי סף'!E229)</f>
        <v>40376018</v>
      </c>
      <c r="E229" s="55">
        <f>IF($F229="","",'הזנה לתנאי סף'!F229)</f>
        <v>20000130</v>
      </c>
      <c r="F229" s="55" t="str">
        <f>IF('הזנה לתנאי סף'!BL229=1,'הזנה לתנאי סף'!G229,"")</f>
        <v>דימונה</v>
      </c>
      <c r="G229" s="55" t="str">
        <f>IF($F229="","",'הזנה לתנאי סף'!H229)</f>
        <v>מעבדתרבות דימונה</v>
      </c>
      <c r="H229" s="55" t="str">
        <f>IF($F229="","",'הזנה לתנאי סף'!I229)</f>
        <v>קבוצות תיאטרון</v>
      </c>
      <c r="I229" s="187">
        <f>IF($F229="","",'הזנה לתנאי סף'!R229)</f>
        <v>2150355</v>
      </c>
      <c r="J229" s="187">
        <f>IF($F229="","",'תחום תמיכה א'!P229)</f>
        <v>2140105</v>
      </c>
      <c r="K229" s="177">
        <f>IF($F229="","",'הזנה לתנאי סף'!N229)</f>
        <v>1</v>
      </c>
      <c r="L229" s="177">
        <f>IF($F229="","",'הזנה לתנאי סף'!O229)</f>
        <v>1</v>
      </c>
      <c r="M229" s="177">
        <f>IF($F229="","",'הזנה לתנאי סף'!Q229)</f>
        <v>1</v>
      </c>
      <c r="N229" s="187">
        <f>IF($F229="","",'תחום תמיכה א'!AE229)</f>
        <v>57383.8563842105</v>
      </c>
      <c r="O229" s="178"/>
      <c r="P229" s="187">
        <f>IF($F229="","",'תחום תמיכה ב'!AC229)</f>
        <v>48303.152795337992</v>
      </c>
      <c r="Q229" s="187">
        <f>IF($F229="","",IF('תחום תמיכה ג'!O229="",0,'תחום תמיכה ג'!O229))</f>
        <v>1602</v>
      </c>
      <c r="R229" s="187">
        <f t="shared" si="12"/>
        <v>1448.372560267002</v>
      </c>
      <c r="S229" s="187">
        <f>IF($F229="","",'תחום תמיכה ב'!AE229)</f>
        <v>49751.525355604994</v>
      </c>
      <c r="T229" s="187">
        <f>IF($F229="","",IF(Q229='תחום תמיכה ג'!$Q$2,'תחום תמיכה ג'!$Q$2,IFERROR(SUMIF(N229:R229,"&gt;0"),'תחום תמיכה ג'!$Q$2)))</f>
        <v>108737.38173981549</v>
      </c>
      <c r="U229" s="187">
        <f>IF($F229="","",'הזנה לתנאי סף'!Y229)</f>
        <v>1400000</v>
      </c>
      <c r="V229" s="269">
        <f>IF(F229="","",'הגבלה לסכום מבוקש '!AA229)</f>
        <v>117036.91174310059</v>
      </c>
      <c r="W229" s="187">
        <f t="shared" si="13"/>
        <v>29259.227935775147</v>
      </c>
      <c r="X229" s="187">
        <f>IF(F229="","",'הזנה לתנאי סף'!Z229)</f>
        <v>400000</v>
      </c>
      <c r="Y229" s="237" t="str">
        <f>IFERROR(VLOOKUP(G229*1,#REF!,3,0),"")</f>
        <v/>
      </c>
      <c r="Z229" s="187" t="str">
        <f>IF(OR($F229="",Y229=""),"",IFERROR(IF(Y229&gt;V229,MIN(Y229,T229)-V229,0),'תחום תמיכה ג'!$Q$2))</f>
        <v/>
      </c>
      <c r="AA229" s="259"/>
      <c r="AB229" s="260" t="str">
        <f t="shared" si="14"/>
        <v/>
      </c>
      <c r="AC229" s="262"/>
      <c r="AD229" s="180"/>
      <c r="AE229" s="13" t="str">
        <f>IF($C229="","",IFERROR(VLOOKUP($C229,גיליון1!$A:$E,2,0),"לא הגיש בקשה שוטפת"))</f>
        <v>קבוצת תיאטרון מעבדתרבות דימונה 2020</v>
      </c>
      <c r="AF229" s="13" t="str">
        <f>IF($C229="","",IFERROR(VLOOKUP($C229,גיליון1!$A:$E,3,0),"לא הגיש בקשה שוטפת"))</f>
        <v>מועד</v>
      </c>
      <c r="AG229" s="13" t="str">
        <f>IF($C229="","",IFERROR(VLOOKUP($C229,גיליון1!$A:$E,4,0),"לא הגיש בקשה שוטפת"))</f>
        <v>19-42-02-07</v>
      </c>
      <c r="AH229" s="13" t="str">
        <f>IF($C229="","",IFERROR(VLOOKUP($C229,גיליון1!$A:$E,5,0),"לא הגיש בקשה שוטפת"))</f>
        <v>תיאטרון</v>
      </c>
      <c r="AI229" s="13">
        <f t="shared" si="15"/>
        <v>0</v>
      </c>
      <c r="AJ229"/>
      <c r="AK229" t="s">
        <v>250</v>
      </c>
    </row>
    <row r="230" spans="1:37" ht="57.75" x14ac:dyDescent="0.25">
      <c r="A230" s="54">
        <f>'הזנה לתנאי סף'!B230</f>
        <v>200</v>
      </c>
      <c r="B230" s="266">
        <f>IF($F230="","",'הזנה לתנאי סף'!C230)</f>
        <v>1001350722</v>
      </c>
      <c r="C230" s="266">
        <f>IF($F230="","",'הזנה לתנאי סף'!D230)</f>
        <v>1001288836</v>
      </c>
      <c r="D230" s="266">
        <f>IF($F230="","",'הזנה לתנאי סף'!E230)</f>
        <v>40997574</v>
      </c>
      <c r="E230" s="55">
        <f>IF($F230="","",'הזנה לתנאי סף'!F230)</f>
        <v>20000052</v>
      </c>
      <c r="F230" s="55" t="str">
        <f>IF('הזנה לתנאי סף'!BL230=1,'הזנה לתנאי סף'!G230,"")</f>
        <v>כפר כנא</v>
      </c>
      <c r="G230" s="55" t="str">
        <f>IF($F230="","",'הזנה לתנאי סף'!H230)</f>
        <v>עמותת אנג'אם לקודום המוסיקה</v>
      </c>
      <c r="H230" s="55" t="str">
        <f>IF($F230="","",'הזנה לתנאי סף'!I230)</f>
        <v>תרבות ערבית</v>
      </c>
      <c r="I230" s="187">
        <f>IF($F230="","",'הזנה לתנאי סף'!R230)</f>
        <v>625736</v>
      </c>
      <c r="J230" s="187">
        <f>IF($F230="","",'תחום תמיכה א'!P230)</f>
        <v>617684</v>
      </c>
      <c r="K230" s="177">
        <f>IF($F230="","",'הזנה לתנאי סף'!N230)</f>
        <v>0</v>
      </c>
      <c r="L230" s="177">
        <f>IF($F230="","",'הזנה לתנאי סף'!O230)</f>
        <v>1</v>
      </c>
      <c r="M230" s="177">
        <f>IF($F230="","",'הזנה לתנאי סף'!Q230)</f>
        <v>1</v>
      </c>
      <c r="N230" s="187">
        <f>IF($F230="","",'תחום תמיכה א'!AE230)</f>
        <v>17389.280729188351</v>
      </c>
      <c r="O230" s="178"/>
      <c r="P230" s="187">
        <f>IF($F230="","",'תחום תמיכה ב'!AC230)</f>
        <v>28286.493476622352</v>
      </c>
      <c r="Q230" s="187">
        <f>IF($F230="","",IF('תחום תמיכה ג'!O230="",0,'תחום תמיכה ג'!O230))</f>
        <v>0</v>
      </c>
      <c r="R230" s="187">
        <f t="shared" si="12"/>
        <v>848.17198478326827</v>
      </c>
      <c r="S230" s="187">
        <f>IF($F230="","",'תחום תמיכה ב'!AE230)</f>
        <v>29134.665461405621</v>
      </c>
      <c r="T230" s="187">
        <f>IF($F230="","",IF(Q230='תחום תמיכה ג'!$Q$2,'תחום תמיכה ג'!$Q$2,IFERROR(SUMIF(N230:R230,"&gt;0"),'תחום תמיכה ג'!$Q$2)))</f>
        <v>46523.946190593968</v>
      </c>
      <c r="U230" s="187">
        <f>IF($F230="","",'הזנה לתנאי סף'!Y230)</f>
        <v>540000</v>
      </c>
      <c r="V230" s="269">
        <f>IF(F230="","",'הגבלה לסכום מבוקש '!AA230)</f>
        <v>51376.369456484143</v>
      </c>
      <c r="W230" s="187">
        <f t="shared" si="13"/>
        <v>12844.092364121036</v>
      </c>
      <c r="X230" s="187">
        <f>IF(F230="","",'הזנה לתנאי סף'!Z230)</f>
        <v>50000</v>
      </c>
      <c r="Y230" s="237" t="str">
        <f>IFERROR(VLOOKUP(G230*1,#REF!,3,0),"")</f>
        <v/>
      </c>
      <c r="Z230" s="187" t="str">
        <f>IF(OR($F230="",Y230=""),"",IFERROR(IF(Y230&gt;V230,MIN(Y230,T230)-V230,0),'תחום תמיכה ג'!$Q$2))</f>
        <v/>
      </c>
      <c r="AA230" s="259"/>
      <c r="AB230" s="260" t="str">
        <f t="shared" si="14"/>
        <v/>
      </c>
      <c r="AC230" s="262"/>
      <c r="AD230" s="180"/>
      <c r="AE230" s="13" t="str">
        <f>IF($C230="","",IFERROR(VLOOKUP($C230,גיליון1!$A:$E,2,0),"לא הגיש בקשה שוטפת"))</f>
        <v>פעילות שוטפת</v>
      </c>
      <c r="AF230" s="13" t="str">
        <f>IF($C230="","",IFERROR(VLOOKUP($C230,גיליון1!$A:$E,3,0),"לא הגיש בקשה שוטפת"))</f>
        <v>מועד</v>
      </c>
      <c r="AG230" s="13" t="str">
        <f>IF($C230="","",IFERROR(VLOOKUP($C230,גיליון1!$A:$E,4,0),"לא הגיש בקשה שוטפת"))</f>
        <v>19-42-02-33</v>
      </c>
      <c r="AH230" s="13" t="str">
        <f>IF($C230="","",IFERROR(VLOOKUP($C230,גיליון1!$A:$E,5,0),"לא הגיש בקשה שוטפת"))</f>
        <v>תרבות ערבית ודרוזית</v>
      </c>
      <c r="AI230" s="13">
        <f t="shared" si="15"/>
        <v>0</v>
      </c>
      <c r="AJ230"/>
      <c r="AK230" t="s">
        <v>250</v>
      </c>
    </row>
    <row r="231" spans="1:37" ht="29.25" x14ac:dyDescent="0.25">
      <c r="A231" s="54">
        <f>'הזנה לתנאי סף'!B231</f>
        <v>201</v>
      </c>
      <c r="B231" s="266">
        <f>IF($F231="","",'הזנה לתנאי סף'!C231)</f>
        <v>1001348110</v>
      </c>
      <c r="C231" s="266">
        <f>IF($F231="","",'הזנה לתנאי סף'!D231)</f>
        <v>1001266857</v>
      </c>
      <c r="D231" s="266">
        <f>IF($F231="","",'הזנה לתנאי סף'!E231)</f>
        <v>41966540</v>
      </c>
      <c r="E231" s="55">
        <f>IF($F231="","",'הזנה לתנאי סף'!F231)</f>
        <v>20000231</v>
      </c>
      <c r="F231" s="55" t="str">
        <f>IF('הזנה לתנאי סף'!BL231=1,'הזנה לתנאי סף'!G231,"")</f>
        <v>נצרת</v>
      </c>
      <c r="G231" s="55" t="str">
        <f>IF($F231="","",'הזנה לתנאי סף'!H231)</f>
        <v>עוד זיריאב</v>
      </c>
      <c r="H231" s="55" t="str">
        <f>IF($F231="","",'הזנה לתנאי סף'!I231)</f>
        <v>תרבות ערבית</v>
      </c>
      <c r="I231" s="187">
        <f>IF($F231="","",'הזנה לתנאי סף'!R231)</f>
        <v>427583</v>
      </c>
      <c r="J231" s="187">
        <f>IF($F231="","",'תחום תמיכה א'!P231)</f>
        <v>344144</v>
      </c>
      <c r="K231" s="177">
        <f>IF($F231="","",'הזנה לתנאי סף'!N231)</f>
        <v>0</v>
      </c>
      <c r="L231" s="177">
        <f>IF($F231="","",'הזנה לתנאי סף'!O231)</f>
        <v>1</v>
      </c>
      <c r="M231" s="177">
        <f>IF($F231="","",'הזנה לתנאי סף'!Q231)</f>
        <v>1</v>
      </c>
      <c r="N231" s="187">
        <f>IF($F231="","",'תחום תמיכה א'!AE231)</f>
        <v>18812.460392508729</v>
      </c>
      <c r="O231" s="178"/>
      <c r="P231" s="187">
        <f>IF($F231="","",'תחום תמיכה ב'!AC231)</f>
        <v>72876.69369074596</v>
      </c>
      <c r="Q231" s="187">
        <f>IF($F231="","",IF('תחום תמיכה ג'!O231="",0,'תחום תמיכה ג'!O231))</f>
        <v>0</v>
      </c>
      <c r="R231" s="187">
        <f t="shared" si="12"/>
        <v>2185.2114679116203</v>
      </c>
      <c r="S231" s="187">
        <f>IF($F231="","",'תחום תמיכה ב'!AE231)</f>
        <v>75061.905158657581</v>
      </c>
      <c r="T231" s="187">
        <f>IF($F231="","",IF(Q231='תחום תמיכה ג'!$Q$2,'תחום תמיכה ג'!$Q$2,IFERROR(SUMIF(N231:R231,"&gt;0"),'תחום תמיכה ג'!$Q$2)))</f>
        <v>93874.365551166309</v>
      </c>
      <c r="U231" s="187">
        <f>IF($F231="","",'הזנה לתנאי סף'!Y231)</f>
        <v>540000</v>
      </c>
      <c r="V231" s="269">
        <f>IF(F231="","",'הגבלה לסכום מבוקש '!AA231)</f>
        <v>106364.20767431236</v>
      </c>
      <c r="W231" s="187">
        <f t="shared" si="13"/>
        <v>26591.05191857809</v>
      </c>
      <c r="X231" s="187">
        <f>IF(F231="","",'הזנה לתנאי סף'!Z231)</f>
        <v>50000</v>
      </c>
      <c r="Y231" s="237" t="str">
        <f>IFERROR(VLOOKUP(G231*1,#REF!,3,0),"")</f>
        <v/>
      </c>
      <c r="Z231" s="187" t="str">
        <f>IF(OR($F231="",Y231=""),"",IFERROR(IF(Y231&gt;V231,MIN(Y231,T231)-V231,0),'תחום תמיכה ג'!$Q$2))</f>
        <v/>
      </c>
      <c r="AA231" s="259"/>
      <c r="AB231" s="260" t="str">
        <f t="shared" si="14"/>
        <v/>
      </c>
      <c r="AC231" s="262"/>
      <c r="AD231" s="180"/>
      <c r="AE231" s="13" t="str">
        <f>IF($C231="","",IFERROR(VLOOKUP($C231,גיליון1!$A:$E,2,0),"לא הגיש בקשה שוטפת"))</f>
        <v>תמיכה בפעילות השוטפת של העמותה בתחום המו</v>
      </c>
      <c r="AF231" s="13" t="str">
        <f>IF($C231="","",IFERROR(VLOOKUP($C231,גיליון1!$A:$E,3,0),"לא הגיש בקשה שוטפת"))</f>
        <v>טיוט</v>
      </c>
      <c r="AG231" s="13" t="str">
        <f>IF($C231="","",IFERROR(VLOOKUP($C231,גיליון1!$A:$E,4,0),"לא הגיש בקשה שוטפת"))</f>
        <v>19-42-02-33</v>
      </c>
      <c r="AH231" s="13" t="str">
        <f>IF($C231="","",IFERROR(VLOOKUP($C231,גיליון1!$A:$E,5,0),"לא הגיש בקשה שוטפת"))</f>
        <v>תרבות ערבית ודרוזית</v>
      </c>
      <c r="AI231" s="13">
        <f t="shared" si="15"/>
        <v>0</v>
      </c>
      <c r="AJ231"/>
      <c r="AK231" t="s">
        <v>250</v>
      </c>
    </row>
    <row r="232" spans="1:37" ht="72" x14ac:dyDescent="0.25">
      <c r="A232" s="54">
        <f>'הזנה לתנאי סף'!B232</f>
        <v>202</v>
      </c>
      <c r="B232" s="266">
        <f>IF($F232="","",'הזנה לתנאי סף'!C232)</f>
        <v>1001349379</v>
      </c>
      <c r="C232" s="266">
        <f>IF($F232="","",'הזנה לתנאי סף'!D232)</f>
        <v>1001274144</v>
      </c>
      <c r="D232" s="266">
        <f>IF($F232="","",'הזנה לתנאי סף'!E232)</f>
        <v>40471611</v>
      </c>
      <c r="E232" s="55">
        <f>IF($F232="","",'הזנה לתנאי סף'!F232)</f>
        <v>20000159</v>
      </c>
      <c r="F232" s="55" t="str">
        <f>IF('הזנה לתנאי סף'!BL232=1,'הזנה לתנאי סף'!G232,"")</f>
        <v>ירושלים</v>
      </c>
      <c r="G232" s="55" t="str">
        <f>IF($F232="","",'הזנה לתנאי סף'!H232)</f>
        <v>חיבה - התנועה למורשת ישראל (ע"ר)</v>
      </c>
      <c r="H232" s="55" t="str">
        <f>IF($F232="","",'הזנה לתנאי סף'!I232)</f>
        <v>קבוצות מוסיקה</v>
      </c>
      <c r="I232" s="187">
        <f>IF($F232="","",'הזנה לתנאי סף'!R232)</f>
        <v>1165221</v>
      </c>
      <c r="J232" s="187">
        <f>IF($F232="","",'תחום תמיכה א'!P232)</f>
        <v>1285967</v>
      </c>
      <c r="K232" s="177">
        <f>IF($F232="","",'הזנה לתנאי סף'!N232)</f>
        <v>1</v>
      </c>
      <c r="L232" s="177">
        <f>IF($F232="","",'הזנה לתנאי סף'!O232)</f>
        <v>1</v>
      </c>
      <c r="M232" s="177">
        <f>IF($F232="","",'הזנה לתנאי סף'!Q232)</f>
        <v>1</v>
      </c>
      <c r="N232" s="187">
        <f>IF($F232="","",'תחום תמיכה א'!AE232)</f>
        <v>61247.379227122976</v>
      </c>
      <c r="O232" s="178"/>
      <c r="P232" s="187">
        <f>IF($F232="","",'תחום תמיכה ב'!AC232)</f>
        <v>150758.25894514547</v>
      </c>
      <c r="Q232" s="187">
        <f>IF($F232="","",IF('תחום תמיכה ג'!O232="",0,'תחום תמיכה ג'!O232))</f>
        <v>26061.336047943958</v>
      </c>
      <c r="R232" s="187">
        <f t="shared" si="12"/>
        <v>4520.494271149335</v>
      </c>
      <c r="S232" s="187">
        <f>IF($F232="","",'תחום תמיכה ב'!AE232)</f>
        <v>155278.7532162948</v>
      </c>
      <c r="T232" s="187">
        <f>IF($F232="","",IF(Q232='תחום תמיכה ג'!$Q$2,'תחום תמיכה ג'!$Q$2,IFERROR(SUMIF(N232:R232,"&gt;0"),'תחום תמיכה ג'!$Q$2)))</f>
        <v>242587.46849136177</v>
      </c>
      <c r="U232" s="187">
        <f>IF($F232="","",'הזנה לתנאי סף'!Y232)</f>
        <v>140000</v>
      </c>
      <c r="V232" s="269">
        <f>IF(F232="","",'הגבלה לסכום מבוקש '!AA232)</f>
        <v>140000</v>
      </c>
      <c r="W232" s="187">
        <f t="shared" si="13"/>
        <v>35000</v>
      </c>
      <c r="X232" s="187">
        <f>IF(F232="","",'הזנה לתנאי סף'!Z232)</f>
        <v>140000</v>
      </c>
      <c r="Y232" s="237" t="str">
        <f>IFERROR(VLOOKUP(G232*1,#REF!,3,0),"")</f>
        <v/>
      </c>
      <c r="Z232" s="187" t="str">
        <f>IF(OR($F232="",Y232=""),"",IFERROR(IF(Y232&gt;V232,MIN(Y232,T232)-V232,0),'תחום תמיכה ג'!$Q$2))</f>
        <v/>
      </c>
      <c r="AA232" s="259"/>
      <c r="AB232" s="260" t="str">
        <f t="shared" si="14"/>
        <v/>
      </c>
      <c r="AC232" s="262"/>
      <c r="AD232" s="180"/>
      <c r="AE232" s="13" t="str">
        <f>IF($C232="","",IFERROR(VLOOKUP($C232,גיליון1!$A:$E,2,0),"לא הגיש בקשה שוטפת"))</f>
        <v>תזמורת חיבה</v>
      </c>
      <c r="AF232" s="13" t="str">
        <f>IF($C232="","",IFERROR(VLOOKUP($C232,גיליון1!$A:$E,3,0),"לא הגיש בקשה שוטפת"))</f>
        <v>מועד</v>
      </c>
      <c r="AG232" s="13" t="str">
        <f>IF($C232="","",IFERROR(VLOOKUP($C232,גיליון1!$A:$E,4,0),"לא הגיש בקשה שוטפת"))</f>
        <v>19-42-02-16</v>
      </c>
      <c r="AH232" s="13" t="str">
        <f>IF($C232="","",IFERROR(VLOOKUP($C232,גיליון1!$A:$E,5,0),"לא הגיש בקשה שוטפת"))</f>
        <v>מוסיקה</v>
      </c>
      <c r="AI232" s="13">
        <f t="shared" si="15"/>
        <v>1</v>
      </c>
      <c r="AJ232"/>
      <c r="AK232" t="s">
        <v>250</v>
      </c>
    </row>
    <row r="233" spans="1:37" ht="72" x14ac:dyDescent="0.25">
      <c r="A233" s="54">
        <f>'הזנה לתנאי סף'!B233</f>
        <v>203</v>
      </c>
      <c r="B233" s="266">
        <f>IF($F233="","",'הזנה לתנאי סף'!C233)</f>
        <v>1001349381</v>
      </c>
      <c r="C233" s="266">
        <f>IF($F233="","",'הזנה לתנאי סף'!D233)</f>
        <v>1001268664</v>
      </c>
      <c r="D233" s="266">
        <f>IF($F233="","",'הזנה לתנאי סף'!E233)</f>
        <v>40471611</v>
      </c>
      <c r="E233" s="55">
        <f>IF($F233="","",'הזנה לתנאי סף'!F233)</f>
        <v>20000159</v>
      </c>
      <c r="F233" s="55" t="str">
        <f>IF('הזנה לתנאי סף'!BL233=1,'הזנה לתנאי סף'!G233,"")</f>
        <v>ירושלים</v>
      </c>
      <c r="G233" s="55" t="str">
        <f>IF($F233="","",'הזנה לתנאי סף'!H233)</f>
        <v>חיבה - התנועה למורשת ישראל (ע"ר)</v>
      </c>
      <c r="H233" s="55" t="str">
        <f>IF($F233="","",'הזנה לתנאי סף'!I233)</f>
        <v>אחר</v>
      </c>
      <c r="I233" s="187">
        <f>IF($F233="","",'הזנה לתנאי סף'!R233)</f>
        <v>565824</v>
      </c>
      <c r="J233" s="187">
        <f>IF($F233="","",'תחום תמיכה א'!P233)</f>
        <v>601502</v>
      </c>
      <c r="K233" s="177">
        <f>IF($F233="","",'הזנה לתנאי סף'!N233)</f>
        <v>1</v>
      </c>
      <c r="L233" s="177">
        <f>IF($F233="","",'הזנה לתנאי סף'!O233)</f>
        <v>1</v>
      </c>
      <c r="M233" s="177">
        <f>IF($F233="","",'הזנה לתנאי סף'!Q233)</f>
        <v>1</v>
      </c>
      <c r="N233" s="187">
        <f>IF($F233="","",'תחום תמיכה א'!AE233)</f>
        <v>10634.787325115449</v>
      </c>
      <c r="O233" s="178"/>
      <c r="P233" s="187">
        <f>IF($F233="","",'תחום תמיכה ב'!AC233)</f>
        <v>10088.39945606328</v>
      </c>
      <c r="Q233" s="187">
        <f>IF($F233="","",IF('תחום תמיכה ג'!O233="",0,'תחום תמיכה ג'!O233))</f>
        <v>1743.965274274125</v>
      </c>
      <c r="R233" s="187">
        <f t="shared" si="12"/>
        <v>302.50118477949218</v>
      </c>
      <c r="S233" s="187">
        <f>IF($F233="","",'תחום תמיכה ב'!AE233)</f>
        <v>10390.900640842772</v>
      </c>
      <c r="T233" s="187">
        <f>IF($F233="","",IF(Q233='תחום תמיכה ג'!$Q$2,'תחום תמיכה ג'!$Q$2,IFERROR(SUMIF(N233:R233,"&gt;0"),'תחום תמיכה ג'!$Q$2)))</f>
        <v>22769.653240232346</v>
      </c>
      <c r="U233" s="187">
        <f>IF($F233="","",'הזנה לתנאי סף'!Y233)</f>
        <v>80000</v>
      </c>
      <c r="V233" s="269">
        <f>IF(F233="","",'הגבלה לסכום מבוקש '!AA233)</f>
        <v>24503.086180148672</v>
      </c>
      <c r="W233" s="187">
        <f t="shared" si="13"/>
        <v>6125.7715450371679</v>
      </c>
      <c r="X233" s="187">
        <f>IF(F233="","",'הזנה לתנאי סף'!Z233)</f>
        <v>80000</v>
      </c>
      <c r="Y233" s="237" t="str">
        <f>IFERROR(VLOOKUP(G233*1,#REF!,3,0),"")</f>
        <v/>
      </c>
      <c r="Z233" s="187" t="str">
        <f>IF(OR($F233="",Y233=""),"",IFERROR(IF(Y233&gt;V233,MIN(Y233,T233)-V233,0),'תחום תמיכה ג'!$Q$2))</f>
        <v/>
      </c>
      <c r="AA233" s="259"/>
      <c r="AB233" s="260" t="str">
        <f t="shared" si="14"/>
        <v/>
      </c>
      <c r="AC233" s="262"/>
      <c r="AD233" s="180"/>
      <c r="AE233" s="13" t="str">
        <f>IF($C233="","",IFERROR(VLOOKUP($C233,גיליון1!$A:$E,2,0),"לא הגיש בקשה שוטפת"))</f>
        <v>קיום פעולות מורשת למגוון העדות</v>
      </c>
      <c r="AF233" s="13" t="str">
        <f>IF($C233="","",IFERROR(VLOOKUP($C233,גיליון1!$A:$E,3,0),"לא הגיש בקשה שוטפת"))</f>
        <v>מועד</v>
      </c>
      <c r="AG233" s="13" t="str">
        <f>IF($C233="","",IFERROR(VLOOKUP($C233,גיליון1!$A:$E,4,0),"לא הגיש בקשה שוטפת"))</f>
        <v>19-42-02-14</v>
      </c>
      <c r="AH233" s="13" t="str">
        <f>IF($C233="","",IFERROR(VLOOKUP($C233,גיליון1!$A:$E,5,0),"לא הגיש בקשה שוטפת"))</f>
        <v>מחקר מורשת ואיגודים</v>
      </c>
      <c r="AI233" s="13">
        <f t="shared" si="15"/>
        <v>0</v>
      </c>
      <c r="AJ233"/>
      <c r="AK233" t="s">
        <v>250</v>
      </c>
    </row>
    <row r="234" spans="1:37" ht="72" x14ac:dyDescent="0.25">
      <c r="A234" s="54">
        <f>'הזנה לתנאי סף'!B234</f>
        <v>204</v>
      </c>
      <c r="B234" s="266">
        <f>IF($F234="","",'הזנה לתנאי סף'!C234)</f>
        <v>1001349104</v>
      </c>
      <c r="C234" s="266">
        <f>IF($F234="","",'הזנה לתנאי סף'!D234)</f>
        <v>1001275605</v>
      </c>
      <c r="D234" s="266">
        <f>IF($F234="","",'הזנה לתנאי סף'!E234)</f>
        <v>40541378</v>
      </c>
      <c r="E234" s="55">
        <f>IF($F234="","",'הזנה לתנאי סף'!F234)</f>
        <v>20000253</v>
      </c>
      <c r="F234" s="55" t="str">
        <f>IF('הזנה לתנאי סף'!BL234=1,'הזנה לתנאי סף'!G234,"")</f>
        <v>טמרה</v>
      </c>
      <c r="G234" s="55" t="str">
        <f>IF($F234="","",'הזנה לתנאי סף'!H234)</f>
        <v>באב אל חארה- התיאטרון הכפרי לתרבות</v>
      </c>
      <c r="H234" s="55" t="str">
        <f>IF($F234="","",'הזנה לתנאי סף'!I234)</f>
        <v>אחר</v>
      </c>
      <c r="I234" s="187">
        <f>IF($F234="","",'הזנה לתנאי סף'!R234)</f>
        <v>843372</v>
      </c>
      <c r="J234" s="187">
        <f>IF($F234="","",'תחום תמיכה א'!P234)</f>
        <v>1042740</v>
      </c>
      <c r="K234" s="177">
        <f>IF($F234="","",'הזנה לתנאי סף'!N234)</f>
        <v>0</v>
      </c>
      <c r="L234" s="177">
        <f>IF($F234="","",'הזנה לתנאי סף'!O234)</f>
        <v>1</v>
      </c>
      <c r="M234" s="177">
        <f>IF($F234="","",'הזנה לתנאי סף'!Q234)</f>
        <v>1</v>
      </c>
      <c r="N234" s="187">
        <f>IF($F234="","",'תחום תמיכה א'!AE234)</f>
        <v>21239.845719134624</v>
      </c>
      <c r="O234" s="178"/>
      <c r="P234" s="187">
        <f>IF($F234="","",'תחום תמיכה ב'!AC234)</f>
        <v>19958.47089697314</v>
      </c>
      <c r="Q234" s="187">
        <f>IF($F234="","",IF('תחום תמיכה ג'!O234="",0,'תחום תמיכה ג'!O234))</f>
        <v>0</v>
      </c>
      <c r="R234" s="187">
        <f t="shared" si="12"/>
        <v>598.4557926176094</v>
      </c>
      <c r="S234" s="187">
        <f>IF($F234="","",'תחום תמיכה ב'!AE234)</f>
        <v>20556.926689590749</v>
      </c>
      <c r="T234" s="187">
        <f>IF($F234="","",IF(Q234='תחום תמיכה ג'!$Q$2,'תחום תמיכה ג'!$Q$2,IFERROR(SUMIF(N234:R234,"&gt;0"),'תחום תמיכה ג'!$Q$2)))</f>
        <v>41796.772408725374</v>
      </c>
      <c r="U234" s="187">
        <f>IF($F234="","",'הזנה לתנאי סף'!Y234)</f>
        <v>973600</v>
      </c>
      <c r="V234" s="269">
        <f>IF(F234="","",'הגבלה לסכום מבוקש '!AA234)</f>
        <v>45224.644509878228</v>
      </c>
      <c r="W234" s="187">
        <f t="shared" si="13"/>
        <v>11306.161127469557</v>
      </c>
      <c r="X234" s="187">
        <f>IF(F234="","",'הזנה לתנאי סף'!Z234)</f>
        <v>973600</v>
      </c>
      <c r="Y234" s="237" t="str">
        <f>IFERROR(VLOOKUP(G234*1,#REF!,3,0),"")</f>
        <v/>
      </c>
      <c r="Z234" s="187" t="str">
        <f>IF(OR($F234="",Y234=""),"",IFERROR(IF(Y234&gt;V234,MIN(Y234,T234)-V234,0),'תחום תמיכה ג'!$Q$2))</f>
        <v/>
      </c>
      <c r="AA234" s="259"/>
      <c r="AB234" s="260" t="str">
        <f t="shared" si="14"/>
        <v/>
      </c>
      <c r="AC234" s="262"/>
      <c r="AD234" s="180"/>
      <c r="AE234" s="13" t="str">
        <f>IF($C234="","",IFERROR(VLOOKUP($C234,גיליון1!$A:$E,2,0),"לא הגיש בקשה שוטפת"))</f>
        <v>תמיכה בתיאטרון הכפרי</v>
      </c>
      <c r="AF234" s="13" t="str">
        <f>IF($C234="","",IFERROR(VLOOKUP($C234,גיליון1!$A:$E,3,0),"לא הגיש בקשה שוטפת"))</f>
        <v>מועד</v>
      </c>
      <c r="AG234" s="13" t="str">
        <f>IF($C234="","",IFERROR(VLOOKUP($C234,גיליון1!$A:$E,4,0),"לא הגיש בקשה שוטפת"))</f>
        <v>19-42-02-33</v>
      </c>
      <c r="AH234" s="13" t="str">
        <f>IF($C234="","",IFERROR(VLOOKUP($C234,גיליון1!$A:$E,5,0),"לא הגיש בקשה שוטפת"))</f>
        <v>תרבות ערבית ודרוזית</v>
      </c>
      <c r="AI234" s="13">
        <f t="shared" si="15"/>
        <v>0</v>
      </c>
      <c r="AJ234"/>
      <c r="AK234" t="s">
        <v>250</v>
      </c>
    </row>
    <row r="235" spans="1:37" ht="86.25" x14ac:dyDescent="0.25">
      <c r="A235" s="54">
        <f>'הזנה לתנאי סף'!B235</f>
        <v>205</v>
      </c>
      <c r="B235" s="266">
        <f>IF($F235="","",'הזנה לתנאי סף'!C235)</f>
        <v>1001347304</v>
      </c>
      <c r="C235" s="266">
        <f>IF($F235="","",'הזנה לתנאי סף'!D235)</f>
        <v>1001272196</v>
      </c>
      <c r="D235" s="266">
        <f>IF($F235="","",'הזנה לתנאי סף'!E235)</f>
        <v>40578853</v>
      </c>
      <c r="E235" s="55">
        <f>IF($F235="","",'הזנה לתנאי סף'!F235)</f>
        <v>20000159</v>
      </c>
      <c r="F235" s="55" t="str">
        <f>IF('הזנה לתנאי סף'!BL235=1,'הזנה לתנאי סף'!G235,"")</f>
        <v>ירושלים</v>
      </c>
      <c r="G235" s="55" t="str">
        <f>IF($F235="","",'הזנה לתנאי סף'!H235)</f>
        <v>להקת הפלמנקו רמנגאר בע"מ חברה לתועל</v>
      </c>
      <c r="H235" s="55" t="str">
        <f>IF($F235="","",'הזנה לתנאי סף'!I235)</f>
        <v>אחר</v>
      </c>
      <c r="I235" s="187">
        <f>IF($F235="","",'הזנה לתנאי סף'!R235)</f>
        <v>567643</v>
      </c>
      <c r="J235" s="187">
        <f>IF($F235="","",'תחום תמיכה א'!P235)</f>
        <v>476098</v>
      </c>
      <c r="K235" s="177">
        <f>IF($F235="","",'הזנה לתנאי סף'!N235)</f>
        <v>1</v>
      </c>
      <c r="L235" s="177">
        <f>IF($F235="","",'הזנה לתנאי סף'!O235)</f>
        <v>1</v>
      </c>
      <c r="M235" s="177">
        <f>IF($F235="","",'הזנה לתנאי סף'!Q235)</f>
        <v>1</v>
      </c>
      <c r="N235" s="187">
        <f>IF($F235="","",'תחום תמיכה א'!AE235)</f>
        <v>13314.995516009001</v>
      </c>
      <c r="O235" s="178"/>
      <c r="P235" s="187">
        <f>IF($F235="","",'תחום תמיכה ב'!AC235)</f>
        <v>25323.402614121296</v>
      </c>
      <c r="Q235" s="187">
        <f>IF($F235="","",IF('תחום תמיכה ג'!O235="",0,'תחום תמיכה ג'!O235))</f>
        <v>4377.6155948055202</v>
      </c>
      <c r="R235" s="187">
        <f t="shared" si="12"/>
        <v>759.32355045832446</v>
      </c>
      <c r="S235" s="187">
        <f>IF($F235="","",'תחום תמיכה ב'!AE235)</f>
        <v>26082.726164579621</v>
      </c>
      <c r="T235" s="187">
        <f>IF($F235="","",IF(Q235='תחום תמיכה ג'!$Q$2,'תחום תמיכה ג'!$Q$2,IFERROR(SUMIF(N235:R235,"&gt;0"),'תחום תמיכה ג'!$Q$2)))</f>
        <v>43775.337275394151</v>
      </c>
      <c r="U235" s="187">
        <f>IF($F235="","",'הזנה לתנאי סף'!Y235)</f>
        <v>125000</v>
      </c>
      <c r="V235" s="269">
        <f>IF(F235="","",'הגבלה לסכום מבוקש '!AA235)</f>
        <v>48120.422891794806</v>
      </c>
      <c r="W235" s="187">
        <f t="shared" si="13"/>
        <v>12030.105722948701</v>
      </c>
      <c r="X235" s="187">
        <f>IF(F235="","",'הזנה לתנאי סף'!Z235)</f>
        <v>10000</v>
      </c>
      <c r="Y235" s="237" t="str">
        <f>IFERROR(VLOOKUP(G235*1,#REF!,3,0),"")</f>
        <v/>
      </c>
      <c r="Z235" s="187" t="str">
        <f>IF(OR($F235="",Y235=""),"",IFERROR(IF(Y235&gt;V235,MIN(Y235,T235)-V235,0),'תחום תמיכה ג'!$Q$2))</f>
        <v/>
      </c>
      <c r="AA235" s="259"/>
      <c r="AB235" s="260" t="str">
        <f t="shared" si="14"/>
        <v/>
      </c>
      <c r="AC235" s="262"/>
      <c r="AD235" s="180"/>
      <c r="AE235" s="13" t="str">
        <f>IF($C235="","",IFERROR(VLOOKUP($C235,גיליון1!$A:$E,2,0),"לא הגיש בקשה שוטפת"))</f>
        <v>תמיכה שוטפת</v>
      </c>
      <c r="AF235" s="13" t="str">
        <f>IF($C235="","",IFERROR(VLOOKUP($C235,גיליון1!$A:$E,3,0),"לא הגיש בקשה שוטפת"))</f>
        <v>חויב</v>
      </c>
      <c r="AG235" s="13" t="str">
        <f>IF($C235="","",IFERROR(VLOOKUP($C235,גיליון1!$A:$E,4,0),"לא הגיש בקשה שוטפת"))</f>
        <v>19-42-02-20</v>
      </c>
      <c r="AH235" s="13" t="str">
        <f>IF($C235="","",IFERROR(VLOOKUP($C235,גיליון1!$A:$E,5,0),"לא הגיש בקשה שוטפת"))</f>
        <v>מחול וארגוני גג</v>
      </c>
      <c r="AI235" s="13">
        <f t="shared" si="15"/>
        <v>0</v>
      </c>
      <c r="AJ235"/>
      <c r="AK235" t="s">
        <v>250</v>
      </c>
    </row>
    <row r="236" spans="1:37" ht="57.75" x14ac:dyDescent="0.25">
      <c r="A236" s="54">
        <f>'הזנה לתנאי סף'!B236</f>
        <v>206</v>
      </c>
      <c r="B236" s="266">
        <f>IF($F236="","",'הזנה לתנאי סף'!C236)</f>
        <v>1001346679</v>
      </c>
      <c r="C236" s="266">
        <f>IF($F236="","",'הזנה לתנאי סף'!D236)</f>
        <v>1001266776</v>
      </c>
      <c r="D236" s="266">
        <f>IF($F236="","",'הזנה לתנאי סף'!E236)</f>
        <v>40819694</v>
      </c>
      <c r="E236" s="55">
        <f>IF($F236="","",'הזנה לתנאי סף'!F236)</f>
        <v>20000182</v>
      </c>
      <c r="F236" s="55" t="str">
        <f>IF('הזנה לתנאי סף'!BL236=1,'הזנה לתנאי סף'!G236,"")</f>
        <v>חיפה</v>
      </c>
      <c r="G236" s="55" t="str">
        <f>IF($F236="","",'הזנה לתנאי סף'!H236)</f>
        <v>בית 9 - בית ספר ובית יוצר לתיאטרון</v>
      </c>
      <c r="H236" s="55" t="str">
        <f>IF($F236="","",'הזנה לתנאי סף'!I236)</f>
        <v>בתי ספר לבובות</v>
      </c>
      <c r="I236" s="187">
        <f>IF($F236="","",'הזנה לתנאי סף'!R236)</f>
        <v>213252</v>
      </c>
      <c r="J236" s="187">
        <f>IF($F236="","",'תחום תמיכה א'!P236)</f>
        <v>225221</v>
      </c>
      <c r="K236" s="177">
        <f>IF($F236="","",'הזנה לתנאי סף'!N236)</f>
        <v>1</v>
      </c>
      <c r="L236" s="177">
        <f>IF($F236="","",'הזנה לתנאי סף'!O236)</f>
        <v>1</v>
      </c>
      <c r="M236" s="177">
        <f>IF($F236="","",'הזנה לתנאי סף'!Q236)</f>
        <v>1</v>
      </c>
      <c r="N236" s="187">
        <f>IF($F236="","",'תחום תמיכה א'!AE236)</f>
        <v>9729.6761846824411</v>
      </c>
      <c r="O236" s="178"/>
      <c r="P236" s="187">
        <f>IF($F236="","",'תחום תמיכה ב'!AC236)</f>
        <v>22700.193526465267</v>
      </c>
      <c r="Q236" s="187">
        <f>IF($F236="","",IF('תחום תמיכה ג'!O236="",0,'תחום תמיכה ג'!O236))</f>
        <v>4906.2083384218795</v>
      </c>
      <c r="R236" s="187">
        <f t="shared" si="12"/>
        <v>680.66648890993747</v>
      </c>
      <c r="S236" s="187">
        <f>IF($F236="","",'תחום תמיכה ב'!AE236)</f>
        <v>23380.860015375205</v>
      </c>
      <c r="T236" s="187">
        <f>IF($F236="","",IF(Q236='תחום תמיכה ג'!$Q$2,'תחום תמיכה ג'!$Q$2,IFERROR(SUMIF(N236:R236,"&gt;0"),'תחום תמיכה ג'!$Q$2)))</f>
        <v>38016.744538479528</v>
      </c>
      <c r="U236" s="187">
        <f>IF($F236="","",'הזנה לתנאי סף'!Y236)</f>
        <v>394650</v>
      </c>
      <c r="V236" s="269">
        <f>IF(F236="","",'הגבלה לסכום מבוקש '!AA236)</f>
        <v>41911.172665122773</v>
      </c>
      <c r="W236" s="187">
        <f t="shared" si="13"/>
        <v>10477.793166280693</v>
      </c>
      <c r="X236" s="187">
        <f>IF(F236="","",'הזנה לתנאי סף'!Z236)</f>
        <v>394650</v>
      </c>
      <c r="Y236" s="237" t="str">
        <f>IFERROR(VLOOKUP(G236*1,#REF!,3,0),"")</f>
        <v/>
      </c>
      <c r="Z236" s="187" t="str">
        <f>IF(OR($F236="",Y236=""),"",IFERROR(IF(Y236&gt;V236,MIN(Y236,T236)-V236,0),'תחום תמיכה ג'!$Q$2))</f>
        <v/>
      </c>
      <c r="AA236" s="259"/>
      <c r="AB236" s="260" t="str">
        <f t="shared" si="14"/>
        <v/>
      </c>
      <c r="AC236" s="262"/>
      <c r="AD236" s="180"/>
      <c r="AE236" s="13" t="str">
        <f>IF($C236="","",IFERROR(VLOOKUP($C236,גיליון1!$A:$E,2,0),"לא הגיש בקשה שוטפת"))</f>
        <v>בית 9 - קבוצת תיאטרון</v>
      </c>
      <c r="AF236" s="13" t="str">
        <f>IF($C236="","",IFERROR(VLOOKUP($C236,גיליון1!$A:$E,3,0),"לא הגיש בקשה שוטפת"))</f>
        <v>מועד</v>
      </c>
      <c r="AG236" s="13" t="str">
        <f>IF($C236="","",IFERROR(VLOOKUP($C236,גיליון1!$A:$E,4,0),"לא הגיש בקשה שוטפת"))</f>
        <v>19-42-02-07</v>
      </c>
      <c r="AH236" s="13" t="str">
        <f>IF($C236="","",IFERROR(VLOOKUP($C236,גיליון1!$A:$E,5,0),"לא הגיש בקשה שוטפת"))</f>
        <v>תיאטרון</v>
      </c>
      <c r="AI236" s="13">
        <f t="shared" si="15"/>
        <v>0</v>
      </c>
      <c r="AJ236"/>
      <c r="AK236" t="s">
        <v>250</v>
      </c>
    </row>
    <row r="237" spans="1:37" ht="57.75" x14ac:dyDescent="0.25">
      <c r="A237" s="54">
        <f>'הזנה לתנאי סף'!B237</f>
        <v>207</v>
      </c>
      <c r="B237" s="266">
        <f>IF($F237="","",'הזנה לתנאי סף'!C237)</f>
        <v>1001350744</v>
      </c>
      <c r="C237" s="266">
        <f>IF($F237="","",'הזנה לתנאי סף'!D237)</f>
        <v>1001280342</v>
      </c>
      <c r="D237" s="266">
        <f>IF($F237="","",'הזנה לתנאי סף'!E237)</f>
        <v>40820736</v>
      </c>
      <c r="E237" s="55">
        <f>IF($F237="","",'הזנה לתנאי סף'!F237)</f>
        <v>20000201</v>
      </c>
      <c r="F237" s="55" t="str">
        <f>IF('הזנה לתנאי סף'!BL237=1,'הזנה לתנאי סף'!G237,"")</f>
        <v>תל אביב -יפו</v>
      </c>
      <c r="G237" s="55" t="str">
        <f>IF($F237="","",'הזנה לתנאי סף'!H237)</f>
        <v>התיאטרון הלאומי הבימה בע"מ(חל"צ)</v>
      </c>
      <c r="H237" s="55" t="str">
        <f>IF($F237="","",'הזנה לתנאי סף'!I237)</f>
        <v>תיאטרון</v>
      </c>
      <c r="I237" s="187">
        <f>IF($F237="","",'הזנה לתנאי סף'!R237)</f>
        <v>79192000</v>
      </c>
      <c r="J237" s="187">
        <f>IF($F237="","",'תחום תמיכה א'!P237)</f>
        <v>90371000</v>
      </c>
      <c r="K237" s="177">
        <f>IF($F237="","",'הזנה לתנאי סף'!N237)</f>
        <v>0</v>
      </c>
      <c r="L237" s="177">
        <f>IF($F237="","",'הזנה לתנאי סף'!O237)</f>
        <v>1</v>
      </c>
      <c r="M237" s="177">
        <f>IF($F237="","",'הזנה לתנאי סף'!Q237)</f>
        <v>1</v>
      </c>
      <c r="N237" s="187">
        <f>IF($F237="","",'תחום תמיכה א'!AE237)</f>
        <v>3757526.8084275969</v>
      </c>
      <c r="O237" s="178"/>
      <c r="P237" s="187">
        <f>IF($F237="","",'תחום תמיכה ב'!AC237)</f>
        <v>7808808.0805735495</v>
      </c>
      <c r="Q237" s="187">
        <f>IF($F237="","",IF('תחום תמיכה ג'!O237="",0,'תחום תמיכה ג'!O237))</f>
        <v>0</v>
      </c>
      <c r="R237" s="187">
        <f t="shared" si="12"/>
        <v>234147.51828343514</v>
      </c>
      <c r="S237" s="187">
        <f>IF($F237="","",'תחום תמיכה ב'!AE237)</f>
        <v>8042955.5988569846</v>
      </c>
      <c r="T237" s="187">
        <f>IF($F237="","",IF(Q237='תחום תמיכה ג'!$Q$2,'תחום תמיכה ג'!$Q$2,IFERROR(SUMIF(N237:R237,"&gt;0"),'תחום תמיכה ג'!$Q$2)))</f>
        <v>11800482.40728458</v>
      </c>
      <c r="U237" s="187">
        <f>IF($F237="","",'הזנה לתנאי סף'!Y237)</f>
        <v>20000000</v>
      </c>
      <c r="V237" s="269">
        <f>IF(F237="","",'הגבלה לסכום מבוקש '!AA237)</f>
        <v>13139574.114241883</v>
      </c>
      <c r="W237" s="187">
        <f t="shared" si="13"/>
        <v>3284893.5285604708</v>
      </c>
      <c r="X237" s="187">
        <f>IF(F237="","",'הזנה לתנאי סף'!Z237)</f>
        <v>8000000</v>
      </c>
      <c r="Y237" s="237" t="str">
        <f>IFERROR(VLOOKUP(G237*1,#REF!,3,0),"")</f>
        <v/>
      </c>
      <c r="Z237" s="187" t="str">
        <f>IF(OR($F237="",Y237=""),"",IFERROR(IF(Y237&gt;V237,MIN(Y237,T237)-V237,0),'תחום תמיכה ג'!$Q$2))</f>
        <v/>
      </c>
      <c r="AA237" s="259"/>
      <c r="AB237" s="260" t="str">
        <f t="shared" si="14"/>
        <v/>
      </c>
      <c r="AC237" s="262"/>
      <c r="AD237" s="180"/>
      <c r="AE237" s="13" t="str">
        <f>IF($C237="","",IFERROR(VLOOKUP($C237,גיליון1!$A:$E,2,0),"לא הגיש בקשה שוטפת"))</f>
        <v>בקשה לתמיכה שוטפת</v>
      </c>
      <c r="AF237" s="13" t="str">
        <f>IF($C237="","",IFERROR(VLOOKUP($C237,גיליון1!$A:$E,3,0),"לא הגיש בקשה שוטפת"))</f>
        <v>חויב</v>
      </c>
      <c r="AG237" s="13" t="str">
        <f>IF($C237="","",IFERROR(VLOOKUP($C237,גיליון1!$A:$E,4,0),"לא הגיש בקשה שוטפת"))</f>
        <v>19-42-02-07</v>
      </c>
      <c r="AH237" s="13" t="str">
        <f>IF($C237="","",IFERROR(VLOOKUP($C237,גיליון1!$A:$E,5,0),"לא הגיש בקשה שוטפת"))</f>
        <v>תיאטרון</v>
      </c>
      <c r="AI237" s="13">
        <f t="shared" si="15"/>
        <v>0</v>
      </c>
      <c r="AJ237"/>
      <c r="AK237" t="s">
        <v>250</v>
      </c>
    </row>
    <row r="238" spans="1:37" ht="29.25" x14ac:dyDescent="0.25">
      <c r="A238" s="54">
        <f>'הזנה לתנאי סף'!B238</f>
        <v>208</v>
      </c>
      <c r="B238" s="266">
        <f>IF($F238="","",'הזנה לתנאי סף'!C238)</f>
        <v>1001348658</v>
      </c>
      <c r="C238" s="266">
        <f>IF($F238="","",'הזנה לתנאי סף'!D238)</f>
        <v>1001280645</v>
      </c>
      <c r="D238" s="266">
        <f>IF($F238="","",'הזנה לתנאי סף'!E238)</f>
        <v>41085342</v>
      </c>
      <c r="E238" s="55">
        <f>IF($F238="","",'הזנה לתנאי סף'!F238)</f>
        <v>20000254</v>
      </c>
      <c r="F238" s="55" t="str">
        <f>IF('הזנה לתנאי סף'!BL238=1,'הזנה לתנאי סף'!G238,"")</f>
        <v>באר שבע</v>
      </c>
      <c r="G238" s="55" t="str">
        <f>IF($F238="","",'הזנה לתנאי סף'!H238)</f>
        <v>סאנאם (ע"ר)</v>
      </c>
      <c r="H238" s="55" t="str">
        <f>IF($F238="","",'הזנה לתנאי סף'!I238)</f>
        <v>אחר</v>
      </c>
      <c r="I238" s="187">
        <f>IF($F238="","",'הזנה לתנאי סף'!R238)</f>
        <v>1081892</v>
      </c>
      <c r="J238" s="187">
        <f>IF($F238="","",'תחום תמיכה א'!P238)</f>
        <v>858665</v>
      </c>
      <c r="K238" s="177">
        <f>IF($F238="","",'הזנה לתנאי סף'!N238)</f>
        <v>0</v>
      </c>
      <c r="L238" s="177">
        <f>IF($F238="","",'הזנה לתנאי סף'!O238)</f>
        <v>1</v>
      </c>
      <c r="M238" s="177">
        <f>IF($F238="","",'הזנה לתנאי סף'!Q238)</f>
        <v>1</v>
      </c>
      <c r="N238" s="187">
        <f>IF($F238="","",'תחום תמיכה א'!AE238)</f>
        <v>24336.915220385781</v>
      </c>
      <c r="O238" s="178"/>
      <c r="P238" s="187">
        <f>IF($F238="","",'תחום תמיכה ב'!AC238)</f>
        <v>29687.442417832481</v>
      </c>
      <c r="Q238" s="187">
        <f>IF($F238="","",IF('תחום תמיכה ג'!O238="",0,'תחום תמיכה ג'!O238))</f>
        <v>0</v>
      </c>
      <c r="R238" s="187">
        <f t="shared" si="12"/>
        <v>890.17951198095034</v>
      </c>
      <c r="S238" s="187">
        <f>IF($F238="","",'תחום תמיכה ב'!AE238)</f>
        <v>30577.621929813431</v>
      </c>
      <c r="T238" s="187">
        <f>IF($F238="","",IF(Q238='תחום תמיכה ג'!$Q$2,'תחום תמיכה ג'!$Q$2,IFERROR(SUMIF(N238:R238,"&gt;0"),'תחום תמיכה ג'!$Q$2)))</f>
        <v>54914.537150199219</v>
      </c>
      <c r="U238" s="187">
        <f>IF($F238="","",'הזנה לתנאי סף'!Y238)</f>
        <v>1200000</v>
      </c>
      <c r="V238" s="269">
        <f>IF(F238="","",'הגבלה לסכום מבוקש '!AA238)</f>
        <v>60010.058327012077</v>
      </c>
      <c r="W238" s="187">
        <f t="shared" si="13"/>
        <v>15002.514581753019</v>
      </c>
      <c r="X238" s="187">
        <f>IF(F238="","",'הזנה לתנאי סף'!Z238)</f>
        <v>1200000</v>
      </c>
      <c r="Y238" s="237" t="str">
        <f>IFERROR(VLOOKUP(G238*1,#REF!,3,0),"")</f>
        <v/>
      </c>
      <c r="Z238" s="187" t="str">
        <f>IF(OR($F238="",Y238=""),"",IFERROR(IF(Y238&gt;V238,MIN(Y238,T238)-V238,0),'תחום תמיכה ג'!$Q$2))</f>
        <v/>
      </c>
      <c r="AA238" s="259"/>
      <c r="AB238" s="260" t="str">
        <f t="shared" si="14"/>
        <v/>
      </c>
      <c r="AC238" s="262"/>
      <c r="AD238" s="180"/>
      <c r="AE238" s="13" t="str">
        <f>IF($C238="","",IFERROR(VLOOKUP($C238,גיליון1!$A:$E,2,0),"לא הגיש בקשה שוטפת"))</f>
        <v>תמיכה למעבדה המוזיקאלית סאנאם</v>
      </c>
      <c r="AF238" s="13" t="str">
        <f>IF($C238="","",IFERROR(VLOOKUP($C238,גיליון1!$A:$E,3,0),"לא הגיש בקשה שוטפת"))</f>
        <v>מועד</v>
      </c>
      <c r="AG238" s="13" t="str">
        <f>IF($C238="","",IFERROR(VLOOKUP($C238,גיליון1!$A:$E,4,0),"לא הגיש בקשה שוטפת"))</f>
        <v>19-42-02-33</v>
      </c>
      <c r="AH238" s="13" t="str">
        <f>IF($C238="","",IFERROR(VLOOKUP($C238,גיליון1!$A:$E,5,0),"לא הגיש בקשה שוטפת"))</f>
        <v>תרבות ערבית ודרוזית</v>
      </c>
      <c r="AI238" s="13">
        <f t="shared" si="15"/>
        <v>0</v>
      </c>
      <c r="AJ238"/>
      <c r="AK238" t="s">
        <v>250</v>
      </c>
    </row>
    <row r="239" spans="1:37" ht="43.5" x14ac:dyDescent="0.25">
      <c r="A239" s="54">
        <f>'הזנה לתנאי סף'!B239</f>
        <v>209</v>
      </c>
      <c r="B239" s="266">
        <f>IF($F239="","",'הזנה לתנאי סף'!C239)</f>
        <v>1001350449</v>
      </c>
      <c r="C239" s="266">
        <f>IF($F239="","",'הזנה לתנאי סף'!D239)</f>
        <v>1001280646</v>
      </c>
      <c r="D239" s="266">
        <f>IF($F239="","",'הזנה לתנאי סף'!E239)</f>
        <v>41090413</v>
      </c>
      <c r="E239" s="55">
        <f>IF($F239="","",'הזנה לתנאי סף'!F239)</f>
        <v>20000159</v>
      </c>
      <c r="F239" s="55" t="str">
        <f>IF('הזנה לתנאי סף'!BL239=1,'הזנה לתנאי סף'!G239,"")</f>
        <v>ירושלים</v>
      </c>
      <c r="G239" s="55" t="str">
        <f>IF($F239="","",'הזנה לתנאי סף'!H239)</f>
        <v>תיאטרון נקודה טובה (ע"ר)</v>
      </c>
      <c r="H239" s="55" t="str">
        <f>IF($F239="","",'הזנה לתנאי סף'!I239)</f>
        <v>תיאטרון</v>
      </c>
      <c r="I239" s="187">
        <f>IF($F239="","",'הזנה לתנאי סף'!R239)</f>
        <v>1726623</v>
      </c>
      <c r="J239" s="187">
        <f>IF($F239="","",'תחום תמיכה א'!P239)</f>
        <v>1982849</v>
      </c>
      <c r="K239" s="177">
        <f>IF($F239="","",'הזנה לתנאי סף'!N239)</f>
        <v>1</v>
      </c>
      <c r="L239" s="177">
        <f>IF($F239="","",'הזנה לתנאי סף'!O239)</f>
        <v>1</v>
      </c>
      <c r="M239" s="177">
        <f>IF($F239="","",'הזנה לתנאי סף'!Q239)</f>
        <v>1</v>
      </c>
      <c r="N239" s="187">
        <f>IF($F239="","",'תחום תמיכה א'!AE239)</f>
        <v>97705.940974201934</v>
      </c>
      <c r="O239" s="178"/>
      <c r="P239" s="187">
        <f>IF($F239="","",'תחום תמיכה ב'!AC239)</f>
        <v>239120.94489015365</v>
      </c>
      <c r="Q239" s="187">
        <f>IF($F239="","",IF('תחום תמיכה ג'!O239="",0,'תחום תמיכה ג'!O239))</f>
        <v>41336.450450463701</v>
      </c>
      <c r="R239" s="187">
        <f t="shared" si="12"/>
        <v>7170.0540259029076</v>
      </c>
      <c r="S239" s="187">
        <f>IF($F239="","",'תחום תמיכה ב'!AE239)</f>
        <v>246290.99891605656</v>
      </c>
      <c r="T239" s="187">
        <f>IF($F239="","",IF(Q239='תחום תמיכה ג'!$Q$2,'תחום תמיכה ג'!$Q$2,IFERROR(SUMIF(N239:R239,"&gt;0"),'תחום תמיכה ג'!$Q$2)))</f>
        <v>385333.39034072217</v>
      </c>
      <c r="U239" s="187">
        <f>IF($F239="","",'הזנה לתנאי סף'!Y239)</f>
        <v>563872</v>
      </c>
      <c r="V239" s="269">
        <f>IF(F239="","",'הגבלה לסכום מבוקש '!AA239)</f>
        <v>426349.91062567587</v>
      </c>
      <c r="W239" s="187">
        <f t="shared" si="13"/>
        <v>106587.47765641897</v>
      </c>
      <c r="X239" s="187">
        <f>IF(F239="","",'הזנה לתנאי סף'!Z239)</f>
        <v>350000</v>
      </c>
      <c r="Y239" s="237" t="str">
        <f>IFERROR(VLOOKUP(G239*1,#REF!,3,0),"")</f>
        <v/>
      </c>
      <c r="Z239" s="187" t="str">
        <f>IF(OR($F239="",Y239=""),"",IFERROR(IF(Y239&gt;V239,MIN(Y239,T239)-V239,0),'תחום תמיכה ג'!$Q$2))</f>
        <v/>
      </c>
      <c r="AA239" s="259"/>
      <c r="AB239" s="260" t="str">
        <f t="shared" si="14"/>
        <v/>
      </c>
      <c r="AC239" s="262"/>
      <c r="AD239" s="180"/>
      <c r="AE239" s="13" t="str">
        <f>IF($C239="","",IFERROR(VLOOKUP($C239,גיליון1!$A:$E,2,0),"לא הגיש בקשה שוטפת"))</f>
        <v>תיאטרון רפרטוארי מבוגרים קטן 2020</v>
      </c>
      <c r="AF239" s="13" t="str">
        <f>IF($C239="","",IFERROR(VLOOKUP($C239,גיליון1!$A:$E,3,0),"לא הגיש בקשה שוטפת"))</f>
        <v>חויב</v>
      </c>
      <c r="AG239" s="13" t="str">
        <f>IF($C239="","",IFERROR(VLOOKUP($C239,גיליון1!$A:$E,4,0),"לא הגיש בקשה שוטפת"))</f>
        <v>19-42-02-07</v>
      </c>
      <c r="AH239" s="13" t="str">
        <f>IF($C239="","",IFERROR(VLOOKUP($C239,גיליון1!$A:$E,5,0),"לא הגיש בקשה שוטפת"))</f>
        <v>תיאטרון</v>
      </c>
      <c r="AI239" s="13">
        <f t="shared" si="15"/>
        <v>0</v>
      </c>
      <c r="AJ239"/>
      <c r="AK239" t="s">
        <v>250</v>
      </c>
    </row>
    <row r="240" spans="1:37" ht="57.75" x14ac:dyDescent="0.25">
      <c r="A240" s="54">
        <f>'הזנה לתנאי סף'!B240</f>
        <v>210</v>
      </c>
      <c r="B240" s="266">
        <f>IF($F240="","",'הזנה לתנאי סף'!C240)</f>
        <v>1001347310</v>
      </c>
      <c r="C240" s="266">
        <f>IF($F240="","",'הזנה לתנאי סף'!D240)</f>
        <v>1001270285</v>
      </c>
      <c r="D240" s="266">
        <f>IF($F240="","",'הזנה לתנאי סף'!E240)</f>
        <v>41107963</v>
      </c>
      <c r="E240" s="55">
        <f>IF($F240="","",'הזנה לתנאי סף'!F240)</f>
        <v>20000201</v>
      </c>
      <c r="F240" s="55" t="str">
        <f>IF('הזנה לתנאי סף'!BL240=1,'הזנה לתנאי סף'!G240,"")</f>
        <v>תל אביב -יפו</v>
      </c>
      <c r="G240" s="55" t="str">
        <f>IF($F240="","",'הזנה לתנאי סף'!H240)</f>
        <v>עלילה מקומית, עמותה רשומה</v>
      </c>
      <c r="H240" s="55" t="str">
        <f>IF($F240="","",'הזנה לתנאי סף'!I240)</f>
        <v>תיאטרון</v>
      </c>
      <c r="I240" s="187">
        <f>IF($F240="","",'הזנה לתנאי סף'!R240)</f>
        <v>1490149</v>
      </c>
      <c r="J240" s="187">
        <f>IF($F240="","",'תחום תמיכה א'!P240)</f>
        <v>1551534</v>
      </c>
      <c r="K240" s="177">
        <f>IF($F240="","",'הזנה לתנאי סף'!N240)</f>
        <v>1</v>
      </c>
      <c r="L240" s="177">
        <f>IF($F240="","",'הזנה לתנאי סף'!O240)</f>
        <v>1</v>
      </c>
      <c r="M240" s="177">
        <f>IF($F240="","",'הזנה לתנאי סף'!Q240)</f>
        <v>1</v>
      </c>
      <c r="N240" s="187">
        <f>IF($F240="","",'תחום תמיכה א'!AE240)</f>
        <v>23780.730052603802</v>
      </c>
      <c r="O240" s="178"/>
      <c r="P240" s="187">
        <f>IF($F240="","",'תחום תמיכה ב'!AC240)</f>
        <v>19967.095999623169</v>
      </c>
      <c r="Q240" s="187">
        <f>IF($F240="","",IF('תחום תמיכה ג'!O240="",0,'תחום תמיכה ג'!O240))</f>
        <v>8373.0573322784421</v>
      </c>
      <c r="R240" s="187">
        <f t="shared" si="12"/>
        <v>598.71441677120674</v>
      </c>
      <c r="S240" s="187">
        <f>IF($F240="","",'תחום תמיכה ב'!AE240)</f>
        <v>20565.810416394375</v>
      </c>
      <c r="T240" s="187">
        <f>IF($F240="","",IF(Q240='תחום תמיכה ג'!$Q$2,'תחום תמיכה ג'!$Q$2,IFERROR(SUMIF(N240:R240,"&gt;0"),'תחום תמיכה ג'!$Q$2)))</f>
        <v>52719.597801276614</v>
      </c>
      <c r="U240" s="187">
        <f>IF($F240="","",'הזנה לתנאי סף'!Y240)</f>
        <v>1000000</v>
      </c>
      <c r="V240" s="269">
        <f>IF(F240="","",'הגבלה לסכום מבוקש '!AA240)</f>
        <v>56153.91649236239</v>
      </c>
      <c r="W240" s="187">
        <f t="shared" si="13"/>
        <v>14038.479123090598</v>
      </c>
      <c r="X240" s="187">
        <f>IF(F240="","",'הזנה לתנאי סף'!Z240)</f>
        <v>1000000</v>
      </c>
      <c r="Y240" s="237" t="str">
        <f>IFERROR(VLOOKUP(G240*1,#REF!,3,0),"")</f>
        <v/>
      </c>
      <c r="Z240" s="187" t="str">
        <f>IF(OR($F240="",Y240=""),"",IFERROR(IF(Y240&gt;V240,MIN(Y240,T240)-V240,0),'תחום תמיכה ג'!$Q$2))</f>
        <v/>
      </c>
      <c r="AA240" s="259"/>
      <c r="AB240" s="260" t="str">
        <f t="shared" si="14"/>
        <v/>
      </c>
      <c r="AC240" s="262"/>
      <c r="AD240" s="180"/>
      <c r="AE240" s="13" t="str">
        <f>IF($C240="","",IFERROR(VLOOKUP($C240,גיליון1!$A:$E,2,0),"לא הגיש בקשה שוטפת"))</f>
        <v>עלילה מקומית 2020-תמיכה שוטפת</v>
      </c>
      <c r="AF240" s="13" t="str">
        <f>IF($C240="","",IFERROR(VLOOKUP($C240,גיליון1!$A:$E,3,0),"לא הגיש בקשה שוטפת"))</f>
        <v>מועד</v>
      </c>
      <c r="AG240" s="13" t="str">
        <f>IF($C240="","",IFERROR(VLOOKUP($C240,גיליון1!$A:$E,4,0),"לא הגיש בקשה שוטפת"))</f>
        <v>19-42-02-07</v>
      </c>
      <c r="AH240" s="13" t="str">
        <f>IF($C240="","",IFERROR(VLOOKUP($C240,גיליון1!$A:$E,5,0),"לא הגיש בקשה שוטפת"))</f>
        <v>תיאטרון</v>
      </c>
      <c r="AI240" s="13">
        <f t="shared" si="15"/>
        <v>0</v>
      </c>
      <c r="AJ240"/>
      <c r="AK240" t="s">
        <v>250</v>
      </c>
    </row>
    <row r="241" spans="1:37" ht="57.75" x14ac:dyDescent="0.25">
      <c r="A241" s="54">
        <f>'הזנה לתנאי סף'!B241</f>
        <v>211</v>
      </c>
      <c r="B241" s="266">
        <f>IF($F241="","",'הזנה לתנאי סף'!C241)</f>
        <v>1001350115</v>
      </c>
      <c r="C241" s="266">
        <f>IF($F241="","",'הזנה לתנאי סף'!D241)</f>
        <v>1001272277</v>
      </c>
      <c r="D241" s="266">
        <f>IF($F241="","",'הזנה לתנאי סף'!E241)</f>
        <v>41109519</v>
      </c>
      <c r="E241" s="55">
        <f>IF($F241="","",'הזנה לתנאי סף'!F241)</f>
        <v>20000159</v>
      </c>
      <c r="F241" s="55" t="str">
        <f>IF('הזנה לתנאי סף'!BL241=1,'הזנה לתנאי סף'!G241,"")</f>
        <v>ירושלים</v>
      </c>
      <c r="G241" s="55" t="str">
        <f>IF($F241="","",'הזנה לתנאי סף'!H241)</f>
        <v>עמותת תיאטרון קומקום (ע"ר)</v>
      </c>
      <c r="H241" s="55" t="str">
        <f>IF($F241="","",'הזנה לתנאי סף'!I241)</f>
        <v>תיאטרון</v>
      </c>
      <c r="I241" s="187">
        <f>IF($F241="","",'הזנה לתנאי סף'!R241)</f>
        <v>1046629</v>
      </c>
      <c r="J241" s="187">
        <f>IF($F241="","",'תחום תמיכה א'!P241)</f>
        <v>675838</v>
      </c>
      <c r="K241" s="177">
        <f>IF($F241="","",'הזנה לתנאי סף'!N241)</f>
        <v>1</v>
      </c>
      <c r="L241" s="177">
        <f>IF($F241="","",'הזנה לתנאי סף'!O241)</f>
        <v>1</v>
      </c>
      <c r="M241" s="177">
        <f>IF($F241="","",'הזנה לתנאי סף'!Q241)</f>
        <v>1</v>
      </c>
      <c r="N241" s="187">
        <f>IF($F241="","",'תחום תמיכה א'!AE241)</f>
        <v>20788.085410599862</v>
      </c>
      <c r="O241" s="178"/>
      <c r="P241" s="187">
        <f>IF($F241="","",'תחום תמיכה ב'!AC241)</f>
        <v>38202.415148132852</v>
      </c>
      <c r="Q241" s="187">
        <f>IF($F241="","",IF('תחום תמיכה ג'!O241="",0,'תחום תמיכה ג'!O241))</f>
        <v>6603.9896320427379</v>
      </c>
      <c r="R241" s="187">
        <f t="shared" si="12"/>
        <v>1145.5014141814827</v>
      </c>
      <c r="S241" s="187">
        <f>IF($F241="","",'תחום תמיכה ב'!AE241)</f>
        <v>39347.916562314334</v>
      </c>
      <c r="T241" s="187">
        <f>IF($F241="","",IF(Q241='תחום תמיכה ג'!$Q$2,'תחום תמיכה ג'!$Q$2,IFERROR(SUMIF(N241:R241,"&gt;0"),'תחום תמיכה ג'!$Q$2)))</f>
        <v>66739.991604956944</v>
      </c>
      <c r="U241" s="187">
        <f>IF($F241="","",'הזנה לתנאי סף'!Y241)</f>
        <v>1200000</v>
      </c>
      <c r="V241" s="269">
        <f>IF(F241="","",'הגבלה לסכום מבוקש '!AA241)</f>
        <v>73295.226449593916</v>
      </c>
      <c r="W241" s="187">
        <f t="shared" si="13"/>
        <v>18323.806612398479</v>
      </c>
      <c r="X241" s="187">
        <f>IF(F241="","",'הזנה לתנאי סף'!Z241)</f>
        <v>30000</v>
      </c>
      <c r="Y241" s="237" t="str">
        <f>IFERROR(VLOOKUP(G241*1,#REF!,3,0),"")</f>
        <v/>
      </c>
      <c r="Z241" s="187" t="str">
        <f>IF(OR($F241="",Y241=""),"",IFERROR(IF(Y241&gt;V241,MIN(Y241,T241)-V241,0),'תחום תמיכה ג'!$Q$2))</f>
        <v/>
      </c>
      <c r="AA241" s="259"/>
      <c r="AB241" s="260" t="str">
        <f t="shared" si="14"/>
        <v/>
      </c>
      <c r="AC241" s="262"/>
      <c r="AD241" s="180"/>
      <c r="AE241" s="13" t="str">
        <f>IF($C241="","",IFERROR(VLOOKUP($C241,גיליון1!$A:$E,2,0),"לא הגיש בקשה שוטפת"))</f>
        <v>תאטרון</v>
      </c>
      <c r="AF241" s="13" t="str">
        <f>IF($C241="","",IFERROR(VLOOKUP($C241,גיליון1!$A:$E,3,0),"לא הגיש בקשה שוטפת"))</f>
        <v>מועד</v>
      </c>
      <c r="AG241" s="13" t="str">
        <f>IF($C241="","",IFERROR(VLOOKUP($C241,גיליון1!$A:$E,4,0),"לא הגיש בקשה שוטפת"))</f>
        <v>19-42-02-07</v>
      </c>
      <c r="AH241" s="13" t="str">
        <f>IF($C241="","",IFERROR(VLOOKUP($C241,גיליון1!$A:$E,5,0),"לא הגיש בקשה שוטפת"))</f>
        <v>תיאטרון</v>
      </c>
      <c r="AI241" s="13">
        <f t="shared" si="15"/>
        <v>0</v>
      </c>
      <c r="AJ241"/>
      <c r="AK241" t="s">
        <v>250</v>
      </c>
    </row>
    <row r="242" spans="1:37" ht="29.25" x14ac:dyDescent="0.25">
      <c r="A242" s="54">
        <f>'הזנה לתנאי סף'!B242</f>
        <v>212</v>
      </c>
      <c r="B242" s="266">
        <f>IF($F242="","",'הזנה לתנאי סף'!C242)</f>
        <v>1001348412</v>
      </c>
      <c r="C242" s="266">
        <f>IF($F242="","",'הזנה לתנאי סף'!D242)</f>
        <v>1001275936</v>
      </c>
      <c r="D242" s="266">
        <f>IF($F242="","",'הזנה לתנאי סף'!E242)</f>
        <v>41375155</v>
      </c>
      <c r="E242" s="55">
        <f>IF($F242="","",'הזנה לתנאי סף'!F242)</f>
        <v>20000159</v>
      </c>
      <c r="F242" s="55" t="str">
        <f>IF('הזנה לתנאי סף'!BL242=1,'הזנה לתנאי סף'!G242,"")</f>
        <v>ירושלים</v>
      </c>
      <c r="G242" s="55" t="str">
        <f>IF($F242="","",'הזנה לתנאי סף'!H242)</f>
        <v>כביש אחד (ע"ר)</v>
      </c>
      <c r="H242" s="55" t="str">
        <f>IF($F242="","",'הזנה לתנאי סף'!I242)</f>
        <v>ספרות</v>
      </c>
      <c r="I242" s="187">
        <f>IF($F242="","",'הזנה לתנאי סף'!R242)</f>
        <v>128871</v>
      </c>
      <c r="J242" s="187">
        <f>IF($F242="","",'תחום תמיכה א'!P242)</f>
        <v>154881</v>
      </c>
      <c r="K242" s="177">
        <f>IF($F242="","",'הזנה לתנאי סף'!N242)</f>
        <v>1</v>
      </c>
      <c r="L242" s="177">
        <f>IF($F242="","",'הזנה לתנאי סף'!O242)</f>
        <v>1</v>
      </c>
      <c r="M242" s="177">
        <f>IF($F242="","",'הזנה לתנאי סף'!Q242)</f>
        <v>1</v>
      </c>
      <c r="N242" s="187">
        <f>IF($F242="","",'תחום תמיכה א'!AE242)</f>
        <v>3524.5354082712411</v>
      </c>
      <c r="O242" s="178"/>
      <c r="P242" s="187">
        <f>IF($F242="","",'תחום תמיכה ב'!AC242)</f>
        <v>3806.4497831446315</v>
      </c>
      <c r="Q242" s="187">
        <f>IF($F242="","",IF('תחום תמיכה ג'!O242="",0,'תחום תמיכה ג'!O242))</f>
        <v>658.01480888851825</v>
      </c>
      <c r="R242" s="187">
        <f t="shared" si="12"/>
        <v>114.1365956234863</v>
      </c>
      <c r="S242" s="187">
        <f>IF($F242="","",'תחום תמיכה ב'!AE242)</f>
        <v>3920.5863787681178</v>
      </c>
      <c r="T242" s="187">
        <f>IF($F242="","",IF(Q242='תחום תמיכה ג'!$Q$2,'תחום תמיכה ג'!$Q$2,IFERROR(SUMIF(N242:R242,"&gt;0"),'תחום תמיכה ג'!$Q$2)))</f>
        <v>8103.1365959278774</v>
      </c>
      <c r="U242" s="187">
        <f>IF($F242="","",'הזנה לתנאי סף'!Y242)</f>
        <v>200000</v>
      </c>
      <c r="V242" s="269">
        <f>IF(F242="","",'הגבלה לסכום מבוקש '!AA242)</f>
        <v>8756.9552221813519</v>
      </c>
      <c r="W242" s="187">
        <f t="shared" si="13"/>
        <v>2189.238805545338</v>
      </c>
      <c r="X242" s="187">
        <f>IF(F242="","",'הזנה לתנאי סף'!Z242)</f>
        <v>200000</v>
      </c>
      <c r="Y242" s="237" t="str">
        <f>IFERROR(VLOOKUP(G242*1,#REF!,3,0),"")</f>
        <v/>
      </c>
      <c r="Z242" s="187" t="str">
        <f>IF(OR($F242="",Y242=""),"",IFERROR(IF(Y242&gt;V242,MIN(Y242,T242)-V242,0),'תחום תמיכה ג'!$Q$2))</f>
        <v/>
      </c>
      <c r="AA242" s="259"/>
      <c r="AB242" s="260" t="str">
        <f t="shared" si="14"/>
        <v/>
      </c>
      <c r="AC242" s="262"/>
      <c r="AD242" s="180"/>
      <c r="AE242" s="13" t="str">
        <f>IF($C242="","",IFERROR(VLOOKUP($C242,גיליון1!$A:$E,2,0),"לא הגיש בקשה שוטפת"))</f>
        <v>סדרת אירועי ספרות לזכר סופרים ומשוררים</v>
      </c>
      <c r="AF242" s="13" t="str">
        <f>IF($C242="","",IFERROR(VLOOKUP($C242,גיליון1!$A:$E,3,0),"לא הגיש בקשה שוטפת"))</f>
        <v>מועד</v>
      </c>
      <c r="AG242" s="13" t="str">
        <f>IF($C242="","",IFERROR(VLOOKUP($C242,גיליון1!$A:$E,4,0),"לא הגיש בקשה שוטפת"))</f>
        <v>19-42-02-22</v>
      </c>
      <c r="AH242" s="13" t="str">
        <f>IF($C242="","",IFERROR(VLOOKUP($C242,גיליון1!$A:$E,5,0),"לא הגיש בקשה שוטפת"))</f>
        <v>ספרות</v>
      </c>
      <c r="AI242" s="13">
        <f t="shared" si="15"/>
        <v>0</v>
      </c>
      <c r="AJ242"/>
      <c r="AK242" t="s">
        <v>250</v>
      </c>
    </row>
    <row r="243" spans="1:37" ht="29.25" x14ac:dyDescent="0.25">
      <c r="A243" s="54">
        <f>'הזנה לתנאי סף'!B243</f>
        <v>213</v>
      </c>
      <c r="B243" s="266">
        <f>IF($F243="","",'הזנה לתנאי סף'!C243)</f>
        <v>1001348413</v>
      </c>
      <c r="C243" s="266">
        <f>IF($F243="","",'הזנה לתנאי סף'!D243)</f>
        <v>1001275127</v>
      </c>
      <c r="D243" s="266">
        <f>IF($F243="","",'הזנה לתנאי סף'!E243)</f>
        <v>41375155</v>
      </c>
      <c r="E243" s="55">
        <f>IF($F243="","",'הזנה לתנאי סף'!F243)</f>
        <v>20000159</v>
      </c>
      <c r="F243" s="55" t="str">
        <f>IF('הזנה לתנאי סף'!BL243=1,'הזנה לתנאי סף'!G243,"")</f>
        <v>ירושלים</v>
      </c>
      <c r="G243" s="55" t="str">
        <f>IF($F243="","",'הזנה לתנאי סף'!H243)</f>
        <v>כביש אחד (ע"ר)</v>
      </c>
      <c r="H243" s="55" t="str">
        <f>IF($F243="","",'הזנה לתנאי סף'!I243)</f>
        <v>אחר</v>
      </c>
      <c r="I243" s="187">
        <f>IF($F243="","",'הזנה לתנאי סף'!R243)</f>
        <v>39910</v>
      </c>
      <c r="J243" s="187">
        <f>IF($F243="","",'תחום תמיכה א'!P243)</f>
        <v>94426</v>
      </c>
      <c r="K243" s="177">
        <f>IF($F243="","",'הזנה לתנאי סף'!N243)</f>
        <v>1</v>
      </c>
      <c r="L243" s="177">
        <f>IF($F243="","",'הזנה לתנאי סף'!O243)</f>
        <v>1</v>
      </c>
      <c r="M243" s="177">
        <f>IF($F243="","",'הזנה לתנאי סף'!Q243)</f>
        <v>1</v>
      </c>
      <c r="N243" s="187">
        <f>IF($F243="","",'תחום תמיכה א'!AE243)</f>
        <v>5161.7502703026321</v>
      </c>
      <c r="O243" s="178"/>
      <c r="P243" s="187">
        <f>IF($F243="","",'תחום תמיכה ב'!AC243)</f>
        <v>6802.2087996895825</v>
      </c>
      <c r="Q243" s="187">
        <f>IF($F243="","",IF('תחום תמיכה ג'!O243="",0,'תחום תמיכה ג'!O243))</f>
        <v>1175.8868179918052</v>
      </c>
      <c r="R243" s="187">
        <f t="shared" si="12"/>
        <v>203.96458625425385</v>
      </c>
      <c r="S243" s="187">
        <f>IF($F243="","",'תחום תמיכה ב'!AE243)</f>
        <v>7006.1733859438364</v>
      </c>
      <c r="T243" s="187">
        <f>IF($F243="","",IF(Q243='תחום תמיכה ג'!$Q$2,'תחום תמיכה ג'!$Q$2,IFERROR(SUMIF(N243:R243,"&gt;0"),'תחום תמיכה ג'!$Q$2)))</f>
        <v>13343.810474238275</v>
      </c>
      <c r="U243" s="187">
        <f>IF($F243="","",'הזנה לתנאי סף'!Y243)</f>
        <v>200000</v>
      </c>
      <c r="V243" s="269">
        <f>IF(F243="","",'הגבלה לסכום מבוקש '!AA243)</f>
        <v>14511.681065817264</v>
      </c>
      <c r="W243" s="187">
        <f t="shared" si="13"/>
        <v>3627.9202664543159</v>
      </c>
      <c r="X243" s="187">
        <f>IF(F243="","",'הזנה לתנאי סף'!Z243)</f>
        <v>200000</v>
      </c>
      <c r="Y243" s="237" t="str">
        <f>IFERROR(VLOOKUP(G243*1,#REF!,3,0),"")</f>
        <v/>
      </c>
      <c r="Z243" s="187" t="str">
        <f>IF(OR($F243="",Y243=""),"",IFERROR(IF(Y243&gt;V243,MIN(Y243,T243)-V243,0),'תחום תמיכה ג'!$Q$2))</f>
        <v/>
      </c>
      <c r="AA243" s="259"/>
      <c r="AB243" s="260" t="str">
        <f t="shared" si="14"/>
        <v/>
      </c>
      <c r="AC243" s="262"/>
      <c r="AD243" s="180"/>
      <c r="AE243" s="13" t="str">
        <f>IF($C243="","",IFERROR(VLOOKUP($C243,גיליון1!$A:$E,2,0),"לא הגיש בקשה שוטפת"))</f>
        <v>תמיכה בפסטיבל יוצאי התיבה</v>
      </c>
      <c r="AF243" s="13" t="str">
        <f>IF($C243="","",IFERROR(VLOOKUP($C243,גיליון1!$A:$E,3,0),"לא הגיש בקשה שוטפת"))</f>
        <v>טיוט</v>
      </c>
      <c r="AG243" s="13" t="str">
        <f>IF($C243="","",IFERROR(VLOOKUP($C243,גיליון1!$A:$E,4,0),"לא הגיש בקשה שוטפת"))</f>
        <v>19-42-02-26</v>
      </c>
      <c r="AH243" s="13" t="str">
        <f>IF($C243="","",IFERROR(VLOOKUP($C243,גיליון1!$A:$E,5,0),"לא הגיש בקשה שוטפת"))</f>
        <v>פסטיבלים לתרבות</v>
      </c>
      <c r="AI243" s="13">
        <f t="shared" si="15"/>
        <v>0</v>
      </c>
      <c r="AJ243"/>
      <c r="AK243" t="s">
        <v>250</v>
      </c>
    </row>
    <row r="244" spans="1:37" ht="57.75" x14ac:dyDescent="0.25">
      <c r="A244" s="54">
        <f>'הזנה לתנאי סף'!B244</f>
        <v>214</v>
      </c>
      <c r="B244" s="266">
        <f>IF($F244="","",'הזנה לתנאי סף'!C244)</f>
        <v>1001348578</v>
      </c>
      <c r="C244" s="266">
        <f>IF($F244="","",'הזנה לתנאי סף'!D244)</f>
        <v>1001274514</v>
      </c>
      <c r="D244" s="266">
        <f>IF($F244="","",'הזנה לתנאי סף'!E244)</f>
        <v>41375631</v>
      </c>
      <c r="E244" s="55">
        <f>IF($F244="","",'הזנה לתנאי סף'!F244)</f>
        <v>20000065</v>
      </c>
      <c r="F244" s="55" t="str">
        <f>IF('הזנה לתנאי סף'!BL244=1,'הזנה לתנאי סף'!G244,"")</f>
        <v>עספיא</v>
      </c>
      <c r="G244" s="55" t="str">
        <f>IF($F244="","",'הזנה לתנאי סף'!H244)</f>
        <v>לוגוס לתרבויות ומורשת עמים (ע"ר)</v>
      </c>
      <c r="H244" s="55" t="str">
        <f>IF($F244="","",'הזנה לתנאי סף'!I244)</f>
        <v>אחר</v>
      </c>
      <c r="I244" s="187">
        <f>IF($F244="","",'הזנה לתנאי סף'!R244)</f>
        <v>1206787</v>
      </c>
      <c r="J244" s="187">
        <f>IF($F244="","",'תחום תמיכה א'!P244)</f>
        <v>1153294</v>
      </c>
      <c r="K244" s="177">
        <f>IF($F244="","",'הזנה לתנאי סף'!N244)</f>
        <v>0</v>
      </c>
      <c r="L244" s="177">
        <f>IF($F244="","",'הזנה לתנאי סף'!O244)</f>
        <v>1</v>
      </c>
      <c r="M244" s="177">
        <f>IF($F244="","",'הזנה לתנאי סף'!Q244)</f>
        <v>1</v>
      </c>
      <c r="N244" s="187">
        <f>IF($F244="","",'תחום תמיכה א'!AE244)</f>
        <v>38990.577757973551</v>
      </c>
      <c r="O244" s="178"/>
      <c r="P244" s="187">
        <f>IF($F244="","",'תחום תמיכה ב'!AC244)</f>
        <v>75188.961735830657</v>
      </c>
      <c r="Q244" s="187">
        <f>IF($F244="","",IF('תחום תמיכה ג'!O244="",0,'תחום תמיכה ג'!O244))</f>
        <v>0</v>
      </c>
      <c r="R244" s="187">
        <f t="shared" si="12"/>
        <v>2254.5449460527452</v>
      </c>
      <c r="S244" s="187">
        <f>IF($F244="","",'תחום תמיכה ב'!AE244)</f>
        <v>77443.506681883402</v>
      </c>
      <c r="T244" s="187">
        <f>IF($F244="","",IF(Q244='תחום תמיכה ג'!$Q$2,'תחום תמיכה ג'!$Q$2,IFERROR(SUMIF(N244:R244,"&gt;0"),'תחום תמיכה ג'!$Q$2)))</f>
        <v>116434.08443985696</v>
      </c>
      <c r="U244" s="187">
        <f>IF($F244="","",'הזנה לתנאי סף'!Y244)</f>
        <v>1086108</v>
      </c>
      <c r="V244" s="269">
        <f>IF(F244="","",'הגבלה לסכום מבוקש '!AA244)</f>
        <v>129329.126345875</v>
      </c>
      <c r="W244" s="187">
        <f t="shared" si="13"/>
        <v>32332.281586468751</v>
      </c>
      <c r="X244" s="187">
        <f>IF(F244="","",'הזנה לתנאי סף'!Z244)</f>
        <v>1086108</v>
      </c>
      <c r="Y244" s="237" t="str">
        <f>IFERROR(VLOOKUP(G244*1,#REF!,3,0),"")</f>
        <v/>
      </c>
      <c r="Z244" s="187" t="str">
        <f>IF(OR($F244="",Y244=""),"",IFERROR(IF(Y244&gt;V244,MIN(Y244,T244)-V244,0),'תחום תמיכה ג'!$Q$2))</f>
        <v/>
      </c>
      <c r="AA244" s="259"/>
      <c r="AB244" s="260" t="str">
        <f t="shared" si="14"/>
        <v/>
      </c>
      <c r="AC244" s="262"/>
      <c r="AD244" s="180"/>
      <c r="AE244" s="13" t="str">
        <f>IF($C244="","",IFERROR(VLOOKUP($C244,גיליון1!$A:$E,2,0),"לא הגיש בקשה שוטפת"))</f>
        <v>תמיכה שוטפת לוגוס 2020</v>
      </c>
      <c r="AF244" s="13" t="str">
        <f>IF($C244="","",IFERROR(VLOOKUP($C244,גיליון1!$A:$E,3,0),"לא הגיש בקשה שוטפת"))</f>
        <v>מועד</v>
      </c>
      <c r="AG244" s="13" t="str">
        <f>IF($C244="","",IFERROR(VLOOKUP($C244,גיליון1!$A:$E,4,0),"לא הגיש בקשה שוטפת"))</f>
        <v>19-42-02-33</v>
      </c>
      <c r="AH244" s="13" t="str">
        <f>IF($C244="","",IFERROR(VLOOKUP($C244,גיליון1!$A:$E,5,0),"לא הגיש בקשה שוטפת"))</f>
        <v>תרבות ערבית ודרוזית</v>
      </c>
      <c r="AI244" s="13">
        <f t="shared" si="15"/>
        <v>0</v>
      </c>
      <c r="AJ244"/>
      <c r="AK244" t="s">
        <v>250</v>
      </c>
    </row>
    <row r="245" spans="1:37" ht="57.75" x14ac:dyDescent="0.25">
      <c r="A245" s="54">
        <f>'הזנה לתנאי סף'!B245</f>
        <v>215</v>
      </c>
      <c r="B245" s="266">
        <f>IF($F245="","",'הזנה לתנאי סף'!C245)</f>
        <v>1001349368</v>
      </c>
      <c r="C245" s="266">
        <f>IF($F245="","",'הזנה לתנאי סף'!D245)</f>
        <v>1001275002</v>
      </c>
      <c r="D245" s="266">
        <f>IF($F245="","",'הזנה לתנאי סף'!E245)</f>
        <v>41375631</v>
      </c>
      <c r="E245" s="55">
        <f>IF($F245="","",'הזנה לתנאי סף'!F245)</f>
        <v>20000065</v>
      </c>
      <c r="F245" s="55" t="str">
        <f>IF('הזנה לתנאי סף'!BL245=1,'הזנה לתנאי סף'!G245,"")</f>
        <v>עספיא</v>
      </c>
      <c r="G245" s="55" t="str">
        <f>IF($F245="","",'הזנה לתנאי סף'!H245)</f>
        <v>לוגוס לתרבויות ומורשת עמים (ע"ר)</v>
      </c>
      <c r="H245" s="55" t="str">
        <f>IF($F245="","",'הזנה לתנאי סף'!I245)</f>
        <v>אחר</v>
      </c>
      <c r="I245" s="187">
        <f>IF($F245="","",'הזנה לתנאי סף'!R245)</f>
        <v>310340</v>
      </c>
      <c r="J245" s="187">
        <f>IF($F245="","",'תחום תמיכה א'!P245)</f>
        <v>310340</v>
      </c>
      <c r="K245" s="177">
        <f>IF($F245="","",'הזנה לתנאי סף'!N245)</f>
        <v>0</v>
      </c>
      <c r="L245" s="177">
        <f>IF($F245="","",'הזנה לתנאי סף'!O245)</f>
        <v>1</v>
      </c>
      <c r="M245" s="177">
        <f>IF($F245="","",'הזנה לתנאי סף'!Q245)</f>
        <v>1</v>
      </c>
      <c r="N245" s="187">
        <f>IF($F245="","",'תחום תמיכה א'!AE245)</f>
        <v>11968.519400709654</v>
      </c>
      <c r="O245" s="178"/>
      <c r="P245" s="187">
        <f>IF($F245="","",'תחום תמיכה ב'!AC245)</f>
        <v>10581.522973399173</v>
      </c>
      <c r="Q245" s="187">
        <f>IF($F245="","",IF('תחום תמיכה ג'!O245="",0,'תחום תמיכה ג'!O245))</f>
        <v>0</v>
      </c>
      <c r="R245" s="187">
        <f t="shared" si="12"/>
        <v>317.28751921107505</v>
      </c>
      <c r="S245" s="187">
        <f>IF($F245="","",'תחום תמיכה ב'!AE245)</f>
        <v>10898.810492610248</v>
      </c>
      <c r="T245" s="187">
        <f>IF($F245="","",IF(Q245='תחום תמיכה ג'!$Q$2,'תחום תמיכה ג'!$Q$2,IFERROR(SUMIF(N245:R245,"&gt;0"),'תחום תמיכה ג'!$Q$2)))</f>
        <v>22867.329893319904</v>
      </c>
      <c r="U245" s="187">
        <f>IF($F245="","",'הזנה לתנאי סף'!Y245)</f>
        <v>495500</v>
      </c>
      <c r="V245" s="269">
        <f>IF(F245="","",'הגבלה לסכום מבוקש '!AA245)</f>
        <v>24685.031176474637</v>
      </c>
      <c r="W245" s="187">
        <f t="shared" si="13"/>
        <v>6171.2577941186591</v>
      </c>
      <c r="X245" s="187">
        <f>IF(F245="","",'הזנה לתנאי סף'!Z245)</f>
        <v>495500</v>
      </c>
      <c r="Y245" s="237" t="str">
        <f>IFERROR(VLOOKUP(G245*1,#REF!,3,0),"")</f>
        <v/>
      </c>
      <c r="Z245" s="187" t="str">
        <f>IF(OR($F245="",Y245=""),"",IFERROR(IF(Y245&gt;V245,MIN(Y245,T245)-V245,0),'תחום תמיכה ג'!$Q$2))</f>
        <v/>
      </c>
      <c r="AA245" s="259"/>
      <c r="AB245" s="260" t="str">
        <f t="shared" si="14"/>
        <v/>
      </c>
      <c r="AC245" s="262"/>
      <c r="AD245" s="180"/>
      <c r="AE245" s="13" t="str">
        <f>IF($C245="","",IFERROR(VLOOKUP($C245,גיליון1!$A:$E,2,0),"לא הגיש בקשה שוטפת"))</f>
        <v>תמיכה בפסטיבל המחולות לוגוס</v>
      </c>
      <c r="AF245" s="13" t="str">
        <f>IF($C245="","",IFERROR(VLOOKUP($C245,גיליון1!$A:$E,3,0),"לא הגיש בקשה שוטפת"))</f>
        <v>טיוט</v>
      </c>
      <c r="AG245" s="13" t="str">
        <f>IF($C245="","",IFERROR(VLOOKUP($C245,גיליון1!$A:$E,4,0),"לא הגיש בקשה שוטפת"))</f>
        <v>19-42-02-26</v>
      </c>
      <c r="AH245" s="13" t="str">
        <f>IF($C245="","",IFERROR(VLOOKUP($C245,גיליון1!$A:$E,5,0),"לא הגיש בקשה שוטפת"))</f>
        <v>פסטיבלים לתרבות</v>
      </c>
      <c r="AI245" s="13">
        <f t="shared" si="15"/>
        <v>0</v>
      </c>
      <c r="AJ245"/>
      <c r="AK245" t="s">
        <v>250</v>
      </c>
    </row>
    <row r="246" spans="1:37" ht="72" x14ac:dyDescent="0.25">
      <c r="A246" s="54">
        <f>'הזנה לתנאי סף'!B246</f>
        <v>216</v>
      </c>
      <c r="B246" s="266">
        <f>IF($F246="","",'הזנה לתנאי סף'!C246)</f>
        <v>1001350100</v>
      </c>
      <c r="C246" s="266">
        <f>IF($F246="","",'הזנה לתנאי סף'!D246)</f>
        <v>1001275329</v>
      </c>
      <c r="D246" s="266">
        <f>IF($F246="","",'הזנה לתנאי סף'!E246)</f>
        <v>41375690</v>
      </c>
      <c r="E246" s="55">
        <f>IF($F246="","",'הזנה לתנאי סף'!F246)</f>
        <v>20000201</v>
      </c>
      <c r="F246" s="55" t="str">
        <f>IF('הזנה לתנאי סף'!BL246=1,'הזנה לתנאי סף'!G246,"")</f>
        <v>תל אביב -יפו</v>
      </c>
      <c r="G246" s="55" t="str">
        <f>IF($F246="","",'הזנה לתנאי סף'!H246)</f>
        <v>העמותה ליצירה פנטסטית וספקולטיבית ב</v>
      </c>
      <c r="H246" s="55" t="str">
        <f>IF($F246="","",'הזנה לתנאי סף'!I246)</f>
        <v>ספרות</v>
      </c>
      <c r="I246" s="187">
        <f>IF($F246="","",'הזנה לתנאי סף'!R246)</f>
        <v>73427</v>
      </c>
      <c r="J246" s="187">
        <f>IF($F246="","",'תחום תמיכה א'!P246)</f>
        <v>73322</v>
      </c>
      <c r="K246" s="177">
        <f>IF($F246="","",'הזנה לתנאי סף'!N246)</f>
        <v>0</v>
      </c>
      <c r="L246" s="177">
        <f>IF($F246="","",'הזנה לתנאי סף'!O246)</f>
        <v>1</v>
      </c>
      <c r="M246" s="177">
        <f>IF($F246="","",'הזנה לתנאי סף'!Q246)</f>
        <v>1</v>
      </c>
      <c r="N246" s="187">
        <f>IF($F246="","",'תחום תמיכה א'!AE246)</f>
        <v>1515.3711699624528</v>
      </c>
      <c r="O246" s="178"/>
      <c r="P246" s="187">
        <f>IF($F246="","",'תחום תמיכה ב'!AC246)</f>
        <v>1788.8859728301115</v>
      </c>
      <c r="Q246" s="187">
        <f>IF($F246="","",IF('תחום תמיכה ג'!O246="",0,'תחום תמיכה ג'!O246))</f>
        <v>0</v>
      </c>
      <c r="R246" s="187">
        <f t="shared" si="12"/>
        <v>53.639839359383359</v>
      </c>
      <c r="S246" s="187">
        <f>IF($F246="","",'תחום תמיכה ב'!AE246)</f>
        <v>1842.5258121894949</v>
      </c>
      <c r="T246" s="187">
        <f>IF($F246="","",IF(Q246='תחום תמיכה ג'!$Q$2,'תחום תמיכה ג'!$Q$2,IFERROR(SUMIF(N246:R246,"&gt;0"),'תחום תמיכה ג'!$Q$2)))</f>
        <v>3357.8969821519477</v>
      </c>
      <c r="U246" s="187">
        <f>IF($F246="","",'הזנה לתנאי סף'!Y246)</f>
        <v>20000</v>
      </c>
      <c r="V246" s="269">
        <f>IF(F246="","",'הגבלה לסכום מבוקש '!AA246)</f>
        <v>3664.9617386315713</v>
      </c>
      <c r="W246" s="187">
        <f t="shared" si="13"/>
        <v>916.24043465789282</v>
      </c>
      <c r="X246" s="187">
        <f>IF(F246="","",'הזנה לתנאי סף'!Z246)</f>
        <v>3000</v>
      </c>
      <c r="Y246" s="237" t="str">
        <f>IFERROR(VLOOKUP(G246*1,#REF!,3,0),"")</f>
        <v/>
      </c>
      <c r="Z246" s="187" t="str">
        <f>IF(OR($F246="",Y246=""),"",IFERROR(IF(Y246&gt;V246,MIN(Y246,T246)-V246,0),'תחום תמיכה ג'!$Q$2))</f>
        <v/>
      </c>
      <c r="AA246" s="259"/>
      <c r="AB246" s="260" t="str">
        <f t="shared" si="14"/>
        <v/>
      </c>
      <c r="AC246" s="262"/>
      <c r="AD246" s="180"/>
      <c r="AE246" s="13" t="str">
        <f>IF($C246="","",IFERROR(VLOOKUP($C246,גיליון1!$A:$E,2,0),"לא הגיש בקשה שוטפת"))</f>
        <v>אירועי ספרות אוטופיה</v>
      </c>
      <c r="AF246" s="13" t="str">
        <f>IF($C246="","",IFERROR(VLOOKUP($C246,גיליון1!$A:$E,3,0),"לא הגיש בקשה שוטפת"))</f>
        <v>מועד</v>
      </c>
      <c r="AG246" s="13" t="str">
        <f>IF($C246="","",IFERROR(VLOOKUP($C246,גיליון1!$A:$E,4,0),"לא הגיש בקשה שוטפת"))</f>
        <v>19-42-02-22</v>
      </c>
      <c r="AH246" s="13" t="str">
        <f>IF($C246="","",IFERROR(VLOOKUP($C246,גיליון1!$A:$E,5,0),"לא הגיש בקשה שוטפת"))</f>
        <v>ספרות</v>
      </c>
      <c r="AI246" s="13">
        <f t="shared" si="15"/>
        <v>0</v>
      </c>
      <c r="AJ246"/>
      <c r="AK246" t="s">
        <v>250</v>
      </c>
    </row>
    <row r="247" spans="1:37" ht="72" x14ac:dyDescent="0.25">
      <c r="A247" s="54">
        <f>'הזנה לתנאי סף'!B247</f>
        <v>217</v>
      </c>
      <c r="B247" s="266">
        <f>IF($F247="","",'הזנה לתנאי סף'!C247)</f>
        <v>1001350112</v>
      </c>
      <c r="C247" s="266">
        <f>IF($F247="","",'הזנה לתנאי סף'!D247)</f>
        <v>1001277938</v>
      </c>
      <c r="D247" s="266">
        <f>IF($F247="","",'הזנה לתנאי סף'!E247)</f>
        <v>41375690</v>
      </c>
      <c r="E247" s="55">
        <f>IF($F247="","",'הזנה לתנאי סף'!F247)</f>
        <v>20000201</v>
      </c>
      <c r="F247" s="55" t="str">
        <f>IF('הזנה לתנאי סף'!BL247=1,'הזנה לתנאי סף'!G247,"")</f>
        <v>תל אביב -יפו</v>
      </c>
      <c r="G247" s="55" t="str">
        <f>IF($F247="","",'הזנה לתנאי סף'!H247)</f>
        <v>העמותה ליצירה פנטסטית וספקולטיבית ב</v>
      </c>
      <c r="H247" s="55" t="str">
        <f>IF($F247="","",'הזנה לתנאי סף'!I247)</f>
        <v>סינמטקים ופסטיבלים</v>
      </c>
      <c r="I247" s="187">
        <f>IF($F247="","",'הזנה לתנאי סף'!R247)</f>
        <v>411584</v>
      </c>
      <c r="J247" s="187">
        <f>IF($F247="","",'תחום תמיכה א'!P247)</f>
        <v>402816</v>
      </c>
      <c r="K247" s="177">
        <f>IF($F247="","",'הזנה לתנאי סף'!N247)</f>
        <v>0</v>
      </c>
      <c r="L247" s="177">
        <f>IF($F247="","",'הזנה לתנאי סף'!O247)</f>
        <v>1</v>
      </c>
      <c r="M247" s="177">
        <f>IF($F247="","",'הזנה לתנאי סף'!Q247)</f>
        <v>1</v>
      </c>
      <c r="N247" s="187">
        <f>IF($F247="","",'תחום תמיכה א'!AE247)</f>
        <v>15041.038074108033</v>
      </c>
      <c r="O247" s="178"/>
      <c r="P247" s="187">
        <f>IF($F247="","",'תחום תמיכה ב'!AC247)</f>
        <v>32730.912869580294</v>
      </c>
      <c r="Q247" s="187">
        <f>IF($F247="","",IF('תחום תמיכה ג'!O247="",0,'תחום תמיכה ג'!O247))</f>
        <v>0</v>
      </c>
      <c r="R247" s="187">
        <f t="shared" si="12"/>
        <v>981.43813248905644</v>
      </c>
      <c r="S247" s="187">
        <f>IF($F247="","",'תחום תמיכה ב'!AE247)</f>
        <v>33712.35100206935</v>
      </c>
      <c r="T247" s="187">
        <f>IF($F247="","",IF(Q247='תחום תמיכה ג'!$Q$2,'תחום תמיכה ג'!$Q$2,IFERROR(SUMIF(N247:R247,"&gt;0"),'תחום תמיכה ג'!$Q$2)))</f>
        <v>48753.38907617738</v>
      </c>
      <c r="U247" s="187">
        <f>IF($F247="","",'הזנה לתנאי סף'!Y247)</f>
        <v>120000</v>
      </c>
      <c r="V247" s="269">
        <f>IF(F247="","",'הגבלה לסכום מבוקש '!AA247)</f>
        <v>54365.919623241884</v>
      </c>
      <c r="W247" s="187">
        <f t="shared" si="13"/>
        <v>13591.479905810471</v>
      </c>
      <c r="X247" s="187">
        <f>IF(F247="","",'הזנה לתנאי סף'!Z247)</f>
        <v>30000</v>
      </c>
      <c r="Y247" s="237" t="str">
        <f>IFERROR(VLOOKUP(G247*1,#REF!,3,0),"")</f>
        <v/>
      </c>
      <c r="Z247" s="187" t="str">
        <f>IF(OR($F247="",Y247=""),"",IFERROR(IF(Y247&gt;V247,MIN(Y247,T247)-V247,0),'תחום תמיכה ג'!$Q$2))</f>
        <v/>
      </c>
      <c r="AA247" s="259"/>
      <c r="AB247" s="260" t="str">
        <f t="shared" si="14"/>
        <v/>
      </c>
      <c r="AC247" s="262"/>
      <c r="AD247" s="180"/>
      <c r="AE247" s="13" t="str">
        <f>IF($C247="","",IFERROR(VLOOKUP($C247,גיליון1!$A:$E,2,0),"לא הגיש בקשה שוטפת"))</f>
        <v>פסטיבל לסרטי מדע בדיוני ואימה - אוטופיה</v>
      </c>
      <c r="AF247" s="13" t="str">
        <f>IF($C247="","",IFERROR(VLOOKUP($C247,גיליון1!$A:$E,3,0),"לא הגיש בקשה שוטפת"))</f>
        <v>מועד</v>
      </c>
      <c r="AG247" s="13" t="str">
        <f>IF($C247="","",IFERROR(VLOOKUP($C247,גיליון1!$A:$E,4,0),"לא הגיש בקשה שוטפת"))</f>
        <v>19-42-02-28</v>
      </c>
      <c r="AH247" s="13" t="str">
        <f>IF($C247="","",IFERROR(VLOOKUP($C247,גיליון1!$A:$E,5,0),"לא הגיש בקשה שוטפת"))</f>
        <v>חוק  הקולנוע</v>
      </c>
      <c r="AI247" s="13">
        <f t="shared" si="15"/>
        <v>0</v>
      </c>
      <c r="AJ247"/>
      <c r="AK247" t="s">
        <v>250</v>
      </c>
    </row>
    <row r="248" spans="1:37" ht="57.75" x14ac:dyDescent="0.25">
      <c r="A248" s="54">
        <f>'הזנה לתנאי סף'!B248</f>
        <v>218</v>
      </c>
      <c r="B248" s="266">
        <f>IF($F248="","",'הזנה לתנאי סף'!C248)</f>
        <v>1001350278</v>
      </c>
      <c r="C248" s="266">
        <f>IF($F248="","",'הזנה לתנאי סף'!D248)</f>
        <v>1001295236</v>
      </c>
      <c r="D248" s="266">
        <f>IF($F248="","",'הזנה לתנאי סף'!E248)</f>
        <v>41375765</v>
      </c>
      <c r="E248" s="55">
        <f>IF($F248="","",'הזנה לתנאי סף'!F248)</f>
        <v>20000159</v>
      </c>
      <c r="F248" s="55" t="str">
        <f>IF('הזנה לתנאי סף'!BL248=1,'הזנה לתנאי סף'!G248,"")</f>
        <v>ירושלים</v>
      </c>
      <c r="G248" s="55" t="str">
        <f>IF($F248="","",'הזנה לתנאי סף'!H248)</f>
        <v>התיאטרון החברתי משו משו (ע"ר)</v>
      </c>
      <c r="H248" s="55" t="str">
        <f>IF($F248="","",'הזנה לתנאי סף'!I248)</f>
        <v>אחר</v>
      </c>
      <c r="I248" s="187">
        <f>IF($F248="","",'הזנה לתנאי סף'!R248)</f>
        <v>42000</v>
      </c>
      <c r="J248" s="187">
        <f>IF($F248="","",'תחום תמיכה א'!P248)</f>
        <v>72500</v>
      </c>
      <c r="K248" s="177">
        <f>IF($F248="","",'הזנה לתנאי סף'!N248)</f>
        <v>0</v>
      </c>
      <c r="L248" s="177">
        <f>IF($F248="","",'הזנה לתנאי סף'!O248)</f>
        <v>1</v>
      </c>
      <c r="M248" s="177">
        <f>IF($F248="","",'הזנה לתנאי סף'!Q248)</f>
        <v>1</v>
      </c>
      <c r="N248" s="187">
        <f>IF($F248="","",'תחום תמיכה א'!AE248)</f>
        <v>2736.4789417642451</v>
      </c>
      <c r="O248" s="178"/>
      <c r="P248" s="187">
        <f>IF($F248="","",'תחום תמיכה ב'!AC248)</f>
        <v>3412.8322061178956</v>
      </c>
      <c r="Q248" s="187">
        <f>IF($F248="","",IF('תחום תמיכה ג'!O248="",0,'תחום תמיכה ג'!O248))</f>
        <v>0</v>
      </c>
      <c r="R248" s="187">
        <f t="shared" si="12"/>
        <v>102.33395201096982</v>
      </c>
      <c r="S248" s="187">
        <f>IF($F248="","",'תחום תמיכה ב'!AE248)</f>
        <v>3515.1661581288654</v>
      </c>
      <c r="T248" s="187">
        <f>IF($F248="","",IF(Q248='תחום תמיכה ג'!$Q$2,'תחום תמיכה ג'!$Q$2,IFERROR(SUMIF(N248:R248,"&gt;0"),'תחום תמיכה ג'!$Q$2)))</f>
        <v>6251.6450998931105</v>
      </c>
      <c r="U248" s="187">
        <f>IF($F248="","",'הזנה לתנאי סף'!Y248)</f>
        <v>100000</v>
      </c>
      <c r="V248" s="269">
        <f>IF(F248="","",'הגבלה לסכום מבוקש '!AA248)</f>
        <v>6837.3921107292808</v>
      </c>
      <c r="W248" s="187">
        <f t="shared" si="13"/>
        <v>1709.3480276823202</v>
      </c>
      <c r="X248" s="187">
        <f>IF(F248="","",'הזנה לתנאי סף'!Z248)</f>
        <v>100000</v>
      </c>
      <c r="Y248" s="237" t="str">
        <f>IFERROR(VLOOKUP(G248*1,#REF!,3,0),"")</f>
        <v/>
      </c>
      <c r="Z248" s="187" t="str">
        <f>IF(OR($F248="",Y248=""),"",IFERROR(IF(Y248&gt;V248,MIN(Y248,T248)-V248,0),'תחום תמיכה ג'!$Q$2))</f>
        <v/>
      </c>
      <c r="AA248" s="259"/>
      <c r="AB248" s="260" t="str">
        <f t="shared" si="14"/>
        <v/>
      </c>
      <c r="AC248" s="262"/>
      <c r="AD248" s="180"/>
      <c r="AE248" s="13" t="str">
        <f>IF($C248="","",IFERROR(VLOOKUP($C248,גיליון1!$A:$E,2,0),"לא הגיש בקשה שוטפת"))</f>
        <v>תיאטרון גיל שלישי</v>
      </c>
      <c r="AF248" s="13" t="str">
        <f>IF($C248="","",IFERROR(VLOOKUP($C248,גיליון1!$A:$E,3,0),"לא הגיש בקשה שוטפת"))</f>
        <v>טיוט</v>
      </c>
      <c r="AG248" s="13" t="str">
        <f>IF($C248="","",IFERROR(VLOOKUP($C248,גיליון1!$A:$E,4,0),"לא הגיש בקשה שוטפת"))</f>
        <v>19-42-02-31</v>
      </c>
      <c r="AH248" s="13" t="str">
        <f>IF($C248="","",IFERROR(VLOOKUP($C248,גיליון1!$A:$E,5,0),"לא הגיש בקשה שוטפת"))</f>
        <v>תרבות בקהילה תמיכה</v>
      </c>
      <c r="AI248" s="13">
        <f t="shared" si="15"/>
        <v>0</v>
      </c>
      <c r="AJ248"/>
      <c r="AK248" t="s">
        <v>250</v>
      </c>
    </row>
    <row r="249" spans="1:37" ht="29.25" x14ac:dyDescent="0.25">
      <c r="A249" s="54">
        <f>'הזנה לתנאי סף'!B249</f>
        <v>219</v>
      </c>
      <c r="B249" s="266">
        <f>IF($F249="","",'הזנה לתנאי סף'!C249)</f>
        <v>1001347067</v>
      </c>
      <c r="C249" s="266">
        <f>IF($F249="","",'הזנה לתנאי סף'!D249)</f>
        <v>1001347067</v>
      </c>
      <c r="D249" s="266">
        <f>IF($F249="","",'הזנה לתנאי סף'!E249)</f>
        <v>41446343</v>
      </c>
      <c r="E249" s="55">
        <f>IF($F249="","",'הזנה לתנאי סף'!F249)</f>
        <v>20000253</v>
      </c>
      <c r="F249" s="55" t="str">
        <f>IF('הזנה לתנאי סף'!BL249=1,'הזנה לתנאי סף'!G249,"")</f>
        <v>טמרה</v>
      </c>
      <c r="G249" s="55" t="str">
        <f>IF($F249="","",'הזנה לתנאי סף'!H249)</f>
        <v>תיאטרון אלעין (ע"ר)</v>
      </c>
      <c r="H249" s="55" t="str">
        <f>IF($F249="","",'הזנה לתנאי סף'!I249)</f>
        <v>תיאטרון</v>
      </c>
      <c r="I249" s="187">
        <f>IF($F249="","",'הזנה לתנאי סף'!R249)</f>
        <v>658631</v>
      </c>
      <c r="J249" s="187">
        <f>IF($F249="","",'תחום תמיכה א'!P249)</f>
        <v>597869</v>
      </c>
      <c r="K249" s="177">
        <f>IF($F249="","",'הזנה לתנאי סף'!N249)</f>
        <v>0</v>
      </c>
      <c r="L249" s="177">
        <f>IF($F249="","",'הזנה לתנאי סף'!O249)</f>
        <v>1</v>
      </c>
      <c r="M249" s="177">
        <f>IF($F249="","",'הזנה לתנאי סף'!Q249)</f>
        <v>1</v>
      </c>
      <c r="N249" s="187">
        <f>IF($F249="","",'תחום תמיכה א'!AE249)</f>
        <v>32682.211174417684</v>
      </c>
      <c r="O249" s="178"/>
      <c r="P249" s="187">
        <f>IF($F249="","",'תחום תמיכה ב'!AC249)</f>
        <v>112256.21608489976</v>
      </c>
      <c r="Q249" s="187">
        <f>IF($F249="","",IF('תחום תמיכה ג'!O249="",0,'תחום תמיכה ג'!O249))</f>
        <v>0</v>
      </c>
      <c r="R249" s="187">
        <f t="shared" si="12"/>
        <v>3366.008504365469</v>
      </c>
      <c r="S249" s="187">
        <f>IF($F249="","",'תחום תמיכה ב'!AE249)</f>
        <v>115622.22458926523</v>
      </c>
      <c r="T249" s="187">
        <f>IF($F249="","",IF(Q249='תחום תמיכה ג'!$Q$2,'תחום תמיכה ג'!$Q$2,IFERROR(SUMIF(N249:R249,"&gt;0"),'תחום תמיכה ג'!$Q$2)))</f>
        <v>148304.43576368294</v>
      </c>
      <c r="U249" s="187">
        <f>IF($F249="","",'הזנה לתנאי סף'!Y249)</f>
        <v>500000</v>
      </c>
      <c r="V249" s="269">
        <f>IF(F249="","",'הגבלה לסכום מבוקש '!AA249)</f>
        <v>167544.95372998249</v>
      </c>
      <c r="W249" s="187">
        <f t="shared" si="13"/>
        <v>41886.238432495622</v>
      </c>
      <c r="X249" s="187">
        <f>IF(F249="","",'הזנה לתנאי סף'!Z249)</f>
        <v>25000</v>
      </c>
      <c r="Y249" s="237" t="str">
        <f>IFERROR(VLOOKUP(G249*1,#REF!,3,0),"")</f>
        <v/>
      </c>
      <c r="Z249" s="187" t="str">
        <f>IF(OR($F249="",Y249=""),"",IFERROR(IF(Y249&gt;V249,MIN(Y249,T249)-V249,0),'תחום תמיכה ג'!$Q$2))</f>
        <v/>
      </c>
      <c r="AA249" s="259"/>
      <c r="AB249" s="260" t="str">
        <f t="shared" si="14"/>
        <v/>
      </c>
      <c r="AC249" s="262"/>
      <c r="AD249" s="180"/>
      <c r="AE249" s="13" t="str">
        <f>IF($C249="","",IFERROR(VLOOKUP($C249,גיליון1!$A:$E,2,0),"לא הגיש בקשה שוטפת"))</f>
        <v>תמיכה בשל הקורונה</v>
      </c>
      <c r="AF249" s="13" t="str">
        <f>IF($C249="","",IFERROR(VLOOKUP($C249,גיליון1!$A:$E,3,0),"לא הגיש בקשה שוטפת"))</f>
        <v>טיוט</v>
      </c>
      <c r="AG249" s="13" t="str">
        <f>IF($C249="","",IFERROR(VLOOKUP($C249,גיליון1!$A:$E,4,0),"לא הגיש בקשה שוטפת"))</f>
        <v>19-42-02-74</v>
      </c>
      <c r="AH249" s="13" t="str">
        <f>IF($C249="","",IFERROR(VLOOKUP($C249,גיליון1!$A:$E,5,0),"לא הגיש בקשה שוטפת"))</f>
        <v>סיוע למוסדות בגין</v>
      </c>
      <c r="AI249" s="13">
        <f t="shared" si="15"/>
        <v>0</v>
      </c>
      <c r="AJ249"/>
      <c r="AK249" t="s">
        <v>250</v>
      </c>
    </row>
    <row r="250" spans="1:37" ht="57.75" x14ac:dyDescent="0.25">
      <c r="A250" s="54">
        <f>'הזנה לתנאי סף'!B250</f>
        <v>220</v>
      </c>
      <c r="B250" s="266">
        <f>IF($F250="","",'הזנה לתנאי סף'!C250)</f>
        <v>1001346668</v>
      </c>
      <c r="C250" s="266">
        <f>IF($F250="","",'הזנה לתנאי סף'!D250)</f>
        <v>1001265550</v>
      </c>
      <c r="D250" s="266">
        <f>IF($F250="","",'הזנה לתנאי סף'!E250)</f>
        <v>41457607</v>
      </c>
      <c r="E250" s="55">
        <f>IF($F250="","",'הזנה לתנאי סף'!F250)</f>
        <v>20000201</v>
      </c>
      <c r="F250" s="55" t="str">
        <f>IF('הזנה לתנאי סף'!BL250=1,'הזנה לתנאי סף'!G250,"")</f>
        <v>תל אביב -יפו</v>
      </c>
      <c r="G250" s="55" t="str">
        <f>IF($F250="","",'הזנה לתנאי סף'!H250)</f>
        <v>להקת המחול פרסקו (ע"ר)</v>
      </c>
      <c r="H250" s="55" t="str">
        <f>IF($F250="","",'הזנה לתנאי סף'!I250)</f>
        <v>מחול</v>
      </c>
      <c r="I250" s="187">
        <f>IF($F250="","",'הזנה לתנאי סף'!R250)</f>
        <v>2833923</v>
      </c>
      <c r="J250" s="187">
        <f>IF($F250="","",'תחום תמיכה א'!P250)</f>
        <v>2952706</v>
      </c>
      <c r="K250" s="177">
        <f>IF($F250="","",'הזנה לתנאי סף'!N250)</f>
        <v>1</v>
      </c>
      <c r="L250" s="177">
        <f>IF($F250="","",'הזנה לתנאי סף'!O250)</f>
        <v>1</v>
      </c>
      <c r="M250" s="177">
        <f>IF($F250="","",'הזנה לתנאי סף'!Q250)</f>
        <v>1</v>
      </c>
      <c r="N250" s="187">
        <f>IF($F250="","",'תחום תמיכה א'!AE250)</f>
        <v>77949.920980679803</v>
      </c>
      <c r="O250" s="178"/>
      <c r="P250" s="187">
        <f>IF($F250="","",'תחום תמיכה ב'!AC250)</f>
        <v>112239.80213957028</v>
      </c>
      <c r="Q250" s="187">
        <f>IF($F250="","",IF('תחום תמיכה ג'!O250="",0,'תחום תמיכה ג'!O250))</f>
        <v>47066.949460049014</v>
      </c>
      <c r="R250" s="187">
        <f t="shared" si="12"/>
        <v>3365.5163313571829</v>
      </c>
      <c r="S250" s="187">
        <f>IF($F250="","",'תחום תמיכה ב'!AE250)</f>
        <v>115605.31847092746</v>
      </c>
      <c r="T250" s="187">
        <f>IF($F250="","",IF(Q250='תחום תמיכה ג'!$Q$2,'תחום תמיכה ג'!$Q$2,IFERROR(SUMIF(N250:R250,"&gt;0"),'תחום תמיכה ג'!$Q$2)))</f>
        <v>240622.1889116563</v>
      </c>
      <c r="U250" s="187">
        <f>IF($F250="","",'הזנה לתנאי סף'!Y250)</f>
        <v>2000000</v>
      </c>
      <c r="V250" s="269">
        <f>IF(F250="","",'הגבלה לסכום מבוקש '!AA250)</f>
        <v>259901.93814147255</v>
      </c>
      <c r="W250" s="187">
        <f t="shared" si="13"/>
        <v>64975.484535368138</v>
      </c>
      <c r="X250" s="187">
        <f>IF(F250="","",'הזנה לתנאי סף'!Z250)</f>
        <v>50000</v>
      </c>
      <c r="Y250" s="237" t="str">
        <f>IFERROR(VLOOKUP(G250*1,#REF!,3,0),"")</f>
        <v/>
      </c>
      <c r="Z250" s="187" t="str">
        <f>IF(OR($F250="",Y250=""),"",IFERROR(IF(Y250&gt;V250,MIN(Y250,T250)-V250,0),'תחום תמיכה ג'!$Q$2))</f>
        <v/>
      </c>
      <c r="AA250" s="259"/>
      <c r="AB250" s="260" t="str">
        <f t="shared" si="14"/>
        <v/>
      </c>
      <c r="AC250" s="262"/>
      <c r="AD250" s="180"/>
      <c r="AE250" s="13" t="str">
        <f>IF($C250="","",IFERROR(VLOOKUP($C250,גיליון1!$A:$E,2,0),"לא הגיש בקשה שוטפת"))</f>
        <v>תמיכה שוטפת לשנת 2020</v>
      </c>
      <c r="AF250" s="13" t="str">
        <f>IF($C250="","",IFERROR(VLOOKUP($C250,גיליון1!$A:$E,3,0),"לא הגיש בקשה שוטפת"))</f>
        <v>חויב</v>
      </c>
      <c r="AG250" s="13" t="str">
        <f>IF($C250="","",IFERROR(VLOOKUP($C250,גיליון1!$A:$E,4,0),"לא הגיש בקשה שוטפת"))</f>
        <v>19-42-02-20</v>
      </c>
      <c r="AH250" s="13" t="str">
        <f>IF($C250="","",IFERROR(VLOOKUP($C250,גיליון1!$A:$E,5,0),"לא הגיש בקשה שוטפת"))</f>
        <v>מחול וארגוני גג</v>
      </c>
      <c r="AI250" s="13">
        <f t="shared" si="15"/>
        <v>0</v>
      </c>
      <c r="AJ250"/>
      <c r="AK250" t="s">
        <v>250</v>
      </c>
    </row>
    <row r="251" spans="1:37" ht="57.75" x14ac:dyDescent="0.25">
      <c r="A251" s="54">
        <f>'הזנה לתנאי סף'!B251</f>
        <v>221</v>
      </c>
      <c r="B251" s="266">
        <f>IF($F251="","",'הזנה לתנאי סף'!C251)</f>
        <v>1001348185</v>
      </c>
      <c r="C251" s="266">
        <f>IF($F251="","",'הזנה לתנאי סף'!D251)</f>
        <v>1001265555</v>
      </c>
      <c r="D251" s="266">
        <f>IF($F251="","",'הזנה לתנאי סף'!E251)</f>
        <v>41457607</v>
      </c>
      <c r="E251" s="55">
        <f>IF($F251="","",'הזנה לתנאי סף'!F251)</f>
        <v>20000201</v>
      </c>
      <c r="F251" s="55" t="str">
        <f>IF('הזנה לתנאי סף'!BL251=1,'הזנה לתנאי סף'!G251,"")</f>
        <v>תל אביב -יפו</v>
      </c>
      <c r="G251" s="55" t="str">
        <f>IF($F251="","",'הזנה לתנאי סף'!H251)</f>
        <v>להקת המחול פרסקו (ע"ר)</v>
      </c>
      <c r="H251" s="55" t="str">
        <f>IF($F251="","",'הזנה לתנאי סף'!I251)</f>
        <v>מחול</v>
      </c>
      <c r="I251" s="187">
        <f>IF($F251="","",'הזנה לתנאי סף'!R251)</f>
        <v>93661</v>
      </c>
      <c r="J251" s="187">
        <f>IF($F251="","",'תחום תמיכה א'!P251)</f>
        <v>93661</v>
      </c>
      <c r="K251" s="177">
        <f>IF($F251="","",'הזנה לתנאי סף'!N251)</f>
        <v>1</v>
      </c>
      <c r="L251" s="177">
        <f>IF($F251="","",'הזנה לתנאי סף'!O251)</f>
        <v>1</v>
      </c>
      <c r="M251" s="177">
        <f>IF($F251="","",'הזנה לתנאי סף'!Q251)</f>
        <v>1</v>
      </c>
      <c r="N251" s="187">
        <f>IF($F251="","",'תחום תמיכה א'!AE251)</f>
        <v>5119.9319262365752</v>
      </c>
      <c r="O251" s="178"/>
      <c r="P251" s="187">
        <f>IF($F251="","",'תחום תמיכה ב'!AC251)</f>
        <v>15963.459744117414</v>
      </c>
      <c r="Q251" s="187">
        <f>IF($F251="","",IF('תחום תמיכה ג'!O251="",0,'תחום תמיכה ג'!O251))</f>
        <v>6694.1614174408051</v>
      </c>
      <c r="R251" s="187">
        <f t="shared" si="12"/>
        <v>478.66517447155456</v>
      </c>
      <c r="S251" s="187">
        <f>IF($F251="","",'תחום תמיכה ב'!AE251)</f>
        <v>16442.124918588968</v>
      </c>
      <c r="T251" s="187">
        <f>IF($F251="","",IF(Q251='תחום תמיכה ג'!$Q$2,'תחום תמיכה ג'!$Q$2,IFERROR(SUMIF(N251:R251,"&gt;0"),'תחום תמיכה ג'!$Q$2)))</f>
        <v>28256.218262266346</v>
      </c>
      <c r="U251" s="187">
        <f>IF($F251="","",'הזנה לתנאי סף'!Y251)</f>
        <v>300000</v>
      </c>
      <c r="V251" s="269">
        <f>IF(F251="","",'הגבלה לסכום מבוקש '!AA251)</f>
        <v>30995.590278027812</v>
      </c>
      <c r="W251" s="187">
        <f t="shared" si="13"/>
        <v>7748.897569506953</v>
      </c>
      <c r="X251" s="187">
        <f>IF(F251="","",'הזנה לתנאי סף'!Z251)</f>
        <v>100000</v>
      </c>
      <c r="Y251" s="237" t="str">
        <f>IFERROR(VLOOKUP(G251*1,#REF!,3,0),"")</f>
        <v/>
      </c>
      <c r="Z251" s="187" t="str">
        <f>IF(OR($F251="",Y251=""),"",IFERROR(IF(Y251&gt;V251,MIN(Y251,T251)-V251,0),'תחום תמיכה ג'!$Q$2))</f>
        <v/>
      </c>
      <c r="AA251" s="259"/>
      <c r="AB251" s="260" t="str">
        <f t="shared" si="14"/>
        <v/>
      </c>
      <c r="AC251" s="262"/>
      <c r="AD251" s="180"/>
      <c r="AE251" s="13" t="str">
        <f>IF($C251="","",IFERROR(VLOOKUP($C251,גיליון1!$A:$E,2,0),"לא הגיש בקשה שוטפת"))</f>
        <v>תמיכה למרכז מחול - תחנה מרכזית תל אביב</v>
      </c>
      <c r="AF251" s="13" t="str">
        <f>IF($C251="","",IFERROR(VLOOKUP($C251,גיליון1!$A:$E,3,0),"לא הגיש בקשה שוטפת"))</f>
        <v>חויב</v>
      </c>
      <c r="AG251" s="13" t="str">
        <f>IF($C251="","",IFERROR(VLOOKUP($C251,גיליון1!$A:$E,4,0),"לא הגיש בקשה שוטפת"))</f>
        <v>19-42-02-20</v>
      </c>
      <c r="AH251" s="13" t="str">
        <f>IF($C251="","",IFERROR(VLOOKUP($C251,גיליון1!$A:$E,5,0),"לא הגיש בקשה שוטפת"))</f>
        <v>מחול וארגוני גג</v>
      </c>
      <c r="AI251" s="13">
        <f t="shared" si="15"/>
        <v>0</v>
      </c>
      <c r="AJ251"/>
      <c r="AK251" t="s">
        <v>250</v>
      </c>
    </row>
    <row r="252" spans="1:37" ht="72" x14ac:dyDescent="0.25">
      <c r="A252" s="54">
        <f>'הזנה לתנאי סף'!B252</f>
        <v>222</v>
      </c>
      <c r="B252" s="266">
        <f>IF($F252="","",'הזנה לתנאי סף'!C252)</f>
        <v>1001350356</v>
      </c>
      <c r="C252" s="266">
        <f>IF($F252="","",'הזנה לתנאי סף'!D252)</f>
        <v>1001270272</v>
      </c>
      <c r="D252" s="266">
        <f>IF($F252="","",'הזנה לתנאי סף'!E252)</f>
        <v>41476422</v>
      </c>
      <c r="E252" s="55">
        <f>IF($F252="","",'הזנה לתנאי סף'!F252)</f>
        <v>20000147</v>
      </c>
      <c r="F252" s="55" t="str">
        <f>IF('הזנה לתנאי סף'!BL252=1,'הזנה לתנאי סף'!G252,"")</f>
        <v>אילת</v>
      </c>
      <c r="G252" s="55" t="str">
        <f>IF($F252="","",'הזנה לתנאי סף'!H252)</f>
        <v>אלעד - תיאטרון אילת והערבה (ע''ר)</v>
      </c>
      <c r="H252" s="55" t="str">
        <f>IF($F252="","",'הזנה לתנאי סף'!I252)</f>
        <v>תיאטרון</v>
      </c>
      <c r="I252" s="187">
        <f>IF($F252="","",'הזנה לתנאי סף'!R252)</f>
        <v>2630565</v>
      </c>
      <c r="J252" s="187">
        <f>IF($F252="","",'תחום תמיכה א'!P252)</f>
        <v>1898174</v>
      </c>
      <c r="K252" s="177">
        <f>IF($F252="","",'הזנה לתנאי סף'!N252)</f>
        <v>0</v>
      </c>
      <c r="L252" s="177">
        <f>IF($F252="","",'הזנה לתנאי סף'!O252)</f>
        <v>1</v>
      </c>
      <c r="M252" s="177">
        <f>IF($F252="","",'הזנה לתנאי סף'!Q252)</f>
        <v>1</v>
      </c>
      <c r="N252" s="187">
        <f>IF($F252="","",'תחום תמיכה א'!AE252)</f>
        <v>50315.774971822852</v>
      </c>
      <c r="O252" s="178"/>
      <c r="P252" s="187">
        <f>IF($F252="","",'תחום תמיכה ב'!AC252)</f>
        <v>105424.79551234542</v>
      </c>
      <c r="Q252" s="187">
        <f>IF($F252="","",IF('תחום תמיכה ג'!O252="",0,'תחום תמיכה ג'!O252))</f>
        <v>0</v>
      </c>
      <c r="R252" s="187">
        <f t="shared" si="12"/>
        <v>3161.1680015756283</v>
      </c>
      <c r="S252" s="187">
        <f>IF($F252="","",'תחום תמיכה ב'!AE252)</f>
        <v>108585.96351392104</v>
      </c>
      <c r="T252" s="187">
        <f>IF($F252="","",IF(Q252='תחום תמיכה ג'!$Q$2,'תחום תמיכה ג'!$Q$2,IFERROR(SUMIF(N252:R252,"&gt;0"),'תחום תמיכה ג'!$Q$2)))</f>
        <v>158901.7384857439</v>
      </c>
      <c r="U252" s="187">
        <f>IF($F252="","",'הזנה לתנאי סף'!Y252)</f>
        <v>2000000</v>
      </c>
      <c r="V252" s="269">
        <f>IF(F252="","",'הגבלה לסכום מבוקש '!AA252)</f>
        <v>176980.29760725447</v>
      </c>
      <c r="W252" s="187">
        <f t="shared" si="13"/>
        <v>44245.074401813617</v>
      </c>
      <c r="X252" s="187">
        <f>IF(F252="","",'הזנה לתנאי סף'!Z252)</f>
        <v>2000000</v>
      </c>
      <c r="Y252" s="237" t="str">
        <f>IFERROR(VLOOKUP(G252*1,#REF!,3,0),"")</f>
        <v/>
      </c>
      <c r="Z252" s="187" t="str">
        <f>IF(OR($F252="",Y252=""),"",IFERROR(IF(Y252&gt;V252,MIN(Y252,T252)-V252,0),'תחום תמיכה ג'!$Q$2))</f>
        <v/>
      </c>
      <c r="AA252" s="259"/>
      <c r="AB252" s="260" t="str">
        <f t="shared" si="14"/>
        <v/>
      </c>
      <c r="AC252" s="262"/>
      <c r="AD252" s="180"/>
      <c r="AE252" s="13" t="str">
        <f>IF($C252="","",IFERROR(VLOOKUP($C252,גיליון1!$A:$E,2,0),"לא הגיש בקשה שוטפת"))</f>
        <v>קבוצת אלעד - תיאטרון אילת והערבה</v>
      </c>
      <c r="AF252" s="13" t="str">
        <f>IF($C252="","",IFERROR(VLOOKUP($C252,גיליון1!$A:$E,3,0),"לא הגיש בקשה שוטפת"))</f>
        <v>מועד</v>
      </c>
      <c r="AG252" s="13" t="str">
        <f>IF($C252="","",IFERROR(VLOOKUP($C252,גיליון1!$A:$E,4,0),"לא הגיש בקשה שוטפת"))</f>
        <v>19-42-02-07</v>
      </c>
      <c r="AH252" s="13" t="str">
        <f>IF($C252="","",IFERROR(VLOOKUP($C252,גיליון1!$A:$E,5,0),"לא הגיש בקשה שוטפת"))</f>
        <v>תיאטרון</v>
      </c>
      <c r="AI252" s="13">
        <f t="shared" si="15"/>
        <v>0</v>
      </c>
      <c r="AJ252"/>
      <c r="AK252" t="s">
        <v>250</v>
      </c>
    </row>
    <row r="253" spans="1:37" ht="43.5" x14ac:dyDescent="0.25">
      <c r="A253" s="54">
        <f>'הזנה לתנאי סף'!B253</f>
        <v>223</v>
      </c>
      <c r="B253" s="266">
        <f>IF($F253="","",'הזנה לתנאי סף'!C253)</f>
        <v>1001350854</v>
      </c>
      <c r="C253" s="266">
        <f>IF($F253="","",'הזנה לתנאי סף'!D253)</f>
        <v>1001311678</v>
      </c>
      <c r="D253" s="266">
        <f>IF($F253="","",'הזנה לתנאי סף'!E253)</f>
        <v>41378459</v>
      </c>
      <c r="E253" s="55">
        <f>IF($F253="","",'הזנה לתנאי סף'!F253)</f>
        <v>20000201</v>
      </c>
      <c r="F253" s="55" t="str">
        <f>IF('הזנה לתנאי סף'!BL253=1,'הזנה לתנאי סף'!G253,"")</f>
        <v>תל אביב -יפו</v>
      </c>
      <c r="G253" s="55" t="str">
        <f>IF($F253="","",'הזנה לתנאי סף'!H253)</f>
        <v>עמותת תיאטרון גלבוע</v>
      </c>
      <c r="H253" s="55" t="str">
        <f>IF($F253="","",'הזנה לתנאי סף'!I253)</f>
        <v>אחר</v>
      </c>
      <c r="I253" s="187">
        <f>IF($F253="","",'הזנה לתנאי סף'!R253)</f>
        <v>383753</v>
      </c>
      <c r="J253" s="187">
        <f>IF($F253="","",'תחום תמיכה א'!P253)</f>
        <v>383753</v>
      </c>
      <c r="K253" s="177">
        <f>IF($F253="","",'הזנה לתנאי סף'!N253)</f>
        <v>1</v>
      </c>
      <c r="L253" s="177">
        <f>IF($F253="","",'הזנה לתנאי סף'!O253)</f>
        <v>1</v>
      </c>
      <c r="M253" s="177">
        <f>IF($F253="","",'הזנה לתנאי סף'!Q253)</f>
        <v>1</v>
      </c>
      <c r="N253" s="187">
        <f>IF($F253="","",'תחום תמיכה א'!AE253)</f>
        <v>10989.478169045491</v>
      </c>
      <c r="O253" s="178"/>
      <c r="P253" s="187">
        <f>IF($F253="","",'תחום תמיכה ב'!AC253)</f>
        <v>17949.807522712523</v>
      </c>
      <c r="Q253" s="187">
        <f>IF($F253="","",IF('תחום תמיכה ג'!O253="",0,'תחום תמיכה ג'!O253))</f>
        <v>7527.1219958010561</v>
      </c>
      <c r="R253" s="187">
        <f t="shared" si="12"/>
        <v>538.22591639360326</v>
      </c>
      <c r="S253" s="187">
        <f>IF($F253="","",'תחום תמיכה ב'!AE253)</f>
        <v>18488.033439106126</v>
      </c>
      <c r="T253" s="187">
        <f>IF($F253="","",IF(Q253='תחום תמיכה ג'!$Q$2,'תחום תמיכה ג'!$Q$2,IFERROR(SUMIF(N253:R253,"&gt;0"),'תחום תמיכה ג'!$Q$2)))</f>
        <v>37004.633603952672</v>
      </c>
      <c r="U253" s="187">
        <f>IF($F253="","",'הזנה לתנאי סף'!Y253)</f>
        <v>630000</v>
      </c>
      <c r="V253" s="269">
        <f>IF(F253="","",'הגבלה לסכום מבוקש '!AA253)</f>
        <v>40087.250645980348</v>
      </c>
      <c r="W253" s="187">
        <f t="shared" si="13"/>
        <v>10021.812661495087</v>
      </c>
      <c r="X253" s="187">
        <f>IF(F253="","",'הזנה לתנאי סף'!Z253)</f>
        <v>630000</v>
      </c>
      <c r="Y253" s="237" t="str">
        <f>IFERROR(VLOOKUP(G253*1,#REF!,3,0),"")</f>
        <v/>
      </c>
      <c r="Z253" s="187" t="str">
        <f>IF(OR($F253="",Y253=""),"",IFERROR(IF(Y253&gt;V253,MIN(Y253,T253)-V253,0),'תחום תמיכה ג'!$Q$2))</f>
        <v/>
      </c>
      <c r="AA253" s="259"/>
      <c r="AB253" s="260" t="str">
        <f t="shared" si="14"/>
        <v/>
      </c>
      <c r="AC253" s="262"/>
      <c r="AD253" s="180"/>
      <c r="AE253" s="13" t="str">
        <f>IF($C253="","",IFERROR(VLOOKUP($C253,גיליון1!$A:$E,2,0),"לא הגיש בקשה שוטפת"))</f>
        <v>מרכז פרינג'</v>
      </c>
      <c r="AF253" s="13" t="str">
        <f>IF($C253="","",IFERROR(VLOOKUP($C253,גיליון1!$A:$E,3,0),"לא הגיש בקשה שוטפת"))</f>
        <v>מועד</v>
      </c>
      <c r="AG253" s="13" t="str">
        <f>IF($C253="","",IFERROR(VLOOKUP($C253,גיליון1!$A:$E,4,0),"לא הגיש בקשה שוטפת"))</f>
        <v>19-42-02-07</v>
      </c>
      <c r="AH253" s="13" t="str">
        <f>IF($C253="","",IFERROR(VLOOKUP($C253,גיליון1!$A:$E,5,0),"לא הגיש בקשה שוטפת"))</f>
        <v>תיאטרון</v>
      </c>
      <c r="AI253" s="13">
        <f t="shared" si="15"/>
        <v>0</v>
      </c>
      <c r="AJ253"/>
      <c r="AK253" t="s">
        <v>250</v>
      </c>
    </row>
    <row r="254" spans="1:37" ht="43.5" x14ac:dyDescent="0.25">
      <c r="A254" s="54">
        <f>'הזנה לתנאי סף'!B254</f>
        <v>224</v>
      </c>
      <c r="B254" s="266">
        <f>IF($F254="","",'הזנה לתנאי סף'!C254)</f>
        <v>1001346584</v>
      </c>
      <c r="C254" s="266">
        <f>IF($F254="","",'הזנה לתנאי סף'!D254)</f>
        <v>1001215908</v>
      </c>
      <c r="D254" s="266">
        <f>IF($F254="","",'הזנה לתנאי סף'!E254)</f>
        <v>40235206</v>
      </c>
      <c r="E254" s="55">
        <f>IF($F254="","",'הזנה לתנאי סף'!F254)</f>
        <v>20000127</v>
      </c>
      <c r="F254" s="55" t="str">
        <f>IF('הזנה לתנאי סף'!BL254=1,'הזנה לתנאי סף'!G254,"")</f>
        <v>הגליל העליון</v>
      </c>
      <c r="G254" s="55" t="str">
        <f>IF($F254="","",'הזנה לתנאי סף'!H254)</f>
        <v>מוזיאון האדם הקדמון</v>
      </c>
      <c r="H254" s="55" t="str">
        <f>IF($F254="","",'הזנה לתנאי סף'!I254)</f>
        <v>מוזיאונים</v>
      </c>
      <c r="I254" s="187">
        <f>IF($F254="","",'הזנה לתנאי סף'!R254)</f>
        <v>335101</v>
      </c>
      <c r="J254" s="187">
        <f>IF($F254="","",'תחום תמיכה א'!P254)</f>
        <v>358945</v>
      </c>
      <c r="K254" s="177">
        <f>IF($F254="","",'הזנה לתנאי סף'!N254)</f>
        <v>0</v>
      </c>
      <c r="L254" s="177">
        <f>IF($F254="","",'הזנה לתנאי סף'!O254)</f>
        <v>1</v>
      </c>
      <c r="M254" s="177">
        <f>IF($F254="","",'הזנה לתנאי סף'!Q254)</f>
        <v>1</v>
      </c>
      <c r="N254" s="187">
        <f>IF($F254="","",'תחום תמיכה א'!AE254)</f>
        <v>9187.7295544792578</v>
      </c>
      <c r="O254" s="178"/>
      <c r="P254" s="187">
        <f>IF($F254="","",'תחום תמיכה ב'!AC254)</f>
        <v>12522.578188619491</v>
      </c>
      <c r="Q254" s="187">
        <f>IF($F254="","",IF('תחום תמיכה ג'!O254="",0,'תחום תמיכה ג'!O254))</f>
        <v>0</v>
      </c>
      <c r="R254" s="187">
        <f t="shared" si="12"/>
        <v>375.490161253927</v>
      </c>
      <c r="S254" s="187">
        <f>IF($F254="","",'תחום תמיכה ב'!AE254)</f>
        <v>12898.068349873418</v>
      </c>
      <c r="T254" s="187">
        <f>IF($F254="","",IF(Q254='תחום תמיכה ג'!$Q$2,'תחום תמיכה ג'!$Q$2,IFERROR(SUMIF(N254:R254,"&gt;0"),'תחום תמיכה ג'!$Q$2)))</f>
        <v>22085.797904352672</v>
      </c>
      <c r="U254" s="187">
        <f>IF($F254="","",'הזנה לתנאי סף'!Y254)</f>
        <v>60000</v>
      </c>
      <c r="V254" s="269">
        <f>IF(F254="","",'הגבלה לסכום מבוקש '!AA254)</f>
        <v>24234.669156792388</v>
      </c>
      <c r="W254" s="187">
        <f t="shared" si="13"/>
        <v>6058.667289198097</v>
      </c>
      <c r="X254" s="187">
        <f>IF(F254="","",'הזנה לתנאי סף'!Z254)</f>
        <v>60000</v>
      </c>
      <c r="Y254" s="237" t="str">
        <f>IFERROR(VLOOKUP(G254*1,#REF!,3,0),"")</f>
        <v/>
      </c>
      <c r="Z254" s="187" t="str">
        <f>IF(OR($F254="",Y254=""),"",IFERROR(IF(Y254&gt;V254,MIN(Y254,T254)-V254,0),'תחום תמיכה ג'!$Q$2))</f>
        <v/>
      </c>
      <c r="AA254" s="259"/>
      <c r="AB254" s="260" t="str">
        <f t="shared" si="14"/>
        <v/>
      </c>
      <c r="AC254" s="262"/>
      <c r="AD254" s="180"/>
      <c r="AE254" s="13" t="str">
        <f>IF($C254="","",IFERROR(VLOOKUP($C254,גיליון1!$A:$E,2,0),"לא הגיש בקשה שוטפת"))</f>
        <v>לא הגיש בקשה שוטפת</v>
      </c>
      <c r="AF254" s="13" t="str">
        <f>IF($C254="","",IFERROR(VLOOKUP($C254,גיליון1!$A:$E,3,0),"לא הגיש בקשה שוטפת"))</f>
        <v>לא הגיש בקשה שוטפת</v>
      </c>
      <c r="AG254" s="13" t="str">
        <f>IF($C254="","",IFERROR(VLOOKUP($C254,גיליון1!$A:$E,4,0),"לא הגיש בקשה שוטפת"))</f>
        <v>לא הגיש בקשה שוטפת</v>
      </c>
      <c r="AH254" s="13" t="str">
        <f>IF($C254="","",IFERROR(VLOOKUP($C254,גיליון1!$A:$E,5,0),"לא הגיש בקשה שוטפת"))</f>
        <v>לא הגיש בקשה שוטפת</v>
      </c>
      <c r="AI254" s="13">
        <f t="shared" si="15"/>
        <v>0</v>
      </c>
      <c r="AJ254"/>
      <c r="AK254" t="s">
        <v>250</v>
      </c>
    </row>
    <row r="255" spans="1:37" ht="57.75" x14ac:dyDescent="0.25">
      <c r="A255" s="54">
        <f>'הזנה לתנאי סף'!B255</f>
        <v>225</v>
      </c>
      <c r="B255" s="266">
        <f>IF($F255="","",'הזנה לתנאי סף'!C255)</f>
        <v>1001346661</v>
      </c>
      <c r="C255" s="266">
        <f>IF($F255="","",'הזנה לתנאי סף'!D255)</f>
        <v>1001263558</v>
      </c>
      <c r="D255" s="266">
        <f>IF($F255="","",'הזנה לתנאי סף'!E255)</f>
        <v>40000294</v>
      </c>
      <c r="E255" s="55">
        <f>IF($F255="","",'הזנה לתנאי סף'!F255)</f>
        <v>20000201</v>
      </c>
      <c r="F255" s="55" t="str">
        <f>IF('הזנה לתנאי סף'!BL255=1,'הזנה לתנאי סף'!G255,"")</f>
        <v>תל אביב -יפו</v>
      </c>
      <c r="G255" s="55" t="str">
        <f>IF($F255="","",'הזנה לתנאי סף'!H255)</f>
        <v>התזמורת הפילהרמונית הישראלית</v>
      </c>
      <c r="H255" s="55" t="str">
        <f>IF($F255="","",'הזנה לתנאי סף'!I255)</f>
        <v>מוסיקה-גופים כליים</v>
      </c>
      <c r="I255" s="187">
        <f>IF($F255="","",'הזנה לתנאי סף'!R255)</f>
        <v>69574000</v>
      </c>
      <c r="J255" s="187">
        <f>IF($F255="","",'תחום תמיכה א'!P255)</f>
        <v>69279000</v>
      </c>
      <c r="K255" s="177">
        <f>IF($F255="","",'הזנה לתנאי סף'!N255)</f>
        <v>0</v>
      </c>
      <c r="L255" s="177">
        <f>IF($F255="","",'הזנה לתנאי סף'!O255)</f>
        <v>1</v>
      </c>
      <c r="M255" s="177">
        <f>IF($F255="","",'הזנה לתנאי סף'!Q255)</f>
        <v>1</v>
      </c>
      <c r="N255" s="187">
        <f>IF($F255="","",'תחום תמיכה א'!AE255)</f>
        <v>3219913.0985113163</v>
      </c>
      <c r="O255" s="178"/>
      <c r="P255" s="187">
        <f>IF($F255="","",'תחום תמיכה ב'!AC255)</f>
        <v>8572144.6756838877</v>
      </c>
      <c r="Q255" s="187">
        <f>IF($F255="","",IF('תחום תמיכה ג'!O255="",0,'תחום תמיכה ג'!O255))</f>
        <v>0</v>
      </c>
      <c r="R255" s="187">
        <f t="shared" si="12"/>
        <v>257036.20596992783</v>
      </c>
      <c r="S255" s="187">
        <f>IF($F255="","",'תחום תמיכה ב'!AE255)</f>
        <v>8829180.8816538155</v>
      </c>
      <c r="T255" s="187">
        <f>IF($F255="","",IF(Q255='תחום תמיכה ג'!$Q$2,'תחום תמיכה ג'!$Q$2,IFERROR(SUMIF(N255:R255,"&gt;0"),'תחום תמיכה ג'!$Q$2)))</f>
        <v>12049093.980165131</v>
      </c>
      <c r="U255" s="187">
        <f>IF($F255="","",'הזנה לתנאי סף'!Y255)</f>
        <v>30000000</v>
      </c>
      <c r="V255" s="269">
        <f>IF(F255="","",'הגבלה לסכום מבוקש '!AA255)</f>
        <v>13518674.256462673</v>
      </c>
      <c r="W255" s="187">
        <f t="shared" si="13"/>
        <v>3379668.5641156682</v>
      </c>
      <c r="X255" s="187">
        <f>IF(F255="","",'הזנה לתנאי סף'!Z255)</f>
        <v>15000000</v>
      </c>
      <c r="Y255" s="237" t="str">
        <f>IFERROR(VLOOKUP(G255*1,#REF!,3,0),"")</f>
        <v/>
      </c>
      <c r="Z255" s="187" t="str">
        <f>IF(OR($F255="",Y255=""),"",IFERROR(IF(Y255&gt;V255,MIN(Y255,T255)-V255,0),'תחום תמיכה ג'!$Q$2))</f>
        <v/>
      </c>
      <c r="AA255" s="259"/>
      <c r="AB255" s="260" t="str">
        <f t="shared" si="14"/>
        <v/>
      </c>
      <c r="AC255" s="262"/>
      <c r="AD255" s="180"/>
      <c r="AE255" s="13" t="str">
        <f>IF($C255="","",IFERROR(VLOOKUP($C255,גיליון1!$A:$E,2,0),"לא הגיש בקשה שוטפת"))</f>
        <v>תמיכה שוטפת</v>
      </c>
      <c r="AF255" s="13" t="str">
        <f>IF($C255="","",IFERROR(VLOOKUP($C255,גיליון1!$A:$E,3,0),"לא הגיש בקשה שוטפת"))</f>
        <v>חויב</v>
      </c>
      <c r="AG255" s="13" t="str">
        <f>IF($C255="","",IFERROR(VLOOKUP($C255,גיליון1!$A:$E,4,0),"לא הגיש בקשה שוטפת"))</f>
        <v>19-42-02-16</v>
      </c>
      <c r="AH255" s="13" t="str">
        <f>IF($C255="","",IFERROR(VLOOKUP($C255,גיליון1!$A:$E,5,0),"לא הגיש בקשה שוטפת"))</f>
        <v>מוסיקה</v>
      </c>
      <c r="AI255" s="13">
        <f t="shared" si="15"/>
        <v>0</v>
      </c>
      <c r="AJ255"/>
      <c r="AK255" t="s">
        <v>250</v>
      </c>
    </row>
    <row r="256" spans="1:37" ht="57.75" x14ac:dyDescent="0.25">
      <c r="A256" s="54">
        <f>'הזנה לתנאי סף'!B256</f>
        <v>226</v>
      </c>
      <c r="B256" s="266">
        <f>IF($F256="","",'הזנה לתנאי סף'!C256)</f>
        <v>1001347595</v>
      </c>
      <c r="C256" s="266">
        <f>IF($F256="","",'הזנה לתנאי סף'!D256)</f>
        <v>1001267946</v>
      </c>
      <c r="D256" s="266">
        <f>IF($F256="","",'הזנה לתנאי סף'!E256)</f>
        <v>40000345</v>
      </c>
      <c r="E256" s="55">
        <f>IF($F256="","",'הזנה לתנאי סף'!F256)</f>
        <v>20000159</v>
      </c>
      <c r="F256" s="55" t="str">
        <f>IF('הזנה לתנאי סף'!BL256=1,'הזנה לתנאי סף'!G256,"")</f>
        <v>ירושלים</v>
      </c>
      <c r="G256" s="55" t="str">
        <f>IF($F256="","",'הזנה לתנאי סף'!H256)</f>
        <v>מגדל דוד- מוזיאון לתולדות י-ם</v>
      </c>
      <c r="H256" s="55" t="str">
        <f>IF($F256="","",'הזנה לתנאי סף'!I256)</f>
        <v>מוזיאונים</v>
      </c>
      <c r="I256" s="187">
        <f>IF($F256="","",'הזנה לתנאי סף'!R256)</f>
        <v>18906534</v>
      </c>
      <c r="J256" s="187">
        <f>IF($F256="","",'תחום תמיכה א'!P256)</f>
        <v>19955753</v>
      </c>
      <c r="K256" s="177">
        <f>IF($F256="","",'הזנה לתנאי סף'!N256)</f>
        <v>1</v>
      </c>
      <c r="L256" s="177">
        <f>IF($F256="","",'הזנה לתנאי סף'!O256)</f>
        <v>1</v>
      </c>
      <c r="M256" s="177">
        <f>IF($F256="","",'הזנה לתנאי סף'!Q256)</f>
        <v>1</v>
      </c>
      <c r="N256" s="187">
        <f>IF($F256="","",'תחום תמיכה א'!AE256)</f>
        <v>890648.87316007284</v>
      </c>
      <c r="O256" s="178"/>
      <c r="P256" s="187">
        <f>IF($F256="","",'תחום תמיכה ב'!AC256)</f>
        <v>2148058.7941171732</v>
      </c>
      <c r="Q256" s="187">
        <f>IF($F256="","",IF('תחום תמיכה ג'!O256="",0,'תחום תמיכה ג'!O256))</f>
        <v>371331.44463148864</v>
      </c>
      <c r="R256" s="187">
        <f t="shared" si="12"/>
        <v>64409.655171407852</v>
      </c>
      <c r="S256" s="187">
        <f>IF($F256="","",'תחום תמיכה ב'!AE256)</f>
        <v>2212468.449288581</v>
      </c>
      <c r="T256" s="187">
        <f>IF($F256="","",IF(Q256='תחום תמיכה ג'!$Q$2,'תחום תמיכה ג'!$Q$2,IFERROR(SUMIF(N256:R256,"&gt;0"),'תחום תמיכה ג'!$Q$2)))</f>
        <v>3474448.7670801422</v>
      </c>
      <c r="U256" s="187">
        <f>IF($F256="","",'הזנה לתנאי סף'!Y256)</f>
        <v>10000000</v>
      </c>
      <c r="V256" s="269">
        <f>IF(F256="","",'הגבלה לסכום מבוקש '!AA256)</f>
        <v>3842912.1245611585</v>
      </c>
      <c r="W256" s="187">
        <f t="shared" si="13"/>
        <v>960728.03114028962</v>
      </c>
      <c r="X256" s="187">
        <f>IF(F256="","",'הזנה לתנאי סף'!Z256)</f>
        <v>10000000</v>
      </c>
      <c r="Y256" s="237" t="str">
        <f>IFERROR(VLOOKUP(G256*1,#REF!,3,0),"")</f>
        <v/>
      </c>
      <c r="Z256" s="187" t="str">
        <f>IF(OR($F256="",Y256=""),"",IFERROR(IF(Y256&gt;V256,MIN(Y256,T256)-V256,0),'תחום תמיכה ג'!$Q$2))</f>
        <v/>
      </c>
      <c r="AA256" s="259"/>
      <c r="AB256" s="260" t="str">
        <f t="shared" si="14"/>
        <v/>
      </c>
      <c r="AC256" s="262"/>
      <c r="AD256" s="180"/>
      <c r="AE256" s="13" t="str">
        <f>IF($C256="","",IFERROR(VLOOKUP($C256,גיליון1!$A:$E,2,0),"לא הגיש בקשה שוטפת"))</f>
        <v>תמיכה בפעילות השוטפת של מוזיאון מגדל דוד</v>
      </c>
      <c r="AF256" s="13" t="str">
        <f>IF($C256="","",IFERROR(VLOOKUP($C256,גיליון1!$A:$E,3,0),"לא הגיש בקשה שוטפת"))</f>
        <v>חויב</v>
      </c>
      <c r="AG256" s="13" t="str">
        <f>IF($C256="","",IFERROR(VLOOKUP($C256,גיליון1!$A:$E,4,0),"לא הגיש בקשה שוטפת"))</f>
        <v>19-42-02-18</v>
      </c>
      <c r="AH256" s="13" t="str">
        <f>IF($C256="","",IFERROR(VLOOKUP($C256,גיליון1!$A:$E,5,0),"לא הגיש בקשה שוטפת"))</f>
        <v>מוזיאונים ואמנות פלס</v>
      </c>
      <c r="AI256" s="13">
        <f t="shared" si="15"/>
        <v>0</v>
      </c>
      <c r="AJ256"/>
      <c r="AK256" t="s">
        <v>250</v>
      </c>
    </row>
    <row r="257" spans="1:37" ht="43.5" x14ac:dyDescent="0.25">
      <c r="A257" s="54">
        <f>'הזנה לתנאי סף'!B257</f>
        <v>227</v>
      </c>
      <c r="B257" s="266">
        <f>IF($F257="","",'הזנה לתנאי סף'!C257)</f>
        <v>1001346662</v>
      </c>
      <c r="C257" s="266">
        <f>IF($F257="","",'הזנה לתנאי סף'!D257)</f>
        <v>1001278692</v>
      </c>
      <c r="D257" s="266">
        <f>IF($F257="","",'הזנה לתנאי סף'!E257)</f>
        <v>40000362</v>
      </c>
      <c r="E257" s="55">
        <f>IF($F257="","",'הזנה לתנאי סף'!F257)</f>
        <v>20000159</v>
      </c>
      <c r="F257" s="55" t="str">
        <f>IF('הזנה לתנאי סף'!BL257=1,'הזנה לתנאי סף'!G257,"")</f>
        <v>ירושלים</v>
      </c>
      <c r="G257" s="55" t="str">
        <f>IF($F257="","",'הזנה לתנאי סף'!H257)</f>
        <v>מרכז עדן תמיר למוסיקה</v>
      </c>
      <c r="H257" s="55" t="str">
        <f>IF($F257="","",'הזנה לתנאי סף'!I257)</f>
        <v>מרכזי מוסיקה</v>
      </c>
      <c r="I257" s="187">
        <f>IF($F257="","",'הזנה לתנאי סף'!R257)</f>
        <v>606867</v>
      </c>
      <c r="J257" s="187">
        <f>IF($F257="","",'תחום תמיכה א'!P257)</f>
        <v>719447</v>
      </c>
      <c r="K257" s="177">
        <f>IF($F257="","",'הזנה לתנאי סף'!N257)</f>
        <v>1</v>
      </c>
      <c r="L257" s="177">
        <f>IF($F257="","",'הזנה לתנאי סף'!O257)</f>
        <v>1</v>
      </c>
      <c r="M257" s="177">
        <f>IF($F257="","",'הזנה לתנאי סף'!Q257)</f>
        <v>1</v>
      </c>
      <c r="N257" s="187">
        <f>IF($F257="","",'תחום תמיכה א'!AE257)</f>
        <v>22112.159484329506</v>
      </c>
      <c r="O257" s="178"/>
      <c r="P257" s="187">
        <f>IF($F257="","",'תחום תמיכה ב'!AC257)</f>
        <v>32697.584043459698</v>
      </c>
      <c r="Q257" s="187">
        <f>IF($F257="","",IF('תחום תמיכה ג'!O257="",0,'תחום תמיכה ג'!O257))</f>
        <v>5652.3783948881492</v>
      </c>
      <c r="R257" s="187">
        <f t="shared" si="12"/>
        <v>980.43876589649881</v>
      </c>
      <c r="S257" s="187">
        <f>IF($F257="","",'תחום תמיכה ב'!AE257)</f>
        <v>33678.022809356196</v>
      </c>
      <c r="T257" s="187">
        <f>IF($F257="","",IF(Q257='תחום תמיכה ג'!$Q$2,'תחום תמיכה ג'!$Q$2,IFERROR(SUMIF(N257:R257,"&gt;0"),'תחום תמיכה ג'!$Q$2)))</f>
        <v>61442.560688573853</v>
      </c>
      <c r="U257" s="187">
        <f>IF($F257="","",'הזנה לתנאי סף'!Y257)</f>
        <v>380000</v>
      </c>
      <c r="V257" s="269">
        <f>IF(F257="","",'הגבלה לסכום מבוקש '!AA257)</f>
        <v>67055.17649715241</v>
      </c>
      <c r="W257" s="187">
        <f t="shared" si="13"/>
        <v>16763.794124288102</v>
      </c>
      <c r="X257" s="187">
        <f>IF(F257="","",'הזנה לתנאי סף'!Z257)</f>
        <v>380000</v>
      </c>
      <c r="Y257" s="237" t="str">
        <f>IFERROR(VLOOKUP(G257*1,#REF!,3,0),"")</f>
        <v/>
      </c>
      <c r="Z257" s="187" t="str">
        <f>IF(OR($F257="",Y257=""),"",IFERROR(IF(Y257&gt;V257,MIN(Y257,T257)-V257,0),'תחום תמיכה ג'!$Q$2))</f>
        <v/>
      </c>
      <c r="AA257" s="259"/>
      <c r="AB257" s="260" t="str">
        <f t="shared" si="14"/>
        <v/>
      </c>
      <c r="AC257" s="262"/>
      <c r="AD257" s="180"/>
      <c r="AE257" s="13" t="str">
        <f>IF($C257="","",IFERROR(VLOOKUP($C257,גיליון1!$A:$E,2,0),"לא הגיש בקשה שוטפת"))</f>
        <v>פעילות מרכז עדן תמיר למוסיקה</v>
      </c>
      <c r="AF257" s="13" t="str">
        <f>IF($C257="","",IFERROR(VLOOKUP($C257,גיליון1!$A:$E,3,0),"לא הגיש בקשה שוטפת"))</f>
        <v>מקדמ</v>
      </c>
      <c r="AG257" s="13" t="str">
        <f>IF($C257="","",IFERROR(VLOOKUP($C257,גיליון1!$A:$E,4,0),"לא הגיש בקשה שוטפת"))</f>
        <v>19-42-02-16</v>
      </c>
      <c r="AH257" s="13" t="str">
        <f>IF($C257="","",IFERROR(VLOOKUP($C257,גיליון1!$A:$E,5,0),"לא הגיש בקשה שוטפת"))</f>
        <v>מוסיקה</v>
      </c>
      <c r="AI257" s="13">
        <f t="shared" si="15"/>
        <v>0</v>
      </c>
      <c r="AJ257"/>
      <c r="AK257" t="s">
        <v>250</v>
      </c>
    </row>
    <row r="258" spans="1:37" ht="57.75" x14ac:dyDescent="0.25">
      <c r="A258" s="54">
        <f>'הזנה לתנאי סף'!B258</f>
        <v>228</v>
      </c>
      <c r="B258" s="266">
        <f>IF($F258="","",'הזנה לתנאי סף'!C258)</f>
        <v>1001348984</v>
      </c>
      <c r="C258" s="266">
        <f>IF($F258="","",'הזנה לתנאי סף'!D258)</f>
        <v>1001299405</v>
      </c>
      <c r="D258" s="266">
        <f>IF($F258="","",'הזנה לתנאי סף'!E258)</f>
        <v>40000699</v>
      </c>
      <c r="E258" s="55">
        <f>IF($F258="","",'הזנה לתנאי סף'!F258)</f>
        <v>20000102</v>
      </c>
      <c r="F258" s="55" t="str">
        <f>IF('הזנה לתנאי סף'!BL258=1,'הזנה לתנאי סף'!G258,"")</f>
        <v>מעלות-תרשיחא</v>
      </c>
      <c r="G258" s="55" t="str">
        <f>IF($F258="","",'הזנה לתנאי סף'!H258)</f>
        <v>"קתרין" לקידום המוסיקה, מחול ואומנו</v>
      </c>
      <c r="H258" s="55" t="str">
        <f>IF($F258="","",'הזנה לתנאי סף'!I258)</f>
        <v>אחר</v>
      </c>
      <c r="I258" s="187">
        <f>IF($F258="","",'הזנה לתנאי סף'!R258)</f>
        <v>1083028</v>
      </c>
      <c r="J258" s="187">
        <f>IF($F258="","",'תחום תמיכה א'!P258)</f>
        <v>1335285</v>
      </c>
      <c r="K258" s="177">
        <f>IF($F258="","",'הזנה לתנאי סף'!N258)</f>
        <v>0</v>
      </c>
      <c r="L258" s="177">
        <f>IF($F258="","",'הזנה לתנאי סף'!O258)</f>
        <v>1</v>
      </c>
      <c r="M258" s="177">
        <f>IF($F258="","",'הזנה לתנאי סף'!Q258)</f>
        <v>1</v>
      </c>
      <c r="N258" s="187">
        <f>IF($F258="","",'תחום תמיכה א'!AE258)</f>
        <v>51693.259038637887</v>
      </c>
      <c r="O258" s="178"/>
      <c r="P258" s="187">
        <f>IF($F258="","",'תחום תמיכה ב'!AC258)</f>
        <v>72897.557462472207</v>
      </c>
      <c r="Q258" s="187">
        <f>IF($F258="","",IF('תחום תמיכה ג'!O258="",0,'תחום תמיכה ג'!O258))</f>
        <v>0</v>
      </c>
      <c r="R258" s="187">
        <f t="shared" si="12"/>
        <v>2185.837069196903</v>
      </c>
      <c r="S258" s="187">
        <f>IF($F258="","",'תחום תמיכה ב'!AE258)</f>
        <v>75083.39453166911</v>
      </c>
      <c r="T258" s="187">
        <f>IF($F258="","",IF(Q258='תחום תמיכה ג'!$Q$2,'תחום תמיכה ג'!$Q$2,IFERROR(SUMIF(N258:R258,"&gt;0"),'תחום תמיכה ג'!$Q$2)))</f>
        <v>126776.653570307</v>
      </c>
      <c r="U258" s="187">
        <f>IF($F258="","",'הזנה לתנאי סף'!Y258)</f>
        <v>350000</v>
      </c>
      <c r="V258" s="269">
        <f>IF(F258="","",'הגבלה לסכום מבוקש '!AA258)</f>
        <v>139285.04043747828</v>
      </c>
      <c r="W258" s="187">
        <f t="shared" si="13"/>
        <v>34821.26010936957</v>
      </c>
      <c r="X258" s="187">
        <f>IF(F258="","",'הזנה לתנאי סף'!Z258)</f>
        <v>350000</v>
      </c>
      <c r="Y258" s="237" t="str">
        <f>IFERROR(VLOOKUP(G258*1,#REF!,3,0),"")</f>
        <v/>
      </c>
      <c r="Z258" s="187" t="str">
        <f>IF(OR($F258="",Y258=""),"",IFERROR(IF(Y258&gt;V258,MIN(Y258,T258)-V258,0),'תחום תמיכה ג'!$Q$2))</f>
        <v/>
      </c>
      <c r="AA258" s="259"/>
      <c r="AB258" s="260" t="str">
        <f t="shared" si="14"/>
        <v/>
      </c>
      <c r="AC258" s="262"/>
      <c r="AD258" s="180"/>
      <c r="AE258" s="13" t="str">
        <f>IF($C258="","",IFERROR(VLOOKUP($C258,גיליון1!$A:$E,2,0),"לא הגיש בקשה שוטפת"))</f>
        <v>פעילות תרבות שוטפת</v>
      </c>
      <c r="AF258" s="13" t="str">
        <f>IF($C258="","",IFERROR(VLOOKUP($C258,גיליון1!$A:$E,3,0),"לא הגיש בקשה שוטפת"))</f>
        <v>מועד</v>
      </c>
      <c r="AG258" s="13" t="str">
        <f>IF($C258="","",IFERROR(VLOOKUP($C258,גיליון1!$A:$E,4,0),"לא הגיש בקשה שוטפת"))</f>
        <v>19-42-02-33</v>
      </c>
      <c r="AH258" s="13" t="str">
        <f>IF($C258="","",IFERROR(VLOOKUP($C258,גיליון1!$A:$E,5,0),"לא הגיש בקשה שוטפת"))</f>
        <v>תרבות ערבית ודרוזית</v>
      </c>
      <c r="AI258" s="13">
        <f t="shared" si="15"/>
        <v>0</v>
      </c>
      <c r="AJ258"/>
      <c r="AK258" t="s">
        <v>250</v>
      </c>
    </row>
    <row r="259" spans="1:37" ht="43.5" x14ac:dyDescent="0.25">
      <c r="A259" s="54">
        <f>'הזנה לתנאי סף'!B259</f>
        <v>229</v>
      </c>
      <c r="B259" s="266">
        <f>IF($F259="","",'הזנה לתנאי סף'!C259)</f>
        <v>1001347694</v>
      </c>
      <c r="C259" s="266">
        <f>IF($F259="","",'הזנה לתנאי סף'!D259)</f>
        <v>1001302279</v>
      </c>
      <c r="D259" s="266">
        <f>IF($F259="","",'הזנה לתנאי סף'!E259)</f>
        <v>41968223</v>
      </c>
      <c r="E259" s="55">
        <f>IF($F259="","",'הזנה לתנאי סף'!F259)</f>
        <v>20000150</v>
      </c>
      <c r="F259" s="55" t="str">
        <f>IF('הזנה לתנאי סף'!BL259=1,'הזנה לתנאי סף'!G259,"")</f>
        <v>קריית גת</v>
      </c>
      <c r="G259" s="55" t="str">
        <f>IF($F259="","",'הזנה לתנאי סף'!H259)</f>
        <v>מוזיקה פורטת גבולות</v>
      </c>
      <c r="H259" s="55" t="str">
        <f>IF($F259="","",'הזנה לתנאי סף'!I259)</f>
        <v>תרבות בקהילה</v>
      </c>
      <c r="I259" s="187">
        <f>IF($F259="","",'הזנה לתנאי סף'!R259)</f>
        <v>345056</v>
      </c>
      <c r="J259" s="187">
        <f>IF($F259="","",'תחום תמיכה א'!P259)</f>
        <v>456250</v>
      </c>
      <c r="K259" s="177">
        <f>IF($F259="","",'הזנה לתנאי סף'!N259)</f>
        <v>0</v>
      </c>
      <c r="L259" s="177">
        <f>IF($F259="","",'הזנה לתנאי סף'!O259)</f>
        <v>1</v>
      </c>
      <c r="M259" s="177">
        <f>IF($F259="","",'הזנה לתנאי סף'!Q259)</f>
        <v>1</v>
      </c>
      <c r="N259" s="187">
        <f>IF($F259="","",'תחום תמיכה א'!AE259)</f>
        <v>24940.67905900468</v>
      </c>
      <c r="O259" s="178"/>
      <c r="P259" s="187">
        <f>IF($F259="","",'תחום תמיכה ב'!AC259)</f>
        <v>58810.898511292631</v>
      </c>
      <c r="Q259" s="187">
        <f>IF($F259="","",IF('תחום תמיכה ג'!O259="",0,'תחום תמיכה ג'!O259))</f>
        <v>0</v>
      </c>
      <c r="R259" s="187">
        <f t="shared" si="12"/>
        <v>1763.4478645589552</v>
      </c>
      <c r="S259" s="187">
        <f>IF($F259="","",'תחום תמיכה ב'!AE259)</f>
        <v>60574.346375851586</v>
      </c>
      <c r="T259" s="187">
        <f>IF($F259="","",IF(Q259='תחום תמיכה ג'!$Q$2,'תחום תמיכה ג'!$Q$2,IFERROR(SUMIF(N259:R259,"&gt;0"),'תחום תמיכה ג'!$Q$2)))</f>
        <v>85515.025434856274</v>
      </c>
      <c r="U259" s="187">
        <f>IF($F259="","",'הזנה לתנאי סף'!Y259)</f>
        <v>581500</v>
      </c>
      <c r="V259" s="269">
        <f>IF(F259="","",'הגבלה לסכום מבוקש '!AA259)</f>
        <v>95598.669957950537</v>
      </c>
      <c r="W259" s="187">
        <f t="shared" si="13"/>
        <v>23899.667489487634</v>
      </c>
      <c r="X259" s="187">
        <f>IF(F259="","",'הזנה לתנאי סף'!Z259)</f>
        <v>250000</v>
      </c>
      <c r="Y259" s="237" t="str">
        <f>IFERROR(VLOOKUP(G259*1,#REF!,3,0),"")</f>
        <v/>
      </c>
      <c r="Z259" s="187" t="str">
        <f>IF(OR($F259="",Y259=""),"",IFERROR(IF(Y259&gt;V259,MIN(Y259,T259)-V259,0),'תחום תמיכה ג'!$Q$2))</f>
        <v/>
      </c>
      <c r="AA259" s="259"/>
      <c r="AB259" s="260" t="str">
        <f t="shared" si="14"/>
        <v/>
      </c>
      <c r="AC259" s="262"/>
      <c r="AD259" s="180"/>
      <c r="AE259" s="13" t="str">
        <f>IF($C259="","",IFERROR(VLOOKUP($C259,גיליון1!$A:$E,2,0),"לא הגיש בקשה שוטפת"))</f>
        <v>תרבות בקהילה 2020</v>
      </c>
      <c r="AF259" s="13" t="str">
        <f>IF($C259="","",IFERROR(VLOOKUP($C259,גיליון1!$A:$E,3,0),"לא הגיש בקשה שוטפת"))</f>
        <v>טיוט</v>
      </c>
      <c r="AG259" s="13" t="str">
        <f>IF($C259="","",IFERROR(VLOOKUP($C259,גיליון1!$A:$E,4,0),"לא הגיש בקשה שוטפת"))</f>
        <v>19-42-02-31</v>
      </c>
      <c r="AH259" s="13" t="str">
        <f>IF($C259="","",IFERROR(VLOOKUP($C259,גיליון1!$A:$E,5,0),"לא הגיש בקשה שוטפת"))</f>
        <v>תרבות בקהילה תמיכה</v>
      </c>
      <c r="AI259" s="13">
        <f t="shared" si="15"/>
        <v>0</v>
      </c>
      <c r="AJ259"/>
      <c r="AK259" t="s">
        <v>250</v>
      </c>
    </row>
    <row r="260" spans="1:37" ht="43.5" x14ac:dyDescent="0.25">
      <c r="A260" s="54">
        <f>'הזנה לתנאי סף'!B260</f>
        <v>230</v>
      </c>
      <c r="B260" s="266">
        <f>IF($F260="","",'הזנה לתנאי סף'!C260)</f>
        <v>1001349548</v>
      </c>
      <c r="C260" s="266">
        <f>IF($F260="","",'הזנה לתנאי סף'!D260)</f>
        <v>1001302223</v>
      </c>
      <c r="D260" s="266">
        <f>IF($F260="","",'הזנה לתנאי סף'!E260)</f>
        <v>40221328</v>
      </c>
      <c r="E260" s="55">
        <f>IF($F260="","",'הזנה לתנאי סף'!F260)</f>
        <v>20000035</v>
      </c>
      <c r="F260" s="55" t="str">
        <f>IF('הזנה לתנאי סף'!BL260=1,'הזנה לתנאי סף'!G260,"")</f>
        <v>מגאר</v>
      </c>
      <c r="G260" s="55" t="str">
        <f>IF($F260="","",'הזנה לתנאי סף'!H260)</f>
        <v>תיאטרון הגליל הקהילתי</v>
      </c>
      <c r="H260" s="55" t="str">
        <f>IF($F260="","",'הזנה לתנאי סף'!I260)</f>
        <v>תיאטרון</v>
      </c>
      <c r="I260" s="187">
        <f>IF($F260="","",'הזנה לתנאי סף'!R260)</f>
        <v>664236</v>
      </c>
      <c r="J260" s="187">
        <f>IF($F260="","",'תחום תמיכה א'!P260)</f>
        <v>536960</v>
      </c>
      <c r="K260" s="177">
        <f>IF($F260="","",'הזנה לתנאי סף'!N260)</f>
        <v>0</v>
      </c>
      <c r="L260" s="177">
        <f>IF($F260="","",'הזנה לתנאי סף'!O260)</f>
        <v>1</v>
      </c>
      <c r="M260" s="177">
        <f>IF($F260="","",'הזנה לתנאי סף'!Q260)</f>
        <v>1</v>
      </c>
      <c r="N260" s="187">
        <f>IF($F260="","",'תחום תמיכה א'!AE260)</f>
        <v>15211.821063982161</v>
      </c>
      <c r="O260" s="178"/>
      <c r="P260" s="187">
        <f>IF($F260="","",'תחום תמיכה ב'!AC260)</f>
        <v>23175.522026184273</v>
      </c>
      <c r="Q260" s="187">
        <f>IF($F260="","",IF('תחום תמיכה ג'!O260="",0,'תחום תמיכה ג'!O260))</f>
        <v>0</v>
      </c>
      <c r="R260" s="187">
        <f t="shared" si="12"/>
        <v>694.91923880853938</v>
      </c>
      <c r="S260" s="187">
        <f>IF($F260="","",'תחום תמיכה ב'!AE260)</f>
        <v>23870.441264992813</v>
      </c>
      <c r="T260" s="187">
        <f>IF($F260="","",IF(Q260='תחום תמיכה ג'!$Q$2,'תחום תמיכה ג'!$Q$2,IFERROR(SUMIF(N260:R260,"&gt;0"),'תחום תמיכה ג'!$Q$2)))</f>
        <v>39082.262328974975</v>
      </c>
      <c r="U260" s="187">
        <f>IF($F260="","",'הזנה לתנאי סף'!Y260)</f>
        <v>400000</v>
      </c>
      <c r="V260" s="269">
        <f>IF(F260="","",'הגבלה לסכום מבוקש '!AA260)</f>
        <v>43058.360152237576</v>
      </c>
      <c r="W260" s="187">
        <f t="shared" si="13"/>
        <v>10764.590038059394</v>
      </c>
      <c r="X260" s="187">
        <f>IF(F260="","",'הזנה לתנאי סף'!Z260)</f>
        <v>200000</v>
      </c>
      <c r="Y260" s="237" t="str">
        <f>IFERROR(VLOOKUP(G260*1,#REF!,3,0),"")</f>
        <v/>
      </c>
      <c r="Z260" s="187" t="str">
        <f>IF(OR($F260="",Y260=""),"",IFERROR(IF(Y260&gt;V260,MIN(Y260,T260)-V260,0),'תחום תמיכה ג'!$Q$2))</f>
        <v/>
      </c>
      <c r="AA260" s="259"/>
      <c r="AB260" s="260" t="str">
        <f t="shared" si="14"/>
        <v/>
      </c>
      <c r="AC260" s="262"/>
      <c r="AD260" s="180"/>
      <c r="AE260" s="13" t="str">
        <f>IF($C260="","",IFERROR(VLOOKUP($C260,גיליון1!$A:$E,2,0),"לא הגיש בקשה שוטפת"))</f>
        <v>תמיכה בפעילות השוטפת</v>
      </c>
      <c r="AF260" s="13" t="str">
        <f>IF($C260="","",IFERROR(VLOOKUP($C260,גיליון1!$A:$E,3,0),"לא הגיש בקשה שוטפת"))</f>
        <v>מועד</v>
      </c>
      <c r="AG260" s="13" t="str">
        <f>IF($C260="","",IFERROR(VLOOKUP($C260,גיליון1!$A:$E,4,0),"לא הגיש בקשה שוטפת"))</f>
        <v>19-42-02-33</v>
      </c>
      <c r="AH260" s="13" t="str">
        <f>IF($C260="","",IFERROR(VLOOKUP($C260,גיליון1!$A:$E,5,0),"לא הגיש בקשה שוטפת"))</f>
        <v>תרבות ערבית ודרוזית</v>
      </c>
      <c r="AI260" s="13">
        <f t="shared" si="15"/>
        <v>0</v>
      </c>
      <c r="AJ260"/>
      <c r="AK260" t="s">
        <v>250</v>
      </c>
    </row>
    <row r="261" spans="1:37" ht="57.75" x14ac:dyDescent="0.25">
      <c r="A261" s="54">
        <f>'הזנה לתנאי סף'!B261</f>
        <v>231</v>
      </c>
      <c r="B261" s="266">
        <f>IF($F261="","",'הזנה לתנאי סף'!C261)</f>
        <v>1001347151</v>
      </c>
      <c r="C261" s="266">
        <f>IF($F261="","",'הזנה לתנאי סף'!D261)</f>
        <v>1001273224</v>
      </c>
      <c r="D261" s="266">
        <f>IF($F261="","",'הזנה לתנאי סף'!E261)</f>
        <v>41072447</v>
      </c>
      <c r="E261" s="55">
        <f>IF($F261="","",'הזנה לתנאי סף'!F261)</f>
        <v>20000159</v>
      </c>
      <c r="F261" s="55" t="str">
        <f>IF('הזנה לתנאי סף'!BL261=1,'הזנה לתנאי סף'!G261,"")</f>
        <v>ירושלים</v>
      </c>
      <c r="G261" s="55" t="str">
        <f>IF($F261="","",'הזנה לתנאי סף'!H261)</f>
        <v>מחול שלם - בית עכשווי למחול (ע"ר)</v>
      </c>
      <c r="H261" s="55" t="str">
        <f>IF($F261="","",'הזנה לתנאי סף'!I261)</f>
        <v>מרכזי מחול</v>
      </c>
      <c r="I261" s="187">
        <f>IF($F261="","",'הזנה לתנאי סף'!R261)</f>
        <v>1450768</v>
      </c>
      <c r="J261" s="187">
        <f>IF($F261="","",'תחום תמיכה א'!P261)</f>
        <v>1543025</v>
      </c>
      <c r="K261" s="177">
        <f>IF($F261="","",'הזנה לתנאי סף'!N261)</f>
        <v>1</v>
      </c>
      <c r="L261" s="177">
        <f>IF($F261="","",'הזנה לתנאי סף'!O261)</f>
        <v>1</v>
      </c>
      <c r="M261" s="177">
        <f>IF($F261="","",'הזנה לתנאי סף'!Q261)</f>
        <v>1</v>
      </c>
      <c r="N261" s="187">
        <f>IF($F261="","",'תחום תמיכה א'!AE261)</f>
        <v>40291.22691810783</v>
      </c>
      <c r="O261" s="178"/>
      <c r="P261" s="187">
        <f>IF($F261="","",'תחום תמיכה ב'!AC261)</f>
        <v>56419.66014001509</v>
      </c>
      <c r="Q261" s="187">
        <f>IF($F261="","",IF('תחום תמיכה ג'!O261="",0,'תחום תמיכה ג'!O261))</f>
        <v>9753.1752681936177</v>
      </c>
      <c r="R261" s="187">
        <f t="shared" si="12"/>
        <v>1691.7464570609736</v>
      </c>
      <c r="S261" s="187">
        <f>IF($F261="","",'תחום תמיכה ב'!AE261)</f>
        <v>58111.406597076064</v>
      </c>
      <c r="T261" s="187">
        <f>IF($F261="","",IF(Q261='תחום תמיכה ג'!$Q$2,'תחום תמיכה ג'!$Q$2,IFERROR(SUMIF(N261:R261,"&gt;0"),'תחום תמיכה ג'!$Q$2)))</f>
        <v>108155.80878337752</v>
      </c>
      <c r="U261" s="187">
        <f>IF($F261="","",'הזנה לתנאי סף'!Y261)</f>
        <v>400000</v>
      </c>
      <c r="V261" s="269">
        <f>IF(F261="","",'הגבלה לסכום מבוקש '!AA261)</f>
        <v>117841.34663508773</v>
      </c>
      <c r="W261" s="187">
        <f t="shared" si="13"/>
        <v>29460.336658771932</v>
      </c>
      <c r="X261" s="187">
        <f>IF(F261="","",'הזנה לתנאי סף'!Z261)</f>
        <v>400000</v>
      </c>
      <c r="Y261" s="237" t="str">
        <f>IFERROR(VLOOKUP(G261*1,#REF!,3,0),"")</f>
        <v/>
      </c>
      <c r="Z261" s="187" t="str">
        <f>IF(OR($F261="",Y261=""),"",IFERROR(IF(Y261&gt;V261,MIN(Y261,T261)-V261,0),'תחום תמיכה ג'!$Q$2))</f>
        <v/>
      </c>
      <c r="AA261" s="259"/>
      <c r="AB261" s="260" t="str">
        <f t="shared" si="14"/>
        <v/>
      </c>
      <c r="AC261" s="262"/>
      <c r="AD261" s="180"/>
      <c r="AE261" s="13" t="str">
        <f>IF($C261="","",IFERROR(VLOOKUP($C261,גיליון1!$A:$E,2,0),"לא הגיש בקשה שוטפת"))</f>
        <v>מרכז מחול שלם 2020</v>
      </c>
      <c r="AF261" s="13" t="str">
        <f>IF($C261="","",IFERROR(VLOOKUP($C261,גיליון1!$A:$E,3,0),"לא הגיש בקשה שוטפת"))</f>
        <v>חויב</v>
      </c>
      <c r="AG261" s="13" t="str">
        <f>IF($C261="","",IFERROR(VLOOKUP($C261,גיליון1!$A:$E,4,0),"לא הגיש בקשה שוטפת"))</f>
        <v>19-42-02-20</v>
      </c>
      <c r="AH261" s="13" t="str">
        <f>IF($C261="","",IFERROR(VLOOKUP($C261,גיליון1!$A:$E,5,0),"לא הגיש בקשה שוטפת"))</f>
        <v>מחול וארגוני גג</v>
      </c>
      <c r="AI261" s="13">
        <f t="shared" si="15"/>
        <v>0</v>
      </c>
      <c r="AJ261"/>
      <c r="AK261" t="s">
        <v>250</v>
      </c>
    </row>
    <row r="262" spans="1:37" ht="57.75" x14ac:dyDescent="0.25">
      <c r="A262" s="54">
        <f>'הזנה לתנאי סף'!B262</f>
        <v>232</v>
      </c>
      <c r="B262" s="266">
        <f>IF($F262="","",'הזנה לתנאי סף'!C262)</f>
        <v>1001347854</v>
      </c>
      <c r="C262" s="266">
        <f>IF($F262="","",'הזנה לתנאי סף'!D262)</f>
        <v>1001302179</v>
      </c>
      <c r="D262" s="266">
        <f>IF($F262="","",'הזנה לתנאי סף'!E262)</f>
        <v>41072447</v>
      </c>
      <c r="E262" s="55">
        <f>IF($F262="","",'הזנה לתנאי סף'!F262)</f>
        <v>20000159</v>
      </c>
      <c r="F262" s="55" t="str">
        <f>IF('הזנה לתנאי סף'!BL262=1,'הזנה לתנאי סף'!G262,"")</f>
        <v>ירושלים</v>
      </c>
      <c r="G262" s="55" t="str">
        <f>IF($F262="","",'הזנה לתנאי סף'!H262)</f>
        <v>מחול שלם - בית עכשווי למחול (ע"ר)</v>
      </c>
      <c r="H262" s="55" t="str">
        <f>IF($F262="","",'הזנה לתנאי סף'!I262)</f>
        <v>מחול</v>
      </c>
      <c r="I262" s="187">
        <f>IF($F262="","",'הזנה לתנאי סף'!R262)</f>
        <v>111884</v>
      </c>
      <c r="J262" s="187">
        <f>IF($F262="","",'תחום תמיכה א'!P262)</f>
        <v>99965</v>
      </c>
      <c r="K262" s="177">
        <f>IF($F262="","",'הזנה לתנאי סף'!N262)</f>
        <v>1</v>
      </c>
      <c r="L262" s="177">
        <f>IF($F262="","",'הזנה לתנאי סף'!O262)</f>
        <v>1</v>
      </c>
      <c r="M262" s="177">
        <f>IF($F262="","",'הזנה לתנאי סף'!Q262)</f>
        <v>1</v>
      </c>
      <c r="N262" s="187">
        <f>IF($F262="","",'תחום תמיכה א'!AE262)</f>
        <v>3951.4886999794394</v>
      </c>
      <c r="O262" s="178"/>
      <c r="P262" s="187">
        <f>IF($F262="","",'תחום תמיכה ב'!AC262)</f>
        <v>9971.2813599803703</v>
      </c>
      <c r="Q262" s="187">
        <f>IF($F262="","",IF('תחום תמיכה ג'!O262="",0,'תחום תמיכה ג'!O262))</f>
        <v>1723.7192586948213</v>
      </c>
      <c r="R262" s="187">
        <f t="shared" si="12"/>
        <v>298.98939254936704</v>
      </c>
      <c r="S262" s="187">
        <f>IF($F262="","",'תחום תמיכה ב'!AE262)</f>
        <v>10270.270752529737</v>
      </c>
      <c r="T262" s="187">
        <f>IF($F262="","",IF(Q262='תחום תמיכה ג'!$Q$2,'תחום תמיכה ג'!$Q$2,IFERROR(SUMIF(N262:R262,"&gt;0"),'תחום תמיכה ג'!$Q$2)))</f>
        <v>15945.478711203999</v>
      </c>
      <c r="U262" s="187">
        <f>IF($F262="","",'הזנה לתנאי סף'!Y262)</f>
        <v>350000</v>
      </c>
      <c r="V262" s="269">
        <f>IF(F262="","",'הגבלה לסכום מבוקש '!AA262)</f>
        <v>17655.801040136615</v>
      </c>
      <c r="W262" s="187">
        <f t="shared" si="13"/>
        <v>4413.9502600341539</v>
      </c>
      <c r="X262" s="187">
        <f>IF(F262="","",'הזנה לתנאי סף'!Z262)</f>
        <v>350000</v>
      </c>
      <c r="Y262" s="237" t="str">
        <f>IFERROR(VLOOKUP(G262*1,#REF!,3,0),"")</f>
        <v/>
      </c>
      <c r="Z262" s="187" t="str">
        <f>IF(OR($F262="",Y262=""),"",IFERROR(IF(Y262&gt;V262,MIN(Y262,T262)-V262,0),'תחום תמיכה ג'!$Q$2))</f>
        <v/>
      </c>
      <c r="AA262" s="259"/>
      <c r="AB262" s="260" t="str">
        <f t="shared" si="14"/>
        <v/>
      </c>
      <c r="AC262" s="262"/>
      <c r="AD262" s="180"/>
      <c r="AE262" s="13" t="str">
        <f>IF($C262="","",IFERROR(VLOOKUP($C262,גיליון1!$A:$E,2,0),"לא הגיש בקשה שוטפת"))</f>
        <v>תזמורת ארמון בזמן- 2020</v>
      </c>
      <c r="AF262" s="13" t="str">
        <f>IF($C262="","",IFERROR(VLOOKUP($C262,גיליון1!$A:$E,3,0),"לא הגיש בקשה שוטפת"))</f>
        <v>טיוט</v>
      </c>
      <c r="AG262" s="13" t="str">
        <f>IF($C262="","",IFERROR(VLOOKUP($C262,גיליון1!$A:$E,4,0),"לא הגיש בקשה שוטפת"))</f>
        <v>19-42-02-16</v>
      </c>
      <c r="AH262" s="13" t="str">
        <f>IF($C262="","",IFERROR(VLOOKUP($C262,גיליון1!$A:$E,5,0),"לא הגיש בקשה שוטפת"))</f>
        <v>מוסיקה</v>
      </c>
      <c r="AI262" s="13">
        <f t="shared" si="15"/>
        <v>0</v>
      </c>
      <c r="AJ262"/>
      <c r="AK262" t="s">
        <v>250</v>
      </c>
    </row>
    <row r="263" spans="1:37" ht="43.5" x14ac:dyDescent="0.25">
      <c r="A263" s="54">
        <f>'הזנה לתנאי סף'!B263</f>
        <v>233</v>
      </c>
      <c r="B263" s="266">
        <f>IF($F263="","",'הזנה לתנאי סף'!C263)</f>
        <v>1001347063</v>
      </c>
      <c r="C263" s="266">
        <f>IF($F263="","",'הזנה לתנאי סף'!D263)</f>
        <v>1001290740</v>
      </c>
      <c r="D263" s="266">
        <f>IF($F263="","",'הזנה לתנאי סף'!E263)</f>
        <v>41635660</v>
      </c>
      <c r="E263" s="55">
        <f>IF($F263="","",'הזנה לתנאי סף'!F263)</f>
        <v>20000254</v>
      </c>
      <c r="F263" s="55" t="str">
        <f>IF('הזנה לתנאי סף'!BL263=1,'הזנה לתנאי סף'!G263,"")</f>
        <v>באר שבע</v>
      </c>
      <c r="G263" s="55" t="str">
        <f>IF($F263="","",'הזנה לתנאי סף'!H263)</f>
        <v>עמותת הבית למחול</v>
      </c>
      <c r="H263" s="55" t="str">
        <f>IF($F263="","",'הזנה לתנאי סף'!I263)</f>
        <v>מחול</v>
      </c>
      <c r="I263" s="187">
        <f>IF($F263="","",'הזנה לתנאי סף'!R263)</f>
        <v>617299</v>
      </c>
      <c r="J263" s="187">
        <f>IF($F263="","",'תחום תמיכה א'!P263)</f>
        <v>417172</v>
      </c>
      <c r="K263" s="177">
        <f>IF($F263="","",'הזנה לתנאי סף'!N263)</f>
        <v>0</v>
      </c>
      <c r="L263" s="177">
        <f>IF($F263="","",'הזנה לתנאי סף'!O263)</f>
        <v>1</v>
      </c>
      <c r="M263" s="177">
        <f>IF($F263="","",'הזנה לתנאי סף'!Q263)</f>
        <v>1</v>
      </c>
      <c r="N263" s="187">
        <f>IF($F263="","",'תחום תמיכה א'!AE263)</f>
        <v>10217.710599148806</v>
      </c>
      <c r="O263" s="178"/>
      <c r="P263" s="187">
        <f>IF($F263="","",'תחום תמיכה ב'!AC263)</f>
        <v>21121.750312969729</v>
      </c>
      <c r="Q263" s="187">
        <f>IF($F263="","",IF('תחום תמיכה ג'!O263="",0,'תחום תמיכה ג'!O263))</f>
        <v>0</v>
      </c>
      <c r="R263" s="187">
        <f t="shared" si="12"/>
        <v>633.33678668421999</v>
      </c>
      <c r="S263" s="187">
        <f>IF($F263="","",'תחום תמיכה ב'!AE263)</f>
        <v>21755.087099653949</v>
      </c>
      <c r="T263" s="187">
        <f>IF($F263="","",IF(Q263='תחום תמיכה ג'!$Q$2,'תחום תמיכה ג'!$Q$2,IFERROR(SUMIF(N263:R263,"&gt;0"),'תחום תמיכה ג'!$Q$2)))</f>
        <v>31972.797698802755</v>
      </c>
      <c r="U263" s="187">
        <f>IF($F263="","",'הזנה לתנאי סף'!Y263)</f>
        <v>1000000</v>
      </c>
      <c r="V263" s="269">
        <f>IF(F263="","",'הגבלה לסכום מבוקש '!AA263)</f>
        <v>35594.880967943129</v>
      </c>
      <c r="W263" s="187">
        <f t="shared" si="13"/>
        <v>8898.7202419857822</v>
      </c>
      <c r="X263" s="187">
        <f>IF(F263="","",'הזנה לתנאי סף'!Z263)</f>
        <v>230000</v>
      </c>
      <c r="Y263" s="237" t="str">
        <f>IFERROR(VLOOKUP(G263*1,#REF!,3,0),"")</f>
        <v/>
      </c>
      <c r="Z263" s="187" t="str">
        <f>IF(OR($F263="",Y263=""),"",IFERROR(IF(Y263&gt;V263,MIN(Y263,T263)-V263,0),'תחום תמיכה ג'!$Q$2))</f>
        <v/>
      </c>
      <c r="AA263" s="259"/>
      <c r="AB263" s="260" t="str">
        <f t="shared" si="14"/>
        <v/>
      </c>
      <c r="AC263" s="262"/>
      <c r="AD263" s="180"/>
      <c r="AE263" s="13" t="str">
        <f>IF($C263="","",IFERROR(VLOOKUP($C263,גיליון1!$A:$E,2,0),"לא הגיש בקשה שוטפת"))</f>
        <v>להקת המחול סול - להקה קטנה</v>
      </c>
      <c r="AF263" s="13" t="str">
        <f>IF($C263="","",IFERROR(VLOOKUP($C263,גיליון1!$A:$E,3,0),"לא הגיש בקשה שוטפת"))</f>
        <v>מועד</v>
      </c>
      <c r="AG263" s="13" t="str">
        <f>IF($C263="","",IFERROR(VLOOKUP($C263,גיליון1!$A:$E,4,0),"לא הגיש בקשה שוטפת"))</f>
        <v>19-42-02-20</v>
      </c>
      <c r="AH263" s="13" t="str">
        <f>IF($C263="","",IFERROR(VLOOKUP($C263,גיליון1!$A:$E,5,0),"לא הגיש בקשה שוטפת"))</f>
        <v>מחול וארגוני גג</v>
      </c>
      <c r="AI263" s="13">
        <f t="shared" si="15"/>
        <v>0</v>
      </c>
      <c r="AJ263"/>
      <c r="AK263" t="s">
        <v>250</v>
      </c>
    </row>
    <row r="264" spans="1:37" ht="72" x14ac:dyDescent="0.25">
      <c r="A264" s="54">
        <f>'הזנה לתנאי סף'!B264</f>
        <v>234</v>
      </c>
      <c r="B264" s="266">
        <f>IF($F264="","",'הזנה לתנאי סף'!C264)</f>
        <v>1001347315</v>
      </c>
      <c r="C264" s="266">
        <f>IF($F264="","",'הזנה לתנאי סף'!D264)</f>
        <v>1001270643</v>
      </c>
      <c r="D264" s="266">
        <f>IF($F264="","",'הזנה לתנאי סף'!E264)</f>
        <v>40000252</v>
      </c>
      <c r="E264" s="55">
        <f>IF($F264="","",'הזנה לתנאי סף'!F264)</f>
        <v>20000182</v>
      </c>
      <c r="F264" s="55" t="str">
        <f>IF('הזנה לתנאי סף'!BL264=1,'הזנה לתנאי סף'!G264,"")</f>
        <v>חיפה</v>
      </c>
      <c r="G264" s="55" t="str">
        <f>IF($F264="","",'הזנה לתנאי סף'!H264)</f>
        <v>אתו"ס - החברה לאומנות תרבות וספורט</v>
      </c>
      <c r="H264" s="55" t="str">
        <f>IF($F264="","",'הזנה לתנאי סף'!I264)</f>
        <v>אחר</v>
      </c>
      <c r="I264" s="187">
        <f>IF($F264="","",'הזנה לתנאי סף'!R264)</f>
        <v>624000</v>
      </c>
      <c r="J264" s="187">
        <f>IF($F264="","",'תחום תמיכה א'!P264)</f>
        <v>624000</v>
      </c>
      <c r="K264" s="177">
        <f>IF($F264="","",'הזנה לתנאי סף'!N264)</f>
        <v>1</v>
      </c>
      <c r="L264" s="177">
        <f>IF($F264="","",'הזנה לתנאי סף'!O264)</f>
        <v>0</v>
      </c>
      <c r="M264" s="177">
        <f>IF($F264="","",'הזנה לתנאי סף'!Q264)</f>
        <v>1</v>
      </c>
      <c r="N264" s="187">
        <f>IF($F264="","",'תחום תמיכה א'!AE264)</f>
        <v>9948.9393725783029</v>
      </c>
      <c r="O264" s="178"/>
      <c r="P264" s="187">
        <f>IF($F264="","",'תחום תמיכה ב'!AC264)</f>
        <v>9047.4547009986291</v>
      </c>
      <c r="Q264" s="187">
        <f>IF($F264="","",IF('תחום תמיכה ג'!O264="",0,'תחום תמיכה ג'!O264))</f>
        <v>1955.4325668537872</v>
      </c>
      <c r="R264" s="187">
        <f t="shared" si="12"/>
        <v>271.28840191255222</v>
      </c>
      <c r="S264" s="187">
        <f>IF($F264="","",'תחום תמיכה ב'!AE264)</f>
        <v>9318.7431029111813</v>
      </c>
      <c r="T264" s="187">
        <f>IF($F264="","",IF(Q264='תחום תמיכה ג'!$Q$2,'תחום תמיכה ג'!$Q$2,IFERROR(SUMIF(N264:R264,"&gt;0"),'תחום תמיכה ג'!$Q$2)))</f>
        <v>21223.11504234327</v>
      </c>
      <c r="U264" s="187">
        <f>IF($F264="","",'הזנה לתנאי סף'!Y264)</f>
        <v>130000</v>
      </c>
      <c r="V264" s="269">
        <f>IF(F264="","",'הגבלה לסכום מבוקש '!AA264)</f>
        <v>22778.053875583399</v>
      </c>
      <c r="W264" s="187">
        <f t="shared" si="13"/>
        <v>5694.5134688958497</v>
      </c>
      <c r="X264" s="187">
        <f>IF(F264="","",'הזנה לתנאי סף'!Z264)</f>
        <v>1</v>
      </c>
      <c r="Y264" s="237" t="str">
        <f>IFERROR(VLOOKUP(G264*1,#REF!,3,0),"")</f>
        <v/>
      </c>
      <c r="Z264" s="187" t="str">
        <f>IF(OR($F264="",Y264=""),"",IFERROR(IF(Y264&gt;V264,MIN(Y264,T264)-V264,0),'תחום תמיכה ג'!$Q$2))</f>
        <v/>
      </c>
      <c r="AA264" s="259"/>
      <c r="AB264" s="260" t="str">
        <f t="shared" si="14"/>
        <v/>
      </c>
      <c r="AC264" s="262"/>
      <c r="AD264" s="180"/>
      <c r="AE264" s="13" t="str">
        <f>IF($C264="","",IFERROR(VLOOKUP($C264,גיליון1!$A:$E,2,0),"לא הגיש בקשה שוטפת"))</f>
        <v>תזמורת הביג בנד</v>
      </c>
      <c r="AF264" s="13" t="str">
        <f>IF($C264="","",IFERROR(VLOOKUP($C264,גיליון1!$A:$E,3,0),"לא הגיש בקשה שוטפת"))</f>
        <v>חויב</v>
      </c>
      <c r="AG264" s="13" t="str">
        <f>IF($C264="","",IFERROR(VLOOKUP($C264,גיליון1!$A:$E,4,0),"לא הגיש בקשה שוטפת"))</f>
        <v>19-42-02-16</v>
      </c>
      <c r="AH264" s="13" t="str">
        <f>IF($C264="","",IFERROR(VLOOKUP($C264,גיליון1!$A:$E,5,0),"לא הגיש בקשה שוטפת"))</f>
        <v>מוסיקה</v>
      </c>
      <c r="AI264" s="13">
        <f t="shared" si="15"/>
        <v>0</v>
      </c>
      <c r="AJ264"/>
      <c r="AK264" t="s">
        <v>250</v>
      </c>
    </row>
    <row r="265" spans="1:37" ht="72" x14ac:dyDescent="0.25">
      <c r="A265" s="54">
        <f>'הזנה לתנאי סף'!B265</f>
        <v>235</v>
      </c>
      <c r="B265" s="266">
        <f>IF($F265="","",'הזנה לתנאי סף'!C265)</f>
        <v>1001347608</v>
      </c>
      <c r="C265" s="266">
        <f>IF($F265="","",'הזנה לתנאי סף'!D265)</f>
        <v>1001270721</v>
      </c>
      <c r="D265" s="266">
        <f>IF($F265="","",'הזנה לתנאי סף'!E265)</f>
        <v>40000252</v>
      </c>
      <c r="E265" s="55">
        <f>IF($F265="","",'הזנה לתנאי סף'!F265)</f>
        <v>20000182</v>
      </c>
      <c r="F265" s="55" t="str">
        <f>IF('הזנה לתנאי סף'!BL265=1,'הזנה לתנאי סף'!G265,"")</f>
        <v>חיפה</v>
      </c>
      <c r="G265" s="55" t="str">
        <f>IF($F265="","",'הזנה לתנאי סף'!H265)</f>
        <v>אתו"ס - החברה לאומנות תרבות וספורט</v>
      </c>
      <c r="H265" s="55" t="str">
        <f>IF($F265="","",'הזנה לתנאי סף'!I265)</f>
        <v>סינמטקים ופסטיבלים</v>
      </c>
      <c r="I265" s="187">
        <f>IF($F265="","",'הזנה לתנאי סף'!R265)</f>
        <v>9776000</v>
      </c>
      <c r="J265" s="187">
        <f>IF($F265="","",'תחום תמיכה א'!P265)</f>
        <v>9776000</v>
      </c>
      <c r="K265" s="177">
        <f>IF($F265="","",'הזנה לתנאי סף'!N265)</f>
        <v>1</v>
      </c>
      <c r="L265" s="177">
        <f>IF($F265="","",'הזנה לתנאי סף'!O265)</f>
        <v>0</v>
      </c>
      <c r="M265" s="177">
        <f>IF($F265="","",'הזנה לתנאי סף'!Q265)</f>
        <v>1</v>
      </c>
      <c r="N265" s="187">
        <f>IF($F265="","",'תחום תמיכה א'!AE265)</f>
        <v>212316.92595106666</v>
      </c>
      <c r="O265" s="178"/>
      <c r="P265" s="187">
        <f>IF($F265="","",'תחום תמיכה ב'!AC265)</f>
        <v>263005.89365795325</v>
      </c>
      <c r="Q265" s="187">
        <f>IF($F265="","",IF('תחום תמיכה ג'!O265="",0,'תחום תמיכה ג'!O265))</f>
        <v>56843.643514068099</v>
      </c>
      <c r="R265" s="187">
        <f t="shared" si="12"/>
        <v>7886.2454626242397</v>
      </c>
      <c r="S265" s="187">
        <f>IF($F265="","",'תחום תמיכה ב'!AE265)</f>
        <v>270892.13912057749</v>
      </c>
      <c r="T265" s="187">
        <f>IF($F265="","",IF(Q265='תחום תמיכה ג'!$Q$2,'תחום תמיכה ג'!$Q$2,IFERROR(SUMIF(N265:R265,"&gt;0"),'תחום תמיכה ג'!$Q$2)))</f>
        <v>540052.70858571224</v>
      </c>
      <c r="U265" s="187">
        <f>IF($F265="","",'הזנה לתנאי סף'!Y265)</f>
        <v>2500000</v>
      </c>
      <c r="V265" s="269">
        <f>IF(F265="","",'הגבלה לסכום מבוקש '!AA265)</f>
        <v>585219.14704449463</v>
      </c>
      <c r="W265" s="187">
        <f t="shared" si="13"/>
        <v>146304.78676112366</v>
      </c>
      <c r="X265" s="187">
        <f>IF(F265="","",'הזנה לתנאי סף'!Z265)</f>
        <v>1</v>
      </c>
      <c r="Y265" s="237" t="str">
        <f>IFERROR(VLOOKUP(G265*1,#REF!,3,0),"")</f>
        <v/>
      </c>
      <c r="Z265" s="187" t="str">
        <f>IF(OR($F265="",Y265=""),"",IFERROR(IF(Y265&gt;V265,MIN(Y265,T265)-V265,0),'תחום תמיכה ג'!$Q$2))</f>
        <v/>
      </c>
      <c r="AA265" s="259"/>
      <c r="AB265" s="260" t="str">
        <f t="shared" si="14"/>
        <v/>
      </c>
      <c r="AC265" s="262"/>
      <c r="AD265" s="180"/>
      <c r="AE265" s="13" t="str">
        <f>IF($C265="","",IFERROR(VLOOKUP($C265,גיליון1!$A:$E,2,0),"לא הגיש בקשה שוטפת"))</f>
        <v>פסטיבל הסרטים הבינלאומי חיפה 36</v>
      </c>
      <c r="AF265" s="13" t="str">
        <f>IF($C265="","",IFERROR(VLOOKUP($C265,גיליון1!$A:$E,3,0),"לא הגיש בקשה שוטפת"))</f>
        <v>מועד</v>
      </c>
      <c r="AG265" s="13" t="str">
        <f>IF($C265="","",IFERROR(VLOOKUP($C265,גיליון1!$A:$E,4,0),"לא הגיש בקשה שוטפת"))</f>
        <v>19-42-02-28</v>
      </c>
      <c r="AH265" s="13" t="str">
        <f>IF($C265="","",IFERROR(VLOOKUP($C265,גיליון1!$A:$E,5,0),"לא הגיש בקשה שוטפת"))</f>
        <v>חוק  הקולנוע</v>
      </c>
      <c r="AI265" s="13">
        <f t="shared" si="15"/>
        <v>0</v>
      </c>
      <c r="AJ265"/>
      <c r="AK265" t="s">
        <v>250</v>
      </c>
    </row>
    <row r="266" spans="1:37" ht="72" x14ac:dyDescent="0.25">
      <c r="A266" s="54">
        <f>'הזנה לתנאי סף'!B266</f>
        <v>236</v>
      </c>
      <c r="B266" s="266">
        <f>IF($F266="","",'הזנה לתנאי סף'!C266)</f>
        <v>1001347621</v>
      </c>
      <c r="C266" s="266">
        <f>IF($F266="","",'הזנה לתנאי סף'!D266)</f>
        <v>1001270688</v>
      </c>
      <c r="D266" s="266">
        <f>IF($F266="","",'הזנה לתנאי סף'!E266)</f>
        <v>40000252</v>
      </c>
      <c r="E266" s="55">
        <f>IF($F266="","",'הזנה לתנאי סף'!F266)</f>
        <v>20000182</v>
      </c>
      <c r="F266" s="55" t="str">
        <f>IF('הזנה לתנאי סף'!BL266=1,'הזנה לתנאי סף'!G266,"")</f>
        <v>חיפה</v>
      </c>
      <c r="G266" s="55" t="str">
        <f>IF($F266="","",'הזנה לתנאי סף'!H266)</f>
        <v>אתו"ס - החברה לאומנות תרבות וספורט</v>
      </c>
      <c r="H266" s="55" t="str">
        <f>IF($F266="","",'הזנה לתנאי סף'!I266)</f>
        <v>סינמטקים ופסטיבלים</v>
      </c>
      <c r="I266" s="187">
        <f>IF($F266="","",'הזנה לתנאי סף'!R266)</f>
        <v>3607000</v>
      </c>
      <c r="J266" s="187">
        <f>IF($F266="","",'תחום תמיכה א'!P266)</f>
        <v>3607000</v>
      </c>
      <c r="K266" s="177">
        <f>IF($F266="","",'הזנה לתנאי סף'!N266)</f>
        <v>1</v>
      </c>
      <c r="L266" s="177">
        <f>IF($F266="","",'הזנה לתנאי סף'!O266)</f>
        <v>0</v>
      </c>
      <c r="M266" s="177">
        <f>IF($F266="","",'הזנה לתנאי סף'!Q266)</f>
        <v>1</v>
      </c>
      <c r="N266" s="187">
        <f>IF($F266="","",'תחום תמיכה א'!AE266)</f>
        <v>70189.22062851947</v>
      </c>
      <c r="O266" s="178"/>
      <c r="P266" s="187">
        <f>IF($F266="","",'תחום תמיכה ב'!AC266)</f>
        <v>77902.632953956694</v>
      </c>
      <c r="Q266" s="187">
        <f>IF($F266="","",IF('תחום תמיכה ג'!O266="",0,'תחום תמיכה ג'!O266))</f>
        <v>16837.149292939805</v>
      </c>
      <c r="R266" s="187">
        <f t="shared" si="12"/>
        <v>2335.9145193096483</v>
      </c>
      <c r="S266" s="187">
        <f>IF($F266="","",'תחום תמיכה ב'!AE266)</f>
        <v>80238.547473266342</v>
      </c>
      <c r="T266" s="187">
        <f>IF($F266="","",IF(Q266='תחום תמיכה ג'!$Q$2,'תחום תמיכה ג'!$Q$2,IFERROR(SUMIF(N266:R266,"&gt;0"),'תחום תמיכה ג'!$Q$2)))</f>
        <v>167264.91739472561</v>
      </c>
      <c r="U266" s="187">
        <f>IF($F266="","",'הזנה לתנאי סף'!Y266)</f>
        <v>1490000</v>
      </c>
      <c r="V266" s="269">
        <f>IF(F266="","",'הגבלה לסכום מבוקש '!AA266)</f>
        <v>180646.59000504008</v>
      </c>
      <c r="W266" s="187">
        <f t="shared" si="13"/>
        <v>45161.64750126002</v>
      </c>
      <c r="X266" s="187">
        <f>IF(F266="","",'הזנה לתנאי סף'!Z266)</f>
        <v>340000</v>
      </c>
      <c r="Y266" s="237" t="str">
        <f>IFERROR(VLOOKUP(G266*1,#REF!,3,0),"")</f>
        <v/>
      </c>
      <c r="Z266" s="187" t="str">
        <f>IF(OR($F266="",Y266=""),"",IFERROR(IF(Y266&gt;V266,MIN(Y266,T266)-V266,0),'תחום תמיכה ג'!$Q$2))</f>
        <v/>
      </c>
      <c r="AA266" s="259"/>
      <c r="AB266" s="260" t="str">
        <f t="shared" si="14"/>
        <v/>
      </c>
      <c r="AC266" s="262"/>
      <c r="AD266" s="180"/>
      <c r="AE266" s="13" t="str">
        <f>IF($C266="","",IFERROR(VLOOKUP($C266,גיליון1!$A:$E,2,0),"לא הגיש בקשה שוטפת"))</f>
        <v>סינמטק חיפה</v>
      </c>
      <c r="AF266" s="13" t="str">
        <f>IF($C266="","",IFERROR(VLOOKUP($C266,גיליון1!$A:$E,3,0),"לא הגיש בקשה שוטפת"))</f>
        <v>מועד</v>
      </c>
      <c r="AG266" s="13" t="str">
        <f>IF($C266="","",IFERROR(VLOOKUP($C266,גיליון1!$A:$E,4,0),"לא הגיש בקשה שוטפת"))</f>
        <v>19-42-02-28</v>
      </c>
      <c r="AH266" s="13" t="str">
        <f>IF($C266="","",IFERROR(VLOOKUP($C266,גיליון1!$A:$E,5,0),"לא הגיש בקשה שוטפת"))</f>
        <v>חוק  הקולנוע</v>
      </c>
      <c r="AI266" s="13">
        <f t="shared" si="15"/>
        <v>0</v>
      </c>
      <c r="AJ266"/>
      <c r="AK266" t="s">
        <v>250</v>
      </c>
    </row>
    <row r="267" spans="1:37" ht="57.75" x14ac:dyDescent="0.25">
      <c r="A267" s="54">
        <f>'הזנה לתנאי סף'!B267</f>
        <v>237</v>
      </c>
      <c r="B267" s="266">
        <f>IF($F267="","",'הזנה לתנאי סף'!C267)</f>
        <v>1001342867</v>
      </c>
      <c r="C267" s="266">
        <f>IF($F267="","",'הזנה לתנאי סף'!D267)</f>
        <v>1001274259</v>
      </c>
      <c r="D267" s="266">
        <f>IF($F267="","",'הזנה לתנאי סף'!E267)</f>
        <v>40000254</v>
      </c>
      <c r="E267" s="55">
        <f>IF($F267="","",'הזנה לתנאי סף'!F267)</f>
        <v>20000182</v>
      </c>
      <c r="F267" s="55" t="str">
        <f>IF('הזנה לתנאי סף'!BL267=1,'הזנה לתנאי סף'!G267,"")</f>
        <v>חיפה</v>
      </c>
      <c r="G267" s="55" t="str">
        <f>IF($F267="","",'הזנה לתנאי סף'!H267)</f>
        <v>תיאטרון עירוני חיפה בע"מ (חל"צ)</v>
      </c>
      <c r="H267" s="55" t="str">
        <f>IF($F267="","",'הזנה לתנאי סף'!I267)</f>
        <v>תיאטרון</v>
      </c>
      <c r="I267" s="187">
        <f>IF($F267="","",'הזנה לתנאי סף'!R267)</f>
        <v>24682000</v>
      </c>
      <c r="J267" s="187">
        <f>IF($F267="","",'תחום תמיכה א'!P267)</f>
        <v>24392000</v>
      </c>
      <c r="K267" s="177">
        <f>IF($F267="","",'הזנה לתנאי סף'!N267)</f>
        <v>1</v>
      </c>
      <c r="L267" s="177">
        <f>IF($F267="","",'הזנה לתנאי סף'!O267)</f>
        <v>0</v>
      </c>
      <c r="M267" s="177">
        <f>IF($F267="","",'הזנה לתנאי סף'!Q267)</f>
        <v>1</v>
      </c>
      <c r="N267" s="187">
        <f>IF($F267="","",'תחום תמיכה א'!AE267)</f>
        <v>530228.12902354286</v>
      </c>
      <c r="O267" s="178"/>
      <c r="P267" s="187">
        <f>IF($F267="","",'תחום תמיכה ב'!AC267)</f>
        <v>665224.89088646951</v>
      </c>
      <c r="Q267" s="187">
        <f>IF($F267="","",IF('תחום תמיכה ג'!O267="",0,'תחום תמיכה ג'!O267))</f>
        <v>143775.51023025086</v>
      </c>
      <c r="R267" s="187">
        <f t="shared" si="12"/>
        <v>19946.803109290311</v>
      </c>
      <c r="S267" s="187">
        <f>IF($F267="","",'תחום תמיכה ב'!AE267)</f>
        <v>685171.69399575982</v>
      </c>
      <c r="T267" s="187">
        <f>IF($F267="","",IF(Q267='תחום תמיכה ג'!$Q$2,'תחום תמיכה ג'!$Q$2,IFERROR(SUMIF(N267:R267,"&gt;0"),'תחום תמיכה ג'!$Q$2)))</f>
        <v>1359175.3332495536</v>
      </c>
      <c r="U267" s="187">
        <f>IF($F267="","",'הזנה לתנאי סף'!Y267)</f>
        <v>5000000</v>
      </c>
      <c r="V267" s="269">
        <f>IF(F267="","",'הגבלה לסכום מבוקש '!AA267)</f>
        <v>1473412.416481741</v>
      </c>
      <c r="W267" s="187">
        <f t="shared" si="13"/>
        <v>368353.10412043525</v>
      </c>
      <c r="X267" s="187">
        <f>IF(F267="","",'הזנה לתנאי סף'!Z267)</f>
        <v>1250000</v>
      </c>
      <c r="Y267" s="237" t="str">
        <f>IFERROR(VLOOKUP(G267*1,#REF!,3,0),"")</f>
        <v/>
      </c>
      <c r="Z267" s="187" t="str">
        <f>IF(OR($F267="",Y267=""),"",IFERROR(IF(Y267&gt;V267,MIN(Y267,T267)-V267,0),'תחום תמיכה ג'!$Q$2))</f>
        <v/>
      </c>
      <c r="AA267" s="259"/>
      <c r="AB267" s="260" t="str">
        <f t="shared" si="14"/>
        <v/>
      </c>
      <c r="AC267" s="262"/>
      <c r="AD267" s="180"/>
      <c r="AE267" s="13" t="str">
        <f>IF($C267="","",IFERROR(VLOOKUP($C267,גיליון1!$A:$E,2,0),"לא הגיש בקשה שוטפת"))</f>
        <v>תיאטרון חיפה - תמיכה שוטפת 2020</v>
      </c>
      <c r="AF267" s="13" t="str">
        <f>IF($C267="","",IFERROR(VLOOKUP($C267,גיליון1!$A:$E,3,0),"לא הגיש בקשה שוטפת"))</f>
        <v>חויב</v>
      </c>
      <c r="AG267" s="13" t="str">
        <f>IF($C267="","",IFERROR(VLOOKUP($C267,גיליון1!$A:$E,4,0),"לא הגיש בקשה שוטפת"))</f>
        <v>19-42-02-07</v>
      </c>
      <c r="AH267" s="13" t="str">
        <f>IF($C267="","",IFERROR(VLOOKUP($C267,גיליון1!$A:$E,5,0),"לא הגיש בקשה שוטפת"))</f>
        <v>תיאטרון</v>
      </c>
      <c r="AI267" s="13">
        <f t="shared" si="15"/>
        <v>0</v>
      </c>
      <c r="AJ267"/>
      <c r="AK267" t="s">
        <v>250</v>
      </c>
    </row>
    <row r="268" spans="1:37" ht="57.75" x14ac:dyDescent="0.25">
      <c r="A268" s="54">
        <f>'הזנה לתנאי סף'!B268</f>
        <v>238</v>
      </c>
      <c r="B268" s="266">
        <f>IF($F268="","",'הזנה לתנאי סף'!C268)</f>
        <v>1001342869</v>
      </c>
      <c r="C268" s="266">
        <f>IF($F268="","",'הזנה לתנאי סף'!D268)</f>
        <v>1001274254</v>
      </c>
      <c r="D268" s="266">
        <f>IF($F268="","",'הזנה לתנאי סף'!E268)</f>
        <v>40000254</v>
      </c>
      <c r="E268" s="55">
        <f>IF($F268="","",'הזנה לתנאי סף'!F268)</f>
        <v>20000182</v>
      </c>
      <c r="F268" s="55" t="str">
        <f>IF('הזנה לתנאי סף'!BL268=1,'הזנה לתנאי סף'!G268,"")</f>
        <v>חיפה</v>
      </c>
      <c r="G268" s="55" t="str">
        <f>IF($F268="","",'הזנה לתנאי סף'!H268)</f>
        <v>תיאטרון עירוני חיפה בע"מ (חל"צ)</v>
      </c>
      <c r="H268" s="55" t="str">
        <f>IF($F268="","",'הזנה לתנאי סף'!I268)</f>
        <v>סינמטקים ופסטיבלים</v>
      </c>
      <c r="I268" s="187">
        <f>IF($F268="","",'הזנה לתנאי סף'!R268)</f>
        <v>2661000</v>
      </c>
      <c r="J268" s="187">
        <f>IF($F268="","",'תחום תמיכה א'!P268)</f>
        <v>2680000</v>
      </c>
      <c r="K268" s="177">
        <f>IF($F268="","",'הזנה לתנאי סף'!N268)</f>
        <v>1</v>
      </c>
      <c r="L268" s="177">
        <f>IF($F268="","",'הזנה לתנאי סף'!O268)</f>
        <v>0</v>
      </c>
      <c r="M268" s="177">
        <f>IF($F268="","",'הזנה לתנאי סף'!Q268)</f>
        <v>1</v>
      </c>
      <c r="N268" s="187">
        <f>IF($F268="","",'תחום תמיכה א'!AE268)</f>
        <v>50265.047045850515</v>
      </c>
      <c r="O268" s="178"/>
      <c r="P268" s="187">
        <f>IF($F268="","",'תחום תמיכה ב'!AC268)</f>
        <v>53390.613537999445</v>
      </c>
      <c r="Q268" s="187">
        <f>IF($F268="","",IF('תחום תמיכה ג'!O268="",0,'תחום תמיכה ג'!O268))</f>
        <v>11539.349786961109</v>
      </c>
      <c r="R268" s="187">
        <f t="shared" si="12"/>
        <v>1600.9203364406858</v>
      </c>
      <c r="S268" s="187">
        <f>IF($F268="","",'תחום תמיכה ב'!AE268)</f>
        <v>54991.533874440131</v>
      </c>
      <c r="T268" s="187">
        <f>IF($F268="","",IF(Q268='תחום תמיכה ג'!$Q$2,'תחום תמיכה ג'!$Q$2,IFERROR(SUMIF(N268:R268,"&gt;0"),'תחום תמיכה ג'!$Q$2)))</f>
        <v>116795.93070725175</v>
      </c>
      <c r="U268" s="187">
        <f>IF($F268="","",'הזנה לתנאי סף'!Y268)</f>
        <v>500000</v>
      </c>
      <c r="V268" s="269">
        <f>IF(F268="","",'הגבלה לסכום מבוקש '!AA268)</f>
        <v>125968.05147688254</v>
      </c>
      <c r="W268" s="187">
        <f t="shared" si="13"/>
        <v>31492.012869220634</v>
      </c>
      <c r="X268" s="187">
        <f>IF(F268="","",'הזנה לתנאי סף'!Z268)</f>
        <v>500000</v>
      </c>
      <c r="Y268" s="237" t="str">
        <f>IFERROR(VLOOKUP(G268*1,#REF!,3,0),"")</f>
        <v/>
      </c>
      <c r="Z268" s="187" t="str">
        <f>IF(OR($F268="",Y268=""),"",IFERROR(IF(Y268&gt;V268,MIN(Y268,T268)-V268,0),'תחום תמיכה ג'!$Q$2))</f>
        <v/>
      </c>
      <c r="AA268" s="259"/>
      <c r="AB268" s="260" t="str">
        <f t="shared" si="14"/>
        <v/>
      </c>
      <c r="AC268" s="262"/>
      <c r="AD268" s="180"/>
      <c r="AE268" s="13" t="str">
        <f>IF($C268="","",IFERROR(VLOOKUP($C268,גיליון1!$A:$E,2,0),"לא הגיש בקשה שוטפת"))</f>
        <v>תיאטרון חיפה, פסטיבל הצגות ילדים 2020</v>
      </c>
      <c r="AF268" s="13" t="str">
        <f>IF($C268="","",IFERROR(VLOOKUP($C268,גיליון1!$A:$E,3,0),"לא הגיש בקשה שוטפת"))</f>
        <v>מועד</v>
      </c>
      <c r="AG268" s="13" t="str">
        <f>IF($C268="","",IFERROR(VLOOKUP($C268,גיליון1!$A:$E,4,0),"לא הגיש בקשה שוטפת"))</f>
        <v>19-42-02-26</v>
      </c>
      <c r="AH268" s="13" t="str">
        <f>IF($C268="","",IFERROR(VLOOKUP($C268,גיליון1!$A:$E,5,0),"לא הגיש בקשה שוטפת"))</f>
        <v>פסטיבלים לתרבות</v>
      </c>
      <c r="AI268" s="13">
        <f t="shared" si="15"/>
        <v>0</v>
      </c>
      <c r="AJ268"/>
      <c r="AK268" t="s">
        <v>250</v>
      </c>
    </row>
    <row r="269" spans="1:37" ht="72" x14ac:dyDescent="0.25">
      <c r="A269" s="54">
        <f>'הזנה לתנאי סף'!B269</f>
        <v>239</v>
      </c>
      <c r="B269" s="266">
        <f>IF($F269="","",'הזנה לתנאי סף'!C269)</f>
        <v>1001347742</v>
      </c>
      <c r="C269" s="266">
        <f>IF($F269="","",'הזנה לתנאי סף'!D269)</f>
        <v>1001266912</v>
      </c>
      <c r="D269" s="266">
        <f>IF($F269="","",'הזנה לתנאי סף'!E269)</f>
        <v>40474818</v>
      </c>
      <c r="E269" s="55">
        <f>IF($F269="","",'הזנה לתנאי סף'!F269)</f>
        <v>20000201</v>
      </c>
      <c r="F269" s="55" t="str">
        <f>IF('הזנה לתנאי סף'!BL269=1,'הזנה לתנאי סף'!G269,"")</f>
        <v>תל אביב -יפו</v>
      </c>
      <c r="G269" s="55" t="str">
        <f>IF($F269="","",'הזנה לתנאי סף'!H269)</f>
        <v>צוותא לתרבות מתקדמת בע"מ (חל"צ)</v>
      </c>
      <c r="H269" s="55" t="str">
        <f>IF($F269="","",'הזנה לתנאי סף'!I269)</f>
        <v>ספרות</v>
      </c>
      <c r="I269" s="187">
        <f>IF($F269="","",'הזנה לתנאי סף'!R269)</f>
        <v>671056</v>
      </c>
      <c r="J269" s="187">
        <f>IF($F269="","",'תחום תמיכה א'!P269)</f>
        <v>680971</v>
      </c>
      <c r="K269" s="177">
        <f>IF($F269="","",'הזנה לתנאי סף'!N269)</f>
        <v>1</v>
      </c>
      <c r="L269" s="177">
        <f>IF($F269="","",'הזנה לתנאי סף'!O269)</f>
        <v>0</v>
      </c>
      <c r="M269" s="177">
        <f>IF($F269="","",'הזנה לתנאי סף'!Q269)</f>
        <v>1</v>
      </c>
      <c r="N269" s="187">
        <f>IF($F269="","",'תחום תמיכה א'!AE269)</f>
        <v>12726.594431275618</v>
      </c>
      <c r="O269" s="178"/>
      <c r="P269" s="187">
        <f>IF($F269="","",'תחום תמיכה ב'!AC269)</f>
        <v>13368.521415581326</v>
      </c>
      <c r="Q269" s="187">
        <f>IF($F269="","",IF('תחום תמיכה ג'!O269="",0,'תחום תמיכה ג'!O269))</f>
        <v>5605.9927924705289</v>
      </c>
      <c r="R269" s="187">
        <f t="shared" si="12"/>
        <v>400.85581311244277</v>
      </c>
      <c r="S269" s="187">
        <f>IF($F269="","",'תחום תמיכה ב'!AE269)</f>
        <v>13769.377228693769</v>
      </c>
      <c r="T269" s="187">
        <f>IF($F269="","",IF(Q269='תחום תמיכה ג'!$Q$2,'תחום תמיכה ג'!$Q$2,IFERROR(SUMIF(N269:R269,"&gt;0"),'תחום תמיכה ג'!$Q$2)))</f>
        <v>32101.964452439919</v>
      </c>
      <c r="U269" s="187">
        <f>IF($F269="","",'הזנה לתנאי סף'!Y269)</f>
        <v>1030000</v>
      </c>
      <c r="V269" s="269">
        <f>IF(F269="","",'הגבלה לסכום מבוקש '!AA269)</f>
        <v>34399.880639922652</v>
      </c>
      <c r="W269" s="187">
        <f t="shared" si="13"/>
        <v>8599.9701599806631</v>
      </c>
      <c r="X269" s="187">
        <f>IF(F269="","",'הזנה לתנאי סף'!Z269)</f>
        <v>1</v>
      </c>
      <c r="Y269" s="237" t="str">
        <f>IFERROR(VLOOKUP(G269*1,#REF!,3,0),"")</f>
        <v/>
      </c>
      <c r="Z269" s="187" t="str">
        <f>IF(OR($F269="",Y269=""),"",IFERROR(IF(Y269&gt;V269,MIN(Y269,T269)-V269,0),'תחום תמיכה ג'!$Q$2))</f>
        <v/>
      </c>
      <c r="AA269" s="259"/>
      <c r="AB269" s="260" t="str">
        <f t="shared" si="14"/>
        <v/>
      </c>
      <c r="AC269" s="262"/>
      <c r="AD269" s="180"/>
      <c r="AE269" s="13" t="str">
        <f>IF($C269="","",IFERROR(VLOOKUP($C269,גיליון1!$A:$E,2,0),"לא הגיש בקשה שוטפת"))</f>
        <v>אירועים ספרותיים</v>
      </c>
      <c r="AF269" s="13" t="str">
        <f>IF($C269="","",IFERROR(VLOOKUP($C269,גיליון1!$A:$E,3,0),"לא הגיש בקשה שוטפת"))</f>
        <v>מועד</v>
      </c>
      <c r="AG269" s="13" t="str">
        <f>IF($C269="","",IFERROR(VLOOKUP($C269,גיליון1!$A:$E,4,0),"לא הגיש בקשה שוטפת"))</f>
        <v>19-42-02-22</v>
      </c>
      <c r="AH269" s="13" t="str">
        <f>IF($C269="","",IFERROR(VLOOKUP($C269,גיליון1!$A:$E,5,0),"לא הגיש בקשה שוטפת"))</f>
        <v>ספרות</v>
      </c>
      <c r="AI269" s="13">
        <f t="shared" si="15"/>
        <v>0</v>
      </c>
      <c r="AJ269"/>
      <c r="AK269" t="s">
        <v>250</v>
      </c>
    </row>
    <row r="270" spans="1:37" ht="72" x14ac:dyDescent="0.25">
      <c r="A270" s="54">
        <f>'הזנה לתנאי סף'!B270</f>
        <v>240</v>
      </c>
      <c r="B270" s="266">
        <f>IF($F270="","",'הזנה לתנאי סף'!C270)</f>
        <v>1001349320</v>
      </c>
      <c r="C270" s="266">
        <f>IF($F270="","",'הזנה לתנאי סף'!D270)</f>
        <v>1001266968</v>
      </c>
      <c r="D270" s="266">
        <f>IF($F270="","",'הזנה לתנאי סף'!E270)</f>
        <v>40474818</v>
      </c>
      <c r="E270" s="55">
        <f>IF($F270="","",'הזנה לתנאי סף'!F270)</f>
        <v>20000201</v>
      </c>
      <c r="F270" s="55" t="str">
        <f>IF('הזנה לתנאי סף'!BL270=1,'הזנה לתנאי סף'!G270,"")</f>
        <v>תל אביב -יפו</v>
      </c>
      <c r="G270" s="55" t="str">
        <f>IF($F270="","",'הזנה לתנאי סף'!H270)</f>
        <v>צוותא לתרבות מתקדמת בע"מ (חל"צ)</v>
      </c>
      <c r="H270" s="55" t="str">
        <f>IF($F270="","",'הזנה לתנאי סף'!I270)</f>
        <v>מרכזי פרינג'</v>
      </c>
      <c r="I270" s="187">
        <f>IF($F270="","",'הזנה לתנאי סף'!R270)</f>
        <v>1358197</v>
      </c>
      <c r="J270" s="187">
        <f>IF($F270="","",'תחום תמיכה א'!P270)</f>
        <v>1360166</v>
      </c>
      <c r="K270" s="177">
        <f>IF($F270="","",'הזנה לתנאי סף'!N270)</f>
        <v>1</v>
      </c>
      <c r="L270" s="177">
        <f>IF($F270="","",'הזנה לתנאי סף'!O270)</f>
        <v>0</v>
      </c>
      <c r="M270" s="177">
        <f>IF($F270="","",'הזנה לתנאי סף'!Q270)</f>
        <v>1</v>
      </c>
      <c r="N270" s="187">
        <f>IF($F270="","",'תחום תמיכה א'!AE270)</f>
        <v>41512.240409334678</v>
      </c>
      <c r="O270" s="178"/>
      <c r="P270" s="187">
        <f>IF($F270="","",'תחום תמיכה ב'!AC270)</f>
        <v>72158.703522034732</v>
      </c>
      <c r="Q270" s="187">
        <f>IF($F270="","",IF('תחום תמיכה ג'!O270="",0,'תחום תמיכה ג'!O270))</f>
        <v>30259.230567343482</v>
      </c>
      <c r="R270" s="187">
        <f t="shared" si="12"/>
        <v>2163.682495189918</v>
      </c>
      <c r="S270" s="187">
        <f>IF($F270="","",'תחום תמיכה ב'!AE270)</f>
        <v>74322.38601722465</v>
      </c>
      <c r="T270" s="187">
        <f>IF($F270="","",IF(Q270='תחום תמיכה ג'!$Q$2,'תחום תמיכה ג'!$Q$2,IFERROR(SUMIF(N270:R270,"&gt;0"),'תחום תמיכה ג'!$Q$2)))</f>
        <v>146093.85699390279</v>
      </c>
      <c r="U270" s="187">
        <f>IF($F270="","",'הזנה לתנאי סף'!Y270)</f>
        <v>1050000</v>
      </c>
      <c r="V270" s="269">
        <f>IF(F270="","",'הגבלה לסכום מבוקש '!AA270)</f>
        <v>158484.84568062468</v>
      </c>
      <c r="W270" s="187">
        <f t="shared" si="13"/>
        <v>39621.211420156171</v>
      </c>
      <c r="X270" s="187">
        <f>IF(F270="","",'הזנה לתנאי סף'!Z270)</f>
        <v>1</v>
      </c>
      <c r="Y270" s="237" t="str">
        <f>IFERROR(VLOOKUP(G270*1,#REF!,3,0),"")</f>
        <v/>
      </c>
      <c r="Z270" s="187" t="str">
        <f>IF(OR($F270="",Y270=""),"",IFERROR(IF(Y270&gt;V270,MIN(Y270,T270)-V270,0),'תחום תמיכה ג'!$Q$2))</f>
        <v/>
      </c>
      <c r="AA270" s="259"/>
      <c r="AB270" s="260" t="str">
        <f t="shared" si="14"/>
        <v/>
      </c>
      <c r="AC270" s="262"/>
      <c r="AD270" s="180"/>
      <c r="AE270" s="13" t="str">
        <f>IF($C270="","",IFERROR(VLOOKUP($C270,גיליון1!$A:$E,2,0),"לא הגיש בקשה שוטפת"))</f>
        <v>פרינג'</v>
      </c>
      <c r="AF270" s="13" t="str">
        <f>IF($C270="","",IFERROR(VLOOKUP($C270,גיליון1!$A:$E,3,0),"לא הגיש בקשה שוטפת"))</f>
        <v>מועד</v>
      </c>
      <c r="AG270" s="13" t="str">
        <f>IF($C270="","",IFERROR(VLOOKUP($C270,גיליון1!$A:$E,4,0),"לא הגיש בקשה שוטפת"))</f>
        <v>19-42-02-07</v>
      </c>
      <c r="AH270" s="13" t="str">
        <f>IF($C270="","",IFERROR(VLOOKUP($C270,גיליון1!$A:$E,5,0),"לא הגיש בקשה שוטפת"))</f>
        <v>תיאטרון</v>
      </c>
      <c r="AI270" s="13">
        <f t="shared" si="15"/>
        <v>0</v>
      </c>
      <c r="AJ270"/>
      <c r="AK270" t="s">
        <v>250</v>
      </c>
    </row>
    <row r="271" spans="1:37" ht="72" x14ac:dyDescent="0.25">
      <c r="A271" s="54">
        <f>'הזנה לתנאי סף'!B271</f>
        <v>241</v>
      </c>
      <c r="B271" s="266">
        <f>IF($F271="","",'הזנה לתנאי סף'!C271)</f>
        <v>1001349321</v>
      </c>
      <c r="C271" s="266">
        <f>IF($F271="","",'הזנה לתנאי סף'!D271)</f>
        <v>1001269429</v>
      </c>
      <c r="D271" s="266">
        <f>IF($F271="","",'הזנה לתנאי סף'!E271)</f>
        <v>40474818</v>
      </c>
      <c r="E271" s="55">
        <f>IF($F271="","",'הזנה לתנאי סף'!F271)</f>
        <v>20000201</v>
      </c>
      <c r="F271" s="55" t="str">
        <f>IF('הזנה לתנאי סף'!BL271=1,'הזנה לתנאי סף'!G271,"")</f>
        <v>תל אביב -יפו</v>
      </c>
      <c r="G271" s="55" t="str">
        <f>IF($F271="","",'הזנה לתנאי סף'!H271)</f>
        <v>צוותא לתרבות מתקדמת בע"מ (חל"צ)</v>
      </c>
      <c r="H271" s="55" t="str">
        <f>IF($F271="","",'הזנה לתנאי סף'!I271)</f>
        <v>אחר</v>
      </c>
      <c r="I271" s="187">
        <f>IF($F271="","",'הזנה לתנאי סף'!R271)</f>
        <v>137800</v>
      </c>
      <c r="J271" s="187">
        <f>IF($F271="","",'תחום תמיכה א'!P271)</f>
        <v>135161</v>
      </c>
      <c r="K271" s="177">
        <f>IF($F271="","",'הזנה לתנאי סף'!N271)</f>
        <v>1</v>
      </c>
      <c r="L271" s="177">
        <f>IF($F271="","",'הזנה לתנאי סף'!O271)</f>
        <v>0</v>
      </c>
      <c r="M271" s="177">
        <f>IF($F271="","",'הזנה לתנאי סף'!Q271)</f>
        <v>1</v>
      </c>
      <c r="N271" s="187">
        <f>IF($F271="","",'תחום תמיכה א'!AE271)</f>
        <v>3367.1868664941676</v>
      </c>
      <c r="O271" s="178"/>
      <c r="P271" s="187">
        <f>IF($F271="","",'תחום תמיכה ב'!AC271)</f>
        <v>4877.9607441430753</v>
      </c>
      <c r="Q271" s="187">
        <f>IF($F271="","",IF('תחום תמיכה ג'!O271="",0,'תחום תמיכה ג'!O271))</f>
        <v>2045.5375672097939</v>
      </c>
      <c r="R271" s="187">
        <f t="shared" si="12"/>
        <v>146.2659077723456</v>
      </c>
      <c r="S271" s="187">
        <f>IF($F271="","",'תחום תמיכה ב'!AE271)</f>
        <v>5024.2266519154209</v>
      </c>
      <c r="T271" s="187">
        <f>IF($F271="","",IF(Q271='תחום תמיכה ג'!$Q$2,'תחום תמיכה ג'!$Q$2,IFERROR(SUMIF(N271:R271,"&gt;0"),'תחום תמיכה ג'!$Q$2)))</f>
        <v>10436.951085619383</v>
      </c>
      <c r="U271" s="187">
        <f>IF($F271="","",'הזנה לתנאי סף'!Y271)</f>
        <v>200000</v>
      </c>
      <c r="V271" s="269">
        <f>IF(F271="","",'הגבלה לסכום מבוקש '!AA271)</f>
        <v>11274.842893281777</v>
      </c>
      <c r="W271" s="187">
        <f t="shared" si="13"/>
        <v>2818.7107233204442</v>
      </c>
      <c r="X271" s="187">
        <f>IF(F271="","",'הזנה לתנאי סף'!Z271)</f>
        <v>1</v>
      </c>
      <c r="Y271" s="237" t="str">
        <f>IFERROR(VLOOKUP(G271*1,#REF!,3,0),"")</f>
        <v/>
      </c>
      <c r="Z271" s="187" t="str">
        <f>IF(OR($F271="",Y271=""),"",IFERROR(IF(Y271&gt;V271,MIN(Y271,T271)-V271,0),'תחום תמיכה ג'!$Q$2))</f>
        <v/>
      </c>
      <c r="AA271" s="259"/>
      <c r="AB271" s="260" t="str">
        <f t="shared" si="14"/>
        <v/>
      </c>
      <c r="AC271" s="262"/>
      <c r="AD271" s="180"/>
      <c r="AE271" s="13" t="str">
        <f>IF($C271="","",IFERROR(VLOOKUP($C271,גיליון1!$A:$E,2,0),"לא הגיש בקשה שוטפת"))</f>
        <v>יוזמה - המחזאים</v>
      </c>
      <c r="AF271" s="13" t="str">
        <f>IF($C271="","",IFERROR(VLOOKUP($C271,גיליון1!$A:$E,3,0),"לא הגיש בקשה שוטפת"))</f>
        <v>מועד</v>
      </c>
      <c r="AG271" s="13" t="str">
        <f>IF($C271="","",IFERROR(VLOOKUP($C271,גיליון1!$A:$E,4,0),"לא הגיש בקשה שוטפת"))</f>
        <v>19-42-02-07</v>
      </c>
      <c r="AH271" s="13" t="str">
        <f>IF($C271="","",IFERROR(VLOOKUP($C271,גיליון1!$A:$E,5,0),"לא הגיש בקשה שוטפת"))</f>
        <v>תיאטרון</v>
      </c>
      <c r="AI271" s="13">
        <f t="shared" si="15"/>
        <v>0</v>
      </c>
      <c r="AJ271"/>
      <c r="AK271" t="s">
        <v>250</v>
      </c>
    </row>
    <row r="272" spans="1:37" ht="72" x14ac:dyDescent="0.25">
      <c r="A272" s="54">
        <f>'הזנה לתנאי סף'!B272</f>
        <v>242</v>
      </c>
      <c r="B272" s="266">
        <f>IF($F272="","",'הזנה לתנאי סף'!C272)</f>
        <v>1001349324</v>
      </c>
      <c r="C272" s="266">
        <f>IF($F272="","",'הזנה לתנאי סף'!D272)</f>
        <v>1001269399</v>
      </c>
      <c r="D272" s="266">
        <f>IF($F272="","",'הזנה לתנאי סף'!E272)</f>
        <v>40474818</v>
      </c>
      <c r="E272" s="55">
        <f>IF($F272="","",'הזנה לתנאי סף'!F272)</f>
        <v>20000201</v>
      </c>
      <c r="F272" s="55" t="str">
        <f>IF('הזנה לתנאי סף'!BL272=1,'הזנה לתנאי סף'!G272,"")</f>
        <v>תל אביב -יפו</v>
      </c>
      <c r="G272" s="55" t="str">
        <f>IF($F272="","",'הזנה לתנאי סף'!H272)</f>
        <v>צוותא לתרבות מתקדמת בע"מ (חל"צ)</v>
      </c>
      <c r="H272" s="55" t="str">
        <f>IF($F272="","",'הזנה לתנאי סף'!I272)</f>
        <v>סינמטקים ופסטיבלים</v>
      </c>
      <c r="I272" s="187">
        <f>IF($F272="","",'הזנה לתנאי סף'!R272)</f>
        <v>130759</v>
      </c>
      <c r="J272" s="187">
        <f>IF($F272="","",'תחום תמיכה א'!P272)</f>
        <v>134084</v>
      </c>
      <c r="K272" s="177">
        <f>IF($F272="","",'הזנה לתנאי סף'!N272)</f>
        <v>1</v>
      </c>
      <c r="L272" s="177">
        <f>IF($F272="","",'הזנה לתנאי סף'!O272)</f>
        <v>0</v>
      </c>
      <c r="M272" s="177">
        <f>IF($F272="","",'הזנה לתנאי סף'!Q272)</f>
        <v>1</v>
      </c>
      <c r="N272" s="187">
        <f>IF($F272="","",'תחום תמיכה א'!AE272)</f>
        <v>5393.9598501428482</v>
      </c>
      <c r="O272" s="178"/>
      <c r="P272" s="187">
        <f>IF($F272="","",'תחום תמיכה ב'!AC272)</f>
        <v>12069.53485132348</v>
      </c>
      <c r="Q272" s="187">
        <f>IF($F272="","",IF('תחום תמיכה ג'!O272="",0,'תחום תמיכה ג'!O272))</f>
        <v>5061.2721692714613</v>
      </c>
      <c r="R272" s="187">
        <f t="shared" si="12"/>
        <v>361.90563311491314</v>
      </c>
      <c r="S272" s="187">
        <f>IF($F272="","",'תחום תמיכה ב'!AE272)</f>
        <v>12431.440484438393</v>
      </c>
      <c r="T272" s="187">
        <f>IF($F272="","",IF(Q272='תחום תמיכה ג'!$Q$2,'תחום תמיכה ג'!$Q$2,IFERROR(SUMIF(N272:R272,"&gt;0"),'תחום תמיכה ג'!$Q$2)))</f>
        <v>22886.6725038527</v>
      </c>
      <c r="U272" s="187">
        <f>IF($F272="","",'הזנה לתנאי סף'!Y272)</f>
        <v>250000</v>
      </c>
      <c r="V272" s="269">
        <f>IF(F272="","",'הגבלה לסכום מבוקש '!AA272)</f>
        <v>24958.530109577627</v>
      </c>
      <c r="W272" s="187">
        <f t="shared" si="13"/>
        <v>6239.6325273944067</v>
      </c>
      <c r="X272" s="187">
        <f>IF(F272="","",'הזנה לתנאי סף'!Z272)</f>
        <v>1</v>
      </c>
      <c r="Y272" s="237" t="str">
        <f>IFERROR(VLOOKUP(G272*1,#REF!,3,0),"")</f>
        <v/>
      </c>
      <c r="Z272" s="187" t="str">
        <f>IF(OR($F272="",Y272=""),"",IFERROR(IF(Y272&gt;V272,MIN(Y272,T272)-V272,0),'תחום תמיכה ג'!$Q$2))</f>
        <v/>
      </c>
      <c r="AA272" s="259"/>
      <c r="AB272" s="260" t="str">
        <f t="shared" si="14"/>
        <v/>
      </c>
      <c r="AC272" s="262"/>
      <c r="AD272" s="180"/>
      <c r="AE272" s="13" t="str">
        <f>IF($C272="","",IFERROR(VLOOKUP($C272,גיליון1!$A:$E,2,0),"לא הגיש בקשה שוטפת"))</f>
        <v>פסטיבל גיטרה</v>
      </c>
      <c r="AF272" s="13" t="str">
        <f>IF($C272="","",IFERROR(VLOOKUP($C272,גיליון1!$A:$E,3,0),"לא הגיש בקשה שוטפת"))</f>
        <v>טיוט</v>
      </c>
      <c r="AG272" s="13" t="str">
        <f>IF($C272="","",IFERROR(VLOOKUP($C272,גיליון1!$A:$E,4,0),"לא הגיש בקשה שוטפת"))</f>
        <v>19-42-02-26</v>
      </c>
      <c r="AH272" s="13" t="str">
        <f>IF($C272="","",IFERROR(VLOOKUP($C272,גיליון1!$A:$E,5,0),"לא הגיש בקשה שוטפת"))</f>
        <v>פסטיבלים לתרבות</v>
      </c>
      <c r="AI272" s="13">
        <f t="shared" si="15"/>
        <v>0</v>
      </c>
      <c r="AJ272"/>
      <c r="AK272" t="s">
        <v>250</v>
      </c>
    </row>
    <row r="273" spans="1:37" ht="72" x14ac:dyDescent="0.25">
      <c r="A273" s="54">
        <f>'הזנה לתנאי סף'!B273</f>
        <v>243</v>
      </c>
      <c r="B273" s="266">
        <f>IF($F273="","",'הזנה לתנאי סף'!C273)</f>
        <v>1001349326</v>
      </c>
      <c r="C273" s="266">
        <f>IF($F273="","",'הזנה לתנאי סף'!D273)</f>
        <v>1001268650</v>
      </c>
      <c r="D273" s="266">
        <f>IF($F273="","",'הזנה לתנאי סף'!E273)</f>
        <v>40474818</v>
      </c>
      <c r="E273" s="55">
        <f>IF($F273="","",'הזנה לתנאי סף'!F273)</f>
        <v>20000201</v>
      </c>
      <c r="F273" s="55" t="str">
        <f>IF('הזנה לתנאי סף'!BL273=1,'הזנה לתנאי סף'!G273,"")</f>
        <v>תל אביב -יפו</v>
      </c>
      <c r="G273" s="55" t="str">
        <f>IF($F273="","",'הזנה לתנאי סף'!H273)</f>
        <v>צוותא לתרבות מתקדמת בע"מ (חל"צ)</v>
      </c>
      <c r="H273" s="55" t="str">
        <f>IF($F273="","",'הזנה לתנאי סף'!I273)</f>
        <v>סינמטקים ופסטיבלים</v>
      </c>
      <c r="I273" s="187">
        <f>IF($F273="","",'הזנה לתנאי סף'!R273)</f>
        <v>443519</v>
      </c>
      <c r="J273" s="187">
        <f>IF($F273="","",'תחום תמיכה א'!P273)</f>
        <v>440253</v>
      </c>
      <c r="K273" s="177">
        <f>IF($F273="","",'הזנה לתנאי סף'!N273)</f>
        <v>1</v>
      </c>
      <c r="L273" s="177">
        <f>IF($F273="","",'הזנה לתנאי סף'!O273)</f>
        <v>0</v>
      </c>
      <c r="M273" s="177">
        <f>IF($F273="","",'הזנה לתנאי סף'!Q273)</f>
        <v>1</v>
      </c>
      <c r="N273" s="187">
        <f>IF($F273="","",'תחום תמיכה א'!AE273)</f>
        <v>16978.459312137307</v>
      </c>
      <c r="O273" s="178"/>
      <c r="P273" s="187">
        <f>IF($F273="","",'תחום תמיכה ב'!AC273)</f>
        <v>37623.706346630854</v>
      </c>
      <c r="Q273" s="187">
        <f>IF($F273="","",IF('תחום תמיכה ג'!O273="",0,'תחום תמיכה ג'!O273))</f>
        <v>15777.22921245502</v>
      </c>
      <c r="R273" s="187">
        <f t="shared" si="12"/>
        <v>1128.1488005326028</v>
      </c>
      <c r="S273" s="187">
        <f>IF($F273="","",'תחום תמיכה ב'!AE273)</f>
        <v>38751.855147163456</v>
      </c>
      <c r="T273" s="187">
        <f>IF($F273="","",IF(Q273='תחום תמיכה ג'!$Q$2,'תחום תמיכה ג'!$Q$2,IFERROR(SUMIF(N273:R273,"&gt;0"),'תחום תמיכה ג'!$Q$2)))</f>
        <v>71507.54367175579</v>
      </c>
      <c r="U273" s="187">
        <f>IF($F273="","",'הזנה לתנאי סף'!Y273)</f>
        <v>450000</v>
      </c>
      <c r="V273" s="269">
        <f>IF(F273="","",'הגבלה לסכום מבוקש '!AA273)</f>
        <v>77966.107756349418</v>
      </c>
      <c r="W273" s="187">
        <f t="shared" si="13"/>
        <v>19491.526939087355</v>
      </c>
      <c r="X273" s="187">
        <f>IF(F273="","",'הזנה לתנאי סף'!Z273)</f>
        <v>1</v>
      </c>
      <c r="Y273" s="237" t="str">
        <f>IFERROR(VLOOKUP(G273*1,#REF!,3,0),"")</f>
        <v/>
      </c>
      <c r="Z273" s="187" t="str">
        <f>IF(OR($F273="",Y273=""),"",IFERROR(IF(Y273&gt;V273,MIN(Y273,T273)-V273,0),'תחום תמיכה ג'!$Q$2))</f>
        <v/>
      </c>
      <c r="AA273" s="259"/>
      <c r="AB273" s="260" t="str">
        <f t="shared" si="14"/>
        <v/>
      </c>
      <c r="AC273" s="262"/>
      <c r="AD273" s="180"/>
      <c r="AE273" s="13" t="str">
        <f>IF($C273="","",IFERROR(VLOOKUP($C273,גיליון1!$A:$E,2,0),"לא הגיש בקשה שוטפת"))</f>
        <v>פסטיבל תאטרון קצר</v>
      </c>
      <c r="AF273" s="13" t="str">
        <f>IF($C273="","",IFERROR(VLOOKUP($C273,גיליון1!$A:$E,3,0),"לא הגיש בקשה שוטפת"))</f>
        <v>טיוט</v>
      </c>
      <c r="AG273" s="13" t="str">
        <f>IF($C273="","",IFERROR(VLOOKUP($C273,גיליון1!$A:$E,4,0),"לא הגיש בקשה שוטפת"))</f>
        <v>19-42-02-26</v>
      </c>
      <c r="AH273" s="13" t="str">
        <f>IF($C273="","",IFERROR(VLOOKUP($C273,גיליון1!$A:$E,5,0),"לא הגיש בקשה שוטפת"))</f>
        <v>פסטיבלים לתרבות</v>
      </c>
      <c r="AI273" s="13">
        <f t="shared" si="15"/>
        <v>0</v>
      </c>
      <c r="AJ273"/>
      <c r="AK273" t="s">
        <v>250</v>
      </c>
    </row>
    <row r="274" spans="1:37" ht="43.5" x14ac:dyDescent="0.25">
      <c r="A274" s="54">
        <f>'הזנה לתנאי סף'!B274</f>
        <v>244</v>
      </c>
      <c r="B274" s="266">
        <f>IF($F274="","",'הזנה לתנאי סף'!C274)</f>
        <v>1001347844</v>
      </c>
      <c r="C274" s="266">
        <f>IF($F274="","",'הזנה לתנאי סף'!D274)</f>
        <v>1001265161</v>
      </c>
      <c r="D274" s="266">
        <f>IF($F274="","",'הזנה לתנאי סף'!E274)</f>
        <v>40000054</v>
      </c>
      <c r="E274" s="55">
        <f>IF($F274="","",'הזנה לתנאי סף'!F274)</f>
        <v>20000159</v>
      </c>
      <c r="F274" s="55" t="str">
        <f>IF('הזנה לתנאי סף'!BL274=1,'הזנה לתנאי סף'!G274,"")</f>
        <v>ירושלים</v>
      </c>
      <c r="G274" s="55" t="str">
        <f>IF($F274="","",'הזנה לתנאי סף'!H274)</f>
        <v>פסטיבל ישראל ירושלים</v>
      </c>
      <c r="H274" s="55" t="str">
        <f>IF($F274="","",'הזנה לתנאי סף'!I274)</f>
        <v>סינמטקים ופסטיבלים</v>
      </c>
      <c r="I274" s="187">
        <f>IF($F274="","",'הזנה לתנאי סף'!R274)</f>
        <v>1078298</v>
      </c>
      <c r="J274" s="187">
        <f>IF($F274="","",'תחום תמיכה א'!P274)</f>
        <v>1119283</v>
      </c>
      <c r="K274" s="177">
        <f>IF($F274="","",'הזנה לתנאי סף'!N274)</f>
        <v>1</v>
      </c>
      <c r="L274" s="177">
        <f>IF($F274="","",'הזנה לתנאי סף'!O274)</f>
        <v>0</v>
      </c>
      <c r="M274" s="177">
        <f>IF($F274="","",'הזנה לתנאי סף'!Q274)</f>
        <v>1</v>
      </c>
      <c r="N274" s="187">
        <f>IF($F274="","",'תחום תמיכה א'!AE274)</f>
        <v>51284.888141499381</v>
      </c>
      <c r="O274" s="178"/>
      <c r="P274" s="187">
        <f>IF($F274="","",'תחום תמיכה ב'!AC274)</f>
        <v>126263.30339027835</v>
      </c>
      <c r="Q274" s="187">
        <f>IF($F274="","",IF('תחום תמיכה ג'!O274="",0,'תחום תמיכה ג'!O274))</f>
        <v>21826.932754475838</v>
      </c>
      <c r="R274" s="187">
        <f t="shared" si="12"/>
        <v>3786.0117490466801</v>
      </c>
      <c r="S274" s="187">
        <f>IF($F274="","",'תחום תמיכה ב'!AE274)</f>
        <v>130049.31513932503</v>
      </c>
      <c r="T274" s="187">
        <f>IF($F274="","",IF(Q274='תחום תמיכה ג'!$Q$2,'תחום תמיכה ג'!$Q$2,IFERROR(SUMIF(N274:R274,"&gt;0"),'תחום תמיכה ג'!$Q$2)))</f>
        <v>203161.13603530024</v>
      </c>
      <c r="U274" s="187">
        <f>IF($F274="","",'הזנה לתנאי סף'!Y274)</f>
        <v>651000</v>
      </c>
      <c r="V274" s="269">
        <f>IF(F274="","",'הגבלה לסכום מבוקש '!AA274)</f>
        <v>224818.99596671606</v>
      </c>
      <c r="W274" s="187">
        <f t="shared" si="13"/>
        <v>56204.748991679015</v>
      </c>
      <c r="X274" s="187">
        <f>IF(F274="","",'הזנה לתנאי סף'!Z274)</f>
        <v>651000</v>
      </c>
      <c r="Y274" s="237" t="str">
        <f>IFERROR(VLOOKUP(G274*1,#REF!,3,0),"")</f>
        <v/>
      </c>
      <c r="Z274" s="187" t="str">
        <f>IF(OR($F274="",Y274=""),"",IFERROR(IF(Y274&gt;V274,MIN(Y274,T274)-V274,0),'תחום תמיכה ג'!$Q$2))</f>
        <v/>
      </c>
      <c r="AA274" s="259"/>
      <c r="AB274" s="260" t="str">
        <f t="shared" si="14"/>
        <v/>
      </c>
      <c r="AC274" s="262"/>
      <c r="AD274" s="180"/>
      <c r="AE274" s="13" t="str">
        <f>IF($C274="","",IFERROR(VLOOKUP($C274,גיליון1!$A:$E,2,0),"לא הגיש בקשה שוטפת"))</f>
        <v>פסטיבל ג'ז ,ירושלים 2020</v>
      </c>
      <c r="AF274" s="13" t="str">
        <f>IF($C274="","",IFERROR(VLOOKUP($C274,גיליון1!$A:$E,3,0),"לא הגיש בקשה שוטפת"))</f>
        <v>מועד</v>
      </c>
      <c r="AG274" s="13" t="str">
        <f>IF($C274="","",IFERROR(VLOOKUP($C274,גיליון1!$A:$E,4,0),"לא הגיש בקשה שוטפת"))</f>
        <v>19-42-02-26</v>
      </c>
      <c r="AH274" s="13" t="str">
        <f>IF($C274="","",IFERROR(VLOOKUP($C274,גיליון1!$A:$E,5,0),"לא הגיש בקשה שוטפת"))</f>
        <v>פסטיבלים לתרבות</v>
      </c>
      <c r="AI274" s="13">
        <f t="shared" si="15"/>
        <v>0</v>
      </c>
      <c r="AJ274"/>
      <c r="AK274" t="s">
        <v>250</v>
      </c>
    </row>
    <row r="275" spans="1:37" x14ac:dyDescent="0.25">
      <c r="A275" s="54">
        <f>'הזנה לתנאי סף'!B275</f>
        <v>245</v>
      </c>
      <c r="B275" s="266" t="str">
        <f>IF($F275="","",'הזנה לתנאי סף'!C275)</f>
        <v/>
      </c>
      <c r="C275" s="266" t="str">
        <f>IF($F275="","",'הזנה לתנאי סף'!D275)</f>
        <v/>
      </c>
      <c r="D275" s="266" t="str">
        <f>IF($F275="","",'הזנה לתנאי סף'!E275)</f>
        <v/>
      </c>
      <c r="E275" s="55" t="str">
        <f>IF($F275="","",'הזנה לתנאי סף'!F275)</f>
        <v/>
      </c>
      <c r="F275" s="55" t="str">
        <f>IF('הזנה לתנאי סף'!BL275=1,'הזנה לתנאי סף'!G275,"")</f>
        <v/>
      </c>
      <c r="G275" s="55" t="str">
        <f>IF($F275="","",'הזנה לתנאי סף'!H275)</f>
        <v/>
      </c>
      <c r="H275" s="55" t="str">
        <f>IF($F275="","",'הזנה לתנאי סף'!I275)</f>
        <v/>
      </c>
      <c r="I275" s="187" t="str">
        <f>IF($F275="","",'הזנה לתנאי סף'!R275)</f>
        <v/>
      </c>
      <c r="J275" s="187" t="str">
        <f>IF($F275="","",'תחום תמיכה א'!P275)</f>
        <v/>
      </c>
      <c r="K275" s="177" t="str">
        <f>IF($F275="","",'הזנה לתנאי סף'!N275)</f>
        <v/>
      </c>
      <c r="L275" s="177" t="str">
        <f>IF($F275="","",'הזנה לתנאי סף'!O275)</f>
        <v/>
      </c>
      <c r="M275" s="177" t="str">
        <f>IF($F275="","",'הזנה לתנאי סף'!Q275)</f>
        <v/>
      </c>
      <c r="N275" s="187" t="str">
        <f>IF($F275="","",'תחום תמיכה א'!AE275)</f>
        <v/>
      </c>
      <c r="O275" s="178"/>
      <c r="P275" s="187" t="str">
        <f>IF($F275="","",'תחום תמיכה ב'!AC275)</f>
        <v/>
      </c>
      <c r="Q275" s="187" t="str">
        <f>IF($F275="","",IF('תחום תמיכה ג'!O275="",0,'תחום תמיכה ג'!O275))</f>
        <v/>
      </c>
      <c r="R275" s="187" t="str">
        <f t="shared" si="12"/>
        <v/>
      </c>
      <c r="S275" s="187" t="str">
        <f>IF($F275="","",'תחום תמיכה ב'!AE275)</f>
        <v/>
      </c>
      <c r="T275" s="187" t="str">
        <f>IF($F275="","",IF(Q275='תחום תמיכה ג'!$Q$2,'תחום תמיכה ג'!$Q$2,IFERROR(SUMIF(N275:R275,"&gt;0"),'תחום תמיכה ג'!$Q$2)))</f>
        <v/>
      </c>
      <c r="U275" s="187" t="str">
        <f>IF($F275="","",'הזנה לתנאי סף'!Y275)</f>
        <v/>
      </c>
      <c r="V275" s="269" t="str">
        <f>IF(F275="","",'הגבלה לסכום מבוקש '!AA275)</f>
        <v/>
      </c>
      <c r="W275" s="187" t="str">
        <f t="shared" si="13"/>
        <v/>
      </c>
      <c r="X275" s="187" t="str">
        <f>IF(F275="","",'הזנה לתנאי סף'!Z275)</f>
        <v/>
      </c>
      <c r="Y275" s="237" t="str">
        <f>IFERROR(VLOOKUP(G275*1,#REF!,3,0),"")</f>
        <v/>
      </c>
      <c r="Z275" s="187" t="str">
        <f>IF(OR($F275="",Y275=""),"",IFERROR(IF(Y275&gt;V275,MIN(Y275,T275)-V275,0),'תחום תמיכה ג'!$Q$2))</f>
        <v/>
      </c>
      <c r="AA275" s="259"/>
      <c r="AB275" s="260" t="str">
        <f t="shared" si="14"/>
        <v/>
      </c>
      <c r="AC275" s="262"/>
      <c r="AD275" s="180"/>
      <c r="AE275" s="13" t="str">
        <f>IF($C275="","",IFERROR(VLOOKUP($C275,גיליון1!$A:$E,2,0),"לא הגיש בקשה שוטפת"))</f>
        <v/>
      </c>
      <c r="AF275" s="13" t="str">
        <f>IF($C275="","",IFERROR(VLOOKUP($C275,גיליון1!$A:$E,3,0),"לא הגיש בקשה שוטפת"))</f>
        <v/>
      </c>
      <c r="AG275" s="13" t="str">
        <f>IF($C275="","",IFERROR(VLOOKUP($C275,גיליון1!$A:$E,4,0),"לא הגיש בקשה שוטפת"))</f>
        <v/>
      </c>
      <c r="AH275" s="13" t="str">
        <f>IF($C275="","",IFERROR(VLOOKUP($C275,גיליון1!$A:$E,5,0),"לא הגיש בקשה שוטפת"))</f>
        <v/>
      </c>
      <c r="AI275" s="13">
        <f t="shared" si="15"/>
        <v>0</v>
      </c>
      <c r="AJ275"/>
      <c r="AK275" t="s">
        <v>250</v>
      </c>
    </row>
    <row r="276" spans="1:37" ht="29.25" x14ac:dyDescent="0.25">
      <c r="A276" s="54">
        <f>'הזנה לתנאי סף'!B276</f>
        <v>246</v>
      </c>
      <c r="B276" s="266">
        <f>IF($F276="","",'הזנה לתנאי סף'!C276)</f>
        <v>1001346748</v>
      </c>
      <c r="C276" s="266">
        <f>IF($F276="","",'הזנה לתנאי סף'!D276)</f>
        <v>1001272517</v>
      </c>
      <c r="D276" s="266">
        <f>IF($F276="","",'הזנה לתנאי סף'!E276)</f>
        <v>40000171</v>
      </c>
      <c r="E276" s="55">
        <f>IF($F276="","",'הזנה לתנאי סף'!F276)</f>
        <v>20000201</v>
      </c>
      <c r="F276" s="55" t="str">
        <f>IF('הזנה לתנאי סף'!BL276=1,'הזנה לתנאי סף'!G276,"")</f>
        <v>תל אביב -יפו</v>
      </c>
      <c r="G276" s="55" t="str">
        <f>IF($F276="","",'הזנה לתנאי סף'!H276)</f>
        <v>תיאטרון "גשר"</v>
      </c>
      <c r="H276" s="55" t="str">
        <f>IF($F276="","",'הזנה לתנאי סף'!I276)</f>
        <v>תיאטרון</v>
      </c>
      <c r="I276" s="187">
        <f>IF($F276="","",'הזנה לתנאי סף'!R276)</f>
        <v>26991000</v>
      </c>
      <c r="J276" s="187">
        <f>IF($F276="","",'תחום תמיכה א'!P276)</f>
        <v>29758000</v>
      </c>
      <c r="K276" s="177">
        <f>IF($F276="","",'הזנה לתנאי סף'!N276)</f>
        <v>1</v>
      </c>
      <c r="L276" s="177">
        <f>IF($F276="","",'הזנה לתנאי סף'!O276)</f>
        <v>0</v>
      </c>
      <c r="M276" s="177">
        <f>IF($F276="","",'הזנה לתנאי סף'!Q276)</f>
        <v>1</v>
      </c>
      <c r="N276" s="187">
        <f>IF($F276="","",'תחום תמיכה א'!AE276)</f>
        <v>1064039.8235568479</v>
      </c>
      <c r="O276" s="178"/>
      <c r="P276" s="187">
        <f>IF($F276="","",'תחום תמיכה ב'!AC276)</f>
        <v>1968270.1204137222</v>
      </c>
      <c r="Q276" s="187">
        <f>IF($F276="","",IF('תחום תמיכה ג'!O276="",0,'תחום תמיכה ג'!O276))</f>
        <v>825379.84311517898</v>
      </c>
      <c r="R276" s="187">
        <f t="shared" si="12"/>
        <v>59018.682396976044</v>
      </c>
      <c r="S276" s="187">
        <f>IF($F276="","",'תחום תמיכה ב'!AE276)</f>
        <v>2027288.8028106983</v>
      </c>
      <c r="T276" s="187">
        <f>IF($F276="","",IF(Q276='תחום תמיכה ג'!$Q$2,'תחום תמיכה ג'!$Q$2,IFERROR(SUMIF(N276:R276,"&gt;0"),'תחום תמיכה ג'!$Q$2)))</f>
        <v>3916708.4694827255</v>
      </c>
      <c r="U276" s="187">
        <f>IF($F276="","",'הזנה לתנאי סף'!Y276)</f>
        <v>6000000</v>
      </c>
      <c r="V276" s="269">
        <f>IF(F276="","",'הגבלה לסכום מבוקש '!AA276)</f>
        <v>4254665.8876760947</v>
      </c>
      <c r="W276" s="187">
        <f t="shared" si="13"/>
        <v>1063666.4719190237</v>
      </c>
      <c r="X276" s="187">
        <f>IF(F276="","",'הזנה לתנאי סף'!Z276)</f>
        <v>3000000</v>
      </c>
      <c r="Y276" s="237" t="str">
        <f>IFERROR(VLOOKUP(G276*1,#REF!,3,0),"")</f>
        <v/>
      </c>
      <c r="Z276" s="187" t="str">
        <f>IF(OR($F276="",Y276=""),"",IFERROR(IF(Y276&gt;V276,MIN(Y276,T276)-V276,0),'תחום תמיכה ג'!$Q$2))</f>
        <v/>
      </c>
      <c r="AA276" s="259"/>
      <c r="AB276" s="260" t="str">
        <f t="shared" si="14"/>
        <v/>
      </c>
      <c r="AC276" s="262"/>
      <c r="AD276" s="180"/>
      <c r="AE276" s="13" t="str">
        <f>IF($C276="","",IFERROR(VLOOKUP($C276,גיליון1!$A:$E,2,0),"לא הגיש בקשה שוטפת"))</f>
        <v>תמיכה שוטפת ל 2020</v>
      </c>
      <c r="AF276" s="13" t="str">
        <f>IF($C276="","",IFERROR(VLOOKUP($C276,גיליון1!$A:$E,3,0),"לא הגיש בקשה שוטפת"))</f>
        <v>חויב</v>
      </c>
      <c r="AG276" s="13" t="str">
        <f>IF($C276="","",IFERROR(VLOOKUP($C276,גיליון1!$A:$E,4,0),"לא הגיש בקשה שוטפת"))</f>
        <v>19-42-02-07</v>
      </c>
      <c r="AH276" s="13" t="str">
        <f>IF($C276="","",IFERROR(VLOOKUP($C276,גיליון1!$A:$E,5,0),"לא הגיש בקשה שוטפת"))</f>
        <v>תיאטרון</v>
      </c>
      <c r="AI276" s="13">
        <f t="shared" si="15"/>
        <v>0</v>
      </c>
      <c r="AJ276"/>
      <c r="AK276" t="s">
        <v>250</v>
      </c>
    </row>
    <row r="277" spans="1:37" ht="29.25" x14ac:dyDescent="0.25">
      <c r="A277" s="54">
        <f>'הזנה לתנאי סף'!B277</f>
        <v>247</v>
      </c>
      <c r="B277" s="266">
        <f>IF($F277="","",'הזנה לתנאי סף'!C277)</f>
        <v>1001346760</v>
      </c>
      <c r="C277" s="266">
        <f>IF($F277="","",'הזנה לתנאי סף'!D277)</f>
        <v>1001272518</v>
      </c>
      <c r="D277" s="266">
        <f>IF($F277="","",'הזנה לתנאי סף'!E277)</f>
        <v>40000171</v>
      </c>
      <c r="E277" s="55">
        <f>IF($F277="","",'הזנה לתנאי סף'!F277)</f>
        <v>20000201</v>
      </c>
      <c r="F277" s="55" t="str">
        <f>IF('הזנה לתנאי סף'!BL277=1,'הזנה לתנאי סף'!G277,"")</f>
        <v>תל אביב -יפו</v>
      </c>
      <c r="G277" s="55" t="str">
        <f>IF($F277="","",'הזנה לתנאי סף'!H277)</f>
        <v>תיאטרון "גשר"</v>
      </c>
      <c r="H277" s="55" t="str">
        <f>IF($F277="","",'הזנה לתנאי סף'!I277)</f>
        <v>סינמטקים ופסטיבלים</v>
      </c>
      <c r="I277" s="187">
        <f>IF($F277="","",'הזנה לתנאי סף'!R277)</f>
        <v>1940000</v>
      </c>
      <c r="J277" s="187">
        <f>IF($F277="","",'תחום תמיכה א'!P277)</f>
        <v>1844000</v>
      </c>
      <c r="K277" s="177">
        <f>IF($F277="","",'הזנה לתנאי סף'!N277)</f>
        <v>1</v>
      </c>
      <c r="L277" s="177">
        <f>IF($F277="","",'הזנה לתנאי סף'!O277)</f>
        <v>0</v>
      </c>
      <c r="M277" s="177">
        <f>IF($F277="","",'הזנה לתנאי סף'!Q277)</f>
        <v>1</v>
      </c>
      <c r="N277" s="187">
        <f>IF($F277="","",'תחום תמיכה א'!AE277)</f>
        <v>60169.048337809647</v>
      </c>
      <c r="O277" s="178"/>
      <c r="P277" s="187">
        <f>IF($F277="","",'תחום תמיכה ב'!AC277)</f>
        <v>117810.39711602319</v>
      </c>
      <c r="Q277" s="187">
        <f>IF($F277="","",IF('תחום תמיכה ג'!O277="",0,'תחום תמיכה ג'!O277))</f>
        <v>49402.938184379425</v>
      </c>
      <c r="R277" s="187">
        <f t="shared" si="12"/>
        <v>3532.5509127734549</v>
      </c>
      <c r="S277" s="187">
        <f>IF($F277="","",'תחום תמיכה ב'!AE277)</f>
        <v>121342.94802879664</v>
      </c>
      <c r="T277" s="187">
        <f>IF($F277="","",IF(Q277='תחום תמיכה ג'!$Q$2,'תחום תמיכה ג'!$Q$2,IFERROR(SUMIF(N277:R277,"&gt;0"),'תחום תמיכה ג'!$Q$2)))</f>
        <v>230914.93455098569</v>
      </c>
      <c r="U277" s="187">
        <f>IF($F277="","",'הזנה לתנאי סף'!Y277)</f>
        <v>300000</v>
      </c>
      <c r="V277" s="269">
        <f>IF(F277="","",'הגבלה לסכום מבוקש '!AA277)</f>
        <v>251141.70303951937</v>
      </c>
      <c r="W277" s="187">
        <f t="shared" si="13"/>
        <v>62785.425759879843</v>
      </c>
      <c r="X277" s="187">
        <f>IF(F277="","",'הזנה לתנאי סף'!Z277)</f>
        <v>200000</v>
      </c>
      <c r="Y277" s="237" t="str">
        <f>IFERROR(VLOOKUP(G277*1,#REF!,3,0),"")</f>
        <v/>
      </c>
      <c r="Z277" s="187" t="str">
        <f>IF(OR($F277="",Y277=""),"",IFERROR(IF(Y277&gt;V277,MIN(Y277,T277)-V277,0),'תחום תמיכה ג'!$Q$2))</f>
        <v/>
      </c>
      <c r="AA277" s="259"/>
      <c r="AB277" s="260" t="str">
        <f t="shared" si="14"/>
        <v/>
      </c>
      <c r="AC277" s="262"/>
      <c r="AD277" s="180"/>
      <c r="AE277" s="13" t="str">
        <f>IF($C277="","",IFERROR(VLOOKUP($C277,גיליון1!$A:$E,2,0),"לא הגיש בקשה שוטפת"))</f>
        <v>תמיכה לפסטיבאל גשר באינלאומי 2020</v>
      </c>
      <c r="AF277" s="13" t="str">
        <f>IF($C277="","",IFERROR(VLOOKUP($C277,גיליון1!$A:$E,3,0),"לא הגיש בקשה שוטפת"))</f>
        <v>מועד</v>
      </c>
      <c r="AG277" s="13" t="str">
        <f>IF($C277="","",IFERROR(VLOOKUP($C277,גיליון1!$A:$E,4,0),"לא הגיש בקשה שוטפת"))</f>
        <v>19-42-02-26</v>
      </c>
      <c r="AH277" s="13" t="str">
        <f>IF($C277="","",IFERROR(VLOOKUP($C277,גיליון1!$A:$E,5,0),"לא הגיש בקשה שוטפת"))</f>
        <v>פסטיבלים לתרבות</v>
      </c>
      <c r="AI277" s="13">
        <f t="shared" si="15"/>
        <v>0</v>
      </c>
      <c r="AJ277"/>
      <c r="AK277" t="s">
        <v>250</v>
      </c>
    </row>
    <row r="278" spans="1:37" ht="57.75" x14ac:dyDescent="0.25">
      <c r="A278" s="54">
        <f>'הזנה לתנאי סף'!B278</f>
        <v>248</v>
      </c>
      <c r="B278" s="266">
        <f>IF($F278="","",'הזנה לתנאי סף'!C278)</f>
        <v>1001348549</v>
      </c>
      <c r="C278" s="266">
        <f>IF($F278="","",'הזנה לתנאי סף'!D278)</f>
        <v>1001274935</v>
      </c>
      <c r="D278" s="266">
        <f>IF($F278="","",'הזנה לתנאי סף'!E278)</f>
        <v>40000173</v>
      </c>
      <c r="E278" s="55">
        <f>IF($F278="","",'הזנה לתנאי סף'!F278)</f>
        <v>20000251</v>
      </c>
      <c r="F278" s="55" t="str">
        <f>IF('הזנה לתנאי סף'!BL278=1,'הזנה לתנאי סף'!G278,"")</f>
        <v>רעננה</v>
      </c>
      <c r="G278" s="55" t="str">
        <f>IF($F278="","",'הזנה לתנאי סף'!H278)</f>
        <v>עמותת תזמורת סימפונט רעננה</v>
      </c>
      <c r="H278" s="55" t="str">
        <f>IF($F278="","",'הזנה לתנאי סף'!I278)</f>
        <v>אחר</v>
      </c>
      <c r="I278" s="187">
        <f>IF($F278="","",'הזנה לתנאי סף'!R278)</f>
        <v>9164000</v>
      </c>
      <c r="J278" s="187">
        <f>IF($F278="","",'תחום תמיכה א'!P278)</f>
        <v>7257000</v>
      </c>
      <c r="K278" s="177">
        <f>IF($F278="","",'הזנה לתנאי סף'!N278)</f>
        <v>0</v>
      </c>
      <c r="L278" s="177">
        <f>IF($F278="","",'הזנה לתנאי סף'!O278)</f>
        <v>1</v>
      </c>
      <c r="M278" s="177">
        <f>IF($F278="","",'הזנה לתנאי סף'!Q278)</f>
        <v>1</v>
      </c>
      <c r="N278" s="187">
        <f>IF($F278="","",'תחום תמיכה א'!AE278)</f>
        <v>202679.04453612151</v>
      </c>
      <c r="O278" s="178"/>
      <c r="P278" s="187">
        <f>IF($F278="","",'תחום תמיכה ב'!AC278)</f>
        <v>407704.93587625434</v>
      </c>
      <c r="Q278" s="187">
        <f>IF($F278="","",IF('תחום תמיכה ג'!O278="",0,'תחום תמיכה ג'!O278))</f>
        <v>0</v>
      </c>
      <c r="R278" s="187">
        <f t="shared" si="12"/>
        <v>12225.053803642746</v>
      </c>
      <c r="S278" s="187">
        <f>IF($F278="","",'תחום תמיכה ב'!AE278)</f>
        <v>419929.98967989709</v>
      </c>
      <c r="T278" s="187">
        <f>IF($F278="","",IF(Q278='תחום תמיכה ג'!$Q$2,'תחום תמיכה ג'!$Q$2,IFERROR(SUMIF(N278:R278,"&gt;0"),'תחום תמיכה ג'!$Q$2)))</f>
        <v>622609.03421601863</v>
      </c>
      <c r="U278" s="187">
        <f>IF($F278="","",'הזנה לתנאי סף'!Y278)</f>
        <v>1750000</v>
      </c>
      <c r="V278" s="269">
        <f>IF(F278="","",'הגבלה לסכום מבוקש '!AA278)</f>
        <v>692527.18136823154</v>
      </c>
      <c r="W278" s="187">
        <f t="shared" si="13"/>
        <v>173131.79534205789</v>
      </c>
      <c r="X278" s="187">
        <f>IF(F278="","",'הזנה לתנאי סף'!Z278)</f>
        <v>145000</v>
      </c>
      <c r="Y278" s="237" t="str">
        <f>IFERROR(VLOOKUP(G278*1,#REF!,3,0),"")</f>
        <v/>
      </c>
      <c r="Z278" s="187" t="str">
        <f>IF(OR($F278="",Y278=""),"",IFERROR(IF(Y278&gt;V278,MIN(Y278,T278)-V278,0),'תחום תמיכה ג'!$Q$2))</f>
        <v/>
      </c>
      <c r="AA278" s="259"/>
      <c r="AB278" s="260" t="str">
        <f t="shared" si="14"/>
        <v/>
      </c>
      <c r="AC278" s="262"/>
      <c r="AD278" s="180"/>
      <c r="AE278" s="13" t="str">
        <f>IF($C278="","",IFERROR(VLOOKUP($C278,גיליון1!$A:$E,2,0),"לא הגיש בקשה שוטפת"))</f>
        <v>תמיכה שוטפת</v>
      </c>
      <c r="AF278" s="13" t="str">
        <f>IF($C278="","",IFERROR(VLOOKUP($C278,גיליון1!$A:$E,3,0),"לא הגיש בקשה שוטפת"))</f>
        <v>חויב</v>
      </c>
      <c r="AG278" s="13" t="str">
        <f>IF($C278="","",IFERROR(VLOOKUP($C278,גיליון1!$A:$E,4,0),"לא הגיש בקשה שוטפת"))</f>
        <v>19-42-02-16</v>
      </c>
      <c r="AH278" s="13" t="str">
        <f>IF($C278="","",IFERROR(VLOOKUP($C278,גיליון1!$A:$E,5,0),"לא הגיש בקשה שוטפת"))</f>
        <v>מוסיקה</v>
      </c>
      <c r="AI278" s="13">
        <f t="shared" si="15"/>
        <v>0</v>
      </c>
      <c r="AJ278"/>
      <c r="AK278" t="s">
        <v>250</v>
      </c>
    </row>
    <row r="279" spans="1:37" ht="72" x14ac:dyDescent="0.25">
      <c r="A279" s="54">
        <f>'הזנה לתנאי סף'!B279</f>
        <v>249</v>
      </c>
      <c r="B279" s="266">
        <f>IF($F279="","",'הזנה לתנאי סף'!C279)</f>
        <v>1001348971</v>
      </c>
      <c r="C279" s="266">
        <f>IF($F279="","",'הזנה לתנאי סף'!D279)</f>
        <v>1001274750</v>
      </c>
      <c r="D279" s="266">
        <f>IF($F279="","",'הזנה לתנאי סף'!E279)</f>
        <v>40000174</v>
      </c>
      <c r="E279" s="55">
        <f>IF($F279="","",'הזנה לתנאי סף'!F279)</f>
        <v>20000201</v>
      </c>
      <c r="F279" s="55" t="str">
        <f>IF('הזנה לתנאי סף'!BL279=1,'הזנה לתנאי סף'!G279,"")</f>
        <v>תל אביב -יפו</v>
      </c>
      <c r="G279" s="55" t="str">
        <f>IF($F279="","",'הזנה לתנאי סף'!H279)</f>
        <v>פרויקטים במחול - שליד תיאטרון מחול</v>
      </c>
      <c r="H279" s="55" t="str">
        <f>IF($F279="","",'הזנה לתנאי סף'!I279)</f>
        <v>מחול</v>
      </c>
      <c r="I279" s="187">
        <f>IF($F279="","",'הזנה לתנאי סף'!R279)</f>
        <v>390869</v>
      </c>
      <c r="J279" s="187">
        <f>IF($F279="","",'תחום תמיכה א'!P279)</f>
        <v>341223</v>
      </c>
      <c r="K279" s="177">
        <f>IF($F279="","",'הזנה לתנאי סף'!N279)</f>
        <v>1</v>
      </c>
      <c r="L279" s="177">
        <f>IF($F279="","",'הזנה לתנאי סף'!O279)</f>
        <v>0</v>
      </c>
      <c r="M279" s="177">
        <f>IF($F279="","",'הזנה לתנאי סף'!Q279)</f>
        <v>1</v>
      </c>
      <c r="N279" s="187">
        <f>IF($F279="","",'תחום תמיכה א'!AE279)</f>
        <v>10033.121608158528</v>
      </c>
      <c r="O279" s="178"/>
      <c r="P279" s="187">
        <f>IF($F279="","",'תחום תמיכה ב'!AC279)</f>
        <v>19274.548987790902</v>
      </c>
      <c r="Q279" s="187">
        <f>IF($F279="","",IF('תחום תמיכה ג'!O279="",0,'תחום תמיכה ג'!O279))</f>
        <v>8082.6427504344365</v>
      </c>
      <c r="R279" s="187">
        <f t="shared" si="12"/>
        <v>577.94835843785404</v>
      </c>
      <c r="S279" s="187">
        <f>IF($F279="","",'תחום תמיכה ב'!AE279)</f>
        <v>19852.497346228756</v>
      </c>
      <c r="T279" s="187">
        <f>IF($F279="","",IF(Q279='תחום תמיכה ג'!$Q$2,'תחום תמיכה ג'!$Q$2,IFERROR(SUMIF(N279:R279,"&gt;0"),'תחום תמיכה ג'!$Q$2)))</f>
        <v>37968.261704821722</v>
      </c>
      <c r="U279" s="187">
        <f>IF($F279="","",'הזנה לתנאי סף'!Y279)</f>
        <v>50000</v>
      </c>
      <c r="V279" s="269">
        <f>IF(F279="","",'הגבלה לסכום מבוקש '!AA279)</f>
        <v>41277.578980143568</v>
      </c>
      <c r="W279" s="187">
        <f t="shared" si="13"/>
        <v>10319.394745035892</v>
      </c>
      <c r="X279" s="187">
        <f>IF(F279="","",'הזנה לתנאי סף'!Z279)</f>
        <v>30000</v>
      </c>
      <c r="Y279" s="237" t="str">
        <f>IFERROR(VLOOKUP(G279*1,#REF!,3,0),"")</f>
        <v/>
      </c>
      <c r="Z279" s="187" t="str">
        <f>IF(OR($F279="",Y279=""),"",IFERROR(IF(Y279&gt;V279,MIN(Y279,T279)-V279,0),'תחום תמיכה ג'!$Q$2))</f>
        <v/>
      </c>
      <c r="AA279" s="259"/>
      <c r="AB279" s="260" t="str">
        <f t="shared" si="14"/>
        <v/>
      </c>
      <c r="AC279" s="262"/>
      <c r="AD279" s="180"/>
      <c r="AE279" s="13" t="str">
        <f>IF($C279="","",IFERROR(VLOOKUP($C279,גיליון1!$A:$E,2,0),"לא הגיש בקשה שוטפת"))</f>
        <v>רנה שינפלד - תמיכה שוטפת 2020</v>
      </c>
      <c r="AF279" s="13" t="str">
        <f>IF($C279="","",IFERROR(VLOOKUP($C279,גיליון1!$A:$E,3,0),"לא הגיש בקשה שוטפת"))</f>
        <v>חויב</v>
      </c>
      <c r="AG279" s="13" t="str">
        <f>IF($C279="","",IFERROR(VLOOKUP($C279,גיליון1!$A:$E,4,0),"לא הגיש בקשה שוטפת"))</f>
        <v>19-42-02-20</v>
      </c>
      <c r="AH279" s="13" t="str">
        <f>IF($C279="","",IFERROR(VLOOKUP($C279,גיליון1!$A:$E,5,0),"לא הגיש בקשה שוטפת"))</f>
        <v>מחול וארגוני גג</v>
      </c>
      <c r="AI279" s="13">
        <f t="shared" si="15"/>
        <v>0</v>
      </c>
      <c r="AJ279"/>
      <c r="AK279" t="s">
        <v>250</v>
      </c>
    </row>
    <row r="280" spans="1:37" ht="29.25" x14ac:dyDescent="0.25">
      <c r="A280" s="54">
        <f>'הזנה לתנאי סף'!B280</f>
        <v>250</v>
      </c>
      <c r="B280" s="266">
        <f>IF($F280="","",'הזנה לתנאי סף'!C280)</f>
        <v>1001350351</v>
      </c>
      <c r="C280" s="266">
        <f>IF($F280="","",'הזנה לתנאי סף'!D280)</f>
        <v>1001269665</v>
      </c>
      <c r="D280" s="266">
        <f>IF($F280="","",'הזנה לתנאי סף'!E280)</f>
        <v>40000176</v>
      </c>
      <c r="E280" s="55">
        <f>IF($F280="","",'הזנה לתנאי סף'!F280)</f>
        <v>20000201</v>
      </c>
      <c r="F280" s="55" t="str">
        <f>IF('הזנה לתנאי סף'!BL280=1,'הזנה לתנאי סף'!G280,"")</f>
        <v>תל אביב -יפו</v>
      </c>
      <c r="G280" s="55" t="str">
        <f>IF($F280="","",'הזנה לתנאי סף'!H280)</f>
        <v>אנסמבל עתים</v>
      </c>
      <c r="H280" s="55" t="str">
        <f>IF($F280="","",'הזנה לתנאי סף'!I280)</f>
        <v>תיאטרון</v>
      </c>
      <c r="I280" s="187">
        <f>IF($F280="","",'הזנה לתנאי סף'!R280)</f>
        <v>918887</v>
      </c>
      <c r="J280" s="187">
        <f>IF($F280="","",'תחום תמיכה א'!P280)</f>
        <v>919843</v>
      </c>
      <c r="K280" s="177">
        <f>IF($F280="","",'הזנה לתנאי סף'!N280)</f>
        <v>1</v>
      </c>
      <c r="L280" s="177">
        <f>IF($F280="","",'הזנה לתנאי סף'!O280)</f>
        <v>0</v>
      </c>
      <c r="M280" s="177">
        <f>IF($F280="","",'הזנה לתנאי סף'!Q280)</f>
        <v>1</v>
      </c>
      <c r="N280" s="187">
        <f>IF($F280="","",'תחום תמיכה א'!AE280)</f>
        <v>14484.857245924299</v>
      </c>
      <c r="O280" s="178"/>
      <c r="P280" s="187">
        <f>IF($F280="","",'תחום תמיכה ב'!AC280)</f>
        <v>12996.325175084983</v>
      </c>
      <c r="Q280" s="187">
        <f>IF($F280="","",IF('תחום תמיכה ג'!O280="",0,'תחום תמיכה ג'!O280))</f>
        <v>5449.9149902406407</v>
      </c>
      <c r="R280" s="187">
        <f t="shared" si="12"/>
        <v>389.69548939499145</v>
      </c>
      <c r="S280" s="187">
        <f>IF($F280="","",'תחום תמיכה ב'!AE280)</f>
        <v>13386.020664479975</v>
      </c>
      <c r="T280" s="187">
        <f>IF($F280="","",IF(Q280='תחום תמיכה ג'!$Q$2,'תחום תמיכה ג'!$Q$2,IFERROR(SUMIF(N280:R280,"&gt;0"),'תחום תמיכה ג'!$Q$2)))</f>
        <v>33320.792900644912</v>
      </c>
      <c r="U280" s="187">
        <f>IF($F280="","",'הזנה לתנאי סף'!Y280)</f>
        <v>1200000</v>
      </c>
      <c r="V280" s="269">
        <f>IF(F280="","",'הגבלה לסכום מבוקש '!AA280)</f>
        <v>35555.69416401675</v>
      </c>
      <c r="W280" s="187">
        <f t="shared" si="13"/>
        <v>8888.9235410041874</v>
      </c>
      <c r="X280" s="187">
        <f>IF(F280="","",'הזנה לתנאי סף'!Z280)</f>
        <v>30000</v>
      </c>
      <c r="Y280" s="237" t="str">
        <f>IFERROR(VLOOKUP(G280*1,#REF!,3,0),"")</f>
        <v/>
      </c>
      <c r="Z280" s="187" t="str">
        <f>IF(OR($F280="",Y280=""),"",IFERROR(IF(Y280&gt;V280,MIN(Y280,T280)-V280,0),'תחום תמיכה ג'!$Q$2))</f>
        <v/>
      </c>
      <c r="AA280" s="259"/>
      <c r="AB280" s="260" t="str">
        <f t="shared" si="14"/>
        <v/>
      </c>
      <c r="AC280" s="262"/>
      <c r="AD280" s="180"/>
      <c r="AE280" s="13" t="str">
        <f>IF($C280="","",IFERROR(VLOOKUP($C280,גיליון1!$A:$E,2,0),"לא הגיש בקשה שוטפת"))</f>
        <v>תאטרון</v>
      </c>
      <c r="AF280" s="13" t="str">
        <f>IF($C280="","",IFERROR(VLOOKUP($C280,גיליון1!$A:$E,3,0),"לא הגיש בקשה שוטפת"))</f>
        <v>מועד</v>
      </c>
      <c r="AG280" s="13" t="str">
        <f>IF($C280="","",IFERROR(VLOOKUP($C280,גיליון1!$A:$E,4,0),"לא הגיש בקשה שוטפת"))</f>
        <v>19-42-02-07</v>
      </c>
      <c r="AH280" s="13" t="str">
        <f>IF($C280="","",IFERROR(VLOOKUP($C280,גיליון1!$A:$E,5,0),"לא הגיש בקשה שוטפת"))</f>
        <v>תיאטרון</v>
      </c>
      <c r="AI280" s="13">
        <f t="shared" si="15"/>
        <v>0</v>
      </c>
      <c r="AJ280"/>
      <c r="AK280" t="s">
        <v>250</v>
      </c>
    </row>
    <row r="281" spans="1:37" ht="29.25" x14ac:dyDescent="0.25">
      <c r="A281" s="54">
        <f>'הזנה לתנאי סף'!B281</f>
        <v>251</v>
      </c>
      <c r="B281" s="266">
        <f>IF($F281="","",'הזנה לתנאי סף'!C281)</f>
        <v>1001348862</v>
      </c>
      <c r="C281" s="266">
        <f>IF($F281="","",'הזנה לתנאי סף'!D281)</f>
        <v>1001270324</v>
      </c>
      <c r="D281" s="266">
        <f>IF($F281="","",'הזנה לתנאי סף'!E281)</f>
        <v>40000179</v>
      </c>
      <c r="E281" s="55">
        <f>IF($F281="","",'הזנה לתנאי סף'!F281)</f>
        <v>20000201</v>
      </c>
      <c r="F281" s="55" t="str">
        <f>IF('הזנה לתנאי סף'!BL281=1,'הזנה לתנאי סף'!G281,"")</f>
        <v>תל אביב -יפו</v>
      </c>
      <c r="G281" s="55" t="str">
        <f>IF($F281="","",'הזנה לתנאי סף'!H281)</f>
        <v>מקשב</v>
      </c>
      <c r="H281" s="55" t="str">
        <f>IF($F281="","",'הזנה לתנאי סף'!I281)</f>
        <v>מרכזי מוסיקה</v>
      </c>
      <c r="I281" s="187">
        <f>IF($F281="","",'הזנה לתנאי סף'!R281)</f>
        <v>355101</v>
      </c>
      <c r="J281" s="187">
        <f>IF($F281="","",'תחום תמיכה א'!P281)</f>
        <v>354173</v>
      </c>
      <c r="K281" s="177">
        <f>IF($F281="","",'הזנה לתנאי סף'!N281)</f>
        <v>1</v>
      </c>
      <c r="L281" s="177">
        <f>IF($F281="","",'הזנה לתנאי סף'!O281)</f>
        <v>0</v>
      </c>
      <c r="M281" s="177">
        <f>IF($F281="","",'הזנה לתנאי סף'!Q281)</f>
        <v>1</v>
      </c>
      <c r="N281" s="187">
        <f>IF($F281="","",'תחום תמיכה א'!AE281)</f>
        <v>5700.837729439133</v>
      </c>
      <c r="O281" s="178"/>
      <c r="P281" s="187">
        <f>IF($F281="","",'תחום תמיכה ב'!AC281)</f>
        <v>5232.4844926054711</v>
      </c>
      <c r="Q281" s="187">
        <f>IF($F281="","",IF('תחום תמיכה ג'!O281="",0,'תחום תמיכה ג'!O281))</f>
        <v>2194.2045376889223</v>
      </c>
      <c r="R281" s="187">
        <f t="shared" si="12"/>
        <v>156.89632089282259</v>
      </c>
      <c r="S281" s="187">
        <f>IF($F281="","",'תחום תמיכה ב'!AE281)</f>
        <v>5389.3808134982937</v>
      </c>
      <c r="T281" s="187">
        <f>IF($F281="","",IF(Q281='תחום תמיכה ג'!$Q$2,'תחום תמיכה ג'!$Q$2,IFERROR(SUMIF(N281:R281,"&gt;0"),'תחום תמיכה ג'!$Q$2)))</f>
        <v>13284.423080626348</v>
      </c>
      <c r="U281" s="187">
        <f>IF($F281="","",'הזנה לתנאי סף'!Y281)</f>
        <v>150000</v>
      </c>
      <c r="V281" s="269">
        <f>IF(F281="","",'הגבלה לסכום מבוקש '!AA281)</f>
        <v>14184.162903099848</v>
      </c>
      <c r="W281" s="187">
        <f t="shared" si="13"/>
        <v>3546.0407257749621</v>
      </c>
      <c r="X281" s="187">
        <f>IF(F281="","",'הזנה לתנאי סף'!Z281)</f>
        <v>150000</v>
      </c>
      <c r="Y281" s="237" t="str">
        <f>IFERROR(VLOOKUP(G281*1,#REF!,3,0),"")</f>
        <v/>
      </c>
      <c r="Z281" s="187" t="str">
        <f>IF(OR($F281="",Y281=""),"",IFERROR(IF(Y281&gt;V281,MIN(Y281,T281)-V281,0),'תחום תמיכה ג'!$Q$2))</f>
        <v/>
      </c>
      <c r="AA281" s="259"/>
      <c r="AB281" s="260" t="str">
        <f t="shared" si="14"/>
        <v/>
      </c>
      <c r="AC281" s="262"/>
      <c r="AD281" s="180"/>
      <c r="AE281" s="13" t="str">
        <f>IF($C281="","",IFERROR(VLOOKUP($C281,גיליון1!$A:$E,2,0),"לא הגיש בקשה שוטפת"))</f>
        <v>מרכז למוסיקה אלקטרונית - התיבה</v>
      </c>
      <c r="AF281" s="13" t="str">
        <f>IF($C281="","",IFERROR(VLOOKUP($C281,גיליון1!$A:$E,3,0),"לא הגיש בקשה שוטפת"))</f>
        <v>מועד</v>
      </c>
      <c r="AG281" s="13" t="str">
        <f>IF($C281="","",IFERROR(VLOOKUP($C281,גיליון1!$A:$E,4,0),"לא הגיש בקשה שוטפת"))</f>
        <v>19-42-02-16</v>
      </c>
      <c r="AH281" s="13" t="str">
        <f>IF($C281="","",IFERROR(VLOOKUP($C281,גיליון1!$A:$E,5,0),"לא הגיש בקשה שוטפת"))</f>
        <v>מוסיקה</v>
      </c>
      <c r="AI281" s="13">
        <f t="shared" si="15"/>
        <v>0</v>
      </c>
      <c r="AJ281"/>
      <c r="AK281" t="s">
        <v>250</v>
      </c>
    </row>
    <row r="282" spans="1:37" ht="43.5" x14ac:dyDescent="0.25">
      <c r="A282" s="54">
        <f>'הזנה לתנאי סף'!B282</f>
        <v>252</v>
      </c>
      <c r="B282" s="266">
        <f>IF($F282="","",'הזנה לתנאי סף'!C282)</f>
        <v>1001348072</v>
      </c>
      <c r="C282" s="266">
        <f>IF($F282="","",'הזנה לתנאי סף'!D282)</f>
        <v>1001272584</v>
      </c>
      <c r="D282" s="266">
        <f>IF($F282="","",'הזנה לתנאי סף'!E282)</f>
        <v>40000564</v>
      </c>
      <c r="E282" s="55">
        <f>IF($F282="","",'הזנה לתנאי סף'!F282)</f>
        <v>20000201</v>
      </c>
      <c r="F282" s="55" t="str">
        <f>IF('הזנה לתנאי סף'!BL282=1,'הזנה לתנאי סף'!G282,"")</f>
        <v>תל אביב -יפו</v>
      </c>
      <c r="G282" s="55" t="str">
        <f>IF($F282="","",'הזנה לתנאי סף'!H282)</f>
        <v>עמותת הכוריאוגרפים (ע"ר)</v>
      </c>
      <c r="H282" s="55" t="str">
        <f>IF($F282="","",'הזנה לתנאי סף'!I282)</f>
        <v>יוצרים עצמאיים במחול</v>
      </c>
      <c r="I282" s="187">
        <f>IF($F282="","",'הזנה לתנאי סף'!R282)</f>
        <v>150968</v>
      </c>
      <c r="J282" s="187">
        <f>IF($F282="","",'תחום תמיכה א'!P282)</f>
        <v>146301</v>
      </c>
      <c r="K282" s="177">
        <f>IF($F282="","",'הזנה לתנאי סף'!N282)</f>
        <v>0</v>
      </c>
      <c r="L282" s="177">
        <f>IF($F282="","",'הזנה לתנאי סף'!O282)</f>
        <v>1</v>
      </c>
      <c r="M282" s="177">
        <f>IF($F282="","",'הזנה לתנאי סף'!Q282)</f>
        <v>1</v>
      </c>
      <c r="N282" s="187">
        <f>IF($F282="","",'תחום תמיכה א'!AE282)</f>
        <v>2727.8747008836094</v>
      </c>
      <c r="O282" s="178"/>
      <c r="P282" s="187">
        <f>IF($F282="","",'תחום תמיכה ב'!AC282)</f>
        <v>2993.619415214956</v>
      </c>
      <c r="Q282" s="187">
        <f>IF($F282="","",IF('תחום תמיכה ג'!O282="",0,'תחום תמיכה ג'!O282))</f>
        <v>0</v>
      </c>
      <c r="R282" s="187">
        <f t="shared" si="12"/>
        <v>89.763834573099757</v>
      </c>
      <c r="S282" s="187">
        <f>IF($F282="","",'תחום תמיכה ב'!AE282)</f>
        <v>3083.3832497880558</v>
      </c>
      <c r="T282" s="187">
        <f>IF($F282="","",IF(Q282='תחום תמיכה ג'!$Q$2,'תחום תמיכה ג'!$Q$2,IFERROR(SUMIF(N282:R282,"&gt;0"),'תחום תמיכה ג'!$Q$2)))</f>
        <v>5811.2579506716647</v>
      </c>
      <c r="U282" s="187">
        <f>IF($F282="","",'הזנה לתנאי סף'!Y282)</f>
        <v>150000</v>
      </c>
      <c r="V282" s="269">
        <f>IF(F282="","",'הגבלה לסכום מבוקש '!AA282)</f>
        <v>6325.2042811525725</v>
      </c>
      <c r="W282" s="187">
        <f t="shared" si="13"/>
        <v>1581.3010702881431</v>
      </c>
      <c r="X282" s="187">
        <f>IF(F282="","",'הזנה לתנאי סף'!Z282)</f>
        <v>150000</v>
      </c>
      <c r="Y282" s="237" t="str">
        <f>IFERROR(VLOOKUP(G282*1,#REF!,3,0),"")</f>
        <v/>
      </c>
      <c r="Z282" s="187" t="str">
        <f>IF(OR($F282="",Y282=""),"",IFERROR(IF(Y282&gt;V282,MIN(Y282,T282)-V282,0),'תחום תמיכה ג'!$Q$2))</f>
        <v/>
      </c>
      <c r="AA282" s="259"/>
      <c r="AB282" s="260" t="str">
        <f t="shared" si="14"/>
        <v/>
      </c>
      <c r="AC282" s="262"/>
      <c r="AD282" s="180"/>
      <c r="AE282" s="13" t="str">
        <f>IF($C282="","",IFERROR(VLOOKUP($C282,גיליון1!$A:$E,2,0),"לא הגיש בקשה שוטפת"))</f>
        <v>תמיכה שוטפת יוצר עצמאי אבי קייזר</v>
      </c>
      <c r="AF282" s="13" t="str">
        <f>IF($C282="","",IFERROR(VLOOKUP($C282,גיליון1!$A:$E,3,0),"לא הגיש בקשה שוטפת"))</f>
        <v>חויב</v>
      </c>
      <c r="AG282" s="13" t="str">
        <f>IF($C282="","",IFERROR(VLOOKUP($C282,גיליון1!$A:$E,4,0),"לא הגיש בקשה שוטפת"))</f>
        <v>19-42-02-20</v>
      </c>
      <c r="AH282" s="13" t="str">
        <f>IF($C282="","",IFERROR(VLOOKUP($C282,גיליון1!$A:$E,5,0),"לא הגיש בקשה שוטפת"))</f>
        <v>מחול וארגוני גג</v>
      </c>
      <c r="AI282" s="13">
        <f t="shared" si="15"/>
        <v>0</v>
      </c>
      <c r="AJ282"/>
      <c r="AK282" t="s">
        <v>250</v>
      </c>
    </row>
    <row r="283" spans="1:37" ht="43.5" x14ac:dyDescent="0.25">
      <c r="A283" s="54">
        <f>'הזנה לתנאי סף'!B283</f>
        <v>253</v>
      </c>
      <c r="B283" s="266">
        <f>IF($F283="","",'הזנה לתנאי סף'!C283)</f>
        <v>1001348120</v>
      </c>
      <c r="C283" s="266">
        <f>IF($F283="","",'הזנה לתנאי סף'!D283)</f>
        <v>1001276731</v>
      </c>
      <c r="D283" s="266">
        <f>IF($F283="","",'הזנה לתנאי סף'!E283)</f>
        <v>40000564</v>
      </c>
      <c r="E283" s="55">
        <f>IF($F283="","",'הזנה לתנאי סף'!F283)</f>
        <v>20000201</v>
      </c>
      <c r="F283" s="55" t="str">
        <f>IF('הזנה לתנאי סף'!BL283=1,'הזנה לתנאי סף'!G283,"")</f>
        <v>תל אביב -יפו</v>
      </c>
      <c r="G283" s="55" t="str">
        <f>IF($F283="","",'הזנה לתנאי סף'!H283)</f>
        <v>עמותת הכוריאוגרפים (ע"ר)</v>
      </c>
      <c r="H283" s="55" t="str">
        <f>IF($F283="","",'הזנה לתנאי סף'!I283)</f>
        <v>יוצרים עצמאיים במחול</v>
      </c>
      <c r="I283" s="187">
        <f>IF($F283="","",'הזנה לתנאי סף'!R283)</f>
        <v>90373</v>
      </c>
      <c r="J283" s="187">
        <f>IF($F283="","",'תחום תמיכה א'!P283)</f>
        <v>74882</v>
      </c>
      <c r="K283" s="177">
        <f>IF($F283="","",'הזנה לתנאי סף'!N283)</f>
        <v>0</v>
      </c>
      <c r="L283" s="177">
        <f>IF($F283="","",'הזנה לתנאי סף'!O283)</f>
        <v>1</v>
      </c>
      <c r="M283" s="177">
        <f>IF($F283="","",'הזנה לתנאי סף'!Q283)</f>
        <v>1</v>
      </c>
      <c r="N283" s="187">
        <f>IF($F283="","",'תחום תמיכה א'!AE283)</f>
        <v>2281.612821927436</v>
      </c>
      <c r="O283" s="178"/>
      <c r="P283" s="187">
        <f>IF($F283="","",'תחום תמיכה ב'!AC283)</f>
        <v>4785.4762423403236</v>
      </c>
      <c r="Q283" s="187">
        <f>IF($F283="","",IF('תחום תמיכה ג'!O283="",0,'תחום תמיכה ג'!O283))</f>
        <v>0</v>
      </c>
      <c r="R283" s="187">
        <f t="shared" si="12"/>
        <v>143.49275515374484</v>
      </c>
      <c r="S283" s="187">
        <f>IF($F283="","",'תחום תמיכה ב'!AE283)</f>
        <v>4928.9689974940684</v>
      </c>
      <c r="T283" s="187">
        <f>IF($F283="","",IF(Q283='תחום תמיכה ג'!$Q$2,'תחום תמיכה ג'!$Q$2,IFERROR(SUMIF(N283:R283,"&gt;0"),'תחום תמיכה ג'!$Q$2)))</f>
        <v>7210.5818194215044</v>
      </c>
      <c r="U283" s="187">
        <f>IF($F283="","",'הזנה לתנאי סף'!Y283)</f>
        <v>150000</v>
      </c>
      <c r="V283" s="269">
        <f>IF(F283="","",'הגבלה לסכום מבוקש '!AA283)</f>
        <v>8031.208528420244</v>
      </c>
      <c r="W283" s="187">
        <f t="shared" si="13"/>
        <v>2007.802132105061</v>
      </c>
      <c r="X283" s="187">
        <f>IF(F283="","",'הזנה לתנאי סף'!Z283)</f>
        <v>150000</v>
      </c>
      <c r="Y283" s="237" t="str">
        <f>IFERROR(VLOOKUP(G283*1,#REF!,3,0),"")</f>
        <v/>
      </c>
      <c r="Z283" s="187" t="str">
        <f>IF(OR($F283="",Y283=""),"",IFERROR(IF(Y283&gt;V283,MIN(Y283,T283)-V283,0),'תחום תמיכה ג'!$Q$2))</f>
        <v/>
      </c>
      <c r="AA283" s="259"/>
      <c r="AB283" s="260" t="str">
        <f t="shared" si="14"/>
        <v/>
      </c>
      <c r="AC283" s="262"/>
      <c r="AD283" s="180"/>
      <c r="AE283" s="13" t="str">
        <f>IF($C283="","",IFERROR(VLOOKUP($C283,גיליון1!$A:$E,2,0),"לא הגיש בקשה שוטפת"))</f>
        <v>תמיכה שוטפת יוצרת עצמאית נטע פולבמכר</v>
      </c>
      <c r="AF283" s="13" t="str">
        <f>IF($C283="","",IFERROR(VLOOKUP($C283,גיליון1!$A:$E,3,0),"לא הגיש בקשה שוטפת"))</f>
        <v>חויב</v>
      </c>
      <c r="AG283" s="13" t="str">
        <f>IF($C283="","",IFERROR(VLOOKUP($C283,גיליון1!$A:$E,4,0),"לא הגיש בקשה שוטפת"))</f>
        <v>19-42-02-20</v>
      </c>
      <c r="AH283" s="13" t="str">
        <f>IF($C283="","",IFERROR(VLOOKUP($C283,גיליון1!$A:$E,5,0),"לא הגיש בקשה שוטפת"))</f>
        <v>מחול וארגוני גג</v>
      </c>
      <c r="AI283" s="13">
        <f t="shared" si="15"/>
        <v>0</v>
      </c>
      <c r="AJ283"/>
      <c r="AK283" t="s">
        <v>250</v>
      </c>
    </row>
    <row r="284" spans="1:37" ht="43.5" x14ac:dyDescent="0.25">
      <c r="A284" s="54">
        <f>'הזנה לתנאי סף'!B284</f>
        <v>254</v>
      </c>
      <c r="B284" s="266">
        <f>IF($F284="","",'הזנה לתנאי סף'!C284)</f>
        <v>1001348124</v>
      </c>
      <c r="C284" s="266">
        <f>IF($F284="","",'הזנה לתנאי סף'!D284)</f>
        <v>1001276699</v>
      </c>
      <c r="D284" s="266">
        <f>IF($F284="","",'הזנה לתנאי סף'!E284)</f>
        <v>40000564</v>
      </c>
      <c r="E284" s="55">
        <f>IF($F284="","",'הזנה לתנאי סף'!F284)</f>
        <v>20000201</v>
      </c>
      <c r="F284" s="55" t="str">
        <f>IF('הזנה לתנאי סף'!BL284=1,'הזנה לתנאי סף'!G284,"")</f>
        <v>תל אביב -יפו</v>
      </c>
      <c r="G284" s="55" t="str">
        <f>IF($F284="","",'הזנה לתנאי סף'!H284)</f>
        <v>עמותת הכוריאוגרפים (ע"ר)</v>
      </c>
      <c r="H284" s="55" t="str">
        <f>IF($F284="","",'הזנה לתנאי סף'!I284)</f>
        <v>יוצרים עצמאיים במחול</v>
      </c>
      <c r="I284" s="187">
        <f>IF($F284="","",'הזנה לתנאי סף'!R284)</f>
        <v>264047</v>
      </c>
      <c r="J284" s="187">
        <f>IF($F284="","",'תחום תמיכה א'!P284)</f>
        <v>268672</v>
      </c>
      <c r="K284" s="177">
        <f>IF($F284="","",'הזנה לתנאי סף'!N284)</f>
        <v>0</v>
      </c>
      <c r="L284" s="177">
        <f>IF($F284="","",'הזנה לתנאי סף'!O284)</f>
        <v>1</v>
      </c>
      <c r="M284" s="177">
        <f>IF($F284="","",'הזנה לתנאי סף'!Q284)</f>
        <v>1</v>
      </c>
      <c r="N284" s="187">
        <f>IF($F284="","",'תחום תמיכה א'!AE284)</f>
        <v>8922.4355714396497</v>
      </c>
      <c r="O284" s="178"/>
      <c r="P284" s="187">
        <f>IF($F284="","",'תחום תמיכה ב'!AC284)</f>
        <v>16609.658399523814</v>
      </c>
      <c r="Q284" s="187">
        <f>IF($F284="","",IF('תחום תמיכה ג'!O284="",0,'תחום תמיכה ג'!O284))</f>
        <v>0</v>
      </c>
      <c r="R284" s="187">
        <f t="shared" si="12"/>
        <v>498.04147491590993</v>
      </c>
      <c r="S284" s="187">
        <f>IF($F284="","",'תחום תמיכה ב'!AE284)</f>
        <v>17107.699874439724</v>
      </c>
      <c r="T284" s="187">
        <f>IF($F284="","",IF(Q284='תחום תמיכה ג'!$Q$2,'תחום תמיכה ג'!$Q$2,IFERROR(SUMIF(N284:R284,"&gt;0"),'תחום תמיכה ג'!$Q$2)))</f>
        <v>26030.135445879372</v>
      </c>
      <c r="U284" s="187">
        <f>IF($F284="","",'הזנה לתנאי סף'!Y284)</f>
        <v>150000</v>
      </c>
      <c r="V284" s="269">
        <f>IF(F284="","",'הגבלה לסכום מבוקש '!AA284)</f>
        <v>28878.862463952686</v>
      </c>
      <c r="W284" s="187">
        <f t="shared" si="13"/>
        <v>7219.7156159881715</v>
      </c>
      <c r="X284" s="187">
        <f>IF(F284="","",'הזנה לתנאי סף'!Z284)</f>
        <v>150000</v>
      </c>
      <c r="Y284" s="237" t="str">
        <f>IFERROR(VLOOKUP(G284*1,#REF!,3,0),"")</f>
        <v/>
      </c>
      <c r="Z284" s="187" t="str">
        <f>IF(OR($F284="",Y284=""),"",IFERROR(IF(Y284&gt;V284,MIN(Y284,T284)-V284,0),'תחום תמיכה ג'!$Q$2))</f>
        <v/>
      </c>
      <c r="AA284" s="259"/>
      <c r="AB284" s="260" t="str">
        <f t="shared" si="14"/>
        <v/>
      </c>
      <c r="AC284" s="262"/>
      <c r="AD284" s="180"/>
      <c r="AE284" s="13" t="str">
        <f>IF($C284="","",IFERROR(VLOOKUP($C284,גיליון1!$A:$E,2,0),"לא הגיש בקשה שוטפת"))</f>
        <v>תמיכה שוטפת יוצרת עצמאית אלה רוטישלד</v>
      </c>
      <c r="AF284" s="13" t="str">
        <f>IF($C284="","",IFERROR(VLOOKUP($C284,גיליון1!$A:$E,3,0),"לא הגיש בקשה שוטפת"))</f>
        <v>חויב</v>
      </c>
      <c r="AG284" s="13" t="str">
        <f>IF($C284="","",IFERROR(VLOOKUP($C284,גיליון1!$A:$E,4,0),"לא הגיש בקשה שוטפת"))</f>
        <v>19-42-02-20</v>
      </c>
      <c r="AH284" s="13" t="str">
        <f>IF($C284="","",IFERROR(VLOOKUP($C284,גיליון1!$A:$E,5,0),"לא הגיש בקשה שוטפת"))</f>
        <v>מחול וארגוני גג</v>
      </c>
      <c r="AI284" s="13">
        <f t="shared" si="15"/>
        <v>0</v>
      </c>
      <c r="AJ284"/>
      <c r="AK284" t="s">
        <v>250</v>
      </c>
    </row>
    <row r="285" spans="1:37" ht="43.5" x14ac:dyDescent="0.25">
      <c r="A285" s="54">
        <f>'הזנה לתנאי סף'!B285</f>
        <v>255</v>
      </c>
      <c r="B285" s="266">
        <f>IF($F285="","",'הזנה לתנאי סף'!C285)</f>
        <v>1001348125</v>
      </c>
      <c r="C285" s="266">
        <f>IF($F285="","",'הזנה לתנאי סף'!D285)</f>
        <v>1001276698</v>
      </c>
      <c r="D285" s="266">
        <f>IF($F285="","",'הזנה לתנאי סף'!E285)</f>
        <v>40000564</v>
      </c>
      <c r="E285" s="55">
        <f>IF($F285="","",'הזנה לתנאי סף'!F285)</f>
        <v>20000201</v>
      </c>
      <c r="F285" s="55" t="str">
        <f>IF('הזנה לתנאי סף'!BL285=1,'הזנה לתנאי סף'!G285,"")</f>
        <v>תל אביב -יפו</v>
      </c>
      <c r="G285" s="55" t="str">
        <f>IF($F285="","",'הזנה לתנאי סף'!H285)</f>
        <v>עמותת הכוריאוגרפים (ע"ר)</v>
      </c>
      <c r="H285" s="55" t="str">
        <f>IF($F285="","",'הזנה לתנאי סף'!I285)</f>
        <v>יוצרים עצמאיים במחול</v>
      </c>
      <c r="I285" s="187">
        <f>IF($F285="","",'הזנה לתנאי סף'!R285)</f>
        <v>67768</v>
      </c>
      <c r="J285" s="187">
        <f>IF($F285="","",'תחום תמיכה א'!P285)</f>
        <v>73187</v>
      </c>
      <c r="K285" s="177">
        <f>IF($F285="","",'הזנה לתנאי סף'!N285)</f>
        <v>0</v>
      </c>
      <c r="L285" s="177">
        <f>IF($F285="","",'הזנה לתנאי סף'!O285)</f>
        <v>1</v>
      </c>
      <c r="M285" s="177">
        <f>IF($F285="","",'הזנה לתנאי סף'!Q285)</f>
        <v>1</v>
      </c>
      <c r="N285" s="187">
        <f>IF($F285="","",'תחום תמיכה א'!AE285)</f>
        <v>2489.0038949402774</v>
      </c>
      <c r="O285" s="178"/>
      <c r="P285" s="187">
        <f>IF($F285="","",'תחום תמיכה ב'!AC285)</f>
        <v>4470.5954183544281</v>
      </c>
      <c r="Q285" s="187">
        <f>IF($F285="","",IF('תחום תמיכה ג'!O285="",0,'תחום תמיכה ג'!O285))</f>
        <v>0</v>
      </c>
      <c r="R285" s="187">
        <f t="shared" si="12"/>
        <v>134.05103719492399</v>
      </c>
      <c r="S285" s="187">
        <f>IF($F285="","",'תחום תמיכה ב'!AE285)</f>
        <v>4604.6464555493521</v>
      </c>
      <c r="T285" s="187">
        <f>IF($F285="","",IF(Q285='תחום תמיכה ג'!$Q$2,'תחום תמיכה ג'!$Q$2,IFERROR(SUMIF(N285:R285,"&gt;0"),'תחום תמיכה ג'!$Q$2)))</f>
        <v>7093.65035048963</v>
      </c>
      <c r="U285" s="187">
        <f>IF($F285="","",'הזנה לתנאי סף'!Y285)</f>
        <v>150000</v>
      </c>
      <c r="V285" s="269">
        <f>IF(F285="","",'הגבלה לסכום מבוקש '!AA285)</f>
        <v>7860.4432124947161</v>
      </c>
      <c r="W285" s="187">
        <f t="shared" si="13"/>
        <v>1965.110803123679</v>
      </c>
      <c r="X285" s="187">
        <f>IF(F285="","",'הזנה לתנאי סף'!Z285)</f>
        <v>150000</v>
      </c>
      <c r="Y285" s="237" t="str">
        <f>IFERROR(VLOOKUP(G285*1,#REF!,3,0),"")</f>
        <v/>
      </c>
      <c r="Z285" s="187" t="str">
        <f>IF(OR($F285="",Y285=""),"",IFERROR(IF(Y285&gt;V285,MIN(Y285,T285)-V285,0),'תחום תמיכה ג'!$Q$2))</f>
        <v/>
      </c>
      <c r="AA285" s="259"/>
      <c r="AB285" s="260" t="str">
        <f t="shared" si="14"/>
        <v/>
      </c>
      <c r="AC285" s="262"/>
      <c r="AD285" s="180"/>
      <c r="AE285" s="13" t="str">
        <f>IF($C285="","",IFERROR(VLOOKUP($C285,גיליון1!$A:$E,2,0),"לא הגיש בקשה שוטפת"))</f>
        <v>תמיכה שוטפת יוצרת עצמאית אביגיל רובין</v>
      </c>
      <c r="AF285" s="13" t="str">
        <f>IF($C285="","",IFERROR(VLOOKUP($C285,גיליון1!$A:$E,3,0),"לא הגיש בקשה שוטפת"))</f>
        <v>חויב</v>
      </c>
      <c r="AG285" s="13" t="str">
        <f>IF($C285="","",IFERROR(VLOOKUP($C285,גיליון1!$A:$E,4,0),"לא הגיש בקשה שוטפת"))</f>
        <v>19-42-02-20</v>
      </c>
      <c r="AH285" s="13" t="str">
        <f>IF($C285="","",IFERROR(VLOOKUP($C285,גיליון1!$A:$E,5,0),"לא הגיש בקשה שוטפת"))</f>
        <v>מחול וארגוני גג</v>
      </c>
      <c r="AI285" s="13">
        <f t="shared" si="15"/>
        <v>0</v>
      </c>
      <c r="AJ285"/>
      <c r="AK285" t="s">
        <v>250</v>
      </c>
    </row>
    <row r="286" spans="1:37" ht="43.5" x14ac:dyDescent="0.25">
      <c r="A286" s="54">
        <f>'הזנה לתנאי סף'!B286</f>
        <v>256</v>
      </c>
      <c r="B286" s="266">
        <f>IF($F286="","",'הזנה לתנאי סף'!C286)</f>
        <v>1001348128</v>
      </c>
      <c r="C286" s="266">
        <f>IF($F286="","",'הזנה לתנאי סף'!D286)</f>
        <v>1001273596</v>
      </c>
      <c r="D286" s="266">
        <f>IF($F286="","",'הזנה לתנאי סף'!E286)</f>
        <v>40000564</v>
      </c>
      <c r="E286" s="55">
        <f>IF($F286="","",'הזנה לתנאי סף'!F286)</f>
        <v>20000201</v>
      </c>
      <c r="F286" s="55" t="str">
        <f>IF('הזנה לתנאי סף'!BL286=1,'הזנה לתנאי סף'!G286,"")</f>
        <v>תל אביב -יפו</v>
      </c>
      <c r="G286" s="55" t="str">
        <f>IF($F286="","",'הזנה לתנאי סף'!H286)</f>
        <v>עמותת הכוריאוגרפים (ע"ר)</v>
      </c>
      <c r="H286" s="55" t="str">
        <f>IF($F286="","",'הזנה לתנאי סף'!I286)</f>
        <v>יוצרים עצמאיים במחול</v>
      </c>
      <c r="I286" s="187">
        <f>IF($F286="","",'הזנה לתנאי סף'!R286)</f>
        <v>114212</v>
      </c>
      <c r="J286" s="187">
        <f>IF($F286="","",'תחום תמיכה א'!P286)</f>
        <v>136264</v>
      </c>
      <c r="K286" s="177">
        <f>IF($F286="","",'הזנה לתנאי סף'!N286)</f>
        <v>0</v>
      </c>
      <c r="L286" s="177">
        <f>IF($F286="","",'הזנה לתנאי סף'!O286)</f>
        <v>1</v>
      </c>
      <c r="M286" s="177">
        <f>IF($F286="","",'הזנה לתנאי סף'!Q286)</f>
        <v>1</v>
      </c>
      <c r="N286" s="187">
        <f>IF($F286="","",'תחום תמיכה א'!AE286)</f>
        <v>3590.441824633529</v>
      </c>
      <c r="O286" s="178"/>
      <c r="P286" s="187">
        <f>IF($F286="","",'תחום תמיכה ב'!AC286)</f>
        <v>4522.7511924963164</v>
      </c>
      <c r="Q286" s="187">
        <f>IF($F286="","",IF('תחום תמיכה ג'!O286="",0,'תחום תמיכה ג'!O286))</f>
        <v>0</v>
      </c>
      <c r="R286" s="187">
        <f t="shared" si="12"/>
        <v>135.61493080755554</v>
      </c>
      <c r="S286" s="187">
        <f>IF($F286="","",'תחום תמיכה ב'!AE286)</f>
        <v>4658.366123303872</v>
      </c>
      <c r="T286" s="187">
        <f>IF($F286="","",IF(Q286='תחום תמיכה ג'!$Q$2,'תחום תמיכה ג'!$Q$2,IFERROR(SUMIF(N286:R286,"&gt;0"),'תחום תמיכה ג'!$Q$2)))</f>
        <v>8248.807947937401</v>
      </c>
      <c r="U286" s="187">
        <f>IF($F286="","",'הזנה לתנאי סף'!Y286)</f>
        <v>150000</v>
      </c>
      <c r="V286" s="269">
        <f>IF(F286="","",'הגבלה לסכום מבוקש '!AA286)</f>
        <v>9025.0348177113519</v>
      </c>
      <c r="W286" s="187">
        <f t="shared" si="13"/>
        <v>2256.258704427838</v>
      </c>
      <c r="X286" s="187">
        <f>IF(F286="","",'הזנה לתנאי סף'!Z286)</f>
        <v>150000</v>
      </c>
      <c r="Y286" s="237" t="str">
        <f>IFERROR(VLOOKUP(G286*1,#REF!,3,0),"")</f>
        <v/>
      </c>
      <c r="Z286" s="187" t="str">
        <f>IF(OR($F286="",Y286=""),"",IFERROR(IF(Y286&gt;V286,MIN(Y286,T286)-V286,0),'תחום תמיכה ג'!$Q$2))</f>
        <v/>
      </c>
      <c r="AA286" s="259"/>
      <c r="AB286" s="260" t="str">
        <f t="shared" si="14"/>
        <v/>
      </c>
      <c r="AC286" s="262"/>
      <c r="AD286" s="180"/>
      <c r="AE286" s="13" t="str">
        <f>IF($C286="","",IFERROR(VLOOKUP($C286,גיליון1!$A:$E,2,0),"לא הגיש בקשה שוטפת"))</f>
        <v>תמיכה שוטפת יוצרת עצמאית מעיין ליבמן</v>
      </c>
      <c r="AF286" s="13" t="str">
        <f>IF($C286="","",IFERROR(VLOOKUP($C286,גיליון1!$A:$E,3,0),"לא הגיש בקשה שוטפת"))</f>
        <v>חויב</v>
      </c>
      <c r="AG286" s="13" t="str">
        <f>IF($C286="","",IFERROR(VLOOKUP($C286,גיליון1!$A:$E,4,0),"לא הגיש בקשה שוטפת"))</f>
        <v>19-42-02-20</v>
      </c>
      <c r="AH286" s="13" t="str">
        <f>IF($C286="","",IFERROR(VLOOKUP($C286,גיליון1!$A:$E,5,0),"לא הגיש בקשה שוטפת"))</f>
        <v>מחול וארגוני גג</v>
      </c>
      <c r="AI286" s="13">
        <f t="shared" si="15"/>
        <v>0</v>
      </c>
      <c r="AJ286"/>
      <c r="AK286" t="s">
        <v>250</v>
      </c>
    </row>
    <row r="287" spans="1:37" ht="43.5" x14ac:dyDescent="0.25">
      <c r="A287" s="54">
        <f>'הזנה לתנאי סף'!B287</f>
        <v>257</v>
      </c>
      <c r="B287" s="266">
        <f>IF($F287="","",'הזנה לתנאי סף'!C287)</f>
        <v>1001348129</v>
      </c>
      <c r="C287" s="266">
        <f>IF($F287="","",'הזנה לתנאי סף'!D287)</f>
        <v>1001276685</v>
      </c>
      <c r="D287" s="266">
        <f>IF($F287="","",'הזנה לתנאי סף'!E287)</f>
        <v>40000564</v>
      </c>
      <c r="E287" s="55">
        <f>IF($F287="","",'הזנה לתנאי סף'!F287)</f>
        <v>20000201</v>
      </c>
      <c r="F287" s="55" t="str">
        <f>IF('הזנה לתנאי סף'!BL287=1,'הזנה לתנאי סף'!G287,"")</f>
        <v>תל אביב -יפו</v>
      </c>
      <c r="G287" s="55" t="str">
        <f>IF($F287="","",'הזנה לתנאי סף'!H287)</f>
        <v>עמותת הכוריאוגרפים (ע"ר)</v>
      </c>
      <c r="H287" s="55" t="str">
        <f>IF($F287="","",'הזנה לתנאי סף'!I287)</f>
        <v>יוצרים עצמאיים במחול</v>
      </c>
      <c r="I287" s="187">
        <f>IF($F287="","",'הזנה לתנאי סף'!R287)</f>
        <v>165009</v>
      </c>
      <c r="J287" s="187">
        <f>IF($F287="","",'תחום תמיכה א'!P287)</f>
        <v>145530</v>
      </c>
      <c r="K287" s="177">
        <f>IF($F287="","",'הזנה לתנאי סף'!N287)</f>
        <v>0</v>
      </c>
      <c r="L287" s="177">
        <f>IF($F287="","",'הזנה לתנאי סף'!O287)</f>
        <v>1</v>
      </c>
      <c r="M287" s="177">
        <f>IF($F287="","",'הזנה לתנאי סף'!Q287)</f>
        <v>1</v>
      </c>
      <c r="N287" s="187">
        <f>IF($F287="","",'תחום תמיכה א'!AE287)</f>
        <v>5544.7519284437258</v>
      </c>
      <c r="O287" s="178"/>
      <c r="P287" s="187">
        <f>IF($F287="","",'תחום תמיכה ב'!AC287)</f>
        <v>11880.41224515192</v>
      </c>
      <c r="Q287" s="187">
        <f>IF($F287="","",IF('תחום תמיכה ג'!O287="",0,'תחום תמיכה ג'!O287))</f>
        <v>0</v>
      </c>
      <c r="R287" s="187">
        <f t="shared" si="12"/>
        <v>356.23478188775516</v>
      </c>
      <c r="S287" s="187">
        <f>IF($F287="","",'תחום תמיכה ב'!AE287)</f>
        <v>12236.647027039675</v>
      </c>
      <c r="T287" s="187">
        <f>IF($F287="","",IF(Q287='תחום תמיכה ג'!$Q$2,'תחום תמיכה ג'!$Q$2,IFERROR(SUMIF(N287:R287,"&gt;0"),'תחום תמיכה ג'!$Q$2)))</f>
        <v>17781.398955483397</v>
      </c>
      <c r="U287" s="187">
        <f>IF($F287="","",'הזנה לתנאי סף'!Y287)</f>
        <v>150000</v>
      </c>
      <c r="V287" s="269">
        <f>IF(F287="","",'הגבלה לסכום מבוקש '!AA287)</f>
        <v>19818.63047867249</v>
      </c>
      <c r="W287" s="187">
        <f t="shared" si="13"/>
        <v>4954.6576196681226</v>
      </c>
      <c r="X287" s="187">
        <f>IF(F287="","",'הזנה לתנאי סף'!Z287)</f>
        <v>150000</v>
      </c>
      <c r="Y287" s="237" t="str">
        <f>IFERROR(VLOOKUP(G287*1,#REF!,3,0),"")</f>
        <v/>
      </c>
      <c r="Z287" s="187" t="str">
        <f>IF(OR($F287="",Y287=""),"",IFERROR(IF(Y287&gt;V287,MIN(Y287,T287)-V287,0),'תחום תמיכה ג'!$Q$2))</f>
        <v/>
      </c>
      <c r="AA287" s="259"/>
      <c r="AB287" s="260" t="str">
        <f t="shared" si="14"/>
        <v/>
      </c>
      <c r="AC287" s="262"/>
      <c r="AD287" s="180"/>
      <c r="AE287" s="13" t="str">
        <f>IF($C287="","",IFERROR(VLOOKUP($C287,גיליון1!$A:$E,2,0),"לא הגיש בקשה שוטפת"))</f>
        <v>תמיכה שוטפת פסטיבל ריקוד חדר</v>
      </c>
      <c r="AF287" s="13" t="str">
        <f>IF($C287="","",IFERROR(VLOOKUP($C287,גיליון1!$A:$E,3,0),"לא הגיש בקשה שוטפת"))</f>
        <v>מועד</v>
      </c>
      <c r="AG287" s="13" t="str">
        <f>IF($C287="","",IFERROR(VLOOKUP($C287,גיליון1!$A:$E,4,0),"לא הגיש בקשה שוטפת"))</f>
        <v>19-42-02-26</v>
      </c>
      <c r="AH287" s="13" t="str">
        <f>IF($C287="","",IFERROR(VLOOKUP($C287,גיליון1!$A:$E,5,0),"לא הגיש בקשה שוטפת"))</f>
        <v>פסטיבלים לתרבות</v>
      </c>
      <c r="AI287" s="13">
        <f t="shared" si="15"/>
        <v>0</v>
      </c>
      <c r="AJ287"/>
      <c r="AK287" t="s">
        <v>250</v>
      </c>
    </row>
    <row r="288" spans="1:37" ht="43.5" x14ac:dyDescent="0.25">
      <c r="A288" s="54">
        <f>'הזנה לתנאי סף'!B288</f>
        <v>258</v>
      </c>
      <c r="B288" s="266">
        <f>IF($F288="","",'הזנה לתנאי סף'!C288)</f>
        <v>1001348132</v>
      </c>
      <c r="C288" s="266">
        <f>IF($F288="","",'הזנה לתנאי סף'!D288)</f>
        <v>1001276680</v>
      </c>
      <c r="D288" s="266">
        <f>IF($F288="","",'הזנה לתנאי סף'!E288)</f>
        <v>40000564</v>
      </c>
      <c r="E288" s="55">
        <f>IF($F288="","",'הזנה לתנאי סף'!F288)</f>
        <v>20000201</v>
      </c>
      <c r="F288" s="55" t="str">
        <f>IF('הזנה לתנאי סף'!BL288=1,'הזנה לתנאי סף'!G288,"")</f>
        <v>תל אביב -יפו</v>
      </c>
      <c r="G288" s="55" t="str">
        <f>IF($F288="","",'הזנה לתנאי סף'!H288)</f>
        <v>עמותת הכוריאוגרפים (ע"ר)</v>
      </c>
      <c r="H288" s="55" t="str">
        <f>IF($F288="","",'הזנה לתנאי סף'!I288)</f>
        <v>יוצרים עצמאיים במחול</v>
      </c>
      <c r="I288" s="187">
        <f>IF($F288="","",'הזנה לתנאי סף'!R288)</f>
        <v>227699</v>
      </c>
      <c r="J288" s="187">
        <f>IF($F288="","",'תחום תמיכה א'!P288)</f>
        <v>178318</v>
      </c>
      <c r="K288" s="177">
        <f>IF($F288="","",'הזנה לתנאי סף'!N288)</f>
        <v>0</v>
      </c>
      <c r="L288" s="177">
        <f>IF($F288="","",'הזנה לתנאי סף'!O288)</f>
        <v>1</v>
      </c>
      <c r="M288" s="177">
        <f>IF($F288="","",'הזנה לתנאי סף'!Q288)</f>
        <v>1</v>
      </c>
      <c r="N288" s="187">
        <f>IF($F288="","",'תחום תמיכה א'!AE288)</f>
        <v>5901.3657105282446</v>
      </c>
      <c r="O288" s="178"/>
      <c r="P288" s="187">
        <f>IF($F288="","",'תחום תמיכה ב'!AC288)</f>
        <v>14224.376877696097</v>
      </c>
      <c r="Q288" s="187">
        <f>IF($F288="","",IF('תחום תמיכה ג'!O288="",0,'תחום תמיכה ג'!O288))</f>
        <v>0</v>
      </c>
      <c r="R288" s="187">
        <f t="shared" ref="R288:R329" si="16">IF($F288="","",IFERROR(S288-P288,""))</f>
        <v>426.51868385990383</v>
      </c>
      <c r="S288" s="187">
        <f>IF($F288="","",'תחום תמיכה ב'!AE288)</f>
        <v>14650.895561556001</v>
      </c>
      <c r="T288" s="187">
        <f>IF($F288="","",IF(Q288='תחום תמיכה ג'!$Q$2,'תחום תמיכה ג'!$Q$2,IFERROR(SUMIF(N288:R288,"&gt;0"),'תחום תמיכה ג'!$Q$2)))</f>
        <v>20552.261272084244</v>
      </c>
      <c r="U288" s="187">
        <f>IF($F288="","",'הזנה לתנאי סף'!Y288)</f>
        <v>150000</v>
      </c>
      <c r="V288" s="269">
        <f>IF(F288="","",'הגבלה לסכום מבוקש '!AA288)</f>
        <v>22991.09586158807</v>
      </c>
      <c r="W288" s="187">
        <f t="shared" ref="W288:W351" si="17">IF(G288="","",V288/4)</f>
        <v>5747.7739653970175</v>
      </c>
      <c r="X288" s="187">
        <f>IF(F288="","",'הזנה לתנאי סף'!Z288)</f>
        <v>150000</v>
      </c>
      <c r="Y288" s="237" t="str">
        <f>IFERROR(VLOOKUP(G288*1,#REF!,3,0),"")</f>
        <v/>
      </c>
      <c r="Z288" s="187" t="str">
        <f>IF(OR($F288="",Y288=""),"",IFERROR(IF(Y288&gt;V288,MIN(Y288,T288)-V288,0),'תחום תמיכה ג'!$Q$2))</f>
        <v/>
      </c>
      <c r="AA288" s="259"/>
      <c r="AB288" s="260" t="str">
        <f t="shared" ref="AB288:AB329" si="18">Z288</f>
        <v/>
      </c>
      <c r="AC288" s="262"/>
      <c r="AD288" s="180"/>
      <c r="AE288" s="13" t="str">
        <f>IF($C288="","",IFERROR(VLOOKUP($C288,גיליון1!$A:$E,2,0),"לא הגיש בקשה שוטפת"))</f>
        <v>תמיכה שוטפת מיכאל גטמן</v>
      </c>
      <c r="AF288" s="13" t="str">
        <f>IF($C288="","",IFERROR(VLOOKUP($C288,גיליון1!$A:$E,3,0),"לא הגיש בקשה שוטפת"))</f>
        <v>חויב</v>
      </c>
      <c r="AG288" s="13" t="str">
        <f>IF($C288="","",IFERROR(VLOOKUP($C288,גיליון1!$A:$E,4,0),"לא הגיש בקשה שוטפת"))</f>
        <v>19-42-02-20</v>
      </c>
      <c r="AH288" s="13" t="str">
        <f>IF($C288="","",IFERROR(VLOOKUP($C288,גיליון1!$A:$E,5,0),"לא הגיש בקשה שוטפת"))</f>
        <v>מחול וארגוני גג</v>
      </c>
      <c r="AI288" s="13">
        <f t="shared" ref="AI288:AI351" si="19">IF(T288&gt;U288,1,0)</f>
        <v>0</v>
      </c>
      <c r="AJ288"/>
      <c r="AK288" t="s">
        <v>250</v>
      </c>
    </row>
    <row r="289" spans="1:37" ht="43.5" x14ac:dyDescent="0.25">
      <c r="A289" s="54">
        <f>'הזנה לתנאי סף'!B289</f>
        <v>259</v>
      </c>
      <c r="B289" s="266">
        <f>IF($F289="","",'הזנה לתנאי סף'!C289)</f>
        <v>1001348134</v>
      </c>
      <c r="C289" s="266">
        <f>IF($F289="","",'הזנה לתנאי סף'!D289)</f>
        <v>1001276630</v>
      </c>
      <c r="D289" s="266">
        <f>IF($F289="","",'הזנה לתנאי סף'!E289)</f>
        <v>40000564</v>
      </c>
      <c r="E289" s="55">
        <f>IF($F289="","",'הזנה לתנאי סף'!F289)</f>
        <v>20000201</v>
      </c>
      <c r="F289" s="55" t="str">
        <f>IF('הזנה לתנאי סף'!BL289=1,'הזנה לתנאי סף'!G289,"")</f>
        <v>תל אביב -יפו</v>
      </c>
      <c r="G289" s="55" t="str">
        <f>IF($F289="","",'הזנה לתנאי סף'!H289)</f>
        <v>עמותת הכוריאוגרפים (ע"ר)</v>
      </c>
      <c r="H289" s="55" t="str">
        <f>IF($F289="","",'הזנה לתנאי סף'!I289)</f>
        <v>יוצרים עצמאיים במחול</v>
      </c>
      <c r="I289" s="187">
        <f>IF($F289="","",'הזנה לתנאי סף'!R289)</f>
        <v>167379</v>
      </c>
      <c r="J289" s="187">
        <f>IF($F289="","",'תחום תמיכה א'!P289)</f>
        <v>133053</v>
      </c>
      <c r="K289" s="177">
        <f>IF($F289="","",'הזנה לתנאי סף'!N289)</f>
        <v>0</v>
      </c>
      <c r="L289" s="177">
        <f>IF($F289="","",'הזנה לתנאי סף'!O289)</f>
        <v>1</v>
      </c>
      <c r="M289" s="177">
        <f>IF($F289="","",'הזנה לתנאי סף'!Q289)</f>
        <v>1</v>
      </c>
      <c r="N289" s="187">
        <f>IF($F289="","",'תחום תמיכה א'!AE289)</f>
        <v>7273.2759908772605</v>
      </c>
      <c r="O289" s="178"/>
      <c r="P289" s="187">
        <f>IF($F289="","",'תחום תמיכה ב'!AC289)</f>
        <v>28527.860352875032</v>
      </c>
      <c r="Q289" s="187">
        <f>IF($F289="","",IF('תחום תמיכה ג'!O289="",0,'תחום תמיכה ג'!O289))</f>
        <v>0</v>
      </c>
      <c r="R289" s="187">
        <f t="shared" si="16"/>
        <v>855.40938317841938</v>
      </c>
      <c r="S289" s="187">
        <f>IF($F289="","",'תחום תמיכה ב'!AE289)</f>
        <v>29383.269736053451</v>
      </c>
      <c r="T289" s="187">
        <f>IF($F289="","",IF(Q289='תחום תמיכה ג'!$Q$2,'תחום תמיכה ג'!$Q$2,IFERROR(SUMIF(N289:R289,"&gt;0"),'תחום תמיכה ג'!$Q$2)))</f>
        <v>36656.545726930715</v>
      </c>
      <c r="U289" s="187">
        <f>IF($F289="","",'הזנה לתנאי סף'!Y289)</f>
        <v>150000</v>
      </c>
      <c r="V289" s="269">
        <f>IF(F289="","",'הגבלה לסכום מבוקש '!AA289)</f>
        <v>41545.700770261414</v>
      </c>
      <c r="W289" s="187">
        <f t="shared" si="17"/>
        <v>10386.425192565353</v>
      </c>
      <c r="X289" s="187">
        <f>IF(F289="","",'הזנה לתנאי סף'!Z289)</f>
        <v>150000</v>
      </c>
      <c r="Y289" s="237" t="str">
        <f>IFERROR(VLOOKUP(G289*1,#REF!,3,0),"")</f>
        <v/>
      </c>
      <c r="Z289" s="187" t="str">
        <f>IF(OR($F289="",Y289=""),"",IFERROR(IF(Y289&gt;V289,MIN(Y289,T289)-V289,0),'תחום תמיכה ג'!$Q$2))</f>
        <v/>
      </c>
      <c r="AA289" s="259"/>
      <c r="AB289" s="260" t="str">
        <f t="shared" si="18"/>
        <v/>
      </c>
      <c r="AC289" s="262"/>
      <c r="AD289" s="180"/>
      <c r="AE289" s="13" t="str">
        <f>IF($C289="","",IFERROR(VLOOKUP($C289,גיליון1!$A:$E,2,0),"לא הגיש בקשה שוטפת"))</f>
        <v>לא הגיש בקשה שוטפת</v>
      </c>
      <c r="AF289" s="13" t="str">
        <f>IF($C289="","",IFERROR(VLOOKUP($C289,גיליון1!$A:$E,3,0),"לא הגיש בקשה שוטפת"))</f>
        <v>לא הגיש בקשה שוטפת</v>
      </c>
      <c r="AG289" s="13" t="str">
        <f>IF($C289="","",IFERROR(VLOOKUP($C289,גיליון1!$A:$E,4,0),"לא הגיש בקשה שוטפת"))</f>
        <v>לא הגיש בקשה שוטפת</v>
      </c>
      <c r="AH289" s="13" t="str">
        <f>IF($C289="","",IFERROR(VLOOKUP($C289,גיליון1!$A:$E,5,0),"לא הגיש בקשה שוטפת"))</f>
        <v>לא הגיש בקשה שוטפת</v>
      </c>
      <c r="AI289" s="13">
        <f t="shared" si="19"/>
        <v>0</v>
      </c>
      <c r="AJ289"/>
      <c r="AK289" t="s">
        <v>250</v>
      </c>
    </row>
    <row r="290" spans="1:37" ht="43.5" x14ac:dyDescent="0.25">
      <c r="A290" s="54">
        <f>'הזנה לתנאי סף'!B290</f>
        <v>260</v>
      </c>
      <c r="B290" s="266">
        <f>IF($F290="","",'הזנה לתנאי סף'!C290)</f>
        <v>1001348135</v>
      </c>
      <c r="C290" s="266">
        <f>IF($F290="","",'הזנה לתנאי סף'!D290)</f>
        <v>1001275688</v>
      </c>
      <c r="D290" s="266">
        <f>IF($F290="","",'הזנה לתנאי סף'!E290)</f>
        <v>40000564</v>
      </c>
      <c r="E290" s="55">
        <f>IF($F290="","",'הזנה לתנאי סף'!F290)</f>
        <v>20000201</v>
      </c>
      <c r="F290" s="55" t="str">
        <f>IF('הזנה לתנאי סף'!BL290=1,'הזנה לתנאי סף'!G290,"")</f>
        <v>תל אביב -יפו</v>
      </c>
      <c r="G290" s="55" t="str">
        <f>IF($F290="","",'הזנה לתנאי סף'!H290)</f>
        <v>עמותת הכוריאוגרפים (ע"ר)</v>
      </c>
      <c r="H290" s="55" t="str">
        <f>IF($F290="","",'הזנה לתנאי סף'!I290)</f>
        <v>יוצרים עצמאיים במחול</v>
      </c>
      <c r="I290" s="187">
        <f>IF($F290="","",'הזנה לתנאי סף'!R290)</f>
        <v>231235</v>
      </c>
      <c r="J290" s="187">
        <f>IF($F290="","",'תחום תמיכה א'!P290)</f>
        <v>217645</v>
      </c>
      <c r="K290" s="177">
        <f>IF($F290="","",'הזנה לתנאי סף'!N290)</f>
        <v>0</v>
      </c>
      <c r="L290" s="177">
        <f>IF($F290="","",'הזנה לתנאי סף'!O290)</f>
        <v>1</v>
      </c>
      <c r="M290" s="177">
        <f>IF($F290="","",'הזנה לתנאי סף'!Q290)</f>
        <v>1</v>
      </c>
      <c r="N290" s="187">
        <f>IF($F290="","",'תחום תמיכה א'!AE290)</f>
        <v>4346.904802373635</v>
      </c>
      <c r="O290" s="178"/>
      <c r="P290" s="187">
        <f>IF($F290="","",'תחום תמיכה ב'!AC290)</f>
        <v>5261.0675480654127</v>
      </c>
      <c r="Q290" s="187">
        <f>IF($F290="","",IF('תחום תמיכה ג'!O290="",0,'תחום תמיכה ג'!O290))</f>
        <v>0</v>
      </c>
      <c r="R290" s="187">
        <f t="shared" si="16"/>
        <v>157.75338530416957</v>
      </c>
      <c r="S290" s="187">
        <f>IF($F290="","",'תחום תמיכה ב'!AE290)</f>
        <v>5418.8209333695822</v>
      </c>
      <c r="T290" s="187">
        <f>IF($F290="","",IF(Q290='תחום תמיכה ג'!$Q$2,'תחום תמיכה ג'!$Q$2,IFERROR(SUMIF(N290:R290,"&gt;0"),'תחום תמיכה ג'!$Q$2)))</f>
        <v>9765.7257357432172</v>
      </c>
      <c r="U290" s="187">
        <f>IF($F290="","",'הזנה לתנאי סף'!Y290)</f>
        <v>150000</v>
      </c>
      <c r="V290" s="269">
        <f>IF(F290="","",'הגבלה לסכום מבוקש '!AA290)</f>
        <v>10668.745293876465</v>
      </c>
      <c r="W290" s="187">
        <f t="shared" si="17"/>
        <v>2667.1863234691164</v>
      </c>
      <c r="X290" s="187">
        <f>IF(F290="","",'הזנה לתנאי סף'!Z290)</f>
        <v>150000</v>
      </c>
      <c r="Y290" s="237" t="str">
        <f>IFERROR(VLOOKUP(G290*1,#REF!,3,0),"")</f>
        <v/>
      </c>
      <c r="Z290" s="187" t="str">
        <f>IF(OR($F290="",Y290=""),"",IFERROR(IF(Y290&gt;V290,MIN(Y290,T290)-V290,0),'תחום תמיכה ג'!$Q$2))</f>
        <v/>
      </c>
      <c r="AA290" s="259"/>
      <c r="AB290" s="260" t="str">
        <f t="shared" si="18"/>
        <v/>
      </c>
      <c r="AC290" s="262"/>
      <c r="AD290" s="180"/>
      <c r="AE290" s="13" t="str">
        <f>IF($C290="","",IFERROR(VLOOKUP($C290,גיליון1!$A:$E,2,0),"לא הגיש בקשה שוטפת"))</f>
        <v>תמיכה שוטפת יוצרת עצמאית תמר בורר</v>
      </c>
      <c r="AF290" s="13" t="str">
        <f>IF($C290="","",IFERROR(VLOOKUP($C290,גיליון1!$A:$E,3,0),"לא הגיש בקשה שוטפת"))</f>
        <v>חויב</v>
      </c>
      <c r="AG290" s="13" t="str">
        <f>IF($C290="","",IFERROR(VLOOKUP($C290,גיליון1!$A:$E,4,0),"לא הגיש בקשה שוטפת"))</f>
        <v>19-42-02-20</v>
      </c>
      <c r="AH290" s="13" t="str">
        <f>IF($C290="","",IFERROR(VLOOKUP($C290,גיליון1!$A:$E,5,0),"לא הגיש בקשה שוטפת"))</f>
        <v>מחול וארגוני גג</v>
      </c>
      <c r="AI290" s="13">
        <f t="shared" si="19"/>
        <v>0</v>
      </c>
      <c r="AJ290"/>
      <c r="AK290" t="s">
        <v>250</v>
      </c>
    </row>
    <row r="291" spans="1:37" ht="43.5" x14ac:dyDescent="0.25">
      <c r="A291" s="54">
        <f>'הזנה לתנאי סף'!B291</f>
        <v>261</v>
      </c>
      <c r="B291" s="266">
        <f>IF($F291="","",'הזנה לתנאי סף'!C291)</f>
        <v>1001348136</v>
      </c>
      <c r="C291" s="266">
        <f>IF($F291="","",'הזנה לתנאי סף'!D291)</f>
        <v>1001275686</v>
      </c>
      <c r="D291" s="266">
        <f>IF($F291="","",'הזנה לתנאי סף'!E291)</f>
        <v>40000564</v>
      </c>
      <c r="E291" s="55">
        <f>IF($F291="","",'הזנה לתנאי סף'!F291)</f>
        <v>20000201</v>
      </c>
      <c r="F291" s="55" t="str">
        <f>IF('הזנה לתנאי סף'!BL291=1,'הזנה לתנאי סף'!G291,"")</f>
        <v>תל אביב -יפו</v>
      </c>
      <c r="G291" s="55" t="str">
        <f>IF($F291="","",'הזנה לתנאי סף'!H291)</f>
        <v>עמותת הכוריאוגרפים (ע"ר)</v>
      </c>
      <c r="H291" s="55" t="str">
        <f>IF($F291="","",'הזנה לתנאי סף'!I291)</f>
        <v>יוצרים עצמאיים במחול</v>
      </c>
      <c r="I291" s="187">
        <f>IF($F291="","",'הזנה לתנאי סף'!R291)</f>
        <v>76434</v>
      </c>
      <c r="J291" s="187">
        <f>IF($F291="","",'תחום תמיכה א'!P291)</f>
        <v>68568</v>
      </c>
      <c r="K291" s="177">
        <f>IF($F291="","",'הזנה לתנאי סף'!N291)</f>
        <v>0</v>
      </c>
      <c r="L291" s="177">
        <f>IF($F291="","",'הזנה לתנאי סף'!O291)</f>
        <v>1</v>
      </c>
      <c r="M291" s="177">
        <f>IF($F291="","",'הזנה לתנאי סף'!Q291)</f>
        <v>1</v>
      </c>
      <c r="N291" s="187">
        <f>IF($F291="","",'תחום תמיכה א'!AE291)</f>
        <v>2180.2182993136348</v>
      </c>
      <c r="O291" s="178"/>
      <c r="P291" s="187">
        <f>IF($F291="","",'תחום תמיכה ב'!AC291)</f>
        <v>4407.5883162830787</v>
      </c>
      <c r="Q291" s="187">
        <f>IF($F291="","",IF('תחום תמיכה ג'!O291="",0,'תחום תמיכה ג'!O291))</f>
        <v>0</v>
      </c>
      <c r="R291" s="187">
        <f t="shared" si="16"/>
        <v>132.16176594737681</v>
      </c>
      <c r="S291" s="187">
        <f>IF($F291="","",'תחום תמיכה ב'!AE291)</f>
        <v>4539.7500822304555</v>
      </c>
      <c r="T291" s="187">
        <f>IF($F291="","",IF(Q291='תחום תמיכה ג'!$Q$2,'תחום תמיכה ג'!$Q$2,IFERROR(SUMIF(N291:R291,"&gt;0"),'תחום תמיכה ג'!$Q$2)))</f>
        <v>6719.9683815440903</v>
      </c>
      <c r="U291" s="187">
        <f>IF($F291="","",'הזנה לתנאי סף'!Y291)</f>
        <v>150000</v>
      </c>
      <c r="V291" s="269">
        <f>IF(F291="","",'הגבלה לסכום מבוקש '!AA291)</f>
        <v>7475.8296912937312</v>
      </c>
      <c r="W291" s="187">
        <f t="shared" si="17"/>
        <v>1868.9574228234328</v>
      </c>
      <c r="X291" s="187">
        <f>IF(F291="","",'הזנה לתנאי סף'!Z291)</f>
        <v>150000</v>
      </c>
      <c r="Y291" s="237" t="str">
        <f>IFERROR(VLOOKUP(G291*1,#REF!,3,0),"")</f>
        <v/>
      </c>
      <c r="Z291" s="187" t="str">
        <f>IF(OR($F291="",Y291=""),"",IFERROR(IF(Y291&gt;V291,MIN(Y291,T291)-V291,0),'תחום תמיכה ג'!$Q$2))</f>
        <v/>
      </c>
      <c r="AA291" s="259"/>
      <c r="AB291" s="260" t="str">
        <f t="shared" si="18"/>
        <v/>
      </c>
      <c r="AC291" s="262"/>
      <c r="AD291" s="180"/>
      <c r="AE291" s="13" t="str">
        <f>IF($C291="","",IFERROR(VLOOKUP($C291,גיליון1!$A:$E,2,0),"לא הגיש בקשה שוטפת"))</f>
        <v>תמיכה שוטפת יוצרת עצמאית תמי לבוביץ</v>
      </c>
      <c r="AF291" s="13" t="str">
        <f>IF($C291="","",IFERROR(VLOOKUP($C291,גיליון1!$A:$E,3,0),"לא הגיש בקשה שוטפת"))</f>
        <v>חויב</v>
      </c>
      <c r="AG291" s="13" t="str">
        <f>IF($C291="","",IFERROR(VLOOKUP($C291,גיליון1!$A:$E,4,0),"לא הגיש בקשה שוטפת"))</f>
        <v>19-42-02-20</v>
      </c>
      <c r="AH291" s="13" t="str">
        <f>IF($C291="","",IFERROR(VLOOKUP($C291,גיליון1!$A:$E,5,0),"לא הגיש בקשה שוטפת"))</f>
        <v>מחול וארגוני גג</v>
      </c>
      <c r="AI291" s="13">
        <f t="shared" si="19"/>
        <v>0</v>
      </c>
      <c r="AJ291"/>
      <c r="AK291" t="s">
        <v>250</v>
      </c>
    </row>
    <row r="292" spans="1:37" ht="43.5" x14ac:dyDescent="0.25">
      <c r="A292" s="54">
        <f>'הזנה לתנאי סף'!B292</f>
        <v>262</v>
      </c>
      <c r="B292" s="266">
        <f>IF($F292="","",'הזנה לתנאי סף'!C292)</f>
        <v>1001348137</v>
      </c>
      <c r="C292" s="266">
        <f>IF($F292="","",'הזנה לתנאי סף'!D292)</f>
        <v>1001275685</v>
      </c>
      <c r="D292" s="266">
        <f>IF($F292="","",'הזנה לתנאי סף'!E292)</f>
        <v>40000564</v>
      </c>
      <c r="E292" s="55">
        <f>IF($F292="","",'הזנה לתנאי סף'!F292)</f>
        <v>20000201</v>
      </c>
      <c r="F292" s="55" t="str">
        <f>IF('הזנה לתנאי סף'!BL292=1,'הזנה לתנאי סף'!G292,"")</f>
        <v>תל אביב -יפו</v>
      </c>
      <c r="G292" s="55" t="str">
        <f>IF($F292="","",'הזנה לתנאי סף'!H292)</f>
        <v>עמותת הכוריאוגרפים (ע"ר)</v>
      </c>
      <c r="H292" s="55" t="str">
        <f>IF($F292="","",'הזנה לתנאי סף'!I292)</f>
        <v>יוצרים עצמאיים במחול</v>
      </c>
      <c r="I292" s="187">
        <f>IF($F292="","",'הזנה לתנאי סף'!R292)</f>
        <v>250659</v>
      </c>
      <c r="J292" s="187">
        <f>IF($F292="","",'תחום תמיכה א'!P292)</f>
        <v>250915</v>
      </c>
      <c r="K292" s="177">
        <f>IF($F292="","",'הזנה לתנאי סף'!N292)</f>
        <v>0</v>
      </c>
      <c r="L292" s="177">
        <f>IF($F292="","",'הזנה לתנאי סף'!O292)</f>
        <v>1</v>
      </c>
      <c r="M292" s="177">
        <f>IF($F292="","",'הזנה לתנאי סף'!Q292)</f>
        <v>1</v>
      </c>
      <c r="N292" s="187">
        <f>IF($F292="","",'תחום תמיכה א'!AE292)</f>
        <v>7277.0927027472026</v>
      </c>
      <c r="O292" s="178"/>
      <c r="P292" s="187">
        <f>IF($F292="","",'תחום תמיכה ב'!AC292)</f>
        <v>12025.504535442016</v>
      </c>
      <c r="Q292" s="187">
        <f>IF($F292="","",IF('תחום תמיכה ג'!O292="",0,'תחום תמיכה ג'!O292))</f>
        <v>0</v>
      </c>
      <c r="R292" s="187">
        <f t="shared" si="16"/>
        <v>360.58538179275274</v>
      </c>
      <c r="S292" s="187">
        <f>IF($F292="","",'תחום תמיכה ב'!AE292)</f>
        <v>12386.089917234769</v>
      </c>
      <c r="T292" s="187">
        <f>IF($F292="","",IF(Q292='תחום תמיכה ג'!$Q$2,'תחום תמיכה ג'!$Q$2,IFERROR(SUMIF(N292:R292,"&gt;0"),'תחום תמיכה ג'!$Q$2)))</f>
        <v>19663.182619981973</v>
      </c>
      <c r="U292" s="187">
        <f>IF($F292="","",'הזנה לתנאי סף'!Y292)</f>
        <v>150000</v>
      </c>
      <c r="V292" s="269">
        <f>IF(F292="","",'הגבלה לסכום מבוקש '!AA292)</f>
        <v>21726.052253062819</v>
      </c>
      <c r="W292" s="187">
        <f t="shared" si="17"/>
        <v>5431.5130632657047</v>
      </c>
      <c r="X292" s="187">
        <f>IF(F292="","",'הזנה לתנאי סף'!Z292)</f>
        <v>150000</v>
      </c>
      <c r="Y292" s="237" t="str">
        <f>IFERROR(VLOOKUP(G292*1,#REF!,3,0),"")</f>
        <v/>
      </c>
      <c r="Z292" s="187" t="str">
        <f>IF(OR($F292="",Y292=""),"",IFERROR(IF(Y292&gt;V292,MIN(Y292,T292)-V292,0),'תחום תמיכה ג'!$Q$2))</f>
        <v/>
      </c>
      <c r="AA292" s="259"/>
      <c r="AB292" s="260" t="str">
        <f t="shared" si="18"/>
        <v/>
      </c>
      <c r="AC292" s="262"/>
      <c r="AD292" s="180"/>
      <c r="AE292" s="13" t="str">
        <f>IF($C292="","",IFERROR(VLOOKUP($C292,גיליון1!$A:$E,2,0),"לא הגיש בקשה שוטפת"))</f>
        <v>תמיכה שוטפת יוצרת עצמאית שרונה פלורסהיים</v>
      </c>
      <c r="AF292" s="13" t="str">
        <f>IF($C292="","",IFERROR(VLOOKUP($C292,גיליון1!$A:$E,3,0),"לא הגיש בקשה שוטפת"))</f>
        <v>חויב</v>
      </c>
      <c r="AG292" s="13" t="str">
        <f>IF($C292="","",IFERROR(VLOOKUP($C292,גיליון1!$A:$E,4,0),"לא הגיש בקשה שוטפת"))</f>
        <v>19-42-02-20</v>
      </c>
      <c r="AH292" s="13" t="str">
        <f>IF($C292="","",IFERROR(VLOOKUP($C292,גיליון1!$A:$E,5,0),"לא הגיש בקשה שוטפת"))</f>
        <v>מחול וארגוני גג</v>
      </c>
      <c r="AI292" s="13">
        <f t="shared" si="19"/>
        <v>0</v>
      </c>
      <c r="AJ292"/>
      <c r="AK292" t="s">
        <v>250</v>
      </c>
    </row>
    <row r="293" spans="1:37" ht="43.5" x14ac:dyDescent="0.25">
      <c r="A293" s="54">
        <f>'הזנה לתנאי סף'!B293</f>
        <v>263</v>
      </c>
      <c r="B293" s="266">
        <f>IF($F293="","",'הזנה לתנאי סף'!C293)</f>
        <v>1001348138</v>
      </c>
      <c r="C293" s="266">
        <f>IF($F293="","",'הזנה לתנאי סף'!D293)</f>
        <v>1001275682</v>
      </c>
      <c r="D293" s="266">
        <f>IF($F293="","",'הזנה לתנאי סף'!E293)</f>
        <v>40000564</v>
      </c>
      <c r="E293" s="55">
        <f>IF($F293="","",'הזנה לתנאי סף'!F293)</f>
        <v>20000201</v>
      </c>
      <c r="F293" s="55" t="str">
        <f>IF('הזנה לתנאי סף'!BL293=1,'הזנה לתנאי סף'!G293,"")</f>
        <v>תל אביב -יפו</v>
      </c>
      <c r="G293" s="55" t="str">
        <f>IF($F293="","",'הזנה לתנאי סף'!H293)</f>
        <v>עמותת הכוריאוגרפים (ע"ר)</v>
      </c>
      <c r="H293" s="55" t="str">
        <f>IF($F293="","",'הזנה לתנאי סף'!I293)</f>
        <v>יוצרים עצמאיים במחול</v>
      </c>
      <c r="I293" s="187">
        <f>IF($F293="","",'הזנה לתנאי סף'!R293)</f>
        <v>251907</v>
      </c>
      <c r="J293" s="187">
        <f>IF($F293="","",'תחום תמיכה א'!P293)</f>
        <v>268160</v>
      </c>
      <c r="K293" s="177">
        <f>IF($F293="","",'הזנה לתנאי סף'!N293)</f>
        <v>0</v>
      </c>
      <c r="L293" s="177">
        <f>IF($F293="","",'הזנה לתנאי סף'!O293)</f>
        <v>1</v>
      </c>
      <c r="M293" s="177">
        <f>IF($F293="","",'הזנה לתנאי סף'!Q293)</f>
        <v>1</v>
      </c>
      <c r="N293" s="187">
        <f>IF($F293="","",'תחום תמיכה א'!AE293)</f>
        <v>9513.8360720896962</v>
      </c>
      <c r="O293" s="178"/>
      <c r="P293" s="187">
        <f>IF($F293="","",'תחום תמיכה ב'!AC293)</f>
        <v>18085.103910072361</v>
      </c>
      <c r="Q293" s="187">
        <f>IF($F293="","",IF('תחום תמיכה ג'!O293="",0,'תחום תמיכה ג'!O293))</f>
        <v>0</v>
      </c>
      <c r="R293" s="187">
        <f t="shared" si="16"/>
        <v>542.28278563742788</v>
      </c>
      <c r="S293" s="187">
        <f>IF($F293="","",'תחום תמיכה ב'!AE293)</f>
        <v>18627.386695709789</v>
      </c>
      <c r="T293" s="187">
        <f>IF($F293="","",IF(Q293='תחום תמיכה ג'!$Q$2,'תחום תמיכה ג'!$Q$2,IFERROR(SUMIF(N293:R293,"&gt;0"),'תחום תמיכה ג'!$Q$2)))</f>
        <v>28141.222767799485</v>
      </c>
      <c r="U293" s="187">
        <f>IF($F293="","",'הזנה לתנאי סף'!Y293)</f>
        <v>150000</v>
      </c>
      <c r="V293" s="269">
        <f>IF(F293="","",'הגבלה לסכום מבוקש '!AA293)</f>
        <v>31242.912241000497</v>
      </c>
      <c r="W293" s="187">
        <f t="shared" si="17"/>
        <v>7810.7280602501241</v>
      </c>
      <c r="X293" s="187">
        <f>IF(F293="","",'הזנה לתנאי סף'!Z293)</f>
        <v>150000</v>
      </c>
      <c r="Y293" s="237" t="str">
        <f>IFERROR(VLOOKUP(G293*1,#REF!,3,0),"")</f>
        <v/>
      </c>
      <c r="Z293" s="187" t="str">
        <f>IF(OR($F293="",Y293=""),"",IFERROR(IF(Y293&gt;V293,MIN(Y293,T293)-V293,0),'תחום תמיכה ג'!$Q$2))</f>
        <v/>
      </c>
      <c r="AA293" s="259"/>
      <c r="AB293" s="260" t="str">
        <f t="shared" si="18"/>
        <v/>
      </c>
      <c r="AC293" s="262"/>
      <c r="AD293" s="180"/>
      <c r="AE293" s="13" t="str">
        <f>IF($C293="","",IFERROR(VLOOKUP($C293,גיליון1!$A:$E,2,0),"לא הגיש בקשה שוטפת"))</f>
        <v>תמיכה שוטפת יוצרת עצמאית שרון וזנה</v>
      </c>
      <c r="AF293" s="13" t="str">
        <f>IF($C293="","",IFERROR(VLOOKUP($C293,גיליון1!$A:$E,3,0),"לא הגיש בקשה שוטפת"))</f>
        <v>חויב</v>
      </c>
      <c r="AG293" s="13" t="str">
        <f>IF($C293="","",IFERROR(VLOOKUP($C293,גיליון1!$A:$E,4,0),"לא הגיש בקשה שוטפת"))</f>
        <v>19-42-02-20</v>
      </c>
      <c r="AH293" s="13" t="str">
        <f>IF($C293="","",IFERROR(VLOOKUP($C293,גיליון1!$A:$E,5,0),"לא הגיש בקשה שוטפת"))</f>
        <v>מחול וארגוני גג</v>
      </c>
      <c r="AI293" s="13">
        <f t="shared" si="19"/>
        <v>0</v>
      </c>
      <c r="AJ293"/>
      <c r="AK293" t="s">
        <v>250</v>
      </c>
    </row>
    <row r="294" spans="1:37" ht="43.5" x14ac:dyDescent="0.25">
      <c r="A294" s="54">
        <f>'הזנה לתנאי סף'!B294</f>
        <v>264</v>
      </c>
      <c r="B294" s="266">
        <f>IF($F294="","",'הזנה לתנאי סף'!C294)</f>
        <v>1001348139</v>
      </c>
      <c r="C294" s="266">
        <f>IF($F294="","",'הזנה לתנאי סף'!D294)</f>
        <v>1001275678</v>
      </c>
      <c r="D294" s="266">
        <f>IF($F294="","",'הזנה לתנאי סף'!E294)</f>
        <v>40000564</v>
      </c>
      <c r="E294" s="55">
        <f>IF($F294="","",'הזנה לתנאי סף'!F294)</f>
        <v>20000201</v>
      </c>
      <c r="F294" s="55" t="str">
        <f>IF('הזנה לתנאי סף'!BL294=1,'הזנה לתנאי סף'!G294,"")</f>
        <v>תל אביב -יפו</v>
      </c>
      <c r="G294" s="55" t="str">
        <f>IF($F294="","",'הזנה לתנאי סף'!H294)</f>
        <v>עמותת הכוריאוגרפים (ע"ר)</v>
      </c>
      <c r="H294" s="55" t="str">
        <f>IF($F294="","",'הזנה לתנאי סף'!I294)</f>
        <v>יוצרים עצמאיים במחול</v>
      </c>
      <c r="I294" s="187">
        <f>IF($F294="","",'הזנה לתנאי סף'!R294)</f>
        <v>365452</v>
      </c>
      <c r="J294" s="187">
        <f>IF($F294="","",'תחום תמיכה א'!P294)</f>
        <v>374984</v>
      </c>
      <c r="K294" s="177">
        <f>IF($F294="","",'הזנה לתנאי סף'!N294)</f>
        <v>0</v>
      </c>
      <c r="L294" s="177">
        <f>IF($F294="","",'הזנה לתנאי סף'!O294)</f>
        <v>1</v>
      </c>
      <c r="M294" s="177">
        <f>IF($F294="","",'הזנה לתנאי סף'!Q294)</f>
        <v>1</v>
      </c>
      <c r="N294" s="187">
        <f>IF($F294="","",'תחום תמיכה א'!AE294)</f>
        <v>7982.7159197677938</v>
      </c>
      <c r="O294" s="178"/>
      <c r="P294" s="187">
        <f>IF($F294="","",'תחום תמיכה ב'!AC294)</f>
        <v>9446.3417870071971</v>
      </c>
      <c r="Q294" s="187">
        <f>IF($F294="","",IF('תחום תמיכה ג'!O294="",0,'תחום תמיכה ג'!O294))</f>
        <v>0</v>
      </c>
      <c r="R294" s="187">
        <f t="shared" si="16"/>
        <v>283.24905202720583</v>
      </c>
      <c r="S294" s="187">
        <f>IF($F294="","",'תחום תמיכה ב'!AE294)</f>
        <v>9729.590839034403</v>
      </c>
      <c r="T294" s="187">
        <f>IF($F294="","",IF(Q294='תחום תמיכה ג'!$Q$2,'תחום תמיכה ג'!$Q$2,IFERROR(SUMIF(N294:R294,"&gt;0"),'תחום תמיכה ג'!$Q$2)))</f>
        <v>17712.306758802195</v>
      </c>
      <c r="U294" s="187">
        <f>IF($F294="","",'הזנה לתנאי סף'!Y294)</f>
        <v>150000</v>
      </c>
      <c r="V294" s="269">
        <f>IF(F294="","",'הגבלה לסכום מבוקש '!AA294)</f>
        <v>19333.775625482445</v>
      </c>
      <c r="W294" s="187">
        <f t="shared" si="17"/>
        <v>4833.4439063706113</v>
      </c>
      <c r="X294" s="187">
        <f>IF(F294="","",'הזנה לתנאי סף'!Z294)</f>
        <v>150000</v>
      </c>
      <c r="Y294" s="237" t="str">
        <f>IFERROR(VLOOKUP(G294*1,#REF!,3,0),"")</f>
        <v/>
      </c>
      <c r="Z294" s="187" t="str">
        <f>IF(OR($F294="",Y294=""),"",IFERROR(IF(Y294&gt;V294,MIN(Y294,T294)-V294,0),'תחום תמיכה ג'!$Q$2))</f>
        <v/>
      </c>
      <c r="AA294" s="259"/>
      <c r="AB294" s="260" t="str">
        <f t="shared" si="18"/>
        <v/>
      </c>
      <c r="AC294" s="262"/>
      <c r="AD294" s="180"/>
      <c r="AE294" s="13" t="str">
        <f>IF($C294="","",IFERROR(VLOOKUP($C294,גיליון1!$A:$E,2,0),"לא הגיש בקשה שוטפת"))</f>
        <v>תמיכה שוטפת יוצרת עצמאית שרון אייל</v>
      </c>
      <c r="AF294" s="13" t="str">
        <f>IF($C294="","",IFERROR(VLOOKUP($C294,גיליון1!$A:$E,3,0),"לא הגיש בקשה שוטפת"))</f>
        <v>חויב</v>
      </c>
      <c r="AG294" s="13" t="str">
        <f>IF($C294="","",IFERROR(VLOOKUP($C294,גיליון1!$A:$E,4,0),"לא הגיש בקשה שוטפת"))</f>
        <v>19-42-02-20</v>
      </c>
      <c r="AH294" s="13" t="str">
        <f>IF($C294="","",IFERROR(VLOOKUP($C294,גיליון1!$A:$E,5,0),"לא הגיש בקשה שוטפת"))</f>
        <v>מחול וארגוני גג</v>
      </c>
      <c r="AI294" s="13">
        <f t="shared" si="19"/>
        <v>0</v>
      </c>
      <c r="AJ294"/>
      <c r="AK294" t="s">
        <v>250</v>
      </c>
    </row>
    <row r="295" spans="1:37" ht="43.5" x14ac:dyDescent="0.25">
      <c r="A295" s="54">
        <f>'הזנה לתנאי סף'!B295</f>
        <v>265</v>
      </c>
      <c r="B295" s="266">
        <f>IF($F295="","",'הזנה לתנאי סף'!C295)</f>
        <v>1001348145</v>
      </c>
      <c r="C295" s="266">
        <f>IF($F295="","",'הזנה לתנאי סף'!D295)</f>
        <v>1001275675</v>
      </c>
      <c r="D295" s="266">
        <f>IF($F295="","",'הזנה לתנאי סף'!E295)</f>
        <v>40000564</v>
      </c>
      <c r="E295" s="55">
        <f>IF($F295="","",'הזנה לתנאי סף'!F295)</f>
        <v>20000201</v>
      </c>
      <c r="F295" s="55" t="str">
        <f>IF('הזנה לתנאי סף'!BL295=1,'הזנה לתנאי סף'!G295,"")</f>
        <v>תל אביב -יפו</v>
      </c>
      <c r="G295" s="55" t="str">
        <f>IF($F295="","",'הזנה לתנאי סף'!H295)</f>
        <v>עמותת הכוריאוגרפים (ע"ר)</v>
      </c>
      <c r="H295" s="55" t="str">
        <f>IF($F295="","",'הזנה לתנאי סף'!I295)</f>
        <v>יוצרים עצמאיים במחול</v>
      </c>
      <c r="I295" s="187">
        <f>IF($F295="","",'הזנה לתנאי סף'!R295)</f>
        <v>293774</v>
      </c>
      <c r="J295" s="187">
        <f>IF($F295="","",'תחום תמיכה א'!P295)</f>
        <v>293935</v>
      </c>
      <c r="K295" s="177">
        <f>IF($F295="","",'הזנה לתנאי סף'!N295)</f>
        <v>0</v>
      </c>
      <c r="L295" s="177">
        <f>IF($F295="","",'הזנה לתנאי סף'!O295)</f>
        <v>1</v>
      </c>
      <c r="M295" s="177">
        <f>IF($F295="","",'הזנה לתנאי סף'!Q295)</f>
        <v>1</v>
      </c>
      <c r="N295" s="187">
        <f>IF($F295="","",'תחום תמיכה א'!AE295)</f>
        <v>9639.2970062403874</v>
      </c>
      <c r="O295" s="178"/>
      <c r="P295" s="187">
        <f>IF($F295="","",'תחום תמיכה ב'!AC295)</f>
        <v>18020.171266985377</v>
      </c>
      <c r="Q295" s="187">
        <f>IF($F295="","",IF('תחום תמיכה ג'!O295="",0,'תחום תמיכה ג'!O295))</f>
        <v>0</v>
      </c>
      <c r="R295" s="187">
        <f t="shared" si="16"/>
        <v>540.33577694192354</v>
      </c>
      <c r="S295" s="187">
        <f>IF($F295="","",'תחום תמיכה ב'!AE295)</f>
        <v>18560.5070439273</v>
      </c>
      <c r="T295" s="187">
        <f>IF($F295="","",IF(Q295='תחום תמיכה ג'!$Q$2,'תחום תמיכה ג'!$Q$2,IFERROR(SUMIF(N295:R295,"&gt;0"),'תחום תמיכה ג'!$Q$2)))</f>
        <v>28199.804050167688</v>
      </c>
      <c r="U295" s="187">
        <f>IF($F295="","",'הזנה לתנאי סף'!Y295)</f>
        <v>150000</v>
      </c>
      <c r="V295" s="269">
        <f>IF(F295="","",'הגבלה לסכום מבוקש '!AA295)</f>
        <v>31290.42991594056</v>
      </c>
      <c r="W295" s="187">
        <f t="shared" si="17"/>
        <v>7822.60747898514</v>
      </c>
      <c r="X295" s="187">
        <f>IF(F295="","",'הזנה לתנאי סף'!Z295)</f>
        <v>150000</v>
      </c>
      <c r="Y295" s="237" t="str">
        <f>IFERROR(VLOOKUP(G295*1,#REF!,3,0),"")</f>
        <v/>
      </c>
      <c r="Z295" s="187" t="str">
        <f>IF(OR($F295="",Y295=""),"",IFERROR(IF(Y295&gt;V295,MIN(Y295,T295)-V295,0),'תחום תמיכה ג'!$Q$2))</f>
        <v/>
      </c>
      <c r="AA295" s="259"/>
      <c r="AB295" s="260" t="str">
        <f t="shared" si="18"/>
        <v/>
      </c>
      <c r="AC295" s="262"/>
      <c r="AD295" s="180"/>
      <c r="AE295" s="13" t="str">
        <f>IF($C295="","",IFERROR(VLOOKUP($C295,גיליון1!$A:$E,2,0),"לא הגיש בקשה שוטפת"))</f>
        <v>תמיכה שוטפת יוצר עצמאי שלומית פונדמינסקי</v>
      </c>
      <c r="AF295" s="13" t="str">
        <f>IF($C295="","",IFERROR(VLOOKUP($C295,גיליון1!$A:$E,3,0),"לא הגיש בקשה שוטפת"))</f>
        <v>חויב</v>
      </c>
      <c r="AG295" s="13" t="str">
        <f>IF($C295="","",IFERROR(VLOOKUP($C295,גיליון1!$A:$E,4,0),"לא הגיש בקשה שוטפת"))</f>
        <v>19-42-02-20</v>
      </c>
      <c r="AH295" s="13" t="str">
        <f>IF($C295="","",IFERROR(VLOOKUP($C295,גיליון1!$A:$E,5,0),"לא הגיש בקשה שוטפת"))</f>
        <v>מחול וארגוני גג</v>
      </c>
      <c r="AI295" s="13">
        <f t="shared" si="19"/>
        <v>0</v>
      </c>
      <c r="AJ295"/>
      <c r="AK295" t="s">
        <v>250</v>
      </c>
    </row>
    <row r="296" spans="1:37" ht="43.5" x14ac:dyDescent="0.25">
      <c r="A296" s="54">
        <f>'הזנה לתנאי סף'!B296</f>
        <v>266</v>
      </c>
      <c r="B296" s="266">
        <f>IF($F296="","",'הזנה לתנאי סף'!C296)</f>
        <v>1001348146</v>
      </c>
      <c r="C296" s="266">
        <f>IF($F296="","",'הזנה לתנאי סף'!D296)</f>
        <v>1001275667</v>
      </c>
      <c r="D296" s="266">
        <f>IF($F296="","",'הזנה לתנאי סף'!E296)</f>
        <v>40000564</v>
      </c>
      <c r="E296" s="55">
        <f>IF($F296="","",'הזנה לתנאי סף'!F296)</f>
        <v>20000201</v>
      </c>
      <c r="F296" s="55" t="str">
        <f>IF('הזנה לתנאי סף'!BL296=1,'הזנה לתנאי סף'!G296,"")</f>
        <v>תל אביב -יפו</v>
      </c>
      <c r="G296" s="55" t="str">
        <f>IF($F296="","",'הזנה לתנאי סף'!H296)</f>
        <v>עמותת הכוריאוגרפים (ע"ר)</v>
      </c>
      <c r="H296" s="55" t="str">
        <f>IF($F296="","",'הזנה לתנאי סף'!I296)</f>
        <v>יוצרים עצמאיים במחול</v>
      </c>
      <c r="I296" s="187">
        <f>IF($F296="","",'הזנה לתנאי סף'!R296)</f>
        <v>139582</v>
      </c>
      <c r="J296" s="187">
        <f>IF($F296="","",'תחום תמיכה א'!P296)</f>
        <v>157314</v>
      </c>
      <c r="K296" s="177">
        <f>IF($F296="","",'הזנה לתנאי סף'!N296)</f>
        <v>0</v>
      </c>
      <c r="L296" s="177">
        <f>IF($F296="","",'הזנה לתנאי סף'!O296)</f>
        <v>1</v>
      </c>
      <c r="M296" s="177">
        <f>IF($F296="","",'הזנה לתנאי סף'!Q296)</f>
        <v>1</v>
      </c>
      <c r="N296" s="187">
        <f>IF($F296="","",'תחום תמיכה א'!AE296)</f>
        <v>2738.6997932403606</v>
      </c>
      <c r="O296" s="178"/>
      <c r="P296" s="187">
        <f>IF($F296="","",'תחום תמיכה ב'!AC296)</f>
        <v>2412.9091221564072</v>
      </c>
      <c r="Q296" s="187">
        <f>IF($F296="","",IF('תחום תמיכה ג'!O296="",0,'תחום תמיכה ג'!O296))</f>
        <v>0</v>
      </c>
      <c r="R296" s="187">
        <f t="shared" si="16"/>
        <v>72.351206095320777</v>
      </c>
      <c r="S296" s="187">
        <f>IF($F296="","",'תחום תמיכה ב'!AE296)</f>
        <v>2485.260328251728</v>
      </c>
      <c r="T296" s="187">
        <f>IF($F296="","",IF(Q296='תחום תמיכה ג'!$Q$2,'תחום תמיכה ג'!$Q$2,IFERROR(SUMIF(N296:R296,"&gt;0"),'תחום תמיכה ג'!$Q$2)))</f>
        <v>5223.9601214920885</v>
      </c>
      <c r="U296" s="187">
        <f>IF($F296="","",'הזנה לתנאי סף'!Y296)</f>
        <v>150000</v>
      </c>
      <c r="V296" s="269">
        <f>IF(F296="","",'הגבלה לסכום מבוקש '!AA296)</f>
        <v>5638.4556391979677</v>
      </c>
      <c r="W296" s="187">
        <f t="shared" si="17"/>
        <v>1409.6139097994919</v>
      </c>
      <c r="X296" s="187">
        <f>IF(F296="","",'הזנה לתנאי סף'!Z296)</f>
        <v>150000</v>
      </c>
      <c r="Y296" s="237" t="str">
        <f>IFERROR(VLOOKUP(G296*1,#REF!,3,0),"")</f>
        <v/>
      </c>
      <c r="Z296" s="187" t="str">
        <f>IF(OR($F296="",Y296=""),"",IFERROR(IF(Y296&gt;V296,MIN(Y296,T296)-V296,0),'תחום תמיכה ג'!$Q$2))</f>
        <v/>
      </c>
      <c r="AA296" s="259"/>
      <c r="AB296" s="260" t="str">
        <f t="shared" si="18"/>
        <v/>
      </c>
      <c r="AC296" s="262"/>
      <c r="AD296" s="180"/>
      <c r="AE296" s="13" t="str">
        <f>IF($C296="","",IFERROR(VLOOKUP($C296,גיליון1!$A:$E,2,0),"לא הגיש בקשה שוטפת"))</f>
        <v>תמיכה שוטפת יוצר עצמאי שלומי ביטון</v>
      </c>
      <c r="AF296" s="13" t="str">
        <f>IF($C296="","",IFERROR(VLOOKUP($C296,גיליון1!$A:$E,3,0),"לא הגיש בקשה שוטפת"))</f>
        <v>חויב</v>
      </c>
      <c r="AG296" s="13" t="str">
        <f>IF($C296="","",IFERROR(VLOOKUP($C296,גיליון1!$A:$E,4,0),"לא הגיש בקשה שוטפת"))</f>
        <v>19-42-02-20</v>
      </c>
      <c r="AH296" s="13" t="str">
        <f>IF($C296="","",IFERROR(VLOOKUP($C296,גיליון1!$A:$E,5,0),"לא הגיש בקשה שוטפת"))</f>
        <v>מחול וארגוני גג</v>
      </c>
      <c r="AI296" s="13">
        <f t="shared" si="19"/>
        <v>0</v>
      </c>
      <c r="AJ296"/>
      <c r="AK296" t="s">
        <v>250</v>
      </c>
    </row>
    <row r="297" spans="1:37" ht="43.5" x14ac:dyDescent="0.25">
      <c r="A297" s="54">
        <f>'הזנה לתנאי סף'!B297</f>
        <v>267</v>
      </c>
      <c r="B297" s="266">
        <f>IF($F297="","",'הזנה לתנאי סף'!C297)</f>
        <v>1001348148</v>
      </c>
      <c r="C297" s="266">
        <f>IF($F297="","",'הזנה לתנאי סף'!D297)</f>
        <v>1001275666</v>
      </c>
      <c r="D297" s="266">
        <f>IF($F297="","",'הזנה לתנאי סף'!E297)</f>
        <v>40000564</v>
      </c>
      <c r="E297" s="55">
        <f>IF($F297="","",'הזנה לתנאי סף'!F297)</f>
        <v>20000201</v>
      </c>
      <c r="F297" s="55" t="str">
        <f>IF('הזנה לתנאי סף'!BL297=1,'הזנה לתנאי סף'!G297,"")</f>
        <v>תל אביב -יפו</v>
      </c>
      <c r="G297" s="55" t="str">
        <f>IF($F297="","",'הזנה לתנאי סף'!H297)</f>
        <v>עמותת הכוריאוגרפים (ע"ר)</v>
      </c>
      <c r="H297" s="55" t="str">
        <f>IF($F297="","",'הזנה לתנאי סף'!I297)</f>
        <v>יוצרים עצמאיים במחול</v>
      </c>
      <c r="I297" s="187">
        <f>IF($F297="","",'הזנה לתנאי סף'!R297)</f>
        <v>46428</v>
      </c>
      <c r="J297" s="187">
        <f>IF($F297="","",'תחום תמיכה א'!P297)</f>
        <v>26715</v>
      </c>
      <c r="K297" s="177">
        <f>IF($F297="","",'הזנה לתנאי סף'!N297)</f>
        <v>0</v>
      </c>
      <c r="L297" s="177">
        <f>IF($F297="","",'הזנה לתנאי סף'!O297)</f>
        <v>1</v>
      </c>
      <c r="M297" s="177">
        <f>IF($F297="","",'הזנה לתנאי סף'!Q297)</f>
        <v>1</v>
      </c>
      <c r="N297" s="187">
        <f>IF($F297="","",'תחום תמיכה א'!AE297)</f>
        <v>1460.3621721891727</v>
      </c>
      <c r="O297" s="178"/>
      <c r="P297" s="187">
        <f>IF($F297="","",'תחום תמיכה ב'!AC297)</f>
        <v>7913.128292457729</v>
      </c>
      <c r="Q297" s="187">
        <f>IF($F297="","",IF('תחום תמיכה ג'!O297="",0,'תחום תמיכה ג'!O297))</f>
        <v>0</v>
      </c>
      <c r="R297" s="187">
        <f t="shared" si="16"/>
        <v>237.27556528720925</v>
      </c>
      <c r="S297" s="187">
        <f>IF($F297="","",'תחום תמיכה ב'!AE297)</f>
        <v>8150.4038577449383</v>
      </c>
      <c r="T297" s="187">
        <f>IF($F297="","",IF(Q297='תחום תמיכה ג'!$Q$2,'תחום תמיכה ג'!$Q$2,IFERROR(SUMIF(N297:R297,"&gt;0"),'תחום תמיכה ג'!$Q$2)))</f>
        <v>9610.7660299341114</v>
      </c>
      <c r="U297" s="187">
        <f>IF($F297="","",'הזנה לתנאי סף'!Y297)</f>
        <v>150000</v>
      </c>
      <c r="V297" s="269">
        <f>IF(F297="","",'הגבלה לסכום מבוקש '!AA297)</f>
        <v>10966.678248919861</v>
      </c>
      <c r="W297" s="187">
        <f t="shared" si="17"/>
        <v>2741.6695622299653</v>
      </c>
      <c r="X297" s="187">
        <f>IF(F297="","",'הזנה לתנאי סף'!Z297)</f>
        <v>150000</v>
      </c>
      <c r="Y297" s="237" t="str">
        <f>IFERROR(VLOOKUP(G297*1,#REF!,3,0),"")</f>
        <v/>
      </c>
      <c r="Z297" s="187" t="str">
        <f>IF(OR($F297="",Y297=""),"",IFERROR(IF(Y297&gt;V297,MIN(Y297,T297)-V297,0),'תחום תמיכה ג'!$Q$2))</f>
        <v/>
      </c>
      <c r="AA297" s="259"/>
      <c r="AB297" s="260" t="str">
        <f t="shared" si="18"/>
        <v/>
      </c>
      <c r="AC297" s="262"/>
      <c r="AD297" s="180"/>
      <c r="AE297" s="13" t="str">
        <f>IF($C297="","",IFERROR(VLOOKUP($C297,גיליון1!$A:$E,2,0),"לא הגיש בקשה שוטפת"))</f>
        <v>תמיכה שוטפת יוצרת עצמאית שירה אביתר</v>
      </c>
      <c r="AF297" s="13" t="str">
        <f>IF($C297="","",IFERROR(VLOOKUP($C297,גיליון1!$A:$E,3,0),"לא הגיש בקשה שוטפת"))</f>
        <v>חויב</v>
      </c>
      <c r="AG297" s="13" t="str">
        <f>IF($C297="","",IFERROR(VLOOKUP($C297,גיליון1!$A:$E,4,0),"לא הגיש בקשה שוטפת"))</f>
        <v>19-42-02-20</v>
      </c>
      <c r="AH297" s="13" t="str">
        <f>IF($C297="","",IFERROR(VLOOKUP($C297,גיליון1!$A:$E,5,0),"לא הגיש בקשה שוטפת"))</f>
        <v>מחול וארגוני גג</v>
      </c>
      <c r="AI297" s="13">
        <f t="shared" si="19"/>
        <v>0</v>
      </c>
      <c r="AJ297"/>
      <c r="AK297" t="s">
        <v>250</v>
      </c>
    </row>
    <row r="298" spans="1:37" ht="43.5" x14ac:dyDescent="0.25">
      <c r="A298" s="54">
        <f>'הזנה לתנאי סף'!B298</f>
        <v>268</v>
      </c>
      <c r="B298" s="266">
        <f>IF($F298="","",'הזנה לתנאי סף'!C298)</f>
        <v>1001348157</v>
      </c>
      <c r="C298" s="266">
        <f>IF($F298="","",'הזנה לתנאי סף'!D298)</f>
        <v>1001275663</v>
      </c>
      <c r="D298" s="266">
        <f>IF($F298="","",'הזנה לתנאי סף'!E298)</f>
        <v>40000564</v>
      </c>
      <c r="E298" s="55">
        <f>IF($F298="","",'הזנה לתנאי סף'!F298)</f>
        <v>20000201</v>
      </c>
      <c r="F298" s="55" t="str">
        <f>IF('הזנה לתנאי סף'!BL298=1,'הזנה לתנאי סף'!G298,"")</f>
        <v>תל אביב -יפו</v>
      </c>
      <c r="G298" s="55" t="str">
        <f>IF($F298="","",'הזנה לתנאי סף'!H298)</f>
        <v>עמותת הכוריאוגרפים (ע"ר)</v>
      </c>
      <c r="H298" s="55" t="str">
        <f>IF($F298="","",'הזנה לתנאי סף'!I298)</f>
        <v>יוצרים עצמאיים במחול</v>
      </c>
      <c r="I298" s="187">
        <f>IF($F298="","",'הזנה לתנאי סף'!R298)</f>
        <v>153422</v>
      </c>
      <c r="J298" s="187">
        <f>IF($F298="","",'תחום תמיכה א'!P298)</f>
        <v>173380</v>
      </c>
      <c r="K298" s="177">
        <f>IF($F298="","",'הזנה לתנאי סף'!N298)</f>
        <v>0</v>
      </c>
      <c r="L298" s="177">
        <f>IF($F298="","",'הזנה לתנאי סף'!O298)</f>
        <v>1</v>
      </c>
      <c r="M298" s="177">
        <f>IF($F298="","",'הזנה לתנאי סף'!Q298)</f>
        <v>1</v>
      </c>
      <c r="N298" s="187">
        <f>IF($F298="","",'תחום תמיכה א'!AE298)</f>
        <v>4713.537699128402</v>
      </c>
      <c r="O298" s="178"/>
      <c r="P298" s="187">
        <f>IF($F298="","",'תחום תמיכה ב'!AC298)</f>
        <v>6426.7972787058952</v>
      </c>
      <c r="Q298" s="187">
        <f>IF($F298="","",IF('תחום תמיכה ג'!O298="",0,'תחום תמיכה ג'!O298))</f>
        <v>0</v>
      </c>
      <c r="R298" s="187">
        <f t="shared" si="16"/>
        <v>192.70785218340188</v>
      </c>
      <c r="S298" s="187">
        <f>IF($F298="","",'תחום תמיכה ב'!AE298)</f>
        <v>6619.5051308892971</v>
      </c>
      <c r="T298" s="187">
        <f>IF($F298="","",IF(Q298='תחום תמיכה ג'!$Q$2,'תחום תמיכה ג'!$Q$2,IFERROR(SUMIF(N298:R298,"&gt;0"),'תחום תמיכה ג'!$Q$2)))</f>
        <v>11333.042830017697</v>
      </c>
      <c r="U298" s="187">
        <f>IF($F298="","",'הזנה לתנאי סף'!Y298)</f>
        <v>150000</v>
      </c>
      <c r="V298" s="269">
        <f>IF(F298="","",'הגבלה לסכום מבוקש '!AA298)</f>
        <v>12435.878817798703</v>
      </c>
      <c r="W298" s="187">
        <f t="shared" si="17"/>
        <v>3108.9697044496756</v>
      </c>
      <c r="X298" s="187">
        <f>IF(F298="","",'הזנה לתנאי סף'!Z298)</f>
        <v>150000</v>
      </c>
      <c r="Y298" s="237" t="str">
        <f>IFERROR(VLOOKUP(G298*1,#REF!,3,0),"")</f>
        <v/>
      </c>
      <c r="Z298" s="187" t="str">
        <f>IF(OR($F298="",Y298=""),"",IFERROR(IF(Y298&gt;V298,MIN(Y298,T298)-V298,0),'תחום תמיכה ג'!$Q$2))</f>
        <v/>
      </c>
      <c r="AA298" s="259"/>
      <c r="AB298" s="260" t="str">
        <f t="shared" si="18"/>
        <v/>
      </c>
      <c r="AC298" s="262"/>
      <c r="AD298" s="180"/>
      <c r="AE298" s="13" t="str">
        <f>IF($C298="","",IFERROR(VLOOKUP($C298,גיליון1!$A:$E,2,0),"לא הגיש בקשה שוטפת"))</f>
        <v>תמיכה שוטפת יוצרת עצמאית רייצ'ל ארדוס</v>
      </c>
      <c r="AF298" s="13" t="str">
        <f>IF($C298="","",IFERROR(VLOOKUP($C298,גיליון1!$A:$E,3,0),"לא הגיש בקשה שוטפת"))</f>
        <v>חויב</v>
      </c>
      <c r="AG298" s="13" t="str">
        <f>IF($C298="","",IFERROR(VLOOKUP($C298,גיליון1!$A:$E,4,0),"לא הגיש בקשה שוטפת"))</f>
        <v>19-42-02-20</v>
      </c>
      <c r="AH298" s="13" t="str">
        <f>IF($C298="","",IFERROR(VLOOKUP($C298,גיליון1!$A:$E,5,0),"לא הגיש בקשה שוטפת"))</f>
        <v>מחול וארגוני גג</v>
      </c>
      <c r="AI298" s="13">
        <f t="shared" si="19"/>
        <v>0</v>
      </c>
      <c r="AJ298"/>
      <c r="AK298" t="s">
        <v>250</v>
      </c>
    </row>
    <row r="299" spans="1:37" ht="43.5" x14ac:dyDescent="0.25">
      <c r="A299" s="54">
        <f>'הזנה לתנאי סף'!B299</f>
        <v>269</v>
      </c>
      <c r="B299" s="266">
        <f>IF($F299="","",'הזנה לתנאי סף'!C299)</f>
        <v>1001348158</v>
      </c>
      <c r="C299" s="266">
        <f>IF($F299="","",'הזנה לתנאי סף'!D299)</f>
        <v>1001275662</v>
      </c>
      <c r="D299" s="266">
        <f>IF($F299="","",'הזנה לתנאי סף'!E299)</f>
        <v>40000564</v>
      </c>
      <c r="E299" s="55">
        <f>IF($F299="","",'הזנה לתנאי סף'!F299)</f>
        <v>20000201</v>
      </c>
      <c r="F299" s="55" t="str">
        <f>IF('הזנה לתנאי סף'!BL299=1,'הזנה לתנאי סף'!G299,"")</f>
        <v>תל אביב -יפו</v>
      </c>
      <c r="G299" s="55" t="str">
        <f>IF($F299="","",'הזנה לתנאי סף'!H299)</f>
        <v>עמותת הכוריאוגרפים (ע"ר)</v>
      </c>
      <c r="H299" s="55" t="str">
        <f>IF($F299="","",'הזנה לתנאי סף'!I299)</f>
        <v>יוצרים עצמאיים במחול</v>
      </c>
      <c r="I299" s="187">
        <f>IF($F299="","",'הזנה לתנאי סף'!R299)</f>
        <v>18842</v>
      </c>
      <c r="J299" s="187">
        <f>IF($F299="","",'תחום תמיכה א'!P299)</f>
        <v>15060</v>
      </c>
      <c r="K299" s="177">
        <f>IF($F299="","",'הזנה לתנאי סף'!N299)</f>
        <v>0</v>
      </c>
      <c r="L299" s="177">
        <f>IF($F299="","",'הזנה לתנאי סף'!O299)</f>
        <v>1</v>
      </c>
      <c r="M299" s="177">
        <f>IF($F299="","",'הזנה לתנאי סף'!Q299)</f>
        <v>1</v>
      </c>
      <c r="N299" s="187">
        <f>IF($F299="","",'תחום תמיכה א'!AE299)</f>
        <v>823.24740082983124</v>
      </c>
      <c r="O299" s="178"/>
      <c r="P299" s="187">
        <f>IF($F299="","",'תחום תמיכה ב'!AC299)</f>
        <v>3211.406118861215</v>
      </c>
      <c r="Q299" s="187">
        <f>IF($F299="","",IF('תחום תמיכה ג'!O299="",0,'תחום תמיכה ג'!O299))</f>
        <v>0</v>
      </c>
      <c r="R299" s="187">
        <f t="shared" si="16"/>
        <v>96.294180260652865</v>
      </c>
      <c r="S299" s="187">
        <f>IF($F299="","",'תחום תמיכה ב'!AE299)</f>
        <v>3307.7002991218678</v>
      </c>
      <c r="T299" s="187">
        <f>IF($F299="","",IF(Q299='תחום תמיכה ג'!$Q$2,'תחום תמיכה ג'!$Q$2,IFERROR(SUMIF(N299:R299,"&gt;0"),'תחום תמיכה ג'!$Q$2)))</f>
        <v>4130.9476999516992</v>
      </c>
      <c r="U299" s="187">
        <f>IF($F299="","",'הזנה לתנאי סף'!Y299)</f>
        <v>150000</v>
      </c>
      <c r="V299" s="269">
        <f>IF(F299="","",'הגבלה לסכום מבוקש '!AA299)</f>
        <v>4681.3261906534972</v>
      </c>
      <c r="W299" s="187">
        <f t="shared" si="17"/>
        <v>1170.3315476633743</v>
      </c>
      <c r="X299" s="187">
        <f>IF(F299="","",'הזנה לתנאי סף'!Z299)</f>
        <v>150000</v>
      </c>
      <c r="Y299" s="237" t="str">
        <f>IFERROR(VLOOKUP(G299*1,#REF!,3,0),"")</f>
        <v/>
      </c>
      <c r="Z299" s="187" t="str">
        <f>IF(OR($F299="",Y299=""),"",IFERROR(IF(Y299&gt;V299,MIN(Y299,T299)-V299,0),'תחום תמיכה ג'!$Q$2))</f>
        <v/>
      </c>
      <c r="AA299" s="259"/>
      <c r="AB299" s="260" t="str">
        <f t="shared" si="18"/>
        <v/>
      </c>
      <c r="AC299" s="262"/>
      <c r="AD299" s="180"/>
      <c r="AE299" s="13" t="str">
        <f>IF($C299="","",IFERROR(VLOOKUP($C299,גיליון1!$A:$E,2,0),"לא הגיש בקשה שוטפת"))</f>
        <v>תמיכה שוטפת יוצרת עצמאי רחל בנגורה</v>
      </c>
      <c r="AF299" s="13" t="str">
        <f>IF($C299="","",IFERROR(VLOOKUP($C299,גיליון1!$A:$E,3,0),"לא הגיש בקשה שוטפת"))</f>
        <v>חויב</v>
      </c>
      <c r="AG299" s="13" t="str">
        <f>IF($C299="","",IFERROR(VLOOKUP($C299,גיליון1!$A:$E,4,0),"לא הגיש בקשה שוטפת"))</f>
        <v>19-42-02-20</v>
      </c>
      <c r="AH299" s="13" t="str">
        <f>IF($C299="","",IFERROR(VLOOKUP($C299,גיליון1!$A:$E,5,0),"לא הגיש בקשה שוטפת"))</f>
        <v>מחול וארגוני גג</v>
      </c>
      <c r="AI299" s="13">
        <f t="shared" si="19"/>
        <v>0</v>
      </c>
      <c r="AJ299"/>
      <c r="AK299" t="s">
        <v>250</v>
      </c>
    </row>
    <row r="300" spans="1:37" ht="43.5" x14ac:dyDescent="0.25">
      <c r="A300" s="54">
        <f>'הזנה לתנאי סף'!B300</f>
        <v>270</v>
      </c>
      <c r="B300" s="266">
        <f>IF($F300="","",'הזנה לתנאי סף'!C300)</f>
        <v>1001348159</v>
      </c>
      <c r="C300" s="266">
        <f>IF($F300="","",'הזנה לתנאי סף'!D300)</f>
        <v>1001275661</v>
      </c>
      <c r="D300" s="266">
        <f>IF($F300="","",'הזנה לתנאי סף'!E300)</f>
        <v>40000564</v>
      </c>
      <c r="E300" s="55">
        <f>IF($F300="","",'הזנה לתנאי סף'!F300)</f>
        <v>20000201</v>
      </c>
      <c r="F300" s="55" t="str">
        <f>IF('הזנה לתנאי סף'!BL300=1,'הזנה לתנאי סף'!G300,"")</f>
        <v>תל אביב -יפו</v>
      </c>
      <c r="G300" s="55" t="str">
        <f>IF($F300="","",'הזנה לתנאי סף'!H300)</f>
        <v>עמותת הכוריאוגרפים (ע"ר)</v>
      </c>
      <c r="H300" s="55" t="str">
        <f>IF($F300="","",'הזנה לתנאי סף'!I300)</f>
        <v>יוצרים עצמאיים במחול</v>
      </c>
      <c r="I300" s="187">
        <f>IF($F300="","",'הזנה לתנאי סף'!R300)</f>
        <v>88186</v>
      </c>
      <c r="J300" s="187">
        <f>IF($F300="","",'תחום תמיכה א'!P300)</f>
        <v>77724</v>
      </c>
      <c r="K300" s="177">
        <f>IF($F300="","",'הזנה לתנאי סף'!N300)</f>
        <v>0</v>
      </c>
      <c r="L300" s="177">
        <f>IF($F300="","",'הזנה לתנאי סף'!O300)</f>
        <v>1</v>
      </c>
      <c r="M300" s="177">
        <f>IF($F300="","",'הזנה לתנאי סף'!Q300)</f>
        <v>1</v>
      </c>
      <c r="N300" s="187">
        <f>IF($F300="","",'תחום תמיכה א'!AE300)</f>
        <v>1733.8301044062353</v>
      </c>
      <c r="O300" s="178"/>
      <c r="P300" s="187">
        <f>IF($F300="","",'תחום תמיכה ב'!AC300)</f>
        <v>2502.9943818078682</v>
      </c>
      <c r="Q300" s="187">
        <f>IF($F300="","",IF('תחום תמיכה ג'!O300="",0,'תחום תמיכה ג'!O300))</f>
        <v>0</v>
      </c>
      <c r="R300" s="187">
        <f t="shared" si="16"/>
        <v>75.052417312661873</v>
      </c>
      <c r="S300" s="187">
        <f>IF($F300="","",'תחום תמיכה ב'!AE300)</f>
        <v>2578.0467991205301</v>
      </c>
      <c r="T300" s="187">
        <f>IF($F300="","",IF(Q300='תחום תמיכה ג'!$Q$2,'תחום תמיכה ג'!$Q$2,IFERROR(SUMIF(N300:R300,"&gt;0"),'תחום תמיכה ג'!$Q$2)))</f>
        <v>4311.8769035267651</v>
      </c>
      <c r="U300" s="187">
        <f>IF($F300="","",'הזנה לתנאי סף'!Y300)</f>
        <v>150000</v>
      </c>
      <c r="V300" s="269">
        <f>IF(F300="","",'הגבלה לסכום מבוקש '!AA300)</f>
        <v>4741.3433905438233</v>
      </c>
      <c r="W300" s="187">
        <f t="shared" si="17"/>
        <v>1185.3358476359558</v>
      </c>
      <c r="X300" s="187">
        <f>IF(F300="","",'הזנה לתנאי סף'!Z300)</f>
        <v>150000</v>
      </c>
      <c r="Y300" s="237" t="str">
        <f>IFERROR(VLOOKUP(G300*1,#REF!,3,0),"")</f>
        <v/>
      </c>
      <c r="Z300" s="187" t="str">
        <f>IF(OR($F300="",Y300=""),"",IFERROR(IF(Y300&gt;V300,MIN(Y300,T300)-V300,0),'תחום תמיכה ג'!$Q$2))</f>
        <v/>
      </c>
      <c r="AA300" s="259"/>
      <c r="AB300" s="260" t="str">
        <f t="shared" si="18"/>
        <v/>
      </c>
      <c r="AC300" s="262"/>
      <c r="AD300" s="180"/>
      <c r="AE300" s="13" t="str">
        <f>IF($C300="","",IFERROR(VLOOKUP($C300,גיליון1!$A:$E,2,0),"לא הגיש בקשה שוטפת"))</f>
        <v>תמיכה שוטפת יוצר עצמאי רותם תש"ח</v>
      </c>
      <c r="AF300" s="13" t="str">
        <f>IF($C300="","",IFERROR(VLOOKUP($C300,גיליון1!$A:$E,3,0),"לא הגיש בקשה שוטפת"))</f>
        <v>חויב</v>
      </c>
      <c r="AG300" s="13" t="str">
        <f>IF($C300="","",IFERROR(VLOOKUP($C300,גיליון1!$A:$E,4,0),"לא הגיש בקשה שוטפת"))</f>
        <v>19-42-02-20</v>
      </c>
      <c r="AH300" s="13" t="str">
        <f>IF($C300="","",IFERROR(VLOOKUP($C300,גיליון1!$A:$E,5,0),"לא הגיש בקשה שוטפת"))</f>
        <v>מחול וארגוני גג</v>
      </c>
      <c r="AI300" s="13">
        <f t="shared" si="19"/>
        <v>0</v>
      </c>
      <c r="AJ300"/>
      <c r="AK300" t="s">
        <v>250</v>
      </c>
    </row>
    <row r="301" spans="1:37" x14ac:dyDescent="0.25">
      <c r="A301" s="54">
        <f>'הזנה לתנאי סף'!B301</f>
        <v>271</v>
      </c>
      <c r="B301" s="266" t="str">
        <f>IF($F301="","",'הזנה לתנאי סף'!C301)</f>
        <v/>
      </c>
      <c r="C301" s="266" t="str">
        <f>IF($F301="","",'הזנה לתנאי סף'!D301)</f>
        <v/>
      </c>
      <c r="D301" s="266" t="str">
        <f>IF($F301="","",'הזנה לתנאי סף'!E301)</f>
        <v/>
      </c>
      <c r="E301" s="55" t="str">
        <f>IF($F301="","",'הזנה לתנאי סף'!F301)</f>
        <v/>
      </c>
      <c r="F301" s="55" t="str">
        <f>IF('הזנה לתנאי סף'!BL301=1,'הזנה לתנאי סף'!G301,"")</f>
        <v/>
      </c>
      <c r="G301" s="55" t="str">
        <f>IF($F301="","",'הזנה לתנאי סף'!H301)</f>
        <v/>
      </c>
      <c r="H301" s="55" t="str">
        <f>IF($F301="","",'הזנה לתנאי סף'!I301)</f>
        <v/>
      </c>
      <c r="I301" s="187" t="str">
        <f>IF($F301="","",'הזנה לתנאי סף'!R301)</f>
        <v/>
      </c>
      <c r="J301" s="187" t="str">
        <f>IF($F301="","",'תחום תמיכה א'!P301)</f>
        <v/>
      </c>
      <c r="K301" s="177" t="str">
        <f>IF($F301="","",'הזנה לתנאי סף'!N301)</f>
        <v/>
      </c>
      <c r="L301" s="177" t="str">
        <f>IF($F301="","",'הזנה לתנאי סף'!O301)</f>
        <v/>
      </c>
      <c r="M301" s="177" t="str">
        <f>IF($F301="","",'הזנה לתנאי סף'!Q301)</f>
        <v/>
      </c>
      <c r="N301" s="187" t="str">
        <f>IF($F301="","",'תחום תמיכה א'!AE301)</f>
        <v/>
      </c>
      <c r="O301" s="178"/>
      <c r="P301" s="187" t="str">
        <f>IF($F301="","",'תחום תמיכה ב'!AC301)</f>
        <v/>
      </c>
      <c r="Q301" s="187" t="str">
        <f>IF($F301="","",IF('תחום תמיכה ג'!O301="",0,'תחום תמיכה ג'!O301))</f>
        <v/>
      </c>
      <c r="R301" s="187" t="str">
        <f t="shared" si="16"/>
        <v/>
      </c>
      <c r="S301" s="187" t="str">
        <f>IF($F301="","",'תחום תמיכה ב'!AE301)</f>
        <v/>
      </c>
      <c r="T301" s="187" t="str">
        <f>IF($F301="","",IF(Q301='תחום תמיכה ג'!$Q$2,'תחום תמיכה ג'!$Q$2,IFERROR(SUMIF(N301:R301,"&gt;0"),'תחום תמיכה ג'!$Q$2)))</f>
        <v/>
      </c>
      <c r="U301" s="187" t="str">
        <f>IF($F301="","",'הזנה לתנאי סף'!Y301)</f>
        <v/>
      </c>
      <c r="V301" s="269" t="str">
        <f>IF(F301="","",'הגבלה לסכום מבוקש '!AA301)</f>
        <v/>
      </c>
      <c r="W301" s="187" t="str">
        <f t="shared" si="17"/>
        <v/>
      </c>
      <c r="X301" s="187" t="str">
        <f>IF(F301="","",'הזנה לתנאי סף'!Z301)</f>
        <v/>
      </c>
      <c r="Y301" s="237" t="str">
        <f>IFERROR(VLOOKUP(G301*1,#REF!,3,0),"")</f>
        <v/>
      </c>
      <c r="Z301" s="187" t="str">
        <f>IF(OR($F301="",Y301=""),"",IFERROR(IF(Y301&gt;V301,MIN(Y301,T301)-V301,0),'תחום תמיכה ג'!$Q$2))</f>
        <v/>
      </c>
      <c r="AA301" s="259"/>
      <c r="AB301" s="260" t="str">
        <f t="shared" si="18"/>
        <v/>
      </c>
      <c r="AC301" s="262"/>
      <c r="AD301" s="180"/>
      <c r="AE301" s="13" t="str">
        <f>IF($C301="","",IFERROR(VLOOKUP($C301,גיליון1!$A:$E,2,0),"לא הגיש בקשה שוטפת"))</f>
        <v/>
      </c>
      <c r="AF301" s="13" t="str">
        <f>IF($C301="","",IFERROR(VLOOKUP($C301,גיליון1!$A:$E,3,0),"לא הגיש בקשה שוטפת"))</f>
        <v/>
      </c>
      <c r="AG301" s="13" t="str">
        <f>IF($C301="","",IFERROR(VLOOKUP($C301,גיליון1!$A:$E,4,0),"לא הגיש בקשה שוטפת"))</f>
        <v/>
      </c>
      <c r="AH301" s="13" t="str">
        <f>IF($C301="","",IFERROR(VLOOKUP($C301,גיליון1!$A:$E,5,0),"לא הגיש בקשה שוטפת"))</f>
        <v/>
      </c>
      <c r="AI301" s="13">
        <f t="shared" si="19"/>
        <v>0</v>
      </c>
      <c r="AJ301"/>
      <c r="AK301" t="s">
        <v>250</v>
      </c>
    </row>
    <row r="302" spans="1:37" ht="43.5" x14ac:dyDescent="0.25">
      <c r="A302" s="54">
        <f>'הזנה לתנאי סף'!B302</f>
        <v>272</v>
      </c>
      <c r="B302" s="266">
        <f>IF($F302="","",'הזנה לתנאי סף'!C302)</f>
        <v>1001348161</v>
      </c>
      <c r="C302" s="266">
        <f>IF($F302="","",'הזנה לתנאי סף'!D302)</f>
        <v>1001275647</v>
      </c>
      <c r="D302" s="266">
        <f>IF($F302="","",'הזנה לתנאי סף'!E302)</f>
        <v>40000564</v>
      </c>
      <c r="E302" s="55">
        <f>IF($F302="","",'הזנה לתנאי סף'!F302)</f>
        <v>20000201</v>
      </c>
      <c r="F302" s="55" t="str">
        <f>IF('הזנה לתנאי סף'!BL302=1,'הזנה לתנאי סף'!G302,"")</f>
        <v>תל אביב -יפו</v>
      </c>
      <c r="G302" s="55" t="str">
        <f>IF($F302="","",'הזנה לתנאי סף'!H302)</f>
        <v>עמותת הכוריאוגרפים (ע"ר)</v>
      </c>
      <c r="H302" s="55" t="str">
        <f>IF($F302="","",'הזנה לתנאי סף'!I302)</f>
        <v>יוצרים עצמאיים במחול</v>
      </c>
      <c r="I302" s="187">
        <f>IF($F302="","",'הזנה לתנאי סף'!R302)</f>
        <v>222496</v>
      </c>
      <c r="J302" s="187">
        <f>IF($F302="","",'תחום תמיכה א'!P302)</f>
        <v>224568</v>
      </c>
      <c r="K302" s="177">
        <f>IF($F302="","",'הזנה לתנאי סף'!N302)</f>
        <v>0</v>
      </c>
      <c r="L302" s="177">
        <f>IF($F302="","",'הזנה לתנאי סף'!O302)</f>
        <v>1</v>
      </c>
      <c r="M302" s="177">
        <f>IF($F302="","",'הזנה לתנאי סף'!Q302)</f>
        <v>1</v>
      </c>
      <c r="N302" s="187">
        <f>IF($F302="","",'תחום תמיכה א'!AE302)</f>
        <v>7391.3268625063893</v>
      </c>
      <c r="O302" s="178"/>
      <c r="P302" s="187">
        <f>IF($F302="","",'תחום תמיכה ב'!AC302)</f>
        <v>13747.658016775569</v>
      </c>
      <c r="Q302" s="187">
        <f>IF($F302="","",IF('תחום תמיכה ג'!O302="",0,'תחום תמיכה ג'!O302))</f>
        <v>0</v>
      </c>
      <c r="R302" s="187">
        <f t="shared" si="16"/>
        <v>412.2242439080328</v>
      </c>
      <c r="S302" s="187">
        <f>IF($F302="","",'תחום תמיכה ב'!AE302)</f>
        <v>14159.882260683602</v>
      </c>
      <c r="T302" s="187">
        <f>IF($F302="","",IF(Q302='תחום תמיכה ג'!$Q$2,'תחום תמיכה ג'!$Q$2,IFERROR(SUMIF(N302:R302,"&gt;0"),'תחום תמיכה ג'!$Q$2)))</f>
        <v>21551.20912318999</v>
      </c>
      <c r="U302" s="187">
        <f>IF($F302="","",'הזנה לתנאי סף'!Y302)</f>
        <v>150000</v>
      </c>
      <c r="V302" s="269">
        <f>IF(F302="","",'הגבלה לסכום מבוקש '!AA302)</f>
        <v>23909.076552702682</v>
      </c>
      <c r="W302" s="187">
        <f t="shared" si="17"/>
        <v>5977.2691381756704</v>
      </c>
      <c r="X302" s="187">
        <f>IF(F302="","",'הזנה לתנאי סף'!Z302)</f>
        <v>150000</v>
      </c>
      <c r="Y302" s="237" t="str">
        <f>IFERROR(VLOOKUP(G302*1,#REF!,3,0),"")</f>
        <v/>
      </c>
      <c r="Z302" s="187" t="str">
        <f>IF(OR($F302="",Y302=""),"",IFERROR(IF(Y302&gt;V302,MIN(Y302,T302)-V302,0),'תחום תמיכה ג'!$Q$2))</f>
        <v/>
      </c>
      <c r="AA302" s="259"/>
      <c r="AB302" s="260" t="str">
        <f t="shared" si="18"/>
        <v/>
      </c>
      <c r="AC302" s="262"/>
      <c r="AD302" s="180"/>
      <c r="AE302" s="13" t="str">
        <f>IF($C302="","",IFERROR(VLOOKUP($C302,גיליון1!$A:$E,2,0),"לא הגיש בקשה שוטפת"))</f>
        <v>תמיכה שוטפת יוצרת עצמאית ענת כ"ץ</v>
      </c>
      <c r="AF302" s="13" t="str">
        <f>IF($C302="","",IFERROR(VLOOKUP($C302,גיליון1!$A:$E,3,0),"לא הגיש בקשה שוטפת"))</f>
        <v>חויב</v>
      </c>
      <c r="AG302" s="13" t="str">
        <f>IF($C302="","",IFERROR(VLOOKUP($C302,גיליון1!$A:$E,4,0),"לא הגיש בקשה שוטפת"))</f>
        <v>19-42-02-20</v>
      </c>
      <c r="AH302" s="13" t="str">
        <f>IF($C302="","",IFERROR(VLOOKUP($C302,גיליון1!$A:$E,5,0),"לא הגיש בקשה שוטפת"))</f>
        <v>מחול וארגוני גג</v>
      </c>
      <c r="AI302" s="13">
        <f t="shared" si="19"/>
        <v>0</v>
      </c>
      <c r="AJ302"/>
      <c r="AK302" t="s">
        <v>250</v>
      </c>
    </row>
    <row r="303" spans="1:37" ht="43.5" x14ac:dyDescent="0.25">
      <c r="A303" s="54">
        <f>'הזנה לתנאי סף'!B303</f>
        <v>273</v>
      </c>
      <c r="B303" s="266">
        <f>IF($F303="","",'הזנה לתנאי סף'!C303)</f>
        <v>1001348162</v>
      </c>
      <c r="C303" s="266">
        <f>IF($F303="","",'הזנה לתנאי סף'!D303)</f>
        <v>1001275646</v>
      </c>
      <c r="D303" s="266">
        <f>IF($F303="","",'הזנה לתנאי סף'!E303)</f>
        <v>40000564</v>
      </c>
      <c r="E303" s="55">
        <f>IF($F303="","",'הזנה לתנאי סף'!F303)</f>
        <v>20000201</v>
      </c>
      <c r="F303" s="55" t="str">
        <f>IF('הזנה לתנאי סף'!BL303=1,'הזנה לתנאי סף'!G303,"")</f>
        <v>תל אביב -יפו</v>
      </c>
      <c r="G303" s="55" t="str">
        <f>IF($F303="","",'הזנה לתנאי סף'!H303)</f>
        <v>עמותת הכוריאוגרפים (ע"ר)</v>
      </c>
      <c r="H303" s="55" t="str">
        <f>IF($F303="","",'הזנה לתנאי סף'!I303)</f>
        <v>יוצרים עצמאיים במחול</v>
      </c>
      <c r="I303" s="187">
        <f>IF($F303="","",'הזנה לתנאי סף'!R303)</f>
        <v>140431</v>
      </c>
      <c r="J303" s="187">
        <f>IF($F303="","",'תחום תמיכה א'!P303)</f>
        <v>130043</v>
      </c>
      <c r="K303" s="177">
        <f>IF($F303="","",'הזנה לתנאי סף'!N303)</f>
        <v>0</v>
      </c>
      <c r="L303" s="177">
        <f>IF($F303="","",'הזנה לתנאי סף'!O303)</f>
        <v>1</v>
      </c>
      <c r="M303" s="177">
        <f>IF($F303="","",'הזנה לתנאי סף'!Q303)</f>
        <v>1</v>
      </c>
      <c r="N303" s="187">
        <f>IF($F303="","",'תחום תמיכה א'!AE303)</f>
        <v>3014.6737842670796</v>
      </c>
      <c r="O303" s="178"/>
      <c r="P303" s="187">
        <f>IF($F303="","",'תחום תמיכה ב'!AC303)</f>
        <v>4304.5436469312517</v>
      </c>
      <c r="Q303" s="187">
        <f>IF($F303="","",IF('תחום תמיכה ג'!O303="",0,'תחום תמיכה ג'!O303))</f>
        <v>0</v>
      </c>
      <c r="R303" s="187">
        <f t="shared" si="16"/>
        <v>129.0719661530793</v>
      </c>
      <c r="S303" s="187">
        <f>IF($F303="","",'תחום תמיכה ב'!AE303)</f>
        <v>4433.615613084331</v>
      </c>
      <c r="T303" s="187">
        <f>IF($F303="","",IF(Q303='תחום תמיכה ג'!$Q$2,'תחום תמיכה ג'!$Q$2,IFERROR(SUMIF(N303:R303,"&gt;0"),'תחום תמיכה ג'!$Q$2)))</f>
        <v>7448.2893973514101</v>
      </c>
      <c r="U303" s="187">
        <f>IF($F303="","",'הזנה לתנאי סף'!Y303)</f>
        <v>150000</v>
      </c>
      <c r="V303" s="269">
        <f>IF(F303="","",'הגבלה לסכום מבוקש '!AA303)</f>
        <v>8186.8826416207994</v>
      </c>
      <c r="W303" s="187">
        <f t="shared" si="17"/>
        <v>2046.7206604051999</v>
      </c>
      <c r="X303" s="187">
        <f>IF(F303="","",'הזנה לתנאי סף'!Z303)</f>
        <v>150000</v>
      </c>
      <c r="Y303" s="237" t="str">
        <f>IFERROR(VLOOKUP(G303*1,#REF!,3,0),"")</f>
        <v/>
      </c>
      <c r="Z303" s="187" t="str">
        <f>IF(OR($F303="",Y303=""),"",IFERROR(IF(Y303&gt;V303,MIN(Y303,T303)-V303,0),'תחום תמיכה ג'!$Q$2))</f>
        <v/>
      </c>
      <c r="AA303" s="259"/>
      <c r="AB303" s="260" t="str">
        <f t="shared" si="18"/>
        <v/>
      </c>
      <c r="AC303" s="262"/>
      <c r="AD303" s="180"/>
      <c r="AE303" s="13" t="str">
        <f>IF($C303="","",IFERROR(VLOOKUP($C303,גיליון1!$A:$E,2,0),"לא הגיש בקשה שוטפת"))</f>
        <v>תמיכה שוטפת יוצרת עצמאית ענת דניאלי</v>
      </c>
      <c r="AF303" s="13" t="str">
        <f>IF($C303="","",IFERROR(VLOOKUP($C303,גיליון1!$A:$E,3,0),"לא הגיש בקשה שוטפת"))</f>
        <v>חויב</v>
      </c>
      <c r="AG303" s="13" t="str">
        <f>IF($C303="","",IFERROR(VLOOKUP($C303,גיליון1!$A:$E,4,0),"לא הגיש בקשה שוטפת"))</f>
        <v>19-42-02-20</v>
      </c>
      <c r="AH303" s="13" t="str">
        <f>IF($C303="","",IFERROR(VLOOKUP($C303,גיליון1!$A:$E,5,0),"לא הגיש בקשה שוטפת"))</f>
        <v>מחול וארגוני גג</v>
      </c>
      <c r="AI303" s="13">
        <f t="shared" si="19"/>
        <v>0</v>
      </c>
      <c r="AJ303"/>
      <c r="AK303" t="s">
        <v>250</v>
      </c>
    </row>
    <row r="304" spans="1:37" ht="43.5" x14ac:dyDescent="0.25">
      <c r="A304" s="54">
        <f>'הזנה לתנאי סף'!B304</f>
        <v>274</v>
      </c>
      <c r="B304" s="266">
        <f>IF($F304="","",'הזנה לתנאי סף'!C304)</f>
        <v>1001348163</v>
      </c>
      <c r="C304" s="266">
        <f>IF($F304="","",'הזנה לתנאי סף'!D304)</f>
        <v>1001275645</v>
      </c>
      <c r="D304" s="266">
        <f>IF($F304="","",'הזנה לתנאי סף'!E304)</f>
        <v>40000564</v>
      </c>
      <c r="E304" s="55">
        <f>IF($F304="","",'הזנה לתנאי סף'!F304)</f>
        <v>20000201</v>
      </c>
      <c r="F304" s="55" t="str">
        <f>IF('הזנה לתנאי סף'!BL304=1,'הזנה לתנאי סף'!G304,"")</f>
        <v>תל אביב -יפו</v>
      </c>
      <c r="G304" s="55" t="str">
        <f>IF($F304="","",'הזנה לתנאי סף'!H304)</f>
        <v>עמותת הכוריאוגרפים (ע"ר)</v>
      </c>
      <c r="H304" s="55" t="str">
        <f>IF($F304="","",'הזנה לתנאי סף'!I304)</f>
        <v>יוצרים עצמאיים במחול</v>
      </c>
      <c r="I304" s="187">
        <f>IF($F304="","",'הזנה לתנאי סף'!R304)</f>
        <v>183909</v>
      </c>
      <c r="J304" s="187">
        <f>IF($F304="","",'תחום תמיכה א'!P304)</f>
        <v>198536</v>
      </c>
      <c r="K304" s="177">
        <f>IF($F304="","",'הזנה לתנאי סף'!N304)</f>
        <v>0</v>
      </c>
      <c r="L304" s="177">
        <f>IF($F304="","",'הזנה לתנאי סף'!O304)</f>
        <v>1</v>
      </c>
      <c r="M304" s="177">
        <f>IF($F304="","",'הזנה לתנאי סף'!Q304)</f>
        <v>1</v>
      </c>
      <c r="N304" s="187">
        <f>IF($F304="","",'תחום תמיכה א'!AE304)</f>
        <v>5024.2972676024829</v>
      </c>
      <c r="O304" s="178"/>
      <c r="P304" s="187">
        <f>IF($F304="","",'תחום תמיכה ב'!AC304)</f>
        <v>6717.8846087096881</v>
      </c>
      <c r="Q304" s="187">
        <f>IF($F304="","",IF('תחום תמיכה ג'!O304="",0,'תחום תמיכה ג'!O304))</f>
        <v>0</v>
      </c>
      <c r="R304" s="187">
        <f t="shared" si="16"/>
        <v>201.43612098202902</v>
      </c>
      <c r="S304" s="187">
        <f>IF($F304="","",'תחום תמיכה ב'!AE304)</f>
        <v>6919.3207296917171</v>
      </c>
      <c r="T304" s="187">
        <f>IF($F304="","",IF(Q304='תחום תמיכה ג'!$Q$2,'תחום תמיכה ג'!$Q$2,IFERROR(SUMIF(N304:R304,"&gt;0"),'תחום תמיכה ג'!$Q$2)))</f>
        <v>11943.617997294199</v>
      </c>
      <c r="U304" s="187">
        <f>IF($F304="","",'הזנה לתנאי סף'!Y304)</f>
        <v>150000</v>
      </c>
      <c r="V304" s="269">
        <f>IF(F304="","",'הגבלה לסכום מבוקש '!AA304)</f>
        <v>13096.448750875588</v>
      </c>
      <c r="W304" s="187">
        <f t="shared" si="17"/>
        <v>3274.1121877188971</v>
      </c>
      <c r="X304" s="187">
        <f>IF(F304="","",'הזנה לתנאי סף'!Z304)</f>
        <v>150000</v>
      </c>
      <c r="Y304" s="237" t="str">
        <f>IFERROR(VLOOKUP(G304*1,#REF!,3,0),"")</f>
        <v/>
      </c>
      <c r="Z304" s="187" t="str">
        <f>IF(OR($F304="",Y304=""),"",IFERROR(IF(Y304&gt;V304,MIN(Y304,T304)-V304,0),'תחום תמיכה ג'!$Q$2))</f>
        <v/>
      </c>
      <c r="AA304" s="259"/>
      <c r="AB304" s="260" t="str">
        <f t="shared" si="18"/>
        <v/>
      </c>
      <c r="AC304" s="262"/>
      <c r="AD304" s="180"/>
      <c r="AE304" s="13" t="str">
        <f>IF($C304="","",IFERROR(VLOOKUP($C304,גיליון1!$A:$E,2,0),"לא הגיש בקשה שוטפת"))</f>
        <v>תמיכה שוטפת יוצרת עצמאית ענת גריגוריו</v>
      </c>
      <c r="AF304" s="13" t="str">
        <f>IF($C304="","",IFERROR(VLOOKUP($C304,גיליון1!$A:$E,3,0),"לא הגיש בקשה שוטפת"))</f>
        <v>חויב</v>
      </c>
      <c r="AG304" s="13" t="str">
        <f>IF($C304="","",IFERROR(VLOOKUP($C304,גיליון1!$A:$E,4,0),"לא הגיש בקשה שוטפת"))</f>
        <v>19-42-02-20</v>
      </c>
      <c r="AH304" s="13" t="str">
        <f>IF($C304="","",IFERROR(VLOOKUP($C304,גיליון1!$A:$E,5,0),"לא הגיש בקשה שוטפת"))</f>
        <v>מחול וארגוני גג</v>
      </c>
      <c r="AI304" s="13">
        <f t="shared" si="19"/>
        <v>0</v>
      </c>
      <c r="AJ304"/>
      <c r="AK304" t="s">
        <v>250</v>
      </c>
    </row>
    <row r="305" spans="1:37" ht="43.5" x14ac:dyDescent="0.25">
      <c r="A305" s="54">
        <f>'הזנה לתנאי סף'!B305</f>
        <v>275</v>
      </c>
      <c r="B305" s="266">
        <f>IF($F305="","",'הזנה לתנאי סף'!C305)</f>
        <v>1001348165</v>
      </c>
      <c r="C305" s="266">
        <f>IF($F305="","",'הזנה לתנאי סף'!D305)</f>
        <v>1001273681</v>
      </c>
      <c r="D305" s="266">
        <f>IF($F305="","",'הזנה לתנאי סף'!E305)</f>
        <v>40000564</v>
      </c>
      <c r="E305" s="55">
        <f>IF($F305="","",'הזנה לתנאי סף'!F305)</f>
        <v>20000201</v>
      </c>
      <c r="F305" s="55" t="str">
        <f>IF('הזנה לתנאי סף'!BL305=1,'הזנה לתנאי סף'!G305,"")</f>
        <v>תל אביב -יפו</v>
      </c>
      <c r="G305" s="55" t="str">
        <f>IF($F305="","",'הזנה לתנאי סף'!H305)</f>
        <v>עמותת הכוריאוגרפים (ע"ר)</v>
      </c>
      <c r="H305" s="55" t="str">
        <f>IF($F305="","",'הזנה לתנאי סף'!I305)</f>
        <v>יוצרים עצמאיים במחול</v>
      </c>
      <c r="I305" s="187">
        <f>IF($F305="","",'הזנה לתנאי סף'!R305)</f>
        <v>219342</v>
      </c>
      <c r="J305" s="187">
        <f>IF($F305="","",'תחום תמיכה א'!P305)</f>
        <v>153717</v>
      </c>
      <c r="K305" s="177">
        <f>IF($F305="","",'הזנה לתנאי סף'!N305)</f>
        <v>0</v>
      </c>
      <c r="L305" s="177">
        <f>IF($F305="","",'הזנה לתנאי סף'!O305)</f>
        <v>1</v>
      </c>
      <c r="M305" s="177">
        <f>IF($F305="","",'הזנה לתנאי סף'!Q305)</f>
        <v>1</v>
      </c>
      <c r="N305" s="187">
        <f>IF($F305="","",'תחום תמיכה א'!AE305)</f>
        <v>5298.9963123778016</v>
      </c>
      <c r="O305" s="178"/>
      <c r="P305" s="187">
        <f>IF($F305="","",'תחום תמיכה ב'!AC305)</f>
        <v>14866.977084003862</v>
      </c>
      <c r="Q305" s="187">
        <f>IF($F305="","",IF('תחום תמיכה ג'!O305="",0,'תחום תמיכה ג'!O305))</f>
        <v>0</v>
      </c>
      <c r="R305" s="187">
        <f t="shared" si="16"/>
        <v>445.78708462002942</v>
      </c>
      <c r="S305" s="187">
        <f>IF($F305="","",'תחום תמיכה ב'!AE305)</f>
        <v>15312.764168623891</v>
      </c>
      <c r="T305" s="187">
        <f>IF($F305="","",IF(Q305='תחום תמיכה ג'!$Q$2,'תחום תמיכה ג'!$Q$2,IFERROR(SUMIF(N305:R305,"&gt;0"),'תחום תמיכה ג'!$Q$2)))</f>
        <v>20611.760481001693</v>
      </c>
      <c r="U305" s="187">
        <f>IF($F305="","",'הזנה לתנאי סף'!Y305)</f>
        <v>150000</v>
      </c>
      <c r="V305" s="269">
        <f>IF(F305="","",'הגבלה לסכום מבוקש '!AA305)</f>
        <v>23160.376155453137</v>
      </c>
      <c r="W305" s="187">
        <f t="shared" si="17"/>
        <v>5790.0940388632844</v>
      </c>
      <c r="X305" s="187">
        <f>IF(F305="","",'הזנה לתנאי סף'!Z305)</f>
        <v>150000</v>
      </c>
      <c r="Y305" s="237" t="str">
        <f>IFERROR(VLOOKUP(G305*1,#REF!,3,0),"")</f>
        <v/>
      </c>
      <c r="Z305" s="187" t="str">
        <f>IF(OR($F305="",Y305=""),"",IFERROR(IF(Y305&gt;V305,MIN(Y305,T305)-V305,0),'תחום תמיכה ג'!$Q$2))</f>
        <v/>
      </c>
      <c r="AA305" s="259"/>
      <c r="AB305" s="260" t="str">
        <f t="shared" si="18"/>
        <v/>
      </c>
      <c r="AC305" s="262"/>
      <c r="AD305" s="180"/>
      <c r="AE305" s="13" t="str">
        <f>IF($C305="","",IFERROR(VLOOKUP($C305,גיליון1!$A:$E,2,0),"לא הגיש בקשה שוטפת"))</f>
        <v>תמיכה שוטפת יוצר עצמאי עידן שרעבי</v>
      </c>
      <c r="AF305" s="13" t="str">
        <f>IF($C305="","",IFERROR(VLOOKUP($C305,גיליון1!$A:$E,3,0),"לא הגיש בקשה שוטפת"))</f>
        <v>חויב</v>
      </c>
      <c r="AG305" s="13" t="str">
        <f>IF($C305="","",IFERROR(VLOOKUP($C305,גיליון1!$A:$E,4,0),"לא הגיש בקשה שוטפת"))</f>
        <v>19-42-02-20</v>
      </c>
      <c r="AH305" s="13" t="str">
        <f>IF($C305="","",IFERROR(VLOOKUP($C305,גיליון1!$A:$E,5,0),"לא הגיש בקשה שוטפת"))</f>
        <v>מחול וארגוני גג</v>
      </c>
      <c r="AI305" s="13">
        <f t="shared" si="19"/>
        <v>0</v>
      </c>
      <c r="AJ305"/>
      <c r="AK305" t="s">
        <v>250</v>
      </c>
    </row>
    <row r="306" spans="1:37" ht="43.5" x14ac:dyDescent="0.25">
      <c r="A306" s="54">
        <f>'הזנה לתנאי סף'!B306</f>
        <v>276</v>
      </c>
      <c r="B306" s="266">
        <f>IF($F306="","",'הזנה לתנאי סף'!C306)</f>
        <v>1001348166</v>
      </c>
      <c r="C306" s="266">
        <f>IF($F306="","",'הזנה לתנאי סף'!D306)</f>
        <v>1001273680</v>
      </c>
      <c r="D306" s="266">
        <f>IF($F306="","",'הזנה לתנאי סף'!E306)</f>
        <v>40000564</v>
      </c>
      <c r="E306" s="55">
        <f>IF($F306="","",'הזנה לתנאי סף'!F306)</f>
        <v>20000201</v>
      </c>
      <c r="F306" s="55" t="str">
        <f>IF('הזנה לתנאי סף'!BL306=1,'הזנה לתנאי סף'!G306,"")</f>
        <v>תל אביב -יפו</v>
      </c>
      <c r="G306" s="55" t="str">
        <f>IF($F306="","",'הזנה לתנאי סף'!H306)</f>
        <v>עמותת הכוריאוגרפים (ע"ר)</v>
      </c>
      <c r="H306" s="55" t="str">
        <f>IF($F306="","",'הזנה לתנאי סף'!I306)</f>
        <v>יוצרים עצמאיים במחול</v>
      </c>
      <c r="I306" s="187">
        <f>IF($F306="","",'הזנה לתנאי סף'!R306)</f>
        <v>224137</v>
      </c>
      <c r="J306" s="187">
        <f>IF($F306="","",'תחום תמיכה א'!P306)</f>
        <v>190460</v>
      </c>
      <c r="K306" s="177">
        <f>IF($F306="","",'הזנה לתנאי סף'!N306)</f>
        <v>0</v>
      </c>
      <c r="L306" s="177">
        <f>IF($F306="","",'הזנה לתנאי סף'!O306)</f>
        <v>1</v>
      </c>
      <c r="M306" s="177">
        <f>IF($F306="","",'הזנה לתנאי סף'!Q306)</f>
        <v>1</v>
      </c>
      <c r="N306" s="187">
        <f>IF($F306="","",'תחום תמיכה א'!AE306)</f>
        <v>4868.1639081424792</v>
      </c>
      <c r="O306" s="178"/>
      <c r="P306" s="187">
        <f>IF($F306="","",'תחום תמיכה ב'!AC306)</f>
        <v>8352.0640770179725</v>
      </c>
      <c r="Q306" s="187">
        <f>IF($F306="","",IF('תחום תמיכה ג'!O306="",0,'תחום תמיכה ג'!O306))</f>
        <v>0</v>
      </c>
      <c r="R306" s="187">
        <f t="shared" si="16"/>
        <v>250.43707772036214</v>
      </c>
      <c r="S306" s="187">
        <f>IF($F306="","",'תחום תמיכה ב'!AE306)</f>
        <v>8602.5011547383347</v>
      </c>
      <c r="T306" s="187">
        <f>IF($F306="","",IF(Q306='תחום תמיכה ג'!$Q$2,'תחום תמיכה ג'!$Q$2,IFERROR(SUMIF(N306:R306,"&gt;0"),'תחום תמיכה ג'!$Q$2)))</f>
        <v>13470.665062880813</v>
      </c>
      <c r="U306" s="187">
        <f>IF($F306="","",'הזנה לתנאי סף'!Y306)</f>
        <v>150000</v>
      </c>
      <c r="V306" s="269">
        <f>IF(F306="","",'הגבלה לסכום מבוקש '!AA306)</f>
        <v>14903.303578485831</v>
      </c>
      <c r="W306" s="187">
        <f t="shared" si="17"/>
        <v>3725.8258946214578</v>
      </c>
      <c r="X306" s="187">
        <f>IF(F306="","",'הזנה לתנאי סף'!Z306)</f>
        <v>150000</v>
      </c>
      <c r="Y306" s="237" t="str">
        <f>IFERROR(VLOOKUP(G306*1,#REF!,3,0),"")</f>
        <v/>
      </c>
      <c r="Z306" s="187" t="str">
        <f>IF(OR($F306="",Y306=""),"",IFERROR(IF(Y306&gt;V306,MIN(Y306,T306)-V306,0),'תחום תמיכה ג'!$Q$2))</f>
        <v/>
      </c>
      <c r="AA306" s="259"/>
      <c r="AB306" s="260" t="str">
        <f t="shared" si="18"/>
        <v/>
      </c>
      <c r="AC306" s="262"/>
      <c r="AD306" s="180"/>
      <c r="AE306" s="13" t="str">
        <f>IF($C306="","",IFERROR(VLOOKUP($C306,גיליון1!$A:$E,2,0),"לא הגיש בקשה שוטפת"))</f>
        <v>תמיכה שוטפת יוצר עצמאי עידן כהן</v>
      </c>
      <c r="AF306" s="13" t="str">
        <f>IF($C306="","",IFERROR(VLOOKUP($C306,גיליון1!$A:$E,3,0),"לא הגיש בקשה שוטפת"))</f>
        <v>חויב</v>
      </c>
      <c r="AG306" s="13" t="str">
        <f>IF($C306="","",IFERROR(VLOOKUP($C306,גיליון1!$A:$E,4,0),"לא הגיש בקשה שוטפת"))</f>
        <v>19-42-02-20</v>
      </c>
      <c r="AH306" s="13" t="str">
        <f>IF($C306="","",IFERROR(VLOOKUP($C306,גיליון1!$A:$E,5,0),"לא הגיש בקשה שוטפת"))</f>
        <v>מחול וארגוני גג</v>
      </c>
      <c r="AI306" s="13">
        <f t="shared" si="19"/>
        <v>0</v>
      </c>
      <c r="AJ306"/>
      <c r="AK306" t="s">
        <v>250</v>
      </c>
    </row>
    <row r="307" spans="1:37" ht="43.5" x14ac:dyDescent="0.25">
      <c r="A307" s="54">
        <f>'הזנה לתנאי סף'!B307</f>
        <v>277</v>
      </c>
      <c r="B307" s="266">
        <f>IF($F307="","",'הזנה לתנאי סף'!C307)</f>
        <v>1001348167</v>
      </c>
      <c r="C307" s="266">
        <f>IF($F307="","",'הזנה לתנאי סף'!D307)</f>
        <v>1001273659</v>
      </c>
      <c r="D307" s="266">
        <f>IF($F307="","",'הזנה לתנאי סף'!E307)</f>
        <v>40000564</v>
      </c>
      <c r="E307" s="55">
        <f>IF($F307="","",'הזנה לתנאי סף'!F307)</f>
        <v>20000201</v>
      </c>
      <c r="F307" s="55" t="str">
        <f>IF('הזנה לתנאי סף'!BL307=1,'הזנה לתנאי סף'!G307,"")</f>
        <v>תל אביב -יפו</v>
      </c>
      <c r="G307" s="55" t="str">
        <f>IF($F307="","",'הזנה לתנאי סף'!H307)</f>
        <v>עמותת הכוריאוגרפים (ע"ר)</v>
      </c>
      <c r="H307" s="55" t="str">
        <f>IF($F307="","",'הזנה לתנאי סף'!I307)</f>
        <v>יוצרים עצמאיים במחול</v>
      </c>
      <c r="I307" s="187">
        <f>IF($F307="","",'הזנה לתנאי סף'!R307)</f>
        <v>161568</v>
      </c>
      <c r="J307" s="187">
        <f>IF($F307="","",'תחום תמיכה א'!P307)</f>
        <v>123482</v>
      </c>
      <c r="K307" s="177">
        <f>IF($F307="","",'הזנה לתנאי סף'!N307)</f>
        <v>0</v>
      </c>
      <c r="L307" s="177">
        <f>IF($F307="","",'הזנה לתנאי סף'!O307)</f>
        <v>1</v>
      </c>
      <c r="M307" s="177">
        <f>IF($F307="","",'הזנה לתנאי סף'!Q307)</f>
        <v>1</v>
      </c>
      <c r="N307" s="187">
        <f>IF($F307="","",'תחום תמיכה א'!AE307)</f>
        <v>3678.7713167660741</v>
      </c>
      <c r="O307" s="178"/>
      <c r="P307" s="187">
        <f>IF($F307="","",'תחום תמיכה ב'!AC307)</f>
        <v>8179.2043852960305</v>
      </c>
      <c r="Q307" s="187">
        <f>IF($F307="","",IF('תחום תמיכה ג'!O307="",0,'תחום תמיכה ג'!O307))</f>
        <v>0</v>
      </c>
      <c r="R307" s="187">
        <f t="shared" si="16"/>
        <v>245.25387083266469</v>
      </c>
      <c r="S307" s="187">
        <f>IF($F307="","",'תחום תמיכה ב'!AE307)</f>
        <v>8424.4582561286952</v>
      </c>
      <c r="T307" s="187">
        <f>IF($F307="","",IF(Q307='תחום תמיכה ג'!$Q$2,'תחום תמיכה ג'!$Q$2,IFERROR(SUMIF(N307:R307,"&gt;0"),'תחום תמיכה ג'!$Q$2)))</f>
        <v>12103.229572894768</v>
      </c>
      <c r="U307" s="187">
        <f>IF($F307="","",'הזנה לתנאי סף'!Y307)</f>
        <v>150000</v>
      </c>
      <c r="V307" s="269">
        <f>IF(F307="","",'הגבלה לסכום מבוקש '!AA307)</f>
        <v>13505.721594438917</v>
      </c>
      <c r="W307" s="187">
        <f t="shared" si="17"/>
        <v>3376.4303986097293</v>
      </c>
      <c r="X307" s="187">
        <f>IF(F307="","",'הזנה לתנאי סף'!Z307)</f>
        <v>150000</v>
      </c>
      <c r="Y307" s="237" t="str">
        <f>IFERROR(VLOOKUP(G307*1,#REF!,3,0),"")</f>
        <v/>
      </c>
      <c r="Z307" s="187" t="str">
        <f>IF(OR($F307="",Y307=""),"",IFERROR(IF(Y307&gt;V307,MIN(Y307,T307)-V307,0),'תחום תמיכה ג'!$Q$2))</f>
        <v/>
      </c>
      <c r="AA307" s="259"/>
      <c r="AB307" s="260" t="str">
        <f t="shared" si="18"/>
        <v/>
      </c>
      <c r="AC307" s="262"/>
      <c r="AD307" s="180"/>
      <c r="AE307" s="13" t="str">
        <f>IF($C307="","",IFERROR(VLOOKUP($C307,גיליון1!$A:$E,2,0),"לא הגיש בקשה שוטפת"))</f>
        <v>תמיכה שוטפת יוצר עצמאי עודד רונן</v>
      </c>
      <c r="AF307" s="13" t="str">
        <f>IF($C307="","",IFERROR(VLOOKUP($C307,גיליון1!$A:$E,3,0),"לא הגיש בקשה שוטפת"))</f>
        <v>חויב</v>
      </c>
      <c r="AG307" s="13" t="str">
        <f>IF($C307="","",IFERROR(VLOOKUP($C307,גיליון1!$A:$E,4,0),"לא הגיש בקשה שוטפת"))</f>
        <v>19-42-02-20</v>
      </c>
      <c r="AH307" s="13" t="str">
        <f>IF($C307="","",IFERROR(VLOOKUP($C307,גיליון1!$A:$E,5,0),"לא הגיש בקשה שוטפת"))</f>
        <v>מחול וארגוני גג</v>
      </c>
      <c r="AI307" s="13">
        <f t="shared" si="19"/>
        <v>0</v>
      </c>
      <c r="AJ307"/>
      <c r="AK307" t="s">
        <v>250</v>
      </c>
    </row>
    <row r="308" spans="1:37" ht="43.5" x14ac:dyDescent="0.25">
      <c r="A308" s="54">
        <f>'הזנה לתנאי סף'!B308</f>
        <v>278</v>
      </c>
      <c r="B308" s="266">
        <f>IF($F308="","",'הזנה לתנאי סף'!C308)</f>
        <v>1001348168</v>
      </c>
      <c r="C308" s="266">
        <f>IF($F308="","",'הזנה לתנאי סף'!D308)</f>
        <v>1001273658</v>
      </c>
      <c r="D308" s="266">
        <f>IF($F308="","",'הזנה לתנאי סף'!E308)</f>
        <v>40000564</v>
      </c>
      <c r="E308" s="55">
        <f>IF($F308="","",'הזנה לתנאי סף'!F308)</f>
        <v>20000201</v>
      </c>
      <c r="F308" s="55" t="str">
        <f>IF('הזנה לתנאי סף'!BL308=1,'הזנה לתנאי סף'!G308,"")</f>
        <v>תל אביב -יפו</v>
      </c>
      <c r="G308" s="55" t="str">
        <f>IF($F308="","",'הזנה לתנאי סף'!H308)</f>
        <v>עמותת הכוריאוגרפים (ע"ר)</v>
      </c>
      <c r="H308" s="55" t="str">
        <f>IF($F308="","",'הזנה לתנאי סף'!I308)</f>
        <v>יוצרים עצמאיים במחול</v>
      </c>
      <c r="I308" s="187">
        <f>IF($F308="","",'הזנה לתנאי סף'!R308)</f>
        <v>168598</v>
      </c>
      <c r="J308" s="187">
        <f>IF($F308="","",'תחום תמיכה א'!P308)</f>
        <v>165435</v>
      </c>
      <c r="K308" s="177">
        <f>IF($F308="","",'הזנה לתנאי סף'!N308)</f>
        <v>0</v>
      </c>
      <c r="L308" s="177">
        <f>IF($F308="","",'הזנה לתנאי סף'!O308)</f>
        <v>1</v>
      </c>
      <c r="M308" s="177">
        <f>IF($F308="","",'הזנה לתנאי סף'!Q308)</f>
        <v>1</v>
      </c>
      <c r="N308" s="187">
        <f>IF($F308="","",'תחום תמיכה א'!AE308)</f>
        <v>6174.9174289541224</v>
      </c>
      <c r="O308" s="178"/>
      <c r="P308" s="187">
        <f>IF($F308="","",'תחום תמיכה ב'!AC308)</f>
        <v>13397.302837565627</v>
      </c>
      <c r="Q308" s="187">
        <f>IF($F308="","",IF('תחום תמיכה ג'!O308="",0,'תחום תמיכה ג'!O308))</f>
        <v>0</v>
      </c>
      <c r="R308" s="187">
        <f t="shared" si="16"/>
        <v>401.71882555438788</v>
      </c>
      <c r="S308" s="187">
        <f>IF($F308="","",'תחום תמיכה ב'!AE308)</f>
        <v>13799.021663120015</v>
      </c>
      <c r="T308" s="187">
        <f>IF($F308="","",IF(Q308='תחום תמיכה ג'!$Q$2,'תחום תמיכה ג'!$Q$2,IFERROR(SUMIF(N308:R308,"&gt;0"),'תחום תמיכה ג'!$Q$2)))</f>
        <v>19973.939092074135</v>
      </c>
      <c r="U308" s="187">
        <f>IF($F308="","",'הזנה לתנאי סף'!Y308)</f>
        <v>150000</v>
      </c>
      <c r="V308" s="269">
        <f>IF(F308="","",'הגבלה לסכום מבוקש '!AA308)</f>
        <v>22271.248841140543</v>
      </c>
      <c r="W308" s="187">
        <f t="shared" si="17"/>
        <v>5567.8122102851357</v>
      </c>
      <c r="X308" s="187">
        <f>IF(F308="","",'הזנה לתנאי סף'!Z308)</f>
        <v>150000</v>
      </c>
      <c r="Y308" s="237" t="str">
        <f>IFERROR(VLOOKUP(G308*1,#REF!,3,0),"")</f>
        <v/>
      </c>
      <c r="Z308" s="187" t="str">
        <f>IF(OR($F308="",Y308=""),"",IFERROR(IF(Y308&gt;V308,MIN(Y308,T308)-V308,0),'תחום תמיכה ג'!$Q$2))</f>
        <v/>
      </c>
      <c r="AA308" s="259"/>
      <c r="AB308" s="260" t="str">
        <f t="shared" si="18"/>
        <v/>
      </c>
      <c r="AC308" s="262"/>
      <c r="AD308" s="180"/>
      <c r="AE308" s="13" t="str">
        <f>IF($C308="","",IFERROR(VLOOKUP($C308,גיליון1!$A:$E,2,0),"לא הגיש בקשה שוטפת"))</f>
        <v>תמיכה שוטפת יוצר עצמאי עדו פדר</v>
      </c>
      <c r="AF308" s="13" t="str">
        <f>IF($C308="","",IFERROR(VLOOKUP($C308,גיליון1!$A:$E,3,0),"לא הגיש בקשה שוטפת"))</f>
        <v>חויב</v>
      </c>
      <c r="AG308" s="13" t="str">
        <f>IF($C308="","",IFERROR(VLOOKUP($C308,גיליון1!$A:$E,4,0),"לא הגיש בקשה שוטפת"))</f>
        <v>19-42-02-20</v>
      </c>
      <c r="AH308" s="13" t="str">
        <f>IF($C308="","",IFERROR(VLOOKUP($C308,גיליון1!$A:$E,5,0),"לא הגיש בקשה שוטפת"))</f>
        <v>מחול וארגוני גג</v>
      </c>
      <c r="AI308" s="13">
        <f t="shared" si="19"/>
        <v>0</v>
      </c>
      <c r="AJ308"/>
      <c r="AK308" t="s">
        <v>250</v>
      </c>
    </row>
    <row r="309" spans="1:37" ht="43.5" x14ac:dyDescent="0.25">
      <c r="A309" s="54">
        <f>'הזנה לתנאי סף'!B309</f>
        <v>279</v>
      </c>
      <c r="B309" s="266">
        <f>IF($F309="","",'הזנה לתנאי סף'!C309)</f>
        <v>1001348169</v>
      </c>
      <c r="C309" s="266">
        <f>IF($F309="","",'הזנה לתנאי סף'!D309)</f>
        <v>1001273657</v>
      </c>
      <c r="D309" s="266">
        <f>IF($F309="","",'הזנה לתנאי סף'!E309)</f>
        <v>40000564</v>
      </c>
      <c r="E309" s="55">
        <f>IF($F309="","",'הזנה לתנאי סף'!F309)</f>
        <v>20000201</v>
      </c>
      <c r="F309" s="55" t="str">
        <f>IF('הזנה לתנאי סף'!BL309=1,'הזנה לתנאי סף'!G309,"")</f>
        <v>תל אביב -יפו</v>
      </c>
      <c r="G309" s="55" t="str">
        <f>IF($F309="","",'הזנה לתנאי סף'!H309)</f>
        <v>עמותת הכוריאוגרפים (ע"ר)</v>
      </c>
      <c r="H309" s="55" t="str">
        <f>IF($F309="","",'הזנה לתנאי סף'!I309)</f>
        <v>יוצרים עצמאיים במחול</v>
      </c>
      <c r="I309" s="187">
        <f>IF($F309="","",'הזנה לתנאי סף'!R309)</f>
        <v>108326</v>
      </c>
      <c r="J309" s="187">
        <f>IF($F309="","",'תחום תמיכה א'!P309)</f>
        <v>129656</v>
      </c>
      <c r="K309" s="177">
        <f>IF($F309="","",'הזנה לתנאי סף'!N309)</f>
        <v>0</v>
      </c>
      <c r="L309" s="177">
        <f>IF($F309="","",'הזנה לתנאי סף'!O309)</f>
        <v>1</v>
      </c>
      <c r="M309" s="177">
        <f>IF($F309="","",'הזנה לתנאי סף'!Q309)</f>
        <v>1</v>
      </c>
      <c r="N309" s="187">
        <f>IF($F309="","",'תחום תמיכה א'!AE309)</f>
        <v>2722.4040803398966</v>
      </c>
      <c r="O309" s="178"/>
      <c r="P309" s="187">
        <f>IF($F309="","",'תחום תמיכה ב'!AC309)</f>
        <v>2724.0186773190317</v>
      </c>
      <c r="Q309" s="187">
        <f>IF($F309="","",IF('תחום תמיכה ג'!O309="",0,'תחום תמיכה ג'!O309))</f>
        <v>0</v>
      </c>
      <c r="R309" s="187">
        <f t="shared" si="16"/>
        <v>81.679842361438659</v>
      </c>
      <c r="S309" s="187">
        <f>IF($F309="","",'תחום תמיכה ב'!AE309)</f>
        <v>2805.6985196804703</v>
      </c>
      <c r="T309" s="187">
        <f>IF($F309="","",IF(Q309='תחום תמיכה ג'!$Q$2,'תחום תמיכה ג'!$Q$2,IFERROR(SUMIF(N309:R309,"&gt;0"),'תחום תמיכה ג'!$Q$2)))</f>
        <v>5528.1026000203674</v>
      </c>
      <c r="U309" s="187">
        <f>IF($F309="","",'הזנה לתנאי סף'!Y309)</f>
        <v>150000</v>
      </c>
      <c r="V309" s="269">
        <f>IF(F309="","",'הגבלה לסכום מבוקש '!AA309)</f>
        <v>5995.8730865745647</v>
      </c>
      <c r="W309" s="187">
        <f t="shared" si="17"/>
        <v>1498.9682716436412</v>
      </c>
      <c r="X309" s="187">
        <f>IF(F309="","",'הזנה לתנאי סף'!Z309)</f>
        <v>150000</v>
      </c>
      <c r="Y309" s="237" t="str">
        <f>IFERROR(VLOOKUP(G309*1,#REF!,3,0),"")</f>
        <v/>
      </c>
      <c r="Z309" s="187" t="str">
        <f>IF(OR($F309="",Y309=""),"",IFERROR(IF(Y309&gt;V309,MIN(Y309,T309)-V309,0),'תחום תמיכה ג'!$Q$2))</f>
        <v/>
      </c>
      <c r="AA309" s="259"/>
      <c r="AB309" s="260" t="str">
        <f t="shared" si="18"/>
        <v/>
      </c>
      <c r="AC309" s="262"/>
      <c r="AD309" s="180"/>
      <c r="AE309" s="13" t="str">
        <f>IF($C309="","",IFERROR(VLOOKUP($C309,גיליון1!$A:$E,2,0),"לא הגיש בקשה שוטפת"))</f>
        <v>תמיכה שוטפת יוצרת עצמאית סילביה דוראן</v>
      </c>
      <c r="AF309" s="13" t="str">
        <f>IF($C309="","",IFERROR(VLOOKUP($C309,גיליון1!$A:$E,3,0),"לא הגיש בקשה שוטפת"))</f>
        <v>חויב</v>
      </c>
      <c r="AG309" s="13" t="str">
        <f>IF($C309="","",IFERROR(VLOOKUP($C309,גיליון1!$A:$E,4,0),"לא הגיש בקשה שוטפת"))</f>
        <v>19-42-02-20</v>
      </c>
      <c r="AH309" s="13" t="str">
        <f>IF($C309="","",IFERROR(VLOOKUP($C309,גיליון1!$A:$E,5,0),"לא הגיש בקשה שוטפת"))</f>
        <v>מחול וארגוני גג</v>
      </c>
      <c r="AI309" s="13">
        <f t="shared" si="19"/>
        <v>0</v>
      </c>
      <c r="AJ309"/>
      <c r="AK309" t="s">
        <v>250</v>
      </c>
    </row>
    <row r="310" spans="1:37" ht="43.5" x14ac:dyDescent="0.25">
      <c r="A310" s="54">
        <f>'הזנה לתנאי סף'!B310</f>
        <v>280</v>
      </c>
      <c r="B310" s="266">
        <f>IF($F310="","",'הזנה לתנאי סף'!C310)</f>
        <v>1001348170</v>
      </c>
      <c r="C310" s="266">
        <f>IF($F310="","",'הזנה לתנאי סף'!D310)</f>
        <v>1001273655</v>
      </c>
      <c r="D310" s="266">
        <f>IF($F310="","",'הזנה לתנאי סף'!E310)</f>
        <v>40000564</v>
      </c>
      <c r="E310" s="55">
        <f>IF($F310="","",'הזנה לתנאי סף'!F310)</f>
        <v>20000201</v>
      </c>
      <c r="F310" s="55" t="str">
        <f>IF('הזנה לתנאי סף'!BL310=1,'הזנה לתנאי סף'!G310,"")</f>
        <v>תל אביב -יפו</v>
      </c>
      <c r="G310" s="55" t="str">
        <f>IF($F310="","",'הזנה לתנאי סף'!H310)</f>
        <v>עמותת הכוריאוגרפים (ע"ר)</v>
      </c>
      <c r="H310" s="55" t="str">
        <f>IF($F310="","",'הזנה לתנאי סף'!I310)</f>
        <v>יוצרים עצמאיים במחול</v>
      </c>
      <c r="I310" s="187">
        <f>IF($F310="","",'הזנה לתנאי סף'!R310)</f>
        <v>265843</v>
      </c>
      <c r="J310" s="187">
        <f>IF($F310="","",'תחום תמיכה א'!P310)</f>
        <v>255616</v>
      </c>
      <c r="K310" s="177">
        <f>IF($F310="","",'הזנה לתנאי סף'!N310)</f>
        <v>0</v>
      </c>
      <c r="L310" s="177">
        <f>IF($F310="","",'הזנה לתנאי סף'!O310)</f>
        <v>1</v>
      </c>
      <c r="M310" s="177">
        <f>IF($F310="","",'הזנה לתנאי סף'!Q310)</f>
        <v>1</v>
      </c>
      <c r="N310" s="187">
        <f>IF($F310="","",'תחום תמיכה א'!AE310)</f>
        <v>5202.5952342810542</v>
      </c>
      <c r="O310" s="178"/>
      <c r="P310" s="187">
        <f>IF($F310="","",'תחום תמיכה ב'!AC310)</f>
        <v>6253.3365709143718</v>
      </c>
      <c r="Q310" s="187">
        <f>IF($F310="","",IF('תחום תמיכה ג'!O310="",0,'תחום תמיכה ג'!O310))</f>
        <v>0</v>
      </c>
      <c r="R310" s="187">
        <f t="shared" si="16"/>
        <v>187.506623797457</v>
      </c>
      <c r="S310" s="187">
        <f>IF($F310="","",'תחום תמיכה ב'!AE310)</f>
        <v>6440.8431947118288</v>
      </c>
      <c r="T310" s="187">
        <f>IF($F310="","",IF(Q310='תחום תמיכה ג'!$Q$2,'תחום תמיכה ג'!$Q$2,IFERROR(SUMIF(N310:R310,"&gt;0"),'תחום תמיכה ג'!$Q$2)))</f>
        <v>11643.438428992882</v>
      </c>
      <c r="U310" s="187">
        <f>IF($F310="","",'הזנה לתנאי סף'!Y310)</f>
        <v>150000</v>
      </c>
      <c r="V310" s="269">
        <f>IF(F310="","",'הגבלה לסכום מבוקש '!AA310)</f>
        <v>12716.789231960292</v>
      </c>
      <c r="W310" s="187">
        <f t="shared" si="17"/>
        <v>3179.1973079900731</v>
      </c>
      <c r="X310" s="187">
        <f>IF(F310="","",'הזנה לתנאי סף'!Z310)</f>
        <v>150000</v>
      </c>
      <c r="Y310" s="237" t="str">
        <f>IFERROR(VLOOKUP(G310*1,#REF!,3,0),"")</f>
        <v/>
      </c>
      <c r="Z310" s="187" t="str">
        <f>IF(OR($F310="",Y310=""),"",IFERROR(IF(Y310&gt;V310,MIN(Y310,T310)-V310,0),'תחום תמיכה ג'!$Q$2))</f>
        <v/>
      </c>
      <c r="AA310" s="259"/>
      <c r="AB310" s="260" t="str">
        <f t="shared" si="18"/>
        <v/>
      </c>
      <c r="AC310" s="262"/>
      <c r="AD310" s="180"/>
      <c r="AE310" s="13" t="str">
        <f>IF($C310="","",IFERROR(VLOOKUP($C310,גיליון1!$A:$E,2,0),"לא הגיש בקשה שוטפת"))</f>
        <v>תמיכה שוטפת יוצר עצמאי סהר עזימי</v>
      </c>
      <c r="AF310" s="13" t="str">
        <f>IF($C310="","",IFERROR(VLOOKUP($C310,גיליון1!$A:$E,3,0),"לא הגיש בקשה שוטפת"))</f>
        <v>חויב</v>
      </c>
      <c r="AG310" s="13" t="str">
        <f>IF($C310="","",IFERROR(VLOOKUP($C310,גיליון1!$A:$E,4,0),"לא הגיש בקשה שוטפת"))</f>
        <v>19-42-02-20</v>
      </c>
      <c r="AH310" s="13" t="str">
        <f>IF($C310="","",IFERROR(VLOOKUP($C310,גיליון1!$A:$E,5,0),"לא הגיש בקשה שוטפת"))</f>
        <v>מחול וארגוני גג</v>
      </c>
      <c r="AI310" s="13">
        <f t="shared" si="19"/>
        <v>0</v>
      </c>
      <c r="AJ310"/>
      <c r="AK310" t="s">
        <v>250</v>
      </c>
    </row>
    <row r="311" spans="1:37" ht="43.5" x14ac:dyDescent="0.25">
      <c r="A311" s="54">
        <f>'הזנה לתנאי סף'!B311</f>
        <v>281</v>
      </c>
      <c r="B311" s="266">
        <f>IF($F311="","",'הזנה לתנאי סף'!C311)</f>
        <v>1001348171</v>
      </c>
      <c r="C311" s="266">
        <f>IF($F311="","",'הזנה לתנאי סף'!D311)</f>
        <v>1001273653</v>
      </c>
      <c r="D311" s="266">
        <f>IF($F311="","",'הזנה לתנאי סף'!E311)</f>
        <v>40000564</v>
      </c>
      <c r="E311" s="55">
        <f>IF($F311="","",'הזנה לתנאי סף'!F311)</f>
        <v>20000201</v>
      </c>
      <c r="F311" s="55" t="str">
        <f>IF('הזנה לתנאי סף'!BL311=1,'הזנה לתנאי סף'!G311,"")</f>
        <v>תל אביב -יפו</v>
      </c>
      <c r="G311" s="55" t="str">
        <f>IF($F311="","",'הזנה לתנאי סף'!H311)</f>
        <v>עמותת הכוריאוגרפים (ע"ר)</v>
      </c>
      <c r="H311" s="55" t="str">
        <f>IF($F311="","",'הזנה לתנאי סף'!I311)</f>
        <v>יוצרים עצמאיים במחול</v>
      </c>
      <c r="I311" s="187">
        <f>IF($F311="","",'הזנה לתנאי סף'!R311)</f>
        <v>191421</v>
      </c>
      <c r="J311" s="187">
        <f>IF($F311="","",'תחום תמיכה א'!P311)</f>
        <v>182896</v>
      </c>
      <c r="K311" s="177">
        <f>IF($F311="","",'הזנה לתנאי סף'!N311)</f>
        <v>0</v>
      </c>
      <c r="L311" s="177">
        <f>IF($F311="","",'הזנה לתנאי סף'!O311)</f>
        <v>1</v>
      </c>
      <c r="M311" s="177">
        <f>IF($F311="","",'הזנה לתנאי סף'!Q311)</f>
        <v>1</v>
      </c>
      <c r="N311" s="187">
        <f>IF($F311="","",'תחום תמיכה א'!AE311)</f>
        <v>5367.6248358615312</v>
      </c>
      <c r="O311" s="178"/>
      <c r="P311" s="187">
        <f>IF($F311="","",'תחום תמיכה ב'!AC311)</f>
        <v>9403.7897718119257</v>
      </c>
      <c r="Q311" s="187">
        <f>IF($F311="","",IF('תחום תמיכה ג'!O311="",0,'תחום תמיכה ג'!O311))</f>
        <v>0</v>
      </c>
      <c r="R311" s="187">
        <f t="shared" si="16"/>
        <v>281.97312762835645</v>
      </c>
      <c r="S311" s="187">
        <f>IF($F311="","",'תחום תמיכה ב'!AE311)</f>
        <v>9685.7628994402821</v>
      </c>
      <c r="T311" s="187">
        <f>IF($F311="","",IF(Q311='תחום תמיכה ג'!$Q$2,'תחום תמיכה ג'!$Q$2,IFERROR(SUMIF(N311:R311,"&gt;0"),'תחום תמיכה ג'!$Q$2)))</f>
        <v>15053.387735301814</v>
      </c>
      <c r="U311" s="187">
        <f>IF($F311="","",'הזנה לתנאי סף'!Y311)</f>
        <v>150000</v>
      </c>
      <c r="V311" s="269">
        <f>IF(F311="","",'הגבלה לסכום מבוקש '!AA311)</f>
        <v>16666.378182237284</v>
      </c>
      <c r="W311" s="187">
        <f t="shared" si="17"/>
        <v>4166.594545559321</v>
      </c>
      <c r="X311" s="187">
        <f>IF(F311="","",'הזנה לתנאי סף'!Z311)</f>
        <v>150000</v>
      </c>
      <c r="Y311" s="237" t="str">
        <f>IFERROR(VLOOKUP(G311*1,#REF!,3,0),"")</f>
        <v/>
      </c>
      <c r="Z311" s="187" t="str">
        <f>IF(OR($F311="",Y311=""),"",IFERROR(IF(Y311&gt;V311,MIN(Y311,T311)-V311,0),'תחום תמיכה ג'!$Q$2))</f>
        <v/>
      </c>
      <c r="AA311" s="259"/>
      <c r="AB311" s="260" t="str">
        <f t="shared" si="18"/>
        <v/>
      </c>
      <c r="AC311" s="262"/>
      <c r="AD311" s="180"/>
      <c r="AE311" s="13" t="str">
        <f>IF($C311="","",IFERROR(VLOOKUP($C311,גיליון1!$A:$E,2,0),"לא הגיש בקשה שוטפת"))</f>
        <v>תמיכה שוטפת יוצרת עצמאית סאלי אן פרידלנד</v>
      </c>
      <c r="AF311" s="13" t="str">
        <f>IF($C311="","",IFERROR(VLOOKUP($C311,גיליון1!$A:$E,3,0),"לא הגיש בקשה שוטפת"))</f>
        <v>חויב</v>
      </c>
      <c r="AG311" s="13" t="str">
        <f>IF($C311="","",IFERROR(VLOOKUP($C311,גיליון1!$A:$E,4,0),"לא הגיש בקשה שוטפת"))</f>
        <v>19-42-02-20</v>
      </c>
      <c r="AH311" s="13" t="str">
        <f>IF($C311="","",IFERROR(VLOOKUP($C311,גיליון1!$A:$E,5,0),"לא הגיש בקשה שוטפת"))</f>
        <v>מחול וארגוני גג</v>
      </c>
      <c r="AI311" s="13">
        <f t="shared" si="19"/>
        <v>0</v>
      </c>
      <c r="AJ311"/>
      <c r="AK311" t="s">
        <v>250</v>
      </c>
    </row>
    <row r="312" spans="1:37" ht="43.5" x14ac:dyDescent="0.25">
      <c r="A312" s="54">
        <f>'הזנה לתנאי סף'!B312</f>
        <v>282</v>
      </c>
      <c r="B312" s="266">
        <f>IF($F312="","",'הזנה לתנאי סף'!C312)</f>
        <v>1001348172</v>
      </c>
      <c r="C312" s="266">
        <f>IF($F312="","",'הזנה לתנאי סף'!D312)</f>
        <v>1001273649</v>
      </c>
      <c r="D312" s="266">
        <f>IF($F312="","",'הזנה לתנאי סף'!E312)</f>
        <v>40000564</v>
      </c>
      <c r="E312" s="55">
        <f>IF($F312="","",'הזנה לתנאי סף'!F312)</f>
        <v>20000201</v>
      </c>
      <c r="F312" s="55" t="str">
        <f>IF('הזנה לתנאי סף'!BL312=1,'הזנה לתנאי סף'!G312,"")</f>
        <v>תל אביב -יפו</v>
      </c>
      <c r="G312" s="55" t="str">
        <f>IF($F312="","",'הזנה לתנאי סף'!H312)</f>
        <v>עמותת הכוריאוגרפים (ע"ר)</v>
      </c>
      <c r="H312" s="55" t="str">
        <f>IF($F312="","",'הזנה לתנאי סף'!I312)</f>
        <v>יוצרים עצמאיים במחול</v>
      </c>
      <c r="I312" s="187">
        <f>IF($F312="","",'הזנה לתנאי סף'!R312)</f>
        <v>176970</v>
      </c>
      <c r="J312" s="187">
        <f>IF($F312="","",'תחום תמיכה א'!P312)</f>
        <v>142848</v>
      </c>
      <c r="K312" s="177">
        <f>IF($F312="","",'הזנה לתנאי סף'!N312)</f>
        <v>0</v>
      </c>
      <c r="L312" s="177">
        <f>IF($F312="","",'הזנה לתנאי סף'!O312)</f>
        <v>1</v>
      </c>
      <c r="M312" s="177">
        <f>IF($F312="","",'הזנה לתנאי סף'!Q312)</f>
        <v>1</v>
      </c>
      <c r="N312" s="187">
        <f>IF($F312="","",'תחום תמיכה א'!AE312)</f>
        <v>4276.900644249532</v>
      </c>
      <c r="O312" s="178"/>
      <c r="P312" s="187">
        <f>IF($F312="","",'תחום תמיכה ב'!AC312)</f>
        <v>9048.3019191915555</v>
      </c>
      <c r="Q312" s="187">
        <f>IF($F312="","",IF('תחום תמיכה ג'!O312="",0,'תחום תמיכה ג'!O312))</f>
        <v>0</v>
      </c>
      <c r="R312" s="187">
        <f t="shared" si="16"/>
        <v>271.31380579433244</v>
      </c>
      <c r="S312" s="187">
        <f>IF($F312="","",'תחום תמיכה ב'!AE312)</f>
        <v>9319.6157249858879</v>
      </c>
      <c r="T312" s="187">
        <f>IF($F312="","",IF(Q312='תחום תמיכה ג'!$Q$2,'תחום תמיכה ג'!$Q$2,IFERROR(SUMIF(N312:R312,"&gt;0"),'תחום תמיכה ג'!$Q$2)))</f>
        <v>13596.51636923542</v>
      </c>
      <c r="U312" s="187">
        <f>IF($F312="","",'הזנה לתנאי סף'!Y312)</f>
        <v>150000</v>
      </c>
      <c r="V312" s="269">
        <f>IF(F312="","",'הגבלה לסכום מבוקש '!AA312)</f>
        <v>15148.127312746079</v>
      </c>
      <c r="W312" s="187">
        <f t="shared" si="17"/>
        <v>3787.0318281865198</v>
      </c>
      <c r="X312" s="187">
        <f>IF(F312="","",'הזנה לתנאי סף'!Z312)</f>
        <v>150000</v>
      </c>
      <c r="Y312" s="237" t="str">
        <f>IFERROR(VLOOKUP(G312*1,#REF!,3,0),"")</f>
        <v/>
      </c>
      <c r="Z312" s="187" t="str">
        <f>IF(OR($F312="",Y312=""),"",IFERROR(IF(Y312&gt;V312,MIN(Y312,T312)-V312,0),'תחום תמיכה ג'!$Q$2))</f>
        <v/>
      </c>
      <c r="AA312" s="259"/>
      <c r="AB312" s="260" t="str">
        <f t="shared" si="18"/>
        <v/>
      </c>
      <c r="AC312" s="262"/>
      <c r="AD312" s="180"/>
      <c r="AE312" s="13" t="str">
        <f>IF($C312="","",IFERROR(VLOOKUP($C312,גיליון1!$A:$E,2,0),"לא הגיש בקשה שוטפת"))</f>
        <v>תמיכה שוטפת יוצרת עצמאית נעה שדור</v>
      </c>
      <c r="AF312" s="13" t="str">
        <f>IF($C312="","",IFERROR(VLOOKUP($C312,גיליון1!$A:$E,3,0),"לא הגיש בקשה שוטפת"))</f>
        <v>חויב</v>
      </c>
      <c r="AG312" s="13" t="str">
        <f>IF($C312="","",IFERROR(VLOOKUP($C312,גיליון1!$A:$E,4,0),"לא הגיש בקשה שוטפת"))</f>
        <v>19-42-02-20</v>
      </c>
      <c r="AH312" s="13" t="str">
        <f>IF($C312="","",IFERROR(VLOOKUP($C312,גיליון1!$A:$E,5,0),"לא הגיש בקשה שוטפת"))</f>
        <v>מחול וארגוני גג</v>
      </c>
      <c r="AI312" s="13">
        <f t="shared" si="19"/>
        <v>0</v>
      </c>
      <c r="AJ312"/>
      <c r="AK312" t="s">
        <v>250</v>
      </c>
    </row>
    <row r="313" spans="1:37" ht="43.5" x14ac:dyDescent="0.25">
      <c r="A313" s="54">
        <f>'הזנה לתנאי סף'!B313</f>
        <v>283</v>
      </c>
      <c r="B313" s="266">
        <f>IF($F313="","",'הזנה לתנאי סף'!C313)</f>
        <v>1001348173</v>
      </c>
      <c r="C313" s="266">
        <f>IF($F313="","",'הזנה לתנאי סף'!D313)</f>
        <v>1001273634</v>
      </c>
      <c r="D313" s="266">
        <f>IF($F313="","",'הזנה לתנאי סף'!E313)</f>
        <v>40000564</v>
      </c>
      <c r="E313" s="55">
        <f>IF($F313="","",'הזנה לתנאי סף'!F313)</f>
        <v>20000201</v>
      </c>
      <c r="F313" s="55" t="str">
        <f>IF('הזנה לתנאי סף'!BL313=1,'הזנה לתנאי סף'!G313,"")</f>
        <v>תל אביב -יפו</v>
      </c>
      <c r="G313" s="55" t="str">
        <f>IF($F313="","",'הזנה לתנאי סף'!H313)</f>
        <v>עמותת הכוריאוגרפים (ע"ר)</v>
      </c>
      <c r="H313" s="55" t="str">
        <f>IF($F313="","",'הזנה לתנאי סף'!I313)</f>
        <v>יוצרים עצמאיים במחול</v>
      </c>
      <c r="I313" s="187">
        <f>IF($F313="","",'הזנה לתנאי סף'!R313)</f>
        <v>259656</v>
      </c>
      <c r="J313" s="187">
        <f>IF($F313="","",'תחום תמיכה א'!P313)</f>
        <v>230325</v>
      </c>
      <c r="K313" s="177">
        <f>IF($F313="","",'הזנה לתנאי סף'!N313)</f>
        <v>0</v>
      </c>
      <c r="L313" s="177">
        <f>IF($F313="","",'הזנה לתנאי סף'!O313)</f>
        <v>1</v>
      </c>
      <c r="M313" s="177">
        <f>IF($F313="","",'הזנה לתנאי סף'!Q313)</f>
        <v>1</v>
      </c>
      <c r="N313" s="187">
        <f>IF($F313="","",'תחום תמיכה א'!AE313)</f>
        <v>5587.0624149992427</v>
      </c>
      <c r="O313" s="178"/>
      <c r="P313" s="187">
        <f>IF($F313="","",'תחום תמיכה ב'!AC313)</f>
        <v>8714.464142788609</v>
      </c>
      <c r="Q313" s="187">
        <f>IF($F313="","",IF('תחום תמיכה ג'!O313="",0,'תחום תמיכה ג'!O313))</f>
        <v>0</v>
      </c>
      <c r="R313" s="187">
        <f t="shared" si="16"/>
        <v>261.30366262684038</v>
      </c>
      <c r="S313" s="187">
        <f>IF($F313="","",'תחום תמיכה ב'!AE313)</f>
        <v>8975.7678054154494</v>
      </c>
      <c r="T313" s="187">
        <f>IF($F313="","",IF(Q313='תחום תמיכה ג'!$Q$2,'תחום תמיכה ג'!$Q$2,IFERROR(SUMIF(N313:R313,"&gt;0"),'תחום תמיכה ג'!$Q$2)))</f>
        <v>14562.830220414693</v>
      </c>
      <c r="U313" s="187">
        <f>IF($F313="","",'הזנה לתנאי סף'!Y313)</f>
        <v>150000</v>
      </c>
      <c r="V313" s="269">
        <f>IF(F313="","",'הגבלה לסכום מבוקש '!AA313)</f>
        <v>16057.862762257748</v>
      </c>
      <c r="W313" s="187">
        <f t="shared" si="17"/>
        <v>4014.465690564437</v>
      </c>
      <c r="X313" s="187">
        <f>IF(F313="","",'הזנה לתנאי סף'!Z313)</f>
        <v>150000</v>
      </c>
      <c r="Y313" s="237" t="str">
        <f>IFERROR(VLOOKUP(G313*1,#REF!,3,0),"")</f>
        <v/>
      </c>
      <c r="Z313" s="187" t="str">
        <f>IF(OR($F313="",Y313=""),"",IFERROR(IF(Y313&gt;V313,MIN(Y313,T313)-V313,0),'תחום תמיכה ג'!$Q$2))</f>
        <v/>
      </c>
      <c r="AA313" s="259"/>
      <c r="AB313" s="260" t="str">
        <f t="shared" si="18"/>
        <v/>
      </c>
      <c r="AC313" s="262"/>
      <c r="AD313" s="180"/>
      <c r="AE313" s="13" t="str">
        <f>IF($C313="","",IFERROR(VLOOKUP($C313,גיליון1!$A:$E,2,0),"לא הגיש בקשה שוטפת"))</f>
        <v>תמיכה שוטפת יוצרת עצמאית נימה יעקבי</v>
      </c>
      <c r="AF313" s="13" t="str">
        <f>IF($C313="","",IFERROR(VLOOKUP($C313,גיליון1!$A:$E,3,0),"לא הגיש בקשה שוטפת"))</f>
        <v>חויב</v>
      </c>
      <c r="AG313" s="13" t="str">
        <f>IF($C313="","",IFERROR(VLOOKUP($C313,גיליון1!$A:$E,4,0),"לא הגיש בקשה שוטפת"))</f>
        <v>19-42-02-20</v>
      </c>
      <c r="AH313" s="13" t="str">
        <f>IF($C313="","",IFERROR(VLOOKUP($C313,גיליון1!$A:$E,5,0),"לא הגיש בקשה שוטפת"))</f>
        <v>מחול וארגוני גג</v>
      </c>
      <c r="AI313" s="13">
        <f t="shared" si="19"/>
        <v>0</v>
      </c>
      <c r="AJ313"/>
      <c r="AK313" t="s">
        <v>250</v>
      </c>
    </row>
    <row r="314" spans="1:37" ht="43.5" x14ac:dyDescent="0.25">
      <c r="A314" s="54">
        <f>'הזנה לתנאי סף'!B314</f>
        <v>284</v>
      </c>
      <c r="B314" s="266">
        <f>IF($F314="","",'הזנה לתנאי סף'!C314)</f>
        <v>1001348174</v>
      </c>
      <c r="C314" s="266">
        <f>IF($F314="","",'הזנה לתנאי סף'!D314)</f>
        <v>1001273636</v>
      </c>
      <c r="D314" s="266">
        <f>IF($F314="","",'הזנה לתנאי סף'!E314)</f>
        <v>40000564</v>
      </c>
      <c r="E314" s="55">
        <f>IF($F314="","",'הזנה לתנאי סף'!F314)</f>
        <v>20000201</v>
      </c>
      <c r="F314" s="55" t="str">
        <f>IF('הזנה לתנאי סף'!BL314=1,'הזנה לתנאי סף'!G314,"")</f>
        <v>תל אביב -יפו</v>
      </c>
      <c r="G314" s="55" t="str">
        <f>IF($F314="","",'הזנה לתנאי סף'!H314)</f>
        <v>עמותת הכוריאוגרפים (ע"ר)</v>
      </c>
      <c r="H314" s="55" t="str">
        <f>IF($F314="","",'הזנה לתנאי סף'!I314)</f>
        <v>יוצרים עצמאיים במחול</v>
      </c>
      <c r="I314" s="187">
        <f>IF($F314="","",'הזנה לתנאי סף'!R314)</f>
        <v>216192</v>
      </c>
      <c r="J314" s="187">
        <f>IF($F314="","",'תחום תמיכה א'!P314)</f>
        <v>213968</v>
      </c>
      <c r="K314" s="177">
        <f>IF($F314="","",'הזנה לתנאי סף'!N314)</f>
        <v>0</v>
      </c>
      <c r="L314" s="177">
        <f>IF($F314="","",'הזנה לתנאי סף'!O314)</f>
        <v>1</v>
      </c>
      <c r="M314" s="177">
        <f>IF($F314="","",'הזנה לתנאי סף'!Q314)</f>
        <v>1</v>
      </c>
      <c r="N314" s="187">
        <f>IF($F314="","",'תחום תמיכה א'!AE314)</f>
        <v>4034.6144795989085</v>
      </c>
      <c r="O314" s="178"/>
      <c r="P314" s="187">
        <f>IF($F314="","",'תחום תמיכה ב'!AC314)</f>
        <v>4384.3325585362118</v>
      </c>
      <c r="Q314" s="187">
        <f>IF($F314="","",IF('תחום תמיכה ג'!O314="",0,'תחום תמיכה ג'!O314))</f>
        <v>0</v>
      </c>
      <c r="R314" s="187">
        <f t="shared" si="16"/>
        <v>131.46444083629194</v>
      </c>
      <c r="S314" s="187">
        <f>IF($F314="","",'תחום תמיכה ב'!AE314)</f>
        <v>4515.7969993725037</v>
      </c>
      <c r="T314" s="187">
        <f>IF($F314="","",IF(Q314='תחום תמיכה ג'!$Q$2,'תחום תמיכה ג'!$Q$2,IFERROR(SUMIF(N314:R314,"&gt;0"),'תחום תמיכה ג'!$Q$2)))</f>
        <v>8550.4114789714113</v>
      </c>
      <c r="U314" s="187">
        <f>IF($F314="","",'הזנה לתנאי סף'!Y314)</f>
        <v>150000</v>
      </c>
      <c r="V314" s="269">
        <f>IF(F314="","",'הגבלה לסכום מבוקש '!AA314)</f>
        <v>9303.1342311733206</v>
      </c>
      <c r="W314" s="187">
        <f t="shared" si="17"/>
        <v>2325.7835577933301</v>
      </c>
      <c r="X314" s="187">
        <f>IF(F314="","",'הזנה לתנאי סף'!Z314)</f>
        <v>150000</v>
      </c>
      <c r="Y314" s="237" t="str">
        <f>IFERROR(VLOOKUP(G314*1,#REF!,3,0),"")</f>
        <v/>
      </c>
      <c r="Z314" s="187" t="str">
        <f>IF(OR($F314="",Y314=""),"",IFERROR(IF(Y314&gt;V314,MIN(Y314,T314)-V314,0),'תחום תמיכה ג'!$Q$2))</f>
        <v/>
      </c>
      <c r="AA314" s="259"/>
      <c r="AB314" s="260" t="str">
        <f t="shared" si="18"/>
        <v/>
      </c>
      <c r="AC314" s="262"/>
      <c r="AD314" s="180"/>
      <c r="AE314" s="13" t="str">
        <f>IF($C314="","",IFERROR(VLOOKUP($C314,גיליון1!$A:$E,2,0),"לא הגיש בקשה שוטפת"))</f>
        <v>תמיכה ביוצר עצמאי נמרוד פריד</v>
      </c>
      <c r="AF314" s="13" t="str">
        <f>IF($C314="","",IFERROR(VLOOKUP($C314,גיליון1!$A:$E,3,0),"לא הגיש בקשה שוטפת"))</f>
        <v>חויב</v>
      </c>
      <c r="AG314" s="13" t="str">
        <f>IF($C314="","",IFERROR(VLOOKUP($C314,גיליון1!$A:$E,4,0),"לא הגיש בקשה שוטפת"))</f>
        <v>19-42-02-20</v>
      </c>
      <c r="AH314" s="13" t="str">
        <f>IF($C314="","",IFERROR(VLOOKUP($C314,גיליון1!$A:$E,5,0),"לא הגיש בקשה שוטפת"))</f>
        <v>מחול וארגוני גג</v>
      </c>
      <c r="AI314" s="13">
        <f t="shared" si="19"/>
        <v>0</v>
      </c>
      <c r="AJ314"/>
      <c r="AK314" t="s">
        <v>250</v>
      </c>
    </row>
    <row r="315" spans="1:37" ht="43.5" x14ac:dyDescent="0.25">
      <c r="A315" s="54">
        <f>'הזנה לתנאי סף'!B315</f>
        <v>285</v>
      </c>
      <c r="B315" s="266">
        <f>IF($F315="","",'הזנה לתנאי סף'!C315)</f>
        <v>1001348175</v>
      </c>
      <c r="C315" s="266">
        <f>IF($F315="","",'הזנה לתנאי סף'!D315)</f>
        <v>1001273638</v>
      </c>
      <c r="D315" s="266">
        <f>IF($F315="","",'הזנה לתנאי סף'!E315)</f>
        <v>40000564</v>
      </c>
      <c r="E315" s="55">
        <f>IF($F315="","",'הזנה לתנאי סף'!F315)</f>
        <v>20000201</v>
      </c>
      <c r="F315" s="55" t="str">
        <f>IF('הזנה לתנאי סף'!BL315=1,'הזנה לתנאי סף'!G315,"")</f>
        <v>תל אביב -יפו</v>
      </c>
      <c r="G315" s="55" t="str">
        <f>IF($F315="","",'הזנה לתנאי סף'!H315)</f>
        <v>עמותת הכוריאוגרפים (ע"ר)</v>
      </c>
      <c r="H315" s="55" t="str">
        <f>IF($F315="","",'הזנה לתנאי סף'!I315)</f>
        <v>יוצרים עצמאיים במחול</v>
      </c>
      <c r="I315" s="187">
        <f>IF($F315="","",'הזנה לתנאי סף'!R315)</f>
        <v>389160</v>
      </c>
      <c r="J315" s="187">
        <f>IF($F315="","",'תחום תמיכה א'!P315)</f>
        <v>413701</v>
      </c>
      <c r="K315" s="177">
        <f>IF($F315="","",'הזנה לתנאי סף'!N315)</f>
        <v>0</v>
      </c>
      <c r="L315" s="177">
        <f>IF($F315="","",'הזנה לתנאי סף'!O315)</f>
        <v>1</v>
      </c>
      <c r="M315" s="177">
        <f>IF($F315="","",'הזנה לתנאי סף'!Q315)</f>
        <v>1</v>
      </c>
      <c r="N315" s="187">
        <f>IF($F315="","",'תחום תמיכה א'!AE315)</f>
        <v>10182.046013117768</v>
      </c>
      <c r="O315" s="178"/>
      <c r="P315" s="187">
        <f>IF($F315="","",'תחום תמיכה ב'!AC315)</f>
        <v>13445.674775566686</v>
      </c>
      <c r="Q315" s="187">
        <f>IF($F315="","",IF('תחום תמיכה ג'!O315="",0,'תחום תמיכה ג'!O315))</f>
        <v>0</v>
      </c>
      <c r="R315" s="187">
        <f t="shared" si="16"/>
        <v>403.16926064264226</v>
      </c>
      <c r="S315" s="187">
        <f>IF($F315="","",'תחום תמיכה ב'!AE315)</f>
        <v>13848.844036209328</v>
      </c>
      <c r="T315" s="187">
        <f>IF($F315="","",IF(Q315='תחום תמיכה ג'!$Q$2,'תחום תמיכה ג'!$Q$2,IFERROR(SUMIF(N315:R315,"&gt;0"),'תחום תמיכה ג'!$Q$2)))</f>
        <v>24030.890049327099</v>
      </c>
      <c r="U315" s="187">
        <f>IF($F315="","",'הזנה לתנאי סף'!Y315)</f>
        <v>150000</v>
      </c>
      <c r="V315" s="269">
        <f>IF(F315="","",'הגבלה לסכום מבוקש '!AA315)</f>
        <v>26338.30880259864</v>
      </c>
      <c r="W315" s="187">
        <f t="shared" si="17"/>
        <v>6584.57720064966</v>
      </c>
      <c r="X315" s="187">
        <f>IF(F315="","",'הזנה לתנאי סף'!Z315)</f>
        <v>150000</v>
      </c>
      <c r="Y315" s="237" t="str">
        <f>IFERROR(VLOOKUP(G315*1,#REF!,3,0),"")</f>
        <v/>
      </c>
      <c r="Z315" s="187" t="str">
        <f>IF(OR($F315="",Y315=""),"",IFERROR(IF(Y315&gt;V315,MIN(Y315,T315)-V315,0),'תחום תמיכה ג'!$Q$2))</f>
        <v/>
      </c>
      <c r="AA315" s="259"/>
      <c r="AB315" s="260" t="str">
        <f t="shared" si="18"/>
        <v/>
      </c>
      <c r="AC315" s="262"/>
      <c r="AD315" s="180"/>
      <c r="AE315" s="13" t="str">
        <f>IF($C315="","",IFERROR(VLOOKUP($C315,גיליון1!$A:$E,2,0),"לא הגיש בקשה שוטפת"))</f>
        <v>תמיכה שוטפת יוצרת עצמאית נעה דר</v>
      </c>
      <c r="AF315" s="13" t="str">
        <f>IF($C315="","",IFERROR(VLOOKUP($C315,גיליון1!$A:$E,3,0),"לא הגיש בקשה שוטפת"))</f>
        <v>חויב</v>
      </c>
      <c r="AG315" s="13" t="str">
        <f>IF($C315="","",IFERROR(VLOOKUP($C315,גיליון1!$A:$E,4,0),"לא הגיש בקשה שוטפת"))</f>
        <v>19-42-02-20</v>
      </c>
      <c r="AH315" s="13" t="str">
        <f>IF($C315="","",IFERROR(VLOOKUP($C315,גיליון1!$A:$E,5,0),"לא הגיש בקשה שוטפת"))</f>
        <v>מחול וארגוני גג</v>
      </c>
      <c r="AI315" s="13">
        <f t="shared" si="19"/>
        <v>0</v>
      </c>
      <c r="AJ315"/>
      <c r="AK315" t="s">
        <v>250</v>
      </c>
    </row>
    <row r="316" spans="1:37" ht="43.5" x14ac:dyDescent="0.25">
      <c r="A316" s="54">
        <f>'הזנה לתנאי סף'!B316</f>
        <v>286</v>
      </c>
      <c r="B316" s="266">
        <f>IF($F316="","",'הזנה לתנאי סף'!C316)</f>
        <v>1001348176</v>
      </c>
      <c r="C316" s="266">
        <f>IF($F316="","",'הזנה לתנאי סף'!D316)</f>
        <v>1001273641</v>
      </c>
      <c r="D316" s="266">
        <f>IF($F316="","",'הזנה לתנאי סף'!E316)</f>
        <v>40000564</v>
      </c>
      <c r="E316" s="55">
        <f>IF($F316="","",'הזנה לתנאי סף'!F316)</f>
        <v>20000201</v>
      </c>
      <c r="F316" s="55" t="str">
        <f>IF('הזנה לתנאי סף'!BL316=1,'הזנה לתנאי סף'!G316,"")</f>
        <v>תל אביב -יפו</v>
      </c>
      <c r="G316" s="55" t="str">
        <f>IF($F316="","",'הזנה לתנאי סף'!H316)</f>
        <v>עמותת הכוריאוגרפים (ע"ר)</v>
      </c>
      <c r="H316" s="55" t="str">
        <f>IF($F316="","",'הזנה לתנאי סף'!I316)</f>
        <v>יוצרים עצמאיים במחול</v>
      </c>
      <c r="I316" s="187">
        <f>IF($F316="","",'הזנה לתנאי סף'!R316)</f>
        <v>277847</v>
      </c>
      <c r="J316" s="187">
        <f>IF($F316="","",'תחום תמיכה א'!P316)</f>
        <v>246902</v>
      </c>
      <c r="K316" s="177">
        <f>IF($F316="","",'הזנה לתנאי סף'!N316)</f>
        <v>0</v>
      </c>
      <c r="L316" s="177">
        <f>IF($F316="","",'הזנה לתנאי סף'!O316)</f>
        <v>1</v>
      </c>
      <c r="M316" s="177">
        <f>IF($F316="","",'הזנה לתנאי סף'!Q316)</f>
        <v>1</v>
      </c>
      <c r="N316" s="187">
        <f>IF($F316="","",'תחום תמיכה א'!AE316)</f>
        <v>8720.8517573660101</v>
      </c>
      <c r="O316" s="178"/>
      <c r="P316" s="187">
        <f>IF($F316="","",'תחום תמיכה ב'!AC316)</f>
        <v>19771.141428970335</v>
      </c>
      <c r="Q316" s="187">
        <f>IF($F316="","",IF('תחום תמיכה ג'!O316="",0,'תחום תמיכה ג'!O316))</f>
        <v>0</v>
      </c>
      <c r="R316" s="187">
        <f t="shared" si="16"/>
        <v>592.83870873212436</v>
      </c>
      <c r="S316" s="187">
        <f>IF($F316="","",'תחום תמיכה ב'!AE316)</f>
        <v>20363.98013770246</v>
      </c>
      <c r="T316" s="187">
        <f>IF($F316="","",IF(Q316='תחום תמיכה ג'!$Q$2,'תחום תמיכה ג'!$Q$2,IFERROR(SUMIF(N316:R316,"&gt;0"),'תחום תמיכה ג'!$Q$2)))</f>
        <v>29084.83189506847</v>
      </c>
      <c r="U316" s="187">
        <f>IF($F316="","",'הזנה לתנאי סף'!Y316)</f>
        <v>150000</v>
      </c>
      <c r="V316" s="269">
        <f>IF(F316="","",'הגבלה לסכום מבוקש '!AA316)</f>
        <v>32474.920659397456</v>
      </c>
      <c r="W316" s="187">
        <f t="shared" si="17"/>
        <v>8118.730164849364</v>
      </c>
      <c r="X316" s="187">
        <f>IF(F316="","",'הזנה לתנאי סף'!Z316)</f>
        <v>150000</v>
      </c>
      <c r="Y316" s="237" t="str">
        <f>IFERROR(VLOOKUP(G316*1,#REF!,3,0),"")</f>
        <v/>
      </c>
      <c r="Z316" s="187" t="str">
        <f>IF(OR($F316="",Y316=""),"",IFERROR(IF(Y316&gt;V316,MIN(Y316,T316)-V316,0),'תחום תמיכה ג'!$Q$2))</f>
        <v/>
      </c>
      <c r="AA316" s="259"/>
      <c r="AB316" s="260" t="str">
        <f t="shared" si="18"/>
        <v/>
      </c>
      <c r="AC316" s="262"/>
      <c r="AD316" s="180"/>
      <c r="AE316" s="13" t="str">
        <f>IF($C316="","",IFERROR(VLOOKUP($C316,גיליון1!$A:$E,2,0),"לא הגיש בקשה שוטפת"))</f>
        <v>תמיכה שוטפת יוצרת עצמאית נעה צוק</v>
      </c>
      <c r="AF316" s="13" t="str">
        <f>IF($C316="","",IFERROR(VLOOKUP($C316,גיליון1!$A:$E,3,0),"לא הגיש בקשה שוטפת"))</f>
        <v>חויב</v>
      </c>
      <c r="AG316" s="13" t="str">
        <f>IF($C316="","",IFERROR(VLOOKUP($C316,גיליון1!$A:$E,4,0),"לא הגיש בקשה שוטפת"))</f>
        <v>19-42-02-20</v>
      </c>
      <c r="AH316" s="13" t="str">
        <f>IF($C316="","",IFERROR(VLOOKUP($C316,גיליון1!$A:$E,5,0),"לא הגיש בקשה שוטפת"))</f>
        <v>מחול וארגוני גג</v>
      </c>
      <c r="AI316" s="13">
        <f t="shared" si="19"/>
        <v>0</v>
      </c>
      <c r="AJ316"/>
      <c r="AK316" t="s">
        <v>250</v>
      </c>
    </row>
    <row r="317" spans="1:37" ht="43.5" x14ac:dyDescent="0.25">
      <c r="A317" s="54">
        <f>'הזנה לתנאי סף'!B317</f>
        <v>287</v>
      </c>
      <c r="B317" s="266">
        <f>IF($F317="","",'הזנה לתנאי סף'!C317)</f>
        <v>1001348177</v>
      </c>
      <c r="C317" s="266">
        <f>IF($F317="","",'הזנה לתנאי סף'!D317)</f>
        <v>1001273591</v>
      </c>
      <c r="D317" s="266">
        <f>IF($F317="","",'הזנה לתנאי סף'!E317)</f>
        <v>40000564</v>
      </c>
      <c r="E317" s="55">
        <f>IF($F317="","",'הזנה לתנאי סף'!F317)</f>
        <v>20000201</v>
      </c>
      <c r="F317" s="55" t="str">
        <f>IF('הזנה לתנאי סף'!BL317=1,'הזנה לתנאי סף'!G317,"")</f>
        <v>תל אביב -יפו</v>
      </c>
      <c r="G317" s="55" t="str">
        <f>IF($F317="","",'הזנה לתנאי סף'!H317)</f>
        <v>עמותת הכוריאוגרפים (ע"ר)</v>
      </c>
      <c r="H317" s="55" t="str">
        <f>IF($F317="","",'הזנה לתנאי סף'!I317)</f>
        <v>יוצרים עצמאיים במחול</v>
      </c>
      <c r="I317" s="187">
        <f>IF($F317="","",'הזנה לתנאי סף'!R317)</f>
        <v>78897</v>
      </c>
      <c r="J317" s="187">
        <f>IF($F317="","",'תחום תמיכה א'!P317)</f>
        <v>61914</v>
      </c>
      <c r="K317" s="177">
        <f>IF($F317="","",'הזנה לתנאי סף'!N317)</f>
        <v>0</v>
      </c>
      <c r="L317" s="177">
        <f>IF($F317="","",'הזנה לתנאי סף'!O317)</f>
        <v>1</v>
      </c>
      <c r="M317" s="177">
        <f>IF($F317="","",'הזנה לתנאי סף'!Q317)</f>
        <v>1</v>
      </c>
      <c r="N317" s="187">
        <f>IF($F317="","",'תחום תמיכה א'!AE317)</f>
        <v>2386.0545601156523</v>
      </c>
      <c r="O317" s="178"/>
      <c r="P317" s="187">
        <f>IF($F317="","",'תחום תמיכה ב'!AC317)</f>
        <v>6683.4536835873569</v>
      </c>
      <c r="Q317" s="187">
        <f>IF($F317="","",IF('תחום תמיכה ג'!O317="",0,'תחום תמיכה ג'!O317))</f>
        <v>0</v>
      </c>
      <c r="R317" s="187">
        <f t="shared" si="16"/>
        <v>200.40370789332064</v>
      </c>
      <c r="S317" s="187">
        <f>IF($F317="","",'תחום תמיכה ב'!AE317)</f>
        <v>6883.8573914806775</v>
      </c>
      <c r="T317" s="187">
        <f>IF($F317="","",IF(Q317='תחום תמיכה ג'!$Q$2,'תחום תמיכה ג'!$Q$2,IFERROR(SUMIF(N317:R317,"&gt;0"),'תחום תמיכה ג'!$Q$2)))</f>
        <v>9269.9119515963284</v>
      </c>
      <c r="U317" s="187">
        <f>IF($F317="","",'הזנה לתנאי סף'!Y317)</f>
        <v>150000</v>
      </c>
      <c r="V317" s="269">
        <f>IF(F317="","",'הגבלה לסכום מבוקש '!AA317)</f>
        <v>10415.644607880011</v>
      </c>
      <c r="W317" s="187">
        <f t="shared" si="17"/>
        <v>2603.9111519700027</v>
      </c>
      <c r="X317" s="187">
        <f>IF(F317="","",'הזנה לתנאי סף'!Z317)</f>
        <v>150000</v>
      </c>
      <c r="Y317" s="237" t="str">
        <f>IFERROR(VLOOKUP(G317*1,#REF!,3,0),"")</f>
        <v/>
      </c>
      <c r="Z317" s="187" t="str">
        <f>IF(OR($F317="",Y317=""),"",IFERROR(IF(Y317&gt;V317,MIN(Y317,T317)-V317,0),'תחום תמיכה ג'!$Q$2))</f>
        <v/>
      </c>
      <c r="AA317" s="259"/>
      <c r="AB317" s="260" t="str">
        <f t="shared" si="18"/>
        <v/>
      </c>
      <c r="AC317" s="262"/>
      <c r="AD317" s="180"/>
      <c r="AE317" s="13" t="str">
        <f>IF($C317="","",IFERROR(VLOOKUP($C317,גיליון1!$A:$E,2,0),"לא הגיש בקשה שוטפת"))</f>
        <v>תמיכה שוטפת יוצרת עצמאית מאיה מכלל גלפנד</v>
      </c>
      <c r="AF317" s="13" t="str">
        <f>IF($C317="","",IFERROR(VLOOKUP($C317,גיליון1!$A:$E,3,0),"לא הגיש בקשה שוטפת"))</f>
        <v>חויב</v>
      </c>
      <c r="AG317" s="13" t="str">
        <f>IF($C317="","",IFERROR(VLOOKUP($C317,גיליון1!$A:$E,4,0),"לא הגיש בקשה שוטפת"))</f>
        <v>19-42-02-20</v>
      </c>
      <c r="AH317" s="13" t="str">
        <f>IF($C317="","",IFERROR(VLOOKUP($C317,גיליון1!$A:$E,5,0),"לא הגיש בקשה שוטפת"))</f>
        <v>מחול וארגוני גג</v>
      </c>
      <c r="AI317" s="13">
        <f t="shared" si="19"/>
        <v>0</v>
      </c>
      <c r="AJ317"/>
      <c r="AK317" t="s">
        <v>250</v>
      </c>
    </row>
    <row r="318" spans="1:37" ht="43.5" x14ac:dyDescent="0.25">
      <c r="A318" s="54">
        <f>'הזנה לתנאי סף'!B318</f>
        <v>288</v>
      </c>
      <c r="B318" s="266">
        <f>IF($F318="","",'הזנה לתנאי סף'!C318)</f>
        <v>1001348178</v>
      </c>
      <c r="C318" s="266">
        <f>IF($F318="","",'הזנה לתנאי סף'!D318)</f>
        <v>1001273593</v>
      </c>
      <c r="D318" s="266">
        <f>IF($F318="","",'הזנה לתנאי סף'!E318)</f>
        <v>40000564</v>
      </c>
      <c r="E318" s="55">
        <f>IF($F318="","",'הזנה לתנאי סף'!F318)</f>
        <v>20000201</v>
      </c>
      <c r="F318" s="55" t="str">
        <f>IF('הזנה לתנאי סף'!BL318=1,'הזנה לתנאי סף'!G318,"")</f>
        <v>תל אביב -יפו</v>
      </c>
      <c r="G318" s="55" t="str">
        <f>IF($F318="","",'הזנה לתנאי סף'!H318)</f>
        <v>עמותת הכוריאוגרפים (ע"ר)</v>
      </c>
      <c r="H318" s="55" t="str">
        <f>IF($F318="","",'הזנה לתנאי סף'!I318)</f>
        <v>יוצרים עצמאיים במחול</v>
      </c>
      <c r="I318" s="187">
        <f>IF($F318="","",'הזנה לתנאי סף'!R318)</f>
        <v>262991</v>
      </c>
      <c r="J318" s="187">
        <f>IF($F318="","",'תחום תמיכה א'!P318)</f>
        <v>262231</v>
      </c>
      <c r="K318" s="177">
        <f>IF($F318="","",'הזנה לתנאי סף'!N318)</f>
        <v>0</v>
      </c>
      <c r="L318" s="177">
        <f>IF($F318="","",'הזנה לתנאי סף'!O318)</f>
        <v>1</v>
      </c>
      <c r="M318" s="177">
        <f>IF($F318="","",'הזנה לתנאי סף'!Q318)</f>
        <v>1</v>
      </c>
      <c r="N318" s="187">
        <f>IF($F318="","",'תחום תמיכה א'!AE318)</f>
        <v>8488.7380905913014</v>
      </c>
      <c r="O318" s="178"/>
      <c r="P318" s="187">
        <f>IF($F318="","",'תחום תמיכה ב'!AC318)</f>
        <v>15718.696584670162</v>
      </c>
      <c r="Q318" s="187">
        <f>IF($F318="","",IF('תחום תמיכה ג'!O318="",0,'תחום תמיכה ג'!O318))</f>
        <v>0</v>
      </c>
      <c r="R318" s="187">
        <f t="shared" si="16"/>
        <v>471.3259383473669</v>
      </c>
      <c r="S318" s="187">
        <f>IF($F318="","",'תחום תמיכה ב'!AE318)</f>
        <v>16190.022523017529</v>
      </c>
      <c r="T318" s="187">
        <f>IF($F318="","",IF(Q318='תחום תמיכה ג'!$Q$2,'תחום תמיכה ג'!$Q$2,IFERROR(SUMIF(N318:R318,"&gt;0"),'תחום תמיכה ג'!$Q$2)))</f>
        <v>24678.760613608833</v>
      </c>
      <c r="U318" s="187">
        <f>IF($F318="","",'הזנה לתנאי סף'!Y318)</f>
        <v>150000</v>
      </c>
      <c r="V318" s="269">
        <f>IF(F318="","",'הגבלה לסכום מבוקש '!AA318)</f>
        <v>27374.698978988559</v>
      </c>
      <c r="W318" s="187">
        <f t="shared" si="17"/>
        <v>6843.6747447471398</v>
      </c>
      <c r="X318" s="187">
        <f>IF(F318="","",'הזנה לתנאי סף'!Z318)</f>
        <v>150000</v>
      </c>
      <c r="Y318" s="237" t="str">
        <f>IFERROR(VLOOKUP(G318*1,#REF!,3,0),"")</f>
        <v/>
      </c>
      <c r="Z318" s="187" t="str">
        <f>IF(OR($F318="",Y318=""),"",IFERROR(IF(Y318&gt;V318,MIN(Y318,T318)-V318,0),'תחום תמיכה ג'!$Q$2))</f>
        <v/>
      </c>
      <c r="AA318" s="259"/>
      <c r="AB318" s="260" t="str">
        <f t="shared" si="18"/>
        <v/>
      </c>
      <c r="AC318" s="262"/>
      <c r="AD318" s="180"/>
      <c r="AE318" s="13" t="str">
        <f>IF($C318="","",IFERROR(VLOOKUP($C318,גיליון1!$A:$E,2,0),"לא הגיש בקשה שוטפת"))</f>
        <v>תמיכה שוטפת יוצרת עצמאית מיכל הרמן</v>
      </c>
      <c r="AF318" s="13" t="str">
        <f>IF($C318="","",IFERROR(VLOOKUP($C318,גיליון1!$A:$E,3,0),"לא הגיש בקשה שוטפת"))</f>
        <v>חויב</v>
      </c>
      <c r="AG318" s="13" t="str">
        <f>IF($C318="","",IFERROR(VLOOKUP($C318,גיליון1!$A:$E,4,0),"לא הגיש בקשה שוטפת"))</f>
        <v>19-42-02-20</v>
      </c>
      <c r="AH318" s="13" t="str">
        <f>IF($C318="","",IFERROR(VLOOKUP($C318,גיליון1!$A:$E,5,0),"לא הגיש בקשה שוטפת"))</f>
        <v>מחול וארגוני גג</v>
      </c>
      <c r="AI318" s="13">
        <f t="shared" si="19"/>
        <v>0</v>
      </c>
      <c r="AJ318"/>
      <c r="AK318" t="s">
        <v>250</v>
      </c>
    </row>
    <row r="319" spans="1:37" ht="43.5" x14ac:dyDescent="0.25">
      <c r="A319" s="54">
        <f>'הזנה לתנאי סף'!B319</f>
        <v>289</v>
      </c>
      <c r="B319" s="266">
        <f>IF($F319="","",'הזנה לתנאי סף'!C319)</f>
        <v>1001348197</v>
      </c>
      <c r="C319" s="266">
        <f>IF($F319="","",'הזנה לתנאי סף'!D319)</f>
        <v>1001273523</v>
      </c>
      <c r="D319" s="266">
        <f>IF($F319="","",'הזנה לתנאי סף'!E319)</f>
        <v>40000564</v>
      </c>
      <c r="E319" s="55">
        <f>IF($F319="","",'הזנה לתנאי סף'!F319)</f>
        <v>20000201</v>
      </c>
      <c r="F319" s="55" t="str">
        <f>IF('הזנה לתנאי סף'!BL319=1,'הזנה לתנאי סף'!G319,"")</f>
        <v>תל אביב -יפו</v>
      </c>
      <c r="G319" s="55" t="str">
        <f>IF($F319="","",'הזנה לתנאי סף'!H319)</f>
        <v>עמותת הכוריאוגרפים (ע"ר)</v>
      </c>
      <c r="H319" s="55" t="str">
        <f>IF($F319="","",'הזנה לתנאי סף'!I319)</f>
        <v>יוצרים עצמאיים במחול</v>
      </c>
      <c r="I319" s="187">
        <f>IF($F319="","",'הזנה לתנאי סף'!R319)</f>
        <v>273746</v>
      </c>
      <c r="J319" s="187">
        <f>IF($F319="","",'תחום תמיכה א'!P319)</f>
        <v>258183</v>
      </c>
      <c r="K319" s="177">
        <f>IF($F319="","",'הזנה לתנאי סף'!N319)</f>
        <v>0</v>
      </c>
      <c r="L319" s="177">
        <f>IF($F319="","",'הזנה לתנאי סף'!O319)</f>
        <v>1</v>
      </c>
      <c r="M319" s="177">
        <f>IF($F319="","",'הזנה לתנאי סף'!Q319)</f>
        <v>1</v>
      </c>
      <c r="N319" s="187">
        <f>IF($F319="","",'תחום תמיכה א'!AE319)</f>
        <v>11248.696135660595</v>
      </c>
      <c r="O319" s="178"/>
      <c r="P319" s="187">
        <f>IF($F319="","",'תחום תמיכה ב'!AC319)</f>
        <v>29638.369291867457</v>
      </c>
      <c r="Q319" s="187">
        <f>IF($F319="","",IF('תחום תמיכה ג'!O319="",0,'תחום תמיכה ג'!O319))</f>
        <v>0</v>
      </c>
      <c r="R319" s="187">
        <f t="shared" si="16"/>
        <v>888.70805173496046</v>
      </c>
      <c r="S319" s="187">
        <f>IF($F319="","",'תחום תמיכה ב'!AE319)</f>
        <v>30527.077343602417</v>
      </c>
      <c r="T319" s="187">
        <f>IF($F319="","",IF(Q319='תחום תמיכה ג'!$Q$2,'תחום תמיכה ג'!$Q$2,IFERROR(SUMIF(N319:R319,"&gt;0"),'תחום תמיכה ג'!$Q$2)))</f>
        <v>41775.773479263014</v>
      </c>
      <c r="U319" s="187">
        <f>IF($F319="","",'הזנה לתנאי סף'!Y319)</f>
        <v>150000</v>
      </c>
      <c r="V319" s="269">
        <f>IF(F319="","",'הגבלה לסכום מבוקש '!AA319)</f>
        <v>46856.930702096644</v>
      </c>
      <c r="W319" s="187">
        <f t="shared" si="17"/>
        <v>11714.232675524161</v>
      </c>
      <c r="X319" s="187">
        <f>IF(F319="","",'הזנה לתנאי סף'!Z319)</f>
        <v>150000</v>
      </c>
      <c r="Y319" s="237" t="str">
        <f>IFERROR(VLOOKUP(G319*1,#REF!,3,0),"")</f>
        <v/>
      </c>
      <c r="Z319" s="187" t="str">
        <f>IF(OR($F319="",Y319=""),"",IFERROR(IF(Y319&gt;V319,MIN(Y319,T319)-V319,0),'תחום תמיכה ג'!$Q$2))</f>
        <v/>
      </c>
      <c r="AA319" s="259"/>
      <c r="AB319" s="260" t="str">
        <f t="shared" si="18"/>
        <v/>
      </c>
      <c r="AC319" s="262"/>
      <c r="AD319" s="180"/>
      <c r="AE319" s="13" t="str">
        <f>IF($C319="","",IFERROR(VLOOKUP($C319,גיליון1!$A:$E,2,0),"לא הגיש בקשה שוטפת"))</f>
        <v>תמיכה שוטפת יוצר עצמאי גיל קרר</v>
      </c>
      <c r="AF319" s="13" t="str">
        <f>IF($C319="","",IFERROR(VLOOKUP($C319,גיליון1!$A:$E,3,0),"לא הגיש בקשה שוטפת"))</f>
        <v>חויב</v>
      </c>
      <c r="AG319" s="13" t="str">
        <f>IF($C319="","",IFERROR(VLOOKUP($C319,גיליון1!$A:$E,4,0),"לא הגיש בקשה שוטפת"))</f>
        <v>19-42-02-20</v>
      </c>
      <c r="AH319" s="13" t="str">
        <f>IF($C319="","",IFERROR(VLOOKUP($C319,גיליון1!$A:$E,5,0),"לא הגיש בקשה שוטפת"))</f>
        <v>מחול וארגוני גג</v>
      </c>
      <c r="AI319" s="13">
        <f t="shared" si="19"/>
        <v>0</v>
      </c>
      <c r="AJ319"/>
      <c r="AK319" t="s">
        <v>250</v>
      </c>
    </row>
    <row r="320" spans="1:37" ht="43.5" x14ac:dyDescent="0.25">
      <c r="A320" s="54">
        <f>'הזנה לתנאי סף'!B320</f>
        <v>290</v>
      </c>
      <c r="B320" s="266">
        <f>IF($F320="","",'הזנה לתנאי סף'!C320)</f>
        <v>1001348198</v>
      </c>
      <c r="C320" s="266">
        <f>IF($F320="","",'הזנה לתנאי סף'!D320)</f>
        <v>1001273524</v>
      </c>
      <c r="D320" s="266">
        <f>IF($F320="","",'הזנה לתנאי סף'!E320)</f>
        <v>40000564</v>
      </c>
      <c r="E320" s="55">
        <f>IF($F320="","",'הזנה לתנאי סף'!F320)</f>
        <v>20000201</v>
      </c>
      <c r="F320" s="55" t="str">
        <f>IF('הזנה לתנאי סף'!BL320=1,'הזנה לתנאי סף'!G320,"")</f>
        <v>תל אביב -יפו</v>
      </c>
      <c r="G320" s="55" t="str">
        <f>IF($F320="","",'הזנה לתנאי סף'!H320)</f>
        <v>עמותת הכוריאוגרפים (ע"ר)</v>
      </c>
      <c r="H320" s="55" t="str">
        <f>IF($F320="","",'הזנה לתנאי סף'!I320)</f>
        <v>יוצרים עצמאיים במחול</v>
      </c>
      <c r="I320" s="187">
        <f>IF($F320="","",'הזנה לתנאי סף'!R320)</f>
        <v>224773</v>
      </c>
      <c r="J320" s="187">
        <f>IF($F320="","",'תחום תמיכה א'!P320)</f>
        <v>224816</v>
      </c>
      <c r="K320" s="177">
        <f>IF($F320="","",'הזנה לתנאי סף'!N320)</f>
        <v>0</v>
      </c>
      <c r="L320" s="177">
        <f>IF($F320="","",'הזנה לתנאי סף'!O320)</f>
        <v>1</v>
      </c>
      <c r="M320" s="177">
        <f>IF($F320="","",'הזנה לתנאי סף'!Q320)</f>
        <v>1</v>
      </c>
      <c r="N320" s="187">
        <f>IF($F320="","",'תחום תמיכה א'!AE320)</f>
        <v>8377.5706833858731</v>
      </c>
      <c r="O320" s="178"/>
      <c r="P320" s="187">
        <f>IF($F320="","",'תחום תמיכה ב'!AC320)</f>
        <v>17802.596519832485</v>
      </c>
      <c r="Q320" s="187">
        <f>IF($F320="","",IF('תחום תמיכה ג'!O320="",0,'תחום תמיכה ג'!O320))</f>
        <v>0</v>
      </c>
      <c r="R320" s="187">
        <f t="shared" si="16"/>
        <v>533.81178678090146</v>
      </c>
      <c r="S320" s="187">
        <f>IF($F320="","",'תחום תמיכה ב'!AE320)</f>
        <v>18336.408306613386</v>
      </c>
      <c r="T320" s="187">
        <f>IF($F320="","",IF(Q320='תחום תמיכה ג'!$Q$2,'תחום תמיכה ג'!$Q$2,IFERROR(SUMIF(N320:R320,"&gt;0"),'תחום תמיכה ג'!$Q$2)))</f>
        <v>26713.978989999257</v>
      </c>
      <c r="U320" s="187">
        <f>IF($F320="","",'הזנה לתנאי סף'!Y320)</f>
        <v>150000</v>
      </c>
      <c r="V320" s="269">
        <f>IF(F320="","",'הגבלה לסכום מבוקש '!AA320)</f>
        <v>29766.767271993671</v>
      </c>
      <c r="W320" s="187">
        <f t="shared" si="17"/>
        <v>7441.6918179984177</v>
      </c>
      <c r="X320" s="187">
        <f>IF(F320="","",'הזנה לתנאי סף'!Z320)</f>
        <v>150000</v>
      </c>
      <c r="Y320" s="237" t="str">
        <f>IFERROR(VLOOKUP(G320*1,#REF!,3,0),"")</f>
        <v/>
      </c>
      <c r="Z320" s="187" t="str">
        <f>IF(OR($F320="",Y320=""),"",IFERROR(IF(Y320&gt;V320,MIN(Y320,T320)-V320,0),'תחום תמיכה ג'!$Q$2))</f>
        <v/>
      </c>
      <c r="AA320" s="259"/>
      <c r="AB320" s="260" t="str">
        <f t="shared" si="18"/>
        <v/>
      </c>
      <c r="AC320" s="262"/>
      <c r="AD320" s="180"/>
      <c r="AE320" s="13" t="str">
        <f>IF($C320="","",IFERROR(VLOOKUP($C320,גיליון1!$A:$E,2,0),"לא הגיש בקשה שוטפת"))</f>
        <v>תמיכה שוטפת יוצר עצמאי דינה תלם</v>
      </c>
      <c r="AF320" s="13" t="str">
        <f>IF($C320="","",IFERROR(VLOOKUP($C320,גיליון1!$A:$E,3,0),"לא הגיש בקשה שוטפת"))</f>
        <v>חויב</v>
      </c>
      <c r="AG320" s="13" t="str">
        <f>IF($C320="","",IFERROR(VLOOKUP($C320,גיליון1!$A:$E,4,0),"לא הגיש בקשה שוטפת"))</f>
        <v>19-42-02-20</v>
      </c>
      <c r="AH320" s="13" t="str">
        <f>IF($C320="","",IFERROR(VLOOKUP($C320,גיליון1!$A:$E,5,0),"לא הגיש בקשה שוטפת"))</f>
        <v>מחול וארגוני גג</v>
      </c>
      <c r="AI320" s="13">
        <f t="shared" si="19"/>
        <v>0</v>
      </c>
      <c r="AJ320"/>
      <c r="AK320" t="s">
        <v>250</v>
      </c>
    </row>
    <row r="321" spans="1:37" ht="43.5" x14ac:dyDescent="0.25">
      <c r="A321" s="54">
        <f>'הזנה לתנאי סף'!B321</f>
        <v>291</v>
      </c>
      <c r="B321" s="266">
        <f>IF($F321="","",'הזנה לתנאי סף'!C321)</f>
        <v>1001348199</v>
      </c>
      <c r="C321" s="266">
        <f>IF($F321="","",'הזנה לתנאי סף'!D321)</f>
        <v>1001273525</v>
      </c>
      <c r="D321" s="266">
        <f>IF($F321="","",'הזנה לתנאי סף'!E321)</f>
        <v>40000564</v>
      </c>
      <c r="E321" s="55">
        <f>IF($F321="","",'הזנה לתנאי סף'!F321)</f>
        <v>20000201</v>
      </c>
      <c r="F321" s="55" t="str">
        <f>IF('הזנה לתנאי סף'!BL321=1,'הזנה לתנאי סף'!G321,"")</f>
        <v>תל אביב -יפו</v>
      </c>
      <c r="G321" s="55" t="str">
        <f>IF($F321="","",'הזנה לתנאי סף'!H321)</f>
        <v>עמותת הכוריאוגרפים (ע"ר)</v>
      </c>
      <c r="H321" s="55" t="str">
        <f>IF($F321="","",'הזנה לתנאי סף'!I321)</f>
        <v>יוצרים עצמאיים במחול</v>
      </c>
      <c r="I321" s="187">
        <f>IF($F321="","",'הזנה לתנאי סף'!R321)</f>
        <v>312296</v>
      </c>
      <c r="J321" s="187">
        <f>IF($F321="","",'תחום תמיכה א'!P321)</f>
        <v>280116</v>
      </c>
      <c r="K321" s="177">
        <f>IF($F321="","",'הזנה לתנאי סף'!N321)</f>
        <v>0</v>
      </c>
      <c r="L321" s="177">
        <f>IF($F321="","",'הזנה לתנאי סף'!O321)</f>
        <v>1</v>
      </c>
      <c r="M321" s="177">
        <f>IF($F321="","",'הזנה לתנאי סף'!Q321)</f>
        <v>1</v>
      </c>
      <c r="N321" s="187">
        <f>IF($F321="","",'תחום תמיכה א'!AE321)</f>
        <v>5982.209790630176</v>
      </c>
      <c r="O321" s="178"/>
      <c r="P321" s="187">
        <f>IF($F321="","",'תחום תמיכה ב'!AC321)</f>
        <v>8124.0260326395382</v>
      </c>
      <c r="Q321" s="187">
        <f>IF($F321="","",IF('תחום תמיכה ג'!O321="",0,'תחום תמיכה ג'!O321))</f>
        <v>0</v>
      </c>
      <c r="R321" s="187">
        <f t="shared" si="16"/>
        <v>243.59934504535158</v>
      </c>
      <c r="S321" s="187">
        <f>IF($F321="","",'תחום תמיכה ב'!AE321)</f>
        <v>8367.6253776848898</v>
      </c>
      <c r="T321" s="187">
        <f>IF($F321="","",IF(Q321='תחום תמיכה ג'!$Q$2,'תחום תמיכה ג'!$Q$2,IFERROR(SUMIF(N321:R321,"&gt;0"),'תחום תמיכה ג'!$Q$2)))</f>
        <v>14349.835168315067</v>
      </c>
      <c r="U321" s="187">
        <f>IF($F321="","",'הזנה לתנאי סף'!Y321)</f>
        <v>150000</v>
      </c>
      <c r="V321" s="269">
        <f>IF(F321="","",'הגבלה לסכום מבוקש '!AA321)</f>
        <v>15743.925848285047</v>
      </c>
      <c r="W321" s="187">
        <f t="shared" si="17"/>
        <v>3935.9814620712618</v>
      </c>
      <c r="X321" s="187">
        <f>IF(F321="","",'הזנה לתנאי סף'!Z321)</f>
        <v>150000</v>
      </c>
      <c r="Y321" s="237" t="str">
        <f>IFERROR(VLOOKUP(G321*1,#REF!,3,0),"")</f>
        <v/>
      </c>
      <c r="Z321" s="187" t="str">
        <f>IF(OR($F321="",Y321=""),"",IFERROR(IF(Y321&gt;V321,MIN(Y321,T321)-V321,0),'תחום תמיכה ג'!$Q$2))</f>
        <v/>
      </c>
      <c r="AA321" s="259"/>
      <c r="AB321" s="260" t="str">
        <f t="shared" si="18"/>
        <v/>
      </c>
      <c r="AC321" s="262"/>
      <c r="AD321" s="180"/>
      <c r="AE321" s="13" t="str">
        <f>IF($C321="","",IFERROR(VLOOKUP($C321,גיליון1!$A:$E,2,0),"לא הגיש בקשה שוטפת"))</f>
        <v>תמיכה שוטפת יוצרת עצמאית דנה יהלומי</v>
      </c>
      <c r="AF321" s="13" t="str">
        <f>IF($C321="","",IFERROR(VLOOKUP($C321,גיליון1!$A:$E,3,0),"לא הגיש בקשה שוטפת"))</f>
        <v>חויב</v>
      </c>
      <c r="AG321" s="13" t="str">
        <f>IF($C321="","",IFERROR(VLOOKUP($C321,גיליון1!$A:$E,4,0),"לא הגיש בקשה שוטפת"))</f>
        <v>19-42-02-20</v>
      </c>
      <c r="AH321" s="13" t="str">
        <f>IF($C321="","",IFERROR(VLOOKUP($C321,גיליון1!$A:$E,5,0),"לא הגיש בקשה שוטפת"))</f>
        <v>מחול וארגוני גג</v>
      </c>
      <c r="AI321" s="13">
        <f t="shared" si="19"/>
        <v>0</v>
      </c>
      <c r="AJ321"/>
      <c r="AK321" t="s">
        <v>250</v>
      </c>
    </row>
    <row r="322" spans="1:37" ht="43.5" x14ac:dyDescent="0.25">
      <c r="A322" s="54">
        <f>'הזנה לתנאי סף'!B322</f>
        <v>292</v>
      </c>
      <c r="B322" s="266">
        <f>IF($F322="","",'הזנה לתנאי סף'!C322)</f>
        <v>1001348210</v>
      </c>
      <c r="C322" s="266">
        <f>IF($F322="","",'הזנה לתנאי סף'!D322)</f>
        <v>1001273526</v>
      </c>
      <c r="D322" s="266">
        <f>IF($F322="","",'הזנה לתנאי סף'!E322)</f>
        <v>40000564</v>
      </c>
      <c r="E322" s="55">
        <f>IF($F322="","",'הזנה לתנאי סף'!F322)</f>
        <v>20000201</v>
      </c>
      <c r="F322" s="55" t="str">
        <f>IF('הזנה לתנאי סף'!BL322=1,'הזנה לתנאי סף'!G322,"")</f>
        <v>תל אביב -יפו</v>
      </c>
      <c r="G322" s="55" t="str">
        <f>IF($F322="","",'הזנה לתנאי סף'!H322)</f>
        <v>עמותת הכוריאוגרפים (ע"ר)</v>
      </c>
      <c r="H322" s="55" t="str">
        <f>IF($F322="","",'הזנה לתנאי סף'!I322)</f>
        <v>יוצרים עצמאיים במחול</v>
      </c>
      <c r="I322" s="187">
        <f>IF($F322="","",'הזנה לתנאי סף'!R322)</f>
        <v>258992</v>
      </c>
      <c r="J322" s="187">
        <f>IF($F322="","",'תחום תמיכה א'!P322)</f>
        <v>287896</v>
      </c>
      <c r="K322" s="177">
        <f>IF($F322="","",'הזנה לתנאי סף'!N322)</f>
        <v>0</v>
      </c>
      <c r="L322" s="177">
        <f>IF($F322="","",'הזנה לתנאי סף'!O322)</f>
        <v>1</v>
      </c>
      <c r="M322" s="177">
        <f>IF($F322="","",'הזנה לתנאי סף'!Q322)</f>
        <v>1</v>
      </c>
      <c r="N322" s="187">
        <f>IF($F322="","",'תחום תמיכה א'!AE322)</f>
        <v>7646.5667689796428</v>
      </c>
      <c r="O322" s="178"/>
      <c r="P322" s="187">
        <f>IF($F322="","",'תחום תמיכה ב'!AC322)</f>
        <v>10420.90642517135</v>
      </c>
      <c r="Q322" s="187">
        <f>IF($F322="","",IF('תחום תמיכה ג'!O322="",0,'תחום תמיכה ג'!O322))</f>
        <v>0</v>
      </c>
      <c r="R322" s="187">
        <f t="shared" si="16"/>
        <v>312.47142362071645</v>
      </c>
      <c r="S322" s="187">
        <f>IF($F322="","",'תחום תמיכה ב'!AE322)</f>
        <v>10733.377848792066</v>
      </c>
      <c r="T322" s="187">
        <f>IF($F322="","",IF(Q322='תחום תמיכה ג'!$Q$2,'תחום תמיכה ג'!$Q$2,IFERROR(SUMIF(N322:R322,"&gt;0"),'תחום תמיכה ג'!$Q$2)))</f>
        <v>18379.944617771711</v>
      </c>
      <c r="U322" s="187">
        <f>IF($F322="","",'הזנה לתנאי סף'!Y322)</f>
        <v>150000</v>
      </c>
      <c r="V322" s="269">
        <f>IF(F322="","",'הגבלה לסכום מבוקש '!AA322)</f>
        <v>20168.169899810502</v>
      </c>
      <c r="W322" s="187">
        <f t="shared" si="17"/>
        <v>5042.0424749526255</v>
      </c>
      <c r="X322" s="187">
        <f>IF(F322="","",'הזנה לתנאי סף'!Z322)</f>
        <v>150000</v>
      </c>
      <c r="Y322" s="237" t="str">
        <f>IFERROR(VLOOKUP(G322*1,#REF!,3,0),"")</f>
        <v/>
      </c>
      <c r="Z322" s="187" t="str">
        <f>IF(OR($F322="",Y322=""),"",IFERROR(IF(Y322&gt;V322,MIN(Y322,T322)-V322,0),'תחום תמיכה ג'!$Q$2))</f>
        <v/>
      </c>
      <c r="AA322" s="259"/>
      <c r="AB322" s="260" t="str">
        <f t="shared" si="18"/>
        <v/>
      </c>
      <c r="AC322" s="262"/>
      <c r="AD322" s="180"/>
      <c r="AE322" s="13" t="str">
        <f>IF($C322="","",IFERROR(VLOOKUP($C322,גיליון1!$A:$E,2,0),"לא הגיש בקשה שוטפת"))</f>
        <v>תמיכה שוטפת יוצרת עצמאית דנה רוטנברג</v>
      </c>
      <c r="AF322" s="13" t="str">
        <f>IF($C322="","",IFERROR(VLOOKUP($C322,גיליון1!$A:$E,3,0),"לא הגיש בקשה שוטפת"))</f>
        <v>חויב</v>
      </c>
      <c r="AG322" s="13" t="str">
        <f>IF($C322="","",IFERROR(VLOOKUP($C322,גיליון1!$A:$E,4,0),"לא הגיש בקשה שוטפת"))</f>
        <v>19-42-02-20</v>
      </c>
      <c r="AH322" s="13" t="str">
        <f>IF($C322="","",IFERROR(VLOOKUP($C322,גיליון1!$A:$E,5,0),"לא הגיש בקשה שוטפת"))</f>
        <v>מחול וארגוני גג</v>
      </c>
      <c r="AI322" s="13">
        <f t="shared" si="19"/>
        <v>0</v>
      </c>
      <c r="AJ322"/>
      <c r="AK322" t="s">
        <v>250</v>
      </c>
    </row>
    <row r="323" spans="1:37" ht="43.5" x14ac:dyDescent="0.25">
      <c r="A323" s="54">
        <f>'הזנה לתנאי סף'!B323</f>
        <v>293</v>
      </c>
      <c r="B323" s="266">
        <f>IF($F323="","",'הזנה לתנאי סף'!C323)</f>
        <v>1001348211</v>
      </c>
      <c r="C323" s="266">
        <f>IF($F323="","",'הזנה לתנאי סף'!D323)</f>
        <v>1001273529</v>
      </c>
      <c r="D323" s="266">
        <f>IF($F323="","",'הזנה לתנאי סף'!E323)</f>
        <v>40000564</v>
      </c>
      <c r="E323" s="55">
        <f>IF($F323="","",'הזנה לתנאי סף'!F323)</f>
        <v>20000201</v>
      </c>
      <c r="F323" s="55" t="str">
        <f>IF('הזנה לתנאי סף'!BL323=1,'הזנה לתנאי סף'!G323,"")</f>
        <v>תל אביב -יפו</v>
      </c>
      <c r="G323" s="55" t="str">
        <f>IF($F323="","",'הזנה לתנאי סף'!H323)</f>
        <v>עמותת הכוריאוגרפים (ע"ר)</v>
      </c>
      <c r="H323" s="55" t="str">
        <f>IF($F323="","",'הזנה לתנאי סף'!I323)</f>
        <v>יוצרים עצמאיים במחול</v>
      </c>
      <c r="I323" s="187">
        <f>IF($F323="","",'הזנה לתנאי סף'!R323)</f>
        <v>342156</v>
      </c>
      <c r="J323" s="187">
        <f>IF($F323="","",'תחום תמיכה א'!P323)</f>
        <v>349780</v>
      </c>
      <c r="K323" s="177">
        <f>IF($F323="","",'הזנה לתנאי סף'!N323)</f>
        <v>0</v>
      </c>
      <c r="L323" s="177">
        <f>IF($F323="","",'הזנה לתנאי סף'!O323)</f>
        <v>1</v>
      </c>
      <c r="M323" s="177">
        <f>IF($F323="","",'הזנה לתנאי סף'!Q323)</f>
        <v>1</v>
      </c>
      <c r="N323" s="187">
        <f>IF($F323="","",'תחום תמיכה א'!AE323)</f>
        <v>12285.778455737423</v>
      </c>
      <c r="O323" s="178"/>
      <c r="P323" s="187">
        <f>IF($F323="","",'תחום תמיכה ב'!AC323)</f>
        <v>24076.702740940305</v>
      </c>
      <c r="Q323" s="187">
        <f>IF($F323="","",IF('תחום תמיכה ג'!O323="",0,'תחום תמיכה ג'!O323))</f>
        <v>0</v>
      </c>
      <c r="R323" s="187">
        <f t="shared" si="16"/>
        <v>721.94118962456196</v>
      </c>
      <c r="S323" s="187">
        <f>IF($F323="","",'תחום תמיכה ב'!AE323)</f>
        <v>24798.643930564867</v>
      </c>
      <c r="T323" s="187">
        <f>IF($F323="","",IF(Q323='תחום תמיכה ג'!$Q$2,'תחום תמיכה ג'!$Q$2,IFERROR(SUMIF(N323:R323,"&gt;0"),'תחום תמיכה ג'!$Q$2)))</f>
        <v>37084.422386302293</v>
      </c>
      <c r="U323" s="187">
        <f>IF($F323="","",'הזנה לתנאי סף'!Y323)</f>
        <v>150000</v>
      </c>
      <c r="V323" s="269">
        <f>IF(F323="","",'הגבלה לסכום מבוקש '!AA323)</f>
        <v>41213.529230677254</v>
      </c>
      <c r="W323" s="187">
        <f t="shared" si="17"/>
        <v>10303.382307669313</v>
      </c>
      <c r="X323" s="187">
        <f>IF(F323="","",'הזנה לתנאי סף'!Z323)</f>
        <v>150000</v>
      </c>
      <c r="Y323" s="237" t="str">
        <f>IFERROR(VLOOKUP(G323*1,#REF!,3,0),"")</f>
        <v/>
      </c>
      <c r="Z323" s="187" t="str">
        <f>IF(OR($F323="",Y323=""),"",IFERROR(IF(Y323&gt;V323,MIN(Y323,T323)-V323,0),'תחום תמיכה ג'!$Q$2))</f>
        <v/>
      </c>
      <c r="AA323" s="259"/>
      <c r="AB323" s="260" t="str">
        <f t="shared" si="18"/>
        <v/>
      </c>
      <c r="AC323" s="262"/>
      <c r="AD323" s="180"/>
      <c r="AE323" s="13" t="str">
        <f>IF($C323="","",IFERROR(VLOOKUP($C323,גיליון1!$A:$E,2,0),"לא הגיש בקשה שוטפת"))</f>
        <v>תמיכה שוטפת יוצרת עצמאית דפי אלטבב</v>
      </c>
      <c r="AF323" s="13" t="str">
        <f>IF($C323="","",IFERROR(VLOOKUP($C323,גיליון1!$A:$E,3,0),"לא הגיש בקשה שוטפת"))</f>
        <v>חויב</v>
      </c>
      <c r="AG323" s="13" t="str">
        <f>IF($C323="","",IFERROR(VLOOKUP($C323,גיליון1!$A:$E,4,0),"לא הגיש בקשה שוטפת"))</f>
        <v>19-42-02-20</v>
      </c>
      <c r="AH323" s="13" t="str">
        <f>IF($C323="","",IFERROR(VLOOKUP($C323,גיליון1!$A:$E,5,0),"לא הגיש בקשה שוטפת"))</f>
        <v>מחול וארגוני גג</v>
      </c>
      <c r="AI323" s="13">
        <f t="shared" si="19"/>
        <v>0</v>
      </c>
      <c r="AJ323"/>
      <c r="AK323" t="s">
        <v>250</v>
      </c>
    </row>
    <row r="324" spans="1:37" ht="43.5" x14ac:dyDescent="0.25">
      <c r="A324" s="54">
        <f>'הזנה לתנאי סף'!B324</f>
        <v>294</v>
      </c>
      <c r="B324" s="266">
        <f>IF($F324="","",'הזנה לתנאי סף'!C324)</f>
        <v>1001348212</v>
      </c>
      <c r="C324" s="266">
        <f>IF($F324="","",'הזנה לתנאי סף'!D324)</f>
        <v>1001273573</v>
      </c>
      <c r="D324" s="266">
        <f>IF($F324="","",'הזנה לתנאי סף'!E324)</f>
        <v>40000564</v>
      </c>
      <c r="E324" s="55">
        <f>IF($F324="","",'הזנה לתנאי סף'!F324)</f>
        <v>20000201</v>
      </c>
      <c r="F324" s="55" t="str">
        <f>IF('הזנה לתנאי סף'!BL324=1,'הזנה לתנאי סף'!G324,"")</f>
        <v>תל אביב -יפו</v>
      </c>
      <c r="G324" s="55" t="str">
        <f>IF($F324="","",'הזנה לתנאי סף'!H324)</f>
        <v>עמותת הכוריאוגרפים (ע"ר)</v>
      </c>
      <c r="H324" s="55" t="str">
        <f>IF($F324="","",'הזנה לתנאי סף'!I324)</f>
        <v>יוצרים עצמאיים במחול</v>
      </c>
      <c r="I324" s="187">
        <f>IF($F324="","",'הזנה לתנאי סף'!R324)</f>
        <v>446870</v>
      </c>
      <c r="J324" s="187">
        <f>IF($F324="","",'תחום תמיכה א'!P324)</f>
        <v>464939</v>
      </c>
      <c r="K324" s="177">
        <f>IF($F324="","",'הזנה לתנאי סף'!N324)</f>
        <v>0</v>
      </c>
      <c r="L324" s="177">
        <f>IF($F324="","",'הזנה לתנאי סף'!O324)</f>
        <v>1</v>
      </c>
      <c r="M324" s="177">
        <f>IF($F324="","",'הזנה לתנאי סף'!Q324)</f>
        <v>1</v>
      </c>
      <c r="N324" s="187">
        <f>IF($F324="","",'תחום תמיכה א'!AE324)</f>
        <v>16863.105132773639</v>
      </c>
      <c r="O324" s="178"/>
      <c r="P324" s="187">
        <f>IF($F324="","",'תחום תמיכה ב'!AC324)</f>
        <v>33529.090966651303</v>
      </c>
      <c r="Q324" s="187">
        <f>IF($F324="","",IF('תחום תמיכה ג'!O324="",0,'תחום תמיכה ג'!O324))</f>
        <v>0</v>
      </c>
      <c r="R324" s="187">
        <f t="shared" si="16"/>
        <v>1005.3715444322079</v>
      </c>
      <c r="S324" s="187">
        <f>IF($F324="","",'תחום תמיכה ב'!AE324)</f>
        <v>34534.462511083511</v>
      </c>
      <c r="T324" s="187">
        <f>IF($F324="","",IF(Q324='תחום תמיכה ג'!$Q$2,'תחום תמיכה ג'!$Q$2,IFERROR(SUMIF(N324:R324,"&gt;0"),'תחום תמיכה ג'!$Q$2)))</f>
        <v>51397.567643857146</v>
      </c>
      <c r="U324" s="187">
        <f>IF($F324="","",'הזנה לתנאי סף'!Y324)</f>
        <v>150000</v>
      </c>
      <c r="V324" s="269">
        <f>IF(F324="","",'הגבלה לסכום מבוקש '!AA324)</f>
        <v>57147.628338672155</v>
      </c>
      <c r="W324" s="187">
        <f t="shared" si="17"/>
        <v>14286.907084668039</v>
      </c>
      <c r="X324" s="187">
        <f>IF(F324="","",'הזנה לתנאי סף'!Z324)</f>
        <v>150000</v>
      </c>
      <c r="Y324" s="237" t="str">
        <f>IFERROR(VLOOKUP(G324*1,#REF!,3,0),"")</f>
        <v/>
      </c>
      <c r="Z324" s="187" t="str">
        <f>IF(OR($F324="",Y324=""),"",IFERROR(IF(Y324&gt;V324,MIN(Y324,T324)-V324,0),'תחום תמיכה ג'!$Q$2))</f>
        <v/>
      </c>
      <c r="AA324" s="259"/>
      <c r="AB324" s="260" t="str">
        <f t="shared" si="18"/>
        <v/>
      </c>
      <c r="AC324" s="262"/>
      <c r="AD324" s="180"/>
      <c r="AE324" s="13" t="str">
        <f>IF($C324="","",IFERROR(VLOOKUP($C324,גיליון1!$A:$E,2,0),"לא הגיש בקשה שוטפת"))</f>
        <v>תמיכה שוטפת יוצר עצמאי הלל קוגן</v>
      </c>
      <c r="AF324" s="13" t="str">
        <f>IF($C324="","",IFERROR(VLOOKUP($C324,גיליון1!$A:$E,3,0),"לא הגיש בקשה שוטפת"))</f>
        <v>חויב</v>
      </c>
      <c r="AG324" s="13" t="str">
        <f>IF($C324="","",IFERROR(VLOOKUP($C324,גיליון1!$A:$E,4,0),"לא הגיש בקשה שוטפת"))</f>
        <v>19-42-02-20</v>
      </c>
      <c r="AH324" s="13" t="str">
        <f>IF($C324="","",IFERROR(VLOOKUP($C324,גיליון1!$A:$E,5,0),"לא הגיש בקשה שוטפת"))</f>
        <v>מחול וארגוני גג</v>
      </c>
      <c r="AI324" s="13">
        <f t="shared" si="19"/>
        <v>0</v>
      </c>
      <c r="AJ324"/>
      <c r="AK324" t="s">
        <v>250</v>
      </c>
    </row>
    <row r="325" spans="1:37" ht="43.5" x14ac:dyDescent="0.25">
      <c r="A325" s="54">
        <f>'הזנה לתנאי סף'!B325</f>
        <v>295</v>
      </c>
      <c r="B325" s="266">
        <f>IF($F325="","",'הזנה לתנאי סף'!C325)</f>
        <v>1001348213</v>
      </c>
      <c r="C325" s="266">
        <f>IF($F325="","",'הזנה לתנאי סף'!D325)</f>
        <v>1001273578</v>
      </c>
      <c r="D325" s="266">
        <f>IF($F325="","",'הזנה לתנאי סף'!E325)</f>
        <v>40000564</v>
      </c>
      <c r="E325" s="55">
        <f>IF($F325="","",'הזנה לתנאי סף'!F325)</f>
        <v>20000201</v>
      </c>
      <c r="F325" s="55" t="str">
        <f>IF('הזנה לתנאי סף'!BL325=1,'הזנה לתנאי סף'!G325,"")</f>
        <v>תל אביב -יפו</v>
      </c>
      <c r="G325" s="55" t="str">
        <f>IF($F325="","",'הזנה לתנאי סף'!H325)</f>
        <v>עמותת הכוריאוגרפים (ע"ר)</v>
      </c>
      <c r="H325" s="55" t="str">
        <f>IF($F325="","",'הזנה לתנאי סף'!I325)</f>
        <v>יוצרים עצמאיים במחול</v>
      </c>
      <c r="I325" s="187">
        <f>IF($F325="","",'הזנה לתנאי סף'!R325)</f>
        <v>41887</v>
      </c>
      <c r="J325" s="187">
        <f>IF($F325="","",'תחום תמיכה א'!P325)</f>
        <v>39273</v>
      </c>
      <c r="K325" s="177">
        <f>IF($F325="","",'הזנה לתנאי סף'!N325)</f>
        <v>0</v>
      </c>
      <c r="L325" s="177">
        <f>IF($F325="","",'הזנה לתנאי סף'!O325)</f>
        <v>1</v>
      </c>
      <c r="M325" s="177">
        <f>IF($F325="","",'הזנה לתנאי סף'!Q325)</f>
        <v>1</v>
      </c>
      <c r="N325" s="187">
        <f>IF($F325="","",'תחום תמיכה א'!AE325)</f>
        <v>2146.8389888970755</v>
      </c>
      <c r="O325" s="178"/>
      <c r="P325" s="187">
        <f>IF($F325="","",'תחום תמיכה ב'!AC325)</f>
        <v>7139.1661235930233</v>
      </c>
      <c r="Q325" s="187">
        <f>IF($F325="","",IF('תחום תמיכה ג'!O325="",0,'תחום תמיכה ג'!O325))</f>
        <v>0</v>
      </c>
      <c r="R325" s="187">
        <f t="shared" si="16"/>
        <v>214.06826921653555</v>
      </c>
      <c r="S325" s="187">
        <f>IF($F325="","",'תחום תמיכה ב'!AE325)</f>
        <v>7353.2343928095588</v>
      </c>
      <c r="T325" s="187">
        <f>IF($F325="","",IF(Q325='תחום תמיכה ג'!$Q$2,'תחום תמיכה ג'!$Q$2,IFERROR(SUMIF(N325:R325,"&gt;0"),'תחום תמיכה ג'!$Q$2)))</f>
        <v>9500.0733817066339</v>
      </c>
      <c r="U325" s="187">
        <f>IF($F325="","",'הזנה לתנאי סף'!Y325)</f>
        <v>150000</v>
      </c>
      <c r="V325" s="269">
        <f>IF(F325="","",'הגבלה לסכום מבוקש '!AA325)</f>
        <v>10723.745016569217</v>
      </c>
      <c r="W325" s="187">
        <f t="shared" si="17"/>
        <v>2680.9362541423043</v>
      </c>
      <c r="X325" s="187">
        <f>IF(F325="","",'הזנה לתנאי סף'!Z325)</f>
        <v>150000</v>
      </c>
      <c r="Y325" s="237" t="str">
        <f>IFERROR(VLOOKUP(G325*1,#REF!,3,0),"")</f>
        <v/>
      </c>
      <c r="Z325" s="187" t="str">
        <f>IF(OR($F325="",Y325=""),"",IFERROR(IF(Y325&gt;V325,MIN(Y325,T325)-V325,0),'תחום תמיכה ג'!$Q$2))</f>
        <v/>
      </c>
      <c r="AA325" s="259"/>
      <c r="AB325" s="260" t="str">
        <f t="shared" si="18"/>
        <v/>
      </c>
      <c r="AC325" s="262"/>
      <c r="AD325" s="180"/>
      <c r="AE325" s="13" t="str">
        <f>IF($C325="","",IFERROR(VLOOKUP($C325,גיליון1!$A:$E,2,0),"לא הגיש בקשה שוטפת"))</f>
        <v>תמיכה שוטפת יוצרת עצמאית לילך לבנה</v>
      </c>
      <c r="AF325" s="13" t="str">
        <f>IF($C325="","",IFERROR(VLOOKUP($C325,גיליון1!$A:$E,3,0),"לא הגיש בקשה שוטפת"))</f>
        <v>חויב</v>
      </c>
      <c r="AG325" s="13" t="str">
        <f>IF($C325="","",IFERROR(VLOOKUP($C325,גיליון1!$A:$E,4,0),"לא הגיש בקשה שוטפת"))</f>
        <v>19-42-02-20</v>
      </c>
      <c r="AH325" s="13" t="str">
        <f>IF($C325="","",IFERROR(VLOOKUP($C325,גיליון1!$A:$E,5,0),"לא הגיש בקשה שוטפת"))</f>
        <v>מחול וארגוני גג</v>
      </c>
      <c r="AI325" s="13">
        <f t="shared" si="19"/>
        <v>0</v>
      </c>
      <c r="AJ325"/>
      <c r="AK325" t="s">
        <v>250</v>
      </c>
    </row>
    <row r="326" spans="1:37" ht="43.5" x14ac:dyDescent="0.25">
      <c r="A326" s="54">
        <f>'הזנה לתנאי סף'!B326</f>
        <v>296</v>
      </c>
      <c r="B326" s="266">
        <f>IF($F326="","",'הזנה לתנאי סף'!C326)</f>
        <v>1001348214</v>
      </c>
      <c r="C326" s="266">
        <f>IF($F326="","",'הזנה לתנאי סף'!D326)</f>
        <v>1001273579</v>
      </c>
      <c r="D326" s="266">
        <f>IF($F326="","",'הזנה לתנאי סף'!E326)</f>
        <v>40000564</v>
      </c>
      <c r="E326" s="55">
        <f>IF($F326="","",'הזנה לתנאי סף'!F326)</f>
        <v>20000201</v>
      </c>
      <c r="F326" s="55" t="str">
        <f>IF('הזנה לתנאי סף'!BL326=1,'הזנה לתנאי סף'!G326,"")</f>
        <v>תל אביב -יפו</v>
      </c>
      <c r="G326" s="55" t="str">
        <f>IF($F326="","",'הזנה לתנאי סף'!H326)</f>
        <v>עמותת הכוריאוגרפים (ע"ר)</v>
      </c>
      <c r="H326" s="55" t="str">
        <f>IF($F326="","",'הזנה לתנאי סף'!I326)</f>
        <v>יוצרים עצמאיים במחול</v>
      </c>
      <c r="I326" s="187">
        <f>IF($F326="","",'הזנה לתנאי סף'!R326)</f>
        <v>111467</v>
      </c>
      <c r="J326" s="187">
        <f>IF($F326="","",'תחום תמיכה א'!P326)</f>
        <v>112880</v>
      </c>
      <c r="K326" s="177">
        <f>IF($F326="","",'הזנה לתנאי סף'!N326)</f>
        <v>0</v>
      </c>
      <c r="L326" s="177">
        <f>IF($F326="","",'הזנה לתנאי סף'!O326)</f>
        <v>1</v>
      </c>
      <c r="M326" s="177">
        <f>IF($F326="","",'הזנה לתנאי סף'!Q326)</f>
        <v>1</v>
      </c>
      <c r="N326" s="187">
        <f>IF($F326="","",'תחום תמיכה א'!AE326)</f>
        <v>2313.2771625617374</v>
      </c>
      <c r="O326" s="178"/>
      <c r="P326" s="187">
        <f>IF($F326="","",'תחום תמיכה ב'!AC326)</f>
        <v>2670.0850206450127</v>
      </c>
      <c r="Q326" s="187">
        <f>IF($F326="","",IF('תחום תמיכה ג'!O326="",0,'תחום תמיכה ג'!O326))</f>
        <v>0</v>
      </c>
      <c r="R326" s="187">
        <f t="shared" si="16"/>
        <v>80.062638848191909</v>
      </c>
      <c r="S326" s="187">
        <f>IF($F326="","",'תחום תמיכה ב'!AE326)</f>
        <v>2750.1476594932046</v>
      </c>
      <c r="T326" s="187">
        <f>IF($F326="","",IF(Q326='תחום תמיכה ג'!$Q$2,'תחום תמיכה ג'!$Q$2,IFERROR(SUMIF(N326:R326,"&gt;0"),'תחום תמיכה ג'!$Q$2)))</f>
        <v>5063.4248220549416</v>
      </c>
      <c r="U326" s="187">
        <f>IF($F326="","",'הזנה לתנאי סף'!Y326)</f>
        <v>150000</v>
      </c>
      <c r="V326" s="269">
        <f>IF(F326="","",'הגבלה לסכום מבוקש '!AA326)</f>
        <v>5521.7720380721485</v>
      </c>
      <c r="W326" s="187">
        <f t="shared" si="17"/>
        <v>1380.4430095180371</v>
      </c>
      <c r="X326" s="187">
        <f>IF(F326="","",'הזנה לתנאי סף'!Z326)</f>
        <v>150000</v>
      </c>
      <c r="Y326" s="237" t="str">
        <f>IFERROR(VLOOKUP(G326*1,#REF!,3,0),"")</f>
        <v/>
      </c>
      <c r="Z326" s="187" t="str">
        <f>IF(OR($F326="",Y326=""),"",IFERROR(IF(Y326&gt;V326,MIN(Y326,T326)-V326,0),'תחום תמיכה ג'!$Q$2))</f>
        <v/>
      </c>
      <c r="AA326" s="259"/>
      <c r="AB326" s="260" t="str">
        <f t="shared" si="18"/>
        <v/>
      </c>
      <c r="AC326" s="262"/>
      <c r="AD326" s="180"/>
      <c r="AE326" s="13" t="str">
        <f>IF($C326="","",IFERROR(VLOOKUP($C326,גיליון1!$A:$E,2,0),"לא הגיש בקשה שוטפת"))</f>
        <v>תמיכה שוטפת יוצרת עצמאית מאיה ברינר</v>
      </c>
      <c r="AF326" s="13" t="str">
        <f>IF($C326="","",IFERROR(VLOOKUP($C326,גיליון1!$A:$E,3,0),"לא הגיש בקשה שוטפת"))</f>
        <v>חויב</v>
      </c>
      <c r="AG326" s="13" t="str">
        <f>IF($C326="","",IFERROR(VLOOKUP($C326,גיליון1!$A:$E,4,0),"לא הגיש בקשה שוטפת"))</f>
        <v>19-42-02-20</v>
      </c>
      <c r="AH326" s="13" t="str">
        <f>IF($C326="","",IFERROR(VLOOKUP($C326,גיליון1!$A:$E,5,0),"לא הגיש בקשה שוטפת"))</f>
        <v>מחול וארגוני גג</v>
      </c>
      <c r="AI326" s="13">
        <f t="shared" si="19"/>
        <v>0</v>
      </c>
      <c r="AJ326"/>
      <c r="AK326" t="s">
        <v>250</v>
      </c>
    </row>
    <row r="327" spans="1:37" ht="43.5" x14ac:dyDescent="0.25">
      <c r="A327" s="54">
        <f>'הזנה לתנאי סף'!B327</f>
        <v>297</v>
      </c>
      <c r="B327" s="266">
        <f>IF($F327="","",'הזנה לתנאי סף'!C327)</f>
        <v>1001348215</v>
      </c>
      <c r="C327" s="266">
        <f>IF($F327="","",'הזנה לתנאי סף'!D327)</f>
        <v>1001275690</v>
      </c>
      <c r="D327" s="266">
        <f>IF($F327="","",'הזנה לתנאי סף'!E327)</f>
        <v>40000564</v>
      </c>
      <c r="E327" s="55">
        <f>IF($F327="","",'הזנה לתנאי סף'!F327)</f>
        <v>20000201</v>
      </c>
      <c r="F327" s="55" t="str">
        <f>IF('הזנה לתנאי סף'!BL327=1,'הזנה לתנאי סף'!G327,"")</f>
        <v>תל אביב -יפו</v>
      </c>
      <c r="G327" s="55" t="str">
        <f>IF($F327="","",'הזנה לתנאי סף'!H327)</f>
        <v>עמותת הכוריאוגרפים (ע"ר)</v>
      </c>
      <c r="H327" s="55" t="str">
        <f>IF($F327="","",'הזנה לתנאי סף'!I327)</f>
        <v>יוצרים עצמאיים במחול</v>
      </c>
      <c r="I327" s="187">
        <f>IF($F327="","",'הזנה לתנאי סף'!R327)</f>
        <v>49871</v>
      </c>
      <c r="J327" s="187">
        <f>IF($F327="","",'תחום תמיכה א'!P327)</f>
        <v>22917</v>
      </c>
      <c r="K327" s="177">
        <f>IF($F327="","",'הזנה לתנאי סף'!N327)</f>
        <v>0</v>
      </c>
      <c r="L327" s="177">
        <f>IF($F327="","",'הזנה לתנאי סף'!O327)</f>
        <v>1</v>
      </c>
      <c r="M327" s="177">
        <f>IF($F327="","",'הזנה לתנאי סף'!Q327)</f>
        <v>1</v>
      </c>
      <c r="N327" s="187">
        <f>IF($F327="","",'תחום תמיכה א'!AE327)</f>
        <v>1252.7463934141592</v>
      </c>
      <c r="O327" s="178"/>
      <c r="P327" s="187">
        <f>IF($F327="","",'תחום תמיכה ב'!AC327)</f>
        <v>8499.9487609451062</v>
      </c>
      <c r="Q327" s="187">
        <f>IF($F327="","",IF('תחום תמיכה ג'!O327="",0,'תחום תמיכה ג'!O327))</f>
        <v>0</v>
      </c>
      <c r="R327" s="187">
        <f t="shared" si="16"/>
        <v>254.87140769445978</v>
      </c>
      <c r="S327" s="187">
        <f>IF($F327="","",'תחום תמיכה ב'!AE327)</f>
        <v>8754.820168639566</v>
      </c>
      <c r="T327" s="187">
        <f>IF($F327="","",IF(Q327='תחום תמיכה ג'!$Q$2,'תחום תמיכה ג'!$Q$2,IFERROR(SUMIF(N327:R327,"&gt;0"),'תחום תמיכה ג'!$Q$2)))</f>
        <v>10007.566562053726</v>
      </c>
      <c r="U327" s="187">
        <f>IF($F327="","",'הזנה לתנאי סף'!Y327)</f>
        <v>150000</v>
      </c>
      <c r="V327" s="269">
        <f>IF(F327="","",'הגבלה לסכום מבוקש '!AA327)</f>
        <v>11463.886453151577</v>
      </c>
      <c r="W327" s="187">
        <f t="shared" si="17"/>
        <v>2865.9716132878943</v>
      </c>
      <c r="X327" s="187">
        <f>IF(F327="","",'הזנה לתנאי סף'!Z327)</f>
        <v>150000</v>
      </c>
      <c r="Y327" s="237" t="str">
        <f>IFERROR(VLOOKUP(G327*1,#REF!,3,0),"")</f>
        <v/>
      </c>
      <c r="Z327" s="187" t="str">
        <f>IF(OR($F327="",Y327=""),"",IFERROR(IF(Y327&gt;V327,MIN(Y327,T327)-V327,0),'תחום תמיכה ג'!$Q$2))</f>
        <v/>
      </c>
      <c r="AA327" s="259"/>
      <c r="AB327" s="260" t="str">
        <f t="shared" si="18"/>
        <v/>
      </c>
      <c r="AC327" s="262"/>
      <c r="AD327" s="180"/>
      <c r="AE327" s="13" t="str">
        <f>IF($C327="","",IFERROR(VLOOKUP($C327,גיליון1!$A:$E,2,0),"לא הגיש בקשה שוטפת"))</f>
        <v>תמיכה שוטפת יוצרת עצמאית תמר לם</v>
      </c>
      <c r="AF327" s="13" t="str">
        <f>IF($C327="","",IFERROR(VLOOKUP($C327,גיליון1!$A:$E,3,0),"לא הגיש בקשה שוטפת"))</f>
        <v>חויב</v>
      </c>
      <c r="AG327" s="13" t="str">
        <f>IF($C327="","",IFERROR(VLOOKUP($C327,גיליון1!$A:$E,4,0),"לא הגיש בקשה שוטפת"))</f>
        <v>19-42-02-20</v>
      </c>
      <c r="AH327" s="13" t="str">
        <f>IF($C327="","",IFERROR(VLOOKUP($C327,גיליון1!$A:$E,5,0),"לא הגיש בקשה שוטפת"))</f>
        <v>מחול וארגוני גג</v>
      </c>
      <c r="AI327" s="13">
        <f t="shared" si="19"/>
        <v>0</v>
      </c>
      <c r="AJ327"/>
      <c r="AK327" t="s">
        <v>250</v>
      </c>
    </row>
    <row r="328" spans="1:37" ht="43.5" x14ac:dyDescent="0.25">
      <c r="A328" s="54">
        <f>'הזנה לתנאי סף'!B328</f>
        <v>298</v>
      </c>
      <c r="B328" s="266">
        <f>IF($F328="","",'הזנה לתנאי סף'!C328)</f>
        <v>1001348216</v>
      </c>
      <c r="C328" s="266">
        <f>IF($F328="","",'הזנה לתנאי סף'!D328)</f>
        <v>1001273592</v>
      </c>
      <c r="D328" s="266">
        <f>IF($F328="","",'הזנה לתנאי סף'!E328)</f>
        <v>40000564</v>
      </c>
      <c r="E328" s="55">
        <f>IF($F328="","",'הזנה לתנאי סף'!F328)</f>
        <v>20000201</v>
      </c>
      <c r="F328" s="55" t="str">
        <f>IF('הזנה לתנאי סף'!BL328=1,'הזנה לתנאי סף'!G328,"")</f>
        <v>תל אביב -יפו</v>
      </c>
      <c r="G328" s="55" t="str">
        <f>IF($F328="","",'הזנה לתנאי סף'!H328)</f>
        <v>עמותת הכוריאוגרפים (ע"ר)</v>
      </c>
      <c r="H328" s="55" t="str">
        <f>IF($F328="","",'הזנה לתנאי סף'!I328)</f>
        <v>יוצרים עצמאיים במחול</v>
      </c>
      <c r="I328" s="187">
        <f>IF($F328="","",'הזנה לתנאי סף'!R328)</f>
        <v>157939</v>
      </c>
      <c r="J328" s="187">
        <f>IF($F328="","",'תחום תמיכה א'!P328)</f>
        <v>163875</v>
      </c>
      <c r="K328" s="177">
        <f>IF($F328="","",'הזנה לתנאי סף'!N328)</f>
        <v>0</v>
      </c>
      <c r="L328" s="177">
        <f>IF($F328="","",'הזנה לתנאי סף'!O328)</f>
        <v>1</v>
      </c>
      <c r="M328" s="177">
        <f>IF($F328="","",'הזנה לתנאי סף'!Q328)</f>
        <v>1</v>
      </c>
      <c r="N328" s="187">
        <f>IF($F328="","",'תחום תמיכה א'!AE328)</f>
        <v>3025.1089226477875</v>
      </c>
      <c r="O328" s="178"/>
      <c r="P328" s="187">
        <f>IF($F328="","",'תחום תמיכה ב'!AC328)</f>
        <v>3069.7530956196342</v>
      </c>
      <c r="Q328" s="187">
        <f>IF($F328="","",IF('תחום תמיכה ג'!O328="",0,'תחום תמיכה ג'!O328))</f>
        <v>0</v>
      </c>
      <c r="R328" s="187">
        <f t="shared" si="16"/>
        <v>92.046706957796687</v>
      </c>
      <c r="S328" s="187">
        <f>IF($F328="","",'תחום תמיכה ב'!AE328)</f>
        <v>3161.7998025774309</v>
      </c>
      <c r="T328" s="187">
        <f>IF($F328="","",IF(Q328='תחום תמיכה ג'!$Q$2,'תחום תמיכה ג'!$Q$2,IFERROR(SUMIF(N328:R328,"&gt;0"),'תחום תמיכה ג'!$Q$2)))</f>
        <v>6186.9087252252193</v>
      </c>
      <c r="U328" s="187">
        <f>IF($F328="","",'הזנה לתנאי סף'!Y328)</f>
        <v>150000</v>
      </c>
      <c r="V328" s="269">
        <f>IF(F328="","",'הגבלה לסכום מבוקש '!AA328)</f>
        <v>6714.0294806464381</v>
      </c>
      <c r="W328" s="187">
        <f t="shared" si="17"/>
        <v>1678.5073701616095</v>
      </c>
      <c r="X328" s="187">
        <f>IF(F328="","",'הזנה לתנאי סף'!Z328)</f>
        <v>150000</v>
      </c>
      <c r="Y328" s="237" t="str">
        <f>IFERROR(VLOOKUP(G328*1,#REF!,3,0),"")</f>
        <v/>
      </c>
      <c r="Z328" s="187" t="str">
        <f>IF(OR($F328="",Y328=""),"",IFERROR(IF(Y328&gt;V328,MIN(Y328,T328)-V328,0),'תחום תמיכה ג'!$Q$2))</f>
        <v/>
      </c>
      <c r="AA328" s="259"/>
      <c r="AB328" s="260" t="str">
        <f t="shared" si="18"/>
        <v/>
      </c>
      <c r="AC328" s="262"/>
      <c r="AD328" s="180"/>
      <c r="AE328" s="13" t="str">
        <f>IF($C328="","",IFERROR(VLOOKUP($C328,גיליון1!$A:$E,2,0),"לא הגיש בקשה שוטפת"))</f>
        <v>תמיכה שוטפת יוצרת עצמאית מיה שטרן</v>
      </c>
      <c r="AF328" s="13" t="str">
        <f>IF($C328="","",IFERROR(VLOOKUP($C328,גיליון1!$A:$E,3,0),"לא הגיש בקשה שוטפת"))</f>
        <v>חויב</v>
      </c>
      <c r="AG328" s="13" t="str">
        <f>IF($C328="","",IFERROR(VLOOKUP($C328,גיליון1!$A:$E,4,0),"לא הגיש בקשה שוטפת"))</f>
        <v>19-42-02-20</v>
      </c>
      <c r="AH328" s="13" t="str">
        <f>IF($C328="","",IFERROR(VLOOKUP($C328,גיליון1!$A:$E,5,0),"לא הגיש בקשה שוטפת"))</f>
        <v>מחול וארגוני גג</v>
      </c>
      <c r="AI328" s="13">
        <f t="shared" si="19"/>
        <v>0</v>
      </c>
      <c r="AJ328"/>
      <c r="AK328" t="s">
        <v>250</v>
      </c>
    </row>
    <row r="329" spans="1:37" ht="43.5" x14ac:dyDescent="0.25">
      <c r="A329" s="54">
        <f>'הזנה לתנאי סף'!B329</f>
        <v>299</v>
      </c>
      <c r="B329" s="266">
        <f>IF($F329="","",'הזנה לתנאי סף'!C329)</f>
        <v>1001348217</v>
      </c>
      <c r="C329" s="266">
        <f>IF($F329="","",'הזנה לתנאי סף'!D329)</f>
        <v>1001272602</v>
      </c>
      <c r="D329" s="266">
        <f>IF($F329="","",'הזנה לתנאי סף'!E329)</f>
        <v>40000564</v>
      </c>
      <c r="E329" s="55">
        <f>IF($F329="","",'הזנה לתנאי סף'!F329)</f>
        <v>20000201</v>
      </c>
      <c r="F329" s="55" t="str">
        <f>IF('הזנה לתנאי סף'!BL329=1,'הזנה לתנאי סף'!G329,"")</f>
        <v>תל אביב -יפו</v>
      </c>
      <c r="G329" s="55" t="str">
        <f>IF($F329="","",'הזנה לתנאי סף'!H329)</f>
        <v>עמותת הכוריאוגרפים (ע"ר)</v>
      </c>
      <c r="H329" s="55" t="str">
        <f>IF($F329="","",'הזנה לתנאי סף'!I329)</f>
        <v>יוצרים עצמאיים במחול</v>
      </c>
      <c r="I329" s="187">
        <f>IF($F329="","",'הזנה לתנאי סף'!R329)</f>
        <v>318653</v>
      </c>
      <c r="J329" s="187">
        <f>IF($F329="","",'תחום תמיכה א'!P329)</f>
        <v>329173</v>
      </c>
      <c r="K329" s="177">
        <f>IF($F329="","",'הזנה לתנאי סף'!N329)</f>
        <v>0</v>
      </c>
      <c r="L329" s="177">
        <f>IF($F329="","",'הזנה לתנאי סף'!O329)</f>
        <v>1</v>
      </c>
      <c r="M329" s="177">
        <f>IF($F329="","",'הזנה לתנאי סף'!Q329)</f>
        <v>1</v>
      </c>
      <c r="N329" s="187">
        <f>IF($F329="","",'תחום תמיכה א'!AE329)</f>
        <v>13583.156436739237</v>
      </c>
      <c r="O329" s="178"/>
      <c r="P329" s="187">
        <f>IF($F329="","",'תחום תמיכה ב'!AC329)</f>
        <v>30947.704668142353</v>
      </c>
      <c r="Q329" s="187">
        <f>IF($F329="","",IF('תחום תמיכה ג'!O329="",0,'תחום תמיכה ג'!O329))</f>
        <v>0</v>
      </c>
      <c r="R329" s="187">
        <f t="shared" si="16"/>
        <v>927.96854140151481</v>
      </c>
      <c r="S329" s="187">
        <f>IF($F329="","",'תחום תמיכה ב'!AE329)</f>
        <v>31875.673209543867</v>
      </c>
      <c r="T329" s="187">
        <f>IF($F329="","",IF(Q329='תחום תמיכה ג'!$Q$2,'תחום תמיכה ג'!$Q$2,IFERROR(SUMIF(N329:R329,"&gt;0"),'תחום תמיכה ג'!$Q$2)))</f>
        <v>45458.829646283106</v>
      </c>
      <c r="U329" s="187">
        <f>IF($F329="","",'הזנה לתנאי סף'!Y329)</f>
        <v>150000</v>
      </c>
      <c r="V329" s="269">
        <f>IF(F329="","",'הגבלה לסכום מבוקש '!AA329)</f>
        <v>50765.294020734225</v>
      </c>
      <c r="W329" s="187">
        <f t="shared" si="17"/>
        <v>12691.323505183556</v>
      </c>
      <c r="X329" s="187">
        <f>IF(F329="","",'הזנה לתנאי סף'!Z329)</f>
        <v>150000</v>
      </c>
      <c r="Y329" s="237" t="str">
        <f>IFERROR(VLOOKUP(G329*1,#REF!,3,0),"")</f>
        <v/>
      </c>
      <c r="Z329" s="187" t="str">
        <f>IF(OR($F329="",Y329=""),"",IFERROR(IF(Y329&gt;V329,MIN(Y329,T329)-V329,0),'תחום תמיכה ג'!$Q$2))</f>
        <v/>
      </c>
      <c r="AA329" s="259"/>
      <c r="AB329" s="260" t="str">
        <f t="shared" si="18"/>
        <v/>
      </c>
      <c r="AC329" s="262"/>
      <c r="AD329" s="180"/>
      <c r="AE329" s="13" t="str">
        <f>IF($C329="","",IFERROR(VLOOKUP($C329,גיליון1!$A:$E,2,0),"לא הגיש בקשה שוטפת"))</f>
        <v>תמיכה שוטפת יוצרת עצמאית אורלי פורטל</v>
      </c>
      <c r="AF329" s="13" t="str">
        <f>IF($C329="","",IFERROR(VLOOKUP($C329,גיליון1!$A:$E,3,0),"לא הגיש בקשה שוטפת"))</f>
        <v>חויב</v>
      </c>
      <c r="AG329" s="13" t="str">
        <f>IF($C329="","",IFERROR(VLOOKUP($C329,גיליון1!$A:$E,4,0),"לא הגיש בקשה שוטפת"))</f>
        <v>19-42-02-20</v>
      </c>
      <c r="AH329" s="13" t="str">
        <f>IF($C329="","",IFERROR(VLOOKUP($C329,גיליון1!$A:$E,5,0),"לא הגיש בקשה שוטפת"))</f>
        <v>מחול וארגוני גג</v>
      </c>
      <c r="AI329" s="13">
        <f t="shared" si="19"/>
        <v>0</v>
      </c>
      <c r="AJ329"/>
      <c r="AK329" t="s">
        <v>250</v>
      </c>
    </row>
    <row r="330" spans="1:37" s="174" customFormat="1" ht="43.5" x14ac:dyDescent="0.25">
      <c r="A330" s="54">
        <f>'הזנה לתנאי סף'!B330</f>
        <v>300</v>
      </c>
      <c r="B330" s="266">
        <f>IF($F330="","",'הזנה לתנאי סף'!C330)</f>
        <v>1001348219</v>
      </c>
      <c r="C330" s="266">
        <f>IF($F330="","",'הזנה לתנאי סף'!D330)</f>
        <v>1001272603</v>
      </c>
      <c r="D330" s="266">
        <f>IF($F330="","",'הזנה לתנאי סף'!E330)</f>
        <v>40000564</v>
      </c>
      <c r="E330" s="55">
        <f>IF($F330="","",'הזנה לתנאי סף'!F330)</f>
        <v>20000201</v>
      </c>
      <c r="F330" s="55" t="str">
        <f>IF('הזנה לתנאי סף'!BL330=1,'הזנה לתנאי סף'!G330,"")</f>
        <v>תל אביב -יפו</v>
      </c>
      <c r="G330" s="55" t="str">
        <f>IF($F330="","",'הזנה לתנאי סף'!H330)</f>
        <v>עמותת הכוריאוגרפים (ע"ר)</v>
      </c>
      <c r="H330" s="55" t="str">
        <f>IF($F330="","",'הזנה לתנאי סף'!I330)</f>
        <v>יוצרים עצמאיים במחול</v>
      </c>
      <c r="I330" s="187">
        <f>IF($F330="","",'הזנה לתנאי סף'!R330)</f>
        <v>75112</v>
      </c>
      <c r="J330" s="187">
        <f>IF($F330="","",'תחום תמיכה א'!P330)</f>
        <v>60903</v>
      </c>
      <c r="K330" s="177">
        <f>IF($F330="","",'הזנה לתנאי סף'!N330)</f>
        <v>0</v>
      </c>
      <c r="L330" s="177">
        <f>IF($F330="","",'הזנה לתנאי סף'!O330)</f>
        <v>1</v>
      </c>
      <c r="M330" s="177">
        <f>IF($F330="","",'הזנה לתנאי סף'!Q330)</f>
        <v>1</v>
      </c>
      <c r="N330" s="187">
        <f>IF($F330="","",'תחום תמיכה א'!AE330)</f>
        <v>3329.2321681765739</v>
      </c>
      <c r="O330" s="178"/>
      <c r="P330" s="187">
        <f>IF($F330="","",'תחום תמיכה ב'!AC330)</f>
        <v>12801.99216643157</v>
      </c>
      <c r="Q330" s="187">
        <f>IF($F330="","",IF('תחום תמיכה ג'!O330="",0,'תחום תמיכה ג'!O330))</f>
        <v>0</v>
      </c>
      <c r="R330" s="187">
        <f t="shared" ref="R330:R393" si="20">IF($F330="","",IFERROR(S330-P330,""))</f>
        <v>383.86840397718697</v>
      </c>
      <c r="S330" s="187">
        <f>IF($F330="","",'תחום תמיכה ב'!AE330)</f>
        <v>13185.860570408757</v>
      </c>
      <c r="T330" s="187">
        <f>IF($F330="","",IF(Q330='תחום תמיכה ג'!$Q$2,'תחום תמיכה ג'!$Q$2,IFERROR(SUMIF(N330:R330,"&gt;0"),'תחום תמיכה ג'!$Q$2)))</f>
        <v>16515.092738585328</v>
      </c>
      <c r="U330" s="187">
        <f>IF($F330="","",'הזנה לתנאי סף'!Y330)</f>
        <v>150000</v>
      </c>
      <c r="V330" s="269">
        <f>IF(F330="","",'הגבלה לסכום מבוקש '!AA330)</f>
        <v>18709.150486628929</v>
      </c>
      <c r="W330" s="187">
        <f t="shared" si="17"/>
        <v>4677.2876216572322</v>
      </c>
      <c r="X330" s="187">
        <f>IF(F330="","",'הזנה לתנאי סף'!Z330)</f>
        <v>150000</v>
      </c>
      <c r="Y330" s="237" t="str">
        <f>IFERROR(VLOOKUP(G330*1,#REF!,3,0),"")</f>
        <v/>
      </c>
      <c r="Z330" s="187" t="str">
        <f>IF(OR($F330="",Y330=""),"",IFERROR(IF(Y330&gt;V330,MIN(Y330,T330)-V330,0),'תחום תמיכה ג'!$Q$2))</f>
        <v/>
      </c>
      <c r="AA330" s="259"/>
      <c r="AB330" s="260" t="str">
        <f t="shared" ref="AB330:AB393" si="21">Z330</f>
        <v/>
      </c>
      <c r="AC330" s="262"/>
      <c r="AD330" s="180"/>
      <c r="AE330" s="13" t="str">
        <f>IF($C330="","",IFERROR(VLOOKUP($C330,גיליון1!$A:$E,2,0),"לא הגיש בקשה שוטפת"))</f>
        <v>תמיכה שוטפת יוצרת עצמאית איילה פרנקל</v>
      </c>
      <c r="AF330" s="13" t="str">
        <f>IF($C330="","",IFERROR(VLOOKUP($C330,גיליון1!$A:$E,3,0),"לא הגיש בקשה שוטפת"))</f>
        <v>חויב</v>
      </c>
      <c r="AG330" s="13" t="str">
        <f>IF($C330="","",IFERROR(VLOOKUP($C330,גיליון1!$A:$E,4,0),"לא הגיש בקשה שוטפת"))</f>
        <v>19-42-02-20</v>
      </c>
      <c r="AH330" s="13" t="str">
        <f>IF($C330="","",IFERROR(VLOOKUP($C330,גיליון1!$A:$E,5,0),"לא הגיש בקשה שוטפת"))</f>
        <v>מחול וארגוני גג</v>
      </c>
      <c r="AI330" s="13">
        <f t="shared" si="19"/>
        <v>0</v>
      </c>
      <c r="AK330" s="174" t="s">
        <v>250</v>
      </c>
    </row>
    <row r="331" spans="1:37" s="174" customFormat="1" ht="43.5" x14ac:dyDescent="0.25">
      <c r="A331" s="54">
        <f>'הזנה לתנאי סף'!B331</f>
        <v>301</v>
      </c>
      <c r="B331" s="266">
        <f>IF($F331="","",'הזנה לתנאי סף'!C331)</f>
        <v>1001348220</v>
      </c>
      <c r="C331" s="266">
        <f>IF($F331="","",'הזנה לתנאי סף'!D331)</f>
        <v>1001272604</v>
      </c>
      <c r="D331" s="266">
        <f>IF($F331="","",'הזנה לתנאי סף'!E331)</f>
        <v>40000564</v>
      </c>
      <c r="E331" s="55">
        <f>IF($F331="","",'הזנה לתנאי סף'!F331)</f>
        <v>20000201</v>
      </c>
      <c r="F331" s="55" t="str">
        <f>IF('הזנה לתנאי סף'!BL331=1,'הזנה לתנאי סף'!G331,"")</f>
        <v>תל אביב -יפו</v>
      </c>
      <c r="G331" s="55" t="str">
        <f>IF($F331="","",'הזנה לתנאי סף'!H331)</f>
        <v>עמותת הכוריאוגרפים (ע"ר)</v>
      </c>
      <c r="H331" s="55" t="str">
        <f>IF($F331="","",'הזנה לתנאי סף'!I331)</f>
        <v>יוצרים עצמאיים במחול</v>
      </c>
      <c r="I331" s="187">
        <f>IF($F331="","",'הזנה לתנאי סף'!R331)</f>
        <v>209018</v>
      </c>
      <c r="J331" s="187">
        <f>IF($F331="","",'תחום תמיכה א'!P331)</f>
        <v>184315</v>
      </c>
      <c r="K331" s="177">
        <f>IF($F331="","",'הזנה לתנאי סף'!N331)</f>
        <v>0</v>
      </c>
      <c r="L331" s="177">
        <f>IF($F331="","",'הזנה לתנאי סף'!O331)</f>
        <v>1</v>
      </c>
      <c r="M331" s="177">
        <f>IF($F331="","",'הזנה לתנאי סף'!Q331)</f>
        <v>1</v>
      </c>
      <c r="N331" s="187">
        <f>IF($F331="","",'תחום תמיכה א'!AE331)</f>
        <v>5034.417776683018</v>
      </c>
      <c r="O331" s="178"/>
      <c r="P331" s="187">
        <f>IF($F331="","",'תחום תמיכה ב'!AC331)</f>
        <v>8894.4330307321998</v>
      </c>
      <c r="Q331" s="187">
        <f>IF($F331="","",IF('תחום תמיכה ג'!O331="",0,'תחום תמיכה ג'!O331))</f>
        <v>0</v>
      </c>
      <c r="R331" s="187">
        <f t="shared" si="20"/>
        <v>266.70003913467735</v>
      </c>
      <c r="S331" s="187">
        <f>IF($F331="","",'תחום תמיכה ב'!AE331)</f>
        <v>9161.1330698668771</v>
      </c>
      <c r="T331" s="187">
        <f>IF($F331="","",IF(Q331='תחום תמיכה ג'!$Q$2,'תחום תמיכה ג'!$Q$2,IFERROR(SUMIF(N331:R331,"&gt;0"),'תחום תמיכה ג'!$Q$2)))</f>
        <v>14195.550846549895</v>
      </c>
      <c r="U331" s="187">
        <f>IF($F331="","",'הזנה לתנאי סף'!Y331)</f>
        <v>150000</v>
      </c>
      <c r="V331" s="269">
        <f>IF(F331="","",'הגבלה לסכום מבוקש '!AA331)</f>
        <v>15721.154248201614</v>
      </c>
      <c r="W331" s="187">
        <f t="shared" si="17"/>
        <v>3930.2885620504035</v>
      </c>
      <c r="X331" s="187">
        <f>IF(F331="","",'הזנה לתנאי סף'!Z331)</f>
        <v>150000</v>
      </c>
      <c r="Y331" s="237" t="str">
        <f>IFERROR(VLOOKUP(G331*1,#REF!,3,0),"")</f>
        <v/>
      </c>
      <c r="Z331" s="187" t="str">
        <f>IF(OR($F331="",Y331=""),"",IFERROR(IF(Y331&gt;V331,MIN(Y331,T331)-V331,0),'תחום תמיכה ג'!$Q$2))</f>
        <v/>
      </c>
      <c r="AA331" s="259"/>
      <c r="AB331" s="260" t="str">
        <f t="shared" si="21"/>
        <v/>
      </c>
      <c r="AC331" s="262"/>
      <c r="AD331" s="180"/>
      <c r="AE331" s="13" t="str">
        <f>IF($C331="","",IFERROR(VLOOKUP($C331,גיליון1!$A:$E,2,0),"לא הגיש בקשה שוטפת"))</f>
        <v>תמיכה שוטפת יוצרת עצמאית איריס ארז</v>
      </c>
      <c r="AF331" s="13" t="str">
        <f>IF($C331="","",IFERROR(VLOOKUP($C331,גיליון1!$A:$E,3,0),"לא הגיש בקשה שוטפת"))</f>
        <v>חויב</v>
      </c>
      <c r="AG331" s="13" t="str">
        <f>IF($C331="","",IFERROR(VLOOKUP($C331,גיליון1!$A:$E,4,0),"לא הגיש בקשה שוטפת"))</f>
        <v>19-42-02-20</v>
      </c>
      <c r="AH331" s="13" t="str">
        <f>IF($C331="","",IFERROR(VLOOKUP($C331,גיליון1!$A:$E,5,0),"לא הגיש בקשה שוטפת"))</f>
        <v>מחול וארגוני גג</v>
      </c>
      <c r="AI331" s="13">
        <f t="shared" si="19"/>
        <v>0</v>
      </c>
      <c r="AK331" s="174" t="s">
        <v>250</v>
      </c>
    </row>
    <row r="332" spans="1:37" s="174" customFormat="1" ht="43.5" x14ac:dyDescent="0.25">
      <c r="A332" s="54">
        <f>'הזנה לתנאי סף'!B332</f>
        <v>302</v>
      </c>
      <c r="B332" s="266">
        <f>IF($F332="","",'הזנה לתנאי סף'!C332)</f>
        <v>1001348222</v>
      </c>
      <c r="C332" s="266">
        <f>IF($F332="","",'הזנה לתנאי סף'!D332)</f>
        <v>1001272607</v>
      </c>
      <c r="D332" s="266">
        <f>IF($F332="","",'הזנה לתנאי סף'!E332)</f>
        <v>40000564</v>
      </c>
      <c r="E332" s="55">
        <f>IF($F332="","",'הזנה לתנאי סף'!F332)</f>
        <v>20000201</v>
      </c>
      <c r="F332" s="55" t="str">
        <f>IF('הזנה לתנאי סף'!BL332=1,'הזנה לתנאי סף'!G332,"")</f>
        <v>תל אביב -יפו</v>
      </c>
      <c r="G332" s="55" t="str">
        <f>IF($F332="","",'הזנה לתנאי סף'!H332)</f>
        <v>עמותת הכוריאוגרפים (ע"ר)</v>
      </c>
      <c r="H332" s="55" t="str">
        <f>IF($F332="","",'הזנה לתנאי סף'!I332)</f>
        <v>יוצרים עצמאיים במחול</v>
      </c>
      <c r="I332" s="187">
        <f>IF($F332="","",'הזנה לתנאי סף'!R332)</f>
        <v>138688</v>
      </c>
      <c r="J332" s="187">
        <f>IF($F332="","",'תחום תמיכה א'!P332)</f>
        <v>70256</v>
      </c>
      <c r="K332" s="177">
        <f>IF($F332="","",'הזנה לתנאי סף'!N332)</f>
        <v>0</v>
      </c>
      <c r="L332" s="177">
        <f>IF($F332="","",'הזנה לתנאי סף'!O332)</f>
        <v>1</v>
      </c>
      <c r="M332" s="177">
        <f>IF($F332="","",'הזנה לתנאי סף'!Q332)</f>
        <v>1</v>
      </c>
      <c r="N332" s="187">
        <f>IF($F332="","",'תחום תמיכה א'!AE332)</f>
        <v>3840.5092558234137</v>
      </c>
      <c r="O332" s="178"/>
      <c r="P332" s="187">
        <f>IF($F332="","",'תחום תמיכה ב'!AC332)</f>
        <v>23637.803407951615</v>
      </c>
      <c r="Q332" s="187">
        <f>IF($F332="","",IF('תחום תמיכה ג'!O332="",0,'תחום תמיכה ג'!O332))</f>
        <v>0</v>
      </c>
      <c r="R332" s="187">
        <f t="shared" si="20"/>
        <v>708.7807701936872</v>
      </c>
      <c r="S332" s="187">
        <f>IF($F332="","",'תחום תמיכה ב'!AE332)</f>
        <v>24346.584178145302</v>
      </c>
      <c r="T332" s="187">
        <f>IF($F332="","",IF(Q332='תחום תמיכה ג'!$Q$2,'תחום תמיכה ג'!$Q$2,IFERROR(SUMIF(N332:R332,"&gt;0"),'תחום תמיכה ג'!$Q$2)))</f>
        <v>28187.093433968716</v>
      </c>
      <c r="U332" s="187">
        <f>IF($F332="","",'הזנה לתנאי סף'!Y332)</f>
        <v>150000</v>
      </c>
      <c r="V332" s="269">
        <f>IF(F332="","",'הגבלה לסכום מבוקש '!AA332)</f>
        <v>32237.186532648338</v>
      </c>
      <c r="W332" s="187">
        <f t="shared" si="17"/>
        <v>8059.2966331620846</v>
      </c>
      <c r="X332" s="187">
        <f>IF(F332="","",'הזנה לתנאי סף'!Z332)</f>
        <v>150000</v>
      </c>
      <c r="Y332" s="237" t="str">
        <f>IFERROR(VLOOKUP(G332*1,#REF!,3,0),"")</f>
        <v/>
      </c>
      <c r="Z332" s="187" t="str">
        <f>IF(OR($F332="",Y332=""),"",IFERROR(IF(Y332&gt;V332,MIN(Y332,T332)-V332,0),'תחום תמיכה ג'!$Q$2))</f>
        <v/>
      </c>
      <c r="AA332" s="259"/>
      <c r="AB332" s="260" t="str">
        <f t="shared" si="21"/>
        <v/>
      </c>
      <c r="AC332" s="262"/>
      <c r="AD332" s="180"/>
      <c r="AE332" s="13" t="str">
        <f>IF($C332="","",IFERROR(VLOOKUP($C332,גיליון1!$A:$E,2,0),"לא הגיש בקשה שוטפת"))</f>
        <v>תמיכה שוטפת יוצר עצמאי אנדיראה מרטיני</v>
      </c>
      <c r="AF332" s="13" t="str">
        <f>IF($C332="","",IFERROR(VLOOKUP($C332,גיליון1!$A:$E,3,0),"לא הגיש בקשה שוטפת"))</f>
        <v>חויב</v>
      </c>
      <c r="AG332" s="13" t="str">
        <f>IF($C332="","",IFERROR(VLOOKUP($C332,גיליון1!$A:$E,4,0),"לא הגיש בקשה שוטפת"))</f>
        <v>19-42-02-20</v>
      </c>
      <c r="AH332" s="13" t="str">
        <f>IF($C332="","",IFERROR(VLOOKUP($C332,גיליון1!$A:$E,5,0),"לא הגיש בקשה שוטפת"))</f>
        <v>מחול וארגוני גג</v>
      </c>
      <c r="AI332" s="13">
        <f t="shared" si="19"/>
        <v>0</v>
      </c>
      <c r="AK332" s="174" t="s">
        <v>250</v>
      </c>
    </row>
    <row r="333" spans="1:37" s="174" customFormat="1" ht="43.5" x14ac:dyDescent="0.25">
      <c r="A333" s="54">
        <f>'הזנה לתנאי סף'!B333</f>
        <v>303</v>
      </c>
      <c r="B333" s="266">
        <f>IF($F333="","",'הזנה לתנאי סף'!C333)</f>
        <v>1001348223</v>
      </c>
      <c r="C333" s="266">
        <f>IF($F333="","",'הזנה לתנאי סף'!D333)</f>
        <v>1001273498</v>
      </c>
      <c r="D333" s="266">
        <f>IF($F333="","",'הזנה לתנאי סף'!E333)</f>
        <v>40000564</v>
      </c>
      <c r="E333" s="55">
        <f>IF($F333="","",'הזנה לתנאי סף'!F333)</f>
        <v>20000201</v>
      </c>
      <c r="F333" s="55" t="str">
        <f>IF('הזנה לתנאי סף'!BL333=1,'הזנה לתנאי סף'!G333,"")</f>
        <v>תל אביב -יפו</v>
      </c>
      <c r="G333" s="55" t="str">
        <f>IF($F333="","",'הזנה לתנאי סף'!H333)</f>
        <v>עמותת הכוריאוגרפים (ע"ר)</v>
      </c>
      <c r="H333" s="55" t="str">
        <f>IF($F333="","",'הזנה לתנאי סף'!I333)</f>
        <v>יוצרים עצמאיים במחול</v>
      </c>
      <c r="I333" s="187">
        <f>IF($F333="","",'הזנה לתנאי סף'!R333)</f>
        <v>75923</v>
      </c>
      <c r="J333" s="187">
        <f>IF($F333="","",'תחום תמיכה א'!P333)</f>
        <v>75387</v>
      </c>
      <c r="K333" s="177">
        <f>IF($F333="","",'הזנה לתנאי סף'!N333)</f>
        <v>0</v>
      </c>
      <c r="L333" s="177">
        <f>IF($F333="","",'הזנה לתנאי סף'!O333)</f>
        <v>1</v>
      </c>
      <c r="M333" s="177">
        <f>IF($F333="","",'הזנה לתנאי סף'!Q333)</f>
        <v>1</v>
      </c>
      <c r="N333" s="187">
        <f>IF($F333="","",'תחום תמיכה א'!AE333)</f>
        <v>2433.2002943495945</v>
      </c>
      <c r="O333" s="178"/>
      <c r="P333" s="187">
        <f>IF($F333="","",'תחום תמיכה ב'!AC333)</f>
        <v>4511.215743799582</v>
      </c>
      <c r="Q333" s="187">
        <f>IF($F333="","",IF('תחום תמיכה ג'!O333="",0,'תחום תמיכה ג'!O333))</f>
        <v>0</v>
      </c>
      <c r="R333" s="187">
        <f t="shared" si="20"/>
        <v>135.26903977568963</v>
      </c>
      <c r="S333" s="187">
        <f>IF($F333="","",'תחום תמיכה ב'!AE333)</f>
        <v>4646.4847835752716</v>
      </c>
      <c r="T333" s="187">
        <f>IF($F333="","",IF(Q333='תחום תמיכה ג'!$Q$2,'תחום תמיכה ג'!$Q$2,IFERROR(SUMIF(N333:R333,"&gt;0"),'תחום תמיכה ג'!$Q$2)))</f>
        <v>7079.6850779248662</v>
      </c>
      <c r="U333" s="187">
        <f>IF($F333="","",'הזנה לתנאי סף'!Y333)</f>
        <v>150000</v>
      </c>
      <c r="V333" s="269">
        <f>IF(F333="","",'הגבלה לסכום מבוקש '!AA333)</f>
        <v>7853.4093986311818</v>
      </c>
      <c r="W333" s="187">
        <f t="shared" si="17"/>
        <v>1963.3523496577955</v>
      </c>
      <c r="X333" s="187">
        <f>IF(F333="","",'הזנה לתנאי סף'!Z333)</f>
        <v>150000</v>
      </c>
      <c r="Y333" s="237" t="str">
        <f>IFERROR(VLOOKUP(G333*1,#REF!,3,0),"")</f>
        <v/>
      </c>
      <c r="Z333" s="187" t="str">
        <f>IF(OR($F333="",Y333=""),"",IFERROR(IF(Y333&gt;V333,MIN(Y333,T333)-V333,0),'תחום תמיכה ג'!$Q$2))</f>
        <v/>
      </c>
      <c r="AA333" s="259"/>
      <c r="AB333" s="260" t="str">
        <f t="shared" si="21"/>
        <v/>
      </c>
      <c r="AC333" s="262"/>
      <c r="AD333" s="180"/>
      <c r="AE333" s="13" t="str">
        <f>IF($C333="","",IFERROR(VLOOKUP($C333,גיליון1!$A:$E,2,0),"לא הגיש בקשה שוטפת"))</f>
        <v>תמיכה שוטפת יוצרת עצמאית אפרת רובין</v>
      </c>
      <c r="AF333" s="13" t="str">
        <f>IF($C333="","",IFERROR(VLOOKUP($C333,גיליון1!$A:$E,3,0),"לא הגיש בקשה שוטפת"))</f>
        <v>חויב</v>
      </c>
      <c r="AG333" s="13" t="str">
        <f>IF($C333="","",IFERROR(VLOOKUP($C333,גיליון1!$A:$E,4,0),"לא הגיש בקשה שוטפת"))</f>
        <v>19-42-02-20</v>
      </c>
      <c r="AH333" s="13" t="str">
        <f>IF($C333="","",IFERROR(VLOOKUP($C333,גיליון1!$A:$E,5,0),"לא הגיש בקשה שוטפת"))</f>
        <v>מחול וארגוני גג</v>
      </c>
      <c r="AI333" s="13">
        <f t="shared" si="19"/>
        <v>0</v>
      </c>
      <c r="AK333" s="174" t="s">
        <v>250</v>
      </c>
    </row>
    <row r="334" spans="1:37" s="174" customFormat="1" ht="43.5" x14ac:dyDescent="0.25">
      <c r="A334" s="54">
        <f>'הזנה לתנאי סף'!B334</f>
        <v>304</v>
      </c>
      <c r="B334" s="266">
        <f>IF($F334="","",'הזנה לתנאי סף'!C334)</f>
        <v>1001348230</v>
      </c>
      <c r="C334" s="266">
        <f>IF($F334="","",'הזנה לתנאי סף'!D334)</f>
        <v>1001273594</v>
      </c>
      <c r="D334" s="266">
        <f>IF($F334="","",'הזנה לתנאי סף'!E334)</f>
        <v>40000564</v>
      </c>
      <c r="E334" s="55">
        <f>IF($F334="","",'הזנה לתנאי סף'!F334)</f>
        <v>20000201</v>
      </c>
      <c r="F334" s="55" t="str">
        <f>IF('הזנה לתנאי סף'!BL334=1,'הזנה לתנאי סף'!G334,"")</f>
        <v>תל אביב -יפו</v>
      </c>
      <c r="G334" s="55" t="str">
        <f>IF($F334="","",'הזנה לתנאי סף'!H334)</f>
        <v>עמותת הכוריאוגרפים (ע"ר)</v>
      </c>
      <c r="H334" s="55" t="str">
        <f>IF($F334="","",'הזנה לתנאי סף'!I334)</f>
        <v>יוצרים עצמאיים במחול</v>
      </c>
      <c r="I334" s="187">
        <f>IF($F334="","",'הזנה לתנאי סף'!R334)</f>
        <v>80992</v>
      </c>
      <c r="J334" s="187">
        <f>IF($F334="","",'תחום תמיכה א'!P334)</f>
        <v>58487</v>
      </c>
      <c r="K334" s="177">
        <f>IF($F334="","",'הזנה לתנאי סף'!N334)</f>
        <v>0</v>
      </c>
      <c r="L334" s="177">
        <f>IF($F334="","",'הזנה לתנאי סף'!O334)</f>
        <v>1</v>
      </c>
      <c r="M334" s="177">
        <f>IF($F334="","",'הזנה לתנאי סף'!Q334)</f>
        <v>1</v>
      </c>
      <c r="N334" s="187">
        <f>IF($F334="","",'תחום תמיכה א'!AE334)</f>
        <v>2563.1935310187646</v>
      </c>
      <c r="O334" s="178"/>
      <c r="P334" s="187">
        <f>IF($F334="","",'תחום תמיכה ב'!AC334)</f>
        <v>8872.4521849613284</v>
      </c>
      <c r="Q334" s="187">
        <f>IF($F334="","",IF('תחום תמיכה ג'!O334="",0,'תחום תמיכה ג'!O334))</f>
        <v>0</v>
      </c>
      <c r="R334" s="187">
        <f t="shared" si="20"/>
        <v>266.04094232580428</v>
      </c>
      <c r="S334" s="187">
        <f>IF($F334="","",'תחום תמיכה ב'!AE334)</f>
        <v>9138.4931272871327</v>
      </c>
      <c r="T334" s="187">
        <f>IF($F334="","",IF(Q334='תחום תמיכה ג'!$Q$2,'תחום תמיכה ג'!$Q$2,IFERROR(SUMIF(N334:R334,"&gt;0"),'תחום תמיכה ג'!$Q$2)))</f>
        <v>11701.686658305896</v>
      </c>
      <c r="U334" s="187">
        <f>IF($F334="","",'הזנה לתנאי סף'!Y334)</f>
        <v>150000</v>
      </c>
      <c r="V334" s="269">
        <f>IF(F334="","",'הגבלה לסכום מבוקש '!AA334)</f>
        <v>13222.4002818507</v>
      </c>
      <c r="W334" s="187">
        <f t="shared" si="17"/>
        <v>3305.6000704626749</v>
      </c>
      <c r="X334" s="187">
        <f>IF(F334="","",'הזנה לתנאי סף'!Z334)</f>
        <v>150000</v>
      </c>
      <c r="Y334" s="237" t="str">
        <f>IFERROR(VLOOKUP(G334*1,#REF!,3,0),"")</f>
        <v/>
      </c>
      <c r="Z334" s="187" t="str">
        <f>IF(OR($F334="",Y334=""),"",IFERROR(IF(Y334&gt;V334,MIN(Y334,T334)-V334,0),'תחום תמיכה ג'!$Q$2))</f>
        <v/>
      </c>
      <c r="AA334" s="259"/>
      <c r="AB334" s="260" t="str">
        <f t="shared" si="21"/>
        <v/>
      </c>
      <c r="AC334" s="262"/>
      <c r="AD334" s="180"/>
      <c r="AE334" s="13" t="str">
        <f>IF($C334="","",IFERROR(VLOOKUP($C334,גיליון1!$A:$E,2,0),"לא הגיש בקשה שוטפת"))</f>
        <v>תמיכה שוטפת יוצרת עצמאית מירב דגן</v>
      </c>
      <c r="AF334" s="13" t="str">
        <f>IF($C334="","",IFERROR(VLOOKUP($C334,גיליון1!$A:$E,3,0),"לא הגיש בקשה שוטפת"))</f>
        <v>חויב</v>
      </c>
      <c r="AG334" s="13" t="str">
        <f>IF($C334="","",IFERROR(VLOOKUP($C334,גיליון1!$A:$E,4,0),"לא הגיש בקשה שוטפת"))</f>
        <v>19-42-02-20</v>
      </c>
      <c r="AH334" s="13" t="str">
        <f>IF($C334="","",IFERROR(VLOOKUP($C334,גיליון1!$A:$E,5,0),"לא הגיש בקשה שוטפת"))</f>
        <v>מחול וארגוני גג</v>
      </c>
      <c r="AI334" s="13">
        <f t="shared" si="19"/>
        <v>0</v>
      </c>
      <c r="AK334" s="174" t="s">
        <v>250</v>
      </c>
    </row>
    <row r="335" spans="1:37" s="174" customFormat="1" ht="43.5" x14ac:dyDescent="0.25">
      <c r="A335" s="54">
        <f>'הזנה לתנאי סף'!B335</f>
        <v>305</v>
      </c>
      <c r="B335" s="266">
        <f>IF($F335="","",'הזנה לתנאי סף'!C335)</f>
        <v>1001348231</v>
      </c>
      <c r="C335" s="266">
        <f>IF($F335="","",'הזנה לתנאי סף'!D335)</f>
        <v>1001273598</v>
      </c>
      <c r="D335" s="266">
        <f>IF($F335="","",'הזנה לתנאי סף'!E335)</f>
        <v>40000564</v>
      </c>
      <c r="E335" s="55">
        <f>IF($F335="","",'הזנה לתנאי סף'!F335)</f>
        <v>20000201</v>
      </c>
      <c r="F335" s="55" t="str">
        <f>IF('הזנה לתנאי סף'!BL335=1,'הזנה לתנאי סף'!G335,"")</f>
        <v>תל אביב -יפו</v>
      </c>
      <c r="G335" s="55" t="str">
        <f>IF($F335="","",'הזנה לתנאי סף'!H335)</f>
        <v>עמותת הכוריאוגרפים (ע"ר)</v>
      </c>
      <c r="H335" s="55" t="str">
        <f>IF($F335="","",'הזנה לתנאי סף'!I335)</f>
        <v>יוצרים עצמאיים במחול</v>
      </c>
      <c r="I335" s="187">
        <f>IF($F335="","",'הזנה לתנאי סף'!R335)</f>
        <v>315471</v>
      </c>
      <c r="J335" s="187">
        <f>IF($F335="","",'תחום תמיכה א'!P335)</f>
        <v>319445</v>
      </c>
      <c r="K335" s="177">
        <f>IF($F335="","",'הזנה לתנאי סף'!N335)</f>
        <v>0</v>
      </c>
      <c r="L335" s="177">
        <f>IF($F335="","",'הזנה לתנאי סף'!O335)</f>
        <v>1</v>
      </c>
      <c r="M335" s="177">
        <f>IF($F335="","",'הזנה לתנאי סף'!Q335)</f>
        <v>1</v>
      </c>
      <c r="N335" s="187">
        <f>IF($F335="","",'תחום תמיכה א'!AE335)</f>
        <v>13034.052830337279</v>
      </c>
      <c r="O335" s="178"/>
      <c r="P335" s="187">
        <f>IF($F335="","",'תחום תמיכה ב'!AC335)</f>
        <v>29955.987794594927</v>
      </c>
      <c r="Q335" s="187">
        <f>IF($F335="","",IF('תחום תמיכה ג'!O335="",0,'תחום תמיכה ג'!O335))</f>
        <v>0</v>
      </c>
      <c r="R335" s="187">
        <f t="shared" si="20"/>
        <v>898.23185913388443</v>
      </c>
      <c r="S335" s="187">
        <f>IF($F335="","",'תחום תמיכה ב'!AE335)</f>
        <v>30854.219653728811</v>
      </c>
      <c r="T335" s="187">
        <f>IF($F335="","",IF(Q335='תחום תמיכה ג'!$Q$2,'תחום תמיכה ג'!$Q$2,IFERROR(SUMIF(N335:R335,"&gt;0"),'תחום תמיכה ג'!$Q$2)))</f>
        <v>43888.272484066089</v>
      </c>
      <c r="U335" s="187">
        <f>IF($F335="","",'הזנה לתנאי סף'!Y335)</f>
        <v>150000</v>
      </c>
      <c r="V335" s="269">
        <f>IF(F335="","",'הגבלה לסכום מבוקש '!AA335)</f>
        <v>49024.639774986012</v>
      </c>
      <c r="W335" s="187">
        <f t="shared" si="17"/>
        <v>12256.159943746503</v>
      </c>
      <c r="X335" s="187">
        <f>IF(F335="","",'הזנה לתנאי סף'!Z335)</f>
        <v>150000</v>
      </c>
      <c r="Y335" s="237" t="str">
        <f>IFERROR(VLOOKUP(G335*1,#REF!,3,0),"")</f>
        <v/>
      </c>
      <c r="Z335" s="187" t="str">
        <f>IF(OR($F335="",Y335=""),"",IFERROR(IF(Y335&gt;V335,MIN(Y335,T335)-V335,0),'תחום תמיכה ג'!$Q$2))</f>
        <v/>
      </c>
      <c r="AA335" s="259"/>
      <c r="AB335" s="260" t="str">
        <f t="shared" si="21"/>
        <v/>
      </c>
      <c r="AC335" s="262"/>
      <c r="AD335" s="180"/>
      <c r="AE335" s="13" t="str">
        <f>IF($C335="","",IFERROR(VLOOKUP($C335,גיליון1!$A:$E,2,0),"לא הגיש בקשה שוטפת"))</f>
        <v>תמיכה שוטפת יוצרת עצמאית נדין בומר</v>
      </c>
      <c r="AF335" s="13" t="str">
        <f>IF($C335="","",IFERROR(VLOOKUP($C335,גיליון1!$A:$E,3,0),"לא הגיש בקשה שוטפת"))</f>
        <v>חויב</v>
      </c>
      <c r="AG335" s="13" t="str">
        <f>IF($C335="","",IFERROR(VLOOKUP($C335,גיליון1!$A:$E,4,0),"לא הגיש בקשה שוטפת"))</f>
        <v>19-42-02-20</v>
      </c>
      <c r="AH335" s="13" t="str">
        <f>IF($C335="","",IFERROR(VLOOKUP($C335,גיליון1!$A:$E,5,0),"לא הגיש בקשה שוטפת"))</f>
        <v>מחול וארגוני גג</v>
      </c>
      <c r="AI335" s="13">
        <f t="shared" si="19"/>
        <v>0</v>
      </c>
      <c r="AK335" s="174" t="s">
        <v>250</v>
      </c>
    </row>
    <row r="336" spans="1:37" s="174" customFormat="1" ht="43.5" x14ac:dyDescent="0.25">
      <c r="A336" s="54">
        <f>'הזנה לתנאי סף'!B336</f>
        <v>306</v>
      </c>
      <c r="B336" s="266">
        <f>IF($F336="","",'הזנה לתנאי סף'!C336)</f>
        <v>1001348232</v>
      </c>
      <c r="C336" s="266">
        <f>IF($F336="","",'הזנה לתנאי סף'!D336)</f>
        <v>1001273521</v>
      </c>
      <c r="D336" s="266">
        <f>IF($F336="","",'הזנה לתנאי סף'!E336)</f>
        <v>40000564</v>
      </c>
      <c r="E336" s="55">
        <f>IF($F336="","",'הזנה לתנאי סף'!F336)</f>
        <v>20000201</v>
      </c>
      <c r="F336" s="55" t="str">
        <f>IF('הזנה לתנאי סף'!BL336=1,'הזנה לתנאי סף'!G336,"")</f>
        <v>תל אביב -יפו</v>
      </c>
      <c r="G336" s="55" t="str">
        <f>IF($F336="","",'הזנה לתנאי סף'!H336)</f>
        <v>עמותת הכוריאוגרפים (ע"ר)</v>
      </c>
      <c r="H336" s="55" t="str">
        <f>IF($F336="","",'הזנה לתנאי סף'!I336)</f>
        <v>יוצרים עצמאיים במחול</v>
      </c>
      <c r="I336" s="187">
        <f>IF($F336="","",'הזנה לתנאי סף'!R336)</f>
        <v>120851</v>
      </c>
      <c r="J336" s="187">
        <f>IF($F336="","",'תחום תמיכה א'!P336)</f>
        <v>127990</v>
      </c>
      <c r="K336" s="177">
        <f>IF($F336="","",'הזנה לתנאי סף'!N336)</f>
        <v>0</v>
      </c>
      <c r="L336" s="177">
        <f>IF($F336="","",'הזנה לתנאי סף'!O336)</f>
        <v>1</v>
      </c>
      <c r="M336" s="177">
        <f>IF($F336="","",'הזנה לתנאי סף'!Q336)</f>
        <v>1</v>
      </c>
      <c r="N336" s="187">
        <f>IF($F336="","",'תחום תמיכה א'!AE336)</f>
        <v>3024.1344825799652</v>
      </c>
      <c r="O336" s="178"/>
      <c r="P336" s="187">
        <f>IF($F336="","",'תחום תמיכה ב'!AC336)</f>
        <v>3848.2015401923777</v>
      </c>
      <c r="Q336" s="187">
        <f>IF($F336="","",IF('תחום תמיכה ג'!O336="",0,'תחום תמיכה ג'!O336))</f>
        <v>0</v>
      </c>
      <c r="R336" s="187">
        <f t="shared" si="20"/>
        <v>115.38852423997059</v>
      </c>
      <c r="S336" s="187">
        <f>IF($F336="","",'תחום תמיכה ב'!AE336)</f>
        <v>3963.5900644323483</v>
      </c>
      <c r="T336" s="187">
        <f>IF($F336="","",IF(Q336='תחום תמיכה ג'!$Q$2,'תחום תמיכה ג'!$Q$2,IFERROR(SUMIF(N336:R336,"&gt;0"),'תחום תמיכה ג'!$Q$2)))</f>
        <v>6987.7245470123125</v>
      </c>
      <c r="U336" s="187">
        <f>IF($F336="","",'הזנה לתנאי סף'!Y336)</f>
        <v>150000</v>
      </c>
      <c r="V336" s="269">
        <f>IF(F336="","",'הגבלה לסכום מבוקש '!AA336)</f>
        <v>7648.1663589415757</v>
      </c>
      <c r="W336" s="187">
        <f t="shared" si="17"/>
        <v>1912.0415897353939</v>
      </c>
      <c r="X336" s="187">
        <f>IF(F336="","",'הזנה לתנאי סף'!Z336)</f>
        <v>150000</v>
      </c>
      <c r="Y336" s="237" t="str">
        <f>IFERROR(VLOOKUP(G336*1,#REF!,3,0),"")</f>
        <v/>
      </c>
      <c r="Z336" s="187" t="str">
        <f>IF(OR($F336="",Y336=""),"",IFERROR(IF(Y336&gt;V336,MIN(Y336,T336)-V336,0),'תחום תמיכה ג'!$Q$2))</f>
        <v/>
      </c>
      <c r="AA336" s="259"/>
      <c r="AB336" s="260" t="str">
        <f t="shared" si="21"/>
        <v/>
      </c>
      <c r="AC336" s="262"/>
      <c r="AD336" s="180"/>
      <c r="AE336" s="13" t="str">
        <f>IF($C336="","",IFERROR(VLOOKUP($C336,גיליון1!$A:$E,2,0),"לא הגיש בקשה שוטפת"))</f>
        <v>תמיכה שוטפת יוצרת עצמאית בשמת נוסן</v>
      </c>
      <c r="AF336" s="13" t="str">
        <f>IF($C336="","",IFERROR(VLOOKUP($C336,גיליון1!$A:$E,3,0),"לא הגיש בקשה שוטפת"))</f>
        <v>חויב</v>
      </c>
      <c r="AG336" s="13" t="str">
        <f>IF($C336="","",IFERROR(VLOOKUP($C336,גיליון1!$A:$E,4,0),"לא הגיש בקשה שוטפת"))</f>
        <v>19-42-02-20</v>
      </c>
      <c r="AH336" s="13" t="str">
        <f>IF($C336="","",IFERROR(VLOOKUP($C336,גיליון1!$A:$E,5,0),"לא הגיש בקשה שוטפת"))</f>
        <v>מחול וארגוני גג</v>
      </c>
      <c r="AI336" s="13">
        <f t="shared" si="19"/>
        <v>0</v>
      </c>
      <c r="AK336" s="174" t="s">
        <v>250</v>
      </c>
    </row>
    <row r="337" spans="1:37" s="174" customFormat="1" ht="43.5" x14ac:dyDescent="0.25">
      <c r="A337" s="54">
        <f>'הזנה לתנאי סף'!B337</f>
        <v>307</v>
      </c>
      <c r="B337" s="266">
        <f>IF($F337="","",'הזנה לתנאי סף'!C337)</f>
        <v>1001348233</v>
      </c>
      <c r="C337" s="266">
        <f>IF($F337="","",'הזנה לתנאי סף'!D337)</f>
        <v>1001272589</v>
      </c>
      <c r="D337" s="266">
        <f>IF($F337="","",'הזנה לתנאי סף'!E337)</f>
        <v>40000564</v>
      </c>
      <c r="E337" s="55">
        <f>IF($F337="","",'הזנה לתנאי סף'!F337)</f>
        <v>20000201</v>
      </c>
      <c r="F337" s="55" t="str">
        <f>IF('הזנה לתנאי סף'!BL337=1,'הזנה לתנאי סף'!G337,"")</f>
        <v>תל אביב -יפו</v>
      </c>
      <c r="G337" s="55" t="str">
        <f>IF($F337="","",'הזנה לתנאי סף'!H337)</f>
        <v>עמותת הכוריאוגרפים (ע"ר)</v>
      </c>
      <c r="H337" s="55" t="str">
        <f>IF($F337="","",'הזנה לתנאי סף'!I337)</f>
        <v>יוצרים עצמאיים במחול</v>
      </c>
      <c r="I337" s="187">
        <f>IF($F337="","",'הזנה לתנאי סף'!R337)</f>
        <v>132971</v>
      </c>
      <c r="J337" s="187">
        <f>IF($F337="","",'תחום תמיכה א'!P337)</f>
        <v>96104</v>
      </c>
      <c r="K337" s="177">
        <f>IF($F337="","",'הזנה לתנאי סף'!N337)</f>
        <v>0</v>
      </c>
      <c r="L337" s="177">
        <f>IF($F337="","",'הזנה לתנאי סף'!O337)</f>
        <v>1</v>
      </c>
      <c r="M337" s="177">
        <f>IF($F337="","",'הזנה לתנאי סף'!Q337)</f>
        <v>1</v>
      </c>
      <c r="N337" s="187">
        <f>IF($F337="","",'תחום תמיכה א'!AE337)</f>
        <v>2997.5451533624305</v>
      </c>
      <c r="O337" s="178"/>
      <c r="P337" s="187">
        <f>IF($F337="","",'תחום תמיכה ב'!AC337)</f>
        <v>7378.4121817123023</v>
      </c>
      <c r="Q337" s="187">
        <f>IF($F337="","",IF('תחום תמיכה ג'!O337="",0,'תחום תמיכה ג'!O337))</f>
        <v>0</v>
      </c>
      <c r="R337" s="187">
        <f t="shared" si="20"/>
        <v>221.24207476915035</v>
      </c>
      <c r="S337" s="187">
        <f>IF($F337="","",'תחום תמיכה ב'!AE337)</f>
        <v>7599.6542564814526</v>
      </c>
      <c r="T337" s="187">
        <f>IF($F337="","",IF(Q337='תחום תמיכה ג'!$Q$2,'תחום תמיכה ג'!$Q$2,IFERROR(SUMIF(N337:R337,"&gt;0"),'תחום תמיכה ג'!$Q$2)))</f>
        <v>10597.199409843883</v>
      </c>
      <c r="U337" s="187">
        <f>IF($F337="","",'הזנה לתנאי סף'!Y337)</f>
        <v>150000</v>
      </c>
      <c r="V337" s="269">
        <f>IF(F337="","",'הגבלה לסכום מבוקש '!AA337)</f>
        <v>11862.233031904734</v>
      </c>
      <c r="W337" s="187">
        <f t="shared" si="17"/>
        <v>2965.5582579761835</v>
      </c>
      <c r="X337" s="187">
        <f>IF(F337="","",'הזנה לתנאי סף'!Z337)</f>
        <v>150000</v>
      </c>
      <c r="Y337" s="237" t="str">
        <f>IFERROR(VLOOKUP(G337*1,#REF!,3,0),"")</f>
        <v/>
      </c>
      <c r="Z337" s="187" t="str">
        <f>IF(OR($F337="",Y337=""),"",IFERROR(IF(Y337&gt;V337,MIN(Y337,T337)-V337,0),'תחום תמיכה ג'!$Q$2))</f>
        <v/>
      </c>
      <c r="AA337" s="259"/>
      <c r="AB337" s="260" t="str">
        <f t="shared" si="21"/>
        <v/>
      </c>
      <c r="AC337" s="262"/>
      <c r="AD337" s="180"/>
      <c r="AE337" s="13" t="str">
        <f>IF($C337="","",IFERROR(VLOOKUP($C337,גיליון1!$A:$E,2,0),"לא הגיש בקשה שוטפת"))</f>
        <v>תמיכה שוטפת יוצר עצמאי אורי שפיר</v>
      </c>
      <c r="AF337" s="13" t="str">
        <f>IF($C337="","",IFERROR(VLOOKUP($C337,גיליון1!$A:$E,3,0),"לא הגיש בקשה שוטפת"))</f>
        <v>חויב</v>
      </c>
      <c r="AG337" s="13" t="str">
        <f>IF($C337="","",IFERROR(VLOOKUP($C337,גיליון1!$A:$E,4,0),"לא הגיש בקשה שוטפת"))</f>
        <v>19-42-02-20</v>
      </c>
      <c r="AH337" s="13" t="str">
        <f>IF($C337="","",IFERROR(VLOOKUP($C337,גיליון1!$A:$E,5,0),"לא הגיש בקשה שוטפת"))</f>
        <v>מחול וארגוני גג</v>
      </c>
      <c r="AI337" s="13">
        <f t="shared" si="19"/>
        <v>0</v>
      </c>
      <c r="AK337" s="174" t="s">
        <v>250</v>
      </c>
    </row>
    <row r="338" spans="1:37" s="174" customFormat="1" ht="43.5" x14ac:dyDescent="0.25">
      <c r="A338" s="54">
        <f>'הזנה לתנאי סף'!B338</f>
        <v>308</v>
      </c>
      <c r="B338" s="266">
        <f>IF($F338="","",'הזנה לתנאי סף'!C338)</f>
        <v>1001348234</v>
      </c>
      <c r="C338" s="266">
        <f>IF($F338="","",'הזנה לתנאי סף'!D338)</f>
        <v>1001272587</v>
      </c>
      <c r="D338" s="266">
        <f>IF($F338="","",'הזנה לתנאי סף'!E338)</f>
        <v>40000564</v>
      </c>
      <c r="E338" s="55">
        <f>IF($F338="","",'הזנה לתנאי סף'!F338)</f>
        <v>20000201</v>
      </c>
      <c r="F338" s="55" t="str">
        <f>IF('הזנה לתנאי סף'!BL338=1,'הזנה לתנאי סף'!G338,"")</f>
        <v>תל אביב -יפו</v>
      </c>
      <c r="G338" s="55" t="str">
        <f>IF($F338="","",'הזנה לתנאי סף'!H338)</f>
        <v>עמותת הכוריאוגרפים (ע"ר)</v>
      </c>
      <c r="H338" s="55" t="str">
        <f>IF($F338="","",'הזנה לתנאי סף'!I338)</f>
        <v>יוצרים עצמאיים במחול</v>
      </c>
      <c r="I338" s="187">
        <f>IF($F338="","",'הזנה לתנאי סף'!R338)</f>
        <v>97591</v>
      </c>
      <c r="J338" s="187">
        <f>IF($F338="","",'תחום תמיכה א'!P338)</f>
        <v>125042</v>
      </c>
      <c r="K338" s="177">
        <f>IF($F338="","",'הזנה לתנאי סף'!N338)</f>
        <v>0</v>
      </c>
      <c r="L338" s="177">
        <f>IF($F338="","",'הזנה לתנאי סף'!O338)</f>
        <v>1</v>
      </c>
      <c r="M338" s="177">
        <f>IF($F338="","",'הזנה לתנאי סף'!Q338)</f>
        <v>1</v>
      </c>
      <c r="N338" s="187">
        <f>IF($F338="","",'תחום תמיכה א'!AE338)</f>
        <v>2666.105763670575</v>
      </c>
      <c r="O338" s="178"/>
      <c r="P338" s="187">
        <f>IF($F338="","",'תחום תמיכה ב'!AC338)</f>
        <v>2530.5220803622824</v>
      </c>
      <c r="Q338" s="187">
        <f>IF($F338="","",IF('תחום תמיכה ג'!O338="",0,'תחום תמיכה ג'!O338))</f>
        <v>0</v>
      </c>
      <c r="R338" s="187">
        <f t="shared" si="20"/>
        <v>75.877836792058133</v>
      </c>
      <c r="S338" s="187">
        <f>IF($F338="","",'תחום תמיכה ב'!AE338)</f>
        <v>2606.3999171543405</v>
      </c>
      <c r="T338" s="187">
        <f>IF($F338="","",IF(Q338='תחום תמיכה ג'!$Q$2,'תחום תמיכה ג'!$Q$2,IFERROR(SUMIF(N338:R338,"&gt;0"),'תחום תמיכה ג'!$Q$2)))</f>
        <v>5272.5056808249155</v>
      </c>
      <c r="U338" s="187">
        <f>IF($F338="","",'הזנה לתנאי סף'!Y338)</f>
        <v>150000</v>
      </c>
      <c r="V338" s="269">
        <f>IF(F338="","",'הגבלה לסכום מבוקש '!AA338)</f>
        <v>5707.1112075123829</v>
      </c>
      <c r="W338" s="187">
        <f t="shared" si="17"/>
        <v>1426.7778018780957</v>
      </c>
      <c r="X338" s="187">
        <f>IF(F338="","",'הזנה לתנאי סף'!Z338)</f>
        <v>150000</v>
      </c>
      <c r="Y338" s="237" t="str">
        <f>IFERROR(VLOOKUP(G338*1,#REF!,3,0),"")</f>
        <v/>
      </c>
      <c r="Z338" s="187" t="str">
        <f>IF(OR($F338="",Y338=""),"",IFERROR(IF(Y338&gt;V338,MIN(Y338,T338)-V338,0),'תחום תמיכה ג'!$Q$2))</f>
        <v/>
      </c>
      <c r="AA338" s="259"/>
      <c r="AB338" s="260" t="str">
        <f t="shared" si="21"/>
        <v/>
      </c>
      <c r="AC338" s="262"/>
      <c r="AD338" s="180"/>
      <c r="AE338" s="13" t="str">
        <f>IF($C338="","",IFERROR(VLOOKUP($C338,גיליון1!$A:$E,2,0),"לא הגיש בקשה שוטפת"))</f>
        <v>תמיכה שוטפת יוצרת עצמאית-אור מרין</v>
      </c>
      <c r="AF338" s="13" t="str">
        <f>IF($C338="","",IFERROR(VLOOKUP($C338,גיליון1!$A:$E,3,0),"לא הגיש בקשה שוטפת"))</f>
        <v>חויב</v>
      </c>
      <c r="AG338" s="13" t="str">
        <f>IF($C338="","",IFERROR(VLOOKUP($C338,גיליון1!$A:$E,4,0),"לא הגיש בקשה שוטפת"))</f>
        <v>19-42-02-20</v>
      </c>
      <c r="AH338" s="13" t="str">
        <f>IF($C338="","",IFERROR(VLOOKUP($C338,גיליון1!$A:$E,5,0),"לא הגיש בקשה שוטפת"))</f>
        <v>מחול וארגוני גג</v>
      </c>
      <c r="AI338" s="13">
        <f t="shared" si="19"/>
        <v>0</v>
      </c>
      <c r="AK338" s="174" t="s">
        <v>250</v>
      </c>
    </row>
    <row r="339" spans="1:37" s="174" customFormat="1" ht="43.5" x14ac:dyDescent="0.25">
      <c r="A339" s="54">
        <f>'הזנה לתנאי סף'!B339</f>
        <v>309</v>
      </c>
      <c r="B339" s="266">
        <f>IF($F339="","",'הזנה לתנאי סף'!C339)</f>
        <v>1001348235</v>
      </c>
      <c r="C339" s="266">
        <f>IF($F339="","",'הזנה לתנאי סף'!D339)</f>
        <v>1001272585</v>
      </c>
      <c r="D339" s="266">
        <f>IF($F339="","",'הזנה לתנאי סף'!E339)</f>
        <v>40000564</v>
      </c>
      <c r="E339" s="55">
        <f>IF($F339="","",'הזנה לתנאי סף'!F339)</f>
        <v>20000201</v>
      </c>
      <c r="F339" s="55" t="str">
        <f>IF('הזנה לתנאי סף'!BL339=1,'הזנה לתנאי סף'!G339,"")</f>
        <v>תל אביב -יפו</v>
      </c>
      <c r="G339" s="55" t="str">
        <f>IF($F339="","",'הזנה לתנאי סף'!H339)</f>
        <v>עמותת הכוריאוגרפים (ע"ר)</v>
      </c>
      <c r="H339" s="55" t="str">
        <f>IF($F339="","",'הזנה לתנאי סף'!I339)</f>
        <v>יוצרים עצמאיים במחול</v>
      </c>
      <c r="I339" s="187">
        <f>IF($F339="","",'הזנה לתנאי סף'!R339)</f>
        <v>47332</v>
      </c>
      <c r="J339" s="187">
        <f>IF($F339="","",'תחום תמיכה א'!P339)</f>
        <v>250914</v>
      </c>
      <c r="K339" s="177">
        <f>IF($F339="","",'הזנה לתנאי סף'!N339)</f>
        <v>0</v>
      </c>
      <c r="L339" s="177">
        <f>IF($F339="","",'הזנה לתנאי סף'!O339)</f>
        <v>1</v>
      </c>
      <c r="M339" s="177">
        <f>IF($F339="","",'הזנה לתנאי סף'!Q339)</f>
        <v>1</v>
      </c>
      <c r="N339" s="187">
        <f>IF($F339="","",'תחום תמיכה א'!AE339)</f>
        <v>13716.088866654465</v>
      </c>
      <c r="O339" s="178"/>
      <c r="P339" s="187">
        <f>IF($F339="","",'תחום תמיכה ב'!AC339)</f>
        <v>8067.204883660921</v>
      </c>
      <c r="Q339" s="187">
        <f>IF($F339="","",IF('תחום תמיכה ג'!O339="",0,'תחום תמיכה ג'!O339))</f>
        <v>0</v>
      </c>
      <c r="R339" s="187">
        <f t="shared" si="20"/>
        <v>241.89555992448913</v>
      </c>
      <c r="S339" s="187">
        <f>IF($F339="","",'תחום תמיכה ב'!AE339)</f>
        <v>8309.1004435854102</v>
      </c>
      <c r="T339" s="187">
        <f>IF($F339="","",IF(Q339='תחום תמיכה ג'!$Q$2,'תחום תמיכה ג'!$Q$2,IFERROR(SUMIF(N339:R339,"&gt;0"),'תחום תמיכה ג'!$Q$2)))</f>
        <v>22025.189310239875</v>
      </c>
      <c r="U339" s="187">
        <f>IF($F339="","",'הזנה לתנאי סף'!Y339)</f>
        <v>150000</v>
      </c>
      <c r="V339" s="269">
        <f>IF(F339="","",'הגבלה לסכום מבוקש '!AA339)</f>
        <v>23413.069917038367</v>
      </c>
      <c r="W339" s="187">
        <f t="shared" si="17"/>
        <v>5853.2674792595917</v>
      </c>
      <c r="X339" s="187">
        <f>IF(F339="","",'הזנה לתנאי סף'!Z339)</f>
        <v>150000</v>
      </c>
      <c r="Y339" s="237" t="str">
        <f>IFERROR(VLOOKUP(G339*1,#REF!,3,0),"")</f>
        <v/>
      </c>
      <c r="Z339" s="187" t="str">
        <f>IF(OR($F339="",Y339=""),"",IFERROR(IF(Y339&gt;V339,MIN(Y339,T339)-V339,0),'תחום תמיכה ג'!$Q$2))</f>
        <v/>
      </c>
      <c r="AA339" s="259"/>
      <c r="AB339" s="260" t="str">
        <f t="shared" si="21"/>
        <v/>
      </c>
      <c r="AC339" s="262"/>
      <c r="AD339" s="180"/>
      <c r="AE339" s="13" t="str">
        <f>IF($C339="","",IFERROR(VLOOKUP($C339,גיליון1!$A:$E,2,0),"לא הגיש בקשה שוטפת"))</f>
        <v>תמיכה שוטפת יוצרת עצמאית אדווה ירמיהו</v>
      </c>
      <c r="AF339" s="13" t="str">
        <f>IF($C339="","",IFERROR(VLOOKUP($C339,גיליון1!$A:$E,3,0),"לא הגיש בקשה שוטפת"))</f>
        <v>חויב</v>
      </c>
      <c r="AG339" s="13" t="str">
        <f>IF($C339="","",IFERROR(VLOOKUP($C339,גיליון1!$A:$E,4,0),"לא הגיש בקשה שוטפת"))</f>
        <v>19-42-02-20</v>
      </c>
      <c r="AH339" s="13" t="str">
        <f>IF($C339="","",IFERROR(VLOOKUP($C339,גיליון1!$A:$E,5,0),"לא הגיש בקשה שוטפת"))</f>
        <v>מחול וארגוני גג</v>
      </c>
      <c r="AI339" s="13">
        <f t="shared" si="19"/>
        <v>0</v>
      </c>
      <c r="AK339" s="174" t="s">
        <v>250</v>
      </c>
    </row>
    <row r="340" spans="1:37" s="174" customFormat="1" ht="43.5" x14ac:dyDescent="0.25">
      <c r="A340" s="54">
        <f>'הזנה לתנאי סף'!B340</f>
        <v>310</v>
      </c>
      <c r="B340" s="266">
        <f>IF($F340="","",'הזנה לתנאי סף'!C340)</f>
        <v>1001348236</v>
      </c>
      <c r="C340" s="266">
        <f>IF($F340="","",'הזנה לתנאי סף'!D340)</f>
        <v>1001272586</v>
      </c>
      <c r="D340" s="266">
        <f>IF($F340="","",'הזנה לתנאי סף'!E340)</f>
        <v>40000564</v>
      </c>
      <c r="E340" s="55">
        <f>IF($F340="","",'הזנה לתנאי סף'!F340)</f>
        <v>20000201</v>
      </c>
      <c r="F340" s="55" t="str">
        <f>IF('הזנה לתנאי סף'!BL340=1,'הזנה לתנאי סף'!G340,"")</f>
        <v>תל אביב -יפו</v>
      </c>
      <c r="G340" s="55" t="str">
        <f>IF($F340="","",'הזנה לתנאי סף'!H340)</f>
        <v>עמותת הכוריאוגרפים (ע"ר)</v>
      </c>
      <c r="H340" s="55" t="str">
        <f>IF($F340="","",'הזנה לתנאי סף'!I340)</f>
        <v>יוצרים עצמאיים במחול</v>
      </c>
      <c r="I340" s="187">
        <f>IF($F340="","",'הזנה לתנאי סף'!R340)</f>
        <v>41582</v>
      </c>
      <c r="J340" s="187">
        <f>IF($F340="","",'תחום תמיכה א'!P340)</f>
        <v>32626</v>
      </c>
      <c r="K340" s="177">
        <f>IF($F340="","",'הזנה לתנאי סף'!N340)</f>
        <v>0</v>
      </c>
      <c r="L340" s="177">
        <f>IF($F340="","",'הזנה לתנאי סף'!O340)</f>
        <v>1</v>
      </c>
      <c r="M340" s="177">
        <f>IF($F340="","",'הזנה לתנאי סף'!Q340)</f>
        <v>1</v>
      </c>
      <c r="N340" s="187">
        <f>IF($F340="","",'תחום תמיכה א'!AE340)</f>
        <v>1783.484043789779</v>
      </c>
      <c r="O340" s="178"/>
      <c r="P340" s="187">
        <f>IF($F340="","",'תחום תמיכה ב'!AC340)</f>
        <v>7087.1823179326548</v>
      </c>
      <c r="Q340" s="187">
        <f>IF($F340="","",IF('תחום תמיכה ג'!O340="",0,'תחום תמיכה ג'!O340))</f>
        <v>0</v>
      </c>
      <c r="R340" s="187">
        <f t="shared" si="20"/>
        <v>212.5095320878072</v>
      </c>
      <c r="S340" s="187">
        <f>IF($F340="","",'תחום תמיכה ב'!AE340)</f>
        <v>7299.691850020462</v>
      </c>
      <c r="T340" s="187">
        <f>IF($F340="","",IF(Q340='תחום תמיכה ג'!$Q$2,'תחום תמיכה ג'!$Q$2,IFERROR(SUMIF(N340:R340,"&gt;0"),'תחום תמיכה ג'!$Q$2)))</f>
        <v>9083.1758938102394</v>
      </c>
      <c r="U340" s="187">
        <f>IF($F340="","",'הזנה לתנאי סף'!Y340)</f>
        <v>150000</v>
      </c>
      <c r="V340" s="269">
        <f>IF(F340="","",'הגבלה לסכום מבוקש '!AA340)</f>
        <v>10297.779041878583</v>
      </c>
      <c r="W340" s="187">
        <f t="shared" si="17"/>
        <v>2574.4447604696456</v>
      </c>
      <c r="X340" s="187">
        <f>IF(F340="","",'הזנה לתנאי סף'!Z340)</f>
        <v>150000</v>
      </c>
      <c r="Y340" s="237" t="str">
        <f>IFERROR(VLOOKUP(G340*1,#REF!,3,0),"")</f>
        <v/>
      </c>
      <c r="Z340" s="187" t="str">
        <f>IF(OR($F340="",Y340=""),"",IFERROR(IF(Y340&gt;V340,MIN(Y340,T340)-V340,0),'תחום תמיכה ג'!$Q$2))</f>
        <v/>
      </c>
      <c r="AA340" s="259"/>
      <c r="AB340" s="260" t="str">
        <f t="shared" si="21"/>
        <v/>
      </c>
      <c r="AC340" s="262"/>
      <c r="AD340" s="180"/>
      <c r="AE340" s="13" t="str">
        <f>IF($C340="","",IFERROR(VLOOKUP($C340,גיליון1!$A:$E,2,0),"לא הגיש בקשה שוטפת"))</f>
        <v>תמיכה שוטפת יוצרת עצמאית אהרונה ישראל</v>
      </c>
      <c r="AF340" s="13" t="str">
        <f>IF($C340="","",IFERROR(VLOOKUP($C340,גיליון1!$A:$E,3,0),"לא הגיש בקשה שוטפת"))</f>
        <v>חויב</v>
      </c>
      <c r="AG340" s="13" t="str">
        <f>IF($C340="","",IFERROR(VLOOKUP($C340,גיליון1!$A:$E,4,0),"לא הגיש בקשה שוטפת"))</f>
        <v>19-42-02-20</v>
      </c>
      <c r="AH340" s="13" t="str">
        <f>IF($C340="","",IFERROR(VLOOKUP($C340,גיליון1!$A:$E,5,0),"לא הגיש בקשה שוטפת"))</f>
        <v>מחול וארגוני גג</v>
      </c>
      <c r="AI340" s="13">
        <f t="shared" si="19"/>
        <v>0</v>
      </c>
      <c r="AK340" s="174" t="s">
        <v>250</v>
      </c>
    </row>
    <row r="341" spans="1:37" s="174" customFormat="1" ht="43.5" x14ac:dyDescent="0.25">
      <c r="A341" s="54">
        <f>'הזנה לתנאי סף'!B341</f>
        <v>311</v>
      </c>
      <c r="B341" s="266">
        <f>IF($F341="","",'הזנה לתנאי סף'!C341)</f>
        <v>1001348240</v>
      </c>
      <c r="C341" s="266">
        <f>IF($F341="","",'הזנה לתנאי סף'!D341)</f>
        <v>1001270940</v>
      </c>
      <c r="D341" s="266">
        <f>IF($F341="","",'הזנה לתנאי סף'!E341)</f>
        <v>40000564</v>
      </c>
      <c r="E341" s="55">
        <f>IF($F341="","",'הזנה לתנאי סף'!F341)</f>
        <v>20000201</v>
      </c>
      <c r="F341" s="55" t="str">
        <f>IF('הזנה לתנאי סף'!BL341=1,'הזנה לתנאי סף'!G341,"")</f>
        <v>תל אביב -יפו</v>
      </c>
      <c r="G341" s="55" t="str">
        <f>IF($F341="","",'הזנה לתנאי סף'!H341)</f>
        <v>עמותת הכוריאוגרפים (ע"ר)</v>
      </c>
      <c r="H341" s="55" t="str">
        <f>IF($F341="","",'הזנה לתנאי סף'!I341)</f>
        <v>יוצרים עצמאיים במחול</v>
      </c>
      <c r="I341" s="187">
        <f>IF($F341="","",'הזנה לתנאי סף'!R341)</f>
        <v>186183</v>
      </c>
      <c r="J341" s="187">
        <f>IF($F341="","",'תחום תמיכה א'!P341)</f>
        <v>196575</v>
      </c>
      <c r="K341" s="177">
        <f>IF($F341="","",'הזנה לתנאי סף'!N341)</f>
        <v>0</v>
      </c>
      <c r="L341" s="177">
        <f>IF($F341="","",'הזנה לתנאי סף'!O341)</f>
        <v>1</v>
      </c>
      <c r="M341" s="177">
        <f>IF($F341="","",'הזנה לתנאי סף'!Q341)</f>
        <v>1</v>
      </c>
      <c r="N341" s="187">
        <f>IF($F341="","",'תחום תמיכה א'!AE341)</f>
        <v>3003.7537431083979</v>
      </c>
      <c r="O341" s="178"/>
      <c r="P341" s="187">
        <f>IF($F341="","",'תחום תמיכה ב'!AC341)</f>
        <v>2479.5310068366043</v>
      </c>
      <c r="Q341" s="187">
        <f>IF($F341="","",IF('תחום תמיכה ג'!O341="",0,'תחום תמיכה ג'!O341))</f>
        <v>0</v>
      </c>
      <c r="R341" s="187">
        <f t="shared" si="20"/>
        <v>74.348866788255691</v>
      </c>
      <c r="S341" s="187">
        <f>IF($F341="","",'תחום תמיכה ב'!AE341)</f>
        <v>2553.87987362486</v>
      </c>
      <c r="T341" s="187">
        <f>IF($F341="","",IF(Q341='תחום תמיכה ג'!$Q$2,'תחום תמיכה ג'!$Q$2,IFERROR(SUMIF(N341:R341,"&gt;0"),'תחום תמיכה ג'!$Q$2)))</f>
        <v>5557.6336167332574</v>
      </c>
      <c r="U341" s="187">
        <f>IF($F341="","",'הזנה לתנאי סף'!Y341)</f>
        <v>150000</v>
      </c>
      <c r="V341" s="269">
        <f>IF(F341="","",'הגבלה לסכום מבוקש '!AA341)</f>
        <v>5983.6598627135172</v>
      </c>
      <c r="W341" s="187">
        <f t="shared" si="17"/>
        <v>1495.9149656783793</v>
      </c>
      <c r="X341" s="187">
        <f>IF(F341="","",'הזנה לתנאי סף'!Z341)</f>
        <v>150000</v>
      </c>
      <c r="Y341" s="237" t="str">
        <f>IFERROR(VLOOKUP(G341*1,#REF!,3,0),"")</f>
        <v/>
      </c>
      <c r="Z341" s="187" t="str">
        <f>IF(OR($F341="",Y341=""),"",IFERROR(IF(Y341&gt;V341,MIN(Y341,T341)-V341,0),'תחום תמיכה ג'!$Q$2))</f>
        <v/>
      </c>
      <c r="AA341" s="259"/>
      <c r="AB341" s="260" t="str">
        <f t="shared" si="21"/>
        <v/>
      </c>
      <c r="AC341" s="262"/>
      <c r="AD341" s="180"/>
      <c r="AE341" s="13" t="str">
        <f>IF($C341="","",IFERROR(VLOOKUP($C341,גיליון1!$A:$E,2,0),"לא הגיש בקשה שוטפת"))</f>
        <v>תמיכה שוטפת להקת נגה</v>
      </c>
      <c r="AF341" s="13" t="str">
        <f>IF($C341="","",IFERROR(VLOOKUP($C341,גיליון1!$A:$E,3,0),"לא הגיש בקשה שוטפת"))</f>
        <v>מועד</v>
      </c>
      <c r="AG341" s="13" t="str">
        <f>IF($C341="","",IFERROR(VLOOKUP($C341,גיליון1!$A:$E,4,0),"לא הגיש בקשה שוטפת"))</f>
        <v>19-42-02-31</v>
      </c>
      <c r="AH341" s="13" t="str">
        <f>IF($C341="","",IFERROR(VLOOKUP($C341,גיליון1!$A:$E,5,0),"לא הגיש בקשה שוטפת"))</f>
        <v>תרבות בקהילה תמיכה</v>
      </c>
      <c r="AI341" s="13">
        <f t="shared" si="19"/>
        <v>0</v>
      </c>
      <c r="AK341" s="174" t="s">
        <v>250</v>
      </c>
    </row>
    <row r="342" spans="1:37" s="174" customFormat="1" ht="43.5" x14ac:dyDescent="0.25">
      <c r="A342" s="54">
        <f>'הזנה לתנאי סף'!B342</f>
        <v>312</v>
      </c>
      <c r="B342" s="266">
        <f>IF($F342="","",'הזנה לתנאי סף'!C342)</f>
        <v>1001348241</v>
      </c>
      <c r="C342" s="266">
        <f>IF($F342="","",'הזנה לתנאי סף'!D342)</f>
        <v>1001272574</v>
      </c>
      <c r="D342" s="266">
        <f>IF($F342="","",'הזנה לתנאי סף'!E342)</f>
        <v>40000564</v>
      </c>
      <c r="E342" s="55">
        <f>IF($F342="","",'הזנה לתנאי סף'!F342)</f>
        <v>20000201</v>
      </c>
      <c r="F342" s="55" t="str">
        <f>IF('הזנה לתנאי סף'!BL342=1,'הזנה לתנאי סף'!G342,"")</f>
        <v>תל אביב -יפו</v>
      </c>
      <c r="G342" s="55" t="str">
        <f>IF($F342="","",'הזנה לתנאי סף'!H342)</f>
        <v>עמותת הכוריאוגרפים (ע"ר)</v>
      </c>
      <c r="H342" s="55" t="str">
        <f>IF($F342="","",'הזנה לתנאי סף'!I342)</f>
        <v>יוצרים עצמאיים במחול</v>
      </c>
      <c r="I342" s="187">
        <f>IF($F342="","",'הזנה לתנאי סף'!R342)</f>
        <v>215650</v>
      </c>
      <c r="J342" s="187">
        <f>IF($F342="","",'תחום תמיכה א'!P342)</f>
        <v>209973</v>
      </c>
      <c r="K342" s="177">
        <f>IF($F342="","",'הזנה לתנאי סף'!N342)</f>
        <v>0</v>
      </c>
      <c r="L342" s="177">
        <f>IF($F342="","",'הזנה לתנאי סף'!O342)</f>
        <v>1</v>
      </c>
      <c r="M342" s="177">
        <f>IF($F342="","",'הזנה לתנאי סף'!Q342)</f>
        <v>1</v>
      </c>
      <c r="N342" s="187">
        <f>IF($F342="","",'תחום תמיכה א'!AE342)</f>
        <v>8887.3204396755591</v>
      </c>
      <c r="O342" s="178"/>
      <c r="P342" s="187">
        <f>IF($F342="","",'תחום תמיכה ב'!AC342)</f>
        <v>22035.437260202933</v>
      </c>
      <c r="Q342" s="187">
        <f>IF($F342="","",IF('תחום תמיכה ג'!O342="",0,'תחום תמיכה ג'!O342))</f>
        <v>0</v>
      </c>
      <c r="R342" s="187">
        <f t="shared" si="20"/>
        <v>660.73373753448686</v>
      </c>
      <c r="S342" s="187">
        <f>IF($F342="","",'תחום תמיכה ב'!AE342)</f>
        <v>22696.170997737419</v>
      </c>
      <c r="T342" s="187">
        <f>IF($F342="","",IF(Q342='תחום תמיכה ג'!$Q$2,'תחום תמיכה ג'!$Q$2,IFERROR(SUMIF(N342:R342,"&gt;0"),'תחום תמיכה ג'!$Q$2)))</f>
        <v>31583.49143741298</v>
      </c>
      <c r="U342" s="187">
        <f>IF($F342="","",'הזנה לתנאי סף'!Y342)</f>
        <v>150000</v>
      </c>
      <c r="V342" s="269">
        <f>IF(F342="","",'הגבלה לסכום מבוקש '!AA342)</f>
        <v>35361.452158745044</v>
      </c>
      <c r="W342" s="187">
        <f t="shared" si="17"/>
        <v>8840.3630396862609</v>
      </c>
      <c r="X342" s="187">
        <f>IF(F342="","",'הזנה לתנאי סף'!Z342)</f>
        <v>150000</v>
      </c>
      <c r="Y342" s="237" t="str">
        <f>IFERROR(VLOOKUP(G342*1,#REF!,3,0),"")</f>
        <v/>
      </c>
      <c r="Z342" s="187" t="str">
        <f>IF(OR($F342="",Y342=""),"",IFERROR(IF(Y342&gt;V342,MIN(Y342,T342)-V342,0),'תחום תמיכה ג'!$Q$2))</f>
        <v/>
      </c>
      <c r="AA342" s="259"/>
      <c r="AB342" s="260" t="str">
        <f t="shared" si="21"/>
        <v/>
      </c>
      <c r="AC342" s="262"/>
      <c r="AD342" s="180"/>
      <c r="AE342" s="13" t="str">
        <f>IF($C342="","",IFERROR(VLOOKUP($C342,גיליון1!$A:$E,2,0),"לא הגיש בקשה שוטפת"))</f>
        <v>תמיכה שוטפת פרויקט GO</v>
      </c>
      <c r="AF342" s="13" t="str">
        <f>IF($C342="","",IFERROR(VLOOKUP($C342,גיליון1!$A:$E,3,0),"לא הגיש בקשה שוטפת"))</f>
        <v>חויב</v>
      </c>
      <c r="AG342" s="13" t="str">
        <f>IF($C342="","",IFERROR(VLOOKUP($C342,גיליון1!$A:$E,4,0),"לא הגיש בקשה שוטפת"))</f>
        <v>19-42-02-20</v>
      </c>
      <c r="AH342" s="13" t="str">
        <f>IF($C342="","",IFERROR(VLOOKUP($C342,גיליון1!$A:$E,5,0),"לא הגיש בקשה שוטפת"))</f>
        <v>מחול וארגוני גג</v>
      </c>
      <c r="AI342" s="13">
        <f t="shared" si="19"/>
        <v>0</v>
      </c>
      <c r="AK342" s="174" t="s">
        <v>250</v>
      </c>
    </row>
    <row r="343" spans="1:37" s="174" customFormat="1" ht="43.5" x14ac:dyDescent="0.25">
      <c r="A343" s="54">
        <f>'הזנה לתנאי סף'!B343</f>
        <v>313</v>
      </c>
      <c r="B343" s="266">
        <f>IF($F343="","",'הזנה לתנאי סף'!C343)</f>
        <v>1001348248</v>
      </c>
      <c r="C343" s="266">
        <f>IF($F343="","",'הזנה לתנאי סף'!D343)</f>
        <v>1001272582</v>
      </c>
      <c r="D343" s="266">
        <f>IF($F343="","",'הזנה לתנאי סף'!E343)</f>
        <v>40000564</v>
      </c>
      <c r="E343" s="55">
        <f>IF($F343="","",'הזנה לתנאי סף'!F343)</f>
        <v>20000201</v>
      </c>
      <c r="F343" s="55" t="str">
        <f>IF('הזנה לתנאי סף'!BL343=1,'הזנה לתנאי סף'!G343,"")</f>
        <v>תל אביב -יפו</v>
      </c>
      <c r="G343" s="55" t="str">
        <f>IF($F343="","",'הזנה לתנאי סף'!H343)</f>
        <v>עמותת הכוריאוגרפים (ע"ר)</v>
      </c>
      <c r="H343" s="55" t="str">
        <f>IF($F343="","",'הזנה לתנאי סף'!I343)</f>
        <v>יוצרים עצמאיים במחול</v>
      </c>
      <c r="I343" s="187">
        <f>IF($F343="","",'הזנה לתנאי סף'!R343)</f>
        <v>349701</v>
      </c>
      <c r="J343" s="187">
        <f>IF($F343="","",'תחום תמיכה א'!P343)</f>
        <v>131815</v>
      </c>
      <c r="K343" s="177">
        <f>IF($F343="","",'הזנה לתנאי סף'!N343)</f>
        <v>0</v>
      </c>
      <c r="L343" s="177">
        <f>IF($F343="","",'הזנה לתנאי סף'!O343)</f>
        <v>1</v>
      </c>
      <c r="M343" s="177">
        <f>IF($F343="","",'הזנה לתנאי סף'!Q343)</f>
        <v>1</v>
      </c>
      <c r="N343" s="187">
        <f>IF($F343="","",'תחום תמיכה א'!AE343)</f>
        <v>7205.6013373429087</v>
      </c>
      <c r="O343" s="178"/>
      <c r="P343" s="187">
        <f>IF($F343="","",'תחום תמיכה ב'!AC343)</f>
        <v>59602.586305693985</v>
      </c>
      <c r="Q343" s="187">
        <f>IF($F343="","",IF('תחום תמיכה ג'!O343="",0,'תחום תמיכה ג'!O343))</f>
        <v>0</v>
      </c>
      <c r="R343" s="187">
        <f t="shared" si="20"/>
        <v>1787.1866644374604</v>
      </c>
      <c r="S343" s="187">
        <f>IF($F343="","",'תחום תמיכה ב'!AE343)</f>
        <v>61389.772970131446</v>
      </c>
      <c r="T343" s="187">
        <f>IF($F343="","",IF(Q343='תחום תמיכה ג'!$Q$2,'תחום תמיכה ג'!$Q$2,IFERROR(SUMIF(N343:R343,"&gt;0"),'תחום תמיכה ג'!$Q$2)))</f>
        <v>68595.374307474354</v>
      </c>
      <c r="U343" s="187">
        <f>IF($F343="","",'הזנה לתנאי סף'!Y343)</f>
        <v>150000</v>
      </c>
      <c r="V343" s="269">
        <f>IF(F343="","",'הגבלה לסכום מבוקש '!AA343)</f>
        <v>78806.53252770027</v>
      </c>
      <c r="W343" s="187">
        <f t="shared" si="17"/>
        <v>19701.633131925068</v>
      </c>
      <c r="X343" s="187">
        <f>IF(F343="","",'הזנה לתנאי סף'!Z343)</f>
        <v>150000</v>
      </c>
      <c r="Y343" s="237" t="str">
        <f>IFERROR(VLOOKUP(G343*1,#REF!,3,0),"")</f>
        <v/>
      </c>
      <c r="Z343" s="187" t="str">
        <f>IF(OR($F343="",Y343=""),"",IFERROR(IF(Y343&gt;V343,MIN(Y343,T343)-V343,0),'תחום תמיכה ג'!$Q$2))</f>
        <v/>
      </c>
      <c r="AA343" s="259"/>
      <c r="AB343" s="260" t="str">
        <f t="shared" si="21"/>
        <v/>
      </c>
      <c r="AC343" s="262"/>
      <c r="AD343" s="180"/>
      <c r="AE343" s="13" t="str">
        <f>IF($C343="","",IFERROR(VLOOKUP($C343,גיליון1!$A:$E,2,0),"לא הגיש בקשה שוטפת"))</f>
        <v>תמיכה שוטפת פרוייקט בית ספר פורטל</v>
      </c>
      <c r="AF343" s="13" t="str">
        <f>IF($C343="","",IFERROR(VLOOKUP($C343,גיליון1!$A:$E,3,0),"לא הגיש בקשה שוטפת"))</f>
        <v>חויב</v>
      </c>
      <c r="AG343" s="13" t="str">
        <f>IF($C343="","",IFERROR(VLOOKUP($C343,גיליון1!$A:$E,4,0),"לא הגיש בקשה שוטפת"))</f>
        <v>19-42-02-20</v>
      </c>
      <c r="AH343" s="13" t="str">
        <f>IF($C343="","",IFERROR(VLOOKUP($C343,גיליון1!$A:$E,5,0),"לא הגיש בקשה שוטפת"))</f>
        <v>מחול וארגוני גג</v>
      </c>
      <c r="AI343" s="13">
        <f t="shared" si="19"/>
        <v>0</v>
      </c>
      <c r="AK343" s="174" t="s">
        <v>250</v>
      </c>
    </row>
    <row r="344" spans="1:37" s="174" customFormat="1" ht="43.5" x14ac:dyDescent="0.25">
      <c r="A344" s="54">
        <f>'הזנה לתנאי סף'!B344</f>
        <v>314</v>
      </c>
      <c r="B344" s="266">
        <f>IF($F344="","",'הזנה לתנאי סף'!C344)</f>
        <v>1001348257</v>
      </c>
      <c r="C344" s="266">
        <f>IF($F344="","",'הזנה לתנאי סף'!D344)</f>
        <v>1001272579</v>
      </c>
      <c r="D344" s="266">
        <f>IF($F344="","",'הזנה לתנאי סף'!E344)</f>
        <v>40000564</v>
      </c>
      <c r="E344" s="55">
        <f>IF($F344="","",'הזנה לתנאי סף'!F344)</f>
        <v>20000201</v>
      </c>
      <c r="F344" s="55" t="str">
        <f>IF('הזנה לתנאי סף'!BL344=1,'הזנה לתנאי סף'!G344,"")</f>
        <v>תל אביב -יפו</v>
      </c>
      <c r="G344" s="55" t="str">
        <f>IF($F344="","",'הזנה לתנאי סף'!H344)</f>
        <v>עמותת הכוריאוגרפים (ע"ר)</v>
      </c>
      <c r="H344" s="55" t="str">
        <f>IF($F344="","",'הזנה לתנאי סף'!I344)</f>
        <v>יוצרים עצמאיים במחול</v>
      </c>
      <c r="I344" s="187">
        <f>IF($F344="","",'הזנה לתנאי סף'!R344)</f>
        <v>106279</v>
      </c>
      <c r="J344" s="187">
        <f>IF($F344="","",'תחום תמיכה א'!P344)</f>
        <v>76168</v>
      </c>
      <c r="K344" s="177">
        <f>IF($F344="","",'הזנה לתנאי סף'!N344)</f>
        <v>0</v>
      </c>
      <c r="L344" s="177">
        <f>IF($F344="","",'הזנה לתנאי סף'!O344)</f>
        <v>1</v>
      </c>
      <c r="M344" s="177">
        <f>IF($F344="","",'הזנה לתנאי סף'!Q344)</f>
        <v>1</v>
      </c>
      <c r="N344" s="187">
        <f>IF($F344="","",'תחום תמיכה א'!AE344)</f>
        <v>4163.6857919260674</v>
      </c>
      <c r="O344" s="178"/>
      <c r="P344" s="187">
        <f>IF($F344="","",'תחום תמיכה ב'!AC344)</f>
        <v>18114.055350092938</v>
      </c>
      <c r="Q344" s="187">
        <f>IF($F344="","",IF('תחום תמיכה ג'!O344="",0,'תחום תמיכה ג'!O344))</f>
        <v>0</v>
      </c>
      <c r="R344" s="187">
        <f t="shared" si="20"/>
        <v>543.1508960790743</v>
      </c>
      <c r="S344" s="187">
        <f>IF($F344="","",'תחום תמיכה ב'!AE344)</f>
        <v>18657.206246172012</v>
      </c>
      <c r="T344" s="187">
        <f>IF($F344="","",IF(Q344='תחום תמיכה ג'!$Q$2,'תחום תמיכה ג'!$Q$2,IFERROR(SUMIF(N344:R344,"&gt;0"),'תחום תמיכה ג'!$Q$2)))</f>
        <v>22820.892038098078</v>
      </c>
      <c r="U344" s="187">
        <f>IF($F344="","",'הזנה לתנאי סף'!Y344)</f>
        <v>150000</v>
      </c>
      <c r="V344" s="269">
        <f>IF(F344="","",'הגבלה לסכום מבוקש '!AA344)</f>
        <v>25925.103834562971</v>
      </c>
      <c r="W344" s="187">
        <f t="shared" si="17"/>
        <v>6481.2759586407428</v>
      </c>
      <c r="X344" s="187">
        <f>IF(F344="","",'הזנה לתנאי סף'!Z344)</f>
        <v>150000</v>
      </c>
      <c r="Y344" s="237" t="str">
        <f>IFERROR(VLOOKUP(G344*1,#REF!,3,0),"")</f>
        <v/>
      </c>
      <c r="Z344" s="187" t="str">
        <f>IF(OR($F344="",Y344=""),"",IFERROR(IF(Y344&gt;V344,MIN(Y344,T344)-V344,0),'תחום תמיכה ג'!$Q$2))</f>
        <v/>
      </c>
      <c r="AA344" s="259"/>
      <c r="AB344" s="260" t="str">
        <f t="shared" si="21"/>
        <v/>
      </c>
      <c r="AC344" s="262"/>
      <c r="AD344" s="180"/>
      <c r="AE344" s="13" t="str">
        <f>IF($C344="","",IFERROR(VLOOKUP($C344,גיליון1!$A:$E,2,0),"לא הגיש בקשה שוטפת"))</f>
        <v>תמיכה שוטפת פרוייקט RESEARCH</v>
      </c>
      <c r="AF344" s="13" t="str">
        <f>IF($C344="","",IFERROR(VLOOKUP($C344,גיליון1!$A:$E,3,0),"לא הגיש בקשה שוטפת"))</f>
        <v>חויב</v>
      </c>
      <c r="AG344" s="13" t="str">
        <f>IF($C344="","",IFERROR(VLOOKUP($C344,גיליון1!$A:$E,4,0),"לא הגיש בקשה שוטפת"))</f>
        <v>19-42-02-20</v>
      </c>
      <c r="AH344" s="13" t="str">
        <f>IF($C344="","",IFERROR(VLOOKUP($C344,גיליון1!$A:$E,5,0),"לא הגיש בקשה שוטפת"))</f>
        <v>מחול וארגוני גג</v>
      </c>
      <c r="AI344" s="13">
        <f t="shared" si="19"/>
        <v>0</v>
      </c>
      <c r="AK344" s="174" t="s">
        <v>250</v>
      </c>
    </row>
    <row r="345" spans="1:37" s="174" customFormat="1" ht="43.5" x14ac:dyDescent="0.25">
      <c r="A345" s="54">
        <f>'הזנה לתנאי סף'!B345</f>
        <v>315</v>
      </c>
      <c r="B345" s="266">
        <f>IF($F345="","",'הזנה לתנאי סף'!C345)</f>
        <v>1001349448</v>
      </c>
      <c r="C345" s="266">
        <f>IF($F345="","",'הזנה לתנאי סף'!D345)</f>
        <v>1001272605</v>
      </c>
      <c r="D345" s="266">
        <f>IF($F345="","",'הזנה לתנאי סף'!E345)</f>
        <v>40000564</v>
      </c>
      <c r="E345" s="55">
        <f>IF($F345="","",'הזנה לתנאי סף'!F345)</f>
        <v>20000201</v>
      </c>
      <c r="F345" s="55" t="str">
        <f>IF('הזנה לתנאי סף'!BL345=1,'הזנה לתנאי סף'!G345,"")</f>
        <v>תל אביב -יפו</v>
      </c>
      <c r="G345" s="55" t="str">
        <f>IF($F345="","",'הזנה לתנאי סף'!H345)</f>
        <v>עמותת הכוריאוגרפים (ע"ר)</v>
      </c>
      <c r="H345" s="55" t="str">
        <f>IF($F345="","",'הזנה לתנאי סף'!I345)</f>
        <v>יוצרים עצמאיים במחול</v>
      </c>
      <c r="I345" s="187">
        <f>IF($F345="","",'הזנה לתנאי סף'!R345)</f>
        <v>45591</v>
      </c>
      <c r="J345" s="187">
        <f>IF($F345="","",'תחום תמיכה א'!P345)</f>
        <v>39443</v>
      </c>
      <c r="K345" s="177">
        <f>IF($F345="","",'הזנה לתנאי סף'!N345)</f>
        <v>0</v>
      </c>
      <c r="L345" s="177">
        <f>IF($F345="","",'הזנה לתנאי סף'!O345)</f>
        <v>1</v>
      </c>
      <c r="M345" s="177">
        <f>IF($F345="","",'הזנה לתנאי סף'!Q345)</f>
        <v>1</v>
      </c>
      <c r="N345" s="187">
        <f>IF($F345="","",'תחום תמיכה א'!AE345)</f>
        <v>2156.1319542450888</v>
      </c>
      <c r="O345" s="178"/>
      <c r="P345" s="187">
        <f>IF($F345="","",'תחום תמיכה ב'!AC345)</f>
        <v>7770.4710946291098</v>
      </c>
      <c r="Q345" s="187">
        <f>IF($F345="","",IF('תחום תמיכה ג'!O345="",0,'תחום תמיכה ג'!O345))</f>
        <v>0</v>
      </c>
      <c r="R345" s="187">
        <f t="shared" si="20"/>
        <v>232.99798175689557</v>
      </c>
      <c r="S345" s="187">
        <f>IF($F345="","",'תחום תמיכה ב'!AE345)</f>
        <v>8003.4690763860053</v>
      </c>
      <c r="T345" s="187">
        <f>IF($F345="","",IF(Q345='תחום תמיכה ג'!$Q$2,'תחום תמיכה ג'!$Q$2,IFERROR(SUMIF(N345:R345,"&gt;0"),'תחום תמיכה ג'!$Q$2)))</f>
        <v>10159.601030631093</v>
      </c>
      <c r="U345" s="187">
        <f>IF($F345="","",'הזנה לתנאי סף'!Y345)</f>
        <v>150000</v>
      </c>
      <c r="V345" s="269">
        <f>IF(F345="","",'הגבלה לסכום מבוקש '!AA345)</f>
        <v>11491.39777034938</v>
      </c>
      <c r="W345" s="187">
        <f t="shared" si="17"/>
        <v>2872.849442587345</v>
      </c>
      <c r="X345" s="187">
        <f>IF(F345="","",'הזנה לתנאי סף'!Z345)</f>
        <v>150000</v>
      </c>
      <c r="Y345" s="237" t="str">
        <f>IFERROR(VLOOKUP(G345*1,#REF!,3,0),"")</f>
        <v/>
      </c>
      <c r="Z345" s="187" t="str">
        <f>IF(OR($F345="",Y345=""),"",IFERROR(IF(Y345&gt;V345,MIN(Y345,T345)-V345,0),'תחום תמיכה ג'!$Q$2))</f>
        <v/>
      </c>
      <c r="AA345" s="259"/>
      <c r="AB345" s="260" t="str">
        <f t="shared" si="21"/>
        <v/>
      </c>
      <c r="AC345" s="262"/>
      <c r="AD345" s="180"/>
      <c r="AE345" s="13" t="str">
        <f>IF($C345="","",IFERROR(VLOOKUP($C345,גיליון1!$A:$E,2,0),"לא הגיש בקשה שוטפת"))</f>
        <v>תמיכה שוטפת יוצרת עצמאית אנבל דביר</v>
      </c>
      <c r="AF345" s="13" t="str">
        <f>IF($C345="","",IFERROR(VLOOKUP($C345,גיליון1!$A:$E,3,0),"לא הגיש בקשה שוטפת"))</f>
        <v>חויב</v>
      </c>
      <c r="AG345" s="13" t="str">
        <f>IF($C345="","",IFERROR(VLOOKUP($C345,גיליון1!$A:$E,4,0),"לא הגיש בקשה שוטפת"))</f>
        <v>19-42-02-20</v>
      </c>
      <c r="AH345" s="13" t="str">
        <f>IF($C345="","",IFERROR(VLOOKUP($C345,גיליון1!$A:$E,5,0),"לא הגיש בקשה שוטפת"))</f>
        <v>מחול וארגוני גג</v>
      </c>
      <c r="AI345" s="13">
        <f t="shared" si="19"/>
        <v>0</v>
      </c>
      <c r="AK345" s="174" t="s">
        <v>250</v>
      </c>
    </row>
    <row r="346" spans="1:37" s="174" customFormat="1" ht="43.5" x14ac:dyDescent="0.25">
      <c r="A346" s="54">
        <f>'הזנה לתנאי סף'!B346</f>
        <v>316</v>
      </c>
      <c r="B346" s="266">
        <f>IF($F346="","",'הזנה לתנאי סף'!C346)</f>
        <v>1001349449</v>
      </c>
      <c r="C346" s="266">
        <f>IF($F346="","",'הזנה לתנאי סף'!D346)</f>
        <v>1001273656</v>
      </c>
      <c r="D346" s="266">
        <f>IF($F346="","",'הזנה לתנאי סף'!E346)</f>
        <v>40000564</v>
      </c>
      <c r="E346" s="55">
        <f>IF($F346="","",'הזנה לתנאי סף'!F346)</f>
        <v>20000201</v>
      </c>
      <c r="F346" s="55" t="str">
        <f>IF('הזנה לתנאי סף'!BL346=1,'הזנה לתנאי סף'!G346,"")</f>
        <v>תל אביב -יפו</v>
      </c>
      <c r="G346" s="55" t="str">
        <f>IF($F346="","",'הזנה לתנאי סף'!H346)</f>
        <v>עמותת הכוריאוגרפים (ע"ר)</v>
      </c>
      <c r="H346" s="55" t="str">
        <f>IF($F346="","",'הזנה לתנאי סף'!I346)</f>
        <v>יוצרים עצמאיים במחול</v>
      </c>
      <c r="I346" s="187">
        <f>IF($F346="","",'הזנה לתנאי סף'!R346)</f>
        <v>57620</v>
      </c>
      <c r="J346" s="187">
        <f>IF($F346="","",'תחום תמיכה א'!P346)</f>
        <v>25546</v>
      </c>
      <c r="K346" s="177">
        <f>IF($F346="","",'הזנה לתנאי סף'!N346)</f>
        <v>0</v>
      </c>
      <c r="L346" s="177">
        <f>IF($F346="","",'הזנה לתנאי סף'!O346)</f>
        <v>1</v>
      </c>
      <c r="M346" s="177">
        <f>IF($F346="","",'הזנה לתנאי סף'!Q346)</f>
        <v>1</v>
      </c>
      <c r="N346" s="187">
        <f>IF($F346="","",'תחום תמיכה א'!AE346)</f>
        <v>1396.4593692960734</v>
      </c>
      <c r="O346" s="178"/>
      <c r="P346" s="187">
        <f>IF($F346="","",'תחום תמיכה ב'!AC346)</f>
        <v>9820.6783021326428</v>
      </c>
      <c r="Q346" s="187">
        <f>IF($F346="","",IF('תחום תמיכה ג'!O346="",0,'תחום תמיכה ג'!O346))</f>
        <v>0</v>
      </c>
      <c r="R346" s="187">
        <f t="shared" si="20"/>
        <v>294.47355199123376</v>
      </c>
      <c r="S346" s="187">
        <f>IF($F346="","",'תחום תמיכה ב'!AE346)</f>
        <v>10115.151854123877</v>
      </c>
      <c r="T346" s="187">
        <f>IF($F346="","",IF(Q346='תחום תמיכה ג'!$Q$2,'תחום תמיכה ג'!$Q$2,IFERROR(SUMIF(N346:R346,"&gt;0"),'תחום תמיכה ג'!$Q$2)))</f>
        <v>11511.61122341995</v>
      </c>
      <c r="U346" s="187">
        <f>IF($F346="","",'הזנה לתנאי סף'!Y346)</f>
        <v>150000</v>
      </c>
      <c r="V346" s="269">
        <f>IF(F346="","",'הגבלה לסכום מבוקש '!AA346)</f>
        <v>13194.192190391446</v>
      </c>
      <c r="W346" s="187">
        <f t="shared" si="17"/>
        <v>3298.5480475978616</v>
      </c>
      <c r="X346" s="187">
        <f>IF(F346="","",'הזנה לתנאי סף'!Z346)</f>
        <v>150000</v>
      </c>
      <c r="Y346" s="237" t="str">
        <f>IFERROR(VLOOKUP(G346*1,#REF!,3,0),"")</f>
        <v/>
      </c>
      <c r="Z346" s="187" t="str">
        <f>IF(OR($F346="",Y346=""),"",IFERROR(IF(Y346&gt;V346,MIN(Y346,T346)-V346,0),'תחום תמיכה ג'!$Q$2))</f>
        <v/>
      </c>
      <c r="AA346" s="259"/>
      <c r="AB346" s="260" t="str">
        <f t="shared" si="21"/>
        <v/>
      </c>
      <c r="AC346" s="262"/>
      <c r="AD346" s="180"/>
      <c r="AE346" s="13" t="str">
        <f>IF($C346="","",IFERROR(VLOOKUP($C346,גיליון1!$A:$E,2,0),"לא הגיש בקשה שוטפת"))</f>
        <v>תמיכה שוטפת יוצרת עצמאית סיגל ברגמן</v>
      </c>
      <c r="AF346" s="13" t="str">
        <f>IF($C346="","",IFERROR(VLOOKUP($C346,גיליון1!$A:$E,3,0),"לא הגיש בקשה שוטפת"))</f>
        <v>חויב</v>
      </c>
      <c r="AG346" s="13" t="str">
        <f>IF($C346="","",IFERROR(VLOOKUP($C346,גיליון1!$A:$E,4,0),"לא הגיש בקשה שוטפת"))</f>
        <v>19-42-02-20</v>
      </c>
      <c r="AH346" s="13" t="str">
        <f>IF($C346="","",IFERROR(VLOOKUP($C346,גיליון1!$A:$E,5,0),"לא הגיש בקשה שוטפת"))</f>
        <v>מחול וארגוני גג</v>
      </c>
      <c r="AI346" s="13">
        <f t="shared" si="19"/>
        <v>0</v>
      </c>
      <c r="AK346" s="174" t="s">
        <v>250</v>
      </c>
    </row>
    <row r="347" spans="1:37" s="174" customFormat="1" ht="43.5" x14ac:dyDescent="0.25">
      <c r="A347" s="54">
        <f>'הזנה לתנאי סף'!B347</f>
        <v>317</v>
      </c>
      <c r="B347" s="266">
        <f>IF($F347="","",'הזנה לתנאי סף'!C347)</f>
        <v>1001349480</v>
      </c>
      <c r="C347" s="266">
        <f>IF($F347="","",'הזנה לתנאי סף'!D347)</f>
        <v>1001272601</v>
      </c>
      <c r="D347" s="266">
        <f>IF($F347="","",'הזנה לתנאי סף'!E347)</f>
        <v>40000564</v>
      </c>
      <c r="E347" s="55">
        <f>IF($F347="","",'הזנה לתנאי סף'!F347)</f>
        <v>20000201</v>
      </c>
      <c r="F347" s="55" t="str">
        <f>IF('הזנה לתנאי סף'!BL347=1,'הזנה לתנאי סף'!G347,"")</f>
        <v>תל אביב -יפו</v>
      </c>
      <c r="G347" s="55" t="str">
        <f>IF($F347="","",'הזנה לתנאי סף'!H347)</f>
        <v>עמותת הכוריאוגרפים (ע"ר)</v>
      </c>
      <c r="H347" s="55" t="str">
        <f>IF($F347="","",'הזנה לתנאי סף'!I347)</f>
        <v>יוצרים עצמאיים במחול</v>
      </c>
      <c r="I347" s="187">
        <f>IF($F347="","",'הזנה לתנאי סף'!R347)</f>
        <v>45448</v>
      </c>
      <c r="J347" s="187">
        <f>IF($F347="","",'תחום תמיכה א'!P347)</f>
        <v>36207</v>
      </c>
      <c r="K347" s="177">
        <f>IF($F347="","",'הזנה לתנאי סף'!N347)</f>
        <v>0</v>
      </c>
      <c r="L347" s="177">
        <f>IF($F347="","",'הזנה לתנאי סף'!O347)</f>
        <v>1</v>
      </c>
      <c r="M347" s="177">
        <f>IF($F347="","",'הזנה לתנאי סף'!Q347)</f>
        <v>1</v>
      </c>
      <c r="N347" s="187">
        <f>IF($F347="","",'תחום תמיכה א'!AE347)</f>
        <v>1979.2376256205641</v>
      </c>
      <c r="O347" s="178"/>
      <c r="P347" s="187">
        <f>IF($F347="","",'תחום תמיכה ב'!AC347)</f>
        <v>7746.0983595162152</v>
      </c>
      <c r="Q347" s="187">
        <f>IF($F347="","",IF('תחום תמיכה ג'!O347="",0,'תחום תמיכה ג'!O347))</f>
        <v>0</v>
      </c>
      <c r="R347" s="187">
        <f t="shared" si="20"/>
        <v>232.26716402113107</v>
      </c>
      <c r="S347" s="187">
        <f>IF($F347="","",'תחום תמיכה ב'!AE347)</f>
        <v>7978.3655235373462</v>
      </c>
      <c r="T347" s="187">
        <f>IF($F347="","",IF(Q347='תחום תמיכה ג'!$Q$2,'תחום תמיכה ג'!$Q$2,IFERROR(SUMIF(N347:R347,"&gt;0"),'תחום תמיכה ג'!$Q$2)))</f>
        <v>9957.6031491579088</v>
      </c>
      <c r="U347" s="187">
        <f>IF($F347="","",'הזנה לתנאי סף'!Y347)</f>
        <v>150000</v>
      </c>
      <c r="V347" s="269">
        <f>IF(F347="","",'הגבלה לסכום מבוקש '!AA347)</f>
        <v>11285.145131226793</v>
      </c>
      <c r="W347" s="187">
        <f t="shared" si="17"/>
        <v>2821.2862828066982</v>
      </c>
      <c r="X347" s="187">
        <f>IF(F347="","",'הזנה לתנאי סף'!Z347)</f>
        <v>150000</v>
      </c>
      <c r="Y347" s="237" t="str">
        <f>IFERROR(VLOOKUP(G347*1,#REF!,3,0),"")</f>
        <v/>
      </c>
      <c r="Z347" s="187" t="str">
        <f>IF(OR($F347="",Y347=""),"",IFERROR(IF(Y347&gt;V347,MIN(Y347,T347)-V347,0),'תחום תמיכה ג'!$Q$2))</f>
        <v/>
      </c>
      <c r="AA347" s="259"/>
      <c r="AB347" s="260" t="str">
        <f t="shared" si="21"/>
        <v/>
      </c>
      <c r="AC347" s="262"/>
      <c r="AD347" s="180"/>
      <c r="AE347" s="13" t="str">
        <f>IF($C347="","",IFERROR(VLOOKUP($C347,גיליון1!$A:$E,2,0),"לא הגיש בקשה שוטפת"))</f>
        <v>תמיכה שוטפת יוצרת עצמאית אורין יוחנן</v>
      </c>
      <c r="AF347" s="13" t="str">
        <f>IF($C347="","",IFERROR(VLOOKUP($C347,גיליון1!$A:$E,3,0),"לא הגיש בקשה שוטפת"))</f>
        <v>חויב</v>
      </c>
      <c r="AG347" s="13" t="str">
        <f>IF($C347="","",IFERROR(VLOOKUP($C347,גיליון1!$A:$E,4,0),"לא הגיש בקשה שוטפת"))</f>
        <v>19-42-02-20</v>
      </c>
      <c r="AH347" s="13" t="str">
        <f>IF($C347="","",IFERROR(VLOOKUP($C347,גיליון1!$A:$E,5,0),"לא הגיש בקשה שוטפת"))</f>
        <v>מחול וארגוני גג</v>
      </c>
      <c r="AI347" s="13">
        <f t="shared" si="19"/>
        <v>0</v>
      </c>
      <c r="AK347" s="174" t="s">
        <v>250</v>
      </c>
    </row>
    <row r="348" spans="1:37" s="174" customFormat="1" ht="43.5" x14ac:dyDescent="0.25">
      <c r="A348" s="54">
        <f>'הזנה לתנאי סף'!B348</f>
        <v>318</v>
      </c>
      <c r="B348" s="266">
        <f>IF($F348="","",'הזנה לתנאי סף'!C348)</f>
        <v>1001349483</v>
      </c>
      <c r="C348" s="266">
        <f>IF($F348="","",'הזנה לתנאי סף'!D348)</f>
        <v>1001276682</v>
      </c>
      <c r="D348" s="266">
        <f>IF($F348="","",'הזנה לתנאי סף'!E348)</f>
        <v>40000564</v>
      </c>
      <c r="E348" s="55">
        <f>IF($F348="","",'הזנה לתנאי סף'!F348)</f>
        <v>20000201</v>
      </c>
      <c r="F348" s="55" t="str">
        <f>IF('הזנה לתנאי סף'!BL348=1,'הזנה לתנאי סף'!G348,"")</f>
        <v>תל אביב -יפו</v>
      </c>
      <c r="G348" s="55" t="str">
        <f>IF($F348="","",'הזנה לתנאי סף'!H348)</f>
        <v>עמותת הכוריאוגרפים (ע"ר)</v>
      </c>
      <c r="H348" s="55" t="str">
        <f>IF($F348="","",'הזנה לתנאי סף'!I348)</f>
        <v>יוצרים עצמאיים במחול</v>
      </c>
      <c r="I348" s="187">
        <f>IF($F348="","",'הזנה לתנאי סף'!R348)</f>
        <v>69327</v>
      </c>
      <c r="J348" s="187">
        <f>IF($F348="","",'תחום תמיכה א'!P348)</f>
        <v>69327</v>
      </c>
      <c r="K348" s="177">
        <f>IF($F348="","",'הזנה לתנאי סף'!N348)</f>
        <v>0</v>
      </c>
      <c r="L348" s="177">
        <f>IF($F348="","",'הזנה לתנאי סף'!O348)</f>
        <v>1</v>
      </c>
      <c r="M348" s="177">
        <f>IF($F348="","",'הזנה לתנאי סף'!Q348)</f>
        <v>1</v>
      </c>
      <c r="N348" s="187">
        <f>IF($F348="","",'תחום תמיכה א'!AE348)</f>
        <v>3789.7259334216274</v>
      </c>
      <c r="O348" s="178"/>
      <c r="P348" s="187">
        <f>IF($F348="","",'תחום תמיכה ב'!AC348)</f>
        <v>11816.004245955392</v>
      </c>
      <c r="Q348" s="187">
        <f>IF($F348="","",IF('תחום תמיכה ג'!O348="",0,'תחום תמיכה ג'!O348))</f>
        <v>0</v>
      </c>
      <c r="R348" s="187">
        <f t="shared" si="20"/>
        <v>354.30350466671734</v>
      </c>
      <c r="S348" s="187">
        <f>IF($F348="","",'תחום תמיכה ב'!AE348)</f>
        <v>12170.307750622109</v>
      </c>
      <c r="T348" s="187">
        <f>IF($F348="","",IF(Q348='תחום תמיכה ג'!$Q$2,'תחום תמיכה ג'!$Q$2,IFERROR(SUMIF(N348:R348,"&gt;0"),'תחום תמיכה ג'!$Q$2)))</f>
        <v>15960.033684043736</v>
      </c>
      <c r="U348" s="187">
        <f>IF($F348="","",'הזנה לתנאי סף'!Y348)</f>
        <v>150000</v>
      </c>
      <c r="V348" s="269">
        <f>IF(F348="","",'הגבלה לסכום מבוקש '!AA348)</f>
        <v>17985.435217932245</v>
      </c>
      <c r="W348" s="187">
        <f t="shared" si="17"/>
        <v>4496.3588044830612</v>
      </c>
      <c r="X348" s="187">
        <f>IF(F348="","",'הזנה לתנאי סף'!Z348)</f>
        <v>150000</v>
      </c>
      <c r="Y348" s="237" t="str">
        <f>IFERROR(VLOOKUP(G348*1,#REF!,3,0),"")</f>
        <v/>
      </c>
      <c r="Z348" s="187" t="str">
        <f>IF(OR($F348="",Y348=""),"",IFERROR(IF(Y348&gt;V348,MIN(Y348,T348)-V348,0),'תחום תמיכה ג'!$Q$2))</f>
        <v/>
      </c>
      <c r="AA348" s="259"/>
      <c r="AB348" s="260" t="str">
        <f t="shared" si="21"/>
        <v/>
      </c>
      <c r="AC348" s="262"/>
      <c r="AD348" s="180"/>
      <c r="AE348" s="13" t="str">
        <f>IF($C348="","",IFERROR(VLOOKUP($C348,גיליון1!$A:$E,2,0),"לא הגיש בקשה שוטפת"))</f>
        <v>תמיכה שוטפת פרוייקט Non Image</v>
      </c>
      <c r="AF348" s="13" t="str">
        <f>IF($C348="","",IFERROR(VLOOKUP($C348,גיליון1!$A:$E,3,0),"לא הגיש בקשה שוטפת"))</f>
        <v>חויב</v>
      </c>
      <c r="AG348" s="13" t="str">
        <f>IF($C348="","",IFERROR(VLOOKUP($C348,גיליון1!$A:$E,4,0),"לא הגיש בקשה שוטפת"))</f>
        <v>19-42-02-20</v>
      </c>
      <c r="AH348" s="13" t="str">
        <f>IF($C348="","",IFERROR(VLOOKUP($C348,גיליון1!$A:$E,5,0),"לא הגיש בקשה שוטפת"))</f>
        <v>מחול וארגוני גג</v>
      </c>
      <c r="AI348" s="13">
        <f t="shared" si="19"/>
        <v>0</v>
      </c>
      <c r="AK348" s="174" t="s">
        <v>250</v>
      </c>
    </row>
    <row r="349" spans="1:37" s="174" customFormat="1" ht="57.75" x14ac:dyDescent="0.25">
      <c r="A349" s="54">
        <f>'הזנה לתנאי סף'!B349</f>
        <v>319</v>
      </c>
      <c r="B349" s="266">
        <f>IF($F349="","",'הזנה לתנאי סף'!C349)</f>
        <v>1001349487</v>
      </c>
      <c r="C349" s="266">
        <f>IF($F349="","",'הזנה לתנאי סף'!D349)</f>
        <v>1001263329</v>
      </c>
      <c r="D349" s="266">
        <f>IF($F349="","",'הזנה לתנאי סף'!E349)</f>
        <v>40000567</v>
      </c>
      <c r="E349" s="55">
        <f>IF($F349="","",'הזנה לתנאי סף'!F349)</f>
        <v>20000201</v>
      </c>
      <c r="F349" s="55" t="str">
        <f>IF('הזנה לתנאי סף'!BL349=1,'הזנה לתנאי סף'!G349,"")</f>
        <v>תל אביב -יפו</v>
      </c>
      <c r="G349" s="55" t="str">
        <f>IF($F349="","",'הזנה לתנאי סף'!H349)</f>
        <v>תיאטרון ארצי לילדים ונוער (ע"ר)</v>
      </c>
      <c r="H349" s="55" t="str">
        <f>IF($F349="","",'הזנה לתנאי סף'!I349)</f>
        <v>תיאטרון</v>
      </c>
      <c r="I349" s="187">
        <f>IF($F349="","",'הזנה לתנאי סף'!R349)</f>
        <v>14324540</v>
      </c>
      <c r="J349" s="187">
        <f>IF($F349="","",'תחום תמיכה א'!P349)</f>
        <v>13980728</v>
      </c>
      <c r="K349" s="177">
        <f>IF($F349="","",'הזנה לתנאי סף'!N349)</f>
        <v>1</v>
      </c>
      <c r="L349" s="177">
        <f>IF($F349="","",'הזנה לתנאי סף'!O349)</f>
        <v>0</v>
      </c>
      <c r="M349" s="177">
        <f>IF($F349="","",'הזנה לתנאי סף'!Q349)</f>
        <v>1</v>
      </c>
      <c r="N349" s="187">
        <f>IF($F349="","",'תחום תמיכה א'!AE349)</f>
        <v>546365.21216043818</v>
      </c>
      <c r="O349" s="178"/>
      <c r="P349" s="187">
        <f>IF($F349="","",'תחום תמיכה ב'!AC349)</f>
        <v>1247798.9871488453</v>
      </c>
      <c r="Q349" s="187">
        <f>IF($F349="","",IF('תחום תמיכה ג'!O349="",0,'תחום תמיכה ג'!O349))</f>
        <v>523255.48285806971</v>
      </c>
      <c r="R349" s="187">
        <f t="shared" si="20"/>
        <v>37415.317823514342</v>
      </c>
      <c r="S349" s="187">
        <f>IF($F349="","",'תחום תמיכה ב'!AE349)</f>
        <v>1285214.3049723597</v>
      </c>
      <c r="T349" s="187">
        <f>IF($F349="","",IF(Q349='תחום תמיכה ג'!$Q$2,'תחום תמיכה ג'!$Q$2,IFERROR(SUMIF(N349:R349,"&gt;0"),'תחום תמיכה ג'!$Q$2)))</f>
        <v>2354834.9999908675</v>
      </c>
      <c r="U349" s="187">
        <f>IF($F349="","",'הזנה לתנאי סף'!Y349)</f>
        <v>1900000</v>
      </c>
      <c r="V349" s="269">
        <f>IF(F349="","",'הגבלה לסכום מבוקש '!AA349)</f>
        <v>1900000</v>
      </c>
      <c r="W349" s="187">
        <f t="shared" si="17"/>
        <v>475000</v>
      </c>
      <c r="X349" s="187">
        <f>IF(F349="","",'הזנה לתנאי סף'!Z349)</f>
        <v>900000</v>
      </c>
      <c r="Y349" s="237" t="str">
        <f>IFERROR(VLOOKUP(G349*1,#REF!,3,0),"")</f>
        <v/>
      </c>
      <c r="Z349" s="187" t="str">
        <f>IF(OR($F349="",Y349=""),"",IFERROR(IF(Y349&gt;V349,MIN(Y349,T349)-V349,0),'תחום תמיכה ג'!$Q$2))</f>
        <v/>
      </c>
      <c r="AA349" s="259"/>
      <c r="AB349" s="260" t="str">
        <f t="shared" si="21"/>
        <v/>
      </c>
      <c r="AC349" s="262"/>
      <c r="AD349" s="180"/>
      <c r="AE349" s="13" t="str">
        <f>IF($C349="","",IFERROR(VLOOKUP($C349,גיליון1!$A:$E,2,0),"לא הגיש בקשה שוטפת"))</f>
        <v>תיאטרון ארצי לנוער תמיכה שוטפת 2020</v>
      </c>
      <c r="AF349" s="13" t="str">
        <f>IF($C349="","",IFERROR(VLOOKUP($C349,גיליון1!$A:$E,3,0),"לא הגיש בקשה שוטפת"))</f>
        <v>חויב</v>
      </c>
      <c r="AG349" s="13" t="str">
        <f>IF($C349="","",IFERROR(VLOOKUP($C349,גיליון1!$A:$E,4,0),"לא הגיש בקשה שוטפת"))</f>
        <v>19-42-02-07</v>
      </c>
      <c r="AH349" s="13" t="str">
        <f>IF($C349="","",IFERROR(VLOOKUP($C349,גיליון1!$A:$E,5,0),"לא הגיש בקשה שוטפת"))</f>
        <v>תיאטרון</v>
      </c>
      <c r="AI349" s="13">
        <f t="shared" si="19"/>
        <v>1</v>
      </c>
      <c r="AK349" s="174" t="s">
        <v>250</v>
      </c>
    </row>
    <row r="350" spans="1:37" s="174" customFormat="1" ht="72" x14ac:dyDescent="0.25">
      <c r="A350" s="54">
        <f>'הזנה לתנאי סף'!B350</f>
        <v>320</v>
      </c>
      <c r="B350" s="266">
        <f>IF($F350="","",'הזנה לתנאי סף'!C350)</f>
        <v>1001347578</v>
      </c>
      <c r="C350" s="266">
        <f>IF($F350="","",'הזנה לתנאי סף'!D350)</f>
        <v>1001275925</v>
      </c>
      <c r="D350" s="266">
        <f>IF($F350="","",'הזנה לתנאי סף'!E350)</f>
        <v>40000632</v>
      </c>
      <c r="E350" s="55">
        <f>IF($F350="","",'הזנה לתנאי סף'!F350)</f>
        <v>20000201</v>
      </c>
      <c r="F350" s="55" t="str">
        <f>IF('הזנה לתנאי סף'!BL350=1,'הזנה לתנאי סף'!G350,"")</f>
        <v>תל אביב -יפו</v>
      </c>
      <c r="G350" s="55" t="str">
        <f>IF($F350="","",'הזנה לתנאי סף'!H350)</f>
        <v>האנסמבל הקולי הישראלי (1995) (ע"ר)</v>
      </c>
      <c r="H350" s="55" t="str">
        <f>IF($F350="","",'הזנה לתנאי סף'!I350)</f>
        <v>אחר</v>
      </c>
      <c r="I350" s="187">
        <f>IF($F350="","",'הזנה לתנאי סף'!R350)</f>
        <v>1667383</v>
      </c>
      <c r="J350" s="187">
        <f>IF($F350="","",'תחום תמיכה א'!P350)</f>
        <v>1695835</v>
      </c>
      <c r="K350" s="177">
        <f>IF($F350="","",'הזנה לתנאי סף'!N350)</f>
        <v>1</v>
      </c>
      <c r="L350" s="177">
        <f>IF($F350="","",'הזנה לתנאי סף'!O350)</f>
        <v>0</v>
      </c>
      <c r="M350" s="177">
        <f>IF($F350="","",'הזנה לתנאי סף'!Q350)</f>
        <v>1</v>
      </c>
      <c r="N350" s="187">
        <f>IF($F350="","",'תחום תמיכה א'!AE350)</f>
        <v>38942.232071383914</v>
      </c>
      <c r="O350" s="178"/>
      <c r="P350" s="187">
        <f>IF($F350="","",'תחום תמיכה ב'!AC350)</f>
        <v>50149.579989920407</v>
      </c>
      <c r="Q350" s="187">
        <f>IF($F350="","",IF('תחום תמיכה ג'!O350="",0,'תחום תמיכה ג'!O350))</f>
        <v>21029.863754509523</v>
      </c>
      <c r="R350" s="187">
        <f t="shared" si="20"/>
        <v>1503.737776166985</v>
      </c>
      <c r="S350" s="187">
        <f>IF($F350="","",'תחום תמיכה ב'!AE350)</f>
        <v>51653.317766087392</v>
      </c>
      <c r="T350" s="187">
        <f>IF($F350="","",IF(Q350='תחום תמיכה ג'!$Q$2,'תחום תמיכה ג'!$Q$2,IFERROR(SUMIF(N350:R350,"&gt;0"),'תחום תמיכה ג'!$Q$2)))</f>
        <v>111625.41359198082</v>
      </c>
      <c r="U350" s="187">
        <f>IF($F350="","",'הזנה לתנאי סף'!Y350)</f>
        <v>650000</v>
      </c>
      <c r="V350" s="269">
        <f>IF(F350="","",'הגבלה לסכום מבוקש '!AA350)</f>
        <v>120241.62226041795</v>
      </c>
      <c r="W350" s="187">
        <f t="shared" si="17"/>
        <v>30060.405565104487</v>
      </c>
      <c r="X350" s="187">
        <f>IF(F350="","",'הזנה לתנאי סף'!Z350)</f>
        <v>130000</v>
      </c>
      <c r="Y350" s="237" t="str">
        <f>IFERROR(VLOOKUP(G350*1,#REF!,3,0),"")</f>
        <v/>
      </c>
      <c r="Z350" s="187" t="str">
        <f>IF(OR($F350="",Y350=""),"",IFERROR(IF(Y350&gt;V350,MIN(Y350,T350)-V350,0),'תחום תמיכה ג'!$Q$2))</f>
        <v/>
      </c>
      <c r="AA350" s="259"/>
      <c r="AB350" s="260" t="str">
        <f t="shared" si="21"/>
        <v/>
      </c>
      <c r="AC350" s="262"/>
      <c r="AD350" s="180"/>
      <c r="AE350" s="13" t="str">
        <f>IF($C350="","",IFERROR(VLOOKUP($C350,גיליון1!$A:$E,2,0),"לא הגיש בקשה שוטפת"))</f>
        <v>תמיכה שוטפת באנסמבל הקולי הישראלי ל-2020</v>
      </c>
      <c r="AF350" s="13" t="str">
        <f>IF($C350="","",IFERROR(VLOOKUP($C350,גיליון1!$A:$E,3,0),"לא הגיש בקשה שוטפת"))</f>
        <v>מועד</v>
      </c>
      <c r="AG350" s="13" t="str">
        <f>IF($C350="","",IFERROR(VLOOKUP($C350,גיליון1!$A:$E,4,0),"לא הגיש בקשה שוטפת"))</f>
        <v>19-42-02-16</v>
      </c>
      <c r="AH350" s="13" t="str">
        <f>IF($C350="","",IFERROR(VLOOKUP($C350,גיליון1!$A:$E,5,0),"לא הגיש בקשה שוטפת"))</f>
        <v>מוסיקה</v>
      </c>
      <c r="AI350" s="13">
        <f t="shared" si="19"/>
        <v>0</v>
      </c>
      <c r="AK350" s="174" t="s">
        <v>250</v>
      </c>
    </row>
    <row r="351" spans="1:37" s="174" customFormat="1" ht="72" x14ac:dyDescent="0.25">
      <c r="A351" s="54">
        <f>'הזנה לתנאי סף'!B351</f>
        <v>321</v>
      </c>
      <c r="B351" s="266">
        <f>IF($F351="","",'הזנה לתנאי סף'!C351)</f>
        <v>1001349109</v>
      </c>
      <c r="C351" s="266">
        <f>IF($F351="","",'הזנה לתנאי סף'!D351)</f>
        <v>1001289001</v>
      </c>
      <c r="D351" s="266">
        <f>IF($F351="","",'הזנה לתנאי סף'!E351)</f>
        <v>40000632</v>
      </c>
      <c r="E351" s="55">
        <f>IF($F351="","",'הזנה לתנאי סף'!F351)</f>
        <v>20000201</v>
      </c>
      <c r="F351" s="55" t="str">
        <f>IF('הזנה לתנאי סף'!BL351=1,'הזנה לתנאי סף'!G351,"")</f>
        <v>תל אביב -יפו</v>
      </c>
      <c r="G351" s="55" t="str">
        <f>IF($F351="","",'הזנה לתנאי סף'!H351)</f>
        <v>האנסמבל הקולי הישראלי (1995) (ע"ר)</v>
      </c>
      <c r="H351" s="55" t="str">
        <f>IF($F351="","",'הזנה לתנאי סף'!I351)</f>
        <v>מקהלות</v>
      </c>
      <c r="I351" s="187">
        <f>IF($F351="","",'הזנה לתנאי סף'!R351)</f>
        <v>55277</v>
      </c>
      <c r="J351" s="187">
        <f>IF($F351="","",'תחום תמיכה א'!P351)</f>
        <v>55277</v>
      </c>
      <c r="K351" s="177">
        <f>IF($F351="","",'הזנה לתנאי סף'!N351)</f>
        <v>0</v>
      </c>
      <c r="L351" s="177">
        <f>IF($F351="","",'הזנה לתנאי סף'!O351)</f>
        <v>1</v>
      </c>
      <c r="M351" s="177">
        <f>IF($F351="","",'הזנה לתנאי סף'!Q351)</f>
        <v>1</v>
      </c>
      <c r="N351" s="187">
        <f>IF($F351="","",'תחום תמיכה א'!AE351)</f>
        <v>1287.3490232099948</v>
      </c>
      <c r="O351" s="178"/>
      <c r="P351" s="187">
        <f>IF($F351="","",'תחום תמיכה ב'!AC351)</f>
        <v>1710.0373219439825</v>
      </c>
      <c r="Q351" s="187">
        <f>IF($F351="","",IF('תחום תמיכה ג'!O351="",0,'תחום תמיכה ג'!O351))</f>
        <v>0</v>
      </c>
      <c r="R351" s="187">
        <f t="shared" si="20"/>
        <v>51.275558442950796</v>
      </c>
      <c r="S351" s="187">
        <f>IF($F351="","",'תחום תמיכה ב'!AE351)</f>
        <v>1761.3128803869333</v>
      </c>
      <c r="T351" s="187">
        <f>IF($F351="","",IF(Q351='תחום תמיכה ג'!$Q$2,'תחום תמיכה ג'!$Q$2,IFERROR(SUMIF(N351:R351,"&gt;0"),'תחום תמיכה ג'!$Q$2)))</f>
        <v>3048.6619035969279</v>
      </c>
      <c r="U351" s="187">
        <f>IF($F351="","",'הזנה לתנאי סף'!Y351)</f>
        <v>10000</v>
      </c>
      <c r="V351" s="269">
        <f>IF(F351="","",'הגבלה לסכום מבוקש '!AA351)</f>
        <v>3342.1187679632503</v>
      </c>
      <c r="W351" s="187">
        <f t="shared" si="17"/>
        <v>835.52969199081258</v>
      </c>
      <c r="X351" s="187">
        <f>IF(F351="","",'הזנה לתנאי סף'!Z351)</f>
        <v>1000</v>
      </c>
      <c r="Y351" s="237" t="str">
        <f>IFERROR(VLOOKUP(G351*1,#REF!,3,0),"")</f>
        <v/>
      </c>
      <c r="Z351" s="187" t="str">
        <f>IF(OR($F351="",Y351=""),"",IFERROR(IF(Y351&gt;V351,MIN(Y351,T351)-V351,0),'תחום תמיכה ג'!$Q$2))</f>
        <v/>
      </c>
      <c r="AA351" s="259"/>
      <c r="AB351" s="260" t="str">
        <f t="shared" si="21"/>
        <v/>
      </c>
      <c r="AC351" s="262"/>
      <c r="AD351" s="180"/>
      <c r="AE351" s="13" t="str">
        <f>IF($C351="","",IFERROR(VLOOKUP($C351,גיליון1!$A:$E,2,0),"לא הגיש בקשה שוטפת"))</f>
        <v>תמיכה שוטפת במקהלת עדי ל-2020</v>
      </c>
      <c r="AF351" s="13" t="str">
        <f>IF($C351="","",IFERROR(VLOOKUP($C351,גיליון1!$A:$E,3,0),"לא הגיש בקשה שוטפת"))</f>
        <v>טיוט</v>
      </c>
      <c r="AG351" s="13" t="str">
        <f>IF($C351="","",IFERROR(VLOOKUP($C351,גיליון1!$A:$E,4,0),"לא הגיש בקשה שוטפת"))</f>
        <v>19-42-02-16</v>
      </c>
      <c r="AH351" s="13" t="str">
        <f>IF($C351="","",IFERROR(VLOOKUP($C351,גיליון1!$A:$E,5,0),"לא הגיש בקשה שוטפת"))</f>
        <v>מוסיקה</v>
      </c>
      <c r="AI351" s="13">
        <f t="shared" si="19"/>
        <v>0</v>
      </c>
      <c r="AK351" s="174" t="s">
        <v>250</v>
      </c>
    </row>
    <row r="352" spans="1:37" s="174" customFormat="1" ht="57.75" x14ac:dyDescent="0.25">
      <c r="A352" s="54">
        <f>'הזנה לתנאי סף'!B352</f>
        <v>322</v>
      </c>
      <c r="B352" s="266">
        <f>IF($F352="","",'הזנה לתנאי סף'!C352)</f>
        <v>1001348981</v>
      </c>
      <c r="C352" s="266">
        <f>IF($F352="","",'הזנה לתנאי סף'!D352)</f>
        <v>1001276716</v>
      </c>
      <c r="D352" s="266">
        <f>IF($F352="","",'הזנה לתנאי סף'!E352)</f>
        <v>40000644</v>
      </c>
      <c r="E352" s="55">
        <f>IF($F352="","",'הזנה לתנאי סף'!F352)</f>
        <v>20000201</v>
      </c>
      <c r="F352" s="55" t="str">
        <f>IF('הזנה לתנאי סף'!BL352=1,'הזנה לתנאי סף'!G352,"")</f>
        <v>תל אביב -יפו</v>
      </c>
      <c r="G352" s="55" t="str">
        <f>IF($F352="","",'הזנה לתנאי סף'!H352)</f>
        <v>תיאטרון השעה הישראלי (ע"ר)</v>
      </c>
      <c r="H352" s="55" t="str">
        <f>IF($F352="","",'הזנה לתנאי סף'!I352)</f>
        <v>תיאטרון</v>
      </c>
      <c r="I352" s="187">
        <f>IF($F352="","",'הזנה לתנאי סף'!R352)</f>
        <v>20778977</v>
      </c>
      <c r="J352" s="187">
        <f>IF($F352="","",'תחום תמיכה א'!P352)</f>
        <v>19338241</v>
      </c>
      <c r="K352" s="177">
        <f>IF($F352="","",'הזנה לתנאי סף'!N352)</f>
        <v>1</v>
      </c>
      <c r="L352" s="177">
        <f>IF($F352="","",'הזנה לתנאי סף'!O352)</f>
        <v>0</v>
      </c>
      <c r="M352" s="177">
        <f>IF($F352="","",'הזנה לתנאי סף'!Q352)</f>
        <v>1</v>
      </c>
      <c r="N352" s="187">
        <f>IF($F352="","",'תחום תמיכה א'!AE352)</f>
        <v>845246.91876408691</v>
      </c>
      <c r="O352" s="178"/>
      <c r="P352" s="187">
        <f>IF($F352="","",'תחום תמיכה ב'!AC352)</f>
        <v>2264200.3685017941</v>
      </c>
      <c r="Q352" s="187">
        <f>IF($F352="","",IF('תחום תמיכה ג'!O352="",0,'תחום תמיכה ג'!O352))</f>
        <v>949476.05288166553</v>
      </c>
      <c r="R352" s="187">
        <f t="shared" si="20"/>
        <v>67892.166347389109</v>
      </c>
      <c r="S352" s="187">
        <f>IF($F352="","",'תחום תמיכה ב'!AE352)</f>
        <v>2332092.5348491832</v>
      </c>
      <c r="T352" s="187">
        <f>IF($F352="","",IF(Q352='תחום תמיכה ג'!$Q$2,'תחום תמיכה ג'!$Q$2,IFERROR(SUMIF(N352:R352,"&gt;0"),'תחום תמיכה ג'!$Q$2)))</f>
        <v>4126815.5064949356</v>
      </c>
      <c r="U352" s="187">
        <f>IF($F352="","",'הזנה לתנאי סף'!Y352)</f>
        <v>1300000</v>
      </c>
      <c r="V352" s="269">
        <f>IF(F352="","",'הגבלה לסכום מבוקש '!AA352)</f>
        <v>1300000</v>
      </c>
      <c r="W352" s="187">
        <f t="shared" ref="W352:W415" si="22">IF(G352="","",V352/4)</f>
        <v>325000</v>
      </c>
      <c r="X352" s="187">
        <f>IF(F352="","",'הזנה לתנאי סף'!Z352)</f>
        <v>1500000</v>
      </c>
      <c r="Y352" s="237" t="str">
        <f>IFERROR(VLOOKUP(G352*1,#REF!,3,0),"")</f>
        <v/>
      </c>
      <c r="Z352" s="187" t="str">
        <f>IF(OR($F352="",Y352=""),"",IFERROR(IF(Y352&gt;V352,MIN(Y352,T352)-V352,0),'תחום תמיכה ג'!$Q$2))</f>
        <v/>
      </c>
      <c r="AA352" s="259"/>
      <c r="AB352" s="260" t="str">
        <f t="shared" si="21"/>
        <v/>
      </c>
      <c r="AC352" s="262"/>
      <c r="AD352" s="180"/>
      <c r="AE352" s="13" t="str">
        <f>IF($C352="","",IFERROR(VLOOKUP($C352,גיליון1!$A:$E,2,0),"לא הגיש בקשה שוטפת"))</f>
        <v>תיאטרון השעה - בקשת תמיכה שוטפת 2020</v>
      </c>
      <c r="AF352" s="13" t="str">
        <f>IF($C352="","",IFERROR(VLOOKUP($C352,גיליון1!$A:$E,3,0),"לא הגיש בקשה שוטפת"))</f>
        <v>חויב</v>
      </c>
      <c r="AG352" s="13" t="str">
        <f>IF($C352="","",IFERROR(VLOOKUP($C352,גיליון1!$A:$E,4,0),"לא הגיש בקשה שוטפת"))</f>
        <v>19-42-02-07</v>
      </c>
      <c r="AH352" s="13" t="str">
        <f>IF($C352="","",IFERROR(VLOOKUP($C352,גיליון1!$A:$E,5,0),"לא הגיש בקשה שוטפת"))</f>
        <v>תיאטרון</v>
      </c>
      <c r="AI352" s="13">
        <f t="shared" ref="AI352:AI415" si="23">IF(T352&gt;U352,1,0)</f>
        <v>1</v>
      </c>
      <c r="AK352" s="174" t="s">
        <v>250</v>
      </c>
    </row>
    <row r="353" spans="1:37" s="174" customFormat="1" x14ac:dyDescent="0.25">
      <c r="A353" s="54">
        <f>'הזנה לתנאי סף'!B353</f>
        <v>323</v>
      </c>
      <c r="B353" s="266" t="str">
        <f>IF($F353="","",'הזנה לתנאי סף'!C353)</f>
        <v/>
      </c>
      <c r="C353" s="266" t="str">
        <f>IF($F353="","",'הזנה לתנאי סף'!D353)</f>
        <v/>
      </c>
      <c r="D353" s="266" t="str">
        <f>IF($F353="","",'הזנה לתנאי סף'!E353)</f>
        <v/>
      </c>
      <c r="E353" s="55" t="str">
        <f>IF($F353="","",'הזנה לתנאי סף'!F353)</f>
        <v/>
      </c>
      <c r="F353" s="55" t="str">
        <f>IF('הזנה לתנאי סף'!BL353=1,'הזנה לתנאי סף'!G353,"")</f>
        <v/>
      </c>
      <c r="G353" s="55" t="str">
        <f>IF($F353="","",'הזנה לתנאי סף'!H353)</f>
        <v/>
      </c>
      <c r="H353" s="55" t="str">
        <f>IF($F353="","",'הזנה לתנאי סף'!I353)</f>
        <v/>
      </c>
      <c r="I353" s="187" t="str">
        <f>IF($F353="","",'הזנה לתנאי סף'!R353)</f>
        <v/>
      </c>
      <c r="J353" s="187" t="str">
        <f>IF($F353="","",'תחום תמיכה א'!P353)</f>
        <v/>
      </c>
      <c r="K353" s="177" t="str">
        <f>IF($F353="","",'הזנה לתנאי סף'!N353)</f>
        <v/>
      </c>
      <c r="L353" s="177" t="str">
        <f>IF($F353="","",'הזנה לתנאי סף'!O353)</f>
        <v/>
      </c>
      <c r="M353" s="177" t="str">
        <f>IF($F353="","",'הזנה לתנאי סף'!Q353)</f>
        <v/>
      </c>
      <c r="N353" s="187" t="str">
        <f>IF($F353="","",'תחום תמיכה א'!AE353)</f>
        <v/>
      </c>
      <c r="O353" s="178"/>
      <c r="P353" s="187" t="str">
        <f>IF($F353="","",'תחום תמיכה ב'!AC353)</f>
        <v/>
      </c>
      <c r="Q353" s="187" t="str">
        <f>IF($F353="","",IF('תחום תמיכה ג'!O353="",0,'תחום תמיכה ג'!O353))</f>
        <v/>
      </c>
      <c r="R353" s="187" t="str">
        <f t="shared" si="20"/>
        <v/>
      </c>
      <c r="S353" s="187" t="str">
        <f>IF($F353="","",'תחום תמיכה ב'!AE353)</f>
        <v/>
      </c>
      <c r="T353" s="187" t="str">
        <f>IF($F353="","",IF(Q353='תחום תמיכה ג'!$Q$2,'תחום תמיכה ג'!$Q$2,IFERROR(SUMIF(N353:R353,"&gt;0"),'תחום תמיכה ג'!$Q$2)))</f>
        <v/>
      </c>
      <c r="U353" s="187" t="str">
        <f>IF($F353="","",'הזנה לתנאי סף'!Y353)</f>
        <v/>
      </c>
      <c r="V353" s="269" t="str">
        <f>IF(F353="","",'הגבלה לסכום מבוקש '!AA353)</f>
        <v/>
      </c>
      <c r="W353" s="187" t="str">
        <f t="shared" si="22"/>
        <v/>
      </c>
      <c r="X353" s="187" t="str">
        <f>IF(F353="","",'הזנה לתנאי סף'!Z353)</f>
        <v/>
      </c>
      <c r="Y353" s="237" t="str">
        <f>IFERROR(VLOOKUP(G353*1,#REF!,3,0),"")</f>
        <v/>
      </c>
      <c r="Z353" s="187" t="str">
        <f>IF(OR($F353="",Y353=""),"",IFERROR(IF(Y353&gt;V353,MIN(Y353,T353)-V353,0),'תחום תמיכה ג'!$Q$2))</f>
        <v/>
      </c>
      <c r="AA353" s="259"/>
      <c r="AB353" s="260" t="str">
        <f t="shared" si="21"/>
        <v/>
      </c>
      <c r="AC353" s="262"/>
      <c r="AD353" s="180"/>
      <c r="AE353" s="13" t="str">
        <f>IF($C353="","",IFERROR(VLOOKUP($C353,גיליון1!$A:$E,2,0),"לא הגיש בקשה שוטפת"))</f>
        <v/>
      </c>
      <c r="AF353" s="13" t="str">
        <f>IF($C353="","",IFERROR(VLOOKUP($C353,גיליון1!$A:$E,3,0),"לא הגיש בקשה שוטפת"))</f>
        <v/>
      </c>
      <c r="AG353" s="13" t="str">
        <f>IF($C353="","",IFERROR(VLOOKUP($C353,גיליון1!$A:$E,4,0),"לא הגיש בקשה שוטפת"))</f>
        <v/>
      </c>
      <c r="AH353" s="13" t="str">
        <f>IF($C353="","",IFERROR(VLOOKUP($C353,גיליון1!$A:$E,5,0),"לא הגיש בקשה שוטפת"))</f>
        <v/>
      </c>
      <c r="AI353" s="13">
        <f t="shared" si="23"/>
        <v>0</v>
      </c>
      <c r="AK353" s="174" t="s">
        <v>250</v>
      </c>
    </row>
    <row r="354" spans="1:37" s="174" customFormat="1" ht="29.25" x14ac:dyDescent="0.25">
      <c r="A354" s="54">
        <f>'הזנה לתנאי סף'!B354</f>
        <v>324</v>
      </c>
      <c r="B354" s="266">
        <f>IF($F354="","",'הזנה לתנאי סף'!C354)</f>
        <v>1001349067</v>
      </c>
      <c r="C354" s="266">
        <f>IF($F354="","",'הזנה לתנאי סף'!D354)</f>
        <v>1001302269</v>
      </c>
      <c r="D354" s="266">
        <f>IF($F354="","",'הזנה לתנאי סף'!E354)</f>
        <v>40000662</v>
      </c>
      <c r="E354" s="55">
        <f>IF($F354="","",'הזנה לתנאי סף'!F354)</f>
        <v>20000095</v>
      </c>
      <c r="F354" s="55" t="str">
        <f>IF('הזנה לתנאי סף'!BL354=1,'הזנה לתנאי סף'!G354,"")</f>
        <v>מטה יהודה</v>
      </c>
      <c r="G354" s="55" t="str">
        <f>IF($F354="","",'הזנה לתנאי סף'!H354)</f>
        <v>תזמורת יד-חריף (ע"ר)</v>
      </c>
      <c r="H354" s="55" t="str">
        <f>IF($F354="","",'הזנה לתנאי סף'!I354)</f>
        <v>אחר</v>
      </c>
      <c r="I354" s="187">
        <f>IF($F354="","",'הזנה לתנאי סף'!R354)</f>
        <v>1189113</v>
      </c>
      <c r="J354" s="187">
        <f>IF($F354="","",'תחום תמיכה א'!P354)</f>
        <v>1199065</v>
      </c>
      <c r="K354" s="177">
        <f>IF($F354="","",'הזנה לתנאי סף'!N354)</f>
        <v>0</v>
      </c>
      <c r="L354" s="177">
        <f>IF($F354="","",'הזנה לתנאי סף'!O354)</f>
        <v>1</v>
      </c>
      <c r="M354" s="177">
        <f>IF($F354="","",'הזנה לתנאי סף'!Q354)</f>
        <v>1</v>
      </c>
      <c r="N354" s="187">
        <f>IF($F354="","",'תחום תמיכה א'!AE354)</f>
        <v>29555.371048477296</v>
      </c>
      <c r="O354" s="178"/>
      <c r="P354" s="187">
        <f>IF($F354="","",'תחום תמיכה ב'!AC354)</f>
        <v>41206.710327045104</v>
      </c>
      <c r="Q354" s="187">
        <f>IF($F354="","",IF('תחום תמיכה ג'!O354="",0,'תחום תמיכה ג'!O354))</f>
        <v>0</v>
      </c>
      <c r="R354" s="187">
        <f t="shared" si="20"/>
        <v>1235.5853620868293</v>
      </c>
      <c r="S354" s="187">
        <f>IF($F354="","",'תחום תמיכה ב'!AE354)</f>
        <v>42442.295689131934</v>
      </c>
      <c r="T354" s="187">
        <f>IF($F354="","",IF(Q354='תחום תמיכה ג'!$Q$2,'תחום תמיכה ג'!$Q$2,IFERROR(SUMIF(N354:R354,"&gt;0"),'תחום תמיכה ג'!$Q$2)))</f>
        <v>71997.666737609223</v>
      </c>
      <c r="U354" s="187">
        <f>IF($F354="","",'הזנה לתנאי סף'!Y354)</f>
        <v>550000</v>
      </c>
      <c r="V354" s="269">
        <f>IF(F354="","",'הגבלה לסכום מבוקש '!AA354)</f>
        <v>79068.419237037931</v>
      </c>
      <c r="W354" s="187">
        <f t="shared" si="22"/>
        <v>19767.104809259483</v>
      </c>
      <c r="X354" s="187">
        <f>IF(F354="","",'הזנה לתנאי סף'!Z354)</f>
        <v>534615</v>
      </c>
      <c r="Y354" s="237" t="str">
        <f>IFERROR(VLOOKUP(G354*1,#REF!,3,0),"")</f>
        <v/>
      </c>
      <c r="Z354" s="187" t="str">
        <f>IF(OR($F354="",Y354=""),"",IFERROR(IF(Y354&gt;V354,MIN(Y354,T354)-V354,0),'תחום תמיכה ג'!$Q$2))</f>
        <v/>
      </c>
      <c r="AA354" s="259"/>
      <c r="AB354" s="260" t="str">
        <f t="shared" si="21"/>
        <v/>
      </c>
      <c r="AC354" s="262"/>
      <c r="AD354" s="180"/>
      <c r="AE354" s="13" t="str">
        <f>IF($C354="","",IFERROR(VLOOKUP($C354,גיליון1!$A:$E,2,0),"לא הגיש בקשה שוטפת"))</f>
        <v>בקשת תמיכה לשנת 2020</v>
      </c>
      <c r="AF354" s="13" t="str">
        <f>IF($C354="","",IFERROR(VLOOKUP($C354,גיליון1!$A:$E,3,0),"לא הגיש בקשה שוטפת"))</f>
        <v>חויב</v>
      </c>
      <c r="AG354" s="13" t="str">
        <f>IF($C354="","",IFERROR(VLOOKUP($C354,גיליון1!$A:$E,4,0),"לא הגיש בקשה שוטפת"))</f>
        <v>19-42-02-16</v>
      </c>
      <c r="AH354" s="13" t="str">
        <f>IF($C354="","",IFERROR(VLOOKUP($C354,גיליון1!$A:$E,5,0),"לא הגיש בקשה שוטפת"))</f>
        <v>מוסיקה</v>
      </c>
      <c r="AI354" s="13">
        <f t="shared" si="23"/>
        <v>0</v>
      </c>
      <c r="AK354" s="174" t="s">
        <v>250</v>
      </c>
    </row>
    <row r="355" spans="1:37" s="174" customFormat="1" ht="57.75" x14ac:dyDescent="0.25">
      <c r="A355" s="54">
        <f>'הזנה לתנאי סף'!B355</f>
        <v>325</v>
      </c>
      <c r="B355" s="266">
        <f>IF($F355="","",'הזנה לתנאי סף'!C355)</f>
        <v>1001347016</v>
      </c>
      <c r="C355" s="266">
        <f>IF($F355="","",'הזנה לתנאי סף'!D355)</f>
        <v>1001288832</v>
      </c>
      <c r="D355" s="266">
        <f>IF($F355="","",'הזנה לתנאי סף'!E355)</f>
        <v>40000665</v>
      </c>
      <c r="E355" s="55">
        <f>IF($F355="","",'הזנה לתנאי סף'!F355)</f>
        <v>20000201</v>
      </c>
      <c r="F355" s="55" t="str">
        <f>IF('הזנה לתנאי סף'!BL355=1,'הזנה לתנאי סף'!G355,"")</f>
        <v>תל אביב -יפו</v>
      </c>
      <c r="G355" s="55" t="str">
        <f>IF($F355="","",'הזנה לתנאי סף'!H355)</f>
        <v>תיאטרון "אלסראיא" הערבי - יפו (ע"ר)</v>
      </c>
      <c r="H355" s="55" t="str">
        <f>IF($F355="","",'הזנה לתנאי סף'!I355)</f>
        <v>תיאטרון</v>
      </c>
      <c r="I355" s="187">
        <f>IF($F355="","",'הזנה לתנאי סף'!R355)</f>
        <v>1090416</v>
      </c>
      <c r="J355" s="187">
        <f>IF($F355="","",'תחום תמיכה א'!P355)</f>
        <v>1128311</v>
      </c>
      <c r="K355" s="177">
        <f>IF($F355="","",'הזנה לתנאי סף'!N355)</f>
        <v>1</v>
      </c>
      <c r="L355" s="177">
        <f>IF($F355="","",'הזנה לתנאי סף'!O355)</f>
        <v>0</v>
      </c>
      <c r="M355" s="177">
        <f>IF($F355="","",'הזנה לתנאי סף'!Q355)</f>
        <v>1</v>
      </c>
      <c r="N355" s="187">
        <f>IF($F355="","",'תחום תמיכה א'!AE355)</f>
        <v>20207.350660250515</v>
      </c>
      <c r="O355" s="178"/>
      <c r="P355" s="187">
        <f>IF($F355="","",'תחום תמיכה ב'!AC355)</f>
        <v>19948.523893247624</v>
      </c>
      <c r="Q355" s="187">
        <f>IF($F355="","",IF('תחום תמיכה ג'!O355="",0,'תחום תמיכה ג'!O355))</f>
        <v>8365.2692537583353</v>
      </c>
      <c r="R355" s="187">
        <f t="shared" si="20"/>
        <v>598.15753119119836</v>
      </c>
      <c r="S355" s="187">
        <f>IF($F355="","",'תחום תמיכה ב'!AE355)</f>
        <v>20546.681424438822</v>
      </c>
      <c r="T355" s="187">
        <f>IF($F355="","",IF(Q355='תחום תמיכה ג'!$Q$2,'תחום תמיכה ג'!$Q$2,IFERROR(SUMIF(N355:R355,"&gt;0"),'תחום תמיכה ג'!$Q$2)))</f>
        <v>49119.30133844768</v>
      </c>
      <c r="U355" s="187">
        <f>IF($F355="","",'הזנה לתנאי סף'!Y355)</f>
        <v>300000</v>
      </c>
      <c r="V355" s="269">
        <f>IF(F355="","",'הגבלה לסכום מבוקש '!AA355)</f>
        <v>52548.808665023462</v>
      </c>
      <c r="W355" s="187">
        <f t="shared" si="22"/>
        <v>13137.202166255865</v>
      </c>
      <c r="X355" s="187">
        <f>IF(F355="","",'הזנה לתנאי סף'!Z355)</f>
        <v>1</v>
      </c>
      <c r="Y355" s="237" t="str">
        <f>IFERROR(VLOOKUP(G355*1,#REF!,3,0),"")</f>
        <v/>
      </c>
      <c r="Z355" s="187" t="str">
        <f>IF(OR($F355="",Y355=""),"",IFERROR(IF(Y355&gt;V355,MIN(Y355,T355)-V355,0),'תחום תמיכה ג'!$Q$2))</f>
        <v/>
      </c>
      <c r="AA355" s="259"/>
      <c r="AB355" s="260" t="str">
        <f t="shared" si="21"/>
        <v/>
      </c>
      <c r="AC355" s="262"/>
      <c r="AD355" s="180"/>
      <c r="AE355" s="13" t="str">
        <f>IF($C355="","",IFERROR(VLOOKUP($C355,גיליון1!$A:$E,2,0),"לא הגיש בקשה שוטפת"))</f>
        <v>בקשת תמיכה בגין הפקת והרצת הצגות בערבית</v>
      </c>
      <c r="AF355" s="13" t="str">
        <f>IF($C355="","",IFERROR(VLOOKUP($C355,גיליון1!$A:$E,3,0),"לא הגיש בקשה שוטפת"))</f>
        <v>מועד</v>
      </c>
      <c r="AG355" s="13" t="str">
        <f>IF($C355="","",IFERROR(VLOOKUP($C355,גיליון1!$A:$E,4,0),"לא הגיש בקשה שוטפת"))</f>
        <v>19-42-02-33</v>
      </c>
      <c r="AH355" s="13" t="str">
        <f>IF($C355="","",IFERROR(VLOOKUP($C355,גיליון1!$A:$E,5,0),"לא הגיש בקשה שוטפת"))</f>
        <v>תרבות ערבית ודרוזית</v>
      </c>
      <c r="AI355" s="13">
        <f t="shared" si="23"/>
        <v>0</v>
      </c>
      <c r="AK355" s="174" t="s">
        <v>250</v>
      </c>
    </row>
    <row r="356" spans="1:37" s="174" customFormat="1" ht="43.5" x14ac:dyDescent="0.25">
      <c r="A356" s="54">
        <f>'הזנה לתנאי סף'!B356</f>
        <v>326</v>
      </c>
      <c r="B356" s="266">
        <f>IF($F356="","",'הזנה לתנאי סף'!C356)</f>
        <v>1001349530</v>
      </c>
      <c r="C356" s="266">
        <f>IF($F356="","",'הזנה לתנאי סף'!D356)</f>
        <v>1001263122</v>
      </c>
      <c r="D356" s="266">
        <f>IF($F356="","",'הזנה לתנאי סף'!E356)</f>
        <v>40000667</v>
      </c>
      <c r="E356" s="55">
        <f>IF($F356="","",'הזנה לתנאי סף'!F356)</f>
        <v>20000235</v>
      </c>
      <c r="F356" s="55" t="str">
        <f>IF('הזנה לתנאי סף'!BL356=1,'הזנה לתנאי סף'!G356,"")</f>
        <v>סח'נין</v>
      </c>
      <c r="G356" s="55" t="str">
        <f>IF($F356="","",'הזנה לתנאי סף'!H356)</f>
        <v>אלג'ואל אלבלדי (ע"ר)</v>
      </c>
      <c r="H356" s="55" t="str">
        <f>IF($F356="","",'הזנה לתנאי סף'!I356)</f>
        <v>תיאטרון</v>
      </c>
      <c r="I356" s="187">
        <f>IF($F356="","",'הזנה לתנאי סף'!R356)</f>
        <v>1431653</v>
      </c>
      <c r="J356" s="187">
        <f>IF($F356="","",'תחום תמיכה א'!P356)</f>
        <v>1418383</v>
      </c>
      <c r="K356" s="177">
        <f>IF($F356="","",'הזנה לתנאי סף'!N356)</f>
        <v>0</v>
      </c>
      <c r="L356" s="177">
        <f>IF($F356="","",'הזנה לתנאי סף'!O356)</f>
        <v>1</v>
      </c>
      <c r="M356" s="177">
        <f>IF($F356="","",'הזנה לתנאי סף'!Q356)</f>
        <v>1</v>
      </c>
      <c r="N356" s="187">
        <f>IF($F356="","",'תחום תמיכה א'!AE356)</f>
        <v>25877.687860487007</v>
      </c>
      <c r="O356" s="178"/>
      <c r="P356" s="187">
        <f>IF($F356="","",'תחום תמיכה ב'!AC356)</f>
        <v>27180.604503110593</v>
      </c>
      <c r="Q356" s="187">
        <f>IF($F356="","",IF('תחום תמיכה ג'!O356="",0,'תחום תמיכה ג'!O356))</f>
        <v>0</v>
      </c>
      <c r="R356" s="187">
        <f t="shared" si="20"/>
        <v>815.01184613304576</v>
      </c>
      <c r="S356" s="187">
        <f>IF($F356="","",'תחום תמיכה ב'!AE356)</f>
        <v>27995.616349243639</v>
      </c>
      <c r="T356" s="187">
        <f>IF($F356="","",IF(Q356='תחום תמיכה ג'!$Q$2,'תחום תמיכה ג'!$Q$2,IFERROR(SUMIF(N356:R356,"&gt;0"),'תחום תמיכה ג'!$Q$2)))</f>
        <v>53873.304209730646</v>
      </c>
      <c r="U356" s="187">
        <f>IF($F356="","",'הזנה לתנאי סף'!Y356)</f>
        <v>380000</v>
      </c>
      <c r="V356" s="269">
        <f>IF(F356="","",'הגבלה לסכום מבוקש '!AA356)</f>
        <v>58540.191647372223</v>
      </c>
      <c r="W356" s="187">
        <f t="shared" si="22"/>
        <v>14635.047911843056</v>
      </c>
      <c r="X356" s="187">
        <f>IF(F356="","",'הזנה לתנאי סף'!Z356)</f>
        <v>100000</v>
      </c>
      <c r="Y356" s="237" t="str">
        <f>IFERROR(VLOOKUP(G356*1,#REF!,3,0),"")</f>
        <v/>
      </c>
      <c r="Z356" s="187" t="str">
        <f>IF(OR($F356="",Y356=""),"",IFERROR(IF(Y356&gt;V356,MIN(Y356,T356)-V356,0),'תחום תמיכה ג'!$Q$2))</f>
        <v/>
      </c>
      <c r="AA356" s="259"/>
      <c r="AB356" s="260" t="str">
        <f t="shared" si="21"/>
        <v/>
      </c>
      <c r="AC356" s="262"/>
      <c r="AD356" s="180"/>
      <c r="AE356" s="13" t="str">
        <f>IF($C356="","",IFERROR(VLOOKUP($C356,גיליון1!$A:$E,2,0),"לא הגיש בקשה שוטפת"))</f>
        <v>תמיכה בפעילות השוטפת של העמותה</v>
      </c>
      <c r="AF356" s="13" t="str">
        <f>IF($C356="","",IFERROR(VLOOKUP($C356,גיליון1!$A:$E,3,0),"לא הגיש בקשה שוטפת"))</f>
        <v>מועד</v>
      </c>
      <c r="AG356" s="13" t="str">
        <f>IF($C356="","",IFERROR(VLOOKUP($C356,גיליון1!$A:$E,4,0),"לא הגיש בקשה שוטפת"))</f>
        <v>19-42-02-33</v>
      </c>
      <c r="AH356" s="13" t="str">
        <f>IF($C356="","",IFERROR(VLOOKUP($C356,גיליון1!$A:$E,5,0),"לא הגיש בקשה שוטפת"))</f>
        <v>תרבות ערבית ודרוזית</v>
      </c>
      <c r="AI356" s="13">
        <f t="shared" si="23"/>
        <v>0</v>
      </c>
      <c r="AK356" s="174" t="s">
        <v>250</v>
      </c>
    </row>
    <row r="357" spans="1:37" s="174" customFormat="1" ht="57.75" x14ac:dyDescent="0.25">
      <c r="A357" s="54">
        <f>'הזנה לתנאי סף'!B357</f>
        <v>327</v>
      </c>
      <c r="B357" s="266">
        <f>IF($F357="","",'הזנה לתנאי סף'!C357)</f>
        <v>1001348825</v>
      </c>
      <c r="C357" s="266">
        <f>IF($F357="","",'הזנה לתנאי סף'!D357)</f>
        <v>1001270277</v>
      </c>
      <c r="D357" s="266">
        <f>IF($F357="","",'הזנה לתנאי סף'!E357)</f>
        <v>40000678</v>
      </c>
      <c r="E357" s="55">
        <f>IF($F357="","",'הזנה לתנאי סף'!F357)</f>
        <v>20000201</v>
      </c>
      <c r="F357" s="55" t="str">
        <f>IF('הזנה לתנאי סף'!BL357=1,'הזנה לתנאי סף'!G357,"")</f>
        <v>תל אביב -יפו</v>
      </c>
      <c r="G357" s="55" t="str">
        <f>IF($F357="","",'הזנה לתנאי סף'!H357)</f>
        <v>תיאטרון מחול קליפה (ע"ר)</v>
      </c>
      <c r="H357" s="55" t="str">
        <f>IF($F357="","",'הזנה לתנאי סף'!I357)</f>
        <v>תיאטרון</v>
      </c>
      <c r="I357" s="187">
        <f>IF($F357="","",'הזנה לתנאי סף'!R357)</f>
        <v>2022689</v>
      </c>
      <c r="J357" s="187">
        <f>IF($F357="","",'תחום תמיכה א'!P357)</f>
        <v>2539938</v>
      </c>
      <c r="K357" s="177">
        <f>IF($F357="","",'הזנה לתנאי סף'!N357)</f>
        <v>1</v>
      </c>
      <c r="L357" s="177">
        <f>IF($F357="","",'הזנה לתנאי סף'!O357)</f>
        <v>0</v>
      </c>
      <c r="M357" s="177">
        <f>IF($F357="","",'הזנה לתנאי סף'!Q357)</f>
        <v>1</v>
      </c>
      <c r="N357" s="187">
        <f>IF($F357="","",'תחום תמיכה א'!AE357)</f>
        <v>52219.785150383759</v>
      </c>
      <c r="O357" s="178"/>
      <c r="P357" s="187">
        <f>IF($F357="","",'תחום תמיכה ב'!AC357)</f>
        <v>42545.005139645109</v>
      </c>
      <c r="Q357" s="187">
        <f>IF($F357="","",IF('תחום תמיכה ג'!O357="",0,'תחום תמיכה ג'!O357))</f>
        <v>17840.940277096506</v>
      </c>
      <c r="R357" s="187">
        <f t="shared" si="20"/>
        <v>1275.7142019646344</v>
      </c>
      <c r="S357" s="187">
        <f>IF($F357="","",'תחום תמיכה ב'!AE357)</f>
        <v>43820.719341609743</v>
      </c>
      <c r="T357" s="187">
        <f>IF($F357="","",IF(Q357='תחום תמיכה ג'!$Q$2,'תחום תמיכה ג'!$Q$2,IFERROR(SUMIF(N357:R357,"&gt;0"),'תחום תמיכה ג'!$Q$2)))</f>
        <v>113881.44476909001</v>
      </c>
      <c r="U357" s="187">
        <f>IF($F357="","",'הזנה לתנאי סף'!Y357)</f>
        <v>1000000</v>
      </c>
      <c r="V357" s="269">
        <f>IF(F357="","",'הגבלה לסכום מבוקש '!AA357)</f>
        <v>121199.84439380809</v>
      </c>
      <c r="W357" s="187">
        <f t="shared" si="22"/>
        <v>30299.961098452022</v>
      </c>
      <c r="X357" s="187">
        <f>IF(F357="","",'הזנה לתנאי סף'!Z357)</f>
        <v>1</v>
      </c>
      <c r="Y357" s="237" t="str">
        <f>IFERROR(VLOOKUP(G357*1,#REF!,3,0),"")</f>
        <v/>
      </c>
      <c r="Z357" s="187" t="str">
        <f>IF(OR($F357="",Y357=""),"",IFERROR(IF(Y357&gt;V357,MIN(Y357,T357)-V357,0),'תחום תמיכה ג'!$Q$2))</f>
        <v/>
      </c>
      <c r="AA357" s="259"/>
      <c r="AB357" s="260" t="str">
        <f t="shared" si="21"/>
        <v/>
      </c>
      <c r="AC357" s="262"/>
      <c r="AD357" s="180"/>
      <c r="AE357" s="13" t="str">
        <f>IF($C357="","",IFERROR(VLOOKUP($C357,גיליון1!$A:$E,2,0),"לא הגיש בקשה שוטפת"))</f>
        <v>קליפה 2020-תמיכה שוטפת</v>
      </c>
      <c r="AF357" s="13" t="str">
        <f>IF($C357="","",IFERROR(VLOOKUP($C357,גיליון1!$A:$E,3,0),"לא הגיש בקשה שוטפת"))</f>
        <v>מועד</v>
      </c>
      <c r="AG357" s="13" t="str">
        <f>IF($C357="","",IFERROR(VLOOKUP($C357,גיליון1!$A:$E,4,0),"לא הגיש בקשה שוטפת"))</f>
        <v>19-42-02-07</v>
      </c>
      <c r="AH357" s="13" t="str">
        <f>IF($C357="","",IFERROR(VLOOKUP($C357,גיליון1!$A:$E,5,0),"לא הגיש בקשה שוטפת"))</f>
        <v>תיאטרון</v>
      </c>
      <c r="AI357" s="13">
        <f t="shared" si="23"/>
        <v>0</v>
      </c>
      <c r="AK357" s="174" t="s">
        <v>250</v>
      </c>
    </row>
    <row r="358" spans="1:37" s="174" customFormat="1" ht="72" x14ac:dyDescent="0.25">
      <c r="A358" s="54">
        <f>'הזנה לתנאי סף'!B358</f>
        <v>328</v>
      </c>
      <c r="B358" s="266">
        <f>IF($F358="","",'הזנה לתנאי סף'!C358)</f>
        <v>1001346996</v>
      </c>
      <c r="C358" s="266">
        <f>IF($F358="","",'הזנה לתנאי סף'!D358)</f>
        <v>1001262285</v>
      </c>
      <c r="D358" s="266">
        <f>IF($F358="","",'הזנה לתנאי סף'!E358)</f>
        <v>40000234</v>
      </c>
      <c r="E358" s="55">
        <f>IF($F358="","",'הזנה לתנאי סף'!F358)</f>
        <v>20000159</v>
      </c>
      <c r="F358" s="55" t="str">
        <f>IF('הזנה לתנאי סף'!BL358=1,'הזנה לתנאי סף'!G358,"")</f>
        <v>ירושלים</v>
      </c>
      <c r="G358" s="55" t="str">
        <f>IF($F358="","",'הזנה לתנאי סף'!H358)</f>
        <v>עמותת ורטיגו למחול - ירושלים (ע"ר)</v>
      </c>
      <c r="H358" s="55" t="str">
        <f>IF($F358="","",'הזנה לתנאי סף'!I358)</f>
        <v>מחול</v>
      </c>
      <c r="I358" s="187">
        <f>IF($F358="","",'הזנה לתנאי סף'!R358)</f>
        <v>9784688</v>
      </c>
      <c r="J358" s="187">
        <f>IF($F358="","",'תחום תמיכה א'!P358)</f>
        <v>9521113</v>
      </c>
      <c r="K358" s="177">
        <f>IF($F358="","",'הזנה לתנאי סף'!N358)</f>
        <v>1</v>
      </c>
      <c r="L358" s="177">
        <f>IF($F358="","",'הזנה לתנאי סף'!O358)</f>
        <v>0</v>
      </c>
      <c r="M358" s="177">
        <f>IF($F358="","",'הזנה לתנאי סף'!Q358)</f>
        <v>1</v>
      </c>
      <c r="N358" s="187">
        <f>IF($F358="","",'תחום תמיכה א'!AE358)</f>
        <v>242410.30835283955</v>
      </c>
      <c r="O358" s="178"/>
      <c r="P358" s="187">
        <f>IF($F358="","",'תחום תמיכה ב'!AC358)</f>
        <v>361768.83330929081</v>
      </c>
      <c r="Q358" s="187">
        <f>IF($F358="","",IF('תחום תמיכה ג'!O358="",0,'תחום תמיכה ג'!O358))</f>
        <v>62538.392274592159</v>
      </c>
      <c r="R358" s="187">
        <f t="shared" si="20"/>
        <v>10847.65736814501</v>
      </c>
      <c r="S358" s="187">
        <f>IF($F358="","",'תחום תמיכה ב'!AE358)</f>
        <v>372616.49067743582</v>
      </c>
      <c r="T358" s="187">
        <f>IF($F358="","",IF(Q358='תחום תמיכה ג'!$Q$2,'תחום תמיכה ג'!$Q$2,IFERROR(SUMIF(N358:R358,"&gt;0"),'תחום תמיכה ג'!$Q$2)))</f>
        <v>677565.19130486762</v>
      </c>
      <c r="U358" s="187">
        <f>IF($F358="","",'הזנה לתנאי סף'!Y358)</f>
        <v>9000000</v>
      </c>
      <c r="V358" s="269">
        <f>IF(F358="","",'הגבלה לסכום מבוקש '!AA358)</f>
        <v>739662.62680833915</v>
      </c>
      <c r="W358" s="187">
        <f t="shared" si="22"/>
        <v>184915.65670208479</v>
      </c>
      <c r="X358" s="187">
        <f>IF(F358="","",'הזנה לתנאי סף'!Z358)</f>
        <v>4500000</v>
      </c>
      <c r="Y358" s="237" t="str">
        <f>IFERROR(VLOOKUP(G358*1,#REF!,3,0),"")</f>
        <v/>
      </c>
      <c r="Z358" s="187" t="str">
        <f>IF(OR($F358="",Y358=""),"",IFERROR(IF(Y358&gt;V358,MIN(Y358,T358)-V358,0),'תחום תמיכה ג'!$Q$2))</f>
        <v/>
      </c>
      <c r="AA358" s="259"/>
      <c r="AB358" s="260" t="str">
        <f t="shared" si="21"/>
        <v/>
      </c>
      <c r="AC358" s="262"/>
      <c r="AD358" s="180"/>
      <c r="AE358" s="13" t="str">
        <f>IF($C358="","",IFERROR(VLOOKUP($C358,גיליון1!$A:$E,2,0),"לא הגיש בקשה שוטפת"))</f>
        <v>תמיכה בלהקת מחול - שוטף</v>
      </c>
      <c r="AF358" s="13" t="str">
        <f>IF($C358="","",IFERROR(VLOOKUP($C358,גיליון1!$A:$E,3,0),"לא הגיש בקשה שוטפת"))</f>
        <v>חויב</v>
      </c>
      <c r="AG358" s="13" t="str">
        <f>IF($C358="","",IFERROR(VLOOKUP($C358,גיליון1!$A:$E,4,0),"לא הגיש בקשה שוטפת"))</f>
        <v>19-42-02-20</v>
      </c>
      <c r="AH358" s="13" t="str">
        <f>IF($C358="","",IFERROR(VLOOKUP($C358,גיליון1!$A:$E,5,0),"לא הגיש בקשה שוטפת"))</f>
        <v>מחול וארגוני גג</v>
      </c>
      <c r="AI358" s="13">
        <f t="shared" si="23"/>
        <v>0</v>
      </c>
      <c r="AK358" s="174" t="s">
        <v>250</v>
      </c>
    </row>
    <row r="359" spans="1:37" s="174" customFormat="1" ht="72" x14ac:dyDescent="0.25">
      <c r="A359" s="54">
        <f>'הזנה לתנאי סף'!B359</f>
        <v>329</v>
      </c>
      <c r="B359" s="266">
        <f>IF($F359="","",'הזנה לתנאי סף'!C359)</f>
        <v>1001347696</v>
      </c>
      <c r="C359" s="266">
        <f>IF($F359="","",'הזנה לתנאי סף'!D359)</f>
        <v>1001262291</v>
      </c>
      <c r="D359" s="266">
        <f>IF($F359="","",'הזנה לתנאי סף'!E359)</f>
        <v>40000234</v>
      </c>
      <c r="E359" s="55">
        <f>IF($F359="","",'הזנה לתנאי סף'!F359)</f>
        <v>20000159</v>
      </c>
      <c r="F359" s="55" t="str">
        <f>IF('הזנה לתנאי סף'!BL359=1,'הזנה לתנאי סף'!G359,"")</f>
        <v>ירושלים</v>
      </c>
      <c r="G359" s="55" t="str">
        <f>IF($F359="","",'הזנה לתנאי סף'!H359)</f>
        <v>עמותת ורטיגו למחול - ירושלים (ע"ר)</v>
      </c>
      <c r="H359" s="55" t="str">
        <f>IF($F359="","",'הזנה לתנאי סף'!I359)</f>
        <v>מחול</v>
      </c>
      <c r="I359" s="187">
        <f>IF($F359="","",'הזנה לתנאי סף'!R359)</f>
        <v>1426689</v>
      </c>
      <c r="J359" s="187">
        <f>IF($F359="","",'תחום תמיכה א'!P359)</f>
        <v>1708149</v>
      </c>
      <c r="K359" s="177">
        <f>IF($F359="","",'הזנה לתנאי סף'!N359)</f>
        <v>0</v>
      </c>
      <c r="L359" s="177">
        <f>IF($F359="","",'הזנה לתנאי סף'!O359)</f>
        <v>1</v>
      </c>
      <c r="M359" s="177">
        <f>IF($F359="","",'הזנה לתנאי סף'!Q359)</f>
        <v>1</v>
      </c>
      <c r="N359" s="187">
        <f>IF($F359="","",'תחום תמיכה א'!AE359)</f>
        <v>54105.821266535917</v>
      </c>
      <c r="O359" s="178"/>
      <c r="P359" s="187">
        <f>IF($F359="","",'תחום תמיכה ב'!AC359)</f>
        <v>81643.804875064438</v>
      </c>
      <c r="Q359" s="187">
        <f>IF($F359="","",IF('תחום תמיכה ג'!O359="",0,'תחום תמיכה ג'!O359))</f>
        <v>0</v>
      </c>
      <c r="R359" s="187">
        <f t="shared" si="20"/>
        <v>2448.0937548293878</v>
      </c>
      <c r="S359" s="187">
        <f>IF($F359="","",'תחום תמיכה ב'!AE359)</f>
        <v>84091.898629893825</v>
      </c>
      <c r="T359" s="187">
        <f>IF($F359="","",IF(Q359='תחום תמיכה ג'!$Q$2,'תחום תמיכה ג'!$Q$2,IFERROR(SUMIF(N359:R359,"&gt;0"),'תחום תמיכה ג'!$Q$2)))</f>
        <v>138197.71989642974</v>
      </c>
      <c r="U359" s="187">
        <f>IF($F359="","",'הזנה לתנאי סף'!Y359)</f>
        <v>2000000</v>
      </c>
      <c r="V359" s="269">
        <f>IF(F359="","",'הגבלה לסכום מבוקש '!AA359)</f>
        <v>152205.13725490184</v>
      </c>
      <c r="W359" s="187">
        <f t="shared" si="22"/>
        <v>38051.28431372546</v>
      </c>
      <c r="X359" s="187">
        <f>IF(F359="","",'הזנה לתנאי סף'!Z359)</f>
        <v>1000000</v>
      </c>
      <c r="Y359" s="237" t="str">
        <f>IFERROR(VLOOKUP(G359*1,#REF!,3,0),"")</f>
        <v/>
      </c>
      <c r="Z359" s="187" t="str">
        <f>IF(OR($F359="",Y359=""),"",IFERROR(IF(Y359&gt;V359,MIN(Y359,T359)-V359,0),'תחום תמיכה ג'!$Q$2))</f>
        <v/>
      </c>
      <c r="AA359" s="259"/>
      <c r="AB359" s="260" t="str">
        <f t="shared" si="21"/>
        <v/>
      </c>
      <c r="AC359" s="262"/>
      <c r="AD359" s="180"/>
      <c r="AE359" s="13" t="str">
        <f>IF($C359="","",IFERROR(VLOOKUP($C359,גיליון1!$A:$E,2,0),"לא הגיש בקשה שוטפת"))</f>
        <v>תמיכה במרכז מחול - ורטיגו בכפר</v>
      </c>
      <c r="AF359" s="13" t="str">
        <f>IF($C359="","",IFERROR(VLOOKUP($C359,גיליון1!$A:$E,3,0),"לא הגיש בקשה שוטפת"))</f>
        <v>חויב</v>
      </c>
      <c r="AG359" s="13" t="str">
        <f>IF($C359="","",IFERROR(VLOOKUP($C359,גיליון1!$A:$E,4,0),"לא הגיש בקשה שוטפת"))</f>
        <v>19-42-02-20</v>
      </c>
      <c r="AH359" s="13" t="str">
        <f>IF($C359="","",IFERROR(VLOOKUP($C359,גיליון1!$A:$E,5,0),"לא הגיש בקשה שוטפת"))</f>
        <v>מחול וארגוני גג</v>
      </c>
      <c r="AI359" s="13">
        <f t="shared" si="23"/>
        <v>0</v>
      </c>
      <c r="AK359" s="174" t="s">
        <v>250</v>
      </c>
    </row>
    <row r="360" spans="1:37" s="174" customFormat="1" ht="72" x14ac:dyDescent="0.25">
      <c r="A360" s="54">
        <f>'הזנה לתנאי סף'!B360</f>
        <v>330</v>
      </c>
      <c r="B360" s="266">
        <f>IF($F360="","",'הזנה לתנאי סף'!C360)</f>
        <v>1001348126</v>
      </c>
      <c r="C360" s="266">
        <f>IF($F360="","",'הזנה לתנאי סף'!D360)</f>
        <v>1001263224</v>
      </c>
      <c r="D360" s="266">
        <f>IF($F360="","",'הזנה לתנאי סף'!E360)</f>
        <v>40000681</v>
      </c>
      <c r="E360" s="55">
        <f>IF($F360="","",'הזנה לתנאי סף'!F360)</f>
        <v>20000201</v>
      </c>
      <c r="F360" s="55" t="str">
        <f>IF('הזנה לתנאי סף'!BL360=1,'הזנה לתנאי סף'!G360,"")</f>
        <v>תל אביב -יפו</v>
      </c>
      <c r="G360" s="55" t="str">
        <f>IF($F360="","",'הזנה לתנאי סף'!H360)</f>
        <v>דוקאביב - העמותה לקידום הסרט הדוקומ</v>
      </c>
      <c r="H360" s="55" t="str">
        <f>IF($F360="","",'הזנה לתנאי סף'!I360)</f>
        <v>סינמטקים ופסטיבלים</v>
      </c>
      <c r="I360" s="187">
        <f>IF($F360="","",'הזנה לתנאי סף'!R360)</f>
        <v>4352777</v>
      </c>
      <c r="J360" s="187">
        <f>IF($F360="","",'תחום תמיכה א'!P360)</f>
        <v>3259775</v>
      </c>
      <c r="K360" s="177">
        <f>IF($F360="","",'הזנה לתנאי סף'!N360)</f>
        <v>1</v>
      </c>
      <c r="L360" s="177">
        <f>IF($F360="","",'הזנה לתנאי סף'!O360)</f>
        <v>0</v>
      </c>
      <c r="M360" s="177">
        <f>IF($F360="","",'הזנה לתנאי סף'!Q360)</f>
        <v>1</v>
      </c>
      <c r="N360" s="187">
        <f>IF($F360="","",'תחום תמיכה א'!AE360)</f>
        <v>139695.92455475143</v>
      </c>
      <c r="O360" s="178"/>
      <c r="P360" s="187">
        <f>IF($F360="","",'תחום תמיכה ב'!AC360)</f>
        <v>455948.80274797708</v>
      </c>
      <c r="Q360" s="187">
        <f>IF($F360="","",IF('תחום תמיכה ג'!O360="",0,'תחום תמיכה ג'!O360))</f>
        <v>191198.83362430753</v>
      </c>
      <c r="R360" s="187">
        <f t="shared" si="20"/>
        <v>13671.64867239265</v>
      </c>
      <c r="S360" s="187">
        <f>IF($F360="","",'תחום תמיכה ב'!AE360)</f>
        <v>469620.45142036973</v>
      </c>
      <c r="T360" s="187">
        <f>IF($F360="","",IF(Q360='תחום תמיכה ג'!$Q$2,'תחום תמיכה ג'!$Q$2,IFERROR(SUMIF(N360:R360,"&gt;0"),'תחום תמיכה ג'!$Q$2)))</f>
        <v>800515.20959942858</v>
      </c>
      <c r="U360" s="187">
        <f>IF($F360="","",'הזנה לתנאי סף'!Y360)</f>
        <v>950000</v>
      </c>
      <c r="V360" s="269">
        <f>IF(F360="","",'הגבלה לסכום מבוקש '!AA360)</f>
        <v>878754.25529347314</v>
      </c>
      <c r="W360" s="187">
        <f t="shared" si="22"/>
        <v>219688.56382336828</v>
      </c>
      <c r="X360" s="187">
        <f>IF(F360="","",'הזנה לתנאי סף'!Z360)</f>
        <v>1500000</v>
      </c>
      <c r="Y360" s="237" t="str">
        <f>IFERROR(VLOOKUP(G360*1,#REF!,3,0),"")</f>
        <v/>
      </c>
      <c r="Z360" s="187" t="str">
        <f>IF(OR($F360="",Y360=""),"",IFERROR(IF(Y360&gt;V360,MIN(Y360,T360)-V360,0),'תחום תמיכה ג'!$Q$2))</f>
        <v/>
      </c>
      <c r="AA360" s="259"/>
      <c r="AB360" s="260" t="str">
        <f t="shared" si="21"/>
        <v/>
      </c>
      <c r="AC360" s="262"/>
      <c r="AD360" s="180"/>
      <c r="AE360" s="13" t="str">
        <f>IF($C360="","",IFERROR(VLOOKUP($C360,גיליון1!$A:$E,2,0),"לא הגיש בקשה שוטפת"))</f>
        <v>דוקאביב פסטיבל בינל לקולנוע דוקומנטרי</v>
      </c>
      <c r="AF360" s="13" t="str">
        <f>IF($C360="","",IFERROR(VLOOKUP($C360,גיליון1!$A:$E,3,0),"לא הגיש בקשה שוטפת"))</f>
        <v>מועד</v>
      </c>
      <c r="AG360" s="13" t="str">
        <f>IF($C360="","",IFERROR(VLOOKUP($C360,גיליון1!$A:$E,4,0),"לא הגיש בקשה שוטפת"))</f>
        <v>19-42-02-28</v>
      </c>
      <c r="AH360" s="13" t="str">
        <f>IF($C360="","",IFERROR(VLOOKUP($C360,גיליון1!$A:$E,5,0),"לא הגיש בקשה שוטפת"))</f>
        <v>חוק  הקולנוע</v>
      </c>
      <c r="AI360" s="13">
        <f t="shared" si="23"/>
        <v>0</v>
      </c>
      <c r="AK360" s="174" t="s">
        <v>250</v>
      </c>
    </row>
    <row r="361" spans="1:37" s="174" customFormat="1" x14ac:dyDescent="0.25">
      <c r="A361" s="54">
        <f>'הזנה לתנאי סף'!B361</f>
        <v>331</v>
      </c>
      <c r="B361" s="266" t="str">
        <f>IF($F361="","",'הזנה לתנאי סף'!C361)</f>
        <v/>
      </c>
      <c r="C361" s="266" t="str">
        <f>IF($F361="","",'הזנה לתנאי סף'!D361)</f>
        <v/>
      </c>
      <c r="D361" s="266" t="str">
        <f>IF($F361="","",'הזנה לתנאי סף'!E361)</f>
        <v/>
      </c>
      <c r="E361" s="55" t="str">
        <f>IF($F361="","",'הזנה לתנאי סף'!F361)</f>
        <v/>
      </c>
      <c r="F361" s="55" t="str">
        <f>IF('הזנה לתנאי סף'!BL361=1,'הזנה לתנאי סף'!G361,"")</f>
        <v/>
      </c>
      <c r="G361" s="55" t="str">
        <f>IF($F361="","",'הזנה לתנאי סף'!H361)</f>
        <v/>
      </c>
      <c r="H361" s="55" t="str">
        <f>IF($F361="","",'הזנה לתנאי סף'!I361)</f>
        <v/>
      </c>
      <c r="I361" s="187" t="str">
        <f>IF($F361="","",'הזנה לתנאי סף'!R361)</f>
        <v/>
      </c>
      <c r="J361" s="187" t="str">
        <f>IF($F361="","",'תחום תמיכה א'!P361)</f>
        <v/>
      </c>
      <c r="K361" s="177" t="str">
        <f>IF($F361="","",'הזנה לתנאי סף'!N361)</f>
        <v/>
      </c>
      <c r="L361" s="177" t="str">
        <f>IF($F361="","",'הזנה לתנאי סף'!O361)</f>
        <v/>
      </c>
      <c r="M361" s="177" t="str">
        <f>IF($F361="","",'הזנה לתנאי סף'!Q361)</f>
        <v/>
      </c>
      <c r="N361" s="187" t="str">
        <f>IF($F361="","",'תחום תמיכה א'!AE361)</f>
        <v/>
      </c>
      <c r="O361" s="178"/>
      <c r="P361" s="187" t="str">
        <f>IF($F361="","",'תחום תמיכה ב'!AC361)</f>
        <v/>
      </c>
      <c r="Q361" s="187" t="str">
        <f>IF($F361="","",IF('תחום תמיכה ג'!O361="",0,'תחום תמיכה ג'!O361))</f>
        <v/>
      </c>
      <c r="R361" s="187" t="str">
        <f t="shared" si="20"/>
        <v/>
      </c>
      <c r="S361" s="187" t="str">
        <f>IF($F361="","",'תחום תמיכה ב'!AE361)</f>
        <v/>
      </c>
      <c r="T361" s="187" t="str">
        <f>IF($F361="","",IF(Q361='תחום תמיכה ג'!$Q$2,'תחום תמיכה ג'!$Q$2,IFERROR(SUMIF(N361:R361,"&gt;0"),'תחום תמיכה ג'!$Q$2)))</f>
        <v/>
      </c>
      <c r="U361" s="187" t="str">
        <f>IF($F361="","",'הזנה לתנאי סף'!Y361)</f>
        <v/>
      </c>
      <c r="V361" s="269" t="str">
        <f>IF(F361="","",'הגבלה לסכום מבוקש '!AA361)</f>
        <v/>
      </c>
      <c r="W361" s="187" t="str">
        <f t="shared" si="22"/>
        <v/>
      </c>
      <c r="X361" s="187" t="str">
        <f>IF(F361="","",'הזנה לתנאי סף'!Z361)</f>
        <v/>
      </c>
      <c r="Y361" s="237" t="str">
        <f>IFERROR(VLOOKUP(G361*1,#REF!,3,0),"")</f>
        <v/>
      </c>
      <c r="Z361" s="187" t="str">
        <f>IF(OR($F361="",Y361=""),"",IFERROR(IF(Y361&gt;V361,MIN(Y361,T361)-V361,0),'תחום תמיכה ג'!$Q$2))</f>
        <v/>
      </c>
      <c r="AA361" s="259"/>
      <c r="AB361" s="260" t="str">
        <f t="shared" si="21"/>
        <v/>
      </c>
      <c r="AC361" s="262"/>
      <c r="AD361" s="180"/>
      <c r="AE361" s="13" t="str">
        <f>IF($C361="","",IFERROR(VLOOKUP($C361,גיליון1!$A:$E,2,0),"לא הגיש בקשה שוטפת"))</f>
        <v/>
      </c>
      <c r="AF361" s="13" t="str">
        <f>IF($C361="","",IFERROR(VLOOKUP($C361,גיליון1!$A:$E,3,0),"לא הגיש בקשה שוטפת"))</f>
        <v/>
      </c>
      <c r="AG361" s="13" t="str">
        <f>IF($C361="","",IFERROR(VLOOKUP($C361,גיליון1!$A:$E,4,0),"לא הגיש בקשה שוטפת"))</f>
        <v/>
      </c>
      <c r="AH361" s="13" t="str">
        <f>IF($C361="","",IFERROR(VLOOKUP($C361,גיליון1!$A:$E,5,0),"לא הגיש בקשה שוטפת"))</f>
        <v/>
      </c>
      <c r="AI361" s="13">
        <f t="shared" si="23"/>
        <v>0</v>
      </c>
      <c r="AK361" s="174" t="s">
        <v>250</v>
      </c>
    </row>
    <row r="362" spans="1:37" s="174" customFormat="1" ht="86.25" x14ac:dyDescent="0.25">
      <c r="A362" s="54">
        <f>'הזנה לתנאי סף'!B362</f>
        <v>332</v>
      </c>
      <c r="B362" s="266">
        <f>IF($F362="","",'הזנה לתנאי סף'!C362)</f>
        <v>1001346979</v>
      </c>
      <c r="C362" s="266">
        <f>IF($F362="","",'הזנה לתנאי סף'!D362)</f>
        <v>1001273202</v>
      </c>
      <c r="D362" s="266">
        <f>IF($F362="","",'הזנה לתנאי סף'!E362)</f>
        <v>40000237</v>
      </c>
      <c r="E362" s="55">
        <f>IF($F362="","",'הזנה לתנאי סף'!F362)</f>
        <v>20000248</v>
      </c>
      <c r="F362" s="55" t="str">
        <f>IF('הזנה לתנאי סף'!BL362=1,'הזנה לתנאי סף'!G362,"")</f>
        <v>רחובות</v>
      </c>
      <c r="G362" s="55" t="str">
        <f>IF($F362="","",'הזנה לתנאי סף'!H362)</f>
        <v>מועצה לשימור אתרי מורשת בישראל (ע"ר</v>
      </c>
      <c r="H362" s="55" t="str">
        <f>IF($F362="","",'הזנה לתנאי סף'!I362)</f>
        <v>מועצה לשימור אתרים</v>
      </c>
      <c r="I362" s="187">
        <f>IF($F362="","",'הזנה לתנאי סף'!R362)</f>
        <v>23690638</v>
      </c>
      <c r="J362" s="187">
        <f>IF($F362="","",'תחום תמיכה א'!P362)</f>
        <v>21561518</v>
      </c>
      <c r="K362" s="177">
        <f>IF($F362="","",'הזנה לתנאי סף'!N362)</f>
        <v>0</v>
      </c>
      <c r="L362" s="177">
        <f>IF($F362="","",'הזנה לתנאי סף'!O362)</f>
        <v>1</v>
      </c>
      <c r="M362" s="177">
        <f>IF($F362="","",'הזנה לתנאי סף'!Q362)</f>
        <v>1</v>
      </c>
      <c r="N362" s="187">
        <f>IF($F362="","",'תחום תמיכה א'!AE362)</f>
        <v>428061.9825520998</v>
      </c>
      <c r="O362" s="178"/>
      <c r="P362" s="187">
        <f>IF($F362="","",'תחום תמיכה ב'!AC362)</f>
        <v>532584.89565456961</v>
      </c>
      <c r="Q362" s="187">
        <f>IF($F362="","",IF('תחום תמיכה ג'!O362="",0,'תחום תמיכה ג'!O362))</f>
        <v>0</v>
      </c>
      <c r="R362" s="187">
        <f t="shared" si="20"/>
        <v>15969.58592220908</v>
      </c>
      <c r="S362" s="187">
        <f>IF($F362="","",'תחום תמיכה ב'!AE362)</f>
        <v>548554.48157677869</v>
      </c>
      <c r="T362" s="187">
        <f>IF($F362="","",IF(Q362='תחום תמיכה ג'!$Q$2,'תחום תמיכה ג'!$Q$2,IFERROR(SUMIF(N362:R362,"&gt;0"),'תחום תמיכה ג'!$Q$2)))</f>
        <v>976616.46412887843</v>
      </c>
      <c r="U362" s="187">
        <f>IF($F362="","",'הזנה לתנאי סף'!Y362)</f>
        <v>3000000</v>
      </c>
      <c r="V362" s="269">
        <f>IF(F362="","",'הגבלה לסכום מבוקש '!AA362)</f>
        <v>1068024.8849929043</v>
      </c>
      <c r="W362" s="187">
        <f t="shared" si="22"/>
        <v>267006.22124822607</v>
      </c>
      <c r="X362" s="187">
        <f>IF(F362="","",'הזנה לתנאי סף'!Z362)</f>
        <v>1</v>
      </c>
      <c r="Y362" s="237" t="str">
        <f>IFERROR(VLOOKUP(G362*1,#REF!,3,0),"")</f>
        <v/>
      </c>
      <c r="Z362" s="187" t="str">
        <f>IF(OR($F362="",Y362=""),"",IFERROR(IF(Y362&gt;V362,MIN(Y362,T362)-V362,0),'תחום תמיכה ג'!$Q$2))</f>
        <v/>
      </c>
      <c r="AA362" s="259"/>
      <c r="AB362" s="260" t="str">
        <f t="shared" si="21"/>
        <v/>
      </c>
      <c r="AC362" s="262"/>
      <c r="AD362" s="180"/>
      <c r="AE362" s="13" t="str">
        <f>IF($C362="","",IFERROR(VLOOKUP($C362,גיליון1!$A:$E,2,0),"לא הגיש בקשה שוטפת"))</f>
        <v>פעילות להגברת מודעות שימור ומורשת הבנויה</v>
      </c>
      <c r="AF362" s="13" t="str">
        <f>IF($C362="","",IFERROR(VLOOKUP($C362,גיליון1!$A:$E,3,0),"לא הגיש בקשה שוטפת"))</f>
        <v>מועד</v>
      </c>
      <c r="AG362" s="13" t="str">
        <f>IF($C362="","",IFERROR(VLOOKUP($C362,גיליון1!$A:$E,4,0),"לא הגיש בקשה שוטפת"))</f>
        <v>19-42-02-45</v>
      </c>
      <c r="AH362" s="13" t="str">
        <f>IF($C362="","",IFERROR(VLOOKUP($C362,גיליון1!$A:$E,5,0),"לא הגיש בקשה שוטפת"))</f>
        <v>שימור אתרי התיישבות</v>
      </c>
      <c r="AI362" s="13">
        <f t="shared" si="23"/>
        <v>0</v>
      </c>
      <c r="AK362" s="174" t="s">
        <v>250</v>
      </c>
    </row>
    <row r="363" spans="1:37" s="174" customFormat="1" ht="43.5" x14ac:dyDescent="0.25">
      <c r="A363" s="54">
        <f>'הזנה לתנאי סף'!B363</f>
        <v>333</v>
      </c>
      <c r="B363" s="266">
        <f>IF($F363="","",'הזנה לתנאי סף'!C363)</f>
        <v>1001348103</v>
      </c>
      <c r="C363" s="266">
        <f>IF($F363="","",'הזנה לתנאי סף'!D363)</f>
        <v>1001263126</v>
      </c>
      <c r="D363" s="266">
        <f>IF($F363="","",'הזנה לתנאי סף'!E363)</f>
        <v>40000242</v>
      </c>
      <c r="E363" s="55">
        <f>IF($F363="","",'הזנה לתנאי סף'!F363)</f>
        <v>20000159</v>
      </c>
      <c r="F363" s="55" t="str">
        <f>IF('הזנה לתנאי סף'!BL363=1,'הזנה לתנאי סף'!G363,"")</f>
        <v>ירושלים</v>
      </c>
      <c r="G363" s="55" t="str">
        <f>IF($F363="","",'הזנה לתנאי סף'!H363)</f>
        <v>הזירה הבין-תחומית (ע"ר)</v>
      </c>
      <c r="H363" s="55" t="str">
        <f>IF($F363="","",'הזנה לתנאי סף'!I363)</f>
        <v>תיאטרון</v>
      </c>
      <c r="I363" s="187">
        <f>IF($F363="","",'הזנה לתנאי סף'!R363)</f>
        <v>2390646</v>
      </c>
      <c r="J363" s="187">
        <f>IF($F363="","",'תחום תמיכה א'!P363)</f>
        <v>2382486</v>
      </c>
      <c r="K363" s="177">
        <f>IF($F363="","",'הזנה לתנאי סף'!N363)</f>
        <v>1</v>
      </c>
      <c r="L363" s="177">
        <f>IF($F363="","",'הזנה לתנאי סף'!O363)</f>
        <v>0</v>
      </c>
      <c r="M363" s="177">
        <f>IF($F363="","",'הזנה לתנאי סף'!Q363)</f>
        <v>1</v>
      </c>
      <c r="N363" s="187">
        <f>IF($F363="","",'תחום תמיכה א'!AE363)</f>
        <v>51302.234389820995</v>
      </c>
      <c r="O363" s="178"/>
      <c r="P363" s="187">
        <f>IF($F363="","",'תחום תמיכה ב'!AC363)</f>
        <v>63224.376713480036</v>
      </c>
      <c r="Q363" s="187">
        <f>IF($F363="","",IF('תחום תמיכה ג'!O363="",0,'תחום תמיכה ג'!O363))</f>
        <v>10929.49560097625</v>
      </c>
      <c r="R363" s="187">
        <f t="shared" si="20"/>
        <v>1895.7862390429</v>
      </c>
      <c r="S363" s="187">
        <f>IF($F363="","",'תחום תמיכה ב'!AE363)</f>
        <v>65120.162952522936</v>
      </c>
      <c r="T363" s="187">
        <f>IF($F363="","",IF(Q363='תחום תמיכה ג'!$Q$2,'תחום תמיכה ג'!$Q$2,IFERROR(SUMIF(N363:R363,"&gt;0"),'תחום תמיכה ג'!$Q$2)))</f>
        <v>127351.89294332018</v>
      </c>
      <c r="U363" s="187">
        <f>IF($F363="","",'הזנה לתנאי סף'!Y363)</f>
        <v>800000</v>
      </c>
      <c r="V363" s="269">
        <f>IF(F363="","",'הגבלה לסכום מבוקש '!AA363)</f>
        <v>138208.39440086109</v>
      </c>
      <c r="W363" s="187">
        <f t="shared" si="22"/>
        <v>34552.098600215271</v>
      </c>
      <c r="X363" s="187">
        <f>IF(F363="","",'הזנה לתנאי סף'!Z363)</f>
        <v>20000</v>
      </c>
      <c r="Y363" s="237" t="str">
        <f>IFERROR(VLOOKUP(G363*1,#REF!,3,0),"")</f>
        <v/>
      </c>
      <c r="Z363" s="187" t="str">
        <f>IF(OR($F363="",Y363=""),"",IFERROR(IF(Y363&gt;V363,MIN(Y363,T363)-V363,0),'תחום תמיכה ג'!$Q$2))</f>
        <v/>
      </c>
      <c r="AA363" s="259"/>
      <c r="AB363" s="260" t="str">
        <f t="shared" si="21"/>
        <v/>
      </c>
      <c r="AC363" s="262"/>
      <c r="AD363" s="180"/>
      <c r="AE363" s="13" t="str">
        <f>IF($C363="","",IFERROR(VLOOKUP($C363,גיליון1!$A:$E,2,0),"לא הגיש בקשה שוטפת"))</f>
        <v>תאטרון הזירה הבין תחומית</v>
      </c>
      <c r="AF363" s="13" t="str">
        <f>IF($C363="","",IFERROR(VLOOKUP($C363,גיליון1!$A:$E,3,0),"לא הגיש בקשה שוטפת"))</f>
        <v>חויב</v>
      </c>
      <c r="AG363" s="13" t="str">
        <f>IF($C363="","",IFERROR(VLOOKUP($C363,גיליון1!$A:$E,4,0),"לא הגיש בקשה שוטפת"))</f>
        <v>19-42-02-07</v>
      </c>
      <c r="AH363" s="13" t="str">
        <f>IF($C363="","",IFERROR(VLOOKUP($C363,גיליון1!$A:$E,5,0),"לא הגיש בקשה שוטפת"))</f>
        <v>תיאטרון</v>
      </c>
      <c r="AI363" s="13">
        <f t="shared" si="23"/>
        <v>0</v>
      </c>
      <c r="AK363" s="174" t="s">
        <v>250</v>
      </c>
    </row>
    <row r="364" spans="1:37" s="174" customFormat="1" ht="43.5" x14ac:dyDescent="0.25">
      <c r="A364" s="54">
        <f>'הזנה לתנאי סף'!B364</f>
        <v>334</v>
      </c>
      <c r="B364" s="266">
        <f>IF($F364="","",'הזנה לתנאי סף'!C364)</f>
        <v>1001348542</v>
      </c>
      <c r="C364" s="266">
        <f>IF($F364="","",'הזנה לתנאי סף'!D364)</f>
        <v>1001268714</v>
      </c>
      <c r="D364" s="266">
        <f>IF($F364="","",'הזנה לתנאי סף'!E364)</f>
        <v>40000242</v>
      </c>
      <c r="E364" s="55">
        <f>IF($F364="","",'הזנה לתנאי סף'!F364)</f>
        <v>20000159</v>
      </c>
      <c r="F364" s="55" t="str">
        <f>IF('הזנה לתנאי סף'!BL364=1,'הזנה לתנאי סף'!G364,"")</f>
        <v>ירושלים</v>
      </c>
      <c r="G364" s="55" t="str">
        <f>IF($F364="","",'הזנה לתנאי סף'!H364)</f>
        <v>הזירה הבין-תחומית (ע"ר)</v>
      </c>
      <c r="H364" s="55" t="str">
        <f>IF($F364="","",'הזנה לתנאי סף'!I364)</f>
        <v>אחר</v>
      </c>
      <c r="I364" s="187">
        <f>IF($F364="","",'הזנה לתנאי סף'!R364)</f>
        <v>72379</v>
      </c>
      <c r="J364" s="187">
        <f>IF($F364="","",'תחום תמיכה א'!P364)</f>
        <v>93629</v>
      </c>
      <c r="K364" s="177">
        <f>IF($F364="","",'הזנה לתנאי סף'!N364)</f>
        <v>1</v>
      </c>
      <c r="L364" s="177">
        <f>IF($F364="","",'הזנה לתנאי סף'!O364)</f>
        <v>0</v>
      </c>
      <c r="M364" s="177">
        <f>IF($F364="","",'הזנה לתנאי סף'!Q364)</f>
        <v>1</v>
      </c>
      <c r="N364" s="187">
        <f>IF($F364="","",'תחום תמיכה א'!AE364)</f>
        <v>1555.7001142287602</v>
      </c>
      <c r="O364" s="178"/>
      <c r="P364" s="187">
        <f>IF($F364="","",'תחום תמיכה ב'!AC364)</f>
        <v>1139.7274655391416</v>
      </c>
      <c r="Q364" s="187">
        <f>IF($F364="","",IF('תחום תמיכה ג'!O364="",0,'תחום תמיכה ג'!O364))</f>
        <v>197.02284100597521</v>
      </c>
      <c r="R364" s="187">
        <f t="shared" si="20"/>
        <v>34.174787601625667</v>
      </c>
      <c r="S364" s="187">
        <f>IF($F364="","",'תחום תמיכה ב'!AE364)</f>
        <v>1173.9022531407672</v>
      </c>
      <c r="T364" s="187">
        <f>IF($F364="","",IF(Q364='תחום תמיכה ג'!$Q$2,'תחום תמיכה ג'!$Q$2,IFERROR(SUMIF(N364:R364,"&gt;0"),'תחום תמיכה ג'!$Q$2)))</f>
        <v>2926.625208375503</v>
      </c>
      <c r="U364" s="187">
        <f>IF($F364="","",'הזנה לתנאי סף'!Y364)</f>
        <v>50000</v>
      </c>
      <c r="V364" s="269">
        <f>IF(F364="","",'הגבלה לסכום מבוקש '!AA364)</f>
        <v>3122.6194658873928</v>
      </c>
      <c r="W364" s="187">
        <f t="shared" si="22"/>
        <v>780.65486647184821</v>
      </c>
      <c r="X364" s="187">
        <f>IF(F364="","",'הזנה לתנאי סף'!Z364)</f>
        <v>10000</v>
      </c>
      <c r="Y364" s="237" t="str">
        <f>IFERROR(VLOOKUP(G364*1,#REF!,3,0),"")</f>
        <v/>
      </c>
      <c r="Z364" s="187" t="str">
        <f>IF(OR($F364="",Y364=""),"",IFERROR(IF(Y364&gt;V364,MIN(Y364,T364)-V364,0),'תחום תמיכה ג'!$Q$2))</f>
        <v/>
      </c>
      <c r="AA364" s="259"/>
      <c r="AB364" s="260" t="str">
        <f t="shared" si="21"/>
        <v/>
      </c>
      <c r="AC364" s="262"/>
      <c r="AD364" s="180"/>
      <c r="AE364" s="13" t="str">
        <f>IF($C364="","",IFERROR(VLOOKUP($C364,גיליון1!$A:$E,2,0),"לא הגיש בקשה שוטפת"))</f>
        <v>מוסיקה הזירה הבין תחומית</v>
      </c>
      <c r="AF364" s="13" t="str">
        <f>IF($C364="","",IFERROR(VLOOKUP($C364,גיליון1!$A:$E,3,0),"לא הגיש בקשה שוטפת"))</f>
        <v>טיוט</v>
      </c>
      <c r="AG364" s="13" t="str">
        <f>IF($C364="","",IFERROR(VLOOKUP($C364,גיליון1!$A:$E,4,0),"לא הגיש בקשה שוטפת"))</f>
        <v>19-42-02-16</v>
      </c>
      <c r="AH364" s="13" t="str">
        <f>IF($C364="","",IFERROR(VLOOKUP($C364,גיליון1!$A:$E,5,0),"לא הגיש בקשה שוטפת"))</f>
        <v>מוסיקה</v>
      </c>
      <c r="AI364" s="13">
        <f t="shared" si="23"/>
        <v>0</v>
      </c>
      <c r="AK364" s="174" t="s">
        <v>250</v>
      </c>
    </row>
    <row r="365" spans="1:37" s="174" customFormat="1" x14ac:dyDescent="0.25">
      <c r="A365" s="54">
        <f>'הזנה לתנאי סף'!B365</f>
        <v>335</v>
      </c>
      <c r="B365" s="266" t="str">
        <f>IF($F365="","",'הזנה לתנאי סף'!C365)</f>
        <v/>
      </c>
      <c r="C365" s="266" t="str">
        <f>IF($F365="","",'הזנה לתנאי סף'!D365)</f>
        <v/>
      </c>
      <c r="D365" s="266" t="str">
        <f>IF($F365="","",'הזנה לתנאי סף'!E365)</f>
        <v/>
      </c>
      <c r="E365" s="55" t="str">
        <f>IF($F365="","",'הזנה לתנאי סף'!F365)</f>
        <v/>
      </c>
      <c r="F365" s="55" t="str">
        <f>IF('הזנה לתנאי סף'!BL365=1,'הזנה לתנאי סף'!G365,"")</f>
        <v/>
      </c>
      <c r="G365" s="55" t="str">
        <f>IF($F365="","",'הזנה לתנאי סף'!H365)</f>
        <v/>
      </c>
      <c r="H365" s="55" t="str">
        <f>IF($F365="","",'הזנה לתנאי סף'!I365)</f>
        <v/>
      </c>
      <c r="I365" s="187" t="str">
        <f>IF($F365="","",'הזנה לתנאי סף'!R365)</f>
        <v/>
      </c>
      <c r="J365" s="187" t="str">
        <f>IF($F365="","",'תחום תמיכה א'!P365)</f>
        <v/>
      </c>
      <c r="K365" s="177" t="str">
        <f>IF($F365="","",'הזנה לתנאי סף'!N365)</f>
        <v/>
      </c>
      <c r="L365" s="177" t="str">
        <f>IF($F365="","",'הזנה לתנאי סף'!O365)</f>
        <v/>
      </c>
      <c r="M365" s="177" t="str">
        <f>IF($F365="","",'הזנה לתנאי סף'!Q365)</f>
        <v/>
      </c>
      <c r="N365" s="187" t="str">
        <f>IF($F365="","",'תחום תמיכה א'!AE365)</f>
        <v/>
      </c>
      <c r="O365" s="178"/>
      <c r="P365" s="187" t="str">
        <f>IF($F365="","",'תחום תמיכה ב'!AC365)</f>
        <v/>
      </c>
      <c r="Q365" s="187" t="str">
        <f>IF($F365="","",IF('תחום תמיכה ג'!O365="",0,'תחום תמיכה ג'!O365))</f>
        <v/>
      </c>
      <c r="R365" s="187" t="str">
        <f t="shared" si="20"/>
        <v/>
      </c>
      <c r="S365" s="187" t="str">
        <f>IF($F365="","",'תחום תמיכה ב'!AE365)</f>
        <v/>
      </c>
      <c r="T365" s="187" t="str">
        <f>IF($F365="","",IF(Q365='תחום תמיכה ג'!$Q$2,'תחום תמיכה ג'!$Q$2,IFERROR(SUMIF(N365:R365,"&gt;0"),'תחום תמיכה ג'!$Q$2)))</f>
        <v/>
      </c>
      <c r="U365" s="187" t="str">
        <f>IF($F365="","",'הזנה לתנאי סף'!Y365)</f>
        <v/>
      </c>
      <c r="V365" s="269" t="str">
        <f>IF(F365="","",'הגבלה לסכום מבוקש '!AA365)</f>
        <v/>
      </c>
      <c r="W365" s="187" t="str">
        <f t="shared" si="22"/>
        <v/>
      </c>
      <c r="X365" s="187" t="str">
        <f>IF(F365="","",'הזנה לתנאי סף'!Z365)</f>
        <v/>
      </c>
      <c r="Y365" s="237" t="str">
        <f>IFERROR(VLOOKUP(G365*1,#REF!,3,0),"")</f>
        <v/>
      </c>
      <c r="Z365" s="187" t="str">
        <f>IF(OR($F365="",Y365=""),"",IFERROR(IF(Y365&gt;V365,MIN(Y365,T365)-V365,0),'תחום תמיכה ג'!$Q$2))</f>
        <v/>
      </c>
      <c r="AA365" s="259"/>
      <c r="AB365" s="260" t="str">
        <f t="shared" si="21"/>
        <v/>
      </c>
      <c r="AC365" s="262"/>
      <c r="AD365" s="180"/>
      <c r="AE365" s="13" t="str">
        <f>IF($C365="","",IFERROR(VLOOKUP($C365,גיליון1!$A:$E,2,0),"לא הגיש בקשה שוטפת"))</f>
        <v/>
      </c>
      <c r="AF365" s="13" t="str">
        <f>IF($C365="","",IFERROR(VLOOKUP($C365,גיליון1!$A:$E,3,0),"לא הגיש בקשה שוטפת"))</f>
        <v/>
      </c>
      <c r="AG365" s="13" t="str">
        <f>IF($C365="","",IFERROR(VLOOKUP($C365,גיליון1!$A:$E,4,0),"לא הגיש בקשה שוטפת"))</f>
        <v/>
      </c>
      <c r="AH365" s="13" t="str">
        <f>IF($C365="","",IFERROR(VLOOKUP($C365,גיליון1!$A:$E,5,0),"לא הגיש בקשה שוטפת"))</f>
        <v/>
      </c>
      <c r="AI365" s="13">
        <f t="shared" si="23"/>
        <v>0</v>
      </c>
      <c r="AK365" s="174" t="s">
        <v>250</v>
      </c>
    </row>
    <row r="366" spans="1:37" s="174" customFormat="1" x14ac:dyDescent="0.25">
      <c r="A366" s="54">
        <f>'הזנה לתנאי סף'!B366</f>
        <v>336</v>
      </c>
      <c r="B366" s="266" t="str">
        <f>IF($F366="","",'הזנה לתנאי סף'!C366)</f>
        <v/>
      </c>
      <c r="C366" s="266" t="str">
        <f>IF($F366="","",'הזנה לתנאי סף'!D366)</f>
        <v/>
      </c>
      <c r="D366" s="266" t="str">
        <f>IF($F366="","",'הזנה לתנאי סף'!E366)</f>
        <v/>
      </c>
      <c r="E366" s="55" t="str">
        <f>IF($F366="","",'הזנה לתנאי סף'!F366)</f>
        <v/>
      </c>
      <c r="F366" s="55" t="str">
        <f>IF('הזנה לתנאי סף'!BL366=1,'הזנה לתנאי סף'!G366,"")</f>
        <v/>
      </c>
      <c r="G366" s="55" t="str">
        <f>IF($F366="","",'הזנה לתנאי סף'!H366)</f>
        <v/>
      </c>
      <c r="H366" s="55" t="str">
        <f>IF($F366="","",'הזנה לתנאי סף'!I366)</f>
        <v/>
      </c>
      <c r="I366" s="187" t="str">
        <f>IF($F366="","",'הזנה לתנאי סף'!R366)</f>
        <v/>
      </c>
      <c r="J366" s="187" t="str">
        <f>IF($F366="","",'תחום תמיכה א'!P366)</f>
        <v/>
      </c>
      <c r="K366" s="177" t="str">
        <f>IF($F366="","",'הזנה לתנאי סף'!N366)</f>
        <v/>
      </c>
      <c r="L366" s="177" t="str">
        <f>IF($F366="","",'הזנה לתנאי סף'!O366)</f>
        <v/>
      </c>
      <c r="M366" s="177" t="str">
        <f>IF($F366="","",'הזנה לתנאי סף'!Q366)</f>
        <v/>
      </c>
      <c r="N366" s="187" t="str">
        <f>IF($F366="","",'תחום תמיכה א'!AE366)</f>
        <v/>
      </c>
      <c r="O366" s="178"/>
      <c r="P366" s="187" t="str">
        <f>IF($F366="","",'תחום תמיכה ב'!AC366)</f>
        <v/>
      </c>
      <c r="Q366" s="187" t="str">
        <f>IF($F366="","",IF('תחום תמיכה ג'!O366="",0,'תחום תמיכה ג'!O366))</f>
        <v/>
      </c>
      <c r="R366" s="187" t="str">
        <f t="shared" si="20"/>
        <v/>
      </c>
      <c r="S366" s="187" t="str">
        <f>IF($F366="","",'תחום תמיכה ב'!AE366)</f>
        <v/>
      </c>
      <c r="T366" s="187" t="str">
        <f>IF($F366="","",IF(Q366='תחום תמיכה ג'!$Q$2,'תחום תמיכה ג'!$Q$2,IFERROR(SUMIF(N366:R366,"&gt;0"),'תחום תמיכה ג'!$Q$2)))</f>
        <v/>
      </c>
      <c r="U366" s="187" t="str">
        <f>IF($F366="","",'הזנה לתנאי סף'!Y366)</f>
        <v/>
      </c>
      <c r="V366" s="269" t="str">
        <f>IF(F366="","",'הגבלה לסכום מבוקש '!AA366)</f>
        <v/>
      </c>
      <c r="W366" s="187" t="str">
        <f t="shared" si="22"/>
        <v/>
      </c>
      <c r="X366" s="187" t="str">
        <f>IF(F366="","",'הזנה לתנאי סף'!Z366)</f>
        <v/>
      </c>
      <c r="Y366" s="237" t="str">
        <f>IFERROR(VLOOKUP(G366*1,#REF!,3,0),"")</f>
        <v/>
      </c>
      <c r="Z366" s="187" t="str">
        <f>IF(OR($F366="",Y366=""),"",IFERROR(IF(Y366&gt;V366,MIN(Y366,T366)-V366,0),'תחום תמיכה ג'!$Q$2))</f>
        <v/>
      </c>
      <c r="AA366" s="259"/>
      <c r="AB366" s="260" t="str">
        <f t="shared" si="21"/>
        <v/>
      </c>
      <c r="AC366" s="262"/>
      <c r="AD366" s="180"/>
      <c r="AE366" s="13" t="str">
        <f>IF($C366="","",IFERROR(VLOOKUP($C366,גיליון1!$A:$E,2,0),"לא הגיש בקשה שוטפת"))</f>
        <v/>
      </c>
      <c r="AF366" s="13" t="str">
        <f>IF($C366="","",IFERROR(VLOOKUP($C366,גיליון1!$A:$E,3,0),"לא הגיש בקשה שוטפת"))</f>
        <v/>
      </c>
      <c r="AG366" s="13" t="str">
        <f>IF($C366="","",IFERROR(VLOOKUP($C366,גיליון1!$A:$E,4,0),"לא הגיש בקשה שוטפת"))</f>
        <v/>
      </c>
      <c r="AH366" s="13" t="str">
        <f>IF($C366="","",IFERROR(VLOOKUP($C366,גיליון1!$A:$E,5,0),"לא הגיש בקשה שוטפת"))</f>
        <v/>
      </c>
      <c r="AI366" s="13">
        <f t="shared" si="23"/>
        <v>0</v>
      </c>
      <c r="AK366" s="174" t="s">
        <v>250</v>
      </c>
    </row>
    <row r="367" spans="1:37" s="174" customFormat="1" ht="57.75" x14ac:dyDescent="0.25">
      <c r="A367" s="54">
        <f>'הזנה לתנאי סף'!B367</f>
        <v>337</v>
      </c>
      <c r="B367" s="266">
        <f>IF($F367="","",'הזנה לתנאי סף'!C367)</f>
        <v>1001349557</v>
      </c>
      <c r="C367" s="266">
        <f>IF($F367="","",'הזנה לתנאי סף'!D367)</f>
        <v>1001262290</v>
      </c>
      <c r="D367" s="266">
        <f>IF($F367="","",'הזנה לתנאי סף'!E367)</f>
        <v>41099000</v>
      </c>
      <c r="E367" s="55">
        <f>IF($F367="","",'הזנה לתנאי סף'!F367)</f>
        <v>20000159</v>
      </c>
      <c r="F367" s="55" t="str">
        <f>IF('הזנה לתנאי סף'!BL367=1,'הזנה לתנאי סף'!G367,"")</f>
        <v>ירושלים</v>
      </c>
      <c r="G367" s="55" t="str">
        <f>IF($F367="","",'הזנה לתנאי סף'!H367)</f>
        <v>בר-קיימא לתרבות, אמנות, מוסיקה ושלו</v>
      </c>
      <c r="H367" s="55" t="str">
        <f>IF($F367="","",'הזנה לתנאי סף'!I367)</f>
        <v>אחר</v>
      </c>
      <c r="I367" s="187">
        <f>IF($F367="","",'הזנה לתנאי סף'!R367)</f>
        <v>574510</v>
      </c>
      <c r="J367" s="187">
        <f>IF($F367="","",'תחום תמיכה א'!P367)</f>
        <v>556375</v>
      </c>
      <c r="K367" s="177">
        <f>IF($F367="","",'הזנה לתנאי סף'!N367)</f>
        <v>1</v>
      </c>
      <c r="L367" s="177">
        <f>IF($F367="","",'הזנה לתנאי סף'!O367)</f>
        <v>0</v>
      </c>
      <c r="M367" s="177">
        <f>IF($F367="","",'הזנה לתנאי סף'!Q367)</f>
        <v>1</v>
      </c>
      <c r="N367" s="187">
        <f>IF($F367="","",'תחום תמיכה א'!AE367)</f>
        <v>15354.574985739981</v>
      </c>
      <c r="O367" s="178"/>
      <c r="P367" s="187">
        <f>IF($F367="","",'תחום תמיכה ב'!AC367)</f>
        <v>24957.174500341131</v>
      </c>
      <c r="Q367" s="187">
        <f>IF($F367="","",IF('תחום תמיכה ג'!O367="",0,'תחום תמיכה ג'!O367))</f>
        <v>4314.3063339384098</v>
      </c>
      <c r="R367" s="187">
        <f t="shared" si="20"/>
        <v>748.34218133227478</v>
      </c>
      <c r="S367" s="187">
        <f>IF($F367="","",'תחום תמיכה ב'!AE367)</f>
        <v>25705.516681673405</v>
      </c>
      <c r="T367" s="187">
        <f>IF($F367="","",IF(Q367='תחום תמיכה ג'!$Q$2,'תחום תמיכה ג'!$Q$2,IFERROR(SUMIF(N367:R367,"&gt;0"),'תחום תמיכה ג'!$Q$2)))</f>
        <v>45374.398001351801</v>
      </c>
      <c r="U367" s="187">
        <f>IF($F367="","",'הזנה לתנאי סף'!Y367)</f>
        <v>463494</v>
      </c>
      <c r="V367" s="269">
        <f>IF(F367="","",'הגבלה לסכום מבוקש '!AA367)</f>
        <v>49657.661159776304</v>
      </c>
      <c r="W367" s="187">
        <f t="shared" si="22"/>
        <v>12414.415289944076</v>
      </c>
      <c r="X367" s="187">
        <f>IF(F367="","",'הזנה לתנאי סף'!Z367)</f>
        <v>463494</v>
      </c>
      <c r="Y367" s="237" t="str">
        <f>IFERROR(VLOOKUP(G367*1,#REF!,3,0),"")</f>
        <v/>
      </c>
      <c r="Z367" s="187" t="str">
        <f>IF(OR($F367="",Y367=""),"",IFERROR(IF(Y367&gt;V367,MIN(Y367,T367)-V367,0),'תחום תמיכה ג'!$Q$2))</f>
        <v/>
      </c>
      <c r="AA367" s="259"/>
      <c r="AB367" s="260" t="str">
        <f t="shared" si="21"/>
        <v/>
      </c>
      <c r="AC367" s="262"/>
      <c r="AD367" s="180"/>
      <c r="AE367" s="13" t="str">
        <f>IF($C367="","",IFERROR(VLOOKUP($C367,גיליון1!$A:$E,2,0),"לא הגיש בקשה שוטפת"))</f>
        <v>תזמורת הרחוב הירושלמית - שוטף</v>
      </c>
      <c r="AF367" s="13" t="str">
        <f>IF($C367="","",IFERROR(VLOOKUP($C367,גיליון1!$A:$E,3,0),"לא הגיש בקשה שוטפת"))</f>
        <v>חויב</v>
      </c>
      <c r="AG367" s="13" t="str">
        <f>IF($C367="","",IFERROR(VLOOKUP($C367,גיליון1!$A:$E,4,0),"לא הגיש בקשה שוטפת"))</f>
        <v>19-42-02-16</v>
      </c>
      <c r="AH367" s="13" t="str">
        <f>IF($C367="","",IFERROR(VLOOKUP($C367,גיליון1!$A:$E,5,0),"לא הגיש בקשה שוטפת"))</f>
        <v>מוסיקה</v>
      </c>
      <c r="AI367" s="13">
        <f t="shared" si="23"/>
        <v>0</v>
      </c>
      <c r="AK367" s="174" t="s">
        <v>250</v>
      </c>
    </row>
    <row r="368" spans="1:37" s="174" customFormat="1" ht="57.75" x14ac:dyDescent="0.25">
      <c r="A368" s="54">
        <f>'הזנה לתנאי סף'!B368</f>
        <v>338</v>
      </c>
      <c r="B368" s="266">
        <f>IF($F368="","",'הזנה לתנאי סף'!C368)</f>
        <v>1001349558</v>
      </c>
      <c r="C368" s="266">
        <f>IF($F368="","",'הזנה לתנאי סף'!D368)</f>
        <v>1001262294</v>
      </c>
      <c r="D368" s="266">
        <f>IF($F368="","",'הזנה לתנאי סף'!E368)</f>
        <v>41099000</v>
      </c>
      <c r="E368" s="55">
        <f>IF($F368="","",'הזנה לתנאי סף'!F368)</f>
        <v>20000159</v>
      </c>
      <c r="F368" s="55" t="str">
        <f>IF('הזנה לתנאי סף'!BL368=1,'הזנה לתנאי סף'!G368,"")</f>
        <v>ירושלים</v>
      </c>
      <c r="G368" s="55" t="str">
        <f>IF($F368="","",'הזנה לתנאי סף'!H368)</f>
        <v>בר-קיימא לתרבות, אמנות, מוסיקה ושלו</v>
      </c>
      <c r="H368" s="55" t="str">
        <f>IF($F368="","",'הזנה לתנאי סף'!I368)</f>
        <v>אחר</v>
      </c>
      <c r="I368" s="187">
        <f>IF($F368="","",'הזנה לתנאי סף'!R368)</f>
        <v>333818</v>
      </c>
      <c r="J368" s="187">
        <f>IF($F368="","",'תחום תמיכה א'!P368)</f>
        <v>261344</v>
      </c>
      <c r="K368" s="177">
        <f>IF($F368="","",'הזנה לתנאי סף'!N368)</f>
        <v>1</v>
      </c>
      <c r="L368" s="177">
        <f>IF($F368="","",'הזנה לתנאי סף'!O368)</f>
        <v>0</v>
      </c>
      <c r="M368" s="177">
        <f>IF($F368="","",'הזנה לתנאי סף'!Q368)</f>
        <v>1</v>
      </c>
      <c r="N368" s="187">
        <f>IF($F368="","",'תחום תמיכה א'!AE368)</f>
        <v>9703.7195668298864</v>
      </c>
      <c r="O368" s="178"/>
      <c r="P368" s="187">
        <f>IF($F368="","",'תחום תמיכה ב'!AC368)</f>
        <v>25091.672515710285</v>
      </c>
      <c r="Q368" s="187">
        <f>IF($F368="","",IF('תחום תמיכה ג'!O368="",0,'תחום תמיכה ג'!O368))</f>
        <v>4337.5567880153067</v>
      </c>
      <c r="R368" s="187">
        <f t="shared" si="20"/>
        <v>752.37511135024761</v>
      </c>
      <c r="S368" s="187">
        <f>IF($F368="","",'תחום תמיכה ב'!AE368)</f>
        <v>25844.047627060532</v>
      </c>
      <c r="T368" s="187">
        <f>IF($F368="","",IF(Q368='תחום תמיכה ג'!$Q$2,'תחום תמיכה ג'!$Q$2,IFERROR(SUMIF(N368:R368,"&gt;0"),'תחום תמיכה ג'!$Q$2)))</f>
        <v>39885.323981905734</v>
      </c>
      <c r="U368" s="187">
        <f>IF($F368="","",'הזנה לתנאי סף'!Y368)</f>
        <v>356384</v>
      </c>
      <c r="V368" s="269">
        <f>IF(F368="","",'הגבלה לסכום מבוקש '!AA368)</f>
        <v>44189.059636874867</v>
      </c>
      <c r="W368" s="187">
        <f t="shared" si="22"/>
        <v>11047.264909218717</v>
      </c>
      <c r="X368" s="187">
        <f>IF(F368="","",'הזנה לתנאי סף'!Z368)</f>
        <v>1</v>
      </c>
      <c r="Y368" s="237" t="str">
        <f>IFERROR(VLOOKUP(G368*1,#REF!,3,0),"")</f>
        <v/>
      </c>
      <c r="Z368" s="187" t="str">
        <f>IF(OR($F368="",Y368=""),"",IFERROR(IF(Y368&gt;V368,MIN(Y368,T368)-V368,0),'תחום תמיכה ג'!$Q$2))</f>
        <v/>
      </c>
      <c r="AA368" s="259"/>
      <c r="AB368" s="260" t="str">
        <f t="shared" si="21"/>
        <v/>
      </c>
      <c r="AC368" s="262"/>
      <c r="AD368" s="180"/>
      <c r="AE368" s="13" t="str">
        <f>IF($C368="","",IFERROR(VLOOKUP($C368,גיליון1!$A:$E,2,0),"לא הגיש בקשה שוטפת"))</f>
        <v>ליריק-אופרה - כיתות אמן בינ"ל</v>
      </c>
      <c r="AF368" s="13" t="str">
        <f>IF($C368="","",IFERROR(VLOOKUP($C368,גיליון1!$A:$E,3,0),"לא הגיש בקשה שוטפת"))</f>
        <v>טיוט</v>
      </c>
      <c r="AG368" s="13" t="str">
        <f>IF($C368="","",IFERROR(VLOOKUP($C368,גיליון1!$A:$E,4,0),"לא הגיש בקשה שוטפת"))</f>
        <v>19-42-02-16</v>
      </c>
      <c r="AH368" s="13" t="str">
        <f>IF($C368="","",IFERROR(VLOOKUP($C368,גיליון1!$A:$E,5,0),"לא הגיש בקשה שוטפת"))</f>
        <v>מוסיקה</v>
      </c>
      <c r="AI368" s="13">
        <f t="shared" si="23"/>
        <v>0</v>
      </c>
      <c r="AK368" s="174" t="s">
        <v>250</v>
      </c>
    </row>
    <row r="369" spans="1:37" s="174" customFormat="1" ht="57.75" x14ac:dyDescent="0.25">
      <c r="A369" s="54">
        <f>'הזנה לתנאי סף'!B369</f>
        <v>339</v>
      </c>
      <c r="B369" s="266">
        <f>IF($F369="","",'הזנה לתנאי סף'!C369)</f>
        <v>1001349559</v>
      </c>
      <c r="C369" s="266">
        <f>IF($F369="","",'הזנה לתנאי סף'!D369)</f>
        <v>1001262292</v>
      </c>
      <c r="D369" s="266">
        <f>IF($F369="","",'הזנה לתנאי סף'!E369)</f>
        <v>41099000</v>
      </c>
      <c r="E369" s="55">
        <f>IF($F369="","",'הזנה לתנאי סף'!F369)</f>
        <v>20000159</v>
      </c>
      <c r="F369" s="55" t="str">
        <f>IF('הזנה לתנאי סף'!BL369=1,'הזנה לתנאי סף'!G369,"")</f>
        <v>ירושלים</v>
      </c>
      <c r="G369" s="55" t="str">
        <f>IF($F369="","",'הזנה לתנאי סף'!H369)</f>
        <v>בר-קיימא לתרבות, אמנות, מוסיקה ושלו</v>
      </c>
      <c r="H369" s="55" t="str">
        <f>IF($F369="","",'הזנה לתנאי סף'!I369)</f>
        <v>סינמטקים ופסטיבלים</v>
      </c>
      <c r="I369" s="187">
        <f>IF($F369="","",'הזנה לתנאי סף'!R369)</f>
        <v>362717</v>
      </c>
      <c r="J369" s="187">
        <f>IF($F369="","",'תחום תמיכה א'!P369)</f>
        <v>404256</v>
      </c>
      <c r="K369" s="177">
        <f>IF($F369="","",'הזנה לתנאי סף'!N369)</f>
        <v>0</v>
      </c>
      <c r="L369" s="177">
        <f>IF($F369="","",'הזנה לתנאי סף'!O369)</f>
        <v>1</v>
      </c>
      <c r="M369" s="177">
        <f>IF($F369="","",'הזנה לתנאי סף'!Q369)</f>
        <v>1</v>
      </c>
      <c r="N369" s="187">
        <f>IF($F369="","",'תחום תמיכה א'!AE369)</f>
        <v>22098.452939566014</v>
      </c>
      <c r="O369" s="178"/>
      <c r="P369" s="187">
        <f>IF($F369="","",'תחום תמיכה ב'!AC369)</f>
        <v>61821.01651708861</v>
      </c>
      <c r="Q369" s="187">
        <f>IF($F369="","",IF('תחום תמיכה ג'!O369="",0,'תחום תמיכה ג'!O369))</f>
        <v>0</v>
      </c>
      <c r="R369" s="187">
        <f t="shared" si="20"/>
        <v>1853.7064102326331</v>
      </c>
      <c r="S369" s="187">
        <f>IF($F369="","",'תחום תמיכה ב'!AE369)</f>
        <v>63674.722927321243</v>
      </c>
      <c r="T369" s="187">
        <f>IF($F369="","",IF(Q369='תחום תמיכה ג'!$Q$2,'תחום תמיכה ג'!$Q$2,IFERROR(SUMIF(N369:R369,"&gt;0"),'תחום תמיכה ג'!$Q$2)))</f>
        <v>85773.175866887264</v>
      </c>
      <c r="U369" s="187">
        <f>IF($F369="","",'הזנה לתנאי סף'!Y369)</f>
        <v>1892853</v>
      </c>
      <c r="V369" s="269">
        <f>IF(F369="","",'הגבלה לסכום מבוקש '!AA369)</f>
        <v>96371.056148741278</v>
      </c>
      <c r="W369" s="187">
        <f t="shared" si="22"/>
        <v>24092.764037185319</v>
      </c>
      <c r="X369" s="187">
        <f>IF(F369="","",'הזנה לתנאי סף'!Z369)</f>
        <v>1</v>
      </c>
      <c r="Y369" s="237" t="str">
        <f>IFERROR(VLOOKUP(G369*1,#REF!,3,0),"")</f>
        <v/>
      </c>
      <c r="Z369" s="187" t="str">
        <f>IF(OR($F369="",Y369=""),"",IFERROR(IF(Y369&gt;V369,MIN(Y369,T369)-V369,0),'תחום תמיכה ג'!$Q$2))</f>
        <v/>
      </c>
      <c r="AA369" s="259"/>
      <c r="AB369" s="260" t="str">
        <f t="shared" si="21"/>
        <v/>
      </c>
      <c r="AC369" s="262"/>
      <c r="AD369" s="180"/>
      <c r="AE369" s="13" t="str">
        <f>IF($C369="","",IFERROR(VLOOKUP($C369,גיליון1!$A:$E,2,0),"לא הגיש בקשה שוטפת"))</f>
        <v>מזקקה - מרכז תרבות ומוזיקה בירושלים</v>
      </c>
      <c r="AF369" s="13" t="str">
        <f>IF($C369="","",IFERROR(VLOOKUP($C369,גיליון1!$A:$E,3,0),"לא הגיש בקשה שוטפת"))</f>
        <v>מועד</v>
      </c>
      <c r="AG369" s="13" t="str">
        <f>IF($C369="","",IFERROR(VLOOKUP($C369,גיליון1!$A:$E,4,0),"לא הגיש בקשה שוטפת"))</f>
        <v>19-42-02-16</v>
      </c>
      <c r="AH369" s="13" t="str">
        <f>IF($C369="","",IFERROR(VLOOKUP($C369,גיליון1!$A:$E,5,0),"לא הגיש בקשה שוטפת"))</f>
        <v>מוסיקה</v>
      </c>
      <c r="AI369" s="13">
        <f t="shared" si="23"/>
        <v>0</v>
      </c>
      <c r="AK369" s="174" t="s">
        <v>250</v>
      </c>
    </row>
    <row r="370" spans="1:37" s="174" customFormat="1" ht="57.75" x14ac:dyDescent="0.25">
      <c r="A370" s="54">
        <f>'הזנה לתנאי סף'!B370</f>
        <v>340</v>
      </c>
      <c r="B370" s="266">
        <f>IF($F370="","",'הזנה לתנאי סף'!C370)</f>
        <v>1001349660</v>
      </c>
      <c r="C370" s="266">
        <f>IF($F370="","",'הזנה לתנאי סף'!D370)</f>
        <v>1001262293</v>
      </c>
      <c r="D370" s="266">
        <f>IF($F370="","",'הזנה לתנאי סף'!E370)</f>
        <v>41099000</v>
      </c>
      <c r="E370" s="55">
        <f>IF($F370="","",'הזנה לתנאי סף'!F370)</f>
        <v>20000159</v>
      </c>
      <c r="F370" s="55" t="str">
        <f>IF('הזנה לתנאי סף'!BL370=1,'הזנה לתנאי סף'!G370,"")</f>
        <v>ירושלים</v>
      </c>
      <c r="G370" s="55" t="str">
        <f>IF($F370="","",'הזנה לתנאי סף'!H370)</f>
        <v>בר-קיימא לתרבות, אמנות, מוסיקה ושלו</v>
      </c>
      <c r="H370" s="55" t="str">
        <f>IF($F370="","",'הזנה לתנאי סף'!I370)</f>
        <v>סינמטקים ופסטיבלים</v>
      </c>
      <c r="I370" s="187">
        <f>IF($F370="","",'הזנה לתנאי סף'!R370)</f>
        <v>29480</v>
      </c>
      <c r="J370" s="187">
        <f>IF($F370="","",'תחום תמיכה א'!P370)</f>
        <v>29480</v>
      </c>
      <c r="K370" s="177">
        <f>IF($F370="","",'הזנה לתנאי סף'!N370)</f>
        <v>0</v>
      </c>
      <c r="L370" s="177">
        <f>IF($F370="","",'הזנה לתנאי סף'!O370)</f>
        <v>1</v>
      </c>
      <c r="M370" s="177">
        <f>IF($F370="","",'הזנה לתנאי סף'!Q370)</f>
        <v>1</v>
      </c>
      <c r="N370" s="187">
        <f>IF($F370="","",'תחום תמיכה א'!AE370)</f>
        <v>1611.5095203494971</v>
      </c>
      <c r="O370" s="178"/>
      <c r="P370" s="187">
        <f>IF($F370="","",'תחום תמיכה ב'!AC370)</f>
        <v>5024.5330848120493</v>
      </c>
      <c r="Q370" s="187">
        <f>IF($F370="","",IF('תחום תמיכה ג'!O370="",0,'תחום תמיכה ג'!O370))</f>
        <v>0</v>
      </c>
      <c r="R370" s="187">
        <f t="shared" si="20"/>
        <v>150.66088706528171</v>
      </c>
      <c r="S370" s="187">
        <f>IF($F370="","",'תחום תמיכה ב'!AE370)</f>
        <v>5175.193971877331</v>
      </c>
      <c r="T370" s="187">
        <f>IF($F370="","",IF(Q370='תחום תמיכה ג'!$Q$2,'תחום תמיכה ג'!$Q$2,IFERROR(SUMIF(N370:R370,"&gt;0"),'תחום תמיכה ג'!$Q$2)))</f>
        <v>6786.7034922268285</v>
      </c>
      <c r="U370" s="187">
        <f>IF($F370="","",'הזנה לתנאי סף'!Y370)</f>
        <v>856695</v>
      </c>
      <c r="V370" s="269">
        <f>IF(F370="","",'הגבלה לסכום מבוקש '!AA370)</f>
        <v>7647.9673175623147</v>
      </c>
      <c r="W370" s="187">
        <f t="shared" si="22"/>
        <v>1911.9918293905787</v>
      </c>
      <c r="X370" s="187">
        <f>IF(F370="","",'הזנה לתנאי סף'!Z370)</f>
        <v>856695</v>
      </c>
      <c r="Y370" s="237" t="str">
        <f>IFERROR(VLOOKUP(G370*1,#REF!,3,0),"")</f>
        <v/>
      </c>
      <c r="Z370" s="187" t="str">
        <f>IF(OR($F370="",Y370=""),"",IFERROR(IF(Y370&gt;V370,MIN(Y370,T370)-V370,0),'תחום תמיכה ג'!$Q$2))</f>
        <v/>
      </c>
      <c r="AA370" s="259"/>
      <c r="AB370" s="260" t="str">
        <f t="shared" si="21"/>
        <v/>
      </c>
      <c r="AC370" s="262"/>
      <c r="AD370" s="180"/>
      <c r="AE370" s="13" t="str">
        <f>IF($C370="","",IFERROR(VLOOKUP($C370,גיליון1!$A:$E,2,0),"לא הגיש בקשה שוטפת"))</f>
        <v>פסטיבל זיקוק</v>
      </c>
      <c r="AF370" s="13" t="str">
        <f>IF($C370="","",IFERROR(VLOOKUP($C370,גיליון1!$A:$E,3,0),"לא הגיש בקשה שוטפת"))</f>
        <v>טיוט</v>
      </c>
      <c r="AG370" s="13" t="str">
        <f>IF($C370="","",IFERROR(VLOOKUP($C370,גיליון1!$A:$E,4,0),"לא הגיש בקשה שוטפת"))</f>
        <v>19-42-02-26</v>
      </c>
      <c r="AH370" s="13" t="str">
        <f>IF($C370="","",IFERROR(VLOOKUP($C370,גיליון1!$A:$E,5,0),"לא הגיש בקשה שוטפת"))</f>
        <v>פסטיבלים לתרבות</v>
      </c>
      <c r="AI370" s="13">
        <f t="shared" si="23"/>
        <v>0</v>
      </c>
      <c r="AK370" s="174" t="s">
        <v>250</v>
      </c>
    </row>
    <row r="371" spans="1:37" s="174" customFormat="1" ht="43.5" x14ac:dyDescent="0.25">
      <c r="A371" s="54">
        <f>'הזנה לתנאי סף'!B371</f>
        <v>341</v>
      </c>
      <c r="B371" s="266">
        <f>IF($F371="","",'הזנה לתנאי סף'!C371)</f>
        <v>1001346562</v>
      </c>
      <c r="C371" s="266">
        <f>IF($F371="","",'הזנה לתנאי סף'!D371)</f>
        <v>1001268829</v>
      </c>
      <c r="D371" s="266">
        <f>IF($F371="","",'הזנה לתנאי סף'!E371)</f>
        <v>40371504</v>
      </c>
      <c r="E371" s="55">
        <f>IF($F371="","",'הזנה לתנאי סף'!F371)</f>
        <v>20000253</v>
      </c>
      <c r="F371" s="55" t="str">
        <f>IF('הזנה לתנאי סף'!BL371=1,'הזנה לתנאי סף'!G371,"")</f>
        <v>טמרה</v>
      </c>
      <c r="G371" s="55" t="str">
        <f>IF($F371="","",'הזנה לתנאי סף'!H371)</f>
        <v>סינמה דרמה (ע"ר)</v>
      </c>
      <c r="H371" s="55" t="str">
        <f>IF($F371="","",'הזנה לתנאי סף'!I371)</f>
        <v>תיאטרון</v>
      </c>
      <c r="I371" s="187">
        <f>IF($F371="","",'הזנה לתנאי סף'!R371)</f>
        <v>1403024</v>
      </c>
      <c r="J371" s="187">
        <f>IF($F371="","",'תחום תמיכה א'!P371)</f>
        <v>1112468</v>
      </c>
      <c r="K371" s="177">
        <f>IF($F371="","",'הזנה לתנאי סף'!N371)</f>
        <v>0</v>
      </c>
      <c r="L371" s="177">
        <f>IF($F371="","",'הזנה לתנאי סף'!O371)</f>
        <v>1</v>
      </c>
      <c r="M371" s="177">
        <f>IF($F371="","",'הזנה לתנאי סף'!Q371)</f>
        <v>1</v>
      </c>
      <c r="N371" s="187">
        <f>IF($F371="","",'תחום תמיכה א'!AE371)</f>
        <v>26125.005850495389</v>
      </c>
      <c r="O371" s="178"/>
      <c r="P371" s="187">
        <f>IF($F371="","",'תחום תמיכה ב'!AC371)</f>
        <v>44132.677476826429</v>
      </c>
      <c r="Q371" s="187">
        <f>IF($F371="","",IF('תחום תמיכה ג'!O371="",0,'תחום תמיכה ג'!O371))</f>
        <v>0</v>
      </c>
      <c r="R371" s="187">
        <f t="shared" si="20"/>
        <v>1323.3206399462651</v>
      </c>
      <c r="S371" s="187">
        <f>IF($F371="","",'תחום תמיכה ב'!AE371)</f>
        <v>45455.998116772695</v>
      </c>
      <c r="T371" s="187">
        <f>IF($F371="","",IF(Q371='תחום תמיכה ג'!$Q$2,'תחום תמיכה ג'!$Q$2,IFERROR(SUMIF(N371:R371,"&gt;0"),'תחום תמיכה ג'!$Q$2)))</f>
        <v>71581.003967268087</v>
      </c>
      <c r="U371" s="187">
        <f>IF($F371="","",'הזנה לתנאי סף'!Y371)</f>
        <v>1200000</v>
      </c>
      <c r="V371" s="269">
        <f>IF(F371="","",'הגבלה לסכום מבוקש '!AA371)</f>
        <v>79151.312276840123</v>
      </c>
      <c r="W371" s="187">
        <f t="shared" si="22"/>
        <v>19787.828069210031</v>
      </c>
      <c r="X371" s="187">
        <f>IF(F371="","",'הזנה לתנאי סף'!Z371)</f>
        <v>600000</v>
      </c>
      <c r="Y371" s="237" t="str">
        <f>IFERROR(VLOOKUP(G371*1,#REF!,3,0),"")</f>
        <v/>
      </c>
      <c r="Z371" s="187" t="str">
        <f>IF(OR($F371="",Y371=""),"",IFERROR(IF(Y371&gt;V371,MIN(Y371,T371)-V371,0),'תחום תמיכה ג'!$Q$2))</f>
        <v/>
      </c>
      <c r="AA371" s="259"/>
      <c r="AB371" s="260" t="str">
        <f t="shared" si="21"/>
        <v/>
      </c>
      <c r="AC371" s="262"/>
      <c r="AD371" s="180"/>
      <c r="AE371" s="13" t="str">
        <f>IF($C371="","",IFERROR(VLOOKUP($C371,גיליון1!$A:$E,2,0),"לא הגיש בקשה שוטפת"))</f>
        <v>שוטף</v>
      </c>
      <c r="AF371" s="13" t="str">
        <f>IF($C371="","",IFERROR(VLOOKUP($C371,גיליון1!$A:$E,3,0),"לא הגיש בקשה שוטפת"))</f>
        <v>מועד</v>
      </c>
      <c r="AG371" s="13" t="str">
        <f>IF($C371="","",IFERROR(VLOOKUP($C371,גיליון1!$A:$E,4,0),"לא הגיש בקשה שוטפת"))</f>
        <v>19-42-02-33</v>
      </c>
      <c r="AH371" s="13" t="str">
        <f>IF($C371="","",IFERROR(VLOOKUP($C371,גיליון1!$A:$E,5,0),"לא הגיש בקשה שוטפת"))</f>
        <v>תרבות ערבית ודרוזית</v>
      </c>
      <c r="AI371" s="13">
        <f t="shared" si="23"/>
        <v>0</v>
      </c>
      <c r="AK371" s="174" t="s">
        <v>250</v>
      </c>
    </row>
    <row r="372" spans="1:37" s="174" customFormat="1" ht="43.5" x14ac:dyDescent="0.25">
      <c r="A372" s="54">
        <f>'הזנה לתנאי סף'!B372</f>
        <v>342</v>
      </c>
      <c r="B372" s="266">
        <f>IF($F372="","",'הזנה לתנאי סף'!C372)</f>
        <v>1001349210</v>
      </c>
      <c r="C372" s="266">
        <f>IF($F372="","",'הזנה לתנאי סף'!D372)</f>
        <v>1001288841</v>
      </c>
      <c r="D372" s="266">
        <f>IF($F372="","",'הזנה לתנאי סף'!E372)</f>
        <v>40465932</v>
      </c>
      <c r="E372" s="55">
        <f>IF($F372="","",'הזנה לתנאי סף'!F372)</f>
        <v>20000159</v>
      </c>
      <c r="F372" s="55" t="str">
        <f>IF('הזנה לתנאי סף'!BL372=1,'הזנה לתנאי סף'!G372,"")</f>
        <v>ירושלים</v>
      </c>
      <c r="G372" s="55" t="str">
        <f>IF($F372="","",'הזנה לתנאי סף'!H372)</f>
        <v>תיאטרון האינקובטור (ע"ר)</v>
      </c>
      <c r="H372" s="55" t="str">
        <f>IF($F372="","",'הזנה לתנאי סף'!I372)</f>
        <v>תיאטרון</v>
      </c>
      <c r="I372" s="187">
        <f>IF($F372="","",'הזנה לתנאי סף'!R372)</f>
        <v>5829172</v>
      </c>
      <c r="J372" s="187">
        <f>IF($F372="","",'תחום תמיכה א'!P372)</f>
        <v>5804058</v>
      </c>
      <c r="K372" s="177">
        <f>IF($F372="","",'הזנה לתנאי סף'!N372)</f>
        <v>1</v>
      </c>
      <c r="L372" s="177">
        <f>IF($F372="","",'הזנה לתנאי סף'!O372)</f>
        <v>0</v>
      </c>
      <c r="M372" s="177">
        <f>IF($F372="","",'הזנה לתנאי סף'!Q372)</f>
        <v>1</v>
      </c>
      <c r="N372" s="187">
        <f>IF($F372="","",'תחום תמיכה א'!AE372)</f>
        <v>142444.31174344601</v>
      </c>
      <c r="O372" s="178"/>
      <c r="P372" s="187">
        <f>IF($F372="","",'תחום תמיכה ב'!AC372)</f>
        <v>200258.53899057989</v>
      </c>
      <c r="Q372" s="187">
        <f>IF($F372="","",IF('תחום תמיכה ג'!O372="",0,'תחום תמיכה ג'!O372))</f>
        <v>34618.36928617466</v>
      </c>
      <c r="R372" s="187">
        <f t="shared" si="20"/>
        <v>6004.7627545568685</v>
      </c>
      <c r="S372" s="187">
        <f>IF($F372="","",'תחום תמיכה ב'!AE372)</f>
        <v>206263.30174513676</v>
      </c>
      <c r="T372" s="187">
        <f>IF($F372="","",IF(Q372='תחום תמיכה ג'!$Q$2,'תחום תמיכה ג'!$Q$2,IFERROR(SUMIF(N372:R372,"&gt;0"),'תחום תמיכה ג'!$Q$2)))</f>
        <v>383325.98277475743</v>
      </c>
      <c r="U372" s="187">
        <f>IF($F372="","",'הזנה לתנאי סף'!Y372)</f>
        <v>800000</v>
      </c>
      <c r="V372" s="269">
        <f>IF(F372="","",'הגבלה לסכום מבוקש '!AA372)</f>
        <v>417704.01842914504</v>
      </c>
      <c r="W372" s="187">
        <f t="shared" si="22"/>
        <v>104426.00460728626</v>
      </c>
      <c r="X372" s="187">
        <f>IF(F372="","",'הזנה לתנאי סף'!Z372)</f>
        <v>1</v>
      </c>
      <c r="Y372" s="237" t="str">
        <f>IFERROR(VLOOKUP(G372*1,#REF!,3,0),"")</f>
        <v/>
      </c>
      <c r="Z372" s="187" t="str">
        <f>IF(OR($F372="",Y372=""),"",IFERROR(IF(Y372&gt;V372,MIN(Y372,T372)-V372,0),'תחום תמיכה ג'!$Q$2))</f>
        <v/>
      </c>
      <c r="AA372" s="259"/>
      <c r="AB372" s="260" t="str">
        <f t="shared" si="21"/>
        <v/>
      </c>
      <c r="AC372" s="262"/>
      <c r="AD372" s="180"/>
      <c r="AE372" s="13" t="str">
        <f>IF($C372="","",IFERROR(VLOOKUP($C372,גיליון1!$A:$E,2,0),"לא הגיש בקשה שוטפת"))</f>
        <v>בקשה לתמיכה שוטפת-תיאטרון האינקובטור</v>
      </c>
      <c r="AF372" s="13" t="str">
        <f>IF($C372="","",IFERROR(VLOOKUP($C372,גיליון1!$A:$E,3,0),"לא הגיש בקשה שוטפת"))</f>
        <v>חויב</v>
      </c>
      <c r="AG372" s="13" t="str">
        <f>IF($C372="","",IFERROR(VLOOKUP($C372,גיליון1!$A:$E,4,0),"לא הגיש בקשה שוטפת"))</f>
        <v>19-42-02-07</v>
      </c>
      <c r="AH372" s="13" t="str">
        <f>IF($C372="","",IFERROR(VLOOKUP($C372,גיליון1!$A:$E,5,0),"לא הגיש בקשה שוטפת"))</f>
        <v>תיאטרון</v>
      </c>
      <c r="AI372" s="13">
        <f t="shared" si="23"/>
        <v>0</v>
      </c>
      <c r="AK372" s="174" t="s">
        <v>250</v>
      </c>
    </row>
    <row r="373" spans="1:37" s="174" customFormat="1" ht="43.5" x14ac:dyDescent="0.25">
      <c r="A373" s="54">
        <f>'הזנה לתנאי סף'!B373</f>
        <v>343</v>
      </c>
      <c r="B373" s="266">
        <f>IF($F373="","",'הזנה לתנאי סף'!C373)</f>
        <v>1001349220</v>
      </c>
      <c r="C373" s="266">
        <f>IF($F373="","",'הזנה לתנאי סף'!D373)</f>
        <v>1001280749</v>
      </c>
      <c r="D373" s="266">
        <f>IF($F373="","",'הזנה לתנאי סף'!E373)</f>
        <v>40465932</v>
      </c>
      <c r="E373" s="55">
        <f>IF($F373="","",'הזנה לתנאי סף'!F373)</f>
        <v>20000159</v>
      </c>
      <c r="F373" s="55" t="str">
        <f>IF('הזנה לתנאי סף'!BL373=1,'הזנה לתנאי סף'!G373,"")</f>
        <v>ירושלים</v>
      </c>
      <c r="G373" s="55" t="str">
        <f>IF($F373="","",'הזנה לתנאי סף'!H373)</f>
        <v>תיאטרון האינקובטור (ע"ר)</v>
      </c>
      <c r="H373" s="55" t="str">
        <f>IF($F373="","",'הזנה לתנאי סף'!I373)</f>
        <v>ספרות</v>
      </c>
      <c r="I373" s="187">
        <f>IF($F373="","",'הזנה לתנאי סף'!R373)</f>
        <v>2338931</v>
      </c>
      <c r="J373" s="187">
        <f>IF($F373="","",'תחום תמיכה א'!P373)</f>
        <v>2348508</v>
      </c>
      <c r="K373" s="177">
        <f>IF($F373="","",'הזנה לתנאי סף'!N373)</f>
        <v>1</v>
      </c>
      <c r="L373" s="177">
        <f>IF($F373="","",'הזנה לתנאי סף'!O373)</f>
        <v>0</v>
      </c>
      <c r="M373" s="177">
        <f>IF($F373="","",'הזנה לתנאי סף'!Q373)</f>
        <v>1</v>
      </c>
      <c r="N373" s="187">
        <f>IF($F373="","",'תחום תמיכה א'!AE373)</f>
        <v>95074.878510884388</v>
      </c>
      <c r="O373" s="178"/>
      <c r="P373" s="187">
        <f>IF($F373="","",'תחום תמיכה ב'!AC373)</f>
        <v>218636.32500280606</v>
      </c>
      <c r="Q373" s="187">
        <f>IF($F373="","",IF('תחום תמיכה ג'!O373="",0,'תחום תמיכה ג'!O373))</f>
        <v>37795.307388491827</v>
      </c>
      <c r="R373" s="187">
        <f t="shared" si="20"/>
        <v>6555.8216283191869</v>
      </c>
      <c r="S373" s="187">
        <f>IF($F373="","",'תחום תמיכה ב'!AE373)</f>
        <v>225192.14663112524</v>
      </c>
      <c r="T373" s="187">
        <f>IF($F373="","",IF(Q373='תחום תמיכה ג'!$Q$2,'תחום תמיכה ג'!$Q$2,IFERROR(SUMIF(N373:R373,"&gt;0"),'תחום תמיכה ג'!$Q$2)))</f>
        <v>358062.33253050142</v>
      </c>
      <c r="U373" s="187">
        <f>IF($F373="","",'הזנה לתנאי סף'!Y373)</f>
        <v>500000</v>
      </c>
      <c r="V373" s="269">
        <f>IF(F373="","",'הגבלה לסכום מבוקש '!AA373)</f>
        <v>395567.73014556844</v>
      </c>
      <c r="W373" s="187">
        <f t="shared" si="22"/>
        <v>98891.932536392109</v>
      </c>
      <c r="X373" s="187">
        <f>IF(F373="","",'הזנה לתנאי סף'!Z373)</f>
        <v>1</v>
      </c>
      <c r="Y373" s="237" t="str">
        <f>IFERROR(VLOOKUP(G373*1,#REF!,3,0),"")</f>
        <v/>
      </c>
      <c r="Z373" s="187" t="str">
        <f>IF(OR($F373="",Y373=""),"",IFERROR(IF(Y373&gt;V373,MIN(Y373,T373)-V373,0),'תחום תמיכה ג'!$Q$2))</f>
        <v/>
      </c>
      <c r="AA373" s="259"/>
      <c r="AB373" s="260" t="str">
        <f t="shared" si="21"/>
        <v/>
      </c>
      <c r="AC373" s="262"/>
      <c r="AD373" s="180"/>
      <c r="AE373" s="13" t="str">
        <f>IF($C373="","",IFERROR(VLOOKUP($C373,גיליון1!$A:$E,2,0),"לא הגיש בקשה שוטפת"))</f>
        <v>ערבי שירה-לעידוד השירה ומשוררים צעירים</v>
      </c>
      <c r="AF373" s="13" t="str">
        <f>IF($C373="","",IFERROR(VLOOKUP($C373,גיליון1!$A:$E,3,0),"לא הגיש בקשה שוטפת"))</f>
        <v>מועד</v>
      </c>
      <c r="AG373" s="13" t="str">
        <f>IF($C373="","",IFERROR(VLOOKUP($C373,גיליון1!$A:$E,4,0),"לא הגיש בקשה שוטפת"))</f>
        <v>19-42-02-22</v>
      </c>
      <c r="AH373" s="13" t="str">
        <f>IF($C373="","",IFERROR(VLOOKUP($C373,גיליון1!$A:$E,5,0),"לא הגיש בקשה שוטפת"))</f>
        <v>ספרות</v>
      </c>
      <c r="AI373" s="13">
        <f t="shared" si="23"/>
        <v>0</v>
      </c>
      <c r="AK373" s="174" t="s">
        <v>250</v>
      </c>
    </row>
    <row r="374" spans="1:37" s="174" customFormat="1" ht="43.5" x14ac:dyDescent="0.25">
      <c r="A374" s="54">
        <f>'הזנה לתנאי סף'!B374</f>
        <v>344</v>
      </c>
      <c r="B374" s="266">
        <f>IF($F374="","",'הזנה לתנאי סף'!C374)</f>
        <v>1001350587</v>
      </c>
      <c r="C374" s="266">
        <f>IF($F374="","",'הזנה לתנאי סף'!D374)</f>
        <v>1001302052</v>
      </c>
      <c r="D374" s="266">
        <f>IF($F374="","",'הזנה לתנאי סף'!E374)</f>
        <v>40822203</v>
      </c>
      <c r="E374" s="55">
        <f>IF($F374="","",'הזנה לתנאי סף'!F374)</f>
        <v>20000159</v>
      </c>
      <c r="F374" s="55" t="str">
        <f>IF('הזנה לתנאי סף'!BL374=1,'הזנה לתנאי סף'!G374,"")</f>
        <v>ירושלים</v>
      </c>
      <c r="G374" s="55" t="str">
        <f>IF($F374="","",'הזנה לתנאי סף'!H374)</f>
        <v>הערת שוליים (ע"ר)</v>
      </c>
      <c r="H374" s="55" t="str">
        <f>IF($F374="","",'הזנה לתנאי סף'!I374)</f>
        <v>מקהלות</v>
      </c>
      <c r="I374" s="187">
        <f>IF($F374="","",'הזנה לתנאי סף'!R374)</f>
        <v>182000</v>
      </c>
      <c r="J374" s="187">
        <f>IF($F374="","",'תחום תמיכה א'!P374)</f>
        <v>181176</v>
      </c>
      <c r="K374" s="177">
        <f>IF($F374="","",'הזנה לתנאי סף'!N374)</f>
        <v>1</v>
      </c>
      <c r="L374" s="177">
        <f>IF($F374="","",'הזנה לתנאי סף'!O374)</f>
        <v>0</v>
      </c>
      <c r="M374" s="177">
        <f>IF($F374="","",'הזנה לתנאי סף'!Q374)</f>
        <v>1</v>
      </c>
      <c r="N374" s="187">
        <f>IF($F374="","",'תחום תמיכה א'!AE374)</f>
        <v>3208.1548254866289</v>
      </c>
      <c r="O374" s="178"/>
      <c r="P374" s="187">
        <f>IF($F374="","",'תחום תמיכה ב'!AC374)</f>
        <v>3254.9035986830136</v>
      </c>
      <c r="Q374" s="187">
        <f>IF($F374="","",IF('תחום תמיכה ג'!O374="",0,'תחום תמיכה ג'!O374))</f>
        <v>562.66991329347411</v>
      </c>
      <c r="R374" s="187">
        <f t="shared" si="20"/>
        <v>97.598454465725808</v>
      </c>
      <c r="S374" s="187">
        <f>IF($F374="","",'תחום תמיכה ב'!AE374)</f>
        <v>3352.5020531487394</v>
      </c>
      <c r="T374" s="187">
        <f>IF($F374="","",IF(Q374='תחום תמיכה ג'!$Q$2,'תחום תמיכה ג'!$Q$2,IFERROR(SUMIF(N374:R374,"&gt;0"),'תחום תמיכה ג'!$Q$2)))</f>
        <v>7123.3267919288428</v>
      </c>
      <c r="U374" s="187">
        <f>IF($F374="","",'הזנה לתנאי סף'!Y374)</f>
        <v>280000</v>
      </c>
      <c r="V374" s="269">
        <f>IF(F374="","",'הגבלה לסכום מבוקש '!AA374)</f>
        <v>7682.4970177878022</v>
      </c>
      <c r="W374" s="187">
        <f t="shared" si="22"/>
        <v>1920.6242544469505</v>
      </c>
      <c r="X374" s="187">
        <f>IF(F374="","",'הזנה לתנאי סף'!Z374)</f>
        <v>280000</v>
      </c>
      <c r="Y374" s="237" t="str">
        <f>IFERROR(VLOOKUP(G374*1,#REF!,3,0),"")</f>
        <v/>
      </c>
      <c r="Z374" s="187" t="str">
        <f>IF(OR($F374="",Y374=""),"",IFERROR(IF(Y374&gt;V374,MIN(Y374,T374)-V374,0),'תחום תמיכה ג'!$Q$2))</f>
        <v/>
      </c>
      <c r="AA374" s="259"/>
      <c r="AB374" s="260" t="str">
        <f t="shared" si="21"/>
        <v/>
      </c>
      <c r="AC374" s="262"/>
      <c r="AD374" s="180"/>
      <c r="AE374" s="13" t="str">
        <f>IF($C374="","",IFERROR(VLOOKUP($C374,גיליון1!$A:$E,2,0),"לא הגיש בקשה שוטפת"))</f>
        <v>תמיכה שנתית מקהלת גיא בן הינום</v>
      </c>
      <c r="AF374" s="13" t="str">
        <f>IF($C374="","",IFERROR(VLOOKUP($C374,גיליון1!$A:$E,3,0),"לא הגיש בקשה שוטפת"))</f>
        <v>טיוט</v>
      </c>
      <c r="AG374" s="13" t="str">
        <f>IF($C374="","",IFERROR(VLOOKUP($C374,גיליון1!$A:$E,4,0),"לא הגיש בקשה שוטפת"))</f>
        <v>19-42-02-16</v>
      </c>
      <c r="AH374" s="13" t="str">
        <f>IF($C374="","",IFERROR(VLOOKUP($C374,גיליון1!$A:$E,5,0),"לא הגיש בקשה שוטפת"))</f>
        <v>מוסיקה</v>
      </c>
      <c r="AI374" s="13">
        <f t="shared" si="23"/>
        <v>0</v>
      </c>
      <c r="AK374" s="174" t="s">
        <v>250</v>
      </c>
    </row>
    <row r="375" spans="1:37" s="174" customFormat="1" ht="29.25" x14ac:dyDescent="0.25">
      <c r="A375" s="54">
        <f>'הזנה לתנאי סף'!B375</f>
        <v>345</v>
      </c>
      <c r="B375" s="266">
        <f>IF($F375="","",'הזנה לתנאי סף'!C375)</f>
        <v>1001347740</v>
      </c>
      <c r="C375" s="266">
        <f>IF($F375="","",'הזנה לתנאי סף'!D375)</f>
        <v>1001265444</v>
      </c>
      <c r="D375" s="266">
        <f>IF($F375="","",'הזנה לתנאי סף'!E375)</f>
        <v>41376759</v>
      </c>
      <c r="E375" s="55">
        <f>IF($F375="","",'הזנה לתנאי סף'!F375)</f>
        <v>20000159</v>
      </c>
      <c r="F375" s="55" t="str">
        <f>IF('הזנה לתנאי סף'!BL375=1,'הזנה לתנאי סף'!G375,"")</f>
        <v>ירושלים</v>
      </c>
      <c r="G375" s="55" t="str">
        <f>IF($F375="","",'הזנה לתנאי סף'!H375)</f>
        <v>בין שמיים לארץ (ע"ר)</v>
      </c>
      <c r="H375" s="55" t="str">
        <f>IF($F375="","",'הזנה לתנאי סף'!I375)</f>
        <v>מחול</v>
      </c>
      <c r="I375" s="187">
        <f>IF($F375="","",'הזנה לתנאי סף'!R375)</f>
        <v>693022</v>
      </c>
      <c r="J375" s="187">
        <f>IF($F375="","",'תחום תמיכה א'!P375)</f>
        <v>744150</v>
      </c>
      <c r="K375" s="177">
        <f>IF($F375="","",'הזנה לתנאי סף'!N375)</f>
        <v>1</v>
      </c>
      <c r="L375" s="177">
        <f>IF($F375="","",'הזנה לתנאי סף'!O375)</f>
        <v>0</v>
      </c>
      <c r="M375" s="177">
        <f>IF($F375="","",'הזנה לתנאי סף'!Q375)</f>
        <v>1</v>
      </c>
      <c r="N375" s="187">
        <f>IF($F375="","",'תחום תמיכה א'!AE375)</f>
        <v>26542.553173464232</v>
      </c>
      <c r="O375" s="178"/>
      <c r="P375" s="187">
        <f>IF($F375="","",'תחום תמיכה ב'!AC375)</f>
        <v>50254.047741212569</v>
      </c>
      <c r="Q375" s="187">
        <f>IF($F375="","",IF('תחום תמיכה ג'!O375="",0,'תחום תמיכה ג'!O375))</f>
        <v>8687.3358389585774</v>
      </c>
      <c r="R375" s="187">
        <f t="shared" si="20"/>
        <v>1506.8702471476208</v>
      </c>
      <c r="S375" s="187">
        <f>IF($F375="","",'תחום תמיכה ב'!AE375)</f>
        <v>51760.91798836019</v>
      </c>
      <c r="T375" s="187">
        <f>IF($F375="","",IF(Q375='תחום תמיכה ג'!$Q$2,'תחום תמיכה ג'!$Q$2,IFERROR(SUMIF(N375:R375,"&gt;0"),'תחום תמיכה ג'!$Q$2)))</f>
        <v>86990.80700078301</v>
      </c>
      <c r="U375" s="187">
        <f>IF($F375="","",'הזנה לתנאי סף'!Y375)</f>
        <v>600000</v>
      </c>
      <c r="V375" s="269">
        <f>IF(F375="","",'הגבלה לסכום מבוקש '!AA375)</f>
        <v>95613.641629193691</v>
      </c>
      <c r="W375" s="187">
        <f t="shared" si="22"/>
        <v>23903.410407298423</v>
      </c>
      <c r="X375" s="187">
        <f>IF(F375="","",'הזנה לתנאי סף'!Z375)</f>
        <v>120000</v>
      </c>
      <c r="Y375" s="237" t="str">
        <f>IFERROR(VLOOKUP(G375*1,#REF!,3,0),"")</f>
        <v/>
      </c>
      <c r="Z375" s="187" t="str">
        <f>IF(OR($F375="",Y375=""),"",IFERROR(IF(Y375&gt;V375,MIN(Y375,T375)-V375,0),'תחום תמיכה ג'!$Q$2))</f>
        <v/>
      </c>
      <c r="AA375" s="259"/>
      <c r="AB375" s="260" t="str">
        <f t="shared" si="21"/>
        <v/>
      </c>
      <c r="AC375" s="262"/>
      <c r="AD375" s="180"/>
      <c r="AE375" s="13" t="str">
        <f>IF($C375="","",IFERROR(VLOOKUP($C375,גיליון1!$A:$E,2,0),"לא הגיש בקשה שוטפת"))</f>
        <v>אנסמבל כעת - להקות מחול</v>
      </c>
      <c r="AF375" s="13" t="str">
        <f>IF($C375="","",IFERROR(VLOOKUP($C375,גיליון1!$A:$E,3,0),"לא הגיש בקשה שוטפת"))</f>
        <v>חויב</v>
      </c>
      <c r="AG375" s="13" t="str">
        <f>IF($C375="","",IFERROR(VLOOKUP($C375,גיליון1!$A:$E,4,0),"לא הגיש בקשה שוטפת"))</f>
        <v>19-42-02-20</v>
      </c>
      <c r="AH375" s="13" t="str">
        <f>IF($C375="","",IFERROR(VLOOKUP($C375,גיליון1!$A:$E,5,0),"לא הגיש בקשה שוטפת"))</f>
        <v>מחול וארגוני גג</v>
      </c>
      <c r="AI375" s="13">
        <f t="shared" si="23"/>
        <v>0</v>
      </c>
      <c r="AK375" s="174" t="s">
        <v>250</v>
      </c>
    </row>
    <row r="376" spans="1:37" s="174" customFormat="1" ht="43.5" x14ac:dyDescent="0.25">
      <c r="A376" s="54">
        <f>'הזנה לתנאי סף'!B376</f>
        <v>346</v>
      </c>
      <c r="B376" s="266">
        <f>IF($F376="","",'הזנה לתנאי סף'!C376)</f>
        <v>1001348720</v>
      </c>
      <c r="C376" s="266">
        <f>IF($F376="","",'הזנה לתנאי סף'!D376)</f>
        <v>1001266717</v>
      </c>
      <c r="D376" s="266">
        <f>IF($F376="","",'הזנה לתנאי סף'!E376)</f>
        <v>41376759</v>
      </c>
      <c r="E376" s="55">
        <f>IF($F376="","",'הזנה לתנאי סף'!F376)</f>
        <v>20000159</v>
      </c>
      <c r="F376" s="55" t="str">
        <f>IF('הזנה לתנאי סף'!BL376=1,'הזנה לתנאי סף'!G376,"")</f>
        <v>ירושלים</v>
      </c>
      <c r="G376" s="55" t="str">
        <f>IF($F376="","",'הזנה לתנאי סף'!H376)</f>
        <v>בין שמיים לארץ (ע"ר)</v>
      </c>
      <c r="H376" s="55" t="str">
        <f>IF($F376="","",'הזנה לתנאי סף'!I376)</f>
        <v>יוצרים עצמאיים במחול</v>
      </c>
      <c r="I376" s="187">
        <f>IF($F376="","",'הזנה לתנאי סף'!R376)</f>
        <v>267825</v>
      </c>
      <c r="J376" s="187">
        <f>IF($F376="","",'תחום תמיכה א'!P376)</f>
        <v>298541</v>
      </c>
      <c r="K376" s="177">
        <f>IF($F376="","",'הזנה לתנאי סף'!N376)</f>
        <v>1</v>
      </c>
      <c r="L376" s="177">
        <f>IF($F376="","",'הזנה לתנאי סף'!O376)</f>
        <v>0</v>
      </c>
      <c r="M376" s="177">
        <f>IF($F376="","",'הזנה לתנאי סף'!Q376)</f>
        <v>1</v>
      </c>
      <c r="N376" s="187">
        <f>IF($F376="","",'תחום תמיכה א'!AE376)</f>
        <v>6333.2764174228923</v>
      </c>
      <c r="O376" s="178"/>
      <c r="P376" s="187">
        <f>IF($F376="","",'תחום תמיכה ב'!AC376)</f>
        <v>6874.7589040054127</v>
      </c>
      <c r="Q376" s="187">
        <f>IF($F376="","",IF('תחום תמיכה ג'!O376="",0,'תחום תמיכה ג'!O376))</f>
        <v>1188.4284370189671</v>
      </c>
      <c r="R376" s="187">
        <f t="shared" si="20"/>
        <v>206.14000492269588</v>
      </c>
      <c r="S376" s="187">
        <f>IF($F376="","",'תחום תמיכה ב'!AE376)</f>
        <v>7080.8989089281085</v>
      </c>
      <c r="T376" s="187">
        <f>IF($F376="","",IF(Q376='תחום תמיכה ג'!$Q$2,'תחום תמיכה ג'!$Q$2,IFERROR(SUMIF(N376:R376,"&gt;0"),'תחום תמיכה ג'!$Q$2)))</f>
        <v>14602.603763369969</v>
      </c>
      <c r="U376" s="187">
        <f>IF($F376="","",'הזנה לתנאי סף'!Y376)</f>
        <v>400000</v>
      </c>
      <c r="V376" s="269">
        <f>IF(F376="","",'הגבלה לסכום מבוקש '!AA376)</f>
        <v>15783.438835037437</v>
      </c>
      <c r="W376" s="187">
        <f t="shared" si="22"/>
        <v>3945.8597087593594</v>
      </c>
      <c r="X376" s="187">
        <f>IF(F376="","",'הזנה לתנאי סף'!Z376)</f>
        <v>80000</v>
      </c>
      <c r="Y376" s="237" t="str">
        <f>IFERROR(VLOOKUP(G376*1,#REF!,3,0),"")</f>
        <v/>
      </c>
      <c r="Z376" s="187" t="str">
        <f>IF(OR($F376="",Y376=""),"",IFERROR(IF(Y376&gt;V376,MIN(Y376,T376)-V376,0),'תחום תמיכה ג'!$Q$2))</f>
        <v/>
      </c>
      <c r="AA376" s="259"/>
      <c r="AB376" s="260" t="str">
        <f t="shared" si="21"/>
        <v/>
      </c>
      <c r="AC376" s="262"/>
      <c r="AD376" s="180"/>
      <c r="AE376" s="13" t="str">
        <f>IF($C376="","",IFERROR(VLOOKUP($C376,גיליון1!$A:$E,2,0),"לא הגיש בקשה שוטפת"))</f>
        <v>יוצרים עצמאים- תמי ורונן יצחקי</v>
      </c>
      <c r="AF376" s="13" t="str">
        <f>IF($C376="","",IFERROR(VLOOKUP($C376,גיליון1!$A:$E,3,0),"לא הגיש בקשה שוטפת"))</f>
        <v>חויב</v>
      </c>
      <c r="AG376" s="13" t="str">
        <f>IF($C376="","",IFERROR(VLOOKUP($C376,גיליון1!$A:$E,4,0),"לא הגיש בקשה שוטפת"))</f>
        <v>19-42-02-20</v>
      </c>
      <c r="AH376" s="13" t="str">
        <f>IF($C376="","",IFERROR(VLOOKUP($C376,גיליון1!$A:$E,5,0),"לא הגיש בקשה שוטפת"))</f>
        <v>מחול וארגוני גג</v>
      </c>
      <c r="AI376" s="13">
        <f t="shared" si="23"/>
        <v>0</v>
      </c>
      <c r="AK376" s="174" t="s">
        <v>250</v>
      </c>
    </row>
    <row r="377" spans="1:37" s="174" customFormat="1" ht="29.25" x14ac:dyDescent="0.25">
      <c r="A377" s="54">
        <f>'הזנה לתנאי סף'!B377</f>
        <v>347</v>
      </c>
      <c r="B377" s="266">
        <f>IF($F377="","",'הזנה לתנאי סף'!C377)</f>
        <v>1001348726</v>
      </c>
      <c r="C377" s="266">
        <f>IF($F377="","",'הזנה לתנאי סף'!D377)</f>
        <v>1001266714</v>
      </c>
      <c r="D377" s="266">
        <f>IF($F377="","",'הזנה לתנאי סף'!E377)</f>
        <v>41376759</v>
      </c>
      <c r="E377" s="55">
        <f>IF($F377="","",'הזנה לתנאי סף'!F377)</f>
        <v>20000159</v>
      </c>
      <c r="F377" s="55" t="str">
        <f>IF('הזנה לתנאי סף'!BL377=1,'הזנה לתנאי סף'!G377,"")</f>
        <v>ירושלים</v>
      </c>
      <c r="G377" s="55" t="str">
        <f>IF($F377="","",'הזנה לתנאי סף'!H377)</f>
        <v>בין שמיים לארץ (ע"ר)</v>
      </c>
      <c r="H377" s="55" t="str">
        <f>IF($F377="","",'הזנה לתנאי סף'!I377)</f>
        <v>סינמטקים ופסטיבלים</v>
      </c>
      <c r="I377" s="187">
        <f>IF($F377="","",'הזנה לתנאי סף'!R377)</f>
        <v>369597</v>
      </c>
      <c r="J377" s="187">
        <f>IF($F377="","",'תחום תמיכה א'!P377)</f>
        <v>353661</v>
      </c>
      <c r="K377" s="177">
        <f>IF($F377="","",'הזנה לתנאי סף'!N377)</f>
        <v>1</v>
      </c>
      <c r="L377" s="177">
        <f>IF($F377="","",'הזנה לתנאי סף'!O377)</f>
        <v>0</v>
      </c>
      <c r="M377" s="177">
        <f>IF($F377="","",'הזנה לתנאי סף'!Q377)</f>
        <v>1</v>
      </c>
      <c r="N377" s="187">
        <f>IF($F377="","",'תחום תמיכה א'!AE377)</f>
        <v>10397.531897151559</v>
      </c>
      <c r="O377" s="178"/>
      <c r="P377" s="187">
        <f>IF($F377="","",'תחום תמיכה ב'!AC377)</f>
        <v>18220.993671320073</v>
      </c>
      <c r="Q377" s="187">
        <f>IF($F377="","",IF('תחום תמיכה ג'!O377="",0,'תחום תמיכה ג'!O377))</f>
        <v>3149.8336642937429</v>
      </c>
      <c r="R377" s="187">
        <f t="shared" si="20"/>
        <v>546.35744722828531</v>
      </c>
      <c r="S377" s="187">
        <f>IF($F377="","",'תחום תמיכה ב'!AE377)</f>
        <v>18767.351118548358</v>
      </c>
      <c r="T377" s="187">
        <f>IF($F377="","",IF(Q377='תחום תמיכה ג'!$Q$2,'תחום תמיכה ג'!$Q$2,IFERROR(SUMIF(N377:R377,"&gt;0"),'תחום תמיכה ג'!$Q$2)))</f>
        <v>32314.71667999366</v>
      </c>
      <c r="U377" s="187">
        <f>IF($F377="","",'הזנה לתנאי סף'!Y377)</f>
        <v>400000</v>
      </c>
      <c r="V377" s="269">
        <f>IF(F377="","",'הגבלה לסכום מבוקש '!AA377)</f>
        <v>35441.515977713876</v>
      </c>
      <c r="W377" s="187">
        <f t="shared" si="22"/>
        <v>8860.378994428469</v>
      </c>
      <c r="X377" s="187">
        <f>IF(F377="","",'הזנה לתנאי סף'!Z377)</f>
        <v>80000</v>
      </c>
      <c r="Y377" s="237" t="str">
        <f>IFERROR(VLOOKUP(G377*1,#REF!,3,0),"")</f>
        <v/>
      </c>
      <c r="Z377" s="187" t="str">
        <f>IF(OR($F377="",Y377=""),"",IFERROR(IF(Y377&gt;V377,MIN(Y377,T377)-V377,0),'תחום תמיכה ג'!$Q$2))</f>
        <v/>
      </c>
      <c r="AA377" s="259"/>
      <c r="AB377" s="260" t="str">
        <f t="shared" si="21"/>
        <v/>
      </c>
      <c r="AC377" s="262"/>
      <c r="AD377" s="180"/>
      <c r="AE377" s="13" t="str">
        <f>IF($C377="","",IFERROR(VLOOKUP($C377,גיליון1!$A:$E,2,0),"לא הגיש בקשה שוטפת"))</f>
        <v>פסטיבל בין שמיים לארץ 2020</v>
      </c>
      <c r="AF377" s="13" t="str">
        <f>IF($C377="","",IFERROR(VLOOKUP($C377,גיליון1!$A:$E,3,0),"לא הגיש בקשה שוטפת"))</f>
        <v>מועד</v>
      </c>
      <c r="AG377" s="13" t="str">
        <f>IF($C377="","",IFERROR(VLOOKUP($C377,גיליון1!$A:$E,4,0),"לא הגיש בקשה שוטפת"))</f>
        <v>19-42-02-26</v>
      </c>
      <c r="AH377" s="13" t="str">
        <f>IF($C377="","",IFERROR(VLOOKUP($C377,גיליון1!$A:$E,5,0),"לא הגיש בקשה שוטפת"))</f>
        <v>פסטיבלים לתרבות</v>
      </c>
      <c r="AI377" s="13">
        <f t="shared" si="23"/>
        <v>0</v>
      </c>
      <c r="AK377" s="174" t="s">
        <v>250</v>
      </c>
    </row>
    <row r="378" spans="1:37" s="174" customFormat="1" ht="29.25" x14ac:dyDescent="0.25">
      <c r="A378" s="54">
        <f>'הזנה לתנאי סף'!B378</f>
        <v>348</v>
      </c>
      <c r="B378" s="266">
        <f>IF($F378="","",'הזנה לתנאי סף'!C378)</f>
        <v>1001348730</v>
      </c>
      <c r="C378" s="266">
        <f>IF($F378="","",'הזנה לתנאי סף'!D378)</f>
        <v>1001266783</v>
      </c>
      <c r="D378" s="266">
        <f>IF($F378="","",'הזנה לתנאי סף'!E378)</f>
        <v>41376759</v>
      </c>
      <c r="E378" s="55">
        <f>IF($F378="","",'הזנה לתנאי סף'!F378)</f>
        <v>20000159</v>
      </c>
      <c r="F378" s="55" t="str">
        <f>IF('הזנה לתנאי סף'!BL378=1,'הזנה לתנאי סף'!G378,"")</f>
        <v>ירושלים</v>
      </c>
      <c r="G378" s="55" t="str">
        <f>IF($F378="","",'הזנה לתנאי סף'!H378)</f>
        <v>בין שמיים לארץ (ע"ר)</v>
      </c>
      <c r="H378" s="55" t="str">
        <f>IF($F378="","",'הזנה לתנאי סף'!I378)</f>
        <v>אחר</v>
      </c>
      <c r="I378" s="187">
        <f>IF($F378="","",'הזנה לתנאי סף'!R378)</f>
        <v>63184</v>
      </c>
      <c r="J378" s="187">
        <f>IF($F378="","",'תחום תמיכה א'!P378)</f>
        <v>46325</v>
      </c>
      <c r="K378" s="177">
        <f>IF($F378="","",'הזנה לתנאי סף'!N378)</f>
        <v>1</v>
      </c>
      <c r="L378" s="177">
        <f>IF($F378="","",'הזנה לתנאי סף'!O378)</f>
        <v>0</v>
      </c>
      <c r="M378" s="177">
        <f>IF($F378="","",'הזנה לתנאי סף'!Q378)</f>
        <v>1</v>
      </c>
      <c r="N378" s="187">
        <f>IF($F378="","",'תחום תמיכה א'!AE378)</f>
        <v>1253.7421293287121</v>
      </c>
      <c r="O378" s="178"/>
      <c r="P378" s="187">
        <f>IF($F378="","",'תחום תמיכה ב'!AC378)</f>
        <v>2639.6730474379146</v>
      </c>
      <c r="Q378" s="187">
        <f>IF($F378="","",IF('תחום תמיכה ג'!O378="",0,'תחום תמיכה ג'!O378))</f>
        <v>456.3160043590766</v>
      </c>
      <c r="R378" s="187">
        <f t="shared" si="20"/>
        <v>79.150734242640283</v>
      </c>
      <c r="S378" s="187">
        <f>IF($F378="","",'תחום תמיכה ב'!AE378)</f>
        <v>2718.8237816805549</v>
      </c>
      <c r="T378" s="187">
        <f>IF($F378="","",IF(Q378='תחום תמיכה ג'!$Q$2,'תחום תמיכה ג'!$Q$2,IFERROR(SUMIF(N378:R378,"&gt;0"),'תחום תמיכה ג'!$Q$2)))</f>
        <v>4428.8819153683435</v>
      </c>
      <c r="U378" s="187">
        <f>IF($F378="","",'הזנה לתנאי סף'!Y378)</f>
        <v>100000</v>
      </c>
      <c r="V378" s="269">
        <f>IF(F378="","",'הגבלה לסכום מבוקש '!AA378)</f>
        <v>4881.7459426372998</v>
      </c>
      <c r="W378" s="187">
        <f t="shared" si="22"/>
        <v>1220.4364856593249</v>
      </c>
      <c r="X378" s="187">
        <f>IF(F378="","",'הזנה לתנאי סף'!Z378)</f>
        <v>20000</v>
      </c>
      <c r="Y378" s="237" t="str">
        <f>IFERROR(VLOOKUP(G378*1,#REF!,3,0),"")</f>
        <v/>
      </c>
      <c r="Z378" s="187" t="str">
        <f>IF(OR($F378="",Y378=""),"",IFERROR(IF(Y378&gt;V378,MIN(Y378,T378)-V378,0),'תחום תמיכה ג'!$Q$2))</f>
        <v/>
      </c>
      <c r="AA378" s="259"/>
      <c r="AB378" s="260" t="str">
        <f t="shared" si="21"/>
        <v/>
      </c>
      <c r="AC378" s="262"/>
      <c r="AD378" s="180"/>
      <c r="AE378" s="13" t="str">
        <f>IF($C378="","",IFERROR(VLOOKUP($C378,גיליון1!$A:$E,2,0),"לא הגיש בקשה שוטפת"))</f>
        <v>פרוייקט מוסיקה - בין שמיים לארץ</v>
      </c>
      <c r="AF378" s="13" t="str">
        <f>IF($C378="","",IFERROR(VLOOKUP($C378,גיליון1!$A:$E,3,0),"לא הגיש בקשה שוטפת"))</f>
        <v>טיוט</v>
      </c>
      <c r="AG378" s="13" t="str">
        <f>IF($C378="","",IFERROR(VLOOKUP($C378,גיליון1!$A:$E,4,0),"לא הגיש בקשה שוטפת"))</f>
        <v>19-42-02-16</v>
      </c>
      <c r="AH378" s="13" t="str">
        <f>IF($C378="","",IFERROR(VLOOKUP($C378,גיליון1!$A:$E,5,0),"לא הגיש בקשה שוטפת"))</f>
        <v>מוסיקה</v>
      </c>
      <c r="AI378" s="13">
        <f t="shared" si="23"/>
        <v>0</v>
      </c>
      <c r="AK378" s="174" t="s">
        <v>250</v>
      </c>
    </row>
    <row r="379" spans="1:37" s="174" customFormat="1" ht="57.75" x14ac:dyDescent="0.25">
      <c r="A379" s="54">
        <f>'הזנה לתנאי סף'!B379</f>
        <v>349</v>
      </c>
      <c r="B379" s="266">
        <f>IF($F379="","",'הזנה לתנאי סף'!C379)</f>
        <v>1001350095</v>
      </c>
      <c r="C379" s="266">
        <f>IF($F379="","",'הזנה לתנאי סף'!D379)</f>
        <v>1001271678</v>
      </c>
      <c r="D379" s="266">
        <f>IF($F379="","",'הזנה לתנאי סף'!E379)</f>
        <v>41556504</v>
      </c>
      <c r="E379" s="55">
        <f>IF($F379="","",'הזנה לתנאי סף'!F379)</f>
        <v>20000254</v>
      </c>
      <c r="F379" s="55" t="str">
        <f>IF('הזנה לתנאי סף'!BL379=1,'הזנה לתנאי סף'!G379,"")</f>
        <v>באר שבע</v>
      </c>
      <c r="G379" s="55" t="str">
        <f>IF($F379="","",'הזנה לתנאי סף'!H379)</f>
        <v>תיאטרון לילדים ולנוער באר - שבע (ע"</v>
      </c>
      <c r="H379" s="55" t="str">
        <f>IF($F379="","",'הזנה לתנאי סף'!I379)</f>
        <v>תיאטרון</v>
      </c>
      <c r="I379" s="187">
        <f>IF($F379="","",'הזנה לתנאי סף'!R379)</f>
        <v>2974576</v>
      </c>
      <c r="J379" s="187">
        <f>IF($F379="","",'תחום תמיכה א'!P379)</f>
        <v>3162105</v>
      </c>
      <c r="K379" s="177">
        <f>IF($F379="","",'הזנה לתנאי סף'!N379)</f>
        <v>1</v>
      </c>
      <c r="L379" s="177">
        <f>IF($F379="","",'הזנה לתנאי סף'!O379)</f>
        <v>0</v>
      </c>
      <c r="M379" s="177">
        <f>IF($F379="","",'הזנה לתנאי סף'!Q379)</f>
        <v>1</v>
      </c>
      <c r="N379" s="187">
        <f>IF($F379="","",'תחום תמיכה א'!AE379)</f>
        <v>172854.89524575122</v>
      </c>
      <c r="O379" s="178"/>
      <c r="P379" s="187">
        <f>IF($F379="","",'תחום תמיכה ב'!AC379)</f>
        <v>506982.88756064745</v>
      </c>
      <c r="Q379" s="187">
        <f>IF($F379="","",IF('תחום תמיכה ג'!O379="",0,'תחום תמיכה ג'!O379))</f>
        <v>6396.0116461697744</v>
      </c>
      <c r="R379" s="187">
        <f t="shared" si="20"/>
        <v>15201.908371882571</v>
      </c>
      <c r="S379" s="187">
        <f>IF($F379="","",'תחום תמיכה ב'!AE379)</f>
        <v>522184.79593253002</v>
      </c>
      <c r="T379" s="187">
        <f>IF($F379="","",IF(Q379='תחום תמיכה ג'!$Q$2,'תחום תמיכה ג'!$Q$2,IFERROR(SUMIF(N379:R379,"&gt;0"),'תחום תמיכה ג'!$Q$2)))</f>
        <v>701435.70282445103</v>
      </c>
      <c r="U379" s="187">
        <f>IF($F379="","",'הזנה לתנאי סף'!Y379)</f>
        <v>2000000</v>
      </c>
      <c r="V379" s="269">
        <f>IF(F379="","",'הגבלה לסכום מבוקש '!AA379)</f>
        <v>788346.08817494591</v>
      </c>
      <c r="W379" s="187">
        <f t="shared" si="22"/>
        <v>197086.52204373648</v>
      </c>
      <c r="X379" s="187">
        <f>IF(F379="","",'הזנה לתנאי סף'!Z379)</f>
        <v>80000</v>
      </c>
      <c r="Y379" s="237" t="str">
        <f>IFERROR(VLOOKUP(G379*1,#REF!,3,0),"")</f>
        <v/>
      </c>
      <c r="Z379" s="187" t="str">
        <f>IF(OR($F379="",Y379=""),"",IFERROR(IF(Y379&gt;V379,MIN(Y379,T379)-V379,0),'תחום תמיכה ג'!$Q$2))</f>
        <v/>
      </c>
      <c r="AA379" s="259"/>
      <c r="AB379" s="260" t="str">
        <f t="shared" si="21"/>
        <v/>
      </c>
      <c r="AC379" s="262"/>
      <c r="AD379" s="180"/>
      <c r="AE379" s="13" t="str">
        <f>IF($C379="","",IFERROR(VLOOKUP($C379,גיליון1!$A:$E,2,0),"לא הגיש בקשה שוטפת"))</f>
        <v>תאטרון רפרטוארי</v>
      </c>
      <c r="AF379" s="13" t="str">
        <f>IF($C379="","",IFERROR(VLOOKUP($C379,גיליון1!$A:$E,3,0),"לא הגיש בקשה שוטפת"))</f>
        <v>נעסף</v>
      </c>
      <c r="AG379" s="13" t="str">
        <f>IF($C379="","",IFERROR(VLOOKUP($C379,גיליון1!$A:$E,4,0),"לא הגיש בקשה שוטפת"))</f>
        <v>19-42-02-07</v>
      </c>
      <c r="AH379" s="13" t="str">
        <f>IF($C379="","",IFERROR(VLOOKUP($C379,גיליון1!$A:$E,5,0),"לא הגיש בקשה שוטפת"))</f>
        <v>תיאטרון</v>
      </c>
      <c r="AI379" s="13">
        <f t="shared" si="23"/>
        <v>0</v>
      </c>
      <c r="AK379" s="174" t="s">
        <v>250</v>
      </c>
    </row>
    <row r="380" spans="1:37" s="174" customFormat="1" ht="43.5" x14ac:dyDescent="0.25">
      <c r="A380" s="54">
        <f>'הזנה לתנאי סף'!B380</f>
        <v>350</v>
      </c>
      <c r="B380" s="266">
        <f>IF($F380="","",'הזנה לתנאי סף'!C380)</f>
        <v>1001350450</v>
      </c>
      <c r="C380" s="266">
        <f>IF($F380="","",'הזנה לתנאי סף'!D380)</f>
        <v>1001288912</v>
      </c>
      <c r="D380" s="266">
        <f>IF($F380="","",'הזנה לתנאי סף'!E380)</f>
        <v>41556986</v>
      </c>
      <c r="E380" s="55">
        <f>IF($F380="","",'הזנה לתנאי סף'!F380)</f>
        <v>20000231</v>
      </c>
      <c r="F380" s="55" t="str">
        <f>IF('הזנה לתנאי סף'!BL380=1,'הזנה לתנאי סף'!G380,"")</f>
        <v>נצרת</v>
      </c>
      <c r="G380" s="55" t="str">
        <f>IF($F380="","",'הזנה לתנאי סף'!H380)</f>
        <v>עמותת אלמאוכב נצרת (ע"ר)</v>
      </c>
      <c r="H380" s="55" t="str">
        <f>IF($F380="","",'הזנה לתנאי סף'!I380)</f>
        <v>סינמטקים ופסטיבלים</v>
      </c>
      <c r="I380" s="187">
        <f>IF($F380="","",'הזנה לתנאי סף'!R380)</f>
        <v>827928</v>
      </c>
      <c r="J380" s="187">
        <f>IF($F380="","",'תחום תמיכה א'!P380)</f>
        <v>686906</v>
      </c>
      <c r="K380" s="177">
        <f>IF($F380="","",'הזנה לתנאי סף'!N380)</f>
        <v>0</v>
      </c>
      <c r="L380" s="177">
        <f>IF($F380="","",'הזנה לתנאי סף'!O380)</f>
        <v>1</v>
      </c>
      <c r="M380" s="177">
        <f>IF($F380="","",'הזנה לתנאי סף'!Q380)</f>
        <v>1</v>
      </c>
      <c r="N380" s="187">
        <f>IF($F380="","",'תחום תמיכה א'!AE380)</f>
        <v>35264.105821468343</v>
      </c>
      <c r="O380" s="178"/>
      <c r="P380" s="187">
        <f>IF($F380="","",'תחום תמיכה ב'!AC380)</f>
        <v>119655.5471790041</v>
      </c>
      <c r="Q380" s="187">
        <f>IF($F380="","",IF('תחום תמיכה ג'!O380="",0,'תחום תמיכה ג'!O380))</f>
        <v>0</v>
      </c>
      <c r="R380" s="187">
        <f t="shared" si="20"/>
        <v>3587.8778338156408</v>
      </c>
      <c r="S380" s="187">
        <f>IF($F380="","",'תחום תמיכה ב'!AE380)</f>
        <v>123243.42501281975</v>
      </c>
      <c r="T380" s="187">
        <f>IF($F380="","",IF(Q380='תחום תמיכה ג'!$Q$2,'תחום תמיכה ג'!$Q$2,IFERROR(SUMIF(N380:R380,"&gt;0"),'תחום תמיכה ג'!$Q$2)))</f>
        <v>158507.5308342881</v>
      </c>
      <c r="U380" s="187">
        <f>IF($F380="","",'הזנה לתנאי סף'!Y380)</f>
        <v>540000</v>
      </c>
      <c r="V380" s="269">
        <f>IF(F380="","",'הגבלה לסכום מבוקש '!AA380)</f>
        <v>179016.47585769708</v>
      </c>
      <c r="W380" s="187">
        <f t="shared" si="22"/>
        <v>44754.11896442427</v>
      </c>
      <c r="X380" s="187">
        <f>IF(F380="","",'הזנה לתנאי סף'!Z380)</f>
        <v>100000</v>
      </c>
      <c r="Y380" s="237" t="str">
        <f>IFERROR(VLOOKUP(G380*1,#REF!,3,0),"")</f>
        <v/>
      </c>
      <c r="Z380" s="187" t="str">
        <f>IF(OR($F380="",Y380=""),"",IFERROR(IF(Y380&gt;V380,MIN(Y380,T380)-V380,0),'תחום תמיכה ג'!$Q$2))</f>
        <v/>
      </c>
      <c r="AA380" s="259"/>
      <c r="AB380" s="260" t="str">
        <f t="shared" si="21"/>
        <v/>
      </c>
      <c r="AC380" s="262"/>
      <c r="AD380" s="180"/>
      <c r="AE380" s="13" t="str">
        <f>IF($C380="","",IFERROR(VLOOKUP($C380,גיליון1!$A:$E,2,0),"לא הגיש בקשה שוטפת"))</f>
        <v>בקשה למימון פסטיבל הקריסמס</v>
      </c>
      <c r="AF380" s="13" t="str">
        <f>IF($C380="","",IFERROR(VLOOKUP($C380,גיליון1!$A:$E,3,0),"לא הגיש בקשה שוטפת"))</f>
        <v>טיוט</v>
      </c>
      <c r="AG380" s="13" t="str">
        <f>IF($C380="","",IFERROR(VLOOKUP($C380,גיליון1!$A:$E,4,0),"לא הגיש בקשה שוטפת"))</f>
        <v>19-42-02-26</v>
      </c>
      <c r="AH380" s="13" t="str">
        <f>IF($C380="","",IFERROR(VLOOKUP($C380,גיליון1!$A:$E,5,0),"לא הגיש בקשה שוטפת"))</f>
        <v>פסטיבלים לתרבות</v>
      </c>
      <c r="AI380" s="13">
        <f t="shared" si="23"/>
        <v>0</v>
      </c>
      <c r="AK380" s="174" t="s">
        <v>250</v>
      </c>
    </row>
    <row r="381" spans="1:37" s="174" customFormat="1" ht="57.75" x14ac:dyDescent="0.25">
      <c r="A381" s="54">
        <f>'הזנה לתנאי סף'!B381</f>
        <v>351</v>
      </c>
      <c r="B381" s="266">
        <f>IF($F381="","",'הזנה לתנאי סף'!C381)</f>
        <v>1001346583</v>
      </c>
      <c r="C381" s="266">
        <f>IF($F381="","",'הזנה לתנאי סף'!D381)</f>
        <v>1001280079</v>
      </c>
      <c r="D381" s="266">
        <f>IF($F381="","",'הזנה לתנאי סף'!E381)</f>
        <v>41559386</v>
      </c>
      <c r="E381" s="55">
        <f>IF($F381="","",'הזנה לתנאי סף'!F381)</f>
        <v>20000055</v>
      </c>
      <c r="F381" s="55" t="str">
        <f>IF('הזנה לתנאי סף'!BL381=1,'הזנה לתנאי סף'!G381,"")</f>
        <v>מג'ד אל-כרום</v>
      </c>
      <c r="G381" s="55" t="str">
        <f>IF($F381="","",'הזנה לתנאי סף'!H381)</f>
        <v>אלמדאין גרוב - מג'ד אלכרום (ע"ר)</v>
      </c>
      <c r="H381" s="55" t="str">
        <f>IF($F381="","",'הזנה לתנאי סף'!I381)</f>
        <v>תיאטרון</v>
      </c>
      <c r="I381" s="187">
        <f>IF($F381="","",'הזנה לתנאי סף'!R381)</f>
        <v>139764</v>
      </c>
      <c r="J381" s="187">
        <f>IF($F381="","",'תחום תמיכה א'!P381)</f>
        <v>157823</v>
      </c>
      <c r="K381" s="177">
        <f>IF($F381="","",'הזנה לתנאי סף'!N381)</f>
        <v>0</v>
      </c>
      <c r="L381" s="177">
        <f>IF($F381="","",'הזנה לתנאי סף'!O381)</f>
        <v>1</v>
      </c>
      <c r="M381" s="177">
        <f>IF($F381="","",'הזנה לתנאי סף'!Q381)</f>
        <v>1</v>
      </c>
      <c r="N381" s="187">
        <f>IF($F381="","",'תחום תמיכה א'!AE381)</f>
        <v>8627.315706584759</v>
      </c>
      <c r="O381" s="178"/>
      <c r="P381" s="187">
        <f>IF($F381="","",'תחום תמיכה ב'!AC381)</f>
        <v>23821.195456773108</v>
      </c>
      <c r="Q381" s="187">
        <f>IF($F381="","",IF('תחום תמיכה ג'!O381="",0,'תחום תמיכה ג'!O381))</f>
        <v>0</v>
      </c>
      <c r="R381" s="187">
        <f t="shared" si="20"/>
        <v>714.2797903592982</v>
      </c>
      <c r="S381" s="187">
        <f>IF($F381="","",'תחום תמיכה ב'!AE381)</f>
        <v>24535.475247132406</v>
      </c>
      <c r="T381" s="187">
        <f>IF($F381="","",IF(Q381='תחום תמיכה ג'!$Q$2,'תחום תמיכה ג'!$Q$2,IFERROR(SUMIF(N381:R381,"&gt;0"),'תחום תמיכה ג'!$Q$2)))</f>
        <v>33162.790953717165</v>
      </c>
      <c r="U381" s="187">
        <f>IF($F381="","",'הזנה לתנאי סף'!Y381)</f>
        <v>1400000</v>
      </c>
      <c r="V381" s="269">
        <f>IF(F381="","",'הגבלה לסכום מבוקש '!AA381)</f>
        <v>37246.472375271369</v>
      </c>
      <c r="W381" s="187">
        <f t="shared" si="22"/>
        <v>9311.6180938178422</v>
      </c>
      <c r="X381" s="187">
        <f>IF(F381="","",'הזנה לתנאי סף'!Z381)</f>
        <v>800000</v>
      </c>
      <c r="Y381" s="237" t="str">
        <f>IFERROR(VLOOKUP(G381*1,#REF!,3,0),"")</f>
        <v/>
      </c>
      <c r="Z381" s="187" t="str">
        <f>IF(OR($F381="",Y381=""),"",IFERROR(IF(Y381&gt;V381,MIN(Y381,T381)-V381,0),'תחום תמיכה ג'!$Q$2))</f>
        <v/>
      </c>
      <c r="AA381" s="259"/>
      <c r="AB381" s="260" t="str">
        <f t="shared" si="21"/>
        <v/>
      </c>
      <c r="AC381" s="262"/>
      <c r="AD381" s="180"/>
      <c r="AE381" s="13" t="str">
        <f>IF($C381="","",IFERROR(VLOOKUP($C381,גיליון1!$A:$E,2,0),"לא הגיש בקשה שוטפת"))</f>
        <v>תיאטרון</v>
      </c>
      <c r="AF381" s="13" t="str">
        <f>IF($C381="","",IFERROR(VLOOKUP($C381,גיליון1!$A:$E,3,0),"לא הגיש בקשה שוטפת"))</f>
        <v>מועד</v>
      </c>
      <c r="AG381" s="13" t="str">
        <f>IF($C381="","",IFERROR(VLOOKUP($C381,גיליון1!$A:$E,4,0),"לא הגיש בקשה שוטפת"))</f>
        <v>19-42-02-33</v>
      </c>
      <c r="AH381" s="13" t="str">
        <f>IF($C381="","",IFERROR(VLOOKUP($C381,גיליון1!$A:$E,5,0),"לא הגיש בקשה שוטפת"))</f>
        <v>תרבות ערבית ודרוזית</v>
      </c>
      <c r="AI381" s="13">
        <f t="shared" si="23"/>
        <v>0</v>
      </c>
      <c r="AK381" s="174" t="s">
        <v>250</v>
      </c>
    </row>
    <row r="382" spans="1:37" s="174" customFormat="1" ht="72" x14ac:dyDescent="0.25">
      <c r="A382" s="54">
        <f>'הזנה לתנאי סף'!B382</f>
        <v>352</v>
      </c>
      <c r="B382" s="266">
        <f>IF($F382="","",'הזנה לתנאי סף'!C382)</f>
        <v>1001348419</v>
      </c>
      <c r="C382" s="266">
        <f>IF($F382="","",'הזנה לתנאי סף'!D382)</f>
        <v>1001302056</v>
      </c>
      <c r="D382" s="266">
        <f>IF($F382="","",'הזנה לתנאי סף'!E382)</f>
        <v>41559387</v>
      </c>
      <c r="E382" s="55">
        <f>IF($F382="","",'הזנה לתנאי סף'!F382)</f>
        <v>20000055</v>
      </c>
      <c r="F382" s="55" t="str">
        <f>IF('הזנה לתנאי סף'!BL382=1,'הזנה לתנאי סף'!G382,"")</f>
        <v>מג'ד אל-כרום</v>
      </c>
      <c r="G382" s="55" t="str">
        <f>IF($F382="","",'הזנה לתנאי סף'!H382)</f>
        <v>עמותת אדים למוסיקה אומנות ותרבות (ע</v>
      </c>
      <c r="H382" s="55" t="str">
        <f>IF($F382="","",'הזנה לתנאי סף'!I382)</f>
        <v>אחר</v>
      </c>
      <c r="I382" s="187">
        <f>IF($F382="","",'הזנה לתנאי סף'!R382)</f>
        <v>444001</v>
      </c>
      <c r="J382" s="187">
        <f>IF($F382="","",'תחום תמיכה א'!P382)</f>
        <v>414533</v>
      </c>
      <c r="K382" s="177">
        <f>IF($F382="","",'הזנה לתנאי סף'!N382)</f>
        <v>0</v>
      </c>
      <c r="L382" s="177">
        <f>IF($F382="","",'הזנה לתנאי סף'!O382)</f>
        <v>1</v>
      </c>
      <c r="M382" s="177">
        <f>IF($F382="","",'הזנה לתנאי סף'!Q382)</f>
        <v>1</v>
      </c>
      <c r="N382" s="187">
        <f>IF($F382="","",'תחום תמיכה א'!AE382)</f>
        <v>22660.24002710441</v>
      </c>
      <c r="O382" s="178"/>
      <c r="P382" s="187">
        <f>IF($F382="","",'תחום תמיכה ב'!AC382)</f>
        <v>75674.956383637546</v>
      </c>
      <c r="Q382" s="187">
        <f>IF($F382="","",IF('תחום תמיכה ג'!O382="",0,'תחום תמיכה ג'!O382))</f>
        <v>0</v>
      </c>
      <c r="R382" s="187">
        <f t="shared" si="20"/>
        <v>2269.1175209590292</v>
      </c>
      <c r="S382" s="187">
        <f>IF($F382="","",'תחום תמיכה ב'!AE382)</f>
        <v>77944.073904596575</v>
      </c>
      <c r="T382" s="187">
        <f>IF($F382="","",IF(Q382='תחום תמיכה ג'!$Q$2,'תחום תמיכה ג'!$Q$2,IFERROR(SUMIF(N382:R382,"&gt;0"),'תחום תמיכה ג'!$Q$2)))</f>
        <v>100604.31393170098</v>
      </c>
      <c r="U382" s="187">
        <f>IF($F382="","",'הזנה לתנאי סף'!Y382)</f>
        <v>600000</v>
      </c>
      <c r="V382" s="269">
        <f>IF(F382="","",'הגבלה לסכום מבוקש '!AA382)</f>
        <v>113575.15440623443</v>
      </c>
      <c r="W382" s="187">
        <f t="shared" si="22"/>
        <v>28393.788601558608</v>
      </c>
      <c r="X382" s="187">
        <f>IF(F382="","",'הזנה לתנאי סף'!Z382)</f>
        <v>200000</v>
      </c>
      <c r="Y382" s="237" t="str">
        <f>IFERROR(VLOOKUP(G382*1,#REF!,3,0),"")</f>
        <v/>
      </c>
      <c r="Z382" s="187" t="str">
        <f>IF(OR($F382="",Y382=""),"",IFERROR(IF(Y382&gt;V382,MIN(Y382,T382)-V382,0),'תחום תמיכה ג'!$Q$2))</f>
        <v/>
      </c>
      <c r="AA382" s="259"/>
      <c r="AB382" s="260" t="str">
        <f t="shared" si="21"/>
        <v/>
      </c>
      <c r="AC382" s="262"/>
      <c r="AD382" s="180"/>
      <c r="AE382" s="13" t="str">
        <f>IF($C382="","",IFERROR(VLOOKUP($C382,גיליון1!$A:$E,2,0),"לא הגיש בקשה שוטפת"))</f>
        <v>להקת מוסיקה</v>
      </c>
      <c r="AF382" s="13" t="str">
        <f>IF($C382="","",IFERROR(VLOOKUP($C382,גיליון1!$A:$E,3,0),"לא הגיש בקשה שוטפת"))</f>
        <v>מועד</v>
      </c>
      <c r="AG382" s="13" t="str">
        <f>IF($C382="","",IFERROR(VLOOKUP($C382,גיליון1!$A:$E,4,0),"לא הגיש בקשה שוטפת"))</f>
        <v>19-42-02-33</v>
      </c>
      <c r="AH382" s="13" t="str">
        <f>IF($C382="","",IFERROR(VLOOKUP($C382,גיליון1!$A:$E,5,0),"לא הגיש בקשה שוטפת"))</f>
        <v>תרבות ערבית ודרוזית</v>
      </c>
      <c r="AI382" s="13">
        <f t="shared" si="23"/>
        <v>0</v>
      </c>
      <c r="AK382" s="174" t="s">
        <v>250</v>
      </c>
    </row>
    <row r="383" spans="1:37" s="174" customFormat="1" ht="57.75" x14ac:dyDescent="0.25">
      <c r="A383" s="54">
        <f>'הזנה לתנאי סף'!B383</f>
        <v>353</v>
      </c>
      <c r="B383" s="266">
        <f>IF($F383="","",'הזנה לתנאי סף'!C383)</f>
        <v>1001347369</v>
      </c>
      <c r="C383" s="266">
        <f>IF($F383="","",'הזנה לתנאי סף'!D383)</f>
        <v>1001269042</v>
      </c>
      <c r="D383" s="266">
        <f>IF($F383="","",'הזנה לתנאי סף'!E383)</f>
        <v>41604114</v>
      </c>
      <c r="E383" s="55">
        <f>IF($F383="","",'הזנה לתנאי סף'!F383)</f>
        <v>20000201</v>
      </c>
      <c r="F383" s="55" t="str">
        <f>IF('הזנה לתנאי סף'!BL383=1,'הזנה לתנאי סף'!G383,"")</f>
        <v>תל אביב -יפו</v>
      </c>
      <c r="G383" s="55" t="str">
        <f>IF($F383="","",'הזנה לתנאי סף'!H383)</f>
        <v>העמותה לקונטאקט אימפרוביזציה בישראל</v>
      </c>
      <c r="H383" s="55" t="str">
        <f>IF($F383="","",'הזנה לתנאי סף'!I383)</f>
        <v>אחר</v>
      </c>
      <c r="I383" s="187">
        <f>IF($F383="","",'הזנה לתנאי סף'!R383)</f>
        <v>324782</v>
      </c>
      <c r="J383" s="187">
        <f>IF($F383="","",'תחום תמיכה א'!P383)</f>
        <v>378666</v>
      </c>
      <c r="K383" s="177">
        <f>IF($F383="","",'הזנה לתנאי סף'!N383)</f>
        <v>0</v>
      </c>
      <c r="L383" s="177">
        <f>IF($F383="","",'הזנה לתנאי סף'!O383)</f>
        <v>1</v>
      </c>
      <c r="M383" s="177">
        <f>IF($F383="","",'הזנה לתנאי סף'!Q383)</f>
        <v>1</v>
      </c>
      <c r="N383" s="187">
        <f>IF($F383="","",'תחום תמיכה א'!AE383)</f>
        <v>20699.588332179872</v>
      </c>
      <c r="O383" s="178"/>
      <c r="P383" s="187">
        <f>IF($F383="","",'תחום תמיכה ב'!AC383)</f>
        <v>55355.424163888296</v>
      </c>
      <c r="Q383" s="187">
        <f>IF($F383="","",IF('תחום תמיכה ג'!O383="",0,'תחום תמיכה ג'!O383))</f>
        <v>0</v>
      </c>
      <c r="R383" s="187">
        <f t="shared" si="20"/>
        <v>1659.8352857135833</v>
      </c>
      <c r="S383" s="187">
        <f>IF($F383="","",'תחום תמיכה ב'!AE383)</f>
        <v>57015.259449601879</v>
      </c>
      <c r="T383" s="187">
        <f>IF($F383="","",IF(Q383='תחום תמיכה ג'!$Q$2,'תחום תמיכה ג'!$Q$2,IFERROR(SUMIF(N383:R383,"&gt;0"),'תחום תמיכה ג'!$Q$2)))</f>
        <v>77714.847781781747</v>
      </c>
      <c r="U383" s="187">
        <f>IF($F383="","",'הזנה לתנאי סף'!Y383)</f>
        <v>30000</v>
      </c>
      <c r="V383" s="269">
        <f>IF(F383="","",'הגבלה לסכום מבוקש '!AA383)</f>
        <v>30000</v>
      </c>
      <c r="W383" s="187">
        <f t="shared" si="22"/>
        <v>7500</v>
      </c>
      <c r="X383" s="187">
        <f>IF(F383="","",'הזנה לתנאי סף'!Z383)</f>
        <v>10000</v>
      </c>
      <c r="Y383" s="237" t="str">
        <f>IFERROR(VLOOKUP(G383*1,#REF!,3,0),"")</f>
        <v/>
      </c>
      <c r="Z383" s="187" t="str">
        <f>IF(OR($F383="",Y383=""),"",IFERROR(IF(Y383&gt;V383,MIN(Y383,T383)-V383,0),'תחום תמיכה ג'!$Q$2))</f>
        <v/>
      </c>
      <c r="AA383" s="259"/>
      <c r="AB383" s="260" t="str">
        <f t="shared" si="21"/>
        <v/>
      </c>
      <c r="AC383" s="262"/>
      <c r="AD383" s="180"/>
      <c r="AE383" s="13" t="str">
        <f>IF($C383="","",IFERROR(VLOOKUP($C383,גיליון1!$A:$E,2,0),"לא הגיש בקשה שוטפת"))</f>
        <v>תמיכה בפעילות עמותת הקונטקט בישראל</v>
      </c>
      <c r="AF383" s="13" t="str">
        <f>IF($C383="","",IFERROR(VLOOKUP($C383,גיליון1!$A:$E,3,0),"לא הגיש בקשה שוטפת"))</f>
        <v>חויב</v>
      </c>
      <c r="AG383" s="13" t="str">
        <f>IF($C383="","",IFERROR(VLOOKUP($C383,גיליון1!$A:$E,4,0),"לא הגיש בקשה שוטפת"))</f>
        <v>19-42-02-20</v>
      </c>
      <c r="AH383" s="13" t="str">
        <f>IF($C383="","",IFERROR(VLOOKUP($C383,גיליון1!$A:$E,5,0),"לא הגיש בקשה שוטפת"))</f>
        <v>מחול וארגוני גג</v>
      </c>
      <c r="AI383" s="13">
        <f t="shared" si="23"/>
        <v>1</v>
      </c>
      <c r="AK383" s="174" t="s">
        <v>250</v>
      </c>
    </row>
    <row r="384" spans="1:37" s="174" customFormat="1" ht="43.5" x14ac:dyDescent="0.25">
      <c r="A384" s="54">
        <f>'הזנה לתנאי סף'!B384</f>
        <v>354</v>
      </c>
      <c r="B384" s="266">
        <f>IF($F384="","",'הזנה לתנאי סף'!C384)</f>
        <v>1001350655</v>
      </c>
      <c r="C384" s="266">
        <f>IF($F384="","",'הזנה לתנאי סף'!D384)</f>
        <v>1001273979</v>
      </c>
      <c r="D384" s="266">
        <f>IF($F384="","",'הזנה לתנאי סף'!E384)</f>
        <v>41626750</v>
      </c>
      <c r="E384" s="55">
        <f>IF($F384="","",'הזנה לתנאי סף'!F384)</f>
        <v>20000250</v>
      </c>
      <c r="F384" s="55" t="str">
        <f>IF('הזנה לתנאי סף'!BL384=1,'הזנה לתנאי סף'!G384,"")</f>
        <v>רמת גן</v>
      </c>
      <c r="G384" s="55" t="str">
        <f>IF($F384="","",'הזנה לתנאי סף'!H384)</f>
        <v>להקת מחול רועי אסף (ע"ר)</v>
      </c>
      <c r="H384" s="55" t="str">
        <f>IF($F384="","",'הזנה לתנאי סף'!I384)</f>
        <v>מחול</v>
      </c>
      <c r="I384" s="187">
        <f>IF($F384="","",'הזנה לתנאי סף'!R384)</f>
        <v>424050</v>
      </c>
      <c r="J384" s="187">
        <f>IF($F384="","",'תחום תמיכה א'!P384)</f>
        <v>488292</v>
      </c>
      <c r="K384" s="177">
        <f>IF($F384="","",'הזנה לתנאי סף'!N384)</f>
        <v>0</v>
      </c>
      <c r="L384" s="177">
        <f>IF($F384="","",'הזנה לתנאי סף'!O384)</f>
        <v>1</v>
      </c>
      <c r="M384" s="177">
        <f>IF($F384="","",'הזנה לתנאי סף'!Q384)</f>
        <v>1</v>
      </c>
      <c r="N384" s="187">
        <f>IF($F384="","",'תחום תמיכה א'!AE384)</f>
        <v>19808.593528973739</v>
      </c>
      <c r="O384" s="178"/>
      <c r="P384" s="187">
        <f>IF($F384="","",'תחום תמיכה ב'!AC384)</f>
        <v>39803.61974319844</v>
      </c>
      <c r="Q384" s="187">
        <f>IF($F384="","",IF('תחום תמיכה ג'!O384="",0,'תחום תמיכה ג'!O384))</f>
        <v>0</v>
      </c>
      <c r="R384" s="187">
        <f t="shared" si="20"/>
        <v>1193.513617622797</v>
      </c>
      <c r="S384" s="187">
        <f>IF($F384="","",'תחום תמיכה ב'!AE384)</f>
        <v>40997.133360821237</v>
      </c>
      <c r="T384" s="187">
        <f>IF($F384="","",IF(Q384='תחום תמיכה ג'!$Q$2,'תחום תמיכה ג'!$Q$2,IFERROR(SUMIF(N384:R384,"&gt;0"),'תחום תמיכה ג'!$Q$2)))</f>
        <v>60805.726889794976</v>
      </c>
      <c r="U384" s="187">
        <f>IF($F384="","",'הזנה לתנאי סף'!Y384)</f>
        <v>250000</v>
      </c>
      <c r="V384" s="269">
        <f>IF(F384="","",'הגבלה לסכום מבוקש '!AA384)</f>
        <v>67631.740164676085</v>
      </c>
      <c r="W384" s="187">
        <f t="shared" si="22"/>
        <v>16907.935041169021</v>
      </c>
      <c r="X384" s="187">
        <f>IF(F384="","",'הזנה לתנאי סף'!Z384)</f>
        <v>30000</v>
      </c>
      <c r="Y384" s="237" t="str">
        <f>IFERROR(VLOOKUP(G384*1,#REF!,3,0),"")</f>
        <v/>
      </c>
      <c r="Z384" s="187" t="str">
        <f>IF(OR($F384="",Y384=""),"",IFERROR(IF(Y384&gt;V384,MIN(Y384,T384)-V384,0),'תחום תמיכה ג'!$Q$2))</f>
        <v/>
      </c>
      <c r="AA384" s="259"/>
      <c r="AB384" s="260" t="str">
        <f t="shared" si="21"/>
        <v/>
      </c>
      <c r="AC384" s="262"/>
      <c r="AD384" s="180"/>
      <c r="AE384" s="13" t="str">
        <f>IF($C384="","",IFERROR(VLOOKUP($C384,גיליון1!$A:$E,2,0),"לא הגיש בקשה שוטפת"))</f>
        <v>בקשת תמיכה ליוצר רועי אסף</v>
      </c>
      <c r="AF384" s="13" t="str">
        <f>IF($C384="","",IFERROR(VLOOKUP($C384,גיליון1!$A:$E,3,0),"לא הגיש בקשה שוטפת"))</f>
        <v>נעסף</v>
      </c>
      <c r="AG384" s="13" t="str">
        <f>IF($C384="","",IFERROR(VLOOKUP($C384,גיליון1!$A:$E,4,0),"לא הגיש בקשה שוטפת"))</f>
        <v>19-42-02-20</v>
      </c>
      <c r="AH384" s="13" t="str">
        <f>IF($C384="","",IFERROR(VLOOKUP($C384,גיליון1!$A:$E,5,0),"לא הגיש בקשה שוטפת"))</f>
        <v>מחול וארגוני גג</v>
      </c>
      <c r="AI384" s="13">
        <f t="shared" si="23"/>
        <v>0</v>
      </c>
      <c r="AK384" s="174" t="s">
        <v>250</v>
      </c>
    </row>
    <row r="385" spans="1:37" s="174" customFormat="1" ht="72" x14ac:dyDescent="0.25">
      <c r="A385" s="54">
        <f>'הזנה לתנאי סף'!B385</f>
        <v>355</v>
      </c>
      <c r="B385" s="266">
        <f>IF($F385="","",'הזנה לתנאי סף'!C385)</f>
        <v>1001347018</v>
      </c>
      <c r="C385" s="266">
        <f>IF($F385="","",'הזנה לתנאי סף'!D385)</f>
        <v>1001271538</v>
      </c>
      <c r="D385" s="266">
        <f>IF($F385="","",'הזנה לתנאי סף'!E385)</f>
        <v>41627319</v>
      </c>
      <c r="E385" s="55">
        <f>IF($F385="","",'הזנה לתנאי סף'!F385)</f>
        <v>20000159</v>
      </c>
      <c r="F385" s="55" t="str">
        <f>IF('הזנה לתנאי סף'!BL385=1,'הזנה לתנאי סף'!G385,"")</f>
        <v>ירושלים</v>
      </c>
      <c r="G385" s="55" t="str">
        <f>IF($F385="","",'הזנה לתנאי סף'!H385)</f>
        <v>ק.ט.מ.ו.ן - קבוצת מחול בירושלים (ע'</v>
      </c>
      <c r="H385" s="55" t="str">
        <f>IF($F385="","",'הזנה לתנאי סף'!I385)</f>
        <v>מחול</v>
      </c>
      <c r="I385" s="187">
        <f>IF($F385="","",'הזנה לתנאי סף'!R385)</f>
        <v>350497</v>
      </c>
      <c r="J385" s="187">
        <f>IF($F385="","",'תחום תמיכה א'!P385)</f>
        <v>375151</v>
      </c>
      <c r="K385" s="177">
        <f>IF($F385="","",'הזנה לתנאי סף'!N385)</f>
        <v>1</v>
      </c>
      <c r="L385" s="177">
        <f>IF($F385="","",'הזנה לתנאי סף'!O385)</f>
        <v>0</v>
      </c>
      <c r="M385" s="177">
        <f>IF($F385="","",'הזנה לתנאי סף'!Q385)</f>
        <v>1</v>
      </c>
      <c r="N385" s="187">
        <f>IF($F385="","",'תחום תמיכה א'!AE385)</f>
        <v>11714.15041213421</v>
      </c>
      <c r="O385" s="178"/>
      <c r="P385" s="187">
        <f>IF($F385="","",'תחום תמיכה ב'!AC385)</f>
        <v>19491.762851529078</v>
      </c>
      <c r="Q385" s="187">
        <f>IF($F385="","",IF('תחום תמיכה ג'!O385="",0,'תחום תמיכה ג'!O385))</f>
        <v>3369.5094742727329</v>
      </c>
      <c r="R385" s="187">
        <f t="shared" si="20"/>
        <v>584.46152749083558</v>
      </c>
      <c r="S385" s="187">
        <f>IF($F385="","",'תחום תמיכה ב'!AE385)</f>
        <v>20076.224379019914</v>
      </c>
      <c r="T385" s="187">
        <f>IF($F385="","",IF(Q385='תחום תמיכה ג'!$Q$2,'תחום תמיכה ג'!$Q$2,IFERROR(SUMIF(N385:R385,"&gt;0"),'תחום תמיכה ג'!$Q$2)))</f>
        <v>35159.884265426852</v>
      </c>
      <c r="U385" s="187">
        <f>IF($F385="","",'הזנה לתנאי סף'!Y385)</f>
        <v>50000</v>
      </c>
      <c r="V385" s="269">
        <f>IF(F385="","",'הגבלה לסכום מבוקש '!AA385)</f>
        <v>38505.022223020787</v>
      </c>
      <c r="W385" s="187">
        <f t="shared" si="22"/>
        <v>9626.2555557551968</v>
      </c>
      <c r="X385" s="187">
        <f>IF(F385="","",'הזנה לתנאי סף'!Z385)</f>
        <v>315558</v>
      </c>
      <c r="Y385" s="237" t="str">
        <f>IFERROR(VLOOKUP(G385*1,#REF!,3,0),"")</f>
        <v/>
      </c>
      <c r="Z385" s="187" t="str">
        <f>IF(OR($F385="",Y385=""),"",IFERROR(IF(Y385&gt;V385,MIN(Y385,T385)-V385,0),'תחום תמיכה ג'!$Q$2))</f>
        <v/>
      </c>
      <c r="AA385" s="259"/>
      <c r="AB385" s="260" t="str">
        <f t="shared" si="21"/>
        <v/>
      </c>
      <c r="AC385" s="262"/>
      <c r="AD385" s="180"/>
      <c r="AE385" s="13" t="str">
        <f>IF($C385="","",IFERROR(VLOOKUP($C385,גיליון1!$A:$E,2,0),"לא הגיש בקשה שוטפת"))</f>
        <v>מחול</v>
      </c>
      <c r="AF385" s="13" t="str">
        <f>IF($C385="","",IFERROR(VLOOKUP($C385,גיליון1!$A:$E,3,0),"לא הגיש בקשה שוטפת"))</f>
        <v>חויב</v>
      </c>
      <c r="AG385" s="13" t="str">
        <f>IF($C385="","",IFERROR(VLOOKUP($C385,גיליון1!$A:$E,4,0),"לא הגיש בקשה שוטפת"))</f>
        <v>19-42-02-20</v>
      </c>
      <c r="AH385" s="13" t="str">
        <f>IF($C385="","",IFERROR(VLOOKUP($C385,גיליון1!$A:$E,5,0),"לא הגיש בקשה שוטפת"))</f>
        <v>מחול וארגוני גג</v>
      </c>
      <c r="AI385" s="13">
        <f t="shared" si="23"/>
        <v>0</v>
      </c>
      <c r="AK385" s="174" t="s">
        <v>250</v>
      </c>
    </row>
    <row r="386" spans="1:37" s="174" customFormat="1" ht="29.25" x14ac:dyDescent="0.25">
      <c r="A386" s="54">
        <f>'הזנה לתנאי סף'!B386</f>
        <v>356</v>
      </c>
      <c r="B386" s="266">
        <f>IF($F386="","",'הזנה לתנאי סף'!C386)</f>
        <v>1001348655</v>
      </c>
      <c r="C386" s="266">
        <f>IF($F386="","",'הזנה לתנאי סף'!D386)</f>
        <v>1001266859</v>
      </c>
      <c r="D386" s="266">
        <f>IF($F386="","",'הזנה לתנאי סף'!E386)</f>
        <v>41633210</v>
      </c>
      <c r="E386" s="55">
        <f>IF($F386="","",'הזנה לתנאי סף'!F386)</f>
        <v>20000052</v>
      </c>
      <c r="F386" s="55" t="str">
        <f>IF('הזנה לתנאי סף'!BL386=1,'הזנה לתנאי סף'!G386,"")</f>
        <v>כפר כנא</v>
      </c>
      <c r="G386" s="55" t="str">
        <f>IF($F386="","",'הזנה לתנאי סף'!H386)</f>
        <v>סול (ע''ר)</v>
      </c>
      <c r="H386" s="55" t="str">
        <f>IF($F386="","",'הזנה לתנאי סף'!I386)</f>
        <v>אחר</v>
      </c>
      <c r="I386" s="187">
        <f>IF($F386="","",'הזנה לתנאי סף'!R386)</f>
        <v>212774</v>
      </c>
      <c r="J386" s="187">
        <f>IF($F386="","",'תחום תמיכה א'!P386)</f>
        <v>244759</v>
      </c>
      <c r="K386" s="177">
        <f>IF($F386="","",'הזנה לתנאי סף'!N386)</f>
        <v>0</v>
      </c>
      <c r="L386" s="177">
        <f>IF($F386="","",'הזנה לתנאי סף'!O386)</f>
        <v>1</v>
      </c>
      <c r="M386" s="177">
        <f>IF($F386="","",'הזנה לתנאי סף'!Q386)</f>
        <v>1</v>
      </c>
      <c r="N386" s="187">
        <f>IF($F386="","",'תחום תמיכה א'!AE386)</f>
        <v>13379.62885655436</v>
      </c>
      <c r="O386" s="178"/>
      <c r="P386" s="187">
        <f>IF($F386="","",'תחום תמיכה ב'!AC386)</f>
        <v>36264.925460915838</v>
      </c>
      <c r="Q386" s="187">
        <f>IF($F386="","",IF('תחום תמיכה ג'!O386="",0,'תחום תמיכה ג'!O386))</f>
        <v>0</v>
      </c>
      <c r="R386" s="187">
        <f t="shared" si="20"/>
        <v>1087.405684682104</v>
      </c>
      <c r="S386" s="187">
        <f>IF($F386="","",'תחום תמיכה ב'!AE386)</f>
        <v>37352.331145597942</v>
      </c>
      <c r="T386" s="187">
        <f>IF($F386="","",IF(Q386='תחום תמיכה ג'!$Q$2,'תחום תמיכה ג'!$Q$2,IFERROR(SUMIF(N386:R386,"&gt;0"),'תחום תמיכה ג'!$Q$2)))</f>
        <v>50731.9600021523</v>
      </c>
      <c r="U386" s="187">
        <f>IF($F386="","",'הזנה לתנאי סף'!Y386)</f>
        <v>450000</v>
      </c>
      <c r="V386" s="269">
        <f>IF(F386="","",'הגבלה לסכום מבוקש '!AA386)</f>
        <v>56948.989126187247</v>
      </c>
      <c r="W386" s="187">
        <f t="shared" si="22"/>
        <v>14237.247281546812</v>
      </c>
      <c r="X386" s="187">
        <f>IF(F386="","",'הזנה לתנאי סף'!Z386)</f>
        <v>50000</v>
      </c>
      <c r="Y386" s="237" t="str">
        <f>IFERROR(VLOOKUP(G386*1,#REF!,3,0),"")</f>
        <v/>
      </c>
      <c r="Z386" s="187" t="str">
        <f>IF(OR($F386="",Y386=""),"",IFERROR(IF(Y386&gt;V386,MIN(Y386,T386)-V386,0),'תחום תמיכה ג'!$Q$2))</f>
        <v/>
      </c>
      <c r="AA386" s="259"/>
      <c r="AB386" s="260" t="str">
        <f t="shared" si="21"/>
        <v/>
      </c>
      <c r="AC386" s="262"/>
      <c r="AD386" s="180"/>
      <c r="AE386" s="13" t="str">
        <f>IF($C386="","",IFERROR(VLOOKUP($C386,גיליון1!$A:$E,2,0),"לא הגיש בקשה שוטפת"))</f>
        <v>תמיכה בפעילותה השוטפת של העמותה בתחום המ</v>
      </c>
      <c r="AF386" s="13" t="str">
        <f>IF($C386="","",IFERROR(VLOOKUP($C386,גיליון1!$A:$E,3,0),"לא הגיש בקשה שוטפת"))</f>
        <v>מועד</v>
      </c>
      <c r="AG386" s="13" t="str">
        <f>IF($C386="","",IFERROR(VLOOKUP($C386,גיליון1!$A:$E,4,0),"לא הגיש בקשה שוטפת"))</f>
        <v>19-42-02-33</v>
      </c>
      <c r="AH386" s="13" t="str">
        <f>IF($C386="","",IFERROR(VLOOKUP($C386,גיליון1!$A:$E,5,0),"לא הגיש בקשה שוטפת"))</f>
        <v>תרבות ערבית ודרוזית</v>
      </c>
      <c r="AI386" s="13">
        <f t="shared" si="23"/>
        <v>0</v>
      </c>
      <c r="AK386" s="174" t="s">
        <v>250</v>
      </c>
    </row>
    <row r="387" spans="1:37" s="174" customFormat="1" ht="72" x14ac:dyDescent="0.25">
      <c r="A387" s="54">
        <f>'הזנה לתנאי סף'!B387</f>
        <v>357</v>
      </c>
      <c r="B387" s="266">
        <f>IF($F387="","",'הזנה לתנאי סף'!C387)</f>
        <v>1001347153</v>
      </c>
      <c r="C387" s="266">
        <f>IF($F387="","",'הזנה לתנאי סף'!D387)</f>
        <v>1001280237</v>
      </c>
      <c r="D387" s="266">
        <f>IF($F387="","",'הזנה לתנאי סף'!E387)</f>
        <v>41634844</v>
      </c>
      <c r="E387" s="55">
        <f>IF($F387="","",'הזנה לתנאי סף'!F387)</f>
        <v>20000201</v>
      </c>
      <c r="F387" s="55" t="str">
        <f>IF('הזנה לתנאי סף'!BL387=1,'הזנה לתנאי סף'!G387,"")</f>
        <v>תל אביב -יפו</v>
      </c>
      <c r="G387" s="55" t="str">
        <f>IF($F387="","",'הזנה לתנאי סף'!H387)</f>
        <v>האורקסטרה - תזמורת הג'אז הישראלית (</v>
      </c>
      <c r="H387" s="55" t="str">
        <f>IF($F387="","",'הזנה לתנאי סף'!I387)</f>
        <v>אחר</v>
      </c>
      <c r="I387" s="187">
        <f>IF($F387="","",'הזנה לתנאי סף'!R387)</f>
        <v>378579</v>
      </c>
      <c r="J387" s="187">
        <f>IF($F387="","",'תחום תמיכה א'!P387)</f>
        <v>418256</v>
      </c>
      <c r="K387" s="177">
        <f>IF($F387="","",'הזנה לתנאי סף'!N387)</f>
        <v>0</v>
      </c>
      <c r="L387" s="177">
        <f>IF($F387="","",'הזנה לתנאי סף'!O387)</f>
        <v>1</v>
      </c>
      <c r="M387" s="177">
        <f>IF($F387="","",'הזנה לתנאי סף'!Q387)</f>
        <v>1</v>
      </c>
      <c r="N387" s="187">
        <f>IF($F387="","",'תחום תמיכה א'!AE387)</f>
        <v>5953.5425884471651</v>
      </c>
      <c r="O387" s="178"/>
      <c r="P387" s="187">
        <f>IF($F387="","",'תחום תמיכה ב'!AC387)</f>
        <v>4375.024888078995</v>
      </c>
      <c r="Q387" s="187">
        <f>IF($F387="","",IF('תחום תמיכה ג'!O387="",0,'תחום תמיכה ג'!O387))</f>
        <v>0</v>
      </c>
      <c r="R387" s="187">
        <f t="shared" si="20"/>
        <v>131.18534985133374</v>
      </c>
      <c r="S387" s="187">
        <f>IF($F387="","",'תחום תמיכה ב'!AE387)</f>
        <v>4506.2102379303287</v>
      </c>
      <c r="T387" s="187">
        <f>IF($F387="","",IF(Q387='תחום תמיכה ג'!$Q$2,'תחום תמיכה ג'!$Q$2,IFERROR(SUMIF(N387:R387,"&gt;0"),'תחום תמיכה ג'!$Q$2)))</f>
        <v>10459.752826377495</v>
      </c>
      <c r="U387" s="187">
        <f>IF($F387="","",'הזנה לתנאי סף'!Y387)</f>
        <v>600000</v>
      </c>
      <c r="V387" s="269">
        <f>IF(F387="","",'הגבלה לסכום מבוקש '!AA387)</f>
        <v>11211.755232741454</v>
      </c>
      <c r="W387" s="187">
        <f t="shared" si="22"/>
        <v>2802.9388081853635</v>
      </c>
      <c r="X387" s="187">
        <f>IF(F387="","",'הזנה לתנאי סף'!Z387)</f>
        <v>600000</v>
      </c>
      <c r="Y387" s="237" t="str">
        <f>IFERROR(VLOOKUP(G387*1,#REF!,3,0),"")</f>
        <v/>
      </c>
      <c r="Z387" s="187" t="str">
        <f>IF(OR($F387="",Y387=""),"",IFERROR(IF(Y387&gt;V387,MIN(Y387,T387)-V387,0),'תחום תמיכה ג'!$Q$2))</f>
        <v/>
      </c>
      <c r="AA387" s="259"/>
      <c r="AB387" s="260" t="str">
        <f t="shared" si="21"/>
        <v/>
      </c>
      <c r="AC387" s="262"/>
      <c r="AD387" s="180"/>
      <c r="AE387" s="13" t="str">
        <f>IF($C387="","",IFERROR(VLOOKUP($C387,גיליון1!$A:$E,2,0),"לא הגיש בקשה שוטפת"))</f>
        <v>תמיכה בפעילות האורקסטרה-תזמורת הג'אז היש</v>
      </c>
      <c r="AF387" s="13" t="str">
        <f>IF($C387="","",IFERROR(VLOOKUP($C387,גיליון1!$A:$E,3,0),"לא הגיש בקשה שוטפת"))</f>
        <v>מועד</v>
      </c>
      <c r="AG387" s="13" t="str">
        <f>IF($C387="","",IFERROR(VLOOKUP($C387,גיליון1!$A:$E,4,0),"לא הגיש בקשה שוטפת"))</f>
        <v>19-42-02-16</v>
      </c>
      <c r="AH387" s="13" t="str">
        <f>IF($C387="","",IFERROR(VLOOKUP($C387,גיליון1!$A:$E,5,0),"לא הגיש בקשה שוטפת"))</f>
        <v>מוסיקה</v>
      </c>
      <c r="AI387" s="13">
        <f t="shared" si="23"/>
        <v>0</v>
      </c>
      <c r="AK387" s="174" t="s">
        <v>250</v>
      </c>
    </row>
    <row r="388" spans="1:37" s="174" customFormat="1" ht="72" x14ac:dyDescent="0.25">
      <c r="A388" s="54">
        <f>'הזנה לתנאי סף'!B388</f>
        <v>358</v>
      </c>
      <c r="B388" s="266">
        <f>IF($F388="","",'הזנה לתנאי סף'!C388)</f>
        <v>1001350425</v>
      </c>
      <c r="C388" s="266">
        <f>IF($F388="","",'הזנה לתנאי סף'!D388)</f>
        <v>1001302446</v>
      </c>
      <c r="D388" s="266">
        <f>IF($F388="","",'הזנה לתנאי סף'!E388)</f>
        <v>40528079</v>
      </c>
      <c r="E388" s="55">
        <f>IF($F388="","",'הזנה לתנאי סף'!F388)</f>
        <v>20000201</v>
      </c>
      <c r="F388" s="55" t="str">
        <f>IF('הזנה לתנאי סף'!BL388=1,'הזנה לתנאי סף'!G388,"")</f>
        <v>תל אביב -יפו</v>
      </c>
      <c r="G388" s="55" t="str">
        <f>IF($F388="","",'הזנה לתנאי סף'!H388)</f>
        <v>"קבוצת עבודה" - עמותה ליצירה וקידום</v>
      </c>
      <c r="H388" s="55" t="str">
        <f>IF($F388="","",'הזנה לתנאי סף'!I388)</f>
        <v>קבוצות תיאטרון</v>
      </c>
      <c r="I388" s="187">
        <f>IF($F388="","",'הזנה לתנאי סף'!R388)</f>
        <v>298734</v>
      </c>
      <c r="J388" s="187">
        <f>IF($F388="","",'תחום תמיכה א'!P388)</f>
        <v>269450</v>
      </c>
      <c r="K388" s="177">
        <f>IF($F388="","",'הזנה לתנאי סף'!N388)</f>
        <v>0</v>
      </c>
      <c r="L388" s="177">
        <f>IF($F388="","",'הזנה לתנאי סף'!O388)</f>
        <v>1</v>
      </c>
      <c r="M388" s="177">
        <f>IF($F388="","",'הזנה לתנאי סף'!Q388)</f>
        <v>1</v>
      </c>
      <c r="N388" s="187">
        <f>IF($F388="","",'תחום תמיכה א'!AE388)</f>
        <v>5809.8133397134134</v>
      </c>
      <c r="O388" s="178"/>
      <c r="P388" s="187">
        <f>IF($F388="","",'תחום תמיכה ב'!AC388)</f>
        <v>7921.5483139843036</v>
      </c>
      <c r="Q388" s="187">
        <f>IF($F388="","",IF('תחום תמיכה ג'!O388="",0,'תחום תמיכה ג'!O388))</f>
        <v>0</v>
      </c>
      <c r="R388" s="187">
        <f t="shared" si="20"/>
        <v>237.52804007260511</v>
      </c>
      <c r="S388" s="187">
        <f>IF($F388="","",'תחום תמיכה ב'!AE388)</f>
        <v>8159.0763540569087</v>
      </c>
      <c r="T388" s="187">
        <f>IF($F388="","",IF(Q388='תחום תמיכה ג'!$Q$2,'תחום תמיכה ג'!$Q$2,IFERROR(SUMIF(N388:R388,"&gt;0"),'תחום תמיכה ג'!$Q$2)))</f>
        <v>13968.889693770321</v>
      </c>
      <c r="U388" s="187">
        <f>IF($F388="","",'הזנה לתנאי סף'!Y388)</f>
        <v>704000</v>
      </c>
      <c r="V388" s="269">
        <f>IF(F388="","",'הגבלה לסכום מבוקש '!AA388)</f>
        <v>15328.224393435137</v>
      </c>
      <c r="W388" s="187">
        <f t="shared" si="22"/>
        <v>3832.0560983587843</v>
      </c>
      <c r="X388" s="187">
        <f>IF(F388="","",'הזנה לתנאי סף'!Z388)</f>
        <v>40000</v>
      </c>
      <c r="Y388" s="237" t="str">
        <f>IFERROR(VLOOKUP(G388*1,#REF!,3,0),"")</f>
        <v/>
      </c>
      <c r="Z388" s="187" t="str">
        <f>IF(OR($F388="",Y388=""),"",IFERROR(IF(Y388&gt;V388,MIN(Y388,T388)-V388,0),'תחום תמיכה ג'!$Q$2))</f>
        <v/>
      </c>
      <c r="AA388" s="259"/>
      <c r="AB388" s="260" t="str">
        <f t="shared" si="21"/>
        <v/>
      </c>
      <c r="AC388" s="262"/>
      <c r="AD388" s="180"/>
      <c r="AE388" s="13" t="str">
        <f>IF($C388="","",IFERROR(VLOOKUP($C388,גיליון1!$A:$E,2,0),"לא הגיש בקשה שוטפת"))</f>
        <v>תמיכה שוטפת בקבוצת תיאטרון</v>
      </c>
      <c r="AF388" s="13" t="str">
        <f>IF($C388="","",IFERROR(VLOOKUP($C388,גיליון1!$A:$E,3,0),"לא הגיש בקשה שוטפת"))</f>
        <v>מועד</v>
      </c>
      <c r="AG388" s="13" t="str">
        <f>IF($C388="","",IFERROR(VLOOKUP($C388,גיליון1!$A:$E,4,0),"לא הגיש בקשה שוטפת"))</f>
        <v>19-42-02-07</v>
      </c>
      <c r="AH388" s="13" t="str">
        <f>IF($C388="","",IFERROR(VLOOKUP($C388,גיליון1!$A:$E,5,0),"לא הגיש בקשה שוטפת"))</f>
        <v>תיאטרון</v>
      </c>
      <c r="AI388" s="13">
        <f t="shared" si="23"/>
        <v>0</v>
      </c>
      <c r="AK388" s="174" t="s">
        <v>250</v>
      </c>
    </row>
    <row r="389" spans="1:37" s="174" customFormat="1" ht="72" x14ac:dyDescent="0.25">
      <c r="A389" s="54">
        <f>'הזנה לתנאי סף'!B389</f>
        <v>359</v>
      </c>
      <c r="B389" s="266">
        <f>IF($F389="","",'הזנה לתנאי סף'!C389)</f>
        <v>1001350430</v>
      </c>
      <c r="C389" s="266">
        <f>IF($F389="","",'הזנה לתנאי סף'!D389)</f>
        <v>1001302428</v>
      </c>
      <c r="D389" s="266">
        <f>IF($F389="","",'הזנה לתנאי סף'!E389)</f>
        <v>40528079</v>
      </c>
      <c r="E389" s="55">
        <f>IF($F389="","",'הזנה לתנאי סף'!F389)</f>
        <v>20000201</v>
      </c>
      <c r="F389" s="55" t="str">
        <f>IF('הזנה לתנאי סף'!BL389=1,'הזנה לתנאי סף'!G389,"")</f>
        <v>תל אביב -יפו</v>
      </c>
      <c r="G389" s="55" t="str">
        <f>IF($F389="","",'הזנה לתנאי סף'!H389)</f>
        <v>"קבוצת עבודה" - עמותה ליצירה וקידום</v>
      </c>
      <c r="H389" s="55" t="str">
        <f>IF($F389="","",'הזנה לתנאי סף'!I389)</f>
        <v>אחר</v>
      </c>
      <c r="I389" s="187">
        <f>IF($F389="","",'הזנה לתנאי סף'!R389)</f>
        <v>78803</v>
      </c>
      <c r="J389" s="187">
        <f>IF($F389="","",'תחום תמיכה א'!P389)</f>
        <v>78803</v>
      </c>
      <c r="K389" s="177">
        <f>IF($F389="","",'הזנה לתנאי סף'!N389)</f>
        <v>0</v>
      </c>
      <c r="L389" s="177">
        <f>IF($F389="","",'הזנה לתנאי סף'!O389)</f>
        <v>1</v>
      </c>
      <c r="M389" s="177">
        <f>IF($F389="","",'הזנה לתנאי סף'!Q389)</f>
        <v>1</v>
      </c>
      <c r="N389" s="187">
        <f>IF($F389="","",'תחום תמיכה א'!AE389)</f>
        <v>1079.0772704104161</v>
      </c>
      <c r="O389" s="178"/>
      <c r="P389" s="187">
        <f>IF($F389="","",'תחום תמיכה ב'!AC389)</f>
        <v>842.79078126726733</v>
      </c>
      <c r="Q389" s="187">
        <f>IF($F389="","",IF('תחום תמיכה ג'!O389="",0,'תחום תמיכה ג'!O389))</f>
        <v>0</v>
      </c>
      <c r="R389" s="187">
        <f t="shared" si="20"/>
        <v>25.271125609658156</v>
      </c>
      <c r="S389" s="187">
        <f>IF($F389="","",'תחום תמיכה ב'!AE389)</f>
        <v>868.06190687692549</v>
      </c>
      <c r="T389" s="187">
        <f>IF($F389="","",IF(Q389='תחום תמיכה ג'!$Q$2,'תחום תמיכה ג'!$Q$2,IFERROR(SUMIF(N389:R389,"&gt;0"),'תחום תמיכה ג'!$Q$2)))</f>
        <v>1947.1391772873417</v>
      </c>
      <c r="U389" s="187">
        <f>IF($F389="","",'הזנה לתנאי סף'!Y389)</f>
        <v>270000</v>
      </c>
      <c r="V389" s="269">
        <f>IF(F389="","",'הגבלה לסכום מבוקש '!AA389)</f>
        <v>2091.9716437448183</v>
      </c>
      <c r="W389" s="187">
        <f t="shared" si="22"/>
        <v>522.99291093620457</v>
      </c>
      <c r="X389" s="187">
        <f>IF(F389="","",'הזנה לתנאי סף'!Z389)</f>
        <v>40000</v>
      </c>
      <c r="Y389" s="237" t="str">
        <f>IFERROR(VLOOKUP(G389*1,#REF!,3,0),"")</f>
        <v/>
      </c>
      <c r="Z389" s="187" t="str">
        <f>IF(OR($F389="",Y389=""),"",IFERROR(IF(Y389&gt;V389,MIN(Y389,T389)-V389,0),'תחום תמיכה ג'!$Q$2))</f>
        <v/>
      </c>
      <c r="AA389" s="259"/>
      <c r="AB389" s="260" t="str">
        <f t="shared" si="21"/>
        <v/>
      </c>
      <c r="AC389" s="262"/>
      <c r="AD389" s="180"/>
      <c r="AE389" s="13" t="str">
        <f>IF($C389="","",IFERROR(VLOOKUP($C389,גיליון1!$A:$E,2,0),"לא הגיש בקשה שוטפת"))</f>
        <v>יוזמה - הקרן לפיתוח מחזאות ישראלית</v>
      </c>
      <c r="AF389" s="13" t="str">
        <f>IF($C389="","",IFERROR(VLOOKUP($C389,גיליון1!$A:$E,3,0),"לא הגיש בקשה שוטפת"))</f>
        <v>מועד</v>
      </c>
      <c r="AG389" s="13" t="str">
        <f>IF($C389="","",IFERROR(VLOOKUP($C389,גיליון1!$A:$E,4,0),"לא הגיש בקשה שוטפת"))</f>
        <v>19-42-02-07</v>
      </c>
      <c r="AH389" s="13" t="str">
        <f>IF($C389="","",IFERROR(VLOOKUP($C389,גיליון1!$A:$E,5,0),"לא הגיש בקשה שוטפת"))</f>
        <v>תיאטרון</v>
      </c>
      <c r="AI389" s="13">
        <f t="shared" si="23"/>
        <v>0</v>
      </c>
      <c r="AK389" s="174" t="s">
        <v>250</v>
      </c>
    </row>
    <row r="390" spans="1:37" s="174" customFormat="1" ht="72" x14ac:dyDescent="0.25">
      <c r="A390" s="54">
        <f>'הזנה לתנאי סף'!B390</f>
        <v>360</v>
      </c>
      <c r="B390" s="266">
        <f>IF($F390="","",'הזנה לתנאי סף'!C390)</f>
        <v>1001351067</v>
      </c>
      <c r="C390" s="266">
        <f>IF($F390="","",'הזנה לתנאי סף'!D390)</f>
        <v>1001268525</v>
      </c>
      <c r="D390" s="266">
        <f>IF($F390="","",'הזנה לתנאי סף'!E390)</f>
        <v>40001704</v>
      </c>
      <c r="E390" s="55">
        <f>IF($F390="","",'הזנה לתנאי סף'!F390)</f>
        <v>20000261</v>
      </c>
      <c r="F390" s="55" t="str">
        <f>IF('הזנה לתנאי סף'!BL390=1,'הזנה לתנאי סף'!G390,"")</f>
        <v>הוד השרון</v>
      </c>
      <c r="G390" s="55" t="str">
        <f>IF($F390="","",'הזנה לתנאי סף'!H390)</f>
        <v>מרכז ישראלי למקהלות ולחבורות זמר (ע</v>
      </c>
      <c r="H390" s="55" t="str">
        <f>IF($F390="","",'הזנה לתנאי סף'!I390)</f>
        <v>אחר</v>
      </c>
      <c r="I390" s="187">
        <f>IF($F390="","",'הזנה לתנאי סף'!R390)</f>
        <v>139995</v>
      </c>
      <c r="J390" s="187">
        <f>IF($F390="","",'תחום תמיכה א'!P390)</f>
        <v>226301</v>
      </c>
      <c r="K390" s="177">
        <f>IF($F390="","",'הזנה לתנאי סף'!N390)</f>
        <v>0</v>
      </c>
      <c r="L390" s="177">
        <f>IF($F390="","",'הזנה לתנאי סף'!O390)</f>
        <v>1</v>
      </c>
      <c r="M390" s="177">
        <f>IF($F390="","",'הזנה לתנאי סף'!Q390)</f>
        <v>1</v>
      </c>
      <c r="N390" s="187">
        <f>IF($F390="","",'תחום תמיכה א'!AE390)</f>
        <v>10033.647366246243</v>
      </c>
      <c r="O390" s="178"/>
      <c r="P390" s="187">
        <f>IF($F390="","",'תחום תמיכה ב'!AC390)</f>
        <v>15696.92865577637</v>
      </c>
      <c r="Q390" s="187">
        <f>IF($F390="","",IF('תחום תמיכה ג'!O390="",0,'תחום תמיכה ג'!O390))</f>
        <v>0</v>
      </c>
      <c r="R390" s="187">
        <f t="shared" si="20"/>
        <v>470.67322586217597</v>
      </c>
      <c r="S390" s="187">
        <f>IF($F390="","",'תחום תמיכה ב'!AE390)</f>
        <v>16167.601881638546</v>
      </c>
      <c r="T390" s="187">
        <f>IF($F390="","",IF(Q390='תחום תמיכה ג'!$Q$2,'תחום תמיכה ג'!$Q$2,IFERROR(SUMIF(N390:R390,"&gt;0"),'תחום תמיכה ג'!$Q$2)))</f>
        <v>26201.249247884793</v>
      </c>
      <c r="U390" s="187">
        <f>IF($F390="","",'הזנה לתנאי סף'!Y390)</f>
        <v>70000</v>
      </c>
      <c r="V390" s="269">
        <f>IF(F390="","",'הגבלה לסכום מבוקש '!AA390)</f>
        <v>28894.162952171762</v>
      </c>
      <c r="W390" s="187">
        <f t="shared" si="22"/>
        <v>7223.5407380429406</v>
      </c>
      <c r="X390" s="187">
        <f>IF(F390="","",'הזנה לתנאי סף'!Z390)</f>
        <v>70000</v>
      </c>
      <c r="Y390" s="237" t="str">
        <f>IFERROR(VLOOKUP(G390*1,#REF!,3,0),"")</f>
        <v/>
      </c>
      <c r="Z390" s="187" t="str">
        <f>IF(OR($F390="",Y390=""),"",IFERROR(IF(Y390&gt;V390,MIN(Y390,T390)-V390,0),'תחום תמיכה ג'!$Q$2))</f>
        <v/>
      </c>
      <c r="AA390" s="259"/>
      <c r="AB390" s="260" t="str">
        <f t="shared" si="21"/>
        <v/>
      </c>
      <c r="AC390" s="262"/>
      <c r="AD390" s="180"/>
      <c r="AE390" s="13" t="str">
        <f>IF($C390="","",IFERROR(VLOOKUP($C390,גיליון1!$A:$E,2,0),"לא הגיש בקשה שוטפת"))</f>
        <v>תמיכה בפעילויות מקהלת ווקאלוסיטי</v>
      </c>
      <c r="AF390" s="13" t="str">
        <f>IF($C390="","",IFERROR(VLOOKUP($C390,גיליון1!$A:$E,3,0),"לא הגיש בקשה שוטפת"))</f>
        <v>מועד</v>
      </c>
      <c r="AG390" s="13" t="str">
        <f>IF($C390="","",IFERROR(VLOOKUP($C390,גיליון1!$A:$E,4,0),"לא הגיש בקשה שוטפת"))</f>
        <v>19-42-02-16</v>
      </c>
      <c r="AH390" s="13" t="str">
        <f>IF($C390="","",IFERROR(VLOOKUP($C390,גיליון1!$A:$E,5,0),"לא הגיש בקשה שוטפת"))</f>
        <v>מוסיקה</v>
      </c>
      <c r="AI390" s="13">
        <f t="shared" si="23"/>
        <v>0</v>
      </c>
      <c r="AK390" s="174" t="s">
        <v>250</v>
      </c>
    </row>
    <row r="391" spans="1:37" s="174" customFormat="1" ht="43.5" x14ac:dyDescent="0.25">
      <c r="A391" s="54">
        <f>'הזנה לתנאי סף'!B391</f>
        <v>361</v>
      </c>
      <c r="B391" s="266">
        <f>IF($F391="","",'הזנה לתנאי סף'!C391)</f>
        <v>1001349845</v>
      </c>
      <c r="C391" s="266">
        <f>IF($F391="","",'הזנה לתנאי סף'!D391)</f>
        <v>1001302427</v>
      </c>
      <c r="D391" s="266">
        <f>IF($F391="","",'הזנה לתנאי סף'!E391)</f>
        <v>40000242</v>
      </c>
      <c r="E391" s="55">
        <f>IF($F391="","",'הזנה לתנאי סף'!F391)</f>
        <v>20000159</v>
      </c>
      <c r="F391" s="55" t="str">
        <f>IF('הזנה לתנאי סף'!BL391=1,'הזנה לתנאי סף'!G391,"")</f>
        <v>ירושלים</v>
      </c>
      <c r="G391" s="55" t="str">
        <f>IF($F391="","",'הזנה לתנאי סף'!H391)</f>
        <v>הזירה הבין-תחומית (ע"ר)</v>
      </c>
      <c r="H391" s="55" t="str">
        <f>IF($F391="","",'הזנה לתנאי סף'!I391)</f>
        <v>ספרות</v>
      </c>
      <c r="I391" s="187">
        <f>IF($F391="","",'הזנה לתנאי סף'!R391)</f>
        <v>86963</v>
      </c>
      <c r="J391" s="187">
        <f>IF($F391="","",'תחום תמיכה א'!P391)</f>
        <v>101570</v>
      </c>
      <c r="K391" s="177">
        <f>IF($F391="","",'הזנה לתנאי סף'!N391)</f>
        <v>1</v>
      </c>
      <c r="L391" s="177">
        <f>IF($F391="","",'הזנה לתנאי סף'!O391)</f>
        <v>0</v>
      </c>
      <c r="M391" s="177">
        <f>IF($F391="","",'הזנה לתנאי סף'!Q391)</f>
        <v>1</v>
      </c>
      <c r="N391" s="187">
        <f>IF($F391="","",'תחום תמיכה א'!AE391)</f>
        <v>1404.6205444200612</v>
      </c>
      <c r="O391" s="178"/>
      <c r="P391" s="187">
        <f>IF($F391="","",'תחום תמיכה ב'!AC391)</f>
        <v>948.59117358252956</v>
      </c>
      <c r="Q391" s="187">
        <f>IF($F391="","",IF('תחום תמיכה ג'!O391="",0,'תחום תמיכה ג'!O391))</f>
        <v>163.98141978969767</v>
      </c>
      <c r="R391" s="187">
        <f t="shared" si="20"/>
        <v>28.443555900993147</v>
      </c>
      <c r="S391" s="187">
        <f>IF($F391="","",'תחום תמיכה ב'!AE391)</f>
        <v>977.03472948352271</v>
      </c>
      <c r="T391" s="187">
        <f>IF($F391="","",IF(Q391='תחום תמיכה ג'!$Q$2,'תחום תמיכה ג'!$Q$2,IFERROR(SUMIF(N391:R391,"&gt;0"),'תחום תמיכה ג'!$Q$2)))</f>
        <v>2545.6366936932814</v>
      </c>
      <c r="U391" s="187">
        <f>IF($F391="","",'הזנה לתנאי סף'!Y391)</f>
        <v>50000</v>
      </c>
      <c r="V391" s="269">
        <f>IF(F391="","",'הגבלה לסכום מבוקש '!AA391)</f>
        <v>2708.8120295336939</v>
      </c>
      <c r="W391" s="187">
        <f t="shared" si="22"/>
        <v>677.20300738342348</v>
      </c>
      <c r="X391" s="187">
        <f>IF(F391="","",'הזנה לתנאי סף'!Z391)</f>
        <v>64963</v>
      </c>
      <c r="Y391" s="237" t="str">
        <f>IFERROR(VLOOKUP(G391*1,#REF!,3,0),"")</f>
        <v/>
      </c>
      <c r="Z391" s="187" t="str">
        <f>IF(OR($F391="",Y391=""),"",IFERROR(IF(Y391&gt;V391,MIN(Y391,T391)-V391,0),'תחום תמיכה ג'!$Q$2))</f>
        <v/>
      </c>
      <c r="AA391" s="259"/>
      <c r="AB391" s="260" t="str">
        <f t="shared" si="21"/>
        <v/>
      </c>
      <c r="AC391" s="262"/>
      <c r="AD391" s="180"/>
      <c r="AE391" s="13" t="str">
        <f>IF($C391="","",IFERROR(VLOOKUP($C391,גיליון1!$A:$E,2,0),"לא הגיש בקשה שוטפת"))</f>
        <v>ספרות הזירה הבין תחומית</v>
      </c>
      <c r="AF391" s="13" t="str">
        <f>IF($C391="","",IFERROR(VLOOKUP($C391,גיליון1!$A:$E,3,0),"לא הגיש בקשה שוטפת"))</f>
        <v>טיוט</v>
      </c>
      <c r="AG391" s="13" t="str">
        <f>IF($C391="","",IFERROR(VLOOKUP($C391,גיליון1!$A:$E,4,0),"לא הגיש בקשה שוטפת"))</f>
        <v>19-42-02-69</v>
      </c>
      <c r="AH391" s="13" t="str">
        <f>IF($C391="","",IFERROR(VLOOKUP($C391,גיליון1!$A:$E,5,0),"לא הגיש בקשה שוטפת"))</f>
        <v>ספרות הרשאה</v>
      </c>
      <c r="AI391" s="13">
        <f t="shared" si="23"/>
        <v>0</v>
      </c>
      <c r="AK391" s="174" t="s">
        <v>250</v>
      </c>
    </row>
    <row r="392" spans="1:37" s="174" customFormat="1" ht="43.5" x14ac:dyDescent="0.25">
      <c r="A392" s="54">
        <f>'הזנה לתנאי סף'!B392</f>
        <v>362</v>
      </c>
      <c r="B392" s="266">
        <f>IF($F392="","",'הזנה לתנאי סף'!C392)</f>
        <v>1001350439</v>
      </c>
      <c r="C392" s="266">
        <f>IF($F392="","",'הזנה לתנאי סף'!D392)</f>
        <v>1001290693</v>
      </c>
      <c r="D392" s="266">
        <f>IF($F392="","",'הזנה לתנאי סף'!E392)</f>
        <v>40822203</v>
      </c>
      <c r="E392" s="55">
        <f>IF($F392="","",'הזנה לתנאי סף'!F392)</f>
        <v>20000159</v>
      </c>
      <c r="F392" s="55" t="str">
        <f>IF('הזנה לתנאי סף'!BL392=1,'הזנה לתנאי סף'!G392,"")</f>
        <v>ירושלים</v>
      </c>
      <c r="G392" s="55" t="str">
        <f>IF($F392="","",'הזנה לתנאי סף'!H392)</f>
        <v>הערת שוליים (ע"ר)</v>
      </c>
      <c r="H392" s="55" t="str">
        <f>IF($F392="","",'הזנה לתנאי סף'!I392)</f>
        <v>אחר</v>
      </c>
      <c r="I392" s="187">
        <f>IF($F392="","",'הזנה לתנאי סף'!R392)</f>
        <v>190000</v>
      </c>
      <c r="J392" s="187">
        <f>IF($F392="","",'תחום תמיכה א'!P392)</f>
        <v>1854413</v>
      </c>
      <c r="K392" s="177">
        <f>IF($F392="","",'הזנה לתנאי סף'!N392)</f>
        <v>1</v>
      </c>
      <c r="L392" s="177">
        <f>IF($F392="","",'הזנה לתנאי סף'!O392)</f>
        <v>0</v>
      </c>
      <c r="M392" s="177">
        <f>IF($F392="","",'הזנה לתנאי סף'!Q392)</f>
        <v>1</v>
      </c>
      <c r="N392" s="187">
        <f>IF($F392="","",'תחום תמיכה א'!AE392)</f>
        <v>51823.299571995427</v>
      </c>
      <c r="O392" s="178"/>
      <c r="P392" s="187">
        <f>IF($F392="","",'תחום תמיכה ב'!AC392)</f>
        <v>8463.4656281897842</v>
      </c>
      <c r="Q392" s="187">
        <f>IF($F392="","",IF('תחום תמיכה ג'!O392="",0,'תחום תמיכה ג'!O392))</f>
        <v>1463.0655952768257</v>
      </c>
      <c r="R392" s="187">
        <f t="shared" si="20"/>
        <v>253.7774590526551</v>
      </c>
      <c r="S392" s="187">
        <f>IF($F392="","",'תחום תמיכה ב'!AE392)</f>
        <v>8717.2430872424393</v>
      </c>
      <c r="T392" s="187">
        <f>IF($F392="","",IF(Q392='תחום תמיכה ג'!$Q$2,'תחום תמיכה ג'!$Q$2,IFERROR(SUMIF(N392:R392,"&gt;0"),'תחום תמיכה ג'!$Q$2)))</f>
        <v>62003.608254514693</v>
      </c>
      <c r="U392" s="187">
        <f>IF($F392="","",'הזנה לתנאי סף'!Y392)</f>
        <v>300000</v>
      </c>
      <c r="V392" s="269">
        <f>IF(F392="","",'הגבלה לסכום מבוקש '!AA392)</f>
        <v>63477.372118036474</v>
      </c>
      <c r="W392" s="187">
        <f t="shared" si="22"/>
        <v>15869.343029509118</v>
      </c>
      <c r="X392" s="187">
        <f>IF(F392="","",'הזנה לתנאי סף'!Z392)</f>
        <v>300000</v>
      </c>
      <c r="Y392" s="237" t="str">
        <f>IFERROR(VLOOKUP(G392*1,#REF!,3,0),"")</f>
        <v/>
      </c>
      <c r="Z392" s="187" t="str">
        <f>IF(OR($F392="",Y392=""),"",IFERROR(IF(Y392&gt;V392,MIN(Y392,T392)-V392,0),'תחום תמיכה ג'!$Q$2))</f>
        <v/>
      </c>
      <c r="AA392" s="259"/>
      <c r="AB392" s="260" t="str">
        <f t="shared" si="21"/>
        <v/>
      </c>
      <c r="AC392" s="262"/>
      <c r="AD392" s="180"/>
      <c r="AE392" s="13" t="str">
        <f>IF($C392="","",IFERROR(VLOOKUP($C392,גיליון1!$A:$E,2,0),"לא הגיש בקשה שוטפת"))</f>
        <v>חלל תצוגה מעמותה</v>
      </c>
      <c r="AF392" s="13" t="str">
        <f>IF($C392="","",IFERROR(VLOOKUP($C392,גיליון1!$A:$E,3,0),"לא הגיש בקשה שוטפת"))</f>
        <v>מועד</v>
      </c>
      <c r="AG392" s="13" t="str">
        <f>IF($C392="","",IFERROR(VLOOKUP($C392,גיליון1!$A:$E,4,0),"לא הגיש בקשה שוטפת"))</f>
        <v>19-42-02-18</v>
      </c>
      <c r="AH392" s="13" t="str">
        <f>IF($C392="","",IFERROR(VLOOKUP($C392,גיליון1!$A:$E,5,0),"לא הגיש בקשה שוטפת"))</f>
        <v>מוזיאונים ואמנות פלס</v>
      </c>
      <c r="AI392" s="13">
        <f t="shared" si="23"/>
        <v>0</v>
      </c>
      <c r="AK392" s="174" t="s">
        <v>250</v>
      </c>
    </row>
    <row r="393" spans="1:37" s="174" customFormat="1" ht="57.75" x14ac:dyDescent="0.25">
      <c r="A393" s="54">
        <f>'הזנה לתנאי סף'!B393</f>
        <v>363</v>
      </c>
      <c r="B393" s="266">
        <f>IF($F393="","",'הזנה לתנאי סף'!C393)</f>
        <v>1001349364</v>
      </c>
      <c r="C393" s="266">
        <f>IF($F393="","",'הזנה לתנאי סף'!D393)</f>
        <v>1001264263</v>
      </c>
      <c r="D393" s="266">
        <f>IF($F393="","",'הזנה לתנאי סף'!E393)</f>
        <v>40000712</v>
      </c>
      <c r="E393" s="55">
        <f>IF($F393="","",'הזנה לתנאי סף'!F393)</f>
        <v>20000201</v>
      </c>
      <c r="F393" s="55" t="str">
        <f>IF('הזנה לתנאי סף'!BL393=1,'הזנה לתנאי סף'!G393,"")</f>
        <v>תל אביב -יפו</v>
      </c>
      <c r="G393" s="55" t="str">
        <f>IF($F393="","",'הזנה לתנאי סף'!H393)</f>
        <v>התיאטרון הקאמרי של תל אביב</v>
      </c>
      <c r="H393" s="55" t="str">
        <f>IF($F393="","",'הזנה לתנאי סף'!I393)</f>
        <v>תיאטרון</v>
      </c>
      <c r="I393" s="187">
        <f>IF($F393="","",'הזנה לתנאי סף'!R393)</f>
        <v>80055138</v>
      </c>
      <c r="J393" s="187">
        <f>IF($F393="","",'תחום תמיכה א'!P393)</f>
        <v>80025040</v>
      </c>
      <c r="K393" s="177">
        <f>IF($F393="","",'הזנה לתנאי סף'!N393)</f>
        <v>1</v>
      </c>
      <c r="L393" s="177">
        <f>IF($F393="","",'הזנה לתנאי סף'!O393)</f>
        <v>0</v>
      </c>
      <c r="M393" s="177">
        <f>IF($F393="","",'הזנה לתנאי סף'!Q393)</f>
        <v>1</v>
      </c>
      <c r="N393" s="187">
        <f>IF($F393="","",'תחום תמיכה א'!AE393)</f>
        <v>2940253.6871149824</v>
      </c>
      <c r="O393" s="178"/>
      <c r="P393" s="187">
        <f>IF($F393="","",'תחום תמיכה ב'!AC393)</f>
        <v>6164025.9098986294</v>
      </c>
      <c r="Q393" s="187">
        <f>IF($F393="","",IF('תחום תמיכה ג'!O393="",0,'תחום תמיכה ג'!O393))</f>
        <v>2584839.6953770877</v>
      </c>
      <c r="R393" s="187">
        <f t="shared" si="20"/>
        <v>184828.63896067813</v>
      </c>
      <c r="S393" s="187">
        <f>IF($F393="","",'תחום תמיכה ב'!AE393)</f>
        <v>6348854.5488593075</v>
      </c>
      <c r="T393" s="187">
        <f>IF($F393="","",IF(Q393='תחום תמיכה ג'!$Q$2,'תחום תמיכה ג'!$Q$2,IFERROR(SUMIF(N393:R393,"&gt;0"),'תחום תמיכה ג'!$Q$2)))</f>
        <v>11873947.931351377</v>
      </c>
      <c r="U393" s="187">
        <f>IF($F393="","",'הזנה לתנאי סף'!Y393)</f>
        <v>20000000</v>
      </c>
      <c r="V393" s="269">
        <f>IF(F393="","",'הגבלה לסכום מבוקש '!AA393)</f>
        <v>12932149.725383358</v>
      </c>
      <c r="W393" s="187">
        <f t="shared" si="22"/>
        <v>3233037.4313458395</v>
      </c>
      <c r="X393" s="187">
        <f>IF(F393="","",'הזנה לתנאי סף'!Z393)</f>
        <v>4000000</v>
      </c>
      <c r="Y393" s="237" t="str">
        <f>IFERROR(VLOOKUP(G393*1,#REF!,3,0),"")</f>
        <v/>
      </c>
      <c r="Z393" s="187" t="str">
        <f>IF(OR($F393="",Y393=""),"",IFERROR(IF(Y393&gt;V393,MIN(Y393,T393)-V393,0),'תחום תמיכה ג'!$Q$2))</f>
        <v/>
      </c>
      <c r="AA393" s="259"/>
      <c r="AB393" s="260" t="str">
        <f t="shared" si="21"/>
        <v/>
      </c>
      <c r="AC393" s="262"/>
      <c r="AD393" s="180"/>
      <c r="AE393" s="13" t="str">
        <f>IF($C393="","",IFERROR(VLOOKUP($C393,גיליון1!$A:$E,2,0),"לא הגיש בקשה שוטפת"))</f>
        <v>תמיכה שוטפת</v>
      </c>
      <c r="AF393" s="13" t="str">
        <f>IF($C393="","",IFERROR(VLOOKUP($C393,גיליון1!$A:$E,3,0),"לא הגיש בקשה שוטפת"))</f>
        <v>חויב</v>
      </c>
      <c r="AG393" s="13" t="str">
        <f>IF($C393="","",IFERROR(VLOOKUP($C393,גיליון1!$A:$E,4,0),"לא הגיש בקשה שוטפת"))</f>
        <v>19-42-02-07</v>
      </c>
      <c r="AH393" s="13" t="str">
        <f>IF($C393="","",IFERROR(VLOOKUP($C393,גיליון1!$A:$E,5,0),"לא הגיש בקשה שוטפת"))</f>
        <v>תיאטרון</v>
      </c>
      <c r="AI393" s="13">
        <f t="shared" si="23"/>
        <v>0</v>
      </c>
      <c r="AK393" s="174" t="s">
        <v>250</v>
      </c>
    </row>
    <row r="394" spans="1:37" s="174" customFormat="1" ht="57.75" x14ac:dyDescent="0.25">
      <c r="A394" s="54">
        <f>'הזנה לתנאי סף'!B394</f>
        <v>364</v>
      </c>
      <c r="B394" s="266">
        <f>IF($F394="","",'הזנה לתנאי סף'!C394)</f>
        <v>1001349371</v>
      </c>
      <c r="C394" s="266">
        <f>IF($F394="","",'הזנה לתנאי סף'!D394)</f>
        <v>1001264795</v>
      </c>
      <c r="D394" s="266">
        <f>IF($F394="","",'הזנה לתנאי סף'!E394)</f>
        <v>40000712</v>
      </c>
      <c r="E394" s="55">
        <f>IF($F394="","",'הזנה לתנאי סף'!F394)</f>
        <v>20000201</v>
      </c>
      <c r="F394" s="55" t="str">
        <f>IF('הזנה לתנאי סף'!BL394=1,'הזנה לתנאי סף'!G394,"")</f>
        <v>תל אביב -יפו</v>
      </c>
      <c r="G394" s="55" t="str">
        <f>IF($F394="","",'הזנה לתנאי סף'!H394)</f>
        <v>התיאטרון הקאמרי של תל אביב</v>
      </c>
      <c r="H394" s="55" t="str">
        <f>IF($F394="","",'הזנה לתנאי סף'!I394)</f>
        <v>סינמטקים ופסטיבלים</v>
      </c>
      <c r="I394" s="187">
        <f>IF($F394="","",'הזנה לתנאי סף'!R394)</f>
        <v>1182685</v>
      </c>
      <c r="J394" s="187">
        <f>IF($F394="","",'תחום תמיכה א'!P394)</f>
        <v>1182685</v>
      </c>
      <c r="K394" s="177">
        <f>IF($F394="","",'הזנה לתנאי סף'!N394)</f>
        <v>1</v>
      </c>
      <c r="L394" s="177">
        <f>IF($F394="","",'הזנה לתנאי סף'!O394)</f>
        <v>0</v>
      </c>
      <c r="M394" s="177">
        <f>IF($F394="","",'הזנה לתנאי סף'!Q394)</f>
        <v>1</v>
      </c>
      <c r="N394" s="187">
        <f>IF($F394="","",'תחום תמיכה א'!AE394)</f>
        <v>36202.167790236708</v>
      </c>
      <c r="O394" s="178"/>
      <c r="P394" s="187">
        <f>IF($F394="","",'תחום תמיכה ב'!AC394)</f>
        <v>63205.883087034468</v>
      </c>
      <c r="Q394" s="187">
        <f>IF($F394="","",IF('תחום תמיכה ג'!O394="",0,'תחום תמיכה ג'!O394))</f>
        <v>26504.930052673451</v>
      </c>
      <c r="R394" s="187">
        <f t="shared" ref="R394:R457" si="24">IF($F394="","",IFERROR(S394-P394,""))</f>
        <v>1895.2317066876931</v>
      </c>
      <c r="S394" s="187">
        <f>IF($F394="","",'תחום תמיכה ב'!AE394)</f>
        <v>65101.114793722161</v>
      </c>
      <c r="T394" s="187">
        <f>IF($F394="","",IF(Q394='תחום תמיכה ג'!$Q$2,'תחום תמיכה ג'!$Q$2,IFERROR(SUMIF(N394:R394,"&gt;0"),'תחום תמיכה ג'!$Q$2)))</f>
        <v>127808.21263663232</v>
      </c>
      <c r="U394" s="187">
        <f>IF($F394="","",'הזנה לתנאי סף'!Y394)</f>
        <v>400000</v>
      </c>
      <c r="V394" s="269">
        <f>IF(F394="","",'הגבלה לסכום מבוקש '!AA394)</f>
        <v>138661.76321824989</v>
      </c>
      <c r="W394" s="187">
        <f t="shared" si="22"/>
        <v>34665.440804562473</v>
      </c>
      <c r="X394" s="187">
        <f>IF(F394="","",'הזנה לתנאי סף'!Z394)</f>
        <v>1</v>
      </c>
      <c r="Y394" s="237" t="str">
        <f>IFERROR(VLOOKUP(G394*1,#REF!,3,0),"")</f>
        <v/>
      </c>
      <c r="Z394" s="187" t="str">
        <f>IF(OR($F394="",Y394=""),"",IFERROR(IF(Y394&gt;V394,MIN(Y394,T394)-V394,0),'תחום תמיכה ג'!$Q$2))</f>
        <v/>
      </c>
      <c r="AA394" s="259"/>
      <c r="AB394" s="260" t="str">
        <f t="shared" ref="AB394:AB457" si="25">Z394</f>
        <v/>
      </c>
      <c r="AC394" s="262"/>
      <c r="AD394" s="180"/>
      <c r="AE394" s="13" t="str">
        <f>IF($C394="","",IFERROR(VLOOKUP($C394,גיליון1!$A:$E,2,0),"לא הגיש בקשה שוטפת"))</f>
        <v>פסטיבל 2020 בקאמרי</v>
      </c>
      <c r="AF394" s="13" t="str">
        <f>IF($C394="","",IFERROR(VLOOKUP($C394,גיליון1!$A:$E,3,0),"לא הגיש בקשה שוטפת"))</f>
        <v>טיוט</v>
      </c>
      <c r="AG394" s="13" t="str">
        <f>IF($C394="","",IFERROR(VLOOKUP($C394,גיליון1!$A:$E,4,0),"לא הגיש בקשה שוטפת"))</f>
        <v>19-42-02-26</v>
      </c>
      <c r="AH394" s="13" t="str">
        <f>IF($C394="","",IFERROR(VLOOKUP($C394,גיליון1!$A:$E,5,0),"לא הגיש בקשה שוטפת"))</f>
        <v>פסטיבלים לתרבות</v>
      </c>
      <c r="AI394" s="13">
        <f t="shared" si="23"/>
        <v>0</v>
      </c>
      <c r="AK394" s="174" t="s">
        <v>250</v>
      </c>
    </row>
    <row r="395" spans="1:37" s="174" customFormat="1" x14ac:dyDescent="0.25">
      <c r="A395" s="54">
        <f>'הזנה לתנאי סף'!B395</f>
        <v>365</v>
      </c>
      <c r="B395" s="266" t="str">
        <f>IF($F395="","",'הזנה לתנאי סף'!C395)</f>
        <v/>
      </c>
      <c r="C395" s="266" t="str">
        <f>IF($F395="","",'הזנה לתנאי סף'!D395)</f>
        <v/>
      </c>
      <c r="D395" s="266" t="str">
        <f>IF($F395="","",'הזנה לתנאי סף'!E395)</f>
        <v/>
      </c>
      <c r="E395" s="55" t="str">
        <f>IF($F395="","",'הזנה לתנאי סף'!F395)</f>
        <v/>
      </c>
      <c r="F395" s="55" t="str">
        <f>IF('הזנה לתנאי סף'!BL395=1,'הזנה לתנאי סף'!G395,"")</f>
        <v/>
      </c>
      <c r="G395" s="55" t="str">
        <f>IF($F395="","",'הזנה לתנאי סף'!H395)</f>
        <v/>
      </c>
      <c r="H395" s="55" t="str">
        <f>IF($F395="","",'הזנה לתנאי סף'!I395)</f>
        <v/>
      </c>
      <c r="I395" s="187" t="str">
        <f>IF($F395="","",'הזנה לתנאי סף'!R395)</f>
        <v/>
      </c>
      <c r="J395" s="187" t="str">
        <f>IF($F395="","",'תחום תמיכה א'!P395)</f>
        <v/>
      </c>
      <c r="K395" s="177" t="str">
        <f>IF($F395="","",'הזנה לתנאי סף'!N395)</f>
        <v/>
      </c>
      <c r="L395" s="177" t="str">
        <f>IF($F395="","",'הזנה לתנאי סף'!O395)</f>
        <v/>
      </c>
      <c r="M395" s="177" t="str">
        <f>IF($F395="","",'הזנה לתנאי סף'!Q395)</f>
        <v/>
      </c>
      <c r="N395" s="187" t="str">
        <f>IF($F395="","",'תחום תמיכה א'!AE395)</f>
        <v/>
      </c>
      <c r="O395" s="178"/>
      <c r="P395" s="187" t="str">
        <f>IF($F395="","",'תחום תמיכה ב'!AC395)</f>
        <v/>
      </c>
      <c r="Q395" s="187" t="str">
        <f>IF($F395="","",IF('תחום תמיכה ג'!O395="",0,'תחום תמיכה ג'!O395))</f>
        <v/>
      </c>
      <c r="R395" s="187" t="str">
        <f t="shared" si="24"/>
        <v/>
      </c>
      <c r="S395" s="187" t="str">
        <f>IF($F395="","",'תחום תמיכה ב'!AE395)</f>
        <v/>
      </c>
      <c r="T395" s="187" t="str">
        <f>IF($F395="","",IF(Q395='תחום תמיכה ג'!$Q$2,'תחום תמיכה ג'!$Q$2,IFERROR(SUMIF(N395:R395,"&gt;0"),'תחום תמיכה ג'!$Q$2)))</f>
        <v/>
      </c>
      <c r="U395" s="187" t="str">
        <f>IF($F395="","",'הזנה לתנאי סף'!Y395)</f>
        <v/>
      </c>
      <c r="V395" s="269" t="str">
        <f>IF(F395="","",'הגבלה לסכום מבוקש '!AA395)</f>
        <v/>
      </c>
      <c r="W395" s="187" t="str">
        <f t="shared" si="22"/>
        <v/>
      </c>
      <c r="X395" s="187" t="str">
        <f>IF(F395="","",'הזנה לתנאי סף'!Z395)</f>
        <v/>
      </c>
      <c r="Y395" s="237" t="str">
        <f>IFERROR(VLOOKUP(G395*1,#REF!,3,0),"")</f>
        <v/>
      </c>
      <c r="Z395" s="187" t="str">
        <f>IF(OR($F395="",Y395=""),"",IFERROR(IF(Y395&gt;V395,MIN(Y395,T395)-V395,0),'תחום תמיכה ג'!$Q$2))</f>
        <v/>
      </c>
      <c r="AA395" s="259"/>
      <c r="AB395" s="260" t="str">
        <f t="shared" si="25"/>
        <v/>
      </c>
      <c r="AC395" s="262"/>
      <c r="AD395" s="180"/>
      <c r="AE395" s="13" t="str">
        <f>IF($C395="","",IFERROR(VLOOKUP($C395,גיליון1!$A:$E,2,0),"לא הגיש בקשה שוטפת"))</f>
        <v/>
      </c>
      <c r="AF395" s="13" t="str">
        <f>IF($C395="","",IFERROR(VLOOKUP($C395,גיליון1!$A:$E,3,0),"לא הגיש בקשה שוטפת"))</f>
        <v/>
      </c>
      <c r="AG395" s="13" t="str">
        <f>IF($C395="","",IFERROR(VLOOKUP($C395,גיליון1!$A:$E,4,0),"לא הגיש בקשה שוטפת"))</f>
        <v/>
      </c>
      <c r="AH395" s="13" t="str">
        <f>IF($C395="","",IFERROR(VLOOKUP($C395,גיליון1!$A:$E,5,0),"לא הגיש בקשה שוטפת"))</f>
        <v/>
      </c>
      <c r="AI395" s="13">
        <f t="shared" si="23"/>
        <v>0</v>
      </c>
      <c r="AK395" s="174" t="s">
        <v>250</v>
      </c>
    </row>
    <row r="396" spans="1:37" s="174" customFormat="1" ht="29.25" x14ac:dyDescent="0.25">
      <c r="A396" s="54">
        <f>'הזנה לתנאי סף'!B396</f>
        <v>366</v>
      </c>
      <c r="B396" s="266">
        <f>IF($F396="","",'הזנה לתנאי סף'!C396)</f>
        <v>1001350452</v>
      </c>
      <c r="C396" s="266">
        <f>IF($F396="","",'הזנה לתנאי סף'!D396)</f>
        <v>1001302119</v>
      </c>
      <c r="D396" s="266">
        <f>IF($F396="","",'הזנה לתנאי סף'!E396)</f>
        <v>41484947</v>
      </c>
      <c r="E396" s="55">
        <f>IF($F396="","",'הזנה לתנאי סף'!F396)</f>
        <v>20000033</v>
      </c>
      <c r="F396" s="55" t="str">
        <f>IF('הזנה לתנאי סף'!BL396=1,'הזנה לתנאי סף'!G396,"")</f>
        <v>אכסאל</v>
      </c>
      <c r="G396" s="55" t="str">
        <f>IF($F396="","",'הזנה לתנאי סף'!H396)</f>
        <v>עמותת מוג'תמענא</v>
      </c>
      <c r="H396" s="55" t="str">
        <f>IF($F396="","",'הזנה לתנאי סף'!I396)</f>
        <v>מחול</v>
      </c>
      <c r="I396" s="187">
        <f>IF($F396="","",'הזנה לתנאי סף'!R396)</f>
        <v>33926</v>
      </c>
      <c r="J396" s="187">
        <f>IF($F396="","",'תחום תמיכה א'!P396)</f>
        <v>36909</v>
      </c>
      <c r="K396" s="177">
        <f>IF($F396="","",'הזנה לתנאי סף'!N396)</f>
        <v>0</v>
      </c>
      <c r="L396" s="177">
        <f>IF($F396="","",'הזנה לתנאי סף'!O396)</f>
        <v>1</v>
      </c>
      <c r="M396" s="177">
        <f>IF($F396="","",'הזנה לתנאי סף'!Q396)</f>
        <v>1</v>
      </c>
      <c r="N396" s="187">
        <f>IF($F396="","",'תחום תמיכה א'!AE396)</f>
        <v>535.23872412069989</v>
      </c>
      <c r="O396" s="178"/>
      <c r="P396" s="187">
        <f>IF($F396="","",'תחום תמיכה ב'!AC396)</f>
        <v>406.93082808870219</v>
      </c>
      <c r="Q396" s="187">
        <f>IF($F396="","",IF('תחום תמיכה ג'!O396="",0,'תחום תמיכה ג'!O396))</f>
        <v>0</v>
      </c>
      <c r="R396" s="187">
        <f t="shared" si="24"/>
        <v>12.201842141188138</v>
      </c>
      <c r="S396" s="187">
        <f>IF($F396="","",'תחום תמיכה ב'!AE396)</f>
        <v>419.13267022989032</v>
      </c>
      <c r="T396" s="187">
        <f>IF($F396="","",IF(Q396='תחום תמיכה ג'!$Q$2,'תחום תמיכה ג'!$Q$2,IFERROR(SUMIF(N396:R396,"&gt;0"),'תחום תמיכה ג'!$Q$2)))</f>
        <v>954.37139435059021</v>
      </c>
      <c r="U396" s="187">
        <f>IF($F396="","",'הזנה לתנאי סף'!Y396)</f>
        <v>90000</v>
      </c>
      <c r="V396" s="269">
        <f>IF(F396="","",'הגבלה לסכום מבוקש '!AA396)</f>
        <v>1024.3083866134057</v>
      </c>
      <c r="W396" s="187">
        <f t="shared" si="22"/>
        <v>256.07709665335142</v>
      </c>
      <c r="X396" s="187">
        <f>IF(F396="","",'הזנה לתנאי סף'!Z396)</f>
        <v>50000</v>
      </c>
      <c r="Y396" s="237" t="str">
        <f>IFERROR(VLOOKUP(G396*1,#REF!,3,0),"")</f>
        <v/>
      </c>
      <c r="Z396" s="187" t="str">
        <f>IF(OR($F396="",Y396=""),"",IFERROR(IF(Y396&gt;V396,MIN(Y396,T396)-V396,0),'תחום תמיכה ג'!$Q$2))</f>
        <v/>
      </c>
      <c r="AA396" s="259"/>
      <c r="AB396" s="260" t="str">
        <f t="shared" si="25"/>
        <v/>
      </c>
      <c r="AC396" s="262"/>
      <c r="AD396" s="180"/>
      <c r="AE396" s="13" t="str">
        <f>IF($C396="","",IFERROR(VLOOKUP($C396,גיליון1!$A:$E,2,0),"לא הגיש בקשה שוטפת"))</f>
        <v>מימון פעילות מחול</v>
      </c>
      <c r="AF396" s="13" t="str">
        <f>IF($C396="","",IFERROR(VLOOKUP($C396,גיליון1!$A:$E,3,0),"לא הגיש בקשה שוטפת"))</f>
        <v>מועד</v>
      </c>
      <c r="AG396" s="13" t="str">
        <f>IF($C396="","",IFERROR(VLOOKUP($C396,גיליון1!$A:$E,4,0),"לא הגיש בקשה שוטפת"))</f>
        <v>19-42-02-33</v>
      </c>
      <c r="AH396" s="13" t="str">
        <f>IF($C396="","",IFERROR(VLOOKUP($C396,גיליון1!$A:$E,5,0),"לא הגיש בקשה שוטפת"))</f>
        <v>תרבות ערבית ודרוזית</v>
      </c>
      <c r="AI396" s="13">
        <f t="shared" si="23"/>
        <v>0</v>
      </c>
      <c r="AK396" s="174" t="s">
        <v>250</v>
      </c>
    </row>
    <row r="397" spans="1:37" s="174" customFormat="1" ht="29.25" x14ac:dyDescent="0.25">
      <c r="A397" s="54">
        <f>'הזנה לתנאי סף'!B397</f>
        <v>367</v>
      </c>
      <c r="B397" s="266">
        <f>IF($F397="","",'הזנה לתנאי סף'!C397)</f>
        <v>1001350453</v>
      </c>
      <c r="C397" s="266">
        <f>IF($F397="","",'הזנה לתנאי סף'!D397)</f>
        <v>1001302118</v>
      </c>
      <c r="D397" s="266">
        <f>IF($F397="","",'הזנה לתנאי סף'!E397)</f>
        <v>41484947</v>
      </c>
      <c r="E397" s="55">
        <f>IF($F397="","",'הזנה לתנאי סף'!F397)</f>
        <v>20000033</v>
      </c>
      <c r="F397" s="55" t="str">
        <f>IF('הזנה לתנאי סף'!BL397=1,'הזנה לתנאי סף'!G397,"")</f>
        <v>אכסאל</v>
      </c>
      <c r="G397" s="55" t="str">
        <f>IF($F397="","",'הזנה לתנאי סף'!H397)</f>
        <v>עמותת מוג'תמענא</v>
      </c>
      <c r="H397" s="55" t="str">
        <f>IF($F397="","",'הזנה לתנאי סף'!I397)</f>
        <v>קבוצות מוסיקה</v>
      </c>
      <c r="I397" s="187">
        <f>IF($F397="","",'הזנה לתנאי סף'!R397)</f>
        <v>35826</v>
      </c>
      <c r="J397" s="187">
        <f>IF($F397="","",'תחום תמיכה א'!P397)</f>
        <v>32015</v>
      </c>
      <c r="K397" s="177">
        <f>IF($F397="","",'הזנה לתנאי סף'!N397)</f>
        <v>0</v>
      </c>
      <c r="L397" s="177">
        <f>IF($F397="","",'הזנה לתנאי סף'!O397)</f>
        <v>1</v>
      </c>
      <c r="M397" s="177">
        <f>IF($F397="","",'הזנה לתנאי סף'!Q397)</f>
        <v>1</v>
      </c>
      <c r="N397" s="187">
        <f>IF($F397="","",'תחום תמיכה א'!AE397)</f>
        <v>532.46011165424227</v>
      </c>
      <c r="O397" s="178"/>
      <c r="P397" s="187">
        <f>IF($F397="","",'תחום תמיכה ב'!AC397)</f>
        <v>565.22700799844313</v>
      </c>
      <c r="Q397" s="187">
        <f>IF($F397="","",IF('תחום תמיכה ג'!O397="",0,'תחום תמיכה ג'!O397))</f>
        <v>0</v>
      </c>
      <c r="R397" s="187">
        <f t="shared" si="24"/>
        <v>16.948361366295217</v>
      </c>
      <c r="S397" s="187">
        <f>IF($F397="","",'תחום תמיכה ב'!AE397)</f>
        <v>582.17536936473834</v>
      </c>
      <c r="T397" s="187">
        <f>IF($F397="","",IF(Q397='תחום תמיכה ג'!$Q$2,'תחום תמיכה ג'!$Q$2,IFERROR(SUMIF(N397:R397,"&gt;0"),'תחום תמיכה ג'!$Q$2)))</f>
        <v>1114.6354810189805</v>
      </c>
      <c r="U397" s="187">
        <f>IF($F397="","",'הזנה לתנאי סף'!Y397)</f>
        <v>90000</v>
      </c>
      <c r="V397" s="269">
        <f>IF(F397="","",'הגבלה לסכום מבוקש '!AA397)</f>
        <v>1211.6819105914049</v>
      </c>
      <c r="W397" s="187">
        <f t="shared" si="22"/>
        <v>302.92047764785121</v>
      </c>
      <c r="X397" s="187">
        <f>IF(F397="","",'הזנה לתנאי סף'!Z397)</f>
        <v>50000</v>
      </c>
      <c r="Y397" s="237" t="str">
        <f>IFERROR(VLOOKUP(G397*1,#REF!,3,0),"")</f>
        <v/>
      </c>
      <c r="Z397" s="187" t="str">
        <f>IF(OR($F397="",Y397=""),"",IFERROR(IF(Y397&gt;V397,MIN(Y397,T397)-V397,0),'תחום תמיכה ג'!$Q$2))</f>
        <v/>
      </c>
      <c r="AA397" s="259"/>
      <c r="AB397" s="260" t="str">
        <f t="shared" si="25"/>
        <v/>
      </c>
      <c r="AC397" s="262"/>
      <c r="AD397" s="180"/>
      <c r="AE397" s="13" t="str">
        <f>IF($C397="","",IFERROR(VLOOKUP($C397,גיליון1!$A:$E,2,0),"לא הגיש בקשה שוטפת"))</f>
        <v>מימון פעילות שוטפת במוסיקה</v>
      </c>
      <c r="AF397" s="13" t="str">
        <f>IF($C397="","",IFERROR(VLOOKUP($C397,גיליון1!$A:$E,3,0),"לא הגיש בקשה שוטפת"))</f>
        <v>מועד</v>
      </c>
      <c r="AG397" s="13" t="str">
        <f>IF($C397="","",IFERROR(VLOOKUP($C397,גיליון1!$A:$E,4,0),"לא הגיש בקשה שוטפת"))</f>
        <v>19-42-02-33</v>
      </c>
      <c r="AH397" s="13" t="str">
        <f>IF($C397="","",IFERROR(VLOOKUP($C397,גיליון1!$A:$E,5,0),"לא הגיש בקשה שוטפת"))</f>
        <v>תרבות ערבית ודרוזית</v>
      </c>
      <c r="AI397" s="13">
        <f t="shared" si="23"/>
        <v>0</v>
      </c>
      <c r="AK397" s="174" t="s">
        <v>250</v>
      </c>
    </row>
    <row r="398" spans="1:37" s="174" customFormat="1" ht="29.25" x14ac:dyDescent="0.25">
      <c r="A398" s="54">
        <f>'הזנה לתנאי סף'!B398</f>
        <v>368</v>
      </c>
      <c r="B398" s="266">
        <f>IF($F398="","",'הזנה לתנאי סף'!C398)</f>
        <v>1001350454</v>
      </c>
      <c r="C398" s="266">
        <f>IF($F398="","",'הזנה לתנאי סף'!D398)</f>
        <v>1001302117</v>
      </c>
      <c r="D398" s="266">
        <f>IF($F398="","",'הזנה לתנאי סף'!E398)</f>
        <v>41484947</v>
      </c>
      <c r="E398" s="55">
        <f>IF($F398="","",'הזנה לתנאי סף'!F398)</f>
        <v>20000033</v>
      </c>
      <c r="F398" s="55" t="str">
        <f>IF('הזנה לתנאי סף'!BL398=1,'הזנה לתנאי סף'!G398,"")</f>
        <v>אכסאל</v>
      </c>
      <c r="G398" s="55" t="str">
        <f>IF($F398="","",'הזנה לתנאי סף'!H398)</f>
        <v>עמותת מוג'תמענא</v>
      </c>
      <c r="H398" s="55" t="str">
        <f>IF($F398="","",'הזנה לתנאי סף'!I398)</f>
        <v>חללי תצוגה</v>
      </c>
      <c r="I398" s="187">
        <f>IF($F398="","",'הזנה לתנאי סף'!R398)</f>
        <v>39526</v>
      </c>
      <c r="J398" s="187">
        <f>IF($F398="","",'תחום תמיכה א'!P398)</f>
        <v>43255</v>
      </c>
      <c r="K398" s="177">
        <f>IF($F398="","",'הזנה לתנאי סף'!N398)</f>
        <v>0</v>
      </c>
      <c r="L398" s="177">
        <f>IF($F398="","",'הזנה לתנאי סף'!O398)</f>
        <v>1</v>
      </c>
      <c r="M398" s="177">
        <f>IF($F398="","",'הזנה לתנאי סף'!Q398)</f>
        <v>1</v>
      </c>
      <c r="N398" s="187">
        <f>IF($F398="","",'תחום תמיכה א'!AE398)</f>
        <v>873.39701275899188</v>
      </c>
      <c r="O398" s="178"/>
      <c r="P398" s="187">
        <f>IF($F398="","",'תחום תמיכה ב'!AC398)</f>
        <v>919.15991503946634</v>
      </c>
      <c r="Q398" s="187">
        <f>IF($F398="","",IF('תחום תמיכה ג'!O398="",0,'תחום תמיכה ג'!O398))</f>
        <v>0</v>
      </c>
      <c r="R398" s="187">
        <f t="shared" si="24"/>
        <v>27.561058075881988</v>
      </c>
      <c r="S398" s="187">
        <f>IF($F398="","",'תחום תמיכה ב'!AE398)</f>
        <v>946.72097311534833</v>
      </c>
      <c r="T398" s="187">
        <f>IF($F398="","",IF(Q398='תחום תמיכה ג'!$Q$2,'תחום תמיכה ג'!$Q$2,IFERROR(SUMIF(N398:R398,"&gt;0"),'תחום תמיכה ג'!$Q$2)))</f>
        <v>1820.1179858743403</v>
      </c>
      <c r="U398" s="187">
        <f>IF($F398="","",'הזנה לתנאי סף'!Y398)</f>
        <v>90000</v>
      </c>
      <c r="V398" s="269">
        <f>IF(F398="","",'הגבלה לסכום מבוקש '!AA398)</f>
        <v>1977.9362121078368</v>
      </c>
      <c r="W398" s="187">
        <f t="shared" si="22"/>
        <v>494.4840530269592</v>
      </c>
      <c r="X398" s="187">
        <f>IF(F398="","",'הזנה לתנאי סף'!Z398)</f>
        <v>50000</v>
      </c>
      <c r="Y398" s="237" t="str">
        <f>IFERROR(VLOOKUP(G398*1,#REF!,3,0),"")</f>
        <v/>
      </c>
      <c r="Z398" s="187" t="str">
        <f>IF(OR($F398="",Y398=""),"",IFERROR(IF(Y398&gt;V398,MIN(Y398,T398)-V398,0),'תחום תמיכה ג'!$Q$2))</f>
        <v/>
      </c>
      <c r="AA398" s="259"/>
      <c r="AB398" s="260" t="str">
        <f t="shared" si="25"/>
        <v/>
      </c>
      <c r="AC398" s="262"/>
      <c r="AD398" s="180"/>
      <c r="AE398" s="13" t="str">
        <f>IF($C398="","",IFERROR(VLOOKUP($C398,גיליון1!$A:$E,2,0),"לא הגיש בקשה שוטפת"))</f>
        <v>פעילות שוטפת גלריית ציור</v>
      </c>
      <c r="AF398" s="13" t="str">
        <f>IF($C398="","",IFERROR(VLOOKUP($C398,גיליון1!$A:$E,3,0),"לא הגיש בקשה שוטפת"))</f>
        <v>מועד</v>
      </c>
      <c r="AG398" s="13" t="str">
        <f>IF($C398="","",IFERROR(VLOOKUP($C398,גיליון1!$A:$E,4,0),"לא הגיש בקשה שוטפת"))</f>
        <v>19-42-02-33</v>
      </c>
      <c r="AH398" s="13" t="str">
        <f>IF($C398="","",IFERROR(VLOOKUP($C398,גיליון1!$A:$E,5,0),"לא הגיש בקשה שוטפת"))</f>
        <v>תרבות ערבית ודרוזית</v>
      </c>
      <c r="AI398" s="13">
        <f t="shared" si="23"/>
        <v>0</v>
      </c>
      <c r="AK398" s="174" t="s">
        <v>250</v>
      </c>
    </row>
    <row r="399" spans="1:37" s="174" customFormat="1" ht="72" x14ac:dyDescent="0.25">
      <c r="A399" s="54">
        <f>'הזנה לתנאי סף'!B399</f>
        <v>369</v>
      </c>
      <c r="B399" s="266">
        <f>IF($F399="","",'הזנה לתנאי סף'!C399)</f>
        <v>1001346210</v>
      </c>
      <c r="C399" s="266">
        <f>IF($F399="","",'הזנה לתנאי סף'!D399)</f>
        <v>1001268507</v>
      </c>
      <c r="D399" s="266">
        <f>IF($F399="","",'הזנה לתנאי סף'!E399)</f>
        <v>40383495</v>
      </c>
      <c r="E399" s="55">
        <f>IF($F399="","",'הזנה לתנאי סף'!F399)</f>
        <v>20000035</v>
      </c>
      <c r="F399" s="55" t="str">
        <f>IF('הזנה לתנאי סף'!BL399=1,'הזנה לתנאי סף'!G399,"")</f>
        <v>מגאר</v>
      </c>
      <c r="G399" s="55" t="str">
        <f>IF($F399="","",'הזנה לתנאי סף'!H399)</f>
        <v>מראות-עמותה לקידום התיאטרון והקרקס</v>
      </c>
      <c r="H399" s="55" t="str">
        <f>IF($F399="","",'הזנה לתנאי סף'!I399)</f>
        <v>תיאטרון</v>
      </c>
      <c r="I399" s="187">
        <f>IF($F399="","",'הזנה לתנאי סף'!R399)</f>
        <v>339509</v>
      </c>
      <c r="J399" s="187">
        <f>IF($F399="","",'תחום תמיכה א'!P399)</f>
        <v>339509</v>
      </c>
      <c r="K399" s="177">
        <f>IF($F399="","",'הזנה לתנאי סף'!N399)</f>
        <v>0</v>
      </c>
      <c r="L399" s="177">
        <f>IF($F399="","",'הזנה לתנאי סף'!O399)</f>
        <v>1</v>
      </c>
      <c r="M399" s="177">
        <f>IF($F399="","",'הזנה לתנאי סף'!Q399)</f>
        <v>1</v>
      </c>
      <c r="N399" s="187">
        <f>IF($F399="","",'תחום תמיכה א'!AE399)</f>
        <v>8702.0420808831896</v>
      </c>
      <c r="O399" s="178"/>
      <c r="P399" s="187">
        <f>IF($F399="","",'תחום תמיכה ב'!AC399)</f>
        <v>12721.798283076683</v>
      </c>
      <c r="Q399" s="187">
        <f>IF($F399="","",IF('תחום תמיכה ג'!O399="",0,'תחום תמיכה ג'!O399))</f>
        <v>0</v>
      </c>
      <c r="R399" s="187">
        <f t="shared" si="24"/>
        <v>381.46378619489406</v>
      </c>
      <c r="S399" s="187">
        <f>IF($F399="","",'תחום תמיכה ב'!AE399)</f>
        <v>13103.262069271577</v>
      </c>
      <c r="T399" s="187">
        <f>IF($F399="","",IF(Q399='תחום תמיכה ג'!$Q$2,'תחום תמיכה ג'!$Q$2,IFERROR(SUMIF(N399:R399,"&gt;0"),'תחום תמיכה ג'!$Q$2)))</f>
        <v>21805.304150154767</v>
      </c>
      <c r="U399" s="187">
        <f>IF($F399="","",'הזנה לתנאי סף'!Y399)</f>
        <v>80000</v>
      </c>
      <c r="V399" s="269">
        <f>IF(F399="","",'הגבלה לסכום מבוקש '!AA399)</f>
        <v>23988.073820693327</v>
      </c>
      <c r="W399" s="187">
        <f t="shared" si="22"/>
        <v>5997.0184551733319</v>
      </c>
      <c r="X399" s="187">
        <f>IF(F399="","",'הזנה לתנאי סף'!Z399)</f>
        <v>80000</v>
      </c>
      <c r="Y399" s="237" t="str">
        <f>IFERROR(VLOOKUP(G399*1,#REF!,3,0),"")</f>
        <v/>
      </c>
      <c r="Z399" s="187" t="str">
        <f>IF(OR($F399="",Y399=""),"",IFERROR(IF(Y399&gt;V399,MIN(Y399,T399)-V399,0),'תחום תמיכה ג'!$Q$2))</f>
        <v/>
      </c>
      <c r="AA399" s="259"/>
      <c r="AB399" s="260" t="str">
        <f t="shared" si="25"/>
        <v/>
      </c>
      <c r="AC399" s="262"/>
      <c r="AD399" s="180"/>
      <c r="AE399" s="13" t="str">
        <f>IF($C399="","",IFERROR(VLOOKUP($C399,גיליון1!$A:$E,2,0),"לא הגיש בקשה שוטפת"))</f>
        <v>תיאטרון מראות</v>
      </c>
      <c r="AF399" s="13" t="str">
        <f>IF($C399="","",IFERROR(VLOOKUP($C399,גיליון1!$A:$E,3,0),"לא הגיש בקשה שוטפת"))</f>
        <v>מועד</v>
      </c>
      <c r="AG399" s="13" t="str">
        <f>IF($C399="","",IFERROR(VLOOKUP($C399,גיליון1!$A:$E,4,0),"לא הגיש בקשה שוטפת"))</f>
        <v>19-42-02-33</v>
      </c>
      <c r="AH399" s="13" t="str">
        <f>IF($C399="","",IFERROR(VLOOKUP($C399,גיליון1!$A:$E,5,0),"לא הגיש בקשה שוטפת"))</f>
        <v>תרבות ערבית ודרוזית</v>
      </c>
      <c r="AI399" s="13">
        <f t="shared" si="23"/>
        <v>0</v>
      </c>
      <c r="AK399" s="174" t="s">
        <v>250</v>
      </c>
    </row>
    <row r="400" spans="1:37" s="174" customFormat="1" ht="72" x14ac:dyDescent="0.25">
      <c r="A400" s="54">
        <f>'הזנה לתנאי סף'!B400</f>
        <v>370</v>
      </c>
      <c r="B400" s="266">
        <f>IF($F400="","",'הזנה לתנאי סף'!C400)</f>
        <v>1001348860</v>
      </c>
      <c r="C400" s="266">
        <f>IF($F400="","",'הזנה לתנאי סף'!D400)</f>
        <v>1001274641</v>
      </c>
      <c r="D400" s="266">
        <f>IF($F400="","",'הזנה לתנאי סף'!E400)</f>
        <v>40383495</v>
      </c>
      <c r="E400" s="55">
        <f>IF($F400="","",'הזנה לתנאי סף'!F400)</f>
        <v>20000035</v>
      </c>
      <c r="F400" s="55" t="str">
        <f>IF('הזנה לתנאי סף'!BL400=1,'הזנה לתנאי סף'!G400,"")</f>
        <v>מגאר</v>
      </c>
      <c r="G400" s="55" t="str">
        <f>IF($F400="","",'הזנה לתנאי סף'!H400)</f>
        <v>מראות-עמותה לקידום התיאטרון והקרקס</v>
      </c>
      <c r="H400" s="55" t="str">
        <f>IF($F400="","",'הזנה לתנאי סף'!I400)</f>
        <v>אחר</v>
      </c>
      <c r="I400" s="187">
        <f>IF($F400="","",'הזנה לתנאי סף'!R400)</f>
        <v>285756</v>
      </c>
      <c r="J400" s="187">
        <f>IF($F400="","",'תחום תמיכה א'!P400)</f>
        <v>285756</v>
      </c>
      <c r="K400" s="177">
        <f>IF($F400="","",'הזנה לתנאי סף'!N400)</f>
        <v>0</v>
      </c>
      <c r="L400" s="177">
        <f>IF($F400="","",'הזנה לתנאי סף'!O400)</f>
        <v>1</v>
      </c>
      <c r="M400" s="177">
        <f>IF($F400="","",'הזנה לתנאי סף'!Q400)</f>
        <v>1</v>
      </c>
      <c r="N400" s="187">
        <f>IF($F400="","",'תחום תמיכה א'!AE400)</f>
        <v>4687.809037553985</v>
      </c>
      <c r="O400" s="178"/>
      <c r="P400" s="187">
        <f>IF($F400="","",'תחום תמיכה ב'!AC400)</f>
        <v>4386.3360810172771</v>
      </c>
      <c r="Q400" s="187">
        <f>IF($F400="","",IF('תחום תמיכה ג'!O400="",0,'תחום תמיכה ג'!O400))</f>
        <v>0</v>
      </c>
      <c r="R400" s="187">
        <f t="shared" si="24"/>
        <v>131.52451656256471</v>
      </c>
      <c r="S400" s="187">
        <f>IF($F400="","",'תחום תמיכה ב'!AE400)</f>
        <v>4517.8605975798419</v>
      </c>
      <c r="T400" s="187">
        <f>IF($F400="","",IF(Q400='תחום תמיכה ג'!$Q$2,'תחום תמיכה ג'!$Q$2,IFERROR(SUMIF(N400:R400,"&gt;0"),'תחום תמיכה ג'!$Q$2)))</f>
        <v>9205.6696351338251</v>
      </c>
      <c r="U400" s="187">
        <f>IF($F400="","",'הזנה לתנאי סף'!Y400)</f>
        <v>80000</v>
      </c>
      <c r="V400" s="269">
        <f>IF(F400="","",'הגבלה לסכום מבוקש '!AA400)</f>
        <v>9959.0329387042111</v>
      </c>
      <c r="W400" s="187">
        <f t="shared" si="22"/>
        <v>2489.7582346760528</v>
      </c>
      <c r="X400" s="187">
        <f>IF(F400="","",'הזנה לתנאי סף'!Z400)</f>
        <v>80000</v>
      </c>
      <c r="Y400" s="237" t="str">
        <f>IFERROR(VLOOKUP(G400*1,#REF!,3,0),"")</f>
        <v/>
      </c>
      <c r="Z400" s="187" t="str">
        <f>IF(OR($F400="",Y400=""),"",IFERROR(IF(Y400&gt;V400,MIN(Y400,T400)-V400,0),'תחום תמיכה ג'!$Q$2))</f>
        <v/>
      </c>
      <c r="AA400" s="259"/>
      <c r="AB400" s="260" t="str">
        <f t="shared" si="25"/>
        <v/>
      </c>
      <c r="AC400" s="262"/>
      <c r="AD400" s="180"/>
      <c r="AE400" s="13" t="str">
        <f>IF($C400="","",IFERROR(VLOOKUP($C400,גיליון1!$A:$E,2,0),"לא הגיש בקשה שוטפת"))</f>
        <v>קרקס</v>
      </c>
      <c r="AF400" s="13" t="str">
        <f>IF($C400="","",IFERROR(VLOOKUP($C400,גיליון1!$A:$E,3,0),"לא הגיש בקשה שוטפת"))</f>
        <v>מועד</v>
      </c>
      <c r="AG400" s="13" t="str">
        <f>IF($C400="","",IFERROR(VLOOKUP($C400,גיליון1!$A:$E,4,0),"לא הגיש בקשה שוטפת"))</f>
        <v>19-42-02-33</v>
      </c>
      <c r="AH400" s="13" t="str">
        <f>IF($C400="","",IFERROR(VLOOKUP($C400,גיליון1!$A:$E,5,0),"לא הגיש בקשה שוטפת"))</f>
        <v>תרבות ערבית ודרוזית</v>
      </c>
      <c r="AI400" s="13">
        <f t="shared" si="23"/>
        <v>0</v>
      </c>
      <c r="AK400" s="174" t="s">
        <v>250</v>
      </c>
    </row>
    <row r="401" spans="1:37" s="174" customFormat="1" ht="72" x14ac:dyDescent="0.25">
      <c r="A401" s="54">
        <f>'הזנה לתנאי סף'!B401</f>
        <v>371</v>
      </c>
      <c r="B401" s="266">
        <f>IF($F401="","",'הזנה לתנאי סף'!C401)</f>
        <v>1001348861</v>
      </c>
      <c r="C401" s="266">
        <f>IF($F401="","",'הזנה לתנאי סף'!D401)</f>
        <v>1001268570</v>
      </c>
      <c r="D401" s="266">
        <f>IF($F401="","",'הזנה לתנאי סף'!E401)</f>
        <v>40383495</v>
      </c>
      <c r="E401" s="55">
        <f>IF($F401="","",'הזנה לתנאי סף'!F401)</f>
        <v>20000035</v>
      </c>
      <c r="F401" s="55" t="str">
        <f>IF('הזנה לתנאי סף'!BL401=1,'הזנה לתנאי סף'!G401,"")</f>
        <v>מגאר</v>
      </c>
      <c r="G401" s="55" t="str">
        <f>IF($F401="","",'הזנה לתנאי סף'!H401)</f>
        <v>מראות-עמותה לקידום התיאטרון והקרקס</v>
      </c>
      <c r="H401" s="55" t="str">
        <f>IF($F401="","",'הזנה לתנאי סף'!I401)</f>
        <v>אחר</v>
      </c>
      <c r="I401" s="187">
        <f>IF($F401="","",'הזנה לתנאי סף'!R401)</f>
        <v>19780</v>
      </c>
      <c r="J401" s="187">
        <f>IF($F401="","",'תחום תמיכה א'!P401)</f>
        <v>22305</v>
      </c>
      <c r="K401" s="177">
        <f>IF($F401="","",'הזנה לתנאי סף'!N401)</f>
        <v>0</v>
      </c>
      <c r="L401" s="177">
        <f>IF($F401="","",'הזנה לתנאי סף'!O401)</f>
        <v>1</v>
      </c>
      <c r="M401" s="177">
        <f>IF($F401="","",'הזנה לתנאי סף'!Q401)</f>
        <v>1</v>
      </c>
      <c r="N401" s="187">
        <f>IF($F401="","",'תחום תמיכה א'!AE401)</f>
        <v>1219.2917181613136</v>
      </c>
      <c r="O401" s="178"/>
      <c r="P401" s="187">
        <f>IF($F401="","",'תחום תמיכה ב'!AC401)</f>
        <v>3371.2776261052359</v>
      </c>
      <c r="Q401" s="187">
        <f>IF($F401="","",IF('תחום תמיכה ג'!O401="",0,'תחום תמיכה ג'!O401))</f>
        <v>0</v>
      </c>
      <c r="R401" s="187">
        <f t="shared" si="24"/>
        <v>101.08793575818436</v>
      </c>
      <c r="S401" s="187">
        <f>IF($F401="","",'תחום תמיכה ב'!AE401)</f>
        <v>3472.3655618634202</v>
      </c>
      <c r="T401" s="187">
        <f>IF($F401="","",IF(Q401='תחום תמיכה ג'!$Q$2,'תחום תמיכה ג'!$Q$2,IFERROR(SUMIF(N401:R401,"&gt;0"),'תחום תמיכה ג'!$Q$2)))</f>
        <v>4691.6572800247341</v>
      </c>
      <c r="U401" s="187">
        <f>IF($F401="","",'הזנה לתנאי סף'!Y401)</f>
        <v>50000</v>
      </c>
      <c r="V401" s="269">
        <f>IF(F401="","",'הגבלה לסכום מבוקש '!AA401)</f>
        <v>5269.5966021523163</v>
      </c>
      <c r="W401" s="187">
        <f t="shared" si="22"/>
        <v>1317.3991505380791</v>
      </c>
      <c r="X401" s="187">
        <f>IF(F401="","",'הזנה לתנאי סף'!Z401)</f>
        <v>50000</v>
      </c>
      <c r="Y401" s="237" t="str">
        <f>IFERROR(VLOOKUP(G401*1,#REF!,3,0),"")</f>
        <v/>
      </c>
      <c r="Z401" s="187" t="str">
        <f>IF(OR($F401="",Y401=""),"",IFERROR(IF(Y401&gt;V401,MIN(Y401,T401)-V401,0),'תחום תמיכה ג'!$Q$2))</f>
        <v/>
      </c>
      <c r="AA401" s="259"/>
      <c r="AB401" s="260" t="str">
        <f t="shared" si="25"/>
        <v/>
      </c>
      <c r="AC401" s="262"/>
      <c r="AD401" s="180"/>
      <c r="AE401" s="13" t="str">
        <f>IF($C401="","",IFERROR(VLOOKUP($C401,גיליון1!$A:$E,2,0),"לא הגיש בקשה שוטפת"))</f>
        <v>ערבי תרבות</v>
      </c>
      <c r="AF401" s="13" t="str">
        <f>IF($C401="","",IFERROR(VLOOKUP($C401,גיליון1!$A:$E,3,0),"לא הגיש בקשה שוטפת"))</f>
        <v>מועד</v>
      </c>
      <c r="AG401" s="13" t="str">
        <f>IF($C401="","",IFERROR(VLOOKUP($C401,גיליון1!$A:$E,4,0),"לא הגיש בקשה שוטפת"))</f>
        <v>19-42-02-33</v>
      </c>
      <c r="AH401" s="13" t="str">
        <f>IF($C401="","",IFERROR(VLOOKUP($C401,גיליון1!$A:$E,5,0),"לא הגיש בקשה שוטפת"))</f>
        <v>תרבות ערבית ודרוזית</v>
      </c>
      <c r="AI401" s="13">
        <f t="shared" si="23"/>
        <v>0</v>
      </c>
      <c r="AK401" s="174" t="s">
        <v>250</v>
      </c>
    </row>
    <row r="402" spans="1:37" s="174" customFormat="1" x14ac:dyDescent="0.25">
      <c r="A402" s="54">
        <f>'הזנה לתנאי סף'!B402</f>
        <v>372</v>
      </c>
      <c r="B402" s="266">
        <f>IF($F402="","",'הזנה לתנאי סף'!C402)</f>
        <v>1001349542</v>
      </c>
      <c r="C402" s="266">
        <f>IF($F402="","",'הזנה לתנאי סף'!D402)</f>
        <v>1001268295</v>
      </c>
      <c r="D402" s="266">
        <f>IF($F402="","",'הזנה לתנאי סף'!E402)</f>
        <v>41343408</v>
      </c>
      <c r="E402" s="55">
        <f>IF($F402="","",'הזנה לתנאי סף'!F402)</f>
        <v>20000102</v>
      </c>
      <c r="F402" s="55" t="str">
        <f>IF('הזנה לתנאי סף'!BL402=1,'הזנה לתנאי סף'!G402,"")</f>
        <v>מעלות-תרשיחא</v>
      </c>
      <c r="G402" s="55" t="str">
        <f>IF($F402="","",'הזנה לתנאי סף'!H402)</f>
        <v>קול יוצר</v>
      </c>
      <c r="H402" s="55" t="str">
        <f>IF($F402="","",'הזנה לתנאי סף'!I402)</f>
        <v>אחר</v>
      </c>
      <c r="I402" s="187">
        <f>IF($F402="","",'הזנה לתנאי סף'!R402)</f>
        <v>196204</v>
      </c>
      <c r="J402" s="187">
        <f>IF($F402="","",'תחום תמיכה א'!P402)</f>
        <v>111929</v>
      </c>
      <c r="K402" s="177">
        <f>IF($F402="","",'הזנה לתנאי סף'!N402)</f>
        <v>0</v>
      </c>
      <c r="L402" s="177">
        <f>IF($F402="","",'הזנה לתנאי סף'!O402)</f>
        <v>1</v>
      </c>
      <c r="M402" s="177">
        <f>IF($F402="","",'הזנה לתנאי סף'!Q402)</f>
        <v>1</v>
      </c>
      <c r="N402" s="187">
        <f>IF($F402="","",'תחום תמיכה א'!AE402)</f>
        <v>1814.4758890895785</v>
      </c>
      <c r="O402" s="178"/>
      <c r="P402" s="187">
        <f>IF($F402="","",'תחום תמיכה ב'!AC402)</f>
        <v>2940.9148567132238</v>
      </c>
      <c r="Q402" s="187">
        <f>IF($F402="","",IF('תחום תמיכה ג'!O402="",0,'תחום תמיכה ג'!O402))</f>
        <v>0</v>
      </c>
      <c r="R402" s="187">
        <f t="shared" si="24"/>
        <v>88.183485632765951</v>
      </c>
      <c r="S402" s="187">
        <f>IF($F402="","",'תחום תמיכה ב'!AE402)</f>
        <v>3029.0983423459897</v>
      </c>
      <c r="T402" s="187">
        <f>IF($F402="","",IF(Q402='תחום תמיכה ג'!$Q$2,'תחום תמיכה ג'!$Q$2,IFERROR(SUMIF(N402:R402,"&gt;0"),'תחום תמיכה ג'!$Q$2)))</f>
        <v>4843.5742314355684</v>
      </c>
      <c r="U402" s="187">
        <f>IF($F402="","",'הזנה לתנאי סף'!Y402)</f>
        <v>120000</v>
      </c>
      <c r="V402" s="269">
        <f>IF(F402="","",'הגבלה לסכום מבוקש '!AA402)</f>
        <v>5348.0781853990811</v>
      </c>
      <c r="W402" s="187">
        <f t="shared" si="22"/>
        <v>1337.0195463497703</v>
      </c>
      <c r="X402" s="187">
        <f>IF(F402="","",'הזנה לתנאי סף'!Z402)</f>
        <v>50000</v>
      </c>
      <c r="Y402" s="237" t="str">
        <f>IFERROR(VLOOKUP(G402*1,#REF!,3,0),"")</f>
        <v/>
      </c>
      <c r="Z402" s="187" t="str">
        <f>IF(OR($F402="",Y402=""),"",IFERROR(IF(Y402&gt;V402,MIN(Y402,T402)-V402,0),'תחום תמיכה ג'!$Q$2))</f>
        <v/>
      </c>
      <c r="AA402" s="259"/>
      <c r="AB402" s="260" t="str">
        <f t="shared" si="25"/>
        <v/>
      </c>
      <c r="AC402" s="262"/>
      <c r="AD402" s="180"/>
      <c r="AE402" s="13" t="str">
        <f>IF($C402="","",IFERROR(VLOOKUP($C402,גיליון1!$A:$E,2,0),"לא הגיש בקשה שוטפת"))</f>
        <v>הרכבים מוסיקלים</v>
      </c>
      <c r="AF402" s="13" t="str">
        <f>IF($C402="","",IFERROR(VLOOKUP($C402,גיליון1!$A:$E,3,0),"לא הגיש בקשה שוטפת"))</f>
        <v>מועד</v>
      </c>
      <c r="AG402" s="13" t="str">
        <f>IF($C402="","",IFERROR(VLOOKUP($C402,גיליון1!$A:$E,4,0),"לא הגיש בקשה שוטפת"))</f>
        <v>19-42-02-31</v>
      </c>
      <c r="AH402" s="13" t="str">
        <f>IF($C402="","",IFERROR(VLOOKUP($C402,גיליון1!$A:$E,5,0),"לא הגיש בקשה שוטפת"))</f>
        <v>תרבות בקהילה תמיכה</v>
      </c>
      <c r="AI402" s="13">
        <f t="shared" si="23"/>
        <v>0</v>
      </c>
      <c r="AK402" s="174" t="s">
        <v>250</v>
      </c>
    </row>
    <row r="403" spans="1:37" s="174" customFormat="1" x14ac:dyDescent="0.25">
      <c r="A403" s="54">
        <f>'הזנה לתנאי סף'!B403</f>
        <v>373</v>
      </c>
      <c r="B403" s="266">
        <f>IF($F403="","",'הזנה לתנאי סף'!C403)</f>
        <v>1001349543</v>
      </c>
      <c r="C403" s="266">
        <f>IF($F403="","",'הזנה לתנאי סף'!D403)</f>
        <v>1001266976</v>
      </c>
      <c r="D403" s="266">
        <f>IF($F403="","",'הזנה לתנאי סף'!E403)</f>
        <v>41343408</v>
      </c>
      <c r="E403" s="55">
        <f>IF($F403="","",'הזנה לתנאי סף'!F403)</f>
        <v>20000102</v>
      </c>
      <c r="F403" s="55" t="str">
        <f>IF('הזנה לתנאי סף'!BL403=1,'הזנה לתנאי סף'!G403,"")</f>
        <v>מעלות-תרשיחא</v>
      </c>
      <c r="G403" s="55" t="str">
        <f>IF($F403="","",'הזנה לתנאי סף'!H403)</f>
        <v>קול יוצר</v>
      </c>
      <c r="H403" s="55" t="str">
        <f>IF($F403="","",'הזנה לתנאי סף'!I403)</f>
        <v>אחר</v>
      </c>
      <c r="I403" s="187">
        <f>IF($F403="","",'הזנה לתנאי סף'!R403)</f>
        <v>239385</v>
      </c>
      <c r="J403" s="187">
        <f>IF($F403="","",'תחום תמיכה א'!P403)</f>
        <v>172241</v>
      </c>
      <c r="K403" s="177">
        <f>IF($F403="","",'הזנה לתנאי סף'!N403)</f>
        <v>0</v>
      </c>
      <c r="L403" s="177">
        <f>IF($F403="","",'הזנה לתנאי סף'!O403)</f>
        <v>1</v>
      </c>
      <c r="M403" s="177">
        <f>IF($F403="","",'הזנה לתנאי סף'!Q403)</f>
        <v>1</v>
      </c>
      <c r="N403" s="187">
        <f>IF($F403="","",'תחום תמיכה א'!AE403)</f>
        <v>2751.1488813696624</v>
      </c>
      <c r="O403" s="178"/>
      <c r="P403" s="187">
        <f>IF($F403="","",'תחום תמיכה ב'!AC403)</f>
        <v>3483.4492063551897</v>
      </c>
      <c r="Q403" s="187">
        <f>IF($F403="","",IF('תחום תמיכה ג'!O403="",0,'תחום תמיכה ג'!O403))</f>
        <v>0</v>
      </c>
      <c r="R403" s="187">
        <f t="shared" si="24"/>
        <v>104.45140645261699</v>
      </c>
      <c r="S403" s="187">
        <f>IF($F403="","",'תחום תמיכה ב'!AE403)</f>
        <v>3587.9006128078067</v>
      </c>
      <c r="T403" s="187">
        <f>IF($F403="","",IF(Q403='תחום תמיכה ג'!$Q$2,'תחום תמיכה ג'!$Q$2,IFERROR(SUMIF(N403:R403,"&gt;0"),'תחום תמיכה ג'!$Q$2)))</f>
        <v>6339.0494941774687</v>
      </c>
      <c r="U403" s="187">
        <f>IF($F403="","",'הזנה לתנאי סף'!Y403)</f>
        <v>120000</v>
      </c>
      <c r="V403" s="269">
        <f>IF(F403="","",'הגבלה לסכום מבוקש '!AA403)</f>
        <v>6936.8974530075975</v>
      </c>
      <c r="W403" s="187">
        <f t="shared" si="22"/>
        <v>1734.2243632518994</v>
      </c>
      <c r="X403" s="187">
        <f>IF(F403="","",'הזנה לתנאי סף'!Z403)</f>
        <v>50000</v>
      </c>
      <c r="Y403" s="237" t="str">
        <f>IFERROR(VLOOKUP(G403*1,#REF!,3,0),"")</f>
        <v/>
      </c>
      <c r="Z403" s="187" t="str">
        <f>IF(OR($F403="",Y403=""),"",IFERROR(IF(Y403&gt;V403,MIN(Y403,T403)-V403,0),'תחום תמיכה ג'!$Q$2))</f>
        <v/>
      </c>
      <c r="AA403" s="259"/>
      <c r="AB403" s="260" t="str">
        <f t="shared" si="25"/>
        <v/>
      </c>
      <c r="AC403" s="262"/>
      <c r="AD403" s="180"/>
      <c r="AE403" s="13" t="str">
        <f>IF($C403="","",IFERROR(VLOOKUP($C403,גיליון1!$A:$E,2,0),"לא הגיש בקשה שוטפת"))</f>
        <v>אנסמבל קול יוצר</v>
      </c>
      <c r="AF403" s="13" t="str">
        <f>IF($C403="","",IFERROR(VLOOKUP($C403,גיליון1!$A:$E,3,0),"לא הגיש בקשה שוטפת"))</f>
        <v>מועד</v>
      </c>
      <c r="AG403" s="13" t="str">
        <f>IF($C403="","",IFERROR(VLOOKUP($C403,גיליון1!$A:$E,4,0),"לא הגיש בקשה שוטפת"))</f>
        <v>19-42-02-31</v>
      </c>
      <c r="AH403" s="13" t="str">
        <f>IF($C403="","",IFERROR(VLOOKUP($C403,גיליון1!$A:$E,5,0),"לא הגיש בקשה שוטפת"))</f>
        <v>תרבות בקהילה תמיכה</v>
      </c>
      <c r="AI403" s="13">
        <f t="shared" si="23"/>
        <v>0</v>
      </c>
      <c r="AK403" s="174" t="s">
        <v>250</v>
      </c>
    </row>
    <row r="404" spans="1:37" s="174" customFormat="1" x14ac:dyDescent="0.25">
      <c r="A404" s="54">
        <f>'הזנה לתנאי סף'!B404</f>
        <v>374</v>
      </c>
      <c r="B404" s="266">
        <f>IF($F404="","",'הזנה לתנאי סף'!C404)</f>
        <v>1001349835</v>
      </c>
      <c r="C404" s="266">
        <f>IF($F404="","",'הזנה לתנאי סף'!D404)</f>
        <v>1001272254</v>
      </c>
      <c r="D404" s="266">
        <f>IF($F404="","",'הזנה לתנאי סף'!E404)</f>
        <v>40299606</v>
      </c>
      <c r="E404" s="55">
        <f>IF($F404="","",'הזנה לתנאי סף'!F404)</f>
        <v>20000125</v>
      </c>
      <c r="F404" s="55" t="str">
        <f>IF('הזנה לתנאי סף'!BL404=1,'הזנה לתנאי סף'!G404,"")</f>
        <v>חצור הגלילית</v>
      </c>
      <c r="G404" s="55" t="str">
        <f>IF($F404="","",'הזנה לתנאי סף'!H404)</f>
        <v>אורות הגליל</v>
      </c>
      <c r="H404" s="55" t="str">
        <f>IF($F404="","",'הזנה לתנאי סף'!I404)</f>
        <v>אחר</v>
      </c>
      <c r="I404" s="187">
        <f>IF($F404="","",'הזנה לתנאי סף'!R404)</f>
        <v>1246200</v>
      </c>
      <c r="J404" s="187">
        <f>IF($F404="","",'תחום תמיכה א'!P404)</f>
        <v>1180860</v>
      </c>
      <c r="K404" s="177">
        <f>IF($F404="","",'הזנה לתנאי סף'!N404)</f>
        <v>0</v>
      </c>
      <c r="L404" s="177">
        <f>IF($F404="","",'הזנה לתנאי סף'!O404)</f>
        <v>1</v>
      </c>
      <c r="M404" s="177">
        <f>IF($F404="","",'הזנה לתנאי סף'!Q404)</f>
        <v>1</v>
      </c>
      <c r="N404" s="187">
        <f>IF($F404="","",'תחום תמיכה א'!AE404)</f>
        <v>34958.251124599985</v>
      </c>
      <c r="O404" s="178"/>
      <c r="P404" s="187">
        <f>IF($F404="","",'תחום תמיכה ב'!AC404)</f>
        <v>62054.049270026539</v>
      </c>
      <c r="Q404" s="187">
        <f>IF($F404="","",IF('תחום תמיכה ג'!O404="",0,'תחום תמיכה ג'!O404))</f>
        <v>0</v>
      </c>
      <c r="R404" s="187">
        <f t="shared" si="24"/>
        <v>1860.6939095047564</v>
      </c>
      <c r="S404" s="187">
        <f>IF($F404="","",'תחום תמיכה ב'!AE404)</f>
        <v>63914.743179531295</v>
      </c>
      <c r="T404" s="187">
        <f>IF($F404="","",IF(Q404='תחום תמיכה ג'!$Q$2,'תחום תמיכה ג'!$Q$2,IFERROR(SUMIF(N404:R404,"&gt;0"),'תחום תמיכה ג'!$Q$2)))</f>
        <v>98872.99430413128</v>
      </c>
      <c r="U404" s="187">
        <f>IF($F404="","",'הזנה לתנאי סף'!Y404)</f>
        <v>437670</v>
      </c>
      <c r="V404" s="269">
        <f>IF(F404="","",'הגבלה לסכום מבוקש '!AA404)</f>
        <v>109516.64050402759</v>
      </c>
      <c r="W404" s="187">
        <f t="shared" si="22"/>
        <v>27379.160126006896</v>
      </c>
      <c r="X404" s="187">
        <f>IF(F404="","",'הזנה לתנאי סף'!Z404)</f>
        <v>250000</v>
      </c>
      <c r="Y404" s="237" t="str">
        <f>IFERROR(VLOOKUP(G404*1,#REF!,3,0),"")</f>
        <v/>
      </c>
      <c r="Z404" s="187" t="str">
        <f>IF(OR($F404="",Y404=""),"",IFERROR(IF(Y404&gt;V404,MIN(Y404,T404)-V404,0),'תחום תמיכה ג'!$Q$2))</f>
        <v/>
      </c>
      <c r="AA404" s="259"/>
      <c r="AB404" s="260" t="str">
        <f t="shared" si="25"/>
        <v/>
      </c>
      <c r="AC404" s="262"/>
      <c r="AD404" s="180"/>
      <c r="AE404" s="13" t="str">
        <f>IF($C404="","",IFERROR(VLOOKUP($C404,גיליון1!$A:$E,2,0),"לא הגיש בקשה שוטפת"))</f>
        <v>פעילות מורשת עדות ישראל 2020</v>
      </c>
      <c r="AF404" s="13" t="str">
        <f>IF($C404="","",IFERROR(VLOOKUP($C404,גיליון1!$A:$E,3,0),"לא הגיש בקשה שוטפת"))</f>
        <v>מועד</v>
      </c>
      <c r="AG404" s="13" t="str">
        <f>IF($C404="","",IFERROR(VLOOKUP($C404,גיליון1!$A:$E,4,0),"לא הגיש בקשה שוטפת"))</f>
        <v>19-42-02-14</v>
      </c>
      <c r="AH404" s="13" t="str">
        <f>IF($C404="","",IFERROR(VLOOKUP($C404,גיליון1!$A:$E,5,0),"לא הגיש בקשה שוטפת"))</f>
        <v>מחקר מורשת ואיגודים</v>
      </c>
      <c r="AI404" s="13">
        <f t="shared" si="23"/>
        <v>0</v>
      </c>
      <c r="AK404" s="174" t="s">
        <v>250</v>
      </c>
    </row>
    <row r="405" spans="1:37" s="174" customFormat="1" ht="29.25" x14ac:dyDescent="0.25">
      <c r="A405" s="54">
        <f>'הזנה לתנאי סף'!B405</f>
        <v>375</v>
      </c>
      <c r="B405" s="266">
        <f>IF($F405="","",'הזנה לתנאי סף'!C405)</f>
        <v>1001348945</v>
      </c>
      <c r="C405" s="266">
        <f>IF($F405="","",'הזנה לתנאי סף'!D405)</f>
        <v>1001280733</v>
      </c>
      <c r="D405" s="266">
        <f>IF($F405="","",'הזנה לתנאי סף'!E405)</f>
        <v>41349383</v>
      </c>
      <c r="E405" s="55">
        <f>IF($F405="","",'הזנה לתנאי סף'!F405)</f>
        <v>20000231</v>
      </c>
      <c r="F405" s="55" t="str">
        <f>IF('הזנה לתנאי סף'!BL405=1,'הזנה לתנאי סף'!G405,"")</f>
        <v>נצרת</v>
      </c>
      <c r="G405" s="55" t="str">
        <f>IF($F405="","",'הזנה לתנאי סף'!H405)</f>
        <v>יאללא</v>
      </c>
      <c r="H405" s="55" t="str">
        <f>IF($F405="","",'הזנה לתנאי סף'!I405)</f>
        <v>תיאטרון</v>
      </c>
      <c r="I405" s="187">
        <f>IF($F405="","",'הזנה לתנאי סף'!R405)</f>
        <v>280406</v>
      </c>
      <c r="J405" s="187">
        <f>IF($F405="","",'תחום תמיכה א'!P405)</f>
        <v>299573</v>
      </c>
      <c r="K405" s="177">
        <f>IF($F405="","",'הזנה לתנאי סף'!N405)</f>
        <v>0</v>
      </c>
      <c r="L405" s="177">
        <f>IF($F405="","",'הזנה לתנאי סף'!O405)</f>
        <v>1</v>
      </c>
      <c r="M405" s="177">
        <f>IF($F405="","",'הזנה לתנאי סף'!Q405)</f>
        <v>1</v>
      </c>
      <c r="N405" s="187">
        <f>IF($F405="","",'תחום תמיכה א'!AE405)</f>
        <v>9373.3708405613033</v>
      </c>
      <c r="O405" s="178"/>
      <c r="P405" s="187">
        <f>IF($F405="","",'תחום תמיכה ב'!AC405)</f>
        <v>15657.809405431421</v>
      </c>
      <c r="Q405" s="187">
        <f>IF($F405="","",IF('תחום תמיכה ג'!O405="",0,'תחום תמיכה ג'!O405))</f>
        <v>0</v>
      </c>
      <c r="R405" s="187">
        <f t="shared" si="24"/>
        <v>469.50023309671451</v>
      </c>
      <c r="S405" s="187">
        <f>IF($F405="","",'תחום תמיכה ב'!AE405)</f>
        <v>16127.309638528135</v>
      </c>
      <c r="T405" s="187">
        <f>IF($F405="","",IF(Q405='תחום תמיכה ג'!$Q$2,'תחום תמיכה ג'!$Q$2,IFERROR(SUMIF(N405:R405,"&gt;0"),'תחום תמיכה ג'!$Q$2)))</f>
        <v>25500.680479089438</v>
      </c>
      <c r="U405" s="187">
        <f>IF($F405="","",'הזנה לתנאי סף'!Y405)</f>
        <v>300000</v>
      </c>
      <c r="V405" s="269">
        <f>IF(F405="","",'הגבלה לסכום מבוקש '!AA405)</f>
        <v>28186.593757125433</v>
      </c>
      <c r="W405" s="187">
        <f t="shared" si="22"/>
        <v>7046.6484392813582</v>
      </c>
      <c r="X405" s="187">
        <f>IF(F405="","",'הזנה לתנאי סף'!Z405)</f>
        <v>180000</v>
      </c>
      <c r="Y405" s="237" t="str">
        <f>IFERROR(VLOOKUP(G405*1,#REF!,3,0),"")</f>
        <v/>
      </c>
      <c r="Z405" s="187" t="str">
        <f>IF(OR($F405="",Y405=""),"",IFERROR(IF(Y405&gt;V405,MIN(Y405,T405)-V405,0),'תחום תמיכה ג'!$Q$2))</f>
        <v/>
      </c>
      <c r="AA405" s="259"/>
      <c r="AB405" s="260" t="str">
        <f t="shared" si="25"/>
        <v/>
      </c>
      <c r="AC405" s="262"/>
      <c r="AD405" s="180"/>
      <c r="AE405" s="13" t="str">
        <f>IF($C405="","",IFERROR(VLOOKUP($C405,גיליון1!$A:$E,2,0),"לא הגיש בקשה שוטפת"))</f>
        <v>הפקת מופעים ופרוייקטים חדשים לשנת 2020</v>
      </c>
      <c r="AF405" s="13" t="str">
        <f>IF($C405="","",IFERROR(VLOOKUP($C405,גיליון1!$A:$E,3,0),"לא הגיש בקשה שוטפת"))</f>
        <v>מועד</v>
      </c>
      <c r="AG405" s="13" t="str">
        <f>IF($C405="","",IFERROR(VLOOKUP($C405,גיליון1!$A:$E,4,0),"לא הגיש בקשה שוטפת"))</f>
        <v>19-42-02-33</v>
      </c>
      <c r="AH405" s="13" t="str">
        <f>IF($C405="","",IFERROR(VLOOKUP($C405,גיליון1!$A:$E,5,0),"לא הגיש בקשה שוטפת"))</f>
        <v>תרבות ערבית ודרוזית</v>
      </c>
      <c r="AI405" s="13">
        <f t="shared" si="23"/>
        <v>0</v>
      </c>
      <c r="AK405" s="174" t="s">
        <v>250</v>
      </c>
    </row>
    <row r="406" spans="1:37" s="174" customFormat="1" ht="72" x14ac:dyDescent="0.25">
      <c r="A406" s="54">
        <f>'הזנה לתנאי סף'!B406</f>
        <v>376</v>
      </c>
      <c r="B406" s="266">
        <f>IF($F406="","",'הזנה לתנאי סף'!C406)</f>
        <v>1001348078</v>
      </c>
      <c r="C406" s="266">
        <f>IF($F406="","",'הזנה לתנאי סף'!D406)</f>
        <v>1001302078</v>
      </c>
      <c r="D406" s="266">
        <f>IF($F406="","",'הזנה לתנאי סף'!E406)</f>
        <v>40472081</v>
      </c>
      <c r="E406" s="55">
        <f>IF($F406="","",'הזנה לתנאי סף'!F406)</f>
        <v>20000242</v>
      </c>
      <c r="F406" s="55" t="str">
        <f>IF('הזנה לתנאי סף'!BL406=1,'הזנה לתנאי סף'!G406,"")</f>
        <v>פרדס חנה-כרכור</v>
      </c>
      <c r="G406" s="55" t="str">
        <f>IF($F406="","",'הזנה לתנאי סף'!H406)</f>
        <v>הידית - מרכז ליצירה תיאטרונית אלטרנ</v>
      </c>
      <c r="H406" s="55" t="str">
        <f>IF($F406="","",'הזנה לתנאי סף'!I406)</f>
        <v>תיאטרון</v>
      </c>
      <c r="I406" s="187">
        <f>IF($F406="","",'הזנה לתנאי סף'!R406)</f>
        <v>1200599</v>
      </c>
      <c r="J406" s="187">
        <f>IF($F406="","",'תחום תמיכה א'!P406)</f>
        <v>1330731</v>
      </c>
      <c r="K406" s="177">
        <f>IF($F406="","",'הזנה לתנאי סף'!N406)</f>
        <v>0</v>
      </c>
      <c r="L406" s="177">
        <f>IF($F406="","",'הזנה לתנאי סף'!O406)</f>
        <v>1</v>
      </c>
      <c r="M406" s="177">
        <f>IF($F406="","",'הזנה לתנאי סף'!Q406)</f>
        <v>1</v>
      </c>
      <c r="N406" s="187">
        <f>IF($F406="","",'תחום תמיכה א'!AE406)</f>
        <v>18704.780292040417</v>
      </c>
      <c r="O406" s="178"/>
      <c r="P406" s="187">
        <f>IF($F406="","",'תחום תמיכה ב'!AC406)</f>
        <v>13529.44838214437</v>
      </c>
      <c r="Q406" s="187">
        <f>IF($F406="","",IF('תחום תמיכה ג'!O406="",0,'תחום תמיכה ג'!O406))</f>
        <v>0</v>
      </c>
      <c r="R406" s="187">
        <f t="shared" si="24"/>
        <v>405.6812166128002</v>
      </c>
      <c r="S406" s="187">
        <f>IF($F406="","",'תחום תמיכה ב'!AE406)</f>
        <v>13935.12959875717</v>
      </c>
      <c r="T406" s="187">
        <f>IF($F406="","",IF(Q406='תחום תמיכה ג'!$Q$2,'תחום תמיכה ג'!$Q$2,IFERROR(SUMIF(N406:R406,"&gt;0"),'תחום תמיכה ג'!$Q$2)))</f>
        <v>32639.909890797586</v>
      </c>
      <c r="U406" s="187">
        <f>IF($F406="","",'הזנה לתנאי סף'!Y406)</f>
        <v>300000</v>
      </c>
      <c r="V406" s="269">
        <f>IF(F406="","",'הגבלה לסכום מבוקש '!AA406)</f>
        <v>34965.556813557771</v>
      </c>
      <c r="W406" s="187">
        <f t="shared" si="22"/>
        <v>8741.3892033894426</v>
      </c>
      <c r="X406" s="187">
        <f>IF(F406="","",'הזנה לתנאי סף'!Z406)</f>
        <v>1</v>
      </c>
      <c r="Y406" s="237" t="str">
        <f>IFERROR(VLOOKUP(G406*1,#REF!,3,0),"")</f>
        <v/>
      </c>
      <c r="Z406" s="187" t="str">
        <f>IF(OR($F406="",Y406=""),"",IFERROR(IF(Y406&gt;V406,MIN(Y406,T406)-V406,0),'תחום תמיכה ג'!$Q$2))</f>
        <v/>
      </c>
      <c r="AA406" s="259"/>
      <c r="AB406" s="260" t="str">
        <f t="shared" si="25"/>
        <v/>
      </c>
      <c r="AC406" s="262"/>
      <c r="AD406" s="180"/>
      <c r="AE406" s="13" t="str">
        <f>IF($C406="","",IFERROR(VLOOKUP($C406,גיליון1!$A:$E,2,0),"לא הגיש בקשה שוטפת"))</f>
        <v>בקשת תמיכה לאנסמבל הידית</v>
      </c>
      <c r="AF406" s="13" t="str">
        <f>IF($C406="","",IFERROR(VLOOKUP($C406,גיליון1!$A:$E,3,0),"לא הגיש בקשה שוטפת"))</f>
        <v>מועד</v>
      </c>
      <c r="AG406" s="13" t="str">
        <f>IF($C406="","",IFERROR(VLOOKUP($C406,גיליון1!$A:$E,4,0),"לא הגיש בקשה שוטפת"))</f>
        <v>19-42-02-07</v>
      </c>
      <c r="AH406" s="13" t="str">
        <f>IF($C406="","",IFERROR(VLOOKUP($C406,גיליון1!$A:$E,5,0),"לא הגיש בקשה שוטפת"))</f>
        <v>תיאטרון</v>
      </c>
      <c r="AI406" s="13">
        <f t="shared" si="23"/>
        <v>0</v>
      </c>
      <c r="AK406" s="174" t="s">
        <v>250</v>
      </c>
    </row>
    <row r="407" spans="1:37" s="174" customFormat="1" ht="29.25" x14ac:dyDescent="0.25">
      <c r="A407" s="54">
        <f>'הזנה לתנאי סף'!B407</f>
        <v>377</v>
      </c>
      <c r="B407" s="266">
        <f>IF($F407="","",'הזנה לתנאי סף'!C407)</f>
        <v>1001350994</v>
      </c>
      <c r="C407" s="266">
        <f>IF($F407="","",'הזנה לתנאי סף'!D407)</f>
        <v>1001268790</v>
      </c>
      <c r="D407" s="266">
        <f>IF($F407="","",'הזנה לתנאי סף'!E407)</f>
        <v>40000023</v>
      </c>
      <c r="E407" s="55">
        <f>IF($F407="","",'הזנה לתנאי סף'!F407)</f>
        <v>20000201</v>
      </c>
      <c r="F407" s="55" t="str">
        <f>IF('הזנה לתנאי סף'!BL407=1,'הזנה לתנאי סף'!G407,"")</f>
        <v>תל אביב -יפו</v>
      </c>
      <c r="G407" s="55" t="str">
        <f>IF($F407="","",'הזנה לתנאי סף'!H407)</f>
        <v>קרן מוזיאון רובין</v>
      </c>
      <c r="H407" s="55" t="str">
        <f>IF($F407="","",'הזנה לתנאי סף'!I407)</f>
        <v>מוזיאונים</v>
      </c>
      <c r="I407" s="187">
        <f>IF($F407="","",'הזנה לתנאי סף'!R407)</f>
        <v>1721357</v>
      </c>
      <c r="J407" s="187">
        <f>IF($F407="","",'תחום תמיכה א'!P407)</f>
        <v>1447790</v>
      </c>
      <c r="K407" s="177">
        <f>IF($F407="","",'הזנה לתנאי סף'!N407)</f>
        <v>1</v>
      </c>
      <c r="L407" s="177">
        <f>IF($F407="","",'הזנה לתנאי סף'!O407)</f>
        <v>1</v>
      </c>
      <c r="M407" s="177">
        <f>IF($F407="","",'הזנה לתנאי סף'!Q407)</f>
        <v>1</v>
      </c>
      <c r="N407" s="187">
        <f>IF($F407="","",'תחום תמיכה א'!AE407)</f>
        <v>39557.129847934099</v>
      </c>
      <c r="O407" s="178"/>
      <c r="P407" s="187">
        <f>IF($F407="","",'תחום תמיכה ב'!AC407)</f>
        <v>73293.724081892273</v>
      </c>
      <c r="Q407" s="187">
        <f>IF($F407="","",IF('תחום תמיכה ג'!O407="",0,'תחום תמיכה ג'!O407))</f>
        <v>30735.193232178735</v>
      </c>
      <c r="R407" s="187">
        <f t="shared" si="24"/>
        <v>2197.7161459787603</v>
      </c>
      <c r="S407" s="187">
        <f>IF($F407="","",'תחום תמיכה ב'!AE407)</f>
        <v>75491.440227871033</v>
      </c>
      <c r="T407" s="187">
        <f>IF($F407="","",IF(Q407='תחום תמיכה ג'!$Q$2,'תחום תמיכה ג'!$Q$2,IFERROR(SUMIF(N407:R407,"&gt;0"),'תחום תמיכה ג'!$Q$2)))</f>
        <v>145783.76330798387</v>
      </c>
      <c r="U407" s="187">
        <f>IF($F407="","",'הזנה לתנאי סף'!Y407)</f>
        <v>400000</v>
      </c>
      <c r="V407" s="269">
        <f>IF(F407="","",'הגבלה לסכום מבוקש '!AA407)</f>
        <v>158368.46856467289</v>
      </c>
      <c r="W407" s="187">
        <f t="shared" si="22"/>
        <v>39592.117141168223</v>
      </c>
      <c r="X407" s="187">
        <f>IF(F407="","",'הזנה לתנאי סף'!Z407)</f>
        <v>400000</v>
      </c>
      <c r="Y407" s="237" t="str">
        <f>IFERROR(VLOOKUP(G407*1,#REF!,3,0),"")</f>
        <v/>
      </c>
      <c r="Z407" s="187" t="str">
        <f>IF(OR($F407="",Y407=""),"",IFERROR(IF(Y407&gt;V407,MIN(Y407,T407)-V407,0),'תחום תמיכה ג'!$Q$2))</f>
        <v/>
      </c>
      <c r="AA407" s="259"/>
      <c r="AB407" s="260" t="str">
        <f t="shared" si="25"/>
        <v/>
      </c>
      <c r="AC407" s="262"/>
      <c r="AD407" s="180"/>
      <c r="AE407" s="13" t="str">
        <f>IF($C407="","",IFERROR(VLOOKUP($C407,גיליון1!$A:$E,2,0),"לא הגיש בקשה שוטפת"))</f>
        <v>תמיכה שוטפת במוזיאון בית ראובן לשנת 2020</v>
      </c>
      <c r="AF407" s="13" t="str">
        <f>IF($C407="","",IFERROR(VLOOKUP($C407,גיליון1!$A:$E,3,0),"לא הגיש בקשה שוטפת"))</f>
        <v>חויב</v>
      </c>
      <c r="AG407" s="13" t="str">
        <f>IF($C407="","",IFERROR(VLOOKUP($C407,גיליון1!$A:$E,4,0),"לא הגיש בקשה שוטפת"))</f>
        <v>19-42-02-18</v>
      </c>
      <c r="AH407" s="13" t="str">
        <f>IF($C407="","",IFERROR(VLOOKUP($C407,גיליון1!$A:$E,5,0),"לא הגיש בקשה שוטפת"))</f>
        <v>מוזיאונים ואמנות פלס</v>
      </c>
      <c r="AI407" s="13">
        <f t="shared" si="23"/>
        <v>0</v>
      </c>
      <c r="AK407" s="174" t="s">
        <v>250</v>
      </c>
    </row>
    <row r="408" spans="1:37" s="174" customFormat="1" x14ac:dyDescent="0.25">
      <c r="A408" s="54" t="str">
        <f>'הזנה לתנאי סף'!B408</f>
        <v/>
      </c>
      <c r="B408" s="266" t="str">
        <f>IF($F408="","",'הזנה לתנאי סף'!C408)</f>
        <v/>
      </c>
      <c r="C408" s="266" t="str">
        <f>IF($F408="","",'הזנה לתנאי סף'!D408)</f>
        <v/>
      </c>
      <c r="D408" s="266" t="str">
        <f>IF($F408="","",'הזנה לתנאי סף'!E408)</f>
        <v/>
      </c>
      <c r="E408" s="55" t="str">
        <f>IF($F408="","",'הזנה לתנאי סף'!F408)</f>
        <v/>
      </c>
      <c r="F408" s="55" t="str">
        <f>IF('הזנה לתנאי סף'!BL408=1,'הזנה לתנאי סף'!G408,"")</f>
        <v/>
      </c>
      <c r="G408" s="55" t="str">
        <f>IF($F408="","",'הזנה לתנאי סף'!H408)</f>
        <v/>
      </c>
      <c r="H408" s="55" t="str">
        <f>IF($F408="","",'הזנה לתנאי סף'!I408)</f>
        <v/>
      </c>
      <c r="I408" s="187" t="str">
        <f>IF($F408="","",'הזנה לתנאי סף'!R408)</f>
        <v/>
      </c>
      <c r="J408" s="187" t="str">
        <f>IF($F408="","",'תחום תמיכה א'!P408)</f>
        <v/>
      </c>
      <c r="K408" s="177" t="str">
        <f>IF($F408="","",'הזנה לתנאי סף'!N408)</f>
        <v/>
      </c>
      <c r="L408" s="177" t="str">
        <f>IF($F408="","",'הזנה לתנאי סף'!O408)</f>
        <v/>
      </c>
      <c r="M408" s="177" t="str">
        <f>IF($F408="","",'הזנה לתנאי סף'!Q408)</f>
        <v/>
      </c>
      <c r="N408" s="187" t="str">
        <f>IF($F408="","",'תחום תמיכה א'!AE408)</f>
        <v/>
      </c>
      <c r="O408" s="178"/>
      <c r="P408" s="187" t="str">
        <f>IF($F408="","",'תחום תמיכה ב'!AC408)</f>
        <v/>
      </c>
      <c r="Q408" s="187" t="str">
        <f>IF($F408="","",IF('תחום תמיכה ג'!O408="",0,'תחום תמיכה ג'!O408))</f>
        <v/>
      </c>
      <c r="R408" s="187" t="str">
        <f t="shared" si="24"/>
        <v/>
      </c>
      <c r="S408" s="187" t="str">
        <f>IF($F408="","",'תחום תמיכה ב'!AE408)</f>
        <v/>
      </c>
      <c r="T408" s="187" t="str">
        <f>IF($F408="","",IF(Q408='תחום תמיכה ג'!$Q$2,'תחום תמיכה ג'!$Q$2,IFERROR(SUMIF(N408:R408,"&gt;0"),'תחום תמיכה ג'!$Q$2)))</f>
        <v/>
      </c>
      <c r="U408" s="187" t="str">
        <f>IF($F408="","",'הזנה לתנאי סף'!Y408)</f>
        <v/>
      </c>
      <c r="V408" s="269" t="str">
        <f>IF(F408="","",'הגבלה לסכום מבוקש '!AA408)</f>
        <v/>
      </c>
      <c r="W408" s="187" t="str">
        <f t="shared" si="22"/>
        <v/>
      </c>
      <c r="X408" s="187" t="str">
        <f>IF(F408="","",'הזנה לתנאי סף'!Z408)</f>
        <v/>
      </c>
      <c r="Y408" s="237" t="str">
        <f>IFERROR(VLOOKUP(G408*1,#REF!,3,0),"")</f>
        <v/>
      </c>
      <c r="Z408" s="187" t="str">
        <f>IF(OR($F408="",Y408=""),"",IFERROR(IF(Y408&gt;V408,MIN(Y408,T408)-V408,0),'תחום תמיכה ג'!$Q$2))</f>
        <v/>
      </c>
      <c r="AA408" s="259"/>
      <c r="AB408" s="260" t="str">
        <f t="shared" si="25"/>
        <v/>
      </c>
      <c r="AC408" s="262"/>
      <c r="AD408" s="180"/>
      <c r="AE408" s="13" t="str">
        <f>IF($C408="","",IFERROR(VLOOKUP($C408,גיליון1!$A:$E,2,0),"לא הגיש בקשה שוטפת"))</f>
        <v/>
      </c>
      <c r="AF408" s="13" t="str">
        <f>IF($C408="","",IFERROR(VLOOKUP($C408,גיליון1!$A:$E,3,0),"לא הגיש בקשה שוטפת"))</f>
        <v/>
      </c>
      <c r="AG408" s="13" t="str">
        <f>IF($C408="","",IFERROR(VLOOKUP($C408,גיליון1!$A:$E,4,0),"לא הגיש בקשה שוטפת"))</f>
        <v/>
      </c>
      <c r="AH408" s="13" t="str">
        <f>IF($C408="","",IFERROR(VLOOKUP($C408,גיליון1!$A:$E,5,0),"לא הגיש בקשה שוטפת"))</f>
        <v/>
      </c>
      <c r="AI408" s="13">
        <f t="shared" si="23"/>
        <v>0</v>
      </c>
      <c r="AK408" s="174" t="s">
        <v>250</v>
      </c>
    </row>
    <row r="409" spans="1:37" s="174" customFormat="1" x14ac:dyDescent="0.25">
      <c r="A409" s="54" t="str">
        <f>'הזנה לתנאי סף'!B409</f>
        <v/>
      </c>
      <c r="B409" s="266" t="str">
        <f>IF($F409="","",'הזנה לתנאי סף'!C409)</f>
        <v/>
      </c>
      <c r="C409" s="266" t="str">
        <f>IF($F409="","",'הזנה לתנאי סף'!D409)</f>
        <v/>
      </c>
      <c r="D409" s="266" t="str">
        <f>IF($F409="","",'הזנה לתנאי סף'!E409)</f>
        <v/>
      </c>
      <c r="E409" s="55" t="str">
        <f>IF($F409="","",'הזנה לתנאי סף'!F409)</f>
        <v/>
      </c>
      <c r="F409" s="55" t="str">
        <f>IF('הזנה לתנאי סף'!BL409=1,'הזנה לתנאי סף'!G409,"")</f>
        <v/>
      </c>
      <c r="G409" s="55" t="str">
        <f>IF($F409="","",'הזנה לתנאי סף'!H409)</f>
        <v/>
      </c>
      <c r="H409" s="55" t="str">
        <f>IF($F409="","",'הזנה לתנאי סף'!I409)</f>
        <v/>
      </c>
      <c r="I409" s="187" t="str">
        <f>IF($F409="","",'הזנה לתנאי סף'!R409)</f>
        <v/>
      </c>
      <c r="J409" s="187" t="str">
        <f>IF($F409="","",'תחום תמיכה א'!P409)</f>
        <v/>
      </c>
      <c r="K409" s="177" t="str">
        <f>IF($F409="","",'הזנה לתנאי סף'!N409)</f>
        <v/>
      </c>
      <c r="L409" s="177" t="str">
        <f>IF($F409="","",'הזנה לתנאי סף'!O409)</f>
        <v/>
      </c>
      <c r="M409" s="177" t="str">
        <f>IF($F409="","",'הזנה לתנאי סף'!Q409)</f>
        <v/>
      </c>
      <c r="N409" s="187" t="str">
        <f>IF($F409="","",'תחום תמיכה א'!AE409)</f>
        <v/>
      </c>
      <c r="O409" s="178"/>
      <c r="P409" s="187" t="str">
        <f>IF($F409="","",'תחום תמיכה ב'!AC409)</f>
        <v/>
      </c>
      <c r="Q409" s="187" t="str">
        <f>IF($F409="","",IF('תחום תמיכה ג'!O409="",0,'תחום תמיכה ג'!O409))</f>
        <v/>
      </c>
      <c r="R409" s="187" t="str">
        <f t="shared" si="24"/>
        <v/>
      </c>
      <c r="S409" s="187" t="str">
        <f>IF($F409="","",'תחום תמיכה ב'!AE409)</f>
        <v/>
      </c>
      <c r="T409" s="187" t="str">
        <f>IF($F409="","",IF(Q409='תחום תמיכה ג'!$Q$2,'תחום תמיכה ג'!$Q$2,IFERROR(SUMIF(N409:R409,"&gt;0"),'תחום תמיכה ג'!$Q$2)))</f>
        <v/>
      </c>
      <c r="U409" s="187" t="str">
        <f>IF($F409="","",'הזנה לתנאי סף'!Y409)</f>
        <v/>
      </c>
      <c r="V409" s="269" t="str">
        <f>IF(F409="","",'הגבלה לסכום מבוקש '!AA409)</f>
        <v/>
      </c>
      <c r="W409" s="187" t="str">
        <f t="shared" si="22"/>
        <v/>
      </c>
      <c r="X409" s="187" t="str">
        <f>IF(F409="","",'הזנה לתנאי סף'!Z409)</f>
        <v/>
      </c>
      <c r="Y409" s="237" t="str">
        <f>IFERROR(VLOOKUP(G409*1,#REF!,3,0),"")</f>
        <v/>
      </c>
      <c r="Z409" s="187" t="str">
        <f>IF(OR($F409="",Y409=""),"",IFERROR(IF(Y409&gt;V409,MIN(Y409,T409)-V409,0),'תחום תמיכה ג'!$Q$2))</f>
        <v/>
      </c>
      <c r="AA409" s="259"/>
      <c r="AB409" s="260" t="str">
        <f t="shared" si="25"/>
        <v/>
      </c>
      <c r="AC409" s="262"/>
      <c r="AD409" s="180"/>
      <c r="AE409" s="13" t="str">
        <f>IF($C409="","",IFERROR(VLOOKUP($C409,גיליון1!$A:$E,2,0),"לא הגיש בקשה שוטפת"))</f>
        <v/>
      </c>
      <c r="AF409" s="13" t="str">
        <f>IF($C409="","",IFERROR(VLOOKUP($C409,גיליון1!$A:$E,3,0),"לא הגיש בקשה שוטפת"))</f>
        <v/>
      </c>
      <c r="AG409" s="13" t="str">
        <f>IF($C409="","",IFERROR(VLOOKUP($C409,גיליון1!$A:$E,4,0),"לא הגיש בקשה שוטפת"))</f>
        <v/>
      </c>
      <c r="AH409" s="13" t="str">
        <f>IF($C409="","",IFERROR(VLOOKUP($C409,גיליון1!$A:$E,5,0),"לא הגיש בקשה שוטפת"))</f>
        <v/>
      </c>
      <c r="AI409" s="13">
        <f t="shared" si="23"/>
        <v>0</v>
      </c>
      <c r="AK409" s="174" t="s">
        <v>250</v>
      </c>
    </row>
    <row r="410" spans="1:37" s="174" customFormat="1" x14ac:dyDescent="0.25">
      <c r="A410" s="54" t="str">
        <f>'הזנה לתנאי סף'!B410</f>
        <v/>
      </c>
      <c r="B410" s="266" t="str">
        <f>IF($F410="","",'הזנה לתנאי סף'!C410)</f>
        <v/>
      </c>
      <c r="C410" s="266" t="str">
        <f>IF($F410="","",'הזנה לתנאי סף'!D410)</f>
        <v/>
      </c>
      <c r="D410" s="266" t="str">
        <f>IF($F410="","",'הזנה לתנאי סף'!E410)</f>
        <v/>
      </c>
      <c r="E410" s="55" t="str">
        <f>IF($F410="","",'הזנה לתנאי סף'!F410)</f>
        <v/>
      </c>
      <c r="F410" s="55" t="str">
        <f>IF('הזנה לתנאי סף'!BL410=1,'הזנה לתנאי סף'!G410,"")</f>
        <v/>
      </c>
      <c r="G410" s="55" t="str">
        <f>IF($F410="","",'הזנה לתנאי סף'!H410)</f>
        <v/>
      </c>
      <c r="H410" s="55" t="str">
        <f>IF($F410="","",'הזנה לתנאי סף'!I410)</f>
        <v/>
      </c>
      <c r="I410" s="187" t="str">
        <f>IF($F410="","",'הזנה לתנאי סף'!R410)</f>
        <v/>
      </c>
      <c r="J410" s="187" t="str">
        <f>IF($F410="","",'תחום תמיכה א'!P410)</f>
        <v/>
      </c>
      <c r="K410" s="177" t="str">
        <f>IF($F410="","",'הזנה לתנאי סף'!N410)</f>
        <v/>
      </c>
      <c r="L410" s="177" t="str">
        <f>IF($F410="","",'הזנה לתנאי סף'!O410)</f>
        <v/>
      </c>
      <c r="M410" s="177" t="str">
        <f>IF($F410="","",'הזנה לתנאי סף'!Q410)</f>
        <v/>
      </c>
      <c r="N410" s="187" t="str">
        <f>IF($F410="","",'תחום תמיכה א'!AE410)</f>
        <v/>
      </c>
      <c r="O410" s="178"/>
      <c r="P410" s="187" t="str">
        <f>IF($F410="","",'תחום תמיכה ב'!AC410)</f>
        <v/>
      </c>
      <c r="Q410" s="187" t="str">
        <f>IF($F410="","",IF('תחום תמיכה ג'!O410="",0,'תחום תמיכה ג'!O410))</f>
        <v/>
      </c>
      <c r="R410" s="187" t="str">
        <f t="shared" si="24"/>
        <v/>
      </c>
      <c r="S410" s="187" t="str">
        <f>IF($F410="","",'תחום תמיכה ב'!AE410)</f>
        <v/>
      </c>
      <c r="T410" s="187" t="str">
        <f>IF($F410="","",IF(Q410='תחום תמיכה ג'!$Q$2,'תחום תמיכה ג'!$Q$2,IFERROR(SUMIF(N410:R410,"&gt;0"),'תחום תמיכה ג'!$Q$2)))</f>
        <v/>
      </c>
      <c r="U410" s="187" t="str">
        <f>IF($F410="","",'הזנה לתנאי סף'!Y410)</f>
        <v/>
      </c>
      <c r="V410" s="269" t="str">
        <f>IF(F410="","",'הגבלה לסכום מבוקש '!AA410)</f>
        <v/>
      </c>
      <c r="W410" s="187" t="str">
        <f t="shared" si="22"/>
        <v/>
      </c>
      <c r="X410" s="187" t="str">
        <f>IF(F410="","",'הזנה לתנאי סף'!Z410)</f>
        <v/>
      </c>
      <c r="Y410" s="237" t="str">
        <f>IFERROR(VLOOKUP(G410*1,#REF!,3,0),"")</f>
        <v/>
      </c>
      <c r="Z410" s="187" t="str">
        <f>IF(OR($F410="",Y410=""),"",IFERROR(IF(Y410&gt;V410,MIN(Y410,T410)-V410,0),'תחום תמיכה ג'!$Q$2))</f>
        <v/>
      </c>
      <c r="AA410" s="259"/>
      <c r="AB410" s="260" t="str">
        <f t="shared" si="25"/>
        <v/>
      </c>
      <c r="AC410" s="262"/>
      <c r="AD410" s="180"/>
      <c r="AE410" s="13" t="str">
        <f>IF($C410="","",IFERROR(VLOOKUP($C410,גיליון1!$A:$E,2,0),"לא הגיש בקשה שוטפת"))</f>
        <v/>
      </c>
      <c r="AF410" s="13" t="str">
        <f>IF($C410="","",IFERROR(VLOOKUP($C410,גיליון1!$A:$E,3,0),"לא הגיש בקשה שוטפת"))</f>
        <v/>
      </c>
      <c r="AG410" s="13" t="str">
        <f>IF($C410="","",IFERROR(VLOOKUP($C410,גיליון1!$A:$E,4,0),"לא הגיש בקשה שוטפת"))</f>
        <v/>
      </c>
      <c r="AH410" s="13" t="str">
        <f>IF($C410="","",IFERROR(VLOOKUP($C410,גיליון1!$A:$E,5,0),"לא הגיש בקשה שוטפת"))</f>
        <v/>
      </c>
      <c r="AI410" s="13">
        <f t="shared" si="23"/>
        <v>0</v>
      </c>
      <c r="AK410" s="174" t="s">
        <v>250</v>
      </c>
    </row>
    <row r="411" spans="1:37" s="174" customFormat="1" x14ac:dyDescent="0.25">
      <c r="A411" s="54" t="str">
        <f>'הזנה לתנאי סף'!B411</f>
        <v/>
      </c>
      <c r="B411" s="266" t="str">
        <f>IF($F411="","",'הזנה לתנאי סף'!C411)</f>
        <v/>
      </c>
      <c r="C411" s="266" t="str">
        <f>IF($F411="","",'הזנה לתנאי סף'!D411)</f>
        <v/>
      </c>
      <c r="D411" s="266" t="str">
        <f>IF($F411="","",'הזנה לתנאי סף'!E411)</f>
        <v/>
      </c>
      <c r="E411" s="55" t="str">
        <f>IF($F411="","",'הזנה לתנאי סף'!F411)</f>
        <v/>
      </c>
      <c r="F411" s="55" t="str">
        <f>IF('הזנה לתנאי סף'!BL411=1,'הזנה לתנאי סף'!G411,"")</f>
        <v/>
      </c>
      <c r="G411" s="55" t="str">
        <f>IF($F411="","",'הזנה לתנאי סף'!H411)</f>
        <v/>
      </c>
      <c r="H411" s="55" t="str">
        <f>IF($F411="","",'הזנה לתנאי סף'!I411)</f>
        <v/>
      </c>
      <c r="I411" s="187" t="str">
        <f>IF($F411="","",'הזנה לתנאי סף'!R411)</f>
        <v/>
      </c>
      <c r="J411" s="187" t="str">
        <f>IF($F411="","",'תחום תמיכה א'!P411)</f>
        <v/>
      </c>
      <c r="K411" s="177" t="str">
        <f>IF($F411="","",'הזנה לתנאי סף'!N411)</f>
        <v/>
      </c>
      <c r="L411" s="177" t="str">
        <f>IF($F411="","",'הזנה לתנאי סף'!O411)</f>
        <v/>
      </c>
      <c r="M411" s="177" t="str">
        <f>IF($F411="","",'הזנה לתנאי סף'!Q411)</f>
        <v/>
      </c>
      <c r="N411" s="187" t="str">
        <f>IF($F411="","",'תחום תמיכה א'!AE411)</f>
        <v/>
      </c>
      <c r="O411" s="178"/>
      <c r="P411" s="187" t="str">
        <f>IF($F411="","",'תחום תמיכה ב'!AC411)</f>
        <v/>
      </c>
      <c r="Q411" s="187" t="str">
        <f>IF($F411="","",IF('תחום תמיכה ג'!O411="",0,'תחום תמיכה ג'!O411))</f>
        <v/>
      </c>
      <c r="R411" s="187" t="str">
        <f t="shared" si="24"/>
        <v/>
      </c>
      <c r="S411" s="187" t="str">
        <f>IF($F411="","",'תחום תמיכה ב'!AE411)</f>
        <v/>
      </c>
      <c r="T411" s="187" t="str">
        <f>IF($F411="","",IF(Q411='תחום תמיכה ג'!$Q$2,'תחום תמיכה ג'!$Q$2,IFERROR(SUMIF(N411:R411,"&gt;0"),'תחום תמיכה ג'!$Q$2)))</f>
        <v/>
      </c>
      <c r="U411" s="187" t="str">
        <f>IF($F411="","",'הזנה לתנאי סף'!Y411)</f>
        <v/>
      </c>
      <c r="V411" s="269" t="str">
        <f>IF(F411="","",'הגבלה לסכום מבוקש '!AA411)</f>
        <v/>
      </c>
      <c r="W411" s="187" t="str">
        <f t="shared" si="22"/>
        <v/>
      </c>
      <c r="X411" s="187" t="str">
        <f>IF(F411="","",'הזנה לתנאי סף'!Z411)</f>
        <v/>
      </c>
      <c r="Y411" s="237" t="str">
        <f>IFERROR(VLOOKUP(G411*1,#REF!,3,0),"")</f>
        <v/>
      </c>
      <c r="Z411" s="187" t="str">
        <f>IF(OR($F411="",Y411=""),"",IFERROR(IF(Y411&gt;V411,MIN(Y411,T411)-V411,0),'תחום תמיכה ג'!$Q$2))</f>
        <v/>
      </c>
      <c r="AA411" s="259"/>
      <c r="AB411" s="260" t="str">
        <f t="shared" si="25"/>
        <v/>
      </c>
      <c r="AC411" s="262"/>
      <c r="AD411" s="180"/>
      <c r="AE411" s="13" t="str">
        <f>IF($C411="","",IFERROR(VLOOKUP($C411,גיליון1!$A:$E,2,0),"לא הגיש בקשה שוטפת"))</f>
        <v/>
      </c>
      <c r="AF411" s="13" t="str">
        <f>IF($C411="","",IFERROR(VLOOKUP($C411,גיליון1!$A:$E,3,0),"לא הגיש בקשה שוטפת"))</f>
        <v/>
      </c>
      <c r="AG411" s="13" t="str">
        <f>IF($C411="","",IFERROR(VLOOKUP($C411,גיליון1!$A:$E,4,0),"לא הגיש בקשה שוטפת"))</f>
        <v/>
      </c>
      <c r="AH411" s="13" t="str">
        <f>IF($C411="","",IFERROR(VLOOKUP($C411,גיליון1!$A:$E,5,0),"לא הגיש בקשה שוטפת"))</f>
        <v/>
      </c>
      <c r="AI411" s="13">
        <f t="shared" si="23"/>
        <v>0</v>
      </c>
      <c r="AK411" s="174" t="s">
        <v>250</v>
      </c>
    </row>
    <row r="412" spans="1:37" s="174" customFormat="1" x14ac:dyDescent="0.25">
      <c r="A412" s="54" t="str">
        <f>'הזנה לתנאי סף'!B412</f>
        <v/>
      </c>
      <c r="B412" s="266" t="str">
        <f>IF($F412="","",'הזנה לתנאי סף'!C412)</f>
        <v/>
      </c>
      <c r="C412" s="266" t="str">
        <f>IF($F412="","",'הזנה לתנאי סף'!D412)</f>
        <v/>
      </c>
      <c r="D412" s="266" t="str">
        <f>IF($F412="","",'הזנה לתנאי סף'!E412)</f>
        <v/>
      </c>
      <c r="E412" s="55" t="str">
        <f>IF($F412="","",'הזנה לתנאי סף'!F412)</f>
        <v/>
      </c>
      <c r="F412" s="55" t="str">
        <f>IF('הזנה לתנאי סף'!BL412=1,'הזנה לתנאי סף'!G412,"")</f>
        <v/>
      </c>
      <c r="G412" s="55" t="str">
        <f>IF($F412="","",'הזנה לתנאי סף'!H412)</f>
        <v/>
      </c>
      <c r="H412" s="55" t="str">
        <f>IF($F412="","",'הזנה לתנאי סף'!I412)</f>
        <v/>
      </c>
      <c r="I412" s="187" t="str">
        <f>IF($F412="","",'הזנה לתנאי סף'!R412)</f>
        <v/>
      </c>
      <c r="J412" s="187" t="str">
        <f>IF($F412="","",'תחום תמיכה א'!P412)</f>
        <v/>
      </c>
      <c r="K412" s="177" t="str">
        <f>IF($F412="","",'הזנה לתנאי סף'!N412)</f>
        <v/>
      </c>
      <c r="L412" s="177" t="str">
        <f>IF($F412="","",'הזנה לתנאי סף'!O412)</f>
        <v/>
      </c>
      <c r="M412" s="177" t="str">
        <f>IF($F412="","",'הזנה לתנאי סף'!Q412)</f>
        <v/>
      </c>
      <c r="N412" s="187" t="str">
        <f>IF($F412="","",'תחום תמיכה א'!AE412)</f>
        <v/>
      </c>
      <c r="O412" s="178"/>
      <c r="P412" s="187" t="str">
        <f>IF($F412="","",'תחום תמיכה ב'!AC412)</f>
        <v/>
      </c>
      <c r="Q412" s="187" t="str">
        <f>IF($F412="","",IF('תחום תמיכה ג'!O412="",0,'תחום תמיכה ג'!O412))</f>
        <v/>
      </c>
      <c r="R412" s="187" t="str">
        <f t="shared" si="24"/>
        <v/>
      </c>
      <c r="S412" s="187" t="str">
        <f>IF($F412="","",'תחום תמיכה ב'!AE412)</f>
        <v/>
      </c>
      <c r="T412" s="187" t="str">
        <f>IF($F412="","",IF(Q412='תחום תמיכה ג'!$Q$2,'תחום תמיכה ג'!$Q$2,IFERROR(SUMIF(N412:R412,"&gt;0"),'תחום תמיכה ג'!$Q$2)))</f>
        <v/>
      </c>
      <c r="U412" s="187" t="str">
        <f>IF($F412="","",'הזנה לתנאי סף'!Y412)</f>
        <v/>
      </c>
      <c r="V412" s="269" t="str">
        <f>IF(F412="","",'הגבלה לסכום מבוקש '!AA412)</f>
        <v/>
      </c>
      <c r="W412" s="187" t="str">
        <f t="shared" si="22"/>
        <v/>
      </c>
      <c r="X412" s="187" t="str">
        <f>IF(F412="","",'הזנה לתנאי סף'!Z412)</f>
        <v/>
      </c>
      <c r="Y412" s="237" t="str">
        <f>IFERROR(VLOOKUP(G412*1,#REF!,3,0),"")</f>
        <v/>
      </c>
      <c r="Z412" s="187" t="str">
        <f>IF(OR($F412="",Y412=""),"",IFERROR(IF(Y412&gt;V412,MIN(Y412,T412)-V412,0),'תחום תמיכה ג'!$Q$2))</f>
        <v/>
      </c>
      <c r="AA412" s="259"/>
      <c r="AB412" s="260" t="str">
        <f t="shared" si="25"/>
        <v/>
      </c>
      <c r="AC412" s="262"/>
      <c r="AD412" s="180"/>
      <c r="AE412" s="13" t="str">
        <f>IF($C412="","",IFERROR(VLOOKUP($C412,גיליון1!$A:$E,2,0),"לא הגיש בקשה שוטפת"))</f>
        <v/>
      </c>
      <c r="AF412" s="13" t="str">
        <f>IF($C412="","",IFERROR(VLOOKUP($C412,גיליון1!$A:$E,3,0),"לא הגיש בקשה שוטפת"))</f>
        <v/>
      </c>
      <c r="AG412" s="13" t="str">
        <f>IF($C412="","",IFERROR(VLOOKUP($C412,גיליון1!$A:$E,4,0),"לא הגיש בקשה שוטפת"))</f>
        <v/>
      </c>
      <c r="AH412" s="13" t="str">
        <f>IF($C412="","",IFERROR(VLOOKUP($C412,גיליון1!$A:$E,5,0),"לא הגיש בקשה שוטפת"))</f>
        <v/>
      </c>
      <c r="AI412" s="13">
        <f t="shared" si="23"/>
        <v>0</v>
      </c>
      <c r="AK412" s="174" t="s">
        <v>250</v>
      </c>
    </row>
    <row r="413" spans="1:37" s="174" customFormat="1" x14ac:dyDescent="0.25">
      <c r="A413" s="54" t="str">
        <f>'הזנה לתנאי סף'!B413</f>
        <v/>
      </c>
      <c r="B413" s="266" t="str">
        <f>IF($F413="","",'הזנה לתנאי סף'!C413)</f>
        <v/>
      </c>
      <c r="C413" s="266" t="str">
        <f>IF($F413="","",'הזנה לתנאי סף'!D413)</f>
        <v/>
      </c>
      <c r="D413" s="266" t="str">
        <f>IF($F413="","",'הזנה לתנאי סף'!E413)</f>
        <v/>
      </c>
      <c r="E413" s="55" t="str">
        <f>IF($F413="","",'הזנה לתנאי סף'!F413)</f>
        <v/>
      </c>
      <c r="F413" s="55" t="str">
        <f>IF('הזנה לתנאי סף'!BL413=1,'הזנה לתנאי סף'!G413,"")</f>
        <v/>
      </c>
      <c r="G413" s="55" t="str">
        <f>IF($F413="","",'הזנה לתנאי סף'!H413)</f>
        <v/>
      </c>
      <c r="H413" s="55" t="str">
        <f>IF($F413="","",'הזנה לתנאי סף'!I413)</f>
        <v/>
      </c>
      <c r="I413" s="187" t="str">
        <f>IF($F413="","",'הזנה לתנאי סף'!R413)</f>
        <v/>
      </c>
      <c r="J413" s="187" t="str">
        <f>IF($F413="","",'תחום תמיכה א'!P413)</f>
        <v/>
      </c>
      <c r="K413" s="177" t="str">
        <f>IF($F413="","",'הזנה לתנאי סף'!N413)</f>
        <v/>
      </c>
      <c r="L413" s="177" t="str">
        <f>IF($F413="","",'הזנה לתנאי סף'!O413)</f>
        <v/>
      </c>
      <c r="M413" s="177" t="str">
        <f>IF($F413="","",'הזנה לתנאי סף'!Q413)</f>
        <v/>
      </c>
      <c r="N413" s="187" t="str">
        <f>IF($F413="","",'תחום תמיכה א'!AE413)</f>
        <v/>
      </c>
      <c r="O413" s="178"/>
      <c r="P413" s="187" t="str">
        <f>IF($F413="","",'תחום תמיכה ב'!AC413)</f>
        <v/>
      </c>
      <c r="Q413" s="187" t="str">
        <f>IF($F413="","",IF('תחום תמיכה ג'!O413="",0,'תחום תמיכה ג'!O413))</f>
        <v/>
      </c>
      <c r="R413" s="187" t="str">
        <f t="shared" si="24"/>
        <v/>
      </c>
      <c r="S413" s="187" t="str">
        <f>IF($F413="","",'תחום תמיכה ב'!AE413)</f>
        <v/>
      </c>
      <c r="T413" s="187" t="str">
        <f>IF($F413="","",IF(Q413='תחום תמיכה ג'!$Q$2,'תחום תמיכה ג'!$Q$2,IFERROR(SUMIF(N413:R413,"&gt;0"),'תחום תמיכה ג'!$Q$2)))</f>
        <v/>
      </c>
      <c r="U413" s="187" t="str">
        <f>IF($F413="","",'הזנה לתנאי סף'!Y413)</f>
        <v/>
      </c>
      <c r="V413" s="269" t="str">
        <f>IF(F413="","",'הגבלה לסכום מבוקש '!AA413)</f>
        <v/>
      </c>
      <c r="W413" s="187" t="str">
        <f t="shared" si="22"/>
        <v/>
      </c>
      <c r="X413" s="187" t="str">
        <f>IF(F413="","",'הזנה לתנאי סף'!Z413)</f>
        <v/>
      </c>
      <c r="Y413" s="237" t="str">
        <f>IFERROR(VLOOKUP(G413*1,#REF!,3,0),"")</f>
        <v/>
      </c>
      <c r="Z413" s="187" t="str">
        <f>IF(OR($F413="",Y413=""),"",IFERROR(IF(Y413&gt;V413,MIN(Y413,T413)-V413,0),'תחום תמיכה ג'!$Q$2))</f>
        <v/>
      </c>
      <c r="AA413" s="259"/>
      <c r="AB413" s="260" t="str">
        <f t="shared" si="25"/>
        <v/>
      </c>
      <c r="AC413" s="262"/>
      <c r="AD413" s="180"/>
      <c r="AE413" s="13" t="str">
        <f>IF($C413="","",IFERROR(VLOOKUP($C413,גיליון1!$A:$E,2,0),"לא הגיש בקשה שוטפת"))</f>
        <v/>
      </c>
      <c r="AF413" s="13" t="str">
        <f>IF($C413="","",IFERROR(VLOOKUP($C413,גיליון1!$A:$E,3,0),"לא הגיש בקשה שוטפת"))</f>
        <v/>
      </c>
      <c r="AG413" s="13" t="str">
        <f>IF($C413="","",IFERROR(VLOOKUP($C413,גיליון1!$A:$E,4,0),"לא הגיש בקשה שוטפת"))</f>
        <v/>
      </c>
      <c r="AH413" s="13" t="str">
        <f>IF($C413="","",IFERROR(VLOOKUP($C413,גיליון1!$A:$E,5,0),"לא הגיש בקשה שוטפת"))</f>
        <v/>
      </c>
      <c r="AI413" s="13">
        <f t="shared" si="23"/>
        <v>0</v>
      </c>
      <c r="AK413" s="174" t="s">
        <v>250</v>
      </c>
    </row>
    <row r="414" spans="1:37" s="174" customFormat="1" x14ac:dyDescent="0.25">
      <c r="A414" s="54" t="str">
        <f>'הזנה לתנאי סף'!B414</f>
        <v/>
      </c>
      <c r="B414" s="266" t="str">
        <f>IF($F414="","",'הזנה לתנאי סף'!C414)</f>
        <v/>
      </c>
      <c r="C414" s="266" t="str">
        <f>IF($F414="","",'הזנה לתנאי סף'!D414)</f>
        <v/>
      </c>
      <c r="D414" s="266" t="str">
        <f>IF($F414="","",'הזנה לתנאי סף'!E414)</f>
        <v/>
      </c>
      <c r="E414" s="55" t="str">
        <f>IF($F414="","",'הזנה לתנאי סף'!F414)</f>
        <v/>
      </c>
      <c r="F414" s="55" t="str">
        <f>IF('הזנה לתנאי סף'!BL414=1,'הזנה לתנאי סף'!G414,"")</f>
        <v/>
      </c>
      <c r="G414" s="55" t="str">
        <f>IF($F414="","",'הזנה לתנאי סף'!H414)</f>
        <v/>
      </c>
      <c r="H414" s="55" t="str">
        <f>IF($F414="","",'הזנה לתנאי סף'!I414)</f>
        <v/>
      </c>
      <c r="I414" s="187" t="str">
        <f>IF($F414="","",'הזנה לתנאי סף'!R414)</f>
        <v/>
      </c>
      <c r="J414" s="187" t="str">
        <f>IF($F414="","",'תחום תמיכה א'!P414)</f>
        <v/>
      </c>
      <c r="K414" s="177" t="str">
        <f>IF($F414="","",'הזנה לתנאי סף'!N414)</f>
        <v/>
      </c>
      <c r="L414" s="177" t="str">
        <f>IF($F414="","",'הזנה לתנאי סף'!O414)</f>
        <v/>
      </c>
      <c r="M414" s="177" t="str">
        <f>IF($F414="","",'הזנה לתנאי סף'!Q414)</f>
        <v/>
      </c>
      <c r="N414" s="187" t="str">
        <f>IF($F414="","",'תחום תמיכה א'!AE414)</f>
        <v/>
      </c>
      <c r="O414" s="178"/>
      <c r="P414" s="187" t="str">
        <f>IF($F414="","",'תחום תמיכה ב'!AC414)</f>
        <v/>
      </c>
      <c r="Q414" s="187" t="str">
        <f>IF($F414="","",IF('תחום תמיכה ג'!O414="",0,'תחום תמיכה ג'!O414))</f>
        <v/>
      </c>
      <c r="R414" s="187" t="str">
        <f t="shared" si="24"/>
        <v/>
      </c>
      <c r="S414" s="187" t="str">
        <f>IF($F414="","",'תחום תמיכה ב'!AE414)</f>
        <v/>
      </c>
      <c r="T414" s="187" t="str">
        <f>IF($F414="","",IF(Q414='תחום תמיכה ג'!$Q$2,'תחום תמיכה ג'!$Q$2,IFERROR(SUMIF(N414:R414,"&gt;0"),'תחום תמיכה ג'!$Q$2)))</f>
        <v/>
      </c>
      <c r="U414" s="187" t="str">
        <f>IF($F414="","",'הזנה לתנאי סף'!Y414)</f>
        <v/>
      </c>
      <c r="V414" s="269" t="str">
        <f>IF(F414="","",'הגבלה לסכום מבוקש '!AA414)</f>
        <v/>
      </c>
      <c r="W414" s="187" t="str">
        <f t="shared" si="22"/>
        <v/>
      </c>
      <c r="X414" s="187" t="str">
        <f>IF(F414="","",'הזנה לתנאי סף'!Z414)</f>
        <v/>
      </c>
      <c r="Y414" s="237" t="str">
        <f>IFERROR(VLOOKUP(G414*1,#REF!,3,0),"")</f>
        <v/>
      </c>
      <c r="Z414" s="187" t="str">
        <f>IF(OR($F414="",Y414=""),"",IFERROR(IF(Y414&gt;V414,MIN(Y414,T414)-V414,0),'תחום תמיכה ג'!$Q$2))</f>
        <v/>
      </c>
      <c r="AA414" s="259"/>
      <c r="AB414" s="260" t="str">
        <f t="shared" si="25"/>
        <v/>
      </c>
      <c r="AC414" s="262"/>
      <c r="AD414" s="180"/>
      <c r="AE414" s="13" t="str">
        <f>IF($C414="","",IFERROR(VLOOKUP($C414,גיליון1!$A:$E,2,0),"לא הגיש בקשה שוטפת"))</f>
        <v/>
      </c>
      <c r="AF414" s="13" t="str">
        <f>IF($C414="","",IFERROR(VLOOKUP($C414,גיליון1!$A:$E,3,0),"לא הגיש בקשה שוטפת"))</f>
        <v/>
      </c>
      <c r="AG414" s="13" t="str">
        <f>IF($C414="","",IFERROR(VLOOKUP($C414,גיליון1!$A:$E,4,0),"לא הגיש בקשה שוטפת"))</f>
        <v/>
      </c>
      <c r="AH414" s="13" t="str">
        <f>IF($C414="","",IFERROR(VLOOKUP($C414,גיליון1!$A:$E,5,0),"לא הגיש בקשה שוטפת"))</f>
        <v/>
      </c>
      <c r="AI414" s="13">
        <f t="shared" si="23"/>
        <v>0</v>
      </c>
      <c r="AK414" s="174" t="s">
        <v>250</v>
      </c>
    </row>
    <row r="415" spans="1:37" s="174" customFormat="1" x14ac:dyDescent="0.25">
      <c r="A415" s="54" t="str">
        <f>'הזנה לתנאי סף'!B415</f>
        <v/>
      </c>
      <c r="B415" s="266" t="str">
        <f>IF($F415="","",'הזנה לתנאי סף'!C415)</f>
        <v/>
      </c>
      <c r="C415" s="266" t="str">
        <f>IF($F415="","",'הזנה לתנאי סף'!D415)</f>
        <v/>
      </c>
      <c r="D415" s="266" t="str">
        <f>IF($F415="","",'הזנה לתנאי סף'!E415)</f>
        <v/>
      </c>
      <c r="E415" s="55" t="str">
        <f>IF($F415="","",'הזנה לתנאי סף'!F415)</f>
        <v/>
      </c>
      <c r="F415" s="55" t="str">
        <f>IF('הזנה לתנאי סף'!BL415=1,'הזנה לתנאי סף'!G415,"")</f>
        <v/>
      </c>
      <c r="G415" s="55" t="str">
        <f>IF($F415="","",'הזנה לתנאי סף'!H415)</f>
        <v/>
      </c>
      <c r="H415" s="55" t="str">
        <f>IF($F415="","",'הזנה לתנאי סף'!I415)</f>
        <v/>
      </c>
      <c r="I415" s="187" t="str">
        <f>IF($F415="","",'הזנה לתנאי סף'!R415)</f>
        <v/>
      </c>
      <c r="J415" s="187" t="str">
        <f>IF($F415="","",'תחום תמיכה א'!P415)</f>
        <v/>
      </c>
      <c r="K415" s="177" t="str">
        <f>IF($F415="","",'הזנה לתנאי סף'!N415)</f>
        <v/>
      </c>
      <c r="L415" s="177" t="str">
        <f>IF($F415="","",'הזנה לתנאי סף'!O415)</f>
        <v/>
      </c>
      <c r="M415" s="177" t="str">
        <f>IF($F415="","",'הזנה לתנאי סף'!Q415)</f>
        <v/>
      </c>
      <c r="N415" s="187" t="str">
        <f>IF($F415="","",'תחום תמיכה א'!AE415)</f>
        <v/>
      </c>
      <c r="O415" s="178"/>
      <c r="P415" s="187" t="str">
        <f>IF($F415="","",'תחום תמיכה ב'!AC415)</f>
        <v/>
      </c>
      <c r="Q415" s="187" t="str">
        <f>IF($F415="","",IF('תחום תמיכה ג'!O415="",0,'תחום תמיכה ג'!O415))</f>
        <v/>
      </c>
      <c r="R415" s="187" t="str">
        <f t="shared" si="24"/>
        <v/>
      </c>
      <c r="S415" s="187" t="str">
        <f>IF($F415="","",'תחום תמיכה ב'!AE415)</f>
        <v/>
      </c>
      <c r="T415" s="187" t="str">
        <f>IF($F415="","",IF(Q415='תחום תמיכה ג'!$Q$2,'תחום תמיכה ג'!$Q$2,IFERROR(SUMIF(N415:R415,"&gt;0"),'תחום תמיכה ג'!$Q$2)))</f>
        <v/>
      </c>
      <c r="U415" s="187" t="str">
        <f>IF($F415="","",'הזנה לתנאי סף'!Y415)</f>
        <v/>
      </c>
      <c r="V415" s="269" t="str">
        <f>IF(F415="","",'הגבלה לסכום מבוקש '!AA415)</f>
        <v/>
      </c>
      <c r="W415" s="187" t="str">
        <f t="shared" si="22"/>
        <v/>
      </c>
      <c r="X415" s="187" t="str">
        <f>IF(F415="","",'הזנה לתנאי סף'!Z415)</f>
        <v/>
      </c>
      <c r="Y415" s="237" t="str">
        <f>IFERROR(VLOOKUP(G415*1,#REF!,3,0),"")</f>
        <v/>
      </c>
      <c r="Z415" s="187" t="str">
        <f>IF(OR($F415="",Y415=""),"",IFERROR(IF(Y415&gt;V415,MIN(Y415,T415)-V415,0),'תחום תמיכה ג'!$Q$2))</f>
        <v/>
      </c>
      <c r="AA415" s="259"/>
      <c r="AB415" s="260" t="str">
        <f t="shared" si="25"/>
        <v/>
      </c>
      <c r="AC415" s="262"/>
      <c r="AD415" s="180"/>
      <c r="AE415" s="13" t="str">
        <f>IF($C415="","",IFERROR(VLOOKUP($C415,גיליון1!$A:$E,2,0),"לא הגיש בקשה שוטפת"))</f>
        <v/>
      </c>
      <c r="AF415" s="13" t="str">
        <f>IF($C415="","",IFERROR(VLOOKUP($C415,גיליון1!$A:$E,3,0),"לא הגיש בקשה שוטפת"))</f>
        <v/>
      </c>
      <c r="AG415" s="13" t="str">
        <f>IF($C415="","",IFERROR(VLOOKUP($C415,גיליון1!$A:$E,4,0),"לא הגיש בקשה שוטפת"))</f>
        <v/>
      </c>
      <c r="AH415" s="13" t="str">
        <f>IF($C415="","",IFERROR(VLOOKUP($C415,גיליון1!$A:$E,5,0),"לא הגיש בקשה שוטפת"))</f>
        <v/>
      </c>
      <c r="AI415" s="13">
        <f t="shared" si="23"/>
        <v>0</v>
      </c>
      <c r="AK415" s="174" t="s">
        <v>250</v>
      </c>
    </row>
    <row r="416" spans="1:37" s="174" customFormat="1" x14ac:dyDescent="0.25">
      <c r="A416" s="54" t="str">
        <f>'הזנה לתנאי סף'!B416</f>
        <v/>
      </c>
      <c r="B416" s="266" t="str">
        <f>IF($F416="","",'הזנה לתנאי סף'!C416)</f>
        <v/>
      </c>
      <c r="C416" s="266" t="str">
        <f>IF($F416="","",'הזנה לתנאי סף'!D416)</f>
        <v/>
      </c>
      <c r="D416" s="266" t="str">
        <f>IF($F416="","",'הזנה לתנאי סף'!E416)</f>
        <v/>
      </c>
      <c r="E416" s="55" t="str">
        <f>IF($F416="","",'הזנה לתנאי סף'!F416)</f>
        <v/>
      </c>
      <c r="F416" s="55" t="str">
        <f>IF('הזנה לתנאי סף'!BL416=1,'הזנה לתנאי סף'!G416,"")</f>
        <v/>
      </c>
      <c r="G416" s="55" t="str">
        <f>IF($F416="","",'הזנה לתנאי סף'!H416)</f>
        <v/>
      </c>
      <c r="H416" s="55" t="str">
        <f>IF($F416="","",'הזנה לתנאי סף'!I416)</f>
        <v/>
      </c>
      <c r="I416" s="187" t="str">
        <f>IF($F416="","",'הזנה לתנאי סף'!R416)</f>
        <v/>
      </c>
      <c r="J416" s="187" t="str">
        <f>IF($F416="","",'תחום תמיכה א'!P416)</f>
        <v/>
      </c>
      <c r="K416" s="177" t="str">
        <f>IF($F416="","",'הזנה לתנאי סף'!N416)</f>
        <v/>
      </c>
      <c r="L416" s="177" t="str">
        <f>IF($F416="","",'הזנה לתנאי סף'!O416)</f>
        <v/>
      </c>
      <c r="M416" s="177" t="str">
        <f>IF($F416="","",'הזנה לתנאי סף'!Q416)</f>
        <v/>
      </c>
      <c r="N416" s="187" t="str">
        <f>IF($F416="","",'תחום תמיכה א'!AE416)</f>
        <v/>
      </c>
      <c r="O416" s="178"/>
      <c r="P416" s="187" t="str">
        <f>IF($F416="","",'תחום תמיכה ב'!AC416)</f>
        <v/>
      </c>
      <c r="Q416" s="187" t="str">
        <f>IF($F416="","",IF('תחום תמיכה ג'!O416="",0,'תחום תמיכה ג'!O416))</f>
        <v/>
      </c>
      <c r="R416" s="187" t="str">
        <f t="shared" si="24"/>
        <v/>
      </c>
      <c r="S416" s="187" t="str">
        <f>IF($F416="","",'תחום תמיכה ב'!AE416)</f>
        <v/>
      </c>
      <c r="T416" s="187" t="str">
        <f>IF($F416="","",IF(Q416='תחום תמיכה ג'!$Q$2,'תחום תמיכה ג'!$Q$2,IFERROR(SUMIF(N416:R416,"&gt;0"),'תחום תמיכה ג'!$Q$2)))</f>
        <v/>
      </c>
      <c r="U416" s="187" t="str">
        <f>IF($F416="","",'הזנה לתנאי סף'!Y416)</f>
        <v/>
      </c>
      <c r="V416" s="269" t="str">
        <f>IF(F416="","",'הגבלה לסכום מבוקש '!AA416)</f>
        <v/>
      </c>
      <c r="W416" s="187" t="str">
        <f t="shared" ref="W416:W479" si="26">IF(G416="","",V416/4)</f>
        <v/>
      </c>
      <c r="X416" s="187" t="str">
        <f>IF(F416="","",'הזנה לתנאי סף'!Z416)</f>
        <v/>
      </c>
      <c r="Y416" s="237" t="str">
        <f>IFERROR(VLOOKUP(G416*1,#REF!,3,0),"")</f>
        <v/>
      </c>
      <c r="Z416" s="187" t="str">
        <f>IF(OR($F416="",Y416=""),"",IFERROR(IF(Y416&gt;V416,MIN(Y416,T416)-V416,0),'תחום תמיכה ג'!$Q$2))</f>
        <v/>
      </c>
      <c r="AA416" s="259"/>
      <c r="AB416" s="260" t="str">
        <f t="shared" si="25"/>
        <v/>
      </c>
      <c r="AC416" s="262"/>
      <c r="AD416" s="180"/>
      <c r="AE416" s="13" t="str">
        <f>IF($C416="","",IFERROR(VLOOKUP($C416,גיליון1!$A:$E,2,0),"לא הגיש בקשה שוטפת"))</f>
        <v/>
      </c>
      <c r="AF416" s="13" t="str">
        <f>IF($C416="","",IFERROR(VLOOKUP($C416,גיליון1!$A:$E,3,0),"לא הגיש בקשה שוטפת"))</f>
        <v/>
      </c>
      <c r="AG416" s="13" t="str">
        <f>IF($C416="","",IFERROR(VLOOKUP($C416,גיליון1!$A:$E,4,0),"לא הגיש בקשה שוטפת"))</f>
        <v/>
      </c>
      <c r="AH416" s="13" t="str">
        <f>IF($C416="","",IFERROR(VLOOKUP($C416,גיליון1!$A:$E,5,0),"לא הגיש בקשה שוטפת"))</f>
        <v/>
      </c>
      <c r="AI416" s="13">
        <f t="shared" ref="AI416:AI479" si="27">IF(T416&gt;U416,1,0)</f>
        <v>0</v>
      </c>
      <c r="AK416" s="174" t="s">
        <v>250</v>
      </c>
    </row>
    <row r="417" spans="1:37" s="174" customFormat="1" x14ac:dyDescent="0.25">
      <c r="A417" s="54" t="str">
        <f>'הזנה לתנאי סף'!B417</f>
        <v/>
      </c>
      <c r="B417" s="266" t="str">
        <f>IF($F417="","",'הזנה לתנאי סף'!C417)</f>
        <v/>
      </c>
      <c r="C417" s="266" t="str">
        <f>IF($F417="","",'הזנה לתנאי סף'!D417)</f>
        <v/>
      </c>
      <c r="D417" s="266" t="str">
        <f>IF($F417="","",'הזנה לתנאי סף'!E417)</f>
        <v/>
      </c>
      <c r="E417" s="55" t="str">
        <f>IF($F417="","",'הזנה לתנאי סף'!F417)</f>
        <v/>
      </c>
      <c r="F417" s="55" t="str">
        <f>IF('הזנה לתנאי סף'!BL417=1,'הזנה לתנאי סף'!G417,"")</f>
        <v/>
      </c>
      <c r="G417" s="55" t="str">
        <f>IF($F417="","",'הזנה לתנאי סף'!H417)</f>
        <v/>
      </c>
      <c r="H417" s="55" t="str">
        <f>IF($F417="","",'הזנה לתנאי סף'!I417)</f>
        <v/>
      </c>
      <c r="I417" s="187" t="str">
        <f>IF($F417="","",'הזנה לתנאי סף'!R417)</f>
        <v/>
      </c>
      <c r="J417" s="187" t="str">
        <f>IF($F417="","",'תחום תמיכה א'!P417)</f>
        <v/>
      </c>
      <c r="K417" s="177" t="str">
        <f>IF($F417="","",'הזנה לתנאי סף'!N417)</f>
        <v/>
      </c>
      <c r="L417" s="177" t="str">
        <f>IF($F417="","",'הזנה לתנאי סף'!O417)</f>
        <v/>
      </c>
      <c r="M417" s="177" t="str">
        <f>IF($F417="","",'הזנה לתנאי סף'!Q417)</f>
        <v/>
      </c>
      <c r="N417" s="187" t="str">
        <f>IF($F417="","",'תחום תמיכה א'!AE417)</f>
        <v/>
      </c>
      <c r="O417" s="178"/>
      <c r="P417" s="187" t="str">
        <f>IF($F417="","",'תחום תמיכה ב'!AC417)</f>
        <v/>
      </c>
      <c r="Q417" s="187" t="str">
        <f>IF($F417="","",IF('תחום תמיכה ג'!O417="",0,'תחום תמיכה ג'!O417))</f>
        <v/>
      </c>
      <c r="R417" s="187" t="str">
        <f t="shared" si="24"/>
        <v/>
      </c>
      <c r="S417" s="187" t="str">
        <f>IF($F417="","",'תחום תמיכה ב'!AE417)</f>
        <v/>
      </c>
      <c r="T417" s="187" t="str">
        <f>IF($F417="","",IF(Q417='תחום תמיכה ג'!$Q$2,'תחום תמיכה ג'!$Q$2,IFERROR(SUMIF(N417:R417,"&gt;0"),'תחום תמיכה ג'!$Q$2)))</f>
        <v/>
      </c>
      <c r="U417" s="187" t="str">
        <f>IF($F417="","",'הזנה לתנאי סף'!Y417)</f>
        <v/>
      </c>
      <c r="V417" s="269" t="str">
        <f>IF(F417="","",'הגבלה לסכום מבוקש '!AA417)</f>
        <v/>
      </c>
      <c r="W417" s="187" t="str">
        <f t="shared" si="26"/>
        <v/>
      </c>
      <c r="X417" s="187" t="str">
        <f>IF(F417="","",'הזנה לתנאי סף'!Z417)</f>
        <v/>
      </c>
      <c r="Y417" s="237" t="str">
        <f>IFERROR(VLOOKUP(G417*1,#REF!,3,0),"")</f>
        <v/>
      </c>
      <c r="Z417" s="187" t="str">
        <f>IF(OR($F417="",Y417=""),"",IFERROR(IF(Y417&gt;V417,MIN(Y417,T417)-V417,0),'תחום תמיכה ג'!$Q$2))</f>
        <v/>
      </c>
      <c r="AA417" s="259"/>
      <c r="AB417" s="260" t="str">
        <f t="shared" si="25"/>
        <v/>
      </c>
      <c r="AC417" s="262"/>
      <c r="AD417" s="180"/>
      <c r="AE417" s="13" t="str">
        <f>IF($C417="","",IFERROR(VLOOKUP($C417,גיליון1!$A:$E,2,0),"לא הגיש בקשה שוטפת"))</f>
        <v/>
      </c>
      <c r="AF417" s="13" t="str">
        <f>IF($C417="","",IFERROR(VLOOKUP($C417,גיליון1!$A:$E,3,0),"לא הגיש בקשה שוטפת"))</f>
        <v/>
      </c>
      <c r="AG417" s="13" t="str">
        <f>IF($C417="","",IFERROR(VLOOKUP($C417,גיליון1!$A:$E,4,0),"לא הגיש בקשה שוטפת"))</f>
        <v/>
      </c>
      <c r="AH417" s="13" t="str">
        <f>IF($C417="","",IFERROR(VLOOKUP($C417,גיליון1!$A:$E,5,0),"לא הגיש בקשה שוטפת"))</f>
        <v/>
      </c>
      <c r="AI417" s="13">
        <f t="shared" si="27"/>
        <v>0</v>
      </c>
      <c r="AK417" s="174" t="s">
        <v>250</v>
      </c>
    </row>
    <row r="418" spans="1:37" s="174" customFormat="1" x14ac:dyDescent="0.25">
      <c r="A418" s="54" t="str">
        <f>'הזנה לתנאי סף'!B418</f>
        <v/>
      </c>
      <c r="B418" s="266" t="str">
        <f>IF($F418="","",'הזנה לתנאי סף'!C418)</f>
        <v/>
      </c>
      <c r="C418" s="266" t="str">
        <f>IF($F418="","",'הזנה לתנאי סף'!D418)</f>
        <v/>
      </c>
      <c r="D418" s="266" t="str">
        <f>IF($F418="","",'הזנה לתנאי סף'!E418)</f>
        <v/>
      </c>
      <c r="E418" s="55" t="str">
        <f>IF($F418="","",'הזנה לתנאי סף'!F418)</f>
        <v/>
      </c>
      <c r="F418" s="55" t="str">
        <f>IF('הזנה לתנאי סף'!BL418=1,'הזנה לתנאי סף'!G418,"")</f>
        <v/>
      </c>
      <c r="G418" s="55" t="str">
        <f>IF($F418="","",'הזנה לתנאי סף'!H418)</f>
        <v/>
      </c>
      <c r="H418" s="55" t="str">
        <f>IF($F418="","",'הזנה לתנאי סף'!I418)</f>
        <v/>
      </c>
      <c r="I418" s="187" t="str">
        <f>IF($F418="","",'הזנה לתנאי סף'!R418)</f>
        <v/>
      </c>
      <c r="J418" s="187" t="str">
        <f>IF($F418="","",'תחום תמיכה א'!P418)</f>
        <v/>
      </c>
      <c r="K418" s="177" t="str">
        <f>IF($F418="","",'הזנה לתנאי סף'!N418)</f>
        <v/>
      </c>
      <c r="L418" s="177" t="str">
        <f>IF($F418="","",'הזנה לתנאי סף'!O418)</f>
        <v/>
      </c>
      <c r="M418" s="177" t="str">
        <f>IF($F418="","",'הזנה לתנאי סף'!Q418)</f>
        <v/>
      </c>
      <c r="N418" s="187" t="str">
        <f>IF($F418="","",'תחום תמיכה א'!AE418)</f>
        <v/>
      </c>
      <c r="O418" s="178"/>
      <c r="P418" s="187" t="str">
        <f>IF($F418="","",'תחום תמיכה ב'!AC418)</f>
        <v/>
      </c>
      <c r="Q418" s="187" t="str">
        <f>IF($F418="","",IF('תחום תמיכה ג'!O418="",0,'תחום תמיכה ג'!O418))</f>
        <v/>
      </c>
      <c r="R418" s="187" t="str">
        <f t="shared" si="24"/>
        <v/>
      </c>
      <c r="S418" s="187" t="str">
        <f>IF($F418="","",'תחום תמיכה ב'!AE418)</f>
        <v/>
      </c>
      <c r="T418" s="187" t="str">
        <f>IF($F418="","",IF(Q418='תחום תמיכה ג'!$Q$2,'תחום תמיכה ג'!$Q$2,IFERROR(SUMIF(N418:R418,"&gt;0"),'תחום תמיכה ג'!$Q$2)))</f>
        <v/>
      </c>
      <c r="U418" s="187" t="str">
        <f>IF($F418="","",'הזנה לתנאי סף'!Y418)</f>
        <v/>
      </c>
      <c r="V418" s="269" t="str">
        <f>IF(F418="","",'הגבלה לסכום מבוקש '!AA418)</f>
        <v/>
      </c>
      <c r="W418" s="187" t="str">
        <f t="shared" si="26"/>
        <v/>
      </c>
      <c r="X418" s="187" t="str">
        <f>IF(F418="","",'הזנה לתנאי סף'!Z418)</f>
        <v/>
      </c>
      <c r="Y418" s="237" t="str">
        <f>IFERROR(VLOOKUP(G418*1,#REF!,3,0),"")</f>
        <v/>
      </c>
      <c r="Z418" s="187" t="str">
        <f>IF(OR($F418="",Y418=""),"",IFERROR(IF(Y418&gt;V418,MIN(Y418,T418)-V418,0),'תחום תמיכה ג'!$Q$2))</f>
        <v/>
      </c>
      <c r="AA418" s="259"/>
      <c r="AB418" s="260" t="str">
        <f t="shared" si="25"/>
        <v/>
      </c>
      <c r="AC418" s="262"/>
      <c r="AD418" s="180"/>
      <c r="AE418" s="13" t="str">
        <f>IF($C418="","",IFERROR(VLOOKUP($C418,גיליון1!$A:$E,2,0),"לא הגיש בקשה שוטפת"))</f>
        <v/>
      </c>
      <c r="AF418" s="13" t="str">
        <f>IF($C418="","",IFERROR(VLOOKUP($C418,גיליון1!$A:$E,3,0),"לא הגיש בקשה שוטפת"))</f>
        <v/>
      </c>
      <c r="AG418" s="13" t="str">
        <f>IF($C418="","",IFERROR(VLOOKUP($C418,גיליון1!$A:$E,4,0),"לא הגיש בקשה שוטפת"))</f>
        <v/>
      </c>
      <c r="AH418" s="13" t="str">
        <f>IF($C418="","",IFERROR(VLOOKUP($C418,גיליון1!$A:$E,5,0),"לא הגיש בקשה שוטפת"))</f>
        <v/>
      </c>
      <c r="AI418" s="13">
        <f t="shared" si="27"/>
        <v>0</v>
      </c>
      <c r="AK418" s="174" t="s">
        <v>250</v>
      </c>
    </row>
    <row r="419" spans="1:37" s="174" customFormat="1" x14ac:dyDescent="0.25">
      <c r="A419" s="54" t="str">
        <f>'הזנה לתנאי סף'!B419</f>
        <v/>
      </c>
      <c r="B419" s="266" t="str">
        <f>IF($F419="","",'הזנה לתנאי סף'!C419)</f>
        <v/>
      </c>
      <c r="C419" s="266" t="str">
        <f>IF($F419="","",'הזנה לתנאי סף'!D419)</f>
        <v/>
      </c>
      <c r="D419" s="266" t="str">
        <f>IF($F419="","",'הזנה לתנאי סף'!E419)</f>
        <v/>
      </c>
      <c r="E419" s="55" t="str">
        <f>IF($F419="","",'הזנה לתנאי סף'!F419)</f>
        <v/>
      </c>
      <c r="F419" s="55" t="str">
        <f>IF('הזנה לתנאי סף'!BL419=1,'הזנה לתנאי סף'!G419,"")</f>
        <v/>
      </c>
      <c r="G419" s="55" t="str">
        <f>IF($F419="","",'הזנה לתנאי סף'!H419)</f>
        <v/>
      </c>
      <c r="H419" s="55" t="str">
        <f>IF($F419="","",'הזנה לתנאי סף'!I419)</f>
        <v/>
      </c>
      <c r="I419" s="187" t="str">
        <f>IF($F419="","",'הזנה לתנאי סף'!R419)</f>
        <v/>
      </c>
      <c r="J419" s="187" t="str">
        <f>IF($F419="","",'תחום תמיכה א'!P419)</f>
        <v/>
      </c>
      <c r="K419" s="177" t="str">
        <f>IF($F419="","",'הזנה לתנאי סף'!N419)</f>
        <v/>
      </c>
      <c r="L419" s="177" t="str">
        <f>IF($F419="","",'הזנה לתנאי סף'!O419)</f>
        <v/>
      </c>
      <c r="M419" s="177" t="str">
        <f>IF($F419="","",'הזנה לתנאי סף'!Q419)</f>
        <v/>
      </c>
      <c r="N419" s="187" t="str">
        <f>IF($F419="","",'תחום תמיכה א'!AE419)</f>
        <v/>
      </c>
      <c r="O419" s="178"/>
      <c r="P419" s="187" t="str">
        <f>IF($F419="","",'תחום תמיכה ב'!AC419)</f>
        <v/>
      </c>
      <c r="Q419" s="187" t="str">
        <f>IF($F419="","",IF('תחום תמיכה ג'!O419="",0,'תחום תמיכה ג'!O419))</f>
        <v/>
      </c>
      <c r="R419" s="187" t="str">
        <f t="shared" si="24"/>
        <v/>
      </c>
      <c r="S419" s="187" t="str">
        <f>IF($F419="","",'תחום תמיכה ב'!AE419)</f>
        <v/>
      </c>
      <c r="T419" s="187" t="str">
        <f>IF($F419="","",IF(Q419='תחום תמיכה ג'!$Q$2,'תחום תמיכה ג'!$Q$2,IFERROR(SUMIF(N419:R419,"&gt;0"),'תחום תמיכה ג'!$Q$2)))</f>
        <v/>
      </c>
      <c r="U419" s="187" t="str">
        <f>IF($F419="","",'הזנה לתנאי סף'!Y419)</f>
        <v/>
      </c>
      <c r="V419" s="269" t="str">
        <f>IF(F419="","",'הגבלה לסכום מבוקש '!AA419)</f>
        <v/>
      </c>
      <c r="W419" s="187" t="str">
        <f t="shared" si="26"/>
        <v/>
      </c>
      <c r="X419" s="187" t="str">
        <f>IF(F419="","",'הזנה לתנאי סף'!Z419)</f>
        <v/>
      </c>
      <c r="Y419" s="237" t="str">
        <f>IFERROR(VLOOKUP(G419*1,#REF!,3,0),"")</f>
        <v/>
      </c>
      <c r="Z419" s="187" t="str">
        <f>IF(OR($F419="",Y419=""),"",IFERROR(IF(Y419&gt;V419,MIN(Y419,T419)-V419,0),'תחום תמיכה ג'!$Q$2))</f>
        <v/>
      </c>
      <c r="AA419" s="259"/>
      <c r="AB419" s="260" t="str">
        <f t="shared" si="25"/>
        <v/>
      </c>
      <c r="AC419" s="262"/>
      <c r="AD419" s="180"/>
      <c r="AE419" s="13" t="str">
        <f>IF($C419="","",IFERROR(VLOOKUP($C419,גיליון1!$A:$E,2,0),"לא הגיש בקשה שוטפת"))</f>
        <v/>
      </c>
      <c r="AF419" s="13" t="str">
        <f>IF($C419="","",IFERROR(VLOOKUP($C419,גיליון1!$A:$E,3,0),"לא הגיש בקשה שוטפת"))</f>
        <v/>
      </c>
      <c r="AG419" s="13" t="str">
        <f>IF($C419="","",IFERROR(VLOOKUP($C419,גיליון1!$A:$E,4,0),"לא הגיש בקשה שוטפת"))</f>
        <v/>
      </c>
      <c r="AH419" s="13" t="str">
        <f>IF($C419="","",IFERROR(VLOOKUP($C419,גיליון1!$A:$E,5,0),"לא הגיש בקשה שוטפת"))</f>
        <v/>
      </c>
      <c r="AI419" s="13">
        <f t="shared" si="27"/>
        <v>0</v>
      </c>
      <c r="AK419" s="174" t="s">
        <v>250</v>
      </c>
    </row>
    <row r="420" spans="1:37" s="174" customFormat="1" x14ac:dyDescent="0.25">
      <c r="A420" s="54" t="str">
        <f>'הזנה לתנאי סף'!B420</f>
        <v/>
      </c>
      <c r="B420" s="266" t="str">
        <f>IF($F420="","",'הזנה לתנאי סף'!C420)</f>
        <v/>
      </c>
      <c r="C420" s="266" t="str">
        <f>IF($F420="","",'הזנה לתנאי סף'!D420)</f>
        <v/>
      </c>
      <c r="D420" s="266" t="str">
        <f>IF($F420="","",'הזנה לתנאי סף'!E420)</f>
        <v/>
      </c>
      <c r="E420" s="55" t="str">
        <f>IF($F420="","",'הזנה לתנאי סף'!F420)</f>
        <v/>
      </c>
      <c r="F420" s="55" t="str">
        <f>IF('הזנה לתנאי סף'!BL420=1,'הזנה לתנאי סף'!G420,"")</f>
        <v/>
      </c>
      <c r="G420" s="55" t="str">
        <f>IF($F420="","",'הזנה לתנאי סף'!H420)</f>
        <v/>
      </c>
      <c r="H420" s="55" t="str">
        <f>IF($F420="","",'הזנה לתנאי סף'!I420)</f>
        <v/>
      </c>
      <c r="I420" s="187" t="str">
        <f>IF($F420="","",'הזנה לתנאי סף'!R420)</f>
        <v/>
      </c>
      <c r="J420" s="187" t="str">
        <f>IF($F420="","",'תחום תמיכה א'!P420)</f>
        <v/>
      </c>
      <c r="K420" s="177" t="str">
        <f>IF($F420="","",'הזנה לתנאי סף'!N420)</f>
        <v/>
      </c>
      <c r="L420" s="177" t="str">
        <f>IF($F420="","",'הזנה לתנאי סף'!O420)</f>
        <v/>
      </c>
      <c r="M420" s="177" t="str">
        <f>IF($F420="","",'הזנה לתנאי סף'!Q420)</f>
        <v/>
      </c>
      <c r="N420" s="187" t="str">
        <f>IF($F420="","",'תחום תמיכה א'!AE420)</f>
        <v/>
      </c>
      <c r="O420" s="178"/>
      <c r="P420" s="187" t="str">
        <f>IF($F420="","",'תחום תמיכה ב'!AC420)</f>
        <v/>
      </c>
      <c r="Q420" s="187" t="str">
        <f>IF($F420="","",IF('תחום תמיכה ג'!O420="",0,'תחום תמיכה ג'!O420))</f>
        <v/>
      </c>
      <c r="R420" s="187" t="str">
        <f t="shared" si="24"/>
        <v/>
      </c>
      <c r="S420" s="187" t="str">
        <f>IF($F420="","",'תחום תמיכה ב'!AE420)</f>
        <v/>
      </c>
      <c r="T420" s="187" t="str">
        <f>IF($F420="","",IF(Q420='תחום תמיכה ג'!$Q$2,'תחום תמיכה ג'!$Q$2,IFERROR(SUMIF(N420:R420,"&gt;0"),'תחום תמיכה ג'!$Q$2)))</f>
        <v/>
      </c>
      <c r="U420" s="187" t="str">
        <f>IF($F420="","",'הזנה לתנאי סף'!Y420)</f>
        <v/>
      </c>
      <c r="V420" s="269" t="str">
        <f>IF(F420="","",'הגבלה לסכום מבוקש '!AA420)</f>
        <v/>
      </c>
      <c r="W420" s="187" t="str">
        <f t="shared" si="26"/>
        <v/>
      </c>
      <c r="X420" s="187" t="str">
        <f>IF(F420="","",'הזנה לתנאי סף'!Z420)</f>
        <v/>
      </c>
      <c r="Y420" s="237" t="str">
        <f>IFERROR(VLOOKUP(G420*1,#REF!,3,0),"")</f>
        <v/>
      </c>
      <c r="Z420" s="187" t="str">
        <f>IF(OR($F420="",Y420=""),"",IFERROR(IF(Y420&gt;V420,MIN(Y420,T420)-V420,0),'תחום תמיכה ג'!$Q$2))</f>
        <v/>
      </c>
      <c r="AA420" s="259"/>
      <c r="AB420" s="260" t="str">
        <f t="shared" si="25"/>
        <v/>
      </c>
      <c r="AC420" s="262"/>
      <c r="AD420" s="180"/>
      <c r="AE420" s="13" t="str">
        <f>IF($C420="","",IFERROR(VLOOKUP($C420,גיליון1!$A:$E,2,0),"לא הגיש בקשה שוטפת"))</f>
        <v/>
      </c>
      <c r="AF420" s="13" t="str">
        <f>IF($C420="","",IFERROR(VLOOKUP($C420,גיליון1!$A:$E,3,0),"לא הגיש בקשה שוטפת"))</f>
        <v/>
      </c>
      <c r="AG420" s="13" t="str">
        <f>IF($C420="","",IFERROR(VLOOKUP($C420,גיליון1!$A:$E,4,0),"לא הגיש בקשה שוטפת"))</f>
        <v/>
      </c>
      <c r="AH420" s="13" t="str">
        <f>IF($C420="","",IFERROR(VLOOKUP($C420,גיליון1!$A:$E,5,0),"לא הגיש בקשה שוטפת"))</f>
        <v/>
      </c>
      <c r="AI420" s="13">
        <f t="shared" si="27"/>
        <v>0</v>
      </c>
      <c r="AK420" s="174" t="s">
        <v>250</v>
      </c>
    </row>
    <row r="421" spans="1:37" s="174" customFormat="1" x14ac:dyDescent="0.25">
      <c r="A421" s="54" t="str">
        <f>'הזנה לתנאי סף'!B421</f>
        <v/>
      </c>
      <c r="B421" s="266" t="str">
        <f>IF($F421="","",'הזנה לתנאי סף'!C421)</f>
        <v/>
      </c>
      <c r="C421" s="266" t="str">
        <f>IF($F421="","",'הזנה לתנאי סף'!D421)</f>
        <v/>
      </c>
      <c r="D421" s="266" t="str">
        <f>IF($F421="","",'הזנה לתנאי סף'!E421)</f>
        <v/>
      </c>
      <c r="E421" s="55" t="str">
        <f>IF($F421="","",'הזנה לתנאי סף'!F421)</f>
        <v/>
      </c>
      <c r="F421" s="55" t="str">
        <f>IF('הזנה לתנאי סף'!BL421=1,'הזנה לתנאי סף'!G421,"")</f>
        <v/>
      </c>
      <c r="G421" s="55" t="str">
        <f>IF($F421="","",'הזנה לתנאי סף'!H421)</f>
        <v/>
      </c>
      <c r="H421" s="55" t="str">
        <f>IF($F421="","",'הזנה לתנאי סף'!I421)</f>
        <v/>
      </c>
      <c r="I421" s="187" t="str">
        <f>IF($F421="","",'הזנה לתנאי סף'!R421)</f>
        <v/>
      </c>
      <c r="J421" s="187" t="str">
        <f>IF($F421="","",'תחום תמיכה א'!P421)</f>
        <v/>
      </c>
      <c r="K421" s="177" t="str">
        <f>IF($F421="","",'הזנה לתנאי סף'!N421)</f>
        <v/>
      </c>
      <c r="L421" s="177" t="str">
        <f>IF($F421="","",'הזנה לתנאי סף'!O421)</f>
        <v/>
      </c>
      <c r="M421" s="177" t="str">
        <f>IF($F421="","",'הזנה לתנאי סף'!Q421)</f>
        <v/>
      </c>
      <c r="N421" s="187" t="str">
        <f>IF($F421="","",'תחום תמיכה א'!AE421)</f>
        <v/>
      </c>
      <c r="O421" s="178"/>
      <c r="P421" s="187" t="str">
        <f>IF($F421="","",'תחום תמיכה ב'!AC421)</f>
        <v/>
      </c>
      <c r="Q421" s="187" t="str">
        <f>IF($F421="","",IF('תחום תמיכה ג'!O421="",0,'תחום תמיכה ג'!O421))</f>
        <v/>
      </c>
      <c r="R421" s="187" t="str">
        <f t="shared" si="24"/>
        <v/>
      </c>
      <c r="S421" s="187" t="str">
        <f>IF($F421="","",'תחום תמיכה ב'!AE421)</f>
        <v/>
      </c>
      <c r="T421" s="187" t="str">
        <f>IF($F421="","",IF(Q421='תחום תמיכה ג'!$Q$2,'תחום תמיכה ג'!$Q$2,IFERROR(SUMIF(N421:R421,"&gt;0"),'תחום תמיכה ג'!$Q$2)))</f>
        <v/>
      </c>
      <c r="U421" s="187" t="str">
        <f>IF($F421="","",'הזנה לתנאי סף'!Y421)</f>
        <v/>
      </c>
      <c r="V421" s="269" t="str">
        <f>IF(F421="","",'הגבלה לסכום מבוקש '!AA421)</f>
        <v/>
      </c>
      <c r="W421" s="187" t="str">
        <f t="shared" si="26"/>
        <v/>
      </c>
      <c r="X421" s="187" t="str">
        <f>IF(F421="","",'הזנה לתנאי סף'!Z421)</f>
        <v/>
      </c>
      <c r="Y421" s="237" t="str">
        <f>IFERROR(VLOOKUP(G421*1,#REF!,3,0),"")</f>
        <v/>
      </c>
      <c r="Z421" s="187" t="str">
        <f>IF(OR($F421="",Y421=""),"",IFERROR(IF(Y421&gt;V421,MIN(Y421,T421)-V421,0),'תחום תמיכה ג'!$Q$2))</f>
        <v/>
      </c>
      <c r="AA421" s="259"/>
      <c r="AB421" s="260" t="str">
        <f t="shared" si="25"/>
        <v/>
      </c>
      <c r="AC421" s="262"/>
      <c r="AD421" s="180"/>
      <c r="AE421" s="13" t="str">
        <f>IF($C421="","",IFERROR(VLOOKUP($C421,גיליון1!$A:$E,2,0),"לא הגיש בקשה שוטפת"))</f>
        <v/>
      </c>
      <c r="AF421" s="13" t="str">
        <f>IF($C421="","",IFERROR(VLOOKUP($C421,גיליון1!$A:$E,3,0),"לא הגיש בקשה שוטפת"))</f>
        <v/>
      </c>
      <c r="AG421" s="13" t="str">
        <f>IF($C421="","",IFERROR(VLOOKUP($C421,גיליון1!$A:$E,4,0),"לא הגיש בקשה שוטפת"))</f>
        <v/>
      </c>
      <c r="AH421" s="13" t="str">
        <f>IF($C421="","",IFERROR(VLOOKUP($C421,גיליון1!$A:$E,5,0),"לא הגיש בקשה שוטפת"))</f>
        <v/>
      </c>
      <c r="AI421" s="13">
        <f t="shared" si="27"/>
        <v>0</v>
      </c>
      <c r="AK421" s="174" t="s">
        <v>250</v>
      </c>
    </row>
    <row r="422" spans="1:37" s="174" customFormat="1" x14ac:dyDescent="0.25">
      <c r="A422" s="54" t="str">
        <f>'הזנה לתנאי סף'!B422</f>
        <v/>
      </c>
      <c r="B422" s="266" t="str">
        <f>IF($F422="","",'הזנה לתנאי סף'!C422)</f>
        <v/>
      </c>
      <c r="C422" s="266" t="str">
        <f>IF($F422="","",'הזנה לתנאי סף'!D422)</f>
        <v/>
      </c>
      <c r="D422" s="266" t="str">
        <f>IF($F422="","",'הזנה לתנאי סף'!E422)</f>
        <v/>
      </c>
      <c r="E422" s="55" t="str">
        <f>IF($F422="","",'הזנה לתנאי סף'!F422)</f>
        <v/>
      </c>
      <c r="F422" s="55" t="str">
        <f>IF('הזנה לתנאי סף'!BL422=1,'הזנה לתנאי סף'!G422,"")</f>
        <v/>
      </c>
      <c r="G422" s="55" t="str">
        <f>IF($F422="","",'הזנה לתנאי סף'!H422)</f>
        <v/>
      </c>
      <c r="H422" s="55" t="str">
        <f>IF($F422="","",'הזנה לתנאי סף'!I422)</f>
        <v/>
      </c>
      <c r="I422" s="187" t="str">
        <f>IF($F422="","",'הזנה לתנאי סף'!R422)</f>
        <v/>
      </c>
      <c r="J422" s="187" t="str">
        <f>IF($F422="","",'תחום תמיכה א'!P422)</f>
        <v/>
      </c>
      <c r="K422" s="177" t="str">
        <f>IF($F422="","",'הזנה לתנאי סף'!N422)</f>
        <v/>
      </c>
      <c r="L422" s="177" t="str">
        <f>IF($F422="","",'הזנה לתנאי סף'!O422)</f>
        <v/>
      </c>
      <c r="M422" s="177" t="str">
        <f>IF($F422="","",'הזנה לתנאי סף'!Q422)</f>
        <v/>
      </c>
      <c r="N422" s="187" t="str">
        <f>IF($F422="","",'תחום תמיכה א'!AE422)</f>
        <v/>
      </c>
      <c r="O422" s="178"/>
      <c r="P422" s="187" t="str">
        <f>IF($F422="","",'תחום תמיכה ב'!AC422)</f>
        <v/>
      </c>
      <c r="Q422" s="187" t="str">
        <f>IF($F422="","",IF('תחום תמיכה ג'!O422="",0,'תחום תמיכה ג'!O422))</f>
        <v/>
      </c>
      <c r="R422" s="187" t="str">
        <f t="shared" si="24"/>
        <v/>
      </c>
      <c r="S422" s="187" t="str">
        <f>IF($F422="","",'תחום תמיכה ב'!AE422)</f>
        <v/>
      </c>
      <c r="T422" s="187" t="str">
        <f>IF($F422="","",IF(Q422='תחום תמיכה ג'!$Q$2,'תחום תמיכה ג'!$Q$2,IFERROR(SUMIF(N422:R422,"&gt;0"),'תחום תמיכה ג'!$Q$2)))</f>
        <v/>
      </c>
      <c r="U422" s="187" t="str">
        <f>IF($F422="","",'הזנה לתנאי סף'!Y422)</f>
        <v/>
      </c>
      <c r="V422" s="269" t="str">
        <f>IF(F422="","",'הגבלה לסכום מבוקש '!AA422)</f>
        <v/>
      </c>
      <c r="W422" s="187" t="str">
        <f t="shared" si="26"/>
        <v/>
      </c>
      <c r="X422" s="187" t="str">
        <f>IF(F422="","",'הזנה לתנאי סף'!Z422)</f>
        <v/>
      </c>
      <c r="Y422" s="237" t="str">
        <f>IFERROR(VLOOKUP(G422*1,#REF!,3,0),"")</f>
        <v/>
      </c>
      <c r="Z422" s="187" t="str">
        <f>IF(OR($F422="",Y422=""),"",IFERROR(IF(Y422&gt;V422,MIN(Y422,T422)-V422,0),'תחום תמיכה ג'!$Q$2))</f>
        <v/>
      </c>
      <c r="AA422" s="259"/>
      <c r="AB422" s="260" t="str">
        <f t="shared" si="25"/>
        <v/>
      </c>
      <c r="AC422" s="262"/>
      <c r="AD422" s="180"/>
      <c r="AE422" s="13" t="str">
        <f>IF($C422="","",IFERROR(VLOOKUP($C422,גיליון1!$A:$E,2,0),"לא הגיש בקשה שוטפת"))</f>
        <v/>
      </c>
      <c r="AF422" s="13" t="str">
        <f>IF($C422="","",IFERROR(VLOOKUP($C422,גיליון1!$A:$E,3,0),"לא הגיש בקשה שוטפת"))</f>
        <v/>
      </c>
      <c r="AG422" s="13" t="str">
        <f>IF($C422="","",IFERROR(VLOOKUP($C422,גיליון1!$A:$E,4,0),"לא הגיש בקשה שוטפת"))</f>
        <v/>
      </c>
      <c r="AH422" s="13" t="str">
        <f>IF($C422="","",IFERROR(VLOOKUP($C422,גיליון1!$A:$E,5,0),"לא הגיש בקשה שוטפת"))</f>
        <v/>
      </c>
      <c r="AI422" s="13">
        <f t="shared" si="27"/>
        <v>0</v>
      </c>
      <c r="AK422" s="174" t="s">
        <v>250</v>
      </c>
    </row>
    <row r="423" spans="1:37" s="174" customFormat="1" x14ac:dyDescent="0.25">
      <c r="A423" s="54" t="str">
        <f>'הזנה לתנאי סף'!B423</f>
        <v/>
      </c>
      <c r="B423" s="266" t="str">
        <f>IF($F423="","",'הזנה לתנאי סף'!C423)</f>
        <v/>
      </c>
      <c r="C423" s="266" t="str">
        <f>IF($F423="","",'הזנה לתנאי סף'!D423)</f>
        <v/>
      </c>
      <c r="D423" s="266" t="str">
        <f>IF($F423="","",'הזנה לתנאי סף'!E423)</f>
        <v/>
      </c>
      <c r="E423" s="55" t="str">
        <f>IF($F423="","",'הזנה לתנאי סף'!F423)</f>
        <v/>
      </c>
      <c r="F423" s="55" t="str">
        <f>IF('הזנה לתנאי סף'!BL423=1,'הזנה לתנאי סף'!G423,"")</f>
        <v/>
      </c>
      <c r="G423" s="55" t="str">
        <f>IF($F423="","",'הזנה לתנאי סף'!H423)</f>
        <v/>
      </c>
      <c r="H423" s="55" t="str">
        <f>IF($F423="","",'הזנה לתנאי סף'!I423)</f>
        <v/>
      </c>
      <c r="I423" s="187" t="str">
        <f>IF($F423="","",'הזנה לתנאי סף'!R423)</f>
        <v/>
      </c>
      <c r="J423" s="187" t="str">
        <f>IF($F423="","",'תחום תמיכה א'!P423)</f>
        <v/>
      </c>
      <c r="K423" s="177" t="str">
        <f>IF($F423="","",'הזנה לתנאי סף'!N423)</f>
        <v/>
      </c>
      <c r="L423" s="177" t="str">
        <f>IF($F423="","",'הזנה לתנאי סף'!O423)</f>
        <v/>
      </c>
      <c r="M423" s="177" t="str">
        <f>IF($F423="","",'הזנה לתנאי סף'!Q423)</f>
        <v/>
      </c>
      <c r="N423" s="187" t="str">
        <f>IF($F423="","",'תחום תמיכה א'!AE423)</f>
        <v/>
      </c>
      <c r="O423" s="178"/>
      <c r="P423" s="187" t="str">
        <f>IF($F423="","",'תחום תמיכה ב'!AC423)</f>
        <v/>
      </c>
      <c r="Q423" s="187" t="str">
        <f>IF($F423="","",IF('תחום תמיכה ג'!O423="",0,'תחום תמיכה ג'!O423))</f>
        <v/>
      </c>
      <c r="R423" s="187" t="str">
        <f t="shared" si="24"/>
        <v/>
      </c>
      <c r="S423" s="187" t="str">
        <f>IF($F423="","",'תחום תמיכה ב'!AE423)</f>
        <v/>
      </c>
      <c r="T423" s="187" t="str">
        <f>IF($F423="","",IF(Q423='תחום תמיכה ג'!$Q$2,'תחום תמיכה ג'!$Q$2,IFERROR(SUMIF(N423:R423,"&gt;0"),'תחום תמיכה ג'!$Q$2)))</f>
        <v/>
      </c>
      <c r="U423" s="187" t="str">
        <f>IF($F423="","",'הזנה לתנאי סף'!Y423)</f>
        <v/>
      </c>
      <c r="V423" s="269" t="str">
        <f>IF(F423="","",'הגבלה לסכום מבוקש '!AA423)</f>
        <v/>
      </c>
      <c r="W423" s="187" t="str">
        <f t="shared" si="26"/>
        <v/>
      </c>
      <c r="X423" s="187" t="str">
        <f>IF(F423="","",'הזנה לתנאי סף'!Z423)</f>
        <v/>
      </c>
      <c r="Y423" s="237" t="str">
        <f>IFERROR(VLOOKUP(G423*1,#REF!,3,0),"")</f>
        <v/>
      </c>
      <c r="Z423" s="187" t="str">
        <f>IF(OR($F423="",Y423=""),"",IFERROR(IF(Y423&gt;V423,MIN(Y423,T423)-V423,0),'תחום תמיכה ג'!$Q$2))</f>
        <v/>
      </c>
      <c r="AA423" s="259"/>
      <c r="AB423" s="260" t="str">
        <f t="shared" si="25"/>
        <v/>
      </c>
      <c r="AC423" s="262"/>
      <c r="AD423" s="180"/>
      <c r="AE423" s="13" t="str">
        <f>IF($C423="","",IFERROR(VLOOKUP($C423,גיליון1!$A:$E,2,0),"לא הגיש בקשה שוטפת"))</f>
        <v/>
      </c>
      <c r="AF423" s="13" t="str">
        <f>IF($C423="","",IFERROR(VLOOKUP($C423,גיליון1!$A:$E,3,0),"לא הגיש בקשה שוטפת"))</f>
        <v/>
      </c>
      <c r="AG423" s="13" t="str">
        <f>IF($C423="","",IFERROR(VLOOKUP($C423,גיליון1!$A:$E,4,0),"לא הגיש בקשה שוטפת"))</f>
        <v/>
      </c>
      <c r="AH423" s="13" t="str">
        <f>IF($C423="","",IFERROR(VLOOKUP($C423,גיליון1!$A:$E,5,0),"לא הגיש בקשה שוטפת"))</f>
        <v/>
      </c>
      <c r="AI423" s="13">
        <f t="shared" si="27"/>
        <v>0</v>
      </c>
      <c r="AK423" s="174" t="s">
        <v>250</v>
      </c>
    </row>
    <row r="424" spans="1:37" s="174" customFormat="1" x14ac:dyDescent="0.25">
      <c r="A424" s="54" t="str">
        <f>'הזנה לתנאי סף'!B424</f>
        <v/>
      </c>
      <c r="B424" s="266" t="str">
        <f>IF($F424="","",'הזנה לתנאי סף'!C424)</f>
        <v/>
      </c>
      <c r="C424" s="266" t="str">
        <f>IF($F424="","",'הזנה לתנאי סף'!D424)</f>
        <v/>
      </c>
      <c r="D424" s="266" t="str">
        <f>IF($F424="","",'הזנה לתנאי סף'!E424)</f>
        <v/>
      </c>
      <c r="E424" s="55" t="str">
        <f>IF($F424="","",'הזנה לתנאי סף'!F424)</f>
        <v/>
      </c>
      <c r="F424" s="55" t="str">
        <f>IF('הזנה לתנאי סף'!BL424=1,'הזנה לתנאי סף'!G424,"")</f>
        <v/>
      </c>
      <c r="G424" s="55" t="str">
        <f>IF($F424="","",'הזנה לתנאי סף'!H424)</f>
        <v/>
      </c>
      <c r="H424" s="55" t="str">
        <f>IF($F424="","",'הזנה לתנאי סף'!I424)</f>
        <v/>
      </c>
      <c r="I424" s="187" t="str">
        <f>IF($F424="","",'הזנה לתנאי סף'!R424)</f>
        <v/>
      </c>
      <c r="J424" s="187" t="str">
        <f>IF($F424="","",'תחום תמיכה א'!P424)</f>
        <v/>
      </c>
      <c r="K424" s="177" t="str">
        <f>IF($F424="","",'הזנה לתנאי סף'!N424)</f>
        <v/>
      </c>
      <c r="L424" s="177" t="str">
        <f>IF($F424="","",'הזנה לתנאי סף'!O424)</f>
        <v/>
      </c>
      <c r="M424" s="177" t="str">
        <f>IF($F424="","",'הזנה לתנאי סף'!Q424)</f>
        <v/>
      </c>
      <c r="N424" s="187" t="str">
        <f>IF($F424="","",'תחום תמיכה א'!AE424)</f>
        <v/>
      </c>
      <c r="O424" s="178"/>
      <c r="P424" s="187" t="str">
        <f>IF($F424="","",'תחום תמיכה ב'!AC424)</f>
        <v/>
      </c>
      <c r="Q424" s="187" t="str">
        <f>IF($F424="","",IF('תחום תמיכה ג'!O424="",0,'תחום תמיכה ג'!O424))</f>
        <v/>
      </c>
      <c r="R424" s="187" t="str">
        <f t="shared" si="24"/>
        <v/>
      </c>
      <c r="S424" s="187" t="str">
        <f>IF($F424="","",'תחום תמיכה ב'!AE424)</f>
        <v/>
      </c>
      <c r="T424" s="187" t="str">
        <f>IF($F424="","",IF(Q424='תחום תמיכה ג'!$Q$2,'תחום תמיכה ג'!$Q$2,IFERROR(SUMIF(N424:R424,"&gt;0"),'תחום תמיכה ג'!$Q$2)))</f>
        <v/>
      </c>
      <c r="U424" s="187" t="str">
        <f>IF($F424="","",'הזנה לתנאי סף'!Y424)</f>
        <v/>
      </c>
      <c r="V424" s="269" t="str">
        <f>IF(F424="","",'הגבלה לסכום מבוקש '!AA424)</f>
        <v/>
      </c>
      <c r="W424" s="187" t="str">
        <f t="shared" si="26"/>
        <v/>
      </c>
      <c r="X424" s="187" t="str">
        <f>IF(F424="","",'הזנה לתנאי סף'!Z424)</f>
        <v/>
      </c>
      <c r="Y424" s="237" t="str">
        <f>IFERROR(VLOOKUP(G424*1,#REF!,3,0),"")</f>
        <v/>
      </c>
      <c r="Z424" s="187" t="str">
        <f>IF(OR($F424="",Y424=""),"",IFERROR(IF(Y424&gt;V424,MIN(Y424,T424)-V424,0),'תחום תמיכה ג'!$Q$2))</f>
        <v/>
      </c>
      <c r="AA424" s="259"/>
      <c r="AB424" s="260" t="str">
        <f t="shared" si="25"/>
        <v/>
      </c>
      <c r="AC424" s="262"/>
      <c r="AD424" s="180"/>
      <c r="AE424" s="13" t="str">
        <f>IF($C424="","",IFERROR(VLOOKUP($C424,גיליון1!$A:$E,2,0),"לא הגיש בקשה שוטפת"))</f>
        <v/>
      </c>
      <c r="AF424" s="13" t="str">
        <f>IF($C424="","",IFERROR(VLOOKUP($C424,גיליון1!$A:$E,3,0),"לא הגיש בקשה שוטפת"))</f>
        <v/>
      </c>
      <c r="AG424" s="13" t="str">
        <f>IF($C424="","",IFERROR(VLOOKUP($C424,גיליון1!$A:$E,4,0),"לא הגיש בקשה שוטפת"))</f>
        <v/>
      </c>
      <c r="AH424" s="13" t="str">
        <f>IF($C424="","",IFERROR(VLOOKUP($C424,גיליון1!$A:$E,5,0),"לא הגיש בקשה שוטפת"))</f>
        <v/>
      </c>
      <c r="AI424" s="13">
        <f t="shared" si="27"/>
        <v>0</v>
      </c>
      <c r="AK424" s="174" t="s">
        <v>250</v>
      </c>
    </row>
    <row r="425" spans="1:37" s="174" customFormat="1" x14ac:dyDescent="0.25">
      <c r="A425" s="54" t="str">
        <f>'הזנה לתנאי סף'!B425</f>
        <v/>
      </c>
      <c r="B425" s="266" t="str">
        <f>IF($F425="","",'הזנה לתנאי סף'!C425)</f>
        <v/>
      </c>
      <c r="C425" s="266" t="str">
        <f>IF($F425="","",'הזנה לתנאי סף'!D425)</f>
        <v/>
      </c>
      <c r="D425" s="266" t="str">
        <f>IF($F425="","",'הזנה לתנאי סף'!E425)</f>
        <v/>
      </c>
      <c r="E425" s="55" t="str">
        <f>IF($F425="","",'הזנה לתנאי סף'!F425)</f>
        <v/>
      </c>
      <c r="F425" s="55" t="str">
        <f>IF('הזנה לתנאי סף'!BL425=1,'הזנה לתנאי סף'!G425,"")</f>
        <v/>
      </c>
      <c r="G425" s="55" t="str">
        <f>IF($F425="","",'הזנה לתנאי סף'!H425)</f>
        <v/>
      </c>
      <c r="H425" s="55" t="str">
        <f>IF($F425="","",'הזנה לתנאי סף'!I425)</f>
        <v/>
      </c>
      <c r="I425" s="187" t="str">
        <f>IF($F425="","",'הזנה לתנאי סף'!R425)</f>
        <v/>
      </c>
      <c r="J425" s="187" t="str">
        <f>IF($F425="","",'תחום תמיכה א'!P425)</f>
        <v/>
      </c>
      <c r="K425" s="177" t="str">
        <f>IF($F425="","",'הזנה לתנאי סף'!N425)</f>
        <v/>
      </c>
      <c r="L425" s="177" t="str">
        <f>IF($F425="","",'הזנה לתנאי סף'!O425)</f>
        <v/>
      </c>
      <c r="M425" s="177" t="str">
        <f>IF($F425="","",'הזנה לתנאי סף'!Q425)</f>
        <v/>
      </c>
      <c r="N425" s="187" t="str">
        <f>IF($F425="","",'תחום תמיכה א'!AE425)</f>
        <v/>
      </c>
      <c r="O425" s="178"/>
      <c r="P425" s="187" t="str">
        <f>IF($F425="","",'תחום תמיכה ב'!AC425)</f>
        <v/>
      </c>
      <c r="Q425" s="187" t="str">
        <f>IF($F425="","",IF('תחום תמיכה ג'!O425="",0,'תחום תמיכה ג'!O425))</f>
        <v/>
      </c>
      <c r="R425" s="187" t="str">
        <f t="shared" si="24"/>
        <v/>
      </c>
      <c r="S425" s="187" t="str">
        <f>IF($F425="","",'תחום תמיכה ב'!AE425)</f>
        <v/>
      </c>
      <c r="T425" s="187" t="str">
        <f>IF($F425="","",IF(Q425='תחום תמיכה ג'!$Q$2,'תחום תמיכה ג'!$Q$2,IFERROR(SUMIF(N425:R425,"&gt;0"),'תחום תמיכה ג'!$Q$2)))</f>
        <v/>
      </c>
      <c r="U425" s="187" t="str">
        <f>IF($F425="","",'הזנה לתנאי סף'!Y425)</f>
        <v/>
      </c>
      <c r="V425" s="269" t="str">
        <f>IF(F425="","",'הגבלה לסכום מבוקש '!AA425)</f>
        <v/>
      </c>
      <c r="W425" s="187" t="str">
        <f t="shared" si="26"/>
        <v/>
      </c>
      <c r="X425" s="187" t="str">
        <f>IF(F425="","",'הזנה לתנאי סף'!Z425)</f>
        <v/>
      </c>
      <c r="Y425" s="237" t="str">
        <f>IFERROR(VLOOKUP(G425*1,#REF!,3,0),"")</f>
        <v/>
      </c>
      <c r="Z425" s="187" t="str">
        <f>IF(OR($F425="",Y425=""),"",IFERROR(IF(Y425&gt;V425,MIN(Y425,T425)-V425,0),'תחום תמיכה ג'!$Q$2))</f>
        <v/>
      </c>
      <c r="AA425" s="259"/>
      <c r="AB425" s="260" t="str">
        <f t="shared" si="25"/>
        <v/>
      </c>
      <c r="AC425" s="262"/>
      <c r="AD425" s="180"/>
      <c r="AE425" s="13" t="str">
        <f>IF($C425="","",IFERROR(VLOOKUP($C425,גיליון1!$A:$E,2,0),"לא הגיש בקשה שוטפת"))</f>
        <v/>
      </c>
      <c r="AF425" s="13" t="str">
        <f>IF($C425="","",IFERROR(VLOOKUP($C425,גיליון1!$A:$E,3,0),"לא הגיש בקשה שוטפת"))</f>
        <v/>
      </c>
      <c r="AG425" s="13" t="str">
        <f>IF($C425="","",IFERROR(VLOOKUP($C425,גיליון1!$A:$E,4,0),"לא הגיש בקשה שוטפת"))</f>
        <v/>
      </c>
      <c r="AH425" s="13" t="str">
        <f>IF($C425="","",IFERROR(VLOOKUP($C425,גיליון1!$A:$E,5,0),"לא הגיש בקשה שוטפת"))</f>
        <v/>
      </c>
      <c r="AI425" s="13">
        <f t="shared" si="27"/>
        <v>0</v>
      </c>
      <c r="AK425" s="174" t="s">
        <v>250</v>
      </c>
    </row>
    <row r="426" spans="1:37" s="174" customFormat="1" x14ac:dyDescent="0.25">
      <c r="A426" s="54" t="str">
        <f>'הזנה לתנאי סף'!B426</f>
        <v/>
      </c>
      <c r="B426" s="266" t="str">
        <f>IF($F426="","",'הזנה לתנאי סף'!C426)</f>
        <v/>
      </c>
      <c r="C426" s="266" t="str">
        <f>IF($F426="","",'הזנה לתנאי סף'!D426)</f>
        <v/>
      </c>
      <c r="D426" s="266" t="str">
        <f>IF($F426="","",'הזנה לתנאי סף'!E426)</f>
        <v/>
      </c>
      <c r="E426" s="55" t="str">
        <f>IF($F426="","",'הזנה לתנאי סף'!F426)</f>
        <v/>
      </c>
      <c r="F426" s="55" t="str">
        <f>IF('הזנה לתנאי סף'!BL426=1,'הזנה לתנאי סף'!G426,"")</f>
        <v/>
      </c>
      <c r="G426" s="55" t="str">
        <f>IF($F426="","",'הזנה לתנאי סף'!H426)</f>
        <v/>
      </c>
      <c r="H426" s="55" t="str">
        <f>IF($F426="","",'הזנה לתנאי סף'!I426)</f>
        <v/>
      </c>
      <c r="I426" s="187" t="str">
        <f>IF($F426="","",'הזנה לתנאי סף'!R426)</f>
        <v/>
      </c>
      <c r="J426" s="187" t="str">
        <f>IF($F426="","",'תחום תמיכה א'!P426)</f>
        <v/>
      </c>
      <c r="K426" s="177" t="str">
        <f>IF($F426="","",'הזנה לתנאי סף'!N426)</f>
        <v/>
      </c>
      <c r="L426" s="177" t="str">
        <f>IF($F426="","",'הזנה לתנאי סף'!O426)</f>
        <v/>
      </c>
      <c r="M426" s="177" t="str">
        <f>IF($F426="","",'הזנה לתנאי סף'!Q426)</f>
        <v/>
      </c>
      <c r="N426" s="187" t="str">
        <f>IF($F426="","",'תחום תמיכה א'!AE426)</f>
        <v/>
      </c>
      <c r="O426" s="178"/>
      <c r="P426" s="187" t="str">
        <f>IF($F426="","",'תחום תמיכה ב'!AC426)</f>
        <v/>
      </c>
      <c r="Q426" s="187" t="str">
        <f>IF($F426="","",IF('תחום תמיכה ג'!O426="",0,'תחום תמיכה ג'!O426))</f>
        <v/>
      </c>
      <c r="R426" s="187" t="str">
        <f t="shared" si="24"/>
        <v/>
      </c>
      <c r="S426" s="187" t="str">
        <f>IF($F426="","",'תחום תמיכה ב'!AE426)</f>
        <v/>
      </c>
      <c r="T426" s="187" t="str">
        <f>IF($F426="","",IF(Q426='תחום תמיכה ג'!$Q$2,'תחום תמיכה ג'!$Q$2,IFERROR(SUMIF(N426:R426,"&gt;0"),'תחום תמיכה ג'!$Q$2)))</f>
        <v/>
      </c>
      <c r="U426" s="187" t="str">
        <f>IF($F426="","",'הזנה לתנאי סף'!Y426)</f>
        <v/>
      </c>
      <c r="V426" s="269" t="str">
        <f>IF(F426="","",'הגבלה לסכום מבוקש '!AA426)</f>
        <v/>
      </c>
      <c r="W426" s="187" t="str">
        <f t="shared" si="26"/>
        <v/>
      </c>
      <c r="X426" s="187" t="str">
        <f>IF(F426="","",'הזנה לתנאי סף'!Z426)</f>
        <v/>
      </c>
      <c r="Y426" s="237" t="str">
        <f>IFERROR(VLOOKUP(G426*1,#REF!,3,0),"")</f>
        <v/>
      </c>
      <c r="Z426" s="187" t="str">
        <f>IF(OR($F426="",Y426=""),"",IFERROR(IF(Y426&gt;V426,MIN(Y426,T426)-V426,0),'תחום תמיכה ג'!$Q$2))</f>
        <v/>
      </c>
      <c r="AA426" s="259"/>
      <c r="AB426" s="260" t="str">
        <f t="shared" si="25"/>
        <v/>
      </c>
      <c r="AC426" s="262"/>
      <c r="AD426" s="180"/>
      <c r="AE426" s="13" t="str">
        <f>IF($C426="","",IFERROR(VLOOKUP($C426,גיליון1!$A:$E,2,0),"לא הגיש בקשה שוטפת"))</f>
        <v/>
      </c>
      <c r="AF426" s="13" t="str">
        <f>IF($C426="","",IFERROR(VLOOKUP($C426,גיליון1!$A:$E,3,0),"לא הגיש בקשה שוטפת"))</f>
        <v/>
      </c>
      <c r="AG426" s="13" t="str">
        <f>IF($C426="","",IFERROR(VLOOKUP($C426,גיליון1!$A:$E,4,0),"לא הגיש בקשה שוטפת"))</f>
        <v/>
      </c>
      <c r="AH426" s="13" t="str">
        <f>IF($C426="","",IFERROR(VLOOKUP($C426,גיליון1!$A:$E,5,0),"לא הגיש בקשה שוטפת"))</f>
        <v/>
      </c>
      <c r="AI426" s="13">
        <f t="shared" si="27"/>
        <v>0</v>
      </c>
      <c r="AK426" s="174" t="s">
        <v>250</v>
      </c>
    </row>
    <row r="427" spans="1:37" s="174" customFormat="1" x14ac:dyDescent="0.25">
      <c r="A427" s="54" t="str">
        <f>'הזנה לתנאי סף'!B427</f>
        <v/>
      </c>
      <c r="B427" s="266" t="str">
        <f>IF($F427="","",'הזנה לתנאי סף'!C427)</f>
        <v/>
      </c>
      <c r="C427" s="266" t="str">
        <f>IF($F427="","",'הזנה לתנאי סף'!D427)</f>
        <v/>
      </c>
      <c r="D427" s="266" t="str">
        <f>IF($F427="","",'הזנה לתנאי סף'!E427)</f>
        <v/>
      </c>
      <c r="E427" s="55" t="str">
        <f>IF($F427="","",'הזנה לתנאי סף'!F427)</f>
        <v/>
      </c>
      <c r="F427" s="55" t="str">
        <f>IF('הזנה לתנאי סף'!BL427=1,'הזנה לתנאי סף'!G427,"")</f>
        <v/>
      </c>
      <c r="G427" s="55" t="str">
        <f>IF($F427="","",'הזנה לתנאי סף'!H427)</f>
        <v/>
      </c>
      <c r="H427" s="55" t="str">
        <f>IF($F427="","",'הזנה לתנאי סף'!I427)</f>
        <v/>
      </c>
      <c r="I427" s="187" t="str">
        <f>IF($F427="","",'הזנה לתנאי סף'!R427)</f>
        <v/>
      </c>
      <c r="J427" s="187" t="str">
        <f>IF($F427="","",'תחום תמיכה א'!P427)</f>
        <v/>
      </c>
      <c r="K427" s="177" t="str">
        <f>IF($F427="","",'הזנה לתנאי סף'!N427)</f>
        <v/>
      </c>
      <c r="L427" s="177" t="str">
        <f>IF($F427="","",'הזנה לתנאי סף'!O427)</f>
        <v/>
      </c>
      <c r="M427" s="177" t="str">
        <f>IF($F427="","",'הזנה לתנאי סף'!Q427)</f>
        <v/>
      </c>
      <c r="N427" s="187" t="str">
        <f>IF($F427="","",'תחום תמיכה א'!AE427)</f>
        <v/>
      </c>
      <c r="O427" s="178"/>
      <c r="P427" s="187" t="str">
        <f>IF($F427="","",'תחום תמיכה ב'!AC427)</f>
        <v/>
      </c>
      <c r="Q427" s="187" t="str">
        <f>IF($F427="","",IF('תחום תמיכה ג'!O427="",0,'תחום תמיכה ג'!O427))</f>
        <v/>
      </c>
      <c r="R427" s="187" t="str">
        <f t="shared" si="24"/>
        <v/>
      </c>
      <c r="S427" s="187" t="str">
        <f>IF($F427="","",'תחום תמיכה ב'!AE427)</f>
        <v/>
      </c>
      <c r="T427" s="187" t="str">
        <f>IF($F427="","",IF(Q427='תחום תמיכה ג'!$Q$2,'תחום תמיכה ג'!$Q$2,IFERROR(SUMIF(N427:R427,"&gt;0"),'תחום תמיכה ג'!$Q$2)))</f>
        <v/>
      </c>
      <c r="U427" s="187" t="str">
        <f>IF($F427="","",'הזנה לתנאי סף'!Y427)</f>
        <v/>
      </c>
      <c r="V427" s="269" t="str">
        <f>IF(F427="","",'הגבלה לסכום מבוקש '!AA427)</f>
        <v/>
      </c>
      <c r="W427" s="187" t="str">
        <f t="shared" si="26"/>
        <v/>
      </c>
      <c r="X427" s="187" t="str">
        <f>IF(F427="","",'הזנה לתנאי סף'!Z427)</f>
        <v/>
      </c>
      <c r="Y427" s="237" t="str">
        <f>IFERROR(VLOOKUP(G427*1,#REF!,3,0),"")</f>
        <v/>
      </c>
      <c r="Z427" s="187" t="str">
        <f>IF(OR($F427="",Y427=""),"",IFERROR(IF(Y427&gt;V427,MIN(Y427,T427)-V427,0),'תחום תמיכה ג'!$Q$2))</f>
        <v/>
      </c>
      <c r="AA427" s="259"/>
      <c r="AB427" s="260" t="str">
        <f t="shared" si="25"/>
        <v/>
      </c>
      <c r="AC427" s="262"/>
      <c r="AD427" s="180"/>
      <c r="AE427" s="13" t="str">
        <f>IF($C427="","",IFERROR(VLOOKUP($C427,גיליון1!$A:$E,2,0),"לא הגיש בקשה שוטפת"))</f>
        <v/>
      </c>
      <c r="AF427" s="13" t="str">
        <f>IF($C427="","",IFERROR(VLOOKUP($C427,גיליון1!$A:$E,3,0),"לא הגיש בקשה שוטפת"))</f>
        <v/>
      </c>
      <c r="AG427" s="13" t="str">
        <f>IF($C427="","",IFERROR(VLOOKUP($C427,גיליון1!$A:$E,4,0),"לא הגיש בקשה שוטפת"))</f>
        <v/>
      </c>
      <c r="AH427" s="13" t="str">
        <f>IF($C427="","",IFERROR(VLOOKUP($C427,גיליון1!$A:$E,5,0),"לא הגיש בקשה שוטפת"))</f>
        <v/>
      </c>
      <c r="AI427" s="13">
        <f t="shared" si="27"/>
        <v>0</v>
      </c>
      <c r="AK427" s="174" t="s">
        <v>250</v>
      </c>
    </row>
    <row r="428" spans="1:37" s="174" customFormat="1" x14ac:dyDescent="0.25">
      <c r="A428" s="54" t="str">
        <f>'הזנה לתנאי סף'!B428</f>
        <v/>
      </c>
      <c r="B428" s="266" t="str">
        <f>IF($F428="","",'הזנה לתנאי סף'!C428)</f>
        <v/>
      </c>
      <c r="C428" s="266" t="str">
        <f>IF($F428="","",'הזנה לתנאי סף'!D428)</f>
        <v/>
      </c>
      <c r="D428" s="266" t="str">
        <f>IF($F428="","",'הזנה לתנאי סף'!E428)</f>
        <v/>
      </c>
      <c r="E428" s="55" t="str">
        <f>IF($F428="","",'הזנה לתנאי סף'!F428)</f>
        <v/>
      </c>
      <c r="F428" s="55" t="str">
        <f>IF('הזנה לתנאי סף'!BL428=1,'הזנה לתנאי סף'!G428,"")</f>
        <v/>
      </c>
      <c r="G428" s="55" t="str">
        <f>IF($F428="","",'הזנה לתנאי סף'!H428)</f>
        <v/>
      </c>
      <c r="H428" s="55" t="str">
        <f>IF($F428="","",'הזנה לתנאי סף'!I428)</f>
        <v/>
      </c>
      <c r="I428" s="187" t="str">
        <f>IF($F428="","",'הזנה לתנאי סף'!R428)</f>
        <v/>
      </c>
      <c r="J428" s="187" t="str">
        <f>IF($F428="","",'תחום תמיכה א'!P428)</f>
        <v/>
      </c>
      <c r="K428" s="177" t="str">
        <f>IF($F428="","",'הזנה לתנאי סף'!N428)</f>
        <v/>
      </c>
      <c r="L428" s="177" t="str">
        <f>IF($F428="","",'הזנה לתנאי סף'!O428)</f>
        <v/>
      </c>
      <c r="M428" s="177" t="str">
        <f>IF($F428="","",'הזנה לתנאי סף'!Q428)</f>
        <v/>
      </c>
      <c r="N428" s="187" t="str">
        <f>IF($F428="","",'תחום תמיכה א'!AE428)</f>
        <v/>
      </c>
      <c r="O428" s="178"/>
      <c r="P428" s="187" t="str">
        <f>IF($F428="","",'תחום תמיכה ב'!AC428)</f>
        <v/>
      </c>
      <c r="Q428" s="187" t="str">
        <f>IF($F428="","",IF('תחום תמיכה ג'!O428="",0,'תחום תמיכה ג'!O428))</f>
        <v/>
      </c>
      <c r="R428" s="187" t="str">
        <f t="shared" si="24"/>
        <v/>
      </c>
      <c r="S428" s="187" t="str">
        <f>IF($F428="","",'תחום תמיכה ב'!AE428)</f>
        <v/>
      </c>
      <c r="T428" s="187" t="str">
        <f>IF($F428="","",IF(Q428='תחום תמיכה ג'!$Q$2,'תחום תמיכה ג'!$Q$2,IFERROR(SUMIF(N428:R428,"&gt;0"),'תחום תמיכה ג'!$Q$2)))</f>
        <v/>
      </c>
      <c r="U428" s="187" t="str">
        <f>IF($F428="","",'הזנה לתנאי סף'!Y428)</f>
        <v/>
      </c>
      <c r="V428" s="269" t="str">
        <f>IF(F428="","",'הגבלה לסכום מבוקש '!AA428)</f>
        <v/>
      </c>
      <c r="W428" s="187" t="str">
        <f t="shared" si="26"/>
        <v/>
      </c>
      <c r="X428" s="187" t="str">
        <f>IF(F428="","",'הזנה לתנאי סף'!Z428)</f>
        <v/>
      </c>
      <c r="Y428" s="237" t="str">
        <f>IFERROR(VLOOKUP(G428*1,#REF!,3,0),"")</f>
        <v/>
      </c>
      <c r="Z428" s="187" t="str">
        <f>IF(OR($F428="",Y428=""),"",IFERROR(IF(Y428&gt;V428,MIN(Y428,T428)-V428,0),'תחום תמיכה ג'!$Q$2))</f>
        <v/>
      </c>
      <c r="AA428" s="259"/>
      <c r="AB428" s="260" t="str">
        <f t="shared" si="25"/>
        <v/>
      </c>
      <c r="AC428" s="262"/>
      <c r="AD428" s="180"/>
      <c r="AE428" s="13" t="str">
        <f>IF($C428="","",IFERROR(VLOOKUP($C428,גיליון1!$A:$E,2,0),"לא הגיש בקשה שוטפת"))</f>
        <v/>
      </c>
      <c r="AF428" s="13" t="str">
        <f>IF($C428="","",IFERROR(VLOOKUP($C428,גיליון1!$A:$E,3,0),"לא הגיש בקשה שוטפת"))</f>
        <v/>
      </c>
      <c r="AG428" s="13" t="str">
        <f>IF($C428="","",IFERROR(VLOOKUP($C428,גיליון1!$A:$E,4,0),"לא הגיש בקשה שוטפת"))</f>
        <v/>
      </c>
      <c r="AH428" s="13" t="str">
        <f>IF($C428="","",IFERROR(VLOOKUP($C428,גיליון1!$A:$E,5,0),"לא הגיש בקשה שוטפת"))</f>
        <v/>
      </c>
      <c r="AI428" s="13">
        <f t="shared" si="27"/>
        <v>0</v>
      </c>
      <c r="AK428" s="174" t="s">
        <v>250</v>
      </c>
    </row>
    <row r="429" spans="1:37" s="174" customFormat="1" x14ac:dyDescent="0.25">
      <c r="A429" s="54" t="str">
        <f>'הזנה לתנאי סף'!B429</f>
        <v/>
      </c>
      <c r="B429" s="266" t="str">
        <f>IF($F429="","",'הזנה לתנאי סף'!C429)</f>
        <v/>
      </c>
      <c r="C429" s="266" t="str">
        <f>IF($F429="","",'הזנה לתנאי סף'!D429)</f>
        <v/>
      </c>
      <c r="D429" s="266" t="str">
        <f>IF($F429="","",'הזנה לתנאי סף'!E429)</f>
        <v/>
      </c>
      <c r="E429" s="55" t="str">
        <f>IF($F429="","",'הזנה לתנאי סף'!F429)</f>
        <v/>
      </c>
      <c r="F429" s="55" t="str">
        <f>IF('הזנה לתנאי סף'!BL429=1,'הזנה לתנאי סף'!G429,"")</f>
        <v/>
      </c>
      <c r="G429" s="55" t="str">
        <f>IF($F429="","",'הזנה לתנאי סף'!H429)</f>
        <v/>
      </c>
      <c r="H429" s="55" t="str">
        <f>IF($F429="","",'הזנה לתנאי סף'!I429)</f>
        <v/>
      </c>
      <c r="I429" s="187" t="str">
        <f>IF($F429="","",'הזנה לתנאי סף'!R429)</f>
        <v/>
      </c>
      <c r="J429" s="187" t="str">
        <f>IF($F429="","",'תחום תמיכה א'!P429)</f>
        <v/>
      </c>
      <c r="K429" s="177" t="str">
        <f>IF($F429="","",'הזנה לתנאי סף'!N429)</f>
        <v/>
      </c>
      <c r="L429" s="177" t="str">
        <f>IF($F429="","",'הזנה לתנאי סף'!O429)</f>
        <v/>
      </c>
      <c r="M429" s="177" t="str">
        <f>IF($F429="","",'הזנה לתנאי סף'!Q429)</f>
        <v/>
      </c>
      <c r="N429" s="187" t="str">
        <f>IF($F429="","",'תחום תמיכה א'!AE429)</f>
        <v/>
      </c>
      <c r="O429" s="178"/>
      <c r="P429" s="187" t="str">
        <f>IF($F429="","",'תחום תמיכה ב'!AC429)</f>
        <v/>
      </c>
      <c r="Q429" s="187" t="str">
        <f>IF($F429="","",IF('תחום תמיכה ג'!O429="",0,'תחום תמיכה ג'!O429))</f>
        <v/>
      </c>
      <c r="R429" s="187" t="str">
        <f t="shared" si="24"/>
        <v/>
      </c>
      <c r="S429" s="187" t="str">
        <f>IF($F429="","",'תחום תמיכה ב'!AE429)</f>
        <v/>
      </c>
      <c r="T429" s="187" t="str">
        <f>IF($F429="","",IF(Q429='תחום תמיכה ג'!$Q$2,'תחום תמיכה ג'!$Q$2,IFERROR(SUMIF(N429:R429,"&gt;0"),'תחום תמיכה ג'!$Q$2)))</f>
        <v/>
      </c>
      <c r="U429" s="187" t="str">
        <f>IF($F429="","",'הזנה לתנאי סף'!Y429)</f>
        <v/>
      </c>
      <c r="V429" s="269" t="str">
        <f>IF(F429="","",'הגבלה לסכום מבוקש '!AA429)</f>
        <v/>
      </c>
      <c r="W429" s="187" t="str">
        <f t="shared" si="26"/>
        <v/>
      </c>
      <c r="X429" s="187" t="str">
        <f>IF(F429="","",'הזנה לתנאי סף'!Z429)</f>
        <v/>
      </c>
      <c r="Y429" s="237" t="str">
        <f>IFERROR(VLOOKUP(G429*1,#REF!,3,0),"")</f>
        <v/>
      </c>
      <c r="Z429" s="187" t="str">
        <f>IF(OR($F429="",Y429=""),"",IFERROR(IF(Y429&gt;V429,MIN(Y429,T429)-V429,0),'תחום תמיכה ג'!$Q$2))</f>
        <v/>
      </c>
      <c r="AA429" s="259"/>
      <c r="AB429" s="260" t="str">
        <f t="shared" si="25"/>
        <v/>
      </c>
      <c r="AC429" s="262"/>
      <c r="AD429" s="180"/>
      <c r="AE429" s="13" t="str">
        <f>IF($C429="","",IFERROR(VLOOKUP($C429,גיליון1!$A:$E,2,0),"לא הגיש בקשה שוטפת"))</f>
        <v/>
      </c>
      <c r="AF429" s="13" t="str">
        <f>IF($C429="","",IFERROR(VLOOKUP($C429,גיליון1!$A:$E,3,0),"לא הגיש בקשה שוטפת"))</f>
        <v/>
      </c>
      <c r="AG429" s="13" t="str">
        <f>IF($C429="","",IFERROR(VLOOKUP($C429,גיליון1!$A:$E,4,0),"לא הגיש בקשה שוטפת"))</f>
        <v/>
      </c>
      <c r="AH429" s="13" t="str">
        <f>IF($C429="","",IFERROR(VLOOKUP($C429,גיליון1!$A:$E,5,0),"לא הגיש בקשה שוטפת"))</f>
        <v/>
      </c>
      <c r="AI429" s="13">
        <f t="shared" si="27"/>
        <v>0</v>
      </c>
      <c r="AK429" s="174" t="s">
        <v>250</v>
      </c>
    </row>
    <row r="430" spans="1:37" s="174" customFormat="1" x14ac:dyDescent="0.25">
      <c r="A430" s="54" t="str">
        <f>'הזנה לתנאי סף'!B430</f>
        <v/>
      </c>
      <c r="B430" s="266" t="str">
        <f>IF($F430="","",'הזנה לתנאי סף'!C430)</f>
        <v/>
      </c>
      <c r="C430" s="266" t="str">
        <f>IF($F430="","",'הזנה לתנאי סף'!D430)</f>
        <v/>
      </c>
      <c r="D430" s="266" t="str">
        <f>IF($F430="","",'הזנה לתנאי סף'!E430)</f>
        <v/>
      </c>
      <c r="E430" s="55" t="str">
        <f>IF($F430="","",'הזנה לתנאי סף'!F430)</f>
        <v/>
      </c>
      <c r="F430" s="55" t="str">
        <f>IF('הזנה לתנאי סף'!BL430=1,'הזנה לתנאי סף'!G430,"")</f>
        <v/>
      </c>
      <c r="G430" s="55" t="str">
        <f>IF($F430="","",'הזנה לתנאי סף'!H430)</f>
        <v/>
      </c>
      <c r="H430" s="55" t="str">
        <f>IF($F430="","",'הזנה לתנאי סף'!I430)</f>
        <v/>
      </c>
      <c r="I430" s="187" t="str">
        <f>IF($F430="","",'הזנה לתנאי סף'!R430)</f>
        <v/>
      </c>
      <c r="J430" s="187" t="str">
        <f>IF($F430="","",'תחום תמיכה א'!P430)</f>
        <v/>
      </c>
      <c r="K430" s="177" t="str">
        <f>IF($F430="","",'הזנה לתנאי סף'!N430)</f>
        <v/>
      </c>
      <c r="L430" s="177" t="str">
        <f>IF($F430="","",'הזנה לתנאי סף'!O430)</f>
        <v/>
      </c>
      <c r="M430" s="177" t="str">
        <f>IF($F430="","",'הזנה לתנאי סף'!Q430)</f>
        <v/>
      </c>
      <c r="N430" s="187" t="str">
        <f>IF($F430="","",'תחום תמיכה א'!AE430)</f>
        <v/>
      </c>
      <c r="O430" s="178"/>
      <c r="P430" s="187" t="str">
        <f>IF($F430="","",'תחום תמיכה ב'!AC430)</f>
        <v/>
      </c>
      <c r="Q430" s="187" t="str">
        <f>IF($F430="","",IF('תחום תמיכה ג'!O430="",0,'תחום תמיכה ג'!O430))</f>
        <v/>
      </c>
      <c r="R430" s="187" t="str">
        <f t="shared" si="24"/>
        <v/>
      </c>
      <c r="S430" s="187" t="str">
        <f>IF($F430="","",'תחום תמיכה ב'!AE430)</f>
        <v/>
      </c>
      <c r="T430" s="187" t="str">
        <f>IF($F430="","",IF(Q430='תחום תמיכה ג'!$Q$2,'תחום תמיכה ג'!$Q$2,IFERROR(SUMIF(N430:R430,"&gt;0"),'תחום תמיכה ג'!$Q$2)))</f>
        <v/>
      </c>
      <c r="U430" s="187" t="str">
        <f>IF($F430="","",'הזנה לתנאי סף'!Y430)</f>
        <v/>
      </c>
      <c r="V430" s="269" t="str">
        <f>IF(F430="","",'הגבלה לסכום מבוקש '!AA430)</f>
        <v/>
      </c>
      <c r="W430" s="187" t="str">
        <f t="shared" si="26"/>
        <v/>
      </c>
      <c r="X430" s="187" t="str">
        <f>IF(F430="","",'הזנה לתנאי סף'!Z430)</f>
        <v/>
      </c>
      <c r="Y430" s="237" t="str">
        <f>IFERROR(VLOOKUP(G430*1,#REF!,3,0),"")</f>
        <v/>
      </c>
      <c r="Z430" s="187" t="str">
        <f>IF(OR($F430="",Y430=""),"",IFERROR(IF(Y430&gt;V430,MIN(Y430,T430)-V430,0),'תחום תמיכה ג'!$Q$2))</f>
        <v/>
      </c>
      <c r="AA430" s="259"/>
      <c r="AB430" s="260" t="str">
        <f t="shared" si="25"/>
        <v/>
      </c>
      <c r="AC430" s="262"/>
      <c r="AD430" s="180"/>
      <c r="AE430" s="13" t="str">
        <f>IF($C430="","",IFERROR(VLOOKUP($C430,גיליון1!$A:$E,2,0),"לא הגיש בקשה שוטפת"))</f>
        <v/>
      </c>
      <c r="AF430" s="13" t="str">
        <f>IF($C430="","",IFERROR(VLOOKUP($C430,גיליון1!$A:$E,3,0),"לא הגיש בקשה שוטפת"))</f>
        <v/>
      </c>
      <c r="AG430" s="13" t="str">
        <f>IF($C430="","",IFERROR(VLOOKUP($C430,גיליון1!$A:$E,4,0),"לא הגיש בקשה שוטפת"))</f>
        <v/>
      </c>
      <c r="AH430" s="13" t="str">
        <f>IF($C430="","",IFERROR(VLOOKUP($C430,גיליון1!$A:$E,5,0),"לא הגיש בקשה שוטפת"))</f>
        <v/>
      </c>
      <c r="AI430" s="13">
        <f t="shared" si="27"/>
        <v>0</v>
      </c>
      <c r="AK430" s="174" t="s">
        <v>250</v>
      </c>
    </row>
    <row r="431" spans="1:37" s="174" customFormat="1" x14ac:dyDescent="0.25">
      <c r="A431" s="54" t="str">
        <f>'הזנה לתנאי סף'!B431</f>
        <v/>
      </c>
      <c r="B431" s="266" t="str">
        <f>IF($F431="","",'הזנה לתנאי סף'!C431)</f>
        <v/>
      </c>
      <c r="C431" s="266" t="str">
        <f>IF($F431="","",'הזנה לתנאי סף'!D431)</f>
        <v/>
      </c>
      <c r="D431" s="266" t="str">
        <f>IF($F431="","",'הזנה לתנאי סף'!E431)</f>
        <v/>
      </c>
      <c r="E431" s="55" t="str">
        <f>IF($F431="","",'הזנה לתנאי סף'!F431)</f>
        <v/>
      </c>
      <c r="F431" s="55" t="str">
        <f>IF('הזנה לתנאי סף'!BL431=1,'הזנה לתנאי סף'!G431,"")</f>
        <v/>
      </c>
      <c r="G431" s="55" t="str">
        <f>IF($F431="","",'הזנה לתנאי סף'!H431)</f>
        <v/>
      </c>
      <c r="H431" s="55" t="str">
        <f>IF($F431="","",'הזנה לתנאי סף'!I431)</f>
        <v/>
      </c>
      <c r="I431" s="187" t="str">
        <f>IF($F431="","",'הזנה לתנאי סף'!R431)</f>
        <v/>
      </c>
      <c r="J431" s="187" t="str">
        <f>IF($F431="","",'תחום תמיכה א'!P431)</f>
        <v/>
      </c>
      <c r="K431" s="177" t="str">
        <f>IF($F431="","",'הזנה לתנאי סף'!N431)</f>
        <v/>
      </c>
      <c r="L431" s="177" t="str">
        <f>IF($F431="","",'הזנה לתנאי סף'!O431)</f>
        <v/>
      </c>
      <c r="M431" s="177" t="str">
        <f>IF($F431="","",'הזנה לתנאי סף'!Q431)</f>
        <v/>
      </c>
      <c r="N431" s="187" t="str">
        <f>IF($F431="","",'תחום תמיכה א'!AE431)</f>
        <v/>
      </c>
      <c r="O431" s="178"/>
      <c r="P431" s="187" t="str">
        <f>IF($F431="","",'תחום תמיכה ב'!AC431)</f>
        <v/>
      </c>
      <c r="Q431" s="187" t="str">
        <f>IF($F431="","",IF('תחום תמיכה ג'!O431="",0,'תחום תמיכה ג'!O431))</f>
        <v/>
      </c>
      <c r="R431" s="187" t="str">
        <f t="shared" si="24"/>
        <v/>
      </c>
      <c r="S431" s="187" t="str">
        <f>IF($F431="","",'תחום תמיכה ב'!AE431)</f>
        <v/>
      </c>
      <c r="T431" s="187" t="str">
        <f>IF($F431="","",IF(Q431='תחום תמיכה ג'!$Q$2,'תחום תמיכה ג'!$Q$2,IFERROR(SUMIF(N431:R431,"&gt;0"),'תחום תמיכה ג'!$Q$2)))</f>
        <v/>
      </c>
      <c r="U431" s="187" t="str">
        <f>IF($F431="","",'הזנה לתנאי סף'!Y431)</f>
        <v/>
      </c>
      <c r="V431" s="269" t="str">
        <f>IF(F431="","",'הגבלה לסכום מבוקש '!AA431)</f>
        <v/>
      </c>
      <c r="W431" s="187" t="str">
        <f t="shared" si="26"/>
        <v/>
      </c>
      <c r="X431" s="187" t="str">
        <f>IF(F431="","",'הזנה לתנאי סף'!Z431)</f>
        <v/>
      </c>
      <c r="Y431" s="237" t="str">
        <f>IFERROR(VLOOKUP(G431*1,#REF!,3,0),"")</f>
        <v/>
      </c>
      <c r="Z431" s="187" t="str">
        <f>IF(OR($F431="",Y431=""),"",IFERROR(IF(Y431&gt;V431,MIN(Y431,T431)-V431,0),'תחום תמיכה ג'!$Q$2))</f>
        <v/>
      </c>
      <c r="AA431" s="259"/>
      <c r="AB431" s="260" t="str">
        <f t="shared" si="25"/>
        <v/>
      </c>
      <c r="AC431" s="262"/>
      <c r="AD431" s="180"/>
      <c r="AE431" s="13" t="str">
        <f>IF($C431="","",IFERROR(VLOOKUP($C431,גיליון1!$A:$E,2,0),"לא הגיש בקשה שוטפת"))</f>
        <v/>
      </c>
      <c r="AF431" s="13" t="str">
        <f>IF($C431="","",IFERROR(VLOOKUP($C431,גיליון1!$A:$E,3,0),"לא הגיש בקשה שוטפת"))</f>
        <v/>
      </c>
      <c r="AG431" s="13" t="str">
        <f>IF($C431="","",IFERROR(VLOOKUP($C431,גיליון1!$A:$E,4,0),"לא הגיש בקשה שוטפת"))</f>
        <v/>
      </c>
      <c r="AH431" s="13" t="str">
        <f>IF($C431="","",IFERROR(VLOOKUP($C431,גיליון1!$A:$E,5,0),"לא הגיש בקשה שוטפת"))</f>
        <v/>
      </c>
      <c r="AI431" s="13">
        <f t="shared" si="27"/>
        <v>0</v>
      </c>
      <c r="AK431" s="174" t="s">
        <v>250</v>
      </c>
    </row>
    <row r="432" spans="1:37" s="174" customFormat="1" x14ac:dyDescent="0.25">
      <c r="A432" s="54" t="str">
        <f>'הזנה לתנאי סף'!B432</f>
        <v/>
      </c>
      <c r="B432" s="266" t="str">
        <f>IF($F432="","",'הזנה לתנאי סף'!C432)</f>
        <v/>
      </c>
      <c r="C432" s="266" t="str">
        <f>IF($F432="","",'הזנה לתנאי סף'!D432)</f>
        <v/>
      </c>
      <c r="D432" s="266" t="str">
        <f>IF($F432="","",'הזנה לתנאי סף'!E432)</f>
        <v/>
      </c>
      <c r="E432" s="55" t="str">
        <f>IF($F432="","",'הזנה לתנאי סף'!F432)</f>
        <v/>
      </c>
      <c r="F432" s="55" t="str">
        <f>IF('הזנה לתנאי סף'!BL432=1,'הזנה לתנאי סף'!G432,"")</f>
        <v/>
      </c>
      <c r="G432" s="55" t="str">
        <f>IF($F432="","",'הזנה לתנאי סף'!H432)</f>
        <v/>
      </c>
      <c r="H432" s="55" t="str">
        <f>IF($F432="","",'הזנה לתנאי סף'!I432)</f>
        <v/>
      </c>
      <c r="I432" s="187" t="str">
        <f>IF($F432="","",'הזנה לתנאי סף'!R432)</f>
        <v/>
      </c>
      <c r="J432" s="187" t="str">
        <f>IF($F432="","",'תחום תמיכה א'!P432)</f>
        <v/>
      </c>
      <c r="K432" s="177" t="str">
        <f>IF($F432="","",'הזנה לתנאי סף'!N432)</f>
        <v/>
      </c>
      <c r="L432" s="177" t="str">
        <f>IF($F432="","",'הזנה לתנאי סף'!O432)</f>
        <v/>
      </c>
      <c r="M432" s="177" t="str">
        <f>IF($F432="","",'הזנה לתנאי סף'!Q432)</f>
        <v/>
      </c>
      <c r="N432" s="187" t="str">
        <f>IF($F432="","",'תחום תמיכה א'!AE432)</f>
        <v/>
      </c>
      <c r="O432" s="178"/>
      <c r="P432" s="187" t="str">
        <f>IF($F432="","",'תחום תמיכה ב'!AC432)</f>
        <v/>
      </c>
      <c r="Q432" s="187" t="str">
        <f>IF($F432="","",IF('תחום תמיכה ג'!O432="",0,'תחום תמיכה ג'!O432))</f>
        <v/>
      </c>
      <c r="R432" s="187" t="str">
        <f t="shared" si="24"/>
        <v/>
      </c>
      <c r="S432" s="187" t="str">
        <f>IF($F432="","",'תחום תמיכה ב'!AE432)</f>
        <v/>
      </c>
      <c r="T432" s="187" t="str">
        <f>IF($F432="","",IF(Q432='תחום תמיכה ג'!$Q$2,'תחום תמיכה ג'!$Q$2,IFERROR(SUMIF(N432:R432,"&gt;0"),'תחום תמיכה ג'!$Q$2)))</f>
        <v/>
      </c>
      <c r="U432" s="187" t="str">
        <f>IF($F432="","",'הזנה לתנאי סף'!Y432)</f>
        <v/>
      </c>
      <c r="V432" s="269" t="str">
        <f>IF(F432="","",'הגבלה לסכום מבוקש '!AA432)</f>
        <v/>
      </c>
      <c r="W432" s="187" t="str">
        <f t="shared" si="26"/>
        <v/>
      </c>
      <c r="X432" s="187" t="str">
        <f>IF(F432="","",'הזנה לתנאי סף'!Z432)</f>
        <v/>
      </c>
      <c r="Y432" s="237" t="str">
        <f>IFERROR(VLOOKUP(G432*1,#REF!,3,0),"")</f>
        <v/>
      </c>
      <c r="Z432" s="187" t="str">
        <f>IF(OR($F432="",Y432=""),"",IFERROR(IF(Y432&gt;V432,MIN(Y432,T432)-V432,0),'תחום תמיכה ג'!$Q$2))</f>
        <v/>
      </c>
      <c r="AA432" s="259"/>
      <c r="AB432" s="260" t="str">
        <f t="shared" si="25"/>
        <v/>
      </c>
      <c r="AC432" s="262"/>
      <c r="AD432" s="180"/>
      <c r="AE432" s="13" t="str">
        <f>IF($C432="","",IFERROR(VLOOKUP($C432,גיליון1!$A:$E,2,0),"לא הגיש בקשה שוטפת"))</f>
        <v/>
      </c>
      <c r="AF432" s="13" t="str">
        <f>IF($C432="","",IFERROR(VLOOKUP($C432,גיליון1!$A:$E,3,0),"לא הגיש בקשה שוטפת"))</f>
        <v/>
      </c>
      <c r="AG432" s="13" t="str">
        <f>IF($C432="","",IFERROR(VLOOKUP($C432,גיליון1!$A:$E,4,0),"לא הגיש בקשה שוטפת"))</f>
        <v/>
      </c>
      <c r="AH432" s="13" t="str">
        <f>IF($C432="","",IFERROR(VLOOKUP($C432,גיליון1!$A:$E,5,0),"לא הגיש בקשה שוטפת"))</f>
        <v/>
      </c>
      <c r="AI432" s="13">
        <f t="shared" si="27"/>
        <v>0</v>
      </c>
      <c r="AK432" s="174" t="s">
        <v>250</v>
      </c>
    </row>
    <row r="433" spans="1:37" s="174" customFormat="1" x14ac:dyDescent="0.25">
      <c r="A433" s="54" t="str">
        <f>'הזנה לתנאי סף'!B433</f>
        <v/>
      </c>
      <c r="B433" s="266" t="str">
        <f>IF($F433="","",'הזנה לתנאי סף'!C433)</f>
        <v/>
      </c>
      <c r="C433" s="266" t="str">
        <f>IF($F433="","",'הזנה לתנאי סף'!D433)</f>
        <v/>
      </c>
      <c r="D433" s="266" t="str">
        <f>IF($F433="","",'הזנה לתנאי סף'!E433)</f>
        <v/>
      </c>
      <c r="E433" s="55" t="str">
        <f>IF($F433="","",'הזנה לתנאי סף'!F433)</f>
        <v/>
      </c>
      <c r="F433" s="55" t="str">
        <f>IF('הזנה לתנאי סף'!BL433=1,'הזנה לתנאי סף'!G433,"")</f>
        <v/>
      </c>
      <c r="G433" s="55" t="str">
        <f>IF($F433="","",'הזנה לתנאי סף'!H433)</f>
        <v/>
      </c>
      <c r="H433" s="55" t="str">
        <f>IF($F433="","",'הזנה לתנאי סף'!I433)</f>
        <v/>
      </c>
      <c r="I433" s="187" t="str">
        <f>IF($F433="","",'הזנה לתנאי סף'!R433)</f>
        <v/>
      </c>
      <c r="J433" s="187" t="str">
        <f>IF($F433="","",'תחום תמיכה א'!P433)</f>
        <v/>
      </c>
      <c r="K433" s="177" t="str">
        <f>IF($F433="","",'הזנה לתנאי סף'!N433)</f>
        <v/>
      </c>
      <c r="L433" s="177" t="str">
        <f>IF($F433="","",'הזנה לתנאי סף'!O433)</f>
        <v/>
      </c>
      <c r="M433" s="177" t="str">
        <f>IF($F433="","",'הזנה לתנאי סף'!Q433)</f>
        <v/>
      </c>
      <c r="N433" s="187" t="str">
        <f>IF($F433="","",'תחום תמיכה א'!AE433)</f>
        <v/>
      </c>
      <c r="O433" s="178"/>
      <c r="P433" s="187" t="str">
        <f>IF($F433="","",'תחום תמיכה ב'!AC433)</f>
        <v/>
      </c>
      <c r="Q433" s="187" t="str">
        <f>IF($F433="","",IF('תחום תמיכה ג'!O433="",0,'תחום תמיכה ג'!O433))</f>
        <v/>
      </c>
      <c r="R433" s="187" t="str">
        <f t="shared" si="24"/>
        <v/>
      </c>
      <c r="S433" s="187" t="str">
        <f>IF($F433="","",'תחום תמיכה ב'!AE433)</f>
        <v/>
      </c>
      <c r="T433" s="187" t="str">
        <f>IF($F433="","",IF(Q433='תחום תמיכה ג'!$Q$2,'תחום תמיכה ג'!$Q$2,IFERROR(SUMIF(N433:R433,"&gt;0"),'תחום תמיכה ג'!$Q$2)))</f>
        <v/>
      </c>
      <c r="U433" s="187" t="str">
        <f>IF($F433="","",'הזנה לתנאי סף'!Y433)</f>
        <v/>
      </c>
      <c r="V433" s="269" t="str">
        <f>IF(F433="","",'הגבלה לסכום מבוקש '!AA433)</f>
        <v/>
      </c>
      <c r="W433" s="187" t="str">
        <f t="shared" si="26"/>
        <v/>
      </c>
      <c r="X433" s="187" t="str">
        <f>IF(F433="","",'הזנה לתנאי סף'!Z433)</f>
        <v/>
      </c>
      <c r="Y433" s="237" t="str">
        <f>IFERROR(VLOOKUP(G433*1,#REF!,3,0),"")</f>
        <v/>
      </c>
      <c r="Z433" s="187" t="str">
        <f>IF(OR($F433="",Y433=""),"",IFERROR(IF(Y433&gt;V433,MIN(Y433,T433)-V433,0),'תחום תמיכה ג'!$Q$2))</f>
        <v/>
      </c>
      <c r="AA433" s="259"/>
      <c r="AB433" s="260" t="str">
        <f t="shared" si="25"/>
        <v/>
      </c>
      <c r="AC433" s="262"/>
      <c r="AD433" s="180"/>
      <c r="AE433" s="13" t="str">
        <f>IF($C433="","",IFERROR(VLOOKUP($C433,גיליון1!$A:$E,2,0),"לא הגיש בקשה שוטפת"))</f>
        <v/>
      </c>
      <c r="AF433" s="13" t="str">
        <f>IF($C433="","",IFERROR(VLOOKUP($C433,גיליון1!$A:$E,3,0),"לא הגיש בקשה שוטפת"))</f>
        <v/>
      </c>
      <c r="AG433" s="13" t="str">
        <f>IF($C433="","",IFERROR(VLOOKUP($C433,גיליון1!$A:$E,4,0),"לא הגיש בקשה שוטפת"))</f>
        <v/>
      </c>
      <c r="AH433" s="13" t="str">
        <f>IF($C433="","",IFERROR(VLOOKUP($C433,גיליון1!$A:$E,5,0),"לא הגיש בקשה שוטפת"))</f>
        <v/>
      </c>
      <c r="AI433" s="13">
        <f t="shared" si="27"/>
        <v>0</v>
      </c>
      <c r="AK433" s="174" t="s">
        <v>250</v>
      </c>
    </row>
    <row r="434" spans="1:37" s="174" customFormat="1" x14ac:dyDescent="0.25">
      <c r="A434" s="54" t="str">
        <f>'הזנה לתנאי סף'!B434</f>
        <v/>
      </c>
      <c r="B434" s="266" t="str">
        <f>IF($F434="","",'הזנה לתנאי סף'!C434)</f>
        <v/>
      </c>
      <c r="C434" s="266" t="str">
        <f>IF($F434="","",'הזנה לתנאי סף'!D434)</f>
        <v/>
      </c>
      <c r="D434" s="266" t="str">
        <f>IF($F434="","",'הזנה לתנאי סף'!E434)</f>
        <v/>
      </c>
      <c r="E434" s="55" t="str">
        <f>IF($F434="","",'הזנה לתנאי סף'!F434)</f>
        <v/>
      </c>
      <c r="F434" s="55" t="str">
        <f>IF('הזנה לתנאי סף'!BL434=1,'הזנה לתנאי סף'!G434,"")</f>
        <v/>
      </c>
      <c r="G434" s="55" t="str">
        <f>IF($F434="","",'הזנה לתנאי סף'!H434)</f>
        <v/>
      </c>
      <c r="H434" s="55" t="str">
        <f>IF($F434="","",'הזנה לתנאי סף'!I434)</f>
        <v/>
      </c>
      <c r="I434" s="187" t="str">
        <f>IF($F434="","",'הזנה לתנאי סף'!R434)</f>
        <v/>
      </c>
      <c r="J434" s="187" t="str">
        <f>IF($F434="","",'תחום תמיכה א'!P434)</f>
        <v/>
      </c>
      <c r="K434" s="177" t="str">
        <f>IF($F434="","",'הזנה לתנאי סף'!N434)</f>
        <v/>
      </c>
      <c r="L434" s="177" t="str">
        <f>IF($F434="","",'הזנה לתנאי סף'!O434)</f>
        <v/>
      </c>
      <c r="M434" s="177" t="str">
        <f>IF($F434="","",'הזנה לתנאי סף'!Q434)</f>
        <v/>
      </c>
      <c r="N434" s="187" t="str">
        <f>IF($F434="","",'תחום תמיכה א'!AE434)</f>
        <v/>
      </c>
      <c r="O434" s="178"/>
      <c r="P434" s="187" t="str">
        <f>IF($F434="","",'תחום תמיכה ב'!AC434)</f>
        <v/>
      </c>
      <c r="Q434" s="187" t="str">
        <f>IF($F434="","",IF('תחום תמיכה ג'!O434="",0,'תחום תמיכה ג'!O434))</f>
        <v/>
      </c>
      <c r="R434" s="187" t="str">
        <f t="shared" si="24"/>
        <v/>
      </c>
      <c r="S434" s="187" t="str">
        <f>IF($F434="","",'תחום תמיכה ב'!AE434)</f>
        <v/>
      </c>
      <c r="T434" s="187" t="str">
        <f>IF($F434="","",IF(Q434='תחום תמיכה ג'!$Q$2,'תחום תמיכה ג'!$Q$2,IFERROR(SUMIF(N434:R434,"&gt;0"),'תחום תמיכה ג'!$Q$2)))</f>
        <v/>
      </c>
      <c r="U434" s="187" t="str">
        <f>IF($F434="","",'הזנה לתנאי סף'!Y434)</f>
        <v/>
      </c>
      <c r="V434" s="269" t="str">
        <f>IF(F434="","",'הגבלה לסכום מבוקש '!AA434)</f>
        <v/>
      </c>
      <c r="W434" s="187" t="str">
        <f t="shared" si="26"/>
        <v/>
      </c>
      <c r="X434" s="187" t="str">
        <f>IF(F434="","",'הזנה לתנאי סף'!Z434)</f>
        <v/>
      </c>
      <c r="Y434" s="237" t="str">
        <f>IFERROR(VLOOKUP(G434*1,#REF!,3,0),"")</f>
        <v/>
      </c>
      <c r="Z434" s="187" t="str">
        <f>IF(OR($F434="",Y434=""),"",IFERROR(IF(Y434&gt;V434,MIN(Y434,T434)-V434,0),'תחום תמיכה ג'!$Q$2))</f>
        <v/>
      </c>
      <c r="AA434" s="259"/>
      <c r="AB434" s="260" t="str">
        <f t="shared" si="25"/>
        <v/>
      </c>
      <c r="AC434" s="262"/>
      <c r="AD434" s="180"/>
      <c r="AE434" s="13" t="str">
        <f>IF($C434="","",IFERROR(VLOOKUP($C434,גיליון1!$A:$E,2,0),"לא הגיש בקשה שוטפת"))</f>
        <v/>
      </c>
      <c r="AF434" s="13" t="str">
        <f>IF($C434="","",IFERROR(VLOOKUP($C434,גיליון1!$A:$E,3,0),"לא הגיש בקשה שוטפת"))</f>
        <v/>
      </c>
      <c r="AG434" s="13" t="str">
        <f>IF($C434="","",IFERROR(VLOOKUP($C434,גיליון1!$A:$E,4,0),"לא הגיש בקשה שוטפת"))</f>
        <v/>
      </c>
      <c r="AH434" s="13" t="str">
        <f>IF($C434="","",IFERROR(VLOOKUP($C434,גיליון1!$A:$E,5,0),"לא הגיש בקשה שוטפת"))</f>
        <v/>
      </c>
      <c r="AI434" s="13">
        <f t="shared" si="27"/>
        <v>0</v>
      </c>
      <c r="AK434" s="174" t="s">
        <v>250</v>
      </c>
    </row>
    <row r="435" spans="1:37" s="174" customFormat="1" x14ac:dyDescent="0.25">
      <c r="A435" s="54" t="str">
        <f>'הזנה לתנאי סף'!B435</f>
        <v/>
      </c>
      <c r="B435" s="266" t="str">
        <f>IF($F435="","",'הזנה לתנאי סף'!C435)</f>
        <v/>
      </c>
      <c r="C435" s="266" t="str">
        <f>IF($F435="","",'הזנה לתנאי סף'!D435)</f>
        <v/>
      </c>
      <c r="D435" s="266" t="str">
        <f>IF($F435="","",'הזנה לתנאי סף'!E435)</f>
        <v/>
      </c>
      <c r="E435" s="55" t="str">
        <f>IF($F435="","",'הזנה לתנאי סף'!F435)</f>
        <v/>
      </c>
      <c r="F435" s="55" t="str">
        <f>IF('הזנה לתנאי סף'!BL435=1,'הזנה לתנאי סף'!G435,"")</f>
        <v/>
      </c>
      <c r="G435" s="55" t="str">
        <f>IF($F435="","",'הזנה לתנאי סף'!H435)</f>
        <v/>
      </c>
      <c r="H435" s="55" t="str">
        <f>IF($F435="","",'הזנה לתנאי סף'!I435)</f>
        <v/>
      </c>
      <c r="I435" s="187" t="str">
        <f>IF($F435="","",'הזנה לתנאי סף'!R435)</f>
        <v/>
      </c>
      <c r="J435" s="187" t="str">
        <f>IF($F435="","",'תחום תמיכה א'!P435)</f>
        <v/>
      </c>
      <c r="K435" s="177" t="str">
        <f>IF($F435="","",'הזנה לתנאי סף'!N435)</f>
        <v/>
      </c>
      <c r="L435" s="177" t="str">
        <f>IF($F435="","",'הזנה לתנאי סף'!O435)</f>
        <v/>
      </c>
      <c r="M435" s="177" t="str">
        <f>IF($F435="","",'הזנה לתנאי סף'!Q435)</f>
        <v/>
      </c>
      <c r="N435" s="187" t="str">
        <f>IF($F435="","",'תחום תמיכה א'!AE435)</f>
        <v/>
      </c>
      <c r="O435" s="178"/>
      <c r="P435" s="187" t="str">
        <f>IF($F435="","",'תחום תמיכה ב'!AC435)</f>
        <v/>
      </c>
      <c r="Q435" s="187" t="str">
        <f>IF($F435="","",IF('תחום תמיכה ג'!O435="",0,'תחום תמיכה ג'!O435))</f>
        <v/>
      </c>
      <c r="R435" s="187" t="str">
        <f t="shared" si="24"/>
        <v/>
      </c>
      <c r="S435" s="187" t="str">
        <f>IF($F435="","",'תחום תמיכה ב'!AE435)</f>
        <v/>
      </c>
      <c r="T435" s="187" t="str">
        <f>IF($F435="","",IF(Q435='תחום תמיכה ג'!$Q$2,'תחום תמיכה ג'!$Q$2,IFERROR(SUMIF(N435:R435,"&gt;0"),'תחום תמיכה ג'!$Q$2)))</f>
        <v/>
      </c>
      <c r="U435" s="187" t="str">
        <f>IF($F435="","",'הזנה לתנאי סף'!Y435)</f>
        <v/>
      </c>
      <c r="V435" s="269" t="str">
        <f>IF(F435="","",'הגבלה לסכום מבוקש '!AA435)</f>
        <v/>
      </c>
      <c r="W435" s="187" t="str">
        <f t="shared" si="26"/>
        <v/>
      </c>
      <c r="X435" s="187" t="str">
        <f>IF(F435="","",'הזנה לתנאי סף'!Z435)</f>
        <v/>
      </c>
      <c r="Y435" s="237" t="str">
        <f>IFERROR(VLOOKUP(G435*1,#REF!,3,0),"")</f>
        <v/>
      </c>
      <c r="Z435" s="187" t="str">
        <f>IF(OR($F435="",Y435=""),"",IFERROR(IF(Y435&gt;V435,MIN(Y435,T435)-V435,0),'תחום תמיכה ג'!$Q$2))</f>
        <v/>
      </c>
      <c r="AA435" s="259"/>
      <c r="AB435" s="260" t="str">
        <f t="shared" si="25"/>
        <v/>
      </c>
      <c r="AC435" s="262"/>
      <c r="AD435" s="180"/>
      <c r="AE435" s="13" t="str">
        <f>IF($C435="","",IFERROR(VLOOKUP($C435,גיליון1!$A:$E,2,0),"לא הגיש בקשה שוטפת"))</f>
        <v/>
      </c>
      <c r="AF435" s="13" t="str">
        <f>IF($C435="","",IFERROR(VLOOKUP($C435,גיליון1!$A:$E,3,0),"לא הגיש בקשה שוטפת"))</f>
        <v/>
      </c>
      <c r="AG435" s="13" t="str">
        <f>IF($C435="","",IFERROR(VLOOKUP($C435,גיליון1!$A:$E,4,0),"לא הגיש בקשה שוטפת"))</f>
        <v/>
      </c>
      <c r="AH435" s="13" t="str">
        <f>IF($C435="","",IFERROR(VLOOKUP($C435,גיליון1!$A:$E,5,0),"לא הגיש בקשה שוטפת"))</f>
        <v/>
      </c>
      <c r="AI435" s="13">
        <f t="shared" si="27"/>
        <v>0</v>
      </c>
      <c r="AK435" s="174" t="s">
        <v>250</v>
      </c>
    </row>
    <row r="436" spans="1:37" s="174" customFormat="1" x14ac:dyDescent="0.25">
      <c r="A436" s="54" t="str">
        <f>'הזנה לתנאי סף'!B436</f>
        <v/>
      </c>
      <c r="B436" s="266" t="str">
        <f>IF($F436="","",'הזנה לתנאי סף'!C436)</f>
        <v/>
      </c>
      <c r="C436" s="266" t="str">
        <f>IF($F436="","",'הזנה לתנאי סף'!D436)</f>
        <v/>
      </c>
      <c r="D436" s="266" t="str">
        <f>IF($F436="","",'הזנה לתנאי סף'!E436)</f>
        <v/>
      </c>
      <c r="E436" s="55" t="str">
        <f>IF($F436="","",'הזנה לתנאי סף'!F436)</f>
        <v/>
      </c>
      <c r="F436" s="55" t="str">
        <f>IF('הזנה לתנאי סף'!BL436=1,'הזנה לתנאי סף'!G436,"")</f>
        <v/>
      </c>
      <c r="G436" s="55" t="str">
        <f>IF($F436="","",'הזנה לתנאי סף'!H436)</f>
        <v/>
      </c>
      <c r="H436" s="55" t="str">
        <f>IF($F436="","",'הזנה לתנאי סף'!I436)</f>
        <v/>
      </c>
      <c r="I436" s="187" t="str">
        <f>IF($F436="","",'הזנה לתנאי סף'!R436)</f>
        <v/>
      </c>
      <c r="J436" s="187" t="str">
        <f>IF($F436="","",'תחום תמיכה א'!P436)</f>
        <v/>
      </c>
      <c r="K436" s="177" t="str">
        <f>IF($F436="","",'הזנה לתנאי סף'!N436)</f>
        <v/>
      </c>
      <c r="L436" s="177" t="str">
        <f>IF($F436="","",'הזנה לתנאי סף'!O436)</f>
        <v/>
      </c>
      <c r="M436" s="177" t="str">
        <f>IF($F436="","",'הזנה לתנאי סף'!Q436)</f>
        <v/>
      </c>
      <c r="N436" s="187" t="str">
        <f>IF($F436="","",'תחום תמיכה א'!AE436)</f>
        <v/>
      </c>
      <c r="O436" s="178"/>
      <c r="P436" s="187" t="str">
        <f>IF($F436="","",'תחום תמיכה ב'!AC436)</f>
        <v/>
      </c>
      <c r="Q436" s="187" t="str">
        <f>IF($F436="","",IF('תחום תמיכה ג'!O436="",0,'תחום תמיכה ג'!O436))</f>
        <v/>
      </c>
      <c r="R436" s="187" t="str">
        <f t="shared" si="24"/>
        <v/>
      </c>
      <c r="S436" s="187" t="str">
        <f>IF($F436="","",'תחום תמיכה ב'!AE436)</f>
        <v/>
      </c>
      <c r="T436" s="187" t="str">
        <f>IF($F436="","",IF(Q436='תחום תמיכה ג'!$Q$2,'תחום תמיכה ג'!$Q$2,IFERROR(SUMIF(N436:R436,"&gt;0"),'תחום תמיכה ג'!$Q$2)))</f>
        <v/>
      </c>
      <c r="U436" s="187" t="str">
        <f>IF($F436="","",'הזנה לתנאי סף'!Y436)</f>
        <v/>
      </c>
      <c r="V436" s="269" t="str">
        <f>IF(F436="","",'הגבלה לסכום מבוקש '!AA436)</f>
        <v/>
      </c>
      <c r="W436" s="187" t="str">
        <f t="shared" si="26"/>
        <v/>
      </c>
      <c r="X436" s="187" t="str">
        <f>IF(F436="","",'הזנה לתנאי סף'!Z436)</f>
        <v/>
      </c>
      <c r="Y436" s="237" t="str">
        <f>IFERROR(VLOOKUP(G436*1,#REF!,3,0),"")</f>
        <v/>
      </c>
      <c r="Z436" s="187" t="str">
        <f>IF(OR($F436="",Y436=""),"",IFERROR(IF(Y436&gt;V436,MIN(Y436,T436)-V436,0),'תחום תמיכה ג'!$Q$2))</f>
        <v/>
      </c>
      <c r="AA436" s="259"/>
      <c r="AB436" s="260" t="str">
        <f t="shared" si="25"/>
        <v/>
      </c>
      <c r="AC436" s="262"/>
      <c r="AD436" s="180"/>
      <c r="AE436" s="13" t="str">
        <f>IF($C436="","",IFERROR(VLOOKUP($C436,גיליון1!$A:$E,2,0),"לא הגיש בקשה שוטפת"))</f>
        <v/>
      </c>
      <c r="AF436" s="13" t="str">
        <f>IF($C436="","",IFERROR(VLOOKUP($C436,גיליון1!$A:$E,3,0),"לא הגיש בקשה שוטפת"))</f>
        <v/>
      </c>
      <c r="AG436" s="13" t="str">
        <f>IF($C436="","",IFERROR(VLOOKUP($C436,גיליון1!$A:$E,4,0),"לא הגיש בקשה שוטפת"))</f>
        <v/>
      </c>
      <c r="AH436" s="13" t="str">
        <f>IF($C436="","",IFERROR(VLOOKUP($C436,גיליון1!$A:$E,5,0),"לא הגיש בקשה שוטפת"))</f>
        <v/>
      </c>
      <c r="AI436" s="13">
        <f t="shared" si="27"/>
        <v>0</v>
      </c>
      <c r="AK436" s="174" t="s">
        <v>250</v>
      </c>
    </row>
    <row r="437" spans="1:37" s="174" customFormat="1" x14ac:dyDescent="0.25">
      <c r="A437" s="54" t="str">
        <f>'הזנה לתנאי סף'!B437</f>
        <v/>
      </c>
      <c r="B437" s="266" t="str">
        <f>IF($F437="","",'הזנה לתנאי סף'!C437)</f>
        <v/>
      </c>
      <c r="C437" s="266" t="str">
        <f>IF($F437="","",'הזנה לתנאי סף'!D437)</f>
        <v/>
      </c>
      <c r="D437" s="266" t="str">
        <f>IF($F437="","",'הזנה לתנאי סף'!E437)</f>
        <v/>
      </c>
      <c r="E437" s="55" t="str">
        <f>IF($F437="","",'הזנה לתנאי סף'!F437)</f>
        <v/>
      </c>
      <c r="F437" s="55" t="str">
        <f>IF('הזנה לתנאי סף'!BL437=1,'הזנה לתנאי סף'!G437,"")</f>
        <v/>
      </c>
      <c r="G437" s="55" t="str">
        <f>IF($F437="","",'הזנה לתנאי סף'!H437)</f>
        <v/>
      </c>
      <c r="H437" s="55" t="str">
        <f>IF($F437="","",'הזנה לתנאי סף'!I437)</f>
        <v/>
      </c>
      <c r="I437" s="187" t="str">
        <f>IF($F437="","",'הזנה לתנאי סף'!R437)</f>
        <v/>
      </c>
      <c r="J437" s="187" t="str">
        <f>IF($F437="","",'תחום תמיכה א'!P437)</f>
        <v/>
      </c>
      <c r="K437" s="177" t="str">
        <f>IF($F437="","",'הזנה לתנאי סף'!N437)</f>
        <v/>
      </c>
      <c r="L437" s="177" t="str">
        <f>IF($F437="","",'הזנה לתנאי סף'!O437)</f>
        <v/>
      </c>
      <c r="M437" s="177" t="str">
        <f>IF($F437="","",'הזנה לתנאי סף'!Q437)</f>
        <v/>
      </c>
      <c r="N437" s="187" t="str">
        <f>IF($F437="","",'תחום תמיכה א'!AE437)</f>
        <v/>
      </c>
      <c r="O437" s="178"/>
      <c r="P437" s="187" t="str">
        <f>IF($F437="","",'תחום תמיכה ב'!AC437)</f>
        <v/>
      </c>
      <c r="Q437" s="187" t="str">
        <f>IF($F437="","",IF('תחום תמיכה ג'!O437="",0,'תחום תמיכה ג'!O437))</f>
        <v/>
      </c>
      <c r="R437" s="187" t="str">
        <f t="shared" si="24"/>
        <v/>
      </c>
      <c r="S437" s="187" t="str">
        <f>IF($F437="","",'תחום תמיכה ב'!AE437)</f>
        <v/>
      </c>
      <c r="T437" s="187" t="str">
        <f>IF($F437="","",IF(Q437='תחום תמיכה ג'!$Q$2,'תחום תמיכה ג'!$Q$2,IFERROR(SUMIF(N437:R437,"&gt;0"),'תחום תמיכה ג'!$Q$2)))</f>
        <v/>
      </c>
      <c r="U437" s="187" t="str">
        <f>IF($F437="","",'הזנה לתנאי סף'!Y437)</f>
        <v/>
      </c>
      <c r="V437" s="269" t="str">
        <f>IF(F437="","",'הגבלה לסכום מבוקש '!AA437)</f>
        <v/>
      </c>
      <c r="W437" s="187" t="str">
        <f t="shared" si="26"/>
        <v/>
      </c>
      <c r="X437" s="187" t="str">
        <f>IF(F437="","",'הזנה לתנאי סף'!Z437)</f>
        <v/>
      </c>
      <c r="Y437" s="237" t="str">
        <f>IFERROR(VLOOKUP(G437*1,#REF!,3,0),"")</f>
        <v/>
      </c>
      <c r="Z437" s="187" t="str">
        <f>IF(OR($F437="",Y437=""),"",IFERROR(IF(Y437&gt;V437,MIN(Y437,T437)-V437,0),'תחום תמיכה ג'!$Q$2))</f>
        <v/>
      </c>
      <c r="AA437" s="259"/>
      <c r="AB437" s="260" t="str">
        <f t="shared" si="25"/>
        <v/>
      </c>
      <c r="AC437" s="262"/>
      <c r="AD437" s="180"/>
      <c r="AE437" s="13" t="str">
        <f>IF($C437="","",IFERROR(VLOOKUP($C437,גיליון1!$A:$E,2,0),"לא הגיש בקשה שוטפת"))</f>
        <v/>
      </c>
      <c r="AF437" s="13" t="str">
        <f>IF($C437="","",IFERROR(VLOOKUP($C437,גיליון1!$A:$E,3,0),"לא הגיש בקשה שוטפת"))</f>
        <v/>
      </c>
      <c r="AG437" s="13" t="str">
        <f>IF($C437="","",IFERROR(VLOOKUP($C437,גיליון1!$A:$E,4,0),"לא הגיש בקשה שוטפת"))</f>
        <v/>
      </c>
      <c r="AH437" s="13" t="str">
        <f>IF($C437="","",IFERROR(VLOOKUP($C437,גיליון1!$A:$E,5,0),"לא הגיש בקשה שוטפת"))</f>
        <v/>
      </c>
      <c r="AI437" s="13">
        <f t="shared" si="27"/>
        <v>0</v>
      </c>
      <c r="AK437" s="174" t="s">
        <v>250</v>
      </c>
    </row>
    <row r="438" spans="1:37" s="174" customFormat="1" x14ac:dyDescent="0.25">
      <c r="A438" s="54" t="str">
        <f>'הזנה לתנאי סף'!B438</f>
        <v/>
      </c>
      <c r="B438" s="266" t="str">
        <f>IF($F438="","",'הזנה לתנאי סף'!C438)</f>
        <v/>
      </c>
      <c r="C438" s="266" t="str">
        <f>IF($F438="","",'הזנה לתנאי סף'!D438)</f>
        <v/>
      </c>
      <c r="D438" s="266" t="str">
        <f>IF($F438="","",'הזנה לתנאי סף'!E438)</f>
        <v/>
      </c>
      <c r="E438" s="55" t="str">
        <f>IF($F438="","",'הזנה לתנאי סף'!F438)</f>
        <v/>
      </c>
      <c r="F438" s="55" t="str">
        <f>IF('הזנה לתנאי סף'!BL438=1,'הזנה לתנאי סף'!G438,"")</f>
        <v/>
      </c>
      <c r="G438" s="55" t="str">
        <f>IF($F438="","",'הזנה לתנאי סף'!H438)</f>
        <v/>
      </c>
      <c r="H438" s="55" t="str">
        <f>IF($F438="","",'הזנה לתנאי סף'!I438)</f>
        <v/>
      </c>
      <c r="I438" s="187" t="str">
        <f>IF($F438="","",'הזנה לתנאי סף'!R438)</f>
        <v/>
      </c>
      <c r="J438" s="187" t="str">
        <f>IF($F438="","",'תחום תמיכה א'!P438)</f>
        <v/>
      </c>
      <c r="K438" s="177" t="str">
        <f>IF($F438="","",'הזנה לתנאי סף'!N438)</f>
        <v/>
      </c>
      <c r="L438" s="177" t="str">
        <f>IF($F438="","",'הזנה לתנאי סף'!O438)</f>
        <v/>
      </c>
      <c r="M438" s="177" t="str">
        <f>IF($F438="","",'הזנה לתנאי סף'!Q438)</f>
        <v/>
      </c>
      <c r="N438" s="187" t="str">
        <f>IF($F438="","",'תחום תמיכה א'!AE438)</f>
        <v/>
      </c>
      <c r="O438" s="178"/>
      <c r="P438" s="187" t="str">
        <f>IF($F438="","",'תחום תמיכה ב'!AC438)</f>
        <v/>
      </c>
      <c r="Q438" s="187" t="str">
        <f>IF($F438="","",IF('תחום תמיכה ג'!O438="",0,'תחום תמיכה ג'!O438))</f>
        <v/>
      </c>
      <c r="R438" s="187" t="str">
        <f t="shared" si="24"/>
        <v/>
      </c>
      <c r="S438" s="187" t="str">
        <f>IF($F438="","",'תחום תמיכה ב'!AE438)</f>
        <v/>
      </c>
      <c r="T438" s="187" t="str">
        <f>IF($F438="","",IF(Q438='תחום תמיכה ג'!$Q$2,'תחום תמיכה ג'!$Q$2,IFERROR(SUMIF(N438:R438,"&gt;0"),'תחום תמיכה ג'!$Q$2)))</f>
        <v/>
      </c>
      <c r="U438" s="187" t="str">
        <f>IF($F438="","",'הזנה לתנאי סף'!Y438)</f>
        <v/>
      </c>
      <c r="V438" s="269" t="str">
        <f>IF(F438="","",'הגבלה לסכום מבוקש '!AA438)</f>
        <v/>
      </c>
      <c r="W438" s="187" t="str">
        <f t="shared" si="26"/>
        <v/>
      </c>
      <c r="X438" s="187" t="str">
        <f>IF(F438="","",'הזנה לתנאי סף'!Z438)</f>
        <v/>
      </c>
      <c r="Y438" s="237" t="str">
        <f>IFERROR(VLOOKUP(G438*1,#REF!,3,0),"")</f>
        <v/>
      </c>
      <c r="Z438" s="187" t="str">
        <f>IF(OR($F438="",Y438=""),"",IFERROR(IF(Y438&gt;V438,MIN(Y438,T438)-V438,0),'תחום תמיכה ג'!$Q$2))</f>
        <v/>
      </c>
      <c r="AA438" s="259"/>
      <c r="AB438" s="260" t="str">
        <f t="shared" si="25"/>
        <v/>
      </c>
      <c r="AC438" s="262"/>
      <c r="AD438" s="180"/>
      <c r="AE438" s="13" t="str">
        <f>IF($C438="","",IFERROR(VLOOKUP($C438,גיליון1!$A:$E,2,0),"לא הגיש בקשה שוטפת"))</f>
        <v/>
      </c>
      <c r="AF438" s="13" t="str">
        <f>IF($C438="","",IFERROR(VLOOKUP($C438,גיליון1!$A:$E,3,0),"לא הגיש בקשה שוטפת"))</f>
        <v/>
      </c>
      <c r="AG438" s="13" t="str">
        <f>IF($C438="","",IFERROR(VLOOKUP($C438,גיליון1!$A:$E,4,0),"לא הגיש בקשה שוטפת"))</f>
        <v/>
      </c>
      <c r="AH438" s="13" t="str">
        <f>IF($C438="","",IFERROR(VLOOKUP($C438,גיליון1!$A:$E,5,0),"לא הגיש בקשה שוטפת"))</f>
        <v/>
      </c>
      <c r="AI438" s="13">
        <f t="shared" si="27"/>
        <v>0</v>
      </c>
      <c r="AK438" s="174" t="s">
        <v>250</v>
      </c>
    </row>
    <row r="439" spans="1:37" s="174" customFormat="1" x14ac:dyDescent="0.25">
      <c r="A439" s="54" t="str">
        <f>'הזנה לתנאי סף'!B439</f>
        <v/>
      </c>
      <c r="B439" s="266" t="str">
        <f>IF($F439="","",'הזנה לתנאי סף'!C439)</f>
        <v/>
      </c>
      <c r="C439" s="266" t="str">
        <f>IF($F439="","",'הזנה לתנאי סף'!D439)</f>
        <v/>
      </c>
      <c r="D439" s="266" t="str">
        <f>IF($F439="","",'הזנה לתנאי סף'!E439)</f>
        <v/>
      </c>
      <c r="E439" s="55" t="str">
        <f>IF($F439="","",'הזנה לתנאי סף'!F439)</f>
        <v/>
      </c>
      <c r="F439" s="55" t="str">
        <f>IF('הזנה לתנאי סף'!BL439=1,'הזנה לתנאי סף'!G439,"")</f>
        <v/>
      </c>
      <c r="G439" s="55" t="str">
        <f>IF($F439="","",'הזנה לתנאי סף'!H439)</f>
        <v/>
      </c>
      <c r="H439" s="55" t="str">
        <f>IF($F439="","",'הזנה לתנאי סף'!I439)</f>
        <v/>
      </c>
      <c r="I439" s="187" t="str">
        <f>IF($F439="","",'הזנה לתנאי סף'!R439)</f>
        <v/>
      </c>
      <c r="J439" s="187" t="str">
        <f>IF($F439="","",'תחום תמיכה א'!P439)</f>
        <v/>
      </c>
      <c r="K439" s="177" t="str">
        <f>IF($F439="","",'הזנה לתנאי סף'!N439)</f>
        <v/>
      </c>
      <c r="L439" s="177" t="str">
        <f>IF($F439="","",'הזנה לתנאי סף'!O439)</f>
        <v/>
      </c>
      <c r="M439" s="177" t="str">
        <f>IF($F439="","",'הזנה לתנאי סף'!Q439)</f>
        <v/>
      </c>
      <c r="N439" s="187" t="str">
        <f>IF($F439="","",'תחום תמיכה א'!AE439)</f>
        <v/>
      </c>
      <c r="O439" s="178"/>
      <c r="P439" s="187" t="str">
        <f>IF($F439="","",'תחום תמיכה ב'!AC439)</f>
        <v/>
      </c>
      <c r="Q439" s="187" t="str">
        <f>IF($F439="","",IF('תחום תמיכה ג'!O439="",0,'תחום תמיכה ג'!O439))</f>
        <v/>
      </c>
      <c r="R439" s="187" t="str">
        <f t="shared" si="24"/>
        <v/>
      </c>
      <c r="S439" s="187" t="str">
        <f>IF($F439="","",'תחום תמיכה ב'!AE439)</f>
        <v/>
      </c>
      <c r="T439" s="187" t="str">
        <f>IF($F439="","",IF(Q439='תחום תמיכה ג'!$Q$2,'תחום תמיכה ג'!$Q$2,IFERROR(SUMIF(N439:R439,"&gt;0"),'תחום תמיכה ג'!$Q$2)))</f>
        <v/>
      </c>
      <c r="U439" s="187" t="str">
        <f>IF($F439="","",'הזנה לתנאי סף'!Y439)</f>
        <v/>
      </c>
      <c r="V439" s="269" t="str">
        <f>IF(F439="","",'הגבלה לסכום מבוקש '!AA439)</f>
        <v/>
      </c>
      <c r="W439" s="187" t="str">
        <f t="shared" si="26"/>
        <v/>
      </c>
      <c r="X439" s="187" t="str">
        <f>IF(F439="","",'הזנה לתנאי סף'!Z439)</f>
        <v/>
      </c>
      <c r="Y439" s="237" t="str">
        <f>IFERROR(VLOOKUP(G439*1,#REF!,3,0),"")</f>
        <v/>
      </c>
      <c r="Z439" s="187" t="str">
        <f>IF(OR($F439="",Y439=""),"",IFERROR(IF(Y439&gt;V439,MIN(Y439,T439)-V439,0),'תחום תמיכה ג'!$Q$2))</f>
        <v/>
      </c>
      <c r="AA439" s="259"/>
      <c r="AB439" s="260" t="str">
        <f t="shared" si="25"/>
        <v/>
      </c>
      <c r="AC439" s="262"/>
      <c r="AD439" s="180"/>
      <c r="AE439" s="13" t="str">
        <f>IF($C439="","",IFERROR(VLOOKUP($C439,גיליון1!$A:$E,2,0),"לא הגיש בקשה שוטפת"))</f>
        <v/>
      </c>
      <c r="AF439" s="13" t="str">
        <f>IF($C439="","",IFERROR(VLOOKUP($C439,גיליון1!$A:$E,3,0),"לא הגיש בקשה שוטפת"))</f>
        <v/>
      </c>
      <c r="AG439" s="13" t="str">
        <f>IF($C439="","",IFERROR(VLOOKUP($C439,גיליון1!$A:$E,4,0),"לא הגיש בקשה שוטפת"))</f>
        <v/>
      </c>
      <c r="AH439" s="13" t="str">
        <f>IF($C439="","",IFERROR(VLOOKUP($C439,גיליון1!$A:$E,5,0),"לא הגיש בקשה שוטפת"))</f>
        <v/>
      </c>
      <c r="AI439" s="13">
        <f t="shared" si="27"/>
        <v>0</v>
      </c>
      <c r="AK439" s="174" t="s">
        <v>250</v>
      </c>
    </row>
    <row r="440" spans="1:37" s="174" customFormat="1" x14ac:dyDescent="0.25">
      <c r="A440" s="54" t="str">
        <f>'הזנה לתנאי סף'!B440</f>
        <v/>
      </c>
      <c r="B440" s="266" t="str">
        <f>IF($F440="","",'הזנה לתנאי סף'!C440)</f>
        <v/>
      </c>
      <c r="C440" s="266" t="str">
        <f>IF($F440="","",'הזנה לתנאי סף'!D440)</f>
        <v/>
      </c>
      <c r="D440" s="266" t="str">
        <f>IF($F440="","",'הזנה לתנאי סף'!E440)</f>
        <v/>
      </c>
      <c r="E440" s="55" t="str">
        <f>IF($F440="","",'הזנה לתנאי סף'!F440)</f>
        <v/>
      </c>
      <c r="F440" s="55" t="str">
        <f>IF('הזנה לתנאי סף'!BL440=1,'הזנה לתנאי סף'!G440,"")</f>
        <v/>
      </c>
      <c r="G440" s="55" t="str">
        <f>IF($F440="","",'הזנה לתנאי סף'!H440)</f>
        <v/>
      </c>
      <c r="H440" s="55" t="str">
        <f>IF($F440="","",'הזנה לתנאי סף'!I440)</f>
        <v/>
      </c>
      <c r="I440" s="187" t="str">
        <f>IF($F440="","",'הזנה לתנאי סף'!R440)</f>
        <v/>
      </c>
      <c r="J440" s="187" t="str">
        <f>IF($F440="","",'תחום תמיכה א'!P440)</f>
        <v/>
      </c>
      <c r="K440" s="177" t="str">
        <f>IF($F440="","",'הזנה לתנאי סף'!N440)</f>
        <v/>
      </c>
      <c r="L440" s="177" t="str">
        <f>IF($F440="","",'הזנה לתנאי סף'!O440)</f>
        <v/>
      </c>
      <c r="M440" s="177" t="str">
        <f>IF($F440="","",'הזנה לתנאי סף'!Q440)</f>
        <v/>
      </c>
      <c r="N440" s="187" t="str">
        <f>IF($F440="","",'תחום תמיכה א'!AE440)</f>
        <v/>
      </c>
      <c r="O440" s="178"/>
      <c r="P440" s="187" t="str">
        <f>IF($F440="","",'תחום תמיכה ב'!AC440)</f>
        <v/>
      </c>
      <c r="Q440" s="187" t="str">
        <f>IF($F440="","",IF('תחום תמיכה ג'!O440="",0,'תחום תמיכה ג'!O440))</f>
        <v/>
      </c>
      <c r="R440" s="187" t="str">
        <f t="shared" si="24"/>
        <v/>
      </c>
      <c r="S440" s="187" t="str">
        <f>IF($F440="","",'תחום תמיכה ב'!AE440)</f>
        <v/>
      </c>
      <c r="T440" s="187" t="str">
        <f>IF($F440="","",IF(Q440='תחום תמיכה ג'!$Q$2,'תחום תמיכה ג'!$Q$2,IFERROR(SUMIF(N440:R440,"&gt;0"),'תחום תמיכה ג'!$Q$2)))</f>
        <v/>
      </c>
      <c r="U440" s="187" t="str">
        <f>IF($F440="","",'הזנה לתנאי סף'!Y440)</f>
        <v/>
      </c>
      <c r="V440" s="269" t="str">
        <f>IF(F440="","",'הגבלה לסכום מבוקש '!AA440)</f>
        <v/>
      </c>
      <c r="W440" s="187" t="str">
        <f t="shared" si="26"/>
        <v/>
      </c>
      <c r="X440" s="187" t="str">
        <f>IF(F440="","",'הזנה לתנאי סף'!Z440)</f>
        <v/>
      </c>
      <c r="Y440" s="237" t="str">
        <f>IFERROR(VLOOKUP(G440*1,#REF!,3,0),"")</f>
        <v/>
      </c>
      <c r="Z440" s="187" t="str">
        <f>IF(OR($F440="",Y440=""),"",IFERROR(IF(Y440&gt;V440,MIN(Y440,T440)-V440,0),'תחום תמיכה ג'!$Q$2))</f>
        <v/>
      </c>
      <c r="AA440" s="259"/>
      <c r="AB440" s="260" t="str">
        <f t="shared" si="25"/>
        <v/>
      </c>
      <c r="AC440" s="262"/>
      <c r="AD440" s="180"/>
      <c r="AE440" s="13" t="str">
        <f>IF($C440="","",IFERROR(VLOOKUP($C440,גיליון1!$A:$E,2,0),"לא הגיש בקשה שוטפת"))</f>
        <v/>
      </c>
      <c r="AF440" s="13" t="str">
        <f>IF($C440="","",IFERROR(VLOOKUP($C440,גיליון1!$A:$E,3,0),"לא הגיש בקשה שוטפת"))</f>
        <v/>
      </c>
      <c r="AG440" s="13" t="str">
        <f>IF($C440="","",IFERROR(VLOOKUP($C440,גיליון1!$A:$E,4,0),"לא הגיש בקשה שוטפת"))</f>
        <v/>
      </c>
      <c r="AH440" s="13" t="str">
        <f>IF($C440="","",IFERROR(VLOOKUP($C440,גיליון1!$A:$E,5,0),"לא הגיש בקשה שוטפת"))</f>
        <v/>
      </c>
      <c r="AI440" s="13">
        <f t="shared" si="27"/>
        <v>0</v>
      </c>
      <c r="AK440" s="174" t="s">
        <v>250</v>
      </c>
    </row>
    <row r="441" spans="1:37" s="174" customFormat="1" x14ac:dyDescent="0.25">
      <c r="A441" s="54" t="str">
        <f>'הזנה לתנאי סף'!B441</f>
        <v/>
      </c>
      <c r="B441" s="266" t="str">
        <f>IF($F441="","",'הזנה לתנאי סף'!C441)</f>
        <v/>
      </c>
      <c r="C441" s="266" t="str">
        <f>IF($F441="","",'הזנה לתנאי סף'!D441)</f>
        <v/>
      </c>
      <c r="D441" s="266" t="str">
        <f>IF($F441="","",'הזנה לתנאי סף'!E441)</f>
        <v/>
      </c>
      <c r="E441" s="55" t="str">
        <f>IF($F441="","",'הזנה לתנאי סף'!F441)</f>
        <v/>
      </c>
      <c r="F441" s="55" t="str">
        <f>IF('הזנה לתנאי סף'!BL441=1,'הזנה לתנאי סף'!G441,"")</f>
        <v/>
      </c>
      <c r="G441" s="55" t="str">
        <f>IF($F441="","",'הזנה לתנאי סף'!H441)</f>
        <v/>
      </c>
      <c r="H441" s="55" t="str">
        <f>IF($F441="","",'הזנה לתנאי סף'!I441)</f>
        <v/>
      </c>
      <c r="I441" s="187" t="str">
        <f>IF($F441="","",'הזנה לתנאי סף'!R441)</f>
        <v/>
      </c>
      <c r="J441" s="187" t="str">
        <f>IF($F441="","",'תחום תמיכה א'!P441)</f>
        <v/>
      </c>
      <c r="K441" s="177" t="str">
        <f>IF($F441="","",'הזנה לתנאי סף'!N441)</f>
        <v/>
      </c>
      <c r="L441" s="177" t="str">
        <f>IF($F441="","",'הזנה לתנאי סף'!O441)</f>
        <v/>
      </c>
      <c r="M441" s="177" t="str">
        <f>IF($F441="","",'הזנה לתנאי סף'!Q441)</f>
        <v/>
      </c>
      <c r="N441" s="187" t="str">
        <f>IF($F441="","",'תחום תמיכה א'!AE441)</f>
        <v/>
      </c>
      <c r="O441" s="178"/>
      <c r="P441" s="187" t="str">
        <f>IF($F441="","",'תחום תמיכה ב'!AC441)</f>
        <v/>
      </c>
      <c r="Q441" s="187" t="str">
        <f>IF($F441="","",IF('תחום תמיכה ג'!O441="",0,'תחום תמיכה ג'!O441))</f>
        <v/>
      </c>
      <c r="R441" s="187" t="str">
        <f t="shared" si="24"/>
        <v/>
      </c>
      <c r="S441" s="187" t="str">
        <f>IF($F441="","",'תחום תמיכה ב'!AE441)</f>
        <v/>
      </c>
      <c r="T441" s="187" t="str">
        <f>IF($F441="","",IF(Q441='תחום תמיכה ג'!$Q$2,'תחום תמיכה ג'!$Q$2,IFERROR(SUMIF(N441:R441,"&gt;0"),'תחום תמיכה ג'!$Q$2)))</f>
        <v/>
      </c>
      <c r="U441" s="187" t="str">
        <f>IF($F441="","",'הזנה לתנאי סף'!Y441)</f>
        <v/>
      </c>
      <c r="V441" s="269" t="str">
        <f>IF(F441="","",'הגבלה לסכום מבוקש '!AA441)</f>
        <v/>
      </c>
      <c r="W441" s="187" t="str">
        <f t="shared" si="26"/>
        <v/>
      </c>
      <c r="X441" s="187" t="str">
        <f>IF(F441="","",'הזנה לתנאי סף'!Z441)</f>
        <v/>
      </c>
      <c r="Y441" s="237" t="str">
        <f>IFERROR(VLOOKUP(G441*1,#REF!,3,0),"")</f>
        <v/>
      </c>
      <c r="Z441" s="187" t="str">
        <f>IF(OR($F441="",Y441=""),"",IFERROR(IF(Y441&gt;V441,MIN(Y441,T441)-V441,0),'תחום תמיכה ג'!$Q$2))</f>
        <v/>
      </c>
      <c r="AA441" s="259"/>
      <c r="AB441" s="260" t="str">
        <f t="shared" si="25"/>
        <v/>
      </c>
      <c r="AC441" s="262"/>
      <c r="AD441" s="180"/>
      <c r="AE441" s="13" t="str">
        <f>IF($C441="","",IFERROR(VLOOKUP($C441,גיליון1!$A:$E,2,0),"לא הגיש בקשה שוטפת"))</f>
        <v/>
      </c>
      <c r="AF441" s="13" t="str">
        <f>IF($C441="","",IFERROR(VLOOKUP($C441,גיליון1!$A:$E,3,0),"לא הגיש בקשה שוטפת"))</f>
        <v/>
      </c>
      <c r="AG441" s="13" t="str">
        <f>IF($C441="","",IFERROR(VLOOKUP($C441,גיליון1!$A:$E,4,0),"לא הגיש בקשה שוטפת"))</f>
        <v/>
      </c>
      <c r="AH441" s="13" t="str">
        <f>IF($C441="","",IFERROR(VLOOKUP($C441,גיליון1!$A:$E,5,0),"לא הגיש בקשה שוטפת"))</f>
        <v/>
      </c>
      <c r="AI441" s="13">
        <f t="shared" si="27"/>
        <v>0</v>
      </c>
      <c r="AK441" s="174" t="s">
        <v>250</v>
      </c>
    </row>
    <row r="442" spans="1:37" s="174" customFormat="1" x14ac:dyDescent="0.25">
      <c r="A442" s="54" t="str">
        <f>'הזנה לתנאי סף'!B442</f>
        <v/>
      </c>
      <c r="B442" s="266" t="str">
        <f>IF($F442="","",'הזנה לתנאי סף'!C442)</f>
        <v/>
      </c>
      <c r="C442" s="266" t="str">
        <f>IF($F442="","",'הזנה לתנאי סף'!D442)</f>
        <v/>
      </c>
      <c r="D442" s="266" t="str">
        <f>IF($F442="","",'הזנה לתנאי סף'!E442)</f>
        <v/>
      </c>
      <c r="E442" s="55" t="str">
        <f>IF($F442="","",'הזנה לתנאי סף'!F442)</f>
        <v/>
      </c>
      <c r="F442" s="55" t="str">
        <f>IF('הזנה לתנאי סף'!BL442=1,'הזנה לתנאי סף'!G442,"")</f>
        <v/>
      </c>
      <c r="G442" s="55" t="str">
        <f>IF($F442="","",'הזנה לתנאי סף'!H442)</f>
        <v/>
      </c>
      <c r="H442" s="55" t="str">
        <f>IF($F442="","",'הזנה לתנאי סף'!I442)</f>
        <v/>
      </c>
      <c r="I442" s="187" t="str">
        <f>IF($F442="","",'הזנה לתנאי סף'!R442)</f>
        <v/>
      </c>
      <c r="J442" s="187" t="str">
        <f>IF($F442="","",'תחום תמיכה א'!P442)</f>
        <v/>
      </c>
      <c r="K442" s="177" t="str">
        <f>IF($F442="","",'הזנה לתנאי סף'!N442)</f>
        <v/>
      </c>
      <c r="L442" s="177" t="str">
        <f>IF($F442="","",'הזנה לתנאי סף'!O442)</f>
        <v/>
      </c>
      <c r="M442" s="177" t="str">
        <f>IF($F442="","",'הזנה לתנאי סף'!Q442)</f>
        <v/>
      </c>
      <c r="N442" s="187" t="str">
        <f>IF($F442="","",'תחום תמיכה א'!AE442)</f>
        <v/>
      </c>
      <c r="O442" s="178"/>
      <c r="P442" s="187" t="str">
        <f>IF($F442="","",'תחום תמיכה ב'!AC442)</f>
        <v/>
      </c>
      <c r="Q442" s="187" t="str">
        <f>IF($F442="","",IF('תחום תמיכה ג'!O442="",0,'תחום תמיכה ג'!O442))</f>
        <v/>
      </c>
      <c r="R442" s="187" t="str">
        <f t="shared" si="24"/>
        <v/>
      </c>
      <c r="S442" s="187" t="str">
        <f>IF($F442="","",'תחום תמיכה ב'!AE442)</f>
        <v/>
      </c>
      <c r="T442" s="187" t="str">
        <f>IF($F442="","",IF(Q442='תחום תמיכה ג'!$Q$2,'תחום תמיכה ג'!$Q$2,IFERROR(SUMIF(N442:R442,"&gt;0"),'תחום תמיכה ג'!$Q$2)))</f>
        <v/>
      </c>
      <c r="U442" s="187" t="str">
        <f>IF($F442="","",'הזנה לתנאי סף'!Y442)</f>
        <v/>
      </c>
      <c r="V442" s="269" t="str">
        <f>IF(F442="","",'הגבלה לסכום מבוקש '!AA442)</f>
        <v/>
      </c>
      <c r="W442" s="187" t="str">
        <f t="shared" si="26"/>
        <v/>
      </c>
      <c r="X442" s="187" t="str">
        <f>IF(F442="","",'הזנה לתנאי סף'!Z442)</f>
        <v/>
      </c>
      <c r="Y442" s="237" t="str">
        <f>IFERROR(VLOOKUP(G442*1,#REF!,3,0),"")</f>
        <v/>
      </c>
      <c r="Z442" s="187" t="str">
        <f>IF(OR($F442="",Y442=""),"",IFERROR(IF(Y442&gt;V442,MIN(Y442,T442)-V442,0),'תחום תמיכה ג'!$Q$2))</f>
        <v/>
      </c>
      <c r="AA442" s="259"/>
      <c r="AB442" s="260" t="str">
        <f t="shared" si="25"/>
        <v/>
      </c>
      <c r="AC442" s="262"/>
      <c r="AD442" s="180"/>
      <c r="AE442" s="13" t="str">
        <f>IF($C442="","",IFERROR(VLOOKUP($C442,גיליון1!$A:$E,2,0),"לא הגיש בקשה שוטפת"))</f>
        <v/>
      </c>
      <c r="AF442" s="13" t="str">
        <f>IF($C442="","",IFERROR(VLOOKUP($C442,גיליון1!$A:$E,3,0),"לא הגיש בקשה שוטפת"))</f>
        <v/>
      </c>
      <c r="AG442" s="13" t="str">
        <f>IF($C442="","",IFERROR(VLOOKUP($C442,גיליון1!$A:$E,4,0),"לא הגיש בקשה שוטפת"))</f>
        <v/>
      </c>
      <c r="AH442" s="13" t="str">
        <f>IF($C442="","",IFERROR(VLOOKUP($C442,גיליון1!$A:$E,5,0),"לא הגיש בקשה שוטפת"))</f>
        <v/>
      </c>
      <c r="AI442" s="13">
        <f t="shared" si="27"/>
        <v>0</v>
      </c>
      <c r="AK442" s="174" t="s">
        <v>250</v>
      </c>
    </row>
    <row r="443" spans="1:37" s="174" customFormat="1" x14ac:dyDescent="0.25">
      <c r="A443" s="54" t="str">
        <f>'הזנה לתנאי סף'!B443</f>
        <v/>
      </c>
      <c r="B443" s="266" t="str">
        <f>IF($F443="","",'הזנה לתנאי סף'!C443)</f>
        <v/>
      </c>
      <c r="C443" s="266" t="str">
        <f>IF($F443="","",'הזנה לתנאי סף'!D443)</f>
        <v/>
      </c>
      <c r="D443" s="266" t="str">
        <f>IF($F443="","",'הזנה לתנאי סף'!E443)</f>
        <v/>
      </c>
      <c r="E443" s="55" t="str">
        <f>IF($F443="","",'הזנה לתנאי סף'!F443)</f>
        <v/>
      </c>
      <c r="F443" s="55" t="str">
        <f>IF('הזנה לתנאי סף'!BL443=1,'הזנה לתנאי סף'!G443,"")</f>
        <v/>
      </c>
      <c r="G443" s="55" t="str">
        <f>IF($F443="","",'הזנה לתנאי סף'!H443)</f>
        <v/>
      </c>
      <c r="H443" s="55" t="str">
        <f>IF($F443="","",'הזנה לתנאי סף'!I443)</f>
        <v/>
      </c>
      <c r="I443" s="187" t="str">
        <f>IF($F443="","",'הזנה לתנאי סף'!R443)</f>
        <v/>
      </c>
      <c r="J443" s="187" t="str">
        <f>IF($F443="","",'תחום תמיכה א'!P443)</f>
        <v/>
      </c>
      <c r="K443" s="177" t="str">
        <f>IF($F443="","",'הזנה לתנאי סף'!N443)</f>
        <v/>
      </c>
      <c r="L443" s="177" t="str">
        <f>IF($F443="","",'הזנה לתנאי סף'!O443)</f>
        <v/>
      </c>
      <c r="M443" s="177" t="str">
        <f>IF($F443="","",'הזנה לתנאי סף'!Q443)</f>
        <v/>
      </c>
      <c r="N443" s="187" t="str">
        <f>IF($F443="","",'תחום תמיכה א'!AE443)</f>
        <v/>
      </c>
      <c r="O443" s="178"/>
      <c r="P443" s="187" t="str">
        <f>IF($F443="","",'תחום תמיכה ב'!AC443)</f>
        <v/>
      </c>
      <c r="Q443" s="187" t="str">
        <f>IF($F443="","",IF('תחום תמיכה ג'!O443="",0,'תחום תמיכה ג'!O443))</f>
        <v/>
      </c>
      <c r="R443" s="187" t="str">
        <f t="shared" si="24"/>
        <v/>
      </c>
      <c r="S443" s="187" t="str">
        <f>IF($F443="","",'תחום תמיכה ב'!AE443)</f>
        <v/>
      </c>
      <c r="T443" s="187" t="str">
        <f>IF($F443="","",IF(Q443='תחום תמיכה ג'!$Q$2,'תחום תמיכה ג'!$Q$2,IFERROR(SUMIF(N443:R443,"&gt;0"),'תחום תמיכה ג'!$Q$2)))</f>
        <v/>
      </c>
      <c r="U443" s="187" t="str">
        <f>IF($F443="","",'הזנה לתנאי סף'!Y443)</f>
        <v/>
      </c>
      <c r="V443" s="269" t="str">
        <f>IF(F443="","",'הגבלה לסכום מבוקש '!AA443)</f>
        <v/>
      </c>
      <c r="W443" s="187" t="str">
        <f t="shared" si="26"/>
        <v/>
      </c>
      <c r="X443" s="187" t="str">
        <f>IF(F443="","",'הזנה לתנאי סף'!Z443)</f>
        <v/>
      </c>
      <c r="Y443" s="237" t="str">
        <f>IFERROR(VLOOKUP(G443*1,#REF!,3,0),"")</f>
        <v/>
      </c>
      <c r="Z443" s="187" t="str">
        <f>IF(OR($F443="",Y443=""),"",IFERROR(IF(Y443&gt;V443,MIN(Y443,T443)-V443,0),'תחום תמיכה ג'!$Q$2))</f>
        <v/>
      </c>
      <c r="AA443" s="259"/>
      <c r="AB443" s="260" t="str">
        <f t="shared" si="25"/>
        <v/>
      </c>
      <c r="AC443" s="262"/>
      <c r="AD443" s="180"/>
      <c r="AE443" s="13" t="str">
        <f>IF($C443="","",IFERROR(VLOOKUP($C443,גיליון1!$A:$E,2,0),"לא הגיש בקשה שוטפת"))</f>
        <v/>
      </c>
      <c r="AF443" s="13" t="str">
        <f>IF($C443="","",IFERROR(VLOOKUP($C443,גיליון1!$A:$E,3,0),"לא הגיש בקשה שוטפת"))</f>
        <v/>
      </c>
      <c r="AG443" s="13" t="str">
        <f>IF($C443="","",IFERROR(VLOOKUP($C443,גיליון1!$A:$E,4,0),"לא הגיש בקשה שוטפת"))</f>
        <v/>
      </c>
      <c r="AH443" s="13" t="str">
        <f>IF($C443="","",IFERROR(VLOOKUP($C443,גיליון1!$A:$E,5,0),"לא הגיש בקשה שוטפת"))</f>
        <v/>
      </c>
      <c r="AI443" s="13">
        <f t="shared" si="27"/>
        <v>0</v>
      </c>
      <c r="AK443" s="174" t="s">
        <v>250</v>
      </c>
    </row>
    <row r="444" spans="1:37" s="174" customFormat="1" x14ac:dyDescent="0.25">
      <c r="A444" s="54" t="str">
        <f>'הזנה לתנאי סף'!B444</f>
        <v/>
      </c>
      <c r="B444" s="266" t="str">
        <f>IF($F444="","",'הזנה לתנאי סף'!C444)</f>
        <v/>
      </c>
      <c r="C444" s="266" t="str">
        <f>IF($F444="","",'הזנה לתנאי סף'!D444)</f>
        <v/>
      </c>
      <c r="D444" s="266" t="str">
        <f>IF($F444="","",'הזנה לתנאי סף'!E444)</f>
        <v/>
      </c>
      <c r="E444" s="55" t="str">
        <f>IF($F444="","",'הזנה לתנאי סף'!F444)</f>
        <v/>
      </c>
      <c r="F444" s="55" t="str">
        <f>IF('הזנה לתנאי סף'!BL444=1,'הזנה לתנאי סף'!G444,"")</f>
        <v/>
      </c>
      <c r="G444" s="55" t="str">
        <f>IF($F444="","",'הזנה לתנאי סף'!H444)</f>
        <v/>
      </c>
      <c r="H444" s="55" t="str">
        <f>IF($F444="","",'הזנה לתנאי סף'!I444)</f>
        <v/>
      </c>
      <c r="I444" s="187" t="str">
        <f>IF($F444="","",'הזנה לתנאי סף'!R444)</f>
        <v/>
      </c>
      <c r="J444" s="187" t="str">
        <f>IF($F444="","",'תחום תמיכה א'!P444)</f>
        <v/>
      </c>
      <c r="K444" s="177" t="str">
        <f>IF($F444="","",'הזנה לתנאי סף'!N444)</f>
        <v/>
      </c>
      <c r="L444" s="177" t="str">
        <f>IF($F444="","",'הזנה לתנאי סף'!O444)</f>
        <v/>
      </c>
      <c r="M444" s="177" t="str">
        <f>IF($F444="","",'הזנה לתנאי סף'!Q444)</f>
        <v/>
      </c>
      <c r="N444" s="187" t="str">
        <f>IF($F444="","",'תחום תמיכה א'!AE444)</f>
        <v/>
      </c>
      <c r="O444" s="178"/>
      <c r="P444" s="187" t="str">
        <f>IF($F444="","",'תחום תמיכה ב'!AC444)</f>
        <v/>
      </c>
      <c r="Q444" s="187" t="str">
        <f>IF($F444="","",IF('תחום תמיכה ג'!O444="",0,'תחום תמיכה ג'!O444))</f>
        <v/>
      </c>
      <c r="R444" s="187" t="str">
        <f t="shared" si="24"/>
        <v/>
      </c>
      <c r="S444" s="187" t="str">
        <f>IF($F444="","",'תחום תמיכה ב'!AE444)</f>
        <v/>
      </c>
      <c r="T444" s="187" t="str">
        <f>IF($F444="","",IF(Q444='תחום תמיכה ג'!$Q$2,'תחום תמיכה ג'!$Q$2,IFERROR(SUMIF(N444:R444,"&gt;0"),'תחום תמיכה ג'!$Q$2)))</f>
        <v/>
      </c>
      <c r="U444" s="187" t="str">
        <f>IF($F444="","",'הזנה לתנאי סף'!Y444)</f>
        <v/>
      </c>
      <c r="V444" s="269" t="str">
        <f>IF(F444="","",'הגבלה לסכום מבוקש '!AA444)</f>
        <v/>
      </c>
      <c r="W444" s="187" t="str">
        <f t="shared" si="26"/>
        <v/>
      </c>
      <c r="X444" s="187" t="str">
        <f>IF(F444="","",'הזנה לתנאי סף'!Z444)</f>
        <v/>
      </c>
      <c r="Y444" s="237" t="str">
        <f>IFERROR(VLOOKUP(G444*1,#REF!,3,0),"")</f>
        <v/>
      </c>
      <c r="Z444" s="187" t="str">
        <f>IF(OR($F444="",Y444=""),"",IFERROR(IF(Y444&gt;V444,MIN(Y444,T444)-V444,0),'תחום תמיכה ג'!$Q$2))</f>
        <v/>
      </c>
      <c r="AA444" s="259"/>
      <c r="AB444" s="260" t="str">
        <f t="shared" si="25"/>
        <v/>
      </c>
      <c r="AC444" s="262"/>
      <c r="AD444" s="180"/>
      <c r="AE444" s="13" t="str">
        <f>IF($C444="","",IFERROR(VLOOKUP($C444,גיליון1!$A:$E,2,0),"לא הגיש בקשה שוטפת"))</f>
        <v/>
      </c>
      <c r="AF444" s="13" t="str">
        <f>IF($C444="","",IFERROR(VLOOKUP($C444,גיליון1!$A:$E,3,0),"לא הגיש בקשה שוטפת"))</f>
        <v/>
      </c>
      <c r="AG444" s="13" t="str">
        <f>IF($C444="","",IFERROR(VLOOKUP($C444,גיליון1!$A:$E,4,0),"לא הגיש בקשה שוטפת"))</f>
        <v/>
      </c>
      <c r="AH444" s="13" t="str">
        <f>IF($C444="","",IFERROR(VLOOKUP($C444,גיליון1!$A:$E,5,0),"לא הגיש בקשה שוטפת"))</f>
        <v/>
      </c>
      <c r="AI444" s="13">
        <f t="shared" si="27"/>
        <v>0</v>
      </c>
      <c r="AK444" s="174" t="s">
        <v>250</v>
      </c>
    </row>
    <row r="445" spans="1:37" s="174" customFormat="1" x14ac:dyDescent="0.25">
      <c r="A445" s="54" t="str">
        <f>'הזנה לתנאי סף'!B445</f>
        <v/>
      </c>
      <c r="B445" s="266" t="str">
        <f>IF($F445="","",'הזנה לתנאי סף'!C445)</f>
        <v/>
      </c>
      <c r="C445" s="266" t="str">
        <f>IF($F445="","",'הזנה לתנאי סף'!D445)</f>
        <v/>
      </c>
      <c r="D445" s="266" t="str">
        <f>IF($F445="","",'הזנה לתנאי סף'!E445)</f>
        <v/>
      </c>
      <c r="E445" s="55" t="str">
        <f>IF($F445="","",'הזנה לתנאי סף'!F445)</f>
        <v/>
      </c>
      <c r="F445" s="55" t="str">
        <f>IF('הזנה לתנאי סף'!BL445=1,'הזנה לתנאי סף'!G445,"")</f>
        <v/>
      </c>
      <c r="G445" s="55" t="str">
        <f>IF($F445="","",'הזנה לתנאי סף'!H445)</f>
        <v/>
      </c>
      <c r="H445" s="55" t="str">
        <f>IF($F445="","",'הזנה לתנאי סף'!I445)</f>
        <v/>
      </c>
      <c r="I445" s="187" t="str">
        <f>IF($F445="","",'הזנה לתנאי סף'!R445)</f>
        <v/>
      </c>
      <c r="J445" s="187" t="str">
        <f>IF($F445="","",'תחום תמיכה א'!P445)</f>
        <v/>
      </c>
      <c r="K445" s="177" t="str">
        <f>IF($F445="","",'הזנה לתנאי סף'!N445)</f>
        <v/>
      </c>
      <c r="L445" s="177" t="str">
        <f>IF($F445="","",'הזנה לתנאי סף'!O445)</f>
        <v/>
      </c>
      <c r="M445" s="177" t="str">
        <f>IF($F445="","",'הזנה לתנאי סף'!Q445)</f>
        <v/>
      </c>
      <c r="N445" s="187" t="str">
        <f>IF($F445="","",'תחום תמיכה א'!AE445)</f>
        <v/>
      </c>
      <c r="O445" s="178"/>
      <c r="P445" s="187" t="str">
        <f>IF($F445="","",'תחום תמיכה ב'!AC445)</f>
        <v/>
      </c>
      <c r="Q445" s="187" t="str">
        <f>IF($F445="","",IF('תחום תמיכה ג'!O445="",0,'תחום תמיכה ג'!O445))</f>
        <v/>
      </c>
      <c r="R445" s="187" t="str">
        <f t="shared" si="24"/>
        <v/>
      </c>
      <c r="S445" s="187" t="str">
        <f>IF($F445="","",'תחום תמיכה ב'!AE445)</f>
        <v/>
      </c>
      <c r="T445" s="187" t="str">
        <f>IF($F445="","",IF(Q445='תחום תמיכה ג'!$Q$2,'תחום תמיכה ג'!$Q$2,IFERROR(SUMIF(N445:R445,"&gt;0"),'תחום תמיכה ג'!$Q$2)))</f>
        <v/>
      </c>
      <c r="U445" s="187" t="str">
        <f>IF($F445="","",'הזנה לתנאי סף'!Y445)</f>
        <v/>
      </c>
      <c r="V445" s="269" t="str">
        <f>IF(F445="","",'הגבלה לסכום מבוקש '!AA445)</f>
        <v/>
      </c>
      <c r="W445" s="187" t="str">
        <f t="shared" si="26"/>
        <v/>
      </c>
      <c r="X445" s="187" t="str">
        <f>IF(F445="","",'הזנה לתנאי סף'!Z445)</f>
        <v/>
      </c>
      <c r="Y445" s="237" t="str">
        <f>IFERROR(VLOOKUP(G445*1,#REF!,3,0),"")</f>
        <v/>
      </c>
      <c r="Z445" s="187" t="str">
        <f>IF(OR($F445="",Y445=""),"",IFERROR(IF(Y445&gt;V445,MIN(Y445,T445)-V445,0),'תחום תמיכה ג'!$Q$2))</f>
        <v/>
      </c>
      <c r="AA445" s="259"/>
      <c r="AB445" s="260" t="str">
        <f t="shared" si="25"/>
        <v/>
      </c>
      <c r="AC445" s="262"/>
      <c r="AD445" s="180"/>
      <c r="AE445" s="13" t="str">
        <f>IF($C445="","",IFERROR(VLOOKUP($C445,גיליון1!$A:$E,2,0),"לא הגיש בקשה שוטפת"))</f>
        <v/>
      </c>
      <c r="AF445" s="13" t="str">
        <f>IF($C445="","",IFERROR(VLOOKUP($C445,גיליון1!$A:$E,3,0),"לא הגיש בקשה שוטפת"))</f>
        <v/>
      </c>
      <c r="AG445" s="13" t="str">
        <f>IF($C445="","",IFERROR(VLOOKUP($C445,גיליון1!$A:$E,4,0),"לא הגיש בקשה שוטפת"))</f>
        <v/>
      </c>
      <c r="AH445" s="13" t="str">
        <f>IF($C445="","",IFERROR(VLOOKUP($C445,גיליון1!$A:$E,5,0),"לא הגיש בקשה שוטפת"))</f>
        <v/>
      </c>
      <c r="AI445" s="13">
        <f t="shared" si="27"/>
        <v>0</v>
      </c>
      <c r="AK445" s="174" t="s">
        <v>250</v>
      </c>
    </row>
    <row r="446" spans="1:37" s="174" customFormat="1" x14ac:dyDescent="0.25">
      <c r="A446" s="54" t="str">
        <f>'הזנה לתנאי סף'!B446</f>
        <v/>
      </c>
      <c r="B446" s="266" t="str">
        <f>IF($F446="","",'הזנה לתנאי סף'!C446)</f>
        <v/>
      </c>
      <c r="C446" s="266" t="str">
        <f>IF($F446="","",'הזנה לתנאי סף'!D446)</f>
        <v/>
      </c>
      <c r="D446" s="266" t="str">
        <f>IF($F446="","",'הזנה לתנאי סף'!E446)</f>
        <v/>
      </c>
      <c r="E446" s="55" t="str">
        <f>IF($F446="","",'הזנה לתנאי סף'!F446)</f>
        <v/>
      </c>
      <c r="F446" s="55" t="str">
        <f>IF('הזנה לתנאי סף'!BL446=1,'הזנה לתנאי סף'!G446,"")</f>
        <v/>
      </c>
      <c r="G446" s="55" t="str">
        <f>IF($F446="","",'הזנה לתנאי סף'!H446)</f>
        <v/>
      </c>
      <c r="H446" s="55" t="str">
        <f>IF($F446="","",'הזנה לתנאי סף'!I446)</f>
        <v/>
      </c>
      <c r="I446" s="187" t="str">
        <f>IF($F446="","",'הזנה לתנאי סף'!R446)</f>
        <v/>
      </c>
      <c r="J446" s="187" t="str">
        <f>IF($F446="","",'תחום תמיכה א'!P446)</f>
        <v/>
      </c>
      <c r="K446" s="177" t="str">
        <f>IF($F446="","",'הזנה לתנאי סף'!N446)</f>
        <v/>
      </c>
      <c r="L446" s="177" t="str">
        <f>IF($F446="","",'הזנה לתנאי סף'!O446)</f>
        <v/>
      </c>
      <c r="M446" s="177" t="str">
        <f>IF($F446="","",'הזנה לתנאי סף'!Q446)</f>
        <v/>
      </c>
      <c r="N446" s="187" t="str">
        <f>IF($F446="","",'תחום תמיכה א'!AE446)</f>
        <v/>
      </c>
      <c r="O446" s="178"/>
      <c r="P446" s="187" t="str">
        <f>IF($F446="","",'תחום תמיכה ב'!AC446)</f>
        <v/>
      </c>
      <c r="Q446" s="187" t="str">
        <f>IF($F446="","",IF('תחום תמיכה ג'!O446="",0,'תחום תמיכה ג'!O446))</f>
        <v/>
      </c>
      <c r="R446" s="187" t="str">
        <f t="shared" si="24"/>
        <v/>
      </c>
      <c r="S446" s="187" t="str">
        <f>IF($F446="","",'תחום תמיכה ב'!AE446)</f>
        <v/>
      </c>
      <c r="T446" s="187" t="str">
        <f>IF($F446="","",IF(Q446='תחום תמיכה ג'!$Q$2,'תחום תמיכה ג'!$Q$2,IFERROR(SUMIF(N446:R446,"&gt;0"),'תחום תמיכה ג'!$Q$2)))</f>
        <v/>
      </c>
      <c r="U446" s="187" t="str">
        <f>IF($F446="","",'הזנה לתנאי סף'!Y446)</f>
        <v/>
      </c>
      <c r="V446" s="269" t="str">
        <f>IF(F446="","",'הגבלה לסכום מבוקש '!AA446)</f>
        <v/>
      </c>
      <c r="W446" s="187" t="str">
        <f t="shared" si="26"/>
        <v/>
      </c>
      <c r="X446" s="187" t="str">
        <f>IF(F446="","",'הזנה לתנאי סף'!Z446)</f>
        <v/>
      </c>
      <c r="Y446" s="237" t="str">
        <f>IFERROR(VLOOKUP(G446*1,#REF!,3,0),"")</f>
        <v/>
      </c>
      <c r="Z446" s="187" t="str">
        <f>IF(OR($F446="",Y446=""),"",IFERROR(IF(Y446&gt;V446,MIN(Y446,T446)-V446,0),'תחום תמיכה ג'!$Q$2))</f>
        <v/>
      </c>
      <c r="AA446" s="259"/>
      <c r="AB446" s="260" t="str">
        <f t="shared" si="25"/>
        <v/>
      </c>
      <c r="AC446" s="262"/>
      <c r="AD446" s="180"/>
      <c r="AE446" s="13" t="str">
        <f>IF($C446="","",IFERROR(VLOOKUP($C446,גיליון1!$A:$E,2,0),"לא הגיש בקשה שוטפת"))</f>
        <v/>
      </c>
      <c r="AF446" s="13" t="str">
        <f>IF($C446="","",IFERROR(VLOOKUP($C446,גיליון1!$A:$E,3,0),"לא הגיש בקשה שוטפת"))</f>
        <v/>
      </c>
      <c r="AG446" s="13" t="str">
        <f>IF($C446="","",IFERROR(VLOOKUP($C446,גיליון1!$A:$E,4,0),"לא הגיש בקשה שוטפת"))</f>
        <v/>
      </c>
      <c r="AH446" s="13" t="str">
        <f>IF($C446="","",IFERROR(VLOOKUP($C446,גיליון1!$A:$E,5,0),"לא הגיש בקשה שוטפת"))</f>
        <v/>
      </c>
      <c r="AI446" s="13">
        <f t="shared" si="27"/>
        <v>0</v>
      </c>
      <c r="AK446" s="174" t="s">
        <v>250</v>
      </c>
    </row>
    <row r="447" spans="1:37" s="174" customFormat="1" x14ac:dyDescent="0.25">
      <c r="A447" s="54" t="str">
        <f>'הזנה לתנאי סף'!B447</f>
        <v/>
      </c>
      <c r="B447" s="266" t="str">
        <f>IF($F447="","",'הזנה לתנאי סף'!C447)</f>
        <v/>
      </c>
      <c r="C447" s="266" t="str">
        <f>IF($F447="","",'הזנה לתנאי סף'!D447)</f>
        <v/>
      </c>
      <c r="D447" s="266" t="str">
        <f>IF($F447="","",'הזנה לתנאי סף'!E447)</f>
        <v/>
      </c>
      <c r="E447" s="55" t="str">
        <f>IF($F447="","",'הזנה לתנאי סף'!F447)</f>
        <v/>
      </c>
      <c r="F447" s="55" t="str">
        <f>IF('הזנה לתנאי סף'!BL447=1,'הזנה לתנאי סף'!G447,"")</f>
        <v/>
      </c>
      <c r="G447" s="55" t="str">
        <f>IF($F447="","",'הזנה לתנאי סף'!H447)</f>
        <v/>
      </c>
      <c r="H447" s="55" t="str">
        <f>IF($F447="","",'הזנה לתנאי סף'!I447)</f>
        <v/>
      </c>
      <c r="I447" s="187" t="str">
        <f>IF($F447="","",'הזנה לתנאי סף'!R447)</f>
        <v/>
      </c>
      <c r="J447" s="187" t="str">
        <f>IF($F447="","",'תחום תמיכה א'!P447)</f>
        <v/>
      </c>
      <c r="K447" s="177" t="str">
        <f>IF($F447="","",'הזנה לתנאי סף'!N447)</f>
        <v/>
      </c>
      <c r="L447" s="177" t="str">
        <f>IF($F447="","",'הזנה לתנאי סף'!O447)</f>
        <v/>
      </c>
      <c r="M447" s="177" t="str">
        <f>IF($F447="","",'הזנה לתנאי סף'!Q447)</f>
        <v/>
      </c>
      <c r="N447" s="187" t="str">
        <f>IF($F447="","",'תחום תמיכה א'!AE447)</f>
        <v/>
      </c>
      <c r="O447" s="178"/>
      <c r="P447" s="187" t="str">
        <f>IF($F447="","",'תחום תמיכה ב'!AC447)</f>
        <v/>
      </c>
      <c r="Q447" s="187" t="str">
        <f>IF($F447="","",IF('תחום תמיכה ג'!O447="",0,'תחום תמיכה ג'!O447))</f>
        <v/>
      </c>
      <c r="R447" s="187" t="str">
        <f t="shared" si="24"/>
        <v/>
      </c>
      <c r="S447" s="187" t="str">
        <f>IF($F447="","",'תחום תמיכה ב'!AE447)</f>
        <v/>
      </c>
      <c r="T447" s="187" t="str">
        <f>IF($F447="","",IF(Q447='תחום תמיכה ג'!$Q$2,'תחום תמיכה ג'!$Q$2,IFERROR(SUMIF(N447:R447,"&gt;0"),'תחום תמיכה ג'!$Q$2)))</f>
        <v/>
      </c>
      <c r="U447" s="187" t="str">
        <f>IF($F447="","",'הזנה לתנאי סף'!Y447)</f>
        <v/>
      </c>
      <c r="V447" s="269" t="str">
        <f>IF(F447="","",'הגבלה לסכום מבוקש '!AA447)</f>
        <v/>
      </c>
      <c r="W447" s="187" t="str">
        <f t="shared" si="26"/>
        <v/>
      </c>
      <c r="X447" s="187" t="str">
        <f>IF(F447="","",'הזנה לתנאי סף'!Z447)</f>
        <v/>
      </c>
      <c r="Y447" s="237" t="str">
        <f>IFERROR(VLOOKUP(G447*1,#REF!,3,0),"")</f>
        <v/>
      </c>
      <c r="Z447" s="187" t="str">
        <f>IF(OR($F447="",Y447=""),"",IFERROR(IF(Y447&gt;V447,MIN(Y447,T447)-V447,0),'תחום תמיכה ג'!$Q$2))</f>
        <v/>
      </c>
      <c r="AA447" s="259"/>
      <c r="AB447" s="260" t="str">
        <f t="shared" si="25"/>
        <v/>
      </c>
      <c r="AC447" s="262"/>
      <c r="AD447" s="180"/>
      <c r="AE447" s="13" t="str">
        <f>IF($C447="","",IFERROR(VLOOKUP($C447,גיליון1!$A:$E,2,0),"לא הגיש בקשה שוטפת"))</f>
        <v/>
      </c>
      <c r="AF447" s="13" t="str">
        <f>IF($C447="","",IFERROR(VLOOKUP($C447,גיליון1!$A:$E,3,0),"לא הגיש בקשה שוטפת"))</f>
        <v/>
      </c>
      <c r="AG447" s="13" t="str">
        <f>IF($C447="","",IFERROR(VLOOKUP($C447,גיליון1!$A:$E,4,0),"לא הגיש בקשה שוטפת"))</f>
        <v/>
      </c>
      <c r="AH447" s="13" t="str">
        <f>IF($C447="","",IFERROR(VLOOKUP($C447,גיליון1!$A:$E,5,0),"לא הגיש בקשה שוטפת"))</f>
        <v/>
      </c>
      <c r="AI447" s="13">
        <f t="shared" si="27"/>
        <v>0</v>
      </c>
      <c r="AK447" s="174" t="s">
        <v>250</v>
      </c>
    </row>
    <row r="448" spans="1:37" s="174" customFormat="1" x14ac:dyDescent="0.25">
      <c r="A448" s="54" t="str">
        <f>'הזנה לתנאי סף'!B448</f>
        <v/>
      </c>
      <c r="B448" s="266" t="str">
        <f>IF($F448="","",'הזנה לתנאי סף'!C448)</f>
        <v/>
      </c>
      <c r="C448" s="266" t="str">
        <f>IF($F448="","",'הזנה לתנאי סף'!D448)</f>
        <v/>
      </c>
      <c r="D448" s="266" t="str">
        <f>IF($F448="","",'הזנה לתנאי סף'!E448)</f>
        <v/>
      </c>
      <c r="E448" s="55" t="str">
        <f>IF($F448="","",'הזנה לתנאי סף'!F448)</f>
        <v/>
      </c>
      <c r="F448" s="55" t="str">
        <f>IF('הזנה לתנאי סף'!BL448=1,'הזנה לתנאי סף'!G448,"")</f>
        <v/>
      </c>
      <c r="G448" s="55" t="str">
        <f>IF($F448="","",'הזנה לתנאי סף'!H448)</f>
        <v/>
      </c>
      <c r="H448" s="55" t="str">
        <f>IF($F448="","",'הזנה לתנאי סף'!I448)</f>
        <v/>
      </c>
      <c r="I448" s="187" t="str">
        <f>IF($F448="","",'הזנה לתנאי סף'!R448)</f>
        <v/>
      </c>
      <c r="J448" s="187" t="str">
        <f>IF($F448="","",'תחום תמיכה א'!P448)</f>
        <v/>
      </c>
      <c r="K448" s="177" t="str">
        <f>IF($F448="","",'הזנה לתנאי סף'!N448)</f>
        <v/>
      </c>
      <c r="L448" s="177" t="str">
        <f>IF($F448="","",'הזנה לתנאי סף'!O448)</f>
        <v/>
      </c>
      <c r="M448" s="177" t="str">
        <f>IF($F448="","",'הזנה לתנאי סף'!Q448)</f>
        <v/>
      </c>
      <c r="N448" s="187" t="str">
        <f>IF($F448="","",'תחום תמיכה א'!AE448)</f>
        <v/>
      </c>
      <c r="O448" s="178"/>
      <c r="P448" s="187" t="str">
        <f>IF($F448="","",'תחום תמיכה ב'!AC448)</f>
        <v/>
      </c>
      <c r="Q448" s="187" t="str">
        <f>IF($F448="","",IF('תחום תמיכה ג'!O448="",0,'תחום תמיכה ג'!O448))</f>
        <v/>
      </c>
      <c r="R448" s="187" t="str">
        <f t="shared" si="24"/>
        <v/>
      </c>
      <c r="S448" s="187" t="str">
        <f>IF($F448="","",'תחום תמיכה ב'!AE448)</f>
        <v/>
      </c>
      <c r="T448" s="187" t="str">
        <f>IF($F448="","",IF(Q448='תחום תמיכה ג'!$Q$2,'תחום תמיכה ג'!$Q$2,IFERROR(SUMIF(N448:R448,"&gt;0"),'תחום תמיכה ג'!$Q$2)))</f>
        <v/>
      </c>
      <c r="U448" s="187" t="str">
        <f>IF($F448="","",'הזנה לתנאי סף'!Y448)</f>
        <v/>
      </c>
      <c r="V448" s="269" t="str">
        <f>IF(F448="","",'הגבלה לסכום מבוקש '!AA448)</f>
        <v/>
      </c>
      <c r="W448" s="187" t="str">
        <f t="shared" si="26"/>
        <v/>
      </c>
      <c r="X448" s="187" t="str">
        <f>IF(F448="","",'הזנה לתנאי סף'!Z448)</f>
        <v/>
      </c>
      <c r="Y448" s="237" t="str">
        <f>IFERROR(VLOOKUP(G448*1,#REF!,3,0),"")</f>
        <v/>
      </c>
      <c r="Z448" s="187" t="str">
        <f>IF(OR($F448="",Y448=""),"",IFERROR(IF(Y448&gt;V448,MIN(Y448,T448)-V448,0),'תחום תמיכה ג'!$Q$2))</f>
        <v/>
      </c>
      <c r="AA448" s="259"/>
      <c r="AB448" s="260" t="str">
        <f t="shared" si="25"/>
        <v/>
      </c>
      <c r="AC448" s="262"/>
      <c r="AD448" s="180"/>
      <c r="AE448" s="13" t="str">
        <f>IF($C448="","",IFERROR(VLOOKUP($C448,גיליון1!$A:$E,2,0),"לא הגיש בקשה שוטפת"))</f>
        <v/>
      </c>
      <c r="AF448" s="13" t="str">
        <f>IF($C448="","",IFERROR(VLOOKUP($C448,גיליון1!$A:$E,3,0),"לא הגיש בקשה שוטפת"))</f>
        <v/>
      </c>
      <c r="AG448" s="13" t="str">
        <f>IF($C448="","",IFERROR(VLOOKUP($C448,גיליון1!$A:$E,4,0),"לא הגיש בקשה שוטפת"))</f>
        <v/>
      </c>
      <c r="AH448" s="13" t="str">
        <f>IF($C448="","",IFERROR(VLOOKUP($C448,גיליון1!$A:$E,5,0),"לא הגיש בקשה שוטפת"))</f>
        <v/>
      </c>
      <c r="AI448" s="13">
        <f t="shared" si="27"/>
        <v>0</v>
      </c>
      <c r="AK448" s="174" t="s">
        <v>250</v>
      </c>
    </row>
    <row r="449" spans="1:37" s="174" customFormat="1" x14ac:dyDescent="0.25">
      <c r="A449" s="54" t="str">
        <f>'הזנה לתנאי סף'!B449</f>
        <v/>
      </c>
      <c r="B449" s="266" t="str">
        <f>IF($F449="","",'הזנה לתנאי סף'!C449)</f>
        <v/>
      </c>
      <c r="C449" s="266" t="str">
        <f>IF($F449="","",'הזנה לתנאי סף'!D449)</f>
        <v/>
      </c>
      <c r="D449" s="266" t="str">
        <f>IF($F449="","",'הזנה לתנאי סף'!E449)</f>
        <v/>
      </c>
      <c r="E449" s="55" t="str">
        <f>IF($F449="","",'הזנה לתנאי סף'!F449)</f>
        <v/>
      </c>
      <c r="F449" s="55" t="str">
        <f>IF('הזנה לתנאי סף'!BL449=1,'הזנה לתנאי סף'!G449,"")</f>
        <v/>
      </c>
      <c r="G449" s="55" t="str">
        <f>IF($F449="","",'הזנה לתנאי סף'!H449)</f>
        <v/>
      </c>
      <c r="H449" s="55" t="str">
        <f>IF($F449="","",'הזנה לתנאי סף'!I449)</f>
        <v/>
      </c>
      <c r="I449" s="187" t="str">
        <f>IF($F449="","",'הזנה לתנאי סף'!R449)</f>
        <v/>
      </c>
      <c r="J449" s="187" t="str">
        <f>IF($F449="","",'תחום תמיכה א'!P449)</f>
        <v/>
      </c>
      <c r="K449" s="177" t="str">
        <f>IF($F449="","",'הזנה לתנאי סף'!N449)</f>
        <v/>
      </c>
      <c r="L449" s="177" t="str">
        <f>IF($F449="","",'הזנה לתנאי סף'!O449)</f>
        <v/>
      </c>
      <c r="M449" s="177" t="str">
        <f>IF($F449="","",'הזנה לתנאי סף'!Q449)</f>
        <v/>
      </c>
      <c r="N449" s="187" t="str">
        <f>IF($F449="","",'תחום תמיכה א'!AE449)</f>
        <v/>
      </c>
      <c r="O449" s="178"/>
      <c r="P449" s="187" t="str">
        <f>IF($F449="","",'תחום תמיכה ב'!AC449)</f>
        <v/>
      </c>
      <c r="Q449" s="187" t="str">
        <f>IF($F449="","",IF('תחום תמיכה ג'!O449="",0,'תחום תמיכה ג'!O449))</f>
        <v/>
      </c>
      <c r="R449" s="187" t="str">
        <f t="shared" si="24"/>
        <v/>
      </c>
      <c r="S449" s="187" t="str">
        <f>IF($F449="","",'תחום תמיכה ב'!AE449)</f>
        <v/>
      </c>
      <c r="T449" s="187" t="str">
        <f>IF($F449="","",IF(Q449='תחום תמיכה ג'!$Q$2,'תחום תמיכה ג'!$Q$2,IFERROR(SUMIF(N449:R449,"&gt;0"),'תחום תמיכה ג'!$Q$2)))</f>
        <v/>
      </c>
      <c r="U449" s="187" t="str">
        <f>IF($F449="","",'הזנה לתנאי סף'!Y449)</f>
        <v/>
      </c>
      <c r="V449" s="269" t="str">
        <f>IF(F449="","",'הגבלה לסכום מבוקש '!AA449)</f>
        <v/>
      </c>
      <c r="W449" s="187" t="str">
        <f t="shared" si="26"/>
        <v/>
      </c>
      <c r="X449" s="187" t="str">
        <f>IF(F449="","",'הזנה לתנאי סף'!Z449)</f>
        <v/>
      </c>
      <c r="Y449" s="237" t="str">
        <f>IFERROR(VLOOKUP(G449*1,#REF!,3,0),"")</f>
        <v/>
      </c>
      <c r="Z449" s="187" t="str">
        <f>IF(OR($F449="",Y449=""),"",IFERROR(IF(Y449&gt;V449,MIN(Y449,T449)-V449,0),'תחום תמיכה ג'!$Q$2))</f>
        <v/>
      </c>
      <c r="AA449" s="259"/>
      <c r="AB449" s="260" t="str">
        <f t="shared" si="25"/>
        <v/>
      </c>
      <c r="AC449" s="262"/>
      <c r="AD449" s="180"/>
      <c r="AE449" s="13" t="str">
        <f>IF($C449="","",IFERROR(VLOOKUP($C449,גיליון1!$A:$E,2,0),"לא הגיש בקשה שוטפת"))</f>
        <v/>
      </c>
      <c r="AF449" s="13" t="str">
        <f>IF($C449="","",IFERROR(VLOOKUP($C449,גיליון1!$A:$E,3,0),"לא הגיש בקשה שוטפת"))</f>
        <v/>
      </c>
      <c r="AG449" s="13" t="str">
        <f>IF($C449="","",IFERROR(VLOOKUP($C449,גיליון1!$A:$E,4,0),"לא הגיש בקשה שוטפת"))</f>
        <v/>
      </c>
      <c r="AH449" s="13" t="str">
        <f>IF($C449="","",IFERROR(VLOOKUP($C449,גיליון1!$A:$E,5,0),"לא הגיש בקשה שוטפת"))</f>
        <v/>
      </c>
      <c r="AI449" s="13">
        <f t="shared" si="27"/>
        <v>0</v>
      </c>
      <c r="AK449" s="174" t="s">
        <v>250</v>
      </c>
    </row>
    <row r="450" spans="1:37" s="174" customFormat="1" x14ac:dyDescent="0.25">
      <c r="A450" s="54" t="str">
        <f>'הזנה לתנאי סף'!B450</f>
        <v/>
      </c>
      <c r="B450" s="266" t="str">
        <f>IF($F450="","",'הזנה לתנאי סף'!C450)</f>
        <v/>
      </c>
      <c r="C450" s="266" t="str">
        <f>IF($F450="","",'הזנה לתנאי סף'!D450)</f>
        <v/>
      </c>
      <c r="D450" s="266" t="str">
        <f>IF($F450="","",'הזנה לתנאי סף'!E450)</f>
        <v/>
      </c>
      <c r="E450" s="55" t="str">
        <f>IF($F450="","",'הזנה לתנאי סף'!F450)</f>
        <v/>
      </c>
      <c r="F450" s="55" t="str">
        <f>IF('הזנה לתנאי סף'!BL450=1,'הזנה לתנאי סף'!G450,"")</f>
        <v/>
      </c>
      <c r="G450" s="55" t="str">
        <f>IF($F450="","",'הזנה לתנאי סף'!H450)</f>
        <v/>
      </c>
      <c r="H450" s="55" t="str">
        <f>IF($F450="","",'הזנה לתנאי סף'!I450)</f>
        <v/>
      </c>
      <c r="I450" s="187" t="str">
        <f>IF($F450="","",'הזנה לתנאי סף'!R450)</f>
        <v/>
      </c>
      <c r="J450" s="187" t="str">
        <f>IF($F450="","",'תחום תמיכה א'!P450)</f>
        <v/>
      </c>
      <c r="K450" s="177" t="str">
        <f>IF($F450="","",'הזנה לתנאי סף'!N450)</f>
        <v/>
      </c>
      <c r="L450" s="177" t="str">
        <f>IF($F450="","",'הזנה לתנאי סף'!O450)</f>
        <v/>
      </c>
      <c r="M450" s="177" t="str">
        <f>IF($F450="","",'הזנה לתנאי סף'!Q450)</f>
        <v/>
      </c>
      <c r="N450" s="187" t="str">
        <f>IF($F450="","",'תחום תמיכה א'!AE450)</f>
        <v/>
      </c>
      <c r="O450" s="178"/>
      <c r="P450" s="187" t="str">
        <f>IF($F450="","",'תחום תמיכה ב'!AC450)</f>
        <v/>
      </c>
      <c r="Q450" s="187" t="str">
        <f>IF($F450="","",IF('תחום תמיכה ג'!O450="",0,'תחום תמיכה ג'!O450))</f>
        <v/>
      </c>
      <c r="R450" s="187" t="str">
        <f t="shared" si="24"/>
        <v/>
      </c>
      <c r="S450" s="187" t="str">
        <f>IF($F450="","",'תחום תמיכה ב'!AE450)</f>
        <v/>
      </c>
      <c r="T450" s="187" t="str">
        <f>IF($F450="","",IF(Q450='תחום תמיכה ג'!$Q$2,'תחום תמיכה ג'!$Q$2,IFERROR(SUMIF(N450:R450,"&gt;0"),'תחום תמיכה ג'!$Q$2)))</f>
        <v/>
      </c>
      <c r="U450" s="187" t="str">
        <f>IF($F450="","",'הזנה לתנאי סף'!Y450)</f>
        <v/>
      </c>
      <c r="V450" s="269" t="str">
        <f>IF(F450="","",'הגבלה לסכום מבוקש '!AA450)</f>
        <v/>
      </c>
      <c r="W450" s="187" t="str">
        <f t="shared" si="26"/>
        <v/>
      </c>
      <c r="X450" s="187" t="str">
        <f>IF(F450="","",'הזנה לתנאי סף'!Z450)</f>
        <v/>
      </c>
      <c r="Y450" s="237" t="str">
        <f>IFERROR(VLOOKUP(G450*1,#REF!,3,0),"")</f>
        <v/>
      </c>
      <c r="Z450" s="187" t="str">
        <f>IF(OR($F450="",Y450=""),"",IFERROR(IF(Y450&gt;V450,MIN(Y450,T450)-V450,0),'תחום תמיכה ג'!$Q$2))</f>
        <v/>
      </c>
      <c r="AA450" s="259"/>
      <c r="AB450" s="260" t="str">
        <f t="shared" si="25"/>
        <v/>
      </c>
      <c r="AC450" s="262"/>
      <c r="AD450" s="180"/>
      <c r="AE450" s="13" t="str">
        <f>IF($C450="","",IFERROR(VLOOKUP($C450,גיליון1!$A:$E,2,0),"לא הגיש בקשה שוטפת"))</f>
        <v/>
      </c>
      <c r="AF450" s="13" t="str">
        <f>IF($C450="","",IFERROR(VLOOKUP($C450,גיליון1!$A:$E,3,0),"לא הגיש בקשה שוטפת"))</f>
        <v/>
      </c>
      <c r="AG450" s="13" t="str">
        <f>IF($C450="","",IFERROR(VLOOKUP($C450,גיליון1!$A:$E,4,0),"לא הגיש בקשה שוטפת"))</f>
        <v/>
      </c>
      <c r="AH450" s="13" t="str">
        <f>IF($C450="","",IFERROR(VLOOKUP($C450,גיליון1!$A:$E,5,0),"לא הגיש בקשה שוטפת"))</f>
        <v/>
      </c>
      <c r="AI450" s="13">
        <f t="shared" si="27"/>
        <v>0</v>
      </c>
      <c r="AK450" s="174" t="s">
        <v>250</v>
      </c>
    </row>
    <row r="451" spans="1:37" s="174" customFormat="1" x14ac:dyDescent="0.25">
      <c r="A451" s="54" t="str">
        <f>'הזנה לתנאי סף'!B451</f>
        <v/>
      </c>
      <c r="B451" s="266" t="str">
        <f>IF($F451="","",'הזנה לתנאי סף'!C451)</f>
        <v/>
      </c>
      <c r="C451" s="266" t="str">
        <f>IF($F451="","",'הזנה לתנאי סף'!D451)</f>
        <v/>
      </c>
      <c r="D451" s="266" t="str">
        <f>IF($F451="","",'הזנה לתנאי סף'!E451)</f>
        <v/>
      </c>
      <c r="E451" s="55" t="str">
        <f>IF($F451="","",'הזנה לתנאי סף'!F451)</f>
        <v/>
      </c>
      <c r="F451" s="55" t="str">
        <f>IF('הזנה לתנאי סף'!BL451=1,'הזנה לתנאי סף'!G451,"")</f>
        <v/>
      </c>
      <c r="G451" s="55" t="str">
        <f>IF($F451="","",'הזנה לתנאי סף'!H451)</f>
        <v/>
      </c>
      <c r="H451" s="55" t="str">
        <f>IF($F451="","",'הזנה לתנאי סף'!I451)</f>
        <v/>
      </c>
      <c r="I451" s="187" t="str">
        <f>IF($F451="","",'הזנה לתנאי סף'!R451)</f>
        <v/>
      </c>
      <c r="J451" s="187" t="str">
        <f>IF($F451="","",'תחום תמיכה א'!P451)</f>
        <v/>
      </c>
      <c r="K451" s="177" t="str">
        <f>IF($F451="","",'הזנה לתנאי סף'!N451)</f>
        <v/>
      </c>
      <c r="L451" s="177" t="str">
        <f>IF($F451="","",'הזנה לתנאי סף'!O451)</f>
        <v/>
      </c>
      <c r="M451" s="177" t="str">
        <f>IF($F451="","",'הזנה לתנאי סף'!Q451)</f>
        <v/>
      </c>
      <c r="N451" s="187" t="str">
        <f>IF($F451="","",'תחום תמיכה א'!AE451)</f>
        <v/>
      </c>
      <c r="O451" s="178"/>
      <c r="P451" s="187" t="str">
        <f>IF($F451="","",'תחום תמיכה ב'!AC451)</f>
        <v/>
      </c>
      <c r="Q451" s="187" t="str">
        <f>IF($F451="","",IF('תחום תמיכה ג'!O451="",0,'תחום תמיכה ג'!O451))</f>
        <v/>
      </c>
      <c r="R451" s="187" t="str">
        <f t="shared" si="24"/>
        <v/>
      </c>
      <c r="S451" s="187" t="str">
        <f>IF($F451="","",'תחום תמיכה ב'!AE451)</f>
        <v/>
      </c>
      <c r="T451" s="187" t="str">
        <f>IF($F451="","",IF(Q451='תחום תמיכה ג'!$Q$2,'תחום תמיכה ג'!$Q$2,IFERROR(SUMIF(N451:R451,"&gt;0"),'תחום תמיכה ג'!$Q$2)))</f>
        <v/>
      </c>
      <c r="U451" s="187" t="str">
        <f>IF($F451="","",'הזנה לתנאי סף'!Y451)</f>
        <v/>
      </c>
      <c r="V451" s="269" t="str">
        <f>IF(F451="","",'הגבלה לסכום מבוקש '!AA451)</f>
        <v/>
      </c>
      <c r="W451" s="187" t="str">
        <f t="shared" si="26"/>
        <v/>
      </c>
      <c r="X451" s="187" t="str">
        <f>IF(F451="","",'הזנה לתנאי סף'!Z451)</f>
        <v/>
      </c>
      <c r="Y451" s="237" t="str">
        <f>IFERROR(VLOOKUP(G451*1,#REF!,3,0),"")</f>
        <v/>
      </c>
      <c r="Z451" s="187" t="str">
        <f>IF(OR($F451="",Y451=""),"",IFERROR(IF(Y451&gt;V451,MIN(Y451,T451)-V451,0),'תחום תמיכה ג'!$Q$2))</f>
        <v/>
      </c>
      <c r="AA451" s="259"/>
      <c r="AB451" s="260" t="str">
        <f t="shared" si="25"/>
        <v/>
      </c>
      <c r="AC451" s="262"/>
      <c r="AD451" s="180"/>
      <c r="AE451" s="13" t="str">
        <f>IF($C451="","",IFERROR(VLOOKUP($C451,גיליון1!$A:$E,2,0),"לא הגיש בקשה שוטפת"))</f>
        <v/>
      </c>
      <c r="AF451" s="13" t="str">
        <f>IF($C451="","",IFERROR(VLOOKUP($C451,גיליון1!$A:$E,3,0),"לא הגיש בקשה שוטפת"))</f>
        <v/>
      </c>
      <c r="AG451" s="13" t="str">
        <f>IF($C451="","",IFERROR(VLOOKUP($C451,גיליון1!$A:$E,4,0),"לא הגיש בקשה שוטפת"))</f>
        <v/>
      </c>
      <c r="AH451" s="13" t="str">
        <f>IF($C451="","",IFERROR(VLOOKUP($C451,גיליון1!$A:$E,5,0),"לא הגיש בקשה שוטפת"))</f>
        <v/>
      </c>
      <c r="AI451" s="13">
        <f t="shared" si="27"/>
        <v>0</v>
      </c>
      <c r="AK451" s="174" t="s">
        <v>250</v>
      </c>
    </row>
    <row r="452" spans="1:37" s="174" customFormat="1" x14ac:dyDescent="0.25">
      <c r="A452" s="54" t="str">
        <f>'הזנה לתנאי סף'!B452</f>
        <v/>
      </c>
      <c r="B452" s="266" t="str">
        <f>IF($F452="","",'הזנה לתנאי סף'!C452)</f>
        <v/>
      </c>
      <c r="C452" s="266" t="str">
        <f>IF($F452="","",'הזנה לתנאי סף'!D452)</f>
        <v/>
      </c>
      <c r="D452" s="266" t="str">
        <f>IF($F452="","",'הזנה לתנאי סף'!E452)</f>
        <v/>
      </c>
      <c r="E452" s="55" t="str">
        <f>IF($F452="","",'הזנה לתנאי סף'!F452)</f>
        <v/>
      </c>
      <c r="F452" s="55" t="str">
        <f>IF('הזנה לתנאי סף'!BL452=1,'הזנה לתנאי סף'!G452,"")</f>
        <v/>
      </c>
      <c r="G452" s="55" t="str">
        <f>IF($F452="","",'הזנה לתנאי סף'!H452)</f>
        <v/>
      </c>
      <c r="H452" s="55" t="str">
        <f>IF($F452="","",'הזנה לתנאי סף'!I452)</f>
        <v/>
      </c>
      <c r="I452" s="187" t="str">
        <f>IF($F452="","",'הזנה לתנאי סף'!R452)</f>
        <v/>
      </c>
      <c r="J452" s="187" t="str">
        <f>IF($F452="","",'תחום תמיכה א'!P452)</f>
        <v/>
      </c>
      <c r="K452" s="177" t="str">
        <f>IF($F452="","",'הזנה לתנאי סף'!N452)</f>
        <v/>
      </c>
      <c r="L452" s="177" t="str">
        <f>IF($F452="","",'הזנה לתנאי סף'!O452)</f>
        <v/>
      </c>
      <c r="M452" s="177" t="str">
        <f>IF($F452="","",'הזנה לתנאי סף'!Q452)</f>
        <v/>
      </c>
      <c r="N452" s="187" t="str">
        <f>IF($F452="","",'תחום תמיכה א'!AE452)</f>
        <v/>
      </c>
      <c r="O452" s="178"/>
      <c r="P452" s="187" t="str">
        <f>IF($F452="","",'תחום תמיכה ב'!AC452)</f>
        <v/>
      </c>
      <c r="Q452" s="187" t="str">
        <f>IF($F452="","",IF('תחום תמיכה ג'!O452="",0,'תחום תמיכה ג'!O452))</f>
        <v/>
      </c>
      <c r="R452" s="187" t="str">
        <f t="shared" si="24"/>
        <v/>
      </c>
      <c r="S452" s="187" t="str">
        <f>IF($F452="","",'תחום תמיכה ב'!AE452)</f>
        <v/>
      </c>
      <c r="T452" s="187" t="str">
        <f>IF($F452="","",IF(Q452='תחום תמיכה ג'!$Q$2,'תחום תמיכה ג'!$Q$2,IFERROR(SUMIF(N452:R452,"&gt;0"),'תחום תמיכה ג'!$Q$2)))</f>
        <v/>
      </c>
      <c r="U452" s="187" t="str">
        <f>IF($F452="","",'הזנה לתנאי סף'!Y452)</f>
        <v/>
      </c>
      <c r="V452" s="269" t="str">
        <f>IF(F452="","",'הגבלה לסכום מבוקש '!AA452)</f>
        <v/>
      </c>
      <c r="W452" s="187" t="str">
        <f t="shared" si="26"/>
        <v/>
      </c>
      <c r="X452" s="187" t="str">
        <f>IF(F452="","",'הזנה לתנאי סף'!Z452)</f>
        <v/>
      </c>
      <c r="Y452" s="237" t="str">
        <f>IFERROR(VLOOKUP(G452*1,#REF!,3,0),"")</f>
        <v/>
      </c>
      <c r="Z452" s="187" t="str">
        <f>IF(OR($F452="",Y452=""),"",IFERROR(IF(Y452&gt;V452,MIN(Y452,T452)-V452,0),'תחום תמיכה ג'!$Q$2))</f>
        <v/>
      </c>
      <c r="AA452" s="259"/>
      <c r="AB452" s="260" t="str">
        <f t="shared" si="25"/>
        <v/>
      </c>
      <c r="AC452" s="262"/>
      <c r="AD452" s="180"/>
      <c r="AE452" s="13" t="str">
        <f>IF($C452="","",IFERROR(VLOOKUP($C452,גיליון1!$A:$E,2,0),"לא הגיש בקשה שוטפת"))</f>
        <v/>
      </c>
      <c r="AF452" s="13" t="str">
        <f>IF($C452="","",IFERROR(VLOOKUP($C452,גיליון1!$A:$E,3,0),"לא הגיש בקשה שוטפת"))</f>
        <v/>
      </c>
      <c r="AG452" s="13" t="str">
        <f>IF($C452="","",IFERROR(VLOOKUP($C452,גיליון1!$A:$E,4,0),"לא הגיש בקשה שוטפת"))</f>
        <v/>
      </c>
      <c r="AH452" s="13" t="str">
        <f>IF($C452="","",IFERROR(VLOOKUP($C452,גיליון1!$A:$E,5,0),"לא הגיש בקשה שוטפת"))</f>
        <v/>
      </c>
      <c r="AI452" s="13">
        <f t="shared" si="27"/>
        <v>0</v>
      </c>
      <c r="AK452" s="174" t="s">
        <v>250</v>
      </c>
    </row>
    <row r="453" spans="1:37" s="174" customFormat="1" x14ac:dyDescent="0.25">
      <c r="A453" s="54" t="str">
        <f>'הזנה לתנאי סף'!B453</f>
        <v/>
      </c>
      <c r="B453" s="266" t="str">
        <f>IF($F453="","",'הזנה לתנאי סף'!C453)</f>
        <v/>
      </c>
      <c r="C453" s="266" t="str">
        <f>IF($F453="","",'הזנה לתנאי סף'!D453)</f>
        <v/>
      </c>
      <c r="D453" s="266" t="str">
        <f>IF($F453="","",'הזנה לתנאי סף'!E453)</f>
        <v/>
      </c>
      <c r="E453" s="55" t="str">
        <f>IF($F453="","",'הזנה לתנאי סף'!F453)</f>
        <v/>
      </c>
      <c r="F453" s="55" t="str">
        <f>IF('הזנה לתנאי סף'!BL453=1,'הזנה לתנאי סף'!G453,"")</f>
        <v/>
      </c>
      <c r="G453" s="55" t="str">
        <f>IF($F453="","",'הזנה לתנאי סף'!H453)</f>
        <v/>
      </c>
      <c r="H453" s="55" t="str">
        <f>IF($F453="","",'הזנה לתנאי סף'!I453)</f>
        <v/>
      </c>
      <c r="I453" s="187" t="str">
        <f>IF($F453="","",'הזנה לתנאי סף'!R453)</f>
        <v/>
      </c>
      <c r="J453" s="187" t="str">
        <f>IF($F453="","",'תחום תמיכה א'!P453)</f>
        <v/>
      </c>
      <c r="K453" s="177" t="str">
        <f>IF($F453="","",'הזנה לתנאי סף'!N453)</f>
        <v/>
      </c>
      <c r="L453" s="177" t="str">
        <f>IF($F453="","",'הזנה לתנאי סף'!O453)</f>
        <v/>
      </c>
      <c r="M453" s="177" t="str">
        <f>IF($F453="","",'הזנה לתנאי סף'!Q453)</f>
        <v/>
      </c>
      <c r="N453" s="187" t="str">
        <f>IF($F453="","",'תחום תמיכה א'!AE453)</f>
        <v/>
      </c>
      <c r="O453" s="178"/>
      <c r="P453" s="187" t="str">
        <f>IF($F453="","",'תחום תמיכה ב'!AC453)</f>
        <v/>
      </c>
      <c r="Q453" s="187" t="str">
        <f>IF($F453="","",IF('תחום תמיכה ג'!O453="",0,'תחום תמיכה ג'!O453))</f>
        <v/>
      </c>
      <c r="R453" s="187" t="str">
        <f t="shared" si="24"/>
        <v/>
      </c>
      <c r="S453" s="187" t="str">
        <f>IF($F453="","",'תחום תמיכה ב'!AE453)</f>
        <v/>
      </c>
      <c r="T453" s="187" t="str">
        <f>IF($F453="","",IF(Q453='תחום תמיכה ג'!$Q$2,'תחום תמיכה ג'!$Q$2,IFERROR(SUMIF(N453:R453,"&gt;0"),'תחום תמיכה ג'!$Q$2)))</f>
        <v/>
      </c>
      <c r="U453" s="187" t="str">
        <f>IF($F453="","",'הזנה לתנאי סף'!Y453)</f>
        <v/>
      </c>
      <c r="V453" s="269" t="str">
        <f>IF(F453="","",'הגבלה לסכום מבוקש '!AA453)</f>
        <v/>
      </c>
      <c r="W453" s="187" t="str">
        <f t="shared" si="26"/>
        <v/>
      </c>
      <c r="X453" s="187" t="str">
        <f>IF(F453="","",'הזנה לתנאי סף'!Z453)</f>
        <v/>
      </c>
      <c r="Y453" s="237" t="str">
        <f>IFERROR(VLOOKUP(G453*1,#REF!,3,0),"")</f>
        <v/>
      </c>
      <c r="Z453" s="187" t="str">
        <f>IF(OR($F453="",Y453=""),"",IFERROR(IF(Y453&gt;V453,MIN(Y453,T453)-V453,0),'תחום תמיכה ג'!$Q$2))</f>
        <v/>
      </c>
      <c r="AA453" s="259"/>
      <c r="AB453" s="260" t="str">
        <f t="shared" si="25"/>
        <v/>
      </c>
      <c r="AC453" s="262"/>
      <c r="AD453" s="180"/>
      <c r="AE453" s="13" t="str">
        <f>IF($C453="","",IFERROR(VLOOKUP($C453,גיליון1!$A:$E,2,0),"לא הגיש בקשה שוטפת"))</f>
        <v/>
      </c>
      <c r="AF453" s="13" t="str">
        <f>IF($C453="","",IFERROR(VLOOKUP($C453,גיליון1!$A:$E,3,0),"לא הגיש בקשה שוטפת"))</f>
        <v/>
      </c>
      <c r="AG453" s="13" t="str">
        <f>IF($C453="","",IFERROR(VLOOKUP($C453,גיליון1!$A:$E,4,0),"לא הגיש בקשה שוטפת"))</f>
        <v/>
      </c>
      <c r="AH453" s="13" t="str">
        <f>IF($C453="","",IFERROR(VLOOKUP($C453,גיליון1!$A:$E,5,0),"לא הגיש בקשה שוטפת"))</f>
        <v/>
      </c>
      <c r="AI453" s="13">
        <f t="shared" si="27"/>
        <v>0</v>
      </c>
      <c r="AK453" s="174" t="s">
        <v>250</v>
      </c>
    </row>
    <row r="454" spans="1:37" s="174" customFormat="1" x14ac:dyDescent="0.25">
      <c r="A454" s="54" t="str">
        <f>'הזנה לתנאי סף'!B454</f>
        <v/>
      </c>
      <c r="B454" s="266" t="str">
        <f>IF($F454="","",'הזנה לתנאי סף'!C454)</f>
        <v/>
      </c>
      <c r="C454" s="266" t="str">
        <f>IF($F454="","",'הזנה לתנאי סף'!D454)</f>
        <v/>
      </c>
      <c r="D454" s="266" t="str">
        <f>IF($F454="","",'הזנה לתנאי סף'!E454)</f>
        <v/>
      </c>
      <c r="E454" s="55" t="str">
        <f>IF($F454="","",'הזנה לתנאי סף'!F454)</f>
        <v/>
      </c>
      <c r="F454" s="55" t="str">
        <f>IF('הזנה לתנאי סף'!BL454=1,'הזנה לתנאי סף'!G454,"")</f>
        <v/>
      </c>
      <c r="G454" s="55" t="str">
        <f>IF($F454="","",'הזנה לתנאי סף'!H454)</f>
        <v/>
      </c>
      <c r="H454" s="55" t="str">
        <f>IF($F454="","",'הזנה לתנאי סף'!I454)</f>
        <v/>
      </c>
      <c r="I454" s="187" t="str">
        <f>IF($F454="","",'הזנה לתנאי סף'!R454)</f>
        <v/>
      </c>
      <c r="J454" s="187" t="str">
        <f>IF($F454="","",'תחום תמיכה א'!P454)</f>
        <v/>
      </c>
      <c r="K454" s="177" t="str">
        <f>IF($F454="","",'הזנה לתנאי סף'!N454)</f>
        <v/>
      </c>
      <c r="L454" s="177" t="str">
        <f>IF($F454="","",'הזנה לתנאי סף'!O454)</f>
        <v/>
      </c>
      <c r="M454" s="177" t="str">
        <f>IF($F454="","",'הזנה לתנאי סף'!Q454)</f>
        <v/>
      </c>
      <c r="N454" s="187" t="str">
        <f>IF($F454="","",'תחום תמיכה א'!AE454)</f>
        <v/>
      </c>
      <c r="O454" s="178"/>
      <c r="P454" s="187" t="str">
        <f>IF($F454="","",'תחום תמיכה ב'!AC454)</f>
        <v/>
      </c>
      <c r="Q454" s="187" t="str">
        <f>IF($F454="","",IF('תחום תמיכה ג'!O454="",0,'תחום תמיכה ג'!O454))</f>
        <v/>
      </c>
      <c r="R454" s="187" t="str">
        <f t="shared" si="24"/>
        <v/>
      </c>
      <c r="S454" s="187" t="str">
        <f>IF($F454="","",'תחום תמיכה ב'!AE454)</f>
        <v/>
      </c>
      <c r="T454" s="187" t="str">
        <f>IF($F454="","",IF(Q454='תחום תמיכה ג'!$Q$2,'תחום תמיכה ג'!$Q$2,IFERROR(SUMIF(N454:R454,"&gt;0"),'תחום תמיכה ג'!$Q$2)))</f>
        <v/>
      </c>
      <c r="U454" s="187" t="str">
        <f>IF($F454="","",'הזנה לתנאי סף'!Y454)</f>
        <v/>
      </c>
      <c r="V454" s="269" t="str">
        <f>IF(F454="","",'הגבלה לסכום מבוקש '!AA454)</f>
        <v/>
      </c>
      <c r="W454" s="187" t="str">
        <f t="shared" si="26"/>
        <v/>
      </c>
      <c r="X454" s="187" t="str">
        <f>IF(F454="","",'הזנה לתנאי סף'!Z454)</f>
        <v/>
      </c>
      <c r="Y454" s="237" t="str">
        <f>IFERROR(VLOOKUP(G454*1,#REF!,3,0),"")</f>
        <v/>
      </c>
      <c r="Z454" s="187" t="str">
        <f>IF(OR($F454="",Y454=""),"",IFERROR(IF(Y454&gt;V454,MIN(Y454,T454)-V454,0),'תחום תמיכה ג'!$Q$2))</f>
        <v/>
      </c>
      <c r="AA454" s="259"/>
      <c r="AB454" s="260" t="str">
        <f t="shared" si="25"/>
        <v/>
      </c>
      <c r="AC454" s="262"/>
      <c r="AD454" s="180"/>
      <c r="AE454" s="13" t="str">
        <f>IF($C454="","",IFERROR(VLOOKUP($C454,גיליון1!$A:$E,2,0),"לא הגיש בקשה שוטפת"))</f>
        <v/>
      </c>
      <c r="AF454" s="13" t="str">
        <f>IF($C454="","",IFERROR(VLOOKUP($C454,גיליון1!$A:$E,3,0),"לא הגיש בקשה שוטפת"))</f>
        <v/>
      </c>
      <c r="AG454" s="13" t="str">
        <f>IF($C454="","",IFERROR(VLOOKUP($C454,גיליון1!$A:$E,4,0),"לא הגיש בקשה שוטפת"))</f>
        <v/>
      </c>
      <c r="AH454" s="13" t="str">
        <f>IF($C454="","",IFERROR(VLOOKUP($C454,גיליון1!$A:$E,5,0),"לא הגיש בקשה שוטפת"))</f>
        <v/>
      </c>
      <c r="AI454" s="13">
        <f t="shared" si="27"/>
        <v>0</v>
      </c>
      <c r="AK454" s="174" t="s">
        <v>250</v>
      </c>
    </row>
    <row r="455" spans="1:37" s="174" customFormat="1" x14ac:dyDescent="0.25">
      <c r="A455" s="54" t="str">
        <f>'הזנה לתנאי סף'!B455</f>
        <v/>
      </c>
      <c r="B455" s="266" t="str">
        <f>IF($F455="","",'הזנה לתנאי סף'!C455)</f>
        <v/>
      </c>
      <c r="C455" s="266" t="str">
        <f>IF($F455="","",'הזנה לתנאי סף'!D455)</f>
        <v/>
      </c>
      <c r="D455" s="266" t="str">
        <f>IF($F455="","",'הזנה לתנאי סף'!E455)</f>
        <v/>
      </c>
      <c r="E455" s="55" t="str">
        <f>IF($F455="","",'הזנה לתנאי סף'!F455)</f>
        <v/>
      </c>
      <c r="F455" s="55" t="str">
        <f>IF('הזנה לתנאי סף'!BL455=1,'הזנה לתנאי סף'!G455,"")</f>
        <v/>
      </c>
      <c r="G455" s="55" t="str">
        <f>IF($F455="","",'הזנה לתנאי סף'!H455)</f>
        <v/>
      </c>
      <c r="H455" s="55" t="str">
        <f>IF($F455="","",'הזנה לתנאי סף'!I455)</f>
        <v/>
      </c>
      <c r="I455" s="187" t="str">
        <f>IF($F455="","",'הזנה לתנאי סף'!R455)</f>
        <v/>
      </c>
      <c r="J455" s="187" t="str">
        <f>IF($F455="","",'תחום תמיכה א'!P455)</f>
        <v/>
      </c>
      <c r="K455" s="177" t="str">
        <f>IF($F455="","",'הזנה לתנאי סף'!N455)</f>
        <v/>
      </c>
      <c r="L455" s="177" t="str">
        <f>IF($F455="","",'הזנה לתנאי סף'!O455)</f>
        <v/>
      </c>
      <c r="M455" s="177" t="str">
        <f>IF($F455="","",'הזנה לתנאי סף'!Q455)</f>
        <v/>
      </c>
      <c r="N455" s="187" t="str">
        <f>IF($F455="","",'תחום תמיכה א'!AE455)</f>
        <v/>
      </c>
      <c r="O455" s="178"/>
      <c r="P455" s="187" t="str">
        <f>IF($F455="","",'תחום תמיכה ב'!AC455)</f>
        <v/>
      </c>
      <c r="Q455" s="187" t="str">
        <f>IF($F455="","",IF('תחום תמיכה ג'!O455="",0,'תחום תמיכה ג'!O455))</f>
        <v/>
      </c>
      <c r="R455" s="187" t="str">
        <f t="shared" si="24"/>
        <v/>
      </c>
      <c r="S455" s="187" t="str">
        <f>IF($F455="","",'תחום תמיכה ב'!AE455)</f>
        <v/>
      </c>
      <c r="T455" s="187" t="str">
        <f>IF($F455="","",IF(Q455='תחום תמיכה ג'!$Q$2,'תחום תמיכה ג'!$Q$2,IFERROR(SUMIF(N455:R455,"&gt;0"),'תחום תמיכה ג'!$Q$2)))</f>
        <v/>
      </c>
      <c r="U455" s="187" t="str">
        <f>IF($F455="","",'הזנה לתנאי סף'!Y455)</f>
        <v/>
      </c>
      <c r="V455" s="269" t="str">
        <f>IF(F455="","",'הגבלה לסכום מבוקש '!AA455)</f>
        <v/>
      </c>
      <c r="W455" s="187" t="str">
        <f t="shared" si="26"/>
        <v/>
      </c>
      <c r="X455" s="187" t="str">
        <f>IF(F455="","",'הזנה לתנאי סף'!Z455)</f>
        <v/>
      </c>
      <c r="Y455" s="237" t="str">
        <f>IFERROR(VLOOKUP(G455*1,#REF!,3,0),"")</f>
        <v/>
      </c>
      <c r="Z455" s="187" t="str">
        <f>IF(OR($F455="",Y455=""),"",IFERROR(IF(Y455&gt;V455,MIN(Y455,T455)-V455,0),'תחום תמיכה ג'!$Q$2))</f>
        <v/>
      </c>
      <c r="AA455" s="259"/>
      <c r="AB455" s="260" t="str">
        <f t="shared" si="25"/>
        <v/>
      </c>
      <c r="AC455" s="262"/>
      <c r="AD455" s="180"/>
      <c r="AE455" s="13" t="str">
        <f>IF($C455="","",IFERROR(VLOOKUP($C455,גיליון1!$A:$E,2,0),"לא הגיש בקשה שוטפת"))</f>
        <v/>
      </c>
      <c r="AF455" s="13" t="str">
        <f>IF($C455="","",IFERROR(VLOOKUP($C455,גיליון1!$A:$E,3,0),"לא הגיש בקשה שוטפת"))</f>
        <v/>
      </c>
      <c r="AG455" s="13" t="str">
        <f>IF($C455="","",IFERROR(VLOOKUP($C455,גיליון1!$A:$E,4,0),"לא הגיש בקשה שוטפת"))</f>
        <v/>
      </c>
      <c r="AH455" s="13" t="str">
        <f>IF($C455="","",IFERROR(VLOOKUP($C455,גיליון1!$A:$E,5,0),"לא הגיש בקשה שוטפת"))</f>
        <v/>
      </c>
      <c r="AI455" s="13">
        <f t="shared" si="27"/>
        <v>0</v>
      </c>
      <c r="AK455" s="174" t="s">
        <v>250</v>
      </c>
    </row>
    <row r="456" spans="1:37" s="174" customFormat="1" x14ac:dyDescent="0.25">
      <c r="A456" s="54" t="str">
        <f>'הזנה לתנאי סף'!B456</f>
        <v/>
      </c>
      <c r="B456" s="266" t="str">
        <f>IF($F456="","",'הזנה לתנאי סף'!C456)</f>
        <v/>
      </c>
      <c r="C456" s="266" t="str">
        <f>IF($F456="","",'הזנה לתנאי סף'!D456)</f>
        <v/>
      </c>
      <c r="D456" s="266" t="str">
        <f>IF($F456="","",'הזנה לתנאי סף'!E456)</f>
        <v/>
      </c>
      <c r="E456" s="55" t="str">
        <f>IF($F456="","",'הזנה לתנאי סף'!F456)</f>
        <v/>
      </c>
      <c r="F456" s="55" t="str">
        <f>IF('הזנה לתנאי סף'!BL456=1,'הזנה לתנאי סף'!G456,"")</f>
        <v/>
      </c>
      <c r="G456" s="55" t="str">
        <f>IF($F456="","",'הזנה לתנאי סף'!H456)</f>
        <v/>
      </c>
      <c r="H456" s="55" t="str">
        <f>IF($F456="","",'הזנה לתנאי סף'!I456)</f>
        <v/>
      </c>
      <c r="I456" s="187" t="str">
        <f>IF($F456="","",'הזנה לתנאי סף'!R456)</f>
        <v/>
      </c>
      <c r="J456" s="187" t="str">
        <f>IF($F456="","",'תחום תמיכה א'!P456)</f>
        <v/>
      </c>
      <c r="K456" s="177" t="str">
        <f>IF($F456="","",'הזנה לתנאי סף'!N456)</f>
        <v/>
      </c>
      <c r="L456" s="177" t="str">
        <f>IF($F456="","",'הזנה לתנאי סף'!O456)</f>
        <v/>
      </c>
      <c r="M456" s="177" t="str">
        <f>IF($F456="","",'הזנה לתנאי סף'!Q456)</f>
        <v/>
      </c>
      <c r="N456" s="187" t="str">
        <f>IF($F456="","",'תחום תמיכה א'!AE456)</f>
        <v/>
      </c>
      <c r="O456" s="178"/>
      <c r="P456" s="187" t="str">
        <f>IF($F456="","",'תחום תמיכה ב'!AC456)</f>
        <v/>
      </c>
      <c r="Q456" s="187" t="str">
        <f>IF($F456="","",IF('תחום תמיכה ג'!O456="",0,'תחום תמיכה ג'!O456))</f>
        <v/>
      </c>
      <c r="R456" s="187" t="str">
        <f t="shared" si="24"/>
        <v/>
      </c>
      <c r="S456" s="187" t="str">
        <f>IF($F456="","",'תחום תמיכה ב'!AE456)</f>
        <v/>
      </c>
      <c r="T456" s="187" t="str">
        <f>IF($F456="","",IF(Q456='תחום תמיכה ג'!$Q$2,'תחום תמיכה ג'!$Q$2,IFERROR(SUMIF(N456:R456,"&gt;0"),'תחום תמיכה ג'!$Q$2)))</f>
        <v/>
      </c>
      <c r="U456" s="187" t="str">
        <f>IF($F456="","",'הזנה לתנאי סף'!Y456)</f>
        <v/>
      </c>
      <c r="V456" s="269" t="str">
        <f>IF(F456="","",'הגבלה לסכום מבוקש '!AA456)</f>
        <v/>
      </c>
      <c r="W456" s="187" t="str">
        <f t="shared" si="26"/>
        <v/>
      </c>
      <c r="X456" s="187" t="str">
        <f>IF(F456="","",'הזנה לתנאי סף'!Z456)</f>
        <v/>
      </c>
      <c r="Y456" s="237" t="str">
        <f>IFERROR(VLOOKUP(G456*1,#REF!,3,0),"")</f>
        <v/>
      </c>
      <c r="Z456" s="187" t="str">
        <f>IF(OR($F456="",Y456=""),"",IFERROR(IF(Y456&gt;V456,MIN(Y456,T456)-V456,0),'תחום תמיכה ג'!$Q$2))</f>
        <v/>
      </c>
      <c r="AA456" s="259"/>
      <c r="AB456" s="260" t="str">
        <f t="shared" si="25"/>
        <v/>
      </c>
      <c r="AC456" s="262"/>
      <c r="AD456" s="180"/>
      <c r="AE456" s="13" t="str">
        <f>IF($C456="","",IFERROR(VLOOKUP($C456,גיליון1!$A:$E,2,0),"לא הגיש בקשה שוטפת"))</f>
        <v/>
      </c>
      <c r="AF456" s="13" t="str">
        <f>IF($C456="","",IFERROR(VLOOKUP($C456,גיליון1!$A:$E,3,0),"לא הגיש בקשה שוטפת"))</f>
        <v/>
      </c>
      <c r="AG456" s="13" t="str">
        <f>IF($C456="","",IFERROR(VLOOKUP($C456,גיליון1!$A:$E,4,0),"לא הגיש בקשה שוטפת"))</f>
        <v/>
      </c>
      <c r="AH456" s="13" t="str">
        <f>IF($C456="","",IFERROR(VLOOKUP($C456,גיליון1!$A:$E,5,0),"לא הגיש בקשה שוטפת"))</f>
        <v/>
      </c>
      <c r="AI456" s="13">
        <f t="shared" si="27"/>
        <v>0</v>
      </c>
      <c r="AK456" s="174" t="s">
        <v>250</v>
      </c>
    </row>
    <row r="457" spans="1:37" s="174" customFormat="1" x14ac:dyDescent="0.25">
      <c r="A457" s="54" t="str">
        <f>'הזנה לתנאי סף'!B457</f>
        <v/>
      </c>
      <c r="B457" s="266" t="str">
        <f>IF($F457="","",'הזנה לתנאי סף'!C457)</f>
        <v/>
      </c>
      <c r="C457" s="266" t="str">
        <f>IF($F457="","",'הזנה לתנאי סף'!D457)</f>
        <v/>
      </c>
      <c r="D457" s="266" t="str">
        <f>IF($F457="","",'הזנה לתנאי סף'!E457)</f>
        <v/>
      </c>
      <c r="E457" s="55" t="str">
        <f>IF($F457="","",'הזנה לתנאי סף'!F457)</f>
        <v/>
      </c>
      <c r="F457" s="55" t="str">
        <f>IF('הזנה לתנאי סף'!BL457=1,'הזנה לתנאי סף'!G457,"")</f>
        <v/>
      </c>
      <c r="G457" s="55" t="str">
        <f>IF($F457="","",'הזנה לתנאי סף'!H457)</f>
        <v/>
      </c>
      <c r="H457" s="55" t="str">
        <f>IF($F457="","",'הזנה לתנאי סף'!I457)</f>
        <v/>
      </c>
      <c r="I457" s="187" t="str">
        <f>IF($F457="","",'הזנה לתנאי סף'!R457)</f>
        <v/>
      </c>
      <c r="J457" s="187" t="str">
        <f>IF($F457="","",'תחום תמיכה א'!P457)</f>
        <v/>
      </c>
      <c r="K457" s="177" t="str">
        <f>IF($F457="","",'הזנה לתנאי סף'!N457)</f>
        <v/>
      </c>
      <c r="L457" s="177" t="str">
        <f>IF($F457="","",'הזנה לתנאי סף'!O457)</f>
        <v/>
      </c>
      <c r="M457" s="177" t="str">
        <f>IF($F457="","",'הזנה לתנאי סף'!Q457)</f>
        <v/>
      </c>
      <c r="N457" s="187" t="str">
        <f>IF($F457="","",'תחום תמיכה א'!AE457)</f>
        <v/>
      </c>
      <c r="O457" s="178"/>
      <c r="P457" s="187" t="str">
        <f>IF($F457="","",'תחום תמיכה ב'!AC457)</f>
        <v/>
      </c>
      <c r="Q457" s="187" t="str">
        <f>IF($F457="","",IF('תחום תמיכה ג'!O457="",0,'תחום תמיכה ג'!O457))</f>
        <v/>
      </c>
      <c r="R457" s="187" t="str">
        <f t="shared" si="24"/>
        <v/>
      </c>
      <c r="S457" s="187" t="str">
        <f>IF($F457="","",'תחום תמיכה ב'!AE457)</f>
        <v/>
      </c>
      <c r="T457" s="187" t="str">
        <f>IF($F457="","",IF(Q457='תחום תמיכה ג'!$Q$2,'תחום תמיכה ג'!$Q$2,IFERROR(SUMIF(N457:R457,"&gt;0"),'תחום תמיכה ג'!$Q$2)))</f>
        <v/>
      </c>
      <c r="U457" s="187" t="str">
        <f>IF($F457="","",'הזנה לתנאי סף'!Y457)</f>
        <v/>
      </c>
      <c r="V457" s="269" t="str">
        <f>IF(F457="","",'הגבלה לסכום מבוקש '!AA457)</f>
        <v/>
      </c>
      <c r="W457" s="187" t="str">
        <f t="shared" si="26"/>
        <v/>
      </c>
      <c r="X457" s="187" t="str">
        <f>IF(F457="","",'הזנה לתנאי סף'!Z457)</f>
        <v/>
      </c>
      <c r="Y457" s="237" t="str">
        <f>IFERROR(VLOOKUP(G457*1,#REF!,3,0),"")</f>
        <v/>
      </c>
      <c r="Z457" s="187" t="str">
        <f>IF(OR($F457="",Y457=""),"",IFERROR(IF(Y457&gt;V457,MIN(Y457,T457)-V457,0),'תחום תמיכה ג'!$Q$2))</f>
        <v/>
      </c>
      <c r="AA457" s="259"/>
      <c r="AB457" s="260" t="str">
        <f t="shared" si="25"/>
        <v/>
      </c>
      <c r="AC457" s="262"/>
      <c r="AD457" s="180"/>
      <c r="AE457" s="13" t="str">
        <f>IF($C457="","",IFERROR(VLOOKUP($C457,גיליון1!$A:$E,2,0),"לא הגיש בקשה שוטפת"))</f>
        <v/>
      </c>
      <c r="AF457" s="13" t="str">
        <f>IF($C457="","",IFERROR(VLOOKUP($C457,גיליון1!$A:$E,3,0),"לא הגיש בקשה שוטפת"))</f>
        <v/>
      </c>
      <c r="AG457" s="13" t="str">
        <f>IF($C457="","",IFERROR(VLOOKUP($C457,גיליון1!$A:$E,4,0),"לא הגיש בקשה שוטפת"))</f>
        <v/>
      </c>
      <c r="AH457" s="13" t="str">
        <f>IF($C457="","",IFERROR(VLOOKUP($C457,גיליון1!$A:$E,5,0),"לא הגיש בקשה שוטפת"))</f>
        <v/>
      </c>
      <c r="AI457" s="13">
        <f t="shared" si="27"/>
        <v>0</v>
      </c>
      <c r="AK457" s="174" t="s">
        <v>250</v>
      </c>
    </row>
    <row r="458" spans="1:37" s="174" customFormat="1" x14ac:dyDescent="0.25">
      <c r="A458" s="54" t="str">
        <f>'הזנה לתנאי סף'!B458</f>
        <v/>
      </c>
      <c r="B458" s="266" t="str">
        <f>IF($F458="","",'הזנה לתנאי סף'!C458)</f>
        <v/>
      </c>
      <c r="C458" s="266" t="str">
        <f>IF($F458="","",'הזנה לתנאי סף'!D458)</f>
        <v/>
      </c>
      <c r="D458" s="266" t="str">
        <f>IF($F458="","",'הזנה לתנאי סף'!E458)</f>
        <v/>
      </c>
      <c r="E458" s="55" t="str">
        <f>IF($F458="","",'הזנה לתנאי סף'!F458)</f>
        <v/>
      </c>
      <c r="F458" s="55" t="str">
        <f>IF('הזנה לתנאי סף'!BL458=1,'הזנה לתנאי סף'!G458,"")</f>
        <v/>
      </c>
      <c r="G458" s="55" t="str">
        <f>IF($F458="","",'הזנה לתנאי סף'!H458)</f>
        <v/>
      </c>
      <c r="H458" s="55" t="str">
        <f>IF($F458="","",'הזנה לתנאי סף'!I458)</f>
        <v/>
      </c>
      <c r="I458" s="187" t="str">
        <f>IF($F458="","",'הזנה לתנאי סף'!R458)</f>
        <v/>
      </c>
      <c r="J458" s="187" t="str">
        <f>IF($F458="","",'תחום תמיכה א'!P458)</f>
        <v/>
      </c>
      <c r="K458" s="177" t="str">
        <f>IF($F458="","",'הזנה לתנאי סף'!N458)</f>
        <v/>
      </c>
      <c r="L458" s="177" t="str">
        <f>IF($F458="","",'הזנה לתנאי סף'!O458)</f>
        <v/>
      </c>
      <c r="M458" s="177" t="str">
        <f>IF($F458="","",'הזנה לתנאי סף'!Q458)</f>
        <v/>
      </c>
      <c r="N458" s="187" t="str">
        <f>IF($F458="","",'תחום תמיכה א'!AE458)</f>
        <v/>
      </c>
      <c r="O458" s="178"/>
      <c r="P458" s="187" t="str">
        <f>IF($F458="","",'תחום תמיכה ב'!AC458)</f>
        <v/>
      </c>
      <c r="Q458" s="187" t="str">
        <f>IF($F458="","",IF('תחום תמיכה ג'!O458="",0,'תחום תמיכה ג'!O458))</f>
        <v/>
      </c>
      <c r="R458" s="187" t="str">
        <f t="shared" ref="R458:R500" si="28">IF($F458="","",IFERROR(S458-P458,""))</f>
        <v/>
      </c>
      <c r="S458" s="187" t="str">
        <f>IF($F458="","",'תחום תמיכה ב'!AE458)</f>
        <v/>
      </c>
      <c r="T458" s="187" t="str">
        <f>IF($F458="","",IF(Q458='תחום תמיכה ג'!$Q$2,'תחום תמיכה ג'!$Q$2,IFERROR(SUMIF(N458:R458,"&gt;0"),'תחום תמיכה ג'!$Q$2)))</f>
        <v/>
      </c>
      <c r="U458" s="187" t="str">
        <f>IF($F458="","",'הזנה לתנאי סף'!Y458)</f>
        <v/>
      </c>
      <c r="V458" s="269" t="str">
        <f>IF(F458="","",'הגבלה לסכום מבוקש '!AA458)</f>
        <v/>
      </c>
      <c r="W458" s="187" t="str">
        <f t="shared" si="26"/>
        <v/>
      </c>
      <c r="X458" s="187" t="str">
        <f>IF(F458="","",'הזנה לתנאי סף'!Z458)</f>
        <v/>
      </c>
      <c r="Y458" s="237" t="str">
        <f>IFERROR(VLOOKUP(G458*1,#REF!,3,0),"")</f>
        <v/>
      </c>
      <c r="Z458" s="187" t="str">
        <f>IF(OR($F458="",Y458=""),"",IFERROR(IF(Y458&gt;V458,MIN(Y458,T458)-V458,0),'תחום תמיכה ג'!$Q$2))</f>
        <v/>
      </c>
      <c r="AA458" s="259"/>
      <c r="AB458" s="260" t="str">
        <f t="shared" ref="AB458:AB500" si="29">Z458</f>
        <v/>
      </c>
      <c r="AC458" s="262"/>
      <c r="AD458" s="180"/>
      <c r="AE458" s="13" t="str">
        <f>IF($C458="","",IFERROR(VLOOKUP($C458,גיליון1!$A:$E,2,0),"לא הגיש בקשה שוטפת"))</f>
        <v/>
      </c>
      <c r="AF458" s="13" t="str">
        <f>IF($C458="","",IFERROR(VLOOKUP($C458,גיליון1!$A:$E,3,0),"לא הגיש בקשה שוטפת"))</f>
        <v/>
      </c>
      <c r="AG458" s="13" t="str">
        <f>IF($C458="","",IFERROR(VLOOKUP($C458,גיליון1!$A:$E,4,0),"לא הגיש בקשה שוטפת"))</f>
        <v/>
      </c>
      <c r="AH458" s="13" t="str">
        <f>IF($C458="","",IFERROR(VLOOKUP($C458,גיליון1!$A:$E,5,0),"לא הגיש בקשה שוטפת"))</f>
        <v/>
      </c>
      <c r="AI458" s="13">
        <f t="shared" si="27"/>
        <v>0</v>
      </c>
      <c r="AK458" s="174" t="s">
        <v>250</v>
      </c>
    </row>
    <row r="459" spans="1:37" s="174" customFormat="1" x14ac:dyDescent="0.25">
      <c r="A459" s="54" t="str">
        <f>'הזנה לתנאי סף'!B459</f>
        <v/>
      </c>
      <c r="B459" s="266" t="str">
        <f>IF($F459="","",'הזנה לתנאי סף'!C459)</f>
        <v/>
      </c>
      <c r="C459" s="266" t="str">
        <f>IF($F459="","",'הזנה לתנאי סף'!D459)</f>
        <v/>
      </c>
      <c r="D459" s="266" t="str">
        <f>IF($F459="","",'הזנה לתנאי סף'!E459)</f>
        <v/>
      </c>
      <c r="E459" s="55" t="str">
        <f>IF($F459="","",'הזנה לתנאי סף'!F459)</f>
        <v/>
      </c>
      <c r="F459" s="55" t="str">
        <f>IF('הזנה לתנאי סף'!BL459=1,'הזנה לתנאי סף'!G459,"")</f>
        <v/>
      </c>
      <c r="G459" s="55" t="str">
        <f>IF($F459="","",'הזנה לתנאי סף'!H459)</f>
        <v/>
      </c>
      <c r="H459" s="55" t="str">
        <f>IF($F459="","",'הזנה לתנאי סף'!I459)</f>
        <v/>
      </c>
      <c r="I459" s="187" t="str">
        <f>IF($F459="","",'הזנה לתנאי סף'!R459)</f>
        <v/>
      </c>
      <c r="J459" s="187" t="str">
        <f>IF($F459="","",'תחום תמיכה א'!P459)</f>
        <v/>
      </c>
      <c r="K459" s="177" t="str">
        <f>IF($F459="","",'הזנה לתנאי סף'!N459)</f>
        <v/>
      </c>
      <c r="L459" s="177" t="str">
        <f>IF($F459="","",'הזנה לתנאי סף'!O459)</f>
        <v/>
      </c>
      <c r="M459" s="177" t="str">
        <f>IF($F459="","",'הזנה לתנאי סף'!Q459)</f>
        <v/>
      </c>
      <c r="N459" s="187" t="str">
        <f>IF($F459="","",'תחום תמיכה א'!AE459)</f>
        <v/>
      </c>
      <c r="O459" s="178"/>
      <c r="P459" s="187" t="str">
        <f>IF($F459="","",'תחום תמיכה ב'!AC459)</f>
        <v/>
      </c>
      <c r="Q459" s="187" t="str">
        <f>IF($F459="","",IF('תחום תמיכה ג'!O459="",0,'תחום תמיכה ג'!O459))</f>
        <v/>
      </c>
      <c r="R459" s="187" t="str">
        <f t="shared" si="28"/>
        <v/>
      </c>
      <c r="S459" s="187" t="str">
        <f>IF($F459="","",'תחום תמיכה ב'!AE459)</f>
        <v/>
      </c>
      <c r="T459" s="187" t="str">
        <f>IF($F459="","",IF(Q459='תחום תמיכה ג'!$Q$2,'תחום תמיכה ג'!$Q$2,IFERROR(SUMIF(N459:R459,"&gt;0"),'תחום תמיכה ג'!$Q$2)))</f>
        <v/>
      </c>
      <c r="U459" s="187" t="str">
        <f>IF($F459="","",'הזנה לתנאי סף'!Y459)</f>
        <v/>
      </c>
      <c r="V459" s="269" t="str">
        <f>IF(F459="","",'הגבלה לסכום מבוקש '!AA459)</f>
        <v/>
      </c>
      <c r="W459" s="187" t="str">
        <f t="shared" si="26"/>
        <v/>
      </c>
      <c r="X459" s="187" t="str">
        <f>IF(F459="","",'הזנה לתנאי סף'!Z459)</f>
        <v/>
      </c>
      <c r="Y459" s="237" t="str">
        <f>IFERROR(VLOOKUP(G459*1,#REF!,3,0),"")</f>
        <v/>
      </c>
      <c r="Z459" s="187" t="str">
        <f>IF(OR($F459="",Y459=""),"",IFERROR(IF(Y459&gt;V459,MIN(Y459,T459)-V459,0),'תחום תמיכה ג'!$Q$2))</f>
        <v/>
      </c>
      <c r="AA459" s="259"/>
      <c r="AB459" s="260" t="str">
        <f t="shared" si="29"/>
        <v/>
      </c>
      <c r="AC459" s="262"/>
      <c r="AD459" s="180"/>
      <c r="AE459" s="13" t="str">
        <f>IF($C459="","",IFERROR(VLOOKUP($C459,גיליון1!$A:$E,2,0),"לא הגיש בקשה שוטפת"))</f>
        <v/>
      </c>
      <c r="AF459" s="13" t="str">
        <f>IF($C459="","",IFERROR(VLOOKUP($C459,גיליון1!$A:$E,3,0),"לא הגיש בקשה שוטפת"))</f>
        <v/>
      </c>
      <c r="AG459" s="13" t="str">
        <f>IF($C459="","",IFERROR(VLOOKUP($C459,גיליון1!$A:$E,4,0),"לא הגיש בקשה שוטפת"))</f>
        <v/>
      </c>
      <c r="AH459" s="13" t="str">
        <f>IF($C459="","",IFERROR(VLOOKUP($C459,גיליון1!$A:$E,5,0),"לא הגיש בקשה שוטפת"))</f>
        <v/>
      </c>
      <c r="AI459" s="13">
        <f t="shared" si="27"/>
        <v>0</v>
      </c>
      <c r="AK459" s="174" t="s">
        <v>250</v>
      </c>
    </row>
    <row r="460" spans="1:37" s="174" customFormat="1" x14ac:dyDescent="0.25">
      <c r="A460" s="54" t="str">
        <f>'הזנה לתנאי סף'!B460</f>
        <v/>
      </c>
      <c r="B460" s="266" t="str">
        <f>IF($F460="","",'הזנה לתנאי סף'!C460)</f>
        <v/>
      </c>
      <c r="C460" s="266" t="str">
        <f>IF($F460="","",'הזנה לתנאי סף'!D460)</f>
        <v/>
      </c>
      <c r="D460" s="266" t="str">
        <f>IF($F460="","",'הזנה לתנאי סף'!E460)</f>
        <v/>
      </c>
      <c r="E460" s="55" t="str">
        <f>IF($F460="","",'הזנה לתנאי סף'!F460)</f>
        <v/>
      </c>
      <c r="F460" s="55" t="str">
        <f>IF('הזנה לתנאי סף'!BL460=1,'הזנה לתנאי סף'!G460,"")</f>
        <v/>
      </c>
      <c r="G460" s="55" t="str">
        <f>IF($F460="","",'הזנה לתנאי סף'!H460)</f>
        <v/>
      </c>
      <c r="H460" s="55" t="str">
        <f>IF($F460="","",'הזנה לתנאי סף'!I460)</f>
        <v/>
      </c>
      <c r="I460" s="187" t="str">
        <f>IF($F460="","",'הזנה לתנאי סף'!R460)</f>
        <v/>
      </c>
      <c r="J460" s="187" t="str">
        <f>IF($F460="","",'תחום תמיכה א'!P460)</f>
        <v/>
      </c>
      <c r="K460" s="177" t="str">
        <f>IF($F460="","",'הזנה לתנאי סף'!N460)</f>
        <v/>
      </c>
      <c r="L460" s="177" t="str">
        <f>IF($F460="","",'הזנה לתנאי סף'!O460)</f>
        <v/>
      </c>
      <c r="M460" s="177" t="str">
        <f>IF($F460="","",'הזנה לתנאי סף'!Q460)</f>
        <v/>
      </c>
      <c r="N460" s="187" t="str">
        <f>IF($F460="","",'תחום תמיכה א'!AE460)</f>
        <v/>
      </c>
      <c r="O460" s="178"/>
      <c r="P460" s="187" t="str">
        <f>IF($F460="","",'תחום תמיכה ב'!AC460)</f>
        <v/>
      </c>
      <c r="Q460" s="187" t="str">
        <f>IF($F460="","",IF('תחום תמיכה ג'!O460="",0,'תחום תמיכה ג'!O460))</f>
        <v/>
      </c>
      <c r="R460" s="187" t="str">
        <f t="shared" si="28"/>
        <v/>
      </c>
      <c r="S460" s="187" t="str">
        <f>IF($F460="","",'תחום תמיכה ב'!AE460)</f>
        <v/>
      </c>
      <c r="T460" s="187" t="str">
        <f>IF($F460="","",IF(Q460='תחום תמיכה ג'!$Q$2,'תחום תמיכה ג'!$Q$2,IFERROR(SUMIF(N460:R460,"&gt;0"),'תחום תמיכה ג'!$Q$2)))</f>
        <v/>
      </c>
      <c r="U460" s="187" t="str">
        <f>IF($F460="","",'הזנה לתנאי סף'!Y460)</f>
        <v/>
      </c>
      <c r="V460" s="269" t="str">
        <f>IF(F460="","",'הגבלה לסכום מבוקש '!AA460)</f>
        <v/>
      </c>
      <c r="W460" s="187" t="str">
        <f t="shared" si="26"/>
        <v/>
      </c>
      <c r="X460" s="187" t="str">
        <f>IF(F460="","",'הזנה לתנאי סף'!Z460)</f>
        <v/>
      </c>
      <c r="Y460" s="237" t="str">
        <f>IFERROR(VLOOKUP(G460*1,#REF!,3,0),"")</f>
        <v/>
      </c>
      <c r="Z460" s="187" t="str">
        <f>IF(OR($F460="",Y460=""),"",IFERROR(IF(Y460&gt;V460,MIN(Y460,T460)-V460,0),'תחום תמיכה ג'!$Q$2))</f>
        <v/>
      </c>
      <c r="AA460" s="259"/>
      <c r="AB460" s="260" t="str">
        <f t="shared" si="29"/>
        <v/>
      </c>
      <c r="AC460" s="262"/>
      <c r="AD460" s="180"/>
      <c r="AE460" s="13" t="str">
        <f>IF($C460="","",IFERROR(VLOOKUP($C460,גיליון1!$A:$E,2,0),"לא הגיש בקשה שוטפת"))</f>
        <v/>
      </c>
      <c r="AF460" s="13" t="str">
        <f>IF($C460="","",IFERROR(VLOOKUP($C460,גיליון1!$A:$E,3,0),"לא הגיש בקשה שוטפת"))</f>
        <v/>
      </c>
      <c r="AG460" s="13" t="str">
        <f>IF($C460="","",IFERROR(VLOOKUP($C460,גיליון1!$A:$E,4,0),"לא הגיש בקשה שוטפת"))</f>
        <v/>
      </c>
      <c r="AH460" s="13" t="str">
        <f>IF($C460="","",IFERROR(VLOOKUP($C460,גיליון1!$A:$E,5,0),"לא הגיש בקשה שוטפת"))</f>
        <v/>
      </c>
      <c r="AI460" s="13">
        <f t="shared" si="27"/>
        <v>0</v>
      </c>
      <c r="AK460" s="174" t="s">
        <v>250</v>
      </c>
    </row>
    <row r="461" spans="1:37" s="174" customFormat="1" x14ac:dyDescent="0.25">
      <c r="A461" s="54" t="str">
        <f>'הזנה לתנאי סף'!B461</f>
        <v/>
      </c>
      <c r="B461" s="266" t="str">
        <f>IF($F461="","",'הזנה לתנאי סף'!C461)</f>
        <v/>
      </c>
      <c r="C461" s="266" t="str">
        <f>IF($F461="","",'הזנה לתנאי סף'!D461)</f>
        <v/>
      </c>
      <c r="D461" s="266" t="str">
        <f>IF($F461="","",'הזנה לתנאי סף'!E461)</f>
        <v/>
      </c>
      <c r="E461" s="55" t="str">
        <f>IF($F461="","",'הזנה לתנאי סף'!F461)</f>
        <v/>
      </c>
      <c r="F461" s="55" t="str">
        <f>IF('הזנה לתנאי סף'!BL461=1,'הזנה לתנאי סף'!G461,"")</f>
        <v/>
      </c>
      <c r="G461" s="55" t="str">
        <f>IF($F461="","",'הזנה לתנאי סף'!H461)</f>
        <v/>
      </c>
      <c r="H461" s="55" t="str">
        <f>IF($F461="","",'הזנה לתנאי סף'!I461)</f>
        <v/>
      </c>
      <c r="I461" s="187" t="str">
        <f>IF($F461="","",'הזנה לתנאי סף'!R461)</f>
        <v/>
      </c>
      <c r="J461" s="187" t="str">
        <f>IF($F461="","",'תחום תמיכה א'!P461)</f>
        <v/>
      </c>
      <c r="K461" s="177" t="str">
        <f>IF($F461="","",'הזנה לתנאי סף'!N461)</f>
        <v/>
      </c>
      <c r="L461" s="177" t="str">
        <f>IF($F461="","",'הזנה לתנאי סף'!O461)</f>
        <v/>
      </c>
      <c r="M461" s="177" t="str">
        <f>IF($F461="","",'הזנה לתנאי סף'!Q461)</f>
        <v/>
      </c>
      <c r="N461" s="187" t="str">
        <f>IF($F461="","",'תחום תמיכה א'!AE461)</f>
        <v/>
      </c>
      <c r="O461" s="178"/>
      <c r="P461" s="187" t="str">
        <f>IF($F461="","",'תחום תמיכה ב'!AC461)</f>
        <v/>
      </c>
      <c r="Q461" s="187" t="str">
        <f>IF($F461="","",IF('תחום תמיכה ג'!O461="",0,'תחום תמיכה ג'!O461))</f>
        <v/>
      </c>
      <c r="R461" s="187" t="str">
        <f t="shared" si="28"/>
        <v/>
      </c>
      <c r="S461" s="187" t="str">
        <f>IF($F461="","",'תחום תמיכה ב'!AE461)</f>
        <v/>
      </c>
      <c r="T461" s="187" t="str">
        <f>IF($F461="","",IF(Q461='תחום תמיכה ג'!$Q$2,'תחום תמיכה ג'!$Q$2,IFERROR(SUMIF(N461:R461,"&gt;0"),'תחום תמיכה ג'!$Q$2)))</f>
        <v/>
      </c>
      <c r="U461" s="187" t="str">
        <f>IF($F461="","",'הזנה לתנאי סף'!Y461)</f>
        <v/>
      </c>
      <c r="V461" s="269" t="str">
        <f>IF(F461="","",'הגבלה לסכום מבוקש '!AA461)</f>
        <v/>
      </c>
      <c r="W461" s="187" t="str">
        <f t="shared" si="26"/>
        <v/>
      </c>
      <c r="X461" s="187" t="str">
        <f>IF(F461="","",'הזנה לתנאי סף'!Z461)</f>
        <v/>
      </c>
      <c r="Y461" s="237" t="str">
        <f>IFERROR(VLOOKUP(G461*1,#REF!,3,0),"")</f>
        <v/>
      </c>
      <c r="Z461" s="187" t="str">
        <f>IF(OR($F461="",Y461=""),"",IFERROR(IF(Y461&gt;V461,MIN(Y461,T461)-V461,0),'תחום תמיכה ג'!$Q$2))</f>
        <v/>
      </c>
      <c r="AA461" s="259"/>
      <c r="AB461" s="260" t="str">
        <f t="shared" si="29"/>
        <v/>
      </c>
      <c r="AC461" s="262"/>
      <c r="AD461" s="180"/>
      <c r="AE461" s="13" t="str">
        <f>IF($C461="","",IFERROR(VLOOKUP($C461,גיליון1!$A:$E,2,0),"לא הגיש בקשה שוטפת"))</f>
        <v/>
      </c>
      <c r="AF461" s="13" t="str">
        <f>IF($C461="","",IFERROR(VLOOKUP($C461,גיליון1!$A:$E,3,0),"לא הגיש בקשה שוטפת"))</f>
        <v/>
      </c>
      <c r="AG461" s="13" t="str">
        <f>IF($C461="","",IFERROR(VLOOKUP($C461,גיליון1!$A:$E,4,0),"לא הגיש בקשה שוטפת"))</f>
        <v/>
      </c>
      <c r="AH461" s="13" t="str">
        <f>IF($C461="","",IFERROR(VLOOKUP($C461,גיליון1!$A:$E,5,0),"לא הגיש בקשה שוטפת"))</f>
        <v/>
      </c>
      <c r="AI461" s="13">
        <f t="shared" si="27"/>
        <v>0</v>
      </c>
      <c r="AK461" s="174" t="s">
        <v>250</v>
      </c>
    </row>
    <row r="462" spans="1:37" s="174" customFormat="1" x14ac:dyDescent="0.25">
      <c r="A462" s="54" t="str">
        <f>'הזנה לתנאי סף'!B462</f>
        <v/>
      </c>
      <c r="B462" s="266" t="str">
        <f>IF($F462="","",'הזנה לתנאי סף'!C462)</f>
        <v/>
      </c>
      <c r="C462" s="266" t="str">
        <f>IF($F462="","",'הזנה לתנאי סף'!D462)</f>
        <v/>
      </c>
      <c r="D462" s="266" t="str">
        <f>IF($F462="","",'הזנה לתנאי סף'!E462)</f>
        <v/>
      </c>
      <c r="E462" s="55" t="str">
        <f>IF($F462="","",'הזנה לתנאי סף'!F462)</f>
        <v/>
      </c>
      <c r="F462" s="55" t="str">
        <f>IF('הזנה לתנאי סף'!BL462=1,'הזנה לתנאי סף'!G462,"")</f>
        <v/>
      </c>
      <c r="G462" s="55" t="str">
        <f>IF($F462="","",'הזנה לתנאי סף'!H462)</f>
        <v/>
      </c>
      <c r="H462" s="55" t="str">
        <f>IF($F462="","",'הזנה לתנאי סף'!I462)</f>
        <v/>
      </c>
      <c r="I462" s="187" t="str">
        <f>IF($F462="","",'הזנה לתנאי סף'!R462)</f>
        <v/>
      </c>
      <c r="J462" s="187" t="str">
        <f>IF($F462="","",'תחום תמיכה א'!P462)</f>
        <v/>
      </c>
      <c r="K462" s="177" t="str">
        <f>IF($F462="","",'הזנה לתנאי סף'!N462)</f>
        <v/>
      </c>
      <c r="L462" s="177" t="str">
        <f>IF($F462="","",'הזנה לתנאי סף'!O462)</f>
        <v/>
      </c>
      <c r="M462" s="177" t="str">
        <f>IF($F462="","",'הזנה לתנאי סף'!Q462)</f>
        <v/>
      </c>
      <c r="N462" s="187" t="str">
        <f>IF($F462="","",'תחום תמיכה א'!AE462)</f>
        <v/>
      </c>
      <c r="O462" s="178"/>
      <c r="P462" s="187" t="str">
        <f>IF($F462="","",'תחום תמיכה ב'!AC462)</f>
        <v/>
      </c>
      <c r="Q462" s="187" t="str">
        <f>IF($F462="","",IF('תחום תמיכה ג'!O462="",0,'תחום תמיכה ג'!O462))</f>
        <v/>
      </c>
      <c r="R462" s="187" t="str">
        <f t="shared" si="28"/>
        <v/>
      </c>
      <c r="S462" s="187" t="str">
        <f>IF($F462="","",'תחום תמיכה ב'!AE462)</f>
        <v/>
      </c>
      <c r="T462" s="187" t="str">
        <f>IF($F462="","",IF(Q462='תחום תמיכה ג'!$Q$2,'תחום תמיכה ג'!$Q$2,IFERROR(SUMIF(N462:R462,"&gt;0"),'תחום תמיכה ג'!$Q$2)))</f>
        <v/>
      </c>
      <c r="U462" s="187" t="str">
        <f>IF($F462="","",'הזנה לתנאי סף'!Y462)</f>
        <v/>
      </c>
      <c r="V462" s="269" t="str">
        <f>IF(F462="","",'הגבלה לסכום מבוקש '!AA462)</f>
        <v/>
      </c>
      <c r="W462" s="187" t="str">
        <f t="shared" si="26"/>
        <v/>
      </c>
      <c r="X462" s="187" t="str">
        <f>IF(F462="","",'הזנה לתנאי סף'!Z462)</f>
        <v/>
      </c>
      <c r="Y462" s="237" t="str">
        <f>IFERROR(VLOOKUP(G462*1,#REF!,3,0),"")</f>
        <v/>
      </c>
      <c r="Z462" s="187" t="str">
        <f>IF(OR($F462="",Y462=""),"",IFERROR(IF(Y462&gt;V462,MIN(Y462,T462)-V462,0),'תחום תמיכה ג'!$Q$2))</f>
        <v/>
      </c>
      <c r="AA462" s="259"/>
      <c r="AB462" s="260" t="str">
        <f t="shared" si="29"/>
        <v/>
      </c>
      <c r="AC462" s="262"/>
      <c r="AD462" s="180"/>
      <c r="AE462" s="13" t="str">
        <f>IF($C462="","",IFERROR(VLOOKUP($C462,גיליון1!$A:$E,2,0),"לא הגיש בקשה שוטפת"))</f>
        <v/>
      </c>
      <c r="AF462" s="13" t="str">
        <f>IF($C462="","",IFERROR(VLOOKUP($C462,גיליון1!$A:$E,3,0),"לא הגיש בקשה שוטפת"))</f>
        <v/>
      </c>
      <c r="AG462" s="13" t="str">
        <f>IF($C462="","",IFERROR(VLOOKUP($C462,גיליון1!$A:$E,4,0),"לא הגיש בקשה שוטפת"))</f>
        <v/>
      </c>
      <c r="AH462" s="13" t="str">
        <f>IF($C462="","",IFERROR(VLOOKUP($C462,גיליון1!$A:$E,5,0),"לא הגיש בקשה שוטפת"))</f>
        <v/>
      </c>
      <c r="AI462" s="13">
        <f t="shared" si="27"/>
        <v>0</v>
      </c>
      <c r="AK462" s="174" t="s">
        <v>250</v>
      </c>
    </row>
    <row r="463" spans="1:37" s="174" customFormat="1" x14ac:dyDescent="0.25">
      <c r="A463" s="54" t="str">
        <f>'הזנה לתנאי סף'!B463</f>
        <v/>
      </c>
      <c r="B463" s="266" t="str">
        <f>IF($F463="","",'הזנה לתנאי סף'!C463)</f>
        <v/>
      </c>
      <c r="C463" s="266" t="str">
        <f>IF($F463="","",'הזנה לתנאי סף'!D463)</f>
        <v/>
      </c>
      <c r="D463" s="266" t="str">
        <f>IF($F463="","",'הזנה לתנאי סף'!E463)</f>
        <v/>
      </c>
      <c r="E463" s="55" t="str">
        <f>IF($F463="","",'הזנה לתנאי סף'!F463)</f>
        <v/>
      </c>
      <c r="F463" s="55" t="str">
        <f>IF('הזנה לתנאי סף'!BL463=1,'הזנה לתנאי סף'!G463,"")</f>
        <v/>
      </c>
      <c r="G463" s="55" t="str">
        <f>IF($F463="","",'הזנה לתנאי סף'!H463)</f>
        <v/>
      </c>
      <c r="H463" s="55" t="str">
        <f>IF($F463="","",'הזנה לתנאי סף'!I463)</f>
        <v/>
      </c>
      <c r="I463" s="187" t="str">
        <f>IF($F463="","",'הזנה לתנאי סף'!R463)</f>
        <v/>
      </c>
      <c r="J463" s="187" t="str">
        <f>IF($F463="","",'תחום תמיכה א'!P463)</f>
        <v/>
      </c>
      <c r="K463" s="177" t="str">
        <f>IF($F463="","",'הזנה לתנאי סף'!N463)</f>
        <v/>
      </c>
      <c r="L463" s="177" t="str">
        <f>IF($F463="","",'הזנה לתנאי סף'!O463)</f>
        <v/>
      </c>
      <c r="M463" s="177" t="str">
        <f>IF($F463="","",'הזנה לתנאי סף'!Q463)</f>
        <v/>
      </c>
      <c r="N463" s="187" t="str">
        <f>IF($F463="","",'תחום תמיכה א'!AE463)</f>
        <v/>
      </c>
      <c r="O463" s="178"/>
      <c r="P463" s="187" t="str">
        <f>IF($F463="","",'תחום תמיכה ב'!AC463)</f>
        <v/>
      </c>
      <c r="Q463" s="187" t="str">
        <f>IF($F463="","",IF('תחום תמיכה ג'!O463="",0,'תחום תמיכה ג'!O463))</f>
        <v/>
      </c>
      <c r="R463" s="187" t="str">
        <f t="shared" si="28"/>
        <v/>
      </c>
      <c r="S463" s="187" t="str">
        <f>IF($F463="","",'תחום תמיכה ב'!AE463)</f>
        <v/>
      </c>
      <c r="T463" s="187" t="str">
        <f>IF($F463="","",IF(Q463='תחום תמיכה ג'!$Q$2,'תחום תמיכה ג'!$Q$2,IFERROR(SUMIF(N463:R463,"&gt;0"),'תחום תמיכה ג'!$Q$2)))</f>
        <v/>
      </c>
      <c r="U463" s="187" t="str">
        <f>IF($F463="","",'הזנה לתנאי סף'!Y463)</f>
        <v/>
      </c>
      <c r="V463" s="269" t="str">
        <f>IF(F463="","",'הגבלה לסכום מבוקש '!AA463)</f>
        <v/>
      </c>
      <c r="W463" s="187" t="str">
        <f t="shared" si="26"/>
        <v/>
      </c>
      <c r="X463" s="187" t="str">
        <f>IF(F463="","",'הזנה לתנאי סף'!Z463)</f>
        <v/>
      </c>
      <c r="Y463" s="237" t="str">
        <f>IFERROR(VLOOKUP(G463*1,#REF!,3,0),"")</f>
        <v/>
      </c>
      <c r="Z463" s="187" t="str">
        <f>IF(OR($F463="",Y463=""),"",IFERROR(IF(Y463&gt;V463,MIN(Y463,T463)-V463,0),'תחום תמיכה ג'!$Q$2))</f>
        <v/>
      </c>
      <c r="AA463" s="259"/>
      <c r="AB463" s="260" t="str">
        <f t="shared" si="29"/>
        <v/>
      </c>
      <c r="AC463" s="262"/>
      <c r="AD463" s="180"/>
      <c r="AE463" s="13" t="str">
        <f>IF($C463="","",IFERROR(VLOOKUP($C463,גיליון1!$A:$E,2,0),"לא הגיש בקשה שוטפת"))</f>
        <v/>
      </c>
      <c r="AF463" s="13" t="str">
        <f>IF($C463="","",IFERROR(VLOOKUP($C463,גיליון1!$A:$E,3,0),"לא הגיש בקשה שוטפת"))</f>
        <v/>
      </c>
      <c r="AG463" s="13" t="str">
        <f>IF($C463="","",IFERROR(VLOOKUP($C463,גיליון1!$A:$E,4,0),"לא הגיש בקשה שוטפת"))</f>
        <v/>
      </c>
      <c r="AH463" s="13" t="str">
        <f>IF($C463="","",IFERROR(VLOOKUP($C463,גיליון1!$A:$E,5,0),"לא הגיש בקשה שוטפת"))</f>
        <v/>
      </c>
      <c r="AI463" s="13">
        <f t="shared" si="27"/>
        <v>0</v>
      </c>
      <c r="AK463" s="174" t="s">
        <v>250</v>
      </c>
    </row>
    <row r="464" spans="1:37" s="174" customFormat="1" x14ac:dyDescent="0.25">
      <c r="A464" s="54" t="str">
        <f>'הזנה לתנאי סף'!B464</f>
        <v/>
      </c>
      <c r="B464" s="266" t="str">
        <f>IF($F464="","",'הזנה לתנאי סף'!C464)</f>
        <v/>
      </c>
      <c r="C464" s="266" t="str">
        <f>IF($F464="","",'הזנה לתנאי סף'!D464)</f>
        <v/>
      </c>
      <c r="D464" s="266" t="str">
        <f>IF($F464="","",'הזנה לתנאי סף'!E464)</f>
        <v/>
      </c>
      <c r="E464" s="55" t="str">
        <f>IF($F464="","",'הזנה לתנאי סף'!F464)</f>
        <v/>
      </c>
      <c r="F464" s="55" t="str">
        <f>IF('הזנה לתנאי סף'!BL464=1,'הזנה לתנאי סף'!G464,"")</f>
        <v/>
      </c>
      <c r="G464" s="55" t="str">
        <f>IF($F464="","",'הזנה לתנאי סף'!H464)</f>
        <v/>
      </c>
      <c r="H464" s="55" t="str">
        <f>IF($F464="","",'הזנה לתנאי סף'!I464)</f>
        <v/>
      </c>
      <c r="I464" s="187" t="str">
        <f>IF($F464="","",'הזנה לתנאי סף'!R464)</f>
        <v/>
      </c>
      <c r="J464" s="187" t="str">
        <f>IF($F464="","",'תחום תמיכה א'!P464)</f>
        <v/>
      </c>
      <c r="K464" s="177" t="str">
        <f>IF($F464="","",'הזנה לתנאי סף'!N464)</f>
        <v/>
      </c>
      <c r="L464" s="177" t="str">
        <f>IF($F464="","",'הזנה לתנאי סף'!O464)</f>
        <v/>
      </c>
      <c r="M464" s="177" t="str">
        <f>IF($F464="","",'הזנה לתנאי סף'!Q464)</f>
        <v/>
      </c>
      <c r="N464" s="187" t="str">
        <f>IF($F464="","",'תחום תמיכה א'!AE464)</f>
        <v/>
      </c>
      <c r="O464" s="178"/>
      <c r="P464" s="187" t="str">
        <f>IF($F464="","",'תחום תמיכה ב'!AC464)</f>
        <v/>
      </c>
      <c r="Q464" s="187" t="str">
        <f>IF($F464="","",IF('תחום תמיכה ג'!O464="",0,'תחום תמיכה ג'!O464))</f>
        <v/>
      </c>
      <c r="R464" s="187" t="str">
        <f t="shared" si="28"/>
        <v/>
      </c>
      <c r="S464" s="187" t="str">
        <f>IF($F464="","",'תחום תמיכה ב'!AE464)</f>
        <v/>
      </c>
      <c r="T464" s="187" t="str">
        <f>IF($F464="","",IF(Q464='תחום תמיכה ג'!$Q$2,'תחום תמיכה ג'!$Q$2,IFERROR(SUMIF(N464:R464,"&gt;0"),'תחום תמיכה ג'!$Q$2)))</f>
        <v/>
      </c>
      <c r="U464" s="187" t="str">
        <f>IF($F464="","",'הזנה לתנאי סף'!Y464)</f>
        <v/>
      </c>
      <c r="V464" s="269" t="str">
        <f>IF(F464="","",'הגבלה לסכום מבוקש '!AA464)</f>
        <v/>
      </c>
      <c r="W464" s="187" t="str">
        <f t="shared" si="26"/>
        <v/>
      </c>
      <c r="X464" s="187" t="str">
        <f>IF(F464="","",'הזנה לתנאי סף'!Z464)</f>
        <v/>
      </c>
      <c r="Y464" s="237" t="str">
        <f>IFERROR(VLOOKUP(G464*1,#REF!,3,0),"")</f>
        <v/>
      </c>
      <c r="Z464" s="187" t="str">
        <f>IF(OR($F464="",Y464=""),"",IFERROR(IF(Y464&gt;V464,MIN(Y464,T464)-V464,0),'תחום תמיכה ג'!$Q$2))</f>
        <v/>
      </c>
      <c r="AA464" s="259"/>
      <c r="AB464" s="260" t="str">
        <f t="shared" si="29"/>
        <v/>
      </c>
      <c r="AC464" s="262"/>
      <c r="AD464" s="180"/>
      <c r="AE464" s="13" t="str">
        <f>IF($C464="","",IFERROR(VLOOKUP($C464,גיליון1!$A:$E,2,0),"לא הגיש בקשה שוטפת"))</f>
        <v/>
      </c>
      <c r="AF464" s="13" t="str">
        <f>IF($C464="","",IFERROR(VLOOKUP($C464,גיליון1!$A:$E,3,0),"לא הגיש בקשה שוטפת"))</f>
        <v/>
      </c>
      <c r="AG464" s="13" t="str">
        <f>IF($C464="","",IFERROR(VLOOKUP($C464,גיליון1!$A:$E,4,0),"לא הגיש בקשה שוטפת"))</f>
        <v/>
      </c>
      <c r="AH464" s="13" t="str">
        <f>IF($C464="","",IFERROR(VLOOKUP($C464,גיליון1!$A:$E,5,0),"לא הגיש בקשה שוטפת"))</f>
        <v/>
      </c>
      <c r="AI464" s="13">
        <f t="shared" si="27"/>
        <v>0</v>
      </c>
      <c r="AK464" s="174" t="s">
        <v>250</v>
      </c>
    </row>
    <row r="465" spans="1:37" s="174" customFormat="1" x14ac:dyDescent="0.25">
      <c r="A465" s="54" t="str">
        <f>'הזנה לתנאי סף'!B465</f>
        <v/>
      </c>
      <c r="B465" s="266" t="str">
        <f>IF($F465="","",'הזנה לתנאי סף'!C465)</f>
        <v/>
      </c>
      <c r="C465" s="266" t="str">
        <f>IF($F465="","",'הזנה לתנאי סף'!D465)</f>
        <v/>
      </c>
      <c r="D465" s="266" t="str">
        <f>IF($F465="","",'הזנה לתנאי סף'!E465)</f>
        <v/>
      </c>
      <c r="E465" s="55" t="str">
        <f>IF($F465="","",'הזנה לתנאי סף'!F465)</f>
        <v/>
      </c>
      <c r="F465" s="55" t="str">
        <f>IF('הזנה לתנאי סף'!BL465=1,'הזנה לתנאי סף'!G465,"")</f>
        <v/>
      </c>
      <c r="G465" s="55" t="str">
        <f>IF($F465="","",'הזנה לתנאי סף'!H465)</f>
        <v/>
      </c>
      <c r="H465" s="55" t="str">
        <f>IF($F465="","",'הזנה לתנאי סף'!I465)</f>
        <v/>
      </c>
      <c r="I465" s="187" t="str">
        <f>IF($F465="","",'הזנה לתנאי סף'!R465)</f>
        <v/>
      </c>
      <c r="J465" s="187" t="str">
        <f>IF($F465="","",'תחום תמיכה א'!P465)</f>
        <v/>
      </c>
      <c r="K465" s="177" t="str">
        <f>IF($F465="","",'הזנה לתנאי סף'!N465)</f>
        <v/>
      </c>
      <c r="L465" s="177" t="str">
        <f>IF($F465="","",'הזנה לתנאי סף'!O465)</f>
        <v/>
      </c>
      <c r="M465" s="177" t="str">
        <f>IF($F465="","",'הזנה לתנאי סף'!Q465)</f>
        <v/>
      </c>
      <c r="N465" s="187" t="str">
        <f>IF($F465="","",'תחום תמיכה א'!AE465)</f>
        <v/>
      </c>
      <c r="O465" s="178"/>
      <c r="P465" s="187" t="str">
        <f>IF($F465="","",'תחום תמיכה ב'!AC465)</f>
        <v/>
      </c>
      <c r="Q465" s="187" t="str">
        <f>IF($F465="","",IF('תחום תמיכה ג'!O465="",0,'תחום תמיכה ג'!O465))</f>
        <v/>
      </c>
      <c r="R465" s="187" t="str">
        <f t="shared" si="28"/>
        <v/>
      </c>
      <c r="S465" s="187" t="str">
        <f>IF($F465="","",'תחום תמיכה ב'!AE465)</f>
        <v/>
      </c>
      <c r="T465" s="187" t="str">
        <f>IF($F465="","",IF(Q465='תחום תמיכה ג'!$Q$2,'תחום תמיכה ג'!$Q$2,IFERROR(SUMIF(N465:R465,"&gt;0"),'תחום תמיכה ג'!$Q$2)))</f>
        <v/>
      </c>
      <c r="U465" s="187" t="str">
        <f>IF($F465="","",'הזנה לתנאי סף'!Y465)</f>
        <v/>
      </c>
      <c r="V465" s="269" t="str">
        <f>IF(F465="","",'הגבלה לסכום מבוקש '!AA465)</f>
        <v/>
      </c>
      <c r="W465" s="187" t="str">
        <f t="shared" si="26"/>
        <v/>
      </c>
      <c r="X465" s="187" t="str">
        <f>IF(F465="","",'הזנה לתנאי סף'!Z465)</f>
        <v/>
      </c>
      <c r="Y465" s="237" t="str">
        <f>IFERROR(VLOOKUP(G465*1,#REF!,3,0),"")</f>
        <v/>
      </c>
      <c r="Z465" s="187" t="str">
        <f>IF(OR($F465="",Y465=""),"",IFERROR(IF(Y465&gt;V465,MIN(Y465,T465)-V465,0),'תחום תמיכה ג'!$Q$2))</f>
        <v/>
      </c>
      <c r="AA465" s="259"/>
      <c r="AB465" s="260" t="str">
        <f t="shared" si="29"/>
        <v/>
      </c>
      <c r="AC465" s="262"/>
      <c r="AD465" s="180"/>
      <c r="AE465" s="13" t="str">
        <f>IF($C465="","",IFERROR(VLOOKUP($C465,גיליון1!$A:$E,2,0),"לא הגיש בקשה שוטפת"))</f>
        <v/>
      </c>
      <c r="AF465" s="13" t="str">
        <f>IF($C465="","",IFERROR(VLOOKUP($C465,גיליון1!$A:$E,3,0),"לא הגיש בקשה שוטפת"))</f>
        <v/>
      </c>
      <c r="AG465" s="13" t="str">
        <f>IF($C465="","",IFERROR(VLOOKUP($C465,גיליון1!$A:$E,4,0),"לא הגיש בקשה שוטפת"))</f>
        <v/>
      </c>
      <c r="AH465" s="13" t="str">
        <f>IF($C465="","",IFERROR(VLOOKUP($C465,גיליון1!$A:$E,5,0),"לא הגיש בקשה שוטפת"))</f>
        <v/>
      </c>
      <c r="AI465" s="13">
        <f t="shared" si="27"/>
        <v>0</v>
      </c>
      <c r="AK465" s="174" t="s">
        <v>250</v>
      </c>
    </row>
    <row r="466" spans="1:37" s="174" customFormat="1" x14ac:dyDescent="0.25">
      <c r="A466" s="54" t="str">
        <f>'הזנה לתנאי סף'!B466</f>
        <v/>
      </c>
      <c r="B466" s="266" t="str">
        <f>IF($F466="","",'הזנה לתנאי סף'!C466)</f>
        <v/>
      </c>
      <c r="C466" s="266" t="str">
        <f>IF($F466="","",'הזנה לתנאי סף'!D466)</f>
        <v/>
      </c>
      <c r="D466" s="266" t="str">
        <f>IF($F466="","",'הזנה לתנאי סף'!E466)</f>
        <v/>
      </c>
      <c r="E466" s="55" t="str">
        <f>IF($F466="","",'הזנה לתנאי סף'!F466)</f>
        <v/>
      </c>
      <c r="F466" s="55" t="str">
        <f>IF('הזנה לתנאי סף'!BL466=1,'הזנה לתנאי סף'!G466,"")</f>
        <v/>
      </c>
      <c r="G466" s="55" t="str">
        <f>IF($F466="","",'הזנה לתנאי סף'!H466)</f>
        <v/>
      </c>
      <c r="H466" s="55" t="str">
        <f>IF($F466="","",'הזנה לתנאי סף'!I466)</f>
        <v/>
      </c>
      <c r="I466" s="187" t="str">
        <f>IF($F466="","",'הזנה לתנאי סף'!R466)</f>
        <v/>
      </c>
      <c r="J466" s="187" t="str">
        <f>IF($F466="","",'תחום תמיכה א'!P466)</f>
        <v/>
      </c>
      <c r="K466" s="177" t="str">
        <f>IF($F466="","",'הזנה לתנאי סף'!N466)</f>
        <v/>
      </c>
      <c r="L466" s="177" t="str">
        <f>IF($F466="","",'הזנה לתנאי סף'!O466)</f>
        <v/>
      </c>
      <c r="M466" s="177" t="str">
        <f>IF($F466="","",'הזנה לתנאי סף'!Q466)</f>
        <v/>
      </c>
      <c r="N466" s="187" t="str">
        <f>IF($F466="","",'תחום תמיכה א'!AE466)</f>
        <v/>
      </c>
      <c r="O466" s="178"/>
      <c r="P466" s="187" t="str">
        <f>IF($F466="","",'תחום תמיכה ב'!AC466)</f>
        <v/>
      </c>
      <c r="Q466" s="187" t="str">
        <f>IF($F466="","",IF('תחום תמיכה ג'!O466="",0,'תחום תמיכה ג'!O466))</f>
        <v/>
      </c>
      <c r="R466" s="187" t="str">
        <f t="shared" si="28"/>
        <v/>
      </c>
      <c r="S466" s="187" t="str">
        <f>IF($F466="","",'תחום תמיכה ב'!AE466)</f>
        <v/>
      </c>
      <c r="T466" s="187" t="str">
        <f>IF($F466="","",IF(Q466='תחום תמיכה ג'!$Q$2,'תחום תמיכה ג'!$Q$2,IFERROR(SUMIF(N466:R466,"&gt;0"),'תחום תמיכה ג'!$Q$2)))</f>
        <v/>
      </c>
      <c r="U466" s="187" t="str">
        <f>IF($F466="","",'הזנה לתנאי סף'!Y466)</f>
        <v/>
      </c>
      <c r="V466" s="269" t="str">
        <f>IF(F466="","",'הגבלה לסכום מבוקש '!AA466)</f>
        <v/>
      </c>
      <c r="W466" s="187" t="str">
        <f t="shared" si="26"/>
        <v/>
      </c>
      <c r="X466" s="187" t="str">
        <f>IF(F466="","",'הזנה לתנאי סף'!Z466)</f>
        <v/>
      </c>
      <c r="Y466" s="237" t="str">
        <f>IFERROR(VLOOKUP(G466*1,#REF!,3,0),"")</f>
        <v/>
      </c>
      <c r="Z466" s="187" t="str">
        <f>IF(OR($F466="",Y466=""),"",IFERROR(IF(Y466&gt;V466,MIN(Y466,T466)-V466,0),'תחום תמיכה ג'!$Q$2))</f>
        <v/>
      </c>
      <c r="AA466" s="259"/>
      <c r="AB466" s="260" t="str">
        <f t="shared" si="29"/>
        <v/>
      </c>
      <c r="AC466" s="262"/>
      <c r="AD466" s="180"/>
      <c r="AE466" s="13" t="str">
        <f>IF($C466="","",IFERROR(VLOOKUP($C466,גיליון1!$A:$E,2,0),"לא הגיש בקשה שוטפת"))</f>
        <v/>
      </c>
      <c r="AF466" s="13" t="str">
        <f>IF($C466="","",IFERROR(VLOOKUP($C466,גיליון1!$A:$E,3,0),"לא הגיש בקשה שוטפת"))</f>
        <v/>
      </c>
      <c r="AG466" s="13" t="str">
        <f>IF($C466="","",IFERROR(VLOOKUP($C466,גיליון1!$A:$E,4,0),"לא הגיש בקשה שוטפת"))</f>
        <v/>
      </c>
      <c r="AH466" s="13" t="str">
        <f>IF($C466="","",IFERROR(VLOOKUP($C466,גיליון1!$A:$E,5,0),"לא הגיש בקשה שוטפת"))</f>
        <v/>
      </c>
      <c r="AI466" s="13">
        <f t="shared" si="27"/>
        <v>0</v>
      </c>
      <c r="AK466" s="174" t="s">
        <v>250</v>
      </c>
    </row>
    <row r="467" spans="1:37" s="174" customFormat="1" x14ac:dyDescent="0.25">
      <c r="A467" s="54" t="str">
        <f>'הזנה לתנאי סף'!B467</f>
        <v/>
      </c>
      <c r="B467" s="266" t="str">
        <f>IF($F467="","",'הזנה לתנאי סף'!C467)</f>
        <v/>
      </c>
      <c r="C467" s="266" t="str">
        <f>IF($F467="","",'הזנה לתנאי סף'!D467)</f>
        <v/>
      </c>
      <c r="D467" s="266" t="str">
        <f>IF($F467="","",'הזנה לתנאי סף'!E467)</f>
        <v/>
      </c>
      <c r="E467" s="55" t="str">
        <f>IF($F467="","",'הזנה לתנאי סף'!F467)</f>
        <v/>
      </c>
      <c r="F467" s="55" t="str">
        <f>IF('הזנה לתנאי סף'!BL467=1,'הזנה לתנאי סף'!G467,"")</f>
        <v/>
      </c>
      <c r="G467" s="55" t="str">
        <f>IF($F467="","",'הזנה לתנאי סף'!H467)</f>
        <v/>
      </c>
      <c r="H467" s="55" t="str">
        <f>IF($F467="","",'הזנה לתנאי סף'!I467)</f>
        <v/>
      </c>
      <c r="I467" s="187" t="str">
        <f>IF($F467="","",'הזנה לתנאי סף'!R467)</f>
        <v/>
      </c>
      <c r="J467" s="187" t="str">
        <f>IF($F467="","",'תחום תמיכה א'!P467)</f>
        <v/>
      </c>
      <c r="K467" s="177" t="str">
        <f>IF($F467="","",'הזנה לתנאי סף'!N467)</f>
        <v/>
      </c>
      <c r="L467" s="177" t="str">
        <f>IF($F467="","",'הזנה לתנאי סף'!O467)</f>
        <v/>
      </c>
      <c r="M467" s="177" t="str">
        <f>IF($F467="","",'הזנה לתנאי סף'!Q467)</f>
        <v/>
      </c>
      <c r="N467" s="187" t="str">
        <f>IF($F467="","",'תחום תמיכה א'!AE467)</f>
        <v/>
      </c>
      <c r="O467" s="178"/>
      <c r="P467" s="187" t="str">
        <f>IF($F467="","",'תחום תמיכה ב'!AC467)</f>
        <v/>
      </c>
      <c r="Q467" s="187" t="str">
        <f>IF($F467="","",IF('תחום תמיכה ג'!O467="",0,'תחום תמיכה ג'!O467))</f>
        <v/>
      </c>
      <c r="R467" s="187" t="str">
        <f t="shared" si="28"/>
        <v/>
      </c>
      <c r="S467" s="187" t="str">
        <f>IF($F467="","",'תחום תמיכה ב'!AE467)</f>
        <v/>
      </c>
      <c r="T467" s="187" t="str">
        <f>IF($F467="","",IF(Q467='תחום תמיכה ג'!$Q$2,'תחום תמיכה ג'!$Q$2,IFERROR(SUMIF(N467:R467,"&gt;0"),'תחום תמיכה ג'!$Q$2)))</f>
        <v/>
      </c>
      <c r="U467" s="187" t="str">
        <f>IF($F467="","",'הזנה לתנאי סף'!Y467)</f>
        <v/>
      </c>
      <c r="V467" s="269" t="str">
        <f>IF(F467="","",'הגבלה לסכום מבוקש '!AA467)</f>
        <v/>
      </c>
      <c r="W467" s="187" t="str">
        <f t="shared" si="26"/>
        <v/>
      </c>
      <c r="X467" s="187" t="str">
        <f>IF(F467="","",'הזנה לתנאי סף'!Z467)</f>
        <v/>
      </c>
      <c r="Y467" s="237" t="str">
        <f>IFERROR(VLOOKUP(G467*1,#REF!,3,0),"")</f>
        <v/>
      </c>
      <c r="Z467" s="187" t="str">
        <f>IF(OR($F467="",Y467=""),"",IFERROR(IF(Y467&gt;V467,MIN(Y467,T467)-V467,0),'תחום תמיכה ג'!$Q$2))</f>
        <v/>
      </c>
      <c r="AA467" s="259"/>
      <c r="AB467" s="260" t="str">
        <f t="shared" si="29"/>
        <v/>
      </c>
      <c r="AC467" s="262"/>
      <c r="AD467" s="180"/>
      <c r="AE467" s="13" t="str">
        <f>IF($C467="","",IFERROR(VLOOKUP($C467,גיליון1!$A:$E,2,0),"לא הגיש בקשה שוטפת"))</f>
        <v/>
      </c>
      <c r="AF467" s="13" t="str">
        <f>IF($C467="","",IFERROR(VLOOKUP($C467,גיליון1!$A:$E,3,0),"לא הגיש בקשה שוטפת"))</f>
        <v/>
      </c>
      <c r="AG467" s="13" t="str">
        <f>IF($C467="","",IFERROR(VLOOKUP($C467,גיליון1!$A:$E,4,0),"לא הגיש בקשה שוטפת"))</f>
        <v/>
      </c>
      <c r="AH467" s="13" t="str">
        <f>IF($C467="","",IFERROR(VLOOKUP($C467,גיליון1!$A:$E,5,0),"לא הגיש בקשה שוטפת"))</f>
        <v/>
      </c>
      <c r="AI467" s="13">
        <f t="shared" si="27"/>
        <v>0</v>
      </c>
      <c r="AK467" s="174" t="s">
        <v>250</v>
      </c>
    </row>
    <row r="468" spans="1:37" s="174" customFormat="1" x14ac:dyDescent="0.25">
      <c r="A468" s="54" t="str">
        <f>'הזנה לתנאי סף'!B468</f>
        <v/>
      </c>
      <c r="B468" s="266" t="str">
        <f>IF($F468="","",'הזנה לתנאי סף'!C468)</f>
        <v/>
      </c>
      <c r="C468" s="266" t="str">
        <f>IF($F468="","",'הזנה לתנאי סף'!D468)</f>
        <v/>
      </c>
      <c r="D468" s="266" t="str">
        <f>IF($F468="","",'הזנה לתנאי סף'!E468)</f>
        <v/>
      </c>
      <c r="E468" s="55" t="str">
        <f>IF($F468="","",'הזנה לתנאי סף'!F468)</f>
        <v/>
      </c>
      <c r="F468" s="55" t="str">
        <f>IF('הזנה לתנאי סף'!BL468=1,'הזנה לתנאי סף'!G468,"")</f>
        <v/>
      </c>
      <c r="G468" s="55" t="str">
        <f>IF($F468="","",'הזנה לתנאי סף'!H468)</f>
        <v/>
      </c>
      <c r="H468" s="55" t="str">
        <f>IF($F468="","",'הזנה לתנאי סף'!I468)</f>
        <v/>
      </c>
      <c r="I468" s="187" t="str">
        <f>IF($F468="","",'הזנה לתנאי סף'!R468)</f>
        <v/>
      </c>
      <c r="J468" s="187" t="str">
        <f>IF($F468="","",'תחום תמיכה א'!P468)</f>
        <v/>
      </c>
      <c r="K468" s="177" t="str">
        <f>IF($F468="","",'הזנה לתנאי סף'!N468)</f>
        <v/>
      </c>
      <c r="L468" s="177" t="str">
        <f>IF($F468="","",'הזנה לתנאי סף'!O468)</f>
        <v/>
      </c>
      <c r="M468" s="177" t="str">
        <f>IF($F468="","",'הזנה לתנאי סף'!Q468)</f>
        <v/>
      </c>
      <c r="N468" s="187" t="str">
        <f>IF($F468="","",'תחום תמיכה א'!AE468)</f>
        <v/>
      </c>
      <c r="O468" s="178"/>
      <c r="P468" s="187" t="str">
        <f>IF($F468="","",'תחום תמיכה ב'!AC468)</f>
        <v/>
      </c>
      <c r="Q468" s="187" t="str">
        <f>IF($F468="","",IF('תחום תמיכה ג'!O468="",0,'תחום תמיכה ג'!O468))</f>
        <v/>
      </c>
      <c r="R468" s="187" t="str">
        <f t="shared" si="28"/>
        <v/>
      </c>
      <c r="S468" s="187" t="str">
        <f>IF($F468="","",'תחום תמיכה ב'!AE468)</f>
        <v/>
      </c>
      <c r="T468" s="187" t="str">
        <f>IF($F468="","",IF(Q468='תחום תמיכה ג'!$Q$2,'תחום תמיכה ג'!$Q$2,IFERROR(SUMIF(N468:R468,"&gt;0"),'תחום תמיכה ג'!$Q$2)))</f>
        <v/>
      </c>
      <c r="U468" s="187" t="str">
        <f>IF($F468="","",'הזנה לתנאי סף'!Y468)</f>
        <v/>
      </c>
      <c r="V468" s="269" t="str">
        <f>IF(F468="","",'הגבלה לסכום מבוקש '!AA468)</f>
        <v/>
      </c>
      <c r="W468" s="187" t="str">
        <f t="shared" si="26"/>
        <v/>
      </c>
      <c r="X468" s="187" t="str">
        <f>IF(F468="","",'הזנה לתנאי סף'!Z468)</f>
        <v/>
      </c>
      <c r="Y468" s="237" t="str">
        <f>IFERROR(VLOOKUP(G468*1,#REF!,3,0),"")</f>
        <v/>
      </c>
      <c r="Z468" s="187" t="str">
        <f>IF(OR($F468="",Y468=""),"",IFERROR(IF(Y468&gt;V468,MIN(Y468,T468)-V468,0),'תחום תמיכה ג'!$Q$2))</f>
        <v/>
      </c>
      <c r="AA468" s="259"/>
      <c r="AB468" s="260" t="str">
        <f t="shared" si="29"/>
        <v/>
      </c>
      <c r="AC468" s="262"/>
      <c r="AD468" s="180"/>
      <c r="AE468" s="13" t="str">
        <f>IF($C468="","",IFERROR(VLOOKUP($C468,גיליון1!$A:$E,2,0),"לא הגיש בקשה שוטפת"))</f>
        <v/>
      </c>
      <c r="AF468" s="13" t="str">
        <f>IF($C468="","",IFERROR(VLOOKUP($C468,גיליון1!$A:$E,3,0),"לא הגיש בקשה שוטפת"))</f>
        <v/>
      </c>
      <c r="AG468" s="13" t="str">
        <f>IF($C468="","",IFERROR(VLOOKUP($C468,גיליון1!$A:$E,4,0),"לא הגיש בקשה שוטפת"))</f>
        <v/>
      </c>
      <c r="AH468" s="13" t="str">
        <f>IF($C468="","",IFERROR(VLOOKUP($C468,גיליון1!$A:$E,5,0),"לא הגיש בקשה שוטפת"))</f>
        <v/>
      </c>
      <c r="AI468" s="13">
        <f t="shared" si="27"/>
        <v>0</v>
      </c>
      <c r="AK468" s="174" t="s">
        <v>250</v>
      </c>
    </row>
    <row r="469" spans="1:37" s="174" customFormat="1" x14ac:dyDescent="0.25">
      <c r="A469" s="54" t="str">
        <f>'הזנה לתנאי סף'!B469</f>
        <v/>
      </c>
      <c r="B469" s="266" t="str">
        <f>IF($F469="","",'הזנה לתנאי סף'!C469)</f>
        <v/>
      </c>
      <c r="C469" s="266" t="str">
        <f>IF($F469="","",'הזנה לתנאי סף'!D469)</f>
        <v/>
      </c>
      <c r="D469" s="266" t="str">
        <f>IF($F469="","",'הזנה לתנאי סף'!E469)</f>
        <v/>
      </c>
      <c r="E469" s="55" t="str">
        <f>IF($F469="","",'הזנה לתנאי סף'!F469)</f>
        <v/>
      </c>
      <c r="F469" s="55" t="str">
        <f>IF('הזנה לתנאי סף'!BL469=1,'הזנה לתנאי סף'!G469,"")</f>
        <v/>
      </c>
      <c r="G469" s="55" t="str">
        <f>IF($F469="","",'הזנה לתנאי סף'!H469)</f>
        <v/>
      </c>
      <c r="H469" s="55" t="str">
        <f>IF($F469="","",'הזנה לתנאי סף'!I469)</f>
        <v/>
      </c>
      <c r="I469" s="187" t="str">
        <f>IF($F469="","",'הזנה לתנאי סף'!R469)</f>
        <v/>
      </c>
      <c r="J469" s="187" t="str">
        <f>IF($F469="","",'תחום תמיכה א'!P469)</f>
        <v/>
      </c>
      <c r="K469" s="177" t="str">
        <f>IF($F469="","",'הזנה לתנאי סף'!N469)</f>
        <v/>
      </c>
      <c r="L469" s="177" t="str">
        <f>IF($F469="","",'הזנה לתנאי סף'!O469)</f>
        <v/>
      </c>
      <c r="M469" s="177" t="str">
        <f>IF($F469="","",'הזנה לתנאי סף'!Q469)</f>
        <v/>
      </c>
      <c r="N469" s="187" t="str">
        <f>IF($F469="","",'תחום תמיכה א'!AE469)</f>
        <v/>
      </c>
      <c r="O469" s="178"/>
      <c r="P469" s="187" t="str">
        <f>IF($F469="","",'תחום תמיכה ב'!AC469)</f>
        <v/>
      </c>
      <c r="Q469" s="187" t="str">
        <f>IF($F469="","",IF('תחום תמיכה ג'!O469="",0,'תחום תמיכה ג'!O469))</f>
        <v/>
      </c>
      <c r="R469" s="187" t="str">
        <f t="shared" si="28"/>
        <v/>
      </c>
      <c r="S469" s="187" t="str">
        <f>IF($F469="","",'תחום תמיכה ב'!AE469)</f>
        <v/>
      </c>
      <c r="T469" s="187" t="str">
        <f>IF($F469="","",IF(Q469='תחום תמיכה ג'!$Q$2,'תחום תמיכה ג'!$Q$2,IFERROR(SUMIF(N469:R469,"&gt;0"),'תחום תמיכה ג'!$Q$2)))</f>
        <v/>
      </c>
      <c r="U469" s="187" t="str">
        <f>IF($F469="","",'הזנה לתנאי סף'!Y469)</f>
        <v/>
      </c>
      <c r="V469" s="269" t="str">
        <f>IF(F469="","",'הגבלה לסכום מבוקש '!AA469)</f>
        <v/>
      </c>
      <c r="W469" s="187" t="str">
        <f t="shared" si="26"/>
        <v/>
      </c>
      <c r="X469" s="187" t="str">
        <f>IF(F469="","",'הזנה לתנאי סף'!Z469)</f>
        <v/>
      </c>
      <c r="Y469" s="237" t="str">
        <f>IFERROR(VLOOKUP(G469*1,#REF!,3,0),"")</f>
        <v/>
      </c>
      <c r="Z469" s="187" t="str">
        <f>IF(OR($F469="",Y469=""),"",IFERROR(IF(Y469&gt;V469,MIN(Y469,T469)-V469,0),'תחום תמיכה ג'!$Q$2))</f>
        <v/>
      </c>
      <c r="AA469" s="259"/>
      <c r="AB469" s="260" t="str">
        <f t="shared" si="29"/>
        <v/>
      </c>
      <c r="AC469" s="262"/>
      <c r="AD469" s="180"/>
      <c r="AE469" s="13" t="str">
        <f>IF($C469="","",IFERROR(VLOOKUP($C469,גיליון1!$A:$E,2,0),"לא הגיש בקשה שוטפת"))</f>
        <v/>
      </c>
      <c r="AF469" s="13" t="str">
        <f>IF($C469="","",IFERROR(VLOOKUP($C469,גיליון1!$A:$E,3,0),"לא הגיש בקשה שוטפת"))</f>
        <v/>
      </c>
      <c r="AG469" s="13" t="str">
        <f>IF($C469="","",IFERROR(VLOOKUP($C469,גיליון1!$A:$E,4,0),"לא הגיש בקשה שוטפת"))</f>
        <v/>
      </c>
      <c r="AH469" s="13" t="str">
        <f>IF($C469="","",IFERROR(VLOOKUP($C469,גיליון1!$A:$E,5,0),"לא הגיש בקשה שוטפת"))</f>
        <v/>
      </c>
      <c r="AI469" s="13">
        <f t="shared" si="27"/>
        <v>0</v>
      </c>
      <c r="AK469" s="174" t="s">
        <v>250</v>
      </c>
    </row>
    <row r="470" spans="1:37" s="174" customFormat="1" x14ac:dyDescent="0.25">
      <c r="A470" s="54" t="str">
        <f>'הזנה לתנאי סף'!B470</f>
        <v/>
      </c>
      <c r="B470" s="266" t="str">
        <f>IF($F470="","",'הזנה לתנאי סף'!C470)</f>
        <v/>
      </c>
      <c r="C470" s="266" t="str">
        <f>IF($F470="","",'הזנה לתנאי סף'!D470)</f>
        <v/>
      </c>
      <c r="D470" s="266" t="str">
        <f>IF($F470="","",'הזנה לתנאי סף'!E470)</f>
        <v/>
      </c>
      <c r="E470" s="55" t="str">
        <f>IF($F470="","",'הזנה לתנאי סף'!F470)</f>
        <v/>
      </c>
      <c r="F470" s="55" t="str">
        <f>IF('הזנה לתנאי סף'!BL470=1,'הזנה לתנאי סף'!G470,"")</f>
        <v/>
      </c>
      <c r="G470" s="55" t="str">
        <f>IF($F470="","",'הזנה לתנאי סף'!H470)</f>
        <v/>
      </c>
      <c r="H470" s="55" t="str">
        <f>IF($F470="","",'הזנה לתנאי סף'!I470)</f>
        <v/>
      </c>
      <c r="I470" s="187" t="str">
        <f>IF($F470="","",'הזנה לתנאי סף'!R470)</f>
        <v/>
      </c>
      <c r="J470" s="187" t="str">
        <f>IF($F470="","",'תחום תמיכה א'!P470)</f>
        <v/>
      </c>
      <c r="K470" s="177" t="str">
        <f>IF($F470="","",'הזנה לתנאי סף'!N470)</f>
        <v/>
      </c>
      <c r="L470" s="177" t="str">
        <f>IF($F470="","",'הזנה לתנאי סף'!O470)</f>
        <v/>
      </c>
      <c r="M470" s="177" t="str">
        <f>IF($F470="","",'הזנה לתנאי סף'!Q470)</f>
        <v/>
      </c>
      <c r="N470" s="187" t="str">
        <f>IF($F470="","",'תחום תמיכה א'!AE470)</f>
        <v/>
      </c>
      <c r="O470" s="178"/>
      <c r="P470" s="187" t="str">
        <f>IF($F470="","",'תחום תמיכה ב'!AC470)</f>
        <v/>
      </c>
      <c r="Q470" s="187" t="str">
        <f>IF($F470="","",IF('תחום תמיכה ג'!O470="",0,'תחום תמיכה ג'!O470))</f>
        <v/>
      </c>
      <c r="R470" s="187" t="str">
        <f t="shared" si="28"/>
        <v/>
      </c>
      <c r="S470" s="187" t="str">
        <f>IF($F470="","",'תחום תמיכה ב'!AE470)</f>
        <v/>
      </c>
      <c r="T470" s="187" t="str">
        <f>IF($F470="","",IF(Q470='תחום תמיכה ג'!$Q$2,'תחום תמיכה ג'!$Q$2,IFERROR(SUMIF(N470:R470,"&gt;0"),'תחום תמיכה ג'!$Q$2)))</f>
        <v/>
      </c>
      <c r="U470" s="187" t="str">
        <f>IF($F470="","",'הזנה לתנאי סף'!Y470)</f>
        <v/>
      </c>
      <c r="V470" s="269" t="str">
        <f>IF(F470="","",'הגבלה לסכום מבוקש '!AA470)</f>
        <v/>
      </c>
      <c r="W470" s="187" t="str">
        <f t="shared" si="26"/>
        <v/>
      </c>
      <c r="X470" s="187" t="str">
        <f>IF(F470="","",'הזנה לתנאי סף'!Z470)</f>
        <v/>
      </c>
      <c r="Y470" s="237" t="str">
        <f>IFERROR(VLOOKUP(G470*1,#REF!,3,0),"")</f>
        <v/>
      </c>
      <c r="Z470" s="187" t="str">
        <f>IF(OR($F470="",Y470=""),"",IFERROR(IF(Y470&gt;V470,MIN(Y470,T470)-V470,0),'תחום תמיכה ג'!$Q$2))</f>
        <v/>
      </c>
      <c r="AA470" s="259"/>
      <c r="AB470" s="260" t="str">
        <f t="shared" si="29"/>
        <v/>
      </c>
      <c r="AC470" s="262"/>
      <c r="AD470" s="180"/>
      <c r="AE470" s="13" t="str">
        <f>IF($C470="","",IFERROR(VLOOKUP($C470,גיליון1!$A:$E,2,0),"לא הגיש בקשה שוטפת"))</f>
        <v/>
      </c>
      <c r="AF470" s="13" t="str">
        <f>IF($C470="","",IFERROR(VLOOKUP($C470,גיליון1!$A:$E,3,0),"לא הגיש בקשה שוטפת"))</f>
        <v/>
      </c>
      <c r="AG470" s="13" t="str">
        <f>IF($C470="","",IFERROR(VLOOKUP($C470,גיליון1!$A:$E,4,0),"לא הגיש בקשה שוטפת"))</f>
        <v/>
      </c>
      <c r="AH470" s="13" t="str">
        <f>IF($C470="","",IFERROR(VLOOKUP($C470,גיליון1!$A:$E,5,0),"לא הגיש בקשה שוטפת"))</f>
        <v/>
      </c>
      <c r="AI470" s="13">
        <f t="shared" si="27"/>
        <v>0</v>
      </c>
      <c r="AK470" s="174" t="s">
        <v>250</v>
      </c>
    </row>
    <row r="471" spans="1:37" s="174" customFormat="1" x14ac:dyDescent="0.25">
      <c r="A471" s="54" t="str">
        <f>'הזנה לתנאי סף'!B471</f>
        <v/>
      </c>
      <c r="B471" s="266" t="str">
        <f>IF($F471="","",'הזנה לתנאי סף'!C471)</f>
        <v/>
      </c>
      <c r="C471" s="266" t="str">
        <f>IF($F471="","",'הזנה לתנאי סף'!D471)</f>
        <v/>
      </c>
      <c r="D471" s="266" t="str">
        <f>IF($F471="","",'הזנה לתנאי סף'!E471)</f>
        <v/>
      </c>
      <c r="E471" s="55" t="str">
        <f>IF($F471="","",'הזנה לתנאי סף'!F471)</f>
        <v/>
      </c>
      <c r="F471" s="55" t="str">
        <f>IF('הזנה לתנאי סף'!BL471=1,'הזנה לתנאי סף'!G471,"")</f>
        <v/>
      </c>
      <c r="G471" s="55" t="str">
        <f>IF($F471="","",'הזנה לתנאי סף'!H471)</f>
        <v/>
      </c>
      <c r="H471" s="55" t="str">
        <f>IF($F471="","",'הזנה לתנאי סף'!I471)</f>
        <v/>
      </c>
      <c r="I471" s="187" t="str">
        <f>IF($F471="","",'הזנה לתנאי סף'!R471)</f>
        <v/>
      </c>
      <c r="J471" s="187" t="str">
        <f>IF($F471="","",'תחום תמיכה א'!P471)</f>
        <v/>
      </c>
      <c r="K471" s="177" t="str">
        <f>IF($F471="","",'הזנה לתנאי סף'!N471)</f>
        <v/>
      </c>
      <c r="L471" s="177" t="str">
        <f>IF($F471="","",'הזנה לתנאי סף'!O471)</f>
        <v/>
      </c>
      <c r="M471" s="177" t="str">
        <f>IF($F471="","",'הזנה לתנאי סף'!Q471)</f>
        <v/>
      </c>
      <c r="N471" s="187" t="str">
        <f>IF($F471="","",'תחום תמיכה א'!AE471)</f>
        <v/>
      </c>
      <c r="O471" s="178"/>
      <c r="P471" s="187" t="str">
        <f>IF($F471="","",'תחום תמיכה ב'!AC471)</f>
        <v/>
      </c>
      <c r="Q471" s="187" t="str">
        <f>IF($F471="","",IF('תחום תמיכה ג'!O471="",0,'תחום תמיכה ג'!O471))</f>
        <v/>
      </c>
      <c r="R471" s="187" t="str">
        <f t="shared" si="28"/>
        <v/>
      </c>
      <c r="S471" s="187" t="str">
        <f>IF($F471="","",'תחום תמיכה ב'!AE471)</f>
        <v/>
      </c>
      <c r="T471" s="187" t="str">
        <f>IF($F471="","",IF(Q471='תחום תמיכה ג'!$Q$2,'תחום תמיכה ג'!$Q$2,IFERROR(SUMIF(N471:R471,"&gt;0"),'תחום תמיכה ג'!$Q$2)))</f>
        <v/>
      </c>
      <c r="U471" s="187" t="str">
        <f>IF($F471="","",'הזנה לתנאי סף'!Y471)</f>
        <v/>
      </c>
      <c r="V471" s="269" t="str">
        <f>IF(F471="","",'הגבלה לסכום מבוקש '!AA471)</f>
        <v/>
      </c>
      <c r="W471" s="187" t="str">
        <f t="shared" si="26"/>
        <v/>
      </c>
      <c r="X471" s="187" t="str">
        <f>IF(F471="","",'הזנה לתנאי סף'!Z471)</f>
        <v/>
      </c>
      <c r="Y471" s="237" t="str">
        <f>IFERROR(VLOOKUP(G471*1,#REF!,3,0),"")</f>
        <v/>
      </c>
      <c r="Z471" s="187" t="str">
        <f>IF(OR($F471="",Y471=""),"",IFERROR(IF(Y471&gt;V471,MIN(Y471,T471)-V471,0),'תחום תמיכה ג'!$Q$2))</f>
        <v/>
      </c>
      <c r="AA471" s="259"/>
      <c r="AB471" s="260" t="str">
        <f t="shared" si="29"/>
        <v/>
      </c>
      <c r="AC471" s="262"/>
      <c r="AD471" s="180"/>
      <c r="AE471" s="13" t="str">
        <f>IF($C471="","",IFERROR(VLOOKUP($C471,גיליון1!$A:$E,2,0),"לא הגיש בקשה שוטפת"))</f>
        <v/>
      </c>
      <c r="AF471" s="13" t="str">
        <f>IF($C471="","",IFERROR(VLOOKUP($C471,גיליון1!$A:$E,3,0),"לא הגיש בקשה שוטפת"))</f>
        <v/>
      </c>
      <c r="AG471" s="13" t="str">
        <f>IF($C471="","",IFERROR(VLOOKUP($C471,גיליון1!$A:$E,4,0),"לא הגיש בקשה שוטפת"))</f>
        <v/>
      </c>
      <c r="AH471" s="13" t="str">
        <f>IF($C471="","",IFERROR(VLOOKUP($C471,גיליון1!$A:$E,5,0),"לא הגיש בקשה שוטפת"))</f>
        <v/>
      </c>
      <c r="AI471" s="13">
        <f t="shared" si="27"/>
        <v>0</v>
      </c>
      <c r="AK471" s="174" t="s">
        <v>250</v>
      </c>
    </row>
    <row r="472" spans="1:37" s="174" customFormat="1" x14ac:dyDescent="0.25">
      <c r="A472" s="54" t="str">
        <f>'הזנה לתנאי סף'!B472</f>
        <v/>
      </c>
      <c r="B472" s="266" t="str">
        <f>IF($F472="","",'הזנה לתנאי סף'!C472)</f>
        <v/>
      </c>
      <c r="C472" s="266" t="str">
        <f>IF($F472="","",'הזנה לתנאי סף'!D472)</f>
        <v/>
      </c>
      <c r="D472" s="266" t="str">
        <f>IF($F472="","",'הזנה לתנאי סף'!E472)</f>
        <v/>
      </c>
      <c r="E472" s="55" t="str">
        <f>IF($F472="","",'הזנה לתנאי סף'!F472)</f>
        <v/>
      </c>
      <c r="F472" s="55" t="str">
        <f>IF('הזנה לתנאי סף'!BL472=1,'הזנה לתנאי סף'!G472,"")</f>
        <v/>
      </c>
      <c r="G472" s="55" t="str">
        <f>IF($F472="","",'הזנה לתנאי סף'!H472)</f>
        <v/>
      </c>
      <c r="H472" s="55" t="str">
        <f>IF($F472="","",'הזנה לתנאי סף'!I472)</f>
        <v/>
      </c>
      <c r="I472" s="187" t="str">
        <f>IF($F472="","",'הזנה לתנאי סף'!R472)</f>
        <v/>
      </c>
      <c r="J472" s="187" t="str">
        <f>IF($F472="","",'תחום תמיכה א'!P472)</f>
        <v/>
      </c>
      <c r="K472" s="177" t="str">
        <f>IF($F472="","",'הזנה לתנאי סף'!N472)</f>
        <v/>
      </c>
      <c r="L472" s="177" t="str">
        <f>IF($F472="","",'הזנה לתנאי סף'!O472)</f>
        <v/>
      </c>
      <c r="M472" s="177" t="str">
        <f>IF($F472="","",'הזנה לתנאי סף'!Q472)</f>
        <v/>
      </c>
      <c r="N472" s="187" t="str">
        <f>IF($F472="","",'תחום תמיכה א'!AE472)</f>
        <v/>
      </c>
      <c r="O472" s="178"/>
      <c r="P472" s="187" t="str">
        <f>IF($F472="","",'תחום תמיכה ב'!AC472)</f>
        <v/>
      </c>
      <c r="Q472" s="187" t="str">
        <f>IF($F472="","",IF('תחום תמיכה ג'!O472="",0,'תחום תמיכה ג'!O472))</f>
        <v/>
      </c>
      <c r="R472" s="187" t="str">
        <f t="shared" si="28"/>
        <v/>
      </c>
      <c r="S472" s="187" t="str">
        <f>IF($F472="","",'תחום תמיכה ב'!AE472)</f>
        <v/>
      </c>
      <c r="T472" s="187" t="str">
        <f>IF($F472="","",IF(Q472='תחום תמיכה ג'!$Q$2,'תחום תמיכה ג'!$Q$2,IFERROR(SUMIF(N472:R472,"&gt;0"),'תחום תמיכה ג'!$Q$2)))</f>
        <v/>
      </c>
      <c r="U472" s="187" t="str">
        <f>IF($F472="","",'הזנה לתנאי סף'!Y472)</f>
        <v/>
      </c>
      <c r="V472" s="269" t="str">
        <f>IF(F472="","",'הגבלה לסכום מבוקש '!AA472)</f>
        <v/>
      </c>
      <c r="W472" s="187" t="str">
        <f t="shared" si="26"/>
        <v/>
      </c>
      <c r="X472" s="187" t="str">
        <f>IF(F472="","",'הזנה לתנאי סף'!Z472)</f>
        <v/>
      </c>
      <c r="Y472" s="237" t="str">
        <f>IFERROR(VLOOKUP(G472*1,#REF!,3,0),"")</f>
        <v/>
      </c>
      <c r="Z472" s="187" t="str">
        <f>IF(OR($F472="",Y472=""),"",IFERROR(IF(Y472&gt;V472,MIN(Y472,T472)-V472,0),'תחום תמיכה ג'!$Q$2))</f>
        <v/>
      </c>
      <c r="AA472" s="259"/>
      <c r="AB472" s="260" t="str">
        <f t="shared" si="29"/>
        <v/>
      </c>
      <c r="AC472" s="262"/>
      <c r="AD472" s="180"/>
      <c r="AE472" s="13" t="str">
        <f>IF($C472="","",IFERROR(VLOOKUP($C472,גיליון1!$A:$E,2,0),"לא הגיש בקשה שוטפת"))</f>
        <v/>
      </c>
      <c r="AF472" s="13" t="str">
        <f>IF($C472="","",IFERROR(VLOOKUP($C472,גיליון1!$A:$E,3,0),"לא הגיש בקשה שוטפת"))</f>
        <v/>
      </c>
      <c r="AG472" s="13" t="str">
        <f>IF($C472="","",IFERROR(VLOOKUP($C472,גיליון1!$A:$E,4,0),"לא הגיש בקשה שוטפת"))</f>
        <v/>
      </c>
      <c r="AH472" s="13" t="str">
        <f>IF($C472="","",IFERROR(VLOOKUP($C472,גיליון1!$A:$E,5,0),"לא הגיש בקשה שוטפת"))</f>
        <v/>
      </c>
      <c r="AI472" s="13">
        <f t="shared" si="27"/>
        <v>0</v>
      </c>
      <c r="AK472" s="174" t="s">
        <v>250</v>
      </c>
    </row>
    <row r="473" spans="1:37" s="174" customFormat="1" x14ac:dyDescent="0.25">
      <c r="A473" s="54" t="str">
        <f>'הזנה לתנאי סף'!B473</f>
        <v/>
      </c>
      <c r="B473" s="266" t="str">
        <f>IF($F473="","",'הזנה לתנאי סף'!C473)</f>
        <v/>
      </c>
      <c r="C473" s="266" t="str">
        <f>IF($F473="","",'הזנה לתנאי סף'!D473)</f>
        <v/>
      </c>
      <c r="D473" s="266" t="str">
        <f>IF($F473="","",'הזנה לתנאי סף'!E473)</f>
        <v/>
      </c>
      <c r="E473" s="55" t="str">
        <f>IF($F473="","",'הזנה לתנאי סף'!F473)</f>
        <v/>
      </c>
      <c r="F473" s="55" t="str">
        <f>IF('הזנה לתנאי סף'!BL473=1,'הזנה לתנאי סף'!G473,"")</f>
        <v/>
      </c>
      <c r="G473" s="55" t="str">
        <f>IF($F473="","",'הזנה לתנאי סף'!H473)</f>
        <v/>
      </c>
      <c r="H473" s="55" t="str">
        <f>IF($F473="","",'הזנה לתנאי סף'!I473)</f>
        <v/>
      </c>
      <c r="I473" s="187" t="str">
        <f>IF($F473="","",'הזנה לתנאי סף'!R473)</f>
        <v/>
      </c>
      <c r="J473" s="187" t="str">
        <f>IF($F473="","",'תחום תמיכה א'!P473)</f>
        <v/>
      </c>
      <c r="K473" s="177" t="str">
        <f>IF($F473="","",'הזנה לתנאי סף'!N473)</f>
        <v/>
      </c>
      <c r="L473" s="177" t="str">
        <f>IF($F473="","",'הזנה לתנאי סף'!O473)</f>
        <v/>
      </c>
      <c r="M473" s="177" t="str">
        <f>IF($F473="","",'הזנה לתנאי סף'!Q473)</f>
        <v/>
      </c>
      <c r="N473" s="187" t="str">
        <f>IF($F473="","",'תחום תמיכה א'!AE473)</f>
        <v/>
      </c>
      <c r="O473" s="178"/>
      <c r="P473" s="187" t="str">
        <f>IF($F473="","",'תחום תמיכה ב'!AC473)</f>
        <v/>
      </c>
      <c r="Q473" s="187" t="str">
        <f>IF($F473="","",IF('תחום תמיכה ג'!O473="",0,'תחום תמיכה ג'!O473))</f>
        <v/>
      </c>
      <c r="R473" s="187" t="str">
        <f t="shared" si="28"/>
        <v/>
      </c>
      <c r="S473" s="187" t="str">
        <f>IF($F473="","",'תחום תמיכה ב'!AE473)</f>
        <v/>
      </c>
      <c r="T473" s="187" t="str">
        <f>IF($F473="","",IF(Q473='תחום תמיכה ג'!$Q$2,'תחום תמיכה ג'!$Q$2,IFERROR(SUMIF(N473:R473,"&gt;0"),'תחום תמיכה ג'!$Q$2)))</f>
        <v/>
      </c>
      <c r="U473" s="187" t="str">
        <f>IF($F473="","",'הזנה לתנאי סף'!Y473)</f>
        <v/>
      </c>
      <c r="V473" s="269" t="str">
        <f>IF(F473="","",'הגבלה לסכום מבוקש '!AA473)</f>
        <v/>
      </c>
      <c r="W473" s="187" t="str">
        <f t="shared" si="26"/>
        <v/>
      </c>
      <c r="X473" s="187" t="str">
        <f>IF(F473="","",'הזנה לתנאי סף'!Z473)</f>
        <v/>
      </c>
      <c r="Y473" s="237" t="str">
        <f>IFERROR(VLOOKUP(G473*1,#REF!,3,0),"")</f>
        <v/>
      </c>
      <c r="Z473" s="187" t="str">
        <f>IF(OR($F473="",Y473=""),"",IFERROR(IF(Y473&gt;V473,MIN(Y473,T473)-V473,0),'תחום תמיכה ג'!$Q$2))</f>
        <v/>
      </c>
      <c r="AA473" s="259"/>
      <c r="AB473" s="260" t="str">
        <f t="shared" si="29"/>
        <v/>
      </c>
      <c r="AC473" s="262"/>
      <c r="AD473" s="180"/>
      <c r="AE473" s="13" t="str">
        <f>IF($C473="","",IFERROR(VLOOKUP($C473,גיליון1!$A:$E,2,0),"לא הגיש בקשה שוטפת"))</f>
        <v/>
      </c>
      <c r="AF473" s="13" t="str">
        <f>IF($C473="","",IFERROR(VLOOKUP($C473,גיליון1!$A:$E,3,0),"לא הגיש בקשה שוטפת"))</f>
        <v/>
      </c>
      <c r="AG473" s="13" t="str">
        <f>IF($C473="","",IFERROR(VLOOKUP($C473,גיליון1!$A:$E,4,0),"לא הגיש בקשה שוטפת"))</f>
        <v/>
      </c>
      <c r="AH473" s="13" t="str">
        <f>IF($C473="","",IFERROR(VLOOKUP($C473,גיליון1!$A:$E,5,0),"לא הגיש בקשה שוטפת"))</f>
        <v/>
      </c>
      <c r="AI473" s="13">
        <f t="shared" si="27"/>
        <v>0</v>
      </c>
      <c r="AK473" s="174" t="s">
        <v>250</v>
      </c>
    </row>
    <row r="474" spans="1:37" s="174" customFormat="1" x14ac:dyDescent="0.25">
      <c r="A474" s="54" t="str">
        <f>'הזנה לתנאי סף'!B474</f>
        <v/>
      </c>
      <c r="B474" s="266" t="str">
        <f>IF($F474="","",'הזנה לתנאי סף'!C474)</f>
        <v/>
      </c>
      <c r="C474" s="266" t="str">
        <f>IF($F474="","",'הזנה לתנאי סף'!D474)</f>
        <v/>
      </c>
      <c r="D474" s="266" t="str">
        <f>IF($F474="","",'הזנה לתנאי סף'!E474)</f>
        <v/>
      </c>
      <c r="E474" s="55" t="str">
        <f>IF($F474="","",'הזנה לתנאי סף'!F474)</f>
        <v/>
      </c>
      <c r="F474" s="55" t="str">
        <f>IF('הזנה לתנאי סף'!BL474=1,'הזנה לתנאי סף'!G474,"")</f>
        <v/>
      </c>
      <c r="G474" s="55" t="str">
        <f>IF($F474="","",'הזנה לתנאי סף'!H474)</f>
        <v/>
      </c>
      <c r="H474" s="55" t="str">
        <f>IF($F474="","",'הזנה לתנאי סף'!I474)</f>
        <v/>
      </c>
      <c r="I474" s="187" t="str">
        <f>IF($F474="","",'הזנה לתנאי סף'!R474)</f>
        <v/>
      </c>
      <c r="J474" s="187" t="str">
        <f>IF($F474="","",'תחום תמיכה א'!P474)</f>
        <v/>
      </c>
      <c r="K474" s="177" t="str">
        <f>IF($F474="","",'הזנה לתנאי סף'!N474)</f>
        <v/>
      </c>
      <c r="L474" s="177" t="str">
        <f>IF($F474="","",'הזנה לתנאי סף'!O474)</f>
        <v/>
      </c>
      <c r="M474" s="177" t="str">
        <f>IF($F474="","",'הזנה לתנאי סף'!Q474)</f>
        <v/>
      </c>
      <c r="N474" s="187" t="str">
        <f>IF($F474="","",'תחום תמיכה א'!AE474)</f>
        <v/>
      </c>
      <c r="O474" s="178"/>
      <c r="P474" s="187" t="str">
        <f>IF($F474="","",'תחום תמיכה ב'!AC474)</f>
        <v/>
      </c>
      <c r="Q474" s="187" t="str">
        <f>IF($F474="","",IF('תחום תמיכה ג'!O474="",0,'תחום תמיכה ג'!O474))</f>
        <v/>
      </c>
      <c r="R474" s="187" t="str">
        <f t="shared" si="28"/>
        <v/>
      </c>
      <c r="S474" s="187" t="str">
        <f>IF($F474="","",'תחום תמיכה ב'!AE474)</f>
        <v/>
      </c>
      <c r="T474" s="187" t="str">
        <f>IF($F474="","",IF(Q474='תחום תמיכה ג'!$Q$2,'תחום תמיכה ג'!$Q$2,IFERROR(SUMIF(N474:R474,"&gt;0"),'תחום תמיכה ג'!$Q$2)))</f>
        <v/>
      </c>
      <c r="U474" s="187" t="str">
        <f>IF($F474="","",'הזנה לתנאי סף'!Y474)</f>
        <v/>
      </c>
      <c r="V474" s="269" t="str">
        <f>IF(F474="","",'הגבלה לסכום מבוקש '!AA474)</f>
        <v/>
      </c>
      <c r="W474" s="187" t="str">
        <f t="shared" si="26"/>
        <v/>
      </c>
      <c r="X474" s="187" t="str">
        <f>IF(F474="","",'הזנה לתנאי סף'!Z474)</f>
        <v/>
      </c>
      <c r="Y474" s="237" t="str">
        <f>IFERROR(VLOOKUP(G474*1,#REF!,3,0),"")</f>
        <v/>
      </c>
      <c r="Z474" s="187" t="str">
        <f>IF(OR($F474="",Y474=""),"",IFERROR(IF(Y474&gt;V474,MIN(Y474,T474)-V474,0),'תחום תמיכה ג'!$Q$2))</f>
        <v/>
      </c>
      <c r="AA474" s="259"/>
      <c r="AB474" s="260" t="str">
        <f t="shared" si="29"/>
        <v/>
      </c>
      <c r="AC474" s="262"/>
      <c r="AD474" s="180"/>
      <c r="AE474" s="13" t="str">
        <f>IF($C474="","",IFERROR(VLOOKUP($C474,גיליון1!$A:$E,2,0),"לא הגיש בקשה שוטפת"))</f>
        <v/>
      </c>
      <c r="AF474" s="13" t="str">
        <f>IF($C474="","",IFERROR(VLOOKUP($C474,גיליון1!$A:$E,3,0),"לא הגיש בקשה שוטפת"))</f>
        <v/>
      </c>
      <c r="AG474" s="13" t="str">
        <f>IF($C474="","",IFERROR(VLOOKUP($C474,גיליון1!$A:$E,4,0),"לא הגיש בקשה שוטפת"))</f>
        <v/>
      </c>
      <c r="AH474" s="13" t="str">
        <f>IF($C474="","",IFERROR(VLOOKUP($C474,גיליון1!$A:$E,5,0),"לא הגיש בקשה שוטפת"))</f>
        <v/>
      </c>
      <c r="AI474" s="13">
        <f t="shared" si="27"/>
        <v>0</v>
      </c>
      <c r="AK474" s="174" t="s">
        <v>250</v>
      </c>
    </row>
    <row r="475" spans="1:37" s="174" customFormat="1" x14ac:dyDescent="0.25">
      <c r="A475" s="54" t="str">
        <f>'הזנה לתנאי סף'!B475</f>
        <v/>
      </c>
      <c r="B475" s="266" t="str">
        <f>IF($F475="","",'הזנה לתנאי סף'!C475)</f>
        <v/>
      </c>
      <c r="C475" s="266" t="str">
        <f>IF($F475="","",'הזנה לתנאי סף'!D475)</f>
        <v/>
      </c>
      <c r="D475" s="266" t="str">
        <f>IF($F475="","",'הזנה לתנאי סף'!E475)</f>
        <v/>
      </c>
      <c r="E475" s="55" t="str">
        <f>IF($F475="","",'הזנה לתנאי סף'!F475)</f>
        <v/>
      </c>
      <c r="F475" s="55" t="str">
        <f>IF('הזנה לתנאי סף'!BL475=1,'הזנה לתנאי סף'!G475,"")</f>
        <v/>
      </c>
      <c r="G475" s="55" t="str">
        <f>IF($F475="","",'הזנה לתנאי סף'!H475)</f>
        <v/>
      </c>
      <c r="H475" s="55" t="str">
        <f>IF($F475="","",'הזנה לתנאי סף'!I475)</f>
        <v/>
      </c>
      <c r="I475" s="187" t="str">
        <f>IF($F475="","",'הזנה לתנאי סף'!R475)</f>
        <v/>
      </c>
      <c r="J475" s="187" t="str">
        <f>IF($F475="","",'תחום תמיכה א'!P475)</f>
        <v/>
      </c>
      <c r="K475" s="177" t="str">
        <f>IF($F475="","",'הזנה לתנאי סף'!N475)</f>
        <v/>
      </c>
      <c r="L475" s="177" t="str">
        <f>IF($F475="","",'הזנה לתנאי סף'!O475)</f>
        <v/>
      </c>
      <c r="M475" s="177" t="str">
        <f>IF($F475="","",'הזנה לתנאי סף'!Q475)</f>
        <v/>
      </c>
      <c r="N475" s="187" t="str">
        <f>IF($F475="","",'תחום תמיכה א'!AE475)</f>
        <v/>
      </c>
      <c r="O475" s="178"/>
      <c r="P475" s="187" t="str">
        <f>IF($F475="","",'תחום תמיכה ב'!AC475)</f>
        <v/>
      </c>
      <c r="Q475" s="187" t="str">
        <f>IF($F475="","",IF('תחום תמיכה ג'!O475="",0,'תחום תמיכה ג'!O475))</f>
        <v/>
      </c>
      <c r="R475" s="187" t="str">
        <f t="shared" si="28"/>
        <v/>
      </c>
      <c r="S475" s="187" t="str">
        <f>IF($F475="","",'תחום תמיכה ב'!AE475)</f>
        <v/>
      </c>
      <c r="T475" s="187" t="str">
        <f>IF($F475="","",IF(Q475='תחום תמיכה ג'!$Q$2,'תחום תמיכה ג'!$Q$2,IFERROR(SUMIF(N475:R475,"&gt;0"),'תחום תמיכה ג'!$Q$2)))</f>
        <v/>
      </c>
      <c r="U475" s="187" t="str">
        <f>IF($F475="","",'הזנה לתנאי סף'!Y475)</f>
        <v/>
      </c>
      <c r="V475" s="269" t="str">
        <f>IF(F475="","",'הגבלה לסכום מבוקש '!AA475)</f>
        <v/>
      </c>
      <c r="W475" s="187" t="str">
        <f t="shared" si="26"/>
        <v/>
      </c>
      <c r="X475" s="187" t="str">
        <f>IF(F475="","",'הזנה לתנאי סף'!Z475)</f>
        <v/>
      </c>
      <c r="Y475" s="237" t="str">
        <f>IFERROR(VLOOKUP(G475*1,#REF!,3,0),"")</f>
        <v/>
      </c>
      <c r="Z475" s="187" t="str">
        <f>IF(OR($F475="",Y475=""),"",IFERROR(IF(Y475&gt;V475,MIN(Y475,T475)-V475,0),'תחום תמיכה ג'!$Q$2))</f>
        <v/>
      </c>
      <c r="AA475" s="259"/>
      <c r="AB475" s="260" t="str">
        <f t="shared" si="29"/>
        <v/>
      </c>
      <c r="AC475" s="262"/>
      <c r="AD475" s="180"/>
      <c r="AE475" s="13" t="str">
        <f>IF($C475="","",IFERROR(VLOOKUP($C475,גיליון1!$A:$E,2,0),"לא הגיש בקשה שוטפת"))</f>
        <v/>
      </c>
      <c r="AF475" s="13" t="str">
        <f>IF($C475="","",IFERROR(VLOOKUP($C475,גיליון1!$A:$E,3,0),"לא הגיש בקשה שוטפת"))</f>
        <v/>
      </c>
      <c r="AG475" s="13" t="str">
        <f>IF($C475="","",IFERROR(VLOOKUP($C475,גיליון1!$A:$E,4,0),"לא הגיש בקשה שוטפת"))</f>
        <v/>
      </c>
      <c r="AH475" s="13" t="str">
        <f>IF($C475="","",IFERROR(VLOOKUP($C475,גיליון1!$A:$E,5,0),"לא הגיש בקשה שוטפת"))</f>
        <v/>
      </c>
      <c r="AI475" s="13">
        <f t="shared" si="27"/>
        <v>0</v>
      </c>
      <c r="AK475" s="174" t="s">
        <v>250</v>
      </c>
    </row>
    <row r="476" spans="1:37" s="174" customFormat="1" x14ac:dyDescent="0.25">
      <c r="A476" s="54" t="str">
        <f>'הזנה לתנאי סף'!B476</f>
        <v/>
      </c>
      <c r="B476" s="266" t="str">
        <f>IF($F476="","",'הזנה לתנאי סף'!C476)</f>
        <v/>
      </c>
      <c r="C476" s="266" t="str">
        <f>IF($F476="","",'הזנה לתנאי סף'!D476)</f>
        <v/>
      </c>
      <c r="D476" s="266" t="str">
        <f>IF($F476="","",'הזנה לתנאי סף'!E476)</f>
        <v/>
      </c>
      <c r="E476" s="55" t="str">
        <f>IF($F476="","",'הזנה לתנאי סף'!F476)</f>
        <v/>
      </c>
      <c r="F476" s="55" t="str">
        <f>IF('הזנה לתנאי סף'!BL476=1,'הזנה לתנאי סף'!G476,"")</f>
        <v/>
      </c>
      <c r="G476" s="55" t="str">
        <f>IF($F476="","",'הזנה לתנאי סף'!H476)</f>
        <v/>
      </c>
      <c r="H476" s="55" t="str">
        <f>IF($F476="","",'הזנה לתנאי סף'!I476)</f>
        <v/>
      </c>
      <c r="I476" s="187" t="str">
        <f>IF($F476="","",'הזנה לתנאי סף'!R476)</f>
        <v/>
      </c>
      <c r="J476" s="187" t="str">
        <f>IF($F476="","",'תחום תמיכה א'!P476)</f>
        <v/>
      </c>
      <c r="K476" s="177" t="str">
        <f>IF($F476="","",'הזנה לתנאי סף'!N476)</f>
        <v/>
      </c>
      <c r="L476" s="177" t="str">
        <f>IF($F476="","",'הזנה לתנאי סף'!O476)</f>
        <v/>
      </c>
      <c r="M476" s="177" t="str">
        <f>IF($F476="","",'הזנה לתנאי סף'!Q476)</f>
        <v/>
      </c>
      <c r="N476" s="187" t="str">
        <f>IF($F476="","",'תחום תמיכה א'!AE476)</f>
        <v/>
      </c>
      <c r="O476" s="178"/>
      <c r="P476" s="187" t="str">
        <f>IF($F476="","",'תחום תמיכה ב'!AC476)</f>
        <v/>
      </c>
      <c r="Q476" s="187" t="str">
        <f>IF($F476="","",IF('תחום תמיכה ג'!O476="",0,'תחום תמיכה ג'!O476))</f>
        <v/>
      </c>
      <c r="R476" s="187" t="str">
        <f t="shared" si="28"/>
        <v/>
      </c>
      <c r="S476" s="187" t="str">
        <f>IF($F476="","",'תחום תמיכה ב'!AE476)</f>
        <v/>
      </c>
      <c r="T476" s="187" t="str">
        <f>IF($F476="","",IF(Q476='תחום תמיכה ג'!$Q$2,'תחום תמיכה ג'!$Q$2,IFERROR(SUMIF(N476:R476,"&gt;0"),'תחום תמיכה ג'!$Q$2)))</f>
        <v/>
      </c>
      <c r="U476" s="187" t="str">
        <f>IF($F476="","",'הזנה לתנאי סף'!Y476)</f>
        <v/>
      </c>
      <c r="V476" s="269" t="str">
        <f>IF(F476="","",'הגבלה לסכום מבוקש '!AA476)</f>
        <v/>
      </c>
      <c r="W476" s="187" t="str">
        <f t="shared" si="26"/>
        <v/>
      </c>
      <c r="X476" s="187" t="str">
        <f>IF(F476="","",'הזנה לתנאי סף'!Z476)</f>
        <v/>
      </c>
      <c r="Y476" s="237" t="str">
        <f>IFERROR(VLOOKUP(G476*1,#REF!,3,0),"")</f>
        <v/>
      </c>
      <c r="Z476" s="187" t="str">
        <f>IF(OR($F476="",Y476=""),"",IFERROR(IF(Y476&gt;V476,MIN(Y476,T476)-V476,0),'תחום תמיכה ג'!$Q$2))</f>
        <v/>
      </c>
      <c r="AA476" s="259"/>
      <c r="AB476" s="260" t="str">
        <f t="shared" si="29"/>
        <v/>
      </c>
      <c r="AC476" s="262"/>
      <c r="AD476" s="180"/>
      <c r="AE476" s="13" t="str">
        <f>IF($C476="","",IFERROR(VLOOKUP($C476,גיליון1!$A:$E,2,0),"לא הגיש בקשה שוטפת"))</f>
        <v/>
      </c>
      <c r="AF476" s="13" t="str">
        <f>IF($C476="","",IFERROR(VLOOKUP($C476,גיליון1!$A:$E,3,0),"לא הגיש בקשה שוטפת"))</f>
        <v/>
      </c>
      <c r="AG476" s="13" t="str">
        <f>IF($C476="","",IFERROR(VLOOKUP($C476,גיליון1!$A:$E,4,0),"לא הגיש בקשה שוטפת"))</f>
        <v/>
      </c>
      <c r="AH476" s="13" t="str">
        <f>IF($C476="","",IFERROR(VLOOKUP($C476,גיליון1!$A:$E,5,0),"לא הגיש בקשה שוטפת"))</f>
        <v/>
      </c>
      <c r="AI476" s="13">
        <f t="shared" si="27"/>
        <v>0</v>
      </c>
      <c r="AK476" s="174" t="s">
        <v>250</v>
      </c>
    </row>
    <row r="477" spans="1:37" s="174" customFormat="1" x14ac:dyDescent="0.25">
      <c r="A477" s="54" t="str">
        <f>'הזנה לתנאי סף'!B477</f>
        <v/>
      </c>
      <c r="B477" s="266" t="str">
        <f>IF($F477="","",'הזנה לתנאי סף'!C477)</f>
        <v/>
      </c>
      <c r="C477" s="266" t="str">
        <f>IF($F477="","",'הזנה לתנאי סף'!D477)</f>
        <v/>
      </c>
      <c r="D477" s="266" t="str">
        <f>IF($F477="","",'הזנה לתנאי סף'!E477)</f>
        <v/>
      </c>
      <c r="E477" s="55" t="str">
        <f>IF($F477="","",'הזנה לתנאי סף'!F477)</f>
        <v/>
      </c>
      <c r="F477" s="55" t="str">
        <f>IF('הזנה לתנאי סף'!BL477=1,'הזנה לתנאי סף'!G477,"")</f>
        <v/>
      </c>
      <c r="G477" s="55" t="str">
        <f>IF($F477="","",'הזנה לתנאי סף'!H477)</f>
        <v/>
      </c>
      <c r="H477" s="55" t="str">
        <f>IF($F477="","",'הזנה לתנאי סף'!I477)</f>
        <v/>
      </c>
      <c r="I477" s="187" t="str">
        <f>IF($F477="","",'הזנה לתנאי סף'!R477)</f>
        <v/>
      </c>
      <c r="J477" s="187" t="str">
        <f>IF($F477="","",'תחום תמיכה א'!P477)</f>
        <v/>
      </c>
      <c r="K477" s="177" t="str">
        <f>IF($F477="","",'הזנה לתנאי סף'!N477)</f>
        <v/>
      </c>
      <c r="L477" s="177" t="str">
        <f>IF($F477="","",'הזנה לתנאי סף'!O477)</f>
        <v/>
      </c>
      <c r="M477" s="177" t="str">
        <f>IF($F477="","",'הזנה לתנאי סף'!Q477)</f>
        <v/>
      </c>
      <c r="N477" s="187" t="str">
        <f>IF($F477="","",'תחום תמיכה א'!AE477)</f>
        <v/>
      </c>
      <c r="O477" s="178"/>
      <c r="P477" s="187" t="str">
        <f>IF($F477="","",'תחום תמיכה ב'!AC477)</f>
        <v/>
      </c>
      <c r="Q477" s="187" t="str">
        <f>IF($F477="","",IF('תחום תמיכה ג'!O477="",0,'תחום תמיכה ג'!O477))</f>
        <v/>
      </c>
      <c r="R477" s="187" t="str">
        <f t="shared" si="28"/>
        <v/>
      </c>
      <c r="S477" s="187" t="str">
        <f>IF($F477="","",'תחום תמיכה ב'!AE477)</f>
        <v/>
      </c>
      <c r="T477" s="187" t="str">
        <f>IF($F477="","",IF(Q477='תחום תמיכה ג'!$Q$2,'תחום תמיכה ג'!$Q$2,IFERROR(SUMIF(N477:R477,"&gt;0"),'תחום תמיכה ג'!$Q$2)))</f>
        <v/>
      </c>
      <c r="U477" s="187" t="str">
        <f>IF($F477="","",'הזנה לתנאי סף'!Y477)</f>
        <v/>
      </c>
      <c r="V477" s="269" t="str">
        <f>IF(F477="","",'הגבלה לסכום מבוקש '!AA477)</f>
        <v/>
      </c>
      <c r="W477" s="187" t="str">
        <f t="shared" si="26"/>
        <v/>
      </c>
      <c r="X477" s="187" t="str">
        <f>IF(F477="","",'הזנה לתנאי סף'!Z477)</f>
        <v/>
      </c>
      <c r="Y477" s="237" t="str">
        <f>IFERROR(VLOOKUP(G477*1,#REF!,3,0),"")</f>
        <v/>
      </c>
      <c r="Z477" s="187" t="str">
        <f>IF(OR($F477="",Y477=""),"",IFERROR(IF(Y477&gt;V477,MIN(Y477,T477)-V477,0),'תחום תמיכה ג'!$Q$2))</f>
        <v/>
      </c>
      <c r="AA477" s="259"/>
      <c r="AB477" s="260" t="str">
        <f t="shared" si="29"/>
        <v/>
      </c>
      <c r="AC477" s="262"/>
      <c r="AD477" s="180"/>
      <c r="AE477" s="13" t="str">
        <f>IF($C477="","",IFERROR(VLOOKUP($C477,גיליון1!$A:$E,2,0),"לא הגיש בקשה שוטפת"))</f>
        <v/>
      </c>
      <c r="AF477" s="13" t="str">
        <f>IF($C477="","",IFERROR(VLOOKUP($C477,גיליון1!$A:$E,3,0),"לא הגיש בקשה שוטפת"))</f>
        <v/>
      </c>
      <c r="AG477" s="13" t="str">
        <f>IF($C477="","",IFERROR(VLOOKUP($C477,גיליון1!$A:$E,4,0),"לא הגיש בקשה שוטפת"))</f>
        <v/>
      </c>
      <c r="AH477" s="13" t="str">
        <f>IF($C477="","",IFERROR(VLOOKUP($C477,גיליון1!$A:$E,5,0),"לא הגיש בקשה שוטפת"))</f>
        <v/>
      </c>
      <c r="AI477" s="13">
        <f t="shared" si="27"/>
        <v>0</v>
      </c>
      <c r="AK477" s="174" t="s">
        <v>250</v>
      </c>
    </row>
    <row r="478" spans="1:37" s="174" customFormat="1" x14ac:dyDescent="0.25">
      <c r="A478" s="54" t="str">
        <f>'הזנה לתנאי סף'!B478</f>
        <v/>
      </c>
      <c r="B478" s="266" t="str">
        <f>IF($F478="","",'הזנה לתנאי סף'!C478)</f>
        <v/>
      </c>
      <c r="C478" s="266" t="str">
        <f>IF($F478="","",'הזנה לתנאי סף'!D478)</f>
        <v/>
      </c>
      <c r="D478" s="266" t="str">
        <f>IF($F478="","",'הזנה לתנאי סף'!E478)</f>
        <v/>
      </c>
      <c r="E478" s="55" t="str">
        <f>IF($F478="","",'הזנה לתנאי סף'!F478)</f>
        <v/>
      </c>
      <c r="F478" s="55" t="str">
        <f>IF('הזנה לתנאי סף'!BL478=1,'הזנה לתנאי סף'!G478,"")</f>
        <v/>
      </c>
      <c r="G478" s="55" t="str">
        <f>IF($F478="","",'הזנה לתנאי סף'!H478)</f>
        <v/>
      </c>
      <c r="H478" s="55" t="str">
        <f>IF($F478="","",'הזנה לתנאי סף'!I478)</f>
        <v/>
      </c>
      <c r="I478" s="187" t="str">
        <f>IF($F478="","",'הזנה לתנאי סף'!R478)</f>
        <v/>
      </c>
      <c r="J478" s="187" t="str">
        <f>IF($F478="","",'תחום תמיכה א'!P478)</f>
        <v/>
      </c>
      <c r="K478" s="177" t="str">
        <f>IF($F478="","",'הזנה לתנאי סף'!N478)</f>
        <v/>
      </c>
      <c r="L478" s="177" t="str">
        <f>IF($F478="","",'הזנה לתנאי סף'!O478)</f>
        <v/>
      </c>
      <c r="M478" s="177" t="str">
        <f>IF($F478="","",'הזנה לתנאי סף'!Q478)</f>
        <v/>
      </c>
      <c r="N478" s="187" t="str">
        <f>IF($F478="","",'תחום תמיכה א'!AE478)</f>
        <v/>
      </c>
      <c r="O478" s="178"/>
      <c r="P478" s="187" t="str">
        <f>IF($F478="","",'תחום תמיכה ב'!AC478)</f>
        <v/>
      </c>
      <c r="Q478" s="187" t="str">
        <f>IF($F478="","",IF('תחום תמיכה ג'!O478="",0,'תחום תמיכה ג'!O478))</f>
        <v/>
      </c>
      <c r="R478" s="187" t="str">
        <f t="shared" si="28"/>
        <v/>
      </c>
      <c r="S478" s="187" t="str">
        <f>IF($F478="","",'תחום תמיכה ב'!AE478)</f>
        <v/>
      </c>
      <c r="T478" s="187" t="str">
        <f>IF($F478="","",IF(Q478='תחום תמיכה ג'!$Q$2,'תחום תמיכה ג'!$Q$2,IFERROR(SUMIF(N478:R478,"&gt;0"),'תחום תמיכה ג'!$Q$2)))</f>
        <v/>
      </c>
      <c r="U478" s="187" t="str">
        <f>IF($F478="","",'הזנה לתנאי סף'!Y478)</f>
        <v/>
      </c>
      <c r="V478" s="269" t="str">
        <f>IF(F478="","",'הגבלה לסכום מבוקש '!AA478)</f>
        <v/>
      </c>
      <c r="W478" s="187" t="str">
        <f t="shared" si="26"/>
        <v/>
      </c>
      <c r="X478" s="187" t="str">
        <f>IF(F478="","",'הזנה לתנאי סף'!Z478)</f>
        <v/>
      </c>
      <c r="Y478" s="237" t="str">
        <f>IFERROR(VLOOKUP(G478*1,#REF!,3,0),"")</f>
        <v/>
      </c>
      <c r="Z478" s="187" t="str">
        <f>IF(OR($F478="",Y478=""),"",IFERROR(IF(Y478&gt;V478,MIN(Y478,T478)-V478,0),'תחום תמיכה ג'!$Q$2))</f>
        <v/>
      </c>
      <c r="AA478" s="259"/>
      <c r="AB478" s="260" t="str">
        <f t="shared" si="29"/>
        <v/>
      </c>
      <c r="AC478" s="262"/>
      <c r="AD478" s="180"/>
      <c r="AE478" s="13" t="str">
        <f>IF($C478="","",IFERROR(VLOOKUP($C478,גיליון1!$A:$E,2,0),"לא הגיש בקשה שוטפת"))</f>
        <v/>
      </c>
      <c r="AF478" s="13" t="str">
        <f>IF($C478="","",IFERROR(VLOOKUP($C478,גיליון1!$A:$E,3,0),"לא הגיש בקשה שוטפת"))</f>
        <v/>
      </c>
      <c r="AG478" s="13" t="str">
        <f>IF($C478="","",IFERROR(VLOOKUP($C478,גיליון1!$A:$E,4,0),"לא הגיש בקשה שוטפת"))</f>
        <v/>
      </c>
      <c r="AH478" s="13" t="str">
        <f>IF($C478="","",IFERROR(VLOOKUP($C478,גיליון1!$A:$E,5,0),"לא הגיש בקשה שוטפת"))</f>
        <v/>
      </c>
      <c r="AI478" s="13">
        <f t="shared" si="27"/>
        <v>0</v>
      </c>
      <c r="AK478" s="174" t="s">
        <v>250</v>
      </c>
    </row>
    <row r="479" spans="1:37" s="174" customFormat="1" x14ac:dyDescent="0.25">
      <c r="A479" s="54" t="str">
        <f>'הזנה לתנאי סף'!B479</f>
        <v/>
      </c>
      <c r="B479" s="266" t="str">
        <f>IF($F479="","",'הזנה לתנאי סף'!C479)</f>
        <v/>
      </c>
      <c r="C479" s="266" t="str">
        <f>IF($F479="","",'הזנה לתנאי סף'!D479)</f>
        <v/>
      </c>
      <c r="D479" s="266" t="str">
        <f>IF($F479="","",'הזנה לתנאי סף'!E479)</f>
        <v/>
      </c>
      <c r="E479" s="55" t="str">
        <f>IF($F479="","",'הזנה לתנאי סף'!F479)</f>
        <v/>
      </c>
      <c r="F479" s="55" t="str">
        <f>IF('הזנה לתנאי סף'!BL479=1,'הזנה לתנאי סף'!G479,"")</f>
        <v/>
      </c>
      <c r="G479" s="55" t="str">
        <f>IF($F479="","",'הזנה לתנאי סף'!H479)</f>
        <v/>
      </c>
      <c r="H479" s="55" t="str">
        <f>IF($F479="","",'הזנה לתנאי סף'!I479)</f>
        <v/>
      </c>
      <c r="I479" s="187" t="str">
        <f>IF($F479="","",'הזנה לתנאי סף'!R479)</f>
        <v/>
      </c>
      <c r="J479" s="187" t="str">
        <f>IF($F479="","",'תחום תמיכה א'!P479)</f>
        <v/>
      </c>
      <c r="K479" s="177" t="str">
        <f>IF($F479="","",'הזנה לתנאי סף'!N479)</f>
        <v/>
      </c>
      <c r="L479" s="177" t="str">
        <f>IF($F479="","",'הזנה לתנאי סף'!O479)</f>
        <v/>
      </c>
      <c r="M479" s="177" t="str">
        <f>IF($F479="","",'הזנה לתנאי סף'!Q479)</f>
        <v/>
      </c>
      <c r="N479" s="187" t="str">
        <f>IF($F479="","",'תחום תמיכה א'!AE479)</f>
        <v/>
      </c>
      <c r="O479" s="178"/>
      <c r="P479" s="187" t="str">
        <f>IF($F479="","",'תחום תמיכה ב'!AC479)</f>
        <v/>
      </c>
      <c r="Q479" s="187" t="str">
        <f>IF($F479="","",IF('תחום תמיכה ג'!O479="",0,'תחום תמיכה ג'!O479))</f>
        <v/>
      </c>
      <c r="R479" s="187" t="str">
        <f t="shared" si="28"/>
        <v/>
      </c>
      <c r="S479" s="187" t="str">
        <f>IF($F479="","",'תחום תמיכה ב'!AE479)</f>
        <v/>
      </c>
      <c r="T479" s="187" t="str">
        <f>IF($F479="","",IF(Q479='תחום תמיכה ג'!$Q$2,'תחום תמיכה ג'!$Q$2,IFERROR(SUMIF(N479:R479,"&gt;0"),'תחום תמיכה ג'!$Q$2)))</f>
        <v/>
      </c>
      <c r="U479" s="187" t="str">
        <f>IF($F479="","",'הזנה לתנאי סף'!Y479)</f>
        <v/>
      </c>
      <c r="V479" s="269" t="str">
        <f>IF(F479="","",'הגבלה לסכום מבוקש '!AA479)</f>
        <v/>
      </c>
      <c r="W479" s="187" t="str">
        <f t="shared" si="26"/>
        <v/>
      </c>
      <c r="X479" s="187" t="str">
        <f>IF(F479="","",'הזנה לתנאי סף'!Z479)</f>
        <v/>
      </c>
      <c r="Y479" s="237" t="str">
        <f>IFERROR(VLOOKUP(G479*1,#REF!,3,0),"")</f>
        <v/>
      </c>
      <c r="Z479" s="187" t="str">
        <f>IF(OR($F479="",Y479=""),"",IFERROR(IF(Y479&gt;V479,MIN(Y479,T479)-V479,0),'תחום תמיכה ג'!$Q$2))</f>
        <v/>
      </c>
      <c r="AA479" s="259"/>
      <c r="AB479" s="260" t="str">
        <f t="shared" si="29"/>
        <v/>
      </c>
      <c r="AC479" s="262"/>
      <c r="AD479" s="180"/>
      <c r="AE479" s="13" t="str">
        <f>IF($C479="","",IFERROR(VLOOKUP($C479,גיליון1!$A:$E,2,0),"לא הגיש בקשה שוטפת"))</f>
        <v/>
      </c>
      <c r="AF479" s="13" t="str">
        <f>IF($C479="","",IFERROR(VLOOKUP($C479,גיליון1!$A:$E,3,0),"לא הגיש בקשה שוטפת"))</f>
        <v/>
      </c>
      <c r="AG479" s="13" t="str">
        <f>IF($C479="","",IFERROR(VLOOKUP($C479,גיליון1!$A:$E,4,0),"לא הגיש בקשה שוטפת"))</f>
        <v/>
      </c>
      <c r="AH479" s="13" t="str">
        <f>IF($C479="","",IFERROR(VLOOKUP($C479,גיליון1!$A:$E,5,0),"לא הגיש בקשה שוטפת"))</f>
        <v/>
      </c>
      <c r="AI479" s="13">
        <f t="shared" si="27"/>
        <v>0</v>
      </c>
      <c r="AK479" s="174" t="s">
        <v>250</v>
      </c>
    </row>
    <row r="480" spans="1:37" s="174" customFormat="1" x14ac:dyDescent="0.25">
      <c r="A480" s="54" t="str">
        <f>'הזנה לתנאי סף'!B480</f>
        <v/>
      </c>
      <c r="B480" s="266" t="str">
        <f>IF($F480="","",'הזנה לתנאי סף'!C480)</f>
        <v/>
      </c>
      <c r="C480" s="266" t="str">
        <f>IF($F480="","",'הזנה לתנאי סף'!D480)</f>
        <v/>
      </c>
      <c r="D480" s="266" t="str">
        <f>IF($F480="","",'הזנה לתנאי סף'!E480)</f>
        <v/>
      </c>
      <c r="E480" s="55" t="str">
        <f>IF($F480="","",'הזנה לתנאי סף'!F480)</f>
        <v/>
      </c>
      <c r="F480" s="55" t="str">
        <f>IF('הזנה לתנאי סף'!BL480=1,'הזנה לתנאי סף'!G480,"")</f>
        <v/>
      </c>
      <c r="G480" s="55" t="str">
        <f>IF($F480="","",'הזנה לתנאי סף'!H480)</f>
        <v/>
      </c>
      <c r="H480" s="55" t="str">
        <f>IF($F480="","",'הזנה לתנאי סף'!I480)</f>
        <v/>
      </c>
      <c r="I480" s="187" t="str">
        <f>IF($F480="","",'הזנה לתנאי סף'!R480)</f>
        <v/>
      </c>
      <c r="J480" s="187" t="str">
        <f>IF($F480="","",'תחום תמיכה א'!P480)</f>
        <v/>
      </c>
      <c r="K480" s="177" t="str">
        <f>IF($F480="","",'הזנה לתנאי סף'!N480)</f>
        <v/>
      </c>
      <c r="L480" s="177" t="str">
        <f>IF($F480="","",'הזנה לתנאי סף'!O480)</f>
        <v/>
      </c>
      <c r="M480" s="177" t="str">
        <f>IF($F480="","",'הזנה לתנאי סף'!Q480)</f>
        <v/>
      </c>
      <c r="N480" s="187" t="str">
        <f>IF($F480="","",'תחום תמיכה א'!AE480)</f>
        <v/>
      </c>
      <c r="O480" s="178"/>
      <c r="P480" s="187" t="str">
        <f>IF($F480="","",'תחום תמיכה ב'!AC480)</f>
        <v/>
      </c>
      <c r="Q480" s="187" t="str">
        <f>IF($F480="","",IF('תחום תמיכה ג'!O480="",0,'תחום תמיכה ג'!O480))</f>
        <v/>
      </c>
      <c r="R480" s="187" t="str">
        <f t="shared" si="28"/>
        <v/>
      </c>
      <c r="S480" s="187" t="str">
        <f>IF($F480="","",'תחום תמיכה ב'!AE480)</f>
        <v/>
      </c>
      <c r="T480" s="187" t="str">
        <f>IF($F480="","",IF(Q480='תחום תמיכה ג'!$Q$2,'תחום תמיכה ג'!$Q$2,IFERROR(SUMIF(N480:R480,"&gt;0"),'תחום תמיכה ג'!$Q$2)))</f>
        <v/>
      </c>
      <c r="U480" s="187" t="str">
        <f>IF($F480="","",'הזנה לתנאי סף'!Y480)</f>
        <v/>
      </c>
      <c r="V480" s="269" t="str">
        <f>IF(F480="","",'הגבלה לסכום מבוקש '!AA480)</f>
        <v/>
      </c>
      <c r="W480" s="187" t="str">
        <f t="shared" ref="W480:W500" si="30">IF(G480="","",V480/4)</f>
        <v/>
      </c>
      <c r="X480" s="187" t="str">
        <f>IF(F480="","",'הזנה לתנאי סף'!Z480)</f>
        <v/>
      </c>
      <c r="Y480" s="237" t="str">
        <f>IFERROR(VLOOKUP(G480*1,#REF!,3,0),"")</f>
        <v/>
      </c>
      <c r="Z480" s="187" t="str">
        <f>IF(OR($F480="",Y480=""),"",IFERROR(IF(Y480&gt;V480,MIN(Y480,T480)-V480,0),'תחום תמיכה ג'!$Q$2))</f>
        <v/>
      </c>
      <c r="AA480" s="259"/>
      <c r="AB480" s="260" t="str">
        <f t="shared" si="29"/>
        <v/>
      </c>
      <c r="AC480" s="262"/>
      <c r="AD480" s="180"/>
      <c r="AE480" s="13" t="str">
        <f>IF($C480="","",IFERROR(VLOOKUP($C480,גיליון1!$A:$E,2,0),"לא הגיש בקשה שוטפת"))</f>
        <v/>
      </c>
      <c r="AF480" s="13" t="str">
        <f>IF($C480="","",IFERROR(VLOOKUP($C480,גיליון1!$A:$E,3,0),"לא הגיש בקשה שוטפת"))</f>
        <v/>
      </c>
      <c r="AG480" s="13" t="str">
        <f>IF($C480="","",IFERROR(VLOOKUP($C480,גיליון1!$A:$E,4,0),"לא הגיש בקשה שוטפת"))</f>
        <v/>
      </c>
      <c r="AH480" s="13" t="str">
        <f>IF($C480="","",IFERROR(VLOOKUP($C480,גיליון1!$A:$E,5,0),"לא הגיש בקשה שוטפת"))</f>
        <v/>
      </c>
      <c r="AI480" s="13">
        <f t="shared" ref="AI480:AI500" si="31">IF(T480&gt;U480,1,0)</f>
        <v>0</v>
      </c>
      <c r="AK480" s="174" t="s">
        <v>250</v>
      </c>
    </row>
    <row r="481" spans="1:37" s="174" customFormat="1" x14ac:dyDescent="0.25">
      <c r="A481" s="54" t="str">
        <f>'הזנה לתנאי סף'!B481</f>
        <v/>
      </c>
      <c r="B481" s="266" t="str">
        <f>IF($F481="","",'הזנה לתנאי סף'!C481)</f>
        <v/>
      </c>
      <c r="C481" s="266" t="str">
        <f>IF($F481="","",'הזנה לתנאי סף'!D481)</f>
        <v/>
      </c>
      <c r="D481" s="266" t="str">
        <f>IF($F481="","",'הזנה לתנאי סף'!E481)</f>
        <v/>
      </c>
      <c r="E481" s="55" t="str">
        <f>IF($F481="","",'הזנה לתנאי סף'!F481)</f>
        <v/>
      </c>
      <c r="F481" s="55" t="str">
        <f>IF('הזנה לתנאי סף'!BL481=1,'הזנה לתנאי סף'!G481,"")</f>
        <v/>
      </c>
      <c r="G481" s="55" t="str">
        <f>IF($F481="","",'הזנה לתנאי סף'!H481)</f>
        <v/>
      </c>
      <c r="H481" s="55" t="str">
        <f>IF($F481="","",'הזנה לתנאי סף'!I481)</f>
        <v/>
      </c>
      <c r="I481" s="187" t="str">
        <f>IF($F481="","",'הזנה לתנאי סף'!R481)</f>
        <v/>
      </c>
      <c r="J481" s="187" t="str">
        <f>IF($F481="","",'תחום תמיכה א'!P481)</f>
        <v/>
      </c>
      <c r="K481" s="177" t="str">
        <f>IF($F481="","",'הזנה לתנאי סף'!N481)</f>
        <v/>
      </c>
      <c r="L481" s="177" t="str">
        <f>IF($F481="","",'הזנה לתנאי סף'!O481)</f>
        <v/>
      </c>
      <c r="M481" s="177" t="str">
        <f>IF($F481="","",'הזנה לתנאי סף'!Q481)</f>
        <v/>
      </c>
      <c r="N481" s="187" t="str">
        <f>IF($F481="","",'תחום תמיכה א'!AE481)</f>
        <v/>
      </c>
      <c r="O481" s="178"/>
      <c r="P481" s="187" t="str">
        <f>IF($F481="","",'תחום תמיכה ב'!AC481)</f>
        <v/>
      </c>
      <c r="Q481" s="187" t="str">
        <f>IF($F481="","",IF('תחום תמיכה ג'!O481="",0,'תחום תמיכה ג'!O481))</f>
        <v/>
      </c>
      <c r="R481" s="187" t="str">
        <f t="shared" si="28"/>
        <v/>
      </c>
      <c r="S481" s="187" t="str">
        <f>IF($F481="","",'תחום תמיכה ב'!AE481)</f>
        <v/>
      </c>
      <c r="T481" s="187" t="str">
        <f>IF($F481="","",IF(Q481='תחום תמיכה ג'!$Q$2,'תחום תמיכה ג'!$Q$2,IFERROR(SUMIF(N481:R481,"&gt;0"),'תחום תמיכה ג'!$Q$2)))</f>
        <v/>
      </c>
      <c r="U481" s="187" t="str">
        <f>IF($F481="","",'הזנה לתנאי סף'!Y481)</f>
        <v/>
      </c>
      <c r="V481" s="269" t="str">
        <f>IF(F481="","",'הגבלה לסכום מבוקש '!AA481)</f>
        <v/>
      </c>
      <c r="W481" s="187" t="str">
        <f t="shared" si="30"/>
        <v/>
      </c>
      <c r="X481" s="187" t="str">
        <f>IF(F481="","",'הזנה לתנאי סף'!Z481)</f>
        <v/>
      </c>
      <c r="Y481" s="237" t="str">
        <f>IFERROR(VLOOKUP(G481*1,#REF!,3,0),"")</f>
        <v/>
      </c>
      <c r="Z481" s="187" t="str">
        <f>IF(OR($F481="",Y481=""),"",IFERROR(IF(Y481&gt;V481,MIN(Y481,T481)-V481,0),'תחום תמיכה ג'!$Q$2))</f>
        <v/>
      </c>
      <c r="AA481" s="259"/>
      <c r="AB481" s="260" t="str">
        <f t="shared" si="29"/>
        <v/>
      </c>
      <c r="AC481" s="262"/>
      <c r="AD481" s="180"/>
      <c r="AE481" s="13" t="str">
        <f>IF($C481="","",IFERROR(VLOOKUP($C481,גיליון1!$A:$E,2,0),"לא הגיש בקשה שוטפת"))</f>
        <v/>
      </c>
      <c r="AF481" s="13" t="str">
        <f>IF($C481="","",IFERROR(VLOOKUP($C481,גיליון1!$A:$E,3,0),"לא הגיש בקשה שוטפת"))</f>
        <v/>
      </c>
      <c r="AG481" s="13" t="str">
        <f>IF($C481="","",IFERROR(VLOOKUP($C481,גיליון1!$A:$E,4,0),"לא הגיש בקשה שוטפת"))</f>
        <v/>
      </c>
      <c r="AH481" s="13" t="str">
        <f>IF($C481="","",IFERROR(VLOOKUP($C481,גיליון1!$A:$E,5,0),"לא הגיש בקשה שוטפת"))</f>
        <v/>
      </c>
      <c r="AI481" s="13">
        <f t="shared" si="31"/>
        <v>0</v>
      </c>
      <c r="AK481" s="174" t="s">
        <v>250</v>
      </c>
    </row>
    <row r="482" spans="1:37" s="174" customFormat="1" x14ac:dyDescent="0.25">
      <c r="A482" s="54" t="str">
        <f>'הזנה לתנאי סף'!B482</f>
        <v/>
      </c>
      <c r="B482" s="266" t="str">
        <f>IF($F482="","",'הזנה לתנאי סף'!C482)</f>
        <v/>
      </c>
      <c r="C482" s="266" t="str">
        <f>IF($F482="","",'הזנה לתנאי סף'!D482)</f>
        <v/>
      </c>
      <c r="D482" s="266" t="str">
        <f>IF($F482="","",'הזנה לתנאי סף'!E482)</f>
        <v/>
      </c>
      <c r="E482" s="55" t="str">
        <f>IF($F482="","",'הזנה לתנאי סף'!F482)</f>
        <v/>
      </c>
      <c r="F482" s="55" t="str">
        <f>IF('הזנה לתנאי סף'!BL482=1,'הזנה לתנאי סף'!G482,"")</f>
        <v/>
      </c>
      <c r="G482" s="55" t="str">
        <f>IF($F482="","",'הזנה לתנאי סף'!H482)</f>
        <v/>
      </c>
      <c r="H482" s="55" t="str">
        <f>IF($F482="","",'הזנה לתנאי סף'!I482)</f>
        <v/>
      </c>
      <c r="I482" s="187" t="str">
        <f>IF($F482="","",'הזנה לתנאי סף'!R482)</f>
        <v/>
      </c>
      <c r="J482" s="187" t="str">
        <f>IF($F482="","",'תחום תמיכה א'!P482)</f>
        <v/>
      </c>
      <c r="K482" s="177" t="str">
        <f>IF($F482="","",'הזנה לתנאי סף'!N482)</f>
        <v/>
      </c>
      <c r="L482" s="177" t="str">
        <f>IF($F482="","",'הזנה לתנאי סף'!O482)</f>
        <v/>
      </c>
      <c r="M482" s="177" t="str">
        <f>IF($F482="","",'הזנה לתנאי סף'!Q482)</f>
        <v/>
      </c>
      <c r="N482" s="187" t="str">
        <f>IF($F482="","",'תחום תמיכה א'!AE482)</f>
        <v/>
      </c>
      <c r="O482" s="178"/>
      <c r="P482" s="187" t="str">
        <f>IF($F482="","",'תחום תמיכה ב'!AC482)</f>
        <v/>
      </c>
      <c r="Q482" s="187" t="str">
        <f>IF($F482="","",IF('תחום תמיכה ג'!O482="",0,'תחום תמיכה ג'!O482))</f>
        <v/>
      </c>
      <c r="R482" s="187" t="str">
        <f t="shared" si="28"/>
        <v/>
      </c>
      <c r="S482" s="187" t="str">
        <f>IF($F482="","",'תחום תמיכה ב'!AE482)</f>
        <v/>
      </c>
      <c r="T482" s="187" t="str">
        <f>IF($F482="","",IF(Q482='תחום תמיכה ג'!$Q$2,'תחום תמיכה ג'!$Q$2,IFERROR(SUMIF(N482:R482,"&gt;0"),'תחום תמיכה ג'!$Q$2)))</f>
        <v/>
      </c>
      <c r="U482" s="187" t="str">
        <f>IF($F482="","",'הזנה לתנאי סף'!Y482)</f>
        <v/>
      </c>
      <c r="V482" s="269" t="str">
        <f>IF(F482="","",'הגבלה לסכום מבוקש '!AA482)</f>
        <v/>
      </c>
      <c r="W482" s="187" t="str">
        <f t="shared" si="30"/>
        <v/>
      </c>
      <c r="X482" s="187" t="str">
        <f>IF(F482="","",'הזנה לתנאי סף'!Z482)</f>
        <v/>
      </c>
      <c r="Y482" s="237" t="str">
        <f>IFERROR(VLOOKUP(G482*1,#REF!,3,0),"")</f>
        <v/>
      </c>
      <c r="Z482" s="187" t="str">
        <f>IF(OR($F482="",Y482=""),"",IFERROR(IF(Y482&gt;V482,MIN(Y482,T482)-V482,0),'תחום תמיכה ג'!$Q$2))</f>
        <v/>
      </c>
      <c r="AA482" s="259"/>
      <c r="AB482" s="260" t="str">
        <f t="shared" si="29"/>
        <v/>
      </c>
      <c r="AC482" s="262"/>
      <c r="AD482" s="180"/>
      <c r="AE482" s="13" t="str">
        <f>IF($C482="","",IFERROR(VLOOKUP($C482,גיליון1!$A:$E,2,0),"לא הגיש בקשה שוטפת"))</f>
        <v/>
      </c>
      <c r="AF482" s="13" t="str">
        <f>IF($C482="","",IFERROR(VLOOKUP($C482,גיליון1!$A:$E,3,0),"לא הגיש בקשה שוטפת"))</f>
        <v/>
      </c>
      <c r="AG482" s="13" t="str">
        <f>IF($C482="","",IFERROR(VLOOKUP($C482,גיליון1!$A:$E,4,0),"לא הגיש בקשה שוטפת"))</f>
        <v/>
      </c>
      <c r="AH482" s="13" t="str">
        <f>IF($C482="","",IFERROR(VLOOKUP($C482,גיליון1!$A:$E,5,0),"לא הגיש בקשה שוטפת"))</f>
        <v/>
      </c>
      <c r="AI482" s="13">
        <f t="shared" si="31"/>
        <v>0</v>
      </c>
      <c r="AK482" s="174" t="s">
        <v>250</v>
      </c>
    </row>
    <row r="483" spans="1:37" s="174" customFormat="1" x14ac:dyDescent="0.25">
      <c r="A483" s="54" t="str">
        <f>'הזנה לתנאי סף'!B483</f>
        <v/>
      </c>
      <c r="B483" s="266" t="str">
        <f>IF($F483="","",'הזנה לתנאי סף'!C483)</f>
        <v/>
      </c>
      <c r="C483" s="266" t="str">
        <f>IF($F483="","",'הזנה לתנאי סף'!D483)</f>
        <v/>
      </c>
      <c r="D483" s="266" t="str">
        <f>IF($F483="","",'הזנה לתנאי סף'!E483)</f>
        <v/>
      </c>
      <c r="E483" s="55" t="str">
        <f>IF($F483="","",'הזנה לתנאי סף'!F483)</f>
        <v/>
      </c>
      <c r="F483" s="55" t="str">
        <f>IF('הזנה לתנאי סף'!BL483=1,'הזנה לתנאי סף'!G483,"")</f>
        <v/>
      </c>
      <c r="G483" s="55" t="str">
        <f>IF($F483="","",'הזנה לתנאי סף'!H483)</f>
        <v/>
      </c>
      <c r="H483" s="55" t="str">
        <f>IF($F483="","",'הזנה לתנאי סף'!I483)</f>
        <v/>
      </c>
      <c r="I483" s="187" t="str">
        <f>IF($F483="","",'הזנה לתנאי סף'!R483)</f>
        <v/>
      </c>
      <c r="J483" s="187" t="str">
        <f>IF($F483="","",'תחום תמיכה א'!P483)</f>
        <v/>
      </c>
      <c r="K483" s="177" t="str">
        <f>IF($F483="","",'הזנה לתנאי סף'!N483)</f>
        <v/>
      </c>
      <c r="L483" s="177" t="str">
        <f>IF($F483="","",'הזנה לתנאי סף'!O483)</f>
        <v/>
      </c>
      <c r="M483" s="177" t="str">
        <f>IF($F483="","",'הזנה לתנאי סף'!Q483)</f>
        <v/>
      </c>
      <c r="N483" s="187" t="str">
        <f>IF($F483="","",'תחום תמיכה א'!AE483)</f>
        <v/>
      </c>
      <c r="O483" s="178"/>
      <c r="P483" s="187" t="str">
        <f>IF($F483="","",'תחום תמיכה ב'!AC483)</f>
        <v/>
      </c>
      <c r="Q483" s="187" t="str">
        <f>IF($F483="","",IF('תחום תמיכה ג'!O483="",0,'תחום תמיכה ג'!O483))</f>
        <v/>
      </c>
      <c r="R483" s="187" t="str">
        <f t="shared" si="28"/>
        <v/>
      </c>
      <c r="S483" s="187" t="str">
        <f>IF($F483="","",'תחום תמיכה ב'!AE483)</f>
        <v/>
      </c>
      <c r="T483" s="187" t="str">
        <f>IF($F483="","",IF(Q483='תחום תמיכה ג'!$Q$2,'תחום תמיכה ג'!$Q$2,IFERROR(SUMIF(N483:R483,"&gt;0"),'תחום תמיכה ג'!$Q$2)))</f>
        <v/>
      </c>
      <c r="U483" s="187" t="str">
        <f>IF($F483="","",'הזנה לתנאי סף'!Y483)</f>
        <v/>
      </c>
      <c r="V483" s="269" t="str">
        <f>IF(F483="","",'הגבלה לסכום מבוקש '!AA483)</f>
        <v/>
      </c>
      <c r="W483" s="187" t="str">
        <f t="shared" si="30"/>
        <v/>
      </c>
      <c r="X483" s="187" t="str">
        <f>IF(F483="","",'הזנה לתנאי סף'!Z483)</f>
        <v/>
      </c>
      <c r="Y483" s="237" t="str">
        <f>IFERROR(VLOOKUP(G483*1,#REF!,3,0),"")</f>
        <v/>
      </c>
      <c r="Z483" s="187" t="str">
        <f>IF(OR($F483="",Y483=""),"",IFERROR(IF(Y483&gt;V483,MIN(Y483,T483)-V483,0),'תחום תמיכה ג'!$Q$2))</f>
        <v/>
      </c>
      <c r="AA483" s="259"/>
      <c r="AB483" s="260" t="str">
        <f t="shared" si="29"/>
        <v/>
      </c>
      <c r="AC483" s="262"/>
      <c r="AD483" s="180"/>
      <c r="AE483" s="13" t="str">
        <f>IF($C483="","",IFERROR(VLOOKUP($C483,גיליון1!$A:$E,2,0),"לא הגיש בקשה שוטפת"))</f>
        <v/>
      </c>
      <c r="AF483" s="13" t="str">
        <f>IF($C483="","",IFERROR(VLOOKUP($C483,גיליון1!$A:$E,3,0),"לא הגיש בקשה שוטפת"))</f>
        <v/>
      </c>
      <c r="AG483" s="13" t="str">
        <f>IF($C483="","",IFERROR(VLOOKUP($C483,גיליון1!$A:$E,4,0),"לא הגיש בקשה שוטפת"))</f>
        <v/>
      </c>
      <c r="AH483" s="13" t="str">
        <f>IF($C483="","",IFERROR(VLOOKUP($C483,גיליון1!$A:$E,5,0),"לא הגיש בקשה שוטפת"))</f>
        <v/>
      </c>
      <c r="AI483" s="13">
        <f t="shared" si="31"/>
        <v>0</v>
      </c>
      <c r="AK483" s="174" t="s">
        <v>250</v>
      </c>
    </row>
    <row r="484" spans="1:37" s="174" customFormat="1" x14ac:dyDescent="0.25">
      <c r="A484" s="54" t="str">
        <f>'הזנה לתנאי סף'!B484</f>
        <v/>
      </c>
      <c r="B484" s="266" t="str">
        <f>IF($F484="","",'הזנה לתנאי סף'!C484)</f>
        <v/>
      </c>
      <c r="C484" s="266" t="str">
        <f>IF($F484="","",'הזנה לתנאי סף'!D484)</f>
        <v/>
      </c>
      <c r="D484" s="266" t="str">
        <f>IF($F484="","",'הזנה לתנאי סף'!E484)</f>
        <v/>
      </c>
      <c r="E484" s="55" t="str">
        <f>IF($F484="","",'הזנה לתנאי סף'!F484)</f>
        <v/>
      </c>
      <c r="F484" s="55" t="str">
        <f>IF('הזנה לתנאי סף'!BL484=1,'הזנה לתנאי סף'!G484,"")</f>
        <v/>
      </c>
      <c r="G484" s="55" t="str">
        <f>IF($F484="","",'הזנה לתנאי סף'!H484)</f>
        <v/>
      </c>
      <c r="H484" s="55" t="str">
        <f>IF($F484="","",'הזנה לתנאי סף'!I484)</f>
        <v/>
      </c>
      <c r="I484" s="187" t="str">
        <f>IF($F484="","",'הזנה לתנאי סף'!R484)</f>
        <v/>
      </c>
      <c r="J484" s="187" t="str">
        <f>IF($F484="","",'תחום תמיכה א'!P484)</f>
        <v/>
      </c>
      <c r="K484" s="177" t="str">
        <f>IF($F484="","",'הזנה לתנאי סף'!N484)</f>
        <v/>
      </c>
      <c r="L484" s="177" t="str">
        <f>IF($F484="","",'הזנה לתנאי סף'!O484)</f>
        <v/>
      </c>
      <c r="M484" s="177" t="str">
        <f>IF($F484="","",'הזנה לתנאי סף'!Q484)</f>
        <v/>
      </c>
      <c r="N484" s="187" t="str">
        <f>IF($F484="","",'תחום תמיכה א'!AE484)</f>
        <v/>
      </c>
      <c r="O484" s="178"/>
      <c r="P484" s="187" t="str">
        <f>IF($F484="","",'תחום תמיכה ב'!AC484)</f>
        <v/>
      </c>
      <c r="Q484" s="187" t="str">
        <f>IF($F484="","",IF('תחום תמיכה ג'!O484="",0,'תחום תמיכה ג'!O484))</f>
        <v/>
      </c>
      <c r="R484" s="187" t="str">
        <f t="shared" si="28"/>
        <v/>
      </c>
      <c r="S484" s="187" t="str">
        <f>IF($F484="","",'תחום תמיכה ב'!AE484)</f>
        <v/>
      </c>
      <c r="T484" s="187" t="str">
        <f>IF($F484="","",IF(Q484='תחום תמיכה ג'!$Q$2,'תחום תמיכה ג'!$Q$2,IFERROR(SUMIF(N484:R484,"&gt;0"),'תחום תמיכה ג'!$Q$2)))</f>
        <v/>
      </c>
      <c r="U484" s="187" t="str">
        <f>IF($F484="","",'הזנה לתנאי סף'!Y484)</f>
        <v/>
      </c>
      <c r="V484" s="269" t="str">
        <f>IF(F484="","",'הגבלה לסכום מבוקש '!AA484)</f>
        <v/>
      </c>
      <c r="W484" s="187" t="str">
        <f t="shared" si="30"/>
        <v/>
      </c>
      <c r="X484" s="187" t="str">
        <f>IF(F484="","",'הזנה לתנאי סף'!Z484)</f>
        <v/>
      </c>
      <c r="Y484" s="237" t="str">
        <f>IFERROR(VLOOKUP(G484*1,#REF!,3,0),"")</f>
        <v/>
      </c>
      <c r="Z484" s="187" t="str">
        <f>IF(OR($F484="",Y484=""),"",IFERROR(IF(Y484&gt;V484,MIN(Y484,T484)-V484,0),'תחום תמיכה ג'!$Q$2))</f>
        <v/>
      </c>
      <c r="AA484" s="259"/>
      <c r="AB484" s="260" t="str">
        <f t="shared" si="29"/>
        <v/>
      </c>
      <c r="AC484" s="262"/>
      <c r="AD484" s="180"/>
      <c r="AE484" s="13" t="str">
        <f>IF($C484="","",IFERROR(VLOOKUP($C484,גיליון1!$A:$E,2,0),"לא הגיש בקשה שוטפת"))</f>
        <v/>
      </c>
      <c r="AF484" s="13" t="str">
        <f>IF($C484="","",IFERROR(VLOOKUP($C484,גיליון1!$A:$E,3,0),"לא הגיש בקשה שוטפת"))</f>
        <v/>
      </c>
      <c r="AG484" s="13" t="str">
        <f>IF($C484="","",IFERROR(VLOOKUP($C484,גיליון1!$A:$E,4,0),"לא הגיש בקשה שוטפת"))</f>
        <v/>
      </c>
      <c r="AH484" s="13" t="str">
        <f>IF($C484="","",IFERROR(VLOOKUP($C484,גיליון1!$A:$E,5,0),"לא הגיש בקשה שוטפת"))</f>
        <v/>
      </c>
      <c r="AI484" s="13">
        <f t="shared" si="31"/>
        <v>0</v>
      </c>
      <c r="AK484" s="174" t="s">
        <v>250</v>
      </c>
    </row>
    <row r="485" spans="1:37" s="174" customFormat="1" x14ac:dyDescent="0.25">
      <c r="A485" s="54" t="str">
        <f>'הזנה לתנאי סף'!B485</f>
        <v/>
      </c>
      <c r="B485" s="266" t="str">
        <f>IF($F485="","",'הזנה לתנאי סף'!C485)</f>
        <v/>
      </c>
      <c r="C485" s="266" t="str">
        <f>IF($F485="","",'הזנה לתנאי סף'!D485)</f>
        <v/>
      </c>
      <c r="D485" s="266" t="str">
        <f>IF($F485="","",'הזנה לתנאי סף'!E485)</f>
        <v/>
      </c>
      <c r="E485" s="55" t="str">
        <f>IF($F485="","",'הזנה לתנאי סף'!F485)</f>
        <v/>
      </c>
      <c r="F485" s="55" t="str">
        <f>IF('הזנה לתנאי סף'!BL485=1,'הזנה לתנאי סף'!G485,"")</f>
        <v/>
      </c>
      <c r="G485" s="55" t="str">
        <f>IF($F485="","",'הזנה לתנאי סף'!H485)</f>
        <v/>
      </c>
      <c r="H485" s="55" t="str">
        <f>IF($F485="","",'הזנה לתנאי סף'!I485)</f>
        <v/>
      </c>
      <c r="I485" s="187" t="str">
        <f>IF($F485="","",'הזנה לתנאי סף'!R485)</f>
        <v/>
      </c>
      <c r="J485" s="187" t="str">
        <f>IF($F485="","",'תחום תמיכה א'!P485)</f>
        <v/>
      </c>
      <c r="K485" s="177" t="str">
        <f>IF($F485="","",'הזנה לתנאי סף'!N485)</f>
        <v/>
      </c>
      <c r="L485" s="177" t="str">
        <f>IF($F485="","",'הזנה לתנאי סף'!O485)</f>
        <v/>
      </c>
      <c r="M485" s="177" t="str">
        <f>IF($F485="","",'הזנה לתנאי סף'!Q485)</f>
        <v/>
      </c>
      <c r="N485" s="187" t="str">
        <f>IF($F485="","",'תחום תמיכה א'!AE485)</f>
        <v/>
      </c>
      <c r="O485" s="178"/>
      <c r="P485" s="187" t="str">
        <f>IF($F485="","",'תחום תמיכה ב'!AC485)</f>
        <v/>
      </c>
      <c r="Q485" s="187" t="str">
        <f>IF($F485="","",IF('תחום תמיכה ג'!O485="",0,'תחום תמיכה ג'!O485))</f>
        <v/>
      </c>
      <c r="R485" s="187" t="str">
        <f t="shared" si="28"/>
        <v/>
      </c>
      <c r="S485" s="187" t="str">
        <f>IF($F485="","",'תחום תמיכה ב'!AE485)</f>
        <v/>
      </c>
      <c r="T485" s="187" t="str">
        <f>IF($F485="","",IF(Q485='תחום תמיכה ג'!$Q$2,'תחום תמיכה ג'!$Q$2,IFERROR(SUMIF(N485:R485,"&gt;0"),'תחום תמיכה ג'!$Q$2)))</f>
        <v/>
      </c>
      <c r="U485" s="187" t="str">
        <f>IF($F485="","",'הזנה לתנאי סף'!Y485)</f>
        <v/>
      </c>
      <c r="V485" s="269" t="str">
        <f>IF(F485="","",'הגבלה לסכום מבוקש '!AA485)</f>
        <v/>
      </c>
      <c r="W485" s="187" t="str">
        <f t="shared" si="30"/>
        <v/>
      </c>
      <c r="X485" s="187" t="str">
        <f>IF(F485="","",'הזנה לתנאי סף'!Z485)</f>
        <v/>
      </c>
      <c r="Y485" s="237" t="str">
        <f>IFERROR(VLOOKUP(G485*1,#REF!,3,0),"")</f>
        <v/>
      </c>
      <c r="Z485" s="187" t="str">
        <f>IF(OR($F485="",Y485=""),"",IFERROR(IF(Y485&gt;V485,MIN(Y485,T485)-V485,0),'תחום תמיכה ג'!$Q$2))</f>
        <v/>
      </c>
      <c r="AA485" s="259"/>
      <c r="AB485" s="260" t="str">
        <f t="shared" si="29"/>
        <v/>
      </c>
      <c r="AC485" s="262"/>
      <c r="AD485" s="180"/>
      <c r="AE485" s="13" t="str">
        <f>IF($C485="","",IFERROR(VLOOKUP($C485,גיליון1!$A:$E,2,0),"לא הגיש בקשה שוטפת"))</f>
        <v/>
      </c>
      <c r="AF485" s="13" t="str">
        <f>IF($C485="","",IFERROR(VLOOKUP($C485,גיליון1!$A:$E,3,0),"לא הגיש בקשה שוטפת"))</f>
        <v/>
      </c>
      <c r="AG485" s="13" t="str">
        <f>IF($C485="","",IFERROR(VLOOKUP($C485,גיליון1!$A:$E,4,0),"לא הגיש בקשה שוטפת"))</f>
        <v/>
      </c>
      <c r="AH485" s="13" t="str">
        <f>IF($C485="","",IFERROR(VLOOKUP($C485,גיליון1!$A:$E,5,0),"לא הגיש בקשה שוטפת"))</f>
        <v/>
      </c>
      <c r="AI485" s="13">
        <f t="shared" si="31"/>
        <v>0</v>
      </c>
      <c r="AK485" s="174" t="s">
        <v>250</v>
      </c>
    </row>
    <row r="486" spans="1:37" s="174" customFormat="1" x14ac:dyDescent="0.25">
      <c r="A486" s="54" t="str">
        <f>'הזנה לתנאי סף'!B486</f>
        <v/>
      </c>
      <c r="B486" s="266" t="str">
        <f>IF($F486="","",'הזנה לתנאי סף'!C486)</f>
        <v/>
      </c>
      <c r="C486" s="266" t="str">
        <f>IF($F486="","",'הזנה לתנאי סף'!D486)</f>
        <v/>
      </c>
      <c r="D486" s="266" t="str">
        <f>IF($F486="","",'הזנה לתנאי סף'!E486)</f>
        <v/>
      </c>
      <c r="E486" s="55" t="str">
        <f>IF($F486="","",'הזנה לתנאי סף'!F486)</f>
        <v/>
      </c>
      <c r="F486" s="55" t="str">
        <f>IF('הזנה לתנאי סף'!BL486=1,'הזנה לתנאי סף'!G486,"")</f>
        <v/>
      </c>
      <c r="G486" s="55" t="str">
        <f>IF($F486="","",'הזנה לתנאי סף'!H486)</f>
        <v/>
      </c>
      <c r="H486" s="55" t="str">
        <f>IF($F486="","",'הזנה לתנאי סף'!I486)</f>
        <v/>
      </c>
      <c r="I486" s="187" t="str">
        <f>IF($F486="","",'הזנה לתנאי סף'!R486)</f>
        <v/>
      </c>
      <c r="J486" s="187" t="str">
        <f>IF($F486="","",'תחום תמיכה א'!P486)</f>
        <v/>
      </c>
      <c r="K486" s="177" t="str">
        <f>IF($F486="","",'הזנה לתנאי סף'!N486)</f>
        <v/>
      </c>
      <c r="L486" s="177" t="str">
        <f>IF($F486="","",'הזנה לתנאי סף'!O486)</f>
        <v/>
      </c>
      <c r="M486" s="177" t="str">
        <f>IF($F486="","",'הזנה לתנאי סף'!Q486)</f>
        <v/>
      </c>
      <c r="N486" s="187" t="str">
        <f>IF($F486="","",'תחום תמיכה א'!AE486)</f>
        <v/>
      </c>
      <c r="O486" s="178"/>
      <c r="P486" s="187" t="str">
        <f>IF($F486="","",'תחום תמיכה ב'!AC486)</f>
        <v/>
      </c>
      <c r="Q486" s="187" t="str">
        <f>IF($F486="","",IF('תחום תמיכה ג'!O486="",0,'תחום תמיכה ג'!O486))</f>
        <v/>
      </c>
      <c r="R486" s="187" t="str">
        <f t="shared" si="28"/>
        <v/>
      </c>
      <c r="S486" s="187" t="str">
        <f>IF($F486="","",'תחום תמיכה ב'!AE486)</f>
        <v/>
      </c>
      <c r="T486" s="187" t="str">
        <f>IF($F486="","",IF(Q486='תחום תמיכה ג'!$Q$2,'תחום תמיכה ג'!$Q$2,IFERROR(SUMIF(N486:R486,"&gt;0"),'תחום תמיכה ג'!$Q$2)))</f>
        <v/>
      </c>
      <c r="U486" s="187" t="str">
        <f>IF($F486="","",'הזנה לתנאי סף'!Y486)</f>
        <v/>
      </c>
      <c r="V486" s="269" t="str">
        <f>IF(F486="","",'הגבלה לסכום מבוקש '!AA486)</f>
        <v/>
      </c>
      <c r="W486" s="187" t="str">
        <f t="shared" si="30"/>
        <v/>
      </c>
      <c r="X486" s="187" t="str">
        <f>IF(F486="","",'הזנה לתנאי סף'!Z486)</f>
        <v/>
      </c>
      <c r="Y486" s="237" t="str">
        <f>IFERROR(VLOOKUP(G486*1,#REF!,3,0),"")</f>
        <v/>
      </c>
      <c r="Z486" s="187" t="str">
        <f>IF(OR($F486="",Y486=""),"",IFERROR(IF(Y486&gt;V486,MIN(Y486,T486)-V486,0),'תחום תמיכה ג'!$Q$2))</f>
        <v/>
      </c>
      <c r="AA486" s="259"/>
      <c r="AB486" s="260" t="str">
        <f t="shared" si="29"/>
        <v/>
      </c>
      <c r="AC486" s="262"/>
      <c r="AD486" s="180"/>
      <c r="AE486" s="13" t="str">
        <f>IF($C486="","",IFERROR(VLOOKUP($C486,גיליון1!$A:$E,2,0),"לא הגיש בקשה שוטפת"))</f>
        <v/>
      </c>
      <c r="AF486" s="13" t="str">
        <f>IF($C486="","",IFERROR(VLOOKUP($C486,גיליון1!$A:$E,3,0),"לא הגיש בקשה שוטפת"))</f>
        <v/>
      </c>
      <c r="AG486" s="13" t="str">
        <f>IF($C486="","",IFERROR(VLOOKUP($C486,גיליון1!$A:$E,4,0),"לא הגיש בקשה שוטפת"))</f>
        <v/>
      </c>
      <c r="AH486" s="13" t="str">
        <f>IF($C486="","",IFERROR(VLOOKUP($C486,גיליון1!$A:$E,5,0),"לא הגיש בקשה שוטפת"))</f>
        <v/>
      </c>
      <c r="AI486" s="13">
        <f t="shared" si="31"/>
        <v>0</v>
      </c>
      <c r="AK486" s="174" t="s">
        <v>250</v>
      </c>
    </row>
    <row r="487" spans="1:37" s="174" customFormat="1" x14ac:dyDescent="0.25">
      <c r="A487" s="54" t="str">
        <f>'הזנה לתנאי סף'!B487</f>
        <v/>
      </c>
      <c r="B487" s="266" t="str">
        <f>IF($F487="","",'הזנה לתנאי סף'!C487)</f>
        <v/>
      </c>
      <c r="C487" s="266" t="str">
        <f>IF($F487="","",'הזנה לתנאי סף'!D487)</f>
        <v/>
      </c>
      <c r="D487" s="266" t="str">
        <f>IF($F487="","",'הזנה לתנאי סף'!E487)</f>
        <v/>
      </c>
      <c r="E487" s="55" t="str">
        <f>IF($F487="","",'הזנה לתנאי סף'!F487)</f>
        <v/>
      </c>
      <c r="F487" s="55" t="str">
        <f>IF('הזנה לתנאי סף'!BL487=1,'הזנה לתנאי סף'!G487,"")</f>
        <v/>
      </c>
      <c r="G487" s="55" t="str">
        <f>IF($F487="","",'הזנה לתנאי סף'!H487)</f>
        <v/>
      </c>
      <c r="H487" s="55" t="str">
        <f>IF($F487="","",'הזנה לתנאי סף'!I487)</f>
        <v/>
      </c>
      <c r="I487" s="187" t="str">
        <f>IF($F487="","",'הזנה לתנאי סף'!R487)</f>
        <v/>
      </c>
      <c r="J487" s="187" t="str">
        <f>IF($F487="","",'תחום תמיכה א'!P487)</f>
        <v/>
      </c>
      <c r="K487" s="177" t="str">
        <f>IF($F487="","",'הזנה לתנאי סף'!N487)</f>
        <v/>
      </c>
      <c r="L487" s="177" t="str">
        <f>IF($F487="","",'הזנה לתנאי סף'!O487)</f>
        <v/>
      </c>
      <c r="M487" s="177" t="str">
        <f>IF($F487="","",'הזנה לתנאי סף'!Q487)</f>
        <v/>
      </c>
      <c r="N487" s="187" t="str">
        <f>IF($F487="","",'תחום תמיכה א'!AE487)</f>
        <v/>
      </c>
      <c r="O487" s="178"/>
      <c r="P487" s="187" t="str">
        <f>IF($F487="","",'תחום תמיכה ב'!AC487)</f>
        <v/>
      </c>
      <c r="Q487" s="187" t="str">
        <f>IF($F487="","",IF('תחום תמיכה ג'!O487="",0,'תחום תמיכה ג'!O487))</f>
        <v/>
      </c>
      <c r="R487" s="187" t="str">
        <f t="shared" si="28"/>
        <v/>
      </c>
      <c r="S487" s="187" t="str">
        <f>IF($F487="","",'תחום תמיכה ב'!AE487)</f>
        <v/>
      </c>
      <c r="T487" s="187" t="str">
        <f>IF($F487="","",IF(Q487='תחום תמיכה ג'!$Q$2,'תחום תמיכה ג'!$Q$2,IFERROR(SUMIF(N487:R487,"&gt;0"),'תחום תמיכה ג'!$Q$2)))</f>
        <v/>
      </c>
      <c r="U487" s="187" t="str">
        <f>IF($F487="","",'הזנה לתנאי סף'!Y487)</f>
        <v/>
      </c>
      <c r="V487" s="269" t="str">
        <f>IF(F487="","",'הגבלה לסכום מבוקש '!AA487)</f>
        <v/>
      </c>
      <c r="W487" s="187" t="str">
        <f t="shared" si="30"/>
        <v/>
      </c>
      <c r="X487" s="187" t="str">
        <f>IF(F487="","",'הזנה לתנאי סף'!Z487)</f>
        <v/>
      </c>
      <c r="Y487" s="237" t="str">
        <f>IFERROR(VLOOKUP(G487*1,#REF!,3,0),"")</f>
        <v/>
      </c>
      <c r="Z487" s="187" t="str">
        <f>IF(OR($F487="",Y487=""),"",IFERROR(IF(Y487&gt;V487,MIN(Y487,T487)-V487,0),'תחום תמיכה ג'!$Q$2))</f>
        <v/>
      </c>
      <c r="AA487" s="259"/>
      <c r="AB487" s="260" t="str">
        <f t="shared" si="29"/>
        <v/>
      </c>
      <c r="AC487" s="262"/>
      <c r="AD487" s="180"/>
      <c r="AE487" s="13" t="str">
        <f>IF($C487="","",IFERROR(VLOOKUP($C487,גיליון1!$A:$E,2,0),"לא הגיש בקשה שוטפת"))</f>
        <v/>
      </c>
      <c r="AF487" s="13" t="str">
        <f>IF($C487="","",IFERROR(VLOOKUP($C487,גיליון1!$A:$E,3,0),"לא הגיש בקשה שוטפת"))</f>
        <v/>
      </c>
      <c r="AG487" s="13" t="str">
        <f>IF($C487="","",IFERROR(VLOOKUP($C487,גיליון1!$A:$E,4,0),"לא הגיש בקשה שוטפת"))</f>
        <v/>
      </c>
      <c r="AH487" s="13" t="str">
        <f>IF($C487="","",IFERROR(VLOOKUP($C487,גיליון1!$A:$E,5,0),"לא הגיש בקשה שוטפת"))</f>
        <v/>
      </c>
      <c r="AI487" s="13">
        <f t="shared" si="31"/>
        <v>0</v>
      </c>
      <c r="AK487" s="174" t="s">
        <v>250</v>
      </c>
    </row>
    <row r="488" spans="1:37" s="174" customFormat="1" x14ac:dyDescent="0.25">
      <c r="A488" s="54" t="str">
        <f>'הזנה לתנאי סף'!B488</f>
        <v/>
      </c>
      <c r="B488" s="266" t="str">
        <f>IF($F488="","",'הזנה לתנאי סף'!C488)</f>
        <v/>
      </c>
      <c r="C488" s="266" t="str">
        <f>IF($F488="","",'הזנה לתנאי סף'!D488)</f>
        <v/>
      </c>
      <c r="D488" s="266" t="str">
        <f>IF($F488="","",'הזנה לתנאי סף'!E488)</f>
        <v/>
      </c>
      <c r="E488" s="55" t="str">
        <f>IF($F488="","",'הזנה לתנאי סף'!F488)</f>
        <v/>
      </c>
      <c r="F488" s="55" t="str">
        <f>IF('הזנה לתנאי סף'!BL488=1,'הזנה לתנאי סף'!G488,"")</f>
        <v/>
      </c>
      <c r="G488" s="55" t="str">
        <f>IF($F488="","",'הזנה לתנאי סף'!H488)</f>
        <v/>
      </c>
      <c r="H488" s="55" t="str">
        <f>IF($F488="","",'הזנה לתנאי סף'!I488)</f>
        <v/>
      </c>
      <c r="I488" s="187" t="str">
        <f>IF($F488="","",'הזנה לתנאי סף'!R488)</f>
        <v/>
      </c>
      <c r="J488" s="187" t="str">
        <f>IF($F488="","",'תחום תמיכה א'!P488)</f>
        <v/>
      </c>
      <c r="K488" s="177" t="str">
        <f>IF($F488="","",'הזנה לתנאי סף'!N488)</f>
        <v/>
      </c>
      <c r="L488" s="177" t="str">
        <f>IF($F488="","",'הזנה לתנאי סף'!O488)</f>
        <v/>
      </c>
      <c r="M488" s="177" t="str">
        <f>IF($F488="","",'הזנה לתנאי סף'!Q488)</f>
        <v/>
      </c>
      <c r="N488" s="187" t="str">
        <f>IF($F488="","",'תחום תמיכה א'!AE488)</f>
        <v/>
      </c>
      <c r="O488" s="178"/>
      <c r="P488" s="187" t="str">
        <f>IF($F488="","",'תחום תמיכה ב'!AC488)</f>
        <v/>
      </c>
      <c r="Q488" s="187" t="str">
        <f>IF($F488="","",IF('תחום תמיכה ג'!O488="",0,'תחום תמיכה ג'!O488))</f>
        <v/>
      </c>
      <c r="R488" s="187" t="str">
        <f t="shared" si="28"/>
        <v/>
      </c>
      <c r="S488" s="187" t="str">
        <f>IF($F488="","",'תחום תמיכה ב'!AE488)</f>
        <v/>
      </c>
      <c r="T488" s="187" t="str">
        <f>IF($F488="","",IF(Q488='תחום תמיכה ג'!$Q$2,'תחום תמיכה ג'!$Q$2,IFERROR(SUMIF(N488:R488,"&gt;0"),'תחום תמיכה ג'!$Q$2)))</f>
        <v/>
      </c>
      <c r="U488" s="187" t="str">
        <f>IF($F488="","",'הזנה לתנאי סף'!Y488)</f>
        <v/>
      </c>
      <c r="V488" s="269" t="str">
        <f>IF(F488="","",'הגבלה לסכום מבוקש '!AA488)</f>
        <v/>
      </c>
      <c r="W488" s="187" t="str">
        <f t="shared" si="30"/>
        <v/>
      </c>
      <c r="X488" s="187" t="str">
        <f>IF(F488="","",'הזנה לתנאי סף'!Z488)</f>
        <v/>
      </c>
      <c r="Y488" s="237" t="str">
        <f>IFERROR(VLOOKUP(G488*1,#REF!,3,0),"")</f>
        <v/>
      </c>
      <c r="Z488" s="187" t="str">
        <f>IF(OR($F488="",Y488=""),"",IFERROR(IF(Y488&gt;V488,MIN(Y488,T488)-V488,0),'תחום תמיכה ג'!$Q$2))</f>
        <v/>
      </c>
      <c r="AA488" s="259"/>
      <c r="AB488" s="260" t="str">
        <f t="shared" si="29"/>
        <v/>
      </c>
      <c r="AC488" s="262"/>
      <c r="AD488" s="180"/>
      <c r="AE488" s="13" t="str">
        <f>IF($C488="","",IFERROR(VLOOKUP($C488,גיליון1!$A:$E,2,0),"לא הגיש בקשה שוטפת"))</f>
        <v/>
      </c>
      <c r="AF488" s="13" t="str">
        <f>IF($C488="","",IFERROR(VLOOKUP($C488,גיליון1!$A:$E,3,0),"לא הגיש בקשה שוטפת"))</f>
        <v/>
      </c>
      <c r="AG488" s="13" t="str">
        <f>IF($C488="","",IFERROR(VLOOKUP($C488,גיליון1!$A:$E,4,0),"לא הגיש בקשה שוטפת"))</f>
        <v/>
      </c>
      <c r="AH488" s="13" t="str">
        <f>IF($C488="","",IFERROR(VLOOKUP($C488,גיליון1!$A:$E,5,0),"לא הגיש בקשה שוטפת"))</f>
        <v/>
      </c>
      <c r="AI488" s="13">
        <f t="shared" si="31"/>
        <v>0</v>
      </c>
      <c r="AK488" s="174" t="s">
        <v>250</v>
      </c>
    </row>
    <row r="489" spans="1:37" s="174" customFormat="1" x14ac:dyDescent="0.25">
      <c r="A489" s="54" t="str">
        <f>'הזנה לתנאי סף'!B489</f>
        <v/>
      </c>
      <c r="B489" s="266" t="str">
        <f>IF($F489="","",'הזנה לתנאי סף'!C489)</f>
        <v/>
      </c>
      <c r="C489" s="266" t="str">
        <f>IF($F489="","",'הזנה לתנאי סף'!D489)</f>
        <v/>
      </c>
      <c r="D489" s="266" t="str">
        <f>IF($F489="","",'הזנה לתנאי סף'!E489)</f>
        <v/>
      </c>
      <c r="E489" s="55" t="str">
        <f>IF($F489="","",'הזנה לתנאי סף'!F489)</f>
        <v/>
      </c>
      <c r="F489" s="55" t="str">
        <f>IF('הזנה לתנאי סף'!BL489=1,'הזנה לתנאי סף'!G489,"")</f>
        <v/>
      </c>
      <c r="G489" s="55" t="str">
        <f>IF($F489="","",'הזנה לתנאי סף'!H489)</f>
        <v/>
      </c>
      <c r="H489" s="55" t="str">
        <f>IF($F489="","",'הזנה לתנאי סף'!I489)</f>
        <v/>
      </c>
      <c r="I489" s="187" t="str">
        <f>IF($F489="","",'הזנה לתנאי סף'!R489)</f>
        <v/>
      </c>
      <c r="J489" s="187" t="str">
        <f>IF($F489="","",'תחום תמיכה א'!P489)</f>
        <v/>
      </c>
      <c r="K489" s="177" t="str">
        <f>IF($F489="","",'הזנה לתנאי סף'!N489)</f>
        <v/>
      </c>
      <c r="L489" s="177" t="str">
        <f>IF($F489="","",'הזנה לתנאי סף'!O489)</f>
        <v/>
      </c>
      <c r="M489" s="177" t="str">
        <f>IF($F489="","",'הזנה לתנאי סף'!Q489)</f>
        <v/>
      </c>
      <c r="N489" s="187" t="str">
        <f>IF($F489="","",'תחום תמיכה א'!AE489)</f>
        <v/>
      </c>
      <c r="O489" s="178"/>
      <c r="P489" s="187" t="str">
        <f>IF($F489="","",'תחום תמיכה ב'!AC489)</f>
        <v/>
      </c>
      <c r="Q489" s="187" t="str">
        <f>IF($F489="","",IF('תחום תמיכה ג'!O489="",0,'תחום תמיכה ג'!O489))</f>
        <v/>
      </c>
      <c r="R489" s="187" t="str">
        <f t="shared" si="28"/>
        <v/>
      </c>
      <c r="S489" s="187" t="str">
        <f>IF($F489="","",'תחום תמיכה ב'!AE489)</f>
        <v/>
      </c>
      <c r="T489" s="187" t="str">
        <f>IF($F489="","",IF(Q489='תחום תמיכה ג'!$Q$2,'תחום תמיכה ג'!$Q$2,IFERROR(SUMIF(N489:R489,"&gt;0"),'תחום תמיכה ג'!$Q$2)))</f>
        <v/>
      </c>
      <c r="U489" s="187" t="str">
        <f>IF($F489="","",'הזנה לתנאי סף'!Y489)</f>
        <v/>
      </c>
      <c r="V489" s="269" t="str">
        <f>IF(F489="","",'הגבלה לסכום מבוקש '!AA489)</f>
        <v/>
      </c>
      <c r="W489" s="187" t="str">
        <f t="shared" si="30"/>
        <v/>
      </c>
      <c r="X489" s="187" t="str">
        <f>IF(F489="","",'הזנה לתנאי סף'!Z489)</f>
        <v/>
      </c>
      <c r="Y489" s="237" t="str">
        <f>IFERROR(VLOOKUP(G489*1,#REF!,3,0),"")</f>
        <v/>
      </c>
      <c r="Z489" s="187" t="str">
        <f>IF(OR($F489="",Y489=""),"",IFERROR(IF(Y489&gt;V489,MIN(Y489,T489)-V489,0),'תחום תמיכה ג'!$Q$2))</f>
        <v/>
      </c>
      <c r="AA489" s="259"/>
      <c r="AB489" s="260" t="str">
        <f t="shared" si="29"/>
        <v/>
      </c>
      <c r="AC489" s="262"/>
      <c r="AD489" s="180"/>
      <c r="AE489" s="13" t="str">
        <f>IF($C489="","",IFERROR(VLOOKUP($C489,גיליון1!$A:$E,2,0),"לא הגיש בקשה שוטפת"))</f>
        <v/>
      </c>
      <c r="AF489" s="13" t="str">
        <f>IF($C489="","",IFERROR(VLOOKUP($C489,גיליון1!$A:$E,3,0),"לא הגיש בקשה שוטפת"))</f>
        <v/>
      </c>
      <c r="AG489" s="13" t="str">
        <f>IF($C489="","",IFERROR(VLOOKUP($C489,גיליון1!$A:$E,4,0),"לא הגיש בקשה שוטפת"))</f>
        <v/>
      </c>
      <c r="AH489" s="13" t="str">
        <f>IF($C489="","",IFERROR(VLOOKUP($C489,גיליון1!$A:$E,5,0),"לא הגיש בקשה שוטפת"))</f>
        <v/>
      </c>
      <c r="AI489" s="13">
        <f t="shared" si="31"/>
        <v>0</v>
      </c>
      <c r="AK489" s="174" t="s">
        <v>250</v>
      </c>
    </row>
    <row r="490" spans="1:37" s="174" customFormat="1" x14ac:dyDescent="0.25">
      <c r="A490" s="54" t="str">
        <f>'הזנה לתנאי סף'!B490</f>
        <v/>
      </c>
      <c r="B490" s="266" t="str">
        <f>IF($F490="","",'הזנה לתנאי סף'!C490)</f>
        <v/>
      </c>
      <c r="C490" s="266" t="str">
        <f>IF($F490="","",'הזנה לתנאי סף'!D490)</f>
        <v/>
      </c>
      <c r="D490" s="266" t="str">
        <f>IF($F490="","",'הזנה לתנאי סף'!E490)</f>
        <v/>
      </c>
      <c r="E490" s="55" t="str">
        <f>IF($F490="","",'הזנה לתנאי סף'!F490)</f>
        <v/>
      </c>
      <c r="F490" s="55" t="str">
        <f>IF('הזנה לתנאי סף'!BL490=1,'הזנה לתנאי סף'!G490,"")</f>
        <v/>
      </c>
      <c r="G490" s="55" t="str">
        <f>IF($F490="","",'הזנה לתנאי סף'!H490)</f>
        <v/>
      </c>
      <c r="H490" s="55" t="str">
        <f>IF($F490="","",'הזנה לתנאי סף'!I490)</f>
        <v/>
      </c>
      <c r="I490" s="187" t="str">
        <f>IF($F490="","",'הזנה לתנאי סף'!R490)</f>
        <v/>
      </c>
      <c r="J490" s="187" t="str">
        <f>IF($F490="","",'תחום תמיכה א'!P490)</f>
        <v/>
      </c>
      <c r="K490" s="177" t="str">
        <f>IF($F490="","",'הזנה לתנאי סף'!N490)</f>
        <v/>
      </c>
      <c r="L490" s="177" t="str">
        <f>IF($F490="","",'הזנה לתנאי סף'!O490)</f>
        <v/>
      </c>
      <c r="M490" s="177" t="str">
        <f>IF($F490="","",'הזנה לתנאי סף'!Q490)</f>
        <v/>
      </c>
      <c r="N490" s="187" t="str">
        <f>IF($F490="","",'תחום תמיכה א'!AE490)</f>
        <v/>
      </c>
      <c r="O490" s="178"/>
      <c r="P490" s="187" t="str">
        <f>IF($F490="","",'תחום תמיכה ב'!AC490)</f>
        <v/>
      </c>
      <c r="Q490" s="187" t="str">
        <f>IF($F490="","",IF('תחום תמיכה ג'!O490="",0,'תחום תמיכה ג'!O490))</f>
        <v/>
      </c>
      <c r="R490" s="187" t="str">
        <f t="shared" si="28"/>
        <v/>
      </c>
      <c r="S490" s="187" t="str">
        <f>IF($F490="","",'תחום תמיכה ב'!AE490)</f>
        <v/>
      </c>
      <c r="T490" s="187" t="str">
        <f>IF($F490="","",IF(Q490='תחום תמיכה ג'!$Q$2,'תחום תמיכה ג'!$Q$2,IFERROR(SUMIF(N490:R490,"&gt;0"),'תחום תמיכה ג'!$Q$2)))</f>
        <v/>
      </c>
      <c r="U490" s="187" t="str">
        <f>IF($F490="","",'הזנה לתנאי סף'!Y490)</f>
        <v/>
      </c>
      <c r="V490" s="269" t="str">
        <f>IF(F490="","",'הגבלה לסכום מבוקש '!AA490)</f>
        <v/>
      </c>
      <c r="W490" s="187" t="str">
        <f t="shared" si="30"/>
        <v/>
      </c>
      <c r="X490" s="187" t="str">
        <f>IF(F490="","",'הזנה לתנאי סף'!Z490)</f>
        <v/>
      </c>
      <c r="Y490" s="237" t="str">
        <f>IFERROR(VLOOKUP(G490*1,#REF!,3,0),"")</f>
        <v/>
      </c>
      <c r="Z490" s="187" t="str">
        <f>IF(OR($F490="",Y490=""),"",IFERROR(IF(Y490&gt;V490,MIN(Y490,T490)-V490,0),'תחום תמיכה ג'!$Q$2))</f>
        <v/>
      </c>
      <c r="AA490" s="259"/>
      <c r="AB490" s="260" t="str">
        <f t="shared" si="29"/>
        <v/>
      </c>
      <c r="AC490" s="262"/>
      <c r="AD490" s="180"/>
      <c r="AE490" s="13" t="str">
        <f>IF($C490="","",IFERROR(VLOOKUP($C490,גיליון1!$A:$E,2,0),"לא הגיש בקשה שוטפת"))</f>
        <v/>
      </c>
      <c r="AF490" s="13" t="str">
        <f>IF($C490="","",IFERROR(VLOOKUP($C490,גיליון1!$A:$E,3,0),"לא הגיש בקשה שוטפת"))</f>
        <v/>
      </c>
      <c r="AG490" s="13" t="str">
        <f>IF($C490="","",IFERROR(VLOOKUP($C490,גיליון1!$A:$E,4,0),"לא הגיש בקשה שוטפת"))</f>
        <v/>
      </c>
      <c r="AH490" s="13" t="str">
        <f>IF($C490="","",IFERROR(VLOOKUP($C490,גיליון1!$A:$E,5,0),"לא הגיש בקשה שוטפת"))</f>
        <v/>
      </c>
      <c r="AI490" s="13">
        <f t="shared" si="31"/>
        <v>0</v>
      </c>
      <c r="AK490" s="174" t="s">
        <v>250</v>
      </c>
    </row>
    <row r="491" spans="1:37" s="174" customFormat="1" x14ac:dyDescent="0.25">
      <c r="A491" s="54" t="str">
        <f>'הזנה לתנאי סף'!B491</f>
        <v/>
      </c>
      <c r="B491" s="266" t="str">
        <f>IF($F491="","",'הזנה לתנאי סף'!C491)</f>
        <v/>
      </c>
      <c r="C491" s="266" t="str">
        <f>IF($F491="","",'הזנה לתנאי סף'!D491)</f>
        <v/>
      </c>
      <c r="D491" s="266" t="str">
        <f>IF($F491="","",'הזנה לתנאי סף'!E491)</f>
        <v/>
      </c>
      <c r="E491" s="55" t="str">
        <f>IF($F491="","",'הזנה לתנאי סף'!F491)</f>
        <v/>
      </c>
      <c r="F491" s="55" t="str">
        <f>IF('הזנה לתנאי סף'!BL491=1,'הזנה לתנאי סף'!G491,"")</f>
        <v/>
      </c>
      <c r="G491" s="55" t="str">
        <f>IF($F491="","",'הזנה לתנאי סף'!H491)</f>
        <v/>
      </c>
      <c r="H491" s="55" t="str">
        <f>IF($F491="","",'הזנה לתנאי סף'!I491)</f>
        <v/>
      </c>
      <c r="I491" s="187" t="str">
        <f>IF($F491="","",'הזנה לתנאי סף'!R491)</f>
        <v/>
      </c>
      <c r="J491" s="187" t="str">
        <f>IF($F491="","",'תחום תמיכה א'!P491)</f>
        <v/>
      </c>
      <c r="K491" s="177" t="str">
        <f>IF($F491="","",'הזנה לתנאי סף'!N491)</f>
        <v/>
      </c>
      <c r="L491" s="177" t="str">
        <f>IF($F491="","",'הזנה לתנאי סף'!O491)</f>
        <v/>
      </c>
      <c r="M491" s="177" t="str">
        <f>IF($F491="","",'הזנה לתנאי סף'!Q491)</f>
        <v/>
      </c>
      <c r="N491" s="187" t="str">
        <f>IF($F491="","",'תחום תמיכה א'!AE491)</f>
        <v/>
      </c>
      <c r="O491" s="178"/>
      <c r="P491" s="187" t="str">
        <f>IF($F491="","",'תחום תמיכה ב'!AC491)</f>
        <v/>
      </c>
      <c r="Q491" s="187" t="str">
        <f>IF($F491="","",IF('תחום תמיכה ג'!O491="",0,'תחום תמיכה ג'!O491))</f>
        <v/>
      </c>
      <c r="R491" s="187" t="str">
        <f t="shared" si="28"/>
        <v/>
      </c>
      <c r="S491" s="187" t="str">
        <f>IF($F491="","",'תחום תמיכה ב'!AE491)</f>
        <v/>
      </c>
      <c r="T491" s="187" t="str">
        <f>IF($F491="","",IF(Q491='תחום תמיכה ג'!$Q$2,'תחום תמיכה ג'!$Q$2,IFERROR(SUMIF(N491:R491,"&gt;0"),'תחום תמיכה ג'!$Q$2)))</f>
        <v/>
      </c>
      <c r="U491" s="187" t="str">
        <f>IF($F491="","",'הזנה לתנאי סף'!Y491)</f>
        <v/>
      </c>
      <c r="V491" s="269" t="str">
        <f>IF(F491="","",'הגבלה לסכום מבוקש '!AA491)</f>
        <v/>
      </c>
      <c r="W491" s="187" t="str">
        <f t="shared" si="30"/>
        <v/>
      </c>
      <c r="X491" s="187" t="str">
        <f>IF(F491="","",'הזנה לתנאי סף'!Z491)</f>
        <v/>
      </c>
      <c r="Y491" s="237" t="str">
        <f>IFERROR(VLOOKUP(G491*1,#REF!,3,0),"")</f>
        <v/>
      </c>
      <c r="Z491" s="187" t="str">
        <f>IF(OR($F491="",Y491=""),"",IFERROR(IF(Y491&gt;V491,MIN(Y491,T491)-V491,0),'תחום תמיכה ג'!$Q$2))</f>
        <v/>
      </c>
      <c r="AA491" s="259"/>
      <c r="AB491" s="260" t="str">
        <f t="shared" si="29"/>
        <v/>
      </c>
      <c r="AC491" s="262"/>
      <c r="AD491" s="180"/>
      <c r="AE491" s="13" t="str">
        <f>IF($C491="","",IFERROR(VLOOKUP($C491,גיליון1!$A:$E,2,0),"לא הגיש בקשה שוטפת"))</f>
        <v/>
      </c>
      <c r="AF491" s="13" t="str">
        <f>IF($C491="","",IFERROR(VLOOKUP($C491,גיליון1!$A:$E,3,0),"לא הגיש בקשה שוטפת"))</f>
        <v/>
      </c>
      <c r="AG491" s="13" t="str">
        <f>IF($C491="","",IFERROR(VLOOKUP($C491,גיליון1!$A:$E,4,0),"לא הגיש בקשה שוטפת"))</f>
        <v/>
      </c>
      <c r="AH491" s="13" t="str">
        <f>IF($C491="","",IFERROR(VLOOKUP($C491,גיליון1!$A:$E,5,0),"לא הגיש בקשה שוטפת"))</f>
        <v/>
      </c>
      <c r="AI491" s="13">
        <f t="shared" si="31"/>
        <v>0</v>
      </c>
      <c r="AK491" s="174" t="s">
        <v>250</v>
      </c>
    </row>
    <row r="492" spans="1:37" s="174" customFormat="1" x14ac:dyDescent="0.25">
      <c r="A492" s="54" t="str">
        <f>'הזנה לתנאי סף'!B492</f>
        <v/>
      </c>
      <c r="B492" s="266" t="str">
        <f>IF($F492="","",'הזנה לתנאי סף'!C492)</f>
        <v/>
      </c>
      <c r="C492" s="266" t="str">
        <f>IF($F492="","",'הזנה לתנאי סף'!D492)</f>
        <v/>
      </c>
      <c r="D492" s="266" t="str">
        <f>IF($F492="","",'הזנה לתנאי סף'!E492)</f>
        <v/>
      </c>
      <c r="E492" s="55" t="str">
        <f>IF($F492="","",'הזנה לתנאי סף'!F492)</f>
        <v/>
      </c>
      <c r="F492" s="55" t="str">
        <f>IF('הזנה לתנאי סף'!BL492=1,'הזנה לתנאי סף'!G492,"")</f>
        <v/>
      </c>
      <c r="G492" s="55" t="str">
        <f>IF($F492="","",'הזנה לתנאי סף'!H492)</f>
        <v/>
      </c>
      <c r="H492" s="55" t="str">
        <f>IF($F492="","",'הזנה לתנאי סף'!I492)</f>
        <v/>
      </c>
      <c r="I492" s="187" t="str">
        <f>IF($F492="","",'הזנה לתנאי סף'!R492)</f>
        <v/>
      </c>
      <c r="J492" s="187" t="str">
        <f>IF($F492="","",'תחום תמיכה א'!P492)</f>
        <v/>
      </c>
      <c r="K492" s="177" t="str">
        <f>IF($F492="","",'הזנה לתנאי סף'!N492)</f>
        <v/>
      </c>
      <c r="L492" s="177" t="str">
        <f>IF($F492="","",'הזנה לתנאי סף'!O492)</f>
        <v/>
      </c>
      <c r="M492" s="177" t="str">
        <f>IF($F492="","",'הזנה לתנאי סף'!Q492)</f>
        <v/>
      </c>
      <c r="N492" s="187" t="str">
        <f>IF($F492="","",'תחום תמיכה א'!AE492)</f>
        <v/>
      </c>
      <c r="O492" s="178"/>
      <c r="P492" s="187" t="str">
        <f>IF($F492="","",'תחום תמיכה ב'!AC492)</f>
        <v/>
      </c>
      <c r="Q492" s="187" t="str">
        <f>IF($F492="","",IF('תחום תמיכה ג'!O492="",0,'תחום תמיכה ג'!O492))</f>
        <v/>
      </c>
      <c r="R492" s="187" t="str">
        <f t="shared" si="28"/>
        <v/>
      </c>
      <c r="S492" s="187" t="str">
        <f>IF($F492="","",'תחום תמיכה ב'!AE492)</f>
        <v/>
      </c>
      <c r="T492" s="187" t="str">
        <f>IF($F492="","",IF(Q492='תחום תמיכה ג'!$Q$2,'תחום תמיכה ג'!$Q$2,IFERROR(SUMIF(N492:R492,"&gt;0"),'תחום תמיכה ג'!$Q$2)))</f>
        <v/>
      </c>
      <c r="U492" s="187" t="str">
        <f>IF($F492="","",'הזנה לתנאי סף'!Y492)</f>
        <v/>
      </c>
      <c r="V492" s="269" t="str">
        <f>IF(F492="","",'הגבלה לסכום מבוקש '!AA492)</f>
        <v/>
      </c>
      <c r="W492" s="187" t="str">
        <f t="shared" si="30"/>
        <v/>
      </c>
      <c r="X492" s="187" t="str">
        <f>IF(F492="","",'הזנה לתנאי סף'!Z492)</f>
        <v/>
      </c>
      <c r="Y492" s="237" t="str">
        <f>IFERROR(VLOOKUP(G492*1,#REF!,3,0),"")</f>
        <v/>
      </c>
      <c r="Z492" s="187" t="str">
        <f>IF(OR($F492="",Y492=""),"",IFERROR(IF(Y492&gt;V492,MIN(Y492,T492)-V492,0),'תחום תמיכה ג'!$Q$2))</f>
        <v/>
      </c>
      <c r="AA492" s="259"/>
      <c r="AB492" s="260" t="str">
        <f t="shared" si="29"/>
        <v/>
      </c>
      <c r="AC492" s="262"/>
      <c r="AD492" s="180"/>
      <c r="AE492" s="13" t="str">
        <f>IF($C492="","",IFERROR(VLOOKUP($C492,גיליון1!$A:$E,2,0),"לא הגיש בקשה שוטפת"))</f>
        <v/>
      </c>
      <c r="AF492" s="13" t="str">
        <f>IF($C492="","",IFERROR(VLOOKUP($C492,גיליון1!$A:$E,3,0),"לא הגיש בקשה שוטפת"))</f>
        <v/>
      </c>
      <c r="AG492" s="13" t="str">
        <f>IF($C492="","",IFERROR(VLOOKUP($C492,גיליון1!$A:$E,4,0),"לא הגיש בקשה שוטפת"))</f>
        <v/>
      </c>
      <c r="AH492" s="13" t="str">
        <f>IF($C492="","",IFERROR(VLOOKUP($C492,גיליון1!$A:$E,5,0),"לא הגיש בקשה שוטפת"))</f>
        <v/>
      </c>
      <c r="AI492" s="13">
        <f t="shared" si="31"/>
        <v>0</v>
      </c>
      <c r="AK492" s="174" t="s">
        <v>250</v>
      </c>
    </row>
    <row r="493" spans="1:37" s="174" customFormat="1" x14ac:dyDescent="0.25">
      <c r="A493" s="54" t="str">
        <f>'הזנה לתנאי סף'!B493</f>
        <v/>
      </c>
      <c r="B493" s="266" t="str">
        <f>IF($F493="","",'הזנה לתנאי סף'!C493)</f>
        <v/>
      </c>
      <c r="C493" s="266" t="str">
        <f>IF($F493="","",'הזנה לתנאי סף'!D493)</f>
        <v/>
      </c>
      <c r="D493" s="266" t="str">
        <f>IF($F493="","",'הזנה לתנאי סף'!E493)</f>
        <v/>
      </c>
      <c r="E493" s="55" t="str">
        <f>IF($F493="","",'הזנה לתנאי סף'!F493)</f>
        <v/>
      </c>
      <c r="F493" s="55" t="str">
        <f>IF('הזנה לתנאי סף'!BL493=1,'הזנה לתנאי סף'!G493,"")</f>
        <v/>
      </c>
      <c r="G493" s="55" t="str">
        <f>IF($F493="","",'הזנה לתנאי סף'!H493)</f>
        <v/>
      </c>
      <c r="H493" s="55" t="str">
        <f>IF($F493="","",'הזנה לתנאי סף'!I493)</f>
        <v/>
      </c>
      <c r="I493" s="187" t="str">
        <f>IF($F493="","",'הזנה לתנאי סף'!R493)</f>
        <v/>
      </c>
      <c r="J493" s="187" t="str">
        <f>IF($F493="","",'תחום תמיכה א'!P493)</f>
        <v/>
      </c>
      <c r="K493" s="177" t="str">
        <f>IF($F493="","",'הזנה לתנאי סף'!N493)</f>
        <v/>
      </c>
      <c r="L493" s="177" t="str">
        <f>IF($F493="","",'הזנה לתנאי סף'!O493)</f>
        <v/>
      </c>
      <c r="M493" s="177" t="str">
        <f>IF($F493="","",'הזנה לתנאי סף'!Q493)</f>
        <v/>
      </c>
      <c r="N493" s="187" t="str">
        <f>IF($F493="","",'תחום תמיכה א'!AE493)</f>
        <v/>
      </c>
      <c r="O493" s="178"/>
      <c r="P493" s="187" t="str">
        <f>IF($F493="","",'תחום תמיכה ב'!AC493)</f>
        <v/>
      </c>
      <c r="Q493" s="187" t="str">
        <f>IF($F493="","",IF('תחום תמיכה ג'!O493="",0,'תחום תמיכה ג'!O493))</f>
        <v/>
      </c>
      <c r="R493" s="187" t="str">
        <f t="shared" si="28"/>
        <v/>
      </c>
      <c r="S493" s="187" t="str">
        <f>IF($F493="","",'תחום תמיכה ב'!AE493)</f>
        <v/>
      </c>
      <c r="T493" s="187" t="str">
        <f>IF($F493="","",IF(Q493='תחום תמיכה ג'!$Q$2,'תחום תמיכה ג'!$Q$2,IFERROR(SUMIF(N493:R493,"&gt;0"),'תחום תמיכה ג'!$Q$2)))</f>
        <v/>
      </c>
      <c r="U493" s="187" t="str">
        <f>IF($F493="","",'הזנה לתנאי סף'!Y493)</f>
        <v/>
      </c>
      <c r="V493" s="269" t="str">
        <f>IF(F493="","",'הגבלה לסכום מבוקש '!AA493)</f>
        <v/>
      </c>
      <c r="W493" s="187" t="str">
        <f t="shared" si="30"/>
        <v/>
      </c>
      <c r="X493" s="187" t="str">
        <f>IF(F493="","",'הזנה לתנאי סף'!Z493)</f>
        <v/>
      </c>
      <c r="Y493" s="237" t="str">
        <f>IFERROR(VLOOKUP(G493*1,#REF!,3,0),"")</f>
        <v/>
      </c>
      <c r="Z493" s="187" t="str">
        <f>IF(OR($F493="",Y493=""),"",IFERROR(IF(Y493&gt;V493,MIN(Y493,T493)-V493,0),'תחום תמיכה ג'!$Q$2))</f>
        <v/>
      </c>
      <c r="AA493" s="259"/>
      <c r="AB493" s="260" t="str">
        <f t="shared" si="29"/>
        <v/>
      </c>
      <c r="AC493" s="262"/>
      <c r="AD493" s="180"/>
      <c r="AE493" s="13" t="str">
        <f>IF($C493="","",IFERROR(VLOOKUP($C493,גיליון1!$A:$E,2,0),"לא הגיש בקשה שוטפת"))</f>
        <v/>
      </c>
      <c r="AF493" s="13" t="str">
        <f>IF($C493="","",IFERROR(VLOOKUP($C493,גיליון1!$A:$E,3,0),"לא הגיש בקשה שוטפת"))</f>
        <v/>
      </c>
      <c r="AG493" s="13" t="str">
        <f>IF($C493="","",IFERROR(VLOOKUP($C493,גיליון1!$A:$E,4,0),"לא הגיש בקשה שוטפת"))</f>
        <v/>
      </c>
      <c r="AH493" s="13" t="str">
        <f>IF($C493="","",IFERROR(VLOOKUP($C493,גיליון1!$A:$E,5,0),"לא הגיש בקשה שוטפת"))</f>
        <v/>
      </c>
      <c r="AI493" s="13">
        <f t="shared" si="31"/>
        <v>0</v>
      </c>
      <c r="AK493" s="174" t="s">
        <v>250</v>
      </c>
    </row>
    <row r="494" spans="1:37" s="174" customFormat="1" x14ac:dyDescent="0.25">
      <c r="A494" s="54" t="str">
        <f>'הזנה לתנאי סף'!B494</f>
        <v/>
      </c>
      <c r="B494" s="266" t="str">
        <f>IF($F494="","",'הזנה לתנאי סף'!C494)</f>
        <v/>
      </c>
      <c r="C494" s="266" t="str">
        <f>IF($F494="","",'הזנה לתנאי סף'!D494)</f>
        <v/>
      </c>
      <c r="D494" s="266" t="str">
        <f>IF($F494="","",'הזנה לתנאי סף'!E494)</f>
        <v/>
      </c>
      <c r="E494" s="55" t="str">
        <f>IF($F494="","",'הזנה לתנאי סף'!F494)</f>
        <v/>
      </c>
      <c r="F494" s="55" t="str">
        <f>IF('הזנה לתנאי סף'!BL494=1,'הזנה לתנאי סף'!G494,"")</f>
        <v/>
      </c>
      <c r="G494" s="55" t="str">
        <f>IF($F494="","",'הזנה לתנאי סף'!H494)</f>
        <v/>
      </c>
      <c r="H494" s="55" t="str">
        <f>IF($F494="","",'הזנה לתנאי סף'!I494)</f>
        <v/>
      </c>
      <c r="I494" s="187" t="str">
        <f>IF($F494="","",'הזנה לתנאי סף'!R494)</f>
        <v/>
      </c>
      <c r="J494" s="187" t="str">
        <f>IF($F494="","",'תחום תמיכה א'!P494)</f>
        <v/>
      </c>
      <c r="K494" s="177" t="str">
        <f>IF($F494="","",'הזנה לתנאי סף'!N494)</f>
        <v/>
      </c>
      <c r="L494" s="177" t="str">
        <f>IF($F494="","",'הזנה לתנאי סף'!O494)</f>
        <v/>
      </c>
      <c r="M494" s="177" t="str">
        <f>IF($F494="","",'הזנה לתנאי סף'!Q494)</f>
        <v/>
      </c>
      <c r="N494" s="187" t="str">
        <f>IF($F494="","",'תחום תמיכה א'!AE494)</f>
        <v/>
      </c>
      <c r="O494" s="178"/>
      <c r="P494" s="187" t="str">
        <f>IF($F494="","",'תחום תמיכה ב'!AC494)</f>
        <v/>
      </c>
      <c r="Q494" s="187" t="str">
        <f>IF($F494="","",IF('תחום תמיכה ג'!O494="",0,'תחום תמיכה ג'!O494))</f>
        <v/>
      </c>
      <c r="R494" s="187" t="str">
        <f t="shared" si="28"/>
        <v/>
      </c>
      <c r="S494" s="187" t="str">
        <f>IF($F494="","",'תחום תמיכה ב'!AE494)</f>
        <v/>
      </c>
      <c r="T494" s="187" t="str">
        <f>IF($F494="","",IF(Q494='תחום תמיכה ג'!$Q$2,'תחום תמיכה ג'!$Q$2,IFERROR(SUMIF(N494:R494,"&gt;0"),'תחום תמיכה ג'!$Q$2)))</f>
        <v/>
      </c>
      <c r="U494" s="187" t="str">
        <f>IF($F494="","",'הזנה לתנאי סף'!Y494)</f>
        <v/>
      </c>
      <c r="V494" s="269" t="str">
        <f>IF(F494="","",'הגבלה לסכום מבוקש '!AA494)</f>
        <v/>
      </c>
      <c r="W494" s="187" t="str">
        <f t="shared" si="30"/>
        <v/>
      </c>
      <c r="X494" s="187" t="str">
        <f>IF(F494="","",'הזנה לתנאי סף'!Z494)</f>
        <v/>
      </c>
      <c r="Y494" s="237" t="str">
        <f>IFERROR(VLOOKUP(G494*1,#REF!,3,0),"")</f>
        <v/>
      </c>
      <c r="Z494" s="187" t="str">
        <f>IF(OR($F494="",Y494=""),"",IFERROR(IF(Y494&gt;V494,MIN(Y494,T494)-V494,0),'תחום תמיכה ג'!$Q$2))</f>
        <v/>
      </c>
      <c r="AA494" s="259"/>
      <c r="AB494" s="260" t="str">
        <f t="shared" si="29"/>
        <v/>
      </c>
      <c r="AC494" s="262"/>
      <c r="AD494" s="180"/>
      <c r="AE494" s="13" t="str">
        <f>IF($C494="","",IFERROR(VLOOKUP($C494,גיליון1!$A:$E,2,0),"לא הגיש בקשה שוטפת"))</f>
        <v/>
      </c>
      <c r="AF494" s="13" t="str">
        <f>IF($C494="","",IFERROR(VLOOKUP($C494,גיליון1!$A:$E,3,0),"לא הגיש בקשה שוטפת"))</f>
        <v/>
      </c>
      <c r="AG494" s="13" t="str">
        <f>IF($C494="","",IFERROR(VLOOKUP($C494,גיליון1!$A:$E,4,0),"לא הגיש בקשה שוטפת"))</f>
        <v/>
      </c>
      <c r="AH494" s="13" t="str">
        <f>IF($C494="","",IFERROR(VLOOKUP($C494,גיליון1!$A:$E,5,0),"לא הגיש בקשה שוטפת"))</f>
        <v/>
      </c>
      <c r="AI494" s="13">
        <f t="shared" si="31"/>
        <v>0</v>
      </c>
      <c r="AK494" s="174" t="s">
        <v>250</v>
      </c>
    </row>
    <row r="495" spans="1:37" s="174" customFormat="1" x14ac:dyDescent="0.25">
      <c r="A495" s="54" t="str">
        <f>'הזנה לתנאי סף'!B495</f>
        <v/>
      </c>
      <c r="B495" s="266" t="str">
        <f>IF($F495="","",'הזנה לתנאי סף'!C495)</f>
        <v/>
      </c>
      <c r="C495" s="266" t="str">
        <f>IF($F495="","",'הזנה לתנאי סף'!D495)</f>
        <v/>
      </c>
      <c r="D495" s="266" t="str">
        <f>IF($F495="","",'הזנה לתנאי סף'!E495)</f>
        <v/>
      </c>
      <c r="E495" s="55" t="str">
        <f>IF($F495="","",'הזנה לתנאי סף'!F495)</f>
        <v/>
      </c>
      <c r="F495" s="55" t="str">
        <f>IF('הזנה לתנאי סף'!BL495=1,'הזנה לתנאי סף'!G495,"")</f>
        <v/>
      </c>
      <c r="G495" s="55" t="str">
        <f>IF($F495="","",'הזנה לתנאי סף'!H495)</f>
        <v/>
      </c>
      <c r="H495" s="55" t="str">
        <f>IF($F495="","",'הזנה לתנאי סף'!I495)</f>
        <v/>
      </c>
      <c r="I495" s="187" t="str">
        <f>IF($F495="","",'הזנה לתנאי סף'!R495)</f>
        <v/>
      </c>
      <c r="J495" s="187" t="str">
        <f>IF($F495="","",'תחום תמיכה א'!P495)</f>
        <v/>
      </c>
      <c r="K495" s="177" t="str">
        <f>IF($F495="","",'הזנה לתנאי סף'!N495)</f>
        <v/>
      </c>
      <c r="L495" s="177" t="str">
        <f>IF($F495="","",'הזנה לתנאי סף'!O495)</f>
        <v/>
      </c>
      <c r="M495" s="177" t="str">
        <f>IF($F495="","",'הזנה לתנאי סף'!Q495)</f>
        <v/>
      </c>
      <c r="N495" s="187" t="str">
        <f>IF($F495="","",'תחום תמיכה א'!AE495)</f>
        <v/>
      </c>
      <c r="O495" s="178"/>
      <c r="P495" s="187" t="str">
        <f>IF($F495="","",'תחום תמיכה ב'!AC495)</f>
        <v/>
      </c>
      <c r="Q495" s="187" t="str">
        <f>IF($F495="","",IF('תחום תמיכה ג'!O495="",0,'תחום תמיכה ג'!O495))</f>
        <v/>
      </c>
      <c r="R495" s="187" t="str">
        <f t="shared" si="28"/>
        <v/>
      </c>
      <c r="S495" s="187" t="str">
        <f>IF($F495="","",'תחום תמיכה ב'!AE495)</f>
        <v/>
      </c>
      <c r="T495" s="187" t="str">
        <f>IF($F495="","",IF(Q495='תחום תמיכה ג'!$Q$2,'תחום תמיכה ג'!$Q$2,IFERROR(SUMIF(N495:R495,"&gt;0"),'תחום תמיכה ג'!$Q$2)))</f>
        <v/>
      </c>
      <c r="U495" s="187" t="str">
        <f>IF($F495="","",'הזנה לתנאי סף'!Y495)</f>
        <v/>
      </c>
      <c r="V495" s="269" t="str">
        <f>IF(F495="","",'הגבלה לסכום מבוקש '!AA495)</f>
        <v/>
      </c>
      <c r="W495" s="187" t="str">
        <f t="shared" si="30"/>
        <v/>
      </c>
      <c r="X495" s="187" t="str">
        <f>IF(F495="","",'הזנה לתנאי סף'!Z495)</f>
        <v/>
      </c>
      <c r="Y495" s="237" t="str">
        <f>IFERROR(VLOOKUP(G495*1,#REF!,3,0),"")</f>
        <v/>
      </c>
      <c r="Z495" s="187" t="str">
        <f>IF(OR($F495="",Y495=""),"",IFERROR(IF(Y495&gt;V495,MIN(Y495,T495)-V495,0),'תחום תמיכה ג'!$Q$2))</f>
        <v/>
      </c>
      <c r="AA495" s="259"/>
      <c r="AB495" s="260" t="str">
        <f t="shared" si="29"/>
        <v/>
      </c>
      <c r="AC495" s="262"/>
      <c r="AD495" s="180"/>
      <c r="AE495" s="13" t="str">
        <f>IF($C495="","",IFERROR(VLOOKUP($C495,גיליון1!$A:$E,2,0),"לא הגיש בקשה שוטפת"))</f>
        <v/>
      </c>
      <c r="AF495" s="13" t="str">
        <f>IF($C495="","",IFERROR(VLOOKUP($C495,גיליון1!$A:$E,3,0),"לא הגיש בקשה שוטפת"))</f>
        <v/>
      </c>
      <c r="AG495" s="13" t="str">
        <f>IF($C495="","",IFERROR(VLOOKUP($C495,גיליון1!$A:$E,4,0),"לא הגיש בקשה שוטפת"))</f>
        <v/>
      </c>
      <c r="AH495" s="13" t="str">
        <f>IF($C495="","",IFERROR(VLOOKUP($C495,גיליון1!$A:$E,5,0),"לא הגיש בקשה שוטפת"))</f>
        <v/>
      </c>
      <c r="AI495" s="13">
        <f t="shared" si="31"/>
        <v>0</v>
      </c>
      <c r="AK495" s="174" t="s">
        <v>250</v>
      </c>
    </row>
    <row r="496" spans="1:37" s="174" customFormat="1" x14ac:dyDescent="0.25">
      <c r="A496" s="54" t="str">
        <f>'הזנה לתנאי סף'!B496</f>
        <v/>
      </c>
      <c r="B496" s="266" t="str">
        <f>IF($F496="","",'הזנה לתנאי סף'!C496)</f>
        <v/>
      </c>
      <c r="C496" s="266" t="str">
        <f>IF($F496="","",'הזנה לתנאי סף'!D496)</f>
        <v/>
      </c>
      <c r="D496" s="266" t="str">
        <f>IF($F496="","",'הזנה לתנאי סף'!E496)</f>
        <v/>
      </c>
      <c r="E496" s="55" t="str">
        <f>IF($F496="","",'הזנה לתנאי סף'!F496)</f>
        <v/>
      </c>
      <c r="F496" s="55" t="str">
        <f>IF('הזנה לתנאי סף'!BL496=1,'הזנה לתנאי סף'!G496,"")</f>
        <v/>
      </c>
      <c r="G496" s="55" t="str">
        <f>IF($F496="","",'הזנה לתנאי סף'!H496)</f>
        <v/>
      </c>
      <c r="H496" s="55" t="str">
        <f>IF($F496="","",'הזנה לתנאי סף'!I496)</f>
        <v/>
      </c>
      <c r="I496" s="187" t="str">
        <f>IF($F496="","",'הזנה לתנאי סף'!R496)</f>
        <v/>
      </c>
      <c r="J496" s="187" t="str">
        <f>IF($F496="","",'תחום תמיכה א'!P496)</f>
        <v/>
      </c>
      <c r="K496" s="177" t="str">
        <f>IF($F496="","",'הזנה לתנאי סף'!N496)</f>
        <v/>
      </c>
      <c r="L496" s="177" t="str">
        <f>IF($F496="","",'הזנה לתנאי סף'!O496)</f>
        <v/>
      </c>
      <c r="M496" s="177" t="str">
        <f>IF($F496="","",'הזנה לתנאי סף'!Q496)</f>
        <v/>
      </c>
      <c r="N496" s="187" t="str">
        <f>IF($F496="","",'תחום תמיכה א'!AE496)</f>
        <v/>
      </c>
      <c r="O496" s="178"/>
      <c r="P496" s="187" t="str">
        <f>IF($F496="","",'תחום תמיכה ב'!AC496)</f>
        <v/>
      </c>
      <c r="Q496" s="187" t="str">
        <f>IF($F496="","",IF('תחום תמיכה ג'!O496="",0,'תחום תמיכה ג'!O496))</f>
        <v/>
      </c>
      <c r="R496" s="187" t="str">
        <f t="shared" si="28"/>
        <v/>
      </c>
      <c r="S496" s="187" t="str">
        <f>IF($F496="","",'תחום תמיכה ב'!AE496)</f>
        <v/>
      </c>
      <c r="T496" s="187" t="str">
        <f>IF($F496="","",IF(Q496='תחום תמיכה ג'!$Q$2,'תחום תמיכה ג'!$Q$2,IFERROR(SUMIF(N496:R496,"&gt;0"),'תחום תמיכה ג'!$Q$2)))</f>
        <v/>
      </c>
      <c r="U496" s="187" t="str">
        <f>IF($F496="","",'הזנה לתנאי סף'!Y496)</f>
        <v/>
      </c>
      <c r="V496" s="269" t="str">
        <f>IF(F496="","",'הגבלה לסכום מבוקש '!AA496)</f>
        <v/>
      </c>
      <c r="W496" s="187" t="str">
        <f t="shared" si="30"/>
        <v/>
      </c>
      <c r="X496" s="187" t="str">
        <f>IF(F496="","",'הזנה לתנאי סף'!Z496)</f>
        <v/>
      </c>
      <c r="Y496" s="237" t="str">
        <f>IFERROR(VLOOKUP(G496*1,#REF!,3,0),"")</f>
        <v/>
      </c>
      <c r="Z496" s="187" t="str">
        <f>IF(OR($F496="",Y496=""),"",IFERROR(IF(Y496&gt;V496,MIN(Y496,T496)-V496,0),'תחום תמיכה ג'!$Q$2))</f>
        <v/>
      </c>
      <c r="AA496" s="259"/>
      <c r="AB496" s="260" t="str">
        <f t="shared" si="29"/>
        <v/>
      </c>
      <c r="AC496" s="262"/>
      <c r="AD496" s="180"/>
      <c r="AE496" s="13" t="str">
        <f>IF($C496="","",IFERROR(VLOOKUP($C496,גיליון1!$A:$E,2,0),"לא הגיש בקשה שוטפת"))</f>
        <v/>
      </c>
      <c r="AF496" s="13" t="str">
        <f>IF($C496="","",IFERROR(VLOOKUP($C496,גיליון1!$A:$E,3,0),"לא הגיש בקשה שוטפת"))</f>
        <v/>
      </c>
      <c r="AG496" s="13" t="str">
        <f>IF($C496="","",IFERROR(VLOOKUP($C496,גיליון1!$A:$E,4,0),"לא הגיש בקשה שוטפת"))</f>
        <v/>
      </c>
      <c r="AH496" s="13" t="str">
        <f>IF($C496="","",IFERROR(VLOOKUP($C496,גיליון1!$A:$E,5,0),"לא הגיש בקשה שוטפת"))</f>
        <v/>
      </c>
      <c r="AI496" s="13">
        <f t="shared" si="31"/>
        <v>0</v>
      </c>
      <c r="AK496" s="174" t="s">
        <v>250</v>
      </c>
    </row>
    <row r="497" spans="1:38" s="174" customFormat="1" x14ac:dyDescent="0.25">
      <c r="A497" s="54" t="str">
        <f>'הזנה לתנאי סף'!B497</f>
        <v/>
      </c>
      <c r="B497" s="266" t="str">
        <f>IF($F497="","",'הזנה לתנאי סף'!C497)</f>
        <v/>
      </c>
      <c r="C497" s="266" t="str">
        <f>IF($F497="","",'הזנה לתנאי סף'!D497)</f>
        <v/>
      </c>
      <c r="D497" s="266" t="str">
        <f>IF($F497="","",'הזנה לתנאי סף'!E497)</f>
        <v/>
      </c>
      <c r="E497" s="55" t="str">
        <f>IF($F497="","",'הזנה לתנאי סף'!F497)</f>
        <v/>
      </c>
      <c r="F497" s="55" t="str">
        <f>IF('הזנה לתנאי סף'!BL497=1,'הזנה לתנאי סף'!G497,"")</f>
        <v/>
      </c>
      <c r="G497" s="55" t="str">
        <f>IF($F497="","",'הזנה לתנאי סף'!H497)</f>
        <v/>
      </c>
      <c r="H497" s="55" t="str">
        <f>IF($F497="","",'הזנה לתנאי סף'!I497)</f>
        <v/>
      </c>
      <c r="I497" s="187" t="str">
        <f>IF($F497="","",'הזנה לתנאי סף'!R497)</f>
        <v/>
      </c>
      <c r="J497" s="187" t="str">
        <f>IF($F497="","",'תחום תמיכה א'!P497)</f>
        <v/>
      </c>
      <c r="K497" s="177" t="str">
        <f>IF($F497="","",'הזנה לתנאי סף'!N497)</f>
        <v/>
      </c>
      <c r="L497" s="177" t="str">
        <f>IF($F497="","",'הזנה לתנאי סף'!O497)</f>
        <v/>
      </c>
      <c r="M497" s="177" t="str">
        <f>IF($F497="","",'הזנה לתנאי סף'!Q497)</f>
        <v/>
      </c>
      <c r="N497" s="187" t="str">
        <f>IF($F497="","",'תחום תמיכה א'!AE497)</f>
        <v/>
      </c>
      <c r="O497" s="178"/>
      <c r="P497" s="187" t="str">
        <f>IF($F497="","",'תחום תמיכה ב'!AC497)</f>
        <v/>
      </c>
      <c r="Q497" s="187" t="str">
        <f>IF($F497="","",IF('תחום תמיכה ג'!O497="",0,'תחום תמיכה ג'!O497))</f>
        <v/>
      </c>
      <c r="R497" s="187" t="str">
        <f t="shared" si="28"/>
        <v/>
      </c>
      <c r="S497" s="187" t="str">
        <f>IF($F497="","",'תחום תמיכה ב'!AE497)</f>
        <v/>
      </c>
      <c r="T497" s="187" t="str">
        <f>IF($F497="","",IF(Q497='תחום תמיכה ג'!$Q$2,'תחום תמיכה ג'!$Q$2,IFERROR(SUMIF(N497:R497,"&gt;0"),'תחום תמיכה ג'!$Q$2)))</f>
        <v/>
      </c>
      <c r="U497" s="187" t="str">
        <f>IF($F497="","",'הזנה לתנאי סף'!Y497)</f>
        <v/>
      </c>
      <c r="V497" s="269" t="str">
        <f>IF(F497="","",'הגבלה לסכום מבוקש '!AA497)</f>
        <v/>
      </c>
      <c r="W497" s="187" t="str">
        <f t="shared" si="30"/>
        <v/>
      </c>
      <c r="X497" s="187" t="str">
        <f>IF(F497="","",'הזנה לתנאי סף'!Z497)</f>
        <v/>
      </c>
      <c r="Y497" s="237" t="str">
        <f>IFERROR(VLOOKUP(G497*1,#REF!,3,0),"")</f>
        <v/>
      </c>
      <c r="Z497" s="187" t="str">
        <f>IF(OR($F497="",Y497=""),"",IFERROR(IF(Y497&gt;V497,MIN(Y497,T497)-V497,0),'תחום תמיכה ג'!$Q$2))</f>
        <v/>
      </c>
      <c r="AA497" s="259"/>
      <c r="AB497" s="260" t="str">
        <f t="shared" si="29"/>
        <v/>
      </c>
      <c r="AC497" s="262"/>
      <c r="AD497" s="180"/>
      <c r="AE497" s="13" t="str">
        <f>IF($C497="","",IFERROR(VLOOKUP($C497,גיליון1!$A:$E,2,0),"לא הגיש בקשה שוטפת"))</f>
        <v/>
      </c>
      <c r="AF497" s="13" t="str">
        <f>IF($C497="","",IFERROR(VLOOKUP($C497,גיליון1!$A:$E,3,0),"לא הגיש בקשה שוטפת"))</f>
        <v/>
      </c>
      <c r="AG497" s="13" t="str">
        <f>IF($C497="","",IFERROR(VLOOKUP($C497,גיליון1!$A:$E,4,0),"לא הגיש בקשה שוטפת"))</f>
        <v/>
      </c>
      <c r="AH497" s="13" t="str">
        <f>IF($C497="","",IFERROR(VLOOKUP($C497,גיליון1!$A:$E,5,0),"לא הגיש בקשה שוטפת"))</f>
        <v/>
      </c>
      <c r="AI497" s="13">
        <f t="shared" si="31"/>
        <v>0</v>
      </c>
      <c r="AK497" s="174" t="s">
        <v>250</v>
      </c>
    </row>
    <row r="498" spans="1:38" s="174" customFormat="1" x14ac:dyDescent="0.25">
      <c r="A498" s="54" t="str">
        <f>'הזנה לתנאי סף'!B498</f>
        <v/>
      </c>
      <c r="B498" s="266" t="str">
        <f>IF($F498="","",'הזנה לתנאי סף'!C498)</f>
        <v/>
      </c>
      <c r="C498" s="266" t="str">
        <f>IF($F498="","",'הזנה לתנאי סף'!D498)</f>
        <v/>
      </c>
      <c r="D498" s="266" t="str">
        <f>IF($F498="","",'הזנה לתנאי סף'!E498)</f>
        <v/>
      </c>
      <c r="E498" s="55" t="str">
        <f>IF($F498="","",'הזנה לתנאי סף'!F498)</f>
        <v/>
      </c>
      <c r="F498" s="55" t="str">
        <f>IF('הזנה לתנאי סף'!BL498=1,'הזנה לתנאי סף'!G498,"")</f>
        <v/>
      </c>
      <c r="G498" s="55" t="str">
        <f>IF($F498="","",'הזנה לתנאי סף'!H498)</f>
        <v/>
      </c>
      <c r="H498" s="55" t="str">
        <f>IF($F498="","",'הזנה לתנאי סף'!I498)</f>
        <v/>
      </c>
      <c r="I498" s="187" t="str">
        <f>IF($F498="","",'הזנה לתנאי סף'!R498)</f>
        <v/>
      </c>
      <c r="J498" s="187" t="str">
        <f>IF($F498="","",'תחום תמיכה א'!P498)</f>
        <v/>
      </c>
      <c r="K498" s="177" t="str">
        <f>IF($F498="","",'הזנה לתנאי סף'!N498)</f>
        <v/>
      </c>
      <c r="L498" s="177" t="str">
        <f>IF($F498="","",'הזנה לתנאי סף'!O498)</f>
        <v/>
      </c>
      <c r="M498" s="177" t="str">
        <f>IF($F498="","",'הזנה לתנאי סף'!Q498)</f>
        <v/>
      </c>
      <c r="N498" s="187" t="str">
        <f>IF($F498="","",'תחום תמיכה א'!AE498)</f>
        <v/>
      </c>
      <c r="O498" s="178"/>
      <c r="P498" s="187" t="str">
        <f>IF($F498="","",'תחום תמיכה ב'!AC498)</f>
        <v/>
      </c>
      <c r="Q498" s="187" t="str">
        <f>IF($F498="","",IF('תחום תמיכה ג'!O498="",0,'תחום תמיכה ג'!O498))</f>
        <v/>
      </c>
      <c r="R498" s="187" t="str">
        <f t="shared" si="28"/>
        <v/>
      </c>
      <c r="S498" s="187" t="str">
        <f>IF($F498="","",'תחום תמיכה ב'!AE498)</f>
        <v/>
      </c>
      <c r="T498" s="187" t="str">
        <f>IF($F498="","",IF(Q498='תחום תמיכה ג'!$Q$2,'תחום תמיכה ג'!$Q$2,IFERROR(SUMIF(N498:R498,"&gt;0"),'תחום תמיכה ג'!$Q$2)))</f>
        <v/>
      </c>
      <c r="U498" s="187" t="str">
        <f>IF($F498="","",'הזנה לתנאי סף'!Y498)</f>
        <v/>
      </c>
      <c r="V498" s="269" t="str">
        <f>IF(F498="","",'הגבלה לסכום מבוקש '!AA498)</f>
        <v/>
      </c>
      <c r="W498" s="187" t="str">
        <f t="shared" si="30"/>
        <v/>
      </c>
      <c r="X498" s="187" t="str">
        <f>IF(F498="","",'הזנה לתנאי סף'!Z498)</f>
        <v/>
      </c>
      <c r="Y498" s="237" t="str">
        <f>IFERROR(VLOOKUP(G498*1,#REF!,3,0),"")</f>
        <v/>
      </c>
      <c r="Z498" s="187" t="str">
        <f>IF(OR($F498="",Y498=""),"",IFERROR(IF(Y498&gt;V498,MIN(Y498,T498)-V498,0),'תחום תמיכה ג'!$Q$2))</f>
        <v/>
      </c>
      <c r="AA498" s="259"/>
      <c r="AB498" s="260" t="str">
        <f t="shared" si="29"/>
        <v/>
      </c>
      <c r="AC498" s="262"/>
      <c r="AD498" s="180"/>
      <c r="AE498" s="13" t="str">
        <f>IF($C498="","",IFERROR(VLOOKUP($C498,גיליון1!$A:$E,2,0),"לא הגיש בקשה שוטפת"))</f>
        <v/>
      </c>
      <c r="AF498" s="13" t="str">
        <f>IF($C498="","",IFERROR(VLOOKUP($C498,גיליון1!$A:$E,3,0),"לא הגיש בקשה שוטפת"))</f>
        <v/>
      </c>
      <c r="AG498" s="13" t="str">
        <f>IF($C498="","",IFERROR(VLOOKUP($C498,גיליון1!$A:$E,4,0),"לא הגיש בקשה שוטפת"))</f>
        <v/>
      </c>
      <c r="AH498" s="13" t="str">
        <f>IF($C498="","",IFERROR(VLOOKUP($C498,גיליון1!$A:$E,5,0),"לא הגיש בקשה שוטפת"))</f>
        <v/>
      </c>
      <c r="AI498" s="13">
        <f t="shared" si="31"/>
        <v>0</v>
      </c>
      <c r="AK498" s="174" t="s">
        <v>250</v>
      </c>
    </row>
    <row r="499" spans="1:38" s="174" customFormat="1" x14ac:dyDescent="0.25">
      <c r="A499" s="54" t="str">
        <f>'הזנה לתנאי סף'!B499</f>
        <v/>
      </c>
      <c r="B499" s="266" t="str">
        <f>IF($F499="","",'הזנה לתנאי סף'!C499)</f>
        <v/>
      </c>
      <c r="C499" s="266" t="str">
        <f>IF($F499="","",'הזנה לתנאי סף'!D499)</f>
        <v/>
      </c>
      <c r="D499" s="266" t="str">
        <f>IF($F499="","",'הזנה לתנאי סף'!E499)</f>
        <v/>
      </c>
      <c r="E499" s="55" t="str">
        <f>IF($F499="","",'הזנה לתנאי סף'!F499)</f>
        <v/>
      </c>
      <c r="F499" s="55" t="str">
        <f>IF('הזנה לתנאי סף'!BL499=1,'הזנה לתנאי סף'!G499,"")</f>
        <v/>
      </c>
      <c r="G499" s="55" t="str">
        <f>IF($F499="","",'הזנה לתנאי סף'!H499)</f>
        <v/>
      </c>
      <c r="H499" s="55" t="str">
        <f>IF($F499="","",'הזנה לתנאי סף'!I499)</f>
        <v/>
      </c>
      <c r="I499" s="187" t="str">
        <f>IF($F499="","",'הזנה לתנאי סף'!R499)</f>
        <v/>
      </c>
      <c r="J499" s="187" t="str">
        <f>IF($F499="","",'תחום תמיכה א'!P499)</f>
        <v/>
      </c>
      <c r="K499" s="177" t="str">
        <f>IF($F499="","",'הזנה לתנאי סף'!N499)</f>
        <v/>
      </c>
      <c r="L499" s="177" t="str">
        <f>IF($F499="","",'הזנה לתנאי סף'!O499)</f>
        <v/>
      </c>
      <c r="M499" s="177" t="str">
        <f>IF($F499="","",'הזנה לתנאי סף'!Q499)</f>
        <v/>
      </c>
      <c r="N499" s="187" t="str">
        <f>IF($F499="","",'תחום תמיכה א'!AE499)</f>
        <v/>
      </c>
      <c r="O499" s="178"/>
      <c r="P499" s="187" t="str">
        <f>IF($F499="","",'תחום תמיכה ב'!AC499)</f>
        <v/>
      </c>
      <c r="Q499" s="187" t="str">
        <f>IF($F499="","",IF('תחום תמיכה ג'!O499="",0,'תחום תמיכה ג'!O499))</f>
        <v/>
      </c>
      <c r="R499" s="187" t="str">
        <f t="shared" si="28"/>
        <v/>
      </c>
      <c r="S499" s="187" t="str">
        <f>IF($F499="","",'תחום תמיכה ב'!AE499)</f>
        <v/>
      </c>
      <c r="T499" s="187" t="str">
        <f>IF($F499="","",IF(Q499='תחום תמיכה ג'!$Q$2,'תחום תמיכה ג'!$Q$2,IFERROR(SUMIF(N499:R499,"&gt;0"),'תחום תמיכה ג'!$Q$2)))</f>
        <v/>
      </c>
      <c r="U499" s="187" t="str">
        <f>IF($F499="","",'הזנה לתנאי סף'!Y499)</f>
        <v/>
      </c>
      <c r="V499" s="269" t="str">
        <f>IF(F499="","",'הגבלה לסכום מבוקש '!AA499)</f>
        <v/>
      </c>
      <c r="W499" s="187" t="str">
        <f t="shared" si="30"/>
        <v/>
      </c>
      <c r="X499" s="187" t="str">
        <f>IF(F499="","",'הזנה לתנאי סף'!Z499)</f>
        <v/>
      </c>
      <c r="Y499" s="237" t="str">
        <f>IFERROR(VLOOKUP(G499*1,#REF!,3,0),"")</f>
        <v/>
      </c>
      <c r="Z499" s="187" t="str">
        <f>IF(OR($F499="",Y499=""),"",IFERROR(IF(Y499&gt;V499,MIN(Y499,T499)-V499,0),'תחום תמיכה ג'!$Q$2))</f>
        <v/>
      </c>
      <c r="AA499" s="259"/>
      <c r="AB499" s="260" t="str">
        <f t="shared" si="29"/>
        <v/>
      </c>
      <c r="AC499" s="262"/>
      <c r="AD499" s="180"/>
      <c r="AE499" s="13" t="str">
        <f>IF($C499="","",IFERROR(VLOOKUP($C499,גיליון1!$A:$E,2,0),"לא הגיש בקשה שוטפת"))</f>
        <v/>
      </c>
      <c r="AF499" s="13" t="str">
        <f>IF($C499="","",IFERROR(VLOOKUP($C499,גיליון1!$A:$E,3,0),"לא הגיש בקשה שוטפת"))</f>
        <v/>
      </c>
      <c r="AG499" s="13" t="str">
        <f>IF($C499="","",IFERROR(VLOOKUP($C499,גיליון1!$A:$E,4,0),"לא הגיש בקשה שוטפת"))</f>
        <v/>
      </c>
      <c r="AH499" s="13" t="str">
        <f>IF($C499="","",IFERROR(VLOOKUP($C499,גיליון1!$A:$E,5,0),"לא הגיש בקשה שוטפת"))</f>
        <v/>
      </c>
      <c r="AI499" s="13">
        <f t="shared" si="31"/>
        <v>0</v>
      </c>
      <c r="AK499" s="174" t="s">
        <v>250</v>
      </c>
    </row>
    <row r="500" spans="1:38" x14ac:dyDescent="0.25">
      <c r="A500" s="54" t="str">
        <f>'הזנה לתנאי סף'!B500</f>
        <v/>
      </c>
      <c r="B500" s="266" t="str">
        <f>IF($F500="","",'הזנה לתנאי סף'!C500)</f>
        <v/>
      </c>
      <c r="C500" s="266" t="str">
        <f>IF($F500="","",'הזנה לתנאי סף'!D500)</f>
        <v/>
      </c>
      <c r="D500" s="266" t="str">
        <f>IF($F500="","",'הזנה לתנאי סף'!E500)</f>
        <v/>
      </c>
      <c r="E500" s="55" t="str">
        <f>IF($F500="","",'הזנה לתנאי סף'!F500)</f>
        <v/>
      </c>
      <c r="F500" s="55" t="str">
        <f>IF('הזנה לתנאי סף'!BL500=1,'הזנה לתנאי סף'!G500,"")</f>
        <v/>
      </c>
      <c r="G500" s="55" t="str">
        <f>IF($F500="","",'הזנה לתנאי סף'!H500)</f>
        <v/>
      </c>
      <c r="H500" s="55" t="str">
        <f>IF($F500="","",'הזנה לתנאי סף'!I500)</f>
        <v/>
      </c>
      <c r="I500" s="187" t="str">
        <f>IF($F500="","",'הזנה לתנאי סף'!R500)</f>
        <v/>
      </c>
      <c r="J500" s="187" t="str">
        <f>IF($F500="","",'תחום תמיכה א'!P500)</f>
        <v/>
      </c>
      <c r="K500" s="177" t="str">
        <f>IF($F500="","",'הזנה לתנאי סף'!N500)</f>
        <v/>
      </c>
      <c r="L500" s="177" t="str">
        <f>IF($F500="","",'הזנה לתנאי סף'!O500)</f>
        <v/>
      </c>
      <c r="M500" s="177" t="str">
        <f>IF($F500="","",'הזנה לתנאי סף'!Q500)</f>
        <v/>
      </c>
      <c r="N500" s="187" t="str">
        <f>IF($F500="","",'תחום תמיכה א'!AE500)</f>
        <v/>
      </c>
      <c r="O500" s="178"/>
      <c r="P500" s="187" t="str">
        <f>IF($F500="","",'תחום תמיכה ב'!AC500)</f>
        <v/>
      </c>
      <c r="Q500" s="187" t="str">
        <f>IF($F500="","",IF('תחום תמיכה ג'!O500="",0,'תחום תמיכה ג'!O500))</f>
        <v/>
      </c>
      <c r="R500" s="187" t="str">
        <f t="shared" si="28"/>
        <v/>
      </c>
      <c r="S500" s="187" t="str">
        <f>IF($F500="","",'תחום תמיכה ב'!AE500)</f>
        <v/>
      </c>
      <c r="T500" s="187" t="str">
        <f>IF($F500="","",IF(Q500='תחום תמיכה ג'!$Q$2,'תחום תמיכה ג'!$Q$2,IFERROR(SUMIF(N500:R500,"&gt;0"),'תחום תמיכה ג'!$Q$2)))</f>
        <v/>
      </c>
      <c r="U500" s="187" t="str">
        <f>IF($F500="","",'הזנה לתנאי סף'!Y500)</f>
        <v/>
      </c>
      <c r="V500" s="269" t="str">
        <f>IF(F500="","",'הגבלה לסכום מבוקש '!AA500)</f>
        <v/>
      </c>
      <c r="W500" s="187" t="str">
        <f t="shared" si="30"/>
        <v/>
      </c>
      <c r="X500" s="187" t="str">
        <f>IF(F500="","",'הזנה לתנאי סף'!Z500)</f>
        <v/>
      </c>
      <c r="Y500" s="237" t="str">
        <f>IFERROR(VLOOKUP(G500*1,#REF!,3,0),"")</f>
        <v/>
      </c>
      <c r="Z500" s="187" t="str">
        <f>IF(OR($F500="",Y500=""),"",IFERROR(IF(Y500&gt;V500,MIN(Y500,T500)-V500,0),'תחום תמיכה ג'!$Q$2))</f>
        <v/>
      </c>
      <c r="AA500" s="259"/>
      <c r="AB500" s="260" t="str">
        <f t="shared" si="29"/>
        <v/>
      </c>
      <c r="AC500" s="262"/>
      <c r="AD500" s="180"/>
      <c r="AE500" s="13" t="str">
        <f>IF($C500="","",IFERROR(VLOOKUP($C500,גיליון1!$A:$E,2,0),"לא הגיש בקשה שוטפת"))</f>
        <v/>
      </c>
      <c r="AF500" s="13" t="str">
        <f>IF($C500="","",IFERROR(VLOOKUP($C500,גיליון1!$A:$E,3,0),"לא הגיש בקשה שוטפת"))</f>
        <v/>
      </c>
      <c r="AG500" s="13" t="str">
        <f>IF($C500="","",IFERROR(VLOOKUP($C500,גיליון1!$A:$E,4,0),"לא הגיש בקשה שוטפת"))</f>
        <v/>
      </c>
      <c r="AH500" s="13" t="str">
        <f>IF($C500="","",IFERROR(VLOOKUP($C500,גיליון1!$A:$E,5,0),"לא הגיש בקשה שוטפת"))</f>
        <v/>
      </c>
      <c r="AI500" s="13">
        <f t="shared" si="31"/>
        <v>0</v>
      </c>
      <c r="AJ500" s="174"/>
      <c r="AK500" s="174" t="s">
        <v>250</v>
      </c>
      <c r="AL500" s="174"/>
    </row>
    <row r="501" spans="1:38" ht="14.25" x14ac:dyDescent="0.2">
      <c r="A501" s="54">
        <f>'הזנה לתנאי סף'!B501</f>
        <v>0</v>
      </c>
      <c r="B501" s="266"/>
      <c r="C501" s="266"/>
      <c r="D501" s="266"/>
      <c r="E501" s="55" t="str">
        <f>IF(F501="","",'הזנה לתנאי סף'!F501)</f>
        <v/>
      </c>
      <c r="F501" s="10"/>
      <c r="G501" s="181"/>
      <c r="H501" s="182"/>
      <c r="I501" s="182"/>
      <c r="J501" s="182"/>
      <c r="K501" s="182"/>
      <c r="L501" s="182"/>
      <c r="M501" s="182"/>
      <c r="N501" s="183">
        <f t="shared" ref="N501:R501" si="32">SUM(N31:N500)</f>
        <v>49837071.789360404</v>
      </c>
      <c r="O501" s="183">
        <f t="shared" si="32"/>
        <v>0</v>
      </c>
      <c r="P501" s="183">
        <f t="shared" si="32"/>
        <v>99781016.73280035</v>
      </c>
      <c r="Q501" s="183">
        <f t="shared" si="32"/>
        <v>22008061.000000004</v>
      </c>
      <c r="R501" s="183">
        <f t="shared" si="32"/>
        <v>2991938.9999999958</v>
      </c>
      <c r="S501" s="183">
        <f t="shared" ref="S501:AB501" si="33">SUM(S31:S500)</f>
        <v>102772955.73280032</v>
      </c>
      <c r="T501" s="183">
        <f t="shared" si="33"/>
        <v>174618088.52216071</v>
      </c>
      <c r="U501" s="183">
        <f t="shared" si="33"/>
        <v>415289085</v>
      </c>
      <c r="V501" s="183">
        <f t="shared" si="33"/>
        <v>174618088.52216068</v>
      </c>
      <c r="W501" s="183">
        <f t="shared" si="33"/>
        <v>43654522.13054017</v>
      </c>
      <c r="X501" s="183">
        <f t="shared" si="33"/>
        <v>197513413</v>
      </c>
      <c r="Y501" s="183">
        <f t="shared" si="33"/>
        <v>0</v>
      </c>
      <c r="Z501" s="183">
        <f t="shared" si="33"/>
        <v>0</v>
      </c>
      <c r="AA501" s="184"/>
      <c r="AB501" s="183">
        <f t="shared" si="33"/>
        <v>0</v>
      </c>
      <c r="AC501" s="181"/>
      <c r="AD501" s="15"/>
      <c r="AE501" s="174"/>
      <c r="AF501" s="174"/>
      <c r="AG501" s="174"/>
      <c r="AH501" s="174"/>
      <c r="AI501"/>
      <c r="AJ501"/>
    </row>
    <row r="502" spans="1:38" ht="14.25" x14ac:dyDescent="0.2">
      <c r="E502"/>
      <c r="F502" s="10"/>
      <c r="S502" s="11"/>
      <c r="T502" s="11"/>
      <c r="U502" s="11"/>
      <c r="V502" s="11"/>
      <c r="W502" s="11"/>
      <c r="X502" s="11"/>
      <c r="Y502" s="11"/>
      <c r="Z502" s="53"/>
      <c r="AA502" s="51"/>
      <c r="AB502"/>
      <c r="AD502"/>
      <c r="AE502" s="174"/>
      <c r="AF502" s="174"/>
      <c r="AG502" s="174"/>
      <c r="AH502" s="174"/>
      <c r="AI502"/>
      <c r="AJ502"/>
    </row>
    <row r="503" spans="1:38" ht="14.25" x14ac:dyDescent="0.2">
      <c r="E503"/>
      <c r="F503" s="10"/>
      <c r="S503" s="11"/>
      <c r="T503" s="11"/>
      <c r="U503" s="11"/>
      <c r="V503" s="11"/>
      <c r="W503" s="11"/>
      <c r="X503" s="11"/>
      <c r="Y503" s="11"/>
      <c r="Z503" s="53"/>
      <c r="AA503" s="51"/>
      <c r="AB503"/>
      <c r="AD503"/>
      <c r="AE503" s="174"/>
      <c r="AF503" s="174"/>
      <c r="AG503" s="174"/>
      <c r="AH503" s="174"/>
      <c r="AI503"/>
      <c r="AJ503"/>
    </row>
    <row r="504" spans="1:38" ht="14.25" x14ac:dyDescent="0.2">
      <c r="E504"/>
      <c r="F504" s="10"/>
      <c r="S504" s="11"/>
      <c r="T504" s="11"/>
      <c r="U504" s="11"/>
      <c r="V504" s="11"/>
      <c r="W504" s="11"/>
      <c r="X504" s="11"/>
      <c r="Y504" s="11"/>
      <c r="Z504" s="53"/>
      <c r="AA504" s="51"/>
      <c r="AB504"/>
      <c r="AD504"/>
      <c r="AE504" s="174"/>
      <c r="AF504" s="174"/>
      <c r="AG504" s="174"/>
      <c r="AH504" s="174"/>
      <c r="AI504"/>
      <c r="AJ504"/>
    </row>
    <row r="505" spans="1:38" ht="14.25" x14ac:dyDescent="0.2">
      <c r="E505"/>
      <c r="F505" s="10"/>
      <c r="S505" s="11"/>
      <c r="T505" s="11"/>
      <c r="U505" s="11"/>
      <c r="V505" s="11"/>
      <c r="W505" s="11"/>
      <c r="X505" s="11"/>
      <c r="Y505" s="11"/>
      <c r="Z505" s="53"/>
      <c r="AA505" s="51"/>
      <c r="AB505"/>
      <c r="AD505"/>
      <c r="AE505" s="174"/>
      <c r="AF505" s="174"/>
      <c r="AG505" s="174"/>
      <c r="AH505" s="174"/>
      <c r="AI505"/>
      <c r="AJ505"/>
    </row>
    <row r="506" spans="1:38" ht="14.25" x14ac:dyDescent="0.2">
      <c r="E506"/>
      <c r="F506" s="10"/>
      <c r="S506" s="11"/>
      <c r="T506" s="11"/>
      <c r="U506" s="11"/>
      <c r="V506" s="11"/>
      <c r="W506" s="11"/>
      <c r="X506" s="11"/>
      <c r="Y506" s="11"/>
      <c r="Z506" s="53"/>
      <c r="AA506" s="51"/>
      <c r="AB506"/>
      <c r="AD506"/>
      <c r="AE506" s="174"/>
      <c r="AF506" s="174"/>
      <c r="AG506" s="174"/>
      <c r="AH506" s="174"/>
      <c r="AI506"/>
      <c r="AJ506"/>
    </row>
    <row r="507" spans="1:38" ht="14.25" x14ac:dyDescent="0.2">
      <c r="E507"/>
      <c r="F507" s="10"/>
      <c r="S507" s="11"/>
      <c r="T507" s="11"/>
      <c r="U507" s="11"/>
      <c r="V507" s="11"/>
      <c r="W507" s="11"/>
      <c r="X507" s="11"/>
      <c r="Y507" s="11"/>
      <c r="Z507" s="53"/>
      <c r="AA507" s="51"/>
      <c r="AB507"/>
      <c r="AD507"/>
      <c r="AE507" s="174"/>
      <c r="AF507" s="174"/>
      <c r="AG507" s="174"/>
      <c r="AH507" s="174"/>
      <c r="AI507"/>
      <c r="AJ507"/>
    </row>
    <row r="508" spans="1:38" ht="14.25" x14ac:dyDescent="0.2">
      <c r="E508"/>
      <c r="F508" s="10"/>
      <c r="S508" s="11"/>
      <c r="T508" s="11"/>
      <c r="U508" s="11"/>
      <c r="V508" s="11"/>
      <c r="W508" s="11"/>
      <c r="X508" s="11"/>
      <c r="Y508" s="11"/>
      <c r="Z508" s="53"/>
      <c r="AA508" s="51"/>
      <c r="AB508"/>
      <c r="AD508"/>
      <c r="AE508" s="174"/>
      <c r="AF508" s="174"/>
      <c r="AG508" s="174"/>
      <c r="AH508" s="174"/>
      <c r="AI508"/>
      <c r="AJ508"/>
    </row>
    <row r="509" spans="1:38" ht="14.25" x14ac:dyDescent="0.2">
      <c r="E509"/>
      <c r="F509" s="10"/>
      <c r="S509" s="11"/>
      <c r="T509" s="11"/>
      <c r="U509" s="11"/>
      <c r="V509" s="11"/>
      <c r="W509" s="11"/>
      <c r="X509" s="11"/>
      <c r="Y509" s="11"/>
      <c r="Z509" s="53"/>
      <c r="AA509" s="51"/>
      <c r="AB509"/>
      <c r="AD509"/>
      <c r="AE509" s="174"/>
      <c r="AF509" s="174"/>
      <c r="AG509" s="174"/>
      <c r="AH509" s="174"/>
      <c r="AI509"/>
      <c r="AJ509"/>
    </row>
    <row r="510" spans="1:38" ht="14.25" x14ac:dyDescent="0.2">
      <c r="E510"/>
      <c r="F510" s="10"/>
      <c r="S510" s="11"/>
      <c r="T510" s="11"/>
      <c r="U510" s="11"/>
      <c r="V510" s="11"/>
      <c r="W510" s="11"/>
      <c r="X510" s="11"/>
      <c r="Y510" s="11"/>
      <c r="Z510" s="53"/>
      <c r="AA510" s="51"/>
      <c r="AB510"/>
      <c r="AD510"/>
      <c r="AE510" s="174"/>
      <c r="AF510" s="174"/>
      <c r="AG510" s="174"/>
      <c r="AH510" s="174"/>
      <c r="AI510"/>
      <c r="AJ510"/>
    </row>
    <row r="511" spans="1:38" ht="14.25" x14ac:dyDescent="0.2">
      <c r="E511"/>
      <c r="F511" s="10"/>
      <c r="S511" s="11"/>
      <c r="T511" s="11"/>
      <c r="U511" s="11"/>
      <c r="V511" s="11"/>
      <c r="W511" s="11"/>
      <c r="X511" s="11"/>
      <c r="Y511" s="11"/>
      <c r="Z511" s="53"/>
      <c r="AA511" s="51"/>
      <c r="AB511"/>
      <c r="AD511"/>
      <c r="AE511" s="174"/>
      <c r="AF511" s="174"/>
      <c r="AG511" s="174"/>
      <c r="AH511" s="174"/>
      <c r="AI511"/>
      <c r="AJ511"/>
    </row>
    <row r="512" spans="1:38" ht="14.25" x14ac:dyDescent="0.2">
      <c r="E512"/>
      <c r="F512" s="10"/>
      <c r="S512" s="11"/>
      <c r="T512" s="11"/>
      <c r="U512" s="11"/>
      <c r="V512" s="11"/>
      <c r="W512" s="11"/>
      <c r="X512" s="11"/>
      <c r="Y512" s="11"/>
      <c r="Z512" s="53"/>
      <c r="AA512" s="51"/>
      <c r="AB512"/>
      <c r="AD512"/>
      <c r="AE512" s="174"/>
      <c r="AF512" s="174"/>
      <c r="AG512" s="174"/>
      <c r="AH512" s="174"/>
      <c r="AI512"/>
      <c r="AJ512"/>
    </row>
    <row r="513" spans="5:36" ht="14.25" x14ac:dyDescent="0.2">
      <c r="E513"/>
      <c r="F513" s="10"/>
      <c r="S513" s="11"/>
      <c r="T513" s="11"/>
      <c r="U513" s="11"/>
      <c r="V513" s="11"/>
      <c r="W513" s="11"/>
      <c r="X513" s="11"/>
      <c r="Y513" s="11"/>
      <c r="Z513" s="53"/>
      <c r="AA513" s="51"/>
      <c r="AB513"/>
      <c r="AD513"/>
      <c r="AE513" s="174"/>
      <c r="AF513" s="174"/>
      <c r="AG513" s="174"/>
      <c r="AH513" s="174"/>
      <c r="AI513"/>
      <c r="AJ513"/>
    </row>
    <row r="514" spans="5:36" ht="14.25" x14ac:dyDescent="0.2">
      <c r="E514"/>
      <c r="F514" s="10"/>
      <c r="S514" s="11"/>
      <c r="T514" s="11"/>
      <c r="U514" s="11"/>
      <c r="V514" s="11"/>
      <c r="W514" s="11"/>
      <c r="X514" s="11"/>
      <c r="Y514" s="11"/>
      <c r="Z514" s="53"/>
      <c r="AA514" s="51"/>
      <c r="AB514"/>
      <c r="AD514"/>
      <c r="AE514" s="174"/>
      <c r="AF514" s="174"/>
      <c r="AG514" s="174"/>
      <c r="AH514" s="174"/>
      <c r="AI514"/>
      <c r="AJ514"/>
    </row>
    <row r="515" spans="5:36" ht="14.25" x14ac:dyDescent="0.2">
      <c r="E515"/>
      <c r="F515" s="10"/>
      <c r="S515" s="11"/>
      <c r="T515" s="11"/>
      <c r="U515" s="11"/>
      <c r="V515" s="11"/>
      <c r="W515" s="11"/>
      <c r="X515" s="11"/>
      <c r="Y515" s="11"/>
      <c r="Z515" s="53"/>
      <c r="AA515" s="51"/>
      <c r="AB515"/>
      <c r="AD515"/>
      <c r="AE515" s="174"/>
      <c r="AF515" s="174"/>
      <c r="AG515" s="174"/>
      <c r="AH515" s="174"/>
      <c r="AI515"/>
      <c r="AJ515"/>
    </row>
    <row r="516" spans="5:36" ht="14.25" x14ac:dyDescent="0.2">
      <c r="E516"/>
      <c r="F516" s="10"/>
      <c r="S516" s="11"/>
      <c r="T516" s="11"/>
      <c r="U516" s="11"/>
      <c r="V516" s="11"/>
      <c r="W516" s="11"/>
      <c r="X516" s="11"/>
      <c r="Y516" s="11"/>
      <c r="Z516" s="53"/>
      <c r="AA516" s="51"/>
      <c r="AB516"/>
      <c r="AD516"/>
      <c r="AE516" s="174"/>
      <c r="AF516" s="174"/>
      <c r="AG516" s="174"/>
      <c r="AH516" s="174"/>
      <c r="AI516"/>
      <c r="AJ516"/>
    </row>
    <row r="517" spans="5:36" ht="14.25" x14ac:dyDescent="0.2">
      <c r="E517"/>
      <c r="F517" s="10"/>
      <c r="S517" s="11"/>
      <c r="T517" s="11"/>
      <c r="U517" s="11"/>
      <c r="V517" s="11"/>
      <c r="W517" s="11"/>
      <c r="X517" s="11"/>
      <c r="Y517" s="11"/>
      <c r="Z517" s="53"/>
      <c r="AA517" s="51"/>
      <c r="AB517"/>
      <c r="AD517"/>
      <c r="AE517" s="174"/>
      <c r="AF517" s="174"/>
      <c r="AG517" s="174"/>
      <c r="AH517" s="174"/>
      <c r="AI517"/>
      <c r="AJ517"/>
    </row>
    <row r="518" spans="5:36" ht="14.25" x14ac:dyDescent="0.2">
      <c r="E518"/>
      <c r="F518" s="10"/>
      <c r="S518" s="11"/>
      <c r="T518" s="11"/>
      <c r="U518" s="11"/>
      <c r="V518" s="11"/>
      <c r="W518" s="11"/>
      <c r="X518" s="11"/>
      <c r="Y518" s="11"/>
      <c r="Z518" s="53"/>
      <c r="AA518" s="51"/>
      <c r="AB518"/>
      <c r="AD518"/>
      <c r="AE518" s="174"/>
      <c r="AF518" s="174"/>
      <c r="AG518" s="174"/>
      <c r="AH518" s="174"/>
      <c r="AI518"/>
      <c r="AJ518"/>
    </row>
    <row r="519" spans="5:36" ht="14.25" x14ac:dyDescent="0.2">
      <c r="E519"/>
      <c r="F519" s="10"/>
      <c r="S519" s="11"/>
      <c r="T519" s="11"/>
      <c r="U519" s="11"/>
      <c r="V519" s="11"/>
      <c r="W519" s="11"/>
      <c r="X519" s="11"/>
      <c r="Y519" s="11"/>
      <c r="Z519" s="53"/>
      <c r="AA519" s="51"/>
      <c r="AB519"/>
      <c r="AD519"/>
      <c r="AE519" s="174"/>
      <c r="AF519" s="174"/>
      <c r="AG519" s="174"/>
      <c r="AH519" s="174"/>
      <c r="AI519"/>
      <c r="AJ519"/>
    </row>
    <row r="520" spans="5:36" ht="14.25" x14ac:dyDescent="0.2">
      <c r="E520"/>
      <c r="F520" s="10"/>
      <c r="S520" s="11"/>
      <c r="T520" s="11"/>
      <c r="U520" s="11"/>
      <c r="V520" s="11"/>
      <c r="W520" s="11"/>
      <c r="X520" s="11"/>
      <c r="Y520" s="11"/>
      <c r="Z520" s="53"/>
      <c r="AA520" s="51"/>
      <c r="AB520"/>
      <c r="AD520"/>
      <c r="AE520" s="174"/>
      <c r="AF520" s="174"/>
      <c r="AG520" s="174"/>
      <c r="AH520" s="174"/>
      <c r="AI520"/>
      <c r="AJ520"/>
    </row>
    <row r="521" spans="5:36" ht="14.25" x14ac:dyDescent="0.2">
      <c r="E521"/>
      <c r="F521" s="10"/>
      <c r="S521" s="11"/>
      <c r="T521" s="11"/>
      <c r="U521" s="11"/>
      <c r="V521" s="11"/>
      <c r="W521" s="11"/>
      <c r="X521" s="11"/>
      <c r="Y521" s="11"/>
      <c r="Z521" s="53"/>
      <c r="AA521" s="51"/>
      <c r="AB521"/>
      <c r="AD521"/>
      <c r="AE521" s="174"/>
      <c r="AF521" s="174"/>
      <c r="AG521" s="174"/>
      <c r="AH521" s="174"/>
      <c r="AI521"/>
      <c r="AJ521"/>
    </row>
    <row r="522" spans="5:36" ht="14.25" x14ac:dyDescent="0.2">
      <c r="E522"/>
      <c r="F522" s="10"/>
      <c r="S522" s="11"/>
      <c r="T522" s="11"/>
      <c r="U522" s="11"/>
      <c r="V522" s="11"/>
      <c r="W522" s="11"/>
      <c r="X522" s="11"/>
      <c r="Y522" s="11"/>
      <c r="Z522" s="53"/>
      <c r="AA522" s="51"/>
      <c r="AB522"/>
      <c r="AD522"/>
      <c r="AE522" s="174"/>
      <c r="AF522" s="174"/>
      <c r="AG522" s="174"/>
      <c r="AH522" s="174"/>
      <c r="AI522"/>
      <c r="AJ522"/>
    </row>
    <row r="523" spans="5:36" ht="14.25" x14ac:dyDescent="0.2">
      <c r="E523"/>
      <c r="F523" s="10"/>
      <c r="S523" s="11"/>
      <c r="T523" s="11"/>
      <c r="U523" s="11"/>
      <c r="V523" s="11"/>
      <c r="W523" s="11"/>
      <c r="X523" s="11"/>
      <c r="Y523" s="11"/>
      <c r="Z523" s="53"/>
      <c r="AA523" s="51"/>
      <c r="AB523"/>
      <c r="AD523"/>
      <c r="AE523" s="174"/>
      <c r="AF523" s="174"/>
      <c r="AG523" s="174"/>
      <c r="AH523" s="174"/>
      <c r="AI523"/>
      <c r="AJ523"/>
    </row>
    <row r="524" spans="5:36" ht="14.25" x14ac:dyDescent="0.2">
      <c r="E524"/>
      <c r="F524" s="10"/>
      <c r="S524" s="11"/>
      <c r="T524" s="11"/>
      <c r="U524" s="11"/>
      <c r="V524" s="11"/>
      <c r="W524" s="11"/>
      <c r="X524" s="11"/>
      <c r="Y524" s="11"/>
      <c r="Z524" s="53"/>
      <c r="AA524" s="51"/>
      <c r="AB524"/>
      <c r="AD524"/>
      <c r="AE524" s="174"/>
      <c r="AF524" s="174"/>
      <c r="AG524" s="174"/>
      <c r="AH524" s="174"/>
      <c r="AI524"/>
      <c r="AJ524"/>
    </row>
    <row r="525" spans="5:36" ht="14.25" x14ac:dyDescent="0.2">
      <c r="E525"/>
      <c r="F525" s="10"/>
      <c r="S525" s="11"/>
      <c r="T525" s="11"/>
      <c r="U525" s="11"/>
      <c r="V525" s="11"/>
      <c r="W525" s="11"/>
      <c r="X525" s="11"/>
      <c r="Y525" s="11"/>
      <c r="Z525" s="53"/>
      <c r="AA525" s="51"/>
      <c r="AB525"/>
      <c r="AD525"/>
      <c r="AE525" s="174"/>
      <c r="AF525" s="174"/>
      <c r="AG525" s="174"/>
      <c r="AH525" s="174"/>
      <c r="AI525"/>
      <c r="AJ525"/>
    </row>
    <row r="526" spans="5:36" ht="14.25" x14ac:dyDescent="0.2">
      <c r="E526"/>
      <c r="F526" s="10"/>
      <c r="S526" s="11"/>
      <c r="T526" s="11"/>
      <c r="U526" s="11"/>
      <c r="V526" s="11"/>
      <c r="W526" s="11"/>
      <c r="X526" s="11"/>
      <c r="Y526" s="11"/>
      <c r="Z526" s="53"/>
      <c r="AA526" s="51"/>
      <c r="AB526"/>
      <c r="AD526"/>
      <c r="AE526" s="174"/>
      <c r="AF526" s="174"/>
      <c r="AG526" s="174"/>
      <c r="AH526" s="174"/>
      <c r="AI526"/>
      <c r="AJ526"/>
    </row>
    <row r="527" spans="5:36" ht="14.25" x14ac:dyDescent="0.2">
      <c r="E527"/>
      <c r="F527" s="10"/>
      <c r="S527" s="11"/>
      <c r="T527" s="11"/>
      <c r="U527" s="11"/>
      <c r="V527" s="11"/>
      <c r="W527" s="11"/>
      <c r="X527" s="11"/>
      <c r="Y527" s="11"/>
      <c r="Z527" s="53"/>
      <c r="AA527" s="51"/>
      <c r="AB527"/>
      <c r="AD527"/>
      <c r="AE527" s="174"/>
      <c r="AF527" s="174"/>
      <c r="AG527" s="174"/>
      <c r="AH527" s="174"/>
      <c r="AI527"/>
      <c r="AJ527"/>
    </row>
    <row r="528" spans="5:36" ht="14.25" x14ac:dyDescent="0.2">
      <c r="E528"/>
      <c r="F528" s="10"/>
      <c r="S528" s="11"/>
      <c r="T528" s="11"/>
      <c r="U528" s="11"/>
      <c r="V528" s="11"/>
      <c r="W528" s="11"/>
      <c r="X528" s="11"/>
      <c r="Y528" s="11"/>
      <c r="Z528" s="53"/>
      <c r="AA528" s="51"/>
      <c r="AB528"/>
      <c r="AD528"/>
      <c r="AE528" s="174"/>
      <c r="AF528" s="174"/>
      <c r="AG528" s="174"/>
      <c r="AH528" s="174"/>
      <c r="AI528"/>
      <c r="AJ528"/>
    </row>
    <row r="529" spans="5:36" ht="14.25" x14ac:dyDescent="0.2">
      <c r="E529"/>
      <c r="F529" s="10"/>
      <c r="S529" s="11"/>
      <c r="T529" s="11"/>
      <c r="U529" s="11"/>
      <c r="V529" s="11"/>
      <c r="W529" s="11"/>
      <c r="X529" s="11"/>
      <c r="Y529" s="11"/>
      <c r="Z529" s="53"/>
      <c r="AA529" s="51"/>
      <c r="AB529"/>
      <c r="AD529"/>
      <c r="AE529" s="174"/>
      <c r="AF529" s="174"/>
      <c r="AG529" s="174"/>
      <c r="AH529" s="174"/>
      <c r="AI529"/>
      <c r="AJ529"/>
    </row>
    <row r="530" spans="5:36" ht="14.25" x14ac:dyDescent="0.2">
      <c r="E530"/>
      <c r="F530" s="10"/>
      <c r="S530" s="11"/>
      <c r="T530" s="11"/>
      <c r="U530" s="11"/>
      <c r="V530" s="11"/>
      <c r="W530" s="11"/>
      <c r="X530" s="11"/>
      <c r="Y530" s="11"/>
      <c r="Z530" s="53"/>
      <c r="AA530" s="51"/>
      <c r="AB530"/>
      <c r="AD530"/>
      <c r="AE530" s="174"/>
      <c r="AF530" s="174"/>
      <c r="AG530" s="174"/>
      <c r="AH530" s="174"/>
      <c r="AI530"/>
      <c r="AJ530"/>
    </row>
    <row r="531" spans="5:36" ht="14.25" x14ac:dyDescent="0.2">
      <c r="E531"/>
      <c r="F531" s="10"/>
      <c r="S531" s="11"/>
      <c r="T531" s="11"/>
      <c r="U531" s="11"/>
      <c r="V531" s="11"/>
      <c r="W531" s="11"/>
      <c r="X531" s="11"/>
      <c r="Y531" s="11"/>
      <c r="Z531" s="53"/>
      <c r="AA531" s="51"/>
      <c r="AB531"/>
      <c r="AD531"/>
      <c r="AE531" s="174"/>
      <c r="AF531" s="174"/>
      <c r="AG531" s="174"/>
      <c r="AH531" s="174"/>
      <c r="AI531"/>
      <c r="AJ531"/>
    </row>
    <row r="532" spans="5:36" ht="14.25" x14ac:dyDescent="0.2">
      <c r="E532"/>
      <c r="F532" s="10"/>
      <c r="S532" s="11"/>
      <c r="T532" s="11"/>
      <c r="U532" s="11"/>
      <c r="V532" s="11"/>
      <c r="W532" s="11"/>
      <c r="X532" s="11"/>
      <c r="Y532" s="11"/>
      <c r="Z532" s="53"/>
      <c r="AA532" s="51"/>
      <c r="AB532"/>
      <c r="AD532"/>
      <c r="AE532" s="174"/>
      <c r="AF532" s="174"/>
      <c r="AG532" s="174"/>
      <c r="AH532" s="174"/>
      <c r="AI532"/>
      <c r="AJ532"/>
    </row>
    <row r="533" spans="5:36" ht="14.25" x14ac:dyDescent="0.2">
      <c r="E533"/>
      <c r="F533" s="10"/>
      <c r="S533" s="11"/>
      <c r="T533" s="11"/>
      <c r="U533" s="11"/>
      <c r="V533" s="11"/>
      <c r="W533" s="11"/>
      <c r="X533" s="11"/>
      <c r="Y533" s="11"/>
      <c r="Z533" s="53"/>
      <c r="AA533" s="51"/>
      <c r="AB533"/>
      <c r="AD533"/>
      <c r="AE533" s="174"/>
      <c r="AF533" s="174"/>
      <c r="AG533" s="174"/>
      <c r="AH533" s="174"/>
      <c r="AI533"/>
      <c r="AJ533"/>
    </row>
    <row r="534" spans="5:36" ht="14.25" x14ac:dyDescent="0.2">
      <c r="E534"/>
      <c r="F534" s="10"/>
      <c r="S534" s="11"/>
      <c r="T534" s="11"/>
      <c r="U534" s="11"/>
      <c r="V534" s="11"/>
      <c r="W534" s="11"/>
      <c r="X534" s="11"/>
      <c r="Y534" s="11"/>
      <c r="Z534" s="53"/>
      <c r="AA534" s="51"/>
      <c r="AB534"/>
      <c r="AD534"/>
      <c r="AE534" s="174"/>
      <c r="AF534" s="174"/>
      <c r="AG534" s="174"/>
      <c r="AH534" s="174"/>
      <c r="AI534"/>
      <c r="AJ534"/>
    </row>
    <row r="535" spans="5:36" ht="14.25" x14ac:dyDescent="0.2">
      <c r="E535"/>
      <c r="F535" s="10"/>
      <c r="S535" s="11"/>
      <c r="T535" s="11"/>
      <c r="U535" s="11"/>
      <c r="V535" s="11"/>
      <c r="W535" s="11"/>
      <c r="X535" s="11"/>
      <c r="Y535" s="11"/>
      <c r="Z535" s="53"/>
      <c r="AA535" s="51"/>
      <c r="AB535"/>
      <c r="AD535"/>
      <c r="AE535" s="174"/>
      <c r="AF535" s="174"/>
      <c r="AG535" s="174"/>
      <c r="AH535" s="174"/>
      <c r="AI535"/>
      <c r="AJ535"/>
    </row>
    <row r="536" spans="5:36" ht="14.25" x14ac:dyDescent="0.2">
      <c r="E536"/>
      <c r="F536" s="10"/>
      <c r="S536" s="11"/>
      <c r="T536" s="11"/>
      <c r="U536" s="11"/>
      <c r="V536" s="11"/>
      <c r="W536" s="11"/>
      <c r="X536" s="11"/>
      <c r="Y536" s="11"/>
      <c r="Z536" s="53"/>
      <c r="AA536" s="51"/>
      <c r="AB536"/>
      <c r="AD536"/>
      <c r="AE536" s="174"/>
      <c r="AF536" s="174"/>
      <c r="AG536" s="174"/>
      <c r="AH536" s="174"/>
      <c r="AI536"/>
      <c r="AJ536"/>
    </row>
    <row r="537" spans="5:36" ht="14.25" x14ac:dyDescent="0.2">
      <c r="E537"/>
      <c r="F537" s="10"/>
      <c r="S537" s="11"/>
      <c r="T537" s="11"/>
      <c r="U537" s="11"/>
      <c r="V537" s="11"/>
      <c r="W537" s="11"/>
      <c r="X537" s="11"/>
      <c r="Y537" s="11"/>
      <c r="Z537" s="53"/>
      <c r="AA537" s="51"/>
      <c r="AB537"/>
      <c r="AD537"/>
      <c r="AE537" s="174"/>
      <c r="AF537" s="174"/>
      <c r="AG537" s="174"/>
      <c r="AH537" s="174"/>
      <c r="AI537"/>
      <c r="AJ537"/>
    </row>
    <row r="538" spans="5:36" ht="14.25" x14ac:dyDescent="0.2">
      <c r="E538"/>
      <c r="F538" s="10"/>
      <c r="S538" s="11"/>
      <c r="T538" s="11"/>
      <c r="U538" s="11"/>
      <c r="V538" s="11"/>
      <c r="W538" s="11"/>
      <c r="X538" s="11"/>
      <c r="Y538" s="11"/>
      <c r="Z538" s="53"/>
      <c r="AA538" s="51"/>
      <c r="AB538"/>
      <c r="AD538"/>
      <c r="AE538" s="174"/>
      <c r="AF538" s="174"/>
      <c r="AG538" s="174"/>
      <c r="AH538" s="174"/>
      <c r="AI538"/>
      <c r="AJ538"/>
    </row>
    <row r="539" spans="5:36" ht="14.25" x14ac:dyDescent="0.2">
      <c r="E539"/>
      <c r="F539" s="10"/>
      <c r="S539" s="11"/>
      <c r="T539" s="11"/>
      <c r="U539" s="11"/>
      <c r="V539" s="11"/>
      <c r="W539" s="11"/>
      <c r="X539" s="11"/>
      <c r="Y539" s="11"/>
      <c r="Z539" s="53"/>
      <c r="AA539" s="51"/>
      <c r="AB539"/>
      <c r="AD539"/>
      <c r="AE539" s="174"/>
      <c r="AF539" s="174"/>
      <c r="AG539" s="174"/>
      <c r="AH539" s="174"/>
      <c r="AI539"/>
      <c r="AJ539"/>
    </row>
    <row r="540" spans="5:36" ht="14.25" x14ac:dyDescent="0.2">
      <c r="E540"/>
      <c r="F540" s="10"/>
      <c r="S540" s="11"/>
      <c r="T540" s="11"/>
      <c r="U540" s="11"/>
      <c r="V540" s="11"/>
      <c r="W540" s="11"/>
      <c r="X540" s="11"/>
      <c r="Y540" s="11"/>
      <c r="Z540" s="53"/>
      <c r="AA540" s="51"/>
      <c r="AB540"/>
      <c r="AD540"/>
      <c r="AE540" s="174"/>
      <c r="AF540" s="174"/>
      <c r="AG540" s="174"/>
      <c r="AH540" s="174"/>
      <c r="AI540"/>
      <c r="AJ540"/>
    </row>
    <row r="541" spans="5:36" ht="14.25" x14ac:dyDescent="0.2">
      <c r="E541"/>
      <c r="F541" s="10"/>
      <c r="S541" s="11"/>
      <c r="T541" s="11"/>
      <c r="U541" s="11"/>
      <c r="V541" s="11"/>
      <c r="W541" s="11"/>
      <c r="X541" s="11"/>
      <c r="Y541" s="11"/>
      <c r="Z541" s="53"/>
      <c r="AA541" s="51"/>
      <c r="AB541"/>
      <c r="AD541"/>
      <c r="AE541" s="174"/>
      <c r="AF541" s="174"/>
      <c r="AG541" s="174"/>
      <c r="AH541" s="174"/>
      <c r="AI541"/>
      <c r="AJ541"/>
    </row>
    <row r="542" spans="5:36" ht="14.25" x14ac:dyDescent="0.2">
      <c r="E542"/>
      <c r="F542" s="10"/>
      <c r="S542" s="11"/>
      <c r="T542" s="11"/>
      <c r="U542" s="11"/>
      <c r="V542" s="11"/>
      <c r="W542" s="11"/>
      <c r="X542" s="11"/>
      <c r="Y542" s="11"/>
      <c r="Z542" s="53"/>
      <c r="AA542" s="51"/>
      <c r="AB542"/>
      <c r="AD542"/>
      <c r="AE542" s="174"/>
      <c r="AF542" s="174"/>
      <c r="AG542" s="174"/>
      <c r="AH542" s="174"/>
      <c r="AI542"/>
      <c r="AJ542"/>
    </row>
    <row r="543" spans="5:36" ht="14.25" x14ac:dyDescent="0.2">
      <c r="E543"/>
      <c r="F543" s="10"/>
      <c r="S543" s="11"/>
      <c r="T543" s="11"/>
      <c r="U543" s="11"/>
      <c r="V543" s="11"/>
      <c r="W543" s="11"/>
      <c r="X543" s="11"/>
      <c r="Y543" s="11"/>
      <c r="Z543" s="53"/>
      <c r="AA543" s="51"/>
      <c r="AB543"/>
      <c r="AD543"/>
      <c r="AE543" s="174"/>
      <c r="AF543" s="174"/>
      <c r="AG543" s="174"/>
      <c r="AH543" s="174"/>
      <c r="AI543"/>
      <c r="AJ543"/>
    </row>
    <row r="544" spans="5:36" ht="14.25" x14ac:dyDescent="0.2">
      <c r="E544"/>
      <c r="F544" s="10"/>
      <c r="S544" s="11"/>
      <c r="T544" s="11"/>
      <c r="U544" s="11"/>
      <c r="V544" s="11"/>
      <c r="W544" s="11"/>
      <c r="X544" s="11"/>
      <c r="Y544" s="11"/>
      <c r="Z544" s="53"/>
      <c r="AA544" s="51"/>
      <c r="AB544"/>
      <c r="AD544"/>
      <c r="AE544" s="174"/>
      <c r="AF544" s="174"/>
      <c r="AG544" s="174"/>
      <c r="AH544" s="174"/>
      <c r="AI544"/>
      <c r="AJ544"/>
    </row>
    <row r="545" spans="5:36" ht="14.25" x14ac:dyDescent="0.2">
      <c r="E545"/>
      <c r="F545" s="10"/>
      <c r="S545" s="11"/>
      <c r="T545" s="11"/>
      <c r="U545" s="11"/>
      <c r="V545" s="11"/>
      <c r="W545" s="11"/>
      <c r="X545" s="11"/>
      <c r="Y545" s="11"/>
      <c r="Z545" s="53"/>
      <c r="AA545" s="51"/>
      <c r="AB545"/>
      <c r="AD545"/>
      <c r="AE545" s="174"/>
      <c r="AF545" s="174"/>
      <c r="AG545" s="174"/>
      <c r="AH545" s="174"/>
      <c r="AI545"/>
      <c r="AJ545"/>
    </row>
    <row r="546" spans="5:36" ht="14.25" x14ac:dyDescent="0.2">
      <c r="E546"/>
      <c r="F546" s="10"/>
      <c r="S546" s="11"/>
      <c r="T546" s="11"/>
      <c r="U546" s="11"/>
      <c r="V546" s="11"/>
      <c r="W546" s="11"/>
      <c r="X546" s="11"/>
      <c r="Y546" s="11"/>
      <c r="Z546" s="53"/>
      <c r="AA546" s="51"/>
      <c r="AB546"/>
      <c r="AD546"/>
      <c r="AE546" s="174"/>
      <c r="AF546" s="174"/>
      <c r="AG546" s="174"/>
      <c r="AH546" s="174"/>
      <c r="AI546"/>
      <c r="AJ546"/>
    </row>
    <row r="547" spans="5:36" ht="14.25" x14ac:dyDescent="0.2">
      <c r="E547"/>
      <c r="F547" s="10"/>
      <c r="S547" s="11"/>
      <c r="T547" s="11"/>
      <c r="U547" s="11"/>
      <c r="V547" s="11"/>
      <c r="W547" s="11"/>
      <c r="X547" s="11"/>
      <c r="Y547" s="11"/>
      <c r="Z547" s="53"/>
      <c r="AA547" s="51"/>
      <c r="AB547"/>
      <c r="AD547"/>
      <c r="AE547" s="174"/>
      <c r="AF547" s="174"/>
      <c r="AG547" s="174"/>
      <c r="AH547" s="174"/>
      <c r="AI547"/>
      <c r="AJ547"/>
    </row>
    <row r="548" spans="5:36" ht="14.25" x14ac:dyDescent="0.2">
      <c r="E548"/>
      <c r="F548" s="10"/>
      <c r="S548" s="11"/>
      <c r="T548" s="11"/>
      <c r="U548" s="11"/>
      <c r="V548" s="11"/>
      <c r="W548" s="11"/>
      <c r="X548" s="11"/>
      <c r="Y548" s="11"/>
      <c r="Z548" s="53"/>
      <c r="AA548" s="51"/>
      <c r="AB548"/>
      <c r="AD548"/>
      <c r="AE548" s="174"/>
      <c r="AF548" s="174"/>
      <c r="AG548" s="174"/>
      <c r="AH548" s="174"/>
      <c r="AI548"/>
      <c r="AJ548"/>
    </row>
    <row r="549" spans="5:36" ht="14.25" x14ac:dyDescent="0.2">
      <c r="E549"/>
      <c r="F549" s="10"/>
      <c r="S549" s="11"/>
      <c r="T549" s="11"/>
      <c r="U549" s="11"/>
      <c r="V549" s="11"/>
      <c r="W549" s="11"/>
      <c r="X549" s="11"/>
      <c r="Y549" s="11"/>
      <c r="Z549" s="53"/>
      <c r="AA549" s="51"/>
      <c r="AB549"/>
      <c r="AD549"/>
      <c r="AE549" s="174"/>
      <c r="AF549" s="174"/>
      <c r="AG549" s="174"/>
      <c r="AH549" s="174"/>
      <c r="AI549"/>
      <c r="AJ549"/>
    </row>
    <row r="550" spans="5:36" ht="14.25" x14ac:dyDescent="0.2">
      <c r="E550"/>
      <c r="F550" s="10"/>
      <c r="S550" s="11"/>
      <c r="T550" s="11"/>
      <c r="U550" s="11"/>
      <c r="V550" s="11"/>
      <c r="W550" s="11"/>
      <c r="X550" s="11"/>
      <c r="Y550" s="11"/>
      <c r="Z550" s="53"/>
      <c r="AA550" s="51"/>
      <c r="AB550"/>
      <c r="AD550"/>
      <c r="AE550" s="174"/>
      <c r="AF550" s="174"/>
      <c r="AG550" s="174"/>
      <c r="AH550" s="174"/>
      <c r="AI550"/>
      <c r="AJ550"/>
    </row>
    <row r="551" spans="5:36" ht="14.25" x14ac:dyDescent="0.2">
      <c r="E551"/>
      <c r="F551" s="10"/>
      <c r="S551" s="11"/>
      <c r="T551" s="11"/>
      <c r="U551" s="11"/>
      <c r="V551" s="11"/>
      <c r="W551" s="11"/>
      <c r="X551" s="11"/>
      <c r="Y551" s="11"/>
      <c r="Z551" s="53"/>
      <c r="AA551" s="51"/>
      <c r="AB551"/>
      <c r="AD551"/>
      <c r="AE551" s="174"/>
      <c r="AF551" s="174"/>
      <c r="AG551" s="174"/>
      <c r="AH551" s="174"/>
      <c r="AI551"/>
      <c r="AJ551"/>
    </row>
    <row r="552" spans="5:36" ht="14.25" x14ac:dyDescent="0.2">
      <c r="E552"/>
      <c r="F552" s="10"/>
      <c r="S552" s="11"/>
      <c r="T552" s="11"/>
      <c r="U552" s="11"/>
      <c r="V552" s="11"/>
      <c r="W552" s="11"/>
      <c r="X552" s="11"/>
      <c r="Y552" s="11"/>
      <c r="Z552" s="53"/>
      <c r="AA552" s="51"/>
      <c r="AB552"/>
      <c r="AD552"/>
      <c r="AE552" s="174"/>
      <c r="AF552" s="174"/>
      <c r="AG552" s="174"/>
      <c r="AH552" s="174"/>
      <c r="AI552"/>
      <c r="AJ552"/>
    </row>
    <row r="553" spans="5:36" ht="14.25" x14ac:dyDescent="0.2">
      <c r="E553"/>
      <c r="F553" s="10"/>
      <c r="S553" s="11"/>
      <c r="T553" s="11"/>
      <c r="U553" s="11"/>
      <c r="V553" s="11"/>
      <c r="W553" s="11"/>
      <c r="X553" s="11"/>
      <c r="Y553" s="11"/>
      <c r="Z553" s="53"/>
      <c r="AA553" s="51"/>
      <c r="AB553"/>
      <c r="AD553"/>
      <c r="AE553" s="174"/>
      <c r="AF553" s="174"/>
      <c r="AG553" s="174"/>
      <c r="AH553" s="174"/>
      <c r="AI553"/>
      <c r="AJ553"/>
    </row>
    <row r="554" spans="5:36" ht="14.25" x14ac:dyDescent="0.2">
      <c r="E554"/>
      <c r="F554" s="10"/>
      <c r="S554" s="11"/>
      <c r="T554" s="11"/>
      <c r="U554" s="11"/>
      <c r="V554" s="11"/>
      <c r="W554" s="11"/>
      <c r="X554" s="11"/>
      <c r="Y554" s="11"/>
      <c r="Z554" s="53"/>
      <c r="AA554" s="51"/>
      <c r="AB554"/>
      <c r="AD554"/>
      <c r="AE554" s="174"/>
      <c r="AF554" s="174"/>
      <c r="AG554" s="174"/>
      <c r="AH554" s="174"/>
      <c r="AI554"/>
      <c r="AJ554"/>
    </row>
    <row r="555" spans="5:36" ht="14.25" x14ac:dyDescent="0.2">
      <c r="E555"/>
      <c r="F555" s="10"/>
      <c r="S555" s="11"/>
      <c r="T555" s="11"/>
      <c r="U555" s="11"/>
      <c r="V555" s="11"/>
      <c r="W555" s="11"/>
      <c r="X555" s="11"/>
      <c r="Y555" s="11"/>
      <c r="Z555" s="53"/>
      <c r="AA555" s="51"/>
      <c r="AB555"/>
      <c r="AD555"/>
      <c r="AE555" s="174"/>
      <c r="AF555" s="174"/>
      <c r="AG555" s="174"/>
      <c r="AH555" s="174"/>
      <c r="AI555"/>
      <c r="AJ555"/>
    </row>
    <row r="556" spans="5:36" ht="14.25" x14ac:dyDescent="0.2">
      <c r="E556"/>
      <c r="F556" s="10"/>
      <c r="S556" s="11"/>
      <c r="T556" s="11"/>
      <c r="U556" s="11"/>
      <c r="V556" s="11"/>
      <c r="W556" s="11"/>
      <c r="X556" s="11"/>
      <c r="Y556" s="11"/>
      <c r="Z556" s="53"/>
      <c r="AA556" s="51"/>
      <c r="AB556"/>
      <c r="AD556"/>
      <c r="AE556" s="174"/>
      <c r="AF556" s="174"/>
      <c r="AG556" s="174"/>
      <c r="AH556" s="174"/>
      <c r="AI556"/>
      <c r="AJ556"/>
    </row>
    <row r="557" spans="5:36" ht="14.25" x14ac:dyDescent="0.2">
      <c r="E557"/>
      <c r="F557" s="10"/>
      <c r="S557" s="11"/>
      <c r="T557" s="11"/>
      <c r="U557" s="11"/>
      <c r="V557" s="11"/>
      <c r="W557" s="11"/>
      <c r="X557" s="11"/>
      <c r="Y557" s="11"/>
      <c r="Z557" s="53"/>
      <c r="AA557" s="51"/>
      <c r="AB557"/>
      <c r="AD557"/>
      <c r="AE557" s="174"/>
      <c r="AF557" s="174"/>
      <c r="AG557" s="174"/>
      <c r="AH557" s="174"/>
      <c r="AI557"/>
      <c r="AJ557"/>
    </row>
    <row r="558" spans="5:36" ht="14.25" x14ac:dyDescent="0.2">
      <c r="E558"/>
      <c r="F558" s="10"/>
      <c r="S558" s="11"/>
      <c r="T558" s="11"/>
      <c r="U558" s="11"/>
      <c r="V558" s="11"/>
      <c r="W558" s="11"/>
      <c r="X558" s="11"/>
      <c r="Y558" s="11"/>
      <c r="Z558" s="53"/>
      <c r="AA558" s="51"/>
      <c r="AB558"/>
      <c r="AD558"/>
      <c r="AE558" s="174"/>
      <c r="AF558" s="174"/>
      <c r="AG558" s="174"/>
      <c r="AH558" s="174"/>
      <c r="AI558"/>
      <c r="AJ558"/>
    </row>
    <row r="559" spans="5:36" ht="14.25" x14ac:dyDescent="0.2">
      <c r="E559"/>
      <c r="F559" s="10"/>
      <c r="S559" s="11"/>
      <c r="T559" s="11"/>
      <c r="U559" s="11"/>
      <c r="V559" s="11"/>
      <c r="W559" s="11"/>
      <c r="X559" s="11"/>
      <c r="Y559" s="11"/>
      <c r="Z559" s="53"/>
      <c r="AA559" s="51"/>
      <c r="AB559"/>
      <c r="AD559"/>
      <c r="AE559" s="174"/>
      <c r="AF559" s="174"/>
      <c r="AG559" s="174"/>
      <c r="AH559" s="174"/>
      <c r="AI559"/>
      <c r="AJ559"/>
    </row>
    <row r="560" spans="5:36" ht="14.25" x14ac:dyDescent="0.2">
      <c r="E560"/>
      <c r="F560" s="10"/>
      <c r="S560" s="11"/>
      <c r="T560" s="11"/>
      <c r="U560" s="11"/>
      <c r="V560" s="11"/>
      <c r="W560" s="11"/>
      <c r="X560" s="11"/>
      <c r="Y560" s="11"/>
      <c r="Z560" s="53"/>
      <c r="AA560" s="51"/>
      <c r="AB560"/>
      <c r="AD560"/>
      <c r="AE560" s="174"/>
      <c r="AF560" s="174"/>
      <c r="AG560" s="174"/>
      <c r="AH560" s="174"/>
      <c r="AI560"/>
      <c r="AJ560"/>
    </row>
    <row r="561" spans="5:36" ht="14.25" x14ac:dyDescent="0.2">
      <c r="E561"/>
      <c r="F561" s="10"/>
      <c r="S561" s="11"/>
      <c r="T561" s="11"/>
      <c r="U561" s="11"/>
      <c r="V561" s="11"/>
      <c r="W561" s="11"/>
      <c r="X561" s="11"/>
      <c r="Y561" s="11"/>
      <c r="Z561" s="53"/>
      <c r="AA561" s="51"/>
      <c r="AB561"/>
      <c r="AD561"/>
      <c r="AE561" s="174"/>
      <c r="AF561" s="174"/>
      <c r="AG561" s="174"/>
      <c r="AH561" s="174"/>
      <c r="AI561"/>
      <c r="AJ561"/>
    </row>
    <row r="562" spans="5:36" ht="14.25" x14ac:dyDescent="0.2">
      <c r="E562"/>
      <c r="F562" s="10"/>
      <c r="S562" s="11"/>
      <c r="T562" s="11"/>
      <c r="U562" s="11"/>
      <c r="V562" s="11"/>
      <c r="W562" s="11"/>
      <c r="X562" s="11"/>
      <c r="Y562" s="11"/>
      <c r="Z562" s="53"/>
      <c r="AA562" s="51"/>
      <c r="AB562"/>
      <c r="AD562"/>
      <c r="AE562" s="174"/>
      <c r="AF562" s="174"/>
      <c r="AG562" s="174"/>
      <c r="AH562" s="174"/>
      <c r="AI562"/>
      <c r="AJ562"/>
    </row>
    <row r="563" spans="5:36" ht="14.25" x14ac:dyDescent="0.2">
      <c r="E563"/>
      <c r="F563" s="10"/>
      <c r="S563" s="11"/>
      <c r="T563" s="11"/>
      <c r="U563" s="11"/>
      <c r="V563" s="11"/>
      <c r="W563" s="11"/>
      <c r="X563" s="11"/>
      <c r="Y563" s="11"/>
      <c r="Z563" s="53"/>
      <c r="AA563" s="51"/>
      <c r="AB563"/>
      <c r="AD563"/>
      <c r="AE563" s="174"/>
      <c r="AF563" s="174"/>
      <c r="AG563" s="174"/>
      <c r="AH563" s="174"/>
      <c r="AI563"/>
      <c r="AJ563"/>
    </row>
    <row r="564" spans="5:36" ht="14.25" x14ac:dyDescent="0.2">
      <c r="E564"/>
      <c r="F564" s="10"/>
      <c r="S564" s="11"/>
      <c r="T564" s="11"/>
      <c r="U564" s="11"/>
      <c r="V564" s="11"/>
      <c r="W564" s="11"/>
      <c r="X564" s="11"/>
      <c r="Y564" s="11"/>
      <c r="Z564" s="53"/>
      <c r="AA564" s="51"/>
      <c r="AB564"/>
      <c r="AD564"/>
      <c r="AE564" s="174"/>
      <c r="AF564" s="174"/>
      <c r="AG564" s="174"/>
      <c r="AH564" s="174"/>
      <c r="AI564"/>
      <c r="AJ564"/>
    </row>
    <row r="565" spans="5:36" ht="14.25" x14ac:dyDescent="0.2">
      <c r="E565"/>
      <c r="F565" s="10"/>
      <c r="S565" s="11"/>
      <c r="T565" s="11"/>
      <c r="U565" s="11"/>
      <c r="V565" s="11"/>
      <c r="W565" s="11"/>
      <c r="X565" s="11"/>
      <c r="Y565" s="11"/>
      <c r="Z565" s="53"/>
      <c r="AA565" s="51"/>
      <c r="AB565"/>
      <c r="AD565"/>
      <c r="AE565" s="174"/>
      <c r="AF565" s="174"/>
      <c r="AG565" s="174"/>
      <c r="AH565" s="174"/>
      <c r="AI565"/>
      <c r="AJ565"/>
    </row>
    <row r="566" spans="5:36" ht="14.25" x14ac:dyDescent="0.2">
      <c r="E566"/>
      <c r="F566" s="10"/>
      <c r="S566" s="11"/>
      <c r="T566" s="11"/>
      <c r="U566" s="11"/>
      <c r="V566" s="11"/>
      <c r="W566" s="11"/>
      <c r="X566" s="11"/>
      <c r="Y566" s="11"/>
      <c r="Z566" s="53"/>
      <c r="AA566" s="51"/>
      <c r="AB566"/>
      <c r="AD566"/>
      <c r="AE566" s="174"/>
      <c r="AF566" s="174"/>
      <c r="AG566" s="174"/>
      <c r="AH566" s="174"/>
      <c r="AI566"/>
      <c r="AJ566"/>
    </row>
    <row r="567" spans="5:36" ht="14.25" x14ac:dyDescent="0.2">
      <c r="E567"/>
      <c r="F567" s="10"/>
      <c r="S567" s="11"/>
      <c r="T567" s="11"/>
      <c r="U567" s="11"/>
      <c r="V567" s="11"/>
      <c r="W567" s="11"/>
      <c r="X567" s="11"/>
      <c r="Y567" s="11"/>
      <c r="Z567" s="53"/>
      <c r="AA567" s="51"/>
      <c r="AB567"/>
      <c r="AD567"/>
      <c r="AE567" s="174"/>
      <c r="AF567" s="174"/>
      <c r="AG567" s="174"/>
      <c r="AH567" s="174"/>
      <c r="AI567"/>
      <c r="AJ567"/>
    </row>
    <row r="568" spans="5:36" ht="14.25" x14ac:dyDescent="0.2">
      <c r="E568"/>
      <c r="F568" s="10"/>
      <c r="S568" s="11"/>
      <c r="T568" s="11"/>
      <c r="U568" s="11"/>
      <c r="V568" s="11"/>
      <c r="W568" s="11"/>
      <c r="X568" s="11"/>
      <c r="Y568" s="11"/>
      <c r="Z568" s="53"/>
      <c r="AA568" s="51"/>
      <c r="AB568"/>
      <c r="AD568"/>
      <c r="AE568" s="174"/>
      <c r="AF568" s="174"/>
      <c r="AG568" s="174"/>
      <c r="AH568" s="174"/>
      <c r="AI568"/>
      <c r="AJ568"/>
    </row>
    <row r="569" spans="5:36" ht="14.25" x14ac:dyDescent="0.2">
      <c r="E569"/>
      <c r="F569" s="10"/>
      <c r="S569" s="11"/>
      <c r="T569" s="11"/>
      <c r="U569" s="11"/>
      <c r="V569" s="11"/>
      <c r="W569" s="11"/>
      <c r="X569" s="11"/>
      <c r="Y569" s="11"/>
      <c r="Z569" s="53"/>
      <c r="AA569" s="51"/>
      <c r="AB569"/>
      <c r="AD569"/>
      <c r="AE569" s="174"/>
      <c r="AF569" s="174"/>
      <c r="AG569" s="174"/>
      <c r="AH569" s="174"/>
      <c r="AI569"/>
      <c r="AJ569"/>
    </row>
    <row r="570" spans="5:36" ht="14.25" x14ac:dyDescent="0.2">
      <c r="E570"/>
      <c r="F570" s="10"/>
      <c r="S570" s="11"/>
      <c r="T570" s="11"/>
      <c r="U570" s="11"/>
      <c r="V570" s="11"/>
      <c r="W570" s="11"/>
      <c r="X570" s="11"/>
      <c r="Y570" s="11"/>
      <c r="Z570" s="53"/>
      <c r="AA570" s="51"/>
      <c r="AB570"/>
      <c r="AD570"/>
      <c r="AE570" s="174"/>
      <c r="AF570" s="174"/>
      <c r="AG570" s="174"/>
      <c r="AH570" s="174"/>
      <c r="AI570"/>
      <c r="AJ570"/>
    </row>
    <row r="571" spans="5:36" ht="14.25" x14ac:dyDescent="0.2">
      <c r="E571"/>
      <c r="F571" s="10"/>
      <c r="S571" s="11"/>
      <c r="T571" s="11"/>
      <c r="U571" s="11"/>
      <c r="V571" s="11"/>
      <c r="W571" s="11"/>
      <c r="X571" s="11"/>
      <c r="Y571" s="11"/>
      <c r="Z571" s="53"/>
      <c r="AA571" s="51"/>
      <c r="AB571"/>
      <c r="AD571"/>
      <c r="AE571" s="174"/>
      <c r="AF571" s="174"/>
      <c r="AG571" s="174"/>
      <c r="AH571" s="174"/>
      <c r="AI571"/>
      <c r="AJ571"/>
    </row>
    <row r="572" spans="5:36" ht="14.25" x14ac:dyDescent="0.2">
      <c r="E572"/>
      <c r="F572" s="10"/>
      <c r="S572" s="11"/>
      <c r="T572" s="11"/>
      <c r="U572" s="11"/>
      <c r="V572" s="11"/>
      <c r="W572" s="11"/>
      <c r="X572" s="11"/>
      <c r="Y572" s="11"/>
      <c r="Z572" s="53"/>
      <c r="AA572" s="51"/>
      <c r="AB572"/>
      <c r="AD572"/>
      <c r="AE572" s="174"/>
      <c r="AF572" s="174"/>
      <c r="AG572" s="174"/>
      <c r="AH572" s="174"/>
      <c r="AI572"/>
      <c r="AJ572"/>
    </row>
    <row r="573" spans="5:36" ht="14.25" x14ac:dyDescent="0.2">
      <c r="E573"/>
      <c r="F573" s="10"/>
      <c r="S573" s="11"/>
      <c r="T573" s="11"/>
      <c r="U573" s="11"/>
      <c r="V573" s="11"/>
      <c r="W573" s="11"/>
      <c r="X573" s="11"/>
      <c r="Y573" s="11"/>
      <c r="Z573" s="53"/>
      <c r="AA573" s="51"/>
      <c r="AB573"/>
      <c r="AD573"/>
      <c r="AE573" s="174"/>
      <c r="AF573" s="174"/>
      <c r="AG573" s="174"/>
      <c r="AH573" s="174"/>
      <c r="AI573"/>
      <c r="AJ573"/>
    </row>
    <row r="574" spans="5:36" ht="14.25" x14ac:dyDescent="0.2">
      <c r="E574"/>
      <c r="F574" s="10"/>
      <c r="S574" s="11"/>
      <c r="T574" s="11"/>
      <c r="U574" s="11"/>
      <c r="V574" s="11"/>
      <c r="W574" s="11"/>
      <c r="X574" s="11"/>
      <c r="Y574" s="11"/>
      <c r="Z574" s="53"/>
      <c r="AA574" s="51"/>
      <c r="AB574"/>
      <c r="AD574"/>
      <c r="AE574" s="174"/>
      <c r="AF574" s="174"/>
      <c r="AG574" s="174"/>
      <c r="AH574" s="174"/>
      <c r="AI574"/>
      <c r="AJ574"/>
    </row>
    <row r="575" spans="5:36" ht="14.25" x14ac:dyDescent="0.2">
      <c r="E575"/>
      <c r="F575" s="10"/>
      <c r="S575" s="11"/>
      <c r="T575" s="11"/>
      <c r="U575" s="11"/>
      <c r="V575" s="11"/>
      <c r="W575" s="11"/>
      <c r="X575" s="11"/>
      <c r="Y575" s="11"/>
      <c r="Z575" s="53"/>
      <c r="AA575" s="51"/>
      <c r="AB575"/>
      <c r="AD575"/>
      <c r="AE575" s="174"/>
      <c r="AF575" s="174"/>
      <c r="AG575" s="174"/>
      <c r="AH575" s="174"/>
      <c r="AI575"/>
      <c r="AJ575"/>
    </row>
    <row r="576" spans="5:36" ht="14.25" x14ac:dyDescent="0.2">
      <c r="E576"/>
      <c r="F576" s="10"/>
      <c r="S576" s="11"/>
      <c r="T576" s="11"/>
      <c r="U576" s="11"/>
      <c r="V576" s="11"/>
      <c r="W576" s="11"/>
      <c r="X576" s="11"/>
      <c r="Y576" s="11"/>
      <c r="Z576" s="53"/>
      <c r="AA576" s="51"/>
      <c r="AB576"/>
      <c r="AD576"/>
      <c r="AE576" s="174"/>
      <c r="AF576" s="174"/>
      <c r="AG576" s="174"/>
      <c r="AH576" s="174"/>
      <c r="AI576"/>
      <c r="AJ576"/>
    </row>
    <row r="577" spans="5:36" ht="14.25" x14ac:dyDescent="0.2">
      <c r="E577"/>
      <c r="F577" s="10"/>
      <c r="S577" s="11"/>
      <c r="T577" s="11"/>
      <c r="U577" s="11"/>
      <c r="V577" s="11"/>
      <c r="W577" s="11"/>
      <c r="X577" s="11"/>
      <c r="Y577" s="11"/>
      <c r="Z577" s="53"/>
      <c r="AA577" s="51"/>
      <c r="AB577"/>
      <c r="AD577"/>
      <c r="AE577" s="174"/>
      <c r="AF577" s="174"/>
      <c r="AG577" s="174"/>
      <c r="AH577" s="174"/>
      <c r="AI577"/>
      <c r="AJ577"/>
    </row>
    <row r="578" spans="5:36" ht="14.25" x14ac:dyDescent="0.2">
      <c r="E578"/>
      <c r="F578" s="10"/>
      <c r="S578" s="11"/>
      <c r="T578" s="11"/>
      <c r="U578" s="11"/>
      <c r="V578" s="11"/>
      <c r="W578" s="11"/>
      <c r="X578" s="11"/>
      <c r="Y578" s="11"/>
      <c r="Z578" s="53"/>
      <c r="AA578" s="51"/>
      <c r="AB578"/>
      <c r="AD578"/>
      <c r="AE578" s="174"/>
      <c r="AF578" s="174"/>
      <c r="AG578" s="174"/>
      <c r="AH578" s="174"/>
      <c r="AI578"/>
      <c r="AJ578"/>
    </row>
    <row r="579" spans="5:36" ht="14.25" x14ac:dyDescent="0.2">
      <c r="E579"/>
      <c r="F579" s="10"/>
      <c r="S579" s="11"/>
      <c r="T579" s="11"/>
      <c r="U579" s="11"/>
      <c r="V579" s="11"/>
      <c r="W579" s="11"/>
      <c r="X579" s="11"/>
      <c r="Y579" s="11"/>
      <c r="Z579" s="53"/>
      <c r="AA579" s="51"/>
      <c r="AB579"/>
      <c r="AD579"/>
      <c r="AE579" s="174"/>
      <c r="AF579" s="174"/>
      <c r="AG579" s="174"/>
      <c r="AH579" s="174"/>
      <c r="AI579"/>
      <c r="AJ579"/>
    </row>
    <row r="580" spans="5:36" ht="14.25" x14ac:dyDescent="0.2">
      <c r="E580"/>
      <c r="F580" s="10"/>
      <c r="S580" s="11"/>
      <c r="T580" s="11"/>
      <c r="U580" s="11"/>
      <c r="V580" s="11"/>
      <c r="W580" s="11"/>
      <c r="X580" s="11"/>
      <c r="Y580" s="11"/>
      <c r="Z580" s="53"/>
      <c r="AA580" s="51"/>
      <c r="AB580"/>
      <c r="AD580"/>
      <c r="AE580" s="174"/>
      <c r="AF580" s="174"/>
      <c r="AG580" s="174"/>
      <c r="AH580" s="174"/>
      <c r="AI580"/>
      <c r="AJ580"/>
    </row>
    <row r="581" spans="5:36" ht="14.25" x14ac:dyDescent="0.2">
      <c r="E581"/>
      <c r="F581" s="10"/>
      <c r="S581" s="11"/>
      <c r="T581" s="11"/>
      <c r="U581" s="11"/>
      <c r="V581" s="11"/>
      <c r="W581" s="11"/>
      <c r="X581" s="11"/>
      <c r="Y581" s="11"/>
      <c r="Z581" s="53"/>
      <c r="AA581" s="51"/>
      <c r="AB581"/>
      <c r="AD581"/>
      <c r="AE581" s="174"/>
      <c r="AF581" s="174"/>
      <c r="AG581" s="174"/>
      <c r="AH581" s="174"/>
      <c r="AI581"/>
      <c r="AJ581"/>
    </row>
    <row r="582" spans="5:36" ht="14.25" x14ac:dyDescent="0.2">
      <c r="E582"/>
      <c r="F582" s="10"/>
      <c r="S582" s="11"/>
      <c r="T582" s="11"/>
      <c r="U582" s="11"/>
      <c r="V582" s="11"/>
      <c r="W582" s="11"/>
      <c r="X582" s="11"/>
      <c r="Y582" s="11"/>
      <c r="Z582" s="53"/>
      <c r="AA582" s="51"/>
      <c r="AB582"/>
      <c r="AD582"/>
      <c r="AE582" s="174"/>
      <c r="AF582" s="174"/>
      <c r="AG582" s="174"/>
      <c r="AH582" s="174"/>
      <c r="AI582"/>
      <c r="AJ582"/>
    </row>
    <row r="583" spans="5:36" ht="14.25" x14ac:dyDescent="0.2">
      <c r="E583"/>
      <c r="F583" s="10"/>
      <c r="S583" s="11"/>
      <c r="T583" s="11"/>
      <c r="U583" s="11"/>
      <c r="V583" s="11"/>
      <c r="W583" s="11"/>
      <c r="X583" s="11"/>
      <c r="Y583" s="11"/>
      <c r="Z583" s="53"/>
      <c r="AA583" s="51"/>
      <c r="AB583"/>
      <c r="AD583"/>
      <c r="AE583" s="174"/>
      <c r="AF583" s="174"/>
      <c r="AG583" s="174"/>
      <c r="AH583" s="174"/>
      <c r="AI583"/>
      <c r="AJ583"/>
    </row>
    <row r="584" spans="5:36" ht="14.25" x14ac:dyDescent="0.2">
      <c r="E584"/>
      <c r="F584" s="10"/>
      <c r="S584" s="11"/>
      <c r="T584" s="11"/>
      <c r="U584" s="11"/>
      <c r="V584" s="11"/>
      <c r="W584" s="11"/>
      <c r="X584" s="11"/>
      <c r="Y584" s="11"/>
      <c r="Z584" s="53"/>
      <c r="AA584" s="51"/>
      <c r="AB584"/>
      <c r="AD584"/>
      <c r="AE584" s="174"/>
      <c r="AF584" s="174"/>
      <c r="AG584" s="174"/>
      <c r="AH584" s="174"/>
      <c r="AI584"/>
      <c r="AJ584"/>
    </row>
    <row r="585" spans="5:36" ht="14.25" x14ac:dyDescent="0.2">
      <c r="E585"/>
      <c r="F585" s="10"/>
      <c r="S585" s="11"/>
      <c r="T585" s="11"/>
      <c r="U585" s="11"/>
      <c r="V585" s="11"/>
      <c r="W585" s="11"/>
      <c r="X585" s="11"/>
      <c r="Y585" s="11"/>
      <c r="Z585" s="53"/>
      <c r="AA585" s="51"/>
      <c r="AB585"/>
      <c r="AD585"/>
      <c r="AE585" s="174"/>
      <c r="AF585" s="174"/>
      <c r="AG585" s="174"/>
      <c r="AH585" s="174"/>
      <c r="AI585"/>
      <c r="AJ585"/>
    </row>
    <row r="586" spans="5:36" ht="14.25" x14ac:dyDescent="0.2">
      <c r="E586"/>
      <c r="F586" s="10"/>
      <c r="S586" s="11"/>
      <c r="T586" s="11"/>
      <c r="U586" s="11"/>
      <c r="V586" s="11"/>
      <c r="W586" s="11"/>
      <c r="X586" s="11"/>
      <c r="Y586" s="11"/>
      <c r="Z586" s="53"/>
      <c r="AA586" s="51"/>
      <c r="AB586"/>
      <c r="AD586"/>
      <c r="AE586" s="174"/>
      <c r="AF586" s="174"/>
      <c r="AG586" s="174"/>
      <c r="AH586" s="174"/>
      <c r="AI586"/>
      <c r="AJ586"/>
    </row>
    <row r="587" spans="5:36" ht="14.25" x14ac:dyDescent="0.2">
      <c r="E587"/>
      <c r="F587" s="10"/>
      <c r="S587" s="11"/>
      <c r="T587" s="11"/>
      <c r="U587" s="11"/>
      <c r="V587" s="11"/>
      <c r="W587" s="11"/>
      <c r="X587" s="11"/>
      <c r="Y587" s="11"/>
      <c r="Z587" s="53"/>
      <c r="AA587" s="51"/>
      <c r="AB587"/>
      <c r="AD587"/>
      <c r="AE587" s="174"/>
      <c r="AF587" s="174"/>
      <c r="AG587" s="174"/>
      <c r="AH587" s="174"/>
      <c r="AI587"/>
      <c r="AJ587"/>
    </row>
    <row r="588" spans="5:36" ht="14.25" x14ac:dyDescent="0.2">
      <c r="E588"/>
      <c r="F588" s="10"/>
      <c r="S588" s="11"/>
      <c r="T588" s="11"/>
      <c r="U588" s="11"/>
      <c r="V588" s="11"/>
      <c r="W588" s="11"/>
      <c r="X588" s="11"/>
      <c r="Y588" s="11"/>
      <c r="Z588" s="53"/>
      <c r="AA588" s="51"/>
      <c r="AB588"/>
      <c r="AD588"/>
      <c r="AE588" s="174"/>
      <c r="AF588" s="174"/>
      <c r="AG588" s="174"/>
      <c r="AH588" s="174"/>
      <c r="AI588"/>
      <c r="AJ588"/>
    </row>
    <row r="589" spans="5:36" ht="14.25" x14ac:dyDescent="0.2">
      <c r="E589"/>
      <c r="F589" s="10"/>
      <c r="S589" s="11"/>
      <c r="T589" s="11"/>
      <c r="U589" s="11"/>
      <c r="V589" s="11"/>
      <c r="W589" s="11"/>
      <c r="X589" s="11"/>
      <c r="Y589" s="11"/>
      <c r="Z589" s="53"/>
      <c r="AA589" s="51"/>
      <c r="AB589"/>
      <c r="AD589"/>
      <c r="AE589" s="174"/>
      <c r="AF589" s="174"/>
      <c r="AG589" s="174"/>
      <c r="AH589" s="174"/>
      <c r="AI589"/>
      <c r="AJ589"/>
    </row>
    <row r="590" spans="5:36" ht="14.25" x14ac:dyDescent="0.2">
      <c r="E590"/>
      <c r="F590" s="10"/>
      <c r="S590" s="11"/>
      <c r="T590" s="11"/>
      <c r="U590" s="11"/>
      <c r="V590" s="11"/>
      <c r="W590" s="11"/>
      <c r="X590" s="11"/>
      <c r="Y590" s="11"/>
      <c r="Z590" s="53"/>
      <c r="AA590" s="51"/>
      <c r="AB590"/>
      <c r="AD590"/>
      <c r="AE590" s="174"/>
      <c r="AF590" s="174"/>
      <c r="AG590" s="174"/>
      <c r="AH590" s="174"/>
      <c r="AI590"/>
      <c r="AJ590"/>
    </row>
    <row r="591" spans="5:36" ht="14.25" x14ac:dyDescent="0.2">
      <c r="E591"/>
      <c r="F591" s="10"/>
      <c r="S591" s="11"/>
      <c r="T591" s="11"/>
      <c r="U591" s="11"/>
      <c r="V591" s="11"/>
      <c r="W591" s="11"/>
      <c r="X591" s="11"/>
      <c r="Y591" s="11"/>
      <c r="Z591" s="53"/>
      <c r="AA591" s="51"/>
      <c r="AB591"/>
      <c r="AD591"/>
      <c r="AE591" s="174"/>
      <c r="AF591" s="174"/>
      <c r="AG591" s="174"/>
      <c r="AH591" s="174"/>
      <c r="AI591"/>
      <c r="AJ591"/>
    </row>
    <row r="592" spans="5:36" ht="14.25" x14ac:dyDescent="0.2">
      <c r="E592"/>
      <c r="F592" s="10"/>
      <c r="S592" s="11"/>
      <c r="T592" s="11"/>
      <c r="U592" s="11"/>
      <c r="V592" s="11"/>
      <c r="W592" s="11"/>
      <c r="X592" s="11"/>
      <c r="Y592" s="11"/>
      <c r="Z592" s="53"/>
      <c r="AA592" s="51"/>
      <c r="AB592"/>
      <c r="AD592"/>
      <c r="AE592" s="174"/>
      <c r="AF592" s="174"/>
      <c r="AG592" s="174"/>
      <c r="AH592" s="174"/>
      <c r="AI592"/>
      <c r="AJ592"/>
    </row>
    <row r="593" spans="5:36" ht="14.25" x14ac:dyDescent="0.2">
      <c r="E593"/>
      <c r="F593" s="10"/>
      <c r="S593" s="11"/>
      <c r="T593" s="11"/>
      <c r="U593" s="11"/>
      <c r="V593" s="11"/>
      <c r="W593" s="11"/>
      <c r="X593" s="11"/>
      <c r="Y593" s="11"/>
      <c r="Z593" s="53"/>
      <c r="AA593" s="51"/>
      <c r="AB593"/>
      <c r="AD593"/>
      <c r="AE593" s="174"/>
      <c r="AF593" s="174"/>
      <c r="AG593" s="174"/>
      <c r="AH593" s="174"/>
      <c r="AI593"/>
      <c r="AJ593"/>
    </row>
    <row r="594" spans="5:36" ht="14.25" x14ac:dyDescent="0.2">
      <c r="E594"/>
      <c r="F594" s="10"/>
      <c r="S594" s="11"/>
      <c r="T594" s="11"/>
      <c r="U594" s="11"/>
      <c r="V594" s="11"/>
      <c r="W594" s="11"/>
      <c r="X594" s="11"/>
      <c r="Y594" s="11"/>
      <c r="Z594" s="53"/>
      <c r="AA594" s="51"/>
      <c r="AB594"/>
      <c r="AD594"/>
      <c r="AE594" s="174"/>
      <c r="AF594" s="174"/>
      <c r="AG594" s="174"/>
      <c r="AH594" s="174"/>
      <c r="AI594"/>
      <c r="AJ594"/>
    </row>
    <row r="595" spans="5:36" ht="14.25" x14ac:dyDescent="0.2">
      <c r="E595"/>
      <c r="F595" s="10"/>
      <c r="S595" s="11"/>
      <c r="T595" s="11"/>
      <c r="U595" s="11"/>
      <c r="V595" s="11"/>
      <c r="W595" s="11"/>
      <c r="X595" s="11"/>
      <c r="Y595" s="11"/>
      <c r="Z595" s="53"/>
      <c r="AA595" s="51"/>
      <c r="AB595"/>
      <c r="AD595"/>
      <c r="AE595" s="174"/>
      <c r="AF595" s="174"/>
      <c r="AG595" s="174"/>
      <c r="AH595" s="174"/>
      <c r="AI595"/>
      <c r="AJ595"/>
    </row>
    <row r="596" spans="5:36" ht="14.25" x14ac:dyDescent="0.2">
      <c r="E596"/>
      <c r="F596" s="10"/>
      <c r="S596" s="11"/>
      <c r="T596" s="11"/>
      <c r="U596" s="11"/>
      <c r="V596" s="11"/>
      <c r="W596" s="11"/>
      <c r="X596" s="11"/>
      <c r="Y596" s="11"/>
      <c r="Z596" s="53"/>
      <c r="AA596" s="51"/>
      <c r="AB596"/>
      <c r="AD596"/>
      <c r="AE596" s="174"/>
      <c r="AF596" s="174"/>
      <c r="AG596" s="174"/>
      <c r="AH596" s="174"/>
      <c r="AI596"/>
      <c r="AJ596"/>
    </row>
    <row r="597" spans="5:36" ht="14.25" x14ac:dyDescent="0.2">
      <c r="E597"/>
      <c r="F597" s="10"/>
      <c r="S597" s="11"/>
      <c r="T597" s="11"/>
      <c r="U597" s="11"/>
      <c r="V597" s="11"/>
      <c r="W597" s="11"/>
      <c r="X597" s="11"/>
      <c r="Y597" s="11"/>
      <c r="Z597" s="53"/>
      <c r="AA597" s="51"/>
      <c r="AB597"/>
      <c r="AD597"/>
      <c r="AE597" s="174"/>
      <c r="AF597" s="174"/>
      <c r="AG597" s="174"/>
      <c r="AH597" s="174"/>
      <c r="AI597"/>
      <c r="AJ597"/>
    </row>
    <row r="598" spans="5:36" ht="14.25" x14ac:dyDescent="0.2">
      <c r="E598"/>
      <c r="F598" s="10"/>
      <c r="S598" s="11"/>
      <c r="T598" s="11"/>
      <c r="U598" s="11"/>
      <c r="V598" s="11"/>
      <c r="W598" s="11"/>
      <c r="X598" s="11"/>
      <c r="Y598" s="11"/>
      <c r="Z598" s="53"/>
      <c r="AA598" s="51"/>
      <c r="AB598"/>
      <c r="AD598"/>
      <c r="AE598" s="174"/>
      <c r="AF598" s="174"/>
      <c r="AG598" s="174"/>
      <c r="AH598" s="174"/>
      <c r="AI598"/>
      <c r="AJ598"/>
    </row>
    <row r="599" spans="5:36" ht="14.25" x14ac:dyDescent="0.2">
      <c r="E599"/>
      <c r="F599" s="10"/>
      <c r="S599" s="11"/>
      <c r="T599" s="11"/>
      <c r="U599" s="11"/>
      <c r="V599" s="11"/>
      <c r="W599" s="11"/>
      <c r="X599" s="11"/>
      <c r="Y599" s="11"/>
      <c r="Z599" s="53"/>
      <c r="AA599" s="51"/>
      <c r="AB599"/>
      <c r="AD599"/>
      <c r="AE599" s="174"/>
      <c r="AF599" s="174"/>
      <c r="AG599" s="174"/>
      <c r="AH599" s="174"/>
      <c r="AI599"/>
      <c r="AJ599"/>
    </row>
    <row r="600" spans="5:36" ht="14.25" x14ac:dyDescent="0.2">
      <c r="E600"/>
      <c r="F600" s="10"/>
      <c r="S600" s="11"/>
      <c r="T600" s="11"/>
      <c r="U600" s="11"/>
      <c r="V600" s="11"/>
      <c r="W600" s="11"/>
      <c r="X600" s="11"/>
      <c r="Y600" s="11"/>
      <c r="Z600" s="53"/>
      <c r="AA600" s="51"/>
      <c r="AB600"/>
      <c r="AD600"/>
      <c r="AE600" s="174"/>
      <c r="AF600" s="174"/>
      <c r="AG600" s="174"/>
      <c r="AH600" s="174"/>
      <c r="AI600"/>
      <c r="AJ600"/>
    </row>
    <row r="601" spans="5:36" ht="14.25" x14ac:dyDescent="0.2">
      <c r="E601"/>
      <c r="F601" s="10"/>
      <c r="S601" s="11"/>
      <c r="T601" s="11"/>
      <c r="U601" s="11"/>
      <c r="V601" s="11"/>
      <c r="W601" s="11"/>
      <c r="X601" s="11"/>
      <c r="Y601" s="11"/>
      <c r="Z601" s="53"/>
      <c r="AA601" s="51"/>
      <c r="AB601"/>
      <c r="AD601"/>
      <c r="AE601" s="174"/>
      <c r="AF601" s="174"/>
      <c r="AG601" s="174"/>
      <c r="AH601" s="174"/>
      <c r="AI601"/>
      <c r="AJ601"/>
    </row>
    <row r="602" spans="5:36" ht="14.25" x14ac:dyDescent="0.2">
      <c r="E602"/>
      <c r="F602" s="10"/>
      <c r="S602" s="11"/>
      <c r="T602" s="11"/>
      <c r="U602" s="11"/>
      <c r="V602" s="11"/>
      <c r="W602" s="11"/>
      <c r="X602" s="11"/>
      <c r="Y602" s="11"/>
      <c r="Z602" s="53"/>
      <c r="AA602" s="51"/>
      <c r="AB602"/>
      <c r="AD602"/>
      <c r="AE602" s="174"/>
      <c r="AF602" s="174"/>
      <c r="AG602" s="174"/>
      <c r="AH602" s="174"/>
      <c r="AI602"/>
      <c r="AJ602"/>
    </row>
    <row r="603" spans="5:36" ht="14.25" x14ac:dyDescent="0.2">
      <c r="E603"/>
      <c r="F603" s="10"/>
      <c r="S603" s="11"/>
      <c r="T603" s="11"/>
      <c r="U603" s="11"/>
      <c r="V603" s="11"/>
      <c r="W603" s="11"/>
      <c r="X603" s="11"/>
      <c r="Y603" s="11"/>
      <c r="Z603" s="53"/>
      <c r="AA603" s="51"/>
      <c r="AB603"/>
      <c r="AD603"/>
      <c r="AE603" s="174"/>
      <c r="AF603" s="174"/>
      <c r="AG603" s="174"/>
      <c r="AH603" s="174"/>
      <c r="AI603"/>
      <c r="AJ603"/>
    </row>
    <row r="604" spans="5:36" ht="14.25" x14ac:dyDescent="0.2">
      <c r="E604"/>
      <c r="F604" s="10"/>
      <c r="S604" s="11"/>
      <c r="T604" s="11"/>
      <c r="U604" s="11"/>
      <c r="V604" s="11"/>
      <c r="W604" s="11"/>
      <c r="X604" s="11"/>
      <c r="Y604" s="11"/>
      <c r="Z604" s="53"/>
      <c r="AA604" s="51"/>
      <c r="AB604"/>
      <c r="AD604"/>
      <c r="AE604" s="174"/>
      <c r="AF604" s="174"/>
      <c r="AG604" s="174"/>
      <c r="AH604" s="174"/>
      <c r="AI604"/>
      <c r="AJ604"/>
    </row>
    <row r="605" spans="5:36" ht="14.25" x14ac:dyDescent="0.2">
      <c r="E605"/>
      <c r="F605" s="10"/>
      <c r="S605" s="11"/>
      <c r="T605" s="11"/>
      <c r="U605" s="11"/>
      <c r="V605" s="11"/>
      <c r="W605" s="11"/>
      <c r="X605" s="11"/>
      <c r="Y605" s="11"/>
      <c r="Z605" s="53"/>
      <c r="AA605" s="51"/>
      <c r="AB605"/>
      <c r="AD605"/>
      <c r="AE605" s="174"/>
      <c r="AF605" s="174"/>
      <c r="AG605" s="174"/>
      <c r="AH605" s="174"/>
      <c r="AI605"/>
      <c r="AJ605"/>
    </row>
    <row r="606" spans="5:36" ht="14.25" x14ac:dyDescent="0.2">
      <c r="E606"/>
      <c r="F606" s="10"/>
      <c r="S606" s="11"/>
      <c r="T606" s="11"/>
      <c r="U606" s="11"/>
      <c r="V606" s="11"/>
      <c r="W606" s="11"/>
      <c r="X606" s="11"/>
      <c r="Y606" s="11"/>
      <c r="Z606" s="53"/>
      <c r="AA606" s="51"/>
      <c r="AB606"/>
      <c r="AD606"/>
      <c r="AE606" s="174"/>
      <c r="AF606" s="174"/>
      <c r="AG606" s="174"/>
      <c r="AH606" s="174"/>
      <c r="AI606"/>
      <c r="AJ606"/>
    </row>
    <row r="607" spans="5:36" ht="14.25" x14ac:dyDescent="0.2">
      <c r="E607"/>
      <c r="F607" s="10"/>
      <c r="S607" s="11"/>
      <c r="T607" s="11"/>
      <c r="U607" s="11"/>
      <c r="V607" s="11"/>
      <c r="W607" s="11"/>
      <c r="X607" s="11"/>
      <c r="Y607" s="11"/>
      <c r="Z607" s="53"/>
      <c r="AA607" s="51"/>
      <c r="AB607"/>
      <c r="AD607"/>
      <c r="AE607" s="174"/>
      <c r="AF607" s="174"/>
      <c r="AG607" s="174"/>
      <c r="AH607" s="174"/>
      <c r="AI607"/>
      <c r="AJ607"/>
    </row>
    <row r="608" spans="5:36" ht="14.25" x14ac:dyDescent="0.2">
      <c r="E608"/>
      <c r="F608" s="10"/>
      <c r="S608" s="11"/>
      <c r="T608" s="11"/>
      <c r="U608" s="11"/>
      <c r="V608" s="11"/>
      <c r="W608" s="11"/>
      <c r="X608" s="11"/>
      <c r="Y608" s="11"/>
      <c r="Z608" s="53"/>
      <c r="AA608" s="51"/>
      <c r="AB608"/>
      <c r="AD608"/>
      <c r="AE608" s="174"/>
      <c r="AF608" s="174"/>
      <c r="AG608" s="174"/>
      <c r="AH608" s="174"/>
      <c r="AI608"/>
      <c r="AJ608"/>
    </row>
    <row r="609" spans="5:36" ht="14.25" x14ac:dyDescent="0.2">
      <c r="E609"/>
      <c r="F609" s="10"/>
      <c r="S609" s="11"/>
      <c r="T609" s="11"/>
      <c r="U609" s="11"/>
      <c r="V609" s="11"/>
      <c r="W609" s="11"/>
      <c r="X609" s="11"/>
      <c r="Y609" s="11"/>
      <c r="Z609" s="53"/>
      <c r="AA609" s="51"/>
      <c r="AB609"/>
      <c r="AD609"/>
      <c r="AE609" s="174"/>
      <c r="AF609" s="174"/>
      <c r="AG609" s="174"/>
      <c r="AH609" s="174"/>
      <c r="AI609"/>
      <c r="AJ609"/>
    </row>
    <row r="610" spans="5:36" ht="14.25" x14ac:dyDescent="0.2">
      <c r="E610"/>
      <c r="F610" s="10"/>
      <c r="S610" s="11"/>
      <c r="T610" s="11"/>
      <c r="U610" s="11"/>
      <c r="V610" s="11"/>
      <c r="W610" s="11"/>
      <c r="X610" s="11"/>
      <c r="Y610" s="11"/>
      <c r="Z610" s="53"/>
      <c r="AA610" s="51"/>
      <c r="AB610"/>
      <c r="AD610"/>
      <c r="AE610" s="174"/>
      <c r="AF610" s="174"/>
      <c r="AG610" s="174"/>
      <c r="AH610" s="174"/>
      <c r="AI610"/>
      <c r="AJ610"/>
    </row>
    <row r="611" spans="5:36" ht="14.25" x14ac:dyDescent="0.2">
      <c r="E611"/>
      <c r="F611" s="10"/>
      <c r="S611" s="11"/>
      <c r="T611" s="11"/>
      <c r="U611" s="11"/>
      <c r="V611" s="11"/>
      <c r="W611" s="11"/>
      <c r="X611" s="11"/>
      <c r="Y611" s="11"/>
      <c r="Z611" s="53"/>
      <c r="AA611" s="51"/>
      <c r="AB611"/>
      <c r="AD611"/>
      <c r="AE611" s="174"/>
      <c r="AF611" s="174"/>
      <c r="AG611" s="174"/>
      <c r="AH611" s="174"/>
      <c r="AI611"/>
      <c r="AJ611"/>
    </row>
    <row r="612" spans="5:36" ht="14.25" x14ac:dyDescent="0.2">
      <c r="E612"/>
      <c r="F612" s="10"/>
      <c r="S612" s="11"/>
      <c r="T612" s="11"/>
      <c r="U612" s="11"/>
      <c r="V612" s="11"/>
      <c r="W612" s="11"/>
      <c r="X612" s="11"/>
      <c r="Y612" s="11"/>
      <c r="Z612" s="53"/>
      <c r="AA612" s="51"/>
      <c r="AB612"/>
      <c r="AD612"/>
      <c r="AE612" s="174"/>
      <c r="AF612" s="174"/>
      <c r="AG612" s="174"/>
      <c r="AH612" s="174"/>
      <c r="AI612"/>
      <c r="AJ612"/>
    </row>
    <row r="613" spans="5:36" ht="14.25" x14ac:dyDescent="0.2">
      <c r="E613"/>
      <c r="F613" s="10"/>
      <c r="S613" s="11"/>
      <c r="T613" s="11"/>
      <c r="U613" s="11"/>
      <c r="V613" s="11"/>
      <c r="W613" s="11"/>
      <c r="X613" s="11"/>
      <c r="Y613" s="11"/>
      <c r="Z613" s="53"/>
      <c r="AA613" s="51"/>
      <c r="AB613"/>
      <c r="AD613"/>
      <c r="AE613" s="174"/>
      <c r="AF613" s="174"/>
      <c r="AG613" s="174"/>
      <c r="AH613" s="174"/>
      <c r="AI613"/>
      <c r="AJ613"/>
    </row>
    <row r="614" spans="5:36" ht="14.25" x14ac:dyDescent="0.2">
      <c r="E614"/>
      <c r="F614" s="10"/>
      <c r="S614" s="11"/>
      <c r="T614" s="11"/>
      <c r="U614" s="11"/>
      <c r="V614" s="11"/>
      <c r="W614" s="11"/>
      <c r="X614" s="11"/>
      <c r="Y614" s="11"/>
      <c r="Z614" s="53"/>
      <c r="AA614" s="51"/>
      <c r="AB614"/>
      <c r="AD614"/>
      <c r="AE614" s="174"/>
      <c r="AF614" s="174"/>
      <c r="AG614" s="174"/>
      <c r="AH614" s="174"/>
      <c r="AI614"/>
      <c r="AJ614"/>
    </row>
    <row r="615" spans="5:36" ht="14.25" x14ac:dyDescent="0.2">
      <c r="E615"/>
      <c r="F615" s="10"/>
      <c r="S615" s="11"/>
      <c r="T615" s="11"/>
      <c r="U615" s="11"/>
      <c r="V615" s="11"/>
      <c r="W615" s="11"/>
      <c r="X615" s="11"/>
      <c r="Y615" s="11"/>
      <c r="Z615" s="53"/>
      <c r="AA615" s="51"/>
      <c r="AB615"/>
      <c r="AD615"/>
      <c r="AE615" s="174"/>
      <c r="AF615" s="174"/>
      <c r="AG615" s="174"/>
      <c r="AH615" s="174"/>
      <c r="AI615"/>
      <c r="AJ615"/>
    </row>
    <row r="616" spans="5:36" ht="14.25" x14ac:dyDescent="0.2">
      <c r="E616"/>
      <c r="F616" s="10"/>
      <c r="S616" s="11"/>
      <c r="T616" s="11"/>
      <c r="U616" s="11"/>
      <c r="V616" s="11"/>
      <c r="W616" s="11"/>
      <c r="X616" s="11"/>
      <c r="Y616" s="11"/>
      <c r="Z616" s="53"/>
      <c r="AA616" s="51"/>
      <c r="AB616"/>
      <c r="AD616"/>
      <c r="AE616" s="174"/>
      <c r="AF616" s="174"/>
      <c r="AG616" s="174"/>
      <c r="AH616" s="174"/>
      <c r="AI616"/>
      <c r="AJ616"/>
    </row>
    <row r="617" spans="5:36" ht="14.25" x14ac:dyDescent="0.2">
      <c r="E617"/>
      <c r="F617" s="10"/>
      <c r="S617" s="11"/>
      <c r="T617" s="11"/>
      <c r="U617" s="11"/>
      <c r="V617" s="11"/>
      <c r="W617" s="11"/>
      <c r="X617" s="11"/>
      <c r="Y617" s="11"/>
      <c r="Z617" s="53"/>
      <c r="AA617" s="51"/>
      <c r="AB617"/>
      <c r="AD617"/>
      <c r="AE617" s="174"/>
      <c r="AF617" s="174"/>
      <c r="AG617" s="174"/>
      <c r="AH617" s="174"/>
      <c r="AI617"/>
      <c r="AJ617"/>
    </row>
    <row r="618" spans="5:36" ht="14.25" x14ac:dyDescent="0.2">
      <c r="E618"/>
      <c r="F618" s="10"/>
      <c r="S618" s="11"/>
      <c r="T618" s="11"/>
      <c r="U618" s="11"/>
      <c r="V618" s="11"/>
      <c r="W618" s="11"/>
      <c r="X618" s="11"/>
      <c r="Y618" s="11"/>
      <c r="Z618" s="53"/>
      <c r="AA618" s="51"/>
      <c r="AB618"/>
      <c r="AD618"/>
      <c r="AE618" s="174"/>
      <c r="AF618" s="174"/>
      <c r="AG618" s="174"/>
      <c r="AH618" s="174"/>
      <c r="AI618"/>
      <c r="AJ618"/>
    </row>
    <row r="619" spans="5:36" ht="14.25" x14ac:dyDescent="0.2">
      <c r="E619"/>
      <c r="F619" s="10"/>
      <c r="S619" s="11"/>
      <c r="T619" s="11"/>
      <c r="U619" s="11"/>
      <c r="V619" s="11"/>
      <c r="W619" s="11"/>
      <c r="X619" s="11"/>
      <c r="Y619" s="11"/>
      <c r="Z619" s="53"/>
      <c r="AA619" s="51"/>
      <c r="AB619"/>
      <c r="AD619"/>
      <c r="AE619" s="174"/>
      <c r="AF619" s="174"/>
      <c r="AG619" s="174"/>
      <c r="AH619" s="174"/>
      <c r="AI619"/>
      <c r="AJ619"/>
    </row>
    <row r="620" spans="5:36" ht="14.25" x14ac:dyDescent="0.2">
      <c r="E620"/>
      <c r="F620" s="10"/>
      <c r="S620" s="11"/>
      <c r="T620" s="11"/>
      <c r="U620" s="11"/>
      <c r="V620" s="11"/>
      <c r="W620" s="11"/>
      <c r="X620" s="11"/>
      <c r="Y620" s="11"/>
      <c r="Z620" s="53"/>
      <c r="AA620" s="51"/>
      <c r="AB620"/>
      <c r="AD620"/>
      <c r="AE620" s="174"/>
      <c r="AF620" s="174"/>
      <c r="AG620" s="174"/>
      <c r="AH620" s="174"/>
      <c r="AI620"/>
      <c r="AJ620"/>
    </row>
    <row r="621" spans="5:36" ht="14.25" x14ac:dyDescent="0.2">
      <c r="E621"/>
      <c r="F621" s="10"/>
      <c r="S621" s="11"/>
      <c r="T621" s="11"/>
      <c r="U621" s="11"/>
      <c r="V621" s="11"/>
      <c r="W621" s="11"/>
      <c r="X621" s="11"/>
      <c r="Y621" s="11"/>
      <c r="Z621" s="53"/>
      <c r="AA621" s="51"/>
      <c r="AB621"/>
      <c r="AD621"/>
      <c r="AE621" s="174"/>
      <c r="AF621" s="174"/>
      <c r="AG621" s="174"/>
      <c r="AH621" s="174"/>
      <c r="AI621"/>
      <c r="AJ621"/>
    </row>
    <row r="622" spans="5:36" ht="14.25" x14ac:dyDescent="0.2">
      <c r="E622"/>
      <c r="F622" s="10"/>
      <c r="S622" s="11"/>
      <c r="T622" s="11"/>
      <c r="U622" s="11"/>
      <c r="V622" s="11"/>
      <c r="W622" s="11"/>
      <c r="X622" s="11"/>
      <c r="Y622" s="11"/>
      <c r="Z622" s="53"/>
      <c r="AA622" s="51"/>
      <c r="AB622"/>
      <c r="AD622"/>
      <c r="AE622" s="174"/>
      <c r="AF622" s="174"/>
      <c r="AG622" s="174"/>
      <c r="AH622" s="174"/>
      <c r="AI622"/>
      <c r="AJ622"/>
    </row>
    <row r="623" spans="5:36" ht="14.25" x14ac:dyDescent="0.2">
      <c r="E623"/>
      <c r="F623" s="10"/>
      <c r="S623" s="11"/>
      <c r="T623" s="11"/>
      <c r="U623" s="11"/>
      <c r="V623" s="11"/>
      <c r="W623" s="11"/>
      <c r="X623" s="11"/>
      <c r="Y623" s="11"/>
      <c r="Z623" s="53"/>
      <c r="AA623" s="51"/>
      <c r="AB623"/>
      <c r="AD623"/>
      <c r="AE623" s="174"/>
      <c r="AF623" s="174"/>
      <c r="AG623" s="174"/>
      <c r="AH623" s="174"/>
      <c r="AI623"/>
      <c r="AJ623"/>
    </row>
    <row r="624" spans="5:36" ht="14.25" x14ac:dyDescent="0.2">
      <c r="E624"/>
      <c r="F624" s="10"/>
      <c r="S624" s="11"/>
      <c r="T624" s="11"/>
      <c r="U624" s="11"/>
      <c r="V624" s="11"/>
      <c r="W624" s="11"/>
      <c r="X624" s="11"/>
      <c r="Y624" s="11"/>
      <c r="Z624" s="53"/>
      <c r="AA624" s="51"/>
      <c r="AB624"/>
      <c r="AD624"/>
      <c r="AE624" s="174"/>
      <c r="AF624" s="174"/>
      <c r="AG624" s="174"/>
      <c r="AH624" s="174"/>
      <c r="AI624"/>
      <c r="AJ624"/>
    </row>
    <row r="625" spans="5:36" ht="14.25" x14ac:dyDescent="0.2">
      <c r="E625"/>
      <c r="F625" s="10"/>
      <c r="S625" s="11"/>
      <c r="T625" s="11"/>
      <c r="U625" s="11"/>
      <c r="V625" s="11"/>
      <c r="W625" s="11"/>
      <c r="X625" s="11"/>
      <c r="Y625" s="11"/>
      <c r="Z625" s="53"/>
      <c r="AA625" s="51"/>
      <c r="AB625"/>
      <c r="AD625"/>
      <c r="AE625" s="174"/>
      <c r="AF625" s="174"/>
      <c r="AG625" s="174"/>
      <c r="AH625" s="174"/>
      <c r="AI625"/>
      <c r="AJ625"/>
    </row>
    <row r="626" spans="5:36" ht="14.25" x14ac:dyDescent="0.2">
      <c r="E626"/>
      <c r="F626" s="10"/>
      <c r="S626" s="11"/>
      <c r="T626" s="11"/>
      <c r="U626" s="11"/>
      <c r="V626" s="11"/>
      <c r="W626" s="11"/>
      <c r="X626" s="11"/>
      <c r="Y626" s="11"/>
      <c r="Z626" s="53"/>
      <c r="AA626" s="51"/>
      <c r="AB626"/>
      <c r="AD626"/>
      <c r="AE626" s="174"/>
      <c r="AF626" s="174"/>
      <c r="AG626" s="174"/>
      <c r="AH626" s="174"/>
      <c r="AI626"/>
      <c r="AJ626"/>
    </row>
    <row r="627" spans="5:36" ht="14.25" x14ac:dyDescent="0.2">
      <c r="E627"/>
      <c r="F627" s="10"/>
      <c r="S627" s="11"/>
      <c r="T627" s="11"/>
      <c r="U627" s="11"/>
      <c r="V627" s="11"/>
      <c r="W627" s="11"/>
      <c r="X627" s="11"/>
      <c r="Y627" s="11"/>
      <c r="Z627" s="53"/>
      <c r="AA627" s="51"/>
      <c r="AB627"/>
      <c r="AD627"/>
      <c r="AE627" s="174"/>
      <c r="AF627" s="174"/>
      <c r="AG627" s="174"/>
      <c r="AH627" s="174"/>
      <c r="AI627"/>
      <c r="AJ627"/>
    </row>
    <row r="628" spans="5:36" ht="14.25" x14ac:dyDescent="0.2">
      <c r="E628"/>
      <c r="F628" s="10"/>
      <c r="S628" s="11"/>
      <c r="T628" s="11"/>
      <c r="U628" s="11"/>
      <c r="V628" s="11"/>
      <c r="W628" s="11"/>
      <c r="X628" s="11"/>
      <c r="Y628" s="11"/>
      <c r="Z628" s="53"/>
      <c r="AA628" s="51"/>
      <c r="AB628"/>
      <c r="AD628"/>
      <c r="AE628" s="174"/>
      <c r="AF628" s="174"/>
      <c r="AG628" s="174"/>
      <c r="AH628" s="174"/>
      <c r="AI628"/>
      <c r="AJ628"/>
    </row>
  </sheetData>
  <sheetProtection algorithmName="SHA-512" hashValue="erILchHPqyDsQTXH4L1CwB99BEp5eRcCOgH5FNbK/8ylUyPvStLSHCq9U3QXKf7g+CnZsuB0UKgFUAsMGDtlyA==" saltValue="zYoXowAmLoQHBjoszyRHfA==" spinCount="100000" sheet="1" objects="1" scenarios="1" formatColumns="0" formatRows="0" autoFilter="0"/>
  <autoFilter ref="A30:AL501"/>
  <customSheetViews>
    <customSheetView guid="{6D219446-F28D-45D5-B49F-7CFEDCEF42B5}" scale="70" showPageBreaks="1" printArea="1" hiddenColumns="1" view="pageBreakPreview">
      <pane ySplit="4" topLeftCell="A79" activePane="bottomLeft" state="frozen"/>
      <selection pane="bottomLeft" activeCell="A82" sqref="A82"/>
      <pageMargins left="0.31496062992125984" right="0.31496062992125984" top="0.74803149606299213" bottom="0.74803149606299213" header="0.31496062992125984" footer="0.31496062992125984"/>
      <pageSetup paperSize="9" scale="48" orientation="landscape" r:id="rId1"/>
      <headerFooter>
        <oddHeader>&amp;L&amp;D</oddHeader>
        <oddFooter>&amp;Lא חפץ ייעוץ כלכלי&amp;C&amp;P</oddFooter>
      </headerFooter>
    </customSheetView>
    <customSheetView guid="{82A1F10D-6026-46B8-AE8B-529469938F0C}" scale="70" showPageBreaks="1" printArea="1" hiddenColumns="1" view="pageBreakPreview">
      <pane ySplit="4" topLeftCell="A79" activePane="bottomLeft" state="frozen"/>
      <selection pane="bottomLeft" activeCell="A82" sqref="A82"/>
      <pageMargins left="0.31496062992125984" right="0.31496062992125984" top="0.74803149606299213" bottom="0.74803149606299213" header="0.31496062992125984" footer="0.31496062992125984"/>
      <pageSetup paperSize="9" scale="48" orientation="landscape" r:id="rId2"/>
      <headerFooter>
        <oddHeader>&amp;L&amp;D</oddHeader>
        <oddFooter>&amp;Lא חפץ ייעוץ כלכלי&amp;C&amp;P</oddFooter>
      </headerFooter>
    </customSheetView>
    <customSheetView guid="{469C741C-1099-4615-BDAA-CB5CEB586B7F}" scale="70" showPageBreaks="1" printArea="1" hiddenColumns="1" view="pageBreakPreview">
      <pane ySplit="4" topLeftCell="A79" activePane="bottomLeft" state="frozen"/>
      <selection pane="bottomLeft" activeCell="A82" sqref="A82"/>
      <pageMargins left="0.31496062992125984" right="0.31496062992125984" top="0.74803149606299213" bottom="0.74803149606299213" header="0.31496062992125984" footer="0.31496062992125984"/>
      <pageSetup paperSize="9" scale="48" orientation="landscape" r:id="rId3"/>
      <headerFooter>
        <oddHeader>&amp;L&amp;D</oddHeader>
        <oddFooter>&amp;Lא חפץ ייעוץ כלכלי&amp;C&amp;P</oddFooter>
      </headerFooter>
    </customSheetView>
    <customSheetView guid="{E5C54765-25B5-4899-A8B4-DC3948A535C4}" scale="70" showPageBreaks="1" printArea="1" hiddenColumns="1" view="pageBreakPreview">
      <pane ySplit="4" topLeftCell="A221" activePane="bottomLeft" state="frozen"/>
      <selection pane="bottomLeft" activeCell="L243" sqref="L243"/>
      <pageMargins left="0.31496062992125984" right="0.31496062992125984" top="0.74803149606299213" bottom="0.74803149606299213" header="0.31496062992125984" footer="0.31496062992125984"/>
      <pageSetup paperSize="9" scale="48" orientation="landscape" r:id="rId4"/>
      <headerFooter>
        <oddHeader>&amp;L&amp;D</oddHeader>
        <oddFooter>&amp;Lא חפץ ייעוץ כלכלי&amp;C&amp;P</oddFooter>
      </headerFooter>
    </customSheetView>
    <customSheetView guid="{1FEE78FD-9218-4F4F-A3E9-FCAC81CA362B}" scale="70" showPageBreaks="1" printArea="1" hiddenColumns="1" view="pageBreakPreview">
      <pane ySplit="4" topLeftCell="A79" activePane="bottomLeft" state="frozen"/>
      <selection pane="bottomLeft" activeCell="A82" sqref="A82"/>
      <pageMargins left="0.31496062992125984" right="0.31496062992125984" top="0.74803149606299213" bottom="0.74803149606299213" header="0.31496062992125984" footer="0.31496062992125984"/>
      <pageSetup paperSize="9" scale="48" orientation="landscape" r:id="rId5"/>
      <headerFooter>
        <oddHeader>&amp;L&amp;D</oddHeader>
        <oddFooter>&amp;Lא חפץ ייעוץ כלכלי&amp;C&amp;P</oddFooter>
      </headerFooter>
    </customSheetView>
  </customSheetViews>
  <mergeCells count="1">
    <mergeCell ref="A1:AD2"/>
  </mergeCells>
  <conditionalFormatting sqref="AC31:AC500">
    <cfRule type="expression" dxfId="25" priority="3">
      <formula>AC31="לא זכאי לתמיכה"</formula>
    </cfRule>
    <cfRule type="expression" dxfId="24" priority="4">
      <formula>AC31="זכאי לתמיכה"</formula>
    </cfRule>
  </conditionalFormatting>
  <conditionalFormatting sqref="O32:O500">
    <cfRule type="expression" dxfId="23" priority="1">
      <formula>O32=0</formula>
    </cfRule>
    <cfRule type="expression" dxfId="22" priority="2">
      <formula>O32=1</formula>
    </cfRule>
  </conditionalFormatting>
  <dataValidations count="1">
    <dataValidation type="list" allowBlank="1" showInputMessage="1" showErrorMessage="1" sqref="AD31:AD500">
      <formula1>"0,1"</formula1>
    </dataValidation>
  </dataValidations>
  <pageMargins left="0.31496062992125984" right="0.31496062992125984" top="0.74803149606299213" bottom="0.74803149606299213" header="0.31496062992125984" footer="0.31496062992125984"/>
  <pageSetup paperSize="9" scale="48" orientation="landscape" r:id="rId6"/>
  <headerFooter>
    <oddHeader>&amp;L&amp;D</oddHeader>
    <oddFooter>&amp;Lא חפץ ייעוץ כלכלי&amp;C&amp;P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L628"/>
  <sheetViews>
    <sheetView rightToLeft="1" tabSelected="1" view="pageBreakPreview" zoomScale="85" zoomScaleNormal="100" zoomScaleSheetLayoutView="85" workbookViewId="0">
      <pane ySplit="30" topLeftCell="A31" activePane="bottomLeft" state="frozen"/>
      <selection pane="bottomLeft" activeCell="D31" sqref="D31"/>
    </sheetView>
  </sheetViews>
  <sheetFormatPr defaultRowHeight="15" x14ac:dyDescent="0.25"/>
  <cols>
    <col min="1" max="1" width="6.25" style="15" bestFit="1" customWidth="1"/>
    <col min="2" max="4" width="13.125" style="15" customWidth="1"/>
    <col min="5" max="5" width="13.125" style="181" customWidth="1"/>
    <col min="6" max="6" width="13.25" style="181" customWidth="1"/>
    <col min="7" max="7" width="9.375" style="181" customWidth="1"/>
    <col min="8" max="8" width="8.875" style="182" hidden="1" customWidth="1"/>
    <col min="9" max="10" width="16.875" style="182" customWidth="1"/>
    <col min="11" max="11" width="17.375" style="182" customWidth="1"/>
    <col min="12" max="12" width="19.625" style="182" customWidth="1"/>
    <col min="13" max="13" width="22.875" style="182" customWidth="1"/>
    <col min="14" max="14" width="14.125" style="182" customWidth="1"/>
    <col min="15" max="15" width="18" style="182" hidden="1" customWidth="1"/>
    <col min="16" max="17" width="18" style="182" customWidth="1"/>
    <col min="18" max="18" width="19.875" style="182" customWidth="1"/>
    <col min="19" max="23" width="13.375" style="181" customWidth="1"/>
    <col min="24" max="24" width="13.375" style="181" hidden="1" customWidth="1"/>
    <col min="25" max="25" width="55.875" style="181" customWidth="1"/>
    <col min="26" max="26" width="12.125" style="181" hidden="1" customWidth="1"/>
    <col min="27" max="27" width="14.625" style="337" hidden="1" customWidth="1"/>
    <col min="28" max="28" width="23.125" style="182" hidden="1" customWidth="1"/>
    <col min="29" max="29" width="13.625" style="338" hidden="1" customWidth="1"/>
    <col min="30" max="30" width="24.625" style="181" hidden="1" customWidth="1"/>
    <col min="31" max="31" width="9" style="181" hidden="1" customWidth="1"/>
    <col min="32" max="32" width="26.125" style="181" hidden="1" customWidth="1"/>
    <col min="33" max="33" width="0" style="181" hidden="1" customWidth="1"/>
    <col min="34" max="34" width="11" style="181" hidden="1" customWidth="1"/>
    <col min="35" max="35" width="18.375" style="181" hidden="1" customWidth="1"/>
    <col min="36" max="37" width="0" style="181" hidden="1" customWidth="1"/>
    <col min="38" max="40" width="0" style="15" hidden="1" customWidth="1"/>
    <col min="41" max="16384" width="9" style="15"/>
  </cols>
  <sheetData>
    <row r="1" spans="1:31" ht="14.25" customHeight="1" x14ac:dyDescent="0.2">
      <c r="A1" s="427" t="s">
        <v>3742</v>
      </c>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row>
    <row r="2" spans="1:31" ht="14.25" customHeight="1" x14ac:dyDescent="0.2">
      <c r="A2" s="427"/>
      <c r="B2" s="427"/>
      <c r="C2" s="427"/>
      <c r="D2" s="427"/>
      <c r="E2" s="427"/>
      <c r="F2" s="427"/>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row>
    <row r="3" spans="1:31" hidden="1" x14ac:dyDescent="0.25"/>
    <row r="4" spans="1:31" hidden="1" x14ac:dyDescent="0.25"/>
    <row r="5" spans="1:31" hidden="1" x14ac:dyDescent="0.25"/>
    <row r="6" spans="1:31" hidden="1" x14ac:dyDescent="0.25"/>
    <row r="7" spans="1:31" hidden="1" x14ac:dyDescent="0.25"/>
    <row r="8" spans="1:31" hidden="1" x14ac:dyDescent="0.25"/>
    <row r="9" spans="1:31" hidden="1" x14ac:dyDescent="0.25"/>
    <row r="10" spans="1:31" hidden="1" x14ac:dyDescent="0.25"/>
    <row r="11" spans="1:31" hidden="1" x14ac:dyDescent="0.25"/>
    <row r="12" spans="1:31" hidden="1" x14ac:dyDescent="0.25"/>
    <row r="13" spans="1:31" hidden="1" x14ac:dyDescent="0.25"/>
    <row r="14" spans="1:31" hidden="1" x14ac:dyDescent="0.25"/>
    <row r="15" spans="1:31" hidden="1" x14ac:dyDescent="0.25"/>
    <row r="16" spans="1:31" hidden="1" x14ac:dyDescent="0.25"/>
    <row r="17" spans="1:38" hidden="1" x14ac:dyDescent="0.25"/>
    <row r="18" spans="1:38" hidden="1" x14ac:dyDescent="0.25"/>
    <row r="19" spans="1:38" hidden="1" x14ac:dyDescent="0.25"/>
    <row r="20" spans="1:38" hidden="1" x14ac:dyDescent="0.25"/>
    <row r="21" spans="1:38" hidden="1" x14ac:dyDescent="0.25"/>
    <row r="22" spans="1:38" hidden="1" x14ac:dyDescent="0.25"/>
    <row r="23" spans="1:38" hidden="1" x14ac:dyDescent="0.25"/>
    <row r="24" spans="1:38" hidden="1" x14ac:dyDescent="0.25"/>
    <row r="25" spans="1:38" hidden="1" x14ac:dyDescent="0.25"/>
    <row r="26" spans="1:38" hidden="1" x14ac:dyDescent="0.25"/>
    <row r="27" spans="1:38" hidden="1" x14ac:dyDescent="0.25"/>
    <row r="28" spans="1:38" hidden="1" x14ac:dyDescent="0.25"/>
    <row r="29" spans="1:38" ht="15.75" thickBot="1" x14ac:dyDescent="0.3"/>
    <row r="30" spans="1:38" ht="120.75" thickBot="1" x14ac:dyDescent="0.25">
      <c r="A30" s="339" t="s">
        <v>266</v>
      </c>
      <c r="B30" s="340" t="str">
        <f>'הזנה לתנאי סף'!C29</f>
        <v>מספר בקשה חדשה</v>
      </c>
      <c r="C30" s="340" t="str">
        <f>'הזנה לתנאי סף'!D29</f>
        <v>מספר בקשה המקורית ל-2020</v>
      </c>
      <c r="D30" s="340" t="str">
        <f>'הזנה לתנאי סף'!E29</f>
        <v>מספר מרכבה - ספק</v>
      </c>
      <c r="E30" s="62" t="s">
        <v>519</v>
      </c>
      <c r="F30" s="62" t="s">
        <v>256</v>
      </c>
      <c r="G30" s="62" t="s">
        <v>358</v>
      </c>
      <c r="H30" s="62" t="s">
        <v>372</v>
      </c>
      <c r="I30" s="341" t="str">
        <f>'הזנה לתנאי סף'!R29</f>
        <v>סך הכנסות המוסד בשנת 2018 מהפעילות בעדה מבוקש הסיוע המיוחד (בש"ח)</v>
      </c>
      <c r="J30" s="62" t="s">
        <v>452</v>
      </c>
      <c r="K30" s="341" t="str">
        <f>'הזנה לתנאי סף'!N29</f>
        <v>המוסד צירף אישור על שימור או הגדלה של התמיכה המקומית בתרבות בשנת 2020 בהשוואה לשנת 2019</v>
      </c>
      <c r="L30" s="341" t="str">
        <f>'הזנה לתנאי סף'!O29</f>
        <v>המוסד צירף אישור על התמיכה המקומית בפעילות נתמכת מסוימת של המוסד בשנת 2020 בהשוואה לשנת 2019</v>
      </c>
      <c r="M30" s="341" t="str">
        <f>'הזנה לתנאי סף'!Q29</f>
        <v>המוסד צירף הצהרה כי במהלך התקופה שבין 20 לאוקטובר 2020 ועד 31 לדצמבר 2020 יעבדו בגוף 70% לפחות ממספר העובדים שעבדו בו ביום 1 במרץ 2020 או ניתן אישור ועדה מיוחד</v>
      </c>
      <c r="N30" s="62" t="s">
        <v>447</v>
      </c>
      <c r="O30" s="62"/>
      <c r="P30" s="62" t="s">
        <v>448</v>
      </c>
      <c r="Q30" s="62" t="s">
        <v>449</v>
      </c>
      <c r="R30" s="62" t="s">
        <v>451</v>
      </c>
      <c r="S30" s="62" t="s">
        <v>450</v>
      </c>
      <c r="T30" s="62" t="s">
        <v>506</v>
      </c>
      <c r="U30" s="62" t="s">
        <v>507</v>
      </c>
      <c r="V30" s="342" t="s">
        <v>1134</v>
      </c>
      <c r="W30" s="62" t="s">
        <v>1135</v>
      </c>
      <c r="X30" s="62" t="s">
        <v>3738</v>
      </c>
      <c r="Y30" s="62" t="s">
        <v>3739</v>
      </c>
      <c r="Z30" s="62" t="s">
        <v>518</v>
      </c>
      <c r="AA30" s="62" t="s">
        <v>488</v>
      </c>
      <c r="AB30" s="62" t="s">
        <v>509</v>
      </c>
      <c r="AC30" s="62" t="s">
        <v>275</v>
      </c>
      <c r="AD30" s="62" t="s">
        <v>508</v>
      </c>
      <c r="AE30" s="343" t="s">
        <v>267</v>
      </c>
      <c r="AF30" s="344" t="s">
        <v>792</v>
      </c>
      <c r="AG30" s="344" t="s">
        <v>793</v>
      </c>
      <c r="AH30" s="344" t="s">
        <v>794</v>
      </c>
      <c r="AI30" s="344" t="s">
        <v>795</v>
      </c>
      <c r="AL30" s="345" t="s">
        <v>277</v>
      </c>
    </row>
    <row r="31" spans="1:38" s="357" customFormat="1" ht="285.75" x14ac:dyDescent="0.25">
      <c r="A31" s="346">
        <f>'הזנה לתנאי סף'!B31</f>
        <v>1</v>
      </c>
      <c r="B31" s="347">
        <f>IF($F31="","",'הזנה לתנאי סף'!C31)</f>
        <v>1001346678</v>
      </c>
      <c r="C31" s="347">
        <f>IF($F31="","",'הזנה לתנאי סף'!D31)</f>
        <v>1001268955</v>
      </c>
      <c r="D31" s="347">
        <f>IF($F31="","",'הזנה לתנאי סף'!E31)</f>
        <v>40000100</v>
      </c>
      <c r="E31" s="348">
        <f>IF($F31="","",'הזנה לתנאי סף'!F31)</f>
        <v>20000159</v>
      </c>
      <c r="F31" s="348" t="str">
        <f>IF('הזנה לתנאי סף'!BL31=1,'הזנה לתנאי סף'!G31,"")</f>
        <v>ירושלים</v>
      </c>
      <c r="G31" s="348" t="str">
        <f>IF($F31="","",'הזנה לתנאי סף'!H31)</f>
        <v>בית עגנון בירושלים</v>
      </c>
      <c r="H31" s="348" t="str">
        <f>IF($F31="","",'הזנה לתנאי סף'!I31)</f>
        <v>מרכזי פרינג'</v>
      </c>
      <c r="I31" s="349">
        <f>IF($F31="","",'הזנה לתנאי סף'!R31)</f>
        <v>2714261</v>
      </c>
      <c r="J31" s="349">
        <f>IF($F31="","",'תחום תמיכה א'!P31)</f>
        <v>2654584</v>
      </c>
      <c r="K31" s="177">
        <f>IF($F31="","",'הזנה לתנאי סף'!N31)</f>
        <v>1</v>
      </c>
      <c r="L31" s="177">
        <f>IF($F31="","",'הזנה לתנאי סף'!O31)</f>
        <v>1</v>
      </c>
      <c r="M31" s="177">
        <f>IF($F31="","",'הזנה לתנאי סף'!Q31)</f>
        <v>1</v>
      </c>
      <c r="N31" s="349">
        <f>IF($F31="","",'תחום תמיכה א'!AE31)</f>
        <v>85875.460870772033</v>
      </c>
      <c r="O31" s="349">
        <f>IF(I31="","",'תחום תמיכה א'!AF31)</f>
        <v>0</v>
      </c>
      <c r="P31" s="349">
        <f>IF($F31="","",'תחום תמיכה ב'!AC31)</f>
        <v>162014.64057179153</v>
      </c>
      <c r="Q31" s="349">
        <f>IF($F31="","",IF('תחום תמיכה ג'!O31="",0,'תחום תמיכה ג'!O31))</f>
        <v>28007.208508322165</v>
      </c>
      <c r="R31" s="349">
        <f>IF($F31="","",IFERROR(S31-P31,""))</f>
        <v>4858.0174623374187</v>
      </c>
      <c r="S31" s="349">
        <f>IF($F31="","",'תחום תמיכה ב'!AE31)</f>
        <v>166872.65803412895</v>
      </c>
      <c r="T31" s="349">
        <f>IF($F31="","",IF(Q31='תחום תמיכה ג'!$Q$2,'תחום תמיכה ג'!$Q$2,IFERROR(SUMIF(N31:R31,"&gt;0"),'תחום תמיכה ג'!$Q$2)))</f>
        <v>280755.32741322322</v>
      </c>
      <c r="U31" s="349">
        <f>IF($F31="","",'הזנה לתנאי סף'!Y31)</f>
        <v>1000000</v>
      </c>
      <c r="V31" s="350">
        <f>IF(F31="","",'הגבלה לסכום מבוקש '!AA31)</f>
        <v>308554.72836980317</v>
      </c>
      <c r="W31" s="349">
        <f>IF(G31="","",V31/4)</f>
        <v>77138.682092450792</v>
      </c>
      <c r="X31" s="349">
        <f>IF(F31="","",'הזנה לתנאי סף'!Z31)</f>
        <v>600000</v>
      </c>
      <c r="Y31" s="351" t="s">
        <v>3740</v>
      </c>
      <c r="Z31" s="352"/>
      <c r="AA31" s="349" t="str">
        <f>IF(OR($F31="",Z31=""),"",IFERROR(IF(Z31&gt;V31,MIN(Z31,T31)-V31,0),'תחום תמיכה ג'!$Q$2))</f>
        <v/>
      </c>
      <c r="AB31" s="353"/>
      <c r="AC31" s="260" t="str">
        <f>AA31</f>
        <v/>
      </c>
      <c r="AD31" s="354"/>
      <c r="AE31" s="179"/>
      <c r="AF31" s="355" t="str">
        <f>IF($C31="","",IFERROR(VLOOKUP($C31,גיליון1!$A:$E,2,0),"לא הגיש בקשה שוטפת"))</f>
        <v>בית עגנון</v>
      </c>
      <c r="AG31" s="355" t="str">
        <f>IF($C31="","",IFERROR(VLOOKUP($C31,גיליון1!$A:$E,3,0),"לא הגיש בקשה שוטפת"))</f>
        <v>מועד</v>
      </c>
      <c r="AH31" s="355" t="str">
        <f>IF($C31="","",IFERROR(VLOOKUP($C31,גיליון1!$A:$E,4,0),"לא הגיש בקשה שוטפת"))</f>
        <v>19-42-02-22</v>
      </c>
      <c r="AI31" s="355" t="str">
        <f>IF($C31="","",IFERROR(VLOOKUP($C31,גיליון1!$A:$E,5,0),"לא הגיש בקשה שוטפת"))</f>
        <v>ספרות</v>
      </c>
      <c r="AJ31" s="355">
        <f>IF(T31&gt;U31,1,0)</f>
        <v>0</v>
      </c>
      <c r="AK31" s="356"/>
      <c r="AL31" s="357" t="s">
        <v>214</v>
      </c>
    </row>
    <row r="32" spans="1:38" ht="285.75" x14ac:dyDescent="0.25">
      <c r="A32" s="346">
        <f>'הזנה לתנאי סף'!B32</f>
        <v>2</v>
      </c>
      <c r="B32" s="347">
        <f>IF($F32="","",'הזנה לתנאי סף'!C32)</f>
        <v>1001349309</v>
      </c>
      <c r="C32" s="347">
        <f>IF($F32="","",'הזנה לתנאי סף'!D32)</f>
        <v>1001263928</v>
      </c>
      <c r="D32" s="347">
        <f>IF($F32="","",'הזנה לתנאי סף'!E32)</f>
        <v>40000096</v>
      </c>
      <c r="E32" s="348">
        <f>IF($F32="","",'הזנה לתנאי סף'!F32)</f>
        <v>20000254</v>
      </c>
      <c r="F32" s="348" t="str">
        <f>IF('הזנה לתנאי סף'!BL32=1,'הזנה לתנאי סף'!G32,"")</f>
        <v>באר שבע</v>
      </c>
      <c r="G32" s="348" t="str">
        <f>IF($F32="","",'הזנה לתנאי סף'!H32)</f>
        <v>עמותת הסינפונייטה הישראלית באר שבע</v>
      </c>
      <c r="H32" s="348" t="str">
        <f>IF($F32="","",'הזנה לתנאי סף'!I32)</f>
        <v>מוסיקה-גופים כליים</v>
      </c>
      <c r="I32" s="349">
        <f>IF($F32="","",'הזנה לתנאי סף'!R32)</f>
        <v>12149169</v>
      </c>
      <c r="J32" s="349">
        <f>IF($F32="","",'תחום תמיכה א'!P32)</f>
        <v>11736381</v>
      </c>
      <c r="K32" s="177">
        <f>IF($F32="","",'הזנה לתנאי סף'!N32)</f>
        <v>1</v>
      </c>
      <c r="L32" s="177">
        <f>IF($F32="","",'הזנה לתנאי סף'!O32)</f>
        <v>1</v>
      </c>
      <c r="M32" s="177">
        <f>IF($F32="","",'הזנה לתנאי סף'!Q32)</f>
        <v>1</v>
      </c>
      <c r="N32" s="349">
        <f>IF($F32="","",'תחום תמיכה א'!AE32)</f>
        <v>161230.37123620135</v>
      </c>
      <c r="O32" s="178"/>
      <c r="P32" s="349">
        <f>IF($F32="","",'תחום תמיכה ב'!AC32)</f>
        <v>130776.3826352</v>
      </c>
      <c r="Q32" s="349">
        <f>IF($F32="","",IF('תחום תמיכה ג'!O32="",0,'תחום תמיכה ג'!O32))</f>
        <v>1649.8530559941917</v>
      </c>
      <c r="R32" s="349">
        <f t="shared" ref="R32:R95" si="0">IF($F32="","",IFERROR(S32-P32,""))</f>
        <v>3921.336666000876</v>
      </c>
      <c r="S32" s="349">
        <f>IF($F32="","",'תחום תמיכה ב'!AE32)</f>
        <v>134697.71930120088</v>
      </c>
      <c r="T32" s="349">
        <f>IF($F32="","",IF(Q32='תחום תמיכה ג'!$Q$2,'תחום תמיכה ג'!$Q$2,IFERROR(SUMIF(N32:R32,"&gt;0"),'תחום תמיכה ג'!$Q$2)))</f>
        <v>297577.94359339646</v>
      </c>
      <c r="U32" s="349">
        <f>IF($F32="","",'הזנה לתנאי סף'!Y32)</f>
        <v>2000000</v>
      </c>
      <c r="V32" s="350">
        <f>IF(F32="","",'הגבלה לסכום מבוקש '!AA32)</f>
        <v>320049.61302385281</v>
      </c>
      <c r="W32" s="349">
        <f t="shared" ref="W32:W95" si="1">IF(G32="","",V32/4)</f>
        <v>80012.403255963203</v>
      </c>
      <c r="X32" s="349">
        <f>IF(F32="","",'הזנה לתנאי סף'!Z32)</f>
        <v>20000</v>
      </c>
      <c r="Y32" s="351" t="s">
        <v>3740</v>
      </c>
      <c r="Z32" s="352"/>
      <c r="AA32" s="349" t="str">
        <f>IF(OR($F32="",Z32=""),"",IFERROR(IF(Z32&gt;V32,MIN(Z32,T32)-V32,0),'תחום תמיכה ג'!$Q$2))</f>
        <v/>
      </c>
      <c r="AB32" s="353"/>
      <c r="AC32" s="260"/>
      <c r="AD32" s="354"/>
      <c r="AE32" s="180"/>
      <c r="AF32" s="355" t="str">
        <f>IF($C32="","",IFERROR(VLOOKUP($C32,גיליון1!$A:$E,2,0),"לא הגיש בקשה שוטפת"))</f>
        <v>בקשת תמיכה לשנת 2020</v>
      </c>
      <c r="AG32" s="355" t="str">
        <f>IF($C32="","",IFERROR(VLOOKUP($C32,גיליון1!$A:$E,3,0),"לא הגיש בקשה שוטפת"))</f>
        <v>חויב</v>
      </c>
      <c r="AH32" s="355" t="str">
        <f>IF($C32="","",IFERROR(VLOOKUP($C32,גיליון1!$A:$E,4,0),"לא הגיש בקשה שוטפת"))</f>
        <v>19-42-02-16</v>
      </c>
      <c r="AI32" s="355" t="str">
        <f>IF($C32="","",IFERROR(VLOOKUP($C32,גיליון1!$A:$E,5,0),"לא הגיש בקשה שוטפת"))</f>
        <v>מוסיקה</v>
      </c>
      <c r="AJ32" s="355">
        <f t="shared" ref="AJ32:AJ95" si="2">IF(T32&gt;U32,1,0)</f>
        <v>0</v>
      </c>
      <c r="AL32" s="15" t="s">
        <v>222</v>
      </c>
    </row>
    <row r="33" spans="1:38" ht="285.75" x14ac:dyDescent="0.25">
      <c r="A33" s="346">
        <f>'הזנה לתנאי סף'!B33</f>
        <v>3</v>
      </c>
      <c r="B33" s="347">
        <f>IF($F33="","",'הזנה לתנאי סף'!C33)</f>
        <v>1001347990</v>
      </c>
      <c r="C33" s="347">
        <f>IF($F33="","",'הזנה לתנאי סף'!D33)</f>
        <v>1001263876</v>
      </c>
      <c r="D33" s="347">
        <f>IF($F33="","",'הזנה לתנאי סף'!E33)</f>
        <v>40000104</v>
      </c>
      <c r="E33" s="348">
        <f>IF($F33="","",'הזנה לתנאי סף'!F33)</f>
        <v>20000250</v>
      </c>
      <c r="F33" s="348" t="str">
        <f>IF('הזנה לתנאי סף'!BL33=1,'הזנה לתנאי סף'!G33,"")</f>
        <v>רמת גן</v>
      </c>
      <c r="G33" s="348" t="str">
        <f>IF($F33="","",'הזנה לתנאי סף'!H33)</f>
        <v>בית צבי ביה"ס לאומנויות הבמה</v>
      </c>
      <c r="H33" s="348" t="str">
        <f>IF($F33="","",'הזנה לתנאי סף'!I33)</f>
        <v>בתי ספר למשחק</v>
      </c>
      <c r="I33" s="349">
        <f>IF($F33="","",'הזנה לתנאי סף'!R33)</f>
        <v>9598737</v>
      </c>
      <c r="J33" s="349">
        <f>IF($F33="","",'תחום תמיכה א'!P33)</f>
        <v>10639200</v>
      </c>
      <c r="K33" s="177">
        <f>IF($F33="","",'הזנה לתנאי סף'!N33)</f>
        <v>0</v>
      </c>
      <c r="L33" s="177">
        <f>IF($F33="","",'הזנה לתנאי סף'!O33)</f>
        <v>1</v>
      </c>
      <c r="M33" s="177">
        <f>IF($F33="","",'הזנה לתנאי סף'!Q33)</f>
        <v>1</v>
      </c>
      <c r="N33" s="349">
        <f>IF($F33="","",'תחום תמיכה א'!AE33)</f>
        <v>336176.73013158946</v>
      </c>
      <c r="O33" s="178"/>
      <c r="P33" s="349">
        <f>IF($F33="","",'תחום תמיכה ב'!AC33)</f>
        <v>546624.2343339423</v>
      </c>
      <c r="Q33" s="349">
        <f>IF($F33="","",IF('תחום תמיכה ג'!O33="",0,'תחום תמיכה ג'!O33))</f>
        <v>0</v>
      </c>
      <c r="R33" s="349">
        <f t="shared" si="0"/>
        <v>16390.556226024521</v>
      </c>
      <c r="S33" s="349">
        <f>IF($F33="","",'תחום תמיכה ב'!AE33)</f>
        <v>563014.79055996682</v>
      </c>
      <c r="T33" s="349">
        <f>IF($F33="","",IF(Q33='תחום תמיכה ג'!$Q$2,'תחום תמיכה ג'!$Q$2,IFERROR(SUMIF(N33:R33,"&gt;0"),'תחום תמיכה ג'!$Q$2)))</f>
        <v>899191.52069155627</v>
      </c>
      <c r="U33" s="349">
        <f>IF($F33="","",'הזנה לתנאי סף'!Y33)</f>
        <v>250000</v>
      </c>
      <c r="V33" s="350">
        <f>IF(F33="","",'הגבלה לסכום מבוקש '!AA33)</f>
        <v>250000</v>
      </c>
      <c r="W33" s="349">
        <f t="shared" si="1"/>
        <v>62500</v>
      </c>
      <c r="X33" s="349">
        <f>IF(F33="","",'הזנה לתנאי סף'!Z33)</f>
        <v>250000</v>
      </c>
      <c r="Y33" s="351" t="s">
        <v>3740</v>
      </c>
      <c r="Z33" s="352"/>
      <c r="AA33" s="349" t="str">
        <f>IF(OR($F33="",Z33=""),"",IFERROR(IF(Z33&gt;V33,MIN(Z33,T33)-V33,0),'תחום תמיכה ג'!$Q$2))</f>
        <v/>
      </c>
      <c r="AB33" s="353"/>
      <c r="AC33" s="260" t="str">
        <f t="shared" ref="AC33:AC96" si="3">AA33</f>
        <v/>
      </c>
      <c r="AD33" s="354"/>
      <c r="AE33" s="180"/>
      <c r="AF33" s="355" t="str">
        <f>IF($C33="","",IFERROR(VLOOKUP($C33,גיליון1!$A:$E,2,0),"לא הגיש בקשה שוטפת"))</f>
        <v>תמיכה לפעילות השוטפת של בית הספר</v>
      </c>
      <c r="AG33" s="355" t="str">
        <f>IF($C33="","",IFERROR(VLOOKUP($C33,גיליון1!$A:$E,3,0),"לא הגיש בקשה שוטפת"))</f>
        <v>מועד</v>
      </c>
      <c r="AH33" s="355" t="str">
        <f>IF($C33="","",IFERROR(VLOOKUP($C33,גיליון1!$A:$E,4,0),"לא הגיש בקשה שוטפת"))</f>
        <v>19-42-02-36</v>
      </c>
      <c r="AI33" s="355" t="str">
        <f>IF($C33="","",IFERROR(VLOOKUP($C33,גיליון1!$A:$E,5,0),"לא הגיש בקשה שוטפת"))</f>
        <v>בתי ספר לאומנות -</v>
      </c>
      <c r="AJ33" s="355">
        <f t="shared" si="2"/>
        <v>1</v>
      </c>
      <c r="AL33" s="15" t="s">
        <v>185</v>
      </c>
    </row>
    <row r="34" spans="1:38" ht="285.75" x14ac:dyDescent="0.25">
      <c r="A34" s="346">
        <f>'הזנה לתנאי סף'!B34</f>
        <v>4</v>
      </c>
      <c r="B34" s="347">
        <f>IF($F34="","",'הזנה לתנאי סף'!C34)</f>
        <v>1001347193</v>
      </c>
      <c r="C34" s="347">
        <f>IF($F34="","",'הזנה לתנאי סף'!D34)</f>
        <v>1001266975</v>
      </c>
      <c r="D34" s="347">
        <f>IF($F34="","",'הזנה לתנאי סף'!E34)</f>
        <v>40000118</v>
      </c>
      <c r="E34" s="348">
        <f>IF($F34="","",'הזנה לתנאי סף'!F34)</f>
        <v>20000161</v>
      </c>
      <c r="F34" s="348" t="str">
        <f>IF('הזנה לתנאי סף'!BL34=1,'הזנה לתנאי סף'!G34,"")</f>
        <v>מנשה</v>
      </c>
      <c r="G34" s="348" t="str">
        <f>IF($F34="","",'הזנה לתנאי סף'!H34)</f>
        <v>מוזיאון חצר ראשונים עין שמר</v>
      </c>
      <c r="H34" s="348" t="str">
        <f>IF($F34="","",'הזנה לתנאי סף'!I34)</f>
        <v>מוזיאונים</v>
      </c>
      <c r="I34" s="349">
        <f>IF($F34="","",'הזנה לתנאי סף'!R34)</f>
        <v>1467056</v>
      </c>
      <c r="J34" s="349">
        <f>IF($F34="","",'תחום תמיכה א'!P34)</f>
        <v>1334584</v>
      </c>
      <c r="K34" s="177">
        <f>IF($F34="","",'הזנה לתנאי סף'!N34)</f>
        <v>1</v>
      </c>
      <c r="L34" s="177">
        <f>IF($F34="","",'הזנה לתנאי סף'!O34)</f>
        <v>1</v>
      </c>
      <c r="M34" s="177">
        <f>IF($F34="","",'הזנה לתנאי סף'!Q34)</f>
        <v>1</v>
      </c>
      <c r="N34" s="349">
        <f>IF($F34="","",'תחום תמיכה א'!AE34)</f>
        <v>52769.556366761099</v>
      </c>
      <c r="O34" s="178"/>
      <c r="P34" s="349">
        <f>IF($F34="","",'תחום תמיכה ב'!AC34)</f>
        <v>130821.51933281172</v>
      </c>
      <c r="Q34" s="349">
        <f>IF($F34="","",IF('תחום תמיכה ג'!O34="",0,'תחום תמיכה ג'!O34))</f>
        <v>0</v>
      </c>
      <c r="R34" s="349">
        <f t="shared" si="0"/>
        <v>3922.6900922370114</v>
      </c>
      <c r="S34" s="349">
        <f>IF($F34="","",'תחום תמיכה ב'!AE34)</f>
        <v>134744.20942504873</v>
      </c>
      <c r="T34" s="349">
        <f>IF($F34="","",IF(Q34='תחום תמיכה ג'!$Q$2,'תחום תמיכה ג'!$Q$2,IFERROR(SUMIF(N34:R34,"&gt;0"),'תחום תמיכה ג'!$Q$2)))</f>
        <v>187513.76579180983</v>
      </c>
      <c r="U34" s="349">
        <f>IF($F34="","",'הזנה לתנאי סף'!Y34)</f>
        <v>590000</v>
      </c>
      <c r="V34" s="350">
        <f>IF(F34="","",'הגבלה לסכום מבוקש '!AA34)</f>
        <v>209943.02929415781</v>
      </c>
      <c r="W34" s="349">
        <f t="shared" si="1"/>
        <v>52485.757323539452</v>
      </c>
      <c r="X34" s="349">
        <f>IF(F34="","",'הזנה לתנאי סף'!Z34)</f>
        <v>300000</v>
      </c>
      <c r="Y34" s="351" t="s">
        <v>3740</v>
      </c>
      <c r="Z34" s="352"/>
      <c r="AA34" s="349" t="str">
        <f>IF(OR($F34="",Z34=""),"",IFERROR(IF(Z34&gt;V34,MIN(Z34,T34)-V34,0),'תחום תמיכה ג'!$Q$2))</f>
        <v/>
      </c>
      <c r="AB34" s="353"/>
      <c r="AC34" s="260" t="str">
        <f t="shared" si="3"/>
        <v/>
      </c>
      <c r="AD34" s="354"/>
      <c r="AE34" s="180"/>
      <c r="AF34" s="355" t="str">
        <f>IF($C34="","",IFERROR(VLOOKUP($C34,גיליון1!$A:$E,2,0),"לא הגיש בקשה שוטפת"))</f>
        <v>תמיכה שוטפת בפעילות המוזאון לשנת 2020</v>
      </c>
      <c r="AG34" s="355" t="str">
        <f>IF($C34="","",IFERROR(VLOOKUP($C34,גיליון1!$A:$E,3,0),"לא הגיש בקשה שוטפת"))</f>
        <v>חויב</v>
      </c>
      <c r="AH34" s="355" t="str">
        <f>IF($C34="","",IFERROR(VLOOKUP($C34,גיליון1!$A:$E,4,0),"לא הגיש בקשה שוטפת"))</f>
        <v>19-42-02-18</v>
      </c>
      <c r="AI34" s="355" t="str">
        <f>IF($C34="","",IFERROR(VLOOKUP($C34,גיליון1!$A:$E,5,0),"לא הגיש בקשה שוטפת"))</f>
        <v>מוזיאונים ואמנות פלס</v>
      </c>
      <c r="AJ34" s="355">
        <f t="shared" si="2"/>
        <v>0</v>
      </c>
      <c r="AL34" s="15" t="s">
        <v>13</v>
      </c>
    </row>
    <row r="35" spans="1:38" ht="285.75" x14ac:dyDescent="0.25">
      <c r="A35" s="346">
        <f>'הזנה לתנאי סף'!B35</f>
        <v>5</v>
      </c>
      <c r="B35" s="347">
        <f>IF($F35="","",'הזנה לתנאי סף'!C35)</f>
        <v>1001349260</v>
      </c>
      <c r="C35" s="347">
        <f>IF($F35="","",'הזנה לתנאי סף'!D35)</f>
        <v>1001276615</v>
      </c>
      <c r="D35" s="347">
        <f>IF($F35="","",'הזנה לתנאי סף'!E35)</f>
        <v>40000478</v>
      </c>
      <c r="E35" s="348">
        <f>IF($F35="","",'הזנה לתנאי סף'!F35)</f>
        <v>20000201</v>
      </c>
      <c r="F35" s="348" t="str">
        <f>IF('הזנה לתנאי סף'!BL35=1,'הזנה לתנאי סף'!G35,"")</f>
        <v>תל אביב -יפו</v>
      </c>
      <c r="G35" s="348" t="str">
        <f>IF($F35="","",'הזנה לתנאי סף'!H35)</f>
        <v>תיאטרון היידישפיל</v>
      </c>
      <c r="H35" s="348" t="str">
        <f>IF($F35="","",'הזנה לתנאי סף'!I35)</f>
        <v>תיאטרון</v>
      </c>
      <c r="I35" s="349">
        <f>IF($F35="","",'הזנה לתנאי סף'!R35)</f>
        <v>16867224</v>
      </c>
      <c r="J35" s="349">
        <f>IF($F35="","",'תחום תמיכה א'!P35)</f>
        <v>16429358</v>
      </c>
      <c r="K35" s="177">
        <f>IF($F35="","",'הזנה לתנאי סף'!N35)</f>
        <v>1</v>
      </c>
      <c r="L35" s="177">
        <f>IF($F35="","",'הזנה לתנאי סף'!O35)</f>
        <v>1</v>
      </c>
      <c r="M35" s="177">
        <f>IF($F35="","",'הזנה לתנאי סף'!Q35)</f>
        <v>1</v>
      </c>
      <c r="N35" s="349">
        <f>IF($F35="","",'תחום תמיכה א'!AE35)</f>
        <v>369734.59468717029</v>
      </c>
      <c r="O35" s="178"/>
      <c r="P35" s="349">
        <f>IF($F35="","",'תחום תמיכה ב'!AC35)</f>
        <v>487236.75282867794</v>
      </c>
      <c r="Q35" s="349">
        <f>IF($F35="","",IF('תחום תמיכה ג'!O35="",0,'תחום תמיכה ג'!O35))</f>
        <v>204319.20925830651</v>
      </c>
      <c r="R35" s="349">
        <f t="shared" si="0"/>
        <v>14609.819490266556</v>
      </c>
      <c r="S35" s="349">
        <f>IF($F35="","",'תחום תמיכה ב'!AE35)</f>
        <v>501846.5723189445</v>
      </c>
      <c r="T35" s="349">
        <f>IF($F35="","",IF(Q35='תחום תמיכה ג'!$Q$2,'תחום תמיכה ג'!$Q$2,IFERROR(SUMIF(N35:R35,"&gt;0"),'תחום תמיכה ג'!$Q$2)))</f>
        <v>1075900.3762644213</v>
      </c>
      <c r="U35" s="349">
        <f>IF($F35="","",'הזנה לתנאי סף'!Y35)</f>
        <v>6400000</v>
      </c>
      <c r="V35" s="350">
        <f>IF(F35="","",'הגבלה לסכום מבוקש '!AA35)</f>
        <v>1159608.6906596492</v>
      </c>
      <c r="W35" s="349">
        <f t="shared" si="1"/>
        <v>289902.1726649123</v>
      </c>
      <c r="X35" s="349">
        <f>IF(F35="","",'הזנה לתנאי סף'!Z35)</f>
        <v>1000000</v>
      </c>
      <c r="Y35" s="351" t="s">
        <v>3740</v>
      </c>
      <c r="Z35" s="352"/>
      <c r="AA35" s="349" t="str">
        <f>IF(OR($F35="",Z35=""),"",IFERROR(IF(Z35&gt;V35,MIN(Z35,T35)-V35,0),'תחום תמיכה ג'!$Q$2))</f>
        <v/>
      </c>
      <c r="AB35" s="353"/>
      <c r="AC35" s="260" t="str">
        <f t="shared" si="3"/>
        <v/>
      </c>
      <c r="AD35" s="354"/>
      <c r="AE35" s="180"/>
      <c r="AF35" s="355" t="str">
        <f>IF($C35="","",IFERROR(VLOOKUP($C35,גיליון1!$A:$E,2,0),"לא הגיש בקשה שוטפת"))</f>
        <v>בקשת תמיכה שוטפת לשנת 2020</v>
      </c>
      <c r="AG35" s="355" t="str">
        <f>IF($C35="","",IFERROR(VLOOKUP($C35,גיליון1!$A:$E,3,0),"לא הגיש בקשה שוטפת"))</f>
        <v>חויב</v>
      </c>
      <c r="AH35" s="355" t="str">
        <f>IF($C35="","",IFERROR(VLOOKUP($C35,גיליון1!$A:$E,4,0),"לא הגיש בקשה שוטפת"))</f>
        <v>19-42-02-07</v>
      </c>
      <c r="AI35" s="355" t="str">
        <f>IF($C35="","",IFERROR(VLOOKUP($C35,גיליון1!$A:$E,5,0),"לא הגיש בקשה שוטפת"))</f>
        <v>תיאטרון</v>
      </c>
      <c r="AJ35" s="355">
        <f t="shared" si="2"/>
        <v>0</v>
      </c>
      <c r="AL35" s="15" t="s">
        <v>2</v>
      </c>
    </row>
    <row r="36" spans="1:38" ht="285.75" x14ac:dyDescent="0.25">
      <c r="A36" s="346">
        <f>'הזנה לתנאי סף'!B36</f>
        <v>6</v>
      </c>
      <c r="B36" s="347">
        <f>IF($F36="","",'הזנה לתנאי סף'!C36)</f>
        <v>1001350859</v>
      </c>
      <c r="C36" s="347">
        <f>IF($F36="","",'הזנה לתנאי סף'!D36)</f>
        <v>1001263559</v>
      </c>
      <c r="D36" s="347">
        <f>IF($F36="","",'הזנה לתנאי סף'!E36)</f>
        <v>40000062</v>
      </c>
      <c r="E36" s="348">
        <f>IF($F36="","",'הזנה לתנאי סף'!F36)</f>
        <v>20000201</v>
      </c>
      <c r="F36" s="348" t="str">
        <f>IF('הזנה לתנאי סף'!BL36=1,'הזנה לתנאי סף'!G36,"")</f>
        <v>תל אביב -יפו</v>
      </c>
      <c r="G36" s="348" t="str">
        <f>IF($F36="","",'הזנה לתנאי סף'!H36)</f>
        <v>תיאטרון אורנה פורת לילדים</v>
      </c>
      <c r="H36" s="348" t="str">
        <f>IF($F36="","",'הזנה לתנאי סף'!I36)</f>
        <v>מחול</v>
      </c>
      <c r="I36" s="349">
        <f>IF($F36="","",'הזנה לתנאי סף'!R36)</f>
        <v>27399876</v>
      </c>
      <c r="J36" s="349">
        <f>IF($F36="","",'תחום תמיכה א'!P36)</f>
        <v>26296911</v>
      </c>
      <c r="K36" s="177">
        <f>IF($F36="","",'הזנה לתנאי סף'!N36)</f>
        <v>1</v>
      </c>
      <c r="L36" s="177">
        <f>IF($F36="","",'הזנה לתנאי סף'!O36)</f>
        <v>1</v>
      </c>
      <c r="M36" s="177">
        <f>IF($F36="","",'הזנה לתנאי סף'!Q36)</f>
        <v>1</v>
      </c>
      <c r="N36" s="349">
        <f>IF($F36="","",'תחום תמיכה א'!AE36)</f>
        <v>1098247.3039701416</v>
      </c>
      <c r="O36" s="178"/>
      <c r="P36" s="349">
        <f>IF($F36="","",'תחום תמיכה ב'!AC36)</f>
        <v>2725817.9950657911</v>
      </c>
      <c r="Q36" s="349">
        <f>IF($F36="","",IF('תחום תמיכה ג'!O36="",0,'תחום תמיכה ג'!O36))</f>
        <v>1143052.0667839171</v>
      </c>
      <c r="R36" s="349">
        <f t="shared" si="0"/>
        <v>81733.794998084661</v>
      </c>
      <c r="S36" s="349">
        <f>IF($F36="","",'תחום תמיכה ב'!AE36)</f>
        <v>2807551.7900638757</v>
      </c>
      <c r="T36" s="349">
        <f>IF($F36="","",IF(Q36='תחום תמיכה ג'!$Q$2,'תחום תמיכה ג'!$Q$2,IFERROR(SUMIF(N36:R36,"&gt;0"),'תחום תמיכה ג'!$Q$2)))</f>
        <v>5048851.1608179342</v>
      </c>
      <c r="U36" s="349">
        <f>IF($F36="","",'הזנה לתנאי סף'!Y36)</f>
        <v>1250000</v>
      </c>
      <c r="V36" s="350">
        <f>IF(F36="","",'הגבלה לסכום מבוקש '!AA36)</f>
        <v>1250000</v>
      </c>
      <c r="W36" s="349">
        <f t="shared" si="1"/>
        <v>312500</v>
      </c>
      <c r="X36" s="349">
        <f>IF(F36="","",'הזנה לתנאי סף'!Z36)</f>
        <v>150000</v>
      </c>
      <c r="Y36" s="351" t="s">
        <v>3740</v>
      </c>
      <c r="Z36" s="352"/>
      <c r="AA36" s="349" t="str">
        <f>IF(OR($F36="",Z36=""),"",IFERROR(IF(Z36&gt;V36,MIN(Z36,T36)-V36,0),'תחום תמיכה ג'!$Q$2))</f>
        <v/>
      </c>
      <c r="AB36" s="353"/>
      <c r="AC36" s="260" t="str">
        <f t="shared" si="3"/>
        <v/>
      </c>
      <c r="AD36" s="354"/>
      <c r="AE36" s="180"/>
      <c r="AF36" s="355" t="str">
        <f>IF($C36="","",IFERROR(VLOOKUP($C36,גיליון1!$A:$E,2,0),"לא הגיש בקשה שוטפת"))</f>
        <v>תמיכה שוטפת בפעילות התיאטרון</v>
      </c>
      <c r="AG36" s="355" t="str">
        <f>IF($C36="","",IFERROR(VLOOKUP($C36,גיליון1!$A:$E,3,0),"לא הגיש בקשה שוטפת"))</f>
        <v>חויב</v>
      </c>
      <c r="AH36" s="355" t="str">
        <f>IF($C36="","",IFERROR(VLOOKUP($C36,גיליון1!$A:$E,4,0),"לא הגיש בקשה שוטפת"))</f>
        <v>19-42-02-07</v>
      </c>
      <c r="AI36" s="355" t="str">
        <f>IF($C36="","",IFERROR(VLOOKUP($C36,גיליון1!$A:$E,5,0),"לא הגיש בקשה שוטפת"))</f>
        <v>תיאטרון</v>
      </c>
      <c r="AJ36" s="355">
        <f t="shared" si="2"/>
        <v>1</v>
      </c>
      <c r="AL36" s="15" t="s">
        <v>244</v>
      </c>
    </row>
    <row r="37" spans="1:38" ht="285.75" x14ac:dyDescent="0.25">
      <c r="A37" s="346">
        <f>'הזנה לתנאי סף'!B37</f>
        <v>7</v>
      </c>
      <c r="B37" s="347">
        <f>IF($F37="","",'הזנה לתנאי סף'!C37)</f>
        <v>1001347316</v>
      </c>
      <c r="C37" s="347">
        <f>IF($F37="","",'הזנה לתנאי סף'!D37)</f>
        <v>1001278100</v>
      </c>
      <c r="D37" s="347">
        <f>IF($F37="","",'הזנה לתנאי סף'!E37)</f>
        <v>40000007</v>
      </c>
      <c r="E37" s="348">
        <f>IF($F37="","",'הזנה לתנאי סף'!F37)</f>
        <v>20000135</v>
      </c>
      <c r="F37" s="348" t="str">
        <f>IF('הזנה לתנאי סף'!BL37=1,'הזנה לתנאי סף'!G37,"")</f>
        <v>הגלבוע</v>
      </c>
      <c r="G37" s="348" t="str">
        <f>IF($F37="","",'הזנה לתנאי סף'!H37)</f>
        <v>משכן לאמנות עין חרוד ע"ש חיים אתר בע"מ</v>
      </c>
      <c r="H37" s="348" t="str">
        <f>IF($F37="","",'הזנה לתנאי סף'!I37)</f>
        <v>מוזיאונים</v>
      </c>
      <c r="I37" s="349">
        <f>IF($F37="","",'הזנה לתנאי סף'!R37)</f>
        <v>2480000</v>
      </c>
      <c r="J37" s="349">
        <f>IF($F37="","",'תחום תמיכה א'!P37)</f>
        <v>1042000</v>
      </c>
      <c r="K37" s="177">
        <f>IF($F37="","",'הזנה לתנאי סף'!N37)</f>
        <v>0</v>
      </c>
      <c r="L37" s="177">
        <f>IF($F37="","",'הזנה לתנאי סף'!O37)</f>
        <v>1</v>
      </c>
      <c r="M37" s="177">
        <f>IF($F37="","",'הזנה לתנאי סף'!Q37)</f>
        <v>1</v>
      </c>
      <c r="N37" s="349">
        <f>IF($F37="","",'תחום תמיכה א'!AE37)</f>
        <v>44557.74096703207</v>
      </c>
      <c r="O37" s="178"/>
      <c r="P37" s="349">
        <f>IF($F37="","",'תחום תמיכה ב'!AC37)</f>
        <v>235322.24875947798</v>
      </c>
      <c r="Q37" s="349">
        <f>IF($F37="","",IF('תחום תמיכה ג'!O37="",0,'תחום תמיכה ג'!O37))</f>
        <v>0</v>
      </c>
      <c r="R37" s="349">
        <f t="shared" si="0"/>
        <v>7056.1499239538098</v>
      </c>
      <c r="S37" s="349">
        <f>IF($F37="","",'תחום תמיכה ב'!AE37)</f>
        <v>242378.39868343179</v>
      </c>
      <c r="T37" s="349">
        <f>IF($F37="","",IF(Q37='תחום תמיכה ג'!$Q$2,'תחום תמיכה ג'!$Q$2,IFERROR(SUMIF(N37:R37,"&gt;0"),'תחום תמיכה ג'!$Q$2)))</f>
        <v>286936.13965046388</v>
      </c>
      <c r="U37" s="349">
        <f>IF($F37="","",'הזנה לתנאי סף'!Y37)</f>
        <v>1103000</v>
      </c>
      <c r="V37" s="350">
        <f>IF(F37="","",'הגבלה לסכום מבוקש '!AA37)</f>
        <v>327259.05231252965</v>
      </c>
      <c r="W37" s="349">
        <f t="shared" si="1"/>
        <v>81814.763078132411</v>
      </c>
      <c r="X37" s="349">
        <f>IF(F37="","",'הזנה לתנאי סף'!Z37)</f>
        <v>1103000</v>
      </c>
      <c r="Y37" s="351" t="s">
        <v>3740</v>
      </c>
      <c r="Z37" s="352" t="str">
        <f>IFERROR(VLOOKUP(G37*1,#REF!,3,0),"")</f>
        <v/>
      </c>
      <c r="AA37" s="349" t="str">
        <f>IF(OR($F37="",Z37=""),"",IFERROR(IF(Z37&gt;V37,MIN(Z37,T37)-V37,0),'תחום תמיכה ג'!$Q$2))</f>
        <v/>
      </c>
      <c r="AB37" s="353"/>
      <c r="AC37" s="260" t="str">
        <f t="shared" si="3"/>
        <v/>
      </c>
      <c r="AD37" s="354"/>
      <c r="AE37" s="180"/>
      <c r="AF37" s="355" t="str">
        <f>IF($C37="","",IFERROR(VLOOKUP($C37,גיליון1!$A:$E,2,0),"לא הגיש בקשה שוטפת"))</f>
        <v>תמיכה שוטפת</v>
      </c>
      <c r="AG37" s="355" t="str">
        <f>IF($C37="","",IFERROR(VLOOKUP($C37,גיליון1!$A:$E,3,0),"לא הגיש בקשה שוטפת"))</f>
        <v>חויב</v>
      </c>
      <c r="AH37" s="355" t="str">
        <f>IF($C37="","",IFERROR(VLOOKUP($C37,גיליון1!$A:$E,4,0),"לא הגיש בקשה שוטפת"))</f>
        <v>19-42-02-18</v>
      </c>
      <c r="AI37" s="355" t="str">
        <f>IF($C37="","",IFERROR(VLOOKUP($C37,גיליון1!$A:$E,5,0),"לא הגיש בקשה שוטפת"))</f>
        <v>מוזיאונים ואמנות פלס</v>
      </c>
      <c r="AJ37" s="355">
        <f t="shared" si="2"/>
        <v>0</v>
      </c>
      <c r="AL37" s="15" t="s">
        <v>193</v>
      </c>
    </row>
    <row r="38" spans="1:38" ht="285.75" x14ac:dyDescent="0.25">
      <c r="A38" s="346">
        <f>'הזנה לתנאי סף'!B38</f>
        <v>8</v>
      </c>
      <c r="B38" s="347">
        <f>IF($F38="","",'הזנה לתנאי סף'!C38)</f>
        <v>1001349107</v>
      </c>
      <c r="C38" s="347">
        <f>IF($F38="","",'הזנה לתנאי סף'!D38)</f>
        <v>1001277535</v>
      </c>
      <c r="D38" s="347">
        <f>IF($F38="","",'הזנה לתנאי סף'!E38)</f>
        <v>40000019</v>
      </c>
      <c r="E38" s="348">
        <f>IF($F38="","",'הזנה לתנאי סף'!F38)</f>
        <v>20000159</v>
      </c>
      <c r="F38" s="348" t="str">
        <f>IF('הזנה לתנאי סף'!BL38=1,'הזנה לתנאי סף'!G38,"")</f>
        <v>ירושלים</v>
      </c>
      <c r="G38" s="348" t="str">
        <f>IF($F38="","",'הזנה לתנאי סף'!H38)</f>
        <v>תיאטרון ירושלים לאומנויות הבמה</v>
      </c>
      <c r="H38" s="348" t="str">
        <f>IF($F38="","",'הזנה לתנאי סף'!I38)</f>
        <v>סינמטקים ופסטיבלים</v>
      </c>
      <c r="I38" s="349">
        <f>IF($F38="","",'הזנה לתנאי סף'!R38)</f>
        <v>624726</v>
      </c>
      <c r="J38" s="349">
        <f>IF($F38="","",'תחום תמיכה א'!P38)</f>
        <v>624726</v>
      </c>
      <c r="K38" s="177">
        <f>IF($F38="","",'הזנה לתנאי סף'!N38)</f>
        <v>1</v>
      </c>
      <c r="L38" s="177">
        <f>IF($F38="","",'הזנה לתנאי סף'!O38)</f>
        <v>1</v>
      </c>
      <c r="M38" s="177">
        <f>IF($F38="","",'הזנה לתנאי סף'!Q38)</f>
        <v>1</v>
      </c>
      <c r="N38" s="349">
        <f>IF($F38="","",'תחום תמיכה א'!AE38)</f>
        <v>18467.910036105644</v>
      </c>
      <c r="O38" s="178"/>
      <c r="P38" s="349">
        <f>IF($F38="","",'תחום תמיכה ב'!AC38)</f>
        <v>31138.906539633805</v>
      </c>
      <c r="Q38" s="349">
        <f>IF($F38="","",IF('תחום תמיכה ג'!O38="",0,'תחום תמיכה ג'!O38))</f>
        <v>5382.932339316777</v>
      </c>
      <c r="R38" s="349">
        <f t="shared" si="0"/>
        <v>933.70173950792741</v>
      </c>
      <c r="S38" s="349">
        <f>IF($F38="","",'תחום תמיכה ב'!AE38)</f>
        <v>32072.608279141732</v>
      </c>
      <c r="T38" s="349">
        <f>IF($F38="","",IF(Q38='תחום תמיכה ג'!$Q$2,'תחום תמיכה ג'!$Q$2,IFERROR(SUMIF(N38:R38,"&gt;0"),'תחום תמיכה ג'!$Q$2)))</f>
        <v>55923.450654564149</v>
      </c>
      <c r="U38" s="349">
        <f>IF($F38="","",'הזנה לתנאי סף'!Y38)</f>
        <v>150000</v>
      </c>
      <c r="V38" s="350">
        <f>IF(F38="","",'הגבלה לסכום מבוקש '!AA38)</f>
        <v>61267.336495644413</v>
      </c>
      <c r="W38" s="349">
        <f t="shared" si="1"/>
        <v>15316.834123911103</v>
      </c>
      <c r="X38" s="349">
        <f>IF(F38="","",'הזנה לתנאי סף'!Z38)</f>
        <v>150000</v>
      </c>
      <c r="Y38" s="351" t="s">
        <v>3740</v>
      </c>
      <c r="Z38" s="352" t="str">
        <f>IFERROR(VLOOKUP(G38*1,#REF!,3,0),"")</f>
        <v/>
      </c>
      <c r="AA38" s="349" t="str">
        <f>IF(OR($F38="",Z38=""),"",IFERROR(IF(Z38&gt;V38,MIN(Z38,T38)-V38,0),'תחום תמיכה ג'!$Q$2))</f>
        <v/>
      </c>
      <c r="AB38" s="353"/>
      <c r="AC38" s="260" t="str">
        <f t="shared" si="3"/>
        <v/>
      </c>
      <c r="AD38" s="354"/>
      <c r="AE38" s="180"/>
      <c r="AF38" s="355" t="str">
        <f>IF($C38="","",IFERROR(VLOOKUP($C38,גיליון1!$A:$E,2,0),"לא הגיש בקשה שוטפת"))</f>
        <v>תאטרון ירושלים - פסטיבל סוף הקיץ</v>
      </c>
      <c r="AG38" s="355" t="str">
        <f>IF($C38="","",IFERROR(VLOOKUP($C38,גיליון1!$A:$E,3,0),"לא הגיש בקשה שוטפת"))</f>
        <v>טיוט</v>
      </c>
      <c r="AH38" s="355" t="str">
        <f>IF($C38="","",IFERROR(VLOOKUP($C38,גיליון1!$A:$E,4,0),"לא הגיש בקשה שוטפת"))</f>
        <v>19-42-02-26</v>
      </c>
      <c r="AI38" s="355" t="str">
        <f>IF($C38="","",IFERROR(VLOOKUP($C38,גיליון1!$A:$E,5,0),"לא הגיש בקשה שוטפת"))</f>
        <v>פסטיבלים לתרבות</v>
      </c>
      <c r="AJ38" s="355">
        <f t="shared" si="2"/>
        <v>0</v>
      </c>
      <c r="AL38" s="15" t="s">
        <v>204</v>
      </c>
    </row>
    <row r="39" spans="1:38" ht="285.75" x14ac:dyDescent="0.25">
      <c r="A39" s="346">
        <f>'הזנה לתנאי סף'!B39</f>
        <v>9</v>
      </c>
      <c r="B39" s="347">
        <f>IF($F39="","",'הזנה לתנאי סף'!C39)</f>
        <v>1001349111</v>
      </c>
      <c r="C39" s="347">
        <f>IF($F39="","",'הזנה לתנאי סף'!D39)</f>
        <v>1001277536</v>
      </c>
      <c r="D39" s="347">
        <f>IF($F39="","",'הזנה לתנאי סף'!E39)</f>
        <v>40000019</v>
      </c>
      <c r="E39" s="348">
        <f>IF($F39="","",'הזנה לתנאי סף'!F39)</f>
        <v>20000159</v>
      </c>
      <c r="F39" s="348" t="str">
        <f>IF('הזנה לתנאי סף'!BL39=1,'הזנה לתנאי סף'!G39,"")</f>
        <v>ירושלים</v>
      </c>
      <c r="G39" s="348" t="str">
        <f>IF($F39="","",'הזנה לתנאי סף'!H39)</f>
        <v>תיאטרון ירושלים לאומנויות הבמה</v>
      </c>
      <c r="H39" s="348" t="str">
        <f>IF($F39="","",'הזנה לתנאי סף'!I39)</f>
        <v>סינמטקים ופסטיבלים</v>
      </c>
      <c r="I39" s="349">
        <f>IF($F39="","",'הזנה לתנאי סף'!R39)</f>
        <v>754246</v>
      </c>
      <c r="J39" s="349">
        <f>IF($F39="","",'תחום תמיכה א'!P39)</f>
        <v>754246</v>
      </c>
      <c r="K39" s="177">
        <f>IF($F39="","",'הזנה לתנאי סף'!N39)</f>
        <v>1</v>
      </c>
      <c r="L39" s="177">
        <f>IF($F39="","",'הזנה לתנאי סף'!O39)</f>
        <v>1</v>
      </c>
      <c r="M39" s="177">
        <f>IF($F39="","",'הזנה לתנאי סף'!Q39)</f>
        <v>1</v>
      </c>
      <c r="N39" s="349">
        <f>IF($F39="","",'תחום תמיכה א'!AE39)</f>
        <v>17095.339054204167</v>
      </c>
      <c r="O39" s="178"/>
      <c r="P39" s="349">
        <f>IF($F39="","",'תחום תמיכה ב'!AC39)</f>
        <v>22100.386047538213</v>
      </c>
      <c r="Q39" s="349">
        <f>IF($F39="","",IF('תחום תמיכה ג'!O39="",0,'תחום תמיכה ג'!O39))</f>
        <v>3820.4579411052682</v>
      </c>
      <c r="R39" s="349">
        <f t="shared" si="0"/>
        <v>662.68123031611685</v>
      </c>
      <c r="S39" s="349">
        <f>IF($F39="","",'תחום תמיכה ב'!AE39)</f>
        <v>22763.06727785433</v>
      </c>
      <c r="T39" s="349">
        <f>IF($F39="","",IF(Q39='תחום תמיכה ג'!$Q$2,'תחום תמיכה ג'!$Q$2,IFERROR(SUMIF(N39:R39,"&gt;0"),'תחום תמיכה ג'!$Q$2)))</f>
        <v>43678.864273163766</v>
      </c>
      <c r="U39" s="349">
        <f>IF($F39="","",'הזנה לתנאי סף'!Y39)</f>
        <v>200000</v>
      </c>
      <c r="V39" s="350">
        <f>IF(F39="","",'הגבלה לסכום מבוקש '!AA39)</f>
        <v>47473.42537561214</v>
      </c>
      <c r="W39" s="349">
        <f t="shared" si="1"/>
        <v>11868.356343903035</v>
      </c>
      <c r="X39" s="349">
        <f>IF(F39="","",'הזנה לתנאי סף'!Z39)</f>
        <v>200000</v>
      </c>
      <c r="Y39" s="351" t="s">
        <v>3740</v>
      </c>
      <c r="Z39" s="352" t="str">
        <f>IFERROR(VLOOKUP(G39*1,#REF!,3,0),"")</f>
        <v/>
      </c>
      <c r="AA39" s="349" t="str">
        <f>IF(OR($F39="",Z39=""),"",IFERROR(IF(Z39&gt;V39,MIN(Z39,T39)-V39,0),'תחום תמיכה ג'!$Q$2))</f>
        <v/>
      </c>
      <c r="AB39" s="353"/>
      <c r="AC39" s="260" t="str">
        <f t="shared" si="3"/>
        <v/>
      </c>
      <c r="AD39" s="354"/>
      <c r="AE39" s="180"/>
      <c r="AF39" s="355" t="str">
        <f>IF($C39="","",IFERROR(VLOOKUP($C39,גיליון1!$A:$E,2,0),"לא הגיש בקשה שוטפת"))</f>
        <v>תאטרון ירושלים - פסטיבל פסנתרים</v>
      </c>
      <c r="AG39" s="355" t="str">
        <f>IF($C39="","",IFERROR(VLOOKUP($C39,גיליון1!$A:$E,3,0),"לא הגיש בקשה שוטפת"))</f>
        <v>טיוט</v>
      </c>
      <c r="AH39" s="355" t="str">
        <f>IF($C39="","",IFERROR(VLOOKUP($C39,גיליון1!$A:$E,4,0),"לא הגיש בקשה שוטפת"))</f>
        <v>19-42-02-26</v>
      </c>
      <c r="AI39" s="355" t="str">
        <f>IF($C39="","",IFERROR(VLOOKUP($C39,גיליון1!$A:$E,5,0),"לא הגיש בקשה שוטפת"))</f>
        <v>פסטיבלים לתרבות</v>
      </c>
      <c r="AJ39" s="355">
        <f t="shared" si="2"/>
        <v>0</v>
      </c>
      <c r="AL39" s="15" t="s">
        <v>245</v>
      </c>
    </row>
    <row r="40" spans="1:38" ht="285.75" x14ac:dyDescent="0.25">
      <c r="A40" s="346">
        <f>'הזנה לתנאי סף'!B40</f>
        <v>10</v>
      </c>
      <c r="B40" s="347">
        <f>IF($F40="","",'הזנה לתנאי סף'!C40)</f>
        <v>1001346994</v>
      </c>
      <c r="C40" s="347">
        <f>IF($F40="","",'הזנה לתנאי סף'!D40)</f>
        <v>1001267387</v>
      </c>
      <c r="D40" s="347">
        <f>IF($F40="","",'הזנה לתנאי סף'!E40)</f>
        <v>40000039</v>
      </c>
      <c r="E40" s="348">
        <f>IF($F40="","",'הזנה לתנאי סף'!F40)</f>
        <v>20000201</v>
      </c>
      <c r="F40" s="348" t="str">
        <f>IF('הזנה לתנאי סף'!BL40=1,'הזנה לתנאי סף'!G40,"")</f>
        <v>תל אביב -יפו</v>
      </c>
      <c r="G40" s="348" t="str">
        <f>IF($F40="","",'הזנה לתנאי סף'!H40)</f>
        <v>מוזיאון ת"א לאומנות</v>
      </c>
      <c r="H40" s="348" t="str">
        <f>IF($F40="","",'הזנה לתנאי סף'!I40)</f>
        <v>מוזיאונים</v>
      </c>
      <c r="I40" s="349">
        <f>IF($F40="","",'הזנה לתנאי סף'!R40)</f>
        <v>90278000</v>
      </c>
      <c r="J40" s="349">
        <f>IF($F40="","",'תחום תמיכה א'!P40)</f>
        <v>95433000</v>
      </c>
      <c r="K40" s="177">
        <f>IF($F40="","",'הזנה לתנאי סף'!N40)</f>
        <v>1</v>
      </c>
      <c r="L40" s="177">
        <f>IF($F40="","",'הזנה לתנאי סף'!O40)</f>
        <v>1</v>
      </c>
      <c r="M40" s="177">
        <f>IF($F40="","",'הזנה לתנאי סף'!Q40)</f>
        <v>1</v>
      </c>
      <c r="N40" s="349">
        <f>IF($F40="","",'תחום תמיכה א'!AE40)</f>
        <v>2425910.7717410512</v>
      </c>
      <c r="O40" s="178"/>
      <c r="P40" s="349">
        <f>IF($F40="","",'תחום תמיכה ב'!AC40)</f>
        <v>3327299.2384256655</v>
      </c>
      <c r="Q40" s="349">
        <f>IF($F40="","",IF('תחום תמיכה ג'!O40="",0,'תחום תמיכה ג'!O40))</f>
        <v>1395278.8770840927</v>
      </c>
      <c r="R40" s="349">
        <f t="shared" si="0"/>
        <v>99769.24150587013</v>
      </c>
      <c r="S40" s="349">
        <f>IF($F40="","",'תחום תמיכה ב'!AE40)</f>
        <v>3427068.4799315357</v>
      </c>
      <c r="T40" s="349">
        <f>IF($F40="","",IF(Q40='תחום תמיכה ג'!$Q$2,'תחום תמיכה ג'!$Q$2,IFERROR(SUMIF(N40:R40,"&gt;0"),'תחום תמיכה ג'!$Q$2)))</f>
        <v>7248258.1287566796</v>
      </c>
      <c r="U40" s="349">
        <f>IF($F40="","",'הזנה לתנאי סף'!Y40)</f>
        <v>18000000</v>
      </c>
      <c r="V40" s="350">
        <f>IF(F40="","",'הגבלה לסכום מבוקש '!AA40)</f>
        <v>7819850.1753721368</v>
      </c>
      <c r="W40" s="349">
        <f t="shared" si="1"/>
        <v>1954962.5438430342</v>
      </c>
      <c r="X40" s="349">
        <f>IF(F40="","",'הזנה לתנאי סף'!Z40)</f>
        <v>7000000</v>
      </c>
      <c r="Y40" s="351" t="s">
        <v>3740</v>
      </c>
      <c r="Z40" s="352" t="str">
        <f>IFERROR(VLOOKUP(G40*1,#REF!,3,0),"")</f>
        <v/>
      </c>
      <c r="AA40" s="349" t="str">
        <f>IF(OR($F40="",Z40=""),"",IFERROR(IF(Z40&gt;V40,MIN(Z40,T40)-V40,0),'תחום תמיכה ג'!$Q$2))</f>
        <v/>
      </c>
      <c r="AB40" s="353"/>
      <c r="AC40" s="260" t="str">
        <f t="shared" si="3"/>
        <v/>
      </c>
      <c r="AD40" s="354"/>
      <c r="AE40" s="180"/>
      <c r="AF40" s="355" t="str">
        <f>IF($C40="","",IFERROR(VLOOKUP($C40,גיליון1!$A:$E,2,0),"לא הגיש בקשה שוטפת"))</f>
        <v>בקשה לתמיכה בפעילות המוזיאון</v>
      </c>
      <c r="AG40" s="355" t="str">
        <f>IF($C40="","",IFERROR(VLOOKUP($C40,גיליון1!$A:$E,3,0),"לא הגיש בקשה שוטפת"))</f>
        <v>חויב</v>
      </c>
      <c r="AH40" s="355" t="str">
        <f>IF($C40="","",IFERROR(VLOOKUP($C40,גיליון1!$A:$E,4,0),"לא הגיש בקשה שוטפת"))</f>
        <v>19-42-02-18</v>
      </c>
      <c r="AI40" s="355" t="str">
        <f>IF($C40="","",IFERROR(VLOOKUP($C40,גיליון1!$A:$E,5,0),"לא הגיש בקשה שוטפת"))</f>
        <v>מוזיאונים ואמנות פלס</v>
      </c>
      <c r="AJ40" s="355">
        <f t="shared" si="2"/>
        <v>0</v>
      </c>
      <c r="AL40" s="15" t="s">
        <v>197</v>
      </c>
    </row>
    <row r="41" spans="1:38" ht="285.75" x14ac:dyDescent="0.25">
      <c r="A41" s="346">
        <f>'הזנה לתנאי סף'!B41</f>
        <v>11</v>
      </c>
      <c r="B41" s="347">
        <f>IF($F41="","",'הזנה לתנאי סף'!C41)</f>
        <v>1001350182</v>
      </c>
      <c r="C41" s="347">
        <f>IF($F41="","",'הזנה לתנאי סף'!D41)</f>
        <v>1001344519</v>
      </c>
      <c r="D41" s="347">
        <f>IF($F41="","",'הזנה לתנאי סף'!E41)</f>
        <v>40000070</v>
      </c>
      <c r="E41" s="348">
        <f>IF($F41="","",'הזנה לתנאי סף'!F41)</f>
        <v>20000159</v>
      </c>
      <c r="F41" s="348" t="str">
        <f>IF('הזנה לתנאי סף'!BL41=1,'הזנה לתנאי סף'!G41,"")</f>
        <v>ירושלים</v>
      </c>
      <c r="G41" s="348" t="str">
        <f>IF($F41="","",'הזנה לתנאי סף'!H41)</f>
        <v>הורה ירושלים</v>
      </c>
      <c r="H41" s="348" t="str">
        <f>IF($F41="","",'הזנה לתנאי סף'!I41)</f>
        <v>מחול</v>
      </c>
      <c r="I41" s="349">
        <f>IF($F41="","",'הזנה לתנאי סף'!R41)</f>
        <v>1211274</v>
      </c>
      <c r="J41" s="349">
        <f>IF($F41="","",'תחום תמיכה א'!P41)</f>
        <v>1162035</v>
      </c>
      <c r="K41" s="177">
        <f>IF($F41="","",'הזנה לתנאי סף'!N41)</f>
        <v>0</v>
      </c>
      <c r="L41" s="177">
        <f>IF($F41="","",'הזנה לתנאי סף'!O41)</f>
        <v>1</v>
      </c>
      <c r="M41" s="177">
        <f>IF($F41="","",'הזנה לתנאי סף'!Q41)</f>
        <v>1</v>
      </c>
      <c r="N41" s="349">
        <f>IF($F41="","",'תחום תמיכה א'!AE41)</f>
        <v>54834.253855365787</v>
      </c>
      <c r="O41" s="178"/>
      <c r="P41" s="349">
        <f>IF($F41="","",'תחום תמיכה ב'!AC41)</f>
        <v>153838.59046789521</v>
      </c>
      <c r="Q41" s="349">
        <f>IF($F41="","",IF('תחום תמיכה ג'!O41="",0,'תחום תמיכה ג'!O41))</f>
        <v>0</v>
      </c>
      <c r="R41" s="349">
        <f t="shared" si="0"/>
        <v>4612.8581727973069</v>
      </c>
      <c r="S41" s="349">
        <f>IF($F41="","",'תחום תמיכה ב'!AE41)</f>
        <v>158451.44864069251</v>
      </c>
      <c r="T41" s="349">
        <f>IF($F41="","",IF(Q41='תחום תמיכה ג'!$Q$2,'תחום תמיכה ג'!$Q$2,IFERROR(SUMIF(N41:R41,"&gt;0"),'תחום תמיכה ג'!$Q$2)))</f>
        <v>213285.70249605831</v>
      </c>
      <c r="U41" s="349">
        <f>IF($F41="","",'הזנה לתנאי סף'!Y41)</f>
        <v>1600000</v>
      </c>
      <c r="V41" s="350">
        <f>IF(F41="","",'הגבלה לסכום מבוקש '!AA41)</f>
        <v>239657.9403898787</v>
      </c>
      <c r="W41" s="349">
        <f t="shared" si="1"/>
        <v>59914.485097469675</v>
      </c>
      <c r="X41" s="349">
        <f>IF(F41="","",'הזנה לתנאי סף'!Z41)</f>
        <v>40000</v>
      </c>
      <c r="Y41" s="351" t="s">
        <v>3740</v>
      </c>
      <c r="Z41" s="352" t="str">
        <f>IFERROR(VLOOKUP(G41*1,#REF!,3,0),"")</f>
        <v/>
      </c>
      <c r="AA41" s="349" t="str">
        <f>IF(OR($F41="",Z41=""),"",IFERROR(IF(Z41&gt;V41,MIN(Z41,T41)-V41,0),'תחום תמיכה ג'!$Q$2))</f>
        <v/>
      </c>
      <c r="AB41" s="353"/>
      <c r="AC41" s="260" t="str">
        <f t="shared" si="3"/>
        <v/>
      </c>
      <c r="AD41" s="354"/>
      <c r="AE41" s="180"/>
      <c r="AF41" s="355" t="str">
        <f>IF($C41="","",IFERROR(VLOOKUP($C41,גיליון1!$A:$E,2,0),"לא הגיש בקשה שוטפת"))</f>
        <v>הרכבים 2020</v>
      </c>
      <c r="AG41" s="355" t="str">
        <f>IF($C41="","",IFERROR(VLOOKUP($C41,גיליון1!$A:$E,3,0),"לא הגיש בקשה שוטפת"))</f>
        <v>טיוט</v>
      </c>
      <c r="AH41" s="355" t="str">
        <f>IF($C41="","",IFERROR(VLOOKUP($C41,גיליון1!$A:$E,4,0),"לא הגיש בקשה שוטפת"))</f>
        <v>19-42-02-20</v>
      </c>
      <c r="AI41" s="355" t="str">
        <f>IF($C41="","",IFERROR(VLOOKUP($C41,גיליון1!$A:$E,5,0),"לא הגיש בקשה שוטפת"))</f>
        <v>מחול וארגוני גג</v>
      </c>
      <c r="AJ41" s="355">
        <f t="shared" si="2"/>
        <v>0</v>
      </c>
      <c r="AL41" s="15" t="s">
        <v>203</v>
      </c>
    </row>
    <row r="42" spans="1:38" ht="285.75" x14ac:dyDescent="0.25">
      <c r="A42" s="346">
        <f>'הזנה לתנאי סף'!B42</f>
        <v>12</v>
      </c>
      <c r="B42" s="347">
        <f>IF($F42="","",'הזנה לתנאי סף'!C42)</f>
        <v>1001349551</v>
      </c>
      <c r="C42" s="347">
        <f>IF($F42="","",'הזנה לתנאי סף'!D42)</f>
        <v>1001271250</v>
      </c>
      <c r="D42" s="347">
        <f>IF($F42="","",'הזנה לתנאי סף'!E42)</f>
        <v>40000101</v>
      </c>
      <c r="E42" s="348">
        <f>IF($F42="","",'הזנה לתנאי סף'!F42)</f>
        <v>20000208</v>
      </c>
      <c r="F42" s="348" t="str">
        <f>IF('הזנה לתנאי סף'!BL42=1,'הזנה לתנאי סף'!G42,"")</f>
        <v>חוף אשקלון</v>
      </c>
      <c r="G42" s="348" t="str">
        <f>IF($F42="","",'הזנה לתנאי סף'!H42)</f>
        <v>מוזיאון יד מרדכי</v>
      </c>
      <c r="H42" s="348" t="str">
        <f>IF($F42="","",'הזנה לתנאי סף'!I42)</f>
        <v>מוזיאונים</v>
      </c>
      <c r="I42" s="349">
        <f>IF($F42="","",'הזנה לתנאי סף'!R42)</f>
        <v>1838329</v>
      </c>
      <c r="J42" s="349">
        <f>IF($F42="","",'תחום תמיכה א'!P42)</f>
        <v>1616144</v>
      </c>
      <c r="K42" s="177">
        <f>IF($F42="","",'הזנה לתנאי סף'!N42)</f>
        <v>1</v>
      </c>
      <c r="L42" s="177">
        <f>IF($F42="","",'הזנה לתנאי סף'!O42)</f>
        <v>1</v>
      </c>
      <c r="M42" s="177">
        <f>IF($F42="","",'הזנה לתנאי סף'!Q42)</f>
        <v>1</v>
      </c>
      <c r="N42" s="349">
        <f>IF($F42="","",'תחום תמיכה א'!AE42)</f>
        <v>61962.076459677301</v>
      </c>
      <c r="O42" s="178"/>
      <c r="P42" s="349">
        <f>IF($F42="","",'תחום תמיכה ב'!AC42)</f>
        <v>120335.36554796778</v>
      </c>
      <c r="Q42" s="349">
        <f>IF($F42="","",IF('תחום תמיכה ג'!O42="",0,'תחום תמיכה ג'!O42))</f>
        <v>0</v>
      </c>
      <c r="R42" s="349">
        <f t="shared" si="0"/>
        <v>3608.2622231275454</v>
      </c>
      <c r="S42" s="349">
        <f>IF($F42="","",'תחום תמיכה ב'!AE42)</f>
        <v>123943.62777109533</v>
      </c>
      <c r="T42" s="349">
        <f>IF($F42="","",IF(Q42='תחום תמיכה ג'!$Q$2,'תחום תמיכה ג'!$Q$2,IFERROR(SUMIF(N42:R42,"&gt;0"),'תחום תמיכה ג'!$Q$2)))</f>
        <v>185905.70423077262</v>
      </c>
      <c r="U42" s="349">
        <f>IF($F42="","",'הזנה לתנאי סף'!Y42)</f>
        <v>500000</v>
      </c>
      <c r="V42" s="350">
        <f>IF(F42="","",'הגבלה לסכום מבוקש '!AA42)</f>
        <v>206543.2350988072</v>
      </c>
      <c r="W42" s="349">
        <f t="shared" si="1"/>
        <v>51635.8087747018</v>
      </c>
      <c r="X42" s="349">
        <f>IF(F42="","",'הזנה לתנאי סף'!Z42)</f>
        <v>200000</v>
      </c>
      <c r="Y42" s="351" t="s">
        <v>3740</v>
      </c>
      <c r="Z42" s="352" t="str">
        <f>IFERROR(VLOOKUP(G42*1,#REF!,3,0),"")</f>
        <v/>
      </c>
      <c r="AA42" s="349" t="str">
        <f>IF(OR($F42="",Z42=""),"",IFERROR(IF(Z42&gt;V42,MIN(Z42,T42)-V42,0),'תחום תמיכה ג'!$Q$2))</f>
        <v/>
      </c>
      <c r="AB42" s="353"/>
      <c r="AC42" s="260" t="str">
        <f t="shared" si="3"/>
        <v/>
      </c>
      <c r="AD42" s="354"/>
      <c r="AE42" s="180"/>
      <c r="AF42" s="355" t="str">
        <f>IF($C42="","",IFERROR(VLOOKUP($C42,גיליון1!$A:$E,2,0),"לא הגיש בקשה שוטפת"))</f>
        <v>תמיכה שוטפת לשנת 2020</v>
      </c>
      <c r="AG42" s="355" t="str">
        <f>IF($C42="","",IFERROR(VLOOKUP($C42,גיליון1!$A:$E,3,0),"לא הגיש בקשה שוטפת"))</f>
        <v>חויב</v>
      </c>
      <c r="AH42" s="355" t="str">
        <f>IF($C42="","",IFERROR(VLOOKUP($C42,גיליון1!$A:$E,4,0),"לא הגיש בקשה שוטפת"))</f>
        <v>19-42-02-18</v>
      </c>
      <c r="AI42" s="355" t="str">
        <f>IF($C42="","",IFERROR(VLOOKUP($C42,גיליון1!$A:$E,5,0),"לא הגיש בקשה שוטפת"))</f>
        <v>מוזיאונים ואמנות פלס</v>
      </c>
      <c r="AJ42" s="355">
        <f t="shared" si="2"/>
        <v>0</v>
      </c>
      <c r="AL42" s="15" t="s">
        <v>211</v>
      </c>
    </row>
    <row r="43" spans="1:38" ht="285.75" x14ac:dyDescent="0.25">
      <c r="A43" s="346">
        <f>'הזנה לתנאי סף'!B43</f>
        <v>13</v>
      </c>
      <c r="B43" s="347">
        <f>IF($F43="","",'הזנה לתנאי סף'!C43)</f>
        <v>1001347156</v>
      </c>
      <c r="C43" s="347">
        <f>IF($F43="","",'הזנה לתנאי סף'!D43)</f>
        <v>1001263123</v>
      </c>
      <c r="D43" s="347">
        <f>IF($F43="","",'הזנה לתנאי סף'!E43)</f>
        <v>40000052</v>
      </c>
      <c r="E43" s="348">
        <f>IF($F43="","",'הזנה לתנאי סף'!F43)</f>
        <v>20000132</v>
      </c>
      <c r="F43" s="348" t="str">
        <f>IF('הזנה לתנאי סף'!BL43=1,'הזנה לתנאי סף'!G43,"")</f>
        <v>עמק הירדן</v>
      </c>
      <c r="G43" s="348" t="str">
        <f>IF($F43="","",'הזנה לתנאי סף'!H43)</f>
        <v>בית יגאל אלון</v>
      </c>
      <c r="H43" s="348" t="str">
        <f>IF($F43="","",'הזנה לתנאי סף'!I43)</f>
        <v>מוזיאונים</v>
      </c>
      <c r="I43" s="349">
        <f>IF($F43="","",'הזנה לתנאי סף'!R43)</f>
        <v>5001495</v>
      </c>
      <c r="J43" s="349">
        <f>IF($F43="","",'תחום תמיכה א'!P43)</f>
        <v>4872308</v>
      </c>
      <c r="K43" s="177">
        <f>IF($F43="","",'הזנה לתנאי סף'!N43)</f>
        <v>0</v>
      </c>
      <c r="L43" s="177">
        <f>IF($F43="","",'הזנה לתנאי סף'!O43)</f>
        <v>1</v>
      </c>
      <c r="M43" s="177">
        <f>IF($F43="","",'הזנה לתנאי סף'!Q43)</f>
        <v>1</v>
      </c>
      <c r="N43" s="349">
        <f>IF($F43="","",'תחום תמיכה א'!AE43)</f>
        <v>211927.62493552931</v>
      </c>
      <c r="O43" s="178"/>
      <c r="P43" s="349">
        <f>IF($F43="","",'תחום תמיכה ב'!AC43)</f>
        <v>539713.08958726958</v>
      </c>
      <c r="Q43" s="349">
        <f>IF($F43="","",IF('תחום תמיכה ג'!O43="",0,'תחום תמיכה ג'!O43))</f>
        <v>0</v>
      </c>
      <c r="R43" s="349">
        <f t="shared" si="0"/>
        <v>16183.325189708383</v>
      </c>
      <c r="S43" s="349">
        <f>IF($F43="","",'תחום תמיכה ב'!AE43)</f>
        <v>555896.41477697797</v>
      </c>
      <c r="T43" s="349">
        <f>IF($F43="","",IF(Q43='תחום תמיכה ג'!$Q$2,'תחום תמיכה ג'!$Q$2,IFERROR(SUMIF(N43:R43,"&gt;0"),'תחום תמיכה ג'!$Q$2)))</f>
        <v>767824.03971250728</v>
      </c>
      <c r="U43" s="349">
        <f>IF($F43="","",'הזנה לתנאי סף'!Y43)</f>
        <v>800000</v>
      </c>
      <c r="V43" s="350">
        <f>IF(F43="","",'הגבלה לסכום מבוקש '!AA43)</f>
        <v>800000</v>
      </c>
      <c r="W43" s="349">
        <f t="shared" si="1"/>
        <v>200000</v>
      </c>
      <c r="X43" s="349">
        <f>IF(F43="","",'הזנה לתנאי סף'!Z43)</f>
        <v>600000</v>
      </c>
      <c r="Y43" s="351" t="s">
        <v>3740</v>
      </c>
      <c r="Z43" s="352" t="str">
        <f>IFERROR(VLOOKUP(G43*1,#REF!,3,0),"")</f>
        <v/>
      </c>
      <c r="AA43" s="349" t="str">
        <f>IF(OR($F43="",Z43=""),"",IFERROR(IF(Z43&gt;V43,MIN(Z43,T43)-V43,0),'תחום תמיכה ג'!$Q$2))</f>
        <v/>
      </c>
      <c r="AB43" s="353"/>
      <c r="AC43" s="260" t="str">
        <f t="shared" si="3"/>
        <v/>
      </c>
      <c r="AD43" s="354"/>
      <c r="AE43" s="180"/>
      <c r="AF43" s="355" t="str">
        <f>IF($C43="","",IFERROR(VLOOKUP($C43,גיליון1!$A:$E,2,0),"לא הגיש בקשה שוטפת"))</f>
        <v>תמיכה בפעילות שוטפת</v>
      </c>
      <c r="AG43" s="355" t="str">
        <f>IF($C43="","",IFERROR(VLOOKUP($C43,גיליון1!$A:$E,3,0),"לא הגיש בקשה שוטפת"))</f>
        <v>חויב</v>
      </c>
      <c r="AH43" s="355" t="str">
        <f>IF($C43="","",IFERROR(VLOOKUP($C43,גיליון1!$A:$E,4,0),"לא הגיש בקשה שוטפת"))</f>
        <v>19-42-02-18</v>
      </c>
      <c r="AI43" s="355" t="str">
        <f>IF($C43="","",IFERROR(VLOOKUP($C43,גיליון1!$A:$E,5,0),"לא הגיש בקשה שוטפת"))</f>
        <v>מוזיאונים ואמנות פלס</v>
      </c>
      <c r="AJ43" s="355">
        <f t="shared" si="2"/>
        <v>0</v>
      </c>
      <c r="AK43" s="15"/>
      <c r="AL43" s="15" t="s">
        <v>201</v>
      </c>
    </row>
    <row r="44" spans="1:38" ht="285.75" x14ac:dyDescent="0.25">
      <c r="A44" s="346">
        <f>'הזנה לתנאי סף'!B44</f>
        <v>14</v>
      </c>
      <c r="B44" s="347">
        <f>IF($F44="","",'הזנה לתנאי סף'!C44)</f>
        <v>1001348127</v>
      </c>
      <c r="C44" s="347">
        <f>IF($F44="","",'הזנה לתנאי סף'!D44)</f>
        <v>1001268819</v>
      </c>
      <c r="D44" s="347">
        <f>IF($F44="","",'הזנה לתנאי סף'!E44)</f>
        <v>40000028</v>
      </c>
      <c r="E44" s="348">
        <f>IF($F44="","",'הזנה לתנאי סף'!F44)</f>
        <v>20000159</v>
      </c>
      <c r="F44" s="348" t="str">
        <f>IF('הזנה לתנאי סף'!BL44=1,'הזנה לתנאי סף'!G44,"")</f>
        <v>ירושלים</v>
      </c>
      <c r="G44" s="348" t="str">
        <f>IF($F44="","",'הזנה לתנאי סף'!H44)</f>
        <v>הקם בע"מ</v>
      </c>
      <c r="H44" s="348" t="str">
        <f>IF($F44="","",'הזנה לתנאי סף'!I44)</f>
        <v>סינמטקים ופסטיבלים</v>
      </c>
      <c r="I44" s="349">
        <f>IF($F44="","",'הזנה לתנאי סף'!R44)</f>
        <v>1457162</v>
      </c>
      <c r="J44" s="349">
        <f>IF($F44="","",'תחום תמיכה א'!P44)</f>
        <v>1457162</v>
      </c>
      <c r="K44" s="177">
        <f>IF($F44="","",'הזנה לתנאי סף'!N44)</f>
        <v>1</v>
      </c>
      <c r="L44" s="177">
        <f>IF($F44="","",'הזנה לתנאי סף'!O44)</f>
        <v>1</v>
      </c>
      <c r="M44" s="177">
        <f>IF($F44="","",'הזנה לתנאי סף'!Q44)</f>
        <v>1</v>
      </c>
      <c r="N44" s="349">
        <f>IF($F44="","",'תחום תמיכה א'!AE44)</f>
        <v>37245.330482802165</v>
      </c>
      <c r="O44" s="178"/>
      <c r="P44" s="349">
        <f>IF($F44="","",'תחום תמיכה ב'!AC44)</f>
        <v>54299.179302773628</v>
      </c>
      <c r="Q44" s="349">
        <f>IF($F44="","",IF('תחום תמיכה ג'!O44="",0,'תחום תמיכה ג'!O44))</f>
        <v>9386.6111803005424</v>
      </c>
      <c r="R44" s="349">
        <f t="shared" si="0"/>
        <v>1628.1637283673481</v>
      </c>
      <c r="S44" s="349">
        <f>IF($F44="","",'תחום תמיכה ב'!AE44)</f>
        <v>55927.343031140976</v>
      </c>
      <c r="T44" s="349">
        <f>IF($F44="","",IF(Q44='תחום תמיכה ג'!$Q$2,'תחום תמיכה ג'!$Q$2,IFERROR(SUMIF(N44:R44,"&gt;0"),'תחום תמיכה ג'!$Q$2)))</f>
        <v>102559.28469424369</v>
      </c>
      <c r="U44" s="349">
        <f>IF($F44="","",'הזנה לתנאי סף'!Y44)</f>
        <v>2400000</v>
      </c>
      <c r="V44" s="350">
        <f>IF(F44="","",'הגבלה לסכום מבוקש '!AA44)</f>
        <v>111880.10317550592</v>
      </c>
      <c r="W44" s="349">
        <f t="shared" si="1"/>
        <v>27970.025793876481</v>
      </c>
      <c r="X44" s="349">
        <f>IF(F44="","",'הזנה לתנאי סף'!Z44)</f>
        <v>200000</v>
      </c>
      <c r="Y44" s="351" t="s">
        <v>3740</v>
      </c>
      <c r="Z44" s="352" t="str">
        <f>IFERROR(VLOOKUP(G44*1,#REF!,3,0),"")</f>
        <v/>
      </c>
      <c r="AA44" s="349" t="str">
        <f>IF(OR($F44="",Z44=""),"",IFERROR(IF(Z44&gt;V44,MIN(Z44,T44)-V44,0),'תחום תמיכה ג'!$Q$2))</f>
        <v/>
      </c>
      <c r="AB44" s="353"/>
      <c r="AC44" s="260" t="str">
        <f t="shared" si="3"/>
        <v/>
      </c>
      <c r="AD44" s="354"/>
      <c r="AE44" s="180"/>
      <c r="AF44" s="355" t="str">
        <f>IF($C44="","",IFERROR(VLOOKUP($C44,גיליון1!$A:$E,2,0),"לא הגיש בקשה שוטפת"))</f>
        <v>פסטיבל העוד הבינלאומי 2020</v>
      </c>
      <c r="AG44" s="355" t="str">
        <f>IF($C44="","",IFERROR(VLOOKUP($C44,גיליון1!$A:$E,3,0),"לא הגיש בקשה שוטפת"))</f>
        <v>מועד</v>
      </c>
      <c r="AH44" s="355" t="str">
        <f>IF($C44="","",IFERROR(VLOOKUP($C44,גיליון1!$A:$E,4,0),"לא הגיש בקשה שוטפת"))</f>
        <v>19-42-02-26</v>
      </c>
      <c r="AI44" s="355" t="str">
        <f>IF($C44="","",IFERROR(VLOOKUP($C44,גיליון1!$A:$E,5,0),"לא הגיש בקשה שוטפת"))</f>
        <v>פסטיבלים לתרבות</v>
      </c>
      <c r="AJ44" s="355">
        <f t="shared" si="2"/>
        <v>0</v>
      </c>
      <c r="AK44" s="15"/>
      <c r="AL44" s="15" t="s">
        <v>189</v>
      </c>
    </row>
    <row r="45" spans="1:38" ht="285.75" x14ac:dyDescent="0.25">
      <c r="A45" s="346">
        <f>'הזנה לתנאי סף'!B45</f>
        <v>15</v>
      </c>
      <c r="B45" s="347">
        <f>IF($F45="","",'הזנה לתנאי סף'!C45)</f>
        <v>1001346801</v>
      </c>
      <c r="C45" s="347">
        <f>IF($F45="","",'הזנה לתנאי סף'!D45)</f>
        <v>1001274535</v>
      </c>
      <c r="D45" s="347">
        <f>IF($F45="","",'הזנה לתנאי סף'!E45)</f>
        <v>40000095</v>
      </c>
      <c r="E45" s="348">
        <f>IF($F45="","",'הזנה לתנאי סף'!F45)</f>
        <v>20000182</v>
      </c>
      <c r="F45" s="348" t="str">
        <f>IF('הזנה לתנאי סף'!BL45=1,'הזנה לתנאי סף'!G45,"")</f>
        <v>חיפה</v>
      </c>
      <c r="G45" s="348" t="str">
        <f>IF($F45="","",'הזנה לתנאי סף'!H45)</f>
        <v>בית גפן - מרכז תרבות ערבי יהודי</v>
      </c>
      <c r="H45" s="348" t="str">
        <f>IF($F45="","",'הזנה לתנאי סף'!I45)</f>
        <v>תיאטרון</v>
      </c>
      <c r="I45" s="349">
        <f>IF($F45="","",'הזנה לתנאי סף'!R45)</f>
        <v>2697522</v>
      </c>
      <c r="J45" s="349">
        <f>IF($F45="","",'תחום תמיכה א'!P45)</f>
        <v>2734231</v>
      </c>
      <c r="K45" s="177">
        <f>IF($F45="","",'הזנה לתנאי סף'!N45)</f>
        <v>1</v>
      </c>
      <c r="L45" s="177">
        <f>IF($F45="","",'הזנה לתנאי סף'!O45)</f>
        <v>1</v>
      </c>
      <c r="M45" s="177">
        <f>IF($F45="","",'הזנה לתנאי סף'!Q45)</f>
        <v>1</v>
      </c>
      <c r="N45" s="349">
        <f>IF($F45="","",'תחום תמיכה א'!AE45)</f>
        <v>38583.195585438392</v>
      </c>
      <c r="O45" s="178"/>
      <c r="P45" s="349">
        <f>IF($F45="","",'תחום תמיכה ב'!AC45)</f>
        <v>30637.153801987861</v>
      </c>
      <c r="Q45" s="349">
        <f>IF($F45="","",IF('תחום תמיכה ג'!O45="",0,'תחום תמיכה ג'!O45))</f>
        <v>6621.6289862719996</v>
      </c>
      <c r="R45" s="349">
        <f t="shared" si="0"/>
        <v>918.65665745449587</v>
      </c>
      <c r="S45" s="349">
        <f>IF($F45="","",'תחום תמיכה ב'!AE45)</f>
        <v>31555.810459442357</v>
      </c>
      <c r="T45" s="349">
        <f>IF($F45="","",IF(Q45='תחום תמיכה ג'!$Q$2,'תחום תמיכה ג'!$Q$2,IFERROR(SUMIF(N45:R45,"&gt;0"),'תחום תמיכה ג'!$Q$2)))</f>
        <v>76760.635031152749</v>
      </c>
      <c r="U45" s="349">
        <f>IF($F45="","",'הזנה לתנאי סף'!Y45)</f>
        <v>600000</v>
      </c>
      <c r="V45" s="350">
        <f>IF(F45="","",'הגבלה לסכום מבוקש '!AA45)</f>
        <v>82028.310881789352</v>
      </c>
      <c r="W45" s="349">
        <f t="shared" si="1"/>
        <v>20507.077720447338</v>
      </c>
      <c r="X45" s="349">
        <f>IF(F45="","",'הזנה לתנאי סף'!Z45)</f>
        <v>100000</v>
      </c>
      <c r="Y45" s="351" t="s">
        <v>3740</v>
      </c>
      <c r="Z45" s="352" t="str">
        <f>IFERROR(VLOOKUP(G45*1,#REF!,3,0),"")</f>
        <v/>
      </c>
      <c r="AA45" s="349" t="str">
        <f>IF(OR($F45="",Z45=""),"",IFERROR(IF(Z45&gt;V45,MIN(Z45,T45)-V45,0),'תחום תמיכה ג'!$Q$2))</f>
        <v/>
      </c>
      <c r="AB45" s="353"/>
      <c r="AC45" s="260" t="str">
        <f t="shared" si="3"/>
        <v/>
      </c>
      <c r="AD45" s="354"/>
      <c r="AE45" s="180"/>
      <c r="AF45" s="355" t="str">
        <f>IF($C45="","",IFERROR(VLOOKUP($C45,גיליון1!$A:$E,2,0),"לא הגיש בקשה שוטפת"))</f>
        <v>תאטרון בית הגפן</v>
      </c>
      <c r="AG45" s="355" t="str">
        <f>IF($C45="","",IFERROR(VLOOKUP($C45,גיליון1!$A:$E,3,0),"לא הגיש בקשה שוטפת"))</f>
        <v>חויב</v>
      </c>
      <c r="AH45" s="355" t="str">
        <f>IF($C45="","",IFERROR(VLOOKUP($C45,גיליון1!$A:$E,4,0),"לא הגיש בקשה שוטפת"))</f>
        <v>19-42-02-07</v>
      </c>
      <c r="AI45" s="355" t="str">
        <f>IF($C45="","",IFERROR(VLOOKUP($C45,גיליון1!$A:$E,5,0),"לא הגיש בקשה שוטפת"))</f>
        <v>תיאטרון</v>
      </c>
      <c r="AJ45" s="355">
        <f t="shared" si="2"/>
        <v>0</v>
      </c>
      <c r="AK45" s="15"/>
      <c r="AL45" s="15" t="s">
        <v>179</v>
      </c>
    </row>
    <row r="46" spans="1:38" ht="285.75" x14ac:dyDescent="0.25">
      <c r="A46" s="346">
        <f>'הזנה לתנאי סף'!B46</f>
        <v>16</v>
      </c>
      <c r="B46" s="347">
        <f>IF($F46="","",'הזנה לתנאי סף'!C46)</f>
        <v>1001348773</v>
      </c>
      <c r="C46" s="347">
        <f>IF($F46="","",'הזנה לתנאי סף'!D46)</f>
        <v>1001262086</v>
      </c>
      <c r="D46" s="347">
        <f>IF($F46="","",'הזנה לתנאי סף'!E46)</f>
        <v>40000043</v>
      </c>
      <c r="E46" s="348">
        <f>IF($F46="","",'הזנה לתנאי סף'!F46)</f>
        <v>20000159</v>
      </c>
      <c r="F46" s="348" t="str">
        <f>IF('הזנה לתנאי סף'!BL46=1,'הזנה לתנאי סף'!G46,"")</f>
        <v>ירושלים</v>
      </c>
      <c r="G46" s="348" t="str">
        <f>IF($F46="","",'הזנה לתנאי סף'!H46)</f>
        <v>מוזיאון ישראל</v>
      </c>
      <c r="H46" s="348" t="str">
        <f>IF($F46="","",'הזנה לתנאי סף'!I46)</f>
        <v>מוזיאונים</v>
      </c>
      <c r="I46" s="349">
        <f>IF($F46="","",'הזנה לתנאי סף'!R46)</f>
        <v>120115000</v>
      </c>
      <c r="J46" s="349">
        <f>IF($F46="","",'תחום תמיכה א'!P46)</f>
        <v>136407000</v>
      </c>
      <c r="K46" s="177">
        <f>IF($F46="","",'הזנה לתנאי סף'!N46)</f>
        <v>1</v>
      </c>
      <c r="L46" s="177">
        <f>IF($F46="","",'הזנה לתנאי סף'!O46)</f>
        <v>1</v>
      </c>
      <c r="M46" s="177">
        <f>IF($F46="","",'הזנה לתנאי סף'!Q46)</f>
        <v>1</v>
      </c>
      <c r="N46" s="349">
        <f>IF($F46="","",'תחום תמיכה א'!AE46)</f>
        <v>6017194.640049044</v>
      </c>
      <c r="O46" s="178"/>
      <c r="P46" s="349">
        <f>IF($F46="","",'תחום תמיכה ב'!AC46)</f>
        <v>13331207.514792737</v>
      </c>
      <c r="Q46" s="349">
        <f>IF($F46="","",IF('תחום תמיכה ג'!O46="",0,'תחום תמיכה ג'!O46))</f>
        <v>2304544.2511663921</v>
      </c>
      <c r="R46" s="349">
        <f t="shared" si="0"/>
        <v>399736.95384775475</v>
      </c>
      <c r="S46" s="349">
        <f>IF($F46="","",'תחום תמיכה ב'!AE46)</f>
        <v>13730944.468640491</v>
      </c>
      <c r="T46" s="349">
        <f>IF($F46="","",IF(Q46='תחום תמיכה ג'!$Q$2,'תחום תמיכה ג'!$Q$2,IFERROR(SUMIF(N46:R46,"&gt;0"),'תחום תמיכה ג'!$Q$2)))</f>
        <v>22052683.359855928</v>
      </c>
      <c r="U46" s="349">
        <f>IF($F46="","",'הזנה לתנאי סף'!Y46)</f>
        <v>35000000</v>
      </c>
      <c r="V46" s="350">
        <f>IF(F46="","",'הגבלה לסכום מבוקש '!AA46)</f>
        <v>24339650.75320407</v>
      </c>
      <c r="W46" s="349">
        <f t="shared" si="1"/>
        <v>6084912.6883010175</v>
      </c>
      <c r="X46" s="349">
        <f>IF(F46="","",'הזנה לתנאי סף'!Z46)</f>
        <v>25000000</v>
      </c>
      <c r="Y46" s="351" t="s">
        <v>3740</v>
      </c>
      <c r="Z46" s="352" t="str">
        <f>IFERROR(VLOOKUP(G46*1,#REF!,3,0),"")</f>
        <v/>
      </c>
      <c r="AA46" s="349" t="str">
        <f>IF(OR($F46="",Z46=""),"",IFERROR(IF(Z46&gt;V46,MIN(Z46,T46)-V46,0),'תחום תמיכה ג'!$Q$2))</f>
        <v/>
      </c>
      <c r="AB46" s="353"/>
      <c r="AC46" s="260" t="str">
        <f t="shared" si="3"/>
        <v/>
      </c>
      <c r="AD46" s="354"/>
      <c r="AE46" s="180"/>
      <c r="AF46" s="355" t="str">
        <f>IF($C46="","",IFERROR(VLOOKUP($C46,גיליון1!$A:$E,2,0),"לא הגיש בקשה שוטפת"))</f>
        <v>תמיכה שוטפת מוזיאון ישראל</v>
      </c>
      <c r="AG46" s="355" t="str">
        <f>IF($C46="","",IFERROR(VLOOKUP($C46,גיליון1!$A:$E,3,0),"לא הגיש בקשה שוטפת"))</f>
        <v>חויב</v>
      </c>
      <c r="AH46" s="355" t="str">
        <f>IF($C46="","",IFERROR(VLOOKUP($C46,גיליון1!$A:$E,4,0),"לא הגיש בקשה שוטפת"))</f>
        <v>19-42-02-18</v>
      </c>
      <c r="AI46" s="355" t="str">
        <f>IF($C46="","",IFERROR(VLOOKUP($C46,גיליון1!$A:$E,5,0),"לא הגיש בקשה שוטפת"))</f>
        <v>מוזיאונים ואמנות פלס</v>
      </c>
      <c r="AJ46" s="355">
        <f t="shared" si="2"/>
        <v>0</v>
      </c>
      <c r="AK46" s="15"/>
      <c r="AL46" s="15" t="s">
        <v>195</v>
      </c>
    </row>
    <row r="47" spans="1:38" ht="285.75" x14ac:dyDescent="0.25">
      <c r="A47" s="346">
        <f>'הזנה לתנאי סף'!B47</f>
        <v>17</v>
      </c>
      <c r="B47" s="347">
        <f>IF($F47="","",'הזנה לתנאי סף'!C47)</f>
        <v>1001346968</v>
      </c>
      <c r="C47" s="347">
        <f>IF($F47="","",'הזנה לתנאי סף'!D47)</f>
        <v>1001266786</v>
      </c>
      <c r="D47" s="347">
        <f>IF($F47="","",'הזנה לתנאי סף'!E47)</f>
        <v>40000128</v>
      </c>
      <c r="E47" s="348">
        <f>IF($F47="","",'הזנה לתנאי סף'!F47)</f>
        <v>20000184</v>
      </c>
      <c r="F47" s="348" t="str">
        <f>IF('הזנה לתנאי סף'!BL47=1,'הזנה לתנאי סף'!G47,"")</f>
        <v>קצרין</v>
      </c>
      <c r="G47" s="348" t="str">
        <f>IF($F47="","",'הזנה לתנאי סף'!H47)</f>
        <v>מוזיאון עתיקות הגולן</v>
      </c>
      <c r="H47" s="348" t="str">
        <f>IF($F47="","",'הזנה לתנאי סף'!I47)</f>
        <v>מוזיאונים</v>
      </c>
      <c r="I47" s="349">
        <f>IF($F47="","",'הזנה לתנאי סף'!R47)</f>
        <v>2389517</v>
      </c>
      <c r="J47" s="349">
        <f>IF($F47="","",'תחום תמיכה א'!P47)</f>
        <v>2215028</v>
      </c>
      <c r="K47" s="177">
        <f>IF($F47="","",'הזנה לתנאי סף'!N47)</f>
        <v>1</v>
      </c>
      <c r="L47" s="177">
        <f>IF($F47="","",'הזנה לתנאי סף'!O47)</f>
        <v>1</v>
      </c>
      <c r="M47" s="177">
        <f>IF($F47="","",'הזנה לתנאי סף'!Q47)</f>
        <v>1</v>
      </c>
      <c r="N47" s="349">
        <f>IF($F47="","",'תחום תמיכה א'!AE47)</f>
        <v>72369.253730197554</v>
      </c>
      <c r="O47" s="178"/>
      <c r="P47" s="349">
        <f>IF($F47="","",'תחום תמיכה ב'!AC47)</f>
        <v>145484.69584469</v>
      </c>
      <c r="Q47" s="349">
        <f>IF($F47="","",IF('תחום תמיכה ג'!O47="",0,'תחום תמיכה ג'!O47))</f>
        <v>0</v>
      </c>
      <c r="R47" s="349">
        <f t="shared" si="0"/>
        <v>4362.3662060538772</v>
      </c>
      <c r="S47" s="349">
        <f>IF($F47="","",'תחום תמיכה ב'!AE47)</f>
        <v>149847.06205074387</v>
      </c>
      <c r="T47" s="349">
        <f>IF($F47="","",IF(Q47='תחום תמיכה ג'!$Q$2,'תחום תמיכה ג'!$Q$2,IFERROR(SUMIF(N47:R47,"&gt;0"),'תחום תמיכה ג'!$Q$2)))</f>
        <v>222216.31578094143</v>
      </c>
      <c r="U47" s="349">
        <f>IF($F47="","",'הזנה לתנאי סף'!Y47)</f>
        <v>500000</v>
      </c>
      <c r="V47" s="350">
        <f>IF(F47="","",'הגבלה לסכום מבוקש '!AA47)</f>
        <v>247165.80240157669</v>
      </c>
      <c r="W47" s="349">
        <f t="shared" si="1"/>
        <v>61791.450600394171</v>
      </c>
      <c r="X47" s="349">
        <f>IF(F47="","",'הזנה לתנאי סף'!Z47)</f>
        <v>500000</v>
      </c>
      <c r="Y47" s="351" t="s">
        <v>3740</v>
      </c>
      <c r="Z47" s="352" t="str">
        <f>IFERROR(VLOOKUP(G47*1,#REF!,3,0),"")</f>
        <v/>
      </c>
      <c r="AA47" s="349" t="str">
        <f>IF(OR($F47="",Z47=""),"",IFERROR(IF(Z47&gt;V47,MIN(Z47,T47)-V47,0),'תחום תמיכה ג'!$Q$2))</f>
        <v/>
      </c>
      <c r="AB47" s="353"/>
      <c r="AC47" s="260" t="str">
        <f t="shared" si="3"/>
        <v/>
      </c>
      <c r="AD47" s="354"/>
      <c r="AE47" s="180"/>
      <c r="AF47" s="355" t="str">
        <f>IF($C47="","",IFERROR(VLOOKUP($C47,גיליון1!$A:$E,2,0),"לא הגיש בקשה שוטפת"))</f>
        <v>בקשה לתמיכה בשוטף 2020</v>
      </c>
      <c r="AG47" s="355" t="str">
        <f>IF($C47="","",IFERROR(VLOOKUP($C47,גיליון1!$A:$E,3,0),"לא הגיש בקשה שוטפת"))</f>
        <v>חויב</v>
      </c>
      <c r="AH47" s="355" t="str">
        <f>IF($C47="","",IFERROR(VLOOKUP($C47,גיליון1!$A:$E,4,0),"לא הגיש בקשה שוטפת"))</f>
        <v>19-42-02-18</v>
      </c>
      <c r="AI47" s="355" t="str">
        <f>IF($C47="","",IFERROR(VLOOKUP($C47,גיליון1!$A:$E,5,0),"לא הגיש בקשה שוטפת"))</f>
        <v>מוזיאונים ואמנות פלס</v>
      </c>
      <c r="AJ47" s="355">
        <f t="shared" si="2"/>
        <v>0</v>
      </c>
      <c r="AK47" s="15"/>
      <c r="AL47" s="15" t="s">
        <v>176</v>
      </c>
    </row>
    <row r="48" spans="1:38" ht="285.75" x14ac:dyDescent="0.25">
      <c r="A48" s="346">
        <f>'הזנה לתנאי סף'!B48</f>
        <v>18</v>
      </c>
      <c r="B48" s="347">
        <f>IF($F48="","",'הזנה לתנאי סף'!C48)</f>
        <v>1001346240</v>
      </c>
      <c r="C48" s="347">
        <f>IF($F48="","",'הזנה לתנאי סף'!D48)</f>
        <v>1001273528</v>
      </c>
      <c r="D48" s="347">
        <f>IF($F48="","",'הזנה לתנאי סף'!E48)</f>
        <v>40000133</v>
      </c>
      <c r="E48" s="348">
        <f>IF($F48="","",'הזנה לתנאי סף'!F48)</f>
        <v>20000201</v>
      </c>
      <c r="F48" s="348" t="str">
        <f>IF('הזנה לתנאי סף'!BL48=1,'הזנה לתנאי סף'!G48,"")</f>
        <v>תל אביב -יפו</v>
      </c>
      <c r="G48" s="348" t="str">
        <f>IF($F48="","",'הזנה לתנאי סף'!H48)</f>
        <v>האופרה הישראלית ת"א</v>
      </c>
      <c r="H48" s="348" t="str">
        <f>IF($F48="","",'הזנה לתנאי סף'!I48)</f>
        <v>אופרה</v>
      </c>
      <c r="I48" s="349">
        <f>IF($F48="","",'הזנה לתנאי סף'!R48)</f>
        <v>74042000</v>
      </c>
      <c r="J48" s="349">
        <f>IF($F48="","",'תחום תמיכה א'!P48)</f>
        <v>75998000</v>
      </c>
      <c r="K48" s="177">
        <f>IF($F48="","",'הזנה לתנאי סף'!N48)</f>
        <v>1</v>
      </c>
      <c r="L48" s="177">
        <f>IF($F48="","",'הזנה לתנאי סף'!O48)</f>
        <v>1</v>
      </c>
      <c r="M48" s="177">
        <f>IF($F48="","",'הזנה לתנאי סף'!Q48)</f>
        <v>1</v>
      </c>
      <c r="N48" s="349">
        <f>IF($F48="","",'תחום תמיכה א'!AE48)</f>
        <v>2510410.8998508323</v>
      </c>
      <c r="O48" s="178"/>
      <c r="P48" s="349">
        <f>IF($F48="","",'תחום תמיכה ב'!AC48)</f>
        <v>4608089.1946065715</v>
      </c>
      <c r="Q48" s="349">
        <f>IF($F48="","",IF('תחום תמיכה ג'!O48="",0,'תחום תמיכה ג'!O48))</f>
        <v>1932368.8842594733</v>
      </c>
      <c r="R48" s="349">
        <f t="shared" si="0"/>
        <v>138173.79525949247</v>
      </c>
      <c r="S48" s="349">
        <f>IF($F48="","",'תחום תמיכה ב'!AE48)</f>
        <v>4746262.9898660639</v>
      </c>
      <c r="T48" s="349">
        <f>IF($F48="","",IF(Q48='תחום תמיכה ג'!$Q$2,'תחום תמיכה ג'!$Q$2,IFERROR(SUMIF(N48:R48,"&gt;0"),'תחום תמיכה ג'!$Q$2)))</f>
        <v>9189042.7739763688</v>
      </c>
      <c r="U48" s="349">
        <f>IF($F48="","",'הזנה לתנאי סף'!Y48)</f>
        <v>10000000</v>
      </c>
      <c r="V48" s="350">
        <f>IF(F48="","",'הגבלה לסכום מבוקש '!AA48)</f>
        <v>9980273.2064751573</v>
      </c>
      <c r="W48" s="349">
        <f t="shared" si="1"/>
        <v>2495068.3016187893</v>
      </c>
      <c r="X48" s="349">
        <f>IF(F48="","",'הזנה לתנאי סף'!Z48)</f>
        <v>3500000</v>
      </c>
      <c r="Y48" s="351" t="s">
        <v>3740</v>
      </c>
      <c r="Z48" s="352" t="str">
        <f>IFERROR(VLOOKUP(G48*1,#REF!,3,0),"")</f>
        <v/>
      </c>
      <c r="AA48" s="349" t="str">
        <f>IF(OR($F48="",Z48=""),"",IFERROR(IF(Z48&gt;V48,MIN(Z48,T48)-V48,0),'תחום תמיכה ג'!$Q$2))</f>
        <v/>
      </c>
      <c r="AB48" s="353"/>
      <c r="AC48" s="260" t="str">
        <f t="shared" si="3"/>
        <v/>
      </c>
      <c r="AD48" s="354"/>
      <c r="AE48" s="180"/>
      <c r="AF48" s="355" t="str">
        <f>IF($C48="","",IFERROR(VLOOKUP($C48,גיליון1!$A:$E,2,0),"לא הגיש בקשה שוטפת"))</f>
        <v>פעילות שוטפת לשנת 2020</v>
      </c>
      <c r="AG48" s="355" t="str">
        <f>IF($C48="","",IFERROR(VLOOKUP($C48,גיליון1!$A:$E,3,0),"לא הגיש בקשה שוטפת"))</f>
        <v>חויב</v>
      </c>
      <c r="AH48" s="355" t="str">
        <f>IF($C48="","",IFERROR(VLOOKUP($C48,גיליון1!$A:$E,4,0),"לא הגיש בקשה שוטפת"))</f>
        <v>19-42-02-16</v>
      </c>
      <c r="AI48" s="355" t="str">
        <f>IF($C48="","",IFERROR(VLOOKUP($C48,גיליון1!$A:$E,5,0),"לא הגיש בקשה שוטפת"))</f>
        <v>מוסיקה</v>
      </c>
      <c r="AJ48" s="355">
        <f t="shared" si="2"/>
        <v>0</v>
      </c>
      <c r="AK48" s="15"/>
      <c r="AL48" s="15" t="s">
        <v>200</v>
      </c>
    </row>
    <row r="49" spans="1:38" ht="285.75" x14ac:dyDescent="0.25">
      <c r="A49" s="346">
        <f>'הזנה לתנאי סף'!B49</f>
        <v>19</v>
      </c>
      <c r="B49" s="347">
        <f>IF($F49="","",'הזנה לתנאי סף'!C49)</f>
        <v>1001348851</v>
      </c>
      <c r="C49" s="347">
        <f>IF($F49="","",'הזנה לתנאי סף'!D49)</f>
        <v>1001270249</v>
      </c>
      <c r="D49" s="347">
        <f>IF($F49="","",'הזנה לתנאי סף'!E49)</f>
        <v>40000134</v>
      </c>
      <c r="E49" s="348">
        <f>IF($F49="","",'הזנה לתנאי סף'!F49)</f>
        <v>20000201</v>
      </c>
      <c r="F49" s="348" t="str">
        <f>IF('הזנה לתנאי סף'!BL49=1,'הזנה לתנאי סף'!G49,"")</f>
        <v>תל אביב -יפו</v>
      </c>
      <c r="G49" s="348" t="str">
        <f>IF($F49="","",'הזנה לתנאי סף'!H49)</f>
        <v>תיאטרון תמונע</v>
      </c>
      <c r="H49" s="348" t="str">
        <f>IF($F49="","",'הזנה לתנאי סף'!I49)</f>
        <v>מרכזי פרינג'</v>
      </c>
      <c r="I49" s="349">
        <f>IF($F49="","",'הזנה לתנאי סף'!R49)</f>
        <v>2167218</v>
      </c>
      <c r="J49" s="349">
        <f>IF($F49="","",'תחום תמיכה א'!P49)</f>
        <v>2167218</v>
      </c>
      <c r="K49" s="177">
        <f>IF($F49="","",'הזנה לתנאי סף'!N49)</f>
        <v>1</v>
      </c>
      <c r="L49" s="177">
        <f>IF($F49="","",'הזנה לתנאי סף'!O49)</f>
        <v>1</v>
      </c>
      <c r="M49" s="177">
        <f>IF($F49="","",'הזנה לתנאי סף'!Q49)</f>
        <v>1</v>
      </c>
      <c r="N49" s="349">
        <f>IF($F49="","",'תחום תמיכה א'!AE49)</f>
        <v>37552.271661796811</v>
      </c>
      <c r="O49" s="178"/>
      <c r="P49" s="349">
        <f>IF($F49="","",'תחום תמיכה ב'!AC49)</f>
        <v>37113.10303611472</v>
      </c>
      <c r="Q49" s="349">
        <f>IF($F49="","",IF('תחום תמיכה ג'!O49="",0,'תחום תמיכה ג'!O49))</f>
        <v>15563.111406185975</v>
      </c>
      <c r="R49" s="349">
        <f t="shared" si="0"/>
        <v>1112.8383335892431</v>
      </c>
      <c r="S49" s="349">
        <f>IF($F49="","",'תחום תמיכה ב'!AE49)</f>
        <v>38225.941369703964</v>
      </c>
      <c r="T49" s="349">
        <f>IF($F49="","",IF(Q49='תחום תמיכה ג'!$Q$2,'תחום תמיכה ג'!$Q$2,IFERROR(SUMIF(N49:R49,"&gt;0"),'תחום תמיכה ג'!$Q$2)))</f>
        <v>91341.324437686737</v>
      </c>
      <c r="U49" s="349">
        <f>IF($F49="","",'הזנה לתנאי סף'!Y49)</f>
        <v>200000</v>
      </c>
      <c r="V49" s="350">
        <f>IF(F49="","",'הגבלה לסכום מבוקש '!AA49)</f>
        <v>97721.71000705038</v>
      </c>
      <c r="W49" s="349">
        <f t="shared" si="1"/>
        <v>24430.427501762595</v>
      </c>
      <c r="X49" s="349">
        <f>IF(F49="","",'הזנה לתנאי סף'!Z49)</f>
        <v>200000</v>
      </c>
      <c r="Y49" s="351" t="s">
        <v>3740</v>
      </c>
      <c r="Z49" s="352" t="str">
        <f>IFERROR(VLOOKUP(G49*1,#REF!,3,0),"")</f>
        <v/>
      </c>
      <c r="AA49" s="349" t="str">
        <f>IF(OR($F49="",Z49=""),"",IFERROR(IF(Z49&gt;V49,MIN(Z49,T49)-V49,0),'תחום תמיכה ג'!$Q$2))</f>
        <v/>
      </c>
      <c r="AB49" s="353"/>
      <c r="AC49" s="260" t="str">
        <f t="shared" si="3"/>
        <v/>
      </c>
      <c r="AD49" s="354"/>
      <c r="AE49" s="180"/>
      <c r="AF49" s="355" t="str">
        <f>IF($C49="","",IFERROR(VLOOKUP($C49,גיליון1!$A:$E,2,0),"לא הגיש בקשה שוטפת"))</f>
        <v>מרכז פרינג'</v>
      </c>
      <c r="AG49" s="355" t="str">
        <f>IF($C49="","",IFERROR(VLOOKUP($C49,גיליון1!$A:$E,3,0),"לא הגיש בקשה שוטפת"))</f>
        <v>מועד</v>
      </c>
      <c r="AH49" s="355" t="str">
        <f>IF($C49="","",IFERROR(VLOOKUP($C49,גיליון1!$A:$E,4,0),"לא הגיש בקשה שוטפת"))</f>
        <v>19-42-02-07</v>
      </c>
      <c r="AI49" s="355" t="str">
        <f>IF($C49="","",IFERROR(VLOOKUP($C49,גיליון1!$A:$E,5,0),"לא הגיש בקשה שוטפת"))</f>
        <v>תיאטרון</v>
      </c>
      <c r="AJ49" s="355">
        <f t="shared" si="2"/>
        <v>0</v>
      </c>
      <c r="AK49" s="15"/>
      <c r="AL49" s="15" t="s">
        <v>186</v>
      </c>
    </row>
    <row r="50" spans="1:38" ht="285.75" x14ac:dyDescent="0.25">
      <c r="A50" s="346">
        <f>'הזנה לתנאי סף'!B50</f>
        <v>20</v>
      </c>
      <c r="B50" s="347">
        <f>IF($F50="","",'הזנה לתנאי סף'!C50)</f>
        <v>1001350603</v>
      </c>
      <c r="C50" s="347">
        <f>IF($F50="","",'הזנה לתנאי סף'!D50)</f>
        <v>1001334964</v>
      </c>
      <c r="D50" s="347">
        <f>IF($F50="","",'הזנה לתנאי סף'!E50)</f>
        <v>40000065</v>
      </c>
      <c r="E50" s="348">
        <f>IF($F50="","",'הזנה לתנאי סף'!F50)</f>
        <v>20000201</v>
      </c>
      <c r="F50" s="348" t="str">
        <f>IF('הזנה לתנאי סף'!BL50=1,'הזנה לתנאי סף'!G50,"")</f>
        <v>תל אביב -יפו</v>
      </c>
      <c r="G50" s="348" t="str">
        <f>IF($F50="","",'הזנה לתנאי סף'!H50)</f>
        <v>אנחנו כאן אגודה לתרבות פולקלור</v>
      </c>
      <c r="H50" s="348" t="str">
        <f>IF($F50="","",'הזנה לתנאי סף'!I50)</f>
        <v>מחול</v>
      </c>
      <c r="I50" s="349">
        <f>IF($F50="","",'הזנה לתנאי סף'!R50)</f>
        <v>742434</v>
      </c>
      <c r="J50" s="349">
        <f>IF($F50="","",'תחום תמיכה א'!P50)</f>
        <v>547577</v>
      </c>
      <c r="K50" s="177">
        <f>IF($F50="","",'הזנה לתנאי סף'!N50)</f>
        <v>0</v>
      </c>
      <c r="L50" s="177">
        <f>IF($F50="","",'הזנה לתנאי סף'!O50)</f>
        <v>1</v>
      </c>
      <c r="M50" s="177">
        <f>IF($F50="","",'הזנה לתנאי סף'!Q50)</f>
        <v>1</v>
      </c>
      <c r="N50" s="349">
        <f>IF($F50="","",'תחום תמיכה א'!AE50)</f>
        <v>11970.967966385582</v>
      </c>
      <c r="O50" s="178"/>
      <c r="P50" s="349">
        <f>IF($F50="","",'תחום תמיכה ב'!AC50)</f>
        <v>20238.738164719281</v>
      </c>
      <c r="Q50" s="349">
        <f>IF($F50="","",IF('תחום תמיכה ג'!O50="",0,'תחום תמיכה ג'!O50))</f>
        <v>0</v>
      </c>
      <c r="R50" s="349">
        <f t="shared" si="0"/>
        <v>606.85962128412211</v>
      </c>
      <c r="S50" s="349">
        <f>IF($F50="","",'תחום תמיכה ב'!AE50)</f>
        <v>20845.597786003404</v>
      </c>
      <c r="T50" s="349">
        <f>IF($F50="","",IF(Q50='תחום תמיכה ג'!$Q$2,'תחום תמיכה ג'!$Q$2,IFERROR(SUMIF(N50:R50,"&gt;0"),'תחום תמיכה ג'!$Q$2)))</f>
        <v>32816.565752388982</v>
      </c>
      <c r="U50" s="349">
        <f>IF($F50="","",'הזנה לתנאי סף'!Y50)</f>
        <v>250000</v>
      </c>
      <c r="V50" s="350">
        <f>IF(F50="","",'הגבלה לסכום מבוקש '!AA50)</f>
        <v>36288.217652173087</v>
      </c>
      <c r="W50" s="349">
        <f t="shared" si="1"/>
        <v>9072.0544130432718</v>
      </c>
      <c r="X50" s="349">
        <f>IF(F50="","",'הזנה לתנאי סף'!Z50)</f>
        <v>250000</v>
      </c>
      <c r="Y50" s="351" t="s">
        <v>3740</v>
      </c>
      <c r="Z50" s="352" t="str">
        <f>IFERROR(VLOOKUP(G50*1,#REF!,3,0),"")</f>
        <v/>
      </c>
      <c r="AA50" s="349" t="str">
        <f>IF(OR($F50="",Z50=""),"",IFERROR(IF(Z50&gt;V50,MIN(Z50,T50)-V50,0),'תחום תמיכה ג'!$Q$2))</f>
        <v/>
      </c>
      <c r="AB50" s="353"/>
      <c r="AC50" s="260" t="str">
        <f t="shared" si="3"/>
        <v/>
      </c>
      <c r="AD50" s="354"/>
      <c r="AE50" s="180"/>
      <c r="AF50" s="355" t="str">
        <f>IF($C50="","",IFERROR(VLOOKUP($C50,גיליון1!$A:$E,2,0),"לא הגיש בקשה שוטפת"))</f>
        <v>הפקות מופעי מחול הקשורים למורשת ישראל</v>
      </c>
      <c r="AG50" s="355" t="str">
        <f>IF($C50="","",IFERROR(VLOOKUP($C50,גיליון1!$A:$E,3,0),"לא הגיש בקשה שוטפת"))</f>
        <v>חויב</v>
      </c>
      <c r="AH50" s="355" t="str">
        <f>IF($C50="","",IFERROR(VLOOKUP($C50,גיליון1!$A:$E,4,0),"לא הגיש בקשה שוטפת"))</f>
        <v>19-42-02-20</v>
      </c>
      <c r="AI50" s="355" t="str">
        <f>IF($C50="","",IFERROR(VLOOKUP($C50,גיליון1!$A:$E,5,0),"לא הגיש בקשה שוטפת"))</f>
        <v>מחול וארגוני גג</v>
      </c>
      <c r="AJ50" s="355">
        <f t="shared" si="2"/>
        <v>0</v>
      </c>
      <c r="AK50" s="15"/>
      <c r="AL50" s="15" t="s">
        <v>173</v>
      </c>
    </row>
    <row r="51" spans="1:38" ht="285.75" x14ac:dyDescent="0.25">
      <c r="A51" s="346">
        <f>'הזנה לתנאי סף'!B51</f>
        <v>21</v>
      </c>
      <c r="B51" s="347">
        <f>IF($F51="","",'הזנה לתנאי סף'!C51)</f>
        <v>1001346663</v>
      </c>
      <c r="C51" s="347">
        <f>IF($F51="","",'הזנה לתנאי סף'!D51)</f>
        <v>1001273853</v>
      </c>
      <c r="D51" s="347">
        <f>IF($F51="","",'הזנה לתנאי סף'!E51)</f>
        <v>40000140</v>
      </c>
      <c r="E51" s="348">
        <f>IF($F51="","",'הזנה לתנאי סף'!F51)</f>
        <v>20000201</v>
      </c>
      <c r="F51" s="348" t="str">
        <f>IF('הזנה לתנאי סף'!BL51=1,'הזנה לתנאי סף'!G51,"")</f>
        <v>תל אביב -יפו</v>
      </c>
      <c r="G51" s="348" t="str">
        <f>IF($F51="","",'הזנה לתנאי סף'!H51)</f>
        <v>להקת המחול בת שבע</v>
      </c>
      <c r="H51" s="348" t="str">
        <f>IF($F51="","",'הזנה לתנאי סף'!I51)</f>
        <v>מחול</v>
      </c>
      <c r="I51" s="349">
        <f>IF($F51="","",'הזנה לתנאי סף'!R51)</f>
        <v>23544310</v>
      </c>
      <c r="J51" s="349">
        <f>IF($F51="","",'תחום תמיכה א'!P51)</f>
        <v>23673557</v>
      </c>
      <c r="K51" s="177">
        <f>IF($F51="","",'הזנה לתנאי סף'!N51)</f>
        <v>1</v>
      </c>
      <c r="L51" s="177">
        <f>IF($F51="","",'הזנה לתנאי סף'!O51)</f>
        <v>1</v>
      </c>
      <c r="M51" s="177">
        <f>IF($F51="","",'הזנה לתנאי סף'!Q51)</f>
        <v>1</v>
      </c>
      <c r="N51" s="349">
        <f>IF($F51="","",'תחום תמיכה א'!AE51)</f>
        <v>884405.93520439393</v>
      </c>
      <c r="O51" s="178"/>
      <c r="P51" s="349">
        <f>IF($F51="","",'תחום תמיכה ב'!AC51)</f>
        <v>1874216.1232697661</v>
      </c>
      <c r="Q51" s="349">
        <f>IF($F51="","",IF('תחום תמיכה ג'!O51="",0,'תחום תמיכה ג'!O51))</f>
        <v>785938.97948477627</v>
      </c>
      <c r="R51" s="349">
        <f t="shared" si="0"/>
        <v>56198.468378567602</v>
      </c>
      <c r="S51" s="349">
        <f>IF($F51="","",'תחום תמיכה ב'!AE51)</f>
        <v>1930414.5916483337</v>
      </c>
      <c r="T51" s="349">
        <f>IF($F51="","",IF(Q51='תחום תמיכה ג'!$Q$2,'תחום תמיכה ג'!$Q$2,IFERROR(SUMIF(N51:R51,"&gt;0"),'תחום תמיכה ג'!$Q$2)))</f>
        <v>3600759.5063375034</v>
      </c>
      <c r="U51" s="349">
        <f>IF($F51="","",'הזנה לתנאי סף'!Y51)</f>
        <v>7000000</v>
      </c>
      <c r="V51" s="350">
        <f>IF(F51="","",'הגבלה לסכום מבוקש '!AA51)</f>
        <v>3922508.952475463</v>
      </c>
      <c r="W51" s="349">
        <f t="shared" si="1"/>
        <v>980627.23811886576</v>
      </c>
      <c r="X51" s="349">
        <f>IF(F51="","",'הזנה לתנאי סף'!Z51)</f>
        <v>1000000</v>
      </c>
      <c r="Y51" s="351" t="s">
        <v>3740</v>
      </c>
      <c r="Z51" s="352" t="str">
        <f>IFERROR(VLOOKUP(G51*1,#REF!,3,0),"")</f>
        <v/>
      </c>
      <c r="AA51" s="349" t="str">
        <f>IF(OR($F51="",Z51=""),"",IFERROR(IF(Z51&gt;V51,MIN(Z51,T51)-V51,0),'תחום תמיכה ג'!$Q$2))</f>
        <v/>
      </c>
      <c r="AB51" s="353"/>
      <c r="AC51" s="260" t="str">
        <f t="shared" si="3"/>
        <v/>
      </c>
      <c r="AD51" s="354"/>
      <c r="AE51" s="180"/>
      <c r="AF51" s="355" t="str">
        <f>IF($C51="","",IFERROR(VLOOKUP($C51,גיליון1!$A:$E,2,0),"לא הגיש בקשה שוטפת"))</f>
        <v>להקת מחול בת שבע בקשת תמיכה לשנת 2020</v>
      </c>
      <c r="AG51" s="355" t="str">
        <f>IF($C51="","",IFERROR(VLOOKUP($C51,גיליון1!$A:$E,3,0),"לא הגיש בקשה שוטפת"))</f>
        <v>חויב</v>
      </c>
      <c r="AH51" s="355" t="str">
        <f>IF($C51="","",IFERROR(VLOOKUP($C51,גיליון1!$A:$E,4,0),"לא הגיש בקשה שוטפת"))</f>
        <v>19-42-02-20</v>
      </c>
      <c r="AI51" s="355" t="str">
        <f>IF($C51="","",IFERROR(VLOOKUP($C51,גיליון1!$A:$E,5,0),"לא הגיש בקשה שוטפת"))</f>
        <v>מחול וארגוני גג</v>
      </c>
      <c r="AJ51" s="355">
        <f t="shared" si="2"/>
        <v>0</v>
      </c>
      <c r="AK51" s="15"/>
      <c r="AL51" s="15" t="s">
        <v>217</v>
      </c>
    </row>
    <row r="52" spans="1:38" ht="285.75" x14ac:dyDescent="0.25">
      <c r="A52" s="346">
        <f>'הזנה לתנאי סף'!B52</f>
        <v>22</v>
      </c>
      <c r="B52" s="347">
        <f>IF($F52="","",'הזנה לתנאי סף'!C52)</f>
        <v>1001350716</v>
      </c>
      <c r="C52" s="347">
        <f>IF($F52="","",'הזנה לתנאי סף'!D52)</f>
        <v>1001302141</v>
      </c>
      <c r="D52" s="347">
        <f>IF($F52="","",'הזנה לתנאי סף'!E52)</f>
        <v>40000150</v>
      </c>
      <c r="E52" s="348">
        <f>IF($F52="","",'הזנה לתנאי סף'!F52)</f>
        <v>20000233</v>
      </c>
      <c r="F52" s="348" t="str">
        <f>IF('הזנה לתנאי סף'!BL52=1,'הזנה לתנאי סף'!G52,"")</f>
        <v>נתניה</v>
      </c>
      <c r="G52" s="348" t="str">
        <f>IF($F52="","",'הזנה לתנאי סף'!H52)</f>
        <v>היכל התרבות נתניה</v>
      </c>
      <c r="H52" s="348" t="str">
        <f>IF($F52="","",'הזנה לתנאי סף'!I52)</f>
        <v>קבוצות מוסיקה</v>
      </c>
      <c r="I52" s="349">
        <f>IF($F52="","",'הזנה לתנאי סף'!R52)</f>
        <v>271845</v>
      </c>
      <c r="J52" s="349">
        <f>IF($F52="","",'תחום תמיכה א'!P52)</f>
        <v>338075</v>
      </c>
      <c r="K52" s="177">
        <f>IF($F52="","",'הזנה לתנאי סף'!N52)</f>
        <v>0</v>
      </c>
      <c r="L52" s="177">
        <f>IF($F52="","",'הזנה לתנאי סף'!O52)</f>
        <v>1</v>
      </c>
      <c r="M52" s="177">
        <f>IF($F52="","",'הזנה לתנאי סף'!Q52)</f>
        <v>1</v>
      </c>
      <c r="N52" s="349">
        <f>IF($F52="","",'תחום תמיכה א'!AE52)</f>
        <v>12297.013725391025</v>
      </c>
      <c r="O52" s="178"/>
      <c r="P52" s="349">
        <f>IF($F52="","",'תחום תמיכה ב'!AC52)</f>
        <v>20514.077409656169</v>
      </c>
      <c r="Q52" s="349">
        <f>IF($F52="","",IF('תחום תמיכה ג'!O52="",0,'תחום תמיכה ג'!O52))</f>
        <v>0</v>
      </c>
      <c r="R52" s="349">
        <f t="shared" si="0"/>
        <v>615.11568292922675</v>
      </c>
      <c r="S52" s="349">
        <f>IF($F52="","",'תחום תמיכה ב'!AE52)</f>
        <v>21129.193092585396</v>
      </c>
      <c r="T52" s="349">
        <f>IF($F52="","",IF(Q52='תחום תמיכה ג'!$Q$2,'תחום תמיכה ג'!$Q$2,IFERROR(SUMIF(N52:R52,"&gt;0"),'תחום תמיכה ג'!$Q$2)))</f>
        <v>33426.206817976417</v>
      </c>
      <c r="U52" s="349">
        <f>IF($F52="","",'הזנה לתנאי סף'!Y52)</f>
        <v>841523</v>
      </c>
      <c r="V52" s="350">
        <f>IF(F52="","",'הגבלה לסכום מבוקש '!AA52)</f>
        <v>36945.163337310129</v>
      </c>
      <c r="W52" s="349">
        <f t="shared" si="1"/>
        <v>9236.2908343275321</v>
      </c>
      <c r="X52" s="349">
        <f>IF(F52="","",'הזנה לתנאי סף'!Z52)</f>
        <v>510000</v>
      </c>
      <c r="Y52" s="351" t="s">
        <v>3740</v>
      </c>
      <c r="Z52" s="352" t="str">
        <f>IFERROR(VLOOKUP(G52*1,#REF!,3,0),"")</f>
        <v/>
      </c>
      <c r="AA52" s="349" t="str">
        <f>IF(OR($F52="",Z52=""),"",IFERROR(IF(Z52&gt;V52,MIN(Z52,T52)-V52,0),'תחום תמיכה ג'!$Q$2))</f>
        <v/>
      </c>
      <c r="AB52" s="353"/>
      <c r="AC52" s="260" t="str">
        <f t="shared" si="3"/>
        <v/>
      </c>
      <c r="AD52" s="354"/>
      <c r="AE52" s="180"/>
      <c r="AF52" s="355" t="str">
        <f>IF($C52="","",IFERROR(VLOOKUP($C52,גיליון1!$A:$E,2,0),"לא הגיש בקשה שוטפת"))</f>
        <v>תמיכה באנסמבל כלי ההקשה "טרמולו"</v>
      </c>
      <c r="AG52" s="355" t="str">
        <f>IF($C52="","",IFERROR(VLOOKUP($C52,גיליון1!$A:$E,3,0),"לא הגיש בקשה שוטפת"))</f>
        <v>מועד</v>
      </c>
      <c r="AH52" s="355" t="str">
        <f>IF($C52="","",IFERROR(VLOOKUP($C52,גיליון1!$A:$E,4,0),"לא הגיש בקשה שוטפת"))</f>
        <v>19-42-02-16</v>
      </c>
      <c r="AI52" s="355" t="str">
        <f>IF($C52="","",IFERROR(VLOOKUP($C52,גיליון1!$A:$E,5,0),"לא הגיש בקשה שוטפת"))</f>
        <v>מוסיקה</v>
      </c>
      <c r="AJ52" s="355">
        <f t="shared" si="2"/>
        <v>0</v>
      </c>
      <c r="AK52" s="15"/>
      <c r="AL52" s="15" t="s">
        <v>216</v>
      </c>
    </row>
    <row r="53" spans="1:38" ht="285.75" x14ac:dyDescent="0.25">
      <c r="A53" s="346">
        <f>'הזנה לתנאי סף'!B53</f>
        <v>23</v>
      </c>
      <c r="B53" s="347">
        <f>IF($F53="","",'הזנה לתנאי סף'!C53)</f>
        <v>1001346670</v>
      </c>
      <c r="C53" s="347">
        <f>IF($F53="","",'הזנה לתנאי סף'!D53)</f>
        <v>1001277080</v>
      </c>
      <c r="D53" s="347">
        <f>IF($F53="","",'הזנה לתנאי סף'!E53)</f>
        <v>40000106</v>
      </c>
      <c r="E53" s="348">
        <f>IF($F53="","",'הזנה לתנאי סף'!F53)</f>
        <v>20000201</v>
      </c>
      <c r="F53" s="348" t="str">
        <f>IF('הזנה לתנאי סף'!BL53=1,'הזנה לתנאי סף'!G53,"")</f>
        <v>תל אביב -יפו</v>
      </c>
      <c r="G53" s="348" t="str">
        <f>IF($F53="","",'הזנה לתנאי סף'!H53)</f>
        <v>התזמורת הקאמרית הישראלית</v>
      </c>
      <c r="H53" s="348" t="str">
        <f>IF($F53="","",'הזנה לתנאי סף'!I53)</f>
        <v>מוסיקה-גופים כליים</v>
      </c>
      <c r="I53" s="349">
        <f>IF($F53="","",'הזנה לתנאי סף'!R53)</f>
        <v>6726212</v>
      </c>
      <c r="J53" s="349">
        <f>IF($F53="","",'תחום תמיכה א'!P53)</f>
        <v>6473332</v>
      </c>
      <c r="K53" s="177">
        <f>IF($F53="","",'הזנה לתנאי סף'!N53)</f>
        <v>1</v>
      </c>
      <c r="L53" s="177">
        <f>IF($F53="","",'הזנה לתנאי סף'!O53)</f>
        <v>1</v>
      </c>
      <c r="M53" s="177">
        <f>IF($F53="","",'הזנה לתנאי סף'!Q53)</f>
        <v>1</v>
      </c>
      <c r="N53" s="349">
        <f>IF($F53="","",'תחום תמיכה א'!AE53)</f>
        <v>193590.95087524049</v>
      </c>
      <c r="O53" s="178"/>
      <c r="P53" s="349">
        <f>IF($F53="","",'תחום תמיכה ב'!AC53)</f>
        <v>343117.07661254634</v>
      </c>
      <c r="Q53" s="349">
        <f>IF($F53="","",IF('תחום תמיכה ג'!O53="",0,'תחום תמיכה ג'!O53))</f>
        <v>143883.66511659208</v>
      </c>
      <c r="R53" s="349">
        <f t="shared" si="0"/>
        <v>10288.3834690933</v>
      </c>
      <c r="S53" s="349">
        <f>IF($F53="","",'תחום תמיכה ב'!AE53)</f>
        <v>353405.46008163964</v>
      </c>
      <c r="T53" s="349">
        <f>IF($F53="","",IF(Q53='תחום תמיכה ג'!$Q$2,'תחום תמיכה ג'!$Q$2,IFERROR(SUMIF(N53:R53,"&gt;0"),'תחום תמיכה ג'!$Q$2)))</f>
        <v>690880.07607347216</v>
      </c>
      <c r="U53" s="349">
        <f>IF($F53="","",'הזנה לתנאי סף'!Y53)</f>
        <v>1400000</v>
      </c>
      <c r="V53" s="350">
        <f>IF(F53="","",'הגבלה לסכום מבוקש '!AA53)</f>
        <v>749797.91573949775</v>
      </c>
      <c r="W53" s="349">
        <f t="shared" si="1"/>
        <v>187449.47893487444</v>
      </c>
      <c r="X53" s="349">
        <f>IF(F53="","",'הזנה לתנאי סף'!Z53)</f>
        <v>50000</v>
      </c>
      <c r="Y53" s="351" t="s">
        <v>3740</v>
      </c>
      <c r="Z53" s="352" t="str">
        <f>IFERROR(VLOOKUP(G53*1,#REF!,3,0),"")</f>
        <v/>
      </c>
      <c r="AA53" s="349" t="str">
        <f>IF(OR($F53="",Z53=""),"",IFERROR(IF(Z53&gt;V53,MIN(Z53,T53)-V53,0),'תחום תמיכה ג'!$Q$2))</f>
        <v/>
      </c>
      <c r="AB53" s="353"/>
      <c r="AC53" s="260" t="str">
        <f t="shared" si="3"/>
        <v/>
      </c>
      <c r="AD53" s="354"/>
      <c r="AE53" s="180"/>
      <c r="AF53" s="355" t="str">
        <f>IF($C53="","",IFERROR(VLOOKUP($C53,גיליון1!$A:$E,2,0),"לא הגיש בקשה שוטפת"))</f>
        <v>הקאמרית הישראלית תמיכה שוטפת 2020</v>
      </c>
      <c r="AG53" s="355" t="str">
        <f>IF($C53="","",IFERROR(VLOOKUP($C53,גיליון1!$A:$E,3,0),"לא הגיש בקשה שוטפת"))</f>
        <v>חויב</v>
      </c>
      <c r="AH53" s="355" t="str">
        <f>IF($C53="","",IFERROR(VLOOKUP($C53,גיליון1!$A:$E,4,0),"לא הגיש בקשה שוטפת"))</f>
        <v>19-42-02-16</v>
      </c>
      <c r="AI53" s="355" t="str">
        <f>IF($C53="","",IFERROR(VLOOKUP($C53,גיליון1!$A:$E,5,0),"לא הגיש בקשה שוטפת"))</f>
        <v>מוסיקה</v>
      </c>
      <c r="AJ53" s="355">
        <f t="shared" si="2"/>
        <v>0</v>
      </c>
      <c r="AK53" s="15"/>
      <c r="AL53" s="15" t="s">
        <v>187</v>
      </c>
    </row>
    <row r="54" spans="1:38" ht="285.75" x14ac:dyDescent="0.25">
      <c r="A54" s="346">
        <f>'הזנה לתנאי סף'!B54</f>
        <v>24</v>
      </c>
      <c r="B54" s="347">
        <f>IF($F54="","",'הזנה לתנאי סף'!C54)</f>
        <v>1001346676</v>
      </c>
      <c r="C54" s="347">
        <f>IF($F54="","",'הזנה לתנאי סף'!D54)</f>
        <v>1001266343</v>
      </c>
      <c r="D54" s="347">
        <f>IF($F54="","",'הזנה לתנאי סף'!E54)</f>
        <v>40000132</v>
      </c>
      <c r="E54" s="348">
        <f>IF($F54="","",'הזנה לתנאי סף'!F54)</f>
        <v>20000201</v>
      </c>
      <c r="F54" s="348" t="str">
        <f>IF('הזנה לתנאי סף'!BL54=1,'הזנה לתנאי סף'!G54,"")</f>
        <v>תל אביב -יפו</v>
      </c>
      <c r="G54" s="348" t="str">
        <f>IF($F54="","",'הזנה לתנאי סף'!H54)</f>
        <v>תיאטרון הנפש</v>
      </c>
      <c r="H54" s="348" t="str">
        <f>IF($F54="","",'הזנה לתנאי סף'!I54)</f>
        <v>תיאטרון</v>
      </c>
      <c r="I54" s="349">
        <f>IF($F54="","",'הזנה לתנאי סף'!R54)</f>
        <v>3028116</v>
      </c>
      <c r="J54" s="349">
        <f>IF($F54="","",'תחום תמיכה א'!P54)</f>
        <v>3083965</v>
      </c>
      <c r="K54" s="177">
        <f>IF($F54="","",'הזנה לתנאי סף'!N54)</f>
        <v>1</v>
      </c>
      <c r="L54" s="177">
        <f>IF($F54="","",'הזנה לתנאי סף'!O54)</f>
        <v>1</v>
      </c>
      <c r="M54" s="177">
        <f>IF($F54="","",'הזנה לתנאי סף'!Q54)</f>
        <v>1</v>
      </c>
      <c r="N54" s="349">
        <f>IF($F54="","",'תחום תמיכה א'!AE54)</f>
        <v>92448.647684089519</v>
      </c>
      <c r="O54" s="178"/>
      <c r="P54" s="349">
        <f>IF($F54="","",'תחום תמיכה ב'!AC54)</f>
        <v>155201.70874036694</v>
      </c>
      <c r="Q54" s="349">
        <f>IF($F54="","",IF('תחום תמיכה ג'!O54="",0,'תחום תמיכה ג'!O54))</f>
        <v>65082.714350409195</v>
      </c>
      <c r="R54" s="349">
        <f t="shared" si="0"/>
        <v>4653.7313454163377</v>
      </c>
      <c r="S54" s="349">
        <f>IF($F54="","",'תחום תמיכה ב'!AE54)</f>
        <v>159855.44008578328</v>
      </c>
      <c r="T54" s="349">
        <f>IF($F54="","",IF(Q54='תחום תמיכה ג'!$Q$2,'תחום תמיכה ג'!$Q$2,IFERROR(SUMIF(N54:R54,"&gt;0"),'תחום תמיכה ג'!$Q$2)))</f>
        <v>317386.80212028202</v>
      </c>
      <c r="U54" s="349">
        <f>IF($F54="","",'הזנה לתנאי סף'!Y54)</f>
        <v>1000000</v>
      </c>
      <c r="V54" s="350">
        <f>IF(F54="","",'הגבלה לסכום מבוקש '!AA54)</f>
        <v>344039.25609409279</v>
      </c>
      <c r="W54" s="349">
        <f t="shared" si="1"/>
        <v>86009.814023523199</v>
      </c>
      <c r="X54" s="349">
        <f>IF(F54="","",'הזנה לתנאי סף'!Z54)</f>
        <v>1000000</v>
      </c>
      <c r="Y54" s="351" t="s">
        <v>3740</v>
      </c>
      <c r="Z54" s="352" t="str">
        <f>IFERROR(VLOOKUP(G54*1,#REF!,3,0),"")</f>
        <v/>
      </c>
      <c r="AA54" s="349" t="str">
        <f>IF(OR($F54="",Z54=""),"",IFERROR(IF(Z54&gt;V54,MIN(Z54,T54)-V54,0),'תחום תמיכה ג'!$Q$2))</f>
        <v/>
      </c>
      <c r="AB54" s="353"/>
      <c r="AC54" s="260" t="str">
        <f t="shared" si="3"/>
        <v/>
      </c>
      <c r="AD54" s="354"/>
      <c r="AE54" s="180"/>
      <c r="AF54" s="355" t="str">
        <f>IF($C54="","",IFERROR(VLOOKUP($C54,גיליון1!$A:$E,2,0),"לא הגיש בקשה שוטפת"))</f>
        <v>תמיכה שוטפת לתיאטרון ילדים -קטן</v>
      </c>
      <c r="AG54" s="355" t="str">
        <f>IF($C54="","",IFERROR(VLOOKUP($C54,גיליון1!$A:$E,3,0),"לא הגיש בקשה שוטפת"))</f>
        <v>חויב</v>
      </c>
      <c r="AH54" s="355" t="str">
        <f>IF($C54="","",IFERROR(VLOOKUP($C54,גיליון1!$A:$E,4,0),"לא הגיש בקשה שוטפת"))</f>
        <v>19-42-02-07</v>
      </c>
      <c r="AI54" s="355" t="str">
        <f>IF($C54="","",IFERROR(VLOOKUP($C54,גיליון1!$A:$E,5,0),"לא הגיש בקשה שוטפת"))</f>
        <v>תיאטרון</v>
      </c>
      <c r="AJ54" s="355">
        <f t="shared" si="2"/>
        <v>0</v>
      </c>
      <c r="AK54" s="15"/>
      <c r="AL54" s="15" t="s">
        <v>191</v>
      </c>
    </row>
    <row r="55" spans="1:38" ht="285.75" x14ac:dyDescent="0.25">
      <c r="A55" s="346">
        <f>'הזנה לתנאי סף'!B55</f>
        <v>25</v>
      </c>
      <c r="B55" s="347">
        <f>IF($F55="","",'הזנה לתנאי סף'!C55)</f>
        <v>1001346807</v>
      </c>
      <c r="C55" s="347">
        <f>IF($F55="","",'הזנה לתנאי סף'!D55)</f>
        <v>1001266435</v>
      </c>
      <c r="D55" s="347">
        <f>IF($F55="","",'הזנה לתנאי סף'!E55)</f>
        <v>40000132</v>
      </c>
      <c r="E55" s="348">
        <f>IF($F55="","",'הזנה לתנאי סף'!F55)</f>
        <v>20000201</v>
      </c>
      <c r="F55" s="348" t="str">
        <f>IF('הזנה לתנאי סף'!BL55=1,'הזנה לתנאי סף'!G55,"")</f>
        <v>תל אביב -יפו</v>
      </c>
      <c r="G55" s="348" t="str">
        <f>IF($F55="","",'הזנה לתנאי סף'!H55)</f>
        <v>תיאטרון הנפש</v>
      </c>
      <c r="H55" s="348" t="str">
        <f>IF($F55="","",'הזנה לתנאי סף'!I55)</f>
        <v>סינמטקים ופסטיבלים</v>
      </c>
      <c r="I55" s="349">
        <f>IF($F55="","",'הזנה לתנאי סף'!R55)</f>
        <v>543170</v>
      </c>
      <c r="J55" s="349">
        <f>IF($F55="","",'תחום תמיכה א'!P55)</f>
        <v>536361</v>
      </c>
      <c r="K55" s="177">
        <f>IF($F55="","",'הזנה לתנאי סף'!N55)</f>
        <v>1</v>
      </c>
      <c r="L55" s="177">
        <f>IF($F55="","",'הזנה לתנאי סף'!O55)</f>
        <v>1</v>
      </c>
      <c r="M55" s="177">
        <f>IF($F55="","",'הזנה לתנאי סף'!Q55)</f>
        <v>1</v>
      </c>
      <c r="N55" s="349">
        <f>IF($F55="","",'תחום תמיכה א'!AE55)</f>
        <v>10754.015259659185</v>
      </c>
      <c r="O55" s="178"/>
      <c r="P55" s="349">
        <f>IF($F55="","",'תחום תמיכה ב'!AC55)</f>
        <v>12454.32305517559</v>
      </c>
      <c r="Q55" s="349">
        <f>IF($F55="","",IF('תחום תמיכה ג'!O55="",0,'תחום תמיכה ג'!O55))</f>
        <v>5222.6303202864592</v>
      </c>
      <c r="R55" s="349">
        <f t="shared" si="0"/>
        <v>373.44352751147926</v>
      </c>
      <c r="S55" s="349">
        <f>IF($F55="","",'תחום תמיכה ב'!AE55)</f>
        <v>12827.766582687069</v>
      </c>
      <c r="T55" s="349">
        <f>IF($F55="","",IF(Q55='תחום תמיכה ג'!$Q$2,'תחום תמיכה ג'!$Q$2,IFERROR(SUMIF(N55:R55,"&gt;0"),'תחום תמיכה ג'!$Q$2)))</f>
        <v>28804.412162632711</v>
      </c>
      <c r="U55" s="349">
        <f>IF($F55="","",'הזנה לתנאי סף'!Y55)</f>
        <v>300000</v>
      </c>
      <c r="V55" s="350">
        <f>IF(F55="","",'הגבלה לסכום מבוקש '!AA55)</f>
        <v>30944.684826171866</v>
      </c>
      <c r="W55" s="349">
        <f t="shared" si="1"/>
        <v>7736.1712065429665</v>
      </c>
      <c r="X55" s="349">
        <f>IF(F55="","",'הזנה לתנאי סף'!Z55)</f>
        <v>300000</v>
      </c>
      <c r="Y55" s="351" t="s">
        <v>3740</v>
      </c>
      <c r="Z55" s="352" t="str">
        <f>IFERROR(VLOOKUP(G55*1,#REF!,3,0),"")</f>
        <v/>
      </c>
      <c r="AA55" s="349" t="str">
        <f>IF(OR($F55="",Z55=""),"",IFERROR(IF(Z55&gt;V55,MIN(Z55,T55)-V55,0),'תחום תמיכה ג'!$Q$2))</f>
        <v/>
      </c>
      <c r="AB55" s="353"/>
      <c r="AC55" s="260" t="str">
        <f t="shared" si="3"/>
        <v/>
      </c>
      <c r="AD55" s="354"/>
      <c r="AE55" s="180"/>
      <c r="AF55" s="355" t="str">
        <f>IF($C55="","",IFERROR(VLOOKUP($C55,גיליון1!$A:$E,2,0),"לא הגיש בקשה שוטפת"))</f>
        <v>להפיק פסטיבל הסיגדיאדה (לתרבות אתיופית)</v>
      </c>
      <c r="AG55" s="355" t="str">
        <f>IF($C55="","",IFERROR(VLOOKUP($C55,גיליון1!$A:$E,3,0),"לא הגיש בקשה שוטפת"))</f>
        <v>טיוט</v>
      </c>
      <c r="AH55" s="355" t="str">
        <f>IF($C55="","",IFERROR(VLOOKUP($C55,גיליון1!$A:$E,4,0),"לא הגיש בקשה שוטפת"))</f>
        <v>19-42-02-26</v>
      </c>
      <c r="AI55" s="355" t="str">
        <f>IF($C55="","",IFERROR(VLOOKUP($C55,גיליון1!$A:$E,5,0),"לא הגיש בקשה שוטפת"))</f>
        <v>פסטיבלים לתרבות</v>
      </c>
      <c r="AJ55" s="355">
        <f t="shared" si="2"/>
        <v>0</v>
      </c>
      <c r="AK55" s="15"/>
      <c r="AL55" s="15" t="s">
        <v>198</v>
      </c>
    </row>
    <row r="56" spans="1:38" ht="285.75" x14ac:dyDescent="0.25">
      <c r="A56" s="346">
        <f>'הזנה לתנאי סף'!B56</f>
        <v>26</v>
      </c>
      <c r="B56" s="347">
        <f>IF($F56="","",'הזנה לתנאי סף'!C56)</f>
        <v>1001346564</v>
      </c>
      <c r="C56" s="347">
        <f>IF($F56="","",'הזנה לתנאי סף'!D56)</f>
        <v>1001269642</v>
      </c>
      <c r="D56" s="347">
        <f>IF($F56="","",'הזנה לתנאי סף'!E56)</f>
        <v>40000060</v>
      </c>
      <c r="E56" s="348">
        <f>IF($F56="","",'הזנה לתנאי סף'!F56)</f>
        <v>20000159</v>
      </c>
      <c r="F56" s="348" t="str">
        <f>IF('הזנה לתנאי סף'!BL56=1,'הזנה לתנאי סף'!G56,"")</f>
        <v>ירושלים</v>
      </c>
      <c r="G56" s="348" t="str">
        <f>IF($F56="","",'הזנה לתנאי סף'!H56)</f>
        <v>תיאטרון הקרון</v>
      </c>
      <c r="H56" s="348" t="str">
        <f>IF($F56="","",'הזנה לתנאי סף'!I56)</f>
        <v>תיאטרון</v>
      </c>
      <c r="I56" s="349">
        <f>IF($F56="","",'הזנה לתנאי סף'!R56)</f>
        <v>5833226</v>
      </c>
      <c r="J56" s="349">
        <f>IF($F56="","",'תחום תמיכה א'!P56)</f>
        <v>5062977</v>
      </c>
      <c r="K56" s="177">
        <f>IF($F56="","",'הזנה לתנאי סף'!N56)</f>
        <v>1</v>
      </c>
      <c r="L56" s="177">
        <f>IF($F56="","",'הזנה לתנאי סף'!O56)</f>
        <v>1</v>
      </c>
      <c r="M56" s="177">
        <f>IF($F56="","",'הזנה לתנאי סף'!Q56)</f>
        <v>1</v>
      </c>
      <c r="N56" s="349">
        <f>IF($F56="","",'תחום תמיכה א'!AE56)</f>
        <v>118211.94083349194</v>
      </c>
      <c r="O56" s="178"/>
      <c r="P56" s="349">
        <f>IF($F56="","",'תחום תמיכה ב'!AC56)</f>
        <v>181374.8339061474</v>
      </c>
      <c r="Q56" s="349">
        <f>IF($F56="","",IF('תחום תמיכה ג'!O56="",0,'תחום תמיכה ג'!O56))</f>
        <v>31353.973773257982</v>
      </c>
      <c r="R56" s="349">
        <f t="shared" si="0"/>
        <v>5438.5338709816861</v>
      </c>
      <c r="S56" s="349">
        <f>IF($F56="","",'תחום תמיכה ב'!AE56)</f>
        <v>186813.36777712908</v>
      </c>
      <c r="T56" s="349">
        <f>IF($F56="","",IF(Q56='תחום תמיכה ג'!$Q$2,'תחום תמיכה ג'!$Q$2,IFERROR(SUMIF(N56:R56,"&gt;0"),'תחום תמיכה ג'!$Q$2)))</f>
        <v>336379.28238387906</v>
      </c>
      <c r="U56" s="349">
        <f>IF($F56="","",'הזנה לתנאי סף'!Y56)</f>
        <v>500000</v>
      </c>
      <c r="V56" s="350">
        <f>IF(F56="","",'הגבלה לסכום מבוקש '!AA56)</f>
        <v>367510.66749082075</v>
      </c>
      <c r="W56" s="349">
        <f t="shared" si="1"/>
        <v>91877.666872705187</v>
      </c>
      <c r="X56" s="349">
        <f>IF(F56="","",'הזנה לתנאי סף'!Z56)</f>
        <v>50000</v>
      </c>
      <c r="Y56" s="351" t="s">
        <v>3740</v>
      </c>
      <c r="Z56" s="352" t="str">
        <f>IFERROR(VLOOKUP(G56*1,#REF!,3,0),"")</f>
        <v/>
      </c>
      <c r="AA56" s="349" t="str">
        <f>IF(OR($F56="",Z56=""),"",IFERROR(IF(Z56&gt;V56,MIN(Z56,T56)-V56,0),'תחום תמיכה ג'!$Q$2))</f>
        <v/>
      </c>
      <c r="AB56" s="353"/>
      <c r="AC56" s="260" t="str">
        <f t="shared" si="3"/>
        <v/>
      </c>
      <c r="AD56" s="354"/>
      <c r="AE56" s="180"/>
      <c r="AF56" s="355" t="str">
        <f>IF($C56="","",IFERROR(VLOOKUP($C56,גיליון1!$A:$E,2,0),"לא הגיש בקשה שוטפת"))</f>
        <v>תמיכה שוטפת לתיאטרון הקרון</v>
      </c>
      <c r="AG56" s="355" t="str">
        <f>IF($C56="","",IFERROR(VLOOKUP($C56,גיליון1!$A:$E,3,0),"לא הגיש בקשה שוטפת"))</f>
        <v>חויב</v>
      </c>
      <c r="AH56" s="355" t="str">
        <f>IF($C56="","",IFERROR(VLOOKUP($C56,גיליון1!$A:$E,4,0),"לא הגיש בקשה שוטפת"))</f>
        <v>19-42-02-07</v>
      </c>
      <c r="AI56" s="355" t="str">
        <f>IF($C56="","",IFERROR(VLOOKUP($C56,גיליון1!$A:$E,5,0),"לא הגיש בקשה שוטפת"))</f>
        <v>תיאטרון</v>
      </c>
      <c r="AJ56" s="355">
        <f t="shared" si="2"/>
        <v>0</v>
      </c>
      <c r="AK56" s="15"/>
      <c r="AL56" s="15" t="s">
        <v>209</v>
      </c>
    </row>
    <row r="57" spans="1:38" ht="285.75" x14ac:dyDescent="0.25">
      <c r="A57" s="346">
        <f>'הזנה לתנאי סף'!B57</f>
        <v>27</v>
      </c>
      <c r="B57" s="347">
        <f>IF($F57="","",'הזנה לתנאי סף'!C57)</f>
        <v>1001347019</v>
      </c>
      <c r="C57" s="347">
        <f>IF($F57="","",'הזנה לתנאי סף'!D57)</f>
        <v>1001270522</v>
      </c>
      <c r="D57" s="347">
        <f>IF($F57="","",'הזנה לתנאי סף'!E57)</f>
        <v>40000075</v>
      </c>
      <c r="E57" s="348">
        <f>IF($F57="","",'הזנה לתנאי סף'!F57)</f>
        <v>20000159</v>
      </c>
      <c r="F57" s="348" t="str">
        <f>IF('הזנה לתנאי סף'!BL57=1,'הזנה לתנאי סף'!G57,"")</f>
        <v>ירושלים</v>
      </c>
      <c r="G57" s="348" t="str">
        <f>IF($F57="","",'הזנה לתנאי סף'!H57)</f>
        <v>מוזיאון חצר הישוב הישן</v>
      </c>
      <c r="H57" s="348" t="str">
        <f>IF($F57="","",'הזנה לתנאי סף'!I57)</f>
        <v>מוזיאונים</v>
      </c>
      <c r="I57" s="349">
        <f>IF($F57="","",'הזנה לתנאי סף'!R57)</f>
        <v>848579</v>
      </c>
      <c r="J57" s="349">
        <f>IF($F57="","",'תחום תמיכה א'!P57)</f>
        <v>727768</v>
      </c>
      <c r="K57" s="177">
        <f>IF($F57="","",'הזנה לתנאי סף'!N57)</f>
        <v>1</v>
      </c>
      <c r="L57" s="177">
        <f>IF($F57="","",'הזנה לתנאי סף'!O57)</f>
        <v>1</v>
      </c>
      <c r="M57" s="177">
        <f>IF($F57="","",'הזנה לתנאי סף'!Q57)</f>
        <v>1</v>
      </c>
      <c r="N57" s="349">
        <f>IF($F57="","",'תחום תמיכה א'!AE57)</f>
        <v>10705.409495762351</v>
      </c>
      <c r="O57" s="178"/>
      <c r="P57" s="349">
        <f>IF($F57="","",'תחום תמיכה ב'!AC57)</f>
        <v>10472.982441670905</v>
      </c>
      <c r="Q57" s="349">
        <f>IF($F57="","",IF('תחום תמיכה ג'!O57="",0,'תחום תמיכה ג'!O57))</f>
        <v>1810.4475121055445</v>
      </c>
      <c r="R57" s="349">
        <f t="shared" si="0"/>
        <v>314.03292569627592</v>
      </c>
      <c r="S57" s="349">
        <f>IF($F57="","",'תחום תמיכה ב'!AE57)</f>
        <v>10787.015367367181</v>
      </c>
      <c r="T57" s="349">
        <f>IF($F57="","",IF(Q57='תחום תמיכה ג'!$Q$2,'תחום תמיכה ג'!$Q$2,IFERROR(SUMIF(N57:R57,"&gt;0"),'תחום תמיכה ג'!$Q$2)))</f>
        <v>23302.872375235074</v>
      </c>
      <c r="U57" s="349">
        <f>IF($F57="","",'הזנה לתנאי סף'!Y57)</f>
        <v>200000</v>
      </c>
      <c r="V57" s="350">
        <f>IF(F57="","",'הגבלה לסכום מבוקש '!AA57)</f>
        <v>25102.233607963921</v>
      </c>
      <c r="W57" s="349">
        <f t="shared" si="1"/>
        <v>6275.5584019909802</v>
      </c>
      <c r="X57" s="349">
        <f>IF(F57="","",'הזנה לתנאי סף'!Z57)</f>
        <v>100000</v>
      </c>
      <c r="Y57" s="351" t="s">
        <v>3740</v>
      </c>
      <c r="Z57" s="352" t="str">
        <f>IFERROR(VLOOKUP(G57*1,#REF!,3,0),"")</f>
        <v/>
      </c>
      <c r="AA57" s="349" t="str">
        <f>IF(OR($F57="",Z57=""),"",IFERROR(IF(Z57&gt;V57,MIN(Z57,T57)-V57,0),'תחום תמיכה ג'!$Q$2))</f>
        <v/>
      </c>
      <c r="AB57" s="353"/>
      <c r="AC57" s="260" t="str">
        <f t="shared" si="3"/>
        <v/>
      </c>
      <c r="AD57" s="354"/>
      <c r="AE57" s="180"/>
      <c r="AF57" s="355" t="str">
        <f>IF($C57="","",IFERROR(VLOOKUP($C57,גיליון1!$A:$E,2,0),"לא הגיש בקשה שוטפת"))</f>
        <v>תמיכה שוטפת - 2020</v>
      </c>
      <c r="AG57" s="355" t="str">
        <f>IF($C57="","",IFERROR(VLOOKUP($C57,גיליון1!$A:$E,3,0),"לא הגיש בקשה שוטפת"))</f>
        <v>חויב</v>
      </c>
      <c r="AH57" s="355" t="str">
        <f>IF($C57="","",IFERROR(VLOOKUP($C57,גיליון1!$A:$E,4,0),"לא הגיש בקשה שוטפת"))</f>
        <v>19-42-02-18</v>
      </c>
      <c r="AI57" s="355" t="str">
        <f>IF($C57="","",IFERROR(VLOOKUP($C57,גיליון1!$A:$E,5,0),"לא הגיש בקשה שוטפת"))</f>
        <v>מוזיאונים ואמנות פלס</v>
      </c>
      <c r="AJ57" s="355">
        <f t="shared" si="2"/>
        <v>0</v>
      </c>
      <c r="AK57" s="15"/>
      <c r="AL57" s="15" t="s">
        <v>181</v>
      </c>
    </row>
    <row r="58" spans="1:38" ht="285.75" x14ac:dyDescent="0.25">
      <c r="A58" s="346">
        <f>'הזנה לתנאי סף'!B58</f>
        <v>28</v>
      </c>
      <c r="B58" s="347">
        <f>IF($F58="","",'הזנה לתנאי סף'!C58)</f>
        <v>1001348863</v>
      </c>
      <c r="C58" s="347">
        <f>IF($F58="","",'הזנה לתנאי סף'!D58)</f>
        <v>1001271791</v>
      </c>
      <c r="D58" s="347">
        <f>IF($F58="","",'הזנה לתנאי סף'!E58)</f>
        <v>40000111</v>
      </c>
      <c r="E58" s="348">
        <f>IF($F58="","",'הזנה לתנאי סף'!F58)</f>
        <v>20000201</v>
      </c>
      <c r="F58" s="348" t="str">
        <f>IF('הזנה לתנאי סף'!BL58=1,'הזנה לתנאי סף'!G58,"")</f>
        <v>תל אביב -יפו</v>
      </c>
      <c r="G58" s="348" t="str">
        <f>IF($F58="","",'הזנה לתנאי סף'!H58)</f>
        <v>הבלט הישראלי</v>
      </c>
      <c r="H58" s="348" t="str">
        <f>IF($F58="","",'הזנה לתנאי סף'!I58)</f>
        <v>מחול</v>
      </c>
      <c r="I58" s="349">
        <f>IF($F58="","",'הזנה לתנאי סף'!R58)</f>
        <v>10652225</v>
      </c>
      <c r="J58" s="349">
        <f>IF($F58="","",'תחום תמיכה א'!P58)</f>
        <v>11058568</v>
      </c>
      <c r="K58" s="177">
        <f>IF($F58="","",'הזנה לתנאי סף'!N58)</f>
        <v>1</v>
      </c>
      <c r="L58" s="177">
        <f>IF($F58="","",'הזנה לתנאי סף'!O58)</f>
        <v>1</v>
      </c>
      <c r="M58" s="177">
        <f>IF($F58="","",'הזנה לתנאי סף'!Q58)</f>
        <v>1</v>
      </c>
      <c r="N58" s="349">
        <f>IF($F58="","",'תחום תמיכה א'!AE58)</f>
        <v>240208.18824225711</v>
      </c>
      <c r="O58" s="178"/>
      <c r="P58" s="349">
        <f>IF($F58="","",'תחום תמיכה ב'!AC58)</f>
        <v>286665.61226810608</v>
      </c>
      <c r="Q58" s="349">
        <f>IF($F58="","",IF('תחום תמיכה ג'!O58="",0,'תחום תמיכה ג'!O58))</f>
        <v>120211.15172476028</v>
      </c>
      <c r="R58" s="349">
        <f t="shared" si="0"/>
        <v>8595.6833613009658</v>
      </c>
      <c r="S58" s="349">
        <f>IF($F58="","",'תחום תמיכה ב'!AE58)</f>
        <v>295261.29562940705</v>
      </c>
      <c r="T58" s="349">
        <f>IF($F58="","",IF(Q58='תחום תמיכה ג'!$Q$2,'תחום תמיכה ג'!$Q$2,IFERROR(SUMIF(N58:R58,"&gt;0"),'תחום תמיכה ג'!$Q$2)))</f>
        <v>655680.63559642446</v>
      </c>
      <c r="U58" s="349">
        <f>IF($F58="","",'הזנה לתנאי סף'!Y58)</f>
        <v>2000000</v>
      </c>
      <c r="V58" s="350">
        <f>IF(F58="","",'הגבלה לסכום מבוקש '!AA58)</f>
        <v>704940.72431895591</v>
      </c>
      <c r="W58" s="349">
        <f t="shared" si="1"/>
        <v>176235.18107973898</v>
      </c>
      <c r="X58" s="349">
        <f>IF(F58="","",'הזנה לתנאי סף'!Z58)</f>
        <v>100000</v>
      </c>
      <c r="Y58" s="351" t="s">
        <v>3740</v>
      </c>
      <c r="Z58" s="352" t="str">
        <f>IFERROR(VLOOKUP(G58*1,#REF!,3,0),"")</f>
        <v/>
      </c>
      <c r="AA58" s="349" t="str">
        <f>IF(OR($F58="",Z58=""),"",IFERROR(IF(Z58&gt;V58,MIN(Z58,T58)-V58,0),'תחום תמיכה ג'!$Q$2))</f>
        <v/>
      </c>
      <c r="AB58" s="353"/>
      <c r="AC58" s="260" t="str">
        <f t="shared" si="3"/>
        <v/>
      </c>
      <c r="AD58" s="354"/>
      <c r="AE58" s="180"/>
      <c r="AF58" s="355" t="str">
        <f>IF($C58="","",IFERROR(VLOOKUP($C58,גיליון1!$A:$E,2,0),"לא הגיש בקשה שוטפת"))</f>
        <v>לא הגיש בקשה שוטפת</v>
      </c>
      <c r="AG58" s="355" t="str">
        <f>IF($C58="","",IFERROR(VLOOKUP($C58,גיליון1!$A:$E,3,0),"לא הגיש בקשה שוטפת"))</f>
        <v>לא הגיש בקשה שוטפת</v>
      </c>
      <c r="AH58" s="355" t="str">
        <f>IF($C58="","",IFERROR(VLOOKUP($C58,גיליון1!$A:$E,4,0),"לא הגיש בקשה שוטפת"))</f>
        <v>לא הגיש בקשה שוטפת</v>
      </c>
      <c r="AI58" s="355" t="str">
        <f>IF($C58="","",IFERROR(VLOOKUP($C58,גיליון1!$A:$E,5,0),"לא הגיש בקשה שוטפת"))</f>
        <v>לא הגיש בקשה שוטפת</v>
      </c>
      <c r="AJ58" s="355">
        <f t="shared" si="2"/>
        <v>0</v>
      </c>
      <c r="AK58" s="15"/>
      <c r="AL58" s="15" t="s">
        <v>194</v>
      </c>
    </row>
    <row r="59" spans="1:38" ht="285.75" x14ac:dyDescent="0.25">
      <c r="A59" s="346">
        <f>'הזנה לתנאי סף'!B59</f>
        <v>29</v>
      </c>
      <c r="B59" s="347">
        <f>IF($F59="","",'הזנה לתנאי סף'!C59)</f>
        <v>1001350366</v>
      </c>
      <c r="C59" s="347">
        <f>IF($F59="","",'הזנה לתנאי סף'!D59)</f>
        <v>1001276978</v>
      </c>
      <c r="D59" s="347">
        <f>IF($F59="","",'הזנה לתנאי סף'!E59)</f>
        <v>40000047</v>
      </c>
      <c r="E59" s="348">
        <f>IF($F59="","",'הזנה לתנאי סף'!F59)</f>
        <v>20000201</v>
      </c>
      <c r="F59" s="348" t="str">
        <f>IF('הזנה לתנאי סף'!BL59=1,'הזנה לתנאי סף'!G59,"")</f>
        <v>תל אביב -יפו</v>
      </c>
      <c r="G59" s="348" t="str">
        <f>IF($F59="","",'הזנה לתנאי סף'!H59)</f>
        <v>סינמטק</v>
      </c>
      <c r="H59" s="348" t="str">
        <f>IF($F59="","",'הזנה לתנאי סף'!I59)</f>
        <v>סינמטקים ופסטיבלים</v>
      </c>
      <c r="I59" s="349">
        <f>IF($F59="","",'הזנה לתנאי סף'!R59)</f>
        <v>625521</v>
      </c>
      <c r="J59" s="349">
        <f>IF($F59="","",'תחום תמיכה א'!P59)</f>
        <v>673057</v>
      </c>
      <c r="K59" s="177">
        <f>IF($F59="","",'הזנה לתנאי סף'!N59)</f>
        <v>1</v>
      </c>
      <c r="L59" s="177">
        <f>IF($F59="","",'הזנה לתנאי סף'!O59)</f>
        <v>1</v>
      </c>
      <c r="M59" s="177">
        <f>IF($F59="","",'הזנה לתנאי סף'!Q59)</f>
        <v>1</v>
      </c>
      <c r="N59" s="349">
        <f>IF($F59="","",'תחום תמיכה א'!AE59)</f>
        <v>11649.1591813833</v>
      </c>
      <c r="O59" s="178"/>
      <c r="P59" s="349">
        <f>IF($F59="","",'תחום תמיכה ב'!AC59)</f>
        <v>10687.713453603285</v>
      </c>
      <c r="Q59" s="349">
        <f>IF($F59="","",IF('תחום תמיכה ג'!O59="",0,'תחום תמיכה ג'!O59))</f>
        <v>4481.8153576099812</v>
      </c>
      <c r="R59" s="349">
        <f t="shared" si="0"/>
        <v>320.47164630813677</v>
      </c>
      <c r="S59" s="349">
        <f>IF($F59="","",'תחום תמיכה ב'!AE59)</f>
        <v>11008.185099911421</v>
      </c>
      <c r="T59" s="349">
        <f>IF($F59="","",IF(Q59='תחום תמיכה ג'!$Q$2,'תחום תמיכה ג'!$Q$2,IFERROR(SUMIF(N59:R59,"&gt;0"),'תחום תמיכה ג'!$Q$2)))</f>
        <v>27139.159638904697</v>
      </c>
      <c r="U59" s="349">
        <f>IF($F59="","",'הזנה לתנאי סף'!Y59)</f>
        <v>202000</v>
      </c>
      <c r="V59" s="350">
        <f>IF(F59="","",'הגבלה לסכום מבוקש '!AA59)</f>
        <v>28976.942982344775</v>
      </c>
      <c r="W59" s="349">
        <f t="shared" si="1"/>
        <v>7244.2357455861938</v>
      </c>
      <c r="X59" s="349">
        <f>IF(F59="","",'הזנה לתנאי סף'!Z59)</f>
        <v>202000</v>
      </c>
      <c r="Y59" s="351" t="s">
        <v>3740</v>
      </c>
      <c r="Z59" s="352" t="str">
        <f>IFERROR(VLOOKUP(G59*1,#REF!,3,0),"")</f>
        <v/>
      </c>
      <c r="AA59" s="349" t="str">
        <f>IF(OR($F59="",Z59=""),"",IFERROR(IF(Z59&gt;V59,MIN(Z59,T59)-V59,0),'תחום תמיכה ג'!$Q$2))</f>
        <v/>
      </c>
      <c r="AB59" s="353"/>
      <c r="AC59" s="260" t="str">
        <f t="shared" si="3"/>
        <v/>
      </c>
      <c r="AD59" s="354"/>
      <c r="AE59" s="180"/>
      <c r="AF59" s="355" t="str">
        <f>IF($C59="","",IFERROR(VLOOKUP($C59,גיליון1!$A:$E,2,0),"לא הגיש בקשה שוטפת"))</f>
        <v>לא הגיש בקשה שוטפת</v>
      </c>
      <c r="AG59" s="355" t="str">
        <f>IF($C59="","",IFERROR(VLOOKUP($C59,גיליון1!$A:$E,3,0),"לא הגיש בקשה שוטפת"))</f>
        <v>לא הגיש בקשה שוטפת</v>
      </c>
      <c r="AH59" s="355" t="str">
        <f>IF($C59="","",IFERROR(VLOOKUP($C59,גיליון1!$A:$E,4,0),"לא הגיש בקשה שוטפת"))</f>
        <v>לא הגיש בקשה שוטפת</v>
      </c>
      <c r="AI59" s="355" t="str">
        <f>IF($C59="","",IFERROR(VLOOKUP($C59,גיליון1!$A:$E,5,0),"לא הגיש בקשה שוטפת"))</f>
        <v>לא הגיש בקשה שוטפת</v>
      </c>
      <c r="AJ59" s="355">
        <f t="shared" si="2"/>
        <v>0</v>
      </c>
      <c r="AK59" s="15"/>
      <c r="AL59" s="15" t="s">
        <v>202</v>
      </c>
    </row>
    <row r="60" spans="1:38" ht="285.75" x14ac:dyDescent="0.25">
      <c r="A60" s="346">
        <f>'הזנה לתנאי סף'!B60</f>
        <v>30</v>
      </c>
      <c r="B60" s="347">
        <f>IF($F60="","",'הזנה לתנאי סף'!C60)</f>
        <v>1001350413</v>
      </c>
      <c r="C60" s="347">
        <f>IF($F60="","",'הזנה לתנאי סף'!D60)</f>
        <v>1001279700</v>
      </c>
      <c r="D60" s="347">
        <f>IF($F60="","",'הזנה לתנאי סף'!E60)</f>
        <v>40000047</v>
      </c>
      <c r="E60" s="348">
        <f>IF($F60="","",'הזנה לתנאי סף'!F60)</f>
        <v>20000201</v>
      </c>
      <c r="F60" s="348" t="str">
        <f>IF('הזנה לתנאי סף'!BL60=1,'הזנה לתנאי סף'!G60,"")</f>
        <v>תל אביב -יפו</v>
      </c>
      <c r="G60" s="348" t="str">
        <f>IF($F60="","",'הזנה לתנאי סף'!H60)</f>
        <v>סינמטק</v>
      </c>
      <c r="H60" s="348" t="str">
        <f>IF($F60="","",'הזנה לתנאי סף'!I60)</f>
        <v>סינמטקים ופסטיבלים</v>
      </c>
      <c r="I60" s="349">
        <f>IF($F60="","",'הזנה לתנאי סף'!R60)</f>
        <v>525871</v>
      </c>
      <c r="J60" s="349">
        <f>IF($F60="","",'תחום תמיכה א'!P60)</f>
        <v>532964</v>
      </c>
      <c r="K60" s="177">
        <f>IF($F60="","",'הזנה לתנאי סף'!N60)</f>
        <v>1</v>
      </c>
      <c r="L60" s="177">
        <f>IF($F60="","",'הזנה לתנאי סף'!O60)</f>
        <v>1</v>
      </c>
      <c r="M60" s="177">
        <f>IF($F60="","",'הזנה לתנאי סף'!Q60)</f>
        <v>1</v>
      </c>
      <c r="N60" s="349">
        <f>IF($F60="","",'תחום תמיכה א'!AE60)</f>
        <v>14590.014488025099</v>
      </c>
      <c r="O60" s="178"/>
      <c r="P60" s="349">
        <f>IF($F60="","",'תחום תמיכה ב'!AC60)</f>
        <v>22477.725155133663</v>
      </c>
      <c r="Q60" s="349">
        <f>IF($F60="","",IF('תחום תמיכה ג'!O60="",0,'תחום תמיכה ג'!O60))</f>
        <v>9425.8715151508986</v>
      </c>
      <c r="R60" s="349">
        <f t="shared" si="0"/>
        <v>673.99576317223546</v>
      </c>
      <c r="S60" s="349">
        <f>IF($F60="","",'תחום תמיכה ב'!AE60)</f>
        <v>23151.720918305899</v>
      </c>
      <c r="T60" s="349">
        <f>IF($F60="","",IF(Q60='תחום תמיכה ג'!$Q$2,'תחום תמיכה ג'!$Q$2,IFERROR(SUMIF(N60:R60,"&gt;0"),'תחום תמיכה ג'!$Q$2)))</f>
        <v>47167.6069214819</v>
      </c>
      <c r="U60" s="349">
        <f>IF($F60="","",'הזנה לתנאי סף'!Y60)</f>
        <v>263000</v>
      </c>
      <c r="V60" s="350">
        <f>IF(F60="","",'הגבלה לסכום מבוקש '!AA60)</f>
        <v>51028.204814210345</v>
      </c>
      <c r="W60" s="349">
        <f t="shared" si="1"/>
        <v>12757.051203552586</v>
      </c>
      <c r="X60" s="349">
        <f>IF(F60="","",'הזנה לתנאי סף'!Z60)</f>
        <v>263000</v>
      </c>
      <c r="Y60" s="351" t="s">
        <v>3740</v>
      </c>
      <c r="Z60" s="352" t="str">
        <f>IFERROR(VLOOKUP(G60*1,#REF!,3,0),"")</f>
        <v/>
      </c>
      <c r="AA60" s="349" t="str">
        <f>IF(OR($F60="",Z60=""),"",IFERROR(IF(Z60&gt;V60,MIN(Z60,T60)-V60,0),'תחום תמיכה ג'!$Q$2))</f>
        <v/>
      </c>
      <c r="AB60" s="353"/>
      <c r="AC60" s="260" t="str">
        <f t="shared" si="3"/>
        <v/>
      </c>
      <c r="AD60" s="354"/>
      <c r="AE60" s="180"/>
      <c r="AF60" s="355" t="str">
        <f>IF($C60="","",IFERROR(VLOOKUP($C60,גיליון1!$A:$E,2,0),"לא הגיש בקשה שוטפת"))</f>
        <v>תמיכה בפסטיבל אנימציה 2020</v>
      </c>
      <c r="AG60" s="355" t="str">
        <f>IF($C60="","",IFERROR(VLOOKUP($C60,גיליון1!$A:$E,3,0),"לא הגיש בקשה שוטפת"))</f>
        <v>מועד</v>
      </c>
      <c r="AH60" s="355" t="str">
        <f>IF($C60="","",IFERROR(VLOOKUP($C60,גיליון1!$A:$E,4,0),"לא הגיש בקשה שוטפת"))</f>
        <v>19-42-02-28</v>
      </c>
      <c r="AI60" s="355" t="str">
        <f>IF($C60="","",IFERROR(VLOOKUP($C60,גיליון1!$A:$E,5,0),"לא הגיש בקשה שוטפת"))</f>
        <v>חוק  הקולנוע</v>
      </c>
      <c r="AJ60" s="355">
        <f t="shared" si="2"/>
        <v>0</v>
      </c>
      <c r="AK60" s="15"/>
      <c r="AL60" s="15" t="s">
        <v>192</v>
      </c>
    </row>
    <row r="61" spans="1:38" ht="285.75" x14ac:dyDescent="0.25">
      <c r="A61" s="346">
        <f>'הזנה לתנאי סף'!B61</f>
        <v>31</v>
      </c>
      <c r="B61" s="347">
        <f>IF($F61="","",'הזנה לתנאי סף'!C61)</f>
        <v>1001350418</v>
      </c>
      <c r="C61" s="347">
        <f>IF($F61="","",'הזנה לתנאי סף'!D61)</f>
        <v>1001279702</v>
      </c>
      <c r="D61" s="347">
        <f>IF($F61="","",'הזנה לתנאי סף'!E61)</f>
        <v>40000047</v>
      </c>
      <c r="E61" s="348">
        <f>IF($F61="","",'הזנה לתנאי סף'!F61)</f>
        <v>20000201</v>
      </c>
      <c r="F61" s="348" t="str">
        <f>IF('הזנה לתנאי סף'!BL61=1,'הזנה לתנאי סף'!G61,"")</f>
        <v>תל אביב -יפו</v>
      </c>
      <c r="G61" s="348" t="str">
        <f>IF($F61="","",'הזנה לתנאי סף'!H61)</f>
        <v>סינמטק</v>
      </c>
      <c r="H61" s="348" t="str">
        <f>IF($F61="","",'הזנה לתנאי סף'!I61)</f>
        <v>סינמטקים ופסטיבלים</v>
      </c>
      <c r="I61" s="349">
        <f>IF($F61="","",'הזנה לתנאי סף'!R61)</f>
        <v>24448000</v>
      </c>
      <c r="J61" s="349">
        <f>IF($F61="","",'תחום תמיכה א'!P61)</f>
        <v>25846000</v>
      </c>
      <c r="K61" s="177">
        <f>IF($F61="","",'הזנה לתנאי סף'!N61)</f>
        <v>1</v>
      </c>
      <c r="L61" s="177">
        <f>IF($F61="","",'הזנה לתנאי סף'!O61)</f>
        <v>1</v>
      </c>
      <c r="M61" s="177">
        <f>IF($F61="","",'הזנה לתנאי סף'!Q61)</f>
        <v>1</v>
      </c>
      <c r="N61" s="349">
        <f>IF($F61="","",'תחום תמיכה א'!AE61)</f>
        <v>1008095.0388626376</v>
      </c>
      <c r="O61" s="178"/>
      <c r="P61" s="349">
        <f>IF($F61="","",'תחום תמיכה ב'!AC61)</f>
        <v>2121373.0642230557</v>
      </c>
      <c r="Q61" s="349">
        <f>IF($F61="","",IF('תחום תמיכה ג'!O61="",0,'תחום תמיכה ג'!O61))</f>
        <v>889582.45556720253</v>
      </c>
      <c r="R61" s="349">
        <f t="shared" si="0"/>
        <v>63609.48216628097</v>
      </c>
      <c r="S61" s="349">
        <f>IF($F61="","",'תחום תמיכה ב'!AE61)</f>
        <v>2184982.5463893367</v>
      </c>
      <c r="T61" s="349">
        <f>IF($F61="","",IF(Q61='תחום תמיכה ג'!$Q$2,'תחום תמיכה ג'!$Q$2,IFERROR(SUMIF(N61:R61,"&gt;0"),'תחום תמיכה ג'!$Q$2)))</f>
        <v>4082660.0408191769</v>
      </c>
      <c r="U61" s="349">
        <f>IF($F61="","",'הזנה לתנאי סף'!Y61)</f>
        <v>213400</v>
      </c>
      <c r="V61" s="350">
        <f>IF(F61="","",'הגבלה לסכום מבוקש '!AA61)</f>
        <v>213400</v>
      </c>
      <c r="W61" s="349">
        <f t="shared" si="1"/>
        <v>53350</v>
      </c>
      <c r="X61" s="349">
        <f>IF(F61="","",'הזנה לתנאי סף'!Z61)</f>
        <v>213400</v>
      </c>
      <c r="Y61" s="351" t="s">
        <v>3740</v>
      </c>
      <c r="Z61" s="352" t="str">
        <f>IFERROR(VLOOKUP(G61*1,#REF!,3,0),"")</f>
        <v/>
      </c>
      <c r="AA61" s="349" t="str">
        <f>IF(OR($F61="",Z61=""),"",IFERROR(IF(Z61&gt;V61,MIN(Z61,T61)-V61,0),'תחום תמיכה ג'!$Q$2))</f>
        <v/>
      </c>
      <c r="AB61" s="353"/>
      <c r="AC61" s="260" t="str">
        <f t="shared" si="3"/>
        <v/>
      </c>
      <c r="AD61" s="354"/>
      <c r="AE61" s="180"/>
      <c r="AF61" s="355" t="str">
        <f>IF($C61="","",IFERROR(VLOOKUP($C61,גיליון1!$A:$E,2,0),"לא הגיש בקשה שוטפת"))</f>
        <v>תמיכה בסינמטק ת"א 2020</v>
      </c>
      <c r="AG61" s="355" t="str">
        <f>IF($C61="","",IFERROR(VLOOKUP($C61,גיליון1!$A:$E,3,0),"לא הגיש בקשה שוטפת"))</f>
        <v>מקדמ</v>
      </c>
      <c r="AH61" s="355" t="str">
        <f>IF($C61="","",IFERROR(VLOOKUP($C61,גיליון1!$A:$E,4,0),"לא הגיש בקשה שוטפת"))</f>
        <v>19-42-02-28</v>
      </c>
      <c r="AI61" s="355" t="str">
        <f>IF($C61="","",IFERROR(VLOOKUP($C61,גיליון1!$A:$E,5,0),"לא הגיש בקשה שוטפת"))</f>
        <v>חוק  הקולנוע</v>
      </c>
      <c r="AJ61" s="355">
        <f t="shared" si="2"/>
        <v>1</v>
      </c>
      <c r="AK61" s="15"/>
      <c r="AL61" s="15" t="s">
        <v>199</v>
      </c>
    </row>
    <row r="62" spans="1:38" ht="285.75" x14ac:dyDescent="0.25">
      <c r="A62" s="346">
        <f>'הזנה לתנאי סף'!B62</f>
        <v>32</v>
      </c>
      <c r="B62" s="347">
        <f>IF($F62="","",'הזנה לתנאי סף'!C62)</f>
        <v>1001350420</v>
      </c>
      <c r="C62" s="347">
        <f>IF($F62="","",'הזנה לתנאי סף'!D62)</f>
        <v>1001279677</v>
      </c>
      <c r="D62" s="347">
        <f>IF($F62="","",'הזנה לתנאי סף'!E62)</f>
        <v>40000047</v>
      </c>
      <c r="E62" s="348">
        <f>IF($F62="","",'הזנה לתנאי סף'!F62)</f>
        <v>20000201</v>
      </c>
      <c r="F62" s="348" t="str">
        <f>IF('הזנה לתנאי סף'!BL62=1,'הזנה לתנאי סף'!G62,"")</f>
        <v>תל אביב -יפו</v>
      </c>
      <c r="G62" s="348" t="str">
        <f>IF($F62="","",'הזנה לתנאי סף'!H62)</f>
        <v>סינמטק</v>
      </c>
      <c r="H62" s="348" t="str">
        <f>IF($F62="","",'הזנה לתנאי סף'!I62)</f>
        <v>סינמטקים ופסטיבלים</v>
      </c>
      <c r="I62" s="349">
        <f>IF($F62="","",'הזנה לתנאי סף'!R62)</f>
        <v>582322</v>
      </c>
      <c r="J62" s="349">
        <f>IF($F62="","",'תחום תמיכה א'!P62)</f>
        <v>747414</v>
      </c>
      <c r="K62" s="177">
        <f>IF($F62="","",'הזנה לתנאי סף'!N62)</f>
        <v>1</v>
      </c>
      <c r="L62" s="177">
        <f>IF($F62="","",'הזנה לתנאי סף'!O62)</f>
        <v>1</v>
      </c>
      <c r="M62" s="177">
        <f>IF($F62="","",'הזנה לתנאי סף'!Q62)</f>
        <v>1</v>
      </c>
      <c r="N62" s="349">
        <f>IF($F62="","",'תחום תמיכה א'!AE62)</f>
        <v>23065.975714931799</v>
      </c>
      <c r="O62" s="178"/>
      <c r="P62" s="349">
        <f>IF($F62="","",'תחום תמיכה ב'!AC62)</f>
        <v>31633.106264361832</v>
      </c>
      <c r="Q62" s="349">
        <f>IF($F62="","",IF('תחום תמיכה ג'!O62="",0,'תחום תמיכה ג'!O62))</f>
        <v>13265.114383912247</v>
      </c>
      <c r="R62" s="349">
        <f t="shared" si="0"/>
        <v>948.52034407438987</v>
      </c>
      <c r="S62" s="349">
        <f>IF($F62="","",'תחום תמיכה ב'!AE62)</f>
        <v>32581.626608436221</v>
      </c>
      <c r="T62" s="349">
        <f>IF($F62="","",IF(Q62='תחום תמיכה ג'!$Q$2,'תחום תמיכה ג'!$Q$2,IFERROR(SUMIF(N62:R62,"&gt;0"),'תחום תמיכה ג'!$Q$2)))</f>
        <v>68912.716707280269</v>
      </c>
      <c r="U62" s="349">
        <f>IF($F62="","",'הזנה לתנאי סף'!Y62)</f>
        <v>203500</v>
      </c>
      <c r="V62" s="350">
        <f>IF(F62="","",'הגבלה לסכום מבוקש '!AA62)</f>
        <v>74346.924585396875</v>
      </c>
      <c r="W62" s="349">
        <f t="shared" si="1"/>
        <v>18586.731146349219</v>
      </c>
      <c r="X62" s="349">
        <f>IF(F62="","",'הזנה לתנאי סף'!Z62)</f>
        <v>203500</v>
      </c>
      <c r="Y62" s="351" t="s">
        <v>3740</v>
      </c>
      <c r="Z62" s="352" t="str">
        <f>IFERROR(VLOOKUP(G62*1,#REF!,3,0),"")</f>
        <v/>
      </c>
      <c r="AA62" s="349" t="str">
        <f>IF(OR($F62="",Z62=""),"",IFERROR(IF(Z62&gt;V62,MIN(Z62,T62)-V62,0),'תחום תמיכה ג'!$Q$2))</f>
        <v/>
      </c>
      <c r="AB62" s="353"/>
      <c r="AC62" s="260" t="str">
        <f t="shared" si="3"/>
        <v/>
      </c>
      <c r="AD62" s="354"/>
      <c r="AE62" s="180"/>
      <c r="AF62" s="355" t="str">
        <f>IF($C62="","",IFERROR(VLOOKUP($C62,גיליון1!$A:$E,2,0),"לא הגיש בקשה שוטפת"))</f>
        <v>תמיכה בפסטיבל גאה 2020</v>
      </c>
      <c r="AG62" s="355" t="str">
        <f>IF($C62="","",IFERROR(VLOOKUP($C62,גיליון1!$A:$E,3,0),"לא הגיש בקשה שוטפת"))</f>
        <v>מועד</v>
      </c>
      <c r="AH62" s="355" t="str">
        <f>IF($C62="","",IFERROR(VLOOKUP($C62,גיליון1!$A:$E,4,0),"לא הגיש בקשה שוטפת"))</f>
        <v>19-42-02-28</v>
      </c>
      <c r="AI62" s="355" t="str">
        <f>IF($C62="","",IFERROR(VLOOKUP($C62,גיליון1!$A:$E,5,0),"לא הגיש בקשה שוטפת"))</f>
        <v>חוק  הקולנוע</v>
      </c>
      <c r="AJ62" s="355">
        <f t="shared" si="2"/>
        <v>0</v>
      </c>
      <c r="AK62" s="15"/>
      <c r="AL62" s="15" t="s">
        <v>251</v>
      </c>
    </row>
    <row r="63" spans="1:38" ht="285.75" x14ac:dyDescent="0.25">
      <c r="A63" s="346">
        <f>'הזנה לתנאי סף'!B63</f>
        <v>33</v>
      </c>
      <c r="B63" s="347">
        <f>IF($F63="","",'הזנה לתנאי סף'!C63)</f>
        <v>1001346673</v>
      </c>
      <c r="C63" s="347">
        <f>IF($F63="","",'הזנה לתנאי סף'!D63)</f>
        <v>1001280582</v>
      </c>
      <c r="D63" s="347">
        <f>IF($F63="","",'הזנה לתנאי סף'!E63)</f>
        <v>40000026</v>
      </c>
      <c r="E63" s="348">
        <f>IF($F63="","",'הזנה לתנאי סף'!F63)</f>
        <v>20000182</v>
      </c>
      <c r="F63" s="348" t="str">
        <f>IF('הזנה לתנאי סף'!BL63=1,'הזנה לתנאי סף'!G63,"")</f>
        <v>חיפה</v>
      </c>
      <c r="G63" s="348" t="str">
        <f>IF($F63="","",'הזנה לתנאי סף'!H63)</f>
        <v>מוזיאוני חיפה</v>
      </c>
      <c r="H63" s="348" t="str">
        <f>IF($F63="","",'הזנה לתנאי סף'!I63)</f>
        <v>מוזיאונים</v>
      </c>
      <c r="I63" s="349">
        <f>IF($F63="","",'הזנה לתנאי סף'!R63)</f>
        <v>19868686</v>
      </c>
      <c r="J63" s="349">
        <f>IF($F63="","",'תחום תמיכה א'!P63)</f>
        <v>19332466</v>
      </c>
      <c r="K63" s="177">
        <f>IF($F63="","",'הזנה לתנאי סף'!N63)</f>
        <v>1</v>
      </c>
      <c r="L63" s="177">
        <f>IF($F63="","",'הזנה לתנאי סף'!O63)</f>
        <v>1</v>
      </c>
      <c r="M63" s="177">
        <f>IF($F63="","",'הזנה לתנאי סף'!Q63)</f>
        <v>1</v>
      </c>
      <c r="N63" s="349">
        <f>IF($F63="","",'תחום תמיכה א'!AE63)</f>
        <v>312198.5641130585</v>
      </c>
      <c r="O63" s="178"/>
      <c r="P63" s="349">
        <f>IF($F63="","",'תחום תמיכה ב'!AC63)</f>
        <v>295538.37234245572</v>
      </c>
      <c r="Q63" s="349">
        <f>IF($F63="","",IF('תחום תמיכה ג'!O63="",0,'תחום תמיכה ג'!O63))</f>
        <v>63874.910362315612</v>
      </c>
      <c r="R63" s="349">
        <f t="shared" si="0"/>
        <v>8861.7335357061238</v>
      </c>
      <c r="S63" s="349">
        <f>IF($F63="","",'תחום תמיכה ב'!AE63)</f>
        <v>304400.10587816185</v>
      </c>
      <c r="T63" s="349">
        <f>IF($F63="","",IF(Q63='תחום תמיכה ג'!$Q$2,'תחום תמיכה ג'!$Q$2,IFERROR(SUMIF(N63:R63,"&gt;0"),'תחום תמיכה ג'!$Q$2)))</f>
        <v>680473.58035353594</v>
      </c>
      <c r="U63" s="349">
        <f>IF($F63="","",'הזנה לתנאי סף'!Y63)</f>
        <v>4000000</v>
      </c>
      <c r="V63" s="350">
        <f>IF(F63="","",'הגבלה לסכום מבוקש '!AA63)</f>
        <v>731260.39608166448</v>
      </c>
      <c r="W63" s="349">
        <f t="shared" si="1"/>
        <v>182815.09902041612</v>
      </c>
      <c r="X63" s="349">
        <f>IF(F63="","",'הזנה לתנאי סף'!Z63)</f>
        <v>4000000</v>
      </c>
      <c r="Y63" s="351" t="s">
        <v>3740</v>
      </c>
      <c r="Z63" s="352" t="str">
        <f>IFERROR(VLOOKUP(G63*1,#REF!,3,0),"")</f>
        <v/>
      </c>
      <c r="AA63" s="349" t="str">
        <f>IF(OR($F63="",Z63=""),"",IFERROR(IF(Z63&gt;V63,MIN(Z63,T63)-V63,0),'תחום תמיכה ג'!$Q$2))</f>
        <v/>
      </c>
      <c r="AB63" s="353"/>
      <c r="AC63" s="260" t="str">
        <f t="shared" si="3"/>
        <v/>
      </c>
      <c r="AD63" s="354"/>
      <c r="AE63" s="180"/>
      <c r="AF63" s="355" t="str">
        <f>IF($C63="","",IFERROR(VLOOKUP($C63,גיליון1!$A:$E,2,0),"לא הגיש בקשה שוטפת"))</f>
        <v>תמיכה שוטפת 2020</v>
      </c>
      <c r="AG63" s="355" t="str">
        <f>IF($C63="","",IFERROR(VLOOKUP($C63,גיליון1!$A:$E,3,0),"לא הגיש בקשה שוטפת"))</f>
        <v>חויב</v>
      </c>
      <c r="AH63" s="355" t="str">
        <f>IF($C63="","",IFERROR(VLOOKUP($C63,גיליון1!$A:$E,4,0),"לא הגיש בקשה שוטפת"))</f>
        <v>19-42-02-18</v>
      </c>
      <c r="AI63" s="355" t="str">
        <f>IF($C63="","",IFERROR(VLOOKUP($C63,גיליון1!$A:$E,5,0),"לא הגיש בקשה שוטפת"))</f>
        <v>מוזיאונים ואמנות פלס</v>
      </c>
      <c r="AJ63" s="355">
        <f t="shared" si="2"/>
        <v>0</v>
      </c>
      <c r="AK63" s="15"/>
      <c r="AL63" s="15" t="s">
        <v>213</v>
      </c>
    </row>
    <row r="64" spans="1:38" ht="285.75" x14ac:dyDescent="0.25">
      <c r="A64" s="346">
        <f>'הזנה לתנאי סף'!B64</f>
        <v>34</v>
      </c>
      <c r="B64" s="347">
        <f>IF($F64="","",'הזנה לתנאי סף'!C64)</f>
        <v>1001349871</v>
      </c>
      <c r="C64" s="347">
        <f>IF($F64="","",'הזנה לתנאי סף'!D64)</f>
        <v>1001270373</v>
      </c>
      <c r="D64" s="347">
        <f>IF($F64="","",'הזנה לתנאי סף'!E64)</f>
        <v>40000076</v>
      </c>
      <c r="E64" s="348">
        <f>IF($F64="","",'הזנה לתנאי סף'!F64)</f>
        <v>20000159</v>
      </c>
      <c r="F64" s="348" t="str">
        <f>IF('הזנה לתנאי סף'!BL64=1,'הזנה לתנאי סף'!G64,"")</f>
        <v>ירושלים</v>
      </c>
      <c r="G64" s="348" t="str">
        <f>IF($F64="","",'הזנה לתנאי סף'!H64)</f>
        <v>רננות</v>
      </c>
      <c r="H64" s="348" t="str">
        <f>IF($F64="","",'הזנה לתנאי סף'!I64)</f>
        <v>חזנות</v>
      </c>
      <c r="I64" s="349">
        <f>IF($F64="","",'הזנה לתנאי סף'!R64)</f>
        <v>263862</v>
      </c>
      <c r="J64" s="349">
        <f>IF($F64="","",'תחום תמיכה א'!P64)</f>
        <v>264796</v>
      </c>
      <c r="K64" s="177">
        <f>IF($F64="","",'הזנה לתנאי סף'!N64)</f>
        <v>1</v>
      </c>
      <c r="L64" s="177">
        <f>IF($F64="","",'הזנה לתנאי סף'!O64)</f>
        <v>1</v>
      </c>
      <c r="M64" s="177">
        <f>IF($F64="","",'הזנה לתנאי סף'!Q64)</f>
        <v>1</v>
      </c>
      <c r="N64" s="349">
        <f>IF($F64="","",'תחום תמיכה א'!AE64)</f>
        <v>5286.2265551243472</v>
      </c>
      <c r="O64" s="178"/>
      <c r="P64" s="349">
        <f>IF($F64="","",'תחום תמיכה ב'!AC64)</f>
        <v>5997.9520785319464</v>
      </c>
      <c r="Q64" s="349">
        <f>IF($F64="","",IF('תחום תמיכה ג'!O64="",0,'תחום תמיכה ג'!O64))</f>
        <v>1036.8562612212261</v>
      </c>
      <c r="R64" s="349">
        <f t="shared" si="0"/>
        <v>179.84890645027554</v>
      </c>
      <c r="S64" s="349">
        <f>IF($F64="","",'תחום תמיכה ב'!AE64)</f>
        <v>6177.800984982222</v>
      </c>
      <c r="T64" s="349">
        <f>IF($F64="","",IF(Q64='תחום תמיכה ג'!$Q$2,'תחום תמיכה ג'!$Q$2,IFERROR(SUMIF(N64:R64,"&gt;0"),'תחום תמיכה ג'!$Q$2)))</f>
        <v>12500.883801327796</v>
      </c>
      <c r="U64" s="349">
        <f>IF($F64="","",'הזנה לתנאי סף'!Y64)</f>
        <v>200000</v>
      </c>
      <c r="V64" s="350">
        <f>IF(F64="","",'הגבלה לסכום מבוקש '!AA64)</f>
        <v>13531.006193793677</v>
      </c>
      <c r="W64" s="349">
        <f t="shared" si="1"/>
        <v>3382.7515484484193</v>
      </c>
      <c r="X64" s="349">
        <f>IF(F64="","",'הזנה לתנאי סף'!Z64)</f>
        <v>100000</v>
      </c>
      <c r="Y64" s="351" t="s">
        <v>3740</v>
      </c>
      <c r="Z64" s="352" t="str">
        <f>IFERROR(VLOOKUP(G64*1,#REF!,3,0),"")</f>
        <v/>
      </c>
      <c r="AA64" s="349" t="str">
        <f>IF(OR($F64="",Z64=""),"",IFERROR(IF(Z64&gt;V64,MIN(Z64,T64)-V64,0),'תחום תמיכה ג'!$Q$2))</f>
        <v/>
      </c>
      <c r="AB64" s="353"/>
      <c r="AC64" s="260" t="str">
        <f t="shared" si="3"/>
        <v/>
      </c>
      <c r="AD64" s="354"/>
      <c r="AE64" s="180"/>
      <c r="AF64" s="355" t="str">
        <f>IF($C64="","",IFERROR(VLOOKUP($C64,גיליון1!$A:$E,2,0),"לא הגיש בקשה שוטפת"))</f>
        <v>בקשת תמיכה בפעילות חזנית עניפה של המכון</v>
      </c>
      <c r="AG64" s="355" t="str">
        <f>IF($C64="","",IFERROR(VLOOKUP($C64,גיליון1!$A:$E,3,0),"לא הגיש בקשה שוטפת"))</f>
        <v>מועד</v>
      </c>
      <c r="AH64" s="355" t="str">
        <f>IF($C64="","",IFERROR(VLOOKUP($C64,גיליון1!$A:$E,4,0),"לא הגיש בקשה שוטפת"))</f>
        <v>19-42-02-16</v>
      </c>
      <c r="AI64" s="355" t="str">
        <f>IF($C64="","",IFERROR(VLOOKUP($C64,גיליון1!$A:$E,5,0),"לא הגיש בקשה שוטפת"))</f>
        <v>מוסיקה</v>
      </c>
      <c r="AJ64" s="355">
        <f t="shared" si="2"/>
        <v>0</v>
      </c>
      <c r="AK64" s="15"/>
      <c r="AL64" s="15" t="s">
        <v>180</v>
      </c>
    </row>
    <row r="65" spans="1:38" ht="285.75" x14ac:dyDescent="0.25">
      <c r="A65" s="346">
        <f>'הזנה לתנאי סף'!B65</f>
        <v>35</v>
      </c>
      <c r="B65" s="347">
        <f>IF($F65="","",'הזנה לתנאי סף'!C65)</f>
        <v>1001350106</v>
      </c>
      <c r="C65" s="347">
        <f>IF($F65="","",'הזנה לתנאי סף'!D65)</f>
        <v>1001288944</v>
      </c>
      <c r="D65" s="347">
        <f>IF($F65="","",'הזנה לתנאי סף'!E65)</f>
        <v>40000076</v>
      </c>
      <c r="E65" s="348">
        <f>IF($F65="","",'הזנה לתנאי סף'!F65)</f>
        <v>20000159</v>
      </c>
      <c r="F65" s="348" t="str">
        <f>IF('הזנה לתנאי סף'!BL65=1,'הזנה לתנאי סף'!G65,"")</f>
        <v>ירושלים</v>
      </c>
      <c r="G65" s="348" t="str">
        <f>IF($F65="","",'הזנה לתנאי סף'!H65)</f>
        <v>רננות</v>
      </c>
      <c r="H65" s="348" t="str">
        <f>IF($F65="","",'הזנה לתנאי סף'!I65)</f>
        <v>קבוצות מוסיקה</v>
      </c>
      <c r="I65" s="349">
        <f>IF($F65="","",'הזנה לתנאי סף'!R65)</f>
        <v>56450</v>
      </c>
      <c r="J65" s="349">
        <f>IF($F65="","",'תחום תמיכה א'!P65)</f>
        <v>77642</v>
      </c>
      <c r="K65" s="177">
        <f>IF($F65="","",'הזנה לתנאי סף'!N65)</f>
        <v>1</v>
      </c>
      <c r="L65" s="177">
        <f>IF($F65="","",'הזנה לתנאי סף'!O65)</f>
        <v>1</v>
      </c>
      <c r="M65" s="177">
        <f>IF($F65="","",'הזנה לתנאי סף'!Q65)</f>
        <v>1</v>
      </c>
      <c r="N65" s="349">
        <f>IF($F65="","",'תחום תמיכה א'!AE65)</f>
        <v>4244.2612679435424</v>
      </c>
      <c r="O65" s="178"/>
      <c r="P65" s="349">
        <f>IF($F65="","",'תחום תמיכה ב'!AC65)</f>
        <v>9621.2650148453249</v>
      </c>
      <c r="Q65" s="349">
        <f>IF($F65="","",IF('תחום תמיכה ג'!O65="",0,'תחום תמיכה ג'!O65))</f>
        <v>1663.212500015971</v>
      </c>
      <c r="R65" s="349">
        <f t="shared" si="0"/>
        <v>288.49413415316121</v>
      </c>
      <c r="S65" s="349">
        <f>IF($F65="","",'תחום תמיכה ב'!AE65)</f>
        <v>9909.7591489984861</v>
      </c>
      <c r="T65" s="349">
        <f>IF($F65="","",IF(Q65='תחום תמיכה ג'!$Q$2,'תחום תמיכה ג'!$Q$2,IFERROR(SUMIF(N65:R65,"&gt;0"),'תחום תמיכה ג'!$Q$2)))</f>
        <v>15817.232916957999</v>
      </c>
      <c r="U65" s="349">
        <f>IF($F65="","",'הזנה לתנאי סף'!Y65)</f>
        <v>100000</v>
      </c>
      <c r="V65" s="350">
        <f>IF(F65="","",'הגבלה לסכום מבוקש '!AA65)</f>
        <v>17467.71521619023</v>
      </c>
      <c r="W65" s="349">
        <f t="shared" si="1"/>
        <v>4366.9288040475576</v>
      </c>
      <c r="X65" s="349">
        <f>IF(F65="","",'הזנה לתנאי סף'!Z65)</f>
        <v>100000</v>
      </c>
      <c r="Y65" s="351" t="s">
        <v>3740</v>
      </c>
      <c r="Z65" s="352" t="str">
        <f>IFERROR(VLOOKUP(G65*1,#REF!,3,0),"")</f>
        <v/>
      </c>
      <c r="AA65" s="349" t="str">
        <f>IF(OR($F65="",Z65=""),"",IFERROR(IF(Z65&gt;V65,MIN(Z65,T65)-V65,0),'תחום תמיכה ג'!$Q$2))</f>
        <v/>
      </c>
      <c r="AB65" s="353"/>
      <c r="AC65" s="260" t="str">
        <f t="shared" si="3"/>
        <v/>
      </c>
      <c r="AD65" s="354"/>
      <c r="AE65" s="180"/>
      <c r="AF65" s="355" t="str">
        <f>IF($C65="","",IFERROR(VLOOKUP($C65,גיליון1!$A:$E,2,0),"לא הגיש בקשה שוטפת"))</f>
        <v>תמיכה בהרכב - תזמורת הלאדינו הישראלית</v>
      </c>
      <c r="AG65" s="355" t="str">
        <f>IF($C65="","",IFERROR(VLOOKUP($C65,גיליון1!$A:$E,3,0),"לא הגיש בקשה שוטפת"))</f>
        <v>טיוט</v>
      </c>
      <c r="AH65" s="355" t="str">
        <f>IF($C65="","",IFERROR(VLOOKUP($C65,גיליון1!$A:$E,4,0),"לא הגיש בקשה שוטפת"))</f>
        <v>19-42-02-16</v>
      </c>
      <c r="AI65" s="355" t="str">
        <f>IF($C65="","",IFERROR(VLOOKUP($C65,גיליון1!$A:$E,5,0),"לא הגיש בקשה שוטפת"))</f>
        <v>מוסיקה</v>
      </c>
      <c r="AJ65" s="355">
        <f t="shared" si="2"/>
        <v>0</v>
      </c>
      <c r="AK65" s="15"/>
      <c r="AL65" s="15" t="s">
        <v>188</v>
      </c>
    </row>
    <row r="66" spans="1:38" ht="285.75" x14ac:dyDescent="0.25">
      <c r="A66" s="346">
        <f>'הזנה לתנאי סף'!B66</f>
        <v>36</v>
      </c>
      <c r="B66" s="347">
        <f>IF($F66="","",'הזנה לתנאי סף'!C66)</f>
        <v>1001348855</v>
      </c>
      <c r="C66" s="347">
        <f>IF($F66="","",'הזנה לתנאי סף'!D66)</f>
        <v>1001272029</v>
      </c>
      <c r="D66" s="347">
        <f>IF($F66="","",'הזנה לתנאי סף'!E66)</f>
        <v>40000107</v>
      </c>
      <c r="E66" s="348">
        <f>IF($F66="","",'הזנה לתנאי סף'!F66)</f>
        <v>20000139</v>
      </c>
      <c r="F66" s="348" t="str">
        <f>IF('הזנה לתנאי סף'!BL66=1,'הזנה לתנאי סף'!G66,"")</f>
        <v>מטה אשר</v>
      </c>
      <c r="G66" s="348" t="str">
        <f>IF($F66="","",'הזנה לתנאי סף'!H66)</f>
        <v>בית לוחמי הגטאות</v>
      </c>
      <c r="H66" s="348" t="str">
        <f>IF($F66="","",'הזנה לתנאי סף'!I66)</f>
        <v>מוזיאונים</v>
      </c>
      <c r="I66" s="349">
        <f>IF($F66="","",'הזנה לתנאי סף'!R66)</f>
        <v>13932795</v>
      </c>
      <c r="J66" s="349">
        <f>IF($F66="","",'תחום תמיכה א'!P66)</f>
        <v>15361998</v>
      </c>
      <c r="K66" s="177">
        <f>IF($F66="","",'הזנה לתנאי סף'!N66)</f>
        <v>0</v>
      </c>
      <c r="L66" s="177">
        <f>IF($F66="","",'הזנה לתנאי סף'!O66)</f>
        <v>1</v>
      </c>
      <c r="M66" s="177">
        <f>IF($F66="","",'הזנה לתנאי סף'!Q66)</f>
        <v>1</v>
      </c>
      <c r="N66" s="349">
        <f>IF($F66="","",'תחום תמיכה א'!AE66)</f>
        <v>699334.20647721842</v>
      </c>
      <c r="O66" s="178"/>
      <c r="P66" s="349">
        <f>IF($F66="","",'תחום תמיכה ב'!AC66)</f>
        <v>1646909.8225506288</v>
      </c>
      <c r="Q66" s="349">
        <f>IF($F66="","",IF('תחום תמיכה ג'!O66="",0,'תחום תמיכה ג'!O66))</f>
        <v>0</v>
      </c>
      <c r="R66" s="349">
        <f t="shared" si="0"/>
        <v>49382.677075413289</v>
      </c>
      <c r="S66" s="349">
        <f>IF($F66="","",'תחום תמיכה ב'!AE66)</f>
        <v>1696292.4996260421</v>
      </c>
      <c r="T66" s="349">
        <f>IF($F66="","",IF(Q66='תחום תמיכה ג'!$Q$2,'תחום תמיכה ג'!$Q$2,IFERROR(SUMIF(N66:R66,"&gt;0"),'תחום תמיכה ג'!$Q$2)))</f>
        <v>2395626.7061032606</v>
      </c>
      <c r="U66" s="349">
        <f>IF($F66="","",'הזנה לתנאי סף'!Y66)</f>
        <v>2800000</v>
      </c>
      <c r="V66" s="350">
        <f>IF(F66="","",'הגבלה לסכום מבוקש '!AA66)</f>
        <v>2678004.2578462311</v>
      </c>
      <c r="W66" s="349">
        <f t="shared" si="1"/>
        <v>669501.06446155778</v>
      </c>
      <c r="X66" s="349">
        <f>IF(F66="","",'הזנה לתנאי סף'!Z66)</f>
        <v>2800000</v>
      </c>
      <c r="Y66" s="351" t="s">
        <v>3740</v>
      </c>
      <c r="Z66" s="352" t="str">
        <f>IFERROR(VLOOKUP(G66*1,#REF!,3,0),"")</f>
        <v/>
      </c>
      <c r="AA66" s="349" t="str">
        <f>IF(OR($F66="",Z66=""),"",IFERROR(IF(Z66&gt;V66,MIN(Z66,T66)-V66,0),'תחום תמיכה ג'!$Q$2))</f>
        <v/>
      </c>
      <c r="AB66" s="353"/>
      <c r="AC66" s="260" t="str">
        <f t="shared" si="3"/>
        <v/>
      </c>
      <c r="AD66" s="354"/>
      <c r="AE66" s="180"/>
      <c r="AF66" s="355" t="str">
        <f>IF($C66="","",IFERROR(VLOOKUP($C66,גיליון1!$A:$E,2,0),"לא הגיש בקשה שוטפת"))</f>
        <v>תמיכה שוטפת 2020</v>
      </c>
      <c r="AG66" s="355" t="str">
        <f>IF($C66="","",IFERROR(VLOOKUP($C66,גיליון1!$A:$E,3,0),"לא הגיש בקשה שוטפת"))</f>
        <v>חויב</v>
      </c>
      <c r="AH66" s="355" t="str">
        <f>IF($C66="","",IFERROR(VLOOKUP($C66,גיליון1!$A:$E,4,0),"לא הגיש בקשה שוטפת"))</f>
        <v>19-42-02-18</v>
      </c>
      <c r="AI66" s="355" t="str">
        <f>IF($C66="","",IFERROR(VLOOKUP($C66,גיליון1!$A:$E,5,0),"לא הגיש בקשה שוטפת"))</f>
        <v>מוזיאונים ואמנות פלס</v>
      </c>
      <c r="AJ66" s="355">
        <f t="shared" si="2"/>
        <v>0</v>
      </c>
      <c r="AK66" s="15"/>
      <c r="AL66" s="15" t="s">
        <v>3</v>
      </c>
    </row>
    <row r="67" spans="1:38" ht="285.75" x14ac:dyDescent="0.25">
      <c r="A67" s="346">
        <f>'הזנה לתנאי סף'!B67</f>
        <v>37</v>
      </c>
      <c r="B67" s="347">
        <f>IF($F67="","",'הזנה לתנאי סף'!C67)</f>
        <v>1001347716</v>
      </c>
      <c r="C67" s="347">
        <f>IF($F67="","",'הזנה לתנאי סף'!D67)</f>
        <v>1001280063</v>
      </c>
      <c r="D67" s="347">
        <f>IF($F67="","",'הזנה לתנאי סף'!E67)</f>
        <v>40000157</v>
      </c>
      <c r="E67" s="348">
        <f>IF($F67="","",'הזנה לתנאי סף'!F67)</f>
        <v>20000201</v>
      </c>
      <c r="F67" s="348" t="str">
        <f>IF('הזנה לתנאי סף'!BL67=1,'הזנה לתנאי סף'!G67,"")</f>
        <v>תל אביב -יפו</v>
      </c>
      <c r="G67" s="348" t="str">
        <f>IF($F67="","",'הזנה לתנאי סף'!H67)</f>
        <v>מרכז סוזן דלל</v>
      </c>
      <c r="H67" s="348" t="str">
        <f>IF($F67="","",'הזנה לתנאי סף'!I67)</f>
        <v>מחול</v>
      </c>
      <c r="I67" s="349">
        <f>IF($F67="","",'הזנה לתנאי סף'!R67)</f>
        <v>1201655</v>
      </c>
      <c r="J67" s="349">
        <f>IF($F67="","",'תחום תמיכה א'!P67)</f>
        <v>1220134</v>
      </c>
      <c r="K67" s="177">
        <f>IF($F67="","",'הזנה לתנאי סף'!N67)</f>
        <v>1</v>
      </c>
      <c r="L67" s="177">
        <f>IF($F67="","",'הזנה לתנאי סף'!O67)</f>
        <v>1</v>
      </c>
      <c r="M67" s="177">
        <f>IF($F67="","",'הזנה לתנאי סף'!Q67)</f>
        <v>1</v>
      </c>
      <c r="N67" s="349">
        <f>IF($F67="","",'תחום תמיכה א'!AE67)</f>
        <v>41935.84672023249</v>
      </c>
      <c r="O67" s="178"/>
      <c r="P67" s="349">
        <f>IF($F67="","",'תחום תמיכה ב'!AC67)</f>
        <v>80964.196480589249</v>
      </c>
      <c r="Q67" s="349">
        <f>IF($F67="","",IF('תחום תמיכה ג'!O67="",0,'תחום תמיכה ג'!O67))</f>
        <v>33951.750370040005</v>
      </c>
      <c r="R67" s="349">
        <f t="shared" si="0"/>
        <v>2427.7156616134889</v>
      </c>
      <c r="S67" s="349">
        <f>IF($F67="","",'תחום תמיכה ב'!AE67)</f>
        <v>83391.912142202738</v>
      </c>
      <c r="T67" s="349">
        <f>IF($F67="","",IF(Q67='תחום תמיכה ג'!$Q$2,'תחום תמיכה ג'!$Q$2,IFERROR(SUMIF(N67:R67,"&gt;0"),'תחום תמיכה ג'!$Q$2)))</f>
        <v>159279.50923247525</v>
      </c>
      <c r="U67" s="349">
        <f>IF($F67="","",'הזנה לתנאי סף'!Y67)</f>
        <v>116000</v>
      </c>
      <c r="V67" s="350">
        <f>IF(F67="","",'הגבלה לסכום מבוקש '!AA67)</f>
        <v>116000</v>
      </c>
      <c r="W67" s="349">
        <f t="shared" si="1"/>
        <v>29000</v>
      </c>
      <c r="X67" s="349">
        <f>IF(F67="","",'הזנה לתנאי סף'!Z67)</f>
        <v>70000</v>
      </c>
      <c r="Y67" s="351" t="s">
        <v>3740</v>
      </c>
      <c r="Z67" s="352" t="str">
        <f>IFERROR(VLOOKUP(G67*1,#REF!,3,0),"")</f>
        <v/>
      </c>
      <c r="AA67" s="349" t="str">
        <f>IF(OR($F67="",Z67=""),"",IFERROR(IF(Z67&gt;V67,MIN(Z67,T67)-V67,0),'תחום תמיכה ג'!$Q$2))</f>
        <v/>
      </c>
      <c r="AB67" s="353"/>
      <c r="AC67" s="260" t="str">
        <f t="shared" si="3"/>
        <v/>
      </c>
      <c r="AD67" s="354"/>
      <c r="AE67" s="180"/>
      <c r="AF67" s="355" t="str">
        <f>IF($C67="","",IFERROR(VLOOKUP($C67,גיליון1!$A:$E,2,0),"לא הגיש בקשה שוטפת"))</f>
        <v>תל אביב דאנס 2020</v>
      </c>
      <c r="AG67" s="355" t="str">
        <f>IF($C67="","",IFERROR(VLOOKUP($C67,גיליון1!$A:$E,3,0),"לא הגיש בקשה שוטפת"))</f>
        <v>מועד</v>
      </c>
      <c r="AH67" s="355" t="str">
        <f>IF($C67="","",IFERROR(VLOOKUP($C67,גיליון1!$A:$E,4,0),"לא הגיש בקשה שוטפת"))</f>
        <v>19-42-02-26</v>
      </c>
      <c r="AI67" s="355" t="str">
        <f>IF($C67="","",IFERROR(VLOOKUP($C67,גיליון1!$A:$E,5,0),"לא הגיש בקשה שוטפת"))</f>
        <v>פסטיבלים לתרבות</v>
      </c>
      <c r="AJ67" s="355">
        <f t="shared" si="2"/>
        <v>1</v>
      </c>
      <c r="AK67" s="15"/>
      <c r="AL67" s="15" t="s">
        <v>9</v>
      </c>
    </row>
    <row r="68" spans="1:38" ht="285.75" x14ac:dyDescent="0.25">
      <c r="A68" s="346">
        <f>'הזנה לתנאי סף'!B68</f>
        <v>38</v>
      </c>
      <c r="B68" s="347">
        <f>IF($F68="","",'הזנה לתנאי סף'!C68)</f>
        <v>1001347748</v>
      </c>
      <c r="C68" s="347">
        <f>IF($F68="","",'הזנה לתנאי סף'!D68)</f>
        <v>1001280061</v>
      </c>
      <c r="D68" s="347">
        <f>IF($F68="","",'הזנה לתנאי סף'!E68)</f>
        <v>40000157</v>
      </c>
      <c r="E68" s="348">
        <f>IF($F68="","",'הזנה לתנאי סף'!F68)</f>
        <v>20000201</v>
      </c>
      <c r="F68" s="348" t="str">
        <f>IF('הזנה לתנאי סף'!BL68=1,'הזנה לתנאי סף'!G68,"")</f>
        <v>תל אביב -יפו</v>
      </c>
      <c r="G68" s="348" t="str">
        <f>IF($F68="","",'הזנה לתנאי סף'!H68)</f>
        <v>מרכז סוזן דלל</v>
      </c>
      <c r="H68" s="348" t="str">
        <f>IF($F68="","",'הזנה לתנאי סף'!I68)</f>
        <v>מחול</v>
      </c>
      <c r="I68" s="349">
        <f>IF($F68="","",'הזנה לתנאי סף'!R68)</f>
        <v>8311070</v>
      </c>
      <c r="J68" s="349">
        <f>IF($F68="","",'תחום תמיכה א'!P68)</f>
        <v>7732430</v>
      </c>
      <c r="K68" s="177">
        <f>IF($F68="","",'הזנה לתנאי סף'!N68)</f>
        <v>1</v>
      </c>
      <c r="L68" s="177">
        <f>IF($F68="","",'הזנה לתנאי סף'!O68)</f>
        <v>1</v>
      </c>
      <c r="M68" s="177">
        <f>IF($F68="","",'הזנה לתנאי סף'!Q68)</f>
        <v>1</v>
      </c>
      <c r="N68" s="349">
        <f>IF($F68="","",'תחום תמיכה א'!AE68)</f>
        <v>227316.55788245364</v>
      </c>
      <c r="O68" s="178"/>
      <c r="P68" s="349">
        <f>IF($F68="","",'תחום תמיכה ב'!AC68)</f>
        <v>409679.77716317819</v>
      </c>
      <c r="Q68" s="349">
        <f>IF($F68="","",IF('תחום תמיכה ג'!O68="",0,'תחום תמיכה ג'!O68))</f>
        <v>171796.25230063932</v>
      </c>
      <c r="R68" s="349">
        <f t="shared" si="0"/>
        <v>12284.269522810879</v>
      </c>
      <c r="S68" s="349">
        <f>IF($F68="","",'תחום תמיכה ב'!AE68)</f>
        <v>421964.04668598907</v>
      </c>
      <c r="T68" s="349">
        <f>IF($F68="","",IF(Q68='תחום תמיכה ג'!$Q$2,'תחום תמיכה ג'!$Q$2,IFERROR(SUMIF(N68:R68,"&gt;0"),'תחום תמיכה ג'!$Q$2)))</f>
        <v>821076.85686908197</v>
      </c>
      <c r="U68" s="349">
        <f>IF($F68="","",'הזנה לתנאי סף'!Y68)</f>
        <v>3191000</v>
      </c>
      <c r="V68" s="350">
        <f>IF(F68="","",'הגבלה לסכום מבוקש '!AA68)</f>
        <v>891422.6680335406</v>
      </c>
      <c r="W68" s="349">
        <f t="shared" si="1"/>
        <v>222855.66700838515</v>
      </c>
      <c r="X68" s="349">
        <f>IF(F68="","",'הזנה לתנאי סף'!Z68)</f>
        <v>180000</v>
      </c>
      <c r="Y68" s="351" t="s">
        <v>3740</v>
      </c>
      <c r="Z68" s="352" t="str">
        <f>IFERROR(VLOOKUP(G68*1,#REF!,3,0),"")</f>
        <v/>
      </c>
      <c r="AA68" s="349" t="str">
        <f>IF(OR($F68="",Z68=""),"",IFERROR(IF(Z68&gt;V68,MIN(Z68,T68)-V68,0),'תחום תמיכה ג'!$Q$2))</f>
        <v/>
      </c>
      <c r="AB68" s="353"/>
      <c r="AC68" s="260" t="str">
        <f t="shared" si="3"/>
        <v/>
      </c>
      <c r="AD68" s="354"/>
      <c r="AE68" s="180"/>
      <c r="AF68" s="355" t="str">
        <f>IF($C68="","",IFERROR(VLOOKUP($C68,גיליון1!$A:$E,2,0),"לא הגיש בקשה שוטפת"))</f>
        <v>תמיכה שוטפת 2020</v>
      </c>
      <c r="AG68" s="355" t="str">
        <f>IF($C68="","",IFERROR(VLOOKUP($C68,גיליון1!$A:$E,3,0),"לא הגיש בקשה שוטפת"))</f>
        <v>חויב</v>
      </c>
      <c r="AH68" s="355" t="str">
        <f>IF($C68="","",IFERROR(VLOOKUP($C68,גיליון1!$A:$E,4,0),"לא הגיש בקשה שוטפת"))</f>
        <v>19-42-02-20</v>
      </c>
      <c r="AI68" s="355" t="str">
        <f>IF($C68="","",IFERROR(VLOOKUP($C68,גיליון1!$A:$E,5,0),"לא הגיש בקשה שוטפת"))</f>
        <v>מחול וארגוני גג</v>
      </c>
      <c r="AJ68" s="355">
        <f t="shared" si="2"/>
        <v>0</v>
      </c>
      <c r="AK68" s="15"/>
      <c r="AL68" s="15" t="s">
        <v>11</v>
      </c>
    </row>
    <row r="69" spans="1:38" ht="285.75" x14ac:dyDescent="0.25">
      <c r="A69" s="346">
        <f>'הזנה לתנאי סף'!B69</f>
        <v>39</v>
      </c>
      <c r="B69" s="347">
        <f>IF($F69="","",'הזנה לתנאי סף'!C69)</f>
        <v>1001346567</v>
      </c>
      <c r="C69" s="347">
        <f>IF($F69="","",'הזנה לתנאי סף'!D69)</f>
        <v>1001271762</v>
      </c>
      <c r="D69" s="347">
        <f>IF($F69="","",'הזנה לתנאי סף'!E69)</f>
        <v>40000192</v>
      </c>
      <c r="E69" s="348">
        <f>IF($F69="","",'הזנה לתנאי סף'!F69)</f>
        <v>20000201</v>
      </c>
      <c r="F69" s="348" t="str">
        <f>IF('הזנה לתנאי סף'!BL69=1,'הזנה לתנאי סף'!G69,"")</f>
        <v>תל אביב -יפו</v>
      </c>
      <c r="G69" s="348" t="str">
        <f>IF($F69="","",'הזנה לתנאי סף'!H69)</f>
        <v>תיאטרון יפו</v>
      </c>
      <c r="H69" s="348" t="str">
        <f>IF($F69="","",'הזנה לתנאי סף'!I69)</f>
        <v>תיאטרון</v>
      </c>
      <c r="I69" s="349">
        <f>IF($F69="","",'הזנה לתנאי סף'!R69)</f>
        <v>3101646</v>
      </c>
      <c r="J69" s="349">
        <f>IF($F69="","",'תחום תמיכה א'!P69)</f>
        <v>3006406</v>
      </c>
      <c r="K69" s="177">
        <f>IF($F69="","",'הזנה לתנאי סף'!N69)</f>
        <v>1</v>
      </c>
      <c r="L69" s="177">
        <f>IF($F69="","",'הזנה לתנאי סף'!O69)</f>
        <v>1</v>
      </c>
      <c r="M69" s="177">
        <f>IF($F69="","",'הזנה לתנאי סף'!Q69)</f>
        <v>1</v>
      </c>
      <c r="N69" s="349">
        <f>IF($F69="","",'תחום תמיכה א'!AE69)</f>
        <v>111795.81612134936</v>
      </c>
      <c r="O69" s="178"/>
      <c r="P69" s="349">
        <f>IF($F69="","",'תחום תמיכה ב'!AC69)</f>
        <v>244627.63108684908</v>
      </c>
      <c r="Q69" s="349">
        <f>IF($F69="","",IF('תחום תמיכה ג'!O69="",0,'תחום תמיכה ג'!O69))</f>
        <v>102582.82827849899</v>
      </c>
      <c r="R69" s="349">
        <f t="shared" si="0"/>
        <v>7335.1722992191208</v>
      </c>
      <c r="S69" s="349">
        <f>IF($F69="","",'תחום תמיכה ב'!AE69)</f>
        <v>251962.8033860682</v>
      </c>
      <c r="T69" s="349">
        <f>IF($F69="","",IF(Q69='תחום תמיכה ג'!$Q$2,'תחום תמיכה ג'!$Q$2,IFERROR(SUMIF(N69:R69,"&gt;0"),'תחום תמיכה ג'!$Q$2)))</f>
        <v>466341.44778591656</v>
      </c>
      <c r="U69" s="349">
        <f>IF($F69="","",'הזנה לתנאי סף'!Y69)</f>
        <v>700000</v>
      </c>
      <c r="V69" s="350">
        <f>IF(F69="","",'הגבלה לסכום מבוקש '!AA69)</f>
        <v>508335.3769983463</v>
      </c>
      <c r="W69" s="349">
        <f t="shared" si="1"/>
        <v>127083.84424958657</v>
      </c>
      <c r="X69" s="349">
        <f>IF(F69="","",'הזנה לתנאי סף'!Z69)</f>
        <v>600000</v>
      </c>
      <c r="Y69" s="351" t="s">
        <v>3740</v>
      </c>
      <c r="Z69" s="352" t="str">
        <f>IFERROR(VLOOKUP(G69*1,#REF!,3,0),"")</f>
        <v/>
      </c>
      <c r="AA69" s="349" t="str">
        <f>IF(OR($F69="",Z69=""),"",IFERROR(IF(Z69&gt;V69,MIN(Z69,T69)-V69,0),'תחום תמיכה ג'!$Q$2))</f>
        <v/>
      </c>
      <c r="AB69" s="353"/>
      <c r="AC69" s="260" t="str">
        <f t="shared" si="3"/>
        <v/>
      </c>
      <c r="AD69" s="354"/>
      <c r="AE69" s="180"/>
      <c r="AF69" s="355" t="str">
        <f>IF($C69="","",IFERROR(VLOOKUP($C69,גיליון1!$A:$E,2,0),"לא הגיש בקשה שוטפת"))</f>
        <v>הפקה והרצה של הצגות תיאטרון</v>
      </c>
      <c r="AG69" s="355" t="str">
        <f>IF($C69="","",IFERROR(VLOOKUP($C69,גיליון1!$A:$E,3,0),"לא הגיש בקשה שוטפת"))</f>
        <v>חויב</v>
      </c>
      <c r="AH69" s="355" t="str">
        <f>IF($C69="","",IFERROR(VLOOKUP($C69,גיליון1!$A:$E,4,0),"לא הגיש בקשה שוטפת"))</f>
        <v>19-42-02-07</v>
      </c>
      <c r="AI69" s="355" t="str">
        <f>IF($C69="","",IFERROR(VLOOKUP($C69,גיליון1!$A:$E,5,0),"לא הגיש בקשה שוטפת"))</f>
        <v>תיאטרון</v>
      </c>
      <c r="AJ69" s="355">
        <f t="shared" si="2"/>
        <v>0</v>
      </c>
      <c r="AK69" s="15"/>
      <c r="AL69" s="15" t="s">
        <v>12</v>
      </c>
    </row>
    <row r="70" spans="1:38" ht="285.75" x14ac:dyDescent="0.25">
      <c r="A70" s="346">
        <f>'הזנה לתנאי סף'!B70</f>
        <v>40</v>
      </c>
      <c r="B70" s="347">
        <f>IF($F70="","",'הזנה לתנאי סף'!C70)</f>
        <v>1001346993</v>
      </c>
      <c r="C70" s="347">
        <f>IF($F70="","",'הזנה לתנאי סף'!D70)</f>
        <v>1001277357</v>
      </c>
      <c r="D70" s="347">
        <f>IF($F70="","",'הזנה לתנאי סף'!E70)</f>
        <v>40000192</v>
      </c>
      <c r="E70" s="348">
        <f>IF($F70="","",'הזנה לתנאי סף'!F70)</f>
        <v>20000201</v>
      </c>
      <c r="F70" s="348" t="str">
        <f>IF('הזנה לתנאי סף'!BL70=1,'הזנה לתנאי סף'!G70,"")</f>
        <v>תל אביב -יפו</v>
      </c>
      <c r="G70" s="348" t="str">
        <f>IF($F70="","",'הזנה לתנאי סף'!H70)</f>
        <v>תיאטרון יפו</v>
      </c>
      <c r="H70" s="348" t="str">
        <f>IF($F70="","",'הזנה לתנאי סף'!I70)</f>
        <v>סינמטקים ופסטיבלים</v>
      </c>
      <c r="I70" s="349">
        <f>IF($F70="","",'הזנה לתנאי סף'!R70)</f>
        <v>112268</v>
      </c>
      <c r="J70" s="349">
        <f>IF($F70="","",'תחום תמיכה א'!P70)</f>
        <v>158256</v>
      </c>
      <c r="K70" s="177">
        <f>IF($F70="","",'הזנה לתנאי סף'!N70)</f>
        <v>1</v>
      </c>
      <c r="L70" s="177">
        <f>IF($F70="","",'הזנה לתנאי סף'!O70)</f>
        <v>1</v>
      </c>
      <c r="M70" s="177">
        <f>IF($F70="","",'הזנה לתנאי סף'!Q70)</f>
        <v>1</v>
      </c>
      <c r="N70" s="349">
        <f>IF($F70="","",'תחום תמיכה א'!AE70)</f>
        <v>2382.5887134377422</v>
      </c>
      <c r="O70" s="178"/>
      <c r="P70" s="349">
        <f>IF($F70="","",'תחום תמיכה ב'!AC70)</f>
        <v>1451.4136915908862</v>
      </c>
      <c r="Q70" s="349">
        <f>IF($F70="","",IF('תחום תמיכה ג'!O70="",0,'תחום תמיכה ג'!O70))</f>
        <v>608.63983689835243</v>
      </c>
      <c r="R70" s="349">
        <f t="shared" si="0"/>
        <v>43.520715374483188</v>
      </c>
      <c r="S70" s="349">
        <f>IF($F70="","",'תחום תמיכה ב'!AE70)</f>
        <v>1494.9344069653694</v>
      </c>
      <c r="T70" s="349">
        <f>IF($F70="","",IF(Q70='תחום תמיכה ג'!$Q$2,'תחום תמיכה ג'!$Q$2,IFERROR(SUMIF(N70:R70,"&gt;0"),'תחום תמיכה ג'!$Q$2)))</f>
        <v>4486.1629573014643</v>
      </c>
      <c r="U70" s="349">
        <f>IF($F70="","",'הזנה לתנאי סף'!Y70)</f>
        <v>70000</v>
      </c>
      <c r="V70" s="350">
        <f>IF(F70="","",'הגבלה לסכום מבוקש '!AA70)</f>
        <v>4736.102291767801</v>
      </c>
      <c r="W70" s="349">
        <f t="shared" si="1"/>
        <v>1184.0255729419503</v>
      </c>
      <c r="X70" s="349">
        <f>IF(F70="","",'הזנה לתנאי סף'!Z70)</f>
        <v>70000</v>
      </c>
      <c r="Y70" s="351" t="s">
        <v>3740</v>
      </c>
      <c r="Z70" s="352" t="str">
        <f>IFERROR(VLOOKUP(G70*1,#REF!,3,0),"")</f>
        <v/>
      </c>
      <c r="AA70" s="349" t="str">
        <f>IF(OR($F70="",Z70=""),"",IFERROR(IF(Z70&gt;V70,MIN(Z70,T70)-V70,0),'תחום תמיכה ג'!$Q$2))</f>
        <v/>
      </c>
      <c r="AB70" s="353"/>
      <c r="AC70" s="260" t="str">
        <f t="shared" si="3"/>
        <v/>
      </c>
      <c r="AD70" s="354"/>
      <c r="AE70" s="180"/>
      <c r="AF70" s="355" t="str">
        <f>IF($C70="","",IFERROR(VLOOKUP($C70,גיליון1!$A:$E,2,0),"לא הגיש בקשה שוטפת"))</f>
        <v>פסטיבל יפו לילדים ה - 14</v>
      </c>
      <c r="AG70" s="355" t="str">
        <f>IF($C70="","",IFERROR(VLOOKUP($C70,גיליון1!$A:$E,3,0),"לא הגיש בקשה שוטפת"))</f>
        <v>מועד</v>
      </c>
      <c r="AH70" s="355" t="str">
        <f>IF($C70="","",IFERROR(VLOOKUP($C70,גיליון1!$A:$E,4,0),"לא הגיש בקשה שוטפת"))</f>
        <v>19-42-02-26</v>
      </c>
      <c r="AI70" s="355" t="str">
        <f>IF($C70="","",IFERROR(VLOOKUP($C70,גיליון1!$A:$E,5,0),"לא הגיש בקשה שוטפת"))</f>
        <v>פסטיבלים לתרבות</v>
      </c>
      <c r="AJ70" s="355">
        <f t="shared" si="2"/>
        <v>0</v>
      </c>
      <c r="AK70" s="15"/>
      <c r="AL70" s="15" t="s">
        <v>14</v>
      </c>
    </row>
    <row r="71" spans="1:38" ht="285.75" x14ac:dyDescent="0.25">
      <c r="A71" s="346">
        <f>'הזנה לתנאי סף'!B71</f>
        <v>41</v>
      </c>
      <c r="B71" s="347">
        <f>IF($F71="","",'הזנה לתנאי סף'!C71)</f>
        <v>1001349157</v>
      </c>
      <c r="C71" s="347">
        <f>IF($F71="","",'הזנה לתנאי סף'!D71)</f>
        <v>1001273336</v>
      </c>
      <c r="D71" s="347">
        <f>IF($F71="","",'הזנה לתנאי סף'!E71)</f>
        <v>40000050</v>
      </c>
      <c r="E71" s="348">
        <f>IF($F71="","",'הזנה לתנאי סף'!F71)</f>
        <v>20000250</v>
      </c>
      <c r="F71" s="348" t="str">
        <f>IF('הזנה לתנאי סף'!BL71=1,'הזנה לתנאי סף'!G71,"")</f>
        <v>רמת גן</v>
      </c>
      <c r="G71" s="348" t="str">
        <f>IF($F71="","",'הזנה לתנאי סף'!H71)</f>
        <v>אגודת שוחרי מוזאון האדם והחי</v>
      </c>
      <c r="H71" s="348" t="str">
        <f>IF($F71="","",'הזנה לתנאי סף'!I71)</f>
        <v>מוזיאונים</v>
      </c>
      <c r="I71" s="349">
        <f>IF($F71="","",'הזנה לתנאי סף'!R71)</f>
        <v>1373304</v>
      </c>
      <c r="J71" s="349">
        <f>IF($F71="","",'תחום תמיכה א'!P71)</f>
        <v>1402448</v>
      </c>
      <c r="K71" s="177">
        <f>IF($F71="","",'הזנה לתנאי סף'!N71)</f>
        <v>0</v>
      </c>
      <c r="L71" s="177">
        <f>IF($F71="","",'הזנה לתנאי סף'!O71)</f>
        <v>1</v>
      </c>
      <c r="M71" s="177">
        <f>IF($F71="","",'הזנה לתנאי סף'!Q71)</f>
        <v>1</v>
      </c>
      <c r="N71" s="349">
        <f>IF($F71="","",'תחום תמיכה א'!AE71)</f>
        <v>22256.590892696331</v>
      </c>
      <c r="O71" s="178"/>
      <c r="P71" s="349">
        <f>IF($F71="","",'תחום תמיכה ב'!AC71)</f>
        <v>19727.310231383279</v>
      </c>
      <c r="Q71" s="349">
        <f>IF($F71="","",IF('תחום תמיכה ג'!O71="",0,'תחום תמיכה ג'!O71))</f>
        <v>0</v>
      </c>
      <c r="R71" s="349">
        <f t="shared" si="0"/>
        <v>591.52442798242555</v>
      </c>
      <c r="S71" s="349">
        <f>IF($F71="","",'תחום תמיכה ב'!AE71)</f>
        <v>20318.834659365704</v>
      </c>
      <c r="T71" s="349">
        <f>IF($F71="","",IF(Q71='תחום תמיכה ג'!$Q$2,'תחום תמיכה ג'!$Q$2,IFERROR(SUMIF(N71:R71,"&gt;0"),'תחום תמיכה ג'!$Q$2)))</f>
        <v>42575.425552062035</v>
      </c>
      <c r="U71" s="349">
        <f>IF($F71="","",'הזנה לתנאי סף'!Y71)</f>
        <v>141583</v>
      </c>
      <c r="V71" s="350">
        <f>IF(F71="","",'הגבלה לסכום מבוקש '!AA71)</f>
        <v>45964.170716160181</v>
      </c>
      <c r="W71" s="349">
        <f t="shared" si="1"/>
        <v>11491.042679040045</v>
      </c>
      <c r="X71" s="349">
        <f>IF(F71="","",'הזנה לתנאי סף'!Z71)</f>
        <v>141583</v>
      </c>
      <c r="Y71" s="351" t="s">
        <v>3740</v>
      </c>
      <c r="Z71" s="352" t="str">
        <f>IFERROR(VLOOKUP(G71*1,#REF!,3,0),"")</f>
        <v/>
      </c>
      <c r="AA71" s="349" t="str">
        <f>IF(OR($F71="",Z71=""),"",IFERROR(IF(Z71&gt;V71,MIN(Z71,T71)-V71,0),'תחום תמיכה ג'!$Q$2))</f>
        <v/>
      </c>
      <c r="AB71" s="353"/>
      <c r="AC71" s="260" t="str">
        <f t="shared" si="3"/>
        <v/>
      </c>
      <c r="AD71" s="354"/>
      <c r="AE71" s="180"/>
      <c r="AF71" s="355" t="str">
        <f>IF($C71="","",IFERROR(VLOOKUP($C71,גיליון1!$A:$E,2,0),"לא הגיש בקשה שוטפת"))</f>
        <v>תמיכה שוטפת בפעילות מוזאלית</v>
      </c>
      <c r="AG71" s="355" t="str">
        <f>IF($C71="","",IFERROR(VLOOKUP($C71,גיליון1!$A:$E,3,0),"לא הגיש בקשה שוטפת"))</f>
        <v>חויב</v>
      </c>
      <c r="AH71" s="355" t="str">
        <f>IF($C71="","",IFERROR(VLOOKUP($C71,גיליון1!$A:$E,4,0),"לא הגיש בקשה שוטפת"))</f>
        <v>19-42-02-18</v>
      </c>
      <c r="AI71" s="355" t="str">
        <f>IF($C71="","",IFERROR(VLOOKUP($C71,גיליון1!$A:$E,5,0),"לא הגיש בקשה שוטפת"))</f>
        <v>מוזיאונים ואמנות פלס</v>
      </c>
      <c r="AJ71" s="355">
        <f t="shared" si="2"/>
        <v>0</v>
      </c>
      <c r="AK71" s="15"/>
      <c r="AL71" s="15" t="s">
        <v>15</v>
      </c>
    </row>
    <row r="72" spans="1:38" ht="285.75" x14ac:dyDescent="0.25">
      <c r="A72" s="346">
        <f>'הזנה לתנאי סף'!B72</f>
        <v>42</v>
      </c>
      <c r="B72" s="347">
        <f>IF($F72="","",'הזנה לתנאי סף'!C72)</f>
        <v>1001347603</v>
      </c>
      <c r="C72" s="347">
        <f>IF($F72="","",'הזנה לתנאי סף'!D72)</f>
        <v>1001274726</v>
      </c>
      <c r="D72" s="347">
        <f>IF($F72="","",'הזנה לתנאי סף'!E72)</f>
        <v>40000220</v>
      </c>
      <c r="E72" s="348">
        <f>IF($F72="","",'הזנה לתנאי סף'!F72)</f>
        <v>20000136</v>
      </c>
      <c r="F72" s="348" t="str">
        <f>IF('הזנה לתנאי סף'!BL72=1,'הזנה לתנאי סף'!G72,"")</f>
        <v>עמק יזרעאל</v>
      </c>
      <c r="G72" s="348" t="str">
        <f>IF($F72="","",'הזנה לתנאי סף'!H72)</f>
        <v>מוזיאון העמק</v>
      </c>
      <c r="H72" s="348" t="str">
        <f>IF($F72="","",'הזנה לתנאי סף'!I72)</f>
        <v>מוזיאונים</v>
      </c>
      <c r="I72" s="349">
        <f>IF($F72="","",'הזנה לתנאי סף'!R72)</f>
        <v>834687</v>
      </c>
      <c r="J72" s="349">
        <f>IF($F72="","",'תחום תמיכה א'!P72)</f>
        <v>610276</v>
      </c>
      <c r="K72" s="177">
        <f>IF($F72="","",'הזנה לתנאי סף'!N72)</f>
        <v>1</v>
      </c>
      <c r="L72" s="177">
        <f>IF($F72="","",'הזנה לתנאי סף'!O72)</f>
        <v>1</v>
      </c>
      <c r="M72" s="177">
        <f>IF($F72="","",'הזנה לתנאי סף'!Q72)</f>
        <v>1</v>
      </c>
      <c r="N72" s="349">
        <f>IF($F72="","",'תחום תמיכה א'!AE72)</f>
        <v>19994.110148523068</v>
      </c>
      <c r="O72" s="178"/>
      <c r="P72" s="349">
        <f>IF($F72="","",'תחום תמיכה ב'!AC72)</f>
        <v>47217.332760812598</v>
      </c>
      <c r="Q72" s="349">
        <f>IF($F72="","",IF('תחום תמיכה ג'!O72="",0,'תחום תמיכה ג'!O72))</f>
        <v>62237</v>
      </c>
      <c r="R72" s="349">
        <f t="shared" si="0"/>
        <v>1415.8141898008325</v>
      </c>
      <c r="S72" s="349">
        <f>IF($F72="","",'תחום תמיכה ב'!AE72)</f>
        <v>48633.146950613431</v>
      </c>
      <c r="T72" s="349">
        <f>IF($F72="","",IF(Q72='תחום תמיכה ג'!$Q$2,'תחום תמיכה ג'!$Q$2,IFERROR(SUMIF(N72:R72,"&gt;0"),'תחום תמיכה ג'!$Q$2)))</f>
        <v>130864.25709913649</v>
      </c>
      <c r="U72" s="349">
        <f>IF($F72="","",'הזנה לתנאי סף'!Y72)</f>
        <v>150000</v>
      </c>
      <c r="V72" s="350">
        <f>IF(F72="","",'הגבלה לסכום מבוקש '!AA72)</f>
        <v>138988.40757661359</v>
      </c>
      <c r="W72" s="349">
        <f t="shared" si="1"/>
        <v>34747.101894153398</v>
      </c>
      <c r="X72" s="349">
        <f>IF(F72="","",'הזנה לתנאי סף'!Z72)</f>
        <v>120000</v>
      </c>
      <c r="Y72" s="351" t="s">
        <v>3740</v>
      </c>
      <c r="Z72" s="352" t="str">
        <f>IFERROR(VLOOKUP(G72*1,#REF!,3,0),"")</f>
        <v/>
      </c>
      <c r="AA72" s="349" t="str">
        <f>IF(OR($F72="",Z72=""),"",IFERROR(IF(Z72&gt;V72,MIN(Z72,T72)-V72,0),'תחום תמיכה ג'!$Q$2))</f>
        <v/>
      </c>
      <c r="AB72" s="353"/>
      <c r="AC72" s="260" t="str">
        <f t="shared" si="3"/>
        <v/>
      </c>
      <c r="AD72" s="354"/>
      <c r="AE72" s="180"/>
      <c r="AF72" s="355" t="str">
        <f>IF($C72="","",IFERROR(VLOOKUP($C72,גיליון1!$A:$E,2,0),"לא הגיש בקשה שוטפת"))</f>
        <v>תמיכה בשוטף</v>
      </c>
      <c r="AG72" s="355" t="str">
        <f>IF($C72="","",IFERROR(VLOOKUP($C72,גיליון1!$A:$E,3,0),"לא הגיש בקשה שוטפת"))</f>
        <v>חויב</v>
      </c>
      <c r="AH72" s="355" t="str">
        <f>IF($C72="","",IFERROR(VLOOKUP($C72,גיליון1!$A:$E,4,0),"לא הגיש בקשה שוטפת"))</f>
        <v>19-42-02-18</v>
      </c>
      <c r="AI72" s="355" t="str">
        <f>IF($C72="","",IFERROR(VLOOKUP($C72,גיליון1!$A:$E,5,0),"לא הגיש בקשה שוטפת"))</f>
        <v>מוזיאונים ואמנות פלס</v>
      </c>
      <c r="AJ72" s="355">
        <f t="shared" si="2"/>
        <v>0</v>
      </c>
      <c r="AK72" s="15"/>
      <c r="AL72" s="15" t="s">
        <v>225</v>
      </c>
    </row>
    <row r="73" spans="1:38" ht="285.75" x14ac:dyDescent="0.25">
      <c r="A73" s="346">
        <f>'הזנה לתנאי סף'!B73</f>
        <v>43</v>
      </c>
      <c r="B73" s="347">
        <f>IF($F73="","",'הזנה לתנאי סף'!C73)</f>
        <v>1001347012</v>
      </c>
      <c r="C73" s="347">
        <f>IF($F73="","",'הזנה לתנאי סף'!D73)</f>
        <v>1010013470</v>
      </c>
      <c r="D73" s="347">
        <f>IF($F73="","",'הזנה לתנאי סף'!E73)</f>
        <v>40000280</v>
      </c>
      <c r="E73" s="348">
        <f>IF($F73="","",'הזנה לתנאי סף'!F73)</f>
        <v>20000227</v>
      </c>
      <c r="F73" s="348" t="str">
        <f>IF('הזנה לתנאי סף'!BL73=1,'הזנה לתנאי סף'!G73,"")</f>
        <v>כפר סבא</v>
      </c>
      <c r="G73" s="348" t="str">
        <f>IF($F73="","",'הזנה לתנאי סף'!H73)</f>
        <v>מרכז קהילתי בכפר סבא ע"ש שושנה ופנחס ספיר</v>
      </c>
      <c r="H73" s="348" t="str">
        <f>IF($F73="","",'הזנה לתנאי סף'!I73)</f>
        <v>מוזיאונים</v>
      </c>
      <c r="I73" s="349">
        <f>IF($F73="","",'הזנה לתנאי סף'!R73)</f>
        <v>1624117</v>
      </c>
      <c r="J73" s="349">
        <f>IF($F73="","",'תחום תמיכה א'!P73)</f>
        <v>1841673</v>
      </c>
      <c r="K73" s="177">
        <f>IF($F73="","",'הזנה לתנאי סף'!N73)</f>
        <v>1</v>
      </c>
      <c r="L73" s="177">
        <f>IF($F73="","",'הזנה לתנאי סף'!O73)</f>
        <v>1</v>
      </c>
      <c r="M73" s="177">
        <f>IF($F73="","",'הזנה לתנאי סף'!Q73)</f>
        <v>1</v>
      </c>
      <c r="N73" s="349">
        <f>IF($F73="","",'תחום תמיכה א'!AE73)</f>
        <v>47156.050961627843</v>
      </c>
      <c r="O73" s="178"/>
      <c r="P73" s="349">
        <f>IF($F73="","",'תחום תמיכה ב'!AC73)</f>
        <v>60732.976331422258</v>
      </c>
      <c r="Q73" s="349">
        <f>IF($F73="","",IF('תחום תמיכה ג'!O73="",0,'תחום תמיכה ג'!O73))</f>
        <v>0</v>
      </c>
      <c r="R73" s="349">
        <f t="shared" si="0"/>
        <v>1821.0814684185025</v>
      </c>
      <c r="S73" s="349">
        <f>IF($F73="","",'תחום תמיכה ב'!AE73)</f>
        <v>62554.057799840761</v>
      </c>
      <c r="T73" s="349">
        <f>IF($F73="","",IF(Q73='תחום תמיכה ג'!$Q$2,'תחום תמיכה ג'!$Q$2,IFERROR(SUMIF(N73:R73,"&gt;0"),'תחום תמיכה ג'!$Q$2)))</f>
        <v>109710.10876146861</v>
      </c>
      <c r="U73" s="349">
        <f>IF($F73="","",'הזנה לתנאי סף'!Y73)</f>
        <v>210000</v>
      </c>
      <c r="V73" s="350">
        <f>IF(F73="","",'הגבלה לסכום מבוקש '!AA73)</f>
        <v>120133.05449003122</v>
      </c>
      <c r="W73" s="349">
        <f t="shared" si="1"/>
        <v>30033.263622507806</v>
      </c>
      <c r="X73" s="349">
        <f>IF(F73="","",'הזנה לתנאי סף'!Z73)</f>
        <v>210000</v>
      </c>
      <c r="Y73" s="351" t="s">
        <v>3740</v>
      </c>
      <c r="Z73" s="352" t="str">
        <f>IFERROR(VLOOKUP(G73*1,#REF!,3,0),"")</f>
        <v/>
      </c>
      <c r="AA73" s="349" t="str">
        <f>IF(OR($F73="",Z73=""),"",IFERROR(IF(Z73&gt;V73,MIN(Z73,T73)-V73,0),'תחום תמיכה ג'!$Q$2))</f>
        <v/>
      </c>
      <c r="AB73" s="353"/>
      <c r="AC73" s="260" t="str">
        <f t="shared" si="3"/>
        <v/>
      </c>
      <c r="AD73" s="354"/>
      <c r="AE73" s="180"/>
      <c r="AF73" s="355" t="str">
        <f>IF($C73="","",IFERROR(VLOOKUP($C73,גיליון1!$A:$E,2,0),"לא הגיש בקשה שוטפת"))</f>
        <v>לא הגיש בקשה שוטפת</v>
      </c>
      <c r="AG73" s="355" t="str">
        <f>IF($C73="","",IFERROR(VLOOKUP($C73,גיליון1!$A:$E,3,0),"לא הגיש בקשה שוטפת"))</f>
        <v>לא הגיש בקשה שוטפת</v>
      </c>
      <c r="AH73" s="355" t="str">
        <f>IF($C73="","",IFERROR(VLOOKUP($C73,גיליון1!$A:$E,4,0),"לא הגיש בקשה שוטפת"))</f>
        <v>לא הגיש בקשה שוטפת</v>
      </c>
      <c r="AI73" s="355" t="str">
        <f>IF($C73="","",IFERROR(VLOOKUP($C73,גיליון1!$A:$E,5,0),"לא הגיש בקשה שוטפת"))</f>
        <v>לא הגיש בקשה שוטפת</v>
      </c>
      <c r="AJ73" s="355">
        <f t="shared" si="2"/>
        <v>0</v>
      </c>
      <c r="AK73" s="15"/>
      <c r="AL73" s="15" t="s">
        <v>226</v>
      </c>
    </row>
    <row r="74" spans="1:38" ht="285.75" x14ac:dyDescent="0.25">
      <c r="A74" s="346">
        <f>'הזנה לתנאי סף'!B74</f>
        <v>44</v>
      </c>
      <c r="B74" s="347">
        <f>IF($F74="","",'הזנה לתנאי סף'!C74)</f>
        <v>1001346658</v>
      </c>
      <c r="C74" s="347">
        <f>IF($F74="","",'הזנה לתנאי סף'!D74)</f>
        <v>1001274373</v>
      </c>
      <c r="D74" s="347">
        <f>IF($F74="","",'הזנה לתנאי סף'!E74)</f>
        <v>40000168</v>
      </c>
      <c r="E74" s="348">
        <f>IF($F74="","",'הזנה לתנאי סף'!F74)</f>
        <v>20000139</v>
      </c>
      <c r="F74" s="348" t="str">
        <f>IF('הזנה לתנאי סף'!BL74=1,'הזנה לתנאי סף'!G74,"")</f>
        <v>מטה אשר</v>
      </c>
      <c r="G74" s="348" t="str">
        <f>IF($F74="","",'הזנה לתנאי סף'!H74)</f>
        <v>קשת איילון</v>
      </c>
      <c r="H74" s="348" t="str">
        <f>IF($F74="","",'הזנה לתנאי סף'!I74)</f>
        <v>מוסיקה-גופים כליים</v>
      </c>
      <c r="I74" s="349">
        <f>IF($F74="","",'הזנה לתנאי סף'!R74)</f>
        <v>792000</v>
      </c>
      <c r="J74" s="349">
        <f>IF($F74="","",'תחום תמיכה א'!P74)</f>
        <v>1316000</v>
      </c>
      <c r="K74" s="177">
        <f>IF($F74="","",'הזנה לתנאי סף'!N74)</f>
        <v>0</v>
      </c>
      <c r="L74" s="177">
        <f>IF($F74="","",'הזנה לתנאי סף'!O74)</f>
        <v>1</v>
      </c>
      <c r="M74" s="177">
        <f>IF($F74="","",'הזנה לתנאי סף'!Q74)</f>
        <v>1</v>
      </c>
      <c r="N74" s="349">
        <f>IF($F74="","",'תחום תמיכה א'!AE74)</f>
        <v>56587.974702499094</v>
      </c>
      <c r="O74" s="178"/>
      <c r="P74" s="349">
        <f>IF($F74="","",'תחום תמיכה ב'!AC74)</f>
        <v>83525.511289755435</v>
      </c>
      <c r="Q74" s="349">
        <f>IF($F74="","",IF('תחום תמיכה ג'!O74="",0,'תחום תמיכה ג'!O74))</f>
        <v>0</v>
      </c>
      <c r="R74" s="349">
        <f t="shared" si="0"/>
        <v>2504.5168199875625</v>
      </c>
      <c r="S74" s="349">
        <f>IF($F74="","",'תחום תמיכה ב'!AE74)</f>
        <v>86030.028109742998</v>
      </c>
      <c r="T74" s="349">
        <f>IF($F74="","",IF(Q74='תחום תמיכה ג'!$Q$2,'תחום תמיכה ג'!$Q$2,IFERROR(SUMIF(N74:R74,"&gt;0"),'תחום תמיכה ג'!$Q$2)))</f>
        <v>142618.00281224208</v>
      </c>
      <c r="U74" s="349">
        <f>IF($F74="","",'הזנה לתנאי סף'!Y74)</f>
        <v>800000</v>
      </c>
      <c r="V74" s="350">
        <f>IF(F74="","",'הגבלה לסכום מבוקש '!AA74)</f>
        <v>156948.82208454658</v>
      </c>
      <c r="W74" s="349">
        <f t="shared" si="1"/>
        <v>39237.205521136646</v>
      </c>
      <c r="X74" s="349">
        <f>IF(F74="","",'הזנה לתנאי סף'!Z74)</f>
        <v>800000</v>
      </c>
      <c r="Y74" s="351" t="s">
        <v>3740</v>
      </c>
      <c r="Z74" s="352" t="str">
        <f>IFERROR(VLOOKUP(G74*1,#REF!,3,0),"")</f>
        <v/>
      </c>
      <c r="AA74" s="349" t="str">
        <f>IF(OR($F74="",Z74=""),"",IFERROR(IF(Z74&gt;V74,MIN(Z74,T74)-V74,0),'תחום תמיכה ג'!$Q$2))</f>
        <v/>
      </c>
      <c r="AB74" s="353"/>
      <c r="AC74" s="260" t="str">
        <f t="shared" si="3"/>
        <v/>
      </c>
      <c r="AD74" s="354"/>
      <c r="AE74" s="180"/>
      <c r="AF74" s="355" t="str">
        <f>IF($C74="","",IFERROR(VLOOKUP($C74,גיליון1!$A:$E,2,0),"לא הגיש בקשה שוטפת"))</f>
        <v>לא הגיש בקשה שוטפת</v>
      </c>
      <c r="AG74" s="355" t="str">
        <f>IF($C74="","",IFERROR(VLOOKUP($C74,גיליון1!$A:$E,3,0),"לא הגיש בקשה שוטפת"))</f>
        <v>לא הגיש בקשה שוטפת</v>
      </c>
      <c r="AH74" s="355" t="str">
        <f>IF($C74="","",IFERROR(VLOOKUP($C74,גיליון1!$A:$E,4,0),"לא הגיש בקשה שוטפת"))</f>
        <v>לא הגיש בקשה שוטפת</v>
      </c>
      <c r="AI74" s="355" t="str">
        <f>IF($C74="","",IFERROR(VLOOKUP($C74,גיליון1!$A:$E,5,0),"לא הגיש בקשה שוטפת"))</f>
        <v>לא הגיש בקשה שוטפת</v>
      </c>
      <c r="AJ74" s="355">
        <f t="shared" si="2"/>
        <v>0</v>
      </c>
      <c r="AK74" s="15"/>
      <c r="AL74" s="15" t="s">
        <v>228</v>
      </c>
    </row>
    <row r="75" spans="1:38" ht="285.75" x14ac:dyDescent="0.25">
      <c r="A75" s="346" t="str">
        <f>'הזנה לתנאי סף'!B75</f>
        <v/>
      </c>
      <c r="B75" s="347" t="str">
        <f>IF($F75="","",'הזנה לתנאי סף'!C75)</f>
        <v/>
      </c>
      <c r="C75" s="347" t="str">
        <f>IF($F75="","",'הזנה לתנאי סף'!D75)</f>
        <v/>
      </c>
      <c r="D75" s="347" t="str">
        <f>IF($F75="","",'הזנה לתנאי סף'!E75)</f>
        <v/>
      </c>
      <c r="E75" s="348" t="str">
        <f>IF($F75="","",'הזנה לתנאי סף'!F75)</f>
        <v/>
      </c>
      <c r="F75" s="348" t="str">
        <f>IF('הזנה לתנאי סף'!BL75=1,'הזנה לתנאי סף'!G75,"")</f>
        <v/>
      </c>
      <c r="G75" s="348" t="str">
        <f>IF($F75="","",'הזנה לתנאי סף'!H75)</f>
        <v/>
      </c>
      <c r="H75" s="348" t="str">
        <f>IF($F75="","",'הזנה לתנאי סף'!I75)</f>
        <v/>
      </c>
      <c r="I75" s="349" t="str">
        <f>IF($F75="","",'הזנה לתנאי סף'!R75)</f>
        <v/>
      </c>
      <c r="J75" s="349" t="str">
        <f>IF($F75="","",'תחום תמיכה א'!P75)</f>
        <v/>
      </c>
      <c r="K75" s="177" t="str">
        <f>IF($F75="","",'הזנה לתנאי סף'!N75)</f>
        <v/>
      </c>
      <c r="L75" s="177" t="str">
        <f>IF($F75="","",'הזנה לתנאי סף'!O75)</f>
        <v/>
      </c>
      <c r="M75" s="177" t="str">
        <f>IF($F75="","",'הזנה לתנאי סף'!Q75)</f>
        <v/>
      </c>
      <c r="N75" s="349" t="str">
        <f>IF($F75="","",'תחום תמיכה א'!AE75)</f>
        <v/>
      </c>
      <c r="O75" s="178"/>
      <c r="P75" s="349" t="str">
        <f>IF($F75="","",'תחום תמיכה ב'!AC75)</f>
        <v/>
      </c>
      <c r="Q75" s="349" t="str">
        <f>IF($F75="","",IF('תחום תמיכה ג'!O75="",0,'תחום תמיכה ג'!O75))</f>
        <v/>
      </c>
      <c r="R75" s="349" t="str">
        <f t="shared" si="0"/>
        <v/>
      </c>
      <c r="S75" s="349" t="str">
        <f>IF($F75="","",'תחום תמיכה ב'!AE75)</f>
        <v/>
      </c>
      <c r="T75" s="349" t="str">
        <f>IF($F75="","",IF(Q75='תחום תמיכה ג'!$Q$2,'תחום תמיכה ג'!$Q$2,IFERROR(SUMIF(N75:R75,"&gt;0"),'תחום תמיכה ג'!$Q$2)))</f>
        <v/>
      </c>
      <c r="U75" s="349" t="str">
        <f>IF($F75="","",'הזנה לתנאי סף'!Y75)</f>
        <v/>
      </c>
      <c r="V75" s="350" t="str">
        <f>IF(F75="","",'הגבלה לסכום מבוקש '!AA75)</f>
        <v/>
      </c>
      <c r="W75" s="349" t="str">
        <f t="shared" si="1"/>
        <v/>
      </c>
      <c r="X75" s="349" t="str">
        <f>IF(F75="","",'הזנה לתנאי סף'!Z75)</f>
        <v/>
      </c>
      <c r="Y75" s="351" t="s">
        <v>3740</v>
      </c>
      <c r="Z75" s="352" t="str">
        <f>IFERROR(VLOOKUP(G75*1,#REF!,3,0),"")</f>
        <v/>
      </c>
      <c r="AA75" s="349" t="str">
        <f>IF(OR($F75="",Z75=""),"",IFERROR(IF(Z75&gt;V75,MIN(Z75,T75)-V75,0),'תחום תמיכה ג'!$Q$2))</f>
        <v/>
      </c>
      <c r="AB75" s="353"/>
      <c r="AC75" s="260" t="str">
        <f t="shared" si="3"/>
        <v/>
      </c>
      <c r="AD75" s="354"/>
      <c r="AE75" s="180"/>
      <c r="AF75" s="355" t="str">
        <f>IF($C75="","",IFERROR(VLOOKUP($C75,גיליון1!$A:$E,2,0),"לא הגיש בקשה שוטפת"))</f>
        <v/>
      </c>
      <c r="AG75" s="355" t="str">
        <f>IF($C75="","",IFERROR(VLOOKUP($C75,גיליון1!$A:$E,3,0),"לא הגיש בקשה שוטפת"))</f>
        <v/>
      </c>
      <c r="AH75" s="355" t="str">
        <f>IF($C75="","",IFERROR(VLOOKUP($C75,גיליון1!$A:$E,4,0),"לא הגיש בקשה שוטפת"))</f>
        <v/>
      </c>
      <c r="AI75" s="355" t="str">
        <f>IF($C75="","",IFERROR(VLOOKUP($C75,גיליון1!$A:$E,5,0),"לא הגיש בקשה שוטפת"))</f>
        <v/>
      </c>
      <c r="AJ75" s="355">
        <f t="shared" si="2"/>
        <v>0</v>
      </c>
      <c r="AK75" s="15"/>
      <c r="AL75" s="15" t="s">
        <v>227</v>
      </c>
    </row>
    <row r="76" spans="1:38" ht="285.75" x14ac:dyDescent="0.25">
      <c r="A76" s="346">
        <f>'הזנה לתנאי סף'!B76</f>
        <v>46</v>
      </c>
      <c r="B76" s="347">
        <f>IF($F76="","",'הזנה לתנאי סף'!C76)</f>
        <v>1001348760</v>
      </c>
      <c r="C76" s="347">
        <f>IF($F76="","",'הזנה לתנאי סף'!D76)</f>
        <v>1001271005</v>
      </c>
      <c r="D76" s="347">
        <f>IF($F76="","",'הזנה לתנאי סף'!E76)</f>
        <v>40000158</v>
      </c>
      <c r="E76" s="348">
        <f>IF($F76="","",'הזנה לתנאי סף'!F76)</f>
        <v>20000062</v>
      </c>
      <c r="F76" s="348" t="str">
        <f>IF('הזנה לתנאי סף'!BL76=1,'הזנה לתנאי סף'!G76,"")</f>
        <v>עיילבון</v>
      </c>
      <c r="G76" s="348" t="str">
        <f>IF($F76="","",'הזנה לתנאי סף'!H76)</f>
        <v>ג'בינה- לקידום התיאטרון הערבי</v>
      </c>
      <c r="H76" s="348" t="str">
        <f>IF($F76="","",'הזנה לתנאי סף'!I76)</f>
        <v>תיאטרון</v>
      </c>
      <c r="I76" s="349">
        <f>IF($F76="","",'הזנה לתנאי סף'!R76)</f>
        <v>475723</v>
      </c>
      <c r="J76" s="349">
        <f>IF($F76="","",'תחום תמיכה א'!P76)</f>
        <v>481741</v>
      </c>
      <c r="K76" s="177">
        <f>IF($F76="","",'הזנה לתנאי סף'!N76)</f>
        <v>0</v>
      </c>
      <c r="L76" s="177">
        <f>IF($F76="","",'הזנה לתנאי סף'!O76)</f>
        <v>1</v>
      </c>
      <c r="M76" s="177">
        <f>IF($F76="","",'הזנה לתנאי סף'!Q76)</f>
        <v>1</v>
      </c>
      <c r="N76" s="349">
        <f>IF($F76="","",'תחום תמיכה א'!AE76)</f>
        <v>8599.00413969074</v>
      </c>
      <c r="O76" s="178"/>
      <c r="P76" s="349">
        <f>IF($F76="","",'תחום תמיכה ב'!AC76)</f>
        <v>8645.3122512773734</v>
      </c>
      <c r="Q76" s="349">
        <f>IF($F76="","",IF('תחום תמיכה ג'!O76="",0,'תחום תמיכה ג'!O76))</f>
        <v>0</v>
      </c>
      <c r="R76" s="349">
        <f t="shared" si="0"/>
        <v>259.23013954689122</v>
      </c>
      <c r="S76" s="349">
        <f>IF($F76="","",'תחום תמיכה ב'!AE76)</f>
        <v>8904.5423908242647</v>
      </c>
      <c r="T76" s="349">
        <f>IF($F76="","",IF(Q76='תחום תמיכה ג'!$Q$2,'תחום תמיכה ג'!$Q$2,IFERROR(SUMIF(N76:R76,"&gt;0"),'תחום תמיכה ג'!$Q$2)))</f>
        <v>17503.546530515006</v>
      </c>
      <c r="U76" s="349">
        <f>IF($F76="","",'הזנה לתנאי סף'!Y76)</f>
        <v>100000</v>
      </c>
      <c r="V76" s="350">
        <f>IF(F76="","",'הגבלה לסכום מבוקש '!AA76)</f>
        <v>18988.107143428115</v>
      </c>
      <c r="W76" s="349">
        <f t="shared" si="1"/>
        <v>4747.0267858570287</v>
      </c>
      <c r="X76" s="349">
        <f>IF(F76="","",'הזנה לתנאי סף'!Z76)</f>
        <v>100000</v>
      </c>
      <c r="Y76" s="351" t="s">
        <v>3740</v>
      </c>
      <c r="Z76" s="352" t="str">
        <f>IFERROR(VLOOKUP(G76*1,#REF!,3,0),"")</f>
        <v/>
      </c>
      <c r="AA76" s="349" t="str">
        <f>IF(OR($F76="",Z76=""),"",IFERROR(IF(Z76&gt;V76,MIN(Z76,T76)-V76,0),'תחום תמיכה ג'!$Q$2))</f>
        <v/>
      </c>
      <c r="AB76" s="353"/>
      <c r="AC76" s="260" t="str">
        <f t="shared" si="3"/>
        <v/>
      </c>
      <c r="AD76" s="354"/>
      <c r="AE76" s="180"/>
      <c r="AF76" s="355" t="str">
        <f>IF($C76="","",IFERROR(VLOOKUP($C76,גיליון1!$A:$E,2,0),"לא הגיש בקשה שוטפת"))</f>
        <v>תמיכה שוטפת 2020</v>
      </c>
      <c r="AG76" s="355" t="str">
        <f>IF($C76="","",IFERROR(VLOOKUP($C76,גיליון1!$A:$E,3,0),"לא הגיש בקשה שוטפת"))</f>
        <v>מועד</v>
      </c>
      <c r="AH76" s="355" t="str">
        <f>IF($C76="","",IFERROR(VLOOKUP($C76,גיליון1!$A:$E,4,0),"לא הגיש בקשה שוטפת"))</f>
        <v>19-42-02-33</v>
      </c>
      <c r="AI76" s="355" t="str">
        <f>IF($C76="","",IFERROR(VLOOKUP($C76,גיליון1!$A:$E,5,0),"לא הגיש בקשה שוטפת"))</f>
        <v>תרבות ערבית ודרוזית</v>
      </c>
      <c r="AJ76" s="355">
        <f t="shared" si="2"/>
        <v>0</v>
      </c>
      <c r="AK76" s="15"/>
      <c r="AL76" s="15" t="s">
        <v>25</v>
      </c>
    </row>
    <row r="77" spans="1:38" ht="285.75" x14ac:dyDescent="0.25">
      <c r="A77" s="346">
        <f>'הזנה לתנאי סף'!B77</f>
        <v>47</v>
      </c>
      <c r="B77" s="347">
        <f>IF($F77="","",'הזנה לתנאי סף'!C77)</f>
        <v>1001350788</v>
      </c>
      <c r="C77" s="347">
        <f>IF($F77="","",'הזנה לתנאי סף'!D77)</f>
        <v>1001274174</v>
      </c>
      <c r="D77" s="347">
        <f>IF($F77="","",'הזנה לתנאי סף'!E77)</f>
        <v>40000291</v>
      </c>
      <c r="E77" s="348">
        <f>IF($F77="","",'הזנה לתנאי סף'!F77)</f>
        <v>20000014</v>
      </c>
      <c r="F77" s="348" t="str">
        <f>IF('הזנה לתנאי סף'!BL77=1,'הזנה לתנאי סף'!G77,"")</f>
        <v>אשדוד</v>
      </c>
      <c r="G77" s="348" t="str">
        <f>IF($F77="","",'הזנה לתנאי סף'!H77)</f>
        <v>החברה העירונית לתרבות ופנאי אשדוד</v>
      </c>
      <c r="H77" s="348" t="str">
        <f>IF($F77="","",'הזנה לתנאי סף'!I77)</f>
        <v>תיאטרון</v>
      </c>
      <c r="I77" s="349">
        <f>IF($F77="","",'הזנה לתנאי סף'!R77)</f>
        <v>2104634</v>
      </c>
      <c r="J77" s="349">
        <f>IF($F77="","",'תחום תמיכה א'!P77)</f>
        <v>2267407</v>
      </c>
      <c r="K77" s="177">
        <f>IF($F77="","",'הזנה לתנאי סף'!N77)</f>
        <v>1</v>
      </c>
      <c r="L77" s="177">
        <f>IF($F77="","",'הזנה לתנאי סף'!O77)</f>
        <v>1</v>
      </c>
      <c r="M77" s="177">
        <f>IF($F77="","",'הזנה לתנאי סף'!Q77)</f>
        <v>1</v>
      </c>
      <c r="N77" s="349">
        <f>IF($F77="","",'תחום תמיכה א'!AE77)</f>
        <v>49756.724727561326</v>
      </c>
      <c r="O77" s="178"/>
      <c r="P77" s="349">
        <f>IF($F77="","",'תחום תמיכה ב'!AC77)</f>
        <v>57806.759422109055</v>
      </c>
      <c r="Q77" s="349">
        <f>IF($F77="","",IF('תחום תמיכה ג'!O77="",0,'תחום תמיכה ג'!O77))</f>
        <v>0</v>
      </c>
      <c r="R77" s="349">
        <f t="shared" si="0"/>
        <v>1733.3387015064509</v>
      </c>
      <c r="S77" s="349">
        <f>IF($F77="","",'תחום תמיכה ב'!AE77)</f>
        <v>59540.098123615506</v>
      </c>
      <c r="T77" s="349">
        <f>IF($F77="","",IF(Q77='תחום תמיכה ג'!$Q$2,'תחום תמיכה ג'!$Q$2,IFERROR(SUMIF(N77:R77,"&gt;0"),'תחום תמיכה ג'!$Q$2)))</f>
        <v>109296.82285117682</v>
      </c>
      <c r="U77" s="349">
        <f>IF($F77="","",'הזנה לתנאי סף'!Y77)</f>
        <v>250000</v>
      </c>
      <c r="V77" s="350">
        <f>IF(F77="","",'הגבלה לסכום מבוקש '!AA77)</f>
        <v>119219.79221393903</v>
      </c>
      <c r="W77" s="349">
        <f t="shared" si="1"/>
        <v>29804.948053484757</v>
      </c>
      <c r="X77" s="349">
        <f>IF(F77="","",'הזנה לתנאי סף'!Z77)</f>
        <v>250000</v>
      </c>
      <c r="Y77" s="351" t="s">
        <v>3740</v>
      </c>
      <c r="Z77" s="352" t="str">
        <f>IFERROR(VLOOKUP(G77*1,#REF!,3,0),"")</f>
        <v/>
      </c>
      <c r="AA77" s="349" t="str">
        <f>IF(OR($F77="",Z77=""),"",IFERROR(IF(Z77&gt;V77,MIN(Z77,T77)-V77,0),'תחום תמיכה ג'!$Q$2))</f>
        <v/>
      </c>
      <c r="AB77" s="353"/>
      <c r="AC77" s="260" t="str">
        <f t="shared" si="3"/>
        <v/>
      </c>
      <c r="AD77" s="354"/>
      <c r="AE77" s="180"/>
      <c r="AF77" s="355" t="str">
        <f>IF($C77="","",IFERROR(VLOOKUP($C77,גיליון1!$A:$E,2,0),"לא הגיש בקשה שוטפת"))</f>
        <v>בלט תיאטרון פאנוב 2020</v>
      </c>
      <c r="AG77" s="355" t="str">
        <f>IF($C77="","",IFERROR(VLOOKUP($C77,גיליון1!$A:$E,3,0),"לא הגיש בקשה שוטפת"))</f>
        <v>חויב</v>
      </c>
      <c r="AH77" s="355" t="str">
        <f>IF($C77="","",IFERROR(VLOOKUP($C77,גיליון1!$A:$E,4,0),"לא הגיש בקשה שוטפת"))</f>
        <v>19-42-02-20</v>
      </c>
      <c r="AI77" s="355" t="str">
        <f>IF($C77="","",IFERROR(VLOOKUP($C77,גיליון1!$A:$E,5,0),"לא הגיש בקשה שוטפת"))</f>
        <v>מחול וארגוני גג</v>
      </c>
      <c r="AJ77" s="355">
        <f t="shared" si="2"/>
        <v>0</v>
      </c>
      <c r="AK77" s="15"/>
      <c r="AL77" s="15" t="s">
        <v>23</v>
      </c>
    </row>
    <row r="78" spans="1:38" ht="285.75" x14ac:dyDescent="0.25">
      <c r="A78" s="346">
        <f>'הזנה לתנאי סף'!B78</f>
        <v>48</v>
      </c>
      <c r="B78" s="347">
        <f>IF($F78="","",'הזנה לתנאי סף'!C78)</f>
        <v>1001346581</v>
      </c>
      <c r="C78" s="347">
        <f>IF($F78="","",'הזנה לתנאי סף'!D78)</f>
        <v>1001263210</v>
      </c>
      <c r="D78" s="347">
        <f>IF($F78="","",'הזנה לתנאי סף'!E78)</f>
        <v>40000298</v>
      </c>
      <c r="E78" s="348">
        <f>IF($F78="","",'הזנה לתנאי סף'!F78)</f>
        <v>20000257</v>
      </c>
      <c r="F78" s="348" t="str">
        <f>IF('הזנה לתנאי סף'!BL78=1,'הזנה לתנאי סף'!G78,"")</f>
        <v>זכרון יעקב</v>
      </c>
      <c r="G78" s="348" t="str">
        <f>IF($F78="","",'הזנה לתנאי סף'!H78)</f>
        <v>בית אהרונסון, מוזיאון נילי</v>
      </c>
      <c r="H78" s="348" t="str">
        <f>IF($F78="","",'הזנה לתנאי סף'!I78)</f>
        <v>מוזיאונים</v>
      </c>
      <c r="I78" s="349">
        <f>IF($F78="","",'הזנה לתנאי סף'!R78)</f>
        <v>601235</v>
      </c>
      <c r="J78" s="349">
        <f>IF($F78="","",'תחום תמיכה א'!P78)</f>
        <v>481110</v>
      </c>
      <c r="K78" s="177">
        <f>IF($F78="","",'הזנה לתנאי סף'!N78)</f>
        <v>0</v>
      </c>
      <c r="L78" s="177">
        <f>IF($F78="","",'הזנה לתנאי סף'!O78)</f>
        <v>1</v>
      </c>
      <c r="M78" s="177">
        <f>IF($F78="","",'הזנה לתנאי סף'!Q78)</f>
        <v>1</v>
      </c>
      <c r="N78" s="349">
        <f>IF($F78="","",'תחום תמיכה א'!AE78)</f>
        <v>16860.708857432179</v>
      </c>
      <c r="O78" s="178"/>
      <c r="P78" s="349">
        <f>IF($F78="","",'תחום תמיכה ב'!AC78)</f>
        <v>41240.81556069199</v>
      </c>
      <c r="Q78" s="349">
        <f>IF($F78="","",IF('תחום תמיכה ג'!O78="",0,'תחום תמיכה ג'!O78))</f>
        <v>0</v>
      </c>
      <c r="R78" s="349">
        <f t="shared" si="0"/>
        <v>1236.6080092996272</v>
      </c>
      <c r="S78" s="349">
        <f>IF($F78="","",'תחום תמיכה ב'!AE78)</f>
        <v>42477.423569991617</v>
      </c>
      <c r="T78" s="349">
        <f>IF($F78="","",IF(Q78='תחום תמיכה ג'!$Q$2,'תחום תמיכה ג'!$Q$2,IFERROR(SUMIF(N78:R78,"&gt;0"),'תחום תמיכה ג'!$Q$2)))</f>
        <v>59338.1324274238</v>
      </c>
      <c r="U78" s="349">
        <f>IF($F78="","",'הזנה לתנאי סף'!Y78)</f>
        <v>130000</v>
      </c>
      <c r="V78" s="350">
        <f>IF(F78="","",'הגבלה לסכום מבוקש '!AA78)</f>
        <v>66408.945767826677</v>
      </c>
      <c r="W78" s="349">
        <f t="shared" si="1"/>
        <v>16602.236441956669</v>
      </c>
      <c r="X78" s="349">
        <f>IF(F78="","",'הזנה לתנאי סף'!Z78)</f>
        <v>130000</v>
      </c>
      <c r="Y78" s="351" t="s">
        <v>3740</v>
      </c>
      <c r="Z78" s="352" t="str">
        <f>IFERROR(VLOOKUP(G78*1,#REF!,3,0),"")</f>
        <v/>
      </c>
      <c r="AA78" s="349" t="str">
        <f>IF(OR($F78="",Z78=""),"",IFERROR(IF(Z78&gt;V78,MIN(Z78,T78)-V78,0),'תחום תמיכה ג'!$Q$2))</f>
        <v/>
      </c>
      <c r="AB78" s="353"/>
      <c r="AC78" s="260" t="str">
        <f t="shared" si="3"/>
        <v/>
      </c>
      <c r="AD78" s="354"/>
      <c r="AE78" s="180"/>
      <c r="AF78" s="355" t="str">
        <f>IF($C78="","",IFERROR(VLOOKUP($C78,גיליון1!$A:$E,2,0),"לא הגיש בקשה שוטפת"))</f>
        <v>תמיכה שוטפת</v>
      </c>
      <c r="AG78" s="355" t="str">
        <f>IF($C78="","",IFERROR(VLOOKUP($C78,גיליון1!$A:$E,3,0),"לא הגיש בקשה שוטפת"))</f>
        <v>חויב</v>
      </c>
      <c r="AH78" s="355" t="str">
        <f>IF($C78="","",IFERROR(VLOOKUP($C78,גיליון1!$A:$E,4,0),"לא הגיש בקשה שוטפת"))</f>
        <v>19-42-02-18</v>
      </c>
      <c r="AI78" s="355" t="str">
        <f>IF($C78="","",IFERROR(VLOOKUP($C78,גיליון1!$A:$E,5,0),"לא הגיש בקשה שוטפת"))</f>
        <v>מוזיאונים ואמנות פלס</v>
      </c>
      <c r="AJ78" s="355">
        <f t="shared" si="2"/>
        <v>0</v>
      </c>
      <c r="AK78" s="15"/>
      <c r="AL78" s="15" t="s">
        <v>24</v>
      </c>
    </row>
    <row r="79" spans="1:38" ht="285.75" x14ac:dyDescent="0.25">
      <c r="A79" s="346">
        <f>'הזנה לתנאי סף'!B79</f>
        <v>49</v>
      </c>
      <c r="B79" s="347">
        <f>IF($F79="","",'הזנה לתנאי סף'!C79)</f>
        <v>1001349393</v>
      </c>
      <c r="C79" s="347">
        <f>IF($F79="","",'הזנה לתנאי סף'!D79)</f>
        <v>1001272661</v>
      </c>
      <c r="D79" s="347">
        <f>IF($F79="","",'הזנה לתנאי סף'!E79)</f>
        <v>40000323</v>
      </c>
      <c r="E79" s="348">
        <f>IF($F79="","",'הזנה לתנאי סף'!F79)</f>
        <v>20000127</v>
      </c>
      <c r="F79" s="348" t="str">
        <f>IF('הזנה לתנאי סף'!BL79=1,'הזנה לתנאי סף'!G79,"")</f>
        <v>הגליל העליון</v>
      </c>
      <c r="G79" s="348" t="str">
        <f>IF($F79="","",'הזנה לתנאי סף'!H79)</f>
        <v>מכון בר דוד לאמנות</v>
      </c>
      <c r="H79" s="348" t="str">
        <f>IF($F79="","",'הזנה לתנאי סף'!I79)</f>
        <v>מוזיאונים</v>
      </c>
      <c r="I79" s="349">
        <f>IF($F79="","",'הזנה לתנאי סף'!R79)</f>
        <v>397000</v>
      </c>
      <c r="J79" s="349">
        <f>IF($F79="","",'תחום תמיכה א'!P79)</f>
        <v>405000</v>
      </c>
      <c r="K79" s="177">
        <f>IF($F79="","",'הזנה לתנאי סף'!N79)</f>
        <v>0</v>
      </c>
      <c r="L79" s="177">
        <f>IF($F79="","",'הזנה לתנאי סף'!O79)</f>
        <v>1</v>
      </c>
      <c r="M79" s="177">
        <f>IF($F79="","",'הזנה לתנאי סף'!Q79)</f>
        <v>1</v>
      </c>
      <c r="N79" s="349">
        <f>IF($F79="","",'תחום תמיכה א'!AE79)</f>
        <v>20744.971985947457</v>
      </c>
      <c r="O79" s="178"/>
      <c r="P79" s="349">
        <f>IF($F79="","",'תחום תמיכה ב'!AC79)</f>
        <v>20926.888620515252</v>
      </c>
      <c r="Q79" s="349">
        <f>IF($F79="","",IF('תחום תמיכה ג'!O79="",0,'תחום תמיכה ג'!O79))</f>
        <v>0</v>
      </c>
      <c r="R79" s="349">
        <f t="shared" si="0"/>
        <v>627.49384865501997</v>
      </c>
      <c r="S79" s="349">
        <f>IF($F79="","",'תחום תמיכה ב'!AE79)</f>
        <v>21554.382469170272</v>
      </c>
      <c r="T79" s="349">
        <f>IF($F79="","",IF(Q79='תחום תמיכה ג'!$Q$2,'תחום תמיכה ג'!$Q$2,IFERROR(SUMIF(N79:R79,"&gt;0"),'תחום תמיכה ג'!$Q$2)))</f>
        <v>42299.354455117733</v>
      </c>
      <c r="U79" s="349">
        <f>IF($F79="","",'הזנה לתנאי סף'!Y79)</f>
        <v>27500</v>
      </c>
      <c r="V79" s="350">
        <f>IF(F79="","",'הגבלה לסכום מבוקש '!AA79)</f>
        <v>27500</v>
      </c>
      <c r="W79" s="349">
        <f t="shared" si="1"/>
        <v>6875</v>
      </c>
      <c r="X79" s="349">
        <f>IF(F79="","",'הזנה לתנאי סף'!Z79)</f>
        <v>27500</v>
      </c>
      <c r="Y79" s="351" t="s">
        <v>3740</v>
      </c>
      <c r="Z79" s="352" t="str">
        <f>IFERROR(VLOOKUP(G79*1,#REF!,3,0),"")</f>
        <v/>
      </c>
      <c r="AA79" s="349" t="str">
        <f>IF(OR($F79="",Z79=""),"",IFERROR(IF(Z79&gt;V79,MIN(Z79,T79)-V79,0),'תחום תמיכה ג'!$Q$2))</f>
        <v/>
      </c>
      <c r="AB79" s="353"/>
      <c r="AC79" s="260" t="str">
        <f t="shared" si="3"/>
        <v/>
      </c>
      <c r="AD79" s="354"/>
      <c r="AE79" s="180"/>
      <c r="AF79" s="355" t="str">
        <f>IF($C79="","",IFERROR(VLOOKUP($C79,גיליון1!$A:$E,2,0),"לא הגיש בקשה שוטפת"))</f>
        <v>תמיכה שוטפת</v>
      </c>
      <c r="AG79" s="355" t="str">
        <f>IF($C79="","",IFERROR(VLOOKUP($C79,גיליון1!$A:$E,3,0),"לא הגיש בקשה שוטפת"))</f>
        <v>חויב</v>
      </c>
      <c r="AH79" s="355" t="str">
        <f>IF($C79="","",IFERROR(VLOOKUP($C79,גיליון1!$A:$E,4,0),"לא הגיש בקשה שוטפת"))</f>
        <v>19-42-02-18</v>
      </c>
      <c r="AI79" s="355" t="str">
        <f>IF($C79="","",IFERROR(VLOOKUP($C79,גיליון1!$A:$E,5,0),"לא הגיש בקשה שוטפת"))</f>
        <v>מוזיאונים ואמנות פלס</v>
      </c>
      <c r="AJ79" s="355">
        <f t="shared" si="2"/>
        <v>1</v>
      </c>
      <c r="AK79" s="15"/>
      <c r="AL79" s="15" t="s">
        <v>31</v>
      </c>
    </row>
    <row r="80" spans="1:38" ht="285.75" x14ac:dyDescent="0.25">
      <c r="A80" s="346">
        <f>'הזנה לתנאי סף'!B80</f>
        <v>50</v>
      </c>
      <c r="B80" s="347">
        <f>IF($F80="","",'הזנה לתנאי סף'!C80)</f>
        <v>1001348701</v>
      </c>
      <c r="C80" s="347">
        <f>IF($F80="","",'הזנה לתנאי סף'!D80)</f>
        <v>1001266423</v>
      </c>
      <c r="D80" s="347">
        <f>IF($F80="","",'הזנה לתנאי סף'!E80)</f>
        <v>40000341</v>
      </c>
      <c r="E80" s="348">
        <f>IF($F80="","",'הזנה לתנאי סף'!F80)</f>
        <v>20000182</v>
      </c>
      <c r="F80" s="348" t="str">
        <f>IF('הזנה לתנאי סף'!BL80=1,'הזנה לתנאי סף'!G80,"")</f>
        <v>חיפה</v>
      </c>
      <c r="G80" s="348" t="str">
        <f>IF($F80="","",'הזנה לתנאי סף'!H80)</f>
        <v>מדעטק- המוזיאון הלאומי למדע</v>
      </c>
      <c r="H80" s="348" t="str">
        <f>IF($F80="","",'הזנה לתנאי סף'!I80)</f>
        <v>מוזיאונים</v>
      </c>
      <c r="I80" s="349">
        <f>IF($F80="","",'הזנה לתנאי סף'!R80)</f>
        <v>25364543</v>
      </c>
      <c r="J80" s="349">
        <f>IF($F80="","",'תחום תמיכה א'!P80)</f>
        <v>26568684</v>
      </c>
      <c r="K80" s="177">
        <f>IF($F80="","",'הזנה לתנאי סף'!N80)</f>
        <v>1</v>
      </c>
      <c r="L80" s="177">
        <f>IF($F80="","",'הזנה לתנאי סף'!O80)</f>
        <v>1</v>
      </c>
      <c r="M80" s="177">
        <f>IF($F80="","",'הזנה לתנאי סף'!Q80)</f>
        <v>1</v>
      </c>
      <c r="N80" s="349">
        <f>IF($F80="","",'תחום תמיכה א'!AE80)</f>
        <v>1147538.1585370442</v>
      </c>
      <c r="O80" s="178"/>
      <c r="P80" s="349">
        <f>IF($F80="","",'תחום תמיכה ב'!AC80)</f>
        <v>2698849.4874431361</v>
      </c>
      <c r="Q80" s="349">
        <f>IF($F80="","",IF('תחום תמיכה ג'!O80="",0,'תחום תמיכה ג'!O80))</f>
        <v>583304.18390494457</v>
      </c>
      <c r="R80" s="349">
        <f t="shared" si="0"/>
        <v>80925.14288799325</v>
      </c>
      <c r="S80" s="349">
        <f>IF($F80="","",'תחום תמיכה ב'!AE80)</f>
        <v>2779774.6303311293</v>
      </c>
      <c r="T80" s="349">
        <f>IF($F80="","",IF(Q80='תחום תמיכה ג'!$Q$2,'תחום תמיכה ג'!$Q$2,IFERROR(SUMIF(N80:R80,"&gt;0"),'תחום תמיכה ג'!$Q$2)))</f>
        <v>4510616.9727731179</v>
      </c>
      <c r="U80" s="349">
        <f>IF($F80="","",'הזנה לתנאי סף'!Y80)</f>
        <v>3000000</v>
      </c>
      <c r="V80" s="350">
        <f>IF(F80="","",'הגבלה לסכום מבוקש '!AA80)</f>
        <v>3000000</v>
      </c>
      <c r="W80" s="349">
        <f t="shared" si="1"/>
        <v>750000</v>
      </c>
      <c r="X80" s="349">
        <f>IF(F80="","",'הזנה לתנאי סף'!Z80)</f>
        <v>3000000</v>
      </c>
      <c r="Y80" s="351" t="s">
        <v>3740</v>
      </c>
      <c r="Z80" s="352" t="str">
        <f>IFERROR(VLOOKUP(G80*1,#REF!,3,0),"")</f>
        <v/>
      </c>
      <c r="AA80" s="349" t="str">
        <f>IF(OR($F80="",Z80=""),"",IFERROR(IF(Z80&gt;V80,MIN(Z80,T80)-V80,0),'תחום תמיכה ג'!$Q$2))</f>
        <v/>
      </c>
      <c r="AB80" s="353"/>
      <c r="AC80" s="260" t="str">
        <f t="shared" si="3"/>
        <v/>
      </c>
      <c r="AD80" s="354"/>
      <c r="AE80" s="180"/>
      <c r="AF80" s="355" t="str">
        <f>IF($C80="","",IFERROR(VLOOKUP($C80,גיליון1!$A:$E,2,0),"לא הגיש בקשה שוטפת"))</f>
        <v>תמיכה שוטפת 2020</v>
      </c>
      <c r="AG80" s="355" t="str">
        <f>IF($C80="","",IFERROR(VLOOKUP($C80,גיליון1!$A:$E,3,0),"לא הגיש בקשה שוטפת"))</f>
        <v>חויב</v>
      </c>
      <c r="AH80" s="355" t="str">
        <f>IF($C80="","",IFERROR(VLOOKUP($C80,גיליון1!$A:$E,4,0),"לא הגיש בקשה שוטפת"))</f>
        <v>19-42-02-18</v>
      </c>
      <c r="AI80" s="355" t="str">
        <f>IF($C80="","",IFERROR(VLOOKUP($C80,גיליון1!$A:$E,5,0),"לא הגיש בקשה שוטפת"))</f>
        <v>מוזיאונים ואמנות פלס</v>
      </c>
      <c r="AJ80" s="355">
        <f t="shared" si="2"/>
        <v>1</v>
      </c>
      <c r="AK80" s="15"/>
      <c r="AL80" s="15" t="s">
        <v>32</v>
      </c>
    </row>
    <row r="81" spans="1:38" ht="285.75" x14ac:dyDescent="0.25">
      <c r="A81" s="346">
        <f>'הזנה לתנאי סף'!B81</f>
        <v>51</v>
      </c>
      <c r="B81" s="347">
        <f>IF($F81="","",'הזנה לתנאי סף'!C81)</f>
        <v>1001346261</v>
      </c>
      <c r="C81" s="347">
        <f>IF($F81="","",'הזנה לתנאי סף'!D81)</f>
        <v>1001274606</v>
      </c>
      <c r="D81" s="347">
        <f>IF($F81="","",'הזנה לתנאי סף'!E81)</f>
        <v>40000183</v>
      </c>
      <c r="E81" s="348">
        <f>IF($F81="","",'הזנה לתנאי סף'!F81)</f>
        <v>20000159</v>
      </c>
      <c r="F81" s="348" t="str">
        <f>IF('הזנה לתנאי סף'!BL81=1,'הזנה לתנאי סף'!G81,"")</f>
        <v>ירושלים</v>
      </c>
      <c r="G81" s="348" t="str">
        <f>IF($F81="","",'הזנה לתנאי סף'!H81)</f>
        <v>מוזיאון המדע ע"ש בלומפילד ירושלים</v>
      </c>
      <c r="H81" s="348" t="str">
        <f>IF($F81="","",'הזנה לתנאי סף'!I81)</f>
        <v>מוזיאונים</v>
      </c>
      <c r="I81" s="349">
        <f>IF($F81="","",'הזנה לתנאי סף'!R81)</f>
        <v>15560591</v>
      </c>
      <c r="J81" s="349">
        <f>IF($F81="","",'תחום תמיכה א'!P81)</f>
        <v>15838744</v>
      </c>
      <c r="K81" s="177">
        <f>IF($F81="","",'הזנה לתנאי סף'!N81)</f>
        <v>1</v>
      </c>
      <c r="L81" s="177">
        <f>IF($F81="","",'הזנה לתנאי סף'!O81)</f>
        <v>1</v>
      </c>
      <c r="M81" s="177">
        <f>IF($F81="","",'הזנה לתנאי סף'!Q81)</f>
        <v>1</v>
      </c>
      <c r="N81" s="349">
        <f>IF($F81="","",'תחום תמיכה א'!AE81)</f>
        <v>630673.46749152406</v>
      </c>
      <c r="O81" s="178"/>
      <c r="P81" s="349">
        <f>IF($F81="","",'תחום תמיכה ב'!AC81)</f>
        <v>1407184.9069467888</v>
      </c>
      <c r="Q81" s="349">
        <f>IF($F81="","",IF('תחום תמיכה ג'!O81="",0,'תחום תמיכה ג'!O81))</f>
        <v>243257.77571415706</v>
      </c>
      <c r="R81" s="349">
        <f t="shared" si="0"/>
        <v>42194.51295610494</v>
      </c>
      <c r="S81" s="349">
        <f>IF($F81="","",'תחום תמיכה ב'!AE81)</f>
        <v>1449379.4199028937</v>
      </c>
      <c r="T81" s="349">
        <f>IF($F81="","",IF(Q81='תחום תמיכה ג'!$Q$2,'תחום תמיכה ג'!$Q$2,IFERROR(SUMIF(N81:R81,"&gt;0"),'תחום תמיכה ג'!$Q$2)))</f>
        <v>2323310.6631085752</v>
      </c>
      <c r="U81" s="349">
        <f>IF($F81="","",'הזנה לתנאי סף'!Y81)</f>
        <v>5000000</v>
      </c>
      <c r="V81" s="350">
        <f>IF(F81="","",'הגבלה לסכום מבוקש '!AA81)</f>
        <v>2564711.063428232</v>
      </c>
      <c r="W81" s="349">
        <f t="shared" si="1"/>
        <v>641177.765857058</v>
      </c>
      <c r="X81" s="349">
        <f>IF(F81="","",'הזנה לתנאי סף'!Z81)</f>
        <v>1000000</v>
      </c>
      <c r="Y81" s="351" t="s">
        <v>3740</v>
      </c>
      <c r="Z81" s="352" t="str">
        <f>IFERROR(VLOOKUP(G81*1,#REF!,3,0),"")</f>
        <v/>
      </c>
      <c r="AA81" s="349" t="str">
        <f>IF(OR($F81="",Z81=""),"",IFERROR(IF(Z81&gt;V81,MIN(Z81,T81)-V81,0),'תחום תמיכה ג'!$Q$2))</f>
        <v/>
      </c>
      <c r="AB81" s="353"/>
      <c r="AC81" s="260" t="str">
        <f t="shared" si="3"/>
        <v/>
      </c>
      <c r="AD81" s="354"/>
      <c r="AE81" s="180"/>
      <c r="AF81" s="355" t="str">
        <f>IF($C81="","",IFERROR(VLOOKUP($C81,גיליון1!$A:$E,2,0),"לא הגיש בקשה שוטפת"))</f>
        <v>תמיכה שוטפת</v>
      </c>
      <c r="AG81" s="355" t="str">
        <f>IF($C81="","",IFERROR(VLOOKUP($C81,גיליון1!$A:$E,3,0),"לא הגיש בקשה שוטפת"))</f>
        <v>חויב</v>
      </c>
      <c r="AH81" s="355" t="str">
        <f>IF($C81="","",IFERROR(VLOOKUP($C81,גיליון1!$A:$E,4,0),"לא הגיש בקשה שוטפת"))</f>
        <v>19-42-02-18</v>
      </c>
      <c r="AI81" s="355" t="str">
        <f>IF($C81="","",IFERROR(VLOOKUP($C81,גיליון1!$A:$E,5,0),"לא הגיש בקשה שוטפת"))</f>
        <v>מוזיאונים ואמנות פלס</v>
      </c>
      <c r="AJ81" s="355">
        <f t="shared" si="2"/>
        <v>0</v>
      </c>
      <c r="AK81" s="15"/>
      <c r="AL81" s="15" t="s">
        <v>33</v>
      </c>
    </row>
    <row r="82" spans="1:38" ht="285.75" x14ac:dyDescent="0.25">
      <c r="A82" s="346">
        <f>'הזנה לתנאי סף'!B82</f>
        <v>52</v>
      </c>
      <c r="B82" s="347">
        <f>IF($F82="","",'הזנה לתנאי סף'!C82)</f>
        <v>1001349066</v>
      </c>
      <c r="C82" s="347">
        <f>IF($F82="","",'הזנה לתנאי סף'!D82)</f>
        <v>1001268608</v>
      </c>
      <c r="D82" s="347">
        <f>IF($F82="","",'הזנה לתנאי סף'!E82)</f>
        <v>40000293</v>
      </c>
      <c r="E82" s="348">
        <f>IF($F82="","",'הזנה לתנאי סף'!F82)</f>
        <v>20000224</v>
      </c>
      <c r="F82" s="348" t="str">
        <f>IF('הזנה לתנאי סף'!BL82=1,'הזנה לתנאי סף'!G82,"")</f>
        <v>חולון</v>
      </c>
      <c r="G82" s="348" t="str">
        <f>IF($F82="","",'הזנה לתנאי סף'!H82)</f>
        <v>החברה לפיתוח תיאטרון מוזיקה אומנות ומחול חולון</v>
      </c>
      <c r="H82" s="348" t="str">
        <f>IF($F82="","",'הזנה לתנאי סף'!I82)</f>
        <v>תיאטרון</v>
      </c>
      <c r="I82" s="349">
        <f>IF($F82="","",'הזנה לתנאי סף'!R82)</f>
        <v>13778524</v>
      </c>
      <c r="J82" s="349">
        <f>IF($F82="","",'תחום תמיכה א'!P82)</f>
        <v>9955313</v>
      </c>
      <c r="K82" s="177">
        <f>IF($F82="","",'הזנה לתנאי סף'!N82)</f>
        <v>0</v>
      </c>
      <c r="L82" s="177">
        <f>IF($F82="","",'הזנה לתנאי סף'!O82)</f>
        <v>1</v>
      </c>
      <c r="M82" s="177">
        <f>IF($F82="","",'הזנה לתנאי סף'!Q82)</f>
        <v>1</v>
      </c>
      <c r="N82" s="349">
        <f>IF($F82="","",'תחום תמיכה א'!AE82)</f>
        <v>200829.68478854789</v>
      </c>
      <c r="O82" s="178"/>
      <c r="P82" s="349">
        <f>IF($F82="","",'תחום תמיכה ב'!AC82)</f>
        <v>319820.36205190164</v>
      </c>
      <c r="Q82" s="349">
        <f>IF($F82="","",IF('תחום תמיכה ג'!O82="",0,'תחום תמיכה ג'!O82))</f>
        <v>0</v>
      </c>
      <c r="R82" s="349">
        <f t="shared" si="0"/>
        <v>9589.8302658069879</v>
      </c>
      <c r="S82" s="349">
        <f>IF($F82="","",'תחום תמיכה ב'!AE82)</f>
        <v>329410.19231770863</v>
      </c>
      <c r="T82" s="349">
        <f>IF($F82="","",IF(Q82='תחום תמיכה ג'!$Q$2,'תחום תמיכה ג'!$Q$2,IFERROR(SUMIF(N82:R82,"&gt;0"),'תחום תמיכה ג'!$Q$2)))</f>
        <v>530239.87710625655</v>
      </c>
      <c r="U82" s="349">
        <f>IF($F82="","",'הזנה לתנאי סף'!Y82)</f>
        <v>1300000</v>
      </c>
      <c r="V82" s="350">
        <f>IF(F82="","",'הגבלה לסכום מבוקש '!AA82)</f>
        <v>585105.57112533262</v>
      </c>
      <c r="W82" s="349">
        <f t="shared" si="1"/>
        <v>146276.39278133315</v>
      </c>
      <c r="X82" s="349">
        <f>IF(F82="","",'הזנה לתנאי סף'!Z82)</f>
        <v>1300000</v>
      </c>
      <c r="Y82" s="351" t="s">
        <v>3740</v>
      </c>
      <c r="Z82" s="352" t="str">
        <f>IFERROR(VLOOKUP(G82*1,#REF!,3,0),"")</f>
        <v/>
      </c>
      <c r="AA82" s="349" t="str">
        <f>IF(OR($F82="",Z82=""),"",IFERROR(IF(Z82&gt;V82,MIN(Z82,T82)-V82,0),'תחום תמיכה ג'!$Q$2))</f>
        <v/>
      </c>
      <c r="AB82" s="353"/>
      <c r="AC82" s="260" t="str">
        <f t="shared" si="3"/>
        <v/>
      </c>
      <c r="AD82" s="354"/>
      <c r="AE82" s="180"/>
      <c r="AF82" s="355" t="str">
        <f>IF($C82="","",IFERROR(VLOOKUP($C82,גיליון1!$A:$E,2,0),"לא הגיש בקשה שוטפת"))</f>
        <v>תאטרון שוטף 2020</v>
      </c>
      <c r="AG82" s="355" t="str">
        <f>IF($C82="","",IFERROR(VLOOKUP($C82,גיליון1!$A:$E,3,0),"לא הגיש בקשה שוטפת"))</f>
        <v>חויב</v>
      </c>
      <c r="AH82" s="355" t="str">
        <f>IF($C82="","",IFERROR(VLOOKUP($C82,גיליון1!$A:$E,4,0),"לא הגיש בקשה שוטפת"))</f>
        <v>19-42-02-07</v>
      </c>
      <c r="AI82" s="355" t="str">
        <f>IF($C82="","",IFERROR(VLOOKUP($C82,גיליון1!$A:$E,5,0),"לא הגיש בקשה שוטפת"))</f>
        <v>תיאטרון</v>
      </c>
      <c r="AJ82" s="355">
        <f t="shared" si="2"/>
        <v>0</v>
      </c>
      <c r="AK82" s="15"/>
      <c r="AL82" s="15" t="s">
        <v>35</v>
      </c>
    </row>
    <row r="83" spans="1:38" ht="285.75" x14ac:dyDescent="0.25">
      <c r="A83" s="346">
        <f>'הזנה לתנאי סף'!B83</f>
        <v>53</v>
      </c>
      <c r="B83" s="347">
        <f>IF($F83="","",'הזנה לתנאי סף'!C83)</f>
        <v>1001350257</v>
      </c>
      <c r="C83" s="347">
        <f>IF($F83="","",'הזנה לתנאי סף'!D83)</f>
        <v>1001268522</v>
      </c>
      <c r="D83" s="347">
        <f>IF($F83="","",'הזנה לתנאי סף'!E83)</f>
        <v>40000293</v>
      </c>
      <c r="E83" s="348">
        <f>IF($F83="","",'הזנה לתנאי סף'!F83)</f>
        <v>20000224</v>
      </c>
      <c r="F83" s="348" t="str">
        <f>IF('הזנה לתנאי סף'!BL83=1,'הזנה לתנאי סף'!G83,"")</f>
        <v>חולון</v>
      </c>
      <c r="G83" s="348" t="str">
        <f>IF($F83="","",'הזנה לתנאי סף'!H83)</f>
        <v>החברה לפיתוח תיאטרון מוזיקה אומנות ומחול חולון</v>
      </c>
      <c r="H83" s="348" t="str">
        <f>IF($F83="","",'הזנה לתנאי סף'!I83)</f>
        <v>מוזיאונים</v>
      </c>
      <c r="I83" s="349">
        <f>IF($F83="","",'הזנה לתנאי סף'!R83)</f>
        <v>9786779</v>
      </c>
      <c r="J83" s="349">
        <f>IF($F83="","",'תחום תמיכה א'!P83)</f>
        <v>10670207</v>
      </c>
      <c r="K83" s="177">
        <f>IF($F83="","",'הזנה לתנאי סף'!N83)</f>
        <v>0</v>
      </c>
      <c r="L83" s="177">
        <f>IF($F83="","",'הזנה לתנאי סף'!O83)</f>
        <v>1</v>
      </c>
      <c r="M83" s="177">
        <f>IF($F83="","",'הזנה לתנאי סף'!Q83)</f>
        <v>1</v>
      </c>
      <c r="N83" s="349">
        <f>IF($F83="","",'תחום תמיכה א'!AE83)</f>
        <v>182527.62211989053</v>
      </c>
      <c r="O83" s="178"/>
      <c r="P83" s="349">
        <f>IF($F83="","",'תחום תמיכה ב'!AC83)</f>
        <v>163346.08215285157</v>
      </c>
      <c r="Q83" s="349">
        <f>IF($F83="","",IF('תחום תמיכה ג'!O83="",0,'תחום תמיכה ג'!O83))</f>
        <v>0</v>
      </c>
      <c r="R83" s="349">
        <f t="shared" si="0"/>
        <v>4897.9408077094122</v>
      </c>
      <c r="S83" s="349">
        <f>IF($F83="","",'תחום תמיכה ב'!AE83)</f>
        <v>168244.02296056098</v>
      </c>
      <c r="T83" s="349">
        <f>IF($F83="","",IF(Q83='תחום תמיכה ג'!$Q$2,'תחום תמיכה ג'!$Q$2,IFERROR(SUMIF(N83:R83,"&gt;0"),'תחום תמיכה ג'!$Q$2)))</f>
        <v>350771.6450804515</v>
      </c>
      <c r="U83" s="349">
        <f>IF($F83="","",'הזנה לתנאי סף'!Y83)</f>
        <v>850000</v>
      </c>
      <c r="V83" s="350">
        <f>IF(F83="","",'הגבלה לסכום מבוקש '!AA83)</f>
        <v>378830.33214129793</v>
      </c>
      <c r="W83" s="349">
        <f t="shared" si="1"/>
        <v>94707.583035324482</v>
      </c>
      <c r="X83" s="349">
        <f>IF(F83="","",'הזנה לתנאי סף'!Z83)</f>
        <v>850000</v>
      </c>
      <c r="Y83" s="351" t="s">
        <v>3740</v>
      </c>
      <c r="Z83" s="352" t="str">
        <f>IFERROR(VLOOKUP(G83*1,#REF!,3,0),"")</f>
        <v/>
      </c>
      <c r="AA83" s="349" t="str">
        <f>IF(OR($F83="",Z83=""),"",IFERROR(IF(Z83&gt;V83,MIN(Z83,T83)-V83,0),'תחום תמיכה ג'!$Q$2))</f>
        <v/>
      </c>
      <c r="AB83" s="353"/>
      <c r="AC83" s="260" t="str">
        <f t="shared" si="3"/>
        <v/>
      </c>
      <c r="AD83" s="354"/>
      <c r="AE83" s="180"/>
      <c r="AF83" s="355" t="str">
        <f>IF($C83="","",IFERROR(VLOOKUP($C83,גיליון1!$A:$E,2,0),"לא הגיש בקשה שוטפת"))</f>
        <v>מוזאון העיצוב שוטף 2020</v>
      </c>
      <c r="AG83" s="355" t="str">
        <f>IF($C83="","",IFERROR(VLOOKUP($C83,גיליון1!$A:$E,3,0),"לא הגיש בקשה שוטפת"))</f>
        <v>חויב</v>
      </c>
      <c r="AH83" s="355" t="str">
        <f>IF($C83="","",IFERROR(VLOOKUP($C83,גיליון1!$A:$E,4,0),"לא הגיש בקשה שוטפת"))</f>
        <v>19-42-02-18</v>
      </c>
      <c r="AI83" s="355" t="str">
        <f>IF($C83="","",IFERROR(VLOOKUP($C83,גיליון1!$A:$E,5,0),"לא הגיש בקשה שוטפת"))</f>
        <v>מוזיאונים ואמנות פלס</v>
      </c>
      <c r="AJ83" s="355">
        <f t="shared" si="2"/>
        <v>0</v>
      </c>
      <c r="AK83" s="15"/>
      <c r="AL83" s="15" t="s">
        <v>37</v>
      </c>
    </row>
    <row r="84" spans="1:38" ht="285.75" x14ac:dyDescent="0.25">
      <c r="A84" s="346">
        <f>'הזנה לתנאי סף'!B84</f>
        <v>54</v>
      </c>
      <c r="B84" s="347">
        <f>IF($F84="","",'הזנה לתנאי סף'!C84)</f>
        <v>1001350298</v>
      </c>
      <c r="C84" s="347">
        <f>IF($F84="","",'הזנה לתנאי סף'!D84)</f>
        <v>1001268564</v>
      </c>
      <c r="D84" s="347">
        <f>IF($F84="","",'הזנה לתנאי סף'!E84)</f>
        <v>40000293</v>
      </c>
      <c r="E84" s="348">
        <f>IF($F84="","",'הזנה לתנאי סף'!F84)</f>
        <v>20000224</v>
      </c>
      <c r="F84" s="348" t="str">
        <f>IF('הזנה לתנאי סף'!BL84=1,'הזנה לתנאי סף'!G84,"")</f>
        <v>חולון</v>
      </c>
      <c r="G84" s="348" t="str">
        <f>IF($F84="","",'הזנה לתנאי סף'!H84)</f>
        <v>החברה לפיתוח תיאטרון מוזיקה אומנות ומחול חולון</v>
      </c>
      <c r="H84" s="348" t="str">
        <f>IF($F84="","",'הזנה לתנאי סף'!I84)</f>
        <v>ספרות</v>
      </c>
      <c r="I84" s="349">
        <f>IF($F84="","",'הזנה לתנאי סף'!R84)</f>
        <v>524913</v>
      </c>
      <c r="J84" s="349">
        <f>IF($F84="","",'תחום תמיכה א'!P84)</f>
        <v>768293</v>
      </c>
      <c r="K84" s="177">
        <f>IF($F84="","",'הזנה לתנאי סף'!N84)</f>
        <v>0</v>
      </c>
      <c r="L84" s="177">
        <f>IF($F84="","",'הזנה לתנאי סף'!O84)</f>
        <v>1</v>
      </c>
      <c r="M84" s="177">
        <f>IF($F84="","",'הזנה לתנאי סף'!Q84)</f>
        <v>1</v>
      </c>
      <c r="N84" s="349">
        <f>IF($F84="","",'תחום תמיכה א'!AE84)</f>
        <v>13420.898216404607</v>
      </c>
      <c r="O84" s="178"/>
      <c r="P84" s="349">
        <f>IF($F84="","",'תחום תמיכה ב'!AC84)</f>
        <v>9135.9597969975839</v>
      </c>
      <c r="Q84" s="349">
        <f>IF($F84="","",IF('תחום תמיכה ג'!O84="",0,'תחום תמיכה ג'!O84))</f>
        <v>0</v>
      </c>
      <c r="R84" s="349">
        <f t="shared" si="0"/>
        <v>273.94223184021394</v>
      </c>
      <c r="S84" s="349">
        <f>IF($F84="","",'תחום תמיכה ב'!AE84)</f>
        <v>9409.9020288377978</v>
      </c>
      <c r="T84" s="349">
        <f>IF($F84="","",IF(Q84='תחום תמיכה ג'!$Q$2,'תחום תמיכה ג'!$Q$2,IFERROR(SUMIF(N84:R84,"&gt;0"),'תחום תמיכה ג'!$Q$2)))</f>
        <v>22830.800245242404</v>
      </c>
      <c r="U84" s="349">
        <f>IF($F84="","",'הזנה לתנאי סף'!Y84)</f>
        <v>100000</v>
      </c>
      <c r="V84" s="350">
        <f>IF(F84="","",'הגבלה לסכום מבוקש '!AA84)</f>
        <v>24401.587478170281</v>
      </c>
      <c r="W84" s="349">
        <f t="shared" si="1"/>
        <v>6100.3968695425701</v>
      </c>
      <c r="X84" s="349">
        <f>IF(F84="","",'הזנה לתנאי סף'!Z84)</f>
        <v>100000</v>
      </c>
      <c r="Y84" s="351" t="s">
        <v>3740</v>
      </c>
      <c r="Z84" s="352" t="str">
        <f>IFERROR(VLOOKUP(G84*1,#REF!,3,0),"")</f>
        <v/>
      </c>
      <c r="AA84" s="349" t="str">
        <f>IF(OR($F84="",Z84=""),"",IFERROR(IF(Z84&gt;V84,MIN(Z84,T84)-V84,0),'תחום תמיכה ג'!$Q$2))</f>
        <v/>
      </c>
      <c r="AB84" s="353"/>
      <c r="AC84" s="260" t="str">
        <f t="shared" si="3"/>
        <v/>
      </c>
      <c r="AD84" s="354"/>
      <c r="AE84" s="180"/>
      <c r="AF84" s="355" t="str">
        <f>IF($C84="","",IFERROR(VLOOKUP($C84,גיליון1!$A:$E,2,0),"לא הגיש בקשה שוטפת"))</f>
        <v>תן למילים 2020</v>
      </c>
      <c r="AG84" s="355" t="str">
        <f>IF($C84="","",IFERROR(VLOOKUP($C84,גיליון1!$A:$E,3,0),"לא הגיש בקשה שוטפת"))</f>
        <v>מועד</v>
      </c>
      <c r="AH84" s="355" t="str">
        <f>IF($C84="","",IFERROR(VLOOKUP($C84,גיליון1!$A:$E,4,0),"לא הגיש בקשה שוטפת"))</f>
        <v>19-42-02-22</v>
      </c>
      <c r="AI84" s="355" t="str">
        <f>IF($C84="","",IFERROR(VLOOKUP($C84,גיליון1!$A:$E,5,0),"לא הגיש בקשה שוטפת"))</f>
        <v>ספרות</v>
      </c>
      <c r="AJ84" s="355">
        <f t="shared" si="2"/>
        <v>0</v>
      </c>
      <c r="AK84" s="15"/>
      <c r="AL84" s="15" t="s">
        <v>36</v>
      </c>
    </row>
    <row r="85" spans="1:38" ht="285.75" x14ac:dyDescent="0.25">
      <c r="A85" s="346">
        <f>'הזנה לתנאי סף'!B85</f>
        <v>55</v>
      </c>
      <c r="B85" s="347">
        <f>IF($F85="","",'הזנה לתנאי סף'!C85)</f>
        <v>1001350320</v>
      </c>
      <c r="C85" s="347">
        <f>IF($F85="","",'הזנה לתנאי סף'!D85)</f>
        <v>1001268529</v>
      </c>
      <c r="D85" s="347">
        <f>IF($F85="","",'הזנה לתנאי סף'!E85)</f>
        <v>40000293</v>
      </c>
      <c r="E85" s="348">
        <f>IF($F85="","",'הזנה לתנאי סף'!F85)</f>
        <v>20000224</v>
      </c>
      <c r="F85" s="348" t="str">
        <f>IF('הזנה לתנאי סף'!BL85=1,'הזנה לתנאי סף'!G85,"")</f>
        <v>חולון</v>
      </c>
      <c r="G85" s="348" t="str">
        <f>IF($F85="","",'הזנה לתנאי סף'!H85)</f>
        <v>החברה לפיתוח תיאטרון מוזיקה אומנות ומחול חולון</v>
      </c>
      <c r="H85" s="348" t="str">
        <f>IF($F85="","",'הזנה לתנאי סף'!I85)</f>
        <v>מוזיאונים</v>
      </c>
      <c r="I85" s="349">
        <f>IF($F85="","",'הזנה לתנאי סף'!R85)</f>
        <v>1718436</v>
      </c>
      <c r="J85" s="349">
        <f>IF($F85="","",'תחום תמיכה א'!P85)</f>
        <v>2470658</v>
      </c>
      <c r="K85" s="177">
        <f>IF($F85="","",'הזנה לתנאי סף'!N85)</f>
        <v>0</v>
      </c>
      <c r="L85" s="177">
        <f>IF($F85="","",'הזנה לתנאי סף'!O85)</f>
        <v>1</v>
      </c>
      <c r="M85" s="177">
        <f>IF($F85="","",'הזנה לתנאי סף'!Q85)</f>
        <v>1</v>
      </c>
      <c r="N85" s="349">
        <f>IF($F85="","",'תחום תמיכה א'!AE85)</f>
        <v>42454.995085317692</v>
      </c>
      <c r="O85" s="178"/>
      <c r="P85" s="349">
        <f>IF($F85="","",'תחום תמיכה ב'!AC85)</f>
        <v>28941.639227069267</v>
      </c>
      <c r="Q85" s="349">
        <f>IF($F85="","",IF('תחום תמיכה ג'!O85="",0,'תחום תמיכה ג'!O85))</f>
        <v>0</v>
      </c>
      <c r="R85" s="349">
        <f t="shared" si="0"/>
        <v>867.81656433987519</v>
      </c>
      <c r="S85" s="349">
        <f>IF($F85="","",'תחום תמיכה ב'!AE85)</f>
        <v>29809.455791409142</v>
      </c>
      <c r="T85" s="349">
        <f>IF($F85="","",IF(Q85='תחום תמיכה ג'!$Q$2,'תחום תמיכה ג'!$Q$2,IFERROR(SUMIF(N85:R85,"&gt;0"),'תחום תמיכה ג'!$Q$2)))</f>
        <v>72264.450876726827</v>
      </c>
      <c r="U85" s="349">
        <f>IF($F85="","",'הזנה לתנאי סף'!Y85)</f>
        <v>200000</v>
      </c>
      <c r="V85" s="350">
        <f>IF(F85="","",'הגבלה לסכום מבוקש '!AA85)</f>
        <v>77240.491205124432</v>
      </c>
      <c r="W85" s="349">
        <f t="shared" si="1"/>
        <v>19310.122801281108</v>
      </c>
      <c r="X85" s="349">
        <f>IF(F85="","",'הזנה לתנאי סף'!Z85)</f>
        <v>200000</v>
      </c>
      <c r="Y85" s="351" t="s">
        <v>3740</v>
      </c>
      <c r="Z85" s="352" t="str">
        <f>IFERROR(VLOOKUP(G85*1,#REF!,3,0),"")</f>
        <v/>
      </c>
      <c r="AA85" s="349" t="str">
        <f>IF(OR($F85="",Z85=""),"",IFERROR(IF(Z85&gt;V85,MIN(Z85,T85)-V85,0),'תחום תמיכה ג'!$Q$2))</f>
        <v/>
      </c>
      <c r="AB85" s="353"/>
      <c r="AC85" s="260" t="str">
        <f t="shared" si="3"/>
        <v/>
      </c>
      <c r="AD85" s="354"/>
      <c r="AE85" s="180"/>
      <c r="AF85" s="355" t="str">
        <f>IF($C85="","",IFERROR(VLOOKUP($C85,גיליון1!$A:$E,2,0),"לא הגיש בקשה שוטפת"))</f>
        <v>מוזאון הקומיקס שוטף 2020</v>
      </c>
      <c r="AG85" s="355" t="str">
        <f>IF($C85="","",IFERROR(VLOOKUP($C85,גיליון1!$A:$E,3,0),"לא הגיש בקשה שוטפת"))</f>
        <v>חויב</v>
      </c>
      <c r="AH85" s="355" t="str">
        <f>IF($C85="","",IFERROR(VLOOKUP($C85,גיליון1!$A:$E,4,0),"לא הגיש בקשה שוטפת"))</f>
        <v>19-42-02-18</v>
      </c>
      <c r="AI85" s="355" t="str">
        <f>IF($C85="","",IFERROR(VLOOKUP($C85,גיליון1!$A:$E,5,0),"לא הגיש בקשה שוטפת"))</f>
        <v>מוזיאונים ואמנות פלס</v>
      </c>
      <c r="AJ85" s="355">
        <f t="shared" si="2"/>
        <v>0</v>
      </c>
      <c r="AK85" s="15"/>
      <c r="AL85" s="15" t="s">
        <v>230</v>
      </c>
    </row>
    <row r="86" spans="1:38" ht="285.75" x14ac:dyDescent="0.25">
      <c r="A86" s="346">
        <f>'הזנה לתנאי סף'!B86</f>
        <v>56</v>
      </c>
      <c r="B86" s="347">
        <f>IF($F86="","",'הזנה לתנאי סף'!C86)</f>
        <v>1001350327</v>
      </c>
      <c r="C86" s="347">
        <f>IF($F86="","",'הזנה לתנאי סף'!D86)</f>
        <v>1001268562</v>
      </c>
      <c r="D86" s="347">
        <f>IF($F86="","",'הזנה לתנאי סף'!E86)</f>
        <v>40000293</v>
      </c>
      <c r="E86" s="348">
        <f>IF($F86="","",'הזנה לתנאי סף'!F86)</f>
        <v>20000224</v>
      </c>
      <c r="F86" s="348" t="str">
        <f>IF('הזנה לתנאי סף'!BL86=1,'הזנה לתנאי סף'!G86,"")</f>
        <v>חולון</v>
      </c>
      <c r="G86" s="348" t="str">
        <f>IF($F86="","",'הזנה לתנאי סף'!H86)</f>
        <v>החברה לפיתוח תיאטרון מוזיקה אומנות ומחול חולון</v>
      </c>
      <c r="H86" s="348" t="str">
        <f>IF($F86="","",'הזנה לתנאי סף'!I86)</f>
        <v>סינמטקים ופסטיבלים</v>
      </c>
      <c r="I86" s="349">
        <f>IF($F86="","",'הזנה לתנאי סף'!R86)</f>
        <v>2262960</v>
      </c>
      <c r="J86" s="349">
        <f>IF($F86="","",'תחום תמיכה א'!P86)</f>
        <v>3875067</v>
      </c>
      <c r="K86" s="177">
        <f>IF($F86="","",'הזנה לתנאי סף'!N86)</f>
        <v>0</v>
      </c>
      <c r="L86" s="177">
        <f>IF($F86="","",'הזנה לתנאי סף'!O86)</f>
        <v>1</v>
      </c>
      <c r="M86" s="177">
        <f>IF($F86="","",'הזנה לתנאי סף'!Q86)</f>
        <v>1</v>
      </c>
      <c r="N86" s="349">
        <f>IF($F86="","",'תחום תמיכה א'!AE86)</f>
        <v>142292.18115465244</v>
      </c>
      <c r="O86" s="178"/>
      <c r="P86" s="349">
        <f>IF($F86="","",'תחום תמיכה ב'!AC86)</f>
        <v>174035.54485720824</v>
      </c>
      <c r="Q86" s="349">
        <f>IF($F86="","",IF('תחום תמיכה ג'!O86="",0,'תחום תמיכה ג'!O86))</f>
        <v>0</v>
      </c>
      <c r="R86" s="349">
        <f t="shared" si="0"/>
        <v>5218.464905392786</v>
      </c>
      <c r="S86" s="349">
        <f>IF($F86="","",'תחום תמיכה ב'!AE86)</f>
        <v>179254.00976260102</v>
      </c>
      <c r="T86" s="349">
        <f>IF($F86="","",IF(Q86='תחום תמיכה ג'!$Q$2,'תחום תמיכה ג'!$Q$2,IFERROR(SUMIF(N86:R86,"&gt;0"),'תחום תמיכה ג'!$Q$2)))</f>
        <v>321546.19091725344</v>
      </c>
      <c r="U86" s="349">
        <f>IF($F86="","",'הזנה לתנאי סף'!Y86)</f>
        <v>800000</v>
      </c>
      <c r="V86" s="350">
        <f>IF(F86="","",'הגבלה לסכום מבוקש '!AA86)</f>
        <v>351417.29579050216</v>
      </c>
      <c r="W86" s="349">
        <f t="shared" si="1"/>
        <v>87854.32394762554</v>
      </c>
      <c r="X86" s="349">
        <f>IF(F86="","",'הזנה לתנאי סף'!Z86)</f>
        <v>800000</v>
      </c>
      <c r="Y86" s="351" t="s">
        <v>3740</v>
      </c>
      <c r="Z86" s="352" t="str">
        <f>IFERROR(VLOOKUP(G86*1,#REF!,3,0),"")</f>
        <v/>
      </c>
      <c r="AA86" s="349" t="str">
        <f>IF(OR($F86="",Z86=""),"",IFERROR(IF(Z86&gt;V86,MIN(Z86,T86)-V86,0),'תחום תמיכה ג'!$Q$2))</f>
        <v/>
      </c>
      <c r="AB86" s="353"/>
      <c r="AC86" s="260" t="str">
        <f t="shared" si="3"/>
        <v/>
      </c>
      <c r="AD86" s="354"/>
      <c r="AE86" s="180"/>
      <c r="AF86" s="355" t="str">
        <f>IF($C86="","",IFERROR(VLOOKUP($C86,גיליון1!$A:$E,2,0),"לא הגיש בקשה שוטפת"))</f>
        <v>סינמטק שוטף 2020</v>
      </c>
      <c r="AG86" s="355" t="str">
        <f>IF($C86="","",IFERROR(VLOOKUP($C86,גיליון1!$A:$E,3,0),"לא הגיש בקשה שוטפת"))</f>
        <v>מועד</v>
      </c>
      <c r="AH86" s="355" t="str">
        <f>IF($C86="","",IFERROR(VLOOKUP($C86,גיליון1!$A:$E,4,0),"לא הגיש בקשה שוטפת"))</f>
        <v>19-42-02-28</v>
      </c>
      <c r="AI86" s="355" t="str">
        <f>IF($C86="","",IFERROR(VLOOKUP($C86,גיליון1!$A:$E,5,0),"לא הגיש בקשה שוטפת"))</f>
        <v>חוק  הקולנוע</v>
      </c>
      <c r="AJ86" s="355">
        <f t="shared" si="2"/>
        <v>0</v>
      </c>
      <c r="AK86" s="15"/>
      <c r="AL86" s="15" t="s">
        <v>39</v>
      </c>
    </row>
    <row r="87" spans="1:38" ht="285.75" x14ac:dyDescent="0.25">
      <c r="A87" s="346">
        <f>'הזנה לתנאי סף'!B87</f>
        <v>57</v>
      </c>
      <c r="B87" s="347">
        <f>IF($F87="","",'הזנה לתנאי סף'!C87)</f>
        <v>1001350660</v>
      </c>
      <c r="C87" s="347">
        <f>IF($F87="","",'הזנה לתנאי סף'!D87)</f>
        <v>1001269476</v>
      </c>
      <c r="D87" s="347">
        <f>IF($F87="","",'הזנה לתנאי סף'!E87)</f>
        <v>40000373</v>
      </c>
      <c r="E87" s="348">
        <f>IF($F87="","",'הזנה לתנאי סף'!F87)</f>
        <v>20000254</v>
      </c>
      <c r="F87" s="348" t="str">
        <f>IF('הזנה לתנאי סף'!BL87=1,'הזנה לתנאי סף'!G87,"")</f>
        <v>באר שבע</v>
      </c>
      <c r="G87" s="348" t="str">
        <f>IF($F87="","",'הזנה לתנאי סף'!H87)</f>
        <v>תיאטרון באר שבע</v>
      </c>
      <c r="H87" s="348" t="str">
        <f>IF($F87="","",'הזנה לתנאי סף'!I87)</f>
        <v>תיאטרון</v>
      </c>
      <c r="I87" s="349">
        <f>IF($F87="","",'הזנה לתנאי סף'!R87)</f>
        <v>30338137</v>
      </c>
      <c r="J87" s="349">
        <f>IF($F87="","",'תחום תמיכה א'!P87)</f>
        <v>34731132</v>
      </c>
      <c r="K87" s="177">
        <f>IF($F87="","",'הזנה לתנאי סף'!N87)</f>
        <v>1</v>
      </c>
      <c r="L87" s="177">
        <f>IF($F87="","",'הזנה לתנאי סף'!O87)</f>
        <v>1</v>
      </c>
      <c r="M87" s="177">
        <f>IF($F87="","",'הזנה לתנאי סף'!Q87)</f>
        <v>1</v>
      </c>
      <c r="N87" s="349">
        <f>IF($F87="","",'תחום תמיכה א'!AE87)</f>
        <v>918542.64019054431</v>
      </c>
      <c r="O87" s="178"/>
      <c r="P87" s="349">
        <f>IF($F87="","",'תחום תמיכה ב'!AC87)</f>
        <v>1210339.2376620863</v>
      </c>
      <c r="Q87" s="349">
        <f>IF($F87="","",IF('תחום תמיכה ג'!O87="",0,'תחום תמיכה ג'!O87))</f>
        <v>15269.438179956118</v>
      </c>
      <c r="R87" s="349">
        <f t="shared" si="0"/>
        <v>36292.085277991137</v>
      </c>
      <c r="S87" s="349">
        <f>IF($F87="","",'תחום תמיכה ב'!AE87)</f>
        <v>1246631.3229400774</v>
      </c>
      <c r="T87" s="349">
        <f>IF($F87="","",IF(Q87='תחום תמיכה ג'!$Q$2,'תחום תמיכה ג'!$Q$2,IFERROR(SUMIF(N87:R87,"&gt;0"),'תחום תמיכה ג'!$Q$2)))</f>
        <v>2180443.401310578</v>
      </c>
      <c r="U87" s="349">
        <f>IF($F87="","",'הזנה לתנאי סף'!Y87)</f>
        <v>5000000</v>
      </c>
      <c r="V87" s="350">
        <f>IF(F87="","",'הגבלה לסכום מבוקש '!AA87)</f>
        <v>2388158.160058727</v>
      </c>
      <c r="W87" s="349">
        <f t="shared" si="1"/>
        <v>597039.54001468176</v>
      </c>
      <c r="X87" s="349">
        <f>IF(F87="","",'הזנה לתנאי סף'!Z87)</f>
        <v>1000000</v>
      </c>
      <c r="Y87" s="351" t="s">
        <v>3740</v>
      </c>
      <c r="Z87" s="352" t="str">
        <f>IFERROR(VLOOKUP(G87*1,#REF!,3,0),"")</f>
        <v/>
      </c>
      <c r="AA87" s="349" t="str">
        <f>IF(OR($F87="",Z87=""),"",IFERROR(IF(Z87&gt;V87,MIN(Z87,T87)-V87,0),'תחום תמיכה ג'!$Q$2))</f>
        <v/>
      </c>
      <c r="AB87" s="353"/>
      <c r="AC87" s="260" t="str">
        <f t="shared" si="3"/>
        <v/>
      </c>
      <c r="AD87" s="354"/>
      <c r="AE87" s="180"/>
      <c r="AF87" s="355" t="str">
        <f>IF($C87="","",IFERROR(VLOOKUP($C87,גיליון1!$A:$E,2,0),"לא הגיש בקשה שוטפת"))</f>
        <v>תמיכה שוטפת לשנת 2020</v>
      </c>
      <c r="AG87" s="355" t="str">
        <f>IF($C87="","",IFERROR(VLOOKUP($C87,גיליון1!$A:$E,3,0),"לא הגיש בקשה שוטפת"))</f>
        <v>חויב</v>
      </c>
      <c r="AH87" s="355" t="str">
        <f>IF($C87="","",IFERROR(VLOOKUP($C87,גיליון1!$A:$E,4,0),"לא הגיש בקשה שוטפת"))</f>
        <v>19-42-02-07</v>
      </c>
      <c r="AI87" s="355" t="str">
        <f>IF($C87="","",IFERROR(VLOOKUP($C87,גיליון1!$A:$E,5,0),"לא הגיש בקשה שוטפת"))</f>
        <v>תיאטרון</v>
      </c>
      <c r="AJ87" s="355">
        <f t="shared" si="2"/>
        <v>0</v>
      </c>
      <c r="AK87" s="15"/>
      <c r="AL87" s="15" t="s">
        <v>42</v>
      </c>
    </row>
    <row r="88" spans="1:38" ht="285.75" x14ac:dyDescent="0.25">
      <c r="A88" s="346">
        <f>'הזנה לתנאי סף'!B88</f>
        <v>58</v>
      </c>
      <c r="B88" s="347">
        <f>IF($F88="","",'הזנה לתנאי סף'!C88)</f>
        <v>1001348833</v>
      </c>
      <c r="C88" s="347">
        <f>IF($F88="","",'הזנה לתנאי סף'!D88)</f>
        <v>1001279924</v>
      </c>
      <c r="D88" s="347">
        <f>IF($F88="","",'הזנה לתנאי סף'!E88)</f>
        <v>40000399</v>
      </c>
      <c r="E88" s="348">
        <f>IF($F88="","",'הזנה לתנאי סף'!F88)</f>
        <v>20000159</v>
      </c>
      <c r="F88" s="348" t="str">
        <f>IF('הזנה לתנאי סף'!BL88=1,'הזנה לתנאי סף'!G88,"")</f>
        <v>ירושלים</v>
      </c>
      <c r="G88" s="348" t="str">
        <f>IF($F88="","",'הזנה לתנאי סף'!H88)</f>
        <v>הקאמרטה הישראלית ירושלים</v>
      </c>
      <c r="H88" s="348" t="str">
        <f>IF($F88="","",'הזנה לתנאי סף'!I88)</f>
        <v>מוסיקה-גופים כליים</v>
      </c>
      <c r="I88" s="349">
        <f>IF($F88="","",'הזנה לתנאי סף'!R88)</f>
        <v>10030000</v>
      </c>
      <c r="J88" s="349">
        <f>IF($F88="","",'תחום תמיכה א'!P88)</f>
        <v>9980000</v>
      </c>
      <c r="K88" s="177">
        <f>IF($F88="","",'הזנה לתנאי סף'!N88)</f>
        <v>1</v>
      </c>
      <c r="L88" s="177">
        <f>IF($F88="","",'הזנה לתנאי סף'!O88)</f>
        <v>1</v>
      </c>
      <c r="M88" s="177">
        <f>IF($F88="","",'הזנה לתנאי סף'!Q88)</f>
        <v>1</v>
      </c>
      <c r="N88" s="349">
        <f>IF($F88="","",'תחום תמיכה א'!AE88)</f>
        <v>231927.4754292318</v>
      </c>
      <c r="O88" s="178"/>
      <c r="P88" s="349">
        <f>IF($F88="","",'תחום תמיכה ב'!AC88)</f>
        <v>308959.59709066455</v>
      </c>
      <c r="Q88" s="349">
        <f>IF($F88="","",IF('תחום תמיכה ג'!O88="",0,'תחום תמיכה ג'!O88))</f>
        <v>53409.345142058992</v>
      </c>
      <c r="R88" s="349">
        <f t="shared" si="0"/>
        <v>9264.1696610010113</v>
      </c>
      <c r="S88" s="349">
        <f>IF($F88="","",'תחום תמיכה ב'!AE88)</f>
        <v>318223.76675166556</v>
      </c>
      <c r="T88" s="349">
        <f>IF($F88="","",IF(Q88='תחום תמיכה ג'!$Q$2,'תחום תמיכה ג'!$Q$2,IFERROR(SUMIF(N88:R88,"&gt;0"),'תחום תמיכה ג'!$Q$2)))</f>
        <v>603560.58732295642</v>
      </c>
      <c r="U88" s="349">
        <f>IF($F88="","",'הזנה לתנאי סף'!Y88)</f>
        <v>2400000</v>
      </c>
      <c r="V88" s="350">
        <f>IF(F88="","",'הגבלה לסכום מבוקש '!AA88)</f>
        <v>656604.68340445694</v>
      </c>
      <c r="W88" s="349">
        <f t="shared" si="1"/>
        <v>164151.17085111424</v>
      </c>
      <c r="X88" s="349">
        <f>IF(F88="","",'הזנה לתנאי סף'!Z88)</f>
        <v>50000</v>
      </c>
      <c r="Y88" s="351" t="s">
        <v>3740</v>
      </c>
      <c r="Z88" s="352" t="str">
        <f>IFERROR(VLOOKUP(G88*1,#REF!,3,0),"")</f>
        <v/>
      </c>
      <c r="AA88" s="349" t="str">
        <f>IF(OR($F88="",Z88=""),"",IFERROR(IF(Z88&gt;V88,MIN(Z88,T88)-V88,0),'תחום תמיכה ג'!$Q$2))</f>
        <v/>
      </c>
      <c r="AB88" s="353"/>
      <c r="AC88" s="260" t="str">
        <f t="shared" si="3"/>
        <v/>
      </c>
      <c r="AD88" s="354"/>
      <c r="AE88" s="180"/>
      <c r="AF88" s="355" t="str">
        <f>IF($C88="","",IFERROR(VLOOKUP($C88,גיליון1!$A:$E,2,0),"לא הגיש בקשה שוטפת"))</f>
        <v>תמיכה בתזמורת קאמרית- הקאמרטה י-ם</v>
      </c>
      <c r="AG88" s="355" t="str">
        <f>IF($C88="","",IFERROR(VLOOKUP($C88,גיליון1!$A:$E,3,0),"לא הגיש בקשה שוטפת"))</f>
        <v>חויב</v>
      </c>
      <c r="AH88" s="355" t="str">
        <f>IF($C88="","",IFERROR(VLOOKUP($C88,גיליון1!$A:$E,4,0),"לא הגיש בקשה שוטפת"))</f>
        <v>19-42-02-16</v>
      </c>
      <c r="AI88" s="355" t="str">
        <f>IF($C88="","",IFERROR(VLOOKUP($C88,גיליון1!$A:$E,5,0),"לא הגיש בקשה שוטפת"))</f>
        <v>מוסיקה</v>
      </c>
      <c r="AJ88" s="355">
        <f t="shared" si="2"/>
        <v>0</v>
      </c>
      <c r="AK88" s="15"/>
      <c r="AL88" s="15" t="s">
        <v>43</v>
      </c>
    </row>
    <row r="89" spans="1:38" ht="285.75" x14ac:dyDescent="0.25">
      <c r="A89" s="346">
        <f>'הזנה לתנאי סף'!B89</f>
        <v>59</v>
      </c>
      <c r="B89" s="347">
        <f>IF($F89="","",'הזנה לתנאי סף'!C89)</f>
        <v>1001349874</v>
      </c>
      <c r="C89" s="347">
        <f>IF($F89="","",'הזנה לתנאי סף'!D89)</f>
        <v>1001269409</v>
      </c>
      <c r="D89" s="347">
        <f>IF($F89="","",'הזנה לתנאי סף'!E89)</f>
        <v>40000299</v>
      </c>
      <c r="E89" s="348">
        <f>IF($F89="","",'הזנה לתנאי סף'!F89)</f>
        <v>20000201</v>
      </c>
      <c r="F89" s="348" t="str">
        <f>IF('הזנה לתנאי סף'!BL89=1,'הזנה לתנאי סף'!G89,"")</f>
        <v>תל אביב -יפו</v>
      </c>
      <c r="G89" s="348" t="str">
        <f>IF($F89="","",'הזנה לתנאי סף'!H89)</f>
        <v>מוזיאון ארץ ישראל ת"א</v>
      </c>
      <c r="H89" s="348" t="str">
        <f>IF($F89="","",'הזנה לתנאי סף'!I89)</f>
        <v>מוזיאונים</v>
      </c>
      <c r="I89" s="349">
        <f>IF($F89="","",'הזנה לתנאי סף'!R89)</f>
        <v>31843000</v>
      </c>
      <c r="J89" s="349">
        <f>IF($F89="","",'תחום תמיכה א'!P89)</f>
        <v>31933000</v>
      </c>
      <c r="K89" s="177">
        <f>IF($F89="","",'הזנה לתנאי סף'!N89)</f>
        <v>1</v>
      </c>
      <c r="L89" s="177">
        <f>IF($F89="","",'הזנה לתנאי סף'!O89)</f>
        <v>1</v>
      </c>
      <c r="M89" s="177">
        <f>IF($F89="","",'הזנה לתנאי סף'!Q89)</f>
        <v>1</v>
      </c>
      <c r="N89" s="349">
        <f>IF($F89="","",'תחום תמיכה א'!AE89)</f>
        <v>766040.76167619159</v>
      </c>
      <c r="O89" s="178"/>
      <c r="P89" s="349">
        <f>IF($F89="","",'תחום תמיכה ב'!AC89)</f>
        <v>1045191.1699937843</v>
      </c>
      <c r="Q89" s="349">
        <f>IF($F89="","",IF('תחום תמיכה ג'!O89="",0,'תחום תמיכה ג'!O89))</f>
        <v>438293.3597211283</v>
      </c>
      <c r="R89" s="349">
        <f t="shared" si="0"/>
        <v>31340.111840452533</v>
      </c>
      <c r="S89" s="349">
        <f>IF($F89="","",'תחום תמיכה ב'!AE89)</f>
        <v>1076531.2818342368</v>
      </c>
      <c r="T89" s="349">
        <f>IF($F89="","",IF(Q89='תחום תמיכה ג'!$Q$2,'תחום תמיכה ג'!$Q$2,IFERROR(SUMIF(N89:R89,"&gt;0"),'תחום תמיכה ג'!$Q$2)))</f>
        <v>2280865.4032315565</v>
      </c>
      <c r="U89" s="349">
        <f>IF($F89="","",'הזנה לתנאי סף'!Y89)</f>
        <v>2500000</v>
      </c>
      <c r="V89" s="350">
        <f>IF(F89="","",'הגבלה לסכום מבוקש '!AA89)</f>
        <v>2460419.1421267339</v>
      </c>
      <c r="W89" s="349">
        <f t="shared" si="1"/>
        <v>615104.78553168348</v>
      </c>
      <c r="X89" s="349">
        <f>IF(F89="","",'הזנה לתנאי סף'!Z89)</f>
        <v>2500000</v>
      </c>
      <c r="Y89" s="351" t="s">
        <v>3740</v>
      </c>
      <c r="Z89" s="352" t="str">
        <f>IFERROR(VLOOKUP(G89*1,#REF!,3,0),"")</f>
        <v/>
      </c>
      <c r="AA89" s="349" t="str">
        <f>IF(OR($F89="",Z89=""),"",IFERROR(IF(Z89&gt;V89,MIN(Z89,T89)-V89,0),'תחום תמיכה ג'!$Q$2))</f>
        <v/>
      </c>
      <c r="AB89" s="353"/>
      <c r="AC89" s="260" t="str">
        <f t="shared" si="3"/>
        <v/>
      </c>
      <c r="AD89" s="354"/>
      <c r="AE89" s="180"/>
      <c r="AF89" s="355" t="str">
        <f>IF($C89="","",IFERROR(VLOOKUP($C89,גיליון1!$A:$E,2,0),"לא הגיש בקשה שוטפת"))</f>
        <v>תמיכה שוטפת לשנת 2020</v>
      </c>
      <c r="AG89" s="355" t="str">
        <f>IF($C89="","",IFERROR(VLOOKUP($C89,גיליון1!$A:$E,3,0),"לא הגיש בקשה שוטפת"))</f>
        <v>חויב</v>
      </c>
      <c r="AH89" s="355" t="str">
        <f>IF($C89="","",IFERROR(VLOOKUP($C89,גיליון1!$A:$E,4,0),"לא הגיש בקשה שוטפת"))</f>
        <v>19-42-02-18</v>
      </c>
      <c r="AI89" s="355" t="str">
        <f>IF($C89="","",IFERROR(VLOOKUP($C89,גיליון1!$A:$E,5,0),"לא הגיש בקשה שוטפת"))</f>
        <v>מוזיאונים ואמנות פלס</v>
      </c>
      <c r="AJ89" s="355">
        <f t="shared" si="2"/>
        <v>0</v>
      </c>
      <c r="AK89" s="15"/>
      <c r="AL89" s="15" t="s">
        <v>45</v>
      </c>
    </row>
    <row r="90" spans="1:38" ht="285.75" x14ac:dyDescent="0.25">
      <c r="A90" s="346">
        <f>'הזנה לתנאי סף'!B90</f>
        <v>60</v>
      </c>
      <c r="B90" s="347">
        <f>IF($F90="","",'הזנה לתנאי סף'!C90)</f>
        <v>1001351086</v>
      </c>
      <c r="C90" s="347">
        <f>IF($F90="","",'הזנה לתנאי סף'!D90)</f>
        <v>1001263868</v>
      </c>
      <c r="D90" s="347">
        <f>IF($F90="","",'הזנה לתנאי סף'!E90)</f>
        <v>40000490</v>
      </c>
      <c r="E90" s="348">
        <f>IF($F90="","",'הזנה לתנאי סף'!F90)</f>
        <v>20000201</v>
      </c>
      <c r="F90" s="348" t="str">
        <f>IF('הזנה לתנאי סף'!BL90=1,'הזנה לתנאי סף'!G90,"")</f>
        <v>תל אביב -יפו</v>
      </c>
      <c r="G90" s="348" t="str">
        <f>IF($F90="","",'הזנה לתנאי סף'!H90)</f>
        <v>המקהלה הקאמרית תל אביב</v>
      </c>
      <c r="H90" s="348" t="str">
        <f>IF($F90="","",'הזנה לתנאי סף'!I90)</f>
        <v>מקהלות</v>
      </c>
      <c r="I90" s="349">
        <f>IF($F90="","",'הזנה לתנאי סף'!R90)</f>
        <v>131113</v>
      </c>
      <c r="J90" s="349">
        <f>IF($F90="","",'תחום תמיכה א'!P90)</f>
        <v>155293</v>
      </c>
      <c r="K90" s="177">
        <f>IF($F90="","",'הזנה לתנאי סף'!N90)</f>
        <v>1</v>
      </c>
      <c r="L90" s="177">
        <f>IF($F90="","",'הזנה לתנאי סף'!O90)</f>
        <v>1</v>
      </c>
      <c r="M90" s="177">
        <f>IF($F90="","",'הזנה לתנאי סף'!Q90)</f>
        <v>1</v>
      </c>
      <c r="N90" s="349">
        <f>IF($F90="","",'תחום תמיכה א'!AE90)</f>
        <v>3450.1735567809196</v>
      </c>
      <c r="O90" s="178"/>
      <c r="P90" s="349">
        <f>IF($F90="","",'תחום תמיכה ב'!AC90)</f>
        <v>3691.3167871576338</v>
      </c>
      <c r="Q90" s="349">
        <f>IF($F90="","",IF('תחום תמיכה ג'!O90="",0,'תחום תמיכה ג'!O90))</f>
        <v>1547.9270040598813</v>
      </c>
      <c r="R90" s="349">
        <f t="shared" si="0"/>
        <v>110.68432672345307</v>
      </c>
      <c r="S90" s="349">
        <f>IF($F90="","",'תחום תמיכה ב'!AE90)</f>
        <v>3802.0011138810869</v>
      </c>
      <c r="T90" s="349">
        <f>IF($F90="","",IF(Q90='תחום תמיכה ג'!$Q$2,'תחום תמיכה ג'!$Q$2,IFERROR(SUMIF(N90:R90,"&gt;0"),'תחום תמיכה ג'!$Q$2)))</f>
        <v>8800.1016747218873</v>
      </c>
      <c r="U90" s="349">
        <f>IF($F90="","",'הזנה לתנאי סף'!Y90)</f>
        <v>120000</v>
      </c>
      <c r="V90" s="350">
        <f>IF(F90="","",'הגבלה לסכום מבוקש '!AA90)</f>
        <v>9434.573312034945</v>
      </c>
      <c r="W90" s="349">
        <f t="shared" si="1"/>
        <v>2358.6433280087363</v>
      </c>
      <c r="X90" s="349">
        <f>IF(F90="","",'הזנה לתנאי סף'!Z90)</f>
        <v>120000</v>
      </c>
      <c r="Y90" s="351" t="s">
        <v>3740</v>
      </c>
      <c r="Z90" s="352" t="str">
        <f>IFERROR(VLOOKUP(G90*1,#REF!,3,0),"")</f>
        <v/>
      </c>
      <c r="AA90" s="349" t="str">
        <f>IF(OR($F90="",Z90=""),"",IFERROR(IF(Z90&gt;V90,MIN(Z90,T90)-V90,0),'תחום תמיכה ג'!$Q$2))</f>
        <v/>
      </c>
      <c r="AB90" s="353"/>
      <c r="AC90" s="260" t="str">
        <f t="shared" si="3"/>
        <v/>
      </c>
      <c r="AD90" s="354"/>
      <c r="AE90" s="180"/>
      <c r="AF90" s="355" t="str">
        <f>IF($C90="","",IFERROR(VLOOKUP($C90,גיליון1!$A:$E,2,0),"לא הגיש בקשה שוטפת"))</f>
        <v>תמיכה 2020</v>
      </c>
      <c r="AG90" s="355" t="str">
        <f>IF($C90="","",IFERROR(VLOOKUP($C90,גיליון1!$A:$E,3,0),"לא הגיש בקשה שוטפת"))</f>
        <v>טיוט</v>
      </c>
      <c r="AH90" s="355" t="str">
        <f>IF($C90="","",IFERROR(VLOOKUP($C90,גיליון1!$A:$E,4,0),"לא הגיש בקשה שוטפת"))</f>
        <v>19-42-02-16</v>
      </c>
      <c r="AI90" s="355" t="str">
        <f>IF($C90="","",IFERROR(VLOOKUP($C90,גיליון1!$A:$E,5,0),"לא הגיש בקשה שוטפת"))</f>
        <v>מוסיקה</v>
      </c>
      <c r="AJ90" s="355">
        <f t="shared" si="2"/>
        <v>0</v>
      </c>
      <c r="AK90" s="15"/>
      <c r="AL90" s="15" t="s">
        <v>46</v>
      </c>
    </row>
    <row r="91" spans="1:38" ht="285.75" x14ac:dyDescent="0.25">
      <c r="A91" s="346">
        <f>'הזנה לתנאי סף'!B91</f>
        <v>61</v>
      </c>
      <c r="B91" s="347">
        <f>IF($F91="","",'הזנה לתנאי סף'!C91)</f>
        <v>1001350880</v>
      </c>
      <c r="C91" s="347">
        <f>IF($F91="","",'הזנה לתנאי סף'!D91)</f>
        <v>1001265925</v>
      </c>
      <c r="D91" s="347">
        <f>IF($F91="","",'הזנה לתנאי סף'!E91)</f>
        <v>40000016</v>
      </c>
      <c r="E91" s="348">
        <f>IF($F91="","",'הזנה לתנאי סף'!F91)</f>
        <v>20000015</v>
      </c>
      <c r="F91" s="348" t="str">
        <f>IF('הזנה לתנאי סף'!BL91=1,'הזנה לתנאי סף'!G91,"")</f>
        <v>מצפה רמון</v>
      </c>
      <c r="G91" s="348" t="str">
        <f>IF($F91="","",'הזנה לתנאי סף'!H91)</f>
        <v>מרכז תרבות מצפה רמון</v>
      </c>
      <c r="H91" s="348" t="str">
        <f>IF($F91="","",'הזנה לתנאי סף'!I91)</f>
        <v>סינמטקים ופסטיבלים</v>
      </c>
      <c r="I91" s="349">
        <f>IF($F91="","",'הזנה לתנאי סף'!R91)</f>
        <v>55000</v>
      </c>
      <c r="J91" s="349">
        <f>IF($F91="","",'תחום תמיכה א'!P91)</f>
        <v>55000</v>
      </c>
      <c r="K91" s="177">
        <f>IF($F91="","",'הזנה לתנאי סף'!N91)</f>
        <v>0</v>
      </c>
      <c r="L91" s="177">
        <f>IF($F91="","",'הזנה לתנאי סף'!O91)</f>
        <v>1</v>
      </c>
      <c r="M91" s="177">
        <f>IF($F91="","",'הזנה לתנאי סף'!Q91)</f>
        <v>1</v>
      </c>
      <c r="N91" s="349">
        <f>IF($F91="","",'תחום תמיכה א'!AE91)</f>
        <v>3006.5476125923451</v>
      </c>
      <c r="O91" s="178"/>
      <c r="P91" s="349">
        <f>IF($F91="","",'תחום תמיכה ב'!AC91)</f>
        <v>9374.1288895747184</v>
      </c>
      <c r="Q91" s="349">
        <f>IF($F91="","",IF('תחום תמיכה ג'!O91="",0,'תחום תמיכה ג'!O91))</f>
        <v>0</v>
      </c>
      <c r="R91" s="349">
        <f t="shared" si="0"/>
        <v>281.08374452477983</v>
      </c>
      <c r="S91" s="349">
        <f>IF($F91="","",'תחום תמיכה ב'!AE91)</f>
        <v>9655.2126340994982</v>
      </c>
      <c r="T91" s="349">
        <f>IF($F91="","",IF(Q91='תחום תמיכה ג'!$Q$2,'תחום תמיכה ג'!$Q$2,IFERROR(SUMIF(N91:R91,"&gt;0"),'תחום תמיכה ג'!$Q$2)))</f>
        <v>12661.760246691843</v>
      </c>
      <c r="U91" s="349">
        <f>IF($F91="","",'הזנה לתנאי סף'!Y91)</f>
        <v>450000</v>
      </c>
      <c r="V91" s="350">
        <f>IF(F91="","",'הגבלה לסכום מבוקש '!AA91)</f>
        <v>14268.595741720734</v>
      </c>
      <c r="W91" s="349">
        <f t="shared" si="1"/>
        <v>3567.1489354301834</v>
      </c>
      <c r="X91" s="349">
        <f>IF(F91="","",'הזנה לתנאי סף'!Z91)</f>
        <v>90000</v>
      </c>
      <c r="Y91" s="351" t="s">
        <v>3740</v>
      </c>
      <c r="Z91" s="352" t="str">
        <f>IFERROR(VLOOKUP(G91*1,#REF!,3,0),"")</f>
        <v/>
      </c>
      <c r="AA91" s="349" t="str">
        <f>IF(OR($F91="",Z91=""),"",IFERROR(IF(Z91&gt;V91,MIN(Z91,T91)-V91,0),'תחום תמיכה ג'!$Q$2))</f>
        <v/>
      </c>
      <c r="AB91" s="353"/>
      <c r="AC91" s="260" t="str">
        <f t="shared" si="3"/>
        <v/>
      </c>
      <c r="AD91" s="354"/>
      <c r="AE91" s="180"/>
      <c r="AF91" s="355" t="str">
        <f>IF($C91="","",IFERROR(VLOOKUP($C91,גיליון1!$A:$E,2,0),"לא הגיש בקשה שוטפת"))</f>
        <v>תמיכה</v>
      </c>
      <c r="AG91" s="355" t="str">
        <f>IF($C91="","",IFERROR(VLOOKUP($C91,גיליון1!$A:$E,3,0),"לא הגיש בקשה שוטפת"))</f>
        <v>בוטל</v>
      </c>
      <c r="AH91" s="355" t="str">
        <f>IF($C91="","",IFERROR(VLOOKUP($C91,גיליון1!$A:$E,4,0),"לא הגיש בקשה שוטפת"))</f>
        <v>19-42-02-31</v>
      </c>
      <c r="AI91" s="355" t="str">
        <f>IF($C91="","",IFERROR(VLOOKUP($C91,גיליון1!$A:$E,5,0),"לא הגיש בקשה שוטפת"))</f>
        <v>תרבות בקהילה תמיכה</v>
      </c>
      <c r="AJ91" s="355">
        <f t="shared" si="2"/>
        <v>0</v>
      </c>
      <c r="AK91" s="15"/>
      <c r="AL91" s="15" t="s">
        <v>254</v>
      </c>
    </row>
    <row r="92" spans="1:38" ht="285.75" x14ac:dyDescent="0.25">
      <c r="A92" s="346">
        <f>'הזנה לתנאי סף'!B92</f>
        <v>62</v>
      </c>
      <c r="B92" s="347">
        <f>IF($F92="","",'הזנה לתנאי סף'!C92)</f>
        <v>1001347234</v>
      </c>
      <c r="C92" s="347">
        <f>IF($F92="","",'הזנה לתנאי סף'!D92)</f>
        <v>1001262482</v>
      </c>
      <c r="D92" s="347">
        <f>IF($F92="","",'הזנה לתנאי סף'!E92)</f>
        <v>40000408</v>
      </c>
      <c r="E92" s="348">
        <f>IF($F92="","",'הזנה לתנאי סף'!F92)</f>
        <v>20000162</v>
      </c>
      <c r="F92" s="348" t="str">
        <f>IF('הזנה לתנאי סף'!BL92=1,'הזנה לתנאי סף'!G92,"")</f>
        <v>חוף הכרמל</v>
      </c>
      <c r="G92" s="348" t="str">
        <f>IF($F92="","",'הזנה לתנאי סף'!H92)</f>
        <v>מוזיאון ינקו דאדא עין הוד</v>
      </c>
      <c r="H92" s="348" t="str">
        <f>IF($F92="","",'הזנה לתנאי סף'!I92)</f>
        <v>מוזיאונים</v>
      </c>
      <c r="I92" s="349">
        <f>IF($F92="","",'הזנה לתנאי סף'!R92)</f>
        <v>1079562</v>
      </c>
      <c r="J92" s="349">
        <f>IF($F92="","",'תחום תמיכה א'!P92)</f>
        <v>1116133</v>
      </c>
      <c r="K92" s="177">
        <f>IF($F92="","",'הזנה לתנאי סף'!N92)</f>
        <v>0</v>
      </c>
      <c r="L92" s="177">
        <f>IF($F92="","",'הזנה לתנאי סף'!O92)</f>
        <v>1</v>
      </c>
      <c r="M92" s="177">
        <f>IF($F92="","",'הזנה לתנאי סף'!Q92)</f>
        <v>1</v>
      </c>
      <c r="N92" s="349">
        <f>IF($F92="","",'תחום תמיכה א'!AE92)</f>
        <v>39860.723462532522</v>
      </c>
      <c r="O92" s="178"/>
      <c r="P92" s="349">
        <f>IF($F92="","",'תחום תמיכה ב'!AC92)</f>
        <v>78535.042563522904</v>
      </c>
      <c r="Q92" s="349">
        <f>IF($F92="","",IF('תחום תמיכה ג'!O92="",0,'תחום תמיכה ג'!O92))</f>
        <v>0</v>
      </c>
      <c r="R92" s="349">
        <f t="shared" si="0"/>
        <v>2354.8773544940486</v>
      </c>
      <c r="S92" s="349">
        <f>IF($F92="","",'תחום תמיכה ב'!AE92)</f>
        <v>80889.919918016953</v>
      </c>
      <c r="T92" s="349">
        <f>IF($F92="","",IF(Q92='תחום תמיכה ג'!$Q$2,'תחום תמיכה ג'!$Q$2,IFERROR(SUMIF(N92:R92,"&gt;0"),'תחום תמיכה ג'!$Q$2)))</f>
        <v>120750.64338054947</v>
      </c>
      <c r="U92" s="349">
        <f>IF($F92="","",'הזנה לתנאי סף'!Y92)</f>
        <v>450000</v>
      </c>
      <c r="V92" s="350">
        <f>IF(F92="","",'הגבלה לסכום מבוקש '!AA92)</f>
        <v>134219.15028654493</v>
      </c>
      <c r="W92" s="349">
        <f t="shared" si="1"/>
        <v>33554.787571636232</v>
      </c>
      <c r="X92" s="349">
        <f>IF(F92="","",'הזנה לתנאי סף'!Z92)</f>
        <v>250000</v>
      </c>
      <c r="Y92" s="351" t="s">
        <v>3740</v>
      </c>
      <c r="Z92" s="352" t="str">
        <f>IFERROR(VLOOKUP(G92*1,#REF!,3,0),"")</f>
        <v/>
      </c>
      <c r="AA92" s="349" t="str">
        <f>IF(OR($F92="",Z92=""),"",IFERROR(IF(Z92&gt;V92,MIN(Z92,T92)-V92,0),'תחום תמיכה ג'!$Q$2))</f>
        <v/>
      </c>
      <c r="AB92" s="353"/>
      <c r="AC92" s="260" t="str">
        <f t="shared" si="3"/>
        <v/>
      </c>
      <c r="AD92" s="354"/>
      <c r="AE92" s="180"/>
      <c r="AF92" s="355" t="str">
        <f>IF($C92="","",IFERROR(VLOOKUP($C92,גיליון1!$A:$E,2,0),"לא הגיש בקשה שוטפת"))</f>
        <v>תמיכה בפעילות השוטפת של המוזיאון</v>
      </c>
      <c r="AG92" s="355" t="str">
        <f>IF($C92="","",IFERROR(VLOOKUP($C92,גיליון1!$A:$E,3,0),"לא הגיש בקשה שוטפת"))</f>
        <v>חויב</v>
      </c>
      <c r="AH92" s="355" t="str">
        <f>IF($C92="","",IFERROR(VLOOKUP($C92,גיליון1!$A:$E,4,0),"לא הגיש בקשה שוטפת"))</f>
        <v>19-42-02-18</v>
      </c>
      <c r="AI92" s="355" t="str">
        <f>IF($C92="","",IFERROR(VLOOKUP($C92,גיליון1!$A:$E,5,0),"לא הגיש בקשה שוטפת"))</f>
        <v>מוזיאונים ואמנות פלס</v>
      </c>
      <c r="AJ92" s="355">
        <f t="shared" si="2"/>
        <v>0</v>
      </c>
      <c r="AK92" s="15"/>
      <c r="AL92" s="15" t="s">
        <v>51</v>
      </c>
    </row>
    <row r="93" spans="1:38" ht="285.75" x14ac:dyDescent="0.25">
      <c r="A93" s="346">
        <f>'הזנה לתנאי סף'!B93</f>
        <v>63</v>
      </c>
      <c r="B93" s="347">
        <f>IF($F93="","",'הזנה לתנאי סף'!C93)</f>
        <v>1001348950</v>
      </c>
      <c r="C93" s="347">
        <f>IF($F93="","",'הזנה לתנאי סף'!D93)</f>
        <v>1001288866</v>
      </c>
      <c r="D93" s="347">
        <f>IF($F93="","",'הזנה לתנאי סף'!E93)</f>
        <v>40000513</v>
      </c>
      <c r="E93" s="348">
        <f>IF($F93="","",'הזנה לתנאי סף'!F93)</f>
        <v>20000102</v>
      </c>
      <c r="F93" s="348" t="str">
        <f>IF('הזנה לתנאי סף'!BL93=1,'הזנה לתנאי סף'!G93,"")</f>
        <v>מעלות-תרשיחא</v>
      </c>
      <c r="G93" s="348" t="str">
        <f>IF($F93="","",'הזנה לתנאי סף'!H93)</f>
        <v>בית האומנות לחינוך ולתרבות - תרשיחא</v>
      </c>
      <c r="H93" s="348" t="str">
        <f>IF($F93="","",'הזנה לתנאי סף'!I93)</f>
        <v>תרבות ערבית</v>
      </c>
      <c r="I93" s="349">
        <f>IF($F93="","",'הזנה לתנאי סף'!R93)</f>
        <v>1393771</v>
      </c>
      <c r="J93" s="349">
        <f>IF($F93="","",'תחום תמיכה א'!P93)</f>
        <v>1368038</v>
      </c>
      <c r="K93" s="177">
        <f>IF($F93="","",'הזנה לתנאי סף'!N93)</f>
        <v>0</v>
      </c>
      <c r="L93" s="177">
        <f>IF($F93="","",'הזנה לתנאי סף'!O93)</f>
        <v>1</v>
      </c>
      <c r="M93" s="177">
        <f>IF($F93="","",'הזנה לתנאי סף'!Q93)</f>
        <v>1</v>
      </c>
      <c r="N93" s="349">
        <f>IF($F93="","",'תחום תמיכה א'!AE93)</f>
        <v>23369.753947183312</v>
      </c>
      <c r="O93" s="178"/>
      <c r="P93" s="349">
        <f>IF($F93="","",'תחום תמיכה ב'!AC93)</f>
        <v>23198.548905250787</v>
      </c>
      <c r="Q93" s="349">
        <f>IF($F93="","",IF('תחום תמיכה ג'!O93="",0,'תחום תמיכה ג'!O93))</f>
        <v>0</v>
      </c>
      <c r="R93" s="349">
        <f t="shared" si="0"/>
        <v>695.60970098043617</v>
      </c>
      <c r="S93" s="349">
        <f>IF($F93="","",'תחום תמיכה ב'!AE93)</f>
        <v>23894.158606231224</v>
      </c>
      <c r="T93" s="349">
        <f>IF($F93="","",IF(Q93='תחום תמיכה ג'!$Q$2,'תחום תמיכה ג'!$Q$2,IFERROR(SUMIF(N93:R93,"&gt;0"),'תחום תמיכה ג'!$Q$2)))</f>
        <v>47263.912553414535</v>
      </c>
      <c r="U93" s="349">
        <f>IF($F93="","",'הזנה לתנאי סף'!Y93)</f>
        <v>1050000</v>
      </c>
      <c r="V93" s="350">
        <f>IF(F93="","",'הגבלה לסכום מבוקש '!AA93)</f>
        <v>51247.668613017398</v>
      </c>
      <c r="W93" s="349">
        <f t="shared" si="1"/>
        <v>12811.91715325435</v>
      </c>
      <c r="X93" s="349">
        <f>IF(F93="","",'הזנה לתנאי סף'!Z93)</f>
        <v>50000</v>
      </c>
      <c r="Y93" s="351" t="s">
        <v>3740</v>
      </c>
      <c r="Z93" s="352" t="str">
        <f>IFERROR(VLOOKUP(G93*1,#REF!,3,0),"")</f>
        <v/>
      </c>
      <c r="AA93" s="349" t="str">
        <f>IF(OR($F93="",Z93=""),"",IFERROR(IF(Z93&gt;V93,MIN(Z93,T93)-V93,0),'תחום תמיכה ג'!$Q$2))</f>
        <v/>
      </c>
      <c r="AB93" s="353"/>
      <c r="AC93" s="260" t="str">
        <f t="shared" si="3"/>
        <v/>
      </c>
      <c r="AD93" s="354"/>
      <c r="AE93" s="180"/>
      <c r="AF93" s="355" t="str">
        <f>IF($C93="","",IFERROR(VLOOKUP($C93,גיליון1!$A:$E,2,0),"לא הגיש בקשה שוטפת"))</f>
        <v>שוטף</v>
      </c>
      <c r="AG93" s="355" t="str">
        <f>IF($C93="","",IFERROR(VLOOKUP($C93,גיליון1!$A:$E,3,0),"לא הגיש בקשה שוטפת"))</f>
        <v>מועד</v>
      </c>
      <c r="AH93" s="355" t="str">
        <f>IF($C93="","",IFERROR(VLOOKUP($C93,גיליון1!$A:$E,4,0),"לא הגיש בקשה שוטפת"))</f>
        <v>19-42-02-33</v>
      </c>
      <c r="AI93" s="355" t="str">
        <f>IF($C93="","",IFERROR(VLOOKUP($C93,גיליון1!$A:$E,5,0),"לא הגיש בקשה שוטפת"))</f>
        <v>תרבות ערבית ודרוזית</v>
      </c>
      <c r="AJ93" s="355">
        <f t="shared" si="2"/>
        <v>0</v>
      </c>
      <c r="AK93" s="15"/>
      <c r="AL93" s="15" t="s">
        <v>52</v>
      </c>
    </row>
    <row r="94" spans="1:38" ht="285.75" x14ac:dyDescent="0.25">
      <c r="A94" s="346">
        <f>'הזנה לתנאי סף'!B94</f>
        <v>64</v>
      </c>
      <c r="B94" s="347">
        <f>IF($F94="","",'הזנה לתנאי סף'!C94)</f>
        <v>1001350242</v>
      </c>
      <c r="C94" s="347">
        <f>IF($F94="","",'הזנה לתנאי סף'!D94)</f>
        <v>1001277229</v>
      </c>
      <c r="D94" s="347">
        <f>IF($F94="","",'הזנה לתנאי סף'!E94)</f>
        <v>40000531</v>
      </c>
      <c r="E94" s="348">
        <f>IF($F94="","",'הזנה לתנאי סף'!F94)</f>
        <v>20000005</v>
      </c>
      <c r="F94" s="348" t="str">
        <f>IF('הזנה לתנאי סף'!BL94=1,'הזנה לתנאי סף'!G94,"")</f>
        <v>אליכין</v>
      </c>
      <c r="G94" s="348" t="str">
        <f>IF($F94="","",'הזנה לתנאי סף'!H94)</f>
        <v>מכון רימון לידיעת הארץ</v>
      </c>
      <c r="H94" s="348" t="str">
        <f>IF($F94="","",'הזנה לתנאי סף'!I94)</f>
        <v>מוזיאונים</v>
      </c>
      <c r="I94" s="349">
        <f>IF($F94="","",'הזנה לתנאי סף'!R94)</f>
        <v>649541</v>
      </c>
      <c r="J94" s="349">
        <f>IF($F94="","",'תחום תמיכה א'!P94)</f>
        <v>815816</v>
      </c>
      <c r="K94" s="177">
        <f>IF($F94="","",'הזנה לתנאי סף'!N94)</f>
        <v>0</v>
      </c>
      <c r="L94" s="177">
        <f>IF($F94="","",'הזנה לתנאי סף'!O94)</f>
        <v>1</v>
      </c>
      <c r="M94" s="177">
        <f>IF($F94="","",'הזנה לתנאי סף'!Q94)</f>
        <v>1</v>
      </c>
      <c r="N94" s="349">
        <f>IF($F94="","",'תחום תמיכה א'!AE94)</f>
        <v>15913.478808142514</v>
      </c>
      <c r="O94" s="178"/>
      <c r="P94" s="349">
        <f>IF($F94="","",'תחום תמיכה ב'!AC94)</f>
        <v>14096.452460526216</v>
      </c>
      <c r="Q94" s="349">
        <f>IF($F94="","",IF('תחום תמיכה ג'!O94="",0,'תחום תמיכה ג'!O94))</f>
        <v>0</v>
      </c>
      <c r="R94" s="349">
        <f t="shared" si="0"/>
        <v>422.68286352738869</v>
      </c>
      <c r="S94" s="349">
        <f>IF($F94="","",'תחום תמיכה ב'!AE94)</f>
        <v>14519.135324053605</v>
      </c>
      <c r="T94" s="349">
        <f>IF($F94="","",IF(Q94='תחום תמיכה ג'!$Q$2,'תחום תמיכה ג'!$Q$2,IFERROR(SUMIF(N94:R94,"&gt;0"),'תחום תמיכה ג'!$Q$2)))</f>
        <v>30432.614132196119</v>
      </c>
      <c r="U94" s="349">
        <f>IF($F94="","",'הזנה לתנאי סף'!Y94)</f>
        <v>1600000</v>
      </c>
      <c r="V94" s="350">
        <f>IF(F94="","",'הגבלה לסכום מבוקש '!AA94)</f>
        <v>32854.09843925458</v>
      </c>
      <c r="W94" s="349">
        <f t="shared" si="1"/>
        <v>8213.5246098136449</v>
      </c>
      <c r="X94" s="349">
        <f>IF(F94="","",'הזנה לתנאי סף'!Z94)</f>
        <v>40000</v>
      </c>
      <c r="Y94" s="351" t="s">
        <v>3740</v>
      </c>
      <c r="Z94" s="352" t="str">
        <f>IFERROR(VLOOKUP(G94*1,#REF!,3,0),"")</f>
        <v/>
      </c>
      <c r="AA94" s="349" t="str">
        <f>IF(OR($F94="",Z94=""),"",IFERROR(IF(Z94&gt;V94,MIN(Z94,T94)-V94,0),'תחום תמיכה ג'!$Q$2))</f>
        <v/>
      </c>
      <c r="AB94" s="353"/>
      <c r="AC94" s="260" t="str">
        <f t="shared" si="3"/>
        <v/>
      </c>
      <c r="AD94" s="354"/>
      <c r="AE94" s="180"/>
      <c r="AF94" s="355" t="str">
        <f>IF($C94="","",IFERROR(VLOOKUP($C94,גיליון1!$A:$E,2,0),"לא הגיש בקשה שוטפת"))</f>
        <v>מוזיאון שוטפת 2020</v>
      </c>
      <c r="AG94" s="355" t="str">
        <f>IF($C94="","",IFERROR(VLOOKUP($C94,גיליון1!$A:$E,3,0),"לא הגיש בקשה שוטפת"))</f>
        <v>חויב</v>
      </c>
      <c r="AH94" s="355" t="str">
        <f>IF($C94="","",IFERROR(VLOOKUP($C94,גיליון1!$A:$E,4,0),"לא הגיש בקשה שוטפת"))</f>
        <v>19-42-02-18</v>
      </c>
      <c r="AI94" s="355" t="str">
        <f>IF($C94="","",IFERROR(VLOOKUP($C94,גיליון1!$A:$E,5,0),"לא הגיש בקשה שוטפת"))</f>
        <v>מוזיאונים ואמנות פלס</v>
      </c>
      <c r="AJ94" s="355">
        <f t="shared" si="2"/>
        <v>0</v>
      </c>
      <c r="AK94" s="15"/>
      <c r="AL94" s="15" t="s">
        <v>55</v>
      </c>
    </row>
    <row r="95" spans="1:38" ht="285.75" x14ac:dyDescent="0.25">
      <c r="A95" s="346">
        <f>'הזנה לתנאי סף'!B95</f>
        <v>65</v>
      </c>
      <c r="B95" s="347">
        <f>IF($F95="","",'הזנה לתנאי סף'!C95)</f>
        <v>1001348656</v>
      </c>
      <c r="C95" s="347">
        <f>IF($F95="","",'הזנה לתנאי סף'!D95)</f>
        <v>1001274980</v>
      </c>
      <c r="D95" s="347">
        <f>IF($F95="","",'הזנה לתנאי סף'!E95)</f>
        <v>40000533</v>
      </c>
      <c r="E95" s="348">
        <f>IF($F95="","",'הזנה לתנאי סף'!F95)</f>
        <v>20000159</v>
      </c>
      <c r="F95" s="348" t="str">
        <f>IF('הזנה לתנאי סף'!BL95=1,'הזנה לתנאי סף'!G95,"")</f>
        <v>ירושלים</v>
      </c>
      <c r="G95" s="348" t="str">
        <f>IF($F95="","",'הזנה לתנאי סף'!H95)</f>
        <v xml:space="preserve">תזמורת הבארוק ירושלים </v>
      </c>
      <c r="H95" s="348" t="str">
        <f>IF($F95="","",'הזנה לתנאי סף'!I95)</f>
        <v>מוסיקה-גופים כליים</v>
      </c>
      <c r="I95" s="349">
        <f>IF($F95="","",'הזנה לתנאי סף'!R95)</f>
        <v>1630035</v>
      </c>
      <c r="J95" s="349">
        <f>IF($F95="","",'תחום תמיכה א'!P95)</f>
        <v>1415947</v>
      </c>
      <c r="K95" s="177">
        <f>IF($F95="","",'הזנה לתנאי סף'!N95)</f>
        <v>1</v>
      </c>
      <c r="L95" s="177">
        <f>IF($F95="","",'הזנה לתנאי סף'!O95)</f>
        <v>1</v>
      </c>
      <c r="M95" s="177">
        <f>IF($F95="","",'הזנה לתנאי סף'!Q95)</f>
        <v>1</v>
      </c>
      <c r="N95" s="349">
        <f>IF($F95="","",'תחום תמיכה א'!AE95)</f>
        <v>30384.490924826892</v>
      </c>
      <c r="O95" s="178"/>
      <c r="P95" s="349">
        <f>IF($F95="","",'תחום תמיכה ב'!AC95)</f>
        <v>42811.880192629738</v>
      </c>
      <c r="Q95" s="349">
        <f>IF($F95="","",IF('תחום תמיכה ג'!O95="",0,'תחום תמיכה ג'!O95))</f>
        <v>7400.8203885560115</v>
      </c>
      <c r="R95" s="349">
        <f t="shared" si="0"/>
        <v>1283.7164643718206</v>
      </c>
      <c r="S95" s="349">
        <f>IF($F95="","",'תחום תמיכה ב'!AE95)</f>
        <v>44095.596657001559</v>
      </c>
      <c r="T95" s="349">
        <f>IF($F95="","",IF(Q95='תחום תמיכה ג'!$Q$2,'תחום תמיכה ג'!$Q$2,IFERROR(SUMIF(N95:R95,"&gt;0"),'תחום תמיכה ג'!$Q$2)))</f>
        <v>81880.907970384462</v>
      </c>
      <c r="U95" s="349">
        <f>IF($F95="","",'הזנה לתנאי סף'!Y95)</f>
        <v>120000</v>
      </c>
      <c r="V95" s="350">
        <f>IF(F95="","",'הגבלה לסכום מבוקש '!AA95)</f>
        <v>89230.318283377506</v>
      </c>
      <c r="W95" s="349">
        <f t="shared" si="1"/>
        <v>22307.579570844377</v>
      </c>
      <c r="X95" s="349">
        <f>IF(F95="","",'הזנה לתנאי סף'!Z95)</f>
        <v>120000</v>
      </c>
      <c r="Y95" s="351" t="s">
        <v>3740</v>
      </c>
      <c r="Z95" s="352" t="str">
        <f>IFERROR(VLOOKUP(G95*1,#REF!,3,0),"")</f>
        <v/>
      </c>
      <c r="AA95" s="349" t="str">
        <f>IF(OR($F95="",Z95=""),"",IFERROR(IF(Z95&gt;V95,MIN(Z95,T95)-V95,0),'תחום תמיכה ג'!$Q$2))</f>
        <v/>
      </c>
      <c r="AB95" s="353"/>
      <c r="AC95" s="260" t="str">
        <f t="shared" si="3"/>
        <v/>
      </c>
      <c r="AD95" s="354"/>
      <c r="AE95" s="180"/>
      <c r="AF95" s="355" t="str">
        <f>IF($C95="","",IFERROR(VLOOKUP($C95,גיליון1!$A:$E,2,0),"לא הגיש בקשה שוטפת"))</f>
        <v>תמיכה בפעילות שוטפת 2020</v>
      </c>
      <c r="AG95" s="355" t="str">
        <f>IF($C95="","",IFERROR(VLOOKUP($C95,גיליון1!$A:$E,3,0),"לא הגיש בקשה שוטפת"))</f>
        <v>חויב</v>
      </c>
      <c r="AH95" s="355" t="str">
        <f>IF($C95="","",IFERROR(VLOOKUP($C95,גיליון1!$A:$E,4,0),"לא הגיש בקשה שוטפת"))</f>
        <v>19-42-02-16</v>
      </c>
      <c r="AI95" s="355" t="str">
        <f>IF($C95="","",IFERROR(VLOOKUP($C95,גיליון1!$A:$E,5,0),"לא הגיש בקשה שוטפת"))</f>
        <v>מוסיקה</v>
      </c>
      <c r="AJ95" s="355">
        <f t="shared" si="2"/>
        <v>0</v>
      </c>
      <c r="AK95" s="15"/>
      <c r="AL95" s="15" t="s">
        <v>58</v>
      </c>
    </row>
    <row r="96" spans="1:38" ht="285.75" x14ac:dyDescent="0.25">
      <c r="A96" s="346">
        <f>'הזנה לתנאי סף'!B96</f>
        <v>66</v>
      </c>
      <c r="B96" s="347">
        <f>IF($F96="","",'הזנה לתנאי סף'!C96)</f>
        <v>1001347378</v>
      </c>
      <c r="C96" s="347">
        <f>IF($F96="","",'הזנה לתנאי סף'!D96)</f>
        <v>1001266836</v>
      </c>
      <c r="D96" s="347">
        <f>IF($F96="","",'הזנה לתנאי סף'!E96)</f>
        <v>40000550</v>
      </c>
      <c r="E96" s="348">
        <f>IF($F96="","",'הזנה לתנאי סף'!F96)</f>
        <v>20000096</v>
      </c>
      <c r="F96" s="348" t="str">
        <f>IF('הזנה לתנאי סף'!BL96=1,'הזנה לתנאי סף'!G96,"")</f>
        <v>שדרות</v>
      </c>
      <c r="G96" s="348" t="str">
        <f>IF($F96="","",'הזנה לתנאי סף'!H96)</f>
        <v>מרכז התנועה שדרות אדמה (ע''ר)</v>
      </c>
      <c r="H96" s="348" t="str">
        <f>IF($F96="","",'הזנה לתנאי סף'!I96)</f>
        <v>מחול</v>
      </c>
      <c r="I96" s="349">
        <f>IF($F96="","",'הזנה לתנאי סף'!R96)</f>
        <v>1005807</v>
      </c>
      <c r="J96" s="349">
        <f>IF($F96="","",'תחום תמיכה א'!P96)</f>
        <v>970975</v>
      </c>
      <c r="K96" s="177">
        <f>IF($F96="","",'הזנה לתנאי סף'!N96)</f>
        <v>0</v>
      </c>
      <c r="L96" s="177">
        <f>IF($F96="","",'הזנה לתנאי סף'!O96)</f>
        <v>1</v>
      </c>
      <c r="M96" s="177">
        <f>IF($F96="","",'הזנה לתנאי סף'!Q96)</f>
        <v>1</v>
      </c>
      <c r="N96" s="349">
        <f>IF($F96="","",'תחום תמיכה א'!AE96)</f>
        <v>16385.895692522063</v>
      </c>
      <c r="O96" s="178"/>
      <c r="P96" s="349">
        <f>IF($F96="","",'תחום תמיכה ב'!AC96)</f>
        <v>16337.905050349647</v>
      </c>
      <c r="Q96" s="349">
        <f>IF($F96="","",IF('תחום תמיכה ג'!O96="",0,'תחום תמיכה ג'!O96))</f>
        <v>0</v>
      </c>
      <c r="R96" s="349">
        <f t="shared" ref="R96:R159" si="4">IF($F96="","",IFERROR(S96-P96,""))</f>
        <v>489.89293654260109</v>
      </c>
      <c r="S96" s="349">
        <f>IF($F96="","",'תחום תמיכה ב'!AE96)</f>
        <v>16827.797986892248</v>
      </c>
      <c r="T96" s="349">
        <f>IF($F96="","",IF(Q96='תחום תמיכה ג'!$Q$2,'תחום תמיכה ג'!$Q$2,IFERROR(SUMIF(N96:R96,"&gt;0"),'תחום תמיכה ג'!$Q$2)))</f>
        <v>33213.693679414311</v>
      </c>
      <c r="U96" s="349">
        <f>IF($F96="","",'הזנה לתנאי סף'!Y96)</f>
        <v>1250000</v>
      </c>
      <c r="V96" s="350">
        <f>IF(F96="","",'הגבלה לסכום מבוקש '!AA96)</f>
        <v>36019.276986558129</v>
      </c>
      <c r="W96" s="349">
        <f t="shared" ref="W96:W159" si="5">IF(G96="","",V96/4)</f>
        <v>9004.8192466395321</v>
      </c>
      <c r="X96" s="349">
        <f>IF(F96="","",'הזנה לתנאי סף'!Z96)</f>
        <v>1250000</v>
      </c>
      <c r="Y96" s="351" t="s">
        <v>3740</v>
      </c>
      <c r="Z96" s="352" t="str">
        <f>IFERROR(VLOOKUP(G96*1,#REF!,3,0),"")</f>
        <v/>
      </c>
      <c r="AA96" s="349" t="str">
        <f>IF(OR($F96="",Z96=""),"",IFERROR(IF(Z96&gt;V96,MIN(Z96,T96)-V96,0),'תחום תמיכה ג'!$Q$2))</f>
        <v/>
      </c>
      <c r="AB96" s="353"/>
      <c r="AC96" s="260" t="str">
        <f t="shared" si="3"/>
        <v/>
      </c>
      <c r="AD96" s="354"/>
      <c r="AE96" s="180"/>
      <c r="AF96" s="355" t="str">
        <f>IF($C96="","",IFERROR(VLOOKUP($C96,גיליון1!$A:$E,2,0),"לא הגיש בקשה שוטפת"))</f>
        <v>מרכז מחול בשדרות</v>
      </c>
      <c r="AG96" s="355" t="str">
        <f>IF($C96="","",IFERROR(VLOOKUP($C96,גיליון1!$A:$E,3,0),"לא הגיש בקשה שוטפת"))</f>
        <v>חויב</v>
      </c>
      <c r="AH96" s="355" t="str">
        <f>IF($C96="","",IFERROR(VLOOKUP($C96,גיליון1!$A:$E,4,0),"לא הגיש בקשה שוטפת"))</f>
        <v>19-42-02-20</v>
      </c>
      <c r="AI96" s="355" t="str">
        <f>IF($C96="","",IFERROR(VLOOKUP($C96,גיליון1!$A:$E,5,0),"לא הגיש בקשה שוטפת"))</f>
        <v>מחול וארגוני גג</v>
      </c>
      <c r="AJ96" s="355">
        <f t="shared" ref="AJ96:AJ159" si="6">IF(T96&gt;U96,1,0)</f>
        <v>0</v>
      </c>
      <c r="AK96" s="15"/>
      <c r="AL96" s="15" t="s">
        <v>255</v>
      </c>
    </row>
    <row r="97" spans="1:38" ht="285.75" x14ac:dyDescent="0.25">
      <c r="A97" s="346">
        <f>'הזנה לתנאי סף'!B97</f>
        <v>67</v>
      </c>
      <c r="B97" s="347">
        <f>IF($F97="","",'הזנה לתנאי סף'!C97)</f>
        <v>1001348650</v>
      </c>
      <c r="C97" s="347">
        <f>IF($F97="","",'הזנה לתנאי סף'!D97)</f>
        <v>1001270091</v>
      </c>
      <c r="D97" s="347">
        <f>IF($F97="","",'הזנה לתנאי סף'!E97)</f>
        <v>40000685</v>
      </c>
      <c r="E97" s="348">
        <f>IF($F97="","",'הזנה לתנאי סף'!F97)</f>
        <v>20000231</v>
      </c>
      <c r="F97" s="348" t="str">
        <f>IF('הזנה לתנאי סף'!BL97=1,'הזנה לתנאי סף'!G97,"")</f>
        <v>נצרת</v>
      </c>
      <c r="G97" s="348" t="str">
        <f>IF($F97="","",'הזנה לתנאי סף'!H97)</f>
        <v>אלערביא לתרבות ואמנות</v>
      </c>
      <c r="H97" s="348" t="str">
        <f>IF($F97="","",'הזנה לתנאי סף'!I97)</f>
        <v>תרבות ערבית</v>
      </c>
      <c r="I97" s="349">
        <f>IF($F97="","",'הזנה לתנאי סף'!R97)</f>
        <v>37960</v>
      </c>
      <c r="J97" s="349">
        <f>IF($F97="","",'תחום תמיכה א'!P97)</f>
        <v>37168</v>
      </c>
      <c r="K97" s="177">
        <f>IF($F97="","",'הזנה לתנאי סף'!N97)</f>
        <v>0</v>
      </c>
      <c r="L97" s="177">
        <f>IF($F97="","",'הזנה לתנאי סף'!O97)</f>
        <v>1</v>
      </c>
      <c r="M97" s="177">
        <f>IF($F97="","",'הזנה לתנאי סף'!Q97)</f>
        <v>1</v>
      </c>
      <c r="N97" s="349">
        <f>IF($F97="","",'תחום תמיכה א'!AE97)</f>
        <v>2031.7702120878594</v>
      </c>
      <c r="O97" s="178"/>
      <c r="P97" s="349">
        <f>IF($F97="","",'תחום תמיכה ב'!AC97)</f>
        <v>6469.8533208773879</v>
      </c>
      <c r="Q97" s="349">
        <f>IF($F97="","",IF('תחום תמיכה ג'!O97="",0,'תחום תמיכה ג'!O97))</f>
        <v>0</v>
      </c>
      <c r="R97" s="349">
        <f t="shared" si="4"/>
        <v>193.99888985746657</v>
      </c>
      <c r="S97" s="349">
        <f>IF($F97="","",'תחום תמיכה ב'!AE97)</f>
        <v>6663.8522107348545</v>
      </c>
      <c r="T97" s="349">
        <f>IF($F97="","",IF(Q97='תחום תמיכה ג'!$Q$2,'תחום תמיכה ג'!$Q$2,IFERROR(SUMIF(N97:R97,"&gt;0"),'תחום תמיכה ג'!$Q$2)))</f>
        <v>8695.6224228227147</v>
      </c>
      <c r="U97" s="349">
        <f>IF($F97="","",'הזנה לתנאי סף'!Y97)</f>
        <v>65000</v>
      </c>
      <c r="V97" s="350">
        <f>IF(F97="","",'הגבלה לסכום מבוקש '!AA97)</f>
        <v>9804.6113532691634</v>
      </c>
      <c r="W97" s="349">
        <f t="shared" si="5"/>
        <v>2451.1528383172908</v>
      </c>
      <c r="X97" s="349">
        <f>IF(F97="","",'הזנה לתנאי סף'!Z97)</f>
        <v>65000</v>
      </c>
      <c r="Y97" s="351" t="s">
        <v>3740</v>
      </c>
      <c r="Z97" s="352" t="str">
        <f>IFERROR(VLOOKUP(G97*1,#REF!,3,0),"")</f>
        <v/>
      </c>
      <c r="AA97" s="349" t="str">
        <f>IF(OR($F97="",Z97=""),"",IFERROR(IF(Z97&gt;V97,MIN(Z97,T97)-V97,0),'תחום תמיכה ג'!$Q$2))</f>
        <v/>
      </c>
      <c r="AB97" s="353"/>
      <c r="AC97" s="260" t="str">
        <f t="shared" ref="AC97:AC160" si="7">AA97</f>
        <v/>
      </c>
      <c r="AD97" s="354"/>
      <c r="AE97" s="180"/>
      <c r="AF97" s="355" t="str">
        <f>IF($C97="","",IFERROR(VLOOKUP($C97,גיליון1!$A:$E,2,0),"לא הגיש בקשה שוטפת"))</f>
        <v>בקשת תמיכה להפעלת קוראל/מוסיקה</v>
      </c>
      <c r="AG97" s="355" t="str">
        <f>IF($C97="","",IFERROR(VLOOKUP($C97,גיליון1!$A:$E,3,0),"לא הגיש בקשה שוטפת"))</f>
        <v>מועד</v>
      </c>
      <c r="AH97" s="355" t="str">
        <f>IF($C97="","",IFERROR(VLOOKUP($C97,גיליון1!$A:$E,4,0),"לא הגיש בקשה שוטפת"))</f>
        <v>19-42-02-33</v>
      </c>
      <c r="AI97" s="355" t="str">
        <f>IF($C97="","",IFERROR(VLOOKUP($C97,גיליון1!$A:$E,5,0),"לא הגיש בקשה שוטפת"))</f>
        <v>תרבות ערבית ודרוזית</v>
      </c>
      <c r="AJ97" s="355">
        <f t="shared" si="6"/>
        <v>0</v>
      </c>
      <c r="AK97" s="15"/>
      <c r="AL97" s="15" t="s">
        <v>232</v>
      </c>
    </row>
    <row r="98" spans="1:38" ht="285.75" x14ac:dyDescent="0.25">
      <c r="A98" s="346">
        <f>'הזנה לתנאי סף'!B98</f>
        <v>68</v>
      </c>
      <c r="B98" s="347">
        <f>IF($F98="","",'הזנה לתנאי סף'!C98)</f>
        <v>1001348519</v>
      </c>
      <c r="C98" s="347">
        <f>IF($F98="","",'הזנה לתנאי סף'!D98)</f>
        <v>1001270078</v>
      </c>
      <c r="D98" s="347">
        <f>IF($F98="","",'הזנה לתנאי סף'!E98)</f>
        <v>40000685</v>
      </c>
      <c r="E98" s="348">
        <f>IF($F98="","",'הזנה לתנאי סף'!F98)</f>
        <v>20000231</v>
      </c>
      <c r="F98" s="348" t="str">
        <f>IF('הזנה לתנאי סף'!BL98=1,'הזנה לתנאי סף'!G98,"")</f>
        <v>נצרת</v>
      </c>
      <c r="G98" s="348" t="str">
        <f>IF($F98="","",'הזנה לתנאי סף'!H98)</f>
        <v>אלערביא לתרבות ואמנות</v>
      </c>
      <c r="H98" s="348" t="str">
        <f>IF($F98="","",'הזנה לתנאי סף'!I98)</f>
        <v>תרבות ערבית</v>
      </c>
      <c r="I98" s="349">
        <f>IF($F98="","",'הזנה לתנאי סף'!R98)</f>
        <v>244964</v>
      </c>
      <c r="J98" s="349">
        <f>IF($F98="","",'תחום תמיכה א'!P98)</f>
        <v>231708</v>
      </c>
      <c r="K98" s="177">
        <f>IF($F98="","",'הזנה לתנאי סף'!N98)</f>
        <v>0</v>
      </c>
      <c r="L98" s="177">
        <f>IF($F98="","",'הזנה לתנאי סף'!O98)</f>
        <v>1</v>
      </c>
      <c r="M98" s="177">
        <f>IF($F98="","",'הזנה לתנאי סף'!Q98)</f>
        <v>1</v>
      </c>
      <c r="N98" s="349">
        <f>IF($F98="","",'תחום תמיכה א'!AE98)</f>
        <v>5131.3414631499545</v>
      </c>
      <c r="O98" s="178"/>
      <c r="P98" s="349">
        <f>IF($F98="","",'תחום תמיכה ב'!AC98)</f>
        <v>6852.3490502781451</v>
      </c>
      <c r="Q98" s="349">
        <f>IF($F98="","",IF('תחום תמיכה ג'!O98="",0,'תחום תמיכה ג'!O98))</f>
        <v>0</v>
      </c>
      <c r="R98" s="349">
        <f t="shared" si="4"/>
        <v>205.46804428783435</v>
      </c>
      <c r="S98" s="349">
        <f>IF($F98="","",'תחום תמיכה ב'!AE98)</f>
        <v>7057.8170945659795</v>
      </c>
      <c r="T98" s="349">
        <f>IF($F98="","",IF(Q98='תחום תמיכה ג'!$Q$2,'תחום תמיכה ג'!$Q$2,IFERROR(SUMIF(N98:R98,"&gt;0"),'תחום תמיכה ג'!$Q$2)))</f>
        <v>12189.158557715935</v>
      </c>
      <c r="U98" s="349">
        <f>IF($F98="","",'הזנה לתנאי סף'!Y98)</f>
        <v>499898</v>
      </c>
      <c r="V98" s="350">
        <f>IF(F98="","",'הגבלה לסכום מבוקש '!AA98)</f>
        <v>13365.0671950208</v>
      </c>
      <c r="W98" s="349">
        <f t="shared" si="5"/>
        <v>3341.2667987551999</v>
      </c>
      <c r="X98" s="349">
        <f>IF(F98="","",'הזנה לתנאי סף'!Z98)</f>
        <v>499898</v>
      </c>
      <c r="Y98" s="351" t="s">
        <v>3740</v>
      </c>
      <c r="Z98" s="352" t="str">
        <f>IFERROR(VLOOKUP(G98*1,#REF!,3,0),"")</f>
        <v/>
      </c>
      <c r="AA98" s="349" t="str">
        <f>IF(OR($F98="",Z98=""),"",IFERROR(IF(Z98&gt;V98,MIN(Z98,T98)-V98,0),'תחום תמיכה ג'!$Q$2))</f>
        <v/>
      </c>
      <c r="AB98" s="353"/>
      <c r="AC98" s="260" t="str">
        <f t="shared" si="7"/>
        <v/>
      </c>
      <c r="AD98" s="354"/>
      <c r="AE98" s="180"/>
      <c r="AF98" s="355" t="str">
        <f>IF($C98="","",IFERROR(VLOOKUP($C98,גיליון1!$A:$E,2,0),"לא הגיש בקשה שוטפת"))</f>
        <v>בקשת תמיכה לכתיבה יצירתית</v>
      </c>
      <c r="AG98" s="355" t="str">
        <f>IF($C98="","",IFERROR(VLOOKUP($C98,גיליון1!$A:$E,3,0),"לא הגיש בקשה שוטפת"))</f>
        <v>מועד</v>
      </c>
      <c r="AH98" s="355" t="str">
        <f>IF($C98="","",IFERROR(VLOOKUP($C98,גיליון1!$A:$E,4,0),"לא הגיש בקשה שוטפת"))</f>
        <v>19-42-02-33</v>
      </c>
      <c r="AI98" s="355" t="str">
        <f>IF($C98="","",IFERROR(VLOOKUP($C98,גיליון1!$A:$E,5,0),"לא הגיש בקשה שוטפת"))</f>
        <v>תרבות ערבית ודרוזית</v>
      </c>
      <c r="AJ98" s="355">
        <f t="shared" si="6"/>
        <v>0</v>
      </c>
      <c r="AK98" s="15"/>
      <c r="AL98" s="15" t="s">
        <v>64</v>
      </c>
    </row>
    <row r="99" spans="1:38" ht="285.75" x14ac:dyDescent="0.25">
      <c r="A99" s="346">
        <f>'הזנה לתנאי סף'!B99</f>
        <v>69</v>
      </c>
      <c r="B99" s="347">
        <f>IF($F99="","",'הזנה לתנאי סף'!C99)</f>
        <v>1001349422</v>
      </c>
      <c r="C99" s="347">
        <f>IF($F99="","",'הזנה לתנאי סף'!D99)</f>
        <v>1001288961</v>
      </c>
      <c r="D99" s="347">
        <f>IF($F99="","",'הזנה לתנאי סף'!E99)</f>
        <v>40000581</v>
      </c>
      <c r="E99" s="348">
        <f>IF($F99="","",'הזנה לתנאי סף'!F99)</f>
        <v>20000111</v>
      </c>
      <c r="F99" s="348" t="str">
        <f>IF('הזנה לתנאי סף'!BL99=1,'הזנה לתנאי סף'!G99,"")</f>
        <v>מיתר</v>
      </c>
      <c r="G99" s="348" t="str">
        <f>IF($F99="","",'הזנה לתנאי סף'!H99)</f>
        <v>נוה הבדואים</v>
      </c>
      <c r="H99" s="348" t="str">
        <f>IF($F99="","",'הזנה לתנאי סף'!I99)</f>
        <v>תרבות ערבית</v>
      </c>
      <c r="I99" s="349">
        <f>IF($F99="","",'הזנה לתנאי סף'!R99)</f>
        <v>1678495</v>
      </c>
      <c r="J99" s="349">
        <f>IF($F99="","",'תחום תמיכה א'!P99)</f>
        <v>1661437</v>
      </c>
      <c r="K99" s="177">
        <f>IF($F99="","",'הזנה לתנאי סף'!N99)</f>
        <v>0</v>
      </c>
      <c r="L99" s="177">
        <f>IF($F99="","",'הזנה לתנאי סף'!O99)</f>
        <v>1</v>
      </c>
      <c r="M99" s="177">
        <f>IF($F99="","",'הזנה לתנאי סף'!Q99)</f>
        <v>1</v>
      </c>
      <c r="N99" s="349">
        <f>IF($F99="","",'תחום תמיכה א'!AE99)</f>
        <v>66381.635115087047</v>
      </c>
      <c r="O99" s="178"/>
      <c r="P99" s="349">
        <f>IF($F99="","",'תחום תמיכה ב'!AC99)</f>
        <v>93850.204801722241</v>
      </c>
      <c r="Q99" s="349">
        <f>IF($F99="","",IF('תחום תמיכה ג'!O99="",0,'תחום תמיכה ג'!O99))</f>
        <v>0</v>
      </c>
      <c r="R99" s="349">
        <f t="shared" si="4"/>
        <v>2814.1032943790051</v>
      </c>
      <c r="S99" s="349">
        <f>IF($F99="","",'תחום תמיכה ב'!AE99)</f>
        <v>96664.308096101246</v>
      </c>
      <c r="T99" s="349">
        <f>IF($F99="","",IF(Q99='תחום תמיכה ג'!$Q$2,'תחום תמיכה ג'!$Q$2,IFERROR(SUMIF(N99:R99,"&gt;0"),'תחום תמיכה ג'!$Q$2)))</f>
        <v>163045.94321118831</v>
      </c>
      <c r="U99" s="349">
        <f>IF($F99="","",'הזנה לתנאי סף'!Y99)</f>
        <v>1558964</v>
      </c>
      <c r="V99" s="350">
        <f>IF(F99="","",'הגבלה לסכום מבוקש '!AA99)</f>
        <v>179149.48742421714</v>
      </c>
      <c r="W99" s="349">
        <f t="shared" si="5"/>
        <v>44787.371856054284</v>
      </c>
      <c r="X99" s="349">
        <f>IF(F99="","",'הזנה לתנאי סף'!Z99)</f>
        <v>1558964</v>
      </c>
      <c r="Y99" s="351" t="s">
        <v>3740</v>
      </c>
      <c r="Z99" s="352" t="str">
        <f>IFERROR(VLOOKUP(G99*1,#REF!,3,0),"")</f>
        <v/>
      </c>
      <c r="AA99" s="349" t="str">
        <f>IF(OR($F99="",Z99=""),"",IFERROR(IF(Z99&gt;V99,MIN(Z99,T99)-V99,0),'תחום תמיכה ג'!$Q$2))</f>
        <v/>
      </c>
      <c r="AB99" s="353"/>
      <c r="AC99" s="260" t="str">
        <f t="shared" si="7"/>
        <v/>
      </c>
      <c r="AD99" s="354"/>
      <c r="AE99" s="180"/>
      <c r="AF99" s="355" t="str">
        <f>IF($C99="","",IFERROR(VLOOKUP($C99,גיליון1!$A:$E,2,0),"לא הגיש בקשה שוטפת"))</f>
        <v>תמיכה שוטפת מחול נוה הבדואים לשנת 2020</v>
      </c>
      <c r="AG99" s="355" t="str">
        <f>IF($C99="","",IFERROR(VLOOKUP($C99,גיליון1!$A:$E,3,0),"לא הגיש בקשה שוטפת"))</f>
        <v>מועד</v>
      </c>
      <c r="AH99" s="355" t="str">
        <f>IF($C99="","",IFERROR(VLOOKUP($C99,גיליון1!$A:$E,4,0),"לא הגיש בקשה שוטפת"))</f>
        <v>19-42-02-33</v>
      </c>
      <c r="AI99" s="355" t="str">
        <f>IF($C99="","",IFERROR(VLOOKUP($C99,גיליון1!$A:$E,5,0),"לא הגיש בקשה שוטפת"))</f>
        <v>תרבות ערבית ודרוזית</v>
      </c>
      <c r="AJ99" s="355">
        <f t="shared" si="6"/>
        <v>0</v>
      </c>
      <c r="AK99" s="15"/>
      <c r="AL99" s="15" t="s">
        <v>233</v>
      </c>
    </row>
    <row r="100" spans="1:38" ht="285.75" x14ac:dyDescent="0.25">
      <c r="A100" s="346">
        <f>'הזנה לתנאי סף'!B100</f>
        <v>70</v>
      </c>
      <c r="B100" s="347">
        <f>IF($F100="","",'הזנה לתנאי סף'!C100)</f>
        <v>1001349725</v>
      </c>
      <c r="C100" s="347">
        <f>IF($F100="","",'הזנה לתנאי סף'!D100)</f>
        <v>1001268621</v>
      </c>
      <c r="D100" s="347">
        <f>IF($F100="","",'הזנה לתנאי סף'!E100)</f>
        <v>40000391</v>
      </c>
      <c r="E100" s="348">
        <f>IF($F100="","",'הזנה לתנאי סף'!F100)</f>
        <v>20000132</v>
      </c>
      <c r="F100" s="348" t="str">
        <f>IF('הזנה לתנאי סף'!BL100=1,'הזנה לתנאי סף'!G100,"")</f>
        <v>עמק הירדן</v>
      </c>
      <c r="G100" s="348" t="str">
        <f>IF($F100="","",'הזנה לתנאי סף'!H100)</f>
        <v>מרכז תרבות והנצחה</v>
      </c>
      <c r="H100" s="348" t="str">
        <f>IF($F100="","",'הזנה לתנאי סף'!I100)</f>
        <v>מוזיאונים</v>
      </c>
      <c r="I100" s="349">
        <f>IF($F100="","",'הזנה לתנאי סף'!R100)</f>
        <v>232000</v>
      </c>
      <c r="J100" s="349">
        <f>IF($F100="","",'תחום תמיכה א'!P100)</f>
        <v>238000</v>
      </c>
      <c r="K100" s="177">
        <f>IF($F100="","",'הזנה לתנאי סף'!N100)</f>
        <v>0</v>
      </c>
      <c r="L100" s="177">
        <f>IF($F100="","",'הזנה לתנאי סף'!O100)</f>
        <v>1</v>
      </c>
      <c r="M100" s="177">
        <f>IF($F100="","",'הזנה לתנאי סף'!Q100)</f>
        <v>1</v>
      </c>
      <c r="N100" s="349">
        <f>IF($F100="","",'תחום תמיכה א'!AE100)</f>
        <v>3701.1637851567825</v>
      </c>
      <c r="O100" s="178"/>
      <c r="P100" s="349">
        <f>IF($F100="","",'תחום תמיכה ב'!AC100)</f>
        <v>3200.1336554065415</v>
      </c>
      <c r="Q100" s="349">
        <f>IF($F100="","",IF('תחום תמיכה ג'!O100="",0,'תחום תמיכה ג'!O100))</f>
        <v>0</v>
      </c>
      <c r="R100" s="349">
        <f t="shared" si="4"/>
        <v>95.956174855010886</v>
      </c>
      <c r="S100" s="349">
        <f>IF($F100="","",'תחום תמיכה ב'!AE100)</f>
        <v>3296.0898302615524</v>
      </c>
      <c r="T100" s="349">
        <f>IF($F100="","",IF(Q100='תחום תמיכה ג'!$Q$2,'תחום תמיכה ג'!$Q$2,IFERROR(SUMIF(N100:R100,"&gt;0"),'תחום תמיכה ג'!$Q$2)))</f>
        <v>6997.2536154183344</v>
      </c>
      <c r="U100" s="349">
        <f>IF($F100="","",'הזנה לתנאי סף'!Y100)</f>
        <v>120000</v>
      </c>
      <c r="V100" s="350">
        <f>IF(F100="","",'הגבלה לסכום מבוקש '!AA100)</f>
        <v>7547.0119113678138</v>
      </c>
      <c r="W100" s="349">
        <f t="shared" si="5"/>
        <v>1886.7529778419535</v>
      </c>
      <c r="X100" s="349">
        <f>IF(F100="","",'הזנה לתנאי סף'!Z100)</f>
        <v>65000</v>
      </c>
      <c r="Y100" s="351" t="s">
        <v>3740</v>
      </c>
      <c r="Z100" s="352" t="str">
        <f>IFERROR(VLOOKUP(G100*1,#REF!,3,0),"")</f>
        <v/>
      </c>
      <c r="AA100" s="349" t="str">
        <f>IF(OR($F100="",Z100=""),"",IFERROR(IF(Z100&gt;V100,MIN(Z100,T100)-V100,0),'תחום תמיכה ג'!$Q$2))</f>
        <v/>
      </c>
      <c r="AB100" s="353"/>
      <c r="AC100" s="260" t="str">
        <f t="shared" si="7"/>
        <v/>
      </c>
      <c r="AD100" s="354"/>
      <c r="AE100" s="180"/>
      <c r="AF100" s="355" t="str">
        <f>IF($C100="","",IFERROR(VLOOKUP($C100,גיליון1!$A:$E,2,0),"לא הגיש בקשה שוטפת"))</f>
        <v>תמיכה שוטפת במוזיאון מוכר</v>
      </c>
      <c r="AG100" s="355" t="str">
        <f>IF($C100="","",IFERROR(VLOOKUP($C100,גיליון1!$A:$E,3,0),"לא הגיש בקשה שוטפת"))</f>
        <v>חויב</v>
      </c>
      <c r="AH100" s="355" t="str">
        <f>IF($C100="","",IFERROR(VLOOKUP($C100,גיליון1!$A:$E,4,0),"לא הגיש בקשה שוטפת"))</f>
        <v>19-42-02-18</v>
      </c>
      <c r="AI100" s="355" t="str">
        <f>IF($C100="","",IFERROR(VLOOKUP($C100,גיליון1!$A:$E,5,0),"לא הגיש בקשה שוטפת"))</f>
        <v>מוזיאונים ואמנות פלס</v>
      </c>
      <c r="AJ100" s="355">
        <f t="shared" si="6"/>
        <v>0</v>
      </c>
      <c r="AK100" s="15"/>
      <c r="AL100" s="15" t="s">
        <v>68</v>
      </c>
    </row>
    <row r="101" spans="1:38" ht="285.75" x14ac:dyDescent="0.25">
      <c r="A101" s="346">
        <f>'הזנה לתנאי סף'!B101</f>
        <v>71</v>
      </c>
      <c r="B101" s="347">
        <f>IF($F101="","",'הזנה לתנאי סף'!C101)</f>
        <v>1001347665</v>
      </c>
      <c r="C101" s="347">
        <f>IF($F101="","",'הזנה לתנאי סף'!D101)</f>
        <v>1001269101</v>
      </c>
      <c r="D101" s="347">
        <f>IF($F101="","",'הזנה לתנאי סף'!E101)</f>
        <v>40000411</v>
      </c>
      <c r="E101" s="348">
        <f>IF($F101="","",'הזנה לתנאי סף'!F101)</f>
        <v>20000159</v>
      </c>
      <c r="F101" s="348" t="str">
        <f>IF('הזנה לתנאי סף'!BL101=1,'הזנה לתנאי סף'!G101,"")</f>
        <v>ירושלים</v>
      </c>
      <c r="G101" s="348" t="str">
        <f>IF($F101="","",'הזנה לתנאי סף'!H101)</f>
        <v>סינמטק ירושלים</v>
      </c>
      <c r="H101" s="348" t="str">
        <f>IF($F101="","",'הזנה לתנאי סף'!I101)</f>
        <v>סינמטקים ופסטיבלים</v>
      </c>
      <c r="I101" s="349">
        <f>IF($F101="","",'הזנה לתנאי סף'!R101)</f>
        <v>11424409</v>
      </c>
      <c r="J101" s="349">
        <f>IF($F101="","",'תחום תמיכה א'!P101)</f>
        <v>10527163</v>
      </c>
      <c r="K101" s="177">
        <f>IF($F101="","",'הזנה לתנאי סף'!N101)</f>
        <v>1</v>
      </c>
      <c r="L101" s="177">
        <f>IF($F101="","",'הזנה לתנאי סף'!O101)</f>
        <v>1</v>
      </c>
      <c r="M101" s="177">
        <f>IF($F101="","",'הזנה לתנאי סף'!Q101)</f>
        <v>1</v>
      </c>
      <c r="N101" s="349">
        <f>IF($F101="","",'תחום תמיכה א'!AE101)</f>
        <v>478254.86847671279</v>
      </c>
      <c r="O101" s="178"/>
      <c r="P101" s="349">
        <f>IF($F101="","",'תחום תמיכה ב'!AC101)</f>
        <v>1344891.6135566067</v>
      </c>
      <c r="Q101" s="349">
        <f>IF($F101="","",IF('תחום תמיכה ג'!O101="",0,'תחום תמיכה ג'!O101))</f>
        <v>232489.23497924843</v>
      </c>
      <c r="R101" s="349">
        <f t="shared" si="4"/>
        <v>40326.645299157361</v>
      </c>
      <c r="S101" s="349">
        <f>IF($F101="","",'תחום תמיכה ב'!AE101)</f>
        <v>1385218.2588557641</v>
      </c>
      <c r="T101" s="349">
        <f>IF($F101="","",IF(Q101='תחום תמיכה ג'!$Q$2,'תחום תמיכה ג'!$Q$2,IFERROR(SUMIF(N101:R101,"&gt;0"),'תחום תמיכה ג'!$Q$2)))</f>
        <v>2095962.3623117253</v>
      </c>
      <c r="U101" s="349">
        <f>IF($F101="","",'הזנה לתנאי סף'!Y101)</f>
        <v>4900000</v>
      </c>
      <c r="V101" s="350">
        <f>IF(F101="","",'הגבלה לסכום מבוקש '!AA101)</f>
        <v>2326619.7561255787</v>
      </c>
      <c r="W101" s="349">
        <f t="shared" si="5"/>
        <v>581654.93903139466</v>
      </c>
      <c r="X101" s="349">
        <f>IF(F101="","",'הזנה לתנאי סף'!Z101)</f>
        <v>3750000</v>
      </c>
      <c r="Y101" s="351" t="s">
        <v>3740</v>
      </c>
      <c r="Z101" s="352" t="str">
        <f>IFERROR(VLOOKUP(G101*1,#REF!,3,0),"")</f>
        <v/>
      </c>
      <c r="AA101" s="349" t="str">
        <f>IF(OR($F101="",Z101=""),"",IFERROR(IF(Z101&gt;V101,MIN(Z101,T101)-V101,0),'תחום תמיכה ג'!$Q$2))</f>
        <v/>
      </c>
      <c r="AB101" s="353"/>
      <c r="AC101" s="260" t="str">
        <f t="shared" si="7"/>
        <v/>
      </c>
      <c r="AD101" s="354"/>
      <c r="AE101" s="180"/>
      <c r="AF101" s="355" t="str">
        <f>IF($C101="","",IFERROR(VLOOKUP($C101,גיליון1!$A:$E,2,0),"לא הגיש בקשה שוטפת"))</f>
        <v>פעילות סינמטק ירושלים</v>
      </c>
      <c r="AG101" s="355" t="str">
        <f>IF($C101="","",IFERROR(VLOOKUP($C101,גיליון1!$A:$E,3,0),"לא הגיש בקשה שוטפת"))</f>
        <v>מועד</v>
      </c>
      <c r="AH101" s="355" t="str">
        <f>IF($C101="","",IFERROR(VLOOKUP($C101,גיליון1!$A:$E,4,0),"לא הגיש בקשה שוטפת"))</f>
        <v>19-42-02-28</v>
      </c>
      <c r="AI101" s="355" t="str">
        <f>IF($C101="","",IFERROR(VLOOKUP($C101,גיליון1!$A:$E,5,0),"לא הגיש בקשה שוטפת"))</f>
        <v>חוק  הקולנוע</v>
      </c>
      <c r="AJ101" s="355">
        <f t="shared" si="6"/>
        <v>0</v>
      </c>
      <c r="AK101" s="15"/>
      <c r="AL101" s="15" t="s">
        <v>70</v>
      </c>
    </row>
    <row r="102" spans="1:38" ht="285.75" x14ac:dyDescent="0.25">
      <c r="A102" s="346">
        <f>'הזנה לתנאי סף'!B102</f>
        <v>72</v>
      </c>
      <c r="B102" s="347">
        <f>IF($F102="","",'הזנה לתנאי סף'!C102)</f>
        <v>1001347675</v>
      </c>
      <c r="C102" s="347">
        <f>IF($F102="","",'הזנה לתנאי סף'!D102)</f>
        <v>1001269049</v>
      </c>
      <c r="D102" s="347">
        <f>IF($F102="","",'הזנה לתנאי סף'!E102)</f>
        <v>40000411</v>
      </c>
      <c r="E102" s="348">
        <f>IF($F102="","",'הזנה לתנאי סף'!F102)</f>
        <v>20000159</v>
      </c>
      <c r="F102" s="348" t="str">
        <f>IF('הזנה לתנאי סף'!BL102=1,'הזנה לתנאי סף'!G102,"")</f>
        <v>ירושלים</v>
      </c>
      <c r="G102" s="348" t="str">
        <f>IF($F102="","",'הזנה לתנאי סף'!H102)</f>
        <v>סינמטק ירושלים</v>
      </c>
      <c r="H102" s="348" t="str">
        <f>IF($F102="","",'הזנה לתנאי סף'!I102)</f>
        <v>סינמטקים ופסטיבלים</v>
      </c>
      <c r="I102" s="349">
        <f>IF($F102="","",'הזנה לתנאי סף'!R102)</f>
        <v>10364369</v>
      </c>
      <c r="J102" s="349">
        <f>IF($F102="","",'תחום תמיכה א'!P102)</f>
        <v>10527274</v>
      </c>
      <c r="K102" s="177">
        <f>IF($F102="","",'הזנה לתנאי סף'!N102)</f>
        <v>1</v>
      </c>
      <c r="L102" s="177">
        <f>IF($F102="","",'הזנה לתנאי סף'!O102)</f>
        <v>1</v>
      </c>
      <c r="M102" s="177">
        <f>IF($F102="","",'הזנה לתנאי סף'!Q102)</f>
        <v>1</v>
      </c>
      <c r="N102" s="349">
        <f>IF($F102="","",'תחום תמיכה א'!AE102)</f>
        <v>353846.59031986672</v>
      </c>
      <c r="O102" s="178"/>
      <c r="P102" s="349">
        <f>IF($F102="","",'תחום תמיכה ב'!AC102)</f>
        <v>667880.06643668341</v>
      </c>
      <c r="Q102" s="349">
        <f>IF($F102="","",IF('תחום תמיכה ג'!O102="",0,'תחום תמיכה ג'!O102))</f>
        <v>115455.34535167849</v>
      </c>
      <c r="R102" s="349">
        <f t="shared" si="4"/>
        <v>20026.418686888646</v>
      </c>
      <c r="S102" s="349">
        <f>IF($F102="","",'תחום תמיכה ב'!AE102)</f>
        <v>687906.48512357206</v>
      </c>
      <c r="T102" s="349">
        <f>IF($F102="","",IF(Q102='תחום תמיכה ג'!$Q$2,'תחום תמיכה ג'!$Q$2,IFERROR(SUMIF(N102:R102,"&gt;0"),'תחום תמיכה ג'!$Q$2)))</f>
        <v>1157208.4207951173</v>
      </c>
      <c r="U102" s="349">
        <f>IF($F102="","",'הזנה לתנאי סף'!Y102)</f>
        <v>2000000</v>
      </c>
      <c r="V102" s="350">
        <f>IF(F102="","",'הגבלה לסכום מבוקש '!AA102)</f>
        <v>1271807.0383746342</v>
      </c>
      <c r="W102" s="349">
        <f t="shared" si="5"/>
        <v>317951.75959365856</v>
      </c>
      <c r="X102" s="349">
        <f>IF(F102="","",'הזנה לתנאי סף'!Z102)</f>
        <v>1250000</v>
      </c>
      <c r="Y102" s="351" t="s">
        <v>3740</v>
      </c>
      <c r="Z102" s="352" t="str">
        <f>IFERROR(VLOOKUP(G102*1,#REF!,3,0),"")</f>
        <v/>
      </c>
      <c r="AA102" s="349" t="str">
        <f>IF(OR($F102="",Z102=""),"",IFERROR(IF(Z102&gt;V102,MIN(Z102,T102)-V102,0),'תחום תמיכה ג'!$Q$2))</f>
        <v/>
      </c>
      <c r="AB102" s="353"/>
      <c r="AC102" s="260" t="str">
        <f t="shared" si="7"/>
        <v/>
      </c>
      <c r="AD102" s="354"/>
      <c r="AE102" s="180"/>
      <c r="AF102" s="355" t="str">
        <f>IF($C102="","",IFERROR(VLOOKUP($C102,גיליון1!$A:$E,2,0),"לא הגיש בקשה שוטפת"))</f>
        <v>פסטיבל הקולנוע ירושלים</v>
      </c>
      <c r="AG102" s="355" t="str">
        <f>IF($C102="","",IFERROR(VLOOKUP($C102,גיליון1!$A:$E,3,0),"לא הגיש בקשה שוטפת"))</f>
        <v>מועד</v>
      </c>
      <c r="AH102" s="355" t="str">
        <f>IF($C102="","",IFERROR(VLOOKUP($C102,גיליון1!$A:$E,4,0),"לא הגיש בקשה שוטפת"))</f>
        <v>19-42-02-28</v>
      </c>
      <c r="AI102" s="355" t="str">
        <f>IF($C102="","",IFERROR(VLOOKUP($C102,גיליון1!$A:$E,5,0),"לא הגיש בקשה שוטפת"))</f>
        <v>חוק  הקולנוע</v>
      </c>
      <c r="AJ102" s="355">
        <f t="shared" si="6"/>
        <v>0</v>
      </c>
      <c r="AK102" s="15"/>
      <c r="AL102" s="15" t="s">
        <v>72</v>
      </c>
    </row>
    <row r="103" spans="1:38" ht="285.75" x14ac:dyDescent="0.25">
      <c r="A103" s="346">
        <f>'הזנה לתנאי סף'!B103</f>
        <v>73</v>
      </c>
      <c r="B103" s="347">
        <f>IF($F103="","",'הזנה לתנאי סף'!C103)</f>
        <v>1001346703</v>
      </c>
      <c r="C103" s="347">
        <f>IF($F103="","",'הזנה לתנאי סף'!D103)</f>
        <v>1001278260</v>
      </c>
      <c r="D103" s="347">
        <f>IF($F103="","",'הזנה לתנאי סף'!E103)</f>
        <v>40000449</v>
      </c>
      <c r="E103" s="348">
        <f>IF($F103="","",'הזנה לתנאי סף'!F103)</f>
        <v>20000201</v>
      </c>
      <c r="F103" s="348" t="str">
        <f>IF('הזנה לתנאי סף'!BL103=1,'הזנה לתנאי סף'!G103,"")</f>
        <v>תל אביב -יפו</v>
      </c>
      <c r="G103" s="348" t="str">
        <f>IF($F103="","",'הזנה לתנאי סף'!H103)</f>
        <v>תיאטרון בית ליסין</v>
      </c>
      <c r="H103" s="348" t="str">
        <f>IF($F103="","",'הזנה לתנאי סף'!I103)</f>
        <v>תיאטרון</v>
      </c>
      <c r="I103" s="349">
        <f>IF($F103="","",'הזנה לתנאי סף'!R103)</f>
        <v>57910193</v>
      </c>
      <c r="J103" s="349">
        <f>IF($F103="","",'תחום תמיכה א'!P103)</f>
        <v>60050497</v>
      </c>
      <c r="K103" s="177">
        <f>IF($F103="","",'הזנה לתנאי סף'!N103)</f>
        <v>1</v>
      </c>
      <c r="L103" s="177">
        <f>IF($F103="","",'הזנה לתנאי סף'!O103)</f>
        <v>1</v>
      </c>
      <c r="M103" s="177">
        <f>IF($F103="","",'הזנה לתנאי סף'!Q103)</f>
        <v>1</v>
      </c>
      <c r="N103" s="349">
        <f>IF($F103="","",'תחום תמיכה א'!AE103)</f>
        <v>2337602.489157028</v>
      </c>
      <c r="O103" s="178"/>
      <c r="P103" s="349">
        <f>IF($F103="","",'תחום תמיכה ב'!AC103)</f>
        <v>4984236.4484257838</v>
      </c>
      <c r="Q103" s="349">
        <f>IF($F103="","",IF('תחום תמיכה ג'!O103="",0,'תחום תמיכה ג'!O103))</f>
        <v>2090103.5153578962</v>
      </c>
      <c r="R103" s="349">
        <f t="shared" si="4"/>
        <v>149452.59031785838</v>
      </c>
      <c r="S103" s="349">
        <f>IF($F103="","",'תחום תמיכה ב'!AE103)</f>
        <v>5133689.0387436422</v>
      </c>
      <c r="T103" s="349">
        <f>IF($F103="","",IF(Q103='תחום תמיכה ג'!$Q$2,'תחום תמיכה ג'!$Q$2,IFERROR(SUMIF(N103:R103,"&gt;0"),'תחום תמיכה ג'!$Q$2)))</f>
        <v>9561395.0432585664</v>
      </c>
      <c r="U103" s="349">
        <f>IF($F103="","",'הזנה לתנאי סף'!Y103)</f>
        <v>12000000</v>
      </c>
      <c r="V103" s="350">
        <f>IF(F103="","",'הגבלה לסכום מבוקש '!AA103)</f>
        <v>10417039.726502443</v>
      </c>
      <c r="W103" s="349">
        <f t="shared" si="5"/>
        <v>2604259.9316256107</v>
      </c>
      <c r="X103" s="349">
        <f>IF(F103="","",'הזנה לתנאי סף'!Z103)</f>
        <v>2000000</v>
      </c>
      <c r="Y103" s="351" t="s">
        <v>3740</v>
      </c>
      <c r="Z103" s="352" t="str">
        <f>IFERROR(VLOOKUP(G103*1,#REF!,3,0),"")</f>
        <v/>
      </c>
      <c r="AA103" s="349" t="str">
        <f>IF(OR($F103="",Z103=""),"",IFERROR(IF(Z103&gt;V103,MIN(Z103,T103)-V103,0),'תחום תמיכה ג'!$Q$2))</f>
        <v/>
      </c>
      <c r="AB103" s="353"/>
      <c r="AC103" s="260" t="str">
        <f t="shared" si="7"/>
        <v/>
      </c>
      <c r="AD103" s="354"/>
      <c r="AE103" s="180"/>
      <c r="AF103" s="355" t="str">
        <f>IF($C103="","",IFERROR(VLOOKUP($C103,גיליון1!$A:$E,2,0),"לא הגיש בקשה שוטפת"))</f>
        <v>בקשת תמיכה שוטפת 2020</v>
      </c>
      <c r="AG103" s="355" t="str">
        <f>IF($C103="","",IFERROR(VLOOKUP($C103,גיליון1!$A:$E,3,0),"לא הגיש בקשה שוטפת"))</f>
        <v>חויב</v>
      </c>
      <c r="AH103" s="355" t="str">
        <f>IF($C103="","",IFERROR(VLOOKUP($C103,גיליון1!$A:$E,4,0),"לא הגיש בקשה שוטפת"))</f>
        <v>19-42-02-07</v>
      </c>
      <c r="AI103" s="355" t="str">
        <f>IF($C103="","",IFERROR(VLOOKUP($C103,גיליון1!$A:$E,5,0),"לא הגיש בקשה שוטפת"))</f>
        <v>תיאטרון</v>
      </c>
      <c r="AJ103" s="355">
        <f t="shared" si="6"/>
        <v>0</v>
      </c>
      <c r="AK103" s="15"/>
      <c r="AL103" s="15" t="s">
        <v>73</v>
      </c>
    </row>
    <row r="104" spans="1:38" ht="285.75" x14ac:dyDescent="0.25">
      <c r="A104" s="346">
        <f>'הזנה לתנאי סף'!B104</f>
        <v>74</v>
      </c>
      <c r="B104" s="347">
        <f>IF($F104="","",'הזנה לתנאי סף'!C104)</f>
        <v>1001348511</v>
      </c>
      <c r="C104" s="347">
        <f>IF($F104="","",'הזנה לתנאי סף'!D104)</f>
        <v>1001271268</v>
      </c>
      <c r="D104" s="347">
        <f>IF($F104="","",'הזנה לתנאי סף'!E104)</f>
        <v>40000594</v>
      </c>
      <c r="E104" s="348">
        <f>IF($F104="","",'הזנה לתנאי סף'!F104)</f>
        <v>20000185</v>
      </c>
      <c r="F104" s="348" t="str">
        <f>IF('הזנה לתנאי סף'!BL104=1,'הזנה לתנאי סף'!G104,"")</f>
        <v>עמק חפר</v>
      </c>
      <c r="G104" s="348" t="str">
        <f>IF($F104="","",'הזנה לתנאי סף'!H104)</f>
        <v>עמותת מקהלות מורן והבית לשירה בישרא</v>
      </c>
      <c r="H104" s="348" t="str">
        <f>IF($F104="","",'הזנה לתנאי סף'!I104)</f>
        <v>מקהלות</v>
      </c>
      <c r="I104" s="349">
        <f>IF($F104="","",'הזנה לתנאי סף'!R104)</f>
        <v>543814</v>
      </c>
      <c r="J104" s="349">
        <f>IF($F104="","",'תחום תמיכה א'!P104)</f>
        <v>542470</v>
      </c>
      <c r="K104" s="177">
        <f>IF($F104="","",'הזנה לתנאי סף'!N104)</f>
        <v>0</v>
      </c>
      <c r="L104" s="177">
        <f>IF($F104="","",'הזנה לתנאי סף'!O104)</f>
        <v>1</v>
      </c>
      <c r="M104" s="177">
        <f>IF($F104="","",'הזנה לתנאי סף'!Q104)</f>
        <v>1</v>
      </c>
      <c r="N104" s="349">
        <f>IF($F104="","",'תחום תמיכה א'!AE104)</f>
        <v>18127.699997579377</v>
      </c>
      <c r="O104" s="178"/>
      <c r="P104" s="349">
        <f>IF($F104="","",'תחום תמיכה ב'!AC104)</f>
        <v>22088.472067532512</v>
      </c>
      <c r="Q104" s="349">
        <f>IF($F104="","",IF('תחום תמיכה ג'!O104="",0,'תחום תמיכה ג'!O104))</f>
        <v>0</v>
      </c>
      <c r="R104" s="349">
        <f t="shared" si="4"/>
        <v>662.32398900317639</v>
      </c>
      <c r="S104" s="349">
        <f>IF($F104="","",'תחום תמיכה ב'!AE104)</f>
        <v>22750.796056535688</v>
      </c>
      <c r="T104" s="349">
        <f>IF($F104="","",IF(Q104='תחום תמיכה ג'!$Q$2,'תחום תמיכה ג'!$Q$2,IFERROR(SUMIF(N104:R104,"&gt;0"),'תחום תמיכה ג'!$Q$2)))</f>
        <v>40878.496054115065</v>
      </c>
      <c r="U104" s="349">
        <f>IF($F104="","",'הזנה לתנאי סף'!Y104)</f>
        <v>211375</v>
      </c>
      <c r="V104" s="350">
        <f>IF(F104="","",'הגבלה לסכום מבוקש '!AA104)</f>
        <v>44669.747206508444</v>
      </c>
      <c r="W104" s="349">
        <f t="shared" si="5"/>
        <v>11167.436801627111</v>
      </c>
      <c r="X104" s="349">
        <f>IF(F104="","",'הזנה לתנאי סף'!Z104)</f>
        <v>80000</v>
      </c>
      <c r="Y104" s="351" t="s">
        <v>3740</v>
      </c>
      <c r="Z104" s="352" t="str">
        <f>IFERROR(VLOOKUP(G104*1,#REF!,3,0),"")</f>
        <v/>
      </c>
      <c r="AA104" s="349" t="str">
        <f>IF(OR($F104="",Z104=""),"",IFERROR(IF(Z104&gt;V104,MIN(Z104,T104)-V104,0),'תחום תמיכה ג'!$Q$2))</f>
        <v/>
      </c>
      <c r="AB104" s="353"/>
      <c r="AC104" s="260" t="str">
        <f t="shared" si="7"/>
        <v/>
      </c>
      <c r="AD104" s="354"/>
      <c r="AE104" s="180"/>
      <c r="AF104" s="355" t="str">
        <f>IF($C104="","",IFERROR(VLOOKUP($C104,גיליון1!$A:$E,2,0),"לא הגיש בקשה שוטפת"))</f>
        <v>אנסמבל זמרי מורן</v>
      </c>
      <c r="AG104" s="355" t="str">
        <f>IF($C104="","",IFERROR(VLOOKUP($C104,גיליון1!$A:$E,3,0),"לא הגיש בקשה שוטפת"))</f>
        <v>מועד</v>
      </c>
      <c r="AH104" s="355" t="str">
        <f>IF($C104="","",IFERROR(VLOOKUP($C104,גיליון1!$A:$E,4,0),"לא הגיש בקשה שוטפת"))</f>
        <v>19-42-02-16</v>
      </c>
      <c r="AI104" s="355" t="str">
        <f>IF($C104="","",IFERROR(VLOOKUP($C104,גיליון1!$A:$E,5,0),"לא הגיש בקשה שוטפת"))</f>
        <v>מוסיקה</v>
      </c>
      <c r="AJ104" s="355">
        <f t="shared" si="6"/>
        <v>0</v>
      </c>
      <c r="AK104" s="15"/>
      <c r="AL104" s="15" t="s">
        <v>234</v>
      </c>
    </row>
    <row r="105" spans="1:38" ht="285.75" x14ac:dyDescent="0.25">
      <c r="A105" s="346">
        <f>'הזנה לתנאי סף'!B105</f>
        <v>75</v>
      </c>
      <c r="B105" s="347">
        <f>IF($F105="","",'הזנה לתנאי סף'!C105)</f>
        <v>1001347498</v>
      </c>
      <c r="C105" s="347">
        <f>IF($F105="","",'הזנה לתנאי סף'!D105)</f>
        <v>1001270248</v>
      </c>
      <c r="D105" s="347">
        <f>IF($F105="","",'הזנה לתנאי סף'!E105)</f>
        <v>40000624</v>
      </c>
      <c r="E105" s="348">
        <f>IF($F105="","",'הזנה לתנאי סף'!F105)</f>
        <v>20000247</v>
      </c>
      <c r="F105" s="348" t="str">
        <f>IF('הזנה לתנאי סף'!BL105=1,'הזנה לתנאי סף'!G105,"")</f>
        <v>ראשון לציון</v>
      </c>
      <c r="G105" s="348" t="str">
        <f>IF($F105="","",'הזנה לתנאי סף'!H105)</f>
        <v>עמותת התזמורת הסימפונית ראשון לציון</v>
      </c>
      <c r="H105" s="348" t="str">
        <f>IF($F105="","",'הזנה לתנאי סף'!I105)</f>
        <v>מוסיקה-גופים כליים</v>
      </c>
      <c r="I105" s="349">
        <f>IF($F105="","",'הזנה לתנאי סף'!R105)</f>
        <v>16694630</v>
      </c>
      <c r="J105" s="349">
        <f>IF($F105="","",'תחום תמיכה א'!P105)</f>
        <v>16328524</v>
      </c>
      <c r="K105" s="177">
        <f>IF($F105="","",'הזנה לתנאי סף'!N105)</f>
        <v>1</v>
      </c>
      <c r="L105" s="177">
        <f>IF($F105="","",'הזנה לתנאי סף'!O105)</f>
        <v>1</v>
      </c>
      <c r="M105" s="177">
        <f>IF($F105="","",'הזנה לתנאי סף'!Q105)</f>
        <v>1</v>
      </c>
      <c r="N105" s="349">
        <f>IF($F105="","",'תחום תמיכה א'!AE105)</f>
        <v>402250.40619088919</v>
      </c>
      <c r="O105" s="178"/>
      <c r="P105" s="349">
        <f>IF($F105="","",'תחום תמיכה ב'!AC105)</f>
        <v>577874.27485058235</v>
      </c>
      <c r="Q105" s="349">
        <f>IF($F105="","",IF('תחום תמיכה ג'!O105="",0,'תחום תמיכה ג'!O105))</f>
        <v>1020000</v>
      </c>
      <c r="R105" s="349">
        <f t="shared" si="4"/>
        <v>17327.590323639452</v>
      </c>
      <c r="S105" s="349">
        <f>IF($F105="","",'תחום תמיכה ב'!AE105)</f>
        <v>595201.86517422181</v>
      </c>
      <c r="T105" s="349">
        <f>IF($F105="","",IF(Q105='תחום תמיכה ג'!$Q$2,'תחום תמיכה ג'!$Q$2,IFERROR(SUMIF(N105:R105,"&gt;0"),'תחום תמיכה ג'!$Q$2)))</f>
        <v>2017452.2713651112</v>
      </c>
      <c r="U105" s="349">
        <f>IF($F105="","",'הזנה לתנאי סף'!Y105)</f>
        <v>4000000</v>
      </c>
      <c r="V105" s="350">
        <f>IF(F105="","",'הגבלה לסכום מבוקש '!AA105)</f>
        <v>2117069.8886835263</v>
      </c>
      <c r="W105" s="349">
        <f t="shared" si="5"/>
        <v>529267.47217088158</v>
      </c>
      <c r="X105" s="349">
        <f>IF(F105="","",'הזנה לתנאי סף'!Z105)</f>
        <v>50000</v>
      </c>
      <c r="Y105" s="351" t="s">
        <v>3740</v>
      </c>
      <c r="Z105" s="352" t="str">
        <f>IFERROR(VLOOKUP(G105*1,#REF!,3,0),"")</f>
        <v/>
      </c>
      <c r="AA105" s="349" t="str">
        <f>IF(OR($F105="",Z105=""),"",IFERROR(IF(Z105&gt;V105,MIN(Z105,T105)-V105,0),'תחום תמיכה ג'!$Q$2))</f>
        <v/>
      </c>
      <c r="AB105" s="353"/>
      <c r="AC105" s="260" t="str">
        <f t="shared" si="7"/>
        <v/>
      </c>
      <c r="AD105" s="354"/>
      <c r="AE105" s="180"/>
      <c r="AF105" s="355" t="str">
        <f>IF($C105="","",IFERROR(VLOOKUP($C105,גיליון1!$A:$E,2,0),"לא הגיש בקשה שוטפת"))</f>
        <v>בקשת תמיכה לשנת 2020</v>
      </c>
      <c r="AG105" s="355" t="str">
        <f>IF($C105="","",IFERROR(VLOOKUP($C105,גיליון1!$A:$E,3,0),"לא הגיש בקשה שוטפת"))</f>
        <v>חויב</v>
      </c>
      <c r="AH105" s="355" t="str">
        <f>IF($C105="","",IFERROR(VLOOKUP($C105,גיליון1!$A:$E,4,0),"לא הגיש בקשה שוטפת"))</f>
        <v>19-42-02-16</v>
      </c>
      <c r="AI105" s="355" t="str">
        <f>IF($C105="","",IFERROR(VLOOKUP($C105,גיליון1!$A:$E,5,0),"לא הגיש בקשה שוטפת"))</f>
        <v>מוסיקה</v>
      </c>
      <c r="AJ105" s="355">
        <f t="shared" si="6"/>
        <v>0</v>
      </c>
      <c r="AK105" s="15"/>
      <c r="AL105" s="15" t="s">
        <v>75</v>
      </c>
    </row>
    <row r="106" spans="1:38" ht="285.75" x14ac:dyDescent="0.25">
      <c r="A106" s="346">
        <f>'הזנה לתנאי סף'!B106</f>
        <v>76</v>
      </c>
      <c r="B106" s="347">
        <f>IF($F106="","",'הזנה לתנאי סף'!C106)</f>
        <v>1001345723</v>
      </c>
      <c r="C106" s="347">
        <f>IF($F106="","",'הזנה לתנאי סף'!D106)</f>
        <v>1001262216</v>
      </c>
      <c r="D106" s="347">
        <f>IF($F106="","",'הזנה לתנאי סף'!E106)</f>
        <v>40000690</v>
      </c>
      <c r="E106" s="348">
        <f>IF($F106="","",'הזנה לתנאי סף'!F106)</f>
        <v>20000135</v>
      </c>
      <c r="F106" s="348" t="str">
        <f>IF('הזנה לתנאי סף'!BL106=1,'הזנה לתנאי סף'!G106,"")</f>
        <v>הגלבוע</v>
      </c>
      <c r="G106" s="348" t="str">
        <f>IF($F106="","",'הזנה לתנאי סף'!H106)</f>
        <v>בית חיים שטורמן - מוזיאון ומכון ליד</v>
      </c>
      <c r="H106" s="348" t="str">
        <f>IF($F106="","",'הזנה לתנאי סף'!I106)</f>
        <v>מוזיאונים</v>
      </c>
      <c r="I106" s="349">
        <f>IF($F106="","",'הזנה לתנאי סף'!R106)</f>
        <v>780872</v>
      </c>
      <c r="J106" s="349">
        <f>IF($F106="","",'תחום תמיכה א'!P106)</f>
        <v>776665</v>
      </c>
      <c r="K106" s="177">
        <f>IF($F106="","",'הזנה לתנאי סף'!N106)</f>
        <v>0</v>
      </c>
      <c r="L106" s="177">
        <f>IF($F106="","",'הזנה לתנאי סף'!O106)</f>
        <v>1</v>
      </c>
      <c r="M106" s="177">
        <f>IF($F106="","",'הזנה לתנאי סף'!Q106)</f>
        <v>1</v>
      </c>
      <c r="N106" s="349">
        <f>IF($F106="","",'תחום תמיכה א'!AE106)</f>
        <v>15375.616652167379</v>
      </c>
      <c r="O106" s="178"/>
      <c r="P106" s="349">
        <f>IF($F106="","",'תחום תמיכה ב'!AC106)</f>
        <v>17455.604977111641</v>
      </c>
      <c r="Q106" s="349">
        <f>IF($F106="","",IF('תחום תמיכה ג'!O106="",0,'תחום תמיכה ג'!O106))</f>
        <v>0</v>
      </c>
      <c r="R106" s="349">
        <f t="shared" si="4"/>
        <v>523.40722724311854</v>
      </c>
      <c r="S106" s="349">
        <f>IF($F106="","",'תחום תמיכה ב'!AE106)</f>
        <v>17979.01220435476</v>
      </c>
      <c r="T106" s="349">
        <f>IF($F106="","",IF(Q106='תחום תמיכה ג'!$Q$2,'תחום תמיכה ג'!$Q$2,IFERROR(SUMIF(N106:R106,"&gt;0"),'תחום תמיכה ג'!$Q$2)))</f>
        <v>33354.628856522133</v>
      </c>
      <c r="U106" s="349">
        <f>IF($F106="","",'הזנה לתנאי סף'!Y106)</f>
        <v>780872</v>
      </c>
      <c r="V106" s="350">
        <f>IF(F106="","",'הגבלה לסכום מבוקש '!AA106)</f>
        <v>36351.175792046</v>
      </c>
      <c r="W106" s="349">
        <f t="shared" si="5"/>
        <v>9087.7939480115001</v>
      </c>
      <c r="X106" s="349">
        <f>IF(F106="","",'הזנה לתנאי סף'!Z106)</f>
        <v>230000</v>
      </c>
      <c r="Y106" s="351" t="s">
        <v>3740</v>
      </c>
      <c r="Z106" s="352" t="str">
        <f>IFERROR(VLOOKUP(G106*1,#REF!,3,0),"")</f>
        <v/>
      </c>
      <c r="AA106" s="349" t="str">
        <f>IF(OR($F106="",Z106=""),"",IFERROR(IF(Z106&gt;V106,MIN(Z106,T106)-V106,0),'תחום תמיכה ג'!$Q$2))</f>
        <v/>
      </c>
      <c r="AB106" s="353"/>
      <c r="AC106" s="260" t="str">
        <f t="shared" si="7"/>
        <v/>
      </c>
      <c r="AD106" s="354"/>
      <c r="AE106" s="180"/>
      <c r="AF106" s="355" t="str">
        <f>IF($C106="","",IFERROR(VLOOKUP($C106,גיליון1!$A:$E,2,0),"לא הגיש בקשה שוטפת"))</f>
        <v>תמיכה שוטפת במוזאון</v>
      </c>
      <c r="AG106" s="355" t="str">
        <f>IF($C106="","",IFERROR(VLOOKUP($C106,גיליון1!$A:$E,3,0),"לא הגיש בקשה שוטפת"))</f>
        <v>חויב</v>
      </c>
      <c r="AH106" s="355" t="str">
        <f>IF($C106="","",IFERROR(VLOOKUP($C106,גיליון1!$A:$E,4,0),"לא הגיש בקשה שוטפת"))</f>
        <v>19-42-02-18</v>
      </c>
      <c r="AI106" s="355" t="str">
        <f>IF($C106="","",IFERROR(VLOOKUP($C106,גיליון1!$A:$E,5,0),"לא הגיש בקשה שוטפת"))</f>
        <v>מוזיאונים ואמנות פלס</v>
      </c>
      <c r="AJ106" s="355">
        <f t="shared" si="6"/>
        <v>0</v>
      </c>
      <c r="AK106" s="15"/>
      <c r="AL106" s="15" t="s">
        <v>76</v>
      </c>
    </row>
    <row r="107" spans="1:38" ht="285.75" x14ac:dyDescent="0.25">
      <c r="A107" s="346">
        <f>'הזנה לתנאי סף'!B107</f>
        <v>77</v>
      </c>
      <c r="B107" s="347">
        <f>IF($F107="","",'הזנה לתנאי סף'!C107)</f>
        <v>1001350383</v>
      </c>
      <c r="C107" s="347">
        <f>IF($F107="","",'הזנה לתנאי סף'!D107)</f>
        <v>1001289932</v>
      </c>
      <c r="D107" s="347">
        <f>IF($F107="","",'הזנה לתנאי סף'!E107)</f>
        <v>40000702</v>
      </c>
      <c r="E107" s="348">
        <f>IF($F107="","",'הזנה לתנאי סף'!F107)</f>
        <v>20000096</v>
      </c>
      <c r="F107" s="348" t="str">
        <f>IF('הזנה לתנאי סף'!BL107=1,'הזנה לתנאי סף'!G107,"")</f>
        <v>שדרות</v>
      </c>
      <c r="G107" s="348" t="str">
        <f>IF($F107="","",'הזנה לתנאי סף'!H107)</f>
        <v>סינמטק שדרות</v>
      </c>
      <c r="H107" s="348" t="str">
        <f>IF($F107="","",'הזנה לתנאי סף'!I107)</f>
        <v>סינמטקים ופסטיבלים</v>
      </c>
      <c r="I107" s="349">
        <f>IF($F107="","",'הזנה לתנאי סף'!R107)</f>
        <v>1875270</v>
      </c>
      <c r="J107" s="349">
        <f>IF($F107="","",'תחום תמיכה א'!P107)</f>
        <v>2116662</v>
      </c>
      <c r="K107" s="177">
        <f>IF($F107="","",'הזנה לתנאי סף'!N107)</f>
        <v>0</v>
      </c>
      <c r="L107" s="177">
        <f>IF($F107="","",'הזנה לתנאי סף'!O107)</f>
        <v>1</v>
      </c>
      <c r="M107" s="177">
        <f>IF($F107="","",'הזנה לתנאי סף'!Q107)</f>
        <v>1</v>
      </c>
      <c r="N107" s="349">
        <f>IF($F107="","",'תחום תמיכה א'!AE107)</f>
        <v>91504.500398272052</v>
      </c>
      <c r="O107" s="178"/>
      <c r="P107" s="349">
        <f>IF($F107="","",'תחום תמיכה ב'!AC107)</f>
        <v>184394.83929113421</v>
      </c>
      <c r="Q107" s="349">
        <f>IF($F107="","",IF('תחום תמיכה ג'!O107="",0,'תחום תמיכה ג'!O107))</f>
        <v>0</v>
      </c>
      <c r="R107" s="349">
        <f t="shared" si="4"/>
        <v>5529.088890236977</v>
      </c>
      <c r="S107" s="349">
        <f>IF($F107="","",'תחום תמיכה ב'!AE107)</f>
        <v>189923.92818137119</v>
      </c>
      <c r="T107" s="349">
        <f>IF($F107="","",IF(Q107='תחום תמיכה ג'!$Q$2,'תחום תמיכה ג'!$Q$2,IFERROR(SUMIF(N107:R107,"&gt;0"),'תחום תמיכה ג'!$Q$2)))</f>
        <v>281428.42857964325</v>
      </c>
      <c r="U107" s="349">
        <f>IF($F107="","",'הזנה לתנאי סף'!Y107)</f>
        <v>810000</v>
      </c>
      <c r="V107" s="350">
        <f>IF(F107="","",'הגבלה לסכום מבוקש '!AA107)</f>
        <v>313050.60005932784</v>
      </c>
      <c r="W107" s="349">
        <f t="shared" si="5"/>
        <v>78262.650014831961</v>
      </c>
      <c r="X107" s="349">
        <f>IF(F107="","",'הזנה לתנאי סף'!Z107)</f>
        <v>810000</v>
      </c>
      <c r="Y107" s="351" t="s">
        <v>3740</v>
      </c>
      <c r="Z107" s="352" t="str">
        <f>IFERROR(VLOOKUP(G107*1,#REF!,3,0),"")</f>
        <v/>
      </c>
      <c r="AA107" s="349" t="str">
        <f>IF(OR($F107="",Z107=""),"",IFERROR(IF(Z107&gt;V107,MIN(Z107,T107)-V107,0),'תחום תמיכה ג'!$Q$2))</f>
        <v/>
      </c>
      <c r="AB107" s="353"/>
      <c r="AC107" s="260" t="str">
        <f t="shared" si="7"/>
        <v/>
      </c>
      <c r="AD107" s="354"/>
      <c r="AE107" s="180"/>
      <c r="AF107" s="355" t="str">
        <f>IF($C107="","",IFERROR(VLOOKUP($C107,גיליון1!$A:$E,2,0),"לא הגיש בקשה שוטפת"))</f>
        <v>תמיכה לשוטף לשנת 2020</v>
      </c>
      <c r="AG107" s="355" t="str">
        <f>IF($C107="","",IFERROR(VLOOKUP($C107,גיליון1!$A:$E,3,0),"לא הגיש בקשה שוטפת"))</f>
        <v>מועד</v>
      </c>
      <c r="AH107" s="355" t="str">
        <f>IF($C107="","",IFERROR(VLOOKUP($C107,גיליון1!$A:$E,4,0),"לא הגיש בקשה שוטפת"))</f>
        <v>19-42-02-28</v>
      </c>
      <c r="AI107" s="355" t="str">
        <f>IF($C107="","",IFERROR(VLOOKUP($C107,גיליון1!$A:$E,5,0),"לא הגיש בקשה שוטפת"))</f>
        <v>חוק  הקולנוע</v>
      </c>
      <c r="AJ107" s="355">
        <f t="shared" si="6"/>
        <v>0</v>
      </c>
      <c r="AK107" s="15"/>
      <c r="AL107" s="15" t="s">
        <v>235</v>
      </c>
    </row>
    <row r="108" spans="1:38" ht="285.75" x14ac:dyDescent="0.25">
      <c r="A108" s="346">
        <f>'הזנה לתנאי סף'!B108</f>
        <v>78</v>
      </c>
      <c r="B108" s="347">
        <f>IF($F108="","",'הזנה לתנאי סף'!C108)</f>
        <v>1001346201</v>
      </c>
      <c r="C108" s="347">
        <f>IF($F108="","",'הזנה לתנאי סף'!D108)</f>
        <v>1001271257</v>
      </c>
      <c r="D108" s="347">
        <f>IF($F108="","",'הזנה לתנאי סף'!E108)</f>
        <v>40002836</v>
      </c>
      <c r="E108" s="348">
        <f>IF($F108="","",'הזנה לתנאי סף'!F108)</f>
        <v>20000244</v>
      </c>
      <c r="F108" s="348" t="str">
        <f>IF('הזנה לתנאי סף'!BL108=1,'הזנה לתנאי סף'!G108,"")</f>
        <v>צפת</v>
      </c>
      <c r="G108" s="348" t="str">
        <f>IF($F108="","",'הזנה לתנאי סף'!H108)</f>
        <v>בית המאירי</v>
      </c>
      <c r="H108" s="348" t="str">
        <f>IF($F108="","",'הזנה לתנאי סף'!I108)</f>
        <v>מוזיאונים</v>
      </c>
      <c r="I108" s="349">
        <f>IF($F108="","",'הזנה לתנאי סף'!R108)</f>
        <v>369262</v>
      </c>
      <c r="J108" s="349">
        <f>IF($F108="","",'תחום תמיכה א'!P108)</f>
        <v>366545</v>
      </c>
      <c r="K108" s="177">
        <f>IF($F108="","",'הזנה לתנאי סף'!N108)</f>
        <v>0</v>
      </c>
      <c r="L108" s="177">
        <f>IF($F108="","",'הזנה לתנאי סף'!O108)</f>
        <v>1</v>
      </c>
      <c r="M108" s="177">
        <f>IF($F108="","",'הזנה לתנאי סף'!Q108)</f>
        <v>1</v>
      </c>
      <c r="N108" s="349">
        <f>IF($F108="","",'תחום תמיכה א'!AE108)</f>
        <v>6559.8761645047271</v>
      </c>
      <c r="O108" s="178"/>
      <c r="P108" s="349">
        <f>IF($F108="","",'תחום תמיכה ב'!AC108)</f>
        <v>6745.7266449121298</v>
      </c>
      <c r="Q108" s="349">
        <f>IF($F108="","",IF('תחום תמיכה ג'!O108="",0,'תחום תמיכה ג'!O108))</f>
        <v>0</v>
      </c>
      <c r="R108" s="349">
        <f t="shared" si="4"/>
        <v>202.27096589222401</v>
      </c>
      <c r="S108" s="349">
        <f>IF($F108="","",'תחום תמיכה ב'!AE108)</f>
        <v>6947.9976108043538</v>
      </c>
      <c r="T108" s="349">
        <f>IF($F108="","",IF(Q108='תחום תמיכה ג'!$Q$2,'תחום תמיכה ג'!$Q$2,IFERROR(SUMIF(N108:R108,"&gt;0"),'תחום תמיכה ג'!$Q$2)))</f>
        <v>13507.873775309083</v>
      </c>
      <c r="U108" s="349">
        <f>IF($F108="","",'הזנה לתנאי סף'!Y108)</f>
        <v>180000</v>
      </c>
      <c r="V108" s="350">
        <f>IF(F108="","",'הגבלה לסכום מבוקש '!AA108)</f>
        <v>14666.172103708845</v>
      </c>
      <c r="W108" s="349">
        <f t="shared" si="5"/>
        <v>3666.5430259272111</v>
      </c>
      <c r="X108" s="349">
        <f>IF(F108="","",'הזנה לתנאי סף'!Z108)</f>
        <v>125000</v>
      </c>
      <c r="Y108" s="351" t="s">
        <v>3740</v>
      </c>
      <c r="Z108" s="352" t="str">
        <f>IFERROR(VLOOKUP(G108*1,#REF!,3,0),"")</f>
        <v/>
      </c>
      <c r="AA108" s="349" t="str">
        <f>IF(OR($F108="",Z108=""),"",IFERROR(IF(Z108&gt;V108,MIN(Z108,T108)-V108,0),'תחום תמיכה ג'!$Q$2))</f>
        <v/>
      </c>
      <c r="AB108" s="353"/>
      <c r="AC108" s="260" t="str">
        <f t="shared" si="7"/>
        <v/>
      </c>
      <c r="AD108" s="354"/>
      <c r="AE108" s="180"/>
      <c r="AF108" s="355" t="str">
        <f>IF($C108="","",IFERROR(VLOOKUP($C108,גיליון1!$A:$E,2,0),"לא הגיש בקשה שוטפת"))</f>
        <v>תמיכה בתפעול השוטף של המוזאון בשנת 2020</v>
      </c>
      <c r="AG108" s="355" t="str">
        <f>IF($C108="","",IFERROR(VLOOKUP($C108,גיליון1!$A:$E,3,0),"לא הגיש בקשה שוטפת"))</f>
        <v>חויב</v>
      </c>
      <c r="AH108" s="355" t="str">
        <f>IF($C108="","",IFERROR(VLOOKUP($C108,גיליון1!$A:$E,4,0),"לא הגיש בקשה שוטפת"))</f>
        <v>19-42-02-18</v>
      </c>
      <c r="AI108" s="355" t="str">
        <f>IF($C108="","",IFERROR(VLOOKUP($C108,גיליון1!$A:$E,5,0),"לא הגיש בקשה שוטפת"))</f>
        <v>מוזיאונים ואמנות פלס</v>
      </c>
      <c r="AJ108" s="355">
        <f t="shared" si="6"/>
        <v>0</v>
      </c>
      <c r="AK108" s="15"/>
      <c r="AL108" s="15" t="s">
        <v>77</v>
      </c>
    </row>
    <row r="109" spans="1:38" ht="285.75" x14ac:dyDescent="0.25">
      <c r="A109" s="346">
        <f>'הזנה לתנאי סף'!B109</f>
        <v>79</v>
      </c>
      <c r="B109" s="347">
        <f>IF($F109="","",'הזנה לתנאי סף'!C109)</f>
        <v>1001350540</v>
      </c>
      <c r="C109" s="347">
        <f>IF($F109="","",'הזנה לתנאי סף'!D109)</f>
        <v>1001274933</v>
      </c>
      <c r="D109" s="347">
        <f>IF($F109="","",'הזנה לתנאי סף'!E109)</f>
        <v>40000481</v>
      </c>
      <c r="E109" s="348">
        <f>IF($F109="","",'הזנה לתנאי סף'!F109)</f>
        <v>20000159</v>
      </c>
      <c r="F109" s="348" t="str">
        <f>IF('הזנה לתנאי סף'!BL109=1,'הזנה לתנאי סף'!G109,"")</f>
        <v>ירושלים</v>
      </c>
      <c r="G109" s="348" t="str">
        <f>IF($F109="","",'הזנה לתנאי סף'!H109)</f>
        <v>התזמורת הסימפונית ירושלים</v>
      </c>
      <c r="H109" s="348" t="str">
        <f>IF($F109="","",'הזנה לתנאי סף'!I109)</f>
        <v>מוסיקה-גופים כליים</v>
      </c>
      <c r="I109" s="349">
        <f>IF($F109="","",'הזנה לתנאי סף'!R109)</f>
        <v>11327730</v>
      </c>
      <c r="J109" s="349">
        <f>IF($F109="","",'תחום תמיכה א'!P109)</f>
        <v>17162482</v>
      </c>
      <c r="K109" s="177">
        <f>IF($F109="","",'הזנה לתנאי סף'!N109)</f>
        <v>1</v>
      </c>
      <c r="L109" s="177">
        <f>IF($F109="","",'הזנה לתנאי סף'!O109)</f>
        <v>1</v>
      </c>
      <c r="M109" s="177">
        <f>IF($F109="","",'הזנה לתנאי סף'!Q109)</f>
        <v>1</v>
      </c>
      <c r="N109" s="349">
        <f>IF($F109="","",'תחום תמיכה א'!AE109)</f>
        <v>245862.55101681247</v>
      </c>
      <c r="O109" s="178"/>
      <c r="P109" s="349">
        <f>IF($F109="","",'תחום תמיכה ב'!AC109)</f>
        <v>132594.31519267918</v>
      </c>
      <c r="Q109" s="349">
        <f>IF($F109="","",IF('תחום תמיכה ג'!O109="",0,'תחום תמיכה ג'!O109))</f>
        <v>22921.364510721454</v>
      </c>
      <c r="R109" s="349">
        <f t="shared" si="4"/>
        <v>3975.8474687185662</v>
      </c>
      <c r="S109" s="349">
        <f>IF($F109="","",'תחום תמיכה ב'!AE109)</f>
        <v>136570.16266139774</v>
      </c>
      <c r="T109" s="349">
        <f>IF($F109="","",IF(Q109='תחום תמיכה ג'!$Q$2,'תחום תמיכה ג'!$Q$2,IFERROR(SUMIF(N109:R109,"&gt;0"),'תחום תמיכה ג'!$Q$2)))</f>
        <v>405354.07818893169</v>
      </c>
      <c r="U109" s="349">
        <f>IF($F109="","",'הזנה לתנאי סף'!Y109)</f>
        <v>4000000</v>
      </c>
      <c r="V109" s="350">
        <f>IF(F109="","",'הגבלה לסכום מבוקש '!AA109)</f>
        <v>428185.31781795382</v>
      </c>
      <c r="W109" s="349">
        <f t="shared" si="5"/>
        <v>107046.32945448846</v>
      </c>
      <c r="X109" s="349">
        <f>IF(F109="","",'הזנה לתנאי סף'!Z109)</f>
        <v>50000</v>
      </c>
      <c r="Y109" s="351" t="s">
        <v>3740</v>
      </c>
      <c r="Z109" s="352" t="str">
        <f>IFERROR(VLOOKUP(G109*1,#REF!,3,0),"")</f>
        <v/>
      </c>
      <c r="AA109" s="349" t="str">
        <f>IF(OR($F109="",Z109=""),"",IFERROR(IF(Z109&gt;V109,MIN(Z109,T109)-V109,0),'תחום תמיכה ג'!$Q$2))</f>
        <v/>
      </c>
      <c r="AB109" s="353"/>
      <c r="AC109" s="260" t="str">
        <f t="shared" si="7"/>
        <v/>
      </c>
      <c r="AD109" s="354"/>
      <c r="AE109" s="180"/>
      <c r="AF109" s="355" t="str">
        <f>IF($C109="","",IFERROR(VLOOKUP($C109,גיליון1!$A:$E,2,0),"לא הגיש בקשה שוטפת"))</f>
        <v>תמיכה שוטפת לשנת 2020 לתזמורת הסימפונית</v>
      </c>
      <c r="AG109" s="355" t="str">
        <f>IF($C109="","",IFERROR(VLOOKUP($C109,גיליון1!$A:$E,3,0),"לא הגיש בקשה שוטפת"))</f>
        <v>חויב</v>
      </c>
      <c r="AH109" s="355" t="str">
        <f>IF($C109="","",IFERROR(VLOOKUP($C109,גיליון1!$A:$E,4,0),"לא הגיש בקשה שוטפת"))</f>
        <v>19-42-02-16</v>
      </c>
      <c r="AI109" s="355" t="str">
        <f>IF($C109="","",IFERROR(VLOOKUP($C109,גיליון1!$A:$E,5,0),"לא הגיש בקשה שוטפת"))</f>
        <v>מוסיקה</v>
      </c>
      <c r="AJ109" s="355">
        <f t="shared" si="6"/>
        <v>0</v>
      </c>
      <c r="AK109" s="15"/>
      <c r="AL109" s="15" t="s">
        <v>79</v>
      </c>
    </row>
    <row r="110" spans="1:38" ht="285.75" x14ac:dyDescent="0.25">
      <c r="A110" s="346">
        <f>'הזנה לתנאי סף'!B110</f>
        <v>80</v>
      </c>
      <c r="B110" s="347">
        <f>IF($F110="","",'הזנה לתנאי סף'!C110)</f>
        <v>1001351066</v>
      </c>
      <c r="C110" s="347">
        <f>IF($F110="","",'הזנה לתנאי סף'!D110)</f>
        <v>1001274404</v>
      </c>
      <c r="D110" s="347">
        <f>IF($F110="","",'הזנה לתנאי סף'!E110)</f>
        <v>40216097</v>
      </c>
      <c r="E110" s="348">
        <f>IF($F110="","",'הזנה לתנאי סף'!F110)</f>
        <v>20000201</v>
      </c>
      <c r="F110" s="348" t="str">
        <f>IF('הזנה לתנאי סף'!BL110=1,'הזנה לתנאי סף'!G110,"")</f>
        <v>תל אביב -יפו</v>
      </c>
      <c r="G110" s="348" t="str">
        <f>IF($F110="","",'הזנה לתנאי סף'!H110)</f>
        <v>אנסמבל סולני ת"א</v>
      </c>
      <c r="H110" s="348" t="str">
        <f>IF($F110="","",'הזנה לתנאי סף'!I110)</f>
        <v>קבוצות מוסיקה</v>
      </c>
      <c r="I110" s="349">
        <f>IF($F110="","",'הזנה לתנאי סף'!R110)</f>
        <v>1221158</v>
      </c>
      <c r="J110" s="349">
        <f>IF($F110="","",'תחום תמיכה א'!P110)</f>
        <v>1383481</v>
      </c>
      <c r="K110" s="177">
        <f>IF($F110="","",'הזנה לתנאי סף'!N110)</f>
        <v>1</v>
      </c>
      <c r="L110" s="177">
        <f>IF($F110="","",'הזנה לתנאי סף'!O110)</f>
        <v>1</v>
      </c>
      <c r="M110" s="177">
        <f>IF($F110="","",'הזנה לתנאי סף'!Q110)</f>
        <v>1</v>
      </c>
      <c r="N110" s="349">
        <f>IF($F110="","",'תחום תמיכה א'!AE110)</f>
        <v>30181.7308855066</v>
      </c>
      <c r="O110" s="178"/>
      <c r="P110" s="349">
        <f>IF($F110="","",'תחום תמיכה ב'!AC110)</f>
        <v>33149.057411483234</v>
      </c>
      <c r="Q110" s="349">
        <f>IF($F110="","",IF('תחום תמיכה ג'!O110="",0,'תחום תמיכה ג'!O110))</f>
        <v>13900.817536139308</v>
      </c>
      <c r="R110" s="349">
        <f t="shared" si="4"/>
        <v>993.97621842485387</v>
      </c>
      <c r="S110" s="349">
        <f>IF($F110="","",'תחום תמיכה ב'!AE110)</f>
        <v>34143.033629908088</v>
      </c>
      <c r="T110" s="349">
        <f>IF($F110="","",IF(Q110='תחום תמיכה ג'!$Q$2,'תחום תמיכה ג'!$Q$2,IFERROR(SUMIF(N110:R110,"&gt;0"),'תחום תמיכה ג'!$Q$2)))</f>
        <v>78225.582051553996</v>
      </c>
      <c r="U110" s="349">
        <f>IF($F110="","",'הזנה לתנאי סף'!Y110)</f>
        <v>200000</v>
      </c>
      <c r="V110" s="350">
        <f>IF(F110="","",'הגבלה לסכום מבוקש '!AA110)</f>
        <v>83922.949773513552</v>
      </c>
      <c r="W110" s="349">
        <f t="shared" si="5"/>
        <v>20980.737443378388</v>
      </c>
      <c r="X110" s="349">
        <f>IF(F110="","",'הזנה לתנאי סף'!Z110)</f>
        <v>200000</v>
      </c>
      <c r="Y110" s="351" t="s">
        <v>3740</v>
      </c>
      <c r="Z110" s="352" t="str">
        <f>IFERROR(VLOOKUP(G110*1,#REF!,3,0),"")</f>
        <v/>
      </c>
      <c r="AA110" s="349" t="str">
        <f>IF(OR($F110="",Z110=""),"",IFERROR(IF(Z110&gt;V110,MIN(Z110,T110)-V110,0),'תחום תמיכה ג'!$Q$2))</f>
        <v/>
      </c>
      <c r="AB110" s="353"/>
      <c r="AC110" s="260" t="str">
        <f t="shared" si="7"/>
        <v/>
      </c>
      <c r="AD110" s="354"/>
      <c r="AE110" s="180"/>
      <c r="AF110" s="355" t="str">
        <f>IF($C110="","",IFERROR(VLOOKUP($C110,גיליון1!$A:$E,2,0),"לא הגיש בקשה שוטפת"))</f>
        <v>אנסמבל סולני תל אביב תמיכה 2020</v>
      </c>
      <c r="AG110" s="355" t="str">
        <f>IF($C110="","",IFERROR(VLOOKUP($C110,גיליון1!$A:$E,3,0),"לא הגיש בקשה שוטפת"))</f>
        <v>חויב</v>
      </c>
      <c r="AH110" s="355" t="str">
        <f>IF($C110="","",IFERROR(VLOOKUP($C110,גיליון1!$A:$E,4,0),"לא הגיש בקשה שוטפת"))</f>
        <v>19-42-02-16</v>
      </c>
      <c r="AI110" s="355" t="str">
        <f>IF($C110="","",IFERROR(VLOOKUP($C110,גיליון1!$A:$E,5,0),"לא הגיש בקשה שוטפת"))</f>
        <v>מוסיקה</v>
      </c>
      <c r="AJ110" s="355">
        <f t="shared" si="6"/>
        <v>0</v>
      </c>
      <c r="AK110" s="15"/>
      <c r="AL110" s="15" t="s">
        <v>81</v>
      </c>
    </row>
    <row r="111" spans="1:38" ht="285.75" x14ac:dyDescent="0.25">
      <c r="A111" s="346">
        <f>'הזנה לתנאי סף'!B111</f>
        <v>81</v>
      </c>
      <c r="B111" s="347">
        <f>IF($F111="","",'הזנה לתנאי סף'!C111)</f>
        <v>1001348972</v>
      </c>
      <c r="C111" s="347">
        <f>IF($F111="","",'הזנה לתנאי סף'!D111)</f>
        <v>1001288922</v>
      </c>
      <c r="D111" s="347">
        <f>IF($F111="","",'הזנה לתנאי סף'!E111)</f>
        <v>40216100</v>
      </c>
      <c r="E111" s="348">
        <f>IF($F111="","",'הזנה לתנאי סף'!F111)</f>
        <v>20000201</v>
      </c>
      <c r="F111" s="348" t="str">
        <f>IF('הזנה לתנאי סף'!BL111=1,'הזנה לתנאי סף'!G111,"")</f>
        <v>תל אביב -יפו</v>
      </c>
      <c r="G111" s="348" t="str">
        <f>IF($F111="","",'הזנה לתנאי סף'!H111)</f>
        <v>אורתו-דה</v>
      </c>
      <c r="H111" s="348" t="str">
        <f>IF($F111="","",'הזנה לתנאי סף'!I111)</f>
        <v>קבוצות תיאטרון</v>
      </c>
      <c r="I111" s="349">
        <f>IF($F111="","",'הזנה לתנאי סף'!R111)</f>
        <v>1860910</v>
      </c>
      <c r="J111" s="349">
        <f>IF($F111="","",'תחום תמיכה א'!P111)</f>
        <v>1880967</v>
      </c>
      <c r="K111" s="177">
        <f>IF($F111="","",'הזנה לתנאי סף'!N111)</f>
        <v>1</v>
      </c>
      <c r="L111" s="177">
        <f>IF($F111="","",'הזנה לתנאי סף'!O111)</f>
        <v>1</v>
      </c>
      <c r="M111" s="177">
        <f>IF($F111="","",'הזנה לתנאי סף'!Q111)</f>
        <v>1</v>
      </c>
      <c r="N111" s="349">
        <f>IF($F111="","",'תחום תמיכה א'!AE111)</f>
        <v>61651.66863271076</v>
      </c>
      <c r="O111" s="178"/>
      <c r="P111" s="349">
        <f>IF($F111="","",'תחום תמיכה ב'!AC111)</f>
        <v>114027.637499348</v>
      </c>
      <c r="Q111" s="349">
        <f>IF($F111="","",IF('תחום תמיכה ג'!O111="",0,'תחום תמיכה ג'!O111))</f>
        <v>47816.66529095282</v>
      </c>
      <c r="R111" s="349">
        <f t="shared" si="4"/>
        <v>3419.124668029297</v>
      </c>
      <c r="S111" s="349">
        <f>IF($F111="","",'תחום תמיכה ב'!AE111)</f>
        <v>117446.7621673773</v>
      </c>
      <c r="T111" s="349">
        <f>IF($F111="","",IF(Q111='תחום תמיכה ג'!$Q$2,'תחום תמיכה ג'!$Q$2,IFERROR(SUMIF(N111:R111,"&gt;0"),'תחום תמיכה ג'!$Q$2)))</f>
        <v>226915.09609104088</v>
      </c>
      <c r="U111" s="349">
        <f>IF($F111="","",'הזנה לתנאי סף'!Y111)</f>
        <v>90000</v>
      </c>
      <c r="V111" s="350">
        <f>IF(F111="","",'הגבלה לסכום מבוקש '!AA111)</f>
        <v>90000</v>
      </c>
      <c r="W111" s="349">
        <f t="shared" si="5"/>
        <v>22500</v>
      </c>
      <c r="X111" s="349">
        <f>IF(F111="","",'הזנה לתנאי סף'!Z111)</f>
        <v>90000</v>
      </c>
      <c r="Y111" s="351" t="s">
        <v>3740</v>
      </c>
      <c r="Z111" s="352" t="str">
        <f>IFERROR(VLOOKUP(G111*1,#REF!,3,0),"")</f>
        <v/>
      </c>
      <c r="AA111" s="349" t="str">
        <f>IF(OR($F111="",Z111=""),"",IFERROR(IF(Z111&gt;V111,MIN(Z111,T111)-V111,0),'תחום תמיכה ג'!$Q$2))</f>
        <v/>
      </c>
      <c r="AB111" s="353"/>
      <c r="AC111" s="260" t="str">
        <f t="shared" si="7"/>
        <v/>
      </c>
      <c r="AD111" s="354"/>
      <c r="AE111" s="180"/>
      <c r="AF111" s="355" t="str">
        <f>IF($C111="","",IFERROR(VLOOKUP($C111,גיליון1!$A:$E,2,0),"לא הגיש בקשה שוטפת"))</f>
        <v>אורתו דה קבוצה בקשת תמיכה 2020</v>
      </c>
      <c r="AG111" s="355" t="str">
        <f>IF($C111="","",IFERROR(VLOOKUP($C111,גיליון1!$A:$E,3,0),"לא הגיש בקשה שוטפת"))</f>
        <v>מועד</v>
      </c>
      <c r="AH111" s="355" t="str">
        <f>IF($C111="","",IFERROR(VLOOKUP($C111,גיליון1!$A:$E,4,0),"לא הגיש בקשה שוטפת"))</f>
        <v>19-42-02-07</v>
      </c>
      <c r="AI111" s="355" t="str">
        <f>IF($C111="","",IFERROR(VLOOKUP($C111,גיליון1!$A:$E,5,0),"לא הגיש בקשה שוטפת"))</f>
        <v>תיאטרון</v>
      </c>
      <c r="AJ111" s="355">
        <f t="shared" si="6"/>
        <v>1</v>
      </c>
      <c r="AK111" s="15"/>
      <c r="AL111" s="15" t="s">
        <v>86</v>
      </c>
    </row>
    <row r="112" spans="1:38" ht="285.75" x14ac:dyDescent="0.25">
      <c r="A112" s="346">
        <f>'הזנה לתנאי סף'!B112</f>
        <v>82</v>
      </c>
      <c r="B112" s="347">
        <f>IF($F112="","",'הזנה לתנאי סף'!C112)</f>
        <v>1001347046</v>
      </c>
      <c r="C112" s="347">
        <f>IF($F112="","",'הזנה לתנאי סף'!D112)</f>
        <v>1001277747</v>
      </c>
      <c r="D112" s="347">
        <f>IF($F112="","",'הזנה לתנאי סף'!E112)</f>
        <v>40216106</v>
      </c>
      <c r="E112" s="348">
        <f>IF($F112="","",'הזנה לתנאי סף'!F112)</f>
        <v>20000201</v>
      </c>
      <c r="F112" s="348" t="str">
        <f>IF('הזנה לתנאי סף'!BL112=1,'הזנה לתנאי סף'!G112,"")</f>
        <v>תל אביב -יפו</v>
      </c>
      <c r="G112" s="348" t="str">
        <f>IF($F112="","",'הזנה לתנאי סף'!H112)</f>
        <v>העמותה לקידום תרבות הפלמנקו בישראל</v>
      </c>
      <c r="H112" s="348" t="str">
        <f>IF($F112="","",'הזנה לתנאי סף'!I112)</f>
        <v>מחול</v>
      </c>
      <c r="I112" s="349">
        <f>IF($F112="","",'הזנה לתנאי סף'!R112)</f>
        <v>1702838</v>
      </c>
      <c r="J112" s="349">
        <f>IF($F112="","",'תחום תמיכה א'!P112)</f>
        <v>1708006</v>
      </c>
      <c r="K112" s="177">
        <f>IF($F112="","",'הזנה לתנאי סף'!N112)</f>
        <v>1</v>
      </c>
      <c r="L112" s="177">
        <f>IF($F112="","",'הזנה לתנאי סף'!O112)</f>
        <v>1</v>
      </c>
      <c r="M112" s="177">
        <f>IF($F112="","",'הזנה לתנאי סף'!Q112)</f>
        <v>1</v>
      </c>
      <c r="N112" s="349">
        <f>IF($F112="","",'תחום תמיכה א'!AE112)</f>
        <v>56448.724581400202</v>
      </c>
      <c r="O112" s="178"/>
      <c r="P112" s="349">
        <f>IF($F112="","",'תחום תמיכה ב'!AC112)</f>
        <v>106086.53267294963</v>
      </c>
      <c r="Q112" s="349">
        <f>IF($F112="","",IF('תחום תמיכה ג'!O112="",0,'תחום תמיכה ג'!O112))</f>
        <v>44486.620401384425</v>
      </c>
      <c r="R112" s="349">
        <f t="shared" si="4"/>
        <v>3181.0102249101765</v>
      </c>
      <c r="S112" s="349">
        <f>IF($F112="","",'תחום תמיכה ב'!AE112)</f>
        <v>109267.54289785981</v>
      </c>
      <c r="T112" s="349">
        <f>IF($F112="","",IF(Q112='תחום תמיכה ג'!$Q$2,'תחום תמיכה ג'!$Q$2,IFERROR(SUMIF(N112:R112,"&gt;0"),'תחום תמיכה ג'!$Q$2)))</f>
        <v>210202.88788064441</v>
      </c>
      <c r="U112" s="349">
        <f>IF($F112="","",'הזנה לתנאי סף'!Y112)</f>
        <v>1500000</v>
      </c>
      <c r="V112" s="350">
        <f>IF(F112="","",'הגבלה לסכום מבוקש '!AA112)</f>
        <v>228417.8282923619</v>
      </c>
      <c r="W112" s="349">
        <f t="shared" si="5"/>
        <v>57104.457073090474</v>
      </c>
      <c r="X112" s="349">
        <f>IF(F112="","",'הזנה לתנאי סף'!Z112)</f>
        <v>500000</v>
      </c>
      <c r="Y112" s="351" t="s">
        <v>3740</v>
      </c>
      <c r="Z112" s="352" t="str">
        <f>IFERROR(VLOOKUP(G112*1,#REF!,3,0),"")</f>
        <v/>
      </c>
      <c r="AA112" s="349" t="str">
        <f>IF(OR($F112="",Z112=""),"",IFERROR(IF(Z112&gt;V112,MIN(Z112,T112)-V112,0),'תחום תמיכה ג'!$Q$2))</f>
        <v/>
      </c>
      <c r="AB112" s="353"/>
      <c r="AC112" s="260" t="str">
        <f t="shared" si="7"/>
        <v/>
      </c>
      <c r="AD112" s="354"/>
      <c r="AE112" s="180"/>
      <c r="AF112" s="355" t="str">
        <f>IF($C112="","",IFERROR(VLOOKUP($C112,גיליון1!$A:$E,2,0),"לא הגיש בקשה שוטפת"))</f>
        <v>תמיכה בפעילות שוטפת להקת הפלמנקו הישראלי</v>
      </c>
      <c r="AG112" s="355" t="str">
        <f>IF($C112="","",IFERROR(VLOOKUP($C112,גיליון1!$A:$E,3,0),"לא הגיש בקשה שוטפת"))</f>
        <v>חויב</v>
      </c>
      <c r="AH112" s="355" t="str">
        <f>IF($C112="","",IFERROR(VLOOKUP($C112,גיליון1!$A:$E,4,0),"לא הגיש בקשה שוטפת"))</f>
        <v>19-42-02-20</v>
      </c>
      <c r="AI112" s="355" t="str">
        <f>IF($C112="","",IFERROR(VLOOKUP($C112,גיליון1!$A:$E,5,0),"לא הגיש בקשה שוטפת"))</f>
        <v>מחול וארגוני גג</v>
      </c>
      <c r="AJ112" s="355">
        <f t="shared" si="6"/>
        <v>0</v>
      </c>
      <c r="AK112" s="15"/>
      <c r="AL112" s="15" t="s">
        <v>93</v>
      </c>
    </row>
    <row r="113" spans="1:38" ht="285.75" x14ac:dyDescent="0.25">
      <c r="A113" s="346">
        <f>'הזנה לתנאי סף'!B113</f>
        <v>83</v>
      </c>
      <c r="B113" s="347">
        <f>IF($F113="","",'הזנה לתנאי סף'!C113)</f>
        <v>1001346702</v>
      </c>
      <c r="C113" s="347">
        <f>IF($F113="","",'הזנה לתנאי סף'!D113)</f>
        <v>1001277088</v>
      </c>
      <c r="D113" s="347">
        <f>IF($F113="","",'הזנה לתנאי סף'!E113)</f>
        <v>40221541</v>
      </c>
      <c r="E113" s="348">
        <f>IF($F113="","",'הזנה לתנאי סף'!F113)</f>
        <v>20000201</v>
      </c>
      <c r="F113" s="348" t="str">
        <f>IF('הזנה לתנאי סף'!BL113=1,'הזנה לתנאי סף'!G113,"")</f>
        <v>תל אביב -יפו</v>
      </c>
      <c r="G113" s="348" t="str">
        <f>IF($F113="","",'הזנה לתנאי סף'!H113)</f>
        <v>מרכז פליציה בלומנטל למוזיקה</v>
      </c>
      <c r="H113" s="348" t="str">
        <f>IF($F113="","",'הזנה לתנאי סף'!I113)</f>
        <v>אופרה</v>
      </c>
      <c r="I113" s="349">
        <f>IF($F113="","",'הזנה לתנאי סף'!R113)</f>
        <v>162910</v>
      </c>
      <c r="J113" s="349">
        <f>IF($F113="","",'תחום תמיכה א'!P113)</f>
        <v>162910</v>
      </c>
      <c r="K113" s="177">
        <f>IF($F113="","",'הזנה לתנאי סף'!N113)</f>
        <v>0</v>
      </c>
      <c r="L113" s="177">
        <f>IF($F113="","",'הזנה לתנאי סף'!O113)</f>
        <v>1</v>
      </c>
      <c r="M113" s="177">
        <f>IF($F113="","",'הזנה לתנאי סף'!Q113)</f>
        <v>1</v>
      </c>
      <c r="N113" s="349">
        <f>IF($F113="","",'תחום תמיכה א'!AE113)</f>
        <v>2345.6537828425007</v>
      </c>
      <c r="O113" s="178"/>
      <c r="P113" s="349">
        <f>IF($F113="","",'תחום תמיכה ב'!AC113)</f>
        <v>1926.3602870142863</v>
      </c>
      <c r="Q113" s="349">
        <f>IF($F113="","",IF('תחום תמיכה ג'!O113="",0,'תחום תמיכה ג'!O113))</f>
        <v>0</v>
      </c>
      <c r="R113" s="349">
        <f t="shared" si="4"/>
        <v>57.762013852827522</v>
      </c>
      <c r="S113" s="349">
        <f>IF($F113="","",'תחום תמיכה ב'!AE113)</f>
        <v>1984.1223008671138</v>
      </c>
      <c r="T113" s="349">
        <f>IF($F113="","",IF(Q113='תחום תמיכה ג'!$Q$2,'תחום תמיכה ג'!$Q$2,IFERROR(SUMIF(N113:R113,"&gt;0"),'תחום תמיכה ג'!$Q$2)))</f>
        <v>4329.7760837096139</v>
      </c>
      <c r="U113" s="349">
        <f>IF($F113="","",'הזנה לתנאי סף'!Y113)</f>
        <v>115000</v>
      </c>
      <c r="V113" s="350">
        <f>IF(F113="","",'הגבלה לסכום מבוקש '!AA113)</f>
        <v>4660.7635213377998</v>
      </c>
      <c r="W113" s="349">
        <f t="shared" si="5"/>
        <v>1165.19088033445</v>
      </c>
      <c r="X113" s="349">
        <f>IF(F113="","",'הזנה לתנאי סף'!Z113)</f>
        <v>115000</v>
      </c>
      <c r="Y113" s="351" t="s">
        <v>3740</v>
      </c>
      <c r="Z113" s="352" t="str">
        <f>IFERROR(VLOOKUP(G113*1,#REF!,3,0),"")</f>
        <v/>
      </c>
      <c r="AA113" s="349" t="str">
        <f>IF(OR($F113="",Z113=""),"",IFERROR(IF(Z113&gt;V113,MIN(Z113,T113)-V113,0),'תחום תמיכה ג'!$Q$2))</f>
        <v/>
      </c>
      <c r="AB113" s="353"/>
      <c r="AC113" s="260" t="str">
        <f t="shared" si="7"/>
        <v/>
      </c>
      <c r="AD113" s="354"/>
      <c r="AE113" s="180"/>
      <c r="AF113" s="355" t="str">
        <f>IF($C113="","",IFERROR(VLOOKUP($C113,גיליון1!$A:$E,2,0),"לא הגיש בקשה שוטפת"))</f>
        <v>אופרה קאמרה</v>
      </c>
      <c r="AG113" s="355" t="str">
        <f>IF($C113="","",IFERROR(VLOOKUP($C113,גיליון1!$A:$E,3,0),"לא הגיש בקשה שוטפת"))</f>
        <v>טיוט</v>
      </c>
      <c r="AH113" s="355" t="str">
        <f>IF($C113="","",IFERROR(VLOOKUP($C113,גיליון1!$A:$E,4,0),"לא הגיש בקשה שוטפת"))</f>
        <v>19-42-02-16</v>
      </c>
      <c r="AI113" s="355" t="str">
        <f>IF($C113="","",IFERROR(VLOOKUP($C113,גיליון1!$A:$E,5,0),"לא הגיש בקשה שוטפת"))</f>
        <v>מוסיקה</v>
      </c>
      <c r="AJ113" s="355">
        <f t="shared" si="6"/>
        <v>0</v>
      </c>
      <c r="AK113" s="15"/>
      <c r="AL113" s="15" t="s">
        <v>95</v>
      </c>
    </row>
    <row r="114" spans="1:38" ht="285.75" x14ac:dyDescent="0.25">
      <c r="A114" s="346">
        <f>'הזנה לתנאי סף'!B114</f>
        <v>84</v>
      </c>
      <c r="B114" s="347">
        <f>IF($F114="","",'הזנה לתנאי סף'!C114)</f>
        <v>1001346704</v>
      </c>
      <c r="C114" s="347">
        <f>IF($F114="","",'הזנה לתנאי סף'!D114)</f>
        <v>1001277175</v>
      </c>
      <c r="D114" s="347">
        <f>IF($F114="","",'הזנה לתנאי סף'!E114)</f>
        <v>40221541</v>
      </c>
      <c r="E114" s="348">
        <f>IF($F114="","",'הזנה לתנאי סף'!F114)</f>
        <v>20000201</v>
      </c>
      <c r="F114" s="348" t="str">
        <f>IF('הזנה לתנאי סף'!BL114=1,'הזנה לתנאי סף'!G114,"")</f>
        <v>תל אביב -יפו</v>
      </c>
      <c r="G114" s="348" t="str">
        <f>IF($F114="","",'הזנה לתנאי סף'!H114)</f>
        <v>מרכז פליציה בלומנטל למוזיקה</v>
      </c>
      <c r="H114" s="348" t="str">
        <f>IF($F114="","",'הזנה לתנאי סף'!I114)</f>
        <v>קבוצות מוסיקה</v>
      </c>
      <c r="I114" s="349">
        <f>IF($F114="","",'הזנה לתנאי סף'!R114)</f>
        <v>134905</v>
      </c>
      <c r="J114" s="349">
        <f>IF($F114="","",'תחום תמיכה א'!P114)</f>
        <v>134905</v>
      </c>
      <c r="K114" s="177">
        <f>IF($F114="","",'הזנה לתנאי סף'!N114)</f>
        <v>0</v>
      </c>
      <c r="L114" s="177">
        <f>IF($F114="","",'הזנה לתנאי סף'!O114)</f>
        <v>1</v>
      </c>
      <c r="M114" s="177">
        <f>IF($F114="","",'הזנה לתנאי סף'!Q114)</f>
        <v>1</v>
      </c>
      <c r="N114" s="349">
        <f>IF($F114="","",'תחום תמיכה א'!AE114)</f>
        <v>4094.6445258405388</v>
      </c>
      <c r="O114" s="178"/>
      <c r="P114" s="349">
        <f>IF($F114="","",'תחום תמיכה ב'!AC114)</f>
        <v>7088.6217262241225</v>
      </c>
      <c r="Q114" s="349">
        <f>IF($F114="","",IF('תחום תמיכה ג'!O114="",0,'תחום תמיכה ג'!O114))</f>
        <v>0</v>
      </c>
      <c r="R114" s="349">
        <f t="shared" si="4"/>
        <v>212.55269282063182</v>
      </c>
      <c r="S114" s="349">
        <f>IF($F114="","",'תחום תמיכה ב'!AE114)</f>
        <v>7301.1744190447544</v>
      </c>
      <c r="T114" s="349">
        <f>IF($F114="","",IF(Q114='תחום תמיכה ג'!$Q$2,'תחום תמיכה ג'!$Q$2,IFERROR(SUMIF(N114:R114,"&gt;0"),'תחום תמיכה ג'!$Q$2)))</f>
        <v>11395.818944885294</v>
      </c>
      <c r="U114" s="349">
        <f>IF($F114="","",'הזנה לתנאי סף'!Y114)</f>
        <v>86000</v>
      </c>
      <c r="V114" s="350">
        <f>IF(F114="","",'הגבלה לסכום מבוקש '!AA114)</f>
        <v>12611.720946596492</v>
      </c>
      <c r="W114" s="349">
        <f t="shared" si="5"/>
        <v>3152.9302366491229</v>
      </c>
      <c r="X114" s="349">
        <f>IF(F114="","",'הזנה לתנאי סף'!Z114)</f>
        <v>86000</v>
      </c>
      <c r="Y114" s="351" t="s">
        <v>3740</v>
      </c>
      <c r="Z114" s="352" t="str">
        <f>IFERROR(VLOOKUP(G114*1,#REF!,3,0),"")</f>
        <v/>
      </c>
      <c r="AA114" s="349" t="str">
        <f>IF(OR($F114="",Z114=""),"",IFERROR(IF(Z114&gt;V114,MIN(Z114,T114)-V114,0),'תחום תמיכה ג'!$Q$2))</f>
        <v/>
      </c>
      <c r="AB114" s="353"/>
      <c r="AC114" s="260" t="str">
        <f t="shared" si="7"/>
        <v/>
      </c>
      <c r="AD114" s="354"/>
      <c r="AE114" s="180"/>
      <c r="AF114" s="355" t="str">
        <f>IF($C114="","",IFERROR(VLOOKUP($C114,גיליון1!$A:$E,2,0),"לא הגיש בקשה שוטפת"))</f>
        <v>אנסמבל הפניקס</v>
      </c>
      <c r="AG114" s="355" t="str">
        <f>IF($C114="","",IFERROR(VLOOKUP($C114,גיליון1!$A:$E,3,0),"לא הגיש בקשה שוטפת"))</f>
        <v>מועד</v>
      </c>
      <c r="AH114" s="355" t="str">
        <f>IF($C114="","",IFERROR(VLOOKUP($C114,גיליון1!$A:$E,4,0),"לא הגיש בקשה שוטפת"))</f>
        <v>19-42-02-16</v>
      </c>
      <c r="AI114" s="355" t="str">
        <f>IF($C114="","",IFERROR(VLOOKUP($C114,גיליון1!$A:$E,5,0),"לא הגיש בקשה שוטפת"))</f>
        <v>מוסיקה</v>
      </c>
      <c r="AJ114" s="355">
        <f t="shared" si="6"/>
        <v>0</v>
      </c>
      <c r="AK114" s="15"/>
      <c r="AL114" s="15" t="s">
        <v>236</v>
      </c>
    </row>
    <row r="115" spans="1:38" ht="285.75" x14ac:dyDescent="0.25">
      <c r="A115" s="346">
        <f>'הזנה לתנאי סף'!B115</f>
        <v>85</v>
      </c>
      <c r="B115" s="347">
        <f>IF($F115="","",'הזנה לתנאי סף'!C115)</f>
        <v>1001346707</v>
      </c>
      <c r="C115" s="347">
        <f>IF($F115="","",'הזנה לתנאי סף'!D115)</f>
        <v>1001277143</v>
      </c>
      <c r="D115" s="347">
        <f>IF($F115="","",'הזנה לתנאי סף'!E115)</f>
        <v>40221541</v>
      </c>
      <c r="E115" s="348">
        <f>IF($F115="","",'הזנה לתנאי סף'!F115)</f>
        <v>20000201</v>
      </c>
      <c r="F115" s="348" t="str">
        <f>IF('הזנה לתנאי סף'!BL115=1,'הזנה לתנאי סף'!G115,"")</f>
        <v>תל אביב -יפו</v>
      </c>
      <c r="G115" s="348" t="str">
        <f>IF($F115="","",'הזנה לתנאי סף'!H115)</f>
        <v>מרכז פליציה בלומנטל למוזיקה</v>
      </c>
      <c r="H115" s="348" t="str">
        <f>IF($F115="","",'הזנה לתנאי סף'!I115)</f>
        <v>סינמטקים ופסטיבלים</v>
      </c>
      <c r="I115" s="349">
        <f>IF($F115="","",'הזנה לתנאי סף'!R115)</f>
        <v>147730</v>
      </c>
      <c r="J115" s="349">
        <f>IF($F115="","",'תחום תמיכה א'!P115)</f>
        <v>65730</v>
      </c>
      <c r="K115" s="177">
        <f>IF($F115="","",'הזנה לתנאי סף'!N115)</f>
        <v>1</v>
      </c>
      <c r="L115" s="177">
        <f>IF($F115="","",'הזנה לתנאי סף'!O115)</f>
        <v>1</v>
      </c>
      <c r="M115" s="177">
        <f>IF($F115="","",'הזנה לתנאי סף'!Q115)</f>
        <v>1</v>
      </c>
      <c r="N115" s="349">
        <f>IF($F115="","",'תחום תמיכה א'!AE115)</f>
        <v>1598.6889129259671</v>
      </c>
      <c r="O115" s="178"/>
      <c r="P115" s="349">
        <f>IF($F115="","",'תחום תמיכה ב'!AC115)</f>
        <v>4984.5596528506039</v>
      </c>
      <c r="Q115" s="349">
        <f>IF($F115="","",IF('תחום תמיכה ג'!O115="",0,'תחום תמיכה ג'!O115))</f>
        <v>2090.2390487964653</v>
      </c>
      <c r="R115" s="349">
        <f t="shared" si="4"/>
        <v>149.46228161942327</v>
      </c>
      <c r="S115" s="349">
        <f>IF($F115="","",'תחום תמיכה ב'!AE115)</f>
        <v>5134.0219344700272</v>
      </c>
      <c r="T115" s="349">
        <f>IF($F115="","",IF(Q115='תחום תמיכה ג'!$Q$2,'תחום תמיכה ג'!$Q$2,IFERROR(SUMIF(N115:R115,"&gt;0"),'תחום תמיכה ג'!$Q$2)))</f>
        <v>8822.9498961924583</v>
      </c>
      <c r="U115" s="349">
        <f>IF($F115="","",'הזנה לתנאי סף'!Y115)</f>
        <v>76000</v>
      </c>
      <c r="V115" s="350">
        <f>IF(F115="","",'הגבלה לסכום מבוקש '!AA115)</f>
        <v>9678.313548106602</v>
      </c>
      <c r="W115" s="349">
        <f t="shared" si="5"/>
        <v>2419.5783870266505</v>
      </c>
      <c r="X115" s="349">
        <f>IF(F115="","",'הזנה לתנאי סף'!Z115)</f>
        <v>76000</v>
      </c>
      <c r="Y115" s="351" t="s">
        <v>3740</v>
      </c>
      <c r="Z115" s="352" t="str">
        <f>IFERROR(VLOOKUP(G115*1,#REF!,3,0),"")</f>
        <v/>
      </c>
      <c r="AA115" s="349" t="str">
        <f>IF(OR($F115="",Z115=""),"",IFERROR(IF(Z115&gt;V115,MIN(Z115,T115)-V115,0),'תחום תמיכה ג'!$Q$2))</f>
        <v/>
      </c>
      <c r="AB115" s="353"/>
      <c r="AC115" s="260" t="str">
        <f t="shared" si="7"/>
        <v/>
      </c>
      <c r="AD115" s="354"/>
      <c r="AE115" s="180"/>
      <c r="AF115" s="355" t="str">
        <f>IF($C115="","",IFERROR(VLOOKUP($C115,גיליון1!$A:$E,2,0),"לא הגיש בקשה שוטפת"))</f>
        <v>פסטיבל צליל מעודכן</v>
      </c>
      <c r="AG115" s="355" t="str">
        <f>IF($C115="","",IFERROR(VLOOKUP($C115,גיליון1!$A:$E,3,0),"לא הגיש בקשה שוטפת"))</f>
        <v>מועד</v>
      </c>
      <c r="AH115" s="355" t="str">
        <f>IF($C115="","",IFERROR(VLOOKUP($C115,גיליון1!$A:$E,4,0),"לא הגיש בקשה שוטפת"))</f>
        <v>19-42-02-26</v>
      </c>
      <c r="AI115" s="355" t="str">
        <f>IF($C115="","",IFERROR(VLOOKUP($C115,גיליון1!$A:$E,5,0),"לא הגיש בקשה שוטפת"))</f>
        <v>פסטיבלים לתרבות</v>
      </c>
      <c r="AJ115" s="355">
        <f t="shared" si="6"/>
        <v>0</v>
      </c>
      <c r="AK115" s="15"/>
      <c r="AL115" s="15" t="s">
        <v>94</v>
      </c>
    </row>
    <row r="116" spans="1:38" ht="285.75" x14ac:dyDescent="0.25">
      <c r="A116" s="346">
        <f>'הזנה לתנאי סף'!B116</f>
        <v>86</v>
      </c>
      <c r="B116" s="347">
        <f>IF($F116="","",'הזנה לתנאי סף'!C116)</f>
        <v>1001346708</v>
      </c>
      <c r="C116" s="347">
        <f>IF($F116="","",'הזנה לתנאי סף'!D116)</f>
        <v>1001277166</v>
      </c>
      <c r="D116" s="347">
        <f>IF($F116="","",'הזנה לתנאי סף'!E116)</f>
        <v>40221541</v>
      </c>
      <c r="E116" s="348">
        <f>IF($F116="","",'הזנה לתנאי סף'!F116)</f>
        <v>20000201</v>
      </c>
      <c r="F116" s="348" t="str">
        <f>IF('הזנה לתנאי סף'!BL116=1,'הזנה לתנאי סף'!G116,"")</f>
        <v>תל אביב -יפו</v>
      </c>
      <c r="G116" s="348" t="str">
        <f>IF($F116="","",'הזנה לתנאי סף'!H116)</f>
        <v>מרכז פליציה בלומנטל למוזיקה</v>
      </c>
      <c r="H116" s="348" t="str">
        <f>IF($F116="","",'הזנה לתנאי סף'!I116)</f>
        <v>מוסיקה-גופים כליים</v>
      </c>
      <c r="I116" s="349">
        <f>IF($F116="","",'הזנה לתנאי סף'!R116)</f>
        <v>373172</v>
      </c>
      <c r="J116" s="349">
        <f>IF($F116="","",'תחום תמיכה א'!P116)</f>
        <v>373172</v>
      </c>
      <c r="K116" s="177">
        <f>IF($F116="","",'הזנה לתנאי סף'!N116)</f>
        <v>0</v>
      </c>
      <c r="L116" s="177">
        <f>IF($F116="","",'הזנה לתנאי סף'!O116)</f>
        <v>1</v>
      </c>
      <c r="M116" s="177">
        <f>IF($F116="","",'הזנה לתנאי סף'!Q116)</f>
        <v>1</v>
      </c>
      <c r="N116" s="349">
        <f>IF($F116="","",'תחום תמיכה א'!AE116)</f>
        <v>11545.798806379171</v>
      </c>
      <c r="O116" s="178"/>
      <c r="P116" s="349">
        <f>IF($F116="","",'תחום תמיכה ב'!AC116)</f>
        <v>20374.940956818446</v>
      </c>
      <c r="Q116" s="349">
        <f>IF($F116="","",IF('תחום תמיכה ג'!O116="",0,'תחום תמיכה ג'!O116))</f>
        <v>0</v>
      </c>
      <c r="R116" s="349">
        <f t="shared" si="4"/>
        <v>610.94366912141413</v>
      </c>
      <c r="S116" s="349">
        <f>IF($F116="","",'תחום תמיכה ב'!AE116)</f>
        <v>20985.88462593986</v>
      </c>
      <c r="T116" s="349">
        <f>IF($F116="","",IF(Q116='תחום תמיכה ג'!$Q$2,'תחום תמיכה ג'!$Q$2,IFERROR(SUMIF(N116:R116,"&gt;0"),'תחום תמיכה ג'!$Q$2)))</f>
        <v>32531.683432319031</v>
      </c>
      <c r="U116" s="349">
        <f>IF($F116="","",'הזנה לתנאי סף'!Y116)</f>
        <v>110000</v>
      </c>
      <c r="V116" s="350">
        <f>IF(F116="","",'הגבלה לסכום מבוקש '!AA116)</f>
        <v>36026.468604810958</v>
      </c>
      <c r="W116" s="349">
        <f t="shared" si="5"/>
        <v>9006.6171512027395</v>
      </c>
      <c r="X116" s="349">
        <f>IF(F116="","",'הזנה לתנאי סף'!Z116)</f>
        <v>110000</v>
      </c>
      <c r="Y116" s="351" t="s">
        <v>3740</v>
      </c>
      <c r="Z116" s="352" t="str">
        <f>IFERROR(VLOOKUP(G116*1,#REF!,3,0),"")</f>
        <v/>
      </c>
      <c r="AA116" s="349" t="str">
        <f>IF(OR($F116="",Z116=""),"",IFERROR(IF(Z116&gt;V116,MIN(Z116,T116)-V116,0),'תחום תמיכה ג'!$Q$2))</f>
        <v/>
      </c>
      <c r="AB116" s="353"/>
      <c r="AC116" s="260" t="str">
        <f t="shared" si="7"/>
        <v/>
      </c>
      <c r="AD116" s="354"/>
      <c r="AE116" s="180"/>
      <c r="AF116" s="355" t="str">
        <f>IF($C116="","",IFERROR(VLOOKUP($C116,גיליון1!$A:$E,2,0),"לא הגיש בקשה שוטפת"))</f>
        <v>הפרויקט הקאמרי הישראלי</v>
      </c>
      <c r="AG116" s="355" t="str">
        <f>IF($C116="","",IFERROR(VLOOKUP($C116,גיליון1!$A:$E,3,0),"לא הגיש בקשה שוטפת"))</f>
        <v>מועד</v>
      </c>
      <c r="AH116" s="355" t="str">
        <f>IF($C116="","",IFERROR(VLOOKUP($C116,גיליון1!$A:$E,4,0),"לא הגיש בקשה שוטפת"))</f>
        <v>19-42-02-16</v>
      </c>
      <c r="AI116" s="355" t="str">
        <f>IF($C116="","",IFERROR(VLOOKUP($C116,גיליון1!$A:$E,5,0),"לא הגיש בקשה שוטפת"))</f>
        <v>מוסיקה</v>
      </c>
      <c r="AJ116" s="355">
        <f t="shared" si="6"/>
        <v>0</v>
      </c>
      <c r="AK116" s="15"/>
      <c r="AL116" s="15" t="s">
        <v>100</v>
      </c>
    </row>
    <row r="117" spans="1:38" ht="285.75" x14ac:dyDescent="0.25">
      <c r="A117" s="346">
        <f>'הזנה לתנאי סף'!B117</f>
        <v>87</v>
      </c>
      <c r="B117" s="347">
        <f>IF($F117="","",'הזנה לתנאי סף'!C117)</f>
        <v>1001346709</v>
      </c>
      <c r="C117" s="347">
        <f>IF($F117="","",'הזנה לתנאי סף'!D117)</f>
        <v>1001277179</v>
      </c>
      <c r="D117" s="347">
        <f>IF($F117="","",'הזנה לתנאי סף'!E117)</f>
        <v>40221541</v>
      </c>
      <c r="E117" s="348">
        <f>IF($F117="","",'הזנה לתנאי סף'!F117)</f>
        <v>20000201</v>
      </c>
      <c r="F117" s="348" t="str">
        <f>IF('הזנה לתנאי סף'!BL117=1,'הזנה לתנאי סף'!G117,"")</f>
        <v>תל אביב -יפו</v>
      </c>
      <c r="G117" s="348" t="str">
        <f>IF($F117="","",'הזנה לתנאי סף'!H117)</f>
        <v>מרכז פליציה בלומנטל למוזיקה</v>
      </c>
      <c r="H117" s="348" t="str">
        <f>IF($F117="","",'הזנה לתנאי סף'!I117)</f>
        <v>קבוצות מוסיקה</v>
      </c>
      <c r="I117" s="349">
        <f>IF($F117="","",'הזנה לתנאי סף'!R117)</f>
        <v>141454</v>
      </c>
      <c r="J117" s="349">
        <f>IF($F117="","",'תחום תמיכה א'!P117)</f>
        <v>141454</v>
      </c>
      <c r="K117" s="177">
        <f>IF($F117="","",'הזנה לתנאי סף'!N117)</f>
        <v>0</v>
      </c>
      <c r="L117" s="177">
        <f>IF($F117="","",'הזנה לתנאי סף'!O117)</f>
        <v>1</v>
      </c>
      <c r="M117" s="177">
        <f>IF($F117="","",'הזנה לתנאי סף'!Q117)</f>
        <v>1</v>
      </c>
      <c r="N117" s="349">
        <f>IF($F117="","",'תחום תמיכה א'!AE117)</f>
        <v>4345.4999257348336</v>
      </c>
      <c r="O117" s="178"/>
      <c r="P117" s="349">
        <f>IF($F117="","",'תחום תמיכה ב'!AC117)</f>
        <v>7614.1547503194233</v>
      </c>
      <c r="Q117" s="349">
        <f>IF($F117="","",IF('תחום תמיכה ג'!O117="",0,'תחום תמיכה ג'!O117))</f>
        <v>0</v>
      </c>
      <c r="R117" s="349">
        <f t="shared" si="4"/>
        <v>228.31082800569675</v>
      </c>
      <c r="S117" s="349">
        <f>IF($F117="","",'תחום תמיכה ב'!AE117)</f>
        <v>7842.4655783251201</v>
      </c>
      <c r="T117" s="349">
        <f>IF($F117="","",IF(Q117='תחום תמיכה ג'!$Q$2,'תחום תמיכה ג'!$Q$2,IFERROR(SUMIF(N117:R117,"&gt;0"),'תחום תמיכה ג'!$Q$2)))</f>
        <v>12187.965504059954</v>
      </c>
      <c r="U117" s="349">
        <f>IF($F117="","",'הזנה לתנאי סף'!Y117)</f>
        <v>92000</v>
      </c>
      <c r="V117" s="350">
        <f>IF(F117="","",'הגבלה לסכום מבוקש '!AA117)</f>
        <v>13493.987496238276</v>
      </c>
      <c r="W117" s="349">
        <f t="shared" si="5"/>
        <v>3373.4968740595691</v>
      </c>
      <c r="X117" s="349">
        <f>IF(F117="","",'הזנה לתנאי סף'!Z117)</f>
        <v>92000</v>
      </c>
      <c r="Y117" s="351" t="s">
        <v>3740</v>
      </c>
      <c r="Z117" s="352" t="str">
        <f>IFERROR(VLOOKUP(G117*1,#REF!,3,0),"")</f>
        <v/>
      </c>
      <c r="AA117" s="349" t="str">
        <f>IF(OR($F117="",Z117=""),"",IFERROR(IF(Z117&gt;V117,MIN(Z117,T117)-V117,0),'תחום תמיכה ג'!$Q$2))</f>
        <v/>
      </c>
      <c r="AB117" s="353"/>
      <c r="AC117" s="260" t="str">
        <f t="shared" si="7"/>
        <v/>
      </c>
      <c r="AD117" s="354"/>
      <c r="AE117" s="180"/>
      <c r="AF117" s="355" t="str">
        <f>IF($C117="","",IFERROR(VLOOKUP($C117,גיליון1!$A:$E,2,0),"לא הגיש בקשה שוטפת"))</f>
        <v>אנסמבל פרץ אליהו</v>
      </c>
      <c r="AG117" s="355" t="str">
        <f>IF($C117="","",IFERROR(VLOOKUP($C117,גיליון1!$A:$E,3,0),"לא הגיש בקשה שוטפת"))</f>
        <v>מועד</v>
      </c>
      <c r="AH117" s="355" t="str">
        <f>IF($C117="","",IFERROR(VLOOKUP($C117,גיליון1!$A:$E,4,0),"לא הגיש בקשה שוטפת"))</f>
        <v>19-42-02-16</v>
      </c>
      <c r="AI117" s="355" t="str">
        <f>IF($C117="","",IFERROR(VLOOKUP($C117,גיליון1!$A:$E,5,0),"לא הגיש בקשה שוטפת"))</f>
        <v>מוסיקה</v>
      </c>
      <c r="AJ117" s="355">
        <f t="shared" si="6"/>
        <v>0</v>
      </c>
      <c r="AK117" s="15"/>
      <c r="AL117" s="15" t="s">
        <v>101</v>
      </c>
    </row>
    <row r="118" spans="1:38" ht="285.75" x14ac:dyDescent="0.25">
      <c r="A118" s="346">
        <f>'הזנה לתנאי סף'!B118</f>
        <v>88</v>
      </c>
      <c r="B118" s="347">
        <f>IF($F118="","",'הזנה לתנאי סף'!C118)</f>
        <v>1001346710</v>
      </c>
      <c r="C118" s="347">
        <f>IF($F118="","",'הזנה לתנאי סף'!D118)</f>
        <v>1001277161</v>
      </c>
      <c r="D118" s="347">
        <f>IF($F118="","",'הזנה לתנאי סף'!E118)</f>
        <v>40221541</v>
      </c>
      <c r="E118" s="348">
        <f>IF($F118="","",'הזנה לתנאי סף'!F118)</f>
        <v>20000201</v>
      </c>
      <c r="F118" s="348" t="str">
        <f>IF('הזנה לתנאי סף'!BL118=1,'הזנה לתנאי סף'!G118,"")</f>
        <v>תל אביב -יפו</v>
      </c>
      <c r="G118" s="348" t="str">
        <f>IF($F118="","",'הזנה לתנאי סף'!H118)</f>
        <v>מרכז פליציה בלומנטל למוזיקה</v>
      </c>
      <c r="H118" s="348" t="str">
        <f>IF($F118="","",'הזנה לתנאי סף'!I118)</f>
        <v>קבוצות מוסיקה</v>
      </c>
      <c r="I118" s="349">
        <f>IF($F118="","",'הזנה לתנאי סף'!R118)</f>
        <v>84080</v>
      </c>
      <c r="J118" s="349">
        <f>IF($F118="","",'תחום תמיכה א'!P118)</f>
        <v>84080</v>
      </c>
      <c r="K118" s="177">
        <f>IF($F118="","",'הזנה לתנאי סף'!N118)</f>
        <v>0</v>
      </c>
      <c r="L118" s="177">
        <f>IF($F118="","",'הזנה לתנאי סף'!O118)</f>
        <v>1</v>
      </c>
      <c r="M118" s="177">
        <f>IF($F118="","",'הזנה לתנאי סף'!Q118)</f>
        <v>1</v>
      </c>
      <c r="N118" s="349">
        <f>IF($F118="","",'תחום תמיכה א'!AE118)</f>
        <v>1589.6437195306435</v>
      </c>
      <c r="O118" s="178"/>
      <c r="P118" s="349">
        <f>IF($F118="","",'תחום תמיכה ב'!AC118)</f>
        <v>1714.2112162885692</v>
      </c>
      <c r="Q118" s="349">
        <f>IF($F118="","",IF('תחום תמיכה ג'!O118="",0,'תחום תמיכה ג'!O118))</f>
        <v>0</v>
      </c>
      <c r="R118" s="349">
        <f t="shared" si="4"/>
        <v>51.400712882946891</v>
      </c>
      <c r="S118" s="349">
        <f>IF($F118="","",'תחום תמיכה ב'!AE118)</f>
        <v>1765.6119291715161</v>
      </c>
      <c r="T118" s="349">
        <f>IF($F118="","",IF(Q118='תחום תמיכה ג'!$Q$2,'תחום תמיכה ג'!$Q$2,IFERROR(SUMIF(N118:R118,"&gt;0"),'תחום תמיכה ג'!$Q$2)))</f>
        <v>3355.2556487021593</v>
      </c>
      <c r="U118" s="349">
        <f>IF($F118="","",'הזנה לתנאי סף'!Y118)</f>
        <v>82000</v>
      </c>
      <c r="V118" s="350">
        <f>IF(F118="","",'הגבלה לסכום מבוקש '!AA118)</f>
        <v>3649.5650006699225</v>
      </c>
      <c r="W118" s="349">
        <f t="shared" si="5"/>
        <v>912.39125016748062</v>
      </c>
      <c r="X118" s="349">
        <f>IF(F118="","",'הזנה לתנאי סף'!Z118)</f>
        <v>82000</v>
      </c>
      <c r="Y118" s="351" t="s">
        <v>3740</v>
      </c>
      <c r="Z118" s="352" t="str">
        <f>IFERROR(VLOOKUP(G118*1,#REF!,3,0),"")</f>
        <v/>
      </c>
      <c r="AA118" s="349" t="str">
        <f>IF(OR($F118="",Z118=""),"",IFERROR(IF(Z118&gt;V118,MIN(Z118,T118)-V118,0),'תחום תמיכה ג'!$Q$2))</f>
        <v/>
      </c>
      <c r="AB118" s="353"/>
      <c r="AC118" s="260" t="str">
        <f t="shared" si="7"/>
        <v/>
      </c>
      <c r="AD118" s="354"/>
      <c r="AE118" s="180"/>
      <c r="AF118" s="355" t="str">
        <f>IF($C118="","",IFERROR(VLOOKUP($C118,גיליון1!$A:$E,2,0),"לא הגיש בקשה שוטפת"))</f>
        <v>יניב ד'אור -אנסמבל נאיה</v>
      </c>
      <c r="AG118" s="355" t="str">
        <f>IF($C118="","",IFERROR(VLOOKUP($C118,גיליון1!$A:$E,3,0),"לא הגיש בקשה שוטפת"))</f>
        <v>מועד</v>
      </c>
      <c r="AH118" s="355" t="str">
        <f>IF($C118="","",IFERROR(VLOOKUP($C118,גיליון1!$A:$E,4,0),"לא הגיש בקשה שוטפת"))</f>
        <v>19-42-02-16</v>
      </c>
      <c r="AI118" s="355" t="str">
        <f>IF($C118="","",IFERROR(VLOOKUP($C118,גיליון1!$A:$E,5,0),"לא הגיש בקשה שוטפת"))</f>
        <v>מוסיקה</v>
      </c>
      <c r="AJ118" s="355">
        <f t="shared" si="6"/>
        <v>0</v>
      </c>
      <c r="AK118" s="15"/>
      <c r="AL118" s="15" t="s">
        <v>103</v>
      </c>
    </row>
    <row r="119" spans="1:38" ht="285.75" x14ac:dyDescent="0.25">
      <c r="A119" s="346">
        <f>'הזנה לתנאי סף'!B119</f>
        <v>89</v>
      </c>
      <c r="B119" s="347">
        <f>IF($F119="","",'הזנה לתנאי סף'!C119)</f>
        <v>1001346712</v>
      </c>
      <c r="C119" s="347">
        <f>IF($F119="","",'הזנה לתנאי סף'!D119)</f>
        <v>1001277159</v>
      </c>
      <c r="D119" s="347">
        <f>IF($F119="","",'הזנה לתנאי סף'!E119)</f>
        <v>40221541</v>
      </c>
      <c r="E119" s="348">
        <f>IF($F119="","",'הזנה לתנאי סף'!F119)</f>
        <v>20000201</v>
      </c>
      <c r="F119" s="348" t="str">
        <f>IF('הזנה לתנאי סף'!BL119=1,'הזנה לתנאי סף'!G119,"")</f>
        <v>תל אביב -יפו</v>
      </c>
      <c r="G119" s="348" t="str">
        <f>IF($F119="","",'הזנה לתנאי סף'!H119)</f>
        <v>מרכז פליציה בלומנטל למוזיקה</v>
      </c>
      <c r="H119" s="348" t="str">
        <f>IF($F119="","",'הזנה לתנאי סף'!I119)</f>
        <v>מוסיקה-גופים כליים</v>
      </c>
      <c r="I119" s="349">
        <f>IF($F119="","",'הזנה לתנאי סף'!R119)</f>
        <v>103769</v>
      </c>
      <c r="J119" s="349">
        <f>IF($F119="","",'תחום תמיכה א'!P119)</f>
        <v>103769</v>
      </c>
      <c r="K119" s="177">
        <f>IF($F119="","",'הזנה לתנאי סף'!N119)</f>
        <v>0</v>
      </c>
      <c r="L119" s="177">
        <f>IF($F119="","",'הזנה לתנאי סף'!O119)</f>
        <v>1</v>
      </c>
      <c r="M119" s="177">
        <f>IF($F119="","",'הזנה לתנאי סף'!Q119)</f>
        <v>1</v>
      </c>
      <c r="N119" s="349">
        <f>IF($F119="","",'תחום תמיכה א'!AE119)</f>
        <v>3759.2231412793262</v>
      </c>
      <c r="O119" s="178"/>
      <c r="P119" s="349">
        <f>IF($F119="","",'תחום תמיכה ב'!AC119)</f>
        <v>7767.5850600704989</v>
      </c>
      <c r="Q119" s="349">
        <f>IF($F119="","",IF('תחום תמיכה ג'!O119="",0,'תחום תמיכה ג'!O119))</f>
        <v>0</v>
      </c>
      <c r="R119" s="349">
        <f t="shared" si="4"/>
        <v>232.911443859869</v>
      </c>
      <c r="S119" s="349">
        <f>IF($F119="","",'תחום תמיכה ב'!AE119)</f>
        <v>8000.4965039303679</v>
      </c>
      <c r="T119" s="349">
        <f>IF($F119="","",IF(Q119='תחום תמיכה ג'!$Q$2,'תחום תמיכה ג'!$Q$2,IFERROR(SUMIF(N119:R119,"&gt;0"),'תחום תמיכה ג'!$Q$2)))</f>
        <v>11759.719645209694</v>
      </c>
      <c r="U119" s="349">
        <f>IF($F119="","",'הזנה לתנאי סף'!Y119)</f>
        <v>85000</v>
      </c>
      <c r="V119" s="350">
        <f>IF(F119="","",'הגבלה לסכום מבוקש '!AA119)</f>
        <v>13091.752036020387</v>
      </c>
      <c r="W119" s="349">
        <f t="shared" si="5"/>
        <v>3272.9380090050968</v>
      </c>
      <c r="X119" s="349">
        <f>IF(F119="","",'הזנה לתנאי סף'!Z119)</f>
        <v>85000</v>
      </c>
      <c r="Y119" s="351" t="s">
        <v>3740</v>
      </c>
      <c r="Z119" s="352" t="str">
        <f>IFERROR(VLOOKUP(G119*1,#REF!,3,0),"")</f>
        <v/>
      </c>
      <c r="AA119" s="349" t="str">
        <f>IF(OR($F119="",Z119=""),"",IFERROR(IF(Z119&gt;V119,MIN(Z119,T119)-V119,0),'תחום תמיכה ג'!$Q$2))</f>
        <v/>
      </c>
      <c r="AB119" s="353"/>
      <c r="AC119" s="260" t="str">
        <f t="shared" si="7"/>
        <v/>
      </c>
      <c r="AD119" s="354"/>
      <c r="AE119" s="180"/>
      <c r="AF119" s="355" t="str">
        <f>IF($C119="","",IFERROR(VLOOKUP($C119,גיליון1!$A:$E,2,0),"לא הגיש בקשה שוטפת"))</f>
        <v>מארש דונדורמה</v>
      </c>
      <c r="AG119" s="355" t="str">
        <f>IF($C119="","",IFERROR(VLOOKUP($C119,גיליון1!$A:$E,3,0),"לא הגיש בקשה שוטפת"))</f>
        <v>טיוט</v>
      </c>
      <c r="AH119" s="355" t="str">
        <f>IF($C119="","",IFERROR(VLOOKUP($C119,גיליון1!$A:$E,4,0),"לא הגיש בקשה שוטפת"))</f>
        <v>19-42-02-16</v>
      </c>
      <c r="AI119" s="355" t="str">
        <f>IF($C119="","",IFERROR(VLOOKUP($C119,גיליון1!$A:$E,5,0),"לא הגיש בקשה שוטפת"))</f>
        <v>מוסיקה</v>
      </c>
      <c r="AJ119" s="355">
        <f t="shared" si="6"/>
        <v>0</v>
      </c>
      <c r="AK119" s="15"/>
      <c r="AL119" s="15" t="s">
        <v>104</v>
      </c>
    </row>
    <row r="120" spans="1:38" ht="285.75" x14ac:dyDescent="0.25">
      <c r="A120" s="346">
        <f>'הזנה לתנאי סף'!B120</f>
        <v>90</v>
      </c>
      <c r="B120" s="347">
        <f>IF($F120="","",'הזנה לתנאי סף'!C120)</f>
        <v>1001346713</v>
      </c>
      <c r="C120" s="347">
        <f>IF($F120="","",'הזנה לתנאי סף'!D120)</f>
        <v>1001277173</v>
      </c>
      <c r="D120" s="347">
        <f>IF($F120="","",'הזנה לתנאי סף'!E120)</f>
        <v>40221541</v>
      </c>
      <c r="E120" s="348">
        <f>IF($F120="","",'הזנה לתנאי סף'!F120)</f>
        <v>20000201</v>
      </c>
      <c r="F120" s="348" t="str">
        <f>IF('הזנה לתנאי סף'!BL120=1,'הזנה לתנאי סף'!G120,"")</f>
        <v>תל אביב -יפו</v>
      </c>
      <c r="G120" s="348" t="str">
        <f>IF($F120="","",'הזנה לתנאי סף'!H120)</f>
        <v>מרכז פליציה בלומנטל למוזיקה</v>
      </c>
      <c r="H120" s="348" t="str">
        <f>IF($F120="","",'הזנה לתנאי סף'!I120)</f>
        <v>קבוצות מוסיקה</v>
      </c>
      <c r="I120" s="349">
        <f>IF($F120="","",'הזנה לתנאי סף'!R120)</f>
        <v>121901</v>
      </c>
      <c r="J120" s="349">
        <f>IF($F120="","",'תחום תמיכה א'!P120)</f>
        <v>121901</v>
      </c>
      <c r="K120" s="177">
        <f>IF($F120="","",'הזנה לתנאי סף'!N120)</f>
        <v>0</v>
      </c>
      <c r="L120" s="177">
        <f>IF($F120="","",'הזנה לתנאי סף'!O120)</f>
        <v>1</v>
      </c>
      <c r="M120" s="177">
        <f>IF($F120="","",'הזנה לתנאי סף'!Q120)</f>
        <v>1</v>
      </c>
      <c r="N120" s="349">
        <f>IF($F120="","",'תחום תמיכה א'!AE120)</f>
        <v>3276.6449172072316</v>
      </c>
      <c r="O120" s="178"/>
      <c r="P120" s="349">
        <f>IF($F120="","",'תחום תמיכה ב'!AC120)</f>
        <v>5023.5291978771847</v>
      </c>
      <c r="Q120" s="349">
        <f>IF($F120="","",IF('תחום תמיכה ג'!O120="",0,'תחום תמיכה ג'!O120))</f>
        <v>0</v>
      </c>
      <c r="R120" s="349">
        <f t="shared" si="4"/>
        <v>150.63078546309043</v>
      </c>
      <c r="S120" s="349">
        <f>IF($F120="","",'תחום תמיכה ב'!AE120)</f>
        <v>5174.1599833402752</v>
      </c>
      <c r="T120" s="349">
        <f>IF($F120="","",IF(Q120='תחום תמיכה ג'!$Q$2,'תחום תמיכה ג'!$Q$2,IFERROR(SUMIF(N120:R120,"&gt;0"),'תחום תמיכה ג'!$Q$2)))</f>
        <v>8450.8049005475077</v>
      </c>
      <c r="U120" s="349">
        <f>IF($F120="","",'הזנה לתנאי סף'!Y120)</f>
        <v>90000</v>
      </c>
      <c r="V120" s="350">
        <f>IF(F120="","",'הגבלה לסכום מבוקש '!AA120)</f>
        <v>9312.6549746305463</v>
      </c>
      <c r="W120" s="349">
        <f t="shared" si="5"/>
        <v>2328.1637436576366</v>
      </c>
      <c r="X120" s="349">
        <f>IF(F120="","",'הזנה לתנאי סף'!Z120)</f>
        <v>90000</v>
      </c>
      <c r="Y120" s="351" t="s">
        <v>3740</v>
      </c>
      <c r="Z120" s="352" t="str">
        <f>IFERROR(VLOOKUP(G120*1,#REF!,3,0),"")</f>
        <v/>
      </c>
      <c r="AA120" s="349" t="str">
        <f>IF(OR($F120="",Z120=""),"",IFERROR(IF(Z120&gt;V120,MIN(Z120,T120)-V120,0),'תחום תמיכה ג'!$Q$2))</f>
        <v/>
      </c>
      <c r="AB120" s="353"/>
      <c r="AC120" s="260" t="str">
        <f t="shared" si="7"/>
        <v/>
      </c>
      <c r="AD120" s="354"/>
      <c r="AE120" s="180"/>
      <c r="AF120" s="355" t="str">
        <f>IF($C120="","",IFERROR(VLOOKUP($C120,גיליון1!$A:$E,2,0),"לא הגיש בקשה שוטפת"))</f>
        <v>אנסמבל מודאליוס</v>
      </c>
      <c r="AG120" s="355" t="str">
        <f>IF($C120="","",IFERROR(VLOOKUP($C120,גיליון1!$A:$E,3,0),"לא הגיש בקשה שוטפת"))</f>
        <v>מועד</v>
      </c>
      <c r="AH120" s="355" t="str">
        <f>IF($C120="","",IFERROR(VLOOKUP($C120,גיליון1!$A:$E,4,0),"לא הגיש בקשה שוטפת"))</f>
        <v>19-42-02-16</v>
      </c>
      <c r="AI120" s="355" t="str">
        <f>IF($C120="","",IFERROR(VLOOKUP($C120,גיליון1!$A:$E,5,0),"לא הגיש בקשה שוטפת"))</f>
        <v>מוסיקה</v>
      </c>
      <c r="AJ120" s="355">
        <f t="shared" si="6"/>
        <v>0</v>
      </c>
      <c r="AK120" s="15"/>
      <c r="AL120" s="15" t="s">
        <v>106</v>
      </c>
    </row>
    <row r="121" spans="1:38" ht="285.75" x14ac:dyDescent="0.25">
      <c r="A121" s="346">
        <f>'הזנה לתנאי סף'!B121</f>
        <v>91</v>
      </c>
      <c r="B121" s="347">
        <f>IF($F121="","",'הזנה לתנאי סף'!C121)</f>
        <v>1001346714</v>
      </c>
      <c r="C121" s="347">
        <f>IF($F121="","",'הזנה לתנאי סף'!D121)</f>
        <v>1001277167</v>
      </c>
      <c r="D121" s="347">
        <f>IF($F121="","",'הזנה לתנאי סף'!E121)</f>
        <v>40221541</v>
      </c>
      <c r="E121" s="348">
        <f>IF($F121="","",'הזנה לתנאי סף'!F121)</f>
        <v>20000201</v>
      </c>
      <c r="F121" s="348" t="str">
        <f>IF('הזנה לתנאי סף'!BL121=1,'הזנה לתנאי סף'!G121,"")</f>
        <v>תל אביב -יפו</v>
      </c>
      <c r="G121" s="348" t="str">
        <f>IF($F121="","",'הזנה לתנאי סף'!H121)</f>
        <v>מרכז פליציה בלומנטל למוזיקה</v>
      </c>
      <c r="H121" s="348" t="str">
        <f>IF($F121="","",'הזנה לתנאי סף'!I121)</f>
        <v>קבוצות מוסיקה</v>
      </c>
      <c r="I121" s="349">
        <f>IF($F121="","",'הזנה לתנאי סף'!R121)</f>
        <v>77032</v>
      </c>
      <c r="J121" s="349">
        <f>IF($F121="","",'תחום תמיכה א'!P121)</f>
        <v>77032</v>
      </c>
      <c r="K121" s="177">
        <f>IF($F121="","",'הזנה לתנאי סף'!N121)</f>
        <v>0</v>
      </c>
      <c r="L121" s="177">
        <f>IF($F121="","",'הזנה לתנאי סף'!O121)</f>
        <v>1</v>
      </c>
      <c r="M121" s="177">
        <f>IF($F121="","",'הזנה לתנאי סף'!Q121)</f>
        <v>1</v>
      </c>
      <c r="N121" s="349">
        <f>IF($F121="","",'תחום תמיכה א'!AE121)</f>
        <v>2570.9808602807848</v>
      </c>
      <c r="O121" s="178"/>
      <c r="P121" s="349">
        <f>IF($F121="","",'תחום תמיכה ב'!AC121)</f>
        <v>4894.2252324602714</v>
      </c>
      <c r="Q121" s="349">
        <f>IF($F121="","",IF('תחום תמיכה ג'!O121="",0,'תחום תמיכה ג'!O121))</f>
        <v>0</v>
      </c>
      <c r="R121" s="349">
        <f t="shared" si="4"/>
        <v>146.75359930430932</v>
      </c>
      <c r="S121" s="349">
        <f>IF($F121="","",'תחום תמיכה ב'!AE121)</f>
        <v>5040.9788317645807</v>
      </c>
      <c r="T121" s="349">
        <f>IF($F121="","",IF(Q121='תחום תמיכה ג'!$Q$2,'תחום תמיכה ג'!$Q$2,IFERROR(SUMIF(N121:R121,"&gt;0"),'תחום תמיכה ג'!$Q$2)))</f>
        <v>7611.959692045366</v>
      </c>
      <c r="U121" s="349">
        <f>IF($F121="","",'הזנה לתנאי סף'!Y121)</f>
        <v>55000</v>
      </c>
      <c r="V121" s="350">
        <f>IF(F121="","",'הגבלה לסכום מבוקש '!AA121)</f>
        <v>8451.3431274160102</v>
      </c>
      <c r="W121" s="349">
        <f t="shared" si="5"/>
        <v>2112.8357818540026</v>
      </c>
      <c r="X121" s="349">
        <f>IF(F121="","",'הזנה לתנאי סף'!Z121)</f>
        <v>55000</v>
      </c>
      <c r="Y121" s="351" t="s">
        <v>3740</v>
      </c>
      <c r="Z121" s="352" t="str">
        <f>IFERROR(VLOOKUP(G121*1,#REF!,3,0),"")</f>
        <v/>
      </c>
      <c r="AA121" s="349" t="str">
        <f>IF(OR($F121="",Z121=""),"",IFERROR(IF(Z121&gt;V121,MIN(Z121,T121)-V121,0),'תחום תמיכה ג'!$Q$2))</f>
        <v/>
      </c>
      <c r="AB121" s="353"/>
      <c r="AC121" s="260" t="str">
        <f t="shared" si="7"/>
        <v/>
      </c>
      <c r="AD121" s="354"/>
      <c r="AE121" s="180"/>
      <c r="AF121" s="355" t="str">
        <f>IF($C121="","",IFERROR(VLOOKUP($C121,גיליון1!$A:$E,2,0),"לא הגיש בקשה שוטפת"))</f>
        <v>הודנא אורקסטרה</v>
      </c>
      <c r="AG121" s="355" t="str">
        <f>IF($C121="","",IFERROR(VLOOKUP($C121,גיליון1!$A:$E,3,0),"לא הגיש בקשה שוטפת"))</f>
        <v>טיוט</v>
      </c>
      <c r="AH121" s="355" t="str">
        <f>IF($C121="","",IFERROR(VLOOKUP($C121,גיליון1!$A:$E,4,0),"לא הגיש בקשה שוטפת"))</f>
        <v>19-42-02-16</v>
      </c>
      <c r="AI121" s="355" t="str">
        <f>IF($C121="","",IFERROR(VLOOKUP($C121,גיליון1!$A:$E,5,0),"לא הגיש בקשה שוטפת"))</f>
        <v>מוסיקה</v>
      </c>
      <c r="AJ121" s="355">
        <f t="shared" si="6"/>
        <v>0</v>
      </c>
      <c r="AK121" s="15"/>
      <c r="AL121" s="15" t="s">
        <v>107</v>
      </c>
    </row>
    <row r="122" spans="1:38" ht="285.75" x14ac:dyDescent="0.25">
      <c r="A122" s="346">
        <f>'הזנה לתנאי סף'!B122</f>
        <v>92</v>
      </c>
      <c r="B122" s="347">
        <f>IF($F122="","",'הזנה לתנאי סף'!C122)</f>
        <v>1001346715</v>
      </c>
      <c r="C122" s="347">
        <f>IF($F122="","",'הזנה לתנאי סף'!D122)</f>
        <v>1001277158</v>
      </c>
      <c r="D122" s="347">
        <f>IF($F122="","",'הזנה לתנאי סף'!E122)</f>
        <v>40221541</v>
      </c>
      <c r="E122" s="348">
        <f>IF($F122="","",'הזנה לתנאי סף'!F122)</f>
        <v>20000201</v>
      </c>
      <c r="F122" s="348" t="str">
        <f>IF('הזנה לתנאי סף'!BL122=1,'הזנה לתנאי סף'!G122,"")</f>
        <v>תל אביב -יפו</v>
      </c>
      <c r="G122" s="348" t="str">
        <f>IF($F122="","",'הזנה לתנאי סף'!H122)</f>
        <v>מרכז פליציה בלומנטל למוזיקה</v>
      </c>
      <c r="H122" s="348" t="str">
        <f>IF($F122="","",'הזנה לתנאי סף'!I122)</f>
        <v>מוסיקה-גופים כליים</v>
      </c>
      <c r="I122" s="349">
        <f>IF($F122="","",'הזנה לתנאי סף'!R122)</f>
        <v>340933</v>
      </c>
      <c r="J122" s="349">
        <f>IF($F122="","",'תחום תמיכה א'!P122)</f>
        <v>340933</v>
      </c>
      <c r="K122" s="177">
        <f>IF($F122="","",'הזנה לתנאי סף'!N122)</f>
        <v>0</v>
      </c>
      <c r="L122" s="177">
        <f>IF($F122="","",'הזנה לתנאי סף'!O122)</f>
        <v>1</v>
      </c>
      <c r="M122" s="177">
        <f>IF($F122="","",'הזנה לתנאי סף'!Q122)</f>
        <v>1</v>
      </c>
      <c r="N122" s="349">
        <f>IF($F122="","",'תחום תמיכה א'!AE122)</f>
        <v>16943.48106751723</v>
      </c>
      <c r="O122" s="178"/>
      <c r="P122" s="349">
        <f>IF($F122="","",'תחום תמיכה ב'!AC122)</f>
        <v>48027.909294247183</v>
      </c>
      <c r="Q122" s="349">
        <f>IF($F122="","",IF('תחום תמיכה ג'!O122="",0,'תחום תמיכה ג'!O122))</f>
        <v>0</v>
      </c>
      <c r="R122" s="349">
        <f t="shared" si="4"/>
        <v>1440.1193695061229</v>
      </c>
      <c r="S122" s="349">
        <f>IF($F122="","",'תחום תמיכה ב'!AE122)</f>
        <v>49468.028663753306</v>
      </c>
      <c r="T122" s="349">
        <f>IF($F122="","",IF(Q122='תחום תמיכה ג'!$Q$2,'תחום תמיכה ג'!$Q$2,IFERROR(SUMIF(N122:R122,"&gt;0"),'תחום תמיכה ג'!$Q$2)))</f>
        <v>66411.509731270533</v>
      </c>
      <c r="U122" s="349">
        <f>IF($F122="","",'הזנה לתנאי סף'!Y122)</f>
        <v>95000</v>
      </c>
      <c r="V122" s="350">
        <f>IF(F122="","",'הגבלה לסכום מבוקש '!AA122)</f>
        <v>74644.75696603753</v>
      </c>
      <c r="W122" s="349">
        <f t="shared" si="5"/>
        <v>18661.189241509383</v>
      </c>
      <c r="X122" s="349">
        <f>IF(F122="","",'הזנה לתנאי סף'!Z122)</f>
        <v>95000</v>
      </c>
      <c r="Y122" s="351" t="s">
        <v>3740</v>
      </c>
      <c r="Z122" s="352" t="str">
        <f>IFERROR(VLOOKUP(G122*1,#REF!,3,0),"")</f>
        <v/>
      </c>
      <c r="AA122" s="349" t="str">
        <f>IF(OR($F122="",Z122=""),"",IFERROR(IF(Z122&gt;V122,MIN(Z122,T122)-V122,0),'תחום תמיכה ג'!$Q$2))</f>
        <v/>
      </c>
      <c r="AB122" s="353"/>
      <c r="AC122" s="260" t="str">
        <f t="shared" si="7"/>
        <v/>
      </c>
      <c r="AD122" s="354"/>
      <c r="AE122" s="180"/>
      <c r="AF122" s="355" t="str">
        <f>IF($C122="","",IFERROR(VLOOKUP($C122,גיליון1!$A:$E,2,0),"לא הגיש בקשה שוטפת"))</f>
        <v>רביעיית כרמל</v>
      </c>
      <c r="AG122" s="355" t="str">
        <f>IF($C122="","",IFERROR(VLOOKUP($C122,גיליון1!$A:$E,3,0),"לא הגיש בקשה שוטפת"))</f>
        <v>מועד</v>
      </c>
      <c r="AH122" s="355" t="str">
        <f>IF($C122="","",IFERROR(VLOOKUP($C122,גיליון1!$A:$E,4,0),"לא הגיש בקשה שוטפת"))</f>
        <v>19-42-02-16</v>
      </c>
      <c r="AI122" s="355" t="str">
        <f>IF($C122="","",IFERROR(VLOOKUP($C122,גיליון1!$A:$E,5,0),"לא הגיש בקשה שוטפת"))</f>
        <v>מוסיקה</v>
      </c>
      <c r="AJ122" s="355">
        <f t="shared" si="6"/>
        <v>0</v>
      </c>
      <c r="AK122" s="15"/>
      <c r="AL122" s="15" t="s">
        <v>108</v>
      </c>
    </row>
    <row r="123" spans="1:38" ht="285.75" x14ac:dyDescent="0.25">
      <c r="A123" s="346">
        <f>'הזנה לתנאי סף'!B123</f>
        <v>93</v>
      </c>
      <c r="B123" s="347">
        <f>IF($F123="","",'הזנה לתנאי סף'!C123)</f>
        <v>1001346718</v>
      </c>
      <c r="C123" s="347">
        <f>IF($F123="","",'הזנה לתנאי סף'!D123)</f>
        <v>1001277149</v>
      </c>
      <c r="D123" s="347">
        <f>IF($F123="","",'הזנה לתנאי סף'!E123)</f>
        <v>40221541</v>
      </c>
      <c r="E123" s="348">
        <f>IF($F123="","",'הזנה לתנאי סף'!F123)</f>
        <v>20000201</v>
      </c>
      <c r="F123" s="348" t="str">
        <f>IF('הזנה לתנאי סף'!BL123=1,'הזנה לתנאי סף'!G123,"")</f>
        <v>תל אביב -יפו</v>
      </c>
      <c r="G123" s="348" t="str">
        <f>IF($F123="","",'הזנה לתנאי סף'!H123)</f>
        <v>מרכז פליציה בלומנטל למוזיקה</v>
      </c>
      <c r="H123" s="348" t="str">
        <f>IF($F123="","",'הזנה לתנאי סף'!I123)</f>
        <v>סינמטקים ופסטיבלים</v>
      </c>
      <c r="I123" s="349">
        <f>IF($F123="","",'הזנה לתנאי סף'!R123)</f>
        <v>641584</v>
      </c>
      <c r="J123" s="349">
        <f>IF($F123="","",'תחום תמיכה א'!P123)</f>
        <v>640416</v>
      </c>
      <c r="K123" s="177">
        <f>IF($F123="","",'הזנה לתנאי סף'!N123)</f>
        <v>1</v>
      </c>
      <c r="L123" s="177">
        <f>IF($F123="","",'הזנה לתנאי סף'!O123)</f>
        <v>1</v>
      </c>
      <c r="M123" s="177">
        <f>IF($F123="","",'הזנה לתנאי סף'!Q123)</f>
        <v>1</v>
      </c>
      <c r="N123" s="349">
        <f>IF($F123="","",'תחום תמיכה א'!AE123)</f>
        <v>24968.064386357401</v>
      </c>
      <c r="O123" s="178"/>
      <c r="P123" s="349">
        <f>IF($F123="","",'תחום תמיכה ב'!AC123)</f>
        <v>55623.250823072412</v>
      </c>
      <c r="Q123" s="349">
        <f>IF($F123="","",IF('תחום תמיכה ג'!O123="",0,'תחום תמיכה ג'!O123))</f>
        <v>23325.208040171645</v>
      </c>
      <c r="R123" s="349">
        <f t="shared" si="4"/>
        <v>1667.8660820823789</v>
      </c>
      <c r="S123" s="349">
        <f>IF($F123="","",'תחום תמיכה ב'!AE123)</f>
        <v>57291.116905154791</v>
      </c>
      <c r="T123" s="349">
        <f>IF($F123="","",IF(Q123='תחום תמיכה ג'!$Q$2,'תחום תמיכה ג'!$Q$2,IFERROR(SUMIF(N123:R123,"&gt;0"),'תחום תמיכה ג'!$Q$2)))</f>
        <v>105584.38933168384</v>
      </c>
      <c r="U123" s="349">
        <f>IF($F123="","",'הזנה לתנאי סף'!Y123)</f>
        <v>140000</v>
      </c>
      <c r="V123" s="350">
        <f>IF(F123="","",'הגבלה לסכום מבוקש '!AA123)</f>
        <v>115132.73226659608</v>
      </c>
      <c r="W123" s="349">
        <f t="shared" si="5"/>
        <v>28783.18306664902</v>
      </c>
      <c r="X123" s="349">
        <f>IF(F123="","",'הזנה לתנאי סף'!Z123)</f>
        <v>140000</v>
      </c>
      <c r="Y123" s="351" t="s">
        <v>3740</v>
      </c>
      <c r="Z123" s="352" t="str">
        <f>IFERROR(VLOOKUP(G123*1,#REF!,3,0),"")</f>
        <v/>
      </c>
      <c r="AA123" s="349" t="str">
        <f>IF(OR($F123="",Z123=""),"",IFERROR(IF(Z123&gt;V123,MIN(Z123,T123)-V123,0),'תחום תמיכה ג'!$Q$2))</f>
        <v/>
      </c>
      <c r="AB123" s="353"/>
      <c r="AC123" s="260" t="str">
        <f t="shared" si="7"/>
        <v/>
      </c>
      <c r="AD123" s="354"/>
      <c r="AE123" s="180"/>
      <c r="AF123" s="355" t="str">
        <f>IF($C123="","",IFERROR(VLOOKUP($C123,גיליון1!$A:$E,2,0),"לא הגיש בקשה שוטפת"))</f>
        <v>פסטיבל פליציה בלומנטל למוזיקה</v>
      </c>
      <c r="AG123" s="355" t="str">
        <f>IF($C123="","",IFERROR(VLOOKUP($C123,גיליון1!$A:$E,3,0),"לא הגיש בקשה שוטפת"))</f>
        <v>מועד</v>
      </c>
      <c r="AH123" s="355" t="str">
        <f>IF($C123="","",IFERROR(VLOOKUP($C123,גיליון1!$A:$E,4,0),"לא הגיש בקשה שוטפת"))</f>
        <v>19-42-02-26</v>
      </c>
      <c r="AI123" s="355" t="str">
        <f>IF($C123="","",IFERROR(VLOOKUP($C123,גיליון1!$A:$E,5,0),"לא הגיש בקשה שוטפת"))</f>
        <v>פסטיבלים לתרבות</v>
      </c>
      <c r="AJ123" s="355">
        <f t="shared" si="6"/>
        <v>0</v>
      </c>
      <c r="AK123" s="15"/>
      <c r="AL123" s="15" t="s">
        <v>111</v>
      </c>
    </row>
    <row r="124" spans="1:38" ht="285.75" x14ac:dyDescent="0.25">
      <c r="A124" s="346">
        <f>'הזנה לתנאי סף'!B124</f>
        <v>94</v>
      </c>
      <c r="B124" s="347">
        <f>IF($F124="","",'הזנה לתנאי סף'!C124)</f>
        <v>1001347600</v>
      </c>
      <c r="C124" s="347">
        <f>IF($F124="","",'הזנה לתנאי סף'!D124)</f>
        <v>1001277089</v>
      </c>
      <c r="D124" s="347">
        <f>IF($F124="","",'הזנה לתנאי סף'!E124)</f>
        <v>40221541</v>
      </c>
      <c r="E124" s="348">
        <f>IF($F124="","",'הזנה לתנאי סף'!F124)</f>
        <v>20000201</v>
      </c>
      <c r="F124" s="348" t="str">
        <f>IF('הזנה לתנאי סף'!BL124=1,'הזנה לתנאי סף'!G124,"")</f>
        <v>תל אביב -יפו</v>
      </c>
      <c r="G124" s="348" t="str">
        <f>IF($F124="","",'הזנה לתנאי סף'!H124)</f>
        <v>מרכז פליציה בלומנטל למוזיקה</v>
      </c>
      <c r="H124" s="348" t="str">
        <f>IF($F124="","",'הזנה לתנאי סף'!I124)</f>
        <v>אופרה</v>
      </c>
      <c r="I124" s="349">
        <f>IF($F124="","",'הזנה לתנאי סף'!R124)</f>
        <v>157836</v>
      </c>
      <c r="J124" s="349">
        <f>IF($F124="","",'תחום תמיכה א'!P124)</f>
        <v>157836</v>
      </c>
      <c r="K124" s="177">
        <f>IF($F124="","",'הזנה לתנאי סף'!N124)</f>
        <v>0</v>
      </c>
      <c r="L124" s="177">
        <f>IF($F124="","",'הזנה לתנאי סף'!O124)</f>
        <v>1</v>
      </c>
      <c r="M124" s="177">
        <f>IF($F124="","",'הזנה לתנאי סף'!Q124)</f>
        <v>1</v>
      </c>
      <c r="N124" s="349">
        <f>IF($F124="","",'תחום תמיכה א'!AE124)</f>
        <v>5894.8012427546928</v>
      </c>
      <c r="O124" s="178"/>
      <c r="P124" s="349">
        <f>IF($F124="","",'תחום תמיכה ב'!AC124)</f>
        <v>12557.11018258144</v>
      </c>
      <c r="Q124" s="349">
        <f>IF($F124="","",IF('תחום תמיכה ג'!O124="",0,'תחום תמיכה ג'!O124))</f>
        <v>0</v>
      </c>
      <c r="R124" s="349">
        <f t="shared" si="4"/>
        <v>376.52560489707139</v>
      </c>
      <c r="S124" s="349">
        <f>IF($F124="","",'תחום תמיכה ב'!AE124)</f>
        <v>12933.635787478512</v>
      </c>
      <c r="T124" s="349">
        <f>IF($F124="","",IF(Q124='תחום תמיכה ג'!$Q$2,'תחום תמיכה ג'!$Q$2,IFERROR(SUMIF(N124:R124,"&gt;0"),'תחום תמיכה ג'!$Q$2)))</f>
        <v>18828.437030233203</v>
      </c>
      <c r="U124" s="349">
        <f>IF($F124="","",'הזנה לתנאי סף'!Y124)</f>
        <v>60000</v>
      </c>
      <c r="V124" s="350">
        <f>IF(F124="","",'הגבלה לסכום מבוקש '!AA124)</f>
        <v>20981.723070782755</v>
      </c>
      <c r="W124" s="349">
        <f t="shared" si="5"/>
        <v>5245.4307676956887</v>
      </c>
      <c r="X124" s="349">
        <f>IF(F124="","",'הזנה לתנאי סף'!Z124)</f>
        <v>24000</v>
      </c>
      <c r="Y124" s="351" t="s">
        <v>3740</v>
      </c>
      <c r="Z124" s="352" t="str">
        <f>IFERROR(VLOOKUP(G124*1,#REF!,3,0),"")</f>
        <v/>
      </c>
      <c r="AA124" s="349" t="str">
        <f>IF(OR($F124="",Z124=""),"",IFERROR(IF(Z124&gt;V124,MIN(Z124,T124)-V124,0),'תחום תמיכה ג'!$Q$2))</f>
        <v/>
      </c>
      <c r="AB124" s="353"/>
      <c r="AC124" s="260" t="str">
        <f t="shared" si="7"/>
        <v/>
      </c>
      <c r="AD124" s="354"/>
      <c r="AE124" s="180"/>
      <c r="AF124" s="355" t="str">
        <f>IF($C124="","",IFERROR(VLOOKUP($C124,גיליון1!$A:$E,2,0),"לא הגיש בקשה שוטפת"))</f>
        <v>אופרה אורפאוס</v>
      </c>
      <c r="AG124" s="355" t="str">
        <f>IF($C124="","",IFERROR(VLOOKUP($C124,גיליון1!$A:$E,3,0),"לא הגיש בקשה שוטפת"))</f>
        <v>טיוט</v>
      </c>
      <c r="AH124" s="355" t="str">
        <f>IF($C124="","",IFERROR(VLOOKUP($C124,גיליון1!$A:$E,4,0),"לא הגיש בקשה שוטפת"))</f>
        <v>19-42-02-16</v>
      </c>
      <c r="AI124" s="355" t="str">
        <f>IF($C124="","",IFERROR(VLOOKUP($C124,גיליון1!$A:$E,5,0),"לא הגיש בקשה שוטפת"))</f>
        <v>מוסיקה</v>
      </c>
      <c r="AJ124" s="355">
        <f t="shared" si="6"/>
        <v>0</v>
      </c>
      <c r="AK124" s="15"/>
      <c r="AL124" s="15" t="s">
        <v>118</v>
      </c>
    </row>
    <row r="125" spans="1:38" ht="285.75" x14ac:dyDescent="0.25">
      <c r="A125" s="346">
        <f>'הזנה לתנאי סף'!B125</f>
        <v>95</v>
      </c>
      <c r="B125" s="347">
        <f>IF($F125="","",'הזנה לתנאי סף'!C125)</f>
        <v>1001347697</v>
      </c>
      <c r="C125" s="347">
        <f>IF($F125="","",'הזנה לתנאי סף'!D125)</f>
        <v>1001277111</v>
      </c>
      <c r="D125" s="347">
        <f>IF($F125="","",'הזנה לתנאי סף'!E125)</f>
        <v>40221541</v>
      </c>
      <c r="E125" s="348">
        <f>IF($F125="","",'הזנה לתנאי סף'!F125)</f>
        <v>20000201</v>
      </c>
      <c r="F125" s="348" t="str">
        <f>IF('הזנה לתנאי סף'!BL125=1,'הזנה לתנאי סף'!G125,"")</f>
        <v>תל אביב -יפו</v>
      </c>
      <c r="G125" s="348" t="str">
        <f>IF($F125="","",'הזנה לתנאי סף'!H125)</f>
        <v>מרכז פליציה בלומנטל למוזיקה</v>
      </c>
      <c r="H125" s="348" t="str">
        <f>IF($F125="","",'הזנה לתנאי סף'!I125)</f>
        <v>מקהלות</v>
      </c>
      <c r="I125" s="349">
        <f>IF($F125="","",'הזנה לתנאי סף'!R125)</f>
        <v>167747</v>
      </c>
      <c r="J125" s="349">
        <f>IF($F125="","",'תחום תמיכה א'!P125)</f>
        <v>167747</v>
      </c>
      <c r="K125" s="177">
        <f>IF($F125="","",'הזנה לתנאי סף'!N125)</f>
        <v>0</v>
      </c>
      <c r="L125" s="177">
        <f>IF($F125="","",'הזנה לתנאי סף'!O125)</f>
        <v>1</v>
      </c>
      <c r="M125" s="177">
        <f>IF($F125="","",'הזנה לתנאי סף'!Q125)</f>
        <v>1</v>
      </c>
      <c r="N125" s="349">
        <f>IF($F125="","",'תחום תמיכה א'!AE125)</f>
        <v>3060.2828181046766</v>
      </c>
      <c r="O125" s="178"/>
      <c r="P125" s="349">
        <f>IF($F125="","",'תחום תמיכה ב'!AC125)</f>
        <v>3184.3867214992947</v>
      </c>
      <c r="Q125" s="349">
        <f>IF($F125="","",IF('תחום תמיכה ג'!O125="",0,'תחום תמיכה ג'!O125))</f>
        <v>0</v>
      </c>
      <c r="R125" s="349">
        <f t="shared" si="4"/>
        <v>95.484002219071044</v>
      </c>
      <c r="S125" s="349">
        <f>IF($F125="","",'תחום תמיכה ב'!AE125)</f>
        <v>3279.8707237183658</v>
      </c>
      <c r="T125" s="349">
        <f>IF($F125="","",IF(Q125='תחום תמיכה ג'!$Q$2,'תחום תמיכה ג'!$Q$2,IFERROR(SUMIF(N125:R125,"&gt;0"),'תחום תמיכה ג'!$Q$2)))</f>
        <v>6340.1535418230424</v>
      </c>
      <c r="U125" s="349">
        <f>IF($F125="","",'הזנה לתנאי סף'!Y125)</f>
        <v>45000</v>
      </c>
      <c r="V125" s="350">
        <f>IF(F125="","",'הגבלה לסכום מבוקש '!AA125)</f>
        <v>6886.9231184392247</v>
      </c>
      <c r="W125" s="349">
        <f t="shared" si="5"/>
        <v>1721.7307796098062</v>
      </c>
      <c r="X125" s="349">
        <f>IF(F125="","",'הזנה לתנאי סף'!Z125)</f>
        <v>9000</v>
      </c>
      <c r="Y125" s="351" t="s">
        <v>3740</v>
      </c>
      <c r="Z125" s="352" t="str">
        <f>IFERROR(VLOOKUP(G125*1,#REF!,3,0),"")</f>
        <v/>
      </c>
      <c r="AA125" s="349" t="str">
        <f>IF(OR($F125="",Z125=""),"",IFERROR(IF(Z125&gt;V125,MIN(Z125,T125)-V125,0),'תחום תמיכה ג'!$Q$2))</f>
        <v/>
      </c>
      <c r="AB125" s="353"/>
      <c r="AC125" s="260" t="str">
        <f t="shared" si="7"/>
        <v/>
      </c>
      <c r="AD125" s="354"/>
      <c r="AE125" s="180"/>
      <c r="AF125" s="355" t="str">
        <f>IF($C125="","",IFERROR(VLOOKUP($C125,גיליון1!$A:$E,2,0),"לא הגיש בקשה שוטפת"))</f>
        <v>המאסטרקלאס הבינלאומי לשירה אמנותית</v>
      </c>
      <c r="AG125" s="355" t="str">
        <f>IF($C125="","",IFERROR(VLOOKUP($C125,גיליון1!$A:$E,3,0),"לא הגיש בקשה שוטפת"))</f>
        <v>טיוט</v>
      </c>
      <c r="AH125" s="355" t="str">
        <f>IF($C125="","",IFERROR(VLOOKUP($C125,גיליון1!$A:$E,4,0),"לא הגיש בקשה שוטפת"))</f>
        <v>19-42-02-16</v>
      </c>
      <c r="AI125" s="355" t="str">
        <f>IF($C125="","",IFERROR(VLOOKUP($C125,גיליון1!$A:$E,5,0),"לא הגיש בקשה שוטפת"))</f>
        <v>מוסיקה</v>
      </c>
      <c r="AJ125" s="355">
        <f t="shared" si="6"/>
        <v>0</v>
      </c>
      <c r="AK125" s="15"/>
      <c r="AL125" s="15" t="s">
        <v>250</v>
      </c>
    </row>
    <row r="126" spans="1:38" ht="285.75" x14ac:dyDescent="0.25">
      <c r="A126" s="346">
        <f>'הזנה לתנאי סף'!B126</f>
        <v>96</v>
      </c>
      <c r="B126" s="347">
        <f>IF($F126="","",'הזנה לתנאי סף'!C126)</f>
        <v>1001349148</v>
      </c>
      <c r="C126" s="347">
        <f>IF($F126="","",'הזנה לתנאי סף'!D126)</f>
        <v>1001279372</v>
      </c>
      <c r="D126" s="347">
        <f>IF($F126="","",'הזנה לתנאי סף'!E126)</f>
        <v>40133812</v>
      </c>
      <c r="E126" s="348">
        <f>IF($F126="","",'הזנה לתנאי סף'!F126)</f>
        <v>20000201</v>
      </c>
      <c r="F126" s="348" t="str">
        <f>IF('הזנה לתנאי סף'!BL126=1,'הזנה לתנאי סף'!G126,"")</f>
        <v>תל אביב -יפו</v>
      </c>
      <c r="G126" s="348" t="str">
        <f>IF($F126="","",'הזנה לתנאי סף'!H126)</f>
        <v>תיאטרון "מלנקי"</v>
      </c>
      <c r="H126" s="348" t="str">
        <f>IF($F126="","",'הזנה לתנאי סף'!I126)</f>
        <v>קבוצות תיאטרון</v>
      </c>
      <c r="I126" s="349">
        <f>IF($F126="","",'הזנה לתנאי סף'!R126)</f>
        <v>968216</v>
      </c>
      <c r="J126" s="349">
        <f>IF($F126="","",'תחום תמיכה א'!P126)</f>
        <v>1088388</v>
      </c>
      <c r="K126" s="177">
        <f>IF($F126="","",'הזנה לתנאי סף'!N126)</f>
        <v>1</v>
      </c>
      <c r="L126" s="177">
        <f>IF($F126="","",'הזנה לתנאי סף'!O126)</f>
        <v>1</v>
      </c>
      <c r="M126" s="177">
        <f>IF($F126="","",'הזנה לתנאי סף'!Q126)</f>
        <v>1</v>
      </c>
      <c r="N126" s="349">
        <f>IF($F126="","",'תחום תמיכה א'!AE126)</f>
        <v>20477.915230519462</v>
      </c>
      <c r="O126" s="178"/>
      <c r="P126" s="349">
        <f>IF($F126="","",'תחום תמיכה ב'!AC126)</f>
        <v>19549.41138100082</v>
      </c>
      <c r="Q126" s="349">
        <f>IF($F126="","",IF('תחום תמיכה ג'!O126="",0,'תחום תמיכה ג'!O126))</f>
        <v>8197.90430759214</v>
      </c>
      <c r="R126" s="349">
        <f t="shared" si="4"/>
        <v>586.19012165901222</v>
      </c>
      <c r="S126" s="349">
        <f>IF($F126="","",'תחום תמיכה ב'!AE126)</f>
        <v>20135.601502659832</v>
      </c>
      <c r="T126" s="349">
        <f>IF($F126="","",IF(Q126='תחום תמיכה ג'!$Q$2,'תחום תמיכה ג'!$Q$2,IFERROR(SUMIF(N126:R126,"&gt;0"),'תחום תמיכה ג'!$Q$2)))</f>
        <v>48811.421040771434</v>
      </c>
      <c r="U126" s="349">
        <f>IF($F126="","",'הזנה לתנאי סף'!Y126)</f>
        <v>600000</v>
      </c>
      <c r="V126" s="350">
        <f>IF(F126="","",'הגבלה לסכום מבוקש '!AA126)</f>
        <v>52172.621082084872</v>
      </c>
      <c r="W126" s="349">
        <f t="shared" si="5"/>
        <v>13043.155270521218</v>
      </c>
      <c r="X126" s="349">
        <f>IF(F126="","",'הזנה לתנאי סף'!Z126)</f>
        <v>150000</v>
      </c>
      <c r="Y126" s="351" t="s">
        <v>3740</v>
      </c>
      <c r="Z126" s="352" t="str">
        <f>IFERROR(VLOOKUP(G126*1,#REF!,3,0),"")</f>
        <v/>
      </c>
      <c r="AA126" s="349" t="str">
        <f>IF(OR($F126="",Z126=""),"",IFERROR(IF(Z126&gt;V126,MIN(Z126,T126)-V126,0),'תחום תמיכה ג'!$Q$2))</f>
        <v/>
      </c>
      <c r="AB126" s="353"/>
      <c r="AC126" s="260" t="str">
        <f t="shared" si="7"/>
        <v/>
      </c>
      <c r="AD126" s="354"/>
      <c r="AE126" s="180"/>
      <c r="AF126" s="355" t="str">
        <f>IF($C126="","",IFERROR(VLOOKUP($C126,גיליון1!$A:$E,2,0),"לא הגיש בקשה שוטפת"))</f>
        <v>תמיכה שותפת לשנת 2020 עבור</v>
      </c>
      <c r="AG126" s="355" t="str">
        <f>IF($C126="","",IFERROR(VLOOKUP($C126,גיליון1!$A:$E,3,0),"לא הגיש בקשה שוטפת"))</f>
        <v>מועד</v>
      </c>
      <c r="AH126" s="355" t="str">
        <f>IF($C126="","",IFERROR(VLOOKUP($C126,גיליון1!$A:$E,4,0),"לא הגיש בקשה שוטפת"))</f>
        <v>19-42-02-07</v>
      </c>
      <c r="AI126" s="355" t="str">
        <f>IF($C126="","",IFERROR(VLOOKUP($C126,גיליון1!$A:$E,5,0),"לא הגיש בקשה שוטפת"))</f>
        <v>תיאטרון</v>
      </c>
      <c r="AJ126" s="355">
        <f t="shared" si="6"/>
        <v>0</v>
      </c>
      <c r="AK126" s="15"/>
      <c r="AL126" s="15" t="s">
        <v>237</v>
      </c>
    </row>
    <row r="127" spans="1:38" ht="285.75" x14ac:dyDescent="0.25">
      <c r="A127" s="346">
        <f>'הזנה לתנאי סף'!B127</f>
        <v>97</v>
      </c>
      <c r="B127" s="347">
        <f>IF($F127="","",'הזנה לתנאי סף'!C127)</f>
        <v>1001350656</v>
      </c>
      <c r="C127" s="347">
        <f>IF($F127="","",'הזנה לתנאי סף'!D127)</f>
        <v>1001288980</v>
      </c>
      <c r="D127" s="347">
        <f>IF($F127="","",'הזנה לתנאי סף'!E127)</f>
        <v>40209197</v>
      </c>
      <c r="E127" s="348">
        <f>IF($F127="","",'הזנה לתנאי סף'!F127)</f>
        <v>20000248</v>
      </c>
      <c r="F127" s="348" t="str">
        <f>IF('הזנה לתנאי סף'!BL127=1,'הזנה לתנאי סף'!G127,"")</f>
        <v>רחובות</v>
      </c>
      <c r="G127" s="348" t="str">
        <f>IF($F127="","",'הזנה לתנאי סף'!H127)</f>
        <v>מכון דוידסון לחינוך מדעי</v>
      </c>
      <c r="H127" s="348" t="str">
        <f>IF($F127="","",'הזנה לתנאי סף'!I127)</f>
        <v>מוזיאונים</v>
      </c>
      <c r="I127" s="349">
        <f>IF($F127="","",'הזנה לתנאי סף'!R127)</f>
        <v>4333254</v>
      </c>
      <c r="J127" s="349">
        <f>IF($F127="","",'תחום תמיכה א'!P127)</f>
        <v>5155364</v>
      </c>
      <c r="K127" s="177">
        <f>IF($F127="","",'הזנה לתנאי סף'!N127)</f>
        <v>0</v>
      </c>
      <c r="L127" s="177">
        <f>IF($F127="","",'הזנה לתנאי סף'!O127)</f>
        <v>1</v>
      </c>
      <c r="M127" s="177">
        <f>IF($F127="","",'הזנה לתנאי סף'!Q127)</f>
        <v>1</v>
      </c>
      <c r="N127" s="349">
        <f>IF($F127="","",'תחום תמיכה א'!AE127)</f>
        <v>233921.82183370626</v>
      </c>
      <c r="O127" s="178"/>
      <c r="P127" s="349">
        <f>IF($F127="","",'תחום תמיכה ב'!AC127)</f>
        <v>458280.56725595077</v>
      </c>
      <c r="Q127" s="349">
        <f>IF($F127="","",IF('תחום תמיכה ג'!O127="",0,'תחום תמיכה ג'!O127))</f>
        <v>0</v>
      </c>
      <c r="R127" s="349">
        <f t="shared" si="4"/>
        <v>13741.566752992105</v>
      </c>
      <c r="S127" s="349">
        <f>IF($F127="","",'תחום תמיכה ב'!AE127)</f>
        <v>472022.13400894287</v>
      </c>
      <c r="T127" s="349">
        <f>IF($F127="","",IF(Q127='תחום תמיכה ג'!$Q$2,'תחום תמיכה ג'!$Q$2,IFERROR(SUMIF(N127:R127,"&gt;0"),'תחום תמיכה ג'!$Q$2)))</f>
        <v>705943.9558426491</v>
      </c>
      <c r="U127" s="349">
        <f>IF($F127="","",'הזנה לתנאי סף'!Y127)</f>
        <v>909691</v>
      </c>
      <c r="V127" s="350">
        <f>IF(F127="","",'הגבלה לסכום מבוקש '!AA127)</f>
        <v>784538.19842569914</v>
      </c>
      <c r="W127" s="349">
        <f t="shared" si="5"/>
        <v>196134.54960642479</v>
      </c>
      <c r="X127" s="349">
        <f>IF(F127="","",'הזנה לתנאי סף'!Z127)</f>
        <v>909691</v>
      </c>
      <c r="Y127" s="351" t="s">
        <v>3740</v>
      </c>
      <c r="Z127" s="352" t="str">
        <f>IFERROR(VLOOKUP(G127*1,#REF!,3,0),"")</f>
        <v/>
      </c>
      <c r="AA127" s="349" t="str">
        <f>IF(OR($F127="",Z127=""),"",IFERROR(IF(Z127&gt;V127,MIN(Z127,T127)-V127,0),'תחום תמיכה ג'!$Q$2))</f>
        <v/>
      </c>
      <c r="AB127" s="353"/>
      <c r="AC127" s="260" t="str">
        <f t="shared" si="7"/>
        <v/>
      </c>
      <c r="AD127" s="354"/>
      <c r="AE127" s="180"/>
      <c r="AF127" s="355" t="str">
        <f>IF($C127="","",IFERROR(VLOOKUP($C127,גיליון1!$A:$E,2,0),"לא הגיש בקשה שוטפת"))</f>
        <v>תמיכה שוטפת במוזיאון 2020</v>
      </c>
      <c r="AG127" s="355" t="str">
        <f>IF($C127="","",IFERROR(VLOOKUP($C127,גיליון1!$A:$E,3,0),"לא הגיש בקשה שוטפת"))</f>
        <v>חויב</v>
      </c>
      <c r="AH127" s="355" t="str">
        <f>IF($C127="","",IFERROR(VLOOKUP($C127,גיליון1!$A:$E,4,0),"לא הגיש בקשה שוטפת"))</f>
        <v>19-42-02-18</v>
      </c>
      <c r="AI127" s="355" t="str">
        <f>IF($C127="","",IFERROR(VLOOKUP($C127,גיליון1!$A:$E,5,0),"לא הגיש בקשה שוטפת"))</f>
        <v>מוזיאונים ואמנות פלס</v>
      </c>
      <c r="AJ127" s="355">
        <f t="shared" si="6"/>
        <v>0</v>
      </c>
      <c r="AK127" s="15"/>
      <c r="AL127" s="15" t="s">
        <v>122</v>
      </c>
    </row>
    <row r="128" spans="1:38" ht="285.75" x14ac:dyDescent="0.25">
      <c r="A128" s="346">
        <f>'הזנה לתנאי סף'!B128</f>
        <v>98</v>
      </c>
      <c r="B128" s="347">
        <f>IF($F128="","",'הזנה לתנאי סף'!C128)</f>
        <v>1001348864</v>
      </c>
      <c r="C128" s="347">
        <f>IF($F128="","",'הזנה לתנאי סף'!D128)</f>
        <v>1001311515</v>
      </c>
      <c r="D128" s="347">
        <f>IF($F128="","",'הזנה לתנאי סף'!E128)</f>
        <v>40216045</v>
      </c>
      <c r="E128" s="348">
        <f>IF($F128="","",'הזנה לתנאי סף'!F128)</f>
        <v>20000158</v>
      </c>
      <c r="F128" s="348" t="str">
        <f>IF('הזנה לתנאי סף'!BL128=1,'הזנה לתנאי סף'!G128,"")</f>
        <v>גולן</v>
      </c>
      <c r="G128" s="348" t="str">
        <f>IF($F128="","",'הזנה לתנאי סף'!H128)</f>
        <v>תל-חי כיתות אומן בינ"ל לפסנתר</v>
      </c>
      <c r="H128" s="348" t="str">
        <f>IF($F128="","",'הזנה לתנאי סף'!I128)</f>
        <v>מרכזי מוסיקה</v>
      </c>
      <c r="I128" s="349">
        <f>IF($F128="","",'הזנה לתנאי סף'!R128)</f>
        <v>939811</v>
      </c>
      <c r="J128" s="349">
        <f>IF($F128="","",'תחום תמיכה א'!P128)</f>
        <v>959375</v>
      </c>
      <c r="K128" s="177">
        <f>IF($F128="","",'הזנה לתנאי סף'!N128)</f>
        <v>0</v>
      </c>
      <c r="L128" s="177">
        <f>IF($F128="","",'הזנה לתנאי סף'!O128)</f>
        <v>1</v>
      </c>
      <c r="M128" s="177">
        <f>IF($F128="","",'הזנה לתנאי סף'!Q128)</f>
        <v>1</v>
      </c>
      <c r="N128" s="349">
        <f>IF($F128="","",'תחום תמיכה א'!AE128)</f>
        <v>48537.585128042425</v>
      </c>
      <c r="O128" s="178"/>
      <c r="P128" s="349">
        <f>IF($F128="","",'תחום תמיכה ב'!AC128)</f>
        <v>137207.38851352682</v>
      </c>
      <c r="Q128" s="349">
        <f>IF($F128="","",IF('תחום תמיכה ג'!O128="",0,'תחום תמיכה ג'!O128))</f>
        <v>0</v>
      </c>
      <c r="R128" s="349">
        <f t="shared" si="4"/>
        <v>4114.1707132637966</v>
      </c>
      <c r="S128" s="349">
        <f>IF($F128="","",'תחום תמיכה ב'!AE128)</f>
        <v>141321.55922679062</v>
      </c>
      <c r="T128" s="349">
        <f>IF($F128="","",IF(Q128='תחום תמיכה ג'!$Q$2,'תחום תמיכה ג'!$Q$2,IFERROR(SUMIF(N128:R128,"&gt;0"),'תחום תמיכה ג'!$Q$2)))</f>
        <v>189859.14435483306</v>
      </c>
      <c r="U128" s="349">
        <f>IF($F128="","",'הזנה לתנאי סף'!Y128)</f>
        <v>100000</v>
      </c>
      <c r="V128" s="350">
        <f>IF(F128="","",'הגבלה לסכום מבוקש '!AA128)</f>
        <v>100000</v>
      </c>
      <c r="W128" s="349">
        <f t="shared" si="5"/>
        <v>25000</v>
      </c>
      <c r="X128" s="349">
        <f>IF(F128="","",'הזנה לתנאי סף'!Z128)</f>
        <v>100000</v>
      </c>
      <c r="Y128" s="351" t="s">
        <v>3740</v>
      </c>
      <c r="Z128" s="352" t="str">
        <f>IFERROR(VLOOKUP(G128*1,#REF!,3,0),"")</f>
        <v/>
      </c>
      <c r="AA128" s="349" t="str">
        <f>IF(OR($F128="",Z128=""),"",IFERROR(IF(Z128&gt;V128,MIN(Z128,T128)-V128,0),'תחום תמיכה ג'!$Q$2))</f>
        <v/>
      </c>
      <c r="AB128" s="353"/>
      <c r="AC128" s="260" t="str">
        <f t="shared" si="7"/>
        <v/>
      </c>
      <c r="AD128" s="354"/>
      <c r="AE128" s="180"/>
      <c r="AF128" s="355" t="str">
        <f>IF($C128="","",IFERROR(VLOOKUP($C128,גיליון1!$A:$E,2,0),"לא הגיש בקשה שוטפת"))</f>
        <v>תמיכה עבור כיתות אמן בינ"ל לפסנתר</v>
      </c>
      <c r="AG128" s="355" t="str">
        <f>IF($C128="","",IFERROR(VLOOKUP($C128,גיליון1!$A:$E,3,0),"לא הגיש בקשה שוטפת"))</f>
        <v>טיוט</v>
      </c>
      <c r="AH128" s="355" t="str">
        <f>IF($C128="","",IFERROR(VLOOKUP($C128,גיליון1!$A:$E,4,0),"לא הגיש בקשה שוטפת"))</f>
        <v>19-42-02-16</v>
      </c>
      <c r="AI128" s="355" t="str">
        <f>IF($C128="","",IFERROR(VLOOKUP($C128,גיליון1!$A:$E,5,0),"לא הגיש בקשה שוטפת"))</f>
        <v>מוסיקה</v>
      </c>
      <c r="AJ128" s="355">
        <f t="shared" si="6"/>
        <v>1</v>
      </c>
      <c r="AK128" s="15"/>
      <c r="AL128" s="15" t="s">
        <v>123</v>
      </c>
    </row>
    <row r="129" spans="1:38" ht="285.75" x14ac:dyDescent="0.25">
      <c r="A129" s="346">
        <f>'הזנה לתנאי סף'!B129</f>
        <v>99</v>
      </c>
      <c r="B129" s="347">
        <f>IF($F129="","",'הזנה לתנאי סף'!C129)</f>
        <v>1001350625</v>
      </c>
      <c r="C129" s="347">
        <f>IF($F129="","",'הזנה לתנאי סף'!D129)</f>
        <v>1001312149</v>
      </c>
      <c r="D129" s="347">
        <f>IF($F129="","",'הזנה לתנאי סף'!E129)</f>
        <v>40233029</v>
      </c>
      <c r="E129" s="348">
        <f>IF($F129="","",'הזנה לתנאי סף'!F129)</f>
        <v>20000159</v>
      </c>
      <c r="F129" s="348" t="str">
        <f>IF('הזנה לתנאי סף'!BL129=1,'הזנה לתנאי סף'!G129,"")</f>
        <v>ירושלים</v>
      </c>
      <c r="G129" s="348" t="str">
        <f>IF($F129="","",'הזנה לתנאי סף'!H129)</f>
        <v>המרכז למוסיקה ירושלים</v>
      </c>
      <c r="H129" s="348" t="str">
        <f>IF($F129="","",'הזנה לתנאי סף'!I129)</f>
        <v>מרכזי מוסיקה</v>
      </c>
      <c r="I129" s="349">
        <f>IF($F129="","",'הזנה לתנאי סף'!R129)</f>
        <v>1855143</v>
      </c>
      <c r="J129" s="349">
        <f>IF($F129="","",'תחום תמיכה א'!P129)</f>
        <v>1855143</v>
      </c>
      <c r="K129" s="177">
        <f>IF($F129="","",'הזנה לתנאי סף'!N129)</f>
        <v>0</v>
      </c>
      <c r="L129" s="177">
        <f>IF($F129="","",'הזנה לתנאי סף'!O129)</f>
        <v>1</v>
      </c>
      <c r="M129" s="177">
        <f>IF($F129="","",'הזנה לתנאי סף'!Q129)</f>
        <v>1</v>
      </c>
      <c r="N129" s="349">
        <f>IF($F129="","",'תחום תמיכה א'!AE129)</f>
        <v>98677.243218868796</v>
      </c>
      <c r="O129" s="178"/>
      <c r="P129" s="349">
        <f>IF($F129="","",'תחום תמיכה ב'!AC129)</f>
        <v>299373.98772155331</v>
      </c>
      <c r="Q129" s="349">
        <f>IF($F129="","",IF('תחום תמיכה ג'!O129="",0,'תחום תמיכה ג'!O129))</f>
        <v>0</v>
      </c>
      <c r="R129" s="349">
        <f t="shared" si="4"/>
        <v>8976.7446632481297</v>
      </c>
      <c r="S129" s="349">
        <f>IF($F129="","",'תחום תמיכה ב'!AE129)</f>
        <v>308350.73238480143</v>
      </c>
      <c r="T129" s="349">
        <f>IF($F129="","",IF(Q129='תחום תמיכה ג'!$Q$2,'תחום תמיכה ג'!$Q$2,IFERROR(SUMIF(N129:R129,"&gt;0"),'תחום תמיכה ג'!$Q$2)))</f>
        <v>407027.97560367023</v>
      </c>
      <c r="U129" s="349">
        <f>IF($F129="","",'הזנה לתנאי סף'!Y129)</f>
        <v>1270065</v>
      </c>
      <c r="V129" s="350">
        <f>IF(F129="","",'הגבלה לסכום מבוקש '!AA129)</f>
        <v>458345.39476771554</v>
      </c>
      <c r="W129" s="349">
        <f t="shared" si="5"/>
        <v>114586.34869192888</v>
      </c>
      <c r="X129" s="349">
        <f>IF(F129="","",'הזנה לתנאי סף'!Z129)</f>
        <v>1270065</v>
      </c>
      <c r="Y129" s="351" t="s">
        <v>3740</v>
      </c>
      <c r="Z129" s="352" t="str">
        <f>IFERROR(VLOOKUP(G129*1,#REF!,3,0),"")</f>
        <v/>
      </c>
      <c r="AA129" s="349" t="str">
        <f>IF(OR($F129="",Z129=""),"",IFERROR(IF(Z129&gt;V129,MIN(Z129,T129)-V129,0),'תחום תמיכה ג'!$Q$2))</f>
        <v/>
      </c>
      <c r="AB129" s="353"/>
      <c r="AC129" s="260" t="str">
        <f t="shared" si="7"/>
        <v/>
      </c>
      <c r="AD129" s="354"/>
      <c r="AE129" s="180"/>
      <c r="AF129" s="355" t="str">
        <f>IF($C129="","",IFERROR(VLOOKUP($C129,גיליון1!$A:$E,2,0),"לא הגיש בקשה שוטפת"))</f>
        <v>מרכז מוסיקלי תרבותי בירושלים</v>
      </c>
      <c r="AG129" s="355" t="str">
        <f>IF($C129="","",IFERROR(VLOOKUP($C129,גיליון1!$A:$E,3,0),"לא הגיש בקשה שוטפת"))</f>
        <v>מועד</v>
      </c>
      <c r="AH129" s="355" t="str">
        <f>IF($C129="","",IFERROR(VLOOKUP($C129,גיליון1!$A:$E,4,0),"לא הגיש בקשה שוטפת"))</f>
        <v>19-42-02-16</v>
      </c>
      <c r="AI129" s="355" t="str">
        <f>IF($C129="","",IFERROR(VLOOKUP($C129,גיליון1!$A:$E,5,0),"לא הגיש בקשה שוטפת"))</f>
        <v>מוסיקה</v>
      </c>
      <c r="AJ129" s="355">
        <f t="shared" si="6"/>
        <v>0</v>
      </c>
      <c r="AK129" s="15"/>
      <c r="AL129" s="15" t="s">
        <v>126</v>
      </c>
    </row>
    <row r="130" spans="1:38" ht="285.75" x14ac:dyDescent="0.25">
      <c r="A130" s="346">
        <f>'הזנה לתנאי סף'!B130</f>
        <v>100</v>
      </c>
      <c r="B130" s="347">
        <f>IF($F130="","",'הזנה לתנאי סף'!C130)</f>
        <v>1001347014</v>
      </c>
      <c r="C130" s="347">
        <f>IF($F130="","",'הזנה לתנאי סף'!D130)</f>
        <v>1001269702</v>
      </c>
      <c r="D130" s="347">
        <f>IF($F130="","",'הזנה לתנאי סף'!E130)</f>
        <v>40216083</v>
      </c>
      <c r="E130" s="348">
        <f>IF($F130="","",'הזנה לתנאי סף'!F130)</f>
        <v>20000159</v>
      </c>
      <c r="F130" s="348" t="str">
        <f>IF('הזנה לתנאי סף'!BL130=1,'הזנה לתנאי סף'!G130,"")</f>
        <v>ירושלים</v>
      </c>
      <c r="G130" s="348" t="str">
        <f>IF($F130="","",'הזנה לתנאי סף'!H130)</f>
        <v>תאטרון "פסיק" ירושלים</v>
      </c>
      <c r="H130" s="348" t="str">
        <f>IF($F130="","",'הזנה לתנאי סף'!I130)</f>
        <v>תיאטרון</v>
      </c>
      <c r="I130" s="349">
        <f>IF($F130="","",'הזנה לתנאי סף'!R130)</f>
        <v>3398572</v>
      </c>
      <c r="J130" s="349">
        <f>IF($F130="","",'תחום תמיכה א'!P130)</f>
        <v>3398572</v>
      </c>
      <c r="K130" s="177">
        <f>IF($F130="","",'הזנה לתנאי סף'!N130)</f>
        <v>1</v>
      </c>
      <c r="L130" s="177">
        <f>IF($F130="","",'הזנה לתנאי סף'!O130)</f>
        <v>1</v>
      </c>
      <c r="M130" s="177">
        <f>IF($F130="","",'הזנה לתנאי סף'!Q130)</f>
        <v>1</v>
      </c>
      <c r="N130" s="349">
        <f>IF($F130="","",'תחום תמיכה א'!AE130)</f>
        <v>107927.13293926834</v>
      </c>
      <c r="O130" s="178"/>
      <c r="P130" s="349">
        <f>IF($F130="","",'תחום תמיכה ב'!AC130)</f>
        <v>195488.963454977</v>
      </c>
      <c r="Q130" s="349">
        <f>IF($F130="","",IF('תחום תמיכה ג'!O130="",0,'תחום תמיכה ג'!O130))</f>
        <v>33793.860488387159</v>
      </c>
      <c r="R130" s="349">
        <f t="shared" si="4"/>
        <v>5861.7467829254165</v>
      </c>
      <c r="S130" s="349">
        <f>IF($F130="","",'תחום תמיכה ב'!AE130)</f>
        <v>201350.71023790241</v>
      </c>
      <c r="T130" s="349">
        <f>IF($F130="","",IF(Q130='תחום תמיכה ג'!$Q$2,'תחום תמיכה ג'!$Q$2,IFERROR(SUMIF(N130:R130,"&gt;0"),'תחום תמיכה ג'!$Q$2)))</f>
        <v>343071.7036655579</v>
      </c>
      <c r="U130" s="349">
        <f>IF($F130="","",'הזנה לתנאי סף'!Y130)</f>
        <v>2551736</v>
      </c>
      <c r="V130" s="350">
        <f>IF(F130="","",'הגבלה לסכום מבוקש '!AA130)</f>
        <v>376616.78273107205</v>
      </c>
      <c r="W130" s="349">
        <f t="shared" si="5"/>
        <v>94154.195682768011</v>
      </c>
      <c r="X130" s="349">
        <f>IF(F130="","",'הזנה לתנאי סף'!Z130)</f>
        <v>1000000</v>
      </c>
      <c r="Y130" s="351" t="s">
        <v>3740</v>
      </c>
      <c r="Z130" s="352" t="str">
        <f>IFERROR(VLOOKUP(G130*1,#REF!,3,0),"")</f>
        <v/>
      </c>
      <c r="AA130" s="349" t="str">
        <f>IF(OR($F130="",Z130=""),"",IFERROR(IF(Z130&gt;V130,MIN(Z130,T130)-V130,0),'תחום תמיכה ג'!$Q$2))</f>
        <v/>
      </c>
      <c r="AB130" s="353"/>
      <c r="AC130" s="260" t="str">
        <f t="shared" si="7"/>
        <v/>
      </c>
      <c r="AD130" s="354"/>
      <c r="AE130" s="180"/>
      <c r="AF130" s="355" t="str">
        <f>IF($C130="","",IFERROR(VLOOKUP($C130,גיליון1!$A:$E,2,0),"לא הגיש בקשה שוטפת"))</f>
        <v>קבוצות תיאטרון</v>
      </c>
      <c r="AG130" s="355" t="str">
        <f>IF($C130="","",IFERROR(VLOOKUP($C130,גיליון1!$A:$E,3,0),"לא הגיש בקשה שוטפת"))</f>
        <v>מועד</v>
      </c>
      <c r="AH130" s="355" t="str">
        <f>IF($C130="","",IFERROR(VLOOKUP($C130,גיליון1!$A:$E,4,0),"לא הגיש בקשה שוטפת"))</f>
        <v>19-42-02-07</v>
      </c>
      <c r="AI130" s="355" t="str">
        <f>IF($C130="","",IFERROR(VLOOKUP($C130,גיליון1!$A:$E,5,0),"לא הגיש בקשה שוטפת"))</f>
        <v>תיאטרון</v>
      </c>
      <c r="AJ130" s="355">
        <f t="shared" si="6"/>
        <v>0</v>
      </c>
      <c r="AK130" s="15"/>
      <c r="AL130" s="15" t="s">
        <v>124</v>
      </c>
    </row>
    <row r="131" spans="1:38" ht="285.75" x14ac:dyDescent="0.25">
      <c r="A131" s="346">
        <f>'הזנה לתנאי סף'!B131</f>
        <v>101</v>
      </c>
      <c r="B131" s="347">
        <f>IF($F131="","",'הזנה לתנאי סף'!C131)</f>
        <v>1001350428</v>
      </c>
      <c r="C131" s="347">
        <f>IF($F131="","",'הזנה לתנאי סף'!D131)</f>
        <v>1001269684</v>
      </c>
      <c r="D131" s="347">
        <f>IF($F131="","",'הזנה לתנאי סף'!E131)</f>
        <v>40216083</v>
      </c>
      <c r="E131" s="348">
        <f>IF($F131="","",'הזנה לתנאי סף'!F131)</f>
        <v>20000159</v>
      </c>
      <c r="F131" s="348" t="str">
        <f>IF('הזנה לתנאי סף'!BL131=1,'הזנה לתנאי סף'!G131,"")</f>
        <v>ירושלים</v>
      </c>
      <c r="G131" s="348" t="str">
        <f>IF($F131="","",'הזנה לתנאי סף'!H131)</f>
        <v>תאטרון "פסיק" ירושלים</v>
      </c>
      <c r="H131" s="348" t="str">
        <f>IF($F131="","",'הזנה לתנאי סף'!I131)</f>
        <v>תיאטרון</v>
      </c>
      <c r="I131" s="349">
        <f>IF($F131="","",'הזנה לתנאי סף'!R131)</f>
        <v>187862</v>
      </c>
      <c r="J131" s="349">
        <f>IF($F131="","",'תחום תמיכה א'!P131)</f>
        <v>187862</v>
      </c>
      <c r="K131" s="177">
        <f>IF($F131="","",'הזנה לתנאי סף'!N131)</f>
        <v>1</v>
      </c>
      <c r="L131" s="177">
        <f>IF($F131="","",'הזנה לתנאי סף'!O131)</f>
        <v>1</v>
      </c>
      <c r="M131" s="177">
        <f>IF($F131="","",'הזנה לתנאי סף'!Q131)</f>
        <v>1</v>
      </c>
      <c r="N131" s="349">
        <f>IF($F131="","",'תחום תמיכה א'!AE131)</f>
        <v>2604.052884019301</v>
      </c>
      <c r="O131" s="178"/>
      <c r="P131" s="349">
        <f>IF($F131="","",'תחום תמיכה ב'!AC131)</f>
        <v>2058.8186625991329</v>
      </c>
      <c r="Q131" s="349">
        <f>IF($F131="","",IF('תחום תמיכה ג'!O131="",0,'תחום תמיכה ג'!O131))</f>
        <v>355.90464763391526</v>
      </c>
      <c r="R131" s="349">
        <f t="shared" si="4"/>
        <v>61.733785165302834</v>
      </c>
      <c r="S131" s="349">
        <f>IF($F131="","",'תחום תמיכה ב'!AE131)</f>
        <v>2120.5524477644358</v>
      </c>
      <c r="T131" s="349">
        <f>IF($F131="","",IF(Q131='תחום תמיכה ג'!$Q$2,'תחום תמיכה ג'!$Q$2,IFERROR(SUMIF(N131:R131,"&gt;0"),'תחום תמיכה ג'!$Q$2)))</f>
        <v>5080.5099794176522</v>
      </c>
      <c r="U131" s="349">
        <f>IF($F131="","",'הזנה לתנאי סף'!Y131)</f>
        <v>180000</v>
      </c>
      <c r="V131" s="350">
        <f>IF(F131="","",'הגבלה לסכום מבוקש '!AA131)</f>
        <v>5434.4626991913365</v>
      </c>
      <c r="W131" s="349">
        <f t="shared" si="5"/>
        <v>1358.6156747978341</v>
      </c>
      <c r="X131" s="349">
        <f>IF(F131="","",'הזנה לתנאי סף'!Z131)</f>
        <v>90000</v>
      </c>
      <c r="Y131" s="351" t="s">
        <v>3740</v>
      </c>
      <c r="Z131" s="352" t="str">
        <f>IFERROR(VLOOKUP(G131*1,#REF!,3,0),"")</f>
        <v/>
      </c>
      <c r="AA131" s="349" t="str">
        <f>IF(OR($F131="",Z131=""),"",IFERROR(IF(Z131&gt;V131,MIN(Z131,T131)-V131,0),'תחום תמיכה ג'!$Q$2))</f>
        <v/>
      </c>
      <c r="AB131" s="353"/>
      <c r="AC131" s="260" t="str">
        <f t="shared" si="7"/>
        <v/>
      </c>
      <c r="AD131" s="354"/>
      <c r="AE131" s="180"/>
      <c r="AF131" s="355" t="str">
        <f>IF($C131="","",IFERROR(VLOOKUP($C131,גיליון1!$A:$E,2,0),"לא הגיש בקשה שוטפת"))</f>
        <v>מחול במזיא</v>
      </c>
      <c r="AG131" s="355" t="str">
        <f>IF($C131="","",IFERROR(VLOOKUP($C131,גיליון1!$A:$E,3,0),"לא הגיש בקשה שוטפת"))</f>
        <v>חויב</v>
      </c>
      <c r="AH131" s="355" t="str">
        <f>IF($C131="","",IFERROR(VLOOKUP($C131,גיליון1!$A:$E,4,0),"לא הגיש בקשה שוטפת"))</f>
        <v>19-42-02-20</v>
      </c>
      <c r="AI131" s="355" t="str">
        <f>IF($C131="","",IFERROR(VLOOKUP($C131,גיליון1!$A:$E,5,0),"לא הגיש בקשה שוטפת"))</f>
        <v>מחול וארגוני גג</v>
      </c>
      <c r="AJ131" s="355">
        <f t="shared" si="6"/>
        <v>0</v>
      </c>
      <c r="AK131" s="15"/>
      <c r="AL131" s="15" t="s">
        <v>128</v>
      </c>
    </row>
    <row r="132" spans="1:38" ht="285.75" x14ac:dyDescent="0.25">
      <c r="A132" s="346">
        <f>'הזנה לתנאי סף'!B132</f>
        <v>102</v>
      </c>
      <c r="B132" s="347">
        <f>IF($F132="","",'הזנה לתנאי סף'!C132)</f>
        <v>1001350429</v>
      </c>
      <c r="C132" s="347">
        <f>IF($F132="","",'הזנה לתנאי סף'!D132)</f>
        <v>1001269710</v>
      </c>
      <c r="D132" s="347">
        <f>IF($F132="","",'הזנה לתנאי סף'!E132)</f>
        <v>40216083</v>
      </c>
      <c r="E132" s="348">
        <f>IF($F132="","",'הזנה לתנאי סף'!F132)</f>
        <v>20000159</v>
      </c>
      <c r="F132" s="348" t="str">
        <f>IF('הזנה לתנאי סף'!BL132=1,'הזנה לתנאי סף'!G132,"")</f>
        <v>ירושלים</v>
      </c>
      <c r="G132" s="348" t="str">
        <f>IF($F132="","",'הזנה לתנאי סף'!H132)</f>
        <v>תאטרון "פסיק" ירושלים</v>
      </c>
      <c r="H132" s="348" t="str">
        <f>IF($F132="","",'הזנה לתנאי סף'!I132)</f>
        <v>תיאטרון</v>
      </c>
      <c r="I132" s="349">
        <f>IF($F132="","",'הזנה לתנאי סף'!R132)</f>
        <v>150091</v>
      </c>
      <c r="J132" s="349">
        <f>IF($F132="","",'תחום תמיכה א'!P132)</f>
        <v>150091</v>
      </c>
      <c r="K132" s="177">
        <f>IF($F132="","",'הזנה לתנאי סף'!N132)</f>
        <v>1</v>
      </c>
      <c r="L132" s="177">
        <f>IF($F132="","",'הזנה לתנאי סף'!O132)</f>
        <v>1</v>
      </c>
      <c r="M132" s="177">
        <f>IF($F132="","",'הזנה לתנאי סף'!Q132)</f>
        <v>1</v>
      </c>
      <c r="N132" s="349">
        <f>IF($F132="","",'תחום תמיכה א'!AE132)</f>
        <v>3284.844592514301</v>
      </c>
      <c r="O132" s="178"/>
      <c r="P132" s="349">
        <f>IF($F132="","",'תחום תמיכה ב'!AC132)</f>
        <v>2735.7090074489106</v>
      </c>
      <c r="Q132" s="349">
        <f>IF($F132="","",IF('תחום תמיכה ג'!O132="",0,'תחום תמיכה ג'!O132))</f>
        <v>472.91758522135063</v>
      </c>
      <c r="R132" s="349">
        <f t="shared" si="4"/>
        <v>82.030377521168703</v>
      </c>
      <c r="S132" s="349">
        <f>IF($F132="","",'תחום תמיכה ב'!AE132)</f>
        <v>2817.7393849700793</v>
      </c>
      <c r="T132" s="349">
        <f>IF($F132="","",IF(Q132='תחום תמיכה ג'!$Q$2,'תחום תמיכה ג'!$Q$2,IFERROR(SUMIF(N132:R132,"&gt;0"),'תחום תמיכה ג'!$Q$2)))</f>
        <v>6575.501562705731</v>
      </c>
      <c r="U132" s="349">
        <f>IF($F132="","",'הזנה לתנאי סף'!Y132)</f>
        <v>130000</v>
      </c>
      <c r="V132" s="350">
        <f>IF(F132="","",'הגבלה לסכום מבוקש '!AA132)</f>
        <v>7045.7456274551168</v>
      </c>
      <c r="W132" s="349">
        <f t="shared" si="5"/>
        <v>1761.4364068637792</v>
      </c>
      <c r="X132" s="349">
        <f>IF(F132="","",'הזנה לתנאי סף'!Z132)</f>
        <v>65000</v>
      </c>
      <c r="Y132" s="351" t="s">
        <v>3740</v>
      </c>
      <c r="Z132" s="352" t="str">
        <f>IFERROR(VLOOKUP(G132*1,#REF!,3,0),"")</f>
        <v/>
      </c>
      <c r="AA132" s="349" t="str">
        <f>IF(OR($F132="",Z132=""),"",IFERROR(IF(Z132&gt;V132,MIN(Z132,T132)-V132,0),'תחום תמיכה ג'!$Q$2))</f>
        <v/>
      </c>
      <c r="AB132" s="353"/>
      <c r="AC132" s="260" t="str">
        <f t="shared" si="7"/>
        <v/>
      </c>
      <c r="AD132" s="354"/>
      <c r="AE132" s="180"/>
      <c r="AF132" s="355" t="str">
        <f>IF($C132="","",IFERROR(VLOOKUP($C132,גיליון1!$A:$E,2,0),"לא הגיש בקשה שוטפת"))</f>
        <v>יוזמות</v>
      </c>
      <c r="AG132" s="355" t="str">
        <f>IF($C132="","",IFERROR(VLOOKUP($C132,גיליון1!$A:$E,3,0),"לא הגיש בקשה שוטפת"))</f>
        <v>טיוט</v>
      </c>
      <c r="AH132" s="355" t="str">
        <f>IF($C132="","",IFERROR(VLOOKUP($C132,גיליון1!$A:$E,4,0),"לא הגיש בקשה שוטפת"))</f>
        <v>19-42-02-31</v>
      </c>
      <c r="AI132" s="355" t="str">
        <f>IF($C132="","",IFERROR(VLOOKUP($C132,גיליון1!$A:$E,5,0),"לא הגיש בקשה שוטפת"))</f>
        <v>תרבות בקהילה תמיכה</v>
      </c>
      <c r="AJ132" s="355">
        <f t="shared" si="6"/>
        <v>0</v>
      </c>
      <c r="AK132" s="15"/>
      <c r="AL132" s="15" t="s">
        <v>130</v>
      </c>
    </row>
    <row r="133" spans="1:38" ht="285.75" x14ac:dyDescent="0.25">
      <c r="A133" s="346">
        <f>'הזנה לתנאי סף'!B133</f>
        <v>103</v>
      </c>
      <c r="B133" s="347">
        <f>IF($F133="","",'הזנה לתנאי סף'!C133)</f>
        <v>1001350431</v>
      </c>
      <c r="C133" s="347">
        <f>IF($F133="","",'הזנה לתנאי סף'!D133)</f>
        <v>1001268315</v>
      </c>
      <c r="D133" s="347">
        <f>IF($F133="","",'הזנה לתנאי סף'!E133)</f>
        <v>40216083</v>
      </c>
      <c r="E133" s="348">
        <f>IF($F133="","",'הזנה לתנאי סף'!F133)</f>
        <v>20000159</v>
      </c>
      <c r="F133" s="348" t="str">
        <f>IF('הזנה לתנאי סף'!BL133=1,'הזנה לתנאי סף'!G133,"")</f>
        <v>ירושלים</v>
      </c>
      <c r="G133" s="348" t="str">
        <f>IF($F133="","",'הזנה לתנאי סף'!H133)</f>
        <v>תאטרון "פסיק" ירושלים</v>
      </c>
      <c r="H133" s="348" t="str">
        <f>IF($F133="","",'הזנה לתנאי סף'!I133)</f>
        <v>תיאטרון</v>
      </c>
      <c r="I133" s="349">
        <f>IF($F133="","",'הזנה לתנאי סף'!R133)</f>
        <v>658629</v>
      </c>
      <c r="J133" s="349">
        <f>IF($F133="","",'תחום תמיכה א'!P133)</f>
        <v>658629</v>
      </c>
      <c r="K133" s="177">
        <f>IF($F133="","",'הזנה לתנאי סף'!N133)</f>
        <v>1</v>
      </c>
      <c r="L133" s="177">
        <f>IF($F133="","",'הזנה לתנאי סף'!O133)</f>
        <v>1</v>
      </c>
      <c r="M133" s="177">
        <f>IF($F133="","",'הזנה לתנאי סף'!Q133)</f>
        <v>1</v>
      </c>
      <c r="N133" s="349">
        <f>IF($F133="","",'תחום תמיכה א'!AE133)</f>
        <v>23134.891898379668</v>
      </c>
      <c r="O133" s="178"/>
      <c r="P133" s="349">
        <f>IF($F133="","",'תחום תמיכה ב'!AC133)</f>
        <v>46350.192079686123</v>
      </c>
      <c r="Q133" s="349">
        <f>IF($F133="","",IF('תחום תמיכה ג'!O133="",0,'תחום תמיכה ג'!O133))</f>
        <v>8012.4826336378128</v>
      </c>
      <c r="R133" s="349">
        <f t="shared" si="4"/>
        <v>1389.8129311716839</v>
      </c>
      <c r="S133" s="349">
        <f>IF($F133="","",'תחום תמיכה ב'!AE133)</f>
        <v>47740.005010857807</v>
      </c>
      <c r="T133" s="349">
        <f>IF($F133="","",IF(Q133='תחום תמיכה ג'!$Q$2,'תחום תמיכה ג'!$Q$2,IFERROR(SUMIF(N133:R133,"&gt;0"),'תחום תמיכה ג'!$Q$2)))</f>
        <v>78887.379542875278</v>
      </c>
      <c r="U133" s="349">
        <f>IF($F133="","",'הזנה לתנאי סף'!Y133)</f>
        <v>650000</v>
      </c>
      <c r="V133" s="350">
        <f>IF(F133="","",'הגבלה לסכום מבוקש '!AA133)</f>
        <v>86839.758810199695</v>
      </c>
      <c r="W133" s="349">
        <f t="shared" si="5"/>
        <v>21709.939702549924</v>
      </c>
      <c r="X133" s="349">
        <f>IF(F133="","",'הזנה לתנאי סף'!Z133)</f>
        <v>300000</v>
      </c>
      <c r="Y133" s="351" t="s">
        <v>3740</v>
      </c>
      <c r="Z133" s="352" t="str">
        <f>IFERROR(VLOOKUP(G133*1,#REF!,3,0),"")</f>
        <v/>
      </c>
      <c r="AA133" s="349" t="str">
        <f>IF(OR($F133="",Z133=""),"",IFERROR(IF(Z133&gt;V133,MIN(Z133,T133)-V133,0),'תחום תמיכה ג'!$Q$2))</f>
        <v/>
      </c>
      <c r="AB133" s="353"/>
      <c r="AC133" s="260" t="str">
        <f t="shared" si="7"/>
        <v/>
      </c>
      <c r="AD133" s="354"/>
      <c r="AE133" s="180"/>
      <c r="AF133" s="355" t="str">
        <f>IF($C133="","",IFERROR(VLOOKUP($C133,גיליון1!$A:$E,2,0),"לא הגיש בקשה שוטפת"))</f>
        <v>פסטיבל אורות חנוכה 2020</v>
      </c>
      <c r="AG133" s="355" t="str">
        <f>IF($C133="","",IFERROR(VLOOKUP($C133,גיליון1!$A:$E,3,0),"לא הגיש בקשה שוטפת"))</f>
        <v>טיוט</v>
      </c>
      <c r="AH133" s="355" t="str">
        <f>IF($C133="","",IFERROR(VLOOKUP($C133,גיליון1!$A:$E,4,0),"לא הגיש בקשה שוטפת"))</f>
        <v>19-42-02-26</v>
      </c>
      <c r="AI133" s="355" t="str">
        <f>IF($C133="","",IFERROR(VLOOKUP($C133,גיליון1!$A:$E,5,0),"לא הגיש בקשה שוטפת"))</f>
        <v>פסטיבלים לתרבות</v>
      </c>
      <c r="AJ133" s="355">
        <f t="shared" si="6"/>
        <v>0</v>
      </c>
      <c r="AK133" s="15"/>
      <c r="AL133" s="15" t="s">
        <v>238</v>
      </c>
    </row>
    <row r="134" spans="1:38" ht="285.75" x14ac:dyDescent="0.25">
      <c r="A134" s="346">
        <f>'הזנה לתנאי סף'!B134</f>
        <v>104</v>
      </c>
      <c r="B134" s="347">
        <f>IF($F134="","",'הזנה לתנאי סף'!C134)</f>
        <v>1001350432</v>
      </c>
      <c r="C134" s="347">
        <f>IF($F134="","",'הזנה לתנאי סף'!D134)</f>
        <v>1001269688</v>
      </c>
      <c r="D134" s="347">
        <f>IF($F134="","",'הזנה לתנאי סף'!E134)</f>
        <v>40216083</v>
      </c>
      <c r="E134" s="348">
        <f>IF($F134="","",'הזנה לתנאי סף'!F134)</f>
        <v>20000159</v>
      </c>
      <c r="F134" s="348" t="str">
        <f>IF('הזנה לתנאי סף'!BL134=1,'הזנה לתנאי סף'!G134,"")</f>
        <v>ירושלים</v>
      </c>
      <c r="G134" s="348" t="str">
        <f>IF($F134="","",'הזנה לתנאי סף'!H134)</f>
        <v>תאטרון "פסיק" ירושלים</v>
      </c>
      <c r="H134" s="348" t="str">
        <f>IF($F134="","",'הזנה לתנאי סף'!I134)</f>
        <v>תיאטרון</v>
      </c>
      <c r="I134" s="349">
        <f>IF($F134="","",'הזנה לתנאי סף'!R134)</f>
        <v>606447</v>
      </c>
      <c r="J134" s="349">
        <f>IF($F134="","",'תחום תמיכה א'!P134)</f>
        <v>606447</v>
      </c>
      <c r="K134" s="177">
        <f>IF($F134="","",'הזנה לתנאי סף'!N134)</f>
        <v>1</v>
      </c>
      <c r="L134" s="177">
        <f>IF($F134="","",'הזנה לתנאי סף'!O134)</f>
        <v>1</v>
      </c>
      <c r="M134" s="177">
        <f>IF($F134="","",'הזנה לתנאי סף'!Q134)</f>
        <v>1</v>
      </c>
      <c r="N134" s="349">
        <f>IF($F134="","",'תחום תמיכה א'!AE134)</f>
        <v>13471.902536009922</v>
      </c>
      <c r="O134" s="178"/>
      <c r="P134" s="349">
        <f>IF($F134="","",'תחום תמיכה ב'!AC134)</f>
        <v>17069.564884070176</v>
      </c>
      <c r="Q134" s="349">
        <f>IF($F134="","",IF('תחום תמיכה ג'!O134="",0,'תחום תמיכה ג'!O134))</f>
        <v>2950.7880347556979</v>
      </c>
      <c r="R134" s="349">
        <f t="shared" si="4"/>
        <v>511.83179488380119</v>
      </c>
      <c r="S134" s="349">
        <f>IF($F134="","",'תחום תמיכה ב'!AE134)</f>
        <v>17581.396678953977</v>
      </c>
      <c r="T134" s="349">
        <f>IF($F134="","",IF(Q134='תחום תמיכה ג'!$Q$2,'תחום תמיכה ג'!$Q$2,IFERROR(SUMIF(N134:R134,"&gt;0"),'תחום תמיכה ג'!$Q$2)))</f>
        <v>34004.087249719596</v>
      </c>
      <c r="U134" s="349">
        <f>IF($F134="","",'הזנה לתנאי סף'!Y134)</f>
        <v>600000</v>
      </c>
      <c r="V134" s="350">
        <f>IF(F134="","",'הגבלה לסכום מבוקש '!AA134)</f>
        <v>36934.99552760645</v>
      </c>
      <c r="W134" s="349">
        <f t="shared" si="5"/>
        <v>9233.7488819016125</v>
      </c>
      <c r="X134" s="349">
        <f>IF(F134="","",'הזנה לתנאי סף'!Z134)</f>
        <v>300000</v>
      </c>
      <c r="Y134" s="351" t="s">
        <v>3740</v>
      </c>
      <c r="Z134" s="352" t="str">
        <f>IFERROR(VLOOKUP(G134*1,#REF!,3,0),"")</f>
        <v/>
      </c>
      <c r="AA134" s="349" t="str">
        <f>IF(OR($F134="",Z134=""),"",IFERROR(IF(Z134&gt;V134,MIN(Z134,T134)-V134,0),'תחום תמיכה ג'!$Q$2))</f>
        <v/>
      </c>
      <c r="AB134" s="353"/>
      <c r="AC134" s="260" t="str">
        <f t="shared" si="7"/>
        <v/>
      </c>
      <c r="AD134" s="354"/>
      <c r="AE134" s="180"/>
      <c r="AF134" s="355" t="str">
        <f>IF($C134="","",IFERROR(VLOOKUP($C134,גיליון1!$A:$E,2,0),"לא הגיש בקשה שוטפת"))</f>
        <v>שיתופי פעולה- אתנחתא</v>
      </c>
      <c r="AG134" s="355" t="str">
        <f>IF($C134="","",IFERROR(VLOOKUP($C134,גיליון1!$A:$E,3,0),"לא הגיש בקשה שוטפת"))</f>
        <v>טיוט</v>
      </c>
      <c r="AH134" s="355" t="str">
        <f>IF($C134="","",IFERROR(VLOOKUP($C134,גיליון1!$A:$E,4,0),"לא הגיש בקשה שוטפת"))</f>
        <v>19-42-02-31</v>
      </c>
      <c r="AI134" s="355" t="str">
        <f>IF($C134="","",IFERROR(VLOOKUP($C134,גיליון1!$A:$E,5,0),"לא הגיש בקשה שוטפת"))</f>
        <v>תרבות בקהילה תמיכה</v>
      </c>
      <c r="AJ134" s="355">
        <f t="shared" si="6"/>
        <v>0</v>
      </c>
      <c r="AK134" s="15"/>
      <c r="AL134" s="15" t="s">
        <v>132</v>
      </c>
    </row>
    <row r="135" spans="1:38" ht="285.75" x14ac:dyDescent="0.25">
      <c r="A135" s="346">
        <f>'הזנה לתנאי סף'!B135</f>
        <v>105</v>
      </c>
      <c r="B135" s="347">
        <f>IF($F135="","",'הזנה לתנאי סף'!C135)</f>
        <v>1001350435</v>
      </c>
      <c r="C135" s="347">
        <f>IF($F135="","",'הזנה לתנאי סף'!D135)</f>
        <v>1001269686</v>
      </c>
      <c r="D135" s="347">
        <f>IF($F135="","",'הזנה לתנאי סף'!E135)</f>
        <v>40216083</v>
      </c>
      <c r="E135" s="348">
        <f>IF($F135="","",'הזנה לתנאי סף'!F135)</f>
        <v>20000159</v>
      </c>
      <c r="F135" s="348" t="str">
        <f>IF('הזנה לתנאי סף'!BL135=1,'הזנה לתנאי סף'!G135,"")</f>
        <v>ירושלים</v>
      </c>
      <c r="G135" s="348" t="str">
        <f>IF($F135="","",'הזנה לתנאי סף'!H135)</f>
        <v>תאטרון "פסיק" ירושלים</v>
      </c>
      <c r="H135" s="348" t="str">
        <f>IF($F135="","",'הזנה לתנאי סף'!I135)</f>
        <v>תיאטרון</v>
      </c>
      <c r="I135" s="349">
        <f>IF($F135="","",'הזנה לתנאי סף'!R135)</f>
        <v>164532</v>
      </c>
      <c r="J135" s="349">
        <f>IF($F135="","",'תחום תמיכה א'!P135)</f>
        <v>164532</v>
      </c>
      <c r="K135" s="177">
        <f>IF($F135="","",'הזנה לתנאי סף'!N135)</f>
        <v>1</v>
      </c>
      <c r="L135" s="177">
        <f>IF($F135="","",'הזנה לתנאי סף'!O135)</f>
        <v>1</v>
      </c>
      <c r="M135" s="177">
        <f>IF($F135="","",'הזנה לתנאי סף'!Q135)</f>
        <v>1</v>
      </c>
      <c r="N135" s="349">
        <f>IF($F135="","",'תחום תמיכה א'!AE135)</f>
        <v>3250.5152852287015</v>
      </c>
      <c r="O135" s="178"/>
      <c r="P135" s="349">
        <f>IF($F135="","",'תחום תמיכה ב'!AC135)</f>
        <v>3662.7855034553713</v>
      </c>
      <c r="Q135" s="349">
        <f>IF($F135="","",IF('תחום תמיכה ג'!O135="",0,'תחום תמיכה ג'!O135))</f>
        <v>633.1797975447621</v>
      </c>
      <c r="R135" s="349">
        <f t="shared" si="4"/>
        <v>109.82881469096446</v>
      </c>
      <c r="S135" s="349">
        <f>IF($F135="","",'תחום תמיכה ב'!AE135)</f>
        <v>3772.6143181463358</v>
      </c>
      <c r="T135" s="349">
        <f>IF($F135="","",IF(Q135='תחום תמיכה ג'!$Q$2,'תחום תמיכה ג'!$Q$2,IFERROR(SUMIF(N135:R135,"&gt;0"),'תחום תמיכה ג'!$Q$2)))</f>
        <v>7656.3094009198003</v>
      </c>
      <c r="U135" s="349">
        <f>IF($F135="","",'הזנה לתנאי סף'!Y135)</f>
        <v>100000</v>
      </c>
      <c r="V135" s="350">
        <f>IF(F135="","",'הגבלה לסכום מבוקש '!AA135)</f>
        <v>8285.3871903555828</v>
      </c>
      <c r="W135" s="349">
        <f t="shared" si="5"/>
        <v>2071.3467975888957</v>
      </c>
      <c r="X135" s="349">
        <f>IF(F135="","",'הזנה לתנאי סף'!Z135)</f>
        <v>100000</v>
      </c>
      <c r="Y135" s="351" t="s">
        <v>3740</v>
      </c>
      <c r="Z135" s="352" t="str">
        <f>IFERROR(VLOOKUP(G135*1,#REF!,3,0),"")</f>
        <v/>
      </c>
      <c r="AA135" s="349" t="str">
        <f>IF(OR($F135="",Z135=""),"",IFERROR(IF(Z135&gt;V135,MIN(Z135,T135)-V135,0),'תחום תמיכה ג'!$Q$2))</f>
        <v/>
      </c>
      <c r="AB135" s="353"/>
      <c r="AC135" s="260" t="str">
        <f t="shared" si="7"/>
        <v/>
      </c>
      <c r="AD135" s="354"/>
      <c r="AE135" s="180"/>
      <c r="AF135" s="355" t="str">
        <f>IF($C135="","",IFERROR(VLOOKUP($C135,גיליון1!$A:$E,2,0),"לא הגיש בקשה שוטפת"))</f>
        <v>אמנויות הבמה 1-</v>
      </c>
      <c r="AG135" s="355" t="str">
        <f>IF($C135="","",IFERROR(VLOOKUP($C135,גיליון1!$A:$E,3,0),"לא הגיש בקשה שוטפת"))</f>
        <v>מועד</v>
      </c>
      <c r="AH135" s="355" t="str">
        <f>IF($C135="","",IFERROR(VLOOKUP($C135,גיליון1!$A:$E,4,0),"לא הגיש בקשה שוטפת"))</f>
        <v>19-42-02-31</v>
      </c>
      <c r="AI135" s="355" t="str">
        <f>IF($C135="","",IFERROR(VLOOKUP($C135,גיליון1!$A:$E,5,0),"לא הגיש בקשה שוטפת"))</f>
        <v>תרבות בקהילה תמיכה</v>
      </c>
      <c r="AJ135" s="355">
        <f t="shared" si="6"/>
        <v>0</v>
      </c>
      <c r="AK135" s="15"/>
      <c r="AL135" s="15" t="s">
        <v>240</v>
      </c>
    </row>
    <row r="136" spans="1:38" ht="285.75" x14ac:dyDescent="0.25">
      <c r="A136" s="346">
        <f>'הזנה לתנאי סף'!B136</f>
        <v>106</v>
      </c>
      <c r="B136" s="347">
        <f>IF($F136="","",'הזנה לתנאי סף'!C136)</f>
        <v>1001350437</v>
      </c>
      <c r="C136" s="347">
        <f>IF($F136="","",'הזנה לתנאי סף'!D136)</f>
        <v>1001269687</v>
      </c>
      <c r="D136" s="347">
        <f>IF($F136="","",'הזנה לתנאי סף'!E136)</f>
        <v>40216083</v>
      </c>
      <c r="E136" s="348">
        <f>IF($F136="","",'הזנה לתנאי סף'!F136)</f>
        <v>20000159</v>
      </c>
      <c r="F136" s="348" t="str">
        <f>IF('הזנה לתנאי סף'!BL136=1,'הזנה לתנאי סף'!G136,"")</f>
        <v>ירושלים</v>
      </c>
      <c r="G136" s="348" t="str">
        <f>IF($F136="","",'הזנה לתנאי סף'!H136)</f>
        <v>תאטרון "פסיק" ירושלים</v>
      </c>
      <c r="H136" s="348" t="str">
        <f>IF($F136="","",'הזנה לתנאי סף'!I136)</f>
        <v>תיאטרון</v>
      </c>
      <c r="I136" s="349">
        <f>IF($F136="","",'הזנה לתנאי סף'!R136)</f>
        <v>161304</v>
      </c>
      <c r="J136" s="349">
        <f>IF($F136="","",'תחום תמיכה א'!P136)</f>
        <v>161304</v>
      </c>
      <c r="K136" s="177">
        <f>IF($F136="","",'הזנה לתנאי סף'!N136)</f>
        <v>1</v>
      </c>
      <c r="L136" s="177">
        <f>IF($F136="","",'הזנה לתנאי סף'!O136)</f>
        <v>1</v>
      </c>
      <c r="M136" s="177">
        <f>IF($F136="","",'הזנה לתנאי סף'!Q136)</f>
        <v>1</v>
      </c>
      <c r="N136" s="349">
        <f>IF($F136="","",'תחום תמיכה א'!AE136)</f>
        <v>3176.0622334405061</v>
      </c>
      <c r="O136" s="178"/>
      <c r="P136" s="349">
        <f>IF($F136="","",'תחום תמיכה ב'!AC136)</f>
        <v>3566.894864140033</v>
      </c>
      <c r="Q136" s="349">
        <f>IF($F136="","",IF('תחום תמיכה ג'!O136="",0,'תחום תמיכה ג'!O136))</f>
        <v>616.60333803577748</v>
      </c>
      <c r="R136" s="349">
        <f t="shared" si="4"/>
        <v>106.95352886108776</v>
      </c>
      <c r="S136" s="349">
        <f>IF($F136="","",'תחום תמיכה ב'!AE136)</f>
        <v>3673.8483930011207</v>
      </c>
      <c r="T136" s="349">
        <f>IF($F136="","",IF(Q136='תחום תמיכה ג'!$Q$2,'תחום תמיכה ג'!$Q$2,IFERROR(SUMIF(N136:R136,"&gt;0"),'תחום תמיכה ג'!$Q$2)))</f>
        <v>7466.5139644774044</v>
      </c>
      <c r="U136" s="349">
        <f>IF($F136="","",'הזנה לתנאי סף'!Y136)</f>
        <v>100000</v>
      </c>
      <c r="V136" s="350">
        <f>IF(F136="","",'הגבלה לסכום מבוקש '!AA136)</f>
        <v>8079.1275304719611</v>
      </c>
      <c r="W136" s="349">
        <f t="shared" si="5"/>
        <v>2019.7818826179903</v>
      </c>
      <c r="X136" s="349">
        <f>IF(F136="","",'הזנה לתנאי סף'!Z136)</f>
        <v>50000</v>
      </c>
      <c r="Y136" s="351" t="s">
        <v>3740</v>
      </c>
      <c r="Z136" s="352" t="str">
        <f>IFERROR(VLOOKUP(G136*1,#REF!,3,0),"")</f>
        <v/>
      </c>
      <c r="AA136" s="349" t="str">
        <f>IF(OR($F136="",Z136=""),"",IFERROR(IF(Z136&gt;V136,MIN(Z136,T136)-V136,0),'תחום תמיכה ג'!$Q$2))</f>
        <v/>
      </c>
      <c r="AB136" s="353"/>
      <c r="AC136" s="260" t="str">
        <f t="shared" si="7"/>
        <v/>
      </c>
      <c r="AD136" s="354"/>
      <c r="AE136" s="180"/>
      <c r="AF136" s="355" t="str">
        <f>IF($C136="","",IFERROR(VLOOKUP($C136,גיליון1!$A:$E,2,0),"לא הגיש בקשה שוטפת"))</f>
        <v>אמנויות הבמה 2</v>
      </c>
      <c r="AG136" s="355" t="str">
        <f>IF($C136="","",IFERROR(VLOOKUP($C136,גיליון1!$A:$E,3,0),"לא הגיש בקשה שוטפת"))</f>
        <v>מועד</v>
      </c>
      <c r="AH136" s="355" t="str">
        <f>IF($C136="","",IFERROR(VLOOKUP($C136,גיליון1!$A:$E,4,0),"לא הגיש בקשה שוטפת"))</f>
        <v>19-42-02-31</v>
      </c>
      <c r="AI136" s="355" t="str">
        <f>IF($C136="","",IFERROR(VLOOKUP($C136,גיליון1!$A:$E,5,0),"לא הגיש בקשה שוטפת"))</f>
        <v>תרבות בקהילה תמיכה</v>
      </c>
      <c r="AJ136" s="355">
        <f t="shared" si="6"/>
        <v>0</v>
      </c>
      <c r="AK136" s="15"/>
      <c r="AL136" s="15" t="s">
        <v>136</v>
      </c>
    </row>
    <row r="137" spans="1:38" ht="285.75" x14ac:dyDescent="0.25">
      <c r="A137" s="346">
        <f>'הזנה לתנאי סף'!B137</f>
        <v>107</v>
      </c>
      <c r="B137" s="347">
        <f>IF($F137="","",'הזנה לתנאי סף'!C137)</f>
        <v>1001350444</v>
      </c>
      <c r="C137" s="347">
        <f>IF($F137="","",'הזנה לתנאי סף'!D137)</f>
        <v>1001268330</v>
      </c>
      <c r="D137" s="347">
        <f>IF($F137="","",'הזנה לתנאי סף'!E137)</f>
        <v>40216083</v>
      </c>
      <c r="E137" s="348">
        <f>IF($F137="","",'הזנה לתנאי סף'!F137)</f>
        <v>20000159</v>
      </c>
      <c r="F137" s="348" t="str">
        <f>IF('הזנה לתנאי סף'!BL137=1,'הזנה לתנאי סף'!G137,"")</f>
        <v>ירושלים</v>
      </c>
      <c r="G137" s="348" t="str">
        <f>IF($F137="","",'הזנה לתנאי סף'!H137)</f>
        <v>תאטרון "פסיק" ירושלים</v>
      </c>
      <c r="H137" s="348" t="str">
        <f>IF($F137="","",'הזנה לתנאי סף'!I137)</f>
        <v>תיאטרון</v>
      </c>
      <c r="I137" s="349">
        <f>IF($F137="","",'הזנה לתנאי סף'!R137)</f>
        <v>96959</v>
      </c>
      <c r="J137" s="349">
        <f>IF($F137="","",'תחום תמיכה א'!P137)</f>
        <v>96959</v>
      </c>
      <c r="K137" s="177">
        <f>IF($F137="","",'הזנה לתנאי סף'!N137)</f>
        <v>1</v>
      </c>
      <c r="L137" s="177">
        <f>IF($F137="","",'הזנה לתנאי סף'!O137)</f>
        <v>1</v>
      </c>
      <c r="M137" s="177">
        <f>IF($F137="","",'הזנה לתנאי סף'!Q137)</f>
        <v>1</v>
      </c>
      <c r="N137" s="349">
        <f>IF($F137="","",'תחום תמיכה א'!AE137)</f>
        <v>1343.1614798001181</v>
      </c>
      <c r="O137" s="178"/>
      <c r="P137" s="349">
        <f>IF($F137="","",'תחום תמיכה ב'!AC137)</f>
        <v>1061.2697054439668</v>
      </c>
      <c r="Q137" s="349">
        <f>IF($F137="","",IF('תחום תמיכה ג'!O137="",0,'תחום תמיכה ג'!O137))</f>
        <v>183.45997509258399</v>
      </c>
      <c r="R137" s="349">
        <f t="shared" si="4"/>
        <v>31.822227565982757</v>
      </c>
      <c r="S137" s="349">
        <f>IF($F137="","",'תחום תמיכה ב'!AE137)</f>
        <v>1093.0919330099496</v>
      </c>
      <c r="T137" s="349">
        <f>IF($F137="","",IF(Q137='תחום תמיכה ג'!$Q$2,'תחום תמיכה ג'!$Q$2,IFERROR(SUMIF(N137:R137,"&gt;0"),'תחום תמיכה ג'!$Q$2)))</f>
        <v>2619.7133879026519</v>
      </c>
      <c r="U137" s="349">
        <f>IF($F137="","",'הזנה לתנאי סף'!Y137)</f>
        <v>80000</v>
      </c>
      <c r="V137" s="350">
        <f>IF(F137="","",'הגבלה לסכום מבוקש '!AA137)</f>
        <v>2802.1675739983871</v>
      </c>
      <c r="W137" s="349">
        <f t="shared" si="5"/>
        <v>700.54189349959677</v>
      </c>
      <c r="X137" s="349">
        <f>IF(F137="","",'הזנה לתנאי סף'!Z137)</f>
        <v>40000</v>
      </c>
      <c r="Y137" s="351" t="s">
        <v>3740</v>
      </c>
      <c r="Z137" s="352" t="str">
        <f>IFERROR(VLOOKUP(G137*1,#REF!,3,0),"")</f>
        <v/>
      </c>
      <c r="AA137" s="349" t="str">
        <f>IF(OR($F137="",Z137=""),"",IFERROR(IF(Z137&gt;V137,MIN(Z137,T137)-V137,0),'תחום תמיכה ג'!$Q$2))</f>
        <v/>
      </c>
      <c r="AB137" s="353"/>
      <c r="AC137" s="260" t="str">
        <f t="shared" si="7"/>
        <v/>
      </c>
      <c r="AD137" s="354"/>
      <c r="AE137" s="180"/>
      <c r="AF137" s="355" t="str">
        <f>IF($C137="","",IFERROR(VLOOKUP($C137,גיליון1!$A:$E,2,0),"לא הגיש בקשה שוטפת"))</f>
        <v>אירועי ספרות 2020</v>
      </c>
      <c r="AG137" s="355" t="str">
        <f>IF($C137="","",IFERROR(VLOOKUP($C137,גיליון1!$A:$E,3,0),"לא הגיש בקשה שוטפת"))</f>
        <v>מועד</v>
      </c>
      <c r="AH137" s="355" t="str">
        <f>IF($C137="","",IFERROR(VLOOKUP($C137,גיליון1!$A:$E,4,0),"לא הגיש בקשה שוטפת"))</f>
        <v>19-42-02-22</v>
      </c>
      <c r="AI137" s="355" t="str">
        <f>IF($C137="","",IFERROR(VLOOKUP($C137,גיליון1!$A:$E,5,0),"לא הגיש בקשה שוטפת"))</f>
        <v>ספרות</v>
      </c>
      <c r="AJ137" s="355">
        <f t="shared" si="6"/>
        <v>0</v>
      </c>
      <c r="AK137" s="15"/>
      <c r="AL137" s="15" t="s">
        <v>138</v>
      </c>
    </row>
    <row r="138" spans="1:38" ht="285.75" x14ac:dyDescent="0.25">
      <c r="A138" s="346">
        <f>'הזנה לתנאי סף'!B138</f>
        <v>108</v>
      </c>
      <c r="B138" s="347">
        <f>IF($F138="","",'הזנה לתנאי סף'!C138)</f>
        <v>1001351084</v>
      </c>
      <c r="C138" s="347">
        <f>IF($F138="","",'הזנה לתנאי סף'!D138)</f>
        <v>1001290814</v>
      </c>
      <c r="D138" s="347">
        <f>IF($F138="","",'הזנה לתנאי סף'!E138)</f>
        <v>40258570</v>
      </c>
      <c r="E138" s="348">
        <f>IF($F138="","",'הזנה לתנאי סף'!F138)</f>
        <v>20000055</v>
      </c>
      <c r="F138" s="348" t="str">
        <f>IF('הזנה לתנאי סף'!BL138=1,'הזנה לתנאי סף'!G138,"")</f>
        <v>מג'ד אל-כרום</v>
      </c>
      <c r="G138" s="348" t="str">
        <f>IF($F138="","",'הזנה לתנאי סף'!H138)</f>
        <v>עמותת האומנים לקידום תיאטרון מגד אל כרום</v>
      </c>
      <c r="H138" s="348" t="str">
        <f>IF($F138="","",'הזנה לתנאי סף'!I138)</f>
        <v>תיאטרון</v>
      </c>
      <c r="I138" s="349">
        <f>IF($F138="","",'הזנה לתנאי סף'!R138)</f>
        <v>1531432</v>
      </c>
      <c r="J138" s="349">
        <f>IF($F138="","",'תחום תמיכה א'!P138)</f>
        <v>1552932</v>
      </c>
      <c r="K138" s="177">
        <f>IF($F138="","",'הזנה לתנאי סף'!N138)</f>
        <v>0</v>
      </c>
      <c r="L138" s="177">
        <f>IF($F138="","",'הזנה לתנאי סף'!O138)</f>
        <v>1</v>
      </c>
      <c r="M138" s="177">
        <f>IF($F138="","",'הזנה לתנאי סף'!Q138)</f>
        <v>1</v>
      </c>
      <c r="N138" s="349">
        <f>IF($F138="","",'תחום תמיכה א'!AE138)</f>
        <v>84890.254493059183</v>
      </c>
      <c r="O138" s="178"/>
      <c r="P138" s="349">
        <f>IF($F138="","",'תחום תמיכה ב'!AC138)</f>
        <v>87818.543824606808</v>
      </c>
      <c r="Q138" s="349">
        <f>IF($F138="","",IF('תחום תמיכה ג'!O138="",0,'תחום תמיכה ג'!O138))</f>
        <v>0</v>
      </c>
      <c r="R138" s="349">
        <f t="shared" si="4"/>
        <v>2633.2436248435115</v>
      </c>
      <c r="S138" s="349">
        <f>IF($F138="","",'תחום תמיכה ב'!AE138)</f>
        <v>90451.787449450319</v>
      </c>
      <c r="T138" s="349">
        <f>IF($F138="","",IF(Q138='תחום תמיכה ג'!$Q$2,'תחום תמיכה ג'!$Q$2,IFERROR(SUMIF(N138:R138,"&gt;0"),'תחום תמיכה ג'!$Q$2)))</f>
        <v>175342.0419425095</v>
      </c>
      <c r="U138" s="349">
        <f>IF($F138="","",'הזנה לתנאי סף'!Y138)</f>
        <v>1100000</v>
      </c>
      <c r="V138" s="350">
        <f>IF(F138="","",'הגבלה לסכום מבוקש '!AA138)</f>
        <v>190420.99711555205</v>
      </c>
      <c r="W138" s="349">
        <f t="shared" si="5"/>
        <v>47605.249278888012</v>
      </c>
      <c r="X138" s="349">
        <f>IF(F138="","",'הזנה לתנאי סף'!Z138)</f>
        <v>900000</v>
      </c>
      <c r="Y138" s="351" t="s">
        <v>3740</v>
      </c>
      <c r="Z138" s="352" t="str">
        <f>IFERROR(VLOOKUP(G138*1,#REF!,3,0),"")</f>
        <v/>
      </c>
      <c r="AA138" s="349" t="str">
        <f>IF(OR($F138="",Z138=""),"",IFERROR(IF(Z138&gt;V138,MIN(Z138,T138)-V138,0),'תחום תמיכה ג'!$Q$2))</f>
        <v/>
      </c>
      <c r="AB138" s="353"/>
      <c r="AC138" s="260" t="str">
        <f t="shared" si="7"/>
        <v/>
      </c>
      <c r="AD138" s="354"/>
      <c r="AE138" s="180"/>
      <c r="AF138" s="355" t="str">
        <f>IF($C138="","",IFERROR(VLOOKUP($C138,גיליון1!$A:$E,2,0),"לא הגיש בקשה שוטפת"))</f>
        <v>תיאטרון שוטף</v>
      </c>
      <c r="AG138" s="355" t="str">
        <f>IF($C138="","",IFERROR(VLOOKUP($C138,גיליון1!$A:$E,3,0),"לא הגיש בקשה שוטפת"))</f>
        <v>מועד</v>
      </c>
      <c r="AH138" s="355" t="str">
        <f>IF($C138="","",IFERROR(VLOOKUP($C138,גיליון1!$A:$E,4,0),"לא הגיש בקשה שוטפת"))</f>
        <v>19-42-02-33</v>
      </c>
      <c r="AI138" s="355" t="str">
        <f>IF($C138="","",IFERROR(VLOOKUP($C138,גיליון1!$A:$E,5,0),"לא הגיש בקשה שוטפת"))</f>
        <v>תרבות ערבית ודרוזית</v>
      </c>
      <c r="AJ138" s="355">
        <f t="shared" si="6"/>
        <v>0</v>
      </c>
      <c r="AK138" s="15"/>
      <c r="AL138" s="15" t="s">
        <v>140</v>
      </c>
    </row>
    <row r="139" spans="1:38" ht="285.75" x14ac:dyDescent="0.25">
      <c r="A139" s="346">
        <f>'הזנה לתנאי סף'!B139</f>
        <v>109</v>
      </c>
      <c r="B139" s="347">
        <f>IF($F139="","",'הזנה לתנאי סף'!C139)</f>
        <v>1001347400</v>
      </c>
      <c r="C139" s="347">
        <f>IF($F139="","",'הזנה לתנאי סף'!D139)</f>
        <v>1001266852</v>
      </c>
      <c r="D139" s="347">
        <f>IF($F139="","",'הזנה לתנאי סף'!E139)</f>
        <v>40000550</v>
      </c>
      <c r="E139" s="348">
        <f>IF($F139="","",'הזנה לתנאי סף'!F139)</f>
        <v>20000096</v>
      </c>
      <c r="F139" s="348" t="str">
        <f>IF('הזנה לתנאי סף'!BL139=1,'הזנה לתנאי סף'!G139,"")</f>
        <v>שדרות</v>
      </c>
      <c r="G139" s="348" t="str">
        <f>IF($F139="","",'הזנה לתנאי סף'!H139)</f>
        <v>מרכז התנועה שדרות אדמה (ע''ר)</v>
      </c>
      <c r="H139" s="348" t="str">
        <f>IF($F139="","",'הזנה לתנאי סף'!I139)</f>
        <v>מרכזי מחול</v>
      </c>
      <c r="I139" s="349">
        <f>IF($F139="","",'הזנה לתנאי סף'!R139)</f>
        <v>132314</v>
      </c>
      <c r="J139" s="349">
        <f>IF($F139="","",'תחום תמיכה א'!P139)</f>
        <v>132757</v>
      </c>
      <c r="K139" s="177">
        <f>IF($F139="","",'הזנה לתנאי סף'!N139)</f>
        <v>0</v>
      </c>
      <c r="L139" s="177">
        <f>IF($F139="","",'הזנה לתנאי סף'!O139)</f>
        <v>1</v>
      </c>
      <c r="M139" s="177">
        <f>IF($F139="","",'הזנה לתנאי סף'!Q139)</f>
        <v>1</v>
      </c>
      <c r="N139" s="349">
        <f>IF($F139="","",'תחום תמיכה א'!AE139)</f>
        <v>2236.4626410078367</v>
      </c>
      <c r="O139" s="178"/>
      <c r="P139" s="349">
        <f>IF($F139="","",'תחום תמיכה ב'!AC139)</f>
        <v>2141.7642907604859</v>
      </c>
      <c r="Q139" s="349">
        <f>IF($F139="","",IF('תחום תמיכה ג'!O139="",0,'תחום תמיכה ג'!O139))</f>
        <v>0</v>
      </c>
      <c r="R139" s="349">
        <f t="shared" si="4"/>
        <v>64.22091415938803</v>
      </c>
      <c r="S139" s="349">
        <f>IF($F139="","",'תחום תמיכה ב'!AE139)</f>
        <v>2205.9852049198739</v>
      </c>
      <c r="T139" s="349">
        <f>IF($F139="","",IF(Q139='תחום תמיכה ג'!$Q$2,'תחום תמיכה ג'!$Q$2,IFERROR(SUMIF(N139:R139,"&gt;0"),'תחום תמיכה ג'!$Q$2)))</f>
        <v>4442.4478459277107</v>
      </c>
      <c r="U139" s="349">
        <f>IF($F139="","",'הזנה לתנאי סף'!Y139)</f>
        <v>125000</v>
      </c>
      <c r="V139" s="350">
        <f>IF(F139="","",'הגבלה לסכום מבוקש '!AA139)</f>
        <v>4810.2768785657963</v>
      </c>
      <c r="W139" s="349">
        <f t="shared" si="5"/>
        <v>1202.5692196414491</v>
      </c>
      <c r="X139" s="349">
        <f>IF(F139="","",'הזנה לתנאי סף'!Z139)</f>
        <v>125000</v>
      </c>
      <c r="Y139" s="351" t="s">
        <v>3740</v>
      </c>
      <c r="Z139" s="352" t="str">
        <f>IFERROR(VLOOKUP(G139*1,#REF!,3,0),"")</f>
        <v/>
      </c>
      <c r="AA139" s="349" t="str">
        <f>IF(OR($F139="",Z139=""),"",IFERROR(IF(Z139&gt;V139,MIN(Z139,T139)-V139,0),'תחום תמיכה ג'!$Q$2))</f>
        <v/>
      </c>
      <c r="AB139" s="353"/>
      <c r="AC139" s="260" t="str">
        <f t="shared" si="7"/>
        <v/>
      </c>
      <c r="AD139" s="354"/>
      <c r="AE139" s="180"/>
      <c r="AF139" s="355" t="str">
        <f>IF($C139="","",IFERROR(VLOOKUP($C139,גיליון1!$A:$E,2,0),"לא הגיש בקשה שוטפת"))</f>
        <v>פסטיבל מחול אדמה בשדרות</v>
      </c>
      <c r="AG139" s="355" t="str">
        <f>IF($C139="","",IFERROR(VLOOKUP($C139,גיליון1!$A:$E,3,0),"לא הגיש בקשה שוטפת"))</f>
        <v>מועד</v>
      </c>
      <c r="AH139" s="355" t="str">
        <f>IF($C139="","",IFERROR(VLOOKUP($C139,גיליון1!$A:$E,4,0),"לא הגיש בקשה שוטפת"))</f>
        <v>19-42-02-26</v>
      </c>
      <c r="AI139" s="355" t="str">
        <f>IF($C139="","",IFERROR(VLOOKUP($C139,גיליון1!$A:$E,5,0),"לא הגיש בקשה שוטפת"))</f>
        <v>פסטיבלים לתרבות</v>
      </c>
      <c r="AJ139" s="355">
        <f t="shared" si="6"/>
        <v>0</v>
      </c>
      <c r="AK139" s="15"/>
      <c r="AL139" s="15" t="s">
        <v>146</v>
      </c>
    </row>
    <row r="140" spans="1:38" ht="285.75" x14ac:dyDescent="0.25">
      <c r="A140" s="346">
        <f>'הזנה לתנאי סף'!B140</f>
        <v>110</v>
      </c>
      <c r="B140" s="347">
        <f>IF($F140="","",'הזנה לתנאי סף'!C140)</f>
        <v>1001350749</v>
      </c>
      <c r="C140" s="347">
        <f>IF($F140="","",'הזנה לתנאי סף'!D140)</f>
        <v>1001270674</v>
      </c>
      <c r="D140" s="347">
        <f>IF($F140="","",'הזנה לתנאי סף'!E140)</f>
        <v>40000590</v>
      </c>
      <c r="E140" s="348">
        <f>IF($F140="","",'הזנה לתנאי סף'!F140)</f>
        <v>20000235</v>
      </c>
      <c r="F140" s="348" t="str">
        <f>IF('הזנה לתנאי סף'!BL140=1,'הזנה לתנאי סף'!G140,"")</f>
        <v>סח'נין</v>
      </c>
      <c r="G140" s="348" t="str">
        <f>IF($F140="","",'הזנה לתנאי סף'!H140)</f>
        <v>אמנות למען השלום</v>
      </c>
      <c r="H140" s="348" t="str">
        <f>IF($F140="","",'הזנה לתנאי סף'!I140)</f>
        <v>תיאטרון</v>
      </c>
      <c r="I140" s="349">
        <f>IF($F140="","",'הזנה לתנאי סף'!R140)</f>
        <v>1662914</v>
      </c>
      <c r="J140" s="349">
        <f>IF($F140="","",'תחום תמיכה א'!P140)</f>
        <v>1376734</v>
      </c>
      <c r="K140" s="177">
        <f>IF($F140="","",'הזנה לתנאי סף'!N140)</f>
        <v>0</v>
      </c>
      <c r="L140" s="177">
        <f>IF($F140="","",'הזנה לתנאי סף'!O140)</f>
        <v>1</v>
      </c>
      <c r="M140" s="177">
        <f>IF($F140="","",'הזנה לתנאי סף'!Q140)</f>
        <v>1</v>
      </c>
      <c r="N140" s="349">
        <f>IF($F140="","",'תחום תמיכה א'!AE140)</f>
        <v>32416.901485177565</v>
      </c>
      <c r="O140" s="178"/>
      <c r="P140" s="349">
        <f>IF($F140="","",'תחום תמיכה ב'!AC140)</f>
        <v>52586.002106814791</v>
      </c>
      <c r="Q140" s="349">
        <f>IF($F140="","",IF('תחום תמיכה ג'!O140="",0,'תחום תמיכה ג'!O140))</f>
        <v>0</v>
      </c>
      <c r="R140" s="349">
        <f t="shared" si="4"/>
        <v>1576.7940206380154</v>
      </c>
      <c r="S140" s="349">
        <f>IF($F140="","",'תחום תמיכה ב'!AE140)</f>
        <v>54162.796127452806</v>
      </c>
      <c r="T140" s="349">
        <f>IF($F140="","",IF(Q140='תחום תמיכה ג'!$Q$2,'תחום תמיכה ג'!$Q$2,IFERROR(SUMIF(N140:R140,"&gt;0"),'תחום תמיכה ג'!$Q$2)))</f>
        <v>86579.697612630378</v>
      </c>
      <c r="U140" s="349">
        <f>IF($F140="","",'הזנה לתנאי סף'!Y140)</f>
        <v>600000</v>
      </c>
      <c r="V140" s="350">
        <f>IF(F140="","",'הגבלה לסכום מבוקש '!AA140)</f>
        <v>95600.635157664612</v>
      </c>
      <c r="W140" s="349">
        <f t="shared" si="5"/>
        <v>23900.158789416153</v>
      </c>
      <c r="X140" s="349">
        <f>IF(F140="","",'הזנה לתנאי סף'!Z140)</f>
        <v>600000</v>
      </c>
      <c r="Y140" s="351" t="s">
        <v>3740</v>
      </c>
      <c r="Z140" s="352" t="str">
        <f>IFERROR(VLOOKUP(G140*1,#REF!,3,0),"")</f>
        <v/>
      </c>
      <c r="AA140" s="349" t="str">
        <f>IF(OR($F140="",Z140=""),"",IFERROR(IF(Z140&gt;V140,MIN(Z140,T140)-V140,0),'תחום תמיכה ג'!$Q$2))</f>
        <v/>
      </c>
      <c r="AB140" s="353"/>
      <c r="AC140" s="260" t="str">
        <f t="shared" si="7"/>
        <v/>
      </c>
      <c r="AD140" s="354"/>
      <c r="AE140" s="180"/>
      <c r="AF140" s="355" t="str">
        <f>IF($C140="","",IFERROR(VLOOKUP($C140,גיליון1!$A:$E,2,0),"לא הגיש בקשה שוטפת"))</f>
        <v>תמיכה שוטפת</v>
      </c>
      <c r="AG140" s="355" t="str">
        <f>IF($C140="","",IFERROR(VLOOKUP($C140,גיליון1!$A:$E,3,0),"לא הגיש בקשה שוטפת"))</f>
        <v>מועד</v>
      </c>
      <c r="AH140" s="355" t="str">
        <f>IF($C140="","",IFERROR(VLOOKUP($C140,גיליון1!$A:$E,4,0),"לא הגיש בקשה שוטפת"))</f>
        <v>19-42-02-33</v>
      </c>
      <c r="AI140" s="355" t="str">
        <f>IF($C140="","",IFERROR(VLOOKUP($C140,גיליון1!$A:$E,5,0),"לא הגיש בקשה שוטפת"))</f>
        <v>תרבות ערבית ודרוזית</v>
      </c>
      <c r="AJ140" s="355">
        <f t="shared" si="6"/>
        <v>0</v>
      </c>
      <c r="AK140" s="15"/>
      <c r="AL140" s="15" t="s">
        <v>149</v>
      </c>
    </row>
    <row r="141" spans="1:38" ht="285.75" x14ac:dyDescent="0.25">
      <c r="A141" s="346">
        <f>'הזנה לתנאי סף'!B141</f>
        <v>111</v>
      </c>
      <c r="B141" s="347">
        <f>IF($F141="","",'הזנה לתנאי סף'!C141)</f>
        <v>1001347197</v>
      </c>
      <c r="C141" s="347">
        <f>IF($F141="","",'הזנה לתנאי סף'!D141)</f>
        <v>1001262104</v>
      </c>
      <c r="D141" s="347">
        <f>IF($F141="","",'הזנה לתנאי סף'!E141)</f>
        <v>40000479</v>
      </c>
      <c r="E141" s="348">
        <f>IF($F141="","",'הזנה לתנאי סף'!F141)</f>
        <v>20000162</v>
      </c>
      <c r="F141" s="348" t="str">
        <f>IF('הזנה לתנאי סף'!BL141=1,'הזנה לתנאי סף'!G141,"")</f>
        <v>חוף הכרמל</v>
      </c>
      <c r="G141" s="348" t="str">
        <f>IF($F141="","",'הזנה לתנאי סף'!H141)</f>
        <v>המזגגה</v>
      </c>
      <c r="H141" s="348" t="str">
        <f>IF($F141="","",'הזנה לתנאי סף'!I141)</f>
        <v>מוזיאונים</v>
      </c>
      <c r="I141" s="349">
        <f>IF($F141="","",'הזנה לתנאי סף'!R141)</f>
        <v>774200</v>
      </c>
      <c r="J141" s="349">
        <f>IF($F141="","",'תחום תמיכה א'!P141)</f>
        <v>538348</v>
      </c>
      <c r="K141" s="177">
        <f>IF($F141="","",'הזנה לתנאי סף'!N141)</f>
        <v>1</v>
      </c>
      <c r="L141" s="177">
        <f>IF($F141="","",'הזנה לתנאי סף'!O141)</f>
        <v>1</v>
      </c>
      <c r="M141" s="177">
        <f>IF($F141="","",'הזנה לתנאי סף'!Q141)</f>
        <v>1</v>
      </c>
      <c r="N141" s="349">
        <f>IF($F141="","",'תחום תמיכה א'!AE141)</f>
        <v>12924.945993965746</v>
      </c>
      <c r="O141" s="178"/>
      <c r="P141" s="349">
        <f>IF($F141="","",'תחום תמיכה ב'!AC141)</f>
        <v>25453.169617317348</v>
      </c>
      <c r="Q141" s="349">
        <f>IF($F141="","",IF('תחום תמיכה ג'!O141="",0,'תחום תמיכה ג'!O141))</f>
        <v>0</v>
      </c>
      <c r="R141" s="349">
        <f t="shared" si="4"/>
        <v>763.21462082910512</v>
      </c>
      <c r="S141" s="349">
        <f>IF($F141="","",'תחום תמיכה ב'!AE141)</f>
        <v>26216.384238146453</v>
      </c>
      <c r="T141" s="349">
        <f>IF($F141="","",IF(Q141='תחום תמיכה ג'!$Q$2,'תחום תמיכה ג'!$Q$2,IFERROR(SUMIF(N141:R141,"&gt;0"),'תחום תמיכה ג'!$Q$2)))</f>
        <v>39141.330232112203</v>
      </c>
      <c r="U141" s="349">
        <f>IF($F141="","",'הזנה לתנאי סף'!Y141)</f>
        <v>200000</v>
      </c>
      <c r="V141" s="350">
        <f>IF(F141="","",'הגבלה לסכום מבוקש '!AA141)</f>
        <v>43506.46963837713</v>
      </c>
      <c r="W141" s="349">
        <f t="shared" si="5"/>
        <v>10876.617409594282</v>
      </c>
      <c r="X141" s="349">
        <f>IF(F141="","",'הזנה לתנאי סף'!Z141)</f>
        <v>130000</v>
      </c>
      <c r="Y141" s="351" t="s">
        <v>3740</v>
      </c>
      <c r="Z141" s="352" t="str">
        <f>IFERROR(VLOOKUP(G141*1,#REF!,3,0),"")</f>
        <v/>
      </c>
      <c r="AA141" s="349" t="str">
        <f>IF(OR($F141="",Z141=""),"",IFERROR(IF(Z141&gt;V141,MIN(Z141,T141)-V141,0),'תחום תמיכה ג'!$Q$2))</f>
        <v/>
      </c>
      <c r="AB141" s="353"/>
      <c r="AC141" s="260" t="str">
        <f t="shared" si="7"/>
        <v/>
      </c>
      <c r="AD141" s="354"/>
      <c r="AE141" s="180"/>
      <c r="AF141" s="355" t="str">
        <f>IF($C141="","",IFERROR(VLOOKUP($C141,גיליון1!$A:$E,2,0),"לא הגיש בקשה שוטפת"))</f>
        <v>תמיכה שוטפת</v>
      </c>
      <c r="AG141" s="355" t="str">
        <f>IF($C141="","",IFERROR(VLOOKUP($C141,גיליון1!$A:$E,3,0),"לא הגיש בקשה שוטפת"))</f>
        <v>חויב</v>
      </c>
      <c r="AH141" s="355" t="str">
        <f>IF($C141="","",IFERROR(VLOOKUP($C141,גיליון1!$A:$E,4,0),"לא הגיש בקשה שוטפת"))</f>
        <v>19-42-02-18</v>
      </c>
      <c r="AI141" s="355" t="str">
        <f>IF($C141="","",IFERROR(VLOOKUP($C141,גיליון1!$A:$E,5,0),"לא הגיש בקשה שוטפת"))</f>
        <v>מוזיאונים ואמנות פלס</v>
      </c>
      <c r="AJ141" s="355">
        <f t="shared" si="6"/>
        <v>0</v>
      </c>
      <c r="AK141" s="15"/>
      <c r="AL141" s="15" t="s">
        <v>151</v>
      </c>
    </row>
    <row r="142" spans="1:38" ht="285.75" x14ac:dyDescent="0.25">
      <c r="A142" s="346">
        <f>'הזנה לתנאי סף'!B142</f>
        <v>112</v>
      </c>
      <c r="B142" s="347">
        <f>IF($F142="","",'הזנה לתנאי סף'!C142)</f>
        <v>1001346660</v>
      </c>
      <c r="C142" s="347">
        <f>IF($F142="","",'הזנה לתנאי סף'!D142)</f>
        <v>1001262391</v>
      </c>
      <c r="D142" s="347">
        <f>IF($F142="","",'הזנה לתנאי סף'!E142)</f>
        <v>40000448</v>
      </c>
      <c r="E142" s="348">
        <f>IF($F142="","",'הזנה לתנאי סף'!F142)</f>
        <v>20000238</v>
      </c>
      <c r="F142" s="348" t="str">
        <f>IF('הזנה לתנאי סף'!BL142=1,'הזנה לתנאי סף'!G142,"")</f>
        <v>עכו</v>
      </c>
      <c r="G142" s="348" t="str">
        <f>IF($F142="","",'הזנה לתנאי סף'!H142)</f>
        <v>המרכז לתיאטרון של עכו</v>
      </c>
      <c r="H142" s="348" t="str">
        <f>IF($F142="","",'הזנה לתנאי סף'!I142)</f>
        <v>תיאטרון</v>
      </c>
      <c r="I142" s="349">
        <f>IF($F142="","",'הזנה לתנאי סף'!R142)</f>
        <v>2122449</v>
      </c>
      <c r="J142" s="349">
        <f>IF($F142="","",'תחום תמיכה א'!P142)</f>
        <v>2706500</v>
      </c>
      <c r="K142" s="177">
        <f>IF($F142="","",'הזנה לתנאי סף'!N142)</f>
        <v>0</v>
      </c>
      <c r="L142" s="177">
        <f>IF($F142="","",'הזנה לתנאי סף'!O142)</f>
        <v>1</v>
      </c>
      <c r="M142" s="177">
        <f>IF($F142="","",'הזנה לתנאי סף'!Q142)</f>
        <v>1</v>
      </c>
      <c r="N142" s="349">
        <f>IF($F142="","",'תחום תמיכה א'!AE142)</f>
        <v>43738.470677523328</v>
      </c>
      <c r="O142" s="178"/>
      <c r="P142" s="349">
        <f>IF($F142="","",'תחום תמיכה ב'!AC142)</f>
        <v>31615.920184698334</v>
      </c>
      <c r="Q142" s="349">
        <f>IF($F142="","",IF('תחום תמיכה ג'!O142="",0,'תחום תמיכה ג'!O142))</f>
        <v>0</v>
      </c>
      <c r="R142" s="349">
        <f t="shared" si="4"/>
        <v>948.00501857775816</v>
      </c>
      <c r="S142" s="349">
        <f>IF($F142="","",'תחום תמיכה ב'!AE142)</f>
        <v>32563.925203276092</v>
      </c>
      <c r="T142" s="349">
        <f>IF($F142="","",IF(Q142='תחום תמיכה ג'!$Q$2,'תחום תמיכה ג'!$Q$2,IFERROR(SUMIF(N142:R142,"&gt;0"),'תחום תמיכה ג'!$Q$2)))</f>
        <v>76302.39588079942</v>
      </c>
      <c r="U142" s="349">
        <f>IF($F142="","",'הזנה לתנאי סף'!Y142)</f>
        <v>3000000</v>
      </c>
      <c r="V142" s="350">
        <f>IF(F142="","",'הגבלה לסכום מבוקש '!AA142)</f>
        <v>81737.033149351511</v>
      </c>
      <c r="W142" s="349">
        <f t="shared" si="5"/>
        <v>20434.258287337878</v>
      </c>
      <c r="X142" s="349">
        <f>IF(F142="","",'הזנה לתנאי סף'!Z142)</f>
        <v>3000000</v>
      </c>
      <c r="Y142" s="351" t="s">
        <v>3740</v>
      </c>
      <c r="Z142" s="352" t="str">
        <f>IFERROR(VLOOKUP(G142*1,#REF!,3,0),"")</f>
        <v/>
      </c>
      <c r="AA142" s="349" t="str">
        <f>IF(OR($F142="",Z142=""),"",IFERROR(IF(Z142&gt;V142,MIN(Z142,T142)-V142,0),'תחום תמיכה ג'!$Q$2))</f>
        <v/>
      </c>
      <c r="AB142" s="353"/>
      <c r="AC142" s="260" t="str">
        <f t="shared" si="7"/>
        <v/>
      </c>
      <c r="AD142" s="354"/>
      <c r="AE142" s="180"/>
      <c r="AF142" s="355" t="str">
        <f>IF($C142="","",IFERROR(VLOOKUP($C142,גיליון1!$A:$E,2,0),"לא הגיש בקשה שוטפת"))</f>
        <v>פעילות שוטפת</v>
      </c>
      <c r="AG142" s="355" t="str">
        <f>IF($C142="","",IFERROR(VLOOKUP($C142,גיליון1!$A:$E,3,0),"לא הגיש בקשה שוטפת"))</f>
        <v>חויב</v>
      </c>
      <c r="AH142" s="355" t="str">
        <f>IF($C142="","",IFERROR(VLOOKUP($C142,גיליון1!$A:$E,4,0),"לא הגיש בקשה שוטפת"))</f>
        <v>19-42-02-07</v>
      </c>
      <c r="AI142" s="355" t="str">
        <f>IF($C142="","",IFERROR(VLOOKUP($C142,גיליון1!$A:$E,5,0),"לא הגיש בקשה שוטפת"))</f>
        <v>תיאטרון</v>
      </c>
      <c r="AJ142" s="355">
        <f t="shared" si="6"/>
        <v>0</v>
      </c>
      <c r="AK142" s="15"/>
      <c r="AL142" s="15" t="s">
        <v>152</v>
      </c>
    </row>
    <row r="143" spans="1:38" ht="285.75" x14ac:dyDescent="0.25">
      <c r="A143" s="346">
        <f>'הזנה לתנאי סף'!B143</f>
        <v>113</v>
      </c>
      <c r="B143" s="347">
        <f>IF($F143="","",'הזנה לתנאי סף'!C143)</f>
        <v>1001347313</v>
      </c>
      <c r="C143" s="347">
        <f>IF($F143="","",'הזנה לתנאי סף'!D143)</f>
        <v>1001270594</v>
      </c>
      <c r="D143" s="347">
        <f>IF($F143="","",'הזנה לתנאי סף'!E143)</f>
        <v>40002883</v>
      </c>
      <c r="E143" s="348">
        <f>IF($F143="","",'הזנה לתנאי סף'!F143)</f>
        <v>20000254</v>
      </c>
      <c r="F143" s="348" t="str">
        <f>IF('הזנה לתנאי סף'!BL143=1,'הזנה לתנאי סף'!G143,"")</f>
        <v>באר שבע</v>
      </c>
      <c r="G143" s="348" t="str">
        <f>IF($F143="","",'הזנה לתנאי סף'!H143)</f>
        <v>בת-דור באר-שבע - מרכז עירוני לאמנות</v>
      </c>
      <c r="H143" s="348" t="str">
        <f>IF($F143="","",'הזנה לתנאי סף'!I143)</f>
        <v>מחול</v>
      </c>
      <c r="I143" s="349">
        <f>IF($F143="","",'הזנה לתנאי סף'!R143)</f>
        <v>5150333</v>
      </c>
      <c r="J143" s="349">
        <f>IF($F143="","",'תחום תמיכה א'!P143)</f>
        <v>4995299</v>
      </c>
      <c r="K143" s="177">
        <f>IF($F143="","",'הזנה לתנאי סף'!N143)</f>
        <v>1</v>
      </c>
      <c r="L143" s="177">
        <f>IF($F143="","",'הזנה לתנאי סף'!O143)</f>
        <v>1</v>
      </c>
      <c r="M143" s="177">
        <f>IF($F143="","",'הזנה לתנאי סף'!Q143)</f>
        <v>1</v>
      </c>
      <c r="N143" s="349">
        <f>IF($F143="","",'תחום תמיכה א'!AE143)</f>
        <v>82730.484672786508</v>
      </c>
      <c r="O143" s="178"/>
      <c r="P143" s="349">
        <f>IF($F143="","",'תחום תמיכה ב'!AC143)</f>
        <v>80575.110193221262</v>
      </c>
      <c r="Q143" s="349">
        <f>IF($F143="","",IF('תחום תמיכה ג'!O143="",0,'תחום תמיכה ג'!O143))</f>
        <v>1016.522166392858</v>
      </c>
      <c r="R143" s="349">
        <f t="shared" si="4"/>
        <v>2416.0488889581466</v>
      </c>
      <c r="S143" s="349">
        <f>IF($F143="","",'תחום תמיכה ב'!AE143)</f>
        <v>82991.159082179409</v>
      </c>
      <c r="T143" s="349">
        <f>IF($F143="","",IF(Q143='תחום תמיכה ג'!$Q$2,'תחום תמיכה ג'!$Q$2,IFERROR(SUMIF(N143:R143,"&gt;0"),'תחום תמיכה ג'!$Q$2)))</f>
        <v>166738.16592135877</v>
      </c>
      <c r="U143" s="349">
        <f>IF($F143="","",'הזנה לתנאי סף'!Y143)</f>
        <v>1300000</v>
      </c>
      <c r="V143" s="350">
        <f>IF(F143="","",'הגבלה לסכום מבוקש '!AA143)</f>
        <v>180576.04897582406</v>
      </c>
      <c r="W143" s="349">
        <f t="shared" si="5"/>
        <v>45144.012243956015</v>
      </c>
      <c r="X143" s="349">
        <f>IF(F143="","",'הזנה לתנאי סף'!Z143)</f>
        <v>50000</v>
      </c>
      <c r="Y143" s="351" t="s">
        <v>3740</v>
      </c>
      <c r="Z143" s="352" t="str">
        <f>IFERROR(VLOOKUP(G143*1,#REF!,3,0),"")</f>
        <v/>
      </c>
      <c r="AA143" s="349" t="str">
        <f>IF(OR($F143="",Z143=""),"",IFERROR(IF(Z143&gt;V143,MIN(Z143,T143)-V143,0),'תחום תמיכה ג'!$Q$2))</f>
        <v/>
      </c>
      <c r="AB143" s="353"/>
      <c r="AC143" s="260" t="str">
        <f t="shared" si="7"/>
        <v/>
      </c>
      <c r="AD143" s="354"/>
      <c r="AE143" s="180"/>
      <c r="AF143" s="355" t="str">
        <f>IF($C143="","",IFERROR(VLOOKUP($C143,גיליון1!$A:$E,2,0),"לא הגיש בקשה שוטפת"))</f>
        <v>תמיכה שוטפת להקת המחול קמע</v>
      </c>
      <c r="AG143" s="355" t="str">
        <f>IF($C143="","",IFERROR(VLOOKUP($C143,גיליון1!$A:$E,3,0),"לא הגיש בקשה שוטפת"))</f>
        <v>חויב</v>
      </c>
      <c r="AH143" s="355" t="str">
        <f>IF($C143="","",IFERROR(VLOOKUP($C143,גיליון1!$A:$E,4,0),"לא הגיש בקשה שוטפת"))</f>
        <v>19-42-02-20</v>
      </c>
      <c r="AI143" s="355" t="str">
        <f>IF($C143="","",IFERROR(VLOOKUP($C143,גיליון1!$A:$E,5,0),"לא הגיש בקשה שוטפת"))</f>
        <v>מחול וארגוני גג</v>
      </c>
      <c r="AJ143" s="355">
        <f t="shared" si="6"/>
        <v>0</v>
      </c>
      <c r="AK143" s="15"/>
      <c r="AL143" s="15" t="s">
        <v>154</v>
      </c>
    </row>
    <row r="144" spans="1:38" ht="285.75" x14ac:dyDescent="0.25">
      <c r="A144" s="346">
        <f>'הזנה לתנאי סף'!B144</f>
        <v>114</v>
      </c>
      <c r="B144" s="347">
        <f>IF($F144="","",'הזנה לתנאי סף'!C144)</f>
        <v>1001346798</v>
      </c>
      <c r="C144" s="347">
        <f>IF($F144="","",'הזנה לתנאי סף'!D144)</f>
        <v>1001266509</v>
      </c>
      <c r="D144" s="347">
        <f>IF($F144="","",'הזנה לתנאי סף'!E144)</f>
        <v>40000709</v>
      </c>
      <c r="E144" s="348">
        <f>IF($F144="","",'הזנה לתנאי סף'!F144)</f>
        <v>20000159</v>
      </c>
      <c r="F144" s="348" t="str">
        <f>IF('הזנה לתנאי סף'!BL144=1,'הזנה לתנאי סף'!G144,"")</f>
        <v>ירושלים</v>
      </c>
      <c r="G144" s="348" t="str">
        <f>IF($F144="","",'הזנה לתנאי סף'!H144)</f>
        <v>צוללת צהובה - המקום למוסיקה בירושלים</v>
      </c>
      <c r="H144" s="348" t="str">
        <f>IF($F144="","",'הזנה לתנאי סף'!I144)</f>
        <v>מרכזי מוסיקה</v>
      </c>
      <c r="I144" s="349">
        <f>IF($F144="","",'הזנה לתנאי סף'!R144)</f>
        <v>4976356</v>
      </c>
      <c r="J144" s="349">
        <f>IF($F144="","",'תחום תמיכה א'!P144)</f>
        <v>4789186</v>
      </c>
      <c r="K144" s="177">
        <f>IF($F144="","",'הזנה לתנאי סף'!N144)</f>
        <v>1</v>
      </c>
      <c r="L144" s="177">
        <f>IF($F144="","",'הזנה לתנאי סף'!O144)</f>
        <v>1</v>
      </c>
      <c r="M144" s="177">
        <f>IF($F144="","",'הזנה לתנאי סף'!Q144)</f>
        <v>1</v>
      </c>
      <c r="N144" s="349">
        <f>IF($F144="","",'תחום תמיכה א'!AE144)</f>
        <v>154737.2358085007</v>
      </c>
      <c r="O144" s="178"/>
      <c r="P144" s="349">
        <f>IF($F144="","",'תחום תמיכה ב'!AC144)</f>
        <v>296302.38018339867</v>
      </c>
      <c r="Q144" s="349">
        <f>IF($F144="","",IF('תחום תמיכה ג'!O144="",0,'תחום תמיכה ג'!O144))</f>
        <v>51221.312555585588</v>
      </c>
      <c r="R144" s="349">
        <f t="shared" si="4"/>
        <v>8884.6423507339787</v>
      </c>
      <c r="S144" s="349">
        <f>IF($F144="","",'תחום תמיכה ב'!AE144)</f>
        <v>305187.02253413264</v>
      </c>
      <c r="T144" s="349">
        <f>IF($F144="","",IF(Q144='תחום תמיכה ג'!$Q$2,'תחום תמיכה ג'!$Q$2,IFERROR(SUMIF(N144:R144,"&gt;0"),'תחום תמיכה ג'!$Q$2)))</f>
        <v>511145.57089821895</v>
      </c>
      <c r="U144" s="349">
        <f>IF($F144="","",'הזנה לתנאי סף'!Y144)</f>
        <v>500000</v>
      </c>
      <c r="V144" s="350">
        <f>IF(F144="","",'הגבלה לסכום מבוקש '!AA144)</f>
        <v>500000</v>
      </c>
      <c r="W144" s="349">
        <f t="shared" si="5"/>
        <v>125000</v>
      </c>
      <c r="X144" s="349">
        <f>IF(F144="","",'הזנה לתנאי סף'!Z144)</f>
        <v>500000</v>
      </c>
      <c r="Y144" s="351" t="s">
        <v>3740</v>
      </c>
      <c r="Z144" s="352" t="str">
        <f>IFERROR(VLOOKUP(G144*1,#REF!,3,0),"")</f>
        <v/>
      </c>
      <c r="AA144" s="349" t="str">
        <f>IF(OR($F144="",Z144=""),"",IFERROR(IF(Z144&gt;V144,MIN(Z144,T144)-V144,0),'תחום תמיכה ג'!$Q$2))</f>
        <v/>
      </c>
      <c r="AB144" s="353"/>
      <c r="AC144" s="260" t="str">
        <f t="shared" si="7"/>
        <v/>
      </c>
      <c r="AD144" s="354"/>
      <c r="AE144" s="180"/>
      <c r="AF144" s="355" t="str">
        <f>IF($C144="","",IFERROR(VLOOKUP($C144,גיליון1!$A:$E,2,0),"לא הגיש בקשה שוטפת"))</f>
        <v>תמיכה שוטפת מרכזי מוסיקה</v>
      </c>
      <c r="AG144" s="355" t="str">
        <f>IF($C144="","",IFERROR(VLOOKUP($C144,גיליון1!$A:$E,3,0),"לא הגיש בקשה שוטפת"))</f>
        <v>מועד</v>
      </c>
      <c r="AH144" s="355" t="str">
        <f>IF($C144="","",IFERROR(VLOOKUP($C144,גיליון1!$A:$E,4,0),"לא הגיש בקשה שוטפת"))</f>
        <v>19-42-02-16</v>
      </c>
      <c r="AI144" s="355" t="str">
        <f>IF($C144="","",IFERROR(VLOOKUP($C144,גיליון1!$A:$E,5,0),"לא הגיש בקשה שוטפת"))</f>
        <v>מוסיקה</v>
      </c>
      <c r="AJ144" s="355">
        <f t="shared" si="6"/>
        <v>1</v>
      </c>
      <c r="AK144" s="15"/>
      <c r="AL144" s="15" t="s">
        <v>159</v>
      </c>
    </row>
    <row r="145" spans="1:38" ht="285.75" x14ac:dyDescent="0.25">
      <c r="A145" s="346">
        <f>'הזנה לתנאי סף'!B145</f>
        <v>115</v>
      </c>
      <c r="B145" s="347">
        <f>IF($F145="","",'הזנה לתנאי סף'!C145)</f>
        <v>1001346657</v>
      </c>
      <c r="C145" s="347">
        <f>IF($F145="","",'הזנה לתנאי סף'!D145)</f>
        <v>1001288870</v>
      </c>
      <c r="D145" s="347">
        <f>IF($F145="","",'הזנה לתנאי סף'!E145)</f>
        <v>40221446</v>
      </c>
      <c r="E145" s="348">
        <f>IF($F145="","",'הזנה לתנאי סף'!F145)</f>
        <v>20000201</v>
      </c>
      <c r="F145" s="348" t="str">
        <f>IF('הזנה לתנאי סף'!BL145=1,'הזנה לתנאי סף'!G145,"")</f>
        <v>תל אביב -יפו</v>
      </c>
      <c r="G145" s="348" t="str">
        <f>IF($F145="","",'הזנה לתנאי סף'!H145)</f>
        <v>תאטרון מחול אבשלום פולק</v>
      </c>
      <c r="H145" s="348" t="str">
        <f>IF($F145="","",'הזנה לתנאי סף'!I145)</f>
        <v>תיאטרון</v>
      </c>
      <c r="I145" s="349">
        <f>IF($F145="","",'הזנה לתנאי סף'!R145)</f>
        <v>4066744</v>
      </c>
      <c r="J145" s="349">
        <f>IF($F145="","",'תחום תמיכה א'!P145)</f>
        <v>4152063</v>
      </c>
      <c r="K145" s="177">
        <f>IF($F145="","",'הזנה לתנאי סף'!N145)</f>
        <v>1</v>
      </c>
      <c r="L145" s="177">
        <f>IF($F145="","",'הזנה לתנאי סף'!O145)</f>
        <v>1</v>
      </c>
      <c r="M145" s="177">
        <f>IF($F145="","",'הזנה לתנאי סף'!Q145)</f>
        <v>1</v>
      </c>
      <c r="N145" s="349">
        <f>IF($F145="","",'תחום תמיכה א'!AE145)</f>
        <v>129592.4942518587</v>
      </c>
      <c r="O145" s="178"/>
      <c r="P145" s="349">
        <f>IF($F145="","",'תחום תמיכה ב'!AC145)</f>
        <v>225962.35972193457</v>
      </c>
      <c r="Q145" s="349">
        <f>IF($F145="","",IF('תחום תמיכה ג'!O145="",0,'תחום תמיכה ג'!O145))</f>
        <v>94755.681693742052</v>
      </c>
      <c r="R145" s="349">
        <f t="shared" si="4"/>
        <v>6775.4931621361757</v>
      </c>
      <c r="S145" s="349">
        <f>IF($F145="","",'תחום תמיכה ב'!AE145)</f>
        <v>232737.85288407074</v>
      </c>
      <c r="T145" s="349">
        <f>IF($F145="","",IF(Q145='תחום תמיכה ג'!$Q$2,'תחום תמיכה ג'!$Q$2,IFERROR(SUMIF(N145:R145,"&gt;0"),'תחום תמיכה ג'!$Q$2)))</f>
        <v>457086.0288296715</v>
      </c>
      <c r="U145" s="349">
        <f>IF($F145="","",'הזנה לתנאי סף'!Y145)</f>
        <v>2500000</v>
      </c>
      <c r="V145" s="350">
        <f>IF(F145="","",'הגבלה לסכום מבוקש '!AA145)</f>
        <v>495887.7770885746</v>
      </c>
      <c r="W145" s="349">
        <f t="shared" si="5"/>
        <v>123971.94427214365</v>
      </c>
      <c r="X145" s="349">
        <f>IF(F145="","",'הזנה לתנאי סף'!Z145)</f>
        <v>150000</v>
      </c>
      <c r="Y145" s="351" t="s">
        <v>3740</v>
      </c>
      <c r="Z145" s="352" t="str">
        <f>IFERROR(VLOOKUP(G145*1,#REF!,3,0),"")</f>
        <v/>
      </c>
      <c r="AA145" s="349" t="str">
        <f>IF(OR($F145="",Z145=""),"",IFERROR(IF(Z145&gt;V145,MIN(Z145,T145)-V145,0),'תחום תמיכה ג'!$Q$2))</f>
        <v/>
      </c>
      <c r="AB145" s="353"/>
      <c r="AC145" s="260" t="str">
        <f t="shared" si="7"/>
        <v/>
      </c>
      <c r="AD145" s="354"/>
      <c r="AE145" s="180"/>
      <c r="AF145" s="355" t="str">
        <f>IF($C145="","",IFERROR(VLOOKUP($C145,גיליון1!$A:$E,2,0),"לא הגיש בקשה שוטפת"))</f>
        <v>תמיכה שוטפת</v>
      </c>
      <c r="AG145" s="355" t="str">
        <f>IF($C145="","",IFERROR(VLOOKUP($C145,גיליון1!$A:$E,3,0),"לא הגיש בקשה שוטפת"))</f>
        <v>חויב</v>
      </c>
      <c r="AH145" s="355" t="str">
        <f>IF($C145="","",IFERROR(VLOOKUP($C145,גיליון1!$A:$E,4,0),"לא הגיש בקשה שוטפת"))</f>
        <v>19-42-02-20</v>
      </c>
      <c r="AI145" s="355" t="str">
        <f>IF($C145="","",IFERROR(VLOOKUP($C145,גיליון1!$A:$E,5,0),"לא הגיש בקשה שוטפת"))</f>
        <v>מחול וארגוני גג</v>
      </c>
      <c r="AJ145" s="355">
        <f t="shared" si="6"/>
        <v>0</v>
      </c>
      <c r="AK145" s="15"/>
      <c r="AL145" s="15" t="s">
        <v>242</v>
      </c>
    </row>
    <row r="146" spans="1:38" ht="285.75" x14ac:dyDescent="0.25">
      <c r="A146" s="346">
        <f>'הזנה לתנאי סף'!B146</f>
        <v>116</v>
      </c>
      <c r="B146" s="347">
        <f>IF($F146="","",'הזנה לתנאי סף'!C146)</f>
        <v>1001350382</v>
      </c>
      <c r="C146" s="347">
        <f>IF($F146="","",'הזנה לתנאי סף'!D146)</f>
        <v>1001266978</v>
      </c>
      <c r="D146" s="347">
        <f>IF($F146="","",'הזנה לתנאי סף'!E146)</f>
        <v>40000422</v>
      </c>
      <c r="E146" s="348">
        <f>IF($F146="","",'הזנה לתנאי סף'!F146)</f>
        <v>20000201</v>
      </c>
      <c r="F146" s="348" t="str">
        <f>IF('הזנה לתנאי סף'!BL146=1,'הזנה לתנאי סף'!G146,"")</f>
        <v>תל אביב -יפו</v>
      </c>
      <c r="G146" s="348" t="str">
        <f>IF($F146="","",'הזנה לתנאי סף'!H146)</f>
        <v>מוזיאון נחום גוטמן</v>
      </c>
      <c r="H146" s="348" t="str">
        <f>IF($F146="","",'הזנה לתנאי סף'!I146)</f>
        <v>מוזיאונים</v>
      </c>
      <c r="I146" s="349">
        <f>IF($F146="","",'הזנה לתנאי סף'!R146)</f>
        <v>2421672</v>
      </c>
      <c r="J146" s="349">
        <f>IF($F146="","",'תחום תמיכה א'!P146)</f>
        <v>2560426</v>
      </c>
      <c r="K146" s="177">
        <f>IF($F146="","",'הזנה לתנאי סף'!N146)</f>
        <v>1</v>
      </c>
      <c r="L146" s="177">
        <f>IF($F146="","",'הזנה לתנאי סף'!O146)</f>
        <v>1</v>
      </c>
      <c r="M146" s="177">
        <f>IF($F146="","",'הזנה לתנאי סף'!Q146)</f>
        <v>1</v>
      </c>
      <c r="N146" s="349">
        <f>IF($F146="","",'תחום תמיכה א'!AE146)</f>
        <v>65869.631160283781</v>
      </c>
      <c r="O146" s="178"/>
      <c r="P146" s="349">
        <f>IF($F146="","",'תחום תמיכה ב'!AC146)</f>
        <v>91415.273867613854</v>
      </c>
      <c r="Q146" s="349">
        <f>IF($F146="","",IF('תחום תמיכה ג'!O146="",0,'תחום תמיכה ג'!O146))</f>
        <v>38334.334104163754</v>
      </c>
      <c r="R146" s="349">
        <f t="shared" si="4"/>
        <v>2741.0917631017219</v>
      </c>
      <c r="S146" s="349">
        <f>IF($F146="","",'תחום תמיכה ב'!AE146)</f>
        <v>94156.365630715576</v>
      </c>
      <c r="T146" s="349">
        <f>IF($F146="","",IF(Q146='תחום תמיכה ג'!$Q$2,'תחום תמיכה ג'!$Q$2,IFERROR(SUMIF(N146:R146,"&gt;0"),'תחום תמיכה ג'!$Q$2)))</f>
        <v>198360.33089516309</v>
      </c>
      <c r="U146" s="349">
        <f>IF($F146="","",'הזנה לתנאי סף'!Y146)</f>
        <v>200000</v>
      </c>
      <c r="V146" s="350">
        <f>IF(F146="","",'הגבלה לסכום מבוקש '!AA146)</f>
        <v>200000</v>
      </c>
      <c r="W146" s="349">
        <f t="shared" si="5"/>
        <v>50000</v>
      </c>
      <c r="X146" s="349">
        <f>IF(F146="","",'הזנה לתנאי סף'!Z146)</f>
        <v>200000</v>
      </c>
      <c r="Y146" s="351" t="s">
        <v>3740</v>
      </c>
      <c r="Z146" s="352" t="str">
        <f>IFERROR(VLOOKUP(G146*1,#REF!,3,0),"")</f>
        <v/>
      </c>
      <c r="AA146" s="349" t="str">
        <f>IF(OR($F146="",Z146=""),"",IFERROR(IF(Z146&gt;V146,MIN(Z146,T146)-V146,0),'תחום תמיכה ג'!$Q$2))</f>
        <v/>
      </c>
      <c r="AB146" s="353"/>
      <c r="AC146" s="260" t="str">
        <f t="shared" si="7"/>
        <v/>
      </c>
      <c r="AD146" s="354"/>
      <c r="AE146" s="180"/>
      <c r="AF146" s="355" t="str">
        <f>IF($C146="","",IFERROR(VLOOKUP($C146,גיליון1!$A:$E,2,0),"לא הגיש בקשה שוטפת"))</f>
        <v>תמיכה שוטפת</v>
      </c>
      <c r="AG146" s="355" t="str">
        <f>IF($C146="","",IFERROR(VLOOKUP($C146,גיליון1!$A:$E,3,0),"לא הגיש בקשה שוטפת"))</f>
        <v>חויב</v>
      </c>
      <c r="AH146" s="355" t="str">
        <f>IF($C146="","",IFERROR(VLOOKUP($C146,גיליון1!$A:$E,4,0),"לא הגיש בקשה שוטפת"))</f>
        <v>19-42-02-18</v>
      </c>
      <c r="AI146" s="355" t="str">
        <f>IF($C146="","",IFERROR(VLOOKUP($C146,גיליון1!$A:$E,5,0),"לא הגיש בקשה שוטפת"))</f>
        <v>מוזיאונים ואמנות פלס</v>
      </c>
      <c r="AJ146" s="355">
        <f t="shared" si="6"/>
        <v>0</v>
      </c>
      <c r="AK146" s="15"/>
      <c r="AL146" s="15" t="s">
        <v>165</v>
      </c>
    </row>
    <row r="147" spans="1:38" ht="285.75" x14ac:dyDescent="0.25">
      <c r="A147" s="346">
        <f>'הזנה לתנאי סף'!B147</f>
        <v>117</v>
      </c>
      <c r="B147" s="347">
        <f>IF($F147="","",'הזנה לתנאי סף'!C147)</f>
        <v>1001347845</v>
      </c>
      <c r="C147" s="347">
        <f>IF($F147="","",'הזנה לתנאי סף'!D147)</f>
        <v>1001268850</v>
      </c>
      <c r="D147" s="347">
        <f>IF($F147="","",'הזנה לתנאי סף'!E147)</f>
        <v>40216081</v>
      </c>
      <c r="E147" s="348">
        <f>IF($F147="","",'הזנה לתנאי סף'!F147)</f>
        <v>20000253</v>
      </c>
      <c r="F147" s="348" t="str">
        <f>IF('הזנה לתנאי סף'!BL147=1,'הזנה לתנאי סף'!G147,"")</f>
        <v>טמרה</v>
      </c>
      <c r="G147" s="348" t="str">
        <f>IF($F147="","",'הזנה לתנאי סף'!H147)</f>
        <v>אלאג'יאל טמרה (ע"ר)</v>
      </c>
      <c r="H147" s="348" t="str">
        <f>IF($F147="","",'הזנה לתנאי סף'!I147)</f>
        <v>תיאטרון</v>
      </c>
      <c r="I147" s="349">
        <f>IF($F147="","",'הזנה לתנאי סף'!R147)</f>
        <v>1724397</v>
      </c>
      <c r="J147" s="349">
        <f>IF($F147="","",'תחום תמיכה א'!P147)</f>
        <v>1734414</v>
      </c>
      <c r="K147" s="177">
        <f>IF($F147="","",'הזנה לתנאי סף'!N147)</f>
        <v>0</v>
      </c>
      <c r="L147" s="177">
        <f>IF($F147="","",'הזנה לתנאי סף'!O147)</f>
        <v>1</v>
      </c>
      <c r="M147" s="177">
        <f>IF($F147="","",'הזנה לתנאי סף'!Q147)</f>
        <v>1</v>
      </c>
      <c r="N147" s="349">
        <f>IF($F147="","",'תחום תמיכה א'!AE147)</f>
        <v>38877.200939917057</v>
      </c>
      <c r="O147" s="178"/>
      <c r="P147" s="349">
        <f>IF($F147="","",'תחום תמיכה ב'!AC147)</f>
        <v>49417.243918343869</v>
      </c>
      <c r="Q147" s="349">
        <f>IF($F147="","",IF('תחום תמיכה ג'!O147="",0,'תחום תמיכה ג'!O147))</f>
        <v>0</v>
      </c>
      <c r="R147" s="349">
        <f t="shared" si="4"/>
        <v>1481.778640798344</v>
      </c>
      <c r="S147" s="349">
        <f>IF($F147="","",'תחום תמיכה ב'!AE147)</f>
        <v>50899.022559142213</v>
      </c>
      <c r="T147" s="349">
        <f>IF($F147="","",IF(Q147='תחום תמיכה ג'!$Q$2,'תחום תמיכה ג'!$Q$2,IFERROR(SUMIF(N147:R147,"&gt;0"),'תחום תמיכה ג'!$Q$2)))</f>
        <v>89776.22349905927</v>
      </c>
      <c r="U147" s="349">
        <f>IF($F147="","",'הזנה לתנאי סף'!Y147)</f>
        <v>1200000</v>
      </c>
      <c r="V147" s="350">
        <f>IF(F147="","",'הגבלה לסכום מבוקש '!AA147)</f>
        <v>98257.403071327135</v>
      </c>
      <c r="W147" s="349">
        <f t="shared" si="5"/>
        <v>24564.350767831784</v>
      </c>
      <c r="X147" s="349">
        <f>IF(F147="","",'הזנה לתנאי סף'!Z147)</f>
        <v>600000</v>
      </c>
      <c r="Y147" s="351" t="s">
        <v>3740</v>
      </c>
      <c r="Z147" s="352" t="str">
        <f>IFERROR(VLOOKUP(G147*1,#REF!,3,0),"")</f>
        <v/>
      </c>
      <c r="AA147" s="349" t="str">
        <f>IF(OR($F147="",Z147=""),"",IFERROR(IF(Z147&gt;V147,MIN(Z147,T147)-V147,0),'תחום תמיכה ג'!$Q$2))</f>
        <v/>
      </c>
      <c r="AB147" s="353"/>
      <c r="AC147" s="260" t="str">
        <f t="shared" si="7"/>
        <v/>
      </c>
      <c r="AD147" s="354"/>
      <c r="AE147" s="180"/>
      <c r="AF147" s="355" t="str">
        <f>IF($C147="","",IFERROR(VLOOKUP($C147,גיליון1!$A:$E,2,0),"לא הגיש בקשה שוטפת"))</f>
        <v>שוטף אלאג'יאל טמרה</v>
      </c>
      <c r="AG147" s="355" t="str">
        <f>IF($C147="","",IFERROR(VLOOKUP($C147,גיליון1!$A:$E,3,0),"לא הגיש בקשה שוטפת"))</f>
        <v>מועד</v>
      </c>
      <c r="AH147" s="355" t="str">
        <f>IF($C147="","",IFERROR(VLOOKUP($C147,גיליון1!$A:$E,4,0),"לא הגיש בקשה שוטפת"))</f>
        <v>19-42-02-33</v>
      </c>
      <c r="AI147" s="355" t="str">
        <f>IF($C147="","",IFERROR(VLOOKUP($C147,גיליון1!$A:$E,5,0),"לא הגיש בקשה שוטפת"))</f>
        <v>תרבות ערבית ודרוזית</v>
      </c>
      <c r="AJ147" s="355">
        <f t="shared" si="6"/>
        <v>0</v>
      </c>
      <c r="AK147" s="15"/>
      <c r="AL147" s="15" t="s">
        <v>168</v>
      </c>
    </row>
    <row r="148" spans="1:38" ht="285.75" x14ac:dyDescent="0.25">
      <c r="A148" s="346">
        <f>'הזנה לתנאי סף'!B148</f>
        <v>118</v>
      </c>
      <c r="B148" s="347">
        <f>IF($F148="","",'הזנה לתנאי סף'!C148)</f>
        <v>1001350385</v>
      </c>
      <c r="C148" s="347">
        <f>IF($F148="","",'הזנה לתנאי סף'!D148)</f>
        <v>1001271278</v>
      </c>
      <c r="D148" s="347">
        <f>IF($F148="","",'הזנה לתנאי סף'!E148)</f>
        <v>40216101</v>
      </c>
      <c r="E148" s="348">
        <f>IF($F148="","",'הזנה לתנאי סף'!F148)</f>
        <v>20000186</v>
      </c>
      <c r="F148" s="348" t="str">
        <f>IF('הזנה לתנאי סף'!BL148=1,'הזנה לתנאי סף'!G148,"")</f>
        <v>לב השרון</v>
      </c>
      <c r="G148" s="348" t="str">
        <f>IF($F148="","",'הזנה לתנאי סף'!H148)</f>
        <v>איסמבל קולות נשים</v>
      </c>
      <c r="H148" s="348" t="str">
        <f>IF($F148="","",'הזנה לתנאי סף'!I148)</f>
        <v>מקהלות</v>
      </c>
      <c r="I148" s="349">
        <f>IF($F148="","",'הזנה לתנאי סף'!R148)</f>
        <v>133597</v>
      </c>
      <c r="J148" s="349">
        <f>IF($F148="","",'תחום תמיכה א'!P148)</f>
        <v>137213</v>
      </c>
      <c r="K148" s="177">
        <f>IF($F148="","",'הזנה לתנאי סף'!N148)</f>
        <v>0</v>
      </c>
      <c r="L148" s="177">
        <f>IF($F148="","",'הזנה לתנאי סף'!O148)</f>
        <v>1</v>
      </c>
      <c r="M148" s="177">
        <f>IF($F148="","",'הזנה לתנאי סף'!Q148)</f>
        <v>1</v>
      </c>
      <c r="N148" s="349">
        <f>IF($F148="","",'תחום תמיכה א'!AE148)</f>
        <v>3289.8745082261671</v>
      </c>
      <c r="O148" s="178"/>
      <c r="P148" s="349">
        <f>IF($F148="","",'תחום תמיכה ב'!AC148)</f>
        <v>4380.4859230363209</v>
      </c>
      <c r="Q148" s="349">
        <f>IF($F148="","",IF('תחום תמיכה ג'!O148="",0,'תחום תמיכה ג'!O148))</f>
        <v>0</v>
      </c>
      <c r="R148" s="349">
        <f t="shared" si="4"/>
        <v>131.34909926985165</v>
      </c>
      <c r="S148" s="349">
        <f>IF($F148="","",'תחום תמיכה ב'!AE148)</f>
        <v>4511.8350223061725</v>
      </c>
      <c r="T148" s="349">
        <f>IF($F148="","",IF(Q148='תחום תמיכה ג'!$Q$2,'תחום תמיכה ג'!$Q$2,IFERROR(SUMIF(N148:R148,"&gt;0"),'תחום תמיכה ג'!$Q$2)))</f>
        <v>7801.7095305323401</v>
      </c>
      <c r="U148" s="349">
        <f>IF($F148="","",'הזנה לתנאי סף'!Y148)</f>
        <v>55000</v>
      </c>
      <c r="V148" s="350">
        <f>IF(F148="","",'הגבלה לסכום מבוקש '!AA148)</f>
        <v>8553.4343863215363</v>
      </c>
      <c r="W148" s="349">
        <f t="shared" si="5"/>
        <v>2138.3585965803841</v>
      </c>
      <c r="X148" s="349">
        <f>IF(F148="","",'הזנה לתנאי סף'!Z148)</f>
        <v>55000</v>
      </c>
      <c r="Y148" s="351" t="s">
        <v>3740</v>
      </c>
      <c r="Z148" s="352" t="str">
        <f>IFERROR(VLOOKUP(G148*1,#REF!,3,0),"")</f>
        <v/>
      </c>
      <c r="AA148" s="349" t="str">
        <f>IF(OR($F148="",Z148=""),"",IFERROR(IF(Z148&gt;V148,MIN(Z148,T148)-V148,0),'תחום תמיכה ג'!$Q$2))</f>
        <v/>
      </c>
      <c r="AB148" s="353"/>
      <c r="AC148" s="260" t="str">
        <f t="shared" si="7"/>
        <v/>
      </c>
      <c r="AD148" s="354"/>
      <c r="AE148" s="180"/>
      <c r="AF148" s="355" t="str">
        <f>IF($C148="","",IFERROR(VLOOKUP($C148,גיליון1!$A:$E,2,0),"לא הגיש בקשה שוטפת"))</f>
        <v>תמיכה שוטפת 2020</v>
      </c>
      <c r="AG148" s="355" t="str">
        <f>IF($C148="","",IFERROR(VLOOKUP($C148,גיליון1!$A:$E,3,0),"לא הגיש בקשה שוטפת"))</f>
        <v>מועד</v>
      </c>
      <c r="AH148" s="355" t="str">
        <f>IF($C148="","",IFERROR(VLOOKUP($C148,גיליון1!$A:$E,4,0),"לא הגיש בקשה שוטפת"))</f>
        <v>19-42-02-31</v>
      </c>
      <c r="AI148" s="355" t="str">
        <f>IF($C148="","",IFERROR(VLOOKUP($C148,גיליון1!$A:$E,5,0),"לא הגיש בקשה שוטפת"))</f>
        <v>תרבות בקהילה תמיכה</v>
      </c>
      <c r="AJ148" s="355">
        <f t="shared" si="6"/>
        <v>0</v>
      </c>
      <c r="AK148" s="15"/>
      <c r="AL148" s="15" t="s">
        <v>172</v>
      </c>
    </row>
    <row r="149" spans="1:38" ht="285.75" x14ac:dyDescent="0.25">
      <c r="A149" s="346">
        <f>'הזנה לתנאי סף'!B149</f>
        <v>119</v>
      </c>
      <c r="B149" s="347">
        <f>IF($F149="","",'הזנה לתנאי סף'!C149)</f>
        <v>1001349532</v>
      </c>
      <c r="C149" s="347">
        <f>IF($F149="","",'הזנה לתנאי סף'!D149)</f>
        <v>1001277350</v>
      </c>
      <c r="D149" s="347">
        <f>IF($F149="","",'הזנה לתנאי סף'!E149)</f>
        <v>40000449</v>
      </c>
      <c r="E149" s="348">
        <f>IF($F149="","",'הזנה לתנאי סף'!F149)</f>
        <v>20000201</v>
      </c>
      <c r="F149" s="348" t="str">
        <f>IF('הזנה לתנאי סף'!BL149=1,'הזנה לתנאי סף'!G149,"")</f>
        <v>תל אביב -יפו</v>
      </c>
      <c r="G149" s="348" t="str">
        <f>IF($F149="","",'הזנה לתנאי סף'!H149)</f>
        <v>תיאטרון מחול ענבל</v>
      </c>
      <c r="H149" s="348" t="str">
        <f>IF($F149="","",'הזנה לתנאי סף'!I149)</f>
        <v>מחול</v>
      </c>
      <c r="I149" s="349">
        <f>IF($F149="","",'הזנה לתנאי סף'!R149)</f>
        <v>1806689</v>
      </c>
      <c r="J149" s="349">
        <f>IF($F149="","",'תחום תמיכה א'!P149)</f>
        <v>1762102</v>
      </c>
      <c r="K149" s="177">
        <f>IF($F149="","",'הזנה לתנאי סף'!N149)</f>
        <v>1</v>
      </c>
      <c r="L149" s="177">
        <f>IF($F149="","",'הזנה לתנאי סף'!O149)</f>
        <v>1</v>
      </c>
      <c r="M149" s="177">
        <f>IF($F149="","",'הזנה לתנאי סף'!Q149)</f>
        <v>1</v>
      </c>
      <c r="N149" s="349">
        <f>IF($F149="","",'תחום תמיכה א'!AE149)</f>
        <v>32345.8941374141</v>
      </c>
      <c r="O149" s="178"/>
      <c r="P149" s="349">
        <f>IF($F149="","",'תחום תמיכה ב'!AC149)</f>
        <v>34722.98655467404</v>
      </c>
      <c r="Q149" s="349">
        <f>IF($F149="","",IF('תחום תמיכה ג'!O149="",0,'תחום תמיכה ג'!O149))</f>
        <v>14560.83334179924</v>
      </c>
      <c r="R149" s="349">
        <f t="shared" si="4"/>
        <v>1041.1705660166335</v>
      </c>
      <c r="S149" s="349">
        <f>IF($F149="","",'תחום תמיכה ב'!AE149)</f>
        <v>35764.157120690674</v>
      </c>
      <c r="T149" s="349">
        <f>IF($F149="","",IF(Q149='תחום תמיכה ג'!$Q$2,'תחום תמיכה ג'!$Q$2,IFERROR(SUMIF(N149:R149,"&gt;0"),'תחום תמיכה ג'!$Q$2)))</f>
        <v>82670.884599904006</v>
      </c>
      <c r="U149" s="349">
        <f>IF($F149="","",'הזנה לתנאי סף'!Y149)</f>
        <v>200000</v>
      </c>
      <c r="V149" s="350">
        <f>IF(F149="","",'הגבלה לסכום מבוקש '!AA149)</f>
        <v>88639.098286096618</v>
      </c>
      <c r="W149" s="349">
        <f t="shared" si="5"/>
        <v>22159.774571524154</v>
      </c>
      <c r="X149" s="349">
        <f>IF(F149="","",'הזנה לתנאי סף'!Z149)</f>
        <v>100000</v>
      </c>
      <c r="Y149" s="351" t="s">
        <v>3740</v>
      </c>
      <c r="Z149" s="352" t="str">
        <f>IFERROR(VLOOKUP(G149*1,#REF!,3,0),"")</f>
        <v/>
      </c>
      <c r="AA149" s="349" t="str">
        <f>IF(OR($F149="",Z149=""),"",IFERROR(IF(Z149&gt;V149,MIN(Z149,T149)-V149,0),'תחום תמיכה ג'!$Q$2))</f>
        <v/>
      </c>
      <c r="AB149" s="353"/>
      <c r="AC149" s="260" t="str">
        <f t="shared" si="7"/>
        <v/>
      </c>
      <c r="AD149" s="354"/>
      <c r="AE149" s="180"/>
      <c r="AF149" s="355" t="str">
        <f>IF($C149="","",IFERROR(VLOOKUP($C149,גיליון1!$A:$E,2,0),"לא הגיש בקשה שוטפת"))</f>
        <v>פעילות שוטפת של מרכז האתני הרב תחומי</v>
      </c>
      <c r="AG149" s="355" t="str">
        <f>IF($C149="","",IFERROR(VLOOKUP($C149,גיליון1!$A:$E,3,0),"לא הגיש בקשה שוטפת"))</f>
        <v>מועד</v>
      </c>
      <c r="AH149" s="355" t="str">
        <f>IF($C149="","",IFERROR(VLOOKUP($C149,גיליון1!$A:$E,4,0),"לא הגיש בקשה שוטפת"))</f>
        <v>19-42-02-14</v>
      </c>
      <c r="AI149" s="355" t="str">
        <f>IF($C149="","",IFERROR(VLOOKUP($C149,גיליון1!$A:$E,5,0),"לא הגיש בקשה שוטפת"))</f>
        <v>מחקר מורשת ואיגודים</v>
      </c>
      <c r="AJ149" s="355">
        <f t="shared" si="6"/>
        <v>0</v>
      </c>
      <c r="AK149" s="15"/>
      <c r="AL149" s="15" t="s">
        <v>243</v>
      </c>
    </row>
    <row r="150" spans="1:38" ht="285.75" x14ac:dyDescent="0.25">
      <c r="A150" s="346">
        <f>'הזנה לתנאי סף'!B150</f>
        <v>120</v>
      </c>
      <c r="B150" s="347">
        <f>IF($F150="","",'הזנה לתנאי סף'!C150)</f>
        <v>1001350998</v>
      </c>
      <c r="C150" s="347">
        <f>IF($F150="","",'הזנה לתנאי סף'!D150)</f>
        <v>1001270595</v>
      </c>
      <c r="D150" s="347">
        <f>IF($F150="","",'הזנה לתנאי סף'!E150)</f>
        <v>40002883</v>
      </c>
      <c r="E150" s="348">
        <f>IF($F150="","",'הזנה לתנאי סף'!F150)</f>
        <v>20000254</v>
      </c>
      <c r="F150" s="348" t="str">
        <f>IF('הזנה לתנאי סף'!BL150=1,'הזנה לתנאי סף'!G150,"")</f>
        <v>באר שבע</v>
      </c>
      <c r="G150" s="348" t="str">
        <f>IF($F150="","",'הזנה לתנאי סף'!H150)</f>
        <v>בת-דור באר-שבע - מרכז עירוני לאמנות</v>
      </c>
      <c r="H150" s="348" t="str">
        <f>IF($F150="","",'הזנה לתנאי סף'!I150)</f>
        <v>מרכזי מחול</v>
      </c>
      <c r="I150" s="349">
        <f>IF($F150="","",'הזנה לתנאי סף'!R150)</f>
        <v>2507124</v>
      </c>
      <c r="J150" s="349">
        <f>IF($F150="","",'תחום תמיכה א'!P150)</f>
        <v>2670041</v>
      </c>
      <c r="K150" s="177">
        <f>IF($F150="","",'הזנה לתנאי סף'!N150)</f>
        <v>1</v>
      </c>
      <c r="L150" s="177">
        <f>IF($F150="","",'הזנה לתנאי סף'!O150)</f>
        <v>1</v>
      </c>
      <c r="M150" s="177">
        <f>IF($F150="","",'הזנה לתנאי סף'!Q150)</f>
        <v>1</v>
      </c>
      <c r="N150" s="349">
        <f>IF($F150="","",'תחום תמיכה א'!AE150)</f>
        <v>104385.02921062359</v>
      </c>
      <c r="O150" s="178"/>
      <c r="P150" s="349">
        <f>IF($F150="","",'תחום תמיכה ב'!AC150)</f>
        <v>187038.51749709342</v>
      </c>
      <c r="Q150" s="349">
        <f>IF($F150="","",IF('תחום תמיכה ג'!O150="",0,'תחום תמיכה ג'!O150))</f>
        <v>2359.6467761461317</v>
      </c>
      <c r="R150" s="349">
        <f t="shared" si="4"/>
        <v>5608.3597193671449</v>
      </c>
      <c r="S150" s="349">
        <f>IF($F150="","",'תחום תמיכה ב'!AE150)</f>
        <v>192646.87721646056</v>
      </c>
      <c r="T150" s="349">
        <f>IF($F150="","",IF(Q150='תחום תמיכה ג'!$Q$2,'תחום תמיכה ג'!$Q$2,IFERROR(SUMIF(N150:R150,"&gt;0"),'תחום תמיכה ג'!$Q$2)))</f>
        <v>299391.55320323026</v>
      </c>
      <c r="U150" s="349">
        <f>IF($F150="","",'הזנה לתנאי סף'!Y150)</f>
        <v>1300000</v>
      </c>
      <c r="V150" s="350">
        <f>IF(F150="","",'הגבלה לסכום מבוקש '!AA150)</f>
        <v>331473.43527618767</v>
      </c>
      <c r="W150" s="349">
        <f t="shared" si="5"/>
        <v>82868.358819046916</v>
      </c>
      <c r="X150" s="349">
        <f>IF(F150="","",'הזנה לתנאי סף'!Z150)</f>
        <v>50000</v>
      </c>
      <c r="Y150" s="351" t="s">
        <v>3740</v>
      </c>
      <c r="Z150" s="352" t="str">
        <f>IFERROR(VLOOKUP(G150*1,#REF!,3,0),"")</f>
        <v/>
      </c>
      <c r="AA150" s="349" t="str">
        <f>IF(OR($F150="",Z150=""),"",IFERROR(IF(Z150&gt;V150,MIN(Z150,T150)-V150,0),'תחום תמיכה ג'!$Q$2))</f>
        <v/>
      </c>
      <c r="AB150" s="353"/>
      <c r="AC150" s="260" t="str">
        <f t="shared" si="7"/>
        <v/>
      </c>
      <c r="AD150" s="354"/>
      <c r="AE150" s="180"/>
      <c r="AF150" s="355" t="str">
        <f>IF($C150="","",IFERROR(VLOOKUP($C150,גיליון1!$A:$E,2,0),"לא הגיש בקשה שוטפת"))</f>
        <v>בקשת תמיכה בת-דור באר שבע</v>
      </c>
      <c r="AG150" s="355" t="str">
        <f>IF($C150="","",IFERROR(VLOOKUP($C150,גיליון1!$A:$E,3,0),"לא הגיש בקשה שוטפת"))</f>
        <v>חויב</v>
      </c>
      <c r="AH150" s="355" t="str">
        <f>IF($C150="","",IFERROR(VLOOKUP($C150,גיליון1!$A:$E,4,0),"לא הגיש בקשה שוטפת"))</f>
        <v>19-42-02-20</v>
      </c>
      <c r="AI150" s="355" t="str">
        <f>IF($C150="","",IFERROR(VLOOKUP($C150,גיליון1!$A:$E,5,0),"לא הגיש בקשה שוטפת"))</f>
        <v>מחול וארגוני גג</v>
      </c>
      <c r="AJ150" s="355">
        <f t="shared" si="6"/>
        <v>0</v>
      </c>
      <c r="AK150" s="15"/>
      <c r="AL150" s="15" t="s">
        <v>220</v>
      </c>
    </row>
    <row r="151" spans="1:38" ht="285.75" x14ac:dyDescent="0.25">
      <c r="A151" s="346">
        <f>'הזנה לתנאי סף'!B151</f>
        <v>121</v>
      </c>
      <c r="B151" s="347">
        <f>IF($F151="","",'הזנה לתנאי סף'!C151)</f>
        <v>1001350131</v>
      </c>
      <c r="C151" s="347">
        <f>IF($F151="","",'הזנה לתנאי סף'!D151)</f>
        <v>1001270246</v>
      </c>
      <c r="D151" s="347">
        <f>IF($F151="","",'הזנה לתנאי סף'!E151)</f>
        <v>40269761</v>
      </c>
      <c r="E151" s="348">
        <f>IF($F151="","",'הזנה לתנאי סף'!F151)</f>
        <v>20000201</v>
      </c>
      <c r="F151" s="348" t="str">
        <f>IF('הזנה לתנאי סף'!BL151=1,'הזנה לתנאי סף'!G151,"")</f>
        <v>תל אביב -יפו</v>
      </c>
      <c r="G151" s="348" t="str">
        <f>IF($F151="","",'הזנה לתנאי סף'!H151)</f>
        <v>נא לגעת</v>
      </c>
      <c r="H151" s="348" t="str">
        <f>IF($F151="","",'הזנה לתנאי סף'!I151)</f>
        <v>תיאטרון</v>
      </c>
      <c r="I151" s="349">
        <f>IF($F151="","",'הזנה לתנאי סף'!R151)</f>
        <v>2586576</v>
      </c>
      <c r="J151" s="349">
        <f>IF($F151="","",'תחום תמיכה א'!P151)</f>
        <v>2586576</v>
      </c>
      <c r="K151" s="177">
        <f>IF($F151="","",'הזנה לתנאי סף'!N151)</f>
        <v>1</v>
      </c>
      <c r="L151" s="177">
        <f>IF($F151="","",'הזנה לתנאי סף'!O151)</f>
        <v>1</v>
      </c>
      <c r="M151" s="177">
        <f>IF($F151="","",'הזנה לתנאי סף'!Q151)</f>
        <v>1</v>
      </c>
      <c r="N151" s="349">
        <f>IF($F151="","",'תחום תמיכה א'!AE151)</f>
        <v>70538.745454608827</v>
      </c>
      <c r="O151" s="178"/>
      <c r="P151" s="349">
        <f>IF($F151="","",'תחום תמיכה ב'!AC151)</f>
        <v>63954.389821418554</v>
      </c>
      <c r="Q151" s="349">
        <f>IF($F151="","",IF('תחום תמיכה ג'!O151="",0,'תחום תמיכה ג'!O151))</f>
        <v>26818.810939544168</v>
      </c>
      <c r="R151" s="349">
        <f t="shared" si="4"/>
        <v>1917.6757202254885</v>
      </c>
      <c r="S151" s="349">
        <f>IF($F151="","",'תחום תמיכה ב'!AE151)</f>
        <v>65872.065541644042</v>
      </c>
      <c r="T151" s="349">
        <f>IF($F151="","",IF(Q151='תחום תמיכה ג'!$Q$2,'תחום תמיכה ג'!$Q$2,IFERROR(SUMIF(N151:R151,"&gt;0"),'תחום תמיכה ג'!$Q$2)))</f>
        <v>163229.62193579704</v>
      </c>
      <c r="U151" s="349">
        <f>IF($F151="","",'הזנה לתנאי סף'!Y151)</f>
        <v>400000</v>
      </c>
      <c r="V151" s="350">
        <f>IF(F151="","",'הגבלה לסכום מבוקש '!AA151)</f>
        <v>174227.14329925203</v>
      </c>
      <c r="W151" s="349">
        <f t="shared" si="5"/>
        <v>43556.785824813007</v>
      </c>
      <c r="X151" s="349">
        <f>IF(F151="","",'הזנה לתנאי סף'!Z151)</f>
        <v>400000</v>
      </c>
      <c r="Y151" s="351" t="s">
        <v>3740</v>
      </c>
      <c r="Z151" s="352" t="str">
        <f>IFERROR(VLOOKUP(G151*1,#REF!,3,0),"")</f>
        <v/>
      </c>
      <c r="AA151" s="349" t="str">
        <f>IF(OR($F151="",Z151=""),"",IFERROR(IF(Z151&gt;V151,MIN(Z151,T151)-V151,0),'תחום תמיכה ג'!$Q$2))</f>
        <v/>
      </c>
      <c r="AB151" s="353"/>
      <c r="AC151" s="260" t="str">
        <f t="shared" si="7"/>
        <v/>
      </c>
      <c r="AD151" s="354"/>
      <c r="AE151" s="180"/>
      <c r="AF151" s="355" t="str">
        <f>IF($C151="","",IFERROR(VLOOKUP($C151,גיליון1!$A:$E,2,0),"לא הגיש בקשה שוטפת"))</f>
        <v>נא לגעת תמיכה בתיאטרון נא לגעת 2020</v>
      </c>
      <c r="AG151" s="355" t="str">
        <f>IF($C151="","",IFERROR(VLOOKUP($C151,גיליון1!$A:$E,3,0),"לא הגיש בקשה שוטפת"))</f>
        <v>מועד</v>
      </c>
      <c r="AH151" s="355" t="str">
        <f>IF($C151="","",IFERROR(VLOOKUP($C151,גיליון1!$A:$E,4,0),"לא הגיש בקשה שוטפת"))</f>
        <v>19-42-02-31</v>
      </c>
      <c r="AI151" s="355" t="str">
        <f>IF($C151="","",IFERROR(VLOOKUP($C151,גיליון1!$A:$E,5,0),"לא הגיש בקשה שוטפת"))</f>
        <v>תרבות בקהילה תמיכה</v>
      </c>
      <c r="AJ151" s="355">
        <f t="shared" si="6"/>
        <v>0</v>
      </c>
      <c r="AK151" s="15"/>
      <c r="AL151" s="15" t="s">
        <v>85</v>
      </c>
    </row>
    <row r="152" spans="1:38" ht="285.75" x14ac:dyDescent="0.25">
      <c r="A152" s="346">
        <f>'הזנה לתנאי סף'!B152</f>
        <v>122</v>
      </c>
      <c r="B152" s="347">
        <f>IF($F152="","",'הזנה לתנאי סף'!C152)</f>
        <v>1001347266</v>
      </c>
      <c r="C152" s="347">
        <f>IF($F152="","",'הזנה לתנאי סף'!D152)</f>
        <v>1001266737</v>
      </c>
      <c r="D152" s="347">
        <f>IF($F152="","",'הזנה לתנאי סף'!E152)</f>
        <v>40299484</v>
      </c>
      <c r="E152" s="348">
        <f>IF($F152="","",'הזנה לתנאי סף'!F152)</f>
        <v>20000159</v>
      </c>
      <c r="F152" s="348" t="str">
        <f>IF('הזנה לתנאי סף'!BL152=1,'הזנה לתנאי סף'!G152,"")</f>
        <v>ירושלים</v>
      </c>
      <c r="G152" s="348" t="str">
        <f>IF($F152="","",'הזנה לתנאי סף'!H152)</f>
        <v>קרן אהבת קדומים תזמורת י-ם</v>
      </c>
      <c r="H152" s="348" t="str">
        <f>IF($F152="","",'הזנה לתנאי סף'!I152)</f>
        <v>מוסיקה-גופים כליים</v>
      </c>
      <c r="I152" s="349">
        <f>IF($F152="","",'הזנה לתנאי סף'!R152)</f>
        <v>10115818</v>
      </c>
      <c r="J152" s="349">
        <f>IF($F152="","",'תחום תמיכה א'!P152)</f>
        <v>11376568</v>
      </c>
      <c r="K152" s="177">
        <f>IF($F152="","",'הזנה לתנאי סף'!N152)</f>
        <v>1</v>
      </c>
      <c r="L152" s="177">
        <f>IF($F152="","",'הזנה לתנאי סף'!O152)</f>
        <v>1</v>
      </c>
      <c r="M152" s="177">
        <f>IF($F152="","",'הזנה לתנאי סף'!Q152)</f>
        <v>1</v>
      </c>
      <c r="N152" s="349">
        <f>IF($F152="","",'תחום תמיכה א'!AE152)</f>
        <v>207964.16748615482</v>
      </c>
      <c r="O152" s="178"/>
      <c r="P152" s="349">
        <f>IF($F152="","",'תחום תמיכה ב'!AC152)</f>
        <v>192802.62171277488</v>
      </c>
      <c r="Q152" s="349">
        <f>IF($F152="","",IF('תחום תמיכה ג'!O152="",0,'תחום תמיכה ג'!O152))</f>
        <v>33329.476942351233</v>
      </c>
      <c r="R152" s="349">
        <f t="shared" si="4"/>
        <v>5781.1966854319617</v>
      </c>
      <c r="S152" s="349">
        <f>IF($F152="","",'תחום תמיכה ב'!AE152)</f>
        <v>198583.81839820684</v>
      </c>
      <c r="T152" s="349">
        <f>IF($F152="","",IF(Q152='תחום תמיכה ג'!$Q$2,'תחום תמיכה ג'!$Q$2,IFERROR(SUMIF(N152:R152,"&gt;0"),'תחום תמיכה ג'!$Q$2)))</f>
        <v>439877.46282671287</v>
      </c>
      <c r="U152" s="349">
        <f>IF($F152="","",'הזנה לתנאי סף'!Y152)</f>
        <v>1200000</v>
      </c>
      <c r="V152" s="350">
        <f>IF(F152="","",'הגבלה לסכום מבוקש '!AA152)</f>
        <v>473007.80181174655</v>
      </c>
      <c r="W152" s="349">
        <f t="shared" si="5"/>
        <v>118251.95045293664</v>
      </c>
      <c r="X152" s="349">
        <f>IF(F152="","",'הזנה לתנאי סף'!Z152)</f>
        <v>100000</v>
      </c>
      <c r="Y152" s="351" t="s">
        <v>3740</v>
      </c>
      <c r="Z152" s="352" t="str">
        <f>IFERROR(VLOOKUP(G152*1,#REF!,3,0),"")</f>
        <v/>
      </c>
      <c r="AA152" s="349" t="str">
        <f>IF(OR($F152="",Z152=""),"",IFERROR(IF(Z152&gt;V152,MIN(Z152,T152)-V152,0),'תחום תמיכה ג'!$Q$2))</f>
        <v/>
      </c>
      <c r="AB152" s="353"/>
      <c r="AC152" s="260" t="str">
        <f t="shared" si="7"/>
        <v/>
      </c>
      <c r="AD152" s="354"/>
      <c r="AE152" s="180"/>
      <c r="AF152" s="355" t="str">
        <f>IF($C152="","",IFERROR(VLOOKUP($C152,גיליון1!$A:$E,2,0),"לא הגיש בקשה שוטפת"))</f>
        <v>תמיכה שוטפת בתזמורת ירושלים מזרח ומערב</v>
      </c>
      <c r="AG152" s="355" t="str">
        <f>IF($C152="","",IFERROR(VLOOKUP($C152,גיליון1!$A:$E,3,0),"לא הגיש בקשה שוטפת"))</f>
        <v>חויב</v>
      </c>
      <c r="AH152" s="355" t="str">
        <f>IF($C152="","",IFERROR(VLOOKUP($C152,גיליון1!$A:$E,4,0),"לא הגיש בקשה שוטפת"))</f>
        <v>19-42-02-16</v>
      </c>
      <c r="AI152" s="355" t="str">
        <f>IF($C152="","",IFERROR(VLOOKUP($C152,גיליון1!$A:$E,5,0),"לא הגיש בקשה שוטפת"))</f>
        <v>מוסיקה</v>
      </c>
      <c r="AJ152" s="355">
        <f t="shared" si="6"/>
        <v>0</v>
      </c>
      <c r="AK152" s="15"/>
      <c r="AL152" s="15" t="s">
        <v>98</v>
      </c>
    </row>
    <row r="153" spans="1:38" ht="285.75" x14ac:dyDescent="0.25">
      <c r="A153" s="346">
        <f>'הזנה לתנאי סף'!B153</f>
        <v>123</v>
      </c>
      <c r="B153" s="347">
        <f>IF($F153="","",'הזנה לתנאי סף'!C153)</f>
        <v>1001348246</v>
      </c>
      <c r="C153" s="347">
        <f>IF($F153="","",'הזנה לתנאי סף'!D153)</f>
        <v>1001266660</v>
      </c>
      <c r="D153" s="347">
        <f>IF($F153="","",'הזנה לתנאי סף'!E153)</f>
        <v>40327977</v>
      </c>
      <c r="E153" s="348">
        <f>IF($F153="","",'הזנה לתנאי סף'!F153)</f>
        <v>20000159</v>
      </c>
      <c r="F153" s="348" t="str">
        <f>IF('הזנה לתנאי סף'!BL153=1,'הזנה לתנאי סף'!G153,"")</f>
        <v>ירושלים</v>
      </c>
      <c r="G153" s="348" t="str">
        <f>IF($F153="","",'הזנה לתנאי סף'!H153)</f>
        <v>אביבים</v>
      </c>
      <c r="H153" s="348" t="str">
        <f>IF($F153="","",'הזנה לתנאי סף'!I153)</f>
        <v>תרבות חרדית</v>
      </c>
      <c r="I153" s="349">
        <f>IF($F153="","",'הזנה לתנאי סף'!R153)</f>
        <v>304105</v>
      </c>
      <c r="J153" s="349">
        <f>IF($F153="","",'תחום תמיכה א'!P153)</f>
        <v>304105</v>
      </c>
      <c r="K153" s="177">
        <f>IF($F153="","",'הזנה לתנאי סף'!N153)</f>
        <v>0</v>
      </c>
      <c r="L153" s="177">
        <f>IF($F153="","",'הזנה לתנאי סף'!O153)</f>
        <v>1</v>
      </c>
      <c r="M153" s="177">
        <f>IF($F153="","",'הזנה לתנאי סף'!Q153)</f>
        <v>1</v>
      </c>
      <c r="N153" s="349">
        <f>IF($F153="","",'תחום תמיכה א'!AE153)</f>
        <v>6784.138026559508</v>
      </c>
      <c r="O153" s="178"/>
      <c r="P153" s="349">
        <f>IF($F153="","",'תחום תמיכה ב'!AC153)</f>
        <v>8632.2344687858349</v>
      </c>
      <c r="Q153" s="349">
        <f>IF($F153="","",IF('תחום תמיכה ג'!O153="",0,'תחום תמיכה ג'!O153))</f>
        <v>0</v>
      </c>
      <c r="R153" s="349">
        <f t="shared" si="4"/>
        <v>258.83800155560675</v>
      </c>
      <c r="S153" s="349">
        <f>IF($F153="","",'תחום תמיכה ב'!AE153)</f>
        <v>8891.0724703414417</v>
      </c>
      <c r="T153" s="349">
        <f>IF($F153="","",IF(Q153='תחום תמיכה ג'!$Q$2,'תחום תמיכה ג'!$Q$2,IFERROR(SUMIF(N153:R153,"&gt;0"),'תחום תמיכה ג'!$Q$2)))</f>
        <v>15675.210496900949</v>
      </c>
      <c r="U153" s="349">
        <f>IF($F153="","",'הזנה לתנאי סף'!Y153)</f>
        <v>600000</v>
      </c>
      <c r="V153" s="350">
        <f>IF(F153="","",'הגבלה לסכום מבוקש '!AA153)</f>
        <v>17156.704978063379</v>
      </c>
      <c r="W153" s="349">
        <f t="shared" si="5"/>
        <v>4289.1762445158447</v>
      </c>
      <c r="X153" s="349">
        <f>IF(F153="","",'הזנה לתנאי סף'!Z153)</f>
        <v>60000</v>
      </c>
      <c r="Y153" s="351" t="s">
        <v>3740</v>
      </c>
      <c r="Z153" s="352" t="str">
        <f>IFERROR(VLOOKUP(G153*1,#REF!,3,0),"")</f>
        <v/>
      </c>
      <c r="AA153" s="349" t="str">
        <f>IF(OR($F153="",Z153=""),"",IFERROR(IF(Z153&gt;V153,MIN(Z153,T153)-V153,0),'תחום תמיכה ג'!$Q$2))</f>
        <v/>
      </c>
      <c r="AB153" s="353"/>
      <c r="AC153" s="260" t="str">
        <f t="shared" si="7"/>
        <v/>
      </c>
      <c r="AD153" s="354"/>
      <c r="AE153" s="180"/>
      <c r="AF153" s="355" t="str">
        <f>IF($C153="","",IFERROR(VLOOKUP($C153,גיליון1!$A:$E,2,0),"לא הגיש בקשה שוטפת"))</f>
        <v>תמיכה שוטפת בתזמורת הכליזמר 'אביבים'</v>
      </c>
      <c r="AG153" s="355" t="str">
        <f>IF($C153="","",IFERROR(VLOOKUP($C153,גיליון1!$A:$E,3,0),"לא הגיש בקשה שוטפת"))</f>
        <v>מועד</v>
      </c>
      <c r="AH153" s="355" t="str">
        <f>IF($C153="","",IFERROR(VLOOKUP($C153,גיליון1!$A:$E,4,0),"לא הגיש בקשה שוטפת"))</f>
        <v>19-42-02-65</v>
      </c>
      <c r="AI153" s="355" t="str">
        <f>IF($C153="","",IFERROR(VLOOKUP($C153,גיליון1!$A:$E,5,0),"לא הגיש בקשה שוטפת"))</f>
        <v>תרבות חרדית</v>
      </c>
      <c r="AJ153" s="355">
        <f t="shared" si="6"/>
        <v>0</v>
      </c>
      <c r="AK153" s="15"/>
      <c r="AL153" s="15" t="s">
        <v>219</v>
      </c>
    </row>
    <row r="154" spans="1:38" ht="285.75" x14ac:dyDescent="0.25">
      <c r="A154" s="346">
        <f>'הזנה לתנאי סף'!B154</f>
        <v>124</v>
      </c>
      <c r="B154" s="347">
        <f>IF($F154="","",'הזנה לתנאי סף'!C154)</f>
        <v>1001349552</v>
      </c>
      <c r="C154" s="347">
        <f>IF($F154="","",'הזנה לתנאי סף'!D154)</f>
        <v>1001290587</v>
      </c>
      <c r="D154" s="347">
        <f>IF($F154="","",'הזנה לתנאי סף'!E154)</f>
        <v>41053690</v>
      </c>
      <c r="E154" s="348">
        <f>IF($F154="","",'הזנה לתנאי סף'!F154)</f>
        <v>20000072</v>
      </c>
      <c r="F154" s="348" t="str">
        <f>IF('הזנה לתנאי סף'!BL154=1,'הזנה לתנאי סף'!G154,"")</f>
        <v>ראמה</v>
      </c>
      <c r="G154" s="348" t="str">
        <f>IF($F154="","",'הזנה לתנאי סף'!H154)</f>
        <v>סיראג'</v>
      </c>
      <c r="H154" s="348" t="str">
        <f>IF($F154="","",'הזנה לתנאי סף'!I154)</f>
        <v>תרבות ערבית</v>
      </c>
      <c r="I154" s="349">
        <f>IF($F154="","",'הזנה לתנאי סף'!R154)</f>
        <v>1243105</v>
      </c>
      <c r="J154" s="349">
        <f>IF($F154="","",'תחום תמיכה א'!P154)</f>
        <v>1254316</v>
      </c>
      <c r="K154" s="177">
        <f>IF($F154="","",'הזנה לתנאי סף'!N154)</f>
        <v>0</v>
      </c>
      <c r="L154" s="177">
        <f>IF($F154="","",'הזנה לתנאי סף'!O154)</f>
        <v>1</v>
      </c>
      <c r="M154" s="177">
        <f>IF($F154="","",'הזנה לתנאי סף'!Q154)</f>
        <v>1</v>
      </c>
      <c r="N154" s="349">
        <f>IF($F154="","",'תחום תמיכה א'!AE154)</f>
        <v>44540.119594806085</v>
      </c>
      <c r="O154" s="178"/>
      <c r="P154" s="349">
        <f>IF($F154="","",'תחום תמיכה ב'!AC154)</f>
        <v>89403.410230437687</v>
      </c>
      <c r="Q154" s="349">
        <f>IF($F154="","",IF('תחום תמיכה ג'!O154="",0,'תחום תמיכה ג'!O154))</f>
        <v>0</v>
      </c>
      <c r="R154" s="349">
        <f t="shared" si="4"/>
        <v>2680.7659268269927</v>
      </c>
      <c r="S154" s="349">
        <f>IF($F154="","",'תחום תמיכה ב'!AE154)</f>
        <v>92084.176157264679</v>
      </c>
      <c r="T154" s="349">
        <f>IF($F154="","",IF(Q154='תחום תמיכה ג'!$Q$2,'תחום תמיכה ג'!$Q$2,IFERROR(SUMIF(N154:R154,"&gt;0"),'תחום תמיכה ג'!$Q$2)))</f>
        <v>136624.29575207079</v>
      </c>
      <c r="U154" s="349">
        <f>IF($F154="","",'הזנה לתנאי סף'!Y154)</f>
        <v>500000</v>
      </c>
      <c r="V154" s="350">
        <f>IF(F154="","",'הגבלה לסכום מבוקש '!AA154)</f>
        <v>151956.31166163561</v>
      </c>
      <c r="W154" s="349">
        <f t="shared" si="5"/>
        <v>37989.077915408903</v>
      </c>
      <c r="X154" s="349">
        <f>IF(F154="","",'הזנה לתנאי סף'!Z154)</f>
        <v>200000</v>
      </c>
      <c r="Y154" s="351" t="s">
        <v>3740</v>
      </c>
      <c r="Z154" s="352" t="str">
        <f>IFERROR(VLOOKUP(G154*1,#REF!,3,0),"")</f>
        <v/>
      </c>
      <c r="AA154" s="349" t="str">
        <f>IF(OR($F154="",Z154=""),"",IFERROR(IF(Z154&gt;V154,MIN(Z154,T154)-V154,0),'תחום תמיכה ג'!$Q$2))</f>
        <v/>
      </c>
      <c r="AB154" s="353"/>
      <c r="AC154" s="260" t="str">
        <f t="shared" si="7"/>
        <v/>
      </c>
      <c r="AD154" s="354"/>
      <c r="AE154" s="180"/>
      <c r="AF154" s="355" t="str">
        <f>IF($C154="","",IFERROR(VLOOKUP($C154,גיליון1!$A:$E,2,0),"לא הגיש בקשה שוטפת"))</f>
        <v>תזמורת ולהקת סיראג' + בי"ס למוסיקה</v>
      </c>
      <c r="AG154" s="355" t="str">
        <f>IF($C154="","",IFERROR(VLOOKUP($C154,גיליון1!$A:$E,3,0),"לא הגיש בקשה שוטפת"))</f>
        <v>מועד</v>
      </c>
      <c r="AH154" s="355" t="str">
        <f>IF($C154="","",IFERROR(VLOOKUP($C154,גיליון1!$A:$E,4,0),"לא הגיש בקשה שוטפת"))</f>
        <v>19-42-02-33</v>
      </c>
      <c r="AI154" s="355" t="str">
        <f>IF($C154="","",IFERROR(VLOOKUP($C154,גיליון1!$A:$E,5,0),"לא הגיש בקשה שוטפת"))</f>
        <v>תרבות ערבית ודרוזית</v>
      </c>
      <c r="AJ154" s="355">
        <f t="shared" si="6"/>
        <v>0</v>
      </c>
      <c r="AK154" s="15"/>
      <c r="AL154" s="15" t="s">
        <v>5</v>
      </c>
    </row>
    <row r="155" spans="1:38" ht="285.75" x14ac:dyDescent="0.25">
      <c r="A155" s="346">
        <f>'הזנה לתנאי סף'!B155</f>
        <v>125</v>
      </c>
      <c r="B155" s="347">
        <f>IF($F155="","",'הזנה לתנאי סף'!C155)</f>
        <v>1001347776</v>
      </c>
      <c r="C155" s="347">
        <f>IF($F155="","",'הזנה לתנאי סף'!D155)</f>
        <v>1001276514</v>
      </c>
      <c r="D155" s="347">
        <f>IF($F155="","",'הזנה לתנאי סף'!E155)</f>
        <v>40946840</v>
      </c>
      <c r="E155" s="348">
        <f>IF($F155="","",'הזנה לתנאי סף'!F155)</f>
        <v>20000231</v>
      </c>
      <c r="F155" s="348" t="str">
        <f>IF('הזנה לתנאי סף'!BL155=1,'הזנה לתנאי סף'!G155,"")</f>
        <v>נצרת</v>
      </c>
      <c r="G155" s="348" t="str">
        <f>IF($F155="","",'הזנה לתנאי סף'!H155)</f>
        <v>נצרת עלא אלעהד</v>
      </c>
      <c r="H155" s="348" t="str">
        <f>IF($F155="","",'הזנה לתנאי סף'!I155)</f>
        <v>תרבות ערבית</v>
      </c>
      <c r="I155" s="349">
        <f>IF($F155="","",'הזנה לתנאי סף'!R155)</f>
        <v>370873</v>
      </c>
      <c r="J155" s="349">
        <f>IF($F155="","",'תחום תמיכה א'!P155)</f>
        <v>409724</v>
      </c>
      <c r="K155" s="177">
        <f>IF($F155="","",'הזנה לתנאי סף'!N155)</f>
        <v>0</v>
      </c>
      <c r="L155" s="177">
        <f>IF($F155="","",'הזנה לתנאי סף'!O155)</f>
        <v>1</v>
      </c>
      <c r="M155" s="177">
        <f>IF($F155="","",'הזנה לתנאי סף'!Q155)</f>
        <v>1</v>
      </c>
      <c r="N155" s="349">
        <f>IF($F155="","",'תחום תמיכה א'!AE155)</f>
        <v>7951.4901146560842</v>
      </c>
      <c r="O155" s="178"/>
      <c r="P155" s="349">
        <f>IF($F155="","",'תחום תמיכה ב'!AC155)</f>
        <v>7967.0381084035898</v>
      </c>
      <c r="Q155" s="349">
        <f>IF($F155="","",IF('תחום תמיכה ג'!O155="",0,'תחום תמיכה ג'!O155))</f>
        <v>0</v>
      </c>
      <c r="R155" s="349">
        <f t="shared" si="4"/>
        <v>238.89205393497559</v>
      </c>
      <c r="S155" s="349">
        <f>IF($F155="","",'תחום תמיכה ב'!AE155)</f>
        <v>8205.9301623385654</v>
      </c>
      <c r="T155" s="349">
        <f>IF($F155="","",IF(Q155='תחום תמיכה ג'!$Q$2,'תחום תמיכה ג'!$Q$2,IFERROR(SUMIF(N155:R155,"&gt;0"),'תחום תמיכה ג'!$Q$2)))</f>
        <v>16157.42027699465</v>
      </c>
      <c r="U155" s="349">
        <f>IF($F155="","",'הזנה לתנאי סף'!Y155)</f>
        <v>130000</v>
      </c>
      <c r="V155" s="350">
        <f>IF(F155="","",'הגבלה לסכום מבוקש '!AA155)</f>
        <v>17525.520979115099</v>
      </c>
      <c r="W155" s="349">
        <f t="shared" si="5"/>
        <v>4381.3802447787748</v>
      </c>
      <c r="X155" s="349">
        <f>IF(F155="","",'הזנה לתנאי סף'!Z155)</f>
        <v>130000</v>
      </c>
      <c r="Y155" s="351" t="s">
        <v>3740</v>
      </c>
      <c r="Z155" s="352" t="str">
        <f>IFERROR(VLOOKUP(G155*1,#REF!,3,0),"")</f>
        <v/>
      </c>
      <c r="AA155" s="349" t="str">
        <f>IF(OR($F155="",Z155=""),"",IFERROR(IF(Z155&gt;V155,MIN(Z155,T155)-V155,0),'תחום תמיכה ג'!$Q$2))</f>
        <v/>
      </c>
      <c r="AB155" s="353"/>
      <c r="AC155" s="260" t="str">
        <f t="shared" si="7"/>
        <v/>
      </c>
      <c r="AD155" s="354"/>
      <c r="AE155" s="180"/>
      <c r="AF155" s="355" t="str">
        <f>IF($C155="","",IFERROR(VLOOKUP($C155,גיליון1!$A:$E,2,0),"לא הגיש בקשה שוטפת"))</f>
        <v>בקשת תמיכה לפעיות השוטפת</v>
      </c>
      <c r="AG155" s="355" t="str">
        <f>IF($C155="","",IFERROR(VLOOKUP($C155,גיליון1!$A:$E,3,0),"לא הגיש בקשה שוטפת"))</f>
        <v>מועד</v>
      </c>
      <c r="AH155" s="355" t="str">
        <f>IF($C155="","",IFERROR(VLOOKUP($C155,גיליון1!$A:$E,4,0),"לא הגיש בקשה שוטפת"))</f>
        <v>19-42-02-33</v>
      </c>
      <c r="AI155" s="355" t="str">
        <f>IF($C155="","",IFERROR(VLOOKUP($C155,גיליון1!$A:$E,5,0),"לא הגיש בקשה שוטפת"))</f>
        <v>תרבות ערבית ודרוזית</v>
      </c>
      <c r="AJ155" s="355">
        <f t="shared" si="6"/>
        <v>0</v>
      </c>
      <c r="AK155" s="15"/>
      <c r="AL155" s="15" t="s">
        <v>6</v>
      </c>
    </row>
    <row r="156" spans="1:38" ht="285.75" x14ac:dyDescent="0.25">
      <c r="A156" s="346">
        <f>'הזנה לתנאי סף'!B156</f>
        <v>126</v>
      </c>
      <c r="B156" s="347">
        <f>IF($F156="","",'הזנה לתנאי סף'!C156)</f>
        <v>1001348954</v>
      </c>
      <c r="C156" s="347">
        <f>IF($F156="","",'הזנה לתנאי סף'!D156)</f>
        <v>1001290646</v>
      </c>
      <c r="D156" s="347">
        <f>IF($F156="","",'הזנה לתנאי סף'!E156)</f>
        <v>40970756</v>
      </c>
      <c r="E156" s="348">
        <f>IF($F156="","",'הזנה לתנאי סף'!F156)</f>
        <v>20000201</v>
      </c>
      <c r="F156" s="348" t="str">
        <f>IF('הזנה לתנאי סף'!BL156=1,'הזנה לתנאי סף'!G156,"")</f>
        <v>תל אביב -יפו</v>
      </c>
      <c r="G156" s="348" t="str">
        <f>IF($F156="","",'הזנה לתנאי סף'!H156)</f>
        <v>אלמז אמנות בישראל</v>
      </c>
      <c r="H156" s="348" t="str">
        <f>IF($F156="","",'הזנה לתנאי סף'!I156)</f>
        <v>אחר</v>
      </c>
      <c r="I156" s="349">
        <f>IF($F156="","",'הזנה לתנאי סף'!R156)</f>
        <v>155151</v>
      </c>
      <c r="J156" s="349">
        <f>IF($F156="","",'תחום תמיכה א'!P156)</f>
        <v>145967</v>
      </c>
      <c r="K156" s="177">
        <f>IF($F156="","",'הזנה לתנאי סף'!N156)</f>
        <v>0</v>
      </c>
      <c r="L156" s="177">
        <f>IF($F156="","",'הזנה לתנאי סף'!O156)</f>
        <v>1</v>
      </c>
      <c r="M156" s="177">
        <f>IF($F156="","",'הזנה לתנאי סף'!Q156)</f>
        <v>1</v>
      </c>
      <c r="N156" s="349">
        <f>IF($F156="","",'תחום תמיכה א'!AE156)</f>
        <v>7979.2133703139416</v>
      </c>
      <c r="O156" s="178"/>
      <c r="P156" s="349">
        <f>IF($F156="","",'תחום תמיכה ב'!AC156)</f>
        <v>26443.73584266195</v>
      </c>
      <c r="Q156" s="349">
        <f>IF($F156="","",IF('תחום תמיכה ג'!O156="",0,'תחום תמיכה ג'!O156))</f>
        <v>0</v>
      </c>
      <c r="R156" s="349">
        <f t="shared" si="4"/>
        <v>792.91680085025655</v>
      </c>
      <c r="S156" s="349">
        <f>IF($F156="","",'תחום תמיכה ב'!AE156)</f>
        <v>27236.652643512207</v>
      </c>
      <c r="T156" s="349">
        <f>IF($F156="","",IF(Q156='תחום תמיכה ג'!$Q$2,'תחום תמיכה ג'!$Q$2,IFERROR(SUMIF(N156:R156,"&gt;0"),'תחום תמיכה ג'!$Q$2)))</f>
        <v>35215.866013826148</v>
      </c>
      <c r="U156" s="349">
        <f>IF($F156="","",'הזנה לתנאי סף'!Y156)</f>
        <v>75000</v>
      </c>
      <c r="V156" s="350">
        <f>IF(F156="","",'הגבלה לסכום מבוקש '!AA156)</f>
        <v>39748.403493020574</v>
      </c>
      <c r="W156" s="349">
        <f t="shared" si="5"/>
        <v>9937.1008732551436</v>
      </c>
      <c r="X156" s="349">
        <f>IF(F156="","",'הזנה לתנאי סף'!Z156)</f>
        <v>75000</v>
      </c>
      <c r="Y156" s="351" t="s">
        <v>3740</v>
      </c>
      <c r="Z156" s="352" t="str">
        <f>IFERROR(VLOOKUP(G156*1,#REF!,3,0),"")</f>
        <v/>
      </c>
      <c r="AA156" s="349" t="str">
        <f>IF(OR($F156="",Z156=""),"",IFERROR(IF(Z156&gt;V156,MIN(Z156,T156)-V156,0),'תחום תמיכה ג'!$Q$2))</f>
        <v/>
      </c>
      <c r="AB156" s="353"/>
      <c r="AC156" s="260" t="str">
        <f t="shared" si="7"/>
        <v/>
      </c>
      <c r="AD156" s="354"/>
      <c r="AE156" s="180"/>
      <c r="AF156" s="355" t="str">
        <f>IF($C156="","",IFERROR(VLOOKUP($C156,גיליון1!$A:$E,2,0),"לא הגיש בקשה שוטפת"))</f>
        <v>אלמז שימור מורשת יהדות אתיופיה 2020</v>
      </c>
      <c r="AG156" s="355" t="str">
        <f>IF($C156="","",IFERROR(VLOOKUP($C156,גיליון1!$A:$E,3,0),"לא הגיש בקשה שוטפת"))</f>
        <v>טיוט</v>
      </c>
      <c r="AH156" s="355" t="str">
        <f>IF($C156="","",IFERROR(VLOOKUP($C156,גיליון1!$A:$E,4,0),"לא הגיש בקשה שוטפת"))</f>
        <v>19-42-02-14</v>
      </c>
      <c r="AI156" s="355" t="str">
        <f>IF($C156="","",IFERROR(VLOOKUP($C156,גיליון1!$A:$E,5,0),"לא הגיש בקשה שוטפת"))</f>
        <v>מחקר מורשת ואיגודים</v>
      </c>
      <c r="AJ156" s="355">
        <f t="shared" si="6"/>
        <v>0</v>
      </c>
      <c r="AK156" s="15"/>
      <c r="AL156" s="15" t="s">
        <v>7</v>
      </c>
    </row>
    <row r="157" spans="1:38" ht="285.75" x14ac:dyDescent="0.25">
      <c r="A157" s="346">
        <f>'הזנה לתנאי סף'!B157</f>
        <v>127</v>
      </c>
      <c r="B157" s="347">
        <f>IF($F157="","",'הזנה לתנאי סף'!C157)</f>
        <v>1001348952</v>
      </c>
      <c r="C157" s="347">
        <f>IF($F157="","",'הזנה לתנאי סף'!D157)</f>
        <v>1001263412</v>
      </c>
      <c r="D157" s="347">
        <f>IF($F157="","",'הזנה לתנאי סף'!E157)</f>
        <v>40374797</v>
      </c>
      <c r="E157" s="348">
        <f>IF($F157="","",'הזנה לתנאי סף'!F157)</f>
        <v>20000027</v>
      </c>
      <c r="F157" s="348" t="str">
        <f>IF('הזנה לתנאי סף'!BL157=1,'הזנה לתנאי סף'!G157,"")</f>
        <v>כפר שמריהו</v>
      </c>
      <c r="G157" s="348" t="str">
        <f>IF($F157="","",'הזנה לתנאי סף'!H157)</f>
        <v>בארוקדה</v>
      </c>
      <c r="H157" s="348" t="str">
        <f>IF($F157="","",'הזנה לתנאי סף'!I157)</f>
        <v>מוסיקה-גופים כליים</v>
      </c>
      <c r="I157" s="349">
        <f>IF($F157="","",'הזנה לתנאי סף'!R157)</f>
        <v>1690820</v>
      </c>
      <c r="J157" s="349">
        <f>IF($F157="","",'תחום תמיכה א'!P157)</f>
        <v>1465119</v>
      </c>
      <c r="K157" s="177">
        <f>IF($F157="","",'הזנה לתנאי סף'!N157)</f>
        <v>0</v>
      </c>
      <c r="L157" s="177">
        <f>IF($F157="","",'הזנה לתנאי סף'!O157)</f>
        <v>1</v>
      </c>
      <c r="M157" s="177">
        <f>IF($F157="","",'הזנה לתנאי סף'!Q157)</f>
        <v>1</v>
      </c>
      <c r="N157" s="349">
        <f>IF($F157="","",'תחום תמיכה א'!AE157)</f>
        <v>56843.712358373625</v>
      </c>
      <c r="O157" s="178"/>
      <c r="P157" s="349">
        <f>IF($F157="","",'תחום תמיכה ב'!AC157)</f>
        <v>130217.65212225412</v>
      </c>
      <c r="Q157" s="349">
        <f>IF($F157="","",IF('תחום תמיכה ג'!O157="",0,'תחום תמיכה ג'!O157))</f>
        <v>0</v>
      </c>
      <c r="R157" s="349">
        <f t="shared" si="4"/>
        <v>3904.5831023781648</v>
      </c>
      <c r="S157" s="349">
        <f>IF($F157="","",'תחום תמיכה ב'!AE157)</f>
        <v>134122.23522463228</v>
      </c>
      <c r="T157" s="349">
        <f>IF($F157="","",IF(Q157='תחום תמיכה ג'!$Q$2,'תחום תמיכה ג'!$Q$2,IFERROR(SUMIF(N157:R157,"&gt;0"),'תחום תמיכה ג'!$Q$2)))</f>
        <v>190965.94758300594</v>
      </c>
      <c r="U157" s="349">
        <f>IF($F157="","",'הזנה לתנאי סף'!Y157)</f>
        <v>350000</v>
      </c>
      <c r="V157" s="350">
        <f>IF(F157="","",'הגבלה לסכום מבוקש '!AA157)</f>
        <v>213293.6444292902</v>
      </c>
      <c r="W157" s="349">
        <f t="shared" si="5"/>
        <v>53323.41110732255</v>
      </c>
      <c r="X157" s="349">
        <f>IF(F157="","",'הזנה לתנאי סף'!Z157)</f>
        <v>350000</v>
      </c>
      <c r="Y157" s="351" t="s">
        <v>3740</v>
      </c>
      <c r="Z157" s="352" t="str">
        <f>IFERROR(VLOOKUP(G157*1,#REF!,3,0),"")</f>
        <v/>
      </c>
      <c r="AA157" s="349" t="str">
        <f>IF(OR($F157="",Z157=""),"",IFERROR(IF(Z157&gt;V157,MIN(Z157,T157)-V157,0),'תחום תמיכה ג'!$Q$2))</f>
        <v/>
      </c>
      <c r="AB157" s="353"/>
      <c r="AC157" s="260" t="str">
        <f t="shared" si="7"/>
        <v/>
      </c>
      <c r="AD157" s="354"/>
      <c r="AE157" s="180"/>
      <c r="AF157" s="355" t="str">
        <f>IF($C157="","",IFERROR(VLOOKUP($C157,גיליון1!$A:$E,2,0),"לא הגיש בקשה שוטפת"))</f>
        <v>תמיכה שוטפת - בארוקדה</v>
      </c>
      <c r="AG157" s="355" t="str">
        <f>IF($C157="","",IFERROR(VLOOKUP($C157,גיליון1!$A:$E,3,0),"לא הגיש בקשה שוטפת"))</f>
        <v>חויב</v>
      </c>
      <c r="AH157" s="355" t="str">
        <f>IF($C157="","",IFERROR(VLOOKUP($C157,גיליון1!$A:$E,4,0),"לא הגיש בקשה שוטפת"))</f>
        <v>19-42-02-16</v>
      </c>
      <c r="AI157" s="355" t="str">
        <f>IF($C157="","",IFERROR(VLOOKUP($C157,גיליון1!$A:$E,5,0),"לא הגיש בקשה שוטפת"))</f>
        <v>מוסיקה</v>
      </c>
      <c r="AJ157" s="355">
        <f t="shared" si="6"/>
        <v>0</v>
      </c>
      <c r="AK157" s="15"/>
      <c r="AL157" s="15" t="s">
        <v>10</v>
      </c>
    </row>
    <row r="158" spans="1:38" ht="285.75" x14ac:dyDescent="0.25">
      <c r="A158" s="346">
        <f>'הזנה לתנאי סף'!B158</f>
        <v>128</v>
      </c>
      <c r="B158" s="347">
        <f>IF($F158="","",'הזנה לתנאי סף'!C158)</f>
        <v>1001349365</v>
      </c>
      <c r="C158" s="347">
        <f>IF($F158="","",'הזנה לתנאי סף'!D158)</f>
        <v>1001290811</v>
      </c>
      <c r="D158" s="347">
        <f>IF($F158="","",'הזנה לתנאי סף'!E158)</f>
        <v>40984631</v>
      </c>
      <c r="E158" s="348">
        <f>IF($F158="","",'הזנה לתנאי סף'!F158)</f>
        <v>20000201</v>
      </c>
      <c r="F158" s="348" t="str">
        <f>IF('הזנה לתנאי סף'!BL158=1,'הזנה לתנאי סף'!G158,"")</f>
        <v>תל אביב -יפו</v>
      </c>
      <c r="G158" s="348" t="str">
        <f>IF($F158="","",'הזנה לתנאי סף'!H158)</f>
        <v>תמיד - תרבות מוסיקלית יהודית</v>
      </c>
      <c r="H158" s="348" t="str">
        <f>IF($F158="","",'הזנה לתנאי סף'!I158)</f>
        <v>אחר</v>
      </c>
      <c r="I158" s="349">
        <f>IF($F158="","",'הזנה לתנאי סף'!R158)</f>
        <v>398094</v>
      </c>
      <c r="J158" s="349">
        <f>IF($F158="","",'תחום תמיכה א'!P158)</f>
        <v>398094</v>
      </c>
      <c r="K158" s="177">
        <f>IF($F158="","",'הזנה לתנאי סף'!N158)</f>
        <v>0</v>
      </c>
      <c r="L158" s="177">
        <f>IF($F158="","",'הזנה לתנאי סף'!O158)</f>
        <v>1</v>
      </c>
      <c r="M158" s="177">
        <f>IF($F158="","",'הזנה לתנאי סף'!Q158)</f>
        <v>1</v>
      </c>
      <c r="N158" s="349">
        <f>IF($F158="","",'תחום תמיכה א'!AE158)</f>
        <v>21761.610277951582</v>
      </c>
      <c r="O158" s="178"/>
      <c r="P158" s="349">
        <f>IF($F158="","",'תחום תמיכה ב'!AC158)</f>
        <v>67850.626657570159</v>
      </c>
      <c r="Q158" s="349">
        <f>IF($F158="","",IF('תחום תמיכה ג'!O158="",0,'תחום תמיכה ג'!O158))</f>
        <v>0</v>
      </c>
      <c r="R158" s="349">
        <f t="shared" si="4"/>
        <v>2034.5045853245101</v>
      </c>
      <c r="S158" s="349">
        <f>IF($F158="","",'תחום תמיכה ב'!AE158)</f>
        <v>69885.131242894669</v>
      </c>
      <c r="T158" s="349">
        <f>IF($F158="","",IF(Q158='תחום תמיכה ג'!$Q$2,'תחום תמיכה ג'!$Q$2,IFERROR(SUMIF(N158:R158,"&gt;0"),'תחום תמיכה ג'!$Q$2)))</f>
        <v>91646.741520846248</v>
      </c>
      <c r="U158" s="349">
        <f>IF($F158="","",'הזנה לתנאי סף'!Y158)</f>
        <v>950000</v>
      </c>
      <c r="V158" s="350">
        <f>IF(F158="","",'הגבלה לסכום מבוקש '!AA158)</f>
        <v>103277.13369462865</v>
      </c>
      <c r="W158" s="349">
        <f t="shared" si="5"/>
        <v>25819.283423657162</v>
      </c>
      <c r="X158" s="349">
        <f>IF(F158="","",'הזנה לתנאי סף'!Z158)</f>
        <v>266000</v>
      </c>
      <c r="Y158" s="351" t="s">
        <v>3740</v>
      </c>
      <c r="Z158" s="352" t="str">
        <f>IFERROR(VLOOKUP(G158*1,#REF!,3,0),"")</f>
        <v/>
      </c>
      <c r="AA158" s="349" t="str">
        <f>IF(OR($F158="",Z158=""),"",IFERROR(IF(Z158&gt;V158,MIN(Z158,T158)-V158,0),'תחום תמיכה ג'!$Q$2))</f>
        <v/>
      </c>
      <c r="AB158" s="353"/>
      <c r="AC158" s="260" t="str">
        <f t="shared" si="7"/>
        <v/>
      </c>
      <c r="AD158" s="354"/>
      <c r="AE158" s="180"/>
      <c r="AF158" s="355" t="str">
        <f>IF($C158="","",IFERROR(VLOOKUP($C158,גיליון1!$A:$E,2,0),"לא הגיש בקשה שוטפת"))</f>
        <v>תרבות בקהילה 2020</v>
      </c>
      <c r="AG158" s="355" t="str">
        <f>IF($C158="","",IFERROR(VLOOKUP($C158,גיליון1!$A:$E,3,0),"לא הגיש בקשה שוטפת"))</f>
        <v>בוטל</v>
      </c>
      <c r="AH158" s="355" t="str">
        <f>IF($C158="","",IFERROR(VLOOKUP($C158,גיליון1!$A:$E,4,0),"לא הגיש בקשה שוטפת"))</f>
        <v>19-42-02-31</v>
      </c>
      <c r="AI158" s="355" t="str">
        <f>IF($C158="","",IFERROR(VLOOKUP($C158,גיליון1!$A:$E,5,0),"לא הגיש בקשה שוטפת"))</f>
        <v>תרבות בקהילה תמיכה</v>
      </c>
      <c r="AJ158" s="355">
        <f t="shared" si="6"/>
        <v>0</v>
      </c>
      <c r="AK158" s="15"/>
      <c r="AL158" s="15" t="s">
        <v>62</v>
      </c>
    </row>
    <row r="159" spans="1:38" ht="285.75" x14ac:dyDescent="0.25">
      <c r="A159" s="346">
        <f>'הזנה לתנאי סף'!B159</f>
        <v>129</v>
      </c>
      <c r="B159" s="347">
        <f>IF($F159="","",'הזנה לתנאי סף'!C159)</f>
        <v>1001347325</v>
      </c>
      <c r="C159" s="347">
        <f>IF($F159="","",'הזנה לתנאי סף'!D159)</f>
        <v>1001270479</v>
      </c>
      <c r="D159" s="347">
        <f>IF($F159="","",'הזנה לתנאי סף'!E159)</f>
        <v>40384065</v>
      </c>
      <c r="E159" s="348">
        <f>IF($F159="","",'הזנה לתנאי סף'!F159)</f>
        <v>20000041</v>
      </c>
      <c r="F159" s="348" t="str">
        <f>IF('הזנה לתנאי סף'!BL159=1,'הזנה לתנאי סף'!G159,"")</f>
        <v>דייר אל-אסד</v>
      </c>
      <c r="G159" s="348" t="str">
        <f>IF($F159="","",'הזנה לתנאי סף'!H159)</f>
        <v>אל אסדי</v>
      </c>
      <c r="H159" s="348" t="str">
        <f>IF($F159="","",'הזנה לתנאי סף'!I159)</f>
        <v>אחר</v>
      </c>
      <c r="I159" s="349">
        <f>IF($F159="","",'הזנה לתנאי סף'!R159)</f>
        <v>1097822</v>
      </c>
      <c r="J159" s="349">
        <f>IF($F159="","",'תחום תמיכה א'!P159)</f>
        <v>1069833</v>
      </c>
      <c r="K159" s="177">
        <f>IF($F159="","",'הזנה לתנאי סף'!N159)</f>
        <v>0</v>
      </c>
      <c r="L159" s="177">
        <f>IF($F159="","",'הזנה לתנאי סף'!O159)</f>
        <v>1</v>
      </c>
      <c r="M159" s="177">
        <f>IF($F159="","",'הזנה לתנאי סף'!Q159)</f>
        <v>1</v>
      </c>
      <c r="N159" s="349">
        <f>IF($F159="","",'תחום תמיכה א'!AE159)</f>
        <v>32047.837368973102</v>
      </c>
      <c r="O159" s="178"/>
      <c r="P159" s="349">
        <f>IF($F159="","",'תחום תמיכה ב'!AC159)</f>
        <v>56189.458158991096</v>
      </c>
      <c r="Q159" s="349">
        <f>IF($F159="","",IF('תחום תמיכה ג'!O159="",0,'תחום תמיכה ג'!O159))</f>
        <v>0</v>
      </c>
      <c r="R159" s="349">
        <f t="shared" si="4"/>
        <v>1684.843838632587</v>
      </c>
      <c r="S159" s="349">
        <f>IF($F159="","",'תחום תמיכה ב'!AE159)</f>
        <v>57874.301997623683</v>
      </c>
      <c r="T159" s="349">
        <f>IF($F159="","",IF(Q159='תחום תמיכה ג'!$Q$2,'תחום תמיכה ג'!$Q$2,IFERROR(SUMIF(N159:R159,"&gt;0"),'תחום תמיכה ג'!$Q$2)))</f>
        <v>89922.139366596777</v>
      </c>
      <c r="U159" s="349">
        <f>IF($F159="","",'הזנה לתנאי סף'!Y159)</f>
        <v>500000</v>
      </c>
      <c r="V159" s="350">
        <f>IF(F159="","",'הגבלה לסכום מבוקש '!AA159)</f>
        <v>99560.057208821061</v>
      </c>
      <c r="W159" s="349">
        <f t="shared" si="5"/>
        <v>24890.014302205265</v>
      </c>
      <c r="X159" s="349">
        <f>IF(F159="","",'הזנה לתנאי סף'!Z159)</f>
        <v>500000</v>
      </c>
      <c r="Y159" s="351" t="s">
        <v>3740</v>
      </c>
      <c r="Z159" s="352" t="str">
        <f>IFERROR(VLOOKUP(G159*1,#REF!,3,0),"")</f>
        <v/>
      </c>
      <c r="AA159" s="349" t="str">
        <f>IF(OR($F159="",Z159=""),"",IFERROR(IF(Z159&gt;V159,MIN(Z159,T159)-V159,0),'תחום תמיכה ג'!$Q$2))</f>
        <v/>
      </c>
      <c r="AB159" s="353"/>
      <c r="AC159" s="260" t="str">
        <f t="shared" si="7"/>
        <v/>
      </c>
      <c r="AD159" s="354"/>
      <c r="AE159" s="180"/>
      <c r="AF159" s="355" t="str">
        <f>IF($C159="","",IFERROR(VLOOKUP($C159,גיליון1!$A:$E,2,0),"לא הגיש בקשה שוטפת"))</f>
        <v>בקשת תמיכה לפעילות השוטפת</v>
      </c>
      <c r="AG159" s="355" t="str">
        <f>IF($C159="","",IFERROR(VLOOKUP($C159,גיליון1!$A:$E,3,0),"לא הגיש בקשה שוטפת"))</f>
        <v>מועד</v>
      </c>
      <c r="AH159" s="355" t="str">
        <f>IF($C159="","",IFERROR(VLOOKUP($C159,גיליון1!$A:$E,4,0),"לא הגיש בקשה שוטפת"))</f>
        <v>19-42-02-33</v>
      </c>
      <c r="AI159" s="355" t="str">
        <f>IF($C159="","",IFERROR(VLOOKUP($C159,גיליון1!$A:$E,5,0),"לא הגיש בקשה שוטפת"))</f>
        <v>תרבות ערבית ודרוזית</v>
      </c>
      <c r="AJ159" s="355">
        <f t="shared" si="6"/>
        <v>0</v>
      </c>
      <c r="AK159" s="15"/>
      <c r="AL159" s="15" t="s">
        <v>17</v>
      </c>
    </row>
    <row r="160" spans="1:38" ht="285.75" x14ac:dyDescent="0.25">
      <c r="A160" s="346">
        <f>'הזנה לתנאי סף'!B160</f>
        <v>130</v>
      </c>
      <c r="B160" s="347">
        <f>IF($F160="","",'הזנה לתנאי סף'!C160)</f>
        <v>1001350318</v>
      </c>
      <c r="C160" s="347">
        <f>IF($F160="","",'הזנה לתנאי סף'!D160)</f>
        <v>1001265106</v>
      </c>
      <c r="D160" s="347">
        <f>IF($F160="","",'הזנה לתנאי סף'!E160)</f>
        <v>40992259</v>
      </c>
      <c r="E160" s="348">
        <f>IF($F160="","",'הזנה לתנאי סף'!F160)</f>
        <v>20000201</v>
      </c>
      <c r="F160" s="348" t="str">
        <f>IF('הזנה לתנאי סף'!BL160=1,'הזנה לתנאי סף'!G160,"")</f>
        <v>תל אביב -יפו</v>
      </c>
      <c r="G160" s="348" t="str">
        <f>IF($F160="","",'הזנה לתנאי סף'!H160)</f>
        <v>גלרית תיאטרון החנות</v>
      </c>
      <c r="H160" s="348" t="str">
        <f>IF($F160="","",'הזנה לתנאי סף'!I160)</f>
        <v>קבוצות תיאטרון</v>
      </c>
      <c r="I160" s="349">
        <f>IF($F160="","",'הזנה לתנאי סף'!R160)</f>
        <v>674525</v>
      </c>
      <c r="J160" s="349">
        <f>IF($F160="","",'תחום תמיכה א'!P160)</f>
        <v>492762</v>
      </c>
      <c r="K160" s="177">
        <f>IF($F160="","",'הזנה לתנאי סף'!N160)</f>
        <v>1</v>
      </c>
      <c r="L160" s="177">
        <f>IF($F160="","",'הזנה לתנאי סף'!O160)</f>
        <v>1</v>
      </c>
      <c r="M160" s="177">
        <f>IF($F160="","",'הזנה לתנאי סף'!Q160)</f>
        <v>1</v>
      </c>
      <c r="N160" s="349">
        <f>IF($F160="","",'תחום תמיכה א'!AE160)</f>
        <v>15107.092774970064</v>
      </c>
      <c r="O160" s="178"/>
      <c r="P160" s="349">
        <f>IF($F160="","",'תחום תמיכה ב'!AC160)</f>
        <v>36161.20241817979</v>
      </c>
      <c r="Q160" s="349">
        <f>IF($F160="","",IF('תחום תמיכה ג'!O160="",0,'תחום תמיכה ג'!O160))</f>
        <v>15163.938764919019</v>
      </c>
      <c r="R160" s="349">
        <f t="shared" ref="R160:R223" si="8">IF($F160="","",IFERROR(S160-P160,""))</f>
        <v>1084.2955438264325</v>
      </c>
      <c r="S160" s="349">
        <f>IF($F160="","",'תחום תמיכה ב'!AE160)</f>
        <v>37245.497962006222</v>
      </c>
      <c r="T160" s="349">
        <f>IF($F160="","",IF(Q160='תחום תמיכה ג'!$Q$2,'תחום תמיכה ג'!$Q$2,IFERROR(SUMIF(N160:R160,"&gt;0"),'תחום תמיכה ג'!$Q$2)))</f>
        <v>67516.529501895304</v>
      </c>
      <c r="U160" s="349">
        <f>IF($F160="","",'הזנה לתנאי סף'!Y160)</f>
        <v>200000</v>
      </c>
      <c r="V160" s="350">
        <f>IF(F160="","",'הגבלה לסכום מבוקש '!AA160)</f>
        <v>73723.485530506718</v>
      </c>
      <c r="W160" s="349">
        <f t="shared" ref="W160:W223" si="9">IF(G160="","",V160/4)</f>
        <v>18430.871382626679</v>
      </c>
      <c r="X160" s="349">
        <f>IF(F160="","",'הזנה לתנאי סף'!Z160)</f>
        <v>1</v>
      </c>
      <c r="Y160" s="351" t="s">
        <v>3740</v>
      </c>
      <c r="Z160" s="352" t="str">
        <f>IFERROR(VLOOKUP(G160*1,#REF!,3,0),"")</f>
        <v/>
      </c>
      <c r="AA160" s="349" t="str">
        <f>IF(OR($F160="",Z160=""),"",IFERROR(IF(Z160&gt;V160,MIN(Z160,T160)-V160,0),'תחום תמיכה ג'!$Q$2))</f>
        <v/>
      </c>
      <c r="AB160" s="353"/>
      <c r="AC160" s="260" t="str">
        <f t="shared" si="7"/>
        <v/>
      </c>
      <c r="AD160" s="354"/>
      <c r="AE160" s="180"/>
      <c r="AF160" s="355" t="str">
        <f>IF($C160="","",IFERROR(VLOOKUP($C160,גיליון1!$A:$E,2,0),"לא הגיש בקשה שוטפת"))</f>
        <v>תמיכה בקבוצת תיאטרון החנות</v>
      </c>
      <c r="AG160" s="355" t="str">
        <f>IF($C160="","",IFERROR(VLOOKUP($C160,גיליון1!$A:$E,3,0),"לא הגיש בקשה שוטפת"))</f>
        <v>מועד</v>
      </c>
      <c r="AH160" s="355" t="str">
        <f>IF($C160="","",IFERROR(VLOOKUP($C160,גיליון1!$A:$E,4,0),"לא הגיש בקשה שוטפת"))</f>
        <v>19-42-02-07</v>
      </c>
      <c r="AI160" s="355" t="str">
        <f>IF($C160="","",IFERROR(VLOOKUP($C160,גיליון1!$A:$E,5,0),"לא הגיש בקשה שוטפת"))</f>
        <v>תיאטרון</v>
      </c>
      <c r="AJ160" s="355">
        <f t="shared" ref="AJ160:AJ223" si="10">IF(T160&gt;U160,1,0)</f>
        <v>0</v>
      </c>
      <c r="AK160" s="15"/>
      <c r="AL160" s="15" t="s">
        <v>28</v>
      </c>
    </row>
    <row r="161" spans="1:38" ht="285.75" x14ac:dyDescent="0.25">
      <c r="A161" s="346">
        <f>'הזנה לתנאי סף'!B161</f>
        <v>131</v>
      </c>
      <c r="B161" s="347">
        <f>IF($F161="","",'הזנה לתנאי סף'!C161)</f>
        <v>1001347256</v>
      </c>
      <c r="C161" s="347">
        <f>IF($F161="","",'הזנה לתנאי סף'!D161)</f>
        <v>1001268258</v>
      </c>
      <c r="D161" s="347">
        <f>IF($F161="","",'הזנה לתנאי סף'!E161)</f>
        <v>41484317</v>
      </c>
      <c r="E161" s="348">
        <f>IF($F161="","",'הזנה לתנאי סף'!F161)</f>
        <v>20000201</v>
      </c>
      <c r="F161" s="348" t="str">
        <f>IF('הזנה לתנאי סף'!BL161=1,'הזנה לתנאי סף'!G161,"")</f>
        <v>תל אביב -יפו</v>
      </c>
      <c r="G161" s="348" t="str">
        <f>IF($F161="","",'הזנה לתנאי סף'!H161)</f>
        <v>קידום נתיב אמן</v>
      </c>
      <c r="H161" s="348" t="str">
        <f>IF($F161="","",'הזנה לתנאי סף'!I161)</f>
        <v>מרכזי פרינג'</v>
      </c>
      <c r="I161" s="349">
        <f>IF($F161="","",'הזנה לתנאי סף'!R161)</f>
        <v>493002</v>
      </c>
      <c r="J161" s="349">
        <f>IF($F161="","",'תחום תמיכה א'!P161)</f>
        <v>493002</v>
      </c>
      <c r="K161" s="177">
        <f>IF($F161="","",'הזנה לתנאי סף'!N161)</f>
        <v>0</v>
      </c>
      <c r="L161" s="177">
        <f>IF($F161="","",'הזנה לתנאי סף'!O161)</f>
        <v>1</v>
      </c>
      <c r="M161" s="177">
        <f>IF($F161="","",'הזנה לתנאי סף'!Q161)</f>
        <v>1</v>
      </c>
      <c r="N161" s="349">
        <f>IF($F161="","",'תחום תמיכה א'!AE161)</f>
        <v>26949.708838240931</v>
      </c>
      <c r="O161" s="178"/>
      <c r="P161" s="349">
        <f>IF($F161="","",'תחום תמיכה ב'!AC161)</f>
        <v>84026.623469420301</v>
      </c>
      <c r="Q161" s="349">
        <f>IF($F161="","",IF('תחום תמיכה ג'!O161="",0,'תחום תמיכה ג'!O161))</f>
        <v>0</v>
      </c>
      <c r="R161" s="349">
        <f t="shared" si="8"/>
        <v>2519.5426948764652</v>
      </c>
      <c r="S161" s="349">
        <f>IF($F161="","",'תחום תמיכה ב'!AE161)</f>
        <v>86546.166164296767</v>
      </c>
      <c r="T161" s="349">
        <f>IF($F161="","",IF(Q161='תחום תמיכה ג'!$Q$2,'תחום תמיכה ג'!$Q$2,IFERROR(SUMIF(N161:R161,"&gt;0"),'תחום תמיכה ג'!$Q$2)))</f>
        <v>113495.87500253769</v>
      </c>
      <c r="U161" s="349">
        <f>IF($F161="","",'הזנה לתנאי סף'!Y161)</f>
        <v>1000000</v>
      </c>
      <c r="V161" s="350">
        <f>IF(F161="","",'הגבלה לסכום מבוקש '!AA161)</f>
        <v>127899.02250654192</v>
      </c>
      <c r="W161" s="349">
        <f t="shared" si="9"/>
        <v>31974.75562663548</v>
      </c>
      <c r="X161" s="349">
        <f>IF(F161="","",'הזנה לתנאי סף'!Z161)</f>
        <v>200000</v>
      </c>
      <c r="Y161" s="351" t="s">
        <v>3740</v>
      </c>
      <c r="Z161" s="352" t="str">
        <f>IFERROR(VLOOKUP(G161*1,#REF!,3,0),"")</f>
        <v/>
      </c>
      <c r="AA161" s="349" t="str">
        <f>IF(OR($F161="",Z161=""),"",IFERROR(IF(Z161&gt;V161,MIN(Z161,T161)-V161,0),'תחום תמיכה ג'!$Q$2))</f>
        <v/>
      </c>
      <c r="AB161" s="353"/>
      <c r="AC161" s="260" t="str">
        <f t="shared" ref="AC161:AC224" si="11">AA161</f>
        <v/>
      </c>
      <c r="AD161" s="354"/>
      <c r="AE161" s="180"/>
      <c r="AF161" s="355" t="str">
        <f>IF($C161="","",IFERROR(VLOOKUP($C161,גיליון1!$A:$E,2,0),"לא הגיש בקשה שוטפת"))</f>
        <v>תיאטרון הבית - מרכז פרינג'</v>
      </c>
      <c r="AG161" s="355" t="str">
        <f>IF($C161="","",IFERROR(VLOOKUP($C161,גיליון1!$A:$E,3,0),"לא הגיש בקשה שוטפת"))</f>
        <v>מועד</v>
      </c>
      <c r="AH161" s="355" t="str">
        <f>IF($C161="","",IFERROR(VLOOKUP($C161,גיליון1!$A:$E,4,0),"לא הגיש בקשה שוטפת"))</f>
        <v>19-42-02-07</v>
      </c>
      <c r="AI161" s="355" t="str">
        <f>IF($C161="","",IFERROR(VLOOKUP($C161,גיליון1!$A:$E,5,0),"לא הגיש בקשה שוטפת"))</f>
        <v>תיאטרון</v>
      </c>
      <c r="AJ161" s="355">
        <f t="shared" si="10"/>
        <v>0</v>
      </c>
      <c r="AK161" s="15"/>
      <c r="AL161" s="15" t="s">
        <v>27</v>
      </c>
    </row>
    <row r="162" spans="1:38" ht="285.75" x14ac:dyDescent="0.25">
      <c r="A162" s="346">
        <f>'הזנה לתנאי סף'!B162</f>
        <v>132</v>
      </c>
      <c r="B162" s="347">
        <f>IF($F162="","",'הזנה לתנאי סף'!C162)</f>
        <v>1001350329</v>
      </c>
      <c r="C162" s="347">
        <f>IF($F162="","",'הזנה לתנאי סף'!D162)</f>
        <v>1001302334</v>
      </c>
      <c r="D162" s="347">
        <f>IF($F162="","",'הזנה לתנאי סף'!E162)</f>
        <v>41484318</v>
      </c>
      <c r="E162" s="348">
        <f>IF($F162="","",'הזנה לתנאי סף'!F162)</f>
        <v>20000182</v>
      </c>
      <c r="F162" s="348" t="str">
        <f>IF('הזנה לתנאי סף'!BL162=1,'הזנה לתנאי סף'!G162,"")</f>
        <v>חיפה</v>
      </c>
      <c r="G162" s="348" t="str">
        <f>IF($F162="","",'הזנה לתנאי סף'!H162)</f>
        <v>תיאטרון אלמג'ד</v>
      </c>
      <c r="H162" s="348" t="str">
        <f>IF($F162="","",'הזנה לתנאי סף'!I162)</f>
        <v>תיאטרון</v>
      </c>
      <c r="I162" s="349">
        <f>IF($F162="","",'הזנה לתנאי סף'!R162)</f>
        <v>796670</v>
      </c>
      <c r="J162" s="349">
        <f>IF($F162="","",'תחום תמיכה א'!P162)</f>
        <v>817876</v>
      </c>
      <c r="K162" s="177">
        <f>IF($F162="","",'הזנה לתנאי סף'!N162)</f>
        <v>0</v>
      </c>
      <c r="L162" s="177">
        <f>IF($F162="","",'הזנה לתנאי סף'!O162)</f>
        <v>1</v>
      </c>
      <c r="M162" s="177">
        <f>IF($F162="","",'הזנה לתנאי סף'!Q162)</f>
        <v>1</v>
      </c>
      <c r="N162" s="349">
        <f>IF($F162="","",'תחום תמיכה א'!AE162)</f>
        <v>21428.250740945077</v>
      </c>
      <c r="O162" s="178"/>
      <c r="P162" s="349">
        <f>IF($F162="","",'תחום תמיכה ב'!AC162)</f>
        <v>31191.367258634084</v>
      </c>
      <c r="Q162" s="349">
        <f>IF($F162="","",IF('תחום תמיכה ג'!O162="",0,'תחום תמיכה ג'!O162))</f>
        <v>0</v>
      </c>
      <c r="R162" s="349">
        <f t="shared" si="8"/>
        <v>935.27477690807063</v>
      </c>
      <c r="S162" s="349">
        <f>IF($F162="","",'תחום תמיכה ב'!AE162)</f>
        <v>32126.642035542154</v>
      </c>
      <c r="T162" s="349">
        <f>IF($F162="","",IF(Q162='תחום תמיכה ג'!$Q$2,'תחום תמיכה ג'!$Q$2,IFERROR(SUMIF(N162:R162,"&gt;0"),'תחום תמיכה ג'!$Q$2)))</f>
        <v>53554.892776487235</v>
      </c>
      <c r="U162" s="349">
        <f>IF($F162="","",'הזנה לתנאי סף'!Y162)</f>
        <v>1300000</v>
      </c>
      <c r="V162" s="350">
        <f>IF(F162="","",'הגבלה לסכום מבוקש '!AA162)</f>
        <v>58906.660268191619</v>
      </c>
      <c r="W162" s="349">
        <f t="shared" si="9"/>
        <v>14726.665067047905</v>
      </c>
      <c r="X162" s="349">
        <f>IF(F162="","",'הזנה לתנאי סף'!Z162)</f>
        <v>700000</v>
      </c>
      <c r="Y162" s="351" t="s">
        <v>3740</v>
      </c>
      <c r="Z162" s="352" t="str">
        <f>IFERROR(VLOOKUP(G162*1,#REF!,3,0),"")</f>
        <v/>
      </c>
      <c r="AA162" s="349" t="str">
        <f>IF(OR($F162="",Z162=""),"",IFERROR(IF(Z162&gt;V162,MIN(Z162,T162)-V162,0),'תחום תמיכה ג'!$Q$2))</f>
        <v/>
      </c>
      <c r="AB162" s="353"/>
      <c r="AC162" s="260" t="str">
        <f t="shared" si="11"/>
        <v/>
      </c>
      <c r="AD162" s="354"/>
      <c r="AE162" s="180"/>
      <c r="AF162" s="355" t="str">
        <f>IF($C162="","",IFERROR(VLOOKUP($C162,גיליון1!$A:$E,2,0),"לא הגיש בקשה שוטפת"))</f>
        <v>3 הפקות מקוריות</v>
      </c>
      <c r="AG162" s="355" t="str">
        <f>IF($C162="","",IFERROR(VLOOKUP($C162,גיליון1!$A:$E,3,0),"לא הגיש בקשה שוטפת"))</f>
        <v>מועד</v>
      </c>
      <c r="AH162" s="355" t="str">
        <f>IF($C162="","",IFERROR(VLOOKUP($C162,גיליון1!$A:$E,4,0),"לא הגיש בקשה שוטפת"))</f>
        <v>19-42-02-33</v>
      </c>
      <c r="AI162" s="355" t="str">
        <f>IF($C162="","",IFERROR(VLOOKUP($C162,גיליון1!$A:$E,5,0),"לא הגיש בקשה שוטפת"))</f>
        <v>תרבות ערבית ודרוזית</v>
      </c>
      <c r="AJ162" s="355">
        <f t="shared" si="10"/>
        <v>0</v>
      </c>
      <c r="AK162" s="15"/>
      <c r="AL162" s="15" t="s">
        <v>47</v>
      </c>
    </row>
    <row r="163" spans="1:38" ht="285.75" x14ac:dyDescent="0.25">
      <c r="A163" s="346">
        <f>'הזנה לתנאי סף'!B163</f>
        <v>133</v>
      </c>
      <c r="B163" s="347">
        <f>IF($F163="","",'הזנה לתנאי סף'!C163)</f>
        <v>1001349802</v>
      </c>
      <c r="C163" s="347">
        <f>IF($F163="","",'הזנה לתנאי סף'!D163)</f>
        <v>1001290463</v>
      </c>
      <c r="D163" s="347">
        <f>IF($F163="","",'הזנה לתנאי סף'!E163)</f>
        <v>41484540</v>
      </c>
      <c r="E163" s="348">
        <f>IF($F163="","",'הזנה לתנאי סף'!F163)</f>
        <v>20000231</v>
      </c>
      <c r="F163" s="348" t="str">
        <f>IF('הזנה לתנאי סף'!BL163=1,'הזנה לתנאי סף'!G163,"")</f>
        <v>נצרת</v>
      </c>
      <c r="G163" s="348" t="str">
        <f>IF($F163="","",'הזנה לתנאי סף'!H163)</f>
        <v>להקת מחול ביסאן</v>
      </c>
      <c r="H163" s="348" t="str">
        <f>IF($F163="","",'הזנה לתנאי סף'!I163)</f>
        <v>מחול</v>
      </c>
      <c r="I163" s="349">
        <f>IF($F163="","",'הזנה לתנאי סף'!R163)</f>
        <v>421108</v>
      </c>
      <c r="J163" s="349">
        <f>IF($F163="","",'תחום תמיכה א'!P163)</f>
        <v>323521</v>
      </c>
      <c r="K163" s="177">
        <f>IF($F163="","",'הזנה לתנאי סף'!N163)</f>
        <v>0</v>
      </c>
      <c r="L163" s="177">
        <f>IF($F163="","",'הזנה לתנאי סף'!O163)</f>
        <v>1</v>
      </c>
      <c r="M163" s="177">
        <f>IF($F163="","",'הזנה לתנאי סף'!Q163)</f>
        <v>1</v>
      </c>
      <c r="N163" s="349">
        <f>IF($F163="","",'תחום תמיכה א'!AE163)</f>
        <v>14299.010561672767</v>
      </c>
      <c r="O163" s="178"/>
      <c r="P163" s="349">
        <f>IF($F163="","",'תחום תמיכה ב'!AC163)</f>
        <v>46919.994400213938</v>
      </c>
      <c r="Q163" s="349">
        <f>IF($F163="","",IF('תחום תמיכה ג'!O163="",0,'תחום תמיכה ג'!O163))</f>
        <v>0</v>
      </c>
      <c r="R163" s="349">
        <f t="shared" si="8"/>
        <v>1406.8984835232186</v>
      </c>
      <c r="S163" s="349">
        <f>IF($F163="","",'תחום תמיכה ב'!AE163)</f>
        <v>48326.892883737157</v>
      </c>
      <c r="T163" s="349">
        <f>IF($F163="","",IF(Q163='תחום תמיכה ג'!$Q$2,'תחום תמיכה ג'!$Q$2,IFERROR(SUMIF(N163:R163,"&gt;0"),'תחום תמיכה ג'!$Q$2)))</f>
        <v>62625.903445409924</v>
      </c>
      <c r="U163" s="349">
        <f>IF($F163="","",'הזנה לתנאי סף'!Y163)</f>
        <v>577897</v>
      </c>
      <c r="V163" s="350">
        <f>IF(F163="","",'הגבלה לסכום מבוקש '!AA163)</f>
        <v>70668.198788063048</v>
      </c>
      <c r="W163" s="349">
        <f t="shared" si="9"/>
        <v>17667.049697015762</v>
      </c>
      <c r="X163" s="349">
        <f>IF(F163="","",'הזנה לתנאי סף'!Z163)</f>
        <v>577897</v>
      </c>
      <c r="Y163" s="351" t="s">
        <v>3740</v>
      </c>
      <c r="Z163" s="352" t="str">
        <f>IFERROR(VLOOKUP(G163*1,#REF!,3,0),"")</f>
        <v/>
      </c>
      <c r="AA163" s="349" t="str">
        <f>IF(OR($F163="",Z163=""),"",IFERROR(IF(Z163&gt;V163,MIN(Z163,T163)-V163,0),'תחום תמיכה ג'!$Q$2))</f>
        <v/>
      </c>
      <c r="AB163" s="353"/>
      <c r="AC163" s="260" t="str">
        <f t="shared" si="11"/>
        <v/>
      </c>
      <c r="AD163" s="354"/>
      <c r="AE163" s="180"/>
      <c r="AF163" s="355" t="str">
        <f>IF($C163="","",IFERROR(VLOOKUP($C163,גיליון1!$A:$E,2,0),"לא הגיש בקשה שוטפת"))</f>
        <v>תמיכה בלהקת המחול ביסאן לשנת 2020</v>
      </c>
      <c r="AG163" s="355" t="str">
        <f>IF($C163="","",IFERROR(VLOOKUP($C163,גיליון1!$A:$E,3,0),"לא הגיש בקשה שוטפת"))</f>
        <v>מועד</v>
      </c>
      <c r="AH163" s="355" t="str">
        <f>IF($C163="","",IFERROR(VLOOKUP($C163,גיליון1!$A:$E,4,0),"לא הגיש בקשה שוטפת"))</f>
        <v>19-42-02-33</v>
      </c>
      <c r="AI163" s="355" t="str">
        <f>IF($C163="","",IFERROR(VLOOKUP($C163,גיליון1!$A:$E,5,0),"לא הגיש בקשה שוטפת"))</f>
        <v>תרבות ערבית ודרוזית</v>
      </c>
      <c r="AJ163" s="355">
        <f t="shared" si="10"/>
        <v>0</v>
      </c>
      <c r="AK163" s="15"/>
      <c r="AL163" s="15" t="s">
        <v>53</v>
      </c>
    </row>
    <row r="164" spans="1:38" ht="285.75" x14ac:dyDescent="0.25">
      <c r="A164" s="346">
        <f>'הזנה לתנאי סף'!B164</f>
        <v>134</v>
      </c>
      <c r="B164" s="347">
        <f>IF($F164="","",'הזנה לתנאי סף'!C164)</f>
        <v>1001348957</v>
      </c>
      <c r="C164" s="347">
        <f>IF($F164="","",'הזנה לתנאי סף'!D164)</f>
        <v>1001274725</v>
      </c>
      <c r="D164" s="347">
        <f>IF($F164="","",'הזנה לתנאי סף'!E164)</f>
        <v>40993419</v>
      </c>
      <c r="E164" s="348">
        <f>IF($F164="","",'הזנה לתנאי סף'!F164)</f>
        <v>20000182</v>
      </c>
      <c r="F164" s="348" t="str">
        <f>IF('הזנה לתנאי סף'!BL164=1,'הזנה לתנאי סף'!G164,"")</f>
        <v>חיפה</v>
      </c>
      <c r="G164" s="348" t="str">
        <f>IF($F164="","",'הזנה לתנאי סף'!H164)</f>
        <v>התאטרון העברי - עמותה לטיפוח תרבות עברית</v>
      </c>
      <c r="H164" s="348" t="str">
        <f>IF($F164="","",'הזנה לתנאי סף'!I164)</f>
        <v>תיאטרון</v>
      </c>
      <c r="I164" s="349">
        <f>IF($F164="","",'הזנה לתנאי סף'!R164)</f>
        <v>6357068</v>
      </c>
      <c r="J164" s="349">
        <f>IF($F164="","",'תחום תמיכה א'!P164)</f>
        <v>6555106</v>
      </c>
      <c r="K164" s="177">
        <f>IF($F164="","",'הזנה לתנאי סף'!N164)</f>
        <v>0</v>
      </c>
      <c r="L164" s="177">
        <f>IF($F164="","",'הזנה לתנאי סף'!O164)</f>
        <v>1</v>
      </c>
      <c r="M164" s="177">
        <f>IF($F164="","",'הזנה לתנאי סף'!Q164)</f>
        <v>1</v>
      </c>
      <c r="N164" s="349">
        <f>IF($F164="","",'תחום תמיכה א'!AE164)</f>
        <v>321141.16212487465</v>
      </c>
      <c r="O164" s="178"/>
      <c r="P164" s="349">
        <f>IF($F164="","",'תחום תמיכה ב'!AC164)</f>
        <v>870255.56039761368</v>
      </c>
      <c r="Q164" s="349">
        <f>IF($F164="","",IF('תחום תמיכה ג'!O164="",0,'תחום תמיכה ג'!O164))</f>
        <v>0</v>
      </c>
      <c r="R164" s="349">
        <f t="shared" si="8"/>
        <v>26094.658446836169</v>
      </c>
      <c r="S164" s="349">
        <f>IF($F164="","",'תחום תמיכה ב'!AE164)</f>
        <v>896350.21884444985</v>
      </c>
      <c r="T164" s="349">
        <f>IF($F164="","",IF(Q164='תחום תמיכה ג'!$Q$2,'תחום תמיכה ג'!$Q$2,IFERROR(SUMIF(N164:R164,"&gt;0"),'תחום תמיכה ג'!$Q$2)))</f>
        <v>1217491.3809693246</v>
      </c>
      <c r="U164" s="349">
        <f>IF($F164="","",'הזנה לתנאי סף'!Y164)</f>
        <v>1118000</v>
      </c>
      <c r="V164" s="350">
        <f>IF(F164="","",'הגבלה לסכום מבוקש '!AA164)</f>
        <v>1118000</v>
      </c>
      <c r="W164" s="349">
        <f t="shared" si="9"/>
        <v>279500</v>
      </c>
      <c r="X164" s="349">
        <f>IF(F164="","",'הזנה לתנאי סף'!Z164)</f>
        <v>1000000</v>
      </c>
      <c r="Y164" s="351" t="s">
        <v>3740</v>
      </c>
      <c r="Z164" s="352" t="str">
        <f>IFERROR(VLOOKUP(G164*1,#REF!,3,0),"")</f>
        <v/>
      </c>
      <c r="AA164" s="349" t="str">
        <f>IF(OR($F164="",Z164=""),"",IFERROR(IF(Z164&gt;V164,MIN(Z164,T164)-V164,0),'תחום תמיכה ג'!$Q$2))</f>
        <v/>
      </c>
      <c r="AB164" s="353"/>
      <c r="AC164" s="260" t="str">
        <f t="shared" si="11"/>
        <v/>
      </c>
      <c r="AD164" s="354"/>
      <c r="AE164" s="180"/>
      <c r="AF164" s="355" t="str">
        <f>IF($C164="","",IFERROR(VLOOKUP($C164,גיליון1!$A:$E,2,0),"לא הגיש בקשה שוטפת"))</f>
        <v>התיאטרון העברי - תמיכה שוטפת 2020</v>
      </c>
      <c r="AG164" s="355" t="str">
        <f>IF($C164="","",IFERROR(VLOOKUP($C164,גיליון1!$A:$E,3,0),"לא הגיש בקשה שוטפת"))</f>
        <v>חויב</v>
      </c>
      <c r="AH164" s="355" t="str">
        <f>IF($C164="","",IFERROR(VLOOKUP($C164,גיליון1!$A:$E,4,0),"לא הגיש בקשה שוטפת"))</f>
        <v>19-42-02-07</v>
      </c>
      <c r="AI164" s="355" t="str">
        <f>IF($C164="","",IFERROR(VLOOKUP($C164,גיליון1!$A:$E,5,0),"לא הגיש בקשה שוטפת"))</f>
        <v>תיאטרון</v>
      </c>
      <c r="AJ164" s="355">
        <f t="shared" si="10"/>
        <v>1</v>
      </c>
      <c r="AK164" s="15"/>
      <c r="AL164" s="15" t="s">
        <v>59</v>
      </c>
    </row>
    <row r="165" spans="1:38" ht="285.75" x14ac:dyDescent="0.25">
      <c r="A165" s="346">
        <f>'הזנה לתנאי סף'!B165</f>
        <v>135</v>
      </c>
      <c r="B165" s="347">
        <f>IF($F165="","",'הזנה לתנאי סף'!C165)</f>
        <v>1001348221</v>
      </c>
      <c r="C165" s="347">
        <f>IF($F165="","",'הזנה לתנאי סף'!D165)</f>
        <v>1001269209</v>
      </c>
      <c r="D165" s="347">
        <f>IF($F165="","",'הזנה לתנאי סף'!E165)</f>
        <v>41489877</v>
      </c>
      <c r="E165" s="348">
        <f>IF($F165="","",'הזנה לתנאי סף'!F165)</f>
        <v>20000201</v>
      </c>
      <c r="F165" s="348" t="str">
        <f>IF('הזנה לתנאי סף'!BL165=1,'הזנה לתנאי סף'!G165,"")</f>
        <v>תל אביב -יפו</v>
      </c>
      <c r="G165" s="348" t="str">
        <f>IF($F165="","",'הזנה לתנאי סף'!H165)</f>
        <v>עמותת רננה רז</v>
      </c>
      <c r="H165" s="348" t="str">
        <f>IF($F165="","",'הזנה לתנאי סף'!I165)</f>
        <v>מחול</v>
      </c>
      <c r="I165" s="349">
        <f>IF($F165="","",'הזנה לתנאי סף'!R165)</f>
        <v>805850</v>
      </c>
      <c r="J165" s="349">
        <f>IF($F165="","",'תחום תמיכה א'!P165)</f>
        <v>746643</v>
      </c>
      <c r="K165" s="177">
        <f>IF($F165="","",'הזנה לתנאי סף'!N165)</f>
        <v>1</v>
      </c>
      <c r="L165" s="177">
        <f>IF($F165="","",'הזנה לתנאי סף'!O165)</f>
        <v>1</v>
      </c>
      <c r="M165" s="177">
        <f>IF($F165="","",'הזנה לתנאי סף'!Q165)</f>
        <v>1</v>
      </c>
      <c r="N165" s="349">
        <f>IF($F165="","",'תחום תמיכה א'!AE165)</f>
        <v>32239.668381881042</v>
      </c>
      <c r="O165" s="178"/>
      <c r="P165" s="349">
        <f>IF($F165="","",'תחום תמיכה ב'!AC165)</f>
        <v>70708.114227196522</v>
      </c>
      <c r="Q165" s="349">
        <f>IF($F165="","",IF('תחום תמיכה ג'!O165="",0,'תחום תמיכה ג'!O165))</f>
        <v>29650.936435262436</v>
      </c>
      <c r="R165" s="349">
        <f t="shared" si="8"/>
        <v>2120.1864993951458</v>
      </c>
      <c r="S165" s="349">
        <f>IF($F165="","",'תחום תמיכה ב'!AE165)</f>
        <v>72828.300726591668</v>
      </c>
      <c r="T165" s="349">
        <f>IF($F165="","",IF(Q165='תחום תמיכה ג'!$Q$2,'תחום תמיכה ג'!$Q$2,IFERROR(SUMIF(N165:R165,"&gt;0"),'תחום תמיכה ג'!$Q$2)))</f>
        <v>134718.90554373513</v>
      </c>
      <c r="U165" s="349">
        <f>IF($F165="","",'הזנה לתנאי סף'!Y165)</f>
        <v>500000</v>
      </c>
      <c r="V165" s="350">
        <f>IF(F165="","",'הגבלה לסכום מבוקש '!AA165)</f>
        <v>146856.95905289572</v>
      </c>
      <c r="W165" s="349">
        <f t="shared" si="9"/>
        <v>36714.23976322393</v>
      </c>
      <c r="X165" s="349">
        <f>IF(F165="","",'הזנה לתנאי סף'!Z165)</f>
        <v>100000</v>
      </c>
      <c r="Y165" s="351" t="s">
        <v>3740</v>
      </c>
      <c r="Z165" s="352" t="str">
        <f>IFERROR(VLOOKUP(G165*1,#REF!,3,0),"")</f>
        <v/>
      </c>
      <c r="AA165" s="349" t="str">
        <f>IF(OR($F165="",Z165=""),"",IFERROR(IF(Z165&gt;V165,MIN(Z165,T165)-V165,0),'תחום תמיכה ג'!$Q$2))</f>
        <v/>
      </c>
      <c r="AB165" s="353"/>
      <c r="AC165" s="260" t="str">
        <f t="shared" si="11"/>
        <v/>
      </c>
      <c r="AD165" s="354"/>
      <c r="AE165" s="180"/>
      <c r="AF165" s="355" t="str">
        <f>IF($C165="","",IFERROR(VLOOKUP($C165,גיליון1!$A:$E,2,0),"לא הגיש בקשה שוטפת"))</f>
        <v>תמיכה ביוצרים</v>
      </c>
      <c r="AG165" s="355" t="str">
        <f>IF($C165="","",IFERROR(VLOOKUP($C165,גיליון1!$A:$E,3,0),"לא הגיש בקשה שוטפת"))</f>
        <v>חויב</v>
      </c>
      <c r="AH165" s="355" t="str">
        <f>IF($C165="","",IFERROR(VLOOKUP($C165,גיליון1!$A:$E,4,0),"לא הגיש בקשה שוטפת"))</f>
        <v>19-42-02-20</v>
      </c>
      <c r="AI165" s="355" t="str">
        <f>IF($C165="","",IFERROR(VLOOKUP($C165,גיליון1!$A:$E,5,0),"לא הגיש בקשה שוטפת"))</f>
        <v>מחול וארגוני גג</v>
      </c>
      <c r="AJ165" s="355">
        <f t="shared" si="10"/>
        <v>0</v>
      </c>
      <c r="AK165" s="15"/>
      <c r="AL165" s="15" t="s">
        <v>61</v>
      </c>
    </row>
    <row r="166" spans="1:38" ht="285.75" x14ac:dyDescent="0.25">
      <c r="A166" s="346">
        <f>'הזנה לתנאי סף'!B166</f>
        <v>136</v>
      </c>
      <c r="B166" s="347">
        <f>IF($F166="","",'הזנה לתנאי סף'!C166)</f>
        <v>1001347308</v>
      </c>
      <c r="C166" s="347">
        <f>IF($F166="","",'הזנה לתנאי סף'!D166)</f>
        <v>1001271799</v>
      </c>
      <c r="D166" s="347">
        <f>IF($F166="","",'הזנה לתנאי סף'!E166)</f>
        <v>40221577</v>
      </c>
      <c r="E166" s="348">
        <f>IF($F166="","",'הזנה לתנאי סף'!F166)</f>
        <v>20000159</v>
      </c>
      <c r="F166" s="348" t="str">
        <f>IF('הזנה לתנאי סף'!BL166=1,'הזנה לתנאי סף'!G166,"")</f>
        <v>ירושלים</v>
      </c>
      <c r="G166" s="348" t="str">
        <f>IF($F166="","",'הזנה לתנאי סף'!H166)</f>
        <v>בלט ירושלים</v>
      </c>
      <c r="H166" s="348" t="str">
        <f>IF($F166="","",'הזנה לתנאי סף'!I166)</f>
        <v>מחול</v>
      </c>
      <c r="I166" s="349">
        <f>IF($F166="","",'הזנה לתנאי סף'!R166)</f>
        <v>834289</v>
      </c>
      <c r="J166" s="349">
        <f>IF($F166="","",'תחום תמיכה א'!P166)</f>
        <v>787375</v>
      </c>
      <c r="K166" s="177">
        <f>IF($F166="","",'הזנה לתנאי סף'!N166)</f>
        <v>1</v>
      </c>
      <c r="L166" s="177">
        <f>IF($F166="","",'הזנה לתנאי סף'!O166)</f>
        <v>1</v>
      </c>
      <c r="M166" s="177">
        <f>IF($F166="","",'הזנה לתנאי סף'!Q166)</f>
        <v>1</v>
      </c>
      <c r="N166" s="349">
        <f>IF($F166="","",'תחום תמיכה א'!AE166)</f>
        <v>21737.746969333628</v>
      </c>
      <c r="O166" s="178"/>
      <c r="P166" s="349">
        <f>IF($F166="","",'תחום תמיכה ב'!AC166)</f>
        <v>36269.349921570654</v>
      </c>
      <c r="Q166" s="349">
        <f>IF($F166="","",IF('תחום תמיכה ג'!O166="",0,'תחום תמיכה ג'!O166))</f>
        <v>6269.8237772197335</v>
      </c>
      <c r="R166" s="349">
        <f t="shared" si="8"/>
        <v>1087.5383523659984</v>
      </c>
      <c r="S166" s="349">
        <f>IF($F166="","",'תחום תמיכה ב'!AE166)</f>
        <v>37356.888273936653</v>
      </c>
      <c r="T166" s="349">
        <f>IF($F166="","",IF(Q166='תחום תמיכה ג'!$Q$2,'תחום תמיכה ג'!$Q$2,IFERROR(SUMIF(N166:R166,"&gt;0"),'תחום תמיכה ג'!$Q$2)))</f>
        <v>65364.459020490016</v>
      </c>
      <c r="U166" s="349">
        <f>IF($F166="","",'הזנה לתנאי סף'!Y166)</f>
        <v>1408511</v>
      </c>
      <c r="V166" s="350">
        <f>IF(F166="","",'הגבלה לסכום מבוקש '!AA166)</f>
        <v>71588.906391052267</v>
      </c>
      <c r="W166" s="349">
        <f t="shared" si="9"/>
        <v>17897.226597763067</v>
      </c>
      <c r="X166" s="349">
        <f>IF(F166="","",'הזנה לתנאי סף'!Z166)</f>
        <v>900000</v>
      </c>
      <c r="Y166" s="351" t="s">
        <v>3740</v>
      </c>
      <c r="Z166" s="352" t="str">
        <f>IFERROR(VLOOKUP(G166*1,#REF!,3,0),"")</f>
        <v/>
      </c>
      <c r="AA166" s="349" t="str">
        <f>IF(OR($F166="",Z166=""),"",IFERROR(IF(Z166&gt;V166,MIN(Z166,T166)-V166,0),'תחום תמיכה ג'!$Q$2))</f>
        <v/>
      </c>
      <c r="AB166" s="353"/>
      <c r="AC166" s="260" t="str">
        <f t="shared" si="11"/>
        <v/>
      </c>
      <c r="AD166" s="354"/>
      <c r="AE166" s="180"/>
      <c r="AF166" s="355" t="str">
        <f>IF($C166="","",IFERROR(VLOOKUP($C166,גיליון1!$A:$E,2,0),"לא הגיש בקשה שוטפת"))</f>
        <v>תמיכה ללהקה קטנה</v>
      </c>
      <c r="AG166" s="355" t="str">
        <f>IF($C166="","",IFERROR(VLOOKUP($C166,גיליון1!$A:$E,3,0),"לא הגיש בקשה שוטפת"))</f>
        <v>מועד</v>
      </c>
      <c r="AH166" s="355" t="str">
        <f>IF($C166="","",IFERROR(VLOOKUP($C166,גיליון1!$A:$E,4,0),"לא הגיש בקשה שוטפת"))</f>
        <v>19-42-02-20</v>
      </c>
      <c r="AI166" s="355" t="str">
        <f>IF($C166="","",IFERROR(VLOOKUP($C166,גיליון1!$A:$E,5,0),"לא הגיש בקשה שוטפת"))</f>
        <v>מחול וארגוני גג</v>
      </c>
      <c r="AJ166" s="355">
        <f t="shared" si="10"/>
        <v>0</v>
      </c>
      <c r="AK166" s="15"/>
      <c r="AL166" s="15" t="s">
        <v>63</v>
      </c>
    </row>
    <row r="167" spans="1:38" ht="285.75" x14ac:dyDescent="0.25">
      <c r="A167" s="346">
        <f>'הזנה לתנאי סף'!B167</f>
        <v>137</v>
      </c>
      <c r="B167" s="347">
        <f>IF($F167="","",'הזנה לתנאי סף'!C167)</f>
        <v>1001347068</v>
      </c>
      <c r="C167" s="347">
        <f>IF($F167="","",'הזנה לתנאי סף'!D167)</f>
        <v>1001265731</v>
      </c>
      <c r="D167" s="347">
        <f>IF($F167="","",'הזנה לתנאי סף'!E167)</f>
        <v>40000188</v>
      </c>
      <c r="E167" s="348">
        <f>IF($F167="","",'הזנה לתנאי סף'!F167)</f>
        <v>20000228</v>
      </c>
      <c r="F167" s="348" t="str">
        <f>IF('הזנה לתנאי סף'!BL167=1,'הזנה לתנאי סף'!G167,"")</f>
        <v>לוד</v>
      </c>
      <c r="G167" s="348" t="str">
        <f>IF($F167="","",'הזנה לתנאי סף'!H167)</f>
        <v>מכון הברמן למחקרי ספרות</v>
      </c>
      <c r="H167" s="348" t="str">
        <f>IF($F167="","",'הזנה לתנאי סף'!I167)</f>
        <v>אחר</v>
      </c>
      <c r="I167" s="349">
        <f>IF($F167="","",'הזנה לתנאי סף'!R167)</f>
        <v>349412</v>
      </c>
      <c r="J167" s="349">
        <f>IF($F167="","",'תחום תמיכה א'!P167)</f>
        <v>341655</v>
      </c>
      <c r="K167" s="177">
        <f>IF($F167="","",'הזנה לתנאי סף'!N167)</f>
        <v>0</v>
      </c>
      <c r="L167" s="177">
        <f>IF($F167="","",'הזנה לתנאי סף'!O167)</f>
        <v>1</v>
      </c>
      <c r="M167" s="177">
        <f>IF($F167="","",'הזנה לתנאי סף'!Q167)</f>
        <v>1</v>
      </c>
      <c r="N167" s="349">
        <f>IF($F167="","",'תחום תמיכה א'!AE167)</f>
        <v>5313.6650178830614</v>
      </c>
      <c r="O167" s="178"/>
      <c r="P167" s="349">
        <f>IF($F167="","",'תחום תמיכה ב'!AC167)</f>
        <v>4820.6770432587537</v>
      </c>
      <c r="Q167" s="349">
        <f>IF($F167="","",IF('תחום תמיכה ג'!O167="",0,'תחום תמיכה ג'!O167))</f>
        <v>0</v>
      </c>
      <c r="R167" s="349">
        <f t="shared" si="8"/>
        <v>144.54825300842276</v>
      </c>
      <c r="S167" s="349">
        <f>IF($F167="","",'תחום תמיכה ב'!AE167)</f>
        <v>4965.2252962671764</v>
      </c>
      <c r="T167" s="349">
        <f>IF($F167="","",IF(Q167='תחום תמיכה ג'!$Q$2,'תחום תמיכה ג'!$Q$2,IFERROR(SUMIF(N167:R167,"&gt;0"),'תחום תמיכה ג'!$Q$2)))</f>
        <v>10278.890314150238</v>
      </c>
      <c r="U167" s="349">
        <f>IF($F167="","",'הזנה לתנאי סף'!Y167)</f>
        <v>345000</v>
      </c>
      <c r="V167" s="350">
        <f>IF(F167="","",'הגבלה לסכום מבוקש '!AA167)</f>
        <v>11106.926285607302</v>
      </c>
      <c r="W167" s="349">
        <f t="shared" si="9"/>
        <v>2776.7315714018255</v>
      </c>
      <c r="X167" s="349">
        <f>IF(F167="","",'הזנה לתנאי סף'!Z167)</f>
        <v>345000</v>
      </c>
      <c r="Y167" s="351" t="s">
        <v>3740</v>
      </c>
      <c r="Z167" s="352" t="str">
        <f>IFERROR(VLOOKUP(G167*1,#REF!,3,0),"")</f>
        <v/>
      </c>
      <c r="AA167" s="349" t="str">
        <f>IF(OR($F167="",Z167=""),"",IFERROR(IF(Z167&gt;V167,MIN(Z167,T167)-V167,0),'תחום תמיכה ג'!$Q$2))</f>
        <v/>
      </c>
      <c r="AB167" s="353"/>
      <c r="AC167" s="260" t="str">
        <f t="shared" si="11"/>
        <v/>
      </c>
      <c r="AD167" s="354"/>
      <c r="AE167" s="180"/>
      <c r="AF167" s="355" t="str">
        <f>IF($C167="","",IFERROR(VLOOKUP($C167,גיליון1!$A:$E,2,0),"לא הגיש בקשה שוטפת"))</f>
        <v>תמיכה שוטפת</v>
      </c>
      <c r="AG167" s="355" t="str">
        <f>IF($C167="","",IFERROR(VLOOKUP($C167,גיליון1!$A:$E,3,0),"לא הגיש בקשה שוטפת"))</f>
        <v>מועד</v>
      </c>
      <c r="AH167" s="355" t="str">
        <f>IF($C167="","",IFERROR(VLOOKUP($C167,גיליון1!$A:$E,4,0),"לא הגיש בקשה שוטפת"))</f>
        <v>19-42-02-14</v>
      </c>
      <c r="AI167" s="355" t="str">
        <f>IF($C167="","",IFERROR(VLOOKUP($C167,גיליון1!$A:$E,5,0),"לא הגיש בקשה שוטפת"))</f>
        <v>מחקר מורשת ואיגודים</v>
      </c>
      <c r="AJ167" s="355">
        <f t="shared" si="10"/>
        <v>0</v>
      </c>
      <c r="AK167" s="15"/>
      <c r="AL167" s="15" t="s">
        <v>65</v>
      </c>
    </row>
    <row r="168" spans="1:38" ht="57.75" x14ac:dyDescent="0.25">
      <c r="A168" s="346">
        <f>'הזנה לתנאי סף'!B168</f>
        <v>138</v>
      </c>
      <c r="B168" s="347">
        <f>IF($F168="","",'הזנה לתנאי סף'!C168)</f>
        <v>1001348953</v>
      </c>
      <c r="C168" s="347">
        <f>IF($F168="","",'הזנה לתנאי סף'!D168)</f>
        <v>1001277689</v>
      </c>
      <c r="D168" s="347">
        <f>IF($F168="","",'הזנה לתנאי סף'!E168)</f>
        <v>40821399</v>
      </c>
      <c r="E168" s="348">
        <f>IF($F168="","",'הזנה לתנאי סף'!F168)</f>
        <v>20000233</v>
      </c>
      <c r="F168" s="348" t="str">
        <f>IF('הזנה לתנאי סף'!BL168=1,'הזנה לתנאי סף'!G168,"")</f>
        <v>נתניה</v>
      </c>
      <c r="G168" s="348" t="str">
        <f>IF($F168="","",'הזנה לתנאי סף'!H168)</f>
        <v>תזמורת נתניה הקאמרית הקיבוצית</v>
      </c>
      <c r="H168" s="348" t="str">
        <f>IF($F168="","",'הזנה לתנאי סף'!I168)</f>
        <v>מוסיקה-גופים כליים</v>
      </c>
      <c r="I168" s="349">
        <f>IF($F168="","",'הזנה לתנאי סף'!R168)</f>
        <v>7965000</v>
      </c>
      <c r="J168" s="349">
        <f>IF($F168="","",'תחום תמיכה א'!P168)</f>
        <v>7421000</v>
      </c>
      <c r="K168" s="177">
        <f>IF($F168="","",'הזנה לתנאי סף'!N168)</f>
        <v>0</v>
      </c>
      <c r="L168" s="177">
        <f>IF($F168="","",'הזנה לתנאי סף'!O168)</f>
        <v>1</v>
      </c>
      <c r="M168" s="177">
        <f>IF($F168="","",'הזנה לתנאי סף'!Q168)</f>
        <v>1</v>
      </c>
      <c r="N168" s="349">
        <f>IF($F168="","",'תחום תמיכה א'!AE168)</f>
        <v>0</v>
      </c>
      <c r="O168" s="178"/>
      <c r="P168" s="349">
        <f>IF($F168="","",'תחום תמיכה ב'!AC168)</f>
        <v>0</v>
      </c>
      <c r="Q168" s="349">
        <f>IF($F168="","",IF('תחום תמיכה ג'!O168="",0,'תחום תמיכה ג'!O168))</f>
        <v>0</v>
      </c>
      <c r="R168" s="349">
        <f t="shared" si="8"/>
        <v>0</v>
      </c>
      <c r="S168" s="349">
        <f>IF($F168="","",'תחום תמיכה ב'!AE168)</f>
        <v>0</v>
      </c>
      <c r="T168" s="349">
        <f>IF($F168="","",IF(Q168='תחום תמיכה ג'!$Q$2,'תחום תמיכה ג'!$Q$2,IFERROR(SUMIF(N168:R168,"&gt;0"),'תחום תמיכה ג'!$Q$2)))</f>
        <v>0</v>
      </c>
      <c r="U168" s="349">
        <f>IF($F168="","",'הזנה לתנאי סף'!Y168)</f>
        <v>1000000</v>
      </c>
      <c r="V168" s="350">
        <f>IF(F168="","",'הגבלה לסכום מבוקש '!AA168)</f>
        <v>0</v>
      </c>
      <c r="W168" s="349">
        <f t="shared" si="9"/>
        <v>0</v>
      </c>
      <c r="X168" s="349">
        <f>IF(F168="","",'הזנה לתנאי סף'!Z168)</f>
        <v>1</v>
      </c>
      <c r="Y168" s="351" t="s">
        <v>3741</v>
      </c>
      <c r="Z168" s="352" t="str">
        <f>IFERROR(VLOOKUP(G168*1,#REF!,3,0),"")</f>
        <v/>
      </c>
      <c r="AA168" s="349" t="str">
        <f>IF(OR($F168="",Z168=""),"",IFERROR(IF(Z168&gt;V168,MIN(Z168,T168)-V168,0),'תחום תמיכה ג'!$Q$2))</f>
        <v/>
      </c>
      <c r="AB168" s="353"/>
      <c r="AC168" s="260" t="str">
        <f t="shared" si="11"/>
        <v/>
      </c>
      <c r="AD168" s="354"/>
      <c r="AE168" s="180"/>
      <c r="AF168" s="355" t="str">
        <f>IF($C168="","",IFERROR(VLOOKUP($C168,גיליון1!$A:$E,2,0),"לא הגיש בקשה שוטפת"))</f>
        <v>בקשת תמיכה לפי סעיף 3 א</v>
      </c>
      <c r="AG168" s="355" t="str">
        <f>IF($C168="","",IFERROR(VLOOKUP($C168,גיליון1!$A:$E,3,0),"לא הגיש בקשה שוטפת"))</f>
        <v>חויב</v>
      </c>
      <c r="AH168" s="355" t="str">
        <f>IF($C168="","",IFERROR(VLOOKUP($C168,גיליון1!$A:$E,4,0),"לא הגיש בקשה שוטפת"))</f>
        <v>19-42-02-16</v>
      </c>
      <c r="AI168" s="355" t="str">
        <f>IF($C168="","",IFERROR(VLOOKUP($C168,גיליון1!$A:$E,5,0),"לא הגיש בקשה שוטפת"))</f>
        <v>מוסיקה</v>
      </c>
      <c r="AJ168" s="355">
        <f t="shared" si="10"/>
        <v>0</v>
      </c>
      <c r="AK168" s="15"/>
      <c r="AL168" s="15" t="s">
        <v>69</v>
      </c>
    </row>
    <row r="169" spans="1:38" ht="285.75" x14ac:dyDescent="0.25">
      <c r="A169" s="346">
        <f>'הזנה לתנאי סף'!B169</f>
        <v>139</v>
      </c>
      <c r="B169" s="347">
        <f>IF($F169="","",'הזנה לתנאי סף'!C169)</f>
        <v>1001347059</v>
      </c>
      <c r="C169" s="347">
        <f>IF($F169="","",'הזנה לתנאי סף'!D169)</f>
        <v>1001264877</v>
      </c>
      <c r="D169" s="347">
        <f>IF($F169="","",'הזנה לתנאי סף'!E169)</f>
        <v>41489885</v>
      </c>
      <c r="E169" s="348">
        <f>IF($F169="","",'הזנה לתנאי סף'!F169)</f>
        <v>20000201</v>
      </c>
      <c r="F169" s="348" t="str">
        <f>IF('הזנה לתנאי סף'!BL169=1,'הזנה לתנאי סף'!G169,"")</f>
        <v>תל אביב -יפו</v>
      </c>
      <c r="G169" s="348" t="str">
        <f>IF($F169="","",'הזנה לתנאי סף'!H169)</f>
        <v>עמותה למחול ואמניות ניב שינפלד</v>
      </c>
      <c r="H169" s="348" t="str">
        <f>IF($F169="","",'הזנה לתנאי סף'!I169)</f>
        <v>מחול</v>
      </c>
      <c r="I169" s="349">
        <f>IF($F169="","",'הזנה לתנאי סף'!R169)</f>
        <v>559889</v>
      </c>
      <c r="J169" s="349">
        <f>IF($F169="","",'תחום תמיכה א'!P169)</f>
        <v>608933</v>
      </c>
      <c r="K169" s="177">
        <f>IF($F169="","",'הזנה לתנאי סף'!N169)</f>
        <v>1</v>
      </c>
      <c r="L169" s="177">
        <f>IF($F169="","",'הזנה לתנאי סף'!O169)</f>
        <v>1</v>
      </c>
      <c r="M169" s="177">
        <f>IF($F169="","",'הזנה לתנאי סף'!Q169)</f>
        <v>1</v>
      </c>
      <c r="N169" s="349">
        <f>IF($F169="","",'תחום תמיכה א'!AE169)</f>
        <v>16397.701638120725</v>
      </c>
      <c r="O169" s="178"/>
      <c r="P169" s="349">
        <f>IF($F169="","",'תחום תמיכה ב'!AC169)</f>
        <v>22723.892757913723</v>
      </c>
      <c r="Q169" s="349">
        <f>IF($F169="","",IF('תחום תמיכה ג'!O169="",0,'תחום תמיכה ג'!O169))</f>
        <v>9529.1001194239452</v>
      </c>
      <c r="R169" s="349">
        <f t="shared" si="8"/>
        <v>681.37711160313484</v>
      </c>
      <c r="S169" s="349">
        <f>IF($F169="","",'תחום תמיכה ב'!AE169)</f>
        <v>23405.269869516858</v>
      </c>
      <c r="T169" s="349">
        <f>IF($F169="","",IF(Q169='תחום תמיכה ג'!$Q$2,'תחום תמיכה ג'!$Q$2,IFERROR(SUMIF(N169:R169,"&gt;0"),'תחום תמיכה ג'!$Q$2)))</f>
        <v>49332.071627061523</v>
      </c>
      <c r="U169" s="349">
        <f>IF($F169="","",'הזנה לתנאי סף'!Y169)</f>
        <v>130000</v>
      </c>
      <c r="V169" s="350">
        <f>IF(F169="","",'הגבלה לסכום מבוקש '!AA169)</f>
        <v>53235.699671450471</v>
      </c>
      <c r="W169" s="349">
        <f t="shared" si="9"/>
        <v>13308.924917862618</v>
      </c>
      <c r="X169" s="349">
        <f>IF(F169="","",'הזנה לתנאי סף'!Z169)</f>
        <v>1</v>
      </c>
      <c r="Y169" s="351" t="s">
        <v>3740</v>
      </c>
      <c r="Z169" s="352" t="str">
        <f>IFERROR(VLOOKUP(G169*1,#REF!,3,0),"")</f>
        <v/>
      </c>
      <c r="AA169" s="349" t="str">
        <f>IF(OR($F169="",Z169=""),"",IFERROR(IF(Z169&gt;V169,MIN(Z169,T169)-V169,0),'תחום תמיכה ג'!$Q$2))</f>
        <v/>
      </c>
      <c r="AB169" s="353"/>
      <c r="AC169" s="260" t="str">
        <f t="shared" si="11"/>
        <v/>
      </c>
      <c r="AD169" s="354"/>
      <c r="AE169" s="180"/>
      <c r="AF169" s="355" t="str">
        <f>IF($C169="","",IFERROR(VLOOKUP($C169,גיליון1!$A:$E,2,0),"לא הגיש בקשה שוטפת"))</f>
        <v>תמיכה ביוצרים ניב שינפלד ואורן לאור</v>
      </c>
      <c r="AG169" s="355" t="str">
        <f>IF($C169="","",IFERROR(VLOOKUP($C169,גיליון1!$A:$E,3,0),"לא הגיש בקשה שוטפת"))</f>
        <v>חויב</v>
      </c>
      <c r="AH169" s="355" t="str">
        <f>IF($C169="","",IFERROR(VLOOKUP($C169,גיליון1!$A:$E,4,0),"לא הגיש בקשה שוטפת"))</f>
        <v>19-42-02-20</v>
      </c>
      <c r="AI169" s="355" t="str">
        <f>IF($C169="","",IFERROR(VLOOKUP($C169,גיליון1!$A:$E,5,0),"לא הגיש בקשה שוטפת"))</f>
        <v>מחול וארגוני גג</v>
      </c>
      <c r="AJ169" s="355">
        <f t="shared" si="10"/>
        <v>0</v>
      </c>
      <c r="AK169" s="15"/>
      <c r="AL169" s="15" t="s">
        <v>89</v>
      </c>
    </row>
    <row r="170" spans="1:38" ht="285.75" x14ac:dyDescent="0.25">
      <c r="A170" s="346">
        <f>'הזנה לתנאי סף'!B170</f>
        <v>140</v>
      </c>
      <c r="B170" s="347">
        <f>IF($F170="","",'הזנה לתנאי סף'!C170)</f>
        <v>1001348829</v>
      </c>
      <c r="C170" s="347">
        <f>IF($F170="","",'הזנה לתנאי סף'!D170)</f>
        <v>1001270276</v>
      </c>
      <c r="D170" s="347">
        <f>IF($F170="","",'הזנה לתנאי סף'!E170)</f>
        <v>41489893</v>
      </c>
      <c r="E170" s="348">
        <f>IF($F170="","",'הזנה לתנאי סף'!F170)</f>
        <v>20000201</v>
      </c>
      <c r="F170" s="348" t="str">
        <f>IF('הזנה לתנאי סף'!BL170=1,'הזנה לתנאי סף'!G170,"")</f>
        <v>תל אביב -יפו</v>
      </c>
      <c r="G170" s="348" t="str">
        <f>IF($F170="","",'הזנה לתנאי סף'!H170)</f>
        <v>תאטרון מחול יוסי ברג ועודד גרף</v>
      </c>
      <c r="H170" s="348" t="str">
        <f>IF($F170="","",'הזנה לתנאי סף'!I170)</f>
        <v>אחר</v>
      </c>
      <c r="I170" s="349">
        <f>IF($F170="","",'הזנה לתנאי סף'!R170)</f>
        <v>442617</v>
      </c>
      <c r="J170" s="349">
        <f>IF($F170="","",'תחום תמיכה א'!P170)</f>
        <v>367410</v>
      </c>
      <c r="K170" s="177">
        <f>IF($F170="","",'הזנה לתנאי סף'!N170)</f>
        <v>1</v>
      </c>
      <c r="L170" s="177">
        <f>IF($F170="","",'הזנה לתנאי סף'!O170)</f>
        <v>1</v>
      </c>
      <c r="M170" s="177">
        <f>IF($F170="","",'הזנה לתנאי סף'!Q170)</f>
        <v>1</v>
      </c>
      <c r="N170" s="349">
        <f>IF($F170="","",'תחום תמיכה א'!AE170)</f>
        <v>11556.006362396072</v>
      </c>
      <c r="O170" s="178"/>
      <c r="P170" s="349">
        <f>IF($F170="","",'תחום תמיכה ב'!AC170)</f>
        <v>22326.844596220933</v>
      </c>
      <c r="Q170" s="349">
        <f>IF($F170="","",IF('תחום תמיכה ג'!O170="",0,'תחום תמיכה ג'!O170))</f>
        <v>9362.6008437359706</v>
      </c>
      <c r="R170" s="349">
        <f t="shared" si="8"/>
        <v>669.47160173016891</v>
      </c>
      <c r="S170" s="349">
        <f>IF($F170="","",'תחום תמיכה ב'!AE170)</f>
        <v>22996.316197951102</v>
      </c>
      <c r="T170" s="349">
        <f>IF($F170="","",IF(Q170='תחום תמיכה ג'!$Q$2,'תחום תמיכה ג'!$Q$2,IFERROR(SUMIF(N170:R170,"&gt;0"),'תחום תמיכה ג'!$Q$2)))</f>
        <v>43914.923404083143</v>
      </c>
      <c r="U170" s="349">
        <f>IF($F170="","",'הזנה לתנאי סף'!Y170)</f>
        <v>200000</v>
      </c>
      <c r="V170" s="350">
        <f>IF(F170="","",'הגבלה לסכום מבוקש '!AA170)</f>
        <v>47748.270362842435</v>
      </c>
      <c r="W170" s="349">
        <f t="shared" si="9"/>
        <v>11937.067590710609</v>
      </c>
      <c r="X170" s="349">
        <f>IF(F170="","",'הזנה לתנאי סף'!Z170)</f>
        <v>1</v>
      </c>
      <c r="Y170" s="351" t="s">
        <v>3740</v>
      </c>
      <c r="Z170" s="352" t="str">
        <f>IFERROR(VLOOKUP(G170*1,#REF!,3,0),"")</f>
        <v/>
      </c>
      <c r="AA170" s="349" t="str">
        <f>IF(OR($F170="",Z170=""),"",IFERROR(IF(Z170&gt;V170,MIN(Z170,T170)-V170,0),'תחום תמיכה ג'!$Q$2))</f>
        <v/>
      </c>
      <c r="AB170" s="353"/>
      <c r="AC170" s="260" t="str">
        <f t="shared" si="11"/>
        <v/>
      </c>
      <c r="AD170" s="354"/>
      <c r="AE170" s="180"/>
      <c r="AF170" s="355" t="str">
        <f>IF($C170="","",IFERROR(VLOOKUP($C170,גיליון1!$A:$E,2,0),"לא הגיש בקשה שוטפת"))</f>
        <v>יוסי ועודד 2020 תמיכה שוטפת</v>
      </c>
      <c r="AG170" s="355" t="str">
        <f>IF($C170="","",IFERROR(VLOOKUP($C170,גיליון1!$A:$E,3,0),"לא הגיש בקשה שוטפת"))</f>
        <v>חויב</v>
      </c>
      <c r="AH170" s="355" t="str">
        <f>IF($C170="","",IFERROR(VLOOKUP($C170,גיליון1!$A:$E,4,0),"לא הגיש בקשה שוטפת"))</f>
        <v>19-42-02-20</v>
      </c>
      <c r="AI170" s="355" t="str">
        <f>IF($C170="","",IFERROR(VLOOKUP($C170,גיליון1!$A:$E,5,0),"לא הגיש בקשה שוטפת"))</f>
        <v>מחול וארגוני גג</v>
      </c>
      <c r="AJ170" s="355">
        <f t="shared" si="10"/>
        <v>0</v>
      </c>
      <c r="AK170" s="15"/>
      <c r="AL170" s="15" t="s">
        <v>91</v>
      </c>
    </row>
    <row r="171" spans="1:38" ht="285.75" x14ac:dyDescent="0.25">
      <c r="A171" s="346">
        <f>'הזנה לתנאי סף'!B171</f>
        <v>141</v>
      </c>
      <c r="B171" s="347">
        <f>IF($F171="","",'הזנה לתנאי סף'!C171)</f>
        <v>1001346762</v>
      </c>
      <c r="C171" s="347">
        <f>IF($F171="","",'הזנה לתנאי סף'!D171)</f>
        <v>1001274754</v>
      </c>
      <c r="D171" s="347">
        <f>IF($F171="","",'הזנה לתנאי סף'!E171)</f>
        <v>41512756</v>
      </c>
      <c r="E171" s="348">
        <f>IF($F171="","",'הזנה לתנאי סף'!F171)</f>
        <v>20000071</v>
      </c>
      <c r="F171" s="348" t="str">
        <f>IF('הזנה לתנאי סף'!BL171=1,'הזנה לתנאי סף'!G171,"")</f>
        <v>ריינה</v>
      </c>
      <c r="G171" s="348" t="str">
        <f>IF($F171="","",'הזנה לתנאי סף'!H171)</f>
        <v>מרכז על-קלעה לאומנויות הבמה</v>
      </c>
      <c r="H171" s="348" t="str">
        <f>IF($F171="","",'הזנה לתנאי סף'!I171)</f>
        <v>אחר</v>
      </c>
      <c r="I171" s="349">
        <f>IF($F171="","",'הזנה לתנאי סף'!R171)</f>
        <v>650986</v>
      </c>
      <c r="J171" s="349">
        <f>IF($F171="","",'תחום תמיכה א'!P171)</f>
        <v>782893</v>
      </c>
      <c r="K171" s="177">
        <f>IF($F171="","",'הזנה לתנאי סף'!N171)</f>
        <v>0</v>
      </c>
      <c r="L171" s="177">
        <f>IF($F171="","",'הזנה לתנאי סף'!O171)</f>
        <v>1</v>
      </c>
      <c r="M171" s="177">
        <f>IF($F171="","",'הזנה לתנאי סף'!Q171)</f>
        <v>1</v>
      </c>
      <c r="N171" s="349">
        <f>IF($F171="","",'תחום תמיכה א'!AE171)</f>
        <v>42796.456001186518</v>
      </c>
      <c r="O171" s="178"/>
      <c r="P171" s="349">
        <f>IF($F171="","",'תחום תמיכה ב'!AC171)</f>
        <v>110953.21216924886</v>
      </c>
      <c r="Q171" s="349">
        <f>IF($F171="","",IF('תחום תמיכה ג'!O171="",0,'תחום תמיכה ג'!O171))</f>
        <v>0</v>
      </c>
      <c r="R171" s="349">
        <f t="shared" si="8"/>
        <v>3326.9378638765193</v>
      </c>
      <c r="S171" s="349">
        <f>IF($F171="","",'תחום תמיכה ב'!AE171)</f>
        <v>114280.15003312538</v>
      </c>
      <c r="T171" s="349">
        <f>IF($F171="","",IF(Q171='תחום תמיכה ג'!$Q$2,'תחום תמיכה ג'!$Q$2,IFERROR(SUMIF(N171:R171,"&gt;0"),'תחום תמיכה ג'!$Q$2)))</f>
        <v>157076.6060343119</v>
      </c>
      <c r="U171" s="349">
        <f>IF($F171="","",'הזנה לתנאי סף'!Y171)</f>
        <v>600000</v>
      </c>
      <c r="V171" s="350">
        <f>IF(F171="","",'הגבלה לסכום מבוקש '!AA171)</f>
        <v>176098.56943510988</v>
      </c>
      <c r="W171" s="349">
        <f t="shared" si="9"/>
        <v>44024.64235877747</v>
      </c>
      <c r="X171" s="349">
        <f>IF(F171="","",'הזנה לתנאי סף'!Z171)</f>
        <v>300000</v>
      </c>
      <c r="Y171" s="351" t="s">
        <v>3740</v>
      </c>
      <c r="Z171" s="352" t="str">
        <f>IFERROR(VLOOKUP(G171*1,#REF!,3,0),"")</f>
        <v/>
      </c>
      <c r="AA171" s="349" t="str">
        <f>IF(OR($F171="",Z171=""),"",IFERROR(IF(Z171&gt;V171,MIN(Z171,T171)-V171,0),'תחום תמיכה ג'!$Q$2))</f>
        <v/>
      </c>
      <c r="AB171" s="353"/>
      <c r="AC171" s="260" t="str">
        <f t="shared" si="11"/>
        <v/>
      </c>
      <c r="AD171" s="354"/>
      <c r="AE171" s="180"/>
      <c r="AF171" s="355" t="str">
        <f>IF($C171="","",IFERROR(VLOOKUP($C171,גיליון1!$A:$E,2,0),"לא הגיש בקשה שוטפת"))</f>
        <v>שוטף מרכז אל קלעה לאומנויות הבמה (ע"ר)</v>
      </c>
      <c r="AG171" s="355" t="str">
        <f>IF($C171="","",IFERROR(VLOOKUP($C171,גיליון1!$A:$E,3,0),"לא הגיש בקשה שוטפת"))</f>
        <v>מועד</v>
      </c>
      <c r="AH171" s="355" t="str">
        <f>IF($C171="","",IFERROR(VLOOKUP($C171,גיליון1!$A:$E,4,0),"לא הגיש בקשה שוטפת"))</f>
        <v>19-42-02-33</v>
      </c>
      <c r="AI171" s="355" t="str">
        <f>IF($C171="","",IFERROR(VLOOKUP($C171,גיליון1!$A:$E,5,0),"לא הגיש בקשה שוטפת"))</f>
        <v>תרבות ערבית ודרוזית</v>
      </c>
      <c r="AJ171" s="355">
        <f t="shared" si="10"/>
        <v>0</v>
      </c>
      <c r="AK171" s="15"/>
      <c r="AL171" s="15" t="s">
        <v>97</v>
      </c>
    </row>
    <row r="172" spans="1:38" ht="285.75" x14ac:dyDescent="0.25">
      <c r="A172" s="346">
        <f>'הזנה לתנאי סף'!B172</f>
        <v>142</v>
      </c>
      <c r="B172" s="347">
        <f>IF($F172="","",'הזנה לתנאי סף'!C172)</f>
        <v>1001348970</v>
      </c>
      <c r="C172" s="347">
        <f>IF($F172="","",'הזנה לתנאי סף'!D172)</f>
        <v>1001274728</v>
      </c>
      <c r="D172" s="347">
        <f>IF($F172="","",'הזנה לתנאי סף'!E172)</f>
        <v>41512788</v>
      </c>
      <c r="E172" s="348">
        <f>IF($F172="","",'הזנה לתנאי סף'!F172)</f>
        <v>20000201</v>
      </c>
      <c r="F172" s="348" t="str">
        <f>IF('הזנה לתנאי סף'!BL172=1,'הזנה לתנאי סף'!G172,"")</f>
        <v>תל אביב -יפו</v>
      </c>
      <c r="G172" s="348" t="str">
        <f>IF($F172="","",'הזנה לתנאי סף'!H172)</f>
        <v>פלטפורמא - תיאטרון אקטיביסטי</v>
      </c>
      <c r="H172" s="348" t="str">
        <f>IF($F172="","",'הזנה לתנאי סף'!I172)</f>
        <v>תיאטרון</v>
      </c>
      <c r="I172" s="349">
        <f>IF($F172="","",'הזנה לתנאי סף'!R172)</f>
        <v>478752</v>
      </c>
      <c r="J172" s="349">
        <f>IF($F172="","",'תחום תמיכה א'!P172)</f>
        <v>443752</v>
      </c>
      <c r="K172" s="177">
        <f>IF($F172="","",'הזנה לתנאי סף'!N172)</f>
        <v>0</v>
      </c>
      <c r="L172" s="177">
        <f>IF($F172="","",'הזנה לתנאי סף'!O172)</f>
        <v>1</v>
      </c>
      <c r="M172" s="177">
        <f>IF($F172="","",'הזנה לתנאי סף'!Q172)</f>
        <v>1</v>
      </c>
      <c r="N172" s="349">
        <f>IF($F172="","",'תחום תמיכה א'!AE172)</f>
        <v>20509.406440042228</v>
      </c>
      <c r="O172" s="178"/>
      <c r="P172" s="349">
        <f>IF($F172="","",'תחום תמיכה ב'!AC172)</f>
        <v>58330.214851864839</v>
      </c>
      <c r="Q172" s="349">
        <f>IF($F172="","",IF('תחום תמיכה ג'!O172="",0,'תחום תמיכה ג'!O172))</f>
        <v>0</v>
      </c>
      <c r="R172" s="349">
        <f t="shared" si="8"/>
        <v>1749.0345399166908</v>
      </c>
      <c r="S172" s="349">
        <f>IF($F172="","",'תחום תמיכה ב'!AE172)</f>
        <v>60079.24939178153</v>
      </c>
      <c r="T172" s="349">
        <f>IF($F172="","",IF(Q172='תחום תמיכה ג'!$Q$2,'תחום תמיכה ג'!$Q$2,IFERROR(SUMIF(N172:R172,"&gt;0"),'תחום תמיכה ג'!$Q$2)))</f>
        <v>80588.655831823766</v>
      </c>
      <c r="U172" s="349">
        <f>IF($F172="","",'הזנה לתנאי סף'!Y172)</f>
        <v>153427</v>
      </c>
      <c r="V172" s="350">
        <f>IF(F172="","",'הגבלה לסכום מבוקש '!AA172)</f>
        <v>90587.95806690515</v>
      </c>
      <c r="W172" s="349">
        <f t="shared" si="9"/>
        <v>22646.989516726288</v>
      </c>
      <c r="X172" s="349">
        <f>IF(F172="","",'הזנה לתנאי סף'!Z172)</f>
        <v>30000</v>
      </c>
      <c r="Y172" s="351" t="s">
        <v>3740</v>
      </c>
      <c r="Z172" s="352" t="str">
        <f>IFERROR(VLOOKUP(G172*1,#REF!,3,0),"")</f>
        <v/>
      </c>
      <c r="AA172" s="349" t="str">
        <f>IF(OR($F172="",Z172=""),"",IFERROR(IF(Z172&gt;V172,MIN(Z172,T172)-V172,0),'תחום תמיכה ג'!$Q$2))</f>
        <v/>
      </c>
      <c r="AB172" s="353"/>
      <c r="AC172" s="260" t="str">
        <f t="shared" si="11"/>
        <v/>
      </c>
      <c r="AD172" s="354"/>
      <c r="AE172" s="180"/>
      <c r="AF172" s="355" t="str">
        <f>IF($C172="","",IFERROR(VLOOKUP($C172,גיליון1!$A:$E,2,0),"לא הגיש בקשה שוטפת"))</f>
        <v>פלטפורמא - מאלימות לאמנות בקהילה 2020</v>
      </c>
      <c r="AG172" s="355" t="str">
        <f>IF($C172="","",IFERROR(VLOOKUP($C172,גיליון1!$A:$E,3,0),"לא הגיש בקשה שוטפת"))</f>
        <v>מועד</v>
      </c>
      <c r="AH172" s="355" t="str">
        <f>IF($C172="","",IFERROR(VLOOKUP($C172,גיליון1!$A:$E,4,0),"לא הגיש בקשה שוטפת"))</f>
        <v>19-42-02-31</v>
      </c>
      <c r="AI172" s="355" t="str">
        <f>IF($C172="","",IFERROR(VLOOKUP($C172,גיליון1!$A:$E,5,0),"לא הגיש בקשה שוטפת"))</f>
        <v>תרבות בקהילה תמיכה</v>
      </c>
      <c r="AJ172" s="355">
        <f t="shared" si="10"/>
        <v>0</v>
      </c>
      <c r="AK172" s="15"/>
      <c r="AL172" s="15" t="s">
        <v>105</v>
      </c>
    </row>
    <row r="173" spans="1:38" ht="285.75" x14ac:dyDescent="0.25">
      <c r="A173" s="346">
        <f>'הזנה לתנאי סף'!B173</f>
        <v>143</v>
      </c>
      <c r="B173" s="347">
        <f>IF($F173="","",'הזנה לתנאי סף'!C173)</f>
        <v>1001350042</v>
      </c>
      <c r="C173" s="347">
        <f>IF($F173="","",'הזנה לתנאי סף'!D173)</f>
        <v>1001271349</v>
      </c>
      <c r="D173" s="347">
        <f>IF($F173="","",'הזנה לתנאי סף'!E173)</f>
        <v>41553249</v>
      </c>
      <c r="E173" s="348">
        <f>IF($F173="","",'הזנה לתנאי סף'!F173)</f>
        <v>20000201</v>
      </c>
      <c r="F173" s="348" t="str">
        <f>IF('הזנה לתנאי סף'!BL173=1,'הזנה לתנאי סף'!G173,"")</f>
        <v>תל אביב -יפו</v>
      </c>
      <c r="G173" s="348" t="str">
        <f>IF($F173="","",'הזנה לתנאי סף'!H173)</f>
        <v>גליא</v>
      </c>
      <c r="H173" s="348" t="str">
        <f>IF($F173="","",'הזנה לתנאי סף'!I173)</f>
        <v>מוסיקה-גופים כליים</v>
      </c>
      <c r="I173" s="349">
        <f>IF($F173="","",'הזנה לתנאי סף'!R173)</f>
        <v>1773947</v>
      </c>
      <c r="J173" s="349">
        <f>IF($F173="","",'תחום תמיכה א'!P173)</f>
        <v>1501070</v>
      </c>
      <c r="K173" s="177">
        <f>IF($F173="","",'הזנה לתנאי סף'!N173)</f>
        <v>1</v>
      </c>
      <c r="L173" s="177">
        <f>IF($F173="","",'הזנה לתנאי סף'!O173)</f>
        <v>1</v>
      </c>
      <c r="M173" s="177">
        <f>IF($F173="","",'הזנה לתנאי סף'!Q173)</f>
        <v>1</v>
      </c>
      <c r="N173" s="349">
        <f>IF($F173="","",'תחום תמיכה א'!AE173)</f>
        <v>53745.01530099893</v>
      </c>
      <c r="O173" s="178"/>
      <c r="P173" s="349">
        <f>IF($F173="","",'תחום תמיכה ב'!AC173)</f>
        <v>129709.7342972461</v>
      </c>
      <c r="Q173" s="349">
        <f>IF($F173="","",IF('תחום תמיכה ג'!O173="",0,'תחום תמיכה ג'!O173))</f>
        <v>54392.839191334686</v>
      </c>
      <c r="R173" s="349">
        <f t="shared" si="8"/>
        <v>3889.3531598580739</v>
      </c>
      <c r="S173" s="349">
        <f>IF($F173="","",'תחום תמיכה ב'!AE173)</f>
        <v>133599.08745710418</v>
      </c>
      <c r="T173" s="349">
        <f>IF($F173="","",IF(Q173='תחום תמיכה ג'!$Q$2,'תחום תמיכה ג'!$Q$2,IFERROR(SUMIF(N173:R173,"&gt;0"),'תחום תמיכה ג'!$Q$2)))</f>
        <v>241736.94194943778</v>
      </c>
      <c r="U173" s="349">
        <f>IF($F173="","",'הזנה לתנאי סף'!Y173)</f>
        <v>3200000</v>
      </c>
      <c r="V173" s="350">
        <f>IF(F173="","",'הגבלה לסכום מבוקש '!AA173)</f>
        <v>264001.00548297376</v>
      </c>
      <c r="W173" s="349">
        <f t="shared" si="9"/>
        <v>66000.251370743441</v>
      </c>
      <c r="X173" s="349">
        <f>IF(F173="","",'הזנה לתנאי סף'!Z173)</f>
        <v>200000</v>
      </c>
      <c r="Y173" s="351" t="s">
        <v>3740</v>
      </c>
      <c r="Z173" s="352" t="str">
        <f>IFERROR(VLOOKUP(G173*1,#REF!,3,0),"")</f>
        <v/>
      </c>
      <c r="AA173" s="349" t="str">
        <f>IF(OR($F173="",Z173=""),"",IFERROR(IF(Z173&gt;V173,MIN(Z173,T173)-V173,0),'תחום תמיכה ג'!$Q$2))</f>
        <v/>
      </c>
      <c r="AB173" s="353"/>
      <c r="AC173" s="260" t="str">
        <f t="shared" si="11"/>
        <v/>
      </c>
      <c r="AD173" s="354"/>
      <c r="AE173" s="180"/>
      <c r="AF173" s="355" t="str">
        <f>IF($C173="","",IFERROR(VLOOKUP($C173,גיליון1!$A:$E,2,0),"לא הגיש בקשה שוטפת"))</f>
        <v>תזמורות</v>
      </c>
      <c r="AG173" s="355" t="str">
        <f>IF($C173="","",IFERROR(VLOOKUP($C173,גיליון1!$A:$E,3,0),"לא הגיש בקשה שוטפת"))</f>
        <v>חויב</v>
      </c>
      <c r="AH173" s="355" t="str">
        <f>IF($C173="","",IFERROR(VLOOKUP($C173,גיליון1!$A:$E,4,0),"לא הגיש בקשה שוטפת"))</f>
        <v>19-42-02-16</v>
      </c>
      <c r="AI173" s="355" t="str">
        <f>IF($C173="","",IFERROR(VLOOKUP($C173,גיליון1!$A:$E,5,0),"לא הגיש בקשה שוטפת"))</f>
        <v>מוסיקה</v>
      </c>
      <c r="AJ173" s="355">
        <f t="shared" si="10"/>
        <v>0</v>
      </c>
      <c r="AK173" s="15"/>
      <c r="AL173" s="15" t="s">
        <v>223</v>
      </c>
    </row>
    <row r="174" spans="1:38" ht="285.75" x14ac:dyDescent="0.25">
      <c r="A174" s="346">
        <f>'הזנה לתנאי סף'!B174</f>
        <v>144</v>
      </c>
      <c r="B174" s="347">
        <f>IF($F174="","",'הזנה לתנאי סף'!C174)</f>
        <v>1001348949</v>
      </c>
      <c r="C174" s="347">
        <f>IF($F174="","",'הזנה לתנאי סף'!D174)</f>
        <v>1001290266</v>
      </c>
      <c r="D174" s="347">
        <f>IF($F174="","",'הזנה לתנאי סף'!E174)</f>
        <v>40997665</v>
      </c>
      <c r="E174" s="348">
        <f>IF($F174="","",'הזנה לתנאי סף'!F174)</f>
        <v>20000201</v>
      </c>
      <c r="F174" s="348" t="str">
        <f>IF('הזנה לתנאי סף'!BL174=1,'הזנה לתנאי סף'!G174,"")</f>
        <v>תל אביב -יפו</v>
      </c>
      <c r="G174" s="348" t="str">
        <f>IF($F174="","",'הזנה לתנאי סף'!H174)</f>
        <v>אלמינא - בית ליוצרים</v>
      </c>
      <c r="H174" s="348" t="str">
        <f>IF($F174="","",'הזנה לתנאי סף'!I174)</f>
        <v>תרבות ערבית</v>
      </c>
      <c r="I174" s="349">
        <f>IF($F174="","",'הזנה לתנאי סף'!R174)</f>
        <v>2020850</v>
      </c>
      <c r="J174" s="349">
        <f>IF($F174="","",'תחום תמיכה א'!P174)</f>
        <v>2061061</v>
      </c>
      <c r="K174" s="177">
        <f>IF($F174="","",'הזנה לתנאי סף'!N174)</f>
        <v>1</v>
      </c>
      <c r="L174" s="177">
        <f>IF($F174="","",'הזנה לתנאי סף'!O174)</f>
        <v>1</v>
      </c>
      <c r="M174" s="177">
        <f>IF($F174="","",'הזנה לתנאי סף'!Q174)</f>
        <v>1</v>
      </c>
      <c r="N174" s="349">
        <f>IF($F174="","",'תחום תמיכה א'!AE174)</f>
        <v>56357.131320271401</v>
      </c>
      <c r="O174" s="178"/>
      <c r="P174" s="349">
        <f>IF($F174="","",'תחום תמיכה ב'!AC174)</f>
        <v>86180.216986701751</v>
      </c>
      <c r="Q174" s="349">
        <f>IF($F174="","",IF('תחום תמיכה ג'!O174="",0,'תחום תמיכה ג'!O174))</f>
        <v>36139.050854038491</v>
      </c>
      <c r="R174" s="349">
        <f t="shared" si="8"/>
        <v>2584.1183090111299</v>
      </c>
      <c r="S174" s="349">
        <f>IF($F174="","",'תחום תמיכה ב'!AE174)</f>
        <v>88764.335295712881</v>
      </c>
      <c r="T174" s="349">
        <f>IF($F174="","",IF(Q174='תחום תמיכה ג'!$Q$2,'תחום תמיכה ג'!$Q$2,IFERROR(SUMIF(N174:R174,"&gt;0"),'תחום תמיכה ג'!$Q$2)))</f>
        <v>181260.51747002275</v>
      </c>
      <c r="U174" s="349">
        <f>IF($F174="","",'הזנה לתנאי סף'!Y174)</f>
        <v>1600000</v>
      </c>
      <c r="V174" s="350">
        <f>IF(F174="","",'הגבלה לסכום מבוקש '!AA174)</f>
        <v>196062.34666708685</v>
      </c>
      <c r="W174" s="349">
        <f t="shared" si="9"/>
        <v>49015.586666771713</v>
      </c>
      <c r="X174" s="349">
        <f>IF(F174="","",'הזנה לתנאי סף'!Z174)</f>
        <v>20000</v>
      </c>
      <c r="Y174" s="351" t="s">
        <v>3740</v>
      </c>
      <c r="Z174" s="352" t="str">
        <f>IFERROR(VLOOKUP(G174*1,#REF!,3,0),"")</f>
        <v/>
      </c>
      <c r="AA174" s="349" t="str">
        <f>IF(OR($F174="",Z174=""),"",IFERROR(IF(Z174&gt;V174,MIN(Z174,T174)-V174,0),'תחום תמיכה ג'!$Q$2))</f>
        <v/>
      </c>
      <c r="AB174" s="353"/>
      <c r="AC174" s="260" t="str">
        <f t="shared" si="11"/>
        <v/>
      </c>
      <c r="AD174" s="354"/>
      <c r="AE174" s="180"/>
      <c r="AF174" s="355" t="str">
        <f>IF($C174="","",IFERROR(VLOOKUP($C174,גיליון1!$A:$E,2,0),"לא הגיש בקשה שוטפת"))</f>
        <v>שוטף</v>
      </c>
      <c r="AG174" s="355" t="str">
        <f>IF($C174="","",IFERROR(VLOOKUP($C174,גיליון1!$A:$E,3,0),"לא הגיש בקשה שוטפת"))</f>
        <v>מועד</v>
      </c>
      <c r="AH174" s="355" t="str">
        <f>IF($C174="","",IFERROR(VLOOKUP($C174,גיליון1!$A:$E,4,0),"לא הגיש בקשה שוטפת"))</f>
        <v>19-42-02-33</v>
      </c>
      <c r="AI174" s="355" t="str">
        <f>IF($C174="","",IFERROR(VLOOKUP($C174,גיליון1!$A:$E,5,0),"לא הגיש בקשה שוטפת"))</f>
        <v>תרבות ערבית ודרוזית</v>
      </c>
      <c r="AJ174" s="355">
        <f t="shared" si="10"/>
        <v>0</v>
      </c>
      <c r="AK174" s="15"/>
      <c r="AL174" s="15" t="s">
        <v>110</v>
      </c>
    </row>
    <row r="175" spans="1:38" ht="285.75" x14ac:dyDescent="0.25">
      <c r="A175" s="346">
        <f>'הזנה לתנאי סף'!B175</f>
        <v>145</v>
      </c>
      <c r="B175" s="347">
        <f>IF($F175="","",'הזנה לתנאי סף'!C175)</f>
        <v>1001350055</v>
      </c>
      <c r="C175" s="347">
        <f>IF($F175="","",'הזנה לתנאי סף'!D175)</f>
        <v>1001271380</v>
      </c>
      <c r="D175" s="347">
        <f>IF($F175="","",'הזנה לתנאי סף'!E175)</f>
        <v>41555435</v>
      </c>
      <c r="E175" s="348">
        <f>IF($F175="","",'הזנה לתנאי סף'!F175)</f>
        <v>20000159</v>
      </c>
      <c r="F175" s="348" t="str">
        <f>IF('הזנה לתנאי סף'!BL175=1,'הזנה לתנאי סף'!G175,"")</f>
        <v>ירושלים</v>
      </c>
      <c r="G175" s="348" t="str">
        <f>IF($F175="","",'הזנה לתנאי סף'!H175)</f>
        <v>מוזיאון יהדות איטליה</v>
      </c>
      <c r="H175" s="348" t="str">
        <f>IF($F175="","",'הזנה לתנאי סף'!I175)</f>
        <v>מוזיאונים</v>
      </c>
      <c r="I175" s="349">
        <f>IF($F175="","",'הזנה לתנאי סף'!R175)</f>
        <v>1146668</v>
      </c>
      <c r="J175" s="349">
        <f>IF($F175="","",'תחום תמיכה א'!P175)</f>
        <v>1014228</v>
      </c>
      <c r="K175" s="177">
        <f>IF($F175="","",'הזנה לתנאי סף'!N175)</f>
        <v>1</v>
      </c>
      <c r="L175" s="177">
        <f>IF($F175="","",'הזנה לתנאי סף'!O175)</f>
        <v>1</v>
      </c>
      <c r="M175" s="177">
        <f>IF($F175="","",'הזנה לתנאי סף'!Q175)</f>
        <v>1</v>
      </c>
      <c r="N175" s="349">
        <f>IF($F175="","",'תחום תמיכה א'!AE175)</f>
        <v>17269.827541777147</v>
      </c>
      <c r="O175" s="178"/>
      <c r="P175" s="349">
        <f>IF($F175="","",'תחום תמיכה ב'!AC175)</f>
        <v>18962.68978935873</v>
      </c>
      <c r="Q175" s="349">
        <f>IF($F175="","",IF('תחום תמיכה ג'!O175="",0,'תחום תמיכה ג'!O175))</f>
        <v>3278.0494709295449</v>
      </c>
      <c r="R175" s="349">
        <f t="shared" si="8"/>
        <v>568.59724407913382</v>
      </c>
      <c r="S175" s="349">
        <f>IF($F175="","",'תחום תמיכה ב'!AE175)</f>
        <v>19531.287033437864</v>
      </c>
      <c r="T175" s="349">
        <f>IF($F175="","",IF(Q175='תחום תמיכה ג'!$Q$2,'תחום תמיכה ג'!$Q$2,IFERROR(SUMIF(N175:R175,"&gt;0"),'תחום תמיכה ג'!$Q$2)))</f>
        <v>40079.164046144564</v>
      </c>
      <c r="U175" s="349">
        <f>IF($F175="","",'הזנה לתנאי סף'!Y175)</f>
        <v>1200000</v>
      </c>
      <c r="V175" s="350">
        <f>IF(F175="","",'הגבלה לסכום מבוקש '!AA175)</f>
        <v>43336.17794971235</v>
      </c>
      <c r="W175" s="349">
        <f t="shared" si="9"/>
        <v>10834.044487428087</v>
      </c>
      <c r="X175" s="349">
        <f>IF(F175="","",'הזנה לתנאי סף'!Z175)</f>
        <v>30000</v>
      </c>
      <c r="Y175" s="351" t="s">
        <v>3740</v>
      </c>
      <c r="Z175" s="352" t="str">
        <f>IFERROR(VLOOKUP(G175*1,#REF!,3,0),"")</f>
        <v/>
      </c>
      <c r="AA175" s="349" t="str">
        <f>IF(OR($F175="",Z175=""),"",IFERROR(IF(Z175&gt;V175,MIN(Z175,T175)-V175,0),'תחום תמיכה ג'!$Q$2))</f>
        <v/>
      </c>
      <c r="AB175" s="353"/>
      <c r="AC175" s="260" t="str">
        <f t="shared" si="11"/>
        <v/>
      </c>
      <c r="AD175" s="354"/>
      <c r="AE175" s="180"/>
      <c r="AF175" s="355" t="str">
        <f>IF($C175="","",IFERROR(VLOOKUP($C175,גיליון1!$A:$E,2,0),"לא הגיש בקשה שוטפת"))</f>
        <v>מוזיאונים- תמיכה שוטפת</v>
      </c>
      <c r="AG175" s="355" t="str">
        <f>IF($C175="","",IFERROR(VLOOKUP($C175,גיליון1!$A:$E,3,0),"לא הגיש בקשה שוטפת"))</f>
        <v>חויב</v>
      </c>
      <c r="AH175" s="355" t="str">
        <f>IF($C175="","",IFERROR(VLOOKUP($C175,גיליון1!$A:$E,4,0),"לא הגיש בקשה שוטפת"))</f>
        <v>19-42-02-18</v>
      </c>
      <c r="AI175" s="355" t="str">
        <f>IF($C175="","",IFERROR(VLOOKUP($C175,גיליון1!$A:$E,5,0),"לא הגיש בקשה שוטפת"))</f>
        <v>מוזיאונים ואמנות פלס</v>
      </c>
      <c r="AJ175" s="355">
        <f t="shared" si="10"/>
        <v>0</v>
      </c>
      <c r="AK175" s="15"/>
      <c r="AL175" s="15" t="s">
        <v>113</v>
      </c>
    </row>
    <row r="176" spans="1:38" ht="285.75" x14ac:dyDescent="0.25">
      <c r="A176" s="346">
        <f>'הזנה לתנאי סף'!B176</f>
        <v>146</v>
      </c>
      <c r="B176" s="347">
        <f>IF($F176="","",'הזנה לתנאי סף'!C176)</f>
        <v>1001348980</v>
      </c>
      <c r="C176" s="347">
        <f>IF($F176="","",'הזנה לתנאי סף'!D176)</f>
        <v>1001311679</v>
      </c>
      <c r="D176" s="347">
        <f>IF($F176="","",'הזנה לתנאי סף'!E176)</f>
        <v>41555455</v>
      </c>
      <c r="E176" s="348">
        <f>IF($F176="","",'הזנה לתנאי סף'!F176)</f>
        <v>20000201</v>
      </c>
      <c r="F176" s="348" t="str">
        <f>IF('הזנה לתנאי סף'!BL176=1,'הזנה לתנאי סף'!G176,"")</f>
        <v>תל אביב -יפו</v>
      </c>
      <c r="G176" s="348" t="str">
        <f>IF($F176="","",'הזנה לתנאי סף'!H176)</f>
        <v>תאטרון השחר</v>
      </c>
      <c r="H176" s="348" t="str">
        <f>IF($F176="","",'הזנה לתנאי סף'!I176)</f>
        <v>תיאטרון</v>
      </c>
      <c r="I176" s="349">
        <f>IF($F176="","",'הזנה לתנאי סף'!R176)</f>
        <v>523327</v>
      </c>
      <c r="J176" s="349">
        <f>IF($F176="","",'תחום תמיכה א'!P176)</f>
        <v>612774</v>
      </c>
      <c r="K176" s="177">
        <f>IF($F176="","",'הזנה לתנאי סף'!N176)</f>
        <v>0</v>
      </c>
      <c r="L176" s="177">
        <f>IF($F176="","",'הזנה לתנאי סף'!O176)</f>
        <v>1</v>
      </c>
      <c r="M176" s="177">
        <f>IF($F176="","",'הזנה לתנאי סף'!Q176)</f>
        <v>1</v>
      </c>
      <c r="N176" s="349">
        <f>IF($F176="","",'תחום תמיכה א'!AE176)</f>
        <v>33496.985577430205</v>
      </c>
      <c r="O176" s="178"/>
      <c r="P176" s="349">
        <f>IF($F176="","",'תחום תמיכה ב'!AC176)</f>
        <v>89195.177261717632</v>
      </c>
      <c r="Q176" s="349">
        <f>IF($F176="","",IF('תחום תמיכה ג'!O176="",0,'תחום תמיכה ג'!O176))</f>
        <v>0</v>
      </c>
      <c r="R176" s="349">
        <f t="shared" si="8"/>
        <v>2674.5220503803575</v>
      </c>
      <c r="S176" s="349">
        <f>IF($F176="","",'תחום תמיכה ב'!AE176)</f>
        <v>91869.69931209799</v>
      </c>
      <c r="T176" s="349">
        <f>IF($F176="","",IF(Q176='תחום תמיכה ג'!$Q$2,'תחום תמיכה ג'!$Q$2,IFERROR(SUMIF(N176:R176,"&gt;0"),'תחום תמיכה ג'!$Q$2)))</f>
        <v>125366.6848895282</v>
      </c>
      <c r="U176" s="349">
        <f>IF($F176="","",'הזנה לתנאי סף'!Y176)</f>
        <v>150000</v>
      </c>
      <c r="V176" s="350">
        <f>IF(F176="","",'הגבלה לסכום מבוקש '!AA176)</f>
        <v>140658.00940806951</v>
      </c>
      <c r="W176" s="349">
        <f t="shared" si="9"/>
        <v>35164.502352017378</v>
      </c>
      <c r="X176" s="349">
        <f>IF(F176="","",'הזנה לתנאי סף'!Z176)</f>
        <v>50000</v>
      </c>
      <c r="Y176" s="351" t="s">
        <v>3740</v>
      </c>
      <c r="Z176" s="352" t="str">
        <f>IFERROR(VLOOKUP(G176*1,#REF!,3,0),"")</f>
        <v/>
      </c>
      <c r="AA176" s="349" t="str">
        <f>IF(OR($F176="",Z176=""),"",IFERROR(IF(Z176&gt;V176,MIN(Z176,T176)-V176,0),'תחום תמיכה ג'!$Q$2))</f>
        <v/>
      </c>
      <c r="AB176" s="353"/>
      <c r="AC176" s="260" t="str">
        <f t="shared" si="11"/>
        <v/>
      </c>
      <c r="AD176" s="354"/>
      <c r="AE176" s="180"/>
      <c r="AF176" s="355" t="str">
        <f>IF($C176="","",IFERROR(VLOOKUP($C176,גיליון1!$A:$E,2,0),"לא הגיש בקשה שוטפת"))</f>
        <v>ת' השחר 5 הדקות הארוכות פרויקט 2020</v>
      </c>
      <c r="AG176" s="355" t="str">
        <f>IF($C176="","",IFERROR(VLOOKUP($C176,גיליון1!$A:$E,3,0),"לא הגיש בקשה שוטפת"))</f>
        <v>טיוט</v>
      </c>
      <c r="AH176" s="355" t="str">
        <f>IF($C176="","",IFERROR(VLOOKUP($C176,גיליון1!$A:$E,4,0),"לא הגיש בקשה שוטפת"))</f>
        <v>19-42-02-07</v>
      </c>
      <c r="AI176" s="355" t="str">
        <f>IF($C176="","",IFERROR(VLOOKUP($C176,גיליון1!$A:$E,5,0),"לא הגיש בקשה שוטפת"))</f>
        <v>תיאטרון</v>
      </c>
      <c r="AJ176" s="355">
        <f t="shared" si="10"/>
        <v>0</v>
      </c>
      <c r="AK176" s="15"/>
      <c r="AL176" s="15" t="s">
        <v>114</v>
      </c>
    </row>
    <row r="177" spans="1:38" ht="285.75" x14ac:dyDescent="0.25">
      <c r="A177" s="346">
        <f>'הזנה לתנאי סף'!B177</f>
        <v>147</v>
      </c>
      <c r="B177" s="347">
        <f>IF($F177="","",'הזנה לתנאי סף'!C177)</f>
        <v>1001348615</v>
      </c>
      <c r="C177" s="347">
        <f>IF($F177="","",'הזנה לתנאי סף'!D177)</f>
        <v>1001267389</v>
      </c>
      <c r="D177" s="347">
        <f>IF($F177="","",'הזנה לתנאי סף'!E177)</f>
        <v>41556008</v>
      </c>
      <c r="E177" s="348">
        <f>IF($F177="","",'הזנה לתנאי סף'!F177)</f>
        <v>20000159</v>
      </c>
      <c r="F177" s="348" t="str">
        <f>IF('הזנה לתנאי סף'!BL177=1,'הזנה לתנאי סף'!G177,"")</f>
        <v>ירושלים</v>
      </c>
      <c r="G177" s="348" t="str">
        <f>IF($F177="","",'הזנה לתנאי סף'!H177)</f>
        <v>פלמנרו נטורל</v>
      </c>
      <c r="H177" s="348" t="str">
        <f>IF($F177="","",'הזנה לתנאי סף'!I177)</f>
        <v>מחול</v>
      </c>
      <c r="I177" s="349">
        <f>IF($F177="","",'הזנה לתנאי סף'!R177)</f>
        <v>539257</v>
      </c>
      <c r="J177" s="349">
        <f>IF($F177="","",'תחום תמיכה א'!P177)</f>
        <v>482662</v>
      </c>
      <c r="K177" s="177">
        <f>IF($F177="","",'הזנה לתנאי סף'!N177)</f>
        <v>1</v>
      </c>
      <c r="L177" s="177">
        <f>IF($F177="","",'הזנה לתנאי סף'!O177)</f>
        <v>1</v>
      </c>
      <c r="M177" s="177">
        <f>IF($F177="","",'הזנה לתנאי סף'!Q177)</f>
        <v>1</v>
      </c>
      <c r="N177" s="349">
        <f>IF($F177="","",'תחום תמיכה א'!AE177)</f>
        <v>10562.265391733245</v>
      </c>
      <c r="O177" s="178"/>
      <c r="P177" s="349">
        <f>IF($F177="","",'תחום תמיכה ב'!AC177)</f>
        <v>14729.268007048999</v>
      </c>
      <c r="Q177" s="349">
        <f>IF($F177="","",IF('תחום תמיכה ג'!O177="",0,'תחום תמיכה ג'!O177))</f>
        <v>2546.2247040913735</v>
      </c>
      <c r="R177" s="349">
        <f t="shared" si="8"/>
        <v>441.65787075264052</v>
      </c>
      <c r="S177" s="349">
        <f>IF($F177="","",'תחום תמיכה ב'!AE177)</f>
        <v>15170.925877801639</v>
      </c>
      <c r="T177" s="349">
        <f>IF($F177="","",IF(Q177='תחום תמיכה ג'!$Q$2,'תחום תמיכה ג'!$Q$2,IFERROR(SUMIF(N177:R177,"&gt;0"),'תחום תמיכה ג'!$Q$2)))</f>
        <v>28279.415973626259</v>
      </c>
      <c r="U177" s="349">
        <f>IF($F177="","",'הזנה לתנאי סף'!Y177)</f>
        <v>150000</v>
      </c>
      <c r="V177" s="350">
        <f>IF(F177="","",'הגבלה לסכום מבוקש '!AA177)</f>
        <v>30808.002678499583</v>
      </c>
      <c r="W177" s="349">
        <f t="shared" si="9"/>
        <v>7702.0006696248956</v>
      </c>
      <c r="X177" s="349">
        <f>IF(F177="","",'הזנה לתנאי סף'!Z177)</f>
        <v>50000</v>
      </c>
      <c r="Y177" s="351" t="s">
        <v>3740</v>
      </c>
      <c r="Z177" s="352" t="str">
        <f>IFERROR(VLOOKUP(G177*1,#REF!,3,0),"")</f>
        <v/>
      </c>
      <c r="AA177" s="349" t="str">
        <f>IF(OR($F177="",Z177=""),"",IFERROR(IF(Z177&gt;V177,MIN(Z177,T177)-V177,0),'תחום תמיכה ג'!$Q$2))</f>
        <v/>
      </c>
      <c r="AB177" s="353"/>
      <c r="AC177" s="260" t="str">
        <f t="shared" si="11"/>
        <v/>
      </c>
      <c r="AD177" s="354"/>
      <c r="AE177" s="180"/>
      <c r="AF177" s="355" t="str">
        <f>IF($C177="","",IFERROR(VLOOKUP($C177,גיליון1!$A:$E,2,0),"לא הגיש בקשה שוטפת"))</f>
        <v>תמיכה לפעילות שוטפת</v>
      </c>
      <c r="AG177" s="355" t="str">
        <f>IF($C177="","",IFERROR(VLOOKUP($C177,גיליון1!$A:$E,3,0),"לא הגיש בקשה שוטפת"))</f>
        <v>חויב</v>
      </c>
      <c r="AH177" s="355" t="str">
        <f>IF($C177="","",IFERROR(VLOOKUP($C177,גיליון1!$A:$E,4,0),"לא הגיש בקשה שוטפת"))</f>
        <v>19-42-02-20</v>
      </c>
      <c r="AI177" s="355" t="str">
        <f>IF($C177="","",IFERROR(VLOOKUP($C177,גיליון1!$A:$E,5,0),"לא הגיש בקשה שוטפת"))</f>
        <v>מחול וארגוני גג</v>
      </c>
      <c r="AJ177" s="355">
        <f t="shared" si="10"/>
        <v>0</v>
      </c>
      <c r="AK177" s="15"/>
      <c r="AL177" s="15" t="s">
        <v>116</v>
      </c>
    </row>
    <row r="178" spans="1:38" ht="285.75" x14ac:dyDescent="0.25">
      <c r="A178" s="346">
        <f>'הזנה לתנאי סף'!B178</f>
        <v>148</v>
      </c>
      <c r="B178" s="347">
        <f>IF($F178="","",'הזנה לתנאי סף'!C178)</f>
        <v>1001348065</v>
      </c>
      <c r="C178" s="347">
        <f>IF($F178="","",'הזנה לתנאי סף'!D178)</f>
        <v>1001268860</v>
      </c>
      <c r="D178" s="347">
        <f>IF($F178="","",'הזנה לתנאי סף'!E178)</f>
        <v>41558839</v>
      </c>
      <c r="E178" s="348">
        <f>IF($F178="","",'הזנה לתנאי סף'!F178)</f>
        <v>20000041</v>
      </c>
      <c r="F178" s="348" t="str">
        <f>IF('הזנה לתנאי סף'!BL178=1,'הזנה לתנאי סף'!G178,"")</f>
        <v>דייר אל-אסד</v>
      </c>
      <c r="G178" s="348" t="str">
        <f>IF($F178="","",'הזנה לתנאי סף'!H178)</f>
        <v>אג'יאל דיר אל אסד</v>
      </c>
      <c r="H178" s="348" t="str">
        <f>IF($F178="","",'הזנה לתנאי סף'!I178)</f>
        <v>אחר</v>
      </c>
      <c r="I178" s="349">
        <f>IF($F178="","",'הזנה לתנאי סף'!R178)</f>
        <v>145145</v>
      </c>
      <c r="J178" s="349">
        <f>IF($F178="","",'תחום תמיכה א'!P178)</f>
        <v>157496</v>
      </c>
      <c r="K178" s="177">
        <f>IF($F178="","",'הזנה לתנאי סף'!N178)</f>
        <v>0</v>
      </c>
      <c r="L178" s="177">
        <f>IF($F178="","",'הזנה לתנאי סף'!O178)</f>
        <v>1</v>
      </c>
      <c r="M178" s="177">
        <f>IF($F178="","",'הזנה לתנאי סף'!Q178)</f>
        <v>1</v>
      </c>
      <c r="N178" s="349">
        <f>IF($F178="","",'תחום תמיכה א'!AE178)</f>
        <v>6312.4230865829395</v>
      </c>
      <c r="O178" s="178"/>
      <c r="P178" s="349">
        <f>IF($F178="","",'תחום תמיכה ב'!AC178)</f>
        <v>13298.806301651379</v>
      </c>
      <c r="Q178" s="349">
        <f>IF($F178="","",IF('תחום תמיכה ג'!O178="",0,'תחום תמיכה ג'!O178))</f>
        <v>0</v>
      </c>
      <c r="R178" s="349">
        <f t="shared" si="8"/>
        <v>398.76540177884272</v>
      </c>
      <c r="S178" s="349">
        <f>IF($F178="","",'תחום תמיכה ב'!AE178)</f>
        <v>13697.571703430222</v>
      </c>
      <c r="T178" s="349">
        <f>IF($F178="","",IF(Q178='תחום תמיכה ג'!$Q$2,'תחום תמיכה ג'!$Q$2,IFERROR(SUMIF(N178:R178,"&gt;0"),'תחום תמיכה ג'!$Q$2)))</f>
        <v>20009.994790013159</v>
      </c>
      <c r="U178" s="349">
        <f>IF($F178="","",'הזנה לתנאי סף'!Y178)</f>
        <v>90000</v>
      </c>
      <c r="V178" s="350">
        <f>IF(F178="","",'הגבלה לסכום מבוקש '!AA178)</f>
        <v>22290.498073090221</v>
      </c>
      <c r="W178" s="349">
        <f t="shared" si="9"/>
        <v>5572.6245182725552</v>
      </c>
      <c r="X178" s="349">
        <f>IF(F178="","",'הזנה לתנאי סף'!Z178)</f>
        <v>90000</v>
      </c>
      <c r="Y178" s="351" t="s">
        <v>3740</v>
      </c>
      <c r="Z178" s="352" t="str">
        <f>IFERROR(VLOOKUP(G178*1,#REF!,3,0),"")</f>
        <v/>
      </c>
      <c r="AA178" s="349" t="str">
        <f>IF(OR($F178="",Z178=""),"",IFERROR(IF(Z178&gt;V178,MIN(Z178,T178)-V178,0),'תחום תמיכה ג'!$Q$2))</f>
        <v/>
      </c>
      <c r="AB178" s="353"/>
      <c r="AC178" s="260" t="str">
        <f t="shared" si="11"/>
        <v/>
      </c>
      <c r="AD178" s="354"/>
      <c r="AE178" s="180"/>
      <c r="AF178" s="355" t="str">
        <f>IF($C178="","",IFERROR(VLOOKUP($C178,גיליון1!$A:$E,2,0),"לא הגיש בקשה שוטפת"))</f>
        <v>בקשת תמיכה לפעילות ציור</v>
      </c>
      <c r="AG178" s="355" t="str">
        <f>IF($C178="","",IFERROR(VLOOKUP($C178,גיליון1!$A:$E,3,0),"לא הגיש בקשה שוטפת"))</f>
        <v>טיוט</v>
      </c>
      <c r="AH178" s="355" t="str">
        <f>IF($C178="","",IFERROR(VLOOKUP($C178,גיליון1!$A:$E,4,0),"לא הגיש בקשה שוטפת"))</f>
        <v>19-42-02-33</v>
      </c>
      <c r="AI178" s="355" t="str">
        <f>IF($C178="","",IFERROR(VLOOKUP($C178,גיליון1!$A:$E,5,0),"לא הגיש בקשה שוטפת"))</f>
        <v>תרבות ערבית ודרוזית</v>
      </c>
      <c r="AJ178" s="355">
        <f t="shared" si="10"/>
        <v>0</v>
      </c>
      <c r="AK178" s="15"/>
      <c r="AL178" s="15" t="s">
        <v>119</v>
      </c>
    </row>
    <row r="179" spans="1:38" ht="285.75" x14ac:dyDescent="0.25">
      <c r="A179" s="346">
        <f>'הזנה לתנאי סף'!B179</f>
        <v>149</v>
      </c>
      <c r="B179" s="347">
        <f>IF($F179="","",'הזנה לתנאי סף'!C179)</f>
        <v>1001348191</v>
      </c>
      <c r="C179" s="347">
        <f>IF($F179="","",'הזנה לתנאי סף'!D179)</f>
        <v>1001268861</v>
      </c>
      <c r="D179" s="347">
        <f>IF($F179="","",'הזנה לתנאי סף'!E179)</f>
        <v>41558839</v>
      </c>
      <c r="E179" s="348">
        <f>IF($F179="","",'הזנה לתנאי סף'!F179)</f>
        <v>20000041</v>
      </c>
      <c r="F179" s="348" t="str">
        <f>IF('הזנה לתנאי סף'!BL179=1,'הזנה לתנאי סף'!G179,"")</f>
        <v>דייר אל-אסד</v>
      </c>
      <c r="G179" s="348" t="str">
        <f>IF($F179="","",'הזנה לתנאי סף'!H179)</f>
        <v>אג'יאל דיר אל אסד</v>
      </c>
      <c r="H179" s="348" t="str">
        <f>IF($F179="","",'הזנה לתנאי סף'!I179)</f>
        <v>קבוצות מוסיקה</v>
      </c>
      <c r="I179" s="349">
        <f>IF($F179="","",'הזנה לתנאי סף'!R179)</f>
        <v>133971</v>
      </c>
      <c r="J179" s="349">
        <f>IF($F179="","",'תחום תמיכה א'!P179)</f>
        <v>155375</v>
      </c>
      <c r="K179" s="177">
        <f>IF($F179="","",'הזנה לתנאי סף'!N179)</f>
        <v>0</v>
      </c>
      <c r="L179" s="177">
        <f>IF($F179="","",'הזנה לתנאי סף'!O179)</f>
        <v>1</v>
      </c>
      <c r="M179" s="177">
        <f>IF($F179="","",'הזנה לתנאי סף'!Q179)</f>
        <v>1</v>
      </c>
      <c r="N179" s="349">
        <f>IF($F179="","",'תחום תמיכה א'!AE179)</f>
        <v>6038.4084301292196</v>
      </c>
      <c r="O179" s="178"/>
      <c r="P179" s="349">
        <f>IF($F179="","",'תחום תמיכה ב'!AC179)</f>
        <v>11541.198847986025</v>
      </c>
      <c r="Q179" s="349">
        <f>IF($F179="","",IF('תחום תמיכה ג'!O179="",0,'תחום תמיכה ג'!O179))</f>
        <v>0</v>
      </c>
      <c r="R179" s="349">
        <f t="shared" si="8"/>
        <v>346.06345045082526</v>
      </c>
      <c r="S179" s="349">
        <f>IF($F179="","",'תחום תמיכה ב'!AE179)</f>
        <v>11887.26229843685</v>
      </c>
      <c r="T179" s="349">
        <f>IF($F179="","",IF(Q179='תחום תמיכה ג'!$Q$2,'תחום תמיכה ג'!$Q$2,IFERROR(SUMIF(N179:R179,"&gt;0"),'תחום תמיכה ג'!$Q$2)))</f>
        <v>17925.670728566067</v>
      </c>
      <c r="U179" s="349">
        <f>IF($F179="","",'הזנה לתנאי סף'!Y179)</f>
        <v>80000</v>
      </c>
      <c r="V179" s="350">
        <f>IF(F179="","",'הגבלה לסכום מבוקש '!AA179)</f>
        <v>19905.031414342593</v>
      </c>
      <c r="W179" s="349">
        <f t="shared" si="9"/>
        <v>4976.2578535856483</v>
      </c>
      <c r="X179" s="349">
        <f>IF(F179="","",'הזנה לתנאי סף'!Z179)</f>
        <v>80000</v>
      </c>
      <c r="Y179" s="351" t="s">
        <v>3740</v>
      </c>
      <c r="Z179" s="352" t="str">
        <f>IFERROR(VLOOKUP(G179*1,#REF!,3,0),"")</f>
        <v/>
      </c>
      <c r="AA179" s="349" t="str">
        <f>IF(OR($F179="",Z179=""),"",IFERROR(IF(Z179&gt;V179,MIN(Z179,T179)-V179,0),'תחום תמיכה ג'!$Q$2))</f>
        <v/>
      </c>
      <c r="AB179" s="353"/>
      <c r="AC179" s="260" t="str">
        <f t="shared" si="11"/>
        <v/>
      </c>
      <c r="AD179" s="354"/>
      <c r="AE179" s="180"/>
      <c r="AF179" s="355" t="str">
        <f>IF($C179="","",IFERROR(VLOOKUP($C179,גיליון1!$A:$E,2,0),"לא הגיש בקשה שוטפת"))</f>
        <v>בקשת תמיכה לפעילות מוסיקה</v>
      </c>
      <c r="AG179" s="355" t="str">
        <f>IF($C179="","",IFERROR(VLOOKUP($C179,גיליון1!$A:$E,3,0),"לא הגיש בקשה שוטפת"))</f>
        <v>טיוט</v>
      </c>
      <c r="AH179" s="355" t="str">
        <f>IF($C179="","",IFERROR(VLOOKUP($C179,גיליון1!$A:$E,4,0),"לא הגיש בקשה שוטפת"))</f>
        <v>19-42-02-33</v>
      </c>
      <c r="AI179" s="355" t="str">
        <f>IF($C179="","",IFERROR(VLOOKUP($C179,גיליון1!$A:$E,5,0),"לא הגיש בקשה שוטפת"))</f>
        <v>תרבות ערבית ודרוזית</v>
      </c>
      <c r="AJ179" s="355">
        <f t="shared" si="10"/>
        <v>0</v>
      </c>
      <c r="AK179" s="15"/>
      <c r="AL179" s="15" t="s">
        <v>224</v>
      </c>
    </row>
    <row r="180" spans="1:38" ht="285.75" x14ac:dyDescent="0.25">
      <c r="A180" s="346">
        <f>'הזנה לתנאי סף'!B180</f>
        <v>150</v>
      </c>
      <c r="B180" s="347">
        <f>IF($F180="","",'הזנה לתנאי סף'!C180)</f>
        <v>1001351065</v>
      </c>
      <c r="C180" s="347">
        <f>IF($F180="","",'הזנה לתנאי סף'!D180)</f>
        <v>1001302359</v>
      </c>
      <c r="D180" s="347">
        <f>IF($F180="","",'הזנה לתנאי סף'!E180)</f>
        <v>41635262</v>
      </c>
      <c r="E180" s="348">
        <f>IF($F180="","",'הזנה לתנאי סף'!F180)</f>
        <v>20000231</v>
      </c>
      <c r="F180" s="348" t="str">
        <f>IF('הזנה לתנאי סף'!BL180=1,'הזנה לתנאי סף'!G180,"")</f>
        <v>נצרת</v>
      </c>
      <c r="G180" s="348" t="str">
        <f>IF($F180="","",'הזנה לתנאי סף'!H180)</f>
        <v>אלמדינה לתרבות ואומנות</v>
      </c>
      <c r="H180" s="348" t="str">
        <f>IF($F180="","",'הזנה לתנאי סף'!I180)</f>
        <v>אחר</v>
      </c>
      <c r="I180" s="349">
        <f>IF($F180="","",'הזנה לתנאי סף'!R180)</f>
        <v>454330</v>
      </c>
      <c r="J180" s="349">
        <f>IF($F180="","",'תחום תמיכה א'!P180)</f>
        <v>454121</v>
      </c>
      <c r="K180" s="177">
        <f>IF($F180="","",'הזנה לתנאי סף'!N180)</f>
        <v>0</v>
      </c>
      <c r="L180" s="177">
        <f>IF($F180="","",'הזנה לתנאי סף'!O180)</f>
        <v>1</v>
      </c>
      <c r="M180" s="177">
        <f>IF($F180="","",'הזנה לתנאי סף'!Q180)</f>
        <v>1</v>
      </c>
      <c r="N180" s="349">
        <f>IF($F180="","",'תחום תמיכה א'!AE180)</f>
        <v>24824.29833414633</v>
      </c>
      <c r="O180" s="178"/>
      <c r="P180" s="349">
        <f>IF($F180="","",'תחום תמיכה ב'!AC180)</f>
        <v>77435.41778909968</v>
      </c>
      <c r="Q180" s="349">
        <f>IF($F180="","",IF('תחום תמיכה ג'!O180="",0,'תחום תמיכה ג'!O180))</f>
        <v>0</v>
      </c>
      <c r="R180" s="349">
        <f t="shared" si="8"/>
        <v>2321.9050481807935</v>
      </c>
      <c r="S180" s="349">
        <f>IF($F180="","",'תחום תמיכה ב'!AE180)</f>
        <v>79757.322837280473</v>
      </c>
      <c r="T180" s="349">
        <f>IF($F180="","",IF(Q180='תחום תמיכה ג'!$Q$2,'תחום תמיכה ג'!$Q$2,IFERROR(SUMIF(N180:R180,"&gt;0"),'תחום תמיכה ג'!$Q$2)))</f>
        <v>104581.6211714268</v>
      </c>
      <c r="U180" s="349">
        <f>IF($F180="","",'הזנה לתנאי סף'!Y180)</f>
        <v>380000</v>
      </c>
      <c r="V180" s="350">
        <f>IF(F180="","",'הגבלה לסכום מבוקש '!AA180)</f>
        <v>117854.95361404</v>
      </c>
      <c r="W180" s="349">
        <f t="shared" si="9"/>
        <v>29463.73840351</v>
      </c>
      <c r="X180" s="349">
        <f>IF(F180="","",'הזנה לתנאי סף'!Z180)</f>
        <v>380000</v>
      </c>
      <c r="Y180" s="351" t="s">
        <v>3740</v>
      </c>
      <c r="Z180" s="352" t="str">
        <f>IFERROR(VLOOKUP(G180*1,#REF!,3,0),"")</f>
        <v/>
      </c>
      <c r="AA180" s="349" t="str">
        <f>IF(OR($F180="",Z180=""),"",IFERROR(IF(Z180&gt;V180,MIN(Z180,T180)-V180,0),'תחום תמיכה ג'!$Q$2))</f>
        <v/>
      </c>
      <c r="AB180" s="353"/>
      <c r="AC180" s="260" t="str">
        <f t="shared" si="11"/>
        <v/>
      </c>
      <c r="AD180" s="354"/>
      <c r="AE180" s="180"/>
      <c r="AF180" s="355" t="str">
        <f>IF($C180="","",IFERROR(VLOOKUP($C180,גיליון1!$A:$E,2,0),"לא הגיש בקשה שוטפת"))</f>
        <v>בית ספר עאידה למחול</v>
      </c>
      <c r="AG180" s="355" t="str">
        <f>IF($C180="","",IFERROR(VLOOKUP($C180,גיליון1!$A:$E,3,0),"לא הגיש בקשה שוטפת"))</f>
        <v>מועד</v>
      </c>
      <c r="AH180" s="355" t="str">
        <f>IF($C180="","",IFERROR(VLOOKUP($C180,גיליון1!$A:$E,4,0),"לא הגיש בקשה שוטפת"))</f>
        <v>19-42-02-33</v>
      </c>
      <c r="AI180" s="355" t="str">
        <f>IF($C180="","",IFERROR(VLOOKUP($C180,גיליון1!$A:$E,5,0),"לא הגיש בקשה שוטפת"))</f>
        <v>תרבות ערבית ודרוזית</v>
      </c>
      <c r="AJ180" s="355">
        <f t="shared" si="10"/>
        <v>0</v>
      </c>
      <c r="AK180" s="15"/>
      <c r="AL180" s="15" t="s">
        <v>127</v>
      </c>
    </row>
    <row r="181" spans="1:38" ht="285.75" x14ac:dyDescent="0.25">
      <c r="A181" s="346">
        <f>'הזנה לתנאי סף'!B181</f>
        <v>151</v>
      </c>
      <c r="B181" s="347">
        <f>IF($F181="","",'הזנה לתנאי סף'!C181)</f>
        <v>1001348955</v>
      </c>
      <c r="C181" s="347">
        <f>IF($F181="","",'הזנה לתנאי סף'!D181)</f>
        <v>1001348955</v>
      </c>
      <c r="D181" s="347">
        <f>IF($F181="","",'הזנה לתנאי סף'!E181)</f>
        <v>41905827</v>
      </c>
      <c r="E181" s="348">
        <f>IF($F181="","",'הזנה לתנאי סף'!F181)</f>
        <v>20000189</v>
      </c>
      <c r="F181" s="348" t="str">
        <f>IF('הזנה לתנאי סף'!BL181=1,'הזנה לתנאי סף'!G181,"")</f>
        <v>מסעדה</v>
      </c>
      <c r="G181" s="348" t="str">
        <f>IF($F181="","",'הזנה לתנאי סף'!H181)</f>
        <v>גולן הייטז ארטיסטיק פרודקשין</v>
      </c>
      <c r="H181" s="348" t="str">
        <f>IF($F181="","",'הזנה לתנאי סף'!I181)</f>
        <v>תיאטרון</v>
      </c>
      <c r="I181" s="349">
        <f>IF($F181="","",'הזנה לתנאי סף'!R181)</f>
        <v>227270</v>
      </c>
      <c r="J181" s="349">
        <f>IF($F181="","",'תחום תמיכה א'!P181)</f>
        <v>146365</v>
      </c>
      <c r="K181" s="177">
        <f>IF($F181="","",'הזנה לתנאי סף'!N181)</f>
        <v>0</v>
      </c>
      <c r="L181" s="177">
        <f>IF($F181="","",'הזנה לתנאי סף'!O181)</f>
        <v>1</v>
      </c>
      <c r="M181" s="177">
        <f>IF($F181="","",'הזנה לתנאי סף'!Q181)</f>
        <v>1</v>
      </c>
      <c r="N181" s="349">
        <f>IF($F181="","",'תחום תמיכה א'!AE181)</f>
        <v>8000.9698421287021</v>
      </c>
      <c r="O181" s="178"/>
      <c r="P181" s="349">
        <f>IF($F181="","",'תחום תמיכה ב'!AC181)</f>
        <v>38735.604958793578</v>
      </c>
      <c r="Q181" s="349">
        <f>IF($F181="","",IF('תחום תמיכה ג'!O181="",0,'תחום תמיכה ג'!O181))</f>
        <v>0</v>
      </c>
      <c r="R181" s="349">
        <f t="shared" si="8"/>
        <v>1161.4891385117589</v>
      </c>
      <c r="S181" s="349">
        <f>IF($F181="","",'תחום תמיכה ב'!AE181)</f>
        <v>39897.094097305337</v>
      </c>
      <c r="T181" s="349">
        <f>IF($F181="","",IF(Q181='תחום תמיכה ג'!$Q$2,'תחום תמיכה ג'!$Q$2,IFERROR(SUMIF(N181:R181,"&gt;0"),'תחום תמיכה ג'!$Q$2)))</f>
        <v>47898.06393943404</v>
      </c>
      <c r="U181" s="349">
        <f>IF($F181="","",'הזנה לתנאי סף'!Y181)</f>
        <v>350000</v>
      </c>
      <c r="V181" s="350">
        <f>IF(F181="","",'הגבלה לסכום מבוקש '!AA181)</f>
        <v>54535.786615857709</v>
      </c>
      <c r="W181" s="349">
        <f t="shared" si="9"/>
        <v>13633.946653964427</v>
      </c>
      <c r="X181" s="349">
        <f>IF(F181="","",'הזנה לתנאי סף'!Z181)</f>
        <v>200000</v>
      </c>
      <c r="Y181" s="351" t="s">
        <v>3740</v>
      </c>
      <c r="Z181" s="352" t="str">
        <f>IFERROR(VLOOKUP(G181*1,#REF!,3,0),"")</f>
        <v/>
      </c>
      <c r="AA181" s="349" t="str">
        <f>IF(OR($F181="",Z181=""),"",IFERROR(IF(Z181&gt;V181,MIN(Z181,T181)-V181,0),'תחום תמיכה ג'!$Q$2))</f>
        <v/>
      </c>
      <c r="AB181" s="353"/>
      <c r="AC181" s="260" t="str">
        <f t="shared" si="11"/>
        <v/>
      </c>
      <c r="AD181" s="354"/>
      <c r="AE181" s="180"/>
      <c r="AF181" s="355" t="str">
        <f>IF($C181="","",IFERROR(VLOOKUP($C181,גיליון1!$A:$E,2,0),"לא הגיש בקשה שוטפת"))</f>
        <v>סיוע מיוחד לעידוד קיום פעילות</v>
      </c>
      <c r="AG181" s="355" t="str">
        <f>IF($C181="","",IFERROR(VLOOKUP($C181,גיליון1!$A:$E,3,0),"לא הגיש בקשה שוטפת"))</f>
        <v>טיוט</v>
      </c>
      <c r="AH181" s="355" t="str">
        <f>IF($C181="","",IFERROR(VLOOKUP($C181,גיליון1!$A:$E,4,0),"לא הגיש בקשה שוטפת"))</f>
        <v>19-42-02-74</v>
      </c>
      <c r="AI181" s="355" t="str">
        <f>IF($C181="","",IFERROR(VLOOKUP($C181,גיליון1!$A:$E,5,0),"לא הגיש בקשה שוטפת"))</f>
        <v>סיוע למוסדות בגין</v>
      </c>
      <c r="AJ181" s="355">
        <f t="shared" si="10"/>
        <v>0</v>
      </c>
      <c r="AK181" s="15"/>
      <c r="AL181" s="15" t="s">
        <v>129</v>
      </c>
    </row>
    <row r="182" spans="1:38" ht="285.75" x14ac:dyDescent="0.25">
      <c r="A182" s="346">
        <f>'הזנה לתנאי סף'!B182</f>
        <v>152</v>
      </c>
      <c r="B182" s="347">
        <f>IF($F182="","",'הזנה לתנאי סף'!C182)</f>
        <v>1001347088</v>
      </c>
      <c r="C182" s="347">
        <f>IF($F182="","",'הזנה לתנאי סף'!D182)</f>
        <v>1001301993</v>
      </c>
      <c r="D182" s="347">
        <f>IF($F182="","",'הזנה לתנאי סף'!E182)</f>
        <v>42000072</v>
      </c>
      <c r="E182" s="348">
        <f>IF($F182="","",'הזנה לתנאי סף'!F182)</f>
        <v>20000055</v>
      </c>
      <c r="F182" s="348" t="str">
        <f>IF('הזנה לתנאי סף'!BL182=1,'הזנה לתנאי סף'!G182,"")</f>
        <v>מג'ד אל-כרום</v>
      </c>
      <c r="G182" s="348" t="str">
        <f>IF($F182="","",'הזנה לתנאי סף'!H182)</f>
        <v>כנארי עמותה לקידום המוסיקה והשירה</v>
      </c>
      <c r="H182" s="348" t="str">
        <f>IF($F182="","",'הזנה לתנאי סף'!I182)</f>
        <v>אחר</v>
      </c>
      <c r="I182" s="349">
        <f>IF($F182="","",'הזנה לתנאי סף'!R182)</f>
        <v>174450</v>
      </c>
      <c r="J182" s="349">
        <f>IF($F182="","",'תחום תמיכה א'!P182)</f>
        <v>194401</v>
      </c>
      <c r="K182" s="177">
        <f>IF($F182="","",'הזנה לתנאי סף'!N182)</f>
        <v>0</v>
      </c>
      <c r="L182" s="177">
        <f>IF($F182="","",'הזנה לתנאי סף'!O182)</f>
        <v>1</v>
      </c>
      <c r="M182" s="177">
        <f>IF($F182="","",'הזנה לתנאי סף'!Q182)</f>
        <v>1</v>
      </c>
      <c r="N182" s="349">
        <f>IF($F182="","",'תחום תמיכה א'!AE182)</f>
        <v>10626.833862464808</v>
      </c>
      <c r="O182" s="178"/>
      <c r="P182" s="349">
        <f>IF($F182="","",'תחום תמיכה ב'!AC182)</f>
        <v>29733.032450660176</v>
      </c>
      <c r="Q182" s="349">
        <f>IF($F182="","",IF('תחום תמיכה ג'!O182="",0,'תחום תמיכה ג'!O182))</f>
        <v>0</v>
      </c>
      <c r="R182" s="349">
        <f t="shared" si="8"/>
        <v>891.54653149723526</v>
      </c>
      <c r="S182" s="349">
        <f>IF($F182="","",'תחום תמיכה ב'!AE182)</f>
        <v>30624.578982157411</v>
      </c>
      <c r="T182" s="349">
        <f>IF($F182="","",IF(Q182='תחום תמיכה ג'!$Q$2,'תחום תמיכה ג'!$Q$2,IFERROR(SUMIF(N182:R182,"&gt;0"),'תחום תמיכה ג'!$Q$2)))</f>
        <v>41251.412844622217</v>
      </c>
      <c r="U182" s="349">
        <f>IF($F182="","",'הזנה לתנאי סף'!Y182)</f>
        <v>120000</v>
      </c>
      <c r="V182" s="350">
        <f>IF(F182="","",'הגבלה לסכום מבוקש '!AA182)</f>
        <v>46348.499467156435</v>
      </c>
      <c r="W182" s="349">
        <f t="shared" si="9"/>
        <v>11587.124866789109</v>
      </c>
      <c r="X182" s="349">
        <f>IF(F182="","",'הזנה לתנאי סף'!Z182)</f>
        <v>60000</v>
      </c>
      <c r="Y182" s="351" t="s">
        <v>3740</v>
      </c>
      <c r="Z182" s="352" t="str">
        <f>IFERROR(VLOOKUP(G182*1,#REF!,3,0),"")</f>
        <v/>
      </c>
      <c r="AA182" s="349" t="str">
        <f>IF(OR($F182="",Z182=""),"",IFERROR(IF(Z182&gt;V182,MIN(Z182,T182)-V182,0),'תחום תמיכה ג'!$Q$2))</f>
        <v/>
      </c>
      <c r="AB182" s="353"/>
      <c r="AC182" s="260" t="str">
        <f t="shared" si="11"/>
        <v/>
      </c>
      <c r="AD182" s="354"/>
      <c r="AE182" s="180"/>
      <c r="AF182" s="355" t="str">
        <f>IF($C182="","",IFERROR(VLOOKUP($C182,גיליון1!$A:$E,2,0),"לא הגיש בקשה שוטפת"))</f>
        <v>להקת מוסיקה</v>
      </c>
      <c r="AG182" s="355" t="str">
        <f>IF($C182="","",IFERROR(VLOOKUP($C182,גיליון1!$A:$E,3,0),"לא הגיש בקשה שוטפת"))</f>
        <v>טיוט</v>
      </c>
      <c r="AH182" s="355" t="str">
        <f>IF($C182="","",IFERROR(VLOOKUP($C182,גיליון1!$A:$E,4,0),"לא הגיש בקשה שוטפת"))</f>
        <v>19-42-02-33</v>
      </c>
      <c r="AI182" s="355" t="str">
        <f>IF($C182="","",IFERROR(VLOOKUP($C182,גיליון1!$A:$E,5,0),"לא הגיש בקשה שוטפת"))</f>
        <v>תרבות ערבית ודרוזית</v>
      </c>
      <c r="AJ182" s="355">
        <f t="shared" si="10"/>
        <v>0</v>
      </c>
      <c r="AK182" s="15"/>
      <c r="AL182" s="15" t="s">
        <v>135</v>
      </c>
    </row>
    <row r="183" spans="1:38" ht="285.75" x14ac:dyDescent="0.25">
      <c r="A183" s="346">
        <f>'הזנה לתנאי סף'!B183</f>
        <v>153</v>
      </c>
      <c r="B183" s="347">
        <f>IF($F183="","",'הזנה לתנאי סף'!C183)</f>
        <v>1001348513</v>
      </c>
      <c r="C183" s="347">
        <f>IF($F183="","",'הזנה לתנאי סף'!D183)</f>
        <v>1001271351</v>
      </c>
      <c r="D183" s="347">
        <f>IF($F183="","",'הזנה לתנאי סף'!E183)</f>
        <v>40000594</v>
      </c>
      <c r="E183" s="348">
        <f>IF($F183="","",'הזנה לתנאי סף'!F183)</f>
        <v>20000185</v>
      </c>
      <c r="F183" s="348" t="str">
        <f>IF('הזנה לתנאי סף'!BL183=1,'הזנה לתנאי סף'!G183,"")</f>
        <v>עמק חפר</v>
      </c>
      <c r="G183" s="348" t="str">
        <f>IF($F183="","",'הזנה לתנאי סף'!H183)</f>
        <v>עמותת מקהלות מורן והבית לשירה בישרא</v>
      </c>
      <c r="H183" s="348" t="str">
        <f>IF($F183="","",'הזנה לתנאי סף'!I183)</f>
        <v>מקהלות</v>
      </c>
      <c r="I183" s="349">
        <f>IF($F183="","",'הזנה לתנאי סף'!R183)</f>
        <v>222569</v>
      </c>
      <c r="J183" s="349">
        <f>IF($F183="","",'תחום תמיכה א'!P183)</f>
        <v>222569</v>
      </c>
      <c r="K183" s="177">
        <f>IF($F183="","",'הזנה לתנאי סף'!N183)</f>
        <v>0</v>
      </c>
      <c r="L183" s="177">
        <f>IF($F183="","",'הזנה לתנאי סף'!O183)</f>
        <v>1</v>
      </c>
      <c r="M183" s="177">
        <f>IF($F183="","",'הזנה לתנאי סף'!Q183)</f>
        <v>1</v>
      </c>
      <c r="N183" s="349">
        <f>IF($F183="","",'תחום תמיכה א'!AE183)</f>
        <v>6150.6311123352789</v>
      </c>
      <c r="O183" s="178"/>
      <c r="P183" s="349">
        <f>IF($F183="","",'תחום תמיכה ב'!AC183)</f>
        <v>9694.6497917466677</v>
      </c>
      <c r="Q183" s="349">
        <f>IF($F183="","",IF('תחום תמיכה ג'!O183="",0,'תחום תמיכה ג'!O183))</f>
        <v>0</v>
      </c>
      <c r="R183" s="349">
        <f t="shared" si="8"/>
        <v>290.69458052268783</v>
      </c>
      <c r="S183" s="349">
        <f>IF($F183="","",'תחום תמיכה ב'!AE183)</f>
        <v>9985.3443722693555</v>
      </c>
      <c r="T183" s="349">
        <f>IF($F183="","",IF(Q183='תחום תמיכה ג'!$Q$2,'תחום תמיכה ג'!$Q$2,IFERROR(SUMIF(N183:R183,"&gt;0"),'תחום תמיכה ג'!$Q$2)))</f>
        <v>16135.975484604634</v>
      </c>
      <c r="U183" s="349">
        <f>IF($F183="","",'הזנה לתנאי סף'!Y183)</f>
        <v>110053</v>
      </c>
      <c r="V183" s="350">
        <f>IF(F183="","",'הגבלה לסכום מבוקש '!AA183)</f>
        <v>17799.13679332603</v>
      </c>
      <c r="W183" s="349">
        <f t="shared" si="9"/>
        <v>4449.7841983315075</v>
      </c>
      <c r="X183" s="349">
        <f>IF(F183="","",'הזנה לתנאי סף'!Z183)</f>
        <v>50000</v>
      </c>
      <c r="Y183" s="351" t="s">
        <v>3740</v>
      </c>
      <c r="Z183" s="352" t="str">
        <f>IFERROR(VLOOKUP(G183*1,#REF!,3,0),"")</f>
        <v/>
      </c>
      <c r="AA183" s="349" t="str">
        <f>IF(OR($F183="",Z183=""),"",IFERROR(IF(Z183&gt;V183,MIN(Z183,T183)-V183,0),'תחום תמיכה ג'!$Q$2))</f>
        <v/>
      </c>
      <c r="AB183" s="353"/>
      <c r="AC183" s="260" t="str">
        <f t="shared" si="11"/>
        <v/>
      </c>
      <c r="AD183" s="354"/>
      <c r="AE183" s="180"/>
      <c r="AF183" s="355" t="str">
        <f>IF($C183="","",IFERROR(VLOOKUP($C183,גיליון1!$A:$E,2,0),"לא הגיש בקשה שוטפת"))</f>
        <v>מקהלות ועתודה צעירה</v>
      </c>
      <c r="AG183" s="355" t="str">
        <f>IF($C183="","",IFERROR(VLOOKUP($C183,גיליון1!$A:$E,3,0),"לא הגיש בקשה שוטפת"))</f>
        <v>מועד</v>
      </c>
      <c r="AH183" s="355" t="str">
        <f>IF($C183="","",IFERROR(VLOOKUP($C183,גיליון1!$A:$E,4,0),"לא הגיש בקשה שוטפת"))</f>
        <v>19-42-02-16</v>
      </c>
      <c r="AI183" s="355" t="str">
        <f>IF($C183="","",IFERROR(VLOOKUP($C183,גיליון1!$A:$E,5,0),"לא הגיש בקשה שוטפת"))</f>
        <v>מוסיקה</v>
      </c>
      <c r="AJ183" s="355">
        <f t="shared" si="10"/>
        <v>0</v>
      </c>
      <c r="AK183" s="15"/>
      <c r="AL183" s="15" t="s">
        <v>141</v>
      </c>
    </row>
    <row r="184" spans="1:38" ht="285.75" x14ac:dyDescent="0.25">
      <c r="A184" s="346">
        <f>'הזנה לתנאי סף'!B184</f>
        <v>154</v>
      </c>
      <c r="B184" s="347">
        <f>IF($F184="","",'הזנה לתנאי סף'!C184)</f>
        <v>1001347628</v>
      </c>
      <c r="C184" s="347">
        <f>IF($F184="","",'הזנה לתנאי סף'!D184)</f>
        <v>1001263875</v>
      </c>
      <c r="D184" s="347">
        <f>IF($F184="","",'הזנה לתנאי סף'!E184)</f>
        <v>40384415</v>
      </c>
      <c r="E184" s="348">
        <f>IF($F184="","",'הזנה לתנאי סף'!F184)</f>
        <v>20000095</v>
      </c>
      <c r="F184" s="348" t="str">
        <f>IF('הזנה לתנאי סף'!BL184=1,'הזנה לתנאי סף'!G184,"")</f>
        <v>מטה יהודה</v>
      </c>
      <c r="G184" s="348" t="str">
        <f>IF($F184="","",'הזנה לתנאי סף'!H184)</f>
        <v>סינמטק ראש פינה (ע"ר)</v>
      </c>
      <c r="H184" s="348" t="str">
        <f>IF($F184="","",'הזנה לתנאי סף'!I184)</f>
        <v>סינמטקים ופסטיבלים</v>
      </c>
      <c r="I184" s="349">
        <f>IF($F184="","",'הזנה לתנאי סף'!R184)</f>
        <v>1815671</v>
      </c>
      <c r="J184" s="349">
        <f>IF($F184="","",'תחום תמיכה א'!P184)</f>
        <v>1844588</v>
      </c>
      <c r="K184" s="177">
        <f>IF($F184="","",'הזנה לתנאי סף'!N184)</f>
        <v>1</v>
      </c>
      <c r="L184" s="177">
        <f>IF($F184="","",'הזנה לתנאי סף'!O184)</f>
        <v>1</v>
      </c>
      <c r="M184" s="177">
        <f>IF($F184="","",'הזנה לתנאי סף'!Q184)</f>
        <v>1</v>
      </c>
      <c r="N184" s="349">
        <f>IF($F184="","",'תחום תמיכה א'!AE184)</f>
        <v>80739.605234888499</v>
      </c>
      <c r="O184" s="178"/>
      <c r="P184" s="349">
        <f>IF($F184="","",'תחום תמיכה ב'!AC184)</f>
        <v>198412.52350570288</v>
      </c>
      <c r="Q184" s="349">
        <f>IF($F184="","",IF('תחום תמיכה ג'!O184="",0,'תחום תמיכה ג'!O184))</f>
        <v>0</v>
      </c>
      <c r="R184" s="349">
        <f t="shared" si="8"/>
        <v>5949.4098837939091</v>
      </c>
      <c r="S184" s="349">
        <f>IF($F184="","",'תחום תמיכה ב'!AE184)</f>
        <v>204361.93338949679</v>
      </c>
      <c r="T184" s="349">
        <f>IF($F184="","",IF(Q184='תחום תמיכה ג'!$Q$2,'תחום תמיכה ג'!$Q$2,IFERROR(SUMIF(N184:R184,"&gt;0"),'תחום תמיכה ג'!$Q$2)))</f>
        <v>285101.53862438526</v>
      </c>
      <c r="U184" s="349">
        <f>IF($F184="","",'הזנה לתנאי סף'!Y184)</f>
        <v>770000</v>
      </c>
      <c r="V184" s="350">
        <f>IF(F184="","",'הגבלה לסכום מבוקש '!AA184)</f>
        <v>319119.55674586276</v>
      </c>
      <c r="W184" s="349">
        <f t="shared" si="9"/>
        <v>79779.889186465691</v>
      </c>
      <c r="X184" s="349">
        <f>IF(F184="","",'הזנה לתנאי סף'!Z184)</f>
        <v>400000</v>
      </c>
      <c r="Y184" s="351" t="s">
        <v>3740</v>
      </c>
      <c r="Z184" s="352" t="str">
        <f>IFERROR(VLOOKUP(G184*1,#REF!,3,0),"")</f>
        <v/>
      </c>
      <c r="AA184" s="349" t="str">
        <f>IF(OR($F184="",Z184=""),"",IFERROR(IF(Z184&gt;V184,MIN(Z184,T184)-V184,0),'תחום תמיכה ג'!$Q$2))</f>
        <v/>
      </c>
      <c r="AB184" s="353"/>
      <c r="AC184" s="260" t="str">
        <f t="shared" si="11"/>
        <v/>
      </c>
      <c r="AD184" s="354"/>
      <c r="AE184" s="180"/>
      <c r="AF184" s="355" t="str">
        <f>IF($C184="","",IFERROR(VLOOKUP($C184,גיליון1!$A:$E,2,0),"לא הגיש בקשה שוטפת"))</f>
        <v>תמיכה שוטפת בפעילות סינמטק ר"פ לשנת 2020</v>
      </c>
      <c r="AG184" s="355" t="str">
        <f>IF($C184="","",IFERROR(VLOOKUP($C184,גיליון1!$A:$E,3,0),"לא הגיש בקשה שוטפת"))</f>
        <v>מועד</v>
      </c>
      <c r="AH184" s="355" t="str">
        <f>IF($C184="","",IFERROR(VLOOKUP($C184,גיליון1!$A:$E,4,0),"לא הגיש בקשה שוטפת"))</f>
        <v>19-42-02-28</v>
      </c>
      <c r="AI184" s="355" t="str">
        <f>IF($C184="","",IFERROR(VLOOKUP($C184,גיליון1!$A:$E,5,0),"לא הגיש בקשה שוטפת"))</f>
        <v>חוק  הקולנוע</v>
      </c>
      <c r="AJ184" s="355">
        <f t="shared" si="10"/>
        <v>0</v>
      </c>
      <c r="AK184" s="15"/>
      <c r="AL184" s="15" t="s">
        <v>142</v>
      </c>
    </row>
    <row r="185" spans="1:38" ht="285.75" x14ac:dyDescent="0.25">
      <c r="A185" s="346">
        <f>'הזנה לתנאי סף'!B185</f>
        <v>155</v>
      </c>
      <c r="B185" s="347">
        <f>IF($F185="","",'הזנה לתנאי סף'!C185)</f>
        <v>1001349214</v>
      </c>
      <c r="C185" s="347">
        <f>IF($F185="","",'הזנה לתנאי סף'!D185)</f>
        <v>1001275601</v>
      </c>
      <c r="D185" s="347">
        <f>IF($F185="","",'הזנה לתנאי סף'!E185)</f>
        <v>40395783</v>
      </c>
      <c r="E185" s="348">
        <f>IF($F185="","",'הזנה לתנאי סף'!F185)</f>
        <v>20000139</v>
      </c>
      <c r="F185" s="348" t="str">
        <f>IF('הזנה לתנאי סף'!BL185=1,'הזנה לתנאי סף'!G185,"")</f>
        <v>מטה אשר</v>
      </c>
      <c r="G185" s="348" t="str">
        <f>IF($F185="","",'הזנה לתנאי סף'!H185)</f>
        <v>להקת המחול הקיבוצית (ע"ר)</v>
      </c>
      <c r="H185" s="348" t="str">
        <f>IF($F185="","",'הזנה לתנאי סף'!I185)</f>
        <v>מחול</v>
      </c>
      <c r="I185" s="349">
        <f>IF($F185="","",'הזנה לתנאי סף'!R185)</f>
        <v>18688227</v>
      </c>
      <c r="J185" s="349">
        <f>IF($F185="","",'תחום תמיכה א'!P185)</f>
        <v>16873654</v>
      </c>
      <c r="K185" s="177">
        <f>IF($F185="","",'הזנה לתנאי סף'!N185)</f>
        <v>0</v>
      </c>
      <c r="L185" s="177">
        <f>IF($F185="","",'הזנה לתנאי סף'!O185)</f>
        <v>1</v>
      </c>
      <c r="M185" s="177">
        <f>IF($F185="","",'הזנה לתנאי סף'!Q185)</f>
        <v>1</v>
      </c>
      <c r="N185" s="349">
        <f>IF($F185="","",'תחום תמיכה א'!AE185)</f>
        <v>458708.62589556008</v>
      </c>
      <c r="O185" s="178"/>
      <c r="P185" s="349">
        <f>IF($F185="","",'תחום תמיכה ב'!AC185)</f>
        <v>787702.78637135308</v>
      </c>
      <c r="Q185" s="349">
        <f>IF($F185="","",IF('תחום תמיכה ג'!O185="",0,'תחום תמיכה ג'!O185))</f>
        <v>0</v>
      </c>
      <c r="R185" s="349">
        <f t="shared" si="8"/>
        <v>23619.309204517165</v>
      </c>
      <c r="S185" s="349">
        <f>IF($F185="","",'תחום תמיכה ב'!AE185)</f>
        <v>811322.09557587025</v>
      </c>
      <c r="T185" s="349">
        <f>IF($F185="","",IF(Q185='תחום תמיכה ג'!$Q$2,'תחום תמיכה ג'!$Q$2,IFERROR(SUMIF(N185:R185,"&gt;0"),'תחום תמיכה ג'!$Q$2)))</f>
        <v>1270030.7214714303</v>
      </c>
      <c r="U185" s="349">
        <f>IF($F185="","",'הזנה לתנאי סף'!Y185)</f>
        <v>3000000</v>
      </c>
      <c r="V185" s="350">
        <f>IF(F185="","",'הגבלה לסכום מבוקש '!AA185)</f>
        <v>1405146.0349371557</v>
      </c>
      <c r="W185" s="349">
        <f t="shared" si="9"/>
        <v>351286.50873428892</v>
      </c>
      <c r="X185" s="349">
        <f>IF(F185="","",'הזנה לתנאי סף'!Z185)</f>
        <v>50000</v>
      </c>
      <c r="Y185" s="351" t="s">
        <v>3740</v>
      </c>
      <c r="Z185" s="352" t="str">
        <f>IFERROR(VLOOKUP(G185*1,#REF!,3,0),"")</f>
        <v/>
      </c>
      <c r="AA185" s="349" t="str">
        <f>IF(OR($F185="",Z185=""),"",IFERROR(IF(Z185&gt;V185,MIN(Z185,T185)-V185,0),'תחום תמיכה ג'!$Q$2))</f>
        <v/>
      </c>
      <c r="AB185" s="353"/>
      <c r="AC185" s="260" t="str">
        <f t="shared" si="11"/>
        <v/>
      </c>
      <c r="AD185" s="354"/>
      <c r="AE185" s="180"/>
      <c r="AF185" s="355" t="str">
        <f>IF($C185="","",IFERROR(VLOOKUP($C185,גיליון1!$A:$E,2,0),"לא הגיש בקשה שוטפת"))</f>
        <v>תמיכה במחול 2020</v>
      </c>
      <c r="AG185" s="355" t="str">
        <f>IF($C185="","",IFERROR(VLOOKUP($C185,גיליון1!$A:$E,3,0),"לא הגיש בקשה שוטפת"))</f>
        <v>חויב</v>
      </c>
      <c r="AH185" s="355" t="str">
        <f>IF($C185="","",IFERROR(VLOOKUP($C185,גיליון1!$A:$E,4,0),"לא הגיש בקשה שוטפת"))</f>
        <v>19-42-02-20</v>
      </c>
      <c r="AI185" s="355" t="str">
        <f>IF($C185="","",IFERROR(VLOOKUP($C185,גיליון1!$A:$E,5,0),"לא הגיש בקשה שוטפת"))</f>
        <v>מחול וארגוני גג</v>
      </c>
      <c r="AJ185" s="355">
        <f t="shared" si="10"/>
        <v>0</v>
      </c>
      <c r="AK185" s="15"/>
      <c r="AL185" s="15" t="s">
        <v>143</v>
      </c>
    </row>
    <row r="186" spans="1:38" ht="285.75" x14ac:dyDescent="0.25">
      <c r="A186" s="346">
        <f>'הזנה לתנאי סף'!B186</f>
        <v>156</v>
      </c>
      <c r="B186" s="347">
        <f>IF($F186="","",'הזנה לתנאי סף'!C186)</f>
        <v>1001350960</v>
      </c>
      <c r="C186" s="347">
        <f>IF($F186="","",'הזנה לתנאי סף'!D186)</f>
        <v>1001273357</v>
      </c>
      <c r="D186" s="347">
        <f>IF($F186="","",'הזנה לתנאי סף'!E186)</f>
        <v>40404400</v>
      </c>
      <c r="E186" s="348">
        <f>IF($F186="","",'הזנה לתנאי סף'!F186)</f>
        <v>20000159</v>
      </c>
      <c r="F186" s="348" t="str">
        <f>IF('הזנה לתנאי סף'!BL186=1,'הזנה לתנאי סף'!G186,"")</f>
        <v>ירושלים</v>
      </c>
      <c r="G186" s="348" t="str">
        <f>IF($F186="","",'הזנה לתנאי סף'!H186)</f>
        <v>סדנאות האמנים</v>
      </c>
      <c r="H186" s="348" t="str">
        <f>IF($F186="","",'הזנה לתנאי סף'!I186)</f>
        <v>אחר</v>
      </c>
      <c r="I186" s="349">
        <f>IF($F186="","",'הזנה לתנאי סף'!R186)</f>
        <v>1052640</v>
      </c>
      <c r="J186" s="349">
        <f>IF($F186="","",'תחום תמיכה א'!P186)</f>
        <v>1051861</v>
      </c>
      <c r="K186" s="177">
        <f>IF($F186="","",'הזנה לתנאי סף'!N186)</f>
        <v>1</v>
      </c>
      <c r="L186" s="177">
        <f>IF($F186="","",'הזנה לתנאי סף'!O186)</f>
        <v>1</v>
      </c>
      <c r="M186" s="177">
        <f>IF($F186="","",'הזנה לתנאי סף'!Q186)</f>
        <v>1</v>
      </c>
      <c r="N186" s="349">
        <f>IF($F186="","",'תחום תמיכה א'!AE186)</f>
        <v>28052.289050235817</v>
      </c>
      <c r="O186" s="178"/>
      <c r="P186" s="349">
        <f>IF($F186="","",'תחום תמיכה ב'!AC186)</f>
        <v>42702.884500268192</v>
      </c>
      <c r="Q186" s="349">
        <f>IF($F186="","",IF('תחום תמיכה ג'!O186="",0,'תחום תמיכה ג'!O186))</f>
        <v>7381.9784797525535</v>
      </c>
      <c r="R186" s="349">
        <f t="shared" si="8"/>
        <v>1280.4482228416528</v>
      </c>
      <c r="S186" s="349">
        <f>IF($F186="","",'תחום תמיכה ב'!AE186)</f>
        <v>43983.332723109845</v>
      </c>
      <c r="T186" s="349">
        <f>IF($F186="","",IF(Q186='תחום תמיכה ג'!$Q$2,'תחום תמיכה ג'!$Q$2,IFERROR(SUMIF(N186:R186,"&gt;0"),'תחום תמיכה ג'!$Q$2)))</f>
        <v>79417.600253098208</v>
      </c>
      <c r="U186" s="349">
        <f>IF($F186="","",'הזנה לתנאי סף'!Y186)</f>
        <v>800000</v>
      </c>
      <c r="V186" s="350">
        <f>IF(F186="","",'הגבלה לסכום מבוקש '!AA186)</f>
        <v>86747.272852675902</v>
      </c>
      <c r="W186" s="349">
        <f t="shared" si="9"/>
        <v>21686.818213168975</v>
      </c>
      <c r="X186" s="349">
        <f>IF(F186="","",'הזנה לתנאי סף'!Z186)</f>
        <v>500000</v>
      </c>
      <c r="Y186" s="351" t="s">
        <v>3740</v>
      </c>
      <c r="Z186" s="352" t="str">
        <f>IFERROR(VLOOKUP(G186*1,#REF!,3,0),"")</f>
        <v/>
      </c>
      <c r="AA186" s="349" t="str">
        <f>IF(OR($F186="",Z186=""),"",IFERROR(IF(Z186&gt;V186,MIN(Z186,T186)-V186,0),'תחום תמיכה ג'!$Q$2))</f>
        <v/>
      </c>
      <c r="AB186" s="353"/>
      <c r="AC186" s="260" t="str">
        <f t="shared" si="11"/>
        <v/>
      </c>
      <c r="AD186" s="354"/>
      <c r="AE186" s="180"/>
      <c r="AF186" s="355" t="str">
        <f>IF($C186="","",IFERROR(VLOOKUP($C186,גיליון1!$A:$E,2,0),"לא הגיש בקשה שוטפת"))</f>
        <v>תמיכה שוטפת - גלריה סדנאות האמנים 2020</v>
      </c>
      <c r="AG186" s="355" t="str">
        <f>IF($C186="","",IFERROR(VLOOKUP($C186,גיליון1!$A:$E,3,0),"לא הגיש בקשה שוטפת"))</f>
        <v>מקדמ</v>
      </c>
      <c r="AH186" s="355" t="str">
        <f>IF($C186="","",IFERROR(VLOOKUP($C186,גיליון1!$A:$E,4,0),"לא הגיש בקשה שוטפת"))</f>
        <v>19-42-02-18</v>
      </c>
      <c r="AI186" s="355" t="str">
        <f>IF($C186="","",IFERROR(VLOOKUP($C186,גיליון1!$A:$E,5,0),"לא הגיש בקשה שוטפת"))</f>
        <v>מוזיאונים ואמנות פלס</v>
      </c>
      <c r="AJ186" s="355">
        <f t="shared" si="10"/>
        <v>0</v>
      </c>
      <c r="AK186" s="15"/>
      <c r="AL186" s="15" t="s">
        <v>145</v>
      </c>
    </row>
    <row r="187" spans="1:38" ht="285.75" x14ac:dyDescent="0.25">
      <c r="A187" s="346">
        <f>'הזנה לתנאי סף'!B187</f>
        <v>157</v>
      </c>
      <c r="B187" s="347">
        <f>IF($F187="","",'הזנה לתנאי סף'!C187)</f>
        <v>1001347605</v>
      </c>
      <c r="C187" s="347">
        <f>IF($F187="","",'הזנה לתנאי סף'!D187)</f>
        <v>1001268753</v>
      </c>
      <c r="D187" s="347">
        <f>IF($F187="","",'הזנה לתנאי סף'!E187)</f>
        <v>40507218</v>
      </c>
      <c r="E187" s="348">
        <f>IF($F187="","",'הזנה לתנאי סף'!F187)</f>
        <v>20000122</v>
      </c>
      <c r="F187" s="348" t="str">
        <f>IF('הזנה לתנאי סף'!BL187=1,'הזנה לתנאי סף'!G187,"")</f>
        <v>אלעד</v>
      </c>
      <c r="G187" s="348" t="str">
        <f>IF($F187="","",'הזנה לתנאי סף'!H187)</f>
        <v>ארגון אמנים משמחי לב (ע"ר)</v>
      </c>
      <c r="H187" s="348" t="str">
        <f>IF($F187="","",'הזנה לתנאי סף'!I187)</f>
        <v>תיאטרון</v>
      </c>
      <c r="I187" s="349">
        <f>IF($F187="","",'הזנה לתנאי סף'!R187)</f>
        <v>1809543</v>
      </c>
      <c r="J187" s="349">
        <f>IF($F187="","",'תחום תמיכה א'!P187)</f>
        <v>1870550</v>
      </c>
      <c r="K187" s="177">
        <f>IF($F187="","",'הזנה לתנאי סף'!N187)</f>
        <v>0</v>
      </c>
      <c r="L187" s="177">
        <f>IF($F187="","",'הזנה לתנאי סף'!O187)</f>
        <v>1</v>
      </c>
      <c r="M187" s="177">
        <f>IF($F187="","",'הזנה לתנאי סף'!Q187)</f>
        <v>1</v>
      </c>
      <c r="N187" s="349">
        <f>IF($F187="","",'תחום תמיכה א'!AE187)</f>
        <v>102252.68430426564</v>
      </c>
      <c r="O187" s="178"/>
      <c r="P187" s="349">
        <f>IF($F187="","",'תחום תמיכה ב'!AC187)</f>
        <v>308416.16933141288</v>
      </c>
      <c r="Q187" s="349">
        <f>IF($F187="","",IF('תחום תמיכה ג'!O187="",0,'תחום תמיכה ג'!O187))</f>
        <v>0</v>
      </c>
      <c r="R187" s="349">
        <f t="shared" si="8"/>
        <v>9247.8749512473587</v>
      </c>
      <c r="S187" s="349">
        <f>IF($F187="","",'תחום תמיכה ב'!AE187)</f>
        <v>317664.04428266024</v>
      </c>
      <c r="T187" s="349">
        <f>IF($F187="","",IF(Q187='תחום תמיכה ג'!$Q$2,'תחום תמיכה ג'!$Q$2,IFERROR(SUMIF(N187:R187,"&gt;0"),'תחום תמיכה ג'!$Q$2)))</f>
        <v>419916.72858692589</v>
      </c>
      <c r="U187" s="349">
        <f>IF($F187="","",'הזנה לתנאי סף'!Y187)</f>
        <v>2500000</v>
      </c>
      <c r="V187" s="350">
        <f>IF(F187="","",'הגבלה לסכום מבוקש '!AA187)</f>
        <v>472784.3911024949</v>
      </c>
      <c r="W187" s="349">
        <f t="shared" si="9"/>
        <v>118196.09777562373</v>
      </c>
      <c r="X187" s="349">
        <f>IF(F187="","",'הזנה לתנאי סף'!Z187)</f>
        <v>1000000</v>
      </c>
      <c r="Y187" s="351" t="s">
        <v>3740</v>
      </c>
      <c r="Z187" s="352" t="str">
        <f>IFERROR(VLOOKUP(G187*1,#REF!,3,0),"")</f>
        <v/>
      </c>
      <c r="AA187" s="349" t="str">
        <f>IF(OR($F187="",Z187=""),"",IFERROR(IF(Z187&gt;V187,MIN(Z187,T187)-V187,0),'תחום תמיכה ג'!$Q$2))</f>
        <v/>
      </c>
      <c r="AB187" s="353"/>
      <c r="AC187" s="260" t="str">
        <f t="shared" si="11"/>
        <v/>
      </c>
      <c r="AD187" s="354"/>
      <c r="AE187" s="180"/>
      <c r="AF187" s="355" t="str">
        <f>IF($C187="","",IFERROR(VLOOKUP($C187,גיליון1!$A:$E,2,0),"לא הגיש בקשה שוטפת"))</f>
        <v>תאטרון 2020- בקשה לתמיכה</v>
      </c>
      <c r="AG187" s="355" t="str">
        <f>IF($C187="","",IFERROR(VLOOKUP($C187,גיליון1!$A:$E,3,0),"לא הגיש בקשה שוטפת"))</f>
        <v>חויב</v>
      </c>
      <c r="AH187" s="355" t="str">
        <f>IF($C187="","",IFERROR(VLOOKUP($C187,גיליון1!$A:$E,4,0),"לא הגיש בקשה שוטפת"))</f>
        <v>19-42-02-07</v>
      </c>
      <c r="AI187" s="355" t="str">
        <f>IF($C187="","",IFERROR(VLOOKUP($C187,גיליון1!$A:$E,5,0),"לא הגיש בקשה שוטפת"))</f>
        <v>תיאטרון</v>
      </c>
      <c r="AJ187" s="355">
        <f t="shared" si="10"/>
        <v>0</v>
      </c>
      <c r="AK187" s="15"/>
      <c r="AL187" s="15" t="s">
        <v>147</v>
      </c>
    </row>
    <row r="188" spans="1:38" ht="285.75" x14ac:dyDescent="0.25">
      <c r="A188" s="346">
        <f>'הזנה לתנאי סף'!B188</f>
        <v>158</v>
      </c>
      <c r="B188" s="347">
        <f>IF($F188="","",'הזנה לתנאי סף'!C188)</f>
        <v>1001347746</v>
      </c>
      <c r="C188" s="347">
        <f>IF($F188="","",'הזנה לתנאי סף'!D188)</f>
        <v>1001278693</v>
      </c>
      <c r="D188" s="347">
        <f>IF($F188="","",'הזנה לתנאי סף'!E188)</f>
        <v>40521896</v>
      </c>
      <c r="E188" s="348">
        <f>IF($F188="","",'הזנה לתנאי סף'!F188)</f>
        <v>20000254</v>
      </c>
      <c r="F188" s="348" t="str">
        <f>IF('הזנה לתנאי סף'!BL188=1,'הזנה לתנאי סף'!G188,"")</f>
        <v>באר שבע</v>
      </c>
      <c r="G188" s="348" t="str">
        <f>IF($F188="","",'הזנה לתנאי סף'!H188)</f>
        <v>תיאטרון הפרינג' באר שבע (ע"ר)</v>
      </c>
      <c r="H188" s="348" t="str">
        <f>IF($F188="","",'הזנה לתנאי סף'!I188)</f>
        <v>אחר</v>
      </c>
      <c r="I188" s="349">
        <f>IF($F188="","",'הזנה לתנאי סף'!R188)</f>
        <v>1992560</v>
      </c>
      <c r="J188" s="349">
        <f>IF($F188="","",'תחום תמיכה א'!P188)</f>
        <v>1613382</v>
      </c>
      <c r="K188" s="177">
        <f>IF($F188="","",'הזנה לתנאי סף'!N188)</f>
        <v>1</v>
      </c>
      <c r="L188" s="177">
        <f>IF($F188="","",'הזנה לתנאי סף'!O188)</f>
        <v>1</v>
      </c>
      <c r="M188" s="177">
        <f>IF($F188="","",'הזנה לתנאי סף'!Q188)</f>
        <v>1</v>
      </c>
      <c r="N188" s="349">
        <f>IF($F188="","",'תחום תמיכה א'!AE188)</f>
        <v>35790.045249903676</v>
      </c>
      <c r="O188" s="178"/>
      <c r="P188" s="349">
        <f>IF($F188="","",'תחום תמיכה ב'!AC188)</f>
        <v>55926.665508867482</v>
      </c>
      <c r="Q188" s="349">
        <f>IF($F188="","",IF('תחום תמיכה ג'!O188="",0,'תחום תמיכה ג'!O188))</f>
        <v>705.56149468332364</v>
      </c>
      <c r="R188" s="349">
        <f t="shared" si="8"/>
        <v>1676.96398728848</v>
      </c>
      <c r="S188" s="349">
        <f>IF($F188="","",'תחום תמיכה ב'!AE188)</f>
        <v>57603.629496155962</v>
      </c>
      <c r="T188" s="349">
        <f>IF($F188="","",IF(Q188='תחום תמיכה ג'!$Q$2,'תחום תמיכה ג'!$Q$2,IFERROR(SUMIF(N188:R188,"&gt;0"),'תחום תמיכה ג'!$Q$2)))</f>
        <v>94099.236240742961</v>
      </c>
      <c r="U188" s="349">
        <f>IF($F188="","",'הזנה לתנאי סף'!Y188)</f>
        <v>2500000</v>
      </c>
      <c r="V188" s="350">
        <f>IF(F188="","",'הגבלה לסכום מבוקש '!AA188)</f>
        <v>103694.17190858803</v>
      </c>
      <c r="W188" s="349">
        <f t="shared" si="9"/>
        <v>25923.542977147008</v>
      </c>
      <c r="X188" s="349">
        <f>IF(F188="","",'הזנה לתנאי סף'!Z188)</f>
        <v>2500000</v>
      </c>
      <c r="Y188" s="351" t="s">
        <v>3740</v>
      </c>
      <c r="Z188" s="352" t="str">
        <f>IFERROR(VLOOKUP(G188*1,#REF!,3,0),"")</f>
        <v/>
      </c>
      <c r="AA188" s="349" t="str">
        <f>IF(OR($F188="",Z188=""),"",IFERROR(IF(Z188&gt;V188,MIN(Z188,T188)-V188,0),'תחום תמיכה ג'!$Q$2))</f>
        <v/>
      </c>
      <c r="AB188" s="353"/>
      <c r="AC188" s="260" t="str">
        <f t="shared" si="11"/>
        <v/>
      </c>
      <c r="AD188" s="354"/>
      <c r="AE188" s="180"/>
      <c r="AF188" s="355" t="str">
        <f>IF($C188="","",IFERROR(VLOOKUP($C188,גיליון1!$A:$E,2,0),"לא הגיש בקשה שוטפת"))</f>
        <v>אנסמל עיט 2020</v>
      </c>
      <c r="AG188" s="355" t="str">
        <f>IF($C188="","",IFERROR(VLOOKUP($C188,גיליון1!$A:$E,3,0),"לא הגיש בקשה שוטפת"))</f>
        <v>מועד</v>
      </c>
      <c r="AH188" s="355" t="str">
        <f>IF($C188="","",IFERROR(VLOOKUP($C188,גיליון1!$A:$E,4,0),"לא הגיש בקשה שוטפת"))</f>
        <v>19-42-02-07</v>
      </c>
      <c r="AI188" s="355" t="str">
        <f>IF($C188="","",IFERROR(VLOOKUP($C188,גיליון1!$A:$E,5,0),"לא הגיש בקשה שוטפת"))</f>
        <v>תיאטרון</v>
      </c>
      <c r="AJ188" s="355">
        <f t="shared" si="10"/>
        <v>0</v>
      </c>
      <c r="AK188" s="15"/>
      <c r="AL188" s="15" t="s">
        <v>148</v>
      </c>
    </row>
    <row r="189" spans="1:38" ht="285.75" x14ac:dyDescent="0.25">
      <c r="A189" s="346">
        <f>'הזנה לתנאי סף'!B189</f>
        <v>159</v>
      </c>
      <c r="B189" s="347">
        <f>IF($F189="","",'הזנה לתנאי סף'!C189)</f>
        <v>1001347757</v>
      </c>
      <c r="C189" s="347">
        <f>IF($F189="","",'הזנה לתנאי סף'!D189)</f>
        <v>1001278627</v>
      </c>
      <c r="D189" s="347">
        <f>IF($F189="","",'הזנה לתנאי סף'!E189)</f>
        <v>40521896</v>
      </c>
      <c r="E189" s="348">
        <f>IF($F189="","",'הזנה לתנאי סף'!F189)</f>
        <v>20000254</v>
      </c>
      <c r="F189" s="348" t="str">
        <f>IF('הזנה לתנאי סף'!BL189=1,'הזנה לתנאי סף'!G189,"")</f>
        <v>באר שבע</v>
      </c>
      <c r="G189" s="348" t="str">
        <f>IF($F189="","",'הזנה לתנאי סף'!H189)</f>
        <v>תיאטרון הפרינג' באר שבע (ע"ר)</v>
      </c>
      <c r="H189" s="348" t="str">
        <f>IF($F189="","",'הזנה לתנאי סף'!I189)</f>
        <v>אחר</v>
      </c>
      <c r="I189" s="349">
        <f>IF($F189="","",'הזנה לתנאי סף'!R189)</f>
        <v>1332551</v>
      </c>
      <c r="J189" s="349">
        <f>IF($F189="","",'תחום תמיכה א'!P189)</f>
        <v>1034040</v>
      </c>
      <c r="K189" s="177">
        <f>IF($F189="","",'הזנה לתנאי סף'!N189)</f>
        <v>1</v>
      </c>
      <c r="L189" s="177">
        <f>IF($F189="","",'הזנה לתנאי סף'!O189)</f>
        <v>1</v>
      </c>
      <c r="M189" s="177">
        <f>IF($F189="","",'הזנה לתנאי סף'!Q189)</f>
        <v>1</v>
      </c>
      <c r="N189" s="349">
        <f>IF($F189="","",'תחום תמיכה א'!AE189)</f>
        <v>25535.511738206613</v>
      </c>
      <c r="O189" s="178"/>
      <c r="P189" s="349">
        <f>IF($F189="","",'תחום תמיכה ב'!AC189)</f>
        <v>46350.639575573732</v>
      </c>
      <c r="Q189" s="349">
        <f>IF($F189="","",IF('תחום תמיכה ג'!O189="",0,'תחום תמיכה ג'!O189))</f>
        <v>584.75194687379565</v>
      </c>
      <c r="R189" s="349">
        <f t="shared" si="8"/>
        <v>1389.8263493592531</v>
      </c>
      <c r="S189" s="349">
        <f>IF($F189="","",'תחום תמיכה ב'!AE189)</f>
        <v>47740.465924932985</v>
      </c>
      <c r="T189" s="349">
        <f>IF($F189="","",IF(Q189='תחום תמיכה ג'!$Q$2,'תחום תמיכה ג'!$Q$2,IFERROR(SUMIF(N189:R189,"&gt;0"),'תחום תמיכה ג'!$Q$2)))</f>
        <v>73860.729610013397</v>
      </c>
      <c r="U189" s="349">
        <f>IF($F189="","",'הזנה לתנאי סף'!Y189)</f>
        <v>1500000</v>
      </c>
      <c r="V189" s="350">
        <f>IF(F189="","",'הגבלה לסכום מבוקש '!AA189)</f>
        <v>81810.896541686205</v>
      </c>
      <c r="W189" s="349">
        <f t="shared" si="9"/>
        <v>20452.724135421551</v>
      </c>
      <c r="X189" s="349">
        <f>IF(F189="","",'הזנה לתנאי סף'!Z189)</f>
        <v>1500000</v>
      </c>
      <c r="Y189" s="351" t="s">
        <v>3740</v>
      </c>
      <c r="Z189" s="352" t="str">
        <f>IFERROR(VLOOKUP(G189*1,#REF!,3,0),"")</f>
        <v/>
      </c>
      <c r="AA189" s="349" t="str">
        <f>IF(OR($F189="",Z189=""),"",IFERROR(IF(Z189&gt;V189,MIN(Z189,T189)-V189,0),'תחום תמיכה ג'!$Q$2))</f>
        <v/>
      </c>
      <c r="AB189" s="353"/>
      <c r="AC189" s="260" t="str">
        <f t="shared" si="11"/>
        <v/>
      </c>
      <c r="AD189" s="354"/>
      <c r="AE189" s="180"/>
      <c r="AF189" s="355" t="str">
        <f>IF($C189="","",IFERROR(VLOOKUP($C189,גיליון1!$A:$E,2,0),"לא הגיש בקשה שוטפת"))</f>
        <v>מרכז אירוח 2020</v>
      </c>
      <c r="AG189" s="355" t="str">
        <f>IF($C189="","",IFERROR(VLOOKUP($C189,גיליון1!$A:$E,3,0),"לא הגיש בקשה שוטפת"))</f>
        <v>מועד</v>
      </c>
      <c r="AH189" s="355" t="str">
        <f>IF($C189="","",IFERROR(VLOOKUP($C189,גיליון1!$A:$E,4,0),"לא הגיש בקשה שוטפת"))</f>
        <v>19-42-02-07</v>
      </c>
      <c r="AI189" s="355" t="str">
        <f>IF($C189="","",IFERROR(VLOOKUP($C189,גיליון1!$A:$E,5,0),"לא הגיש בקשה שוטפת"))</f>
        <v>תיאטרון</v>
      </c>
      <c r="AJ189" s="355">
        <f t="shared" si="10"/>
        <v>0</v>
      </c>
      <c r="AK189" s="15"/>
      <c r="AL189" s="15" t="s">
        <v>150</v>
      </c>
    </row>
    <row r="190" spans="1:38" ht="285.75" x14ac:dyDescent="0.25">
      <c r="A190" s="346">
        <f>'הזנה לתנאי סף'!B190</f>
        <v>160</v>
      </c>
      <c r="B190" s="347">
        <f>IF($F190="","",'הזנה לתנאי סף'!C190)</f>
        <v>1001350316</v>
      </c>
      <c r="C190" s="347">
        <f>IF($F190="","",'הזנה לתנאי סף'!D190)</f>
        <v>1001265592</v>
      </c>
      <c r="D190" s="347">
        <f>IF($F190="","",'הזנה לתנאי סף'!E190)</f>
        <v>40521896</v>
      </c>
      <c r="E190" s="348">
        <f>IF($F190="","",'הזנה לתנאי סף'!F190)</f>
        <v>20000254</v>
      </c>
      <c r="F190" s="348" t="str">
        <f>IF('הזנה לתנאי סף'!BL190=1,'הזנה לתנאי סף'!G190,"")</f>
        <v>באר שבע</v>
      </c>
      <c r="G190" s="348" t="str">
        <f>IF($F190="","",'הזנה לתנאי סף'!H190)</f>
        <v>תיאטרון הפרינג' באר שבע (ע"ר)</v>
      </c>
      <c r="H190" s="348" t="str">
        <f>IF($F190="","",'הזנה לתנאי סף'!I190)</f>
        <v>אחר</v>
      </c>
      <c r="I190" s="349">
        <f>IF($F190="","",'הזנה לתנאי סף'!R190)</f>
        <v>843196</v>
      </c>
      <c r="J190" s="349">
        <f>IF($F190="","",'תחום תמיכה א'!P190)</f>
        <v>604368</v>
      </c>
      <c r="K190" s="177">
        <f>IF($F190="","",'הזנה לתנאי סף'!N190)</f>
        <v>1</v>
      </c>
      <c r="L190" s="177">
        <f>IF($F190="","",'הזנה לתנאי סף'!O190)</f>
        <v>1</v>
      </c>
      <c r="M190" s="177">
        <f>IF($F190="","",'הזנה לתנאי סף'!Q190)</f>
        <v>1</v>
      </c>
      <c r="N190" s="349">
        <f>IF($F190="","",'תחום תמיכה א'!AE190)</f>
        <v>19407.375761293511</v>
      </c>
      <c r="O190" s="178"/>
      <c r="P190" s="349">
        <f>IF($F190="","",'תחום תמיכה ב'!AC190)</f>
        <v>49592.577728214113</v>
      </c>
      <c r="Q190" s="349">
        <f>IF($F190="","",IF('תחום תמיכה ג'!O190="",0,'תחום תמיכה ג'!O190))</f>
        <v>625.6516985009539</v>
      </c>
      <c r="R190" s="349">
        <f t="shared" si="8"/>
        <v>1487.0360342479835</v>
      </c>
      <c r="S190" s="349">
        <f>IF($F190="","",'תחום תמיכה ב'!AE190)</f>
        <v>51079.613762462097</v>
      </c>
      <c r="T190" s="349">
        <f>IF($F190="","",IF(Q190='תחום תמיכה ג'!$Q$2,'תחום תמיכה ג'!$Q$2,IFERROR(SUMIF(N190:R190,"&gt;0"),'תחום תמיכה ג'!$Q$2)))</f>
        <v>71112.641222256556</v>
      </c>
      <c r="U190" s="349">
        <f>IF($F190="","",'הזנה לתנאי סף'!Y190)</f>
        <v>1000000</v>
      </c>
      <c r="V190" s="350">
        <f>IF(F190="","",'הגבלה לסכום מבוקש '!AA190)</f>
        <v>79615.26920837404</v>
      </c>
      <c r="W190" s="349">
        <f t="shared" si="9"/>
        <v>19903.81730209351</v>
      </c>
      <c r="X190" s="349">
        <f>IF(F190="","",'הזנה לתנאי סף'!Z190)</f>
        <v>1000000</v>
      </c>
      <c r="Y190" s="351" t="s">
        <v>3740</v>
      </c>
      <c r="Z190" s="352" t="str">
        <f>IFERROR(VLOOKUP(G190*1,#REF!,3,0),"")</f>
        <v/>
      </c>
      <c r="AA190" s="349" t="str">
        <f>IF(OR($F190="",Z190=""),"",IFERROR(IF(Z190&gt;V190,MIN(Z190,T190)-V190,0),'תחום תמיכה ג'!$Q$2))</f>
        <v/>
      </c>
      <c r="AB190" s="353"/>
      <c r="AC190" s="260" t="str">
        <f t="shared" si="11"/>
        <v/>
      </c>
      <c r="AD190" s="354"/>
      <c r="AE190" s="180"/>
      <c r="AF190" s="355" t="str">
        <f>IF($C190="","",IFERROR(VLOOKUP($C190,גיליון1!$A:$E,2,0),"לא הגיש בקשה שוטפת"))</f>
        <v>פסטיבל פרינג 2020</v>
      </c>
      <c r="AG190" s="355" t="str">
        <f>IF($C190="","",IFERROR(VLOOKUP($C190,גיליון1!$A:$E,3,0),"לא הגיש בקשה שוטפת"))</f>
        <v>מועד</v>
      </c>
      <c r="AH190" s="355" t="str">
        <f>IF($C190="","",IFERROR(VLOOKUP($C190,גיליון1!$A:$E,4,0),"לא הגיש בקשה שוטפת"))</f>
        <v>19-42-02-26</v>
      </c>
      <c r="AI190" s="355" t="str">
        <f>IF($C190="","",IFERROR(VLOOKUP($C190,גיליון1!$A:$E,5,0),"לא הגיש בקשה שוטפת"))</f>
        <v>פסטיבלים לתרבות</v>
      </c>
      <c r="AJ190" s="355">
        <f t="shared" si="10"/>
        <v>0</v>
      </c>
      <c r="AK190" s="15"/>
      <c r="AL190" s="15" t="s">
        <v>156</v>
      </c>
    </row>
    <row r="191" spans="1:38" ht="285.75" x14ac:dyDescent="0.25">
      <c r="A191" s="346">
        <f>'הזנה לתנאי סף'!B191</f>
        <v>161</v>
      </c>
      <c r="B191" s="347">
        <f>IF($F191="","",'הזנה לתנאי סף'!C191)</f>
        <v>1001348946</v>
      </c>
      <c r="C191" s="347">
        <f>IF($F191="","",'הזנה לתנאי סף'!D191)</f>
        <v>1001278264</v>
      </c>
      <c r="D191" s="347">
        <f>IF($F191="","",'הזנה לתנאי סף'!E191)</f>
        <v>40526318</v>
      </c>
      <c r="E191" s="348">
        <f>IF($F191="","",'הזנה לתנאי סף'!F191)</f>
        <v>20000159</v>
      </c>
      <c r="F191" s="348" t="str">
        <f>IF('הזנה לתנאי סף'!BL191=1,'הזנה לתנאי סף'!G191,"")</f>
        <v>ירושלים</v>
      </c>
      <c r="G191" s="348" t="str">
        <f>IF($F191="","",'הזנה לתנאי סף'!H191)</f>
        <v>קהילות שרות פיוט וניגון (ע"ר)</v>
      </c>
      <c r="H191" s="348" t="str">
        <f>IF($F191="","",'הזנה לתנאי סף'!I191)</f>
        <v>חזנות</v>
      </c>
      <c r="I191" s="349">
        <f>IF($F191="","",'הזנה לתנאי סף'!R191)</f>
        <v>647714</v>
      </c>
      <c r="J191" s="349">
        <f>IF($F191="","",'תחום תמיכה א'!P191)</f>
        <v>624720</v>
      </c>
      <c r="K191" s="177">
        <f>IF($F191="","",'הזנה לתנאי סף'!N191)</f>
        <v>1</v>
      </c>
      <c r="L191" s="177">
        <f>IF($F191="","",'הזנה לתנאי סף'!O191)</f>
        <v>1</v>
      </c>
      <c r="M191" s="177">
        <f>IF($F191="","",'הזנה לתנאי סף'!Q191)</f>
        <v>1</v>
      </c>
      <c r="N191" s="349">
        <f>IF($F191="","",'תחום תמיכה א'!AE191)</f>
        <v>21112.12555365144</v>
      </c>
      <c r="O191" s="178"/>
      <c r="P191" s="349">
        <f>IF($F191="","",'תחום תמיכה ב'!AC191)</f>
        <v>42192.360468135121</v>
      </c>
      <c r="Q191" s="349">
        <f>IF($F191="","",IF('תחום תמיכה ג'!O191="",0,'תחום תמיכה ג'!O191))</f>
        <v>7293.7250171889373</v>
      </c>
      <c r="R191" s="349">
        <f t="shared" si="8"/>
        <v>1265.1401330647568</v>
      </c>
      <c r="S191" s="349">
        <f>IF($F191="","",'תחום תמיכה ב'!AE191)</f>
        <v>43457.500601199878</v>
      </c>
      <c r="T191" s="349">
        <f>IF($F191="","",IF(Q191='תחום תמיכה ג'!$Q$2,'תחום תמיכה ג'!$Q$2,IFERROR(SUMIF(N191:R191,"&gt;0"),'תחום תמיכה ג'!$Q$2)))</f>
        <v>71863.351172040246</v>
      </c>
      <c r="U191" s="349">
        <f>IF($F191="","",'הזנה לתנאי סף'!Y191)</f>
        <v>200000</v>
      </c>
      <c r="V191" s="350">
        <f>IF(F191="","",'הגבלה לסכום מבוקש '!AA191)</f>
        <v>79102.388303548854</v>
      </c>
      <c r="W191" s="349">
        <f t="shared" si="9"/>
        <v>19775.597075887214</v>
      </c>
      <c r="X191" s="349">
        <f>IF(F191="","",'הזנה לתנאי סף'!Z191)</f>
        <v>50000</v>
      </c>
      <c r="Y191" s="351" t="s">
        <v>3740</v>
      </c>
      <c r="Z191" s="352" t="str">
        <f>IFERROR(VLOOKUP(G191*1,#REF!,3,0),"")</f>
        <v/>
      </c>
      <c r="AA191" s="349" t="str">
        <f>IF(OR($F191="",Z191=""),"",IFERROR(IF(Z191&gt;V191,MIN(Z191,T191)-V191,0),'תחום תמיכה ג'!$Q$2))</f>
        <v/>
      </c>
      <c r="AB191" s="353"/>
      <c r="AC191" s="260" t="str">
        <f t="shared" si="11"/>
        <v/>
      </c>
      <c r="AD191" s="354"/>
      <c r="AE191" s="180"/>
      <c r="AF191" s="355" t="str">
        <f>IF($C191="","",IFERROR(VLOOKUP($C191,גיליון1!$A:$E,2,0),"לא הגיש בקשה שוטפת"))</f>
        <v>תמיכה שוטפת</v>
      </c>
      <c r="AG191" s="355" t="str">
        <f>IF($C191="","",IFERROR(VLOOKUP($C191,גיליון1!$A:$E,3,0),"לא הגיש בקשה שוטפת"))</f>
        <v>חויב</v>
      </c>
      <c r="AH191" s="355" t="str">
        <f>IF($C191="","",IFERROR(VLOOKUP($C191,גיליון1!$A:$E,4,0),"לא הגיש בקשה שוטפת"))</f>
        <v>19-42-02-47</v>
      </c>
      <c r="AI191" s="355" t="str">
        <f>IF($C191="","",IFERROR(VLOOKUP($C191,גיליון1!$A:$E,5,0),"לא הגיש בקשה שוטפת"))</f>
        <v>מענק ירושלים לתרבות</v>
      </c>
      <c r="AJ191" s="355">
        <f t="shared" si="10"/>
        <v>0</v>
      </c>
      <c r="AK191" s="15"/>
      <c r="AL191" s="15" t="s">
        <v>160</v>
      </c>
    </row>
    <row r="192" spans="1:38" ht="285.75" x14ac:dyDescent="0.25">
      <c r="A192" s="346">
        <f>'הזנה לתנאי סף'!B192</f>
        <v>162</v>
      </c>
      <c r="B192" s="347">
        <f>IF($F192="","",'הזנה לתנאי סף'!C192)</f>
        <v>1001348956</v>
      </c>
      <c r="C192" s="347">
        <f>IF($F192="","",'הזנה לתנאי סף'!D192)</f>
        <v>1001274741</v>
      </c>
      <c r="D192" s="347">
        <f>IF($F192="","",'הזנה לתנאי סף'!E192)</f>
        <v>40527700</v>
      </c>
      <c r="E192" s="348">
        <f>IF($F192="","",'הזנה לתנאי סף'!F192)</f>
        <v>20000201</v>
      </c>
      <c r="F192" s="348" t="str">
        <f>IF('הזנה לתנאי סף'!BL192=1,'הזנה לתנאי סף'!G192,"")</f>
        <v>תל אביב -יפו</v>
      </c>
      <c r="G192" s="348" t="str">
        <f>IF($F192="","",'הזנה לתנאי סף'!H192)</f>
        <v>המקהלה הישראלית ע"ש גארי ברתיני (ע"</v>
      </c>
      <c r="H192" s="348" t="str">
        <f>IF($F192="","",'הזנה לתנאי סף'!I192)</f>
        <v>מוסיקה-גופים כליים</v>
      </c>
      <c r="I192" s="349">
        <f>IF($F192="","",'הזנה לתנאי סף'!R192)</f>
        <v>1598624</v>
      </c>
      <c r="J192" s="349">
        <f>IF($F192="","",'תחום תמיכה א'!P192)</f>
        <v>1451585</v>
      </c>
      <c r="K192" s="177">
        <f>IF($F192="","",'הזנה לתנאי סף'!N192)</f>
        <v>1</v>
      </c>
      <c r="L192" s="177">
        <f>IF($F192="","",'הזנה לתנאי סף'!O192)</f>
        <v>1</v>
      </c>
      <c r="M192" s="177">
        <f>IF($F192="","",'הזנה לתנאי סף'!Q192)</f>
        <v>1</v>
      </c>
      <c r="N192" s="349">
        <f>IF($F192="","",'תחום תמיכה א'!AE192)</f>
        <v>65253.392585750902</v>
      </c>
      <c r="O192" s="178"/>
      <c r="P192" s="349">
        <f>IF($F192="","",'תחום תמיכה ב'!AC192)</f>
        <v>184257.43259402367</v>
      </c>
      <c r="Q192" s="349">
        <f>IF($F192="","",IF('תחום תמיכה ג'!O192="",0,'תחום תמיכה ג'!O192))</f>
        <v>77267.022056552814</v>
      </c>
      <c r="R192" s="349">
        <f t="shared" si="8"/>
        <v>5524.9687432450301</v>
      </c>
      <c r="S192" s="349">
        <f>IF($F192="","",'תחום תמיכה ב'!AE192)</f>
        <v>189782.4013372687</v>
      </c>
      <c r="T192" s="349">
        <f>IF($F192="","",IF(Q192='תחום תמיכה ג'!$Q$2,'תחום תמיכה ג'!$Q$2,IFERROR(SUMIF(N192:R192,"&gt;0"),'תחום תמיכה ג'!$Q$2)))</f>
        <v>332302.81597957236</v>
      </c>
      <c r="U192" s="349">
        <f>IF($F192="","",'הזנה לתנאי סף'!Y192)</f>
        <v>180000</v>
      </c>
      <c r="V192" s="350">
        <f>IF(F192="","",'הגבלה לסכום מבוקש '!AA192)</f>
        <v>180000</v>
      </c>
      <c r="W192" s="349">
        <f t="shared" si="9"/>
        <v>45000</v>
      </c>
      <c r="X192" s="349">
        <f>IF(F192="","",'הזנה לתנאי סף'!Z192)</f>
        <v>50000</v>
      </c>
      <c r="Y192" s="351" t="s">
        <v>3740</v>
      </c>
      <c r="Z192" s="352" t="str">
        <f>IFERROR(VLOOKUP(G192*1,#REF!,3,0),"")</f>
        <v/>
      </c>
      <c r="AA192" s="349" t="str">
        <f>IF(OR($F192="",Z192=""),"",IFERROR(IF(Z192&gt;V192,MIN(Z192,T192)-V192,0),'תחום תמיכה ג'!$Q$2))</f>
        <v/>
      </c>
      <c r="AB192" s="353"/>
      <c r="AC192" s="260" t="str">
        <f t="shared" si="11"/>
        <v/>
      </c>
      <c r="AD192" s="354"/>
      <c r="AE192" s="180"/>
      <c r="AF192" s="355" t="str">
        <f>IF($C192="","",IFERROR(VLOOKUP($C192,גיליון1!$A:$E,2,0),"לא הגיש בקשה שוטפת"))</f>
        <v>מקהלת ברתיני תמיכה שוטפת 2020</v>
      </c>
      <c r="AG192" s="355" t="str">
        <f>IF($C192="","",IFERROR(VLOOKUP($C192,גיליון1!$A:$E,3,0),"לא הגיש בקשה שוטפת"))</f>
        <v>מועד</v>
      </c>
      <c r="AH192" s="355" t="str">
        <f>IF($C192="","",IFERROR(VLOOKUP($C192,גיליון1!$A:$E,4,0),"לא הגיש בקשה שוטפת"))</f>
        <v>19-42-02-16</v>
      </c>
      <c r="AI192" s="355" t="str">
        <f>IF($C192="","",IFERROR(VLOOKUP($C192,גיליון1!$A:$E,5,0),"לא הגיש בקשה שוטפת"))</f>
        <v>מוסיקה</v>
      </c>
      <c r="AJ192" s="355">
        <f t="shared" si="10"/>
        <v>1</v>
      </c>
      <c r="AK192" s="15"/>
      <c r="AL192" s="15" t="s">
        <v>166</v>
      </c>
    </row>
    <row r="193" spans="1:38" ht="285.75" x14ac:dyDescent="0.25">
      <c r="A193" s="346">
        <f>'הזנה לתנאי סף'!B193</f>
        <v>163</v>
      </c>
      <c r="B193" s="347">
        <f>IF($F193="","",'הזנה לתנאי סף'!C193)</f>
        <v>1001348979</v>
      </c>
      <c r="C193" s="347">
        <f>IF($F193="","",'הזנה לתנאי סף'!D193)</f>
        <v>1001274745</v>
      </c>
      <c r="D193" s="347">
        <f>IF($F193="","",'הזנה לתנאי סף'!E193)</f>
        <v>40527701</v>
      </c>
      <c r="E193" s="348">
        <f>IF($F193="","",'הזנה לתנאי סף'!F193)</f>
        <v>20000201</v>
      </c>
      <c r="F193" s="348" t="str">
        <f>IF('הזנה לתנאי סף'!BL193=1,'הזנה לתנאי סף'!G193,"")</f>
        <v>תל אביב -יפו</v>
      </c>
      <c r="G193" s="348" t="str">
        <f>IF($F193="","",'הזנה לתנאי סף'!H193)</f>
        <v>תיאטרון הקיבוץ (ע"ר)</v>
      </c>
      <c r="H193" s="348" t="str">
        <f>IF($F193="","",'הזנה לתנאי סף'!I193)</f>
        <v>תיאטרון</v>
      </c>
      <c r="I193" s="349">
        <f>IF($F193="","",'הזנה לתנאי סף'!R193)</f>
        <v>5787000</v>
      </c>
      <c r="J193" s="349">
        <f>IF($F193="","",'תחום תמיכה א'!P193)</f>
        <v>5717000</v>
      </c>
      <c r="K193" s="177">
        <f>IF($F193="","",'הזנה לתנאי סף'!N193)</f>
        <v>1</v>
      </c>
      <c r="L193" s="177">
        <f>IF($F193="","",'הזנה לתנאי סף'!O193)</f>
        <v>1</v>
      </c>
      <c r="M193" s="177">
        <f>IF($F193="","",'הזנה לתנאי סף'!Q193)</f>
        <v>1</v>
      </c>
      <c r="N193" s="349">
        <f>IF($F193="","",'תחום תמיכה א'!AE193)</f>
        <v>272068.50448056741</v>
      </c>
      <c r="O193" s="178"/>
      <c r="P193" s="349">
        <f>IF($F193="","",'תחום תמיכה ב'!AC193)</f>
        <v>747534.21449180099</v>
      </c>
      <c r="Q193" s="349">
        <f>IF($F193="","",IF('תחום תמיכה ג'!O193="",0,'תחום תמיכה ג'!O193))</f>
        <v>313473.06768584211</v>
      </c>
      <c r="R193" s="349">
        <f t="shared" si="8"/>
        <v>22414.852478018147</v>
      </c>
      <c r="S193" s="349">
        <f>IF($F193="","",'תחום תמיכה ב'!AE193)</f>
        <v>769949.06696981913</v>
      </c>
      <c r="T193" s="349">
        <f>IF($F193="","",IF(Q193='תחום תמיכה ג'!$Q$2,'תחום תמיכה ג'!$Q$2,IFERROR(SUMIF(N193:R193,"&gt;0"),'תחום תמיכה ג'!$Q$2)))</f>
        <v>1355490.6391362287</v>
      </c>
      <c r="U193" s="349">
        <f>IF($F193="","",'הזנה לתנאי סף'!Y193)</f>
        <v>700000</v>
      </c>
      <c r="V193" s="350">
        <f>IF(F193="","",'הגבלה לסכום מבוקש '!AA193)</f>
        <v>700000</v>
      </c>
      <c r="W193" s="349">
        <f t="shared" si="9"/>
        <v>175000</v>
      </c>
      <c r="X193" s="349">
        <f>IF(F193="","",'הזנה לתנאי סף'!Z193)</f>
        <v>400000</v>
      </c>
      <c r="Y193" s="351" t="s">
        <v>3740</v>
      </c>
      <c r="Z193" s="352" t="str">
        <f>IFERROR(VLOOKUP(G193*1,#REF!,3,0),"")</f>
        <v/>
      </c>
      <c r="AA193" s="349" t="str">
        <f>IF(OR($F193="",Z193=""),"",IFERROR(IF(Z193&gt;V193,MIN(Z193,T193)-V193,0),'תחום תמיכה ג'!$Q$2))</f>
        <v/>
      </c>
      <c r="AB193" s="353"/>
      <c r="AC193" s="260" t="str">
        <f t="shared" si="11"/>
        <v/>
      </c>
      <c r="AD193" s="354"/>
      <c r="AE193" s="180"/>
      <c r="AF193" s="355" t="str">
        <f>IF($C193="","",IFERROR(VLOOKUP($C193,גיליון1!$A:$E,2,0),"לא הגיש בקשה שוטפת"))</f>
        <v>תיאטרון הקיבוץ - תמיכה שוטפת 2020</v>
      </c>
      <c r="AG193" s="355" t="str">
        <f>IF($C193="","",IFERROR(VLOOKUP($C193,גיליון1!$A:$E,3,0),"לא הגיש בקשה שוטפת"))</f>
        <v>חויב</v>
      </c>
      <c r="AH193" s="355" t="str">
        <f>IF($C193="","",IFERROR(VLOOKUP($C193,גיליון1!$A:$E,4,0),"לא הגיש בקשה שוטפת"))</f>
        <v>19-42-02-07</v>
      </c>
      <c r="AI193" s="355" t="str">
        <f>IF($C193="","",IFERROR(VLOOKUP($C193,גיליון1!$A:$E,5,0),"לא הגיש בקשה שוטפת"))</f>
        <v>תיאטרון</v>
      </c>
      <c r="AJ193" s="355">
        <f t="shared" si="10"/>
        <v>1</v>
      </c>
      <c r="AK193" s="15"/>
      <c r="AL193" s="15" t="s">
        <v>170</v>
      </c>
    </row>
    <row r="194" spans="1:38" ht="285.75" x14ac:dyDescent="0.25">
      <c r="A194" s="346">
        <f>'הזנה לתנאי סף'!B194</f>
        <v>164</v>
      </c>
      <c r="B194" s="347">
        <f>IF($F194="","",'הזנה לתנאי סף'!C194)</f>
        <v>1001350362</v>
      </c>
      <c r="C194" s="347">
        <f>IF($F194="","",'הזנה לתנאי סף'!D194)</f>
        <v>1001301999</v>
      </c>
      <c r="D194" s="347">
        <f>IF($F194="","",'הזנה לתנאי סף'!E194)</f>
        <v>40216094</v>
      </c>
      <c r="E194" s="348">
        <f>IF($F194="","",'הזנה לתנאי סף'!F194)</f>
        <v>20000231</v>
      </c>
      <c r="F194" s="348" t="str">
        <f>IF('הזנה לתנאי סף'!BL194=1,'הזנה לתנאי סף'!G194,"")</f>
        <v>נצרת</v>
      </c>
      <c r="G194" s="348" t="str">
        <f>IF($F194="","",'הזנה לתנאי סף'!H194)</f>
        <v>אלחנין נצרת (ע"ר)</v>
      </c>
      <c r="H194" s="348" t="str">
        <f>IF($F194="","",'הזנה לתנאי סף'!I194)</f>
        <v>תיאטרון</v>
      </c>
      <c r="I194" s="349">
        <f>IF($F194="","",'הזנה לתנאי סף'!R194)</f>
        <v>1706019</v>
      </c>
      <c r="J194" s="349">
        <f>IF($F194="","",'תחום תמיכה א'!P194)</f>
        <v>1488051</v>
      </c>
      <c r="K194" s="177">
        <f>IF($F194="","",'הזנה לתנאי סף'!N194)</f>
        <v>0</v>
      </c>
      <c r="L194" s="177">
        <f>IF($F194="","",'הזנה לתנאי סף'!O194)</f>
        <v>1</v>
      </c>
      <c r="M194" s="177">
        <f>IF($F194="","",'הזנה לתנאי סף'!Q194)</f>
        <v>1</v>
      </c>
      <c r="N194" s="349">
        <f>IF($F194="","",'תחום תמיכה א'!AE194)</f>
        <v>34005.857294909263</v>
      </c>
      <c r="O194" s="178"/>
      <c r="P194" s="349">
        <f>IF($F194="","",'תחום תמיכה ב'!AC194)</f>
        <v>50817.48010490842</v>
      </c>
      <c r="Q194" s="349">
        <f>IF($F194="","",IF('תחום תמיכה ג'!O194="",0,'תחום תמיכה ג'!O194))</f>
        <v>0</v>
      </c>
      <c r="R194" s="349">
        <f t="shared" si="8"/>
        <v>1523.7647960107352</v>
      </c>
      <c r="S194" s="349">
        <f>IF($F194="","",'תחום תמיכה ב'!AE194)</f>
        <v>52341.244900919155</v>
      </c>
      <c r="T194" s="349">
        <f>IF($F194="","",IF(Q194='תחום תמיכה ג'!$Q$2,'תחום תמיכה ג'!$Q$2,IFERROR(SUMIF(N194:R194,"&gt;0"),'תחום תמיכה ג'!$Q$2)))</f>
        <v>86347.102195828425</v>
      </c>
      <c r="U194" s="349">
        <f>IF($F194="","",'הזנה לתנאי סף'!Y194)</f>
        <v>400000</v>
      </c>
      <c r="V194" s="350">
        <f>IF(F194="","",'הגבלה לסכום מבוקש '!AA194)</f>
        <v>95065.876115719409</v>
      </c>
      <c r="W194" s="349">
        <f t="shared" si="9"/>
        <v>23766.469028929852</v>
      </c>
      <c r="X194" s="349">
        <f>IF(F194="","",'הזנה לתנאי סף'!Z194)</f>
        <v>400000</v>
      </c>
      <c r="Y194" s="351" t="s">
        <v>3740</v>
      </c>
      <c r="Z194" s="352" t="str">
        <f>IFERROR(VLOOKUP(G194*1,#REF!,3,0),"")</f>
        <v/>
      </c>
      <c r="AA194" s="349" t="str">
        <f>IF(OR($F194="",Z194=""),"",IFERROR(IF(Z194&gt;V194,MIN(Z194,T194)-V194,0),'תחום תמיכה ג'!$Q$2))</f>
        <v/>
      </c>
      <c r="AB194" s="353"/>
      <c r="AC194" s="260" t="str">
        <f t="shared" si="11"/>
        <v/>
      </c>
      <c r="AD194" s="354"/>
      <c r="AE194" s="180"/>
      <c r="AF194" s="355" t="str">
        <f>IF($C194="","",IFERROR(VLOOKUP($C194,גיליון1!$A:$E,2,0),"לא הגיש בקשה שוטפת"))</f>
        <v>בקשת תמיכה בפעילות השוטפת</v>
      </c>
      <c r="AG194" s="355" t="str">
        <f>IF($C194="","",IFERROR(VLOOKUP($C194,גיליון1!$A:$E,3,0),"לא הגיש בקשה שוטפת"))</f>
        <v>מועד</v>
      </c>
      <c r="AH194" s="355" t="str">
        <f>IF($C194="","",IFERROR(VLOOKUP($C194,גיליון1!$A:$E,4,0),"לא הגיש בקשה שוטפת"))</f>
        <v>19-42-02-33</v>
      </c>
      <c r="AI194" s="355" t="str">
        <f>IF($C194="","",IFERROR(VLOOKUP($C194,גיליון1!$A:$E,5,0),"לא הגיש בקשה שוטפת"))</f>
        <v>תרבות ערבית ודרוזית</v>
      </c>
      <c r="AJ194" s="355">
        <f t="shared" si="10"/>
        <v>0</v>
      </c>
      <c r="AK194" s="15"/>
      <c r="AL194" s="15" t="s">
        <v>131</v>
      </c>
    </row>
    <row r="195" spans="1:38" ht="285.75" x14ac:dyDescent="0.25">
      <c r="A195" s="346">
        <f>'הזנה לתנאי סף'!B195</f>
        <v>165</v>
      </c>
      <c r="B195" s="347">
        <f>IF($F195="","",'הזנה לתנאי סף'!C195)</f>
        <v>1001349141</v>
      </c>
      <c r="C195" s="347">
        <f>IF($F195="","",'הזנה לתנאי סף'!D195)</f>
        <v>1001263416</v>
      </c>
      <c r="D195" s="347">
        <f>IF($F195="","",'הזנה לתנאי סף'!E195)</f>
        <v>41375324</v>
      </c>
      <c r="E195" s="348">
        <f>IF($F195="","",'הזנה לתנאי סף'!F195)</f>
        <v>20000201</v>
      </c>
      <c r="F195" s="348" t="str">
        <f>IF('הזנה לתנאי סף'!BL195=1,'הזנה לתנאי סף'!G195,"")</f>
        <v>תל אביב -יפו</v>
      </c>
      <c r="G195" s="348" t="str">
        <f>IF($F195="","",'הזנה לתנאי סף'!H195)</f>
        <v>אדם יוצר - טיפוח הביטוי האמנותי (ע"</v>
      </c>
      <c r="H195" s="348" t="str">
        <f>IF($F195="","",'הזנה לתנאי סף'!I195)</f>
        <v>תיאטרון</v>
      </c>
      <c r="I195" s="349">
        <f>IF($F195="","",'הזנה לתנאי סף'!R195)</f>
        <v>70272</v>
      </c>
      <c r="J195" s="349">
        <f>IF($F195="","",'תחום תמיכה א'!P195)</f>
        <v>70535</v>
      </c>
      <c r="K195" s="177">
        <f>IF($F195="","",'הזנה לתנאי סף'!N195)</f>
        <v>0</v>
      </c>
      <c r="L195" s="177">
        <f>IF($F195="","",'הזנה לתנאי סף'!O195)</f>
        <v>1</v>
      </c>
      <c r="M195" s="177">
        <f>IF($F195="","",'הזנה לתנאי סף'!Q195)</f>
        <v>1</v>
      </c>
      <c r="N195" s="349">
        <f>IF($F195="","",'תחום תמיכה א'!AE195)</f>
        <v>3855.7606518945645</v>
      </c>
      <c r="O195" s="178"/>
      <c r="P195" s="349">
        <f>IF($F195="","",'תחום תמיכה ב'!AC195)</f>
        <v>7371.3036426403087</v>
      </c>
      <c r="Q195" s="349">
        <f>IF($F195="","",IF('תחום תמיכה ג'!O195="",0,'תחום תמיכה ג'!O195))</f>
        <v>0</v>
      </c>
      <c r="R195" s="349">
        <f t="shared" si="8"/>
        <v>221.02892485367647</v>
      </c>
      <c r="S195" s="349">
        <f>IF($F195="","",'תחום תמיכה ב'!AE195)</f>
        <v>7592.3325674939852</v>
      </c>
      <c r="T195" s="349">
        <f>IF($F195="","",IF(Q195='תחום תמיכה ג'!$Q$2,'תחום תמיכה ג'!$Q$2,IFERROR(SUMIF(N195:R195,"&gt;0"),'תחום תמיכה ג'!$Q$2)))</f>
        <v>11448.093219388549</v>
      </c>
      <c r="U195" s="349">
        <f>IF($F195="","",'הזנה לתנאי סף'!Y195)</f>
        <v>50000</v>
      </c>
      <c r="V195" s="350">
        <f>IF(F195="","",'הגבלה לסכום מבוקש '!AA195)</f>
        <v>12712.300160872284</v>
      </c>
      <c r="W195" s="349">
        <f t="shared" si="9"/>
        <v>3178.0750402180711</v>
      </c>
      <c r="X195" s="349">
        <f>IF(F195="","",'הזנה לתנאי סף'!Z195)</f>
        <v>25000</v>
      </c>
      <c r="Y195" s="351" t="s">
        <v>3740</v>
      </c>
      <c r="Z195" s="352" t="str">
        <f>IFERROR(VLOOKUP(G195*1,#REF!,3,0),"")</f>
        <v/>
      </c>
      <c r="AA195" s="349" t="str">
        <f>IF(OR($F195="",Z195=""),"",IFERROR(IF(Z195&gt;V195,MIN(Z195,T195)-V195,0),'תחום תמיכה ג'!$Q$2))</f>
        <v/>
      </c>
      <c r="AB195" s="353"/>
      <c r="AC195" s="260" t="str">
        <f t="shared" si="11"/>
        <v/>
      </c>
      <c r="AD195" s="354"/>
      <c r="AE195" s="180"/>
      <c r="AF195" s="355" t="str">
        <f>IF($C195="","",IFERROR(VLOOKUP($C195,גיליון1!$A:$E,2,0),"לא הגיש בקשה שוטפת"))</f>
        <v>קבוצת תאטרון אנסמבל פספורט</v>
      </c>
      <c r="AG195" s="355" t="str">
        <f>IF($C195="","",IFERROR(VLOOKUP($C195,גיליון1!$A:$E,3,0),"לא הגיש בקשה שוטפת"))</f>
        <v>מועד</v>
      </c>
      <c r="AH195" s="355" t="str">
        <f>IF($C195="","",IFERROR(VLOOKUP($C195,גיליון1!$A:$E,4,0),"לא הגיש בקשה שוטפת"))</f>
        <v>19-42-02-07</v>
      </c>
      <c r="AI195" s="355" t="str">
        <f>IF($C195="","",IFERROR(VLOOKUP($C195,גיליון1!$A:$E,5,0),"לא הגיש בקשה שוטפת"))</f>
        <v>תיאטרון</v>
      </c>
      <c r="AJ195" s="355">
        <f t="shared" si="10"/>
        <v>0</v>
      </c>
      <c r="AK195" s="15"/>
      <c r="AL195" s="15" t="s">
        <v>128</v>
      </c>
    </row>
    <row r="196" spans="1:38" ht="285.75" x14ac:dyDescent="0.25">
      <c r="A196" s="346">
        <f>'הזנה לתנאי סף'!B196</f>
        <v>166</v>
      </c>
      <c r="B196" s="347">
        <f>IF($F196="","",'הזנה לתנאי סף'!C196)</f>
        <v>1001349841</v>
      </c>
      <c r="C196" s="347">
        <f>IF($F196="","",'הזנה לתנאי סף'!D196)</f>
        <v>1001263630</v>
      </c>
      <c r="D196" s="347">
        <f>IF($F196="","",'הזנה לתנאי סף'!E196)</f>
        <v>40003600</v>
      </c>
      <c r="E196" s="348">
        <f>IF($F196="","",'הזנה לתנאי סף'!F196)</f>
        <v>20000254</v>
      </c>
      <c r="F196" s="348" t="str">
        <f>IF('הזנה לתנאי סף'!BL196=1,'הזנה לתנאי סף'!G196,"")</f>
        <v>באר שבע</v>
      </c>
      <c r="G196" s="348" t="str">
        <f>IF($F196="","",'הזנה לתנאי סף'!H196)</f>
        <v>חברת בית יציב ב.ש בע"מ - חברה לתועל</v>
      </c>
      <c r="H196" s="348" t="str">
        <f>IF($F196="","",'הזנה לתנאי סף'!I196)</f>
        <v>מוזיאונים</v>
      </c>
      <c r="I196" s="349">
        <f>IF($F196="","",'הזנה לתנאי סף'!R196)</f>
        <v>9887297</v>
      </c>
      <c r="J196" s="349">
        <f>IF($F196="","",'תחום תמיכה א'!P196)</f>
        <v>9887490</v>
      </c>
      <c r="K196" s="177">
        <f>IF($F196="","",'הזנה לתנאי סף'!N196)</f>
        <v>1</v>
      </c>
      <c r="L196" s="177">
        <f>IF($F196="","",'הזנה לתנאי סף'!O196)</f>
        <v>1</v>
      </c>
      <c r="M196" s="177">
        <f>IF($F196="","",'הזנה לתנאי סף'!Q196)</f>
        <v>1</v>
      </c>
      <c r="N196" s="349">
        <f>IF($F196="","",'תחום תמיכה א'!AE196)</f>
        <v>458496.36369900266</v>
      </c>
      <c r="O196" s="178"/>
      <c r="P196" s="349">
        <f>IF($F196="","",'תחום תמיכה ב'!AC196)</f>
        <v>1212647.8330915791</v>
      </c>
      <c r="Q196" s="349">
        <f>IF($F196="","",IF('תחום תמיכה ג'!O196="",0,'תחום תמיכה ג'!O196))</f>
        <v>15298.563035282847</v>
      </c>
      <c r="R196" s="349">
        <f t="shared" si="8"/>
        <v>36361.308632561937</v>
      </c>
      <c r="S196" s="349">
        <f>IF($F196="","",'תחום תמיכה ב'!AE196)</f>
        <v>1249009.1417241411</v>
      </c>
      <c r="T196" s="349">
        <f>IF($F196="","",IF(Q196='תחום תמיכה ג'!$Q$2,'תחום תמיכה ג'!$Q$2,IFERROR(SUMIF(N196:R196,"&gt;0"),'תחום תמיכה ג'!$Q$2)))</f>
        <v>1722804.0684584265</v>
      </c>
      <c r="U196" s="349">
        <f>IF($F196="","",'הזנה לתנאי סף'!Y196)</f>
        <v>3700000</v>
      </c>
      <c r="V196" s="350">
        <f>IF(F196="","",'הגבלה לסכום מבוקש '!AA196)</f>
        <v>1930704.7524082023</v>
      </c>
      <c r="W196" s="349">
        <f t="shared" si="9"/>
        <v>482676.18810205057</v>
      </c>
      <c r="X196" s="349">
        <f>IF(F196="","",'הזנה לתנאי סף'!Z196)</f>
        <v>3700000</v>
      </c>
      <c r="Y196" s="351" t="s">
        <v>3740</v>
      </c>
      <c r="Z196" s="352" t="str">
        <f>IFERROR(VLOOKUP(G196*1,#REF!,3,0),"")</f>
        <v/>
      </c>
      <c r="AA196" s="349" t="str">
        <f>IF(OR($F196="",Z196=""),"",IFERROR(IF(Z196&gt;V196,MIN(Z196,T196)-V196,0),'תחום תמיכה ג'!$Q$2))</f>
        <v/>
      </c>
      <c r="AB196" s="353"/>
      <c r="AC196" s="260" t="str">
        <f t="shared" si="11"/>
        <v/>
      </c>
      <c r="AD196" s="354"/>
      <c r="AE196" s="180"/>
      <c r="AF196" s="355" t="str">
        <f>IF($C196="","",IFERROR(VLOOKUP($C196,גיליון1!$A:$E,2,0),"לא הגיש בקשה שוטפת"))</f>
        <v>סיוע בתמיכה שוטפת לקיום פעילות המוזיאון</v>
      </c>
      <c r="AG196" s="355" t="str">
        <f>IF($C196="","",IFERROR(VLOOKUP($C196,גיליון1!$A:$E,3,0),"לא הגיש בקשה שוטפת"))</f>
        <v>חויב</v>
      </c>
      <c r="AH196" s="355" t="str">
        <f>IF($C196="","",IFERROR(VLOOKUP($C196,גיליון1!$A:$E,4,0),"לא הגיש בקשה שוטפת"))</f>
        <v>19-42-02-18</v>
      </c>
      <c r="AI196" s="355" t="str">
        <f>IF($C196="","",IFERROR(VLOOKUP($C196,גיליון1!$A:$E,5,0),"לא הגיש בקשה שוטפת"))</f>
        <v>מוזיאונים ואמנות פלס</v>
      </c>
      <c r="AJ196" s="355">
        <f t="shared" si="10"/>
        <v>0</v>
      </c>
      <c r="AK196" s="15"/>
      <c r="AL196" s="15" t="s">
        <v>172</v>
      </c>
    </row>
    <row r="197" spans="1:38" ht="285.75" x14ac:dyDescent="0.25">
      <c r="A197" s="346">
        <f>'הזנה לתנאי סף'!B197</f>
        <v>167</v>
      </c>
      <c r="B197" s="347">
        <f>IF($F197="","",'הזנה לתנאי סף'!C197)</f>
        <v>1001346793</v>
      </c>
      <c r="C197" s="347">
        <f>IF($F197="","",'הזנה לתנאי סף'!D197)</f>
        <v>1001346793</v>
      </c>
      <c r="D197" s="347">
        <f>IF($F197="","",'הזנה לתנאי סף'!E197)</f>
        <v>40462864</v>
      </c>
      <c r="E197" s="348">
        <f>IF($F197="","",'הזנה לתנאי סף'!F197)</f>
        <v>20000244</v>
      </c>
      <c r="F197" s="348" t="str">
        <f>IF('הזנה לתנאי סף'!BL197=1,'הזנה לתנאי סף'!G197,"")</f>
        <v>צפת</v>
      </c>
      <c r="G197" s="348" t="str">
        <f>IF($F197="","",'הזנה לתנאי סף'!H197)</f>
        <v>עמותת כליזמרים - כיתת אומן בצפת (ע"</v>
      </c>
      <c r="H197" s="348" t="str">
        <f>IF($F197="","",'הזנה לתנאי סף'!I197)</f>
        <v>אחר</v>
      </c>
      <c r="I197" s="349">
        <f>IF($F197="","",'הזנה לתנאי סף'!R197)</f>
        <v>452304</v>
      </c>
      <c r="J197" s="349">
        <f>IF($F197="","",'תחום תמיכה א'!P197)</f>
        <v>511698</v>
      </c>
      <c r="K197" s="177">
        <f>IF($F197="","",'הזנה לתנאי סף'!N197)</f>
        <v>0</v>
      </c>
      <c r="L197" s="177">
        <f>IF($F197="","",'הזנה לתנאי סף'!O197)</f>
        <v>1</v>
      </c>
      <c r="M197" s="177">
        <f>IF($F197="","",'הזנה לתנאי סף'!Q197)</f>
        <v>1</v>
      </c>
      <c r="N197" s="349">
        <f>IF($F197="","",'תחום תמיכה א'!AE197)</f>
        <v>21875.754303449106</v>
      </c>
      <c r="O197" s="178"/>
      <c r="P197" s="349">
        <f>IF($F197="","",'תחום תמיכה ב'!AC197)</f>
        <v>47150.521632327545</v>
      </c>
      <c r="Q197" s="349">
        <f>IF($F197="","",IF('תחום תמיכה ג'!O197="",0,'תחום תמיכה ג'!O197))</f>
        <v>0</v>
      </c>
      <c r="R197" s="349">
        <f t="shared" si="8"/>
        <v>1413.8108546225194</v>
      </c>
      <c r="S197" s="349">
        <f>IF($F197="","",'תחום תמיכה ב'!AE197)</f>
        <v>48564.332486950065</v>
      </c>
      <c r="T197" s="349">
        <f>IF($F197="","",IF(Q197='תחום תמיכה ג'!$Q$2,'תחום תמיכה ג'!$Q$2,IFERROR(SUMIF(N197:R197,"&gt;0"),'תחום תמיכה ג'!$Q$2)))</f>
        <v>70440.08679039916</v>
      </c>
      <c r="U197" s="349">
        <f>IF($F197="","",'הזנה לתנאי סף'!Y197)</f>
        <v>100000</v>
      </c>
      <c r="V197" s="350">
        <f>IF(F197="","",'הגבלה לסכום מבוקש '!AA197)</f>
        <v>78525.313427156376</v>
      </c>
      <c r="W197" s="349">
        <f t="shared" si="9"/>
        <v>19631.328356789094</v>
      </c>
      <c r="X197" s="349">
        <f>IF(F197="","",'הזנה לתנאי סף'!Z197)</f>
        <v>50000</v>
      </c>
      <c r="Y197" s="351" t="s">
        <v>3740</v>
      </c>
      <c r="Z197" s="352" t="str">
        <f>IFERROR(VLOOKUP(G197*1,#REF!,3,0),"")</f>
        <v/>
      </c>
      <c r="AA197" s="349" t="str">
        <f>IF(OR($F197="",Z197=""),"",IFERROR(IF(Z197&gt;V197,MIN(Z197,T197)-V197,0),'תחום תמיכה ג'!$Q$2))</f>
        <v/>
      </c>
      <c r="AB197" s="353"/>
      <c r="AC197" s="260" t="str">
        <f t="shared" si="11"/>
        <v/>
      </c>
      <c r="AD197" s="354"/>
      <c r="AE197" s="180"/>
      <c r="AF197" s="355" t="str">
        <f>IF($C197="","",IFERROR(VLOOKUP($C197,גיליון1!$A:$E,2,0),"לא הגיש בקשה שוטפת"))</f>
        <v>סיוע לנפגעי קורונה</v>
      </c>
      <c r="AG197" s="355" t="str">
        <f>IF($C197="","",IFERROR(VLOOKUP($C197,גיליון1!$A:$E,3,0),"לא הגיש בקשה שוטפת"))</f>
        <v>טיוט</v>
      </c>
      <c r="AH197" s="355" t="str">
        <f>IF($C197="","",IFERROR(VLOOKUP($C197,גיליון1!$A:$E,4,0),"לא הגיש בקשה שוטפת"))</f>
        <v>19-42-02-74</v>
      </c>
      <c r="AI197" s="355" t="str">
        <f>IF($C197="","",IFERROR(VLOOKUP($C197,גיליון1!$A:$E,5,0),"לא הגיש בקשה שוטפת"))</f>
        <v>סיוע למוסדות בגין</v>
      </c>
      <c r="AJ197" s="355">
        <f t="shared" si="10"/>
        <v>0</v>
      </c>
      <c r="AK197" s="15"/>
      <c r="AL197" s="15" t="s">
        <v>46</v>
      </c>
    </row>
    <row r="198" spans="1:38" ht="285.75" x14ac:dyDescent="0.25">
      <c r="A198" s="346">
        <f>'הזנה לתנאי סף'!B198</f>
        <v>168</v>
      </c>
      <c r="B198" s="347">
        <f>IF($F198="","",'הזנה לתנאי סף'!C198)</f>
        <v>1001350197</v>
      </c>
      <c r="C198" s="347">
        <f>IF($F198="","",'הזנה לתנאי סף'!D198)</f>
        <v>1001280236</v>
      </c>
      <c r="D198" s="347">
        <f>IF($F198="","",'הזנה לתנאי סף'!E198)</f>
        <v>40384701</v>
      </c>
      <c r="E198" s="348">
        <f>IF($F198="","",'הזנה לתנאי סף'!F198)</f>
        <v>20000201</v>
      </c>
      <c r="F198" s="348" t="str">
        <f>IF('הזנה לתנאי סף'!BL198=1,'הזנה לתנאי סף'!G198,"")</f>
        <v>תל אביב -יפו</v>
      </c>
      <c r="G198" s="348" t="str">
        <f>IF($F198="","",'הזנה לתנאי סף'!H198)</f>
        <v>תזמורת המהפכה (ע"ר)</v>
      </c>
      <c r="H198" s="348" t="str">
        <f>IF($F198="","",'הזנה לתנאי סף'!I198)</f>
        <v>מרכזי מוסיקה</v>
      </c>
      <c r="I198" s="349">
        <f>IF($F198="","",'הזנה לתנאי סף'!R198)</f>
        <v>1718528</v>
      </c>
      <c r="J198" s="349">
        <f>IF($F198="","",'תחום תמיכה א'!P198)</f>
        <v>1638546</v>
      </c>
      <c r="K198" s="177">
        <f>IF($F198="","",'הזנה לתנאי סף'!N198)</f>
        <v>1</v>
      </c>
      <c r="L198" s="177">
        <f>IF($F198="","",'הזנה לתנאי סף'!O198)</f>
        <v>1</v>
      </c>
      <c r="M198" s="177">
        <f>IF($F198="","",'הזנה לתנאי סף'!Q198)</f>
        <v>1</v>
      </c>
      <c r="N198" s="349">
        <f>IF($F198="","",'תחום תמיכה א'!AE198)</f>
        <v>52773.325720847606</v>
      </c>
      <c r="O198" s="178"/>
      <c r="P198" s="349">
        <f>IF($F198="","",'תחום תמיכה ב'!AC198)</f>
        <v>101677.69731802649</v>
      </c>
      <c r="Q198" s="349">
        <f>IF($F198="","",IF('תחום תמיכה ג'!O198="",0,'תחום תמיכה ג'!O198))</f>
        <v>42637.807174060617</v>
      </c>
      <c r="R198" s="349">
        <f t="shared" si="8"/>
        <v>3048.8110664440319</v>
      </c>
      <c r="S198" s="349">
        <f>IF($F198="","",'תחום תמיכה ב'!AE198)</f>
        <v>104726.50838447052</v>
      </c>
      <c r="T198" s="349">
        <f>IF($F198="","",IF(Q198='תחום תמיכה ג'!$Q$2,'תחום תמיכה ג'!$Q$2,IFERROR(SUMIF(N198:R198,"&gt;0"),'תחום תמיכה ג'!$Q$2)))</f>
        <v>200137.64127937873</v>
      </c>
      <c r="U198" s="349">
        <f>IF($F198="","",'הזנה לתנאי סף'!Y198)</f>
        <v>147328</v>
      </c>
      <c r="V198" s="350">
        <f>IF(F198="","",'הגבלה לסכום מבוקש '!AA198)</f>
        <v>147328</v>
      </c>
      <c r="W198" s="349">
        <f t="shared" si="9"/>
        <v>36832</v>
      </c>
      <c r="X198" s="349">
        <f>IF(F198="","",'הזנה לתנאי סף'!Z198)</f>
        <v>147328</v>
      </c>
      <c r="Y198" s="351" t="s">
        <v>3740</v>
      </c>
      <c r="Z198" s="352" t="str">
        <f>IFERROR(VLOOKUP(G198*1,#REF!,3,0),"")</f>
        <v/>
      </c>
      <c r="AA198" s="349" t="str">
        <f>IF(OR($F198="",Z198=""),"",IFERROR(IF(Z198&gt;V198,MIN(Z198,T198)-V198,0),'תחום תמיכה ג'!$Q$2))</f>
        <v/>
      </c>
      <c r="AB198" s="353"/>
      <c r="AC198" s="260" t="str">
        <f t="shared" si="11"/>
        <v/>
      </c>
      <c r="AD198" s="354"/>
      <c r="AE198" s="180"/>
      <c r="AF198" s="355" t="str">
        <f>IF($C198="","",IFERROR(VLOOKUP($C198,גיליון1!$A:$E,2,0),"לא הגיש בקשה שוטפת"))</f>
        <v>בקשת תמיכה לשנת 2020</v>
      </c>
      <c r="AG198" s="355" t="str">
        <f>IF($C198="","",IFERROR(VLOOKUP($C198,גיליון1!$A:$E,3,0),"לא הגיש בקשה שוטפת"))</f>
        <v>חויב</v>
      </c>
      <c r="AH198" s="355" t="str">
        <f>IF($C198="","",IFERROR(VLOOKUP($C198,גיליון1!$A:$E,4,0),"לא הגיש בקשה שוטפת"))</f>
        <v>19-42-02-16</v>
      </c>
      <c r="AI198" s="355" t="str">
        <f>IF($C198="","",IFERROR(VLOOKUP($C198,גיליון1!$A:$E,5,0),"לא הגיש בקשה שוטפת"))</f>
        <v>מוסיקה</v>
      </c>
      <c r="AJ198" s="355">
        <f t="shared" si="10"/>
        <v>1</v>
      </c>
      <c r="AK198" s="15"/>
      <c r="AL198" s="15" t="s">
        <v>177</v>
      </c>
    </row>
    <row r="199" spans="1:38" ht="285.75" x14ac:dyDescent="0.25">
      <c r="A199" s="346">
        <f>'הזנה לתנאי סף'!B199</f>
        <v>169</v>
      </c>
      <c r="B199" s="347">
        <f>IF($F199="","",'הזנה לתנאי סף'!C199)</f>
        <v>1001350703</v>
      </c>
      <c r="C199" s="347">
        <f>IF($F199="","",'הזנה לתנאי סף'!D199)</f>
        <v>1001279377</v>
      </c>
      <c r="D199" s="347">
        <f>IF($F199="","",'הזנה לתנאי סף'!E199)</f>
        <v>40000394</v>
      </c>
      <c r="E199" s="348">
        <f>IF($F199="","",'הזנה לתנאי סף'!F199)</f>
        <v>20000159</v>
      </c>
      <c r="F199" s="348" t="str">
        <f>IF('הזנה לתנאי סף'!BL199=1,'הזנה לתנאי סף'!G199,"")</f>
        <v>ירושלים</v>
      </c>
      <c r="G199" s="348" t="str">
        <f>IF($F199="","",'הזנה לתנאי סף'!H199)</f>
        <v>להקת קולבן דאנס</v>
      </c>
      <c r="H199" s="348" t="str">
        <f>IF($F199="","",'הזנה לתנאי סף'!I199)</f>
        <v>מחול</v>
      </c>
      <c r="I199" s="349">
        <f>IF($F199="","",'הזנה לתנאי סף'!R199)</f>
        <v>2940431</v>
      </c>
      <c r="J199" s="349">
        <f>IF($F199="","",'תחום תמיכה א'!P199)</f>
        <v>3249008</v>
      </c>
      <c r="K199" s="177">
        <f>IF($F199="","",'הזנה לתנאי סף'!N199)</f>
        <v>1</v>
      </c>
      <c r="L199" s="177">
        <f>IF($F199="","",'הזנה לתנאי סף'!O199)</f>
        <v>1</v>
      </c>
      <c r="M199" s="177">
        <f>IF($F199="","",'הזנה לתנאי סף'!Q199)</f>
        <v>1</v>
      </c>
      <c r="N199" s="349">
        <f>IF($F199="","",'תחום תמיכה א'!AE199)</f>
        <v>65711.01160811483</v>
      </c>
      <c r="O199" s="178"/>
      <c r="P199" s="349">
        <f>IF($F199="","",'תחום תמיכה ב'!AC199)</f>
        <v>51450.839234727391</v>
      </c>
      <c r="Q199" s="349">
        <f>IF($F199="","",IF('תחום תמיכה ג'!O199="",0,'תחום תמיכה ג'!O199))</f>
        <v>8894.2232460568466</v>
      </c>
      <c r="R199" s="349">
        <f t="shared" si="8"/>
        <v>1542.7561026095282</v>
      </c>
      <c r="S199" s="349">
        <f>IF($F199="","",'תחום תמיכה ב'!AE199)</f>
        <v>52993.595337336919</v>
      </c>
      <c r="T199" s="349">
        <f>IF($F199="","",IF(Q199='תחום תמיכה ג'!$Q$2,'תחום תמיכה ג'!$Q$2,IFERROR(SUMIF(N199:R199,"&gt;0"),'תחום תמיכה ג'!$Q$2)))</f>
        <v>127598.8301915086</v>
      </c>
      <c r="U199" s="349">
        <f>IF($F199="","",'הזנה לתנאי סף'!Y199)</f>
        <v>1000000</v>
      </c>
      <c r="V199" s="350">
        <f>IF(F199="","",'הגבלה לסכום מבוקש '!AA199)</f>
        <v>136444.5627606771</v>
      </c>
      <c r="W199" s="349">
        <f t="shared" si="9"/>
        <v>34111.140690169275</v>
      </c>
      <c r="X199" s="349">
        <f>IF(F199="","",'הזנה לתנאי סף'!Z199)</f>
        <v>100000</v>
      </c>
      <c r="Y199" s="351" t="s">
        <v>3740</v>
      </c>
      <c r="Z199" s="352" t="str">
        <f>IFERROR(VLOOKUP(G199*1,#REF!,3,0),"")</f>
        <v/>
      </c>
      <c r="AA199" s="349" t="str">
        <f>IF(OR($F199="",Z199=""),"",IFERROR(IF(Z199&gt;V199,MIN(Z199,T199)-V199,0),'תחום תמיכה ג'!$Q$2))</f>
        <v/>
      </c>
      <c r="AB199" s="353"/>
      <c r="AC199" s="260" t="str">
        <f t="shared" si="11"/>
        <v/>
      </c>
      <c r="AD199" s="354"/>
      <c r="AE199" s="180"/>
      <c r="AF199" s="355" t="str">
        <f>IF($C199="","",IFERROR(VLOOKUP($C199,גיליון1!$A:$E,2,0),"לא הגיש בקשה שוטפת"))</f>
        <v>תמיכה שוטפת</v>
      </c>
      <c r="AG199" s="355" t="str">
        <f>IF($C199="","",IFERROR(VLOOKUP($C199,גיליון1!$A:$E,3,0),"לא הגיש בקשה שוטפת"))</f>
        <v>חויב</v>
      </c>
      <c r="AH199" s="355" t="str">
        <f>IF($C199="","",IFERROR(VLOOKUP($C199,גיליון1!$A:$E,4,0),"לא הגיש בקשה שוטפת"))</f>
        <v>19-42-02-20</v>
      </c>
      <c r="AI199" s="355" t="str">
        <f>IF($C199="","",IFERROR(VLOOKUP($C199,גיליון1!$A:$E,5,0),"לא הגיש בקשה שוטפת"))</f>
        <v>מחול וארגוני גג</v>
      </c>
      <c r="AJ199" s="355">
        <f t="shared" si="10"/>
        <v>0</v>
      </c>
      <c r="AK199" s="15"/>
      <c r="AL199" s="15" t="s">
        <v>92</v>
      </c>
    </row>
    <row r="200" spans="1:38" ht="285.75" x14ac:dyDescent="0.25">
      <c r="A200" s="346">
        <f>'הזנה לתנאי סף'!B200</f>
        <v>170</v>
      </c>
      <c r="B200" s="347">
        <f>IF($F200="","",'הזנה לתנאי סף'!C200)</f>
        <v>1001346528</v>
      </c>
      <c r="C200" s="347">
        <f>IF($F200="","",'הזנה לתנאי סף'!D200)</f>
        <v>1001266833</v>
      </c>
      <c r="D200" s="347">
        <f>IF($F200="","",'הזנה לתנאי סף'!E200)</f>
        <v>40318159</v>
      </c>
      <c r="E200" s="348">
        <f>IF($F200="","",'הזנה לתנאי סף'!F200)</f>
        <v>20000154</v>
      </c>
      <c r="F200" s="348" t="str">
        <f>IF('הזנה לתנאי סף'!BL200=1,'הזנה לתנאי סף'!G200,"")</f>
        <v>אום אל-פחם</v>
      </c>
      <c r="G200" s="348" t="str">
        <f>IF($F200="","",'הזנה לתנאי סף'!H200)</f>
        <v>אלמיאדין תאטרון א.א. פחם</v>
      </c>
      <c r="H200" s="348" t="str">
        <f>IF($F200="","",'הזנה לתנאי סף'!I200)</f>
        <v>תיאטרון</v>
      </c>
      <c r="I200" s="349">
        <f>IF($F200="","",'הזנה לתנאי סף'!R200)</f>
        <v>750004</v>
      </c>
      <c r="J200" s="349">
        <f>IF($F200="","",'תחום תמיכה א'!P200)</f>
        <v>537753</v>
      </c>
      <c r="K200" s="177">
        <f>IF($F200="","",'הזנה לתנאי סף'!N200)</f>
        <v>0</v>
      </c>
      <c r="L200" s="177">
        <f>IF($F200="","",'הזנה לתנאי סף'!O200)</f>
        <v>1</v>
      </c>
      <c r="M200" s="177">
        <f>IF($F200="","",'הזנה לתנאי סף'!Q200)</f>
        <v>1</v>
      </c>
      <c r="N200" s="349">
        <f>IF($F200="","",'תחום תמיכה א'!AE200)</f>
        <v>20930.898602718451</v>
      </c>
      <c r="O200" s="178"/>
      <c r="P200" s="349">
        <f>IF($F200="","",'תחום תמיכה ב'!AC200)</f>
        <v>64808.367491130193</v>
      </c>
      <c r="Q200" s="349">
        <f>IF($F200="","",IF('תחום תמיכה ג'!O200="",0,'תחום תמיכה ג'!O200))</f>
        <v>0</v>
      </c>
      <c r="R200" s="349">
        <f t="shared" si="8"/>
        <v>1943.2822852696409</v>
      </c>
      <c r="S200" s="349">
        <f>IF($F200="","",'תחום תמיכה ב'!AE200)</f>
        <v>66751.649776399834</v>
      </c>
      <c r="T200" s="349">
        <f>IF($F200="","",IF(Q200='תחום תמיכה ג'!$Q$2,'תחום תמיכה ג'!$Q$2,IFERROR(SUMIF(N200:R200,"&gt;0"),'תחום תמיכה ג'!$Q$2)))</f>
        <v>87682.548379118292</v>
      </c>
      <c r="U200" s="349">
        <f>IF($F200="","",'הזנה לתנאי סף'!Y200)</f>
        <v>520000</v>
      </c>
      <c r="V200" s="350">
        <f>IF(F200="","",'הגבלה לסכום מבוקש '!AA200)</f>
        <v>98791.52773090759</v>
      </c>
      <c r="W200" s="349">
        <f t="shared" si="9"/>
        <v>24697.881932726898</v>
      </c>
      <c r="X200" s="349">
        <f>IF(F200="","",'הזנה לתנאי סף'!Z200)</f>
        <v>520000</v>
      </c>
      <c r="Y200" s="351" t="s">
        <v>3740</v>
      </c>
      <c r="Z200" s="352" t="str">
        <f>IFERROR(VLOOKUP(G200*1,#REF!,3,0),"")</f>
        <v/>
      </c>
      <c r="AA200" s="349" t="str">
        <f>IF(OR($F200="",Z200=""),"",IFERROR(IF(Z200&gt;V200,MIN(Z200,T200)-V200,0),'תחום תמיכה ג'!$Q$2))</f>
        <v/>
      </c>
      <c r="AB200" s="353"/>
      <c r="AC200" s="260" t="str">
        <f t="shared" si="11"/>
        <v/>
      </c>
      <c r="AD200" s="358"/>
      <c r="AE200" s="180"/>
      <c r="AF200" s="355" t="str">
        <f>IF($C200="","",IFERROR(VLOOKUP($C200,גיליון1!$A:$E,2,0),"לא הגיש בקשה שוטפת"))</f>
        <v>תמיכה שותף תיאטרון אלמיאדין</v>
      </c>
      <c r="AG200" s="355" t="str">
        <f>IF($C200="","",IFERROR(VLOOKUP($C200,גיליון1!$A:$E,3,0),"לא הגיש בקשה שוטפת"))</f>
        <v>מועד</v>
      </c>
      <c r="AH200" s="355" t="str">
        <f>IF($C200="","",IFERROR(VLOOKUP($C200,גיליון1!$A:$E,4,0),"לא הגיש בקשה שוטפת"))</f>
        <v>19-42-02-33</v>
      </c>
      <c r="AI200" s="355" t="str">
        <f>IF($C200="","",IFERROR(VLOOKUP($C200,גיליון1!$A:$E,5,0),"לא הגיש בקשה שוטפת"))</f>
        <v>תרבות ערבית ודרוזית</v>
      </c>
      <c r="AJ200" s="355">
        <f t="shared" si="10"/>
        <v>0</v>
      </c>
      <c r="AK200" s="15"/>
      <c r="AL200" s="15" t="s">
        <v>250</v>
      </c>
    </row>
    <row r="201" spans="1:38" ht="285.75" x14ac:dyDescent="0.25">
      <c r="A201" s="346">
        <f>'הזנה לתנאי סף'!B201</f>
        <v>171</v>
      </c>
      <c r="B201" s="347">
        <f>IF($F201="","",'הזנה לתנאי סף'!C201)</f>
        <v>1001349724</v>
      </c>
      <c r="C201" s="347">
        <f>IF($F201="","",'הזנה לתנאי סף'!D201)</f>
        <v>1001269669</v>
      </c>
      <c r="D201" s="347">
        <f>IF($F201="","",'הזנה לתנאי סף'!E201)</f>
        <v>40461779</v>
      </c>
      <c r="E201" s="348">
        <f>IF($F201="","",'הזנה לתנאי סף'!F201)</f>
        <v>20000222</v>
      </c>
      <c r="F201" s="348" t="str">
        <f>IF('הזנה לתנאי סף'!BL201=1,'הזנה לתנאי סף'!G201,"")</f>
        <v>הרצלייה</v>
      </c>
      <c r="G201" s="348" t="str">
        <f>IF($F201="","",'הזנה לתנאי סף'!H201)</f>
        <v>שיא - עמותה לפיתוח התרבות והאומנות</v>
      </c>
      <c r="H201" s="348" t="str">
        <f>IF($F201="","",'הזנה לתנאי סף'!I201)</f>
        <v>תיאטרון</v>
      </c>
      <c r="I201" s="349">
        <f>IF($F201="","",'הזנה לתנאי סף'!R201)</f>
        <v>4374440</v>
      </c>
      <c r="J201" s="349">
        <f>IF($F201="","",'תחום תמיכה א'!P201)</f>
        <v>4651189</v>
      </c>
      <c r="K201" s="177">
        <f>IF($F201="","",'הזנה לתנאי סף'!N201)</f>
        <v>0</v>
      </c>
      <c r="L201" s="177">
        <f>IF($F201="","",'הזנה לתנאי סף'!O201)</f>
        <v>1</v>
      </c>
      <c r="M201" s="177">
        <f>IF($F201="","",'הזנה לתנאי סף'!Q201)</f>
        <v>1</v>
      </c>
      <c r="N201" s="349">
        <f>IF($F201="","",'תחום תמיכה א'!AE201)</f>
        <v>205923.97700277116</v>
      </c>
      <c r="O201" s="178"/>
      <c r="P201" s="349">
        <f>IF($F201="","",'תחום תמיכה ב'!AC201)</f>
        <v>489064.07491519308</v>
      </c>
      <c r="Q201" s="349">
        <f>IF($F201="","",IF('תחום תמיכה ג'!O201="",0,'תחום תמיכה ג'!O201))</f>
        <v>0</v>
      </c>
      <c r="R201" s="349">
        <f t="shared" si="8"/>
        <v>14664.611838502984</v>
      </c>
      <c r="S201" s="349">
        <f>IF($F201="","",'תחום תמיכה ב'!AE201)</f>
        <v>503728.68675369606</v>
      </c>
      <c r="T201" s="349">
        <f>IF($F201="","",IF(Q201='תחום תמיכה ג'!$Q$2,'תחום תמיכה ג'!$Q$2,IFERROR(SUMIF(N201:R201,"&gt;0"),'תחום תמיכה ג'!$Q$2)))</f>
        <v>709652.66375646717</v>
      </c>
      <c r="U201" s="349">
        <f>IF($F201="","",'הזנה לתנאי סף'!Y201)</f>
        <v>1500000</v>
      </c>
      <c r="V201" s="350">
        <f>IF(F201="","",'הגבלה לסכום מבוקש '!AA201)</f>
        <v>793506.31647395005</v>
      </c>
      <c r="W201" s="349">
        <f t="shared" si="9"/>
        <v>198376.57911848751</v>
      </c>
      <c r="X201" s="349">
        <f>IF(F201="","",'הזנה לתנאי סף'!Z201)</f>
        <v>1500000</v>
      </c>
      <c r="Y201" s="351" t="s">
        <v>3740</v>
      </c>
      <c r="Z201" s="352" t="str">
        <f>IFERROR(VLOOKUP(G201*1,#REF!,3,0),"")</f>
        <v/>
      </c>
      <c r="AA201" s="349" t="str">
        <f>IF(OR($F201="",Z201=""),"",IFERROR(IF(Z201&gt;V201,MIN(Z201,T201)-V201,0),'תחום תמיכה ג'!$Q$2))</f>
        <v/>
      </c>
      <c r="AB201" s="353"/>
      <c r="AC201" s="260" t="str">
        <f t="shared" si="11"/>
        <v/>
      </c>
      <c r="AD201" s="358"/>
      <c r="AE201" s="180"/>
      <c r="AF201" s="355" t="str">
        <f>IF($C201="","",IFERROR(VLOOKUP($C201,גיליון1!$A:$E,2,0),"לא הגיש בקשה שוטפת"))</f>
        <v>תמיכה שוטפת</v>
      </c>
      <c r="AG201" s="355" t="str">
        <f>IF($C201="","",IFERROR(VLOOKUP($C201,גיליון1!$A:$E,3,0),"לא הגיש בקשה שוטפת"))</f>
        <v>חויב</v>
      </c>
      <c r="AH201" s="355" t="str">
        <f>IF($C201="","",IFERROR(VLOOKUP($C201,גיליון1!$A:$E,4,0),"לא הגיש בקשה שוטפת"))</f>
        <v>19-42-02-07</v>
      </c>
      <c r="AI201" s="355" t="str">
        <f>IF($C201="","",IFERROR(VLOOKUP($C201,גיליון1!$A:$E,5,0),"לא הגיש בקשה שוטפת"))</f>
        <v>תיאטרון</v>
      </c>
      <c r="AJ201" s="355">
        <f t="shared" si="10"/>
        <v>0</v>
      </c>
      <c r="AK201" s="15"/>
      <c r="AL201" s="15" t="s">
        <v>250</v>
      </c>
    </row>
    <row r="202" spans="1:38" ht="285.75" x14ac:dyDescent="0.25">
      <c r="A202" s="346">
        <f>'הזנה לתנאי סף'!B202</f>
        <v>172</v>
      </c>
      <c r="B202" s="347">
        <f>IF($F202="","",'הזנה לתנאי סף'!C202)</f>
        <v>1001350043</v>
      </c>
      <c r="C202" s="347">
        <f>IF($F202="","",'הזנה לתנאי סף'!D202)</f>
        <v>1001280546</v>
      </c>
      <c r="D202" s="347">
        <f>IF($F202="","",'הזנה לתנאי סף'!E202)</f>
        <v>40000403</v>
      </c>
      <c r="E202" s="348">
        <f>IF($F202="","",'הזנה לתנאי סף'!F202)</f>
        <v>20000254</v>
      </c>
      <c r="F202" s="348" t="str">
        <f>IF('הזנה לתנאי סף'!BL202=1,'הזנה לתנאי סף'!G202,"")</f>
        <v>באר שבע</v>
      </c>
      <c r="G202" s="348" t="str">
        <f>IF($F202="","",'הזנה לתנאי סף'!H202)</f>
        <v>החוג לאופרה קלה בנגב</v>
      </c>
      <c r="H202" s="348" t="str">
        <f>IF($F202="","",'הזנה לתנאי סף'!I202)</f>
        <v>אופרה</v>
      </c>
      <c r="I202" s="349">
        <f>IF($F202="","",'הזנה לתנאי סף'!R202)</f>
        <v>372898</v>
      </c>
      <c r="J202" s="349">
        <f>IF($F202="","",'תחום תמיכה א'!P202)</f>
        <v>396744</v>
      </c>
      <c r="K202" s="177">
        <f>IF($F202="","",'הזנה לתנאי סף'!N202)</f>
        <v>0</v>
      </c>
      <c r="L202" s="177">
        <f>IF($F202="","",'הזנה לתנאי סף'!O202)</f>
        <v>1</v>
      </c>
      <c r="M202" s="177">
        <f>IF($F202="","",'הזנה לתנאי סף'!Q202)</f>
        <v>1</v>
      </c>
      <c r="N202" s="349">
        <f>IF($F202="","",'תחום תמיכה א'!AE202)</f>
        <v>17097.579492815872</v>
      </c>
      <c r="O202" s="178"/>
      <c r="P202" s="349">
        <f>IF($F202="","",'תחום תמיכה ב'!AC202)</f>
        <v>39499.902208389809</v>
      </c>
      <c r="Q202" s="349">
        <f>IF($F202="","",IF('תחום תמיכה ג'!O202="",0,'תחום תמיכה ג'!O202))</f>
        <v>0</v>
      </c>
      <c r="R202" s="349">
        <f t="shared" si="8"/>
        <v>1184.4066314732045</v>
      </c>
      <c r="S202" s="349">
        <f>IF($F202="","",'תחום תמיכה ב'!AE202)</f>
        <v>40684.308839863013</v>
      </c>
      <c r="T202" s="349">
        <f>IF($F202="","",IF(Q202='תחום תמיכה ג'!$Q$2,'תחום תמיכה ג'!$Q$2,IFERROR(SUMIF(N202:R202,"&gt;0"),'תחום תמיכה ג'!$Q$2)))</f>
        <v>57781.888332678885</v>
      </c>
      <c r="U202" s="349">
        <f>IF($F202="","",'הזנה לתנאי סף'!Y202)</f>
        <v>50000</v>
      </c>
      <c r="V202" s="350">
        <f>IF(F202="","",'הגבלה לסכום מבוקש '!AA202)</f>
        <v>50000</v>
      </c>
      <c r="W202" s="349">
        <f t="shared" si="9"/>
        <v>12500</v>
      </c>
      <c r="X202" s="349">
        <f>IF(F202="","",'הזנה לתנאי סף'!Z202)</f>
        <v>50000</v>
      </c>
      <c r="Y202" s="351" t="s">
        <v>3740</v>
      </c>
      <c r="Z202" s="352" t="str">
        <f>IFERROR(VLOOKUP(G202*1,#REF!,3,0),"")</f>
        <v/>
      </c>
      <c r="AA202" s="349" t="str">
        <f>IF(OR($F202="",Z202=""),"",IFERROR(IF(Z202&gt;V202,MIN(Z202,T202)-V202,0),'תחום תמיכה ג'!$Q$2))</f>
        <v/>
      </c>
      <c r="AB202" s="353"/>
      <c r="AC202" s="260" t="str">
        <f t="shared" si="11"/>
        <v/>
      </c>
      <c r="AD202" s="358"/>
      <c r="AE202" s="180"/>
      <c r="AF202" s="355" t="str">
        <f>IF($C202="","",IFERROR(VLOOKUP($C202,גיליון1!$A:$E,2,0),"לא הגיש בקשה שוטפת"))</f>
        <v>צלילי המוסיקה</v>
      </c>
      <c r="AG202" s="355" t="str">
        <f>IF($C202="","",IFERROR(VLOOKUP($C202,גיליון1!$A:$E,3,0),"לא הגיש בקשה שוטפת"))</f>
        <v>מועד</v>
      </c>
      <c r="AH202" s="355" t="str">
        <f>IF($C202="","",IFERROR(VLOOKUP($C202,גיליון1!$A:$E,4,0),"לא הגיש בקשה שוטפת"))</f>
        <v>19-42-02-31</v>
      </c>
      <c r="AI202" s="355" t="str">
        <f>IF($C202="","",IFERROR(VLOOKUP($C202,גיליון1!$A:$E,5,0),"לא הגיש בקשה שוטפת"))</f>
        <v>תרבות בקהילה תמיכה</v>
      </c>
      <c r="AJ202" s="355">
        <f t="shared" si="10"/>
        <v>1</v>
      </c>
      <c r="AK202" s="15"/>
      <c r="AL202" s="15" t="s">
        <v>250</v>
      </c>
    </row>
    <row r="203" spans="1:38" ht="285.75" x14ac:dyDescent="0.25">
      <c r="A203" s="346">
        <f>'הזנה לתנאי סף'!B203</f>
        <v>173</v>
      </c>
      <c r="B203" s="347">
        <f>IF($F203="","",'הזנה לתנאי סף'!C203)</f>
        <v>1001350380</v>
      </c>
      <c r="C203" s="347">
        <f>IF($F203="","",'הזנה לתנאי סף'!D203)</f>
        <v>1001290728</v>
      </c>
      <c r="D203" s="347">
        <f>IF($F203="","",'הזנה לתנאי סף'!E203)</f>
        <v>40221579</v>
      </c>
      <c r="E203" s="348">
        <f>IF($F203="","",'הזנה לתנאי סף'!F203)</f>
        <v>20000159</v>
      </c>
      <c r="F203" s="348" t="str">
        <f>IF('הזנה לתנאי סף'!BL203=1,'הזנה לתנאי סף'!G203,"")</f>
        <v>ירושלים</v>
      </c>
      <c r="G203" s="348" t="str">
        <f>IF($F203="","",'הזנה לתנאי סף'!H203)</f>
        <v>אספקלריה</v>
      </c>
      <c r="H203" s="348" t="str">
        <f>IF($F203="","",'הזנה לתנאי סף'!I203)</f>
        <v>תיאטרון</v>
      </c>
      <c r="I203" s="349">
        <f>IF($F203="","",'הזנה לתנאי סף'!R203)</f>
        <v>4222424</v>
      </c>
      <c r="J203" s="349">
        <f>IF($F203="","",'תחום תמיכה א'!P203)</f>
        <v>3512856</v>
      </c>
      <c r="K203" s="177">
        <f>IF($F203="","",'הזנה לתנאי סף'!N203)</f>
        <v>1</v>
      </c>
      <c r="L203" s="177">
        <f>IF($F203="","",'הזנה לתנאי סף'!O203)</f>
        <v>1</v>
      </c>
      <c r="M203" s="177">
        <f>IF($F203="","",'הזנה לתנאי סף'!Q203)</f>
        <v>1</v>
      </c>
      <c r="N203" s="349">
        <f>IF($F203="","",'תחום תמיכה א'!AE203)</f>
        <v>82372.100917443298</v>
      </c>
      <c r="O203" s="178"/>
      <c r="P203" s="349">
        <f>IF($F203="","",'תחום תמיכה ב'!AC203)</f>
        <v>132421.61209321572</v>
      </c>
      <c r="Q203" s="349">
        <f>IF($F203="","",IF('תחום תמיכה ג'!O203="",0,'תחום תמיכה ג'!O203))</f>
        <v>22891.509605636114</v>
      </c>
      <c r="R203" s="349">
        <f t="shared" si="8"/>
        <v>3970.6689572579053</v>
      </c>
      <c r="S203" s="349">
        <f>IF($F203="","",'תחום תמיכה ב'!AE203)</f>
        <v>136392.28105047363</v>
      </c>
      <c r="T203" s="349">
        <f>IF($F203="","",IF(Q203='תחום תמיכה ג'!$Q$2,'תחום תמיכה ג'!$Q$2,IFERROR(SUMIF(N203:R203,"&gt;0"),'תחום תמיכה ג'!$Q$2)))</f>
        <v>241655.89157355306</v>
      </c>
      <c r="U203" s="349">
        <f>IF($F203="","",'הזנה לתנאי סף'!Y203)</f>
        <v>800000</v>
      </c>
      <c r="V203" s="350">
        <f>IF(F203="","",'הגבלה לסכום מבוקש '!AA203)</f>
        <v>264383.09797570627</v>
      </c>
      <c r="W203" s="349">
        <f t="shared" si="9"/>
        <v>66095.774493926569</v>
      </c>
      <c r="X203" s="349">
        <f>IF(F203="","",'הזנה לתנאי סף'!Z203)</f>
        <v>1</v>
      </c>
      <c r="Y203" s="351" t="s">
        <v>3740</v>
      </c>
      <c r="Z203" s="352" t="str">
        <f>IFERROR(VLOOKUP(G203*1,#REF!,3,0),"")</f>
        <v/>
      </c>
      <c r="AA203" s="349" t="str">
        <f>IF(OR($F203="",Z203=""),"",IFERROR(IF(Z203&gt;V203,MIN(Z203,T203)-V203,0),'תחום תמיכה ג'!$Q$2))</f>
        <v/>
      </c>
      <c r="AB203" s="353"/>
      <c r="AC203" s="260" t="str">
        <f t="shared" si="11"/>
        <v/>
      </c>
      <c r="AD203" s="358"/>
      <c r="AE203" s="180"/>
      <c r="AF203" s="355" t="str">
        <f>IF($C203="","",IFERROR(VLOOKUP($C203,גיליון1!$A:$E,2,0),"לא הגיש בקשה שוטפת"))</f>
        <v>תמיכה שוטפת</v>
      </c>
      <c r="AG203" s="355" t="str">
        <f>IF($C203="","",IFERROR(VLOOKUP($C203,גיליון1!$A:$E,3,0),"לא הגיש בקשה שוטפת"))</f>
        <v>חויב</v>
      </c>
      <c r="AH203" s="355" t="str">
        <f>IF($C203="","",IFERROR(VLOOKUP($C203,גיליון1!$A:$E,4,0),"לא הגיש בקשה שוטפת"))</f>
        <v>19-42-02-07</v>
      </c>
      <c r="AI203" s="355" t="str">
        <f>IF($C203="","",IFERROR(VLOOKUP($C203,גיליון1!$A:$E,5,0),"לא הגיש בקשה שוטפת"))</f>
        <v>תיאטרון</v>
      </c>
      <c r="AJ203" s="355">
        <f t="shared" si="10"/>
        <v>0</v>
      </c>
      <c r="AK203" s="15"/>
      <c r="AL203" s="15" t="s">
        <v>250</v>
      </c>
    </row>
    <row r="204" spans="1:38" ht="285.75" x14ac:dyDescent="0.25">
      <c r="A204" s="346">
        <f>'הזנה לתנאי סף'!B204</f>
        <v>174</v>
      </c>
      <c r="B204" s="347">
        <f>IF($F204="","",'הזנה לתנאי סף'!C204)</f>
        <v>1001348865</v>
      </c>
      <c r="C204" s="347">
        <f>IF($F204="","",'הזנה לתנאי סף'!D204)</f>
        <v>1001262670</v>
      </c>
      <c r="D204" s="347">
        <f>IF($F204="","",'הזנה לתנאי סף'!E204)</f>
        <v>41481124</v>
      </c>
      <c r="E204" s="348">
        <f>IF($F204="","",'הזנה לתנאי סף'!F204)</f>
        <v>20000159</v>
      </c>
      <c r="F204" s="348" t="str">
        <f>IF('הזנה לתנאי סף'!BL204=1,'הזנה לתנאי סף'!G204,"")</f>
        <v>ירושלים</v>
      </c>
      <c r="G204" s="348" t="str">
        <f>IF($F204="","",'הזנה לתנאי סף'!H204)</f>
        <v>האיל המרקד</v>
      </c>
      <c r="H204" s="348" t="str">
        <f>IF($F204="","",'הזנה לתנאי סף'!I204)</f>
        <v>תיאטרון</v>
      </c>
      <c r="I204" s="349">
        <f>IF($F204="","",'הזנה לתנאי סף'!R204)</f>
        <v>969529</v>
      </c>
      <c r="J204" s="349">
        <f>IF($F204="","",'תחום תמיכה א'!P204)</f>
        <v>599923</v>
      </c>
      <c r="K204" s="177">
        <f>IF($F204="","",'הזנה לתנאי סף'!N204)</f>
        <v>1</v>
      </c>
      <c r="L204" s="177">
        <f>IF($F204="","",'הזנה לתנאי סף'!O204)</f>
        <v>1</v>
      </c>
      <c r="M204" s="177">
        <f>IF($F204="","",'הזנה לתנאי סף'!Q204)</f>
        <v>1</v>
      </c>
      <c r="N204" s="349">
        <f>IF($F204="","",'תחום תמיכה א'!AE204)</f>
        <v>25608.806315654263</v>
      </c>
      <c r="O204" s="178"/>
      <c r="P204" s="349">
        <f>IF($F204="","",'תחום תמיכה ב'!AC204)</f>
        <v>100763.84735718304</v>
      </c>
      <c r="Q204" s="349">
        <f>IF($F204="","",IF('תחום תמיכה ג'!O204="",0,'תחום תמיכה ג'!O204))</f>
        <v>17418.883090277537</v>
      </c>
      <c r="R204" s="349">
        <f t="shared" si="8"/>
        <v>3021.409227622149</v>
      </c>
      <c r="S204" s="349">
        <f>IF($F204="","",'תחום תמיכה ב'!AE204)</f>
        <v>103785.25658480519</v>
      </c>
      <c r="T204" s="349">
        <f>IF($F204="","",IF(Q204='תחום תמיכה ג'!$Q$2,'תחום תמיכה ג'!$Q$2,IFERROR(SUMIF(N204:R204,"&gt;0"),'תחום תמיכה ג'!$Q$2)))</f>
        <v>146812.945990737</v>
      </c>
      <c r="U204" s="349">
        <f>IF($F204="","",'הזנה לתנאי סף'!Y204)</f>
        <v>479382</v>
      </c>
      <c r="V204" s="350">
        <f>IF(F204="","",'הגבלה לסכום מבוקש '!AA204)</f>
        <v>164089.92621119268</v>
      </c>
      <c r="W204" s="349">
        <f t="shared" si="9"/>
        <v>41022.48155279817</v>
      </c>
      <c r="X204" s="349">
        <f>IF(F204="","",'הזנה לתנאי סף'!Z204)</f>
        <v>479382</v>
      </c>
      <c r="Y204" s="351" t="s">
        <v>3740</v>
      </c>
      <c r="Z204" s="352" t="str">
        <f>IFERROR(VLOOKUP(G204*1,#REF!,3,0),"")</f>
        <v/>
      </c>
      <c r="AA204" s="349" t="str">
        <f>IF(OR($F204="",Z204=""),"",IFERROR(IF(Z204&gt;V204,MIN(Z204,T204)-V204,0),'תחום תמיכה ג'!$Q$2))</f>
        <v/>
      </c>
      <c r="AB204" s="353"/>
      <c r="AC204" s="260" t="str">
        <f t="shared" si="11"/>
        <v/>
      </c>
      <c r="AD204" s="358"/>
      <c r="AE204" s="180"/>
      <c r="AF204" s="355" t="str">
        <f>IF($C204="","",IFERROR(VLOOKUP($C204,גיליון1!$A:$E,2,0),"לא הגיש בקשה שוטפת"))</f>
        <v>קבוצת תאטרון האיל המרקד</v>
      </c>
      <c r="AG204" s="355" t="str">
        <f>IF($C204="","",IFERROR(VLOOKUP($C204,גיליון1!$A:$E,3,0),"לא הגיש בקשה שוטפת"))</f>
        <v>טיוט</v>
      </c>
      <c r="AH204" s="355" t="str">
        <f>IF($C204="","",IFERROR(VLOOKUP($C204,גיליון1!$A:$E,4,0),"לא הגיש בקשה שוטפת"))</f>
        <v>19-42-02-07</v>
      </c>
      <c r="AI204" s="355" t="str">
        <f>IF($C204="","",IFERROR(VLOOKUP($C204,גיליון1!$A:$E,5,0),"לא הגיש בקשה שוטפת"))</f>
        <v>תיאטרון</v>
      </c>
      <c r="AJ204" s="355">
        <f t="shared" si="10"/>
        <v>0</v>
      </c>
      <c r="AK204" s="15"/>
      <c r="AL204" s="15" t="s">
        <v>250</v>
      </c>
    </row>
    <row r="205" spans="1:38" ht="285.75" x14ac:dyDescent="0.25">
      <c r="A205" s="346">
        <f>'הזנה לתנאי סף'!B205</f>
        <v>175</v>
      </c>
      <c r="B205" s="347">
        <f>IF($F205="","",'הזנה לתנאי סף'!C205)</f>
        <v>1001348123</v>
      </c>
      <c r="C205" s="347">
        <f>IF($F205="","",'הזנה לתנאי סף'!D205)</f>
        <v>1001273976</v>
      </c>
      <c r="D205" s="347">
        <f>IF($F205="","",'הזנה לתנאי סף'!E205)</f>
        <v>41482603</v>
      </c>
      <c r="E205" s="348">
        <f>IF($F205="","",'הזנה לתנאי סף'!F205)</f>
        <v>20000159</v>
      </c>
      <c r="F205" s="348" t="str">
        <f>IF('הזנה לתנאי סף'!BL205=1,'הזנה לתנאי סף'!G205,"")</f>
        <v>ירושלים</v>
      </c>
      <c r="G205" s="348" t="str">
        <f>IF($F205="","",'הזנה לתנאי סף'!H205)</f>
        <v>במת חוצות</v>
      </c>
      <c r="H205" s="348" t="str">
        <f>IF($F205="","",'הזנה לתנאי סף'!I205)</f>
        <v>קבוצות תיאטרון</v>
      </c>
      <c r="I205" s="349">
        <f>IF($F205="","",'הזנה לתנאי סף'!R205)</f>
        <v>2363625</v>
      </c>
      <c r="J205" s="349">
        <f>IF($F205="","",'תחום תמיכה א'!P205)</f>
        <v>1817856</v>
      </c>
      <c r="K205" s="177">
        <f>IF($F205="","",'הזנה לתנאי סף'!N205)</f>
        <v>1</v>
      </c>
      <c r="L205" s="177">
        <f>IF($F205="","",'הזנה לתנאי סף'!O205)</f>
        <v>1</v>
      </c>
      <c r="M205" s="177">
        <f>IF($F205="","",'הזנה לתנאי סף'!Q205)</f>
        <v>1</v>
      </c>
      <c r="N205" s="349">
        <f>IF($F205="","",'תחום תמיכה א'!AE205)</f>
        <v>25175.382001171798</v>
      </c>
      <c r="O205" s="178"/>
      <c r="P205" s="349">
        <f>IF($F205="","",'תחום תמיכה ב'!AC205)</f>
        <v>25856.467737249677</v>
      </c>
      <c r="Q205" s="349">
        <f>IF($F205="","",IF('תחום תמיכה ג'!O205="",0,'תחום תמיכה ג'!O205))</f>
        <v>4469.7656992607735</v>
      </c>
      <c r="R205" s="349">
        <f t="shared" si="8"/>
        <v>775.30753602642653</v>
      </c>
      <c r="S205" s="349">
        <f>IF($F205="","",'תחום תמיכה ב'!AE205)</f>
        <v>26631.775273276104</v>
      </c>
      <c r="T205" s="349">
        <f>IF($F205="","",IF(Q205='תחום תמיכה ג'!$Q$2,'תחום תמיכה ג'!$Q$2,IFERROR(SUMIF(N205:R205,"&gt;0"),'תחום תמיכה ג'!$Q$2)))</f>
        <v>56276.922973708672</v>
      </c>
      <c r="U205" s="349">
        <f>IF($F205="","",'הזנה לתנאי סף'!Y205)</f>
        <v>350000</v>
      </c>
      <c r="V205" s="350">
        <f>IF(F205="","",'הגבלה לסכום מבוקש '!AA205)</f>
        <v>60718.746655114475</v>
      </c>
      <c r="W205" s="349">
        <f t="shared" si="9"/>
        <v>15179.686663778619</v>
      </c>
      <c r="X205" s="349">
        <f>IF(F205="","",'הזנה לתנאי סף'!Z205)</f>
        <v>150000</v>
      </c>
      <c r="Y205" s="351" t="s">
        <v>3740</v>
      </c>
      <c r="Z205" s="352" t="str">
        <f>IFERROR(VLOOKUP(G205*1,#REF!,3,0),"")</f>
        <v/>
      </c>
      <c r="AA205" s="349" t="str">
        <f>IF(OR($F205="",Z205=""),"",IFERROR(IF(Z205&gt;V205,MIN(Z205,T205)-V205,0),'תחום תמיכה ג'!$Q$2))</f>
        <v/>
      </c>
      <c r="AB205" s="353"/>
      <c r="AC205" s="260" t="str">
        <f t="shared" si="11"/>
        <v/>
      </c>
      <c r="AD205" s="358"/>
      <c r="AE205" s="180"/>
      <c r="AF205" s="355" t="str">
        <f>IF($C205="","",IFERROR(VLOOKUP($C205,גיליון1!$A:$E,2,0),"לא הגיש בקשה שוטפת"))</f>
        <v>המשך תמיכה שוטפת קבוצת תיאטרון מסתורין</v>
      </c>
      <c r="AG205" s="355" t="str">
        <f>IF($C205="","",IFERROR(VLOOKUP($C205,גיליון1!$A:$E,3,0),"לא הגיש בקשה שוטפת"))</f>
        <v>מועד</v>
      </c>
      <c r="AH205" s="355" t="str">
        <f>IF($C205="","",IFERROR(VLOOKUP($C205,גיליון1!$A:$E,4,0),"לא הגיש בקשה שוטפת"))</f>
        <v>19-42-02-07</v>
      </c>
      <c r="AI205" s="355" t="str">
        <f>IF($C205="","",IFERROR(VLOOKUP($C205,גיליון1!$A:$E,5,0),"לא הגיש בקשה שוטפת"))</f>
        <v>תיאטרון</v>
      </c>
      <c r="AJ205" s="355">
        <f t="shared" si="10"/>
        <v>0</v>
      </c>
      <c r="AK205" s="15"/>
      <c r="AL205" s="15" t="s">
        <v>250</v>
      </c>
    </row>
    <row r="206" spans="1:38" ht="285.75" x14ac:dyDescent="0.25">
      <c r="A206" s="346">
        <f>'הזנה לתנאי סף'!B206</f>
        <v>176</v>
      </c>
      <c r="B206" s="347">
        <f>IF($F206="","",'הזנה לתנאי סף'!C206)</f>
        <v>1001347085</v>
      </c>
      <c r="C206" s="347">
        <f>IF($F206="","",'הזנה לתנאי סף'!D206)</f>
        <v>1001270801</v>
      </c>
      <c r="D206" s="347">
        <f>IF($F206="","",'הזנה לתנאי סף'!E206)</f>
        <v>40323479</v>
      </c>
      <c r="E206" s="348">
        <f>IF($F206="","",'הזנה לתנאי סף'!F206)</f>
        <v>20000201</v>
      </c>
      <c r="F206" s="348" t="str">
        <f>IF('הזנה לתנאי סף'!BL206=1,'הזנה לתנאי סף'!G206,"")</f>
        <v>תל אביב -יפו</v>
      </c>
      <c r="G206" s="348" t="str">
        <f>IF($F206="","",'הזנה לתנאי סף'!H206)</f>
        <v>להקת יסמין גודר</v>
      </c>
      <c r="H206" s="348" t="str">
        <f>IF($F206="","",'הזנה לתנאי סף'!I206)</f>
        <v>מחול</v>
      </c>
      <c r="I206" s="349">
        <f>IF($F206="","",'הזנה לתנאי סף'!R206)</f>
        <v>1264462</v>
      </c>
      <c r="J206" s="349">
        <f>IF($F206="","",'תחום תמיכה א'!P206)</f>
        <v>1173433</v>
      </c>
      <c r="K206" s="177">
        <f>IF($F206="","",'הזנה לתנאי סף'!N206)</f>
        <v>1</v>
      </c>
      <c r="L206" s="177">
        <f>IF($F206="","",'הזנה לתנאי סף'!O206)</f>
        <v>1</v>
      </c>
      <c r="M206" s="177">
        <f>IF($F206="","",'הזנה לתנאי סף'!Q206)</f>
        <v>1</v>
      </c>
      <c r="N206" s="349">
        <f>IF($F206="","",'תחום תמיכה א'!AE206)</f>
        <v>32375.114193105859</v>
      </c>
      <c r="O206" s="178"/>
      <c r="P206" s="349">
        <f>IF($F206="","",'תחום תמיכה ב'!AC206)</f>
        <v>48055.168114563457</v>
      </c>
      <c r="Q206" s="349">
        <f>IF($F206="","",IF('תחום תמיכה ג'!O206="",0,'תחום תמיכה ג'!O206))</f>
        <v>20151.587278546293</v>
      </c>
      <c r="R206" s="349">
        <f t="shared" si="8"/>
        <v>1440.9367266574991</v>
      </c>
      <c r="S206" s="349">
        <f>IF($F206="","",'תחום תמיכה ב'!AE206)</f>
        <v>49496.104841220957</v>
      </c>
      <c r="T206" s="349">
        <f>IF($F206="","",IF(Q206='תחום תמיכה ג'!$Q$2,'תחום תמיכה ג'!$Q$2,IFERROR(SUMIF(N206:R206,"&gt;0"),'תחום תמיכה ג'!$Q$2)))</f>
        <v>102022.80631287312</v>
      </c>
      <c r="U206" s="349">
        <f>IF($F206="","",'הזנה לתנאי סף'!Y206)</f>
        <v>700000</v>
      </c>
      <c r="V206" s="350">
        <f>IF(F206="","",'הגבלה לסכום מבוקש '!AA206)</f>
        <v>110276.92402799339</v>
      </c>
      <c r="W206" s="349">
        <f t="shared" si="9"/>
        <v>27569.231006998347</v>
      </c>
      <c r="X206" s="349">
        <f>IF(F206="","",'הזנה לתנאי סף'!Z206)</f>
        <v>100000</v>
      </c>
      <c r="Y206" s="351" t="s">
        <v>3740</v>
      </c>
      <c r="Z206" s="352" t="str">
        <f>IFERROR(VLOOKUP(G206*1,#REF!,3,0),"")</f>
        <v/>
      </c>
      <c r="AA206" s="349" t="str">
        <f>IF(OR($F206="",Z206=""),"",IFERROR(IF(Z206&gt;V206,MIN(Z206,T206)-V206,0),'תחום תמיכה ג'!$Q$2))</f>
        <v/>
      </c>
      <c r="AB206" s="353"/>
      <c r="AC206" s="260" t="str">
        <f t="shared" si="11"/>
        <v/>
      </c>
      <c r="AD206" s="358"/>
      <c r="AE206" s="180"/>
      <c r="AF206" s="355" t="str">
        <f>IF($C206="","",IFERROR(VLOOKUP($C206,גיליון1!$A:$E,2,0),"לא הגיש בקשה שוטפת"))</f>
        <v>בקשה לתמיכה בלהקת מחול של יסמין גודר</v>
      </c>
      <c r="AG206" s="355" t="str">
        <f>IF($C206="","",IFERROR(VLOOKUP($C206,גיליון1!$A:$E,3,0),"לא הגיש בקשה שוטפת"))</f>
        <v>חויב</v>
      </c>
      <c r="AH206" s="355" t="str">
        <f>IF($C206="","",IFERROR(VLOOKUP($C206,גיליון1!$A:$E,4,0),"לא הגיש בקשה שוטפת"))</f>
        <v>19-42-02-20</v>
      </c>
      <c r="AI206" s="355" t="str">
        <f>IF($C206="","",IFERROR(VLOOKUP($C206,גיליון1!$A:$E,5,0),"לא הגיש בקשה שוטפת"))</f>
        <v>מחול וארגוני גג</v>
      </c>
      <c r="AJ206" s="355">
        <f t="shared" si="10"/>
        <v>0</v>
      </c>
      <c r="AK206" s="15"/>
      <c r="AL206" s="15" t="s">
        <v>250</v>
      </c>
    </row>
    <row r="207" spans="1:38" ht="285.75" x14ac:dyDescent="0.25">
      <c r="A207" s="346">
        <f>'הזנה לתנאי סף'!B207</f>
        <v>177</v>
      </c>
      <c r="B207" s="347">
        <f>IF($F207="","",'הזנה לתנאי סף'!C207)</f>
        <v>1001350682</v>
      </c>
      <c r="C207" s="347">
        <f>IF($F207="","",'הזנה לתנאי סף'!D207)</f>
        <v>1001270744</v>
      </c>
      <c r="D207" s="347">
        <f>IF($F207="","",'הזנה לתנאי סף'!E207)</f>
        <v>40467070</v>
      </c>
      <c r="E207" s="348">
        <f>IF($F207="","",'הזנה לתנאי סף'!F207)</f>
        <v>20000201</v>
      </c>
      <c r="F207" s="348" t="str">
        <f>IF('הזנה לתנאי סף'!BL207=1,'הזנה לתנאי סף'!G207,"")</f>
        <v>תל אביב -יפו</v>
      </c>
      <c r="G207" s="348" t="str">
        <f>IF($F207="","",'הזנה לתנאי סף'!H207)</f>
        <v>זמרי קולגיום</v>
      </c>
      <c r="H207" s="348" t="str">
        <f>IF($F207="","",'הזנה לתנאי סף'!I207)</f>
        <v>אחר</v>
      </c>
      <c r="I207" s="349">
        <f>IF($F207="","",'הזנה לתנאי סף'!R207)</f>
        <v>319244</v>
      </c>
      <c r="J207" s="349">
        <f>IF($F207="","",'תחום תמיכה א'!P207)</f>
        <v>263547</v>
      </c>
      <c r="K207" s="177">
        <f>IF($F207="","",'הזנה לתנאי סף'!N207)</f>
        <v>1</v>
      </c>
      <c r="L207" s="177">
        <f>IF($F207="","",'הזנה לתנאי סף'!O207)</f>
        <v>1</v>
      </c>
      <c r="M207" s="177">
        <f>IF($F207="","",'הזנה לתנאי סף'!Q207)</f>
        <v>1</v>
      </c>
      <c r="N207" s="349">
        <f>IF($F207="","",'תחום תמיכה א'!AE207)</f>
        <v>5791.7463328934082</v>
      </c>
      <c r="O207" s="178"/>
      <c r="P207" s="349">
        <f>IF($F207="","",'תחום תמיכה ב'!AC207)</f>
        <v>8793.9317942584639</v>
      </c>
      <c r="Q207" s="349">
        <f>IF($F207="","",IF('תחום תמיכה ג'!O207="",0,'תחום תמיכה ג'!O207))</f>
        <v>3687.6717120437534</v>
      </c>
      <c r="R207" s="349">
        <f t="shared" si="8"/>
        <v>263.68650430811613</v>
      </c>
      <c r="S207" s="349">
        <f>IF($F207="","",'תחום תמיכה ב'!AE207)</f>
        <v>9057.6182985665801</v>
      </c>
      <c r="T207" s="349">
        <f>IF($F207="","",IF(Q207='תחום תמיכה ג'!$Q$2,'תחום תמיכה ג'!$Q$2,IFERROR(SUMIF(N207:R207,"&gt;0"),'תחום תמיכה ג'!$Q$2)))</f>
        <v>18537.03634350374</v>
      </c>
      <c r="U207" s="349">
        <f>IF($F207="","",'הזנה לתנאי סף'!Y207)</f>
        <v>160000</v>
      </c>
      <c r="V207" s="350">
        <f>IF(F207="","",'הגבלה לסכום מבוקש '!AA207)</f>
        <v>20047.451258826739</v>
      </c>
      <c r="W207" s="349">
        <f t="shared" si="9"/>
        <v>5011.8628147066847</v>
      </c>
      <c r="X207" s="349">
        <f>IF(F207="","",'הזנה לתנאי סף'!Z207)</f>
        <v>160000</v>
      </c>
      <c r="Y207" s="351" t="s">
        <v>3740</v>
      </c>
      <c r="Z207" s="352" t="str">
        <f>IFERROR(VLOOKUP(G207*1,#REF!,3,0),"")</f>
        <v/>
      </c>
      <c r="AA207" s="349" t="str">
        <f>IF(OR($F207="",Z207=""),"",IFERROR(IF(Z207&gt;V207,MIN(Z207,T207)-V207,0),'תחום תמיכה ג'!$Q$2))</f>
        <v/>
      </c>
      <c r="AB207" s="353"/>
      <c r="AC207" s="260" t="str">
        <f t="shared" si="11"/>
        <v/>
      </c>
      <c r="AD207" s="358"/>
      <c r="AE207" s="180"/>
      <c r="AF207" s="355" t="str">
        <f>IF($C207="","",IFERROR(VLOOKUP($C207,גיליון1!$A:$E,2,0),"לא הגיש בקשה שוטפת"))</f>
        <v>תמיכה בקידום ופעילות זמרי קולגיום</v>
      </c>
      <c r="AG207" s="355" t="str">
        <f>IF($C207="","",IFERROR(VLOOKUP($C207,גיליון1!$A:$E,3,0),"לא הגיש בקשה שוטפת"))</f>
        <v>מועד</v>
      </c>
      <c r="AH207" s="355" t="str">
        <f>IF($C207="","",IFERROR(VLOOKUP($C207,גיליון1!$A:$E,4,0),"לא הגיש בקשה שוטפת"))</f>
        <v>19-42-02-16</v>
      </c>
      <c r="AI207" s="355" t="str">
        <f>IF($C207="","",IFERROR(VLOOKUP($C207,גיליון1!$A:$E,5,0),"לא הגיש בקשה שוטפת"))</f>
        <v>מוסיקה</v>
      </c>
      <c r="AJ207" s="355">
        <f t="shared" si="10"/>
        <v>0</v>
      </c>
      <c r="AK207" s="15"/>
      <c r="AL207" s="15" t="s">
        <v>250</v>
      </c>
    </row>
    <row r="208" spans="1:38" ht="285.75" x14ac:dyDescent="0.25">
      <c r="A208" s="346">
        <f>'הזנה לתנאי סף'!B208</f>
        <v>178</v>
      </c>
      <c r="B208" s="347">
        <f>IF($F208="","",'הזנה לתנאי סף'!C208)</f>
        <v>1001348272</v>
      </c>
      <c r="C208" s="347">
        <f>IF($F208="","",'הזנה לתנאי סף'!D208)</f>
        <v>1001280728</v>
      </c>
      <c r="D208" s="347">
        <f>IF($F208="","",'הזנה לתנאי סף'!E208)</f>
        <v>40343383</v>
      </c>
      <c r="E208" s="348">
        <f>IF($F208="","",'הזנה לתנאי סף'!F208)</f>
        <v>20000231</v>
      </c>
      <c r="F208" s="348" t="str">
        <f>IF('הזנה לתנאי סף'!BL208=1,'הזנה לתנאי סף'!G208,"")</f>
        <v>נצרת</v>
      </c>
      <c r="G208" s="348" t="str">
        <f>IF($F208="","",'הזנה לתנאי סף'!H208)</f>
        <v>תיאטרון אנסמבל פרינג' נצרת</v>
      </c>
      <c r="H208" s="348" t="str">
        <f>IF($F208="","",'הזנה לתנאי סף'!I208)</f>
        <v>מרכזי פרינג'</v>
      </c>
      <c r="I208" s="349">
        <f>IF($F208="","",'הזנה לתנאי סף'!R208)</f>
        <v>2231283</v>
      </c>
      <c r="J208" s="349">
        <f>IF($F208="","",'תחום תמיכה א'!P208)</f>
        <v>2021655</v>
      </c>
      <c r="K208" s="177">
        <f>IF($F208="","",'הזנה לתנאי סף'!N208)</f>
        <v>0</v>
      </c>
      <c r="L208" s="177">
        <f>IF($F208="","",'הזנה לתנאי סף'!O208)</f>
        <v>1</v>
      </c>
      <c r="M208" s="177">
        <f>IF($F208="","",'הזנה לתנאי סף'!Q208)</f>
        <v>1</v>
      </c>
      <c r="N208" s="349">
        <f>IF($F208="","",'תחום תמיכה א'!AE208)</f>
        <v>42568.21841989614</v>
      </c>
      <c r="O208" s="178"/>
      <c r="P208" s="349">
        <f>IF($F208="","",'תחום תמיכה ב'!AC208)</f>
        <v>56424.660552803987</v>
      </c>
      <c r="Q208" s="349">
        <f>IF($F208="","",IF('תחום תמיכה ג'!O208="",0,'תחום תמיכה ג'!O208))</f>
        <v>0</v>
      </c>
      <c r="R208" s="349">
        <f t="shared" si="8"/>
        <v>1691.8963946997028</v>
      </c>
      <c r="S208" s="349">
        <f>IF($F208="","",'תחום תמיכה ב'!AE208)</f>
        <v>58116.55694750369</v>
      </c>
      <c r="T208" s="349">
        <f>IF($F208="","",IF(Q208='תחום תמיכה ג'!$Q$2,'תחום תמיכה ג'!$Q$2,IFERROR(SUMIF(N208:R208,"&gt;0"),'תחום תמיכה ג'!$Q$2)))</f>
        <v>100684.77536739982</v>
      </c>
      <c r="U208" s="349">
        <f>IF($F208="","",'הזנה לתנאי סף'!Y208)</f>
        <v>1500000</v>
      </c>
      <c r="V208" s="350">
        <f>IF(F208="","",'הגבלה לסכום מבוקש '!AA208)</f>
        <v>110367.76551427394</v>
      </c>
      <c r="W208" s="349">
        <f t="shared" si="9"/>
        <v>27591.941378568485</v>
      </c>
      <c r="X208" s="349">
        <f>IF(F208="","",'הזנה לתנאי סף'!Z208)</f>
        <v>100000</v>
      </c>
      <c r="Y208" s="351" t="s">
        <v>3740</v>
      </c>
      <c r="Z208" s="352" t="str">
        <f>IFERROR(VLOOKUP(G208*1,#REF!,3,0),"")</f>
        <v/>
      </c>
      <c r="AA208" s="349" t="str">
        <f>IF(OR($F208="",Z208=""),"",IFERROR(IF(Z208&gt;V208,MIN(Z208,T208)-V208,0),'תחום תמיכה ג'!$Q$2))</f>
        <v/>
      </c>
      <c r="AB208" s="353"/>
      <c r="AC208" s="260" t="str">
        <f t="shared" si="11"/>
        <v/>
      </c>
      <c r="AD208" s="358"/>
      <c r="AE208" s="180"/>
      <c r="AF208" s="355" t="str">
        <f>IF($C208="","",IFERROR(VLOOKUP($C208,גיליון1!$A:$E,2,0),"לא הגיש בקשה שוטפת"))</f>
        <v>פעילות שוטפת לתיאטרון</v>
      </c>
      <c r="AG208" s="355" t="str">
        <f>IF($C208="","",IFERROR(VLOOKUP($C208,גיליון1!$A:$E,3,0),"לא הגיש בקשה שוטפת"))</f>
        <v>מועד</v>
      </c>
      <c r="AH208" s="355" t="str">
        <f>IF($C208="","",IFERROR(VLOOKUP($C208,גיליון1!$A:$E,4,0),"לא הגיש בקשה שוטפת"))</f>
        <v>19-42-02-33</v>
      </c>
      <c r="AI208" s="355" t="str">
        <f>IF($C208="","",IFERROR(VLOOKUP($C208,גיליון1!$A:$E,5,0),"לא הגיש בקשה שוטפת"))</f>
        <v>תרבות ערבית ודרוזית</v>
      </c>
      <c r="AJ208" s="355">
        <f t="shared" si="10"/>
        <v>0</v>
      </c>
      <c r="AK208" s="15"/>
      <c r="AL208" s="15" t="s">
        <v>250</v>
      </c>
    </row>
    <row r="209" spans="1:38" ht="285.75" x14ac:dyDescent="0.25">
      <c r="A209" s="346">
        <f>'הזנה לתנאי סף'!B209</f>
        <v>179</v>
      </c>
      <c r="B209" s="347">
        <f>IF($F209="","",'הזנה לתנאי סף'!C209)</f>
        <v>1001346674</v>
      </c>
      <c r="C209" s="347">
        <f>IF($F209="","",'הזנה לתנאי סף'!D209)</f>
        <v>1001263309</v>
      </c>
      <c r="D209" s="347">
        <f>IF($F209="","",'הזנה לתנאי סף'!E209)</f>
        <v>40507679</v>
      </c>
      <c r="E209" s="348">
        <f>IF($F209="","",'הזנה לתנאי סף'!F209)</f>
        <v>20000057</v>
      </c>
      <c r="F209" s="348" t="str">
        <f>IF('הזנה לתנאי סף'!BL209=1,'הזנה לתנאי סף'!G209,"")</f>
        <v>מעיליא</v>
      </c>
      <c r="G209" s="348" t="str">
        <f>IF($F209="","",'הזנה לתנאי סף'!H209)</f>
        <v>"ביאת" למוסיקה ושירה (ע"ר)</v>
      </c>
      <c r="H209" s="348" t="str">
        <f>IF($F209="","",'הזנה לתנאי סף'!I209)</f>
        <v>אחר</v>
      </c>
      <c r="I209" s="349">
        <f>IF($F209="","",'הזנה לתנאי סף'!R209)</f>
        <v>1455405</v>
      </c>
      <c r="J209" s="349">
        <f>IF($F209="","",'תחום תמיכה א'!P209)</f>
        <v>1369898</v>
      </c>
      <c r="K209" s="177">
        <f>IF($F209="","",'הזנה לתנאי סף'!N209)</f>
        <v>0</v>
      </c>
      <c r="L209" s="177">
        <f>IF($F209="","",'הזנה לתנאי סף'!O209)</f>
        <v>1</v>
      </c>
      <c r="M209" s="177">
        <f>IF($F209="","",'הזנה לתנאי סף'!Q209)</f>
        <v>1</v>
      </c>
      <c r="N209" s="349">
        <f>IF($F209="","",'תחום תמיכה א'!AE209)</f>
        <v>49880.797502977643</v>
      </c>
      <c r="O209" s="178"/>
      <c r="P209" s="349">
        <f>IF($F209="","",'תחום תמיכה ב'!AC209)</f>
        <v>110060.53373466662</v>
      </c>
      <c r="Q209" s="349">
        <f>IF($F209="","",IF('תחום תמיכה ג'!O209="",0,'תחום תמיכה ג'!O209))</f>
        <v>0</v>
      </c>
      <c r="R209" s="349">
        <f t="shared" si="8"/>
        <v>3300.1708543757268</v>
      </c>
      <c r="S209" s="349">
        <f>IF($F209="","",'תחום תמיכה ב'!AE209)</f>
        <v>113360.70458904235</v>
      </c>
      <c r="T209" s="349">
        <f>IF($F209="","",IF(Q209='תחום תמיכה ג'!$Q$2,'תחום תמיכה ג'!$Q$2,IFERROR(SUMIF(N209:R209,"&gt;0"),'תחום תמיכה ג'!$Q$2)))</f>
        <v>163241.50209201997</v>
      </c>
      <c r="U209" s="349">
        <f>IF($F209="","",'הזנה לתנאי סף'!Y209)</f>
        <v>1685000</v>
      </c>
      <c r="V209" s="350">
        <f>IF(F209="","",'הגבלה לסכום מבוקש '!AA209)</f>
        <v>182113.80600378884</v>
      </c>
      <c r="W209" s="349">
        <f t="shared" si="9"/>
        <v>45528.451500947209</v>
      </c>
      <c r="X209" s="349">
        <f>IF(F209="","",'הזנה לתנאי סף'!Z209)</f>
        <v>616000</v>
      </c>
      <c r="Y209" s="351" t="s">
        <v>3740</v>
      </c>
      <c r="Z209" s="352" t="str">
        <f>IFERROR(VLOOKUP(G209*1,#REF!,3,0),"")</f>
        <v/>
      </c>
      <c r="AA209" s="349" t="str">
        <f>IF(OR($F209="",Z209=""),"",IFERROR(IF(Z209&gt;V209,MIN(Z209,T209)-V209,0),'תחום תמיכה ג'!$Q$2))</f>
        <v/>
      </c>
      <c r="AB209" s="353"/>
      <c r="AC209" s="260" t="str">
        <f t="shared" si="11"/>
        <v/>
      </c>
      <c r="AD209" s="358"/>
      <c r="AE209" s="180"/>
      <c r="AF209" s="355" t="str">
        <f>IF($C209="","",IFERROR(VLOOKUP($C209,גיליון1!$A:$E,2,0),"לא הגיש בקשה שוטפת"))</f>
        <v>תמיכה שוטפת במקהילה למוסיקה וזמר,</v>
      </c>
      <c r="AG209" s="355" t="str">
        <f>IF($C209="","",IFERROR(VLOOKUP($C209,גיליון1!$A:$E,3,0),"לא הגיש בקשה שוטפת"))</f>
        <v>מועד</v>
      </c>
      <c r="AH209" s="355" t="str">
        <f>IF($C209="","",IFERROR(VLOOKUP($C209,גיליון1!$A:$E,4,0),"לא הגיש בקשה שוטפת"))</f>
        <v>19-42-02-33</v>
      </c>
      <c r="AI209" s="355" t="str">
        <f>IF($C209="","",IFERROR(VLOOKUP($C209,גיליון1!$A:$E,5,0),"לא הגיש בקשה שוטפת"))</f>
        <v>תרבות ערבית ודרוזית</v>
      </c>
      <c r="AJ209" s="355">
        <f t="shared" si="10"/>
        <v>0</v>
      </c>
      <c r="AK209" s="15"/>
      <c r="AL209" s="15" t="s">
        <v>250</v>
      </c>
    </row>
    <row r="210" spans="1:38" ht="285.75" x14ac:dyDescent="0.25">
      <c r="A210" s="346">
        <f>'הזנה לתנאי סף'!B210</f>
        <v>180</v>
      </c>
      <c r="B210" s="347">
        <f>IF($F210="","",'הזנה לתנאי סף'!C210)</f>
        <v>1001350423</v>
      </c>
      <c r="C210" s="347">
        <f>IF($F210="","",'הזנה לתנאי סף'!D210)</f>
        <v>1001288875</v>
      </c>
      <c r="D210" s="347">
        <f>IF($F210="","",'הזנה לתנאי סף'!E210)</f>
        <v>41904917</v>
      </c>
      <c r="E210" s="348">
        <f>IF($F210="","",'הזנה לתנאי סף'!F210)</f>
        <v>20000065</v>
      </c>
      <c r="F210" s="348" t="str">
        <f>IF('הזנה לתנאי סף'!BL210=1,'הזנה לתנאי סף'!G210,"")</f>
        <v>עספיא</v>
      </c>
      <c r="G210" s="348" t="str">
        <f>IF($F210="","",'הזנה לתנאי סף'!H210)</f>
        <v>התאחדות מוסיקאים ואמנים ערבים</v>
      </c>
      <c r="H210" s="348" t="str">
        <f>IF($F210="","",'הזנה לתנאי סף'!I210)</f>
        <v>אחר</v>
      </c>
      <c r="I210" s="349">
        <f>IF($F210="","",'הזנה לתנאי סף'!R210)</f>
        <v>163700</v>
      </c>
      <c r="J210" s="349">
        <f>IF($F210="","",'תחום תמיכה א'!P210)</f>
        <v>49899</v>
      </c>
      <c r="K210" s="177">
        <f>IF($F210="","",'הזנה לתנאי סף'!N210)</f>
        <v>0</v>
      </c>
      <c r="L210" s="177">
        <f>IF($F210="","",'הזנה לתנאי סף'!O210)</f>
        <v>1</v>
      </c>
      <c r="M210" s="177">
        <f>IF($F210="","",'הזנה לתנאי סף'!Q210)</f>
        <v>1</v>
      </c>
      <c r="N210" s="349">
        <f>IF($F210="","",'תחום תמיכה א'!AE210)</f>
        <v>2727.7039876499161</v>
      </c>
      <c r="O210" s="178"/>
      <c r="P210" s="349">
        <f>IF($F210="","",'תחום תמיכה ב'!AC210)</f>
        <v>27900.81634951603</v>
      </c>
      <c r="Q210" s="349">
        <f>IF($F210="","",IF('תחום תמיכה ג'!O210="",0,'תחום תמיכה ג'!O210))</f>
        <v>0</v>
      </c>
      <c r="R210" s="349">
        <f t="shared" si="8"/>
        <v>836.60743597648252</v>
      </c>
      <c r="S210" s="349">
        <f>IF($F210="","",'תחום תמיכה ב'!AE210)</f>
        <v>28737.423785492512</v>
      </c>
      <c r="T210" s="349">
        <f>IF($F210="","",IF(Q210='תחום תמיכה ג'!$Q$2,'תחום תמיכה ג'!$Q$2,IFERROR(SUMIF(N210:R210,"&gt;0"),'תחום תמיכה ג'!$Q$2)))</f>
        <v>31465.127773142427</v>
      </c>
      <c r="U210" s="349">
        <f>IF($F210="","",'הזנה לתנאי סף'!Y210)</f>
        <v>450000</v>
      </c>
      <c r="V210" s="350">
        <f>IF(F210="","",'הגבלה לסכום מבוקש '!AA210)</f>
        <v>36244.821981481051</v>
      </c>
      <c r="W210" s="349">
        <f t="shared" si="9"/>
        <v>9061.2054953702627</v>
      </c>
      <c r="X210" s="349">
        <f>IF(F210="","",'הזנה לתנאי סף'!Z210)</f>
        <v>50000</v>
      </c>
      <c r="Y210" s="351" t="s">
        <v>3740</v>
      </c>
      <c r="Z210" s="352" t="str">
        <f>IFERROR(VLOOKUP(G210*1,#REF!,3,0),"")</f>
        <v/>
      </c>
      <c r="AA210" s="349" t="str">
        <f>IF(OR($F210="",Z210=""),"",IFERROR(IF(Z210&gt;V210,MIN(Z210,T210)-V210,0),'תחום תמיכה ג'!$Q$2))</f>
        <v/>
      </c>
      <c r="AB210" s="353"/>
      <c r="AC210" s="260" t="str">
        <f t="shared" si="11"/>
        <v/>
      </c>
      <c r="AD210" s="358"/>
      <c r="AE210" s="180"/>
      <c r="AF210" s="355" t="str">
        <f>IF($C210="","",IFERROR(VLOOKUP($C210,גיליון1!$A:$E,2,0),"לא הגיש בקשה שוטפת"))</f>
        <v>פעילות שוטפת של הגוף 2020</v>
      </c>
      <c r="AG210" s="355" t="str">
        <f>IF($C210="","",IFERROR(VLOOKUP($C210,גיליון1!$A:$E,3,0),"לא הגיש בקשה שוטפת"))</f>
        <v>טיוט</v>
      </c>
      <c r="AH210" s="355" t="str">
        <f>IF($C210="","",IFERROR(VLOOKUP($C210,גיליון1!$A:$E,4,0),"לא הגיש בקשה שוטפת"))</f>
        <v>19-42-02-33</v>
      </c>
      <c r="AI210" s="355" t="str">
        <f>IF($C210="","",IFERROR(VLOOKUP($C210,גיליון1!$A:$E,5,0),"לא הגיש בקשה שוטפת"))</f>
        <v>תרבות ערבית ודרוזית</v>
      </c>
      <c r="AJ210" s="355">
        <f t="shared" si="10"/>
        <v>0</v>
      </c>
      <c r="AK210" s="15"/>
      <c r="AL210" s="15" t="s">
        <v>250</v>
      </c>
    </row>
    <row r="211" spans="1:38" ht="285.75" x14ac:dyDescent="0.25">
      <c r="A211" s="346">
        <f>'הזנה לתנאי סף'!B211</f>
        <v>181</v>
      </c>
      <c r="B211" s="347">
        <f>IF($F211="","",'הזנה לתנאי סף'!C211)</f>
        <v>1001350410</v>
      </c>
      <c r="C211" s="347">
        <f>IF($F211="","",'הזנה לתנאי סף'!D211)</f>
        <v>1001280469</v>
      </c>
      <c r="D211" s="347">
        <f>IF($F211="","",'הזנה לתנאי סף'!E211)</f>
        <v>40822680</v>
      </c>
      <c r="E211" s="348">
        <f>IF($F211="","",'הזנה לתנאי סף'!F211)</f>
        <v>20000201</v>
      </c>
      <c r="F211" s="348" t="str">
        <f>IF('הזנה לתנאי סף'!BL211=1,'הזנה לתנאי סף'!G211,"")</f>
        <v>תל אביב -יפו</v>
      </c>
      <c r="G211" s="348" t="str">
        <f>IF($F211="","",'הזנה לתנאי סף'!H211)</f>
        <v>העמותה לקידום סרטי תרבות ואמנות (ע"</v>
      </c>
      <c r="H211" s="348" t="str">
        <f>IF($F211="","",'הזנה לתנאי סף'!I211)</f>
        <v>סינמטקים ופסטיבלים</v>
      </c>
      <c r="I211" s="349">
        <f>IF($F211="","",'הזנה לתנאי סף'!R211)</f>
        <v>600374</v>
      </c>
      <c r="J211" s="349">
        <f>IF($F211="","",'תחום תמיכה א'!P211)</f>
        <v>520875</v>
      </c>
      <c r="K211" s="177">
        <f>IF($F211="","",'הזנה לתנאי סף'!N211)</f>
        <v>1</v>
      </c>
      <c r="L211" s="177">
        <f>IF($F211="","",'הזנה לתנאי סף'!O211)</f>
        <v>1</v>
      </c>
      <c r="M211" s="177">
        <f>IF($F211="","",'הזנה לתנאי סף'!Q211)</f>
        <v>1</v>
      </c>
      <c r="N211" s="349">
        <f>IF($F211="","",'תחום תמיכה א'!AE211)</f>
        <v>21235.444571099502</v>
      </c>
      <c r="O211" s="178"/>
      <c r="P211" s="349">
        <f>IF($F211="","",'תחום תמיכה ב'!AC211)</f>
        <v>40636.948528175933</v>
      </c>
      <c r="Q211" s="349">
        <f>IF($F211="","",IF('תחום תמיכה ג'!O211="",0,'תחום תמיכה ג'!O211))</f>
        <v>17040.810533574171</v>
      </c>
      <c r="R211" s="349">
        <f t="shared" si="8"/>
        <v>1218.5010247793471</v>
      </c>
      <c r="S211" s="349">
        <f>IF($F211="","",'תחום תמיכה ב'!AE211)</f>
        <v>41855.449552955281</v>
      </c>
      <c r="T211" s="349">
        <f>IF($F211="","",IF(Q211='תחום תמיכה ג'!$Q$2,'תחום תמיכה ג'!$Q$2,IFERROR(SUMIF(N211:R211,"&gt;0"),'תחום תמיכה ג'!$Q$2)))</f>
        <v>80131.704657628958</v>
      </c>
      <c r="U211" s="349">
        <f>IF($F211="","",'הזנה לתנאי סף'!Y211)</f>
        <v>256054</v>
      </c>
      <c r="V211" s="350">
        <f>IF(F211="","",'הגבלה לסכום מבוקש '!AA211)</f>
        <v>87108.84736544131</v>
      </c>
      <c r="W211" s="349">
        <f t="shared" si="9"/>
        <v>21777.211841360328</v>
      </c>
      <c r="X211" s="349">
        <f>IF(F211="","",'הזנה לתנאי סף'!Z211)</f>
        <v>150000</v>
      </c>
      <c r="Y211" s="351" t="s">
        <v>3740</v>
      </c>
      <c r="Z211" s="352" t="str">
        <f>IFERROR(VLOOKUP(G211*1,#REF!,3,0),"")</f>
        <v/>
      </c>
      <c r="AA211" s="349" t="str">
        <f>IF(OR($F211="",Z211=""),"",IFERROR(IF(Z211&gt;V211,MIN(Z211,T211)-V211,0),'תחום תמיכה ג'!$Q$2))</f>
        <v/>
      </c>
      <c r="AB211" s="353"/>
      <c r="AC211" s="260" t="str">
        <f t="shared" si="11"/>
        <v/>
      </c>
      <c r="AD211" s="358"/>
      <c r="AE211" s="180"/>
      <c r="AF211" s="355" t="str">
        <f>IF($C211="","",IFERROR(VLOOKUP($C211,גיליון1!$A:$E,2,0),"לא הגיש בקשה שוטפת"))</f>
        <v>פסטיבל אפוס</v>
      </c>
      <c r="AG211" s="355" t="str">
        <f>IF($C211="","",IFERROR(VLOOKUP($C211,גיליון1!$A:$E,3,0),"לא הגיש בקשה שוטפת"))</f>
        <v>מועד</v>
      </c>
      <c r="AH211" s="355" t="str">
        <f>IF($C211="","",IFERROR(VLOOKUP($C211,גיליון1!$A:$E,4,0),"לא הגיש בקשה שוטפת"))</f>
        <v>19-42-02-28</v>
      </c>
      <c r="AI211" s="355" t="str">
        <f>IF($C211="","",IFERROR(VLOOKUP($C211,גיליון1!$A:$E,5,0),"לא הגיש בקשה שוטפת"))</f>
        <v>חוק  הקולנוע</v>
      </c>
      <c r="AJ211" s="355">
        <f t="shared" si="10"/>
        <v>0</v>
      </c>
      <c r="AK211" s="15"/>
      <c r="AL211" s="15" t="s">
        <v>250</v>
      </c>
    </row>
    <row r="212" spans="1:38" ht="285.75" x14ac:dyDescent="0.25">
      <c r="A212" s="346">
        <f>'הזנה לתנאי סף'!B212</f>
        <v>182</v>
      </c>
      <c r="B212" s="347">
        <f>IF($F212="","",'הזנה לתנאי סף'!C212)</f>
        <v>1001349287</v>
      </c>
      <c r="C212" s="347">
        <f>IF($F212="","",'הזנה לתנאי סף'!D212)</f>
        <v>1001262828</v>
      </c>
      <c r="D212" s="347">
        <f>IF($F212="","",'הזנה לתנאי סף'!E212)</f>
        <v>41489778</v>
      </c>
      <c r="E212" s="348">
        <f>IF($F212="","",'הזנה לתנאי סף'!F212)</f>
        <v>20000211</v>
      </c>
      <c r="F212" s="348" t="str">
        <f>IF('הזנה לתנאי סף'!BL212=1,'הזנה לתנאי סף'!G212,"")</f>
        <v>בת ים</v>
      </c>
      <c r="G212" s="348" t="str">
        <f>IF($F212="","",'הזנה לתנאי סף'!H212)</f>
        <v>כלים גוף לעבודה כוריאוגרפית</v>
      </c>
      <c r="H212" s="348" t="str">
        <f>IF($F212="","",'הזנה לתנאי סף'!I212)</f>
        <v>מרכזי מחול</v>
      </c>
      <c r="I212" s="349">
        <f>IF($F212="","",'הזנה לתנאי סף'!R212)</f>
        <v>965128</v>
      </c>
      <c r="J212" s="349">
        <f>IF($F212="","",'תחום תמיכה א'!P212)</f>
        <v>968938</v>
      </c>
      <c r="K212" s="177">
        <f>IF($F212="","",'הזנה לתנאי סף'!N212)</f>
        <v>0</v>
      </c>
      <c r="L212" s="177">
        <f>IF($F212="","",'הזנה לתנאי סף'!O212)</f>
        <v>1</v>
      </c>
      <c r="M212" s="177">
        <f>IF($F212="","",'הזנה לתנאי סף'!Q212)</f>
        <v>1</v>
      </c>
      <c r="N212" s="349">
        <f>IF($F212="","",'תחום תמיכה א'!AE212)</f>
        <v>28819.181692052036</v>
      </c>
      <c r="O212" s="178"/>
      <c r="P212" s="349">
        <f>IF($F212="","",'תחום תמיכה ב'!AC212)</f>
        <v>48698.284988623614</v>
      </c>
      <c r="Q212" s="349">
        <f>IF($F212="","",IF('תחום תמיכה ג'!O212="",0,'תחום תמיכה ג'!O212))</f>
        <v>0</v>
      </c>
      <c r="R212" s="349">
        <f t="shared" si="8"/>
        <v>1460.2206197271735</v>
      </c>
      <c r="S212" s="349">
        <f>IF($F212="","",'תחום תמיכה ב'!AE212)</f>
        <v>50158.505608350788</v>
      </c>
      <c r="T212" s="349">
        <f>IF($F212="","",IF(Q212='תחום תמיכה ג'!$Q$2,'תחום תמיכה ג'!$Q$2,IFERROR(SUMIF(N212:R212,"&gt;0"),'תחום תמיכה ג'!$Q$2)))</f>
        <v>78977.687300402831</v>
      </c>
      <c r="U212" s="349">
        <f>IF($F212="","",'הזנה לתנאי סף'!Y212)</f>
        <v>220000</v>
      </c>
      <c r="V212" s="350">
        <f>IF(F212="","",'הגבלה לסכום מבוקש '!AA212)</f>
        <v>87331.154202732519</v>
      </c>
      <c r="W212" s="349">
        <f t="shared" si="9"/>
        <v>21832.78855068313</v>
      </c>
      <c r="X212" s="349">
        <f>IF(F212="","",'הזנה לתנאי סף'!Z212)</f>
        <v>100000</v>
      </c>
      <c r="Y212" s="351" t="s">
        <v>3740</v>
      </c>
      <c r="Z212" s="352" t="str">
        <f>IFERROR(VLOOKUP(G212*1,#REF!,3,0),"")</f>
        <v/>
      </c>
      <c r="AA212" s="349" t="str">
        <f>IF(OR($F212="",Z212=""),"",IFERROR(IF(Z212&gt;V212,MIN(Z212,T212)-V212,0),'תחום תמיכה ג'!$Q$2))</f>
        <v/>
      </c>
      <c r="AB212" s="353"/>
      <c r="AC212" s="260" t="str">
        <f t="shared" si="11"/>
        <v/>
      </c>
      <c r="AD212" s="358"/>
      <c r="AE212" s="180"/>
      <c r="AF212" s="355" t="str">
        <f>IF($C212="","",IFERROR(VLOOKUP($C212,גיליון1!$A:$E,2,0),"לא הגיש בקשה שוטפת"))</f>
        <v>מרכז מחול כלים</v>
      </c>
      <c r="AG212" s="355" t="str">
        <f>IF($C212="","",IFERROR(VLOOKUP($C212,גיליון1!$A:$E,3,0),"לא הגיש בקשה שוטפת"))</f>
        <v>חויב</v>
      </c>
      <c r="AH212" s="355" t="str">
        <f>IF($C212="","",IFERROR(VLOOKUP($C212,גיליון1!$A:$E,4,0),"לא הגיש בקשה שוטפת"))</f>
        <v>19-42-02-20</v>
      </c>
      <c r="AI212" s="355" t="str">
        <f>IF($C212="","",IFERROR(VLOOKUP($C212,גיליון1!$A:$E,5,0),"לא הגיש בקשה שוטפת"))</f>
        <v>מחול וארגוני גג</v>
      </c>
      <c r="AJ212" s="355">
        <f t="shared" si="10"/>
        <v>0</v>
      </c>
      <c r="AK212" s="15"/>
      <c r="AL212" s="15" t="s">
        <v>250</v>
      </c>
    </row>
    <row r="213" spans="1:38" ht="285.75" x14ac:dyDescent="0.25">
      <c r="A213" s="346">
        <f>'הזנה לתנאי סף'!B213</f>
        <v>183</v>
      </c>
      <c r="B213" s="347">
        <f>IF($F213="","",'הזנה לתנאי סף'!C213)</f>
        <v>1001348951</v>
      </c>
      <c r="C213" s="347">
        <f>IF($F213="","",'הזנה לתנאי סף'!D213)</f>
        <v>1001290208</v>
      </c>
      <c r="D213" s="347">
        <f>IF($F213="","",'הזנה לתנאי סף'!E213)</f>
        <v>40298756</v>
      </c>
      <c r="E213" s="348">
        <f>IF($F213="","",'הזנה לתנאי סף'!F213)</f>
        <v>20000182</v>
      </c>
      <c r="F213" s="348" t="str">
        <f>IF('הזנה לתנאי סף'!BL213=1,'הזנה לתנאי סף'!G213,"")</f>
        <v>חיפה</v>
      </c>
      <c r="G213" s="348" t="str">
        <f>IF($F213="","",'הזנה לתנאי סף'!H213)</f>
        <v>סרד לחינוך ספרותי</v>
      </c>
      <c r="H213" s="348" t="str">
        <f>IF($F213="","",'הזנה לתנאי סף'!I213)</f>
        <v>תרבות ערבית</v>
      </c>
      <c r="I213" s="349">
        <f>IF($F213="","",'הזנה לתנאי סף'!R213)</f>
        <v>131009</v>
      </c>
      <c r="J213" s="349">
        <f>IF($F213="","",'תחום תמיכה א'!P213)</f>
        <v>240669</v>
      </c>
      <c r="K213" s="177">
        <f>IF($F213="","",'הזנה לתנאי סף'!N213)</f>
        <v>1</v>
      </c>
      <c r="L213" s="177">
        <f>IF($F213="","",'הזנה לתנאי סף'!O213)</f>
        <v>1</v>
      </c>
      <c r="M213" s="177">
        <f>IF($F213="","",'הזנה לתנאי סף'!Q213)</f>
        <v>1</v>
      </c>
      <c r="N213" s="349">
        <f>IF($F213="","",'תחום תמיכה א'!AE213)</f>
        <v>13156.051043181582</v>
      </c>
      <c r="O213" s="178"/>
      <c r="P213" s="349">
        <f>IF($F213="","",'תחום תמיכה ב'!AC213)</f>
        <v>22329.004576259897</v>
      </c>
      <c r="Q213" s="349">
        <f>IF($F213="","",IF('תחום תמיכה ג'!O213="",0,'תחום תמיכה ג'!O213))</f>
        <v>4825.98301697233</v>
      </c>
      <c r="R213" s="349">
        <f t="shared" si="8"/>
        <v>669.53636884448861</v>
      </c>
      <c r="S213" s="349">
        <f>IF($F213="","",'תחום תמיכה ב'!AE213)</f>
        <v>22998.540945104385</v>
      </c>
      <c r="T213" s="349">
        <f>IF($F213="","",IF(Q213='תחום תמיכה ג'!$Q$2,'תחום תמיכה ג'!$Q$2,IFERROR(SUMIF(N213:R213,"&gt;0"),'תחום תמיכה ג'!$Q$2)))</f>
        <v>40980.575005258303</v>
      </c>
      <c r="U213" s="349">
        <f>IF($F213="","",'הזנה לתנאי סף'!Y213)</f>
        <v>350000</v>
      </c>
      <c r="V213" s="350">
        <f>IF(F213="","",'הגבלה לסכום מבוקש '!AA213)</f>
        <v>44812.954795152</v>
      </c>
      <c r="W213" s="349">
        <f t="shared" si="9"/>
        <v>11203.238698788</v>
      </c>
      <c r="X213" s="349">
        <f>IF(F213="","",'הזנה לתנאי סף'!Z213)</f>
        <v>90000</v>
      </c>
      <c r="Y213" s="351" t="s">
        <v>3740</v>
      </c>
      <c r="Z213" s="352" t="str">
        <f>IFERROR(VLOOKUP(G213*1,#REF!,3,0),"")</f>
        <v/>
      </c>
      <c r="AA213" s="349" t="str">
        <f>IF(OR($F213="",Z213=""),"",IFERROR(IF(Z213&gt;V213,MIN(Z213,T213)-V213,0),'תחום תמיכה ג'!$Q$2))</f>
        <v/>
      </c>
      <c r="AB213" s="353"/>
      <c r="AC213" s="260" t="str">
        <f t="shared" si="11"/>
        <v/>
      </c>
      <c r="AD213" s="358"/>
      <c r="AE213" s="180"/>
      <c r="AF213" s="355" t="str">
        <f>IF($C213="","",IFERROR(VLOOKUP($C213,גיליון1!$A:$E,2,0),"לא הגיש בקשה שוטפת"))</f>
        <v>שוטף</v>
      </c>
      <c r="AG213" s="355" t="str">
        <f>IF($C213="","",IFERROR(VLOOKUP($C213,גיליון1!$A:$E,3,0),"לא הגיש בקשה שוטפת"))</f>
        <v>מועד</v>
      </c>
      <c r="AH213" s="355" t="str">
        <f>IF($C213="","",IFERROR(VLOOKUP($C213,גיליון1!$A:$E,4,0),"לא הגיש בקשה שוטפת"))</f>
        <v>19-42-02-33</v>
      </c>
      <c r="AI213" s="355" t="str">
        <f>IF($C213="","",IFERROR(VLOOKUP($C213,גיליון1!$A:$E,5,0),"לא הגיש בקשה שוטפת"))</f>
        <v>תרבות ערבית ודרוזית</v>
      </c>
      <c r="AJ213" s="355">
        <f t="shared" si="10"/>
        <v>0</v>
      </c>
      <c r="AK213" s="15"/>
      <c r="AL213" s="15" t="s">
        <v>250</v>
      </c>
    </row>
    <row r="214" spans="1:38" ht="285.75" x14ac:dyDescent="0.25">
      <c r="A214" s="346">
        <f>'הזנה לתנאי סף'!B214</f>
        <v>184</v>
      </c>
      <c r="B214" s="347">
        <f>IF($F214="","",'הזנה לתנאי סף'!C214)</f>
        <v>1001350272</v>
      </c>
      <c r="C214" s="347">
        <f>IF($F214="","",'הזנה לתנאי סף'!D214)</f>
        <v>1001288861</v>
      </c>
      <c r="D214" s="347">
        <f>IF($F214="","",'הזנה לתנאי סף'!E214)</f>
        <v>40000218</v>
      </c>
      <c r="E214" s="348">
        <f>IF($F214="","",'הזנה לתנאי סף'!F214)</f>
        <v>20000061</v>
      </c>
      <c r="F214" s="348" t="str">
        <f>IF('הזנה לתנאי סף'!BL214=1,'הזנה לתנאי סף'!G214,"")</f>
        <v>אעבלין</v>
      </c>
      <c r="G214" s="348" t="str">
        <f>IF($F214="","",'הזנה לתנאי סף'!H214)</f>
        <v>אלכרואן</v>
      </c>
      <c r="H214" s="348" t="str">
        <f>IF($F214="","",'הזנה לתנאי סף'!I214)</f>
        <v>תרבות ערבית</v>
      </c>
      <c r="I214" s="349">
        <f>IF($F214="","",'הזנה לתנאי סף'!R214)</f>
        <v>1135710</v>
      </c>
      <c r="J214" s="349">
        <f>IF($F214="","",'תחום תמיכה א'!P214)</f>
        <v>1118692</v>
      </c>
      <c r="K214" s="177">
        <f>IF($F214="","",'הזנה לתנאי סף'!N214)</f>
        <v>0</v>
      </c>
      <c r="L214" s="177">
        <f>IF($F214="","",'הזנה לתנאי סף'!O214)</f>
        <v>1</v>
      </c>
      <c r="M214" s="177">
        <f>IF($F214="","",'הזנה לתנאי סף'!Q214)</f>
        <v>1</v>
      </c>
      <c r="N214" s="349">
        <f>IF($F214="","",'תחום תמיכה א'!AE214)</f>
        <v>32859.791763639296</v>
      </c>
      <c r="O214" s="178"/>
      <c r="P214" s="349">
        <f>IF($F214="","",'תחום תמיכה ב'!AC214)</f>
        <v>49123.726481355843</v>
      </c>
      <c r="Q214" s="349">
        <f>IF($F214="","",IF('תחום תמיכה ג'!O214="",0,'תחום תמיכה ג'!O214))</f>
        <v>0</v>
      </c>
      <c r="R214" s="349">
        <f t="shared" si="8"/>
        <v>1472.9775051148245</v>
      </c>
      <c r="S214" s="349">
        <f>IF($F214="","",'תחום תמיכה ב'!AE214)</f>
        <v>50596.703986470668</v>
      </c>
      <c r="T214" s="349">
        <f>IF($F214="","",IF(Q214='תחום תמיכה ג'!$Q$2,'תחום תמיכה ג'!$Q$2,IFERROR(SUMIF(N214:R214,"&gt;0"),'תחום תמיכה ג'!$Q$2)))</f>
        <v>83456.495750109956</v>
      </c>
      <c r="U214" s="349">
        <f>IF($F214="","",'הזנה לתנאי סף'!Y214)</f>
        <v>500000</v>
      </c>
      <c r="V214" s="350">
        <f>IF(F214="","",'הגבלה לסכום מבוקש '!AA214)</f>
        <v>91884.665974375777</v>
      </c>
      <c r="W214" s="349">
        <f t="shared" si="9"/>
        <v>22971.166493593944</v>
      </c>
      <c r="X214" s="349">
        <f>IF(F214="","",'הזנה לתנאי סף'!Z214)</f>
        <v>350000</v>
      </c>
      <c r="Y214" s="351" t="s">
        <v>3740</v>
      </c>
      <c r="Z214" s="352" t="str">
        <f>IFERROR(VLOOKUP(G214*1,#REF!,3,0),"")</f>
        <v/>
      </c>
      <c r="AA214" s="349" t="str">
        <f>IF(OR($F214="",Z214=""),"",IFERROR(IF(Z214&gt;V214,MIN(Z214,T214)-V214,0),'תחום תמיכה ג'!$Q$2))</f>
        <v/>
      </c>
      <c r="AB214" s="353"/>
      <c r="AC214" s="260" t="str">
        <f t="shared" si="11"/>
        <v/>
      </c>
      <c r="AD214" s="358"/>
      <c r="AE214" s="180"/>
      <c r="AF214" s="355" t="str">
        <f>IF($C214="","",IFERROR(VLOOKUP($C214,גיליון1!$A:$E,2,0),"לא הגיש בקשה שוטפת"))</f>
        <v>מימון שוטף מקהלה ותזמורת 2020</v>
      </c>
      <c r="AG214" s="355" t="str">
        <f>IF($C214="","",IFERROR(VLOOKUP($C214,גיליון1!$A:$E,3,0),"לא הגיש בקשה שוטפת"))</f>
        <v>מועד</v>
      </c>
      <c r="AH214" s="355" t="str">
        <f>IF($C214="","",IFERROR(VLOOKUP($C214,גיליון1!$A:$E,4,0),"לא הגיש בקשה שוטפת"))</f>
        <v>19-42-02-33</v>
      </c>
      <c r="AI214" s="355" t="str">
        <f>IF($C214="","",IFERROR(VLOOKUP($C214,גיליון1!$A:$E,5,0),"לא הגיש בקשה שוטפת"))</f>
        <v>תרבות ערבית ודרוזית</v>
      </c>
      <c r="AJ214" s="355">
        <f t="shared" si="10"/>
        <v>0</v>
      </c>
      <c r="AK214" s="15"/>
      <c r="AL214" s="15" t="s">
        <v>250</v>
      </c>
    </row>
    <row r="215" spans="1:38" ht="285.75" x14ac:dyDescent="0.25">
      <c r="A215" s="346">
        <f>'הזנה לתנאי סף'!B215</f>
        <v>185</v>
      </c>
      <c r="B215" s="347">
        <f>IF($F215="","",'הזנה לתנאי סף'!C215)</f>
        <v>1001350325</v>
      </c>
      <c r="C215" s="347">
        <f>IF($F215="","",'הזנה לתנאי סף'!D215)</f>
        <v>1001271352</v>
      </c>
      <c r="D215" s="347">
        <f>IF($F215="","",'הזנה לתנאי סף'!E215)</f>
        <v>40000402</v>
      </c>
      <c r="E215" s="348">
        <f>IF($F215="","",'הזנה לתנאי סף'!F215)</f>
        <v>20000159</v>
      </c>
      <c r="F215" s="348" t="str">
        <f>IF('הזנה לתנאי סף'!BL215=1,'הזנה לתנאי סף'!G215,"")</f>
        <v>ירושלים</v>
      </c>
      <c r="G215" s="348" t="str">
        <f>IF($F215="","",'הזנה לתנאי סף'!H215)</f>
        <v>מרכז החאן</v>
      </c>
      <c r="H215" s="348" t="str">
        <f>IF($F215="","",'הזנה לתנאי סף'!I215)</f>
        <v>תיאטרון</v>
      </c>
      <c r="I215" s="349">
        <f>IF($F215="","",'הזנה לתנאי סף'!R215)</f>
        <v>17766188</v>
      </c>
      <c r="J215" s="349">
        <f>IF($F215="","",'תחום תמיכה א'!P215)</f>
        <v>17729120</v>
      </c>
      <c r="K215" s="177">
        <f>IF($F215="","",'הזנה לתנאי סף'!N215)</f>
        <v>1</v>
      </c>
      <c r="L215" s="177">
        <f>IF($F215="","",'הזנה לתנאי סף'!O215)</f>
        <v>1</v>
      </c>
      <c r="M215" s="177">
        <f>IF($F215="","",'הזנה לתנאי סף'!Q215)</f>
        <v>1</v>
      </c>
      <c r="N215" s="349">
        <f>IF($F215="","",'תחום תמיכה א'!AE215)</f>
        <v>300025.71896817652</v>
      </c>
      <c r="O215" s="178"/>
      <c r="P215" s="349">
        <f>IF($F215="","",'תחום תמיכה ב'!AC215)</f>
        <v>290197.92512697325</v>
      </c>
      <c r="Q215" s="349">
        <f>IF($F215="","",IF('תחום תמיכה ג'!O215="",0,'תחום תמיכה ג'!O215))</f>
        <v>50166.045297073673</v>
      </c>
      <c r="R215" s="349">
        <f t="shared" si="8"/>
        <v>8701.5999469271046</v>
      </c>
      <c r="S215" s="349">
        <f>IF($F215="","",'תחום תמיכה ב'!AE215)</f>
        <v>298899.52507390035</v>
      </c>
      <c r="T215" s="349">
        <f>IF($F215="","",IF(Q215='תחום תמיכה ג'!$Q$2,'תחום תמיכה ג'!$Q$2,IFERROR(SUMIF(N215:R215,"&gt;0"),'תחום תמיכה ג'!$Q$2)))</f>
        <v>649091.28933915053</v>
      </c>
      <c r="U215" s="349">
        <f>IF($F215="","",'הזנה לתנאי סף'!Y215)</f>
        <v>1500000</v>
      </c>
      <c r="V215" s="350">
        <f>IF(F215="","",'הגבלה לסכום מבוקש '!AA215)</f>
        <v>698951.68513098173</v>
      </c>
      <c r="W215" s="349">
        <f t="shared" si="9"/>
        <v>174737.92128274543</v>
      </c>
      <c r="X215" s="349">
        <f>IF(F215="","",'הזנה לתנאי סף'!Z215)</f>
        <v>1</v>
      </c>
      <c r="Y215" s="351" t="s">
        <v>3740</v>
      </c>
      <c r="Z215" s="352" t="str">
        <f>IFERROR(VLOOKUP(G215*1,#REF!,3,0),"")</f>
        <v/>
      </c>
      <c r="AA215" s="349" t="str">
        <f>IF(OR($F215="",Z215=""),"",IFERROR(IF(Z215&gt;V215,MIN(Z215,T215)-V215,0),'תחום תמיכה ג'!$Q$2))</f>
        <v/>
      </c>
      <c r="AB215" s="353"/>
      <c r="AC215" s="260" t="str">
        <f t="shared" si="11"/>
        <v/>
      </c>
      <c r="AD215" s="358"/>
      <c r="AE215" s="180"/>
      <c r="AF215" s="355" t="str">
        <f>IF($C215="","",IFERROR(VLOOKUP($C215,גיליון1!$A:$E,2,0),"לא הגיש בקשה שוטפת"))</f>
        <v>תמיכה שוטפת</v>
      </c>
      <c r="AG215" s="355" t="str">
        <f>IF($C215="","",IFERROR(VLOOKUP($C215,גיליון1!$A:$E,3,0),"לא הגיש בקשה שוטפת"))</f>
        <v>חויב</v>
      </c>
      <c r="AH215" s="355" t="str">
        <f>IF($C215="","",IFERROR(VLOOKUP($C215,גיליון1!$A:$E,4,0),"לא הגיש בקשה שוטפת"))</f>
        <v>19-42-02-07</v>
      </c>
      <c r="AI215" s="355" t="str">
        <f>IF($C215="","",IFERROR(VLOOKUP($C215,גיליון1!$A:$E,5,0),"לא הגיש בקשה שוטפת"))</f>
        <v>תיאטרון</v>
      </c>
      <c r="AJ215" s="355">
        <f t="shared" si="10"/>
        <v>0</v>
      </c>
      <c r="AK215" s="15"/>
      <c r="AL215" s="15" t="s">
        <v>250</v>
      </c>
    </row>
    <row r="216" spans="1:38" ht="285.75" x14ac:dyDescent="0.25">
      <c r="A216" s="346">
        <f>'הזנה לתנאי סף'!B216</f>
        <v>186</v>
      </c>
      <c r="B216" s="347">
        <f>IF($F216="","",'הזנה לתנאי סף'!C216)</f>
        <v>1001350764</v>
      </c>
      <c r="C216" s="347">
        <f>IF($F216="","",'הזנה לתנאי סף'!D216)</f>
        <v>1001290586</v>
      </c>
      <c r="D216" s="347">
        <f>IF($F216="","",'הזנה לתנאי סף'!E216)</f>
        <v>40000625</v>
      </c>
      <c r="E216" s="348">
        <f>IF($F216="","",'הזנה לתנאי סף'!F216)</f>
        <v>20000154</v>
      </c>
      <c r="F216" s="348" t="str">
        <f>IF('הזנה לתנאי סף'!BL216=1,'הזנה לתנאי סף'!G216,"")</f>
        <v>אום אל-פחם</v>
      </c>
      <c r="G216" s="348" t="str">
        <f>IF($F216="","",'הזנה לתנאי סף'!H216)</f>
        <v>אבדאע - עמותה לקידום האמנויות במגזר</v>
      </c>
      <c r="H216" s="348" t="str">
        <f>IF($F216="","",'הזנה לתנאי סף'!I216)</f>
        <v>תרבות ערבית</v>
      </c>
      <c r="I216" s="349">
        <f>IF($F216="","",'הזנה לתנאי סף'!R216)</f>
        <v>693448</v>
      </c>
      <c r="J216" s="349">
        <f>IF($F216="","",'תחום תמיכה א'!P216)</f>
        <v>712940</v>
      </c>
      <c r="K216" s="177">
        <f>IF($F216="","",'הזנה לתנאי סף'!N216)</f>
        <v>0</v>
      </c>
      <c r="L216" s="177">
        <f>IF($F216="","",'הזנה לתנאי סף'!O216)</f>
        <v>1</v>
      </c>
      <c r="M216" s="177">
        <f>IF($F216="","",'הזנה לתנאי סף'!Q216)</f>
        <v>1</v>
      </c>
      <c r="N216" s="349">
        <f>IF($F216="","",'תחום תמיכה א'!AE216)</f>
        <v>14373.082942520334</v>
      </c>
      <c r="O216" s="178"/>
      <c r="P216" s="349">
        <f>IF($F216="","",'תחום תמיכה ב'!AC216)</f>
        <v>16075.527703676946</v>
      </c>
      <c r="Q216" s="349">
        <f>IF($F216="","",IF('תחום תמיכה ג'!O216="",0,'תחום תמיכה ג'!O216))</f>
        <v>0</v>
      </c>
      <c r="R216" s="349">
        <f t="shared" si="8"/>
        <v>482.02553809416895</v>
      </c>
      <c r="S216" s="349">
        <f>IF($F216="","",'תחום תמיכה ב'!AE216)</f>
        <v>16557.553241771115</v>
      </c>
      <c r="T216" s="349">
        <f>IF($F216="","",IF(Q216='תחום תמיכה ג'!$Q$2,'תחום תמיכה ג'!$Q$2,IFERROR(SUMIF(N216:R216,"&gt;0"),'תחום תמיכה ג'!$Q$2)))</f>
        <v>30930.636184291448</v>
      </c>
      <c r="U216" s="349">
        <f>IF($F216="","",'הזנה לתנאי סף'!Y216)</f>
        <v>180000</v>
      </c>
      <c r="V216" s="350">
        <f>IF(F216="","",'הגבלה לסכום מבוקש '!AA216)</f>
        <v>33690.36677061292</v>
      </c>
      <c r="W216" s="349">
        <f t="shared" si="9"/>
        <v>8422.59169265323</v>
      </c>
      <c r="X216" s="349">
        <f>IF(F216="","",'הזנה לתנאי סף'!Z216)</f>
        <v>50000</v>
      </c>
      <c r="Y216" s="351" t="s">
        <v>3740</v>
      </c>
      <c r="Z216" s="352" t="str">
        <f>IFERROR(VLOOKUP(G216*1,#REF!,3,0),"")</f>
        <v/>
      </c>
      <c r="AA216" s="349" t="str">
        <f>IF(OR($F216="",Z216=""),"",IFERROR(IF(Z216&gt;V216,MIN(Z216,T216)-V216,0),'תחום תמיכה ג'!$Q$2))</f>
        <v/>
      </c>
      <c r="AB216" s="353"/>
      <c r="AC216" s="260" t="str">
        <f t="shared" si="11"/>
        <v/>
      </c>
      <c r="AD216" s="358"/>
      <c r="AE216" s="180"/>
      <c r="AF216" s="355" t="str">
        <f>IF($C216="","",IFERROR(VLOOKUP($C216,גיליון1!$A:$E,2,0),"לא הגיש בקשה שוטפת"))</f>
        <v>תקציב שוטף</v>
      </c>
      <c r="AG216" s="355" t="str">
        <f>IF($C216="","",IFERROR(VLOOKUP($C216,גיליון1!$A:$E,3,0),"לא הגיש בקשה שוטפת"))</f>
        <v>מועד</v>
      </c>
      <c r="AH216" s="355" t="str">
        <f>IF($C216="","",IFERROR(VLOOKUP($C216,גיליון1!$A:$E,4,0),"לא הגיש בקשה שוטפת"))</f>
        <v>19-42-02-33</v>
      </c>
      <c r="AI216" s="355" t="str">
        <f>IF($C216="","",IFERROR(VLOOKUP($C216,גיליון1!$A:$E,5,0),"לא הגיש בקשה שוטפת"))</f>
        <v>תרבות ערבית ודרוזית</v>
      </c>
      <c r="AJ216" s="355">
        <f t="shared" si="10"/>
        <v>0</v>
      </c>
      <c r="AK216" s="15"/>
      <c r="AL216" s="15" t="s">
        <v>250</v>
      </c>
    </row>
    <row r="217" spans="1:38" ht="285.75" x14ac:dyDescent="0.25">
      <c r="A217" s="346">
        <f>'הזנה לתנאי סף'!B217</f>
        <v>187</v>
      </c>
      <c r="B217" s="347">
        <f>IF($F217="","",'הזנה לתנאי סף'!C217)</f>
        <v>1001349137</v>
      </c>
      <c r="C217" s="347">
        <f>IF($F217="","",'הזנה לתנאי סף'!D217)</f>
        <v>1001264894</v>
      </c>
      <c r="D217" s="347">
        <f>IF($F217="","",'הזנה לתנאי סף'!E217)</f>
        <v>40188899</v>
      </c>
      <c r="E217" s="348">
        <f>IF($F217="","",'הזנה לתנאי סף'!F217)</f>
        <v>20000159</v>
      </c>
      <c r="F217" s="348" t="str">
        <f>IF('הזנה לתנאי סף'!BL217=1,'הזנה לתנאי סף'!G217,"")</f>
        <v>ירושלים</v>
      </c>
      <c r="G217" s="348" t="str">
        <f>IF($F217="","",'הזנה לתנאי סף'!H217)</f>
        <v>נהר אפרסמון</v>
      </c>
      <c r="H217" s="348" t="str">
        <f>IF($F217="","",'הזנה לתנאי סף'!I217)</f>
        <v>תרבות חרדית</v>
      </c>
      <c r="I217" s="349">
        <f>IF($F217="","",'הזנה לתנאי סף'!R217)</f>
        <v>213225</v>
      </c>
      <c r="J217" s="349">
        <f>IF($F217="","",'תחום תמיכה א'!P217)</f>
        <v>213255</v>
      </c>
      <c r="K217" s="177">
        <f>IF($F217="","",'הזנה לתנאי סף'!N217)</f>
        <v>0</v>
      </c>
      <c r="L217" s="177">
        <f>IF($F217="","",'הזנה לתנאי סף'!O217)</f>
        <v>1</v>
      </c>
      <c r="M217" s="177">
        <f>IF($F217="","",'הזנה לתנאי סף'!Q217)</f>
        <v>1</v>
      </c>
      <c r="N217" s="349">
        <f>IF($F217="","",'תחום תמיכה א'!AE217)</f>
        <v>4686.7737576441268</v>
      </c>
      <c r="O217" s="178"/>
      <c r="P217" s="349">
        <f>IF($F217="","",'תחום תמיכה ב'!AC217)</f>
        <v>5874.150855525214</v>
      </c>
      <c r="Q217" s="349">
        <f>IF($F217="","",IF('תחום תמיכה ג'!O217="",0,'תחום תמיכה ג'!O217))</f>
        <v>0</v>
      </c>
      <c r="R217" s="349">
        <f t="shared" si="8"/>
        <v>176.1367203101654</v>
      </c>
      <c r="S217" s="349">
        <f>IF($F217="","",'תחום תמיכה ב'!AE217)</f>
        <v>6050.2875758353794</v>
      </c>
      <c r="T217" s="349">
        <f>IF($F217="","",IF(Q217='תחום תמיכה ג'!$Q$2,'תחום תמיכה ג'!$Q$2,IFERROR(SUMIF(N217:R217,"&gt;0"),'תחום תמיכה ג'!$Q$2)))</f>
        <v>10737.061333479505</v>
      </c>
      <c r="U217" s="349">
        <f>IF($F217="","",'הזנה לתנאי סף'!Y217)</f>
        <v>450000</v>
      </c>
      <c r="V217" s="350">
        <f>IF(F217="","",'הגבלה לסכום מבוקש '!AA217)</f>
        <v>11745.235770891286</v>
      </c>
      <c r="W217" s="349">
        <f t="shared" si="9"/>
        <v>2936.3089427228215</v>
      </c>
      <c r="X217" s="349">
        <f>IF(F217="","",'הזנה לתנאי סף'!Z217)</f>
        <v>80000</v>
      </c>
      <c r="Y217" s="351" t="s">
        <v>3740</v>
      </c>
      <c r="Z217" s="352" t="str">
        <f>IFERROR(VLOOKUP(G217*1,#REF!,3,0),"")</f>
        <v/>
      </c>
      <c r="AA217" s="349" t="str">
        <f>IF(OR($F217="",Z217=""),"",IFERROR(IF(Z217&gt;V217,MIN(Z217,T217)-V217,0),'תחום תמיכה ג'!$Q$2))</f>
        <v/>
      </c>
      <c r="AB217" s="353"/>
      <c r="AC217" s="260" t="str">
        <f t="shared" si="11"/>
        <v/>
      </c>
      <c r="AD217" s="358"/>
      <c r="AE217" s="180"/>
      <c r="AF217" s="355" t="str">
        <f>IF($C217="","",IFERROR(VLOOKUP($C217,גיליון1!$A:$E,2,0),"לא הגיש בקשה שוטפת"))</f>
        <v>בקשת תמיכה תרבות חרדית</v>
      </c>
      <c r="AG217" s="355" t="str">
        <f>IF($C217="","",IFERROR(VLOOKUP($C217,גיליון1!$A:$E,3,0),"לא הגיש בקשה שוטפת"))</f>
        <v>מועד</v>
      </c>
      <c r="AH217" s="355" t="str">
        <f>IF($C217="","",IFERROR(VLOOKUP($C217,גיליון1!$A:$E,4,0),"לא הגיש בקשה שוטפת"))</f>
        <v>19-42-02-65</v>
      </c>
      <c r="AI217" s="355" t="str">
        <f>IF($C217="","",IFERROR(VLOOKUP($C217,גיליון1!$A:$E,5,0),"לא הגיש בקשה שוטפת"))</f>
        <v>תרבות חרדית</v>
      </c>
      <c r="AJ217" s="355">
        <f t="shared" si="10"/>
        <v>0</v>
      </c>
      <c r="AK217" s="15"/>
      <c r="AL217" s="15" t="s">
        <v>250</v>
      </c>
    </row>
    <row r="218" spans="1:38" ht="285.75" x14ac:dyDescent="0.25">
      <c r="A218" s="346">
        <f>'הזנה לתנאי סף'!B218</f>
        <v>188</v>
      </c>
      <c r="B218" s="347">
        <f>IF($F218="","",'הזנה לתנאי סף'!C218)</f>
        <v>1001349367</v>
      </c>
      <c r="C218" s="347">
        <f>IF($F218="","",'הזנה לתנאי סף'!D218)</f>
        <v>1001264905</v>
      </c>
      <c r="D218" s="347">
        <f>IF($F218="","",'הזנה לתנאי סף'!E218)</f>
        <v>40188899</v>
      </c>
      <c r="E218" s="348">
        <f>IF($F218="","",'הזנה לתנאי סף'!F218)</f>
        <v>20000159</v>
      </c>
      <c r="F218" s="348" t="str">
        <f>IF('הזנה לתנאי סף'!BL218=1,'הזנה לתנאי סף'!G218,"")</f>
        <v>ירושלים</v>
      </c>
      <c r="G218" s="348" t="str">
        <f>IF($F218="","",'הזנה לתנאי סף'!H218)</f>
        <v>נהר אפרסמון</v>
      </c>
      <c r="H218" s="348" t="str">
        <f>IF($F218="","",'הזנה לתנאי סף'!I218)</f>
        <v>אחר</v>
      </c>
      <c r="I218" s="349">
        <f>IF($F218="","",'הזנה לתנאי סף'!R218)</f>
        <v>254855</v>
      </c>
      <c r="J218" s="349">
        <f>IF($F218="","",'תחום תמיכה א'!P218)</f>
        <v>254855</v>
      </c>
      <c r="K218" s="177">
        <f>IF($F218="","",'הזנה לתנאי סף'!N218)</f>
        <v>1</v>
      </c>
      <c r="L218" s="177">
        <f>IF($F218="","",'הזנה לתנאי סף'!O218)</f>
        <v>1</v>
      </c>
      <c r="M218" s="177">
        <f>IF($F218="","",'הזנה לתנאי סף'!Q218)</f>
        <v>1</v>
      </c>
      <c r="N218" s="349">
        <f>IF($F218="","",'תחום תמיכה א'!AE218)</f>
        <v>3836.5187471739728</v>
      </c>
      <c r="O218" s="178"/>
      <c r="P218" s="349">
        <f>IF($F218="","",'תחום תמיכה ב'!AC218)</f>
        <v>3294.1163100778808</v>
      </c>
      <c r="Q218" s="349">
        <f>IF($F218="","",IF('תחום תמיכה ג'!O218="",0,'תחום תמיכה ג'!O218))</f>
        <v>569.44855120136162</v>
      </c>
      <c r="R218" s="349">
        <f t="shared" si="8"/>
        <v>98.774249665650586</v>
      </c>
      <c r="S218" s="349">
        <f>IF($F218="","",'תחום תמיכה ב'!AE218)</f>
        <v>3392.8905597435314</v>
      </c>
      <c r="T218" s="349">
        <f>IF($F218="","",IF(Q218='תחום תמיכה ג'!$Q$2,'תחום תמיכה ג'!$Q$2,IFERROR(SUMIF(N218:R218,"&gt;0"),'תחום תמיכה ג'!$Q$2)))</f>
        <v>7798.8578581188649</v>
      </c>
      <c r="U218" s="349">
        <f>IF($F218="","",'הזנה לתנאי סף'!Y218)</f>
        <v>450000</v>
      </c>
      <c r="V218" s="350">
        <f>IF(F218="","",'הגבלה לסכום מבוקש '!AA218)</f>
        <v>8365.0330727402579</v>
      </c>
      <c r="W218" s="349">
        <f t="shared" si="9"/>
        <v>2091.2582681850645</v>
      </c>
      <c r="X218" s="349">
        <f>IF(F218="","",'הזנה לתנאי סף'!Z218)</f>
        <v>80000</v>
      </c>
      <c r="Y218" s="351" t="s">
        <v>3740</v>
      </c>
      <c r="Z218" s="352" t="str">
        <f>IFERROR(VLOOKUP(G218*1,#REF!,3,0),"")</f>
        <v/>
      </c>
      <c r="AA218" s="349" t="str">
        <f>IF(OR($F218="",Z218=""),"",IFERROR(IF(Z218&gt;V218,MIN(Z218,T218)-V218,0),'תחום תמיכה ג'!$Q$2))</f>
        <v/>
      </c>
      <c r="AB218" s="353"/>
      <c r="AC218" s="260" t="str">
        <f t="shared" si="11"/>
        <v/>
      </c>
      <c r="AD218" s="358"/>
      <c r="AE218" s="180"/>
      <c r="AF218" s="355" t="str">
        <f>IF($C218="","",IFERROR(VLOOKUP($C218,גיליון1!$A:$E,2,0),"לא הגיש בקשה שוטפת"))</f>
        <v>פרויקט הפקתי</v>
      </c>
      <c r="AG218" s="355" t="str">
        <f>IF($C218="","",IFERROR(VLOOKUP($C218,גיליון1!$A:$E,3,0),"לא הגיש בקשה שוטפת"))</f>
        <v>טיוט</v>
      </c>
      <c r="AH218" s="355" t="str">
        <f>IF($C218="","",IFERROR(VLOOKUP($C218,גיליון1!$A:$E,4,0),"לא הגיש בקשה שוטפת"))</f>
        <v>19-42-02-07</v>
      </c>
      <c r="AI218" s="355" t="str">
        <f>IF($C218="","",IFERROR(VLOOKUP($C218,גיליון1!$A:$E,5,0),"לא הגיש בקשה שוטפת"))</f>
        <v>תיאטרון</v>
      </c>
      <c r="AJ218" s="355">
        <f t="shared" si="10"/>
        <v>0</v>
      </c>
      <c r="AK218" s="15"/>
      <c r="AL218" s="15" t="s">
        <v>250</v>
      </c>
    </row>
    <row r="219" spans="1:38" ht="285.75" x14ac:dyDescent="0.25">
      <c r="A219" s="346">
        <f>'הזנה לתנאי סף'!B219</f>
        <v>189</v>
      </c>
      <c r="B219" s="347">
        <f>IF($F219="","",'הזנה לתנאי סף'!C219)</f>
        <v>1001346791</v>
      </c>
      <c r="C219" s="347">
        <f>IF($F219="","",'הזנה לתנאי סף'!D219)</f>
        <v>1001265735</v>
      </c>
      <c r="D219" s="347">
        <f>IF($F219="","",'הזנה לתנאי סף'!E219)</f>
        <v>40221576</v>
      </c>
      <c r="E219" s="348">
        <f>IF($F219="","",'הזנה לתנאי סף'!F219)</f>
        <v>20000231</v>
      </c>
      <c r="F219" s="348" t="str">
        <f>IF('הזנה לתנאי סף'!BL219=1,'הזנה לתנאי סף'!G219,"")</f>
        <v>נצרת</v>
      </c>
      <c r="G219" s="348" t="str">
        <f>IF($F219="","",'הזנה לתנאי סף'!H219)</f>
        <v>אורפיאוס</v>
      </c>
      <c r="H219" s="348" t="str">
        <f>IF($F219="","",'הזנה לתנאי סף'!I219)</f>
        <v>מוסיקה-גופים כליים</v>
      </c>
      <c r="I219" s="349">
        <f>IF($F219="","",'הזנה לתנאי סף'!R219)</f>
        <v>459458</v>
      </c>
      <c r="J219" s="349">
        <f>IF($F219="","",'תחום תמיכה א'!P219)</f>
        <v>393434</v>
      </c>
      <c r="K219" s="177">
        <f>IF($F219="","",'הזנה לתנאי סף'!N219)</f>
        <v>0</v>
      </c>
      <c r="L219" s="177">
        <f>IF($F219="","",'הזנה לתנאי סף'!O219)</f>
        <v>1</v>
      </c>
      <c r="M219" s="177">
        <f>IF($F219="","",'הזנה לתנאי סף'!Q219)</f>
        <v>1</v>
      </c>
      <c r="N219" s="349">
        <f>IF($F219="","",'תחום תמיכה א'!AE219)</f>
        <v>6089.3186878430924</v>
      </c>
      <c r="O219" s="178"/>
      <c r="P219" s="349">
        <f>IF($F219="","",'תחום תמיכה ב'!AC219)</f>
        <v>6277.6469387867819</v>
      </c>
      <c r="Q219" s="349">
        <f>IF($F219="","",IF('תחום תמיכה ג'!O219="",0,'תחום תמיכה ג'!O219))</f>
        <v>0</v>
      </c>
      <c r="R219" s="349">
        <f t="shared" si="8"/>
        <v>188.23557144825736</v>
      </c>
      <c r="S219" s="349">
        <f>IF($F219="","",'תחום תמיכה ב'!AE219)</f>
        <v>6465.8825102350393</v>
      </c>
      <c r="T219" s="349">
        <f>IF($F219="","",IF(Q219='תחום תמיכה ג'!$Q$2,'תחום תמיכה ג'!$Q$2,IFERROR(SUMIF(N219:R219,"&gt;0"),'תחום תמיכה ג'!$Q$2)))</f>
        <v>12555.201198078132</v>
      </c>
      <c r="U219" s="349">
        <f>IF($F219="","",'הזנה לתנאי סף'!Y219)</f>
        <v>100000</v>
      </c>
      <c r="V219" s="350">
        <f>IF(F219="","",'הגבלה לסכום מבוקש '!AA219)</f>
        <v>13633.119281274894</v>
      </c>
      <c r="W219" s="349">
        <f t="shared" si="9"/>
        <v>3408.2798203187235</v>
      </c>
      <c r="X219" s="349">
        <f>IF(F219="","",'הזנה לתנאי סף'!Z219)</f>
        <v>100000</v>
      </c>
      <c r="Y219" s="351" t="s">
        <v>3740</v>
      </c>
      <c r="Z219" s="352" t="str">
        <f>IFERROR(VLOOKUP(G219*1,#REF!,3,0),"")</f>
        <v/>
      </c>
      <c r="AA219" s="349" t="str">
        <f>IF(OR($F219="",Z219=""),"",IFERROR(IF(Z219&gt;V219,MIN(Z219,T219)-V219,0),'תחום תמיכה ג'!$Q$2))</f>
        <v/>
      </c>
      <c r="AB219" s="353"/>
      <c r="AC219" s="260" t="str">
        <f t="shared" si="11"/>
        <v/>
      </c>
      <c r="AD219" s="358"/>
      <c r="AE219" s="180"/>
      <c r="AF219" s="355" t="str">
        <f>IF($C219="","",IFERROR(VLOOKUP($C219,גיליון1!$A:$E,2,0),"לא הגיש בקשה שוטפת"))</f>
        <v>תמיכה בפעילות השוטפת של העמותה</v>
      </c>
      <c r="AG219" s="355" t="str">
        <f>IF($C219="","",IFERROR(VLOOKUP($C219,גיליון1!$A:$E,3,0),"לא הגיש בקשה שוטפת"))</f>
        <v>מועד</v>
      </c>
      <c r="AH219" s="355" t="str">
        <f>IF($C219="","",IFERROR(VLOOKUP($C219,גיליון1!$A:$E,4,0),"לא הגיש בקשה שוטפת"))</f>
        <v>19-42-02-33</v>
      </c>
      <c r="AI219" s="355" t="str">
        <f>IF($C219="","",IFERROR(VLOOKUP($C219,גיליון1!$A:$E,5,0),"לא הגיש בקשה שוטפת"))</f>
        <v>תרבות ערבית ודרוזית</v>
      </c>
      <c r="AJ219" s="355">
        <f t="shared" si="10"/>
        <v>0</v>
      </c>
      <c r="AK219" s="15"/>
      <c r="AL219" s="15" t="s">
        <v>250</v>
      </c>
    </row>
    <row r="220" spans="1:38" ht="285.75" x14ac:dyDescent="0.25">
      <c r="A220" s="346">
        <f>'הזנה לתנאי סף'!B220</f>
        <v>190</v>
      </c>
      <c r="B220" s="347">
        <f>IF($F220="","",'הזנה לתנאי סף'!C220)</f>
        <v>1001349328</v>
      </c>
      <c r="C220" s="347">
        <f>IF($F220="","",'הזנה לתנאי סף'!D220)</f>
        <v>1001275158</v>
      </c>
      <c r="D220" s="347">
        <f>IF($F220="","",'הזנה לתנאי סף'!E220)</f>
        <v>40268014</v>
      </c>
      <c r="E220" s="348">
        <f>IF($F220="","",'הזנה לתנאי סף'!F220)</f>
        <v>20000194</v>
      </c>
      <c r="F220" s="348" t="str">
        <f>IF('הזנה לתנאי סף'!BL220=1,'הזנה לתנאי סף'!G220,"")</f>
        <v>גן רווה</v>
      </c>
      <c r="G220" s="348" t="str">
        <f>IF($F220="","",'הזנה לתנאי סף'!H220)</f>
        <v>מוזיאון בית מרים</v>
      </c>
      <c r="H220" s="348" t="str">
        <f>IF($F220="","",'הזנה לתנאי סף'!I220)</f>
        <v>מוזיאונים</v>
      </c>
      <c r="I220" s="349">
        <f>IF($F220="","",'הזנה לתנאי סף'!R220)</f>
        <v>271192</v>
      </c>
      <c r="J220" s="349">
        <f>IF($F220="","",'תחום תמיכה א'!P220)</f>
        <v>199123</v>
      </c>
      <c r="K220" s="177">
        <f>IF($F220="","",'הזנה לתנאי סף'!N220)</f>
        <v>0</v>
      </c>
      <c r="L220" s="177">
        <f>IF($F220="","",'הזנה לתנאי סף'!O220)</f>
        <v>1</v>
      </c>
      <c r="M220" s="177">
        <f>IF($F220="","",'הזנה לתנאי סף'!Q220)</f>
        <v>1</v>
      </c>
      <c r="N220" s="349">
        <f>IF($F220="","",'תחום תמיכה א'!AE220)</f>
        <v>7442.9311189593982</v>
      </c>
      <c r="O220" s="178"/>
      <c r="P220" s="349">
        <f>IF($F220="","",'תחום תמיכה ב'!AC220)</f>
        <v>21611.228656689145</v>
      </c>
      <c r="Q220" s="349">
        <f>IF($F220="","",IF('תחום תמיכה ג'!O220="",0,'תחום תמיכה ג'!O220))</f>
        <v>0</v>
      </c>
      <c r="R220" s="349">
        <f t="shared" si="8"/>
        <v>648.01382039446253</v>
      </c>
      <c r="S220" s="349">
        <f>IF($F220="","",'תחום תמיכה ב'!AE220)</f>
        <v>22259.242477083608</v>
      </c>
      <c r="T220" s="349">
        <f>IF($F220="","",IF(Q220='תחום תמיכה ג'!$Q$2,'תחום תמיכה ג'!$Q$2,IFERROR(SUMIF(N220:R220,"&gt;0"),'תחום תמיכה ג'!$Q$2)))</f>
        <v>29702.173596043005</v>
      </c>
      <c r="U220" s="349">
        <f>IF($F220="","",'הזנה לתנאי סף'!Y220)</f>
        <v>100000</v>
      </c>
      <c r="V220" s="350">
        <f>IF(F220="","",'הגבלה לסכום מבוקש '!AA220)</f>
        <v>33406.824274921877</v>
      </c>
      <c r="W220" s="349">
        <f t="shared" si="9"/>
        <v>8351.7060687304693</v>
      </c>
      <c r="X220" s="349">
        <f>IF(F220="","",'הזנה לתנאי סף'!Z220)</f>
        <v>30000</v>
      </c>
      <c r="Y220" s="351" t="s">
        <v>3740</v>
      </c>
      <c r="Z220" s="352" t="str">
        <f>IFERROR(VLOOKUP(G220*1,#REF!,3,0),"")</f>
        <v/>
      </c>
      <c r="AA220" s="349" t="str">
        <f>IF(OR($F220="",Z220=""),"",IFERROR(IF(Z220&gt;V220,MIN(Z220,T220)-V220,0),'תחום תמיכה ג'!$Q$2))</f>
        <v/>
      </c>
      <c r="AB220" s="353"/>
      <c r="AC220" s="260" t="str">
        <f t="shared" si="11"/>
        <v/>
      </c>
      <c r="AD220" s="358"/>
      <c r="AE220" s="180"/>
      <c r="AF220" s="355" t="str">
        <f>IF($C220="","",IFERROR(VLOOKUP($C220,גיליון1!$A:$E,2,0),"לא הגיש בקשה שוטפת"))</f>
        <v>בקשת תמיכה שוטפת למוזיאון בית מרים</v>
      </c>
      <c r="AG220" s="355" t="str">
        <f>IF($C220="","",IFERROR(VLOOKUP($C220,גיליון1!$A:$E,3,0),"לא הגיש בקשה שוטפת"))</f>
        <v>חויב</v>
      </c>
      <c r="AH220" s="355" t="str">
        <f>IF($C220="","",IFERROR(VLOOKUP($C220,גיליון1!$A:$E,4,0),"לא הגיש בקשה שוטפת"))</f>
        <v>19-42-02-18</v>
      </c>
      <c r="AI220" s="355" t="str">
        <f>IF($C220="","",IFERROR(VLOOKUP($C220,גיליון1!$A:$E,5,0),"לא הגיש בקשה שוטפת"))</f>
        <v>מוזיאונים ואמנות פלס</v>
      </c>
      <c r="AJ220" s="355">
        <f t="shared" si="10"/>
        <v>0</v>
      </c>
      <c r="AK220" s="15"/>
      <c r="AL220" s="15" t="s">
        <v>250</v>
      </c>
    </row>
    <row r="221" spans="1:38" ht="285.75" x14ac:dyDescent="0.25">
      <c r="A221" s="346">
        <f>'הזנה לתנאי סף'!B221</f>
        <v>191</v>
      </c>
      <c r="B221" s="347">
        <f>IF($F221="","",'הזנה לתנאי סף'!C221)</f>
        <v>1001350855</v>
      </c>
      <c r="C221" s="347">
        <f>IF($F221="","",'הזנה לתנאי סף'!D221)</f>
        <v>1001268627</v>
      </c>
      <c r="D221" s="347">
        <f>IF($F221="","",'הזנה לתנאי סף'!E221)</f>
        <v>40000006</v>
      </c>
      <c r="E221" s="348">
        <f>IF($F221="","",'הזנה לתנאי סף'!F221)</f>
        <v>20000137</v>
      </c>
      <c r="F221" s="348" t="str">
        <f>IF('הזנה לתנאי סף'!BL221=1,'הזנה לתנאי סף'!G221,"")</f>
        <v>מגידו</v>
      </c>
      <c r="G221" s="348" t="str">
        <f>IF($F221="","",'הזנה לתנאי סף'!H221)</f>
        <v>וילפריד ישראל לאמנות וידיעת המזרח בע"מ</v>
      </c>
      <c r="H221" s="348" t="str">
        <f>IF($F221="","",'הזנה לתנאי סף'!I221)</f>
        <v>מוזיאונים</v>
      </c>
      <c r="I221" s="349">
        <f>IF($F221="","",'הזנה לתנאי סף'!R221)</f>
        <v>907132</v>
      </c>
      <c r="J221" s="349">
        <f>IF($F221="","",'תחום תמיכה א'!P221)</f>
        <v>1086293</v>
      </c>
      <c r="K221" s="177">
        <f>IF($F221="","",'הזנה לתנאי סף'!N221)</f>
        <v>0</v>
      </c>
      <c r="L221" s="177">
        <f>IF($F221="","",'הזנה לתנאי סף'!O221)</f>
        <v>1</v>
      </c>
      <c r="M221" s="177">
        <f>IF($F221="","",'הזנה לתנאי סף'!Q221)</f>
        <v>1</v>
      </c>
      <c r="N221" s="349">
        <f>IF($F221="","",'תחום תמיכה א'!AE221)</f>
        <v>38396.149103309399</v>
      </c>
      <c r="O221" s="178"/>
      <c r="P221" s="349">
        <f>IF($F221="","",'תחום תמיכה ב'!AC221)</f>
        <v>64641.184025750357</v>
      </c>
      <c r="Q221" s="349">
        <f>IF($F221="","",IF('תחום תמיכה ג'!O221="",0,'תחום תמיכה ג'!O221))</f>
        <v>0</v>
      </c>
      <c r="R221" s="349">
        <f t="shared" si="8"/>
        <v>1938.2692803253813</v>
      </c>
      <c r="S221" s="349">
        <f>IF($F221="","",'תחום תמיכה ב'!AE221)</f>
        <v>66579.453306075739</v>
      </c>
      <c r="T221" s="349">
        <f>IF($F221="","",IF(Q221='תחום תמיכה ג'!$Q$2,'תחום תמיכה ג'!$Q$2,IFERROR(SUMIF(N221:R221,"&gt;0"),'תחום תמיכה ג'!$Q$2)))</f>
        <v>104975.60240938514</v>
      </c>
      <c r="U221" s="349">
        <f>IF($F221="","",'הזנה לתנאי סף'!Y221)</f>
        <v>150000</v>
      </c>
      <c r="V221" s="350">
        <f>IF(F221="","",'הגבלה לסכום מבוקש '!AA221)</f>
        <v>116063.90136154433</v>
      </c>
      <c r="W221" s="349">
        <f t="shared" si="9"/>
        <v>29015.975340386081</v>
      </c>
      <c r="X221" s="349">
        <f>IF(F221="","",'הזנה לתנאי סף'!Z221)</f>
        <v>50000</v>
      </c>
      <c r="Y221" s="351" t="s">
        <v>3740</v>
      </c>
      <c r="Z221" s="352" t="str">
        <f>IFERROR(VLOOKUP(G221*1,#REF!,3,0),"")</f>
        <v/>
      </c>
      <c r="AA221" s="349" t="str">
        <f>IF(OR($F221="",Z221=""),"",IFERROR(IF(Z221&gt;V221,MIN(Z221,T221)-V221,0),'תחום תמיכה ג'!$Q$2))</f>
        <v/>
      </c>
      <c r="AB221" s="353"/>
      <c r="AC221" s="260" t="str">
        <f t="shared" si="11"/>
        <v/>
      </c>
      <c r="AD221" s="358"/>
      <c r="AE221" s="180"/>
      <c r="AF221" s="355" t="str">
        <f>IF($C221="","",IFERROR(VLOOKUP($C221,גיליון1!$A:$E,2,0),"לא הגיש בקשה שוטפת"))</f>
        <v>תמיכה שוטפת בפעילות המוזיאון</v>
      </c>
      <c r="AG221" s="355" t="str">
        <f>IF($C221="","",IFERROR(VLOOKUP($C221,גיליון1!$A:$E,3,0),"לא הגיש בקשה שוטפת"))</f>
        <v>חויב</v>
      </c>
      <c r="AH221" s="355" t="str">
        <f>IF($C221="","",IFERROR(VLOOKUP($C221,גיליון1!$A:$E,4,0),"לא הגיש בקשה שוטפת"))</f>
        <v>19-42-02-18</v>
      </c>
      <c r="AI221" s="355" t="str">
        <f>IF($C221="","",IFERROR(VLOOKUP($C221,גיליון1!$A:$E,5,0),"לא הגיש בקשה שוטפת"))</f>
        <v>מוזיאונים ואמנות פלס</v>
      </c>
      <c r="AJ221" s="355">
        <f t="shared" si="10"/>
        <v>0</v>
      </c>
      <c r="AK221" s="15"/>
      <c r="AL221" s="15" t="s">
        <v>250</v>
      </c>
    </row>
    <row r="222" spans="1:38" ht="285.75" x14ac:dyDescent="0.25">
      <c r="A222" s="346">
        <f>'הזנה לתנאי סף'!B222</f>
        <v>192</v>
      </c>
      <c r="B222" s="347">
        <f>IF($F222="","",'הזנה לתנאי סף'!C222)</f>
        <v>1001350662</v>
      </c>
      <c r="C222" s="347">
        <f>IF($F222="","",'הזנה לתנאי סף'!D222)</f>
        <v>1001279212</v>
      </c>
      <c r="D222" s="347">
        <f>IF($F222="","",'הזנה לתנאי סף'!E222)</f>
        <v>40000437</v>
      </c>
      <c r="E222" s="348">
        <f>IF($F222="","",'הזנה לתנאי סף'!F222)</f>
        <v>20000201</v>
      </c>
      <c r="F222" s="348" t="str">
        <f>IF('הזנה לתנאי סף'!BL222=1,'הזנה לתנאי סף'!G222,"")</f>
        <v>תל אביב -יפו</v>
      </c>
      <c r="G222" s="348" t="str">
        <f>IF($F222="","",'הזנה לתנאי סף'!H222)</f>
        <v>עמותת אמנים יוצרים בישראל</v>
      </c>
      <c r="H222" s="348" t="str">
        <f>IF($F222="","",'הזנה לתנאי סף'!I222)</f>
        <v>חללי תצוגה</v>
      </c>
      <c r="I222" s="349">
        <f>IF($F222="","",'הזנה לתנאי סף'!R222)</f>
        <v>996893</v>
      </c>
      <c r="J222" s="349">
        <f>IF($F222="","",'תחום תמיכה א'!P222)</f>
        <v>706197</v>
      </c>
      <c r="K222" s="177">
        <f>IF($F222="","",'הזנה לתנאי סף'!N222)</f>
        <v>1</v>
      </c>
      <c r="L222" s="177">
        <f>IF($F222="","",'הזנה לתנאי סף'!O222)</f>
        <v>1</v>
      </c>
      <c r="M222" s="177">
        <f>IF($F222="","",'הזנה לתנאי סף'!Q222)</f>
        <v>1</v>
      </c>
      <c r="N222" s="349">
        <f>IF($F222="","",'תחום תמיכה א'!AE222)</f>
        <v>22587.684679195194</v>
      </c>
      <c r="O222" s="178"/>
      <c r="P222" s="349">
        <f>IF($F222="","",'תחום תמיכה ב'!AC222)</f>
        <v>58169.814793121695</v>
      </c>
      <c r="Q222" s="349">
        <f>IF($F222="","",IF('תחום תמיכה ג'!O222="",0,'תחום תמיכה ג'!O222))</f>
        <v>24393.091227688728</v>
      </c>
      <c r="R222" s="349">
        <f t="shared" si="8"/>
        <v>1744.2249357748442</v>
      </c>
      <c r="S222" s="349">
        <f>IF($F222="","",'תחום תמיכה ב'!AE222)</f>
        <v>59914.03972889654</v>
      </c>
      <c r="T222" s="349">
        <f>IF($F222="","",IF(Q222='תחום תמיכה ג'!$Q$2,'תחום תמיכה ג'!$Q$2,IFERROR(SUMIF(N222:R222,"&gt;0"),'תחום תמיכה ג'!$Q$2)))</f>
        <v>106894.81563578045</v>
      </c>
      <c r="U222" s="349">
        <f>IF($F222="","",'הזנה לתנאי סף'!Y222)</f>
        <v>65000</v>
      </c>
      <c r="V222" s="350">
        <f>IF(F222="","",'הגבלה לסכום מבוקש '!AA222)</f>
        <v>65000</v>
      </c>
      <c r="W222" s="349">
        <f t="shared" si="9"/>
        <v>16250</v>
      </c>
      <c r="X222" s="349">
        <f>IF(F222="","",'הזנה לתנאי סף'!Z222)</f>
        <v>50000</v>
      </c>
      <c r="Y222" s="351" t="s">
        <v>3740</v>
      </c>
      <c r="Z222" s="352" t="str">
        <f>IFERROR(VLOOKUP(G222*1,#REF!,3,0),"")</f>
        <v/>
      </c>
      <c r="AA222" s="349" t="str">
        <f>IF(OR($F222="",Z222=""),"",IFERROR(IF(Z222&gt;V222,MIN(Z222,T222)-V222,0),'תחום תמיכה ג'!$Q$2))</f>
        <v/>
      </c>
      <c r="AB222" s="353"/>
      <c r="AC222" s="260" t="str">
        <f t="shared" si="11"/>
        <v/>
      </c>
      <c r="AD222" s="358"/>
      <c r="AE222" s="180"/>
      <c r="AF222" s="355" t="str">
        <f>IF($C222="","",IFERROR(VLOOKUP($C222,גיליון1!$A:$E,2,0),"לא הגיש בקשה שוטפת"))</f>
        <v>אמנים יוצרים חלל תצוגה בר יוחאי 2020</v>
      </c>
      <c r="AG222" s="355" t="str">
        <f>IF($C222="","",IFERROR(VLOOKUP($C222,גיליון1!$A:$E,3,0),"לא הגיש בקשה שוטפת"))</f>
        <v>מועד</v>
      </c>
      <c r="AH222" s="355" t="str">
        <f>IF($C222="","",IFERROR(VLOOKUP($C222,גיליון1!$A:$E,4,0),"לא הגיש בקשה שוטפת"))</f>
        <v>19-42-02-18</v>
      </c>
      <c r="AI222" s="355" t="str">
        <f>IF($C222="","",IFERROR(VLOOKUP($C222,גיליון1!$A:$E,5,0),"לא הגיש בקשה שוטפת"))</f>
        <v>מוזיאונים ואמנות פלס</v>
      </c>
      <c r="AJ222" s="355">
        <f t="shared" si="10"/>
        <v>1</v>
      </c>
      <c r="AK222" s="15"/>
      <c r="AL222" s="15" t="s">
        <v>250</v>
      </c>
    </row>
    <row r="223" spans="1:38" ht="285.75" x14ac:dyDescent="0.25">
      <c r="A223" s="346" t="str">
        <f>'הזנה לתנאי סף'!B223</f>
        <v/>
      </c>
      <c r="B223" s="347" t="str">
        <f>IF($F223="","",'הזנה לתנאי סף'!C223)</f>
        <v/>
      </c>
      <c r="C223" s="347" t="str">
        <f>IF($F223="","",'הזנה לתנאי סף'!D223)</f>
        <v/>
      </c>
      <c r="D223" s="347" t="str">
        <f>IF($F223="","",'הזנה לתנאי סף'!E223)</f>
        <v/>
      </c>
      <c r="E223" s="348" t="str">
        <f>IF($F223="","",'הזנה לתנאי סף'!F223)</f>
        <v/>
      </c>
      <c r="F223" s="348" t="str">
        <f>IF('הזנה לתנאי סף'!BL223=1,'הזנה לתנאי סף'!G223,"")</f>
        <v/>
      </c>
      <c r="G223" s="348" t="str">
        <f>IF($F223="","",'הזנה לתנאי סף'!H223)</f>
        <v/>
      </c>
      <c r="H223" s="348" t="str">
        <f>IF($F223="","",'הזנה לתנאי סף'!I223)</f>
        <v/>
      </c>
      <c r="I223" s="349" t="str">
        <f>IF($F223="","",'הזנה לתנאי סף'!R223)</f>
        <v/>
      </c>
      <c r="J223" s="349" t="str">
        <f>IF($F223="","",'תחום תמיכה א'!P223)</f>
        <v/>
      </c>
      <c r="K223" s="177" t="str">
        <f>IF($F223="","",'הזנה לתנאי סף'!N223)</f>
        <v/>
      </c>
      <c r="L223" s="177" t="str">
        <f>IF($F223="","",'הזנה לתנאי סף'!O223)</f>
        <v/>
      </c>
      <c r="M223" s="177" t="str">
        <f>IF($F223="","",'הזנה לתנאי סף'!Q223)</f>
        <v/>
      </c>
      <c r="N223" s="349" t="str">
        <f>IF($F223="","",'תחום תמיכה א'!AE223)</f>
        <v/>
      </c>
      <c r="O223" s="178"/>
      <c r="P223" s="349" t="str">
        <f>IF($F223="","",'תחום תמיכה ב'!AC223)</f>
        <v/>
      </c>
      <c r="Q223" s="349" t="str">
        <f>IF($F223="","",IF('תחום תמיכה ג'!O223="",0,'תחום תמיכה ג'!O223))</f>
        <v/>
      </c>
      <c r="R223" s="349" t="str">
        <f t="shared" si="8"/>
        <v/>
      </c>
      <c r="S223" s="349" t="str">
        <f>IF($F223="","",'תחום תמיכה ב'!AE223)</f>
        <v/>
      </c>
      <c r="T223" s="349" t="str">
        <f>IF($F223="","",IF(Q223='תחום תמיכה ג'!$Q$2,'תחום תמיכה ג'!$Q$2,IFERROR(SUMIF(N223:R223,"&gt;0"),'תחום תמיכה ג'!$Q$2)))</f>
        <v/>
      </c>
      <c r="U223" s="349" t="str">
        <f>IF($F223="","",'הזנה לתנאי סף'!Y223)</f>
        <v/>
      </c>
      <c r="V223" s="350" t="str">
        <f>IF(F223="","",'הגבלה לסכום מבוקש '!AA223)</f>
        <v/>
      </c>
      <c r="W223" s="349" t="str">
        <f t="shared" si="9"/>
        <v/>
      </c>
      <c r="X223" s="349" t="str">
        <f>IF(F223="","",'הזנה לתנאי סף'!Z223)</f>
        <v/>
      </c>
      <c r="Y223" s="351" t="s">
        <v>3740</v>
      </c>
      <c r="Z223" s="352" t="str">
        <f>IFERROR(VLOOKUP(G223*1,#REF!,3,0),"")</f>
        <v/>
      </c>
      <c r="AA223" s="349" t="str">
        <f>IF(OR($F223="",Z223=""),"",IFERROR(IF(Z223&gt;V223,MIN(Z223,T223)-V223,0),'תחום תמיכה ג'!$Q$2))</f>
        <v/>
      </c>
      <c r="AB223" s="353"/>
      <c r="AC223" s="260" t="str">
        <f t="shared" si="11"/>
        <v/>
      </c>
      <c r="AD223" s="358"/>
      <c r="AE223" s="180"/>
      <c r="AF223" s="355" t="str">
        <f>IF($C223="","",IFERROR(VLOOKUP($C223,גיליון1!$A:$E,2,0),"לא הגיש בקשה שוטפת"))</f>
        <v/>
      </c>
      <c r="AG223" s="355" t="str">
        <f>IF($C223="","",IFERROR(VLOOKUP($C223,גיליון1!$A:$E,3,0),"לא הגיש בקשה שוטפת"))</f>
        <v/>
      </c>
      <c r="AH223" s="355" t="str">
        <f>IF($C223="","",IFERROR(VLOOKUP($C223,גיליון1!$A:$E,4,0),"לא הגיש בקשה שוטפת"))</f>
        <v/>
      </c>
      <c r="AI223" s="355" t="str">
        <f>IF($C223="","",IFERROR(VLOOKUP($C223,גיליון1!$A:$E,5,0),"לא הגיש בקשה שוטפת"))</f>
        <v/>
      </c>
      <c r="AJ223" s="355">
        <f t="shared" si="10"/>
        <v>0</v>
      </c>
      <c r="AK223" s="15"/>
      <c r="AL223" s="15" t="s">
        <v>250</v>
      </c>
    </row>
    <row r="224" spans="1:38" ht="285.75" x14ac:dyDescent="0.25">
      <c r="A224" s="346">
        <f>'הזנה לתנאי סף'!B224</f>
        <v>194</v>
      </c>
      <c r="B224" s="347">
        <f>IF($F224="","",'הזנה לתנאי סף'!C224)</f>
        <v>1001349549</v>
      </c>
      <c r="C224" s="347">
        <f>IF($F224="","",'הזנה לתנאי סף'!D224)</f>
        <v>1001265903</v>
      </c>
      <c r="D224" s="347">
        <f>IF($F224="","",'הזנה לתנאי סף'!E224)</f>
        <v>41534722</v>
      </c>
      <c r="E224" s="348">
        <f>IF($F224="","",'הזנה לתנאי סף'!F224)</f>
        <v>20000228</v>
      </c>
      <c r="F224" s="348" t="str">
        <f>IF('הזנה לתנאי סף'!BL224=1,'הזנה לתנאי סף'!G224,"")</f>
        <v>לוד</v>
      </c>
      <c r="G224" s="348" t="str">
        <f>IF($F224="","",'הזנה לתנאי סף'!H224)</f>
        <v>המרכז לתאטרון לוד</v>
      </c>
      <c r="H224" s="348" t="str">
        <f>IF($F224="","",'הזנה לתנאי סף'!I224)</f>
        <v>מרכזי פרינג'</v>
      </c>
      <c r="I224" s="349">
        <f>IF($F224="","",'הזנה לתנאי סף'!R224)</f>
        <v>20685</v>
      </c>
      <c r="J224" s="349">
        <f>IF($F224="","",'תחום תמיכה א'!P224)</f>
        <v>29213</v>
      </c>
      <c r="K224" s="177">
        <f>IF($F224="","",'הזנה לתנאי סף'!N224)</f>
        <v>0</v>
      </c>
      <c r="L224" s="177">
        <f>IF($F224="","",'הזנה לתנאי סף'!O224)</f>
        <v>1</v>
      </c>
      <c r="M224" s="177">
        <f>IF($F224="","",'הזנה לתנאי סף'!Q224)</f>
        <v>1</v>
      </c>
      <c r="N224" s="349">
        <f>IF($F224="","",'תחום תמיכה א'!AE224)</f>
        <v>1596.914098302912</v>
      </c>
      <c r="O224" s="178"/>
      <c r="P224" s="349">
        <f>IF($F224="","",'תחום תמיכה ב'!AC224)</f>
        <v>3525.5246560155106</v>
      </c>
      <c r="Q224" s="349">
        <f>IF($F224="","",IF('תחום תמיכה ג'!O224="",0,'תחום תמיכה ג'!O224))</f>
        <v>0</v>
      </c>
      <c r="R224" s="349">
        <f t="shared" ref="R224:R287" si="12">IF($F224="","",IFERROR(S224-P224,""))</f>
        <v>105.71304100900124</v>
      </c>
      <c r="S224" s="349">
        <f>IF($F224="","",'תחום תמיכה ב'!AE224)</f>
        <v>3631.2376970245118</v>
      </c>
      <c r="T224" s="349">
        <f>IF($F224="","",IF(Q224='תחום תמיכה ג'!$Q$2,'תחום תמיכה ג'!$Q$2,IFERROR(SUMIF(N224:R224,"&gt;0"),'תחום תמיכה ג'!$Q$2)))</f>
        <v>5228.1517953274233</v>
      </c>
      <c r="U224" s="349">
        <f>IF($F224="","",'הזנה לתנאי סף'!Y224)</f>
        <v>50000</v>
      </c>
      <c r="V224" s="350">
        <f>IF(F224="","",'הגבלה לסכום מבוקש '!AA224)</f>
        <v>5832.6802809655537</v>
      </c>
      <c r="W224" s="349">
        <f t="shared" ref="W224:W287" si="13">IF(G224="","",V224/4)</f>
        <v>1458.1700702413884</v>
      </c>
      <c r="X224" s="349">
        <f>IF(F224="","",'הזנה לתנאי סף'!Z224)</f>
        <v>25000</v>
      </c>
      <c r="Y224" s="351" t="s">
        <v>3740</v>
      </c>
      <c r="Z224" s="352" t="str">
        <f>IFERROR(VLOOKUP(G224*1,#REF!,3,0),"")</f>
        <v/>
      </c>
      <c r="AA224" s="349" t="str">
        <f>IF(OR($F224="",Z224=""),"",IFERROR(IF(Z224&gt;V224,MIN(Z224,T224)-V224,0),'תחום תמיכה ג'!$Q$2))</f>
        <v/>
      </c>
      <c r="AB224" s="353"/>
      <c r="AC224" s="260" t="str">
        <f t="shared" si="11"/>
        <v/>
      </c>
      <c r="AD224" s="358"/>
      <c r="AE224" s="180"/>
      <c r="AF224" s="355" t="str">
        <f>IF($C224="","",IFERROR(VLOOKUP($C224,גיליון1!$A:$E,2,0),"לא הגיש בקשה שוטפת"))</f>
        <v>קבוצת תיאטרון פרינג' בפריפריה</v>
      </c>
      <c r="AG224" s="355" t="str">
        <f>IF($C224="","",IFERROR(VLOOKUP($C224,גיליון1!$A:$E,3,0),"לא הגיש בקשה שוטפת"))</f>
        <v>טיוט</v>
      </c>
      <c r="AH224" s="355" t="str">
        <f>IF($C224="","",IFERROR(VLOOKUP($C224,גיליון1!$A:$E,4,0),"לא הגיש בקשה שוטפת"))</f>
        <v>19-42-02-07</v>
      </c>
      <c r="AI224" s="355" t="str">
        <f>IF($C224="","",IFERROR(VLOOKUP($C224,גיליון1!$A:$E,5,0),"לא הגיש בקשה שוטפת"))</f>
        <v>תיאטרון</v>
      </c>
      <c r="AJ224" s="355">
        <f t="shared" ref="AJ224:AJ287" si="14">IF(T224&gt;U224,1,0)</f>
        <v>0</v>
      </c>
      <c r="AK224" s="15"/>
      <c r="AL224" s="15" t="s">
        <v>250</v>
      </c>
    </row>
    <row r="225" spans="1:38" ht="285.75" x14ac:dyDescent="0.25">
      <c r="A225" s="346">
        <f>'הזנה לתנאי סף'!B225</f>
        <v>195</v>
      </c>
      <c r="B225" s="347">
        <f>IF($F225="","",'הזנה לתנאי סף'!C225)</f>
        <v>1001350350</v>
      </c>
      <c r="C225" s="347">
        <f>IF($F225="","",'הזנה לתנאי סף'!D225)</f>
        <v>1001270597</v>
      </c>
      <c r="D225" s="347">
        <f>IF($F225="","",'הזנה לתנאי סף'!E225)</f>
        <v>41103047</v>
      </c>
      <c r="E225" s="348">
        <f>IF($F225="","",'הזנה לתנאי סף'!F225)</f>
        <v>20000201</v>
      </c>
      <c r="F225" s="348" t="str">
        <f>IF('הזנה לתנאי סף'!BL225=1,'הזנה לתנאי סף'!G225,"")</f>
        <v>תל אביב -יפו</v>
      </c>
      <c r="G225" s="348" t="str">
        <f>IF($F225="","",'הזנה לתנאי סף'!H225)</f>
        <v>א.מ.א. - אומנות מקורית אלטרנטיבית</v>
      </c>
      <c r="H225" s="348" t="str">
        <f>IF($F225="","",'הזנה לתנאי סף'!I225)</f>
        <v>מרכזי מוסיקה</v>
      </c>
      <c r="I225" s="349">
        <f>IF($F225="","",'הזנה לתנאי סף'!R225)</f>
        <v>1737267</v>
      </c>
      <c r="J225" s="349">
        <f>IF($F225="","",'תחום תמיכה א'!P225)</f>
        <v>1639061</v>
      </c>
      <c r="K225" s="177">
        <f>IF($F225="","",'הזנה לתנאי סף'!N225)</f>
        <v>1</v>
      </c>
      <c r="L225" s="177">
        <f>IF($F225="","",'הזנה לתנאי סף'!O225)</f>
        <v>1</v>
      </c>
      <c r="M225" s="177">
        <f>IF($F225="","",'הזנה לתנאי סף'!Q225)</f>
        <v>1</v>
      </c>
      <c r="N225" s="349">
        <f>IF($F225="","",'תחום תמיכה א'!AE225)</f>
        <v>75951.255838549259</v>
      </c>
      <c r="O225" s="178"/>
      <c r="P225" s="349">
        <f>IF($F225="","",'תחום תמיכה ב'!AC225)</f>
        <v>212766.71748132154</v>
      </c>
      <c r="Q225" s="349">
        <f>IF($F225="","",IF('תחום תמיכה ג'!O225="",0,'תחום תמיכה ג'!O225))</f>
        <v>89222.184533264968</v>
      </c>
      <c r="R225" s="349">
        <f t="shared" si="12"/>
        <v>6379.821140117594</v>
      </c>
      <c r="S225" s="349">
        <f>IF($F225="","",'תחום תמיכה ב'!AE225)</f>
        <v>219146.53862143913</v>
      </c>
      <c r="T225" s="349">
        <f>IF($F225="","",IF(Q225='תחום תמיכה ג'!$Q$2,'תחום תמיכה ג'!$Q$2,IFERROR(SUMIF(N225:R225,"&gt;0"),'תחום תמיכה ג'!$Q$2)))</f>
        <v>384319.97899325332</v>
      </c>
      <c r="U225" s="349">
        <f>IF($F225="","",'הזנה לתנאי סף'!Y225)</f>
        <v>500000</v>
      </c>
      <c r="V225" s="350">
        <f>IF(F225="","",'הגבלה לסכום מבוקש '!AA225)</f>
        <v>420834.82282487472</v>
      </c>
      <c r="W225" s="349">
        <f t="shared" si="13"/>
        <v>105208.70570621868</v>
      </c>
      <c r="X225" s="349">
        <f>IF(F225="","",'הזנה לתנאי סף'!Z225)</f>
        <v>100000</v>
      </c>
      <c r="Y225" s="351" t="s">
        <v>3740</v>
      </c>
      <c r="Z225" s="352" t="str">
        <f>IFERROR(VLOOKUP(G225*1,#REF!,3,0),"")</f>
        <v/>
      </c>
      <c r="AA225" s="349" t="str">
        <f>IF(OR($F225="",Z225=""),"",IFERROR(IF(Z225&gt;V225,MIN(Z225,T225)-V225,0),'תחום תמיכה ג'!$Q$2))</f>
        <v/>
      </c>
      <c r="AB225" s="353"/>
      <c r="AC225" s="260" t="str">
        <f t="shared" ref="AC225:AC288" si="15">AA225</f>
        <v/>
      </c>
      <c r="AD225" s="358"/>
      <c r="AE225" s="180"/>
      <c r="AF225" s="355" t="str">
        <f>IF($C225="","",IFERROR(VLOOKUP($C225,גיליון1!$A:$E,2,0),"לא הגיש בקשה שוטפת"))</f>
        <v>,תמיכה שוטפת למרכז למוזיקה לבונטין 7</v>
      </c>
      <c r="AG225" s="355" t="str">
        <f>IF($C225="","",IFERROR(VLOOKUP($C225,גיליון1!$A:$E,3,0),"לא הגיש בקשה שוטפת"))</f>
        <v>מועד</v>
      </c>
      <c r="AH225" s="355" t="str">
        <f>IF($C225="","",IFERROR(VLOOKUP($C225,גיליון1!$A:$E,4,0),"לא הגיש בקשה שוטפת"))</f>
        <v>19-42-02-16</v>
      </c>
      <c r="AI225" s="355" t="str">
        <f>IF($C225="","",IFERROR(VLOOKUP($C225,גיליון1!$A:$E,5,0),"לא הגיש בקשה שוטפת"))</f>
        <v>מוסיקה</v>
      </c>
      <c r="AJ225" s="355">
        <f t="shared" si="14"/>
        <v>0</v>
      </c>
      <c r="AK225" s="15"/>
      <c r="AL225" s="15" t="s">
        <v>250</v>
      </c>
    </row>
    <row r="226" spans="1:38" ht="285.75" x14ac:dyDescent="0.25">
      <c r="A226" s="346">
        <f>'הזנה לתנאי סף'!B226</f>
        <v>196</v>
      </c>
      <c r="B226" s="347">
        <f>IF($F226="","",'הזנה לתנאי סף'!C226)</f>
        <v>1001347622</v>
      </c>
      <c r="C226" s="347">
        <f>IF($F226="","",'הזנה לתנאי סף'!D226)</f>
        <v>1001266749</v>
      </c>
      <c r="D226" s="347">
        <f>IF($F226="","",'הזנה לתנאי סף'!E226)</f>
        <v>40000166</v>
      </c>
      <c r="E226" s="348">
        <f>IF($F226="","",'הזנה לתנאי סף'!F226)</f>
        <v>20000231</v>
      </c>
      <c r="F226" s="348" t="str">
        <f>IF('הזנה לתנאי סף'!BL226=1,'הזנה לתנאי סף'!G226,"")</f>
        <v>נצרת</v>
      </c>
      <c r="G226" s="348" t="str">
        <f>IF($F226="","",'הזנה לתנאי סף'!H226)</f>
        <v>האגודה הנצרתית לאומנות</v>
      </c>
      <c r="H226" s="348" t="str">
        <f>IF($F226="","",'הזנה לתנאי סף'!I226)</f>
        <v>תרבות ערבית</v>
      </c>
      <c r="I226" s="349">
        <f>IF($F226="","",'הזנה לתנאי סף'!R226)</f>
        <v>1054252</v>
      </c>
      <c r="J226" s="349">
        <f>IF($F226="","",'תחום תמיכה א'!P226)</f>
        <v>1265790</v>
      </c>
      <c r="K226" s="177">
        <f>IF($F226="","",'הזנה לתנאי סף'!N226)</f>
        <v>0</v>
      </c>
      <c r="L226" s="177">
        <f>IF($F226="","",'הזנה לתנאי סף'!O226)</f>
        <v>1</v>
      </c>
      <c r="M226" s="177">
        <f>IF($F226="","",'הזנה לתנאי סף'!Q226)</f>
        <v>1</v>
      </c>
      <c r="N226" s="349">
        <f>IF($F226="","",'תחום תמיכה א'!AE226)</f>
        <v>37336.019962119834</v>
      </c>
      <c r="O226" s="178"/>
      <c r="P226" s="349">
        <f>IF($F226="","",'תחום תמיכה ב'!AC226)</f>
        <v>51856.175255238661</v>
      </c>
      <c r="Q226" s="349">
        <f>IF($F226="","",IF('תחום תמיכה ג'!O226="",0,'תחום תמיכה ג'!O226))</f>
        <v>0</v>
      </c>
      <c r="R226" s="349">
        <f t="shared" si="12"/>
        <v>1554.9101243621772</v>
      </c>
      <c r="S226" s="349">
        <f>IF($F226="","",'תחום תמיכה ב'!AE226)</f>
        <v>53411.085379600838</v>
      </c>
      <c r="T226" s="349">
        <f>IF($F226="","",IF(Q226='תחום תמיכה ג'!$Q$2,'תחום תמיכה ג'!$Q$2,IFERROR(SUMIF(N226:R226,"&gt;0"),'תחום תמיכה ג'!$Q$2)))</f>
        <v>90747.105341720686</v>
      </c>
      <c r="U226" s="349">
        <f>IF($F226="","",'הזנה לתנאי סף'!Y226)</f>
        <v>350000</v>
      </c>
      <c r="V226" s="350">
        <f>IF(F226="","",'הגבלה לסכום מבוקש '!AA226)</f>
        <v>99645.288401180049</v>
      </c>
      <c r="W226" s="349">
        <f t="shared" si="13"/>
        <v>24911.322100295012</v>
      </c>
      <c r="X226" s="349">
        <f>IF(F226="","",'הזנה לתנאי סף'!Z226)</f>
        <v>350000</v>
      </c>
      <c r="Y226" s="351" t="s">
        <v>3740</v>
      </c>
      <c r="Z226" s="352" t="str">
        <f>IFERROR(VLOOKUP(G226*1,#REF!,3,0),"")</f>
        <v/>
      </c>
      <c r="AA226" s="349" t="str">
        <f>IF(OR($F226="",Z226=""),"",IFERROR(IF(Z226&gt;V226,MIN(Z226,T226)-V226,0),'תחום תמיכה ג'!$Q$2))</f>
        <v/>
      </c>
      <c r="AB226" s="353"/>
      <c r="AC226" s="260" t="str">
        <f t="shared" si="15"/>
        <v/>
      </c>
      <c r="AD226" s="358"/>
      <c r="AE226" s="180"/>
      <c r="AF226" s="355" t="str">
        <f>IF($C226="","",IFERROR(VLOOKUP($C226,גיליון1!$A:$E,2,0),"לא הגיש בקשה שוטפת"))</f>
        <v>בקשת תמיכה תקנת תרבות ערבית</v>
      </c>
      <c r="AG226" s="355" t="str">
        <f>IF($C226="","",IFERROR(VLOOKUP($C226,גיליון1!$A:$E,3,0),"לא הגיש בקשה שוטפת"))</f>
        <v>מועד</v>
      </c>
      <c r="AH226" s="355" t="str">
        <f>IF($C226="","",IFERROR(VLOOKUP($C226,גיליון1!$A:$E,4,0),"לא הגיש בקשה שוטפת"))</f>
        <v>19-42-02-33</v>
      </c>
      <c r="AI226" s="355" t="str">
        <f>IF($C226="","",IFERROR(VLOOKUP($C226,גיליון1!$A:$E,5,0),"לא הגיש בקשה שוטפת"))</f>
        <v>תרבות ערבית ודרוזית</v>
      </c>
      <c r="AJ226" s="355">
        <f t="shared" si="14"/>
        <v>0</v>
      </c>
      <c r="AK226" s="15"/>
      <c r="AL226" s="15" t="s">
        <v>250</v>
      </c>
    </row>
    <row r="227" spans="1:38" ht="285.75" x14ac:dyDescent="0.25">
      <c r="A227" s="346">
        <f>'הזנה לתנאי סף'!B227</f>
        <v>197</v>
      </c>
      <c r="B227" s="347">
        <f>IF($F227="","",'הזנה לתנאי סף'!C227)</f>
        <v>1001347084</v>
      </c>
      <c r="C227" s="347">
        <f>IF($F227="","",'הזנה לתנאי סף'!D227)</f>
        <v>1001347084</v>
      </c>
      <c r="D227" s="347">
        <f>IF($F227="","",'הזנה לתנאי סף'!E227)</f>
        <v>40461777</v>
      </c>
      <c r="E227" s="348">
        <f>IF($F227="","",'הזנה לתנאי סף'!F227)</f>
        <v>20000256</v>
      </c>
      <c r="F227" s="348" t="str">
        <f>IF('הזנה לתנאי סף'!BL227=1,'הזנה לתנאי סף'!G227,"")</f>
        <v>בית שאן</v>
      </c>
      <c r="G227" s="348" t="str">
        <f>IF($F227="","",'הזנה לתנאי סף'!H227)</f>
        <v>העמותה לקידום התיאטרון בבית שאן</v>
      </c>
      <c r="H227" s="348" t="str">
        <f>IF($F227="","",'הזנה לתנאי סף'!I227)</f>
        <v>תיאטרון</v>
      </c>
      <c r="I227" s="349">
        <f>IF($F227="","",'הזנה לתנאי סף'!R227)</f>
        <v>87594</v>
      </c>
      <c r="J227" s="349">
        <f>IF($F227="","",'תחום תמיכה א'!P227)</f>
        <v>77903</v>
      </c>
      <c r="K227" s="177">
        <f>IF($F227="","",'הזנה לתנאי סף'!N227)</f>
        <v>0</v>
      </c>
      <c r="L227" s="177">
        <f>IF($F227="","",'הזנה לתנאי סף'!O227)</f>
        <v>1</v>
      </c>
      <c r="M227" s="177">
        <f>IF($F227="","",'הזנה לתנאי סף'!Q227)</f>
        <v>1</v>
      </c>
      <c r="N227" s="349">
        <f>IF($F227="","",'תחום תמיכה א'!AE227)</f>
        <v>1555.0042304809272</v>
      </c>
      <c r="O227" s="178"/>
      <c r="P227" s="349">
        <f>IF($F227="","",'תחום תמיכה ב'!AC227)</f>
        <v>1674.5784804120469</v>
      </c>
      <c r="Q227" s="349">
        <f>IF($F227="","",IF('תחום תמיכה ג'!O227="",0,'תחום תמיכה ג'!O227))</f>
        <v>0</v>
      </c>
      <c r="R227" s="349">
        <f t="shared" si="12"/>
        <v>50.212323226994613</v>
      </c>
      <c r="S227" s="349">
        <f>IF($F227="","",'תחום תמיכה ב'!AE227)</f>
        <v>1724.7908036390415</v>
      </c>
      <c r="T227" s="349">
        <f>IF($F227="","",IF(Q227='תחום תמיכה ג'!$Q$2,'תחום תמיכה ג'!$Q$2,IFERROR(SUMIF(N227:R227,"&gt;0"),'תחום תמיכה ג'!$Q$2)))</f>
        <v>3279.7950341199689</v>
      </c>
      <c r="U227" s="349">
        <f>IF($F227="","",'הזנה לתנאי סף'!Y227)</f>
        <v>75000</v>
      </c>
      <c r="V227" s="350">
        <f>IF(F227="","",'הגבלה לסכום מבוקש '!AA227)</f>
        <v>3567.3008864556136</v>
      </c>
      <c r="W227" s="349">
        <f t="shared" si="13"/>
        <v>891.82522161390341</v>
      </c>
      <c r="X227" s="349">
        <f>IF(F227="","",'הזנה לתנאי סף'!Z227)</f>
        <v>75000</v>
      </c>
      <c r="Y227" s="351" t="s">
        <v>3740</v>
      </c>
      <c r="Z227" s="352" t="str">
        <f>IFERROR(VLOOKUP(G227*1,#REF!,3,0),"")</f>
        <v/>
      </c>
      <c r="AA227" s="349" t="str">
        <f>IF(OR($F227="",Z227=""),"",IFERROR(IF(Z227&gt;V227,MIN(Z227,T227)-V227,0),'תחום תמיכה ג'!$Q$2))</f>
        <v/>
      </c>
      <c r="AB227" s="353"/>
      <c r="AC227" s="260" t="str">
        <f t="shared" si="15"/>
        <v/>
      </c>
      <c r="AD227" s="358"/>
      <c r="AE227" s="180"/>
      <c r="AF227" s="355" t="str">
        <f>IF($C227="","",IFERROR(VLOOKUP($C227,גיליון1!$A:$E,2,0),"לא הגיש בקשה שוטפת"))</f>
        <v>תיאטרון השרפרף</v>
      </c>
      <c r="AG227" s="355" t="str">
        <f>IF($C227="","",IFERROR(VLOOKUP($C227,גיליון1!$A:$E,3,0),"לא הגיש בקשה שוטפת"))</f>
        <v>טיוט</v>
      </c>
      <c r="AH227" s="355" t="str">
        <f>IF($C227="","",IFERROR(VLOOKUP($C227,גיליון1!$A:$E,4,0),"לא הגיש בקשה שוטפת"))</f>
        <v>19-42-02-74</v>
      </c>
      <c r="AI227" s="355" t="str">
        <f>IF($C227="","",IFERROR(VLOOKUP($C227,גיליון1!$A:$E,5,0),"לא הגיש בקשה שוטפת"))</f>
        <v>סיוע למוסדות בגין</v>
      </c>
      <c r="AJ227" s="355">
        <f t="shared" si="14"/>
        <v>0</v>
      </c>
      <c r="AK227" s="15"/>
      <c r="AL227" s="15" t="s">
        <v>250</v>
      </c>
    </row>
    <row r="228" spans="1:38" ht="285.75" x14ac:dyDescent="0.25">
      <c r="A228" s="346">
        <f>'הזנה לתנאי סף'!B228</f>
        <v>198</v>
      </c>
      <c r="B228" s="347">
        <f>IF($F228="","",'הזנה לתנאי סף'!C228)</f>
        <v>1001348948</v>
      </c>
      <c r="C228" s="347">
        <f>IF($F228="","",'הזנה לתנאי סף'!D228)</f>
        <v>1001266872</v>
      </c>
      <c r="D228" s="347">
        <f>IF($F228="","",'הזנה לתנאי סף'!E228)</f>
        <v>40000626</v>
      </c>
      <c r="E228" s="348">
        <f>IF($F228="","",'הזנה לתנאי סף'!F228)</f>
        <v>20000052</v>
      </c>
      <c r="F228" s="348" t="str">
        <f>IF('הזנה לתנאי סף'!BL228=1,'הזנה לתנאי סף'!G228,"")</f>
        <v>כפר כנא</v>
      </c>
      <c r="G228" s="348" t="str">
        <f>IF($F228="","",'הזנה לתנאי סף'!H228)</f>
        <v>עמותת אלפאראבי המוסיקלית כפר קנא</v>
      </c>
      <c r="H228" s="348" t="str">
        <f>IF($F228="","",'הזנה לתנאי סף'!I228)</f>
        <v>תרבות ערבית</v>
      </c>
      <c r="I228" s="349">
        <f>IF($F228="","",'הזנה לתנאי סף'!R228)</f>
        <v>2504784</v>
      </c>
      <c r="J228" s="349">
        <f>IF($F228="","",'תחום תמיכה א'!P228)</f>
        <v>2663349</v>
      </c>
      <c r="K228" s="177">
        <f>IF($F228="","",'הזנה לתנאי סף'!N228)</f>
        <v>0</v>
      </c>
      <c r="L228" s="177">
        <f>IF($F228="","",'הזנה לתנאי סף'!O228)</f>
        <v>1</v>
      </c>
      <c r="M228" s="177">
        <f>IF($F228="","",'הזנה לתנאי סף'!Q228)</f>
        <v>1</v>
      </c>
      <c r="N228" s="349">
        <f>IF($F228="","",'תחום תמיכה א'!AE228)</f>
        <v>70884.346797489721</v>
      </c>
      <c r="O228" s="178"/>
      <c r="P228" s="349">
        <f>IF($F228="","",'תחום תמיכה ב'!AC228)</f>
        <v>101198.07318638368</v>
      </c>
      <c r="Q228" s="349">
        <f>IF($F228="","",IF('תחום תמיכה ג'!O228="",0,'תחום תמיכה ג'!O228))</f>
        <v>0</v>
      </c>
      <c r="R228" s="349">
        <f t="shared" si="12"/>
        <v>3034.4295117977599</v>
      </c>
      <c r="S228" s="349">
        <f>IF($F228="","",'תחום תמיכה ב'!AE228)</f>
        <v>104232.50269818144</v>
      </c>
      <c r="T228" s="349">
        <f>IF($F228="","",IF(Q228='תחום תמיכה ג'!$Q$2,'תחום תמיכה ג'!$Q$2,IFERROR(SUMIF(N228:R228,"&gt;0"),'תחום תמיכה ג'!$Q$2)))</f>
        <v>175116.84949567117</v>
      </c>
      <c r="U228" s="349">
        <f>IF($F228="","",'הזנה לתנאי סף'!Y228)</f>
        <v>1350000</v>
      </c>
      <c r="V228" s="350">
        <f>IF(F228="","",'הגבלה לסכום מבוקש '!AA228)</f>
        <v>192480.88156874105</v>
      </c>
      <c r="W228" s="349">
        <f t="shared" si="13"/>
        <v>48120.220392185263</v>
      </c>
      <c r="X228" s="349">
        <f>IF(F228="","",'הזנה לתנאי סף'!Z228)</f>
        <v>100000</v>
      </c>
      <c r="Y228" s="351" t="s">
        <v>3740</v>
      </c>
      <c r="Z228" s="352" t="str">
        <f>IFERROR(VLOOKUP(G228*1,#REF!,3,0),"")</f>
        <v/>
      </c>
      <c r="AA228" s="349" t="str">
        <f>IF(OR($F228="",Z228=""),"",IFERROR(IF(Z228&gt;V228,MIN(Z228,T228)-V228,0),'תחום תמיכה ג'!$Q$2))</f>
        <v/>
      </c>
      <c r="AB228" s="353"/>
      <c r="AC228" s="260" t="str">
        <f t="shared" si="15"/>
        <v/>
      </c>
      <c r="AD228" s="358"/>
      <c r="AE228" s="180"/>
      <c r="AF228" s="355" t="str">
        <f>IF($C228="","",IFERROR(VLOOKUP($C228,גיליון1!$A:$E,2,0),"לא הגיש בקשה שוטפת"))</f>
        <v>תמיכה בפעילותה השוטפת של העמותה במוסיקה</v>
      </c>
      <c r="AG228" s="355" t="str">
        <f>IF($C228="","",IFERROR(VLOOKUP($C228,גיליון1!$A:$E,3,0),"לא הגיש בקשה שוטפת"))</f>
        <v>מועד</v>
      </c>
      <c r="AH228" s="355" t="str">
        <f>IF($C228="","",IFERROR(VLOOKUP($C228,גיליון1!$A:$E,4,0),"לא הגיש בקשה שוטפת"))</f>
        <v>19-42-02-33</v>
      </c>
      <c r="AI228" s="355" t="str">
        <f>IF($C228="","",IFERROR(VLOOKUP($C228,גיליון1!$A:$E,5,0),"לא הגיש בקשה שוטפת"))</f>
        <v>תרבות ערבית ודרוזית</v>
      </c>
      <c r="AJ228" s="355">
        <f t="shared" si="14"/>
        <v>0</v>
      </c>
      <c r="AK228" s="15"/>
      <c r="AL228" s="15" t="s">
        <v>250</v>
      </c>
    </row>
    <row r="229" spans="1:38" ht="285.75" x14ac:dyDescent="0.25">
      <c r="A229" s="346">
        <f>'הזנה לתנאי סף'!B229</f>
        <v>199</v>
      </c>
      <c r="B229" s="347">
        <f>IF($F229="","",'הזנה לתנאי סף'!C229)</f>
        <v>1001349377</v>
      </c>
      <c r="C229" s="347">
        <f>IF($F229="","",'הזנה לתנאי סף'!D229)</f>
        <v>1001270641</v>
      </c>
      <c r="D229" s="347">
        <f>IF($F229="","",'הזנה לתנאי סף'!E229)</f>
        <v>40376018</v>
      </c>
      <c r="E229" s="348">
        <f>IF($F229="","",'הזנה לתנאי סף'!F229)</f>
        <v>20000130</v>
      </c>
      <c r="F229" s="348" t="str">
        <f>IF('הזנה לתנאי סף'!BL229=1,'הזנה לתנאי סף'!G229,"")</f>
        <v>דימונה</v>
      </c>
      <c r="G229" s="348" t="str">
        <f>IF($F229="","",'הזנה לתנאי סף'!H229)</f>
        <v>מעבדתרבות דימונה</v>
      </c>
      <c r="H229" s="348" t="str">
        <f>IF($F229="","",'הזנה לתנאי סף'!I229)</f>
        <v>קבוצות תיאטרון</v>
      </c>
      <c r="I229" s="349">
        <f>IF($F229="","",'הזנה לתנאי סף'!R229)</f>
        <v>2150355</v>
      </c>
      <c r="J229" s="349">
        <f>IF($F229="","",'תחום תמיכה א'!P229)</f>
        <v>2140105</v>
      </c>
      <c r="K229" s="177">
        <f>IF($F229="","",'הזנה לתנאי סף'!N229)</f>
        <v>1</v>
      </c>
      <c r="L229" s="177">
        <f>IF($F229="","",'הזנה לתנאי סף'!O229)</f>
        <v>1</v>
      </c>
      <c r="M229" s="177">
        <f>IF($F229="","",'הזנה לתנאי סף'!Q229)</f>
        <v>1</v>
      </c>
      <c r="N229" s="349">
        <f>IF($F229="","",'תחום תמיכה א'!AE229)</f>
        <v>57383.8563842105</v>
      </c>
      <c r="O229" s="178"/>
      <c r="P229" s="349">
        <f>IF($F229="","",'תחום תמיכה ב'!AC229)</f>
        <v>48303.152795337992</v>
      </c>
      <c r="Q229" s="349">
        <f>IF($F229="","",IF('תחום תמיכה ג'!O229="",0,'תחום תמיכה ג'!O229))</f>
        <v>1602</v>
      </c>
      <c r="R229" s="349">
        <f t="shared" si="12"/>
        <v>1448.372560267002</v>
      </c>
      <c r="S229" s="349">
        <f>IF($F229="","",'תחום תמיכה ב'!AE229)</f>
        <v>49751.525355604994</v>
      </c>
      <c r="T229" s="349">
        <f>IF($F229="","",IF(Q229='תחום תמיכה ג'!$Q$2,'תחום תמיכה ג'!$Q$2,IFERROR(SUMIF(N229:R229,"&gt;0"),'תחום תמיכה ג'!$Q$2)))</f>
        <v>108737.38173981549</v>
      </c>
      <c r="U229" s="349">
        <f>IF($F229="","",'הזנה לתנאי סף'!Y229)</f>
        <v>1400000</v>
      </c>
      <c r="V229" s="350">
        <f>IF(F229="","",'הגבלה לסכום מבוקש '!AA229)</f>
        <v>117036.91174310059</v>
      </c>
      <c r="W229" s="349">
        <f t="shared" si="13"/>
        <v>29259.227935775147</v>
      </c>
      <c r="X229" s="349">
        <f>IF(F229="","",'הזנה לתנאי סף'!Z229)</f>
        <v>400000</v>
      </c>
      <c r="Y229" s="351" t="s">
        <v>3740</v>
      </c>
      <c r="Z229" s="352" t="str">
        <f>IFERROR(VLOOKUP(G229*1,#REF!,3,0),"")</f>
        <v/>
      </c>
      <c r="AA229" s="349" t="str">
        <f>IF(OR($F229="",Z229=""),"",IFERROR(IF(Z229&gt;V229,MIN(Z229,T229)-V229,0),'תחום תמיכה ג'!$Q$2))</f>
        <v/>
      </c>
      <c r="AB229" s="353"/>
      <c r="AC229" s="260" t="str">
        <f t="shared" si="15"/>
        <v/>
      </c>
      <c r="AD229" s="358"/>
      <c r="AE229" s="180"/>
      <c r="AF229" s="355" t="str">
        <f>IF($C229="","",IFERROR(VLOOKUP($C229,גיליון1!$A:$E,2,0),"לא הגיש בקשה שוטפת"))</f>
        <v>קבוצת תיאטרון מעבדתרבות דימונה 2020</v>
      </c>
      <c r="AG229" s="355" t="str">
        <f>IF($C229="","",IFERROR(VLOOKUP($C229,גיליון1!$A:$E,3,0),"לא הגיש בקשה שוטפת"))</f>
        <v>מועד</v>
      </c>
      <c r="AH229" s="355" t="str">
        <f>IF($C229="","",IFERROR(VLOOKUP($C229,גיליון1!$A:$E,4,0),"לא הגיש בקשה שוטפת"))</f>
        <v>19-42-02-07</v>
      </c>
      <c r="AI229" s="355" t="str">
        <f>IF($C229="","",IFERROR(VLOOKUP($C229,גיליון1!$A:$E,5,0),"לא הגיש בקשה שוטפת"))</f>
        <v>תיאטרון</v>
      </c>
      <c r="AJ229" s="355">
        <f t="shared" si="14"/>
        <v>0</v>
      </c>
      <c r="AK229" s="15"/>
      <c r="AL229" s="15" t="s">
        <v>250</v>
      </c>
    </row>
    <row r="230" spans="1:38" ht="285.75" x14ac:dyDescent="0.25">
      <c r="A230" s="346">
        <f>'הזנה לתנאי סף'!B230</f>
        <v>200</v>
      </c>
      <c r="B230" s="347">
        <f>IF($F230="","",'הזנה לתנאי סף'!C230)</f>
        <v>1001350722</v>
      </c>
      <c r="C230" s="347">
        <f>IF($F230="","",'הזנה לתנאי סף'!D230)</f>
        <v>1001288836</v>
      </c>
      <c r="D230" s="347">
        <f>IF($F230="","",'הזנה לתנאי סף'!E230)</f>
        <v>40997574</v>
      </c>
      <c r="E230" s="348">
        <f>IF($F230="","",'הזנה לתנאי סף'!F230)</f>
        <v>20000052</v>
      </c>
      <c r="F230" s="348" t="str">
        <f>IF('הזנה לתנאי סף'!BL230=1,'הזנה לתנאי סף'!G230,"")</f>
        <v>כפר כנא</v>
      </c>
      <c r="G230" s="348" t="str">
        <f>IF($F230="","",'הזנה לתנאי סף'!H230)</f>
        <v>עמותת אנג'אם לקודום המוסיקה</v>
      </c>
      <c r="H230" s="348" t="str">
        <f>IF($F230="","",'הזנה לתנאי סף'!I230)</f>
        <v>תרבות ערבית</v>
      </c>
      <c r="I230" s="349">
        <f>IF($F230="","",'הזנה לתנאי סף'!R230)</f>
        <v>625736</v>
      </c>
      <c r="J230" s="349">
        <f>IF($F230="","",'תחום תמיכה א'!P230)</f>
        <v>617684</v>
      </c>
      <c r="K230" s="177">
        <f>IF($F230="","",'הזנה לתנאי סף'!N230)</f>
        <v>0</v>
      </c>
      <c r="L230" s="177">
        <f>IF($F230="","",'הזנה לתנאי סף'!O230)</f>
        <v>1</v>
      </c>
      <c r="M230" s="177">
        <f>IF($F230="","",'הזנה לתנאי סף'!Q230)</f>
        <v>1</v>
      </c>
      <c r="N230" s="349">
        <f>IF($F230="","",'תחום תמיכה א'!AE230)</f>
        <v>17389.280729188351</v>
      </c>
      <c r="O230" s="178"/>
      <c r="P230" s="349">
        <f>IF($F230="","",'תחום תמיכה ב'!AC230)</f>
        <v>28286.493476622352</v>
      </c>
      <c r="Q230" s="349">
        <f>IF($F230="","",IF('תחום תמיכה ג'!O230="",0,'תחום תמיכה ג'!O230))</f>
        <v>0</v>
      </c>
      <c r="R230" s="349">
        <f t="shared" si="12"/>
        <v>848.17198478326827</v>
      </c>
      <c r="S230" s="349">
        <f>IF($F230="","",'תחום תמיכה ב'!AE230)</f>
        <v>29134.665461405621</v>
      </c>
      <c r="T230" s="349">
        <f>IF($F230="","",IF(Q230='תחום תמיכה ג'!$Q$2,'תחום תמיכה ג'!$Q$2,IFERROR(SUMIF(N230:R230,"&gt;0"),'תחום תמיכה ג'!$Q$2)))</f>
        <v>46523.946190593968</v>
      </c>
      <c r="U230" s="349">
        <f>IF($F230="","",'הזנה לתנאי סף'!Y230)</f>
        <v>540000</v>
      </c>
      <c r="V230" s="350">
        <f>IF(F230="","",'הגבלה לסכום מבוקש '!AA230)</f>
        <v>51376.369456484143</v>
      </c>
      <c r="W230" s="349">
        <f t="shared" si="13"/>
        <v>12844.092364121036</v>
      </c>
      <c r="X230" s="349">
        <f>IF(F230="","",'הזנה לתנאי סף'!Z230)</f>
        <v>50000</v>
      </c>
      <c r="Y230" s="351" t="s">
        <v>3740</v>
      </c>
      <c r="Z230" s="352" t="str">
        <f>IFERROR(VLOOKUP(G230*1,#REF!,3,0),"")</f>
        <v/>
      </c>
      <c r="AA230" s="349" t="str">
        <f>IF(OR($F230="",Z230=""),"",IFERROR(IF(Z230&gt;V230,MIN(Z230,T230)-V230,0),'תחום תמיכה ג'!$Q$2))</f>
        <v/>
      </c>
      <c r="AB230" s="353"/>
      <c r="AC230" s="260" t="str">
        <f t="shared" si="15"/>
        <v/>
      </c>
      <c r="AD230" s="358"/>
      <c r="AE230" s="180"/>
      <c r="AF230" s="355" t="str">
        <f>IF($C230="","",IFERROR(VLOOKUP($C230,גיליון1!$A:$E,2,0),"לא הגיש בקשה שוטפת"))</f>
        <v>פעילות שוטפת</v>
      </c>
      <c r="AG230" s="355" t="str">
        <f>IF($C230="","",IFERROR(VLOOKUP($C230,גיליון1!$A:$E,3,0),"לא הגיש בקשה שוטפת"))</f>
        <v>מועד</v>
      </c>
      <c r="AH230" s="355" t="str">
        <f>IF($C230="","",IFERROR(VLOOKUP($C230,גיליון1!$A:$E,4,0),"לא הגיש בקשה שוטפת"))</f>
        <v>19-42-02-33</v>
      </c>
      <c r="AI230" s="355" t="str">
        <f>IF($C230="","",IFERROR(VLOOKUP($C230,גיליון1!$A:$E,5,0),"לא הגיש בקשה שוטפת"))</f>
        <v>תרבות ערבית ודרוזית</v>
      </c>
      <c r="AJ230" s="355">
        <f t="shared" si="14"/>
        <v>0</v>
      </c>
      <c r="AK230" s="15"/>
      <c r="AL230" s="15" t="s">
        <v>250</v>
      </c>
    </row>
    <row r="231" spans="1:38" ht="285.75" x14ac:dyDescent="0.25">
      <c r="A231" s="346">
        <f>'הזנה לתנאי סף'!B231</f>
        <v>201</v>
      </c>
      <c r="B231" s="347">
        <f>IF($F231="","",'הזנה לתנאי סף'!C231)</f>
        <v>1001348110</v>
      </c>
      <c r="C231" s="347">
        <f>IF($F231="","",'הזנה לתנאי סף'!D231)</f>
        <v>1001266857</v>
      </c>
      <c r="D231" s="347">
        <f>IF($F231="","",'הזנה לתנאי סף'!E231)</f>
        <v>41966540</v>
      </c>
      <c r="E231" s="348">
        <f>IF($F231="","",'הזנה לתנאי סף'!F231)</f>
        <v>20000231</v>
      </c>
      <c r="F231" s="348" t="str">
        <f>IF('הזנה לתנאי סף'!BL231=1,'הזנה לתנאי סף'!G231,"")</f>
        <v>נצרת</v>
      </c>
      <c r="G231" s="348" t="str">
        <f>IF($F231="","",'הזנה לתנאי סף'!H231)</f>
        <v>עוד זיריאב</v>
      </c>
      <c r="H231" s="348" t="str">
        <f>IF($F231="","",'הזנה לתנאי סף'!I231)</f>
        <v>תרבות ערבית</v>
      </c>
      <c r="I231" s="349">
        <f>IF($F231="","",'הזנה לתנאי סף'!R231)</f>
        <v>427583</v>
      </c>
      <c r="J231" s="349">
        <f>IF($F231="","",'תחום תמיכה א'!P231)</f>
        <v>344144</v>
      </c>
      <c r="K231" s="177">
        <f>IF($F231="","",'הזנה לתנאי סף'!N231)</f>
        <v>0</v>
      </c>
      <c r="L231" s="177">
        <f>IF($F231="","",'הזנה לתנאי סף'!O231)</f>
        <v>1</v>
      </c>
      <c r="M231" s="177">
        <f>IF($F231="","",'הזנה לתנאי סף'!Q231)</f>
        <v>1</v>
      </c>
      <c r="N231" s="349">
        <f>IF($F231="","",'תחום תמיכה א'!AE231)</f>
        <v>18812.460392508729</v>
      </c>
      <c r="O231" s="178"/>
      <c r="P231" s="349">
        <f>IF($F231="","",'תחום תמיכה ב'!AC231)</f>
        <v>72876.69369074596</v>
      </c>
      <c r="Q231" s="349">
        <f>IF($F231="","",IF('תחום תמיכה ג'!O231="",0,'תחום תמיכה ג'!O231))</f>
        <v>0</v>
      </c>
      <c r="R231" s="349">
        <f t="shared" si="12"/>
        <v>2185.2114679116203</v>
      </c>
      <c r="S231" s="349">
        <f>IF($F231="","",'תחום תמיכה ב'!AE231)</f>
        <v>75061.905158657581</v>
      </c>
      <c r="T231" s="349">
        <f>IF($F231="","",IF(Q231='תחום תמיכה ג'!$Q$2,'תחום תמיכה ג'!$Q$2,IFERROR(SUMIF(N231:R231,"&gt;0"),'תחום תמיכה ג'!$Q$2)))</f>
        <v>93874.365551166309</v>
      </c>
      <c r="U231" s="349">
        <f>IF($F231="","",'הזנה לתנאי סף'!Y231)</f>
        <v>540000</v>
      </c>
      <c r="V231" s="350">
        <f>IF(F231="","",'הגבלה לסכום מבוקש '!AA231)</f>
        <v>106364.20767431236</v>
      </c>
      <c r="W231" s="349">
        <f t="shared" si="13"/>
        <v>26591.05191857809</v>
      </c>
      <c r="X231" s="349">
        <f>IF(F231="","",'הזנה לתנאי סף'!Z231)</f>
        <v>50000</v>
      </c>
      <c r="Y231" s="351" t="s">
        <v>3740</v>
      </c>
      <c r="Z231" s="352" t="str">
        <f>IFERROR(VLOOKUP(G231*1,#REF!,3,0),"")</f>
        <v/>
      </c>
      <c r="AA231" s="349" t="str">
        <f>IF(OR($F231="",Z231=""),"",IFERROR(IF(Z231&gt;V231,MIN(Z231,T231)-V231,0),'תחום תמיכה ג'!$Q$2))</f>
        <v/>
      </c>
      <c r="AB231" s="353"/>
      <c r="AC231" s="260" t="str">
        <f t="shared" si="15"/>
        <v/>
      </c>
      <c r="AD231" s="358"/>
      <c r="AE231" s="180"/>
      <c r="AF231" s="355" t="str">
        <f>IF($C231="","",IFERROR(VLOOKUP($C231,גיליון1!$A:$E,2,0),"לא הגיש בקשה שוטפת"))</f>
        <v>תמיכה בפעילות השוטפת של העמותה בתחום המו</v>
      </c>
      <c r="AG231" s="355" t="str">
        <f>IF($C231="","",IFERROR(VLOOKUP($C231,גיליון1!$A:$E,3,0),"לא הגיש בקשה שוטפת"))</f>
        <v>טיוט</v>
      </c>
      <c r="AH231" s="355" t="str">
        <f>IF($C231="","",IFERROR(VLOOKUP($C231,גיליון1!$A:$E,4,0),"לא הגיש בקשה שוטפת"))</f>
        <v>19-42-02-33</v>
      </c>
      <c r="AI231" s="355" t="str">
        <f>IF($C231="","",IFERROR(VLOOKUP($C231,גיליון1!$A:$E,5,0),"לא הגיש בקשה שוטפת"))</f>
        <v>תרבות ערבית ודרוזית</v>
      </c>
      <c r="AJ231" s="355">
        <f t="shared" si="14"/>
        <v>0</v>
      </c>
      <c r="AK231" s="15"/>
      <c r="AL231" s="15" t="s">
        <v>250</v>
      </c>
    </row>
    <row r="232" spans="1:38" ht="285.75" x14ac:dyDescent="0.25">
      <c r="A232" s="346">
        <f>'הזנה לתנאי סף'!B232</f>
        <v>202</v>
      </c>
      <c r="B232" s="347">
        <f>IF($F232="","",'הזנה לתנאי סף'!C232)</f>
        <v>1001349379</v>
      </c>
      <c r="C232" s="347">
        <f>IF($F232="","",'הזנה לתנאי סף'!D232)</f>
        <v>1001274144</v>
      </c>
      <c r="D232" s="347">
        <f>IF($F232="","",'הזנה לתנאי סף'!E232)</f>
        <v>40471611</v>
      </c>
      <c r="E232" s="348">
        <f>IF($F232="","",'הזנה לתנאי סף'!F232)</f>
        <v>20000159</v>
      </c>
      <c r="F232" s="348" t="str">
        <f>IF('הזנה לתנאי סף'!BL232=1,'הזנה לתנאי סף'!G232,"")</f>
        <v>ירושלים</v>
      </c>
      <c r="G232" s="348" t="str">
        <f>IF($F232="","",'הזנה לתנאי סף'!H232)</f>
        <v>חיבה - התנועה למורשת ישראל (ע"ר)</v>
      </c>
      <c r="H232" s="348" t="str">
        <f>IF($F232="","",'הזנה לתנאי סף'!I232)</f>
        <v>קבוצות מוסיקה</v>
      </c>
      <c r="I232" s="349">
        <f>IF($F232="","",'הזנה לתנאי סף'!R232)</f>
        <v>1165221</v>
      </c>
      <c r="J232" s="349">
        <f>IF($F232="","",'תחום תמיכה א'!P232)</f>
        <v>1285967</v>
      </c>
      <c r="K232" s="177">
        <f>IF($F232="","",'הזנה לתנאי סף'!N232)</f>
        <v>1</v>
      </c>
      <c r="L232" s="177">
        <f>IF($F232="","",'הזנה לתנאי סף'!O232)</f>
        <v>1</v>
      </c>
      <c r="M232" s="177">
        <f>IF($F232="","",'הזנה לתנאי סף'!Q232)</f>
        <v>1</v>
      </c>
      <c r="N232" s="349">
        <f>IF($F232="","",'תחום תמיכה א'!AE232)</f>
        <v>61247.379227122976</v>
      </c>
      <c r="O232" s="178"/>
      <c r="P232" s="349">
        <f>IF($F232="","",'תחום תמיכה ב'!AC232)</f>
        <v>150758.25894514547</v>
      </c>
      <c r="Q232" s="349">
        <f>IF($F232="","",IF('תחום תמיכה ג'!O232="",0,'תחום תמיכה ג'!O232))</f>
        <v>26061.336047943958</v>
      </c>
      <c r="R232" s="349">
        <f t="shared" si="12"/>
        <v>4520.494271149335</v>
      </c>
      <c r="S232" s="349">
        <f>IF($F232="","",'תחום תמיכה ב'!AE232)</f>
        <v>155278.7532162948</v>
      </c>
      <c r="T232" s="349">
        <f>IF($F232="","",IF(Q232='תחום תמיכה ג'!$Q$2,'תחום תמיכה ג'!$Q$2,IFERROR(SUMIF(N232:R232,"&gt;0"),'תחום תמיכה ג'!$Q$2)))</f>
        <v>242587.46849136177</v>
      </c>
      <c r="U232" s="349">
        <f>IF($F232="","",'הזנה לתנאי סף'!Y232)</f>
        <v>140000</v>
      </c>
      <c r="V232" s="350">
        <f>IF(F232="","",'הגבלה לסכום מבוקש '!AA232)</f>
        <v>140000</v>
      </c>
      <c r="W232" s="349">
        <f t="shared" si="13"/>
        <v>35000</v>
      </c>
      <c r="X232" s="349">
        <f>IF(F232="","",'הזנה לתנאי סף'!Z232)</f>
        <v>140000</v>
      </c>
      <c r="Y232" s="351" t="s">
        <v>3740</v>
      </c>
      <c r="Z232" s="352" t="str">
        <f>IFERROR(VLOOKUP(G232*1,#REF!,3,0),"")</f>
        <v/>
      </c>
      <c r="AA232" s="349" t="str">
        <f>IF(OR($F232="",Z232=""),"",IFERROR(IF(Z232&gt;V232,MIN(Z232,T232)-V232,0),'תחום תמיכה ג'!$Q$2))</f>
        <v/>
      </c>
      <c r="AB232" s="353"/>
      <c r="AC232" s="260" t="str">
        <f t="shared" si="15"/>
        <v/>
      </c>
      <c r="AD232" s="358"/>
      <c r="AE232" s="180"/>
      <c r="AF232" s="355" t="str">
        <f>IF($C232="","",IFERROR(VLOOKUP($C232,גיליון1!$A:$E,2,0),"לא הגיש בקשה שוטפת"))</f>
        <v>תזמורת חיבה</v>
      </c>
      <c r="AG232" s="355" t="str">
        <f>IF($C232="","",IFERROR(VLOOKUP($C232,גיליון1!$A:$E,3,0),"לא הגיש בקשה שוטפת"))</f>
        <v>מועד</v>
      </c>
      <c r="AH232" s="355" t="str">
        <f>IF($C232="","",IFERROR(VLOOKUP($C232,גיליון1!$A:$E,4,0),"לא הגיש בקשה שוטפת"))</f>
        <v>19-42-02-16</v>
      </c>
      <c r="AI232" s="355" t="str">
        <f>IF($C232="","",IFERROR(VLOOKUP($C232,גיליון1!$A:$E,5,0),"לא הגיש בקשה שוטפת"))</f>
        <v>מוסיקה</v>
      </c>
      <c r="AJ232" s="355">
        <f t="shared" si="14"/>
        <v>1</v>
      </c>
      <c r="AK232" s="15"/>
      <c r="AL232" s="15" t="s">
        <v>250</v>
      </c>
    </row>
    <row r="233" spans="1:38" ht="285.75" x14ac:dyDescent="0.25">
      <c r="A233" s="346">
        <f>'הזנה לתנאי סף'!B233</f>
        <v>203</v>
      </c>
      <c r="B233" s="347">
        <f>IF($F233="","",'הזנה לתנאי סף'!C233)</f>
        <v>1001349381</v>
      </c>
      <c r="C233" s="347">
        <f>IF($F233="","",'הזנה לתנאי סף'!D233)</f>
        <v>1001268664</v>
      </c>
      <c r="D233" s="347">
        <f>IF($F233="","",'הזנה לתנאי סף'!E233)</f>
        <v>40471611</v>
      </c>
      <c r="E233" s="348">
        <f>IF($F233="","",'הזנה לתנאי סף'!F233)</f>
        <v>20000159</v>
      </c>
      <c r="F233" s="348" t="str">
        <f>IF('הזנה לתנאי סף'!BL233=1,'הזנה לתנאי סף'!G233,"")</f>
        <v>ירושלים</v>
      </c>
      <c r="G233" s="348" t="str">
        <f>IF($F233="","",'הזנה לתנאי סף'!H233)</f>
        <v>חיבה - התנועה למורשת ישראל (ע"ר)</v>
      </c>
      <c r="H233" s="348" t="str">
        <f>IF($F233="","",'הזנה לתנאי סף'!I233)</f>
        <v>אחר</v>
      </c>
      <c r="I233" s="349">
        <f>IF($F233="","",'הזנה לתנאי סף'!R233)</f>
        <v>565824</v>
      </c>
      <c r="J233" s="349">
        <f>IF($F233="","",'תחום תמיכה א'!P233)</f>
        <v>601502</v>
      </c>
      <c r="K233" s="177">
        <f>IF($F233="","",'הזנה לתנאי סף'!N233)</f>
        <v>1</v>
      </c>
      <c r="L233" s="177">
        <f>IF($F233="","",'הזנה לתנאי סף'!O233)</f>
        <v>1</v>
      </c>
      <c r="M233" s="177">
        <f>IF($F233="","",'הזנה לתנאי סף'!Q233)</f>
        <v>1</v>
      </c>
      <c r="N233" s="349">
        <f>IF($F233="","",'תחום תמיכה א'!AE233)</f>
        <v>10634.787325115449</v>
      </c>
      <c r="O233" s="178"/>
      <c r="P233" s="349">
        <f>IF($F233="","",'תחום תמיכה ב'!AC233)</f>
        <v>10088.39945606328</v>
      </c>
      <c r="Q233" s="349">
        <f>IF($F233="","",IF('תחום תמיכה ג'!O233="",0,'תחום תמיכה ג'!O233))</f>
        <v>1743.965274274125</v>
      </c>
      <c r="R233" s="349">
        <f t="shared" si="12"/>
        <v>302.50118477949218</v>
      </c>
      <c r="S233" s="349">
        <f>IF($F233="","",'תחום תמיכה ב'!AE233)</f>
        <v>10390.900640842772</v>
      </c>
      <c r="T233" s="349">
        <f>IF($F233="","",IF(Q233='תחום תמיכה ג'!$Q$2,'תחום תמיכה ג'!$Q$2,IFERROR(SUMIF(N233:R233,"&gt;0"),'תחום תמיכה ג'!$Q$2)))</f>
        <v>22769.653240232346</v>
      </c>
      <c r="U233" s="349">
        <f>IF($F233="","",'הזנה לתנאי סף'!Y233)</f>
        <v>80000</v>
      </c>
      <c r="V233" s="350">
        <f>IF(F233="","",'הגבלה לסכום מבוקש '!AA233)</f>
        <v>24503.086180148672</v>
      </c>
      <c r="W233" s="349">
        <f t="shared" si="13"/>
        <v>6125.7715450371679</v>
      </c>
      <c r="X233" s="349">
        <f>IF(F233="","",'הזנה לתנאי סף'!Z233)</f>
        <v>80000</v>
      </c>
      <c r="Y233" s="351" t="s">
        <v>3740</v>
      </c>
      <c r="Z233" s="352" t="str">
        <f>IFERROR(VLOOKUP(G233*1,#REF!,3,0),"")</f>
        <v/>
      </c>
      <c r="AA233" s="349" t="str">
        <f>IF(OR($F233="",Z233=""),"",IFERROR(IF(Z233&gt;V233,MIN(Z233,T233)-V233,0),'תחום תמיכה ג'!$Q$2))</f>
        <v/>
      </c>
      <c r="AB233" s="353"/>
      <c r="AC233" s="260" t="str">
        <f t="shared" si="15"/>
        <v/>
      </c>
      <c r="AD233" s="358"/>
      <c r="AE233" s="180"/>
      <c r="AF233" s="355" t="str">
        <f>IF($C233="","",IFERROR(VLOOKUP($C233,גיליון1!$A:$E,2,0),"לא הגיש בקשה שוטפת"))</f>
        <v>קיום פעולות מורשת למגוון העדות</v>
      </c>
      <c r="AG233" s="355" t="str">
        <f>IF($C233="","",IFERROR(VLOOKUP($C233,גיליון1!$A:$E,3,0),"לא הגיש בקשה שוטפת"))</f>
        <v>מועד</v>
      </c>
      <c r="AH233" s="355" t="str">
        <f>IF($C233="","",IFERROR(VLOOKUP($C233,גיליון1!$A:$E,4,0),"לא הגיש בקשה שוטפת"))</f>
        <v>19-42-02-14</v>
      </c>
      <c r="AI233" s="355" t="str">
        <f>IF($C233="","",IFERROR(VLOOKUP($C233,גיליון1!$A:$E,5,0),"לא הגיש בקשה שוטפת"))</f>
        <v>מחקר מורשת ואיגודים</v>
      </c>
      <c r="AJ233" s="355">
        <f t="shared" si="14"/>
        <v>0</v>
      </c>
      <c r="AK233" s="15"/>
      <c r="AL233" s="15" t="s">
        <v>250</v>
      </c>
    </row>
    <row r="234" spans="1:38" ht="285.75" x14ac:dyDescent="0.25">
      <c r="A234" s="346">
        <f>'הזנה לתנאי סף'!B234</f>
        <v>204</v>
      </c>
      <c r="B234" s="347">
        <f>IF($F234="","",'הזנה לתנאי סף'!C234)</f>
        <v>1001349104</v>
      </c>
      <c r="C234" s="347">
        <f>IF($F234="","",'הזנה לתנאי סף'!D234)</f>
        <v>1001275605</v>
      </c>
      <c r="D234" s="347">
        <f>IF($F234="","",'הזנה לתנאי סף'!E234)</f>
        <v>40541378</v>
      </c>
      <c r="E234" s="348">
        <f>IF($F234="","",'הזנה לתנאי סף'!F234)</f>
        <v>20000253</v>
      </c>
      <c r="F234" s="348" t="str">
        <f>IF('הזנה לתנאי סף'!BL234=1,'הזנה לתנאי סף'!G234,"")</f>
        <v>טמרה</v>
      </c>
      <c r="G234" s="348" t="str">
        <f>IF($F234="","",'הזנה לתנאי סף'!H234)</f>
        <v>באב אל חארה- התיאטרון הכפרי לתרבות</v>
      </c>
      <c r="H234" s="348" t="str">
        <f>IF($F234="","",'הזנה לתנאי סף'!I234)</f>
        <v>אחר</v>
      </c>
      <c r="I234" s="349">
        <f>IF($F234="","",'הזנה לתנאי סף'!R234)</f>
        <v>843372</v>
      </c>
      <c r="J234" s="349">
        <f>IF($F234="","",'תחום תמיכה א'!P234)</f>
        <v>1042740</v>
      </c>
      <c r="K234" s="177">
        <f>IF($F234="","",'הזנה לתנאי סף'!N234)</f>
        <v>0</v>
      </c>
      <c r="L234" s="177">
        <f>IF($F234="","",'הזנה לתנאי סף'!O234)</f>
        <v>1</v>
      </c>
      <c r="M234" s="177">
        <f>IF($F234="","",'הזנה לתנאי סף'!Q234)</f>
        <v>1</v>
      </c>
      <c r="N234" s="349">
        <f>IF($F234="","",'תחום תמיכה א'!AE234)</f>
        <v>21239.845719134624</v>
      </c>
      <c r="O234" s="178"/>
      <c r="P234" s="349">
        <f>IF($F234="","",'תחום תמיכה ב'!AC234)</f>
        <v>19958.47089697314</v>
      </c>
      <c r="Q234" s="349">
        <f>IF($F234="","",IF('תחום תמיכה ג'!O234="",0,'תחום תמיכה ג'!O234))</f>
        <v>0</v>
      </c>
      <c r="R234" s="349">
        <f t="shared" si="12"/>
        <v>598.4557926176094</v>
      </c>
      <c r="S234" s="349">
        <f>IF($F234="","",'תחום תמיכה ב'!AE234)</f>
        <v>20556.926689590749</v>
      </c>
      <c r="T234" s="349">
        <f>IF($F234="","",IF(Q234='תחום תמיכה ג'!$Q$2,'תחום תמיכה ג'!$Q$2,IFERROR(SUMIF(N234:R234,"&gt;0"),'תחום תמיכה ג'!$Q$2)))</f>
        <v>41796.772408725374</v>
      </c>
      <c r="U234" s="349">
        <f>IF($F234="","",'הזנה לתנאי סף'!Y234)</f>
        <v>973600</v>
      </c>
      <c r="V234" s="350">
        <f>IF(F234="","",'הגבלה לסכום מבוקש '!AA234)</f>
        <v>45224.644509878228</v>
      </c>
      <c r="W234" s="349">
        <f t="shared" si="13"/>
        <v>11306.161127469557</v>
      </c>
      <c r="X234" s="349">
        <f>IF(F234="","",'הזנה לתנאי סף'!Z234)</f>
        <v>973600</v>
      </c>
      <c r="Y234" s="351" t="s">
        <v>3740</v>
      </c>
      <c r="Z234" s="352" t="str">
        <f>IFERROR(VLOOKUP(G234*1,#REF!,3,0),"")</f>
        <v/>
      </c>
      <c r="AA234" s="349" t="str">
        <f>IF(OR($F234="",Z234=""),"",IFERROR(IF(Z234&gt;V234,MIN(Z234,T234)-V234,0),'תחום תמיכה ג'!$Q$2))</f>
        <v/>
      </c>
      <c r="AB234" s="353"/>
      <c r="AC234" s="260" t="str">
        <f t="shared" si="15"/>
        <v/>
      </c>
      <c r="AD234" s="358"/>
      <c r="AE234" s="180"/>
      <c r="AF234" s="355" t="str">
        <f>IF($C234="","",IFERROR(VLOOKUP($C234,גיליון1!$A:$E,2,0),"לא הגיש בקשה שוטפת"))</f>
        <v>תמיכה בתיאטרון הכפרי</v>
      </c>
      <c r="AG234" s="355" t="str">
        <f>IF($C234="","",IFERROR(VLOOKUP($C234,גיליון1!$A:$E,3,0),"לא הגיש בקשה שוטפת"))</f>
        <v>מועד</v>
      </c>
      <c r="AH234" s="355" t="str">
        <f>IF($C234="","",IFERROR(VLOOKUP($C234,גיליון1!$A:$E,4,0),"לא הגיש בקשה שוטפת"))</f>
        <v>19-42-02-33</v>
      </c>
      <c r="AI234" s="355" t="str">
        <f>IF($C234="","",IFERROR(VLOOKUP($C234,גיליון1!$A:$E,5,0),"לא הגיש בקשה שוטפת"))</f>
        <v>תרבות ערבית ודרוזית</v>
      </c>
      <c r="AJ234" s="355">
        <f t="shared" si="14"/>
        <v>0</v>
      </c>
      <c r="AK234" s="15"/>
      <c r="AL234" s="15" t="s">
        <v>250</v>
      </c>
    </row>
    <row r="235" spans="1:38" ht="285.75" x14ac:dyDescent="0.25">
      <c r="A235" s="346">
        <f>'הזנה לתנאי סף'!B235</f>
        <v>205</v>
      </c>
      <c r="B235" s="347">
        <f>IF($F235="","",'הזנה לתנאי סף'!C235)</f>
        <v>1001347304</v>
      </c>
      <c r="C235" s="347">
        <f>IF($F235="","",'הזנה לתנאי סף'!D235)</f>
        <v>1001272196</v>
      </c>
      <c r="D235" s="347">
        <f>IF($F235="","",'הזנה לתנאי סף'!E235)</f>
        <v>40578853</v>
      </c>
      <c r="E235" s="348">
        <f>IF($F235="","",'הזנה לתנאי סף'!F235)</f>
        <v>20000159</v>
      </c>
      <c r="F235" s="348" t="str">
        <f>IF('הזנה לתנאי סף'!BL235=1,'הזנה לתנאי סף'!G235,"")</f>
        <v>ירושלים</v>
      </c>
      <c r="G235" s="348" t="str">
        <f>IF($F235="","",'הזנה לתנאי סף'!H235)</f>
        <v>להקת הפלמנקו רמנגאר בע"מ חברה לתועל</v>
      </c>
      <c r="H235" s="348" t="str">
        <f>IF($F235="","",'הזנה לתנאי סף'!I235)</f>
        <v>אחר</v>
      </c>
      <c r="I235" s="349">
        <f>IF($F235="","",'הזנה לתנאי סף'!R235)</f>
        <v>567643</v>
      </c>
      <c r="J235" s="349">
        <f>IF($F235="","",'תחום תמיכה א'!P235)</f>
        <v>476098</v>
      </c>
      <c r="K235" s="177">
        <f>IF($F235="","",'הזנה לתנאי סף'!N235)</f>
        <v>1</v>
      </c>
      <c r="L235" s="177">
        <f>IF($F235="","",'הזנה לתנאי סף'!O235)</f>
        <v>1</v>
      </c>
      <c r="M235" s="177">
        <f>IF($F235="","",'הזנה לתנאי סף'!Q235)</f>
        <v>1</v>
      </c>
      <c r="N235" s="349">
        <f>IF($F235="","",'תחום תמיכה א'!AE235)</f>
        <v>13314.995516009001</v>
      </c>
      <c r="O235" s="178"/>
      <c r="P235" s="349">
        <f>IF($F235="","",'תחום תמיכה ב'!AC235)</f>
        <v>25323.402614121296</v>
      </c>
      <c r="Q235" s="349">
        <f>IF($F235="","",IF('תחום תמיכה ג'!O235="",0,'תחום תמיכה ג'!O235))</f>
        <v>4377.6155948055202</v>
      </c>
      <c r="R235" s="349">
        <f t="shared" si="12"/>
        <v>759.32355045832446</v>
      </c>
      <c r="S235" s="349">
        <f>IF($F235="","",'תחום תמיכה ב'!AE235)</f>
        <v>26082.726164579621</v>
      </c>
      <c r="T235" s="349">
        <f>IF($F235="","",IF(Q235='תחום תמיכה ג'!$Q$2,'תחום תמיכה ג'!$Q$2,IFERROR(SUMIF(N235:R235,"&gt;0"),'תחום תמיכה ג'!$Q$2)))</f>
        <v>43775.337275394151</v>
      </c>
      <c r="U235" s="349">
        <f>IF($F235="","",'הזנה לתנאי סף'!Y235)</f>
        <v>125000</v>
      </c>
      <c r="V235" s="350">
        <f>IF(F235="","",'הגבלה לסכום מבוקש '!AA235)</f>
        <v>48120.422891794806</v>
      </c>
      <c r="W235" s="349">
        <f t="shared" si="13"/>
        <v>12030.105722948701</v>
      </c>
      <c r="X235" s="349">
        <f>IF(F235="","",'הזנה לתנאי סף'!Z235)</f>
        <v>10000</v>
      </c>
      <c r="Y235" s="351" t="s">
        <v>3740</v>
      </c>
      <c r="Z235" s="352" t="str">
        <f>IFERROR(VLOOKUP(G235*1,#REF!,3,0),"")</f>
        <v/>
      </c>
      <c r="AA235" s="349" t="str">
        <f>IF(OR($F235="",Z235=""),"",IFERROR(IF(Z235&gt;V235,MIN(Z235,T235)-V235,0),'תחום תמיכה ג'!$Q$2))</f>
        <v/>
      </c>
      <c r="AB235" s="353"/>
      <c r="AC235" s="260" t="str">
        <f t="shared" si="15"/>
        <v/>
      </c>
      <c r="AD235" s="358"/>
      <c r="AE235" s="180"/>
      <c r="AF235" s="355" t="str">
        <f>IF($C235="","",IFERROR(VLOOKUP($C235,גיליון1!$A:$E,2,0),"לא הגיש בקשה שוטפת"))</f>
        <v>תמיכה שוטפת</v>
      </c>
      <c r="AG235" s="355" t="str">
        <f>IF($C235="","",IFERROR(VLOOKUP($C235,גיליון1!$A:$E,3,0),"לא הגיש בקשה שוטפת"))</f>
        <v>חויב</v>
      </c>
      <c r="AH235" s="355" t="str">
        <f>IF($C235="","",IFERROR(VLOOKUP($C235,גיליון1!$A:$E,4,0),"לא הגיש בקשה שוטפת"))</f>
        <v>19-42-02-20</v>
      </c>
      <c r="AI235" s="355" t="str">
        <f>IF($C235="","",IFERROR(VLOOKUP($C235,גיליון1!$A:$E,5,0),"לא הגיש בקשה שוטפת"))</f>
        <v>מחול וארגוני גג</v>
      </c>
      <c r="AJ235" s="355">
        <f t="shared" si="14"/>
        <v>0</v>
      </c>
      <c r="AK235" s="15"/>
      <c r="AL235" s="15" t="s">
        <v>250</v>
      </c>
    </row>
    <row r="236" spans="1:38" ht="285.75" x14ac:dyDescent="0.25">
      <c r="A236" s="346">
        <f>'הזנה לתנאי סף'!B236</f>
        <v>206</v>
      </c>
      <c r="B236" s="347">
        <f>IF($F236="","",'הזנה לתנאי סף'!C236)</f>
        <v>1001346679</v>
      </c>
      <c r="C236" s="347">
        <f>IF($F236="","",'הזנה לתנאי סף'!D236)</f>
        <v>1001266776</v>
      </c>
      <c r="D236" s="347">
        <f>IF($F236="","",'הזנה לתנאי סף'!E236)</f>
        <v>40819694</v>
      </c>
      <c r="E236" s="348">
        <f>IF($F236="","",'הזנה לתנאי סף'!F236)</f>
        <v>20000182</v>
      </c>
      <c r="F236" s="348" t="str">
        <f>IF('הזנה לתנאי סף'!BL236=1,'הזנה לתנאי סף'!G236,"")</f>
        <v>חיפה</v>
      </c>
      <c r="G236" s="348" t="str">
        <f>IF($F236="","",'הזנה לתנאי סף'!H236)</f>
        <v>בית 9 - בית ספר ובית יוצר לתיאטרון</v>
      </c>
      <c r="H236" s="348" t="str">
        <f>IF($F236="","",'הזנה לתנאי סף'!I236)</f>
        <v>בתי ספר לבובות</v>
      </c>
      <c r="I236" s="349">
        <f>IF($F236="","",'הזנה לתנאי סף'!R236)</f>
        <v>213252</v>
      </c>
      <c r="J236" s="349">
        <f>IF($F236="","",'תחום תמיכה א'!P236)</f>
        <v>225221</v>
      </c>
      <c r="K236" s="177">
        <f>IF($F236="","",'הזנה לתנאי סף'!N236)</f>
        <v>1</v>
      </c>
      <c r="L236" s="177">
        <f>IF($F236="","",'הזנה לתנאי סף'!O236)</f>
        <v>1</v>
      </c>
      <c r="M236" s="177">
        <f>IF($F236="","",'הזנה לתנאי סף'!Q236)</f>
        <v>1</v>
      </c>
      <c r="N236" s="349">
        <f>IF($F236="","",'תחום תמיכה א'!AE236)</f>
        <v>9729.6761846824411</v>
      </c>
      <c r="O236" s="178"/>
      <c r="P236" s="349">
        <f>IF($F236="","",'תחום תמיכה ב'!AC236)</f>
        <v>22700.193526465267</v>
      </c>
      <c r="Q236" s="349">
        <f>IF($F236="","",IF('תחום תמיכה ג'!O236="",0,'תחום תמיכה ג'!O236))</f>
        <v>4906.2083384218795</v>
      </c>
      <c r="R236" s="349">
        <f t="shared" si="12"/>
        <v>680.66648890993747</v>
      </c>
      <c r="S236" s="349">
        <f>IF($F236="","",'תחום תמיכה ב'!AE236)</f>
        <v>23380.860015375205</v>
      </c>
      <c r="T236" s="349">
        <f>IF($F236="","",IF(Q236='תחום תמיכה ג'!$Q$2,'תחום תמיכה ג'!$Q$2,IFERROR(SUMIF(N236:R236,"&gt;0"),'תחום תמיכה ג'!$Q$2)))</f>
        <v>38016.744538479528</v>
      </c>
      <c r="U236" s="349">
        <f>IF($F236="","",'הזנה לתנאי סף'!Y236)</f>
        <v>394650</v>
      </c>
      <c r="V236" s="350">
        <f>IF(F236="","",'הגבלה לסכום מבוקש '!AA236)</f>
        <v>41911.172665122773</v>
      </c>
      <c r="W236" s="349">
        <f t="shared" si="13"/>
        <v>10477.793166280693</v>
      </c>
      <c r="X236" s="349">
        <f>IF(F236="","",'הזנה לתנאי סף'!Z236)</f>
        <v>394650</v>
      </c>
      <c r="Y236" s="351" t="s">
        <v>3740</v>
      </c>
      <c r="Z236" s="352" t="str">
        <f>IFERROR(VLOOKUP(G236*1,#REF!,3,0),"")</f>
        <v/>
      </c>
      <c r="AA236" s="349" t="str">
        <f>IF(OR($F236="",Z236=""),"",IFERROR(IF(Z236&gt;V236,MIN(Z236,T236)-V236,0),'תחום תמיכה ג'!$Q$2))</f>
        <v/>
      </c>
      <c r="AB236" s="353"/>
      <c r="AC236" s="260" t="str">
        <f t="shared" si="15"/>
        <v/>
      </c>
      <c r="AD236" s="358"/>
      <c r="AE236" s="180"/>
      <c r="AF236" s="355" t="str">
        <f>IF($C236="","",IFERROR(VLOOKUP($C236,גיליון1!$A:$E,2,0),"לא הגיש בקשה שוטפת"))</f>
        <v>בית 9 - קבוצת תיאטרון</v>
      </c>
      <c r="AG236" s="355" t="str">
        <f>IF($C236="","",IFERROR(VLOOKUP($C236,גיליון1!$A:$E,3,0),"לא הגיש בקשה שוטפת"))</f>
        <v>מועד</v>
      </c>
      <c r="AH236" s="355" t="str">
        <f>IF($C236="","",IFERROR(VLOOKUP($C236,גיליון1!$A:$E,4,0),"לא הגיש בקשה שוטפת"))</f>
        <v>19-42-02-07</v>
      </c>
      <c r="AI236" s="355" t="str">
        <f>IF($C236="","",IFERROR(VLOOKUP($C236,גיליון1!$A:$E,5,0),"לא הגיש בקשה שוטפת"))</f>
        <v>תיאטרון</v>
      </c>
      <c r="AJ236" s="355">
        <f t="shared" si="14"/>
        <v>0</v>
      </c>
      <c r="AK236" s="15"/>
      <c r="AL236" s="15" t="s">
        <v>250</v>
      </c>
    </row>
    <row r="237" spans="1:38" ht="285.75" x14ac:dyDescent="0.25">
      <c r="A237" s="346">
        <f>'הזנה לתנאי סף'!B237</f>
        <v>207</v>
      </c>
      <c r="B237" s="347">
        <f>IF($F237="","",'הזנה לתנאי סף'!C237)</f>
        <v>1001350744</v>
      </c>
      <c r="C237" s="347">
        <f>IF($F237="","",'הזנה לתנאי סף'!D237)</f>
        <v>1001280342</v>
      </c>
      <c r="D237" s="347">
        <f>IF($F237="","",'הזנה לתנאי סף'!E237)</f>
        <v>40820736</v>
      </c>
      <c r="E237" s="348">
        <f>IF($F237="","",'הזנה לתנאי סף'!F237)</f>
        <v>20000201</v>
      </c>
      <c r="F237" s="348" t="str">
        <f>IF('הזנה לתנאי סף'!BL237=1,'הזנה לתנאי סף'!G237,"")</f>
        <v>תל אביב -יפו</v>
      </c>
      <c r="G237" s="348" t="str">
        <f>IF($F237="","",'הזנה לתנאי סף'!H237)</f>
        <v>התיאטרון הלאומי הבימה בע"מ(חל"צ)</v>
      </c>
      <c r="H237" s="348" t="str">
        <f>IF($F237="","",'הזנה לתנאי סף'!I237)</f>
        <v>תיאטרון</v>
      </c>
      <c r="I237" s="349">
        <f>IF($F237="","",'הזנה לתנאי סף'!R237)</f>
        <v>79192000</v>
      </c>
      <c r="J237" s="349">
        <f>IF($F237="","",'תחום תמיכה א'!P237)</f>
        <v>90371000</v>
      </c>
      <c r="K237" s="177">
        <f>IF($F237="","",'הזנה לתנאי סף'!N237)</f>
        <v>0</v>
      </c>
      <c r="L237" s="177">
        <f>IF($F237="","",'הזנה לתנאי סף'!O237)</f>
        <v>1</v>
      </c>
      <c r="M237" s="177">
        <f>IF($F237="","",'הזנה לתנאי סף'!Q237)</f>
        <v>1</v>
      </c>
      <c r="N237" s="349">
        <f>IF($F237="","",'תחום תמיכה א'!AE237)</f>
        <v>3757526.8084275969</v>
      </c>
      <c r="O237" s="178"/>
      <c r="P237" s="349">
        <f>IF($F237="","",'תחום תמיכה ב'!AC237)</f>
        <v>7808808.0805735495</v>
      </c>
      <c r="Q237" s="349">
        <f>IF($F237="","",IF('תחום תמיכה ג'!O237="",0,'תחום תמיכה ג'!O237))</f>
        <v>0</v>
      </c>
      <c r="R237" s="349">
        <f t="shared" si="12"/>
        <v>234147.51828343514</v>
      </c>
      <c r="S237" s="349">
        <f>IF($F237="","",'תחום תמיכה ב'!AE237)</f>
        <v>8042955.5988569846</v>
      </c>
      <c r="T237" s="349">
        <f>IF($F237="","",IF(Q237='תחום תמיכה ג'!$Q$2,'תחום תמיכה ג'!$Q$2,IFERROR(SUMIF(N237:R237,"&gt;0"),'תחום תמיכה ג'!$Q$2)))</f>
        <v>11800482.40728458</v>
      </c>
      <c r="U237" s="349">
        <f>IF($F237="","",'הזנה לתנאי סף'!Y237)</f>
        <v>20000000</v>
      </c>
      <c r="V237" s="350">
        <f>IF(F237="","",'הגבלה לסכום מבוקש '!AA237)</f>
        <v>13139574.114241883</v>
      </c>
      <c r="W237" s="349">
        <f t="shared" si="13"/>
        <v>3284893.5285604708</v>
      </c>
      <c r="X237" s="349">
        <f>IF(F237="","",'הזנה לתנאי סף'!Z237)</f>
        <v>8000000</v>
      </c>
      <c r="Y237" s="351" t="s">
        <v>3740</v>
      </c>
      <c r="Z237" s="352" t="str">
        <f>IFERROR(VLOOKUP(G237*1,#REF!,3,0),"")</f>
        <v/>
      </c>
      <c r="AA237" s="349" t="str">
        <f>IF(OR($F237="",Z237=""),"",IFERROR(IF(Z237&gt;V237,MIN(Z237,T237)-V237,0),'תחום תמיכה ג'!$Q$2))</f>
        <v/>
      </c>
      <c r="AB237" s="353"/>
      <c r="AC237" s="260" t="str">
        <f t="shared" si="15"/>
        <v/>
      </c>
      <c r="AD237" s="358"/>
      <c r="AE237" s="180"/>
      <c r="AF237" s="355" t="str">
        <f>IF($C237="","",IFERROR(VLOOKUP($C237,גיליון1!$A:$E,2,0),"לא הגיש בקשה שוטפת"))</f>
        <v>בקשה לתמיכה שוטפת</v>
      </c>
      <c r="AG237" s="355" t="str">
        <f>IF($C237="","",IFERROR(VLOOKUP($C237,גיליון1!$A:$E,3,0),"לא הגיש בקשה שוטפת"))</f>
        <v>חויב</v>
      </c>
      <c r="AH237" s="355" t="str">
        <f>IF($C237="","",IFERROR(VLOOKUP($C237,גיליון1!$A:$E,4,0),"לא הגיש בקשה שוטפת"))</f>
        <v>19-42-02-07</v>
      </c>
      <c r="AI237" s="355" t="str">
        <f>IF($C237="","",IFERROR(VLOOKUP($C237,גיליון1!$A:$E,5,0),"לא הגיש בקשה שוטפת"))</f>
        <v>תיאטרון</v>
      </c>
      <c r="AJ237" s="355">
        <f t="shared" si="14"/>
        <v>0</v>
      </c>
      <c r="AK237" s="15"/>
      <c r="AL237" s="15" t="s">
        <v>250</v>
      </c>
    </row>
    <row r="238" spans="1:38" ht="285.75" x14ac:dyDescent="0.25">
      <c r="A238" s="346">
        <f>'הזנה לתנאי סף'!B238</f>
        <v>208</v>
      </c>
      <c r="B238" s="347">
        <f>IF($F238="","",'הזנה לתנאי סף'!C238)</f>
        <v>1001348658</v>
      </c>
      <c r="C238" s="347">
        <f>IF($F238="","",'הזנה לתנאי סף'!D238)</f>
        <v>1001280645</v>
      </c>
      <c r="D238" s="347">
        <f>IF($F238="","",'הזנה לתנאי סף'!E238)</f>
        <v>41085342</v>
      </c>
      <c r="E238" s="348">
        <f>IF($F238="","",'הזנה לתנאי סף'!F238)</f>
        <v>20000254</v>
      </c>
      <c r="F238" s="348" t="str">
        <f>IF('הזנה לתנאי סף'!BL238=1,'הזנה לתנאי סף'!G238,"")</f>
        <v>באר שבע</v>
      </c>
      <c r="G238" s="348" t="str">
        <f>IF($F238="","",'הזנה לתנאי סף'!H238)</f>
        <v>סאנאם (ע"ר)</v>
      </c>
      <c r="H238" s="348" t="str">
        <f>IF($F238="","",'הזנה לתנאי סף'!I238)</f>
        <v>אחר</v>
      </c>
      <c r="I238" s="349">
        <f>IF($F238="","",'הזנה לתנאי סף'!R238)</f>
        <v>1081892</v>
      </c>
      <c r="J238" s="349">
        <f>IF($F238="","",'תחום תמיכה א'!P238)</f>
        <v>858665</v>
      </c>
      <c r="K238" s="177">
        <f>IF($F238="","",'הזנה לתנאי סף'!N238)</f>
        <v>0</v>
      </c>
      <c r="L238" s="177">
        <f>IF($F238="","",'הזנה לתנאי סף'!O238)</f>
        <v>1</v>
      </c>
      <c r="M238" s="177">
        <f>IF($F238="","",'הזנה לתנאי סף'!Q238)</f>
        <v>1</v>
      </c>
      <c r="N238" s="349">
        <f>IF($F238="","",'תחום תמיכה א'!AE238)</f>
        <v>24336.915220385781</v>
      </c>
      <c r="O238" s="178"/>
      <c r="P238" s="349">
        <f>IF($F238="","",'תחום תמיכה ב'!AC238)</f>
        <v>29687.442417832481</v>
      </c>
      <c r="Q238" s="349">
        <f>IF($F238="","",IF('תחום תמיכה ג'!O238="",0,'תחום תמיכה ג'!O238))</f>
        <v>0</v>
      </c>
      <c r="R238" s="349">
        <f t="shared" si="12"/>
        <v>890.17951198095034</v>
      </c>
      <c r="S238" s="349">
        <f>IF($F238="","",'תחום תמיכה ב'!AE238)</f>
        <v>30577.621929813431</v>
      </c>
      <c r="T238" s="349">
        <f>IF($F238="","",IF(Q238='תחום תמיכה ג'!$Q$2,'תחום תמיכה ג'!$Q$2,IFERROR(SUMIF(N238:R238,"&gt;0"),'תחום תמיכה ג'!$Q$2)))</f>
        <v>54914.537150199219</v>
      </c>
      <c r="U238" s="349">
        <f>IF($F238="","",'הזנה לתנאי סף'!Y238)</f>
        <v>1200000</v>
      </c>
      <c r="V238" s="350">
        <f>IF(F238="","",'הגבלה לסכום מבוקש '!AA238)</f>
        <v>60010.058327012077</v>
      </c>
      <c r="W238" s="349">
        <f t="shared" si="13"/>
        <v>15002.514581753019</v>
      </c>
      <c r="X238" s="349">
        <f>IF(F238="","",'הזנה לתנאי סף'!Z238)</f>
        <v>1200000</v>
      </c>
      <c r="Y238" s="351" t="s">
        <v>3740</v>
      </c>
      <c r="Z238" s="352" t="str">
        <f>IFERROR(VLOOKUP(G238*1,#REF!,3,0),"")</f>
        <v/>
      </c>
      <c r="AA238" s="349" t="str">
        <f>IF(OR($F238="",Z238=""),"",IFERROR(IF(Z238&gt;V238,MIN(Z238,T238)-V238,0),'תחום תמיכה ג'!$Q$2))</f>
        <v/>
      </c>
      <c r="AB238" s="353"/>
      <c r="AC238" s="260" t="str">
        <f t="shared" si="15"/>
        <v/>
      </c>
      <c r="AD238" s="358"/>
      <c r="AE238" s="180"/>
      <c r="AF238" s="355" t="str">
        <f>IF($C238="","",IFERROR(VLOOKUP($C238,גיליון1!$A:$E,2,0),"לא הגיש בקשה שוטפת"))</f>
        <v>תמיכה למעבדה המוזיקאלית סאנאם</v>
      </c>
      <c r="AG238" s="355" t="str">
        <f>IF($C238="","",IFERROR(VLOOKUP($C238,גיליון1!$A:$E,3,0),"לא הגיש בקשה שוטפת"))</f>
        <v>מועד</v>
      </c>
      <c r="AH238" s="355" t="str">
        <f>IF($C238="","",IFERROR(VLOOKUP($C238,גיליון1!$A:$E,4,0),"לא הגיש בקשה שוטפת"))</f>
        <v>19-42-02-33</v>
      </c>
      <c r="AI238" s="355" t="str">
        <f>IF($C238="","",IFERROR(VLOOKUP($C238,גיליון1!$A:$E,5,0),"לא הגיש בקשה שוטפת"))</f>
        <v>תרבות ערבית ודרוזית</v>
      </c>
      <c r="AJ238" s="355">
        <f t="shared" si="14"/>
        <v>0</v>
      </c>
      <c r="AK238" s="15"/>
      <c r="AL238" s="15" t="s">
        <v>250</v>
      </c>
    </row>
    <row r="239" spans="1:38" ht="285.75" x14ac:dyDescent="0.25">
      <c r="A239" s="346">
        <f>'הזנה לתנאי סף'!B239</f>
        <v>209</v>
      </c>
      <c r="B239" s="347">
        <f>IF($F239="","",'הזנה לתנאי סף'!C239)</f>
        <v>1001350449</v>
      </c>
      <c r="C239" s="347">
        <f>IF($F239="","",'הזנה לתנאי סף'!D239)</f>
        <v>1001280646</v>
      </c>
      <c r="D239" s="347">
        <f>IF($F239="","",'הזנה לתנאי סף'!E239)</f>
        <v>41090413</v>
      </c>
      <c r="E239" s="348">
        <f>IF($F239="","",'הזנה לתנאי סף'!F239)</f>
        <v>20000159</v>
      </c>
      <c r="F239" s="348" t="str">
        <f>IF('הזנה לתנאי סף'!BL239=1,'הזנה לתנאי סף'!G239,"")</f>
        <v>ירושלים</v>
      </c>
      <c r="G239" s="348" t="str">
        <f>IF($F239="","",'הזנה לתנאי סף'!H239)</f>
        <v>תיאטרון נקודה טובה (ע"ר)</v>
      </c>
      <c r="H239" s="348" t="str">
        <f>IF($F239="","",'הזנה לתנאי סף'!I239)</f>
        <v>תיאטרון</v>
      </c>
      <c r="I239" s="349">
        <f>IF($F239="","",'הזנה לתנאי סף'!R239)</f>
        <v>1726623</v>
      </c>
      <c r="J239" s="349">
        <f>IF($F239="","",'תחום תמיכה א'!P239)</f>
        <v>1982849</v>
      </c>
      <c r="K239" s="177">
        <f>IF($F239="","",'הזנה לתנאי סף'!N239)</f>
        <v>1</v>
      </c>
      <c r="L239" s="177">
        <f>IF($F239="","",'הזנה לתנאי סף'!O239)</f>
        <v>1</v>
      </c>
      <c r="M239" s="177">
        <f>IF($F239="","",'הזנה לתנאי סף'!Q239)</f>
        <v>1</v>
      </c>
      <c r="N239" s="349">
        <f>IF($F239="","",'תחום תמיכה א'!AE239)</f>
        <v>97705.940974201934</v>
      </c>
      <c r="O239" s="178"/>
      <c r="P239" s="349">
        <f>IF($F239="","",'תחום תמיכה ב'!AC239)</f>
        <v>239120.94489015365</v>
      </c>
      <c r="Q239" s="349">
        <f>IF($F239="","",IF('תחום תמיכה ג'!O239="",0,'תחום תמיכה ג'!O239))</f>
        <v>41336.450450463701</v>
      </c>
      <c r="R239" s="349">
        <f t="shared" si="12"/>
        <v>7170.0540259029076</v>
      </c>
      <c r="S239" s="349">
        <f>IF($F239="","",'תחום תמיכה ב'!AE239)</f>
        <v>246290.99891605656</v>
      </c>
      <c r="T239" s="349">
        <f>IF($F239="","",IF(Q239='תחום תמיכה ג'!$Q$2,'תחום תמיכה ג'!$Q$2,IFERROR(SUMIF(N239:R239,"&gt;0"),'תחום תמיכה ג'!$Q$2)))</f>
        <v>385333.39034072217</v>
      </c>
      <c r="U239" s="349">
        <f>IF($F239="","",'הזנה לתנאי סף'!Y239)</f>
        <v>563872</v>
      </c>
      <c r="V239" s="350">
        <f>IF(F239="","",'הגבלה לסכום מבוקש '!AA239)</f>
        <v>426349.91062567587</v>
      </c>
      <c r="W239" s="349">
        <f t="shared" si="13"/>
        <v>106587.47765641897</v>
      </c>
      <c r="X239" s="349">
        <f>IF(F239="","",'הזנה לתנאי סף'!Z239)</f>
        <v>350000</v>
      </c>
      <c r="Y239" s="351" t="s">
        <v>3740</v>
      </c>
      <c r="Z239" s="352" t="str">
        <f>IFERROR(VLOOKUP(G239*1,#REF!,3,0),"")</f>
        <v/>
      </c>
      <c r="AA239" s="349" t="str">
        <f>IF(OR($F239="",Z239=""),"",IFERROR(IF(Z239&gt;V239,MIN(Z239,T239)-V239,0),'תחום תמיכה ג'!$Q$2))</f>
        <v/>
      </c>
      <c r="AB239" s="353"/>
      <c r="AC239" s="260" t="str">
        <f t="shared" si="15"/>
        <v/>
      </c>
      <c r="AD239" s="358"/>
      <c r="AE239" s="180"/>
      <c r="AF239" s="355" t="str">
        <f>IF($C239="","",IFERROR(VLOOKUP($C239,גיליון1!$A:$E,2,0),"לא הגיש בקשה שוטפת"))</f>
        <v>תיאטרון רפרטוארי מבוגרים קטן 2020</v>
      </c>
      <c r="AG239" s="355" t="str">
        <f>IF($C239="","",IFERROR(VLOOKUP($C239,גיליון1!$A:$E,3,0),"לא הגיש בקשה שוטפת"))</f>
        <v>חויב</v>
      </c>
      <c r="AH239" s="355" t="str">
        <f>IF($C239="","",IFERROR(VLOOKUP($C239,גיליון1!$A:$E,4,0),"לא הגיש בקשה שוטפת"))</f>
        <v>19-42-02-07</v>
      </c>
      <c r="AI239" s="355" t="str">
        <f>IF($C239="","",IFERROR(VLOOKUP($C239,גיליון1!$A:$E,5,0),"לא הגיש בקשה שוטפת"))</f>
        <v>תיאטרון</v>
      </c>
      <c r="AJ239" s="355">
        <f t="shared" si="14"/>
        <v>0</v>
      </c>
      <c r="AK239" s="15"/>
      <c r="AL239" s="15" t="s">
        <v>250</v>
      </c>
    </row>
    <row r="240" spans="1:38" ht="285.75" x14ac:dyDescent="0.25">
      <c r="A240" s="346">
        <f>'הזנה לתנאי סף'!B240</f>
        <v>210</v>
      </c>
      <c r="B240" s="347">
        <f>IF($F240="","",'הזנה לתנאי סף'!C240)</f>
        <v>1001347310</v>
      </c>
      <c r="C240" s="347">
        <f>IF($F240="","",'הזנה לתנאי סף'!D240)</f>
        <v>1001270285</v>
      </c>
      <c r="D240" s="347">
        <f>IF($F240="","",'הזנה לתנאי סף'!E240)</f>
        <v>41107963</v>
      </c>
      <c r="E240" s="348">
        <f>IF($F240="","",'הזנה לתנאי סף'!F240)</f>
        <v>20000201</v>
      </c>
      <c r="F240" s="348" t="str">
        <f>IF('הזנה לתנאי סף'!BL240=1,'הזנה לתנאי סף'!G240,"")</f>
        <v>תל אביב -יפו</v>
      </c>
      <c r="G240" s="348" t="str">
        <f>IF($F240="","",'הזנה לתנאי סף'!H240)</f>
        <v>עלילה מקומית, עמותה רשומה</v>
      </c>
      <c r="H240" s="348" t="str">
        <f>IF($F240="","",'הזנה לתנאי סף'!I240)</f>
        <v>תיאטרון</v>
      </c>
      <c r="I240" s="349">
        <f>IF($F240="","",'הזנה לתנאי סף'!R240)</f>
        <v>1490149</v>
      </c>
      <c r="J240" s="349">
        <f>IF($F240="","",'תחום תמיכה א'!P240)</f>
        <v>1551534</v>
      </c>
      <c r="K240" s="177">
        <f>IF($F240="","",'הזנה לתנאי סף'!N240)</f>
        <v>1</v>
      </c>
      <c r="L240" s="177">
        <f>IF($F240="","",'הזנה לתנאי סף'!O240)</f>
        <v>1</v>
      </c>
      <c r="M240" s="177">
        <f>IF($F240="","",'הזנה לתנאי סף'!Q240)</f>
        <v>1</v>
      </c>
      <c r="N240" s="349">
        <f>IF($F240="","",'תחום תמיכה א'!AE240)</f>
        <v>23780.730052603802</v>
      </c>
      <c r="O240" s="178"/>
      <c r="P240" s="349">
        <f>IF($F240="","",'תחום תמיכה ב'!AC240)</f>
        <v>19967.095999623169</v>
      </c>
      <c r="Q240" s="349">
        <f>IF($F240="","",IF('תחום תמיכה ג'!O240="",0,'תחום תמיכה ג'!O240))</f>
        <v>8373.0573322784421</v>
      </c>
      <c r="R240" s="349">
        <f t="shared" si="12"/>
        <v>598.71441677120674</v>
      </c>
      <c r="S240" s="349">
        <f>IF($F240="","",'תחום תמיכה ב'!AE240)</f>
        <v>20565.810416394375</v>
      </c>
      <c r="T240" s="349">
        <f>IF($F240="","",IF(Q240='תחום תמיכה ג'!$Q$2,'תחום תמיכה ג'!$Q$2,IFERROR(SUMIF(N240:R240,"&gt;0"),'תחום תמיכה ג'!$Q$2)))</f>
        <v>52719.597801276614</v>
      </c>
      <c r="U240" s="349">
        <f>IF($F240="","",'הזנה לתנאי סף'!Y240)</f>
        <v>1000000</v>
      </c>
      <c r="V240" s="350">
        <f>IF(F240="","",'הגבלה לסכום מבוקש '!AA240)</f>
        <v>56153.91649236239</v>
      </c>
      <c r="W240" s="349">
        <f t="shared" si="13"/>
        <v>14038.479123090598</v>
      </c>
      <c r="X240" s="349">
        <f>IF(F240="","",'הזנה לתנאי סף'!Z240)</f>
        <v>1000000</v>
      </c>
      <c r="Y240" s="351" t="s">
        <v>3740</v>
      </c>
      <c r="Z240" s="352" t="str">
        <f>IFERROR(VLOOKUP(G240*1,#REF!,3,0),"")</f>
        <v/>
      </c>
      <c r="AA240" s="349" t="str">
        <f>IF(OR($F240="",Z240=""),"",IFERROR(IF(Z240&gt;V240,MIN(Z240,T240)-V240,0),'תחום תמיכה ג'!$Q$2))</f>
        <v/>
      </c>
      <c r="AB240" s="353"/>
      <c r="AC240" s="260" t="str">
        <f t="shared" si="15"/>
        <v/>
      </c>
      <c r="AD240" s="358"/>
      <c r="AE240" s="180"/>
      <c r="AF240" s="355" t="str">
        <f>IF($C240="","",IFERROR(VLOOKUP($C240,גיליון1!$A:$E,2,0),"לא הגיש בקשה שוטפת"))</f>
        <v>עלילה מקומית 2020-תמיכה שוטפת</v>
      </c>
      <c r="AG240" s="355" t="str">
        <f>IF($C240="","",IFERROR(VLOOKUP($C240,גיליון1!$A:$E,3,0),"לא הגיש בקשה שוטפת"))</f>
        <v>מועד</v>
      </c>
      <c r="AH240" s="355" t="str">
        <f>IF($C240="","",IFERROR(VLOOKUP($C240,גיליון1!$A:$E,4,0),"לא הגיש בקשה שוטפת"))</f>
        <v>19-42-02-07</v>
      </c>
      <c r="AI240" s="355" t="str">
        <f>IF($C240="","",IFERROR(VLOOKUP($C240,גיליון1!$A:$E,5,0),"לא הגיש בקשה שוטפת"))</f>
        <v>תיאטרון</v>
      </c>
      <c r="AJ240" s="355">
        <f t="shared" si="14"/>
        <v>0</v>
      </c>
      <c r="AK240" s="15"/>
      <c r="AL240" s="15" t="s">
        <v>250</v>
      </c>
    </row>
    <row r="241" spans="1:38" ht="285.75" x14ac:dyDescent="0.25">
      <c r="A241" s="346">
        <f>'הזנה לתנאי סף'!B241</f>
        <v>211</v>
      </c>
      <c r="B241" s="347">
        <f>IF($F241="","",'הזנה לתנאי סף'!C241)</f>
        <v>1001350115</v>
      </c>
      <c r="C241" s="347">
        <f>IF($F241="","",'הזנה לתנאי סף'!D241)</f>
        <v>1001272277</v>
      </c>
      <c r="D241" s="347">
        <f>IF($F241="","",'הזנה לתנאי סף'!E241)</f>
        <v>41109519</v>
      </c>
      <c r="E241" s="348">
        <f>IF($F241="","",'הזנה לתנאי סף'!F241)</f>
        <v>20000159</v>
      </c>
      <c r="F241" s="348" t="str">
        <f>IF('הזנה לתנאי סף'!BL241=1,'הזנה לתנאי סף'!G241,"")</f>
        <v>ירושלים</v>
      </c>
      <c r="G241" s="348" t="str">
        <f>IF($F241="","",'הזנה לתנאי סף'!H241)</f>
        <v>עמותת תיאטרון קומקום (ע"ר)</v>
      </c>
      <c r="H241" s="348" t="str">
        <f>IF($F241="","",'הזנה לתנאי סף'!I241)</f>
        <v>תיאטרון</v>
      </c>
      <c r="I241" s="349">
        <f>IF($F241="","",'הזנה לתנאי סף'!R241)</f>
        <v>1046629</v>
      </c>
      <c r="J241" s="349">
        <f>IF($F241="","",'תחום תמיכה א'!P241)</f>
        <v>675838</v>
      </c>
      <c r="K241" s="177">
        <f>IF($F241="","",'הזנה לתנאי סף'!N241)</f>
        <v>1</v>
      </c>
      <c r="L241" s="177">
        <f>IF($F241="","",'הזנה לתנאי סף'!O241)</f>
        <v>1</v>
      </c>
      <c r="M241" s="177">
        <f>IF($F241="","",'הזנה לתנאי סף'!Q241)</f>
        <v>1</v>
      </c>
      <c r="N241" s="349">
        <f>IF($F241="","",'תחום תמיכה א'!AE241)</f>
        <v>20788.085410599862</v>
      </c>
      <c r="O241" s="178"/>
      <c r="P241" s="349">
        <f>IF($F241="","",'תחום תמיכה ב'!AC241)</f>
        <v>38202.415148132852</v>
      </c>
      <c r="Q241" s="349">
        <f>IF($F241="","",IF('תחום תמיכה ג'!O241="",0,'תחום תמיכה ג'!O241))</f>
        <v>6603.9896320427379</v>
      </c>
      <c r="R241" s="349">
        <f t="shared" si="12"/>
        <v>1145.5014141814827</v>
      </c>
      <c r="S241" s="349">
        <f>IF($F241="","",'תחום תמיכה ב'!AE241)</f>
        <v>39347.916562314334</v>
      </c>
      <c r="T241" s="349">
        <f>IF($F241="","",IF(Q241='תחום תמיכה ג'!$Q$2,'תחום תמיכה ג'!$Q$2,IFERROR(SUMIF(N241:R241,"&gt;0"),'תחום תמיכה ג'!$Q$2)))</f>
        <v>66739.991604956944</v>
      </c>
      <c r="U241" s="349">
        <f>IF($F241="","",'הזנה לתנאי סף'!Y241)</f>
        <v>1200000</v>
      </c>
      <c r="V241" s="350">
        <f>IF(F241="","",'הגבלה לסכום מבוקש '!AA241)</f>
        <v>73295.226449593916</v>
      </c>
      <c r="W241" s="349">
        <f t="shared" si="13"/>
        <v>18323.806612398479</v>
      </c>
      <c r="X241" s="349">
        <f>IF(F241="","",'הזנה לתנאי סף'!Z241)</f>
        <v>30000</v>
      </c>
      <c r="Y241" s="351" t="s">
        <v>3740</v>
      </c>
      <c r="Z241" s="352" t="str">
        <f>IFERROR(VLOOKUP(G241*1,#REF!,3,0),"")</f>
        <v/>
      </c>
      <c r="AA241" s="349" t="str">
        <f>IF(OR($F241="",Z241=""),"",IFERROR(IF(Z241&gt;V241,MIN(Z241,T241)-V241,0),'תחום תמיכה ג'!$Q$2))</f>
        <v/>
      </c>
      <c r="AB241" s="353"/>
      <c r="AC241" s="260" t="str">
        <f t="shared" si="15"/>
        <v/>
      </c>
      <c r="AD241" s="358"/>
      <c r="AE241" s="180"/>
      <c r="AF241" s="355" t="str">
        <f>IF($C241="","",IFERROR(VLOOKUP($C241,גיליון1!$A:$E,2,0),"לא הגיש בקשה שוטפת"))</f>
        <v>תאטרון</v>
      </c>
      <c r="AG241" s="355" t="str">
        <f>IF($C241="","",IFERROR(VLOOKUP($C241,גיליון1!$A:$E,3,0),"לא הגיש בקשה שוטפת"))</f>
        <v>מועד</v>
      </c>
      <c r="AH241" s="355" t="str">
        <f>IF($C241="","",IFERROR(VLOOKUP($C241,גיליון1!$A:$E,4,0),"לא הגיש בקשה שוטפת"))</f>
        <v>19-42-02-07</v>
      </c>
      <c r="AI241" s="355" t="str">
        <f>IF($C241="","",IFERROR(VLOOKUP($C241,גיליון1!$A:$E,5,0),"לא הגיש בקשה שוטפת"))</f>
        <v>תיאטרון</v>
      </c>
      <c r="AJ241" s="355">
        <f t="shared" si="14"/>
        <v>0</v>
      </c>
      <c r="AK241" s="15"/>
      <c r="AL241" s="15" t="s">
        <v>250</v>
      </c>
    </row>
    <row r="242" spans="1:38" ht="285.75" x14ac:dyDescent="0.25">
      <c r="A242" s="346">
        <f>'הזנה לתנאי סף'!B242</f>
        <v>212</v>
      </c>
      <c r="B242" s="347">
        <f>IF($F242="","",'הזנה לתנאי סף'!C242)</f>
        <v>1001348412</v>
      </c>
      <c r="C242" s="347">
        <f>IF($F242="","",'הזנה לתנאי סף'!D242)</f>
        <v>1001275936</v>
      </c>
      <c r="D242" s="347">
        <f>IF($F242="","",'הזנה לתנאי סף'!E242)</f>
        <v>41375155</v>
      </c>
      <c r="E242" s="348">
        <f>IF($F242="","",'הזנה לתנאי סף'!F242)</f>
        <v>20000159</v>
      </c>
      <c r="F242" s="348" t="str">
        <f>IF('הזנה לתנאי סף'!BL242=1,'הזנה לתנאי סף'!G242,"")</f>
        <v>ירושלים</v>
      </c>
      <c r="G242" s="348" t="str">
        <f>IF($F242="","",'הזנה לתנאי סף'!H242)</f>
        <v>כביש אחד (ע"ר)</v>
      </c>
      <c r="H242" s="348" t="str">
        <f>IF($F242="","",'הזנה לתנאי סף'!I242)</f>
        <v>ספרות</v>
      </c>
      <c r="I242" s="349">
        <f>IF($F242="","",'הזנה לתנאי סף'!R242)</f>
        <v>128871</v>
      </c>
      <c r="J242" s="349">
        <f>IF($F242="","",'תחום תמיכה א'!P242)</f>
        <v>154881</v>
      </c>
      <c r="K242" s="177">
        <f>IF($F242="","",'הזנה לתנאי סף'!N242)</f>
        <v>1</v>
      </c>
      <c r="L242" s="177">
        <f>IF($F242="","",'הזנה לתנאי סף'!O242)</f>
        <v>1</v>
      </c>
      <c r="M242" s="177">
        <f>IF($F242="","",'הזנה לתנאי סף'!Q242)</f>
        <v>1</v>
      </c>
      <c r="N242" s="349">
        <f>IF($F242="","",'תחום תמיכה א'!AE242)</f>
        <v>3524.5354082712411</v>
      </c>
      <c r="O242" s="178"/>
      <c r="P242" s="349">
        <f>IF($F242="","",'תחום תמיכה ב'!AC242)</f>
        <v>3806.4497831446315</v>
      </c>
      <c r="Q242" s="349">
        <f>IF($F242="","",IF('תחום תמיכה ג'!O242="",0,'תחום תמיכה ג'!O242))</f>
        <v>658.01480888851825</v>
      </c>
      <c r="R242" s="349">
        <f t="shared" si="12"/>
        <v>114.1365956234863</v>
      </c>
      <c r="S242" s="349">
        <f>IF($F242="","",'תחום תמיכה ב'!AE242)</f>
        <v>3920.5863787681178</v>
      </c>
      <c r="T242" s="349">
        <f>IF($F242="","",IF(Q242='תחום תמיכה ג'!$Q$2,'תחום תמיכה ג'!$Q$2,IFERROR(SUMIF(N242:R242,"&gt;0"),'תחום תמיכה ג'!$Q$2)))</f>
        <v>8103.1365959278774</v>
      </c>
      <c r="U242" s="349">
        <f>IF($F242="","",'הזנה לתנאי סף'!Y242)</f>
        <v>200000</v>
      </c>
      <c r="V242" s="350">
        <f>IF(F242="","",'הגבלה לסכום מבוקש '!AA242)</f>
        <v>8756.9552221813519</v>
      </c>
      <c r="W242" s="349">
        <f t="shared" si="13"/>
        <v>2189.238805545338</v>
      </c>
      <c r="X242" s="349">
        <f>IF(F242="","",'הזנה לתנאי סף'!Z242)</f>
        <v>200000</v>
      </c>
      <c r="Y242" s="351" t="s">
        <v>3740</v>
      </c>
      <c r="Z242" s="352" t="str">
        <f>IFERROR(VLOOKUP(G242*1,#REF!,3,0),"")</f>
        <v/>
      </c>
      <c r="AA242" s="349" t="str">
        <f>IF(OR($F242="",Z242=""),"",IFERROR(IF(Z242&gt;V242,MIN(Z242,T242)-V242,0),'תחום תמיכה ג'!$Q$2))</f>
        <v/>
      </c>
      <c r="AB242" s="353"/>
      <c r="AC242" s="260" t="str">
        <f t="shared" si="15"/>
        <v/>
      </c>
      <c r="AD242" s="358"/>
      <c r="AE242" s="180"/>
      <c r="AF242" s="355" t="str">
        <f>IF($C242="","",IFERROR(VLOOKUP($C242,גיליון1!$A:$E,2,0),"לא הגיש בקשה שוטפת"))</f>
        <v>סדרת אירועי ספרות לזכר סופרים ומשוררים</v>
      </c>
      <c r="AG242" s="355" t="str">
        <f>IF($C242="","",IFERROR(VLOOKUP($C242,גיליון1!$A:$E,3,0),"לא הגיש בקשה שוטפת"))</f>
        <v>מועד</v>
      </c>
      <c r="AH242" s="355" t="str">
        <f>IF($C242="","",IFERROR(VLOOKUP($C242,גיליון1!$A:$E,4,0),"לא הגיש בקשה שוטפת"))</f>
        <v>19-42-02-22</v>
      </c>
      <c r="AI242" s="355" t="str">
        <f>IF($C242="","",IFERROR(VLOOKUP($C242,גיליון1!$A:$E,5,0),"לא הגיש בקשה שוטפת"))</f>
        <v>ספרות</v>
      </c>
      <c r="AJ242" s="355">
        <f t="shared" si="14"/>
        <v>0</v>
      </c>
      <c r="AK242" s="15"/>
      <c r="AL242" s="15" t="s">
        <v>250</v>
      </c>
    </row>
    <row r="243" spans="1:38" ht="285.75" x14ac:dyDescent="0.25">
      <c r="A243" s="346">
        <f>'הזנה לתנאי סף'!B243</f>
        <v>213</v>
      </c>
      <c r="B243" s="347">
        <f>IF($F243="","",'הזנה לתנאי סף'!C243)</f>
        <v>1001348413</v>
      </c>
      <c r="C243" s="347">
        <f>IF($F243="","",'הזנה לתנאי סף'!D243)</f>
        <v>1001275127</v>
      </c>
      <c r="D243" s="347">
        <f>IF($F243="","",'הזנה לתנאי סף'!E243)</f>
        <v>41375155</v>
      </c>
      <c r="E243" s="348">
        <f>IF($F243="","",'הזנה לתנאי סף'!F243)</f>
        <v>20000159</v>
      </c>
      <c r="F243" s="348" t="str">
        <f>IF('הזנה לתנאי סף'!BL243=1,'הזנה לתנאי סף'!G243,"")</f>
        <v>ירושלים</v>
      </c>
      <c r="G243" s="348" t="str">
        <f>IF($F243="","",'הזנה לתנאי סף'!H243)</f>
        <v>כביש אחד (ע"ר)</v>
      </c>
      <c r="H243" s="348" t="str">
        <f>IF($F243="","",'הזנה לתנאי סף'!I243)</f>
        <v>אחר</v>
      </c>
      <c r="I243" s="349">
        <f>IF($F243="","",'הזנה לתנאי סף'!R243)</f>
        <v>39910</v>
      </c>
      <c r="J243" s="349">
        <f>IF($F243="","",'תחום תמיכה א'!P243)</f>
        <v>94426</v>
      </c>
      <c r="K243" s="177">
        <f>IF($F243="","",'הזנה לתנאי סף'!N243)</f>
        <v>1</v>
      </c>
      <c r="L243" s="177">
        <f>IF($F243="","",'הזנה לתנאי סף'!O243)</f>
        <v>1</v>
      </c>
      <c r="M243" s="177">
        <f>IF($F243="","",'הזנה לתנאי סף'!Q243)</f>
        <v>1</v>
      </c>
      <c r="N243" s="349">
        <f>IF($F243="","",'תחום תמיכה א'!AE243)</f>
        <v>5161.7502703026321</v>
      </c>
      <c r="O243" s="178"/>
      <c r="P243" s="349">
        <f>IF($F243="","",'תחום תמיכה ב'!AC243)</f>
        <v>6802.2087996895825</v>
      </c>
      <c r="Q243" s="349">
        <f>IF($F243="","",IF('תחום תמיכה ג'!O243="",0,'תחום תמיכה ג'!O243))</f>
        <v>1175.8868179918052</v>
      </c>
      <c r="R243" s="349">
        <f t="shared" si="12"/>
        <v>203.96458625425385</v>
      </c>
      <c r="S243" s="349">
        <f>IF($F243="","",'תחום תמיכה ב'!AE243)</f>
        <v>7006.1733859438364</v>
      </c>
      <c r="T243" s="349">
        <f>IF($F243="","",IF(Q243='תחום תמיכה ג'!$Q$2,'תחום תמיכה ג'!$Q$2,IFERROR(SUMIF(N243:R243,"&gt;0"),'תחום תמיכה ג'!$Q$2)))</f>
        <v>13343.810474238275</v>
      </c>
      <c r="U243" s="349">
        <f>IF($F243="","",'הזנה לתנאי סף'!Y243)</f>
        <v>200000</v>
      </c>
      <c r="V243" s="350">
        <f>IF(F243="","",'הגבלה לסכום מבוקש '!AA243)</f>
        <v>14511.681065817264</v>
      </c>
      <c r="W243" s="349">
        <f t="shared" si="13"/>
        <v>3627.9202664543159</v>
      </c>
      <c r="X243" s="349">
        <f>IF(F243="","",'הזנה לתנאי סף'!Z243)</f>
        <v>200000</v>
      </c>
      <c r="Y243" s="351" t="s">
        <v>3740</v>
      </c>
      <c r="Z243" s="352" t="str">
        <f>IFERROR(VLOOKUP(G243*1,#REF!,3,0),"")</f>
        <v/>
      </c>
      <c r="AA243" s="349" t="str">
        <f>IF(OR($F243="",Z243=""),"",IFERROR(IF(Z243&gt;V243,MIN(Z243,T243)-V243,0),'תחום תמיכה ג'!$Q$2))</f>
        <v/>
      </c>
      <c r="AB243" s="353"/>
      <c r="AC243" s="260" t="str">
        <f t="shared" si="15"/>
        <v/>
      </c>
      <c r="AD243" s="358"/>
      <c r="AE243" s="180"/>
      <c r="AF243" s="355" t="str">
        <f>IF($C243="","",IFERROR(VLOOKUP($C243,גיליון1!$A:$E,2,0),"לא הגיש בקשה שוטפת"))</f>
        <v>תמיכה בפסטיבל יוצאי התיבה</v>
      </c>
      <c r="AG243" s="355" t="str">
        <f>IF($C243="","",IFERROR(VLOOKUP($C243,גיליון1!$A:$E,3,0),"לא הגיש בקשה שוטפת"))</f>
        <v>טיוט</v>
      </c>
      <c r="AH243" s="355" t="str">
        <f>IF($C243="","",IFERROR(VLOOKUP($C243,גיליון1!$A:$E,4,0),"לא הגיש בקשה שוטפת"))</f>
        <v>19-42-02-26</v>
      </c>
      <c r="AI243" s="355" t="str">
        <f>IF($C243="","",IFERROR(VLOOKUP($C243,גיליון1!$A:$E,5,0),"לא הגיש בקשה שוטפת"))</f>
        <v>פסטיבלים לתרבות</v>
      </c>
      <c r="AJ243" s="355">
        <f t="shared" si="14"/>
        <v>0</v>
      </c>
      <c r="AK243" s="15"/>
      <c r="AL243" s="15" t="s">
        <v>250</v>
      </c>
    </row>
    <row r="244" spans="1:38" ht="285.75" x14ac:dyDescent="0.25">
      <c r="A244" s="346">
        <f>'הזנה לתנאי סף'!B244</f>
        <v>214</v>
      </c>
      <c r="B244" s="347">
        <f>IF($F244="","",'הזנה לתנאי סף'!C244)</f>
        <v>1001348578</v>
      </c>
      <c r="C244" s="347">
        <f>IF($F244="","",'הזנה לתנאי סף'!D244)</f>
        <v>1001274514</v>
      </c>
      <c r="D244" s="347">
        <f>IF($F244="","",'הזנה לתנאי סף'!E244)</f>
        <v>41375631</v>
      </c>
      <c r="E244" s="348">
        <f>IF($F244="","",'הזנה לתנאי סף'!F244)</f>
        <v>20000065</v>
      </c>
      <c r="F244" s="348" t="str">
        <f>IF('הזנה לתנאי סף'!BL244=1,'הזנה לתנאי סף'!G244,"")</f>
        <v>עספיא</v>
      </c>
      <c r="G244" s="348" t="str">
        <f>IF($F244="","",'הזנה לתנאי סף'!H244)</f>
        <v>לוגוס לתרבויות ומורשת עמים (ע"ר)</v>
      </c>
      <c r="H244" s="348" t="str">
        <f>IF($F244="","",'הזנה לתנאי סף'!I244)</f>
        <v>אחר</v>
      </c>
      <c r="I244" s="349">
        <f>IF($F244="","",'הזנה לתנאי סף'!R244)</f>
        <v>1206787</v>
      </c>
      <c r="J244" s="349">
        <f>IF($F244="","",'תחום תמיכה א'!P244)</f>
        <v>1153294</v>
      </c>
      <c r="K244" s="177">
        <f>IF($F244="","",'הזנה לתנאי סף'!N244)</f>
        <v>0</v>
      </c>
      <c r="L244" s="177">
        <f>IF($F244="","",'הזנה לתנאי סף'!O244)</f>
        <v>1</v>
      </c>
      <c r="M244" s="177">
        <f>IF($F244="","",'הזנה לתנאי סף'!Q244)</f>
        <v>1</v>
      </c>
      <c r="N244" s="349">
        <f>IF($F244="","",'תחום תמיכה א'!AE244)</f>
        <v>38990.577757973551</v>
      </c>
      <c r="O244" s="178"/>
      <c r="P244" s="349">
        <f>IF($F244="","",'תחום תמיכה ב'!AC244)</f>
        <v>75188.961735830657</v>
      </c>
      <c r="Q244" s="349">
        <f>IF($F244="","",IF('תחום תמיכה ג'!O244="",0,'תחום תמיכה ג'!O244))</f>
        <v>0</v>
      </c>
      <c r="R244" s="349">
        <f t="shared" si="12"/>
        <v>2254.5449460527452</v>
      </c>
      <c r="S244" s="349">
        <f>IF($F244="","",'תחום תמיכה ב'!AE244)</f>
        <v>77443.506681883402</v>
      </c>
      <c r="T244" s="349">
        <f>IF($F244="","",IF(Q244='תחום תמיכה ג'!$Q$2,'תחום תמיכה ג'!$Q$2,IFERROR(SUMIF(N244:R244,"&gt;0"),'תחום תמיכה ג'!$Q$2)))</f>
        <v>116434.08443985696</v>
      </c>
      <c r="U244" s="349">
        <f>IF($F244="","",'הזנה לתנאי סף'!Y244)</f>
        <v>1086108</v>
      </c>
      <c r="V244" s="350">
        <f>IF(F244="","",'הגבלה לסכום מבוקש '!AA244)</f>
        <v>129329.126345875</v>
      </c>
      <c r="W244" s="349">
        <f t="shared" si="13"/>
        <v>32332.281586468751</v>
      </c>
      <c r="X244" s="349">
        <f>IF(F244="","",'הזנה לתנאי סף'!Z244)</f>
        <v>1086108</v>
      </c>
      <c r="Y244" s="351" t="s">
        <v>3740</v>
      </c>
      <c r="Z244" s="352" t="str">
        <f>IFERROR(VLOOKUP(G244*1,#REF!,3,0),"")</f>
        <v/>
      </c>
      <c r="AA244" s="349" t="str">
        <f>IF(OR($F244="",Z244=""),"",IFERROR(IF(Z244&gt;V244,MIN(Z244,T244)-V244,0),'תחום תמיכה ג'!$Q$2))</f>
        <v/>
      </c>
      <c r="AB244" s="353"/>
      <c r="AC244" s="260" t="str">
        <f t="shared" si="15"/>
        <v/>
      </c>
      <c r="AD244" s="358"/>
      <c r="AE244" s="180"/>
      <c r="AF244" s="355" t="str">
        <f>IF($C244="","",IFERROR(VLOOKUP($C244,גיליון1!$A:$E,2,0),"לא הגיש בקשה שוטפת"))</f>
        <v>תמיכה שוטפת לוגוס 2020</v>
      </c>
      <c r="AG244" s="355" t="str">
        <f>IF($C244="","",IFERROR(VLOOKUP($C244,גיליון1!$A:$E,3,0),"לא הגיש בקשה שוטפת"))</f>
        <v>מועד</v>
      </c>
      <c r="AH244" s="355" t="str">
        <f>IF($C244="","",IFERROR(VLOOKUP($C244,גיליון1!$A:$E,4,0),"לא הגיש בקשה שוטפת"))</f>
        <v>19-42-02-33</v>
      </c>
      <c r="AI244" s="355" t="str">
        <f>IF($C244="","",IFERROR(VLOOKUP($C244,גיליון1!$A:$E,5,0),"לא הגיש בקשה שוטפת"))</f>
        <v>תרבות ערבית ודרוזית</v>
      </c>
      <c r="AJ244" s="355">
        <f t="shared" si="14"/>
        <v>0</v>
      </c>
      <c r="AK244" s="15"/>
      <c r="AL244" s="15" t="s">
        <v>250</v>
      </c>
    </row>
    <row r="245" spans="1:38" ht="285.75" x14ac:dyDescent="0.25">
      <c r="A245" s="346">
        <f>'הזנה לתנאי סף'!B245</f>
        <v>215</v>
      </c>
      <c r="B245" s="347">
        <f>IF($F245="","",'הזנה לתנאי סף'!C245)</f>
        <v>1001349368</v>
      </c>
      <c r="C245" s="347">
        <f>IF($F245="","",'הזנה לתנאי סף'!D245)</f>
        <v>1001275002</v>
      </c>
      <c r="D245" s="347">
        <f>IF($F245="","",'הזנה לתנאי סף'!E245)</f>
        <v>41375631</v>
      </c>
      <c r="E245" s="348">
        <f>IF($F245="","",'הזנה לתנאי סף'!F245)</f>
        <v>20000065</v>
      </c>
      <c r="F245" s="348" t="str">
        <f>IF('הזנה לתנאי סף'!BL245=1,'הזנה לתנאי סף'!G245,"")</f>
        <v>עספיא</v>
      </c>
      <c r="G245" s="348" t="str">
        <f>IF($F245="","",'הזנה לתנאי סף'!H245)</f>
        <v>לוגוס לתרבויות ומורשת עמים (ע"ר)</v>
      </c>
      <c r="H245" s="348" t="str">
        <f>IF($F245="","",'הזנה לתנאי סף'!I245)</f>
        <v>אחר</v>
      </c>
      <c r="I245" s="349">
        <f>IF($F245="","",'הזנה לתנאי סף'!R245)</f>
        <v>310340</v>
      </c>
      <c r="J245" s="349">
        <f>IF($F245="","",'תחום תמיכה א'!P245)</f>
        <v>310340</v>
      </c>
      <c r="K245" s="177">
        <f>IF($F245="","",'הזנה לתנאי סף'!N245)</f>
        <v>0</v>
      </c>
      <c r="L245" s="177">
        <f>IF($F245="","",'הזנה לתנאי סף'!O245)</f>
        <v>1</v>
      </c>
      <c r="M245" s="177">
        <f>IF($F245="","",'הזנה לתנאי סף'!Q245)</f>
        <v>1</v>
      </c>
      <c r="N245" s="349">
        <f>IF($F245="","",'תחום תמיכה א'!AE245)</f>
        <v>11968.519400709654</v>
      </c>
      <c r="O245" s="178"/>
      <c r="P245" s="349">
        <f>IF($F245="","",'תחום תמיכה ב'!AC245)</f>
        <v>10581.522973399173</v>
      </c>
      <c r="Q245" s="349">
        <f>IF($F245="","",IF('תחום תמיכה ג'!O245="",0,'תחום תמיכה ג'!O245))</f>
        <v>0</v>
      </c>
      <c r="R245" s="349">
        <f t="shared" si="12"/>
        <v>317.28751921107505</v>
      </c>
      <c r="S245" s="349">
        <f>IF($F245="","",'תחום תמיכה ב'!AE245)</f>
        <v>10898.810492610248</v>
      </c>
      <c r="T245" s="349">
        <f>IF($F245="","",IF(Q245='תחום תמיכה ג'!$Q$2,'תחום תמיכה ג'!$Q$2,IFERROR(SUMIF(N245:R245,"&gt;0"),'תחום תמיכה ג'!$Q$2)))</f>
        <v>22867.329893319904</v>
      </c>
      <c r="U245" s="349">
        <f>IF($F245="","",'הזנה לתנאי סף'!Y245)</f>
        <v>495500</v>
      </c>
      <c r="V245" s="350">
        <f>IF(F245="","",'הגבלה לסכום מבוקש '!AA245)</f>
        <v>24685.031176474637</v>
      </c>
      <c r="W245" s="349">
        <f t="shared" si="13"/>
        <v>6171.2577941186591</v>
      </c>
      <c r="X245" s="349">
        <f>IF(F245="","",'הזנה לתנאי סף'!Z245)</f>
        <v>495500</v>
      </c>
      <c r="Y245" s="351" t="s">
        <v>3740</v>
      </c>
      <c r="Z245" s="352" t="str">
        <f>IFERROR(VLOOKUP(G245*1,#REF!,3,0),"")</f>
        <v/>
      </c>
      <c r="AA245" s="349" t="str">
        <f>IF(OR($F245="",Z245=""),"",IFERROR(IF(Z245&gt;V245,MIN(Z245,T245)-V245,0),'תחום תמיכה ג'!$Q$2))</f>
        <v/>
      </c>
      <c r="AB245" s="353"/>
      <c r="AC245" s="260" t="str">
        <f t="shared" si="15"/>
        <v/>
      </c>
      <c r="AD245" s="358"/>
      <c r="AE245" s="180"/>
      <c r="AF245" s="355" t="str">
        <f>IF($C245="","",IFERROR(VLOOKUP($C245,גיליון1!$A:$E,2,0),"לא הגיש בקשה שוטפת"))</f>
        <v>תמיכה בפסטיבל המחולות לוגוס</v>
      </c>
      <c r="AG245" s="355" t="str">
        <f>IF($C245="","",IFERROR(VLOOKUP($C245,גיליון1!$A:$E,3,0),"לא הגיש בקשה שוטפת"))</f>
        <v>טיוט</v>
      </c>
      <c r="AH245" s="355" t="str">
        <f>IF($C245="","",IFERROR(VLOOKUP($C245,גיליון1!$A:$E,4,0),"לא הגיש בקשה שוטפת"))</f>
        <v>19-42-02-26</v>
      </c>
      <c r="AI245" s="355" t="str">
        <f>IF($C245="","",IFERROR(VLOOKUP($C245,גיליון1!$A:$E,5,0),"לא הגיש בקשה שוטפת"))</f>
        <v>פסטיבלים לתרבות</v>
      </c>
      <c r="AJ245" s="355">
        <f t="shared" si="14"/>
        <v>0</v>
      </c>
      <c r="AK245" s="15"/>
      <c r="AL245" s="15" t="s">
        <v>250</v>
      </c>
    </row>
    <row r="246" spans="1:38" ht="285.75" x14ac:dyDescent="0.25">
      <c r="A246" s="346">
        <f>'הזנה לתנאי סף'!B246</f>
        <v>216</v>
      </c>
      <c r="B246" s="347">
        <f>IF($F246="","",'הזנה לתנאי סף'!C246)</f>
        <v>1001350100</v>
      </c>
      <c r="C246" s="347">
        <f>IF($F246="","",'הזנה לתנאי סף'!D246)</f>
        <v>1001275329</v>
      </c>
      <c r="D246" s="347">
        <f>IF($F246="","",'הזנה לתנאי סף'!E246)</f>
        <v>41375690</v>
      </c>
      <c r="E246" s="348">
        <f>IF($F246="","",'הזנה לתנאי סף'!F246)</f>
        <v>20000201</v>
      </c>
      <c r="F246" s="348" t="str">
        <f>IF('הזנה לתנאי סף'!BL246=1,'הזנה לתנאי סף'!G246,"")</f>
        <v>תל אביב -יפו</v>
      </c>
      <c r="G246" s="348" t="str">
        <f>IF($F246="","",'הזנה לתנאי סף'!H246)</f>
        <v>העמותה ליצירה פנטסטית וספקולטיבית ב</v>
      </c>
      <c r="H246" s="348" t="str">
        <f>IF($F246="","",'הזנה לתנאי סף'!I246)</f>
        <v>ספרות</v>
      </c>
      <c r="I246" s="349">
        <f>IF($F246="","",'הזנה לתנאי סף'!R246)</f>
        <v>73427</v>
      </c>
      <c r="J246" s="349">
        <f>IF($F246="","",'תחום תמיכה א'!P246)</f>
        <v>73322</v>
      </c>
      <c r="K246" s="177">
        <f>IF($F246="","",'הזנה לתנאי סף'!N246)</f>
        <v>0</v>
      </c>
      <c r="L246" s="177">
        <f>IF($F246="","",'הזנה לתנאי סף'!O246)</f>
        <v>1</v>
      </c>
      <c r="M246" s="177">
        <f>IF($F246="","",'הזנה לתנאי סף'!Q246)</f>
        <v>1</v>
      </c>
      <c r="N246" s="349">
        <f>IF($F246="","",'תחום תמיכה א'!AE246)</f>
        <v>1515.3711699624528</v>
      </c>
      <c r="O246" s="178"/>
      <c r="P246" s="349">
        <f>IF($F246="","",'תחום תמיכה ב'!AC246)</f>
        <v>1788.8859728301115</v>
      </c>
      <c r="Q246" s="349">
        <f>IF($F246="","",IF('תחום תמיכה ג'!O246="",0,'תחום תמיכה ג'!O246))</f>
        <v>0</v>
      </c>
      <c r="R246" s="349">
        <f t="shared" si="12"/>
        <v>53.639839359383359</v>
      </c>
      <c r="S246" s="349">
        <f>IF($F246="","",'תחום תמיכה ב'!AE246)</f>
        <v>1842.5258121894949</v>
      </c>
      <c r="T246" s="349">
        <f>IF($F246="","",IF(Q246='תחום תמיכה ג'!$Q$2,'תחום תמיכה ג'!$Q$2,IFERROR(SUMIF(N246:R246,"&gt;0"),'תחום תמיכה ג'!$Q$2)))</f>
        <v>3357.8969821519477</v>
      </c>
      <c r="U246" s="349">
        <f>IF($F246="","",'הזנה לתנאי סף'!Y246)</f>
        <v>20000</v>
      </c>
      <c r="V246" s="350">
        <f>IF(F246="","",'הגבלה לסכום מבוקש '!AA246)</f>
        <v>3664.9617386315713</v>
      </c>
      <c r="W246" s="349">
        <f t="shared" si="13"/>
        <v>916.24043465789282</v>
      </c>
      <c r="X246" s="349">
        <f>IF(F246="","",'הזנה לתנאי סף'!Z246)</f>
        <v>3000</v>
      </c>
      <c r="Y246" s="351" t="s">
        <v>3740</v>
      </c>
      <c r="Z246" s="352" t="str">
        <f>IFERROR(VLOOKUP(G246*1,#REF!,3,0),"")</f>
        <v/>
      </c>
      <c r="AA246" s="349" t="str">
        <f>IF(OR($F246="",Z246=""),"",IFERROR(IF(Z246&gt;V246,MIN(Z246,T246)-V246,0),'תחום תמיכה ג'!$Q$2))</f>
        <v/>
      </c>
      <c r="AB246" s="353"/>
      <c r="AC246" s="260" t="str">
        <f t="shared" si="15"/>
        <v/>
      </c>
      <c r="AD246" s="358"/>
      <c r="AE246" s="180"/>
      <c r="AF246" s="355" t="str">
        <f>IF($C246="","",IFERROR(VLOOKUP($C246,גיליון1!$A:$E,2,0),"לא הגיש בקשה שוטפת"))</f>
        <v>אירועי ספרות אוטופיה</v>
      </c>
      <c r="AG246" s="355" t="str">
        <f>IF($C246="","",IFERROR(VLOOKUP($C246,גיליון1!$A:$E,3,0),"לא הגיש בקשה שוטפת"))</f>
        <v>מועד</v>
      </c>
      <c r="AH246" s="355" t="str">
        <f>IF($C246="","",IFERROR(VLOOKUP($C246,גיליון1!$A:$E,4,0),"לא הגיש בקשה שוטפת"))</f>
        <v>19-42-02-22</v>
      </c>
      <c r="AI246" s="355" t="str">
        <f>IF($C246="","",IFERROR(VLOOKUP($C246,גיליון1!$A:$E,5,0),"לא הגיש בקשה שוטפת"))</f>
        <v>ספרות</v>
      </c>
      <c r="AJ246" s="355">
        <f t="shared" si="14"/>
        <v>0</v>
      </c>
      <c r="AK246" s="15"/>
      <c r="AL246" s="15" t="s">
        <v>250</v>
      </c>
    </row>
    <row r="247" spans="1:38" ht="285.75" x14ac:dyDescent="0.25">
      <c r="A247" s="346">
        <f>'הזנה לתנאי סף'!B247</f>
        <v>217</v>
      </c>
      <c r="B247" s="347">
        <f>IF($F247="","",'הזנה לתנאי סף'!C247)</f>
        <v>1001350112</v>
      </c>
      <c r="C247" s="347">
        <f>IF($F247="","",'הזנה לתנאי סף'!D247)</f>
        <v>1001277938</v>
      </c>
      <c r="D247" s="347">
        <f>IF($F247="","",'הזנה לתנאי סף'!E247)</f>
        <v>41375690</v>
      </c>
      <c r="E247" s="348">
        <f>IF($F247="","",'הזנה לתנאי סף'!F247)</f>
        <v>20000201</v>
      </c>
      <c r="F247" s="348" t="str">
        <f>IF('הזנה לתנאי סף'!BL247=1,'הזנה לתנאי סף'!G247,"")</f>
        <v>תל אביב -יפו</v>
      </c>
      <c r="G247" s="348" t="str">
        <f>IF($F247="","",'הזנה לתנאי סף'!H247)</f>
        <v>העמותה ליצירה פנטסטית וספקולטיבית ב</v>
      </c>
      <c r="H247" s="348" t="str">
        <f>IF($F247="","",'הזנה לתנאי סף'!I247)</f>
        <v>סינמטקים ופסטיבלים</v>
      </c>
      <c r="I247" s="349">
        <f>IF($F247="","",'הזנה לתנאי סף'!R247)</f>
        <v>411584</v>
      </c>
      <c r="J247" s="349">
        <f>IF($F247="","",'תחום תמיכה א'!P247)</f>
        <v>402816</v>
      </c>
      <c r="K247" s="177">
        <f>IF($F247="","",'הזנה לתנאי סף'!N247)</f>
        <v>0</v>
      </c>
      <c r="L247" s="177">
        <f>IF($F247="","",'הזנה לתנאי סף'!O247)</f>
        <v>1</v>
      </c>
      <c r="M247" s="177">
        <f>IF($F247="","",'הזנה לתנאי סף'!Q247)</f>
        <v>1</v>
      </c>
      <c r="N247" s="349">
        <f>IF($F247="","",'תחום תמיכה א'!AE247)</f>
        <v>15041.038074108033</v>
      </c>
      <c r="O247" s="178"/>
      <c r="P247" s="349">
        <f>IF($F247="","",'תחום תמיכה ב'!AC247)</f>
        <v>32730.912869580294</v>
      </c>
      <c r="Q247" s="349">
        <f>IF($F247="","",IF('תחום תמיכה ג'!O247="",0,'תחום תמיכה ג'!O247))</f>
        <v>0</v>
      </c>
      <c r="R247" s="349">
        <f t="shared" si="12"/>
        <v>981.43813248905644</v>
      </c>
      <c r="S247" s="349">
        <f>IF($F247="","",'תחום תמיכה ב'!AE247)</f>
        <v>33712.35100206935</v>
      </c>
      <c r="T247" s="349">
        <f>IF($F247="","",IF(Q247='תחום תמיכה ג'!$Q$2,'תחום תמיכה ג'!$Q$2,IFERROR(SUMIF(N247:R247,"&gt;0"),'תחום תמיכה ג'!$Q$2)))</f>
        <v>48753.38907617738</v>
      </c>
      <c r="U247" s="349">
        <f>IF($F247="","",'הזנה לתנאי סף'!Y247)</f>
        <v>120000</v>
      </c>
      <c r="V247" s="350">
        <f>IF(F247="","",'הגבלה לסכום מבוקש '!AA247)</f>
        <v>54365.919623241884</v>
      </c>
      <c r="W247" s="349">
        <f t="shared" si="13"/>
        <v>13591.479905810471</v>
      </c>
      <c r="X247" s="349">
        <f>IF(F247="","",'הזנה לתנאי סף'!Z247)</f>
        <v>30000</v>
      </c>
      <c r="Y247" s="351" t="s">
        <v>3740</v>
      </c>
      <c r="Z247" s="352" t="str">
        <f>IFERROR(VLOOKUP(G247*1,#REF!,3,0),"")</f>
        <v/>
      </c>
      <c r="AA247" s="349" t="str">
        <f>IF(OR($F247="",Z247=""),"",IFERROR(IF(Z247&gt;V247,MIN(Z247,T247)-V247,0),'תחום תמיכה ג'!$Q$2))</f>
        <v/>
      </c>
      <c r="AB247" s="353"/>
      <c r="AC247" s="260" t="str">
        <f t="shared" si="15"/>
        <v/>
      </c>
      <c r="AD247" s="358"/>
      <c r="AE247" s="180"/>
      <c r="AF247" s="355" t="str">
        <f>IF($C247="","",IFERROR(VLOOKUP($C247,גיליון1!$A:$E,2,0),"לא הגיש בקשה שוטפת"))</f>
        <v>פסטיבל לסרטי מדע בדיוני ואימה - אוטופיה</v>
      </c>
      <c r="AG247" s="355" t="str">
        <f>IF($C247="","",IFERROR(VLOOKUP($C247,גיליון1!$A:$E,3,0),"לא הגיש בקשה שוטפת"))</f>
        <v>מועד</v>
      </c>
      <c r="AH247" s="355" t="str">
        <f>IF($C247="","",IFERROR(VLOOKUP($C247,גיליון1!$A:$E,4,0),"לא הגיש בקשה שוטפת"))</f>
        <v>19-42-02-28</v>
      </c>
      <c r="AI247" s="355" t="str">
        <f>IF($C247="","",IFERROR(VLOOKUP($C247,גיליון1!$A:$E,5,0),"לא הגיש בקשה שוטפת"))</f>
        <v>חוק  הקולנוע</v>
      </c>
      <c r="AJ247" s="355">
        <f t="shared" si="14"/>
        <v>0</v>
      </c>
      <c r="AK247" s="15"/>
      <c r="AL247" s="15" t="s">
        <v>250</v>
      </c>
    </row>
    <row r="248" spans="1:38" ht="285.75" x14ac:dyDescent="0.25">
      <c r="A248" s="346">
        <f>'הזנה לתנאי סף'!B248</f>
        <v>218</v>
      </c>
      <c r="B248" s="347">
        <f>IF($F248="","",'הזנה לתנאי סף'!C248)</f>
        <v>1001350278</v>
      </c>
      <c r="C248" s="347">
        <f>IF($F248="","",'הזנה לתנאי סף'!D248)</f>
        <v>1001295236</v>
      </c>
      <c r="D248" s="347">
        <f>IF($F248="","",'הזנה לתנאי סף'!E248)</f>
        <v>41375765</v>
      </c>
      <c r="E248" s="348">
        <f>IF($F248="","",'הזנה לתנאי סף'!F248)</f>
        <v>20000159</v>
      </c>
      <c r="F248" s="348" t="str">
        <f>IF('הזנה לתנאי סף'!BL248=1,'הזנה לתנאי סף'!G248,"")</f>
        <v>ירושלים</v>
      </c>
      <c r="G248" s="348" t="str">
        <f>IF($F248="","",'הזנה לתנאי סף'!H248)</f>
        <v>התיאטרון החברתי משו משו (ע"ר)</v>
      </c>
      <c r="H248" s="348" t="str">
        <f>IF($F248="","",'הזנה לתנאי סף'!I248)</f>
        <v>אחר</v>
      </c>
      <c r="I248" s="349">
        <f>IF($F248="","",'הזנה לתנאי סף'!R248)</f>
        <v>42000</v>
      </c>
      <c r="J248" s="349">
        <f>IF($F248="","",'תחום תמיכה א'!P248)</f>
        <v>72500</v>
      </c>
      <c r="K248" s="177">
        <f>IF($F248="","",'הזנה לתנאי סף'!N248)</f>
        <v>0</v>
      </c>
      <c r="L248" s="177">
        <f>IF($F248="","",'הזנה לתנאי סף'!O248)</f>
        <v>1</v>
      </c>
      <c r="M248" s="177">
        <f>IF($F248="","",'הזנה לתנאי סף'!Q248)</f>
        <v>1</v>
      </c>
      <c r="N248" s="349">
        <f>IF($F248="","",'תחום תמיכה א'!AE248)</f>
        <v>2736.4789417642451</v>
      </c>
      <c r="O248" s="178"/>
      <c r="P248" s="349">
        <f>IF($F248="","",'תחום תמיכה ב'!AC248)</f>
        <v>3412.8322061178956</v>
      </c>
      <c r="Q248" s="349">
        <f>IF($F248="","",IF('תחום תמיכה ג'!O248="",0,'תחום תמיכה ג'!O248))</f>
        <v>0</v>
      </c>
      <c r="R248" s="349">
        <f t="shared" si="12"/>
        <v>102.33395201096982</v>
      </c>
      <c r="S248" s="349">
        <f>IF($F248="","",'תחום תמיכה ב'!AE248)</f>
        <v>3515.1661581288654</v>
      </c>
      <c r="T248" s="349">
        <f>IF($F248="","",IF(Q248='תחום תמיכה ג'!$Q$2,'תחום תמיכה ג'!$Q$2,IFERROR(SUMIF(N248:R248,"&gt;0"),'תחום תמיכה ג'!$Q$2)))</f>
        <v>6251.6450998931105</v>
      </c>
      <c r="U248" s="349">
        <f>IF($F248="","",'הזנה לתנאי סף'!Y248)</f>
        <v>100000</v>
      </c>
      <c r="V248" s="350">
        <f>IF(F248="","",'הגבלה לסכום מבוקש '!AA248)</f>
        <v>6837.3921107292808</v>
      </c>
      <c r="W248" s="349">
        <f t="shared" si="13"/>
        <v>1709.3480276823202</v>
      </c>
      <c r="X248" s="349">
        <f>IF(F248="","",'הזנה לתנאי סף'!Z248)</f>
        <v>100000</v>
      </c>
      <c r="Y248" s="351" t="s">
        <v>3740</v>
      </c>
      <c r="Z248" s="352" t="str">
        <f>IFERROR(VLOOKUP(G248*1,#REF!,3,0),"")</f>
        <v/>
      </c>
      <c r="AA248" s="349" t="str">
        <f>IF(OR($F248="",Z248=""),"",IFERROR(IF(Z248&gt;V248,MIN(Z248,T248)-V248,0),'תחום תמיכה ג'!$Q$2))</f>
        <v/>
      </c>
      <c r="AB248" s="353"/>
      <c r="AC248" s="260" t="str">
        <f t="shared" si="15"/>
        <v/>
      </c>
      <c r="AD248" s="358"/>
      <c r="AE248" s="180"/>
      <c r="AF248" s="355" t="str">
        <f>IF($C248="","",IFERROR(VLOOKUP($C248,גיליון1!$A:$E,2,0),"לא הגיש בקשה שוטפת"))</f>
        <v>תיאטרון גיל שלישי</v>
      </c>
      <c r="AG248" s="355" t="str">
        <f>IF($C248="","",IFERROR(VLOOKUP($C248,גיליון1!$A:$E,3,0),"לא הגיש בקשה שוטפת"))</f>
        <v>טיוט</v>
      </c>
      <c r="AH248" s="355" t="str">
        <f>IF($C248="","",IFERROR(VLOOKUP($C248,גיליון1!$A:$E,4,0),"לא הגיש בקשה שוטפת"))</f>
        <v>19-42-02-31</v>
      </c>
      <c r="AI248" s="355" t="str">
        <f>IF($C248="","",IFERROR(VLOOKUP($C248,גיליון1!$A:$E,5,0),"לא הגיש בקשה שוטפת"))</f>
        <v>תרבות בקהילה תמיכה</v>
      </c>
      <c r="AJ248" s="355">
        <f t="shared" si="14"/>
        <v>0</v>
      </c>
      <c r="AK248" s="15"/>
      <c r="AL248" s="15" t="s">
        <v>250</v>
      </c>
    </row>
    <row r="249" spans="1:38" ht="285.75" x14ac:dyDescent="0.25">
      <c r="A249" s="346">
        <f>'הזנה לתנאי סף'!B249</f>
        <v>219</v>
      </c>
      <c r="B249" s="347">
        <f>IF($F249="","",'הזנה לתנאי סף'!C249)</f>
        <v>1001347067</v>
      </c>
      <c r="C249" s="347">
        <f>IF($F249="","",'הזנה לתנאי סף'!D249)</f>
        <v>1001347067</v>
      </c>
      <c r="D249" s="347">
        <f>IF($F249="","",'הזנה לתנאי סף'!E249)</f>
        <v>41446343</v>
      </c>
      <c r="E249" s="348">
        <f>IF($F249="","",'הזנה לתנאי סף'!F249)</f>
        <v>20000253</v>
      </c>
      <c r="F249" s="348" t="str">
        <f>IF('הזנה לתנאי סף'!BL249=1,'הזנה לתנאי סף'!G249,"")</f>
        <v>טמרה</v>
      </c>
      <c r="G249" s="348" t="str">
        <f>IF($F249="","",'הזנה לתנאי סף'!H249)</f>
        <v>תיאטרון אלעין (ע"ר)</v>
      </c>
      <c r="H249" s="348" t="str">
        <f>IF($F249="","",'הזנה לתנאי סף'!I249)</f>
        <v>תיאטרון</v>
      </c>
      <c r="I249" s="349">
        <f>IF($F249="","",'הזנה לתנאי סף'!R249)</f>
        <v>658631</v>
      </c>
      <c r="J249" s="349">
        <f>IF($F249="","",'תחום תמיכה א'!P249)</f>
        <v>597869</v>
      </c>
      <c r="K249" s="177">
        <f>IF($F249="","",'הזנה לתנאי סף'!N249)</f>
        <v>0</v>
      </c>
      <c r="L249" s="177">
        <f>IF($F249="","",'הזנה לתנאי סף'!O249)</f>
        <v>1</v>
      </c>
      <c r="M249" s="177">
        <f>IF($F249="","",'הזנה לתנאי סף'!Q249)</f>
        <v>1</v>
      </c>
      <c r="N249" s="349">
        <f>IF($F249="","",'תחום תמיכה א'!AE249)</f>
        <v>32682.211174417684</v>
      </c>
      <c r="O249" s="178"/>
      <c r="P249" s="349">
        <f>IF($F249="","",'תחום תמיכה ב'!AC249)</f>
        <v>112256.21608489976</v>
      </c>
      <c r="Q249" s="349">
        <f>IF($F249="","",IF('תחום תמיכה ג'!O249="",0,'תחום תמיכה ג'!O249))</f>
        <v>0</v>
      </c>
      <c r="R249" s="349">
        <f t="shared" si="12"/>
        <v>3366.008504365469</v>
      </c>
      <c r="S249" s="349">
        <f>IF($F249="","",'תחום תמיכה ב'!AE249)</f>
        <v>115622.22458926523</v>
      </c>
      <c r="T249" s="349">
        <f>IF($F249="","",IF(Q249='תחום תמיכה ג'!$Q$2,'תחום תמיכה ג'!$Q$2,IFERROR(SUMIF(N249:R249,"&gt;0"),'תחום תמיכה ג'!$Q$2)))</f>
        <v>148304.43576368294</v>
      </c>
      <c r="U249" s="349">
        <f>IF($F249="","",'הזנה לתנאי סף'!Y249)</f>
        <v>500000</v>
      </c>
      <c r="V249" s="350">
        <f>IF(F249="","",'הגבלה לסכום מבוקש '!AA249)</f>
        <v>167544.95372998249</v>
      </c>
      <c r="W249" s="349">
        <f t="shared" si="13"/>
        <v>41886.238432495622</v>
      </c>
      <c r="X249" s="349">
        <f>IF(F249="","",'הזנה לתנאי סף'!Z249)</f>
        <v>25000</v>
      </c>
      <c r="Y249" s="351" t="s">
        <v>3740</v>
      </c>
      <c r="Z249" s="352" t="str">
        <f>IFERROR(VLOOKUP(G249*1,#REF!,3,0),"")</f>
        <v/>
      </c>
      <c r="AA249" s="349" t="str">
        <f>IF(OR($F249="",Z249=""),"",IFERROR(IF(Z249&gt;V249,MIN(Z249,T249)-V249,0),'תחום תמיכה ג'!$Q$2))</f>
        <v/>
      </c>
      <c r="AB249" s="353"/>
      <c r="AC249" s="260" t="str">
        <f t="shared" si="15"/>
        <v/>
      </c>
      <c r="AD249" s="358"/>
      <c r="AE249" s="180"/>
      <c r="AF249" s="355" t="str">
        <f>IF($C249="","",IFERROR(VLOOKUP($C249,גיליון1!$A:$E,2,0),"לא הגיש בקשה שוטפת"))</f>
        <v>תמיכה בשל הקורונה</v>
      </c>
      <c r="AG249" s="355" t="str">
        <f>IF($C249="","",IFERROR(VLOOKUP($C249,גיליון1!$A:$E,3,0),"לא הגיש בקשה שוטפת"))</f>
        <v>טיוט</v>
      </c>
      <c r="AH249" s="355" t="str">
        <f>IF($C249="","",IFERROR(VLOOKUP($C249,גיליון1!$A:$E,4,0),"לא הגיש בקשה שוטפת"))</f>
        <v>19-42-02-74</v>
      </c>
      <c r="AI249" s="355" t="str">
        <f>IF($C249="","",IFERROR(VLOOKUP($C249,גיליון1!$A:$E,5,0),"לא הגיש בקשה שוטפת"))</f>
        <v>סיוע למוסדות בגין</v>
      </c>
      <c r="AJ249" s="355">
        <f t="shared" si="14"/>
        <v>0</v>
      </c>
      <c r="AK249" s="15"/>
      <c r="AL249" s="15" t="s">
        <v>250</v>
      </c>
    </row>
    <row r="250" spans="1:38" ht="285.75" x14ac:dyDescent="0.25">
      <c r="A250" s="346">
        <f>'הזנה לתנאי סף'!B250</f>
        <v>220</v>
      </c>
      <c r="B250" s="347">
        <f>IF($F250="","",'הזנה לתנאי סף'!C250)</f>
        <v>1001346668</v>
      </c>
      <c r="C250" s="347">
        <f>IF($F250="","",'הזנה לתנאי סף'!D250)</f>
        <v>1001265550</v>
      </c>
      <c r="D250" s="347">
        <f>IF($F250="","",'הזנה לתנאי סף'!E250)</f>
        <v>41457607</v>
      </c>
      <c r="E250" s="348">
        <f>IF($F250="","",'הזנה לתנאי סף'!F250)</f>
        <v>20000201</v>
      </c>
      <c r="F250" s="348" t="str">
        <f>IF('הזנה לתנאי סף'!BL250=1,'הזנה לתנאי סף'!G250,"")</f>
        <v>תל אביב -יפו</v>
      </c>
      <c r="G250" s="348" t="str">
        <f>IF($F250="","",'הזנה לתנאי סף'!H250)</f>
        <v>להקת המחול פרסקו (ע"ר)</v>
      </c>
      <c r="H250" s="348" t="str">
        <f>IF($F250="","",'הזנה לתנאי סף'!I250)</f>
        <v>מחול</v>
      </c>
      <c r="I250" s="349">
        <f>IF($F250="","",'הזנה לתנאי סף'!R250)</f>
        <v>2833923</v>
      </c>
      <c r="J250" s="349">
        <f>IF($F250="","",'תחום תמיכה א'!P250)</f>
        <v>2952706</v>
      </c>
      <c r="K250" s="177">
        <f>IF($F250="","",'הזנה לתנאי סף'!N250)</f>
        <v>1</v>
      </c>
      <c r="L250" s="177">
        <f>IF($F250="","",'הזנה לתנאי סף'!O250)</f>
        <v>1</v>
      </c>
      <c r="M250" s="177">
        <f>IF($F250="","",'הזנה לתנאי סף'!Q250)</f>
        <v>1</v>
      </c>
      <c r="N250" s="349">
        <f>IF($F250="","",'תחום תמיכה א'!AE250)</f>
        <v>77949.920980679803</v>
      </c>
      <c r="O250" s="178"/>
      <c r="P250" s="349">
        <f>IF($F250="","",'תחום תמיכה ב'!AC250)</f>
        <v>112239.80213957028</v>
      </c>
      <c r="Q250" s="349">
        <f>IF($F250="","",IF('תחום תמיכה ג'!O250="",0,'תחום תמיכה ג'!O250))</f>
        <v>47066.949460049014</v>
      </c>
      <c r="R250" s="349">
        <f t="shared" si="12"/>
        <v>3365.5163313571829</v>
      </c>
      <c r="S250" s="349">
        <f>IF($F250="","",'תחום תמיכה ב'!AE250)</f>
        <v>115605.31847092746</v>
      </c>
      <c r="T250" s="349">
        <f>IF($F250="","",IF(Q250='תחום תמיכה ג'!$Q$2,'תחום תמיכה ג'!$Q$2,IFERROR(SUMIF(N250:R250,"&gt;0"),'תחום תמיכה ג'!$Q$2)))</f>
        <v>240622.1889116563</v>
      </c>
      <c r="U250" s="349">
        <f>IF($F250="","",'הזנה לתנאי סף'!Y250)</f>
        <v>2000000</v>
      </c>
      <c r="V250" s="350">
        <f>IF(F250="","",'הגבלה לסכום מבוקש '!AA250)</f>
        <v>259901.93814147255</v>
      </c>
      <c r="W250" s="349">
        <f t="shared" si="13"/>
        <v>64975.484535368138</v>
      </c>
      <c r="X250" s="349">
        <f>IF(F250="","",'הזנה לתנאי סף'!Z250)</f>
        <v>50000</v>
      </c>
      <c r="Y250" s="351" t="s">
        <v>3740</v>
      </c>
      <c r="Z250" s="352" t="str">
        <f>IFERROR(VLOOKUP(G250*1,#REF!,3,0),"")</f>
        <v/>
      </c>
      <c r="AA250" s="349" t="str">
        <f>IF(OR($F250="",Z250=""),"",IFERROR(IF(Z250&gt;V250,MIN(Z250,T250)-V250,0),'תחום תמיכה ג'!$Q$2))</f>
        <v/>
      </c>
      <c r="AB250" s="353"/>
      <c r="AC250" s="260" t="str">
        <f t="shared" si="15"/>
        <v/>
      </c>
      <c r="AD250" s="358"/>
      <c r="AE250" s="180"/>
      <c r="AF250" s="355" t="str">
        <f>IF($C250="","",IFERROR(VLOOKUP($C250,גיליון1!$A:$E,2,0),"לא הגיש בקשה שוטפת"))</f>
        <v>תמיכה שוטפת לשנת 2020</v>
      </c>
      <c r="AG250" s="355" t="str">
        <f>IF($C250="","",IFERROR(VLOOKUP($C250,גיליון1!$A:$E,3,0),"לא הגיש בקשה שוטפת"))</f>
        <v>חויב</v>
      </c>
      <c r="AH250" s="355" t="str">
        <f>IF($C250="","",IFERROR(VLOOKUP($C250,גיליון1!$A:$E,4,0),"לא הגיש בקשה שוטפת"))</f>
        <v>19-42-02-20</v>
      </c>
      <c r="AI250" s="355" t="str">
        <f>IF($C250="","",IFERROR(VLOOKUP($C250,גיליון1!$A:$E,5,0),"לא הגיש בקשה שוטפת"))</f>
        <v>מחול וארגוני גג</v>
      </c>
      <c r="AJ250" s="355">
        <f t="shared" si="14"/>
        <v>0</v>
      </c>
      <c r="AK250" s="15"/>
      <c r="AL250" s="15" t="s">
        <v>250</v>
      </c>
    </row>
    <row r="251" spans="1:38" ht="285.75" x14ac:dyDescent="0.25">
      <c r="A251" s="346">
        <f>'הזנה לתנאי סף'!B251</f>
        <v>221</v>
      </c>
      <c r="B251" s="347">
        <f>IF($F251="","",'הזנה לתנאי סף'!C251)</f>
        <v>1001348185</v>
      </c>
      <c r="C251" s="347">
        <f>IF($F251="","",'הזנה לתנאי סף'!D251)</f>
        <v>1001265555</v>
      </c>
      <c r="D251" s="347">
        <f>IF($F251="","",'הזנה לתנאי סף'!E251)</f>
        <v>41457607</v>
      </c>
      <c r="E251" s="348">
        <f>IF($F251="","",'הזנה לתנאי סף'!F251)</f>
        <v>20000201</v>
      </c>
      <c r="F251" s="348" t="str">
        <f>IF('הזנה לתנאי סף'!BL251=1,'הזנה לתנאי סף'!G251,"")</f>
        <v>תל אביב -יפו</v>
      </c>
      <c r="G251" s="348" t="str">
        <f>IF($F251="","",'הזנה לתנאי סף'!H251)</f>
        <v>להקת המחול פרסקו (ע"ר)</v>
      </c>
      <c r="H251" s="348" t="str">
        <f>IF($F251="","",'הזנה לתנאי סף'!I251)</f>
        <v>מחול</v>
      </c>
      <c r="I251" s="349">
        <f>IF($F251="","",'הזנה לתנאי סף'!R251)</f>
        <v>93661</v>
      </c>
      <c r="J251" s="349">
        <f>IF($F251="","",'תחום תמיכה א'!P251)</f>
        <v>93661</v>
      </c>
      <c r="K251" s="177">
        <f>IF($F251="","",'הזנה לתנאי סף'!N251)</f>
        <v>1</v>
      </c>
      <c r="L251" s="177">
        <f>IF($F251="","",'הזנה לתנאי סף'!O251)</f>
        <v>1</v>
      </c>
      <c r="M251" s="177">
        <f>IF($F251="","",'הזנה לתנאי סף'!Q251)</f>
        <v>1</v>
      </c>
      <c r="N251" s="349">
        <f>IF($F251="","",'תחום תמיכה א'!AE251)</f>
        <v>5119.9319262365752</v>
      </c>
      <c r="O251" s="178"/>
      <c r="P251" s="349">
        <f>IF($F251="","",'תחום תמיכה ב'!AC251)</f>
        <v>15963.459744117414</v>
      </c>
      <c r="Q251" s="349">
        <f>IF($F251="","",IF('תחום תמיכה ג'!O251="",0,'תחום תמיכה ג'!O251))</f>
        <v>6694.1614174408051</v>
      </c>
      <c r="R251" s="349">
        <f t="shared" si="12"/>
        <v>478.66517447155456</v>
      </c>
      <c r="S251" s="349">
        <f>IF($F251="","",'תחום תמיכה ב'!AE251)</f>
        <v>16442.124918588968</v>
      </c>
      <c r="T251" s="349">
        <f>IF($F251="","",IF(Q251='תחום תמיכה ג'!$Q$2,'תחום תמיכה ג'!$Q$2,IFERROR(SUMIF(N251:R251,"&gt;0"),'תחום תמיכה ג'!$Q$2)))</f>
        <v>28256.218262266346</v>
      </c>
      <c r="U251" s="349">
        <f>IF($F251="","",'הזנה לתנאי סף'!Y251)</f>
        <v>300000</v>
      </c>
      <c r="V251" s="350">
        <f>IF(F251="","",'הגבלה לסכום מבוקש '!AA251)</f>
        <v>30995.590278027812</v>
      </c>
      <c r="W251" s="349">
        <f t="shared" si="13"/>
        <v>7748.897569506953</v>
      </c>
      <c r="X251" s="349">
        <f>IF(F251="","",'הזנה לתנאי סף'!Z251)</f>
        <v>100000</v>
      </c>
      <c r="Y251" s="351" t="s">
        <v>3740</v>
      </c>
      <c r="Z251" s="352" t="str">
        <f>IFERROR(VLOOKUP(G251*1,#REF!,3,0),"")</f>
        <v/>
      </c>
      <c r="AA251" s="349" t="str">
        <f>IF(OR($F251="",Z251=""),"",IFERROR(IF(Z251&gt;V251,MIN(Z251,T251)-V251,0),'תחום תמיכה ג'!$Q$2))</f>
        <v/>
      </c>
      <c r="AB251" s="353"/>
      <c r="AC251" s="260" t="str">
        <f t="shared" si="15"/>
        <v/>
      </c>
      <c r="AD251" s="358"/>
      <c r="AE251" s="180"/>
      <c r="AF251" s="355" t="str">
        <f>IF($C251="","",IFERROR(VLOOKUP($C251,גיליון1!$A:$E,2,0),"לא הגיש בקשה שוטפת"))</f>
        <v>תמיכה למרכז מחול - תחנה מרכזית תל אביב</v>
      </c>
      <c r="AG251" s="355" t="str">
        <f>IF($C251="","",IFERROR(VLOOKUP($C251,גיליון1!$A:$E,3,0),"לא הגיש בקשה שוטפת"))</f>
        <v>חויב</v>
      </c>
      <c r="AH251" s="355" t="str">
        <f>IF($C251="","",IFERROR(VLOOKUP($C251,גיליון1!$A:$E,4,0),"לא הגיש בקשה שוטפת"))</f>
        <v>19-42-02-20</v>
      </c>
      <c r="AI251" s="355" t="str">
        <f>IF($C251="","",IFERROR(VLOOKUP($C251,גיליון1!$A:$E,5,0),"לא הגיש בקשה שוטפת"))</f>
        <v>מחול וארגוני גג</v>
      </c>
      <c r="AJ251" s="355">
        <f t="shared" si="14"/>
        <v>0</v>
      </c>
      <c r="AK251" s="15"/>
      <c r="AL251" s="15" t="s">
        <v>250</v>
      </c>
    </row>
    <row r="252" spans="1:38" ht="285.75" x14ac:dyDescent="0.25">
      <c r="A252" s="346">
        <f>'הזנה לתנאי סף'!B252</f>
        <v>222</v>
      </c>
      <c r="B252" s="347">
        <f>IF($F252="","",'הזנה לתנאי סף'!C252)</f>
        <v>1001350356</v>
      </c>
      <c r="C252" s="347">
        <f>IF($F252="","",'הזנה לתנאי סף'!D252)</f>
        <v>1001270272</v>
      </c>
      <c r="D252" s="347">
        <f>IF($F252="","",'הזנה לתנאי סף'!E252)</f>
        <v>41476422</v>
      </c>
      <c r="E252" s="348">
        <f>IF($F252="","",'הזנה לתנאי סף'!F252)</f>
        <v>20000147</v>
      </c>
      <c r="F252" s="348" t="str">
        <f>IF('הזנה לתנאי סף'!BL252=1,'הזנה לתנאי סף'!G252,"")</f>
        <v>אילת</v>
      </c>
      <c r="G252" s="348" t="str">
        <f>IF($F252="","",'הזנה לתנאי סף'!H252)</f>
        <v>אלעד - תיאטרון אילת והערבה (ע''ר)</v>
      </c>
      <c r="H252" s="348" t="str">
        <f>IF($F252="","",'הזנה לתנאי סף'!I252)</f>
        <v>תיאטרון</v>
      </c>
      <c r="I252" s="349">
        <f>IF($F252="","",'הזנה לתנאי סף'!R252)</f>
        <v>2630565</v>
      </c>
      <c r="J252" s="349">
        <f>IF($F252="","",'תחום תמיכה א'!P252)</f>
        <v>1898174</v>
      </c>
      <c r="K252" s="177">
        <f>IF($F252="","",'הזנה לתנאי סף'!N252)</f>
        <v>0</v>
      </c>
      <c r="L252" s="177">
        <f>IF($F252="","",'הזנה לתנאי סף'!O252)</f>
        <v>1</v>
      </c>
      <c r="M252" s="177">
        <f>IF($F252="","",'הזנה לתנאי סף'!Q252)</f>
        <v>1</v>
      </c>
      <c r="N252" s="349">
        <f>IF($F252="","",'תחום תמיכה א'!AE252)</f>
        <v>50315.774971822852</v>
      </c>
      <c r="O252" s="178"/>
      <c r="P252" s="349">
        <f>IF($F252="","",'תחום תמיכה ב'!AC252)</f>
        <v>105424.79551234542</v>
      </c>
      <c r="Q252" s="349">
        <f>IF($F252="","",IF('תחום תמיכה ג'!O252="",0,'תחום תמיכה ג'!O252))</f>
        <v>0</v>
      </c>
      <c r="R252" s="349">
        <f t="shared" si="12"/>
        <v>3161.1680015756283</v>
      </c>
      <c r="S252" s="349">
        <f>IF($F252="","",'תחום תמיכה ב'!AE252)</f>
        <v>108585.96351392104</v>
      </c>
      <c r="T252" s="349">
        <f>IF($F252="","",IF(Q252='תחום תמיכה ג'!$Q$2,'תחום תמיכה ג'!$Q$2,IFERROR(SUMIF(N252:R252,"&gt;0"),'תחום תמיכה ג'!$Q$2)))</f>
        <v>158901.7384857439</v>
      </c>
      <c r="U252" s="349">
        <f>IF($F252="","",'הזנה לתנאי סף'!Y252)</f>
        <v>2000000</v>
      </c>
      <c r="V252" s="350">
        <f>IF(F252="","",'הגבלה לסכום מבוקש '!AA252)</f>
        <v>176980.29760725447</v>
      </c>
      <c r="W252" s="349">
        <f t="shared" si="13"/>
        <v>44245.074401813617</v>
      </c>
      <c r="X252" s="349">
        <f>IF(F252="","",'הזנה לתנאי סף'!Z252)</f>
        <v>2000000</v>
      </c>
      <c r="Y252" s="351" t="s">
        <v>3740</v>
      </c>
      <c r="Z252" s="352" t="str">
        <f>IFERROR(VLOOKUP(G252*1,#REF!,3,0),"")</f>
        <v/>
      </c>
      <c r="AA252" s="349" t="str">
        <f>IF(OR($F252="",Z252=""),"",IFERROR(IF(Z252&gt;V252,MIN(Z252,T252)-V252,0),'תחום תמיכה ג'!$Q$2))</f>
        <v/>
      </c>
      <c r="AB252" s="353"/>
      <c r="AC252" s="260" t="str">
        <f t="shared" si="15"/>
        <v/>
      </c>
      <c r="AD252" s="358"/>
      <c r="AE252" s="180"/>
      <c r="AF252" s="355" t="str">
        <f>IF($C252="","",IFERROR(VLOOKUP($C252,גיליון1!$A:$E,2,0),"לא הגיש בקשה שוטפת"))</f>
        <v>קבוצת אלעד - תיאטרון אילת והערבה</v>
      </c>
      <c r="AG252" s="355" t="str">
        <f>IF($C252="","",IFERROR(VLOOKUP($C252,גיליון1!$A:$E,3,0),"לא הגיש בקשה שוטפת"))</f>
        <v>מועד</v>
      </c>
      <c r="AH252" s="355" t="str">
        <f>IF($C252="","",IFERROR(VLOOKUP($C252,גיליון1!$A:$E,4,0),"לא הגיש בקשה שוטפת"))</f>
        <v>19-42-02-07</v>
      </c>
      <c r="AI252" s="355" t="str">
        <f>IF($C252="","",IFERROR(VLOOKUP($C252,גיליון1!$A:$E,5,0),"לא הגיש בקשה שוטפת"))</f>
        <v>תיאטרון</v>
      </c>
      <c r="AJ252" s="355">
        <f t="shared" si="14"/>
        <v>0</v>
      </c>
      <c r="AK252" s="15"/>
      <c r="AL252" s="15" t="s">
        <v>250</v>
      </c>
    </row>
    <row r="253" spans="1:38" ht="285.75" x14ac:dyDescent="0.25">
      <c r="A253" s="346">
        <f>'הזנה לתנאי סף'!B253</f>
        <v>223</v>
      </c>
      <c r="B253" s="347">
        <f>IF($F253="","",'הזנה לתנאי סף'!C253)</f>
        <v>1001350854</v>
      </c>
      <c r="C253" s="347">
        <f>IF($F253="","",'הזנה לתנאי סף'!D253)</f>
        <v>1001311678</v>
      </c>
      <c r="D253" s="347">
        <f>IF($F253="","",'הזנה לתנאי סף'!E253)</f>
        <v>41378459</v>
      </c>
      <c r="E253" s="348">
        <f>IF($F253="","",'הזנה לתנאי סף'!F253)</f>
        <v>20000201</v>
      </c>
      <c r="F253" s="348" t="str">
        <f>IF('הזנה לתנאי סף'!BL253=1,'הזנה לתנאי סף'!G253,"")</f>
        <v>תל אביב -יפו</v>
      </c>
      <c r="G253" s="348" t="str">
        <f>IF($F253="","",'הזנה לתנאי סף'!H253)</f>
        <v>עמותת תיאטרון גלבוע</v>
      </c>
      <c r="H253" s="348" t="str">
        <f>IF($F253="","",'הזנה לתנאי סף'!I253)</f>
        <v>אחר</v>
      </c>
      <c r="I253" s="349">
        <f>IF($F253="","",'הזנה לתנאי סף'!R253)</f>
        <v>383753</v>
      </c>
      <c r="J253" s="349">
        <f>IF($F253="","",'תחום תמיכה א'!P253)</f>
        <v>383753</v>
      </c>
      <c r="K253" s="177">
        <f>IF($F253="","",'הזנה לתנאי סף'!N253)</f>
        <v>1</v>
      </c>
      <c r="L253" s="177">
        <f>IF($F253="","",'הזנה לתנאי סף'!O253)</f>
        <v>1</v>
      </c>
      <c r="M253" s="177">
        <f>IF($F253="","",'הזנה לתנאי סף'!Q253)</f>
        <v>1</v>
      </c>
      <c r="N253" s="349">
        <f>IF($F253="","",'תחום תמיכה א'!AE253)</f>
        <v>10989.478169045491</v>
      </c>
      <c r="O253" s="178"/>
      <c r="P253" s="349">
        <f>IF($F253="","",'תחום תמיכה ב'!AC253)</f>
        <v>17949.807522712523</v>
      </c>
      <c r="Q253" s="349">
        <f>IF($F253="","",IF('תחום תמיכה ג'!O253="",0,'תחום תמיכה ג'!O253))</f>
        <v>7527.1219958010561</v>
      </c>
      <c r="R253" s="349">
        <f t="shared" si="12"/>
        <v>538.22591639360326</v>
      </c>
      <c r="S253" s="349">
        <f>IF($F253="","",'תחום תמיכה ב'!AE253)</f>
        <v>18488.033439106126</v>
      </c>
      <c r="T253" s="349">
        <f>IF($F253="","",IF(Q253='תחום תמיכה ג'!$Q$2,'תחום תמיכה ג'!$Q$2,IFERROR(SUMIF(N253:R253,"&gt;0"),'תחום תמיכה ג'!$Q$2)))</f>
        <v>37004.633603952672</v>
      </c>
      <c r="U253" s="349">
        <f>IF($F253="","",'הזנה לתנאי סף'!Y253)</f>
        <v>630000</v>
      </c>
      <c r="V253" s="350">
        <f>IF(F253="","",'הגבלה לסכום מבוקש '!AA253)</f>
        <v>40087.250645980348</v>
      </c>
      <c r="W253" s="349">
        <f t="shared" si="13"/>
        <v>10021.812661495087</v>
      </c>
      <c r="X253" s="349">
        <f>IF(F253="","",'הזנה לתנאי סף'!Z253)</f>
        <v>630000</v>
      </c>
      <c r="Y253" s="351" t="s">
        <v>3740</v>
      </c>
      <c r="Z253" s="352" t="str">
        <f>IFERROR(VLOOKUP(G253*1,#REF!,3,0),"")</f>
        <v/>
      </c>
      <c r="AA253" s="349" t="str">
        <f>IF(OR($F253="",Z253=""),"",IFERROR(IF(Z253&gt;V253,MIN(Z253,T253)-V253,0),'תחום תמיכה ג'!$Q$2))</f>
        <v/>
      </c>
      <c r="AB253" s="353"/>
      <c r="AC253" s="260" t="str">
        <f t="shared" si="15"/>
        <v/>
      </c>
      <c r="AD253" s="358"/>
      <c r="AE253" s="180"/>
      <c r="AF253" s="355" t="str">
        <f>IF($C253="","",IFERROR(VLOOKUP($C253,גיליון1!$A:$E,2,0),"לא הגיש בקשה שוטפת"))</f>
        <v>מרכז פרינג'</v>
      </c>
      <c r="AG253" s="355" t="str">
        <f>IF($C253="","",IFERROR(VLOOKUP($C253,גיליון1!$A:$E,3,0),"לא הגיש בקשה שוטפת"))</f>
        <v>מועד</v>
      </c>
      <c r="AH253" s="355" t="str">
        <f>IF($C253="","",IFERROR(VLOOKUP($C253,גיליון1!$A:$E,4,0),"לא הגיש בקשה שוטפת"))</f>
        <v>19-42-02-07</v>
      </c>
      <c r="AI253" s="355" t="str">
        <f>IF($C253="","",IFERROR(VLOOKUP($C253,גיליון1!$A:$E,5,0),"לא הגיש בקשה שוטפת"))</f>
        <v>תיאטרון</v>
      </c>
      <c r="AJ253" s="355">
        <f t="shared" si="14"/>
        <v>0</v>
      </c>
      <c r="AK253" s="15"/>
      <c r="AL253" s="15" t="s">
        <v>250</v>
      </c>
    </row>
    <row r="254" spans="1:38" ht="285.75" x14ac:dyDescent="0.25">
      <c r="A254" s="346">
        <f>'הזנה לתנאי סף'!B254</f>
        <v>224</v>
      </c>
      <c r="B254" s="347">
        <f>IF($F254="","",'הזנה לתנאי סף'!C254)</f>
        <v>1001346584</v>
      </c>
      <c r="C254" s="347">
        <f>IF($F254="","",'הזנה לתנאי סף'!D254)</f>
        <v>1001215908</v>
      </c>
      <c r="D254" s="347">
        <f>IF($F254="","",'הזנה לתנאי סף'!E254)</f>
        <v>40235206</v>
      </c>
      <c r="E254" s="348">
        <f>IF($F254="","",'הזנה לתנאי סף'!F254)</f>
        <v>20000127</v>
      </c>
      <c r="F254" s="348" t="str">
        <f>IF('הזנה לתנאי סף'!BL254=1,'הזנה לתנאי סף'!G254,"")</f>
        <v>הגליל העליון</v>
      </c>
      <c r="G254" s="348" t="str">
        <f>IF($F254="","",'הזנה לתנאי סף'!H254)</f>
        <v>מוזיאון האדם הקדמון</v>
      </c>
      <c r="H254" s="348" t="str">
        <f>IF($F254="","",'הזנה לתנאי סף'!I254)</f>
        <v>מוזיאונים</v>
      </c>
      <c r="I254" s="349">
        <f>IF($F254="","",'הזנה לתנאי סף'!R254)</f>
        <v>335101</v>
      </c>
      <c r="J254" s="349">
        <f>IF($F254="","",'תחום תמיכה א'!P254)</f>
        <v>358945</v>
      </c>
      <c r="K254" s="177">
        <f>IF($F254="","",'הזנה לתנאי סף'!N254)</f>
        <v>0</v>
      </c>
      <c r="L254" s="177">
        <f>IF($F254="","",'הזנה לתנאי סף'!O254)</f>
        <v>1</v>
      </c>
      <c r="M254" s="177">
        <f>IF($F254="","",'הזנה לתנאי סף'!Q254)</f>
        <v>1</v>
      </c>
      <c r="N254" s="349">
        <f>IF($F254="","",'תחום תמיכה א'!AE254)</f>
        <v>9187.7295544792578</v>
      </c>
      <c r="O254" s="178"/>
      <c r="P254" s="349">
        <f>IF($F254="","",'תחום תמיכה ב'!AC254)</f>
        <v>12522.578188619491</v>
      </c>
      <c r="Q254" s="349">
        <f>IF($F254="","",IF('תחום תמיכה ג'!O254="",0,'תחום תמיכה ג'!O254))</f>
        <v>0</v>
      </c>
      <c r="R254" s="349">
        <f t="shared" si="12"/>
        <v>375.490161253927</v>
      </c>
      <c r="S254" s="349">
        <f>IF($F254="","",'תחום תמיכה ב'!AE254)</f>
        <v>12898.068349873418</v>
      </c>
      <c r="T254" s="349">
        <f>IF($F254="","",IF(Q254='תחום תמיכה ג'!$Q$2,'תחום תמיכה ג'!$Q$2,IFERROR(SUMIF(N254:R254,"&gt;0"),'תחום תמיכה ג'!$Q$2)))</f>
        <v>22085.797904352672</v>
      </c>
      <c r="U254" s="349">
        <f>IF($F254="","",'הזנה לתנאי סף'!Y254)</f>
        <v>60000</v>
      </c>
      <c r="V254" s="350">
        <f>IF(F254="","",'הגבלה לסכום מבוקש '!AA254)</f>
        <v>24234.669156792388</v>
      </c>
      <c r="W254" s="349">
        <f t="shared" si="13"/>
        <v>6058.667289198097</v>
      </c>
      <c r="X254" s="349">
        <f>IF(F254="","",'הזנה לתנאי סף'!Z254)</f>
        <v>60000</v>
      </c>
      <c r="Y254" s="351" t="s">
        <v>3740</v>
      </c>
      <c r="Z254" s="352" t="str">
        <f>IFERROR(VLOOKUP(G254*1,#REF!,3,0),"")</f>
        <v/>
      </c>
      <c r="AA254" s="349" t="str">
        <f>IF(OR($F254="",Z254=""),"",IFERROR(IF(Z254&gt;V254,MIN(Z254,T254)-V254,0),'תחום תמיכה ג'!$Q$2))</f>
        <v/>
      </c>
      <c r="AB254" s="353"/>
      <c r="AC254" s="260" t="str">
        <f t="shared" si="15"/>
        <v/>
      </c>
      <c r="AD254" s="358"/>
      <c r="AE254" s="180"/>
      <c r="AF254" s="355" t="str">
        <f>IF($C254="","",IFERROR(VLOOKUP($C254,גיליון1!$A:$E,2,0),"לא הגיש בקשה שוטפת"))</f>
        <v>לא הגיש בקשה שוטפת</v>
      </c>
      <c r="AG254" s="355" t="str">
        <f>IF($C254="","",IFERROR(VLOOKUP($C254,גיליון1!$A:$E,3,0),"לא הגיש בקשה שוטפת"))</f>
        <v>לא הגיש בקשה שוטפת</v>
      </c>
      <c r="AH254" s="355" t="str">
        <f>IF($C254="","",IFERROR(VLOOKUP($C254,גיליון1!$A:$E,4,0),"לא הגיש בקשה שוטפת"))</f>
        <v>לא הגיש בקשה שוטפת</v>
      </c>
      <c r="AI254" s="355" t="str">
        <f>IF($C254="","",IFERROR(VLOOKUP($C254,גיליון1!$A:$E,5,0),"לא הגיש בקשה שוטפת"))</f>
        <v>לא הגיש בקשה שוטפת</v>
      </c>
      <c r="AJ254" s="355">
        <f t="shared" si="14"/>
        <v>0</v>
      </c>
      <c r="AK254" s="15"/>
      <c r="AL254" s="15" t="s">
        <v>250</v>
      </c>
    </row>
    <row r="255" spans="1:38" ht="285.75" x14ac:dyDescent="0.25">
      <c r="A255" s="346">
        <f>'הזנה לתנאי סף'!B255</f>
        <v>225</v>
      </c>
      <c r="B255" s="347">
        <f>IF($F255="","",'הזנה לתנאי סף'!C255)</f>
        <v>1001346661</v>
      </c>
      <c r="C255" s="347">
        <f>IF($F255="","",'הזנה לתנאי סף'!D255)</f>
        <v>1001263558</v>
      </c>
      <c r="D255" s="347">
        <f>IF($F255="","",'הזנה לתנאי סף'!E255)</f>
        <v>40000294</v>
      </c>
      <c r="E255" s="348">
        <f>IF($F255="","",'הזנה לתנאי סף'!F255)</f>
        <v>20000201</v>
      </c>
      <c r="F255" s="348" t="str">
        <f>IF('הזנה לתנאי סף'!BL255=1,'הזנה לתנאי סף'!G255,"")</f>
        <v>תל אביב -יפו</v>
      </c>
      <c r="G255" s="348" t="str">
        <f>IF($F255="","",'הזנה לתנאי סף'!H255)</f>
        <v>התזמורת הפילהרמונית הישראלית</v>
      </c>
      <c r="H255" s="348" t="str">
        <f>IF($F255="","",'הזנה לתנאי סף'!I255)</f>
        <v>מוסיקה-גופים כליים</v>
      </c>
      <c r="I255" s="349">
        <f>IF($F255="","",'הזנה לתנאי סף'!R255)</f>
        <v>69574000</v>
      </c>
      <c r="J255" s="349">
        <f>IF($F255="","",'תחום תמיכה א'!P255)</f>
        <v>69279000</v>
      </c>
      <c r="K255" s="177">
        <f>IF($F255="","",'הזנה לתנאי סף'!N255)</f>
        <v>0</v>
      </c>
      <c r="L255" s="177">
        <f>IF($F255="","",'הזנה לתנאי סף'!O255)</f>
        <v>1</v>
      </c>
      <c r="M255" s="177">
        <f>IF($F255="","",'הזנה לתנאי סף'!Q255)</f>
        <v>1</v>
      </c>
      <c r="N255" s="349">
        <f>IF($F255="","",'תחום תמיכה א'!AE255)</f>
        <v>3219913.0985113163</v>
      </c>
      <c r="O255" s="178"/>
      <c r="P255" s="349">
        <f>IF($F255="","",'תחום תמיכה ב'!AC255)</f>
        <v>8572144.6756838877</v>
      </c>
      <c r="Q255" s="349">
        <f>IF($F255="","",IF('תחום תמיכה ג'!O255="",0,'תחום תמיכה ג'!O255))</f>
        <v>0</v>
      </c>
      <c r="R255" s="349">
        <f t="shared" si="12"/>
        <v>257036.20596992783</v>
      </c>
      <c r="S255" s="349">
        <f>IF($F255="","",'תחום תמיכה ב'!AE255)</f>
        <v>8829180.8816538155</v>
      </c>
      <c r="T255" s="349">
        <f>IF($F255="","",IF(Q255='תחום תמיכה ג'!$Q$2,'תחום תמיכה ג'!$Q$2,IFERROR(SUMIF(N255:R255,"&gt;0"),'תחום תמיכה ג'!$Q$2)))</f>
        <v>12049093.980165131</v>
      </c>
      <c r="U255" s="349">
        <f>IF($F255="","",'הזנה לתנאי סף'!Y255)</f>
        <v>30000000</v>
      </c>
      <c r="V255" s="350">
        <f>IF(F255="","",'הגבלה לסכום מבוקש '!AA255)</f>
        <v>13518674.256462673</v>
      </c>
      <c r="W255" s="349">
        <f t="shared" si="13"/>
        <v>3379668.5641156682</v>
      </c>
      <c r="X255" s="349">
        <f>IF(F255="","",'הזנה לתנאי סף'!Z255)</f>
        <v>15000000</v>
      </c>
      <c r="Y255" s="351" t="s">
        <v>3740</v>
      </c>
      <c r="Z255" s="352" t="str">
        <f>IFERROR(VLOOKUP(G255*1,#REF!,3,0),"")</f>
        <v/>
      </c>
      <c r="AA255" s="349" t="str">
        <f>IF(OR($F255="",Z255=""),"",IFERROR(IF(Z255&gt;V255,MIN(Z255,T255)-V255,0),'תחום תמיכה ג'!$Q$2))</f>
        <v/>
      </c>
      <c r="AB255" s="353"/>
      <c r="AC255" s="260" t="str">
        <f t="shared" si="15"/>
        <v/>
      </c>
      <c r="AD255" s="358"/>
      <c r="AE255" s="180"/>
      <c r="AF255" s="355" t="str">
        <f>IF($C255="","",IFERROR(VLOOKUP($C255,גיליון1!$A:$E,2,0),"לא הגיש בקשה שוטפת"))</f>
        <v>תמיכה שוטפת</v>
      </c>
      <c r="AG255" s="355" t="str">
        <f>IF($C255="","",IFERROR(VLOOKUP($C255,גיליון1!$A:$E,3,0),"לא הגיש בקשה שוטפת"))</f>
        <v>חויב</v>
      </c>
      <c r="AH255" s="355" t="str">
        <f>IF($C255="","",IFERROR(VLOOKUP($C255,גיליון1!$A:$E,4,0),"לא הגיש בקשה שוטפת"))</f>
        <v>19-42-02-16</v>
      </c>
      <c r="AI255" s="355" t="str">
        <f>IF($C255="","",IFERROR(VLOOKUP($C255,גיליון1!$A:$E,5,0),"לא הגיש בקשה שוטפת"))</f>
        <v>מוסיקה</v>
      </c>
      <c r="AJ255" s="355">
        <f t="shared" si="14"/>
        <v>0</v>
      </c>
      <c r="AK255" s="15"/>
      <c r="AL255" s="15" t="s">
        <v>250</v>
      </c>
    </row>
    <row r="256" spans="1:38" ht="285.75" x14ac:dyDescent="0.25">
      <c r="A256" s="346">
        <f>'הזנה לתנאי סף'!B256</f>
        <v>226</v>
      </c>
      <c r="B256" s="347">
        <f>IF($F256="","",'הזנה לתנאי סף'!C256)</f>
        <v>1001347595</v>
      </c>
      <c r="C256" s="347">
        <f>IF($F256="","",'הזנה לתנאי סף'!D256)</f>
        <v>1001267946</v>
      </c>
      <c r="D256" s="347">
        <f>IF($F256="","",'הזנה לתנאי סף'!E256)</f>
        <v>40000345</v>
      </c>
      <c r="E256" s="348">
        <f>IF($F256="","",'הזנה לתנאי סף'!F256)</f>
        <v>20000159</v>
      </c>
      <c r="F256" s="348" t="str">
        <f>IF('הזנה לתנאי סף'!BL256=1,'הזנה לתנאי סף'!G256,"")</f>
        <v>ירושלים</v>
      </c>
      <c r="G256" s="348" t="str">
        <f>IF($F256="","",'הזנה לתנאי סף'!H256)</f>
        <v>מגדל דוד- מוזיאון לתולדות י-ם</v>
      </c>
      <c r="H256" s="348" t="str">
        <f>IF($F256="","",'הזנה לתנאי סף'!I256)</f>
        <v>מוזיאונים</v>
      </c>
      <c r="I256" s="349">
        <f>IF($F256="","",'הזנה לתנאי סף'!R256)</f>
        <v>18906534</v>
      </c>
      <c r="J256" s="349">
        <f>IF($F256="","",'תחום תמיכה א'!P256)</f>
        <v>19955753</v>
      </c>
      <c r="K256" s="177">
        <f>IF($F256="","",'הזנה לתנאי סף'!N256)</f>
        <v>1</v>
      </c>
      <c r="L256" s="177">
        <f>IF($F256="","",'הזנה לתנאי סף'!O256)</f>
        <v>1</v>
      </c>
      <c r="M256" s="177">
        <f>IF($F256="","",'הזנה לתנאי סף'!Q256)</f>
        <v>1</v>
      </c>
      <c r="N256" s="349">
        <f>IF($F256="","",'תחום תמיכה א'!AE256)</f>
        <v>890648.87316007284</v>
      </c>
      <c r="O256" s="178"/>
      <c r="P256" s="349">
        <f>IF($F256="","",'תחום תמיכה ב'!AC256)</f>
        <v>2148058.7941171732</v>
      </c>
      <c r="Q256" s="349">
        <f>IF($F256="","",IF('תחום תמיכה ג'!O256="",0,'תחום תמיכה ג'!O256))</f>
        <v>371331.44463148864</v>
      </c>
      <c r="R256" s="349">
        <f t="shared" si="12"/>
        <v>64409.655171407852</v>
      </c>
      <c r="S256" s="349">
        <f>IF($F256="","",'תחום תמיכה ב'!AE256)</f>
        <v>2212468.449288581</v>
      </c>
      <c r="T256" s="349">
        <f>IF($F256="","",IF(Q256='תחום תמיכה ג'!$Q$2,'תחום תמיכה ג'!$Q$2,IFERROR(SUMIF(N256:R256,"&gt;0"),'תחום תמיכה ג'!$Q$2)))</f>
        <v>3474448.7670801422</v>
      </c>
      <c r="U256" s="349">
        <f>IF($F256="","",'הזנה לתנאי סף'!Y256)</f>
        <v>10000000</v>
      </c>
      <c r="V256" s="350">
        <f>IF(F256="","",'הגבלה לסכום מבוקש '!AA256)</f>
        <v>3842912.1245611585</v>
      </c>
      <c r="W256" s="349">
        <f t="shared" si="13"/>
        <v>960728.03114028962</v>
      </c>
      <c r="X256" s="349">
        <f>IF(F256="","",'הזנה לתנאי סף'!Z256)</f>
        <v>10000000</v>
      </c>
      <c r="Y256" s="351" t="s">
        <v>3740</v>
      </c>
      <c r="Z256" s="352" t="str">
        <f>IFERROR(VLOOKUP(G256*1,#REF!,3,0),"")</f>
        <v/>
      </c>
      <c r="AA256" s="349" t="str">
        <f>IF(OR($F256="",Z256=""),"",IFERROR(IF(Z256&gt;V256,MIN(Z256,T256)-V256,0),'תחום תמיכה ג'!$Q$2))</f>
        <v/>
      </c>
      <c r="AB256" s="353"/>
      <c r="AC256" s="260" t="str">
        <f t="shared" si="15"/>
        <v/>
      </c>
      <c r="AD256" s="358"/>
      <c r="AE256" s="180"/>
      <c r="AF256" s="355" t="str">
        <f>IF($C256="","",IFERROR(VLOOKUP($C256,גיליון1!$A:$E,2,0),"לא הגיש בקשה שוטפת"))</f>
        <v>תמיכה בפעילות השוטפת של מוזיאון מגדל דוד</v>
      </c>
      <c r="AG256" s="355" t="str">
        <f>IF($C256="","",IFERROR(VLOOKUP($C256,גיליון1!$A:$E,3,0),"לא הגיש בקשה שוטפת"))</f>
        <v>חויב</v>
      </c>
      <c r="AH256" s="355" t="str">
        <f>IF($C256="","",IFERROR(VLOOKUP($C256,גיליון1!$A:$E,4,0),"לא הגיש בקשה שוטפת"))</f>
        <v>19-42-02-18</v>
      </c>
      <c r="AI256" s="355" t="str">
        <f>IF($C256="","",IFERROR(VLOOKUP($C256,גיליון1!$A:$E,5,0),"לא הגיש בקשה שוטפת"))</f>
        <v>מוזיאונים ואמנות פלס</v>
      </c>
      <c r="AJ256" s="355">
        <f t="shared" si="14"/>
        <v>0</v>
      </c>
      <c r="AK256" s="15"/>
      <c r="AL256" s="15" t="s">
        <v>250</v>
      </c>
    </row>
    <row r="257" spans="1:38" ht="285.75" x14ac:dyDescent="0.25">
      <c r="A257" s="346">
        <f>'הזנה לתנאי סף'!B257</f>
        <v>227</v>
      </c>
      <c r="B257" s="347">
        <f>IF($F257="","",'הזנה לתנאי סף'!C257)</f>
        <v>1001346662</v>
      </c>
      <c r="C257" s="347">
        <f>IF($F257="","",'הזנה לתנאי סף'!D257)</f>
        <v>1001278692</v>
      </c>
      <c r="D257" s="347">
        <f>IF($F257="","",'הזנה לתנאי סף'!E257)</f>
        <v>40000362</v>
      </c>
      <c r="E257" s="348">
        <f>IF($F257="","",'הזנה לתנאי סף'!F257)</f>
        <v>20000159</v>
      </c>
      <c r="F257" s="348" t="str">
        <f>IF('הזנה לתנאי סף'!BL257=1,'הזנה לתנאי סף'!G257,"")</f>
        <v>ירושלים</v>
      </c>
      <c r="G257" s="348" t="str">
        <f>IF($F257="","",'הזנה לתנאי סף'!H257)</f>
        <v>מרכז עדן תמיר למוסיקה</v>
      </c>
      <c r="H257" s="348" t="str">
        <f>IF($F257="","",'הזנה לתנאי סף'!I257)</f>
        <v>מרכזי מוסיקה</v>
      </c>
      <c r="I257" s="349">
        <f>IF($F257="","",'הזנה לתנאי סף'!R257)</f>
        <v>606867</v>
      </c>
      <c r="J257" s="349">
        <f>IF($F257="","",'תחום תמיכה א'!P257)</f>
        <v>719447</v>
      </c>
      <c r="K257" s="177">
        <f>IF($F257="","",'הזנה לתנאי סף'!N257)</f>
        <v>1</v>
      </c>
      <c r="L257" s="177">
        <f>IF($F257="","",'הזנה לתנאי סף'!O257)</f>
        <v>1</v>
      </c>
      <c r="M257" s="177">
        <f>IF($F257="","",'הזנה לתנאי סף'!Q257)</f>
        <v>1</v>
      </c>
      <c r="N257" s="349">
        <f>IF($F257="","",'תחום תמיכה א'!AE257)</f>
        <v>22112.159484329506</v>
      </c>
      <c r="O257" s="178"/>
      <c r="P257" s="349">
        <f>IF($F257="","",'תחום תמיכה ב'!AC257)</f>
        <v>32697.584043459698</v>
      </c>
      <c r="Q257" s="349">
        <f>IF($F257="","",IF('תחום תמיכה ג'!O257="",0,'תחום תמיכה ג'!O257))</f>
        <v>5652.3783948881492</v>
      </c>
      <c r="R257" s="349">
        <f t="shared" si="12"/>
        <v>980.43876589649881</v>
      </c>
      <c r="S257" s="349">
        <f>IF($F257="","",'תחום תמיכה ב'!AE257)</f>
        <v>33678.022809356196</v>
      </c>
      <c r="T257" s="349">
        <f>IF($F257="","",IF(Q257='תחום תמיכה ג'!$Q$2,'תחום תמיכה ג'!$Q$2,IFERROR(SUMIF(N257:R257,"&gt;0"),'תחום תמיכה ג'!$Q$2)))</f>
        <v>61442.560688573853</v>
      </c>
      <c r="U257" s="349">
        <f>IF($F257="","",'הזנה לתנאי סף'!Y257)</f>
        <v>380000</v>
      </c>
      <c r="V257" s="350">
        <f>IF(F257="","",'הגבלה לסכום מבוקש '!AA257)</f>
        <v>67055.17649715241</v>
      </c>
      <c r="W257" s="349">
        <f t="shared" si="13"/>
        <v>16763.794124288102</v>
      </c>
      <c r="X257" s="349">
        <f>IF(F257="","",'הזנה לתנאי סף'!Z257)</f>
        <v>380000</v>
      </c>
      <c r="Y257" s="351" t="s">
        <v>3740</v>
      </c>
      <c r="Z257" s="352" t="str">
        <f>IFERROR(VLOOKUP(G257*1,#REF!,3,0),"")</f>
        <v/>
      </c>
      <c r="AA257" s="349" t="str">
        <f>IF(OR($F257="",Z257=""),"",IFERROR(IF(Z257&gt;V257,MIN(Z257,T257)-V257,0),'תחום תמיכה ג'!$Q$2))</f>
        <v/>
      </c>
      <c r="AB257" s="353"/>
      <c r="AC257" s="260" t="str">
        <f t="shared" si="15"/>
        <v/>
      </c>
      <c r="AD257" s="358"/>
      <c r="AE257" s="180"/>
      <c r="AF257" s="355" t="str">
        <f>IF($C257="","",IFERROR(VLOOKUP($C257,גיליון1!$A:$E,2,0),"לא הגיש בקשה שוטפת"))</f>
        <v>פעילות מרכז עדן תמיר למוסיקה</v>
      </c>
      <c r="AG257" s="355" t="str">
        <f>IF($C257="","",IFERROR(VLOOKUP($C257,גיליון1!$A:$E,3,0),"לא הגיש בקשה שוטפת"))</f>
        <v>מקדמ</v>
      </c>
      <c r="AH257" s="355" t="str">
        <f>IF($C257="","",IFERROR(VLOOKUP($C257,גיליון1!$A:$E,4,0),"לא הגיש בקשה שוטפת"))</f>
        <v>19-42-02-16</v>
      </c>
      <c r="AI257" s="355" t="str">
        <f>IF($C257="","",IFERROR(VLOOKUP($C257,גיליון1!$A:$E,5,0),"לא הגיש בקשה שוטפת"))</f>
        <v>מוסיקה</v>
      </c>
      <c r="AJ257" s="355">
        <f t="shared" si="14"/>
        <v>0</v>
      </c>
      <c r="AK257" s="15"/>
      <c r="AL257" s="15" t="s">
        <v>250</v>
      </c>
    </row>
    <row r="258" spans="1:38" ht="285.75" x14ac:dyDescent="0.25">
      <c r="A258" s="346">
        <f>'הזנה לתנאי סף'!B258</f>
        <v>228</v>
      </c>
      <c r="B258" s="347">
        <f>IF($F258="","",'הזנה לתנאי סף'!C258)</f>
        <v>1001348984</v>
      </c>
      <c r="C258" s="347">
        <f>IF($F258="","",'הזנה לתנאי סף'!D258)</f>
        <v>1001299405</v>
      </c>
      <c r="D258" s="347">
        <f>IF($F258="","",'הזנה לתנאי סף'!E258)</f>
        <v>40000699</v>
      </c>
      <c r="E258" s="348">
        <f>IF($F258="","",'הזנה לתנאי סף'!F258)</f>
        <v>20000102</v>
      </c>
      <c r="F258" s="348" t="str">
        <f>IF('הזנה לתנאי סף'!BL258=1,'הזנה לתנאי סף'!G258,"")</f>
        <v>מעלות-תרשיחא</v>
      </c>
      <c r="G258" s="348" t="str">
        <f>IF($F258="","",'הזנה לתנאי סף'!H258)</f>
        <v>"קתרין" לקידום המוסיקה, מחול ואומנו</v>
      </c>
      <c r="H258" s="348" t="str">
        <f>IF($F258="","",'הזנה לתנאי סף'!I258)</f>
        <v>אחר</v>
      </c>
      <c r="I258" s="349">
        <f>IF($F258="","",'הזנה לתנאי סף'!R258)</f>
        <v>1083028</v>
      </c>
      <c r="J258" s="349">
        <f>IF($F258="","",'תחום תמיכה א'!P258)</f>
        <v>1335285</v>
      </c>
      <c r="K258" s="177">
        <f>IF($F258="","",'הזנה לתנאי סף'!N258)</f>
        <v>0</v>
      </c>
      <c r="L258" s="177">
        <f>IF($F258="","",'הזנה לתנאי סף'!O258)</f>
        <v>1</v>
      </c>
      <c r="M258" s="177">
        <f>IF($F258="","",'הזנה לתנאי סף'!Q258)</f>
        <v>1</v>
      </c>
      <c r="N258" s="349">
        <f>IF($F258="","",'תחום תמיכה א'!AE258)</f>
        <v>51693.259038637887</v>
      </c>
      <c r="O258" s="178"/>
      <c r="P258" s="349">
        <f>IF($F258="","",'תחום תמיכה ב'!AC258)</f>
        <v>72897.557462472207</v>
      </c>
      <c r="Q258" s="349">
        <f>IF($F258="","",IF('תחום תמיכה ג'!O258="",0,'תחום תמיכה ג'!O258))</f>
        <v>0</v>
      </c>
      <c r="R258" s="349">
        <f t="shared" si="12"/>
        <v>2185.837069196903</v>
      </c>
      <c r="S258" s="349">
        <f>IF($F258="","",'תחום תמיכה ב'!AE258)</f>
        <v>75083.39453166911</v>
      </c>
      <c r="T258" s="349">
        <f>IF($F258="","",IF(Q258='תחום תמיכה ג'!$Q$2,'תחום תמיכה ג'!$Q$2,IFERROR(SUMIF(N258:R258,"&gt;0"),'תחום תמיכה ג'!$Q$2)))</f>
        <v>126776.653570307</v>
      </c>
      <c r="U258" s="349">
        <f>IF($F258="","",'הזנה לתנאי סף'!Y258)</f>
        <v>350000</v>
      </c>
      <c r="V258" s="350">
        <f>IF(F258="","",'הגבלה לסכום מבוקש '!AA258)</f>
        <v>139285.04043747828</v>
      </c>
      <c r="W258" s="349">
        <f t="shared" si="13"/>
        <v>34821.26010936957</v>
      </c>
      <c r="X258" s="349">
        <f>IF(F258="","",'הזנה לתנאי סף'!Z258)</f>
        <v>350000</v>
      </c>
      <c r="Y258" s="351" t="s">
        <v>3740</v>
      </c>
      <c r="Z258" s="352" t="str">
        <f>IFERROR(VLOOKUP(G258*1,#REF!,3,0),"")</f>
        <v/>
      </c>
      <c r="AA258" s="349" t="str">
        <f>IF(OR($F258="",Z258=""),"",IFERROR(IF(Z258&gt;V258,MIN(Z258,T258)-V258,0),'תחום תמיכה ג'!$Q$2))</f>
        <v/>
      </c>
      <c r="AB258" s="353"/>
      <c r="AC258" s="260" t="str">
        <f t="shared" si="15"/>
        <v/>
      </c>
      <c r="AD258" s="358"/>
      <c r="AE258" s="180"/>
      <c r="AF258" s="355" t="str">
        <f>IF($C258="","",IFERROR(VLOOKUP($C258,גיליון1!$A:$E,2,0),"לא הגיש בקשה שוטפת"))</f>
        <v>פעילות תרבות שוטפת</v>
      </c>
      <c r="AG258" s="355" t="str">
        <f>IF($C258="","",IFERROR(VLOOKUP($C258,גיליון1!$A:$E,3,0),"לא הגיש בקשה שוטפת"))</f>
        <v>מועד</v>
      </c>
      <c r="AH258" s="355" t="str">
        <f>IF($C258="","",IFERROR(VLOOKUP($C258,גיליון1!$A:$E,4,0),"לא הגיש בקשה שוטפת"))</f>
        <v>19-42-02-33</v>
      </c>
      <c r="AI258" s="355" t="str">
        <f>IF($C258="","",IFERROR(VLOOKUP($C258,גיליון1!$A:$E,5,0),"לא הגיש בקשה שוטפת"))</f>
        <v>תרבות ערבית ודרוזית</v>
      </c>
      <c r="AJ258" s="355">
        <f t="shared" si="14"/>
        <v>0</v>
      </c>
      <c r="AK258" s="15"/>
      <c r="AL258" s="15" t="s">
        <v>250</v>
      </c>
    </row>
    <row r="259" spans="1:38" ht="285.75" x14ac:dyDescent="0.25">
      <c r="A259" s="346">
        <f>'הזנה לתנאי סף'!B259</f>
        <v>229</v>
      </c>
      <c r="B259" s="347">
        <f>IF($F259="","",'הזנה לתנאי סף'!C259)</f>
        <v>1001347694</v>
      </c>
      <c r="C259" s="347">
        <f>IF($F259="","",'הזנה לתנאי סף'!D259)</f>
        <v>1001302279</v>
      </c>
      <c r="D259" s="347">
        <f>IF($F259="","",'הזנה לתנאי סף'!E259)</f>
        <v>41968223</v>
      </c>
      <c r="E259" s="348">
        <f>IF($F259="","",'הזנה לתנאי סף'!F259)</f>
        <v>20000150</v>
      </c>
      <c r="F259" s="348" t="str">
        <f>IF('הזנה לתנאי סף'!BL259=1,'הזנה לתנאי סף'!G259,"")</f>
        <v>קריית גת</v>
      </c>
      <c r="G259" s="348" t="str">
        <f>IF($F259="","",'הזנה לתנאי סף'!H259)</f>
        <v>מוזיקה פורטת גבולות</v>
      </c>
      <c r="H259" s="348" t="str">
        <f>IF($F259="","",'הזנה לתנאי סף'!I259)</f>
        <v>תרבות בקהילה</v>
      </c>
      <c r="I259" s="349">
        <f>IF($F259="","",'הזנה לתנאי סף'!R259)</f>
        <v>345056</v>
      </c>
      <c r="J259" s="349">
        <f>IF($F259="","",'תחום תמיכה א'!P259)</f>
        <v>456250</v>
      </c>
      <c r="K259" s="177">
        <f>IF($F259="","",'הזנה לתנאי סף'!N259)</f>
        <v>0</v>
      </c>
      <c r="L259" s="177">
        <f>IF($F259="","",'הזנה לתנאי סף'!O259)</f>
        <v>1</v>
      </c>
      <c r="M259" s="177">
        <f>IF($F259="","",'הזנה לתנאי סף'!Q259)</f>
        <v>1</v>
      </c>
      <c r="N259" s="349">
        <f>IF($F259="","",'תחום תמיכה א'!AE259)</f>
        <v>24940.67905900468</v>
      </c>
      <c r="O259" s="178"/>
      <c r="P259" s="349">
        <f>IF($F259="","",'תחום תמיכה ב'!AC259)</f>
        <v>58810.898511292631</v>
      </c>
      <c r="Q259" s="349">
        <f>IF($F259="","",IF('תחום תמיכה ג'!O259="",0,'תחום תמיכה ג'!O259))</f>
        <v>0</v>
      </c>
      <c r="R259" s="349">
        <f t="shared" si="12"/>
        <v>1763.4478645589552</v>
      </c>
      <c r="S259" s="349">
        <f>IF($F259="","",'תחום תמיכה ב'!AE259)</f>
        <v>60574.346375851586</v>
      </c>
      <c r="T259" s="349">
        <f>IF($F259="","",IF(Q259='תחום תמיכה ג'!$Q$2,'תחום תמיכה ג'!$Q$2,IFERROR(SUMIF(N259:R259,"&gt;0"),'תחום תמיכה ג'!$Q$2)))</f>
        <v>85515.025434856274</v>
      </c>
      <c r="U259" s="349">
        <f>IF($F259="","",'הזנה לתנאי סף'!Y259)</f>
        <v>581500</v>
      </c>
      <c r="V259" s="350">
        <f>IF(F259="","",'הגבלה לסכום מבוקש '!AA259)</f>
        <v>95598.669957950537</v>
      </c>
      <c r="W259" s="349">
        <f t="shared" si="13"/>
        <v>23899.667489487634</v>
      </c>
      <c r="X259" s="349">
        <f>IF(F259="","",'הזנה לתנאי סף'!Z259)</f>
        <v>250000</v>
      </c>
      <c r="Y259" s="351" t="s">
        <v>3740</v>
      </c>
      <c r="Z259" s="352" t="str">
        <f>IFERROR(VLOOKUP(G259*1,#REF!,3,0),"")</f>
        <v/>
      </c>
      <c r="AA259" s="349" t="str">
        <f>IF(OR($F259="",Z259=""),"",IFERROR(IF(Z259&gt;V259,MIN(Z259,T259)-V259,0),'תחום תמיכה ג'!$Q$2))</f>
        <v/>
      </c>
      <c r="AB259" s="353"/>
      <c r="AC259" s="260" t="str">
        <f t="shared" si="15"/>
        <v/>
      </c>
      <c r="AD259" s="358"/>
      <c r="AE259" s="180"/>
      <c r="AF259" s="355" t="str">
        <f>IF($C259="","",IFERROR(VLOOKUP($C259,גיליון1!$A:$E,2,0),"לא הגיש בקשה שוטפת"))</f>
        <v>תרבות בקהילה 2020</v>
      </c>
      <c r="AG259" s="355" t="str">
        <f>IF($C259="","",IFERROR(VLOOKUP($C259,גיליון1!$A:$E,3,0),"לא הגיש בקשה שוטפת"))</f>
        <v>טיוט</v>
      </c>
      <c r="AH259" s="355" t="str">
        <f>IF($C259="","",IFERROR(VLOOKUP($C259,גיליון1!$A:$E,4,0),"לא הגיש בקשה שוטפת"))</f>
        <v>19-42-02-31</v>
      </c>
      <c r="AI259" s="355" t="str">
        <f>IF($C259="","",IFERROR(VLOOKUP($C259,גיליון1!$A:$E,5,0),"לא הגיש בקשה שוטפת"))</f>
        <v>תרבות בקהילה תמיכה</v>
      </c>
      <c r="AJ259" s="355">
        <f t="shared" si="14"/>
        <v>0</v>
      </c>
      <c r="AK259" s="15"/>
      <c r="AL259" s="15" t="s">
        <v>250</v>
      </c>
    </row>
    <row r="260" spans="1:38" ht="285.75" x14ac:dyDescent="0.25">
      <c r="A260" s="346">
        <f>'הזנה לתנאי סף'!B260</f>
        <v>230</v>
      </c>
      <c r="B260" s="347">
        <f>IF($F260="","",'הזנה לתנאי סף'!C260)</f>
        <v>1001349548</v>
      </c>
      <c r="C260" s="347">
        <f>IF($F260="","",'הזנה לתנאי סף'!D260)</f>
        <v>1001302223</v>
      </c>
      <c r="D260" s="347">
        <f>IF($F260="","",'הזנה לתנאי סף'!E260)</f>
        <v>40221328</v>
      </c>
      <c r="E260" s="348">
        <f>IF($F260="","",'הזנה לתנאי סף'!F260)</f>
        <v>20000035</v>
      </c>
      <c r="F260" s="348" t="str">
        <f>IF('הזנה לתנאי סף'!BL260=1,'הזנה לתנאי סף'!G260,"")</f>
        <v>מגאר</v>
      </c>
      <c r="G260" s="348" t="str">
        <f>IF($F260="","",'הזנה לתנאי סף'!H260)</f>
        <v>תיאטרון הגליל הקהילתי</v>
      </c>
      <c r="H260" s="348" t="str">
        <f>IF($F260="","",'הזנה לתנאי סף'!I260)</f>
        <v>תיאטרון</v>
      </c>
      <c r="I260" s="349">
        <f>IF($F260="","",'הזנה לתנאי סף'!R260)</f>
        <v>664236</v>
      </c>
      <c r="J260" s="349">
        <f>IF($F260="","",'תחום תמיכה א'!P260)</f>
        <v>536960</v>
      </c>
      <c r="K260" s="177">
        <f>IF($F260="","",'הזנה לתנאי סף'!N260)</f>
        <v>0</v>
      </c>
      <c r="L260" s="177">
        <f>IF($F260="","",'הזנה לתנאי סף'!O260)</f>
        <v>1</v>
      </c>
      <c r="M260" s="177">
        <f>IF($F260="","",'הזנה לתנאי סף'!Q260)</f>
        <v>1</v>
      </c>
      <c r="N260" s="349">
        <f>IF($F260="","",'תחום תמיכה א'!AE260)</f>
        <v>15211.821063982161</v>
      </c>
      <c r="O260" s="178"/>
      <c r="P260" s="349">
        <f>IF($F260="","",'תחום תמיכה ב'!AC260)</f>
        <v>23175.522026184273</v>
      </c>
      <c r="Q260" s="349">
        <f>IF($F260="","",IF('תחום תמיכה ג'!O260="",0,'תחום תמיכה ג'!O260))</f>
        <v>0</v>
      </c>
      <c r="R260" s="349">
        <f t="shared" si="12"/>
        <v>694.91923880853938</v>
      </c>
      <c r="S260" s="349">
        <f>IF($F260="","",'תחום תמיכה ב'!AE260)</f>
        <v>23870.441264992813</v>
      </c>
      <c r="T260" s="349">
        <f>IF($F260="","",IF(Q260='תחום תמיכה ג'!$Q$2,'תחום תמיכה ג'!$Q$2,IFERROR(SUMIF(N260:R260,"&gt;0"),'תחום תמיכה ג'!$Q$2)))</f>
        <v>39082.262328974975</v>
      </c>
      <c r="U260" s="349">
        <f>IF($F260="","",'הזנה לתנאי סף'!Y260)</f>
        <v>400000</v>
      </c>
      <c r="V260" s="350">
        <f>IF(F260="","",'הגבלה לסכום מבוקש '!AA260)</f>
        <v>43058.360152237576</v>
      </c>
      <c r="W260" s="349">
        <f t="shared" si="13"/>
        <v>10764.590038059394</v>
      </c>
      <c r="X260" s="349">
        <f>IF(F260="","",'הזנה לתנאי סף'!Z260)</f>
        <v>200000</v>
      </c>
      <c r="Y260" s="351" t="s">
        <v>3740</v>
      </c>
      <c r="Z260" s="352" t="str">
        <f>IFERROR(VLOOKUP(G260*1,#REF!,3,0),"")</f>
        <v/>
      </c>
      <c r="AA260" s="349" t="str">
        <f>IF(OR($F260="",Z260=""),"",IFERROR(IF(Z260&gt;V260,MIN(Z260,T260)-V260,0),'תחום תמיכה ג'!$Q$2))</f>
        <v/>
      </c>
      <c r="AB260" s="353"/>
      <c r="AC260" s="260" t="str">
        <f t="shared" si="15"/>
        <v/>
      </c>
      <c r="AD260" s="358"/>
      <c r="AE260" s="180"/>
      <c r="AF260" s="355" t="str">
        <f>IF($C260="","",IFERROR(VLOOKUP($C260,גיליון1!$A:$E,2,0),"לא הגיש בקשה שוטפת"))</f>
        <v>תמיכה בפעילות השוטפת</v>
      </c>
      <c r="AG260" s="355" t="str">
        <f>IF($C260="","",IFERROR(VLOOKUP($C260,גיליון1!$A:$E,3,0),"לא הגיש בקשה שוטפת"))</f>
        <v>מועד</v>
      </c>
      <c r="AH260" s="355" t="str">
        <f>IF($C260="","",IFERROR(VLOOKUP($C260,גיליון1!$A:$E,4,0),"לא הגיש בקשה שוטפת"))</f>
        <v>19-42-02-33</v>
      </c>
      <c r="AI260" s="355" t="str">
        <f>IF($C260="","",IFERROR(VLOOKUP($C260,גיליון1!$A:$E,5,0),"לא הגיש בקשה שוטפת"))</f>
        <v>תרבות ערבית ודרוזית</v>
      </c>
      <c r="AJ260" s="355">
        <f t="shared" si="14"/>
        <v>0</v>
      </c>
      <c r="AK260" s="15"/>
      <c r="AL260" s="15" t="s">
        <v>250</v>
      </c>
    </row>
    <row r="261" spans="1:38" ht="285.75" x14ac:dyDescent="0.25">
      <c r="A261" s="346">
        <f>'הזנה לתנאי סף'!B261</f>
        <v>231</v>
      </c>
      <c r="B261" s="347">
        <f>IF($F261="","",'הזנה לתנאי סף'!C261)</f>
        <v>1001347151</v>
      </c>
      <c r="C261" s="347">
        <f>IF($F261="","",'הזנה לתנאי סף'!D261)</f>
        <v>1001273224</v>
      </c>
      <c r="D261" s="347">
        <f>IF($F261="","",'הזנה לתנאי סף'!E261)</f>
        <v>41072447</v>
      </c>
      <c r="E261" s="348">
        <f>IF($F261="","",'הזנה לתנאי סף'!F261)</f>
        <v>20000159</v>
      </c>
      <c r="F261" s="348" t="str">
        <f>IF('הזנה לתנאי סף'!BL261=1,'הזנה לתנאי סף'!G261,"")</f>
        <v>ירושלים</v>
      </c>
      <c r="G261" s="348" t="str">
        <f>IF($F261="","",'הזנה לתנאי סף'!H261)</f>
        <v>מחול שלם - בית עכשווי למחול (ע"ר)</v>
      </c>
      <c r="H261" s="348" t="str">
        <f>IF($F261="","",'הזנה לתנאי סף'!I261)</f>
        <v>מרכזי מחול</v>
      </c>
      <c r="I261" s="349">
        <f>IF($F261="","",'הזנה לתנאי סף'!R261)</f>
        <v>1450768</v>
      </c>
      <c r="J261" s="349">
        <f>IF($F261="","",'תחום תמיכה א'!P261)</f>
        <v>1543025</v>
      </c>
      <c r="K261" s="177">
        <f>IF($F261="","",'הזנה לתנאי סף'!N261)</f>
        <v>1</v>
      </c>
      <c r="L261" s="177">
        <f>IF($F261="","",'הזנה לתנאי סף'!O261)</f>
        <v>1</v>
      </c>
      <c r="M261" s="177">
        <f>IF($F261="","",'הזנה לתנאי סף'!Q261)</f>
        <v>1</v>
      </c>
      <c r="N261" s="349">
        <f>IF($F261="","",'תחום תמיכה א'!AE261)</f>
        <v>40291.22691810783</v>
      </c>
      <c r="O261" s="178"/>
      <c r="P261" s="349">
        <f>IF($F261="","",'תחום תמיכה ב'!AC261)</f>
        <v>56419.66014001509</v>
      </c>
      <c r="Q261" s="349">
        <f>IF($F261="","",IF('תחום תמיכה ג'!O261="",0,'תחום תמיכה ג'!O261))</f>
        <v>9753.1752681936177</v>
      </c>
      <c r="R261" s="349">
        <f t="shared" si="12"/>
        <v>1691.7464570609736</v>
      </c>
      <c r="S261" s="349">
        <f>IF($F261="","",'תחום תמיכה ב'!AE261)</f>
        <v>58111.406597076064</v>
      </c>
      <c r="T261" s="349">
        <f>IF($F261="","",IF(Q261='תחום תמיכה ג'!$Q$2,'תחום תמיכה ג'!$Q$2,IFERROR(SUMIF(N261:R261,"&gt;0"),'תחום תמיכה ג'!$Q$2)))</f>
        <v>108155.80878337752</v>
      </c>
      <c r="U261" s="349">
        <f>IF($F261="","",'הזנה לתנאי סף'!Y261)</f>
        <v>400000</v>
      </c>
      <c r="V261" s="350">
        <f>IF(F261="","",'הגבלה לסכום מבוקש '!AA261)</f>
        <v>117841.34663508773</v>
      </c>
      <c r="W261" s="349">
        <f t="shared" si="13"/>
        <v>29460.336658771932</v>
      </c>
      <c r="X261" s="349">
        <f>IF(F261="","",'הזנה לתנאי סף'!Z261)</f>
        <v>400000</v>
      </c>
      <c r="Y261" s="351" t="s">
        <v>3740</v>
      </c>
      <c r="Z261" s="352" t="str">
        <f>IFERROR(VLOOKUP(G261*1,#REF!,3,0),"")</f>
        <v/>
      </c>
      <c r="AA261" s="349" t="str">
        <f>IF(OR($F261="",Z261=""),"",IFERROR(IF(Z261&gt;V261,MIN(Z261,T261)-V261,0),'תחום תמיכה ג'!$Q$2))</f>
        <v/>
      </c>
      <c r="AB261" s="353"/>
      <c r="AC261" s="260" t="str">
        <f t="shared" si="15"/>
        <v/>
      </c>
      <c r="AD261" s="358"/>
      <c r="AE261" s="180"/>
      <c r="AF261" s="355" t="str">
        <f>IF($C261="","",IFERROR(VLOOKUP($C261,גיליון1!$A:$E,2,0),"לא הגיש בקשה שוטפת"))</f>
        <v>מרכז מחול שלם 2020</v>
      </c>
      <c r="AG261" s="355" t="str">
        <f>IF($C261="","",IFERROR(VLOOKUP($C261,גיליון1!$A:$E,3,0),"לא הגיש בקשה שוטפת"))</f>
        <v>חויב</v>
      </c>
      <c r="AH261" s="355" t="str">
        <f>IF($C261="","",IFERROR(VLOOKUP($C261,גיליון1!$A:$E,4,0),"לא הגיש בקשה שוטפת"))</f>
        <v>19-42-02-20</v>
      </c>
      <c r="AI261" s="355" t="str">
        <f>IF($C261="","",IFERROR(VLOOKUP($C261,גיליון1!$A:$E,5,0),"לא הגיש בקשה שוטפת"))</f>
        <v>מחול וארגוני גג</v>
      </c>
      <c r="AJ261" s="355">
        <f t="shared" si="14"/>
        <v>0</v>
      </c>
      <c r="AK261" s="15"/>
      <c r="AL261" s="15" t="s">
        <v>250</v>
      </c>
    </row>
    <row r="262" spans="1:38" ht="285.75" x14ac:dyDescent="0.25">
      <c r="A262" s="346">
        <f>'הזנה לתנאי סף'!B262</f>
        <v>232</v>
      </c>
      <c r="B262" s="347">
        <f>IF($F262="","",'הזנה לתנאי סף'!C262)</f>
        <v>1001347854</v>
      </c>
      <c r="C262" s="347">
        <f>IF($F262="","",'הזנה לתנאי סף'!D262)</f>
        <v>1001302179</v>
      </c>
      <c r="D262" s="347">
        <f>IF($F262="","",'הזנה לתנאי סף'!E262)</f>
        <v>41072447</v>
      </c>
      <c r="E262" s="348">
        <f>IF($F262="","",'הזנה לתנאי סף'!F262)</f>
        <v>20000159</v>
      </c>
      <c r="F262" s="348" t="str">
        <f>IF('הזנה לתנאי סף'!BL262=1,'הזנה לתנאי סף'!G262,"")</f>
        <v>ירושלים</v>
      </c>
      <c r="G262" s="348" t="str">
        <f>IF($F262="","",'הזנה לתנאי סף'!H262)</f>
        <v>מחול שלם - בית עכשווי למחול (ע"ר)</v>
      </c>
      <c r="H262" s="348" t="str">
        <f>IF($F262="","",'הזנה לתנאי סף'!I262)</f>
        <v>מחול</v>
      </c>
      <c r="I262" s="349">
        <f>IF($F262="","",'הזנה לתנאי סף'!R262)</f>
        <v>111884</v>
      </c>
      <c r="J262" s="349">
        <f>IF($F262="","",'תחום תמיכה א'!P262)</f>
        <v>99965</v>
      </c>
      <c r="K262" s="177">
        <f>IF($F262="","",'הזנה לתנאי סף'!N262)</f>
        <v>1</v>
      </c>
      <c r="L262" s="177">
        <f>IF($F262="","",'הזנה לתנאי סף'!O262)</f>
        <v>1</v>
      </c>
      <c r="M262" s="177">
        <f>IF($F262="","",'הזנה לתנאי סף'!Q262)</f>
        <v>1</v>
      </c>
      <c r="N262" s="349">
        <f>IF($F262="","",'תחום תמיכה א'!AE262)</f>
        <v>3951.4886999794394</v>
      </c>
      <c r="O262" s="178"/>
      <c r="P262" s="349">
        <f>IF($F262="","",'תחום תמיכה ב'!AC262)</f>
        <v>9971.2813599803703</v>
      </c>
      <c r="Q262" s="349">
        <f>IF($F262="","",IF('תחום תמיכה ג'!O262="",0,'תחום תמיכה ג'!O262))</f>
        <v>1723.7192586948213</v>
      </c>
      <c r="R262" s="349">
        <f t="shared" si="12"/>
        <v>298.98939254936704</v>
      </c>
      <c r="S262" s="349">
        <f>IF($F262="","",'תחום תמיכה ב'!AE262)</f>
        <v>10270.270752529737</v>
      </c>
      <c r="T262" s="349">
        <f>IF($F262="","",IF(Q262='תחום תמיכה ג'!$Q$2,'תחום תמיכה ג'!$Q$2,IFERROR(SUMIF(N262:R262,"&gt;0"),'תחום תמיכה ג'!$Q$2)))</f>
        <v>15945.478711203999</v>
      </c>
      <c r="U262" s="349">
        <f>IF($F262="","",'הזנה לתנאי סף'!Y262)</f>
        <v>350000</v>
      </c>
      <c r="V262" s="350">
        <f>IF(F262="","",'הגבלה לסכום מבוקש '!AA262)</f>
        <v>17655.801040136615</v>
      </c>
      <c r="W262" s="349">
        <f t="shared" si="13"/>
        <v>4413.9502600341539</v>
      </c>
      <c r="X262" s="349">
        <f>IF(F262="","",'הזנה לתנאי סף'!Z262)</f>
        <v>350000</v>
      </c>
      <c r="Y262" s="351" t="s">
        <v>3740</v>
      </c>
      <c r="Z262" s="352" t="str">
        <f>IFERROR(VLOOKUP(G262*1,#REF!,3,0),"")</f>
        <v/>
      </c>
      <c r="AA262" s="349" t="str">
        <f>IF(OR($F262="",Z262=""),"",IFERROR(IF(Z262&gt;V262,MIN(Z262,T262)-V262,0),'תחום תמיכה ג'!$Q$2))</f>
        <v/>
      </c>
      <c r="AB262" s="353"/>
      <c r="AC262" s="260" t="str">
        <f t="shared" si="15"/>
        <v/>
      </c>
      <c r="AD262" s="358"/>
      <c r="AE262" s="180"/>
      <c r="AF262" s="355" t="str">
        <f>IF($C262="","",IFERROR(VLOOKUP($C262,גיליון1!$A:$E,2,0),"לא הגיש בקשה שוטפת"))</f>
        <v>תזמורת ארמון בזמן- 2020</v>
      </c>
      <c r="AG262" s="355" t="str">
        <f>IF($C262="","",IFERROR(VLOOKUP($C262,גיליון1!$A:$E,3,0),"לא הגיש בקשה שוטפת"))</f>
        <v>טיוט</v>
      </c>
      <c r="AH262" s="355" t="str">
        <f>IF($C262="","",IFERROR(VLOOKUP($C262,גיליון1!$A:$E,4,0),"לא הגיש בקשה שוטפת"))</f>
        <v>19-42-02-16</v>
      </c>
      <c r="AI262" s="355" t="str">
        <f>IF($C262="","",IFERROR(VLOOKUP($C262,גיליון1!$A:$E,5,0),"לא הגיש בקשה שוטפת"))</f>
        <v>מוסיקה</v>
      </c>
      <c r="AJ262" s="355">
        <f t="shared" si="14"/>
        <v>0</v>
      </c>
      <c r="AK262" s="15"/>
      <c r="AL262" s="15" t="s">
        <v>250</v>
      </c>
    </row>
    <row r="263" spans="1:38" ht="285.75" x14ac:dyDescent="0.25">
      <c r="A263" s="346">
        <f>'הזנה לתנאי סף'!B263</f>
        <v>233</v>
      </c>
      <c r="B263" s="347">
        <f>IF($F263="","",'הזנה לתנאי סף'!C263)</f>
        <v>1001347063</v>
      </c>
      <c r="C263" s="347">
        <f>IF($F263="","",'הזנה לתנאי סף'!D263)</f>
        <v>1001290740</v>
      </c>
      <c r="D263" s="347">
        <f>IF($F263="","",'הזנה לתנאי סף'!E263)</f>
        <v>41635660</v>
      </c>
      <c r="E263" s="348">
        <f>IF($F263="","",'הזנה לתנאי סף'!F263)</f>
        <v>20000254</v>
      </c>
      <c r="F263" s="348" t="str">
        <f>IF('הזנה לתנאי סף'!BL263=1,'הזנה לתנאי סף'!G263,"")</f>
        <v>באר שבע</v>
      </c>
      <c r="G263" s="348" t="str">
        <f>IF($F263="","",'הזנה לתנאי סף'!H263)</f>
        <v>עמותת הבית למחול</v>
      </c>
      <c r="H263" s="348" t="str">
        <f>IF($F263="","",'הזנה לתנאי סף'!I263)</f>
        <v>מחול</v>
      </c>
      <c r="I263" s="349">
        <f>IF($F263="","",'הזנה לתנאי סף'!R263)</f>
        <v>617299</v>
      </c>
      <c r="J263" s="349">
        <f>IF($F263="","",'תחום תמיכה א'!P263)</f>
        <v>417172</v>
      </c>
      <c r="K263" s="177">
        <f>IF($F263="","",'הזנה לתנאי סף'!N263)</f>
        <v>0</v>
      </c>
      <c r="L263" s="177">
        <f>IF($F263="","",'הזנה לתנאי סף'!O263)</f>
        <v>1</v>
      </c>
      <c r="M263" s="177">
        <f>IF($F263="","",'הזנה לתנאי סף'!Q263)</f>
        <v>1</v>
      </c>
      <c r="N263" s="349">
        <f>IF($F263="","",'תחום תמיכה א'!AE263)</f>
        <v>10217.710599148806</v>
      </c>
      <c r="O263" s="178"/>
      <c r="P263" s="349">
        <f>IF($F263="","",'תחום תמיכה ב'!AC263)</f>
        <v>21121.750312969729</v>
      </c>
      <c r="Q263" s="349">
        <f>IF($F263="","",IF('תחום תמיכה ג'!O263="",0,'תחום תמיכה ג'!O263))</f>
        <v>0</v>
      </c>
      <c r="R263" s="349">
        <f t="shared" si="12"/>
        <v>633.33678668421999</v>
      </c>
      <c r="S263" s="349">
        <f>IF($F263="","",'תחום תמיכה ב'!AE263)</f>
        <v>21755.087099653949</v>
      </c>
      <c r="T263" s="349">
        <f>IF($F263="","",IF(Q263='תחום תמיכה ג'!$Q$2,'תחום תמיכה ג'!$Q$2,IFERROR(SUMIF(N263:R263,"&gt;0"),'תחום תמיכה ג'!$Q$2)))</f>
        <v>31972.797698802755</v>
      </c>
      <c r="U263" s="349">
        <f>IF($F263="","",'הזנה לתנאי סף'!Y263)</f>
        <v>1000000</v>
      </c>
      <c r="V263" s="350">
        <f>IF(F263="","",'הגבלה לסכום מבוקש '!AA263)</f>
        <v>35594.880967943129</v>
      </c>
      <c r="W263" s="349">
        <f t="shared" si="13"/>
        <v>8898.7202419857822</v>
      </c>
      <c r="X263" s="349">
        <f>IF(F263="","",'הזנה לתנאי סף'!Z263)</f>
        <v>230000</v>
      </c>
      <c r="Y263" s="351" t="s">
        <v>3740</v>
      </c>
      <c r="Z263" s="352" t="str">
        <f>IFERROR(VLOOKUP(G263*1,#REF!,3,0),"")</f>
        <v/>
      </c>
      <c r="AA263" s="349" t="str">
        <f>IF(OR($F263="",Z263=""),"",IFERROR(IF(Z263&gt;V263,MIN(Z263,T263)-V263,0),'תחום תמיכה ג'!$Q$2))</f>
        <v/>
      </c>
      <c r="AB263" s="353"/>
      <c r="AC263" s="260" t="str">
        <f t="shared" si="15"/>
        <v/>
      </c>
      <c r="AD263" s="358"/>
      <c r="AE263" s="180"/>
      <c r="AF263" s="355" t="str">
        <f>IF($C263="","",IFERROR(VLOOKUP($C263,גיליון1!$A:$E,2,0),"לא הגיש בקשה שוטפת"))</f>
        <v>להקת המחול סול - להקה קטנה</v>
      </c>
      <c r="AG263" s="355" t="str">
        <f>IF($C263="","",IFERROR(VLOOKUP($C263,גיליון1!$A:$E,3,0),"לא הגיש בקשה שוטפת"))</f>
        <v>מועד</v>
      </c>
      <c r="AH263" s="355" t="str">
        <f>IF($C263="","",IFERROR(VLOOKUP($C263,גיליון1!$A:$E,4,0),"לא הגיש בקשה שוטפת"))</f>
        <v>19-42-02-20</v>
      </c>
      <c r="AI263" s="355" t="str">
        <f>IF($C263="","",IFERROR(VLOOKUP($C263,גיליון1!$A:$E,5,0),"לא הגיש בקשה שוטפת"))</f>
        <v>מחול וארגוני גג</v>
      </c>
      <c r="AJ263" s="355">
        <f t="shared" si="14"/>
        <v>0</v>
      </c>
      <c r="AK263" s="15"/>
      <c r="AL263" s="15" t="s">
        <v>250</v>
      </c>
    </row>
    <row r="264" spans="1:38" ht="285.75" x14ac:dyDescent="0.25">
      <c r="A264" s="346">
        <f>'הזנה לתנאי סף'!B264</f>
        <v>234</v>
      </c>
      <c r="B264" s="347">
        <f>IF($F264="","",'הזנה לתנאי סף'!C264)</f>
        <v>1001347315</v>
      </c>
      <c r="C264" s="347">
        <f>IF($F264="","",'הזנה לתנאי סף'!D264)</f>
        <v>1001270643</v>
      </c>
      <c r="D264" s="347">
        <f>IF($F264="","",'הזנה לתנאי סף'!E264)</f>
        <v>40000252</v>
      </c>
      <c r="E264" s="348">
        <f>IF($F264="","",'הזנה לתנאי סף'!F264)</f>
        <v>20000182</v>
      </c>
      <c r="F264" s="348" t="str">
        <f>IF('הזנה לתנאי סף'!BL264=1,'הזנה לתנאי סף'!G264,"")</f>
        <v>חיפה</v>
      </c>
      <c r="G264" s="348" t="str">
        <f>IF($F264="","",'הזנה לתנאי סף'!H264)</f>
        <v>אתו"ס - החברה לאומנות תרבות וספורט</v>
      </c>
      <c r="H264" s="348" t="str">
        <f>IF($F264="","",'הזנה לתנאי סף'!I264)</f>
        <v>אחר</v>
      </c>
      <c r="I264" s="349">
        <f>IF($F264="","",'הזנה לתנאי סף'!R264)</f>
        <v>624000</v>
      </c>
      <c r="J264" s="349">
        <f>IF($F264="","",'תחום תמיכה א'!P264)</f>
        <v>624000</v>
      </c>
      <c r="K264" s="177">
        <f>IF($F264="","",'הזנה לתנאי סף'!N264)</f>
        <v>1</v>
      </c>
      <c r="L264" s="177">
        <f>IF($F264="","",'הזנה לתנאי סף'!O264)</f>
        <v>0</v>
      </c>
      <c r="M264" s="177">
        <f>IF($F264="","",'הזנה לתנאי סף'!Q264)</f>
        <v>1</v>
      </c>
      <c r="N264" s="349">
        <f>IF($F264="","",'תחום תמיכה א'!AE264)</f>
        <v>9948.9393725783029</v>
      </c>
      <c r="O264" s="178"/>
      <c r="P264" s="349">
        <f>IF($F264="","",'תחום תמיכה ב'!AC264)</f>
        <v>9047.4547009986291</v>
      </c>
      <c r="Q264" s="349">
        <f>IF($F264="","",IF('תחום תמיכה ג'!O264="",0,'תחום תמיכה ג'!O264))</f>
        <v>1955.4325668537872</v>
      </c>
      <c r="R264" s="349">
        <f t="shared" si="12"/>
        <v>271.28840191255222</v>
      </c>
      <c r="S264" s="349">
        <f>IF($F264="","",'תחום תמיכה ב'!AE264)</f>
        <v>9318.7431029111813</v>
      </c>
      <c r="T264" s="349">
        <f>IF($F264="","",IF(Q264='תחום תמיכה ג'!$Q$2,'תחום תמיכה ג'!$Q$2,IFERROR(SUMIF(N264:R264,"&gt;0"),'תחום תמיכה ג'!$Q$2)))</f>
        <v>21223.11504234327</v>
      </c>
      <c r="U264" s="349">
        <f>IF($F264="","",'הזנה לתנאי סף'!Y264)</f>
        <v>130000</v>
      </c>
      <c r="V264" s="350">
        <f>IF(F264="","",'הגבלה לסכום מבוקש '!AA264)</f>
        <v>22778.053875583399</v>
      </c>
      <c r="W264" s="349">
        <f t="shared" si="13"/>
        <v>5694.5134688958497</v>
      </c>
      <c r="X264" s="349">
        <f>IF(F264="","",'הזנה לתנאי סף'!Z264)</f>
        <v>1</v>
      </c>
      <c r="Y264" s="351" t="s">
        <v>3740</v>
      </c>
      <c r="Z264" s="352" t="str">
        <f>IFERROR(VLOOKUP(G264*1,#REF!,3,0),"")</f>
        <v/>
      </c>
      <c r="AA264" s="349" t="str">
        <f>IF(OR($F264="",Z264=""),"",IFERROR(IF(Z264&gt;V264,MIN(Z264,T264)-V264,0),'תחום תמיכה ג'!$Q$2))</f>
        <v/>
      </c>
      <c r="AB264" s="353"/>
      <c r="AC264" s="260" t="str">
        <f t="shared" si="15"/>
        <v/>
      </c>
      <c r="AD264" s="358"/>
      <c r="AE264" s="180"/>
      <c r="AF264" s="355" t="str">
        <f>IF($C264="","",IFERROR(VLOOKUP($C264,גיליון1!$A:$E,2,0),"לא הגיש בקשה שוטפת"))</f>
        <v>תזמורת הביג בנד</v>
      </c>
      <c r="AG264" s="355" t="str">
        <f>IF($C264="","",IFERROR(VLOOKUP($C264,גיליון1!$A:$E,3,0),"לא הגיש בקשה שוטפת"))</f>
        <v>חויב</v>
      </c>
      <c r="AH264" s="355" t="str">
        <f>IF($C264="","",IFERROR(VLOOKUP($C264,גיליון1!$A:$E,4,0),"לא הגיש בקשה שוטפת"))</f>
        <v>19-42-02-16</v>
      </c>
      <c r="AI264" s="355" t="str">
        <f>IF($C264="","",IFERROR(VLOOKUP($C264,גיליון1!$A:$E,5,0),"לא הגיש בקשה שוטפת"))</f>
        <v>מוסיקה</v>
      </c>
      <c r="AJ264" s="355">
        <f t="shared" si="14"/>
        <v>0</v>
      </c>
      <c r="AK264" s="15"/>
      <c r="AL264" s="15" t="s">
        <v>250</v>
      </c>
    </row>
    <row r="265" spans="1:38" ht="285.75" x14ac:dyDescent="0.25">
      <c r="A265" s="346">
        <f>'הזנה לתנאי סף'!B265</f>
        <v>235</v>
      </c>
      <c r="B265" s="347">
        <f>IF($F265="","",'הזנה לתנאי סף'!C265)</f>
        <v>1001347608</v>
      </c>
      <c r="C265" s="347">
        <f>IF($F265="","",'הזנה לתנאי סף'!D265)</f>
        <v>1001270721</v>
      </c>
      <c r="D265" s="347">
        <f>IF($F265="","",'הזנה לתנאי סף'!E265)</f>
        <v>40000252</v>
      </c>
      <c r="E265" s="348">
        <f>IF($F265="","",'הזנה לתנאי סף'!F265)</f>
        <v>20000182</v>
      </c>
      <c r="F265" s="348" t="str">
        <f>IF('הזנה לתנאי סף'!BL265=1,'הזנה לתנאי סף'!G265,"")</f>
        <v>חיפה</v>
      </c>
      <c r="G265" s="348" t="str">
        <f>IF($F265="","",'הזנה לתנאי סף'!H265)</f>
        <v>אתו"ס - החברה לאומנות תרבות וספורט</v>
      </c>
      <c r="H265" s="348" t="str">
        <f>IF($F265="","",'הזנה לתנאי סף'!I265)</f>
        <v>סינמטקים ופסטיבלים</v>
      </c>
      <c r="I265" s="349">
        <f>IF($F265="","",'הזנה לתנאי סף'!R265)</f>
        <v>9776000</v>
      </c>
      <c r="J265" s="349">
        <f>IF($F265="","",'תחום תמיכה א'!P265)</f>
        <v>9776000</v>
      </c>
      <c r="K265" s="177">
        <f>IF($F265="","",'הזנה לתנאי סף'!N265)</f>
        <v>1</v>
      </c>
      <c r="L265" s="177">
        <f>IF($F265="","",'הזנה לתנאי סף'!O265)</f>
        <v>0</v>
      </c>
      <c r="M265" s="177">
        <f>IF($F265="","",'הזנה לתנאי סף'!Q265)</f>
        <v>1</v>
      </c>
      <c r="N265" s="349">
        <f>IF($F265="","",'תחום תמיכה א'!AE265)</f>
        <v>212316.92595106666</v>
      </c>
      <c r="O265" s="178"/>
      <c r="P265" s="349">
        <f>IF($F265="","",'תחום תמיכה ב'!AC265)</f>
        <v>263005.89365795325</v>
      </c>
      <c r="Q265" s="349">
        <f>IF($F265="","",IF('תחום תמיכה ג'!O265="",0,'תחום תמיכה ג'!O265))</f>
        <v>56843.643514068099</v>
      </c>
      <c r="R265" s="349">
        <f t="shared" si="12"/>
        <v>7886.2454626242397</v>
      </c>
      <c r="S265" s="349">
        <f>IF($F265="","",'תחום תמיכה ב'!AE265)</f>
        <v>270892.13912057749</v>
      </c>
      <c r="T265" s="349">
        <f>IF($F265="","",IF(Q265='תחום תמיכה ג'!$Q$2,'תחום תמיכה ג'!$Q$2,IFERROR(SUMIF(N265:R265,"&gt;0"),'תחום תמיכה ג'!$Q$2)))</f>
        <v>540052.70858571224</v>
      </c>
      <c r="U265" s="349">
        <f>IF($F265="","",'הזנה לתנאי סף'!Y265)</f>
        <v>2500000</v>
      </c>
      <c r="V265" s="350">
        <f>IF(F265="","",'הגבלה לסכום מבוקש '!AA265)</f>
        <v>585219.14704449463</v>
      </c>
      <c r="W265" s="349">
        <f t="shared" si="13"/>
        <v>146304.78676112366</v>
      </c>
      <c r="X265" s="349">
        <f>IF(F265="","",'הזנה לתנאי סף'!Z265)</f>
        <v>1</v>
      </c>
      <c r="Y265" s="351" t="s">
        <v>3740</v>
      </c>
      <c r="Z265" s="352" t="str">
        <f>IFERROR(VLOOKUP(G265*1,#REF!,3,0),"")</f>
        <v/>
      </c>
      <c r="AA265" s="349" t="str">
        <f>IF(OR($F265="",Z265=""),"",IFERROR(IF(Z265&gt;V265,MIN(Z265,T265)-V265,0),'תחום תמיכה ג'!$Q$2))</f>
        <v/>
      </c>
      <c r="AB265" s="353"/>
      <c r="AC265" s="260" t="str">
        <f t="shared" si="15"/>
        <v/>
      </c>
      <c r="AD265" s="358"/>
      <c r="AE265" s="180"/>
      <c r="AF265" s="355" t="str">
        <f>IF($C265="","",IFERROR(VLOOKUP($C265,גיליון1!$A:$E,2,0),"לא הגיש בקשה שוטפת"))</f>
        <v>פסטיבל הסרטים הבינלאומי חיפה 36</v>
      </c>
      <c r="AG265" s="355" t="str">
        <f>IF($C265="","",IFERROR(VLOOKUP($C265,גיליון1!$A:$E,3,0),"לא הגיש בקשה שוטפת"))</f>
        <v>מועד</v>
      </c>
      <c r="AH265" s="355" t="str">
        <f>IF($C265="","",IFERROR(VLOOKUP($C265,גיליון1!$A:$E,4,0),"לא הגיש בקשה שוטפת"))</f>
        <v>19-42-02-28</v>
      </c>
      <c r="AI265" s="355" t="str">
        <f>IF($C265="","",IFERROR(VLOOKUP($C265,גיליון1!$A:$E,5,0),"לא הגיש בקשה שוטפת"))</f>
        <v>חוק  הקולנוע</v>
      </c>
      <c r="AJ265" s="355">
        <f t="shared" si="14"/>
        <v>0</v>
      </c>
      <c r="AK265" s="15"/>
      <c r="AL265" s="15" t="s">
        <v>250</v>
      </c>
    </row>
    <row r="266" spans="1:38" ht="285.75" x14ac:dyDescent="0.25">
      <c r="A266" s="346">
        <f>'הזנה לתנאי סף'!B266</f>
        <v>236</v>
      </c>
      <c r="B266" s="347">
        <f>IF($F266="","",'הזנה לתנאי סף'!C266)</f>
        <v>1001347621</v>
      </c>
      <c r="C266" s="347">
        <f>IF($F266="","",'הזנה לתנאי סף'!D266)</f>
        <v>1001270688</v>
      </c>
      <c r="D266" s="347">
        <f>IF($F266="","",'הזנה לתנאי סף'!E266)</f>
        <v>40000252</v>
      </c>
      <c r="E266" s="348">
        <f>IF($F266="","",'הזנה לתנאי סף'!F266)</f>
        <v>20000182</v>
      </c>
      <c r="F266" s="348" t="str">
        <f>IF('הזנה לתנאי סף'!BL266=1,'הזנה לתנאי סף'!G266,"")</f>
        <v>חיפה</v>
      </c>
      <c r="G266" s="348" t="str">
        <f>IF($F266="","",'הזנה לתנאי סף'!H266)</f>
        <v>אתו"ס - החברה לאומנות תרבות וספורט</v>
      </c>
      <c r="H266" s="348" t="str">
        <f>IF($F266="","",'הזנה לתנאי סף'!I266)</f>
        <v>סינמטקים ופסטיבלים</v>
      </c>
      <c r="I266" s="349">
        <f>IF($F266="","",'הזנה לתנאי סף'!R266)</f>
        <v>3607000</v>
      </c>
      <c r="J266" s="349">
        <f>IF($F266="","",'תחום תמיכה א'!P266)</f>
        <v>3607000</v>
      </c>
      <c r="K266" s="177">
        <f>IF($F266="","",'הזנה לתנאי סף'!N266)</f>
        <v>1</v>
      </c>
      <c r="L266" s="177">
        <f>IF($F266="","",'הזנה לתנאי סף'!O266)</f>
        <v>0</v>
      </c>
      <c r="M266" s="177">
        <f>IF($F266="","",'הזנה לתנאי סף'!Q266)</f>
        <v>1</v>
      </c>
      <c r="N266" s="349">
        <f>IF($F266="","",'תחום תמיכה א'!AE266)</f>
        <v>70189.22062851947</v>
      </c>
      <c r="O266" s="178"/>
      <c r="P266" s="349">
        <f>IF($F266="","",'תחום תמיכה ב'!AC266)</f>
        <v>77902.632953956694</v>
      </c>
      <c r="Q266" s="349">
        <f>IF($F266="","",IF('תחום תמיכה ג'!O266="",0,'תחום תמיכה ג'!O266))</f>
        <v>16837.149292939805</v>
      </c>
      <c r="R266" s="349">
        <f t="shared" si="12"/>
        <v>2335.9145193096483</v>
      </c>
      <c r="S266" s="349">
        <f>IF($F266="","",'תחום תמיכה ב'!AE266)</f>
        <v>80238.547473266342</v>
      </c>
      <c r="T266" s="349">
        <f>IF($F266="","",IF(Q266='תחום תמיכה ג'!$Q$2,'תחום תמיכה ג'!$Q$2,IFERROR(SUMIF(N266:R266,"&gt;0"),'תחום תמיכה ג'!$Q$2)))</f>
        <v>167264.91739472561</v>
      </c>
      <c r="U266" s="349">
        <f>IF($F266="","",'הזנה לתנאי סף'!Y266)</f>
        <v>1490000</v>
      </c>
      <c r="V266" s="350">
        <f>IF(F266="","",'הגבלה לסכום מבוקש '!AA266)</f>
        <v>180646.59000504008</v>
      </c>
      <c r="W266" s="349">
        <f t="shared" si="13"/>
        <v>45161.64750126002</v>
      </c>
      <c r="X266" s="349">
        <f>IF(F266="","",'הזנה לתנאי סף'!Z266)</f>
        <v>340000</v>
      </c>
      <c r="Y266" s="351" t="s">
        <v>3740</v>
      </c>
      <c r="Z266" s="352" t="str">
        <f>IFERROR(VLOOKUP(G266*1,#REF!,3,0),"")</f>
        <v/>
      </c>
      <c r="AA266" s="349" t="str">
        <f>IF(OR($F266="",Z266=""),"",IFERROR(IF(Z266&gt;V266,MIN(Z266,T266)-V266,0),'תחום תמיכה ג'!$Q$2))</f>
        <v/>
      </c>
      <c r="AB266" s="353"/>
      <c r="AC266" s="260" t="str">
        <f t="shared" si="15"/>
        <v/>
      </c>
      <c r="AD266" s="358"/>
      <c r="AE266" s="180"/>
      <c r="AF266" s="355" t="str">
        <f>IF($C266="","",IFERROR(VLOOKUP($C266,גיליון1!$A:$E,2,0),"לא הגיש בקשה שוטפת"))</f>
        <v>סינמטק חיפה</v>
      </c>
      <c r="AG266" s="355" t="str">
        <f>IF($C266="","",IFERROR(VLOOKUP($C266,גיליון1!$A:$E,3,0),"לא הגיש בקשה שוטפת"))</f>
        <v>מועד</v>
      </c>
      <c r="AH266" s="355" t="str">
        <f>IF($C266="","",IFERROR(VLOOKUP($C266,גיליון1!$A:$E,4,0),"לא הגיש בקשה שוטפת"))</f>
        <v>19-42-02-28</v>
      </c>
      <c r="AI266" s="355" t="str">
        <f>IF($C266="","",IFERROR(VLOOKUP($C266,גיליון1!$A:$E,5,0),"לא הגיש בקשה שוטפת"))</f>
        <v>חוק  הקולנוע</v>
      </c>
      <c r="AJ266" s="355">
        <f t="shared" si="14"/>
        <v>0</v>
      </c>
      <c r="AK266" s="15"/>
      <c r="AL266" s="15" t="s">
        <v>250</v>
      </c>
    </row>
    <row r="267" spans="1:38" ht="285.75" x14ac:dyDescent="0.25">
      <c r="A267" s="346">
        <f>'הזנה לתנאי סף'!B267</f>
        <v>237</v>
      </c>
      <c r="B267" s="347">
        <f>IF($F267="","",'הזנה לתנאי סף'!C267)</f>
        <v>1001342867</v>
      </c>
      <c r="C267" s="347">
        <f>IF($F267="","",'הזנה לתנאי סף'!D267)</f>
        <v>1001274259</v>
      </c>
      <c r="D267" s="347">
        <f>IF($F267="","",'הזנה לתנאי סף'!E267)</f>
        <v>40000254</v>
      </c>
      <c r="E267" s="348">
        <f>IF($F267="","",'הזנה לתנאי סף'!F267)</f>
        <v>20000182</v>
      </c>
      <c r="F267" s="348" t="str">
        <f>IF('הזנה לתנאי סף'!BL267=1,'הזנה לתנאי סף'!G267,"")</f>
        <v>חיפה</v>
      </c>
      <c r="G267" s="348" t="str">
        <f>IF($F267="","",'הזנה לתנאי סף'!H267)</f>
        <v>תיאטרון עירוני חיפה בע"מ (חל"צ)</v>
      </c>
      <c r="H267" s="348" t="str">
        <f>IF($F267="","",'הזנה לתנאי סף'!I267)</f>
        <v>תיאטרון</v>
      </c>
      <c r="I267" s="349">
        <f>IF($F267="","",'הזנה לתנאי סף'!R267)</f>
        <v>24682000</v>
      </c>
      <c r="J267" s="349">
        <f>IF($F267="","",'תחום תמיכה א'!P267)</f>
        <v>24392000</v>
      </c>
      <c r="K267" s="177">
        <f>IF($F267="","",'הזנה לתנאי סף'!N267)</f>
        <v>1</v>
      </c>
      <c r="L267" s="177">
        <f>IF($F267="","",'הזנה לתנאי סף'!O267)</f>
        <v>0</v>
      </c>
      <c r="M267" s="177">
        <f>IF($F267="","",'הזנה לתנאי סף'!Q267)</f>
        <v>1</v>
      </c>
      <c r="N267" s="349">
        <f>IF($F267="","",'תחום תמיכה א'!AE267)</f>
        <v>530228.12902354286</v>
      </c>
      <c r="O267" s="178"/>
      <c r="P267" s="349">
        <f>IF($F267="","",'תחום תמיכה ב'!AC267)</f>
        <v>665224.89088646951</v>
      </c>
      <c r="Q267" s="349">
        <f>IF($F267="","",IF('תחום תמיכה ג'!O267="",0,'תחום תמיכה ג'!O267))</f>
        <v>143775.51023025086</v>
      </c>
      <c r="R267" s="349">
        <f t="shared" si="12"/>
        <v>19946.803109290311</v>
      </c>
      <c r="S267" s="349">
        <f>IF($F267="","",'תחום תמיכה ב'!AE267)</f>
        <v>685171.69399575982</v>
      </c>
      <c r="T267" s="349">
        <f>IF($F267="","",IF(Q267='תחום תמיכה ג'!$Q$2,'תחום תמיכה ג'!$Q$2,IFERROR(SUMIF(N267:R267,"&gt;0"),'תחום תמיכה ג'!$Q$2)))</f>
        <v>1359175.3332495536</v>
      </c>
      <c r="U267" s="349">
        <f>IF($F267="","",'הזנה לתנאי סף'!Y267)</f>
        <v>5000000</v>
      </c>
      <c r="V267" s="350">
        <f>IF(F267="","",'הגבלה לסכום מבוקש '!AA267)</f>
        <v>1473412.416481741</v>
      </c>
      <c r="W267" s="349">
        <f t="shared" si="13"/>
        <v>368353.10412043525</v>
      </c>
      <c r="X267" s="349">
        <f>IF(F267="","",'הזנה לתנאי סף'!Z267)</f>
        <v>1250000</v>
      </c>
      <c r="Y267" s="351" t="s">
        <v>3740</v>
      </c>
      <c r="Z267" s="352" t="str">
        <f>IFERROR(VLOOKUP(G267*1,#REF!,3,0),"")</f>
        <v/>
      </c>
      <c r="AA267" s="349" t="str">
        <f>IF(OR($F267="",Z267=""),"",IFERROR(IF(Z267&gt;V267,MIN(Z267,T267)-V267,0),'תחום תמיכה ג'!$Q$2))</f>
        <v/>
      </c>
      <c r="AB267" s="353"/>
      <c r="AC267" s="260" t="str">
        <f t="shared" si="15"/>
        <v/>
      </c>
      <c r="AD267" s="358"/>
      <c r="AE267" s="180"/>
      <c r="AF267" s="355" t="str">
        <f>IF($C267="","",IFERROR(VLOOKUP($C267,גיליון1!$A:$E,2,0),"לא הגיש בקשה שוטפת"))</f>
        <v>תיאטרון חיפה - תמיכה שוטפת 2020</v>
      </c>
      <c r="AG267" s="355" t="str">
        <f>IF($C267="","",IFERROR(VLOOKUP($C267,גיליון1!$A:$E,3,0),"לא הגיש בקשה שוטפת"))</f>
        <v>חויב</v>
      </c>
      <c r="AH267" s="355" t="str">
        <f>IF($C267="","",IFERROR(VLOOKUP($C267,גיליון1!$A:$E,4,0),"לא הגיש בקשה שוטפת"))</f>
        <v>19-42-02-07</v>
      </c>
      <c r="AI267" s="355" t="str">
        <f>IF($C267="","",IFERROR(VLOOKUP($C267,גיליון1!$A:$E,5,0),"לא הגיש בקשה שוטפת"))</f>
        <v>תיאטרון</v>
      </c>
      <c r="AJ267" s="355">
        <f t="shared" si="14"/>
        <v>0</v>
      </c>
      <c r="AK267" s="15"/>
      <c r="AL267" s="15" t="s">
        <v>250</v>
      </c>
    </row>
    <row r="268" spans="1:38" ht="285.75" x14ac:dyDescent="0.25">
      <c r="A268" s="346">
        <f>'הזנה לתנאי סף'!B268</f>
        <v>238</v>
      </c>
      <c r="B268" s="347">
        <f>IF($F268="","",'הזנה לתנאי סף'!C268)</f>
        <v>1001342869</v>
      </c>
      <c r="C268" s="347">
        <f>IF($F268="","",'הזנה לתנאי סף'!D268)</f>
        <v>1001274254</v>
      </c>
      <c r="D268" s="347">
        <f>IF($F268="","",'הזנה לתנאי סף'!E268)</f>
        <v>40000254</v>
      </c>
      <c r="E268" s="348">
        <f>IF($F268="","",'הזנה לתנאי סף'!F268)</f>
        <v>20000182</v>
      </c>
      <c r="F268" s="348" t="str">
        <f>IF('הזנה לתנאי סף'!BL268=1,'הזנה לתנאי סף'!G268,"")</f>
        <v>חיפה</v>
      </c>
      <c r="G268" s="348" t="str">
        <f>IF($F268="","",'הזנה לתנאי סף'!H268)</f>
        <v>תיאטרון עירוני חיפה בע"מ (חל"צ)</v>
      </c>
      <c r="H268" s="348" t="str">
        <f>IF($F268="","",'הזנה לתנאי סף'!I268)</f>
        <v>סינמטקים ופסטיבלים</v>
      </c>
      <c r="I268" s="349">
        <f>IF($F268="","",'הזנה לתנאי סף'!R268)</f>
        <v>2661000</v>
      </c>
      <c r="J268" s="349">
        <f>IF($F268="","",'תחום תמיכה א'!P268)</f>
        <v>2680000</v>
      </c>
      <c r="K268" s="177">
        <f>IF($F268="","",'הזנה לתנאי סף'!N268)</f>
        <v>1</v>
      </c>
      <c r="L268" s="177">
        <f>IF($F268="","",'הזנה לתנאי סף'!O268)</f>
        <v>0</v>
      </c>
      <c r="M268" s="177">
        <f>IF($F268="","",'הזנה לתנאי סף'!Q268)</f>
        <v>1</v>
      </c>
      <c r="N268" s="349">
        <f>IF($F268="","",'תחום תמיכה א'!AE268)</f>
        <v>50265.047045850515</v>
      </c>
      <c r="O268" s="178"/>
      <c r="P268" s="349">
        <f>IF($F268="","",'תחום תמיכה ב'!AC268)</f>
        <v>53390.613537999445</v>
      </c>
      <c r="Q268" s="349">
        <f>IF($F268="","",IF('תחום תמיכה ג'!O268="",0,'תחום תמיכה ג'!O268))</f>
        <v>11539.349786961109</v>
      </c>
      <c r="R268" s="349">
        <f t="shared" si="12"/>
        <v>1600.9203364406858</v>
      </c>
      <c r="S268" s="349">
        <f>IF($F268="","",'תחום תמיכה ב'!AE268)</f>
        <v>54991.533874440131</v>
      </c>
      <c r="T268" s="349">
        <f>IF($F268="","",IF(Q268='תחום תמיכה ג'!$Q$2,'תחום תמיכה ג'!$Q$2,IFERROR(SUMIF(N268:R268,"&gt;0"),'תחום תמיכה ג'!$Q$2)))</f>
        <v>116795.93070725175</v>
      </c>
      <c r="U268" s="349">
        <f>IF($F268="","",'הזנה לתנאי סף'!Y268)</f>
        <v>500000</v>
      </c>
      <c r="V268" s="350">
        <f>IF(F268="","",'הגבלה לסכום מבוקש '!AA268)</f>
        <v>125968.05147688254</v>
      </c>
      <c r="W268" s="349">
        <f t="shared" si="13"/>
        <v>31492.012869220634</v>
      </c>
      <c r="X268" s="349">
        <f>IF(F268="","",'הזנה לתנאי סף'!Z268)</f>
        <v>500000</v>
      </c>
      <c r="Y268" s="351" t="s">
        <v>3740</v>
      </c>
      <c r="Z268" s="352" t="str">
        <f>IFERROR(VLOOKUP(G268*1,#REF!,3,0),"")</f>
        <v/>
      </c>
      <c r="AA268" s="349" t="str">
        <f>IF(OR($F268="",Z268=""),"",IFERROR(IF(Z268&gt;V268,MIN(Z268,T268)-V268,0),'תחום תמיכה ג'!$Q$2))</f>
        <v/>
      </c>
      <c r="AB268" s="353"/>
      <c r="AC268" s="260" t="str">
        <f t="shared" si="15"/>
        <v/>
      </c>
      <c r="AD268" s="358"/>
      <c r="AE268" s="180"/>
      <c r="AF268" s="355" t="str">
        <f>IF($C268="","",IFERROR(VLOOKUP($C268,גיליון1!$A:$E,2,0),"לא הגיש בקשה שוטפת"))</f>
        <v>תיאטרון חיפה, פסטיבל הצגות ילדים 2020</v>
      </c>
      <c r="AG268" s="355" t="str">
        <f>IF($C268="","",IFERROR(VLOOKUP($C268,גיליון1!$A:$E,3,0),"לא הגיש בקשה שוטפת"))</f>
        <v>מועד</v>
      </c>
      <c r="AH268" s="355" t="str">
        <f>IF($C268="","",IFERROR(VLOOKUP($C268,גיליון1!$A:$E,4,0),"לא הגיש בקשה שוטפת"))</f>
        <v>19-42-02-26</v>
      </c>
      <c r="AI268" s="355" t="str">
        <f>IF($C268="","",IFERROR(VLOOKUP($C268,גיליון1!$A:$E,5,0),"לא הגיש בקשה שוטפת"))</f>
        <v>פסטיבלים לתרבות</v>
      </c>
      <c r="AJ268" s="355">
        <f t="shared" si="14"/>
        <v>0</v>
      </c>
      <c r="AK268" s="15"/>
      <c r="AL268" s="15" t="s">
        <v>250</v>
      </c>
    </row>
    <row r="269" spans="1:38" ht="285.75" x14ac:dyDescent="0.25">
      <c r="A269" s="346">
        <f>'הזנה לתנאי סף'!B269</f>
        <v>239</v>
      </c>
      <c r="B269" s="347">
        <f>IF($F269="","",'הזנה לתנאי סף'!C269)</f>
        <v>1001347742</v>
      </c>
      <c r="C269" s="347">
        <f>IF($F269="","",'הזנה לתנאי סף'!D269)</f>
        <v>1001266912</v>
      </c>
      <c r="D269" s="347">
        <f>IF($F269="","",'הזנה לתנאי סף'!E269)</f>
        <v>40474818</v>
      </c>
      <c r="E269" s="348">
        <f>IF($F269="","",'הזנה לתנאי סף'!F269)</f>
        <v>20000201</v>
      </c>
      <c r="F269" s="348" t="str">
        <f>IF('הזנה לתנאי סף'!BL269=1,'הזנה לתנאי סף'!G269,"")</f>
        <v>תל אביב -יפו</v>
      </c>
      <c r="G269" s="348" t="str">
        <f>IF($F269="","",'הזנה לתנאי סף'!H269)</f>
        <v>צוותא לתרבות מתקדמת בע"מ (חל"צ)</v>
      </c>
      <c r="H269" s="348" t="str">
        <f>IF($F269="","",'הזנה לתנאי סף'!I269)</f>
        <v>ספרות</v>
      </c>
      <c r="I269" s="349">
        <f>IF($F269="","",'הזנה לתנאי סף'!R269)</f>
        <v>671056</v>
      </c>
      <c r="J269" s="349">
        <f>IF($F269="","",'תחום תמיכה א'!P269)</f>
        <v>680971</v>
      </c>
      <c r="K269" s="177">
        <f>IF($F269="","",'הזנה לתנאי סף'!N269)</f>
        <v>1</v>
      </c>
      <c r="L269" s="177">
        <f>IF($F269="","",'הזנה לתנאי סף'!O269)</f>
        <v>0</v>
      </c>
      <c r="M269" s="177">
        <f>IF($F269="","",'הזנה לתנאי סף'!Q269)</f>
        <v>1</v>
      </c>
      <c r="N269" s="349">
        <f>IF($F269="","",'תחום תמיכה א'!AE269)</f>
        <v>12726.594431275618</v>
      </c>
      <c r="O269" s="178"/>
      <c r="P269" s="349">
        <f>IF($F269="","",'תחום תמיכה ב'!AC269)</f>
        <v>13368.521415581326</v>
      </c>
      <c r="Q269" s="349">
        <f>IF($F269="","",IF('תחום תמיכה ג'!O269="",0,'תחום תמיכה ג'!O269))</f>
        <v>5605.9927924705289</v>
      </c>
      <c r="R269" s="349">
        <f t="shared" si="12"/>
        <v>400.85581311244277</v>
      </c>
      <c r="S269" s="349">
        <f>IF($F269="","",'תחום תמיכה ב'!AE269)</f>
        <v>13769.377228693769</v>
      </c>
      <c r="T269" s="349">
        <f>IF($F269="","",IF(Q269='תחום תמיכה ג'!$Q$2,'תחום תמיכה ג'!$Q$2,IFERROR(SUMIF(N269:R269,"&gt;0"),'תחום תמיכה ג'!$Q$2)))</f>
        <v>32101.964452439919</v>
      </c>
      <c r="U269" s="349">
        <f>IF($F269="","",'הזנה לתנאי סף'!Y269)</f>
        <v>1030000</v>
      </c>
      <c r="V269" s="350">
        <f>IF(F269="","",'הגבלה לסכום מבוקש '!AA269)</f>
        <v>34399.880639922652</v>
      </c>
      <c r="W269" s="349">
        <f t="shared" si="13"/>
        <v>8599.9701599806631</v>
      </c>
      <c r="X269" s="349">
        <f>IF(F269="","",'הזנה לתנאי סף'!Z269)</f>
        <v>1</v>
      </c>
      <c r="Y269" s="351" t="s">
        <v>3740</v>
      </c>
      <c r="Z269" s="352" t="str">
        <f>IFERROR(VLOOKUP(G269*1,#REF!,3,0),"")</f>
        <v/>
      </c>
      <c r="AA269" s="349" t="str">
        <f>IF(OR($F269="",Z269=""),"",IFERROR(IF(Z269&gt;V269,MIN(Z269,T269)-V269,0),'תחום תמיכה ג'!$Q$2))</f>
        <v/>
      </c>
      <c r="AB269" s="353"/>
      <c r="AC269" s="260" t="str">
        <f t="shared" si="15"/>
        <v/>
      </c>
      <c r="AD269" s="358"/>
      <c r="AE269" s="180"/>
      <c r="AF269" s="355" t="str">
        <f>IF($C269="","",IFERROR(VLOOKUP($C269,גיליון1!$A:$E,2,0),"לא הגיש בקשה שוטפת"))</f>
        <v>אירועים ספרותיים</v>
      </c>
      <c r="AG269" s="355" t="str">
        <f>IF($C269="","",IFERROR(VLOOKUP($C269,גיליון1!$A:$E,3,0),"לא הגיש בקשה שוטפת"))</f>
        <v>מועד</v>
      </c>
      <c r="AH269" s="355" t="str">
        <f>IF($C269="","",IFERROR(VLOOKUP($C269,גיליון1!$A:$E,4,0),"לא הגיש בקשה שוטפת"))</f>
        <v>19-42-02-22</v>
      </c>
      <c r="AI269" s="355" t="str">
        <f>IF($C269="","",IFERROR(VLOOKUP($C269,גיליון1!$A:$E,5,0),"לא הגיש בקשה שוטפת"))</f>
        <v>ספרות</v>
      </c>
      <c r="AJ269" s="355">
        <f t="shared" si="14"/>
        <v>0</v>
      </c>
      <c r="AK269" s="15"/>
      <c r="AL269" s="15" t="s">
        <v>250</v>
      </c>
    </row>
    <row r="270" spans="1:38" ht="285.75" x14ac:dyDescent="0.25">
      <c r="A270" s="346">
        <f>'הזנה לתנאי סף'!B270</f>
        <v>240</v>
      </c>
      <c r="B270" s="347">
        <f>IF($F270="","",'הזנה לתנאי סף'!C270)</f>
        <v>1001349320</v>
      </c>
      <c r="C270" s="347">
        <f>IF($F270="","",'הזנה לתנאי סף'!D270)</f>
        <v>1001266968</v>
      </c>
      <c r="D270" s="347">
        <f>IF($F270="","",'הזנה לתנאי סף'!E270)</f>
        <v>40474818</v>
      </c>
      <c r="E270" s="348">
        <f>IF($F270="","",'הזנה לתנאי סף'!F270)</f>
        <v>20000201</v>
      </c>
      <c r="F270" s="348" t="str">
        <f>IF('הזנה לתנאי סף'!BL270=1,'הזנה לתנאי סף'!G270,"")</f>
        <v>תל אביב -יפו</v>
      </c>
      <c r="G270" s="348" t="str">
        <f>IF($F270="","",'הזנה לתנאי סף'!H270)</f>
        <v>צוותא לתרבות מתקדמת בע"מ (חל"צ)</v>
      </c>
      <c r="H270" s="348" t="str">
        <f>IF($F270="","",'הזנה לתנאי סף'!I270)</f>
        <v>מרכזי פרינג'</v>
      </c>
      <c r="I270" s="349">
        <f>IF($F270="","",'הזנה לתנאי סף'!R270)</f>
        <v>1358197</v>
      </c>
      <c r="J270" s="349">
        <f>IF($F270="","",'תחום תמיכה א'!P270)</f>
        <v>1360166</v>
      </c>
      <c r="K270" s="177">
        <f>IF($F270="","",'הזנה לתנאי סף'!N270)</f>
        <v>1</v>
      </c>
      <c r="L270" s="177">
        <f>IF($F270="","",'הזנה לתנאי סף'!O270)</f>
        <v>0</v>
      </c>
      <c r="M270" s="177">
        <f>IF($F270="","",'הזנה לתנאי סף'!Q270)</f>
        <v>1</v>
      </c>
      <c r="N270" s="349">
        <f>IF($F270="","",'תחום תמיכה א'!AE270)</f>
        <v>41512.240409334678</v>
      </c>
      <c r="O270" s="178"/>
      <c r="P270" s="349">
        <f>IF($F270="","",'תחום תמיכה ב'!AC270)</f>
        <v>72158.703522034732</v>
      </c>
      <c r="Q270" s="349">
        <f>IF($F270="","",IF('תחום תמיכה ג'!O270="",0,'תחום תמיכה ג'!O270))</f>
        <v>30259.230567343482</v>
      </c>
      <c r="R270" s="349">
        <f t="shared" si="12"/>
        <v>2163.682495189918</v>
      </c>
      <c r="S270" s="349">
        <f>IF($F270="","",'תחום תמיכה ב'!AE270)</f>
        <v>74322.38601722465</v>
      </c>
      <c r="T270" s="349">
        <f>IF($F270="","",IF(Q270='תחום תמיכה ג'!$Q$2,'תחום תמיכה ג'!$Q$2,IFERROR(SUMIF(N270:R270,"&gt;0"),'תחום תמיכה ג'!$Q$2)))</f>
        <v>146093.85699390279</v>
      </c>
      <c r="U270" s="349">
        <f>IF($F270="","",'הזנה לתנאי סף'!Y270)</f>
        <v>1050000</v>
      </c>
      <c r="V270" s="350">
        <f>IF(F270="","",'הגבלה לסכום מבוקש '!AA270)</f>
        <v>158484.84568062468</v>
      </c>
      <c r="W270" s="349">
        <f t="shared" si="13"/>
        <v>39621.211420156171</v>
      </c>
      <c r="X270" s="349">
        <f>IF(F270="","",'הזנה לתנאי סף'!Z270)</f>
        <v>1</v>
      </c>
      <c r="Y270" s="351" t="s">
        <v>3740</v>
      </c>
      <c r="Z270" s="352" t="str">
        <f>IFERROR(VLOOKUP(G270*1,#REF!,3,0),"")</f>
        <v/>
      </c>
      <c r="AA270" s="349" t="str">
        <f>IF(OR($F270="",Z270=""),"",IFERROR(IF(Z270&gt;V270,MIN(Z270,T270)-V270,0),'תחום תמיכה ג'!$Q$2))</f>
        <v/>
      </c>
      <c r="AB270" s="353"/>
      <c r="AC270" s="260" t="str">
        <f t="shared" si="15"/>
        <v/>
      </c>
      <c r="AD270" s="358"/>
      <c r="AE270" s="180"/>
      <c r="AF270" s="355" t="str">
        <f>IF($C270="","",IFERROR(VLOOKUP($C270,גיליון1!$A:$E,2,0),"לא הגיש בקשה שוטפת"))</f>
        <v>פרינג'</v>
      </c>
      <c r="AG270" s="355" t="str">
        <f>IF($C270="","",IFERROR(VLOOKUP($C270,גיליון1!$A:$E,3,0),"לא הגיש בקשה שוטפת"))</f>
        <v>מועד</v>
      </c>
      <c r="AH270" s="355" t="str">
        <f>IF($C270="","",IFERROR(VLOOKUP($C270,גיליון1!$A:$E,4,0),"לא הגיש בקשה שוטפת"))</f>
        <v>19-42-02-07</v>
      </c>
      <c r="AI270" s="355" t="str">
        <f>IF($C270="","",IFERROR(VLOOKUP($C270,גיליון1!$A:$E,5,0),"לא הגיש בקשה שוטפת"))</f>
        <v>תיאטרון</v>
      </c>
      <c r="AJ270" s="355">
        <f t="shared" si="14"/>
        <v>0</v>
      </c>
      <c r="AK270" s="15"/>
      <c r="AL270" s="15" t="s">
        <v>250</v>
      </c>
    </row>
    <row r="271" spans="1:38" ht="285.75" x14ac:dyDescent="0.25">
      <c r="A271" s="346">
        <f>'הזנה לתנאי סף'!B271</f>
        <v>241</v>
      </c>
      <c r="B271" s="347">
        <f>IF($F271="","",'הזנה לתנאי סף'!C271)</f>
        <v>1001349321</v>
      </c>
      <c r="C271" s="347">
        <f>IF($F271="","",'הזנה לתנאי סף'!D271)</f>
        <v>1001269429</v>
      </c>
      <c r="D271" s="347">
        <f>IF($F271="","",'הזנה לתנאי סף'!E271)</f>
        <v>40474818</v>
      </c>
      <c r="E271" s="348">
        <f>IF($F271="","",'הזנה לתנאי סף'!F271)</f>
        <v>20000201</v>
      </c>
      <c r="F271" s="348" t="str">
        <f>IF('הזנה לתנאי סף'!BL271=1,'הזנה לתנאי סף'!G271,"")</f>
        <v>תל אביב -יפו</v>
      </c>
      <c r="G271" s="348" t="str">
        <f>IF($F271="","",'הזנה לתנאי סף'!H271)</f>
        <v>צוותא לתרבות מתקדמת בע"מ (חל"צ)</v>
      </c>
      <c r="H271" s="348" t="str">
        <f>IF($F271="","",'הזנה לתנאי סף'!I271)</f>
        <v>אחר</v>
      </c>
      <c r="I271" s="349">
        <f>IF($F271="","",'הזנה לתנאי סף'!R271)</f>
        <v>137800</v>
      </c>
      <c r="J271" s="349">
        <f>IF($F271="","",'תחום תמיכה א'!P271)</f>
        <v>135161</v>
      </c>
      <c r="K271" s="177">
        <f>IF($F271="","",'הזנה לתנאי סף'!N271)</f>
        <v>1</v>
      </c>
      <c r="L271" s="177">
        <f>IF($F271="","",'הזנה לתנאי סף'!O271)</f>
        <v>0</v>
      </c>
      <c r="M271" s="177">
        <f>IF($F271="","",'הזנה לתנאי סף'!Q271)</f>
        <v>1</v>
      </c>
      <c r="N271" s="349">
        <f>IF($F271="","",'תחום תמיכה א'!AE271)</f>
        <v>3367.1868664941676</v>
      </c>
      <c r="O271" s="178"/>
      <c r="P271" s="349">
        <f>IF($F271="","",'תחום תמיכה ב'!AC271)</f>
        <v>4877.9607441430753</v>
      </c>
      <c r="Q271" s="349">
        <f>IF($F271="","",IF('תחום תמיכה ג'!O271="",0,'תחום תמיכה ג'!O271))</f>
        <v>2045.5375672097939</v>
      </c>
      <c r="R271" s="349">
        <f t="shared" si="12"/>
        <v>146.2659077723456</v>
      </c>
      <c r="S271" s="349">
        <f>IF($F271="","",'תחום תמיכה ב'!AE271)</f>
        <v>5024.2266519154209</v>
      </c>
      <c r="T271" s="349">
        <f>IF($F271="","",IF(Q271='תחום תמיכה ג'!$Q$2,'תחום תמיכה ג'!$Q$2,IFERROR(SUMIF(N271:R271,"&gt;0"),'תחום תמיכה ג'!$Q$2)))</f>
        <v>10436.951085619383</v>
      </c>
      <c r="U271" s="349">
        <f>IF($F271="","",'הזנה לתנאי סף'!Y271)</f>
        <v>200000</v>
      </c>
      <c r="V271" s="350">
        <f>IF(F271="","",'הגבלה לסכום מבוקש '!AA271)</f>
        <v>11274.842893281777</v>
      </c>
      <c r="W271" s="349">
        <f t="shared" si="13"/>
        <v>2818.7107233204442</v>
      </c>
      <c r="X271" s="349">
        <f>IF(F271="","",'הזנה לתנאי סף'!Z271)</f>
        <v>1</v>
      </c>
      <c r="Y271" s="351" t="s">
        <v>3740</v>
      </c>
      <c r="Z271" s="352" t="str">
        <f>IFERROR(VLOOKUP(G271*1,#REF!,3,0),"")</f>
        <v/>
      </c>
      <c r="AA271" s="349" t="str">
        <f>IF(OR($F271="",Z271=""),"",IFERROR(IF(Z271&gt;V271,MIN(Z271,T271)-V271,0),'תחום תמיכה ג'!$Q$2))</f>
        <v/>
      </c>
      <c r="AB271" s="353"/>
      <c r="AC271" s="260" t="str">
        <f t="shared" si="15"/>
        <v/>
      </c>
      <c r="AD271" s="358"/>
      <c r="AE271" s="180"/>
      <c r="AF271" s="355" t="str">
        <f>IF($C271="","",IFERROR(VLOOKUP($C271,גיליון1!$A:$E,2,0),"לא הגיש בקשה שוטפת"))</f>
        <v>יוזמה - המחזאים</v>
      </c>
      <c r="AG271" s="355" t="str">
        <f>IF($C271="","",IFERROR(VLOOKUP($C271,גיליון1!$A:$E,3,0),"לא הגיש בקשה שוטפת"))</f>
        <v>מועד</v>
      </c>
      <c r="AH271" s="355" t="str">
        <f>IF($C271="","",IFERROR(VLOOKUP($C271,גיליון1!$A:$E,4,0),"לא הגיש בקשה שוטפת"))</f>
        <v>19-42-02-07</v>
      </c>
      <c r="AI271" s="355" t="str">
        <f>IF($C271="","",IFERROR(VLOOKUP($C271,גיליון1!$A:$E,5,0),"לא הגיש בקשה שוטפת"))</f>
        <v>תיאטרון</v>
      </c>
      <c r="AJ271" s="355">
        <f t="shared" si="14"/>
        <v>0</v>
      </c>
      <c r="AK271" s="15"/>
      <c r="AL271" s="15" t="s">
        <v>250</v>
      </c>
    </row>
    <row r="272" spans="1:38" ht="285.75" x14ac:dyDescent="0.25">
      <c r="A272" s="346">
        <f>'הזנה לתנאי סף'!B272</f>
        <v>242</v>
      </c>
      <c r="B272" s="347">
        <f>IF($F272="","",'הזנה לתנאי סף'!C272)</f>
        <v>1001349324</v>
      </c>
      <c r="C272" s="347">
        <f>IF($F272="","",'הזנה לתנאי סף'!D272)</f>
        <v>1001269399</v>
      </c>
      <c r="D272" s="347">
        <f>IF($F272="","",'הזנה לתנאי סף'!E272)</f>
        <v>40474818</v>
      </c>
      <c r="E272" s="348">
        <f>IF($F272="","",'הזנה לתנאי סף'!F272)</f>
        <v>20000201</v>
      </c>
      <c r="F272" s="348" t="str">
        <f>IF('הזנה לתנאי סף'!BL272=1,'הזנה לתנאי סף'!G272,"")</f>
        <v>תל אביב -יפו</v>
      </c>
      <c r="G272" s="348" t="str">
        <f>IF($F272="","",'הזנה לתנאי סף'!H272)</f>
        <v>צוותא לתרבות מתקדמת בע"מ (חל"צ)</v>
      </c>
      <c r="H272" s="348" t="str">
        <f>IF($F272="","",'הזנה לתנאי סף'!I272)</f>
        <v>סינמטקים ופסטיבלים</v>
      </c>
      <c r="I272" s="349">
        <f>IF($F272="","",'הזנה לתנאי סף'!R272)</f>
        <v>130759</v>
      </c>
      <c r="J272" s="349">
        <f>IF($F272="","",'תחום תמיכה א'!P272)</f>
        <v>134084</v>
      </c>
      <c r="K272" s="177">
        <f>IF($F272="","",'הזנה לתנאי סף'!N272)</f>
        <v>1</v>
      </c>
      <c r="L272" s="177">
        <f>IF($F272="","",'הזנה לתנאי סף'!O272)</f>
        <v>0</v>
      </c>
      <c r="M272" s="177">
        <f>IF($F272="","",'הזנה לתנאי סף'!Q272)</f>
        <v>1</v>
      </c>
      <c r="N272" s="349">
        <f>IF($F272="","",'תחום תמיכה א'!AE272)</f>
        <v>5393.9598501428482</v>
      </c>
      <c r="O272" s="178"/>
      <c r="P272" s="349">
        <f>IF($F272="","",'תחום תמיכה ב'!AC272)</f>
        <v>12069.53485132348</v>
      </c>
      <c r="Q272" s="349">
        <f>IF($F272="","",IF('תחום תמיכה ג'!O272="",0,'תחום תמיכה ג'!O272))</f>
        <v>5061.2721692714613</v>
      </c>
      <c r="R272" s="349">
        <f t="shared" si="12"/>
        <v>361.90563311491314</v>
      </c>
      <c r="S272" s="349">
        <f>IF($F272="","",'תחום תמיכה ב'!AE272)</f>
        <v>12431.440484438393</v>
      </c>
      <c r="T272" s="349">
        <f>IF($F272="","",IF(Q272='תחום תמיכה ג'!$Q$2,'תחום תמיכה ג'!$Q$2,IFERROR(SUMIF(N272:R272,"&gt;0"),'תחום תמיכה ג'!$Q$2)))</f>
        <v>22886.6725038527</v>
      </c>
      <c r="U272" s="349">
        <f>IF($F272="","",'הזנה לתנאי סף'!Y272)</f>
        <v>250000</v>
      </c>
      <c r="V272" s="350">
        <f>IF(F272="","",'הגבלה לסכום מבוקש '!AA272)</f>
        <v>24958.530109577627</v>
      </c>
      <c r="W272" s="349">
        <f t="shared" si="13"/>
        <v>6239.6325273944067</v>
      </c>
      <c r="X272" s="349">
        <f>IF(F272="","",'הזנה לתנאי סף'!Z272)</f>
        <v>1</v>
      </c>
      <c r="Y272" s="351" t="s">
        <v>3740</v>
      </c>
      <c r="Z272" s="352" t="str">
        <f>IFERROR(VLOOKUP(G272*1,#REF!,3,0),"")</f>
        <v/>
      </c>
      <c r="AA272" s="349" t="str">
        <f>IF(OR($F272="",Z272=""),"",IFERROR(IF(Z272&gt;V272,MIN(Z272,T272)-V272,0),'תחום תמיכה ג'!$Q$2))</f>
        <v/>
      </c>
      <c r="AB272" s="353"/>
      <c r="AC272" s="260" t="str">
        <f t="shared" si="15"/>
        <v/>
      </c>
      <c r="AD272" s="358"/>
      <c r="AE272" s="180"/>
      <c r="AF272" s="355" t="str">
        <f>IF($C272="","",IFERROR(VLOOKUP($C272,גיליון1!$A:$E,2,0),"לא הגיש בקשה שוטפת"))</f>
        <v>פסטיבל גיטרה</v>
      </c>
      <c r="AG272" s="355" t="str">
        <f>IF($C272="","",IFERROR(VLOOKUP($C272,גיליון1!$A:$E,3,0),"לא הגיש בקשה שוטפת"))</f>
        <v>טיוט</v>
      </c>
      <c r="AH272" s="355" t="str">
        <f>IF($C272="","",IFERROR(VLOOKUP($C272,גיליון1!$A:$E,4,0),"לא הגיש בקשה שוטפת"))</f>
        <v>19-42-02-26</v>
      </c>
      <c r="AI272" s="355" t="str">
        <f>IF($C272="","",IFERROR(VLOOKUP($C272,גיליון1!$A:$E,5,0),"לא הגיש בקשה שוטפת"))</f>
        <v>פסטיבלים לתרבות</v>
      </c>
      <c r="AJ272" s="355">
        <f t="shared" si="14"/>
        <v>0</v>
      </c>
      <c r="AK272" s="15"/>
      <c r="AL272" s="15" t="s">
        <v>250</v>
      </c>
    </row>
    <row r="273" spans="1:38" ht="285.75" x14ac:dyDescent="0.25">
      <c r="A273" s="346">
        <f>'הזנה לתנאי סף'!B273</f>
        <v>243</v>
      </c>
      <c r="B273" s="347">
        <f>IF($F273="","",'הזנה לתנאי סף'!C273)</f>
        <v>1001349326</v>
      </c>
      <c r="C273" s="347">
        <f>IF($F273="","",'הזנה לתנאי סף'!D273)</f>
        <v>1001268650</v>
      </c>
      <c r="D273" s="347">
        <f>IF($F273="","",'הזנה לתנאי סף'!E273)</f>
        <v>40474818</v>
      </c>
      <c r="E273" s="348">
        <f>IF($F273="","",'הזנה לתנאי סף'!F273)</f>
        <v>20000201</v>
      </c>
      <c r="F273" s="348" t="str">
        <f>IF('הזנה לתנאי סף'!BL273=1,'הזנה לתנאי סף'!G273,"")</f>
        <v>תל אביב -יפו</v>
      </c>
      <c r="G273" s="348" t="str">
        <f>IF($F273="","",'הזנה לתנאי סף'!H273)</f>
        <v>צוותא לתרבות מתקדמת בע"מ (חל"צ)</v>
      </c>
      <c r="H273" s="348" t="str">
        <f>IF($F273="","",'הזנה לתנאי סף'!I273)</f>
        <v>סינמטקים ופסטיבלים</v>
      </c>
      <c r="I273" s="349">
        <f>IF($F273="","",'הזנה לתנאי סף'!R273)</f>
        <v>443519</v>
      </c>
      <c r="J273" s="349">
        <f>IF($F273="","",'תחום תמיכה א'!P273)</f>
        <v>440253</v>
      </c>
      <c r="K273" s="177">
        <f>IF($F273="","",'הזנה לתנאי סף'!N273)</f>
        <v>1</v>
      </c>
      <c r="L273" s="177">
        <f>IF($F273="","",'הזנה לתנאי סף'!O273)</f>
        <v>0</v>
      </c>
      <c r="M273" s="177">
        <f>IF($F273="","",'הזנה לתנאי סף'!Q273)</f>
        <v>1</v>
      </c>
      <c r="N273" s="349">
        <f>IF($F273="","",'תחום תמיכה א'!AE273)</f>
        <v>16978.459312137307</v>
      </c>
      <c r="O273" s="178"/>
      <c r="P273" s="349">
        <f>IF($F273="","",'תחום תמיכה ב'!AC273)</f>
        <v>37623.706346630854</v>
      </c>
      <c r="Q273" s="349">
        <f>IF($F273="","",IF('תחום תמיכה ג'!O273="",0,'תחום תמיכה ג'!O273))</f>
        <v>15777.22921245502</v>
      </c>
      <c r="R273" s="349">
        <f t="shared" si="12"/>
        <v>1128.1488005326028</v>
      </c>
      <c r="S273" s="349">
        <f>IF($F273="","",'תחום תמיכה ב'!AE273)</f>
        <v>38751.855147163456</v>
      </c>
      <c r="T273" s="349">
        <f>IF($F273="","",IF(Q273='תחום תמיכה ג'!$Q$2,'תחום תמיכה ג'!$Q$2,IFERROR(SUMIF(N273:R273,"&gt;0"),'תחום תמיכה ג'!$Q$2)))</f>
        <v>71507.54367175579</v>
      </c>
      <c r="U273" s="349">
        <f>IF($F273="","",'הזנה לתנאי סף'!Y273)</f>
        <v>450000</v>
      </c>
      <c r="V273" s="350">
        <f>IF(F273="","",'הגבלה לסכום מבוקש '!AA273)</f>
        <v>77966.107756349418</v>
      </c>
      <c r="W273" s="349">
        <f t="shared" si="13"/>
        <v>19491.526939087355</v>
      </c>
      <c r="X273" s="349">
        <f>IF(F273="","",'הזנה לתנאי סף'!Z273)</f>
        <v>1</v>
      </c>
      <c r="Y273" s="351" t="s">
        <v>3740</v>
      </c>
      <c r="Z273" s="352" t="str">
        <f>IFERROR(VLOOKUP(G273*1,#REF!,3,0),"")</f>
        <v/>
      </c>
      <c r="AA273" s="349" t="str">
        <f>IF(OR($F273="",Z273=""),"",IFERROR(IF(Z273&gt;V273,MIN(Z273,T273)-V273,0),'תחום תמיכה ג'!$Q$2))</f>
        <v/>
      </c>
      <c r="AB273" s="353"/>
      <c r="AC273" s="260" t="str">
        <f t="shared" si="15"/>
        <v/>
      </c>
      <c r="AD273" s="358"/>
      <c r="AE273" s="180"/>
      <c r="AF273" s="355" t="str">
        <f>IF($C273="","",IFERROR(VLOOKUP($C273,גיליון1!$A:$E,2,0),"לא הגיש בקשה שוטפת"))</f>
        <v>פסטיבל תאטרון קצר</v>
      </c>
      <c r="AG273" s="355" t="str">
        <f>IF($C273="","",IFERROR(VLOOKUP($C273,גיליון1!$A:$E,3,0),"לא הגיש בקשה שוטפת"))</f>
        <v>טיוט</v>
      </c>
      <c r="AH273" s="355" t="str">
        <f>IF($C273="","",IFERROR(VLOOKUP($C273,גיליון1!$A:$E,4,0),"לא הגיש בקשה שוטפת"))</f>
        <v>19-42-02-26</v>
      </c>
      <c r="AI273" s="355" t="str">
        <f>IF($C273="","",IFERROR(VLOOKUP($C273,גיליון1!$A:$E,5,0),"לא הגיש בקשה שוטפת"))</f>
        <v>פסטיבלים לתרבות</v>
      </c>
      <c r="AJ273" s="355">
        <f t="shared" si="14"/>
        <v>0</v>
      </c>
      <c r="AK273" s="15"/>
      <c r="AL273" s="15" t="s">
        <v>250</v>
      </c>
    </row>
    <row r="274" spans="1:38" ht="285.75" x14ac:dyDescent="0.25">
      <c r="A274" s="346">
        <f>'הזנה לתנאי סף'!B274</f>
        <v>244</v>
      </c>
      <c r="B274" s="347">
        <f>IF($F274="","",'הזנה לתנאי סף'!C274)</f>
        <v>1001347844</v>
      </c>
      <c r="C274" s="347">
        <f>IF($F274="","",'הזנה לתנאי סף'!D274)</f>
        <v>1001265161</v>
      </c>
      <c r="D274" s="347">
        <f>IF($F274="","",'הזנה לתנאי סף'!E274)</f>
        <v>40000054</v>
      </c>
      <c r="E274" s="348">
        <f>IF($F274="","",'הזנה לתנאי סף'!F274)</f>
        <v>20000159</v>
      </c>
      <c r="F274" s="348" t="str">
        <f>IF('הזנה לתנאי סף'!BL274=1,'הזנה לתנאי סף'!G274,"")</f>
        <v>ירושלים</v>
      </c>
      <c r="G274" s="348" t="str">
        <f>IF($F274="","",'הזנה לתנאי סף'!H274)</f>
        <v>פסטיבל ישראל ירושלים</v>
      </c>
      <c r="H274" s="348" t="str">
        <f>IF($F274="","",'הזנה לתנאי סף'!I274)</f>
        <v>סינמטקים ופסטיבלים</v>
      </c>
      <c r="I274" s="349">
        <f>IF($F274="","",'הזנה לתנאי סף'!R274)</f>
        <v>1078298</v>
      </c>
      <c r="J274" s="349">
        <f>IF($F274="","",'תחום תמיכה א'!P274)</f>
        <v>1119283</v>
      </c>
      <c r="K274" s="177">
        <f>IF($F274="","",'הזנה לתנאי סף'!N274)</f>
        <v>1</v>
      </c>
      <c r="L274" s="177">
        <f>IF($F274="","",'הזנה לתנאי סף'!O274)</f>
        <v>0</v>
      </c>
      <c r="M274" s="177">
        <f>IF($F274="","",'הזנה לתנאי סף'!Q274)</f>
        <v>1</v>
      </c>
      <c r="N274" s="349">
        <f>IF($F274="","",'תחום תמיכה א'!AE274)</f>
        <v>51284.888141499381</v>
      </c>
      <c r="O274" s="178"/>
      <c r="P274" s="349">
        <f>IF($F274="","",'תחום תמיכה ב'!AC274)</f>
        <v>126263.30339027835</v>
      </c>
      <c r="Q274" s="349">
        <f>IF($F274="","",IF('תחום תמיכה ג'!O274="",0,'תחום תמיכה ג'!O274))</f>
        <v>21826.932754475838</v>
      </c>
      <c r="R274" s="349">
        <f t="shared" si="12"/>
        <v>3786.0117490466801</v>
      </c>
      <c r="S274" s="349">
        <f>IF($F274="","",'תחום תמיכה ב'!AE274)</f>
        <v>130049.31513932503</v>
      </c>
      <c r="T274" s="349">
        <f>IF($F274="","",IF(Q274='תחום תמיכה ג'!$Q$2,'תחום תמיכה ג'!$Q$2,IFERROR(SUMIF(N274:R274,"&gt;0"),'תחום תמיכה ג'!$Q$2)))</f>
        <v>203161.13603530024</v>
      </c>
      <c r="U274" s="349">
        <f>IF($F274="","",'הזנה לתנאי סף'!Y274)</f>
        <v>651000</v>
      </c>
      <c r="V274" s="350">
        <f>IF(F274="","",'הגבלה לסכום מבוקש '!AA274)</f>
        <v>224818.99596671606</v>
      </c>
      <c r="W274" s="349">
        <f t="shared" si="13"/>
        <v>56204.748991679015</v>
      </c>
      <c r="X274" s="349">
        <f>IF(F274="","",'הזנה לתנאי סף'!Z274)</f>
        <v>651000</v>
      </c>
      <c r="Y274" s="351" t="s">
        <v>3740</v>
      </c>
      <c r="Z274" s="352" t="str">
        <f>IFERROR(VLOOKUP(G274*1,#REF!,3,0),"")</f>
        <v/>
      </c>
      <c r="AA274" s="349" t="str">
        <f>IF(OR($F274="",Z274=""),"",IFERROR(IF(Z274&gt;V274,MIN(Z274,T274)-V274,0),'תחום תמיכה ג'!$Q$2))</f>
        <v/>
      </c>
      <c r="AB274" s="353"/>
      <c r="AC274" s="260" t="str">
        <f t="shared" si="15"/>
        <v/>
      </c>
      <c r="AD274" s="358"/>
      <c r="AE274" s="180"/>
      <c r="AF274" s="355" t="str">
        <f>IF($C274="","",IFERROR(VLOOKUP($C274,גיליון1!$A:$E,2,0),"לא הגיש בקשה שוטפת"))</f>
        <v>פסטיבל ג'ז ,ירושלים 2020</v>
      </c>
      <c r="AG274" s="355" t="str">
        <f>IF($C274="","",IFERROR(VLOOKUP($C274,גיליון1!$A:$E,3,0),"לא הגיש בקשה שוטפת"))</f>
        <v>מועד</v>
      </c>
      <c r="AH274" s="355" t="str">
        <f>IF($C274="","",IFERROR(VLOOKUP($C274,גיליון1!$A:$E,4,0),"לא הגיש בקשה שוטפת"))</f>
        <v>19-42-02-26</v>
      </c>
      <c r="AI274" s="355" t="str">
        <f>IF($C274="","",IFERROR(VLOOKUP($C274,גיליון1!$A:$E,5,0),"לא הגיש בקשה שוטפת"))</f>
        <v>פסטיבלים לתרבות</v>
      </c>
      <c r="AJ274" s="355">
        <f t="shared" si="14"/>
        <v>0</v>
      </c>
      <c r="AK274" s="15"/>
      <c r="AL274" s="15" t="s">
        <v>250</v>
      </c>
    </row>
    <row r="275" spans="1:38" ht="285.75" x14ac:dyDescent="0.25">
      <c r="A275" s="346">
        <f>'הזנה לתנאי סף'!B275</f>
        <v>245</v>
      </c>
      <c r="B275" s="347" t="str">
        <f>IF($F275="","",'הזנה לתנאי סף'!C275)</f>
        <v/>
      </c>
      <c r="C275" s="347" t="str">
        <f>IF($F275="","",'הזנה לתנאי סף'!D275)</f>
        <v/>
      </c>
      <c r="D275" s="347" t="str">
        <f>IF($F275="","",'הזנה לתנאי סף'!E275)</f>
        <v/>
      </c>
      <c r="E275" s="348" t="str">
        <f>IF($F275="","",'הזנה לתנאי סף'!F275)</f>
        <v/>
      </c>
      <c r="F275" s="348" t="str">
        <f>IF('הזנה לתנאי סף'!BL275=1,'הזנה לתנאי סף'!G275,"")</f>
        <v/>
      </c>
      <c r="G275" s="348" t="str">
        <f>IF($F275="","",'הזנה לתנאי סף'!H275)</f>
        <v/>
      </c>
      <c r="H275" s="348" t="str">
        <f>IF($F275="","",'הזנה לתנאי סף'!I275)</f>
        <v/>
      </c>
      <c r="I275" s="349" t="str">
        <f>IF($F275="","",'הזנה לתנאי סף'!R275)</f>
        <v/>
      </c>
      <c r="J275" s="349" t="str">
        <f>IF($F275="","",'תחום תמיכה א'!P275)</f>
        <v/>
      </c>
      <c r="K275" s="177" t="str">
        <f>IF($F275="","",'הזנה לתנאי סף'!N275)</f>
        <v/>
      </c>
      <c r="L275" s="177" t="str">
        <f>IF($F275="","",'הזנה לתנאי סף'!O275)</f>
        <v/>
      </c>
      <c r="M275" s="177" t="str">
        <f>IF($F275="","",'הזנה לתנאי סף'!Q275)</f>
        <v/>
      </c>
      <c r="N275" s="349" t="str">
        <f>IF($F275="","",'תחום תמיכה א'!AE275)</f>
        <v/>
      </c>
      <c r="O275" s="178"/>
      <c r="P275" s="349" t="str">
        <f>IF($F275="","",'תחום תמיכה ב'!AC275)</f>
        <v/>
      </c>
      <c r="Q275" s="349" t="str">
        <f>IF($F275="","",IF('תחום תמיכה ג'!O275="",0,'תחום תמיכה ג'!O275))</f>
        <v/>
      </c>
      <c r="R275" s="349" t="str">
        <f t="shared" si="12"/>
        <v/>
      </c>
      <c r="S275" s="349" t="str">
        <f>IF($F275="","",'תחום תמיכה ב'!AE275)</f>
        <v/>
      </c>
      <c r="T275" s="349" t="str">
        <f>IF($F275="","",IF(Q275='תחום תמיכה ג'!$Q$2,'תחום תמיכה ג'!$Q$2,IFERROR(SUMIF(N275:R275,"&gt;0"),'תחום תמיכה ג'!$Q$2)))</f>
        <v/>
      </c>
      <c r="U275" s="349" t="str">
        <f>IF($F275="","",'הזנה לתנאי סף'!Y275)</f>
        <v/>
      </c>
      <c r="V275" s="350" t="str">
        <f>IF(F275="","",'הגבלה לסכום מבוקש '!AA275)</f>
        <v/>
      </c>
      <c r="W275" s="349" t="str">
        <f t="shared" si="13"/>
        <v/>
      </c>
      <c r="X275" s="349" t="str">
        <f>IF(F275="","",'הזנה לתנאי סף'!Z275)</f>
        <v/>
      </c>
      <c r="Y275" s="351" t="s">
        <v>3740</v>
      </c>
      <c r="Z275" s="352" t="str">
        <f>IFERROR(VLOOKUP(G275*1,#REF!,3,0),"")</f>
        <v/>
      </c>
      <c r="AA275" s="349" t="str">
        <f>IF(OR($F275="",Z275=""),"",IFERROR(IF(Z275&gt;V275,MIN(Z275,T275)-V275,0),'תחום תמיכה ג'!$Q$2))</f>
        <v/>
      </c>
      <c r="AB275" s="353"/>
      <c r="AC275" s="260" t="str">
        <f t="shared" si="15"/>
        <v/>
      </c>
      <c r="AD275" s="358"/>
      <c r="AE275" s="180"/>
      <c r="AF275" s="355" t="str">
        <f>IF($C275="","",IFERROR(VLOOKUP($C275,גיליון1!$A:$E,2,0),"לא הגיש בקשה שוטפת"))</f>
        <v/>
      </c>
      <c r="AG275" s="355" t="str">
        <f>IF($C275="","",IFERROR(VLOOKUP($C275,גיליון1!$A:$E,3,0),"לא הגיש בקשה שוטפת"))</f>
        <v/>
      </c>
      <c r="AH275" s="355" t="str">
        <f>IF($C275="","",IFERROR(VLOOKUP($C275,גיליון1!$A:$E,4,0),"לא הגיש בקשה שוטפת"))</f>
        <v/>
      </c>
      <c r="AI275" s="355" t="str">
        <f>IF($C275="","",IFERROR(VLOOKUP($C275,גיליון1!$A:$E,5,0),"לא הגיש בקשה שוטפת"))</f>
        <v/>
      </c>
      <c r="AJ275" s="355">
        <f t="shared" si="14"/>
        <v>0</v>
      </c>
      <c r="AK275" s="15"/>
      <c r="AL275" s="15" t="s">
        <v>250</v>
      </c>
    </row>
    <row r="276" spans="1:38" ht="285.75" x14ac:dyDescent="0.25">
      <c r="A276" s="346">
        <f>'הזנה לתנאי סף'!B276</f>
        <v>246</v>
      </c>
      <c r="B276" s="347">
        <f>IF($F276="","",'הזנה לתנאי סף'!C276)</f>
        <v>1001346748</v>
      </c>
      <c r="C276" s="347">
        <f>IF($F276="","",'הזנה לתנאי סף'!D276)</f>
        <v>1001272517</v>
      </c>
      <c r="D276" s="347">
        <f>IF($F276="","",'הזנה לתנאי סף'!E276)</f>
        <v>40000171</v>
      </c>
      <c r="E276" s="348">
        <f>IF($F276="","",'הזנה לתנאי סף'!F276)</f>
        <v>20000201</v>
      </c>
      <c r="F276" s="348" t="str">
        <f>IF('הזנה לתנאי סף'!BL276=1,'הזנה לתנאי סף'!G276,"")</f>
        <v>תל אביב -יפו</v>
      </c>
      <c r="G276" s="348" t="str">
        <f>IF($F276="","",'הזנה לתנאי סף'!H276)</f>
        <v>תיאטרון "גשר"</v>
      </c>
      <c r="H276" s="348" t="str">
        <f>IF($F276="","",'הזנה לתנאי סף'!I276)</f>
        <v>תיאטרון</v>
      </c>
      <c r="I276" s="349">
        <f>IF($F276="","",'הזנה לתנאי סף'!R276)</f>
        <v>26991000</v>
      </c>
      <c r="J276" s="349">
        <f>IF($F276="","",'תחום תמיכה א'!P276)</f>
        <v>29758000</v>
      </c>
      <c r="K276" s="177">
        <f>IF($F276="","",'הזנה לתנאי סף'!N276)</f>
        <v>1</v>
      </c>
      <c r="L276" s="177">
        <f>IF($F276="","",'הזנה לתנאי סף'!O276)</f>
        <v>0</v>
      </c>
      <c r="M276" s="177">
        <f>IF($F276="","",'הזנה לתנאי סף'!Q276)</f>
        <v>1</v>
      </c>
      <c r="N276" s="349">
        <f>IF($F276="","",'תחום תמיכה א'!AE276)</f>
        <v>1064039.8235568479</v>
      </c>
      <c r="O276" s="178"/>
      <c r="P276" s="349">
        <f>IF($F276="","",'תחום תמיכה ב'!AC276)</f>
        <v>1968270.1204137222</v>
      </c>
      <c r="Q276" s="349">
        <f>IF($F276="","",IF('תחום תמיכה ג'!O276="",0,'תחום תמיכה ג'!O276))</f>
        <v>825379.84311517898</v>
      </c>
      <c r="R276" s="349">
        <f t="shared" si="12"/>
        <v>59018.682396976044</v>
      </c>
      <c r="S276" s="349">
        <f>IF($F276="","",'תחום תמיכה ב'!AE276)</f>
        <v>2027288.8028106983</v>
      </c>
      <c r="T276" s="349">
        <f>IF($F276="","",IF(Q276='תחום תמיכה ג'!$Q$2,'תחום תמיכה ג'!$Q$2,IFERROR(SUMIF(N276:R276,"&gt;0"),'תחום תמיכה ג'!$Q$2)))</f>
        <v>3916708.4694827255</v>
      </c>
      <c r="U276" s="349">
        <f>IF($F276="","",'הזנה לתנאי סף'!Y276)</f>
        <v>6000000</v>
      </c>
      <c r="V276" s="350">
        <f>IF(F276="","",'הגבלה לסכום מבוקש '!AA276)</f>
        <v>4254665.8876760947</v>
      </c>
      <c r="W276" s="349">
        <f t="shared" si="13"/>
        <v>1063666.4719190237</v>
      </c>
      <c r="X276" s="349">
        <f>IF(F276="","",'הזנה לתנאי סף'!Z276)</f>
        <v>3000000</v>
      </c>
      <c r="Y276" s="351" t="s">
        <v>3740</v>
      </c>
      <c r="Z276" s="352" t="str">
        <f>IFERROR(VLOOKUP(G276*1,#REF!,3,0),"")</f>
        <v/>
      </c>
      <c r="AA276" s="349" t="str">
        <f>IF(OR($F276="",Z276=""),"",IFERROR(IF(Z276&gt;V276,MIN(Z276,T276)-V276,0),'תחום תמיכה ג'!$Q$2))</f>
        <v/>
      </c>
      <c r="AB276" s="353"/>
      <c r="AC276" s="260" t="str">
        <f t="shared" si="15"/>
        <v/>
      </c>
      <c r="AD276" s="358"/>
      <c r="AE276" s="180"/>
      <c r="AF276" s="355" t="str">
        <f>IF($C276="","",IFERROR(VLOOKUP($C276,גיליון1!$A:$E,2,0),"לא הגיש בקשה שוטפת"))</f>
        <v>תמיכה שוטפת ל 2020</v>
      </c>
      <c r="AG276" s="355" t="str">
        <f>IF($C276="","",IFERROR(VLOOKUP($C276,גיליון1!$A:$E,3,0),"לא הגיש בקשה שוטפת"))</f>
        <v>חויב</v>
      </c>
      <c r="AH276" s="355" t="str">
        <f>IF($C276="","",IFERROR(VLOOKUP($C276,גיליון1!$A:$E,4,0),"לא הגיש בקשה שוטפת"))</f>
        <v>19-42-02-07</v>
      </c>
      <c r="AI276" s="355" t="str">
        <f>IF($C276="","",IFERROR(VLOOKUP($C276,גיליון1!$A:$E,5,0),"לא הגיש בקשה שוטפת"))</f>
        <v>תיאטרון</v>
      </c>
      <c r="AJ276" s="355">
        <f t="shared" si="14"/>
        <v>0</v>
      </c>
      <c r="AK276" s="15"/>
      <c r="AL276" s="15" t="s">
        <v>250</v>
      </c>
    </row>
    <row r="277" spans="1:38" ht="285.75" x14ac:dyDescent="0.25">
      <c r="A277" s="346">
        <f>'הזנה לתנאי סף'!B277</f>
        <v>247</v>
      </c>
      <c r="B277" s="347">
        <f>IF($F277="","",'הזנה לתנאי סף'!C277)</f>
        <v>1001346760</v>
      </c>
      <c r="C277" s="347">
        <f>IF($F277="","",'הזנה לתנאי סף'!D277)</f>
        <v>1001272518</v>
      </c>
      <c r="D277" s="347">
        <f>IF($F277="","",'הזנה לתנאי סף'!E277)</f>
        <v>40000171</v>
      </c>
      <c r="E277" s="348">
        <f>IF($F277="","",'הזנה לתנאי סף'!F277)</f>
        <v>20000201</v>
      </c>
      <c r="F277" s="348" t="str">
        <f>IF('הזנה לתנאי סף'!BL277=1,'הזנה לתנאי סף'!G277,"")</f>
        <v>תל אביב -יפו</v>
      </c>
      <c r="G277" s="348" t="str">
        <f>IF($F277="","",'הזנה לתנאי סף'!H277)</f>
        <v>תיאטרון "גשר"</v>
      </c>
      <c r="H277" s="348" t="str">
        <f>IF($F277="","",'הזנה לתנאי סף'!I277)</f>
        <v>סינמטקים ופסטיבלים</v>
      </c>
      <c r="I277" s="349">
        <f>IF($F277="","",'הזנה לתנאי סף'!R277)</f>
        <v>1940000</v>
      </c>
      <c r="J277" s="349">
        <f>IF($F277="","",'תחום תמיכה א'!P277)</f>
        <v>1844000</v>
      </c>
      <c r="K277" s="177">
        <f>IF($F277="","",'הזנה לתנאי סף'!N277)</f>
        <v>1</v>
      </c>
      <c r="L277" s="177">
        <f>IF($F277="","",'הזנה לתנאי סף'!O277)</f>
        <v>0</v>
      </c>
      <c r="M277" s="177">
        <f>IF($F277="","",'הזנה לתנאי סף'!Q277)</f>
        <v>1</v>
      </c>
      <c r="N277" s="349">
        <f>IF($F277="","",'תחום תמיכה א'!AE277)</f>
        <v>60169.048337809647</v>
      </c>
      <c r="O277" s="178"/>
      <c r="P277" s="349">
        <f>IF($F277="","",'תחום תמיכה ב'!AC277)</f>
        <v>117810.39711602319</v>
      </c>
      <c r="Q277" s="349">
        <f>IF($F277="","",IF('תחום תמיכה ג'!O277="",0,'תחום תמיכה ג'!O277))</f>
        <v>49402.938184379425</v>
      </c>
      <c r="R277" s="349">
        <f t="shared" si="12"/>
        <v>3532.5509127734549</v>
      </c>
      <c r="S277" s="349">
        <f>IF($F277="","",'תחום תמיכה ב'!AE277)</f>
        <v>121342.94802879664</v>
      </c>
      <c r="T277" s="349">
        <f>IF($F277="","",IF(Q277='תחום תמיכה ג'!$Q$2,'תחום תמיכה ג'!$Q$2,IFERROR(SUMIF(N277:R277,"&gt;0"),'תחום תמיכה ג'!$Q$2)))</f>
        <v>230914.93455098569</v>
      </c>
      <c r="U277" s="349">
        <f>IF($F277="","",'הזנה לתנאי סף'!Y277)</f>
        <v>300000</v>
      </c>
      <c r="V277" s="350">
        <f>IF(F277="","",'הגבלה לסכום מבוקש '!AA277)</f>
        <v>251141.70303951937</v>
      </c>
      <c r="W277" s="349">
        <f t="shared" si="13"/>
        <v>62785.425759879843</v>
      </c>
      <c r="X277" s="349">
        <f>IF(F277="","",'הזנה לתנאי סף'!Z277)</f>
        <v>200000</v>
      </c>
      <c r="Y277" s="351" t="s">
        <v>3740</v>
      </c>
      <c r="Z277" s="352" t="str">
        <f>IFERROR(VLOOKUP(G277*1,#REF!,3,0),"")</f>
        <v/>
      </c>
      <c r="AA277" s="349" t="str">
        <f>IF(OR($F277="",Z277=""),"",IFERROR(IF(Z277&gt;V277,MIN(Z277,T277)-V277,0),'תחום תמיכה ג'!$Q$2))</f>
        <v/>
      </c>
      <c r="AB277" s="353"/>
      <c r="AC277" s="260" t="str">
        <f t="shared" si="15"/>
        <v/>
      </c>
      <c r="AD277" s="358"/>
      <c r="AE277" s="180"/>
      <c r="AF277" s="355" t="str">
        <f>IF($C277="","",IFERROR(VLOOKUP($C277,גיליון1!$A:$E,2,0),"לא הגיש בקשה שוטפת"))</f>
        <v>תמיכה לפסטיבאל גשר באינלאומי 2020</v>
      </c>
      <c r="AG277" s="355" t="str">
        <f>IF($C277="","",IFERROR(VLOOKUP($C277,גיליון1!$A:$E,3,0),"לא הגיש בקשה שוטפת"))</f>
        <v>מועד</v>
      </c>
      <c r="AH277" s="355" t="str">
        <f>IF($C277="","",IFERROR(VLOOKUP($C277,גיליון1!$A:$E,4,0),"לא הגיש בקשה שוטפת"))</f>
        <v>19-42-02-26</v>
      </c>
      <c r="AI277" s="355" t="str">
        <f>IF($C277="","",IFERROR(VLOOKUP($C277,גיליון1!$A:$E,5,0),"לא הגיש בקשה שוטפת"))</f>
        <v>פסטיבלים לתרבות</v>
      </c>
      <c r="AJ277" s="355">
        <f t="shared" si="14"/>
        <v>0</v>
      </c>
      <c r="AK277" s="15"/>
      <c r="AL277" s="15" t="s">
        <v>250</v>
      </c>
    </row>
    <row r="278" spans="1:38" ht="285.75" x14ac:dyDescent="0.25">
      <c r="A278" s="346">
        <f>'הזנה לתנאי סף'!B278</f>
        <v>248</v>
      </c>
      <c r="B278" s="347">
        <f>IF($F278="","",'הזנה לתנאי סף'!C278)</f>
        <v>1001348549</v>
      </c>
      <c r="C278" s="347">
        <f>IF($F278="","",'הזנה לתנאי סף'!D278)</f>
        <v>1001274935</v>
      </c>
      <c r="D278" s="347">
        <f>IF($F278="","",'הזנה לתנאי סף'!E278)</f>
        <v>40000173</v>
      </c>
      <c r="E278" s="348">
        <f>IF($F278="","",'הזנה לתנאי סף'!F278)</f>
        <v>20000251</v>
      </c>
      <c r="F278" s="348" t="str">
        <f>IF('הזנה לתנאי סף'!BL278=1,'הזנה לתנאי סף'!G278,"")</f>
        <v>רעננה</v>
      </c>
      <c r="G278" s="348" t="str">
        <f>IF($F278="","",'הזנה לתנאי סף'!H278)</f>
        <v>עמותת תזמורת סימפונט רעננה</v>
      </c>
      <c r="H278" s="348" t="str">
        <f>IF($F278="","",'הזנה לתנאי סף'!I278)</f>
        <v>אחר</v>
      </c>
      <c r="I278" s="349">
        <f>IF($F278="","",'הזנה לתנאי סף'!R278)</f>
        <v>9164000</v>
      </c>
      <c r="J278" s="349">
        <f>IF($F278="","",'תחום תמיכה א'!P278)</f>
        <v>7257000</v>
      </c>
      <c r="K278" s="177">
        <f>IF($F278="","",'הזנה לתנאי סף'!N278)</f>
        <v>0</v>
      </c>
      <c r="L278" s="177">
        <f>IF($F278="","",'הזנה לתנאי סף'!O278)</f>
        <v>1</v>
      </c>
      <c r="M278" s="177">
        <f>IF($F278="","",'הזנה לתנאי סף'!Q278)</f>
        <v>1</v>
      </c>
      <c r="N278" s="349">
        <f>IF($F278="","",'תחום תמיכה א'!AE278)</f>
        <v>202679.04453612151</v>
      </c>
      <c r="O278" s="178"/>
      <c r="P278" s="349">
        <f>IF($F278="","",'תחום תמיכה ב'!AC278)</f>
        <v>407704.93587625434</v>
      </c>
      <c r="Q278" s="349">
        <f>IF($F278="","",IF('תחום תמיכה ג'!O278="",0,'תחום תמיכה ג'!O278))</f>
        <v>0</v>
      </c>
      <c r="R278" s="349">
        <f t="shared" si="12"/>
        <v>12225.053803642746</v>
      </c>
      <c r="S278" s="349">
        <f>IF($F278="","",'תחום תמיכה ב'!AE278)</f>
        <v>419929.98967989709</v>
      </c>
      <c r="T278" s="349">
        <f>IF($F278="","",IF(Q278='תחום תמיכה ג'!$Q$2,'תחום תמיכה ג'!$Q$2,IFERROR(SUMIF(N278:R278,"&gt;0"),'תחום תמיכה ג'!$Q$2)))</f>
        <v>622609.03421601863</v>
      </c>
      <c r="U278" s="349">
        <f>IF($F278="","",'הזנה לתנאי סף'!Y278)</f>
        <v>1750000</v>
      </c>
      <c r="V278" s="350">
        <f>IF(F278="","",'הגבלה לסכום מבוקש '!AA278)</f>
        <v>692527.18136823154</v>
      </c>
      <c r="W278" s="349">
        <f t="shared" si="13"/>
        <v>173131.79534205789</v>
      </c>
      <c r="X278" s="349">
        <f>IF(F278="","",'הזנה לתנאי סף'!Z278)</f>
        <v>145000</v>
      </c>
      <c r="Y278" s="351" t="s">
        <v>3740</v>
      </c>
      <c r="Z278" s="352" t="str">
        <f>IFERROR(VLOOKUP(G278*1,#REF!,3,0),"")</f>
        <v/>
      </c>
      <c r="AA278" s="349" t="str">
        <f>IF(OR($F278="",Z278=""),"",IFERROR(IF(Z278&gt;V278,MIN(Z278,T278)-V278,0),'תחום תמיכה ג'!$Q$2))</f>
        <v/>
      </c>
      <c r="AB278" s="353"/>
      <c r="AC278" s="260" t="str">
        <f t="shared" si="15"/>
        <v/>
      </c>
      <c r="AD278" s="358"/>
      <c r="AE278" s="180"/>
      <c r="AF278" s="355" t="str">
        <f>IF($C278="","",IFERROR(VLOOKUP($C278,גיליון1!$A:$E,2,0),"לא הגיש בקשה שוטפת"))</f>
        <v>תמיכה שוטפת</v>
      </c>
      <c r="AG278" s="355" t="str">
        <f>IF($C278="","",IFERROR(VLOOKUP($C278,גיליון1!$A:$E,3,0),"לא הגיש בקשה שוטפת"))</f>
        <v>חויב</v>
      </c>
      <c r="AH278" s="355" t="str">
        <f>IF($C278="","",IFERROR(VLOOKUP($C278,גיליון1!$A:$E,4,0),"לא הגיש בקשה שוטפת"))</f>
        <v>19-42-02-16</v>
      </c>
      <c r="AI278" s="355" t="str">
        <f>IF($C278="","",IFERROR(VLOOKUP($C278,גיליון1!$A:$E,5,0),"לא הגיש בקשה שוטפת"))</f>
        <v>מוסיקה</v>
      </c>
      <c r="AJ278" s="355">
        <f t="shared" si="14"/>
        <v>0</v>
      </c>
      <c r="AK278" s="15"/>
      <c r="AL278" s="15" t="s">
        <v>250</v>
      </c>
    </row>
    <row r="279" spans="1:38" ht="285.75" x14ac:dyDescent="0.25">
      <c r="A279" s="346">
        <f>'הזנה לתנאי סף'!B279</f>
        <v>249</v>
      </c>
      <c r="B279" s="347">
        <f>IF($F279="","",'הזנה לתנאי סף'!C279)</f>
        <v>1001348971</v>
      </c>
      <c r="C279" s="347">
        <f>IF($F279="","",'הזנה לתנאי סף'!D279)</f>
        <v>1001274750</v>
      </c>
      <c r="D279" s="347">
        <f>IF($F279="","",'הזנה לתנאי סף'!E279)</f>
        <v>40000174</v>
      </c>
      <c r="E279" s="348">
        <f>IF($F279="","",'הזנה לתנאי סף'!F279)</f>
        <v>20000201</v>
      </c>
      <c r="F279" s="348" t="str">
        <f>IF('הזנה לתנאי סף'!BL279=1,'הזנה לתנאי סף'!G279,"")</f>
        <v>תל אביב -יפו</v>
      </c>
      <c r="G279" s="348" t="str">
        <f>IF($F279="","",'הזנה לתנאי סף'!H279)</f>
        <v>פרויקטים במחול - שליד תיאטרון מחול</v>
      </c>
      <c r="H279" s="348" t="str">
        <f>IF($F279="","",'הזנה לתנאי סף'!I279)</f>
        <v>מחול</v>
      </c>
      <c r="I279" s="349">
        <f>IF($F279="","",'הזנה לתנאי סף'!R279)</f>
        <v>390869</v>
      </c>
      <c r="J279" s="349">
        <f>IF($F279="","",'תחום תמיכה א'!P279)</f>
        <v>341223</v>
      </c>
      <c r="K279" s="177">
        <f>IF($F279="","",'הזנה לתנאי סף'!N279)</f>
        <v>1</v>
      </c>
      <c r="L279" s="177">
        <f>IF($F279="","",'הזנה לתנאי סף'!O279)</f>
        <v>0</v>
      </c>
      <c r="M279" s="177">
        <f>IF($F279="","",'הזנה לתנאי סף'!Q279)</f>
        <v>1</v>
      </c>
      <c r="N279" s="349">
        <f>IF($F279="","",'תחום תמיכה א'!AE279)</f>
        <v>10033.121608158528</v>
      </c>
      <c r="O279" s="178"/>
      <c r="P279" s="349">
        <f>IF($F279="","",'תחום תמיכה ב'!AC279)</f>
        <v>19274.548987790902</v>
      </c>
      <c r="Q279" s="349">
        <f>IF($F279="","",IF('תחום תמיכה ג'!O279="",0,'תחום תמיכה ג'!O279))</f>
        <v>8082.6427504344365</v>
      </c>
      <c r="R279" s="349">
        <f t="shared" si="12"/>
        <v>577.94835843785404</v>
      </c>
      <c r="S279" s="349">
        <f>IF($F279="","",'תחום תמיכה ב'!AE279)</f>
        <v>19852.497346228756</v>
      </c>
      <c r="T279" s="349">
        <f>IF($F279="","",IF(Q279='תחום תמיכה ג'!$Q$2,'תחום תמיכה ג'!$Q$2,IFERROR(SUMIF(N279:R279,"&gt;0"),'תחום תמיכה ג'!$Q$2)))</f>
        <v>37968.261704821722</v>
      </c>
      <c r="U279" s="349">
        <f>IF($F279="","",'הזנה לתנאי סף'!Y279)</f>
        <v>50000</v>
      </c>
      <c r="V279" s="350">
        <f>IF(F279="","",'הגבלה לסכום מבוקש '!AA279)</f>
        <v>41277.578980143568</v>
      </c>
      <c r="W279" s="349">
        <f t="shared" si="13"/>
        <v>10319.394745035892</v>
      </c>
      <c r="X279" s="349">
        <f>IF(F279="","",'הזנה לתנאי סף'!Z279)</f>
        <v>30000</v>
      </c>
      <c r="Y279" s="351" t="s">
        <v>3740</v>
      </c>
      <c r="Z279" s="352" t="str">
        <f>IFERROR(VLOOKUP(G279*1,#REF!,3,0),"")</f>
        <v/>
      </c>
      <c r="AA279" s="349" t="str">
        <f>IF(OR($F279="",Z279=""),"",IFERROR(IF(Z279&gt;V279,MIN(Z279,T279)-V279,0),'תחום תמיכה ג'!$Q$2))</f>
        <v/>
      </c>
      <c r="AB279" s="353"/>
      <c r="AC279" s="260" t="str">
        <f t="shared" si="15"/>
        <v/>
      </c>
      <c r="AD279" s="358"/>
      <c r="AE279" s="180"/>
      <c r="AF279" s="355" t="str">
        <f>IF($C279="","",IFERROR(VLOOKUP($C279,גיליון1!$A:$E,2,0),"לא הגיש בקשה שוטפת"))</f>
        <v>רנה שינפלד - תמיכה שוטפת 2020</v>
      </c>
      <c r="AG279" s="355" t="str">
        <f>IF($C279="","",IFERROR(VLOOKUP($C279,גיליון1!$A:$E,3,0),"לא הגיש בקשה שוטפת"))</f>
        <v>חויב</v>
      </c>
      <c r="AH279" s="355" t="str">
        <f>IF($C279="","",IFERROR(VLOOKUP($C279,גיליון1!$A:$E,4,0),"לא הגיש בקשה שוטפת"))</f>
        <v>19-42-02-20</v>
      </c>
      <c r="AI279" s="355" t="str">
        <f>IF($C279="","",IFERROR(VLOOKUP($C279,גיליון1!$A:$E,5,0),"לא הגיש בקשה שוטפת"))</f>
        <v>מחול וארגוני גג</v>
      </c>
      <c r="AJ279" s="355">
        <f t="shared" si="14"/>
        <v>0</v>
      </c>
      <c r="AK279" s="15"/>
      <c r="AL279" s="15" t="s">
        <v>250</v>
      </c>
    </row>
    <row r="280" spans="1:38" ht="285.75" x14ac:dyDescent="0.25">
      <c r="A280" s="346">
        <f>'הזנה לתנאי סף'!B280</f>
        <v>250</v>
      </c>
      <c r="B280" s="347">
        <f>IF($F280="","",'הזנה לתנאי סף'!C280)</f>
        <v>1001350351</v>
      </c>
      <c r="C280" s="347">
        <f>IF($F280="","",'הזנה לתנאי סף'!D280)</f>
        <v>1001269665</v>
      </c>
      <c r="D280" s="347">
        <f>IF($F280="","",'הזנה לתנאי סף'!E280)</f>
        <v>40000176</v>
      </c>
      <c r="E280" s="348">
        <f>IF($F280="","",'הזנה לתנאי סף'!F280)</f>
        <v>20000201</v>
      </c>
      <c r="F280" s="348" t="str">
        <f>IF('הזנה לתנאי סף'!BL280=1,'הזנה לתנאי סף'!G280,"")</f>
        <v>תל אביב -יפו</v>
      </c>
      <c r="G280" s="348" t="str">
        <f>IF($F280="","",'הזנה לתנאי סף'!H280)</f>
        <v>אנסמבל עתים</v>
      </c>
      <c r="H280" s="348" t="str">
        <f>IF($F280="","",'הזנה לתנאי סף'!I280)</f>
        <v>תיאטרון</v>
      </c>
      <c r="I280" s="349">
        <f>IF($F280="","",'הזנה לתנאי סף'!R280)</f>
        <v>918887</v>
      </c>
      <c r="J280" s="349">
        <f>IF($F280="","",'תחום תמיכה א'!P280)</f>
        <v>919843</v>
      </c>
      <c r="K280" s="177">
        <f>IF($F280="","",'הזנה לתנאי סף'!N280)</f>
        <v>1</v>
      </c>
      <c r="L280" s="177">
        <f>IF($F280="","",'הזנה לתנאי סף'!O280)</f>
        <v>0</v>
      </c>
      <c r="M280" s="177">
        <f>IF($F280="","",'הזנה לתנאי סף'!Q280)</f>
        <v>1</v>
      </c>
      <c r="N280" s="349">
        <f>IF($F280="","",'תחום תמיכה א'!AE280)</f>
        <v>14484.857245924299</v>
      </c>
      <c r="O280" s="178"/>
      <c r="P280" s="349">
        <f>IF($F280="","",'תחום תמיכה ב'!AC280)</f>
        <v>12996.325175084983</v>
      </c>
      <c r="Q280" s="349">
        <f>IF($F280="","",IF('תחום תמיכה ג'!O280="",0,'תחום תמיכה ג'!O280))</f>
        <v>5449.9149902406407</v>
      </c>
      <c r="R280" s="349">
        <f t="shared" si="12"/>
        <v>389.69548939499145</v>
      </c>
      <c r="S280" s="349">
        <f>IF($F280="","",'תחום תמיכה ב'!AE280)</f>
        <v>13386.020664479975</v>
      </c>
      <c r="T280" s="349">
        <f>IF($F280="","",IF(Q280='תחום תמיכה ג'!$Q$2,'תחום תמיכה ג'!$Q$2,IFERROR(SUMIF(N280:R280,"&gt;0"),'תחום תמיכה ג'!$Q$2)))</f>
        <v>33320.792900644912</v>
      </c>
      <c r="U280" s="349">
        <f>IF($F280="","",'הזנה לתנאי סף'!Y280)</f>
        <v>1200000</v>
      </c>
      <c r="V280" s="350">
        <f>IF(F280="","",'הגבלה לסכום מבוקש '!AA280)</f>
        <v>35555.69416401675</v>
      </c>
      <c r="W280" s="349">
        <f t="shared" si="13"/>
        <v>8888.9235410041874</v>
      </c>
      <c r="X280" s="349">
        <f>IF(F280="","",'הזנה לתנאי סף'!Z280)</f>
        <v>30000</v>
      </c>
      <c r="Y280" s="351" t="s">
        <v>3740</v>
      </c>
      <c r="Z280" s="352" t="str">
        <f>IFERROR(VLOOKUP(G280*1,#REF!,3,0),"")</f>
        <v/>
      </c>
      <c r="AA280" s="349" t="str">
        <f>IF(OR($F280="",Z280=""),"",IFERROR(IF(Z280&gt;V280,MIN(Z280,T280)-V280,0),'תחום תמיכה ג'!$Q$2))</f>
        <v/>
      </c>
      <c r="AB280" s="353"/>
      <c r="AC280" s="260" t="str">
        <f t="shared" si="15"/>
        <v/>
      </c>
      <c r="AD280" s="358"/>
      <c r="AE280" s="180"/>
      <c r="AF280" s="355" t="str">
        <f>IF($C280="","",IFERROR(VLOOKUP($C280,גיליון1!$A:$E,2,0),"לא הגיש בקשה שוטפת"))</f>
        <v>תאטרון</v>
      </c>
      <c r="AG280" s="355" t="str">
        <f>IF($C280="","",IFERROR(VLOOKUP($C280,גיליון1!$A:$E,3,0),"לא הגיש בקשה שוטפת"))</f>
        <v>מועד</v>
      </c>
      <c r="AH280" s="355" t="str">
        <f>IF($C280="","",IFERROR(VLOOKUP($C280,גיליון1!$A:$E,4,0),"לא הגיש בקשה שוטפת"))</f>
        <v>19-42-02-07</v>
      </c>
      <c r="AI280" s="355" t="str">
        <f>IF($C280="","",IFERROR(VLOOKUP($C280,גיליון1!$A:$E,5,0),"לא הגיש בקשה שוטפת"))</f>
        <v>תיאטרון</v>
      </c>
      <c r="AJ280" s="355">
        <f t="shared" si="14"/>
        <v>0</v>
      </c>
      <c r="AK280" s="15"/>
      <c r="AL280" s="15" t="s">
        <v>250</v>
      </c>
    </row>
    <row r="281" spans="1:38" ht="285.75" x14ac:dyDescent="0.25">
      <c r="A281" s="346">
        <f>'הזנה לתנאי סף'!B281</f>
        <v>251</v>
      </c>
      <c r="B281" s="347">
        <f>IF($F281="","",'הזנה לתנאי סף'!C281)</f>
        <v>1001348862</v>
      </c>
      <c r="C281" s="347">
        <f>IF($F281="","",'הזנה לתנאי סף'!D281)</f>
        <v>1001270324</v>
      </c>
      <c r="D281" s="347">
        <f>IF($F281="","",'הזנה לתנאי סף'!E281)</f>
        <v>40000179</v>
      </c>
      <c r="E281" s="348">
        <f>IF($F281="","",'הזנה לתנאי סף'!F281)</f>
        <v>20000201</v>
      </c>
      <c r="F281" s="348" t="str">
        <f>IF('הזנה לתנאי סף'!BL281=1,'הזנה לתנאי סף'!G281,"")</f>
        <v>תל אביב -יפו</v>
      </c>
      <c r="G281" s="348" t="str">
        <f>IF($F281="","",'הזנה לתנאי סף'!H281)</f>
        <v>מקשב</v>
      </c>
      <c r="H281" s="348" t="str">
        <f>IF($F281="","",'הזנה לתנאי סף'!I281)</f>
        <v>מרכזי מוסיקה</v>
      </c>
      <c r="I281" s="349">
        <f>IF($F281="","",'הזנה לתנאי סף'!R281)</f>
        <v>355101</v>
      </c>
      <c r="J281" s="349">
        <f>IF($F281="","",'תחום תמיכה א'!P281)</f>
        <v>354173</v>
      </c>
      <c r="K281" s="177">
        <f>IF($F281="","",'הזנה לתנאי סף'!N281)</f>
        <v>1</v>
      </c>
      <c r="L281" s="177">
        <f>IF($F281="","",'הזנה לתנאי סף'!O281)</f>
        <v>0</v>
      </c>
      <c r="M281" s="177">
        <f>IF($F281="","",'הזנה לתנאי סף'!Q281)</f>
        <v>1</v>
      </c>
      <c r="N281" s="349">
        <f>IF($F281="","",'תחום תמיכה א'!AE281)</f>
        <v>5700.837729439133</v>
      </c>
      <c r="O281" s="178"/>
      <c r="P281" s="349">
        <f>IF($F281="","",'תחום תמיכה ב'!AC281)</f>
        <v>5232.4844926054711</v>
      </c>
      <c r="Q281" s="349">
        <f>IF($F281="","",IF('תחום תמיכה ג'!O281="",0,'תחום תמיכה ג'!O281))</f>
        <v>2194.2045376889223</v>
      </c>
      <c r="R281" s="349">
        <f t="shared" si="12"/>
        <v>156.89632089282259</v>
      </c>
      <c r="S281" s="349">
        <f>IF($F281="","",'תחום תמיכה ב'!AE281)</f>
        <v>5389.3808134982937</v>
      </c>
      <c r="T281" s="349">
        <f>IF($F281="","",IF(Q281='תחום תמיכה ג'!$Q$2,'תחום תמיכה ג'!$Q$2,IFERROR(SUMIF(N281:R281,"&gt;0"),'תחום תמיכה ג'!$Q$2)))</f>
        <v>13284.423080626348</v>
      </c>
      <c r="U281" s="349">
        <f>IF($F281="","",'הזנה לתנאי סף'!Y281)</f>
        <v>150000</v>
      </c>
      <c r="V281" s="350">
        <f>IF(F281="","",'הגבלה לסכום מבוקש '!AA281)</f>
        <v>14184.162903099848</v>
      </c>
      <c r="W281" s="349">
        <f t="shared" si="13"/>
        <v>3546.0407257749621</v>
      </c>
      <c r="X281" s="349">
        <f>IF(F281="","",'הזנה לתנאי סף'!Z281)</f>
        <v>150000</v>
      </c>
      <c r="Y281" s="351" t="s">
        <v>3740</v>
      </c>
      <c r="Z281" s="352" t="str">
        <f>IFERROR(VLOOKUP(G281*1,#REF!,3,0),"")</f>
        <v/>
      </c>
      <c r="AA281" s="349" t="str">
        <f>IF(OR($F281="",Z281=""),"",IFERROR(IF(Z281&gt;V281,MIN(Z281,T281)-V281,0),'תחום תמיכה ג'!$Q$2))</f>
        <v/>
      </c>
      <c r="AB281" s="353"/>
      <c r="AC281" s="260" t="str">
        <f t="shared" si="15"/>
        <v/>
      </c>
      <c r="AD281" s="358"/>
      <c r="AE281" s="180"/>
      <c r="AF281" s="355" t="str">
        <f>IF($C281="","",IFERROR(VLOOKUP($C281,גיליון1!$A:$E,2,0),"לא הגיש בקשה שוטפת"))</f>
        <v>מרכז למוסיקה אלקטרונית - התיבה</v>
      </c>
      <c r="AG281" s="355" t="str">
        <f>IF($C281="","",IFERROR(VLOOKUP($C281,גיליון1!$A:$E,3,0),"לא הגיש בקשה שוטפת"))</f>
        <v>מועד</v>
      </c>
      <c r="AH281" s="355" t="str">
        <f>IF($C281="","",IFERROR(VLOOKUP($C281,גיליון1!$A:$E,4,0),"לא הגיש בקשה שוטפת"))</f>
        <v>19-42-02-16</v>
      </c>
      <c r="AI281" s="355" t="str">
        <f>IF($C281="","",IFERROR(VLOOKUP($C281,גיליון1!$A:$E,5,0),"לא הגיש בקשה שוטפת"))</f>
        <v>מוסיקה</v>
      </c>
      <c r="AJ281" s="355">
        <f t="shared" si="14"/>
        <v>0</v>
      </c>
      <c r="AK281" s="15"/>
      <c r="AL281" s="15" t="s">
        <v>250</v>
      </c>
    </row>
    <row r="282" spans="1:38" ht="285.75" x14ac:dyDescent="0.25">
      <c r="A282" s="346">
        <f>'הזנה לתנאי סף'!B282</f>
        <v>252</v>
      </c>
      <c r="B282" s="347">
        <f>IF($F282="","",'הזנה לתנאי סף'!C282)</f>
        <v>1001348072</v>
      </c>
      <c r="C282" s="347">
        <f>IF($F282="","",'הזנה לתנאי סף'!D282)</f>
        <v>1001272584</v>
      </c>
      <c r="D282" s="347">
        <f>IF($F282="","",'הזנה לתנאי סף'!E282)</f>
        <v>40000564</v>
      </c>
      <c r="E282" s="348">
        <f>IF($F282="","",'הזנה לתנאי סף'!F282)</f>
        <v>20000201</v>
      </c>
      <c r="F282" s="348" t="str">
        <f>IF('הזנה לתנאי סף'!BL282=1,'הזנה לתנאי סף'!G282,"")</f>
        <v>תל אביב -יפו</v>
      </c>
      <c r="G282" s="348" t="str">
        <f>IF($F282="","",'הזנה לתנאי סף'!H282)</f>
        <v>עמותת הכוריאוגרפים (ע"ר)</v>
      </c>
      <c r="H282" s="348" t="str">
        <f>IF($F282="","",'הזנה לתנאי סף'!I282)</f>
        <v>יוצרים עצמאיים במחול</v>
      </c>
      <c r="I282" s="349">
        <f>IF($F282="","",'הזנה לתנאי סף'!R282)</f>
        <v>150968</v>
      </c>
      <c r="J282" s="349">
        <f>IF($F282="","",'תחום תמיכה א'!P282)</f>
        <v>146301</v>
      </c>
      <c r="K282" s="177">
        <f>IF($F282="","",'הזנה לתנאי סף'!N282)</f>
        <v>0</v>
      </c>
      <c r="L282" s="177">
        <f>IF($F282="","",'הזנה לתנאי סף'!O282)</f>
        <v>1</v>
      </c>
      <c r="M282" s="177">
        <f>IF($F282="","",'הזנה לתנאי סף'!Q282)</f>
        <v>1</v>
      </c>
      <c r="N282" s="349">
        <f>IF($F282="","",'תחום תמיכה א'!AE282)</f>
        <v>2727.8747008836094</v>
      </c>
      <c r="O282" s="178"/>
      <c r="P282" s="349">
        <f>IF($F282="","",'תחום תמיכה ב'!AC282)</f>
        <v>2993.619415214956</v>
      </c>
      <c r="Q282" s="349">
        <f>IF($F282="","",IF('תחום תמיכה ג'!O282="",0,'תחום תמיכה ג'!O282))</f>
        <v>0</v>
      </c>
      <c r="R282" s="349">
        <f t="shared" si="12"/>
        <v>89.763834573099757</v>
      </c>
      <c r="S282" s="349">
        <f>IF($F282="","",'תחום תמיכה ב'!AE282)</f>
        <v>3083.3832497880558</v>
      </c>
      <c r="T282" s="349">
        <f>IF($F282="","",IF(Q282='תחום תמיכה ג'!$Q$2,'תחום תמיכה ג'!$Q$2,IFERROR(SUMIF(N282:R282,"&gt;0"),'תחום תמיכה ג'!$Q$2)))</f>
        <v>5811.2579506716647</v>
      </c>
      <c r="U282" s="349">
        <f>IF($F282="","",'הזנה לתנאי סף'!Y282)</f>
        <v>150000</v>
      </c>
      <c r="V282" s="350">
        <f>IF(F282="","",'הגבלה לסכום מבוקש '!AA282)</f>
        <v>6325.2042811525725</v>
      </c>
      <c r="W282" s="349">
        <f t="shared" si="13"/>
        <v>1581.3010702881431</v>
      </c>
      <c r="X282" s="349">
        <f>IF(F282="","",'הזנה לתנאי סף'!Z282)</f>
        <v>150000</v>
      </c>
      <c r="Y282" s="351" t="s">
        <v>3740</v>
      </c>
      <c r="Z282" s="352" t="str">
        <f>IFERROR(VLOOKUP(G282*1,#REF!,3,0),"")</f>
        <v/>
      </c>
      <c r="AA282" s="349" t="str">
        <f>IF(OR($F282="",Z282=""),"",IFERROR(IF(Z282&gt;V282,MIN(Z282,T282)-V282,0),'תחום תמיכה ג'!$Q$2))</f>
        <v/>
      </c>
      <c r="AB282" s="353"/>
      <c r="AC282" s="260" t="str">
        <f t="shared" si="15"/>
        <v/>
      </c>
      <c r="AD282" s="358"/>
      <c r="AE282" s="180"/>
      <c r="AF282" s="355" t="str">
        <f>IF($C282="","",IFERROR(VLOOKUP($C282,גיליון1!$A:$E,2,0),"לא הגיש בקשה שוטפת"))</f>
        <v>תמיכה שוטפת יוצר עצמאי אבי קייזר</v>
      </c>
      <c r="AG282" s="355" t="str">
        <f>IF($C282="","",IFERROR(VLOOKUP($C282,גיליון1!$A:$E,3,0),"לא הגיש בקשה שוטפת"))</f>
        <v>חויב</v>
      </c>
      <c r="AH282" s="355" t="str">
        <f>IF($C282="","",IFERROR(VLOOKUP($C282,גיליון1!$A:$E,4,0),"לא הגיש בקשה שוטפת"))</f>
        <v>19-42-02-20</v>
      </c>
      <c r="AI282" s="355" t="str">
        <f>IF($C282="","",IFERROR(VLOOKUP($C282,גיליון1!$A:$E,5,0),"לא הגיש בקשה שוטפת"))</f>
        <v>מחול וארגוני גג</v>
      </c>
      <c r="AJ282" s="355">
        <f t="shared" si="14"/>
        <v>0</v>
      </c>
      <c r="AK282" s="15"/>
      <c r="AL282" s="15" t="s">
        <v>250</v>
      </c>
    </row>
    <row r="283" spans="1:38" ht="285.75" x14ac:dyDescent="0.25">
      <c r="A283" s="346">
        <f>'הזנה לתנאי סף'!B283</f>
        <v>253</v>
      </c>
      <c r="B283" s="347">
        <f>IF($F283="","",'הזנה לתנאי סף'!C283)</f>
        <v>1001348120</v>
      </c>
      <c r="C283" s="347">
        <f>IF($F283="","",'הזנה לתנאי סף'!D283)</f>
        <v>1001276731</v>
      </c>
      <c r="D283" s="347">
        <f>IF($F283="","",'הזנה לתנאי סף'!E283)</f>
        <v>40000564</v>
      </c>
      <c r="E283" s="348">
        <f>IF($F283="","",'הזנה לתנאי סף'!F283)</f>
        <v>20000201</v>
      </c>
      <c r="F283" s="348" t="str">
        <f>IF('הזנה לתנאי סף'!BL283=1,'הזנה לתנאי סף'!G283,"")</f>
        <v>תל אביב -יפו</v>
      </c>
      <c r="G283" s="348" t="str">
        <f>IF($F283="","",'הזנה לתנאי סף'!H283)</f>
        <v>עמותת הכוריאוגרפים (ע"ר)</v>
      </c>
      <c r="H283" s="348" t="str">
        <f>IF($F283="","",'הזנה לתנאי סף'!I283)</f>
        <v>יוצרים עצמאיים במחול</v>
      </c>
      <c r="I283" s="349">
        <f>IF($F283="","",'הזנה לתנאי סף'!R283)</f>
        <v>90373</v>
      </c>
      <c r="J283" s="349">
        <f>IF($F283="","",'תחום תמיכה א'!P283)</f>
        <v>74882</v>
      </c>
      <c r="K283" s="177">
        <f>IF($F283="","",'הזנה לתנאי סף'!N283)</f>
        <v>0</v>
      </c>
      <c r="L283" s="177">
        <f>IF($F283="","",'הזנה לתנאי סף'!O283)</f>
        <v>1</v>
      </c>
      <c r="M283" s="177">
        <f>IF($F283="","",'הזנה לתנאי סף'!Q283)</f>
        <v>1</v>
      </c>
      <c r="N283" s="349">
        <f>IF($F283="","",'תחום תמיכה א'!AE283)</f>
        <v>2281.612821927436</v>
      </c>
      <c r="O283" s="178"/>
      <c r="P283" s="349">
        <f>IF($F283="","",'תחום תמיכה ב'!AC283)</f>
        <v>4785.4762423403236</v>
      </c>
      <c r="Q283" s="349">
        <f>IF($F283="","",IF('תחום תמיכה ג'!O283="",0,'תחום תמיכה ג'!O283))</f>
        <v>0</v>
      </c>
      <c r="R283" s="349">
        <f t="shared" si="12"/>
        <v>143.49275515374484</v>
      </c>
      <c r="S283" s="349">
        <f>IF($F283="","",'תחום תמיכה ב'!AE283)</f>
        <v>4928.9689974940684</v>
      </c>
      <c r="T283" s="349">
        <f>IF($F283="","",IF(Q283='תחום תמיכה ג'!$Q$2,'תחום תמיכה ג'!$Q$2,IFERROR(SUMIF(N283:R283,"&gt;0"),'תחום תמיכה ג'!$Q$2)))</f>
        <v>7210.5818194215044</v>
      </c>
      <c r="U283" s="349">
        <f>IF($F283="","",'הזנה לתנאי סף'!Y283)</f>
        <v>150000</v>
      </c>
      <c r="V283" s="350">
        <f>IF(F283="","",'הגבלה לסכום מבוקש '!AA283)</f>
        <v>8031.208528420244</v>
      </c>
      <c r="W283" s="349">
        <f t="shared" si="13"/>
        <v>2007.802132105061</v>
      </c>
      <c r="X283" s="349">
        <f>IF(F283="","",'הזנה לתנאי סף'!Z283)</f>
        <v>150000</v>
      </c>
      <c r="Y283" s="351" t="s">
        <v>3740</v>
      </c>
      <c r="Z283" s="352" t="str">
        <f>IFERROR(VLOOKUP(G283*1,#REF!,3,0),"")</f>
        <v/>
      </c>
      <c r="AA283" s="349" t="str">
        <f>IF(OR($F283="",Z283=""),"",IFERROR(IF(Z283&gt;V283,MIN(Z283,T283)-V283,0),'תחום תמיכה ג'!$Q$2))</f>
        <v/>
      </c>
      <c r="AB283" s="353"/>
      <c r="AC283" s="260" t="str">
        <f t="shared" si="15"/>
        <v/>
      </c>
      <c r="AD283" s="358"/>
      <c r="AE283" s="180"/>
      <c r="AF283" s="355" t="str">
        <f>IF($C283="","",IFERROR(VLOOKUP($C283,גיליון1!$A:$E,2,0),"לא הגיש בקשה שוטפת"))</f>
        <v>תמיכה שוטפת יוצרת עצמאית נטע פולבמכר</v>
      </c>
      <c r="AG283" s="355" t="str">
        <f>IF($C283="","",IFERROR(VLOOKUP($C283,גיליון1!$A:$E,3,0),"לא הגיש בקשה שוטפת"))</f>
        <v>חויב</v>
      </c>
      <c r="AH283" s="355" t="str">
        <f>IF($C283="","",IFERROR(VLOOKUP($C283,גיליון1!$A:$E,4,0),"לא הגיש בקשה שוטפת"))</f>
        <v>19-42-02-20</v>
      </c>
      <c r="AI283" s="355" t="str">
        <f>IF($C283="","",IFERROR(VLOOKUP($C283,גיליון1!$A:$E,5,0),"לא הגיש בקשה שוטפת"))</f>
        <v>מחול וארגוני גג</v>
      </c>
      <c r="AJ283" s="355">
        <f t="shared" si="14"/>
        <v>0</v>
      </c>
      <c r="AK283" s="15"/>
      <c r="AL283" s="15" t="s">
        <v>250</v>
      </c>
    </row>
    <row r="284" spans="1:38" ht="285.75" x14ac:dyDescent="0.25">
      <c r="A284" s="346">
        <f>'הזנה לתנאי סף'!B284</f>
        <v>254</v>
      </c>
      <c r="B284" s="347">
        <f>IF($F284="","",'הזנה לתנאי סף'!C284)</f>
        <v>1001348124</v>
      </c>
      <c r="C284" s="347">
        <f>IF($F284="","",'הזנה לתנאי סף'!D284)</f>
        <v>1001276699</v>
      </c>
      <c r="D284" s="347">
        <f>IF($F284="","",'הזנה לתנאי סף'!E284)</f>
        <v>40000564</v>
      </c>
      <c r="E284" s="348">
        <f>IF($F284="","",'הזנה לתנאי סף'!F284)</f>
        <v>20000201</v>
      </c>
      <c r="F284" s="348" t="str">
        <f>IF('הזנה לתנאי סף'!BL284=1,'הזנה לתנאי סף'!G284,"")</f>
        <v>תל אביב -יפו</v>
      </c>
      <c r="G284" s="348" t="str">
        <f>IF($F284="","",'הזנה לתנאי סף'!H284)</f>
        <v>עמותת הכוריאוגרפים (ע"ר)</v>
      </c>
      <c r="H284" s="348" t="str">
        <f>IF($F284="","",'הזנה לתנאי סף'!I284)</f>
        <v>יוצרים עצמאיים במחול</v>
      </c>
      <c r="I284" s="349">
        <f>IF($F284="","",'הזנה לתנאי סף'!R284)</f>
        <v>264047</v>
      </c>
      <c r="J284" s="349">
        <f>IF($F284="","",'תחום תמיכה א'!P284)</f>
        <v>268672</v>
      </c>
      <c r="K284" s="177">
        <f>IF($F284="","",'הזנה לתנאי סף'!N284)</f>
        <v>0</v>
      </c>
      <c r="L284" s="177">
        <f>IF($F284="","",'הזנה לתנאי סף'!O284)</f>
        <v>1</v>
      </c>
      <c r="M284" s="177">
        <f>IF($F284="","",'הזנה לתנאי סף'!Q284)</f>
        <v>1</v>
      </c>
      <c r="N284" s="349">
        <f>IF($F284="","",'תחום תמיכה א'!AE284)</f>
        <v>8922.4355714396497</v>
      </c>
      <c r="O284" s="178"/>
      <c r="P284" s="349">
        <f>IF($F284="","",'תחום תמיכה ב'!AC284)</f>
        <v>16609.658399523814</v>
      </c>
      <c r="Q284" s="349">
        <f>IF($F284="","",IF('תחום תמיכה ג'!O284="",0,'תחום תמיכה ג'!O284))</f>
        <v>0</v>
      </c>
      <c r="R284" s="349">
        <f t="shared" si="12"/>
        <v>498.04147491590993</v>
      </c>
      <c r="S284" s="349">
        <f>IF($F284="","",'תחום תמיכה ב'!AE284)</f>
        <v>17107.699874439724</v>
      </c>
      <c r="T284" s="349">
        <f>IF($F284="","",IF(Q284='תחום תמיכה ג'!$Q$2,'תחום תמיכה ג'!$Q$2,IFERROR(SUMIF(N284:R284,"&gt;0"),'תחום תמיכה ג'!$Q$2)))</f>
        <v>26030.135445879372</v>
      </c>
      <c r="U284" s="349">
        <f>IF($F284="","",'הזנה לתנאי סף'!Y284)</f>
        <v>150000</v>
      </c>
      <c r="V284" s="350">
        <f>IF(F284="","",'הגבלה לסכום מבוקש '!AA284)</f>
        <v>28878.862463952686</v>
      </c>
      <c r="W284" s="349">
        <f t="shared" si="13"/>
        <v>7219.7156159881715</v>
      </c>
      <c r="X284" s="349">
        <f>IF(F284="","",'הזנה לתנאי סף'!Z284)</f>
        <v>150000</v>
      </c>
      <c r="Y284" s="351" t="s">
        <v>3740</v>
      </c>
      <c r="Z284" s="352" t="str">
        <f>IFERROR(VLOOKUP(G284*1,#REF!,3,0),"")</f>
        <v/>
      </c>
      <c r="AA284" s="349" t="str">
        <f>IF(OR($F284="",Z284=""),"",IFERROR(IF(Z284&gt;V284,MIN(Z284,T284)-V284,0),'תחום תמיכה ג'!$Q$2))</f>
        <v/>
      </c>
      <c r="AB284" s="353"/>
      <c r="AC284" s="260" t="str">
        <f t="shared" si="15"/>
        <v/>
      </c>
      <c r="AD284" s="358"/>
      <c r="AE284" s="180"/>
      <c r="AF284" s="355" t="str">
        <f>IF($C284="","",IFERROR(VLOOKUP($C284,גיליון1!$A:$E,2,0),"לא הגיש בקשה שוטפת"))</f>
        <v>תמיכה שוטפת יוצרת עצמאית אלה רוטישלד</v>
      </c>
      <c r="AG284" s="355" t="str">
        <f>IF($C284="","",IFERROR(VLOOKUP($C284,גיליון1!$A:$E,3,0),"לא הגיש בקשה שוטפת"))</f>
        <v>חויב</v>
      </c>
      <c r="AH284" s="355" t="str">
        <f>IF($C284="","",IFERROR(VLOOKUP($C284,גיליון1!$A:$E,4,0),"לא הגיש בקשה שוטפת"))</f>
        <v>19-42-02-20</v>
      </c>
      <c r="AI284" s="355" t="str">
        <f>IF($C284="","",IFERROR(VLOOKUP($C284,גיליון1!$A:$E,5,0),"לא הגיש בקשה שוטפת"))</f>
        <v>מחול וארגוני גג</v>
      </c>
      <c r="AJ284" s="355">
        <f t="shared" si="14"/>
        <v>0</v>
      </c>
      <c r="AK284" s="15"/>
      <c r="AL284" s="15" t="s">
        <v>250</v>
      </c>
    </row>
    <row r="285" spans="1:38" ht="285.75" x14ac:dyDescent="0.25">
      <c r="A285" s="346">
        <f>'הזנה לתנאי סף'!B285</f>
        <v>255</v>
      </c>
      <c r="B285" s="347">
        <f>IF($F285="","",'הזנה לתנאי סף'!C285)</f>
        <v>1001348125</v>
      </c>
      <c r="C285" s="347">
        <f>IF($F285="","",'הזנה לתנאי סף'!D285)</f>
        <v>1001276698</v>
      </c>
      <c r="D285" s="347">
        <f>IF($F285="","",'הזנה לתנאי סף'!E285)</f>
        <v>40000564</v>
      </c>
      <c r="E285" s="348">
        <f>IF($F285="","",'הזנה לתנאי סף'!F285)</f>
        <v>20000201</v>
      </c>
      <c r="F285" s="348" t="str">
        <f>IF('הזנה לתנאי סף'!BL285=1,'הזנה לתנאי סף'!G285,"")</f>
        <v>תל אביב -יפו</v>
      </c>
      <c r="G285" s="348" t="str">
        <f>IF($F285="","",'הזנה לתנאי סף'!H285)</f>
        <v>עמותת הכוריאוגרפים (ע"ר)</v>
      </c>
      <c r="H285" s="348" t="str">
        <f>IF($F285="","",'הזנה לתנאי סף'!I285)</f>
        <v>יוצרים עצמאיים במחול</v>
      </c>
      <c r="I285" s="349">
        <f>IF($F285="","",'הזנה לתנאי סף'!R285)</f>
        <v>67768</v>
      </c>
      <c r="J285" s="349">
        <f>IF($F285="","",'תחום תמיכה א'!P285)</f>
        <v>73187</v>
      </c>
      <c r="K285" s="177">
        <f>IF($F285="","",'הזנה לתנאי סף'!N285)</f>
        <v>0</v>
      </c>
      <c r="L285" s="177">
        <f>IF($F285="","",'הזנה לתנאי סף'!O285)</f>
        <v>1</v>
      </c>
      <c r="M285" s="177">
        <f>IF($F285="","",'הזנה לתנאי סף'!Q285)</f>
        <v>1</v>
      </c>
      <c r="N285" s="349">
        <f>IF($F285="","",'תחום תמיכה א'!AE285)</f>
        <v>2489.0038949402774</v>
      </c>
      <c r="O285" s="178"/>
      <c r="P285" s="349">
        <f>IF($F285="","",'תחום תמיכה ב'!AC285)</f>
        <v>4470.5954183544281</v>
      </c>
      <c r="Q285" s="349">
        <f>IF($F285="","",IF('תחום תמיכה ג'!O285="",0,'תחום תמיכה ג'!O285))</f>
        <v>0</v>
      </c>
      <c r="R285" s="349">
        <f t="shared" si="12"/>
        <v>134.05103719492399</v>
      </c>
      <c r="S285" s="349">
        <f>IF($F285="","",'תחום תמיכה ב'!AE285)</f>
        <v>4604.6464555493521</v>
      </c>
      <c r="T285" s="349">
        <f>IF($F285="","",IF(Q285='תחום תמיכה ג'!$Q$2,'תחום תמיכה ג'!$Q$2,IFERROR(SUMIF(N285:R285,"&gt;0"),'תחום תמיכה ג'!$Q$2)))</f>
        <v>7093.65035048963</v>
      </c>
      <c r="U285" s="349">
        <f>IF($F285="","",'הזנה לתנאי סף'!Y285)</f>
        <v>150000</v>
      </c>
      <c r="V285" s="350">
        <f>IF(F285="","",'הגבלה לסכום מבוקש '!AA285)</f>
        <v>7860.4432124947161</v>
      </c>
      <c r="W285" s="349">
        <f t="shared" si="13"/>
        <v>1965.110803123679</v>
      </c>
      <c r="X285" s="349">
        <f>IF(F285="","",'הזנה לתנאי סף'!Z285)</f>
        <v>150000</v>
      </c>
      <c r="Y285" s="351" t="s">
        <v>3740</v>
      </c>
      <c r="Z285" s="352" t="str">
        <f>IFERROR(VLOOKUP(G285*1,#REF!,3,0),"")</f>
        <v/>
      </c>
      <c r="AA285" s="349" t="str">
        <f>IF(OR($F285="",Z285=""),"",IFERROR(IF(Z285&gt;V285,MIN(Z285,T285)-V285,0),'תחום תמיכה ג'!$Q$2))</f>
        <v/>
      </c>
      <c r="AB285" s="353"/>
      <c r="AC285" s="260" t="str">
        <f t="shared" si="15"/>
        <v/>
      </c>
      <c r="AD285" s="358"/>
      <c r="AE285" s="180"/>
      <c r="AF285" s="355" t="str">
        <f>IF($C285="","",IFERROR(VLOOKUP($C285,גיליון1!$A:$E,2,0),"לא הגיש בקשה שוטפת"))</f>
        <v>תמיכה שוטפת יוצרת עצמאית אביגיל רובין</v>
      </c>
      <c r="AG285" s="355" t="str">
        <f>IF($C285="","",IFERROR(VLOOKUP($C285,גיליון1!$A:$E,3,0),"לא הגיש בקשה שוטפת"))</f>
        <v>חויב</v>
      </c>
      <c r="AH285" s="355" t="str">
        <f>IF($C285="","",IFERROR(VLOOKUP($C285,גיליון1!$A:$E,4,0),"לא הגיש בקשה שוטפת"))</f>
        <v>19-42-02-20</v>
      </c>
      <c r="AI285" s="355" t="str">
        <f>IF($C285="","",IFERROR(VLOOKUP($C285,גיליון1!$A:$E,5,0),"לא הגיש בקשה שוטפת"))</f>
        <v>מחול וארגוני גג</v>
      </c>
      <c r="AJ285" s="355">
        <f t="shared" si="14"/>
        <v>0</v>
      </c>
      <c r="AK285" s="15"/>
      <c r="AL285" s="15" t="s">
        <v>250</v>
      </c>
    </row>
    <row r="286" spans="1:38" ht="285.75" x14ac:dyDescent="0.25">
      <c r="A286" s="346">
        <f>'הזנה לתנאי סף'!B286</f>
        <v>256</v>
      </c>
      <c r="B286" s="347">
        <f>IF($F286="","",'הזנה לתנאי סף'!C286)</f>
        <v>1001348128</v>
      </c>
      <c r="C286" s="347">
        <f>IF($F286="","",'הזנה לתנאי סף'!D286)</f>
        <v>1001273596</v>
      </c>
      <c r="D286" s="347">
        <f>IF($F286="","",'הזנה לתנאי סף'!E286)</f>
        <v>40000564</v>
      </c>
      <c r="E286" s="348">
        <f>IF($F286="","",'הזנה לתנאי סף'!F286)</f>
        <v>20000201</v>
      </c>
      <c r="F286" s="348" t="str">
        <f>IF('הזנה לתנאי סף'!BL286=1,'הזנה לתנאי סף'!G286,"")</f>
        <v>תל אביב -יפו</v>
      </c>
      <c r="G286" s="348" t="str">
        <f>IF($F286="","",'הזנה לתנאי סף'!H286)</f>
        <v>עמותת הכוריאוגרפים (ע"ר)</v>
      </c>
      <c r="H286" s="348" t="str">
        <f>IF($F286="","",'הזנה לתנאי סף'!I286)</f>
        <v>יוצרים עצמאיים במחול</v>
      </c>
      <c r="I286" s="349">
        <f>IF($F286="","",'הזנה לתנאי סף'!R286)</f>
        <v>114212</v>
      </c>
      <c r="J286" s="349">
        <f>IF($F286="","",'תחום תמיכה א'!P286)</f>
        <v>136264</v>
      </c>
      <c r="K286" s="177">
        <f>IF($F286="","",'הזנה לתנאי סף'!N286)</f>
        <v>0</v>
      </c>
      <c r="L286" s="177">
        <f>IF($F286="","",'הזנה לתנאי סף'!O286)</f>
        <v>1</v>
      </c>
      <c r="M286" s="177">
        <f>IF($F286="","",'הזנה לתנאי סף'!Q286)</f>
        <v>1</v>
      </c>
      <c r="N286" s="349">
        <f>IF($F286="","",'תחום תמיכה א'!AE286)</f>
        <v>3590.441824633529</v>
      </c>
      <c r="O286" s="178"/>
      <c r="P286" s="349">
        <f>IF($F286="","",'תחום תמיכה ב'!AC286)</f>
        <v>4522.7511924963164</v>
      </c>
      <c r="Q286" s="349">
        <f>IF($F286="","",IF('תחום תמיכה ג'!O286="",0,'תחום תמיכה ג'!O286))</f>
        <v>0</v>
      </c>
      <c r="R286" s="349">
        <f t="shared" si="12"/>
        <v>135.61493080755554</v>
      </c>
      <c r="S286" s="349">
        <f>IF($F286="","",'תחום תמיכה ב'!AE286)</f>
        <v>4658.366123303872</v>
      </c>
      <c r="T286" s="349">
        <f>IF($F286="","",IF(Q286='תחום תמיכה ג'!$Q$2,'תחום תמיכה ג'!$Q$2,IFERROR(SUMIF(N286:R286,"&gt;0"),'תחום תמיכה ג'!$Q$2)))</f>
        <v>8248.807947937401</v>
      </c>
      <c r="U286" s="349">
        <f>IF($F286="","",'הזנה לתנאי סף'!Y286)</f>
        <v>150000</v>
      </c>
      <c r="V286" s="350">
        <f>IF(F286="","",'הגבלה לסכום מבוקש '!AA286)</f>
        <v>9025.0348177113519</v>
      </c>
      <c r="W286" s="349">
        <f t="shared" si="13"/>
        <v>2256.258704427838</v>
      </c>
      <c r="X286" s="349">
        <f>IF(F286="","",'הזנה לתנאי סף'!Z286)</f>
        <v>150000</v>
      </c>
      <c r="Y286" s="351" t="s">
        <v>3740</v>
      </c>
      <c r="Z286" s="352" t="str">
        <f>IFERROR(VLOOKUP(G286*1,#REF!,3,0),"")</f>
        <v/>
      </c>
      <c r="AA286" s="349" t="str">
        <f>IF(OR($F286="",Z286=""),"",IFERROR(IF(Z286&gt;V286,MIN(Z286,T286)-V286,0),'תחום תמיכה ג'!$Q$2))</f>
        <v/>
      </c>
      <c r="AB286" s="353"/>
      <c r="AC286" s="260" t="str">
        <f t="shared" si="15"/>
        <v/>
      </c>
      <c r="AD286" s="358"/>
      <c r="AE286" s="180"/>
      <c r="AF286" s="355" t="str">
        <f>IF($C286="","",IFERROR(VLOOKUP($C286,גיליון1!$A:$E,2,0),"לא הגיש בקשה שוטפת"))</f>
        <v>תמיכה שוטפת יוצרת עצמאית מעיין ליבמן</v>
      </c>
      <c r="AG286" s="355" t="str">
        <f>IF($C286="","",IFERROR(VLOOKUP($C286,גיליון1!$A:$E,3,0),"לא הגיש בקשה שוטפת"))</f>
        <v>חויב</v>
      </c>
      <c r="AH286" s="355" t="str">
        <f>IF($C286="","",IFERROR(VLOOKUP($C286,גיליון1!$A:$E,4,0),"לא הגיש בקשה שוטפת"))</f>
        <v>19-42-02-20</v>
      </c>
      <c r="AI286" s="355" t="str">
        <f>IF($C286="","",IFERROR(VLOOKUP($C286,גיליון1!$A:$E,5,0),"לא הגיש בקשה שוטפת"))</f>
        <v>מחול וארגוני גג</v>
      </c>
      <c r="AJ286" s="355">
        <f t="shared" si="14"/>
        <v>0</v>
      </c>
      <c r="AK286" s="15"/>
      <c r="AL286" s="15" t="s">
        <v>250</v>
      </c>
    </row>
    <row r="287" spans="1:38" ht="285.75" x14ac:dyDescent="0.25">
      <c r="A287" s="346">
        <f>'הזנה לתנאי סף'!B287</f>
        <v>257</v>
      </c>
      <c r="B287" s="347">
        <f>IF($F287="","",'הזנה לתנאי סף'!C287)</f>
        <v>1001348129</v>
      </c>
      <c r="C287" s="347">
        <f>IF($F287="","",'הזנה לתנאי סף'!D287)</f>
        <v>1001276685</v>
      </c>
      <c r="D287" s="347">
        <f>IF($F287="","",'הזנה לתנאי סף'!E287)</f>
        <v>40000564</v>
      </c>
      <c r="E287" s="348">
        <f>IF($F287="","",'הזנה לתנאי סף'!F287)</f>
        <v>20000201</v>
      </c>
      <c r="F287" s="348" t="str">
        <f>IF('הזנה לתנאי סף'!BL287=1,'הזנה לתנאי סף'!G287,"")</f>
        <v>תל אביב -יפו</v>
      </c>
      <c r="G287" s="348" t="str">
        <f>IF($F287="","",'הזנה לתנאי סף'!H287)</f>
        <v>עמותת הכוריאוגרפים (ע"ר)</v>
      </c>
      <c r="H287" s="348" t="str">
        <f>IF($F287="","",'הזנה לתנאי סף'!I287)</f>
        <v>יוצרים עצמאיים במחול</v>
      </c>
      <c r="I287" s="349">
        <f>IF($F287="","",'הזנה לתנאי סף'!R287)</f>
        <v>165009</v>
      </c>
      <c r="J287" s="349">
        <f>IF($F287="","",'תחום תמיכה א'!P287)</f>
        <v>145530</v>
      </c>
      <c r="K287" s="177">
        <f>IF($F287="","",'הזנה לתנאי סף'!N287)</f>
        <v>0</v>
      </c>
      <c r="L287" s="177">
        <f>IF($F287="","",'הזנה לתנאי סף'!O287)</f>
        <v>1</v>
      </c>
      <c r="M287" s="177">
        <f>IF($F287="","",'הזנה לתנאי סף'!Q287)</f>
        <v>1</v>
      </c>
      <c r="N287" s="349">
        <f>IF($F287="","",'תחום תמיכה א'!AE287)</f>
        <v>5544.7519284437258</v>
      </c>
      <c r="O287" s="178"/>
      <c r="P287" s="349">
        <f>IF($F287="","",'תחום תמיכה ב'!AC287)</f>
        <v>11880.41224515192</v>
      </c>
      <c r="Q287" s="349">
        <f>IF($F287="","",IF('תחום תמיכה ג'!O287="",0,'תחום תמיכה ג'!O287))</f>
        <v>0</v>
      </c>
      <c r="R287" s="349">
        <f t="shared" si="12"/>
        <v>356.23478188775516</v>
      </c>
      <c r="S287" s="349">
        <f>IF($F287="","",'תחום תמיכה ב'!AE287)</f>
        <v>12236.647027039675</v>
      </c>
      <c r="T287" s="349">
        <f>IF($F287="","",IF(Q287='תחום תמיכה ג'!$Q$2,'תחום תמיכה ג'!$Q$2,IFERROR(SUMIF(N287:R287,"&gt;0"),'תחום תמיכה ג'!$Q$2)))</f>
        <v>17781.398955483397</v>
      </c>
      <c r="U287" s="349">
        <f>IF($F287="","",'הזנה לתנאי סף'!Y287)</f>
        <v>150000</v>
      </c>
      <c r="V287" s="350">
        <f>IF(F287="","",'הגבלה לסכום מבוקש '!AA287)</f>
        <v>19818.63047867249</v>
      </c>
      <c r="W287" s="349">
        <f t="shared" si="13"/>
        <v>4954.6576196681226</v>
      </c>
      <c r="X287" s="349">
        <f>IF(F287="","",'הזנה לתנאי סף'!Z287)</f>
        <v>150000</v>
      </c>
      <c r="Y287" s="351" t="s">
        <v>3740</v>
      </c>
      <c r="Z287" s="352" t="str">
        <f>IFERROR(VLOOKUP(G287*1,#REF!,3,0),"")</f>
        <v/>
      </c>
      <c r="AA287" s="349" t="str">
        <f>IF(OR($F287="",Z287=""),"",IFERROR(IF(Z287&gt;V287,MIN(Z287,T287)-V287,0),'תחום תמיכה ג'!$Q$2))</f>
        <v/>
      </c>
      <c r="AB287" s="353"/>
      <c r="AC287" s="260" t="str">
        <f t="shared" si="15"/>
        <v/>
      </c>
      <c r="AD287" s="358"/>
      <c r="AE287" s="180"/>
      <c r="AF287" s="355" t="str">
        <f>IF($C287="","",IFERROR(VLOOKUP($C287,גיליון1!$A:$E,2,0),"לא הגיש בקשה שוטפת"))</f>
        <v>תמיכה שוטפת פסטיבל ריקוד חדר</v>
      </c>
      <c r="AG287" s="355" t="str">
        <f>IF($C287="","",IFERROR(VLOOKUP($C287,גיליון1!$A:$E,3,0),"לא הגיש בקשה שוטפת"))</f>
        <v>מועד</v>
      </c>
      <c r="AH287" s="355" t="str">
        <f>IF($C287="","",IFERROR(VLOOKUP($C287,גיליון1!$A:$E,4,0),"לא הגיש בקשה שוטפת"))</f>
        <v>19-42-02-26</v>
      </c>
      <c r="AI287" s="355" t="str">
        <f>IF($C287="","",IFERROR(VLOOKUP($C287,גיליון1!$A:$E,5,0),"לא הגיש בקשה שוטפת"))</f>
        <v>פסטיבלים לתרבות</v>
      </c>
      <c r="AJ287" s="355">
        <f t="shared" si="14"/>
        <v>0</v>
      </c>
      <c r="AK287" s="15"/>
      <c r="AL287" s="15" t="s">
        <v>250</v>
      </c>
    </row>
    <row r="288" spans="1:38" ht="285.75" x14ac:dyDescent="0.25">
      <c r="A288" s="346">
        <f>'הזנה לתנאי סף'!B288</f>
        <v>258</v>
      </c>
      <c r="B288" s="347">
        <f>IF($F288="","",'הזנה לתנאי סף'!C288)</f>
        <v>1001348132</v>
      </c>
      <c r="C288" s="347">
        <f>IF($F288="","",'הזנה לתנאי סף'!D288)</f>
        <v>1001276680</v>
      </c>
      <c r="D288" s="347">
        <f>IF($F288="","",'הזנה לתנאי סף'!E288)</f>
        <v>40000564</v>
      </c>
      <c r="E288" s="348">
        <f>IF($F288="","",'הזנה לתנאי סף'!F288)</f>
        <v>20000201</v>
      </c>
      <c r="F288" s="348" t="str">
        <f>IF('הזנה לתנאי סף'!BL288=1,'הזנה לתנאי סף'!G288,"")</f>
        <v>תל אביב -יפו</v>
      </c>
      <c r="G288" s="348" t="str">
        <f>IF($F288="","",'הזנה לתנאי סף'!H288)</f>
        <v>עמותת הכוריאוגרפים (ע"ר)</v>
      </c>
      <c r="H288" s="348" t="str">
        <f>IF($F288="","",'הזנה לתנאי סף'!I288)</f>
        <v>יוצרים עצמאיים במחול</v>
      </c>
      <c r="I288" s="349">
        <f>IF($F288="","",'הזנה לתנאי סף'!R288)</f>
        <v>227699</v>
      </c>
      <c r="J288" s="349">
        <f>IF($F288="","",'תחום תמיכה א'!P288)</f>
        <v>178318</v>
      </c>
      <c r="K288" s="177">
        <f>IF($F288="","",'הזנה לתנאי סף'!N288)</f>
        <v>0</v>
      </c>
      <c r="L288" s="177">
        <f>IF($F288="","",'הזנה לתנאי סף'!O288)</f>
        <v>1</v>
      </c>
      <c r="M288" s="177">
        <f>IF($F288="","",'הזנה לתנאי סף'!Q288)</f>
        <v>1</v>
      </c>
      <c r="N288" s="349">
        <f>IF($F288="","",'תחום תמיכה א'!AE288)</f>
        <v>5901.3657105282446</v>
      </c>
      <c r="O288" s="178"/>
      <c r="P288" s="349">
        <f>IF($F288="","",'תחום תמיכה ב'!AC288)</f>
        <v>14224.376877696097</v>
      </c>
      <c r="Q288" s="349">
        <f>IF($F288="","",IF('תחום תמיכה ג'!O288="",0,'תחום תמיכה ג'!O288))</f>
        <v>0</v>
      </c>
      <c r="R288" s="349">
        <f t="shared" ref="R288:R351" si="16">IF($F288="","",IFERROR(S288-P288,""))</f>
        <v>426.51868385990383</v>
      </c>
      <c r="S288" s="349">
        <f>IF($F288="","",'תחום תמיכה ב'!AE288)</f>
        <v>14650.895561556001</v>
      </c>
      <c r="T288" s="349">
        <f>IF($F288="","",IF(Q288='תחום תמיכה ג'!$Q$2,'תחום תמיכה ג'!$Q$2,IFERROR(SUMIF(N288:R288,"&gt;0"),'תחום תמיכה ג'!$Q$2)))</f>
        <v>20552.261272084244</v>
      </c>
      <c r="U288" s="349">
        <f>IF($F288="","",'הזנה לתנאי סף'!Y288)</f>
        <v>150000</v>
      </c>
      <c r="V288" s="350">
        <f>IF(F288="","",'הגבלה לסכום מבוקש '!AA288)</f>
        <v>22991.09586158807</v>
      </c>
      <c r="W288" s="349">
        <f t="shared" ref="W288:W351" si="17">IF(G288="","",V288/4)</f>
        <v>5747.7739653970175</v>
      </c>
      <c r="X288" s="349">
        <f>IF(F288="","",'הזנה לתנאי סף'!Z288)</f>
        <v>150000</v>
      </c>
      <c r="Y288" s="351" t="s">
        <v>3740</v>
      </c>
      <c r="Z288" s="352" t="str">
        <f>IFERROR(VLOOKUP(G288*1,#REF!,3,0),"")</f>
        <v/>
      </c>
      <c r="AA288" s="349" t="str">
        <f>IF(OR($F288="",Z288=""),"",IFERROR(IF(Z288&gt;V288,MIN(Z288,T288)-V288,0),'תחום תמיכה ג'!$Q$2))</f>
        <v/>
      </c>
      <c r="AB288" s="353"/>
      <c r="AC288" s="260" t="str">
        <f t="shared" si="15"/>
        <v/>
      </c>
      <c r="AD288" s="358"/>
      <c r="AE288" s="180"/>
      <c r="AF288" s="355" t="str">
        <f>IF($C288="","",IFERROR(VLOOKUP($C288,גיליון1!$A:$E,2,0),"לא הגיש בקשה שוטפת"))</f>
        <v>תמיכה שוטפת מיכאל גטמן</v>
      </c>
      <c r="AG288" s="355" t="str">
        <f>IF($C288="","",IFERROR(VLOOKUP($C288,גיליון1!$A:$E,3,0),"לא הגיש בקשה שוטפת"))</f>
        <v>חויב</v>
      </c>
      <c r="AH288" s="355" t="str">
        <f>IF($C288="","",IFERROR(VLOOKUP($C288,גיליון1!$A:$E,4,0),"לא הגיש בקשה שוטפת"))</f>
        <v>19-42-02-20</v>
      </c>
      <c r="AI288" s="355" t="str">
        <f>IF($C288="","",IFERROR(VLOOKUP($C288,גיליון1!$A:$E,5,0),"לא הגיש בקשה שוטפת"))</f>
        <v>מחול וארגוני גג</v>
      </c>
      <c r="AJ288" s="355">
        <f t="shared" ref="AJ288:AJ351" si="18">IF(T288&gt;U288,1,0)</f>
        <v>0</v>
      </c>
      <c r="AK288" s="15"/>
      <c r="AL288" s="15" t="s">
        <v>250</v>
      </c>
    </row>
    <row r="289" spans="1:38" ht="285.75" x14ac:dyDescent="0.25">
      <c r="A289" s="346">
        <f>'הזנה לתנאי סף'!B289</f>
        <v>259</v>
      </c>
      <c r="B289" s="347">
        <f>IF($F289="","",'הזנה לתנאי סף'!C289)</f>
        <v>1001348134</v>
      </c>
      <c r="C289" s="347">
        <f>IF($F289="","",'הזנה לתנאי סף'!D289)</f>
        <v>1001276630</v>
      </c>
      <c r="D289" s="347">
        <f>IF($F289="","",'הזנה לתנאי סף'!E289)</f>
        <v>40000564</v>
      </c>
      <c r="E289" s="348">
        <f>IF($F289="","",'הזנה לתנאי סף'!F289)</f>
        <v>20000201</v>
      </c>
      <c r="F289" s="348" t="str">
        <f>IF('הזנה לתנאי סף'!BL289=1,'הזנה לתנאי סף'!G289,"")</f>
        <v>תל אביב -יפו</v>
      </c>
      <c r="G289" s="348" t="str">
        <f>IF($F289="","",'הזנה לתנאי סף'!H289)</f>
        <v>עמותת הכוריאוגרפים (ע"ר)</v>
      </c>
      <c r="H289" s="348" t="str">
        <f>IF($F289="","",'הזנה לתנאי סף'!I289)</f>
        <v>יוצרים עצמאיים במחול</v>
      </c>
      <c r="I289" s="349">
        <f>IF($F289="","",'הזנה לתנאי סף'!R289)</f>
        <v>167379</v>
      </c>
      <c r="J289" s="349">
        <f>IF($F289="","",'תחום תמיכה א'!P289)</f>
        <v>133053</v>
      </c>
      <c r="K289" s="177">
        <f>IF($F289="","",'הזנה לתנאי סף'!N289)</f>
        <v>0</v>
      </c>
      <c r="L289" s="177">
        <f>IF($F289="","",'הזנה לתנאי סף'!O289)</f>
        <v>1</v>
      </c>
      <c r="M289" s="177">
        <f>IF($F289="","",'הזנה לתנאי סף'!Q289)</f>
        <v>1</v>
      </c>
      <c r="N289" s="349">
        <f>IF($F289="","",'תחום תמיכה א'!AE289)</f>
        <v>7273.2759908772605</v>
      </c>
      <c r="O289" s="178"/>
      <c r="P289" s="349">
        <f>IF($F289="","",'תחום תמיכה ב'!AC289)</f>
        <v>28527.860352875032</v>
      </c>
      <c r="Q289" s="349">
        <f>IF($F289="","",IF('תחום תמיכה ג'!O289="",0,'תחום תמיכה ג'!O289))</f>
        <v>0</v>
      </c>
      <c r="R289" s="349">
        <f t="shared" si="16"/>
        <v>855.40938317841938</v>
      </c>
      <c r="S289" s="349">
        <f>IF($F289="","",'תחום תמיכה ב'!AE289)</f>
        <v>29383.269736053451</v>
      </c>
      <c r="T289" s="349">
        <f>IF($F289="","",IF(Q289='תחום תמיכה ג'!$Q$2,'תחום תמיכה ג'!$Q$2,IFERROR(SUMIF(N289:R289,"&gt;0"),'תחום תמיכה ג'!$Q$2)))</f>
        <v>36656.545726930715</v>
      </c>
      <c r="U289" s="349">
        <f>IF($F289="","",'הזנה לתנאי סף'!Y289)</f>
        <v>150000</v>
      </c>
      <c r="V289" s="350">
        <f>IF(F289="","",'הגבלה לסכום מבוקש '!AA289)</f>
        <v>41545.700770261414</v>
      </c>
      <c r="W289" s="349">
        <f t="shared" si="17"/>
        <v>10386.425192565353</v>
      </c>
      <c r="X289" s="349">
        <f>IF(F289="","",'הזנה לתנאי סף'!Z289)</f>
        <v>150000</v>
      </c>
      <c r="Y289" s="351" t="s">
        <v>3740</v>
      </c>
      <c r="Z289" s="352" t="str">
        <f>IFERROR(VLOOKUP(G289*1,#REF!,3,0),"")</f>
        <v/>
      </c>
      <c r="AA289" s="349" t="str">
        <f>IF(OR($F289="",Z289=""),"",IFERROR(IF(Z289&gt;V289,MIN(Z289,T289)-V289,0),'תחום תמיכה ג'!$Q$2))</f>
        <v/>
      </c>
      <c r="AB289" s="353"/>
      <c r="AC289" s="260" t="str">
        <f t="shared" ref="AC289:AC352" si="19">AA289</f>
        <v/>
      </c>
      <c r="AD289" s="358"/>
      <c r="AE289" s="180"/>
      <c r="AF289" s="355" t="str">
        <f>IF($C289="","",IFERROR(VLOOKUP($C289,גיליון1!$A:$E,2,0),"לא הגיש בקשה שוטפת"))</f>
        <v>לא הגיש בקשה שוטפת</v>
      </c>
      <c r="AG289" s="355" t="str">
        <f>IF($C289="","",IFERROR(VLOOKUP($C289,גיליון1!$A:$E,3,0),"לא הגיש בקשה שוטפת"))</f>
        <v>לא הגיש בקשה שוטפת</v>
      </c>
      <c r="AH289" s="355" t="str">
        <f>IF($C289="","",IFERROR(VLOOKUP($C289,גיליון1!$A:$E,4,0),"לא הגיש בקשה שוטפת"))</f>
        <v>לא הגיש בקשה שוטפת</v>
      </c>
      <c r="AI289" s="355" t="str">
        <f>IF($C289="","",IFERROR(VLOOKUP($C289,גיליון1!$A:$E,5,0),"לא הגיש בקשה שוטפת"))</f>
        <v>לא הגיש בקשה שוטפת</v>
      </c>
      <c r="AJ289" s="355">
        <f t="shared" si="18"/>
        <v>0</v>
      </c>
      <c r="AK289" s="15"/>
      <c r="AL289" s="15" t="s">
        <v>250</v>
      </c>
    </row>
    <row r="290" spans="1:38" ht="285.75" x14ac:dyDescent="0.25">
      <c r="A290" s="346">
        <f>'הזנה לתנאי סף'!B290</f>
        <v>260</v>
      </c>
      <c r="B290" s="347">
        <f>IF($F290="","",'הזנה לתנאי סף'!C290)</f>
        <v>1001348135</v>
      </c>
      <c r="C290" s="347">
        <f>IF($F290="","",'הזנה לתנאי סף'!D290)</f>
        <v>1001275688</v>
      </c>
      <c r="D290" s="347">
        <f>IF($F290="","",'הזנה לתנאי סף'!E290)</f>
        <v>40000564</v>
      </c>
      <c r="E290" s="348">
        <f>IF($F290="","",'הזנה לתנאי סף'!F290)</f>
        <v>20000201</v>
      </c>
      <c r="F290" s="348" t="str">
        <f>IF('הזנה לתנאי סף'!BL290=1,'הזנה לתנאי סף'!G290,"")</f>
        <v>תל אביב -יפו</v>
      </c>
      <c r="G290" s="348" t="str">
        <f>IF($F290="","",'הזנה לתנאי סף'!H290)</f>
        <v>עמותת הכוריאוגרפים (ע"ר)</v>
      </c>
      <c r="H290" s="348" t="str">
        <f>IF($F290="","",'הזנה לתנאי סף'!I290)</f>
        <v>יוצרים עצמאיים במחול</v>
      </c>
      <c r="I290" s="349">
        <f>IF($F290="","",'הזנה לתנאי סף'!R290)</f>
        <v>231235</v>
      </c>
      <c r="J290" s="349">
        <f>IF($F290="","",'תחום תמיכה א'!P290)</f>
        <v>217645</v>
      </c>
      <c r="K290" s="177">
        <f>IF($F290="","",'הזנה לתנאי סף'!N290)</f>
        <v>0</v>
      </c>
      <c r="L290" s="177">
        <f>IF($F290="","",'הזנה לתנאי סף'!O290)</f>
        <v>1</v>
      </c>
      <c r="M290" s="177">
        <f>IF($F290="","",'הזנה לתנאי סף'!Q290)</f>
        <v>1</v>
      </c>
      <c r="N290" s="349">
        <f>IF($F290="","",'תחום תמיכה א'!AE290)</f>
        <v>4346.904802373635</v>
      </c>
      <c r="O290" s="178"/>
      <c r="P290" s="349">
        <f>IF($F290="","",'תחום תמיכה ב'!AC290)</f>
        <v>5261.0675480654127</v>
      </c>
      <c r="Q290" s="349">
        <f>IF($F290="","",IF('תחום תמיכה ג'!O290="",0,'תחום תמיכה ג'!O290))</f>
        <v>0</v>
      </c>
      <c r="R290" s="349">
        <f t="shared" si="16"/>
        <v>157.75338530416957</v>
      </c>
      <c r="S290" s="349">
        <f>IF($F290="","",'תחום תמיכה ב'!AE290)</f>
        <v>5418.8209333695822</v>
      </c>
      <c r="T290" s="349">
        <f>IF($F290="","",IF(Q290='תחום תמיכה ג'!$Q$2,'תחום תמיכה ג'!$Q$2,IFERROR(SUMIF(N290:R290,"&gt;0"),'תחום תמיכה ג'!$Q$2)))</f>
        <v>9765.7257357432172</v>
      </c>
      <c r="U290" s="349">
        <f>IF($F290="","",'הזנה לתנאי סף'!Y290)</f>
        <v>150000</v>
      </c>
      <c r="V290" s="350">
        <f>IF(F290="","",'הגבלה לסכום מבוקש '!AA290)</f>
        <v>10668.745293876465</v>
      </c>
      <c r="W290" s="349">
        <f t="shared" si="17"/>
        <v>2667.1863234691164</v>
      </c>
      <c r="X290" s="349">
        <f>IF(F290="","",'הזנה לתנאי סף'!Z290)</f>
        <v>150000</v>
      </c>
      <c r="Y290" s="351" t="s">
        <v>3740</v>
      </c>
      <c r="Z290" s="352" t="str">
        <f>IFERROR(VLOOKUP(G290*1,#REF!,3,0),"")</f>
        <v/>
      </c>
      <c r="AA290" s="349" t="str">
        <f>IF(OR($F290="",Z290=""),"",IFERROR(IF(Z290&gt;V290,MIN(Z290,T290)-V290,0),'תחום תמיכה ג'!$Q$2))</f>
        <v/>
      </c>
      <c r="AB290" s="353"/>
      <c r="AC290" s="260" t="str">
        <f t="shared" si="19"/>
        <v/>
      </c>
      <c r="AD290" s="358"/>
      <c r="AE290" s="180"/>
      <c r="AF290" s="355" t="str">
        <f>IF($C290="","",IFERROR(VLOOKUP($C290,גיליון1!$A:$E,2,0),"לא הגיש בקשה שוטפת"))</f>
        <v>תמיכה שוטפת יוצרת עצמאית תמר בורר</v>
      </c>
      <c r="AG290" s="355" t="str">
        <f>IF($C290="","",IFERROR(VLOOKUP($C290,גיליון1!$A:$E,3,0),"לא הגיש בקשה שוטפת"))</f>
        <v>חויב</v>
      </c>
      <c r="AH290" s="355" t="str">
        <f>IF($C290="","",IFERROR(VLOOKUP($C290,גיליון1!$A:$E,4,0),"לא הגיש בקשה שוטפת"))</f>
        <v>19-42-02-20</v>
      </c>
      <c r="AI290" s="355" t="str">
        <f>IF($C290="","",IFERROR(VLOOKUP($C290,גיליון1!$A:$E,5,0),"לא הגיש בקשה שוטפת"))</f>
        <v>מחול וארגוני גג</v>
      </c>
      <c r="AJ290" s="355">
        <f t="shared" si="18"/>
        <v>0</v>
      </c>
      <c r="AK290" s="15"/>
      <c r="AL290" s="15" t="s">
        <v>250</v>
      </c>
    </row>
    <row r="291" spans="1:38" ht="285.75" x14ac:dyDescent="0.25">
      <c r="A291" s="346">
        <f>'הזנה לתנאי סף'!B291</f>
        <v>261</v>
      </c>
      <c r="B291" s="347">
        <f>IF($F291="","",'הזנה לתנאי סף'!C291)</f>
        <v>1001348136</v>
      </c>
      <c r="C291" s="347">
        <f>IF($F291="","",'הזנה לתנאי סף'!D291)</f>
        <v>1001275686</v>
      </c>
      <c r="D291" s="347">
        <f>IF($F291="","",'הזנה לתנאי סף'!E291)</f>
        <v>40000564</v>
      </c>
      <c r="E291" s="348">
        <f>IF($F291="","",'הזנה לתנאי סף'!F291)</f>
        <v>20000201</v>
      </c>
      <c r="F291" s="348" t="str">
        <f>IF('הזנה לתנאי סף'!BL291=1,'הזנה לתנאי סף'!G291,"")</f>
        <v>תל אביב -יפו</v>
      </c>
      <c r="G291" s="348" t="str">
        <f>IF($F291="","",'הזנה לתנאי סף'!H291)</f>
        <v>עמותת הכוריאוגרפים (ע"ר)</v>
      </c>
      <c r="H291" s="348" t="str">
        <f>IF($F291="","",'הזנה לתנאי סף'!I291)</f>
        <v>יוצרים עצמאיים במחול</v>
      </c>
      <c r="I291" s="349">
        <f>IF($F291="","",'הזנה לתנאי סף'!R291)</f>
        <v>76434</v>
      </c>
      <c r="J291" s="349">
        <f>IF($F291="","",'תחום תמיכה א'!P291)</f>
        <v>68568</v>
      </c>
      <c r="K291" s="177">
        <f>IF($F291="","",'הזנה לתנאי סף'!N291)</f>
        <v>0</v>
      </c>
      <c r="L291" s="177">
        <f>IF($F291="","",'הזנה לתנאי סף'!O291)</f>
        <v>1</v>
      </c>
      <c r="M291" s="177">
        <f>IF($F291="","",'הזנה לתנאי סף'!Q291)</f>
        <v>1</v>
      </c>
      <c r="N291" s="349">
        <f>IF($F291="","",'תחום תמיכה א'!AE291)</f>
        <v>2180.2182993136348</v>
      </c>
      <c r="O291" s="178"/>
      <c r="P291" s="349">
        <f>IF($F291="","",'תחום תמיכה ב'!AC291)</f>
        <v>4407.5883162830787</v>
      </c>
      <c r="Q291" s="349">
        <f>IF($F291="","",IF('תחום תמיכה ג'!O291="",0,'תחום תמיכה ג'!O291))</f>
        <v>0</v>
      </c>
      <c r="R291" s="349">
        <f t="shared" si="16"/>
        <v>132.16176594737681</v>
      </c>
      <c r="S291" s="349">
        <f>IF($F291="","",'תחום תמיכה ב'!AE291)</f>
        <v>4539.7500822304555</v>
      </c>
      <c r="T291" s="349">
        <f>IF($F291="","",IF(Q291='תחום תמיכה ג'!$Q$2,'תחום תמיכה ג'!$Q$2,IFERROR(SUMIF(N291:R291,"&gt;0"),'תחום תמיכה ג'!$Q$2)))</f>
        <v>6719.9683815440903</v>
      </c>
      <c r="U291" s="349">
        <f>IF($F291="","",'הזנה לתנאי סף'!Y291)</f>
        <v>150000</v>
      </c>
      <c r="V291" s="350">
        <f>IF(F291="","",'הגבלה לסכום מבוקש '!AA291)</f>
        <v>7475.8296912937312</v>
      </c>
      <c r="W291" s="349">
        <f t="shared" si="17"/>
        <v>1868.9574228234328</v>
      </c>
      <c r="X291" s="349">
        <f>IF(F291="","",'הזנה לתנאי סף'!Z291)</f>
        <v>150000</v>
      </c>
      <c r="Y291" s="351" t="s">
        <v>3740</v>
      </c>
      <c r="Z291" s="352" t="str">
        <f>IFERROR(VLOOKUP(G291*1,#REF!,3,0),"")</f>
        <v/>
      </c>
      <c r="AA291" s="349" t="str">
        <f>IF(OR($F291="",Z291=""),"",IFERROR(IF(Z291&gt;V291,MIN(Z291,T291)-V291,0),'תחום תמיכה ג'!$Q$2))</f>
        <v/>
      </c>
      <c r="AB291" s="353"/>
      <c r="AC291" s="260" t="str">
        <f t="shared" si="19"/>
        <v/>
      </c>
      <c r="AD291" s="358"/>
      <c r="AE291" s="180"/>
      <c r="AF291" s="355" t="str">
        <f>IF($C291="","",IFERROR(VLOOKUP($C291,גיליון1!$A:$E,2,0),"לא הגיש בקשה שוטפת"))</f>
        <v>תמיכה שוטפת יוצרת עצמאית תמי לבוביץ</v>
      </c>
      <c r="AG291" s="355" t="str">
        <f>IF($C291="","",IFERROR(VLOOKUP($C291,גיליון1!$A:$E,3,0),"לא הגיש בקשה שוטפת"))</f>
        <v>חויב</v>
      </c>
      <c r="AH291" s="355" t="str">
        <f>IF($C291="","",IFERROR(VLOOKUP($C291,גיליון1!$A:$E,4,0),"לא הגיש בקשה שוטפת"))</f>
        <v>19-42-02-20</v>
      </c>
      <c r="AI291" s="355" t="str">
        <f>IF($C291="","",IFERROR(VLOOKUP($C291,גיליון1!$A:$E,5,0),"לא הגיש בקשה שוטפת"))</f>
        <v>מחול וארגוני גג</v>
      </c>
      <c r="AJ291" s="355">
        <f t="shared" si="18"/>
        <v>0</v>
      </c>
      <c r="AK291" s="15"/>
      <c r="AL291" s="15" t="s">
        <v>250</v>
      </c>
    </row>
    <row r="292" spans="1:38" ht="285.75" x14ac:dyDescent="0.25">
      <c r="A292" s="346">
        <f>'הזנה לתנאי סף'!B292</f>
        <v>262</v>
      </c>
      <c r="B292" s="347">
        <f>IF($F292="","",'הזנה לתנאי סף'!C292)</f>
        <v>1001348137</v>
      </c>
      <c r="C292" s="347">
        <f>IF($F292="","",'הזנה לתנאי סף'!D292)</f>
        <v>1001275685</v>
      </c>
      <c r="D292" s="347">
        <f>IF($F292="","",'הזנה לתנאי סף'!E292)</f>
        <v>40000564</v>
      </c>
      <c r="E292" s="348">
        <f>IF($F292="","",'הזנה לתנאי סף'!F292)</f>
        <v>20000201</v>
      </c>
      <c r="F292" s="348" t="str">
        <f>IF('הזנה לתנאי סף'!BL292=1,'הזנה לתנאי סף'!G292,"")</f>
        <v>תל אביב -יפו</v>
      </c>
      <c r="G292" s="348" t="str">
        <f>IF($F292="","",'הזנה לתנאי סף'!H292)</f>
        <v>עמותת הכוריאוגרפים (ע"ר)</v>
      </c>
      <c r="H292" s="348" t="str">
        <f>IF($F292="","",'הזנה לתנאי סף'!I292)</f>
        <v>יוצרים עצמאיים במחול</v>
      </c>
      <c r="I292" s="349">
        <f>IF($F292="","",'הזנה לתנאי סף'!R292)</f>
        <v>250659</v>
      </c>
      <c r="J292" s="349">
        <f>IF($F292="","",'תחום תמיכה א'!P292)</f>
        <v>250915</v>
      </c>
      <c r="K292" s="177">
        <f>IF($F292="","",'הזנה לתנאי סף'!N292)</f>
        <v>0</v>
      </c>
      <c r="L292" s="177">
        <f>IF($F292="","",'הזנה לתנאי סף'!O292)</f>
        <v>1</v>
      </c>
      <c r="M292" s="177">
        <f>IF($F292="","",'הזנה לתנאי סף'!Q292)</f>
        <v>1</v>
      </c>
      <c r="N292" s="349">
        <f>IF($F292="","",'תחום תמיכה א'!AE292)</f>
        <v>7277.0927027472026</v>
      </c>
      <c r="O292" s="178"/>
      <c r="P292" s="349">
        <f>IF($F292="","",'תחום תמיכה ב'!AC292)</f>
        <v>12025.504535442016</v>
      </c>
      <c r="Q292" s="349">
        <f>IF($F292="","",IF('תחום תמיכה ג'!O292="",0,'תחום תמיכה ג'!O292))</f>
        <v>0</v>
      </c>
      <c r="R292" s="349">
        <f t="shared" si="16"/>
        <v>360.58538179275274</v>
      </c>
      <c r="S292" s="349">
        <f>IF($F292="","",'תחום תמיכה ב'!AE292)</f>
        <v>12386.089917234769</v>
      </c>
      <c r="T292" s="349">
        <f>IF($F292="","",IF(Q292='תחום תמיכה ג'!$Q$2,'תחום תמיכה ג'!$Q$2,IFERROR(SUMIF(N292:R292,"&gt;0"),'תחום תמיכה ג'!$Q$2)))</f>
        <v>19663.182619981973</v>
      </c>
      <c r="U292" s="349">
        <f>IF($F292="","",'הזנה לתנאי סף'!Y292)</f>
        <v>150000</v>
      </c>
      <c r="V292" s="350">
        <f>IF(F292="","",'הגבלה לסכום מבוקש '!AA292)</f>
        <v>21726.052253062819</v>
      </c>
      <c r="W292" s="349">
        <f t="shared" si="17"/>
        <v>5431.5130632657047</v>
      </c>
      <c r="X292" s="349">
        <f>IF(F292="","",'הזנה לתנאי סף'!Z292)</f>
        <v>150000</v>
      </c>
      <c r="Y292" s="351" t="s">
        <v>3740</v>
      </c>
      <c r="Z292" s="352" t="str">
        <f>IFERROR(VLOOKUP(G292*1,#REF!,3,0),"")</f>
        <v/>
      </c>
      <c r="AA292" s="349" t="str">
        <f>IF(OR($F292="",Z292=""),"",IFERROR(IF(Z292&gt;V292,MIN(Z292,T292)-V292,0),'תחום תמיכה ג'!$Q$2))</f>
        <v/>
      </c>
      <c r="AB292" s="353"/>
      <c r="AC292" s="260" t="str">
        <f t="shared" si="19"/>
        <v/>
      </c>
      <c r="AD292" s="358"/>
      <c r="AE292" s="180"/>
      <c r="AF292" s="355" t="str">
        <f>IF($C292="","",IFERROR(VLOOKUP($C292,גיליון1!$A:$E,2,0),"לא הגיש בקשה שוטפת"))</f>
        <v>תמיכה שוטפת יוצרת עצמאית שרונה פלורסהיים</v>
      </c>
      <c r="AG292" s="355" t="str">
        <f>IF($C292="","",IFERROR(VLOOKUP($C292,גיליון1!$A:$E,3,0),"לא הגיש בקשה שוטפת"))</f>
        <v>חויב</v>
      </c>
      <c r="AH292" s="355" t="str">
        <f>IF($C292="","",IFERROR(VLOOKUP($C292,גיליון1!$A:$E,4,0),"לא הגיש בקשה שוטפת"))</f>
        <v>19-42-02-20</v>
      </c>
      <c r="AI292" s="355" t="str">
        <f>IF($C292="","",IFERROR(VLOOKUP($C292,גיליון1!$A:$E,5,0),"לא הגיש בקשה שוטפת"))</f>
        <v>מחול וארגוני גג</v>
      </c>
      <c r="AJ292" s="355">
        <f t="shared" si="18"/>
        <v>0</v>
      </c>
      <c r="AK292" s="15"/>
      <c r="AL292" s="15" t="s">
        <v>250</v>
      </c>
    </row>
    <row r="293" spans="1:38" ht="285.75" x14ac:dyDescent="0.25">
      <c r="A293" s="346">
        <f>'הזנה לתנאי סף'!B293</f>
        <v>263</v>
      </c>
      <c r="B293" s="347">
        <f>IF($F293="","",'הזנה לתנאי סף'!C293)</f>
        <v>1001348138</v>
      </c>
      <c r="C293" s="347">
        <f>IF($F293="","",'הזנה לתנאי סף'!D293)</f>
        <v>1001275682</v>
      </c>
      <c r="D293" s="347">
        <f>IF($F293="","",'הזנה לתנאי סף'!E293)</f>
        <v>40000564</v>
      </c>
      <c r="E293" s="348">
        <f>IF($F293="","",'הזנה לתנאי סף'!F293)</f>
        <v>20000201</v>
      </c>
      <c r="F293" s="348" t="str">
        <f>IF('הזנה לתנאי סף'!BL293=1,'הזנה לתנאי סף'!G293,"")</f>
        <v>תל אביב -יפו</v>
      </c>
      <c r="G293" s="348" t="str">
        <f>IF($F293="","",'הזנה לתנאי סף'!H293)</f>
        <v>עמותת הכוריאוגרפים (ע"ר)</v>
      </c>
      <c r="H293" s="348" t="str">
        <f>IF($F293="","",'הזנה לתנאי סף'!I293)</f>
        <v>יוצרים עצמאיים במחול</v>
      </c>
      <c r="I293" s="349">
        <f>IF($F293="","",'הזנה לתנאי סף'!R293)</f>
        <v>251907</v>
      </c>
      <c r="J293" s="349">
        <f>IF($F293="","",'תחום תמיכה א'!P293)</f>
        <v>268160</v>
      </c>
      <c r="K293" s="177">
        <f>IF($F293="","",'הזנה לתנאי סף'!N293)</f>
        <v>0</v>
      </c>
      <c r="L293" s="177">
        <f>IF($F293="","",'הזנה לתנאי סף'!O293)</f>
        <v>1</v>
      </c>
      <c r="M293" s="177">
        <f>IF($F293="","",'הזנה לתנאי סף'!Q293)</f>
        <v>1</v>
      </c>
      <c r="N293" s="349">
        <f>IF($F293="","",'תחום תמיכה א'!AE293)</f>
        <v>9513.8360720896962</v>
      </c>
      <c r="O293" s="178"/>
      <c r="P293" s="349">
        <f>IF($F293="","",'תחום תמיכה ב'!AC293)</f>
        <v>18085.103910072361</v>
      </c>
      <c r="Q293" s="349">
        <f>IF($F293="","",IF('תחום תמיכה ג'!O293="",0,'תחום תמיכה ג'!O293))</f>
        <v>0</v>
      </c>
      <c r="R293" s="349">
        <f t="shared" si="16"/>
        <v>542.28278563742788</v>
      </c>
      <c r="S293" s="349">
        <f>IF($F293="","",'תחום תמיכה ב'!AE293)</f>
        <v>18627.386695709789</v>
      </c>
      <c r="T293" s="349">
        <f>IF($F293="","",IF(Q293='תחום תמיכה ג'!$Q$2,'תחום תמיכה ג'!$Q$2,IFERROR(SUMIF(N293:R293,"&gt;0"),'תחום תמיכה ג'!$Q$2)))</f>
        <v>28141.222767799485</v>
      </c>
      <c r="U293" s="349">
        <f>IF($F293="","",'הזנה לתנאי סף'!Y293)</f>
        <v>150000</v>
      </c>
      <c r="V293" s="350">
        <f>IF(F293="","",'הגבלה לסכום מבוקש '!AA293)</f>
        <v>31242.912241000497</v>
      </c>
      <c r="W293" s="349">
        <f t="shared" si="17"/>
        <v>7810.7280602501241</v>
      </c>
      <c r="X293" s="349">
        <f>IF(F293="","",'הזנה לתנאי סף'!Z293)</f>
        <v>150000</v>
      </c>
      <c r="Y293" s="351" t="s">
        <v>3740</v>
      </c>
      <c r="Z293" s="352" t="str">
        <f>IFERROR(VLOOKUP(G293*1,#REF!,3,0),"")</f>
        <v/>
      </c>
      <c r="AA293" s="349" t="str">
        <f>IF(OR($F293="",Z293=""),"",IFERROR(IF(Z293&gt;V293,MIN(Z293,T293)-V293,0),'תחום תמיכה ג'!$Q$2))</f>
        <v/>
      </c>
      <c r="AB293" s="353"/>
      <c r="AC293" s="260" t="str">
        <f t="shared" si="19"/>
        <v/>
      </c>
      <c r="AD293" s="358"/>
      <c r="AE293" s="180"/>
      <c r="AF293" s="355" t="str">
        <f>IF($C293="","",IFERROR(VLOOKUP($C293,גיליון1!$A:$E,2,0),"לא הגיש בקשה שוטפת"))</f>
        <v>תמיכה שוטפת יוצרת עצמאית שרון וזנה</v>
      </c>
      <c r="AG293" s="355" t="str">
        <f>IF($C293="","",IFERROR(VLOOKUP($C293,גיליון1!$A:$E,3,0),"לא הגיש בקשה שוטפת"))</f>
        <v>חויב</v>
      </c>
      <c r="AH293" s="355" t="str">
        <f>IF($C293="","",IFERROR(VLOOKUP($C293,גיליון1!$A:$E,4,0),"לא הגיש בקשה שוטפת"))</f>
        <v>19-42-02-20</v>
      </c>
      <c r="AI293" s="355" t="str">
        <f>IF($C293="","",IFERROR(VLOOKUP($C293,גיליון1!$A:$E,5,0),"לא הגיש בקשה שוטפת"))</f>
        <v>מחול וארגוני גג</v>
      </c>
      <c r="AJ293" s="355">
        <f t="shared" si="18"/>
        <v>0</v>
      </c>
      <c r="AK293" s="15"/>
      <c r="AL293" s="15" t="s">
        <v>250</v>
      </c>
    </row>
    <row r="294" spans="1:38" ht="285.75" x14ac:dyDescent="0.25">
      <c r="A294" s="346">
        <f>'הזנה לתנאי סף'!B294</f>
        <v>264</v>
      </c>
      <c r="B294" s="347">
        <f>IF($F294="","",'הזנה לתנאי סף'!C294)</f>
        <v>1001348139</v>
      </c>
      <c r="C294" s="347">
        <f>IF($F294="","",'הזנה לתנאי סף'!D294)</f>
        <v>1001275678</v>
      </c>
      <c r="D294" s="347">
        <f>IF($F294="","",'הזנה לתנאי סף'!E294)</f>
        <v>40000564</v>
      </c>
      <c r="E294" s="348">
        <f>IF($F294="","",'הזנה לתנאי סף'!F294)</f>
        <v>20000201</v>
      </c>
      <c r="F294" s="348" t="str">
        <f>IF('הזנה לתנאי סף'!BL294=1,'הזנה לתנאי סף'!G294,"")</f>
        <v>תל אביב -יפו</v>
      </c>
      <c r="G294" s="348" t="str">
        <f>IF($F294="","",'הזנה לתנאי סף'!H294)</f>
        <v>עמותת הכוריאוגרפים (ע"ר)</v>
      </c>
      <c r="H294" s="348" t="str">
        <f>IF($F294="","",'הזנה לתנאי סף'!I294)</f>
        <v>יוצרים עצמאיים במחול</v>
      </c>
      <c r="I294" s="349">
        <f>IF($F294="","",'הזנה לתנאי סף'!R294)</f>
        <v>365452</v>
      </c>
      <c r="J294" s="349">
        <f>IF($F294="","",'תחום תמיכה א'!P294)</f>
        <v>374984</v>
      </c>
      <c r="K294" s="177">
        <f>IF($F294="","",'הזנה לתנאי סף'!N294)</f>
        <v>0</v>
      </c>
      <c r="L294" s="177">
        <f>IF($F294="","",'הזנה לתנאי סף'!O294)</f>
        <v>1</v>
      </c>
      <c r="M294" s="177">
        <f>IF($F294="","",'הזנה לתנאי סף'!Q294)</f>
        <v>1</v>
      </c>
      <c r="N294" s="349">
        <f>IF($F294="","",'תחום תמיכה א'!AE294)</f>
        <v>7982.7159197677938</v>
      </c>
      <c r="O294" s="178"/>
      <c r="P294" s="349">
        <f>IF($F294="","",'תחום תמיכה ב'!AC294)</f>
        <v>9446.3417870071971</v>
      </c>
      <c r="Q294" s="349">
        <f>IF($F294="","",IF('תחום תמיכה ג'!O294="",0,'תחום תמיכה ג'!O294))</f>
        <v>0</v>
      </c>
      <c r="R294" s="349">
        <f t="shared" si="16"/>
        <v>283.24905202720583</v>
      </c>
      <c r="S294" s="349">
        <f>IF($F294="","",'תחום תמיכה ב'!AE294)</f>
        <v>9729.590839034403</v>
      </c>
      <c r="T294" s="349">
        <f>IF($F294="","",IF(Q294='תחום תמיכה ג'!$Q$2,'תחום תמיכה ג'!$Q$2,IFERROR(SUMIF(N294:R294,"&gt;0"),'תחום תמיכה ג'!$Q$2)))</f>
        <v>17712.306758802195</v>
      </c>
      <c r="U294" s="349">
        <f>IF($F294="","",'הזנה לתנאי סף'!Y294)</f>
        <v>150000</v>
      </c>
      <c r="V294" s="350">
        <f>IF(F294="","",'הגבלה לסכום מבוקש '!AA294)</f>
        <v>19333.775625482445</v>
      </c>
      <c r="W294" s="349">
        <f t="shared" si="17"/>
        <v>4833.4439063706113</v>
      </c>
      <c r="X294" s="349">
        <f>IF(F294="","",'הזנה לתנאי סף'!Z294)</f>
        <v>150000</v>
      </c>
      <c r="Y294" s="351" t="s">
        <v>3740</v>
      </c>
      <c r="Z294" s="352" t="str">
        <f>IFERROR(VLOOKUP(G294*1,#REF!,3,0),"")</f>
        <v/>
      </c>
      <c r="AA294" s="349" t="str">
        <f>IF(OR($F294="",Z294=""),"",IFERROR(IF(Z294&gt;V294,MIN(Z294,T294)-V294,0),'תחום תמיכה ג'!$Q$2))</f>
        <v/>
      </c>
      <c r="AB294" s="353"/>
      <c r="AC294" s="260" t="str">
        <f t="shared" si="19"/>
        <v/>
      </c>
      <c r="AD294" s="358"/>
      <c r="AE294" s="180"/>
      <c r="AF294" s="355" t="str">
        <f>IF($C294="","",IFERROR(VLOOKUP($C294,גיליון1!$A:$E,2,0),"לא הגיש בקשה שוטפת"))</f>
        <v>תמיכה שוטפת יוצרת עצמאית שרון אייל</v>
      </c>
      <c r="AG294" s="355" t="str">
        <f>IF($C294="","",IFERROR(VLOOKUP($C294,גיליון1!$A:$E,3,0),"לא הגיש בקשה שוטפת"))</f>
        <v>חויב</v>
      </c>
      <c r="AH294" s="355" t="str">
        <f>IF($C294="","",IFERROR(VLOOKUP($C294,גיליון1!$A:$E,4,0),"לא הגיש בקשה שוטפת"))</f>
        <v>19-42-02-20</v>
      </c>
      <c r="AI294" s="355" t="str">
        <f>IF($C294="","",IFERROR(VLOOKUP($C294,גיליון1!$A:$E,5,0),"לא הגיש בקשה שוטפת"))</f>
        <v>מחול וארגוני גג</v>
      </c>
      <c r="AJ294" s="355">
        <f t="shared" si="18"/>
        <v>0</v>
      </c>
      <c r="AK294" s="15"/>
      <c r="AL294" s="15" t="s">
        <v>250</v>
      </c>
    </row>
    <row r="295" spans="1:38" ht="285.75" x14ac:dyDescent="0.25">
      <c r="A295" s="346">
        <f>'הזנה לתנאי סף'!B295</f>
        <v>265</v>
      </c>
      <c r="B295" s="347">
        <f>IF($F295="","",'הזנה לתנאי סף'!C295)</f>
        <v>1001348145</v>
      </c>
      <c r="C295" s="347">
        <f>IF($F295="","",'הזנה לתנאי סף'!D295)</f>
        <v>1001275675</v>
      </c>
      <c r="D295" s="347">
        <f>IF($F295="","",'הזנה לתנאי סף'!E295)</f>
        <v>40000564</v>
      </c>
      <c r="E295" s="348">
        <f>IF($F295="","",'הזנה לתנאי סף'!F295)</f>
        <v>20000201</v>
      </c>
      <c r="F295" s="348" t="str">
        <f>IF('הזנה לתנאי סף'!BL295=1,'הזנה לתנאי סף'!G295,"")</f>
        <v>תל אביב -יפו</v>
      </c>
      <c r="G295" s="348" t="str">
        <f>IF($F295="","",'הזנה לתנאי סף'!H295)</f>
        <v>עמותת הכוריאוגרפים (ע"ר)</v>
      </c>
      <c r="H295" s="348" t="str">
        <f>IF($F295="","",'הזנה לתנאי סף'!I295)</f>
        <v>יוצרים עצמאיים במחול</v>
      </c>
      <c r="I295" s="349">
        <f>IF($F295="","",'הזנה לתנאי סף'!R295)</f>
        <v>293774</v>
      </c>
      <c r="J295" s="349">
        <f>IF($F295="","",'תחום תמיכה א'!P295)</f>
        <v>293935</v>
      </c>
      <c r="K295" s="177">
        <f>IF($F295="","",'הזנה לתנאי סף'!N295)</f>
        <v>0</v>
      </c>
      <c r="L295" s="177">
        <f>IF($F295="","",'הזנה לתנאי סף'!O295)</f>
        <v>1</v>
      </c>
      <c r="M295" s="177">
        <f>IF($F295="","",'הזנה לתנאי סף'!Q295)</f>
        <v>1</v>
      </c>
      <c r="N295" s="349">
        <f>IF($F295="","",'תחום תמיכה א'!AE295)</f>
        <v>9639.2970062403874</v>
      </c>
      <c r="O295" s="178"/>
      <c r="P295" s="349">
        <f>IF($F295="","",'תחום תמיכה ב'!AC295)</f>
        <v>18020.171266985377</v>
      </c>
      <c r="Q295" s="349">
        <f>IF($F295="","",IF('תחום תמיכה ג'!O295="",0,'תחום תמיכה ג'!O295))</f>
        <v>0</v>
      </c>
      <c r="R295" s="349">
        <f t="shared" si="16"/>
        <v>540.33577694192354</v>
      </c>
      <c r="S295" s="349">
        <f>IF($F295="","",'תחום תמיכה ב'!AE295)</f>
        <v>18560.5070439273</v>
      </c>
      <c r="T295" s="349">
        <f>IF($F295="","",IF(Q295='תחום תמיכה ג'!$Q$2,'תחום תמיכה ג'!$Q$2,IFERROR(SUMIF(N295:R295,"&gt;0"),'תחום תמיכה ג'!$Q$2)))</f>
        <v>28199.804050167688</v>
      </c>
      <c r="U295" s="349">
        <f>IF($F295="","",'הזנה לתנאי סף'!Y295)</f>
        <v>150000</v>
      </c>
      <c r="V295" s="350">
        <f>IF(F295="","",'הגבלה לסכום מבוקש '!AA295)</f>
        <v>31290.42991594056</v>
      </c>
      <c r="W295" s="349">
        <f t="shared" si="17"/>
        <v>7822.60747898514</v>
      </c>
      <c r="X295" s="349">
        <f>IF(F295="","",'הזנה לתנאי סף'!Z295)</f>
        <v>150000</v>
      </c>
      <c r="Y295" s="351" t="s">
        <v>3740</v>
      </c>
      <c r="Z295" s="352" t="str">
        <f>IFERROR(VLOOKUP(G295*1,#REF!,3,0),"")</f>
        <v/>
      </c>
      <c r="AA295" s="349" t="str">
        <f>IF(OR($F295="",Z295=""),"",IFERROR(IF(Z295&gt;V295,MIN(Z295,T295)-V295,0),'תחום תמיכה ג'!$Q$2))</f>
        <v/>
      </c>
      <c r="AB295" s="353"/>
      <c r="AC295" s="260" t="str">
        <f t="shared" si="19"/>
        <v/>
      </c>
      <c r="AD295" s="358"/>
      <c r="AE295" s="180"/>
      <c r="AF295" s="355" t="str">
        <f>IF($C295="","",IFERROR(VLOOKUP($C295,גיליון1!$A:$E,2,0),"לא הגיש בקשה שוטפת"))</f>
        <v>תמיכה שוטפת יוצר עצמאי שלומית פונדמינסקי</v>
      </c>
      <c r="AG295" s="355" t="str">
        <f>IF($C295="","",IFERROR(VLOOKUP($C295,גיליון1!$A:$E,3,0),"לא הגיש בקשה שוטפת"))</f>
        <v>חויב</v>
      </c>
      <c r="AH295" s="355" t="str">
        <f>IF($C295="","",IFERROR(VLOOKUP($C295,גיליון1!$A:$E,4,0),"לא הגיש בקשה שוטפת"))</f>
        <v>19-42-02-20</v>
      </c>
      <c r="AI295" s="355" t="str">
        <f>IF($C295="","",IFERROR(VLOOKUP($C295,גיליון1!$A:$E,5,0),"לא הגיש בקשה שוטפת"))</f>
        <v>מחול וארגוני גג</v>
      </c>
      <c r="AJ295" s="355">
        <f t="shared" si="18"/>
        <v>0</v>
      </c>
      <c r="AK295" s="15"/>
      <c r="AL295" s="15" t="s">
        <v>250</v>
      </c>
    </row>
    <row r="296" spans="1:38" ht="285.75" x14ac:dyDescent="0.25">
      <c r="A296" s="346">
        <f>'הזנה לתנאי סף'!B296</f>
        <v>266</v>
      </c>
      <c r="B296" s="347">
        <f>IF($F296="","",'הזנה לתנאי סף'!C296)</f>
        <v>1001348146</v>
      </c>
      <c r="C296" s="347">
        <f>IF($F296="","",'הזנה לתנאי סף'!D296)</f>
        <v>1001275667</v>
      </c>
      <c r="D296" s="347">
        <f>IF($F296="","",'הזנה לתנאי סף'!E296)</f>
        <v>40000564</v>
      </c>
      <c r="E296" s="348">
        <f>IF($F296="","",'הזנה לתנאי סף'!F296)</f>
        <v>20000201</v>
      </c>
      <c r="F296" s="348" t="str">
        <f>IF('הזנה לתנאי סף'!BL296=1,'הזנה לתנאי סף'!G296,"")</f>
        <v>תל אביב -יפו</v>
      </c>
      <c r="G296" s="348" t="str">
        <f>IF($F296="","",'הזנה לתנאי סף'!H296)</f>
        <v>עמותת הכוריאוגרפים (ע"ר)</v>
      </c>
      <c r="H296" s="348" t="str">
        <f>IF($F296="","",'הזנה לתנאי סף'!I296)</f>
        <v>יוצרים עצמאיים במחול</v>
      </c>
      <c r="I296" s="349">
        <f>IF($F296="","",'הזנה לתנאי סף'!R296)</f>
        <v>139582</v>
      </c>
      <c r="J296" s="349">
        <f>IF($F296="","",'תחום תמיכה א'!P296)</f>
        <v>157314</v>
      </c>
      <c r="K296" s="177">
        <f>IF($F296="","",'הזנה לתנאי סף'!N296)</f>
        <v>0</v>
      </c>
      <c r="L296" s="177">
        <f>IF($F296="","",'הזנה לתנאי סף'!O296)</f>
        <v>1</v>
      </c>
      <c r="M296" s="177">
        <f>IF($F296="","",'הזנה לתנאי סף'!Q296)</f>
        <v>1</v>
      </c>
      <c r="N296" s="349">
        <f>IF($F296="","",'תחום תמיכה א'!AE296)</f>
        <v>2738.6997932403606</v>
      </c>
      <c r="O296" s="178"/>
      <c r="P296" s="349">
        <f>IF($F296="","",'תחום תמיכה ב'!AC296)</f>
        <v>2412.9091221564072</v>
      </c>
      <c r="Q296" s="349">
        <f>IF($F296="","",IF('תחום תמיכה ג'!O296="",0,'תחום תמיכה ג'!O296))</f>
        <v>0</v>
      </c>
      <c r="R296" s="349">
        <f t="shared" si="16"/>
        <v>72.351206095320777</v>
      </c>
      <c r="S296" s="349">
        <f>IF($F296="","",'תחום תמיכה ב'!AE296)</f>
        <v>2485.260328251728</v>
      </c>
      <c r="T296" s="349">
        <f>IF($F296="","",IF(Q296='תחום תמיכה ג'!$Q$2,'תחום תמיכה ג'!$Q$2,IFERROR(SUMIF(N296:R296,"&gt;0"),'תחום תמיכה ג'!$Q$2)))</f>
        <v>5223.9601214920885</v>
      </c>
      <c r="U296" s="349">
        <f>IF($F296="","",'הזנה לתנאי סף'!Y296)</f>
        <v>150000</v>
      </c>
      <c r="V296" s="350">
        <f>IF(F296="","",'הגבלה לסכום מבוקש '!AA296)</f>
        <v>5638.4556391979677</v>
      </c>
      <c r="W296" s="349">
        <f t="shared" si="17"/>
        <v>1409.6139097994919</v>
      </c>
      <c r="X296" s="349">
        <f>IF(F296="","",'הזנה לתנאי סף'!Z296)</f>
        <v>150000</v>
      </c>
      <c r="Y296" s="351" t="s">
        <v>3740</v>
      </c>
      <c r="Z296" s="352" t="str">
        <f>IFERROR(VLOOKUP(G296*1,#REF!,3,0),"")</f>
        <v/>
      </c>
      <c r="AA296" s="349" t="str">
        <f>IF(OR($F296="",Z296=""),"",IFERROR(IF(Z296&gt;V296,MIN(Z296,T296)-V296,0),'תחום תמיכה ג'!$Q$2))</f>
        <v/>
      </c>
      <c r="AB296" s="353"/>
      <c r="AC296" s="260" t="str">
        <f t="shared" si="19"/>
        <v/>
      </c>
      <c r="AD296" s="358"/>
      <c r="AE296" s="180"/>
      <c r="AF296" s="355" t="str">
        <f>IF($C296="","",IFERROR(VLOOKUP($C296,גיליון1!$A:$E,2,0),"לא הגיש בקשה שוטפת"))</f>
        <v>תמיכה שוטפת יוצר עצמאי שלומי ביטון</v>
      </c>
      <c r="AG296" s="355" t="str">
        <f>IF($C296="","",IFERROR(VLOOKUP($C296,גיליון1!$A:$E,3,0),"לא הגיש בקשה שוטפת"))</f>
        <v>חויב</v>
      </c>
      <c r="AH296" s="355" t="str">
        <f>IF($C296="","",IFERROR(VLOOKUP($C296,גיליון1!$A:$E,4,0),"לא הגיש בקשה שוטפת"))</f>
        <v>19-42-02-20</v>
      </c>
      <c r="AI296" s="355" t="str">
        <f>IF($C296="","",IFERROR(VLOOKUP($C296,גיליון1!$A:$E,5,0),"לא הגיש בקשה שוטפת"))</f>
        <v>מחול וארגוני גג</v>
      </c>
      <c r="AJ296" s="355">
        <f t="shared" si="18"/>
        <v>0</v>
      </c>
      <c r="AK296" s="15"/>
      <c r="AL296" s="15" t="s">
        <v>250</v>
      </c>
    </row>
    <row r="297" spans="1:38" ht="285.75" x14ac:dyDescent="0.25">
      <c r="A297" s="346">
        <f>'הזנה לתנאי סף'!B297</f>
        <v>267</v>
      </c>
      <c r="B297" s="347">
        <f>IF($F297="","",'הזנה לתנאי סף'!C297)</f>
        <v>1001348148</v>
      </c>
      <c r="C297" s="347">
        <f>IF($F297="","",'הזנה לתנאי סף'!D297)</f>
        <v>1001275666</v>
      </c>
      <c r="D297" s="347">
        <f>IF($F297="","",'הזנה לתנאי סף'!E297)</f>
        <v>40000564</v>
      </c>
      <c r="E297" s="348">
        <f>IF($F297="","",'הזנה לתנאי סף'!F297)</f>
        <v>20000201</v>
      </c>
      <c r="F297" s="348" t="str">
        <f>IF('הזנה לתנאי סף'!BL297=1,'הזנה לתנאי סף'!G297,"")</f>
        <v>תל אביב -יפו</v>
      </c>
      <c r="G297" s="348" t="str">
        <f>IF($F297="","",'הזנה לתנאי סף'!H297)</f>
        <v>עמותת הכוריאוגרפים (ע"ר)</v>
      </c>
      <c r="H297" s="348" t="str">
        <f>IF($F297="","",'הזנה לתנאי סף'!I297)</f>
        <v>יוצרים עצמאיים במחול</v>
      </c>
      <c r="I297" s="349">
        <f>IF($F297="","",'הזנה לתנאי סף'!R297)</f>
        <v>46428</v>
      </c>
      <c r="J297" s="349">
        <f>IF($F297="","",'תחום תמיכה א'!P297)</f>
        <v>26715</v>
      </c>
      <c r="K297" s="177">
        <f>IF($F297="","",'הזנה לתנאי סף'!N297)</f>
        <v>0</v>
      </c>
      <c r="L297" s="177">
        <f>IF($F297="","",'הזנה לתנאי סף'!O297)</f>
        <v>1</v>
      </c>
      <c r="M297" s="177">
        <f>IF($F297="","",'הזנה לתנאי סף'!Q297)</f>
        <v>1</v>
      </c>
      <c r="N297" s="349">
        <f>IF($F297="","",'תחום תמיכה א'!AE297)</f>
        <v>1460.3621721891727</v>
      </c>
      <c r="O297" s="178"/>
      <c r="P297" s="349">
        <f>IF($F297="","",'תחום תמיכה ב'!AC297)</f>
        <v>7913.128292457729</v>
      </c>
      <c r="Q297" s="349">
        <f>IF($F297="","",IF('תחום תמיכה ג'!O297="",0,'תחום תמיכה ג'!O297))</f>
        <v>0</v>
      </c>
      <c r="R297" s="349">
        <f t="shared" si="16"/>
        <v>237.27556528720925</v>
      </c>
      <c r="S297" s="349">
        <f>IF($F297="","",'תחום תמיכה ב'!AE297)</f>
        <v>8150.4038577449383</v>
      </c>
      <c r="T297" s="349">
        <f>IF($F297="","",IF(Q297='תחום תמיכה ג'!$Q$2,'תחום תמיכה ג'!$Q$2,IFERROR(SUMIF(N297:R297,"&gt;0"),'תחום תמיכה ג'!$Q$2)))</f>
        <v>9610.7660299341114</v>
      </c>
      <c r="U297" s="349">
        <f>IF($F297="","",'הזנה לתנאי סף'!Y297)</f>
        <v>150000</v>
      </c>
      <c r="V297" s="350">
        <f>IF(F297="","",'הגבלה לסכום מבוקש '!AA297)</f>
        <v>10966.678248919861</v>
      </c>
      <c r="W297" s="349">
        <f t="shared" si="17"/>
        <v>2741.6695622299653</v>
      </c>
      <c r="X297" s="349">
        <f>IF(F297="","",'הזנה לתנאי סף'!Z297)</f>
        <v>150000</v>
      </c>
      <c r="Y297" s="351" t="s">
        <v>3740</v>
      </c>
      <c r="Z297" s="352" t="str">
        <f>IFERROR(VLOOKUP(G297*1,#REF!,3,0),"")</f>
        <v/>
      </c>
      <c r="AA297" s="349" t="str">
        <f>IF(OR($F297="",Z297=""),"",IFERROR(IF(Z297&gt;V297,MIN(Z297,T297)-V297,0),'תחום תמיכה ג'!$Q$2))</f>
        <v/>
      </c>
      <c r="AB297" s="353"/>
      <c r="AC297" s="260" t="str">
        <f t="shared" si="19"/>
        <v/>
      </c>
      <c r="AD297" s="358"/>
      <c r="AE297" s="180"/>
      <c r="AF297" s="355" t="str">
        <f>IF($C297="","",IFERROR(VLOOKUP($C297,גיליון1!$A:$E,2,0),"לא הגיש בקשה שוטפת"))</f>
        <v>תמיכה שוטפת יוצרת עצמאית שירה אביתר</v>
      </c>
      <c r="AG297" s="355" t="str">
        <f>IF($C297="","",IFERROR(VLOOKUP($C297,גיליון1!$A:$E,3,0),"לא הגיש בקשה שוטפת"))</f>
        <v>חויב</v>
      </c>
      <c r="AH297" s="355" t="str">
        <f>IF($C297="","",IFERROR(VLOOKUP($C297,גיליון1!$A:$E,4,0),"לא הגיש בקשה שוטפת"))</f>
        <v>19-42-02-20</v>
      </c>
      <c r="AI297" s="355" t="str">
        <f>IF($C297="","",IFERROR(VLOOKUP($C297,גיליון1!$A:$E,5,0),"לא הגיש בקשה שוטפת"))</f>
        <v>מחול וארגוני גג</v>
      </c>
      <c r="AJ297" s="355">
        <f t="shared" si="18"/>
        <v>0</v>
      </c>
      <c r="AK297" s="15"/>
      <c r="AL297" s="15" t="s">
        <v>250</v>
      </c>
    </row>
    <row r="298" spans="1:38" ht="285.75" x14ac:dyDescent="0.25">
      <c r="A298" s="346">
        <f>'הזנה לתנאי סף'!B298</f>
        <v>268</v>
      </c>
      <c r="B298" s="347">
        <f>IF($F298="","",'הזנה לתנאי סף'!C298)</f>
        <v>1001348157</v>
      </c>
      <c r="C298" s="347">
        <f>IF($F298="","",'הזנה לתנאי סף'!D298)</f>
        <v>1001275663</v>
      </c>
      <c r="D298" s="347">
        <f>IF($F298="","",'הזנה לתנאי סף'!E298)</f>
        <v>40000564</v>
      </c>
      <c r="E298" s="348">
        <f>IF($F298="","",'הזנה לתנאי סף'!F298)</f>
        <v>20000201</v>
      </c>
      <c r="F298" s="348" t="str">
        <f>IF('הזנה לתנאי סף'!BL298=1,'הזנה לתנאי סף'!G298,"")</f>
        <v>תל אביב -יפו</v>
      </c>
      <c r="G298" s="348" t="str">
        <f>IF($F298="","",'הזנה לתנאי סף'!H298)</f>
        <v>עמותת הכוריאוגרפים (ע"ר)</v>
      </c>
      <c r="H298" s="348" t="str">
        <f>IF($F298="","",'הזנה לתנאי סף'!I298)</f>
        <v>יוצרים עצמאיים במחול</v>
      </c>
      <c r="I298" s="349">
        <f>IF($F298="","",'הזנה לתנאי סף'!R298)</f>
        <v>153422</v>
      </c>
      <c r="J298" s="349">
        <f>IF($F298="","",'תחום תמיכה א'!P298)</f>
        <v>173380</v>
      </c>
      <c r="K298" s="177">
        <f>IF($F298="","",'הזנה לתנאי סף'!N298)</f>
        <v>0</v>
      </c>
      <c r="L298" s="177">
        <f>IF($F298="","",'הזנה לתנאי סף'!O298)</f>
        <v>1</v>
      </c>
      <c r="M298" s="177">
        <f>IF($F298="","",'הזנה לתנאי סף'!Q298)</f>
        <v>1</v>
      </c>
      <c r="N298" s="349">
        <f>IF($F298="","",'תחום תמיכה א'!AE298)</f>
        <v>4713.537699128402</v>
      </c>
      <c r="O298" s="178"/>
      <c r="P298" s="349">
        <f>IF($F298="","",'תחום תמיכה ב'!AC298)</f>
        <v>6426.7972787058952</v>
      </c>
      <c r="Q298" s="349">
        <f>IF($F298="","",IF('תחום תמיכה ג'!O298="",0,'תחום תמיכה ג'!O298))</f>
        <v>0</v>
      </c>
      <c r="R298" s="349">
        <f t="shared" si="16"/>
        <v>192.70785218340188</v>
      </c>
      <c r="S298" s="349">
        <f>IF($F298="","",'תחום תמיכה ב'!AE298)</f>
        <v>6619.5051308892971</v>
      </c>
      <c r="T298" s="349">
        <f>IF($F298="","",IF(Q298='תחום תמיכה ג'!$Q$2,'תחום תמיכה ג'!$Q$2,IFERROR(SUMIF(N298:R298,"&gt;0"),'תחום תמיכה ג'!$Q$2)))</f>
        <v>11333.042830017697</v>
      </c>
      <c r="U298" s="349">
        <f>IF($F298="","",'הזנה לתנאי סף'!Y298)</f>
        <v>150000</v>
      </c>
      <c r="V298" s="350">
        <f>IF(F298="","",'הגבלה לסכום מבוקש '!AA298)</f>
        <v>12435.878817798703</v>
      </c>
      <c r="W298" s="349">
        <f t="shared" si="17"/>
        <v>3108.9697044496756</v>
      </c>
      <c r="X298" s="349">
        <f>IF(F298="","",'הזנה לתנאי סף'!Z298)</f>
        <v>150000</v>
      </c>
      <c r="Y298" s="351" t="s">
        <v>3740</v>
      </c>
      <c r="Z298" s="352" t="str">
        <f>IFERROR(VLOOKUP(G298*1,#REF!,3,0),"")</f>
        <v/>
      </c>
      <c r="AA298" s="349" t="str">
        <f>IF(OR($F298="",Z298=""),"",IFERROR(IF(Z298&gt;V298,MIN(Z298,T298)-V298,0),'תחום תמיכה ג'!$Q$2))</f>
        <v/>
      </c>
      <c r="AB298" s="353"/>
      <c r="AC298" s="260" t="str">
        <f t="shared" si="19"/>
        <v/>
      </c>
      <c r="AD298" s="358"/>
      <c r="AE298" s="180"/>
      <c r="AF298" s="355" t="str">
        <f>IF($C298="","",IFERROR(VLOOKUP($C298,גיליון1!$A:$E,2,0),"לא הגיש בקשה שוטפת"))</f>
        <v>תמיכה שוטפת יוצרת עצמאית רייצ'ל ארדוס</v>
      </c>
      <c r="AG298" s="355" t="str">
        <f>IF($C298="","",IFERROR(VLOOKUP($C298,גיליון1!$A:$E,3,0),"לא הגיש בקשה שוטפת"))</f>
        <v>חויב</v>
      </c>
      <c r="AH298" s="355" t="str">
        <f>IF($C298="","",IFERROR(VLOOKUP($C298,גיליון1!$A:$E,4,0),"לא הגיש בקשה שוטפת"))</f>
        <v>19-42-02-20</v>
      </c>
      <c r="AI298" s="355" t="str">
        <f>IF($C298="","",IFERROR(VLOOKUP($C298,גיליון1!$A:$E,5,0),"לא הגיש בקשה שוטפת"))</f>
        <v>מחול וארגוני גג</v>
      </c>
      <c r="AJ298" s="355">
        <f t="shared" si="18"/>
        <v>0</v>
      </c>
      <c r="AK298" s="15"/>
      <c r="AL298" s="15" t="s">
        <v>250</v>
      </c>
    </row>
    <row r="299" spans="1:38" ht="285.75" x14ac:dyDescent="0.25">
      <c r="A299" s="346">
        <f>'הזנה לתנאי סף'!B299</f>
        <v>269</v>
      </c>
      <c r="B299" s="347">
        <f>IF($F299="","",'הזנה לתנאי סף'!C299)</f>
        <v>1001348158</v>
      </c>
      <c r="C299" s="347">
        <f>IF($F299="","",'הזנה לתנאי סף'!D299)</f>
        <v>1001275662</v>
      </c>
      <c r="D299" s="347">
        <f>IF($F299="","",'הזנה לתנאי סף'!E299)</f>
        <v>40000564</v>
      </c>
      <c r="E299" s="348">
        <f>IF($F299="","",'הזנה לתנאי סף'!F299)</f>
        <v>20000201</v>
      </c>
      <c r="F299" s="348" t="str">
        <f>IF('הזנה לתנאי סף'!BL299=1,'הזנה לתנאי סף'!G299,"")</f>
        <v>תל אביב -יפו</v>
      </c>
      <c r="G299" s="348" t="str">
        <f>IF($F299="","",'הזנה לתנאי סף'!H299)</f>
        <v>עמותת הכוריאוגרפים (ע"ר)</v>
      </c>
      <c r="H299" s="348" t="str">
        <f>IF($F299="","",'הזנה לתנאי סף'!I299)</f>
        <v>יוצרים עצמאיים במחול</v>
      </c>
      <c r="I299" s="349">
        <f>IF($F299="","",'הזנה לתנאי סף'!R299)</f>
        <v>18842</v>
      </c>
      <c r="J299" s="349">
        <f>IF($F299="","",'תחום תמיכה א'!P299)</f>
        <v>15060</v>
      </c>
      <c r="K299" s="177">
        <f>IF($F299="","",'הזנה לתנאי סף'!N299)</f>
        <v>0</v>
      </c>
      <c r="L299" s="177">
        <f>IF($F299="","",'הזנה לתנאי סף'!O299)</f>
        <v>1</v>
      </c>
      <c r="M299" s="177">
        <f>IF($F299="","",'הזנה לתנאי סף'!Q299)</f>
        <v>1</v>
      </c>
      <c r="N299" s="349">
        <f>IF($F299="","",'תחום תמיכה א'!AE299)</f>
        <v>823.24740082983124</v>
      </c>
      <c r="O299" s="178"/>
      <c r="P299" s="349">
        <f>IF($F299="","",'תחום תמיכה ב'!AC299)</f>
        <v>3211.406118861215</v>
      </c>
      <c r="Q299" s="349">
        <f>IF($F299="","",IF('תחום תמיכה ג'!O299="",0,'תחום תמיכה ג'!O299))</f>
        <v>0</v>
      </c>
      <c r="R299" s="349">
        <f t="shared" si="16"/>
        <v>96.294180260652865</v>
      </c>
      <c r="S299" s="349">
        <f>IF($F299="","",'תחום תמיכה ב'!AE299)</f>
        <v>3307.7002991218678</v>
      </c>
      <c r="T299" s="349">
        <f>IF($F299="","",IF(Q299='תחום תמיכה ג'!$Q$2,'תחום תמיכה ג'!$Q$2,IFERROR(SUMIF(N299:R299,"&gt;0"),'תחום תמיכה ג'!$Q$2)))</f>
        <v>4130.9476999516992</v>
      </c>
      <c r="U299" s="349">
        <f>IF($F299="","",'הזנה לתנאי סף'!Y299)</f>
        <v>150000</v>
      </c>
      <c r="V299" s="350">
        <f>IF(F299="","",'הגבלה לסכום מבוקש '!AA299)</f>
        <v>4681.3261906534972</v>
      </c>
      <c r="W299" s="349">
        <f t="shared" si="17"/>
        <v>1170.3315476633743</v>
      </c>
      <c r="X299" s="349">
        <f>IF(F299="","",'הזנה לתנאי סף'!Z299)</f>
        <v>150000</v>
      </c>
      <c r="Y299" s="351" t="s">
        <v>3740</v>
      </c>
      <c r="Z299" s="352" t="str">
        <f>IFERROR(VLOOKUP(G299*1,#REF!,3,0),"")</f>
        <v/>
      </c>
      <c r="AA299" s="349" t="str">
        <f>IF(OR($F299="",Z299=""),"",IFERROR(IF(Z299&gt;V299,MIN(Z299,T299)-V299,0),'תחום תמיכה ג'!$Q$2))</f>
        <v/>
      </c>
      <c r="AB299" s="353"/>
      <c r="AC299" s="260" t="str">
        <f t="shared" si="19"/>
        <v/>
      </c>
      <c r="AD299" s="358"/>
      <c r="AE299" s="180"/>
      <c r="AF299" s="355" t="str">
        <f>IF($C299="","",IFERROR(VLOOKUP($C299,גיליון1!$A:$E,2,0),"לא הגיש בקשה שוטפת"))</f>
        <v>תמיכה שוטפת יוצרת עצמאי רחל בנגורה</v>
      </c>
      <c r="AG299" s="355" t="str">
        <f>IF($C299="","",IFERROR(VLOOKUP($C299,גיליון1!$A:$E,3,0),"לא הגיש בקשה שוטפת"))</f>
        <v>חויב</v>
      </c>
      <c r="AH299" s="355" t="str">
        <f>IF($C299="","",IFERROR(VLOOKUP($C299,גיליון1!$A:$E,4,0),"לא הגיש בקשה שוטפת"))</f>
        <v>19-42-02-20</v>
      </c>
      <c r="AI299" s="355" t="str">
        <f>IF($C299="","",IFERROR(VLOOKUP($C299,גיליון1!$A:$E,5,0),"לא הגיש בקשה שוטפת"))</f>
        <v>מחול וארגוני גג</v>
      </c>
      <c r="AJ299" s="355">
        <f t="shared" si="18"/>
        <v>0</v>
      </c>
      <c r="AK299" s="15"/>
      <c r="AL299" s="15" t="s">
        <v>250</v>
      </c>
    </row>
    <row r="300" spans="1:38" ht="285.75" x14ac:dyDescent="0.25">
      <c r="A300" s="346">
        <f>'הזנה לתנאי סף'!B300</f>
        <v>270</v>
      </c>
      <c r="B300" s="347">
        <f>IF($F300="","",'הזנה לתנאי סף'!C300)</f>
        <v>1001348159</v>
      </c>
      <c r="C300" s="347">
        <f>IF($F300="","",'הזנה לתנאי סף'!D300)</f>
        <v>1001275661</v>
      </c>
      <c r="D300" s="347">
        <f>IF($F300="","",'הזנה לתנאי סף'!E300)</f>
        <v>40000564</v>
      </c>
      <c r="E300" s="348">
        <f>IF($F300="","",'הזנה לתנאי סף'!F300)</f>
        <v>20000201</v>
      </c>
      <c r="F300" s="348" t="str">
        <f>IF('הזנה לתנאי סף'!BL300=1,'הזנה לתנאי סף'!G300,"")</f>
        <v>תל אביב -יפו</v>
      </c>
      <c r="G300" s="348" t="str">
        <f>IF($F300="","",'הזנה לתנאי סף'!H300)</f>
        <v>עמותת הכוריאוגרפים (ע"ר)</v>
      </c>
      <c r="H300" s="348" t="str">
        <f>IF($F300="","",'הזנה לתנאי סף'!I300)</f>
        <v>יוצרים עצמאיים במחול</v>
      </c>
      <c r="I300" s="349">
        <f>IF($F300="","",'הזנה לתנאי סף'!R300)</f>
        <v>88186</v>
      </c>
      <c r="J300" s="349">
        <f>IF($F300="","",'תחום תמיכה א'!P300)</f>
        <v>77724</v>
      </c>
      <c r="K300" s="177">
        <f>IF($F300="","",'הזנה לתנאי סף'!N300)</f>
        <v>0</v>
      </c>
      <c r="L300" s="177">
        <f>IF($F300="","",'הזנה לתנאי סף'!O300)</f>
        <v>1</v>
      </c>
      <c r="M300" s="177">
        <f>IF($F300="","",'הזנה לתנאי סף'!Q300)</f>
        <v>1</v>
      </c>
      <c r="N300" s="349">
        <f>IF($F300="","",'תחום תמיכה א'!AE300)</f>
        <v>1733.8301044062353</v>
      </c>
      <c r="O300" s="178"/>
      <c r="P300" s="349">
        <f>IF($F300="","",'תחום תמיכה ב'!AC300)</f>
        <v>2502.9943818078682</v>
      </c>
      <c r="Q300" s="349">
        <f>IF($F300="","",IF('תחום תמיכה ג'!O300="",0,'תחום תמיכה ג'!O300))</f>
        <v>0</v>
      </c>
      <c r="R300" s="349">
        <f t="shared" si="16"/>
        <v>75.052417312661873</v>
      </c>
      <c r="S300" s="349">
        <f>IF($F300="","",'תחום תמיכה ב'!AE300)</f>
        <v>2578.0467991205301</v>
      </c>
      <c r="T300" s="349">
        <f>IF($F300="","",IF(Q300='תחום תמיכה ג'!$Q$2,'תחום תמיכה ג'!$Q$2,IFERROR(SUMIF(N300:R300,"&gt;0"),'תחום תמיכה ג'!$Q$2)))</f>
        <v>4311.8769035267651</v>
      </c>
      <c r="U300" s="349">
        <f>IF($F300="","",'הזנה לתנאי סף'!Y300)</f>
        <v>150000</v>
      </c>
      <c r="V300" s="350">
        <f>IF(F300="","",'הגבלה לסכום מבוקש '!AA300)</f>
        <v>4741.3433905438233</v>
      </c>
      <c r="W300" s="349">
        <f t="shared" si="17"/>
        <v>1185.3358476359558</v>
      </c>
      <c r="X300" s="349">
        <f>IF(F300="","",'הזנה לתנאי סף'!Z300)</f>
        <v>150000</v>
      </c>
      <c r="Y300" s="351" t="s">
        <v>3740</v>
      </c>
      <c r="Z300" s="352" t="str">
        <f>IFERROR(VLOOKUP(G300*1,#REF!,3,0),"")</f>
        <v/>
      </c>
      <c r="AA300" s="349" t="str">
        <f>IF(OR($F300="",Z300=""),"",IFERROR(IF(Z300&gt;V300,MIN(Z300,T300)-V300,0),'תחום תמיכה ג'!$Q$2))</f>
        <v/>
      </c>
      <c r="AB300" s="353"/>
      <c r="AC300" s="260" t="str">
        <f t="shared" si="19"/>
        <v/>
      </c>
      <c r="AD300" s="358"/>
      <c r="AE300" s="180"/>
      <c r="AF300" s="355" t="str">
        <f>IF($C300="","",IFERROR(VLOOKUP($C300,גיליון1!$A:$E,2,0),"לא הגיש בקשה שוטפת"))</f>
        <v>תמיכה שוטפת יוצר עצמאי רותם תש"ח</v>
      </c>
      <c r="AG300" s="355" t="str">
        <f>IF($C300="","",IFERROR(VLOOKUP($C300,גיליון1!$A:$E,3,0),"לא הגיש בקשה שוטפת"))</f>
        <v>חויב</v>
      </c>
      <c r="AH300" s="355" t="str">
        <f>IF($C300="","",IFERROR(VLOOKUP($C300,גיליון1!$A:$E,4,0),"לא הגיש בקשה שוטפת"))</f>
        <v>19-42-02-20</v>
      </c>
      <c r="AI300" s="355" t="str">
        <f>IF($C300="","",IFERROR(VLOOKUP($C300,גיליון1!$A:$E,5,0),"לא הגיש בקשה שוטפת"))</f>
        <v>מחול וארגוני גג</v>
      </c>
      <c r="AJ300" s="355">
        <f t="shared" si="18"/>
        <v>0</v>
      </c>
      <c r="AK300" s="15"/>
      <c r="AL300" s="15" t="s">
        <v>250</v>
      </c>
    </row>
    <row r="301" spans="1:38" ht="285.75" x14ac:dyDescent="0.25">
      <c r="A301" s="346">
        <f>'הזנה לתנאי סף'!B301</f>
        <v>271</v>
      </c>
      <c r="B301" s="347" t="str">
        <f>IF($F301="","",'הזנה לתנאי סף'!C301)</f>
        <v/>
      </c>
      <c r="C301" s="347" t="str">
        <f>IF($F301="","",'הזנה לתנאי סף'!D301)</f>
        <v/>
      </c>
      <c r="D301" s="347" t="str">
        <f>IF($F301="","",'הזנה לתנאי סף'!E301)</f>
        <v/>
      </c>
      <c r="E301" s="348" t="str">
        <f>IF($F301="","",'הזנה לתנאי סף'!F301)</f>
        <v/>
      </c>
      <c r="F301" s="348" t="str">
        <f>IF('הזנה לתנאי סף'!BL301=1,'הזנה לתנאי סף'!G301,"")</f>
        <v/>
      </c>
      <c r="G301" s="348" t="str">
        <f>IF($F301="","",'הזנה לתנאי סף'!H301)</f>
        <v/>
      </c>
      <c r="H301" s="348" t="str">
        <f>IF($F301="","",'הזנה לתנאי סף'!I301)</f>
        <v/>
      </c>
      <c r="I301" s="349" t="str">
        <f>IF($F301="","",'הזנה לתנאי סף'!R301)</f>
        <v/>
      </c>
      <c r="J301" s="349" t="str">
        <f>IF($F301="","",'תחום תמיכה א'!P301)</f>
        <v/>
      </c>
      <c r="K301" s="177" t="str">
        <f>IF($F301="","",'הזנה לתנאי סף'!N301)</f>
        <v/>
      </c>
      <c r="L301" s="177" t="str">
        <f>IF($F301="","",'הזנה לתנאי סף'!O301)</f>
        <v/>
      </c>
      <c r="M301" s="177" t="str">
        <f>IF($F301="","",'הזנה לתנאי סף'!Q301)</f>
        <v/>
      </c>
      <c r="N301" s="349" t="str">
        <f>IF($F301="","",'תחום תמיכה א'!AE301)</f>
        <v/>
      </c>
      <c r="O301" s="178"/>
      <c r="P301" s="349" t="str">
        <f>IF($F301="","",'תחום תמיכה ב'!AC301)</f>
        <v/>
      </c>
      <c r="Q301" s="349" t="str">
        <f>IF($F301="","",IF('תחום תמיכה ג'!O301="",0,'תחום תמיכה ג'!O301))</f>
        <v/>
      </c>
      <c r="R301" s="349" t="str">
        <f t="shared" si="16"/>
        <v/>
      </c>
      <c r="S301" s="349" t="str">
        <f>IF($F301="","",'תחום תמיכה ב'!AE301)</f>
        <v/>
      </c>
      <c r="T301" s="349" t="str">
        <f>IF($F301="","",IF(Q301='תחום תמיכה ג'!$Q$2,'תחום תמיכה ג'!$Q$2,IFERROR(SUMIF(N301:R301,"&gt;0"),'תחום תמיכה ג'!$Q$2)))</f>
        <v/>
      </c>
      <c r="U301" s="349" t="str">
        <f>IF($F301="","",'הזנה לתנאי סף'!Y301)</f>
        <v/>
      </c>
      <c r="V301" s="350" t="str">
        <f>IF(F301="","",'הגבלה לסכום מבוקש '!AA301)</f>
        <v/>
      </c>
      <c r="W301" s="349" t="str">
        <f t="shared" si="17"/>
        <v/>
      </c>
      <c r="X301" s="349" t="str">
        <f>IF(F301="","",'הזנה לתנאי סף'!Z301)</f>
        <v/>
      </c>
      <c r="Y301" s="351" t="s">
        <v>3740</v>
      </c>
      <c r="Z301" s="352" t="str">
        <f>IFERROR(VLOOKUP(G301*1,#REF!,3,0),"")</f>
        <v/>
      </c>
      <c r="AA301" s="349" t="str">
        <f>IF(OR($F301="",Z301=""),"",IFERROR(IF(Z301&gt;V301,MIN(Z301,T301)-V301,0),'תחום תמיכה ג'!$Q$2))</f>
        <v/>
      </c>
      <c r="AB301" s="353"/>
      <c r="AC301" s="260" t="str">
        <f t="shared" si="19"/>
        <v/>
      </c>
      <c r="AD301" s="358"/>
      <c r="AE301" s="180"/>
      <c r="AF301" s="355" t="str">
        <f>IF($C301="","",IFERROR(VLOOKUP($C301,גיליון1!$A:$E,2,0),"לא הגיש בקשה שוטפת"))</f>
        <v/>
      </c>
      <c r="AG301" s="355" t="str">
        <f>IF($C301="","",IFERROR(VLOOKUP($C301,גיליון1!$A:$E,3,0),"לא הגיש בקשה שוטפת"))</f>
        <v/>
      </c>
      <c r="AH301" s="355" t="str">
        <f>IF($C301="","",IFERROR(VLOOKUP($C301,גיליון1!$A:$E,4,0),"לא הגיש בקשה שוטפת"))</f>
        <v/>
      </c>
      <c r="AI301" s="355" t="str">
        <f>IF($C301="","",IFERROR(VLOOKUP($C301,גיליון1!$A:$E,5,0),"לא הגיש בקשה שוטפת"))</f>
        <v/>
      </c>
      <c r="AJ301" s="355">
        <f t="shared" si="18"/>
        <v>0</v>
      </c>
      <c r="AK301" s="15"/>
      <c r="AL301" s="15" t="s">
        <v>250</v>
      </c>
    </row>
    <row r="302" spans="1:38" ht="285.75" x14ac:dyDescent="0.25">
      <c r="A302" s="346">
        <f>'הזנה לתנאי סף'!B302</f>
        <v>272</v>
      </c>
      <c r="B302" s="347">
        <f>IF($F302="","",'הזנה לתנאי סף'!C302)</f>
        <v>1001348161</v>
      </c>
      <c r="C302" s="347">
        <f>IF($F302="","",'הזנה לתנאי סף'!D302)</f>
        <v>1001275647</v>
      </c>
      <c r="D302" s="347">
        <f>IF($F302="","",'הזנה לתנאי סף'!E302)</f>
        <v>40000564</v>
      </c>
      <c r="E302" s="348">
        <f>IF($F302="","",'הזנה לתנאי סף'!F302)</f>
        <v>20000201</v>
      </c>
      <c r="F302" s="348" t="str">
        <f>IF('הזנה לתנאי סף'!BL302=1,'הזנה לתנאי סף'!G302,"")</f>
        <v>תל אביב -יפו</v>
      </c>
      <c r="G302" s="348" t="str">
        <f>IF($F302="","",'הזנה לתנאי סף'!H302)</f>
        <v>עמותת הכוריאוגרפים (ע"ר)</v>
      </c>
      <c r="H302" s="348" t="str">
        <f>IF($F302="","",'הזנה לתנאי סף'!I302)</f>
        <v>יוצרים עצמאיים במחול</v>
      </c>
      <c r="I302" s="349">
        <f>IF($F302="","",'הזנה לתנאי סף'!R302)</f>
        <v>222496</v>
      </c>
      <c r="J302" s="349">
        <f>IF($F302="","",'תחום תמיכה א'!P302)</f>
        <v>224568</v>
      </c>
      <c r="K302" s="177">
        <f>IF($F302="","",'הזנה לתנאי סף'!N302)</f>
        <v>0</v>
      </c>
      <c r="L302" s="177">
        <f>IF($F302="","",'הזנה לתנאי סף'!O302)</f>
        <v>1</v>
      </c>
      <c r="M302" s="177">
        <f>IF($F302="","",'הזנה לתנאי סף'!Q302)</f>
        <v>1</v>
      </c>
      <c r="N302" s="349">
        <f>IF($F302="","",'תחום תמיכה א'!AE302)</f>
        <v>7391.3268625063893</v>
      </c>
      <c r="O302" s="178"/>
      <c r="P302" s="349">
        <f>IF($F302="","",'תחום תמיכה ב'!AC302)</f>
        <v>13747.658016775569</v>
      </c>
      <c r="Q302" s="349">
        <f>IF($F302="","",IF('תחום תמיכה ג'!O302="",0,'תחום תמיכה ג'!O302))</f>
        <v>0</v>
      </c>
      <c r="R302" s="349">
        <f t="shared" si="16"/>
        <v>412.2242439080328</v>
      </c>
      <c r="S302" s="349">
        <f>IF($F302="","",'תחום תמיכה ב'!AE302)</f>
        <v>14159.882260683602</v>
      </c>
      <c r="T302" s="349">
        <f>IF($F302="","",IF(Q302='תחום תמיכה ג'!$Q$2,'תחום תמיכה ג'!$Q$2,IFERROR(SUMIF(N302:R302,"&gt;0"),'תחום תמיכה ג'!$Q$2)))</f>
        <v>21551.20912318999</v>
      </c>
      <c r="U302" s="349">
        <f>IF($F302="","",'הזנה לתנאי סף'!Y302)</f>
        <v>150000</v>
      </c>
      <c r="V302" s="350">
        <f>IF(F302="","",'הגבלה לסכום מבוקש '!AA302)</f>
        <v>23909.076552702682</v>
      </c>
      <c r="W302" s="349">
        <f t="shared" si="17"/>
        <v>5977.2691381756704</v>
      </c>
      <c r="X302" s="349">
        <f>IF(F302="","",'הזנה לתנאי סף'!Z302)</f>
        <v>150000</v>
      </c>
      <c r="Y302" s="351" t="s">
        <v>3740</v>
      </c>
      <c r="Z302" s="352" t="str">
        <f>IFERROR(VLOOKUP(G302*1,#REF!,3,0),"")</f>
        <v/>
      </c>
      <c r="AA302" s="349" t="str">
        <f>IF(OR($F302="",Z302=""),"",IFERROR(IF(Z302&gt;V302,MIN(Z302,T302)-V302,0),'תחום תמיכה ג'!$Q$2))</f>
        <v/>
      </c>
      <c r="AB302" s="353"/>
      <c r="AC302" s="260" t="str">
        <f t="shared" si="19"/>
        <v/>
      </c>
      <c r="AD302" s="358"/>
      <c r="AE302" s="180"/>
      <c r="AF302" s="355" t="str">
        <f>IF($C302="","",IFERROR(VLOOKUP($C302,גיליון1!$A:$E,2,0),"לא הגיש בקשה שוטפת"))</f>
        <v>תמיכה שוטפת יוצרת עצמאית ענת כ"ץ</v>
      </c>
      <c r="AG302" s="355" t="str">
        <f>IF($C302="","",IFERROR(VLOOKUP($C302,גיליון1!$A:$E,3,0),"לא הגיש בקשה שוטפת"))</f>
        <v>חויב</v>
      </c>
      <c r="AH302" s="355" t="str">
        <f>IF($C302="","",IFERROR(VLOOKUP($C302,גיליון1!$A:$E,4,0),"לא הגיש בקשה שוטפת"))</f>
        <v>19-42-02-20</v>
      </c>
      <c r="AI302" s="355" t="str">
        <f>IF($C302="","",IFERROR(VLOOKUP($C302,גיליון1!$A:$E,5,0),"לא הגיש בקשה שוטפת"))</f>
        <v>מחול וארגוני גג</v>
      </c>
      <c r="AJ302" s="355">
        <f t="shared" si="18"/>
        <v>0</v>
      </c>
      <c r="AK302" s="15"/>
      <c r="AL302" s="15" t="s">
        <v>250</v>
      </c>
    </row>
    <row r="303" spans="1:38" ht="285.75" x14ac:dyDescent="0.25">
      <c r="A303" s="346">
        <f>'הזנה לתנאי סף'!B303</f>
        <v>273</v>
      </c>
      <c r="B303" s="347">
        <f>IF($F303="","",'הזנה לתנאי סף'!C303)</f>
        <v>1001348162</v>
      </c>
      <c r="C303" s="347">
        <f>IF($F303="","",'הזנה לתנאי סף'!D303)</f>
        <v>1001275646</v>
      </c>
      <c r="D303" s="347">
        <f>IF($F303="","",'הזנה לתנאי סף'!E303)</f>
        <v>40000564</v>
      </c>
      <c r="E303" s="348">
        <f>IF($F303="","",'הזנה לתנאי סף'!F303)</f>
        <v>20000201</v>
      </c>
      <c r="F303" s="348" t="str">
        <f>IF('הזנה לתנאי סף'!BL303=1,'הזנה לתנאי סף'!G303,"")</f>
        <v>תל אביב -יפו</v>
      </c>
      <c r="G303" s="348" t="str">
        <f>IF($F303="","",'הזנה לתנאי סף'!H303)</f>
        <v>עמותת הכוריאוגרפים (ע"ר)</v>
      </c>
      <c r="H303" s="348" t="str">
        <f>IF($F303="","",'הזנה לתנאי סף'!I303)</f>
        <v>יוצרים עצמאיים במחול</v>
      </c>
      <c r="I303" s="349">
        <f>IF($F303="","",'הזנה לתנאי סף'!R303)</f>
        <v>140431</v>
      </c>
      <c r="J303" s="349">
        <f>IF($F303="","",'תחום תמיכה א'!P303)</f>
        <v>130043</v>
      </c>
      <c r="K303" s="177">
        <f>IF($F303="","",'הזנה לתנאי סף'!N303)</f>
        <v>0</v>
      </c>
      <c r="L303" s="177">
        <f>IF($F303="","",'הזנה לתנאי סף'!O303)</f>
        <v>1</v>
      </c>
      <c r="M303" s="177">
        <f>IF($F303="","",'הזנה לתנאי סף'!Q303)</f>
        <v>1</v>
      </c>
      <c r="N303" s="349">
        <f>IF($F303="","",'תחום תמיכה א'!AE303)</f>
        <v>3014.6737842670796</v>
      </c>
      <c r="O303" s="178"/>
      <c r="P303" s="349">
        <f>IF($F303="","",'תחום תמיכה ב'!AC303)</f>
        <v>4304.5436469312517</v>
      </c>
      <c r="Q303" s="349">
        <f>IF($F303="","",IF('תחום תמיכה ג'!O303="",0,'תחום תמיכה ג'!O303))</f>
        <v>0</v>
      </c>
      <c r="R303" s="349">
        <f t="shared" si="16"/>
        <v>129.0719661530793</v>
      </c>
      <c r="S303" s="349">
        <f>IF($F303="","",'תחום תמיכה ב'!AE303)</f>
        <v>4433.615613084331</v>
      </c>
      <c r="T303" s="349">
        <f>IF($F303="","",IF(Q303='תחום תמיכה ג'!$Q$2,'תחום תמיכה ג'!$Q$2,IFERROR(SUMIF(N303:R303,"&gt;0"),'תחום תמיכה ג'!$Q$2)))</f>
        <v>7448.2893973514101</v>
      </c>
      <c r="U303" s="349">
        <f>IF($F303="","",'הזנה לתנאי סף'!Y303)</f>
        <v>150000</v>
      </c>
      <c r="V303" s="350">
        <f>IF(F303="","",'הגבלה לסכום מבוקש '!AA303)</f>
        <v>8186.8826416207994</v>
      </c>
      <c r="W303" s="349">
        <f t="shared" si="17"/>
        <v>2046.7206604051999</v>
      </c>
      <c r="X303" s="349">
        <f>IF(F303="","",'הזנה לתנאי סף'!Z303)</f>
        <v>150000</v>
      </c>
      <c r="Y303" s="351" t="s">
        <v>3740</v>
      </c>
      <c r="Z303" s="352" t="str">
        <f>IFERROR(VLOOKUP(G303*1,#REF!,3,0),"")</f>
        <v/>
      </c>
      <c r="AA303" s="349" t="str">
        <f>IF(OR($F303="",Z303=""),"",IFERROR(IF(Z303&gt;V303,MIN(Z303,T303)-V303,0),'תחום תמיכה ג'!$Q$2))</f>
        <v/>
      </c>
      <c r="AB303" s="353"/>
      <c r="AC303" s="260" t="str">
        <f t="shared" si="19"/>
        <v/>
      </c>
      <c r="AD303" s="358"/>
      <c r="AE303" s="180"/>
      <c r="AF303" s="355" t="str">
        <f>IF($C303="","",IFERROR(VLOOKUP($C303,גיליון1!$A:$E,2,0),"לא הגיש בקשה שוטפת"))</f>
        <v>תמיכה שוטפת יוצרת עצמאית ענת דניאלי</v>
      </c>
      <c r="AG303" s="355" t="str">
        <f>IF($C303="","",IFERROR(VLOOKUP($C303,גיליון1!$A:$E,3,0),"לא הגיש בקשה שוטפת"))</f>
        <v>חויב</v>
      </c>
      <c r="AH303" s="355" t="str">
        <f>IF($C303="","",IFERROR(VLOOKUP($C303,גיליון1!$A:$E,4,0),"לא הגיש בקשה שוטפת"))</f>
        <v>19-42-02-20</v>
      </c>
      <c r="AI303" s="355" t="str">
        <f>IF($C303="","",IFERROR(VLOOKUP($C303,גיליון1!$A:$E,5,0),"לא הגיש בקשה שוטפת"))</f>
        <v>מחול וארגוני גג</v>
      </c>
      <c r="AJ303" s="355">
        <f t="shared" si="18"/>
        <v>0</v>
      </c>
      <c r="AK303" s="15"/>
      <c r="AL303" s="15" t="s">
        <v>250</v>
      </c>
    </row>
    <row r="304" spans="1:38" ht="285.75" x14ac:dyDescent="0.25">
      <c r="A304" s="346">
        <f>'הזנה לתנאי סף'!B304</f>
        <v>274</v>
      </c>
      <c r="B304" s="347">
        <f>IF($F304="","",'הזנה לתנאי סף'!C304)</f>
        <v>1001348163</v>
      </c>
      <c r="C304" s="347">
        <f>IF($F304="","",'הזנה לתנאי סף'!D304)</f>
        <v>1001275645</v>
      </c>
      <c r="D304" s="347">
        <f>IF($F304="","",'הזנה לתנאי סף'!E304)</f>
        <v>40000564</v>
      </c>
      <c r="E304" s="348">
        <f>IF($F304="","",'הזנה לתנאי סף'!F304)</f>
        <v>20000201</v>
      </c>
      <c r="F304" s="348" t="str">
        <f>IF('הזנה לתנאי סף'!BL304=1,'הזנה לתנאי סף'!G304,"")</f>
        <v>תל אביב -יפו</v>
      </c>
      <c r="G304" s="348" t="str">
        <f>IF($F304="","",'הזנה לתנאי סף'!H304)</f>
        <v>עמותת הכוריאוגרפים (ע"ר)</v>
      </c>
      <c r="H304" s="348" t="str">
        <f>IF($F304="","",'הזנה לתנאי סף'!I304)</f>
        <v>יוצרים עצמאיים במחול</v>
      </c>
      <c r="I304" s="349">
        <f>IF($F304="","",'הזנה לתנאי סף'!R304)</f>
        <v>183909</v>
      </c>
      <c r="J304" s="349">
        <f>IF($F304="","",'תחום תמיכה א'!P304)</f>
        <v>198536</v>
      </c>
      <c r="K304" s="177">
        <f>IF($F304="","",'הזנה לתנאי סף'!N304)</f>
        <v>0</v>
      </c>
      <c r="L304" s="177">
        <f>IF($F304="","",'הזנה לתנאי סף'!O304)</f>
        <v>1</v>
      </c>
      <c r="M304" s="177">
        <f>IF($F304="","",'הזנה לתנאי סף'!Q304)</f>
        <v>1</v>
      </c>
      <c r="N304" s="349">
        <f>IF($F304="","",'תחום תמיכה א'!AE304)</f>
        <v>5024.2972676024829</v>
      </c>
      <c r="O304" s="178"/>
      <c r="P304" s="349">
        <f>IF($F304="","",'תחום תמיכה ב'!AC304)</f>
        <v>6717.8846087096881</v>
      </c>
      <c r="Q304" s="349">
        <f>IF($F304="","",IF('תחום תמיכה ג'!O304="",0,'תחום תמיכה ג'!O304))</f>
        <v>0</v>
      </c>
      <c r="R304" s="349">
        <f t="shared" si="16"/>
        <v>201.43612098202902</v>
      </c>
      <c r="S304" s="349">
        <f>IF($F304="","",'תחום תמיכה ב'!AE304)</f>
        <v>6919.3207296917171</v>
      </c>
      <c r="T304" s="349">
        <f>IF($F304="","",IF(Q304='תחום תמיכה ג'!$Q$2,'תחום תמיכה ג'!$Q$2,IFERROR(SUMIF(N304:R304,"&gt;0"),'תחום תמיכה ג'!$Q$2)))</f>
        <v>11943.617997294199</v>
      </c>
      <c r="U304" s="349">
        <f>IF($F304="","",'הזנה לתנאי סף'!Y304)</f>
        <v>150000</v>
      </c>
      <c r="V304" s="350">
        <f>IF(F304="","",'הגבלה לסכום מבוקש '!AA304)</f>
        <v>13096.448750875588</v>
      </c>
      <c r="W304" s="349">
        <f t="shared" si="17"/>
        <v>3274.1121877188971</v>
      </c>
      <c r="X304" s="349">
        <f>IF(F304="","",'הזנה לתנאי סף'!Z304)</f>
        <v>150000</v>
      </c>
      <c r="Y304" s="351" t="s">
        <v>3740</v>
      </c>
      <c r="Z304" s="352" t="str">
        <f>IFERROR(VLOOKUP(G304*1,#REF!,3,0),"")</f>
        <v/>
      </c>
      <c r="AA304" s="349" t="str">
        <f>IF(OR($F304="",Z304=""),"",IFERROR(IF(Z304&gt;V304,MIN(Z304,T304)-V304,0),'תחום תמיכה ג'!$Q$2))</f>
        <v/>
      </c>
      <c r="AB304" s="353"/>
      <c r="AC304" s="260" t="str">
        <f t="shared" si="19"/>
        <v/>
      </c>
      <c r="AD304" s="358"/>
      <c r="AE304" s="180"/>
      <c r="AF304" s="355" t="str">
        <f>IF($C304="","",IFERROR(VLOOKUP($C304,גיליון1!$A:$E,2,0),"לא הגיש בקשה שוטפת"))</f>
        <v>תמיכה שוטפת יוצרת עצמאית ענת גריגוריו</v>
      </c>
      <c r="AG304" s="355" t="str">
        <f>IF($C304="","",IFERROR(VLOOKUP($C304,גיליון1!$A:$E,3,0),"לא הגיש בקשה שוטפת"))</f>
        <v>חויב</v>
      </c>
      <c r="AH304" s="355" t="str">
        <f>IF($C304="","",IFERROR(VLOOKUP($C304,גיליון1!$A:$E,4,0),"לא הגיש בקשה שוטפת"))</f>
        <v>19-42-02-20</v>
      </c>
      <c r="AI304" s="355" t="str">
        <f>IF($C304="","",IFERROR(VLOOKUP($C304,גיליון1!$A:$E,5,0),"לא הגיש בקשה שוטפת"))</f>
        <v>מחול וארגוני גג</v>
      </c>
      <c r="AJ304" s="355">
        <f t="shared" si="18"/>
        <v>0</v>
      </c>
      <c r="AK304" s="15"/>
      <c r="AL304" s="15" t="s">
        <v>250</v>
      </c>
    </row>
    <row r="305" spans="1:38" ht="285.75" x14ac:dyDescent="0.25">
      <c r="A305" s="346">
        <f>'הזנה לתנאי סף'!B305</f>
        <v>275</v>
      </c>
      <c r="B305" s="347">
        <f>IF($F305="","",'הזנה לתנאי סף'!C305)</f>
        <v>1001348165</v>
      </c>
      <c r="C305" s="347">
        <f>IF($F305="","",'הזנה לתנאי סף'!D305)</f>
        <v>1001273681</v>
      </c>
      <c r="D305" s="347">
        <f>IF($F305="","",'הזנה לתנאי סף'!E305)</f>
        <v>40000564</v>
      </c>
      <c r="E305" s="348">
        <f>IF($F305="","",'הזנה לתנאי סף'!F305)</f>
        <v>20000201</v>
      </c>
      <c r="F305" s="348" t="str">
        <f>IF('הזנה לתנאי סף'!BL305=1,'הזנה לתנאי סף'!G305,"")</f>
        <v>תל אביב -יפו</v>
      </c>
      <c r="G305" s="348" t="str">
        <f>IF($F305="","",'הזנה לתנאי סף'!H305)</f>
        <v>עמותת הכוריאוגרפים (ע"ר)</v>
      </c>
      <c r="H305" s="348" t="str">
        <f>IF($F305="","",'הזנה לתנאי סף'!I305)</f>
        <v>יוצרים עצמאיים במחול</v>
      </c>
      <c r="I305" s="349">
        <f>IF($F305="","",'הזנה לתנאי סף'!R305)</f>
        <v>219342</v>
      </c>
      <c r="J305" s="349">
        <f>IF($F305="","",'תחום תמיכה א'!P305)</f>
        <v>153717</v>
      </c>
      <c r="K305" s="177">
        <f>IF($F305="","",'הזנה לתנאי סף'!N305)</f>
        <v>0</v>
      </c>
      <c r="L305" s="177">
        <f>IF($F305="","",'הזנה לתנאי סף'!O305)</f>
        <v>1</v>
      </c>
      <c r="M305" s="177">
        <f>IF($F305="","",'הזנה לתנאי סף'!Q305)</f>
        <v>1</v>
      </c>
      <c r="N305" s="349">
        <f>IF($F305="","",'תחום תמיכה א'!AE305)</f>
        <v>5298.9963123778016</v>
      </c>
      <c r="O305" s="178"/>
      <c r="P305" s="349">
        <f>IF($F305="","",'תחום תמיכה ב'!AC305)</f>
        <v>14866.977084003862</v>
      </c>
      <c r="Q305" s="349">
        <f>IF($F305="","",IF('תחום תמיכה ג'!O305="",0,'תחום תמיכה ג'!O305))</f>
        <v>0</v>
      </c>
      <c r="R305" s="349">
        <f t="shared" si="16"/>
        <v>445.78708462002942</v>
      </c>
      <c r="S305" s="349">
        <f>IF($F305="","",'תחום תמיכה ב'!AE305)</f>
        <v>15312.764168623891</v>
      </c>
      <c r="T305" s="349">
        <f>IF($F305="","",IF(Q305='תחום תמיכה ג'!$Q$2,'תחום תמיכה ג'!$Q$2,IFERROR(SUMIF(N305:R305,"&gt;0"),'תחום תמיכה ג'!$Q$2)))</f>
        <v>20611.760481001693</v>
      </c>
      <c r="U305" s="349">
        <f>IF($F305="","",'הזנה לתנאי סף'!Y305)</f>
        <v>150000</v>
      </c>
      <c r="V305" s="350">
        <f>IF(F305="","",'הגבלה לסכום מבוקש '!AA305)</f>
        <v>23160.376155453137</v>
      </c>
      <c r="W305" s="349">
        <f t="shared" si="17"/>
        <v>5790.0940388632844</v>
      </c>
      <c r="X305" s="349">
        <f>IF(F305="","",'הזנה לתנאי סף'!Z305)</f>
        <v>150000</v>
      </c>
      <c r="Y305" s="351" t="s">
        <v>3740</v>
      </c>
      <c r="Z305" s="352" t="str">
        <f>IFERROR(VLOOKUP(G305*1,#REF!,3,0),"")</f>
        <v/>
      </c>
      <c r="AA305" s="349" t="str">
        <f>IF(OR($F305="",Z305=""),"",IFERROR(IF(Z305&gt;V305,MIN(Z305,T305)-V305,0),'תחום תמיכה ג'!$Q$2))</f>
        <v/>
      </c>
      <c r="AB305" s="353"/>
      <c r="AC305" s="260" t="str">
        <f t="shared" si="19"/>
        <v/>
      </c>
      <c r="AD305" s="358"/>
      <c r="AE305" s="180"/>
      <c r="AF305" s="355" t="str">
        <f>IF($C305="","",IFERROR(VLOOKUP($C305,גיליון1!$A:$E,2,0),"לא הגיש בקשה שוטפת"))</f>
        <v>תמיכה שוטפת יוצר עצמאי עידן שרעבי</v>
      </c>
      <c r="AG305" s="355" t="str">
        <f>IF($C305="","",IFERROR(VLOOKUP($C305,גיליון1!$A:$E,3,0),"לא הגיש בקשה שוטפת"))</f>
        <v>חויב</v>
      </c>
      <c r="AH305" s="355" t="str">
        <f>IF($C305="","",IFERROR(VLOOKUP($C305,גיליון1!$A:$E,4,0),"לא הגיש בקשה שוטפת"))</f>
        <v>19-42-02-20</v>
      </c>
      <c r="AI305" s="355" t="str">
        <f>IF($C305="","",IFERROR(VLOOKUP($C305,גיליון1!$A:$E,5,0),"לא הגיש בקשה שוטפת"))</f>
        <v>מחול וארגוני גג</v>
      </c>
      <c r="AJ305" s="355">
        <f t="shared" si="18"/>
        <v>0</v>
      </c>
      <c r="AK305" s="15"/>
      <c r="AL305" s="15" t="s">
        <v>250</v>
      </c>
    </row>
    <row r="306" spans="1:38" ht="285.75" x14ac:dyDescent="0.25">
      <c r="A306" s="346">
        <f>'הזנה לתנאי סף'!B306</f>
        <v>276</v>
      </c>
      <c r="B306" s="347">
        <f>IF($F306="","",'הזנה לתנאי סף'!C306)</f>
        <v>1001348166</v>
      </c>
      <c r="C306" s="347">
        <f>IF($F306="","",'הזנה לתנאי סף'!D306)</f>
        <v>1001273680</v>
      </c>
      <c r="D306" s="347">
        <f>IF($F306="","",'הזנה לתנאי סף'!E306)</f>
        <v>40000564</v>
      </c>
      <c r="E306" s="348">
        <f>IF($F306="","",'הזנה לתנאי סף'!F306)</f>
        <v>20000201</v>
      </c>
      <c r="F306" s="348" t="str">
        <f>IF('הזנה לתנאי סף'!BL306=1,'הזנה לתנאי סף'!G306,"")</f>
        <v>תל אביב -יפו</v>
      </c>
      <c r="G306" s="348" t="str">
        <f>IF($F306="","",'הזנה לתנאי סף'!H306)</f>
        <v>עמותת הכוריאוגרפים (ע"ר)</v>
      </c>
      <c r="H306" s="348" t="str">
        <f>IF($F306="","",'הזנה לתנאי סף'!I306)</f>
        <v>יוצרים עצמאיים במחול</v>
      </c>
      <c r="I306" s="349">
        <f>IF($F306="","",'הזנה לתנאי סף'!R306)</f>
        <v>224137</v>
      </c>
      <c r="J306" s="349">
        <f>IF($F306="","",'תחום תמיכה א'!P306)</f>
        <v>190460</v>
      </c>
      <c r="K306" s="177">
        <f>IF($F306="","",'הזנה לתנאי סף'!N306)</f>
        <v>0</v>
      </c>
      <c r="L306" s="177">
        <f>IF($F306="","",'הזנה לתנאי סף'!O306)</f>
        <v>1</v>
      </c>
      <c r="M306" s="177">
        <f>IF($F306="","",'הזנה לתנאי סף'!Q306)</f>
        <v>1</v>
      </c>
      <c r="N306" s="349">
        <f>IF($F306="","",'תחום תמיכה א'!AE306)</f>
        <v>4868.1639081424792</v>
      </c>
      <c r="O306" s="178"/>
      <c r="P306" s="349">
        <f>IF($F306="","",'תחום תמיכה ב'!AC306)</f>
        <v>8352.0640770179725</v>
      </c>
      <c r="Q306" s="349">
        <f>IF($F306="","",IF('תחום תמיכה ג'!O306="",0,'תחום תמיכה ג'!O306))</f>
        <v>0</v>
      </c>
      <c r="R306" s="349">
        <f t="shared" si="16"/>
        <v>250.43707772036214</v>
      </c>
      <c r="S306" s="349">
        <f>IF($F306="","",'תחום תמיכה ב'!AE306)</f>
        <v>8602.5011547383347</v>
      </c>
      <c r="T306" s="349">
        <f>IF($F306="","",IF(Q306='תחום תמיכה ג'!$Q$2,'תחום תמיכה ג'!$Q$2,IFERROR(SUMIF(N306:R306,"&gt;0"),'תחום תמיכה ג'!$Q$2)))</f>
        <v>13470.665062880813</v>
      </c>
      <c r="U306" s="349">
        <f>IF($F306="","",'הזנה לתנאי סף'!Y306)</f>
        <v>150000</v>
      </c>
      <c r="V306" s="350">
        <f>IF(F306="","",'הגבלה לסכום מבוקש '!AA306)</f>
        <v>14903.303578485831</v>
      </c>
      <c r="W306" s="349">
        <f t="shared" si="17"/>
        <v>3725.8258946214578</v>
      </c>
      <c r="X306" s="349">
        <f>IF(F306="","",'הזנה לתנאי סף'!Z306)</f>
        <v>150000</v>
      </c>
      <c r="Y306" s="351" t="s">
        <v>3740</v>
      </c>
      <c r="Z306" s="352" t="str">
        <f>IFERROR(VLOOKUP(G306*1,#REF!,3,0),"")</f>
        <v/>
      </c>
      <c r="AA306" s="349" t="str">
        <f>IF(OR($F306="",Z306=""),"",IFERROR(IF(Z306&gt;V306,MIN(Z306,T306)-V306,0),'תחום תמיכה ג'!$Q$2))</f>
        <v/>
      </c>
      <c r="AB306" s="353"/>
      <c r="AC306" s="260" t="str">
        <f t="shared" si="19"/>
        <v/>
      </c>
      <c r="AD306" s="358"/>
      <c r="AE306" s="180"/>
      <c r="AF306" s="355" t="str">
        <f>IF($C306="","",IFERROR(VLOOKUP($C306,גיליון1!$A:$E,2,0),"לא הגיש בקשה שוטפת"))</f>
        <v>תמיכה שוטפת יוצר עצמאי עידן כהן</v>
      </c>
      <c r="AG306" s="355" t="str">
        <f>IF($C306="","",IFERROR(VLOOKUP($C306,גיליון1!$A:$E,3,0),"לא הגיש בקשה שוטפת"))</f>
        <v>חויב</v>
      </c>
      <c r="AH306" s="355" t="str">
        <f>IF($C306="","",IFERROR(VLOOKUP($C306,גיליון1!$A:$E,4,0),"לא הגיש בקשה שוטפת"))</f>
        <v>19-42-02-20</v>
      </c>
      <c r="AI306" s="355" t="str">
        <f>IF($C306="","",IFERROR(VLOOKUP($C306,גיליון1!$A:$E,5,0),"לא הגיש בקשה שוטפת"))</f>
        <v>מחול וארגוני גג</v>
      </c>
      <c r="AJ306" s="355">
        <f t="shared" si="18"/>
        <v>0</v>
      </c>
      <c r="AK306" s="15"/>
      <c r="AL306" s="15" t="s">
        <v>250</v>
      </c>
    </row>
    <row r="307" spans="1:38" ht="285.75" x14ac:dyDescent="0.25">
      <c r="A307" s="346">
        <f>'הזנה לתנאי סף'!B307</f>
        <v>277</v>
      </c>
      <c r="B307" s="347">
        <f>IF($F307="","",'הזנה לתנאי סף'!C307)</f>
        <v>1001348167</v>
      </c>
      <c r="C307" s="347">
        <f>IF($F307="","",'הזנה לתנאי סף'!D307)</f>
        <v>1001273659</v>
      </c>
      <c r="D307" s="347">
        <f>IF($F307="","",'הזנה לתנאי סף'!E307)</f>
        <v>40000564</v>
      </c>
      <c r="E307" s="348">
        <f>IF($F307="","",'הזנה לתנאי סף'!F307)</f>
        <v>20000201</v>
      </c>
      <c r="F307" s="348" t="str">
        <f>IF('הזנה לתנאי סף'!BL307=1,'הזנה לתנאי סף'!G307,"")</f>
        <v>תל אביב -יפו</v>
      </c>
      <c r="G307" s="348" t="str">
        <f>IF($F307="","",'הזנה לתנאי סף'!H307)</f>
        <v>עמותת הכוריאוגרפים (ע"ר)</v>
      </c>
      <c r="H307" s="348" t="str">
        <f>IF($F307="","",'הזנה לתנאי סף'!I307)</f>
        <v>יוצרים עצמאיים במחול</v>
      </c>
      <c r="I307" s="349">
        <f>IF($F307="","",'הזנה לתנאי סף'!R307)</f>
        <v>161568</v>
      </c>
      <c r="J307" s="349">
        <f>IF($F307="","",'תחום תמיכה א'!P307)</f>
        <v>123482</v>
      </c>
      <c r="K307" s="177">
        <f>IF($F307="","",'הזנה לתנאי סף'!N307)</f>
        <v>0</v>
      </c>
      <c r="L307" s="177">
        <f>IF($F307="","",'הזנה לתנאי סף'!O307)</f>
        <v>1</v>
      </c>
      <c r="M307" s="177">
        <f>IF($F307="","",'הזנה לתנאי סף'!Q307)</f>
        <v>1</v>
      </c>
      <c r="N307" s="349">
        <f>IF($F307="","",'תחום תמיכה א'!AE307)</f>
        <v>3678.7713167660741</v>
      </c>
      <c r="O307" s="178"/>
      <c r="P307" s="349">
        <f>IF($F307="","",'תחום תמיכה ב'!AC307)</f>
        <v>8179.2043852960305</v>
      </c>
      <c r="Q307" s="349">
        <f>IF($F307="","",IF('תחום תמיכה ג'!O307="",0,'תחום תמיכה ג'!O307))</f>
        <v>0</v>
      </c>
      <c r="R307" s="349">
        <f t="shared" si="16"/>
        <v>245.25387083266469</v>
      </c>
      <c r="S307" s="349">
        <f>IF($F307="","",'תחום תמיכה ב'!AE307)</f>
        <v>8424.4582561286952</v>
      </c>
      <c r="T307" s="349">
        <f>IF($F307="","",IF(Q307='תחום תמיכה ג'!$Q$2,'תחום תמיכה ג'!$Q$2,IFERROR(SUMIF(N307:R307,"&gt;0"),'תחום תמיכה ג'!$Q$2)))</f>
        <v>12103.229572894768</v>
      </c>
      <c r="U307" s="349">
        <f>IF($F307="","",'הזנה לתנאי סף'!Y307)</f>
        <v>150000</v>
      </c>
      <c r="V307" s="350">
        <f>IF(F307="","",'הגבלה לסכום מבוקש '!AA307)</f>
        <v>13505.721594438917</v>
      </c>
      <c r="W307" s="349">
        <f t="shared" si="17"/>
        <v>3376.4303986097293</v>
      </c>
      <c r="X307" s="349">
        <f>IF(F307="","",'הזנה לתנאי סף'!Z307)</f>
        <v>150000</v>
      </c>
      <c r="Y307" s="351" t="s">
        <v>3740</v>
      </c>
      <c r="Z307" s="352" t="str">
        <f>IFERROR(VLOOKUP(G307*1,#REF!,3,0),"")</f>
        <v/>
      </c>
      <c r="AA307" s="349" t="str">
        <f>IF(OR($F307="",Z307=""),"",IFERROR(IF(Z307&gt;V307,MIN(Z307,T307)-V307,0),'תחום תמיכה ג'!$Q$2))</f>
        <v/>
      </c>
      <c r="AB307" s="353"/>
      <c r="AC307" s="260" t="str">
        <f t="shared" si="19"/>
        <v/>
      </c>
      <c r="AD307" s="358"/>
      <c r="AE307" s="180"/>
      <c r="AF307" s="355" t="str">
        <f>IF($C307="","",IFERROR(VLOOKUP($C307,גיליון1!$A:$E,2,0),"לא הגיש בקשה שוטפת"))</f>
        <v>תמיכה שוטפת יוצר עצמאי עודד רונן</v>
      </c>
      <c r="AG307" s="355" t="str">
        <f>IF($C307="","",IFERROR(VLOOKUP($C307,גיליון1!$A:$E,3,0),"לא הגיש בקשה שוטפת"))</f>
        <v>חויב</v>
      </c>
      <c r="AH307" s="355" t="str">
        <f>IF($C307="","",IFERROR(VLOOKUP($C307,גיליון1!$A:$E,4,0),"לא הגיש בקשה שוטפת"))</f>
        <v>19-42-02-20</v>
      </c>
      <c r="AI307" s="355" t="str">
        <f>IF($C307="","",IFERROR(VLOOKUP($C307,גיליון1!$A:$E,5,0),"לא הגיש בקשה שוטפת"))</f>
        <v>מחול וארגוני גג</v>
      </c>
      <c r="AJ307" s="355">
        <f t="shared" si="18"/>
        <v>0</v>
      </c>
      <c r="AK307" s="15"/>
      <c r="AL307" s="15" t="s">
        <v>250</v>
      </c>
    </row>
    <row r="308" spans="1:38" ht="285.75" x14ac:dyDescent="0.25">
      <c r="A308" s="346">
        <f>'הזנה לתנאי סף'!B308</f>
        <v>278</v>
      </c>
      <c r="B308" s="347">
        <f>IF($F308="","",'הזנה לתנאי סף'!C308)</f>
        <v>1001348168</v>
      </c>
      <c r="C308" s="347">
        <f>IF($F308="","",'הזנה לתנאי סף'!D308)</f>
        <v>1001273658</v>
      </c>
      <c r="D308" s="347">
        <f>IF($F308="","",'הזנה לתנאי סף'!E308)</f>
        <v>40000564</v>
      </c>
      <c r="E308" s="348">
        <f>IF($F308="","",'הזנה לתנאי סף'!F308)</f>
        <v>20000201</v>
      </c>
      <c r="F308" s="348" t="str">
        <f>IF('הזנה לתנאי סף'!BL308=1,'הזנה לתנאי סף'!G308,"")</f>
        <v>תל אביב -יפו</v>
      </c>
      <c r="G308" s="348" t="str">
        <f>IF($F308="","",'הזנה לתנאי סף'!H308)</f>
        <v>עמותת הכוריאוגרפים (ע"ר)</v>
      </c>
      <c r="H308" s="348" t="str">
        <f>IF($F308="","",'הזנה לתנאי סף'!I308)</f>
        <v>יוצרים עצמאיים במחול</v>
      </c>
      <c r="I308" s="349">
        <f>IF($F308="","",'הזנה לתנאי סף'!R308)</f>
        <v>168598</v>
      </c>
      <c r="J308" s="349">
        <f>IF($F308="","",'תחום תמיכה א'!P308)</f>
        <v>165435</v>
      </c>
      <c r="K308" s="177">
        <f>IF($F308="","",'הזנה לתנאי סף'!N308)</f>
        <v>0</v>
      </c>
      <c r="L308" s="177">
        <f>IF($F308="","",'הזנה לתנאי סף'!O308)</f>
        <v>1</v>
      </c>
      <c r="M308" s="177">
        <f>IF($F308="","",'הזנה לתנאי סף'!Q308)</f>
        <v>1</v>
      </c>
      <c r="N308" s="349">
        <f>IF($F308="","",'תחום תמיכה א'!AE308)</f>
        <v>6174.9174289541224</v>
      </c>
      <c r="O308" s="178"/>
      <c r="P308" s="349">
        <f>IF($F308="","",'תחום תמיכה ב'!AC308)</f>
        <v>13397.302837565627</v>
      </c>
      <c r="Q308" s="349">
        <f>IF($F308="","",IF('תחום תמיכה ג'!O308="",0,'תחום תמיכה ג'!O308))</f>
        <v>0</v>
      </c>
      <c r="R308" s="349">
        <f t="shared" si="16"/>
        <v>401.71882555438788</v>
      </c>
      <c r="S308" s="349">
        <f>IF($F308="","",'תחום תמיכה ב'!AE308)</f>
        <v>13799.021663120015</v>
      </c>
      <c r="T308" s="349">
        <f>IF($F308="","",IF(Q308='תחום תמיכה ג'!$Q$2,'תחום תמיכה ג'!$Q$2,IFERROR(SUMIF(N308:R308,"&gt;0"),'תחום תמיכה ג'!$Q$2)))</f>
        <v>19973.939092074135</v>
      </c>
      <c r="U308" s="349">
        <f>IF($F308="","",'הזנה לתנאי סף'!Y308)</f>
        <v>150000</v>
      </c>
      <c r="V308" s="350">
        <f>IF(F308="","",'הגבלה לסכום מבוקש '!AA308)</f>
        <v>22271.248841140543</v>
      </c>
      <c r="W308" s="349">
        <f t="shared" si="17"/>
        <v>5567.8122102851357</v>
      </c>
      <c r="X308" s="349">
        <f>IF(F308="","",'הזנה לתנאי סף'!Z308)</f>
        <v>150000</v>
      </c>
      <c r="Y308" s="351" t="s">
        <v>3740</v>
      </c>
      <c r="Z308" s="352" t="str">
        <f>IFERROR(VLOOKUP(G308*1,#REF!,3,0),"")</f>
        <v/>
      </c>
      <c r="AA308" s="349" t="str">
        <f>IF(OR($F308="",Z308=""),"",IFERROR(IF(Z308&gt;V308,MIN(Z308,T308)-V308,0),'תחום תמיכה ג'!$Q$2))</f>
        <v/>
      </c>
      <c r="AB308" s="353"/>
      <c r="AC308" s="260" t="str">
        <f t="shared" si="19"/>
        <v/>
      </c>
      <c r="AD308" s="358"/>
      <c r="AE308" s="180"/>
      <c r="AF308" s="355" t="str">
        <f>IF($C308="","",IFERROR(VLOOKUP($C308,גיליון1!$A:$E,2,0),"לא הגיש בקשה שוטפת"))</f>
        <v>תמיכה שוטפת יוצר עצמאי עדו פדר</v>
      </c>
      <c r="AG308" s="355" t="str">
        <f>IF($C308="","",IFERROR(VLOOKUP($C308,גיליון1!$A:$E,3,0),"לא הגיש בקשה שוטפת"))</f>
        <v>חויב</v>
      </c>
      <c r="AH308" s="355" t="str">
        <f>IF($C308="","",IFERROR(VLOOKUP($C308,גיליון1!$A:$E,4,0),"לא הגיש בקשה שוטפת"))</f>
        <v>19-42-02-20</v>
      </c>
      <c r="AI308" s="355" t="str">
        <f>IF($C308="","",IFERROR(VLOOKUP($C308,גיליון1!$A:$E,5,0),"לא הגיש בקשה שוטפת"))</f>
        <v>מחול וארגוני גג</v>
      </c>
      <c r="AJ308" s="355">
        <f t="shared" si="18"/>
        <v>0</v>
      </c>
      <c r="AK308" s="15"/>
      <c r="AL308" s="15" t="s">
        <v>250</v>
      </c>
    </row>
    <row r="309" spans="1:38" ht="285.75" x14ac:dyDescent="0.25">
      <c r="A309" s="346">
        <f>'הזנה לתנאי סף'!B309</f>
        <v>279</v>
      </c>
      <c r="B309" s="347">
        <f>IF($F309="","",'הזנה לתנאי סף'!C309)</f>
        <v>1001348169</v>
      </c>
      <c r="C309" s="347">
        <f>IF($F309="","",'הזנה לתנאי סף'!D309)</f>
        <v>1001273657</v>
      </c>
      <c r="D309" s="347">
        <f>IF($F309="","",'הזנה לתנאי סף'!E309)</f>
        <v>40000564</v>
      </c>
      <c r="E309" s="348">
        <f>IF($F309="","",'הזנה לתנאי סף'!F309)</f>
        <v>20000201</v>
      </c>
      <c r="F309" s="348" t="str">
        <f>IF('הזנה לתנאי סף'!BL309=1,'הזנה לתנאי סף'!G309,"")</f>
        <v>תל אביב -יפו</v>
      </c>
      <c r="G309" s="348" t="str">
        <f>IF($F309="","",'הזנה לתנאי סף'!H309)</f>
        <v>עמותת הכוריאוגרפים (ע"ר)</v>
      </c>
      <c r="H309" s="348" t="str">
        <f>IF($F309="","",'הזנה לתנאי סף'!I309)</f>
        <v>יוצרים עצמאיים במחול</v>
      </c>
      <c r="I309" s="349">
        <f>IF($F309="","",'הזנה לתנאי סף'!R309)</f>
        <v>108326</v>
      </c>
      <c r="J309" s="349">
        <f>IF($F309="","",'תחום תמיכה א'!P309)</f>
        <v>129656</v>
      </c>
      <c r="K309" s="177">
        <f>IF($F309="","",'הזנה לתנאי סף'!N309)</f>
        <v>0</v>
      </c>
      <c r="L309" s="177">
        <f>IF($F309="","",'הזנה לתנאי סף'!O309)</f>
        <v>1</v>
      </c>
      <c r="M309" s="177">
        <f>IF($F309="","",'הזנה לתנאי סף'!Q309)</f>
        <v>1</v>
      </c>
      <c r="N309" s="349">
        <f>IF($F309="","",'תחום תמיכה א'!AE309)</f>
        <v>2722.4040803398966</v>
      </c>
      <c r="O309" s="178"/>
      <c r="P309" s="349">
        <f>IF($F309="","",'תחום תמיכה ב'!AC309)</f>
        <v>2724.0186773190317</v>
      </c>
      <c r="Q309" s="349">
        <f>IF($F309="","",IF('תחום תמיכה ג'!O309="",0,'תחום תמיכה ג'!O309))</f>
        <v>0</v>
      </c>
      <c r="R309" s="349">
        <f t="shared" si="16"/>
        <v>81.679842361438659</v>
      </c>
      <c r="S309" s="349">
        <f>IF($F309="","",'תחום תמיכה ב'!AE309)</f>
        <v>2805.6985196804703</v>
      </c>
      <c r="T309" s="349">
        <f>IF($F309="","",IF(Q309='תחום תמיכה ג'!$Q$2,'תחום תמיכה ג'!$Q$2,IFERROR(SUMIF(N309:R309,"&gt;0"),'תחום תמיכה ג'!$Q$2)))</f>
        <v>5528.1026000203674</v>
      </c>
      <c r="U309" s="349">
        <f>IF($F309="","",'הזנה לתנאי סף'!Y309)</f>
        <v>150000</v>
      </c>
      <c r="V309" s="350">
        <f>IF(F309="","",'הגבלה לסכום מבוקש '!AA309)</f>
        <v>5995.8730865745647</v>
      </c>
      <c r="W309" s="349">
        <f t="shared" si="17"/>
        <v>1498.9682716436412</v>
      </c>
      <c r="X309" s="349">
        <f>IF(F309="","",'הזנה לתנאי סף'!Z309)</f>
        <v>150000</v>
      </c>
      <c r="Y309" s="351" t="s">
        <v>3740</v>
      </c>
      <c r="Z309" s="352" t="str">
        <f>IFERROR(VLOOKUP(G309*1,#REF!,3,0),"")</f>
        <v/>
      </c>
      <c r="AA309" s="349" t="str">
        <f>IF(OR($F309="",Z309=""),"",IFERROR(IF(Z309&gt;V309,MIN(Z309,T309)-V309,0),'תחום תמיכה ג'!$Q$2))</f>
        <v/>
      </c>
      <c r="AB309" s="353"/>
      <c r="AC309" s="260" t="str">
        <f t="shared" si="19"/>
        <v/>
      </c>
      <c r="AD309" s="358"/>
      <c r="AE309" s="180"/>
      <c r="AF309" s="355" t="str">
        <f>IF($C309="","",IFERROR(VLOOKUP($C309,גיליון1!$A:$E,2,0),"לא הגיש בקשה שוטפת"))</f>
        <v>תמיכה שוטפת יוצרת עצמאית סילביה דוראן</v>
      </c>
      <c r="AG309" s="355" t="str">
        <f>IF($C309="","",IFERROR(VLOOKUP($C309,גיליון1!$A:$E,3,0),"לא הגיש בקשה שוטפת"))</f>
        <v>חויב</v>
      </c>
      <c r="AH309" s="355" t="str">
        <f>IF($C309="","",IFERROR(VLOOKUP($C309,גיליון1!$A:$E,4,0),"לא הגיש בקשה שוטפת"))</f>
        <v>19-42-02-20</v>
      </c>
      <c r="AI309" s="355" t="str">
        <f>IF($C309="","",IFERROR(VLOOKUP($C309,גיליון1!$A:$E,5,0),"לא הגיש בקשה שוטפת"))</f>
        <v>מחול וארגוני גג</v>
      </c>
      <c r="AJ309" s="355">
        <f t="shared" si="18"/>
        <v>0</v>
      </c>
      <c r="AK309" s="15"/>
      <c r="AL309" s="15" t="s">
        <v>250</v>
      </c>
    </row>
    <row r="310" spans="1:38" ht="285.75" x14ac:dyDescent="0.25">
      <c r="A310" s="346">
        <f>'הזנה לתנאי סף'!B310</f>
        <v>280</v>
      </c>
      <c r="B310" s="347">
        <f>IF($F310="","",'הזנה לתנאי סף'!C310)</f>
        <v>1001348170</v>
      </c>
      <c r="C310" s="347">
        <f>IF($F310="","",'הזנה לתנאי סף'!D310)</f>
        <v>1001273655</v>
      </c>
      <c r="D310" s="347">
        <f>IF($F310="","",'הזנה לתנאי סף'!E310)</f>
        <v>40000564</v>
      </c>
      <c r="E310" s="348">
        <f>IF($F310="","",'הזנה לתנאי סף'!F310)</f>
        <v>20000201</v>
      </c>
      <c r="F310" s="348" t="str">
        <f>IF('הזנה לתנאי סף'!BL310=1,'הזנה לתנאי סף'!G310,"")</f>
        <v>תל אביב -יפו</v>
      </c>
      <c r="G310" s="348" t="str">
        <f>IF($F310="","",'הזנה לתנאי סף'!H310)</f>
        <v>עמותת הכוריאוגרפים (ע"ר)</v>
      </c>
      <c r="H310" s="348" t="str">
        <f>IF($F310="","",'הזנה לתנאי סף'!I310)</f>
        <v>יוצרים עצמאיים במחול</v>
      </c>
      <c r="I310" s="349">
        <f>IF($F310="","",'הזנה לתנאי סף'!R310)</f>
        <v>265843</v>
      </c>
      <c r="J310" s="349">
        <f>IF($F310="","",'תחום תמיכה א'!P310)</f>
        <v>255616</v>
      </c>
      <c r="K310" s="177">
        <f>IF($F310="","",'הזנה לתנאי סף'!N310)</f>
        <v>0</v>
      </c>
      <c r="L310" s="177">
        <f>IF($F310="","",'הזנה לתנאי סף'!O310)</f>
        <v>1</v>
      </c>
      <c r="M310" s="177">
        <f>IF($F310="","",'הזנה לתנאי סף'!Q310)</f>
        <v>1</v>
      </c>
      <c r="N310" s="349">
        <f>IF($F310="","",'תחום תמיכה א'!AE310)</f>
        <v>5202.5952342810542</v>
      </c>
      <c r="O310" s="178"/>
      <c r="P310" s="349">
        <f>IF($F310="","",'תחום תמיכה ב'!AC310)</f>
        <v>6253.3365709143718</v>
      </c>
      <c r="Q310" s="349">
        <f>IF($F310="","",IF('תחום תמיכה ג'!O310="",0,'תחום תמיכה ג'!O310))</f>
        <v>0</v>
      </c>
      <c r="R310" s="349">
        <f t="shared" si="16"/>
        <v>187.506623797457</v>
      </c>
      <c r="S310" s="349">
        <f>IF($F310="","",'תחום תמיכה ב'!AE310)</f>
        <v>6440.8431947118288</v>
      </c>
      <c r="T310" s="349">
        <f>IF($F310="","",IF(Q310='תחום תמיכה ג'!$Q$2,'תחום תמיכה ג'!$Q$2,IFERROR(SUMIF(N310:R310,"&gt;0"),'תחום תמיכה ג'!$Q$2)))</f>
        <v>11643.438428992882</v>
      </c>
      <c r="U310" s="349">
        <f>IF($F310="","",'הזנה לתנאי סף'!Y310)</f>
        <v>150000</v>
      </c>
      <c r="V310" s="350">
        <f>IF(F310="","",'הגבלה לסכום מבוקש '!AA310)</f>
        <v>12716.789231960292</v>
      </c>
      <c r="W310" s="349">
        <f t="shared" si="17"/>
        <v>3179.1973079900731</v>
      </c>
      <c r="X310" s="349">
        <f>IF(F310="","",'הזנה לתנאי סף'!Z310)</f>
        <v>150000</v>
      </c>
      <c r="Y310" s="351" t="s">
        <v>3740</v>
      </c>
      <c r="Z310" s="352" t="str">
        <f>IFERROR(VLOOKUP(G310*1,#REF!,3,0),"")</f>
        <v/>
      </c>
      <c r="AA310" s="349" t="str">
        <f>IF(OR($F310="",Z310=""),"",IFERROR(IF(Z310&gt;V310,MIN(Z310,T310)-V310,0),'תחום תמיכה ג'!$Q$2))</f>
        <v/>
      </c>
      <c r="AB310" s="353"/>
      <c r="AC310" s="260" t="str">
        <f t="shared" si="19"/>
        <v/>
      </c>
      <c r="AD310" s="358"/>
      <c r="AE310" s="180"/>
      <c r="AF310" s="355" t="str">
        <f>IF($C310="","",IFERROR(VLOOKUP($C310,גיליון1!$A:$E,2,0),"לא הגיש בקשה שוטפת"))</f>
        <v>תמיכה שוטפת יוצר עצמאי סהר עזימי</v>
      </c>
      <c r="AG310" s="355" t="str">
        <f>IF($C310="","",IFERROR(VLOOKUP($C310,גיליון1!$A:$E,3,0),"לא הגיש בקשה שוטפת"))</f>
        <v>חויב</v>
      </c>
      <c r="AH310" s="355" t="str">
        <f>IF($C310="","",IFERROR(VLOOKUP($C310,גיליון1!$A:$E,4,0),"לא הגיש בקשה שוטפת"))</f>
        <v>19-42-02-20</v>
      </c>
      <c r="AI310" s="355" t="str">
        <f>IF($C310="","",IFERROR(VLOOKUP($C310,גיליון1!$A:$E,5,0),"לא הגיש בקשה שוטפת"))</f>
        <v>מחול וארגוני גג</v>
      </c>
      <c r="AJ310" s="355">
        <f t="shared" si="18"/>
        <v>0</v>
      </c>
      <c r="AK310" s="15"/>
      <c r="AL310" s="15" t="s">
        <v>250</v>
      </c>
    </row>
    <row r="311" spans="1:38" ht="285.75" x14ac:dyDescent="0.25">
      <c r="A311" s="346">
        <f>'הזנה לתנאי סף'!B311</f>
        <v>281</v>
      </c>
      <c r="B311" s="347">
        <f>IF($F311="","",'הזנה לתנאי סף'!C311)</f>
        <v>1001348171</v>
      </c>
      <c r="C311" s="347">
        <f>IF($F311="","",'הזנה לתנאי סף'!D311)</f>
        <v>1001273653</v>
      </c>
      <c r="D311" s="347">
        <f>IF($F311="","",'הזנה לתנאי סף'!E311)</f>
        <v>40000564</v>
      </c>
      <c r="E311" s="348">
        <f>IF($F311="","",'הזנה לתנאי סף'!F311)</f>
        <v>20000201</v>
      </c>
      <c r="F311" s="348" t="str">
        <f>IF('הזנה לתנאי סף'!BL311=1,'הזנה לתנאי סף'!G311,"")</f>
        <v>תל אביב -יפו</v>
      </c>
      <c r="G311" s="348" t="str">
        <f>IF($F311="","",'הזנה לתנאי סף'!H311)</f>
        <v>עמותת הכוריאוגרפים (ע"ר)</v>
      </c>
      <c r="H311" s="348" t="str">
        <f>IF($F311="","",'הזנה לתנאי סף'!I311)</f>
        <v>יוצרים עצמאיים במחול</v>
      </c>
      <c r="I311" s="349">
        <f>IF($F311="","",'הזנה לתנאי סף'!R311)</f>
        <v>191421</v>
      </c>
      <c r="J311" s="349">
        <f>IF($F311="","",'תחום תמיכה א'!P311)</f>
        <v>182896</v>
      </c>
      <c r="K311" s="177">
        <f>IF($F311="","",'הזנה לתנאי סף'!N311)</f>
        <v>0</v>
      </c>
      <c r="L311" s="177">
        <f>IF($F311="","",'הזנה לתנאי סף'!O311)</f>
        <v>1</v>
      </c>
      <c r="M311" s="177">
        <f>IF($F311="","",'הזנה לתנאי סף'!Q311)</f>
        <v>1</v>
      </c>
      <c r="N311" s="349">
        <f>IF($F311="","",'תחום תמיכה א'!AE311)</f>
        <v>5367.6248358615312</v>
      </c>
      <c r="O311" s="178"/>
      <c r="P311" s="349">
        <f>IF($F311="","",'תחום תמיכה ב'!AC311)</f>
        <v>9403.7897718119257</v>
      </c>
      <c r="Q311" s="349">
        <f>IF($F311="","",IF('תחום תמיכה ג'!O311="",0,'תחום תמיכה ג'!O311))</f>
        <v>0</v>
      </c>
      <c r="R311" s="349">
        <f t="shared" si="16"/>
        <v>281.97312762835645</v>
      </c>
      <c r="S311" s="349">
        <f>IF($F311="","",'תחום תמיכה ב'!AE311)</f>
        <v>9685.7628994402821</v>
      </c>
      <c r="T311" s="349">
        <f>IF($F311="","",IF(Q311='תחום תמיכה ג'!$Q$2,'תחום תמיכה ג'!$Q$2,IFERROR(SUMIF(N311:R311,"&gt;0"),'תחום תמיכה ג'!$Q$2)))</f>
        <v>15053.387735301814</v>
      </c>
      <c r="U311" s="349">
        <f>IF($F311="","",'הזנה לתנאי סף'!Y311)</f>
        <v>150000</v>
      </c>
      <c r="V311" s="350">
        <f>IF(F311="","",'הגבלה לסכום מבוקש '!AA311)</f>
        <v>16666.378182237284</v>
      </c>
      <c r="W311" s="349">
        <f t="shared" si="17"/>
        <v>4166.594545559321</v>
      </c>
      <c r="X311" s="349">
        <f>IF(F311="","",'הזנה לתנאי סף'!Z311)</f>
        <v>150000</v>
      </c>
      <c r="Y311" s="351" t="s">
        <v>3740</v>
      </c>
      <c r="Z311" s="352" t="str">
        <f>IFERROR(VLOOKUP(G311*1,#REF!,3,0),"")</f>
        <v/>
      </c>
      <c r="AA311" s="349" t="str">
        <f>IF(OR($F311="",Z311=""),"",IFERROR(IF(Z311&gt;V311,MIN(Z311,T311)-V311,0),'תחום תמיכה ג'!$Q$2))</f>
        <v/>
      </c>
      <c r="AB311" s="353"/>
      <c r="AC311" s="260" t="str">
        <f t="shared" si="19"/>
        <v/>
      </c>
      <c r="AD311" s="358"/>
      <c r="AE311" s="180"/>
      <c r="AF311" s="355" t="str">
        <f>IF($C311="","",IFERROR(VLOOKUP($C311,גיליון1!$A:$E,2,0),"לא הגיש בקשה שוטפת"))</f>
        <v>תמיכה שוטפת יוצרת עצמאית סאלי אן פרידלנד</v>
      </c>
      <c r="AG311" s="355" t="str">
        <f>IF($C311="","",IFERROR(VLOOKUP($C311,גיליון1!$A:$E,3,0),"לא הגיש בקשה שוטפת"))</f>
        <v>חויב</v>
      </c>
      <c r="AH311" s="355" t="str">
        <f>IF($C311="","",IFERROR(VLOOKUP($C311,גיליון1!$A:$E,4,0),"לא הגיש בקשה שוטפת"))</f>
        <v>19-42-02-20</v>
      </c>
      <c r="AI311" s="355" t="str">
        <f>IF($C311="","",IFERROR(VLOOKUP($C311,גיליון1!$A:$E,5,0),"לא הגיש בקשה שוטפת"))</f>
        <v>מחול וארגוני גג</v>
      </c>
      <c r="AJ311" s="355">
        <f t="shared" si="18"/>
        <v>0</v>
      </c>
      <c r="AK311" s="15"/>
      <c r="AL311" s="15" t="s">
        <v>250</v>
      </c>
    </row>
    <row r="312" spans="1:38" ht="285.75" x14ac:dyDescent="0.25">
      <c r="A312" s="346">
        <f>'הזנה לתנאי סף'!B312</f>
        <v>282</v>
      </c>
      <c r="B312" s="347">
        <f>IF($F312="","",'הזנה לתנאי סף'!C312)</f>
        <v>1001348172</v>
      </c>
      <c r="C312" s="347">
        <f>IF($F312="","",'הזנה לתנאי סף'!D312)</f>
        <v>1001273649</v>
      </c>
      <c r="D312" s="347">
        <f>IF($F312="","",'הזנה לתנאי סף'!E312)</f>
        <v>40000564</v>
      </c>
      <c r="E312" s="348">
        <f>IF($F312="","",'הזנה לתנאי סף'!F312)</f>
        <v>20000201</v>
      </c>
      <c r="F312" s="348" t="str">
        <f>IF('הזנה לתנאי סף'!BL312=1,'הזנה לתנאי סף'!G312,"")</f>
        <v>תל אביב -יפו</v>
      </c>
      <c r="G312" s="348" t="str">
        <f>IF($F312="","",'הזנה לתנאי סף'!H312)</f>
        <v>עמותת הכוריאוגרפים (ע"ר)</v>
      </c>
      <c r="H312" s="348" t="str">
        <f>IF($F312="","",'הזנה לתנאי סף'!I312)</f>
        <v>יוצרים עצמאיים במחול</v>
      </c>
      <c r="I312" s="349">
        <f>IF($F312="","",'הזנה לתנאי סף'!R312)</f>
        <v>176970</v>
      </c>
      <c r="J312" s="349">
        <f>IF($F312="","",'תחום תמיכה א'!P312)</f>
        <v>142848</v>
      </c>
      <c r="K312" s="177">
        <f>IF($F312="","",'הזנה לתנאי סף'!N312)</f>
        <v>0</v>
      </c>
      <c r="L312" s="177">
        <f>IF($F312="","",'הזנה לתנאי סף'!O312)</f>
        <v>1</v>
      </c>
      <c r="M312" s="177">
        <f>IF($F312="","",'הזנה לתנאי סף'!Q312)</f>
        <v>1</v>
      </c>
      <c r="N312" s="349">
        <f>IF($F312="","",'תחום תמיכה א'!AE312)</f>
        <v>4276.900644249532</v>
      </c>
      <c r="O312" s="178"/>
      <c r="P312" s="349">
        <f>IF($F312="","",'תחום תמיכה ב'!AC312)</f>
        <v>9048.3019191915555</v>
      </c>
      <c r="Q312" s="349">
        <f>IF($F312="","",IF('תחום תמיכה ג'!O312="",0,'תחום תמיכה ג'!O312))</f>
        <v>0</v>
      </c>
      <c r="R312" s="349">
        <f t="shared" si="16"/>
        <v>271.31380579433244</v>
      </c>
      <c r="S312" s="349">
        <f>IF($F312="","",'תחום תמיכה ב'!AE312)</f>
        <v>9319.6157249858879</v>
      </c>
      <c r="T312" s="349">
        <f>IF($F312="","",IF(Q312='תחום תמיכה ג'!$Q$2,'תחום תמיכה ג'!$Q$2,IFERROR(SUMIF(N312:R312,"&gt;0"),'תחום תמיכה ג'!$Q$2)))</f>
        <v>13596.51636923542</v>
      </c>
      <c r="U312" s="349">
        <f>IF($F312="","",'הזנה לתנאי סף'!Y312)</f>
        <v>150000</v>
      </c>
      <c r="V312" s="350">
        <f>IF(F312="","",'הגבלה לסכום מבוקש '!AA312)</f>
        <v>15148.127312746079</v>
      </c>
      <c r="W312" s="349">
        <f t="shared" si="17"/>
        <v>3787.0318281865198</v>
      </c>
      <c r="X312" s="349">
        <f>IF(F312="","",'הזנה לתנאי סף'!Z312)</f>
        <v>150000</v>
      </c>
      <c r="Y312" s="351" t="s">
        <v>3740</v>
      </c>
      <c r="Z312" s="352" t="str">
        <f>IFERROR(VLOOKUP(G312*1,#REF!,3,0),"")</f>
        <v/>
      </c>
      <c r="AA312" s="349" t="str">
        <f>IF(OR($F312="",Z312=""),"",IFERROR(IF(Z312&gt;V312,MIN(Z312,T312)-V312,0),'תחום תמיכה ג'!$Q$2))</f>
        <v/>
      </c>
      <c r="AB312" s="353"/>
      <c r="AC312" s="260" t="str">
        <f t="shared" si="19"/>
        <v/>
      </c>
      <c r="AD312" s="358"/>
      <c r="AE312" s="180"/>
      <c r="AF312" s="355" t="str">
        <f>IF($C312="","",IFERROR(VLOOKUP($C312,גיליון1!$A:$E,2,0),"לא הגיש בקשה שוטפת"))</f>
        <v>תמיכה שוטפת יוצרת עצמאית נעה שדור</v>
      </c>
      <c r="AG312" s="355" t="str">
        <f>IF($C312="","",IFERROR(VLOOKUP($C312,גיליון1!$A:$E,3,0),"לא הגיש בקשה שוטפת"))</f>
        <v>חויב</v>
      </c>
      <c r="AH312" s="355" t="str">
        <f>IF($C312="","",IFERROR(VLOOKUP($C312,גיליון1!$A:$E,4,0),"לא הגיש בקשה שוטפת"))</f>
        <v>19-42-02-20</v>
      </c>
      <c r="AI312" s="355" t="str">
        <f>IF($C312="","",IFERROR(VLOOKUP($C312,גיליון1!$A:$E,5,0),"לא הגיש בקשה שוטפת"))</f>
        <v>מחול וארגוני גג</v>
      </c>
      <c r="AJ312" s="355">
        <f t="shared" si="18"/>
        <v>0</v>
      </c>
      <c r="AK312" s="15"/>
      <c r="AL312" s="15" t="s">
        <v>250</v>
      </c>
    </row>
    <row r="313" spans="1:38" ht="285.75" x14ac:dyDescent="0.25">
      <c r="A313" s="346">
        <f>'הזנה לתנאי סף'!B313</f>
        <v>283</v>
      </c>
      <c r="B313" s="347">
        <f>IF($F313="","",'הזנה לתנאי סף'!C313)</f>
        <v>1001348173</v>
      </c>
      <c r="C313" s="347">
        <f>IF($F313="","",'הזנה לתנאי סף'!D313)</f>
        <v>1001273634</v>
      </c>
      <c r="D313" s="347">
        <f>IF($F313="","",'הזנה לתנאי סף'!E313)</f>
        <v>40000564</v>
      </c>
      <c r="E313" s="348">
        <f>IF($F313="","",'הזנה לתנאי סף'!F313)</f>
        <v>20000201</v>
      </c>
      <c r="F313" s="348" t="str">
        <f>IF('הזנה לתנאי סף'!BL313=1,'הזנה לתנאי סף'!G313,"")</f>
        <v>תל אביב -יפו</v>
      </c>
      <c r="G313" s="348" t="str">
        <f>IF($F313="","",'הזנה לתנאי סף'!H313)</f>
        <v>עמותת הכוריאוגרפים (ע"ר)</v>
      </c>
      <c r="H313" s="348" t="str">
        <f>IF($F313="","",'הזנה לתנאי סף'!I313)</f>
        <v>יוצרים עצמאיים במחול</v>
      </c>
      <c r="I313" s="349">
        <f>IF($F313="","",'הזנה לתנאי סף'!R313)</f>
        <v>259656</v>
      </c>
      <c r="J313" s="349">
        <f>IF($F313="","",'תחום תמיכה א'!P313)</f>
        <v>230325</v>
      </c>
      <c r="K313" s="177">
        <f>IF($F313="","",'הזנה לתנאי סף'!N313)</f>
        <v>0</v>
      </c>
      <c r="L313" s="177">
        <f>IF($F313="","",'הזנה לתנאי סף'!O313)</f>
        <v>1</v>
      </c>
      <c r="M313" s="177">
        <f>IF($F313="","",'הזנה לתנאי סף'!Q313)</f>
        <v>1</v>
      </c>
      <c r="N313" s="349">
        <f>IF($F313="","",'תחום תמיכה א'!AE313)</f>
        <v>5587.0624149992427</v>
      </c>
      <c r="O313" s="178"/>
      <c r="P313" s="349">
        <f>IF($F313="","",'תחום תמיכה ב'!AC313)</f>
        <v>8714.464142788609</v>
      </c>
      <c r="Q313" s="349">
        <f>IF($F313="","",IF('תחום תמיכה ג'!O313="",0,'תחום תמיכה ג'!O313))</f>
        <v>0</v>
      </c>
      <c r="R313" s="349">
        <f t="shared" si="16"/>
        <v>261.30366262684038</v>
      </c>
      <c r="S313" s="349">
        <f>IF($F313="","",'תחום תמיכה ב'!AE313)</f>
        <v>8975.7678054154494</v>
      </c>
      <c r="T313" s="349">
        <f>IF($F313="","",IF(Q313='תחום תמיכה ג'!$Q$2,'תחום תמיכה ג'!$Q$2,IFERROR(SUMIF(N313:R313,"&gt;0"),'תחום תמיכה ג'!$Q$2)))</f>
        <v>14562.830220414693</v>
      </c>
      <c r="U313" s="349">
        <f>IF($F313="","",'הזנה לתנאי סף'!Y313)</f>
        <v>150000</v>
      </c>
      <c r="V313" s="350">
        <f>IF(F313="","",'הגבלה לסכום מבוקש '!AA313)</f>
        <v>16057.862762257748</v>
      </c>
      <c r="W313" s="349">
        <f t="shared" si="17"/>
        <v>4014.465690564437</v>
      </c>
      <c r="X313" s="349">
        <f>IF(F313="","",'הזנה לתנאי סף'!Z313)</f>
        <v>150000</v>
      </c>
      <c r="Y313" s="351" t="s">
        <v>3740</v>
      </c>
      <c r="Z313" s="352" t="str">
        <f>IFERROR(VLOOKUP(G313*1,#REF!,3,0),"")</f>
        <v/>
      </c>
      <c r="AA313" s="349" t="str">
        <f>IF(OR($F313="",Z313=""),"",IFERROR(IF(Z313&gt;V313,MIN(Z313,T313)-V313,0),'תחום תמיכה ג'!$Q$2))</f>
        <v/>
      </c>
      <c r="AB313" s="353"/>
      <c r="AC313" s="260" t="str">
        <f t="shared" si="19"/>
        <v/>
      </c>
      <c r="AD313" s="358"/>
      <c r="AE313" s="180"/>
      <c r="AF313" s="355" t="str">
        <f>IF($C313="","",IFERROR(VLOOKUP($C313,גיליון1!$A:$E,2,0),"לא הגיש בקשה שוטפת"))</f>
        <v>תמיכה שוטפת יוצרת עצמאית נימה יעקבי</v>
      </c>
      <c r="AG313" s="355" t="str">
        <f>IF($C313="","",IFERROR(VLOOKUP($C313,גיליון1!$A:$E,3,0),"לא הגיש בקשה שוטפת"))</f>
        <v>חויב</v>
      </c>
      <c r="AH313" s="355" t="str">
        <f>IF($C313="","",IFERROR(VLOOKUP($C313,גיליון1!$A:$E,4,0),"לא הגיש בקשה שוטפת"))</f>
        <v>19-42-02-20</v>
      </c>
      <c r="AI313" s="355" t="str">
        <f>IF($C313="","",IFERROR(VLOOKUP($C313,גיליון1!$A:$E,5,0),"לא הגיש בקשה שוטפת"))</f>
        <v>מחול וארגוני גג</v>
      </c>
      <c r="AJ313" s="355">
        <f t="shared" si="18"/>
        <v>0</v>
      </c>
      <c r="AK313" s="15"/>
      <c r="AL313" s="15" t="s">
        <v>250</v>
      </c>
    </row>
    <row r="314" spans="1:38" ht="285.75" x14ac:dyDescent="0.25">
      <c r="A314" s="346">
        <f>'הזנה לתנאי סף'!B314</f>
        <v>284</v>
      </c>
      <c r="B314" s="347">
        <f>IF($F314="","",'הזנה לתנאי סף'!C314)</f>
        <v>1001348174</v>
      </c>
      <c r="C314" s="347">
        <f>IF($F314="","",'הזנה לתנאי סף'!D314)</f>
        <v>1001273636</v>
      </c>
      <c r="D314" s="347">
        <f>IF($F314="","",'הזנה לתנאי סף'!E314)</f>
        <v>40000564</v>
      </c>
      <c r="E314" s="348">
        <f>IF($F314="","",'הזנה לתנאי סף'!F314)</f>
        <v>20000201</v>
      </c>
      <c r="F314" s="348" t="str">
        <f>IF('הזנה לתנאי סף'!BL314=1,'הזנה לתנאי סף'!G314,"")</f>
        <v>תל אביב -יפו</v>
      </c>
      <c r="G314" s="348" t="str">
        <f>IF($F314="","",'הזנה לתנאי סף'!H314)</f>
        <v>עמותת הכוריאוגרפים (ע"ר)</v>
      </c>
      <c r="H314" s="348" t="str">
        <f>IF($F314="","",'הזנה לתנאי סף'!I314)</f>
        <v>יוצרים עצמאיים במחול</v>
      </c>
      <c r="I314" s="349">
        <f>IF($F314="","",'הזנה לתנאי סף'!R314)</f>
        <v>216192</v>
      </c>
      <c r="J314" s="349">
        <f>IF($F314="","",'תחום תמיכה א'!P314)</f>
        <v>213968</v>
      </c>
      <c r="K314" s="177">
        <f>IF($F314="","",'הזנה לתנאי סף'!N314)</f>
        <v>0</v>
      </c>
      <c r="L314" s="177">
        <f>IF($F314="","",'הזנה לתנאי סף'!O314)</f>
        <v>1</v>
      </c>
      <c r="M314" s="177">
        <f>IF($F314="","",'הזנה לתנאי סף'!Q314)</f>
        <v>1</v>
      </c>
      <c r="N314" s="349">
        <f>IF($F314="","",'תחום תמיכה א'!AE314)</f>
        <v>4034.6144795989085</v>
      </c>
      <c r="O314" s="178"/>
      <c r="P314" s="349">
        <f>IF($F314="","",'תחום תמיכה ב'!AC314)</f>
        <v>4384.3325585362118</v>
      </c>
      <c r="Q314" s="349">
        <f>IF($F314="","",IF('תחום תמיכה ג'!O314="",0,'תחום תמיכה ג'!O314))</f>
        <v>0</v>
      </c>
      <c r="R314" s="349">
        <f t="shared" si="16"/>
        <v>131.46444083629194</v>
      </c>
      <c r="S314" s="349">
        <f>IF($F314="","",'תחום תמיכה ב'!AE314)</f>
        <v>4515.7969993725037</v>
      </c>
      <c r="T314" s="349">
        <f>IF($F314="","",IF(Q314='תחום תמיכה ג'!$Q$2,'תחום תמיכה ג'!$Q$2,IFERROR(SUMIF(N314:R314,"&gt;0"),'תחום תמיכה ג'!$Q$2)))</f>
        <v>8550.4114789714113</v>
      </c>
      <c r="U314" s="349">
        <f>IF($F314="","",'הזנה לתנאי סף'!Y314)</f>
        <v>150000</v>
      </c>
      <c r="V314" s="350">
        <f>IF(F314="","",'הגבלה לסכום מבוקש '!AA314)</f>
        <v>9303.1342311733206</v>
      </c>
      <c r="W314" s="349">
        <f t="shared" si="17"/>
        <v>2325.7835577933301</v>
      </c>
      <c r="X314" s="349">
        <f>IF(F314="","",'הזנה לתנאי סף'!Z314)</f>
        <v>150000</v>
      </c>
      <c r="Y314" s="351" t="s">
        <v>3740</v>
      </c>
      <c r="Z314" s="352" t="str">
        <f>IFERROR(VLOOKUP(G314*1,#REF!,3,0),"")</f>
        <v/>
      </c>
      <c r="AA314" s="349" t="str">
        <f>IF(OR($F314="",Z314=""),"",IFERROR(IF(Z314&gt;V314,MIN(Z314,T314)-V314,0),'תחום תמיכה ג'!$Q$2))</f>
        <v/>
      </c>
      <c r="AB314" s="353"/>
      <c r="AC314" s="260" t="str">
        <f t="shared" si="19"/>
        <v/>
      </c>
      <c r="AD314" s="358"/>
      <c r="AE314" s="180"/>
      <c r="AF314" s="355" t="str">
        <f>IF($C314="","",IFERROR(VLOOKUP($C314,גיליון1!$A:$E,2,0),"לא הגיש בקשה שוטפת"))</f>
        <v>תמיכה ביוצר עצמאי נמרוד פריד</v>
      </c>
      <c r="AG314" s="355" t="str">
        <f>IF($C314="","",IFERROR(VLOOKUP($C314,גיליון1!$A:$E,3,0),"לא הגיש בקשה שוטפת"))</f>
        <v>חויב</v>
      </c>
      <c r="AH314" s="355" t="str">
        <f>IF($C314="","",IFERROR(VLOOKUP($C314,גיליון1!$A:$E,4,0),"לא הגיש בקשה שוטפת"))</f>
        <v>19-42-02-20</v>
      </c>
      <c r="AI314" s="355" t="str">
        <f>IF($C314="","",IFERROR(VLOOKUP($C314,גיליון1!$A:$E,5,0),"לא הגיש בקשה שוטפת"))</f>
        <v>מחול וארגוני גג</v>
      </c>
      <c r="AJ314" s="355">
        <f t="shared" si="18"/>
        <v>0</v>
      </c>
      <c r="AK314" s="15"/>
      <c r="AL314" s="15" t="s">
        <v>250</v>
      </c>
    </row>
    <row r="315" spans="1:38" ht="285.75" x14ac:dyDescent="0.25">
      <c r="A315" s="346">
        <f>'הזנה לתנאי סף'!B315</f>
        <v>285</v>
      </c>
      <c r="B315" s="347">
        <f>IF($F315="","",'הזנה לתנאי סף'!C315)</f>
        <v>1001348175</v>
      </c>
      <c r="C315" s="347">
        <f>IF($F315="","",'הזנה לתנאי סף'!D315)</f>
        <v>1001273638</v>
      </c>
      <c r="D315" s="347">
        <f>IF($F315="","",'הזנה לתנאי סף'!E315)</f>
        <v>40000564</v>
      </c>
      <c r="E315" s="348">
        <f>IF($F315="","",'הזנה לתנאי סף'!F315)</f>
        <v>20000201</v>
      </c>
      <c r="F315" s="348" t="str">
        <f>IF('הזנה לתנאי סף'!BL315=1,'הזנה לתנאי סף'!G315,"")</f>
        <v>תל אביב -יפו</v>
      </c>
      <c r="G315" s="348" t="str">
        <f>IF($F315="","",'הזנה לתנאי סף'!H315)</f>
        <v>עמותת הכוריאוגרפים (ע"ר)</v>
      </c>
      <c r="H315" s="348" t="str">
        <f>IF($F315="","",'הזנה לתנאי סף'!I315)</f>
        <v>יוצרים עצמאיים במחול</v>
      </c>
      <c r="I315" s="349">
        <f>IF($F315="","",'הזנה לתנאי סף'!R315)</f>
        <v>389160</v>
      </c>
      <c r="J315" s="349">
        <f>IF($F315="","",'תחום תמיכה א'!P315)</f>
        <v>413701</v>
      </c>
      <c r="K315" s="177">
        <f>IF($F315="","",'הזנה לתנאי סף'!N315)</f>
        <v>0</v>
      </c>
      <c r="L315" s="177">
        <f>IF($F315="","",'הזנה לתנאי סף'!O315)</f>
        <v>1</v>
      </c>
      <c r="M315" s="177">
        <f>IF($F315="","",'הזנה לתנאי סף'!Q315)</f>
        <v>1</v>
      </c>
      <c r="N315" s="349">
        <f>IF($F315="","",'תחום תמיכה א'!AE315)</f>
        <v>10182.046013117768</v>
      </c>
      <c r="O315" s="178"/>
      <c r="P315" s="349">
        <f>IF($F315="","",'תחום תמיכה ב'!AC315)</f>
        <v>13445.674775566686</v>
      </c>
      <c r="Q315" s="349">
        <f>IF($F315="","",IF('תחום תמיכה ג'!O315="",0,'תחום תמיכה ג'!O315))</f>
        <v>0</v>
      </c>
      <c r="R315" s="349">
        <f t="shared" si="16"/>
        <v>403.16926064264226</v>
      </c>
      <c r="S315" s="349">
        <f>IF($F315="","",'תחום תמיכה ב'!AE315)</f>
        <v>13848.844036209328</v>
      </c>
      <c r="T315" s="349">
        <f>IF($F315="","",IF(Q315='תחום תמיכה ג'!$Q$2,'תחום תמיכה ג'!$Q$2,IFERROR(SUMIF(N315:R315,"&gt;0"),'תחום תמיכה ג'!$Q$2)))</f>
        <v>24030.890049327099</v>
      </c>
      <c r="U315" s="349">
        <f>IF($F315="","",'הזנה לתנאי סף'!Y315)</f>
        <v>150000</v>
      </c>
      <c r="V315" s="350">
        <f>IF(F315="","",'הגבלה לסכום מבוקש '!AA315)</f>
        <v>26338.30880259864</v>
      </c>
      <c r="W315" s="349">
        <f t="shared" si="17"/>
        <v>6584.57720064966</v>
      </c>
      <c r="X315" s="349">
        <f>IF(F315="","",'הזנה לתנאי סף'!Z315)</f>
        <v>150000</v>
      </c>
      <c r="Y315" s="351" t="s">
        <v>3740</v>
      </c>
      <c r="Z315" s="352" t="str">
        <f>IFERROR(VLOOKUP(G315*1,#REF!,3,0),"")</f>
        <v/>
      </c>
      <c r="AA315" s="349" t="str">
        <f>IF(OR($F315="",Z315=""),"",IFERROR(IF(Z315&gt;V315,MIN(Z315,T315)-V315,0),'תחום תמיכה ג'!$Q$2))</f>
        <v/>
      </c>
      <c r="AB315" s="353"/>
      <c r="AC315" s="260" t="str">
        <f t="shared" si="19"/>
        <v/>
      </c>
      <c r="AD315" s="358"/>
      <c r="AE315" s="180"/>
      <c r="AF315" s="355" t="str">
        <f>IF($C315="","",IFERROR(VLOOKUP($C315,גיליון1!$A:$E,2,0),"לא הגיש בקשה שוטפת"))</f>
        <v>תמיכה שוטפת יוצרת עצמאית נעה דר</v>
      </c>
      <c r="AG315" s="355" t="str">
        <f>IF($C315="","",IFERROR(VLOOKUP($C315,גיליון1!$A:$E,3,0),"לא הגיש בקשה שוטפת"))</f>
        <v>חויב</v>
      </c>
      <c r="AH315" s="355" t="str">
        <f>IF($C315="","",IFERROR(VLOOKUP($C315,גיליון1!$A:$E,4,0),"לא הגיש בקשה שוטפת"))</f>
        <v>19-42-02-20</v>
      </c>
      <c r="AI315" s="355" t="str">
        <f>IF($C315="","",IFERROR(VLOOKUP($C315,גיליון1!$A:$E,5,0),"לא הגיש בקשה שוטפת"))</f>
        <v>מחול וארגוני גג</v>
      </c>
      <c r="AJ315" s="355">
        <f t="shared" si="18"/>
        <v>0</v>
      </c>
      <c r="AK315" s="15"/>
      <c r="AL315" s="15" t="s">
        <v>250</v>
      </c>
    </row>
    <row r="316" spans="1:38" ht="285.75" x14ac:dyDescent="0.25">
      <c r="A316" s="346">
        <f>'הזנה לתנאי סף'!B316</f>
        <v>286</v>
      </c>
      <c r="B316" s="347">
        <f>IF($F316="","",'הזנה לתנאי סף'!C316)</f>
        <v>1001348176</v>
      </c>
      <c r="C316" s="347">
        <f>IF($F316="","",'הזנה לתנאי סף'!D316)</f>
        <v>1001273641</v>
      </c>
      <c r="D316" s="347">
        <f>IF($F316="","",'הזנה לתנאי סף'!E316)</f>
        <v>40000564</v>
      </c>
      <c r="E316" s="348">
        <f>IF($F316="","",'הזנה לתנאי סף'!F316)</f>
        <v>20000201</v>
      </c>
      <c r="F316" s="348" t="str">
        <f>IF('הזנה לתנאי סף'!BL316=1,'הזנה לתנאי סף'!G316,"")</f>
        <v>תל אביב -יפו</v>
      </c>
      <c r="G316" s="348" t="str">
        <f>IF($F316="","",'הזנה לתנאי סף'!H316)</f>
        <v>עמותת הכוריאוגרפים (ע"ר)</v>
      </c>
      <c r="H316" s="348" t="str">
        <f>IF($F316="","",'הזנה לתנאי סף'!I316)</f>
        <v>יוצרים עצמאיים במחול</v>
      </c>
      <c r="I316" s="349">
        <f>IF($F316="","",'הזנה לתנאי סף'!R316)</f>
        <v>277847</v>
      </c>
      <c r="J316" s="349">
        <f>IF($F316="","",'תחום תמיכה א'!P316)</f>
        <v>246902</v>
      </c>
      <c r="K316" s="177">
        <f>IF($F316="","",'הזנה לתנאי סף'!N316)</f>
        <v>0</v>
      </c>
      <c r="L316" s="177">
        <f>IF($F316="","",'הזנה לתנאי סף'!O316)</f>
        <v>1</v>
      </c>
      <c r="M316" s="177">
        <f>IF($F316="","",'הזנה לתנאי סף'!Q316)</f>
        <v>1</v>
      </c>
      <c r="N316" s="349">
        <f>IF($F316="","",'תחום תמיכה א'!AE316)</f>
        <v>8720.8517573660101</v>
      </c>
      <c r="O316" s="178"/>
      <c r="P316" s="349">
        <f>IF($F316="","",'תחום תמיכה ב'!AC316)</f>
        <v>19771.141428970335</v>
      </c>
      <c r="Q316" s="349">
        <f>IF($F316="","",IF('תחום תמיכה ג'!O316="",0,'תחום תמיכה ג'!O316))</f>
        <v>0</v>
      </c>
      <c r="R316" s="349">
        <f t="shared" si="16"/>
        <v>592.83870873212436</v>
      </c>
      <c r="S316" s="349">
        <f>IF($F316="","",'תחום תמיכה ב'!AE316)</f>
        <v>20363.98013770246</v>
      </c>
      <c r="T316" s="349">
        <f>IF($F316="","",IF(Q316='תחום תמיכה ג'!$Q$2,'תחום תמיכה ג'!$Q$2,IFERROR(SUMIF(N316:R316,"&gt;0"),'תחום תמיכה ג'!$Q$2)))</f>
        <v>29084.83189506847</v>
      </c>
      <c r="U316" s="349">
        <f>IF($F316="","",'הזנה לתנאי סף'!Y316)</f>
        <v>150000</v>
      </c>
      <c r="V316" s="350">
        <f>IF(F316="","",'הגבלה לסכום מבוקש '!AA316)</f>
        <v>32474.920659397456</v>
      </c>
      <c r="W316" s="349">
        <f t="shared" si="17"/>
        <v>8118.730164849364</v>
      </c>
      <c r="X316" s="349">
        <f>IF(F316="","",'הזנה לתנאי סף'!Z316)</f>
        <v>150000</v>
      </c>
      <c r="Y316" s="351" t="s">
        <v>3740</v>
      </c>
      <c r="Z316" s="352" t="str">
        <f>IFERROR(VLOOKUP(G316*1,#REF!,3,0),"")</f>
        <v/>
      </c>
      <c r="AA316" s="349" t="str">
        <f>IF(OR($F316="",Z316=""),"",IFERROR(IF(Z316&gt;V316,MIN(Z316,T316)-V316,0),'תחום תמיכה ג'!$Q$2))</f>
        <v/>
      </c>
      <c r="AB316" s="353"/>
      <c r="AC316" s="260" t="str">
        <f t="shared" si="19"/>
        <v/>
      </c>
      <c r="AD316" s="358"/>
      <c r="AE316" s="180"/>
      <c r="AF316" s="355" t="str">
        <f>IF($C316="","",IFERROR(VLOOKUP($C316,גיליון1!$A:$E,2,0),"לא הגיש בקשה שוטפת"))</f>
        <v>תמיכה שוטפת יוצרת עצמאית נעה צוק</v>
      </c>
      <c r="AG316" s="355" t="str">
        <f>IF($C316="","",IFERROR(VLOOKUP($C316,גיליון1!$A:$E,3,0),"לא הגיש בקשה שוטפת"))</f>
        <v>חויב</v>
      </c>
      <c r="AH316" s="355" t="str">
        <f>IF($C316="","",IFERROR(VLOOKUP($C316,גיליון1!$A:$E,4,0),"לא הגיש בקשה שוטפת"))</f>
        <v>19-42-02-20</v>
      </c>
      <c r="AI316" s="355" t="str">
        <f>IF($C316="","",IFERROR(VLOOKUP($C316,גיליון1!$A:$E,5,0),"לא הגיש בקשה שוטפת"))</f>
        <v>מחול וארגוני גג</v>
      </c>
      <c r="AJ316" s="355">
        <f t="shared" si="18"/>
        <v>0</v>
      </c>
      <c r="AK316" s="15"/>
      <c r="AL316" s="15" t="s">
        <v>250</v>
      </c>
    </row>
    <row r="317" spans="1:38" ht="285.75" x14ac:dyDescent="0.25">
      <c r="A317" s="346">
        <f>'הזנה לתנאי סף'!B317</f>
        <v>287</v>
      </c>
      <c r="B317" s="347">
        <f>IF($F317="","",'הזנה לתנאי סף'!C317)</f>
        <v>1001348177</v>
      </c>
      <c r="C317" s="347">
        <f>IF($F317="","",'הזנה לתנאי סף'!D317)</f>
        <v>1001273591</v>
      </c>
      <c r="D317" s="347">
        <f>IF($F317="","",'הזנה לתנאי סף'!E317)</f>
        <v>40000564</v>
      </c>
      <c r="E317" s="348">
        <f>IF($F317="","",'הזנה לתנאי סף'!F317)</f>
        <v>20000201</v>
      </c>
      <c r="F317" s="348" t="str">
        <f>IF('הזנה לתנאי סף'!BL317=1,'הזנה לתנאי סף'!G317,"")</f>
        <v>תל אביב -יפו</v>
      </c>
      <c r="G317" s="348" t="str">
        <f>IF($F317="","",'הזנה לתנאי סף'!H317)</f>
        <v>עמותת הכוריאוגרפים (ע"ר)</v>
      </c>
      <c r="H317" s="348" t="str">
        <f>IF($F317="","",'הזנה לתנאי סף'!I317)</f>
        <v>יוצרים עצמאיים במחול</v>
      </c>
      <c r="I317" s="349">
        <f>IF($F317="","",'הזנה לתנאי סף'!R317)</f>
        <v>78897</v>
      </c>
      <c r="J317" s="349">
        <f>IF($F317="","",'תחום תמיכה א'!P317)</f>
        <v>61914</v>
      </c>
      <c r="K317" s="177">
        <f>IF($F317="","",'הזנה לתנאי סף'!N317)</f>
        <v>0</v>
      </c>
      <c r="L317" s="177">
        <f>IF($F317="","",'הזנה לתנאי סף'!O317)</f>
        <v>1</v>
      </c>
      <c r="M317" s="177">
        <f>IF($F317="","",'הזנה לתנאי סף'!Q317)</f>
        <v>1</v>
      </c>
      <c r="N317" s="349">
        <f>IF($F317="","",'תחום תמיכה א'!AE317)</f>
        <v>2386.0545601156523</v>
      </c>
      <c r="O317" s="178"/>
      <c r="P317" s="349">
        <f>IF($F317="","",'תחום תמיכה ב'!AC317)</f>
        <v>6683.4536835873569</v>
      </c>
      <c r="Q317" s="349">
        <f>IF($F317="","",IF('תחום תמיכה ג'!O317="",0,'תחום תמיכה ג'!O317))</f>
        <v>0</v>
      </c>
      <c r="R317" s="349">
        <f t="shared" si="16"/>
        <v>200.40370789332064</v>
      </c>
      <c r="S317" s="349">
        <f>IF($F317="","",'תחום תמיכה ב'!AE317)</f>
        <v>6883.8573914806775</v>
      </c>
      <c r="T317" s="349">
        <f>IF($F317="","",IF(Q317='תחום תמיכה ג'!$Q$2,'תחום תמיכה ג'!$Q$2,IFERROR(SUMIF(N317:R317,"&gt;0"),'תחום תמיכה ג'!$Q$2)))</f>
        <v>9269.9119515963284</v>
      </c>
      <c r="U317" s="349">
        <f>IF($F317="","",'הזנה לתנאי סף'!Y317)</f>
        <v>150000</v>
      </c>
      <c r="V317" s="350">
        <f>IF(F317="","",'הגבלה לסכום מבוקש '!AA317)</f>
        <v>10415.644607880011</v>
      </c>
      <c r="W317" s="349">
        <f t="shared" si="17"/>
        <v>2603.9111519700027</v>
      </c>
      <c r="X317" s="349">
        <f>IF(F317="","",'הזנה לתנאי סף'!Z317)</f>
        <v>150000</v>
      </c>
      <c r="Y317" s="351" t="s">
        <v>3740</v>
      </c>
      <c r="Z317" s="352" t="str">
        <f>IFERROR(VLOOKUP(G317*1,#REF!,3,0),"")</f>
        <v/>
      </c>
      <c r="AA317" s="349" t="str">
        <f>IF(OR($F317="",Z317=""),"",IFERROR(IF(Z317&gt;V317,MIN(Z317,T317)-V317,0),'תחום תמיכה ג'!$Q$2))</f>
        <v/>
      </c>
      <c r="AB317" s="353"/>
      <c r="AC317" s="260" t="str">
        <f t="shared" si="19"/>
        <v/>
      </c>
      <c r="AD317" s="358"/>
      <c r="AE317" s="180"/>
      <c r="AF317" s="355" t="str">
        <f>IF($C317="","",IFERROR(VLOOKUP($C317,גיליון1!$A:$E,2,0),"לא הגיש בקשה שוטפת"))</f>
        <v>תמיכה שוטפת יוצרת עצמאית מאיה מכלל גלפנד</v>
      </c>
      <c r="AG317" s="355" t="str">
        <f>IF($C317="","",IFERROR(VLOOKUP($C317,גיליון1!$A:$E,3,0),"לא הגיש בקשה שוטפת"))</f>
        <v>חויב</v>
      </c>
      <c r="AH317" s="355" t="str">
        <f>IF($C317="","",IFERROR(VLOOKUP($C317,גיליון1!$A:$E,4,0),"לא הגיש בקשה שוטפת"))</f>
        <v>19-42-02-20</v>
      </c>
      <c r="AI317" s="355" t="str">
        <f>IF($C317="","",IFERROR(VLOOKUP($C317,גיליון1!$A:$E,5,0),"לא הגיש בקשה שוטפת"))</f>
        <v>מחול וארגוני גג</v>
      </c>
      <c r="AJ317" s="355">
        <f t="shared" si="18"/>
        <v>0</v>
      </c>
      <c r="AK317" s="15"/>
      <c r="AL317" s="15" t="s">
        <v>250</v>
      </c>
    </row>
    <row r="318" spans="1:38" ht="285.75" x14ac:dyDescent="0.25">
      <c r="A318" s="346">
        <f>'הזנה לתנאי סף'!B318</f>
        <v>288</v>
      </c>
      <c r="B318" s="347">
        <f>IF($F318="","",'הזנה לתנאי סף'!C318)</f>
        <v>1001348178</v>
      </c>
      <c r="C318" s="347">
        <f>IF($F318="","",'הזנה לתנאי סף'!D318)</f>
        <v>1001273593</v>
      </c>
      <c r="D318" s="347">
        <f>IF($F318="","",'הזנה לתנאי סף'!E318)</f>
        <v>40000564</v>
      </c>
      <c r="E318" s="348">
        <f>IF($F318="","",'הזנה לתנאי סף'!F318)</f>
        <v>20000201</v>
      </c>
      <c r="F318" s="348" t="str">
        <f>IF('הזנה לתנאי סף'!BL318=1,'הזנה לתנאי סף'!G318,"")</f>
        <v>תל אביב -יפו</v>
      </c>
      <c r="G318" s="348" t="str">
        <f>IF($F318="","",'הזנה לתנאי סף'!H318)</f>
        <v>עמותת הכוריאוגרפים (ע"ר)</v>
      </c>
      <c r="H318" s="348" t="str">
        <f>IF($F318="","",'הזנה לתנאי סף'!I318)</f>
        <v>יוצרים עצמאיים במחול</v>
      </c>
      <c r="I318" s="349">
        <f>IF($F318="","",'הזנה לתנאי סף'!R318)</f>
        <v>262991</v>
      </c>
      <c r="J318" s="349">
        <f>IF($F318="","",'תחום תמיכה א'!P318)</f>
        <v>262231</v>
      </c>
      <c r="K318" s="177">
        <f>IF($F318="","",'הזנה לתנאי סף'!N318)</f>
        <v>0</v>
      </c>
      <c r="L318" s="177">
        <f>IF($F318="","",'הזנה לתנאי סף'!O318)</f>
        <v>1</v>
      </c>
      <c r="M318" s="177">
        <f>IF($F318="","",'הזנה לתנאי סף'!Q318)</f>
        <v>1</v>
      </c>
      <c r="N318" s="349">
        <f>IF($F318="","",'תחום תמיכה א'!AE318)</f>
        <v>8488.7380905913014</v>
      </c>
      <c r="O318" s="178"/>
      <c r="P318" s="349">
        <f>IF($F318="","",'תחום תמיכה ב'!AC318)</f>
        <v>15718.696584670162</v>
      </c>
      <c r="Q318" s="349">
        <f>IF($F318="","",IF('תחום תמיכה ג'!O318="",0,'תחום תמיכה ג'!O318))</f>
        <v>0</v>
      </c>
      <c r="R318" s="349">
        <f t="shared" si="16"/>
        <v>471.3259383473669</v>
      </c>
      <c r="S318" s="349">
        <f>IF($F318="","",'תחום תמיכה ב'!AE318)</f>
        <v>16190.022523017529</v>
      </c>
      <c r="T318" s="349">
        <f>IF($F318="","",IF(Q318='תחום תמיכה ג'!$Q$2,'תחום תמיכה ג'!$Q$2,IFERROR(SUMIF(N318:R318,"&gt;0"),'תחום תמיכה ג'!$Q$2)))</f>
        <v>24678.760613608833</v>
      </c>
      <c r="U318" s="349">
        <f>IF($F318="","",'הזנה לתנאי סף'!Y318)</f>
        <v>150000</v>
      </c>
      <c r="V318" s="350">
        <f>IF(F318="","",'הגבלה לסכום מבוקש '!AA318)</f>
        <v>27374.698978988559</v>
      </c>
      <c r="W318" s="349">
        <f t="shared" si="17"/>
        <v>6843.6747447471398</v>
      </c>
      <c r="X318" s="349">
        <f>IF(F318="","",'הזנה לתנאי סף'!Z318)</f>
        <v>150000</v>
      </c>
      <c r="Y318" s="351" t="s">
        <v>3740</v>
      </c>
      <c r="Z318" s="352" t="str">
        <f>IFERROR(VLOOKUP(G318*1,#REF!,3,0),"")</f>
        <v/>
      </c>
      <c r="AA318" s="349" t="str">
        <f>IF(OR($F318="",Z318=""),"",IFERROR(IF(Z318&gt;V318,MIN(Z318,T318)-V318,0),'תחום תמיכה ג'!$Q$2))</f>
        <v/>
      </c>
      <c r="AB318" s="353"/>
      <c r="AC318" s="260" t="str">
        <f t="shared" si="19"/>
        <v/>
      </c>
      <c r="AD318" s="358"/>
      <c r="AE318" s="180"/>
      <c r="AF318" s="355" t="str">
        <f>IF($C318="","",IFERROR(VLOOKUP($C318,גיליון1!$A:$E,2,0),"לא הגיש בקשה שוטפת"))</f>
        <v>תמיכה שוטפת יוצרת עצמאית מיכל הרמן</v>
      </c>
      <c r="AG318" s="355" t="str">
        <f>IF($C318="","",IFERROR(VLOOKUP($C318,גיליון1!$A:$E,3,0),"לא הגיש בקשה שוטפת"))</f>
        <v>חויב</v>
      </c>
      <c r="AH318" s="355" t="str">
        <f>IF($C318="","",IFERROR(VLOOKUP($C318,גיליון1!$A:$E,4,0),"לא הגיש בקשה שוטפת"))</f>
        <v>19-42-02-20</v>
      </c>
      <c r="AI318" s="355" t="str">
        <f>IF($C318="","",IFERROR(VLOOKUP($C318,גיליון1!$A:$E,5,0),"לא הגיש בקשה שוטפת"))</f>
        <v>מחול וארגוני גג</v>
      </c>
      <c r="AJ318" s="355">
        <f t="shared" si="18"/>
        <v>0</v>
      </c>
      <c r="AK318" s="15"/>
      <c r="AL318" s="15" t="s">
        <v>250</v>
      </c>
    </row>
    <row r="319" spans="1:38" ht="285.75" x14ac:dyDescent="0.25">
      <c r="A319" s="346">
        <f>'הזנה לתנאי סף'!B319</f>
        <v>289</v>
      </c>
      <c r="B319" s="347">
        <f>IF($F319="","",'הזנה לתנאי סף'!C319)</f>
        <v>1001348197</v>
      </c>
      <c r="C319" s="347">
        <f>IF($F319="","",'הזנה לתנאי סף'!D319)</f>
        <v>1001273523</v>
      </c>
      <c r="D319" s="347">
        <f>IF($F319="","",'הזנה לתנאי סף'!E319)</f>
        <v>40000564</v>
      </c>
      <c r="E319" s="348">
        <f>IF($F319="","",'הזנה לתנאי סף'!F319)</f>
        <v>20000201</v>
      </c>
      <c r="F319" s="348" t="str">
        <f>IF('הזנה לתנאי סף'!BL319=1,'הזנה לתנאי סף'!G319,"")</f>
        <v>תל אביב -יפו</v>
      </c>
      <c r="G319" s="348" t="str">
        <f>IF($F319="","",'הזנה לתנאי סף'!H319)</f>
        <v>עמותת הכוריאוגרפים (ע"ר)</v>
      </c>
      <c r="H319" s="348" t="str">
        <f>IF($F319="","",'הזנה לתנאי סף'!I319)</f>
        <v>יוצרים עצמאיים במחול</v>
      </c>
      <c r="I319" s="349">
        <f>IF($F319="","",'הזנה לתנאי סף'!R319)</f>
        <v>273746</v>
      </c>
      <c r="J319" s="349">
        <f>IF($F319="","",'תחום תמיכה א'!P319)</f>
        <v>258183</v>
      </c>
      <c r="K319" s="177">
        <f>IF($F319="","",'הזנה לתנאי סף'!N319)</f>
        <v>0</v>
      </c>
      <c r="L319" s="177">
        <f>IF($F319="","",'הזנה לתנאי סף'!O319)</f>
        <v>1</v>
      </c>
      <c r="M319" s="177">
        <f>IF($F319="","",'הזנה לתנאי סף'!Q319)</f>
        <v>1</v>
      </c>
      <c r="N319" s="349">
        <f>IF($F319="","",'תחום תמיכה א'!AE319)</f>
        <v>11248.696135660595</v>
      </c>
      <c r="O319" s="178"/>
      <c r="P319" s="349">
        <f>IF($F319="","",'תחום תמיכה ב'!AC319)</f>
        <v>29638.369291867457</v>
      </c>
      <c r="Q319" s="349">
        <f>IF($F319="","",IF('תחום תמיכה ג'!O319="",0,'תחום תמיכה ג'!O319))</f>
        <v>0</v>
      </c>
      <c r="R319" s="349">
        <f t="shared" si="16"/>
        <v>888.70805173496046</v>
      </c>
      <c r="S319" s="349">
        <f>IF($F319="","",'תחום תמיכה ב'!AE319)</f>
        <v>30527.077343602417</v>
      </c>
      <c r="T319" s="349">
        <f>IF($F319="","",IF(Q319='תחום תמיכה ג'!$Q$2,'תחום תמיכה ג'!$Q$2,IFERROR(SUMIF(N319:R319,"&gt;0"),'תחום תמיכה ג'!$Q$2)))</f>
        <v>41775.773479263014</v>
      </c>
      <c r="U319" s="349">
        <f>IF($F319="","",'הזנה לתנאי סף'!Y319)</f>
        <v>150000</v>
      </c>
      <c r="V319" s="350">
        <f>IF(F319="","",'הגבלה לסכום מבוקש '!AA319)</f>
        <v>46856.930702096644</v>
      </c>
      <c r="W319" s="349">
        <f t="shared" si="17"/>
        <v>11714.232675524161</v>
      </c>
      <c r="X319" s="349">
        <f>IF(F319="","",'הזנה לתנאי סף'!Z319)</f>
        <v>150000</v>
      </c>
      <c r="Y319" s="351" t="s">
        <v>3740</v>
      </c>
      <c r="Z319" s="352" t="str">
        <f>IFERROR(VLOOKUP(G319*1,#REF!,3,0),"")</f>
        <v/>
      </c>
      <c r="AA319" s="349" t="str">
        <f>IF(OR($F319="",Z319=""),"",IFERROR(IF(Z319&gt;V319,MIN(Z319,T319)-V319,0),'תחום תמיכה ג'!$Q$2))</f>
        <v/>
      </c>
      <c r="AB319" s="353"/>
      <c r="AC319" s="260" t="str">
        <f t="shared" si="19"/>
        <v/>
      </c>
      <c r="AD319" s="358"/>
      <c r="AE319" s="180"/>
      <c r="AF319" s="355" t="str">
        <f>IF($C319="","",IFERROR(VLOOKUP($C319,גיליון1!$A:$E,2,0),"לא הגיש בקשה שוטפת"))</f>
        <v>תמיכה שוטפת יוצר עצמאי גיל קרר</v>
      </c>
      <c r="AG319" s="355" t="str">
        <f>IF($C319="","",IFERROR(VLOOKUP($C319,גיליון1!$A:$E,3,0),"לא הגיש בקשה שוטפת"))</f>
        <v>חויב</v>
      </c>
      <c r="AH319" s="355" t="str">
        <f>IF($C319="","",IFERROR(VLOOKUP($C319,גיליון1!$A:$E,4,0),"לא הגיש בקשה שוטפת"))</f>
        <v>19-42-02-20</v>
      </c>
      <c r="AI319" s="355" t="str">
        <f>IF($C319="","",IFERROR(VLOOKUP($C319,גיליון1!$A:$E,5,0),"לא הגיש בקשה שוטפת"))</f>
        <v>מחול וארגוני גג</v>
      </c>
      <c r="AJ319" s="355">
        <f t="shared" si="18"/>
        <v>0</v>
      </c>
      <c r="AK319" s="15"/>
      <c r="AL319" s="15" t="s">
        <v>250</v>
      </c>
    </row>
    <row r="320" spans="1:38" ht="285.75" x14ac:dyDescent="0.25">
      <c r="A320" s="346">
        <f>'הזנה לתנאי סף'!B320</f>
        <v>290</v>
      </c>
      <c r="B320" s="347">
        <f>IF($F320="","",'הזנה לתנאי סף'!C320)</f>
        <v>1001348198</v>
      </c>
      <c r="C320" s="347">
        <f>IF($F320="","",'הזנה לתנאי סף'!D320)</f>
        <v>1001273524</v>
      </c>
      <c r="D320" s="347">
        <f>IF($F320="","",'הזנה לתנאי סף'!E320)</f>
        <v>40000564</v>
      </c>
      <c r="E320" s="348">
        <f>IF($F320="","",'הזנה לתנאי סף'!F320)</f>
        <v>20000201</v>
      </c>
      <c r="F320" s="348" t="str">
        <f>IF('הזנה לתנאי סף'!BL320=1,'הזנה לתנאי סף'!G320,"")</f>
        <v>תל אביב -יפו</v>
      </c>
      <c r="G320" s="348" t="str">
        <f>IF($F320="","",'הזנה לתנאי סף'!H320)</f>
        <v>עמותת הכוריאוגרפים (ע"ר)</v>
      </c>
      <c r="H320" s="348" t="str">
        <f>IF($F320="","",'הזנה לתנאי סף'!I320)</f>
        <v>יוצרים עצמאיים במחול</v>
      </c>
      <c r="I320" s="349">
        <f>IF($F320="","",'הזנה לתנאי סף'!R320)</f>
        <v>224773</v>
      </c>
      <c r="J320" s="349">
        <f>IF($F320="","",'תחום תמיכה א'!P320)</f>
        <v>224816</v>
      </c>
      <c r="K320" s="177">
        <f>IF($F320="","",'הזנה לתנאי סף'!N320)</f>
        <v>0</v>
      </c>
      <c r="L320" s="177">
        <f>IF($F320="","",'הזנה לתנאי סף'!O320)</f>
        <v>1</v>
      </c>
      <c r="M320" s="177">
        <f>IF($F320="","",'הזנה לתנאי סף'!Q320)</f>
        <v>1</v>
      </c>
      <c r="N320" s="349">
        <f>IF($F320="","",'תחום תמיכה א'!AE320)</f>
        <v>8377.5706833858731</v>
      </c>
      <c r="O320" s="178"/>
      <c r="P320" s="349">
        <f>IF($F320="","",'תחום תמיכה ב'!AC320)</f>
        <v>17802.596519832485</v>
      </c>
      <c r="Q320" s="349">
        <f>IF($F320="","",IF('תחום תמיכה ג'!O320="",0,'תחום תמיכה ג'!O320))</f>
        <v>0</v>
      </c>
      <c r="R320" s="349">
        <f t="shared" si="16"/>
        <v>533.81178678090146</v>
      </c>
      <c r="S320" s="349">
        <f>IF($F320="","",'תחום תמיכה ב'!AE320)</f>
        <v>18336.408306613386</v>
      </c>
      <c r="T320" s="349">
        <f>IF($F320="","",IF(Q320='תחום תמיכה ג'!$Q$2,'תחום תמיכה ג'!$Q$2,IFERROR(SUMIF(N320:R320,"&gt;0"),'תחום תמיכה ג'!$Q$2)))</f>
        <v>26713.978989999257</v>
      </c>
      <c r="U320" s="349">
        <f>IF($F320="","",'הזנה לתנאי סף'!Y320)</f>
        <v>150000</v>
      </c>
      <c r="V320" s="350">
        <f>IF(F320="","",'הגבלה לסכום מבוקש '!AA320)</f>
        <v>29766.767271993671</v>
      </c>
      <c r="W320" s="349">
        <f t="shared" si="17"/>
        <v>7441.6918179984177</v>
      </c>
      <c r="X320" s="349">
        <f>IF(F320="","",'הזנה לתנאי סף'!Z320)</f>
        <v>150000</v>
      </c>
      <c r="Y320" s="351" t="s">
        <v>3740</v>
      </c>
      <c r="Z320" s="352" t="str">
        <f>IFERROR(VLOOKUP(G320*1,#REF!,3,0),"")</f>
        <v/>
      </c>
      <c r="AA320" s="349" t="str">
        <f>IF(OR($F320="",Z320=""),"",IFERROR(IF(Z320&gt;V320,MIN(Z320,T320)-V320,0),'תחום תמיכה ג'!$Q$2))</f>
        <v/>
      </c>
      <c r="AB320" s="353"/>
      <c r="AC320" s="260" t="str">
        <f t="shared" si="19"/>
        <v/>
      </c>
      <c r="AD320" s="358"/>
      <c r="AE320" s="180"/>
      <c r="AF320" s="355" t="str">
        <f>IF($C320="","",IFERROR(VLOOKUP($C320,גיליון1!$A:$E,2,0),"לא הגיש בקשה שוטפת"))</f>
        <v>תמיכה שוטפת יוצר עצמאי דינה תלם</v>
      </c>
      <c r="AG320" s="355" t="str">
        <f>IF($C320="","",IFERROR(VLOOKUP($C320,גיליון1!$A:$E,3,0),"לא הגיש בקשה שוטפת"))</f>
        <v>חויב</v>
      </c>
      <c r="AH320" s="355" t="str">
        <f>IF($C320="","",IFERROR(VLOOKUP($C320,גיליון1!$A:$E,4,0),"לא הגיש בקשה שוטפת"))</f>
        <v>19-42-02-20</v>
      </c>
      <c r="AI320" s="355" t="str">
        <f>IF($C320="","",IFERROR(VLOOKUP($C320,גיליון1!$A:$E,5,0),"לא הגיש בקשה שוטפת"))</f>
        <v>מחול וארגוני גג</v>
      </c>
      <c r="AJ320" s="355">
        <f t="shared" si="18"/>
        <v>0</v>
      </c>
      <c r="AK320" s="15"/>
      <c r="AL320" s="15" t="s">
        <v>250</v>
      </c>
    </row>
    <row r="321" spans="1:38" ht="285.75" x14ac:dyDescent="0.25">
      <c r="A321" s="346">
        <f>'הזנה לתנאי סף'!B321</f>
        <v>291</v>
      </c>
      <c r="B321" s="347">
        <f>IF($F321="","",'הזנה לתנאי סף'!C321)</f>
        <v>1001348199</v>
      </c>
      <c r="C321" s="347">
        <f>IF($F321="","",'הזנה לתנאי סף'!D321)</f>
        <v>1001273525</v>
      </c>
      <c r="D321" s="347">
        <f>IF($F321="","",'הזנה לתנאי סף'!E321)</f>
        <v>40000564</v>
      </c>
      <c r="E321" s="348">
        <f>IF($F321="","",'הזנה לתנאי סף'!F321)</f>
        <v>20000201</v>
      </c>
      <c r="F321" s="348" t="str">
        <f>IF('הזנה לתנאי סף'!BL321=1,'הזנה לתנאי סף'!G321,"")</f>
        <v>תל אביב -יפו</v>
      </c>
      <c r="G321" s="348" t="str">
        <f>IF($F321="","",'הזנה לתנאי סף'!H321)</f>
        <v>עמותת הכוריאוגרפים (ע"ר)</v>
      </c>
      <c r="H321" s="348" t="str">
        <f>IF($F321="","",'הזנה לתנאי סף'!I321)</f>
        <v>יוצרים עצמאיים במחול</v>
      </c>
      <c r="I321" s="349">
        <f>IF($F321="","",'הזנה לתנאי סף'!R321)</f>
        <v>312296</v>
      </c>
      <c r="J321" s="349">
        <f>IF($F321="","",'תחום תמיכה א'!P321)</f>
        <v>280116</v>
      </c>
      <c r="K321" s="177">
        <f>IF($F321="","",'הזנה לתנאי סף'!N321)</f>
        <v>0</v>
      </c>
      <c r="L321" s="177">
        <f>IF($F321="","",'הזנה לתנאי סף'!O321)</f>
        <v>1</v>
      </c>
      <c r="M321" s="177">
        <f>IF($F321="","",'הזנה לתנאי סף'!Q321)</f>
        <v>1</v>
      </c>
      <c r="N321" s="349">
        <f>IF($F321="","",'תחום תמיכה א'!AE321)</f>
        <v>5982.209790630176</v>
      </c>
      <c r="O321" s="178"/>
      <c r="P321" s="349">
        <f>IF($F321="","",'תחום תמיכה ב'!AC321)</f>
        <v>8124.0260326395382</v>
      </c>
      <c r="Q321" s="349">
        <f>IF($F321="","",IF('תחום תמיכה ג'!O321="",0,'תחום תמיכה ג'!O321))</f>
        <v>0</v>
      </c>
      <c r="R321" s="349">
        <f t="shared" si="16"/>
        <v>243.59934504535158</v>
      </c>
      <c r="S321" s="349">
        <f>IF($F321="","",'תחום תמיכה ב'!AE321)</f>
        <v>8367.6253776848898</v>
      </c>
      <c r="T321" s="349">
        <f>IF($F321="","",IF(Q321='תחום תמיכה ג'!$Q$2,'תחום תמיכה ג'!$Q$2,IFERROR(SUMIF(N321:R321,"&gt;0"),'תחום תמיכה ג'!$Q$2)))</f>
        <v>14349.835168315067</v>
      </c>
      <c r="U321" s="349">
        <f>IF($F321="","",'הזנה לתנאי סף'!Y321)</f>
        <v>150000</v>
      </c>
      <c r="V321" s="350">
        <f>IF(F321="","",'הגבלה לסכום מבוקש '!AA321)</f>
        <v>15743.925848285047</v>
      </c>
      <c r="W321" s="349">
        <f t="shared" si="17"/>
        <v>3935.9814620712618</v>
      </c>
      <c r="X321" s="349">
        <f>IF(F321="","",'הזנה לתנאי סף'!Z321)</f>
        <v>150000</v>
      </c>
      <c r="Y321" s="351" t="s">
        <v>3740</v>
      </c>
      <c r="Z321" s="352" t="str">
        <f>IFERROR(VLOOKUP(G321*1,#REF!,3,0),"")</f>
        <v/>
      </c>
      <c r="AA321" s="349" t="str">
        <f>IF(OR($F321="",Z321=""),"",IFERROR(IF(Z321&gt;V321,MIN(Z321,T321)-V321,0),'תחום תמיכה ג'!$Q$2))</f>
        <v/>
      </c>
      <c r="AB321" s="353"/>
      <c r="AC321" s="260" t="str">
        <f t="shared" si="19"/>
        <v/>
      </c>
      <c r="AD321" s="358"/>
      <c r="AE321" s="180"/>
      <c r="AF321" s="355" t="str">
        <f>IF($C321="","",IFERROR(VLOOKUP($C321,גיליון1!$A:$E,2,0),"לא הגיש בקשה שוטפת"))</f>
        <v>תמיכה שוטפת יוצרת עצמאית דנה יהלומי</v>
      </c>
      <c r="AG321" s="355" t="str">
        <f>IF($C321="","",IFERROR(VLOOKUP($C321,גיליון1!$A:$E,3,0),"לא הגיש בקשה שוטפת"))</f>
        <v>חויב</v>
      </c>
      <c r="AH321" s="355" t="str">
        <f>IF($C321="","",IFERROR(VLOOKUP($C321,גיליון1!$A:$E,4,0),"לא הגיש בקשה שוטפת"))</f>
        <v>19-42-02-20</v>
      </c>
      <c r="AI321" s="355" t="str">
        <f>IF($C321="","",IFERROR(VLOOKUP($C321,גיליון1!$A:$E,5,0),"לא הגיש בקשה שוטפת"))</f>
        <v>מחול וארגוני גג</v>
      </c>
      <c r="AJ321" s="355">
        <f t="shared" si="18"/>
        <v>0</v>
      </c>
      <c r="AK321" s="15"/>
      <c r="AL321" s="15" t="s">
        <v>250</v>
      </c>
    </row>
    <row r="322" spans="1:38" ht="285.75" x14ac:dyDescent="0.25">
      <c r="A322" s="346">
        <f>'הזנה לתנאי סף'!B322</f>
        <v>292</v>
      </c>
      <c r="B322" s="347">
        <f>IF($F322="","",'הזנה לתנאי סף'!C322)</f>
        <v>1001348210</v>
      </c>
      <c r="C322" s="347">
        <f>IF($F322="","",'הזנה לתנאי סף'!D322)</f>
        <v>1001273526</v>
      </c>
      <c r="D322" s="347">
        <f>IF($F322="","",'הזנה לתנאי סף'!E322)</f>
        <v>40000564</v>
      </c>
      <c r="E322" s="348">
        <f>IF($F322="","",'הזנה לתנאי סף'!F322)</f>
        <v>20000201</v>
      </c>
      <c r="F322" s="348" t="str">
        <f>IF('הזנה לתנאי סף'!BL322=1,'הזנה לתנאי סף'!G322,"")</f>
        <v>תל אביב -יפו</v>
      </c>
      <c r="G322" s="348" t="str">
        <f>IF($F322="","",'הזנה לתנאי סף'!H322)</f>
        <v>עמותת הכוריאוגרפים (ע"ר)</v>
      </c>
      <c r="H322" s="348" t="str">
        <f>IF($F322="","",'הזנה לתנאי סף'!I322)</f>
        <v>יוצרים עצמאיים במחול</v>
      </c>
      <c r="I322" s="349">
        <f>IF($F322="","",'הזנה לתנאי סף'!R322)</f>
        <v>258992</v>
      </c>
      <c r="J322" s="349">
        <f>IF($F322="","",'תחום תמיכה א'!P322)</f>
        <v>287896</v>
      </c>
      <c r="K322" s="177">
        <f>IF($F322="","",'הזנה לתנאי סף'!N322)</f>
        <v>0</v>
      </c>
      <c r="L322" s="177">
        <f>IF($F322="","",'הזנה לתנאי סף'!O322)</f>
        <v>1</v>
      </c>
      <c r="M322" s="177">
        <f>IF($F322="","",'הזנה לתנאי סף'!Q322)</f>
        <v>1</v>
      </c>
      <c r="N322" s="349">
        <f>IF($F322="","",'תחום תמיכה א'!AE322)</f>
        <v>7646.5667689796428</v>
      </c>
      <c r="O322" s="178"/>
      <c r="P322" s="349">
        <f>IF($F322="","",'תחום תמיכה ב'!AC322)</f>
        <v>10420.90642517135</v>
      </c>
      <c r="Q322" s="349">
        <f>IF($F322="","",IF('תחום תמיכה ג'!O322="",0,'תחום תמיכה ג'!O322))</f>
        <v>0</v>
      </c>
      <c r="R322" s="349">
        <f t="shared" si="16"/>
        <v>312.47142362071645</v>
      </c>
      <c r="S322" s="349">
        <f>IF($F322="","",'תחום תמיכה ב'!AE322)</f>
        <v>10733.377848792066</v>
      </c>
      <c r="T322" s="349">
        <f>IF($F322="","",IF(Q322='תחום תמיכה ג'!$Q$2,'תחום תמיכה ג'!$Q$2,IFERROR(SUMIF(N322:R322,"&gt;0"),'תחום תמיכה ג'!$Q$2)))</f>
        <v>18379.944617771711</v>
      </c>
      <c r="U322" s="349">
        <f>IF($F322="","",'הזנה לתנאי סף'!Y322)</f>
        <v>150000</v>
      </c>
      <c r="V322" s="350">
        <f>IF(F322="","",'הגבלה לסכום מבוקש '!AA322)</f>
        <v>20168.169899810502</v>
      </c>
      <c r="W322" s="349">
        <f t="shared" si="17"/>
        <v>5042.0424749526255</v>
      </c>
      <c r="X322" s="349">
        <f>IF(F322="","",'הזנה לתנאי סף'!Z322)</f>
        <v>150000</v>
      </c>
      <c r="Y322" s="351" t="s">
        <v>3740</v>
      </c>
      <c r="Z322" s="352" t="str">
        <f>IFERROR(VLOOKUP(G322*1,#REF!,3,0),"")</f>
        <v/>
      </c>
      <c r="AA322" s="349" t="str">
        <f>IF(OR($F322="",Z322=""),"",IFERROR(IF(Z322&gt;V322,MIN(Z322,T322)-V322,0),'תחום תמיכה ג'!$Q$2))</f>
        <v/>
      </c>
      <c r="AB322" s="353"/>
      <c r="AC322" s="260" t="str">
        <f t="shared" si="19"/>
        <v/>
      </c>
      <c r="AD322" s="358"/>
      <c r="AE322" s="180"/>
      <c r="AF322" s="355" t="str">
        <f>IF($C322="","",IFERROR(VLOOKUP($C322,גיליון1!$A:$E,2,0),"לא הגיש בקשה שוטפת"))</f>
        <v>תמיכה שוטפת יוצרת עצמאית דנה רוטנברג</v>
      </c>
      <c r="AG322" s="355" t="str">
        <f>IF($C322="","",IFERROR(VLOOKUP($C322,גיליון1!$A:$E,3,0),"לא הגיש בקשה שוטפת"))</f>
        <v>חויב</v>
      </c>
      <c r="AH322" s="355" t="str">
        <f>IF($C322="","",IFERROR(VLOOKUP($C322,גיליון1!$A:$E,4,0),"לא הגיש בקשה שוטפת"))</f>
        <v>19-42-02-20</v>
      </c>
      <c r="AI322" s="355" t="str">
        <f>IF($C322="","",IFERROR(VLOOKUP($C322,גיליון1!$A:$E,5,0),"לא הגיש בקשה שוטפת"))</f>
        <v>מחול וארגוני גג</v>
      </c>
      <c r="AJ322" s="355">
        <f t="shared" si="18"/>
        <v>0</v>
      </c>
      <c r="AK322" s="15"/>
      <c r="AL322" s="15" t="s">
        <v>250</v>
      </c>
    </row>
    <row r="323" spans="1:38" ht="285.75" x14ac:dyDescent="0.25">
      <c r="A323" s="346">
        <f>'הזנה לתנאי סף'!B323</f>
        <v>293</v>
      </c>
      <c r="B323" s="347">
        <f>IF($F323="","",'הזנה לתנאי סף'!C323)</f>
        <v>1001348211</v>
      </c>
      <c r="C323" s="347">
        <f>IF($F323="","",'הזנה לתנאי סף'!D323)</f>
        <v>1001273529</v>
      </c>
      <c r="D323" s="347">
        <f>IF($F323="","",'הזנה לתנאי סף'!E323)</f>
        <v>40000564</v>
      </c>
      <c r="E323" s="348">
        <f>IF($F323="","",'הזנה לתנאי סף'!F323)</f>
        <v>20000201</v>
      </c>
      <c r="F323" s="348" t="str">
        <f>IF('הזנה לתנאי סף'!BL323=1,'הזנה לתנאי סף'!G323,"")</f>
        <v>תל אביב -יפו</v>
      </c>
      <c r="G323" s="348" t="str">
        <f>IF($F323="","",'הזנה לתנאי סף'!H323)</f>
        <v>עמותת הכוריאוגרפים (ע"ר)</v>
      </c>
      <c r="H323" s="348" t="str">
        <f>IF($F323="","",'הזנה לתנאי סף'!I323)</f>
        <v>יוצרים עצמאיים במחול</v>
      </c>
      <c r="I323" s="349">
        <f>IF($F323="","",'הזנה לתנאי סף'!R323)</f>
        <v>342156</v>
      </c>
      <c r="J323" s="349">
        <f>IF($F323="","",'תחום תמיכה א'!P323)</f>
        <v>349780</v>
      </c>
      <c r="K323" s="177">
        <f>IF($F323="","",'הזנה לתנאי סף'!N323)</f>
        <v>0</v>
      </c>
      <c r="L323" s="177">
        <f>IF($F323="","",'הזנה לתנאי סף'!O323)</f>
        <v>1</v>
      </c>
      <c r="M323" s="177">
        <f>IF($F323="","",'הזנה לתנאי סף'!Q323)</f>
        <v>1</v>
      </c>
      <c r="N323" s="349">
        <f>IF($F323="","",'תחום תמיכה א'!AE323)</f>
        <v>12285.778455737423</v>
      </c>
      <c r="O323" s="178"/>
      <c r="P323" s="349">
        <f>IF($F323="","",'תחום תמיכה ב'!AC323)</f>
        <v>24076.702740940305</v>
      </c>
      <c r="Q323" s="349">
        <f>IF($F323="","",IF('תחום תמיכה ג'!O323="",0,'תחום תמיכה ג'!O323))</f>
        <v>0</v>
      </c>
      <c r="R323" s="349">
        <f t="shared" si="16"/>
        <v>721.94118962456196</v>
      </c>
      <c r="S323" s="349">
        <f>IF($F323="","",'תחום תמיכה ב'!AE323)</f>
        <v>24798.643930564867</v>
      </c>
      <c r="T323" s="349">
        <f>IF($F323="","",IF(Q323='תחום תמיכה ג'!$Q$2,'תחום תמיכה ג'!$Q$2,IFERROR(SUMIF(N323:R323,"&gt;0"),'תחום תמיכה ג'!$Q$2)))</f>
        <v>37084.422386302293</v>
      </c>
      <c r="U323" s="349">
        <f>IF($F323="","",'הזנה לתנאי סף'!Y323)</f>
        <v>150000</v>
      </c>
      <c r="V323" s="350">
        <f>IF(F323="","",'הגבלה לסכום מבוקש '!AA323)</f>
        <v>41213.529230677254</v>
      </c>
      <c r="W323" s="349">
        <f t="shared" si="17"/>
        <v>10303.382307669313</v>
      </c>
      <c r="X323" s="349">
        <f>IF(F323="","",'הזנה לתנאי סף'!Z323)</f>
        <v>150000</v>
      </c>
      <c r="Y323" s="351" t="s">
        <v>3740</v>
      </c>
      <c r="Z323" s="352" t="str">
        <f>IFERROR(VLOOKUP(G323*1,#REF!,3,0),"")</f>
        <v/>
      </c>
      <c r="AA323" s="349" t="str">
        <f>IF(OR($F323="",Z323=""),"",IFERROR(IF(Z323&gt;V323,MIN(Z323,T323)-V323,0),'תחום תמיכה ג'!$Q$2))</f>
        <v/>
      </c>
      <c r="AB323" s="353"/>
      <c r="AC323" s="260" t="str">
        <f t="shared" si="19"/>
        <v/>
      </c>
      <c r="AD323" s="358"/>
      <c r="AE323" s="180"/>
      <c r="AF323" s="355" t="str">
        <f>IF($C323="","",IFERROR(VLOOKUP($C323,גיליון1!$A:$E,2,0),"לא הגיש בקשה שוטפת"))</f>
        <v>תמיכה שוטפת יוצרת עצמאית דפי אלטבב</v>
      </c>
      <c r="AG323" s="355" t="str">
        <f>IF($C323="","",IFERROR(VLOOKUP($C323,גיליון1!$A:$E,3,0),"לא הגיש בקשה שוטפת"))</f>
        <v>חויב</v>
      </c>
      <c r="AH323" s="355" t="str">
        <f>IF($C323="","",IFERROR(VLOOKUP($C323,גיליון1!$A:$E,4,0),"לא הגיש בקשה שוטפת"))</f>
        <v>19-42-02-20</v>
      </c>
      <c r="AI323" s="355" t="str">
        <f>IF($C323="","",IFERROR(VLOOKUP($C323,גיליון1!$A:$E,5,0),"לא הגיש בקשה שוטפת"))</f>
        <v>מחול וארגוני גג</v>
      </c>
      <c r="AJ323" s="355">
        <f t="shared" si="18"/>
        <v>0</v>
      </c>
      <c r="AK323" s="15"/>
      <c r="AL323" s="15" t="s">
        <v>250</v>
      </c>
    </row>
    <row r="324" spans="1:38" ht="285.75" x14ac:dyDescent="0.25">
      <c r="A324" s="346">
        <f>'הזנה לתנאי סף'!B324</f>
        <v>294</v>
      </c>
      <c r="B324" s="347">
        <f>IF($F324="","",'הזנה לתנאי סף'!C324)</f>
        <v>1001348212</v>
      </c>
      <c r="C324" s="347">
        <f>IF($F324="","",'הזנה לתנאי סף'!D324)</f>
        <v>1001273573</v>
      </c>
      <c r="D324" s="347">
        <f>IF($F324="","",'הזנה לתנאי סף'!E324)</f>
        <v>40000564</v>
      </c>
      <c r="E324" s="348">
        <f>IF($F324="","",'הזנה לתנאי סף'!F324)</f>
        <v>20000201</v>
      </c>
      <c r="F324" s="348" t="str">
        <f>IF('הזנה לתנאי סף'!BL324=1,'הזנה לתנאי סף'!G324,"")</f>
        <v>תל אביב -יפו</v>
      </c>
      <c r="G324" s="348" t="str">
        <f>IF($F324="","",'הזנה לתנאי סף'!H324)</f>
        <v>עמותת הכוריאוגרפים (ע"ר)</v>
      </c>
      <c r="H324" s="348" t="str">
        <f>IF($F324="","",'הזנה לתנאי סף'!I324)</f>
        <v>יוצרים עצמאיים במחול</v>
      </c>
      <c r="I324" s="349">
        <f>IF($F324="","",'הזנה לתנאי סף'!R324)</f>
        <v>446870</v>
      </c>
      <c r="J324" s="349">
        <f>IF($F324="","",'תחום תמיכה א'!P324)</f>
        <v>464939</v>
      </c>
      <c r="K324" s="177">
        <f>IF($F324="","",'הזנה לתנאי סף'!N324)</f>
        <v>0</v>
      </c>
      <c r="L324" s="177">
        <f>IF($F324="","",'הזנה לתנאי סף'!O324)</f>
        <v>1</v>
      </c>
      <c r="M324" s="177">
        <f>IF($F324="","",'הזנה לתנאי סף'!Q324)</f>
        <v>1</v>
      </c>
      <c r="N324" s="349">
        <f>IF($F324="","",'תחום תמיכה א'!AE324)</f>
        <v>16863.105132773639</v>
      </c>
      <c r="O324" s="178"/>
      <c r="P324" s="349">
        <f>IF($F324="","",'תחום תמיכה ב'!AC324)</f>
        <v>33529.090966651303</v>
      </c>
      <c r="Q324" s="349">
        <f>IF($F324="","",IF('תחום תמיכה ג'!O324="",0,'תחום תמיכה ג'!O324))</f>
        <v>0</v>
      </c>
      <c r="R324" s="349">
        <f t="shared" si="16"/>
        <v>1005.3715444322079</v>
      </c>
      <c r="S324" s="349">
        <f>IF($F324="","",'תחום תמיכה ב'!AE324)</f>
        <v>34534.462511083511</v>
      </c>
      <c r="T324" s="349">
        <f>IF($F324="","",IF(Q324='תחום תמיכה ג'!$Q$2,'תחום תמיכה ג'!$Q$2,IFERROR(SUMIF(N324:R324,"&gt;0"),'תחום תמיכה ג'!$Q$2)))</f>
        <v>51397.567643857146</v>
      </c>
      <c r="U324" s="349">
        <f>IF($F324="","",'הזנה לתנאי סף'!Y324)</f>
        <v>150000</v>
      </c>
      <c r="V324" s="350">
        <f>IF(F324="","",'הגבלה לסכום מבוקש '!AA324)</f>
        <v>57147.628338672155</v>
      </c>
      <c r="W324" s="349">
        <f t="shared" si="17"/>
        <v>14286.907084668039</v>
      </c>
      <c r="X324" s="349">
        <f>IF(F324="","",'הזנה לתנאי סף'!Z324)</f>
        <v>150000</v>
      </c>
      <c r="Y324" s="351" t="s">
        <v>3740</v>
      </c>
      <c r="Z324" s="352" t="str">
        <f>IFERROR(VLOOKUP(G324*1,#REF!,3,0),"")</f>
        <v/>
      </c>
      <c r="AA324" s="349" t="str">
        <f>IF(OR($F324="",Z324=""),"",IFERROR(IF(Z324&gt;V324,MIN(Z324,T324)-V324,0),'תחום תמיכה ג'!$Q$2))</f>
        <v/>
      </c>
      <c r="AB324" s="353"/>
      <c r="AC324" s="260" t="str">
        <f t="shared" si="19"/>
        <v/>
      </c>
      <c r="AD324" s="358"/>
      <c r="AE324" s="180"/>
      <c r="AF324" s="355" t="str">
        <f>IF($C324="","",IFERROR(VLOOKUP($C324,גיליון1!$A:$E,2,0),"לא הגיש בקשה שוטפת"))</f>
        <v>תמיכה שוטפת יוצר עצמאי הלל קוגן</v>
      </c>
      <c r="AG324" s="355" t="str">
        <f>IF($C324="","",IFERROR(VLOOKUP($C324,גיליון1!$A:$E,3,0),"לא הגיש בקשה שוטפת"))</f>
        <v>חויב</v>
      </c>
      <c r="AH324" s="355" t="str">
        <f>IF($C324="","",IFERROR(VLOOKUP($C324,גיליון1!$A:$E,4,0),"לא הגיש בקשה שוטפת"))</f>
        <v>19-42-02-20</v>
      </c>
      <c r="AI324" s="355" t="str">
        <f>IF($C324="","",IFERROR(VLOOKUP($C324,גיליון1!$A:$E,5,0),"לא הגיש בקשה שוטפת"))</f>
        <v>מחול וארגוני גג</v>
      </c>
      <c r="AJ324" s="355">
        <f t="shared" si="18"/>
        <v>0</v>
      </c>
      <c r="AK324" s="15"/>
      <c r="AL324" s="15" t="s">
        <v>250</v>
      </c>
    </row>
    <row r="325" spans="1:38" ht="285.75" x14ac:dyDescent="0.25">
      <c r="A325" s="346">
        <f>'הזנה לתנאי סף'!B325</f>
        <v>295</v>
      </c>
      <c r="B325" s="347">
        <f>IF($F325="","",'הזנה לתנאי סף'!C325)</f>
        <v>1001348213</v>
      </c>
      <c r="C325" s="347">
        <f>IF($F325="","",'הזנה לתנאי סף'!D325)</f>
        <v>1001273578</v>
      </c>
      <c r="D325" s="347">
        <f>IF($F325="","",'הזנה לתנאי סף'!E325)</f>
        <v>40000564</v>
      </c>
      <c r="E325" s="348">
        <f>IF($F325="","",'הזנה לתנאי סף'!F325)</f>
        <v>20000201</v>
      </c>
      <c r="F325" s="348" t="str">
        <f>IF('הזנה לתנאי סף'!BL325=1,'הזנה לתנאי סף'!G325,"")</f>
        <v>תל אביב -יפו</v>
      </c>
      <c r="G325" s="348" t="str">
        <f>IF($F325="","",'הזנה לתנאי סף'!H325)</f>
        <v>עמותת הכוריאוגרפים (ע"ר)</v>
      </c>
      <c r="H325" s="348" t="str">
        <f>IF($F325="","",'הזנה לתנאי סף'!I325)</f>
        <v>יוצרים עצמאיים במחול</v>
      </c>
      <c r="I325" s="349">
        <f>IF($F325="","",'הזנה לתנאי סף'!R325)</f>
        <v>41887</v>
      </c>
      <c r="J325" s="349">
        <f>IF($F325="","",'תחום תמיכה א'!P325)</f>
        <v>39273</v>
      </c>
      <c r="K325" s="177">
        <f>IF($F325="","",'הזנה לתנאי סף'!N325)</f>
        <v>0</v>
      </c>
      <c r="L325" s="177">
        <f>IF($F325="","",'הזנה לתנאי סף'!O325)</f>
        <v>1</v>
      </c>
      <c r="M325" s="177">
        <f>IF($F325="","",'הזנה לתנאי סף'!Q325)</f>
        <v>1</v>
      </c>
      <c r="N325" s="349">
        <f>IF($F325="","",'תחום תמיכה א'!AE325)</f>
        <v>2146.8389888970755</v>
      </c>
      <c r="O325" s="178"/>
      <c r="P325" s="349">
        <f>IF($F325="","",'תחום תמיכה ב'!AC325)</f>
        <v>7139.1661235930233</v>
      </c>
      <c r="Q325" s="349">
        <f>IF($F325="","",IF('תחום תמיכה ג'!O325="",0,'תחום תמיכה ג'!O325))</f>
        <v>0</v>
      </c>
      <c r="R325" s="349">
        <f t="shared" si="16"/>
        <v>214.06826921653555</v>
      </c>
      <c r="S325" s="349">
        <f>IF($F325="","",'תחום תמיכה ב'!AE325)</f>
        <v>7353.2343928095588</v>
      </c>
      <c r="T325" s="349">
        <f>IF($F325="","",IF(Q325='תחום תמיכה ג'!$Q$2,'תחום תמיכה ג'!$Q$2,IFERROR(SUMIF(N325:R325,"&gt;0"),'תחום תמיכה ג'!$Q$2)))</f>
        <v>9500.0733817066339</v>
      </c>
      <c r="U325" s="349">
        <f>IF($F325="","",'הזנה לתנאי סף'!Y325)</f>
        <v>150000</v>
      </c>
      <c r="V325" s="350">
        <f>IF(F325="","",'הגבלה לסכום מבוקש '!AA325)</f>
        <v>10723.745016569217</v>
      </c>
      <c r="W325" s="349">
        <f t="shared" si="17"/>
        <v>2680.9362541423043</v>
      </c>
      <c r="X325" s="349">
        <f>IF(F325="","",'הזנה לתנאי סף'!Z325)</f>
        <v>150000</v>
      </c>
      <c r="Y325" s="351" t="s">
        <v>3740</v>
      </c>
      <c r="Z325" s="352" t="str">
        <f>IFERROR(VLOOKUP(G325*1,#REF!,3,0),"")</f>
        <v/>
      </c>
      <c r="AA325" s="349" t="str">
        <f>IF(OR($F325="",Z325=""),"",IFERROR(IF(Z325&gt;V325,MIN(Z325,T325)-V325,0),'תחום תמיכה ג'!$Q$2))</f>
        <v/>
      </c>
      <c r="AB325" s="353"/>
      <c r="AC325" s="260" t="str">
        <f t="shared" si="19"/>
        <v/>
      </c>
      <c r="AD325" s="358"/>
      <c r="AE325" s="180"/>
      <c r="AF325" s="355" t="str">
        <f>IF($C325="","",IFERROR(VLOOKUP($C325,גיליון1!$A:$E,2,0),"לא הגיש בקשה שוטפת"))</f>
        <v>תמיכה שוטפת יוצרת עצמאית לילך לבנה</v>
      </c>
      <c r="AG325" s="355" t="str">
        <f>IF($C325="","",IFERROR(VLOOKUP($C325,גיליון1!$A:$E,3,0),"לא הגיש בקשה שוטפת"))</f>
        <v>חויב</v>
      </c>
      <c r="AH325" s="355" t="str">
        <f>IF($C325="","",IFERROR(VLOOKUP($C325,גיליון1!$A:$E,4,0),"לא הגיש בקשה שוטפת"))</f>
        <v>19-42-02-20</v>
      </c>
      <c r="AI325" s="355" t="str">
        <f>IF($C325="","",IFERROR(VLOOKUP($C325,גיליון1!$A:$E,5,0),"לא הגיש בקשה שוטפת"))</f>
        <v>מחול וארגוני גג</v>
      </c>
      <c r="AJ325" s="355">
        <f t="shared" si="18"/>
        <v>0</v>
      </c>
      <c r="AK325" s="15"/>
      <c r="AL325" s="15" t="s">
        <v>250</v>
      </c>
    </row>
    <row r="326" spans="1:38" ht="285.75" x14ac:dyDescent="0.25">
      <c r="A326" s="346">
        <f>'הזנה לתנאי סף'!B326</f>
        <v>296</v>
      </c>
      <c r="B326" s="347">
        <f>IF($F326="","",'הזנה לתנאי סף'!C326)</f>
        <v>1001348214</v>
      </c>
      <c r="C326" s="347">
        <f>IF($F326="","",'הזנה לתנאי סף'!D326)</f>
        <v>1001273579</v>
      </c>
      <c r="D326" s="347">
        <f>IF($F326="","",'הזנה לתנאי סף'!E326)</f>
        <v>40000564</v>
      </c>
      <c r="E326" s="348">
        <f>IF($F326="","",'הזנה לתנאי סף'!F326)</f>
        <v>20000201</v>
      </c>
      <c r="F326" s="348" t="str">
        <f>IF('הזנה לתנאי סף'!BL326=1,'הזנה לתנאי סף'!G326,"")</f>
        <v>תל אביב -יפו</v>
      </c>
      <c r="G326" s="348" t="str">
        <f>IF($F326="","",'הזנה לתנאי סף'!H326)</f>
        <v>עמותת הכוריאוגרפים (ע"ר)</v>
      </c>
      <c r="H326" s="348" t="str">
        <f>IF($F326="","",'הזנה לתנאי סף'!I326)</f>
        <v>יוצרים עצמאיים במחול</v>
      </c>
      <c r="I326" s="349">
        <f>IF($F326="","",'הזנה לתנאי סף'!R326)</f>
        <v>111467</v>
      </c>
      <c r="J326" s="349">
        <f>IF($F326="","",'תחום תמיכה א'!P326)</f>
        <v>112880</v>
      </c>
      <c r="K326" s="177">
        <f>IF($F326="","",'הזנה לתנאי סף'!N326)</f>
        <v>0</v>
      </c>
      <c r="L326" s="177">
        <f>IF($F326="","",'הזנה לתנאי סף'!O326)</f>
        <v>1</v>
      </c>
      <c r="M326" s="177">
        <f>IF($F326="","",'הזנה לתנאי סף'!Q326)</f>
        <v>1</v>
      </c>
      <c r="N326" s="349">
        <f>IF($F326="","",'תחום תמיכה א'!AE326)</f>
        <v>2313.2771625617374</v>
      </c>
      <c r="O326" s="178"/>
      <c r="P326" s="349">
        <f>IF($F326="","",'תחום תמיכה ב'!AC326)</f>
        <v>2670.0850206450127</v>
      </c>
      <c r="Q326" s="349">
        <f>IF($F326="","",IF('תחום תמיכה ג'!O326="",0,'תחום תמיכה ג'!O326))</f>
        <v>0</v>
      </c>
      <c r="R326" s="349">
        <f t="shared" si="16"/>
        <v>80.062638848191909</v>
      </c>
      <c r="S326" s="349">
        <f>IF($F326="","",'תחום תמיכה ב'!AE326)</f>
        <v>2750.1476594932046</v>
      </c>
      <c r="T326" s="349">
        <f>IF($F326="","",IF(Q326='תחום תמיכה ג'!$Q$2,'תחום תמיכה ג'!$Q$2,IFERROR(SUMIF(N326:R326,"&gt;0"),'תחום תמיכה ג'!$Q$2)))</f>
        <v>5063.4248220549416</v>
      </c>
      <c r="U326" s="349">
        <f>IF($F326="","",'הזנה לתנאי סף'!Y326)</f>
        <v>150000</v>
      </c>
      <c r="V326" s="350">
        <f>IF(F326="","",'הגבלה לסכום מבוקש '!AA326)</f>
        <v>5521.7720380721485</v>
      </c>
      <c r="W326" s="349">
        <f t="shared" si="17"/>
        <v>1380.4430095180371</v>
      </c>
      <c r="X326" s="349">
        <f>IF(F326="","",'הזנה לתנאי סף'!Z326)</f>
        <v>150000</v>
      </c>
      <c r="Y326" s="351" t="s">
        <v>3740</v>
      </c>
      <c r="Z326" s="352" t="str">
        <f>IFERROR(VLOOKUP(G326*1,#REF!,3,0),"")</f>
        <v/>
      </c>
      <c r="AA326" s="349" t="str">
        <f>IF(OR($F326="",Z326=""),"",IFERROR(IF(Z326&gt;V326,MIN(Z326,T326)-V326,0),'תחום תמיכה ג'!$Q$2))</f>
        <v/>
      </c>
      <c r="AB326" s="353"/>
      <c r="AC326" s="260" t="str">
        <f t="shared" si="19"/>
        <v/>
      </c>
      <c r="AD326" s="358"/>
      <c r="AE326" s="180"/>
      <c r="AF326" s="355" t="str">
        <f>IF($C326="","",IFERROR(VLOOKUP($C326,גיליון1!$A:$E,2,0),"לא הגיש בקשה שוטפת"))</f>
        <v>תמיכה שוטפת יוצרת עצמאית מאיה ברינר</v>
      </c>
      <c r="AG326" s="355" t="str">
        <f>IF($C326="","",IFERROR(VLOOKUP($C326,גיליון1!$A:$E,3,0),"לא הגיש בקשה שוטפת"))</f>
        <v>חויב</v>
      </c>
      <c r="AH326" s="355" t="str">
        <f>IF($C326="","",IFERROR(VLOOKUP($C326,גיליון1!$A:$E,4,0),"לא הגיש בקשה שוטפת"))</f>
        <v>19-42-02-20</v>
      </c>
      <c r="AI326" s="355" t="str">
        <f>IF($C326="","",IFERROR(VLOOKUP($C326,גיליון1!$A:$E,5,0),"לא הגיש בקשה שוטפת"))</f>
        <v>מחול וארגוני גג</v>
      </c>
      <c r="AJ326" s="355">
        <f t="shared" si="18"/>
        <v>0</v>
      </c>
      <c r="AK326" s="15"/>
      <c r="AL326" s="15" t="s">
        <v>250</v>
      </c>
    </row>
    <row r="327" spans="1:38" ht="285.75" x14ac:dyDescent="0.25">
      <c r="A327" s="346">
        <f>'הזנה לתנאי סף'!B327</f>
        <v>297</v>
      </c>
      <c r="B327" s="347">
        <f>IF($F327="","",'הזנה לתנאי סף'!C327)</f>
        <v>1001348215</v>
      </c>
      <c r="C327" s="347">
        <f>IF($F327="","",'הזנה לתנאי סף'!D327)</f>
        <v>1001275690</v>
      </c>
      <c r="D327" s="347">
        <f>IF($F327="","",'הזנה לתנאי סף'!E327)</f>
        <v>40000564</v>
      </c>
      <c r="E327" s="348">
        <f>IF($F327="","",'הזנה לתנאי סף'!F327)</f>
        <v>20000201</v>
      </c>
      <c r="F327" s="348" t="str">
        <f>IF('הזנה לתנאי סף'!BL327=1,'הזנה לתנאי סף'!G327,"")</f>
        <v>תל אביב -יפו</v>
      </c>
      <c r="G327" s="348" t="str">
        <f>IF($F327="","",'הזנה לתנאי סף'!H327)</f>
        <v>עמותת הכוריאוגרפים (ע"ר)</v>
      </c>
      <c r="H327" s="348" t="str">
        <f>IF($F327="","",'הזנה לתנאי סף'!I327)</f>
        <v>יוצרים עצמאיים במחול</v>
      </c>
      <c r="I327" s="349">
        <f>IF($F327="","",'הזנה לתנאי סף'!R327)</f>
        <v>49871</v>
      </c>
      <c r="J327" s="349">
        <f>IF($F327="","",'תחום תמיכה א'!P327)</f>
        <v>22917</v>
      </c>
      <c r="K327" s="177">
        <f>IF($F327="","",'הזנה לתנאי סף'!N327)</f>
        <v>0</v>
      </c>
      <c r="L327" s="177">
        <f>IF($F327="","",'הזנה לתנאי סף'!O327)</f>
        <v>1</v>
      </c>
      <c r="M327" s="177">
        <f>IF($F327="","",'הזנה לתנאי סף'!Q327)</f>
        <v>1</v>
      </c>
      <c r="N327" s="349">
        <f>IF($F327="","",'תחום תמיכה א'!AE327)</f>
        <v>1252.7463934141592</v>
      </c>
      <c r="O327" s="178"/>
      <c r="P327" s="349">
        <f>IF($F327="","",'תחום תמיכה ב'!AC327)</f>
        <v>8499.9487609451062</v>
      </c>
      <c r="Q327" s="349">
        <f>IF($F327="","",IF('תחום תמיכה ג'!O327="",0,'תחום תמיכה ג'!O327))</f>
        <v>0</v>
      </c>
      <c r="R327" s="349">
        <f t="shared" si="16"/>
        <v>254.87140769445978</v>
      </c>
      <c r="S327" s="349">
        <f>IF($F327="","",'תחום תמיכה ב'!AE327)</f>
        <v>8754.820168639566</v>
      </c>
      <c r="T327" s="349">
        <f>IF($F327="","",IF(Q327='תחום תמיכה ג'!$Q$2,'תחום תמיכה ג'!$Q$2,IFERROR(SUMIF(N327:R327,"&gt;0"),'תחום תמיכה ג'!$Q$2)))</f>
        <v>10007.566562053726</v>
      </c>
      <c r="U327" s="349">
        <f>IF($F327="","",'הזנה לתנאי סף'!Y327)</f>
        <v>150000</v>
      </c>
      <c r="V327" s="350">
        <f>IF(F327="","",'הגבלה לסכום מבוקש '!AA327)</f>
        <v>11463.886453151577</v>
      </c>
      <c r="W327" s="349">
        <f t="shared" si="17"/>
        <v>2865.9716132878943</v>
      </c>
      <c r="X327" s="349">
        <f>IF(F327="","",'הזנה לתנאי סף'!Z327)</f>
        <v>150000</v>
      </c>
      <c r="Y327" s="351" t="s">
        <v>3740</v>
      </c>
      <c r="Z327" s="352" t="str">
        <f>IFERROR(VLOOKUP(G327*1,#REF!,3,0),"")</f>
        <v/>
      </c>
      <c r="AA327" s="349" t="str">
        <f>IF(OR($F327="",Z327=""),"",IFERROR(IF(Z327&gt;V327,MIN(Z327,T327)-V327,0),'תחום תמיכה ג'!$Q$2))</f>
        <v/>
      </c>
      <c r="AB327" s="353"/>
      <c r="AC327" s="260" t="str">
        <f t="shared" si="19"/>
        <v/>
      </c>
      <c r="AD327" s="358"/>
      <c r="AE327" s="180"/>
      <c r="AF327" s="355" t="str">
        <f>IF($C327="","",IFERROR(VLOOKUP($C327,גיליון1!$A:$E,2,0),"לא הגיש בקשה שוטפת"))</f>
        <v>תמיכה שוטפת יוצרת עצמאית תמר לם</v>
      </c>
      <c r="AG327" s="355" t="str">
        <f>IF($C327="","",IFERROR(VLOOKUP($C327,גיליון1!$A:$E,3,0),"לא הגיש בקשה שוטפת"))</f>
        <v>חויב</v>
      </c>
      <c r="AH327" s="355" t="str">
        <f>IF($C327="","",IFERROR(VLOOKUP($C327,גיליון1!$A:$E,4,0),"לא הגיש בקשה שוטפת"))</f>
        <v>19-42-02-20</v>
      </c>
      <c r="AI327" s="355" t="str">
        <f>IF($C327="","",IFERROR(VLOOKUP($C327,גיליון1!$A:$E,5,0),"לא הגיש בקשה שוטפת"))</f>
        <v>מחול וארגוני גג</v>
      </c>
      <c r="AJ327" s="355">
        <f t="shared" si="18"/>
        <v>0</v>
      </c>
      <c r="AK327" s="15"/>
      <c r="AL327" s="15" t="s">
        <v>250</v>
      </c>
    </row>
    <row r="328" spans="1:38" ht="285.75" x14ac:dyDescent="0.25">
      <c r="A328" s="346">
        <f>'הזנה לתנאי סף'!B328</f>
        <v>298</v>
      </c>
      <c r="B328" s="347">
        <f>IF($F328="","",'הזנה לתנאי סף'!C328)</f>
        <v>1001348216</v>
      </c>
      <c r="C328" s="347">
        <f>IF($F328="","",'הזנה לתנאי סף'!D328)</f>
        <v>1001273592</v>
      </c>
      <c r="D328" s="347">
        <f>IF($F328="","",'הזנה לתנאי סף'!E328)</f>
        <v>40000564</v>
      </c>
      <c r="E328" s="348">
        <f>IF($F328="","",'הזנה לתנאי סף'!F328)</f>
        <v>20000201</v>
      </c>
      <c r="F328" s="348" t="str">
        <f>IF('הזנה לתנאי סף'!BL328=1,'הזנה לתנאי סף'!G328,"")</f>
        <v>תל אביב -יפו</v>
      </c>
      <c r="G328" s="348" t="str">
        <f>IF($F328="","",'הזנה לתנאי סף'!H328)</f>
        <v>עמותת הכוריאוגרפים (ע"ר)</v>
      </c>
      <c r="H328" s="348" t="str">
        <f>IF($F328="","",'הזנה לתנאי סף'!I328)</f>
        <v>יוצרים עצמאיים במחול</v>
      </c>
      <c r="I328" s="349">
        <f>IF($F328="","",'הזנה לתנאי סף'!R328)</f>
        <v>157939</v>
      </c>
      <c r="J328" s="349">
        <f>IF($F328="","",'תחום תמיכה א'!P328)</f>
        <v>163875</v>
      </c>
      <c r="K328" s="177">
        <f>IF($F328="","",'הזנה לתנאי סף'!N328)</f>
        <v>0</v>
      </c>
      <c r="L328" s="177">
        <f>IF($F328="","",'הזנה לתנאי סף'!O328)</f>
        <v>1</v>
      </c>
      <c r="M328" s="177">
        <f>IF($F328="","",'הזנה לתנאי סף'!Q328)</f>
        <v>1</v>
      </c>
      <c r="N328" s="349">
        <f>IF($F328="","",'תחום תמיכה א'!AE328)</f>
        <v>3025.1089226477875</v>
      </c>
      <c r="O328" s="178"/>
      <c r="P328" s="349">
        <f>IF($F328="","",'תחום תמיכה ב'!AC328)</f>
        <v>3069.7530956196342</v>
      </c>
      <c r="Q328" s="349">
        <f>IF($F328="","",IF('תחום תמיכה ג'!O328="",0,'תחום תמיכה ג'!O328))</f>
        <v>0</v>
      </c>
      <c r="R328" s="349">
        <f t="shared" si="16"/>
        <v>92.046706957796687</v>
      </c>
      <c r="S328" s="349">
        <f>IF($F328="","",'תחום תמיכה ב'!AE328)</f>
        <v>3161.7998025774309</v>
      </c>
      <c r="T328" s="349">
        <f>IF($F328="","",IF(Q328='תחום תמיכה ג'!$Q$2,'תחום תמיכה ג'!$Q$2,IFERROR(SUMIF(N328:R328,"&gt;0"),'תחום תמיכה ג'!$Q$2)))</f>
        <v>6186.9087252252193</v>
      </c>
      <c r="U328" s="349">
        <f>IF($F328="","",'הזנה לתנאי סף'!Y328)</f>
        <v>150000</v>
      </c>
      <c r="V328" s="350">
        <f>IF(F328="","",'הגבלה לסכום מבוקש '!AA328)</f>
        <v>6714.0294806464381</v>
      </c>
      <c r="W328" s="349">
        <f t="shared" si="17"/>
        <v>1678.5073701616095</v>
      </c>
      <c r="X328" s="349">
        <f>IF(F328="","",'הזנה לתנאי סף'!Z328)</f>
        <v>150000</v>
      </c>
      <c r="Y328" s="351" t="s">
        <v>3740</v>
      </c>
      <c r="Z328" s="352" t="str">
        <f>IFERROR(VLOOKUP(G328*1,#REF!,3,0),"")</f>
        <v/>
      </c>
      <c r="AA328" s="349" t="str">
        <f>IF(OR($F328="",Z328=""),"",IFERROR(IF(Z328&gt;V328,MIN(Z328,T328)-V328,0),'תחום תמיכה ג'!$Q$2))</f>
        <v/>
      </c>
      <c r="AB328" s="353"/>
      <c r="AC328" s="260" t="str">
        <f t="shared" si="19"/>
        <v/>
      </c>
      <c r="AD328" s="358"/>
      <c r="AE328" s="180"/>
      <c r="AF328" s="355" t="str">
        <f>IF($C328="","",IFERROR(VLOOKUP($C328,גיליון1!$A:$E,2,0),"לא הגיש בקשה שוטפת"))</f>
        <v>תמיכה שוטפת יוצרת עצמאית מיה שטרן</v>
      </c>
      <c r="AG328" s="355" t="str">
        <f>IF($C328="","",IFERROR(VLOOKUP($C328,גיליון1!$A:$E,3,0),"לא הגיש בקשה שוטפת"))</f>
        <v>חויב</v>
      </c>
      <c r="AH328" s="355" t="str">
        <f>IF($C328="","",IFERROR(VLOOKUP($C328,גיליון1!$A:$E,4,0),"לא הגיש בקשה שוטפת"))</f>
        <v>19-42-02-20</v>
      </c>
      <c r="AI328" s="355" t="str">
        <f>IF($C328="","",IFERROR(VLOOKUP($C328,גיליון1!$A:$E,5,0),"לא הגיש בקשה שוטפת"))</f>
        <v>מחול וארגוני גג</v>
      </c>
      <c r="AJ328" s="355">
        <f t="shared" si="18"/>
        <v>0</v>
      </c>
      <c r="AK328" s="15"/>
      <c r="AL328" s="15" t="s">
        <v>250</v>
      </c>
    </row>
    <row r="329" spans="1:38" ht="285.75" x14ac:dyDescent="0.25">
      <c r="A329" s="346">
        <f>'הזנה לתנאי סף'!B329</f>
        <v>299</v>
      </c>
      <c r="B329" s="347">
        <f>IF($F329="","",'הזנה לתנאי סף'!C329)</f>
        <v>1001348217</v>
      </c>
      <c r="C329" s="347">
        <f>IF($F329="","",'הזנה לתנאי סף'!D329)</f>
        <v>1001272602</v>
      </c>
      <c r="D329" s="347">
        <f>IF($F329="","",'הזנה לתנאי סף'!E329)</f>
        <v>40000564</v>
      </c>
      <c r="E329" s="348">
        <f>IF($F329="","",'הזנה לתנאי סף'!F329)</f>
        <v>20000201</v>
      </c>
      <c r="F329" s="348" t="str">
        <f>IF('הזנה לתנאי סף'!BL329=1,'הזנה לתנאי סף'!G329,"")</f>
        <v>תל אביב -יפו</v>
      </c>
      <c r="G329" s="348" t="str">
        <f>IF($F329="","",'הזנה לתנאי סף'!H329)</f>
        <v>עמותת הכוריאוגרפים (ע"ר)</v>
      </c>
      <c r="H329" s="348" t="str">
        <f>IF($F329="","",'הזנה לתנאי סף'!I329)</f>
        <v>יוצרים עצמאיים במחול</v>
      </c>
      <c r="I329" s="349">
        <f>IF($F329="","",'הזנה לתנאי סף'!R329)</f>
        <v>318653</v>
      </c>
      <c r="J329" s="349">
        <f>IF($F329="","",'תחום תמיכה א'!P329)</f>
        <v>329173</v>
      </c>
      <c r="K329" s="177">
        <f>IF($F329="","",'הזנה לתנאי סף'!N329)</f>
        <v>0</v>
      </c>
      <c r="L329" s="177">
        <f>IF($F329="","",'הזנה לתנאי סף'!O329)</f>
        <v>1</v>
      </c>
      <c r="M329" s="177">
        <f>IF($F329="","",'הזנה לתנאי סף'!Q329)</f>
        <v>1</v>
      </c>
      <c r="N329" s="349">
        <f>IF($F329="","",'תחום תמיכה א'!AE329)</f>
        <v>13583.156436739237</v>
      </c>
      <c r="O329" s="178"/>
      <c r="P329" s="349">
        <f>IF($F329="","",'תחום תמיכה ב'!AC329)</f>
        <v>30947.704668142353</v>
      </c>
      <c r="Q329" s="349">
        <f>IF($F329="","",IF('תחום תמיכה ג'!O329="",0,'תחום תמיכה ג'!O329))</f>
        <v>0</v>
      </c>
      <c r="R329" s="349">
        <f t="shared" si="16"/>
        <v>927.96854140151481</v>
      </c>
      <c r="S329" s="349">
        <f>IF($F329="","",'תחום תמיכה ב'!AE329)</f>
        <v>31875.673209543867</v>
      </c>
      <c r="T329" s="349">
        <f>IF($F329="","",IF(Q329='תחום תמיכה ג'!$Q$2,'תחום תמיכה ג'!$Q$2,IFERROR(SUMIF(N329:R329,"&gt;0"),'תחום תמיכה ג'!$Q$2)))</f>
        <v>45458.829646283106</v>
      </c>
      <c r="U329" s="349">
        <f>IF($F329="","",'הזנה לתנאי סף'!Y329)</f>
        <v>150000</v>
      </c>
      <c r="V329" s="350">
        <f>IF(F329="","",'הגבלה לסכום מבוקש '!AA329)</f>
        <v>50765.294020734225</v>
      </c>
      <c r="W329" s="349">
        <f t="shared" si="17"/>
        <v>12691.323505183556</v>
      </c>
      <c r="X329" s="349">
        <f>IF(F329="","",'הזנה לתנאי סף'!Z329)</f>
        <v>150000</v>
      </c>
      <c r="Y329" s="351" t="s">
        <v>3740</v>
      </c>
      <c r="Z329" s="352" t="str">
        <f>IFERROR(VLOOKUP(G329*1,#REF!,3,0),"")</f>
        <v/>
      </c>
      <c r="AA329" s="349" t="str">
        <f>IF(OR($F329="",Z329=""),"",IFERROR(IF(Z329&gt;V329,MIN(Z329,T329)-V329,0),'תחום תמיכה ג'!$Q$2))</f>
        <v/>
      </c>
      <c r="AB329" s="353"/>
      <c r="AC329" s="260" t="str">
        <f t="shared" si="19"/>
        <v/>
      </c>
      <c r="AD329" s="358"/>
      <c r="AE329" s="180"/>
      <c r="AF329" s="355" t="str">
        <f>IF($C329="","",IFERROR(VLOOKUP($C329,גיליון1!$A:$E,2,0),"לא הגיש בקשה שוטפת"))</f>
        <v>תמיכה שוטפת יוצרת עצמאית אורלי פורטל</v>
      </c>
      <c r="AG329" s="355" t="str">
        <f>IF($C329="","",IFERROR(VLOOKUP($C329,גיליון1!$A:$E,3,0),"לא הגיש בקשה שוטפת"))</f>
        <v>חויב</v>
      </c>
      <c r="AH329" s="355" t="str">
        <f>IF($C329="","",IFERROR(VLOOKUP($C329,גיליון1!$A:$E,4,0),"לא הגיש בקשה שוטפת"))</f>
        <v>19-42-02-20</v>
      </c>
      <c r="AI329" s="355" t="str">
        <f>IF($C329="","",IFERROR(VLOOKUP($C329,גיליון1!$A:$E,5,0),"לא הגיש בקשה שוטפת"))</f>
        <v>מחול וארגוני גג</v>
      </c>
      <c r="AJ329" s="355">
        <f t="shared" si="18"/>
        <v>0</v>
      </c>
      <c r="AK329" s="15"/>
      <c r="AL329" s="15" t="s">
        <v>250</v>
      </c>
    </row>
    <row r="330" spans="1:38" ht="285.75" x14ac:dyDescent="0.25">
      <c r="A330" s="346">
        <f>'הזנה לתנאי סף'!B330</f>
        <v>300</v>
      </c>
      <c r="B330" s="347">
        <f>IF($F330="","",'הזנה לתנאי סף'!C330)</f>
        <v>1001348219</v>
      </c>
      <c r="C330" s="347">
        <f>IF($F330="","",'הזנה לתנאי סף'!D330)</f>
        <v>1001272603</v>
      </c>
      <c r="D330" s="347">
        <f>IF($F330="","",'הזנה לתנאי סף'!E330)</f>
        <v>40000564</v>
      </c>
      <c r="E330" s="348">
        <f>IF($F330="","",'הזנה לתנאי סף'!F330)</f>
        <v>20000201</v>
      </c>
      <c r="F330" s="348" t="str">
        <f>IF('הזנה לתנאי סף'!BL330=1,'הזנה לתנאי סף'!G330,"")</f>
        <v>תל אביב -יפו</v>
      </c>
      <c r="G330" s="348" t="str">
        <f>IF($F330="","",'הזנה לתנאי סף'!H330)</f>
        <v>עמותת הכוריאוגרפים (ע"ר)</v>
      </c>
      <c r="H330" s="348" t="str">
        <f>IF($F330="","",'הזנה לתנאי סף'!I330)</f>
        <v>יוצרים עצמאיים במחול</v>
      </c>
      <c r="I330" s="349">
        <f>IF($F330="","",'הזנה לתנאי סף'!R330)</f>
        <v>75112</v>
      </c>
      <c r="J330" s="349">
        <f>IF($F330="","",'תחום תמיכה א'!P330)</f>
        <v>60903</v>
      </c>
      <c r="K330" s="177">
        <f>IF($F330="","",'הזנה לתנאי סף'!N330)</f>
        <v>0</v>
      </c>
      <c r="L330" s="177">
        <f>IF($F330="","",'הזנה לתנאי סף'!O330)</f>
        <v>1</v>
      </c>
      <c r="M330" s="177">
        <f>IF($F330="","",'הזנה לתנאי סף'!Q330)</f>
        <v>1</v>
      </c>
      <c r="N330" s="349">
        <f>IF($F330="","",'תחום תמיכה א'!AE330)</f>
        <v>3329.2321681765739</v>
      </c>
      <c r="O330" s="178"/>
      <c r="P330" s="349">
        <f>IF($F330="","",'תחום תמיכה ב'!AC330)</f>
        <v>12801.99216643157</v>
      </c>
      <c r="Q330" s="349">
        <f>IF($F330="","",IF('תחום תמיכה ג'!O330="",0,'תחום תמיכה ג'!O330))</f>
        <v>0</v>
      </c>
      <c r="R330" s="349">
        <f t="shared" si="16"/>
        <v>383.86840397718697</v>
      </c>
      <c r="S330" s="349">
        <f>IF($F330="","",'תחום תמיכה ב'!AE330)</f>
        <v>13185.860570408757</v>
      </c>
      <c r="T330" s="349">
        <f>IF($F330="","",IF(Q330='תחום תמיכה ג'!$Q$2,'תחום תמיכה ג'!$Q$2,IFERROR(SUMIF(N330:R330,"&gt;0"),'תחום תמיכה ג'!$Q$2)))</f>
        <v>16515.092738585328</v>
      </c>
      <c r="U330" s="349">
        <f>IF($F330="","",'הזנה לתנאי סף'!Y330)</f>
        <v>150000</v>
      </c>
      <c r="V330" s="350">
        <f>IF(F330="","",'הגבלה לסכום מבוקש '!AA330)</f>
        <v>18709.150486628929</v>
      </c>
      <c r="W330" s="349">
        <f t="shared" si="17"/>
        <v>4677.2876216572322</v>
      </c>
      <c r="X330" s="349">
        <f>IF(F330="","",'הזנה לתנאי סף'!Z330)</f>
        <v>150000</v>
      </c>
      <c r="Y330" s="351" t="s">
        <v>3740</v>
      </c>
      <c r="Z330" s="352" t="str">
        <f>IFERROR(VLOOKUP(G330*1,#REF!,3,0),"")</f>
        <v/>
      </c>
      <c r="AA330" s="349" t="str">
        <f>IF(OR($F330="",Z330=""),"",IFERROR(IF(Z330&gt;V330,MIN(Z330,T330)-V330,0),'תחום תמיכה ג'!$Q$2))</f>
        <v/>
      </c>
      <c r="AB330" s="353"/>
      <c r="AC330" s="260" t="str">
        <f t="shared" si="19"/>
        <v/>
      </c>
      <c r="AD330" s="358"/>
      <c r="AE330" s="180"/>
      <c r="AF330" s="355" t="str">
        <f>IF($C330="","",IFERROR(VLOOKUP($C330,גיליון1!$A:$E,2,0),"לא הגיש בקשה שוטפת"))</f>
        <v>תמיכה שוטפת יוצרת עצמאית איילה פרנקל</v>
      </c>
      <c r="AG330" s="355" t="str">
        <f>IF($C330="","",IFERROR(VLOOKUP($C330,גיליון1!$A:$E,3,0),"לא הגיש בקשה שוטפת"))</f>
        <v>חויב</v>
      </c>
      <c r="AH330" s="355" t="str">
        <f>IF($C330="","",IFERROR(VLOOKUP($C330,גיליון1!$A:$E,4,0),"לא הגיש בקשה שוטפת"))</f>
        <v>19-42-02-20</v>
      </c>
      <c r="AI330" s="355" t="str">
        <f>IF($C330="","",IFERROR(VLOOKUP($C330,גיליון1!$A:$E,5,0),"לא הגיש בקשה שוטפת"))</f>
        <v>מחול וארגוני גג</v>
      </c>
      <c r="AJ330" s="355">
        <f t="shared" si="18"/>
        <v>0</v>
      </c>
      <c r="AK330" s="15"/>
      <c r="AL330" s="15" t="s">
        <v>250</v>
      </c>
    </row>
    <row r="331" spans="1:38" ht="285.75" x14ac:dyDescent="0.25">
      <c r="A331" s="346">
        <f>'הזנה לתנאי סף'!B331</f>
        <v>301</v>
      </c>
      <c r="B331" s="347">
        <f>IF($F331="","",'הזנה לתנאי סף'!C331)</f>
        <v>1001348220</v>
      </c>
      <c r="C331" s="347">
        <f>IF($F331="","",'הזנה לתנאי סף'!D331)</f>
        <v>1001272604</v>
      </c>
      <c r="D331" s="347">
        <f>IF($F331="","",'הזנה לתנאי סף'!E331)</f>
        <v>40000564</v>
      </c>
      <c r="E331" s="348">
        <f>IF($F331="","",'הזנה לתנאי סף'!F331)</f>
        <v>20000201</v>
      </c>
      <c r="F331" s="348" t="str">
        <f>IF('הזנה לתנאי סף'!BL331=1,'הזנה לתנאי סף'!G331,"")</f>
        <v>תל אביב -יפו</v>
      </c>
      <c r="G331" s="348" t="str">
        <f>IF($F331="","",'הזנה לתנאי סף'!H331)</f>
        <v>עמותת הכוריאוגרפים (ע"ר)</v>
      </c>
      <c r="H331" s="348" t="str">
        <f>IF($F331="","",'הזנה לתנאי סף'!I331)</f>
        <v>יוצרים עצמאיים במחול</v>
      </c>
      <c r="I331" s="349">
        <f>IF($F331="","",'הזנה לתנאי סף'!R331)</f>
        <v>209018</v>
      </c>
      <c r="J331" s="349">
        <f>IF($F331="","",'תחום תמיכה א'!P331)</f>
        <v>184315</v>
      </c>
      <c r="K331" s="177">
        <f>IF($F331="","",'הזנה לתנאי סף'!N331)</f>
        <v>0</v>
      </c>
      <c r="L331" s="177">
        <f>IF($F331="","",'הזנה לתנאי סף'!O331)</f>
        <v>1</v>
      </c>
      <c r="M331" s="177">
        <f>IF($F331="","",'הזנה לתנאי סף'!Q331)</f>
        <v>1</v>
      </c>
      <c r="N331" s="349">
        <f>IF($F331="","",'תחום תמיכה א'!AE331)</f>
        <v>5034.417776683018</v>
      </c>
      <c r="O331" s="178"/>
      <c r="P331" s="349">
        <f>IF($F331="","",'תחום תמיכה ב'!AC331)</f>
        <v>8894.4330307321998</v>
      </c>
      <c r="Q331" s="349">
        <f>IF($F331="","",IF('תחום תמיכה ג'!O331="",0,'תחום תמיכה ג'!O331))</f>
        <v>0</v>
      </c>
      <c r="R331" s="349">
        <f t="shared" si="16"/>
        <v>266.70003913467735</v>
      </c>
      <c r="S331" s="349">
        <f>IF($F331="","",'תחום תמיכה ב'!AE331)</f>
        <v>9161.1330698668771</v>
      </c>
      <c r="T331" s="349">
        <f>IF($F331="","",IF(Q331='תחום תמיכה ג'!$Q$2,'תחום תמיכה ג'!$Q$2,IFERROR(SUMIF(N331:R331,"&gt;0"),'תחום תמיכה ג'!$Q$2)))</f>
        <v>14195.550846549895</v>
      </c>
      <c r="U331" s="349">
        <f>IF($F331="","",'הזנה לתנאי סף'!Y331)</f>
        <v>150000</v>
      </c>
      <c r="V331" s="350">
        <f>IF(F331="","",'הגבלה לסכום מבוקש '!AA331)</f>
        <v>15721.154248201614</v>
      </c>
      <c r="W331" s="349">
        <f t="shared" si="17"/>
        <v>3930.2885620504035</v>
      </c>
      <c r="X331" s="349">
        <f>IF(F331="","",'הזנה לתנאי סף'!Z331)</f>
        <v>150000</v>
      </c>
      <c r="Y331" s="351" t="s">
        <v>3740</v>
      </c>
      <c r="Z331" s="352" t="str">
        <f>IFERROR(VLOOKUP(G331*1,#REF!,3,0),"")</f>
        <v/>
      </c>
      <c r="AA331" s="349" t="str">
        <f>IF(OR($F331="",Z331=""),"",IFERROR(IF(Z331&gt;V331,MIN(Z331,T331)-V331,0),'תחום תמיכה ג'!$Q$2))</f>
        <v/>
      </c>
      <c r="AB331" s="353"/>
      <c r="AC331" s="260" t="str">
        <f t="shared" si="19"/>
        <v/>
      </c>
      <c r="AD331" s="358"/>
      <c r="AE331" s="180"/>
      <c r="AF331" s="355" t="str">
        <f>IF($C331="","",IFERROR(VLOOKUP($C331,גיליון1!$A:$E,2,0),"לא הגיש בקשה שוטפת"))</f>
        <v>תמיכה שוטפת יוצרת עצמאית איריס ארז</v>
      </c>
      <c r="AG331" s="355" t="str">
        <f>IF($C331="","",IFERROR(VLOOKUP($C331,גיליון1!$A:$E,3,0),"לא הגיש בקשה שוטפת"))</f>
        <v>חויב</v>
      </c>
      <c r="AH331" s="355" t="str">
        <f>IF($C331="","",IFERROR(VLOOKUP($C331,גיליון1!$A:$E,4,0),"לא הגיש בקשה שוטפת"))</f>
        <v>19-42-02-20</v>
      </c>
      <c r="AI331" s="355" t="str">
        <f>IF($C331="","",IFERROR(VLOOKUP($C331,גיליון1!$A:$E,5,0),"לא הגיש בקשה שוטפת"))</f>
        <v>מחול וארגוני גג</v>
      </c>
      <c r="AJ331" s="355">
        <f t="shared" si="18"/>
        <v>0</v>
      </c>
      <c r="AK331" s="15"/>
      <c r="AL331" s="15" t="s">
        <v>250</v>
      </c>
    </row>
    <row r="332" spans="1:38" ht="285.75" x14ac:dyDescent="0.25">
      <c r="A332" s="346">
        <f>'הזנה לתנאי סף'!B332</f>
        <v>302</v>
      </c>
      <c r="B332" s="347">
        <f>IF($F332="","",'הזנה לתנאי סף'!C332)</f>
        <v>1001348222</v>
      </c>
      <c r="C332" s="347">
        <f>IF($F332="","",'הזנה לתנאי סף'!D332)</f>
        <v>1001272607</v>
      </c>
      <c r="D332" s="347">
        <f>IF($F332="","",'הזנה לתנאי סף'!E332)</f>
        <v>40000564</v>
      </c>
      <c r="E332" s="348">
        <f>IF($F332="","",'הזנה לתנאי סף'!F332)</f>
        <v>20000201</v>
      </c>
      <c r="F332" s="348" t="str">
        <f>IF('הזנה לתנאי סף'!BL332=1,'הזנה לתנאי סף'!G332,"")</f>
        <v>תל אביב -יפו</v>
      </c>
      <c r="G332" s="348" t="str">
        <f>IF($F332="","",'הזנה לתנאי סף'!H332)</f>
        <v>עמותת הכוריאוגרפים (ע"ר)</v>
      </c>
      <c r="H332" s="348" t="str">
        <f>IF($F332="","",'הזנה לתנאי סף'!I332)</f>
        <v>יוצרים עצמאיים במחול</v>
      </c>
      <c r="I332" s="349">
        <f>IF($F332="","",'הזנה לתנאי סף'!R332)</f>
        <v>138688</v>
      </c>
      <c r="J332" s="349">
        <f>IF($F332="","",'תחום תמיכה א'!P332)</f>
        <v>70256</v>
      </c>
      <c r="K332" s="177">
        <f>IF($F332="","",'הזנה לתנאי סף'!N332)</f>
        <v>0</v>
      </c>
      <c r="L332" s="177">
        <f>IF($F332="","",'הזנה לתנאי סף'!O332)</f>
        <v>1</v>
      </c>
      <c r="M332" s="177">
        <f>IF($F332="","",'הזנה לתנאי סף'!Q332)</f>
        <v>1</v>
      </c>
      <c r="N332" s="349">
        <f>IF($F332="","",'תחום תמיכה א'!AE332)</f>
        <v>3840.5092558234137</v>
      </c>
      <c r="O332" s="178"/>
      <c r="P332" s="349">
        <f>IF($F332="","",'תחום תמיכה ב'!AC332)</f>
        <v>23637.803407951615</v>
      </c>
      <c r="Q332" s="349">
        <f>IF($F332="","",IF('תחום תמיכה ג'!O332="",0,'תחום תמיכה ג'!O332))</f>
        <v>0</v>
      </c>
      <c r="R332" s="349">
        <f t="shared" si="16"/>
        <v>708.7807701936872</v>
      </c>
      <c r="S332" s="349">
        <f>IF($F332="","",'תחום תמיכה ב'!AE332)</f>
        <v>24346.584178145302</v>
      </c>
      <c r="T332" s="349">
        <f>IF($F332="","",IF(Q332='תחום תמיכה ג'!$Q$2,'תחום תמיכה ג'!$Q$2,IFERROR(SUMIF(N332:R332,"&gt;0"),'תחום תמיכה ג'!$Q$2)))</f>
        <v>28187.093433968716</v>
      </c>
      <c r="U332" s="349">
        <f>IF($F332="","",'הזנה לתנאי סף'!Y332)</f>
        <v>150000</v>
      </c>
      <c r="V332" s="350">
        <f>IF(F332="","",'הגבלה לסכום מבוקש '!AA332)</f>
        <v>32237.186532648338</v>
      </c>
      <c r="W332" s="349">
        <f t="shared" si="17"/>
        <v>8059.2966331620846</v>
      </c>
      <c r="X332" s="349">
        <f>IF(F332="","",'הזנה לתנאי סף'!Z332)</f>
        <v>150000</v>
      </c>
      <c r="Y332" s="351" t="s">
        <v>3740</v>
      </c>
      <c r="Z332" s="352" t="str">
        <f>IFERROR(VLOOKUP(G332*1,#REF!,3,0),"")</f>
        <v/>
      </c>
      <c r="AA332" s="349" t="str">
        <f>IF(OR($F332="",Z332=""),"",IFERROR(IF(Z332&gt;V332,MIN(Z332,T332)-V332,0),'תחום תמיכה ג'!$Q$2))</f>
        <v/>
      </c>
      <c r="AB332" s="353"/>
      <c r="AC332" s="260" t="str">
        <f t="shared" si="19"/>
        <v/>
      </c>
      <c r="AD332" s="358"/>
      <c r="AE332" s="180"/>
      <c r="AF332" s="355" t="str">
        <f>IF($C332="","",IFERROR(VLOOKUP($C332,גיליון1!$A:$E,2,0),"לא הגיש בקשה שוטפת"))</f>
        <v>תמיכה שוטפת יוצר עצמאי אנדיראה מרטיני</v>
      </c>
      <c r="AG332" s="355" t="str">
        <f>IF($C332="","",IFERROR(VLOOKUP($C332,גיליון1!$A:$E,3,0),"לא הגיש בקשה שוטפת"))</f>
        <v>חויב</v>
      </c>
      <c r="AH332" s="355" t="str">
        <f>IF($C332="","",IFERROR(VLOOKUP($C332,גיליון1!$A:$E,4,0),"לא הגיש בקשה שוטפת"))</f>
        <v>19-42-02-20</v>
      </c>
      <c r="AI332" s="355" t="str">
        <f>IF($C332="","",IFERROR(VLOOKUP($C332,גיליון1!$A:$E,5,0),"לא הגיש בקשה שוטפת"))</f>
        <v>מחול וארגוני גג</v>
      </c>
      <c r="AJ332" s="355">
        <f t="shared" si="18"/>
        <v>0</v>
      </c>
      <c r="AK332" s="15"/>
      <c r="AL332" s="15" t="s">
        <v>250</v>
      </c>
    </row>
    <row r="333" spans="1:38" ht="285.75" x14ac:dyDescent="0.25">
      <c r="A333" s="346">
        <f>'הזנה לתנאי סף'!B333</f>
        <v>303</v>
      </c>
      <c r="B333" s="347">
        <f>IF($F333="","",'הזנה לתנאי סף'!C333)</f>
        <v>1001348223</v>
      </c>
      <c r="C333" s="347">
        <f>IF($F333="","",'הזנה לתנאי סף'!D333)</f>
        <v>1001273498</v>
      </c>
      <c r="D333" s="347">
        <f>IF($F333="","",'הזנה לתנאי סף'!E333)</f>
        <v>40000564</v>
      </c>
      <c r="E333" s="348">
        <f>IF($F333="","",'הזנה לתנאי סף'!F333)</f>
        <v>20000201</v>
      </c>
      <c r="F333" s="348" t="str">
        <f>IF('הזנה לתנאי סף'!BL333=1,'הזנה לתנאי סף'!G333,"")</f>
        <v>תל אביב -יפו</v>
      </c>
      <c r="G333" s="348" t="str">
        <f>IF($F333="","",'הזנה לתנאי סף'!H333)</f>
        <v>עמותת הכוריאוגרפים (ע"ר)</v>
      </c>
      <c r="H333" s="348" t="str">
        <f>IF($F333="","",'הזנה לתנאי סף'!I333)</f>
        <v>יוצרים עצמאיים במחול</v>
      </c>
      <c r="I333" s="349">
        <f>IF($F333="","",'הזנה לתנאי סף'!R333)</f>
        <v>75923</v>
      </c>
      <c r="J333" s="349">
        <f>IF($F333="","",'תחום תמיכה א'!P333)</f>
        <v>75387</v>
      </c>
      <c r="K333" s="177">
        <f>IF($F333="","",'הזנה לתנאי סף'!N333)</f>
        <v>0</v>
      </c>
      <c r="L333" s="177">
        <f>IF($F333="","",'הזנה לתנאי סף'!O333)</f>
        <v>1</v>
      </c>
      <c r="M333" s="177">
        <f>IF($F333="","",'הזנה לתנאי סף'!Q333)</f>
        <v>1</v>
      </c>
      <c r="N333" s="349">
        <f>IF($F333="","",'תחום תמיכה א'!AE333)</f>
        <v>2433.2002943495945</v>
      </c>
      <c r="O333" s="178"/>
      <c r="P333" s="349">
        <f>IF($F333="","",'תחום תמיכה ב'!AC333)</f>
        <v>4511.215743799582</v>
      </c>
      <c r="Q333" s="349">
        <f>IF($F333="","",IF('תחום תמיכה ג'!O333="",0,'תחום תמיכה ג'!O333))</f>
        <v>0</v>
      </c>
      <c r="R333" s="349">
        <f t="shared" si="16"/>
        <v>135.26903977568963</v>
      </c>
      <c r="S333" s="349">
        <f>IF($F333="","",'תחום תמיכה ב'!AE333)</f>
        <v>4646.4847835752716</v>
      </c>
      <c r="T333" s="349">
        <f>IF($F333="","",IF(Q333='תחום תמיכה ג'!$Q$2,'תחום תמיכה ג'!$Q$2,IFERROR(SUMIF(N333:R333,"&gt;0"),'תחום תמיכה ג'!$Q$2)))</f>
        <v>7079.6850779248662</v>
      </c>
      <c r="U333" s="349">
        <f>IF($F333="","",'הזנה לתנאי סף'!Y333)</f>
        <v>150000</v>
      </c>
      <c r="V333" s="350">
        <f>IF(F333="","",'הגבלה לסכום מבוקש '!AA333)</f>
        <v>7853.4093986311818</v>
      </c>
      <c r="W333" s="349">
        <f t="shared" si="17"/>
        <v>1963.3523496577955</v>
      </c>
      <c r="X333" s="349">
        <f>IF(F333="","",'הזנה לתנאי סף'!Z333)</f>
        <v>150000</v>
      </c>
      <c r="Y333" s="351" t="s">
        <v>3740</v>
      </c>
      <c r="Z333" s="352" t="str">
        <f>IFERROR(VLOOKUP(G333*1,#REF!,3,0),"")</f>
        <v/>
      </c>
      <c r="AA333" s="349" t="str">
        <f>IF(OR($F333="",Z333=""),"",IFERROR(IF(Z333&gt;V333,MIN(Z333,T333)-V333,0),'תחום תמיכה ג'!$Q$2))</f>
        <v/>
      </c>
      <c r="AB333" s="353"/>
      <c r="AC333" s="260" t="str">
        <f t="shared" si="19"/>
        <v/>
      </c>
      <c r="AD333" s="358"/>
      <c r="AE333" s="180"/>
      <c r="AF333" s="355" t="str">
        <f>IF($C333="","",IFERROR(VLOOKUP($C333,גיליון1!$A:$E,2,0),"לא הגיש בקשה שוטפת"))</f>
        <v>תמיכה שוטפת יוצרת עצמאית אפרת רובין</v>
      </c>
      <c r="AG333" s="355" t="str">
        <f>IF($C333="","",IFERROR(VLOOKUP($C333,גיליון1!$A:$E,3,0),"לא הגיש בקשה שוטפת"))</f>
        <v>חויב</v>
      </c>
      <c r="AH333" s="355" t="str">
        <f>IF($C333="","",IFERROR(VLOOKUP($C333,גיליון1!$A:$E,4,0),"לא הגיש בקשה שוטפת"))</f>
        <v>19-42-02-20</v>
      </c>
      <c r="AI333" s="355" t="str">
        <f>IF($C333="","",IFERROR(VLOOKUP($C333,גיליון1!$A:$E,5,0),"לא הגיש בקשה שוטפת"))</f>
        <v>מחול וארגוני גג</v>
      </c>
      <c r="AJ333" s="355">
        <f t="shared" si="18"/>
        <v>0</v>
      </c>
      <c r="AK333" s="15"/>
      <c r="AL333" s="15" t="s">
        <v>250</v>
      </c>
    </row>
    <row r="334" spans="1:38" ht="285.75" x14ac:dyDescent="0.25">
      <c r="A334" s="346">
        <f>'הזנה לתנאי סף'!B334</f>
        <v>304</v>
      </c>
      <c r="B334" s="347">
        <f>IF($F334="","",'הזנה לתנאי סף'!C334)</f>
        <v>1001348230</v>
      </c>
      <c r="C334" s="347">
        <f>IF($F334="","",'הזנה לתנאי סף'!D334)</f>
        <v>1001273594</v>
      </c>
      <c r="D334" s="347">
        <f>IF($F334="","",'הזנה לתנאי סף'!E334)</f>
        <v>40000564</v>
      </c>
      <c r="E334" s="348">
        <f>IF($F334="","",'הזנה לתנאי סף'!F334)</f>
        <v>20000201</v>
      </c>
      <c r="F334" s="348" t="str">
        <f>IF('הזנה לתנאי סף'!BL334=1,'הזנה לתנאי סף'!G334,"")</f>
        <v>תל אביב -יפו</v>
      </c>
      <c r="G334" s="348" t="str">
        <f>IF($F334="","",'הזנה לתנאי סף'!H334)</f>
        <v>עמותת הכוריאוגרפים (ע"ר)</v>
      </c>
      <c r="H334" s="348" t="str">
        <f>IF($F334="","",'הזנה לתנאי סף'!I334)</f>
        <v>יוצרים עצמאיים במחול</v>
      </c>
      <c r="I334" s="349">
        <f>IF($F334="","",'הזנה לתנאי סף'!R334)</f>
        <v>80992</v>
      </c>
      <c r="J334" s="349">
        <f>IF($F334="","",'תחום תמיכה א'!P334)</f>
        <v>58487</v>
      </c>
      <c r="K334" s="177">
        <f>IF($F334="","",'הזנה לתנאי סף'!N334)</f>
        <v>0</v>
      </c>
      <c r="L334" s="177">
        <f>IF($F334="","",'הזנה לתנאי סף'!O334)</f>
        <v>1</v>
      </c>
      <c r="M334" s="177">
        <f>IF($F334="","",'הזנה לתנאי סף'!Q334)</f>
        <v>1</v>
      </c>
      <c r="N334" s="349">
        <f>IF($F334="","",'תחום תמיכה א'!AE334)</f>
        <v>2563.1935310187646</v>
      </c>
      <c r="O334" s="178"/>
      <c r="P334" s="349">
        <f>IF($F334="","",'תחום תמיכה ב'!AC334)</f>
        <v>8872.4521849613284</v>
      </c>
      <c r="Q334" s="349">
        <f>IF($F334="","",IF('תחום תמיכה ג'!O334="",0,'תחום תמיכה ג'!O334))</f>
        <v>0</v>
      </c>
      <c r="R334" s="349">
        <f t="shared" si="16"/>
        <v>266.04094232580428</v>
      </c>
      <c r="S334" s="349">
        <f>IF($F334="","",'תחום תמיכה ב'!AE334)</f>
        <v>9138.4931272871327</v>
      </c>
      <c r="T334" s="349">
        <f>IF($F334="","",IF(Q334='תחום תמיכה ג'!$Q$2,'תחום תמיכה ג'!$Q$2,IFERROR(SUMIF(N334:R334,"&gt;0"),'תחום תמיכה ג'!$Q$2)))</f>
        <v>11701.686658305896</v>
      </c>
      <c r="U334" s="349">
        <f>IF($F334="","",'הזנה לתנאי סף'!Y334)</f>
        <v>150000</v>
      </c>
      <c r="V334" s="350">
        <f>IF(F334="","",'הגבלה לסכום מבוקש '!AA334)</f>
        <v>13222.4002818507</v>
      </c>
      <c r="W334" s="349">
        <f t="shared" si="17"/>
        <v>3305.6000704626749</v>
      </c>
      <c r="X334" s="349">
        <f>IF(F334="","",'הזנה לתנאי סף'!Z334)</f>
        <v>150000</v>
      </c>
      <c r="Y334" s="351" t="s">
        <v>3740</v>
      </c>
      <c r="Z334" s="352" t="str">
        <f>IFERROR(VLOOKUP(G334*1,#REF!,3,0),"")</f>
        <v/>
      </c>
      <c r="AA334" s="349" t="str">
        <f>IF(OR($F334="",Z334=""),"",IFERROR(IF(Z334&gt;V334,MIN(Z334,T334)-V334,0),'תחום תמיכה ג'!$Q$2))</f>
        <v/>
      </c>
      <c r="AB334" s="353"/>
      <c r="AC334" s="260" t="str">
        <f t="shared" si="19"/>
        <v/>
      </c>
      <c r="AD334" s="358"/>
      <c r="AE334" s="180"/>
      <c r="AF334" s="355" t="str">
        <f>IF($C334="","",IFERROR(VLOOKUP($C334,גיליון1!$A:$E,2,0),"לא הגיש בקשה שוטפת"))</f>
        <v>תמיכה שוטפת יוצרת עצמאית מירב דגן</v>
      </c>
      <c r="AG334" s="355" t="str">
        <f>IF($C334="","",IFERROR(VLOOKUP($C334,גיליון1!$A:$E,3,0),"לא הגיש בקשה שוטפת"))</f>
        <v>חויב</v>
      </c>
      <c r="AH334" s="355" t="str">
        <f>IF($C334="","",IFERROR(VLOOKUP($C334,גיליון1!$A:$E,4,0),"לא הגיש בקשה שוטפת"))</f>
        <v>19-42-02-20</v>
      </c>
      <c r="AI334" s="355" t="str">
        <f>IF($C334="","",IFERROR(VLOOKUP($C334,גיליון1!$A:$E,5,0),"לא הגיש בקשה שוטפת"))</f>
        <v>מחול וארגוני גג</v>
      </c>
      <c r="AJ334" s="355">
        <f t="shared" si="18"/>
        <v>0</v>
      </c>
      <c r="AK334" s="15"/>
      <c r="AL334" s="15" t="s">
        <v>250</v>
      </c>
    </row>
    <row r="335" spans="1:38" ht="285.75" x14ac:dyDescent="0.25">
      <c r="A335" s="346">
        <f>'הזנה לתנאי סף'!B335</f>
        <v>305</v>
      </c>
      <c r="B335" s="347">
        <f>IF($F335="","",'הזנה לתנאי סף'!C335)</f>
        <v>1001348231</v>
      </c>
      <c r="C335" s="347">
        <f>IF($F335="","",'הזנה לתנאי סף'!D335)</f>
        <v>1001273598</v>
      </c>
      <c r="D335" s="347">
        <f>IF($F335="","",'הזנה לתנאי סף'!E335)</f>
        <v>40000564</v>
      </c>
      <c r="E335" s="348">
        <f>IF($F335="","",'הזנה לתנאי סף'!F335)</f>
        <v>20000201</v>
      </c>
      <c r="F335" s="348" t="str">
        <f>IF('הזנה לתנאי סף'!BL335=1,'הזנה לתנאי סף'!G335,"")</f>
        <v>תל אביב -יפו</v>
      </c>
      <c r="G335" s="348" t="str">
        <f>IF($F335="","",'הזנה לתנאי סף'!H335)</f>
        <v>עמותת הכוריאוגרפים (ע"ר)</v>
      </c>
      <c r="H335" s="348" t="str">
        <f>IF($F335="","",'הזנה לתנאי סף'!I335)</f>
        <v>יוצרים עצמאיים במחול</v>
      </c>
      <c r="I335" s="349">
        <f>IF($F335="","",'הזנה לתנאי סף'!R335)</f>
        <v>315471</v>
      </c>
      <c r="J335" s="349">
        <f>IF($F335="","",'תחום תמיכה א'!P335)</f>
        <v>319445</v>
      </c>
      <c r="K335" s="177">
        <f>IF($F335="","",'הזנה לתנאי סף'!N335)</f>
        <v>0</v>
      </c>
      <c r="L335" s="177">
        <f>IF($F335="","",'הזנה לתנאי סף'!O335)</f>
        <v>1</v>
      </c>
      <c r="M335" s="177">
        <f>IF($F335="","",'הזנה לתנאי סף'!Q335)</f>
        <v>1</v>
      </c>
      <c r="N335" s="349">
        <f>IF($F335="","",'תחום תמיכה א'!AE335)</f>
        <v>13034.052830337279</v>
      </c>
      <c r="O335" s="178"/>
      <c r="P335" s="349">
        <f>IF($F335="","",'תחום תמיכה ב'!AC335)</f>
        <v>29955.987794594927</v>
      </c>
      <c r="Q335" s="349">
        <f>IF($F335="","",IF('תחום תמיכה ג'!O335="",0,'תחום תמיכה ג'!O335))</f>
        <v>0</v>
      </c>
      <c r="R335" s="349">
        <f t="shared" si="16"/>
        <v>898.23185913388443</v>
      </c>
      <c r="S335" s="349">
        <f>IF($F335="","",'תחום תמיכה ב'!AE335)</f>
        <v>30854.219653728811</v>
      </c>
      <c r="T335" s="349">
        <f>IF($F335="","",IF(Q335='תחום תמיכה ג'!$Q$2,'תחום תמיכה ג'!$Q$2,IFERROR(SUMIF(N335:R335,"&gt;0"),'תחום תמיכה ג'!$Q$2)))</f>
        <v>43888.272484066089</v>
      </c>
      <c r="U335" s="349">
        <f>IF($F335="","",'הזנה לתנאי סף'!Y335)</f>
        <v>150000</v>
      </c>
      <c r="V335" s="350">
        <f>IF(F335="","",'הגבלה לסכום מבוקש '!AA335)</f>
        <v>49024.639774986012</v>
      </c>
      <c r="W335" s="349">
        <f t="shared" si="17"/>
        <v>12256.159943746503</v>
      </c>
      <c r="X335" s="349">
        <f>IF(F335="","",'הזנה לתנאי סף'!Z335)</f>
        <v>150000</v>
      </c>
      <c r="Y335" s="351" t="s">
        <v>3740</v>
      </c>
      <c r="Z335" s="352" t="str">
        <f>IFERROR(VLOOKUP(G335*1,#REF!,3,0),"")</f>
        <v/>
      </c>
      <c r="AA335" s="349" t="str">
        <f>IF(OR($F335="",Z335=""),"",IFERROR(IF(Z335&gt;V335,MIN(Z335,T335)-V335,0),'תחום תמיכה ג'!$Q$2))</f>
        <v/>
      </c>
      <c r="AB335" s="353"/>
      <c r="AC335" s="260" t="str">
        <f t="shared" si="19"/>
        <v/>
      </c>
      <c r="AD335" s="358"/>
      <c r="AE335" s="180"/>
      <c r="AF335" s="355" t="str">
        <f>IF($C335="","",IFERROR(VLOOKUP($C335,גיליון1!$A:$E,2,0),"לא הגיש בקשה שוטפת"))</f>
        <v>תמיכה שוטפת יוצרת עצמאית נדין בומר</v>
      </c>
      <c r="AG335" s="355" t="str">
        <f>IF($C335="","",IFERROR(VLOOKUP($C335,גיליון1!$A:$E,3,0),"לא הגיש בקשה שוטפת"))</f>
        <v>חויב</v>
      </c>
      <c r="AH335" s="355" t="str">
        <f>IF($C335="","",IFERROR(VLOOKUP($C335,גיליון1!$A:$E,4,0),"לא הגיש בקשה שוטפת"))</f>
        <v>19-42-02-20</v>
      </c>
      <c r="AI335" s="355" t="str">
        <f>IF($C335="","",IFERROR(VLOOKUP($C335,גיליון1!$A:$E,5,0),"לא הגיש בקשה שוטפת"))</f>
        <v>מחול וארגוני גג</v>
      </c>
      <c r="AJ335" s="355">
        <f t="shared" si="18"/>
        <v>0</v>
      </c>
      <c r="AK335" s="15"/>
      <c r="AL335" s="15" t="s">
        <v>250</v>
      </c>
    </row>
    <row r="336" spans="1:38" ht="285.75" x14ac:dyDescent="0.25">
      <c r="A336" s="346">
        <f>'הזנה לתנאי סף'!B336</f>
        <v>306</v>
      </c>
      <c r="B336" s="347">
        <f>IF($F336="","",'הזנה לתנאי סף'!C336)</f>
        <v>1001348232</v>
      </c>
      <c r="C336" s="347">
        <f>IF($F336="","",'הזנה לתנאי סף'!D336)</f>
        <v>1001273521</v>
      </c>
      <c r="D336" s="347">
        <f>IF($F336="","",'הזנה לתנאי סף'!E336)</f>
        <v>40000564</v>
      </c>
      <c r="E336" s="348">
        <f>IF($F336="","",'הזנה לתנאי סף'!F336)</f>
        <v>20000201</v>
      </c>
      <c r="F336" s="348" t="str">
        <f>IF('הזנה לתנאי סף'!BL336=1,'הזנה לתנאי סף'!G336,"")</f>
        <v>תל אביב -יפו</v>
      </c>
      <c r="G336" s="348" t="str">
        <f>IF($F336="","",'הזנה לתנאי סף'!H336)</f>
        <v>עמותת הכוריאוגרפים (ע"ר)</v>
      </c>
      <c r="H336" s="348" t="str">
        <f>IF($F336="","",'הזנה לתנאי סף'!I336)</f>
        <v>יוצרים עצמאיים במחול</v>
      </c>
      <c r="I336" s="349">
        <f>IF($F336="","",'הזנה לתנאי סף'!R336)</f>
        <v>120851</v>
      </c>
      <c r="J336" s="349">
        <f>IF($F336="","",'תחום תמיכה א'!P336)</f>
        <v>127990</v>
      </c>
      <c r="K336" s="177">
        <f>IF($F336="","",'הזנה לתנאי סף'!N336)</f>
        <v>0</v>
      </c>
      <c r="L336" s="177">
        <f>IF($F336="","",'הזנה לתנאי סף'!O336)</f>
        <v>1</v>
      </c>
      <c r="M336" s="177">
        <f>IF($F336="","",'הזנה לתנאי סף'!Q336)</f>
        <v>1</v>
      </c>
      <c r="N336" s="349">
        <f>IF($F336="","",'תחום תמיכה א'!AE336)</f>
        <v>3024.1344825799652</v>
      </c>
      <c r="O336" s="178"/>
      <c r="P336" s="349">
        <f>IF($F336="","",'תחום תמיכה ב'!AC336)</f>
        <v>3848.2015401923777</v>
      </c>
      <c r="Q336" s="349">
        <f>IF($F336="","",IF('תחום תמיכה ג'!O336="",0,'תחום תמיכה ג'!O336))</f>
        <v>0</v>
      </c>
      <c r="R336" s="349">
        <f t="shared" si="16"/>
        <v>115.38852423997059</v>
      </c>
      <c r="S336" s="349">
        <f>IF($F336="","",'תחום תמיכה ב'!AE336)</f>
        <v>3963.5900644323483</v>
      </c>
      <c r="T336" s="349">
        <f>IF($F336="","",IF(Q336='תחום תמיכה ג'!$Q$2,'תחום תמיכה ג'!$Q$2,IFERROR(SUMIF(N336:R336,"&gt;0"),'תחום תמיכה ג'!$Q$2)))</f>
        <v>6987.7245470123125</v>
      </c>
      <c r="U336" s="349">
        <f>IF($F336="","",'הזנה לתנאי סף'!Y336)</f>
        <v>150000</v>
      </c>
      <c r="V336" s="350">
        <f>IF(F336="","",'הגבלה לסכום מבוקש '!AA336)</f>
        <v>7648.1663589415757</v>
      </c>
      <c r="W336" s="349">
        <f t="shared" si="17"/>
        <v>1912.0415897353939</v>
      </c>
      <c r="X336" s="349">
        <f>IF(F336="","",'הזנה לתנאי סף'!Z336)</f>
        <v>150000</v>
      </c>
      <c r="Y336" s="351" t="s">
        <v>3740</v>
      </c>
      <c r="Z336" s="352" t="str">
        <f>IFERROR(VLOOKUP(G336*1,#REF!,3,0),"")</f>
        <v/>
      </c>
      <c r="AA336" s="349" t="str">
        <f>IF(OR($F336="",Z336=""),"",IFERROR(IF(Z336&gt;V336,MIN(Z336,T336)-V336,0),'תחום תמיכה ג'!$Q$2))</f>
        <v/>
      </c>
      <c r="AB336" s="353"/>
      <c r="AC336" s="260" t="str">
        <f t="shared" si="19"/>
        <v/>
      </c>
      <c r="AD336" s="358"/>
      <c r="AE336" s="180"/>
      <c r="AF336" s="355" t="str">
        <f>IF($C336="","",IFERROR(VLOOKUP($C336,גיליון1!$A:$E,2,0),"לא הגיש בקשה שוטפת"))</f>
        <v>תמיכה שוטפת יוצרת עצמאית בשמת נוסן</v>
      </c>
      <c r="AG336" s="355" t="str">
        <f>IF($C336="","",IFERROR(VLOOKUP($C336,גיליון1!$A:$E,3,0),"לא הגיש בקשה שוטפת"))</f>
        <v>חויב</v>
      </c>
      <c r="AH336" s="355" t="str">
        <f>IF($C336="","",IFERROR(VLOOKUP($C336,גיליון1!$A:$E,4,0),"לא הגיש בקשה שוטפת"))</f>
        <v>19-42-02-20</v>
      </c>
      <c r="AI336" s="355" t="str">
        <f>IF($C336="","",IFERROR(VLOOKUP($C336,גיליון1!$A:$E,5,0),"לא הגיש בקשה שוטפת"))</f>
        <v>מחול וארגוני גג</v>
      </c>
      <c r="AJ336" s="355">
        <f t="shared" si="18"/>
        <v>0</v>
      </c>
      <c r="AK336" s="15"/>
      <c r="AL336" s="15" t="s">
        <v>250</v>
      </c>
    </row>
    <row r="337" spans="1:38" ht="285.75" x14ac:dyDescent="0.25">
      <c r="A337" s="346">
        <f>'הזנה לתנאי סף'!B337</f>
        <v>307</v>
      </c>
      <c r="B337" s="347">
        <f>IF($F337="","",'הזנה לתנאי סף'!C337)</f>
        <v>1001348233</v>
      </c>
      <c r="C337" s="347">
        <f>IF($F337="","",'הזנה לתנאי סף'!D337)</f>
        <v>1001272589</v>
      </c>
      <c r="D337" s="347">
        <f>IF($F337="","",'הזנה לתנאי סף'!E337)</f>
        <v>40000564</v>
      </c>
      <c r="E337" s="348">
        <f>IF($F337="","",'הזנה לתנאי סף'!F337)</f>
        <v>20000201</v>
      </c>
      <c r="F337" s="348" t="str">
        <f>IF('הזנה לתנאי סף'!BL337=1,'הזנה לתנאי סף'!G337,"")</f>
        <v>תל אביב -יפו</v>
      </c>
      <c r="G337" s="348" t="str">
        <f>IF($F337="","",'הזנה לתנאי סף'!H337)</f>
        <v>עמותת הכוריאוגרפים (ע"ר)</v>
      </c>
      <c r="H337" s="348" t="str">
        <f>IF($F337="","",'הזנה לתנאי סף'!I337)</f>
        <v>יוצרים עצמאיים במחול</v>
      </c>
      <c r="I337" s="349">
        <f>IF($F337="","",'הזנה לתנאי סף'!R337)</f>
        <v>132971</v>
      </c>
      <c r="J337" s="349">
        <f>IF($F337="","",'תחום תמיכה א'!P337)</f>
        <v>96104</v>
      </c>
      <c r="K337" s="177">
        <f>IF($F337="","",'הזנה לתנאי סף'!N337)</f>
        <v>0</v>
      </c>
      <c r="L337" s="177">
        <f>IF($F337="","",'הזנה לתנאי סף'!O337)</f>
        <v>1</v>
      </c>
      <c r="M337" s="177">
        <f>IF($F337="","",'הזנה לתנאי סף'!Q337)</f>
        <v>1</v>
      </c>
      <c r="N337" s="349">
        <f>IF($F337="","",'תחום תמיכה א'!AE337)</f>
        <v>2997.5451533624305</v>
      </c>
      <c r="O337" s="178"/>
      <c r="P337" s="349">
        <f>IF($F337="","",'תחום תמיכה ב'!AC337)</f>
        <v>7378.4121817123023</v>
      </c>
      <c r="Q337" s="349">
        <f>IF($F337="","",IF('תחום תמיכה ג'!O337="",0,'תחום תמיכה ג'!O337))</f>
        <v>0</v>
      </c>
      <c r="R337" s="349">
        <f t="shared" si="16"/>
        <v>221.24207476915035</v>
      </c>
      <c r="S337" s="349">
        <f>IF($F337="","",'תחום תמיכה ב'!AE337)</f>
        <v>7599.6542564814526</v>
      </c>
      <c r="T337" s="349">
        <f>IF($F337="","",IF(Q337='תחום תמיכה ג'!$Q$2,'תחום תמיכה ג'!$Q$2,IFERROR(SUMIF(N337:R337,"&gt;0"),'תחום תמיכה ג'!$Q$2)))</f>
        <v>10597.199409843883</v>
      </c>
      <c r="U337" s="349">
        <f>IF($F337="","",'הזנה לתנאי סף'!Y337)</f>
        <v>150000</v>
      </c>
      <c r="V337" s="350">
        <f>IF(F337="","",'הגבלה לסכום מבוקש '!AA337)</f>
        <v>11862.233031904734</v>
      </c>
      <c r="W337" s="349">
        <f t="shared" si="17"/>
        <v>2965.5582579761835</v>
      </c>
      <c r="X337" s="349">
        <f>IF(F337="","",'הזנה לתנאי סף'!Z337)</f>
        <v>150000</v>
      </c>
      <c r="Y337" s="351" t="s">
        <v>3740</v>
      </c>
      <c r="Z337" s="352" t="str">
        <f>IFERROR(VLOOKUP(G337*1,#REF!,3,0),"")</f>
        <v/>
      </c>
      <c r="AA337" s="349" t="str">
        <f>IF(OR($F337="",Z337=""),"",IFERROR(IF(Z337&gt;V337,MIN(Z337,T337)-V337,0),'תחום תמיכה ג'!$Q$2))</f>
        <v/>
      </c>
      <c r="AB337" s="353"/>
      <c r="AC337" s="260" t="str">
        <f t="shared" si="19"/>
        <v/>
      </c>
      <c r="AD337" s="358"/>
      <c r="AE337" s="180"/>
      <c r="AF337" s="355" t="str">
        <f>IF($C337="","",IFERROR(VLOOKUP($C337,גיליון1!$A:$E,2,0),"לא הגיש בקשה שוטפת"))</f>
        <v>תמיכה שוטפת יוצר עצמאי אורי שפיר</v>
      </c>
      <c r="AG337" s="355" t="str">
        <f>IF($C337="","",IFERROR(VLOOKUP($C337,גיליון1!$A:$E,3,0),"לא הגיש בקשה שוטפת"))</f>
        <v>חויב</v>
      </c>
      <c r="AH337" s="355" t="str">
        <f>IF($C337="","",IFERROR(VLOOKUP($C337,גיליון1!$A:$E,4,0),"לא הגיש בקשה שוטפת"))</f>
        <v>19-42-02-20</v>
      </c>
      <c r="AI337" s="355" t="str">
        <f>IF($C337="","",IFERROR(VLOOKUP($C337,גיליון1!$A:$E,5,0),"לא הגיש בקשה שוטפת"))</f>
        <v>מחול וארגוני גג</v>
      </c>
      <c r="AJ337" s="355">
        <f t="shared" si="18"/>
        <v>0</v>
      </c>
      <c r="AK337" s="15"/>
      <c r="AL337" s="15" t="s">
        <v>250</v>
      </c>
    </row>
    <row r="338" spans="1:38" ht="285.75" x14ac:dyDescent="0.25">
      <c r="A338" s="346">
        <f>'הזנה לתנאי סף'!B338</f>
        <v>308</v>
      </c>
      <c r="B338" s="347">
        <f>IF($F338="","",'הזנה לתנאי סף'!C338)</f>
        <v>1001348234</v>
      </c>
      <c r="C338" s="347">
        <f>IF($F338="","",'הזנה לתנאי סף'!D338)</f>
        <v>1001272587</v>
      </c>
      <c r="D338" s="347">
        <f>IF($F338="","",'הזנה לתנאי סף'!E338)</f>
        <v>40000564</v>
      </c>
      <c r="E338" s="348">
        <f>IF($F338="","",'הזנה לתנאי סף'!F338)</f>
        <v>20000201</v>
      </c>
      <c r="F338" s="348" t="str">
        <f>IF('הזנה לתנאי סף'!BL338=1,'הזנה לתנאי סף'!G338,"")</f>
        <v>תל אביב -יפו</v>
      </c>
      <c r="G338" s="348" t="str">
        <f>IF($F338="","",'הזנה לתנאי סף'!H338)</f>
        <v>עמותת הכוריאוגרפים (ע"ר)</v>
      </c>
      <c r="H338" s="348" t="str">
        <f>IF($F338="","",'הזנה לתנאי סף'!I338)</f>
        <v>יוצרים עצמאיים במחול</v>
      </c>
      <c r="I338" s="349">
        <f>IF($F338="","",'הזנה לתנאי סף'!R338)</f>
        <v>97591</v>
      </c>
      <c r="J338" s="349">
        <f>IF($F338="","",'תחום תמיכה א'!P338)</f>
        <v>125042</v>
      </c>
      <c r="K338" s="177">
        <f>IF($F338="","",'הזנה לתנאי סף'!N338)</f>
        <v>0</v>
      </c>
      <c r="L338" s="177">
        <f>IF($F338="","",'הזנה לתנאי סף'!O338)</f>
        <v>1</v>
      </c>
      <c r="M338" s="177">
        <f>IF($F338="","",'הזנה לתנאי סף'!Q338)</f>
        <v>1</v>
      </c>
      <c r="N338" s="349">
        <f>IF($F338="","",'תחום תמיכה א'!AE338)</f>
        <v>2666.105763670575</v>
      </c>
      <c r="O338" s="178"/>
      <c r="P338" s="349">
        <f>IF($F338="","",'תחום תמיכה ב'!AC338)</f>
        <v>2530.5220803622824</v>
      </c>
      <c r="Q338" s="349">
        <f>IF($F338="","",IF('תחום תמיכה ג'!O338="",0,'תחום תמיכה ג'!O338))</f>
        <v>0</v>
      </c>
      <c r="R338" s="349">
        <f t="shared" si="16"/>
        <v>75.877836792058133</v>
      </c>
      <c r="S338" s="349">
        <f>IF($F338="","",'תחום תמיכה ב'!AE338)</f>
        <v>2606.3999171543405</v>
      </c>
      <c r="T338" s="349">
        <f>IF($F338="","",IF(Q338='תחום תמיכה ג'!$Q$2,'תחום תמיכה ג'!$Q$2,IFERROR(SUMIF(N338:R338,"&gt;0"),'תחום תמיכה ג'!$Q$2)))</f>
        <v>5272.5056808249155</v>
      </c>
      <c r="U338" s="349">
        <f>IF($F338="","",'הזנה לתנאי סף'!Y338)</f>
        <v>150000</v>
      </c>
      <c r="V338" s="350">
        <f>IF(F338="","",'הגבלה לסכום מבוקש '!AA338)</f>
        <v>5707.1112075123829</v>
      </c>
      <c r="W338" s="349">
        <f t="shared" si="17"/>
        <v>1426.7778018780957</v>
      </c>
      <c r="X338" s="349">
        <f>IF(F338="","",'הזנה לתנאי סף'!Z338)</f>
        <v>150000</v>
      </c>
      <c r="Y338" s="351" t="s">
        <v>3740</v>
      </c>
      <c r="Z338" s="352" t="str">
        <f>IFERROR(VLOOKUP(G338*1,#REF!,3,0),"")</f>
        <v/>
      </c>
      <c r="AA338" s="349" t="str">
        <f>IF(OR($F338="",Z338=""),"",IFERROR(IF(Z338&gt;V338,MIN(Z338,T338)-V338,0),'תחום תמיכה ג'!$Q$2))</f>
        <v/>
      </c>
      <c r="AB338" s="353"/>
      <c r="AC338" s="260" t="str">
        <f t="shared" si="19"/>
        <v/>
      </c>
      <c r="AD338" s="358"/>
      <c r="AE338" s="180"/>
      <c r="AF338" s="355" t="str">
        <f>IF($C338="","",IFERROR(VLOOKUP($C338,גיליון1!$A:$E,2,0),"לא הגיש בקשה שוטפת"))</f>
        <v>תמיכה שוטפת יוצרת עצמאית-אור מרין</v>
      </c>
      <c r="AG338" s="355" t="str">
        <f>IF($C338="","",IFERROR(VLOOKUP($C338,גיליון1!$A:$E,3,0),"לא הגיש בקשה שוטפת"))</f>
        <v>חויב</v>
      </c>
      <c r="AH338" s="355" t="str">
        <f>IF($C338="","",IFERROR(VLOOKUP($C338,גיליון1!$A:$E,4,0),"לא הגיש בקשה שוטפת"))</f>
        <v>19-42-02-20</v>
      </c>
      <c r="AI338" s="355" t="str">
        <f>IF($C338="","",IFERROR(VLOOKUP($C338,גיליון1!$A:$E,5,0),"לא הגיש בקשה שוטפת"))</f>
        <v>מחול וארגוני גג</v>
      </c>
      <c r="AJ338" s="355">
        <f t="shared" si="18"/>
        <v>0</v>
      </c>
      <c r="AK338" s="15"/>
      <c r="AL338" s="15" t="s">
        <v>250</v>
      </c>
    </row>
    <row r="339" spans="1:38" ht="285.75" x14ac:dyDescent="0.25">
      <c r="A339" s="346">
        <f>'הזנה לתנאי סף'!B339</f>
        <v>309</v>
      </c>
      <c r="B339" s="347">
        <f>IF($F339="","",'הזנה לתנאי סף'!C339)</f>
        <v>1001348235</v>
      </c>
      <c r="C339" s="347">
        <f>IF($F339="","",'הזנה לתנאי סף'!D339)</f>
        <v>1001272585</v>
      </c>
      <c r="D339" s="347">
        <f>IF($F339="","",'הזנה לתנאי סף'!E339)</f>
        <v>40000564</v>
      </c>
      <c r="E339" s="348">
        <f>IF($F339="","",'הזנה לתנאי סף'!F339)</f>
        <v>20000201</v>
      </c>
      <c r="F339" s="348" t="str">
        <f>IF('הזנה לתנאי סף'!BL339=1,'הזנה לתנאי סף'!G339,"")</f>
        <v>תל אביב -יפו</v>
      </c>
      <c r="G339" s="348" t="str">
        <f>IF($F339="","",'הזנה לתנאי סף'!H339)</f>
        <v>עמותת הכוריאוגרפים (ע"ר)</v>
      </c>
      <c r="H339" s="348" t="str">
        <f>IF($F339="","",'הזנה לתנאי סף'!I339)</f>
        <v>יוצרים עצמאיים במחול</v>
      </c>
      <c r="I339" s="349">
        <f>IF($F339="","",'הזנה לתנאי סף'!R339)</f>
        <v>47332</v>
      </c>
      <c r="J339" s="349">
        <f>IF($F339="","",'תחום תמיכה א'!P339)</f>
        <v>250914</v>
      </c>
      <c r="K339" s="177">
        <f>IF($F339="","",'הזנה לתנאי סף'!N339)</f>
        <v>0</v>
      </c>
      <c r="L339" s="177">
        <f>IF($F339="","",'הזנה לתנאי סף'!O339)</f>
        <v>1</v>
      </c>
      <c r="M339" s="177">
        <f>IF($F339="","",'הזנה לתנאי סף'!Q339)</f>
        <v>1</v>
      </c>
      <c r="N339" s="349">
        <f>IF($F339="","",'תחום תמיכה א'!AE339)</f>
        <v>13716.088866654465</v>
      </c>
      <c r="O339" s="178"/>
      <c r="P339" s="349">
        <f>IF($F339="","",'תחום תמיכה ב'!AC339)</f>
        <v>8067.204883660921</v>
      </c>
      <c r="Q339" s="349">
        <f>IF($F339="","",IF('תחום תמיכה ג'!O339="",0,'תחום תמיכה ג'!O339))</f>
        <v>0</v>
      </c>
      <c r="R339" s="349">
        <f t="shared" si="16"/>
        <v>241.89555992448913</v>
      </c>
      <c r="S339" s="349">
        <f>IF($F339="","",'תחום תמיכה ב'!AE339)</f>
        <v>8309.1004435854102</v>
      </c>
      <c r="T339" s="349">
        <f>IF($F339="","",IF(Q339='תחום תמיכה ג'!$Q$2,'תחום תמיכה ג'!$Q$2,IFERROR(SUMIF(N339:R339,"&gt;0"),'תחום תמיכה ג'!$Q$2)))</f>
        <v>22025.189310239875</v>
      </c>
      <c r="U339" s="349">
        <f>IF($F339="","",'הזנה לתנאי סף'!Y339)</f>
        <v>150000</v>
      </c>
      <c r="V339" s="350">
        <f>IF(F339="","",'הגבלה לסכום מבוקש '!AA339)</f>
        <v>23413.069917038367</v>
      </c>
      <c r="W339" s="349">
        <f t="shared" si="17"/>
        <v>5853.2674792595917</v>
      </c>
      <c r="X339" s="349">
        <f>IF(F339="","",'הזנה לתנאי סף'!Z339)</f>
        <v>150000</v>
      </c>
      <c r="Y339" s="351" t="s">
        <v>3740</v>
      </c>
      <c r="Z339" s="352" t="str">
        <f>IFERROR(VLOOKUP(G339*1,#REF!,3,0),"")</f>
        <v/>
      </c>
      <c r="AA339" s="349" t="str">
        <f>IF(OR($F339="",Z339=""),"",IFERROR(IF(Z339&gt;V339,MIN(Z339,T339)-V339,0),'תחום תמיכה ג'!$Q$2))</f>
        <v/>
      </c>
      <c r="AB339" s="353"/>
      <c r="AC339" s="260" t="str">
        <f t="shared" si="19"/>
        <v/>
      </c>
      <c r="AD339" s="358"/>
      <c r="AE339" s="180"/>
      <c r="AF339" s="355" t="str">
        <f>IF($C339="","",IFERROR(VLOOKUP($C339,גיליון1!$A:$E,2,0),"לא הגיש בקשה שוטפת"))</f>
        <v>תמיכה שוטפת יוצרת עצמאית אדווה ירמיהו</v>
      </c>
      <c r="AG339" s="355" t="str">
        <f>IF($C339="","",IFERROR(VLOOKUP($C339,גיליון1!$A:$E,3,0),"לא הגיש בקשה שוטפת"))</f>
        <v>חויב</v>
      </c>
      <c r="AH339" s="355" t="str">
        <f>IF($C339="","",IFERROR(VLOOKUP($C339,גיליון1!$A:$E,4,0),"לא הגיש בקשה שוטפת"))</f>
        <v>19-42-02-20</v>
      </c>
      <c r="AI339" s="355" t="str">
        <f>IF($C339="","",IFERROR(VLOOKUP($C339,גיליון1!$A:$E,5,0),"לא הגיש בקשה שוטפת"))</f>
        <v>מחול וארגוני גג</v>
      </c>
      <c r="AJ339" s="355">
        <f t="shared" si="18"/>
        <v>0</v>
      </c>
      <c r="AK339" s="15"/>
      <c r="AL339" s="15" t="s">
        <v>250</v>
      </c>
    </row>
    <row r="340" spans="1:38" ht="285.75" x14ac:dyDescent="0.25">
      <c r="A340" s="346">
        <f>'הזנה לתנאי סף'!B340</f>
        <v>310</v>
      </c>
      <c r="B340" s="347">
        <f>IF($F340="","",'הזנה לתנאי סף'!C340)</f>
        <v>1001348236</v>
      </c>
      <c r="C340" s="347">
        <f>IF($F340="","",'הזנה לתנאי סף'!D340)</f>
        <v>1001272586</v>
      </c>
      <c r="D340" s="347">
        <f>IF($F340="","",'הזנה לתנאי סף'!E340)</f>
        <v>40000564</v>
      </c>
      <c r="E340" s="348">
        <f>IF($F340="","",'הזנה לתנאי סף'!F340)</f>
        <v>20000201</v>
      </c>
      <c r="F340" s="348" t="str">
        <f>IF('הזנה לתנאי סף'!BL340=1,'הזנה לתנאי סף'!G340,"")</f>
        <v>תל אביב -יפו</v>
      </c>
      <c r="G340" s="348" t="str">
        <f>IF($F340="","",'הזנה לתנאי סף'!H340)</f>
        <v>עמותת הכוריאוגרפים (ע"ר)</v>
      </c>
      <c r="H340" s="348" t="str">
        <f>IF($F340="","",'הזנה לתנאי סף'!I340)</f>
        <v>יוצרים עצמאיים במחול</v>
      </c>
      <c r="I340" s="349">
        <f>IF($F340="","",'הזנה לתנאי סף'!R340)</f>
        <v>41582</v>
      </c>
      <c r="J340" s="349">
        <f>IF($F340="","",'תחום תמיכה א'!P340)</f>
        <v>32626</v>
      </c>
      <c r="K340" s="177">
        <f>IF($F340="","",'הזנה לתנאי סף'!N340)</f>
        <v>0</v>
      </c>
      <c r="L340" s="177">
        <f>IF($F340="","",'הזנה לתנאי סף'!O340)</f>
        <v>1</v>
      </c>
      <c r="M340" s="177">
        <f>IF($F340="","",'הזנה לתנאי סף'!Q340)</f>
        <v>1</v>
      </c>
      <c r="N340" s="349">
        <f>IF($F340="","",'תחום תמיכה א'!AE340)</f>
        <v>1783.484043789779</v>
      </c>
      <c r="O340" s="178"/>
      <c r="P340" s="349">
        <f>IF($F340="","",'תחום תמיכה ב'!AC340)</f>
        <v>7087.1823179326548</v>
      </c>
      <c r="Q340" s="349">
        <f>IF($F340="","",IF('תחום תמיכה ג'!O340="",0,'תחום תמיכה ג'!O340))</f>
        <v>0</v>
      </c>
      <c r="R340" s="349">
        <f t="shared" si="16"/>
        <v>212.5095320878072</v>
      </c>
      <c r="S340" s="349">
        <f>IF($F340="","",'תחום תמיכה ב'!AE340)</f>
        <v>7299.691850020462</v>
      </c>
      <c r="T340" s="349">
        <f>IF($F340="","",IF(Q340='תחום תמיכה ג'!$Q$2,'תחום תמיכה ג'!$Q$2,IFERROR(SUMIF(N340:R340,"&gt;0"),'תחום תמיכה ג'!$Q$2)))</f>
        <v>9083.1758938102394</v>
      </c>
      <c r="U340" s="349">
        <f>IF($F340="","",'הזנה לתנאי סף'!Y340)</f>
        <v>150000</v>
      </c>
      <c r="V340" s="350">
        <f>IF(F340="","",'הגבלה לסכום מבוקש '!AA340)</f>
        <v>10297.779041878583</v>
      </c>
      <c r="W340" s="349">
        <f t="shared" si="17"/>
        <v>2574.4447604696456</v>
      </c>
      <c r="X340" s="349">
        <f>IF(F340="","",'הזנה לתנאי סף'!Z340)</f>
        <v>150000</v>
      </c>
      <c r="Y340" s="351" t="s">
        <v>3740</v>
      </c>
      <c r="Z340" s="352" t="str">
        <f>IFERROR(VLOOKUP(G340*1,#REF!,3,0),"")</f>
        <v/>
      </c>
      <c r="AA340" s="349" t="str">
        <f>IF(OR($F340="",Z340=""),"",IFERROR(IF(Z340&gt;V340,MIN(Z340,T340)-V340,0),'תחום תמיכה ג'!$Q$2))</f>
        <v/>
      </c>
      <c r="AB340" s="353"/>
      <c r="AC340" s="260" t="str">
        <f t="shared" si="19"/>
        <v/>
      </c>
      <c r="AD340" s="358"/>
      <c r="AE340" s="180"/>
      <c r="AF340" s="355" t="str">
        <f>IF($C340="","",IFERROR(VLOOKUP($C340,גיליון1!$A:$E,2,0),"לא הגיש בקשה שוטפת"))</f>
        <v>תמיכה שוטפת יוצרת עצמאית אהרונה ישראל</v>
      </c>
      <c r="AG340" s="355" t="str">
        <f>IF($C340="","",IFERROR(VLOOKUP($C340,גיליון1!$A:$E,3,0),"לא הגיש בקשה שוטפת"))</f>
        <v>חויב</v>
      </c>
      <c r="AH340" s="355" t="str">
        <f>IF($C340="","",IFERROR(VLOOKUP($C340,גיליון1!$A:$E,4,0),"לא הגיש בקשה שוטפת"))</f>
        <v>19-42-02-20</v>
      </c>
      <c r="AI340" s="355" t="str">
        <f>IF($C340="","",IFERROR(VLOOKUP($C340,גיליון1!$A:$E,5,0),"לא הגיש בקשה שוטפת"))</f>
        <v>מחול וארגוני גג</v>
      </c>
      <c r="AJ340" s="355">
        <f t="shared" si="18"/>
        <v>0</v>
      </c>
      <c r="AK340" s="15"/>
      <c r="AL340" s="15" t="s">
        <v>250</v>
      </c>
    </row>
    <row r="341" spans="1:38" ht="285.75" x14ac:dyDescent="0.25">
      <c r="A341" s="346">
        <f>'הזנה לתנאי סף'!B341</f>
        <v>311</v>
      </c>
      <c r="B341" s="347">
        <f>IF($F341="","",'הזנה לתנאי סף'!C341)</f>
        <v>1001348240</v>
      </c>
      <c r="C341" s="347">
        <f>IF($F341="","",'הזנה לתנאי סף'!D341)</f>
        <v>1001270940</v>
      </c>
      <c r="D341" s="347">
        <f>IF($F341="","",'הזנה לתנאי סף'!E341)</f>
        <v>40000564</v>
      </c>
      <c r="E341" s="348">
        <f>IF($F341="","",'הזנה לתנאי סף'!F341)</f>
        <v>20000201</v>
      </c>
      <c r="F341" s="348" t="str">
        <f>IF('הזנה לתנאי סף'!BL341=1,'הזנה לתנאי סף'!G341,"")</f>
        <v>תל אביב -יפו</v>
      </c>
      <c r="G341" s="348" t="str">
        <f>IF($F341="","",'הזנה לתנאי סף'!H341)</f>
        <v>עמותת הכוריאוגרפים (ע"ר)</v>
      </c>
      <c r="H341" s="348" t="str">
        <f>IF($F341="","",'הזנה לתנאי סף'!I341)</f>
        <v>יוצרים עצמאיים במחול</v>
      </c>
      <c r="I341" s="349">
        <f>IF($F341="","",'הזנה לתנאי סף'!R341)</f>
        <v>186183</v>
      </c>
      <c r="J341" s="349">
        <f>IF($F341="","",'תחום תמיכה א'!P341)</f>
        <v>196575</v>
      </c>
      <c r="K341" s="177">
        <f>IF($F341="","",'הזנה לתנאי סף'!N341)</f>
        <v>0</v>
      </c>
      <c r="L341" s="177">
        <f>IF($F341="","",'הזנה לתנאי סף'!O341)</f>
        <v>1</v>
      </c>
      <c r="M341" s="177">
        <f>IF($F341="","",'הזנה לתנאי סף'!Q341)</f>
        <v>1</v>
      </c>
      <c r="N341" s="349">
        <f>IF($F341="","",'תחום תמיכה א'!AE341)</f>
        <v>3003.7537431083979</v>
      </c>
      <c r="O341" s="178"/>
      <c r="P341" s="349">
        <f>IF($F341="","",'תחום תמיכה ב'!AC341)</f>
        <v>2479.5310068366043</v>
      </c>
      <c r="Q341" s="349">
        <f>IF($F341="","",IF('תחום תמיכה ג'!O341="",0,'תחום תמיכה ג'!O341))</f>
        <v>0</v>
      </c>
      <c r="R341" s="349">
        <f t="shared" si="16"/>
        <v>74.348866788255691</v>
      </c>
      <c r="S341" s="349">
        <f>IF($F341="","",'תחום תמיכה ב'!AE341)</f>
        <v>2553.87987362486</v>
      </c>
      <c r="T341" s="349">
        <f>IF($F341="","",IF(Q341='תחום תמיכה ג'!$Q$2,'תחום תמיכה ג'!$Q$2,IFERROR(SUMIF(N341:R341,"&gt;0"),'תחום תמיכה ג'!$Q$2)))</f>
        <v>5557.6336167332574</v>
      </c>
      <c r="U341" s="349">
        <f>IF($F341="","",'הזנה לתנאי סף'!Y341)</f>
        <v>150000</v>
      </c>
      <c r="V341" s="350">
        <f>IF(F341="","",'הגבלה לסכום מבוקש '!AA341)</f>
        <v>5983.6598627135172</v>
      </c>
      <c r="W341" s="349">
        <f t="shared" si="17"/>
        <v>1495.9149656783793</v>
      </c>
      <c r="X341" s="349">
        <f>IF(F341="","",'הזנה לתנאי סף'!Z341)</f>
        <v>150000</v>
      </c>
      <c r="Y341" s="351" t="s">
        <v>3740</v>
      </c>
      <c r="Z341" s="352" t="str">
        <f>IFERROR(VLOOKUP(G341*1,#REF!,3,0),"")</f>
        <v/>
      </c>
      <c r="AA341" s="349" t="str">
        <f>IF(OR($F341="",Z341=""),"",IFERROR(IF(Z341&gt;V341,MIN(Z341,T341)-V341,0),'תחום תמיכה ג'!$Q$2))</f>
        <v/>
      </c>
      <c r="AB341" s="353"/>
      <c r="AC341" s="260" t="str">
        <f t="shared" si="19"/>
        <v/>
      </c>
      <c r="AD341" s="358"/>
      <c r="AE341" s="180"/>
      <c r="AF341" s="355" t="str">
        <f>IF($C341="","",IFERROR(VLOOKUP($C341,גיליון1!$A:$E,2,0),"לא הגיש בקשה שוטפת"))</f>
        <v>תמיכה שוטפת להקת נגה</v>
      </c>
      <c r="AG341" s="355" t="str">
        <f>IF($C341="","",IFERROR(VLOOKUP($C341,גיליון1!$A:$E,3,0),"לא הגיש בקשה שוטפת"))</f>
        <v>מועד</v>
      </c>
      <c r="AH341" s="355" t="str">
        <f>IF($C341="","",IFERROR(VLOOKUP($C341,גיליון1!$A:$E,4,0),"לא הגיש בקשה שוטפת"))</f>
        <v>19-42-02-31</v>
      </c>
      <c r="AI341" s="355" t="str">
        <f>IF($C341="","",IFERROR(VLOOKUP($C341,גיליון1!$A:$E,5,0),"לא הגיש בקשה שוטפת"))</f>
        <v>תרבות בקהילה תמיכה</v>
      </c>
      <c r="AJ341" s="355">
        <f t="shared" si="18"/>
        <v>0</v>
      </c>
      <c r="AK341" s="15"/>
      <c r="AL341" s="15" t="s">
        <v>250</v>
      </c>
    </row>
    <row r="342" spans="1:38" ht="285.75" x14ac:dyDescent="0.25">
      <c r="A342" s="346">
        <f>'הזנה לתנאי סף'!B342</f>
        <v>312</v>
      </c>
      <c r="B342" s="347">
        <f>IF($F342="","",'הזנה לתנאי סף'!C342)</f>
        <v>1001348241</v>
      </c>
      <c r="C342" s="347">
        <f>IF($F342="","",'הזנה לתנאי סף'!D342)</f>
        <v>1001272574</v>
      </c>
      <c r="D342" s="347">
        <f>IF($F342="","",'הזנה לתנאי סף'!E342)</f>
        <v>40000564</v>
      </c>
      <c r="E342" s="348">
        <f>IF($F342="","",'הזנה לתנאי סף'!F342)</f>
        <v>20000201</v>
      </c>
      <c r="F342" s="348" t="str">
        <f>IF('הזנה לתנאי סף'!BL342=1,'הזנה לתנאי סף'!G342,"")</f>
        <v>תל אביב -יפו</v>
      </c>
      <c r="G342" s="348" t="str">
        <f>IF($F342="","",'הזנה לתנאי סף'!H342)</f>
        <v>עמותת הכוריאוגרפים (ע"ר)</v>
      </c>
      <c r="H342" s="348" t="str">
        <f>IF($F342="","",'הזנה לתנאי סף'!I342)</f>
        <v>יוצרים עצמאיים במחול</v>
      </c>
      <c r="I342" s="349">
        <f>IF($F342="","",'הזנה לתנאי סף'!R342)</f>
        <v>215650</v>
      </c>
      <c r="J342" s="349">
        <f>IF($F342="","",'תחום תמיכה א'!P342)</f>
        <v>209973</v>
      </c>
      <c r="K342" s="177">
        <f>IF($F342="","",'הזנה לתנאי סף'!N342)</f>
        <v>0</v>
      </c>
      <c r="L342" s="177">
        <f>IF($F342="","",'הזנה לתנאי סף'!O342)</f>
        <v>1</v>
      </c>
      <c r="M342" s="177">
        <f>IF($F342="","",'הזנה לתנאי סף'!Q342)</f>
        <v>1</v>
      </c>
      <c r="N342" s="349">
        <f>IF($F342="","",'תחום תמיכה א'!AE342)</f>
        <v>8887.3204396755591</v>
      </c>
      <c r="O342" s="178"/>
      <c r="P342" s="349">
        <f>IF($F342="","",'תחום תמיכה ב'!AC342)</f>
        <v>22035.437260202933</v>
      </c>
      <c r="Q342" s="349">
        <f>IF($F342="","",IF('תחום תמיכה ג'!O342="",0,'תחום תמיכה ג'!O342))</f>
        <v>0</v>
      </c>
      <c r="R342" s="349">
        <f t="shared" si="16"/>
        <v>660.73373753448686</v>
      </c>
      <c r="S342" s="349">
        <f>IF($F342="","",'תחום תמיכה ב'!AE342)</f>
        <v>22696.170997737419</v>
      </c>
      <c r="T342" s="349">
        <f>IF($F342="","",IF(Q342='תחום תמיכה ג'!$Q$2,'תחום תמיכה ג'!$Q$2,IFERROR(SUMIF(N342:R342,"&gt;0"),'תחום תמיכה ג'!$Q$2)))</f>
        <v>31583.49143741298</v>
      </c>
      <c r="U342" s="349">
        <f>IF($F342="","",'הזנה לתנאי סף'!Y342)</f>
        <v>150000</v>
      </c>
      <c r="V342" s="350">
        <f>IF(F342="","",'הגבלה לסכום מבוקש '!AA342)</f>
        <v>35361.452158745044</v>
      </c>
      <c r="W342" s="349">
        <f t="shared" si="17"/>
        <v>8840.3630396862609</v>
      </c>
      <c r="X342" s="349">
        <f>IF(F342="","",'הזנה לתנאי סף'!Z342)</f>
        <v>150000</v>
      </c>
      <c r="Y342" s="351" t="s">
        <v>3740</v>
      </c>
      <c r="Z342" s="352" t="str">
        <f>IFERROR(VLOOKUP(G342*1,#REF!,3,0),"")</f>
        <v/>
      </c>
      <c r="AA342" s="349" t="str">
        <f>IF(OR($F342="",Z342=""),"",IFERROR(IF(Z342&gt;V342,MIN(Z342,T342)-V342,0),'תחום תמיכה ג'!$Q$2))</f>
        <v/>
      </c>
      <c r="AB342" s="353"/>
      <c r="AC342" s="260" t="str">
        <f t="shared" si="19"/>
        <v/>
      </c>
      <c r="AD342" s="358"/>
      <c r="AE342" s="180"/>
      <c r="AF342" s="355" t="str">
        <f>IF($C342="","",IFERROR(VLOOKUP($C342,גיליון1!$A:$E,2,0),"לא הגיש בקשה שוטפת"))</f>
        <v>תמיכה שוטפת פרויקט GO</v>
      </c>
      <c r="AG342" s="355" t="str">
        <f>IF($C342="","",IFERROR(VLOOKUP($C342,גיליון1!$A:$E,3,0),"לא הגיש בקשה שוטפת"))</f>
        <v>חויב</v>
      </c>
      <c r="AH342" s="355" t="str">
        <f>IF($C342="","",IFERROR(VLOOKUP($C342,גיליון1!$A:$E,4,0),"לא הגיש בקשה שוטפת"))</f>
        <v>19-42-02-20</v>
      </c>
      <c r="AI342" s="355" t="str">
        <f>IF($C342="","",IFERROR(VLOOKUP($C342,גיליון1!$A:$E,5,0),"לא הגיש בקשה שוטפת"))</f>
        <v>מחול וארגוני גג</v>
      </c>
      <c r="AJ342" s="355">
        <f t="shared" si="18"/>
        <v>0</v>
      </c>
      <c r="AK342" s="15"/>
      <c r="AL342" s="15" t="s">
        <v>250</v>
      </c>
    </row>
    <row r="343" spans="1:38" ht="285.75" x14ac:dyDescent="0.25">
      <c r="A343" s="346">
        <f>'הזנה לתנאי סף'!B343</f>
        <v>313</v>
      </c>
      <c r="B343" s="347">
        <f>IF($F343="","",'הזנה לתנאי סף'!C343)</f>
        <v>1001348248</v>
      </c>
      <c r="C343" s="347">
        <f>IF($F343="","",'הזנה לתנאי סף'!D343)</f>
        <v>1001272582</v>
      </c>
      <c r="D343" s="347">
        <f>IF($F343="","",'הזנה לתנאי סף'!E343)</f>
        <v>40000564</v>
      </c>
      <c r="E343" s="348">
        <f>IF($F343="","",'הזנה לתנאי סף'!F343)</f>
        <v>20000201</v>
      </c>
      <c r="F343" s="348" t="str">
        <f>IF('הזנה לתנאי סף'!BL343=1,'הזנה לתנאי סף'!G343,"")</f>
        <v>תל אביב -יפו</v>
      </c>
      <c r="G343" s="348" t="str">
        <f>IF($F343="","",'הזנה לתנאי סף'!H343)</f>
        <v>עמותת הכוריאוגרפים (ע"ר)</v>
      </c>
      <c r="H343" s="348" t="str">
        <f>IF($F343="","",'הזנה לתנאי סף'!I343)</f>
        <v>יוצרים עצמאיים במחול</v>
      </c>
      <c r="I343" s="349">
        <f>IF($F343="","",'הזנה לתנאי סף'!R343)</f>
        <v>349701</v>
      </c>
      <c r="J343" s="349">
        <f>IF($F343="","",'תחום תמיכה א'!P343)</f>
        <v>131815</v>
      </c>
      <c r="K343" s="177">
        <f>IF($F343="","",'הזנה לתנאי סף'!N343)</f>
        <v>0</v>
      </c>
      <c r="L343" s="177">
        <f>IF($F343="","",'הזנה לתנאי סף'!O343)</f>
        <v>1</v>
      </c>
      <c r="M343" s="177">
        <f>IF($F343="","",'הזנה לתנאי סף'!Q343)</f>
        <v>1</v>
      </c>
      <c r="N343" s="349">
        <f>IF($F343="","",'תחום תמיכה א'!AE343)</f>
        <v>7205.6013373429087</v>
      </c>
      <c r="O343" s="178"/>
      <c r="P343" s="349">
        <f>IF($F343="","",'תחום תמיכה ב'!AC343)</f>
        <v>59602.586305693985</v>
      </c>
      <c r="Q343" s="349">
        <f>IF($F343="","",IF('תחום תמיכה ג'!O343="",0,'תחום תמיכה ג'!O343))</f>
        <v>0</v>
      </c>
      <c r="R343" s="349">
        <f t="shared" si="16"/>
        <v>1787.1866644374604</v>
      </c>
      <c r="S343" s="349">
        <f>IF($F343="","",'תחום תמיכה ב'!AE343)</f>
        <v>61389.772970131446</v>
      </c>
      <c r="T343" s="349">
        <f>IF($F343="","",IF(Q343='תחום תמיכה ג'!$Q$2,'תחום תמיכה ג'!$Q$2,IFERROR(SUMIF(N343:R343,"&gt;0"),'תחום תמיכה ג'!$Q$2)))</f>
        <v>68595.374307474354</v>
      </c>
      <c r="U343" s="349">
        <f>IF($F343="","",'הזנה לתנאי סף'!Y343)</f>
        <v>150000</v>
      </c>
      <c r="V343" s="350">
        <f>IF(F343="","",'הגבלה לסכום מבוקש '!AA343)</f>
        <v>78806.53252770027</v>
      </c>
      <c r="W343" s="349">
        <f t="shared" si="17"/>
        <v>19701.633131925068</v>
      </c>
      <c r="X343" s="349">
        <f>IF(F343="","",'הזנה לתנאי סף'!Z343)</f>
        <v>150000</v>
      </c>
      <c r="Y343" s="351" t="s">
        <v>3740</v>
      </c>
      <c r="Z343" s="352" t="str">
        <f>IFERROR(VLOOKUP(G343*1,#REF!,3,0),"")</f>
        <v/>
      </c>
      <c r="AA343" s="349" t="str">
        <f>IF(OR($F343="",Z343=""),"",IFERROR(IF(Z343&gt;V343,MIN(Z343,T343)-V343,0),'תחום תמיכה ג'!$Q$2))</f>
        <v/>
      </c>
      <c r="AB343" s="353"/>
      <c r="AC343" s="260" t="str">
        <f t="shared" si="19"/>
        <v/>
      </c>
      <c r="AD343" s="358"/>
      <c r="AE343" s="180"/>
      <c r="AF343" s="355" t="str">
        <f>IF($C343="","",IFERROR(VLOOKUP($C343,גיליון1!$A:$E,2,0),"לא הגיש בקשה שוטפת"))</f>
        <v>תמיכה שוטפת פרוייקט בית ספר פורטל</v>
      </c>
      <c r="AG343" s="355" t="str">
        <f>IF($C343="","",IFERROR(VLOOKUP($C343,גיליון1!$A:$E,3,0),"לא הגיש בקשה שוטפת"))</f>
        <v>חויב</v>
      </c>
      <c r="AH343" s="355" t="str">
        <f>IF($C343="","",IFERROR(VLOOKUP($C343,גיליון1!$A:$E,4,0),"לא הגיש בקשה שוטפת"))</f>
        <v>19-42-02-20</v>
      </c>
      <c r="AI343" s="355" t="str">
        <f>IF($C343="","",IFERROR(VLOOKUP($C343,גיליון1!$A:$E,5,0),"לא הגיש בקשה שוטפת"))</f>
        <v>מחול וארגוני גג</v>
      </c>
      <c r="AJ343" s="355">
        <f t="shared" si="18"/>
        <v>0</v>
      </c>
      <c r="AK343" s="15"/>
      <c r="AL343" s="15" t="s">
        <v>250</v>
      </c>
    </row>
    <row r="344" spans="1:38" ht="285.75" x14ac:dyDescent="0.25">
      <c r="A344" s="346">
        <f>'הזנה לתנאי סף'!B344</f>
        <v>314</v>
      </c>
      <c r="B344" s="347">
        <f>IF($F344="","",'הזנה לתנאי סף'!C344)</f>
        <v>1001348257</v>
      </c>
      <c r="C344" s="347">
        <f>IF($F344="","",'הזנה לתנאי סף'!D344)</f>
        <v>1001272579</v>
      </c>
      <c r="D344" s="347">
        <f>IF($F344="","",'הזנה לתנאי סף'!E344)</f>
        <v>40000564</v>
      </c>
      <c r="E344" s="348">
        <f>IF($F344="","",'הזנה לתנאי סף'!F344)</f>
        <v>20000201</v>
      </c>
      <c r="F344" s="348" t="str">
        <f>IF('הזנה לתנאי סף'!BL344=1,'הזנה לתנאי סף'!G344,"")</f>
        <v>תל אביב -יפו</v>
      </c>
      <c r="G344" s="348" t="str">
        <f>IF($F344="","",'הזנה לתנאי סף'!H344)</f>
        <v>עמותת הכוריאוגרפים (ע"ר)</v>
      </c>
      <c r="H344" s="348" t="str">
        <f>IF($F344="","",'הזנה לתנאי סף'!I344)</f>
        <v>יוצרים עצמאיים במחול</v>
      </c>
      <c r="I344" s="349">
        <f>IF($F344="","",'הזנה לתנאי סף'!R344)</f>
        <v>106279</v>
      </c>
      <c r="J344" s="349">
        <f>IF($F344="","",'תחום תמיכה א'!P344)</f>
        <v>76168</v>
      </c>
      <c r="K344" s="177">
        <f>IF($F344="","",'הזנה לתנאי סף'!N344)</f>
        <v>0</v>
      </c>
      <c r="L344" s="177">
        <f>IF($F344="","",'הזנה לתנאי סף'!O344)</f>
        <v>1</v>
      </c>
      <c r="M344" s="177">
        <f>IF($F344="","",'הזנה לתנאי סף'!Q344)</f>
        <v>1</v>
      </c>
      <c r="N344" s="349">
        <f>IF($F344="","",'תחום תמיכה א'!AE344)</f>
        <v>4163.6857919260674</v>
      </c>
      <c r="O344" s="178"/>
      <c r="P344" s="349">
        <f>IF($F344="","",'תחום תמיכה ב'!AC344)</f>
        <v>18114.055350092938</v>
      </c>
      <c r="Q344" s="349">
        <f>IF($F344="","",IF('תחום תמיכה ג'!O344="",0,'תחום תמיכה ג'!O344))</f>
        <v>0</v>
      </c>
      <c r="R344" s="349">
        <f t="shared" si="16"/>
        <v>543.1508960790743</v>
      </c>
      <c r="S344" s="349">
        <f>IF($F344="","",'תחום תמיכה ב'!AE344)</f>
        <v>18657.206246172012</v>
      </c>
      <c r="T344" s="349">
        <f>IF($F344="","",IF(Q344='תחום תמיכה ג'!$Q$2,'תחום תמיכה ג'!$Q$2,IFERROR(SUMIF(N344:R344,"&gt;0"),'תחום תמיכה ג'!$Q$2)))</f>
        <v>22820.892038098078</v>
      </c>
      <c r="U344" s="349">
        <f>IF($F344="","",'הזנה לתנאי סף'!Y344)</f>
        <v>150000</v>
      </c>
      <c r="V344" s="350">
        <f>IF(F344="","",'הגבלה לסכום מבוקש '!AA344)</f>
        <v>25925.103834562971</v>
      </c>
      <c r="W344" s="349">
        <f t="shared" si="17"/>
        <v>6481.2759586407428</v>
      </c>
      <c r="X344" s="349">
        <f>IF(F344="","",'הזנה לתנאי סף'!Z344)</f>
        <v>150000</v>
      </c>
      <c r="Y344" s="351" t="s">
        <v>3740</v>
      </c>
      <c r="Z344" s="352" t="str">
        <f>IFERROR(VLOOKUP(G344*1,#REF!,3,0),"")</f>
        <v/>
      </c>
      <c r="AA344" s="349" t="str">
        <f>IF(OR($F344="",Z344=""),"",IFERROR(IF(Z344&gt;V344,MIN(Z344,T344)-V344,0),'תחום תמיכה ג'!$Q$2))</f>
        <v/>
      </c>
      <c r="AB344" s="353"/>
      <c r="AC344" s="260" t="str">
        <f t="shared" si="19"/>
        <v/>
      </c>
      <c r="AD344" s="358"/>
      <c r="AE344" s="180"/>
      <c r="AF344" s="355" t="str">
        <f>IF($C344="","",IFERROR(VLOOKUP($C344,גיליון1!$A:$E,2,0),"לא הגיש בקשה שוטפת"))</f>
        <v>תמיכה שוטפת פרוייקט RESEARCH</v>
      </c>
      <c r="AG344" s="355" t="str">
        <f>IF($C344="","",IFERROR(VLOOKUP($C344,גיליון1!$A:$E,3,0),"לא הגיש בקשה שוטפת"))</f>
        <v>חויב</v>
      </c>
      <c r="AH344" s="355" t="str">
        <f>IF($C344="","",IFERROR(VLOOKUP($C344,גיליון1!$A:$E,4,0),"לא הגיש בקשה שוטפת"))</f>
        <v>19-42-02-20</v>
      </c>
      <c r="AI344" s="355" t="str">
        <f>IF($C344="","",IFERROR(VLOOKUP($C344,גיליון1!$A:$E,5,0),"לא הגיש בקשה שוטפת"))</f>
        <v>מחול וארגוני גג</v>
      </c>
      <c r="AJ344" s="355">
        <f t="shared" si="18"/>
        <v>0</v>
      </c>
      <c r="AK344" s="15"/>
      <c r="AL344" s="15" t="s">
        <v>250</v>
      </c>
    </row>
    <row r="345" spans="1:38" ht="285.75" x14ac:dyDescent="0.25">
      <c r="A345" s="346">
        <f>'הזנה לתנאי סף'!B345</f>
        <v>315</v>
      </c>
      <c r="B345" s="347">
        <f>IF($F345="","",'הזנה לתנאי סף'!C345)</f>
        <v>1001349448</v>
      </c>
      <c r="C345" s="347">
        <f>IF($F345="","",'הזנה לתנאי סף'!D345)</f>
        <v>1001272605</v>
      </c>
      <c r="D345" s="347">
        <f>IF($F345="","",'הזנה לתנאי סף'!E345)</f>
        <v>40000564</v>
      </c>
      <c r="E345" s="348">
        <f>IF($F345="","",'הזנה לתנאי סף'!F345)</f>
        <v>20000201</v>
      </c>
      <c r="F345" s="348" t="str">
        <f>IF('הזנה לתנאי סף'!BL345=1,'הזנה לתנאי סף'!G345,"")</f>
        <v>תל אביב -יפו</v>
      </c>
      <c r="G345" s="348" t="str">
        <f>IF($F345="","",'הזנה לתנאי סף'!H345)</f>
        <v>עמותת הכוריאוגרפים (ע"ר)</v>
      </c>
      <c r="H345" s="348" t="str">
        <f>IF($F345="","",'הזנה לתנאי סף'!I345)</f>
        <v>יוצרים עצמאיים במחול</v>
      </c>
      <c r="I345" s="349">
        <f>IF($F345="","",'הזנה לתנאי סף'!R345)</f>
        <v>45591</v>
      </c>
      <c r="J345" s="349">
        <f>IF($F345="","",'תחום תמיכה א'!P345)</f>
        <v>39443</v>
      </c>
      <c r="K345" s="177">
        <f>IF($F345="","",'הזנה לתנאי סף'!N345)</f>
        <v>0</v>
      </c>
      <c r="L345" s="177">
        <f>IF($F345="","",'הזנה לתנאי סף'!O345)</f>
        <v>1</v>
      </c>
      <c r="M345" s="177">
        <f>IF($F345="","",'הזנה לתנאי סף'!Q345)</f>
        <v>1</v>
      </c>
      <c r="N345" s="349">
        <f>IF($F345="","",'תחום תמיכה א'!AE345)</f>
        <v>2156.1319542450888</v>
      </c>
      <c r="O345" s="178"/>
      <c r="P345" s="349">
        <f>IF($F345="","",'תחום תמיכה ב'!AC345)</f>
        <v>7770.4710946291098</v>
      </c>
      <c r="Q345" s="349">
        <f>IF($F345="","",IF('תחום תמיכה ג'!O345="",0,'תחום תמיכה ג'!O345))</f>
        <v>0</v>
      </c>
      <c r="R345" s="349">
        <f t="shared" si="16"/>
        <v>232.99798175689557</v>
      </c>
      <c r="S345" s="349">
        <f>IF($F345="","",'תחום תמיכה ב'!AE345)</f>
        <v>8003.4690763860053</v>
      </c>
      <c r="T345" s="349">
        <f>IF($F345="","",IF(Q345='תחום תמיכה ג'!$Q$2,'תחום תמיכה ג'!$Q$2,IFERROR(SUMIF(N345:R345,"&gt;0"),'תחום תמיכה ג'!$Q$2)))</f>
        <v>10159.601030631093</v>
      </c>
      <c r="U345" s="349">
        <f>IF($F345="","",'הזנה לתנאי סף'!Y345)</f>
        <v>150000</v>
      </c>
      <c r="V345" s="350">
        <f>IF(F345="","",'הגבלה לסכום מבוקש '!AA345)</f>
        <v>11491.39777034938</v>
      </c>
      <c r="W345" s="349">
        <f t="shared" si="17"/>
        <v>2872.849442587345</v>
      </c>
      <c r="X345" s="349">
        <f>IF(F345="","",'הזנה לתנאי סף'!Z345)</f>
        <v>150000</v>
      </c>
      <c r="Y345" s="351" t="s">
        <v>3740</v>
      </c>
      <c r="Z345" s="352" t="str">
        <f>IFERROR(VLOOKUP(G345*1,#REF!,3,0),"")</f>
        <v/>
      </c>
      <c r="AA345" s="349" t="str">
        <f>IF(OR($F345="",Z345=""),"",IFERROR(IF(Z345&gt;V345,MIN(Z345,T345)-V345,0),'תחום תמיכה ג'!$Q$2))</f>
        <v/>
      </c>
      <c r="AB345" s="353"/>
      <c r="AC345" s="260" t="str">
        <f t="shared" si="19"/>
        <v/>
      </c>
      <c r="AD345" s="358"/>
      <c r="AE345" s="180"/>
      <c r="AF345" s="355" t="str">
        <f>IF($C345="","",IFERROR(VLOOKUP($C345,גיליון1!$A:$E,2,0),"לא הגיש בקשה שוטפת"))</f>
        <v>תמיכה שוטפת יוצרת עצמאית אנבל דביר</v>
      </c>
      <c r="AG345" s="355" t="str">
        <f>IF($C345="","",IFERROR(VLOOKUP($C345,גיליון1!$A:$E,3,0),"לא הגיש בקשה שוטפת"))</f>
        <v>חויב</v>
      </c>
      <c r="AH345" s="355" t="str">
        <f>IF($C345="","",IFERROR(VLOOKUP($C345,גיליון1!$A:$E,4,0),"לא הגיש בקשה שוטפת"))</f>
        <v>19-42-02-20</v>
      </c>
      <c r="AI345" s="355" t="str">
        <f>IF($C345="","",IFERROR(VLOOKUP($C345,גיליון1!$A:$E,5,0),"לא הגיש בקשה שוטפת"))</f>
        <v>מחול וארגוני גג</v>
      </c>
      <c r="AJ345" s="355">
        <f t="shared" si="18"/>
        <v>0</v>
      </c>
      <c r="AK345" s="15"/>
      <c r="AL345" s="15" t="s">
        <v>250</v>
      </c>
    </row>
    <row r="346" spans="1:38" ht="285.75" x14ac:dyDescent="0.25">
      <c r="A346" s="346">
        <f>'הזנה לתנאי סף'!B346</f>
        <v>316</v>
      </c>
      <c r="B346" s="347">
        <f>IF($F346="","",'הזנה לתנאי סף'!C346)</f>
        <v>1001349449</v>
      </c>
      <c r="C346" s="347">
        <f>IF($F346="","",'הזנה לתנאי סף'!D346)</f>
        <v>1001273656</v>
      </c>
      <c r="D346" s="347">
        <f>IF($F346="","",'הזנה לתנאי סף'!E346)</f>
        <v>40000564</v>
      </c>
      <c r="E346" s="348">
        <f>IF($F346="","",'הזנה לתנאי סף'!F346)</f>
        <v>20000201</v>
      </c>
      <c r="F346" s="348" t="str">
        <f>IF('הזנה לתנאי סף'!BL346=1,'הזנה לתנאי סף'!G346,"")</f>
        <v>תל אביב -יפו</v>
      </c>
      <c r="G346" s="348" t="str">
        <f>IF($F346="","",'הזנה לתנאי סף'!H346)</f>
        <v>עמותת הכוריאוגרפים (ע"ר)</v>
      </c>
      <c r="H346" s="348" t="str">
        <f>IF($F346="","",'הזנה לתנאי סף'!I346)</f>
        <v>יוצרים עצמאיים במחול</v>
      </c>
      <c r="I346" s="349">
        <f>IF($F346="","",'הזנה לתנאי סף'!R346)</f>
        <v>57620</v>
      </c>
      <c r="J346" s="349">
        <f>IF($F346="","",'תחום תמיכה א'!P346)</f>
        <v>25546</v>
      </c>
      <c r="K346" s="177">
        <f>IF($F346="","",'הזנה לתנאי סף'!N346)</f>
        <v>0</v>
      </c>
      <c r="L346" s="177">
        <f>IF($F346="","",'הזנה לתנאי סף'!O346)</f>
        <v>1</v>
      </c>
      <c r="M346" s="177">
        <f>IF($F346="","",'הזנה לתנאי סף'!Q346)</f>
        <v>1</v>
      </c>
      <c r="N346" s="349">
        <f>IF($F346="","",'תחום תמיכה א'!AE346)</f>
        <v>1396.4593692960734</v>
      </c>
      <c r="O346" s="178"/>
      <c r="P346" s="349">
        <f>IF($F346="","",'תחום תמיכה ב'!AC346)</f>
        <v>9820.6783021326428</v>
      </c>
      <c r="Q346" s="349">
        <f>IF($F346="","",IF('תחום תמיכה ג'!O346="",0,'תחום תמיכה ג'!O346))</f>
        <v>0</v>
      </c>
      <c r="R346" s="349">
        <f t="shared" si="16"/>
        <v>294.47355199123376</v>
      </c>
      <c r="S346" s="349">
        <f>IF($F346="","",'תחום תמיכה ב'!AE346)</f>
        <v>10115.151854123877</v>
      </c>
      <c r="T346" s="349">
        <f>IF($F346="","",IF(Q346='תחום תמיכה ג'!$Q$2,'תחום תמיכה ג'!$Q$2,IFERROR(SUMIF(N346:R346,"&gt;0"),'תחום תמיכה ג'!$Q$2)))</f>
        <v>11511.61122341995</v>
      </c>
      <c r="U346" s="349">
        <f>IF($F346="","",'הזנה לתנאי סף'!Y346)</f>
        <v>150000</v>
      </c>
      <c r="V346" s="350">
        <f>IF(F346="","",'הגבלה לסכום מבוקש '!AA346)</f>
        <v>13194.192190391446</v>
      </c>
      <c r="W346" s="349">
        <f t="shared" si="17"/>
        <v>3298.5480475978616</v>
      </c>
      <c r="X346" s="349">
        <f>IF(F346="","",'הזנה לתנאי סף'!Z346)</f>
        <v>150000</v>
      </c>
      <c r="Y346" s="351" t="s">
        <v>3740</v>
      </c>
      <c r="Z346" s="352" t="str">
        <f>IFERROR(VLOOKUP(G346*1,#REF!,3,0),"")</f>
        <v/>
      </c>
      <c r="AA346" s="349" t="str">
        <f>IF(OR($F346="",Z346=""),"",IFERROR(IF(Z346&gt;V346,MIN(Z346,T346)-V346,0),'תחום תמיכה ג'!$Q$2))</f>
        <v/>
      </c>
      <c r="AB346" s="353"/>
      <c r="AC346" s="260" t="str">
        <f t="shared" si="19"/>
        <v/>
      </c>
      <c r="AD346" s="358"/>
      <c r="AE346" s="180"/>
      <c r="AF346" s="355" t="str">
        <f>IF($C346="","",IFERROR(VLOOKUP($C346,גיליון1!$A:$E,2,0),"לא הגיש בקשה שוטפת"))</f>
        <v>תמיכה שוטפת יוצרת עצמאית סיגל ברגמן</v>
      </c>
      <c r="AG346" s="355" t="str">
        <f>IF($C346="","",IFERROR(VLOOKUP($C346,גיליון1!$A:$E,3,0),"לא הגיש בקשה שוטפת"))</f>
        <v>חויב</v>
      </c>
      <c r="AH346" s="355" t="str">
        <f>IF($C346="","",IFERROR(VLOOKUP($C346,גיליון1!$A:$E,4,0),"לא הגיש בקשה שוטפת"))</f>
        <v>19-42-02-20</v>
      </c>
      <c r="AI346" s="355" t="str">
        <f>IF($C346="","",IFERROR(VLOOKUP($C346,גיליון1!$A:$E,5,0),"לא הגיש בקשה שוטפת"))</f>
        <v>מחול וארגוני גג</v>
      </c>
      <c r="AJ346" s="355">
        <f t="shared" si="18"/>
        <v>0</v>
      </c>
      <c r="AK346" s="15"/>
      <c r="AL346" s="15" t="s">
        <v>250</v>
      </c>
    </row>
    <row r="347" spans="1:38" ht="285.75" x14ac:dyDescent="0.25">
      <c r="A347" s="346">
        <f>'הזנה לתנאי סף'!B347</f>
        <v>317</v>
      </c>
      <c r="B347" s="347">
        <f>IF($F347="","",'הזנה לתנאי סף'!C347)</f>
        <v>1001349480</v>
      </c>
      <c r="C347" s="347">
        <f>IF($F347="","",'הזנה לתנאי סף'!D347)</f>
        <v>1001272601</v>
      </c>
      <c r="D347" s="347">
        <f>IF($F347="","",'הזנה לתנאי סף'!E347)</f>
        <v>40000564</v>
      </c>
      <c r="E347" s="348">
        <f>IF($F347="","",'הזנה לתנאי סף'!F347)</f>
        <v>20000201</v>
      </c>
      <c r="F347" s="348" t="str">
        <f>IF('הזנה לתנאי סף'!BL347=1,'הזנה לתנאי סף'!G347,"")</f>
        <v>תל אביב -יפו</v>
      </c>
      <c r="G347" s="348" t="str">
        <f>IF($F347="","",'הזנה לתנאי סף'!H347)</f>
        <v>עמותת הכוריאוגרפים (ע"ר)</v>
      </c>
      <c r="H347" s="348" t="str">
        <f>IF($F347="","",'הזנה לתנאי סף'!I347)</f>
        <v>יוצרים עצמאיים במחול</v>
      </c>
      <c r="I347" s="349">
        <f>IF($F347="","",'הזנה לתנאי סף'!R347)</f>
        <v>45448</v>
      </c>
      <c r="J347" s="349">
        <f>IF($F347="","",'תחום תמיכה א'!P347)</f>
        <v>36207</v>
      </c>
      <c r="K347" s="177">
        <f>IF($F347="","",'הזנה לתנאי סף'!N347)</f>
        <v>0</v>
      </c>
      <c r="L347" s="177">
        <f>IF($F347="","",'הזנה לתנאי סף'!O347)</f>
        <v>1</v>
      </c>
      <c r="M347" s="177">
        <f>IF($F347="","",'הזנה לתנאי סף'!Q347)</f>
        <v>1</v>
      </c>
      <c r="N347" s="349">
        <f>IF($F347="","",'תחום תמיכה א'!AE347)</f>
        <v>1979.2376256205641</v>
      </c>
      <c r="O347" s="178"/>
      <c r="P347" s="349">
        <f>IF($F347="","",'תחום תמיכה ב'!AC347)</f>
        <v>7746.0983595162152</v>
      </c>
      <c r="Q347" s="349">
        <f>IF($F347="","",IF('תחום תמיכה ג'!O347="",0,'תחום תמיכה ג'!O347))</f>
        <v>0</v>
      </c>
      <c r="R347" s="349">
        <f t="shared" si="16"/>
        <v>232.26716402113107</v>
      </c>
      <c r="S347" s="349">
        <f>IF($F347="","",'תחום תמיכה ב'!AE347)</f>
        <v>7978.3655235373462</v>
      </c>
      <c r="T347" s="349">
        <f>IF($F347="","",IF(Q347='תחום תמיכה ג'!$Q$2,'תחום תמיכה ג'!$Q$2,IFERROR(SUMIF(N347:R347,"&gt;0"),'תחום תמיכה ג'!$Q$2)))</f>
        <v>9957.6031491579088</v>
      </c>
      <c r="U347" s="349">
        <f>IF($F347="","",'הזנה לתנאי סף'!Y347)</f>
        <v>150000</v>
      </c>
      <c r="V347" s="350">
        <f>IF(F347="","",'הגבלה לסכום מבוקש '!AA347)</f>
        <v>11285.145131226793</v>
      </c>
      <c r="W347" s="349">
        <f t="shared" si="17"/>
        <v>2821.2862828066982</v>
      </c>
      <c r="X347" s="349">
        <f>IF(F347="","",'הזנה לתנאי סף'!Z347)</f>
        <v>150000</v>
      </c>
      <c r="Y347" s="351" t="s">
        <v>3740</v>
      </c>
      <c r="Z347" s="352" t="str">
        <f>IFERROR(VLOOKUP(G347*1,#REF!,3,0),"")</f>
        <v/>
      </c>
      <c r="AA347" s="349" t="str">
        <f>IF(OR($F347="",Z347=""),"",IFERROR(IF(Z347&gt;V347,MIN(Z347,T347)-V347,0),'תחום תמיכה ג'!$Q$2))</f>
        <v/>
      </c>
      <c r="AB347" s="353"/>
      <c r="AC347" s="260" t="str">
        <f t="shared" si="19"/>
        <v/>
      </c>
      <c r="AD347" s="358"/>
      <c r="AE347" s="180"/>
      <c r="AF347" s="355" t="str">
        <f>IF($C347="","",IFERROR(VLOOKUP($C347,גיליון1!$A:$E,2,0),"לא הגיש בקשה שוטפת"))</f>
        <v>תמיכה שוטפת יוצרת עצמאית אורין יוחנן</v>
      </c>
      <c r="AG347" s="355" t="str">
        <f>IF($C347="","",IFERROR(VLOOKUP($C347,גיליון1!$A:$E,3,0),"לא הגיש בקשה שוטפת"))</f>
        <v>חויב</v>
      </c>
      <c r="AH347" s="355" t="str">
        <f>IF($C347="","",IFERROR(VLOOKUP($C347,גיליון1!$A:$E,4,0),"לא הגיש בקשה שוטפת"))</f>
        <v>19-42-02-20</v>
      </c>
      <c r="AI347" s="355" t="str">
        <f>IF($C347="","",IFERROR(VLOOKUP($C347,גיליון1!$A:$E,5,0),"לא הגיש בקשה שוטפת"))</f>
        <v>מחול וארגוני גג</v>
      </c>
      <c r="AJ347" s="355">
        <f t="shared" si="18"/>
        <v>0</v>
      </c>
      <c r="AK347" s="15"/>
      <c r="AL347" s="15" t="s">
        <v>250</v>
      </c>
    </row>
    <row r="348" spans="1:38" ht="285.75" x14ac:dyDescent="0.25">
      <c r="A348" s="346">
        <f>'הזנה לתנאי סף'!B348</f>
        <v>318</v>
      </c>
      <c r="B348" s="347">
        <f>IF($F348="","",'הזנה לתנאי סף'!C348)</f>
        <v>1001349483</v>
      </c>
      <c r="C348" s="347">
        <f>IF($F348="","",'הזנה לתנאי סף'!D348)</f>
        <v>1001276682</v>
      </c>
      <c r="D348" s="347">
        <f>IF($F348="","",'הזנה לתנאי סף'!E348)</f>
        <v>40000564</v>
      </c>
      <c r="E348" s="348">
        <f>IF($F348="","",'הזנה לתנאי סף'!F348)</f>
        <v>20000201</v>
      </c>
      <c r="F348" s="348" t="str">
        <f>IF('הזנה לתנאי סף'!BL348=1,'הזנה לתנאי סף'!G348,"")</f>
        <v>תל אביב -יפו</v>
      </c>
      <c r="G348" s="348" t="str">
        <f>IF($F348="","",'הזנה לתנאי סף'!H348)</f>
        <v>עמותת הכוריאוגרפים (ע"ר)</v>
      </c>
      <c r="H348" s="348" t="str">
        <f>IF($F348="","",'הזנה לתנאי סף'!I348)</f>
        <v>יוצרים עצמאיים במחול</v>
      </c>
      <c r="I348" s="349">
        <f>IF($F348="","",'הזנה לתנאי סף'!R348)</f>
        <v>69327</v>
      </c>
      <c r="J348" s="349">
        <f>IF($F348="","",'תחום תמיכה א'!P348)</f>
        <v>69327</v>
      </c>
      <c r="K348" s="177">
        <f>IF($F348="","",'הזנה לתנאי סף'!N348)</f>
        <v>0</v>
      </c>
      <c r="L348" s="177">
        <f>IF($F348="","",'הזנה לתנאי סף'!O348)</f>
        <v>1</v>
      </c>
      <c r="M348" s="177">
        <f>IF($F348="","",'הזנה לתנאי סף'!Q348)</f>
        <v>1</v>
      </c>
      <c r="N348" s="349">
        <f>IF($F348="","",'תחום תמיכה א'!AE348)</f>
        <v>3789.7259334216274</v>
      </c>
      <c r="O348" s="178"/>
      <c r="P348" s="349">
        <f>IF($F348="","",'תחום תמיכה ב'!AC348)</f>
        <v>11816.004245955392</v>
      </c>
      <c r="Q348" s="349">
        <f>IF($F348="","",IF('תחום תמיכה ג'!O348="",0,'תחום תמיכה ג'!O348))</f>
        <v>0</v>
      </c>
      <c r="R348" s="349">
        <f t="shared" si="16"/>
        <v>354.30350466671734</v>
      </c>
      <c r="S348" s="349">
        <f>IF($F348="","",'תחום תמיכה ב'!AE348)</f>
        <v>12170.307750622109</v>
      </c>
      <c r="T348" s="349">
        <f>IF($F348="","",IF(Q348='תחום תמיכה ג'!$Q$2,'תחום תמיכה ג'!$Q$2,IFERROR(SUMIF(N348:R348,"&gt;0"),'תחום תמיכה ג'!$Q$2)))</f>
        <v>15960.033684043736</v>
      </c>
      <c r="U348" s="349">
        <f>IF($F348="","",'הזנה לתנאי סף'!Y348)</f>
        <v>150000</v>
      </c>
      <c r="V348" s="350">
        <f>IF(F348="","",'הגבלה לסכום מבוקש '!AA348)</f>
        <v>17985.435217932245</v>
      </c>
      <c r="W348" s="349">
        <f t="shared" si="17"/>
        <v>4496.3588044830612</v>
      </c>
      <c r="X348" s="349">
        <f>IF(F348="","",'הזנה לתנאי סף'!Z348)</f>
        <v>150000</v>
      </c>
      <c r="Y348" s="351" t="s">
        <v>3740</v>
      </c>
      <c r="Z348" s="352" t="str">
        <f>IFERROR(VLOOKUP(G348*1,#REF!,3,0),"")</f>
        <v/>
      </c>
      <c r="AA348" s="349" t="str">
        <f>IF(OR($F348="",Z348=""),"",IFERROR(IF(Z348&gt;V348,MIN(Z348,T348)-V348,0),'תחום תמיכה ג'!$Q$2))</f>
        <v/>
      </c>
      <c r="AB348" s="353"/>
      <c r="AC348" s="260" t="str">
        <f t="shared" si="19"/>
        <v/>
      </c>
      <c r="AD348" s="358"/>
      <c r="AE348" s="180"/>
      <c r="AF348" s="355" t="str">
        <f>IF($C348="","",IFERROR(VLOOKUP($C348,גיליון1!$A:$E,2,0),"לא הגיש בקשה שוטפת"))</f>
        <v>תמיכה שוטפת פרוייקט Non Image</v>
      </c>
      <c r="AG348" s="355" t="str">
        <f>IF($C348="","",IFERROR(VLOOKUP($C348,גיליון1!$A:$E,3,0),"לא הגיש בקשה שוטפת"))</f>
        <v>חויב</v>
      </c>
      <c r="AH348" s="355" t="str">
        <f>IF($C348="","",IFERROR(VLOOKUP($C348,גיליון1!$A:$E,4,0),"לא הגיש בקשה שוטפת"))</f>
        <v>19-42-02-20</v>
      </c>
      <c r="AI348" s="355" t="str">
        <f>IF($C348="","",IFERROR(VLOOKUP($C348,גיליון1!$A:$E,5,0),"לא הגיש בקשה שוטפת"))</f>
        <v>מחול וארגוני גג</v>
      </c>
      <c r="AJ348" s="355">
        <f t="shared" si="18"/>
        <v>0</v>
      </c>
      <c r="AK348" s="15"/>
      <c r="AL348" s="15" t="s">
        <v>250</v>
      </c>
    </row>
    <row r="349" spans="1:38" ht="285.75" x14ac:dyDescent="0.25">
      <c r="A349" s="346">
        <f>'הזנה לתנאי סף'!B349</f>
        <v>319</v>
      </c>
      <c r="B349" s="347">
        <f>IF($F349="","",'הזנה לתנאי סף'!C349)</f>
        <v>1001349487</v>
      </c>
      <c r="C349" s="347">
        <f>IF($F349="","",'הזנה לתנאי סף'!D349)</f>
        <v>1001263329</v>
      </c>
      <c r="D349" s="347">
        <f>IF($F349="","",'הזנה לתנאי סף'!E349)</f>
        <v>40000567</v>
      </c>
      <c r="E349" s="348">
        <f>IF($F349="","",'הזנה לתנאי סף'!F349)</f>
        <v>20000201</v>
      </c>
      <c r="F349" s="348" t="str">
        <f>IF('הזנה לתנאי סף'!BL349=1,'הזנה לתנאי סף'!G349,"")</f>
        <v>תל אביב -יפו</v>
      </c>
      <c r="G349" s="348" t="str">
        <f>IF($F349="","",'הזנה לתנאי סף'!H349)</f>
        <v>תיאטרון ארצי לילדים ונוער (ע"ר)</v>
      </c>
      <c r="H349" s="348" t="str">
        <f>IF($F349="","",'הזנה לתנאי סף'!I349)</f>
        <v>תיאטרון</v>
      </c>
      <c r="I349" s="349">
        <f>IF($F349="","",'הזנה לתנאי סף'!R349)</f>
        <v>14324540</v>
      </c>
      <c r="J349" s="349">
        <f>IF($F349="","",'תחום תמיכה א'!P349)</f>
        <v>13980728</v>
      </c>
      <c r="K349" s="177">
        <f>IF($F349="","",'הזנה לתנאי סף'!N349)</f>
        <v>1</v>
      </c>
      <c r="L349" s="177">
        <f>IF($F349="","",'הזנה לתנאי סף'!O349)</f>
        <v>0</v>
      </c>
      <c r="M349" s="177">
        <f>IF($F349="","",'הזנה לתנאי סף'!Q349)</f>
        <v>1</v>
      </c>
      <c r="N349" s="349">
        <f>IF($F349="","",'תחום תמיכה א'!AE349)</f>
        <v>546365.21216043818</v>
      </c>
      <c r="O349" s="178"/>
      <c r="P349" s="349">
        <f>IF($F349="","",'תחום תמיכה ב'!AC349)</f>
        <v>1247798.9871488453</v>
      </c>
      <c r="Q349" s="349">
        <f>IF($F349="","",IF('תחום תמיכה ג'!O349="",0,'תחום תמיכה ג'!O349))</f>
        <v>523255.48285806971</v>
      </c>
      <c r="R349" s="349">
        <f t="shared" si="16"/>
        <v>37415.317823514342</v>
      </c>
      <c r="S349" s="349">
        <f>IF($F349="","",'תחום תמיכה ב'!AE349)</f>
        <v>1285214.3049723597</v>
      </c>
      <c r="T349" s="349">
        <f>IF($F349="","",IF(Q349='תחום תמיכה ג'!$Q$2,'תחום תמיכה ג'!$Q$2,IFERROR(SUMIF(N349:R349,"&gt;0"),'תחום תמיכה ג'!$Q$2)))</f>
        <v>2354834.9999908675</v>
      </c>
      <c r="U349" s="349">
        <f>IF($F349="","",'הזנה לתנאי סף'!Y349)</f>
        <v>1900000</v>
      </c>
      <c r="V349" s="350">
        <f>IF(F349="","",'הגבלה לסכום מבוקש '!AA349)</f>
        <v>1900000</v>
      </c>
      <c r="W349" s="349">
        <f t="shared" si="17"/>
        <v>475000</v>
      </c>
      <c r="X349" s="349">
        <f>IF(F349="","",'הזנה לתנאי סף'!Z349)</f>
        <v>900000</v>
      </c>
      <c r="Y349" s="351" t="s">
        <v>3740</v>
      </c>
      <c r="Z349" s="352" t="str">
        <f>IFERROR(VLOOKUP(G349*1,#REF!,3,0),"")</f>
        <v/>
      </c>
      <c r="AA349" s="349" t="str">
        <f>IF(OR($F349="",Z349=""),"",IFERROR(IF(Z349&gt;V349,MIN(Z349,T349)-V349,0),'תחום תמיכה ג'!$Q$2))</f>
        <v/>
      </c>
      <c r="AB349" s="353"/>
      <c r="AC349" s="260" t="str">
        <f t="shared" si="19"/>
        <v/>
      </c>
      <c r="AD349" s="358"/>
      <c r="AE349" s="180"/>
      <c r="AF349" s="355" t="str">
        <f>IF($C349="","",IFERROR(VLOOKUP($C349,גיליון1!$A:$E,2,0),"לא הגיש בקשה שוטפת"))</f>
        <v>תיאטרון ארצי לנוער תמיכה שוטפת 2020</v>
      </c>
      <c r="AG349" s="355" t="str">
        <f>IF($C349="","",IFERROR(VLOOKUP($C349,גיליון1!$A:$E,3,0),"לא הגיש בקשה שוטפת"))</f>
        <v>חויב</v>
      </c>
      <c r="AH349" s="355" t="str">
        <f>IF($C349="","",IFERROR(VLOOKUP($C349,גיליון1!$A:$E,4,0),"לא הגיש בקשה שוטפת"))</f>
        <v>19-42-02-07</v>
      </c>
      <c r="AI349" s="355" t="str">
        <f>IF($C349="","",IFERROR(VLOOKUP($C349,גיליון1!$A:$E,5,0),"לא הגיש בקשה שוטפת"))</f>
        <v>תיאטרון</v>
      </c>
      <c r="AJ349" s="355">
        <f t="shared" si="18"/>
        <v>1</v>
      </c>
      <c r="AK349" s="15"/>
      <c r="AL349" s="15" t="s">
        <v>250</v>
      </c>
    </row>
    <row r="350" spans="1:38" ht="285.75" x14ac:dyDescent="0.25">
      <c r="A350" s="346">
        <f>'הזנה לתנאי סף'!B350</f>
        <v>320</v>
      </c>
      <c r="B350" s="347">
        <f>IF($F350="","",'הזנה לתנאי סף'!C350)</f>
        <v>1001347578</v>
      </c>
      <c r="C350" s="347">
        <f>IF($F350="","",'הזנה לתנאי סף'!D350)</f>
        <v>1001275925</v>
      </c>
      <c r="D350" s="347">
        <f>IF($F350="","",'הזנה לתנאי סף'!E350)</f>
        <v>40000632</v>
      </c>
      <c r="E350" s="348">
        <f>IF($F350="","",'הזנה לתנאי סף'!F350)</f>
        <v>20000201</v>
      </c>
      <c r="F350" s="348" t="str">
        <f>IF('הזנה לתנאי סף'!BL350=1,'הזנה לתנאי סף'!G350,"")</f>
        <v>תל אביב -יפו</v>
      </c>
      <c r="G350" s="348" t="str">
        <f>IF($F350="","",'הזנה לתנאי סף'!H350)</f>
        <v>האנסמבל הקולי הישראלי (1995) (ע"ר)</v>
      </c>
      <c r="H350" s="348" t="str">
        <f>IF($F350="","",'הזנה לתנאי סף'!I350)</f>
        <v>אחר</v>
      </c>
      <c r="I350" s="349">
        <f>IF($F350="","",'הזנה לתנאי סף'!R350)</f>
        <v>1667383</v>
      </c>
      <c r="J350" s="349">
        <f>IF($F350="","",'תחום תמיכה א'!P350)</f>
        <v>1695835</v>
      </c>
      <c r="K350" s="177">
        <f>IF($F350="","",'הזנה לתנאי סף'!N350)</f>
        <v>1</v>
      </c>
      <c r="L350" s="177">
        <f>IF($F350="","",'הזנה לתנאי סף'!O350)</f>
        <v>0</v>
      </c>
      <c r="M350" s="177">
        <f>IF($F350="","",'הזנה לתנאי סף'!Q350)</f>
        <v>1</v>
      </c>
      <c r="N350" s="349">
        <f>IF($F350="","",'תחום תמיכה א'!AE350)</f>
        <v>38942.232071383914</v>
      </c>
      <c r="O350" s="178"/>
      <c r="P350" s="349">
        <f>IF($F350="","",'תחום תמיכה ב'!AC350)</f>
        <v>50149.579989920407</v>
      </c>
      <c r="Q350" s="349">
        <f>IF($F350="","",IF('תחום תמיכה ג'!O350="",0,'תחום תמיכה ג'!O350))</f>
        <v>21029.863754509523</v>
      </c>
      <c r="R350" s="349">
        <f t="shared" si="16"/>
        <v>1503.737776166985</v>
      </c>
      <c r="S350" s="349">
        <f>IF($F350="","",'תחום תמיכה ב'!AE350)</f>
        <v>51653.317766087392</v>
      </c>
      <c r="T350" s="349">
        <f>IF($F350="","",IF(Q350='תחום תמיכה ג'!$Q$2,'תחום תמיכה ג'!$Q$2,IFERROR(SUMIF(N350:R350,"&gt;0"),'תחום תמיכה ג'!$Q$2)))</f>
        <v>111625.41359198082</v>
      </c>
      <c r="U350" s="349">
        <f>IF($F350="","",'הזנה לתנאי סף'!Y350)</f>
        <v>650000</v>
      </c>
      <c r="V350" s="350">
        <f>IF(F350="","",'הגבלה לסכום מבוקש '!AA350)</f>
        <v>120241.62226041795</v>
      </c>
      <c r="W350" s="349">
        <f t="shared" si="17"/>
        <v>30060.405565104487</v>
      </c>
      <c r="X350" s="349">
        <f>IF(F350="","",'הזנה לתנאי סף'!Z350)</f>
        <v>130000</v>
      </c>
      <c r="Y350" s="351" t="s">
        <v>3740</v>
      </c>
      <c r="Z350" s="352" t="str">
        <f>IFERROR(VLOOKUP(G350*1,#REF!,3,0),"")</f>
        <v/>
      </c>
      <c r="AA350" s="349" t="str">
        <f>IF(OR($F350="",Z350=""),"",IFERROR(IF(Z350&gt;V350,MIN(Z350,T350)-V350,0),'תחום תמיכה ג'!$Q$2))</f>
        <v/>
      </c>
      <c r="AB350" s="353"/>
      <c r="AC350" s="260" t="str">
        <f t="shared" si="19"/>
        <v/>
      </c>
      <c r="AD350" s="358"/>
      <c r="AE350" s="180"/>
      <c r="AF350" s="355" t="str">
        <f>IF($C350="","",IFERROR(VLOOKUP($C350,גיליון1!$A:$E,2,0),"לא הגיש בקשה שוטפת"))</f>
        <v>תמיכה שוטפת באנסמבל הקולי הישראלי ל-2020</v>
      </c>
      <c r="AG350" s="355" t="str">
        <f>IF($C350="","",IFERROR(VLOOKUP($C350,גיליון1!$A:$E,3,0),"לא הגיש בקשה שוטפת"))</f>
        <v>מועד</v>
      </c>
      <c r="AH350" s="355" t="str">
        <f>IF($C350="","",IFERROR(VLOOKUP($C350,גיליון1!$A:$E,4,0),"לא הגיש בקשה שוטפת"))</f>
        <v>19-42-02-16</v>
      </c>
      <c r="AI350" s="355" t="str">
        <f>IF($C350="","",IFERROR(VLOOKUP($C350,גיליון1!$A:$E,5,0),"לא הגיש בקשה שוטפת"))</f>
        <v>מוסיקה</v>
      </c>
      <c r="AJ350" s="355">
        <f t="shared" si="18"/>
        <v>0</v>
      </c>
      <c r="AK350" s="15"/>
      <c r="AL350" s="15" t="s">
        <v>250</v>
      </c>
    </row>
    <row r="351" spans="1:38" ht="285.75" x14ac:dyDescent="0.25">
      <c r="A351" s="346">
        <f>'הזנה לתנאי סף'!B351</f>
        <v>321</v>
      </c>
      <c r="B351" s="347">
        <f>IF($F351="","",'הזנה לתנאי סף'!C351)</f>
        <v>1001349109</v>
      </c>
      <c r="C351" s="347">
        <f>IF($F351="","",'הזנה לתנאי סף'!D351)</f>
        <v>1001289001</v>
      </c>
      <c r="D351" s="347">
        <f>IF($F351="","",'הזנה לתנאי סף'!E351)</f>
        <v>40000632</v>
      </c>
      <c r="E351" s="348">
        <f>IF($F351="","",'הזנה לתנאי סף'!F351)</f>
        <v>20000201</v>
      </c>
      <c r="F351" s="348" t="str">
        <f>IF('הזנה לתנאי סף'!BL351=1,'הזנה לתנאי סף'!G351,"")</f>
        <v>תל אביב -יפו</v>
      </c>
      <c r="G351" s="348" t="str">
        <f>IF($F351="","",'הזנה לתנאי סף'!H351)</f>
        <v>האנסמבל הקולי הישראלי (1995) (ע"ר)</v>
      </c>
      <c r="H351" s="348" t="str">
        <f>IF($F351="","",'הזנה לתנאי סף'!I351)</f>
        <v>מקהלות</v>
      </c>
      <c r="I351" s="349">
        <f>IF($F351="","",'הזנה לתנאי סף'!R351)</f>
        <v>55277</v>
      </c>
      <c r="J351" s="349">
        <f>IF($F351="","",'תחום תמיכה א'!P351)</f>
        <v>55277</v>
      </c>
      <c r="K351" s="177">
        <f>IF($F351="","",'הזנה לתנאי סף'!N351)</f>
        <v>0</v>
      </c>
      <c r="L351" s="177">
        <f>IF($F351="","",'הזנה לתנאי סף'!O351)</f>
        <v>1</v>
      </c>
      <c r="M351" s="177">
        <f>IF($F351="","",'הזנה לתנאי סף'!Q351)</f>
        <v>1</v>
      </c>
      <c r="N351" s="349">
        <f>IF($F351="","",'תחום תמיכה א'!AE351)</f>
        <v>1287.3490232099948</v>
      </c>
      <c r="O351" s="178"/>
      <c r="P351" s="349">
        <f>IF($F351="","",'תחום תמיכה ב'!AC351)</f>
        <v>1710.0373219439825</v>
      </c>
      <c r="Q351" s="349">
        <f>IF($F351="","",IF('תחום תמיכה ג'!O351="",0,'תחום תמיכה ג'!O351))</f>
        <v>0</v>
      </c>
      <c r="R351" s="349">
        <f t="shared" si="16"/>
        <v>51.275558442950796</v>
      </c>
      <c r="S351" s="349">
        <f>IF($F351="","",'תחום תמיכה ב'!AE351)</f>
        <v>1761.3128803869333</v>
      </c>
      <c r="T351" s="349">
        <f>IF($F351="","",IF(Q351='תחום תמיכה ג'!$Q$2,'תחום תמיכה ג'!$Q$2,IFERROR(SUMIF(N351:R351,"&gt;0"),'תחום תמיכה ג'!$Q$2)))</f>
        <v>3048.6619035969279</v>
      </c>
      <c r="U351" s="349">
        <f>IF($F351="","",'הזנה לתנאי סף'!Y351)</f>
        <v>10000</v>
      </c>
      <c r="V351" s="350">
        <f>IF(F351="","",'הגבלה לסכום מבוקש '!AA351)</f>
        <v>3342.1187679632503</v>
      </c>
      <c r="W351" s="349">
        <f t="shared" si="17"/>
        <v>835.52969199081258</v>
      </c>
      <c r="X351" s="349">
        <f>IF(F351="","",'הזנה לתנאי סף'!Z351)</f>
        <v>1000</v>
      </c>
      <c r="Y351" s="351" t="s">
        <v>3740</v>
      </c>
      <c r="Z351" s="352" t="str">
        <f>IFERROR(VLOOKUP(G351*1,#REF!,3,0),"")</f>
        <v/>
      </c>
      <c r="AA351" s="349" t="str">
        <f>IF(OR($F351="",Z351=""),"",IFERROR(IF(Z351&gt;V351,MIN(Z351,T351)-V351,0),'תחום תמיכה ג'!$Q$2))</f>
        <v/>
      </c>
      <c r="AB351" s="353"/>
      <c r="AC351" s="260" t="str">
        <f t="shared" si="19"/>
        <v/>
      </c>
      <c r="AD351" s="358"/>
      <c r="AE351" s="180"/>
      <c r="AF351" s="355" t="str">
        <f>IF($C351="","",IFERROR(VLOOKUP($C351,גיליון1!$A:$E,2,0),"לא הגיש בקשה שוטפת"))</f>
        <v>תמיכה שוטפת במקהלת עדי ל-2020</v>
      </c>
      <c r="AG351" s="355" t="str">
        <f>IF($C351="","",IFERROR(VLOOKUP($C351,גיליון1!$A:$E,3,0),"לא הגיש בקשה שוטפת"))</f>
        <v>טיוט</v>
      </c>
      <c r="AH351" s="355" t="str">
        <f>IF($C351="","",IFERROR(VLOOKUP($C351,גיליון1!$A:$E,4,0),"לא הגיש בקשה שוטפת"))</f>
        <v>19-42-02-16</v>
      </c>
      <c r="AI351" s="355" t="str">
        <f>IF($C351="","",IFERROR(VLOOKUP($C351,גיליון1!$A:$E,5,0),"לא הגיש בקשה שוטפת"))</f>
        <v>מוסיקה</v>
      </c>
      <c r="AJ351" s="355">
        <f t="shared" si="18"/>
        <v>0</v>
      </c>
      <c r="AK351" s="15"/>
      <c r="AL351" s="15" t="s">
        <v>250</v>
      </c>
    </row>
    <row r="352" spans="1:38" ht="285.75" x14ac:dyDescent="0.25">
      <c r="A352" s="346">
        <f>'הזנה לתנאי סף'!B352</f>
        <v>322</v>
      </c>
      <c r="B352" s="347">
        <f>IF($F352="","",'הזנה לתנאי סף'!C352)</f>
        <v>1001348981</v>
      </c>
      <c r="C352" s="347">
        <f>IF($F352="","",'הזנה לתנאי סף'!D352)</f>
        <v>1001276716</v>
      </c>
      <c r="D352" s="347">
        <f>IF($F352="","",'הזנה לתנאי סף'!E352)</f>
        <v>40000644</v>
      </c>
      <c r="E352" s="348">
        <f>IF($F352="","",'הזנה לתנאי סף'!F352)</f>
        <v>20000201</v>
      </c>
      <c r="F352" s="348" t="str">
        <f>IF('הזנה לתנאי סף'!BL352=1,'הזנה לתנאי סף'!G352,"")</f>
        <v>תל אביב -יפו</v>
      </c>
      <c r="G352" s="348" t="str">
        <f>IF($F352="","",'הזנה לתנאי סף'!H352)</f>
        <v>תיאטרון השעה הישראלי (ע"ר)</v>
      </c>
      <c r="H352" s="348" t="str">
        <f>IF($F352="","",'הזנה לתנאי סף'!I352)</f>
        <v>תיאטרון</v>
      </c>
      <c r="I352" s="349">
        <f>IF($F352="","",'הזנה לתנאי סף'!R352)</f>
        <v>20778977</v>
      </c>
      <c r="J352" s="349">
        <f>IF($F352="","",'תחום תמיכה א'!P352)</f>
        <v>19338241</v>
      </c>
      <c r="K352" s="177">
        <f>IF($F352="","",'הזנה לתנאי סף'!N352)</f>
        <v>1</v>
      </c>
      <c r="L352" s="177">
        <f>IF($F352="","",'הזנה לתנאי סף'!O352)</f>
        <v>0</v>
      </c>
      <c r="M352" s="177">
        <f>IF($F352="","",'הזנה לתנאי סף'!Q352)</f>
        <v>1</v>
      </c>
      <c r="N352" s="349">
        <f>IF($F352="","",'תחום תמיכה א'!AE352)</f>
        <v>845246.91876408691</v>
      </c>
      <c r="O352" s="178"/>
      <c r="P352" s="349">
        <f>IF($F352="","",'תחום תמיכה ב'!AC352)</f>
        <v>2264200.3685017941</v>
      </c>
      <c r="Q352" s="349">
        <f>IF($F352="","",IF('תחום תמיכה ג'!O352="",0,'תחום תמיכה ג'!O352))</f>
        <v>949476.05288166553</v>
      </c>
      <c r="R352" s="349">
        <f t="shared" ref="R352:R415" si="20">IF($F352="","",IFERROR(S352-P352,""))</f>
        <v>67892.166347389109</v>
      </c>
      <c r="S352" s="349">
        <f>IF($F352="","",'תחום תמיכה ב'!AE352)</f>
        <v>2332092.5348491832</v>
      </c>
      <c r="T352" s="349">
        <f>IF($F352="","",IF(Q352='תחום תמיכה ג'!$Q$2,'תחום תמיכה ג'!$Q$2,IFERROR(SUMIF(N352:R352,"&gt;0"),'תחום תמיכה ג'!$Q$2)))</f>
        <v>4126815.5064949356</v>
      </c>
      <c r="U352" s="349">
        <f>IF($F352="","",'הזנה לתנאי סף'!Y352)</f>
        <v>1300000</v>
      </c>
      <c r="V352" s="350">
        <f>IF(F352="","",'הגבלה לסכום מבוקש '!AA352)</f>
        <v>1300000</v>
      </c>
      <c r="W352" s="349">
        <f t="shared" ref="W352:W415" si="21">IF(G352="","",V352/4)</f>
        <v>325000</v>
      </c>
      <c r="X352" s="349">
        <f>IF(F352="","",'הזנה לתנאי סף'!Z352)</f>
        <v>1500000</v>
      </c>
      <c r="Y352" s="351" t="s">
        <v>3740</v>
      </c>
      <c r="Z352" s="352" t="str">
        <f>IFERROR(VLOOKUP(G352*1,#REF!,3,0),"")</f>
        <v/>
      </c>
      <c r="AA352" s="349" t="str">
        <f>IF(OR($F352="",Z352=""),"",IFERROR(IF(Z352&gt;V352,MIN(Z352,T352)-V352,0),'תחום תמיכה ג'!$Q$2))</f>
        <v/>
      </c>
      <c r="AB352" s="353"/>
      <c r="AC352" s="260" t="str">
        <f t="shared" si="19"/>
        <v/>
      </c>
      <c r="AD352" s="358"/>
      <c r="AE352" s="180"/>
      <c r="AF352" s="355" t="str">
        <f>IF($C352="","",IFERROR(VLOOKUP($C352,גיליון1!$A:$E,2,0),"לא הגיש בקשה שוטפת"))</f>
        <v>תיאטרון השעה - בקשת תמיכה שוטפת 2020</v>
      </c>
      <c r="AG352" s="355" t="str">
        <f>IF($C352="","",IFERROR(VLOOKUP($C352,גיליון1!$A:$E,3,0),"לא הגיש בקשה שוטפת"))</f>
        <v>חויב</v>
      </c>
      <c r="AH352" s="355" t="str">
        <f>IF($C352="","",IFERROR(VLOOKUP($C352,גיליון1!$A:$E,4,0),"לא הגיש בקשה שוטפת"))</f>
        <v>19-42-02-07</v>
      </c>
      <c r="AI352" s="355" t="str">
        <f>IF($C352="","",IFERROR(VLOOKUP($C352,גיליון1!$A:$E,5,0),"לא הגיש בקשה שוטפת"))</f>
        <v>תיאטרון</v>
      </c>
      <c r="AJ352" s="355">
        <f t="shared" ref="AJ352:AJ415" si="22">IF(T352&gt;U352,1,0)</f>
        <v>1</v>
      </c>
      <c r="AK352" s="15"/>
      <c r="AL352" s="15" t="s">
        <v>250</v>
      </c>
    </row>
    <row r="353" spans="1:38" ht="285.75" x14ac:dyDescent="0.25">
      <c r="A353" s="346">
        <f>'הזנה לתנאי סף'!B353</f>
        <v>323</v>
      </c>
      <c r="B353" s="347" t="str">
        <f>IF($F353="","",'הזנה לתנאי סף'!C353)</f>
        <v/>
      </c>
      <c r="C353" s="347" t="str">
        <f>IF($F353="","",'הזנה לתנאי סף'!D353)</f>
        <v/>
      </c>
      <c r="D353" s="347" t="str">
        <f>IF($F353="","",'הזנה לתנאי סף'!E353)</f>
        <v/>
      </c>
      <c r="E353" s="348" t="str">
        <f>IF($F353="","",'הזנה לתנאי סף'!F353)</f>
        <v/>
      </c>
      <c r="F353" s="348" t="str">
        <f>IF('הזנה לתנאי סף'!BL353=1,'הזנה לתנאי סף'!G353,"")</f>
        <v/>
      </c>
      <c r="G353" s="348" t="str">
        <f>IF($F353="","",'הזנה לתנאי סף'!H353)</f>
        <v/>
      </c>
      <c r="H353" s="348" t="str">
        <f>IF($F353="","",'הזנה לתנאי סף'!I353)</f>
        <v/>
      </c>
      <c r="I353" s="349" t="str">
        <f>IF($F353="","",'הזנה לתנאי סף'!R353)</f>
        <v/>
      </c>
      <c r="J353" s="349" t="str">
        <f>IF($F353="","",'תחום תמיכה א'!P353)</f>
        <v/>
      </c>
      <c r="K353" s="177" t="str">
        <f>IF($F353="","",'הזנה לתנאי סף'!N353)</f>
        <v/>
      </c>
      <c r="L353" s="177" t="str">
        <f>IF($F353="","",'הזנה לתנאי סף'!O353)</f>
        <v/>
      </c>
      <c r="M353" s="177" t="str">
        <f>IF($F353="","",'הזנה לתנאי סף'!Q353)</f>
        <v/>
      </c>
      <c r="N353" s="349" t="str">
        <f>IF($F353="","",'תחום תמיכה א'!AE353)</f>
        <v/>
      </c>
      <c r="O353" s="178"/>
      <c r="P353" s="349" t="str">
        <f>IF($F353="","",'תחום תמיכה ב'!AC353)</f>
        <v/>
      </c>
      <c r="Q353" s="349" t="str">
        <f>IF($F353="","",IF('תחום תמיכה ג'!O353="",0,'תחום תמיכה ג'!O353))</f>
        <v/>
      </c>
      <c r="R353" s="349" t="str">
        <f t="shared" si="20"/>
        <v/>
      </c>
      <c r="S353" s="349" t="str">
        <f>IF($F353="","",'תחום תמיכה ב'!AE353)</f>
        <v/>
      </c>
      <c r="T353" s="349" t="str">
        <f>IF($F353="","",IF(Q353='תחום תמיכה ג'!$Q$2,'תחום תמיכה ג'!$Q$2,IFERROR(SUMIF(N353:R353,"&gt;0"),'תחום תמיכה ג'!$Q$2)))</f>
        <v/>
      </c>
      <c r="U353" s="349" t="str">
        <f>IF($F353="","",'הזנה לתנאי סף'!Y353)</f>
        <v/>
      </c>
      <c r="V353" s="350" t="str">
        <f>IF(F353="","",'הגבלה לסכום מבוקש '!AA353)</f>
        <v/>
      </c>
      <c r="W353" s="349" t="str">
        <f t="shared" si="21"/>
        <v/>
      </c>
      <c r="X353" s="349" t="str">
        <f>IF(F353="","",'הזנה לתנאי סף'!Z353)</f>
        <v/>
      </c>
      <c r="Y353" s="351" t="s">
        <v>3740</v>
      </c>
      <c r="Z353" s="352" t="str">
        <f>IFERROR(VLOOKUP(G353*1,#REF!,3,0),"")</f>
        <v/>
      </c>
      <c r="AA353" s="349" t="str">
        <f>IF(OR($F353="",Z353=""),"",IFERROR(IF(Z353&gt;V353,MIN(Z353,T353)-V353,0),'תחום תמיכה ג'!$Q$2))</f>
        <v/>
      </c>
      <c r="AB353" s="353"/>
      <c r="AC353" s="260" t="str">
        <f t="shared" ref="AC353:AC416" si="23">AA353</f>
        <v/>
      </c>
      <c r="AD353" s="358"/>
      <c r="AE353" s="180"/>
      <c r="AF353" s="355" t="str">
        <f>IF($C353="","",IFERROR(VLOOKUP($C353,גיליון1!$A:$E,2,0),"לא הגיש בקשה שוטפת"))</f>
        <v/>
      </c>
      <c r="AG353" s="355" t="str">
        <f>IF($C353="","",IFERROR(VLOOKUP($C353,גיליון1!$A:$E,3,0),"לא הגיש בקשה שוטפת"))</f>
        <v/>
      </c>
      <c r="AH353" s="355" t="str">
        <f>IF($C353="","",IFERROR(VLOOKUP($C353,גיליון1!$A:$E,4,0),"לא הגיש בקשה שוטפת"))</f>
        <v/>
      </c>
      <c r="AI353" s="355" t="str">
        <f>IF($C353="","",IFERROR(VLOOKUP($C353,גיליון1!$A:$E,5,0),"לא הגיש בקשה שוטפת"))</f>
        <v/>
      </c>
      <c r="AJ353" s="355">
        <f t="shared" si="22"/>
        <v>0</v>
      </c>
      <c r="AK353" s="15"/>
      <c r="AL353" s="15" t="s">
        <v>250</v>
      </c>
    </row>
    <row r="354" spans="1:38" ht="285.75" x14ac:dyDescent="0.25">
      <c r="A354" s="346">
        <f>'הזנה לתנאי סף'!B354</f>
        <v>324</v>
      </c>
      <c r="B354" s="347">
        <f>IF($F354="","",'הזנה לתנאי סף'!C354)</f>
        <v>1001349067</v>
      </c>
      <c r="C354" s="347">
        <f>IF($F354="","",'הזנה לתנאי סף'!D354)</f>
        <v>1001302269</v>
      </c>
      <c r="D354" s="347">
        <f>IF($F354="","",'הזנה לתנאי סף'!E354)</f>
        <v>40000662</v>
      </c>
      <c r="E354" s="348">
        <f>IF($F354="","",'הזנה לתנאי סף'!F354)</f>
        <v>20000095</v>
      </c>
      <c r="F354" s="348" t="str">
        <f>IF('הזנה לתנאי סף'!BL354=1,'הזנה לתנאי סף'!G354,"")</f>
        <v>מטה יהודה</v>
      </c>
      <c r="G354" s="348" t="str">
        <f>IF($F354="","",'הזנה לתנאי סף'!H354)</f>
        <v>תזמורת יד-חריף (ע"ר)</v>
      </c>
      <c r="H354" s="348" t="str">
        <f>IF($F354="","",'הזנה לתנאי סף'!I354)</f>
        <v>אחר</v>
      </c>
      <c r="I354" s="349">
        <f>IF($F354="","",'הזנה לתנאי סף'!R354)</f>
        <v>1189113</v>
      </c>
      <c r="J354" s="349">
        <f>IF($F354="","",'תחום תמיכה א'!P354)</f>
        <v>1199065</v>
      </c>
      <c r="K354" s="177">
        <f>IF($F354="","",'הזנה לתנאי סף'!N354)</f>
        <v>0</v>
      </c>
      <c r="L354" s="177">
        <f>IF($F354="","",'הזנה לתנאי סף'!O354)</f>
        <v>1</v>
      </c>
      <c r="M354" s="177">
        <f>IF($F354="","",'הזנה לתנאי סף'!Q354)</f>
        <v>1</v>
      </c>
      <c r="N354" s="349">
        <f>IF($F354="","",'תחום תמיכה א'!AE354)</f>
        <v>29555.371048477296</v>
      </c>
      <c r="O354" s="178"/>
      <c r="P354" s="349">
        <f>IF($F354="","",'תחום תמיכה ב'!AC354)</f>
        <v>41206.710327045104</v>
      </c>
      <c r="Q354" s="349">
        <f>IF($F354="","",IF('תחום תמיכה ג'!O354="",0,'תחום תמיכה ג'!O354))</f>
        <v>0</v>
      </c>
      <c r="R354" s="349">
        <f t="shared" si="20"/>
        <v>1235.5853620868293</v>
      </c>
      <c r="S354" s="349">
        <f>IF($F354="","",'תחום תמיכה ב'!AE354)</f>
        <v>42442.295689131934</v>
      </c>
      <c r="T354" s="349">
        <f>IF($F354="","",IF(Q354='תחום תמיכה ג'!$Q$2,'תחום תמיכה ג'!$Q$2,IFERROR(SUMIF(N354:R354,"&gt;0"),'תחום תמיכה ג'!$Q$2)))</f>
        <v>71997.666737609223</v>
      </c>
      <c r="U354" s="349">
        <f>IF($F354="","",'הזנה לתנאי סף'!Y354)</f>
        <v>550000</v>
      </c>
      <c r="V354" s="350">
        <f>IF(F354="","",'הגבלה לסכום מבוקש '!AA354)</f>
        <v>79068.419237037931</v>
      </c>
      <c r="W354" s="349">
        <f t="shared" si="21"/>
        <v>19767.104809259483</v>
      </c>
      <c r="X354" s="349">
        <f>IF(F354="","",'הזנה לתנאי סף'!Z354)</f>
        <v>534615</v>
      </c>
      <c r="Y354" s="351" t="s">
        <v>3740</v>
      </c>
      <c r="Z354" s="352" t="str">
        <f>IFERROR(VLOOKUP(G354*1,#REF!,3,0),"")</f>
        <v/>
      </c>
      <c r="AA354" s="349" t="str">
        <f>IF(OR($F354="",Z354=""),"",IFERROR(IF(Z354&gt;V354,MIN(Z354,T354)-V354,0),'תחום תמיכה ג'!$Q$2))</f>
        <v/>
      </c>
      <c r="AB354" s="353"/>
      <c r="AC354" s="260" t="str">
        <f t="shared" si="23"/>
        <v/>
      </c>
      <c r="AD354" s="358"/>
      <c r="AE354" s="180"/>
      <c r="AF354" s="355" t="str">
        <f>IF($C354="","",IFERROR(VLOOKUP($C354,גיליון1!$A:$E,2,0),"לא הגיש בקשה שוטפת"))</f>
        <v>בקשת תמיכה לשנת 2020</v>
      </c>
      <c r="AG354" s="355" t="str">
        <f>IF($C354="","",IFERROR(VLOOKUP($C354,גיליון1!$A:$E,3,0),"לא הגיש בקשה שוטפת"))</f>
        <v>חויב</v>
      </c>
      <c r="AH354" s="355" t="str">
        <f>IF($C354="","",IFERROR(VLOOKUP($C354,גיליון1!$A:$E,4,0),"לא הגיש בקשה שוטפת"))</f>
        <v>19-42-02-16</v>
      </c>
      <c r="AI354" s="355" t="str">
        <f>IF($C354="","",IFERROR(VLOOKUP($C354,גיליון1!$A:$E,5,0),"לא הגיש בקשה שוטפת"))</f>
        <v>מוסיקה</v>
      </c>
      <c r="AJ354" s="355">
        <f t="shared" si="22"/>
        <v>0</v>
      </c>
      <c r="AK354" s="15"/>
      <c r="AL354" s="15" t="s">
        <v>250</v>
      </c>
    </row>
    <row r="355" spans="1:38" ht="285.75" x14ac:dyDescent="0.25">
      <c r="A355" s="346">
        <f>'הזנה לתנאי סף'!B355</f>
        <v>325</v>
      </c>
      <c r="B355" s="347">
        <f>IF($F355="","",'הזנה לתנאי סף'!C355)</f>
        <v>1001347016</v>
      </c>
      <c r="C355" s="347">
        <f>IF($F355="","",'הזנה לתנאי סף'!D355)</f>
        <v>1001288832</v>
      </c>
      <c r="D355" s="347">
        <f>IF($F355="","",'הזנה לתנאי סף'!E355)</f>
        <v>40000665</v>
      </c>
      <c r="E355" s="348">
        <f>IF($F355="","",'הזנה לתנאי סף'!F355)</f>
        <v>20000201</v>
      </c>
      <c r="F355" s="348" t="str">
        <f>IF('הזנה לתנאי סף'!BL355=1,'הזנה לתנאי סף'!G355,"")</f>
        <v>תל אביב -יפו</v>
      </c>
      <c r="G355" s="348" t="str">
        <f>IF($F355="","",'הזנה לתנאי סף'!H355)</f>
        <v>תיאטרון "אלסראיא" הערבי - יפו (ע"ר)</v>
      </c>
      <c r="H355" s="348" t="str">
        <f>IF($F355="","",'הזנה לתנאי סף'!I355)</f>
        <v>תיאטרון</v>
      </c>
      <c r="I355" s="349">
        <f>IF($F355="","",'הזנה לתנאי סף'!R355)</f>
        <v>1090416</v>
      </c>
      <c r="J355" s="349">
        <f>IF($F355="","",'תחום תמיכה א'!P355)</f>
        <v>1128311</v>
      </c>
      <c r="K355" s="177">
        <f>IF($F355="","",'הזנה לתנאי סף'!N355)</f>
        <v>1</v>
      </c>
      <c r="L355" s="177">
        <f>IF($F355="","",'הזנה לתנאי סף'!O355)</f>
        <v>0</v>
      </c>
      <c r="M355" s="177">
        <f>IF($F355="","",'הזנה לתנאי סף'!Q355)</f>
        <v>1</v>
      </c>
      <c r="N355" s="349">
        <f>IF($F355="","",'תחום תמיכה א'!AE355)</f>
        <v>20207.350660250515</v>
      </c>
      <c r="O355" s="178"/>
      <c r="P355" s="349">
        <f>IF($F355="","",'תחום תמיכה ב'!AC355)</f>
        <v>19948.523893247624</v>
      </c>
      <c r="Q355" s="349">
        <f>IF($F355="","",IF('תחום תמיכה ג'!O355="",0,'תחום תמיכה ג'!O355))</f>
        <v>8365.2692537583353</v>
      </c>
      <c r="R355" s="349">
        <f t="shared" si="20"/>
        <v>598.15753119119836</v>
      </c>
      <c r="S355" s="349">
        <f>IF($F355="","",'תחום תמיכה ב'!AE355)</f>
        <v>20546.681424438822</v>
      </c>
      <c r="T355" s="349">
        <f>IF($F355="","",IF(Q355='תחום תמיכה ג'!$Q$2,'תחום תמיכה ג'!$Q$2,IFERROR(SUMIF(N355:R355,"&gt;0"),'תחום תמיכה ג'!$Q$2)))</f>
        <v>49119.30133844768</v>
      </c>
      <c r="U355" s="349">
        <f>IF($F355="","",'הזנה לתנאי סף'!Y355)</f>
        <v>300000</v>
      </c>
      <c r="V355" s="350">
        <f>IF(F355="","",'הגבלה לסכום מבוקש '!AA355)</f>
        <v>52548.808665023462</v>
      </c>
      <c r="W355" s="349">
        <f t="shared" si="21"/>
        <v>13137.202166255865</v>
      </c>
      <c r="X355" s="349">
        <f>IF(F355="","",'הזנה לתנאי סף'!Z355)</f>
        <v>1</v>
      </c>
      <c r="Y355" s="351" t="s">
        <v>3740</v>
      </c>
      <c r="Z355" s="352" t="str">
        <f>IFERROR(VLOOKUP(G355*1,#REF!,3,0),"")</f>
        <v/>
      </c>
      <c r="AA355" s="349" t="str">
        <f>IF(OR($F355="",Z355=""),"",IFERROR(IF(Z355&gt;V355,MIN(Z355,T355)-V355,0),'תחום תמיכה ג'!$Q$2))</f>
        <v/>
      </c>
      <c r="AB355" s="353"/>
      <c r="AC355" s="260" t="str">
        <f t="shared" si="23"/>
        <v/>
      </c>
      <c r="AD355" s="358"/>
      <c r="AE355" s="180"/>
      <c r="AF355" s="355" t="str">
        <f>IF($C355="","",IFERROR(VLOOKUP($C355,גיליון1!$A:$E,2,0),"לא הגיש בקשה שוטפת"))</f>
        <v>בקשת תמיכה בגין הפקת והרצת הצגות בערבית</v>
      </c>
      <c r="AG355" s="355" t="str">
        <f>IF($C355="","",IFERROR(VLOOKUP($C355,גיליון1!$A:$E,3,0),"לא הגיש בקשה שוטפת"))</f>
        <v>מועד</v>
      </c>
      <c r="AH355" s="355" t="str">
        <f>IF($C355="","",IFERROR(VLOOKUP($C355,גיליון1!$A:$E,4,0),"לא הגיש בקשה שוטפת"))</f>
        <v>19-42-02-33</v>
      </c>
      <c r="AI355" s="355" t="str">
        <f>IF($C355="","",IFERROR(VLOOKUP($C355,גיליון1!$A:$E,5,0),"לא הגיש בקשה שוטפת"))</f>
        <v>תרבות ערבית ודרוזית</v>
      </c>
      <c r="AJ355" s="355">
        <f t="shared" si="22"/>
        <v>0</v>
      </c>
      <c r="AK355" s="15"/>
      <c r="AL355" s="15" t="s">
        <v>250</v>
      </c>
    </row>
    <row r="356" spans="1:38" ht="285.75" x14ac:dyDescent="0.25">
      <c r="A356" s="346">
        <f>'הזנה לתנאי סף'!B356</f>
        <v>326</v>
      </c>
      <c r="B356" s="347">
        <f>IF($F356="","",'הזנה לתנאי סף'!C356)</f>
        <v>1001349530</v>
      </c>
      <c r="C356" s="347">
        <f>IF($F356="","",'הזנה לתנאי סף'!D356)</f>
        <v>1001263122</v>
      </c>
      <c r="D356" s="347">
        <f>IF($F356="","",'הזנה לתנאי סף'!E356)</f>
        <v>40000667</v>
      </c>
      <c r="E356" s="348">
        <f>IF($F356="","",'הזנה לתנאי סף'!F356)</f>
        <v>20000235</v>
      </c>
      <c r="F356" s="348" t="str">
        <f>IF('הזנה לתנאי סף'!BL356=1,'הזנה לתנאי סף'!G356,"")</f>
        <v>סח'נין</v>
      </c>
      <c r="G356" s="348" t="str">
        <f>IF($F356="","",'הזנה לתנאי סף'!H356)</f>
        <v>אלג'ואל אלבלדי (ע"ר)</v>
      </c>
      <c r="H356" s="348" t="str">
        <f>IF($F356="","",'הזנה לתנאי סף'!I356)</f>
        <v>תיאטרון</v>
      </c>
      <c r="I356" s="349">
        <f>IF($F356="","",'הזנה לתנאי סף'!R356)</f>
        <v>1431653</v>
      </c>
      <c r="J356" s="349">
        <f>IF($F356="","",'תחום תמיכה א'!P356)</f>
        <v>1418383</v>
      </c>
      <c r="K356" s="177">
        <f>IF($F356="","",'הזנה לתנאי סף'!N356)</f>
        <v>0</v>
      </c>
      <c r="L356" s="177">
        <f>IF($F356="","",'הזנה לתנאי סף'!O356)</f>
        <v>1</v>
      </c>
      <c r="M356" s="177">
        <f>IF($F356="","",'הזנה לתנאי סף'!Q356)</f>
        <v>1</v>
      </c>
      <c r="N356" s="349">
        <f>IF($F356="","",'תחום תמיכה א'!AE356)</f>
        <v>25877.687860487007</v>
      </c>
      <c r="O356" s="178"/>
      <c r="P356" s="349">
        <f>IF($F356="","",'תחום תמיכה ב'!AC356)</f>
        <v>27180.604503110593</v>
      </c>
      <c r="Q356" s="349">
        <f>IF($F356="","",IF('תחום תמיכה ג'!O356="",0,'תחום תמיכה ג'!O356))</f>
        <v>0</v>
      </c>
      <c r="R356" s="349">
        <f t="shared" si="20"/>
        <v>815.01184613304576</v>
      </c>
      <c r="S356" s="349">
        <f>IF($F356="","",'תחום תמיכה ב'!AE356)</f>
        <v>27995.616349243639</v>
      </c>
      <c r="T356" s="349">
        <f>IF($F356="","",IF(Q356='תחום תמיכה ג'!$Q$2,'תחום תמיכה ג'!$Q$2,IFERROR(SUMIF(N356:R356,"&gt;0"),'תחום תמיכה ג'!$Q$2)))</f>
        <v>53873.304209730646</v>
      </c>
      <c r="U356" s="349">
        <f>IF($F356="","",'הזנה לתנאי סף'!Y356)</f>
        <v>380000</v>
      </c>
      <c r="V356" s="350">
        <f>IF(F356="","",'הגבלה לסכום מבוקש '!AA356)</f>
        <v>58540.191647372223</v>
      </c>
      <c r="W356" s="349">
        <f t="shared" si="21"/>
        <v>14635.047911843056</v>
      </c>
      <c r="X356" s="349">
        <f>IF(F356="","",'הזנה לתנאי סף'!Z356)</f>
        <v>100000</v>
      </c>
      <c r="Y356" s="351" t="s">
        <v>3740</v>
      </c>
      <c r="Z356" s="352" t="str">
        <f>IFERROR(VLOOKUP(G356*1,#REF!,3,0),"")</f>
        <v/>
      </c>
      <c r="AA356" s="349" t="str">
        <f>IF(OR($F356="",Z356=""),"",IFERROR(IF(Z356&gt;V356,MIN(Z356,T356)-V356,0),'תחום תמיכה ג'!$Q$2))</f>
        <v/>
      </c>
      <c r="AB356" s="353"/>
      <c r="AC356" s="260" t="str">
        <f t="shared" si="23"/>
        <v/>
      </c>
      <c r="AD356" s="358"/>
      <c r="AE356" s="180"/>
      <c r="AF356" s="355" t="str">
        <f>IF($C356="","",IFERROR(VLOOKUP($C356,גיליון1!$A:$E,2,0),"לא הגיש בקשה שוטפת"))</f>
        <v>תמיכה בפעילות השוטפת של העמותה</v>
      </c>
      <c r="AG356" s="355" t="str">
        <f>IF($C356="","",IFERROR(VLOOKUP($C356,גיליון1!$A:$E,3,0),"לא הגיש בקשה שוטפת"))</f>
        <v>מועד</v>
      </c>
      <c r="AH356" s="355" t="str">
        <f>IF($C356="","",IFERROR(VLOOKUP($C356,גיליון1!$A:$E,4,0),"לא הגיש בקשה שוטפת"))</f>
        <v>19-42-02-33</v>
      </c>
      <c r="AI356" s="355" t="str">
        <f>IF($C356="","",IFERROR(VLOOKUP($C356,גיליון1!$A:$E,5,0),"לא הגיש בקשה שוטפת"))</f>
        <v>תרבות ערבית ודרוזית</v>
      </c>
      <c r="AJ356" s="355">
        <f t="shared" si="22"/>
        <v>0</v>
      </c>
      <c r="AK356" s="15"/>
      <c r="AL356" s="15" t="s">
        <v>250</v>
      </c>
    </row>
    <row r="357" spans="1:38" ht="285.75" x14ac:dyDescent="0.25">
      <c r="A357" s="346">
        <f>'הזנה לתנאי סף'!B357</f>
        <v>327</v>
      </c>
      <c r="B357" s="347">
        <f>IF($F357="","",'הזנה לתנאי סף'!C357)</f>
        <v>1001348825</v>
      </c>
      <c r="C357" s="347">
        <f>IF($F357="","",'הזנה לתנאי סף'!D357)</f>
        <v>1001270277</v>
      </c>
      <c r="D357" s="347">
        <f>IF($F357="","",'הזנה לתנאי סף'!E357)</f>
        <v>40000678</v>
      </c>
      <c r="E357" s="348">
        <f>IF($F357="","",'הזנה לתנאי סף'!F357)</f>
        <v>20000201</v>
      </c>
      <c r="F357" s="348" t="str">
        <f>IF('הזנה לתנאי סף'!BL357=1,'הזנה לתנאי סף'!G357,"")</f>
        <v>תל אביב -יפו</v>
      </c>
      <c r="G357" s="348" t="str">
        <f>IF($F357="","",'הזנה לתנאי סף'!H357)</f>
        <v>תיאטרון מחול קליפה (ע"ר)</v>
      </c>
      <c r="H357" s="348" t="str">
        <f>IF($F357="","",'הזנה לתנאי סף'!I357)</f>
        <v>תיאטרון</v>
      </c>
      <c r="I357" s="349">
        <f>IF($F357="","",'הזנה לתנאי סף'!R357)</f>
        <v>2022689</v>
      </c>
      <c r="J357" s="349">
        <f>IF($F357="","",'תחום תמיכה א'!P357)</f>
        <v>2539938</v>
      </c>
      <c r="K357" s="177">
        <f>IF($F357="","",'הזנה לתנאי סף'!N357)</f>
        <v>1</v>
      </c>
      <c r="L357" s="177">
        <f>IF($F357="","",'הזנה לתנאי סף'!O357)</f>
        <v>0</v>
      </c>
      <c r="M357" s="177">
        <f>IF($F357="","",'הזנה לתנאי סף'!Q357)</f>
        <v>1</v>
      </c>
      <c r="N357" s="349">
        <f>IF($F357="","",'תחום תמיכה א'!AE357)</f>
        <v>52219.785150383759</v>
      </c>
      <c r="O357" s="178"/>
      <c r="P357" s="349">
        <f>IF($F357="","",'תחום תמיכה ב'!AC357)</f>
        <v>42545.005139645109</v>
      </c>
      <c r="Q357" s="349">
        <f>IF($F357="","",IF('תחום תמיכה ג'!O357="",0,'תחום תמיכה ג'!O357))</f>
        <v>17840.940277096506</v>
      </c>
      <c r="R357" s="349">
        <f t="shared" si="20"/>
        <v>1275.7142019646344</v>
      </c>
      <c r="S357" s="349">
        <f>IF($F357="","",'תחום תמיכה ב'!AE357)</f>
        <v>43820.719341609743</v>
      </c>
      <c r="T357" s="349">
        <f>IF($F357="","",IF(Q357='תחום תמיכה ג'!$Q$2,'תחום תמיכה ג'!$Q$2,IFERROR(SUMIF(N357:R357,"&gt;0"),'תחום תמיכה ג'!$Q$2)))</f>
        <v>113881.44476909001</v>
      </c>
      <c r="U357" s="349">
        <f>IF($F357="","",'הזנה לתנאי סף'!Y357)</f>
        <v>1000000</v>
      </c>
      <c r="V357" s="350">
        <f>IF(F357="","",'הגבלה לסכום מבוקש '!AA357)</f>
        <v>121199.84439380809</v>
      </c>
      <c r="W357" s="349">
        <f t="shared" si="21"/>
        <v>30299.961098452022</v>
      </c>
      <c r="X357" s="349">
        <f>IF(F357="","",'הזנה לתנאי סף'!Z357)</f>
        <v>1</v>
      </c>
      <c r="Y357" s="351" t="s">
        <v>3740</v>
      </c>
      <c r="Z357" s="352" t="str">
        <f>IFERROR(VLOOKUP(G357*1,#REF!,3,0),"")</f>
        <v/>
      </c>
      <c r="AA357" s="349" t="str">
        <f>IF(OR($F357="",Z357=""),"",IFERROR(IF(Z357&gt;V357,MIN(Z357,T357)-V357,0),'תחום תמיכה ג'!$Q$2))</f>
        <v/>
      </c>
      <c r="AB357" s="353"/>
      <c r="AC357" s="260" t="str">
        <f t="shared" si="23"/>
        <v/>
      </c>
      <c r="AD357" s="358"/>
      <c r="AE357" s="180"/>
      <c r="AF357" s="355" t="str">
        <f>IF($C357="","",IFERROR(VLOOKUP($C357,גיליון1!$A:$E,2,0),"לא הגיש בקשה שוטפת"))</f>
        <v>קליפה 2020-תמיכה שוטפת</v>
      </c>
      <c r="AG357" s="355" t="str">
        <f>IF($C357="","",IFERROR(VLOOKUP($C357,גיליון1!$A:$E,3,0),"לא הגיש בקשה שוטפת"))</f>
        <v>מועד</v>
      </c>
      <c r="AH357" s="355" t="str">
        <f>IF($C357="","",IFERROR(VLOOKUP($C357,גיליון1!$A:$E,4,0),"לא הגיש בקשה שוטפת"))</f>
        <v>19-42-02-07</v>
      </c>
      <c r="AI357" s="355" t="str">
        <f>IF($C357="","",IFERROR(VLOOKUP($C357,גיליון1!$A:$E,5,0),"לא הגיש בקשה שוטפת"))</f>
        <v>תיאטרון</v>
      </c>
      <c r="AJ357" s="355">
        <f t="shared" si="22"/>
        <v>0</v>
      </c>
      <c r="AK357" s="15"/>
      <c r="AL357" s="15" t="s">
        <v>250</v>
      </c>
    </row>
    <row r="358" spans="1:38" ht="285.75" x14ac:dyDescent="0.25">
      <c r="A358" s="346">
        <f>'הזנה לתנאי סף'!B358</f>
        <v>328</v>
      </c>
      <c r="B358" s="347">
        <f>IF($F358="","",'הזנה לתנאי סף'!C358)</f>
        <v>1001346996</v>
      </c>
      <c r="C358" s="347">
        <f>IF($F358="","",'הזנה לתנאי סף'!D358)</f>
        <v>1001262285</v>
      </c>
      <c r="D358" s="347">
        <f>IF($F358="","",'הזנה לתנאי סף'!E358)</f>
        <v>40000234</v>
      </c>
      <c r="E358" s="348">
        <f>IF($F358="","",'הזנה לתנאי סף'!F358)</f>
        <v>20000159</v>
      </c>
      <c r="F358" s="348" t="str">
        <f>IF('הזנה לתנאי סף'!BL358=1,'הזנה לתנאי סף'!G358,"")</f>
        <v>ירושלים</v>
      </c>
      <c r="G358" s="348" t="str">
        <f>IF($F358="","",'הזנה לתנאי סף'!H358)</f>
        <v>עמותת ורטיגו למחול - ירושלים (ע"ר)</v>
      </c>
      <c r="H358" s="348" t="str">
        <f>IF($F358="","",'הזנה לתנאי סף'!I358)</f>
        <v>מחול</v>
      </c>
      <c r="I358" s="349">
        <f>IF($F358="","",'הזנה לתנאי סף'!R358)</f>
        <v>9784688</v>
      </c>
      <c r="J358" s="349">
        <f>IF($F358="","",'תחום תמיכה א'!P358)</f>
        <v>9521113</v>
      </c>
      <c r="K358" s="177">
        <f>IF($F358="","",'הזנה לתנאי סף'!N358)</f>
        <v>1</v>
      </c>
      <c r="L358" s="177">
        <f>IF($F358="","",'הזנה לתנאי סף'!O358)</f>
        <v>0</v>
      </c>
      <c r="M358" s="177">
        <f>IF($F358="","",'הזנה לתנאי סף'!Q358)</f>
        <v>1</v>
      </c>
      <c r="N358" s="349">
        <f>IF($F358="","",'תחום תמיכה א'!AE358)</f>
        <v>242410.30835283955</v>
      </c>
      <c r="O358" s="178"/>
      <c r="P358" s="349">
        <f>IF($F358="","",'תחום תמיכה ב'!AC358)</f>
        <v>361768.83330929081</v>
      </c>
      <c r="Q358" s="349">
        <f>IF($F358="","",IF('תחום תמיכה ג'!O358="",0,'תחום תמיכה ג'!O358))</f>
        <v>62538.392274592159</v>
      </c>
      <c r="R358" s="349">
        <f t="shared" si="20"/>
        <v>10847.65736814501</v>
      </c>
      <c r="S358" s="349">
        <f>IF($F358="","",'תחום תמיכה ב'!AE358)</f>
        <v>372616.49067743582</v>
      </c>
      <c r="T358" s="349">
        <f>IF($F358="","",IF(Q358='תחום תמיכה ג'!$Q$2,'תחום תמיכה ג'!$Q$2,IFERROR(SUMIF(N358:R358,"&gt;0"),'תחום תמיכה ג'!$Q$2)))</f>
        <v>677565.19130486762</v>
      </c>
      <c r="U358" s="349">
        <f>IF($F358="","",'הזנה לתנאי סף'!Y358)</f>
        <v>9000000</v>
      </c>
      <c r="V358" s="350">
        <f>IF(F358="","",'הגבלה לסכום מבוקש '!AA358)</f>
        <v>739662.62680833915</v>
      </c>
      <c r="W358" s="349">
        <f t="shared" si="21"/>
        <v>184915.65670208479</v>
      </c>
      <c r="X358" s="349">
        <f>IF(F358="","",'הזנה לתנאי סף'!Z358)</f>
        <v>4500000</v>
      </c>
      <c r="Y358" s="351" t="s">
        <v>3740</v>
      </c>
      <c r="Z358" s="352" t="str">
        <f>IFERROR(VLOOKUP(G358*1,#REF!,3,0),"")</f>
        <v/>
      </c>
      <c r="AA358" s="349" t="str">
        <f>IF(OR($F358="",Z358=""),"",IFERROR(IF(Z358&gt;V358,MIN(Z358,T358)-V358,0),'תחום תמיכה ג'!$Q$2))</f>
        <v/>
      </c>
      <c r="AB358" s="353"/>
      <c r="AC358" s="260" t="str">
        <f t="shared" si="23"/>
        <v/>
      </c>
      <c r="AD358" s="358"/>
      <c r="AE358" s="180"/>
      <c r="AF358" s="355" t="str">
        <f>IF($C358="","",IFERROR(VLOOKUP($C358,גיליון1!$A:$E,2,0),"לא הגיש בקשה שוטפת"))</f>
        <v>תמיכה בלהקת מחול - שוטף</v>
      </c>
      <c r="AG358" s="355" t="str">
        <f>IF($C358="","",IFERROR(VLOOKUP($C358,גיליון1!$A:$E,3,0),"לא הגיש בקשה שוטפת"))</f>
        <v>חויב</v>
      </c>
      <c r="AH358" s="355" t="str">
        <f>IF($C358="","",IFERROR(VLOOKUP($C358,גיליון1!$A:$E,4,0),"לא הגיש בקשה שוטפת"))</f>
        <v>19-42-02-20</v>
      </c>
      <c r="AI358" s="355" t="str">
        <f>IF($C358="","",IFERROR(VLOOKUP($C358,גיליון1!$A:$E,5,0),"לא הגיש בקשה שוטפת"))</f>
        <v>מחול וארגוני גג</v>
      </c>
      <c r="AJ358" s="355">
        <f t="shared" si="22"/>
        <v>0</v>
      </c>
      <c r="AK358" s="15"/>
      <c r="AL358" s="15" t="s">
        <v>250</v>
      </c>
    </row>
    <row r="359" spans="1:38" ht="285.75" x14ac:dyDescent="0.25">
      <c r="A359" s="346">
        <f>'הזנה לתנאי סף'!B359</f>
        <v>329</v>
      </c>
      <c r="B359" s="347">
        <f>IF($F359="","",'הזנה לתנאי סף'!C359)</f>
        <v>1001347696</v>
      </c>
      <c r="C359" s="347">
        <f>IF($F359="","",'הזנה לתנאי סף'!D359)</f>
        <v>1001262291</v>
      </c>
      <c r="D359" s="347">
        <f>IF($F359="","",'הזנה לתנאי סף'!E359)</f>
        <v>40000234</v>
      </c>
      <c r="E359" s="348">
        <f>IF($F359="","",'הזנה לתנאי סף'!F359)</f>
        <v>20000159</v>
      </c>
      <c r="F359" s="348" t="str">
        <f>IF('הזנה לתנאי סף'!BL359=1,'הזנה לתנאי סף'!G359,"")</f>
        <v>ירושלים</v>
      </c>
      <c r="G359" s="348" t="str">
        <f>IF($F359="","",'הזנה לתנאי סף'!H359)</f>
        <v>עמותת ורטיגו למחול - ירושלים (ע"ר)</v>
      </c>
      <c r="H359" s="348" t="str">
        <f>IF($F359="","",'הזנה לתנאי סף'!I359)</f>
        <v>מחול</v>
      </c>
      <c r="I359" s="349">
        <f>IF($F359="","",'הזנה לתנאי סף'!R359)</f>
        <v>1426689</v>
      </c>
      <c r="J359" s="349">
        <f>IF($F359="","",'תחום תמיכה א'!P359)</f>
        <v>1708149</v>
      </c>
      <c r="K359" s="177">
        <f>IF($F359="","",'הזנה לתנאי סף'!N359)</f>
        <v>0</v>
      </c>
      <c r="L359" s="177">
        <f>IF($F359="","",'הזנה לתנאי סף'!O359)</f>
        <v>1</v>
      </c>
      <c r="M359" s="177">
        <f>IF($F359="","",'הזנה לתנאי סף'!Q359)</f>
        <v>1</v>
      </c>
      <c r="N359" s="349">
        <f>IF($F359="","",'תחום תמיכה א'!AE359)</f>
        <v>54105.821266535917</v>
      </c>
      <c r="O359" s="178"/>
      <c r="P359" s="349">
        <f>IF($F359="","",'תחום תמיכה ב'!AC359)</f>
        <v>81643.804875064438</v>
      </c>
      <c r="Q359" s="349">
        <f>IF($F359="","",IF('תחום תמיכה ג'!O359="",0,'תחום תמיכה ג'!O359))</f>
        <v>0</v>
      </c>
      <c r="R359" s="349">
        <f t="shared" si="20"/>
        <v>2448.0937548293878</v>
      </c>
      <c r="S359" s="349">
        <f>IF($F359="","",'תחום תמיכה ב'!AE359)</f>
        <v>84091.898629893825</v>
      </c>
      <c r="T359" s="349">
        <f>IF($F359="","",IF(Q359='תחום תמיכה ג'!$Q$2,'תחום תמיכה ג'!$Q$2,IFERROR(SUMIF(N359:R359,"&gt;0"),'תחום תמיכה ג'!$Q$2)))</f>
        <v>138197.71989642974</v>
      </c>
      <c r="U359" s="349">
        <f>IF($F359="","",'הזנה לתנאי סף'!Y359)</f>
        <v>2000000</v>
      </c>
      <c r="V359" s="350">
        <f>IF(F359="","",'הגבלה לסכום מבוקש '!AA359)</f>
        <v>152205.13725490184</v>
      </c>
      <c r="W359" s="349">
        <f t="shared" si="21"/>
        <v>38051.28431372546</v>
      </c>
      <c r="X359" s="349">
        <f>IF(F359="","",'הזנה לתנאי סף'!Z359)</f>
        <v>1000000</v>
      </c>
      <c r="Y359" s="351" t="s">
        <v>3740</v>
      </c>
      <c r="Z359" s="352" t="str">
        <f>IFERROR(VLOOKUP(G359*1,#REF!,3,0),"")</f>
        <v/>
      </c>
      <c r="AA359" s="349" t="str">
        <f>IF(OR($F359="",Z359=""),"",IFERROR(IF(Z359&gt;V359,MIN(Z359,T359)-V359,0),'תחום תמיכה ג'!$Q$2))</f>
        <v/>
      </c>
      <c r="AB359" s="353"/>
      <c r="AC359" s="260" t="str">
        <f t="shared" si="23"/>
        <v/>
      </c>
      <c r="AD359" s="358"/>
      <c r="AE359" s="180"/>
      <c r="AF359" s="355" t="str">
        <f>IF($C359="","",IFERROR(VLOOKUP($C359,גיליון1!$A:$E,2,0),"לא הגיש בקשה שוטפת"))</f>
        <v>תמיכה במרכז מחול - ורטיגו בכפר</v>
      </c>
      <c r="AG359" s="355" t="str">
        <f>IF($C359="","",IFERROR(VLOOKUP($C359,גיליון1!$A:$E,3,0),"לא הגיש בקשה שוטפת"))</f>
        <v>חויב</v>
      </c>
      <c r="AH359" s="355" t="str">
        <f>IF($C359="","",IFERROR(VLOOKUP($C359,גיליון1!$A:$E,4,0),"לא הגיש בקשה שוטפת"))</f>
        <v>19-42-02-20</v>
      </c>
      <c r="AI359" s="355" t="str">
        <f>IF($C359="","",IFERROR(VLOOKUP($C359,גיליון1!$A:$E,5,0),"לא הגיש בקשה שוטפת"))</f>
        <v>מחול וארגוני גג</v>
      </c>
      <c r="AJ359" s="355">
        <f t="shared" si="22"/>
        <v>0</v>
      </c>
      <c r="AK359" s="15"/>
      <c r="AL359" s="15" t="s">
        <v>250</v>
      </c>
    </row>
    <row r="360" spans="1:38" ht="285.75" x14ac:dyDescent="0.25">
      <c r="A360" s="346">
        <f>'הזנה לתנאי סף'!B360</f>
        <v>330</v>
      </c>
      <c r="B360" s="347">
        <f>IF($F360="","",'הזנה לתנאי סף'!C360)</f>
        <v>1001348126</v>
      </c>
      <c r="C360" s="347">
        <f>IF($F360="","",'הזנה לתנאי סף'!D360)</f>
        <v>1001263224</v>
      </c>
      <c r="D360" s="347">
        <f>IF($F360="","",'הזנה לתנאי סף'!E360)</f>
        <v>40000681</v>
      </c>
      <c r="E360" s="348">
        <f>IF($F360="","",'הזנה לתנאי סף'!F360)</f>
        <v>20000201</v>
      </c>
      <c r="F360" s="348" t="str">
        <f>IF('הזנה לתנאי סף'!BL360=1,'הזנה לתנאי סף'!G360,"")</f>
        <v>תל אביב -יפו</v>
      </c>
      <c r="G360" s="348" t="str">
        <f>IF($F360="","",'הזנה לתנאי סף'!H360)</f>
        <v>דוקאביב - העמותה לקידום הסרט הדוקומ</v>
      </c>
      <c r="H360" s="348" t="str">
        <f>IF($F360="","",'הזנה לתנאי סף'!I360)</f>
        <v>סינמטקים ופסטיבלים</v>
      </c>
      <c r="I360" s="349">
        <f>IF($F360="","",'הזנה לתנאי סף'!R360)</f>
        <v>4352777</v>
      </c>
      <c r="J360" s="349">
        <f>IF($F360="","",'תחום תמיכה א'!P360)</f>
        <v>3259775</v>
      </c>
      <c r="K360" s="177">
        <f>IF($F360="","",'הזנה לתנאי סף'!N360)</f>
        <v>1</v>
      </c>
      <c r="L360" s="177">
        <f>IF($F360="","",'הזנה לתנאי סף'!O360)</f>
        <v>0</v>
      </c>
      <c r="M360" s="177">
        <f>IF($F360="","",'הזנה לתנאי סף'!Q360)</f>
        <v>1</v>
      </c>
      <c r="N360" s="349">
        <f>IF($F360="","",'תחום תמיכה א'!AE360)</f>
        <v>139695.92455475143</v>
      </c>
      <c r="O360" s="178"/>
      <c r="P360" s="349">
        <f>IF($F360="","",'תחום תמיכה ב'!AC360)</f>
        <v>455948.80274797708</v>
      </c>
      <c r="Q360" s="349">
        <f>IF($F360="","",IF('תחום תמיכה ג'!O360="",0,'תחום תמיכה ג'!O360))</f>
        <v>191198.83362430753</v>
      </c>
      <c r="R360" s="349">
        <f t="shared" si="20"/>
        <v>13671.64867239265</v>
      </c>
      <c r="S360" s="349">
        <f>IF($F360="","",'תחום תמיכה ב'!AE360)</f>
        <v>469620.45142036973</v>
      </c>
      <c r="T360" s="349">
        <f>IF($F360="","",IF(Q360='תחום תמיכה ג'!$Q$2,'תחום תמיכה ג'!$Q$2,IFERROR(SUMIF(N360:R360,"&gt;0"),'תחום תמיכה ג'!$Q$2)))</f>
        <v>800515.20959942858</v>
      </c>
      <c r="U360" s="349">
        <f>IF($F360="","",'הזנה לתנאי סף'!Y360)</f>
        <v>950000</v>
      </c>
      <c r="V360" s="350">
        <f>IF(F360="","",'הגבלה לסכום מבוקש '!AA360)</f>
        <v>878754.25529347314</v>
      </c>
      <c r="W360" s="349">
        <f t="shared" si="21"/>
        <v>219688.56382336828</v>
      </c>
      <c r="X360" s="349">
        <f>IF(F360="","",'הזנה לתנאי סף'!Z360)</f>
        <v>1500000</v>
      </c>
      <c r="Y360" s="351" t="s">
        <v>3740</v>
      </c>
      <c r="Z360" s="352" t="str">
        <f>IFERROR(VLOOKUP(G360*1,#REF!,3,0),"")</f>
        <v/>
      </c>
      <c r="AA360" s="349" t="str">
        <f>IF(OR($F360="",Z360=""),"",IFERROR(IF(Z360&gt;V360,MIN(Z360,T360)-V360,0),'תחום תמיכה ג'!$Q$2))</f>
        <v/>
      </c>
      <c r="AB360" s="353"/>
      <c r="AC360" s="260" t="str">
        <f t="shared" si="23"/>
        <v/>
      </c>
      <c r="AD360" s="358"/>
      <c r="AE360" s="180"/>
      <c r="AF360" s="355" t="str">
        <f>IF($C360="","",IFERROR(VLOOKUP($C360,גיליון1!$A:$E,2,0),"לא הגיש בקשה שוטפת"))</f>
        <v>דוקאביב פסטיבל בינל לקולנוע דוקומנטרי</v>
      </c>
      <c r="AG360" s="355" t="str">
        <f>IF($C360="","",IFERROR(VLOOKUP($C360,גיליון1!$A:$E,3,0),"לא הגיש בקשה שוטפת"))</f>
        <v>מועד</v>
      </c>
      <c r="AH360" s="355" t="str">
        <f>IF($C360="","",IFERROR(VLOOKUP($C360,גיליון1!$A:$E,4,0),"לא הגיש בקשה שוטפת"))</f>
        <v>19-42-02-28</v>
      </c>
      <c r="AI360" s="355" t="str">
        <f>IF($C360="","",IFERROR(VLOOKUP($C360,גיליון1!$A:$E,5,0),"לא הגיש בקשה שוטפת"))</f>
        <v>חוק  הקולנוע</v>
      </c>
      <c r="AJ360" s="355">
        <f t="shared" si="22"/>
        <v>0</v>
      </c>
      <c r="AK360" s="15"/>
      <c r="AL360" s="15" t="s">
        <v>250</v>
      </c>
    </row>
    <row r="361" spans="1:38" ht="285.75" x14ac:dyDescent="0.25">
      <c r="A361" s="346">
        <f>'הזנה לתנאי סף'!B361</f>
        <v>331</v>
      </c>
      <c r="B361" s="347" t="str">
        <f>IF($F361="","",'הזנה לתנאי סף'!C361)</f>
        <v/>
      </c>
      <c r="C361" s="347" t="str">
        <f>IF($F361="","",'הזנה לתנאי סף'!D361)</f>
        <v/>
      </c>
      <c r="D361" s="347" t="str">
        <f>IF($F361="","",'הזנה לתנאי סף'!E361)</f>
        <v/>
      </c>
      <c r="E361" s="348" t="str">
        <f>IF($F361="","",'הזנה לתנאי סף'!F361)</f>
        <v/>
      </c>
      <c r="F361" s="348" t="str">
        <f>IF('הזנה לתנאי סף'!BL361=1,'הזנה לתנאי סף'!G361,"")</f>
        <v/>
      </c>
      <c r="G361" s="348" t="str">
        <f>IF($F361="","",'הזנה לתנאי סף'!H361)</f>
        <v/>
      </c>
      <c r="H361" s="348" t="str">
        <f>IF($F361="","",'הזנה לתנאי סף'!I361)</f>
        <v/>
      </c>
      <c r="I361" s="349" t="str">
        <f>IF($F361="","",'הזנה לתנאי סף'!R361)</f>
        <v/>
      </c>
      <c r="J361" s="349" t="str">
        <f>IF($F361="","",'תחום תמיכה א'!P361)</f>
        <v/>
      </c>
      <c r="K361" s="177" t="str">
        <f>IF($F361="","",'הזנה לתנאי סף'!N361)</f>
        <v/>
      </c>
      <c r="L361" s="177" t="str">
        <f>IF($F361="","",'הזנה לתנאי סף'!O361)</f>
        <v/>
      </c>
      <c r="M361" s="177" t="str">
        <f>IF($F361="","",'הזנה לתנאי סף'!Q361)</f>
        <v/>
      </c>
      <c r="N361" s="349" t="str">
        <f>IF($F361="","",'תחום תמיכה א'!AE361)</f>
        <v/>
      </c>
      <c r="O361" s="178"/>
      <c r="P361" s="349" t="str">
        <f>IF($F361="","",'תחום תמיכה ב'!AC361)</f>
        <v/>
      </c>
      <c r="Q361" s="349" t="str">
        <f>IF($F361="","",IF('תחום תמיכה ג'!O361="",0,'תחום תמיכה ג'!O361))</f>
        <v/>
      </c>
      <c r="R361" s="349" t="str">
        <f t="shared" si="20"/>
        <v/>
      </c>
      <c r="S361" s="349" t="str">
        <f>IF($F361="","",'תחום תמיכה ב'!AE361)</f>
        <v/>
      </c>
      <c r="T361" s="349" t="str">
        <f>IF($F361="","",IF(Q361='תחום תמיכה ג'!$Q$2,'תחום תמיכה ג'!$Q$2,IFERROR(SUMIF(N361:R361,"&gt;0"),'תחום תמיכה ג'!$Q$2)))</f>
        <v/>
      </c>
      <c r="U361" s="349" t="str">
        <f>IF($F361="","",'הזנה לתנאי סף'!Y361)</f>
        <v/>
      </c>
      <c r="V361" s="350" t="str">
        <f>IF(F361="","",'הגבלה לסכום מבוקש '!AA361)</f>
        <v/>
      </c>
      <c r="W361" s="349" t="str">
        <f t="shared" si="21"/>
        <v/>
      </c>
      <c r="X361" s="349" t="str">
        <f>IF(F361="","",'הזנה לתנאי סף'!Z361)</f>
        <v/>
      </c>
      <c r="Y361" s="351" t="s">
        <v>3740</v>
      </c>
      <c r="Z361" s="352" t="str">
        <f>IFERROR(VLOOKUP(G361*1,#REF!,3,0),"")</f>
        <v/>
      </c>
      <c r="AA361" s="349" t="str">
        <f>IF(OR($F361="",Z361=""),"",IFERROR(IF(Z361&gt;V361,MIN(Z361,T361)-V361,0),'תחום תמיכה ג'!$Q$2))</f>
        <v/>
      </c>
      <c r="AB361" s="353"/>
      <c r="AC361" s="260" t="str">
        <f t="shared" si="23"/>
        <v/>
      </c>
      <c r="AD361" s="358"/>
      <c r="AE361" s="180"/>
      <c r="AF361" s="355" t="str">
        <f>IF($C361="","",IFERROR(VLOOKUP($C361,גיליון1!$A:$E,2,0),"לא הגיש בקשה שוטפת"))</f>
        <v/>
      </c>
      <c r="AG361" s="355" t="str">
        <f>IF($C361="","",IFERROR(VLOOKUP($C361,גיליון1!$A:$E,3,0),"לא הגיש בקשה שוטפת"))</f>
        <v/>
      </c>
      <c r="AH361" s="355" t="str">
        <f>IF($C361="","",IFERROR(VLOOKUP($C361,גיליון1!$A:$E,4,0),"לא הגיש בקשה שוטפת"))</f>
        <v/>
      </c>
      <c r="AI361" s="355" t="str">
        <f>IF($C361="","",IFERROR(VLOOKUP($C361,גיליון1!$A:$E,5,0),"לא הגיש בקשה שוטפת"))</f>
        <v/>
      </c>
      <c r="AJ361" s="355">
        <f t="shared" si="22"/>
        <v>0</v>
      </c>
      <c r="AK361" s="15"/>
      <c r="AL361" s="15" t="s">
        <v>250</v>
      </c>
    </row>
    <row r="362" spans="1:38" ht="285.75" x14ac:dyDescent="0.25">
      <c r="A362" s="346">
        <f>'הזנה לתנאי סף'!B362</f>
        <v>332</v>
      </c>
      <c r="B362" s="347">
        <f>IF($F362="","",'הזנה לתנאי סף'!C362)</f>
        <v>1001346979</v>
      </c>
      <c r="C362" s="347">
        <f>IF($F362="","",'הזנה לתנאי סף'!D362)</f>
        <v>1001273202</v>
      </c>
      <c r="D362" s="347">
        <f>IF($F362="","",'הזנה לתנאי סף'!E362)</f>
        <v>40000237</v>
      </c>
      <c r="E362" s="348">
        <f>IF($F362="","",'הזנה לתנאי סף'!F362)</f>
        <v>20000248</v>
      </c>
      <c r="F362" s="348" t="str">
        <f>IF('הזנה לתנאי סף'!BL362=1,'הזנה לתנאי סף'!G362,"")</f>
        <v>רחובות</v>
      </c>
      <c r="G362" s="348" t="str">
        <f>IF($F362="","",'הזנה לתנאי סף'!H362)</f>
        <v>מועצה לשימור אתרי מורשת בישראל (ע"ר</v>
      </c>
      <c r="H362" s="348" t="str">
        <f>IF($F362="","",'הזנה לתנאי סף'!I362)</f>
        <v>מועצה לשימור אתרים</v>
      </c>
      <c r="I362" s="349">
        <f>IF($F362="","",'הזנה לתנאי סף'!R362)</f>
        <v>23690638</v>
      </c>
      <c r="J362" s="349">
        <f>IF($F362="","",'תחום תמיכה א'!P362)</f>
        <v>21561518</v>
      </c>
      <c r="K362" s="177">
        <f>IF($F362="","",'הזנה לתנאי סף'!N362)</f>
        <v>0</v>
      </c>
      <c r="L362" s="177">
        <f>IF($F362="","",'הזנה לתנאי סף'!O362)</f>
        <v>1</v>
      </c>
      <c r="M362" s="177">
        <f>IF($F362="","",'הזנה לתנאי סף'!Q362)</f>
        <v>1</v>
      </c>
      <c r="N362" s="349">
        <f>IF($F362="","",'תחום תמיכה א'!AE362)</f>
        <v>428061.9825520998</v>
      </c>
      <c r="O362" s="178"/>
      <c r="P362" s="349">
        <f>IF($F362="","",'תחום תמיכה ב'!AC362)</f>
        <v>532584.89565456961</v>
      </c>
      <c r="Q362" s="349">
        <f>IF($F362="","",IF('תחום תמיכה ג'!O362="",0,'תחום תמיכה ג'!O362))</f>
        <v>0</v>
      </c>
      <c r="R362" s="349">
        <f t="shared" si="20"/>
        <v>15969.58592220908</v>
      </c>
      <c r="S362" s="349">
        <f>IF($F362="","",'תחום תמיכה ב'!AE362)</f>
        <v>548554.48157677869</v>
      </c>
      <c r="T362" s="349">
        <f>IF($F362="","",IF(Q362='תחום תמיכה ג'!$Q$2,'תחום תמיכה ג'!$Q$2,IFERROR(SUMIF(N362:R362,"&gt;0"),'תחום תמיכה ג'!$Q$2)))</f>
        <v>976616.46412887843</v>
      </c>
      <c r="U362" s="349">
        <f>IF($F362="","",'הזנה לתנאי סף'!Y362)</f>
        <v>3000000</v>
      </c>
      <c r="V362" s="350">
        <f>IF(F362="","",'הגבלה לסכום מבוקש '!AA362)</f>
        <v>1068024.8849929043</v>
      </c>
      <c r="W362" s="349">
        <f t="shared" si="21"/>
        <v>267006.22124822607</v>
      </c>
      <c r="X362" s="349">
        <f>IF(F362="","",'הזנה לתנאי סף'!Z362)</f>
        <v>1</v>
      </c>
      <c r="Y362" s="351" t="s">
        <v>3740</v>
      </c>
      <c r="Z362" s="352" t="str">
        <f>IFERROR(VLOOKUP(G362*1,#REF!,3,0),"")</f>
        <v/>
      </c>
      <c r="AA362" s="349" t="str">
        <f>IF(OR($F362="",Z362=""),"",IFERROR(IF(Z362&gt;V362,MIN(Z362,T362)-V362,0),'תחום תמיכה ג'!$Q$2))</f>
        <v/>
      </c>
      <c r="AB362" s="353"/>
      <c r="AC362" s="260" t="str">
        <f t="shared" si="23"/>
        <v/>
      </c>
      <c r="AD362" s="358"/>
      <c r="AE362" s="180"/>
      <c r="AF362" s="355" t="str">
        <f>IF($C362="","",IFERROR(VLOOKUP($C362,גיליון1!$A:$E,2,0),"לא הגיש בקשה שוטפת"))</f>
        <v>פעילות להגברת מודעות שימור ומורשת הבנויה</v>
      </c>
      <c r="AG362" s="355" t="str">
        <f>IF($C362="","",IFERROR(VLOOKUP($C362,גיליון1!$A:$E,3,0),"לא הגיש בקשה שוטפת"))</f>
        <v>מועד</v>
      </c>
      <c r="AH362" s="355" t="str">
        <f>IF($C362="","",IFERROR(VLOOKUP($C362,גיליון1!$A:$E,4,0),"לא הגיש בקשה שוטפת"))</f>
        <v>19-42-02-45</v>
      </c>
      <c r="AI362" s="355" t="str">
        <f>IF($C362="","",IFERROR(VLOOKUP($C362,גיליון1!$A:$E,5,0),"לא הגיש בקשה שוטפת"))</f>
        <v>שימור אתרי התיישבות</v>
      </c>
      <c r="AJ362" s="355">
        <f t="shared" si="22"/>
        <v>0</v>
      </c>
      <c r="AK362" s="15"/>
      <c r="AL362" s="15" t="s">
        <v>250</v>
      </c>
    </row>
    <row r="363" spans="1:38" ht="285.75" x14ac:dyDescent="0.25">
      <c r="A363" s="346">
        <f>'הזנה לתנאי סף'!B363</f>
        <v>333</v>
      </c>
      <c r="B363" s="347">
        <f>IF($F363="","",'הזנה לתנאי סף'!C363)</f>
        <v>1001348103</v>
      </c>
      <c r="C363" s="347">
        <f>IF($F363="","",'הזנה לתנאי סף'!D363)</f>
        <v>1001263126</v>
      </c>
      <c r="D363" s="347">
        <f>IF($F363="","",'הזנה לתנאי סף'!E363)</f>
        <v>40000242</v>
      </c>
      <c r="E363" s="348">
        <f>IF($F363="","",'הזנה לתנאי סף'!F363)</f>
        <v>20000159</v>
      </c>
      <c r="F363" s="348" t="str">
        <f>IF('הזנה לתנאי סף'!BL363=1,'הזנה לתנאי סף'!G363,"")</f>
        <v>ירושלים</v>
      </c>
      <c r="G363" s="348" t="str">
        <f>IF($F363="","",'הזנה לתנאי סף'!H363)</f>
        <v>הזירה הבין-תחומית (ע"ר)</v>
      </c>
      <c r="H363" s="348" t="str">
        <f>IF($F363="","",'הזנה לתנאי סף'!I363)</f>
        <v>תיאטרון</v>
      </c>
      <c r="I363" s="349">
        <f>IF($F363="","",'הזנה לתנאי סף'!R363)</f>
        <v>2390646</v>
      </c>
      <c r="J363" s="349">
        <f>IF($F363="","",'תחום תמיכה א'!P363)</f>
        <v>2382486</v>
      </c>
      <c r="K363" s="177">
        <f>IF($F363="","",'הזנה לתנאי סף'!N363)</f>
        <v>1</v>
      </c>
      <c r="L363" s="177">
        <f>IF($F363="","",'הזנה לתנאי סף'!O363)</f>
        <v>0</v>
      </c>
      <c r="M363" s="177">
        <f>IF($F363="","",'הזנה לתנאי סף'!Q363)</f>
        <v>1</v>
      </c>
      <c r="N363" s="349">
        <f>IF($F363="","",'תחום תמיכה א'!AE363)</f>
        <v>51302.234389820995</v>
      </c>
      <c r="O363" s="178"/>
      <c r="P363" s="349">
        <f>IF($F363="","",'תחום תמיכה ב'!AC363)</f>
        <v>63224.376713480036</v>
      </c>
      <c r="Q363" s="349">
        <f>IF($F363="","",IF('תחום תמיכה ג'!O363="",0,'תחום תמיכה ג'!O363))</f>
        <v>10929.49560097625</v>
      </c>
      <c r="R363" s="349">
        <f t="shared" si="20"/>
        <v>1895.7862390429</v>
      </c>
      <c r="S363" s="349">
        <f>IF($F363="","",'תחום תמיכה ב'!AE363)</f>
        <v>65120.162952522936</v>
      </c>
      <c r="T363" s="349">
        <f>IF($F363="","",IF(Q363='תחום תמיכה ג'!$Q$2,'תחום תמיכה ג'!$Q$2,IFERROR(SUMIF(N363:R363,"&gt;0"),'תחום תמיכה ג'!$Q$2)))</f>
        <v>127351.89294332018</v>
      </c>
      <c r="U363" s="349">
        <f>IF($F363="","",'הזנה לתנאי סף'!Y363)</f>
        <v>800000</v>
      </c>
      <c r="V363" s="350">
        <f>IF(F363="","",'הגבלה לסכום מבוקש '!AA363)</f>
        <v>138208.39440086109</v>
      </c>
      <c r="W363" s="349">
        <f t="shared" si="21"/>
        <v>34552.098600215271</v>
      </c>
      <c r="X363" s="349">
        <f>IF(F363="","",'הזנה לתנאי סף'!Z363)</f>
        <v>20000</v>
      </c>
      <c r="Y363" s="351" t="s">
        <v>3740</v>
      </c>
      <c r="Z363" s="352" t="str">
        <f>IFERROR(VLOOKUP(G363*1,#REF!,3,0),"")</f>
        <v/>
      </c>
      <c r="AA363" s="349" t="str">
        <f>IF(OR($F363="",Z363=""),"",IFERROR(IF(Z363&gt;V363,MIN(Z363,T363)-V363,0),'תחום תמיכה ג'!$Q$2))</f>
        <v/>
      </c>
      <c r="AB363" s="353"/>
      <c r="AC363" s="260" t="str">
        <f t="shared" si="23"/>
        <v/>
      </c>
      <c r="AD363" s="358"/>
      <c r="AE363" s="180"/>
      <c r="AF363" s="355" t="str">
        <f>IF($C363="","",IFERROR(VLOOKUP($C363,גיליון1!$A:$E,2,0),"לא הגיש בקשה שוטפת"))</f>
        <v>תאטרון הזירה הבין תחומית</v>
      </c>
      <c r="AG363" s="355" t="str">
        <f>IF($C363="","",IFERROR(VLOOKUP($C363,גיליון1!$A:$E,3,0),"לא הגיש בקשה שוטפת"))</f>
        <v>חויב</v>
      </c>
      <c r="AH363" s="355" t="str">
        <f>IF($C363="","",IFERROR(VLOOKUP($C363,גיליון1!$A:$E,4,0),"לא הגיש בקשה שוטפת"))</f>
        <v>19-42-02-07</v>
      </c>
      <c r="AI363" s="355" t="str">
        <f>IF($C363="","",IFERROR(VLOOKUP($C363,גיליון1!$A:$E,5,0),"לא הגיש בקשה שוטפת"))</f>
        <v>תיאטרון</v>
      </c>
      <c r="AJ363" s="355">
        <f t="shared" si="22"/>
        <v>0</v>
      </c>
      <c r="AK363" s="15"/>
      <c r="AL363" s="15" t="s">
        <v>250</v>
      </c>
    </row>
    <row r="364" spans="1:38" ht="285.75" x14ac:dyDescent="0.25">
      <c r="A364" s="346">
        <f>'הזנה לתנאי סף'!B364</f>
        <v>334</v>
      </c>
      <c r="B364" s="347">
        <f>IF($F364="","",'הזנה לתנאי סף'!C364)</f>
        <v>1001348542</v>
      </c>
      <c r="C364" s="347">
        <f>IF($F364="","",'הזנה לתנאי סף'!D364)</f>
        <v>1001268714</v>
      </c>
      <c r="D364" s="347">
        <f>IF($F364="","",'הזנה לתנאי סף'!E364)</f>
        <v>40000242</v>
      </c>
      <c r="E364" s="348">
        <f>IF($F364="","",'הזנה לתנאי סף'!F364)</f>
        <v>20000159</v>
      </c>
      <c r="F364" s="348" t="str">
        <f>IF('הזנה לתנאי סף'!BL364=1,'הזנה לתנאי סף'!G364,"")</f>
        <v>ירושלים</v>
      </c>
      <c r="G364" s="348" t="str">
        <f>IF($F364="","",'הזנה לתנאי סף'!H364)</f>
        <v>הזירה הבין-תחומית (ע"ר)</v>
      </c>
      <c r="H364" s="348" t="str">
        <f>IF($F364="","",'הזנה לתנאי סף'!I364)</f>
        <v>אחר</v>
      </c>
      <c r="I364" s="349">
        <f>IF($F364="","",'הזנה לתנאי סף'!R364)</f>
        <v>72379</v>
      </c>
      <c r="J364" s="349">
        <f>IF($F364="","",'תחום תמיכה א'!P364)</f>
        <v>93629</v>
      </c>
      <c r="K364" s="177">
        <f>IF($F364="","",'הזנה לתנאי סף'!N364)</f>
        <v>1</v>
      </c>
      <c r="L364" s="177">
        <f>IF($F364="","",'הזנה לתנאי סף'!O364)</f>
        <v>0</v>
      </c>
      <c r="M364" s="177">
        <f>IF($F364="","",'הזנה לתנאי סף'!Q364)</f>
        <v>1</v>
      </c>
      <c r="N364" s="349">
        <f>IF($F364="","",'תחום תמיכה א'!AE364)</f>
        <v>1555.7001142287602</v>
      </c>
      <c r="O364" s="178"/>
      <c r="P364" s="349">
        <f>IF($F364="","",'תחום תמיכה ב'!AC364)</f>
        <v>1139.7274655391416</v>
      </c>
      <c r="Q364" s="349">
        <f>IF($F364="","",IF('תחום תמיכה ג'!O364="",0,'תחום תמיכה ג'!O364))</f>
        <v>197.02284100597521</v>
      </c>
      <c r="R364" s="349">
        <f t="shared" si="20"/>
        <v>34.174787601625667</v>
      </c>
      <c r="S364" s="349">
        <f>IF($F364="","",'תחום תמיכה ב'!AE364)</f>
        <v>1173.9022531407672</v>
      </c>
      <c r="T364" s="349">
        <f>IF($F364="","",IF(Q364='תחום תמיכה ג'!$Q$2,'תחום תמיכה ג'!$Q$2,IFERROR(SUMIF(N364:R364,"&gt;0"),'תחום תמיכה ג'!$Q$2)))</f>
        <v>2926.625208375503</v>
      </c>
      <c r="U364" s="349">
        <f>IF($F364="","",'הזנה לתנאי סף'!Y364)</f>
        <v>50000</v>
      </c>
      <c r="V364" s="350">
        <f>IF(F364="","",'הגבלה לסכום מבוקש '!AA364)</f>
        <v>3122.6194658873928</v>
      </c>
      <c r="W364" s="349">
        <f t="shared" si="21"/>
        <v>780.65486647184821</v>
      </c>
      <c r="X364" s="349">
        <f>IF(F364="","",'הזנה לתנאי סף'!Z364)</f>
        <v>10000</v>
      </c>
      <c r="Y364" s="351" t="s">
        <v>3740</v>
      </c>
      <c r="Z364" s="352" t="str">
        <f>IFERROR(VLOOKUP(G364*1,#REF!,3,0),"")</f>
        <v/>
      </c>
      <c r="AA364" s="349" t="str">
        <f>IF(OR($F364="",Z364=""),"",IFERROR(IF(Z364&gt;V364,MIN(Z364,T364)-V364,0),'תחום תמיכה ג'!$Q$2))</f>
        <v/>
      </c>
      <c r="AB364" s="353"/>
      <c r="AC364" s="260" t="str">
        <f t="shared" si="23"/>
        <v/>
      </c>
      <c r="AD364" s="358"/>
      <c r="AE364" s="180"/>
      <c r="AF364" s="355" t="str">
        <f>IF($C364="","",IFERROR(VLOOKUP($C364,גיליון1!$A:$E,2,0),"לא הגיש בקשה שוטפת"))</f>
        <v>מוסיקה הזירה הבין תחומית</v>
      </c>
      <c r="AG364" s="355" t="str">
        <f>IF($C364="","",IFERROR(VLOOKUP($C364,גיליון1!$A:$E,3,0),"לא הגיש בקשה שוטפת"))</f>
        <v>טיוט</v>
      </c>
      <c r="AH364" s="355" t="str">
        <f>IF($C364="","",IFERROR(VLOOKUP($C364,גיליון1!$A:$E,4,0),"לא הגיש בקשה שוטפת"))</f>
        <v>19-42-02-16</v>
      </c>
      <c r="AI364" s="355" t="str">
        <f>IF($C364="","",IFERROR(VLOOKUP($C364,גיליון1!$A:$E,5,0),"לא הגיש בקשה שוטפת"))</f>
        <v>מוסיקה</v>
      </c>
      <c r="AJ364" s="355">
        <f t="shared" si="22"/>
        <v>0</v>
      </c>
      <c r="AK364" s="15"/>
      <c r="AL364" s="15" t="s">
        <v>250</v>
      </c>
    </row>
    <row r="365" spans="1:38" ht="285.75" x14ac:dyDescent="0.25">
      <c r="A365" s="346">
        <f>'הזנה לתנאי סף'!B365</f>
        <v>335</v>
      </c>
      <c r="B365" s="347" t="str">
        <f>IF($F365="","",'הזנה לתנאי סף'!C365)</f>
        <v/>
      </c>
      <c r="C365" s="347" t="str">
        <f>IF($F365="","",'הזנה לתנאי סף'!D365)</f>
        <v/>
      </c>
      <c r="D365" s="347" t="str">
        <f>IF($F365="","",'הזנה לתנאי סף'!E365)</f>
        <v/>
      </c>
      <c r="E365" s="348" t="str">
        <f>IF($F365="","",'הזנה לתנאי סף'!F365)</f>
        <v/>
      </c>
      <c r="F365" s="348" t="str">
        <f>IF('הזנה לתנאי סף'!BL365=1,'הזנה לתנאי סף'!G365,"")</f>
        <v/>
      </c>
      <c r="G365" s="348" t="str">
        <f>IF($F365="","",'הזנה לתנאי סף'!H365)</f>
        <v/>
      </c>
      <c r="H365" s="348" t="str">
        <f>IF($F365="","",'הזנה לתנאי סף'!I365)</f>
        <v/>
      </c>
      <c r="I365" s="349" t="str">
        <f>IF($F365="","",'הזנה לתנאי סף'!R365)</f>
        <v/>
      </c>
      <c r="J365" s="349" t="str">
        <f>IF($F365="","",'תחום תמיכה א'!P365)</f>
        <v/>
      </c>
      <c r="K365" s="177" t="str">
        <f>IF($F365="","",'הזנה לתנאי סף'!N365)</f>
        <v/>
      </c>
      <c r="L365" s="177" t="str">
        <f>IF($F365="","",'הזנה לתנאי סף'!O365)</f>
        <v/>
      </c>
      <c r="M365" s="177" t="str">
        <f>IF($F365="","",'הזנה לתנאי סף'!Q365)</f>
        <v/>
      </c>
      <c r="N365" s="349" t="str">
        <f>IF($F365="","",'תחום תמיכה א'!AE365)</f>
        <v/>
      </c>
      <c r="O365" s="178"/>
      <c r="P365" s="349" t="str">
        <f>IF($F365="","",'תחום תמיכה ב'!AC365)</f>
        <v/>
      </c>
      <c r="Q365" s="349" t="str">
        <f>IF($F365="","",IF('תחום תמיכה ג'!O365="",0,'תחום תמיכה ג'!O365))</f>
        <v/>
      </c>
      <c r="R365" s="349" t="str">
        <f t="shared" si="20"/>
        <v/>
      </c>
      <c r="S365" s="349" t="str">
        <f>IF($F365="","",'תחום תמיכה ב'!AE365)</f>
        <v/>
      </c>
      <c r="T365" s="349" t="str">
        <f>IF($F365="","",IF(Q365='תחום תמיכה ג'!$Q$2,'תחום תמיכה ג'!$Q$2,IFERROR(SUMIF(N365:R365,"&gt;0"),'תחום תמיכה ג'!$Q$2)))</f>
        <v/>
      </c>
      <c r="U365" s="349" t="str">
        <f>IF($F365="","",'הזנה לתנאי סף'!Y365)</f>
        <v/>
      </c>
      <c r="V365" s="350" t="str">
        <f>IF(F365="","",'הגבלה לסכום מבוקש '!AA365)</f>
        <v/>
      </c>
      <c r="W365" s="349" t="str">
        <f t="shared" si="21"/>
        <v/>
      </c>
      <c r="X365" s="349" t="str">
        <f>IF(F365="","",'הזנה לתנאי סף'!Z365)</f>
        <v/>
      </c>
      <c r="Y365" s="351" t="s">
        <v>3740</v>
      </c>
      <c r="Z365" s="352" t="str">
        <f>IFERROR(VLOOKUP(G365*1,#REF!,3,0),"")</f>
        <v/>
      </c>
      <c r="AA365" s="349" t="str">
        <f>IF(OR($F365="",Z365=""),"",IFERROR(IF(Z365&gt;V365,MIN(Z365,T365)-V365,0),'תחום תמיכה ג'!$Q$2))</f>
        <v/>
      </c>
      <c r="AB365" s="353"/>
      <c r="AC365" s="260" t="str">
        <f t="shared" si="23"/>
        <v/>
      </c>
      <c r="AD365" s="358"/>
      <c r="AE365" s="180"/>
      <c r="AF365" s="355" t="str">
        <f>IF($C365="","",IFERROR(VLOOKUP($C365,גיליון1!$A:$E,2,0),"לא הגיש בקשה שוטפת"))</f>
        <v/>
      </c>
      <c r="AG365" s="355" t="str">
        <f>IF($C365="","",IFERROR(VLOOKUP($C365,גיליון1!$A:$E,3,0),"לא הגיש בקשה שוטפת"))</f>
        <v/>
      </c>
      <c r="AH365" s="355" t="str">
        <f>IF($C365="","",IFERROR(VLOOKUP($C365,גיליון1!$A:$E,4,0),"לא הגיש בקשה שוטפת"))</f>
        <v/>
      </c>
      <c r="AI365" s="355" t="str">
        <f>IF($C365="","",IFERROR(VLOOKUP($C365,גיליון1!$A:$E,5,0),"לא הגיש בקשה שוטפת"))</f>
        <v/>
      </c>
      <c r="AJ365" s="355">
        <f t="shared" si="22"/>
        <v>0</v>
      </c>
      <c r="AK365" s="15"/>
      <c r="AL365" s="15" t="s">
        <v>250</v>
      </c>
    </row>
    <row r="366" spans="1:38" ht="285.75" x14ac:dyDescent="0.25">
      <c r="A366" s="346">
        <f>'הזנה לתנאי סף'!B366</f>
        <v>336</v>
      </c>
      <c r="B366" s="347" t="str">
        <f>IF($F366="","",'הזנה לתנאי סף'!C366)</f>
        <v/>
      </c>
      <c r="C366" s="347" t="str">
        <f>IF($F366="","",'הזנה לתנאי סף'!D366)</f>
        <v/>
      </c>
      <c r="D366" s="347" t="str">
        <f>IF($F366="","",'הזנה לתנאי סף'!E366)</f>
        <v/>
      </c>
      <c r="E366" s="348" t="str">
        <f>IF($F366="","",'הזנה לתנאי סף'!F366)</f>
        <v/>
      </c>
      <c r="F366" s="348" t="str">
        <f>IF('הזנה לתנאי סף'!BL366=1,'הזנה לתנאי סף'!G366,"")</f>
        <v/>
      </c>
      <c r="G366" s="348" t="str">
        <f>IF($F366="","",'הזנה לתנאי סף'!H366)</f>
        <v/>
      </c>
      <c r="H366" s="348" t="str">
        <f>IF($F366="","",'הזנה לתנאי סף'!I366)</f>
        <v/>
      </c>
      <c r="I366" s="349" t="str">
        <f>IF($F366="","",'הזנה לתנאי סף'!R366)</f>
        <v/>
      </c>
      <c r="J366" s="349" t="str">
        <f>IF($F366="","",'תחום תמיכה א'!P366)</f>
        <v/>
      </c>
      <c r="K366" s="177" t="str">
        <f>IF($F366="","",'הזנה לתנאי סף'!N366)</f>
        <v/>
      </c>
      <c r="L366" s="177" t="str">
        <f>IF($F366="","",'הזנה לתנאי סף'!O366)</f>
        <v/>
      </c>
      <c r="M366" s="177" t="str">
        <f>IF($F366="","",'הזנה לתנאי סף'!Q366)</f>
        <v/>
      </c>
      <c r="N366" s="349" t="str">
        <f>IF($F366="","",'תחום תמיכה א'!AE366)</f>
        <v/>
      </c>
      <c r="O366" s="178"/>
      <c r="P366" s="349" t="str">
        <f>IF($F366="","",'תחום תמיכה ב'!AC366)</f>
        <v/>
      </c>
      <c r="Q366" s="349" t="str">
        <f>IF($F366="","",IF('תחום תמיכה ג'!O366="",0,'תחום תמיכה ג'!O366))</f>
        <v/>
      </c>
      <c r="R366" s="349" t="str">
        <f t="shared" si="20"/>
        <v/>
      </c>
      <c r="S366" s="349" t="str">
        <f>IF($F366="","",'תחום תמיכה ב'!AE366)</f>
        <v/>
      </c>
      <c r="T366" s="349" t="str">
        <f>IF($F366="","",IF(Q366='תחום תמיכה ג'!$Q$2,'תחום תמיכה ג'!$Q$2,IFERROR(SUMIF(N366:R366,"&gt;0"),'תחום תמיכה ג'!$Q$2)))</f>
        <v/>
      </c>
      <c r="U366" s="349" t="str">
        <f>IF($F366="","",'הזנה לתנאי סף'!Y366)</f>
        <v/>
      </c>
      <c r="V366" s="350" t="str">
        <f>IF(F366="","",'הגבלה לסכום מבוקש '!AA366)</f>
        <v/>
      </c>
      <c r="W366" s="349" t="str">
        <f t="shared" si="21"/>
        <v/>
      </c>
      <c r="X366" s="349" t="str">
        <f>IF(F366="","",'הזנה לתנאי סף'!Z366)</f>
        <v/>
      </c>
      <c r="Y366" s="351" t="s">
        <v>3740</v>
      </c>
      <c r="Z366" s="352" t="str">
        <f>IFERROR(VLOOKUP(G366*1,#REF!,3,0),"")</f>
        <v/>
      </c>
      <c r="AA366" s="349" t="str">
        <f>IF(OR($F366="",Z366=""),"",IFERROR(IF(Z366&gt;V366,MIN(Z366,T366)-V366,0),'תחום תמיכה ג'!$Q$2))</f>
        <v/>
      </c>
      <c r="AB366" s="353"/>
      <c r="AC366" s="260" t="str">
        <f t="shared" si="23"/>
        <v/>
      </c>
      <c r="AD366" s="358"/>
      <c r="AE366" s="180"/>
      <c r="AF366" s="355" t="str">
        <f>IF($C366="","",IFERROR(VLOOKUP($C366,גיליון1!$A:$E,2,0),"לא הגיש בקשה שוטפת"))</f>
        <v/>
      </c>
      <c r="AG366" s="355" t="str">
        <f>IF($C366="","",IFERROR(VLOOKUP($C366,גיליון1!$A:$E,3,0),"לא הגיש בקשה שוטפת"))</f>
        <v/>
      </c>
      <c r="AH366" s="355" t="str">
        <f>IF($C366="","",IFERROR(VLOOKUP($C366,גיליון1!$A:$E,4,0),"לא הגיש בקשה שוטפת"))</f>
        <v/>
      </c>
      <c r="AI366" s="355" t="str">
        <f>IF($C366="","",IFERROR(VLOOKUP($C366,גיליון1!$A:$E,5,0),"לא הגיש בקשה שוטפת"))</f>
        <v/>
      </c>
      <c r="AJ366" s="355">
        <f t="shared" si="22"/>
        <v>0</v>
      </c>
      <c r="AK366" s="15"/>
      <c r="AL366" s="15" t="s">
        <v>250</v>
      </c>
    </row>
    <row r="367" spans="1:38" ht="285.75" x14ac:dyDescent="0.25">
      <c r="A367" s="346">
        <f>'הזנה לתנאי סף'!B367</f>
        <v>337</v>
      </c>
      <c r="B367" s="347">
        <f>IF($F367="","",'הזנה לתנאי סף'!C367)</f>
        <v>1001349557</v>
      </c>
      <c r="C367" s="347">
        <f>IF($F367="","",'הזנה לתנאי סף'!D367)</f>
        <v>1001262290</v>
      </c>
      <c r="D367" s="347">
        <f>IF($F367="","",'הזנה לתנאי סף'!E367)</f>
        <v>41099000</v>
      </c>
      <c r="E367" s="348">
        <f>IF($F367="","",'הזנה לתנאי סף'!F367)</f>
        <v>20000159</v>
      </c>
      <c r="F367" s="348" t="str">
        <f>IF('הזנה לתנאי סף'!BL367=1,'הזנה לתנאי סף'!G367,"")</f>
        <v>ירושלים</v>
      </c>
      <c r="G367" s="348" t="str">
        <f>IF($F367="","",'הזנה לתנאי סף'!H367)</f>
        <v>בר-קיימא לתרבות, אמנות, מוסיקה ושלו</v>
      </c>
      <c r="H367" s="348" t="str">
        <f>IF($F367="","",'הזנה לתנאי סף'!I367)</f>
        <v>אחר</v>
      </c>
      <c r="I367" s="349">
        <f>IF($F367="","",'הזנה לתנאי סף'!R367)</f>
        <v>574510</v>
      </c>
      <c r="J367" s="349">
        <f>IF($F367="","",'תחום תמיכה א'!P367)</f>
        <v>556375</v>
      </c>
      <c r="K367" s="177">
        <f>IF($F367="","",'הזנה לתנאי סף'!N367)</f>
        <v>1</v>
      </c>
      <c r="L367" s="177">
        <f>IF($F367="","",'הזנה לתנאי סף'!O367)</f>
        <v>0</v>
      </c>
      <c r="M367" s="177">
        <f>IF($F367="","",'הזנה לתנאי סף'!Q367)</f>
        <v>1</v>
      </c>
      <c r="N367" s="349">
        <f>IF($F367="","",'תחום תמיכה א'!AE367)</f>
        <v>15354.574985739981</v>
      </c>
      <c r="O367" s="178"/>
      <c r="P367" s="349">
        <f>IF($F367="","",'תחום תמיכה ב'!AC367)</f>
        <v>24957.174500341131</v>
      </c>
      <c r="Q367" s="349">
        <f>IF($F367="","",IF('תחום תמיכה ג'!O367="",0,'תחום תמיכה ג'!O367))</f>
        <v>4314.3063339384098</v>
      </c>
      <c r="R367" s="349">
        <f t="shared" si="20"/>
        <v>748.34218133227478</v>
      </c>
      <c r="S367" s="349">
        <f>IF($F367="","",'תחום תמיכה ב'!AE367)</f>
        <v>25705.516681673405</v>
      </c>
      <c r="T367" s="349">
        <f>IF($F367="","",IF(Q367='תחום תמיכה ג'!$Q$2,'תחום תמיכה ג'!$Q$2,IFERROR(SUMIF(N367:R367,"&gt;0"),'תחום תמיכה ג'!$Q$2)))</f>
        <v>45374.398001351801</v>
      </c>
      <c r="U367" s="349">
        <f>IF($F367="","",'הזנה לתנאי סף'!Y367)</f>
        <v>463494</v>
      </c>
      <c r="V367" s="350">
        <f>IF(F367="","",'הגבלה לסכום מבוקש '!AA367)</f>
        <v>49657.661159776304</v>
      </c>
      <c r="W367" s="349">
        <f t="shared" si="21"/>
        <v>12414.415289944076</v>
      </c>
      <c r="X367" s="349">
        <f>IF(F367="","",'הזנה לתנאי סף'!Z367)</f>
        <v>463494</v>
      </c>
      <c r="Y367" s="351" t="s">
        <v>3740</v>
      </c>
      <c r="Z367" s="352" t="str">
        <f>IFERROR(VLOOKUP(G367*1,#REF!,3,0),"")</f>
        <v/>
      </c>
      <c r="AA367" s="349" t="str">
        <f>IF(OR($F367="",Z367=""),"",IFERROR(IF(Z367&gt;V367,MIN(Z367,T367)-V367,0),'תחום תמיכה ג'!$Q$2))</f>
        <v/>
      </c>
      <c r="AB367" s="353"/>
      <c r="AC367" s="260" t="str">
        <f t="shared" si="23"/>
        <v/>
      </c>
      <c r="AD367" s="358"/>
      <c r="AE367" s="180"/>
      <c r="AF367" s="355" t="str">
        <f>IF($C367="","",IFERROR(VLOOKUP($C367,גיליון1!$A:$E,2,0),"לא הגיש בקשה שוטפת"))</f>
        <v>תזמורת הרחוב הירושלמית - שוטף</v>
      </c>
      <c r="AG367" s="355" t="str">
        <f>IF($C367="","",IFERROR(VLOOKUP($C367,גיליון1!$A:$E,3,0),"לא הגיש בקשה שוטפת"))</f>
        <v>חויב</v>
      </c>
      <c r="AH367" s="355" t="str">
        <f>IF($C367="","",IFERROR(VLOOKUP($C367,גיליון1!$A:$E,4,0),"לא הגיש בקשה שוטפת"))</f>
        <v>19-42-02-16</v>
      </c>
      <c r="AI367" s="355" t="str">
        <f>IF($C367="","",IFERROR(VLOOKUP($C367,גיליון1!$A:$E,5,0),"לא הגיש בקשה שוטפת"))</f>
        <v>מוסיקה</v>
      </c>
      <c r="AJ367" s="355">
        <f t="shared" si="22"/>
        <v>0</v>
      </c>
      <c r="AK367" s="15"/>
      <c r="AL367" s="15" t="s">
        <v>250</v>
      </c>
    </row>
    <row r="368" spans="1:38" ht="285.75" x14ac:dyDescent="0.25">
      <c r="A368" s="346">
        <f>'הזנה לתנאי סף'!B368</f>
        <v>338</v>
      </c>
      <c r="B368" s="347">
        <f>IF($F368="","",'הזנה לתנאי סף'!C368)</f>
        <v>1001349558</v>
      </c>
      <c r="C368" s="347">
        <f>IF($F368="","",'הזנה לתנאי סף'!D368)</f>
        <v>1001262294</v>
      </c>
      <c r="D368" s="347">
        <f>IF($F368="","",'הזנה לתנאי סף'!E368)</f>
        <v>41099000</v>
      </c>
      <c r="E368" s="348">
        <f>IF($F368="","",'הזנה לתנאי סף'!F368)</f>
        <v>20000159</v>
      </c>
      <c r="F368" s="348" t="str">
        <f>IF('הזנה לתנאי סף'!BL368=1,'הזנה לתנאי סף'!G368,"")</f>
        <v>ירושלים</v>
      </c>
      <c r="G368" s="348" t="str">
        <f>IF($F368="","",'הזנה לתנאי סף'!H368)</f>
        <v>בר-קיימא לתרבות, אמנות, מוסיקה ושלו</v>
      </c>
      <c r="H368" s="348" t="str">
        <f>IF($F368="","",'הזנה לתנאי סף'!I368)</f>
        <v>אחר</v>
      </c>
      <c r="I368" s="349">
        <f>IF($F368="","",'הזנה לתנאי סף'!R368)</f>
        <v>333818</v>
      </c>
      <c r="J368" s="349">
        <f>IF($F368="","",'תחום תמיכה א'!P368)</f>
        <v>261344</v>
      </c>
      <c r="K368" s="177">
        <f>IF($F368="","",'הזנה לתנאי סף'!N368)</f>
        <v>1</v>
      </c>
      <c r="L368" s="177">
        <f>IF($F368="","",'הזנה לתנאי סף'!O368)</f>
        <v>0</v>
      </c>
      <c r="M368" s="177">
        <f>IF($F368="","",'הזנה לתנאי סף'!Q368)</f>
        <v>1</v>
      </c>
      <c r="N368" s="349">
        <f>IF($F368="","",'תחום תמיכה א'!AE368)</f>
        <v>9703.7195668298864</v>
      </c>
      <c r="O368" s="178"/>
      <c r="P368" s="349">
        <f>IF($F368="","",'תחום תמיכה ב'!AC368)</f>
        <v>25091.672515710285</v>
      </c>
      <c r="Q368" s="349">
        <f>IF($F368="","",IF('תחום תמיכה ג'!O368="",0,'תחום תמיכה ג'!O368))</f>
        <v>4337.5567880153067</v>
      </c>
      <c r="R368" s="349">
        <f t="shared" si="20"/>
        <v>752.37511135024761</v>
      </c>
      <c r="S368" s="349">
        <f>IF($F368="","",'תחום תמיכה ב'!AE368)</f>
        <v>25844.047627060532</v>
      </c>
      <c r="T368" s="349">
        <f>IF($F368="","",IF(Q368='תחום תמיכה ג'!$Q$2,'תחום תמיכה ג'!$Q$2,IFERROR(SUMIF(N368:R368,"&gt;0"),'תחום תמיכה ג'!$Q$2)))</f>
        <v>39885.323981905734</v>
      </c>
      <c r="U368" s="349">
        <f>IF($F368="","",'הזנה לתנאי סף'!Y368)</f>
        <v>356384</v>
      </c>
      <c r="V368" s="350">
        <f>IF(F368="","",'הגבלה לסכום מבוקש '!AA368)</f>
        <v>44189.059636874867</v>
      </c>
      <c r="W368" s="349">
        <f t="shared" si="21"/>
        <v>11047.264909218717</v>
      </c>
      <c r="X368" s="349">
        <f>IF(F368="","",'הזנה לתנאי סף'!Z368)</f>
        <v>1</v>
      </c>
      <c r="Y368" s="351" t="s">
        <v>3740</v>
      </c>
      <c r="Z368" s="352" t="str">
        <f>IFERROR(VLOOKUP(G368*1,#REF!,3,0),"")</f>
        <v/>
      </c>
      <c r="AA368" s="349" t="str">
        <f>IF(OR($F368="",Z368=""),"",IFERROR(IF(Z368&gt;V368,MIN(Z368,T368)-V368,0),'תחום תמיכה ג'!$Q$2))</f>
        <v/>
      </c>
      <c r="AB368" s="353"/>
      <c r="AC368" s="260" t="str">
        <f t="shared" si="23"/>
        <v/>
      </c>
      <c r="AD368" s="358"/>
      <c r="AE368" s="180"/>
      <c r="AF368" s="355" t="str">
        <f>IF($C368="","",IFERROR(VLOOKUP($C368,גיליון1!$A:$E,2,0),"לא הגיש בקשה שוטפת"))</f>
        <v>ליריק-אופרה - כיתות אמן בינ"ל</v>
      </c>
      <c r="AG368" s="355" t="str">
        <f>IF($C368="","",IFERROR(VLOOKUP($C368,גיליון1!$A:$E,3,0),"לא הגיש בקשה שוטפת"))</f>
        <v>טיוט</v>
      </c>
      <c r="AH368" s="355" t="str">
        <f>IF($C368="","",IFERROR(VLOOKUP($C368,גיליון1!$A:$E,4,0),"לא הגיש בקשה שוטפת"))</f>
        <v>19-42-02-16</v>
      </c>
      <c r="AI368" s="355" t="str">
        <f>IF($C368="","",IFERROR(VLOOKUP($C368,גיליון1!$A:$E,5,0),"לא הגיש בקשה שוטפת"))</f>
        <v>מוסיקה</v>
      </c>
      <c r="AJ368" s="355">
        <f t="shared" si="22"/>
        <v>0</v>
      </c>
      <c r="AK368" s="15"/>
      <c r="AL368" s="15" t="s">
        <v>250</v>
      </c>
    </row>
    <row r="369" spans="1:38" ht="285.75" x14ac:dyDescent="0.25">
      <c r="A369" s="346">
        <f>'הזנה לתנאי סף'!B369</f>
        <v>339</v>
      </c>
      <c r="B369" s="347">
        <f>IF($F369="","",'הזנה לתנאי סף'!C369)</f>
        <v>1001349559</v>
      </c>
      <c r="C369" s="347">
        <f>IF($F369="","",'הזנה לתנאי סף'!D369)</f>
        <v>1001262292</v>
      </c>
      <c r="D369" s="347">
        <f>IF($F369="","",'הזנה לתנאי סף'!E369)</f>
        <v>41099000</v>
      </c>
      <c r="E369" s="348">
        <f>IF($F369="","",'הזנה לתנאי סף'!F369)</f>
        <v>20000159</v>
      </c>
      <c r="F369" s="348" t="str">
        <f>IF('הזנה לתנאי סף'!BL369=1,'הזנה לתנאי סף'!G369,"")</f>
        <v>ירושלים</v>
      </c>
      <c r="G369" s="348" t="str">
        <f>IF($F369="","",'הזנה לתנאי סף'!H369)</f>
        <v>בר-קיימא לתרבות, אמנות, מוסיקה ושלו</v>
      </c>
      <c r="H369" s="348" t="str">
        <f>IF($F369="","",'הזנה לתנאי סף'!I369)</f>
        <v>סינמטקים ופסטיבלים</v>
      </c>
      <c r="I369" s="349">
        <f>IF($F369="","",'הזנה לתנאי סף'!R369)</f>
        <v>362717</v>
      </c>
      <c r="J369" s="349">
        <f>IF($F369="","",'תחום תמיכה א'!P369)</f>
        <v>404256</v>
      </c>
      <c r="K369" s="177">
        <f>IF($F369="","",'הזנה לתנאי סף'!N369)</f>
        <v>0</v>
      </c>
      <c r="L369" s="177">
        <f>IF($F369="","",'הזנה לתנאי סף'!O369)</f>
        <v>1</v>
      </c>
      <c r="M369" s="177">
        <f>IF($F369="","",'הזנה לתנאי סף'!Q369)</f>
        <v>1</v>
      </c>
      <c r="N369" s="349">
        <f>IF($F369="","",'תחום תמיכה א'!AE369)</f>
        <v>22098.452939566014</v>
      </c>
      <c r="O369" s="178"/>
      <c r="P369" s="349">
        <f>IF($F369="","",'תחום תמיכה ב'!AC369)</f>
        <v>61821.01651708861</v>
      </c>
      <c r="Q369" s="349">
        <f>IF($F369="","",IF('תחום תמיכה ג'!O369="",0,'תחום תמיכה ג'!O369))</f>
        <v>0</v>
      </c>
      <c r="R369" s="349">
        <f t="shared" si="20"/>
        <v>1853.7064102326331</v>
      </c>
      <c r="S369" s="349">
        <f>IF($F369="","",'תחום תמיכה ב'!AE369)</f>
        <v>63674.722927321243</v>
      </c>
      <c r="T369" s="349">
        <f>IF($F369="","",IF(Q369='תחום תמיכה ג'!$Q$2,'תחום תמיכה ג'!$Q$2,IFERROR(SUMIF(N369:R369,"&gt;0"),'תחום תמיכה ג'!$Q$2)))</f>
        <v>85773.175866887264</v>
      </c>
      <c r="U369" s="349">
        <f>IF($F369="","",'הזנה לתנאי סף'!Y369)</f>
        <v>1892853</v>
      </c>
      <c r="V369" s="350">
        <f>IF(F369="","",'הגבלה לסכום מבוקש '!AA369)</f>
        <v>96371.056148741278</v>
      </c>
      <c r="W369" s="349">
        <f t="shared" si="21"/>
        <v>24092.764037185319</v>
      </c>
      <c r="X369" s="349">
        <f>IF(F369="","",'הזנה לתנאי סף'!Z369)</f>
        <v>1</v>
      </c>
      <c r="Y369" s="351" t="s">
        <v>3740</v>
      </c>
      <c r="Z369" s="352" t="str">
        <f>IFERROR(VLOOKUP(G369*1,#REF!,3,0),"")</f>
        <v/>
      </c>
      <c r="AA369" s="349" t="str">
        <f>IF(OR($F369="",Z369=""),"",IFERROR(IF(Z369&gt;V369,MIN(Z369,T369)-V369,0),'תחום תמיכה ג'!$Q$2))</f>
        <v/>
      </c>
      <c r="AB369" s="353"/>
      <c r="AC369" s="260" t="str">
        <f t="shared" si="23"/>
        <v/>
      </c>
      <c r="AD369" s="358"/>
      <c r="AE369" s="180"/>
      <c r="AF369" s="355" t="str">
        <f>IF($C369="","",IFERROR(VLOOKUP($C369,גיליון1!$A:$E,2,0),"לא הגיש בקשה שוטפת"))</f>
        <v>מזקקה - מרכז תרבות ומוזיקה בירושלים</v>
      </c>
      <c r="AG369" s="355" t="str">
        <f>IF($C369="","",IFERROR(VLOOKUP($C369,גיליון1!$A:$E,3,0),"לא הגיש בקשה שוטפת"))</f>
        <v>מועד</v>
      </c>
      <c r="AH369" s="355" t="str">
        <f>IF($C369="","",IFERROR(VLOOKUP($C369,גיליון1!$A:$E,4,0),"לא הגיש בקשה שוטפת"))</f>
        <v>19-42-02-16</v>
      </c>
      <c r="AI369" s="355" t="str">
        <f>IF($C369="","",IFERROR(VLOOKUP($C369,גיליון1!$A:$E,5,0),"לא הגיש בקשה שוטפת"))</f>
        <v>מוסיקה</v>
      </c>
      <c r="AJ369" s="355">
        <f t="shared" si="22"/>
        <v>0</v>
      </c>
      <c r="AK369" s="15"/>
      <c r="AL369" s="15" t="s">
        <v>250</v>
      </c>
    </row>
    <row r="370" spans="1:38" ht="285.75" x14ac:dyDescent="0.25">
      <c r="A370" s="346">
        <f>'הזנה לתנאי סף'!B370</f>
        <v>340</v>
      </c>
      <c r="B370" s="347">
        <f>IF($F370="","",'הזנה לתנאי סף'!C370)</f>
        <v>1001349660</v>
      </c>
      <c r="C370" s="347">
        <f>IF($F370="","",'הזנה לתנאי סף'!D370)</f>
        <v>1001262293</v>
      </c>
      <c r="D370" s="347">
        <f>IF($F370="","",'הזנה לתנאי סף'!E370)</f>
        <v>41099000</v>
      </c>
      <c r="E370" s="348">
        <f>IF($F370="","",'הזנה לתנאי סף'!F370)</f>
        <v>20000159</v>
      </c>
      <c r="F370" s="348" t="str">
        <f>IF('הזנה לתנאי סף'!BL370=1,'הזנה לתנאי סף'!G370,"")</f>
        <v>ירושלים</v>
      </c>
      <c r="G370" s="348" t="str">
        <f>IF($F370="","",'הזנה לתנאי סף'!H370)</f>
        <v>בר-קיימא לתרבות, אמנות, מוסיקה ושלו</v>
      </c>
      <c r="H370" s="348" t="str">
        <f>IF($F370="","",'הזנה לתנאי סף'!I370)</f>
        <v>סינמטקים ופסטיבלים</v>
      </c>
      <c r="I370" s="349">
        <f>IF($F370="","",'הזנה לתנאי סף'!R370)</f>
        <v>29480</v>
      </c>
      <c r="J370" s="349">
        <f>IF($F370="","",'תחום תמיכה א'!P370)</f>
        <v>29480</v>
      </c>
      <c r="K370" s="177">
        <f>IF($F370="","",'הזנה לתנאי סף'!N370)</f>
        <v>0</v>
      </c>
      <c r="L370" s="177">
        <f>IF($F370="","",'הזנה לתנאי סף'!O370)</f>
        <v>1</v>
      </c>
      <c r="M370" s="177">
        <f>IF($F370="","",'הזנה לתנאי סף'!Q370)</f>
        <v>1</v>
      </c>
      <c r="N370" s="349">
        <f>IF($F370="","",'תחום תמיכה א'!AE370)</f>
        <v>1611.5095203494971</v>
      </c>
      <c r="O370" s="178"/>
      <c r="P370" s="349">
        <f>IF($F370="","",'תחום תמיכה ב'!AC370)</f>
        <v>5024.5330848120493</v>
      </c>
      <c r="Q370" s="349">
        <f>IF($F370="","",IF('תחום תמיכה ג'!O370="",0,'תחום תמיכה ג'!O370))</f>
        <v>0</v>
      </c>
      <c r="R370" s="349">
        <f t="shared" si="20"/>
        <v>150.66088706528171</v>
      </c>
      <c r="S370" s="349">
        <f>IF($F370="","",'תחום תמיכה ב'!AE370)</f>
        <v>5175.193971877331</v>
      </c>
      <c r="T370" s="349">
        <f>IF($F370="","",IF(Q370='תחום תמיכה ג'!$Q$2,'תחום תמיכה ג'!$Q$2,IFERROR(SUMIF(N370:R370,"&gt;0"),'תחום תמיכה ג'!$Q$2)))</f>
        <v>6786.7034922268285</v>
      </c>
      <c r="U370" s="349">
        <f>IF($F370="","",'הזנה לתנאי סף'!Y370)</f>
        <v>856695</v>
      </c>
      <c r="V370" s="350">
        <f>IF(F370="","",'הגבלה לסכום מבוקש '!AA370)</f>
        <v>7647.9673175623147</v>
      </c>
      <c r="W370" s="349">
        <f t="shared" si="21"/>
        <v>1911.9918293905787</v>
      </c>
      <c r="X370" s="349">
        <f>IF(F370="","",'הזנה לתנאי סף'!Z370)</f>
        <v>856695</v>
      </c>
      <c r="Y370" s="351" t="s">
        <v>3740</v>
      </c>
      <c r="Z370" s="352" t="str">
        <f>IFERROR(VLOOKUP(G370*1,#REF!,3,0),"")</f>
        <v/>
      </c>
      <c r="AA370" s="349" t="str">
        <f>IF(OR($F370="",Z370=""),"",IFERROR(IF(Z370&gt;V370,MIN(Z370,T370)-V370,0),'תחום תמיכה ג'!$Q$2))</f>
        <v/>
      </c>
      <c r="AB370" s="353"/>
      <c r="AC370" s="260" t="str">
        <f t="shared" si="23"/>
        <v/>
      </c>
      <c r="AD370" s="358"/>
      <c r="AE370" s="180"/>
      <c r="AF370" s="355" t="str">
        <f>IF($C370="","",IFERROR(VLOOKUP($C370,גיליון1!$A:$E,2,0),"לא הגיש בקשה שוטפת"))</f>
        <v>פסטיבל זיקוק</v>
      </c>
      <c r="AG370" s="355" t="str">
        <f>IF($C370="","",IFERROR(VLOOKUP($C370,גיליון1!$A:$E,3,0),"לא הגיש בקשה שוטפת"))</f>
        <v>טיוט</v>
      </c>
      <c r="AH370" s="355" t="str">
        <f>IF($C370="","",IFERROR(VLOOKUP($C370,גיליון1!$A:$E,4,0),"לא הגיש בקשה שוטפת"))</f>
        <v>19-42-02-26</v>
      </c>
      <c r="AI370" s="355" t="str">
        <f>IF($C370="","",IFERROR(VLOOKUP($C370,גיליון1!$A:$E,5,0),"לא הגיש בקשה שוטפת"))</f>
        <v>פסטיבלים לתרבות</v>
      </c>
      <c r="AJ370" s="355">
        <f t="shared" si="22"/>
        <v>0</v>
      </c>
      <c r="AK370" s="15"/>
      <c r="AL370" s="15" t="s">
        <v>250</v>
      </c>
    </row>
    <row r="371" spans="1:38" ht="285.75" x14ac:dyDescent="0.25">
      <c r="A371" s="346">
        <f>'הזנה לתנאי סף'!B371</f>
        <v>341</v>
      </c>
      <c r="B371" s="347">
        <f>IF($F371="","",'הזנה לתנאי סף'!C371)</f>
        <v>1001346562</v>
      </c>
      <c r="C371" s="347">
        <f>IF($F371="","",'הזנה לתנאי סף'!D371)</f>
        <v>1001268829</v>
      </c>
      <c r="D371" s="347">
        <f>IF($F371="","",'הזנה לתנאי סף'!E371)</f>
        <v>40371504</v>
      </c>
      <c r="E371" s="348">
        <f>IF($F371="","",'הזנה לתנאי סף'!F371)</f>
        <v>20000253</v>
      </c>
      <c r="F371" s="348" t="str">
        <f>IF('הזנה לתנאי סף'!BL371=1,'הזנה לתנאי סף'!G371,"")</f>
        <v>טמרה</v>
      </c>
      <c r="G371" s="348" t="str">
        <f>IF($F371="","",'הזנה לתנאי סף'!H371)</f>
        <v>סינמה דרמה (ע"ר)</v>
      </c>
      <c r="H371" s="348" t="str">
        <f>IF($F371="","",'הזנה לתנאי סף'!I371)</f>
        <v>תיאטרון</v>
      </c>
      <c r="I371" s="349">
        <f>IF($F371="","",'הזנה לתנאי סף'!R371)</f>
        <v>1403024</v>
      </c>
      <c r="J371" s="349">
        <f>IF($F371="","",'תחום תמיכה א'!P371)</f>
        <v>1112468</v>
      </c>
      <c r="K371" s="177">
        <f>IF($F371="","",'הזנה לתנאי סף'!N371)</f>
        <v>0</v>
      </c>
      <c r="L371" s="177">
        <f>IF($F371="","",'הזנה לתנאי סף'!O371)</f>
        <v>1</v>
      </c>
      <c r="M371" s="177">
        <f>IF($F371="","",'הזנה לתנאי סף'!Q371)</f>
        <v>1</v>
      </c>
      <c r="N371" s="349">
        <f>IF($F371="","",'תחום תמיכה א'!AE371)</f>
        <v>26125.005850495389</v>
      </c>
      <c r="O371" s="178"/>
      <c r="P371" s="349">
        <f>IF($F371="","",'תחום תמיכה ב'!AC371)</f>
        <v>44132.677476826429</v>
      </c>
      <c r="Q371" s="349">
        <f>IF($F371="","",IF('תחום תמיכה ג'!O371="",0,'תחום תמיכה ג'!O371))</f>
        <v>0</v>
      </c>
      <c r="R371" s="349">
        <f t="shared" si="20"/>
        <v>1323.3206399462651</v>
      </c>
      <c r="S371" s="349">
        <f>IF($F371="","",'תחום תמיכה ב'!AE371)</f>
        <v>45455.998116772695</v>
      </c>
      <c r="T371" s="349">
        <f>IF($F371="","",IF(Q371='תחום תמיכה ג'!$Q$2,'תחום תמיכה ג'!$Q$2,IFERROR(SUMIF(N371:R371,"&gt;0"),'תחום תמיכה ג'!$Q$2)))</f>
        <v>71581.003967268087</v>
      </c>
      <c r="U371" s="349">
        <f>IF($F371="","",'הזנה לתנאי סף'!Y371)</f>
        <v>1200000</v>
      </c>
      <c r="V371" s="350">
        <f>IF(F371="","",'הגבלה לסכום מבוקש '!AA371)</f>
        <v>79151.312276840123</v>
      </c>
      <c r="W371" s="349">
        <f t="shared" si="21"/>
        <v>19787.828069210031</v>
      </c>
      <c r="X371" s="349">
        <f>IF(F371="","",'הזנה לתנאי סף'!Z371)</f>
        <v>600000</v>
      </c>
      <c r="Y371" s="351" t="s">
        <v>3740</v>
      </c>
      <c r="Z371" s="352" t="str">
        <f>IFERROR(VLOOKUP(G371*1,#REF!,3,0),"")</f>
        <v/>
      </c>
      <c r="AA371" s="349" t="str">
        <f>IF(OR($F371="",Z371=""),"",IFERROR(IF(Z371&gt;V371,MIN(Z371,T371)-V371,0),'תחום תמיכה ג'!$Q$2))</f>
        <v/>
      </c>
      <c r="AB371" s="353"/>
      <c r="AC371" s="260" t="str">
        <f t="shared" si="23"/>
        <v/>
      </c>
      <c r="AD371" s="358"/>
      <c r="AE371" s="180"/>
      <c r="AF371" s="355" t="str">
        <f>IF($C371="","",IFERROR(VLOOKUP($C371,גיליון1!$A:$E,2,0),"לא הגיש בקשה שוטפת"))</f>
        <v>שוטף</v>
      </c>
      <c r="AG371" s="355" t="str">
        <f>IF($C371="","",IFERROR(VLOOKUP($C371,גיליון1!$A:$E,3,0),"לא הגיש בקשה שוטפת"))</f>
        <v>מועד</v>
      </c>
      <c r="AH371" s="355" t="str">
        <f>IF($C371="","",IFERROR(VLOOKUP($C371,גיליון1!$A:$E,4,0),"לא הגיש בקשה שוטפת"))</f>
        <v>19-42-02-33</v>
      </c>
      <c r="AI371" s="355" t="str">
        <f>IF($C371="","",IFERROR(VLOOKUP($C371,גיליון1!$A:$E,5,0),"לא הגיש בקשה שוטפת"))</f>
        <v>תרבות ערבית ודרוזית</v>
      </c>
      <c r="AJ371" s="355">
        <f t="shared" si="22"/>
        <v>0</v>
      </c>
      <c r="AK371" s="15"/>
      <c r="AL371" s="15" t="s">
        <v>250</v>
      </c>
    </row>
    <row r="372" spans="1:38" ht="285.75" x14ac:dyDescent="0.25">
      <c r="A372" s="346">
        <f>'הזנה לתנאי סף'!B372</f>
        <v>342</v>
      </c>
      <c r="B372" s="347">
        <f>IF($F372="","",'הזנה לתנאי סף'!C372)</f>
        <v>1001349210</v>
      </c>
      <c r="C372" s="347">
        <f>IF($F372="","",'הזנה לתנאי סף'!D372)</f>
        <v>1001288841</v>
      </c>
      <c r="D372" s="347">
        <f>IF($F372="","",'הזנה לתנאי סף'!E372)</f>
        <v>40465932</v>
      </c>
      <c r="E372" s="348">
        <f>IF($F372="","",'הזנה לתנאי סף'!F372)</f>
        <v>20000159</v>
      </c>
      <c r="F372" s="348" t="str">
        <f>IF('הזנה לתנאי סף'!BL372=1,'הזנה לתנאי סף'!G372,"")</f>
        <v>ירושלים</v>
      </c>
      <c r="G372" s="348" t="str">
        <f>IF($F372="","",'הזנה לתנאי סף'!H372)</f>
        <v>תיאטרון האינקובטור (ע"ר)</v>
      </c>
      <c r="H372" s="348" t="str">
        <f>IF($F372="","",'הזנה לתנאי סף'!I372)</f>
        <v>תיאטרון</v>
      </c>
      <c r="I372" s="349">
        <f>IF($F372="","",'הזנה לתנאי סף'!R372)</f>
        <v>5829172</v>
      </c>
      <c r="J372" s="349">
        <f>IF($F372="","",'תחום תמיכה א'!P372)</f>
        <v>5804058</v>
      </c>
      <c r="K372" s="177">
        <f>IF($F372="","",'הזנה לתנאי סף'!N372)</f>
        <v>1</v>
      </c>
      <c r="L372" s="177">
        <f>IF($F372="","",'הזנה לתנאי סף'!O372)</f>
        <v>0</v>
      </c>
      <c r="M372" s="177">
        <f>IF($F372="","",'הזנה לתנאי סף'!Q372)</f>
        <v>1</v>
      </c>
      <c r="N372" s="349">
        <f>IF($F372="","",'תחום תמיכה א'!AE372)</f>
        <v>142444.31174344601</v>
      </c>
      <c r="O372" s="178"/>
      <c r="P372" s="349">
        <f>IF($F372="","",'תחום תמיכה ב'!AC372)</f>
        <v>200258.53899057989</v>
      </c>
      <c r="Q372" s="349">
        <f>IF($F372="","",IF('תחום תמיכה ג'!O372="",0,'תחום תמיכה ג'!O372))</f>
        <v>34618.36928617466</v>
      </c>
      <c r="R372" s="349">
        <f t="shared" si="20"/>
        <v>6004.7627545568685</v>
      </c>
      <c r="S372" s="349">
        <f>IF($F372="","",'תחום תמיכה ב'!AE372)</f>
        <v>206263.30174513676</v>
      </c>
      <c r="T372" s="349">
        <f>IF($F372="","",IF(Q372='תחום תמיכה ג'!$Q$2,'תחום תמיכה ג'!$Q$2,IFERROR(SUMIF(N372:R372,"&gt;0"),'תחום תמיכה ג'!$Q$2)))</f>
        <v>383325.98277475743</v>
      </c>
      <c r="U372" s="349">
        <f>IF($F372="","",'הזנה לתנאי סף'!Y372)</f>
        <v>800000</v>
      </c>
      <c r="V372" s="350">
        <f>IF(F372="","",'הגבלה לסכום מבוקש '!AA372)</f>
        <v>417704.01842914504</v>
      </c>
      <c r="W372" s="349">
        <f t="shared" si="21"/>
        <v>104426.00460728626</v>
      </c>
      <c r="X372" s="349">
        <f>IF(F372="","",'הזנה לתנאי סף'!Z372)</f>
        <v>1</v>
      </c>
      <c r="Y372" s="351" t="s">
        <v>3740</v>
      </c>
      <c r="Z372" s="352" t="str">
        <f>IFERROR(VLOOKUP(G372*1,#REF!,3,0),"")</f>
        <v/>
      </c>
      <c r="AA372" s="349" t="str">
        <f>IF(OR($F372="",Z372=""),"",IFERROR(IF(Z372&gt;V372,MIN(Z372,T372)-V372,0),'תחום תמיכה ג'!$Q$2))</f>
        <v/>
      </c>
      <c r="AB372" s="353"/>
      <c r="AC372" s="260" t="str">
        <f t="shared" si="23"/>
        <v/>
      </c>
      <c r="AD372" s="358"/>
      <c r="AE372" s="180"/>
      <c r="AF372" s="355" t="str">
        <f>IF($C372="","",IFERROR(VLOOKUP($C372,גיליון1!$A:$E,2,0),"לא הגיש בקשה שוטפת"))</f>
        <v>בקשה לתמיכה שוטפת-תיאטרון האינקובטור</v>
      </c>
      <c r="AG372" s="355" t="str">
        <f>IF($C372="","",IFERROR(VLOOKUP($C372,גיליון1!$A:$E,3,0),"לא הגיש בקשה שוטפת"))</f>
        <v>חויב</v>
      </c>
      <c r="AH372" s="355" t="str">
        <f>IF($C372="","",IFERROR(VLOOKUP($C372,גיליון1!$A:$E,4,0),"לא הגיש בקשה שוטפת"))</f>
        <v>19-42-02-07</v>
      </c>
      <c r="AI372" s="355" t="str">
        <f>IF($C372="","",IFERROR(VLOOKUP($C372,גיליון1!$A:$E,5,0),"לא הגיש בקשה שוטפת"))</f>
        <v>תיאטרון</v>
      </c>
      <c r="AJ372" s="355">
        <f t="shared" si="22"/>
        <v>0</v>
      </c>
      <c r="AK372" s="15"/>
      <c r="AL372" s="15" t="s">
        <v>250</v>
      </c>
    </row>
    <row r="373" spans="1:38" ht="285.75" x14ac:dyDescent="0.25">
      <c r="A373" s="346">
        <f>'הזנה לתנאי סף'!B373</f>
        <v>343</v>
      </c>
      <c r="B373" s="347">
        <f>IF($F373="","",'הזנה לתנאי סף'!C373)</f>
        <v>1001349220</v>
      </c>
      <c r="C373" s="347">
        <f>IF($F373="","",'הזנה לתנאי סף'!D373)</f>
        <v>1001280749</v>
      </c>
      <c r="D373" s="347">
        <f>IF($F373="","",'הזנה לתנאי סף'!E373)</f>
        <v>40465932</v>
      </c>
      <c r="E373" s="348">
        <f>IF($F373="","",'הזנה לתנאי סף'!F373)</f>
        <v>20000159</v>
      </c>
      <c r="F373" s="348" t="str">
        <f>IF('הזנה לתנאי סף'!BL373=1,'הזנה לתנאי סף'!G373,"")</f>
        <v>ירושלים</v>
      </c>
      <c r="G373" s="348" t="str">
        <f>IF($F373="","",'הזנה לתנאי סף'!H373)</f>
        <v>תיאטרון האינקובטור (ע"ר)</v>
      </c>
      <c r="H373" s="348" t="str">
        <f>IF($F373="","",'הזנה לתנאי סף'!I373)</f>
        <v>ספרות</v>
      </c>
      <c r="I373" s="349">
        <f>IF($F373="","",'הזנה לתנאי סף'!R373)</f>
        <v>2338931</v>
      </c>
      <c r="J373" s="349">
        <f>IF($F373="","",'תחום תמיכה א'!P373)</f>
        <v>2348508</v>
      </c>
      <c r="K373" s="177">
        <f>IF($F373="","",'הזנה לתנאי סף'!N373)</f>
        <v>1</v>
      </c>
      <c r="L373" s="177">
        <f>IF($F373="","",'הזנה לתנאי סף'!O373)</f>
        <v>0</v>
      </c>
      <c r="M373" s="177">
        <f>IF($F373="","",'הזנה לתנאי סף'!Q373)</f>
        <v>1</v>
      </c>
      <c r="N373" s="349">
        <f>IF($F373="","",'תחום תמיכה א'!AE373)</f>
        <v>95074.878510884388</v>
      </c>
      <c r="O373" s="178"/>
      <c r="P373" s="349">
        <f>IF($F373="","",'תחום תמיכה ב'!AC373)</f>
        <v>218636.32500280606</v>
      </c>
      <c r="Q373" s="349">
        <f>IF($F373="","",IF('תחום תמיכה ג'!O373="",0,'תחום תמיכה ג'!O373))</f>
        <v>37795.307388491827</v>
      </c>
      <c r="R373" s="349">
        <f t="shared" si="20"/>
        <v>6555.8216283191869</v>
      </c>
      <c r="S373" s="349">
        <f>IF($F373="","",'תחום תמיכה ב'!AE373)</f>
        <v>225192.14663112524</v>
      </c>
      <c r="T373" s="349">
        <f>IF($F373="","",IF(Q373='תחום תמיכה ג'!$Q$2,'תחום תמיכה ג'!$Q$2,IFERROR(SUMIF(N373:R373,"&gt;0"),'תחום תמיכה ג'!$Q$2)))</f>
        <v>358062.33253050142</v>
      </c>
      <c r="U373" s="349">
        <f>IF($F373="","",'הזנה לתנאי סף'!Y373)</f>
        <v>500000</v>
      </c>
      <c r="V373" s="350">
        <f>IF(F373="","",'הגבלה לסכום מבוקש '!AA373)</f>
        <v>395567.73014556844</v>
      </c>
      <c r="W373" s="349">
        <f t="shared" si="21"/>
        <v>98891.932536392109</v>
      </c>
      <c r="X373" s="349">
        <f>IF(F373="","",'הזנה לתנאי סף'!Z373)</f>
        <v>1</v>
      </c>
      <c r="Y373" s="351" t="s">
        <v>3740</v>
      </c>
      <c r="Z373" s="352" t="str">
        <f>IFERROR(VLOOKUP(G373*1,#REF!,3,0),"")</f>
        <v/>
      </c>
      <c r="AA373" s="349" t="str">
        <f>IF(OR($F373="",Z373=""),"",IFERROR(IF(Z373&gt;V373,MIN(Z373,T373)-V373,0),'תחום תמיכה ג'!$Q$2))</f>
        <v/>
      </c>
      <c r="AB373" s="353"/>
      <c r="AC373" s="260" t="str">
        <f t="shared" si="23"/>
        <v/>
      </c>
      <c r="AD373" s="358"/>
      <c r="AE373" s="180"/>
      <c r="AF373" s="355" t="str">
        <f>IF($C373="","",IFERROR(VLOOKUP($C373,גיליון1!$A:$E,2,0),"לא הגיש בקשה שוטפת"))</f>
        <v>ערבי שירה-לעידוד השירה ומשוררים צעירים</v>
      </c>
      <c r="AG373" s="355" t="str">
        <f>IF($C373="","",IFERROR(VLOOKUP($C373,גיליון1!$A:$E,3,0),"לא הגיש בקשה שוטפת"))</f>
        <v>מועד</v>
      </c>
      <c r="AH373" s="355" t="str">
        <f>IF($C373="","",IFERROR(VLOOKUP($C373,גיליון1!$A:$E,4,0),"לא הגיש בקשה שוטפת"))</f>
        <v>19-42-02-22</v>
      </c>
      <c r="AI373" s="355" t="str">
        <f>IF($C373="","",IFERROR(VLOOKUP($C373,גיליון1!$A:$E,5,0),"לא הגיש בקשה שוטפת"))</f>
        <v>ספרות</v>
      </c>
      <c r="AJ373" s="355">
        <f t="shared" si="22"/>
        <v>0</v>
      </c>
      <c r="AK373" s="15"/>
      <c r="AL373" s="15" t="s">
        <v>250</v>
      </c>
    </row>
    <row r="374" spans="1:38" ht="285.75" x14ac:dyDescent="0.25">
      <c r="A374" s="346">
        <f>'הזנה לתנאי סף'!B374</f>
        <v>344</v>
      </c>
      <c r="B374" s="347">
        <f>IF($F374="","",'הזנה לתנאי סף'!C374)</f>
        <v>1001350587</v>
      </c>
      <c r="C374" s="347">
        <f>IF($F374="","",'הזנה לתנאי סף'!D374)</f>
        <v>1001302052</v>
      </c>
      <c r="D374" s="347">
        <f>IF($F374="","",'הזנה לתנאי סף'!E374)</f>
        <v>40822203</v>
      </c>
      <c r="E374" s="348">
        <f>IF($F374="","",'הזנה לתנאי סף'!F374)</f>
        <v>20000159</v>
      </c>
      <c r="F374" s="348" t="str">
        <f>IF('הזנה לתנאי סף'!BL374=1,'הזנה לתנאי סף'!G374,"")</f>
        <v>ירושלים</v>
      </c>
      <c r="G374" s="348" t="str">
        <f>IF($F374="","",'הזנה לתנאי סף'!H374)</f>
        <v>הערת שוליים (ע"ר)</v>
      </c>
      <c r="H374" s="348" t="str">
        <f>IF($F374="","",'הזנה לתנאי סף'!I374)</f>
        <v>מקהלות</v>
      </c>
      <c r="I374" s="349">
        <f>IF($F374="","",'הזנה לתנאי סף'!R374)</f>
        <v>182000</v>
      </c>
      <c r="J374" s="349">
        <f>IF($F374="","",'תחום תמיכה א'!P374)</f>
        <v>181176</v>
      </c>
      <c r="K374" s="177">
        <f>IF($F374="","",'הזנה לתנאי סף'!N374)</f>
        <v>1</v>
      </c>
      <c r="L374" s="177">
        <f>IF($F374="","",'הזנה לתנאי סף'!O374)</f>
        <v>0</v>
      </c>
      <c r="M374" s="177">
        <f>IF($F374="","",'הזנה לתנאי סף'!Q374)</f>
        <v>1</v>
      </c>
      <c r="N374" s="349">
        <f>IF($F374="","",'תחום תמיכה א'!AE374)</f>
        <v>3208.1548254866289</v>
      </c>
      <c r="O374" s="178"/>
      <c r="P374" s="349">
        <f>IF($F374="","",'תחום תמיכה ב'!AC374)</f>
        <v>3254.9035986830136</v>
      </c>
      <c r="Q374" s="349">
        <f>IF($F374="","",IF('תחום תמיכה ג'!O374="",0,'תחום תמיכה ג'!O374))</f>
        <v>562.66991329347411</v>
      </c>
      <c r="R374" s="349">
        <f t="shared" si="20"/>
        <v>97.598454465725808</v>
      </c>
      <c r="S374" s="349">
        <f>IF($F374="","",'תחום תמיכה ב'!AE374)</f>
        <v>3352.5020531487394</v>
      </c>
      <c r="T374" s="349">
        <f>IF($F374="","",IF(Q374='תחום תמיכה ג'!$Q$2,'תחום תמיכה ג'!$Q$2,IFERROR(SUMIF(N374:R374,"&gt;0"),'תחום תמיכה ג'!$Q$2)))</f>
        <v>7123.3267919288428</v>
      </c>
      <c r="U374" s="349">
        <f>IF($F374="","",'הזנה לתנאי סף'!Y374)</f>
        <v>280000</v>
      </c>
      <c r="V374" s="350">
        <f>IF(F374="","",'הגבלה לסכום מבוקש '!AA374)</f>
        <v>7682.4970177878022</v>
      </c>
      <c r="W374" s="349">
        <f t="shared" si="21"/>
        <v>1920.6242544469505</v>
      </c>
      <c r="X374" s="349">
        <f>IF(F374="","",'הזנה לתנאי סף'!Z374)</f>
        <v>280000</v>
      </c>
      <c r="Y374" s="351" t="s">
        <v>3740</v>
      </c>
      <c r="Z374" s="352" t="str">
        <f>IFERROR(VLOOKUP(G374*1,#REF!,3,0),"")</f>
        <v/>
      </c>
      <c r="AA374" s="349" t="str">
        <f>IF(OR($F374="",Z374=""),"",IFERROR(IF(Z374&gt;V374,MIN(Z374,T374)-V374,0),'תחום תמיכה ג'!$Q$2))</f>
        <v/>
      </c>
      <c r="AB374" s="353"/>
      <c r="AC374" s="260" t="str">
        <f t="shared" si="23"/>
        <v/>
      </c>
      <c r="AD374" s="358"/>
      <c r="AE374" s="180"/>
      <c r="AF374" s="355" t="str">
        <f>IF($C374="","",IFERROR(VLOOKUP($C374,גיליון1!$A:$E,2,0),"לא הגיש בקשה שוטפת"))</f>
        <v>תמיכה שנתית מקהלת גיא בן הינום</v>
      </c>
      <c r="AG374" s="355" t="str">
        <f>IF($C374="","",IFERROR(VLOOKUP($C374,גיליון1!$A:$E,3,0),"לא הגיש בקשה שוטפת"))</f>
        <v>טיוט</v>
      </c>
      <c r="AH374" s="355" t="str">
        <f>IF($C374="","",IFERROR(VLOOKUP($C374,גיליון1!$A:$E,4,0),"לא הגיש בקשה שוטפת"))</f>
        <v>19-42-02-16</v>
      </c>
      <c r="AI374" s="355" t="str">
        <f>IF($C374="","",IFERROR(VLOOKUP($C374,גיליון1!$A:$E,5,0),"לא הגיש בקשה שוטפת"))</f>
        <v>מוסיקה</v>
      </c>
      <c r="AJ374" s="355">
        <f t="shared" si="22"/>
        <v>0</v>
      </c>
      <c r="AK374" s="15"/>
      <c r="AL374" s="15" t="s">
        <v>250</v>
      </c>
    </row>
    <row r="375" spans="1:38" ht="285.75" x14ac:dyDescent="0.25">
      <c r="A375" s="346">
        <f>'הזנה לתנאי סף'!B375</f>
        <v>345</v>
      </c>
      <c r="B375" s="347">
        <f>IF($F375="","",'הזנה לתנאי סף'!C375)</f>
        <v>1001347740</v>
      </c>
      <c r="C375" s="347">
        <f>IF($F375="","",'הזנה לתנאי סף'!D375)</f>
        <v>1001265444</v>
      </c>
      <c r="D375" s="347">
        <f>IF($F375="","",'הזנה לתנאי סף'!E375)</f>
        <v>41376759</v>
      </c>
      <c r="E375" s="348">
        <f>IF($F375="","",'הזנה לתנאי סף'!F375)</f>
        <v>20000159</v>
      </c>
      <c r="F375" s="348" t="str">
        <f>IF('הזנה לתנאי סף'!BL375=1,'הזנה לתנאי סף'!G375,"")</f>
        <v>ירושלים</v>
      </c>
      <c r="G375" s="348" t="str">
        <f>IF($F375="","",'הזנה לתנאי סף'!H375)</f>
        <v>בין שמיים לארץ (ע"ר)</v>
      </c>
      <c r="H375" s="348" t="str">
        <f>IF($F375="","",'הזנה לתנאי סף'!I375)</f>
        <v>מחול</v>
      </c>
      <c r="I375" s="349">
        <f>IF($F375="","",'הזנה לתנאי סף'!R375)</f>
        <v>693022</v>
      </c>
      <c r="J375" s="349">
        <f>IF($F375="","",'תחום תמיכה א'!P375)</f>
        <v>744150</v>
      </c>
      <c r="K375" s="177">
        <f>IF($F375="","",'הזנה לתנאי סף'!N375)</f>
        <v>1</v>
      </c>
      <c r="L375" s="177">
        <f>IF($F375="","",'הזנה לתנאי סף'!O375)</f>
        <v>0</v>
      </c>
      <c r="M375" s="177">
        <f>IF($F375="","",'הזנה לתנאי סף'!Q375)</f>
        <v>1</v>
      </c>
      <c r="N375" s="349">
        <f>IF($F375="","",'תחום תמיכה א'!AE375)</f>
        <v>26542.553173464232</v>
      </c>
      <c r="O375" s="178"/>
      <c r="P375" s="349">
        <f>IF($F375="","",'תחום תמיכה ב'!AC375)</f>
        <v>50254.047741212569</v>
      </c>
      <c r="Q375" s="349">
        <f>IF($F375="","",IF('תחום תמיכה ג'!O375="",0,'תחום תמיכה ג'!O375))</f>
        <v>8687.3358389585774</v>
      </c>
      <c r="R375" s="349">
        <f t="shared" si="20"/>
        <v>1506.8702471476208</v>
      </c>
      <c r="S375" s="349">
        <f>IF($F375="","",'תחום תמיכה ב'!AE375)</f>
        <v>51760.91798836019</v>
      </c>
      <c r="T375" s="349">
        <f>IF($F375="","",IF(Q375='תחום תמיכה ג'!$Q$2,'תחום תמיכה ג'!$Q$2,IFERROR(SUMIF(N375:R375,"&gt;0"),'תחום תמיכה ג'!$Q$2)))</f>
        <v>86990.80700078301</v>
      </c>
      <c r="U375" s="349">
        <f>IF($F375="","",'הזנה לתנאי סף'!Y375)</f>
        <v>600000</v>
      </c>
      <c r="V375" s="350">
        <f>IF(F375="","",'הגבלה לסכום מבוקש '!AA375)</f>
        <v>95613.641629193691</v>
      </c>
      <c r="W375" s="349">
        <f t="shared" si="21"/>
        <v>23903.410407298423</v>
      </c>
      <c r="X375" s="349">
        <f>IF(F375="","",'הזנה לתנאי סף'!Z375)</f>
        <v>120000</v>
      </c>
      <c r="Y375" s="351" t="s">
        <v>3740</v>
      </c>
      <c r="Z375" s="352" t="str">
        <f>IFERROR(VLOOKUP(G375*1,#REF!,3,0),"")</f>
        <v/>
      </c>
      <c r="AA375" s="349" t="str">
        <f>IF(OR($F375="",Z375=""),"",IFERROR(IF(Z375&gt;V375,MIN(Z375,T375)-V375,0),'תחום תמיכה ג'!$Q$2))</f>
        <v/>
      </c>
      <c r="AB375" s="353"/>
      <c r="AC375" s="260" t="str">
        <f t="shared" si="23"/>
        <v/>
      </c>
      <c r="AD375" s="358"/>
      <c r="AE375" s="180"/>
      <c r="AF375" s="355" t="str">
        <f>IF($C375="","",IFERROR(VLOOKUP($C375,גיליון1!$A:$E,2,0),"לא הגיש בקשה שוטפת"))</f>
        <v>אנסמבל כעת - להקות מחול</v>
      </c>
      <c r="AG375" s="355" t="str">
        <f>IF($C375="","",IFERROR(VLOOKUP($C375,גיליון1!$A:$E,3,0),"לא הגיש בקשה שוטפת"))</f>
        <v>חויב</v>
      </c>
      <c r="AH375" s="355" t="str">
        <f>IF($C375="","",IFERROR(VLOOKUP($C375,גיליון1!$A:$E,4,0),"לא הגיש בקשה שוטפת"))</f>
        <v>19-42-02-20</v>
      </c>
      <c r="AI375" s="355" t="str">
        <f>IF($C375="","",IFERROR(VLOOKUP($C375,גיליון1!$A:$E,5,0),"לא הגיש בקשה שוטפת"))</f>
        <v>מחול וארגוני גג</v>
      </c>
      <c r="AJ375" s="355">
        <f t="shared" si="22"/>
        <v>0</v>
      </c>
      <c r="AK375" s="15"/>
      <c r="AL375" s="15" t="s">
        <v>250</v>
      </c>
    </row>
    <row r="376" spans="1:38" ht="285.75" x14ac:dyDescent="0.25">
      <c r="A376" s="346">
        <f>'הזנה לתנאי סף'!B376</f>
        <v>346</v>
      </c>
      <c r="B376" s="347">
        <f>IF($F376="","",'הזנה לתנאי סף'!C376)</f>
        <v>1001348720</v>
      </c>
      <c r="C376" s="347">
        <f>IF($F376="","",'הזנה לתנאי סף'!D376)</f>
        <v>1001266717</v>
      </c>
      <c r="D376" s="347">
        <f>IF($F376="","",'הזנה לתנאי סף'!E376)</f>
        <v>41376759</v>
      </c>
      <c r="E376" s="348">
        <f>IF($F376="","",'הזנה לתנאי סף'!F376)</f>
        <v>20000159</v>
      </c>
      <c r="F376" s="348" t="str">
        <f>IF('הזנה לתנאי סף'!BL376=1,'הזנה לתנאי סף'!G376,"")</f>
        <v>ירושלים</v>
      </c>
      <c r="G376" s="348" t="str">
        <f>IF($F376="","",'הזנה לתנאי סף'!H376)</f>
        <v>בין שמיים לארץ (ע"ר)</v>
      </c>
      <c r="H376" s="348" t="str">
        <f>IF($F376="","",'הזנה לתנאי סף'!I376)</f>
        <v>יוצרים עצמאיים במחול</v>
      </c>
      <c r="I376" s="349">
        <f>IF($F376="","",'הזנה לתנאי סף'!R376)</f>
        <v>267825</v>
      </c>
      <c r="J376" s="349">
        <f>IF($F376="","",'תחום תמיכה א'!P376)</f>
        <v>298541</v>
      </c>
      <c r="K376" s="177">
        <f>IF($F376="","",'הזנה לתנאי סף'!N376)</f>
        <v>1</v>
      </c>
      <c r="L376" s="177">
        <f>IF($F376="","",'הזנה לתנאי סף'!O376)</f>
        <v>0</v>
      </c>
      <c r="M376" s="177">
        <f>IF($F376="","",'הזנה לתנאי סף'!Q376)</f>
        <v>1</v>
      </c>
      <c r="N376" s="349">
        <f>IF($F376="","",'תחום תמיכה א'!AE376)</f>
        <v>6333.2764174228923</v>
      </c>
      <c r="O376" s="178"/>
      <c r="P376" s="349">
        <f>IF($F376="","",'תחום תמיכה ב'!AC376)</f>
        <v>6874.7589040054127</v>
      </c>
      <c r="Q376" s="349">
        <f>IF($F376="","",IF('תחום תמיכה ג'!O376="",0,'תחום תמיכה ג'!O376))</f>
        <v>1188.4284370189671</v>
      </c>
      <c r="R376" s="349">
        <f t="shared" si="20"/>
        <v>206.14000492269588</v>
      </c>
      <c r="S376" s="349">
        <f>IF($F376="","",'תחום תמיכה ב'!AE376)</f>
        <v>7080.8989089281085</v>
      </c>
      <c r="T376" s="349">
        <f>IF($F376="","",IF(Q376='תחום תמיכה ג'!$Q$2,'תחום תמיכה ג'!$Q$2,IFERROR(SUMIF(N376:R376,"&gt;0"),'תחום תמיכה ג'!$Q$2)))</f>
        <v>14602.603763369969</v>
      </c>
      <c r="U376" s="349">
        <f>IF($F376="","",'הזנה לתנאי סף'!Y376)</f>
        <v>400000</v>
      </c>
      <c r="V376" s="350">
        <f>IF(F376="","",'הגבלה לסכום מבוקש '!AA376)</f>
        <v>15783.438835037437</v>
      </c>
      <c r="W376" s="349">
        <f t="shared" si="21"/>
        <v>3945.8597087593594</v>
      </c>
      <c r="X376" s="349">
        <f>IF(F376="","",'הזנה לתנאי סף'!Z376)</f>
        <v>80000</v>
      </c>
      <c r="Y376" s="351" t="s">
        <v>3740</v>
      </c>
      <c r="Z376" s="352" t="str">
        <f>IFERROR(VLOOKUP(G376*1,#REF!,3,0),"")</f>
        <v/>
      </c>
      <c r="AA376" s="349" t="str">
        <f>IF(OR($F376="",Z376=""),"",IFERROR(IF(Z376&gt;V376,MIN(Z376,T376)-V376,0),'תחום תמיכה ג'!$Q$2))</f>
        <v/>
      </c>
      <c r="AB376" s="353"/>
      <c r="AC376" s="260" t="str">
        <f t="shared" si="23"/>
        <v/>
      </c>
      <c r="AD376" s="358"/>
      <c r="AE376" s="180"/>
      <c r="AF376" s="355" t="str">
        <f>IF($C376="","",IFERROR(VLOOKUP($C376,גיליון1!$A:$E,2,0),"לא הגיש בקשה שוטפת"))</f>
        <v>יוצרים עצמאים- תמי ורונן יצחקי</v>
      </c>
      <c r="AG376" s="355" t="str">
        <f>IF($C376="","",IFERROR(VLOOKUP($C376,גיליון1!$A:$E,3,0),"לא הגיש בקשה שוטפת"))</f>
        <v>חויב</v>
      </c>
      <c r="AH376" s="355" t="str">
        <f>IF($C376="","",IFERROR(VLOOKUP($C376,גיליון1!$A:$E,4,0),"לא הגיש בקשה שוטפת"))</f>
        <v>19-42-02-20</v>
      </c>
      <c r="AI376" s="355" t="str">
        <f>IF($C376="","",IFERROR(VLOOKUP($C376,גיליון1!$A:$E,5,0),"לא הגיש בקשה שוטפת"))</f>
        <v>מחול וארגוני גג</v>
      </c>
      <c r="AJ376" s="355">
        <f t="shared" si="22"/>
        <v>0</v>
      </c>
      <c r="AK376" s="15"/>
      <c r="AL376" s="15" t="s">
        <v>250</v>
      </c>
    </row>
    <row r="377" spans="1:38" ht="285.75" x14ac:dyDescent="0.25">
      <c r="A377" s="346">
        <f>'הזנה לתנאי סף'!B377</f>
        <v>347</v>
      </c>
      <c r="B377" s="347">
        <f>IF($F377="","",'הזנה לתנאי סף'!C377)</f>
        <v>1001348726</v>
      </c>
      <c r="C377" s="347">
        <f>IF($F377="","",'הזנה לתנאי סף'!D377)</f>
        <v>1001266714</v>
      </c>
      <c r="D377" s="347">
        <f>IF($F377="","",'הזנה לתנאי סף'!E377)</f>
        <v>41376759</v>
      </c>
      <c r="E377" s="348">
        <f>IF($F377="","",'הזנה לתנאי סף'!F377)</f>
        <v>20000159</v>
      </c>
      <c r="F377" s="348" t="str">
        <f>IF('הזנה לתנאי סף'!BL377=1,'הזנה לתנאי סף'!G377,"")</f>
        <v>ירושלים</v>
      </c>
      <c r="G377" s="348" t="str">
        <f>IF($F377="","",'הזנה לתנאי סף'!H377)</f>
        <v>בין שמיים לארץ (ע"ר)</v>
      </c>
      <c r="H377" s="348" t="str">
        <f>IF($F377="","",'הזנה לתנאי סף'!I377)</f>
        <v>סינמטקים ופסטיבלים</v>
      </c>
      <c r="I377" s="349">
        <f>IF($F377="","",'הזנה לתנאי סף'!R377)</f>
        <v>369597</v>
      </c>
      <c r="J377" s="349">
        <f>IF($F377="","",'תחום תמיכה א'!P377)</f>
        <v>353661</v>
      </c>
      <c r="K377" s="177">
        <f>IF($F377="","",'הזנה לתנאי סף'!N377)</f>
        <v>1</v>
      </c>
      <c r="L377" s="177">
        <f>IF($F377="","",'הזנה לתנאי סף'!O377)</f>
        <v>0</v>
      </c>
      <c r="M377" s="177">
        <f>IF($F377="","",'הזנה לתנאי סף'!Q377)</f>
        <v>1</v>
      </c>
      <c r="N377" s="349">
        <f>IF($F377="","",'תחום תמיכה א'!AE377)</f>
        <v>10397.531897151559</v>
      </c>
      <c r="O377" s="178"/>
      <c r="P377" s="349">
        <f>IF($F377="","",'תחום תמיכה ב'!AC377)</f>
        <v>18220.993671320073</v>
      </c>
      <c r="Q377" s="349">
        <f>IF($F377="","",IF('תחום תמיכה ג'!O377="",0,'תחום תמיכה ג'!O377))</f>
        <v>3149.8336642937429</v>
      </c>
      <c r="R377" s="349">
        <f t="shared" si="20"/>
        <v>546.35744722828531</v>
      </c>
      <c r="S377" s="349">
        <f>IF($F377="","",'תחום תמיכה ב'!AE377)</f>
        <v>18767.351118548358</v>
      </c>
      <c r="T377" s="349">
        <f>IF($F377="","",IF(Q377='תחום תמיכה ג'!$Q$2,'תחום תמיכה ג'!$Q$2,IFERROR(SUMIF(N377:R377,"&gt;0"),'תחום תמיכה ג'!$Q$2)))</f>
        <v>32314.71667999366</v>
      </c>
      <c r="U377" s="349">
        <f>IF($F377="","",'הזנה לתנאי סף'!Y377)</f>
        <v>400000</v>
      </c>
      <c r="V377" s="350">
        <f>IF(F377="","",'הגבלה לסכום מבוקש '!AA377)</f>
        <v>35441.515977713876</v>
      </c>
      <c r="W377" s="349">
        <f t="shared" si="21"/>
        <v>8860.378994428469</v>
      </c>
      <c r="X377" s="349">
        <f>IF(F377="","",'הזנה לתנאי סף'!Z377)</f>
        <v>80000</v>
      </c>
      <c r="Y377" s="351" t="s">
        <v>3740</v>
      </c>
      <c r="Z377" s="352" t="str">
        <f>IFERROR(VLOOKUP(G377*1,#REF!,3,0),"")</f>
        <v/>
      </c>
      <c r="AA377" s="349" t="str">
        <f>IF(OR($F377="",Z377=""),"",IFERROR(IF(Z377&gt;V377,MIN(Z377,T377)-V377,0),'תחום תמיכה ג'!$Q$2))</f>
        <v/>
      </c>
      <c r="AB377" s="353"/>
      <c r="AC377" s="260" t="str">
        <f t="shared" si="23"/>
        <v/>
      </c>
      <c r="AD377" s="358"/>
      <c r="AE377" s="180"/>
      <c r="AF377" s="355" t="str">
        <f>IF($C377="","",IFERROR(VLOOKUP($C377,גיליון1!$A:$E,2,0),"לא הגיש בקשה שוטפת"))</f>
        <v>פסטיבל בין שמיים לארץ 2020</v>
      </c>
      <c r="AG377" s="355" t="str">
        <f>IF($C377="","",IFERROR(VLOOKUP($C377,גיליון1!$A:$E,3,0),"לא הגיש בקשה שוטפת"))</f>
        <v>מועד</v>
      </c>
      <c r="AH377" s="355" t="str">
        <f>IF($C377="","",IFERROR(VLOOKUP($C377,גיליון1!$A:$E,4,0),"לא הגיש בקשה שוטפת"))</f>
        <v>19-42-02-26</v>
      </c>
      <c r="AI377" s="355" t="str">
        <f>IF($C377="","",IFERROR(VLOOKUP($C377,גיליון1!$A:$E,5,0),"לא הגיש בקשה שוטפת"))</f>
        <v>פסטיבלים לתרבות</v>
      </c>
      <c r="AJ377" s="355">
        <f t="shared" si="22"/>
        <v>0</v>
      </c>
      <c r="AK377" s="15"/>
      <c r="AL377" s="15" t="s">
        <v>250</v>
      </c>
    </row>
    <row r="378" spans="1:38" ht="285.75" x14ac:dyDescent="0.25">
      <c r="A378" s="346">
        <f>'הזנה לתנאי סף'!B378</f>
        <v>348</v>
      </c>
      <c r="B378" s="347">
        <f>IF($F378="","",'הזנה לתנאי סף'!C378)</f>
        <v>1001348730</v>
      </c>
      <c r="C378" s="347">
        <f>IF($F378="","",'הזנה לתנאי סף'!D378)</f>
        <v>1001266783</v>
      </c>
      <c r="D378" s="347">
        <f>IF($F378="","",'הזנה לתנאי סף'!E378)</f>
        <v>41376759</v>
      </c>
      <c r="E378" s="348">
        <f>IF($F378="","",'הזנה לתנאי סף'!F378)</f>
        <v>20000159</v>
      </c>
      <c r="F378" s="348" t="str">
        <f>IF('הזנה לתנאי סף'!BL378=1,'הזנה לתנאי סף'!G378,"")</f>
        <v>ירושלים</v>
      </c>
      <c r="G378" s="348" t="str">
        <f>IF($F378="","",'הזנה לתנאי סף'!H378)</f>
        <v>בין שמיים לארץ (ע"ר)</v>
      </c>
      <c r="H378" s="348" t="str">
        <f>IF($F378="","",'הזנה לתנאי סף'!I378)</f>
        <v>אחר</v>
      </c>
      <c r="I378" s="349">
        <f>IF($F378="","",'הזנה לתנאי סף'!R378)</f>
        <v>63184</v>
      </c>
      <c r="J378" s="349">
        <f>IF($F378="","",'תחום תמיכה א'!P378)</f>
        <v>46325</v>
      </c>
      <c r="K378" s="177">
        <f>IF($F378="","",'הזנה לתנאי סף'!N378)</f>
        <v>1</v>
      </c>
      <c r="L378" s="177">
        <f>IF($F378="","",'הזנה לתנאי סף'!O378)</f>
        <v>0</v>
      </c>
      <c r="M378" s="177">
        <f>IF($F378="","",'הזנה לתנאי סף'!Q378)</f>
        <v>1</v>
      </c>
      <c r="N378" s="349">
        <f>IF($F378="","",'תחום תמיכה א'!AE378)</f>
        <v>1253.7421293287121</v>
      </c>
      <c r="O378" s="178"/>
      <c r="P378" s="349">
        <f>IF($F378="","",'תחום תמיכה ב'!AC378)</f>
        <v>2639.6730474379146</v>
      </c>
      <c r="Q378" s="349">
        <f>IF($F378="","",IF('תחום תמיכה ג'!O378="",0,'תחום תמיכה ג'!O378))</f>
        <v>456.3160043590766</v>
      </c>
      <c r="R378" s="349">
        <f t="shared" si="20"/>
        <v>79.150734242640283</v>
      </c>
      <c r="S378" s="349">
        <f>IF($F378="","",'תחום תמיכה ב'!AE378)</f>
        <v>2718.8237816805549</v>
      </c>
      <c r="T378" s="349">
        <f>IF($F378="","",IF(Q378='תחום תמיכה ג'!$Q$2,'תחום תמיכה ג'!$Q$2,IFERROR(SUMIF(N378:R378,"&gt;0"),'תחום תמיכה ג'!$Q$2)))</f>
        <v>4428.8819153683435</v>
      </c>
      <c r="U378" s="349">
        <f>IF($F378="","",'הזנה לתנאי סף'!Y378)</f>
        <v>100000</v>
      </c>
      <c r="V378" s="350">
        <f>IF(F378="","",'הגבלה לסכום מבוקש '!AA378)</f>
        <v>4881.7459426372998</v>
      </c>
      <c r="W378" s="349">
        <f t="shared" si="21"/>
        <v>1220.4364856593249</v>
      </c>
      <c r="X378" s="349">
        <f>IF(F378="","",'הזנה לתנאי סף'!Z378)</f>
        <v>20000</v>
      </c>
      <c r="Y378" s="351" t="s">
        <v>3740</v>
      </c>
      <c r="Z378" s="352" t="str">
        <f>IFERROR(VLOOKUP(G378*1,#REF!,3,0),"")</f>
        <v/>
      </c>
      <c r="AA378" s="349" t="str">
        <f>IF(OR($F378="",Z378=""),"",IFERROR(IF(Z378&gt;V378,MIN(Z378,T378)-V378,0),'תחום תמיכה ג'!$Q$2))</f>
        <v/>
      </c>
      <c r="AB378" s="353"/>
      <c r="AC378" s="260" t="str">
        <f t="shared" si="23"/>
        <v/>
      </c>
      <c r="AD378" s="358"/>
      <c r="AE378" s="180"/>
      <c r="AF378" s="355" t="str">
        <f>IF($C378="","",IFERROR(VLOOKUP($C378,גיליון1!$A:$E,2,0),"לא הגיש בקשה שוטפת"))</f>
        <v>פרוייקט מוסיקה - בין שמיים לארץ</v>
      </c>
      <c r="AG378" s="355" t="str">
        <f>IF($C378="","",IFERROR(VLOOKUP($C378,גיליון1!$A:$E,3,0),"לא הגיש בקשה שוטפת"))</f>
        <v>טיוט</v>
      </c>
      <c r="AH378" s="355" t="str">
        <f>IF($C378="","",IFERROR(VLOOKUP($C378,גיליון1!$A:$E,4,0),"לא הגיש בקשה שוטפת"))</f>
        <v>19-42-02-16</v>
      </c>
      <c r="AI378" s="355" t="str">
        <f>IF($C378="","",IFERROR(VLOOKUP($C378,גיליון1!$A:$E,5,0),"לא הגיש בקשה שוטפת"))</f>
        <v>מוסיקה</v>
      </c>
      <c r="AJ378" s="355">
        <f t="shared" si="22"/>
        <v>0</v>
      </c>
      <c r="AK378" s="15"/>
      <c r="AL378" s="15" t="s">
        <v>250</v>
      </c>
    </row>
    <row r="379" spans="1:38" ht="285.75" x14ac:dyDescent="0.25">
      <c r="A379" s="346">
        <f>'הזנה לתנאי סף'!B379</f>
        <v>349</v>
      </c>
      <c r="B379" s="347">
        <f>IF($F379="","",'הזנה לתנאי סף'!C379)</f>
        <v>1001350095</v>
      </c>
      <c r="C379" s="347">
        <f>IF($F379="","",'הזנה לתנאי סף'!D379)</f>
        <v>1001271678</v>
      </c>
      <c r="D379" s="347">
        <f>IF($F379="","",'הזנה לתנאי סף'!E379)</f>
        <v>41556504</v>
      </c>
      <c r="E379" s="348">
        <f>IF($F379="","",'הזנה לתנאי סף'!F379)</f>
        <v>20000254</v>
      </c>
      <c r="F379" s="348" t="str">
        <f>IF('הזנה לתנאי סף'!BL379=1,'הזנה לתנאי סף'!G379,"")</f>
        <v>באר שבע</v>
      </c>
      <c r="G379" s="348" t="str">
        <f>IF($F379="","",'הזנה לתנאי סף'!H379)</f>
        <v>תיאטרון לילדים ולנוער באר - שבע (ע"</v>
      </c>
      <c r="H379" s="348" t="str">
        <f>IF($F379="","",'הזנה לתנאי סף'!I379)</f>
        <v>תיאטרון</v>
      </c>
      <c r="I379" s="349">
        <f>IF($F379="","",'הזנה לתנאי סף'!R379)</f>
        <v>2974576</v>
      </c>
      <c r="J379" s="349">
        <f>IF($F379="","",'תחום תמיכה א'!P379)</f>
        <v>3162105</v>
      </c>
      <c r="K379" s="177">
        <f>IF($F379="","",'הזנה לתנאי סף'!N379)</f>
        <v>1</v>
      </c>
      <c r="L379" s="177">
        <f>IF($F379="","",'הזנה לתנאי סף'!O379)</f>
        <v>0</v>
      </c>
      <c r="M379" s="177">
        <f>IF($F379="","",'הזנה לתנאי סף'!Q379)</f>
        <v>1</v>
      </c>
      <c r="N379" s="349">
        <f>IF($F379="","",'תחום תמיכה א'!AE379)</f>
        <v>172854.89524575122</v>
      </c>
      <c r="O379" s="178"/>
      <c r="P379" s="349">
        <f>IF($F379="","",'תחום תמיכה ב'!AC379)</f>
        <v>506982.88756064745</v>
      </c>
      <c r="Q379" s="349">
        <f>IF($F379="","",IF('תחום תמיכה ג'!O379="",0,'תחום תמיכה ג'!O379))</f>
        <v>6396.0116461697744</v>
      </c>
      <c r="R379" s="349">
        <f t="shared" si="20"/>
        <v>15201.908371882571</v>
      </c>
      <c r="S379" s="349">
        <f>IF($F379="","",'תחום תמיכה ב'!AE379)</f>
        <v>522184.79593253002</v>
      </c>
      <c r="T379" s="349">
        <f>IF($F379="","",IF(Q379='תחום תמיכה ג'!$Q$2,'תחום תמיכה ג'!$Q$2,IFERROR(SUMIF(N379:R379,"&gt;0"),'תחום תמיכה ג'!$Q$2)))</f>
        <v>701435.70282445103</v>
      </c>
      <c r="U379" s="349">
        <f>IF($F379="","",'הזנה לתנאי סף'!Y379)</f>
        <v>2000000</v>
      </c>
      <c r="V379" s="350">
        <f>IF(F379="","",'הגבלה לסכום מבוקש '!AA379)</f>
        <v>788346.08817494591</v>
      </c>
      <c r="W379" s="349">
        <f t="shared" si="21"/>
        <v>197086.52204373648</v>
      </c>
      <c r="X379" s="349">
        <f>IF(F379="","",'הזנה לתנאי סף'!Z379)</f>
        <v>80000</v>
      </c>
      <c r="Y379" s="351" t="s">
        <v>3740</v>
      </c>
      <c r="Z379" s="352" t="str">
        <f>IFERROR(VLOOKUP(G379*1,#REF!,3,0),"")</f>
        <v/>
      </c>
      <c r="AA379" s="349" t="str">
        <f>IF(OR($F379="",Z379=""),"",IFERROR(IF(Z379&gt;V379,MIN(Z379,T379)-V379,0),'תחום תמיכה ג'!$Q$2))</f>
        <v/>
      </c>
      <c r="AB379" s="353"/>
      <c r="AC379" s="260" t="str">
        <f t="shared" si="23"/>
        <v/>
      </c>
      <c r="AD379" s="358"/>
      <c r="AE379" s="180"/>
      <c r="AF379" s="355" t="str">
        <f>IF($C379="","",IFERROR(VLOOKUP($C379,גיליון1!$A:$E,2,0),"לא הגיש בקשה שוטפת"))</f>
        <v>תאטרון רפרטוארי</v>
      </c>
      <c r="AG379" s="355" t="str">
        <f>IF($C379="","",IFERROR(VLOOKUP($C379,גיליון1!$A:$E,3,0),"לא הגיש בקשה שוטפת"))</f>
        <v>נעסף</v>
      </c>
      <c r="AH379" s="355" t="str">
        <f>IF($C379="","",IFERROR(VLOOKUP($C379,גיליון1!$A:$E,4,0),"לא הגיש בקשה שוטפת"))</f>
        <v>19-42-02-07</v>
      </c>
      <c r="AI379" s="355" t="str">
        <f>IF($C379="","",IFERROR(VLOOKUP($C379,גיליון1!$A:$E,5,0),"לא הגיש בקשה שוטפת"))</f>
        <v>תיאטרון</v>
      </c>
      <c r="AJ379" s="355">
        <f t="shared" si="22"/>
        <v>0</v>
      </c>
      <c r="AK379" s="15"/>
      <c r="AL379" s="15" t="s">
        <v>250</v>
      </c>
    </row>
    <row r="380" spans="1:38" ht="285.75" x14ac:dyDescent="0.25">
      <c r="A380" s="346">
        <f>'הזנה לתנאי סף'!B380</f>
        <v>350</v>
      </c>
      <c r="B380" s="347">
        <f>IF($F380="","",'הזנה לתנאי סף'!C380)</f>
        <v>1001350450</v>
      </c>
      <c r="C380" s="347">
        <f>IF($F380="","",'הזנה לתנאי סף'!D380)</f>
        <v>1001288912</v>
      </c>
      <c r="D380" s="347">
        <f>IF($F380="","",'הזנה לתנאי סף'!E380)</f>
        <v>41556986</v>
      </c>
      <c r="E380" s="348">
        <f>IF($F380="","",'הזנה לתנאי סף'!F380)</f>
        <v>20000231</v>
      </c>
      <c r="F380" s="348" t="str">
        <f>IF('הזנה לתנאי סף'!BL380=1,'הזנה לתנאי סף'!G380,"")</f>
        <v>נצרת</v>
      </c>
      <c r="G380" s="348" t="str">
        <f>IF($F380="","",'הזנה לתנאי סף'!H380)</f>
        <v>עמותת אלמאוכב נצרת (ע"ר)</v>
      </c>
      <c r="H380" s="348" t="str">
        <f>IF($F380="","",'הזנה לתנאי סף'!I380)</f>
        <v>סינמטקים ופסטיבלים</v>
      </c>
      <c r="I380" s="349">
        <f>IF($F380="","",'הזנה לתנאי סף'!R380)</f>
        <v>827928</v>
      </c>
      <c r="J380" s="349">
        <f>IF($F380="","",'תחום תמיכה א'!P380)</f>
        <v>686906</v>
      </c>
      <c r="K380" s="177">
        <f>IF($F380="","",'הזנה לתנאי סף'!N380)</f>
        <v>0</v>
      </c>
      <c r="L380" s="177">
        <f>IF($F380="","",'הזנה לתנאי סף'!O380)</f>
        <v>1</v>
      </c>
      <c r="M380" s="177">
        <f>IF($F380="","",'הזנה לתנאי סף'!Q380)</f>
        <v>1</v>
      </c>
      <c r="N380" s="349">
        <f>IF($F380="","",'תחום תמיכה א'!AE380)</f>
        <v>35264.105821468343</v>
      </c>
      <c r="O380" s="178"/>
      <c r="P380" s="349">
        <f>IF($F380="","",'תחום תמיכה ב'!AC380)</f>
        <v>119655.5471790041</v>
      </c>
      <c r="Q380" s="349">
        <f>IF($F380="","",IF('תחום תמיכה ג'!O380="",0,'תחום תמיכה ג'!O380))</f>
        <v>0</v>
      </c>
      <c r="R380" s="349">
        <f t="shared" si="20"/>
        <v>3587.8778338156408</v>
      </c>
      <c r="S380" s="349">
        <f>IF($F380="","",'תחום תמיכה ב'!AE380)</f>
        <v>123243.42501281975</v>
      </c>
      <c r="T380" s="349">
        <f>IF($F380="","",IF(Q380='תחום תמיכה ג'!$Q$2,'תחום תמיכה ג'!$Q$2,IFERROR(SUMIF(N380:R380,"&gt;0"),'תחום תמיכה ג'!$Q$2)))</f>
        <v>158507.5308342881</v>
      </c>
      <c r="U380" s="349">
        <f>IF($F380="","",'הזנה לתנאי סף'!Y380)</f>
        <v>540000</v>
      </c>
      <c r="V380" s="350">
        <f>IF(F380="","",'הגבלה לסכום מבוקש '!AA380)</f>
        <v>179016.47585769708</v>
      </c>
      <c r="W380" s="349">
        <f t="shared" si="21"/>
        <v>44754.11896442427</v>
      </c>
      <c r="X380" s="349">
        <f>IF(F380="","",'הזנה לתנאי סף'!Z380)</f>
        <v>100000</v>
      </c>
      <c r="Y380" s="351" t="s">
        <v>3740</v>
      </c>
      <c r="Z380" s="352" t="str">
        <f>IFERROR(VLOOKUP(G380*1,#REF!,3,0),"")</f>
        <v/>
      </c>
      <c r="AA380" s="349" t="str">
        <f>IF(OR($F380="",Z380=""),"",IFERROR(IF(Z380&gt;V380,MIN(Z380,T380)-V380,0),'תחום תמיכה ג'!$Q$2))</f>
        <v/>
      </c>
      <c r="AB380" s="353"/>
      <c r="AC380" s="260" t="str">
        <f t="shared" si="23"/>
        <v/>
      </c>
      <c r="AD380" s="358"/>
      <c r="AE380" s="180"/>
      <c r="AF380" s="355" t="str">
        <f>IF($C380="","",IFERROR(VLOOKUP($C380,גיליון1!$A:$E,2,0),"לא הגיש בקשה שוטפת"))</f>
        <v>בקשה למימון פסטיבל הקריסמס</v>
      </c>
      <c r="AG380" s="355" t="str">
        <f>IF($C380="","",IFERROR(VLOOKUP($C380,גיליון1!$A:$E,3,0),"לא הגיש בקשה שוטפת"))</f>
        <v>טיוט</v>
      </c>
      <c r="AH380" s="355" t="str">
        <f>IF($C380="","",IFERROR(VLOOKUP($C380,גיליון1!$A:$E,4,0),"לא הגיש בקשה שוטפת"))</f>
        <v>19-42-02-26</v>
      </c>
      <c r="AI380" s="355" t="str">
        <f>IF($C380="","",IFERROR(VLOOKUP($C380,גיליון1!$A:$E,5,0),"לא הגיש בקשה שוטפת"))</f>
        <v>פסטיבלים לתרבות</v>
      </c>
      <c r="AJ380" s="355">
        <f t="shared" si="22"/>
        <v>0</v>
      </c>
      <c r="AK380" s="15"/>
      <c r="AL380" s="15" t="s">
        <v>250</v>
      </c>
    </row>
    <row r="381" spans="1:38" ht="285.75" x14ac:dyDescent="0.25">
      <c r="A381" s="346">
        <f>'הזנה לתנאי סף'!B381</f>
        <v>351</v>
      </c>
      <c r="B381" s="347">
        <f>IF($F381="","",'הזנה לתנאי סף'!C381)</f>
        <v>1001346583</v>
      </c>
      <c r="C381" s="347">
        <f>IF($F381="","",'הזנה לתנאי סף'!D381)</f>
        <v>1001280079</v>
      </c>
      <c r="D381" s="347">
        <f>IF($F381="","",'הזנה לתנאי סף'!E381)</f>
        <v>41559386</v>
      </c>
      <c r="E381" s="348">
        <f>IF($F381="","",'הזנה לתנאי סף'!F381)</f>
        <v>20000055</v>
      </c>
      <c r="F381" s="348" t="str">
        <f>IF('הזנה לתנאי סף'!BL381=1,'הזנה לתנאי סף'!G381,"")</f>
        <v>מג'ד אל-כרום</v>
      </c>
      <c r="G381" s="348" t="str">
        <f>IF($F381="","",'הזנה לתנאי סף'!H381)</f>
        <v>אלמדאין גרוב - מג'ד אלכרום (ע"ר)</v>
      </c>
      <c r="H381" s="348" t="str">
        <f>IF($F381="","",'הזנה לתנאי סף'!I381)</f>
        <v>תיאטרון</v>
      </c>
      <c r="I381" s="349">
        <f>IF($F381="","",'הזנה לתנאי סף'!R381)</f>
        <v>139764</v>
      </c>
      <c r="J381" s="349">
        <f>IF($F381="","",'תחום תמיכה א'!P381)</f>
        <v>157823</v>
      </c>
      <c r="K381" s="177">
        <f>IF($F381="","",'הזנה לתנאי סף'!N381)</f>
        <v>0</v>
      </c>
      <c r="L381" s="177">
        <f>IF($F381="","",'הזנה לתנאי סף'!O381)</f>
        <v>1</v>
      </c>
      <c r="M381" s="177">
        <f>IF($F381="","",'הזנה לתנאי סף'!Q381)</f>
        <v>1</v>
      </c>
      <c r="N381" s="349">
        <f>IF($F381="","",'תחום תמיכה א'!AE381)</f>
        <v>8627.315706584759</v>
      </c>
      <c r="O381" s="178"/>
      <c r="P381" s="349">
        <f>IF($F381="","",'תחום תמיכה ב'!AC381)</f>
        <v>23821.195456773108</v>
      </c>
      <c r="Q381" s="349">
        <f>IF($F381="","",IF('תחום תמיכה ג'!O381="",0,'תחום תמיכה ג'!O381))</f>
        <v>0</v>
      </c>
      <c r="R381" s="349">
        <f t="shared" si="20"/>
        <v>714.2797903592982</v>
      </c>
      <c r="S381" s="349">
        <f>IF($F381="","",'תחום תמיכה ב'!AE381)</f>
        <v>24535.475247132406</v>
      </c>
      <c r="T381" s="349">
        <f>IF($F381="","",IF(Q381='תחום תמיכה ג'!$Q$2,'תחום תמיכה ג'!$Q$2,IFERROR(SUMIF(N381:R381,"&gt;0"),'תחום תמיכה ג'!$Q$2)))</f>
        <v>33162.790953717165</v>
      </c>
      <c r="U381" s="349">
        <f>IF($F381="","",'הזנה לתנאי סף'!Y381)</f>
        <v>1400000</v>
      </c>
      <c r="V381" s="350">
        <f>IF(F381="","",'הגבלה לסכום מבוקש '!AA381)</f>
        <v>37246.472375271369</v>
      </c>
      <c r="W381" s="349">
        <f t="shared" si="21"/>
        <v>9311.6180938178422</v>
      </c>
      <c r="X381" s="349">
        <f>IF(F381="","",'הזנה לתנאי סף'!Z381)</f>
        <v>800000</v>
      </c>
      <c r="Y381" s="351" t="s">
        <v>3740</v>
      </c>
      <c r="Z381" s="352" t="str">
        <f>IFERROR(VLOOKUP(G381*1,#REF!,3,0),"")</f>
        <v/>
      </c>
      <c r="AA381" s="349" t="str">
        <f>IF(OR($F381="",Z381=""),"",IFERROR(IF(Z381&gt;V381,MIN(Z381,T381)-V381,0),'תחום תמיכה ג'!$Q$2))</f>
        <v/>
      </c>
      <c r="AB381" s="353"/>
      <c r="AC381" s="260" t="str">
        <f t="shared" si="23"/>
        <v/>
      </c>
      <c r="AD381" s="358"/>
      <c r="AE381" s="180"/>
      <c r="AF381" s="355" t="str">
        <f>IF($C381="","",IFERROR(VLOOKUP($C381,גיליון1!$A:$E,2,0),"לא הגיש בקשה שוטפת"))</f>
        <v>תיאטרון</v>
      </c>
      <c r="AG381" s="355" t="str">
        <f>IF($C381="","",IFERROR(VLOOKUP($C381,גיליון1!$A:$E,3,0),"לא הגיש בקשה שוטפת"))</f>
        <v>מועד</v>
      </c>
      <c r="AH381" s="355" t="str">
        <f>IF($C381="","",IFERROR(VLOOKUP($C381,גיליון1!$A:$E,4,0),"לא הגיש בקשה שוטפת"))</f>
        <v>19-42-02-33</v>
      </c>
      <c r="AI381" s="355" t="str">
        <f>IF($C381="","",IFERROR(VLOOKUP($C381,גיליון1!$A:$E,5,0),"לא הגיש בקשה שוטפת"))</f>
        <v>תרבות ערבית ודרוזית</v>
      </c>
      <c r="AJ381" s="355">
        <f t="shared" si="22"/>
        <v>0</v>
      </c>
      <c r="AK381" s="15"/>
      <c r="AL381" s="15" t="s">
        <v>250</v>
      </c>
    </row>
    <row r="382" spans="1:38" ht="285.75" x14ac:dyDescent="0.25">
      <c r="A382" s="346">
        <f>'הזנה לתנאי סף'!B382</f>
        <v>352</v>
      </c>
      <c r="B382" s="347">
        <f>IF($F382="","",'הזנה לתנאי סף'!C382)</f>
        <v>1001348419</v>
      </c>
      <c r="C382" s="347">
        <f>IF($F382="","",'הזנה לתנאי סף'!D382)</f>
        <v>1001302056</v>
      </c>
      <c r="D382" s="347">
        <f>IF($F382="","",'הזנה לתנאי סף'!E382)</f>
        <v>41559387</v>
      </c>
      <c r="E382" s="348">
        <f>IF($F382="","",'הזנה לתנאי סף'!F382)</f>
        <v>20000055</v>
      </c>
      <c r="F382" s="348" t="str">
        <f>IF('הזנה לתנאי סף'!BL382=1,'הזנה לתנאי סף'!G382,"")</f>
        <v>מג'ד אל-כרום</v>
      </c>
      <c r="G382" s="348" t="str">
        <f>IF($F382="","",'הזנה לתנאי סף'!H382)</f>
        <v>עמותת אדים למוסיקה אומנות ותרבות (ע</v>
      </c>
      <c r="H382" s="348" t="str">
        <f>IF($F382="","",'הזנה לתנאי סף'!I382)</f>
        <v>אחר</v>
      </c>
      <c r="I382" s="349">
        <f>IF($F382="","",'הזנה לתנאי סף'!R382)</f>
        <v>444001</v>
      </c>
      <c r="J382" s="349">
        <f>IF($F382="","",'תחום תמיכה א'!P382)</f>
        <v>414533</v>
      </c>
      <c r="K382" s="177">
        <f>IF($F382="","",'הזנה לתנאי סף'!N382)</f>
        <v>0</v>
      </c>
      <c r="L382" s="177">
        <f>IF($F382="","",'הזנה לתנאי סף'!O382)</f>
        <v>1</v>
      </c>
      <c r="M382" s="177">
        <f>IF($F382="","",'הזנה לתנאי סף'!Q382)</f>
        <v>1</v>
      </c>
      <c r="N382" s="349">
        <f>IF($F382="","",'תחום תמיכה א'!AE382)</f>
        <v>22660.24002710441</v>
      </c>
      <c r="O382" s="178"/>
      <c r="P382" s="349">
        <f>IF($F382="","",'תחום תמיכה ב'!AC382)</f>
        <v>75674.956383637546</v>
      </c>
      <c r="Q382" s="349">
        <f>IF($F382="","",IF('תחום תמיכה ג'!O382="",0,'תחום תמיכה ג'!O382))</f>
        <v>0</v>
      </c>
      <c r="R382" s="349">
        <f t="shared" si="20"/>
        <v>2269.1175209590292</v>
      </c>
      <c r="S382" s="349">
        <f>IF($F382="","",'תחום תמיכה ב'!AE382)</f>
        <v>77944.073904596575</v>
      </c>
      <c r="T382" s="349">
        <f>IF($F382="","",IF(Q382='תחום תמיכה ג'!$Q$2,'תחום תמיכה ג'!$Q$2,IFERROR(SUMIF(N382:R382,"&gt;0"),'תחום תמיכה ג'!$Q$2)))</f>
        <v>100604.31393170098</v>
      </c>
      <c r="U382" s="349">
        <f>IF($F382="","",'הזנה לתנאי סף'!Y382)</f>
        <v>600000</v>
      </c>
      <c r="V382" s="350">
        <f>IF(F382="","",'הגבלה לסכום מבוקש '!AA382)</f>
        <v>113575.15440623443</v>
      </c>
      <c r="W382" s="349">
        <f t="shared" si="21"/>
        <v>28393.788601558608</v>
      </c>
      <c r="X382" s="349">
        <f>IF(F382="","",'הזנה לתנאי סף'!Z382)</f>
        <v>200000</v>
      </c>
      <c r="Y382" s="351" t="s">
        <v>3740</v>
      </c>
      <c r="Z382" s="352" t="str">
        <f>IFERROR(VLOOKUP(G382*1,#REF!,3,0),"")</f>
        <v/>
      </c>
      <c r="AA382" s="349" t="str">
        <f>IF(OR($F382="",Z382=""),"",IFERROR(IF(Z382&gt;V382,MIN(Z382,T382)-V382,0),'תחום תמיכה ג'!$Q$2))</f>
        <v/>
      </c>
      <c r="AB382" s="353"/>
      <c r="AC382" s="260" t="str">
        <f t="shared" si="23"/>
        <v/>
      </c>
      <c r="AD382" s="358"/>
      <c r="AE382" s="180"/>
      <c r="AF382" s="355" t="str">
        <f>IF($C382="","",IFERROR(VLOOKUP($C382,גיליון1!$A:$E,2,0),"לא הגיש בקשה שוטפת"))</f>
        <v>להקת מוסיקה</v>
      </c>
      <c r="AG382" s="355" t="str">
        <f>IF($C382="","",IFERROR(VLOOKUP($C382,גיליון1!$A:$E,3,0),"לא הגיש בקשה שוטפת"))</f>
        <v>מועד</v>
      </c>
      <c r="AH382" s="355" t="str">
        <f>IF($C382="","",IFERROR(VLOOKUP($C382,גיליון1!$A:$E,4,0),"לא הגיש בקשה שוטפת"))</f>
        <v>19-42-02-33</v>
      </c>
      <c r="AI382" s="355" t="str">
        <f>IF($C382="","",IFERROR(VLOOKUP($C382,גיליון1!$A:$E,5,0),"לא הגיש בקשה שוטפת"))</f>
        <v>תרבות ערבית ודרוזית</v>
      </c>
      <c r="AJ382" s="355">
        <f t="shared" si="22"/>
        <v>0</v>
      </c>
      <c r="AK382" s="15"/>
      <c r="AL382" s="15" t="s">
        <v>250</v>
      </c>
    </row>
    <row r="383" spans="1:38" ht="285.75" x14ac:dyDescent="0.25">
      <c r="A383" s="346">
        <f>'הזנה לתנאי סף'!B383</f>
        <v>353</v>
      </c>
      <c r="B383" s="347">
        <f>IF($F383="","",'הזנה לתנאי סף'!C383)</f>
        <v>1001347369</v>
      </c>
      <c r="C383" s="347">
        <f>IF($F383="","",'הזנה לתנאי סף'!D383)</f>
        <v>1001269042</v>
      </c>
      <c r="D383" s="347">
        <f>IF($F383="","",'הזנה לתנאי סף'!E383)</f>
        <v>41604114</v>
      </c>
      <c r="E383" s="348">
        <f>IF($F383="","",'הזנה לתנאי סף'!F383)</f>
        <v>20000201</v>
      </c>
      <c r="F383" s="348" t="str">
        <f>IF('הזנה לתנאי סף'!BL383=1,'הזנה לתנאי סף'!G383,"")</f>
        <v>תל אביב -יפו</v>
      </c>
      <c r="G383" s="348" t="str">
        <f>IF($F383="","",'הזנה לתנאי סף'!H383)</f>
        <v>העמותה לקונטאקט אימפרוביזציה בישראל</v>
      </c>
      <c r="H383" s="348" t="str">
        <f>IF($F383="","",'הזנה לתנאי סף'!I383)</f>
        <v>אחר</v>
      </c>
      <c r="I383" s="349">
        <f>IF($F383="","",'הזנה לתנאי סף'!R383)</f>
        <v>324782</v>
      </c>
      <c r="J383" s="349">
        <f>IF($F383="","",'תחום תמיכה א'!P383)</f>
        <v>378666</v>
      </c>
      <c r="K383" s="177">
        <f>IF($F383="","",'הזנה לתנאי סף'!N383)</f>
        <v>0</v>
      </c>
      <c r="L383" s="177">
        <f>IF($F383="","",'הזנה לתנאי סף'!O383)</f>
        <v>1</v>
      </c>
      <c r="M383" s="177">
        <f>IF($F383="","",'הזנה לתנאי סף'!Q383)</f>
        <v>1</v>
      </c>
      <c r="N383" s="349">
        <f>IF($F383="","",'תחום תמיכה א'!AE383)</f>
        <v>20699.588332179872</v>
      </c>
      <c r="O383" s="178"/>
      <c r="P383" s="349">
        <f>IF($F383="","",'תחום תמיכה ב'!AC383)</f>
        <v>55355.424163888296</v>
      </c>
      <c r="Q383" s="349">
        <f>IF($F383="","",IF('תחום תמיכה ג'!O383="",0,'תחום תמיכה ג'!O383))</f>
        <v>0</v>
      </c>
      <c r="R383" s="349">
        <f t="shared" si="20"/>
        <v>1659.8352857135833</v>
      </c>
      <c r="S383" s="349">
        <f>IF($F383="","",'תחום תמיכה ב'!AE383)</f>
        <v>57015.259449601879</v>
      </c>
      <c r="T383" s="349">
        <f>IF($F383="","",IF(Q383='תחום תמיכה ג'!$Q$2,'תחום תמיכה ג'!$Q$2,IFERROR(SUMIF(N383:R383,"&gt;0"),'תחום תמיכה ג'!$Q$2)))</f>
        <v>77714.847781781747</v>
      </c>
      <c r="U383" s="349">
        <f>IF($F383="","",'הזנה לתנאי סף'!Y383)</f>
        <v>30000</v>
      </c>
      <c r="V383" s="350">
        <f>IF(F383="","",'הגבלה לסכום מבוקש '!AA383)</f>
        <v>30000</v>
      </c>
      <c r="W383" s="349">
        <f t="shared" si="21"/>
        <v>7500</v>
      </c>
      <c r="X383" s="349">
        <f>IF(F383="","",'הזנה לתנאי סף'!Z383)</f>
        <v>10000</v>
      </c>
      <c r="Y383" s="351" t="s">
        <v>3740</v>
      </c>
      <c r="Z383" s="352" t="str">
        <f>IFERROR(VLOOKUP(G383*1,#REF!,3,0),"")</f>
        <v/>
      </c>
      <c r="AA383" s="349" t="str">
        <f>IF(OR($F383="",Z383=""),"",IFERROR(IF(Z383&gt;V383,MIN(Z383,T383)-V383,0),'תחום תמיכה ג'!$Q$2))</f>
        <v/>
      </c>
      <c r="AB383" s="353"/>
      <c r="AC383" s="260" t="str">
        <f t="shared" si="23"/>
        <v/>
      </c>
      <c r="AD383" s="358"/>
      <c r="AE383" s="180"/>
      <c r="AF383" s="355" t="str">
        <f>IF($C383="","",IFERROR(VLOOKUP($C383,גיליון1!$A:$E,2,0),"לא הגיש בקשה שוטפת"))</f>
        <v>תמיכה בפעילות עמותת הקונטקט בישראל</v>
      </c>
      <c r="AG383" s="355" t="str">
        <f>IF($C383="","",IFERROR(VLOOKUP($C383,גיליון1!$A:$E,3,0),"לא הגיש בקשה שוטפת"))</f>
        <v>חויב</v>
      </c>
      <c r="AH383" s="355" t="str">
        <f>IF($C383="","",IFERROR(VLOOKUP($C383,גיליון1!$A:$E,4,0),"לא הגיש בקשה שוטפת"))</f>
        <v>19-42-02-20</v>
      </c>
      <c r="AI383" s="355" t="str">
        <f>IF($C383="","",IFERROR(VLOOKUP($C383,גיליון1!$A:$E,5,0),"לא הגיש בקשה שוטפת"))</f>
        <v>מחול וארגוני גג</v>
      </c>
      <c r="AJ383" s="355">
        <f t="shared" si="22"/>
        <v>1</v>
      </c>
      <c r="AK383" s="15"/>
      <c r="AL383" s="15" t="s">
        <v>250</v>
      </c>
    </row>
    <row r="384" spans="1:38" ht="285.75" x14ac:dyDescent="0.25">
      <c r="A384" s="346">
        <f>'הזנה לתנאי סף'!B384</f>
        <v>354</v>
      </c>
      <c r="B384" s="347">
        <f>IF($F384="","",'הזנה לתנאי סף'!C384)</f>
        <v>1001350655</v>
      </c>
      <c r="C384" s="347">
        <f>IF($F384="","",'הזנה לתנאי סף'!D384)</f>
        <v>1001273979</v>
      </c>
      <c r="D384" s="347">
        <f>IF($F384="","",'הזנה לתנאי סף'!E384)</f>
        <v>41626750</v>
      </c>
      <c r="E384" s="348">
        <f>IF($F384="","",'הזנה לתנאי סף'!F384)</f>
        <v>20000250</v>
      </c>
      <c r="F384" s="348" t="str">
        <f>IF('הזנה לתנאי סף'!BL384=1,'הזנה לתנאי סף'!G384,"")</f>
        <v>רמת גן</v>
      </c>
      <c r="G384" s="348" t="str">
        <f>IF($F384="","",'הזנה לתנאי סף'!H384)</f>
        <v>להקת מחול רועי אסף (ע"ר)</v>
      </c>
      <c r="H384" s="348" t="str">
        <f>IF($F384="","",'הזנה לתנאי סף'!I384)</f>
        <v>מחול</v>
      </c>
      <c r="I384" s="349">
        <f>IF($F384="","",'הזנה לתנאי סף'!R384)</f>
        <v>424050</v>
      </c>
      <c r="J384" s="349">
        <f>IF($F384="","",'תחום תמיכה א'!P384)</f>
        <v>488292</v>
      </c>
      <c r="K384" s="177">
        <f>IF($F384="","",'הזנה לתנאי סף'!N384)</f>
        <v>0</v>
      </c>
      <c r="L384" s="177">
        <f>IF($F384="","",'הזנה לתנאי סף'!O384)</f>
        <v>1</v>
      </c>
      <c r="M384" s="177">
        <f>IF($F384="","",'הזנה לתנאי סף'!Q384)</f>
        <v>1</v>
      </c>
      <c r="N384" s="349">
        <f>IF($F384="","",'תחום תמיכה א'!AE384)</f>
        <v>19808.593528973739</v>
      </c>
      <c r="O384" s="178"/>
      <c r="P384" s="349">
        <f>IF($F384="","",'תחום תמיכה ב'!AC384)</f>
        <v>39803.61974319844</v>
      </c>
      <c r="Q384" s="349">
        <f>IF($F384="","",IF('תחום תמיכה ג'!O384="",0,'תחום תמיכה ג'!O384))</f>
        <v>0</v>
      </c>
      <c r="R384" s="349">
        <f t="shared" si="20"/>
        <v>1193.513617622797</v>
      </c>
      <c r="S384" s="349">
        <f>IF($F384="","",'תחום תמיכה ב'!AE384)</f>
        <v>40997.133360821237</v>
      </c>
      <c r="T384" s="349">
        <f>IF($F384="","",IF(Q384='תחום תמיכה ג'!$Q$2,'תחום תמיכה ג'!$Q$2,IFERROR(SUMIF(N384:R384,"&gt;0"),'תחום תמיכה ג'!$Q$2)))</f>
        <v>60805.726889794976</v>
      </c>
      <c r="U384" s="349">
        <f>IF($F384="","",'הזנה לתנאי סף'!Y384)</f>
        <v>250000</v>
      </c>
      <c r="V384" s="350">
        <f>IF(F384="","",'הגבלה לסכום מבוקש '!AA384)</f>
        <v>67631.740164676085</v>
      </c>
      <c r="W384" s="349">
        <f t="shared" si="21"/>
        <v>16907.935041169021</v>
      </c>
      <c r="X384" s="349">
        <f>IF(F384="","",'הזנה לתנאי סף'!Z384)</f>
        <v>30000</v>
      </c>
      <c r="Y384" s="351" t="s">
        <v>3740</v>
      </c>
      <c r="Z384" s="352" t="str">
        <f>IFERROR(VLOOKUP(G384*1,#REF!,3,0),"")</f>
        <v/>
      </c>
      <c r="AA384" s="349" t="str">
        <f>IF(OR($F384="",Z384=""),"",IFERROR(IF(Z384&gt;V384,MIN(Z384,T384)-V384,0),'תחום תמיכה ג'!$Q$2))</f>
        <v/>
      </c>
      <c r="AB384" s="353"/>
      <c r="AC384" s="260" t="str">
        <f t="shared" si="23"/>
        <v/>
      </c>
      <c r="AD384" s="358"/>
      <c r="AE384" s="180"/>
      <c r="AF384" s="355" t="str">
        <f>IF($C384="","",IFERROR(VLOOKUP($C384,גיליון1!$A:$E,2,0),"לא הגיש בקשה שוטפת"))</f>
        <v>בקשת תמיכה ליוצר רועי אסף</v>
      </c>
      <c r="AG384" s="355" t="str">
        <f>IF($C384="","",IFERROR(VLOOKUP($C384,גיליון1!$A:$E,3,0),"לא הגיש בקשה שוטפת"))</f>
        <v>נעסף</v>
      </c>
      <c r="AH384" s="355" t="str">
        <f>IF($C384="","",IFERROR(VLOOKUP($C384,גיליון1!$A:$E,4,0),"לא הגיש בקשה שוטפת"))</f>
        <v>19-42-02-20</v>
      </c>
      <c r="AI384" s="355" t="str">
        <f>IF($C384="","",IFERROR(VLOOKUP($C384,גיליון1!$A:$E,5,0),"לא הגיש בקשה שוטפת"))</f>
        <v>מחול וארגוני גג</v>
      </c>
      <c r="AJ384" s="355">
        <f t="shared" si="22"/>
        <v>0</v>
      </c>
      <c r="AK384" s="15"/>
      <c r="AL384" s="15" t="s">
        <v>250</v>
      </c>
    </row>
    <row r="385" spans="1:38" ht="285.75" x14ac:dyDescent="0.25">
      <c r="A385" s="346">
        <f>'הזנה לתנאי סף'!B385</f>
        <v>355</v>
      </c>
      <c r="B385" s="347">
        <f>IF($F385="","",'הזנה לתנאי סף'!C385)</f>
        <v>1001347018</v>
      </c>
      <c r="C385" s="347">
        <f>IF($F385="","",'הזנה לתנאי סף'!D385)</f>
        <v>1001271538</v>
      </c>
      <c r="D385" s="347">
        <f>IF($F385="","",'הזנה לתנאי סף'!E385)</f>
        <v>41627319</v>
      </c>
      <c r="E385" s="348">
        <f>IF($F385="","",'הזנה לתנאי סף'!F385)</f>
        <v>20000159</v>
      </c>
      <c r="F385" s="348" t="str">
        <f>IF('הזנה לתנאי סף'!BL385=1,'הזנה לתנאי סף'!G385,"")</f>
        <v>ירושלים</v>
      </c>
      <c r="G385" s="348" t="str">
        <f>IF($F385="","",'הזנה לתנאי סף'!H385)</f>
        <v>ק.ט.מ.ו.ן - קבוצת מחול בירושלים (ע'</v>
      </c>
      <c r="H385" s="348" t="str">
        <f>IF($F385="","",'הזנה לתנאי סף'!I385)</f>
        <v>מחול</v>
      </c>
      <c r="I385" s="349">
        <f>IF($F385="","",'הזנה לתנאי סף'!R385)</f>
        <v>350497</v>
      </c>
      <c r="J385" s="349">
        <f>IF($F385="","",'תחום תמיכה א'!P385)</f>
        <v>375151</v>
      </c>
      <c r="K385" s="177">
        <f>IF($F385="","",'הזנה לתנאי סף'!N385)</f>
        <v>1</v>
      </c>
      <c r="L385" s="177">
        <f>IF($F385="","",'הזנה לתנאי סף'!O385)</f>
        <v>0</v>
      </c>
      <c r="M385" s="177">
        <f>IF($F385="","",'הזנה לתנאי סף'!Q385)</f>
        <v>1</v>
      </c>
      <c r="N385" s="349">
        <f>IF($F385="","",'תחום תמיכה א'!AE385)</f>
        <v>11714.15041213421</v>
      </c>
      <c r="O385" s="178"/>
      <c r="P385" s="349">
        <f>IF($F385="","",'תחום תמיכה ב'!AC385)</f>
        <v>19491.762851529078</v>
      </c>
      <c r="Q385" s="349">
        <f>IF($F385="","",IF('תחום תמיכה ג'!O385="",0,'תחום תמיכה ג'!O385))</f>
        <v>3369.5094742727329</v>
      </c>
      <c r="R385" s="349">
        <f t="shared" si="20"/>
        <v>584.46152749083558</v>
      </c>
      <c r="S385" s="349">
        <f>IF($F385="","",'תחום תמיכה ב'!AE385)</f>
        <v>20076.224379019914</v>
      </c>
      <c r="T385" s="349">
        <f>IF($F385="","",IF(Q385='תחום תמיכה ג'!$Q$2,'תחום תמיכה ג'!$Q$2,IFERROR(SUMIF(N385:R385,"&gt;0"),'תחום תמיכה ג'!$Q$2)))</f>
        <v>35159.884265426852</v>
      </c>
      <c r="U385" s="349">
        <f>IF($F385="","",'הזנה לתנאי סף'!Y385)</f>
        <v>50000</v>
      </c>
      <c r="V385" s="350">
        <f>IF(F385="","",'הגבלה לסכום מבוקש '!AA385)</f>
        <v>38505.022223020787</v>
      </c>
      <c r="W385" s="349">
        <f t="shared" si="21"/>
        <v>9626.2555557551968</v>
      </c>
      <c r="X385" s="349">
        <f>IF(F385="","",'הזנה לתנאי סף'!Z385)</f>
        <v>315558</v>
      </c>
      <c r="Y385" s="351" t="s">
        <v>3740</v>
      </c>
      <c r="Z385" s="352" t="str">
        <f>IFERROR(VLOOKUP(G385*1,#REF!,3,0),"")</f>
        <v/>
      </c>
      <c r="AA385" s="349" t="str">
        <f>IF(OR($F385="",Z385=""),"",IFERROR(IF(Z385&gt;V385,MIN(Z385,T385)-V385,0),'תחום תמיכה ג'!$Q$2))</f>
        <v/>
      </c>
      <c r="AB385" s="353"/>
      <c r="AC385" s="260" t="str">
        <f t="shared" si="23"/>
        <v/>
      </c>
      <c r="AD385" s="358"/>
      <c r="AE385" s="180"/>
      <c r="AF385" s="355" t="str">
        <f>IF($C385="","",IFERROR(VLOOKUP($C385,גיליון1!$A:$E,2,0),"לא הגיש בקשה שוטפת"))</f>
        <v>מחול</v>
      </c>
      <c r="AG385" s="355" t="str">
        <f>IF($C385="","",IFERROR(VLOOKUP($C385,גיליון1!$A:$E,3,0),"לא הגיש בקשה שוטפת"))</f>
        <v>חויב</v>
      </c>
      <c r="AH385" s="355" t="str">
        <f>IF($C385="","",IFERROR(VLOOKUP($C385,גיליון1!$A:$E,4,0),"לא הגיש בקשה שוטפת"))</f>
        <v>19-42-02-20</v>
      </c>
      <c r="AI385" s="355" t="str">
        <f>IF($C385="","",IFERROR(VLOOKUP($C385,גיליון1!$A:$E,5,0),"לא הגיש בקשה שוטפת"))</f>
        <v>מחול וארגוני גג</v>
      </c>
      <c r="AJ385" s="355">
        <f t="shared" si="22"/>
        <v>0</v>
      </c>
      <c r="AK385" s="15"/>
      <c r="AL385" s="15" t="s">
        <v>250</v>
      </c>
    </row>
    <row r="386" spans="1:38" ht="285.75" x14ac:dyDescent="0.25">
      <c r="A386" s="346">
        <f>'הזנה לתנאי סף'!B386</f>
        <v>356</v>
      </c>
      <c r="B386" s="347">
        <f>IF($F386="","",'הזנה לתנאי סף'!C386)</f>
        <v>1001348655</v>
      </c>
      <c r="C386" s="347">
        <f>IF($F386="","",'הזנה לתנאי סף'!D386)</f>
        <v>1001266859</v>
      </c>
      <c r="D386" s="347">
        <f>IF($F386="","",'הזנה לתנאי סף'!E386)</f>
        <v>41633210</v>
      </c>
      <c r="E386" s="348">
        <f>IF($F386="","",'הזנה לתנאי סף'!F386)</f>
        <v>20000052</v>
      </c>
      <c r="F386" s="348" t="str">
        <f>IF('הזנה לתנאי סף'!BL386=1,'הזנה לתנאי סף'!G386,"")</f>
        <v>כפר כנא</v>
      </c>
      <c r="G386" s="348" t="str">
        <f>IF($F386="","",'הזנה לתנאי סף'!H386)</f>
        <v>סול (ע''ר)</v>
      </c>
      <c r="H386" s="348" t="str">
        <f>IF($F386="","",'הזנה לתנאי סף'!I386)</f>
        <v>אחר</v>
      </c>
      <c r="I386" s="349">
        <f>IF($F386="","",'הזנה לתנאי סף'!R386)</f>
        <v>212774</v>
      </c>
      <c r="J386" s="349">
        <f>IF($F386="","",'תחום תמיכה א'!P386)</f>
        <v>244759</v>
      </c>
      <c r="K386" s="177">
        <f>IF($F386="","",'הזנה לתנאי סף'!N386)</f>
        <v>0</v>
      </c>
      <c r="L386" s="177">
        <f>IF($F386="","",'הזנה לתנאי סף'!O386)</f>
        <v>1</v>
      </c>
      <c r="M386" s="177">
        <f>IF($F386="","",'הזנה לתנאי סף'!Q386)</f>
        <v>1</v>
      </c>
      <c r="N386" s="349">
        <f>IF($F386="","",'תחום תמיכה א'!AE386)</f>
        <v>13379.62885655436</v>
      </c>
      <c r="O386" s="178"/>
      <c r="P386" s="349">
        <f>IF($F386="","",'תחום תמיכה ב'!AC386)</f>
        <v>36264.925460915838</v>
      </c>
      <c r="Q386" s="349">
        <f>IF($F386="","",IF('תחום תמיכה ג'!O386="",0,'תחום תמיכה ג'!O386))</f>
        <v>0</v>
      </c>
      <c r="R386" s="349">
        <f t="shared" si="20"/>
        <v>1087.405684682104</v>
      </c>
      <c r="S386" s="349">
        <f>IF($F386="","",'תחום תמיכה ב'!AE386)</f>
        <v>37352.331145597942</v>
      </c>
      <c r="T386" s="349">
        <f>IF($F386="","",IF(Q386='תחום תמיכה ג'!$Q$2,'תחום תמיכה ג'!$Q$2,IFERROR(SUMIF(N386:R386,"&gt;0"),'תחום תמיכה ג'!$Q$2)))</f>
        <v>50731.9600021523</v>
      </c>
      <c r="U386" s="349">
        <f>IF($F386="","",'הזנה לתנאי סף'!Y386)</f>
        <v>450000</v>
      </c>
      <c r="V386" s="350">
        <f>IF(F386="","",'הגבלה לסכום מבוקש '!AA386)</f>
        <v>56948.989126187247</v>
      </c>
      <c r="W386" s="349">
        <f t="shared" si="21"/>
        <v>14237.247281546812</v>
      </c>
      <c r="X386" s="349">
        <f>IF(F386="","",'הזנה לתנאי סף'!Z386)</f>
        <v>50000</v>
      </c>
      <c r="Y386" s="351" t="s">
        <v>3740</v>
      </c>
      <c r="Z386" s="352" t="str">
        <f>IFERROR(VLOOKUP(G386*1,#REF!,3,0),"")</f>
        <v/>
      </c>
      <c r="AA386" s="349" t="str">
        <f>IF(OR($F386="",Z386=""),"",IFERROR(IF(Z386&gt;V386,MIN(Z386,T386)-V386,0),'תחום תמיכה ג'!$Q$2))</f>
        <v/>
      </c>
      <c r="AB386" s="353"/>
      <c r="AC386" s="260" t="str">
        <f t="shared" si="23"/>
        <v/>
      </c>
      <c r="AD386" s="358"/>
      <c r="AE386" s="180"/>
      <c r="AF386" s="355" t="str">
        <f>IF($C386="","",IFERROR(VLOOKUP($C386,גיליון1!$A:$E,2,0),"לא הגיש בקשה שוטפת"))</f>
        <v>תמיכה בפעילותה השוטפת של העמותה בתחום המ</v>
      </c>
      <c r="AG386" s="355" t="str">
        <f>IF($C386="","",IFERROR(VLOOKUP($C386,גיליון1!$A:$E,3,0),"לא הגיש בקשה שוטפת"))</f>
        <v>מועד</v>
      </c>
      <c r="AH386" s="355" t="str">
        <f>IF($C386="","",IFERROR(VLOOKUP($C386,גיליון1!$A:$E,4,0),"לא הגיש בקשה שוטפת"))</f>
        <v>19-42-02-33</v>
      </c>
      <c r="AI386" s="355" t="str">
        <f>IF($C386="","",IFERROR(VLOOKUP($C386,גיליון1!$A:$E,5,0),"לא הגיש בקשה שוטפת"))</f>
        <v>תרבות ערבית ודרוזית</v>
      </c>
      <c r="AJ386" s="355">
        <f t="shared" si="22"/>
        <v>0</v>
      </c>
      <c r="AK386" s="15"/>
      <c r="AL386" s="15" t="s">
        <v>250</v>
      </c>
    </row>
    <row r="387" spans="1:38" ht="285.75" x14ac:dyDescent="0.25">
      <c r="A387" s="346">
        <f>'הזנה לתנאי סף'!B387</f>
        <v>357</v>
      </c>
      <c r="B387" s="347">
        <f>IF($F387="","",'הזנה לתנאי סף'!C387)</f>
        <v>1001347153</v>
      </c>
      <c r="C387" s="347">
        <f>IF($F387="","",'הזנה לתנאי סף'!D387)</f>
        <v>1001280237</v>
      </c>
      <c r="D387" s="347">
        <f>IF($F387="","",'הזנה לתנאי סף'!E387)</f>
        <v>41634844</v>
      </c>
      <c r="E387" s="348">
        <f>IF($F387="","",'הזנה לתנאי סף'!F387)</f>
        <v>20000201</v>
      </c>
      <c r="F387" s="348" t="str">
        <f>IF('הזנה לתנאי סף'!BL387=1,'הזנה לתנאי סף'!G387,"")</f>
        <v>תל אביב -יפו</v>
      </c>
      <c r="G387" s="348" t="str">
        <f>IF($F387="","",'הזנה לתנאי סף'!H387)</f>
        <v>האורקסטרה - תזמורת הג'אז הישראלית (</v>
      </c>
      <c r="H387" s="348" t="str">
        <f>IF($F387="","",'הזנה לתנאי סף'!I387)</f>
        <v>אחר</v>
      </c>
      <c r="I387" s="349">
        <f>IF($F387="","",'הזנה לתנאי סף'!R387)</f>
        <v>378579</v>
      </c>
      <c r="J387" s="349">
        <f>IF($F387="","",'תחום תמיכה א'!P387)</f>
        <v>418256</v>
      </c>
      <c r="K387" s="177">
        <f>IF($F387="","",'הזנה לתנאי סף'!N387)</f>
        <v>0</v>
      </c>
      <c r="L387" s="177">
        <f>IF($F387="","",'הזנה לתנאי סף'!O387)</f>
        <v>1</v>
      </c>
      <c r="M387" s="177">
        <f>IF($F387="","",'הזנה לתנאי סף'!Q387)</f>
        <v>1</v>
      </c>
      <c r="N387" s="349">
        <f>IF($F387="","",'תחום תמיכה א'!AE387)</f>
        <v>5953.5425884471651</v>
      </c>
      <c r="O387" s="178"/>
      <c r="P387" s="349">
        <f>IF($F387="","",'תחום תמיכה ב'!AC387)</f>
        <v>4375.024888078995</v>
      </c>
      <c r="Q387" s="349">
        <f>IF($F387="","",IF('תחום תמיכה ג'!O387="",0,'תחום תמיכה ג'!O387))</f>
        <v>0</v>
      </c>
      <c r="R387" s="349">
        <f t="shared" si="20"/>
        <v>131.18534985133374</v>
      </c>
      <c r="S387" s="349">
        <f>IF($F387="","",'תחום תמיכה ב'!AE387)</f>
        <v>4506.2102379303287</v>
      </c>
      <c r="T387" s="349">
        <f>IF($F387="","",IF(Q387='תחום תמיכה ג'!$Q$2,'תחום תמיכה ג'!$Q$2,IFERROR(SUMIF(N387:R387,"&gt;0"),'תחום תמיכה ג'!$Q$2)))</f>
        <v>10459.752826377495</v>
      </c>
      <c r="U387" s="349">
        <f>IF($F387="","",'הזנה לתנאי סף'!Y387)</f>
        <v>600000</v>
      </c>
      <c r="V387" s="350">
        <f>IF(F387="","",'הגבלה לסכום מבוקש '!AA387)</f>
        <v>11211.755232741454</v>
      </c>
      <c r="W387" s="349">
        <f t="shared" si="21"/>
        <v>2802.9388081853635</v>
      </c>
      <c r="X387" s="349">
        <f>IF(F387="","",'הזנה לתנאי סף'!Z387)</f>
        <v>600000</v>
      </c>
      <c r="Y387" s="351" t="s">
        <v>3740</v>
      </c>
      <c r="Z387" s="352" t="str">
        <f>IFERROR(VLOOKUP(G387*1,#REF!,3,0),"")</f>
        <v/>
      </c>
      <c r="AA387" s="349" t="str">
        <f>IF(OR($F387="",Z387=""),"",IFERROR(IF(Z387&gt;V387,MIN(Z387,T387)-V387,0),'תחום תמיכה ג'!$Q$2))</f>
        <v/>
      </c>
      <c r="AB387" s="353"/>
      <c r="AC387" s="260" t="str">
        <f t="shared" si="23"/>
        <v/>
      </c>
      <c r="AD387" s="358"/>
      <c r="AE387" s="180"/>
      <c r="AF387" s="355" t="str">
        <f>IF($C387="","",IFERROR(VLOOKUP($C387,גיליון1!$A:$E,2,0),"לא הגיש בקשה שוטפת"))</f>
        <v>תמיכה בפעילות האורקסטרה-תזמורת הג'אז היש</v>
      </c>
      <c r="AG387" s="355" t="str">
        <f>IF($C387="","",IFERROR(VLOOKUP($C387,גיליון1!$A:$E,3,0),"לא הגיש בקשה שוטפת"))</f>
        <v>מועד</v>
      </c>
      <c r="AH387" s="355" t="str">
        <f>IF($C387="","",IFERROR(VLOOKUP($C387,גיליון1!$A:$E,4,0),"לא הגיש בקשה שוטפת"))</f>
        <v>19-42-02-16</v>
      </c>
      <c r="AI387" s="355" t="str">
        <f>IF($C387="","",IFERROR(VLOOKUP($C387,גיליון1!$A:$E,5,0),"לא הגיש בקשה שוטפת"))</f>
        <v>מוסיקה</v>
      </c>
      <c r="AJ387" s="355">
        <f t="shared" si="22"/>
        <v>0</v>
      </c>
      <c r="AK387" s="15"/>
      <c r="AL387" s="15" t="s">
        <v>250</v>
      </c>
    </row>
    <row r="388" spans="1:38" ht="285.75" x14ac:dyDescent="0.25">
      <c r="A388" s="346">
        <f>'הזנה לתנאי סף'!B388</f>
        <v>358</v>
      </c>
      <c r="B388" s="347">
        <f>IF($F388="","",'הזנה לתנאי סף'!C388)</f>
        <v>1001350425</v>
      </c>
      <c r="C388" s="347">
        <f>IF($F388="","",'הזנה לתנאי סף'!D388)</f>
        <v>1001302446</v>
      </c>
      <c r="D388" s="347">
        <f>IF($F388="","",'הזנה לתנאי סף'!E388)</f>
        <v>40528079</v>
      </c>
      <c r="E388" s="348">
        <f>IF($F388="","",'הזנה לתנאי סף'!F388)</f>
        <v>20000201</v>
      </c>
      <c r="F388" s="348" t="str">
        <f>IF('הזנה לתנאי סף'!BL388=1,'הזנה לתנאי סף'!G388,"")</f>
        <v>תל אביב -יפו</v>
      </c>
      <c r="G388" s="348" t="str">
        <f>IF($F388="","",'הזנה לתנאי סף'!H388)</f>
        <v>"קבוצת עבודה" - עמותה ליצירה וקידום</v>
      </c>
      <c r="H388" s="348" t="str">
        <f>IF($F388="","",'הזנה לתנאי סף'!I388)</f>
        <v>קבוצות תיאטרון</v>
      </c>
      <c r="I388" s="349">
        <f>IF($F388="","",'הזנה לתנאי סף'!R388)</f>
        <v>298734</v>
      </c>
      <c r="J388" s="349">
        <f>IF($F388="","",'תחום תמיכה א'!P388)</f>
        <v>269450</v>
      </c>
      <c r="K388" s="177">
        <f>IF($F388="","",'הזנה לתנאי סף'!N388)</f>
        <v>0</v>
      </c>
      <c r="L388" s="177">
        <f>IF($F388="","",'הזנה לתנאי סף'!O388)</f>
        <v>1</v>
      </c>
      <c r="M388" s="177">
        <f>IF($F388="","",'הזנה לתנאי סף'!Q388)</f>
        <v>1</v>
      </c>
      <c r="N388" s="349">
        <f>IF($F388="","",'תחום תמיכה א'!AE388)</f>
        <v>5809.8133397134134</v>
      </c>
      <c r="O388" s="178"/>
      <c r="P388" s="349">
        <f>IF($F388="","",'תחום תמיכה ב'!AC388)</f>
        <v>7921.5483139843036</v>
      </c>
      <c r="Q388" s="349">
        <f>IF($F388="","",IF('תחום תמיכה ג'!O388="",0,'תחום תמיכה ג'!O388))</f>
        <v>0</v>
      </c>
      <c r="R388" s="349">
        <f t="shared" si="20"/>
        <v>237.52804007260511</v>
      </c>
      <c r="S388" s="349">
        <f>IF($F388="","",'תחום תמיכה ב'!AE388)</f>
        <v>8159.0763540569087</v>
      </c>
      <c r="T388" s="349">
        <f>IF($F388="","",IF(Q388='תחום תמיכה ג'!$Q$2,'תחום תמיכה ג'!$Q$2,IFERROR(SUMIF(N388:R388,"&gt;0"),'תחום תמיכה ג'!$Q$2)))</f>
        <v>13968.889693770321</v>
      </c>
      <c r="U388" s="349">
        <f>IF($F388="","",'הזנה לתנאי סף'!Y388)</f>
        <v>704000</v>
      </c>
      <c r="V388" s="350">
        <f>IF(F388="","",'הגבלה לסכום מבוקש '!AA388)</f>
        <v>15328.224393435137</v>
      </c>
      <c r="W388" s="349">
        <f t="shared" si="21"/>
        <v>3832.0560983587843</v>
      </c>
      <c r="X388" s="349">
        <f>IF(F388="","",'הזנה לתנאי סף'!Z388)</f>
        <v>40000</v>
      </c>
      <c r="Y388" s="351" t="s">
        <v>3740</v>
      </c>
      <c r="Z388" s="352" t="str">
        <f>IFERROR(VLOOKUP(G388*1,#REF!,3,0),"")</f>
        <v/>
      </c>
      <c r="AA388" s="349" t="str">
        <f>IF(OR($F388="",Z388=""),"",IFERROR(IF(Z388&gt;V388,MIN(Z388,T388)-V388,0),'תחום תמיכה ג'!$Q$2))</f>
        <v/>
      </c>
      <c r="AB388" s="353"/>
      <c r="AC388" s="260" t="str">
        <f t="shared" si="23"/>
        <v/>
      </c>
      <c r="AD388" s="358"/>
      <c r="AE388" s="180"/>
      <c r="AF388" s="355" t="str">
        <f>IF($C388="","",IFERROR(VLOOKUP($C388,גיליון1!$A:$E,2,0),"לא הגיש בקשה שוטפת"))</f>
        <v>תמיכה שוטפת בקבוצת תיאטרון</v>
      </c>
      <c r="AG388" s="355" t="str">
        <f>IF($C388="","",IFERROR(VLOOKUP($C388,גיליון1!$A:$E,3,0),"לא הגיש בקשה שוטפת"))</f>
        <v>מועד</v>
      </c>
      <c r="AH388" s="355" t="str">
        <f>IF($C388="","",IFERROR(VLOOKUP($C388,גיליון1!$A:$E,4,0),"לא הגיש בקשה שוטפת"))</f>
        <v>19-42-02-07</v>
      </c>
      <c r="AI388" s="355" t="str">
        <f>IF($C388="","",IFERROR(VLOOKUP($C388,גיליון1!$A:$E,5,0),"לא הגיש בקשה שוטפת"))</f>
        <v>תיאטרון</v>
      </c>
      <c r="AJ388" s="355">
        <f t="shared" si="22"/>
        <v>0</v>
      </c>
      <c r="AK388" s="15"/>
      <c r="AL388" s="15" t="s">
        <v>250</v>
      </c>
    </row>
    <row r="389" spans="1:38" ht="285.75" x14ac:dyDescent="0.25">
      <c r="A389" s="346">
        <f>'הזנה לתנאי סף'!B389</f>
        <v>359</v>
      </c>
      <c r="B389" s="347">
        <f>IF($F389="","",'הזנה לתנאי סף'!C389)</f>
        <v>1001350430</v>
      </c>
      <c r="C389" s="347">
        <f>IF($F389="","",'הזנה לתנאי סף'!D389)</f>
        <v>1001302428</v>
      </c>
      <c r="D389" s="347">
        <f>IF($F389="","",'הזנה לתנאי סף'!E389)</f>
        <v>40528079</v>
      </c>
      <c r="E389" s="348">
        <f>IF($F389="","",'הזנה לתנאי סף'!F389)</f>
        <v>20000201</v>
      </c>
      <c r="F389" s="348" t="str">
        <f>IF('הזנה לתנאי סף'!BL389=1,'הזנה לתנאי סף'!G389,"")</f>
        <v>תל אביב -יפו</v>
      </c>
      <c r="G389" s="348" t="str">
        <f>IF($F389="","",'הזנה לתנאי סף'!H389)</f>
        <v>"קבוצת עבודה" - עמותה ליצירה וקידום</v>
      </c>
      <c r="H389" s="348" t="str">
        <f>IF($F389="","",'הזנה לתנאי סף'!I389)</f>
        <v>אחר</v>
      </c>
      <c r="I389" s="349">
        <f>IF($F389="","",'הזנה לתנאי סף'!R389)</f>
        <v>78803</v>
      </c>
      <c r="J389" s="349">
        <f>IF($F389="","",'תחום תמיכה א'!P389)</f>
        <v>78803</v>
      </c>
      <c r="K389" s="177">
        <f>IF($F389="","",'הזנה לתנאי סף'!N389)</f>
        <v>0</v>
      </c>
      <c r="L389" s="177">
        <f>IF($F389="","",'הזנה לתנאי סף'!O389)</f>
        <v>1</v>
      </c>
      <c r="M389" s="177">
        <f>IF($F389="","",'הזנה לתנאי סף'!Q389)</f>
        <v>1</v>
      </c>
      <c r="N389" s="349">
        <f>IF($F389="","",'תחום תמיכה א'!AE389)</f>
        <v>1079.0772704104161</v>
      </c>
      <c r="O389" s="178"/>
      <c r="P389" s="349">
        <f>IF($F389="","",'תחום תמיכה ב'!AC389)</f>
        <v>842.79078126726733</v>
      </c>
      <c r="Q389" s="349">
        <f>IF($F389="","",IF('תחום תמיכה ג'!O389="",0,'תחום תמיכה ג'!O389))</f>
        <v>0</v>
      </c>
      <c r="R389" s="349">
        <f t="shared" si="20"/>
        <v>25.271125609658156</v>
      </c>
      <c r="S389" s="349">
        <f>IF($F389="","",'תחום תמיכה ב'!AE389)</f>
        <v>868.06190687692549</v>
      </c>
      <c r="T389" s="349">
        <f>IF($F389="","",IF(Q389='תחום תמיכה ג'!$Q$2,'תחום תמיכה ג'!$Q$2,IFERROR(SUMIF(N389:R389,"&gt;0"),'תחום תמיכה ג'!$Q$2)))</f>
        <v>1947.1391772873417</v>
      </c>
      <c r="U389" s="349">
        <f>IF($F389="","",'הזנה לתנאי סף'!Y389)</f>
        <v>270000</v>
      </c>
      <c r="V389" s="350">
        <f>IF(F389="","",'הגבלה לסכום מבוקש '!AA389)</f>
        <v>2091.9716437448183</v>
      </c>
      <c r="W389" s="349">
        <f t="shared" si="21"/>
        <v>522.99291093620457</v>
      </c>
      <c r="X389" s="349">
        <f>IF(F389="","",'הזנה לתנאי סף'!Z389)</f>
        <v>40000</v>
      </c>
      <c r="Y389" s="351" t="s">
        <v>3740</v>
      </c>
      <c r="Z389" s="352" t="str">
        <f>IFERROR(VLOOKUP(G389*1,#REF!,3,0),"")</f>
        <v/>
      </c>
      <c r="AA389" s="349" t="str">
        <f>IF(OR($F389="",Z389=""),"",IFERROR(IF(Z389&gt;V389,MIN(Z389,T389)-V389,0),'תחום תמיכה ג'!$Q$2))</f>
        <v/>
      </c>
      <c r="AB389" s="353"/>
      <c r="AC389" s="260" t="str">
        <f t="shared" si="23"/>
        <v/>
      </c>
      <c r="AD389" s="358"/>
      <c r="AE389" s="180"/>
      <c r="AF389" s="355" t="str">
        <f>IF($C389="","",IFERROR(VLOOKUP($C389,גיליון1!$A:$E,2,0),"לא הגיש בקשה שוטפת"))</f>
        <v>יוזמה - הקרן לפיתוח מחזאות ישראלית</v>
      </c>
      <c r="AG389" s="355" t="str">
        <f>IF($C389="","",IFERROR(VLOOKUP($C389,גיליון1!$A:$E,3,0),"לא הגיש בקשה שוטפת"))</f>
        <v>מועד</v>
      </c>
      <c r="AH389" s="355" t="str">
        <f>IF($C389="","",IFERROR(VLOOKUP($C389,גיליון1!$A:$E,4,0),"לא הגיש בקשה שוטפת"))</f>
        <v>19-42-02-07</v>
      </c>
      <c r="AI389" s="355" t="str">
        <f>IF($C389="","",IFERROR(VLOOKUP($C389,גיליון1!$A:$E,5,0),"לא הגיש בקשה שוטפת"))</f>
        <v>תיאטרון</v>
      </c>
      <c r="AJ389" s="355">
        <f t="shared" si="22"/>
        <v>0</v>
      </c>
      <c r="AK389" s="15"/>
      <c r="AL389" s="15" t="s">
        <v>250</v>
      </c>
    </row>
    <row r="390" spans="1:38" ht="285.75" x14ac:dyDescent="0.25">
      <c r="A390" s="346">
        <f>'הזנה לתנאי סף'!B390</f>
        <v>360</v>
      </c>
      <c r="B390" s="347">
        <f>IF($F390="","",'הזנה לתנאי סף'!C390)</f>
        <v>1001351067</v>
      </c>
      <c r="C390" s="347">
        <f>IF($F390="","",'הזנה לתנאי סף'!D390)</f>
        <v>1001268525</v>
      </c>
      <c r="D390" s="347">
        <f>IF($F390="","",'הזנה לתנאי סף'!E390)</f>
        <v>40001704</v>
      </c>
      <c r="E390" s="348">
        <f>IF($F390="","",'הזנה לתנאי סף'!F390)</f>
        <v>20000261</v>
      </c>
      <c r="F390" s="348" t="str">
        <f>IF('הזנה לתנאי סף'!BL390=1,'הזנה לתנאי סף'!G390,"")</f>
        <v>הוד השרון</v>
      </c>
      <c r="G390" s="348" t="str">
        <f>IF($F390="","",'הזנה לתנאי סף'!H390)</f>
        <v>מרכז ישראלי למקהלות ולחבורות זמר (ע</v>
      </c>
      <c r="H390" s="348" t="str">
        <f>IF($F390="","",'הזנה לתנאי סף'!I390)</f>
        <v>אחר</v>
      </c>
      <c r="I390" s="349">
        <f>IF($F390="","",'הזנה לתנאי סף'!R390)</f>
        <v>139995</v>
      </c>
      <c r="J390" s="349">
        <f>IF($F390="","",'תחום תמיכה א'!P390)</f>
        <v>226301</v>
      </c>
      <c r="K390" s="177">
        <f>IF($F390="","",'הזנה לתנאי סף'!N390)</f>
        <v>0</v>
      </c>
      <c r="L390" s="177">
        <f>IF($F390="","",'הזנה לתנאי סף'!O390)</f>
        <v>1</v>
      </c>
      <c r="M390" s="177">
        <f>IF($F390="","",'הזנה לתנאי סף'!Q390)</f>
        <v>1</v>
      </c>
      <c r="N390" s="349">
        <f>IF($F390="","",'תחום תמיכה א'!AE390)</f>
        <v>10033.647366246243</v>
      </c>
      <c r="O390" s="178"/>
      <c r="P390" s="349">
        <f>IF($F390="","",'תחום תמיכה ב'!AC390)</f>
        <v>15696.92865577637</v>
      </c>
      <c r="Q390" s="349">
        <f>IF($F390="","",IF('תחום תמיכה ג'!O390="",0,'תחום תמיכה ג'!O390))</f>
        <v>0</v>
      </c>
      <c r="R390" s="349">
        <f t="shared" si="20"/>
        <v>470.67322586217597</v>
      </c>
      <c r="S390" s="349">
        <f>IF($F390="","",'תחום תמיכה ב'!AE390)</f>
        <v>16167.601881638546</v>
      </c>
      <c r="T390" s="349">
        <f>IF($F390="","",IF(Q390='תחום תמיכה ג'!$Q$2,'תחום תמיכה ג'!$Q$2,IFERROR(SUMIF(N390:R390,"&gt;0"),'תחום תמיכה ג'!$Q$2)))</f>
        <v>26201.249247884793</v>
      </c>
      <c r="U390" s="349">
        <f>IF($F390="","",'הזנה לתנאי סף'!Y390)</f>
        <v>70000</v>
      </c>
      <c r="V390" s="350">
        <f>IF(F390="","",'הגבלה לסכום מבוקש '!AA390)</f>
        <v>28894.162952171762</v>
      </c>
      <c r="W390" s="349">
        <f t="shared" si="21"/>
        <v>7223.5407380429406</v>
      </c>
      <c r="X390" s="349">
        <f>IF(F390="","",'הזנה לתנאי סף'!Z390)</f>
        <v>70000</v>
      </c>
      <c r="Y390" s="351" t="s">
        <v>3740</v>
      </c>
      <c r="Z390" s="352" t="str">
        <f>IFERROR(VLOOKUP(G390*1,#REF!,3,0),"")</f>
        <v/>
      </c>
      <c r="AA390" s="349" t="str">
        <f>IF(OR($F390="",Z390=""),"",IFERROR(IF(Z390&gt;V390,MIN(Z390,T390)-V390,0),'תחום תמיכה ג'!$Q$2))</f>
        <v/>
      </c>
      <c r="AB390" s="353"/>
      <c r="AC390" s="260" t="str">
        <f t="shared" si="23"/>
        <v/>
      </c>
      <c r="AD390" s="358"/>
      <c r="AE390" s="180"/>
      <c r="AF390" s="355" t="str">
        <f>IF($C390="","",IFERROR(VLOOKUP($C390,גיליון1!$A:$E,2,0),"לא הגיש בקשה שוטפת"))</f>
        <v>תמיכה בפעילויות מקהלת ווקאלוסיטי</v>
      </c>
      <c r="AG390" s="355" t="str">
        <f>IF($C390="","",IFERROR(VLOOKUP($C390,גיליון1!$A:$E,3,0),"לא הגיש בקשה שוטפת"))</f>
        <v>מועד</v>
      </c>
      <c r="AH390" s="355" t="str">
        <f>IF($C390="","",IFERROR(VLOOKUP($C390,גיליון1!$A:$E,4,0),"לא הגיש בקשה שוטפת"))</f>
        <v>19-42-02-16</v>
      </c>
      <c r="AI390" s="355" t="str">
        <f>IF($C390="","",IFERROR(VLOOKUP($C390,גיליון1!$A:$E,5,0),"לא הגיש בקשה שוטפת"))</f>
        <v>מוסיקה</v>
      </c>
      <c r="AJ390" s="355">
        <f t="shared" si="22"/>
        <v>0</v>
      </c>
      <c r="AK390" s="15"/>
      <c r="AL390" s="15" t="s">
        <v>250</v>
      </c>
    </row>
    <row r="391" spans="1:38" ht="285.75" x14ac:dyDescent="0.25">
      <c r="A391" s="346">
        <f>'הזנה לתנאי סף'!B391</f>
        <v>361</v>
      </c>
      <c r="B391" s="347">
        <f>IF($F391="","",'הזנה לתנאי סף'!C391)</f>
        <v>1001349845</v>
      </c>
      <c r="C391" s="347">
        <f>IF($F391="","",'הזנה לתנאי סף'!D391)</f>
        <v>1001302427</v>
      </c>
      <c r="D391" s="347">
        <f>IF($F391="","",'הזנה לתנאי סף'!E391)</f>
        <v>40000242</v>
      </c>
      <c r="E391" s="348">
        <f>IF($F391="","",'הזנה לתנאי סף'!F391)</f>
        <v>20000159</v>
      </c>
      <c r="F391" s="348" t="str">
        <f>IF('הזנה לתנאי סף'!BL391=1,'הזנה לתנאי סף'!G391,"")</f>
        <v>ירושלים</v>
      </c>
      <c r="G391" s="348" t="str">
        <f>IF($F391="","",'הזנה לתנאי סף'!H391)</f>
        <v>הזירה הבין-תחומית (ע"ר)</v>
      </c>
      <c r="H391" s="348" t="str">
        <f>IF($F391="","",'הזנה לתנאי סף'!I391)</f>
        <v>ספרות</v>
      </c>
      <c r="I391" s="349">
        <f>IF($F391="","",'הזנה לתנאי סף'!R391)</f>
        <v>86963</v>
      </c>
      <c r="J391" s="349">
        <f>IF($F391="","",'תחום תמיכה א'!P391)</f>
        <v>101570</v>
      </c>
      <c r="K391" s="177">
        <f>IF($F391="","",'הזנה לתנאי סף'!N391)</f>
        <v>1</v>
      </c>
      <c r="L391" s="177">
        <f>IF($F391="","",'הזנה לתנאי סף'!O391)</f>
        <v>0</v>
      </c>
      <c r="M391" s="177">
        <f>IF($F391="","",'הזנה לתנאי סף'!Q391)</f>
        <v>1</v>
      </c>
      <c r="N391" s="349">
        <f>IF($F391="","",'תחום תמיכה א'!AE391)</f>
        <v>1404.6205444200612</v>
      </c>
      <c r="O391" s="178"/>
      <c r="P391" s="349">
        <f>IF($F391="","",'תחום תמיכה ב'!AC391)</f>
        <v>948.59117358252956</v>
      </c>
      <c r="Q391" s="349">
        <f>IF($F391="","",IF('תחום תמיכה ג'!O391="",0,'תחום תמיכה ג'!O391))</f>
        <v>163.98141978969767</v>
      </c>
      <c r="R391" s="349">
        <f t="shared" si="20"/>
        <v>28.443555900993147</v>
      </c>
      <c r="S391" s="349">
        <f>IF($F391="","",'תחום תמיכה ב'!AE391)</f>
        <v>977.03472948352271</v>
      </c>
      <c r="T391" s="349">
        <f>IF($F391="","",IF(Q391='תחום תמיכה ג'!$Q$2,'תחום תמיכה ג'!$Q$2,IFERROR(SUMIF(N391:R391,"&gt;0"),'תחום תמיכה ג'!$Q$2)))</f>
        <v>2545.6366936932814</v>
      </c>
      <c r="U391" s="349">
        <f>IF($F391="","",'הזנה לתנאי סף'!Y391)</f>
        <v>50000</v>
      </c>
      <c r="V391" s="350">
        <f>IF(F391="","",'הגבלה לסכום מבוקש '!AA391)</f>
        <v>2708.8120295336939</v>
      </c>
      <c r="W391" s="349">
        <f t="shared" si="21"/>
        <v>677.20300738342348</v>
      </c>
      <c r="X391" s="349">
        <f>IF(F391="","",'הזנה לתנאי סף'!Z391)</f>
        <v>64963</v>
      </c>
      <c r="Y391" s="351" t="s">
        <v>3740</v>
      </c>
      <c r="Z391" s="352" t="str">
        <f>IFERROR(VLOOKUP(G391*1,#REF!,3,0),"")</f>
        <v/>
      </c>
      <c r="AA391" s="349" t="str">
        <f>IF(OR($F391="",Z391=""),"",IFERROR(IF(Z391&gt;V391,MIN(Z391,T391)-V391,0),'תחום תמיכה ג'!$Q$2))</f>
        <v/>
      </c>
      <c r="AB391" s="353"/>
      <c r="AC391" s="260" t="str">
        <f t="shared" si="23"/>
        <v/>
      </c>
      <c r="AD391" s="358"/>
      <c r="AE391" s="180"/>
      <c r="AF391" s="355" t="str">
        <f>IF($C391="","",IFERROR(VLOOKUP($C391,גיליון1!$A:$E,2,0),"לא הגיש בקשה שוטפת"))</f>
        <v>ספרות הזירה הבין תחומית</v>
      </c>
      <c r="AG391" s="355" t="str">
        <f>IF($C391="","",IFERROR(VLOOKUP($C391,גיליון1!$A:$E,3,0),"לא הגיש בקשה שוטפת"))</f>
        <v>טיוט</v>
      </c>
      <c r="AH391" s="355" t="str">
        <f>IF($C391="","",IFERROR(VLOOKUP($C391,גיליון1!$A:$E,4,0),"לא הגיש בקשה שוטפת"))</f>
        <v>19-42-02-69</v>
      </c>
      <c r="AI391" s="355" t="str">
        <f>IF($C391="","",IFERROR(VLOOKUP($C391,גיליון1!$A:$E,5,0),"לא הגיש בקשה שוטפת"))</f>
        <v>ספרות הרשאה</v>
      </c>
      <c r="AJ391" s="355">
        <f t="shared" si="22"/>
        <v>0</v>
      </c>
      <c r="AK391" s="15"/>
      <c r="AL391" s="15" t="s">
        <v>250</v>
      </c>
    </row>
    <row r="392" spans="1:38" ht="285.75" x14ac:dyDescent="0.25">
      <c r="A392" s="346">
        <f>'הזנה לתנאי סף'!B392</f>
        <v>362</v>
      </c>
      <c r="B392" s="347">
        <f>IF($F392="","",'הזנה לתנאי סף'!C392)</f>
        <v>1001350439</v>
      </c>
      <c r="C392" s="347">
        <f>IF($F392="","",'הזנה לתנאי סף'!D392)</f>
        <v>1001290693</v>
      </c>
      <c r="D392" s="347">
        <f>IF($F392="","",'הזנה לתנאי סף'!E392)</f>
        <v>40822203</v>
      </c>
      <c r="E392" s="348">
        <f>IF($F392="","",'הזנה לתנאי סף'!F392)</f>
        <v>20000159</v>
      </c>
      <c r="F392" s="348" t="str">
        <f>IF('הזנה לתנאי סף'!BL392=1,'הזנה לתנאי סף'!G392,"")</f>
        <v>ירושלים</v>
      </c>
      <c r="G392" s="348" t="str">
        <f>IF($F392="","",'הזנה לתנאי סף'!H392)</f>
        <v>הערת שוליים (ע"ר)</v>
      </c>
      <c r="H392" s="348" t="str">
        <f>IF($F392="","",'הזנה לתנאי סף'!I392)</f>
        <v>אחר</v>
      </c>
      <c r="I392" s="349">
        <f>IF($F392="","",'הזנה לתנאי סף'!R392)</f>
        <v>190000</v>
      </c>
      <c r="J392" s="349">
        <f>IF($F392="","",'תחום תמיכה א'!P392)</f>
        <v>1854413</v>
      </c>
      <c r="K392" s="177">
        <f>IF($F392="","",'הזנה לתנאי סף'!N392)</f>
        <v>1</v>
      </c>
      <c r="L392" s="177">
        <f>IF($F392="","",'הזנה לתנאי סף'!O392)</f>
        <v>0</v>
      </c>
      <c r="M392" s="177">
        <f>IF($F392="","",'הזנה לתנאי סף'!Q392)</f>
        <v>1</v>
      </c>
      <c r="N392" s="349">
        <f>IF($F392="","",'תחום תמיכה א'!AE392)</f>
        <v>51823.299571995427</v>
      </c>
      <c r="O392" s="178"/>
      <c r="P392" s="349">
        <f>IF($F392="","",'תחום תמיכה ב'!AC392)</f>
        <v>8463.4656281897842</v>
      </c>
      <c r="Q392" s="349">
        <f>IF($F392="","",IF('תחום תמיכה ג'!O392="",0,'תחום תמיכה ג'!O392))</f>
        <v>1463.0655952768257</v>
      </c>
      <c r="R392" s="349">
        <f t="shared" si="20"/>
        <v>253.7774590526551</v>
      </c>
      <c r="S392" s="349">
        <f>IF($F392="","",'תחום תמיכה ב'!AE392)</f>
        <v>8717.2430872424393</v>
      </c>
      <c r="T392" s="349">
        <f>IF($F392="","",IF(Q392='תחום תמיכה ג'!$Q$2,'תחום תמיכה ג'!$Q$2,IFERROR(SUMIF(N392:R392,"&gt;0"),'תחום תמיכה ג'!$Q$2)))</f>
        <v>62003.608254514693</v>
      </c>
      <c r="U392" s="349">
        <f>IF($F392="","",'הזנה לתנאי סף'!Y392)</f>
        <v>300000</v>
      </c>
      <c r="V392" s="350">
        <f>IF(F392="","",'הגבלה לסכום מבוקש '!AA392)</f>
        <v>63477.372118036474</v>
      </c>
      <c r="W392" s="349">
        <f t="shared" si="21"/>
        <v>15869.343029509118</v>
      </c>
      <c r="X392" s="349">
        <f>IF(F392="","",'הזנה לתנאי סף'!Z392)</f>
        <v>300000</v>
      </c>
      <c r="Y392" s="351" t="s">
        <v>3740</v>
      </c>
      <c r="Z392" s="352" t="str">
        <f>IFERROR(VLOOKUP(G392*1,#REF!,3,0),"")</f>
        <v/>
      </c>
      <c r="AA392" s="349" t="str">
        <f>IF(OR($F392="",Z392=""),"",IFERROR(IF(Z392&gt;V392,MIN(Z392,T392)-V392,0),'תחום תמיכה ג'!$Q$2))</f>
        <v/>
      </c>
      <c r="AB392" s="353"/>
      <c r="AC392" s="260" t="str">
        <f t="shared" si="23"/>
        <v/>
      </c>
      <c r="AD392" s="358"/>
      <c r="AE392" s="180"/>
      <c r="AF392" s="355" t="str">
        <f>IF($C392="","",IFERROR(VLOOKUP($C392,גיליון1!$A:$E,2,0),"לא הגיש בקשה שוטפת"))</f>
        <v>חלל תצוגה מעמותה</v>
      </c>
      <c r="AG392" s="355" t="str">
        <f>IF($C392="","",IFERROR(VLOOKUP($C392,גיליון1!$A:$E,3,0),"לא הגיש בקשה שוטפת"))</f>
        <v>מועד</v>
      </c>
      <c r="AH392" s="355" t="str">
        <f>IF($C392="","",IFERROR(VLOOKUP($C392,גיליון1!$A:$E,4,0),"לא הגיש בקשה שוטפת"))</f>
        <v>19-42-02-18</v>
      </c>
      <c r="AI392" s="355" t="str">
        <f>IF($C392="","",IFERROR(VLOOKUP($C392,גיליון1!$A:$E,5,0),"לא הגיש בקשה שוטפת"))</f>
        <v>מוזיאונים ואמנות פלס</v>
      </c>
      <c r="AJ392" s="355">
        <f t="shared" si="22"/>
        <v>0</v>
      </c>
      <c r="AK392" s="15"/>
      <c r="AL392" s="15" t="s">
        <v>250</v>
      </c>
    </row>
    <row r="393" spans="1:38" ht="285.75" x14ac:dyDescent="0.25">
      <c r="A393" s="346">
        <f>'הזנה לתנאי סף'!B393</f>
        <v>363</v>
      </c>
      <c r="B393" s="347">
        <f>IF($F393="","",'הזנה לתנאי סף'!C393)</f>
        <v>1001349364</v>
      </c>
      <c r="C393" s="347">
        <f>IF($F393="","",'הזנה לתנאי סף'!D393)</f>
        <v>1001264263</v>
      </c>
      <c r="D393" s="347">
        <f>IF($F393="","",'הזנה לתנאי סף'!E393)</f>
        <v>40000712</v>
      </c>
      <c r="E393" s="348">
        <f>IF($F393="","",'הזנה לתנאי סף'!F393)</f>
        <v>20000201</v>
      </c>
      <c r="F393" s="348" t="str">
        <f>IF('הזנה לתנאי סף'!BL393=1,'הזנה לתנאי סף'!G393,"")</f>
        <v>תל אביב -יפו</v>
      </c>
      <c r="G393" s="348" t="str">
        <f>IF($F393="","",'הזנה לתנאי סף'!H393)</f>
        <v>התיאטרון הקאמרי של תל אביב</v>
      </c>
      <c r="H393" s="348" t="str">
        <f>IF($F393="","",'הזנה לתנאי סף'!I393)</f>
        <v>תיאטרון</v>
      </c>
      <c r="I393" s="349">
        <f>IF($F393="","",'הזנה לתנאי סף'!R393)</f>
        <v>80055138</v>
      </c>
      <c r="J393" s="349">
        <f>IF($F393="","",'תחום תמיכה א'!P393)</f>
        <v>80025040</v>
      </c>
      <c r="K393" s="177">
        <f>IF($F393="","",'הזנה לתנאי סף'!N393)</f>
        <v>1</v>
      </c>
      <c r="L393" s="177">
        <f>IF($F393="","",'הזנה לתנאי סף'!O393)</f>
        <v>0</v>
      </c>
      <c r="M393" s="177">
        <f>IF($F393="","",'הזנה לתנאי סף'!Q393)</f>
        <v>1</v>
      </c>
      <c r="N393" s="349">
        <f>IF($F393="","",'תחום תמיכה א'!AE393)</f>
        <v>2940253.6871149824</v>
      </c>
      <c r="O393" s="178"/>
      <c r="P393" s="349">
        <f>IF($F393="","",'תחום תמיכה ב'!AC393)</f>
        <v>6164025.9098986294</v>
      </c>
      <c r="Q393" s="349">
        <f>IF($F393="","",IF('תחום תמיכה ג'!O393="",0,'תחום תמיכה ג'!O393))</f>
        <v>2584839.6953770877</v>
      </c>
      <c r="R393" s="349">
        <f t="shared" si="20"/>
        <v>184828.63896067813</v>
      </c>
      <c r="S393" s="349">
        <f>IF($F393="","",'תחום תמיכה ב'!AE393)</f>
        <v>6348854.5488593075</v>
      </c>
      <c r="T393" s="349">
        <f>IF($F393="","",IF(Q393='תחום תמיכה ג'!$Q$2,'תחום תמיכה ג'!$Q$2,IFERROR(SUMIF(N393:R393,"&gt;0"),'תחום תמיכה ג'!$Q$2)))</f>
        <v>11873947.931351377</v>
      </c>
      <c r="U393" s="349">
        <f>IF($F393="","",'הזנה לתנאי סף'!Y393)</f>
        <v>20000000</v>
      </c>
      <c r="V393" s="350">
        <f>IF(F393="","",'הגבלה לסכום מבוקש '!AA393)</f>
        <v>12932149.725383358</v>
      </c>
      <c r="W393" s="349">
        <f t="shared" si="21"/>
        <v>3233037.4313458395</v>
      </c>
      <c r="X393" s="349">
        <f>IF(F393="","",'הזנה לתנאי סף'!Z393)</f>
        <v>4000000</v>
      </c>
      <c r="Y393" s="351" t="s">
        <v>3740</v>
      </c>
      <c r="Z393" s="352" t="str">
        <f>IFERROR(VLOOKUP(G393*1,#REF!,3,0),"")</f>
        <v/>
      </c>
      <c r="AA393" s="349" t="str">
        <f>IF(OR($F393="",Z393=""),"",IFERROR(IF(Z393&gt;V393,MIN(Z393,T393)-V393,0),'תחום תמיכה ג'!$Q$2))</f>
        <v/>
      </c>
      <c r="AB393" s="353"/>
      <c r="AC393" s="260" t="str">
        <f t="shared" si="23"/>
        <v/>
      </c>
      <c r="AD393" s="358"/>
      <c r="AE393" s="180"/>
      <c r="AF393" s="355" t="str">
        <f>IF($C393="","",IFERROR(VLOOKUP($C393,גיליון1!$A:$E,2,0),"לא הגיש בקשה שוטפת"))</f>
        <v>תמיכה שוטפת</v>
      </c>
      <c r="AG393" s="355" t="str">
        <f>IF($C393="","",IFERROR(VLOOKUP($C393,גיליון1!$A:$E,3,0),"לא הגיש בקשה שוטפת"))</f>
        <v>חויב</v>
      </c>
      <c r="AH393" s="355" t="str">
        <f>IF($C393="","",IFERROR(VLOOKUP($C393,גיליון1!$A:$E,4,0),"לא הגיש בקשה שוטפת"))</f>
        <v>19-42-02-07</v>
      </c>
      <c r="AI393" s="355" t="str">
        <f>IF($C393="","",IFERROR(VLOOKUP($C393,גיליון1!$A:$E,5,0),"לא הגיש בקשה שוטפת"))</f>
        <v>תיאטרון</v>
      </c>
      <c r="AJ393" s="355">
        <f t="shared" si="22"/>
        <v>0</v>
      </c>
      <c r="AK393" s="15"/>
      <c r="AL393" s="15" t="s">
        <v>250</v>
      </c>
    </row>
    <row r="394" spans="1:38" ht="285.75" x14ac:dyDescent="0.25">
      <c r="A394" s="346">
        <f>'הזנה לתנאי סף'!B394</f>
        <v>364</v>
      </c>
      <c r="B394" s="347">
        <f>IF($F394="","",'הזנה לתנאי סף'!C394)</f>
        <v>1001349371</v>
      </c>
      <c r="C394" s="347">
        <f>IF($F394="","",'הזנה לתנאי סף'!D394)</f>
        <v>1001264795</v>
      </c>
      <c r="D394" s="347">
        <f>IF($F394="","",'הזנה לתנאי סף'!E394)</f>
        <v>40000712</v>
      </c>
      <c r="E394" s="348">
        <f>IF($F394="","",'הזנה לתנאי סף'!F394)</f>
        <v>20000201</v>
      </c>
      <c r="F394" s="348" t="str">
        <f>IF('הזנה לתנאי סף'!BL394=1,'הזנה לתנאי סף'!G394,"")</f>
        <v>תל אביב -יפו</v>
      </c>
      <c r="G394" s="348" t="str">
        <f>IF($F394="","",'הזנה לתנאי סף'!H394)</f>
        <v>התיאטרון הקאמרי של תל אביב</v>
      </c>
      <c r="H394" s="348" t="str">
        <f>IF($F394="","",'הזנה לתנאי סף'!I394)</f>
        <v>סינמטקים ופסטיבלים</v>
      </c>
      <c r="I394" s="349">
        <f>IF($F394="","",'הזנה לתנאי סף'!R394)</f>
        <v>1182685</v>
      </c>
      <c r="J394" s="349">
        <f>IF($F394="","",'תחום תמיכה א'!P394)</f>
        <v>1182685</v>
      </c>
      <c r="K394" s="177">
        <f>IF($F394="","",'הזנה לתנאי סף'!N394)</f>
        <v>1</v>
      </c>
      <c r="L394" s="177">
        <f>IF($F394="","",'הזנה לתנאי סף'!O394)</f>
        <v>0</v>
      </c>
      <c r="M394" s="177">
        <f>IF($F394="","",'הזנה לתנאי סף'!Q394)</f>
        <v>1</v>
      </c>
      <c r="N394" s="349">
        <f>IF($F394="","",'תחום תמיכה א'!AE394)</f>
        <v>36202.167790236708</v>
      </c>
      <c r="O394" s="178"/>
      <c r="P394" s="349">
        <f>IF($F394="","",'תחום תמיכה ב'!AC394)</f>
        <v>63205.883087034468</v>
      </c>
      <c r="Q394" s="349">
        <f>IF($F394="","",IF('תחום תמיכה ג'!O394="",0,'תחום תמיכה ג'!O394))</f>
        <v>26504.930052673451</v>
      </c>
      <c r="R394" s="349">
        <f t="shared" si="20"/>
        <v>1895.2317066876931</v>
      </c>
      <c r="S394" s="349">
        <f>IF($F394="","",'תחום תמיכה ב'!AE394)</f>
        <v>65101.114793722161</v>
      </c>
      <c r="T394" s="349">
        <f>IF($F394="","",IF(Q394='תחום תמיכה ג'!$Q$2,'תחום תמיכה ג'!$Q$2,IFERROR(SUMIF(N394:R394,"&gt;0"),'תחום תמיכה ג'!$Q$2)))</f>
        <v>127808.21263663232</v>
      </c>
      <c r="U394" s="349">
        <f>IF($F394="","",'הזנה לתנאי סף'!Y394)</f>
        <v>400000</v>
      </c>
      <c r="V394" s="350">
        <f>IF(F394="","",'הגבלה לסכום מבוקש '!AA394)</f>
        <v>138661.76321824989</v>
      </c>
      <c r="W394" s="349">
        <f t="shared" si="21"/>
        <v>34665.440804562473</v>
      </c>
      <c r="X394" s="349">
        <f>IF(F394="","",'הזנה לתנאי סף'!Z394)</f>
        <v>1</v>
      </c>
      <c r="Y394" s="351" t="s">
        <v>3740</v>
      </c>
      <c r="Z394" s="352" t="str">
        <f>IFERROR(VLOOKUP(G394*1,#REF!,3,0),"")</f>
        <v/>
      </c>
      <c r="AA394" s="349" t="str">
        <f>IF(OR($F394="",Z394=""),"",IFERROR(IF(Z394&gt;V394,MIN(Z394,T394)-V394,0),'תחום תמיכה ג'!$Q$2))</f>
        <v/>
      </c>
      <c r="AB394" s="353"/>
      <c r="AC394" s="260" t="str">
        <f t="shared" si="23"/>
        <v/>
      </c>
      <c r="AD394" s="358"/>
      <c r="AE394" s="180"/>
      <c r="AF394" s="355" t="str">
        <f>IF($C394="","",IFERROR(VLOOKUP($C394,גיליון1!$A:$E,2,0),"לא הגיש בקשה שוטפת"))</f>
        <v>פסטיבל 2020 בקאמרי</v>
      </c>
      <c r="AG394" s="355" t="str">
        <f>IF($C394="","",IFERROR(VLOOKUP($C394,גיליון1!$A:$E,3,0),"לא הגיש בקשה שוטפת"))</f>
        <v>טיוט</v>
      </c>
      <c r="AH394" s="355" t="str">
        <f>IF($C394="","",IFERROR(VLOOKUP($C394,גיליון1!$A:$E,4,0),"לא הגיש בקשה שוטפת"))</f>
        <v>19-42-02-26</v>
      </c>
      <c r="AI394" s="355" t="str">
        <f>IF($C394="","",IFERROR(VLOOKUP($C394,גיליון1!$A:$E,5,0),"לא הגיש בקשה שוטפת"))</f>
        <v>פסטיבלים לתרבות</v>
      </c>
      <c r="AJ394" s="355">
        <f t="shared" si="22"/>
        <v>0</v>
      </c>
      <c r="AK394" s="15"/>
      <c r="AL394" s="15" t="s">
        <v>250</v>
      </c>
    </row>
    <row r="395" spans="1:38" ht="285.75" x14ac:dyDescent="0.25">
      <c r="A395" s="346">
        <f>'הזנה לתנאי סף'!B395</f>
        <v>365</v>
      </c>
      <c r="B395" s="347" t="str">
        <f>IF($F395="","",'הזנה לתנאי סף'!C395)</f>
        <v/>
      </c>
      <c r="C395" s="347" t="str">
        <f>IF($F395="","",'הזנה לתנאי סף'!D395)</f>
        <v/>
      </c>
      <c r="D395" s="347" t="str">
        <f>IF($F395="","",'הזנה לתנאי סף'!E395)</f>
        <v/>
      </c>
      <c r="E395" s="348" t="str">
        <f>IF($F395="","",'הזנה לתנאי סף'!F395)</f>
        <v/>
      </c>
      <c r="F395" s="348" t="str">
        <f>IF('הזנה לתנאי סף'!BL395=1,'הזנה לתנאי סף'!G395,"")</f>
        <v/>
      </c>
      <c r="G395" s="348" t="str">
        <f>IF($F395="","",'הזנה לתנאי סף'!H395)</f>
        <v/>
      </c>
      <c r="H395" s="348" t="str">
        <f>IF($F395="","",'הזנה לתנאי סף'!I395)</f>
        <v/>
      </c>
      <c r="I395" s="349" t="str">
        <f>IF($F395="","",'הזנה לתנאי סף'!R395)</f>
        <v/>
      </c>
      <c r="J395" s="349" t="str">
        <f>IF($F395="","",'תחום תמיכה א'!P395)</f>
        <v/>
      </c>
      <c r="K395" s="177" t="str">
        <f>IF($F395="","",'הזנה לתנאי סף'!N395)</f>
        <v/>
      </c>
      <c r="L395" s="177" t="str">
        <f>IF($F395="","",'הזנה לתנאי סף'!O395)</f>
        <v/>
      </c>
      <c r="M395" s="177" t="str">
        <f>IF($F395="","",'הזנה לתנאי סף'!Q395)</f>
        <v/>
      </c>
      <c r="N395" s="349" t="str">
        <f>IF($F395="","",'תחום תמיכה א'!AE395)</f>
        <v/>
      </c>
      <c r="O395" s="178"/>
      <c r="P395" s="349" t="str">
        <f>IF($F395="","",'תחום תמיכה ב'!AC395)</f>
        <v/>
      </c>
      <c r="Q395" s="349" t="str">
        <f>IF($F395="","",IF('תחום תמיכה ג'!O395="",0,'תחום תמיכה ג'!O395))</f>
        <v/>
      </c>
      <c r="R395" s="349" t="str">
        <f t="shared" si="20"/>
        <v/>
      </c>
      <c r="S395" s="349" t="str">
        <f>IF($F395="","",'תחום תמיכה ב'!AE395)</f>
        <v/>
      </c>
      <c r="T395" s="349" t="str">
        <f>IF($F395="","",IF(Q395='תחום תמיכה ג'!$Q$2,'תחום תמיכה ג'!$Q$2,IFERROR(SUMIF(N395:R395,"&gt;0"),'תחום תמיכה ג'!$Q$2)))</f>
        <v/>
      </c>
      <c r="U395" s="349" t="str">
        <f>IF($F395="","",'הזנה לתנאי סף'!Y395)</f>
        <v/>
      </c>
      <c r="V395" s="350" t="str">
        <f>IF(F395="","",'הגבלה לסכום מבוקש '!AA395)</f>
        <v/>
      </c>
      <c r="W395" s="349" t="str">
        <f t="shared" si="21"/>
        <v/>
      </c>
      <c r="X395" s="349" t="str">
        <f>IF(F395="","",'הזנה לתנאי סף'!Z395)</f>
        <v/>
      </c>
      <c r="Y395" s="351" t="s">
        <v>3740</v>
      </c>
      <c r="Z395" s="352" t="str">
        <f>IFERROR(VLOOKUP(G395*1,#REF!,3,0),"")</f>
        <v/>
      </c>
      <c r="AA395" s="349" t="str">
        <f>IF(OR($F395="",Z395=""),"",IFERROR(IF(Z395&gt;V395,MIN(Z395,T395)-V395,0),'תחום תמיכה ג'!$Q$2))</f>
        <v/>
      </c>
      <c r="AB395" s="353"/>
      <c r="AC395" s="260" t="str">
        <f t="shared" si="23"/>
        <v/>
      </c>
      <c r="AD395" s="358"/>
      <c r="AE395" s="180"/>
      <c r="AF395" s="355" t="str">
        <f>IF($C395="","",IFERROR(VLOOKUP($C395,גיליון1!$A:$E,2,0),"לא הגיש בקשה שוטפת"))</f>
        <v/>
      </c>
      <c r="AG395" s="355" t="str">
        <f>IF($C395="","",IFERROR(VLOOKUP($C395,גיליון1!$A:$E,3,0),"לא הגיש בקשה שוטפת"))</f>
        <v/>
      </c>
      <c r="AH395" s="355" t="str">
        <f>IF($C395="","",IFERROR(VLOOKUP($C395,גיליון1!$A:$E,4,0),"לא הגיש בקשה שוטפת"))</f>
        <v/>
      </c>
      <c r="AI395" s="355" t="str">
        <f>IF($C395="","",IFERROR(VLOOKUP($C395,גיליון1!$A:$E,5,0),"לא הגיש בקשה שוטפת"))</f>
        <v/>
      </c>
      <c r="AJ395" s="355">
        <f t="shared" si="22"/>
        <v>0</v>
      </c>
      <c r="AK395" s="15"/>
      <c r="AL395" s="15" t="s">
        <v>250</v>
      </c>
    </row>
    <row r="396" spans="1:38" ht="285.75" x14ac:dyDescent="0.25">
      <c r="A396" s="346">
        <f>'הזנה לתנאי סף'!B396</f>
        <v>366</v>
      </c>
      <c r="B396" s="347">
        <f>IF($F396="","",'הזנה לתנאי סף'!C396)</f>
        <v>1001350452</v>
      </c>
      <c r="C396" s="347">
        <f>IF($F396="","",'הזנה לתנאי סף'!D396)</f>
        <v>1001302119</v>
      </c>
      <c r="D396" s="347">
        <f>IF($F396="","",'הזנה לתנאי סף'!E396)</f>
        <v>41484947</v>
      </c>
      <c r="E396" s="348">
        <f>IF($F396="","",'הזנה לתנאי סף'!F396)</f>
        <v>20000033</v>
      </c>
      <c r="F396" s="348" t="str">
        <f>IF('הזנה לתנאי סף'!BL396=1,'הזנה לתנאי סף'!G396,"")</f>
        <v>אכסאל</v>
      </c>
      <c r="G396" s="348" t="str">
        <f>IF($F396="","",'הזנה לתנאי סף'!H396)</f>
        <v>עמותת מוג'תמענא</v>
      </c>
      <c r="H396" s="348" t="str">
        <f>IF($F396="","",'הזנה לתנאי סף'!I396)</f>
        <v>מחול</v>
      </c>
      <c r="I396" s="349">
        <f>IF($F396="","",'הזנה לתנאי סף'!R396)</f>
        <v>33926</v>
      </c>
      <c r="J396" s="349">
        <f>IF($F396="","",'תחום תמיכה א'!P396)</f>
        <v>36909</v>
      </c>
      <c r="K396" s="177">
        <f>IF($F396="","",'הזנה לתנאי סף'!N396)</f>
        <v>0</v>
      </c>
      <c r="L396" s="177">
        <f>IF($F396="","",'הזנה לתנאי סף'!O396)</f>
        <v>1</v>
      </c>
      <c r="M396" s="177">
        <f>IF($F396="","",'הזנה לתנאי סף'!Q396)</f>
        <v>1</v>
      </c>
      <c r="N396" s="349">
        <f>IF($F396="","",'תחום תמיכה א'!AE396)</f>
        <v>535.23872412069989</v>
      </c>
      <c r="O396" s="178"/>
      <c r="P396" s="349">
        <f>IF($F396="","",'תחום תמיכה ב'!AC396)</f>
        <v>406.93082808870219</v>
      </c>
      <c r="Q396" s="349">
        <f>IF($F396="","",IF('תחום תמיכה ג'!O396="",0,'תחום תמיכה ג'!O396))</f>
        <v>0</v>
      </c>
      <c r="R396" s="349">
        <f t="shared" si="20"/>
        <v>12.201842141188138</v>
      </c>
      <c r="S396" s="349">
        <f>IF($F396="","",'תחום תמיכה ב'!AE396)</f>
        <v>419.13267022989032</v>
      </c>
      <c r="T396" s="349">
        <f>IF($F396="","",IF(Q396='תחום תמיכה ג'!$Q$2,'תחום תמיכה ג'!$Q$2,IFERROR(SUMIF(N396:R396,"&gt;0"),'תחום תמיכה ג'!$Q$2)))</f>
        <v>954.37139435059021</v>
      </c>
      <c r="U396" s="349">
        <f>IF($F396="","",'הזנה לתנאי סף'!Y396)</f>
        <v>90000</v>
      </c>
      <c r="V396" s="350">
        <f>IF(F396="","",'הגבלה לסכום מבוקש '!AA396)</f>
        <v>1024.3083866134057</v>
      </c>
      <c r="W396" s="349">
        <f t="shared" si="21"/>
        <v>256.07709665335142</v>
      </c>
      <c r="X396" s="349">
        <f>IF(F396="","",'הזנה לתנאי סף'!Z396)</f>
        <v>50000</v>
      </c>
      <c r="Y396" s="351" t="s">
        <v>3740</v>
      </c>
      <c r="Z396" s="352" t="str">
        <f>IFERROR(VLOOKUP(G396*1,#REF!,3,0),"")</f>
        <v/>
      </c>
      <c r="AA396" s="349" t="str">
        <f>IF(OR($F396="",Z396=""),"",IFERROR(IF(Z396&gt;V396,MIN(Z396,T396)-V396,0),'תחום תמיכה ג'!$Q$2))</f>
        <v/>
      </c>
      <c r="AB396" s="353"/>
      <c r="AC396" s="260" t="str">
        <f t="shared" si="23"/>
        <v/>
      </c>
      <c r="AD396" s="358"/>
      <c r="AE396" s="180"/>
      <c r="AF396" s="355" t="str">
        <f>IF($C396="","",IFERROR(VLOOKUP($C396,גיליון1!$A:$E,2,0),"לא הגיש בקשה שוטפת"))</f>
        <v>מימון פעילות מחול</v>
      </c>
      <c r="AG396" s="355" t="str">
        <f>IF($C396="","",IFERROR(VLOOKUP($C396,גיליון1!$A:$E,3,0),"לא הגיש בקשה שוטפת"))</f>
        <v>מועד</v>
      </c>
      <c r="AH396" s="355" t="str">
        <f>IF($C396="","",IFERROR(VLOOKUP($C396,גיליון1!$A:$E,4,0),"לא הגיש בקשה שוטפת"))</f>
        <v>19-42-02-33</v>
      </c>
      <c r="AI396" s="355" t="str">
        <f>IF($C396="","",IFERROR(VLOOKUP($C396,גיליון1!$A:$E,5,0),"לא הגיש בקשה שוטפת"))</f>
        <v>תרבות ערבית ודרוזית</v>
      </c>
      <c r="AJ396" s="355">
        <f t="shared" si="22"/>
        <v>0</v>
      </c>
      <c r="AK396" s="15"/>
      <c r="AL396" s="15" t="s">
        <v>250</v>
      </c>
    </row>
    <row r="397" spans="1:38" ht="285.75" x14ac:dyDescent="0.25">
      <c r="A397" s="346">
        <f>'הזנה לתנאי סף'!B397</f>
        <v>367</v>
      </c>
      <c r="B397" s="347">
        <f>IF($F397="","",'הזנה לתנאי סף'!C397)</f>
        <v>1001350453</v>
      </c>
      <c r="C397" s="347">
        <f>IF($F397="","",'הזנה לתנאי סף'!D397)</f>
        <v>1001302118</v>
      </c>
      <c r="D397" s="347">
        <f>IF($F397="","",'הזנה לתנאי סף'!E397)</f>
        <v>41484947</v>
      </c>
      <c r="E397" s="348">
        <f>IF($F397="","",'הזנה לתנאי סף'!F397)</f>
        <v>20000033</v>
      </c>
      <c r="F397" s="348" t="str">
        <f>IF('הזנה לתנאי סף'!BL397=1,'הזנה לתנאי סף'!G397,"")</f>
        <v>אכסאל</v>
      </c>
      <c r="G397" s="348" t="str">
        <f>IF($F397="","",'הזנה לתנאי סף'!H397)</f>
        <v>עמותת מוג'תמענא</v>
      </c>
      <c r="H397" s="348" t="str">
        <f>IF($F397="","",'הזנה לתנאי סף'!I397)</f>
        <v>קבוצות מוסיקה</v>
      </c>
      <c r="I397" s="349">
        <f>IF($F397="","",'הזנה לתנאי סף'!R397)</f>
        <v>35826</v>
      </c>
      <c r="J397" s="349">
        <f>IF($F397="","",'תחום תמיכה א'!P397)</f>
        <v>32015</v>
      </c>
      <c r="K397" s="177">
        <f>IF($F397="","",'הזנה לתנאי סף'!N397)</f>
        <v>0</v>
      </c>
      <c r="L397" s="177">
        <f>IF($F397="","",'הזנה לתנאי סף'!O397)</f>
        <v>1</v>
      </c>
      <c r="M397" s="177">
        <f>IF($F397="","",'הזנה לתנאי סף'!Q397)</f>
        <v>1</v>
      </c>
      <c r="N397" s="349">
        <f>IF($F397="","",'תחום תמיכה א'!AE397)</f>
        <v>532.46011165424227</v>
      </c>
      <c r="O397" s="178"/>
      <c r="P397" s="349">
        <f>IF($F397="","",'תחום תמיכה ב'!AC397)</f>
        <v>565.22700799844313</v>
      </c>
      <c r="Q397" s="349">
        <f>IF($F397="","",IF('תחום תמיכה ג'!O397="",0,'תחום תמיכה ג'!O397))</f>
        <v>0</v>
      </c>
      <c r="R397" s="349">
        <f t="shared" si="20"/>
        <v>16.948361366295217</v>
      </c>
      <c r="S397" s="349">
        <f>IF($F397="","",'תחום תמיכה ב'!AE397)</f>
        <v>582.17536936473834</v>
      </c>
      <c r="T397" s="349">
        <f>IF($F397="","",IF(Q397='תחום תמיכה ג'!$Q$2,'תחום תמיכה ג'!$Q$2,IFERROR(SUMIF(N397:R397,"&gt;0"),'תחום תמיכה ג'!$Q$2)))</f>
        <v>1114.6354810189805</v>
      </c>
      <c r="U397" s="349">
        <f>IF($F397="","",'הזנה לתנאי סף'!Y397)</f>
        <v>90000</v>
      </c>
      <c r="V397" s="350">
        <f>IF(F397="","",'הגבלה לסכום מבוקש '!AA397)</f>
        <v>1211.6819105914049</v>
      </c>
      <c r="W397" s="349">
        <f t="shared" si="21"/>
        <v>302.92047764785121</v>
      </c>
      <c r="X397" s="349">
        <f>IF(F397="","",'הזנה לתנאי סף'!Z397)</f>
        <v>50000</v>
      </c>
      <c r="Y397" s="351" t="s">
        <v>3740</v>
      </c>
      <c r="Z397" s="352" t="str">
        <f>IFERROR(VLOOKUP(G397*1,#REF!,3,0),"")</f>
        <v/>
      </c>
      <c r="AA397" s="349" t="str">
        <f>IF(OR($F397="",Z397=""),"",IFERROR(IF(Z397&gt;V397,MIN(Z397,T397)-V397,0),'תחום תמיכה ג'!$Q$2))</f>
        <v/>
      </c>
      <c r="AB397" s="353"/>
      <c r="AC397" s="260" t="str">
        <f t="shared" si="23"/>
        <v/>
      </c>
      <c r="AD397" s="358"/>
      <c r="AE397" s="180"/>
      <c r="AF397" s="355" t="str">
        <f>IF($C397="","",IFERROR(VLOOKUP($C397,גיליון1!$A:$E,2,0),"לא הגיש בקשה שוטפת"))</f>
        <v>מימון פעילות שוטפת במוסיקה</v>
      </c>
      <c r="AG397" s="355" t="str">
        <f>IF($C397="","",IFERROR(VLOOKUP($C397,גיליון1!$A:$E,3,0),"לא הגיש בקשה שוטפת"))</f>
        <v>מועד</v>
      </c>
      <c r="AH397" s="355" t="str">
        <f>IF($C397="","",IFERROR(VLOOKUP($C397,גיליון1!$A:$E,4,0),"לא הגיש בקשה שוטפת"))</f>
        <v>19-42-02-33</v>
      </c>
      <c r="AI397" s="355" t="str">
        <f>IF($C397="","",IFERROR(VLOOKUP($C397,גיליון1!$A:$E,5,0),"לא הגיש בקשה שוטפת"))</f>
        <v>תרבות ערבית ודרוזית</v>
      </c>
      <c r="AJ397" s="355">
        <f t="shared" si="22"/>
        <v>0</v>
      </c>
      <c r="AK397" s="15"/>
      <c r="AL397" s="15" t="s">
        <v>250</v>
      </c>
    </row>
    <row r="398" spans="1:38" ht="285.75" x14ac:dyDescent="0.25">
      <c r="A398" s="346">
        <f>'הזנה לתנאי סף'!B398</f>
        <v>368</v>
      </c>
      <c r="B398" s="347">
        <f>IF($F398="","",'הזנה לתנאי סף'!C398)</f>
        <v>1001350454</v>
      </c>
      <c r="C398" s="347">
        <f>IF($F398="","",'הזנה לתנאי סף'!D398)</f>
        <v>1001302117</v>
      </c>
      <c r="D398" s="347">
        <f>IF($F398="","",'הזנה לתנאי סף'!E398)</f>
        <v>41484947</v>
      </c>
      <c r="E398" s="348">
        <f>IF($F398="","",'הזנה לתנאי סף'!F398)</f>
        <v>20000033</v>
      </c>
      <c r="F398" s="348" t="str">
        <f>IF('הזנה לתנאי סף'!BL398=1,'הזנה לתנאי סף'!G398,"")</f>
        <v>אכסאל</v>
      </c>
      <c r="G398" s="348" t="str">
        <f>IF($F398="","",'הזנה לתנאי סף'!H398)</f>
        <v>עמותת מוג'תמענא</v>
      </c>
      <c r="H398" s="348" t="str">
        <f>IF($F398="","",'הזנה לתנאי סף'!I398)</f>
        <v>חללי תצוגה</v>
      </c>
      <c r="I398" s="349">
        <f>IF($F398="","",'הזנה לתנאי סף'!R398)</f>
        <v>39526</v>
      </c>
      <c r="J398" s="349">
        <f>IF($F398="","",'תחום תמיכה א'!P398)</f>
        <v>43255</v>
      </c>
      <c r="K398" s="177">
        <f>IF($F398="","",'הזנה לתנאי סף'!N398)</f>
        <v>0</v>
      </c>
      <c r="L398" s="177">
        <f>IF($F398="","",'הזנה לתנאי סף'!O398)</f>
        <v>1</v>
      </c>
      <c r="M398" s="177">
        <f>IF($F398="","",'הזנה לתנאי סף'!Q398)</f>
        <v>1</v>
      </c>
      <c r="N398" s="349">
        <f>IF($F398="","",'תחום תמיכה א'!AE398)</f>
        <v>873.39701275899188</v>
      </c>
      <c r="O398" s="178"/>
      <c r="P398" s="349">
        <f>IF($F398="","",'תחום תמיכה ב'!AC398)</f>
        <v>919.15991503946634</v>
      </c>
      <c r="Q398" s="349">
        <f>IF($F398="","",IF('תחום תמיכה ג'!O398="",0,'תחום תמיכה ג'!O398))</f>
        <v>0</v>
      </c>
      <c r="R398" s="349">
        <f t="shared" si="20"/>
        <v>27.561058075881988</v>
      </c>
      <c r="S398" s="349">
        <f>IF($F398="","",'תחום תמיכה ב'!AE398)</f>
        <v>946.72097311534833</v>
      </c>
      <c r="T398" s="349">
        <f>IF($F398="","",IF(Q398='תחום תמיכה ג'!$Q$2,'תחום תמיכה ג'!$Q$2,IFERROR(SUMIF(N398:R398,"&gt;0"),'תחום תמיכה ג'!$Q$2)))</f>
        <v>1820.1179858743403</v>
      </c>
      <c r="U398" s="349">
        <f>IF($F398="","",'הזנה לתנאי סף'!Y398)</f>
        <v>90000</v>
      </c>
      <c r="V398" s="350">
        <f>IF(F398="","",'הגבלה לסכום מבוקש '!AA398)</f>
        <v>1977.9362121078368</v>
      </c>
      <c r="W398" s="349">
        <f t="shared" si="21"/>
        <v>494.4840530269592</v>
      </c>
      <c r="X398" s="349">
        <f>IF(F398="","",'הזנה לתנאי סף'!Z398)</f>
        <v>50000</v>
      </c>
      <c r="Y398" s="351" t="s">
        <v>3740</v>
      </c>
      <c r="Z398" s="352" t="str">
        <f>IFERROR(VLOOKUP(G398*1,#REF!,3,0),"")</f>
        <v/>
      </c>
      <c r="AA398" s="349" t="str">
        <f>IF(OR($F398="",Z398=""),"",IFERROR(IF(Z398&gt;V398,MIN(Z398,T398)-V398,0),'תחום תמיכה ג'!$Q$2))</f>
        <v/>
      </c>
      <c r="AB398" s="353"/>
      <c r="AC398" s="260" t="str">
        <f t="shared" si="23"/>
        <v/>
      </c>
      <c r="AD398" s="358"/>
      <c r="AE398" s="180"/>
      <c r="AF398" s="355" t="str">
        <f>IF($C398="","",IFERROR(VLOOKUP($C398,גיליון1!$A:$E,2,0),"לא הגיש בקשה שוטפת"))</f>
        <v>פעילות שוטפת גלריית ציור</v>
      </c>
      <c r="AG398" s="355" t="str">
        <f>IF($C398="","",IFERROR(VLOOKUP($C398,גיליון1!$A:$E,3,0),"לא הגיש בקשה שוטפת"))</f>
        <v>מועד</v>
      </c>
      <c r="AH398" s="355" t="str">
        <f>IF($C398="","",IFERROR(VLOOKUP($C398,גיליון1!$A:$E,4,0),"לא הגיש בקשה שוטפת"))</f>
        <v>19-42-02-33</v>
      </c>
      <c r="AI398" s="355" t="str">
        <f>IF($C398="","",IFERROR(VLOOKUP($C398,גיליון1!$A:$E,5,0),"לא הגיש בקשה שוטפת"))</f>
        <v>תרבות ערבית ודרוזית</v>
      </c>
      <c r="AJ398" s="355">
        <f t="shared" si="22"/>
        <v>0</v>
      </c>
      <c r="AK398" s="15"/>
      <c r="AL398" s="15" t="s">
        <v>250</v>
      </c>
    </row>
    <row r="399" spans="1:38" ht="285.75" x14ac:dyDescent="0.25">
      <c r="A399" s="346">
        <f>'הזנה לתנאי סף'!B399</f>
        <v>369</v>
      </c>
      <c r="B399" s="347">
        <f>IF($F399="","",'הזנה לתנאי סף'!C399)</f>
        <v>1001346210</v>
      </c>
      <c r="C399" s="347">
        <f>IF($F399="","",'הזנה לתנאי סף'!D399)</f>
        <v>1001268507</v>
      </c>
      <c r="D399" s="347">
        <f>IF($F399="","",'הזנה לתנאי סף'!E399)</f>
        <v>40383495</v>
      </c>
      <c r="E399" s="348">
        <f>IF($F399="","",'הזנה לתנאי סף'!F399)</f>
        <v>20000035</v>
      </c>
      <c r="F399" s="348" t="str">
        <f>IF('הזנה לתנאי סף'!BL399=1,'הזנה לתנאי סף'!G399,"")</f>
        <v>מגאר</v>
      </c>
      <c r="G399" s="348" t="str">
        <f>IF($F399="","",'הזנה לתנאי סף'!H399)</f>
        <v>מראות-עמותה לקידום התיאטרון והקרקס</v>
      </c>
      <c r="H399" s="348" t="str">
        <f>IF($F399="","",'הזנה לתנאי סף'!I399)</f>
        <v>תיאטרון</v>
      </c>
      <c r="I399" s="349">
        <f>IF($F399="","",'הזנה לתנאי סף'!R399)</f>
        <v>339509</v>
      </c>
      <c r="J399" s="349">
        <f>IF($F399="","",'תחום תמיכה א'!P399)</f>
        <v>339509</v>
      </c>
      <c r="K399" s="177">
        <f>IF($F399="","",'הזנה לתנאי סף'!N399)</f>
        <v>0</v>
      </c>
      <c r="L399" s="177">
        <f>IF($F399="","",'הזנה לתנאי סף'!O399)</f>
        <v>1</v>
      </c>
      <c r="M399" s="177">
        <f>IF($F399="","",'הזנה לתנאי סף'!Q399)</f>
        <v>1</v>
      </c>
      <c r="N399" s="349">
        <f>IF($F399="","",'תחום תמיכה א'!AE399)</f>
        <v>8702.0420808831896</v>
      </c>
      <c r="O399" s="178"/>
      <c r="P399" s="349">
        <f>IF($F399="","",'תחום תמיכה ב'!AC399)</f>
        <v>12721.798283076683</v>
      </c>
      <c r="Q399" s="349">
        <f>IF($F399="","",IF('תחום תמיכה ג'!O399="",0,'תחום תמיכה ג'!O399))</f>
        <v>0</v>
      </c>
      <c r="R399" s="349">
        <f t="shared" si="20"/>
        <v>381.46378619489406</v>
      </c>
      <c r="S399" s="349">
        <f>IF($F399="","",'תחום תמיכה ב'!AE399)</f>
        <v>13103.262069271577</v>
      </c>
      <c r="T399" s="349">
        <f>IF($F399="","",IF(Q399='תחום תמיכה ג'!$Q$2,'תחום תמיכה ג'!$Q$2,IFERROR(SUMIF(N399:R399,"&gt;0"),'תחום תמיכה ג'!$Q$2)))</f>
        <v>21805.304150154767</v>
      </c>
      <c r="U399" s="349">
        <f>IF($F399="","",'הזנה לתנאי סף'!Y399)</f>
        <v>80000</v>
      </c>
      <c r="V399" s="350">
        <f>IF(F399="","",'הגבלה לסכום מבוקש '!AA399)</f>
        <v>23988.073820693327</v>
      </c>
      <c r="W399" s="349">
        <f t="shared" si="21"/>
        <v>5997.0184551733319</v>
      </c>
      <c r="X399" s="349">
        <f>IF(F399="","",'הזנה לתנאי סף'!Z399)</f>
        <v>80000</v>
      </c>
      <c r="Y399" s="351" t="s">
        <v>3740</v>
      </c>
      <c r="Z399" s="352" t="str">
        <f>IFERROR(VLOOKUP(G399*1,#REF!,3,0),"")</f>
        <v/>
      </c>
      <c r="AA399" s="349" t="str">
        <f>IF(OR($F399="",Z399=""),"",IFERROR(IF(Z399&gt;V399,MIN(Z399,T399)-V399,0),'תחום תמיכה ג'!$Q$2))</f>
        <v/>
      </c>
      <c r="AB399" s="353"/>
      <c r="AC399" s="260" t="str">
        <f t="shared" si="23"/>
        <v/>
      </c>
      <c r="AD399" s="358"/>
      <c r="AE399" s="180"/>
      <c r="AF399" s="355" t="str">
        <f>IF($C399="","",IFERROR(VLOOKUP($C399,גיליון1!$A:$E,2,0),"לא הגיש בקשה שוטפת"))</f>
        <v>תיאטרון מראות</v>
      </c>
      <c r="AG399" s="355" t="str">
        <f>IF($C399="","",IFERROR(VLOOKUP($C399,גיליון1!$A:$E,3,0),"לא הגיש בקשה שוטפת"))</f>
        <v>מועד</v>
      </c>
      <c r="AH399" s="355" t="str">
        <f>IF($C399="","",IFERROR(VLOOKUP($C399,גיליון1!$A:$E,4,0),"לא הגיש בקשה שוטפת"))</f>
        <v>19-42-02-33</v>
      </c>
      <c r="AI399" s="355" t="str">
        <f>IF($C399="","",IFERROR(VLOOKUP($C399,גיליון1!$A:$E,5,0),"לא הגיש בקשה שוטפת"))</f>
        <v>תרבות ערבית ודרוזית</v>
      </c>
      <c r="AJ399" s="355">
        <f t="shared" si="22"/>
        <v>0</v>
      </c>
      <c r="AK399" s="15"/>
      <c r="AL399" s="15" t="s">
        <v>250</v>
      </c>
    </row>
    <row r="400" spans="1:38" ht="285.75" x14ac:dyDescent="0.25">
      <c r="A400" s="346">
        <f>'הזנה לתנאי סף'!B400</f>
        <v>370</v>
      </c>
      <c r="B400" s="347">
        <f>IF($F400="","",'הזנה לתנאי סף'!C400)</f>
        <v>1001348860</v>
      </c>
      <c r="C400" s="347">
        <f>IF($F400="","",'הזנה לתנאי סף'!D400)</f>
        <v>1001274641</v>
      </c>
      <c r="D400" s="347">
        <f>IF($F400="","",'הזנה לתנאי סף'!E400)</f>
        <v>40383495</v>
      </c>
      <c r="E400" s="348">
        <f>IF($F400="","",'הזנה לתנאי סף'!F400)</f>
        <v>20000035</v>
      </c>
      <c r="F400" s="348" t="str">
        <f>IF('הזנה לתנאי סף'!BL400=1,'הזנה לתנאי סף'!G400,"")</f>
        <v>מגאר</v>
      </c>
      <c r="G400" s="348" t="str">
        <f>IF($F400="","",'הזנה לתנאי סף'!H400)</f>
        <v>מראות-עמותה לקידום התיאטרון והקרקס</v>
      </c>
      <c r="H400" s="348" t="str">
        <f>IF($F400="","",'הזנה לתנאי סף'!I400)</f>
        <v>אחר</v>
      </c>
      <c r="I400" s="349">
        <f>IF($F400="","",'הזנה לתנאי סף'!R400)</f>
        <v>285756</v>
      </c>
      <c r="J400" s="349">
        <f>IF($F400="","",'תחום תמיכה א'!P400)</f>
        <v>285756</v>
      </c>
      <c r="K400" s="177">
        <f>IF($F400="","",'הזנה לתנאי סף'!N400)</f>
        <v>0</v>
      </c>
      <c r="L400" s="177">
        <f>IF($F400="","",'הזנה לתנאי סף'!O400)</f>
        <v>1</v>
      </c>
      <c r="M400" s="177">
        <f>IF($F400="","",'הזנה לתנאי סף'!Q400)</f>
        <v>1</v>
      </c>
      <c r="N400" s="349">
        <f>IF($F400="","",'תחום תמיכה א'!AE400)</f>
        <v>4687.809037553985</v>
      </c>
      <c r="O400" s="178"/>
      <c r="P400" s="349">
        <f>IF($F400="","",'תחום תמיכה ב'!AC400)</f>
        <v>4386.3360810172771</v>
      </c>
      <c r="Q400" s="349">
        <f>IF($F400="","",IF('תחום תמיכה ג'!O400="",0,'תחום תמיכה ג'!O400))</f>
        <v>0</v>
      </c>
      <c r="R400" s="349">
        <f t="shared" si="20"/>
        <v>131.52451656256471</v>
      </c>
      <c r="S400" s="349">
        <f>IF($F400="","",'תחום תמיכה ב'!AE400)</f>
        <v>4517.8605975798419</v>
      </c>
      <c r="T400" s="349">
        <f>IF($F400="","",IF(Q400='תחום תמיכה ג'!$Q$2,'תחום תמיכה ג'!$Q$2,IFERROR(SUMIF(N400:R400,"&gt;0"),'תחום תמיכה ג'!$Q$2)))</f>
        <v>9205.6696351338251</v>
      </c>
      <c r="U400" s="349">
        <f>IF($F400="","",'הזנה לתנאי סף'!Y400)</f>
        <v>80000</v>
      </c>
      <c r="V400" s="350">
        <f>IF(F400="","",'הגבלה לסכום מבוקש '!AA400)</f>
        <v>9959.0329387042111</v>
      </c>
      <c r="W400" s="349">
        <f t="shared" si="21"/>
        <v>2489.7582346760528</v>
      </c>
      <c r="X400" s="349">
        <f>IF(F400="","",'הזנה לתנאי סף'!Z400)</f>
        <v>80000</v>
      </c>
      <c r="Y400" s="351" t="s">
        <v>3740</v>
      </c>
      <c r="Z400" s="352" t="str">
        <f>IFERROR(VLOOKUP(G400*1,#REF!,3,0),"")</f>
        <v/>
      </c>
      <c r="AA400" s="349" t="str">
        <f>IF(OR($F400="",Z400=""),"",IFERROR(IF(Z400&gt;V400,MIN(Z400,T400)-V400,0),'תחום תמיכה ג'!$Q$2))</f>
        <v/>
      </c>
      <c r="AB400" s="353"/>
      <c r="AC400" s="260" t="str">
        <f t="shared" si="23"/>
        <v/>
      </c>
      <c r="AD400" s="358"/>
      <c r="AE400" s="180"/>
      <c r="AF400" s="355" t="str">
        <f>IF($C400="","",IFERROR(VLOOKUP($C400,גיליון1!$A:$E,2,0),"לא הגיש בקשה שוטפת"))</f>
        <v>קרקס</v>
      </c>
      <c r="AG400" s="355" t="str">
        <f>IF($C400="","",IFERROR(VLOOKUP($C400,גיליון1!$A:$E,3,0),"לא הגיש בקשה שוטפת"))</f>
        <v>מועד</v>
      </c>
      <c r="AH400" s="355" t="str">
        <f>IF($C400="","",IFERROR(VLOOKUP($C400,גיליון1!$A:$E,4,0),"לא הגיש בקשה שוטפת"))</f>
        <v>19-42-02-33</v>
      </c>
      <c r="AI400" s="355" t="str">
        <f>IF($C400="","",IFERROR(VLOOKUP($C400,גיליון1!$A:$E,5,0),"לא הגיש בקשה שוטפת"))</f>
        <v>תרבות ערבית ודרוזית</v>
      </c>
      <c r="AJ400" s="355">
        <f t="shared" si="22"/>
        <v>0</v>
      </c>
      <c r="AK400" s="15"/>
      <c r="AL400" s="15" t="s">
        <v>250</v>
      </c>
    </row>
    <row r="401" spans="1:38" ht="285.75" x14ac:dyDescent="0.25">
      <c r="A401" s="346">
        <f>'הזנה לתנאי סף'!B401</f>
        <v>371</v>
      </c>
      <c r="B401" s="347">
        <f>IF($F401="","",'הזנה לתנאי סף'!C401)</f>
        <v>1001348861</v>
      </c>
      <c r="C401" s="347">
        <f>IF($F401="","",'הזנה לתנאי סף'!D401)</f>
        <v>1001268570</v>
      </c>
      <c r="D401" s="347">
        <f>IF($F401="","",'הזנה לתנאי סף'!E401)</f>
        <v>40383495</v>
      </c>
      <c r="E401" s="348">
        <f>IF($F401="","",'הזנה לתנאי סף'!F401)</f>
        <v>20000035</v>
      </c>
      <c r="F401" s="348" t="str">
        <f>IF('הזנה לתנאי סף'!BL401=1,'הזנה לתנאי סף'!G401,"")</f>
        <v>מגאר</v>
      </c>
      <c r="G401" s="348" t="str">
        <f>IF($F401="","",'הזנה לתנאי סף'!H401)</f>
        <v>מראות-עמותה לקידום התיאטרון והקרקס</v>
      </c>
      <c r="H401" s="348" t="str">
        <f>IF($F401="","",'הזנה לתנאי סף'!I401)</f>
        <v>אחר</v>
      </c>
      <c r="I401" s="349">
        <f>IF($F401="","",'הזנה לתנאי סף'!R401)</f>
        <v>19780</v>
      </c>
      <c r="J401" s="349">
        <f>IF($F401="","",'תחום תמיכה א'!P401)</f>
        <v>22305</v>
      </c>
      <c r="K401" s="177">
        <f>IF($F401="","",'הזנה לתנאי סף'!N401)</f>
        <v>0</v>
      </c>
      <c r="L401" s="177">
        <f>IF($F401="","",'הזנה לתנאי סף'!O401)</f>
        <v>1</v>
      </c>
      <c r="M401" s="177">
        <f>IF($F401="","",'הזנה לתנאי סף'!Q401)</f>
        <v>1</v>
      </c>
      <c r="N401" s="349">
        <f>IF($F401="","",'תחום תמיכה א'!AE401)</f>
        <v>1219.2917181613136</v>
      </c>
      <c r="O401" s="178"/>
      <c r="P401" s="349">
        <f>IF($F401="","",'תחום תמיכה ב'!AC401)</f>
        <v>3371.2776261052359</v>
      </c>
      <c r="Q401" s="349">
        <f>IF($F401="","",IF('תחום תמיכה ג'!O401="",0,'תחום תמיכה ג'!O401))</f>
        <v>0</v>
      </c>
      <c r="R401" s="349">
        <f t="shared" si="20"/>
        <v>101.08793575818436</v>
      </c>
      <c r="S401" s="349">
        <f>IF($F401="","",'תחום תמיכה ב'!AE401)</f>
        <v>3472.3655618634202</v>
      </c>
      <c r="T401" s="349">
        <f>IF($F401="","",IF(Q401='תחום תמיכה ג'!$Q$2,'תחום תמיכה ג'!$Q$2,IFERROR(SUMIF(N401:R401,"&gt;0"),'תחום תמיכה ג'!$Q$2)))</f>
        <v>4691.6572800247341</v>
      </c>
      <c r="U401" s="349">
        <f>IF($F401="","",'הזנה לתנאי סף'!Y401)</f>
        <v>50000</v>
      </c>
      <c r="V401" s="350">
        <f>IF(F401="","",'הגבלה לסכום מבוקש '!AA401)</f>
        <v>5269.5966021523163</v>
      </c>
      <c r="W401" s="349">
        <f t="shared" si="21"/>
        <v>1317.3991505380791</v>
      </c>
      <c r="X401" s="349">
        <f>IF(F401="","",'הזנה לתנאי סף'!Z401)</f>
        <v>50000</v>
      </c>
      <c r="Y401" s="351" t="s">
        <v>3740</v>
      </c>
      <c r="Z401" s="352" t="str">
        <f>IFERROR(VLOOKUP(G401*1,#REF!,3,0),"")</f>
        <v/>
      </c>
      <c r="AA401" s="349" t="str">
        <f>IF(OR($F401="",Z401=""),"",IFERROR(IF(Z401&gt;V401,MIN(Z401,T401)-V401,0),'תחום תמיכה ג'!$Q$2))</f>
        <v/>
      </c>
      <c r="AB401" s="353"/>
      <c r="AC401" s="260" t="str">
        <f t="shared" si="23"/>
        <v/>
      </c>
      <c r="AD401" s="358"/>
      <c r="AE401" s="180"/>
      <c r="AF401" s="355" t="str">
        <f>IF($C401="","",IFERROR(VLOOKUP($C401,גיליון1!$A:$E,2,0),"לא הגיש בקשה שוטפת"))</f>
        <v>ערבי תרבות</v>
      </c>
      <c r="AG401" s="355" t="str">
        <f>IF($C401="","",IFERROR(VLOOKUP($C401,גיליון1!$A:$E,3,0),"לא הגיש בקשה שוטפת"))</f>
        <v>מועד</v>
      </c>
      <c r="AH401" s="355" t="str">
        <f>IF($C401="","",IFERROR(VLOOKUP($C401,גיליון1!$A:$E,4,0),"לא הגיש בקשה שוטפת"))</f>
        <v>19-42-02-33</v>
      </c>
      <c r="AI401" s="355" t="str">
        <f>IF($C401="","",IFERROR(VLOOKUP($C401,גיליון1!$A:$E,5,0),"לא הגיש בקשה שוטפת"))</f>
        <v>תרבות ערבית ודרוזית</v>
      </c>
      <c r="AJ401" s="355">
        <f t="shared" si="22"/>
        <v>0</v>
      </c>
      <c r="AK401" s="15"/>
      <c r="AL401" s="15" t="s">
        <v>250</v>
      </c>
    </row>
    <row r="402" spans="1:38" ht="285.75" x14ac:dyDescent="0.25">
      <c r="A402" s="346">
        <f>'הזנה לתנאי סף'!B402</f>
        <v>372</v>
      </c>
      <c r="B402" s="347">
        <f>IF($F402="","",'הזנה לתנאי סף'!C402)</f>
        <v>1001349542</v>
      </c>
      <c r="C402" s="347">
        <f>IF($F402="","",'הזנה לתנאי סף'!D402)</f>
        <v>1001268295</v>
      </c>
      <c r="D402" s="347">
        <f>IF($F402="","",'הזנה לתנאי סף'!E402)</f>
        <v>41343408</v>
      </c>
      <c r="E402" s="348">
        <f>IF($F402="","",'הזנה לתנאי סף'!F402)</f>
        <v>20000102</v>
      </c>
      <c r="F402" s="348" t="str">
        <f>IF('הזנה לתנאי סף'!BL402=1,'הזנה לתנאי סף'!G402,"")</f>
        <v>מעלות-תרשיחא</v>
      </c>
      <c r="G402" s="348" t="str">
        <f>IF($F402="","",'הזנה לתנאי סף'!H402)</f>
        <v>קול יוצר</v>
      </c>
      <c r="H402" s="348" t="str">
        <f>IF($F402="","",'הזנה לתנאי סף'!I402)</f>
        <v>אחר</v>
      </c>
      <c r="I402" s="349">
        <f>IF($F402="","",'הזנה לתנאי סף'!R402)</f>
        <v>196204</v>
      </c>
      <c r="J402" s="349">
        <f>IF($F402="","",'תחום תמיכה א'!P402)</f>
        <v>111929</v>
      </c>
      <c r="K402" s="177">
        <f>IF($F402="","",'הזנה לתנאי סף'!N402)</f>
        <v>0</v>
      </c>
      <c r="L402" s="177">
        <f>IF($F402="","",'הזנה לתנאי סף'!O402)</f>
        <v>1</v>
      </c>
      <c r="M402" s="177">
        <f>IF($F402="","",'הזנה לתנאי סף'!Q402)</f>
        <v>1</v>
      </c>
      <c r="N402" s="349">
        <f>IF($F402="","",'תחום תמיכה א'!AE402)</f>
        <v>1814.4758890895785</v>
      </c>
      <c r="O402" s="178"/>
      <c r="P402" s="349">
        <f>IF($F402="","",'תחום תמיכה ב'!AC402)</f>
        <v>2940.9148567132238</v>
      </c>
      <c r="Q402" s="349">
        <f>IF($F402="","",IF('תחום תמיכה ג'!O402="",0,'תחום תמיכה ג'!O402))</f>
        <v>0</v>
      </c>
      <c r="R402" s="349">
        <f t="shared" si="20"/>
        <v>88.183485632765951</v>
      </c>
      <c r="S402" s="349">
        <f>IF($F402="","",'תחום תמיכה ב'!AE402)</f>
        <v>3029.0983423459897</v>
      </c>
      <c r="T402" s="349">
        <f>IF($F402="","",IF(Q402='תחום תמיכה ג'!$Q$2,'תחום תמיכה ג'!$Q$2,IFERROR(SUMIF(N402:R402,"&gt;0"),'תחום תמיכה ג'!$Q$2)))</f>
        <v>4843.5742314355684</v>
      </c>
      <c r="U402" s="349">
        <f>IF($F402="","",'הזנה לתנאי סף'!Y402)</f>
        <v>120000</v>
      </c>
      <c r="V402" s="350">
        <f>IF(F402="","",'הגבלה לסכום מבוקש '!AA402)</f>
        <v>5348.0781853990811</v>
      </c>
      <c r="W402" s="349">
        <f t="shared" si="21"/>
        <v>1337.0195463497703</v>
      </c>
      <c r="X402" s="349">
        <f>IF(F402="","",'הזנה לתנאי סף'!Z402)</f>
        <v>50000</v>
      </c>
      <c r="Y402" s="351" t="s">
        <v>3740</v>
      </c>
      <c r="Z402" s="352" t="str">
        <f>IFERROR(VLOOKUP(G402*1,#REF!,3,0),"")</f>
        <v/>
      </c>
      <c r="AA402" s="349" t="str">
        <f>IF(OR($F402="",Z402=""),"",IFERROR(IF(Z402&gt;V402,MIN(Z402,T402)-V402,0),'תחום תמיכה ג'!$Q$2))</f>
        <v/>
      </c>
      <c r="AB402" s="353"/>
      <c r="AC402" s="260" t="str">
        <f t="shared" si="23"/>
        <v/>
      </c>
      <c r="AD402" s="358"/>
      <c r="AE402" s="180"/>
      <c r="AF402" s="355" t="str">
        <f>IF($C402="","",IFERROR(VLOOKUP($C402,גיליון1!$A:$E,2,0),"לא הגיש בקשה שוטפת"))</f>
        <v>הרכבים מוסיקלים</v>
      </c>
      <c r="AG402" s="355" t="str">
        <f>IF($C402="","",IFERROR(VLOOKUP($C402,גיליון1!$A:$E,3,0),"לא הגיש בקשה שוטפת"))</f>
        <v>מועד</v>
      </c>
      <c r="AH402" s="355" t="str">
        <f>IF($C402="","",IFERROR(VLOOKUP($C402,גיליון1!$A:$E,4,0),"לא הגיש בקשה שוטפת"))</f>
        <v>19-42-02-31</v>
      </c>
      <c r="AI402" s="355" t="str">
        <f>IF($C402="","",IFERROR(VLOOKUP($C402,גיליון1!$A:$E,5,0),"לא הגיש בקשה שוטפת"))</f>
        <v>תרבות בקהילה תמיכה</v>
      </c>
      <c r="AJ402" s="355">
        <f t="shared" si="22"/>
        <v>0</v>
      </c>
      <c r="AK402" s="15"/>
      <c r="AL402" s="15" t="s">
        <v>250</v>
      </c>
    </row>
    <row r="403" spans="1:38" ht="285.75" x14ac:dyDescent="0.25">
      <c r="A403" s="346">
        <f>'הזנה לתנאי סף'!B403</f>
        <v>373</v>
      </c>
      <c r="B403" s="347">
        <f>IF($F403="","",'הזנה לתנאי סף'!C403)</f>
        <v>1001349543</v>
      </c>
      <c r="C403" s="347">
        <f>IF($F403="","",'הזנה לתנאי סף'!D403)</f>
        <v>1001266976</v>
      </c>
      <c r="D403" s="347">
        <f>IF($F403="","",'הזנה לתנאי סף'!E403)</f>
        <v>41343408</v>
      </c>
      <c r="E403" s="348">
        <f>IF($F403="","",'הזנה לתנאי סף'!F403)</f>
        <v>20000102</v>
      </c>
      <c r="F403" s="348" t="str">
        <f>IF('הזנה לתנאי סף'!BL403=1,'הזנה לתנאי סף'!G403,"")</f>
        <v>מעלות-תרשיחא</v>
      </c>
      <c r="G403" s="348" t="str">
        <f>IF($F403="","",'הזנה לתנאי סף'!H403)</f>
        <v>קול יוצר</v>
      </c>
      <c r="H403" s="348" t="str">
        <f>IF($F403="","",'הזנה לתנאי סף'!I403)</f>
        <v>אחר</v>
      </c>
      <c r="I403" s="349">
        <f>IF($F403="","",'הזנה לתנאי סף'!R403)</f>
        <v>239385</v>
      </c>
      <c r="J403" s="349">
        <f>IF($F403="","",'תחום תמיכה א'!P403)</f>
        <v>172241</v>
      </c>
      <c r="K403" s="177">
        <f>IF($F403="","",'הזנה לתנאי סף'!N403)</f>
        <v>0</v>
      </c>
      <c r="L403" s="177">
        <f>IF($F403="","",'הזנה לתנאי סף'!O403)</f>
        <v>1</v>
      </c>
      <c r="M403" s="177">
        <f>IF($F403="","",'הזנה לתנאי סף'!Q403)</f>
        <v>1</v>
      </c>
      <c r="N403" s="349">
        <f>IF($F403="","",'תחום תמיכה א'!AE403)</f>
        <v>2751.1488813696624</v>
      </c>
      <c r="O403" s="178"/>
      <c r="P403" s="349">
        <f>IF($F403="","",'תחום תמיכה ב'!AC403)</f>
        <v>3483.4492063551897</v>
      </c>
      <c r="Q403" s="349">
        <f>IF($F403="","",IF('תחום תמיכה ג'!O403="",0,'תחום תמיכה ג'!O403))</f>
        <v>0</v>
      </c>
      <c r="R403" s="349">
        <f t="shared" si="20"/>
        <v>104.45140645261699</v>
      </c>
      <c r="S403" s="349">
        <f>IF($F403="","",'תחום תמיכה ב'!AE403)</f>
        <v>3587.9006128078067</v>
      </c>
      <c r="T403" s="349">
        <f>IF($F403="","",IF(Q403='תחום תמיכה ג'!$Q$2,'תחום תמיכה ג'!$Q$2,IFERROR(SUMIF(N403:R403,"&gt;0"),'תחום תמיכה ג'!$Q$2)))</f>
        <v>6339.0494941774687</v>
      </c>
      <c r="U403" s="349">
        <f>IF($F403="","",'הזנה לתנאי סף'!Y403)</f>
        <v>120000</v>
      </c>
      <c r="V403" s="350">
        <f>IF(F403="","",'הגבלה לסכום מבוקש '!AA403)</f>
        <v>6936.8974530075975</v>
      </c>
      <c r="W403" s="349">
        <f t="shared" si="21"/>
        <v>1734.2243632518994</v>
      </c>
      <c r="X403" s="349">
        <f>IF(F403="","",'הזנה לתנאי סף'!Z403)</f>
        <v>50000</v>
      </c>
      <c r="Y403" s="351" t="s">
        <v>3740</v>
      </c>
      <c r="Z403" s="352" t="str">
        <f>IFERROR(VLOOKUP(G403*1,#REF!,3,0),"")</f>
        <v/>
      </c>
      <c r="AA403" s="349" t="str">
        <f>IF(OR($F403="",Z403=""),"",IFERROR(IF(Z403&gt;V403,MIN(Z403,T403)-V403,0),'תחום תמיכה ג'!$Q$2))</f>
        <v/>
      </c>
      <c r="AB403" s="353"/>
      <c r="AC403" s="260" t="str">
        <f t="shared" si="23"/>
        <v/>
      </c>
      <c r="AD403" s="358"/>
      <c r="AE403" s="180"/>
      <c r="AF403" s="355" t="str">
        <f>IF($C403="","",IFERROR(VLOOKUP($C403,גיליון1!$A:$E,2,0),"לא הגיש בקשה שוטפת"))</f>
        <v>אנסמבל קול יוצר</v>
      </c>
      <c r="AG403" s="355" t="str">
        <f>IF($C403="","",IFERROR(VLOOKUP($C403,גיליון1!$A:$E,3,0),"לא הגיש בקשה שוטפת"))</f>
        <v>מועד</v>
      </c>
      <c r="AH403" s="355" t="str">
        <f>IF($C403="","",IFERROR(VLOOKUP($C403,גיליון1!$A:$E,4,0),"לא הגיש בקשה שוטפת"))</f>
        <v>19-42-02-31</v>
      </c>
      <c r="AI403" s="355" t="str">
        <f>IF($C403="","",IFERROR(VLOOKUP($C403,גיליון1!$A:$E,5,0),"לא הגיש בקשה שוטפת"))</f>
        <v>תרבות בקהילה תמיכה</v>
      </c>
      <c r="AJ403" s="355">
        <f t="shared" si="22"/>
        <v>0</v>
      </c>
      <c r="AK403" s="15"/>
      <c r="AL403" s="15" t="s">
        <v>250</v>
      </c>
    </row>
    <row r="404" spans="1:38" ht="285.75" x14ac:dyDescent="0.25">
      <c r="A404" s="346">
        <f>'הזנה לתנאי סף'!B404</f>
        <v>374</v>
      </c>
      <c r="B404" s="347">
        <f>IF($F404="","",'הזנה לתנאי סף'!C404)</f>
        <v>1001349835</v>
      </c>
      <c r="C404" s="347">
        <f>IF($F404="","",'הזנה לתנאי סף'!D404)</f>
        <v>1001272254</v>
      </c>
      <c r="D404" s="347">
        <f>IF($F404="","",'הזנה לתנאי סף'!E404)</f>
        <v>40299606</v>
      </c>
      <c r="E404" s="348">
        <f>IF($F404="","",'הזנה לתנאי סף'!F404)</f>
        <v>20000125</v>
      </c>
      <c r="F404" s="348" t="str">
        <f>IF('הזנה לתנאי סף'!BL404=1,'הזנה לתנאי סף'!G404,"")</f>
        <v>חצור הגלילית</v>
      </c>
      <c r="G404" s="348" t="str">
        <f>IF($F404="","",'הזנה לתנאי סף'!H404)</f>
        <v>אורות הגליל</v>
      </c>
      <c r="H404" s="348" t="str">
        <f>IF($F404="","",'הזנה לתנאי סף'!I404)</f>
        <v>אחר</v>
      </c>
      <c r="I404" s="349">
        <f>IF($F404="","",'הזנה לתנאי סף'!R404)</f>
        <v>1246200</v>
      </c>
      <c r="J404" s="349">
        <f>IF($F404="","",'תחום תמיכה א'!P404)</f>
        <v>1180860</v>
      </c>
      <c r="K404" s="177">
        <f>IF($F404="","",'הזנה לתנאי סף'!N404)</f>
        <v>0</v>
      </c>
      <c r="L404" s="177">
        <f>IF($F404="","",'הזנה לתנאי סף'!O404)</f>
        <v>1</v>
      </c>
      <c r="M404" s="177">
        <f>IF($F404="","",'הזנה לתנאי סף'!Q404)</f>
        <v>1</v>
      </c>
      <c r="N404" s="349">
        <f>IF($F404="","",'תחום תמיכה א'!AE404)</f>
        <v>34958.251124599985</v>
      </c>
      <c r="O404" s="178"/>
      <c r="P404" s="349">
        <f>IF($F404="","",'תחום תמיכה ב'!AC404)</f>
        <v>62054.049270026539</v>
      </c>
      <c r="Q404" s="349">
        <f>IF($F404="","",IF('תחום תמיכה ג'!O404="",0,'תחום תמיכה ג'!O404))</f>
        <v>0</v>
      </c>
      <c r="R404" s="349">
        <f t="shared" si="20"/>
        <v>1860.6939095047564</v>
      </c>
      <c r="S404" s="349">
        <f>IF($F404="","",'תחום תמיכה ב'!AE404)</f>
        <v>63914.743179531295</v>
      </c>
      <c r="T404" s="349">
        <f>IF($F404="","",IF(Q404='תחום תמיכה ג'!$Q$2,'תחום תמיכה ג'!$Q$2,IFERROR(SUMIF(N404:R404,"&gt;0"),'תחום תמיכה ג'!$Q$2)))</f>
        <v>98872.99430413128</v>
      </c>
      <c r="U404" s="349">
        <f>IF($F404="","",'הזנה לתנאי סף'!Y404)</f>
        <v>437670</v>
      </c>
      <c r="V404" s="350">
        <f>IF(F404="","",'הגבלה לסכום מבוקש '!AA404)</f>
        <v>109516.64050402759</v>
      </c>
      <c r="W404" s="349">
        <f t="shared" si="21"/>
        <v>27379.160126006896</v>
      </c>
      <c r="X404" s="349">
        <f>IF(F404="","",'הזנה לתנאי סף'!Z404)</f>
        <v>250000</v>
      </c>
      <c r="Y404" s="351" t="s">
        <v>3740</v>
      </c>
      <c r="Z404" s="352" t="str">
        <f>IFERROR(VLOOKUP(G404*1,#REF!,3,0),"")</f>
        <v/>
      </c>
      <c r="AA404" s="349" t="str">
        <f>IF(OR($F404="",Z404=""),"",IFERROR(IF(Z404&gt;V404,MIN(Z404,T404)-V404,0),'תחום תמיכה ג'!$Q$2))</f>
        <v/>
      </c>
      <c r="AB404" s="353"/>
      <c r="AC404" s="260" t="str">
        <f t="shared" si="23"/>
        <v/>
      </c>
      <c r="AD404" s="358"/>
      <c r="AE404" s="180"/>
      <c r="AF404" s="355" t="str">
        <f>IF($C404="","",IFERROR(VLOOKUP($C404,גיליון1!$A:$E,2,0),"לא הגיש בקשה שוטפת"))</f>
        <v>פעילות מורשת עדות ישראל 2020</v>
      </c>
      <c r="AG404" s="355" t="str">
        <f>IF($C404="","",IFERROR(VLOOKUP($C404,גיליון1!$A:$E,3,0),"לא הגיש בקשה שוטפת"))</f>
        <v>מועד</v>
      </c>
      <c r="AH404" s="355" t="str">
        <f>IF($C404="","",IFERROR(VLOOKUP($C404,גיליון1!$A:$E,4,0),"לא הגיש בקשה שוטפת"))</f>
        <v>19-42-02-14</v>
      </c>
      <c r="AI404" s="355" t="str">
        <f>IF($C404="","",IFERROR(VLOOKUP($C404,גיליון1!$A:$E,5,0),"לא הגיש בקשה שוטפת"))</f>
        <v>מחקר מורשת ואיגודים</v>
      </c>
      <c r="AJ404" s="355">
        <f t="shared" si="22"/>
        <v>0</v>
      </c>
      <c r="AK404" s="15"/>
      <c r="AL404" s="15" t="s">
        <v>250</v>
      </c>
    </row>
    <row r="405" spans="1:38" ht="285.75" x14ac:dyDescent="0.25">
      <c r="A405" s="346">
        <f>'הזנה לתנאי סף'!B405</f>
        <v>375</v>
      </c>
      <c r="B405" s="347">
        <f>IF($F405="","",'הזנה לתנאי סף'!C405)</f>
        <v>1001348945</v>
      </c>
      <c r="C405" s="347">
        <f>IF($F405="","",'הזנה לתנאי סף'!D405)</f>
        <v>1001280733</v>
      </c>
      <c r="D405" s="347">
        <f>IF($F405="","",'הזנה לתנאי סף'!E405)</f>
        <v>41349383</v>
      </c>
      <c r="E405" s="348">
        <f>IF($F405="","",'הזנה לתנאי סף'!F405)</f>
        <v>20000231</v>
      </c>
      <c r="F405" s="348" t="str">
        <f>IF('הזנה לתנאי סף'!BL405=1,'הזנה לתנאי סף'!G405,"")</f>
        <v>נצרת</v>
      </c>
      <c r="G405" s="348" t="str">
        <f>IF($F405="","",'הזנה לתנאי סף'!H405)</f>
        <v>יאללא</v>
      </c>
      <c r="H405" s="348" t="str">
        <f>IF($F405="","",'הזנה לתנאי סף'!I405)</f>
        <v>תיאטרון</v>
      </c>
      <c r="I405" s="349">
        <f>IF($F405="","",'הזנה לתנאי סף'!R405)</f>
        <v>280406</v>
      </c>
      <c r="J405" s="349">
        <f>IF($F405="","",'תחום תמיכה א'!P405)</f>
        <v>299573</v>
      </c>
      <c r="K405" s="177">
        <f>IF($F405="","",'הזנה לתנאי סף'!N405)</f>
        <v>0</v>
      </c>
      <c r="L405" s="177">
        <f>IF($F405="","",'הזנה לתנאי סף'!O405)</f>
        <v>1</v>
      </c>
      <c r="M405" s="177">
        <f>IF($F405="","",'הזנה לתנאי סף'!Q405)</f>
        <v>1</v>
      </c>
      <c r="N405" s="349">
        <f>IF($F405="","",'תחום תמיכה א'!AE405)</f>
        <v>9373.3708405613033</v>
      </c>
      <c r="O405" s="178"/>
      <c r="P405" s="349">
        <f>IF($F405="","",'תחום תמיכה ב'!AC405)</f>
        <v>15657.809405431421</v>
      </c>
      <c r="Q405" s="349">
        <f>IF($F405="","",IF('תחום תמיכה ג'!O405="",0,'תחום תמיכה ג'!O405))</f>
        <v>0</v>
      </c>
      <c r="R405" s="349">
        <f t="shared" si="20"/>
        <v>469.50023309671451</v>
      </c>
      <c r="S405" s="349">
        <f>IF($F405="","",'תחום תמיכה ב'!AE405)</f>
        <v>16127.309638528135</v>
      </c>
      <c r="T405" s="349">
        <f>IF($F405="","",IF(Q405='תחום תמיכה ג'!$Q$2,'תחום תמיכה ג'!$Q$2,IFERROR(SUMIF(N405:R405,"&gt;0"),'תחום תמיכה ג'!$Q$2)))</f>
        <v>25500.680479089438</v>
      </c>
      <c r="U405" s="349">
        <f>IF($F405="","",'הזנה לתנאי סף'!Y405)</f>
        <v>300000</v>
      </c>
      <c r="V405" s="350">
        <f>IF(F405="","",'הגבלה לסכום מבוקש '!AA405)</f>
        <v>28186.593757125433</v>
      </c>
      <c r="W405" s="349">
        <f t="shared" si="21"/>
        <v>7046.6484392813582</v>
      </c>
      <c r="X405" s="349">
        <f>IF(F405="","",'הזנה לתנאי סף'!Z405)</f>
        <v>180000</v>
      </c>
      <c r="Y405" s="351" t="s">
        <v>3740</v>
      </c>
      <c r="Z405" s="352" t="str">
        <f>IFERROR(VLOOKUP(G405*1,#REF!,3,0),"")</f>
        <v/>
      </c>
      <c r="AA405" s="349" t="str">
        <f>IF(OR($F405="",Z405=""),"",IFERROR(IF(Z405&gt;V405,MIN(Z405,T405)-V405,0),'תחום תמיכה ג'!$Q$2))</f>
        <v/>
      </c>
      <c r="AB405" s="353"/>
      <c r="AC405" s="260" t="str">
        <f t="shared" si="23"/>
        <v/>
      </c>
      <c r="AD405" s="358"/>
      <c r="AE405" s="180"/>
      <c r="AF405" s="355" t="str">
        <f>IF($C405="","",IFERROR(VLOOKUP($C405,גיליון1!$A:$E,2,0),"לא הגיש בקשה שוטפת"))</f>
        <v>הפקת מופעים ופרוייקטים חדשים לשנת 2020</v>
      </c>
      <c r="AG405" s="355" t="str">
        <f>IF($C405="","",IFERROR(VLOOKUP($C405,גיליון1!$A:$E,3,0),"לא הגיש בקשה שוטפת"))</f>
        <v>מועד</v>
      </c>
      <c r="AH405" s="355" t="str">
        <f>IF($C405="","",IFERROR(VLOOKUP($C405,גיליון1!$A:$E,4,0),"לא הגיש בקשה שוטפת"))</f>
        <v>19-42-02-33</v>
      </c>
      <c r="AI405" s="355" t="str">
        <f>IF($C405="","",IFERROR(VLOOKUP($C405,גיליון1!$A:$E,5,0),"לא הגיש בקשה שוטפת"))</f>
        <v>תרבות ערבית ודרוזית</v>
      </c>
      <c r="AJ405" s="355">
        <f t="shared" si="22"/>
        <v>0</v>
      </c>
      <c r="AK405" s="15"/>
      <c r="AL405" s="15" t="s">
        <v>250</v>
      </c>
    </row>
    <row r="406" spans="1:38" ht="285.75" x14ac:dyDescent="0.25">
      <c r="A406" s="346">
        <f>'הזנה לתנאי סף'!B406</f>
        <v>376</v>
      </c>
      <c r="B406" s="347">
        <f>IF($F406="","",'הזנה לתנאי סף'!C406)</f>
        <v>1001348078</v>
      </c>
      <c r="C406" s="347">
        <f>IF($F406="","",'הזנה לתנאי סף'!D406)</f>
        <v>1001302078</v>
      </c>
      <c r="D406" s="347">
        <f>IF($F406="","",'הזנה לתנאי סף'!E406)</f>
        <v>40472081</v>
      </c>
      <c r="E406" s="348">
        <f>IF($F406="","",'הזנה לתנאי סף'!F406)</f>
        <v>20000242</v>
      </c>
      <c r="F406" s="348" t="str">
        <f>IF('הזנה לתנאי סף'!BL406=1,'הזנה לתנאי סף'!G406,"")</f>
        <v>פרדס חנה-כרכור</v>
      </c>
      <c r="G406" s="348" t="str">
        <f>IF($F406="","",'הזנה לתנאי סף'!H406)</f>
        <v>הידית - מרכז ליצירה תיאטרונית אלטרנ</v>
      </c>
      <c r="H406" s="348" t="str">
        <f>IF($F406="","",'הזנה לתנאי סף'!I406)</f>
        <v>תיאטרון</v>
      </c>
      <c r="I406" s="349">
        <f>IF($F406="","",'הזנה לתנאי סף'!R406)</f>
        <v>1200599</v>
      </c>
      <c r="J406" s="349">
        <f>IF($F406="","",'תחום תמיכה א'!P406)</f>
        <v>1330731</v>
      </c>
      <c r="K406" s="177">
        <f>IF($F406="","",'הזנה לתנאי סף'!N406)</f>
        <v>0</v>
      </c>
      <c r="L406" s="177">
        <f>IF($F406="","",'הזנה לתנאי סף'!O406)</f>
        <v>1</v>
      </c>
      <c r="M406" s="177">
        <f>IF($F406="","",'הזנה לתנאי סף'!Q406)</f>
        <v>1</v>
      </c>
      <c r="N406" s="349">
        <f>IF($F406="","",'תחום תמיכה א'!AE406)</f>
        <v>18704.780292040417</v>
      </c>
      <c r="O406" s="178"/>
      <c r="P406" s="349">
        <f>IF($F406="","",'תחום תמיכה ב'!AC406)</f>
        <v>13529.44838214437</v>
      </c>
      <c r="Q406" s="349">
        <f>IF($F406="","",IF('תחום תמיכה ג'!O406="",0,'תחום תמיכה ג'!O406))</f>
        <v>0</v>
      </c>
      <c r="R406" s="349">
        <f t="shared" si="20"/>
        <v>405.6812166128002</v>
      </c>
      <c r="S406" s="349">
        <f>IF($F406="","",'תחום תמיכה ב'!AE406)</f>
        <v>13935.12959875717</v>
      </c>
      <c r="T406" s="349">
        <f>IF($F406="","",IF(Q406='תחום תמיכה ג'!$Q$2,'תחום תמיכה ג'!$Q$2,IFERROR(SUMIF(N406:R406,"&gt;0"),'תחום תמיכה ג'!$Q$2)))</f>
        <v>32639.909890797586</v>
      </c>
      <c r="U406" s="349">
        <f>IF($F406="","",'הזנה לתנאי סף'!Y406)</f>
        <v>300000</v>
      </c>
      <c r="V406" s="350">
        <f>IF(F406="","",'הגבלה לסכום מבוקש '!AA406)</f>
        <v>34965.556813557771</v>
      </c>
      <c r="W406" s="349">
        <f t="shared" si="21"/>
        <v>8741.3892033894426</v>
      </c>
      <c r="X406" s="349">
        <f>IF(F406="","",'הזנה לתנאי סף'!Z406)</f>
        <v>1</v>
      </c>
      <c r="Y406" s="351" t="s">
        <v>3740</v>
      </c>
      <c r="Z406" s="352" t="str">
        <f>IFERROR(VLOOKUP(G406*1,#REF!,3,0),"")</f>
        <v/>
      </c>
      <c r="AA406" s="349" t="str">
        <f>IF(OR($F406="",Z406=""),"",IFERROR(IF(Z406&gt;V406,MIN(Z406,T406)-V406,0),'תחום תמיכה ג'!$Q$2))</f>
        <v/>
      </c>
      <c r="AB406" s="353"/>
      <c r="AC406" s="260" t="str">
        <f t="shared" si="23"/>
        <v/>
      </c>
      <c r="AD406" s="358"/>
      <c r="AE406" s="180"/>
      <c r="AF406" s="355" t="str">
        <f>IF($C406="","",IFERROR(VLOOKUP($C406,גיליון1!$A:$E,2,0),"לא הגיש בקשה שוטפת"))</f>
        <v>בקשת תמיכה לאנסמבל הידית</v>
      </c>
      <c r="AG406" s="355" t="str">
        <f>IF($C406="","",IFERROR(VLOOKUP($C406,גיליון1!$A:$E,3,0),"לא הגיש בקשה שוטפת"))</f>
        <v>מועד</v>
      </c>
      <c r="AH406" s="355" t="str">
        <f>IF($C406="","",IFERROR(VLOOKUP($C406,גיליון1!$A:$E,4,0),"לא הגיש בקשה שוטפת"))</f>
        <v>19-42-02-07</v>
      </c>
      <c r="AI406" s="355" t="str">
        <f>IF($C406="","",IFERROR(VLOOKUP($C406,גיליון1!$A:$E,5,0),"לא הגיש בקשה שוטפת"))</f>
        <v>תיאטרון</v>
      </c>
      <c r="AJ406" s="355">
        <f t="shared" si="22"/>
        <v>0</v>
      </c>
      <c r="AK406" s="15"/>
      <c r="AL406" s="15" t="s">
        <v>250</v>
      </c>
    </row>
    <row r="407" spans="1:38" ht="285.75" x14ac:dyDescent="0.25">
      <c r="A407" s="346">
        <f>'הזנה לתנאי סף'!B407</f>
        <v>377</v>
      </c>
      <c r="B407" s="347">
        <f>IF($F407="","",'הזנה לתנאי סף'!C407)</f>
        <v>1001350994</v>
      </c>
      <c r="C407" s="347">
        <f>IF($F407="","",'הזנה לתנאי סף'!D407)</f>
        <v>1001268790</v>
      </c>
      <c r="D407" s="347">
        <f>IF($F407="","",'הזנה לתנאי סף'!E407)</f>
        <v>40000023</v>
      </c>
      <c r="E407" s="348">
        <f>IF($F407="","",'הזנה לתנאי סף'!F407)</f>
        <v>20000201</v>
      </c>
      <c r="F407" s="348" t="str">
        <f>IF('הזנה לתנאי סף'!BL407=1,'הזנה לתנאי סף'!G407,"")</f>
        <v>תל אביב -יפו</v>
      </c>
      <c r="G407" s="348" t="str">
        <f>IF($F407="","",'הזנה לתנאי סף'!H407)</f>
        <v>קרן מוזיאון רובין</v>
      </c>
      <c r="H407" s="348" t="str">
        <f>IF($F407="","",'הזנה לתנאי סף'!I407)</f>
        <v>מוזיאונים</v>
      </c>
      <c r="I407" s="349">
        <f>IF($F407="","",'הזנה לתנאי סף'!R407)</f>
        <v>1721357</v>
      </c>
      <c r="J407" s="349">
        <f>IF($F407="","",'תחום תמיכה א'!P407)</f>
        <v>1447790</v>
      </c>
      <c r="K407" s="177">
        <f>IF($F407="","",'הזנה לתנאי סף'!N407)</f>
        <v>1</v>
      </c>
      <c r="L407" s="177">
        <f>IF($F407="","",'הזנה לתנאי סף'!O407)</f>
        <v>1</v>
      </c>
      <c r="M407" s="177">
        <f>IF($F407="","",'הזנה לתנאי סף'!Q407)</f>
        <v>1</v>
      </c>
      <c r="N407" s="349">
        <f>IF($F407="","",'תחום תמיכה א'!AE407)</f>
        <v>39557.129847934099</v>
      </c>
      <c r="O407" s="178"/>
      <c r="P407" s="349">
        <f>IF($F407="","",'תחום תמיכה ב'!AC407)</f>
        <v>73293.724081892273</v>
      </c>
      <c r="Q407" s="349">
        <f>IF($F407="","",IF('תחום תמיכה ג'!O407="",0,'תחום תמיכה ג'!O407))</f>
        <v>30735.193232178735</v>
      </c>
      <c r="R407" s="349">
        <f t="shared" si="20"/>
        <v>2197.7161459787603</v>
      </c>
      <c r="S407" s="349">
        <f>IF($F407="","",'תחום תמיכה ב'!AE407)</f>
        <v>75491.440227871033</v>
      </c>
      <c r="T407" s="349">
        <f>IF($F407="","",IF(Q407='תחום תמיכה ג'!$Q$2,'תחום תמיכה ג'!$Q$2,IFERROR(SUMIF(N407:R407,"&gt;0"),'תחום תמיכה ג'!$Q$2)))</f>
        <v>145783.76330798387</v>
      </c>
      <c r="U407" s="349">
        <f>IF($F407="","",'הזנה לתנאי סף'!Y407)</f>
        <v>400000</v>
      </c>
      <c r="V407" s="350">
        <f>IF(F407="","",'הגבלה לסכום מבוקש '!AA407)</f>
        <v>158368.46856467289</v>
      </c>
      <c r="W407" s="349">
        <f t="shared" si="21"/>
        <v>39592.117141168223</v>
      </c>
      <c r="X407" s="349">
        <f>IF(F407="","",'הזנה לתנאי סף'!Z407)</f>
        <v>400000</v>
      </c>
      <c r="Y407" s="351" t="s">
        <v>3740</v>
      </c>
      <c r="Z407" s="352" t="str">
        <f>IFERROR(VLOOKUP(G407*1,#REF!,3,0),"")</f>
        <v/>
      </c>
      <c r="AA407" s="349" t="str">
        <f>IF(OR($F407="",Z407=""),"",IFERROR(IF(Z407&gt;V407,MIN(Z407,T407)-V407,0),'תחום תמיכה ג'!$Q$2))</f>
        <v/>
      </c>
      <c r="AB407" s="353"/>
      <c r="AC407" s="260" t="str">
        <f t="shared" si="23"/>
        <v/>
      </c>
      <c r="AD407" s="358"/>
      <c r="AE407" s="180"/>
      <c r="AF407" s="355" t="str">
        <f>IF($C407="","",IFERROR(VLOOKUP($C407,גיליון1!$A:$E,2,0),"לא הגיש בקשה שוטפת"))</f>
        <v>תמיכה שוטפת במוזיאון בית ראובן לשנת 2020</v>
      </c>
      <c r="AG407" s="355" t="str">
        <f>IF($C407="","",IFERROR(VLOOKUP($C407,גיליון1!$A:$E,3,0),"לא הגיש בקשה שוטפת"))</f>
        <v>חויב</v>
      </c>
      <c r="AH407" s="355" t="str">
        <f>IF($C407="","",IFERROR(VLOOKUP($C407,גיליון1!$A:$E,4,0),"לא הגיש בקשה שוטפת"))</f>
        <v>19-42-02-18</v>
      </c>
      <c r="AI407" s="355" t="str">
        <f>IF($C407="","",IFERROR(VLOOKUP($C407,גיליון1!$A:$E,5,0),"לא הגיש בקשה שוטפת"))</f>
        <v>מוזיאונים ואמנות פלס</v>
      </c>
      <c r="AJ407" s="355">
        <f t="shared" si="22"/>
        <v>0</v>
      </c>
      <c r="AK407" s="15"/>
      <c r="AL407" s="15" t="s">
        <v>250</v>
      </c>
    </row>
    <row r="408" spans="1:38" x14ac:dyDescent="0.25">
      <c r="A408" s="346" t="str">
        <f>'הזנה לתנאי סף'!B408</f>
        <v/>
      </c>
      <c r="B408" s="347" t="str">
        <f>IF($F408="","",'הזנה לתנאי סף'!C408)</f>
        <v/>
      </c>
      <c r="C408" s="347" t="str">
        <f>IF($F408="","",'הזנה לתנאי סף'!D408)</f>
        <v/>
      </c>
      <c r="D408" s="347" t="str">
        <f>IF($F408="","",'הזנה לתנאי סף'!E408)</f>
        <v/>
      </c>
      <c r="E408" s="348" t="str">
        <f>IF($F408="","",'הזנה לתנאי סף'!F408)</f>
        <v/>
      </c>
      <c r="F408" s="348" t="str">
        <f>IF('הזנה לתנאי סף'!BL408=1,'הזנה לתנאי סף'!G408,"")</f>
        <v/>
      </c>
      <c r="G408" s="348" t="str">
        <f>IF($F408="","",'הזנה לתנאי סף'!H408)</f>
        <v/>
      </c>
      <c r="H408" s="348" t="str">
        <f>IF($F408="","",'הזנה לתנאי סף'!I408)</f>
        <v/>
      </c>
      <c r="I408" s="349" t="str">
        <f>IF($F408="","",'הזנה לתנאי סף'!R408)</f>
        <v/>
      </c>
      <c r="J408" s="349" t="str">
        <f>IF($F408="","",'תחום תמיכה א'!P408)</f>
        <v/>
      </c>
      <c r="K408" s="177" t="str">
        <f>IF($F408="","",'הזנה לתנאי סף'!N408)</f>
        <v/>
      </c>
      <c r="L408" s="177" t="str">
        <f>IF($F408="","",'הזנה לתנאי סף'!O408)</f>
        <v/>
      </c>
      <c r="M408" s="177" t="str">
        <f>IF($F408="","",'הזנה לתנאי סף'!Q408)</f>
        <v/>
      </c>
      <c r="N408" s="349" t="str">
        <f>IF($F408="","",'תחום תמיכה א'!AE408)</f>
        <v/>
      </c>
      <c r="O408" s="178"/>
      <c r="P408" s="349" t="str">
        <f>IF($F408="","",'תחום תמיכה ב'!AC408)</f>
        <v/>
      </c>
      <c r="Q408" s="349" t="str">
        <f>IF($F408="","",IF('תחום תמיכה ג'!O408="",0,'תחום תמיכה ג'!O408))</f>
        <v/>
      </c>
      <c r="R408" s="349" t="str">
        <f t="shared" si="20"/>
        <v/>
      </c>
      <c r="S408" s="349" t="str">
        <f>IF($F408="","",'תחום תמיכה ב'!AE408)</f>
        <v/>
      </c>
      <c r="T408" s="349" t="str">
        <f>IF($F408="","",IF(Q408='תחום תמיכה ג'!$Q$2,'תחום תמיכה ג'!$Q$2,IFERROR(SUMIF(N408:R408,"&gt;0"),'תחום תמיכה ג'!$Q$2)))</f>
        <v/>
      </c>
      <c r="U408" s="349" t="str">
        <f>IF($F408="","",'הזנה לתנאי סף'!Y408)</f>
        <v/>
      </c>
      <c r="V408" s="350" t="str">
        <f>IF(F408="","",'הגבלה לסכום מבוקש '!AA408)</f>
        <v/>
      </c>
      <c r="W408" s="349" t="str">
        <f t="shared" si="21"/>
        <v/>
      </c>
      <c r="X408" s="349" t="str">
        <f>IF(F408="","",'הזנה לתנאי סף'!Z408)</f>
        <v/>
      </c>
      <c r="Y408" s="351"/>
      <c r="Z408" s="352" t="str">
        <f>IFERROR(VLOOKUP(G408*1,#REF!,3,0),"")</f>
        <v/>
      </c>
      <c r="AA408" s="349" t="str">
        <f>IF(OR($F408="",Z408=""),"",IFERROR(IF(Z408&gt;V408,MIN(Z408,T408)-V408,0),'תחום תמיכה ג'!$Q$2))</f>
        <v/>
      </c>
      <c r="AB408" s="353"/>
      <c r="AC408" s="260" t="str">
        <f t="shared" si="23"/>
        <v/>
      </c>
      <c r="AD408" s="358"/>
      <c r="AE408" s="180"/>
      <c r="AF408" s="355" t="str">
        <f>IF($C408="","",IFERROR(VLOOKUP($C408,גיליון1!$A:$E,2,0),"לא הגיש בקשה שוטפת"))</f>
        <v/>
      </c>
      <c r="AG408" s="355" t="str">
        <f>IF($C408="","",IFERROR(VLOOKUP($C408,גיליון1!$A:$E,3,0),"לא הגיש בקשה שוטפת"))</f>
        <v/>
      </c>
      <c r="AH408" s="355" t="str">
        <f>IF($C408="","",IFERROR(VLOOKUP($C408,גיליון1!$A:$E,4,0),"לא הגיש בקשה שוטפת"))</f>
        <v/>
      </c>
      <c r="AI408" s="355" t="str">
        <f>IF($C408="","",IFERROR(VLOOKUP($C408,גיליון1!$A:$E,5,0),"לא הגיש בקשה שוטפת"))</f>
        <v/>
      </c>
      <c r="AJ408" s="355">
        <f t="shared" si="22"/>
        <v>0</v>
      </c>
      <c r="AK408" s="15"/>
      <c r="AL408" s="15" t="s">
        <v>250</v>
      </c>
    </row>
    <row r="409" spans="1:38" x14ac:dyDescent="0.25">
      <c r="A409" s="346" t="str">
        <f>'הזנה לתנאי סף'!B409</f>
        <v/>
      </c>
      <c r="B409" s="347" t="str">
        <f>IF($F409="","",'הזנה לתנאי סף'!C409)</f>
        <v/>
      </c>
      <c r="C409" s="347" t="str">
        <f>IF($F409="","",'הזנה לתנאי סף'!D409)</f>
        <v/>
      </c>
      <c r="D409" s="347" t="str">
        <f>IF($F409="","",'הזנה לתנאי סף'!E409)</f>
        <v/>
      </c>
      <c r="E409" s="348" t="str">
        <f>IF($F409="","",'הזנה לתנאי סף'!F409)</f>
        <v/>
      </c>
      <c r="F409" s="348" t="str">
        <f>IF('הזנה לתנאי סף'!BL409=1,'הזנה לתנאי סף'!G409,"")</f>
        <v/>
      </c>
      <c r="G409" s="348" t="str">
        <f>IF($F409="","",'הזנה לתנאי סף'!H409)</f>
        <v/>
      </c>
      <c r="H409" s="348" t="str">
        <f>IF($F409="","",'הזנה לתנאי סף'!I409)</f>
        <v/>
      </c>
      <c r="I409" s="349" t="str">
        <f>IF($F409="","",'הזנה לתנאי סף'!R409)</f>
        <v/>
      </c>
      <c r="J409" s="349" t="str">
        <f>IF($F409="","",'תחום תמיכה א'!P409)</f>
        <v/>
      </c>
      <c r="K409" s="177" t="str">
        <f>IF($F409="","",'הזנה לתנאי סף'!N409)</f>
        <v/>
      </c>
      <c r="L409" s="177" t="str">
        <f>IF($F409="","",'הזנה לתנאי סף'!O409)</f>
        <v/>
      </c>
      <c r="M409" s="177" t="str">
        <f>IF($F409="","",'הזנה לתנאי סף'!Q409)</f>
        <v/>
      </c>
      <c r="N409" s="349" t="str">
        <f>IF($F409="","",'תחום תמיכה א'!AE409)</f>
        <v/>
      </c>
      <c r="O409" s="178"/>
      <c r="P409" s="349" t="str">
        <f>IF($F409="","",'תחום תמיכה ב'!AC409)</f>
        <v/>
      </c>
      <c r="Q409" s="349" t="str">
        <f>IF($F409="","",IF('תחום תמיכה ג'!O409="",0,'תחום תמיכה ג'!O409))</f>
        <v/>
      </c>
      <c r="R409" s="349" t="str">
        <f t="shared" si="20"/>
        <v/>
      </c>
      <c r="S409" s="349" t="str">
        <f>IF($F409="","",'תחום תמיכה ב'!AE409)</f>
        <v/>
      </c>
      <c r="T409" s="349" t="str">
        <f>IF($F409="","",IF(Q409='תחום תמיכה ג'!$Q$2,'תחום תמיכה ג'!$Q$2,IFERROR(SUMIF(N409:R409,"&gt;0"),'תחום תמיכה ג'!$Q$2)))</f>
        <v/>
      </c>
      <c r="U409" s="349" t="str">
        <f>IF($F409="","",'הזנה לתנאי סף'!Y409)</f>
        <v/>
      </c>
      <c r="V409" s="350" t="str">
        <f>IF(F409="","",'הגבלה לסכום מבוקש '!AA409)</f>
        <v/>
      </c>
      <c r="W409" s="349" t="str">
        <f t="shared" si="21"/>
        <v/>
      </c>
      <c r="X409" s="349" t="str">
        <f>IF(F409="","",'הזנה לתנאי סף'!Z409)</f>
        <v/>
      </c>
      <c r="Y409" s="351"/>
      <c r="Z409" s="352" t="str">
        <f>IFERROR(VLOOKUP(G409*1,#REF!,3,0),"")</f>
        <v/>
      </c>
      <c r="AA409" s="349" t="str">
        <f>IF(OR($F409="",Z409=""),"",IFERROR(IF(Z409&gt;V409,MIN(Z409,T409)-V409,0),'תחום תמיכה ג'!$Q$2))</f>
        <v/>
      </c>
      <c r="AB409" s="353"/>
      <c r="AC409" s="260" t="str">
        <f t="shared" si="23"/>
        <v/>
      </c>
      <c r="AD409" s="358"/>
      <c r="AE409" s="180"/>
      <c r="AF409" s="355" t="str">
        <f>IF($C409="","",IFERROR(VLOOKUP($C409,גיליון1!$A:$E,2,0),"לא הגיש בקשה שוטפת"))</f>
        <v/>
      </c>
      <c r="AG409" s="355" t="str">
        <f>IF($C409="","",IFERROR(VLOOKUP($C409,גיליון1!$A:$E,3,0),"לא הגיש בקשה שוטפת"))</f>
        <v/>
      </c>
      <c r="AH409" s="355" t="str">
        <f>IF($C409="","",IFERROR(VLOOKUP($C409,גיליון1!$A:$E,4,0),"לא הגיש בקשה שוטפת"))</f>
        <v/>
      </c>
      <c r="AI409" s="355" t="str">
        <f>IF($C409="","",IFERROR(VLOOKUP($C409,גיליון1!$A:$E,5,0),"לא הגיש בקשה שוטפת"))</f>
        <v/>
      </c>
      <c r="AJ409" s="355">
        <f t="shared" si="22"/>
        <v>0</v>
      </c>
      <c r="AK409" s="15"/>
      <c r="AL409" s="15" t="s">
        <v>250</v>
      </c>
    </row>
    <row r="410" spans="1:38" x14ac:dyDescent="0.25">
      <c r="A410" s="346" t="str">
        <f>'הזנה לתנאי סף'!B410</f>
        <v/>
      </c>
      <c r="B410" s="347" t="str">
        <f>IF($F410="","",'הזנה לתנאי סף'!C410)</f>
        <v/>
      </c>
      <c r="C410" s="347" t="str">
        <f>IF($F410="","",'הזנה לתנאי סף'!D410)</f>
        <v/>
      </c>
      <c r="D410" s="347" t="str">
        <f>IF($F410="","",'הזנה לתנאי סף'!E410)</f>
        <v/>
      </c>
      <c r="E410" s="348" t="str">
        <f>IF($F410="","",'הזנה לתנאי סף'!F410)</f>
        <v/>
      </c>
      <c r="F410" s="348" t="str">
        <f>IF('הזנה לתנאי סף'!BL410=1,'הזנה לתנאי סף'!G410,"")</f>
        <v/>
      </c>
      <c r="G410" s="348" t="str">
        <f>IF($F410="","",'הזנה לתנאי סף'!H410)</f>
        <v/>
      </c>
      <c r="H410" s="348" t="str">
        <f>IF($F410="","",'הזנה לתנאי סף'!I410)</f>
        <v/>
      </c>
      <c r="I410" s="349" t="str">
        <f>IF($F410="","",'הזנה לתנאי סף'!R410)</f>
        <v/>
      </c>
      <c r="J410" s="349" t="str">
        <f>IF($F410="","",'תחום תמיכה א'!P410)</f>
        <v/>
      </c>
      <c r="K410" s="177" t="str">
        <f>IF($F410="","",'הזנה לתנאי סף'!N410)</f>
        <v/>
      </c>
      <c r="L410" s="177" t="str">
        <f>IF($F410="","",'הזנה לתנאי סף'!O410)</f>
        <v/>
      </c>
      <c r="M410" s="177" t="str">
        <f>IF($F410="","",'הזנה לתנאי סף'!Q410)</f>
        <v/>
      </c>
      <c r="N410" s="349" t="str">
        <f>IF($F410="","",'תחום תמיכה א'!AE410)</f>
        <v/>
      </c>
      <c r="O410" s="178"/>
      <c r="P410" s="349" t="str">
        <f>IF($F410="","",'תחום תמיכה ב'!AC410)</f>
        <v/>
      </c>
      <c r="Q410" s="349" t="str">
        <f>IF($F410="","",IF('תחום תמיכה ג'!O410="",0,'תחום תמיכה ג'!O410))</f>
        <v/>
      </c>
      <c r="R410" s="349" t="str">
        <f t="shared" si="20"/>
        <v/>
      </c>
      <c r="S410" s="349" t="str">
        <f>IF($F410="","",'תחום תמיכה ב'!AE410)</f>
        <v/>
      </c>
      <c r="T410" s="349" t="str">
        <f>IF($F410="","",IF(Q410='תחום תמיכה ג'!$Q$2,'תחום תמיכה ג'!$Q$2,IFERROR(SUMIF(N410:R410,"&gt;0"),'תחום תמיכה ג'!$Q$2)))</f>
        <v/>
      </c>
      <c r="U410" s="349" t="str">
        <f>IF($F410="","",'הזנה לתנאי סף'!Y410)</f>
        <v/>
      </c>
      <c r="V410" s="350" t="str">
        <f>IF(F410="","",'הגבלה לסכום מבוקש '!AA410)</f>
        <v/>
      </c>
      <c r="W410" s="349" t="str">
        <f t="shared" si="21"/>
        <v/>
      </c>
      <c r="X410" s="349" t="str">
        <f>IF(F410="","",'הזנה לתנאי סף'!Z410)</f>
        <v/>
      </c>
      <c r="Y410" s="351"/>
      <c r="Z410" s="352" t="str">
        <f>IFERROR(VLOOKUP(G410*1,#REF!,3,0),"")</f>
        <v/>
      </c>
      <c r="AA410" s="349" t="str">
        <f>IF(OR($F410="",Z410=""),"",IFERROR(IF(Z410&gt;V410,MIN(Z410,T410)-V410,0),'תחום תמיכה ג'!$Q$2))</f>
        <v/>
      </c>
      <c r="AB410" s="353"/>
      <c r="AC410" s="260" t="str">
        <f t="shared" si="23"/>
        <v/>
      </c>
      <c r="AD410" s="358"/>
      <c r="AE410" s="180"/>
      <c r="AF410" s="355" t="str">
        <f>IF($C410="","",IFERROR(VLOOKUP($C410,גיליון1!$A:$E,2,0),"לא הגיש בקשה שוטפת"))</f>
        <v/>
      </c>
      <c r="AG410" s="355" t="str">
        <f>IF($C410="","",IFERROR(VLOOKUP($C410,גיליון1!$A:$E,3,0),"לא הגיש בקשה שוטפת"))</f>
        <v/>
      </c>
      <c r="AH410" s="355" t="str">
        <f>IF($C410="","",IFERROR(VLOOKUP($C410,גיליון1!$A:$E,4,0),"לא הגיש בקשה שוטפת"))</f>
        <v/>
      </c>
      <c r="AI410" s="355" t="str">
        <f>IF($C410="","",IFERROR(VLOOKUP($C410,גיליון1!$A:$E,5,0),"לא הגיש בקשה שוטפת"))</f>
        <v/>
      </c>
      <c r="AJ410" s="355">
        <f t="shared" si="22"/>
        <v>0</v>
      </c>
      <c r="AK410" s="15"/>
      <c r="AL410" s="15" t="s">
        <v>250</v>
      </c>
    </row>
    <row r="411" spans="1:38" x14ac:dyDescent="0.25">
      <c r="A411" s="346" t="str">
        <f>'הזנה לתנאי סף'!B411</f>
        <v/>
      </c>
      <c r="B411" s="347" t="str">
        <f>IF($F411="","",'הזנה לתנאי סף'!C411)</f>
        <v/>
      </c>
      <c r="C411" s="347" t="str">
        <f>IF($F411="","",'הזנה לתנאי סף'!D411)</f>
        <v/>
      </c>
      <c r="D411" s="347" t="str">
        <f>IF($F411="","",'הזנה לתנאי סף'!E411)</f>
        <v/>
      </c>
      <c r="E411" s="348" t="str">
        <f>IF($F411="","",'הזנה לתנאי סף'!F411)</f>
        <v/>
      </c>
      <c r="F411" s="348" t="str">
        <f>IF('הזנה לתנאי סף'!BL411=1,'הזנה לתנאי סף'!G411,"")</f>
        <v/>
      </c>
      <c r="G411" s="348" t="str">
        <f>IF($F411="","",'הזנה לתנאי סף'!H411)</f>
        <v/>
      </c>
      <c r="H411" s="348" t="str">
        <f>IF($F411="","",'הזנה לתנאי סף'!I411)</f>
        <v/>
      </c>
      <c r="I411" s="349" t="str">
        <f>IF($F411="","",'הזנה לתנאי סף'!R411)</f>
        <v/>
      </c>
      <c r="J411" s="349" t="str">
        <f>IF($F411="","",'תחום תמיכה א'!P411)</f>
        <v/>
      </c>
      <c r="K411" s="177" t="str">
        <f>IF($F411="","",'הזנה לתנאי סף'!N411)</f>
        <v/>
      </c>
      <c r="L411" s="177" t="str">
        <f>IF($F411="","",'הזנה לתנאי סף'!O411)</f>
        <v/>
      </c>
      <c r="M411" s="177" t="str">
        <f>IF($F411="","",'הזנה לתנאי סף'!Q411)</f>
        <v/>
      </c>
      <c r="N411" s="349" t="str">
        <f>IF($F411="","",'תחום תמיכה א'!AE411)</f>
        <v/>
      </c>
      <c r="O411" s="178"/>
      <c r="P411" s="349" t="str">
        <f>IF($F411="","",'תחום תמיכה ב'!AC411)</f>
        <v/>
      </c>
      <c r="Q411" s="349" t="str">
        <f>IF($F411="","",IF('תחום תמיכה ג'!O411="",0,'תחום תמיכה ג'!O411))</f>
        <v/>
      </c>
      <c r="R411" s="349" t="str">
        <f t="shared" si="20"/>
        <v/>
      </c>
      <c r="S411" s="349" t="str">
        <f>IF($F411="","",'תחום תמיכה ב'!AE411)</f>
        <v/>
      </c>
      <c r="T411" s="349" t="str">
        <f>IF($F411="","",IF(Q411='תחום תמיכה ג'!$Q$2,'תחום תמיכה ג'!$Q$2,IFERROR(SUMIF(N411:R411,"&gt;0"),'תחום תמיכה ג'!$Q$2)))</f>
        <v/>
      </c>
      <c r="U411" s="349" t="str">
        <f>IF($F411="","",'הזנה לתנאי סף'!Y411)</f>
        <v/>
      </c>
      <c r="V411" s="350" t="str">
        <f>IF(F411="","",'הגבלה לסכום מבוקש '!AA411)</f>
        <v/>
      </c>
      <c r="W411" s="349" t="str">
        <f t="shared" si="21"/>
        <v/>
      </c>
      <c r="X411" s="349" t="str">
        <f>IF(F411="","",'הזנה לתנאי סף'!Z411)</f>
        <v/>
      </c>
      <c r="Y411" s="351"/>
      <c r="Z411" s="352" t="str">
        <f>IFERROR(VLOOKUP(G411*1,#REF!,3,0),"")</f>
        <v/>
      </c>
      <c r="AA411" s="349" t="str">
        <f>IF(OR($F411="",Z411=""),"",IFERROR(IF(Z411&gt;V411,MIN(Z411,T411)-V411,0),'תחום תמיכה ג'!$Q$2))</f>
        <v/>
      </c>
      <c r="AB411" s="353"/>
      <c r="AC411" s="260" t="str">
        <f t="shared" si="23"/>
        <v/>
      </c>
      <c r="AD411" s="358"/>
      <c r="AE411" s="180"/>
      <c r="AF411" s="355" t="str">
        <f>IF($C411="","",IFERROR(VLOOKUP($C411,גיליון1!$A:$E,2,0),"לא הגיש בקשה שוטפת"))</f>
        <v/>
      </c>
      <c r="AG411" s="355" t="str">
        <f>IF($C411="","",IFERROR(VLOOKUP($C411,גיליון1!$A:$E,3,0),"לא הגיש בקשה שוטפת"))</f>
        <v/>
      </c>
      <c r="AH411" s="355" t="str">
        <f>IF($C411="","",IFERROR(VLOOKUP($C411,גיליון1!$A:$E,4,0),"לא הגיש בקשה שוטפת"))</f>
        <v/>
      </c>
      <c r="AI411" s="355" t="str">
        <f>IF($C411="","",IFERROR(VLOOKUP($C411,גיליון1!$A:$E,5,0),"לא הגיש בקשה שוטפת"))</f>
        <v/>
      </c>
      <c r="AJ411" s="355">
        <f t="shared" si="22"/>
        <v>0</v>
      </c>
      <c r="AK411" s="15"/>
      <c r="AL411" s="15" t="s">
        <v>250</v>
      </c>
    </row>
    <row r="412" spans="1:38" x14ac:dyDescent="0.25">
      <c r="A412" s="346" t="str">
        <f>'הזנה לתנאי סף'!B412</f>
        <v/>
      </c>
      <c r="B412" s="347" t="str">
        <f>IF($F412="","",'הזנה לתנאי סף'!C412)</f>
        <v/>
      </c>
      <c r="C412" s="347" t="str">
        <f>IF($F412="","",'הזנה לתנאי סף'!D412)</f>
        <v/>
      </c>
      <c r="D412" s="347" t="str">
        <f>IF($F412="","",'הזנה לתנאי סף'!E412)</f>
        <v/>
      </c>
      <c r="E412" s="348" t="str">
        <f>IF($F412="","",'הזנה לתנאי סף'!F412)</f>
        <v/>
      </c>
      <c r="F412" s="348" t="str">
        <f>IF('הזנה לתנאי סף'!BL412=1,'הזנה לתנאי סף'!G412,"")</f>
        <v/>
      </c>
      <c r="G412" s="348" t="str">
        <f>IF($F412="","",'הזנה לתנאי סף'!H412)</f>
        <v/>
      </c>
      <c r="H412" s="348" t="str">
        <f>IF($F412="","",'הזנה לתנאי סף'!I412)</f>
        <v/>
      </c>
      <c r="I412" s="349" t="str">
        <f>IF($F412="","",'הזנה לתנאי סף'!R412)</f>
        <v/>
      </c>
      <c r="J412" s="349" t="str">
        <f>IF($F412="","",'תחום תמיכה א'!P412)</f>
        <v/>
      </c>
      <c r="K412" s="177" t="str">
        <f>IF($F412="","",'הזנה לתנאי סף'!N412)</f>
        <v/>
      </c>
      <c r="L412" s="177" t="str">
        <f>IF($F412="","",'הזנה לתנאי סף'!O412)</f>
        <v/>
      </c>
      <c r="M412" s="177" t="str">
        <f>IF($F412="","",'הזנה לתנאי סף'!Q412)</f>
        <v/>
      </c>
      <c r="N412" s="349" t="str">
        <f>IF($F412="","",'תחום תמיכה א'!AE412)</f>
        <v/>
      </c>
      <c r="O412" s="178"/>
      <c r="P412" s="349" t="str">
        <f>IF($F412="","",'תחום תמיכה ב'!AC412)</f>
        <v/>
      </c>
      <c r="Q412" s="349" t="str">
        <f>IF($F412="","",IF('תחום תמיכה ג'!O412="",0,'תחום תמיכה ג'!O412))</f>
        <v/>
      </c>
      <c r="R412" s="349" t="str">
        <f t="shared" si="20"/>
        <v/>
      </c>
      <c r="S412" s="349" t="str">
        <f>IF($F412="","",'תחום תמיכה ב'!AE412)</f>
        <v/>
      </c>
      <c r="T412" s="349" t="str">
        <f>IF($F412="","",IF(Q412='תחום תמיכה ג'!$Q$2,'תחום תמיכה ג'!$Q$2,IFERROR(SUMIF(N412:R412,"&gt;0"),'תחום תמיכה ג'!$Q$2)))</f>
        <v/>
      </c>
      <c r="U412" s="349" t="str">
        <f>IF($F412="","",'הזנה לתנאי סף'!Y412)</f>
        <v/>
      </c>
      <c r="V412" s="350" t="str">
        <f>IF(F412="","",'הגבלה לסכום מבוקש '!AA412)</f>
        <v/>
      </c>
      <c r="W412" s="349" t="str">
        <f t="shared" si="21"/>
        <v/>
      </c>
      <c r="X412" s="349" t="str">
        <f>IF(F412="","",'הזנה לתנאי סף'!Z412)</f>
        <v/>
      </c>
      <c r="Y412" s="351"/>
      <c r="Z412" s="352" t="str">
        <f>IFERROR(VLOOKUP(G412*1,#REF!,3,0),"")</f>
        <v/>
      </c>
      <c r="AA412" s="349" t="str">
        <f>IF(OR($F412="",Z412=""),"",IFERROR(IF(Z412&gt;V412,MIN(Z412,T412)-V412,0),'תחום תמיכה ג'!$Q$2))</f>
        <v/>
      </c>
      <c r="AB412" s="353"/>
      <c r="AC412" s="260" t="str">
        <f t="shared" si="23"/>
        <v/>
      </c>
      <c r="AD412" s="358"/>
      <c r="AE412" s="180"/>
      <c r="AF412" s="355" t="str">
        <f>IF($C412="","",IFERROR(VLOOKUP($C412,גיליון1!$A:$E,2,0),"לא הגיש בקשה שוטפת"))</f>
        <v/>
      </c>
      <c r="AG412" s="355" t="str">
        <f>IF($C412="","",IFERROR(VLOOKUP($C412,גיליון1!$A:$E,3,0),"לא הגיש בקשה שוטפת"))</f>
        <v/>
      </c>
      <c r="AH412" s="355" t="str">
        <f>IF($C412="","",IFERROR(VLOOKUP($C412,גיליון1!$A:$E,4,0),"לא הגיש בקשה שוטפת"))</f>
        <v/>
      </c>
      <c r="AI412" s="355" t="str">
        <f>IF($C412="","",IFERROR(VLOOKUP($C412,גיליון1!$A:$E,5,0),"לא הגיש בקשה שוטפת"))</f>
        <v/>
      </c>
      <c r="AJ412" s="355">
        <f t="shared" si="22"/>
        <v>0</v>
      </c>
      <c r="AK412" s="15"/>
      <c r="AL412" s="15" t="s">
        <v>250</v>
      </c>
    </row>
    <row r="413" spans="1:38" x14ac:dyDescent="0.25">
      <c r="A413" s="346" t="str">
        <f>'הזנה לתנאי סף'!B413</f>
        <v/>
      </c>
      <c r="B413" s="347" t="str">
        <f>IF($F413="","",'הזנה לתנאי סף'!C413)</f>
        <v/>
      </c>
      <c r="C413" s="347" t="str">
        <f>IF($F413="","",'הזנה לתנאי סף'!D413)</f>
        <v/>
      </c>
      <c r="D413" s="347" t="str">
        <f>IF($F413="","",'הזנה לתנאי סף'!E413)</f>
        <v/>
      </c>
      <c r="E413" s="348" t="str">
        <f>IF($F413="","",'הזנה לתנאי סף'!F413)</f>
        <v/>
      </c>
      <c r="F413" s="348" t="str">
        <f>IF('הזנה לתנאי סף'!BL413=1,'הזנה לתנאי סף'!G413,"")</f>
        <v/>
      </c>
      <c r="G413" s="348" t="str">
        <f>IF($F413="","",'הזנה לתנאי סף'!H413)</f>
        <v/>
      </c>
      <c r="H413" s="348" t="str">
        <f>IF($F413="","",'הזנה לתנאי סף'!I413)</f>
        <v/>
      </c>
      <c r="I413" s="349" t="str">
        <f>IF($F413="","",'הזנה לתנאי סף'!R413)</f>
        <v/>
      </c>
      <c r="J413" s="349" t="str">
        <f>IF($F413="","",'תחום תמיכה א'!P413)</f>
        <v/>
      </c>
      <c r="K413" s="177" t="str">
        <f>IF($F413="","",'הזנה לתנאי סף'!N413)</f>
        <v/>
      </c>
      <c r="L413" s="177" t="str">
        <f>IF($F413="","",'הזנה לתנאי סף'!O413)</f>
        <v/>
      </c>
      <c r="M413" s="177" t="str">
        <f>IF($F413="","",'הזנה לתנאי סף'!Q413)</f>
        <v/>
      </c>
      <c r="N413" s="349" t="str">
        <f>IF($F413="","",'תחום תמיכה א'!AE413)</f>
        <v/>
      </c>
      <c r="O413" s="178"/>
      <c r="P413" s="349" t="str">
        <f>IF($F413="","",'תחום תמיכה ב'!AC413)</f>
        <v/>
      </c>
      <c r="Q413" s="349" t="str">
        <f>IF($F413="","",IF('תחום תמיכה ג'!O413="",0,'תחום תמיכה ג'!O413))</f>
        <v/>
      </c>
      <c r="R413" s="349" t="str">
        <f t="shared" si="20"/>
        <v/>
      </c>
      <c r="S413" s="349" t="str">
        <f>IF($F413="","",'תחום תמיכה ב'!AE413)</f>
        <v/>
      </c>
      <c r="T413" s="349" t="str">
        <f>IF($F413="","",IF(Q413='תחום תמיכה ג'!$Q$2,'תחום תמיכה ג'!$Q$2,IFERROR(SUMIF(N413:R413,"&gt;0"),'תחום תמיכה ג'!$Q$2)))</f>
        <v/>
      </c>
      <c r="U413" s="349" t="str">
        <f>IF($F413="","",'הזנה לתנאי סף'!Y413)</f>
        <v/>
      </c>
      <c r="V413" s="350" t="str">
        <f>IF(F413="","",'הגבלה לסכום מבוקש '!AA413)</f>
        <v/>
      </c>
      <c r="W413" s="349" t="str">
        <f t="shared" si="21"/>
        <v/>
      </c>
      <c r="X413" s="349" t="str">
        <f>IF(F413="","",'הזנה לתנאי סף'!Z413)</f>
        <v/>
      </c>
      <c r="Y413" s="351"/>
      <c r="Z413" s="352" t="str">
        <f>IFERROR(VLOOKUP(G413*1,#REF!,3,0),"")</f>
        <v/>
      </c>
      <c r="AA413" s="349" t="str">
        <f>IF(OR($F413="",Z413=""),"",IFERROR(IF(Z413&gt;V413,MIN(Z413,T413)-V413,0),'תחום תמיכה ג'!$Q$2))</f>
        <v/>
      </c>
      <c r="AB413" s="353"/>
      <c r="AC413" s="260" t="str">
        <f t="shared" si="23"/>
        <v/>
      </c>
      <c r="AD413" s="358"/>
      <c r="AE413" s="180"/>
      <c r="AF413" s="355" t="str">
        <f>IF($C413="","",IFERROR(VLOOKUP($C413,גיליון1!$A:$E,2,0),"לא הגיש בקשה שוטפת"))</f>
        <v/>
      </c>
      <c r="AG413" s="355" t="str">
        <f>IF($C413="","",IFERROR(VLOOKUP($C413,גיליון1!$A:$E,3,0),"לא הגיש בקשה שוטפת"))</f>
        <v/>
      </c>
      <c r="AH413" s="355" t="str">
        <f>IF($C413="","",IFERROR(VLOOKUP($C413,גיליון1!$A:$E,4,0),"לא הגיש בקשה שוטפת"))</f>
        <v/>
      </c>
      <c r="AI413" s="355" t="str">
        <f>IF($C413="","",IFERROR(VLOOKUP($C413,גיליון1!$A:$E,5,0),"לא הגיש בקשה שוטפת"))</f>
        <v/>
      </c>
      <c r="AJ413" s="355">
        <f t="shared" si="22"/>
        <v>0</v>
      </c>
      <c r="AK413" s="15"/>
      <c r="AL413" s="15" t="s">
        <v>250</v>
      </c>
    </row>
    <row r="414" spans="1:38" x14ac:dyDescent="0.25">
      <c r="A414" s="346" t="str">
        <f>'הזנה לתנאי סף'!B414</f>
        <v/>
      </c>
      <c r="B414" s="347" t="str">
        <f>IF($F414="","",'הזנה לתנאי סף'!C414)</f>
        <v/>
      </c>
      <c r="C414" s="347" t="str">
        <f>IF($F414="","",'הזנה לתנאי סף'!D414)</f>
        <v/>
      </c>
      <c r="D414" s="347" t="str">
        <f>IF($F414="","",'הזנה לתנאי סף'!E414)</f>
        <v/>
      </c>
      <c r="E414" s="348" t="str">
        <f>IF($F414="","",'הזנה לתנאי סף'!F414)</f>
        <v/>
      </c>
      <c r="F414" s="348" t="str">
        <f>IF('הזנה לתנאי סף'!BL414=1,'הזנה לתנאי סף'!G414,"")</f>
        <v/>
      </c>
      <c r="G414" s="348" t="str">
        <f>IF($F414="","",'הזנה לתנאי סף'!H414)</f>
        <v/>
      </c>
      <c r="H414" s="348" t="str">
        <f>IF($F414="","",'הזנה לתנאי סף'!I414)</f>
        <v/>
      </c>
      <c r="I414" s="349" t="str">
        <f>IF($F414="","",'הזנה לתנאי סף'!R414)</f>
        <v/>
      </c>
      <c r="J414" s="349" t="str">
        <f>IF($F414="","",'תחום תמיכה א'!P414)</f>
        <v/>
      </c>
      <c r="K414" s="177" t="str">
        <f>IF($F414="","",'הזנה לתנאי סף'!N414)</f>
        <v/>
      </c>
      <c r="L414" s="177" t="str">
        <f>IF($F414="","",'הזנה לתנאי סף'!O414)</f>
        <v/>
      </c>
      <c r="M414" s="177" t="str">
        <f>IF($F414="","",'הזנה לתנאי סף'!Q414)</f>
        <v/>
      </c>
      <c r="N414" s="349" t="str">
        <f>IF($F414="","",'תחום תמיכה א'!AE414)</f>
        <v/>
      </c>
      <c r="O414" s="178"/>
      <c r="P414" s="349" t="str">
        <f>IF($F414="","",'תחום תמיכה ב'!AC414)</f>
        <v/>
      </c>
      <c r="Q414" s="349" t="str">
        <f>IF($F414="","",IF('תחום תמיכה ג'!O414="",0,'תחום תמיכה ג'!O414))</f>
        <v/>
      </c>
      <c r="R414" s="349" t="str">
        <f t="shared" si="20"/>
        <v/>
      </c>
      <c r="S414" s="349" t="str">
        <f>IF($F414="","",'תחום תמיכה ב'!AE414)</f>
        <v/>
      </c>
      <c r="T414" s="349" t="str">
        <f>IF($F414="","",IF(Q414='תחום תמיכה ג'!$Q$2,'תחום תמיכה ג'!$Q$2,IFERROR(SUMIF(N414:R414,"&gt;0"),'תחום תמיכה ג'!$Q$2)))</f>
        <v/>
      </c>
      <c r="U414" s="349" t="str">
        <f>IF($F414="","",'הזנה לתנאי סף'!Y414)</f>
        <v/>
      </c>
      <c r="V414" s="350" t="str">
        <f>IF(F414="","",'הגבלה לסכום מבוקש '!AA414)</f>
        <v/>
      </c>
      <c r="W414" s="349" t="str">
        <f t="shared" si="21"/>
        <v/>
      </c>
      <c r="X414" s="349" t="str">
        <f>IF(F414="","",'הזנה לתנאי סף'!Z414)</f>
        <v/>
      </c>
      <c r="Y414" s="351"/>
      <c r="Z414" s="352" t="str">
        <f>IFERROR(VLOOKUP(G414*1,#REF!,3,0),"")</f>
        <v/>
      </c>
      <c r="AA414" s="349" t="str">
        <f>IF(OR($F414="",Z414=""),"",IFERROR(IF(Z414&gt;V414,MIN(Z414,T414)-V414,0),'תחום תמיכה ג'!$Q$2))</f>
        <v/>
      </c>
      <c r="AB414" s="353"/>
      <c r="AC414" s="260" t="str">
        <f t="shared" si="23"/>
        <v/>
      </c>
      <c r="AD414" s="358"/>
      <c r="AE414" s="180"/>
      <c r="AF414" s="355" t="str">
        <f>IF($C414="","",IFERROR(VLOOKUP($C414,גיליון1!$A:$E,2,0),"לא הגיש בקשה שוטפת"))</f>
        <v/>
      </c>
      <c r="AG414" s="355" t="str">
        <f>IF($C414="","",IFERROR(VLOOKUP($C414,גיליון1!$A:$E,3,0),"לא הגיש בקשה שוטפת"))</f>
        <v/>
      </c>
      <c r="AH414" s="355" t="str">
        <f>IF($C414="","",IFERROR(VLOOKUP($C414,גיליון1!$A:$E,4,0),"לא הגיש בקשה שוטפת"))</f>
        <v/>
      </c>
      <c r="AI414" s="355" t="str">
        <f>IF($C414="","",IFERROR(VLOOKUP($C414,גיליון1!$A:$E,5,0),"לא הגיש בקשה שוטפת"))</f>
        <v/>
      </c>
      <c r="AJ414" s="355">
        <f t="shared" si="22"/>
        <v>0</v>
      </c>
      <c r="AK414" s="15"/>
      <c r="AL414" s="15" t="s">
        <v>250</v>
      </c>
    </row>
    <row r="415" spans="1:38" x14ac:dyDescent="0.25">
      <c r="A415" s="346" t="str">
        <f>'הזנה לתנאי סף'!B415</f>
        <v/>
      </c>
      <c r="B415" s="347" t="str">
        <f>IF($F415="","",'הזנה לתנאי סף'!C415)</f>
        <v/>
      </c>
      <c r="C415" s="347" t="str">
        <f>IF($F415="","",'הזנה לתנאי סף'!D415)</f>
        <v/>
      </c>
      <c r="D415" s="347" t="str">
        <f>IF($F415="","",'הזנה לתנאי סף'!E415)</f>
        <v/>
      </c>
      <c r="E415" s="348" t="str">
        <f>IF($F415="","",'הזנה לתנאי סף'!F415)</f>
        <v/>
      </c>
      <c r="F415" s="348" t="str">
        <f>IF('הזנה לתנאי סף'!BL415=1,'הזנה לתנאי סף'!G415,"")</f>
        <v/>
      </c>
      <c r="G415" s="348" t="str">
        <f>IF($F415="","",'הזנה לתנאי סף'!H415)</f>
        <v/>
      </c>
      <c r="H415" s="348" t="str">
        <f>IF($F415="","",'הזנה לתנאי סף'!I415)</f>
        <v/>
      </c>
      <c r="I415" s="349" t="str">
        <f>IF($F415="","",'הזנה לתנאי סף'!R415)</f>
        <v/>
      </c>
      <c r="J415" s="349" t="str">
        <f>IF($F415="","",'תחום תמיכה א'!P415)</f>
        <v/>
      </c>
      <c r="K415" s="177" t="str">
        <f>IF($F415="","",'הזנה לתנאי סף'!N415)</f>
        <v/>
      </c>
      <c r="L415" s="177" t="str">
        <f>IF($F415="","",'הזנה לתנאי סף'!O415)</f>
        <v/>
      </c>
      <c r="M415" s="177" t="str">
        <f>IF($F415="","",'הזנה לתנאי סף'!Q415)</f>
        <v/>
      </c>
      <c r="N415" s="349" t="str">
        <f>IF($F415="","",'תחום תמיכה א'!AE415)</f>
        <v/>
      </c>
      <c r="O415" s="178"/>
      <c r="P415" s="349" t="str">
        <f>IF($F415="","",'תחום תמיכה ב'!AC415)</f>
        <v/>
      </c>
      <c r="Q415" s="349" t="str">
        <f>IF($F415="","",IF('תחום תמיכה ג'!O415="",0,'תחום תמיכה ג'!O415))</f>
        <v/>
      </c>
      <c r="R415" s="349" t="str">
        <f t="shared" si="20"/>
        <v/>
      </c>
      <c r="S415" s="349" t="str">
        <f>IF($F415="","",'תחום תמיכה ב'!AE415)</f>
        <v/>
      </c>
      <c r="T415" s="349" t="str">
        <f>IF($F415="","",IF(Q415='תחום תמיכה ג'!$Q$2,'תחום תמיכה ג'!$Q$2,IFERROR(SUMIF(N415:R415,"&gt;0"),'תחום תמיכה ג'!$Q$2)))</f>
        <v/>
      </c>
      <c r="U415" s="349" t="str">
        <f>IF($F415="","",'הזנה לתנאי סף'!Y415)</f>
        <v/>
      </c>
      <c r="V415" s="350" t="str">
        <f>IF(F415="","",'הגבלה לסכום מבוקש '!AA415)</f>
        <v/>
      </c>
      <c r="W415" s="349" t="str">
        <f t="shared" si="21"/>
        <v/>
      </c>
      <c r="X415" s="349" t="str">
        <f>IF(F415="","",'הזנה לתנאי סף'!Z415)</f>
        <v/>
      </c>
      <c r="Y415" s="351"/>
      <c r="Z415" s="352" t="str">
        <f>IFERROR(VLOOKUP(G415*1,#REF!,3,0),"")</f>
        <v/>
      </c>
      <c r="AA415" s="349" t="str">
        <f>IF(OR($F415="",Z415=""),"",IFERROR(IF(Z415&gt;V415,MIN(Z415,T415)-V415,0),'תחום תמיכה ג'!$Q$2))</f>
        <v/>
      </c>
      <c r="AB415" s="353"/>
      <c r="AC415" s="260" t="str">
        <f t="shared" si="23"/>
        <v/>
      </c>
      <c r="AD415" s="358"/>
      <c r="AE415" s="180"/>
      <c r="AF415" s="355" t="str">
        <f>IF($C415="","",IFERROR(VLOOKUP($C415,גיליון1!$A:$E,2,0),"לא הגיש בקשה שוטפת"))</f>
        <v/>
      </c>
      <c r="AG415" s="355" t="str">
        <f>IF($C415="","",IFERROR(VLOOKUP($C415,גיליון1!$A:$E,3,0),"לא הגיש בקשה שוטפת"))</f>
        <v/>
      </c>
      <c r="AH415" s="355" t="str">
        <f>IF($C415="","",IFERROR(VLOOKUP($C415,גיליון1!$A:$E,4,0),"לא הגיש בקשה שוטפת"))</f>
        <v/>
      </c>
      <c r="AI415" s="355" t="str">
        <f>IF($C415="","",IFERROR(VLOOKUP($C415,גיליון1!$A:$E,5,0),"לא הגיש בקשה שוטפת"))</f>
        <v/>
      </c>
      <c r="AJ415" s="355">
        <f t="shared" si="22"/>
        <v>0</v>
      </c>
      <c r="AK415" s="15"/>
      <c r="AL415" s="15" t="s">
        <v>250</v>
      </c>
    </row>
    <row r="416" spans="1:38" x14ac:dyDescent="0.25">
      <c r="A416" s="346" t="str">
        <f>'הזנה לתנאי סף'!B416</f>
        <v/>
      </c>
      <c r="B416" s="347" t="str">
        <f>IF($F416="","",'הזנה לתנאי סף'!C416)</f>
        <v/>
      </c>
      <c r="C416" s="347" t="str">
        <f>IF($F416="","",'הזנה לתנאי סף'!D416)</f>
        <v/>
      </c>
      <c r="D416" s="347" t="str">
        <f>IF($F416="","",'הזנה לתנאי סף'!E416)</f>
        <v/>
      </c>
      <c r="E416" s="348" t="str">
        <f>IF($F416="","",'הזנה לתנאי סף'!F416)</f>
        <v/>
      </c>
      <c r="F416" s="348" t="str">
        <f>IF('הזנה לתנאי סף'!BL416=1,'הזנה לתנאי סף'!G416,"")</f>
        <v/>
      </c>
      <c r="G416" s="348" t="str">
        <f>IF($F416="","",'הזנה לתנאי סף'!H416)</f>
        <v/>
      </c>
      <c r="H416" s="348" t="str">
        <f>IF($F416="","",'הזנה לתנאי סף'!I416)</f>
        <v/>
      </c>
      <c r="I416" s="349" t="str">
        <f>IF($F416="","",'הזנה לתנאי סף'!R416)</f>
        <v/>
      </c>
      <c r="J416" s="349" t="str">
        <f>IF($F416="","",'תחום תמיכה א'!P416)</f>
        <v/>
      </c>
      <c r="K416" s="177" t="str">
        <f>IF($F416="","",'הזנה לתנאי סף'!N416)</f>
        <v/>
      </c>
      <c r="L416" s="177" t="str">
        <f>IF($F416="","",'הזנה לתנאי סף'!O416)</f>
        <v/>
      </c>
      <c r="M416" s="177" t="str">
        <f>IF($F416="","",'הזנה לתנאי סף'!Q416)</f>
        <v/>
      </c>
      <c r="N416" s="349" t="str">
        <f>IF($F416="","",'תחום תמיכה א'!AE416)</f>
        <v/>
      </c>
      <c r="O416" s="178"/>
      <c r="P416" s="349" t="str">
        <f>IF($F416="","",'תחום תמיכה ב'!AC416)</f>
        <v/>
      </c>
      <c r="Q416" s="349" t="str">
        <f>IF($F416="","",IF('תחום תמיכה ג'!O416="",0,'תחום תמיכה ג'!O416))</f>
        <v/>
      </c>
      <c r="R416" s="349" t="str">
        <f t="shared" ref="R416:R479" si="24">IF($F416="","",IFERROR(S416-P416,""))</f>
        <v/>
      </c>
      <c r="S416" s="349" t="str">
        <f>IF($F416="","",'תחום תמיכה ב'!AE416)</f>
        <v/>
      </c>
      <c r="T416" s="349" t="str">
        <f>IF($F416="","",IF(Q416='תחום תמיכה ג'!$Q$2,'תחום תמיכה ג'!$Q$2,IFERROR(SUMIF(N416:R416,"&gt;0"),'תחום תמיכה ג'!$Q$2)))</f>
        <v/>
      </c>
      <c r="U416" s="349" t="str">
        <f>IF($F416="","",'הזנה לתנאי סף'!Y416)</f>
        <v/>
      </c>
      <c r="V416" s="350" t="str">
        <f>IF(F416="","",'הגבלה לסכום מבוקש '!AA416)</f>
        <v/>
      </c>
      <c r="W416" s="349" t="str">
        <f t="shared" ref="W416:W479" si="25">IF(G416="","",V416/4)</f>
        <v/>
      </c>
      <c r="X416" s="349" t="str">
        <f>IF(F416="","",'הזנה לתנאי סף'!Z416)</f>
        <v/>
      </c>
      <c r="Y416" s="351"/>
      <c r="Z416" s="352" t="str">
        <f>IFERROR(VLOOKUP(G416*1,#REF!,3,0),"")</f>
        <v/>
      </c>
      <c r="AA416" s="349" t="str">
        <f>IF(OR($F416="",Z416=""),"",IFERROR(IF(Z416&gt;V416,MIN(Z416,T416)-V416,0),'תחום תמיכה ג'!$Q$2))</f>
        <v/>
      </c>
      <c r="AB416" s="353"/>
      <c r="AC416" s="260" t="str">
        <f t="shared" si="23"/>
        <v/>
      </c>
      <c r="AD416" s="358"/>
      <c r="AE416" s="180"/>
      <c r="AF416" s="355" t="str">
        <f>IF($C416="","",IFERROR(VLOOKUP($C416,גיליון1!$A:$E,2,0),"לא הגיש בקשה שוטפת"))</f>
        <v/>
      </c>
      <c r="AG416" s="355" t="str">
        <f>IF($C416="","",IFERROR(VLOOKUP($C416,גיליון1!$A:$E,3,0),"לא הגיש בקשה שוטפת"))</f>
        <v/>
      </c>
      <c r="AH416" s="355" t="str">
        <f>IF($C416="","",IFERROR(VLOOKUP($C416,גיליון1!$A:$E,4,0),"לא הגיש בקשה שוטפת"))</f>
        <v/>
      </c>
      <c r="AI416" s="355" t="str">
        <f>IF($C416="","",IFERROR(VLOOKUP($C416,גיליון1!$A:$E,5,0),"לא הגיש בקשה שוטפת"))</f>
        <v/>
      </c>
      <c r="AJ416" s="355">
        <f t="shared" ref="AJ416:AJ479" si="26">IF(T416&gt;U416,1,0)</f>
        <v>0</v>
      </c>
      <c r="AK416" s="15"/>
      <c r="AL416" s="15" t="s">
        <v>250</v>
      </c>
    </row>
    <row r="417" spans="1:38" x14ac:dyDescent="0.25">
      <c r="A417" s="346" t="str">
        <f>'הזנה לתנאי סף'!B417</f>
        <v/>
      </c>
      <c r="B417" s="347" t="str">
        <f>IF($F417="","",'הזנה לתנאי סף'!C417)</f>
        <v/>
      </c>
      <c r="C417" s="347" t="str">
        <f>IF($F417="","",'הזנה לתנאי סף'!D417)</f>
        <v/>
      </c>
      <c r="D417" s="347" t="str">
        <f>IF($F417="","",'הזנה לתנאי סף'!E417)</f>
        <v/>
      </c>
      <c r="E417" s="348" t="str">
        <f>IF($F417="","",'הזנה לתנאי סף'!F417)</f>
        <v/>
      </c>
      <c r="F417" s="348" t="str">
        <f>IF('הזנה לתנאי סף'!BL417=1,'הזנה לתנאי סף'!G417,"")</f>
        <v/>
      </c>
      <c r="G417" s="348" t="str">
        <f>IF($F417="","",'הזנה לתנאי סף'!H417)</f>
        <v/>
      </c>
      <c r="H417" s="348" t="str">
        <f>IF($F417="","",'הזנה לתנאי סף'!I417)</f>
        <v/>
      </c>
      <c r="I417" s="349" t="str">
        <f>IF($F417="","",'הזנה לתנאי סף'!R417)</f>
        <v/>
      </c>
      <c r="J417" s="349" t="str">
        <f>IF($F417="","",'תחום תמיכה א'!P417)</f>
        <v/>
      </c>
      <c r="K417" s="177" t="str">
        <f>IF($F417="","",'הזנה לתנאי סף'!N417)</f>
        <v/>
      </c>
      <c r="L417" s="177" t="str">
        <f>IF($F417="","",'הזנה לתנאי סף'!O417)</f>
        <v/>
      </c>
      <c r="M417" s="177" t="str">
        <f>IF($F417="","",'הזנה לתנאי סף'!Q417)</f>
        <v/>
      </c>
      <c r="N417" s="349" t="str">
        <f>IF($F417="","",'תחום תמיכה א'!AE417)</f>
        <v/>
      </c>
      <c r="O417" s="178"/>
      <c r="P417" s="349" t="str">
        <f>IF($F417="","",'תחום תמיכה ב'!AC417)</f>
        <v/>
      </c>
      <c r="Q417" s="349" t="str">
        <f>IF($F417="","",IF('תחום תמיכה ג'!O417="",0,'תחום תמיכה ג'!O417))</f>
        <v/>
      </c>
      <c r="R417" s="349" t="str">
        <f t="shared" si="24"/>
        <v/>
      </c>
      <c r="S417" s="349" t="str">
        <f>IF($F417="","",'תחום תמיכה ב'!AE417)</f>
        <v/>
      </c>
      <c r="T417" s="349" t="str">
        <f>IF($F417="","",IF(Q417='תחום תמיכה ג'!$Q$2,'תחום תמיכה ג'!$Q$2,IFERROR(SUMIF(N417:R417,"&gt;0"),'תחום תמיכה ג'!$Q$2)))</f>
        <v/>
      </c>
      <c r="U417" s="349" t="str">
        <f>IF($F417="","",'הזנה לתנאי סף'!Y417)</f>
        <v/>
      </c>
      <c r="V417" s="350" t="str">
        <f>IF(F417="","",'הגבלה לסכום מבוקש '!AA417)</f>
        <v/>
      </c>
      <c r="W417" s="349" t="str">
        <f t="shared" si="25"/>
        <v/>
      </c>
      <c r="X417" s="349" t="str">
        <f>IF(F417="","",'הזנה לתנאי סף'!Z417)</f>
        <v/>
      </c>
      <c r="Y417" s="351"/>
      <c r="Z417" s="352" t="str">
        <f>IFERROR(VLOOKUP(G417*1,#REF!,3,0),"")</f>
        <v/>
      </c>
      <c r="AA417" s="349" t="str">
        <f>IF(OR($F417="",Z417=""),"",IFERROR(IF(Z417&gt;V417,MIN(Z417,T417)-V417,0),'תחום תמיכה ג'!$Q$2))</f>
        <v/>
      </c>
      <c r="AB417" s="353"/>
      <c r="AC417" s="260" t="str">
        <f t="shared" ref="AC417:AC480" si="27">AA417</f>
        <v/>
      </c>
      <c r="AD417" s="358"/>
      <c r="AE417" s="180"/>
      <c r="AF417" s="355" t="str">
        <f>IF($C417="","",IFERROR(VLOOKUP($C417,גיליון1!$A:$E,2,0),"לא הגיש בקשה שוטפת"))</f>
        <v/>
      </c>
      <c r="AG417" s="355" t="str">
        <f>IF($C417="","",IFERROR(VLOOKUP($C417,גיליון1!$A:$E,3,0),"לא הגיש בקשה שוטפת"))</f>
        <v/>
      </c>
      <c r="AH417" s="355" t="str">
        <f>IF($C417="","",IFERROR(VLOOKUP($C417,גיליון1!$A:$E,4,0),"לא הגיש בקשה שוטפת"))</f>
        <v/>
      </c>
      <c r="AI417" s="355" t="str">
        <f>IF($C417="","",IFERROR(VLOOKUP($C417,גיליון1!$A:$E,5,0),"לא הגיש בקשה שוטפת"))</f>
        <v/>
      </c>
      <c r="AJ417" s="355">
        <f t="shared" si="26"/>
        <v>0</v>
      </c>
      <c r="AK417" s="15"/>
      <c r="AL417" s="15" t="s">
        <v>250</v>
      </c>
    </row>
    <row r="418" spans="1:38" x14ac:dyDescent="0.25">
      <c r="A418" s="346" t="str">
        <f>'הזנה לתנאי סף'!B418</f>
        <v/>
      </c>
      <c r="B418" s="347" t="str">
        <f>IF($F418="","",'הזנה לתנאי סף'!C418)</f>
        <v/>
      </c>
      <c r="C418" s="347" t="str">
        <f>IF($F418="","",'הזנה לתנאי סף'!D418)</f>
        <v/>
      </c>
      <c r="D418" s="347" t="str">
        <f>IF($F418="","",'הזנה לתנאי סף'!E418)</f>
        <v/>
      </c>
      <c r="E418" s="348" t="str">
        <f>IF($F418="","",'הזנה לתנאי סף'!F418)</f>
        <v/>
      </c>
      <c r="F418" s="348" t="str">
        <f>IF('הזנה לתנאי סף'!BL418=1,'הזנה לתנאי סף'!G418,"")</f>
        <v/>
      </c>
      <c r="G418" s="348" t="str">
        <f>IF($F418="","",'הזנה לתנאי סף'!H418)</f>
        <v/>
      </c>
      <c r="H418" s="348" t="str">
        <f>IF($F418="","",'הזנה לתנאי סף'!I418)</f>
        <v/>
      </c>
      <c r="I418" s="349" t="str">
        <f>IF($F418="","",'הזנה לתנאי סף'!R418)</f>
        <v/>
      </c>
      <c r="J418" s="349" t="str">
        <f>IF($F418="","",'תחום תמיכה א'!P418)</f>
        <v/>
      </c>
      <c r="K418" s="177" t="str">
        <f>IF($F418="","",'הזנה לתנאי סף'!N418)</f>
        <v/>
      </c>
      <c r="L418" s="177" t="str">
        <f>IF($F418="","",'הזנה לתנאי סף'!O418)</f>
        <v/>
      </c>
      <c r="M418" s="177" t="str">
        <f>IF($F418="","",'הזנה לתנאי סף'!Q418)</f>
        <v/>
      </c>
      <c r="N418" s="349" t="str">
        <f>IF($F418="","",'תחום תמיכה א'!AE418)</f>
        <v/>
      </c>
      <c r="O418" s="178"/>
      <c r="P418" s="349" t="str">
        <f>IF($F418="","",'תחום תמיכה ב'!AC418)</f>
        <v/>
      </c>
      <c r="Q418" s="349" t="str">
        <f>IF($F418="","",IF('תחום תמיכה ג'!O418="",0,'תחום תמיכה ג'!O418))</f>
        <v/>
      </c>
      <c r="R418" s="349" t="str">
        <f t="shared" si="24"/>
        <v/>
      </c>
      <c r="S418" s="349" t="str">
        <f>IF($F418="","",'תחום תמיכה ב'!AE418)</f>
        <v/>
      </c>
      <c r="T418" s="349" t="str">
        <f>IF($F418="","",IF(Q418='תחום תמיכה ג'!$Q$2,'תחום תמיכה ג'!$Q$2,IFERROR(SUMIF(N418:R418,"&gt;0"),'תחום תמיכה ג'!$Q$2)))</f>
        <v/>
      </c>
      <c r="U418" s="349" t="str">
        <f>IF($F418="","",'הזנה לתנאי סף'!Y418)</f>
        <v/>
      </c>
      <c r="V418" s="350" t="str">
        <f>IF(F418="","",'הגבלה לסכום מבוקש '!AA418)</f>
        <v/>
      </c>
      <c r="W418" s="349" t="str">
        <f t="shared" si="25"/>
        <v/>
      </c>
      <c r="X418" s="349" t="str">
        <f>IF(F418="","",'הזנה לתנאי סף'!Z418)</f>
        <v/>
      </c>
      <c r="Y418" s="351"/>
      <c r="Z418" s="352" t="str">
        <f>IFERROR(VLOOKUP(G418*1,#REF!,3,0),"")</f>
        <v/>
      </c>
      <c r="AA418" s="349" t="str">
        <f>IF(OR($F418="",Z418=""),"",IFERROR(IF(Z418&gt;V418,MIN(Z418,T418)-V418,0),'תחום תמיכה ג'!$Q$2))</f>
        <v/>
      </c>
      <c r="AB418" s="353"/>
      <c r="AC418" s="260" t="str">
        <f t="shared" si="27"/>
        <v/>
      </c>
      <c r="AD418" s="358"/>
      <c r="AE418" s="180"/>
      <c r="AF418" s="355" t="str">
        <f>IF($C418="","",IFERROR(VLOOKUP($C418,גיליון1!$A:$E,2,0),"לא הגיש בקשה שוטפת"))</f>
        <v/>
      </c>
      <c r="AG418" s="355" t="str">
        <f>IF($C418="","",IFERROR(VLOOKUP($C418,גיליון1!$A:$E,3,0),"לא הגיש בקשה שוטפת"))</f>
        <v/>
      </c>
      <c r="AH418" s="355" t="str">
        <f>IF($C418="","",IFERROR(VLOOKUP($C418,גיליון1!$A:$E,4,0),"לא הגיש בקשה שוטפת"))</f>
        <v/>
      </c>
      <c r="AI418" s="355" t="str">
        <f>IF($C418="","",IFERROR(VLOOKUP($C418,גיליון1!$A:$E,5,0),"לא הגיש בקשה שוטפת"))</f>
        <v/>
      </c>
      <c r="AJ418" s="355">
        <f t="shared" si="26"/>
        <v>0</v>
      </c>
      <c r="AK418" s="15"/>
      <c r="AL418" s="15" t="s">
        <v>250</v>
      </c>
    </row>
    <row r="419" spans="1:38" x14ac:dyDescent="0.25">
      <c r="A419" s="346" t="str">
        <f>'הזנה לתנאי סף'!B419</f>
        <v/>
      </c>
      <c r="B419" s="347" t="str">
        <f>IF($F419="","",'הזנה לתנאי סף'!C419)</f>
        <v/>
      </c>
      <c r="C419" s="347" t="str">
        <f>IF($F419="","",'הזנה לתנאי סף'!D419)</f>
        <v/>
      </c>
      <c r="D419" s="347" t="str">
        <f>IF($F419="","",'הזנה לתנאי סף'!E419)</f>
        <v/>
      </c>
      <c r="E419" s="348" t="str">
        <f>IF($F419="","",'הזנה לתנאי סף'!F419)</f>
        <v/>
      </c>
      <c r="F419" s="348" t="str">
        <f>IF('הזנה לתנאי סף'!BL419=1,'הזנה לתנאי סף'!G419,"")</f>
        <v/>
      </c>
      <c r="G419" s="348" t="str">
        <f>IF($F419="","",'הזנה לתנאי סף'!H419)</f>
        <v/>
      </c>
      <c r="H419" s="348" t="str">
        <f>IF($F419="","",'הזנה לתנאי סף'!I419)</f>
        <v/>
      </c>
      <c r="I419" s="349" t="str">
        <f>IF($F419="","",'הזנה לתנאי סף'!R419)</f>
        <v/>
      </c>
      <c r="J419" s="349" t="str">
        <f>IF($F419="","",'תחום תמיכה א'!P419)</f>
        <v/>
      </c>
      <c r="K419" s="177" t="str">
        <f>IF($F419="","",'הזנה לתנאי סף'!N419)</f>
        <v/>
      </c>
      <c r="L419" s="177" t="str">
        <f>IF($F419="","",'הזנה לתנאי סף'!O419)</f>
        <v/>
      </c>
      <c r="M419" s="177" t="str">
        <f>IF($F419="","",'הזנה לתנאי סף'!Q419)</f>
        <v/>
      </c>
      <c r="N419" s="349" t="str">
        <f>IF($F419="","",'תחום תמיכה א'!AE419)</f>
        <v/>
      </c>
      <c r="O419" s="178"/>
      <c r="P419" s="349" t="str">
        <f>IF($F419="","",'תחום תמיכה ב'!AC419)</f>
        <v/>
      </c>
      <c r="Q419" s="349" t="str">
        <f>IF($F419="","",IF('תחום תמיכה ג'!O419="",0,'תחום תמיכה ג'!O419))</f>
        <v/>
      </c>
      <c r="R419" s="349" t="str">
        <f t="shared" si="24"/>
        <v/>
      </c>
      <c r="S419" s="349" t="str">
        <f>IF($F419="","",'תחום תמיכה ב'!AE419)</f>
        <v/>
      </c>
      <c r="T419" s="349" t="str">
        <f>IF($F419="","",IF(Q419='תחום תמיכה ג'!$Q$2,'תחום תמיכה ג'!$Q$2,IFERROR(SUMIF(N419:R419,"&gt;0"),'תחום תמיכה ג'!$Q$2)))</f>
        <v/>
      </c>
      <c r="U419" s="349" t="str">
        <f>IF($F419="","",'הזנה לתנאי סף'!Y419)</f>
        <v/>
      </c>
      <c r="V419" s="350" t="str">
        <f>IF(F419="","",'הגבלה לסכום מבוקש '!AA419)</f>
        <v/>
      </c>
      <c r="W419" s="349" t="str">
        <f t="shared" si="25"/>
        <v/>
      </c>
      <c r="X419" s="349" t="str">
        <f>IF(F419="","",'הזנה לתנאי סף'!Z419)</f>
        <v/>
      </c>
      <c r="Y419" s="351"/>
      <c r="Z419" s="352" t="str">
        <f>IFERROR(VLOOKUP(G419*1,#REF!,3,0),"")</f>
        <v/>
      </c>
      <c r="AA419" s="349" t="str">
        <f>IF(OR($F419="",Z419=""),"",IFERROR(IF(Z419&gt;V419,MIN(Z419,T419)-V419,0),'תחום תמיכה ג'!$Q$2))</f>
        <v/>
      </c>
      <c r="AB419" s="353"/>
      <c r="AC419" s="260" t="str">
        <f t="shared" si="27"/>
        <v/>
      </c>
      <c r="AD419" s="358"/>
      <c r="AE419" s="180"/>
      <c r="AF419" s="355" t="str">
        <f>IF($C419="","",IFERROR(VLOOKUP($C419,גיליון1!$A:$E,2,0),"לא הגיש בקשה שוטפת"))</f>
        <v/>
      </c>
      <c r="AG419" s="355" t="str">
        <f>IF($C419="","",IFERROR(VLOOKUP($C419,גיליון1!$A:$E,3,0),"לא הגיש בקשה שוטפת"))</f>
        <v/>
      </c>
      <c r="AH419" s="355" t="str">
        <f>IF($C419="","",IFERROR(VLOOKUP($C419,גיליון1!$A:$E,4,0),"לא הגיש בקשה שוטפת"))</f>
        <v/>
      </c>
      <c r="AI419" s="355" t="str">
        <f>IF($C419="","",IFERROR(VLOOKUP($C419,גיליון1!$A:$E,5,0),"לא הגיש בקשה שוטפת"))</f>
        <v/>
      </c>
      <c r="AJ419" s="355">
        <f t="shared" si="26"/>
        <v>0</v>
      </c>
      <c r="AK419" s="15"/>
      <c r="AL419" s="15" t="s">
        <v>250</v>
      </c>
    </row>
    <row r="420" spans="1:38" x14ac:dyDescent="0.25">
      <c r="A420" s="346" t="str">
        <f>'הזנה לתנאי סף'!B420</f>
        <v/>
      </c>
      <c r="B420" s="347" t="str">
        <f>IF($F420="","",'הזנה לתנאי סף'!C420)</f>
        <v/>
      </c>
      <c r="C420" s="347" t="str">
        <f>IF($F420="","",'הזנה לתנאי סף'!D420)</f>
        <v/>
      </c>
      <c r="D420" s="347" t="str">
        <f>IF($F420="","",'הזנה לתנאי סף'!E420)</f>
        <v/>
      </c>
      <c r="E420" s="348" t="str">
        <f>IF($F420="","",'הזנה לתנאי סף'!F420)</f>
        <v/>
      </c>
      <c r="F420" s="348" t="str">
        <f>IF('הזנה לתנאי סף'!BL420=1,'הזנה לתנאי סף'!G420,"")</f>
        <v/>
      </c>
      <c r="G420" s="348" t="str">
        <f>IF($F420="","",'הזנה לתנאי סף'!H420)</f>
        <v/>
      </c>
      <c r="H420" s="348" t="str">
        <f>IF($F420="","",'הזנה לתנאי סף'!I420)</f>
        <v/>
      </c>
      <c r="I420" s="349" t="str">
        <f>IF($F420="","",'הזנה לתנאי סף'!R420)</f>
        <v/>
      </c>
      <c r="J420" s="349" t="str">
        <f>IF($F420="","",'תחום תמיכה א'!P420)</f>
        <v/>
      </c>
      <c r="K420" s="177" t="str">
        <f>IF($F420="","",'הזנה לתנאי סף'!N420)</f>
        <v/>
      </c>
      <c r="L420" s="177" t="str">
        <f>IF($F420="","",'הזנה לתנאי סף'!O420)</f>
        <v/>
      </c>
      <c r="M420" s="177" t="str">
        <f>IF($F420="","",'הזנה לתנאי סף'!Q420)</f>
        <v/>
      </c>
      <c r="N420" s="349" t="str">
        <f>IF($F420="","",'תחום תמיכה א'!AE420)</f>
        <v/>
      </c>
      <c r="O420" s="178"/>
      <c r="P420" s="349" t="str">
        <f>IF($F420="","",'תחום תמיכה ב'!AC420)</f>
        <v/>
      </c>
      <c r="Q420" s="349" t="str">
        <f>IF($F420="","",IF('תחום תמיכה ג'!O420="",0,'תחום תמיכה ג'!O420))</f>
        <v/>
      </c>
      <c r="R420" s="349" t="str">
        <f t="shared" si="24"/>
        <v/>
      </c>
      <c r="S420" s="349" t="str">
        <f>IF($F420="","",'תחום תמיכה ב'!AE420)</f>
        <v/>
      </c>
      <c r="T420" s="349" t="str">
        <f>IF($F420="","",IF(Q420='תחום תמיכה ג'!$Q$2,'תחום תמיכה ג'!$Q$2,IFERROR(SUMIF(N420:R420,"&gt;0"),'תחום תמיכה ג'!$Q$2)))</f>
        <v/>
      </c>
      <c r="U420" s="349" t="str">
        <f>IF($F420="","",'הזנה לתנאי סף'!Y420)</f>
        <v/>
      </c>
      <c r="V420" s="350" t="str">
        <f>IF(F420="","",'הגבלה לסכום מבוקש '!AA420)</f>
        <v/>
      </c>
      <c r="W420" s="349" t="str">
        <f t="shared" si="25"/>
        <v/>
      </c>
      <c r="X420" s="349" t="str">
        <f>IF(F420="","",'הזנה לתנאי סף'!Z420)</f>
        <v/>
      </c>
      <c r="Y420" s="351"/>
      <c r="Z420" s="352" t="str">
        <f>IFERROR(VLOOKUP(G420*1,#REF!,3,0),"")</f>
        <v/>
      </c>
      <c r="AA420" s="349" t="str">
        <f>IF(OR($F420="",Z420=""),"",IFERROR(IF(Z420&gt;V420,MIN(Z420,T420)-V420,0),'תחום תמיכה ג'!$Q$2))</f>
        <v/>
      </c>
      <c r="AB420" s="353"/>
      <c r="AC420" s="260" t="str">
        <f t="shared" si="27"/>
        <v/>
      </c>
      <c r="AD420" s="358"/>
      <c r="AE420" s="180"/>
      <c r="AF420" s="355" t="str">
        <f>IF($C420="","",IFERROR(VLOOKUP($C420,גיליון1!$A:$E,2,0),"לא הגיש בקשה שוטפת"))</f>
        <v/>
      </c>
      <c r="AG420" s="355" t="str">
        <f>IF($C420="","",IFERROR(VLOOKUP($C420,גיליון1!$A:$E,3,0),"לא הגיש בקשה שוטפת"))</f>
        <v/>
      </c>
      <c r="AH420" s="355" t="str">
        <f>IF($C420="","",IFERROR(VLOOKUP($C420,גיליון1!$A:$E,4,0),"לא הגיש בקשה שוטפת"))</f>
        <v/>
      </c>
      <c r="AI420" s="355" t="str">
        <f>IF($C420="","",IFERROR(VLOOKUP($C420,גיליון1!$A:$E,5,0),"לא הגיש בקשה שוטפת"))</f>
        <v/>
      </c>
      <c r="AJ420" s="355">
        <f t="shared" si="26"/>
        <v>0</v>
      </c>
      <c r="AK420" s="15"/>
      <c r="AL420" s="15" t="s">
        <v>250</v>
      </c>
    </row>
    <row r="421" spans="1:38" x14ac:dyDescent="0.25">
      <c r="A421" s="346" t="str">
        <f>'הזנה לתנאי סף'!B421</f>
        <v/>
      </c>
      <c r="B421" s="347" t="str">
        <f>IF($F421="","",'הזנה לתנאי סף'!C421)</f>
        <v/>
      </c>
      <c r="C421" s="347" t="str">
        <f>IF($F421="","",'הזנה לתנאי סף'!D421)</f>
        <v/>
      </c>
      <c r="D421" s="347" t="str">
        <f>IF($F421="","",'הזנה לתנאי סף'!E421)</f>
        <v/>
      </c>
      <c r="E421" s="348" t="str">
        <f>IF($F421="","",'הזנה לתנאי סף'!F421)</f>
        <v/>
      </c>
      <c r="F421" s="348" t="str">
        <f>IF('הזנה לתנאי סף'!BL421=1,'הזנה לתנאי סף'!G421,"")</f>
        <v/>
      </c>
      <c r="G421" s="348" t="str">
        <f>IF($F421="","",'הזנה לתנאי סף'!H421)</f>
        <v/>
      </c>
      <c r="H421" s="348" t="str">
        <f>IF($F421="","",'הזנה לתנאי סף'!I421)</f>
        <v/>
      </c>
      <c r="I421" s="349" t="str">
        <f>IF($F421="","",'הזנה לתנאי סף'!R421)</f>
        <v/>
      </c>
      <c r="J421" s="349" t="str">
        <f>IF($F421="","",'תחום תמיכה א'!P421)</f>
        <v/>
      </c>
      <c r="K421" s="177" t="str">
        <f>IF($F421="","",'הזנה לתנאי סף'!N421)</f>
        <v/>
      </c>
      <c r="L421" s="177" t="str">
        <f>IF($F421="","",'הזנה לתנאי סף'!O421)</f>
        <v/>
      </c>
      <c r="M421" s="177" t="str">
        <f>IF($F421="","",'הזנה לתנאי סף'!Q421)</f>
        <v/>
      </c>
      <c r="N421" s="349" t="str">
        <f>IF($F421="","",'תחום תמיכה א'!AE421)</f>
        <v/>
      </c>
      <c r="O421" s="178"/>
      <c r="P421" s="349" t="str">
        <f>IF($F421="","",'תחום תמיכה ב'!AC421)</f>
        <v/>
      </c>
      <c r="Q421" s="349" t="str">
        <f>IF($F421="","",IF('תחום תמיכה ג'!O421="",0,'תחום תמיכה ג'!O421))</f>
        <v/>
      </c>
      <c r="R421" s="349" t="str">
        <f t="shared" si="24"/>
        <v/>
      </c>
      <c r="S421" s="349" t="str">
        <f>IF($F421="","",'תחום תמיכה ב'!AE421)</f>
        <v/>
      </c>
      <c r="T421" s="349" t="str">
        <f>IF($F421="","",IF(Q421='תחום תמיכה ג'!$Q$2,'תחום תמיכה ג'!$Q$2,IFERROR(SUMIF(N421:R421,"&gt;0"),'תחום תמיכה ג'!$Q$2)))</f>
        <v/>
      </c>
      <c r="U421" s="349" t="str">
        <f>IF($F421="","",'הזנה לתנאי סף'!Y421)</f>
        <v/>
      </c>
      <c r="V421" s="350" t="str">
        <f>IF(F421="","",'הגבלה לסכום מבוקש '!AA421)</f>
        <v/>
      </c>
      <c r="W421" s="349" t="str">
        <f t="shared" si="25"/>
        <v/>
      </c>
      <c r="X421" s="349" t="str">
        <f>IF(F421="","",'הזנה לתנאי סף'!Z421)</f>
        <v/>
      </c>
      <c r="Y421" s="351"/>
      <c r="Z421" s="352" t="str">
        <f>IFERROR(VLOOKUP(G421*1,#REF!,3,0),"")</f>
        <v/>
      </c>
      <c r="AA421" s="349" t="str">
        <f>IF(OR($F421="",Z421=""),"",IFERROR(IF(Z421&gt;V421,MIN(Z421,T421)-V421,0),'תחום תמיכה ג'!$Q$2))</f>
        <v/>
      </c>
      <c r="AB421" s="353"/>
      <c r="AC421" s="260" t="str">
        <f t="shared" si="27"/>
        <v/>
      </c>
      <c r="AD421" s="358"/>
      <c r="AE421" s="180"/>
      <c r="AF421" s="355" t="str">
        <f>IF($C421="","",IFERROR(VLOOKUP($C421,גיליון1!$A:$E,2,0),"לא הגיש בקשה שוטפת"))</f>
        <v/>
      </c>
      <c r="AG421" s="355" t="str">
        <f>IF($C421="","",IFERROR(VLOOKUP($C421,גיליון1!$A:$E,3,0),"לא הגיש בקשה שוטפת"))</f>
        <v/>
      </c>
      <c r="AH421" s="355" t="str">
        <f>IF($C421="","",IFERROR(VLOOKUP($C421,גיליון1!$A:$E,4,0),"לא הגיש בקשה שוטפת"))</f>
        <v/>
      </c>
      <c r="AI421" s="355" t="str">
        <f>IF($C421="","",IFERROR(VLOOKUP($C421,גיליון1!$A:$E,5,0),"לא הגיש בקשה שוטפת"))</f>
        <v/>
      </c>
      <c r="AJ421" s="355">
        <f t="shared" si="26"/>
        <v>0</v>
      </c>
      <c r="AK421" s="15"/>
      <c r="AL421" s="15" t="s">
        <v>250</v>
      </c>
    </row>
    <row r="422" spans="1:38" x14ac:dyDescent="0.25">
      <c r="A422" s="346" t="str">
        <f>'הזנה לתנאי סף'!B422</f>
        <v/>
      </c>
      <c r="B422" s="347" t="str">
        <f>IF($F422="","",'הזנה לתנאי סף'!C422)</f>
        <v/>
      </c>
      <c r="C422" s="347" t="str">
        <f>IF($F422="","",'הזנה לתנאי סף'!D422)</f>
        <v/>
      </c>
      <c r="D422" s="347" t="str">
        <f>IF($F422="","",'הזנה לתנאי סף'!E422)</f>
        <v/>
      </c>
      <c r="E422" s="348" t="str">
        <f>IF($F422="","",'הזנה לתנאי סף'!F422)</f>
        <v/>
      </c>
      <c r="F422" s="348" t="str">
        <f>IF('הזנה לתנאי סף'!BL422=1,'הזנה לתנאי סף'!G422,"")</f>
        <v/>
      </c>
      <c r="G422" s="348" t="str">
        <f>IF($F422="","",'הזנה לתנאי סף'!H422)</f>
        <v/>
      </c>
      <c r="H422" s="348" t="str">
        <f>IF($F422="","",'הזנה לתנאי סף'!I422)</f>
        <v/>
      </c>
      <c r="I422" s="349" t="str">
        <f>IF($F422="","",'הזנה לתנאי סף'!R422)</f>
        <v/>
      </c>
      <c r="J422" s="349" t="str">
        <f>IF($F422="","",'תחום תמיכה א'!P422)</f>
        <v/>
      </c>
      <c r="K422" s="177" t="str">
        <f>IF($F422="","",'הזנה לתנאי סף'!N422)</f>
        <v/>
      </c>
      <c r="L422" s="177" t="str">
        <f>IF($F422="","",'הזנה לתנאי סף'!O422)</f>
        <v/>
      </c>
      <c r="M422" s="177" t="str">
        <f>IF($F422="","",'הזנה לתנאי סף'!Q422)</f>
        <v/>
      </c>
      <c r="N422" s="349" t="str">
        <f>IF($F422="","",'תחום תמיכה א'!AE422)</f>
        <v/>
      </c>
      <c r="O422" s="178"/>
      <c r="P422" s="349" t="str">
        <f>IF($F422="","",'תחום תמיכה ב'!AC422)</f>
        <v/>
      </c>
      <c r="Q422" s="349" t="str">
        <f>IF($F422="","",IF('תחום תמיכה ג'!O422="",0,'תחום תמיכה ג'!O422))</f>
        <v/>
      </c>
      <c r="R422" s="349" t="str">
        <f t="shared" si="24"/>
        <v/>
      </c>
      <c r="S422" s="349" t="str">
        <f>IF($F422="","",'תחום תמיכה ב'!AE422)</f>
        <v/>
      </c>
      <c r="T422" s="349" t="str">
        <f>IF($F422="","",IF(Q422='תחום תמיכה ג'!$Q$2,'תחום תמיכה ג'!$Q$2,IFERROR(SUMIF(N422:R422,"&gt;0"),'תחום תמיכה ג'!$Q$2)))</f>
        <v/>
      </c>
      <c r="U422" s="349" t="str">
        <f>IF($F422="","",'הזנה לתנאי סף'!Y422)</f>
        <v/>
      </c>
      <c r="V422" s="350" t="str">
        <f>IF(F422="","",'הגבלה לסכום מבוקש '!AA422)</f>
        <v/>
      </c>
      <c r="W422" s="349" t="str">
        <f t="shared" si="25"/>
        <v/>
      </c>
      <c r="X422" s="349" t="str">
        <f>IF(F422="","",'הזנה לתנאי סף'!Z422)</f>
        <v/>
      </c>
      <c r="Y422" s="351"/>
      <c r="Z422" s="352" t="str">
        <f>IFERROR(VLOOKUP(G422*1,#REF!,3,0),"")</f>
        <v/>
      </c>
      <c r="AA422" s="349" t="str">
        <f>IF(OR($F422="",Z422=""),"",IFERROR(IF(Z422&gt;V422,MIN(Z422,T422)-V422,0),'תחום תמיכה ג'!$Q$2))</f>
        <v/>
      </c>
      <c r="AB422" s="353"/>
      <c r="AC422" s="260" t="str">
        <f t="shared" si="27"/>
        <v/>
      </c>
      <c r="AD422" s="358"/>
      <c r="AE422" s="180"/>
      <c r="AF422" s="355" t="str">
        <f>IF($C422="","",IFERROR(VLOOKUP($C422,גיליון1!$A:$E,2,0),"לא הגיש בקשה שוטפת"))</f>
        <v/>
      </c>
      <c r="AG422" s="355" t="str">
        <f>IF($C422="","",IFERROR(VLOOKUP($C422,גיליון1!$A:$E,3,0),"לא הגיש בקשה שוטפת"))</f>
        <v/>
      </c>
      <c r="AH422" s="355" t="str">
        <f>IF($C422="","",IFERROR(VLOOKUP($C422,גיליון1!$A:$E,4,0),"לא הגיש בקשה שוטפת"))</f>
        <v/>
      </c>
      <c r="AI422" s="355" t="str">
        <f>IF($C422="","",IFERROR(VLOOKUP($C422,גיליון1!$A:$E,5,0),"לא הגיש בקשה שוטפת"))</f>
        <v/>
      </c>
      <c r="AJ422" s="355">
        <f t="shared" si="26"/>
        <v>0</v>
      </c>
      <c r="AK422" s="15"/>
      <c r="AL422" s="15" t="s">
        <v>250</v>
      </c>
    </row>
    <row r="423" spans="1:38" x14ac:dyDescent="0.25">
      <c r="A423" s="346" t="str">
        <f>'הזנה לתנאי סף'!B423</f>
        <v/>
      </c>
      <c r="B423" s="347" t="str">
        <f>IF($F423="","",'הזנה לתנאי סף'!C423)</f>
        <v/>
      </c>
      <c r="C423" s="347" t="str">
        <f>IF($F423="","",'הזנה לתנאי סף'!D423)</f>
        <v/>
      </c>
      <c r="D423" s="347" t="str">
        <f>IF($F423="","",'הזנה לתנאי סף'!E423)</f>
        <v/>
      </c>
      <c r="E423" s="348" t="str">
        <f>IF($F423="","",'הזנה לתנאי סף'!F423)</f>
        <v/>
      </c>
      <c r="F423" s="348" t="str">
        <f>IF('הזנה לתנאי סף'!BL423=1,'הזנה לתנאי סף'!G423,"")</f>
        <v/>
      </c>
      <c r="G423" s="348" t="str">
        <f>IF($F423="","",'הזנה לתנאי סף'!H423)</f>
        <v/>
      </c>
      <c r="H423" s="348" t="str">
        <f>IF($F423="","",'הזנה לתנאי סף'!I423)</f>
        <v/>
      </c>
      <c r="I423" s="349" t="str">
        <f>IF($F423="","",'הזנה לתנאי סף'!R423)</f>
        <v/>
      </c>
      <c r="J423" s="349" t="str">
        <f>IF($F423="","",'תחום תמיכה א'!P423)</f>
        <v/>
      </c>
      <c r="K423" s="177" t="str">
        <f>IF($F423="","",'הזנה לתנאי סף'!N423)</f>
        <v/>
      </c>
      <c r="L423" s="177" t="str">
        <f>IF($F423="","",'הזנה לתנאי סף'!O423)</f>
        <v/>
      </c>
      <c r="M423" s="177" t="str">
        <f>IF($F423="","",'הזנה לתנאי סף'!Q423)</f>
        <v/>
      </c>
      <c r="N423" s="349" t="str">
        <f>IF($F423="","",'תחום תמיכה א'!AE423)</f>
        <v/>
      </c>
      <c r="O423" s="178"/>
      <c r="P423" s="349" t="str">
        <f>IF($F423="","",'תחום תמיכה ב'!AC423)</f>
        <v/>
      </c>
      <c r="Q423" s="349" t="str">
        <f>IF($F423="","",IF('תחום תמיכה ג'!O423="",0,'תחום תמיכה ג'!O423))</f>
        <v/>
      </c>
      <c r="R423" s="349" t="str">
        <f t="shared" si="24"/>
        <v/>
      </c>
      <c r="S423" s="349" t="str">
        <f>IF($F423="","",'תחום תמיכה ב'!AE423)</f>
        <v/>
      </c>
      <c r="T423" s="349" t="str">
        <f>IF($F423="","",IF(Q423='תחום תמיכה ג'!$Q$2,'תחום תמיכה ג'!$Q$2,IFERROR(SUMIF(N423:R423,"&gt;0"),'תחום תמיכה ג'!$Q$2)))</f>
        <v/>
      </c>
      <c r="U423" s="349" t="str">
        <f>IF($F423="","",'הזנה לתנאי סף'!Y423)</f>
        <v/>
      </c>
      <c r="V423" s="350" t="str">
        <f>IF(F423="","",'הגבלה לסכום מבוקש '!AA423)</f>
        <v/>
      </c>
      <c r="W423" s="349" t="str">
        <f t="shared" si="25"/>
        <v/>
      </c>
      <c r="X423" s="349" t="str">
        <f>IF(F423="","",'הזנה לתנאי סף'!Z423)</f>
        <v/>
      </c>
      <c r="Y423" s="351"/>
      <c r="Z423" s="352" t="str">
        <f>IFERROR(VLOOKUP(G423*1,#REF!,3,0),"")</f>
        <v/>
      </c>
      <c r="AA423" s="349" t="str">
        <f>IF(OR($F423="",Z423=""),"",IFERROR(IF(Z423&gt;V423,MIN(Z423,T423)-V423,0),'תחום תמיכה ג'!$Q$2))</f>
        <v/>
      </c>
      <c r="AB423" s="353"/>
      <c r="AC423" s="260" t="str">
        <f t="shared" si="27"/>
        <v/>
      </c>
      <c r="AD423" s="358"/>
      <c r="AE423" s="180"/>
      <c r="AF423" s="355" t="str">
        <f>IF($C423="","",IFERROR(VLOOKUP($C423,גיליון1!$A:$E,2,0),"לא הגיש בקשה שוטפת"))</f>
        <v/>
      </c>
      <c r="AG423" s="355" t="str">
        <f>IF($C423="","",IFERROR(VLOOKUP($C423,גיליון1!$A:$E,3,0),"לא הגיש בקשה שוטפת"))</f>
        <v/>
      </c>
      <c r="AH423" s="355" t="str">
        <f>IF($C423="","",IFERROR(VLOOKUP($C423,גיליון1!$A:$E,4,0),"לא הגיש בקשה שוטפת"))</f>
        <v/>
      </c>
      <c r="AI423" s="355" t="str">
        <f>IF($C423="","",IFERROR(VLOOKUP($C423,גיליון1!$A:$E,5,0),"לא הגיש בקשה שוטפת"))</f>
        <v/>
      </c>
      <c r="AJ423" s="355">
        <f t="shared" si="26"/>
        <v>0</v>
      </c>
      <c r="AK423" s="15"/>
      <c r="AL423" s="15" t="s">
        <v>250</v>
      </c>
    </row>
    <row r="424" spans="1:38" x14ac:dyDescent="0.25">
      <c r="A424" s="346" t="str">
        <f>'הזנה לתנאי סף'!B424</f>
        <v/>
      </c>
      <c r="B424" s="347" t="str">
        <f>IF($F424="","",'הזנה לתנאי סף'!C424)</f>
        <v/>
      </c>
      <c r="C424" s="347" t="str">
        <f>IF($F424="","",'הזנה לתנאי סף'!D424)</f>
        <v/>
      </c>
      <c r="D424" s="347" t="str">
        <f>IF($F424="","",'הזנה לתנאי סף'!E424)</f>
        <v/>
      </c>
      <c r="E424" s="348" t="str">
        <f>IF($F424="","",'הזנה לתנאי סף'!F424)</f>
        <v/>
      </c>
      <c r="F424" s="348" t="str">
        <f>IF('הזנה לתנאי סף'!BL424=1,'הזנה לתנאי סף'!G424,"")</f>
        <v/>
      </c>
      <c r="G424" s="348" t="str">
        <f>IF($F424="","",'הזנה לתנאי סף'!H424)</f>
        <v/>
      </c>
      <c r="H424" s="348" t="str">
        <f>IF($F424="","",'הזנה לתנאי סף'!I424)</f>
        <v/>
      </c>
      <c r="I424" s="349" t="str">
        <f>IF($F424="","",'הזנה לתנאי סף'!R424)</f>
        <v/>
      </c>
      <c r="J424" s="349" t="str">
        <f>IF($F424="","",'תחום תמיכה א'!P424)</f>
        <v/>
      </c>
      <c r="K424" s="177" t="str">
        <f>IF($F424="","",'הזנה לתנאי סף'!N424)</f>
        <v/>
      </c>
      <c r="L424" s="177" t="str">
        <f>IF($F424="","",'הזנה לתנאי סף'!O424)</f>
        <v/>
      </c>
      <c r="M424" s="177" t="str">
        <f>IF($F424="","",'הזנה לתנאי סף'!Q424)</f>
        <v/>
      </c>
      <c r="N424" s="349" t="str">
        <f>IF($F424="","",'תחום תמיכה א'!AE424)</f>
        <v/>
      </c>
      <c r="O424" s="178"/>
      <c r="P424" s="349" t="str">
        <f>IF($F424="","",'תחום תמיכה ב'!AC424)</f>
        <v/>
      </c>
      <c r="Q424" s="349" t="str">
        <f>IF($F424="","",IF('תחום תמיכה ג'!O424="",0,'תחום תמיכה ג'!O424))</f>
        <v/>
      </c>
      <c r="R424" s="349" t="str">
        <f t="shared" si="24"/>
        <v/>
      </c>
      <c r="S424" s="349" t="str">
        <f>IF($F424="","",'תחום תמיכה ב'!AE424)</f>
        <v/>
      </c>
      <c r="T424" s="349" t="str">
        <f>IF($F424="","",IF(Q424='תחום תמיכה ג'!$Q$2,'תחום תמיכה ג'!$Q$2,IFERROR(SUMIF(N424:R424,"&gt;0"),'תחום תמיכה ג'!$Q$2)))</f>
        <v/>
      </c>
      <c r="U424" s="349" t="str">
        <f>IF($F424="","",'הזנה לתנאי סף'!Y424)</f>
        <v/>
      </c>
      <c r="V424" s="350" t="str">
        <f>IF(F424="","",'הגבלה לסכום מבוקש '!AA424)</f>
        <v/>
      </c>
      <c r="W424" s="349" t="str">
        <f t="shared" si="25"/>
        <v/>
      </c>
      <c r="X424" s="349" t="str">
        <f>IF(F424="","",'הזנה לתנאי סף'!Z424)</f>
        <v/>
      </c>
      <c r="Y424" s="351"/>
      <c r="Z424" s="352" t="str">
        <f>IFERROR(VLOOKUP(G424*1,#REF!,3,0),"")</f>
        <v/>
      </c>
      <c r="AA424" s="349" t="str">
        <f>IF(OR($F424="",Z424=""),"",IFERROR(IF(Z424&gt;V424,MIN(Z424,T424)-V424,0),'תחום תמיכה ג'!$Q$2))</f>
        <v/>
      </c>
      <c r="AB424" s="353"/>
      <c r="AC424" s="260" t="str">
        <f t="shared" si="27"/>
        <v/>
      </c>
      <c r="AD424" s="358"/>
      <c r="AE424" s="180"/>
      <c r="AF424" s="355" t="str">
        <f>IF($C424="","",IFERROR(VLOOKUP($C424,גיליון1!$A:$E,2,0),"לא הגיש בקשה שוטפת"))</f>
        <v/>
      </c>
      <c r="AG424" s="355" t="str">
        <f>IF($C424="","",IFERROR(VLOOKUP($C424,גיליון1!$A:$E,3,0),"לא הגיש בקשה שוטפת"))</f>
        <v/>
      </c>
      <c r="AH424" s="355" t="str">
        <f>IF($C424="","",IFERROR(VLOOKUP($C424,גיליון1!$A:$E,4,0),"לא הגיש בקשה שוטפת"))</f>
        <v/>
      </c>
      <c r="AI424" s="355" t="str">
        <f>IF($C424="","",IFERROR(VLOOKUP($C424,גיליון1!$A:$E,5,0),"לא הגיש בקשה שוטפת"))</f>
        <v/>
      </c>
      <c r="AJ424" s="355">
        <f t="shared" si="26"/>
        <v>0</v>
      </c>
      <c r="AK424" s="15"/>
      <c r="AL424" s="15" t="s">
        <v>250</v>
      </c>
    </row>
    <row r="425" spans="1:38" x14ac:dyDescent="0.25">
      <c r="A425" s="346" t="str">
        <f>'הזנה לתנאי סף'!B425</f>
        <v/>
      </c>
      <c r="B425" s="347" t="str">
        <f>IF($F425="","",'הזנה לתנאי סף'!C425)</f>
        <v/>
      </c>
      <c r="C425" s="347" t="str">
        <f>IF($F425="","",'הזנה לתנאי סף'!D425)</f>
        <v/>
      </c>
      <c r="D425" s="347" t="str">
        <f>IF($F425="","",'הזנה לתנאי סף'!E425)</f>
        <v/>
      </c>
      <c r="E425" s="348" t="str">
        <f>IF($F425="","",'הזנה לתנאי סף'!F425)</f>
        <v/>
      </c>
      <c r="F425" s="348" t="str">
        <f>IF('הזנה לתנאי סף'!BL425=1,'הזנה לתנאי סף'!G425,"")</f>
        <v/>
      </c>
      <c r="G425" s="348" t="str">
        <f>IF($F425="","",'הזנה לתנאי סף'!H425)</f>
        <v/>
      </c>
      <c r="H425" s="348" t="str">
        <f>IF($F425="","",'הזנה לתנאי סף'!I425)</f>
        <v/>
      </c>
      <c r="I425" s="349" t="str">
        <f>IF($F425="","",'הזנה לתנאי סף'!R425)</f>
        <v/>
      </c>
      <c r="J425" s="349" t="str">
        <f>IF($F425="","",'תחום תמיכה א'!P425)</f>
        <v/>
      </c>
      <c r="K425" s="177" t="str">
        <f>IF($F425="","",'הזנה לתנאי סף'!N425)</f>
        <v/>
      </c>
      <c r="L425" s="177" t="str">
        <f>IF($F425="","",'הזנה לתנאי סף'!O425)</f>
        <v/>
      </c>
      <c r="M425" s="177" t="str">
        <f>IF($F425="","",'הזנה לתנאי סף'!Q425)</f>
        <v/>
      </c>
      <c r="N425" s="349" t="str">
        <f>IF($F425="","",'תחום תמיכה א'!AE425)</f>
        <v/>
      </c>
      <c r="O425" s="178"/>
      <c r="P425" s="349" t="str">
        <f>IF($F425="","",'תחום תמיכה ב'!AC425)</f>
        <v/>
      </c>
      <c r="Q425" s="349" t="str">
        <f>IF($F425="","",IF('תחום תמיכה ג'!O425="",0,'תחום תמיכה ג'!O425))</f>
        <v/>
      </c>
      <c r="R425" s="349" t="str">
        <f t="shared" si="24"/>
        <v/>
      </c>
      <c r="S425" s="349" t="str">
        <f>IF($F425="","",'תחום תמיכה ב'!AE425)</f>
        <v/>
      </c>
      <c r="T425" s="349" t="str">
        <f>IF($F425="","",IF(Q425='תחום תמיכה ג'!$Q$2,'תחום תמיכה ג'!$Q$2,IFERROR(SUMIF(N425:R425,"&gt;0"),'תחום תמיכה ג'!$Q$2)))</f>
        <v/>
      </c>
      <c r="U425" s="349" t="str">
        <f>IF($F425="","",'הזנה לתנאי סף'!Y425)</f>
        <v/>
      </c>
      <c r="V425" s="350" t="str">
        <f>IF(F425="","",'הגבלה לסכום מבוקש '!AA425)</f>
        <v/>
      </c>
      <c r="W425" s="349" t="str">
        <f t="shared" si="25"/>
        <v/>
      </c>
      <c r="X425" s="349" t="str">
        <f>IF(F425="","",'הזנה לתנאי סף'!Z425)</f>
        <v/>
      </c>
      <c r="Y425" s="351"/>
      <c r="Z425" s="352" t="str">
        <f>IFERROR(VLOOKUP(G425*1,#REF!,3,0),"")</f>
        <v/>
      </c>
      <c r="AA425" s="349" t="str">
        <f>IF(OR($F425="",Z425=""),"",IFERROR(IF(Z425&gt;V425,MIN(Z425,T425)-V425,0),'תחום תמיכה ג'!$Q$2))</f>
        <v/>
      </c>
      <c r="AB425" s="353"/>
      <c r="AC425" s="260" t="str">
        <f t="shared" si="27"/>
        <v/>
      </c>
      <c r="AD425" s="358"/>
      <c r="AE425" s="180"/>
      <c r="AF425" s="355" t="str">
        <f>IF($C425="","",IFERROR(VLOOKUP($C425,גיליון1!$A:$E,2,0),"לא הגיש בקשה שוטפת"))</f>
        <v/>
      </c>
      <c r="AG425" s="355" t="str">
        <f>IF($C425="","",IFERROR(VLOOKUP($C425,גיליון1!$A:$E,3,0),"לא הגיש בקשה שוטפת"))</f>
        <v/>
      </c>
      <c r="AH425" s="355" t="str">
        <f>IF($C425="","",IFERROR(VLOOKUP($C425,גיליון1!$A:$E,4,0),"לא הגיש בקשה שוטפת"))</f>
        <v/>
      </c>
      <c r="AI425" s="355" t="str">
        <f>IF($C425="","",IFERROR(VLOOKUP($C425,גיליון1!$A:$E,5,0),"לא הגיש בקשה שוטפת"))</f>
        <v/>
      </c>
      <c r="AJ425" s="355">
        <f t="shared" si="26"/>
        <v>0</v>
      </c>
      <c r="AK425" s="15"/>
      <c r="AL425" s="15" t="s">
        <v>250</v>
      </c>
    </row>
    <row r="426" spans="1:38" x14ac:dyDescent="0.25">
      <c r="A426" s="346" t="str">
        <f>'הזנה לתנאי סף'!B426</f>
        <v/>
      </c>
      <c r="B426" s="347" t="str">
        <f>IF($F426="","",'הזנה לתנאי סף'!C426)</f>
        <v/>
      </c>
      <c r="C426" s="347" t="str">
        <f>IF($F426="","",'הזנה לתנאי סף'!D426)</f>
        <v/>
      </c>
      <c r="D426" s="347" t="str">
        <f>IF($F426="","",'הזנה לתנאי סף'!E426)</f>
        <v/>
      </c>
      <c r="E426" s="348" t="str">
        <f>IF($F426="","",'הזנה לתנאי סף'!F426)</f>
        <v/>
      </c>
      <c r="F426" s="348" t="str">
        <f>IF('הזנה לתנאי סף'!BL426=1,'הזנה לתנאי סף'!G426,"")</f>
        <v/>
      </c>
      <c r="G426" s="348" t="str">
        <f>IF($F426="","",'הזנה לתנאי סף'!H426)</f>
        <v/>
      </c>
      <c r="H426" s="348" t="str">
        <f>IF($F426="","",'הזנה לתנאי סף'!I426)</f>
        <v/>
      </c>
      <c r="I426" s="349" t="str">
        <f>IF($F426="","",'הזנה לתנאי סף'!R426)</f>
        <v/>
      </c>
      <c r="J426" s="349" t="str">
        <f>IF($F426="","",'תחום תמיכה א'!P426)</f>
        <v/>
      </c>
      <c r="K426" s="177" t="str">
        <f>IF($F426="","",'הזנה לתנאי סף'!N426)</f>
        <v/>
      </c>
      <c r="L426" s="177" t="str">
        <f>IF($F426="","",'הזנה לתנאי סף'!O426)</f>
        <v/>
      </c>
      <c r="M426" s="177" t="str">
        <f>IF($F426="","",'הזנה לתנאי סף'!Q426)</f>
        <v/>
      </c>
      <c r="N426" s="349" t="str">
        <f>IF($F426="","",'תחום תמיכה א'!AE426)</f>
        <v/>
      </c>
      <c r="O426" s="178"/>
      <c r="P426" s="349" t="str">
        <f>IF($F426="","",'תחום תמיכה ב'!AC426)</f>
        <v/>
      </c>
      <c r="Q426" s="349" t="str">
        <f>IF($F426="","",IF('תחום תמיכה ג'!O426="",0,'תחום תמיכה ג'!O426))</f>
        <v/>
      </c>
      <c r="R426" s="349" t="str">
        <f t="shared" si="24"/>
        <v/>
      </c>
      <c r="S426" s="349" t="str">
        <f>IF($F426="","",'תחום תמיכה ב'!AE426)</f>
        <v/>
      </c>
      <c r="T426" s="349" t="str">
        <f>IF($F426="","",IF(Q426='תחום תמיכה ג'!$Q$2,'תחום תמיכה ג'!$Q$2,IFERROR(SUMIF(N426:R426,"&gt;0"),'תחום תמיכה ג'!$Q$2)))</f>
        <v/>
      </c>
      <c r="U426" s="349" t="str">
        <f>IF($F426="","",'הזנה לתנאי סף'!Y426)</f>
        <v/>
      </c>
      <c r="V426" s="350" t="str">
        <f>IF(F426="","",'הגבלה לסכום מבוקש '!AA426)</f>
        <v/>
      </c>
      <c r="W426" s="349" t="str">
        <f t="shared" si="25"/>
        <v/>
      </c>
      <c r="X426" s="349" t="str">
        <f>IF(F426="","",'הזנה לתנאי סף'!Z426)</f>
        <v/>
      </c>
      <c r="Y426" s="351"/>
      <c r="Z426" s="352" t="str">
        <f>IFERROR(VLOOKUP(G426*1,#REF!,3,0),"")</f>
        <v/>
      </c>
      <c r="AA426" s="349" t="str">
        <f>IF(OR($F426="",Z426=""),"",IFERROR(IF(Z426&gt;V426,MIN(Z426,T426)-V426,0),'תחום תמיכה ג'!$Q$2))</f>
        <v/>
      </c>
      <c r="AB426" s="353"/>
      <c r="AC426" s="260" t="str">
        <f t="shared" si="27"/>
        <v/>
      </c>
      <c r="AD426" s="358"/>
      <c r="AE426" s="180"/>
      <c r="AF426" s="355" t="str">
        <f>IF($C426="","",IFERROR(VLOOKUP($C426,גיליון1!$A:$E,2,0),"לא הגיש בקשה שוטפת"))</f>
        <v/>
      </c>
      <c r="AG426" s="355" t="str">
        <f>IF($C426="","",IFERROR(VLOOKUP($C426,גיליון1!$A:$E,3,0),"לא הגיש בקשה שוטפת"))</f>
        <v/>
      </c>
      <c r="AH426" s="355" t="str">
        <f>IF($C426="","",IFERROR(VLOOKUP($C426,גיליון1!$A:$E,4,0),"לא הגיש בקשה שוטפת"))</f>
        <v/>
      </c>
      <c r="AI426" s="355" t="str">
        <f>IF($C426="","",IFERROR(VLOOKUP($C426,גיליון1!$A:$E,5,0),"לא הגיש בקשה שוטפת"))</f>
        <v/>
      </c>
      <c r="AJ426" s="355">
        <f t="shared" si="26"/>
        <v>0</v>
      </c>
      <c r="AK426" s="15"/>
      <c r="AL426" s="15" t="s">
        <v>250</v>
      </c>
    </row>
    <row r="427" spans="1:38" x14ac:dyDescent="0.25">
      <c r="A427" s="346" t="str">
        <f>'הזנה לתנאי סף'!B427</f>
        <v/>
      </c>
      <c r="B427" s="347" t="str">
        <f>IF($F427="","",'הזנה לתנאי סף'!C427)</f>
        <v/>
      </c>
      <c r="C427" s="347" t="str">
        <f>IF($F427="","",'הזנה לתנאי סף'!D427)</f>
        <v/>
      </c>
      <c r="D427" s="347" t="str">
        <f>IF($F427="","",'הזנה לתנאי סף'!E427)</f>
        <v/>
      </c>
      <c r="E427" s="348" t="str">
        <f>IF($F427="","",'הזנה לתנאי סף'!F427)</f>
        <v/>
      </c>
      <c r="F427" s="348" t="str">
        <f>IF('הזנה לתנאי סף'!BL427=1,'הזנה לתנאי סף'!G427,"")</f>
        <v/>
      </c>
      <c r="G427" s="348" t="str">
        <f>IF($F427="","",'הזנה לתנאי סף'!H427)</f>
        <v/>
      </c>
      <c r="H427" s="348" t="str">
        <f>IF($F427="","",'הזנה לתנאי סף'!I427)</f>
        <v/>
      </c>
      <c r="I427" s="349" t="str">
        <f>IF($F427="","",'הזנה לתנאי סף'!R427)</f>
        <v/>
      </c>
      <c r="J427" s="349" t="str">
        <f>IF($F427="","",'תחום תמיכה א'!P427)</f>
        <v/>
      </c>
      <c r="K427" s="177" t="str">
        <f>IF($F427="","",'הזנה לתנאי סף'!N427)</f>
        <v/>
      </c>
      <c r="L427" s="177" t="str">
        <f>IF($F427="","",'הזנה לתנאי סף'!O427)</f>
        <v/>
      </c>
      <c r="M427" s="177" t="str">
        <f>IF($F427="","",'הזנה לתנאי סף'!Q427)</f>
        <v/>
      </c>
      <c r="N427" s="349" t="str">
        <f>IF($F427="","",'תחום תמיכה א'!AE427)</f>
        <v/>
      </c>
      <c r="O427" s="178"/>
      <c r="P427" s="349" t="str">
        <f>IF($F427="","",'תחום תמיכה ב'!AC427)</f>
        <v/>
      </c>
      <c r="Q427" s="349" t="str">
        <f>IF($F427="","",IF('תחום תמיכה ג'!O427="",0,'תחום תמיכה ג'!O427))</f>
        <v/>
      </c>
      <c r="R427" s="349" t="str">
        <f t="shared" si="24"/>
        <v/>
      </c>
      <c r="S427" s="349" t="str">
        <f>IF($F427="","",'תחום תמיכה ב'!AE427)</f>
        <v/>
      </c>
      <c r="T427" s="349" t="str">
        <f>IF($F427="","",IF(Q427='תחום תמיכה ג'!$Q$2,'תחום תמיכה ג'!$Q$2,IFERROR(SUMIF(N427:R427,"&gt;0"),'תחום תמיכה ג'!$Q$2)))</f>
        <v/>
      </c>
      <c r="U427" s="349" t="str">
        <f>IF($F427="","",'הזנה לתנאי סף'!Y427)</f>
        <v/>
      </c>
      <c r="V427" s="350" t="str">
        <f>IF(F427="","",'הגבלה לסכום מבוקש '!AA427)</f>
        <v/>
      </c>
      <c r="W427" s="349" t="str">
        <f t="shared" si="25"/>
        <v/>
      </c>
      <c r="X427" s="349" t="str">
        <f>IF(F427="","",'הזנה לתנאי סף'!Z427)</f>
        <v/>
      </c>
      <c r="Y427" s="351"/>
      <c r="Z427" s="352" t="str">
        <f>IFERROR(VLOOKUP(G427*1,#REF!,3,0),"")</f>
        <v/>
      </c>
      <c r="AA427" s="349" t="str">
        <f>IF(OR($F427="",Z427=""),"",IFERROR(IF(Z427&gt;V427,MIN(Z427,T427)-V427,0),'תחום תמיכה ג'!$Q$2))</f>
        <v/>
      </c>
      <c r="AB427" s="353"/>
      <c r="AC427" s="260" t="str">
        <f t="shared" si="27"/>
        <v/>
      </c>
      <c r="AD427" s="358"/>
      <c r="AE427" s="180"/>
      <c r="AF427" s="355" t="str">
        <f>IF($C427="","",IFERROR(VLOOKUP($C427,גיליון1!$A:$E,2,0),"לא הגיש בקשה שוטפת"))</f>
        <v/>
      </c>
      <c r="AG427" s="355" t="str">
        <f>IF($C427="","",IFERROR(VLOOKUP($C427,גיליון1!$A:$E,3,0),"לא הגיש בקשה שוטפת"))</f>
        <v/>
      </c>
      <c r="AH427" s="355" t="str">
        <f>IF($C427="","",IFERROR(VLOOKUP($C427,גיליון1!$A:$E,4,0),"לא הגיש בקשה שוטפת"))</f>
        <v/>
      </c>
      <c r="AI427" s="355" t="str">
        <f>IF($C427="","",IFERROR(VLOOKUP($C427,גיליון1!$A:$E,5,0),"לא הגיש בקשה שוטפת"))</f>
        <v/>
      </c>
      <c r="AJ427" s="355">
        <f t="shared" si="26"/>
        <v>0</v>
      </c>
      <c r="AK427" s="15"/>
      <c r="AL427" s="15" t="s">
        <v>250</v>
      </c>
    </row>
    <row r="428" spans="1:38" x14ac:dyDescent="0.25">
      <c r="A428" s="346" t="str">
        <f>'הזנה לתנאי סף'!B428</f>
        <v/>
      </c>
      <c r="B428" s="347" t="str">
        <f>IF($F428="","",'הזנה לתנאי סף'!C428)</f>
        <v/>
      </c>
      <c r="C428" s="347" t="str">
        <f>IF($F428="","",'הזנה לתנאי סף'!D428)</f>
        <v/>
      </c>
      <c r="D428" s="347" t="str">
        <f>IF($F428="","",'הזנה לתנאי סף'!E428)</f>
        <v/>
      </c>
      <c r="E428" s="348" t="str">
        <f>IF($F428="","",'הזנה לתנאי סף'!F428)</f>
        <v/>
      </c>
      <c r="F428" s="348" t="str">
        <f>IF('הזנה לתנאי סף'!BL428=1,'הזנה לתנאי סף'!G428,"")</f>
        <v/>
      </c>
      <c r="G428" s="348" t="str">
        <f>IF($F428="","",'הזנה לתנאי סף'!H428)</f>
        <v/>
      </c>
      <c r="H428" s="348" t="str">
        <f>IF($F428="","",'הזנה לתנאי סף'!I428)</f>
        <v/>
      </c>
      <c r="I428" s="349" t="str">
        <f>IF($F428="","",'הזנה לתנאי סף'!R428)</f>
        <v/>
      </c>
      <c r="J428" s="349" t="str">
        <f>IF($F428="","",'תחום תמיכה א'!P428)</f>
        <v/>
      </c>
      <c r="K428" s="177" t="str">
        <f>IF($F428="","",'הזנה לתנאי סף'!N428)</f>
        <v/>
      </c>
      <c r="L428" s="177" t="str">
        <f>IF($F428="","",'הזנה לתנאי סף'!O428)</f>
        <v/>
      </c>
      <c r="M428" s="177" t="str">
        <f>IF($F428="","",'הזנה לתנאי סף'!Q428)</f>
        <v/>
      </c>
      <c r="N428" s="349" t="str">
        <f>IF($F428="","",'תחום תמיכה א'!AE428)</f>
        <v/>
      </c>
      <c r="O428" s="178"/>
      <c r="P428" s="349" t="str">
        <f>IF($F428="","",'תחום תמיכה ב'!AC428)</f>
        <v/>
      </c>
      <c r="Q428" s="349" t="str">
        <f>IF($F428="","",IF('תחום תמיכה ג'!O428="",0,'תחום תמיכה ג'!O428))</f>
        <v/>
      </c>
      <c r="R428" s="349" t="str">
        <f t="shared" si="24"/>
        <v/>
      </c>
      <c r="S428" s="349" t="str">
        <f>IF($F428="","",'תחום תמיכה ב'!AE428)</f>
        <v/>
      </c>
      <c r="T428" s="349" t="str">
        <f>IF($F428="","",IF(Q428='תחום תמיכה ג'!$Q$2,'תחום תמיכה ג'!$Q$2,IFERROR(SUMIF(N428:R428,"&gt;0"),'תחום תמיכה ג'!$Q$2)))</f>
        <v/>
      </c>
      <c r="U428" s="349" t="str">
        <f>IF($F428="","",'הזנה לתנאי סף'!Y428)</f>
        <v/>
      </c>
      <c r="V428" s="350" t="str">
        <f>IF(F428="","",'הגבלה לסכום מבוקש '!AA428)</f>
        <v/>
      </c>
      <c r="W428" s="349" t="str">
        <f t="shared" si="25"/>
        <v/>
      </c>
      <c r="X428" s="349" t="str">
        <f>IF(F428="","",'הזנה לתנאי סף'!Z428)</f>
        <v/>
      </c>
      <c r="Y428" s="351"/>
      <c r="Z428" s="352" t="str">
        <f>IFERROR(VLOOKUP(G428*1,#REF!,3,0),"")</f>
        <v/>
      </c>
      <c r="AA428" s="349" t="str">
        <f>IF(OR($F428="",Z428=""),"",IFERROR(IF(Z428&gt;V428,MIN(Z428,T428)-V428,0),'תחום תמיכה ג'!$Q$2))</f>
        <v/>
      </c>
      <c r="AB428" s="353"/>
      <c r="AC428" s="260" t="str">
        <f t="shared" si="27"/>
        <v/>
      </c>
      <c r="AD428" s="358"/>
      <c r="AE428" s="180"/>
      <c r="AF428" s="355" t="str">
        <f>IF($C428="","",IFERROR(VLOOKUP($C428,גיליון1!$A:$E,2,0),"לא הגיש בקשה שוטפת"))</f>
        <v/>
      </c>
      <c r="AG428" s="355" t="str">
        <f>IF($C428="","",IFERROR(VLOOKUP($C428,גיליון1!$A:$E,3,0),"לא הגיש בקשה שוטפת"))</f>
        <v/>
      </c>
      <c r="AH428" s="355" t="str">
        <f>IF($C428="","",IFERROR(VLOOKUP($C428,גיליון1!$A:$E,4,0),"לא הגיש בקשה שוטפת"))</f>
        <v/>
      </c>
      <c r="AI428" s="355" t="str">
        <f>IF($C428="","",IFERROR(VLOOKUP($C428,גיליון1!$A:$E,5,0),"לא הגיש בקשה שוטפת"))</f>
        <v/>
      </c>
      <c r="AJ428" s="355">
        <f t="shared" si="26"/>
        <v>0</v>
      </c>
      <c r="AK428" s="15"/>
      <c r="AL428" s="15" t="s">
        <v>250</v>
      </c>
    </row>
    <row r="429" spans="1:38" x14ac:dyDescent="0.25">
      <c r="A429" s="346" t="str">
        <f>'הזנה לתנאי סף'!B429</f>
        <v/>
      </c>
      <c r="B429" s="347" t="str">
        <f>IF($F429="","",'הזנה לתנאי סף'!C429)</f>
        <v/>
      </c>
      <c r="C429" s="347" t="str">
        <f>IF($F429="","",'הזנה לתנאי סף'!D429)</f>
        <v/>
      </c>
      <c r="D429" s="347" t="str">
        <f>IF($F429="","",'הזנה לתנאי סף'!E429)</f>
        <v/>
      </c>
      <c r="E429" s="348" t="str">
        <f>IF($F429="","",'הזנה לתנאי סף'!F429)</f>
        <v/>
      </c>
      <c r="F429" s="348" t="str">
        <f>IF('הזנה לתנאי סף'!BL429=1,'הזנה לתנאי סף'!G429,"")</f>
        <v/>
      </c>
      <c r="G429" s="348" t="str">
        <f>IF($F429="","",'הזנה לתנאי סף'!H429)</f>
        <v/>
      </c>
      <c r="H429" s="348" t="str">
        <f>IF($F429="","",'הזנה לתנאי סף'!I429)</f>
        <v/>
      </c>
      <c r="I429" s="349" t="str">
        <f>IF($F429="","",'הזנה לתנאי סף'!R429)</f>
        <v/>
      </c>
      <c r="J429" s="349" t="str">
        <f>IF($F429="","",'תחום תמיכה א'!P429)</f>
        <v/>
      </c>
      <c r="K429" s="177" t="str">
        <f>IF($F429="","",'הזנה לתנאי סף'!N429)</f>
        <v/>
      </c>
      <c r="L429" s="177" t="str">
        <f>IF($F429="","",'הזנה לתנאי סף'!O429)</f>
        <v/>
      </c>
      <c r="M429" s="177" t="str">
        <f>IF($F429="","",'הזנה לתנאי סף'!Q429)</f>
        <v/>
      </c>
      <c r="N429" s="349" t="str">
        <f>IF($F429="","",'תחום תמיכה א'!AE429)</f>
        <v/>
      </c>
      <c r="O429" s="178"/>
      <c r="P429" s="349" t="str">
        <f>IF($F429="","",'תחום תמיכה ב'!AC429)</f>
        <v/>
      </c>
      <c r="Q429" s="349" t="str">
        <f>IF($F429="","",IF('תחום תמיכה ג'!O429="",0,'תחום תמיכה ג'!O429))</f>
        <v/>
      </c>
      <c r="R429" s="349" t="str">
        <f t="shared" si="24"/>
        <v/>
      </c>
      <c r="S429" s="349" t="str">
        <f>IF($F429="","",'תחום תמיכה ב'!AE429)</f>
        <v/>
      </c>
      <c r="T429" s="349" t="str">
        <f>IF($F429="","",IF(Q429='תחום תמיכה ג'!$Q$2,'תחום תמיכה ג'!$Q$2,IFERROR(SUMIF(N429:R429,"&gt;0"),'תחום תמיכה ג'!$Q$2)))</f>
        <v/>
      </c>
      <c r="U429" s="349" t="str">
        <f>IF($F429="","",'הזנה לתנאי סף'!Y429)</f>
        <v/>
      </c>
      <c r="V429" s="350" t="str">
        <f>IF(F429="","",'הגבלה לסכום מבוקש '!AA429)</f>
        <v/>
      </c>
      <c r="W429" s="349" t="str">
        <f t="shared" si="25"/>
        <v/>
      </c>
      <c r="X429" s="349" t="str">
        <f>IF(F429="","",'הזנה לתנאי סף'!Z429)</f>
        <v/>
      </c>
      <c r="Y429" s="351"/>
      <c r="Z429" s="352" t="str">
        <f>IFERROR(VLOOKUP(G429*1,#REF!,3,0),"")</f>
        <v/>
      </c>
      <c r="AA429" s="349" t="str">
        <f>IF(OR($F429="",Z429=""),"",IFERROR(IF(Z429&gt;V429,MIN(Z429,T429)-V429,0),'תחום תמיכה ג'!$Q$2))</f>
        <v/>
      </c>
      <c r="AB429" s="353"/>
      <c r="AC429" s="260" t="str">
        <f t="shared" si="27"/>
        <v/>
      </c>
      <c r="AD429" s="358"/>
      <c r="AE429" s="180"/>
      <c r="AF429" s="355" t="str">
        <f>IF($C429="","",IFERROR(VLOOKUP($C429,גיליון1!$A:$E,2,0),"לא הגיש בקשה שוטפת"))</f>
        <v/>
      </c>
      <c r="AG429" s="355" t="str">
        <f>IF($C429="","",IFERROR(VLOOKUP($C429,גיליון1!$A:$E,3,0),"לא הגיש בקשה שוטפת"))</f>
        <v/>
      </c>
      <c r="AH429" s="355" t="str">
        <f>IF($C429="","",IFERROR(VLOOKUP($C429,גיליון1!$A:$E,4,0),"לא הגיש בקשה שוטפת"))</f>
        <v/>
      </c>
      <c r="AI429" s="355" t="str">
        <f>IF($C429="","",IFERROR(VLOOKUP($C429,גיליון1!$A:$E,5,0),"לא הגיש בקשה שוטפת"))</f>
        <v/>
      </c>
      <c r="AJ429" s="355">
        <f t="shared" si="26"/>
        <v>0</v>
      </c>
      <c r="AK429" s="15"/>
      <c r="AL429" s="15" t="s">
        <v>250</v>
      </c>
    </row>
    <row r="430" spans="1:38" x14ac:dyDescent="0.25">
      <c r="A430" s="346" t="str">
        <f>'הזנה לתנאי סף'!B430</f>
        <v/>
      </c>
      <c r="B430" s="347" t="str">
        <f>IF($F430="","",'הזנה לתנאי סף'!C430)</f>
        <v/>
      </c>
      <c r="C430" s="347" t="str">
        <f>IF($F430="","",'הזנה לתנאי סף'!D430)</f>
        <v/>
      </c>
      <c r="D430" s="347" t="str">
        <f>IF($F430="","",'הזנה לתנאי סף'!E430)</f>
        <v/>
      </c>
      <c r="E430" s="348" t="str">
        <f>IF($F430="","",'הזנה לתנאי סף'!F430)</f>
        <v/>
      </c>
      <c r="F430" s="348" t="str">
        <f>IF('הזנה לתנאי סף'!BL430=1,'הזנה לתנאי סף'!G430,"")</f>
        <v/>
      </c>
      <c r="G430" s="348" t="str">
        <f>IF($F430="","",'הזנה לתנאי סף'!H430)</f>
        <v/>
      </c>
      <c r="H430" s="348" t="str">
        <f>IF($F430="","",'הזנה לתנאי סף'!I430)</f>
        <v/>
      </c>
      <c r="I430" s="349" t="str">
        <f>IF($F430="","",'הזנה לתנאי סף'!R430)</f>
        <v/>
      </c>
      <c r="J430" s="349" t="str">
        <f>IF($F430="","",'תחום תמיכה א'!P430)</f>
        <v/>
      </c>
      <c r="K430" s="177" t="str">
        <f>IF($F430="","",'הזנה לתנאי סף'!N430)</f>
        <v/>
      </c>
      <c r="L430" s="177" t="str">
        <f>IF($F430="","",'הזנה לתנאי סף'!O430)</f>
        <v/>
      </c>
      <c r="M430" s="177" t="str">
        <f>IF($F430="","",'הזנה לתנאי סף'!Q430)</f>
        <v/>
      </c>
      <c r="N430" s="349" t="str">
        <f>IF($F430="","",'תחום תמיכה א'!AE430)</f>
        <v/>
      </c>
      <c r="O430" s="178"/>
      <c r="P430" s="349" t="str">
        <f>IF($F430="","",'תחום תמיכה ב'!AC430)</f>
        <v/>
      </c>
      <c r="Q430" s="349" t="str">
        <f>IF($F430="","",IF('תחום תמיכה ג'!O430="",0,'תחום תמיכה ג'!O430))</f>
        <v/>
      </c>
      <c r="R430" s="349" t="str">
        <f t="shared" si="24"/>
        <v/>
      </c>
      <c r="S430" s="349" t="str">
        <f>IF($F430="","",'תחום תמיכה ב'!AE430)</f>
        <v/>
      </c>
      <c r="T430" s="349" t="str">
        <f>IF($F430="","",IF(Q430='תחום תמיכה ג'!$Q$2,'תחום תמיכה ג'!$Q$2,IFERROR(SUMIF(N430:R430,"&gt;0"),'תחום תמיכה ג'!$Q$2)))</f>
        <v/>
      </c>
      <c r="U430" s="349" t="str">
        <f>IF($F430="","",'הזנה לתנאי סף'!Y430)</f>
        <v/>
      </c>
      <c r="V430" s="350" t="str">
        <f>IF(F430="","",'הגבלה לסכום מבוקש '!AA430)</f>
        <v/>
      </c>
      <c r="W430" s="349" t="str">
        <f t="shared" si="25"/>
        <v/>
      </c>
      <c r="X430" s="349" t="str">
        <f>IF(F430="","",'הזנה לתנאי סף'!Z430)</f>
        <v/>
      </c>
      <c r="Y430" s="351"/>
      <c r="Z430" s="352" t="str">
        <f>IFERROR(VLOOKUP(G430*1,#REF!,3,0),"")</f>
        <v/>
      </c>
      <c r="AA430" s="349" t="str">
        <f>IF(OR($F430="",Z430=""),"",IFERROR(IF(Z430&gt;V430,MIN(Z430,T430)-V430,0),'תחום תמיכה ג'!$Q$2))</f>
        <v/>
      </c>
      <c r="AB430" s="353"/>
      <c r="AC430" s="260" t="str">
        <f t="shared" si="27"/>
        <v/>
      </c>
      <c r="AD430" s="358"/>
      <c r="AE430" s="180"/>
      <c r="AF430" s="355" t="str">
        <f>IF($C430="","",IFERROR(VLOOKUP($C430,גיליון1!$A:$E,2,0),"לא הגיש בקשה שוטפת"))</f>
        <v/>
      </c>
      <c r="AG430" s="355" t="str">
        <f>IF($C430="","",IFERROR(VLOOKUP($C430,גיליון1!$A:$E,3,0),"לא הגיש בקשה שוטפת"))</f>
        <v/>
      </c>
      <c r="AH430" s="355" t="str">
        <f>IF($C430="","",IFERROR(VLOOKUP($C430,גיליון1!$A:$E,4,0),"לא הגיש בקשה שוטפת"))</f>
        <v/>
      </c>
      <c r="AI430" s="355" t="str">
        <f>IF($C430="","",IFERROR(VLOOKUP($C430,גיליון1!$A:$E,5,0),"לא הגיש בקשה שוטפת"))</f>
        <v/>
      </c>
      <c r="AJ430" s="355">
        <f t="shared" si="26"/>
        <v>0</v>
      </c>
      <c r="AK430" s="15"/>
      <c r="AL430" s="15" t="s">
        <v>250</v>
      </c>
    </row>
    <row r="431" spans="1:38" x14ac:dyDescent="0.25">
      <c r="A431" s="346" t="str">
        <f>'הזנה לתנאי סף'!B431</f>
        <v/>
      </c>
      <c r="B431" s="347" t="str">
        <f>IF($F431="","",'הזנה לתנאי סף'!C431)</f>
        <v/>
      </c>
      <c r="C431" s="347" t="str">
        <f>IF($F431="","",'הזנה לתנאי סף'!D431)</f>
        <v/>
      </c>
      <c r="D431" s="347" t="str">
        <f>IF($F431="","",'הזנה לתנאי סף'!E431)</f>
        <v/>
      </c>
      <c r="E431" s="348" t="str">
        <f>IF($F431="","",'הזנה לתנאי סף'!F431)</f>
        <v/>
      </c>
      <c r="F431" s="348" t="str">
        <f>IF('הזנה לתנאי סף'!BL431=1,'הזנה לתנאי סף'!G431,"")</f>
        <v/>
      </c>
      <c r="G431" s="348" t="str">
        <f>IF($F431="","",'הזנה לתנאי סף'!H431)</f>
        <v/>
      </c>
      <c r="H431" s="348" t="str">
        <f>IF($F431="","",'הזנה לתנאי סף'!I431)</f>
        <v/>
      </c>
      <c r="I431" s="349" t="str">
        <f>IF($F431="","",'הזנה לתנאי סף'!R431)</f>
        <v/>
      </c>
      <c r="J431" s="349" t="str">
        <f>IF($F431="","",'תחום תמיכה א'!P431)</f>
        <v/>
      </c>
      <c r="K431" s="177" t="str">
        <f>IF($F431="","",'הזנה לתנאי סף'!N431)</f>
        <v/>
      </c>
      <c r="L431" s="177" t="str">
        <f>IF($F431="","",'הזנה לתנאי סף'!O431)</f>
        <v/>
      </c>
      <c r="M431" s="177" t="str">
        <f>IF($F431="","",'הזנה לתנאי סף'!Q431)</f>
        <v/>
      </c>
      <c r="N431" s="349" t="str">
        <f>IF($F431="","",'תחום תמיכה א'!AE431)</f>
        <v/>
      </c>
      <c r="O431" s="178"/>
      <c r="P431" s="349" t="str">
        <f>IF($F431="","",'תחום תמיכה ב'!AC431)</f>
        <v/>
      </c>
      <c r="Q431" s="349" t="str">
        <f>IF($F431="","",IF('תחום תמיכה ג'!O431="",0,'תחום תמיכה ג'!O431))</f>
        <v/>
      </c>
      <c r="R431" s="349" t="str">
        <f t="shared" si="24"/>
        <v/>
      </c>
      <c r="S431" s="349" t="str">
        <f>IF($F431="","",'תחום תמיכה ב'!AE431)</f>
        <v/>
      </c>
      <c r="T431" s="349" t="str">
        <f>IF($F431="","",IF(Q431='תחום תמיכה ג'!$Q$2,'תחום תמיכה ג'!$Q$2,IFERROR(SUMIF(N431:R431,"&gt;0"),'תחום תמיכה ג'!$Q$2)))</f>
        <v/>
      </c>
      <c r="U431" s="349" t="str">
        <f>IF($F431="","",'הזנה לתנאי סף'!Y431)</f>
        <v/>
      </c>
      <c r="V431" s="350" t="str">
        <f>IF(F431="","",'הגבלה לסכום מבוקש '!AA431)</f>
        <v/>
      </c>
      <c r="W431" s="349" t="str">
        <f t="shared" si="25"/>
        <v/>
      </c>
      <c r="X431" s="349" t="str">
        <f>IF(F431="","",'הזנה לתנאי סף'!Z431)</f>
        <v/>
      </c>
      <c r="Y431" s="351"/>
      <c r="Z431" s="352" t="str">
        <f>IFERROR(VLOOKUP(G431*1,#REF!,3,0),"")</f>
        <v/>
      </c>
      <c r="AA431" s="349" t="str">
        <f>IF(OR($F431="",Z431=""),"",IFERROR(IF(Z431&gt;V431,MIN(Z431,T431)-V431,0),'תחום תמיכה ג'!$Q$2))</f>
        <v/>
      </c>
      <c r="AB431" s="353"/>
      <c r="AC431" s="260" t="str">
        <f t="shared" si="27"/>
        <v/>
      </c>
      <c r="AD431" s="358"/>
      <c r="AE431" s="180"/>
      <c r="AF431" s="355" t="str">
        <f>IF($C431="","",IFERROR(VLOOKUP($C431,גיליון1!$A:$E,2,0),"לא הגיש בקשה שוטפת"))</f>
        <v/>
      </c>
      <c r="AG431" s="355" t="str">
        <f>IF($C431="","",IFERROR(VLOOKUP($C431,גיליון1!$A:$E,3,0),"לא הגיש בקשה שוטפת"))</f>
        <v/>
      </c>
      <c r="AH431" s="355" t="str">
        <f>IF($C431="","",IFERROR(VLOOKUP($C431,גיליון1!$A:$E,4,0),"לא הגיש בקשה שוטפת"))</f>
        <v/>
      </c>
      <c r="AI431" s="355" t="str">
        <f>IF($C431="","",IFERROR(VLOOKUP($C431,גיליון1!$A:$E,5,0),"לא הגיש בקשה שוטפת"))</f>
        <v/>
      </c>
      <c r="AJ431" s="355">
        <f t="shared" si="26"/>
        <v>0</v>
      </c>
      <c r="AK431" s="15"/>
      <c r="AL431" s="15" t="s">
        <v>250</v>
      </c>
    </row>
    <row r="432" spans="1:38" x14ac:dyDescent="0.25">
      <c r="A432" s="346" t="str">
        <f>'הזנה לתנאי סף'!B432</f>
        <v/>
      </c>
      <c r="B432" s="347" t="str">
        <f>IF($F432="","",'הזנה לתנאי סף'!C432)</f>
        <v/>
      </c>
      <c r="C432" s="347" t="str">
        <f>IF($F432="","",'הזנה לתנאי סף'!D432)</f>
        <v/>
      </c>
      <c r="D432" s="347" t="str">
        <f>IF($F432="","",'הזנה לתנאי סף'!E432)</f>
        <v/>
      </c>
      <c r="E432" s="348" t="str">
        <f>IF($F432="","",'הזנה לתנאי סף'!F432)</f>
        <v/>
      </c>
      <c r="F432" s="348" t="str">
        <f>IF('הזנה לתנאי סף'!BL432=1,'הזנה לתנאי סף'!G432,"")</f>
        <v/>
      </c>
      <c r="G432" s="348" t="str">
        <f>IF($F432="","",'הזנה לתנאי סף'!H432)</f>
        <v/>
      </c>
      <c r="H432" s="348" t="str">
        <f>IF($F432="","",'הזנה לתנאי סף'!I432)</f>
        <v/>
      </c>
      <c r="I432" s="349" t="str">
        <f>IF($F432="","",'הזנה לתנאי סף'!R432)</f>
        <v/>
      </c>
      <c r="J432" s="349" t="str">
        <f>IF($F432="","",'תחום תמיכה א'!P432)</f>
        <v/>
      </c>
      <c r="K432" s="177" t="str">
        <f>IF($F432="","",'הזנה לתנאי סף'!N432)</f>
        <v/>
      </c>
      <c r="L432" s="177" t="str">
        <f>IF($F432="","",'הזנה לתנאי סף'!O432)</f>
        <v/>
      </c>
      <c r="M432" s="177" t="str">
        <f>IF($F432="","",'הזנה לתנאי סף'!Q432)</f>
        <v/>
      </c>
      <c r="N432" s="349" t="str">
        <f>IF($F432="","",'תחום תמיכה א'!AE432)</f>
        <v/>
      </c>
      <c r="O432" s="178"/>
      <c r="P432" s="349" t="str">
        <f>IF($F432="","",'תחום תמיכה ב'!AC432)</f>
        <v/>
      </c>
      <c r="Q432" s="349" t="str">
        <f>IF($F432="","",IF('תחום תמיכה ג'!O432="",0,'תחום תמיכה ג'!O432))</f>
        <v/>
      </c>
      <c r="R432" s="349" t="str">
        <f t="shared" si="24"/>
        <v/>
      </c>
      <c r="S432" s="349" t="str">
        <f>IF($F432="","",'תחום תמיכה ב'!AE432)</f>
        <v/>
      </c>
      <c r="T432" s="349" t="str">
        <f>IF($F432="","",IF(Q432='תחום תמיכה ג'!$Q$2,'תחום תמיכה ג'!$Q$2,IFERROR(SUMIF(N432:R432,"&gt;0"),'תחום תמיכה ג'!$Q$2)))</f>
        <v/>
      </c>
      <c r="U432" s="349" t="str">
        <f>IF($F432="","",'הזנה לתנאי סף'!Y432)</f>
        <v/>
      </c>
      <c r="V432" s="350" t="str">
        <f>IF(F432="","",'הגבלה לסכום מבוקש '!AA432)</f>
        <v/>
      </c>
      <c r="W432" s="349" t="str">
        <f t="shared" si="25"/>
        <v/>
      </c>
      <c r="X432" s="349" t="str">
        <f>IF(F432="","",'הזנה לתנאי סף'!Z432)</f>
        <v/>
      </c>
      <c r="Y432" s="351"/>
      <c r="Z432" s="352" t="str">
        <f>IFERROR(VLOOKUP(G432*1,#REF!,3,0),"")</f>
        <v/>
      </c>
      <c r="AA432" s="349" t="str">
        <f>IF(OR($F432="",Z432=""),"",IFERROR(IF(Z432&gt;V432,MIN(Z432,T432)-V432,0),'תחום תמיכה ג'!$Q$2))</f>
        <v/>
      </c>
      <c r="AB432" s="353"/>
      <c r="AC432" s="260" t="str">
        <f t="shared" si="27"/>
        <v/>
      </c>
      <c r="AD432" s="358"/>
      <c r="AE432" s="180"/>
      <c r="AF432" s="355" t="str">
        <f>IF($C432="","",IFERROR(VLOOKUP($C432,גיליון1!$A:$E,2,0),"לא הגיש בקשה שוטפת"))</f>
        <v/>
      </c>
      <c r="AG432" s="355" t="str">
        <f>IF($C432="","",IFERROR(VLOOKUP($C432,גיליון1!$A:$E,3,0),"לא הגיש בקשה שוטפת"))</f>
        <v/>
      </c>
      <c r="AH432" s="355" t="str">
        <f>IF($C432="","",IFERROR(VLOOKUP($C432,גיליון1!$A:$E,4,0),"לא הגיש בקשה שוטפת"))</f>
        <v/>
      </c>
      <c r="AI432" s="355" t="str">
        <f>IF($C432="","",IFERROR(VLOOKUP($C432,גיליון1!$A:$E,5,0),"לא הגיש בקשה שוטפת"))</f>
        <v/>
      </c>
      <c r="AJ432" s="355">
        <f t="shared" si="26"/>
        <v>0</v>
      </c>
      <c r="AK432" s="15"/>
      <c r="AL432" s="15" t="s">
        <v>250</v>
      </c>
    </row>
    <row r="433" spans="1:38" x14ac:dyDescent="0.25">
      <c r="A433" s="346" t="str">
        <f>'הזנה לתנאי סף'!B433</f>
        <v/>
      </c>
      <c r="B433" s="347" t="str">
        <f>IF($F433="","",'הזנה לתנאי סף'!C433)</f>
        <v/>
      </c>
      <c r="C433" s="347" t="str">
        <f>IF($F433="","",'הזנה לתנאי סף'!D433)</f>
        <v/>
      </c>
      <c r="D433" s="347" t="str">
        <f>IF($F433="","",'הזנה לתנאי סף'!E433)</f>
        <v/>
      </c>
      <c r="E433" s="348" t="str">
        <f>IF($F433="","",'הזנה לתנאי סף'!F433)</f>
        <v/>
      </c>
      <c r="F433" s="348" t="str">
        <f>IF('הזנה לתנאי סף'!BL433=1,'הזנה לתנאי סף'!G433,"")</f>
        <v/>
      </c>
      <c r="G433" s="348" t="str">
        <f>IF($F433="","",'הזנה לתנאי סף'!H433)</f>
        <v/>
      </c>
      <c r="H433" s="348" t="str">
        <f>IF($F433="","",'הזנה לתנאי סף'!I433)</f>
        <v/>
      </c>
      <c r="I433" s="349" t="str">
        <f>IF($F433="","",'הזנה לתנאי סף'!R433)</f>
        <v/>
      </c>
      <c r="J433" s="349" t="str">
        <f>IF($F433="","",'תחום תמיכה א'!P433)</f>
        <v/>
      </c>
      <c r="K433" s="177" t="str">
        <f>IF($F433="","",'הזנה לתנאי סף'!N433)</f>
        <v/>
      </c>
      <c r="L433" s="177" t="str">
        <f>IF($F433="","",'הזנה לתנאי סף'!O433)</f>
        <v/>
      </c>
      <c r="M433" s="177" t="str">
        <f>IF($F433="","",'הזנה לתנאי סף'!Q433)</f>
        <v/>
      </c>
      <c r="N433" s="349" t="str">
        <f>IF($F433="","",'תחום תמיכה א'!AE433)</f>
        <v/>
      </c>
      <c r="O433" s="178"/>
      <c r="P433" s="349" t="str">
        <f>IF($F433="","",'תחום תמיכה ב'!AC433)</f>
        <v/>
      </c>
      <c r="Q433" s="349" t="str">
        <f>IF($F433="","",IF('תחום תמיכה ג'!O433="",0,'תחום תמיכה ג'!O433))</f>
        <v/>
      </c>
      <c r="R433" s="349" t="str">
        <f t="shared" si="24"/>
        <v/>
      </c>
      <c r="S433" s="349" t="str">
        <f>IF($F433="","",'תחום תמיכה ב'!AE433)</f>
        <v/>
      </c>
      <c r="T433" s="349" t="str">
        <f>IF($F433="","",IF(Q433='תחום תמיכה ג'!$Q$2,'תחום תמיכה ג'!$Q$2,IFERROR(SUMIF(N433:R433,"&gt;0"),'תחום תמיכה ג'!$Q$2)))</f>
        <v/>
      </c>
      <c r="U433" s="349" t="str">
        <f>IF($F433="","",'הזנה לתנאי סף'!Y433)</f>
        <v/>
      </c>
      <c r="V433" s="350" t="str">
        <f>IF(F433="","",'הגבלה לסכום מבוקש '!AA433)</f>
        <v/>
      </c>
      <c r="W433" s="349" t="str">
        <f t="shared" si="25"/>
        <v/>
      </c>
      <c r="X433" s="349" t="str">
        <f>IF(F433="","",'הזנה לתנאי סף'!Z433)</f>
        <v/>
      </c>
      <c r="Y433" s="351"/>
      <c r="Z433" s="352" t="str">
        <f>IFERROR(VLOOKUP(G433*1,#REF!,3,0),"")</f>
        <v/>
      </c>
      <c r="AA433" s="349" t="str">
        <f>IF(OR($F433="",Z433=""),"",IFERROR(IF(Z433&gt;V433,MIN(Z433,T433)-V433,0),'תחום תמיכה ג'!$Q$2))</f>
        <v/>
      </c>
      <c r="AB433" s="353"/>
      <c r="AC433" s="260" t="str">
        <f t="shared" si="27"/>
        <v/>
      </c>
      <c r="AD433" s="358"/>
      <c r="AE433" s="180"/>
      <c r="AF433" s="355" t="str">
        <f>IF($C433="","",IFERROR(VLOOKUP($C433,גיליון1!$A:$E,2,0),"לא הגיש בקשה שוטפת"))</f>
        <v/>
      </c>
      <c r="AG433" s="355" t="str">
        <f>IF($C433="","",IFERROR(VLOOKUP($C433,גיליון1!$A:$E,3,0),"לא הגיש בקשה שוטפת"))</f>
        <v/>
      </c>
      <c r="AH433" s="355" t="str">
        <f>IF($C433="","",IFERROR(VLOOKUP($C433,גיליון1!$A:$E,4,0),"לא הגיש בקשה שוטפת"))</f>
        <v/>
      </c>
      <c r="AI433" s="355" t="str">
        <f>IF($C433="","",IFERROR(VLOOKUP($C433,גיליון1!$A:$E,5,0),"לא הגיש בקשה שוטפת"))</f>
        <v/>
      </c>
      <c r="AJ433" s="355">
        <f t="shared" si="26"/>
        <v>0</v>
      </c>
      <c r="AK433" s="15"/>
      <c r="AL433" s="15" t="s">
        <v>250</v>
      </c>
    </row>
    <row r="434" spans="1:38" x14ac:dyDescent="0.25">
      <c r="A434" s="346" t="str">
        <f>'הזנה לתנאי סף'!B434</f>
        <v/>
      </c>
      <c r="B434" s="347" t="str">
        <f>IF($F434="","",'הזנה לתנאי סף'!C434)</f>
        <v/>
      </c>
      <c r="C434" s="347" t="str">
        <f>IF($F434="","",'הזנה לתנאי סף'!D434)</f>
        <v/>
      </c>
      <c r="D434" s="347" t="str">
        <f>IF($F434="","",'הזנה לתנאי סף'!E434)</f>
        <v/>
      </c>
      <c r="E434" s="348" t="str">
        <f>IF($F434="","",'הזנה לתנאי סף'!F434)</f>
        <v/>
      </c>
      <c r="F434" s="348" t="str">
        <f>IF('הזנה לתנאי סף'!BL434=1,'הזנה לתנאי סף'!G434,"")</f>
        <v/>
      </c>
      <c r="G434" s="348" t="str">
        <f>IF($F434="","",'הזנה לתנאי סף'!H434)</f>
        <v/>
      </c>
      <c r="H434" s="348" t="str">
        <f>IF($F434="","",'הזנה לתנאי סף'!I434)</f>
        <v/>
      </c>
      <c r="I434" s="349" t="str">
        <f>IF($F434="","",'הזנה לתנאי סף'!R434)</f>
        <v/>
      </c>
      <c r="J434" s="349" t="str">
        <f>IF($F434="","",'תחום תמיכה א'!P434)</f>
        <v/>
      </c>
      <c r="K434" s="177" t="str">
        <f>IF($F434="","",'הזנה לתנאי סף'!N434)</f>
        <v/>
      </c>
      <c r="L434" s="177" t="str">
        <f>IF($F434="","",'הזנה לתנאי סף'!O434)</f>
        <v/>
      </c>
      <c r="M434" s="177" t="str">
        <f>IF($F434="","",'הזנה לתנאי סף'!Q434)</f>
        <v/>
      </c>
      <c r="N434" s="349" t="str">
        <f>IF($F434="","",'תחום תמיכה א'!AE434)</f>
        <v/>
      </c>
      <c r="O434" s="178"/>
      <c r="P434" s="349" t="str">
        <f>IF($F434="","",'תחום תמיכה ב'!AC434)</f>
        <v/>
      </c>
      <c r="Q434" s="349" t="str">
        <f>IF($F434="","",IF('תחום תמיכה ג'!O434="",0,'תחום תמיכה ג'!O434))</f>
        <v/>
      </c>
      <c r="R434" s="349" t="str">
        <f t="shared" si="24"/>
        <v/>
      </c>
      <c r="S434" s="349" t="str">
        <f>IF($F434="","",'תחום תמיכה ב'!AE434)</f>
        <v/>
      </c>
      <c r="T434" s="349" t="str">
        <f>IF($F434="","",IF(Q434='תחום תמיכה ג'!$Q$2,'תחום תמיכה ג'!$Q$2,IFERROR(SUMIF(N434:R434,"&gt;0"),'תחום תמיכה ג'!$Q$2)))</f>
        <v/>
      </c>
      <c r="U434" s="349" t="str">
        <f>IF($F434="","",'הזנה לתנאי סף'!Y434)</f>
        <v/>
      </c>
      <c r="V434" s="350" t="str">
        <f>IF(F434="","",'הגבלה לסכום מבוקש '!AA434)</f>
        <v/>
      </c>
      <c r="W434" s="349" t="str">
        <f t="shared" si="25"/>
        <v/>
      </c>
      <c r="X434" s="349" t="str">
        <f>IF(F434="","",'הזנה לתנאי סף'!Z434)</f>
        <v/>
      </c>
      <c r="Y434" s="351"/>
      <c r="Z434" s="352" t="str">
        <f>IFERROR(VLOOKUP(G434*1,#REF!,3,0),"")</f>
        <v/>
      </c>
      <c r="AA434" s="349" t="str">
        <f>IF(OR($F434="",Z434=""),"",IFERROR(IF(Z434&gt;V434,MIN(Z434,T434)-V434,0),'תחום תמיכה ג'!$Q$2))</f>
        <v/>
      </c>
      <c r="AB434" s="353"/>
      <c r="AC434" s="260" t="str">
        <f t="shared" si="27"/>
        <v/>
      </c>
      <c r="AD434" s="358"/>
      <c r="AE434" s="180"/>
      <c r="AF434" s="355" t="str">
        <f>IF($C434="","",IFERROR(VLOOKUP($C434,גיליון1!$A:$E,2,0),"לא הגיש בקשה שוטפת"))</f>
        <v/>
      </c>
      <c r="AG434" s="355" t="str">
        <f>IF($C434="","",IFERROR(VLOOKUP($C434,גיליון1!$A:$E,3,0),"לא הגיש בקשה שוטפת"))</f>
        <v/>
      </c>
      <c r="AH434" s="355" t="str">
        <f>IF($C434="","",IFERROR(VLOOKUP($C434,גיליון1!$A:$E,4,0),"לא הגיש בקשה שוטפת"))</f>
        <v/>
      </c>
      <c r="AI434" s="355" t="str">
        <f>IF($C434="","",IFERROR(VLOOKUP($C434,גיליון1!$A:$E,5,0),"לא הגיש בקשה שוטפת"))</f>
        <v/>
      </c>
      <c r="AJ434" s="355">
        <f t="shared" si="26"/>
        <v>0</v>
      </c>
      <c r="AK434" s="15"/>
      <c r="AL434" s="15" t="s">
        <v>250</v>
      </c>
    </row>
    <row r="435" spans="1:38" x14ac:dyDescent="0.25">
      <c r="A435" s="346" t="str">
        <f>'הזנה לתנאי סף'!B435</f>
        <v/>
      </c>
      <c r="B435" s="347" t="str">
        <f>IF($F435="","",'הזנה לתנאי סף'!C435)</f>
        <v/>
      </c>
      <c r="C435" s="347" t="str">
        <f>IF($F435="","",'הזנה לתנאי סף'!D435)</f>
        <v/>
      </c>
      <c r="D435" s="347" t="str">
        <f>IF($F435="","",'הזנה לתנאי סף'!E435)</f>
        <v/>
      </c>
      <c r="E435" s="348" t="str">
        <f>IF($F435="","",'הזנה לתנאי סף'!F435)</f>
        <v/>
      </c>
      <c r="F435" s="348" t="str">
        <f>IF('הזנה לתנאי סף'!BL435=1,'הזנה לתנאי סף'!G435,"")</f>
        <v/>
      </c>
      <c r="G435" s="348" t="str">
        <f>IF($F435="","",'הזנה לתנאי סף'!H435)</f>
        <v/>
      </c>
      <c r="H435" s="348" t="str">
        <f>IF($F435="","",'הזנה לתנאי סף'!I435)</f>
        <v/>
      </c>
      <c r="I435" s="349" t="str">
        <f>IF($F435="","",'הזנה לתנאי סף'!R435)</f>
        <v/>
      </c>
      <c r="J435" s="349" t="str">
        <f>IF($F435="","",'תחום תמיכה א'!P435)</f>
        <v/>
      </c>
      <c r="K435" s="177" t="str">
        <f>IF($F435="","",'הזנה לתנאי סף'!N435)</f>
        <v/>
      </c>
      <c r="L435" s="177" t="str">
        <f>IF($F435="","",'הזנה לתנאי סף'!O435)</f>
        <v/>
      </c>
      <c r="M435" s="177" t="str">
        <f>IF($F435="","",'הזנה לתנאי סף'!Q435)</f>
        <v/>
      </c>
      <c r="N435" s="349" t="str">
        <f>IF($F435="","",'תחום תמיכה א'!AE435)</f>
        <v/>
      </c>
      <c r="O435" s="178"/>
      <c r="P435" s="349" t="str">
        <f>IF($F435="","",'תחום תמיכה ב'!AC435)</f>
        <v/>
      </c>
      <c r="Q435" s="349" t="str">
        <f>IF($F435="","",IF('תחום תמיכה ג'!O435="",0,'תחום תמיכה ג'!O435))</f>
        <v/>
      </c>
      <c r="R435" s="349" t="str">
        <f t="shared" si="24"/>
        <v/>
      </c>
      <c r="S435" s="349" t="str">
        <f>IF($F435="","",'תחום תמיכה ב'!AE435)</f>
        <v/>
      </c>
      <c r="T435" s="349" t="str">
        <f>IF($F435="","",IF(Q435='תחום תמיכה ג'!$Q$2,'תחום תמיכה ג'!$Q$2,IFERROR(SUMIF(N435:R435,"&gt;0"),'תחום תמיכה ג'!$Q$2)))</f>
        <v/>
      </c>
      <c r="U435" s="349" t="str">
        <f>IF($F435="","",'הזנה לתנאי סף'!Y435)</f>
        <v/>
      </c>
      <c r="V435" s="350" t="str">
        <f>IF(F435="","",'הגבלה לסכום מבוקש '!AA435)</f>
        <v/>
      </c>
      <c r="W435" s="349" t="str">
        <f t="shared" si="25"/>
        <v/>
      </c>
      <c r="X435" s="349" t="str">
        <f>IF(F435="","",'הזנה לתנאי סף'!Z435)</f>
        <v/>
      </c>
      <c r="Y435" s="351"/>
      <c r="Z435" s="352" t="str">
        <f>IFERROR(VLOOKUP(G435*1,#REF!,3,0),"")</f>
        <v/>
      </c>
      <c r="AA435" s="349" t="str">
        <f>IF(OR($F435="",Z435=""),"",IFERROR(IF(Z435&gt;V435,MIN(Z435,T435)-V435,0),'תחום תמיכה ג'!$Q$2))</f>
        <v/>
      </c>
      <c r="AB435" s="353"/>
      <c r="AC435" s="260" t="str">
        <f t="shared" si="27"/>
        <v/>
      </c>
      <c r="AD435" s="358"/>
      <c r="AE435" s="180"/>
      <c r="AF435" s="355" t="str">
        <f>IF($C435="","",IFERROR(VLOOKUP($C435,גיליון1!$A:$E,2,0),"לא הגיש בקשה שוטפת"))</f>
        <v/>
      </c>
      <c r="AG435" s="355" t="str">
        <f>IF($C435="","",IFERROR(VLOOKUP($C435,גיליון1!$A:$E,3,0),"לא הגיש בקשה שוטפת"))</f>
        <v/>
      </c>
      <c r="AH435" s="355" t="str">
        <f>IF($C435="","",IFERROR(VLOOKUP($C435,גיליון1!$A:$E,4,0),"לא הגיש בקשה שוטפת"))</f>
        <v/>
      </c>
      <c r="AI435" s="355" t="str">
        <f>IF($C435="","",IFERROR(VLOOKUP($C435,גיליון1!$A:$E,5,0),"לא הגיש בקשה שוטפת"))</f>
        <v/>
      </c>
      <c r="AJ435" s="355">
        <f t="shared" si="26"/>
        <v>0</v>
      </c>
      <c r="AK435" s="15"/>
      <c r="AL435" s="15" t="s">
        <v>250</v>
      </c>
    </row>
    <row r="436" spans="1:38" x14ac:dyDescent="0.25">
      <c r="A436" s="346" t="str">
        <f>'הזנה לתנאי סף'!B436</f>
        <v/>
      </c>
      <c r="B436" s="347" t="str">
        <f>IF($F436="","",'הזנה לתנאי סף'!C436)</f>
        <v/>
      </c>
      <c r="C436" s="347" t="str">
        <f>IF($F436="","",'הזנה לתנאי סף'!D436)</f>
        <v/>
      </c>
      <c r="D436" s="347" t="str">
        <f>IF($F436="","",'הזנה לתנאי סף'!E436)</f>
        <v/>
      </c>
      <c r="E436" s="348" t="str">
        <f>IF($F436="","",'הזנה לתנאי סף'!F436)</f>
        <v/>
      </c>
      <c r="F436" s="348" t="str">
        <f>IF('הזנה לתנאי סף'!BL436=1,'הזנה לתנאי סף'!G436,"")</f>
        <v/>
      </c>
      <c r="G436" s="348" t="str">
        <f>IF($F436="","",'הזנה לתנאי סף'!H436)</f>
        <v/>
      </c>
      <c r="H436" s="348" t="str">
        <f>IF($F436="","",'הזנה לתנאי סף'!I436)</f>
        <v/>
      </c>
      <c r="I436" s="349" t="str">
        <f>IF($F436="","",'הזנה לתנאי סף'!R436)</f>
        <v/>
      </c>
      <c r="J436" s="349" t="str">
        <f>IF($F436="","",'תחום תמיכה א'!P436)</f>
        <v/>
      </c>
      <c r="K436" s="177" t="str">
        <f>IF($F436="","",'הזנה לתנאי סף'!N436)</f>
        <v/>
      </c>
      <c r="L436" s="177" t="str">
        <f>IF($F436="","",'הזנה לתנאי סף'!O436)</f>
        <v/>
      </c>
      <c r="M436" s="177" t="str">
        <f>IF($F436="","",'הזנה לתנאי סף'!Q436)</f>
        <v/>
      </c>
      <c r="N436" s="349" t="str">
        <f>IF($F436="","",'תחום תמיכה א'!AE436)</f>
        <v/>
      </c>
      <c r="O436" s="178"/>
      <c r="P436" s="349" t="str">
        <f>IF($F436="","",'תחום תמיכה ב'!AC436)</f>
        <v/>
      </c>
      <c r="Q436" s="349" t="str">
        <f>IF($F436="","",IF('תחום תמיכה ג'!O436="",0,'תחום תמיכה ג'!O436))</f>
        <v/>
      </c>
      <c r="R436" s="349" t="str">
        <f t="shared" si="24"/>
        <v/>
      </c>
      <c r="S436" s="349" t="str">
        <f>IF($F436="","",'תחום תמיכה ב'!AE436)</f>
        <v/>
      </c>
      <c r="T436" s="349" t="str">
        <f>IF($F436="","",IF(Q436='תחום תמיכה ג'!$Q$2,'תחום תמיכה ג'!$Q$2,IFERROR(SUMIF(N436:R436,"&gt;0"),'תחום תמיכה ג'!$Q$2)))</f>
        <v/>
      </c>
      <c r="U436" s="349" t="str">
        <f>IF($F436="","",'הזנה לתנאי סף'!Y436)</f>
        <v/>
      </c>
      <c r="V436" s="350" t="str">
        <f>IF(F436="","",'הגבלה לסכום מבוקש '!AA436)</f>
        <v/>
      </c>
      <c r="W436" s="349" t="str">
        <f t="shared" si="25"/>
        <v/>
      </c>
      <c r="X436" s="349" t="str">
        <f>IF(F436="","",'הזנה לתנאי סף'!Z436)</f>
        <v/>
      </c>
      <c r="Y436" s="351"/>
      <c r="Z436" s="352" t="str">
        <f>IFERROR(VLOOKUP(G436*1,#REF!,3,0),"")</f>
        <v/>
      </c>
      <c r="AA436" s="349" t="str">
        <f>IF(OR($F436="",Z436=""),"",IFERROR(IF(Z436&gt;V436,MIN(Z436,T436)-V436,0),'תחום תמיכה ג'!$Q$2))</f>
        <v/>
      </c>
      <c r="AB436" s="353"/>
      <c r="AC436" s="260" t="str">
        <f t="shared" si="27"/>
        <v/>
      </c>
      <c r="AD436" s="358"/>
      <c r="AE436" s="180"/>
      <c r="AF436" s="355" t="str">
        <f>IF($C436="","",IFERROR(VLOOKUP($C436,גיליון1!$A:$E,2,0),"לא הגיש בקשה שוטפת"))</f>
        <v/>
      </c>
      <c r="AG436" s="355" t="str">
        <f>IF($C436="","",IFERROR(VLOOKUP($C436,גיליון1!$A:$E,3,0),"לא הגיש בקשה שוטפת"))</f>
        <v/>
      </c>
      <c r="AH436" s="355" t="str">
        <f>IF($C436="","",IFERROR(VLOOKUP($C436,גיליון1!$A:$E,4,0),"לא הגיש בקשה שוטפת"))</f>
        <v/>
      </c>
      <c r="AI436" s="355" t="str">
        <f>IF($C436="","",IFERROR(VLOOKUP($C436,גיליון1!$A:$E,5,0),"לא הגיש בקשה שוטפת"))</f>
        <v/>
      </c>
      <c r="AJ436" s="355">
        <f t="shared" si="26"/>
        <v>0</v>
      </c>
      <c r="AK436" s="15"/>
      <c r="AL436" s="15" t="s">
        <v>250</v>
      </c>
    </row>
    <row r="437" spans="1:38" x14ac:dyDescent="0.25">
      <c r="A437" s="346" t="str">
        <f>'הזנה לתנאי סף'!B437</f>
        <v/>
      </c>
      <c r="B437" s="347" t="str">
        <f>IF($F437="","",'הזנה לתנאי סף'!C437)</f>
        <v/>
      </c>
      <c r="C437" s="347" t="str">
        <f>IF($F437="","",'הזנה לתנאי סף'!D437)</f>
        <v/>
      </c>
      <c r="D437" s="347" t="str">
        <f>IF($F437="","",'הזנה לתנאי סף'!E437)</f>
        <v/>
      </c>
      <c r="E437" s="348" t="str">
        <f>IF($F437="","",'הזנה לתנאי סף'!F437)</f>
        <v/>
      </c>
      <c r="F437" s="348" t="str">
        <f>IF('הזנה לתנאי סף'!BL437=1,'הזנה לתנאי סף'!G437,"")</f>
        <v/>
      </c>
      <c r="G437" s="348" t="str">
        <f>IF($F437="","",'הזנה לתנאי סף'!H437)</f>
        <v/>
      </c>
      <c r="H437" s="348" t="str">
        <f>IF($F437="","",'הזנה לתנאי סף'!I437)</f>
        <v/>
      </c>
      <c r="I437" s="349" t="str">
        <f>IF($F437="","",'הזנה לתנאי סף'!R437)</f>
        <v/>
      </c>
      <c r="J437" s="349" t="str">
        <f>IF($F437="","",'תחום תמיכה א'!P437)</f>
        <v/>
      </c>
      <c r="K437" s="177" t="str">
        <f>IF($F437="","",'הזנה לתנאי סף'!N437)</f>
        <v/>
      </c>
      <c r="L437" s="177" t="str">
        <f>IF($F437="","",'הזנה לתנאי סף'!O437)</f>
        <v/>
      </c>
      <c r="M437" s="177" t="str">
        <f>IF($F437="","",'הזנה לתנאי סף'!Q437)</f>
        <v/>
      </c>
      <c r="N437" s="349" t="str">
        <f>IF($F437="","",'תחום תמיכה א'!AE437)</f>
        <v/>
      </c>
      <c r="O437" s="178"/>
      <c r="P437" s="349" t="str">
        <f>IF($F437="","",'תחום תמיכה ב'!AC437)</f>
        <v/>
      </c>
      <c r="Q437" s="349" t="str">
        <f>IF($F437="","",IF('תחום תמיכה ג'!O437="",0,'תחום תמיכה ג'!O437))</f>
        <v/>
      </c>
      <c r="R437" s="349" t="str">
        <f t="shared" si="24"/>
        <v/>
      </c>
      <c r="S437" s="349" t="str">
        <f>IF($F437="","",'תחום תמיכה ב'!AE437)</f>
        <v/>
      </c>
      <c r="T437" s="349" t="str">
        <f>IF($F437="","",IF(Q437='תחום תמיכה ג'!$Q$2,'תחום תמיכה ג'!$Q$2,IFERROR(SUMIF(N437:R437,"&gt;0"),'תחום תמיכה ג'!$Q$2)))</f>
        <v/>
      </c>
      <c r="U437" s="349" t="str">
        <f>IF($F437="","",'הזנה לתנאי סף'!Y437)</f>
        <v/>
      </c>
      <c r="V437" s="350" t="str">
        <f>IF(F437="","",'הגבלה לסכום מבוקש '!AA437)</f>
        <v/>
      </c>
      <c r="W437" s="349" t="str">
        <f t="shared" si="25"/>
        <v/>
      </c>
      <c r="X437" s="349" t="str">
        <f>IF(F437="","",'הזנה לתנאי סף'!Z437)</f>
        <v/>
      </c>
      <c r="Y437" s="351"/>
      <c r="Z437" s="352" t="str">
        <f>IFERROR(VLOOKUP(G437*1,#REF!,3,0),"")</f>
        <v/>
      </c>
      <c r="AA437" s="349" t="str">
        <f>IF(OR($F437="",Z437=""),"",IFERROR(IF(Z437&gt;V437,MIN(Z437,T437)-V437,0),'תחום תמיכה ג'!$Q$2))</f>
        <v/>
      </c>
      <c r="AB437" s="353"/>
      <c r="AC437" s="260" t="str">
        <f t="shared" si="27"/>
        <v/>
      </c>
      <c r="AD437" s="358"/>
      <c r="AE437" s="180"/>
      <c r="AF437" s="355" t="str">
        <f>IF($C437="","",IFERROR(VLOOKUP($C437,גיליון1!$A:$E,2,0),"לא הגיש בקשה שוטפת"))</f>
        <v/>
      </c>
      <c r="AG437" s="355" t="str">
        <f>IF($C437="","",IFERROR(VLOOKUP($C437,גיליון1!$A:$E,3,0),"לא הגיש בקשה שוטפת"))</f>
        <v/>
      </c>
      <c r="AH437" s="355" t="str">
        <f>IF($C437="","",IFERROR(VLOOKUP($C437,גיליון1!$A:$E,4,0),"לא הגיש בקשה שוטפת"))</f>
        <v/>
      </c>
      <c r="AI437" s="355" t="str">
        <f>IF($C437="","",IFERROR(VLOOKUP($C437,גיליון1!$A:$E,5,0),"לא הגיש בקשה שוטפת"))</f>
        <v/>
      </c>
      <c r="AJ437" s="355">
        <f t="shared" si="26"/>
        <v>0</v>
      </c>
      <c r="AK437" s="15"/>
      <c r="AL437" s="15" t="s">
        <v>250</v>
      </c>
    </row>
    <row r="438" spans="1:38" x14ac:dyDescent="0.25">
      <c r="A438" s="346" t="str">
        <f>'הזנה לתנאי סף'!B438</f>
        <v/>
      </c>
      <c r="B438" s="347" t="str">
        <f>IF($F438="","",'הזנה לתנאי סף'!C438)</f>
        <v/>
      </c>
      <c r="C438" s="347" t="str">
        <f>IF($F438="","",'הזנה לתנאי סף'!D438)</f>
        <v/>
      </c>
      <c r="D438" s="347" t="str">
        <f>IF($F438="","",'הזנה לתנאי סף'!E438)</f>
        <v/>
      </c>
      <c r="E438" s="348" t="str">
        <f>IF($F438="","",'הזנה לתנאי סף'!F438)</f>
        <v/>
      </c>
      <c r="F438" s="348" t="str">
        <f>IF('הזנה לתנאי סף'!BL438=1,'הזנה לתנאי סף'!G438,"")</f>
        <v/>
      </c>
      <c r="G438" s="348" t="str">
        <f>IF($F438="","",'הזנה לתנאי סף'!H438)</f>
        <v/>
      </c>
      <c r="H438" s="348" t="str">
        <f>IF($F438="","",'הזנה לתנאי סף'!I438)</f>
        <v/>
      </c>
      <c r="I438" s="349" t="str">
        <f>IF($F438="","",'הזנה לתנאי סף'!R438)</f>
        <v/>
      </c>
      <c r="J438" s="349" t="str">
        <f>IF($F438="","",'תחום תמיכה א'!P438)</f>
        <v/>
      </c>
      <c r="K438" s="177" t="str">
        <f>IF($F438="","",'הזנה לתנאי סף'!N438)</f>
        <v/>
      </c>
      <c r="L438" s="177" t="str">
        <f>IF($F438="","",'הזנה לתנאי סף'!O438)</f>
        <v/>
      </c>
      <c r="M438" s="177" t="str">
        <f>IF($F438="","",'הזנה לתנאי סף'!Q438)</f>
        <v/>
      </c>
      <c r="N438" s="349" t="str">
        <f>IF($F438="","",'תחום תמיכה א'!AE438)</f>
        <v/>
      </c>
      <c r="O438" s="178"/>
      <c r="P438" s="349" t="str">
        <f>IF($F438="","",'תחום תמיכה ב'!AC438)</f>
        <v/>
      </c>
      <c r="Q438" s="349" t="str">
        <f>IF($F438="","",IF('תחום תמיכה ג'!O438="",0,'תחום תמיכה ג'!O438))</f>
        <v/>
      </c>
      <c r="R438" s="349" t="str">
        <f t="shared" si="24"/>
        <v/>
      </c>
      <c r="S438" s="349" t="str">
        <f>IF($F438="","",'תחום תמיכה ב'!AE438)</f>
        <v/>
      </c>
      <c r="T438" s="349" t="str">
        <f>IF($F438="","",IF(Q438='תחום תמיכה ג'!$Q$2,'תחום תמיכה ג'!$Q$2,IFERROR(SUMIF(N438:R438,"&gt;0"),'תחום תמיכה ג'!$Q$2)))</f>
        <v/>
      </c>
      <c r="U438" s="349" t="str">
        <f>IF($F438="","",'הזנה לתנאי סף'!Y438)</f>
        <v/>
      </c>
      <c r="V438" s="350" t="str">
        <f>IF(F438="","",'הגבלה לסכום מבוקש '!AA438)</f>
        <v/>
      </c>
      <c r="W438" s="349" t="str">
        <f t="shared" si="25"/>
        <v/>
      </c>
      <c r="X438" s="349" t="str">
        <f>IF(F438="","",'הזנה לתנאי סף'!Z438)</f>
        <v/>
      </c>
      <c r="Y438" s="351"/>
      <c r="Z438" s="352" t="str">
        <f>IFERROR(VLOOKUP(G438*1,#REF!,3,0),"")</f>
        <v/>
      </c>
      <c r="AA438" s="349" t="str">
        <f>IF(OR($F438="",Z438=""),"",IFERROR(IF(Z438&gt;V438,MIN(Z438,T438)-V438,0),'תחום תמיכה ג'!$Q$2))</f>
        <v/>
      </c>
      <c r="AB438" s="353"/>
      <c r="AC438" s="260" t="str">
        <f t="shared" si="27"/>
        <v/>
      </c>
      <c r="AD438" s="358"/>
      <c r="AE438" s="180"/>
      <c r="AF438" s="355" t="str">
        <f>IF($C438="","",IFERROR(VLOOKUP($C438,גיליון1!$A:$E,2,0),"לא הגיש בקשה שוטפת"))</f>
        <v/>
      </c>
      <c r="AG438" s="355" t="str">
        <f>IF($C438="","",IFERROR(VLOOKUP($C438,גיליון1!$A:$E,3,0),"לא הגיש בקשה שוטפת"))</f>
        <v/>
      </c>
      <c r="AH438" s="355" t="str">
        <f>IF($C438="","",IFERROR(VLOOKUP($C438,גיליון1!$A:$E,4,0),"לא הגיש בקשה שוטפת"))</f>
        <v/>
      </c>
      <c r="AI438" s="355" t="str">
        <f>IF($C438="","",IFERROR(VLOOKUP($C438,גיליון1!$A:$E,5,0),"לא הגיש בקשה שוטפת"))</f>
        <v/>
      </c>
      <c r="AJ438" s="355">
        <f t="shared" si="26"/>
        <v>0</v>
      </c>
      <c r="AK438" s="15"/>
      <c r="AL438" s="15" t="s">
        <v>250</v>
      </c>
    </row>
    <row r="439" spans="1:38" x14ac:dyDescent="0.25">
      <c r="A439" s="346" t="str">
        <f>'הזנה לתנאי סף'!B439</f>
        <v/>
      </c>
      <c r="B439" s="347" t="str">
        <f>IF($F439="","",'הזנה לתנאי סף'!C439)</f>
        <v/>
      </c>
      <c r="C439" s="347" t="str">
        <f>IF($F439="","",'הזנה לתנאי סף'!D439)</f>
        <v/>
      </c>
      <c r="D439" s="347" t="str">
        <f>IF($F439="","",'הזנה לתנאי סף'!E439)</f>
        <v/>
      </c>
      <c r="E439" s="348" t="str">
        <f>IF($F439="","",'הזנה לתנאי סף'!F439)</f>
        <v/>
      </c>
      <c r="F439" s="348" t="str">
        <f>IF('הזנה לתנאי סף'!BL439=1,'הזנה לתנאי סף'!G439,"")</f>
        <v/>
      </c>
      <c r="G439" s="348" t="str">
        <f>IF($F439="","",'הזנה לתנאי סף'!H439)</f>
        <v/>
      </c>
      <c r="H439" s="348" t="str">
        <f>IF($F439="","",'הזנה לתנאי סף'!I439)</f>
        <v/>
      </c>
      <c r="I439" s="349" t="str">
        <f>IF($F439="","",'הזנה לתנאי סף'!R439)</f>
        <v/>
      </c>
      <c r="J439" s="349" t="str">
        <f>IF($F439="","",'תחום תמיכה א'!P439)</f>
        <v/>
      </c>
      <c r="K439" s="177" t="str">
        <f>IF($F439="","",'הזנה לתנאי סף'!N439)</f>
        <v/>
      </c>
      <c r="L439" s="177" t="str">
        <f>IF($F439="","",'הזנה לתנאי סף'!O439)</f>
        <v/>
      </c>
      <c r="M439" s="177" t="str">
        <f>IF($F439="","",'הזנה לתנאי סף'!Q439)</f>
        <v/>
      </c>
      <c r="N439" s="349" t="str">
        <f>IF($F439="","",'תחום תמיכה א'!AE439)</f>
        <v/>
      </c>
      <c r="O439" s="178"/>
      <c r="P439" s="349" t="str">
        <f>IF($F439="","",'תחום תמיכה ב'!AC439)</f>
        <v/>
      </c>
      <c r="Q439" s="349" t="str">
        <f>IF($F439="","",IF('תחום תמיכה ג'!O439="",0,'תחום תמיכה ג'!O439))</f>
        <v/>
      </c>
      <c r="R439" s="349" t="str">
        <f t="shared" si="24"/>
        <v/>
      </c>
      <c r="S439" s="349" t="str">
        <f>IF($F439="","",'תחום תמיכה ב'!AE439)</f>
        <v/>
      </c>
      <c r="T439" s="349" t="str">
        <f>IF($F439="","",IF(Q439='תחום תמיכה ג'!$Q$2,'תחום תמיכה ג'!$Q$2,IFERROR(SUMIF(N439:R439,"&gt;0"),'תחום תמיכה ג'!$Q$2)))</f>
        <v/>
      </c>
      <c r="U439" s="349" t="str">
        <f>IF($F439="","",'הזנה לתנאי סף'!Y439)</f>
        <v/>
      </c>
      <c r="V439" s="350" t="str">
        <f>IF(F439="","",'הגבלה לסכום מבוקש '!AA439)</f>
        <v/>
      </c>
      <c r="W439" s="349" t="str">
        <f t="shared" si="25"/>
        <v/>
      </c>
      <c r="X439" s="349" t="str">
        <f>IF(F439="","",'הזנה לתנאי סף'!Z439)</f>
        <v/>
      </c>
      <c r="Y439" s="351"/>
      <c r="Z439" s="352" t="str">
        <f>IFERROR(VLOOKUP(G439*1,#REF!,3,0),"")</f>
        <v/>
      </c>
      <c r="AA439" s="349" t="str">
        <f>IF(OR($F439="",Z439=""),"",IFERROR(IF(Z439&gt;V439,MIN(Z439,T439)-V439,0),'תחום תמיכה ג'!$Q$2))</f>
        <v/>
      </c>
      <c r="AB439" s="353"/>
      <c r="AC439" s="260" t="str">
        <f t="shared" si="27"/>
        <v/>
      </c>
      <c r="AD439" s="358"/>
      <c r="AE439" s="180"/>
      <c r="AF439" s="355" t="str">
        <f>IF($C439="","",IFERROR(VLOOKUP($C439,גיליון1!$A:$E,2,0),"לא הגיש בקשה שוטפת"))</f>
        <v/>
      </c>
      <c r="AG439" s="355" t="str">
        <f>IF($C439="","",IFERROR(VLOOKUP($C439,גיליון1!$A:$E,3,0),"לא הגיש בקשה שוטפת"))</f>
        <v/>
      </c>
      <c r="AH439" s="355" t="str">
        <f>IF($C439="","",IFERROR(VLOOKUP($C439,גיליון1!$A:$E,4,0),"לא הגיש בקשה שוטפת"))</f>
        <v/>
      </c>
      <c r="AI439" s="355" t="str">
        <f>IF($C439="","",IFERROR(VLOOKUP($C439,גיליון1!$A:$E,5,0),"לא הגיש בקשה שוטפת"))</f>
        <v/>
      </c>
      <c r="AJ439" s="355">
        <f t="shared" si="26"/>
        <v>0</v>
      </c>
      <c r="AK439" s="15"/>
      <c r="AL439" s="15" t="s">
        <v>250</v>
      </c>
    </row>
    <row r="440" spans="1:38" x14ac:dyDescent="0.25">
      <c r="A440" s="346" t="str">
        <f>'הזנה לתנאי סף'!B440</f>
        <v/>
      </c>
      <c r="B440" s="347" t="str">
        <f>IF($F440="","",'הזנה לתנאי סף'!C440)</f>
        <v/>
      </c>
      <c r="C440" s="347" t="str">
        <f>IF($F440="","",'הזנה לתנאי סף'!D440)</f>
        <v/>
      </c>
      <c r="D440" s="347" t="str">
        <f>IF($F440="","",'הזנה לתנאי סף'!E440)</f>
        <v/>
      </c>
      <c r="E440" s="348" t="str">
        <f>IF($F440="","",'הזנה לתנאי סף'!F440)</f>
        <v/>
      </c>
      <c r="F440" s="348" t="str">
        <f>IF('הזנה לתנאי סף'!BL440=1,'הזנה לתנאי סף'!G440,"")</f>
        <v/>
      </c>
      <c r="G440" s="348" t="str">
        <f>IF($F440="","",'הזנה לתנאי סף'!H440)</f>
        <v/>
      </c>
      <c r="H440" s="348" t="str">
        <f>IF($F440="","",'הזנה לתנאי סף'!I440)</f>
        <v/>
      </c>
      <c r="I440" s="349" t="str">
        <f>IF($F440="","",'הזנה לתנאי סף'!R440)</f>
        <v/>
      </c>
      <c r="J440" s="349" t="str">
        <f>IF($F440="","",'תחום תמיכה א'!P440)</f>
        <v/>
      </c>
      <c r="K440" s="177" t="str">
        <f>IF($F440="","",'הזנה לתנאי סף'!N440)</f>
        <v/>
      </c>
      <c r="L440" s="177" t="str">
        <f>IF($F440="","",'הזנה לתנאי סף'!O440)</f>
        <v/>
      </c>
      <c r="M440" s="177" t="str">
        <f>IF($F440="","",'הזנה לתנאי סף'!Q440)</f>
        <v/>
      </c>
      <c r="N440" s="349" t="str">
        <f>IF($F440="","",'תחום תמיכה א'!AE440)</f>
        <v/>
      </c>
      <c r="O440" s="178"/>
      <c r="P440" s="349" t="str">
        <f>IF($F440="","",'תחום תמיכה ב'!AC440)</f>
        <v/>
      </c>
      <c r="Q440" s="349" t="str">
        <f>IF($F440="","",IF('תחום תמיכה ג'!O440="",0,'תחום תמיכה ג'!O440))</f>
        <v/>
      </c>
      <c r="R440" s="349" t="str">
        <f t="shared" si="24"/>
        <v/>
      </c>
      <c r="S440" s="349" t="str">
        <f>IF($F440="","",'תחום תמיכה ב'!AE440)</f>
        <v/>
      </c>
      <c r="T440" s="349" t="str">
        <f>IF($F440="","",IF(Q440='תחום תמיכה ג'!$Q$2,'תחום תמיכה ג'!$Q$2,IFERROR(SUMIF(N440:R440,"&gt;0"),'תחום תמיכה ג'!$Q$2)))</f>
        <v/>
      </c>
      <c r="U440" s="349" t="str">
        <f>IF($F440="","",'הזנה לתנאי סף'!Y440)</f>
        <v/>
      </c>
      <c r="V440" s="350" t="str">
        <f>IF(F440="","",'הגבלה לסכום מבוקש '!AA440)</f>
        <v/>
      </c>
      <c r="W440" s="349" t="str">
        <f t="shared" si="25"/>
        <v/>
      </c>
      <c r="X440" s="349" t="str">
        <f>IF(F440="","",'הזנה לתנאי סף'!Z440)</f>
        <v/>
      </c>
      <c r="Y440" s="351"/>
      <c r="Z440" s="352" t="str">
        <f>IFERROR(VLOOKUP(G440*1,#REF!,3,0),"")</f>
        <v/>
      </c>
      <c r="AA440" s="349" t="str">
        <f>IF(OR($F440="",Z440=""),"",IFERROR(IF(Z440&gt;V440,MIN(Z440,T440)-V440,0),'תחום תמיכה ג'!$Q$2))</f>
        <v/>
      </c>
      <c r="AB440" s="353"/>
      <c r="AC440" s="260" t="str">
        <f t="shared" si="27"/>
        <v/>
      </c>
      <c r="AD440" s="358"/>
      <c r="AE440" s="180"/>
      <c r="AF440" s="355" t="str">
        <f>IF($C440="","",IFERROR(VLOOKUP($C440,גיליון1!$A:$E,2,0),"לא הגיש בקשה שוטפת"))</f>
        <v/>
      </c>
      <c r="AG440" s="355" t="str">
        <f>IF($C440="","",IFERROR(VLOOKUP($C440,גיליון1!$A:$E,3,0),"לא הגיש בקשה שוטפת"))</f>
        <v/>
      </c>
      <c r="AH440" s="355" t="str">
        <f>IF($C440="","",IFERROR(VLOOKUP($C440,גיליון1!$A:$E,4,0),"לא הגיש בקשה שוטפת"))</f>
        <v/>
      </c>
      <c r="AI440" s="355" t="str">
        <f>IF($C440="","",IFERROR(VLOOKUP($C440,גיליון1!$A:$E,5,0),"לא הגיש בקשה שוטפת"))</f>
        <v/>
      </c>
      <c r="AJ440" s="355">
        <f t="shared" si="26"/>
        <v>0</v>
      </c>
      <c r="AK440" s="15"/>
      <c r="AL440" s="15" t="s">
        <v>250</v>
      </c>
    </row>
    <row r="441" spans="1:38" x14ac:dyDescent="0.25">
      <c r="A441" s="346" t="str">
        <f>'הזנה לתנאי סף'!B441</f>
        <v/>
      </c>
      <c r="B441" s="347" t="str">
        <f>IF($F441="","",'הזנה לתנאי סף'!C441)</f>
        <v/>
      </c>
      <c r="C441" s="347" t="str">
        <f>IF($F441="","",'הזנה לתנאי סף'!D441)</f>
        <v/>
      </c>
      <c r="D441" s="347" t="str">
        <f>IF($F441="","",'הזנה לתנאי סף'!E441)</f>
        <v/>
      </c>
      <c r="E441" s="348" t="str">
        <f>IF($F441="","",'הזנה לתנאי סף'!F441)</f>
        <v/>
      </c>
      <c r="F441" s="348" t="str">
        <f>IF('הזנה לתנאי סף'!BL441=1,'הזנה לתנאי סף'!G441,"")</f>
        <v/>
      </c>
      <c r="G441" s="348" t="str">
        <f>IF($F441="","",'הזנה לתנאי סף'!H441)</f>
        <v/>
      </c>
      <c r="H441" s="348" t="str">
        <f>IF($F441="","",'הזנה לתנאי סף'!I441)</f>
        <v/>
      </c>
      <c r="I441" s="349" t="str">
        <f>IF($F441="","",'הזנה לתנאי סף'!R441)</f>
        <v/>
      </c>
      <c r="J441" s="349" t="str">
        <f>IF($F441="","",'תחום תמיכה א'!P441)</f>
        <v/>
      </c>
      <c r="K441" s="177" t="str">
        <f>IF($F441="","",'הזנה לתנאי סף'!N441)</f>
        <v/>
      </c>
      <c r="L441" s="177" t="str">
        <f>IF($F441="","",'הזנה לתנאי סף'!O441)</f>
        <v/>
      </c>
      <c r="M441" s="177" t="str">
        <f>IF($F441="","",'הזנה לתנאי סף'!Q441)</f>
        <v/>
      </c>
      <c r="N441" s="349" t="str">
        <f>IF($F441="","",'תחום תמיכה א'!AE441)</f>
        <v/>
      </c>
      <c r="O441" s="178"/>
      <c r="P441" s="349" t="str">
        <f>IF($F441="","",'תחום תמיכה ב'!AC441)</f>
        <v/>
      </c>
      <c r="Q441" s="349" t="str">
        <f>IF($F441="","",IF('תחום תמיכה ג'!O441="",0,'תחום תמיכה ג'!O441))</f>
        <v/>
      </c>
      <c r="R441" s="349" t="str">
        <f t="shared" si="24"/>
        <v/>
      </c>
      <c r="S441" s="349" t="str">
        <f>IF($F441="","",'תחום תמיכה ב'!AE441)</f>
        <v/>
      </c>
      <c r="T441" s="349" t="str">
        <f>IF($F441="","",IF(Q441='תחום תמיכה ג'!$Q$2,'תחום תמיכה ג'!$Q$2,IFERROR(SUMIF(N441:R441,"&gt;0"),'תחום תמיכה ג'!$Q$2)))</f>
        <v/>
      </c>
      <c r="U441" s="349" t="str">
        <f>IF($F441="","",'הזנה לתנאי סף'!Y441)</f>
        <v/>
      </c>
      <c r="V441" s="350" t="str">
        <f>IF(F441="","",'הגבלה לסכום מבוקש '!AA441)</f>
        <v/>
      </c>
      <c r="W441" s="349" t="str">
        <f t="shared" si="25"/>
        <v/>
      </c>
      <c r="X441" s="349" t="str">
        <f>IF(F441="","",'הזנה לתנאי סף'!Z441)</f>
        <v/>
      </c>
      <c r="Y441" s="351"/>
      <c r="Z441" s="352" t="str">
        <f>IFERROR(VLOOKUP(G441*1,#REF!,3,0),"")</f>
        <v/>
      </c>
      <c r="AA441" s="349" t="str">
        <f>IF(OR($F441="",Z441=""),"",IFERROR(IF(Z441&gt;V441,MIN(Z441,T441)-V441,0),'תחום תמיכה ג'!$Q$2))</f>
        <v/>
      </c>
      <c r="AB441" s="353"/>
      <c r="AC441" s="260" t="str">
        <f t="shared" si="27"/>
        <v/>
      </c>
      <c r="AD441" s="358"/>
      <c r="AE441" s="180"/>
      <c r="AF441" s="355" t="str">
        <f>IF($C441="","",IFERROR(VLOOKUP($C441,גיליון1!$A:$E,2,0),"לא הגיש בקשה שוטפת"))</f>
        <v/>
      </c>
      <c r="AG441" s="355" t="str">
        <f>IF($C441="","",IFERROR(VLOOKUP($C441,גיליון1!$A:$E,3,0),"לא הגיש בקשה שוטפת"))</f>
        <v/>
      </c>
      <c r="AH441" s="355" t="str">
        <f>IF($C441="","",IFERROR(VLOOKUP($C441,גיליון1!$A:$E,4,0),"לא הגיש בקשה שוטפת"))</f>
        <v/>
      </c>
      <c r="AI441" s="355" t="str">
        <f>IF($C441="","",IFERROR(VLOOKUP($C441,גיליון1!$A:$E,5,0),"לא הגיש בקשה שוטפת"))</f>
        <v/>
      </c>
      <c r="AJ441" s="355">
        <f t="shared" si="26"/>
        <v>0</v>
      </c>
      <c r="AK441" s="15"/>
      <c r="AL441" s="15" t="s">
        <v>250</v>
      </c>
    </row>
    <row r="442" spans="1:38" x14ac:dyDescent="0.25">
      <c r="A442" s="346" t="str">
        <f>'הזנה לתנאי סף'!B442</f>
        <v/>
      </c>
      <c r="B442" s="347" t="str">
        <f>IF($F442="","",'הזנה לתנאי סף'!C442)</f>
        <v/>
      </c>
      <c r="C442" s="347" t="str">
        <f>IF($F442="","",'הזנה לתנאי סף'!D442)</f>
        <v/>
      </c>
      <c r="D442" s="347" t="str">
        <f>IF($F442="","",'הזנה לתנאי סף'!E442)</f>
        <v/>
      </c>
      <c r="E442" s="348" t="str">
        <f>IF($F442="","",'הזנה לתנאי סף'!F442)</f>
        <v/>
      </c>
      <c r="F442" s="348" t="str">
        <f>IF('הזנה לתנאי סף'!BL442=1,'הזנה לתנאי סף'!G442,"")</f>
        <v/>
      </c>
      <c r="G442" s="348" t="str">
        <f>IF($F442="","",'הזנה לתנאי סף'!H442)</f>
        <v/>
      </c>
      <c r="H442" s="348" t="str">
        <f>IF($F442="","",'הזנה לתנאי סף'!I442)</f>
        <v/>
      </c>
      <c r="I442" s="349" t="str">
        <f>IF($F442="","",'הזנה לתנאי סף'!R442)</f>
        <v/>
      </c>
      <c r="J442" s="349" t="str">
        <f>IF($F442="","",'תחום תמיכה א'!P442)</f>
        <v/>
      </c>
      <c r="K442" s="177" t="str">
        <f>IF($F442="","",'הזנה לתנאי סף'!N442)</f>
        <v/>
      </c>
      <c r="L442" s="177" t="str">
        <f>IF($F442="","",'הזנה לתנאי סף'!O442)</f>
        <v/>
      </c>
      <c r="M442" s="177" t="str">
        <f>IF($F442="","",'הזנה לתנאי סף'!Q442)</f>
        <v/>
      </c>
      <c r="N442" s="349" t="str">
        <f>IF($F442="","",'תחום תמיכה א'!AE442)</f>
        <v/>
      </c>
      <c r="O442" s="178"/>
      <c r="P442" s="349" t="str">
        <f>IF($F442="","",'תחום תמיכה ב'!AC442)</f>
        <v/>
      </c>
      <c r="Q442" s="349" t="str">
        <f>IF($F442="","",IF('תחום תמיכה ג'!O442="",0,'תחום תמיכה ג'!O442))</f>
        <v/>
      </c>
      <c r="R442" s="349" t="str">
        <f t="shared" si="24"/>
        <v/>
      </c>
      <c r="S442" s="349" t="str">
        <f>IF($F442="","",'תחום תמיכה ב'!AE442)</f>
        <v/>
      </c>
      <c r="T442" s="349" t="str">
        <f>IF($F442="","",IF(Q442='תחום תמיכה ג'!$Q$2,'תחום תמיכה ג'!$Q$2,IFERROR(SUMIF(N442:R442,"&gt;0"),'תחום תמיכה ג'!$Q$2)))</f>
        <v/>
      </c>
      <c r="U442" s="349" t="str">
        <f>IF($F442="","",'הזנה לתנאי סף'!Y442)</f>
        <v/>
      </c>
      <c r="V442" s="350" t="str">
        <f>IF(F442="","",'הגבלה לסכום מבוקש '!AA442)</f>
        <v/>
      </c>
      <c r="W442" s="349" t="str">
        <f t="shared" si="25"/>
        <v/>
      </c>
      <c r="X442" s="349" t="str">
        <f>IF(F442="","",'הזנה לתנאי סף'!Z442)</f>
        <v/>
      </c>
      <c r="Y442" s="351"/>
      <c r="Z442" s="352" t="str">
        <f>IFERROR(VLOOKUP(G442*1,#REF!,3,0),"")</f>
        <v/>
      </c>
      <c r="AA442" s="349" t="str">
        <f>IF(OR($F442="",Z442=""),"",IFERROR(IF(Z442&gt;V442,MIN(Z442,T442)-V442,0),'תחום תמיכה ג'!$Q$2))</f>
        <v/>
      </c>
      <c r="AB442" s="353"/>
      <c r="AC442" s="260" t="str">
        <f t="shared" si="27"/>
        <v/>
      </c>
      <c r="AD442" s="358"/>
      <c r="AE442" s="180"/>
      <c r="AF442" s="355" t="str">
        <f>IF($C442="","",IFERROR(VLOOKUP($C442,גיליון1!$A:$E,2,0),"לא הגיש בקשה שוטפת"))</f>
        <v/>
      </c>
      <c r="AG442" s="355" t="str">
        <f>IF($C442="","",IFERROR(VLOOKUP($C442,גיליון1!$A:$E,3,0),"לא הגיש בקשה שוטפת"))</f>
        <v/>
      </c>
      <c r="AH442" s="355" t="str">
        <f>IF($C442="","",IFERROR(VLOOKUP($C442,גיליון1!$A:$E,4,0),"לא הגיש בקשה שוטפת"))</f>
        <v/>
      </c>
      <c r="AI442" s="355" t="str">
        <f>IF($C442="","",IFERROR(VLOOKUP($C442,גיליון1!$A:$E,5,0),"לא הגיש בקשה שוטפת"))</f>
        <v/>
      </c>
      <c r="AJ442" s="355">
        <f t="shared" si="26"/>
        <v>0</v>
      </c>
      <c r="AK442" s="15"/>
      <c r="AL442" s="15" t="s">
        <v>250</v>
      </c>
    </row>
    <row r="443" spans="1:38" x14ac:dyDescent="0.25">
      <c r="A443" s="346" t="str">
        <f>'הזנה לתנאי סף'!B443</f>
        <v/>
      </c>
      <c r="B443" s="347" t="str">
        <f>IF($F443="","",'הזנה לתנאי סף'!C443)</f>
        <v/>
      </c>
      <c r="C443" s="347" t="str">
        <f>IF($F443="","",'הזנה לתנאי סף'!D443)</f>
        <v/>
      </c>
      <c r="D443" s="347" t="str">
        <f>IF($F443="","",'הזנה לתנאי סף'!E443)</f>
        <v/>
      </c>
      <c r="E443" s="348" t="str">
        <f>IF($F443="","",'הזנה לתנאי סף'!F443)</f>
        <v/>
      </c>
      <c r="F443" s="348" t="str">
        <f>IF('הזנה לתנאי סף'!BL443=1,'הזנה לתנאי סף'!G443,"")</f>
        <v/>
      </c>
      <c r="G443" s="348" t="str">
        <f>IF($F443="","",'הזנה לתנאי סף'!H443)</f>
        <v/>
      </c>
      <c r="H443" s="348" t="str">
        <f>IF($F443="","",'הזנה לתנאי סף'!I443)</f>
        <v/>
      </c>
      <c r="I443" s="349" t="str">
        <f>IF($F443="","",'הזנה לתנאי סף'!R443)</f>
        <v/>
      </c>
      <c r="J443" s="349" t="str">
        <f>IF($F443="","",'תחום תמיכה א'!P443)</f>
        <v/>
      </c>
      <c r="K443" s="177" t="str">
        <f>IF($F443="","",'הזנה לתנאי סף'!N443)</f>
        <v/>
      </c>
      <c r="L443" s="177" t="str">
        <f>IF($F443="","",'הזנה לתנאי סף'!O443)</f>
        <v/>
      </c>
      <c r="M443" s="177" t="str">
        <f>IF($F443="","",'הזנה לתנאי סף'!Q443)</f>
        <v/>
      </c>
      <c r="N443" s="349" t="str">
        <f>IF($F443="","",'תחום תמיכה א'!AE443)</f>
        <v/>
      </c>
      <c r="O443" s="178"/>
      <c r="P443" s="349" t="str">
        <f>IF($F443="","",'תחום תמיכה ב'!AC443)</f>
        <v/>
      </c>
      <c r="Q443" s="349" t="str">
        <f>IF($F443="","",IF('תחום תמיכה ג'!O443="",0,'תחום תמיכה ג'!O443))</f>
        <v/>
      </c>
      <c r="R443" s="349" t="str">
        <f t="shared" si="24"/>
        <v/>
      </c>
      <c r="S443" s="349" t="str">
        <f>IF($F443="","",'תחום תמיכה ב'!AE443)</f>
        <v/>
      </c>
      <c r="T443" s="349" t="str">
        <f>IF($F443="","",IF(Q443='תחום תמיכה ג'!$Q$2,'תחום תמיכה ג'!$Q$2,IFERROR(SUMIF(N443:R443,"&gt;0"),'תחום תמיכה ג'!$Q$2)))</f>
        <v/>
      </c>
      <c r="U443" s="349" t="str">
        <f>IF($F443="","",'הזנה לתנאי סף'!Y443)</f>
        <v/>
      </c>
      <c r="V443" s="350" t="str">
        <f>IF(F443="","",'הגבלה לסכום מבוקש '!AA443)</f>
        <v/>
      </c>
      <c r="W443" s="349" t="str">
        <f t="shared" si="25"/>
        <v/>
      </c>
      <c r="X443" s="349" t="str">
        <f>IF(F443="","",'הזנה לתנאי סף'!Z443)</f>
        <v/>
      </c>
      <c r="Y443" s="351"/>
      <c r="Z443" s="352" t="str">
        <f>IFERROR(VLOOKUP(G443*1,#REF!,3,0),"")</f>
        <v/>
      </c>
      <c r="AA443" s="349" t="str">
        <f>IF(OR($F443="",Z443=""),"",IFERROR(IF(Z443&gt;V443,MIN(Z443,T443)-V443,0),'תחום תמיכה ג'!$Q$2))</f>
        <v/>
      </c>
      <c r="AB443" s="353"/>
      <c r="AC443" s="260" t="str">
        <f t="shared" si="27"/>
        <v/>
      </c>
      <c r="AD443" s="358"/>
      <c r="AE443" s="180"/>
      <c r="AF443" s="355" t="str">
        <f>IF($C443="","",IFERROR(VLOOKUP($C443,גיליון1!$A:$E,2,0),"לא הגיש בקשה שוטפת"))</f>
        <v/>
      </c>
      <c r="AG443" s="355" t="str">
        <f>IF($C443="","",IFERROR(VLOOKUP($C443,גיליון1!$A:$E,3,0),"לא הגיש בקשה שוטפת"))</f>
        <v/>
      </c>
      <c r="AH443" s="355" t="str">
        <f>IF($C443="","",IFERROR(VLOOKUP($C443,גיליון1!$A:$E,4,0),"לא הגיש בקשה שוטפת"))</f>
        <v/>
      </c>
      <c r="AI443" s="355" t="str">
        <f>IF($C443="","",IFERROR(VLOOKUP($C443,גיליון1!$A:$E,5,0),"לא הגיש בקשה שוטפת"))</f>
        <v/>
      </c>
      <c r="AJ443" s="355">
        <f t="shared" si="26"/>
        <v>0</v>
      </c>
      <c r="AK443" s="15"/>
      <c r="AL443" s="15" t="s">
        <v>250</v>
      </c>
    </row>
    <row r="444" spans="1:38" x14ac:dyDescent="0.25">
      <c r="A444" s="346" t="str">
        <f>'הזנה לתנאי סף'!B444</f>
        <v/>
      </c>
      <c r="B444" s="347" t="str">
        <f>IF($F444="","",'הזנה לתנאי סף'!C444)</f>
        <v/>
      </c>
      <c r="C444" s="347" t="str">
        <f>IF($F444="","",'הזנה לתנאי סף'!D444)</f>
        <v/>
      </c>
      <c r="D444" s="347" t="str">
        <f>IF($F444="","",'הזנה לתנאי סף'!E444)</f>
        <v/>
      </c>
      <c r="E444" s="348" t="str">
        <f>IF($F444="","",'הזנה לתנאי סף'!F444)</f>
        <v/>
      </c>
      <c r="F444" s="348" t="str">
        <f>IF('הזנה לתנאי סף'!BL444=1,'הזנה לתנאי סף'!G444,"")</f>
        <v/>
      </c>
      <c r="G444" s="348" t="str">
        <f>IF($F444="","",'הזנה לתנאי סף'!H444)</f>
        <v/>
      </c>
      <c r="H444" s="348" t="str">
        <f>IF($F444="","",'הזנה לתנאי סף'!I444)</f>
        <v/>
      </c>
      <c r="I444" s="349" t="str">
        <f>IF($F444="","",'הזנה לתנאי סף'!R444)</f>
        <v/>
      </c>
      <c r="J444" s="349" t="str">
        <f>IF($F444="","",'תחום תמיכה א'!P444)</f>
        <v/>
      </c>
      <c r="K444" s="177" t="str">
        <f>IF($F444="","",'הזנה לתנאי סף'!N444)</f>
        <v/>
      </c>
      <c r="L444" s="177" t="str">
        <f>IF($F444="","",'הזנה לתנאי סף'!O444)</f>
        <v/>
      </c>
      <c r="M444" s="177" t="str">
        <f>IF($F444="","",'הזנה לתנאי סף'!Q444)</f>
        <v/>
      </c>
      <c r="N444" s="349" t="str">
        <f>IF($F444="","",'תחום תמיכה א'!AE444)</f>
        <v/>
      </c>
      <c r="O444" s="178"/>
      <c r="P444" s="349" t="str">
        <f>IF($F444="","",'תחום תמיכה ב'!AC444)</f>
        <v/>
      </c>
      <c r="Q444" s="349" t="str">
        <f>IF($F444="","",IF('תחום תמיכה ג'!O444="",0,'תחום תמיכה ג'!O444))</f>
        <v/>
      </c>
      <c r="R444" s="349" t="str">
        <f t="shared" si="24"/>
        <v/>
      </c>
      <c r="S444" s="349" t="str">
        <f>IF($F444="","",'תחום תמיכה ב'!AE444)</f>
        <v/>
      </c>
      <c r="T444" s="349" t="str">
        <f>IF($F444="","",IF(Q444='תחום תמיכה ג'!$Q$2,'תחום תמיכה ג'!$Q$2,IFERROR(SUMIF(N444:R444,"&gt;0"),'תחום תמיכה ג'!$Q$2)))</f>
        <v/>
      </c>
      <c r="U444" s="349" t="str">
        <f>IF($F444="","",'הזנה לתנאי סף'!Y444)</f>
        <v/>
      </c>
      <c r="V444" s="350" t="str">
        <f>IF(F444="","",'הגבלה לסכום מבוקש '!AA444)</f>
        <v/>
      </c>
      <c r="W444" s="349" t="str">
        <f t="shared" si="25"/>
        <v/>
      </c>
      <c r="X444" s="349" t="str">
        <f>IF(F444="","",'הזנה לתנאי סף'!Z444)</f>
        <v/>
      </c>
      <c r="Y444" s="351"/>
      <c r="Z444" s="352" t="str">
        <f>IFERROR(VLOOKUP(G444*1,#REF!,3,0),"")</f>
        <v/>
      </c>
      <c r="AA444" s="349" t="str">
        <f>IF(OR($F444="",Z444=""),"",IFERROR(IF(Z444&gt;V444,MIN(Z444,T444)-V444,0),'תחום תמיכה ג'!$Q$2))</f>
        <v/>
      </c>
      <c r="AB444" s="353"/>
      <c r="AC444" s="260" t="str">
        <f t="shared" si="27"/>
        <v/>
      </c>
      <c r="AD444" s="358"/>
      <c r="AE444" s="180"/>
      <c r="AF444" s="355" t="str">
        <f>IF($C444="","",IFERROR(VLOOKUP($C444,גיליון1!$A:$E,2,0),"לא הגיש בקשה שוטפת"))</f>
        <v/>
      </c>
      <c r="AG444" s="355" t="str">
        <f>IF($C444="","",IFERROR(VLOOKUP($C444,גיליון1!$A:$E,3,0),"לא הגיש בקשה שוטפת"))</f>
        <v/>
      </c>
      <c r="AH444" s="355" t="str">
        <f>IF($C444="","",IFERROR(VLOOKUP($C444,גיליון1!$A:$E,4,0),"לא הגיש בקשה שוטפת"))</f>
        <v/>
      </c>
      <c r="AI444" s="355" t="str">
        <f>IF($C444="","",IFERROR(VLOOKUP($C444,גיליון1!$A:$E,5,0),"לא הגיש בקשה שוטפת"))</f>
        <v/>
      </c>
      <c r="AJ444" s="355">
        <f t="shared" si="26"/>
        <v>0</v>
      </c>
      <c r="AK444" s="15"/>
      <c r="AL444" s="15" t="s">
        <v>250</v>
      </c>
    </row>
    <row r="445" spans="1:38" x14ac:dyDescent="0.25">
      <c r="A445" s="346" t="str">
        <f>'הזנה לתנאי סף'!B445</f>
        <v/>
      </c>
      <c r="B445" s="347" t="str">
        <f>IF($F445="","",'הזנה לתנאי סף'!C445)</f>
        <v/>
      </c>
      <c r="C445" s="347" t="str">
        <f>IF($F445="","",'הזנה לתנאי סף'!D445)</f>
        <v/>
      </c>
      <c r="D445" s="347" t="str">
        <f>IF($F445="","",'הזנה לתנאי סף'!E445)</f>
        <v/>
      </c>
      <c r="E445" s="348" t="str">
        <f>IF($F445="","",'הזנה לתנאי סף'!F445)</f>
        <v/>
      </c>
      <c r="F445" s="348" t="str">
        <f>IF('הזנה לתנאי סף'!BL445=1,'הזנה לתנאי סף'!G445,"")</f>
        <v/>
      </c>
      <c r="G445" s="348" t="str">
        <f>IF($F445="","",'הזנה לתנאי סף'!H445)</f>
        <v/>
      </c>
      <c r="H445" s="348" t="str">
        <f>IF($F445="","",'הזנה לתנאי סף'!I445)</f>
        <v/>
      </c>
      <c r="I445" s="349" t="str">
        <f>IF($F445="","",'הזנה לתנאי סף'!R445)</f>
        <v/>
      </c>
      <c r="J445" s="349" t="str">
        <f>IF($F445="","",'תחום תמיכה א'!P445)</f>
        <v/>
      </c>
      <c r="K445" s="177" t="str">
        <f>IF($F445="","",'הזנה לתנאי סף'!N445)</f>
        <v/>
      </c>
      <c r="L445" s="177" t="str">
        <f>IF($F445="","",'הזנה לתנאי סף'!O445)</f>
        <v/>
      </c>
      <c r="M445" s="177" t="str">
        <f>IF($F445="","",'הזנה לתנאי סף'!Q445)</f>
        <v/>
      </c>
      <c r="N445" s="349" t="str">
        <f>IF($F445="","",'תחום תמיכה א'!AE445)</f>
        <v/>
      </c>
      <c r="O445" s="178"/>
      <c r="P445" s="349" t="str">
        <f>IF($F445="","",'תחום תמיכה ב'!AC445)</f>
        <v/>
      </c>
      <c r="Q445" s="349" t="str">
        <f>IF($F445="","",IF('תחום תמיכה ג'!O445="",0,'תחום תמיכה ג'!O445))</f>
        <v/>
      </c>
      <c r="R445" s="349" t="str">
        <f t="shared" si="24"/>
        <v/>
      </c>
      <c r="S445" s="349" t="str">
        <f>IF($F445="","",'תחום תמיכה ב'!AE445)</f>
        <v/>
      </c>
      <c r="T445" s="349" t="str">
        <f>IF($F445="","",IF(Q445='תחום תמיכה ג'!$Q$2,'תחום תמיכה ג'!$Q$2,IFERROR(SUMIF(N445:R445,"&gt;0"),'תחום תמיכה ג'!$Q$2)))</f>
        <v/>
      </c>
      <c r="U445" s="349" t="str">
        <f>IF($F445="","",'הזנה לתנאי סף'!Y445)</f>
        <v/>
      </c>
      <c r="V445" s="350" t="str">
        <f>IF(F445="","",'הגבלה לסכום מבוקש '!AA445)</f>
        <v/>
      </c>
      <c r="W445" s="349" t="str">
        <f t="shared" si="25"/>
        <v/>
      </c>
      <c r="X445" s="349" t="str">
        <f>IF(F445="","",'הזנה לתנאי סף'!Z445)</f>
        <v/>
      </c>
      <c r="Y445" s="351"/>
      <c r="Z445" s="352" t="str">
        <f>IFERROR(VLOOKUP(G445*1,#REF!,3,0),"")</f>
        <v/>
      </c>
      <c r="AA445" s="349" t="str">
        <f>IF(OR($F445="",Z445=""),"",IFERROR(IF(Z445&gt;V445,MIN(Z445,T445)-V445,0),'תחום תמיכה ג'!$Q$2))</f>
        <v/>
      </c>
      <c r="AB445" s="353"/>
      <c r="AC445" s="260" t="str">
        <f t="shared" si="27"/>
        <v/>
      </c>
      <c r="AD445" s="358"/>
      <c r="AE445" s="180"/>
      <c r="AF445" s="355" t="str">
        <f>IF($C445="","",IFERROR(VLOOKUP($C445,גיליון1!$A:$E,2,0),"לא הגיש בקשה שוטפת"))</f>
        <v/>
      </c>
      <c r="AG445" s="355" t="str">
        <f>IF($C445="","",IFERROR(VLOOKUP($C445,גיליון1!$A:$E,3,0),"לא הגיש בקשה שוטפת"))</f>
        <v/>
      </c>
      <c r="AH445" s="355" t="str">
        <f>IF($C445="","",IFERROR(VLOOKUP($C445,גיליון1!$A:$E,4,0),"לא הגיש בקשה שוטפת"))</f>
        <v/>
      </c>
      <c r="AI445" s="355" t="str">
        <f>IF($C445="","",IFERROR(VLOOKUP($C445,גיליון1!$A:$E,5,0),"לא הגיש בקשה שוטפת"))</f>
        <v/>
      </c>
      <c r="AJ445" s="355">
        <f t="shared" si="26"/>
        <v>0</v>
      </c>
      <c r="AK445" s="15"/>
      <c r="AL445" s="15" t="s">
        <v>250</v>
      </c>
    </row>
    <row r="446" spans="1:38" x14ac:dyDescent="0.25">
      <c r="A446" s="346" t="str">
        <f>'הזנה לתנאי סף'!B446</f>
        <v/>
      </c>
      <c r="B446" s="347" t="str">
        <f>IF($F446="","",'הזנה לתנאי סף'!C446)</f>
        <v/>
      </c>
      <c r="C446" s="347" t="str">
        <f>IF($F446="","",'הזנה לתנאי סף'!D446)</f>
        <v/>
      </c>
      <c r="D446" s="347" t="str">
        <f>IF($F446="","",'הזנה לתנאי סף'!E446)</f>
        <v/>
      </c>
      <c r="E446" s="348" t="str">
        <f>IF($F446="","",'הזנה לתנאי סף'!F446)</f>
        <v/>
      </c>
      <c r="F446" s="348" t="str">
        <f>IF('הזנה לתנאי סף'!BL446=1,'הזנה לתנאי סף'!G446,"")</f>
        <v/>
      </c>
      <c r="G446" s="348" t="str">
        <f>IF($F446="","",'הזנה לתנאי סף'!H446)</f>
        <v/>
      </c>
      <c r="H446" s="348" t="str">
        <f>IF($F446="","",'הזנה לתנאי סף'!I446)</f>
        <v/>
      </c>
      <c r="I446" s="349" t="str">
        <f>IF($F446="","",'הזנה לתנאי סף'!R446)</f>
        <v/>
      </c>
      <c r="J446" s="349" t="str">
        <f>IF($F446="","",'תחום תמיכה א'!P446)</f>
        <v/>
      </c>
      <c r="K446" s="177" t="str">
        <f>IF($F446="","",'הזנה לתנאי סף'!N446)</f>
        <v/>
      </c>
      <c r="L446" s="177" t="str">
        <f>IF($F446="","",'הזנה לתנאי סף'!O446)</f>
        <v/>
      </c>
      <c r="M446" s="177" t="str">
        <f>IF($F446="","",'הזנה לתנאי סף'!Q446)</f>
        <v/>
      </c>
      <c r="N446" s="349" t="str">
        <f>IF($F446="","",'תחום תמיכה א'!AE446)</f>
        <v/>
      </c>
      <c r="O446" s="178"/>
      <c r="P446" s="349" t="str">
        <f>IF($F446="","",'תחום תמיכה ב'!AC446)</f>
        <v/>
      </c>
      <c r="Q446" s="349" t="str">
        <f>IF($F446="","",IF('תחום תמיכה ג'!O446="",0,'תחום תמיכה ג'!O446))</f>
        <v/>
      </c>
      <c r="R446" s="349" t="str">
        <f t="shared" si="24"/>
        <v/>
      </c>
      <c r="S446" s="349" t="str">
        <f>IF($F446="","",'תחום תמיכה ב'!AE446)</f>
        <v/>
      </c>
      <c r="T446" s="349" t="str">
        <f>IF($F446="","",IF(Q446='תחום תמיכה ג'!$Q$2,'תחום תמיכה ג'!$Q$2,IFERROR(SUMIF(N446:R446,"&gt;0"),'תחום תמיכה ג'!$Q$2)))</f>
        <v/>
      </c>
      <c r="U446" s="349" t="str">
        <f>IF($F446="","",'הזנה לתנאי סף'!Y446)</f>
        <v/>
      </c>
      <c r="V446" s="350" t="str">
        <f>IF(F446="","",'הגבלה לסכום מבוקש '!AA446)</f>
        <v/>
      </c>
      <c r="W446" s="349" t="str">
        <f t="shared" si="25"/>
        <v/>
      </c>
      <c r="X446" s="349" t="str">
        <f>IF(F446="","",'הזנה לתנאי סף'!Z446)</f>
        <v/>
      </c>
      <c r="Y446" s="351"/>
      <c r="Z446" s="352" t="str">
        <f>IFERROR(VLOOKUP(G446*1,#REF!,3,0),"")</f>
        <v/>
      </c>
      <c r="AA446" s="349" t="str">
        <f>IF(OR($F446="",Z446=""),"",IFERROR(IF(Z446&gt;V446,MIN(Z446,T446)-V446,0),'תחום תמיכה ג'!$Q$2))</f>
        <v/>
      </c>
      <c r="AB446" s="353"/>
      <c r="AC446" s="260" t="str">
        <f t="shared" si="27"/>
        <v/>
      </c>
      <c r="AD446" s="358"/>
      <c r="AE446" s="180"/>
      <c r="AF446" s="355" t="str">
        <f>IF($C446="","",IFERROR(VLOOKUP($C446,גיליון1!$A:$E,2,0),"לא הגיש בקשה שוטפת"))</f>
        <v/>
      </c>
      <c r="AG446" s="355" t="str">
        <f>IF($C446="","",IFERROR(VLOOKUP($C446,גיליון1!$A:$E,3,0),"לא הגיש בקשה שוטפת"))</f>
        <v/>
      </c>
      <c r="AH446" s="355" t="str">
        <f>IF($C446="","",IFERROR(VLOOKUP($C446,גיליון1!$A:$E,4,0),"לא הגיש בקשה שוטפת"))</f>
        <v/>
      </c>
      <c r="AI446" s="355" t="str">
        <f>IF($C446="","",IFERROR(VLOOKUP($C446,גיליון1!$A:$E,5,0),"לא הגיש בקשה שוטפת"))</f>
        <v/>
      </c>
      <c r="AJ446" s="355">
        <f t="shared" si="26"/>
        <v>0</v>
      </c>
      <c r="AK446" s="15"/>
      <c r="AL446" s="15" t="s">
        <v>250</v>
      </c>
    </row>
    <row r="447" spans="1:38" x14ac:dyDescent="0.25">
      <c r="A447" s="346" t="str">
        <f>'הזנה לתנאי סף'!B447</f>
        <v/>
      </c>
      <c r="B447" s="347" t="str">
        <f>IF($F447="","",'הזנה לתנאי סף'!C447)</f>
        <v/>
      </c>
      <c r="C447" s="347" t="str">
        <f>IF($F447="","",'הזנה לתנאי סף'!D447)</f>
        <v/>
      </c>
      <c r="D447" s="347" t="str">
        <f>IF($F447="","",'הזנה לתנאי סף'!E447)</f>
        <v/>
      </c>
      <c r="E447" s="348" t="str">
        <f>IF($F447="","",'הזנה לתנאי סף'!F447)</f>
        <v/>
      </c>
      <c r="F447" s="348" t="str">
        <f>IF('הזנה לתנאי סף'!BL447=1,'הזנה לתנאי סף'!G447,"")</f>
        <v/>
      </c>
      <c r="G447" s="348" t="str">
        <f>IF($F447="","",'הזנה לתנאי סף'!H447)</f>
        <v/>
      </c>
      <c r="H447" s="348" t="str">
        <f>IF($F447="","",'הזנה לתנאי סף'!I447)</f>
        <v/>
      </c>
      <c r="I447" s="349" t="str">
        <f>IF($F447="","",'הזנה לתנאי סף'!R447)</f>
        <v/>
      </c>
      <c r="J447" s="349" t="str">
        <f>IF($F447="","",'תחום תמיכה א'!P447)</f>
        <v/>
      </c>
      <c r="K447" s="177" t="str">
        <f>IF($F447="","",'הזנה לתנאי סף'!N447)</f>
        <v/>
      </c>
      <c r="L447" s="177" t="str">
        <f>IF($F447="","",'הזנה לתנאי סף'!O447)</f>
        <v/>
      </c>
      <c r="M447" s="177" t="str">
        <f>IF($F447="","",'הזנה לתנאי סף'!Q447)</f>
        <v/>
      </c>
      <c r="N447" s="349" t="str">
        <f>IF($F447="","",'תחום תמיכה א'!AE447)</f>
        <v/>
      </c>
      <c r="O447" s="178"/>
      <c r="P447" s="349" t="str">
        <f>IF($F447="","",'תחום תמיכה ב'!AC447)</f>
        <v/>
      </c>
      <c r="Q447" s="349" t="str">
        <f>IF($F447="","",IF('תחום תמיכה ג'!O447="",0,'תחום תמיכה ג'!O447))</f>
        <v/>
      </c>
      <c r="R447" s="349" t="str">
        <f t="shared" si="24"/>
        <v/>
      </c>
      <c r="S447" s="349" t="str">
        <f>IF($F447="","",'תחום תמיכה ב'!AE447)</f>
        <v/>
      </c>
      <c r="T447" s="349" t="str">
        <f>IF($F447="","",IF(Q447='תחום תמיכה ג'!$Q$2,'תחום תמיכה ג'!$Q$2,IFERROR(SUMIF(N447:R447,"&gt;0"),'תחום תמיכה ג'!$Q$2)))</f>
        <v/>
      </c>
      <c r="U447" s="349" t="str">
        <f>IF($F447="","",'הזנה לתנאי סף'!Y447)</f>
        <v/>
      </c>
      <c r="V447" s="350" t="str">
        <f>IF(F447="","",'הגבלה לסכום מבוקש '!AA447)</f>
        <v/>
      </c>
      <c r="W447" s="349" t="str">
        <f t="shared" si="25"/>
        <v/>
      </c>
      <c r="X447" s="349" t="str">
        <f>IF(F447="","",'הזנה לתנאי סף'!Z447)</f>
        <v/>
      </c>
      <c r="Y447" s="351"/>
      <c r="Z447" s="352" t="str">
        <f>IFERROR(VLOOKUP(G447*1,#REF!,3,0),"")</f>
        <v/>
      </c>
      <c r="AA447" s="349" t="str">
        <f>IF(OR($F447="",Z447=""),"",IFERROR(IF(Z447&gt;V447,MIN(Z447,T447)-V447,0),'תחום תמיכה ג'!$Q$2))</f>
        <v/>
      </c>
      <c r="AB447" s="353"/>
      <c r="AC447" s="260" t="str">
        <f t="shared" si="27"/>
        <v/>
      </c>
      <c r="AD447" s="358"/>
      <c r="AE447" s="180"/>
      <c r="AF447" s="355" t="str">
        <f>IF($C447="","",IFERROR(VLOOKUP($C447,גיליון1!$A:$E,2,0),"לא הגיש בקשה שוטפת"))</f>
        <v/>
      </c>
      <c r="AG447" s="355" t="str">
        <f>IF($C447="","",IFERROR(VLOOKUP($C447,גיליון1!$A:$E,3,0),"לא הגיש בקשה שוטפת"))</f>
        <v/>
      </c>
      <c r="AH447" s="355" t="str">
        <f>IF($C447="","",IFERROR(VLOOKUP($C447,גיליון1!$A:$E,4,0),"לא הגיש בקשה שוטפת"))</f>
        <v/>
      </c>
      <c r="AI447" s="355" t="str">
        <f>IF($C447="","",IFERROR(VLOOKUP($C447,גיליון1!$A:$E,5,0),"לא הגיש בקשה שוטפת"))</f>
        <v/>
      </c>
      <c r="AJ447" s="355">
        <f t="shared" si="26"/>
        <v>0</v>
      </c>
      <c r="AK447" s="15"/>
      <c r="AL447" s="15" t="s">
        <v>250</v>
      </c>
    </row>
    <row r="448" spans="1:38" x14ac:dyDescent="0.25">
      <c r="A448" s="346" t="str">
        <f>'הזנה לתנאי סף'!B448</f>
        <v/>
      </c>
      <c r="B448" s="347" t="str">
        <f>IF($F448="","",'הזנה לתנאי סף'!C448)</f>
        <v/>
      </c>
      <c r="C448" s="347" t="str">
        <f>IF($F448="","",'הזנה לתנאי סף'!D448)</f>
        <v/>
      </c>
      <c r="D448" s="347" t="str">
        <f>IF($F448="","",'הזנה לתנאי סף'!E448)</f>
        <v/>
      </c>
      <c r="E448" s="348" t="str">
        <f>IF($F448="","",'הזנה לתנאי סף'!F448)</f>
        <v/>
      </c>
      <c r="F448" s="348" t="str">
        <f>IF('הזנה לתנאי סף'!BL448=1,'הזנה לתנאי סף'!G448,"")</f>
        <v/>
      </c>
      <c r="G448" s="348" t="str">
        <f>IF($F448="","",'הזנה לתנאי סף'!H448)</f>
        <v/>
      </c>
      <c r="H448" s="348" t="str">
        <f>IF($F448="","",'הזנה לתנאי סף'!I448)</f>
        <v/>
      </c>
      <c r="I448" s="349" t="str">
        <f>IF($F448="","",'הזנה לתנאי סף'!R448)</f>
        <v/>
      </c>
      <c r="J448" s="349" t="str">
        <f>IF($F448="","",'תחום תמיכה א'!P448)</f>
        <v/>
      </c>
      <c r="K448" s="177" t="str">
        <f>IF($F448="","",'הזנה לתנאי סף'!N448)</f>
        <v/>
      </c>
      <c r="L448" s="177" t="str">
        <f>IF($F448="","",'הזנה לתנאי סף'!O448)</f>
        <v/>
      </c>
      <c r="M448" s="177" t="str">
        <f>IF($F448="","",'הזנה לתנאי סף'!Q448)</f>
        <v/>
      </c>
      <c r="N448" s="349" t="str">
        <f>IF($F448="","",'תחום תמיכה א'!AE448)</f>
        <v/>
      </c>
      <c r="O448" s="178"/>
      <c r="P448" s="349" t="str">
        <f>IF($F448="","",'תחום תמיכה ב'!AC448)</f>
        <v/>
      </c>
      <c r="Q448" s="349" t="str">
        <f>IF($F448="","",IF('תחום תמיכה ג'!O448="",0,'תחום תמיכה ג'!O448))</f>
        <v/>
      </c>
      <c r="R448" s="349" t="str">
        <f t="shared" si="24"/>
        <v/>
      </c>
      <c r="S448" s="349" t="str">
        <f>IF($F448="","",'תחום תמיכה ב'!AE448)</f>
        <v/>
      </c>
      <c r="T448" s="349" t="str">
        <f>IF($F448="","",IF(Q448='תחום תמיכה ג'!$Q$2,'תחום תמיכה ג'!$Q$2,IFERROR(SUMIF(N448:R448,"&gt;0"),'תחום תמיכה ג'!$Q$2)))</f>
        <v/>
      </c>
      <c r="U448" s="349" t="str">
        <f>IF($F448="","",'הזנה לתנאי סף'!Y448)</f>
        <v/>
      </c>
      <c r="V448" s="350" t="str">
        <f>IF(F448="","",'הגבלה לסכום מבוקש '!AA448)</f>
        <v/>
      </c>
      <c r="W448" s="349" t="str">
        <f t="shared" si="25"/>
        <v/>
      </c>
      <c r="X448" s="349" t="str">
        <f>IF(F448="","",'הזנה לתנאי סף'!Z448)</f>
        <v/>
      </c>
      <c r="Y448" s="351"/>
      <c r="Z448" s="352" t="str">
        <f>IFERROR(VLOOKUP(G448*1,#REF!,3,0),"")</f>
        <v/>
      </c>
      <c r="AA448" s="349" t="str">
        <f>IF(OR($F448="",Z448=""),"",IFERROR(IF(Z448&gt;V448,MIN(Z448,T448)-V448,0),'תחום תמיכה ג'!$Q$2))</f>
        <v/>
      </c>
      <c r="AB448" s="353"/>
      <c r="AC448" s="260" t="str">
        <f t="shared" si="27"/>
        <v/>
      </c>
      <c r="AD448" s="358"/>
      <c r="AE448" s="180"/>
      <c r="AF448" s="355" t="str">
        <f>IF($C448="","",IFERROR(VLOOKUP($C448,גיליון1!$A:$E,2,0),"לא הגיש בקשה שוטפת"))</f>
        <v/>
      </c>
      <c r="AG448" s="355" t="str">
        <f>IF($C448="","",IFERROR(VLOOKUP($C448,גיליון1!$A:$E,3,0),"לא הגיש בקשה שוטפת"))</f>
        <v/>
      </c>
      <c r="AH448" s="355" t="str">
        <f>IF($C448="","",IFERROR(VLOOKUP($C448,גיליון1!$A:$E,4,0),"לא הגיש בקשה שוטפת"))</f>
        <v/>
      </c>
      <c r="AI448" s="355" t="str">
        <f>IF($C448="","",IFERROR(VLOOKUP($C448,גיליון1!$A:$E,5,0),"לא הגיש בקשה שוטפת"))</f>
        <v/>
      </c>
      <c r="AJ448" s="355">
        <f t="shared" si="26"/>
        <v>0</v>
      </c>
      <c r="AK448" s="15"/>
      <c r="AL448" s="15" t="s">
        <v>250</v>
      </c>
    </row>
    <row r="449" spans="1:38" x14ac:dyDescent="0.25">
      <c r="A449" s="346" t="str">
        <f>'הזנה לתנאי סף'!B449</f>
        <v/>
      </c>
      <c r="B449" s="347" t="str">
        <f>IF($F449="","",'הזנה לתנאי סף'!C449)</f>
        <v/>
      </c>
      <c r="C449" s="347" t="str">
        <f>IF($F449="","",'הזנה לתנאי סף'!D449)</f>
        <v/>
      </c>
      <c r="D449" s="347" t="str">
        <f>IF($F449="","",'הזנה לתנאי סף'!E449)</f>
        <v/>
      </c>
      <c r="E449" s="348" t="str">
        <f>IF($F449="","",'הזנה לתנאי סף'!F449)</f>
        <v/>
      </c>
      <c r="F449" s="348" t="str">
        <f>IF('הזנה לתנאי סף'!BL449=1,'הזנה לתנאי סף'!G449,"")</f>
        <v/>
      </c>
      <c r="G449" s="348" t="str">
        <f>IF($F449="","",'הזנה לתנאי סף'!H449)</f>
        <v/>
      </c>
      <c r="H449" s="348" t="str">
        <f>IF($F449="","",'הזנה לתנאי סף'!I449)</f>
        <v/>
      </c>
      <c r="I449" s="349" t="str">
        <f>IF($F449="","",'הזנה לתנאי סף'!R449)</f>
        <v/>
      </c>
      <c r="J449" s="349" t="str">
        <f>IF($F449="","",'תחום תמיכה א'!P449)</f>
        <v/>
      </c>
      <c r="K449" s="177" t="str">
        <f>IF($F449="","",'הזנה לתנאי סף'!N449)</f>
        <v/>
      </c>
      <c r="L449" s="177" t="str">
        <f>IF($F449="","",'הזנה לתנאי סף'!O449)</f>
        <v/>
      </c>
      <c r="M449" s="177" t="str">
        <f>IF($F449="","",'הזנה לתנאי סף'!Q449)</f>
        <v/>
      </c>
      <c r="N449" s="349" t="str">
        <f>IF($F449="","",'תחום תמיכה א'!AE449)</f>
        <v/>
      </c>
      <c r="O449" s="178"/>
      <c r="P449" s="349" t="str">
        <f>IF($F449="","",'תחום תמיכה ב'!AC449)</f>
        <v/>
      </c>
      <c r="Q449" s="349" t="str">
        <f>IF($F449="","",IF('תחום תמיכה ג'!O449="",0,'תחום תמיכה ג'!O449))</f>
        <v/>
      </c>
      <c r="R449" s="349" t="str">
        <f t="shared" si="24"/>
        <v/>
      </c>
      <c r="S449" s="349" t="str">
        <f>IF($F449="","",'תחום תמיכה ב'!AE449)</f>
        <v/>
      </c>
      <c r="T449" s="349" t="str">
        <f>IF($F449="","",IF(Q449='תחום תמיכה ג'!$Q$2,'תחום תמיכה ג'!$Q$2,IFERROR(SUMIF(N449:R449,"&gt;0"),'תחום תמיכה ג'!$Q$2)))</f>
        <v/>
      </c>
      <c r="U449" s="349" t="str">
        <f>IF($F449="","",'הזנה לתנאי סף'!Y449)</f>
        <v/>
      </c>
      <c r="V449" s="350" t="str">
        <f>IF(F449="","",'הגבלה לסכום מבוקש '!AA449)</f>
        <v/>
      </c>
      <c r="W449" s="349" t="str">
        <f t="shared" si="25"/>
        <v/>
      </c>
      <c r="X449" s="349" t="str">
        <f>IF(F449="","",'הזנה לתנאי סף'!Z449)</f>
        <v/>
      </c>
      <c r="Y449" s="351"/>
      <c r="Z449" s="352" t="str">
        <f>IFERROR(VLOOKUP(G449*1,#REF!,3,0),"")</f>
        <v/>
      </c>
      <c r="AA449" s="349" t="str">
        <f>IF(OR($F449="",Z449=""),"",IFERROR(IF(Z449&gt;V449,MIN(Z449,T449)-V449,0),'תחום תמיכה ג'!$Q$2))</f>
        <v/>
      </c>
      <c r="AB449" s="353"/>
      <c r="AC449" s="260" t="str">
        <f t="shared" si="27"/>
        <v/>
      </c>
      <c r="AD449" s="358"/>
      <c r="AE449" s="180"/>
      <c r="AF449" s="355" t="str">
        <f>IF($C449="","",IFERROR(VLOOKUP($C449,גיליון1!$A:$E,2,0),"לא הגיש בקשה שוטפת"))</f>
        <v/>
      </c>
      <c r="AG449" s="355" t="str">
        <f>IF($C449="","",IFERROR(VLOOKUP($C449,גיליון1!$A:$E,3,0),"לא הגיש בקשה שוטפת"))</f>
        <v/>
      </c>
      <c r="AH449" s="355" t="str">
        <f>IF($C449="","",IFERROR(VLOOKUP($C449,גיליון1!$A:$E,4,0),"לא הגיש בקשה שוטפת"))</f>
        <v/>
      </c>
      <c r="AI449" s="355" t="str">
        <f>IF($C449="","",IFERROR(VLOOKUP($C449,גיליון1!$A:$E,5,0),"לא הגיש בקשה שוטפת"))</f>
        <v/>
      </c>
      <c r="AJ449" s="355">
        <f t="shared" si="26"/>
        <v>0</v>
      </c>
      <c r="AK449" s="15"/>
      <c r="AL449" s="15" t="s">
        <v>250</v>
      </c>
    </row>
    <row r="450" spans="1:38" x14ac:dyDescent="0.25">
      <c r="A450" s="346" t="str">
        <f>'הזנה לתנאי סף'!B450</f>
        <v/>
      </c>
      <c r="B450" s="347" t="str">
        <f>IF($F450="","",'הזנה לתנאי סף'!C450)</f>
        <v/>
      </c>
      <c r="C450" s="347" t="str">
        <f>IF($F450="","",'הזנה לתנאי סף'!D450)</f>
        <v/>
      </c>
      <c r="D450" s="347" t="str">
        <f>IF($F450="","",'הזנה לתנאי סף'!E450)</f>
        <v/>
      </c>
      <c r="E450" s="348" t="str">
        <f>IF($F450="","",'הזנה לתנאי סף'!F450)</f>
        <v/>
      </c>
      <c r="F450" s="348" t="str">
        <f>IF('הזנה לתנאי סף'!BL450=1,'הזנה לתנאי סף'!G450,"")</f>
        <v/>
      </c>
      <c r="G450" s="348" t="str">
        <f>IF($F450="","",'הזנה לתנאי סף'!H450)</f>
        <v/>
      </c>
      <c r="H450" s="348" t="str">
        <f>IF($F450="","",'הזנה לתנאי סף'!I450)</f>
        <v/>
      </c>
      <c r="I450" s="349" t="str">
        <f>IF($F450="","",'הזנה לתנאי סף'!R450)</f>
        <v/>
      </c>
      <c r="J450" s="349" t="str">
        <f>IF($F450="","",'תחום תמיכה א'!P450)</f>
        <v/>
      </c>
      <c r="K450" s="177" t="str">
        <f>IF($F450="","",'הזנה לתנאי סף'!N450)</f>
        <v/>
      </c>
      <c r="L450" s="177" t="str">
        <f>IF($F450="","",'הזנה לתנאי סף'!O450)</f>
        <v/>
      </c>
      <c r="M450" s="177" t="str">
        <f>IF($F450="","",'הזנה לתנאי סף'!Q450)</f>
        <v/>
      </c>
      <c r="N450" s="349" t="str">
        <f>IF($F450="","",'תחום תמיכה א'!AE450)</f>
        <v/>
      </c>
      <c r="O450" s="178"/>
      <c r="P450" s="349" t="str">
        <f>IF($F450="","",'תחום תמיכה ב'!AC450)</f>
        <v/>
      </c>
      <c r="Q450" s="349" t="str">
        <f>IF($F450="","",IF('תחום תמיכה ג'!O450="",0,'תחום תמיכה ג'!O450))</f>
        <v/>
      </c>
      <c r="R450" s="349" t="str">
        <f t="shared" si="24"/>
        <v/>
      </c>
      <c r="S450" s="349" t="str">
        <f>IF($F450="","",'תחום תמיכה ב'!AE450)</f>
        <v/>
      </c>
      <c r="T450" s="349" t="str">
        <f>IF($F450="","",IF(Q450='תחום תמיכה ג'!$Q$2,'תחום תמיכה ג'!$Q$2,IFERROR(SUMIF(N450:R450,"&gt;0"),'תחום תמיכה ג'!$Q$2)))</f>
        <v/>
      </c>
      <c r="U450" s="349" t="str">
        <f>IF($F450="","",'הזנה לתנאי סף'!Y450)</f>
        <v/>
      </c>
      <c r="V450" s="350" t="str">
        <f>IF(F450="","",'הגבלה לסכום מבוקש '!AA450)</f>
        <v/>
      </c>
      <c r="W450" s="349" t="str">
        <f t="shared" si="25"/>
        <v/>
      </c>
      <c r="X450" s="349" t="str">
        <f>IF(F450="","",'הזנה לתנאי סף'!Z450)</f>
        <v/>
      </c>
      <c r="Y450" s="351"/>
      <c r="Z450" s="352" t="str">
        <f>IFERROR(VLOOKUP(G450*1,#REF!,3,0),"")</f>
        <v/>
      </c>
      <c r="AA450" s="349" t="str">
        <f>IF(OR($F450="",Z450=""),"",IFERROR(IF(Z450&gt;V450,MIN(Z450,T450)-V450,0),'תחום תמיכה ג'!$Q$2))</f>
        <v/>
      </c>
      <c r="AB450" s="353"/>
      <c r="AC450" s="260" t="str">
        <f t="shared" si="27"/>
        <v/>
      </c>
      <c r="AD450" s="358"/>
      <c r="AE450" s="180"/>
      <c r="AF450" s="355" t="str">
        <f>IF($C450="","",IFERROR(VLOOKUP($C450,גיליון1!$A:$E,2,0),"לא הגיש בקשה שוטפת"))</f>
        <v/>
      </c>
      <c r="AG450" s="355" t="str">
        <f>IF($C450="","",IFERROR(VLOOKUP($C450,גיליון1!$A:$E,3,0),"לא הגיש בקשה שוטפת"))</f>
        <v/>
      </c>
      <c r="AH450" s="355" t="str">
        <f>IF($C450="","",IFERROR(VLOOKUP($C450,גיליון1!$A:$E,4,0),"לא הגיש בקשה שוטפת"))</f>
        <v/>
      </c>
      <c r="AI450" s="355" t="str">
        <f>IF($C450="","",IFERROR(VLOOKUP($C450,גיליון1!$A:$E,5,0),"לא הגיש בקשה שוטפת"))</f>
        <v/>
      </c>
      <c r="AJ450" s="355">
        <f t="shared" si="26"/>
        <v>0</v>
      </c>
      <c r="AK450" s="15"/>
      <c r="AL450" s="15" t="s">
        <v>250</v>
      </c>
    </row>
    <row r="451" spans="1:38" x14ac:dyDescent="0.25">
      <c r="A451" s="346" t="str">
        <f>'הזנה לתנאי סף'!B451</f>
        <v/>
      </c>
      <c r="B451" s="347" t="str">
        <f>IF($F451="","",'הזנה לתנאי סף'!C451)</f>
        <v/>
      </c>
      <c r="C451" s="347" t="str">
        <f>IF($F451="","",'הזנה לתנאי סף'!D451)</f>
        <v/>
      </c>
      <c r="D451" s="347" t="str">
        <f>IF($F451="","",'הזנה לתנאי סף'!E451)</f>
        <v/>
      </c>
      <c r="E451" s="348" t="str">
        <f>IF($F451="","",'הזנה לתנאי סף'!F451)</f>
        <v/>
      </c>
      <c r="F451" s="348" t="str">
        <f>IF('הזנה לתנאי סף'!BL451=1,'הזנה לתנאי סף'!G451,"")</f>
        <v/>
      </c>
      <c r="G451" s="348" t="str">
        <f>IF($F451="","",'הזנה לתנאי סף'!H451)</f>
        <v/>
      </c>
      <c r="H451" s="348" t="str">
        <f>IF($F451="","",'הזנה לתנאי סף'!I451)</f>
        <v/>
      </c>
      <c r="I451" s="349" t="str">
        <f>IF($F451="","",'הזנה לתנאי סף'!R451)</f>
        <v/>
      </c>
      <c r="J451" s="349" t="str">
        <f>IF($F451="","",'תחום תמיכה א'!P451)</f>
        <v/>
      </c>
      <c r="K451" s="177" t="str">
        <f>IF($F451="","",'הזנה לתנאי סף'!N451)</f>
        <v/>
      </c>
      <c r="L451" s="177" t="str">
        <f>IF($F451="","",'הזנה לתנאי סף'!O451)</f>
        <v/>
      </c>
      <c r="M451" s="177" t="str">
        <f>IF($F451="","",'הזנה לתנאי סף'!Q451)</f>
        <v/>
      </c>
      <c r="N451" s="349" t="str">
        <f>IF($F451="","",'תחום תמיכה א'!AE451)</f>
        <v/>
      </c>
      <c r="O451" s="178"/>
      <c r="P451" s="349" t="str">
        <f>IF($F451="","",'תחום תמיכה ב'!AC451)</f>
        <v/>
      </c>
      <c r="Q451" s="349" t="str">
        <f>IF($F451="","",IF('תחום תמיכה ג'!O451="",0,'תחום תמיכה ג'!O451))</f>
        <v/>
      </c>
      <c r="R451" s="349" t="str">
        <f t="shared" si="24"/>
        <v/>
      </c>
      <c r="S451" s="349" t="str">
        <f>IF($F451="","",'תחום תמיכה ב'!AE451)</f>
        <v/>
      </c>
      <c r="T451" s="349" t="str">
        <f>IF($F451="","",IF(Q451='תחום תמיכה ג'!$Q$2,'תחום תמיכה ג'!$Q$2,IFERROR(SUMIF(N451:R451,"&gt;0"),'תחום תמיכה ג'!$Q$2)))</f>
        <v/>
      </c>
      <c r="U451" s="349" t="str">
        <f>IF($F451="","",'הזנה לתנאי סף'!Y451)</f>
        <v/>
      </c>
      <c r="V451" s="350" t="str">
        <f>IF(F451="","",'הגבלה לסכום מבוקש '!AA451)</f>
        <v/>
      </c>
      <c r="W451" s="349" t="str">
        <f t="shared" si="25"/>
        <v/>
      </c>
      <c r="X451" s="349" t="str">
        <f>IF(F451="","",'הזנה לתנאי סף'!Z451)</f>
        <v/>
      </c>
      <c r="Y451" s="351"/>
      <c r="Z451" s="352" t="str">
        <f>IFERROR(VLOOKUP(G451*1,#REF!,3,0),"")</f>
        <v/>
      </c>
      <c r="AA451" s="349" t="str">
        <f>IF(OR($F451="",Z451=""),"",IFERROR(IF(Z451&gt;V451,MIN(Z451,T451)-V451,0),'תחום תמיכה ג'!$Q$2))</f>
        <v/>
      </c>
      <c r="AB451" s="353"/>
      <c r="AC451" s="260" t="str">
        <f t="shared" si="27"/>
        <v/>
      </c>
      <c r="AD451" s="358"/>
      <c r="AE451" s="180"/>
      <c r="AF451" s="355" t="str">
        <f>IF($C451="","",IFERROR(VLOOKUP($C451,גיליון1!$A:$E,2,0),"לא הגיש בקשה שוטפת"))</f>
        <v/>
      </c>
      <c r="AG451" s="355" t="str">
        <f>IF($C451="","",IFERROR(VLOOKUP($C451,גיליון1!$A:$E,3,0),"לא הגיש בקשה שוטפת"))</f>
        <v/>
      </c>
      <c r="AH451" s="355" t="str">
        <f>IF($C451="","",IFERROR(VLOOKUP($C451,גיליון1!$A:$E,4,0),"לא הגיש בקשה שוטפת"))</f>
        <v/>
      </c>
      <c r="AI451" s="355" t="str">
        <f>IF($C451="","",IFERROR(VLOOKUP($C451,גיליון1!$A:$E,5,0),"לא הגיש בקשה שוטפת"))</f>
        <v/>
      </c>
      <c r="AJ451" s="355">
        <f t="shared" si="26"/>
        <v>0</v>
      </c>
      <c r="AK451" s="15"/>
      <c r="AL451" s="15" t="s">
        <v>250</v>
      </c>
    </row>
    <row r="452" spans="1:38" x14ac:dyDescent="0.25">
      <c r="A452" s="346" t="str">
        <f>'הזנה לתנאי סף'!B452</f>
        <v/>
      </c>
      <c r="B452" s="347" t="str">
        <f>IF($F452="","",'הזנה לתנאי סף'!C452)</f>
        <v/>
      </c>
      <c r="C452" s="347" t="str">
        <f>IF($F452="","",'הזנה לתנאי סף'!D452)</f>
        <v/>
      </c>
      <c r="D452" s="347" t="str">
        <f>IF($F452="","",'הזנה לתנאי סף'!E452)</f>
        <v/>
      </c>
      <c r="E452" s="348" t="str">
        <f>IF($F452="","",'הזנה לתנאי סף'!F452)</f>
        <v/>
      </c>
      <c r="F452" s="348" t="str">
        <f>IF('הזנה לתנאי סף'!BL452=1,'הזנה לתנאי סף'!G452,"")</f>
        <v/>
      </c>
      <c r="G452" s="348" t="str">
        <f>IF($F452="","",'הזנה לתנאי סף'!H452)</f>
        <v/>
      </c>
      <c r="H452" s="348" t="str">
        <f>IF($F452="","",'הזנה לתנאי סף'!I452)</f>
        <v/>
      </c>
      <c r="I452" s="349" t="str">
        <f>IF($F452="","",'הזנה לתנאי סף'!R452)</f>
        <v/>
      </c>
      <c r="J452" s="349" t="str">
        <f>IF($F452="","",'תחום תמיכה א'!P452)</f>
        <v/>
      </c>
      <c r="K452" s="177" t="str">
        <f>IF($F452="","",'הזנה לתנאי סף'!N452)</f>
        <v/>
      </c>
      <c r="L452" s="177" t="str">
        <f>IF($F452="","",'הזנה לתנאי סף'!O452)</f>
        <v/>
      </c>
      <c r="M452" s="177" t="str">
        <f>IF($F452="","",'הזנה לתנאי סף'!Q452)</f>
        <v/>
      </c>
      <c r="N452" s="349" t="str">
        <f>IF($F452="","",'תחום תמיכה א'!AE452)</f>
        <v/>
      </c>
      <c r="O452" s="178"/>
      <c r="P452" s="349" t="str">
        <f>IF($F452="","",'תחום תמיכה ב'!AC452)</f>
        <v/>
      </c>
      <c r="Q452" s="349" t="str">
        <f>IF($F452="","",IF('תחום תמיכה ג'!O452="",0,'תחום תמיכה ג'!O452))</f>
        <v/>
      </c>
      <c r="R452" s="349" t="str">
        <f t="shared" si="24"/>
        <v/>
      </c>
      <c r="S452" s="349" t="str">
        <f>IF($F452="","",'תחום תמיכה ב'!AE452)</f>
        <v/>
      </c>
      <c r="T452" s="349" t="str">
        <f>IF($F452="","",IF(Q452='תחום תמיכה ג'!$Q$2,'תחום תמיכה ג'!$Q$2,IFERROR(SUMIF(N452:R452,"&gt;0"),'תחום תמיכה ג'!$Q$2)))</f>
        <v/>
      </c>
      <c r="U452" s="349" t="str">
        <f>IF($F452="","",'הזנה לתנאי סף'!Y452)</f>
        <v/>
      </c>
      <c r="V452" s="350" t="str">
        <f>IF(F452="","",'הגבלה לסכום מבוקש '!AA452)</f>
        <v/>
      </c>
      <c r="W452" s="349" t="str">
        <f t="shared" si="25"/>
        <v/>
      </c>
      <c r="X452" s="349" t="str">
        <f>IF(F452="","",'הזנה לתנאי סף'!Z452)</f>
        <v/>
      </c>
      <c r="Y452" s="351"/>
      <c r="Z452" s="352" t="str">
        <f>IFERROR(VLOOKUP(G452*1,#REF!,3,0),"")</f>
        <v/>
      </c>
      <c r="AA452" s="349" t="str">
        <f>IF(OR($F452="",Z452=""),"",IFERROR(IF(Z452&gt;V452,MIN(Z452,T452)-V452,0),'תחום תמיכה ג'!$Q$2))</f>
        <v/>
      </c>
      <c r="AB452" s="353"/>
      <c r="AC452" s="260" t="str">
        <f t="shared" si="27"/>
        <v/>
      </c>
      <c r="AD452" s="358"/>
      <c r="AE452" s="180"/>
      <c r="AF452" s="355" t="str">
        <f>IF($C452="","",IFERROR(VLOOKUP($C452,גיליון1!$A:$E,2,0),"לא הגיש בקשה שוטפת"))</f>
        <v/>
      </c>
      <c r="AG452" s="355" t="str">
        <f>IF($C452="","",IFERROR(VLOOKUP($C452,גיליון1!$A:$E,3,0),"לא הגיש בקשה שוטפת"))</f>
        <v/>
      </c>
      <c r="AH452" s="355" t="str">
        <f>IF($C452="","",IFERROR(VLOOKUP($C452,גיליון1!$A:$E,4,0),"לא הגיש בקשה שוטפת"))</f>
        <v/>
      </c>
      <c r="AI452" s="355" t="str">
        <f>IF($C452="","",IFERROR(VLOOKUP($C452,גיליון1!$A:$E,5,0),"לא הגיש בקשה שוטפת"))</f>
        <v/>
      </c>
      <c r="AJ452" s="355">
        <f t="shared" si="26"/>
        <v>0</v>
      </c>
      <c r="AK452" s="15"/>
      <c r="AL452" s="15" t="s">
        <v>250</v>
      </c>
    </row>
    <row r="453" spans="1:38" x14ac:dyDescent="0.25">
      <c r="A453" s="346" t="str">
        <f>'הזנה לתנאי סף'!B453</f>
        <v/>
      </c>
      <c r="B453" s="347" t="str">
        <f>IF($F453="","",'הזנה לתנאי סף'!C453)</f>
        <v/>
      </c>
      <c r="C453" s="347" t="str">
        <f>IF($F453="","",'הזנה לתנאי סף'!D453)</f>
        <v/>
      </c>
      <c r="D453" s="347" t="str">
        <f>IF($F453="","",'הזנה לתנאי סף'!E453)</f>
        <v/>
      </c>
      <c r="E453" s="348" t="str">
        <f>IF($F453="","",'הזנה לתנאי סף'!F453)</f>
        <v/>
      </c>
      <c r="F453" s="348" t="str">
        <f>IF('הזנה לתנאי סף'!BL453=1,'הזנה לתנאי סף'!G453,"")</f>
        <v/>
      </c>
      <c r="G453" s="348" t="str">
        <f>IF($F453="","",'הזנה לתנאי סף'!H453)</f>
        <v/>
      </c>
      <c r="H453" s="348" t="str">
        <f>IF($F453="","",'הזנה לתנאי סף'!I453)</f>
        <v/>
      </c>
      <c r="I453" s="349" t="str">
        <f>IF($F453="","",'הזנה לתנאי סף'!R453)</f>
        <v/>
      </c>
      <c r="J453" s="349" t="str">
        <f>IF($F453="","",'תחום תמיכה א'!P453)</f>
        <v/>
      </c>
      <c r="K453" s="177" t="str">
        <f>IF($F453="","",'הזנה לתנאי סף'!N453)</f>
        <v/>
      </c>
      <c r="L453" s="177" t="str">
        <f>IF($F453="","",'הזנה לתנאי סף'!O453)</f>
        <v/>
      </c>
      <c r="M453" s="177" t="str">
        <f>IF($F453="","",'הזנה לתנאי סף'!Q453)</f>
        <v/>
      </c>
      <c r="N453" s="349" t="str">
        <f>IF($F453="","",'תחום תמיכה א'!AE453)</f>
        <v/>
      </c>
      <c r="O453" s="178"/>
      <c r="P453" s="349" t="str">
        <f>IF($F453="","",'תחום תמיכה ב'!AC453)</f>
        <v/>
      </c>
      <c r="Q453" s="349" t="str">
        <f>IF($F453="","",IF('תחום תמיכה ג'!O453="",0,'תחום תמיכה ג'!O453))</f>
        <v/>
      </c>
      <c r="R453" s="349" t="str">
        <f t="shared" si="24"/>
        <v/>
      </c>
      <c r="S453" s="349" t="str">
        <f>IF($F453="","",'תחום תמיכה ב'!AE453)</f>
        <v/>
      </c>
      <c r="T453" s="349" t="str">
        <f>IF($F453="","",IF(Q453='תחום תמיכה ג'!$Q$2,'תחום תמיכה ג'!$Q$2,IFERROR(SUMIF(N453:R453,"&gt;0"),'תחום תמיכה ג'!$Q$2)))</f>
        <v/>
      </c>
      <c r="U453" s="349" t="str">
        <f>IF($F453="","",'הזנה לתנאי סף'!Y453)</f>
        <v/>
      </c>
      <c r="V453" s="350" t="str">
        <f>IF(F453="","",'הגבלה לסכום מבוקש '!AA453)</f>
        <v/>
      </c>
      <c r="W453" s="349" t="str">
        <f t="shared" si="25"/>
        <v/>
      </c>
      <c r="X453" s="349" t="str">
        <f>IF(F453="","",'הזנה לתנאי סף'!Z453)</f>
        <v/>
      </c>
      <c r="Y453" s="351"/>
      <c r="Z453" s="352" t="str">
        <f>IFERROR(VLOOKUP(G453*1,#REF!,3,0),"")</f>
        <v/>
      </c>
      <c r="AA453" s="349" t="str">
        <f>IF(OR($F453="",Z453=""),"",IFERROR(IF(Z453&gt;V453,MIN(Z453,T453)-V453,0),'תחום תמיכה ג'!$Q$2))</f>
        <v/>
      </c>
      <c r="AB453" s="353"/>
      <c r="AC453" s="260" t="str">
        <f t="shared" si="27"/>
        <v/>
      </c>
      <c r="AD453" s="358"/>
      <c r="AE453" s="180"/>
      <c r="AF453" s="355" t="str">
        <f>IF($C453="","",IFERROR(VLOOKUP($C453,גיליון1!$A:$E,2,0),"לא הגיש בקשה שוטפת"))</f>
        <v/>
      </c>
      <c r="AG453" s="355" t="str">
        <f>IF($C453="","",IFERROR(VLOOKUP($C453,גיליון1!$A:$E,3,0),"לא הגיש בקשה שוטפת"))</f>
        <v/>
      </c>
      <c r="AH453" s="355" t="str">
        <f>IF($C453="","",IFERROR(VLOOKUP($C453,גיליון1!$A:$E,4,0),"לא הגיש בקשה שוטפת"))</f>
        <v/>
      </c>
      <c r="AI453" s="355" t="str">
        <f>IF($C453="","",IFERROR(VLOOKUP($C453,גיליון1!$A:$E,5,0),"לא הגיש בקשה שוטפת"))</f>
        <v/>
      </c>
      <c r="AJ453" s="355">
        <f t="shared" si="26"/>
        <v>0</v>
      </c>
      <c r="AK453" s="15"/>
      <c r="AL453" s="15" t="s">
        <v>250</v>
      </c>
    </row>
    <row r="454" spans="1:38" x14ac:dyDescent="0.25">
      <c r="A454" s="346" t="str">
        <f>'הזנה לתנאי סף'!B454</f>
        <v/>
      </c>
      <c r="B454" s="347" t="str">
        <f>IF($F454="","",'הזנה לתנאי סף'!C454)</f>
        <v/>
      </c>
      <c r="C454" s="347" t="str">
        <f>IF($F454="","",'הזנה לתנאי סף'!D454)</f>
        <v/>
      </c>
      <c r="D454" s="347" t="str">
        <f>IF($F454="","",'הזנה לתנאי סף'!E454)</f>
        <v/>
      </c>
      <c r="E454" s="348" t="str">
        <f>IF($F454="","",'הזנה לתנאי סף'!F454)</f>
        <v/>
      </c>
      <c r="F454" s="348" t="str">
        <f>IF('הזנה לתנאי סף'!BL454=1,'הזנה לתנאי סף'!G454,"")</f>
        <v/>
      </c>
      <c r="G454" s="348" t="str">
        <f>IF($F454="","",'הזנה לתנאי סף'!H454)</f>
        <v/>
      </c>
      <c r="H454" s="348" t="str">
        <f>IF($F454="","",'הזנה לתנאי סף'!I454)</f>
        <v/>
      </c>
      <c r="I454" s="349" t="str">
        <f>IF($F454="","",'הזנה לתנאי סף'!R454)</f>
        <v/>
      </c>
      <c r="J454" s="349" t="str">
        <f>IF($F454="","",'תחום תמיכה א'!P454)</f>
        <v/>
      </c>
      <c r="K454" s="177" t="str">
        <f>IF($F454="","",'הזנה לתנאי סף'!N454)</f>
        <v/>
      </c>
      <c r="L454" s="177" t="str">
        <f>IF($F454="","",'הזנה לתנאי סף'!O454)</f>
        <v/>
      </c>
      <c r="M454" s="177" t="str">
        <f>IF($F454="","",'הזנה לתנאי סף'!Q454)</f>
        <v/>
      </c>
      <c r="N454" s="349" t="str">
        <f>IF($F454="","",'תחום תמיכה א'!AE454)</f>
        <v/>
      </c>
      <c r="O454" s="178"/>
      <c r="P454" s="349" t="str">
        <f>IF($F454="","",'תחום תמיכה ב'!AC454)</f>
        <v/>
      </c>
      <c r="Q454" s="349" t="str">
        <f>IF($F454="","",IF('תחום תמיכה ג'!O454="",0,'תחום תמיכה ג'!O454))</f>
        <v/>
      </c>
      <c r="R454" s="349" t="str">
        <f t="shared" si="24"/>
        <v/>
      </c>
      <c r="S454" s="349" t="str">
        <f>IF($F454="","",'תחום תמיכה ב'!AE454)</f>
        <v/>
      </c>
      <c r="T454" s="349" t="str">
        <f>IF($F454="","",IF(Q454='תחום תמיכה ג'!$Q$2,'תחום תמיכה ג'!$Q$2,IFERROR(SUMIF(N454:R454,"&gt;0"),'תחום תמיכה ג'!$Q$2)))</f>
        <v/>
      </c>
      <c r="U454" s="349" t="str">
        <f>IF($F454="","",'הזנה לתנאי סף'!Y454)</f>
        <v/>
      </c>
      <c r="V454" s="350" t="str">
        <f>IF(F454="","",'הגבלה לסכום מבוקש '!AA454)</f>
        <v/>
      </c>
      <c r="W454" s="349" t="str">
        <f t="shared" si="25"/>
        <v/>
      </c>
      <c r="X454" s="349" t="str">
        <f>IF(F454="","",'הזנה לתנאי סף'!Z454)</f>
        <v/>
      </c>
      <c r="Y454" s="351"/>
      <c r="Z454" s="352" t="str">
        <f>IFERROR(VLOOKUP(G454*1,#REF!,3,0),"")</f>
        <v/>
      </c>
      <c r="AA454" s="349" t="str">
        <f>IF(OR($F454="",Z454=""),"",IFERROR(IF(Z454&gt;V454,MIN(Z454,T454)-V454,0),'תחום תמיכה ג'!$Q$2))</f>
        <v/>
      </c>
      <c r="AB454" s="353"/>
      <c r="AC454" s="260" t="str">
        <f t="shared" si="27"/>
        <v/>
      </c>
      <c r="AD454" s="358"/>
      <c r="AE454" s="180"/>
      <c r="AF454" s="355" t="str">
        <f>IF($C454="","",IFERROR(VLOOKUP($C454,גיליון1!$A:$E,2,0),"לא הגיש בקשה שוטפת"))</f>
        <v/>
      </c>
      <c r="AG454" s="355" t="str">
        <f>IF($C454="","",IFERROR(VLOOKUP($C454,גיליון1!$A:$E,3,0),"לא הגיש בקשה שוטפת"))</f>
        <v/>
      </c>
      <c r="AH454" s="355" t="str">
        <f>IF($C454="","",IFERROR(VLOOKUP($C454,גיליון1!$A:$E,4,0),"לא הגיש בקשה שוטפת"))</f>
        <v/>
      </c>
      <c r="AI454" s="355" t="str">
        <f>IF($C454="","",IFERROR(VLOOKUP($C454,גיליון1!$A:$E,5,0),"לא הגיש בקשה שוטפת"))</f>
        <v/>
      </c>
      <c r="AJ454" s="355">
        <f t="shared" si="26"/>
        <v>0</v>
      </c>
      <c r="AK454" s="15"/>
      <c r="AL454" s="15" t="s">
        <v>250</v>
      </c>
    </row>
    <row r="455" spans="1:38" x14ac:dyDescent="0.25">
      <c r="A455" s="346" t="str">
        <f>'הזנה לתנאי סף'!B455</f>
        <v/>
      </c>
      <c r="B455" s="347" t="str">
        <f>IF($F455="","",'הזנה לתנאי סף'!C455)</f>
        <v/>
      </c>
      <c r="C455" s="347" t="str">
        <f>IF($F455="","",'הזנה לתנאי סף'!D455)</f>
        <v/>
      </c>
      <c r="D455" s="347" t="str">
        <f>IF($F455="","",'הזנה לתנאי סף'!E455)</f>
        <v/>
      </c>
      <c r="E455" s="348" t="str">
        <f>IF($F455="","",'הזנה לתנאי סף'!F455)</f>
        <v/>
      </c>
      <c r="F455" s="348" t="str">
        <f>IF('הזנה לתנאי סף'!BL455=1,'הזנה לתנאי סף'!G455,"")</f>
        <v/>
      </c>
      <c r="G455" s="348" t="str">
        <f>IF($F455="","",'הזנה לתנאי סף'!H455)</f>
        <v/>
      </c>
      <c r="H455" s="348" t="str">
        <f>IF($F455="","",'הזנה לתנאי סף'!I455)</f>
        <v/>
      </c>
      <c r="I455" s="349" t="str">
        <f>IF($F455="","",'הזנה לתנאי סף'!R455)</f>
        <v/>
      </c>
      <c r="J455" s="349" t="str">
        <f>IF($F455="","",'תחום תמיכה א'!P455)</f>
        <v/>
      </c>
      <c r="K455" s="177" t="str">
        <f>IF($F455="","",'הזנה לתנאי סף'!N455)</f>
        <v/>
      </c>
      <c r="L455" s="177" t="str">
        <f>IF($F455="","",'הזנה לתנאי סף'!O455)</f>
        <v/>
      </c>
      <c r="M455" s="177" t="str">
        <f>IF($F455="","",'הזנה לתנאי סף'!Q455)</f>
        <v/>
      </c>
      <c r="N455" s="349" t="str">
        <f>IF($F455="","",'תחום תמיכה א'!AE455)</f>
        <v/>
      </c>
      <c r="O455" s="178"/>
      <c r="P455" s="349" t="str">
        <f>IF($F455="","",'תחום תמיכה ב'!AC455)</f>
        <v/>
      </c>
      <c r="Q455" s="349" t="str">
        <f>IF($F455="","",IF('תחום תמיכה ג'!O455="",0,'תחום תמיכה ג'!O455))</f>
        <v/>
      </c>
      <c r="R455" s="349" t="str">
        <f t="shared" si="24"/>
        <v/>
      </c>
      <c r="S455" s="349" t="str">
        <f>IF($F455="","",'תחום תמיכה ב'!AE455)</f>
        <v/>
      </c>
      <c r="T455" s="349" t="str">
        <f>IF($F455="","",IF(Q455='תחום תמיכה ג'!$Q$2,'תחום תמיכה ג'!$Q$2,IFERROR(SUMIF(N455:R455,"&gt;0"),'תחום תמיכה ג'!$Q$2)))</f>
        <v/>
      </c>
      <c r="U455" s="349" t="str">
        <f>IF($F455="","",'הזנה לתנאי סף'!Y455)</f>
        <v/>
      </c>
      <c r="V455" s="350" t="str">
        <f>IF(F455="","",'הגבלה לסכום מבוקש '!AA455)</f>
        <v/>
      </c>
      <c r="W455" s="349" t="str">
        <f t="shared" si="25"/>
        <v/>
      </c>
      <c r="X455" s="349" t="str">
        <f>IF(F455="","",'הזנה לתנאי סף'!Z455)</f>
        <v/>
      </c>
      <c r="Y455" s="351"/>
      <c r="Z455" s="352" t="str">
        <f>IFERROR(VLOOKUP(G455*1,#REF!,3,0),"")</f>
        <v/>
      </c>
      <c r="AA455" s="349" t="str">
        <f>IF(OR($F455="",Z455=""),"",IFERROR(IF(Z455&gt;V455,MIN(Z455,T455)-V455,0),'תחום תמיכה ג'!$Q$2))</f>
        <v/>
      </c>
      <c r="AB455" s="353"/>
      <c r="AC455" s="260" t="str">
        <f t="shared" si="27"/>
        <v/>
      </c>
      <c r="AD455" s="358"/>
      <c r="AE455" s="180"/>
      <c r="AF455" s="355" t="str">
        <f>IF($C455="","",IFERROR(VLOOKUP($C455,גיליון1!$A:$E,2,0),"לא הגיש בקשה שוטפת"))</f>
        <v/>
      </c>
      <c r="AG455" s="355" t="str">
        <f>IF($C455="","",IFERROR(VLOOKUP($C455,גיליון1!$A:$E,3,0),"לא הגיש בקשה שוטפת"))</f>
        <v/>
      </c>
      <c r="AH455" s="355" t="str">
        <f>IF($C455="","",IFERROR(VLOOKUP($C455,גיליון1!$A:$E,4,0),"לא הגיש בקשה שוטפת"))</f>
        <v/>
      </c>
      <c r="AI455" s="355" t="str">
        <f>IF($C455="","",IFERROR(VLOOKUP($C455,גיליון1!$A:$E,5,0),"לא הגיש בקשה שוטפת"))</f>
        <v/>
      </c>
      <c r="AJ455" s="355">
        <f t="shared" si="26"/>
        <v>0</v>
      </c>
      <c r="AK455" s="15"/>
      <c r="AL455" s="15" t="s">
        <v>250</v>
      </c>
    </row>
    <row r="456" spans="1:38" x14ac:dyDescent="0.25">
      <c r="A456" s="346" t="str">
        <f>'הזנה לתנאי סף'!B456</f>
        <v/>
      </c>
      <c r="B456" s="347" t="str">
        <f>IF($F456="","",'הזנה לתנאי סף'!C456)</f>
        <v/>
      </c>
      <c r="C456" s="347" t="str">
        <f>IF($F456="","",'הזנה לתנאי סף'!D456)</f>
        <v/>
      </c>
      <c r="D456" s="347" t="str">
        <f>IF($F456="","",'הזנה לתנאי סף'!E456)</f>
        <v/>
      </c>
      <c r="E456" s="348" t="str">
        <f>IF($F456="","",'הזנה לתנאי סף'!F456)</f>
        <v/>
      </c>
      <c r="F456" s="348" t="str">
        <f>IF('הזנה לתנאי סף'!BL456=1,'הזנה לתנאי סף'!G456,"")</f>
        <v/>
      </c>
      <c r="G456" s="348" t="str">
        <f>IF($F456="","",'הזנה לתנאי סף'!H456)</f>
        <v/>
      </c>
      <c r="H456" s="348" t="str">
        <f>IF($F456="","",'הזנה לתנאי סף'!I456)</f>
        <v/>
      </c>
      <c r="I456" s="349" t="str">
        <f>IF($F456="","",'הזנה לתנאי סף'!R456)</f>
        <v/>
      </c>
      <c r="J456" s="349" t="str">
        <f>IF($F456="","",'תחום תמיכה א'!P456)</f>
        <v/>
      </c>
      <c r="K456" s="177" t="str">
        <f>IF($F456="","",'הזנה לתנאי סף'!N456)</f>
        <v/>
      </c>
      <c r="L456" s="177" t="str">
        <f>IF($F456="","",'הזנה לתנאי סף'!O456)</f>
        <v/>
      </c>
      <c r="M456" s="177" t="str">
        <f>IF($F456="","",'הזנה לתנאי סף'!Q456)</f>
        <v/>
      </c>
      <c r="N456" s="349" t="str">
        <f>IF($F456="","",'תחום תמיכה א'!AE456)</f>
        <v/>
      </c>
      <c r="O456" s="178"/>
      <c r="P456" s="349" t="str">
        <f>IF($F456="","",'תחום תמיכה ב'!AC456)</f>
        <v/>
      </c>
      <c r="Q456" s="349" t="str">
        <f>IF($F456="","",IF('תחום תמיכה ג'!O456="",0,'תחום תמיכה ג'!O456))</f>
        <v/>
      </c>
      <c r="R456" s="349" t="str">
        <f t="shared" si="24"/>
        <v/>
      </c>
      <c r="S456" s="349" t="str">
        <f>IF($F456="","",'תחום תמיכה ב'!AE456)</f>
        <v/>
      </c>
      <c r="T456" s="349" t="str">
        <f>IF($F456="","",IF(Q456='תחום תמיכה ג'!$Q$2,'תחום תמיכה ג'!$Q$2,IFERROR(SUMIF(N456:R456,"&gt;0"),'תחום תמיכה ג'!$Q$2)))</f>
        <v/>
      </c>
      <c r="U456" s="349" t="str">
        <f>IF($F456="","",'הזנה לתנאי סף'!Y456)</f>
        <v/>
      </c>
      <c r="V456" s="350" t="str">
        <f>IF(F456="","",'הגבלה לסכום מבוקש '!AA456)</f>
        <v/>
      </c>
      <c r="W456" s="349" t="str">
        <f t="shared" si="25"/>
        <v/>
      </c>
      <c r="X456" s="349" t="str">
        <f>IF(F456="","",'הזנה לתנאי סף'!Z456)</f>
        <v/>
      </c>
      <c r="Y456" s="351"/>
      <c r="Z456" s="352" t="str">
        <f>IFERROR(VLOOKUP(G456*1,#REF!,3,0),"")</f>
        <v/>
      </c>
      <c r="AA456" s="349" t="str">
        <f>IF(OR($F456="",Z456=""),"",IFERROR(IF(Z456&gt;V456,MIN(Z456,T456)-V456,0),'תחום תמיכה ג'!$Q$2))</f>
        <v/>
      </c>
      <c r="AB456" s="353"/>
      <c r="AC456" s="260" t="str">
        <f t="shared" si="27"/>
        <v/>
      </c>
      <c r="AD456" s="358"/>
      <c r="AE456" s="180"/>
      <c r="AF456" s="355" t="str">
        <f>IF($C456="","",IFERROR(VLOOKUP($C456,גיליון1!$A:$E,2,0),"לא הגיש בקשה שוטפת"))</f>
        <v/>
      </c>
      <c r="AG456" s="355" t="str">
        <f>IF($C456="","",IFERROR(VLOOKUP($C456,גיליון1!$A:$E,3,0),"לא הגיש בקשה שוטפת"))</f>
        <v/>
      </c>
      <c r="AH456" s="355" t="str">
        <f>IF($C456="","",IFERROR(VLOOKUP($C456,גיליון1!$A:$E,4,0),"לא הגיש בקשה שוטפת"))</f>
        <v/>
      </c>
      <c r="AI456" s="355" t="str">
        <f>IF($C456="","",IFERROR(VLOOKUP($C456,גיליון1!$A:$E,5,0),"לא הגיש בקשה שוטפת"))</f>
        <v/>
      </c>
      <c r="AJ456" s="355">
        <f t="shared" si="26"/>
        <v>0</v>
      </c>
      <c r="AK456" s="15"/>
      <c r="AL456" s="15" t="s">
        <v>250</v>
      </c>
    </row>
    <row r="457" spans="1:38" x14ac:dyDescent="0.25">
      <c r="A457" s="346" t="str">
        <f>'הזנה לתנאי סף'!B457</f>
        <v/>
      </c>
      <c r="B457" s="347" t="str">
        <f>IF($F457="","",'הזנה לתנאי סף'!C457)</f>
        <v/>
      </c>
      <c r="C457" s="347" t="str">
        <f>IF($F457="","",'הזנה לתנאי סף'!D457)</f>
        <v/>
      </c>
      <c r="D457" s="347" t="str">
        <f>IF($F457="","",'הזנה לתנאי סף'!E457)</f>
        <v/>
      </c>
      <c r="E457" s="348" t="str">
        <f>IF($F457="","",'הזנה לתנאי סף'!F457)</f>
        <v/>
      </c>
      <c r="F457" s="348" t="str">
        <f>IF('הזנה לתנאי סף'!BL457=1,'הזנה לתנאי סף'!G457,"")</f>
        <v/>
      </c>
      <c r="G457" s="348" t="str">
        <f>IF($F457="","",'הזנה לתנאי סף'!H457)</f>
        <v/>
      </c>
      <c r="H457" s="348" t="str">
        <f>IF($F457="","",'הזנה לתנאי סף'!I457)</f>
        <v/>
      </c>
      <c r="I457" s="349" t="str">
        <f>IF($F457="","",'הזנה לתנאי סף'!R457)</f>
        <v/>
      </c>
      <c r="J457" s="349" t="str">
        <f>IF($F457="","",'תחום תמיכה א'!P457)</f>
        <v/>
      </c>
      <c r="K457" s="177" t="str">
        <f>IF($F457="","",'הזנה לתנאי סף'!N457)</f>
        <v/>
      </c>
      <c r="L457" s="177" t="str">
        <f>IF($F457="","",'הזנה לתנאי סף'!O457)</f>
        <v/>
      </c>
      <c r="M457" s="177" t="str">
        <f>IF($F457="","",'הזנה לתנאי סף'!Q457)</f>
        <v/>
      </c>
      <c r="N457" s="349" t="str">
        <f>IF($F457="","",'תחום תמיכה א'!AE457)</f>
        <v/>
      </c>
      <c r="O457" s="178"/>
      <c r="P457" s="349" t="str">
        <f>IF($F457="","",'תחום תמיכה ב'!AC457)</f>
        <v/>
      </c>
      <c r="Q457" s="349" t="str">
        <f>IF($F457="","",IF('תחום תמיכה ג'!O457="",0,'תחום תמיכה ג'!O457))</f>
        <v/>
      </c>
      <c r="R457" s="349" t="str">
        <f t="shared" si="24"/>
        <v/>
      </c>
      <c r="S457" s="349" t="str">
        <f>IF($F457="","",'תחום תמיכה ב'!AE457)</f>
        <v/>
      </c>
      <c r="T457" s="349" t="str">
        <f>IF($F457="","",IF(Q457='תחום תמיכה ג'!$Q$2,'תחום תמיכה ג'!$Q$2,IFERROR(SUMIF(N457:R457,"&gt;0"),'תחום תמיכה ג'!$Q$2)))</f>
        <v/>
      </c>
      <c r="U457" s="349" t="str">
        <f>IF($F457="","",'הזנה לתנאי סף'!Y457)</f>
        <v/>
      </c>
      <c r="V457" s="350" t="str">
        <f>IF(F457="","",'הגבלה לסכום מבוקש '!AA457)</f>
        <v/>
      </c>
      <c r="W457" s="349" t="str">
        <f t="shared" si="25"/>
        <v/>
      </c>
      <c r="X457" s="349" t="str">
        <f>IF(F457="","",'הזנה לתנאי סף'!Z457)</f>
        <v/>
      </c>
      <c r="Y457" s="351"/>
      <c r="Z457" s="352" t="str">
        <f>IFERROR(VLOOKUP(G457*1,#REF!,3,0),"")</f>
        <v/>
      </c>
      <c r="AA457" s="349" t="str">
        <f>IF(OR($F457="",Z457=""),"",IFERROR(IF(Z457&gt;V457,MIN(Z457,T457)-V457,0),'תחום תמיכה ג'!$Q$2))</f>
        <v/>
      </c>
      <c r="AB457" s="353"/>
      <c r="AC457" s="260" t="str">
        <f t="shared" si="27"/>
        <v/>
      </c>
      <c r="AD457" s="358"/>
      <c r="AE457" s="180"/>
      <c r="AF457" s="355" t="str">
        <f>IF($C457="","",IFERROR(VLOOKUP($C457,גיליון1!$A:$E,2,0),"לא הגיש בקשה שוטפת"))</f>
        <v/>
      </c>
      <c r="AG457" s="355" t="str">
        <f>IF($C457="","",IFERROR(VLOOKUP($C457,גיליון1!$A:$E,3,0),"לא הגיש בקשה שוטפת"))</f>
        <v/>
      </c>
      <c r="AH457" s="355" t="str">
        <f>IF($C457="","",IFERROR(VLOOKUP($C457,גיליון1!$A:$E,4,0),"לא הגיש בקשה שוטפת"))</f>
        <v/>
      </c>
      <c r="AI457" s="355" t="str">
        <f>IF($C457="","",IFERROR(VLOOKUP($C457,גיליון1!$A:$E,5,0),"לא הגיש בקשה שוטפת"))</f>
        <v/>
      </c>
      <c r="AJ457" s="355">
        <f t="shared" si="26"/>
        <v>0</v>
      </c>
      <c r="AK457" s="15"/>
      <c r="AL457" s="15" t="s">
        <v>250</v>
      </c>
    </row>
    <row r="458" spans="1:38" x14ac:dyDescent="0.25">
      <c r="A458" s="346" t="str">
        <f>'הזנה לתנאי סף'!B458</f>
        <v/>
      </c>
      <c r="B458" s="347" t="str">
        <f>IF($F458="","",'הזנה לתנאי סף'!C458)</f>
        <v/>
      </c>
      <c r="C458" s="347" t="str">
        <f>IF($F458="","",'הזנה לתנאי סף'!D458)</f>
        <v/>
      </c>
      <c r="D458" s="347" t="str">
        <f>IF($F458="","",'הזנה לתנאי סף'!E458)</f>
        <v/>
      </c>
      <c r="E458" s="348" t="str">
        <f>IF($F458="","",'הזנה לתנאי סף'!F458)</f>
        <v/>
      </c>
      <c r="F458" s="348" t="str">
        <f>IF('הזנה לתנאי סף'!BL458=1,'הזנה לתנאי סף'!G458,"")</f>
        <v/>
      </c>
      <c r="G458" s="348" t="str">
        <f>IF($F458="","",'הזנה לתנאי סף'!H458)</f>
        <v/>
      </c>
      <c r="H458" s="348" t="str">
        <f>IF($F458="","",'הזנה לתנאי סף'!I458)</f>
        <v/>
      </c>
      <c r="I458" s="349" t="str">
        <f>IF($F458="","",'הזנה לתנאי סף'!R458)</f>
        <v/>
      </c>
      <c r="J458" s="349" t="str">
        <f>IF($F458="","",'תחום תמיכה א'!P458)</f>
        <v/>
      </c>
      <c r="K458" s="177" t="str">
        <f>IF($F458="","",'הזנה לתנאי סף'!N458)</f>
        <v/>
      </c>
      <c r="L458" s="177" t="str">
        <f>IF($F458="","",'הזנה לתנאי סף'!O458)</f>
        <v/>
      </c>
      <c r="M458" s="177" t="str">
        <f>IF($F458="","",'הזנה לתנאי סף'!Q458)</f>
        <v/>
      </c>
      <c r="N458" s="349" t="str">
        <f>IF($F458="","",'תחום תמיכה א'!AE458)</f>
        <v/>
      </c>
      <c r="O458" s="178"/>
      <c r="P458" s="349" t="str">
        <f>IF($F458="","",'תחום תמיכה ב'!AC458)</f>
        <v/>
      </c>
      <c r="Q458" s="349" t="str">
        <f>IF($F458="","",IF('תחום תמיכה ג'!O458="",0,'תחום תמיכה ג'!O458))</f>
        <v/>
      </c>
      <c r="R458" s="349" t="str">
        <f t="shared" si="24"/>
        <v/>
      </c>
      <c r="S458" s="349" t="str">
        <f>IF($F458="","",'תחום תמיכה ב'!AE458)</f>
        <v/>
      </c>
      <c r="T458" s="349" t="str">
        <f>IF($F458="","",IF(Q458='תחום תמיכה ג'!$Q$2,'תחום תמיכה ג'!$Q$2,IFERROR(SUMIF(N458:R458,"&gt;0"),'תחום תמיכה ג'!$Q$2)))</f>
        <v/>
      </c>
      <c r="U458" s="349" t="str">
        <f>IF($F458="","",'הזנה לתנאי סף'!Y458)</f>
        <v/>
      </c>
      <c r="V458" s="350" t="str">
        <f>IF(F458="","",'הגבלה לסכום מבוקש '!AA458)</f>
        <v/>
      </c>
      <c r="W458" s="349" t="str">
        <f t="shared" si="25"/>
        <v/>
      </c>
      <c r="X458" s="349" t="str">
        <f>IF(F458="","",'הזנה לתנאי סף'!Z458)</f>
        <v/>
      </c>
      <c r="Y458" s="351"/>
      <c r="Z458" s="352" t="str">
        <f>IFERROR(VLOOKUP(G458*1,#REF!,3,0),"")</f>
        <v/>
      </c>
      <c r="AA458" s="349" t="str">
        <f>IF(OR($F458="",Z458=""),"",IFERROR(IF(Z458&gt;V458,MIN(Z458,T458)-V458,0),'תחום תמיכה ג'!$Q$2))</f>
        <v/>
      </c>
      <c r="AB458" s="353"/>
      <c r="AC458" s="260" t="str">
        <f t="shared" si="27"/>
        <v/>
      </c>
      <c r="AD458" s="358"/>
      <c r="AE458" s="180"/>
      <c r="AF458" s="355" t="str">
        <f>IF($C458="","",IFERROR(VLOOKUP($C458,גיליון1!$A:$E,2,0),"לא הגיש בקשה שוטפת"))</f>
        <v/>
      </c>
      <c r="AG458" s="355" t="str">
        <f>IF($C458="","",IFERROR(VLOOKUP($C458,גיליון1!$A:$E,3,0),"לא הגיש בקשה שוטפת"))</f>
        <v/>
      </c>
      <c r="AH458" s="355" t="str">
        <f>IF($C458="","",IFERROR(VLOOKUP($C458,גיליון1!$A:$E,4,0),"לא הגיש בקשה שוטפת"))</f>
        <v/>
      </c>
      <c r="AI458" s="355" t="str">
        <f>IF($C458="","",IFERROR(VLOOKUP($C458,גיליון1!$A:$E,5,0),"לא הגיש בקשה שוטפת"))</f>
        <v/>
      </c>
      <c r="AJ458" s="355">
        <f t="shared" si="26"/>
        <v>0</v>
      </c>
      <c r="AK458" s="15"/>
      <c r="AL458" s="15" t="s">
        <v>250</v>
      </c>
    </row>
    <row r="459" spans="1:38" x14ac:dyDescent="0.25">
      <c r="A459" s="346" t="str">
        <f>'הזנה לתנאי סף'!B459</f>
        <v/>
      </c>
      <c r="B459" s="347" t="str">
        <f>IF($F459="","",'הזנה לתנאי סף'!C459)</f>
        <v/>
      </c>
      <c r="C459" s="347" t="str">
        <f>IF($F459="","",'הזנה לתנאי סף'!D459)</f>
        <v/>
      </c>
      <c r="D459" s="347" t="str">
        <f>IF($F459="","",'הזנה לתנאי סף'!E459)</f>
        <v/>
      </c>
      <c r="E459" s="348" t="str">
        <f>IF($F459="","",'הזנה לתנאי סף'!F459)</f>
        <v/>
      </c>
      <c r="F459" s="348" t="str">
        <f>IF('הזנה לתנאי סף'!BL459=1,'הזנה לתנאי סף'!G459,"")</f>
        <v/>
      </c>
      <c r="G459" s="348" t="str">
        <f>IF($F459="","",'הזנה לתנאי סף'!H459)</f>
        <v/>
      </c>
      <c r="H459" s="348" t="str">
        <f>IF($F459="","",'הזנה לתנאי סף'!I459)</f>
        <v/>
      </c>
      <c r="I459" s="349" t="str">
        <f>IF($F459="","",'הזנה לתנאי סף'!R459)</f>
        <v/>
      </c>
      <c r="J459" s="349" t="str">
        <f>IF($F459="","",'תחום תמיכה א'!P459)</f>
        <v/>
      </c>
      <c r="K459" s="177" t="str">
        <f>IF($F459="","",'הזנה לתנאי סף'!N459)</f>
        <v/>
      </c>
      <c r="L459" s="177" t="str">
        <f>IF($F459="","",'הזנה לתנאי סף'!O459)</f>
        <v/>
      </c>
      <c r="M459" s="177" t="str">
        <f>IF($F459="","",'הזנה לתנאי סף'!Q459)</f>
        <v/>
      </c>
      <c r="N459" s="349" t="str">
        <f>IF($F459="","",'תחום תמיכה א'!AE459)</f>
        <v/>
      </c>
      <c r="O459" s="178"/>
      <c r="P459" s="349" t="str">
        <f>IF($F459="","",'תחום תמיכה ב'!AC459)</f>
        <v/>
      </c>
      <c r="Q459" s="349" t="str">
        <f>IF($F459="","",IF('תחום תמיכה ג'!O459="",0,'תחום תמיכה ג'!O459))</f>
        <v/>
      </c>
      <c r="R459" s="349" t="str">
        <f t="shared" si="24"/>
        <v/>
      </c>
      <c r="S459" s="349" t="str">
        <f>IF($F459="","",'תחום תמיכה ב'!AE459)</f>
        <v/>
      </c>
      <c r="T459" s="349" t="str">
        <f>IF($F459="","",IF(Q459='תחום תמיכה ג'!$Q$2,'תחום תמיכה ג'!$Q$2,IFERROR(SUMIF(N459:R459,"&gt;0"),'תחום תמיכה ג'!$Q$2)))</f>
        <v/>
      </c>
      <c r="U459" s="349" t="str">
        <f>IF($F459="","",'הזנה לתנאי סף'!Y459)</f>
        <v/>
      </c>
      <c r="V459" s="350" t="str">
        <f>IF(F459="","",'הגבלה לסכום מבוקש '!AA459)</f>
        <v/>
      </c>
      <c r="W459" s="349" t="str">
        <f t="shared" si="25"/>
        <v/>
      </c>
      <c r="X459" s="349" t="str">
        <f>IF(F459="","",'הזנה לתנאי סף'!Z459)</f>
        <v/>
      </c>
      <c r="Y459" s="351"/>
      <c r="Z459" s="352" t="str">
        <f>IFERROR(VLOOKUP(G459*1,#REF!,3,0),"")</f>
        <v/>
      </c>
      <c r="AA459" s="349" t="str">
        <f>IF(OR($F459="",Z459=""),"",IFERROR(IF(Z459&gt;V459,MIN(Z459,T459)-V459,0),'תחום תמיכה ג'!$Q$2))</f>
        <v/>
      </c>
      <c r="AB459" s="353"/>
      <c r="AC459" s="260" t="str">
        <f t="shared" si="27"/>
        <v/>
      </c>
      <c r="AD459" s="358"/>
      <c r="AE459" s="180"/>
      <c r="AF459" s="355" t="str">
        <f>IF($C459="","",IFERROR(VLOOKUP($C459,גיליון1!$A:$E,2,0),"לא הגיש בקשה שוטפת"))</f>
        <v/>
      </c>
      <c r="AG459" s="355" t="str">
        <f>IF($C459="","",IFERROR(VLOOKUP($C459,גיליון1!$A:$E,3,0),"לא הגיש בקשה שוטפת"))</f>
        <v/>
      </c>
      <c r="AH459" s="355" t="str">
        <f>IF($C459="","",IFERROR(VLOOKUP($C459,גיליון1!$A:$E,4,0),"לא הגיש בקשה שוטפת"))</f>
        <v/>
      </c>
      <c r="AI459" s="355" t="str">
        <f>IF($C459="","",IFERROR(VLOOKUP($C459,גיליון1!$A:$E,5,0),"לא הגיש בקשה שוטפת"))</f>
        <v/>
      </c>
      <c r="AJ459" s="355">
        <f t="shared" si="26"/>
        <v>0</v>
      </c>
      <c r="AK459" s="15"/>
      <c r="AL459" s="15" t="s">
        <v>250</v>
      </c>
    </row>
    <row r="460" spans="1:38" x14ac:dyDescent="0.25">
      <c r="A460" s="346" t="str">
        <f>'הזנה לתנאי סף'!B460</f>
        <v/>
      </c>
      <c r="B460" s="347" t="str">
        <f>IF($F460="","",'הזנה לתנאי סף'!C460)</f>
        <v/>
      </c>
      <c r="C460" s="347" t="str">
        <f>IF($F460="","",'הזנה לתנאי סף'!D460)</f>
        <v/>
      </c>
      <c r="D460" s="347" t="str">
        <f>IF($F460="","",'הזנה לתנאי סף'!E460)</f>
        <v/>
      </c>
      <c r="E460" s="348" t="str">
        <f>IF($F460="","",'הזנה לתנאי סף'!F460)</f>
        <v/>
      </c>
      <c r="F460" s="348" t="str">
        <f>IF('הזנה לתנאי סף'!BL460=1,'הזנה לתנאי סף'!G460,"")</f>
        <v/>
      </c>
      <c r="G460" s="348" t="str">
        <f>IF($F460="","",'הזנה לתנאי סף'!H460)</f>
        <v/>
      </c>
      <c r="H460" s="348" t="str">
        <f>IF($F460="","",'הזנה לתנאי סף'!I460)</f>
        <v/>
      </c>
      <c r="I460" s="349" t="str">
        <f>IF($F460="","",'הזנה לתנאי סף'!R460)</f>
        <v/>
      </c>
      <c r="J460" s="349" t="str">
        <f>IF($F460="","",'תחום תמיכה א'!P460)</f>
        <v/>
      </c>
      <c r="K460" s="177" t="str">
        <f>IF($F460="","",'הזנה לתנאי סף'!N460)</f>
        <v/>
      </c>
      <c r="L460" s="177" t="str">
        <f>IF($F460="","",'הזנה לתנאי סף'!O460)</f>
        <v/>
      </c>
      <c r="M460" s="177" t="str">
        <f>IF($F460="","",'הזנה לתנאי סף'!Q460)</f>
        <v/>
      </c>
      <c r="N460" s="349" t="str">
        <f>IF($F460="","",'תחום תמיכה א'!AE460)</f>
        <v/>
      </c>
      <c r="O460" s="178"/>
      <c r="P460" s="349" t="str">
        <f>IF($F460="","",'תחום תמיכה ב'!AC460)</f>
        <v/>
      </c>
      <c r="Q460" s="349" t="str">
        <f>IF($F460="","",IF('תחום תמיכה ג'!O460="",0,'תחום תמיכה ג'!O460))</f>
        <v/>
      </c>
      <c r="R460" s="349" t="str">
        <f t="shared" si="24"/>
        <v/>
      </c>
      <c r="S460" s="349" t="str">
        <f>IF($F460="","",'תחום תמיכה ב'!AE460)</f>
        <v/>
      </c>
      <c r="T460" s="349" t="str">
        <f>IF($F460="","",IF(Q460='תחום תמיכה ג'!$Q$2,'תחום תמיכה ג'!$Q$2,IFERROR(SUMIF(N460:R460,"&gt;0"),'תחום תמיכה ג'!$Q$2)))</f>
        <v/>
      </c>
      <c r="U460" s="349" t="str">
        <f>IF($F460="","",'הזנה לתנאי סף'!Y460)</f>
        <v/>
      </c>
      <c r="V460" s="350" t="str">
        <f>IF(F460="","",'הגבלה לסכום מבוקש '!AA460)</f>
        <v/>
      </c>
      <c r="W460" s="349" t="str">
        <f t="shared" si="25"/>
        <v/>
      </c>
      <c r="X460" s="349" t="str">
        <f>IF(F460="","",'הזנה לתנאי סף'!Z460)</f>
        <v/>
      </c>
      <c r="Y460" s="351"/>
      <c r="Z460" s="352" t="str">
        <f>IFERROR(VLOOKUP(G460*1,#REF!,3,0),"")</f>
        <v/>
      </c>
      <c r="AA460" s="349" t="str">
        <f>IF(OR($F460="",Z460=""),"",IFERROR(IF(Z460&gt;V460,MIN(Z460,T460)-V460,0),'תחום תמיכה ג'!$Q$2))</f>
        <v/>
      </c>
      <c r="AB460" s="353"/>
      <c r="AC460" s="260" t="str">
        <f t="shared" si="27"/>
        <v/>
      </c>
      <c r="AD460" s="358"/>
      <c r="AE460" s="180"/>
      <c r="AF460" s="355" t="str">
        <f>IF($C460="","",IFERROR(VLOOKUP($C460,גיליון1!$A:$E,2,0),"לא הגיש בקשה שוטפת"))</f>
        <v/>
      </c>
      <c r="AG460" s="355" t="str">
        <f>IF($C460="","",IFERROR(VLOOKUP($C460,גיליון1!$A:$E,3,0),"לא הגיש בקשה שוטפת"))</f>
        <v/>
      </c>
      <c r="AH460" s="355" t="str">
        <f>IF($C460="","",IFERROR(VLOOKUP($C460,גיליון1!$A:$E,4,0),"לא הגיש בקשה שוטפת"))</f>
        <v/>
      </c>
      <c r="AI460" s="355" t="str">
        <f>IF($C460="","",IFERROR(VLOOKUP($C460,גיליון1!$A:$E,5,0),"לא הגיש בקשה שוטפת"))</f>
        <v/>
      </c>
      <c r="AJ460" s="355">
        <f t="shared" si="26"/>
        <v>0</v>
      </c>
      <c r="AK460" s="15"/>
      <c r="AL460" s="15" t="s">
        <v>250</v>
      </c>
    </row>
    <row r="461" spans="1:38" x14ac:dyDescent="0.25">
      <c r="A461" s="346" t="str">
        <f>'הזנה לתנאי סף'!B461</f>
        <v/>
      </c>
      <c r="B461" s="347" t="str">
        <f>IF($F461="","",'הזנה לתנאי סף'!C461)</f>
        <v/>
      </c>
      <c r="C461" s="347" t="str">
        <f>IF($F461="","",'הזנה לתנאי סף'!D461)</f>
        <v/>
      </c>
      <c r="D461" s="347" t="str">
        <f>IF($F461="","",'הזנה לתנאי סף'!E461)</f>
        <v/>
      </c>
      <c r="E461" s="348" t="str">
        <f>IF($F461="","",'הזנה לתנאי סף'!F461)</f>
        <v/>
      </c>
      <c r="F461" s="348" t="str">
        <f>IF('הזנה לתנאי סף'!BL461=1,'הזנה לתנאי סף'!G461,"")</f>
        <v/>
      </c>
      <c r="G461" s="348" t="str">
        <f>IF($F461="","",'הזנה לתנאי סף'!H461)</f>
        <v/>
      </c>
      <c r="H461" s="348" t="str">
        <f>IF($F461="","",'הזנה לתנאי סף'!I461)</f>
        <v/>
      </c>
      <c r="I461" s="349" t="str">
        <f>IF($F461="","",'הזנה לתנאי סף'!R461)</f>
        <v/>
      </c>
      <c r="J461" s="349" t="str">
        <f>IF($F461="","",'תחום תמיכה א'!P461)</f>
        <v/>
      </c>
      <c r="K461" s="177" t="str">
        <f>IF($F461="","",'הזנה לתנאי סף'!N461)</f>
        <v/>
      </c>
      <c r="L461" s="177" t="str">
        <f>IF($F461="","",'הזנה לתנאי סף'!O461)</f>
        <v/>
      </c>
      <c r="M461" s="177" t="str">
        <f>IF($F461="","",'הזנה לתנאי סף'!Q461)</f>
        <v/>
      </c>
      <c r="N461" s="349" t="str">
        <f>IF($F461="","",'תחום תמיכה א'!AE461)</f>
        <v/>
      </c>
      <c r="O461" s="178"/>
      <c r="P461" s="349" t="str">
        <f>IF($F461="","",'תחום תמיכה ב'!AC461)</f>
        <v/>
      </c>
      <c r="Q461" s="349" t="str">
        <f>IF($F461="","",IF('תחום תמיכה ג'!O461="",0,'תחום תמיכה ג'!O461))</f>
        <v/>
      </c>
      <c r="R461" s="349" t="str">
        <f t="shared" si="24"/>
        <v/>
      </c>
      <c r="S461" s="349" t="str">
        <f>IF($F461="","",'תחום תמיכה ב'!AE461)</f>
        <v/>
      </c>
      <c r="T461" s="349" t="str">
        <f>IF($F461="","",IF(Q461='תחום תמיכה ג'!$Q$2,'תחום תמיכה ג'!$Q$2,IFERROR(SUMIF(N461:R461,"&gt;0"),'תחום תמיכה ג'!$Q$2)))</f>
        <v/>
      </c>
      <c r="U461" s="349" t="str">
        <f>IF($F461="","",'הזנה לתנאי סף'!Y461)</f>
        <v/>
      </c>
      <c r="V461" s="350" t="str">
        <f>IF(F461="","",'הגבלה לסכום מבוקש '!AA461)</f>
        <v/>
      </c>
      <c r="W461" s="349" t="str">
        <f t="shared" si="25"/>
        <v/>
      </c>
      <c r="X461" s="349" t="str">
        <f>IF(F461="","",'הזנה לתנאי סף'!Z461)</f>
        <v/>
      </c>
      <c r="Y461" s="351"/>
      <c r="Z461" s="352" t="str">
        <f>IFERROR(VLOOKUP(G461*1,#REF!,3,0),"")</f>
        <v/>
      </c>
      <c r="AA461" s="349" t="str">
        <f>IF(OR($F461="",Z461=""),"",IFERROR(IF(Z461&gt;V461,MIN(Z461,T461)-V461,0),'תחום תמיכה ג'!$Q$2))</f>
        <v/>
      </c>
      <c r="AB461" s="353"/>
      <c r="AC461" s="260" t="str">
        <f t="shared" si="27"/>
        <v/>
      </c>
      <c r="AD461" s="358"/>
      <c r="AE461" s="180"/>
      <c r="AF461" s="355" t="str">
        <f>IF($C461="","",IFERROR(VLOOKUP($C461,גיליון1!$A:$E,2,0),"לא הגיש בקשה שוטפת"))</f>
        <v/>
      </c>
      <c r="AG461" s="355" t="str">
        <f>IF($C461="","",IFERROR(VLOOKUP($C461,גיליון1!$A:$E,3,0),"לא הגיש בקשה שוטפת"))</f>
        <v/>
      </c>
      <c r="AH461" s="355" t="str">
        <f>IF($C461="","",IFERROR(VLOOKUP($C461,גיליון1!$A:$E,4,0),"לא הגיש בקשה שוטפת"))</f>
        <v/>
      </c>
      <c r="AI461" s="355" t="str">
        <f>IF($C461="","",IFERROR(VLOOKUP($C461,גיליון1!$A:$E,5,0),"לא הגיש בקשה שוטפת"))</f>
        <v/>
      </c>
      <c r="AJ461" s="355">
        <f t="shared" si="26"/>
        <v>0</v>
      </c>
      <c r="AK461" s="15"/>
      <c r="AL461" s="15" t="s">
        <v>250</v>
      </c>
    </row>
    <row r="462" spans="1:38" x14ac:dyDescent="0.25">
      <c r="A462" s="346" t="str">
        <f>'הזנה לתנאי סף'!B462</f>
        <v/>
      </c>
      <c r="B462" s="347" t="str">
        <f>IF($F462="","",'הזנה לתנאי סף'!C462)</f>
        <v/>
      </c>
      <c r="C462" s="347" t="str">
        <f>IF($F462="","",'הזנה לתנאי סף'!D462)</f>
        <v/>
      </c>
      <c r="D462" s="347" t="str">
        <f>IF($F462="","",'הזנה לתנאי סף'!E462)</f>
        <v/>
      </c>
      <c r="E462" s="348" t="str">
        <f>IF($F462="","",'הזנה לתנאי סף'!F462)</f>
        <v/>
      </c>
      <c r="F462" s="348" t="str">
        <f>IF('הזנה לתנאי סף'!BL462=1,'הזנה לתנאי סף'!G462,"")</f>
        <v/>
      </c>
      <c r="G462" s="348" t="str">
        <f>IF($F462="","",'הזנה לתנאי סף'!H462)</f>
        <v/>
      </c>
      <c r="H462" s="348" t="str">
        <f>IF($F462="","",'הזנה לתנאי סף'!I462)</f>
        <v/>
      </c>
      <c r="I462" s="349" t="str">
        <f>IF($F462="","",'הזנה לתנאי סף'!R462)</f>
        <v/>
      </c>
      <c r="J462" s="349" t="str">
        <f>IF($F462="","",'תחום תמיכה א'!P462)</f>
        <v/>
      </c>
      <c r="K462" s="177" t="str">
        <f>IF($F462="","",'הזנה לתנאי סף'!N462)</f>
        <v/>
      </c>
      <c r="L462" s="177" t="str">
        <f>IF($F462="","",'הזנה לתנאי סף'!O462)</f>
        <v/>
      </c>
      <c r="M462" s="177" t="str">
        <f>IF($F462="","",'הזנה לתנאי סף'!Q462)</f>
        <v/>
      </c>
      <c r="N462" s="349" t="str">
        <f>IF($F462="","",'תחום תמיכה א'!AE462)</f>
        <v/>
      </c>
      <c r="O462" s="178"/>
      <c r="P462" s="349" t="str">
        <f>IF($F462="","",'תחום תמיכה ב'!AC462)</f>
        <v/>
      </c>
      <c r="Q462" s="349" t="str">
        <f>IF($F462="","",IF('תחום תמיכה ג'!O462="",0,'תחום תמיכה ג'!O462))</f>
        <v/>
      </c>
      <c r="R462" s="349" t="str">
        <f t="shared" si="24"/>
        <v/>
      </c>
      <c r="S462" s="349" t="str">
        <f>IF($F462="","",'תחום תמיכה ב'!AE462)</f>
        <v/>
      </c>
      <c r="T462" s="349" t="str">
        <f>IF($F462="","",IF(Q462='תחום תמיכה ג'!$Q$2,'תחום תמיכה ג'!$Q$2,IFERROR(SUMIF(N462:R462,"&gt;0"),'תחום תמיכה ג'!$Q$2)))</f>
        <v/>
      </c>
      <c r="U462" s="349" t="str">
        <f>IF($F462="","",'הזנה לתנאי סף'!Y462)</f>
        <v/>
      </c>
      <c r="V462" s="350" t="str">
        <f>IF(F462="","",'הגבלה לסכום מבוקש '!AA462)</f>
        <v/>
      </c>
      <c r="W462" s="349" t="str">
        <f t="shared" si="25"/>
        <v/>
      </c>
      <c r="X462" s="349" t="str">
        <f>IF(F462="","",'הזנה לתנאי סף'!Z462)</f>
        <v/>
      </c>
      <c r="Y462" s="351"/>
      <c r="Z462" s="352" t="str">
        <f>IFERROR(VLOOKUP(G462*1,#REF!,3,0),"")</f>
        <v/>
      </c>
      <c r="AA462" s="349" t="str">
        <f>IF(OR($F462="",Z462=""),"",IFERROR(IF(Z462&gt;V462,MIN(Z462,T462)-V462,0),'תחום תמיכה ג'!$Q$2))</f>
        <v/>
      </c>
      <c r="AB462" s="353"/>
      <c r="AC462" s="260" t="str">
        <f t="shared" si="27"/>
        <v/>
      </c>
      <c r="AD462" s="358"/>
      <c r="AE462" s="180"/>
      <c r="AF462" s="355" t="str">
        <f>IF($C462="","",IFERROR(VLOOKUP($C462,גיליון1!$A:$E,2,0),"לא הגיש בקשה שוטפת"))</f>
        <v/>
      </c>
      <c r="AG462" s="355" t="str">
        <f>IF($C462="","",IFERROR(VLOOKUP($C462,גיליון1!$A:$E,3,0),"לא הגיש בקשה שוטפת"))</f>
        <v/>
      </c>
      <c r="AH462" s="355" t="str">
        <f>IF($C462="","",IFERROR(VLOOKUP($C462,גיליון1!$A:$E,4,0),"לא הגיש בקשה שוטפת"))</f>
        <v/>
      </c>
      <c r="AI462" s="355" t="str">
        <f>IF($C462="","",IFERROR(VLOOKUP($C462,גיליון1!$A:$E,5,0),"לא הגיש בקשה שוטפת"))</f>
        <v/>
      </c>
      <c r="AJ462" s="355">
        <f t="shared" si="26"/>
        <v>0</v>
      </c>
      <c r="AK462" s="15"/>
      <c r="AL462" s="15" t="s">
        <v>250</v>
      </c>
    </row>
    <row r="463" spans="1:38" x14ac:dyDescent="0.25">
      <c r="A463" s="346" t="str">
        <f>'הזנה לתנאי סף'!B463</f>
        <v/>
      </c>
      <c r="B463" s="347" t="str">
        <f>IF($F463="","",'הזנה לתנאי סף'!C463)</f>
        <v/>
      </c>
      <c r="C463" s="347" t="str">
        <f>IF($F463="","",'הזנה לתנאי סף'!D463)</f>
        <v/>
      </c>
      <c r="D463" s="347" t="str">
        <f>IF($F463="","",'הזנה לתנאי סף'!E463)</f>
        <v/>
      </c>
      <c r="E463" s="348" t="str">
        <f>IF($F463="","",'הזנה לתנאי סף'!F463)</f>
        <v/>
      </c>
      <c r="F463" s="348" t="str">
        <f>IF('הזנה לתנאי סף'!BL463=1,'הזנה לתנאי סף'!G463,"")</f>
        <v/>
      </c>
      <c r="G463" s="348" t="str">
        <f>IF($F463="","",'הזנה לתנאי סף'!H463)</f>
        <v/>
      </c>
      <c r="H463" s="348" t="str">
        <f>IF($F463="","",'הזנה לתנאי סף'!I463)</f>
        <v/>
      </c>
      <c r="I463" s="349" t="str">
        <f>IF($F463="","",'הזנה לתנאי סף'!R463)</f>
        <v/>
      </c>
      <c r="J463" s="349" t="str">
        <f>IF($F463="","",'תחום תמיכה א'!P463)</f>
        <v/>
      </c>
      <c r="K463" s="177" t="str">
        <f>IF($F463="","",'הזנה לתנאי סף'!N463)</f>
        <v/>
      </c>
      <c r="L463" s="177" t="str">
        <f>IF($F463="","",'הזנה לתנאי סף'!O463)</f>
        <v/>
      </c>
      <c r="M463" s="177" t="str">
        <f>IF($F463="","",'הזנה לתנאי סף'!Q463)</f>
        <v/>
      </c>
      <c r="N463" s="349" t="str">
        <f>IF($F463="","",'תחום תמיכה א'!AE463)</f>
        <v/>
      </c>
      <c r="O463" s="178"/>
      <c r="P463" s="349" t="str">
        <f>IF($F463="","",'תחום תמיכה ב'!AC463)</f>
        <v/>
      </c>
      <c r="Q463" s="349" t="str">
        <f>IF($F463="","",IF('תחום תמיכה ג'!O463="",0,'תחום תמיכה ג'!O463))</f>
        <v/>
      </c>
      <c r="R463" s="349" t="str">
        <f t="shared" si="24"/>
        <v/>
      </c>
      <c r="S463" s="349" t="str">
        <f>IF($F463="","",'תחום תמיכה ב'!AE463)</f>
        <v/>
      </c>
      <c r="T463" s="349" t="str">
        <f>IF($F463="","",IF(Q463='תחום תמיכה ג'!$Q$2,'תחום תמיכה ג'!$Q$2,IFERROR(SUMIF(N463:R463,"&gt;0"),'תחום תמיכה ג'!$Q$2)))</f>
        <v/>
      </c>
      <c r="U463" s="349" t="str">
        <f>IF($F463="","",'הזנה לתנאי סף'!Y463)</f>
        <v/>
      </c>
      <c r="V463" s="350" t="str">
        <f>IF(F463="","",'הגבלה לסכום מבוקש '!AA463)</f>
        <v/>
      </c>
      <c r="W463" s="349" t="str">
        <f t="shared" si="25"/>
        <v/>
      </c>
      <c r="X463" s="349" t="str">
        <f>IF(F463="","",'הזנה לתנאי סף'!Z463)</f>
        <v/>
      </c>
      <c r="Y463" s="351"/>
      <c r="Z463" s="352" t="str">
        <f>IFERROR(VLOOKUP(G463*1,#REF!,3,0),"")</f>
        <v/>
      </c>
      <c r="AA463" s="349" t="str">
        <f>IF(OR($F463="",Z463=""),"",IFERROR(IF(Z463&gt;V463,MIN(Z463,T463)-V463,0),'תחום תמיכה ג'!$Q$2))</f>
        <v/>
      </c>
      <c r="AB463" s="353"/>
      <c r="AC463" s="260" t="str">
        <f t="shared" si="27"/>
        <v/>
      </c>
      <c r="AD463" s="358"/>
      <c r="AE463" s="180"/>
      <c r="AF463" s="355" t="str">
        <f>IF($C463="","",IFERROR(VLOOKUP($C463,גיליון1!$A:$E,2,0),"לא הגיש בקשה שוטפת"))</f>
        <v/>
      </c>
      <c r="AG463" s="355" t="str">
        <f>IF($C463="","",IFERROR(VLOOKUP($C463,גיליון1!$A:$E,3,0),"לא הגיש בקשה שוטפת"))</f>
        <v/>
      </c>
      <c r="AH463" s="355" t="str">
        <f>IF($C463="","",IFERROR(VLOOKUP($C463,גיליון1!$A:$E,4,0),"לא הגיש בקשה שוטפת"))</f>
        <v/>
      </c>
      <c r="AI463" s="355" t="str">
        <f>IF($C463="","",IFERROR(VLOOKUP($C463,גיליון1!$A:$E,5,0),"לא הגיש בקשה שוטפת"))</f>
        <v/>
      </c>
      <c r="AJ463" s="355">
        <f t="shared" si="26"/>
        <v>0</v>
      </c>
      <c r="AK463" s="15"/>
      <c r="AL463" s="15" t="s">
        <v>250</v>
      </c>
    </row>
    <row r="464" spans="1:38" x14ac:dyDescent="0.25">
      <c r="A464" s="346" t="str">
        <f>'הזנה לתנאי סף'!B464</f>
        <v/>
      </c>
      <c r="B464" s="347" t="str">
        <f>IF($F464="","",'הזנה לתנאי סף'!C464)</f>
        <v/>
      </c>
      <c r="C464" s="347" t="str">
        <f>IF($F464="","",'הזנה לתנאי סף'!D464)</f>
        <v/>
      </c>
      <c r="D464" s="347" t="str">
        <f>IF($F464="","",'הזנה לתנאי סף'!E464)</f>
        <v/>
      </c>
      <c r="E464" s="348" t="str">
        <f>IF($F464="","",'הזנה לתנאי סף'!F464)</f>
        <v/>
      </c>
      <c r="F464" s="348" t="str">
        <f>IF('הזנה לתנאי סף'!BL464=1,'הזנה לתנאי סף'!G464,"")</f>
        <v/>
      </c>
      <c r="G464" s="348" t="str">
        <f>IF($F464="","",'הזנה לתנאי סף'!H464)</f>
        <v/>
      </c>
      <c r="H464" s="348" t="str">
        <f>IF($F464="","",'הזנה לתנאי סף'!I464)</f>
        <v/>
      </c>
      <c r="I464" s="349" t="str">
        <f>IF($F464="","",'הזנה לתנאי סף'!R464)</f>
        <v/>
      </c>
      <c r="J464" s="349" t="str">
        <f>IF($F464="","",'תחום תמיכה א'!P464)</f>
        <v/>
      </c>
      <c r="K464" s="177" t="str">
        <f>IF($F464="","",'הזנה לתנאי סף'!N464)</f>
        <v/>
      </c>
      <c r="L464" s="177" t="str">
        <f>IF($F464="","",'הזנה לתנאי סף'!O464)</f>
        <v/>
      </c>
      <c r="M464" s="177" t="str">
        <f>IF($F464="","",'הזנה לתנאי סף'!Q464)</f>
        <v/>
      </c>
      <c r="N464" s="349" t="str">
        <f>IF($F464="","",'תחום תמיכה א'!AE464)</f>
        <v/>
      </c>
      <c r="O464" s="178"/>
      <c r="P464" s="349" t="str">
        <f>IF($F464="","",'תחום תמיכה ב'!AC464)</f>
        <v/>
      </c>
      <c r="Q464" s="349" t="str">
        <f>IF($F464="","",IF('תחום תמיכה ג'!O464="",0,'תחום תמיכה ג'!O464))</f>
        <v/>
      </c>
      <c r="R464" s="349" t="str">
        <f t="shared" si="24"/>
        <v/>
      </c>
      <c r="S464" s="349" t="str">
        <f>IF($F464="","",'תחום תמיכה ב'!AE464)</f>
        <v/>
      </c>
      <c r="T464" s="349" t="str">
        <f>IF($F464="","",IF(Q464='תחום תמיכה ג'!$Q$2,'תחום תמיכה ג'!$Q$2,IFERROR(SUMIF(N464:R464,"&gt;0"),'תחום תמיכה ג'!$Q$2)))</f>
        <v/>
      </c>
      <c r="U464" s="349" t="str">
        <f>IF($F464="","",'הזנה לתנאי סף'!Y464)</f>
        <v/>
      </c>
      <c r="V464" s="350" t="str">
        <f>IF(F464="","",'הגבלה לסכום מבוקש '!AA464)</f>
        <v/>
      </c>
      <c r="W464" s="349" t="str">
        <f t="shared" si="25"/>
        <v/>
      </c>
      <c r="X464" s="349" t="str">
        <f>IF(F464="","",'הזנה לתנאי סף'!Z464)</f>
        <v/>
      </c>
      <c r="Y464" s="351"/>
      <c r="Z464" s="352" t="str">
        <f>IFERROR(VLOOKUP(G464*1,#REF!,3,0),"")</f>
        <v/>
      </c>
      <c r="AA464" s="349" t="str">
        <f>IF(OR($F464="",Z464=""),"",IFERROR(IF(Z464&gt;V464,MIN(Z464,T464)-V464,0),'תחום תמיכה ג'!$Q$2))</f>
        <v/>
      </c>
      <c r="AB464" s="353"/>
      <c r="AC464" s="260" t="str">
        <f t="shared" si="27"/>
        <v/>
      </c>
      <c r="AD464" s="358"/>
      <c r="AE464" s="180"/>
      <c r="AF464" s="355" t="str">
        <f>IF($C464="","",IFERROR(VLOOKUP($C464,גיליון1!$A:$E,2,0),"לא הגיש בקשה שוטפת"))</f>
        <v/>
      </c>
      <c r="AG464" s="355" t="str">
        <f>IF($C464="","",IFERROR(VLOOKUP($C464,גיליון1!$A:$E,3,0),"לא הגיש בקשה שוטפת"))</f>
        <v/>
      </c>
      <c r="AH464" s="355" t="str">
        <f>IF($C464="","",IFERROR(VLOOKUP($C464,גיליון1!$A:$E,4,0),"לא הגיש בקשה שוטפת"))</f>
        <v/>
      </c>
      <c r="AI464" s="355" t="str">
        <f>IF($C464="","",IFERROR(VLOOKUP($C464,גיליון1!$A:$E,5,0),"לא הגיש בקשה שוטפת"))</f>
        <v/>
      </c>
      <c r="AJ464" s="355">
        <f t="shared" si="26"/>
        <v>0</v>
      </c>
      <c r="AK464" s="15"/>
      <c r="AL464" s="15" t="s">
        <v>250</v>
      </c>
    </row>
    <row r="465" spans="1:38" x14ac:dyDescent="0.25">
      <c r="A465" s="346" t="str">
        <f>'הזנה לתנאי סף'!B465</f>
        <v/>
      </c>
      <c r="B465" s="347" t="str">
        <f>IF($F465="","",'הזנה לתנאי סף'!C465)</f>
        <v/>
      </c>
      <c r="C465" s="347" t="str">
        <f>IF($F465="","",'הזנה לתנאי סף'!D465)</f>
        <v/>
      </c>
      <c r="D465" s="347" t="str">
        <f>IF($F465="","",'הזנה לתנאי סף'!E465)</f>
        <v/>
      </c>
      <c r="E465" s="348" t="str">
        <f>IF($F465="","",'הזנה לתנאי סף'!F465)</f>
        <v/>
      </c>
      <c r="F465" s="348" t="str">
        <f>IF('הזנה לתנאי סף'!BL465=1,'הזנה לתנאי סף'!G465,"")</f>
        <v/>
      </c>
      <c r="G465" s="348" t="str">
        <f>IF($F465="","",'הזנה לתנאי סף'!H465)</f>
        <v/>
      </c>
      <c r="H465" s="348" t="str">
        <f>IF($F465="","",'הזנה לתנאי סף'!I465)</f>
        <v/>
      </c>
      <c r="I465" s="349" t="str">
        <f>IF($F465="","",'הזנה לתנאי סף'!R465)</f>
        <v/>
      </c>
      <c r="J465" s="349" t="str">
        <f>IF($F465="","",'תחום תמיכה א'!P465)</f>
        <v/>
      </c>
      <c r="K465" s="177" t="str">
        <f>IF($F465="","",'הזנה לתנאי סף'!N465)</f>
        <v/>
      </c>
      <c r="L465" s="177" t="str">
        <f>IF($F465="","",'הזנה לתנאי סף'!O465)</f>
        <v/>
      </c>
      <c r="M465" s="177" t="str">
        <f>IF($F465="","",'הזנה לתנאי סף'!Q465)</f>
        <v/>
      </c>
      <c r="N465" s="349" t="str">
        <f>IF($F465="","",'תחום תמיכה א'!AE465)</f>
        <v/>
      </c>
      <c r="O465" s="178"/>
      <c r="P465" s="349" t="str">
        <f>IF($F465="","",'תחום תמיכה ב'!AC465)</f>
        <v/>
      </c>
      <c r="Q465" s="349" t="str">
        <f>IF($F465="","",IF('תחום תמיכה ג'!O465="",0,'תחום תמיכה ג'!O465))</f>
        <v/>
      </c>
      <c r="R465" s="349" t="str">
        <f t="shared" si="24"/>
        <v/>
      </c>
      <c r="S465" s="349" t="str">
        <f>IF($F465="","",'תחום תמיכה ב'!AE465)</f>
        <v/>
      </c>
      <c r="T465" s="349" t="str">
        <f>IF($F465="","",IF(Q465='תחום תמיכה ג'!$Q$2,'תחום תמיכה ג'!$Q$2,IFERROR(SUMIF(N465:R465,"&gt;0"),'תחום תמיכה ג'!$Q$2)))</f>
        <v/>
      </c>
      <c r="U465" s="349" t="str">
        <f>IF($F465="","",'הזנה לתנאי סף'!Y465)</f>
        <v/>
      </c>
      <c r="V465" s="350" t="str">
        <f>IF(F465="","",'הגבלה לסכום מבוקש '!AA465)</f>
        <v/>
      </c>
      <c r="W465" s="349" t="str">
        <f t="shared" si="25"/>
        <v/>
      </c>
      <c r="X465" s="349" t="str">
        <f>IF(F465="","",'הזנה לתנאי סף'!Z465)</f>
        <v/>
      </c>
      <c r="Y465" s="351"/>
      <c r="Z465" s="352" t="str">
        <f>IFERROR(VLOOKUP(G465*1,#REF!,3,0),"")</f>
        <v/>
      </c>
      <c r="AA465" s="349" t="str">
        <f>IF(OR($F465="",Z465=""),"",IFERROR(IF(Z465&gt;V465,MIN(Z465,T465)-V465,0),'תחום תמיכה ג'!$Q$2))</f>
        <v/>
      </c>
      <c r="AB465" s="353"/>
      <c r="AC465" s="260" t="str">
        <f t="shared" si="27"/>
        <v/>
      </c>
      <c r="AD465" s="358"/>
      <c r="AE465" s="180"/>
      <c r="AF465" s="355" t="str">
        <f>IF($C465="","",IFERROR(VLOOKUP($C465,גיליון1!$A:$E,2,0),"לא הגיש בקשה שוטפת"))</f>
        <v/>
      </c>
      <c r="AG465" s="355" t="str">
        <f>IF($C465="","",IFERROR(VLOOKUP($C465,גיליון1!$A:$E,3,0),"לא הגיש בקשה שוטפת"))</f>
        <v/>
      </c>
      <c r="AH465" s="355" t="str">
        <f>IF($C465="","",IFERROR(VLOOKUP($C465,גיליון1!$A:$E,4,0),"לא הגיש בקשה שוטפת"))</f>
        <v/>
      </c>
      <c r="AI465" s="355" t="str">
        <f>IF($C465="","",IFERROR(VLOOKUP($C465,גיליון1!$A:$E,5,0),"לא הגיש בקשה שוטפת"))</f>
        <v/>
      </c>
      <c r="AJ465" s="355">
        <f t="shared" si="26"/>
        <v>0</v>
      </c>
      <c r="AK465" s="15"/>
      <c r="AL465" s="15" t="s">
        <v>250</v>
      </c>
    </row>
    <row r="466" spans="1:38" x14ac:dyDescent="0.25">
      <c r="A466" s="346" t="str">
        <f>'הזנה לתנאי סף'!B466</f>
        <v/>
      </c>
      <c r="B466" s="347" t="str">
        <f>IF($F466="","",'הזנה לתנאי סף'!C466)</f>
        <v/>
      </c>
      <c r="C466" s="347" t="str">
        <f>IF($F466="","",'הזנה לתנאי סף'!D466)</f>
        <v/>
      </c>
      <c r="D466" s="347" t="str">
        <f>IF($F466="","",'הזנה לתנאי סף'!E466)</f>
        <v/>
      </c>
      <c r="E466" s="348" t="str">
        <f>IF($F466="","",'הזנה לתנאי סף'!F466)</f>
        <v/>
      </c>
      <c r="F466" s="348" t="str">
        <f>IF('הזנה לתנאי סף'!BL466=1,'הזנה לתנאי סף'!G466,"")</f>
        <v/>
      </c>
      <c r="G466" s="348" t="str">
        <f>IF($F466="","",'הזנה לתנאי סף'!H466)</f>
        <v/>
      </c>
      <c r="H466" s="348" t="str">
        <f>IF($F466="","",'הזנה לתנאי סף'!I466)</f>
        <v/>
      </c>
      <c r="I466" s="349" t="str">
        <f>IF($F466="","",'הזנה לתנאי סף'!R466)</f>
        <v/>
      </c>
      <c r="J466" s="349" t="str">
        <f>IF($F466="","",'תחום תמיכה א'!P466)</f>
        <v/>
      </c>
      <c r="K466" s="177" t="str">
        <f>IF($F466="","",'הזנה לתנאי סף'!N466)</f>
        <v/>
      </c>
      <c r="L466" s="177" t="str">
        <f>IF($F466="","",'הזנה לתנאי סף'!O466)</f>
        <v/>
      </c>
      <c r="M466" s="177" t="str">
        <f>IF($F466="","",'הזנה לתנאי סף'!Q466)</f>
        <v/>
      </c>
      <c r="N466" s="349" t="str">
        <f>IF($F466="","",'תחום תמיכה א'!AE466)</f>
        <v/>
      </c>
      <c r="O466" s="178"/>
      <c r="P466" s="349" t="str">
        <f>IF($F466="","",'תחום תמיכה ב'!AC466)</f>
        <v/>
      </c>
      <c r="Q466" s="349" t="str">
        <f>IF($F466="","",IF('תחום תמיכה ג'!O466="",0,'תחום תמיכה ג'!O466))</f>
        <v/>
      </c>
      <c r="R466" s="349" t="str">
        <f t="shared" si="24"/>
        <v/>
      </c>
      <c r="S466" s="349" t="str">
        <f>IF($F466="","",'תחום תמיכה ב'!AE466)</f>
        <v/>
      </c>
      <c r="T466" s="349" t="str">
        <f>IF($F466="","",IF(Q466='תחום תמיכה ג'!$Q$2,'תחום תמיכה ג'!$Q$2,IFERROR(SUMIF(N466:R466,"&gt;0"),'תחום תמיכה ג'!$Q$2)))</f>
        <v/>
      </c>
      <c r="U466" s="349" t="str">
        <f>IF($F466="","",'הזנה לתנאי סף'!Y466)</f>
        <v/>
      </c>
      <c r="V466" s="350" t="str">
        <f>IF(F466="","",'הגבלה לסכום מבוקש '!AA466)</f>
        <v/>
      </c>
      <c r="W466" s="349" t="str">
        <f t="shared" si="25"/>
        <v/>
      </c>
      <c r="X466" s="349" t="str">
        <f>IF(F466="","",'הזנה לתנאי סף'!Z466)</f>
        <v/>
      </c>
      <c r="Y466" s="351"/>
      <c r="Z466" s="352" t="str">
        <f>IFERROR(VLOOKUP(G466*1,#REF!,3,0),"")</f>
        <v/>
      </c>
      <c r="AA466" s="349" t="str">
        <f>IF(OR($F466="",Z466=""),"",IFERROR(IF(Z466&gt;V466,MIN(Z466,T466)-V466,0),'תחום תמיכה ג'!$Q$2))</f>
        <v/>
      </c>
      <c r="AB466" s="353"/>
      <c r="AC466" s="260" t="str">
        <f t="shared" si="27"/>
        <v/>
      </c>
      <c r="AD466" s="358"/>
      <c r="AE466" s="180"/>
      <c r="AF466" s="355" t="str">
        <f>IF($C466="","",IFERROR(VLOOKUP($C466,גיליון1!$A:$E,2,0),"לא הגיש בקשה שוטפת"))</f>
        <v/>
      </c>
      <c r="AG466" s="355" t="str">
        <f>IF($C466="","",IFERROR(VLOOKUP($C466,גיליון1!$A:$E,3,0),"לא הגיש בקשה שוטפת"))</f>
        <v/>
      </c>
      <c r="AH466" s="355" t="str">
        <f>IF($C466="","",IFERROR(VLOOKUP($C466,גיליון1!$A:$E,4,0),"לא הגיש בקשה שוטפת"))</f>
        <v/>
      </c>
      <c r="AI466" s="355" t="str">
        <f>IF($C466="","",IFERROR(VLOOKUP($C466,גיליון1!$A:$E,5,0),"לא הגיש בקשה שוטפת"))</f>
        <v/>
      </c>
      <c r="AJ466" s="355">
        <f t="shared" si="26"/>
        <v>0</v>
      </c>
      <c r="AK466" s="15"/>
      <c r="AL466" s="15" t="s">
        <v>250</v>
      </c>
    </row>
    <row r="467" spans="1:38" x14ac:dyDescent="0.25">
      <c r="A467" s="346" t="str">
        <f>'הזנה לתנאי סף'!B467</f>
        <v/>
      </c>
      <c r="B467" s="347" t="str">
        <f>IF($F467="","",'הזנה לתנאי סף'!C467)</f>
        <v/>
      </c>
      <c r="C467" s="347" t="str">
        <f>IF($F467="","",'הזנה לתנאי סף'!D467)</f>
        <v/>
      </c>
      <c r="D467" s="347" t="str">
        <f>IF($F467="","",'הזנה לתנאי סף'!E467)</f>
        <v/>
      </c>
      <c r="E467" s="348" t="str">
        <f>IF($F467="","",'הזנה לתנאי סף'!F467)</f>
        <v/>
      </c>
      <c r="F467" s="348" t="str">
        <f>IF('הזנה לתנאי סף'!BL467=1,'הזנה לתנאי סף'!G467,"")</f>
        <v/>
      </c>
      <c r="G467" s="348" t="str">
        <f>IF($F467="","",'הזנה לתנאי סף'!H467)</f>
        <v/>
      </c>
      <c r="H467" s="348" t="str">
        <f>IF($F467="","",'הזנה לתנאי סף'!I467)</f>
        <v/>
      </c>
      <c r="I467" s="349" t="str">
        <f>IF($F467="","",'הזנה לתנאי סף'!R467)</f>
        <v/>
      </c>
      <c r="J467" s="349" t="str">
        <f>IF($F467="","",'תחום תמיכה א'!P467)</f>
        <v/>
      </c>
      <c r="K467" s="177" t="str">
        <f>IF($F467="","",'הזנה לתנאי סף'!N467)</f>
        <v/>
      </c>
      <c r="L467" s="177" t="str">
        <f>IF($F467="","",'הזנה לתנאי סף'!O467)</f>
        <v/>
      </c>
      <c r="M467" s="177" t="str">
        <f>IF($F467="","",'הזנה לתנאי סף'!Q467)</f>
        <v/>
      </c>
      <c r="N467" s="349" t="str">
        <f>IF($F467="","",'תחום תמיכה א'!AE467)</f>
        <v/>
      </c>
      <c r="O467" s="178"/>
      <c r="P467" s="349" t="str">
        <f>IF($F467="","",'תחום תמיכה ב'!AC467)</f>
        <v/>
      </c>
      <c r="Q467" s="349" t="str">
        <f>IF($F467="","",IF('תחום תמיכה ג'!O467="",0,'תחום תמיכה ג'!O467))</f>
        <v/>
      </c>
      <c r="R467" s="349" t="str">
        <f t="shared" si="24"/>
        <v/>
      </c>
      <c r="S467" s="349" t="str">
        <f>IF($F467="","",'תחום תמיכה ב'!AE467)</f>
        <v/>
      </c>
      <c r="T467" s="349" t="str">
        <f>IF($F467="","",IF(Q467='תחום תמיכה ג'!$Q$2,'תחום תמיכה ג'!$Q$2,IFERROR(SUMIF(N467:R467,"&gt;0"),'תחום תמיכה ג'!$Q$2)))</f>
        <v/>
      </c>
      <c r="U467" s="349" t="str">
        <f>IF($F467="","",'הזנה לתנאי סף'!Y467)</f>
        <v/>
      </c>
      <c r="V467" s="350" t="str">
        <f>IF(F467="","",'הגבלה לסכום מבוקש '!AA467)</f>
        <v/>
      </c>
      <c r="W467" s="349" t="str">
        <f t="shared" si="25"/>
        <v/>
      </c>
      <c r="X467" s="349" t="str">
        <f>IF(F467="","",'הזנה לתנאי סף'!Z467)</f>
        <v/>
      </c>
      <c r="Y467" s="351"/>
      <c r="Z467" s="352" t="str">
        <f>IFERROR(VLOOKUP(G467*1,#REF!,3,0),"")</f>
        <v/>
      </c>
      <c r="AA467" s="349" t="str">
        <f>IF(OR($F467="",Z467=""),"",IFERROR(IF(Z467&gt;V467,MIN(Z467,T467)-V467,0),'תחום תמיכה ג'!$Q$2))</f>
        <v/>
      </c>
      <c r="AB467" s="353"/>
      <c r="AC467" s="260" t="str">
        <f t="shared" si="27"/>
        <v/>
      </c>
      <c r="AD467" s="358"/>
      <c r="AE467" s="180"/>
      <c r="AF467" s="355" t="str">
        <f>IF($C467="","",IFERROR(VLOOKUP($C467,גיליון1!$A:$E,2,0),"לא הגיש בקשה שוטפת"))</f>
        <v/>
      </c>
      <c r="AG467" s="355" t="str">
        <f>IF($C467="","",IFERROR(VLOOKUP($C467,גיליון1!$A:$E,3,0),"לא הגיש בקשה שוטפת"))</f>
        <v/>
      </c>
      <c r="AH467" s="355" t="str">
        <f>IF($C467="","",IFERROR(VLOOKUP($C467,גיליון1!$A:$E,4,0),"לא הגיש בקשה שוטפת"))</f>
        <v/>
      </c>
      <c r="AI467" s="355" t="str">
        <f>IF($C467="","",IFERROR(VLOOKUP($C467,גיליון1!$A:$E,5,0),"לא הגיש בקשה שוטפת"))</f>
        <v/>
      </c>
      <c r="AJ467" s="355">
        <f t="shared" si="26"/>
        <v>0</v>
      </c>
      <c r="AK467" s="15"/>
      <c r="AL467" s="15" t="s">
        <v>250</v>
      </c>
    </row>
    <row r="468" spans="1:38" x14ac:dyDescent="0.25">
      <c r="A468" s="346" t="str">
        <f>'הזנה לתנאי סף'!B468</f>
        <v/>
      </c>
      <c r="B468" s="347" t="str">
        <f>IF($F468="","",'הזנה לתנאי סף'!C468)</f>
        <v/>
      </c>
      <c r="C468" s="347" t="str">
        <f>IF($F468="","",'הזנה לתנאי סף'!D468)</f>
        <v/>
      </c>
      <c r="D468" s="347" t="str">
        <f>IF($F468="","",'הזנה לתנאי סף'!E468)</f>
        <v/>
      </c>
      <c r="E468" s="348" t="str">
        <f>IF($F468="","",'הזנה לתנאי סף'!F468)</f>
        <v/>
      </c>
      <c r="F468" s="348" t="str">
        <f>IF('הזנה לתנאי סף'!BL468=1,'הזנה לתנאי סף'!G468,"")</f>
        <v/>
      </c>
      <c r="G468" s="348" t="str">
        <f>IF($F468="","",'הזנה לתנאי סף'!H468)</f>
        <v/>
      </c>
      <c r="H468" s="348" t="str">
        <f>IF($F468="","",'הזנה לתנאי סף'!I468)</f>
        <v/>
      </c>
      <c r="I468" s="349" t="str">
        <f>IF($F468="","",'הזנה לתנאי סף'!R468)</f>
        <v/>
      </c>
      <c r="J468" s="349" t="str">
        <f>IF($F468="","",'תחום תמיכה א'!P468)</f>
        <v/>
      </c>
      <c r="K468" s="177" t="str">
        <f>IF($F468="","",'הזנה לתנאי סף'!N468)</f>
        <v/>
      </c>
      <c r="L468" s="177" t="str">
        <f>IF($F468="","",'הזנה לתנאי סף'!O468)</f>
        <v/>
      </c>
      <c r="M468" s="177" t="str">
        <f>IF($F468="","",'הזנה לתנאי סף'!Q468)</f>
        <v/>
      </c>
      <c r="N468" s="349" t="str">
        <f>IF($F468="","",'תחום תמיכה א'!AE468)</f>
        <v/>
      </c>
      <c r="O468" s="178"/>
      <c r="P468" s="349" t="str">
        <f>IF($F468="","",'תחום תמיכה ב'!AC468)</f>
        <v/>
      </c>
      <c r="Q468" s="349" t="str">
        <f>IF($F468="","",IF('תחום תמיכה ג'!O468="",0,'תחום תמיכה ג'!O468))</f>
        <v/>
      </c>
      <c r="R468" s="349" t="str">
        <f t="shared" si="24"/>
        <v/>
      </c>
      <c r="S468" s="349" t="str">
        <f>IF($F468="","",'תחום תמיכה ב'!AE468)</f>
        <v/>
      </c>
      <c r="T468" s="349" t="str">
        <f>IF($F468="","",IF(Q468='תחום תמיכה ג'!$Q$2,'תחום תמיכה ג'!$Q$2,IFERROR(SUMIF(N468:R468,"&gt;0"),'תחום תמיכה ג'!$Q$2)))</f>
        <v/>
      </c>
      <c r="U468" s="349" t="str">
        <f>IF($F468="","",'הזנה לתנאי סף'!Y468)</f>
        <v/>
      </c>
      <c r="V468" s="350" t="str">
        <f>IF(F468="","",'הגבלה לסכום מבוקש '!AA468)</f>
        <v/>
      </c>
      <c r="W468" s="349" t="str">
        <f t="shared" si="25"/>
        <v/>
      </c>
      <c r="X468" s="349" t="str">
        <f>IF(F468="","",'הזנה לתנאי סף'!Z468)</f>
        <v/>
      </c>
      <c r="Y468" s="351"/>
      <c r="Z468" s="352" t="str">
        <f>IFERROR(VLOOKUP(G468*1,#REF!,3,0),"")</f>
        <v/>
      </c>
      <c r="AA468" s="349" t="str">
        <f>IF(OR($F468="",Z468=""),"",IFERROR(IF(Z468&gt;V468,MIN(Z468,T468)-V468,0),'תחום תמיכה ג'!$Q$2))</f>
        <v/>
      </c>
      <c r="AB468" s="353"/>
      <c r="AC468" s="260" t="str">
        <f t="shared" si="27"/>
        <v/>
      </c>
      <c r="AD468" s="358"/>
      <c r="AE468" s="180"/>
      <c r="AF468" s="355" t="str">
        <f>IF($C468="","",IFERROR(VLOOKUP($C468,גיליון1!$A:$E,2,0),"לא הגיש בקשה שוטפת"))</f>
        <v/>
      </c>
      <c r="AG468" s="355" t="str">
        <f>IF($C468="","",IFERROR(VLOOKUP($C468,גיליון1!$A:$E,3,0),"לא הגיש בקשה שוטפת"))</f>
        <v/>
      </c>
      <c r="AH468" s="355" t="str">
        <f>IF($C468="","",IFERROR(VLOOKUP($C468,גיליון1!$A:$E,4,0),"לא הגיש בקשה שוטפת"))</f>
        <v/>
      </c>
      <c r="AI468" s="355" t="str">
        <f>IF($C468="","",IFERROR(VLOOKUP($C468,גיליון1!$A:$E,5,0),"לא הגיש בקשה שוטפת"))</f>
        <v/>
      </c>
      <c r="AJ468" s="355">
        <f t="shared" si="26"/>
        <v>0</v>
      </c>
      <c r="AK468" s="15"/>
      <c r="AL468" s="15" t="s">
        <v>250</v>
      </c>
    </row>
    <row r="469" spans="1:38" x14ac:dyDescent="0.25">
      <c r="A469" s="346" t="str">
        <f>'הזנה לתנאי סף'!B469</f>
        <v/>
      </c>
      <c r="B469" s="347" t="str">
        <f>IF($F469="","",'הזנה לתנאי סף'!C469)</f>
        <v/>
      </c>
      <c r="C469" s="347" t="str">
        <f>IF($F469="","",'הזנה לתנאי סף'!D469)</f>
        <v/>
      </c>
      <c r="D469" s="347" t="str">
        <f>IF($F469="","",'הזנה לתנאי סף'!E469)</f>
        <v/>
      </c>
      <c r="E469" s="348" t="str">
        <f>IF($F469="","",'הזנה לתנאי סף'!F469)</f>
        <v/>
      </c>
      <c r="F469" s="348" t="str">
        <f>IF('הזנה לתנאי סף'!BL469=1,'הזנה לתנאי סף'!G469,"")</f>
        <v/>
      </c>
      <c r="G469" s="348" t="str">
        <f>IF($F469="","",'הזנה לתנאי סף'!H469)</f>
        <v/>
      </c>
      <c r="H469" s="348" t="str">
        <f>IF($F469="","",'הזנה לתנאי סף'!I469)</f>
        <v/>
      </c>
      <c r="I469" s="349" t="str">
        <f>IF($F469="","",'הזנה לתנאי סף'!R469)</f>
        <v/>
      </c>
      <c r="J469" s="349" t="str">
        <f>IF($F469="","",'תחום תמיכה א'!P469)</f>
        <v/>
      </c>
      <c r="K469" s="177" t="str">
        <f>IF($F469="","",'הזנה לתנאי סף'!N469)</f>
        <v/>
      </c>
      <c r="L469" s="177" t="str">
        <f>IF($F469="","",'הזנה לתנאי סף'!O469)</f>
        <v/>
      </c>
      <c r="M469" s="177" t="str">
        <f>IF($F469="","",'הזנה לתנאי סף'!Q469)</f>
        <v/>
      </c>
      <c r="N469" s="349" t="str">
        <f>IF($F469="","",'תחום תמיכה א'!AE469)</f>
        <v/>
      </c>
      <c r="O469" s="178"/>
      <c r="P469" s="349" t="str">
        <f>IF($F469="","",'תחום תמיכה ב'!AC469)</f>
        <v/>
      </c>
      <c r="Q469" s="349" t="str">
        <f>IF($F469="","",IF('תחום תמיכה ג'!O469="",0,'תחום תמיכה ג'!O469))</f>
        <v/>
      </c>
      <c r="R469" s="349" t="str">
        <f t="shared" si="24"/>
        <v/>
      </c>
      <c r="S469" s="349" t="str">
        <f>IF($F469="","",'תחום תמיכה ב'!AE469)</f>
        <v/>
      </c>
      <c r="T469" s="349" t="str">
        <f>IF($F469="","",IF(Q469='תחום תמיכה ג'!$Q$2,'תחום תמיכה ג'!$Q$2,IFERROR(SUMIF(N469:R469,"&gt;0"),'תחום תמיכה ג'!$Q$2)))</f>
        <v/>
      </c>
      <c r="U469" s="349" t="str">
        <f>IF($F469="","",'הזנה לתנאי סף'!Y469)</f>
        <v/>
      </c>
      <c r="V469" s="350" t="str">
        <f>IF(F469="","",'הגבלה לסכום מבוקש '!AA469)</f>
        <v/>
      </c>
      <c r="W469" s="349" t="str">
        <f t="shared" si="25"/>
        <v/>
      </c>
      <c r="X469" s="349" t="str">
        <f>IF(F469="","",'הזנה לתנאי סף'!Z469)</f>
        <v/>
      </c>
      <c r="Y469" s="351"/>
      <c r="Z469" s="352" t="str">
        <f>IFERROR(VLOOKUP(G469*1,#REF!,3,0),"")</f>
        <v/>
      </c>
      <c r="AA469" s="349" t="str">
        <f>IF(OR($F469="",Z469=""),"",IFERROR(IF(Z469&gt;V469,MIN(Z469,T469)-V469,0),'תחום תמיכה ג'!$Q$2))</f>
        <v/>
      </c>
      <c r="AB469" s="353"/>
      <c r="AC469" s="260" t="str">
        <f t="shared" si="27"/>
        <v/>
      </c>
      <c r="AD469" s="358"/>
      <c r="AE469" s="180"/>
      <c r="AF469" s="355" t="str">
        <f>IF($C469="","",IFERROR(VLOOKUP($C469,גיליון1!$A:$E,2,0),"לא הגיש בקשה שוטפת"))</f>
        <v/>
      </c>
      <c r="AG469" s="355" t="str">
        <f>IF($C469="","",IFERROR(VLOOKUP($C469,גיליון1!$A:$E,3,0),"לא הגיש בקשה שוטפת"))</f>
        <v/>
      </c>
      <c r="AH469" s="355" t="str">
        <f>IF($C469="","",IFERROR(VLOOKUP($C469,גיליון1!$A:$E,4,0),"לא הגיש בקשה שוטפת"))</f>
        <v/>
      </c>
      <c r="AI469" s="355" t="str">
        <f>IF($C469="","",IFERROR(VLOOKUP($C469,גיליון1!$A:$E,5,0),"לא הגיש בקשה שוטפת"))</f>
        <v/>
      </c>
      <c r="AJ469" s="355">
        <f t="shared" si="26"/>
        <v>0</v>
      </c>
      <c r="AK469" s="15"/>
      <c r="AL469" s="15" t="s">
        <v>250</v>
      </c>
    </row>
    <row r="470" spans="1:38" x14ac:dyDescent="0.25">
      <c r="A470" s="346" t="str">
        <f>'הזנה לתנאי סף'!B470</f>
        <v/>
      </c>
      <c r="B470" s="347" t="str">
        <f>IF($F470="","",'הזנה לתנאי סף'!C470)</f>
        <v/>
      </c>
      <c r="C470" s="347" t="str">
        <f>IF($F470="","",'הזנה לתנאי סף'!D470)</f>
        <v/>
      </c>
      <c r="D470" s="347" t="str">
        <f>IF($F470="","",'הזנה לתנאי סף'!E470)</f>
        <v/>
      </c>
      <c r="E470" s="348" t="str">
        <f>IF($F470="","",'הזנה לתנאי סף'!F470)</f>
        <v/>
      </c>
      <c r="F470" s="348" t="str">
        <f>IF('הזנה לתנאי סף'!BL470=1,'הזנה לתנאי סף'!G470,"")</f>
        <v/>
      </c>
      <c r="G470" s="348" t="str">
        <f>IF($F470="","",'הזנה לתנאי סף'!H470)</f>
        <v/>
      </c>
      <c r="H470" s="348" t="str">
        <f>IF($F470="","",'הזנה לתנאי סף'!I470)</f>
        <v/>
      </c>
      <c r="I470" s="349" t="str">
        <f>IF($F470="","",'הזנה לתנאי סף'!R470)</f>
        <v/>
      </c>
      <c r="J470" s="349" t="str">
        <f>IF($F470="","",'תחום תמיכה א'!P470)</f>
        <v/>
      </c>
      <c r="K470" s="177" t="str">
        <f>IF($F470="","",'הזנה לתנאי סף'!N470)</f>
        <v/>
      </c>
      <c r="L470" s="177" t="str">
        <f>IF($F470="","",'הזנה לתנאי סף'!O470)</f>
        <v/>
      </c>
      <c r="M470" s="177" t="str">
        <f>IF($F470="","",'הזנה לתנאי סף'!Q470)</f>
        <v/>
      </c>
      <c r="N470" s="349" t="str">
        <f>IF($F470="","",'תחום תמיכה א'!AE470)</f>
        <v/>
      </c>
      <c r="O470" s="178"/>
      <c r="P470" s="349" t="str">
        <f>IF($F470="","",'תחום תמיכה ב'!AC470)</f>
        <v/>
      </c>
      <c r="Q470" s="349" t="str">
        <f>IF($F470="","",IF('תחום תמיכה ג'!O470="",0,'תחום תמיכה ג'!O470))</f>
        <v/>
      </c>
      <c r="R470" s="349" t="str">
        <f t="shared" si="24"/>
        <v/>
      </c>
      <c r="S470" s="349" t="str">
        <f>IF($F470="","",'תחום תמיכה ב'!AE470)</f>
        <v/>
      </c>
      <c r="T470" s="349" t="str">
        <f>IF($F470="","",IF(Q470='תחום תמיכה ג'!$Q$2,'תחום תמיכה ג'!$Q$2,IFERROR(SUMIF(N470:R470,"&gt;0"),'תחום תמיכה ג'!$Q$2)))</f>
        <v/>
      </c>
      <c r="U470" s="349" t="str">
        <f>IF($F470="","",'הזנה לתנאי סף'!Y470)</f>
        <v/>
      </c>
      <c r="V470" s="350" t="str">
        <f>IF(F470="","",'הגבלה לסכום מבוקש '!AA470)</f>
        <v/>
      </c>
      <c r="W470" s="349" t="str">
        <f t="shared" si="25"/>
        <v/>
      </c>
      <c r="X470" s="349" t="str">
        <f>IF(F470="","",'הזנה לתנאי סף'!Z470)</f>
        <v/>
      </c>
      <c r="Y470" s="351"/>
      <c r="Z470" s="352" t="str">
        <f>IFERROR(VLOOKUP(G470*1,#REF!,3,0),"")</f>
        <v/>
      </c>
      <c r="AA470" s="349" t="str">
        <f>IF(OR($F470="",Z470=""),"",IFERROR(IF(Z470&gt;V470,MIN(Z470,T470)-V470,0),'תחום תמיכה ג'!$Q$2))</f>
        <v/>
      </c>
      <c r="AB470" s="353"/>
      <c r="AC470" s="260" t="str">
        <f t="shared" si="27"/>
        <v/>
      </c>
      <c r="AD470" s="358"/>
      <c r="AE470" s="180"/>
      <c r="AF470" s="355" t="str">
        <f>IF($C470="","",IFERROR(VLOOKUP($C470,גיליון1!$A:$E,2,0),"לא הגיש בקשה שוטפת"))</f>
        <v/>
      </c>
      <c r="AG470" s="355" t="str">
        <f>IF($C470="","",IFERROR(VLOOKUP($C470,גיליון1!$A:$E,3,0),"לא הגיש בקשה שוטפת"))</f>
        <v/>
      </c>
      <c r="AH470" s="355" t="str">
        <f>IF($C470="","",IFERROR(VLOOKUP($C470,גיליון1!$A:$E,4,0),"לא הגיש בקשה שוטפת"))</f>
        <v/>
      </c>
      <c r="AI470" s="355" t="str">
        <f>IF($C470="","",IFERROR(VLOOKUP($C470,גיליון1!$A:$E,5,0),"לא הגיש בקשה שוטפת"))</f>
        <v/>
      </c>
      <c r="AJ470" s="355">
        <f t="shared" si="26"/>
        <v>0</v>
      </c>
      <c r="AK470" s="15"/>
      <c r="AL470" s="15" t="s">
        <v>250</v>
      </c>
    </row>
    <row r="471" spans="1:38" x14ac:dyDescent="0.25">
      <c r="A471" s="346" t="str">
        <f>'הזנה לתנאי סף'!B471</f>
        <v/>
      </c>
      <c r="B471" s="347" t="str">
        <f>IF($F471="","",'הזנה לתנאי סף'!C471)</f>
        <v/>
      </c>
      <c r="C471" s="347" t="str">
        <f>IF($F471="","",'הזנה לתנאי סף'!D471)</f>
        <v/>
      </c>
      <c r="D471" s="347" t="str">
        <f>IF($F471="","",'הזנה לתנאי סף'!E471)</f>
        <v/>
      </c>
      <c r="E471" s="348" t="str">
        <f>IF($F471="","",'הזנה לתנאי סף'!F471)</f>
        <v/>
      </c>
      <c r="F471" s="348" t="str">
        <f>IF('הזנה לתנאי סף'!BL471=1,'הזנה לתנאי סף'!G471,"")</f>
        <v/>
      </c>
      <c r="G471" s="348" t="str">
        <f>IF($F471="","",'הזנה לתנאי סף'!H471)</f>
        <v/>
      </c>
      <c r="H471" s="348" t="str">
        <f>IF($F471="","",'הזנה לתנאי סף'!I471)</f>
        <v/>
      </c>
      <c r="I471" s="349" t="str">
        <f>IF($F471="","",'הזנה לתנאי סף'!R471)</f>
        <v/>
      </c>
      <c r="J471" s="349" t="str">
        <f>IF($F471="","",'תחום תמיכה א'!P471)</f>
        <v/>
      </c>
      <c r="K471" s="177" t="str">
        <f>IF($F471="","",'הזנה לתנאי סף'!N471)</f>
        <v/>
      </c>
      <c r="L471" s="177" t="str">
        <f>IF($F471="","",'הזנה לתנאי סף'!O471)</f>
        <v/>
      </c>
      <c r="M471" s="177" t="str">
        <f>IF($F471="","",'הזנה לתנאי סף'!Q471)</f>
        <v/>
      </c>
      <c r="N471" s="349" t="str">
        <f>IF($F471="","",'תחום תמיכה א'!AE471)</f>
        <v/>
      </c>
      <c r="O471" s="178"/>
      <c r="P471" s="349" t="str">
        <f>IF($F471="","",'תחום תמיכה ב'!AC471)</f>
        <v/>
      </c>
      <c r="Q471" s="349" t="str">
        <f>IF($F471="","",IF('תחום תמיכה ג'!O471="",0,'תחום תמיכה ג'!O471))</f>
        <v/>
      </c>
      <c r="R471" s="349" t="str">
        <f t="shared" si="24"/>
        <v/>
      </c>
      <c r="S471" s="349" t="str">
        <f>IF($F471="","",'תחום תמיכה ב'!AE471)</f>
        <v/>
      </c>
      <c r="T471" s="349" t="str">
        <f>IF($F471="","",IF(Q471='תחום תמיכה ג'!$Q$2,'תחום תמיכה ג'!$Q$2,IFERROR(SUMIF(N471:R471,"&gt;0"),'תחום תמיכה ג'!$Q$2)))</f>
        <v/>
      </c>
      <c r="U471" s="349" t="str">
        <f>IF($F471="","",'הזנה לתנאי סף'!Y471)</f>
        <v/>
      </c>
      <c r="V471" s="350" t="str">
        <f>IF(F471="","",'הגבלה לסכום מבוקש '!AA471)</f>
        <v/>
      </c>
      <c r="W471" s="349" t="str">
        <f t="shared" si="25"/>
        <v/>
      </c>
      <c r="X471" s="349" t="str">
        <f>IF(F471="","",'הזנה לתנאי סף'!Z471)</f>
        <v/>
      </c>
      <c r="Y471" s="351"/>
      <c r="Z471" s="352" t="str">
        <f>IFERROR(VLOOKUP(G471*1,#REF!,3,0),"")</f>
        <v/>
      </c>
      <c r="AA471" s="349" t="str">
        <f>IF(OR($F471="",Z471=""),"",IFERROR(IF(Z471&gt;V471,MIN(Z471,T471)-V471,0),'תחום תמיכה ג'!$Q$2))</f>
        <v/>
      </c>
      <c r="AB471" s="353"/>
      <c r="AC471" s="260" t="str">
        <f t="shared" si="27"/>
        <v/>
      </c>
      <c r="AD471" s="358"/>
      <c r="AE471" s="180"/>
      <c r="AF471" s="355" t="str">
        <f>IF($C471="","",IFERROR(VLOOKUP($C471,גיליון1!$A:$E,2,0),"לא הגיש בקשה שוטפת"))</f>
        <v/>
      </c>
      <c r="AG471" s="355" t="str">
        <f>IF($C471="","",IFERROR(VLOOKUP($C471,גיליון1!$A:$E,3,0),"לא הגיש בקשה שוטפת"))</f>
        <v/>
      </c>
      <c r="AH471" s="355" t="str">
        <f>IF($C471="","",IFERROR(VLOOKUP($C471,גיליון1!$A:$E,4,0),"לא הגיש בקשה שוטפת"))</f>
        <v/>
      </c>
      <c r="AI471" s="355" t="str">
        <f>IF($C471="","",IFERROR(VLOOKUP($C471,גיליון1!$A:$E,5,0),"לא הגיש בקשה שוטפת"))</f>
        <v/>
      </c>
      <c r="AJ471" s="355">
        <f t="shared" si="26"/>
        <v>0</v>
      </c>
      <c r="AK471" s="15"/>
      <c r="AL471" s="15" t="s">
        <v>250</v>
      </c>
    </row>
    <row r="472" spans="1:38" x14ac:dyDescent="0.25">
      <c r="A472" s="346" t="str">
        <f>'הזנה לתנאי סף'!B472</f>
        <v/>
      </c>
      <c r="B472" s="347" t="str">
        <f>IF($F472="","",'הזנה לתנאי סף'!C472)</f>
        <v/>
      </c>
      <c r="C472" s="347" t="str">
        <f>IF($F472="","",'הזנה לתנאי סף'!D472)</f>
        <v/>
      </c>
      <c r="D472" s="347" t="str">
        <f>IF($F472="","",'הזנה לתנאי סף'!E472)</f>
        <v/>
      </c>
      <c r="E472" s="348" t="str">
        <f>IF($F472="","",'הזנה לתנאי סף'!F472)</f>
        <v/>
      </c>
      <c r="F472" s="348" t="str">
        <f>IF('הזנה לתנאי סף'!BL472=1,'הזנה לתנאי סף'!G472,"")</f>
        <v/>
      </c>
      <c r="G472" s="348" t="str">
        <f>IF($F472="","",'הזנה לתנאי סף'!H472)</f>
        <v/>
      </c>
      <c r="H472" s="348" t="str">
        <f>IF($F472="","",'הזנה לתנאי סף'!I472)</f>
        <v/>
      </c>
      <c r="I472" s="349" t="str">
        <f>IF($F472="","",'הזנה לתנאי סף'!R472)</f>
        <v/>
      </c>
      <c r="J472" s="349" t="str">
        <f>IF($F472="","",'תחום תמיכה א'!P472)</f>
        <v/>
      </c>
      <c r="K472" s="177" t="str">
        <f>IF($F472="","",'הזנה לתנאי סף'!N472)</f>
        <v/>
      </c>
      <c r="L472" s="177" t="str">
        <f>IF($F472="","",'הזנה לתנאי סף'!O472)</f>
        <v/>
      </c>
      <c r="M472" s="177" t="str">
        <f>IF($F472="","",'הזנה לתנאי סף'!Q472)</f>
        <v/>
      </c>
      <c r="N472" s="349" t="str">
        <f>IF($F472="","",'תחום תמיכה א'!AE472)</f>
        <v/>
      </c>
      <c r="O472" s="178"/>
      <c r="P472" s="349" t="str">
        <f>IF($F472="","",'תחום תמיכה ב'!AC472)</f>
        <v/>
      </c>
      <c r="Q472" s="349" t="str">
        <f>IF($F472="","",IF('תחום תמיכה ג'!O472="",0,'תחום תמיכה ג'!O472))</f>
        <v/>
      </c>
      <c r="R472" s="349" t="str">
        <f t="shared" si="24"/>
        <v/>
      </c>
      <c r="S472" s="349" t="str">
        <f>IF($F472="","",'תחום תמיכה ב'!AE472)</f>
        <v/>
      </c>
      <c r="T472" s="349" t="str">
        <f>IF($F472="","",IF(Q472='תחום תמיכה ג'!$Q$2,'תחום תמיכה ג'!$Q$2,IFERROR(SUMIF(N472:R472,"&gt;0"),'תחום תמיכה ג'!$Q$2)))</f>
        <v/>
      </c>
      <c r="U472" s="349" t="str">
        <f>IF($F472="","",'הזנה לתנאי סף'!Y472)</f>
        <v/>
      </c>
      <c r="V472" s="350" t="str">
        <f>IF(F472="","",'הגבלה לסכום מבוקש '!AA472)</f>
        <v/>
      </c>
      <c r="W472" s="349" t="str">
        <f t="shared" si="25"/>
        <v/>
      </c>
      <c r="X472" s="349" t="str">
        <f>IF(F472="","",'הזנה לתנאי סף'!Z472)</f>
        <v/>
      </c>
      <c r="Y472" s="351"/>
      <c r="Z472" s="352" t="str">
        <f>IFERROR(VLOOKUP(G472*1,#REF!,3,0),"")</f>
        <v/>
      </c>
      <c r="AA472" s="349" t="str">
        <f>IF(OR($F472="",Z472=""),"",IFERROR(IF(Z472&gt;V472,MIN(Z472,T472)-V472,0),'תחום תמיכה ג'!$Q$2))</f>
        <v/>
      </c>
      <c r="AB472" s="353"/>
      <c r="AC472" s="260" t="str">
        <f t="shared" si="27"/>
        <v/>
      </c>
      <c r="AD472" s="358"/>
      <c r="AE472" s="180"/>
      <c r="AF472" s="355" t="str">
        <f>IF($C472="","",IFERROR(VLOOKUP($C472,גיליון1!$A:$E,2,0),"לא הגיש בקשה שוטפת"))</f>
        <v/>
      </c>
      <c r="AG472" s="355" t="str">
        <f>IF($C472="","",IFERROR(VLOOKUP($C472,גיליון1!$A:$E,3,0),"לא הגיש בקשה שוטפת"))</f>
        <v/>
      </c>
      <c r="AH472" s="355" t="str">
        <f>IF($C472="","",IFERROR(VLOOKUP($C472,גיליון1!$A:$E,4,0),"לא הגיש בקשה שוטפת"))</f>
        <v/>
      </c>
      <c r="AI472" s="355" t="str">
        <f>IF($C472="","",IFERROR(VLOOKUP($C472,גיליון1!$A:$E,5,0),"לא הגיש בקשה שוטפת"))</f>
        <v/>
      </c>
      <c r="AJ472" s="355">
        <f t="shared" si="26"/>
        <v>0</v>
      </c>
      <c r="AK472" s="15"/>
      <c r="AL472" s="15" t="s">
        <v>250</v>
      </c>
    </row>
    <row r="473" spans="1:38" x14ac:dyDescent="0.25">
      <c r="A473" s="346" t="str">
        <f>'הזנה לתנאי סף'!B473</f>
        <v/>
      </c>
      <c r="B473" s="347" t="str">
        <f>IF($F473="","",'הזנה לתנאי סף'!C473)</f>
        <v/>
      </c>
      <c r="C473" s="347" t="str">
        <f>IF($F473="","",'הזנה לתנאי סף'!D473)</f>
        <v/>
      </c>
      <c r="D473" s="347" t="str">
        <f>IF($F473="","",'הזנה לתנאי סף'!E473)</f>
        <v/>
      </c>
      <c r="E473" s="348" t="str">
        <f>IF($F473="","",'הזנה לתנאי סף'!F473)</f>
        <v/>
      </c>
      <c r="F473" s="348" t="str">
        <f>IF('הזנה לתנאי סף'!BL473=1,'הזנה לתנאי סף'!G473,"")</f>
        <v/>
      </c>
      <c r="G473" s="348" t="str">
        <f>IF($F473="","",'הזנה לתנאי סף'!H473)</f>
        <v/>
      </c>
      <c r="H473" s="348" t="str">
        <f>IF($F473="","",'הזנה לתנאי סף'!I473)</f>
        <v/>
      </c>
      <c r="I473" s="349" t="str">
        <f>IF($F473="","",'הזנה לתנאי סף'!R473)</f>
        <v/>
      </c>
      <c r="J473" s="349" t="str">
        <f>IF($F473="","",'תחום תמיכה א'!P473)</f>
        <v/>
      </c>
      <c r="K473" s="177" t="str">
        <f>IF($F473="","",'הזנה לתנאי סף'!N473)</f>
        <v/>
      </c>
      <c r="L473" s="177" t="str">
        <f>IF($F473="","",'הזנה לתנאי סף'!O473)</f>
        <v/>
      </c>
      <c r="M473" s="177" t="str">
        <f>IF($F473="","",'הזנה לתנאי סף'!Q473)</f>
        <v/>
      </c>
      <c r="N473" s="349" t="str">
        <f>IF($F473="","",'תחום תמיכה א'!AE473)</f>
        <v/>
      </c>
      <c r="O473" s="178"/>
      <c r="P473" s="349" t="str">
        <f>IF($F473="","",'תחום תמיכה ב'!AC473)</f>
        <v/>
      </c>
      <c r="Q473" s="349" t="str">
        <f>IF($F473="","",IF('תחום תמיכה ג'!O473="",0,'תחום תמיכה ג'!O473))</f>
        <v/>
      </c>
      <c r="R473" s="349" t="str">
        <f t="shared" si="24"/>
        <v/>
      </c>
      <c r="S473" s="349" t="str">
        <f>IF($F473="","",'תחום תמיכה ב'!AE473)</f>
        <v/>
      </c>
      <c r="T473" s="349" t="str">
        <f>IF($F473="","",IF(Q473='תחום תמיכה ג'!$Q$2,'תחום תמיכה ג'!$Q$2,IFERROR(SUMIF(N473:R473,"&gt;0"),'תחום תמיכה ג'!$Q$2)))</f>
        <v/>
      </c>
      <c r="U473" s="349" t="str">
        <f>IF($F473="","",'הזנה לתנאי סף'!Y473)</f>
        <v/>
      </c>
      <c r="V473" s="350" t="str">
        <f>IF(F473="","",'הגבלה לסכום מבוקש '!AA473)</f>
        <v/>
      </c>
      <c r="W473" s="349" t="str">
        <f t="shared" si="25"/>
        <v/>
      </c>
      <c r="X473" s="349" t="str">
        <f>IF(F473="","",'הזנה לתנאי סף'!Z473)</f>
        <v/>
      </c>
      <c r="Y473" s="351"/>
      <c r="Z473" s="352" t="str">
        <f>IFERROR(VLOOKUP(G473*1,#REF!,3,0),"")</f>
        <v/>
      </c>
      <c r="AA473" s="349" t="str">
        <f>IF(OR($F473="",Z473=""),"",IFERROR(IF(Z473&gt;V473,MIN(Z473,T473)-V473,0),'תחום תמיכה ג'!$Q$2))</f>
        <v/>
      </c>
      <c r="AB473" s="353"/>
      <c r="AC473" s="260" t="str">
        <f t="shared" si="27"/>
        <v/>
      </c>
      <c r="AD473" s="358"/>
      <c r="AE473" s="180"/>
      <c r="AF473" s="355" t="str">
        <f>IF($C473="","",IFERROR(VLOOKUP($C473,גיליון1!$A:$E,2,0),"לא הגיש בקשה שוטפת"))</f>
        <v/>
      </c>
      <c r="AG473" s="355" t="str">
        <f>IF($C473="","",IFERROR(VLOOKUP($C473,גיליון1!$A:$E,3,0),"לא הגיש בקשה שוטפת"))</f>
        <v/>
      </c>
      <c r="AH473" s="355" t="str">
        <f>IF($C473="","",IFERROR(VLOOKUP($C473,גיליון1!$A:$E,4,0),"לא הגיש בקשה שוטפת"))</f>
        <v/>
      </c>
      <c r="AI473" s="355" t="str">
        <f>IF($C473="","",IFERROR(VLOOKUP($C473,גיליון1!$A:$E,5,0),"לא הגיש בקשה שוטפת"))</f>
        <v/>
      </c>
      <c r="AJ473" s="355">
        <f t="shared" si="26"/>
        <v>0</v>
      </c>
      <c r="AK473" s="15"/>
      <c r="AL473" s="15" t="s">
        <v>250</v>
      </c>
    </row>
    <row r="474" spans="1:38" x14ac:dyDescent="0.25">
      <c r="A474" s="346" t="str">
        <f>'הזנה לתנאי סף'!B474</f>
        <v/>
      </c>
      <c r="B474" s="347" t="str">
        <f>IF($F474="","",'הזנה לתנאי סף'!C474)</f>
        <v/>
      </c>
      <c r="C474" s="347" t="str">
        <f>IF($F474="","",'הזנה לתנאי סף'!D474)</f>
        <v/>
      </c>
      <c r="D474" s="347" t="str">
        <f>IF($F474="","",'הזנה לתנאי סף'!E474)</f>
        <v/>
      </c>
      <c r="E474" s="348" t="str">
        <f>IF($F474="","",'הזנה לתנאי סף'!F474)</f>
        <v/>
      </c>
      <c r="F474" s="348" t="str">
        <f>IF('הזנה לתנאי סף'!BL474=1,'הזנה לתנאי סף'!G474,"")</f>
        <v/>
      </c>
      <c r="G474" s="348" t="str">
        <f>IF($F474="","",'הזנה לתנאי סף'!H474)</f>
        <v/>
      </c>
      <c r="H474" s="348" t="str">
        <f>IF($F474="","",'הזנה לתנאי סף'!I474)</f>
        <v/>
      </c>
      <c r="I474" s="349" t="str">
        <f>IF($F474="","",'הזנה לתנאי סף'!R474)</f>
        <v/>
      </c>
      <c r="J474" s="349" t="str">
        <f>IF($F474="","",'תחום תמיכה א'!P474)</f>
        <v/>
      </c>
      <c r="K474" s="177" t="str">
        <f>IF($F474="","",'הזנה לתנאי סף'!N474)</f>
        <v/>
      </c>
      <c r="L474" s="177" t="str">
        <f>IF($F474="","",'הזנה לתנאי סף'!O474)</f>
        <v/>
      </c>
      <c r="M474" s="177" t="str">
        <f>IF($F474="","",'הזנה לתנאי סף'!Q474)</f>
        <v/>
      </c>
      <c r="N474" s="349" t="str">
        <f>IF($F474="","",'תחום תמיכה א'!AE474)</f>
        <v/>
      </c>
      <c r="O474" s="178"/>
      <c r="P474" s="349" t="str">
        <f>IF($F474="","",'תחום תמיכה ב'!AC474)</f>
        <v/>
      </c>
      <c r="Q474" s="349" t="str">
        <f>IF($F474="","",IF('תחום תמיכה ג'!O474="",0,'תחום תמיכה ג'!O474))</f>
        <v/>
      </c>
      <c r="R474" s="349" t="str">
        <f t="shared" si="24"/>
        <v/>
      </c>
      <c r="S474" s="349" t="str">
        <f>IF($F474="","",'תחום תמיכה ב'!AE474)</f>
        <v/>
      </c>
      <c r="T474" s="349" t="str">
        <f>IF($F474="","",IF(Q474='תחום תמיכה ג'!$Q$2,'תחום תמיכה ג'!$Q$2,IFERROR(SUMIF(N474:R474,"&gt;0"),'תחום תמיכה ג'!$Q$2)))</f>
        <v/>
      </c>
      <c r="U474" s="349" t="str">
        <f>IF($F474="","",'הזנה לתנאי סף'!Y474)</f>
        <v/>
      </c>
      <c r="V474" s="350" t="str">
        <f>IF(F474="","",'הגבלה לסכום מבוקש '!AA474)</f>
        <v/>
      </c>
      <c r="W474" s="349" t="str">
        <f t="shared" si="25"/>
        <v/>
      </c>
      <c r="X474" s="349" t="str">
        <f>IF(F474="","",'הזנה לתנאי סף'!Z474)</f>
        <v/>
      </c>
      <c r="Y474" s="351"/>
      <c r="Z474" s="352" t="str">
        <f>IFERROR(VLOOKUP(G474*1,#REF!,3,0),"")</f>
        <v/>
      </c>
      <c r="AA474" s="349" t="str">
        <f>IF(OR($F474="",Z474=""),"",IFERROR(IF(Z474&gt;V474,MIN(Z474,T474)-V474,0),'תחום תמיכה ג'!$Q$2))</f>
        <v/>
      </c>
      <c r="AB474" s="353"/>
      <c r="AC474" s="260" t="str">
        <f t="shared" si="27"/>
        <v/>
      </c>
      <c r="AD474" s="358"/>
      <c r="AE474" s="180"/>
      <c r="AF474" s="355" t="str">
        <f>IF($C474="","",IFERROR(VLOOKUP($C474,גיליון1!$A:$E,2,0),"לא הגיש בקשה שוטפת"))</f>
        <v/>
      </c>
      <c r="AG474" s="355" t="str">
        <f>IF($C474="","",IFERROR(VLOOKUP($C474,גיליון1!$A:$E,3,0),"לא הגיש בקשה שוטפת"))</f>
        <v/>
      </c>
      <c r="AH474" s="355" t="str">
        <f>IF($C474="","",IFERROR(VLOOKUP($C474,גיליון1!$A:$E,4,0),"לא הגיש בקשה שוטפת"))</f>
        <v/>
      </c>
      <c r="AI474" s="355" t="str">
        <f>IF($C474="","",IFERROR(VLOOKUP($C474,גיליון1!$A:$E,5,0),"לא הגיש בקשה שוטפת"))</f>
        <v/>
      </c>
      <c r="AJ474" s="355">
        <f t="shared" si="26"/>
        <v>0</v>
      </c>
      <c r="AK474" s="15"/>
      <c r="AL474" s="15" t="s">
        <v>250</v>
      </c>
    </row>
    <row r="475" spans="1:38" x14ac:dyDescent="0.25">
      <c r="A475" s="346" t="str">
        <f>'הזנה לתנאי סף'!B475</f>
        <v/>
      </c>
      <c r="B475" s="347" t="str">
        <f>IF($F475="","",'הזנה לתנאי סף'!C475)</f>
        <v/>
      </c>
      <c r="C475" s="347" t="str">
        <f>IF($F475="","",'הזנה לתנאי סף'!D475)</f>
        <v/>
      </c>
      <c r="D475" s="347" t="str">
        <f>IF($F475="","",'הזנה לתנאי סף'!E475)</f>
        <v/>
      </c>
      <c r="E475" s="348" t="str">
        <f>IF($F475="","",'הזנה לתנאי סף'!F475)</f>
        <v/>
      </c>
      <c r="F475" s="348" t="str">
        <f>IF('הזנה לתנאי סף'!BL475=1,'הזנה לתנאי סף'!G475,"")</f>
        <v/>
      </c>
      <c r="G475" s="348" t="str">
        <f>IF($F475="","",'הזנה לתנאי סף'!H475)</f>
        <v/>
      </c>
      <c r="H475" s="348" t="str">
        <f>IF($F475="","",'הזנה לתנאי סף'!I475)</f>
        <v/>
      </c>
      <c r="I475" s="349" t="str">
        <f>IF($F475="","",'הזנה לתנאי סף'!R475)</f>
        <v/>
      </c>
      <c r="J475" s="349" t="str">
        <f>IF($F475="","",'תחום תמיכה א'!P475)</f>
        <v/>
      </c>
      <c r="K475" s="177" t="str">
        <f>IF($F475="","",'הזנה לתנאי סף'!N475)</f>
        <v/>
      </c>
      <c r="L475" s="177" t="str">
        <f>IF($F475="","",'הזנה לתנאי סף'!O475)</f>
        <v/>
      </c>
      <c r="M475" s="177" t="str">
        <f>IF($F475="","",'הזנה לתנאי סף'!Q475)</f>
        <v/>
      </c>
      <c r="N475" s="349" t="str">
        <f>IF($F475="","",'תחום תמיכה א'!AE475)</f>
        <v/>
      </c>
      <c r="O475" s="178"/>
      <c r="P475" s="349" t="str">
        <f>IF($F475="","",'תחום תמיכה ב'!AC475)</f>
        <v/>
      </c>
      <c r="Q475" s="349" t="str">
        <f>IF($F475="","",IF('תחום תמיכה ג'!O475="",0,'תחום תמיכה ג'!O475))</f>
        <v/>
      </c>
      <c r="R475" s="349" t="str">
        <f t="shared" si="24"/>
        <v/>
      </c>
      <c r="S475" s="349" t="str">
        <f>IF($F475="","",'תחום תמיכה ב'!AE475)</f>
        <v/>
      </c>
      <c r="T475" s="349" t="str">
        <f>IF($F475="","",IF(Q475='תחום תמיכה ג'!$Q$2,'תחום תמיכה ג'!$Q$2,IFERROR(SUMIF(N475:R475,"&gt;0"),'תחום תמיכה ג'!$Q$2)))</f>
        <v/>
      </c>
      <c r="U475" s="349" t="str">
        <f>IF($F475="","",'הזנה לתנאי סף'!Y475)</f>
        <v/>
      </c>
      <c r="V475" s="350" t="str">
        <f>IF(F475="","",'הגבלה לסכום מבוקש '!AA475)</f>
        <v/>
      </c>
      <c r="W475" s="349" t="str">
        <f t="shared" si="25"/>
        <v/>
      </c>
      <c r="X475" s="349" t="str">
        <f>IF(F475="","",'הזנה לתנאי סף'!Z475)</f>
        <v/>
      </c>
      <c r="Y475" s="351"/>
      <c r="Z475" s="352" t="str">
        <f>IFERROR(VLOOKUP(G475*1,#REF!,3,0),"")</f>
        <v/>
      </c>
      <c r="AA475" s="349" t="str">
        <f>IF(OR($F475="",Z475=""),"",IFERROR(IF(Z475&gt;V475,MIN(Z475,T475)-V475,0),'תחום תמיכה ג'!$Q$2))</f>
        <v/>
      </c>
      <c r="AB475" s="353"/>
      <c r="AC475" s="260" t="str">
        <f t="shared" si="27"/>
        <v/>
      </c>
      <c r="AD475" s="358"/>
      <c r="AE475" s="180"/>
      <c r="AF475" s="355" t="str">
        <f>IF($C475="","",IFERROR(VLOOKUP($C475,גיליון1!$A:$E,2,0),"לא הגיש בקשה שוטפת"))</f>
        <v/>
      </c>
      <c r="AG475" s="355" t="str">
        <f>IF($C475="","",IFERROR(VLOOKUP($C475,גיליון1!$A:$E,3,0),"לא הגיש בקשה שוטפת"))</f>
        <v/>
      </c>
      <c r="AH475" s="355" t="str">
        <f>IF($C475="","",IFERROR(VLOOKUP($C475,גיליון1!$A:$E,4,0),"לא הגיש בקשה שוטפת"))</f>
        <v/>
      </c>
      <c r="AI475" s="355" t="str">
        <f>IF($C475="","",IFERROR(VLOOKUP($C475,גיליון1!$A:$E,5,0),"לא הגיש בקשה שוטפת"))</f>
        <v/>
      </c>
      <c r="AJ475" s="355">
        <f t="shared" si="26"/>
        <v>0</v>
      </c>
      <c r="AK475" s="15"/>
      <c r="AL475" s="15" t="s">
        <v>250</v>
      </c>
    </row>
    <row r="476" spans="1:38" x14ac:dyDescent="0.25">
      <c r="A476" s="346" t="str">
        <f>'הזנה לתנאי סף'!B476</f>
        <v/>
      </c>
      <c r="B476" s="347" t="str">
        <f>IF($F476="","",'הזנה לתנאי סף'!C476)</f>
        <v/>
      </c>
      <c r="C476" s="347" t="str">
        <f>IF($F476="","",'הזנה לתנאי סף'!D476)</f>
        <v/>
      </c>
      <c r="D476" s="347" t="str">
        <f>IF($F476="","",'הזנה לתנאי סף'!E476)</f>
        <v/>
      </c>
      <c r="E476" s="348" t="str">
        <f>IF($F476="","",'הזנה לתנאי סף'!F476)</f>
        <v/>
      </c>
      <c r="F476" s="348" t="str">
        <f>IF('הזנה לתנאי סף'!BL476=1,'הזנה לתנאי סף'!G476,"")</f>
        <v/>
      </c>
      <c r="G476" s="348" t="str">
        <f>IF($F476="","",'הזנה לתנאי סף'!H476)</f>
        <v/>
      </c>
      <c r="H476" s="348" t="str">
        <f>IF($F476="","",'הזנה לתנאי סף'!I476)</f>
        <v/>
      </c>
      <c r="I476" s="349" t="str">
        <f>IF($F476="","",'הזנה לתנאי סף'!R476)</f>
        <v/>
      </c>
      <c r="J476" s="349" t="str">
        <f>IF($F476="","",'תחום תמיכה א'!P476)</f>
        <v/>
      </c>
      <c r="K476" s="177" t="str">
        <f>IF($F476="","",'הזנה לתנאי סף'!N476)</f>
        <v/>
      </c>
      <c r="L476" s="177" t="str">
        <f>IF($F476="","",'הזנה לתנאי סף'!O476)</f>
        <v/>
      </c>
      <c r="M476" s="177" t="str">
        <f>IF($F476="","",'הזנה לתנאי סף'!Q476)</f>
        <v/>
      </c>
      <c r="N476" s="349" t="str">
        <f>IF($F476="","",'תחום תמיכה א'!AE476)</f>
        <v/>
      </c>
      <c r="O476" s="178"/>
      <c r="P476" s="349" t="str">
        <f>IF($F476="","",'תחום תמיכה ב'!AC476)</f>
        <v/>
      </c>
      <c r="Q476" s="349" t="str">
        <f>IF($F476="","",IF('תחום תמיכה ג'!O476="",0,'תחום תמיכה ג'!O476))</f>
        <v/>
      </c>
      <c r="R476" s="349" t="str">
        <f t="shared" si="24"/>
        <v/>
      </c>
      <c r="S476" s="349" t="str">
        <f>IF($F476="","",'תחום תמיכה ב'!AE476)</f>
        <v/>
      </c>
      <c r="T476" s="349" t="str">
        <f>IF($F476="","",IF(Q476='תחום תמיכה ג'!$Q$2,'תחום תמיכה ג'!$Q$2,IFERROR(SUMIF(N476:R476,"&gt;0"),'תחום תמיכה ג'!$Q$2)))</f>
        <v/>
      </c>
      <c r="U476" s="349" t="str">
        <f>IF($F476="","",'הזנה לתנאי סף'!Y476)</f>
        <v/>
      </c>
      <c r="V476" s="350" t="str">
        <f>IF(F476="","",'הגבלה לסכום מבוקש '!AA476)</f>
        <v/>
      </c>
      <c r="W476" s="349" t="str">
        <f t="shared" si="25"/>
        <v/>
      </c>
      <c r="X476" s="349" t="str">
        <f>IF(F476="","",'הזנה לתנאי סף'!Z476)</f>
        <v/>
      </c>
      <c r="Y476" s="351"/>
      <c r="Z476" s="352" t="str">
        <f>IFERROR(VLOOKUP(G476*1,#REF!,3,0),"")</f>
        <v/>
      </c>
      <c r="AA476" s="349" t="str">
        <f>IF(OR($F476="",Z476=""),"",IFERROR(IF(Z476&gt;V476,MIN(Z476,T476)-V476,0),'תחום תמיכה ג'!$Q$2))</f>
        <v/>
      </c>
      <c r="AB476" s="353"/>
      <c r="AC476" s="260" t="str">
        <f t="shared" si="27"/>
        <v/>
      </c>
      <c r="AD476" s="358"/>
      <c r="AE476" s="180"/>
      <c r="AF476" s="355" t="str">
        <f>IF($C476="","",IFERROR(VLOOKUP($C476,גיליון1!$A:$E,2,0),"לא הגיש בקשה שוטפת"))</f>
        <v/>
      </c>
      <c r="AG476" s="355" t="str">
        <f>IF($C476="","",IFERROR(VLOOKUP($C476,גיליון1!$A:$E,3,0),"לא הגיש בקשה שוטפת"))</f>
        <v/>
      </c>
      <c r="AH476" s="355" t="str">
        <f>IF($C476="","",IFERROR(VLOOKUP($C476,גיליון1!$A:$E,4,0),"לא הגיש בקשה שוטפת"))</f>
        <v/>
      </c>
      <c r="AI476" s="355" t="str">
        <f>IF($C476="","",IFERROR(VLOOKUP($C476,גיליון1!$A:$E,5,0),"לא הגיש בקשה שוטפת"))</f>
        <v/>
      </c>
      <c r="AJ476" s="355">
        <f t="shared" si="26"/>
        <v>0</v>
      </c>
      <c r="AK476" s="15"/>
      <c r="AL476" s="15" t="s">
        <v>250</v>
      </c>
    </row>
    <row r="477" spans="1:38" x14ac:dyDescent="0.25">
      <c r="A477" s="346" t="str">
        <f>'הזנה לתנאי סף'!B477</f>
        <v/>
      </c>
      <c r="B477" s="347" t="str">
        <f>IF($F477="","",'הזנה לתנאי סף'!C477)</f>
        <v/>
      </c>
      <c r="C477" s="347" t="str">
        <f>IF($F477="","",'הזנה לתנאי סף'!D477)</f>
        <v/>
      </c>
      <c r="D477" s="347" t="str">
        <f>IF($F477="","",'הזנה לתנאי סף'!E477)</f>
        <v/>
      </c>
      <c r="E477" s="348" t="str">
        <f>IF($F477="","",'הזנה לתנאי סף'!F477)</f>
        <v/>
      </c>
      <c r="F477" s="348" t="str">
        <f>IF('הזנה לתנאי סף'!BL477=1,'הזנה לתנאי סף'!G477,"")</f>
        <v/>
      </c>
      <c r="G477" s="348" t="str">
        <f>IF($F477="","",'הזנה לתנאי סף'!H477)</f>
        <v/>
      </c>
      <c r="H477" s="348" t="str">
        <f>IF($F477="","",'הזנה לתנאי סף'!I477)</f>
        <v/>
      </c>
      <c r="I477" s="349" t="str">
        <f>IF($F477="","",'הזנה לתנאי סף'!R477)</f>
        <v/>
      </c>
      <c r="J477" s="349" t="str">
        <f>IF($F477="","",'תחום תמיכה א'!P477)</f>
        <v/>
      </c>
      <c r="K477" s="177" t="str">
        <f>IF($F477="","",'הזנה לתנאי סף'!N477)</f>
        <v/>
      </c>
      <c r="L477" s="177" t="str">
        <f>IF($F477="","",'הזנה לתנאי סף'!O477)</f>
        <v/>
      </c>
      <c r="M477" s="177" t="str">
        <f>IF($F477="","",'הזנה לתנאי סף'!Q477)</f>
        <v/>
      </c>
      <c r="N477" s="349" t="str">
        <f>IF($F477="","",'תחום תמיכה א'!AE477)</f>
        <v/>
      </c>
      <c r="O477" s="178"/>
      <c r="P477" s="349" t="str">
        <f>IF($F477="","",'תחום תמיכה ב'!AC477)</f>
        <v/>
      </c>
      <c r="Q477" s="349" t="str">
        <f>IF($F477="","",IF('תחום תמיכה ג'!O477="",0,'תחום תמיכה ג'!O477))</f>
        <v/>
      </c>
      <c r="R477" s="349" t="str">
        <f t="shared" si="24"/>
        <v/>
      </c>
      <c r="S477" s="349" t="str">
        <f>IF($F477="","",'תחום תמיכה ב'!AE477)</f>
        <v/>
      </c>
      <c r="T477" s="349" t="str">
        <f>IF($F477="","",IF(Q477='תחום תמיכה ג'!$Q$2,'תחום תמיכה ג'!$Q$2,IFERROR(SUMIF(N477:R477,"&gt;0"),'תחום תמיכה ג'!$Q$2)))</f>
        <v/>
      </c>
      <c r="U477" s="349" t="str">
        <f>IF($F477="","",'הזנה לתנאי סף'!Y477)</f>
        <v/>
      </c>
      <c r="V477" s="350" t="str">
        <f>IF(F477="","",'הגבלה לסכום מבוקש '!AA477)</f>
        <v/>
      </c>
      <c r="W477" s="349" t="str">
        <f t="shared" si="25"/>
        <v/>
      </c>
      <c r="X477" s="349" t="str">
        <f>IF(F477="","",'הזנה לתנאי סף'!Z477)</f>
        <v/>
      </c>
      <c r="Y477" s="351"/>
      <c r="Z477" s="352" t="str">
        <f>IFERROR(VLOOKUP(G477*1,#REF!,3,0),"")</f>
        <v/>
      </c>
      <c r="AA477" s="349" t="str">
        <f>IF(OR($F477="",Z477=""),"",IFERROR(IF(Z477&gt;V477,MIN(Z477,T477)-V477,0),'תחום תמיכה ג'!$Q$2))</f>
        <v/>
      </c>
      <c r="AB477" s="353"/>
      <c r="AC477" s="260" t="str">
        <f t="shared" si="27"/>
        <v/>
      </c>
      <c r="AD477" s="358"/>
      <c r="AE477" s="180"/>
      <c r="AF477" s="355" t="str">
        <f>IF($C477="","",IFERROR(VLOOKUP($C477,גיליון1!$A:$E,2,0),"לא הגיש בקשה שוטפת"))</f>
        <v/>
      </c>
      <c r="AG477" s="355" t="str">
        <f>IF($C477="","",IFERROR(VLOOKUP($C477,גיליון1!$A:$E,3,0),"לא הגיש בקשה שוטפת"))</f>
        <v/>
      </c>
      <c r="AH477" s="355" t="str">
        <f>IF($C477="","",IFERROR(VLOOKUP($C477,גיליון1!$A:$E,4,0),"לא הגיש בקשה שוטפת"))</f>
        <v/>
      </c>
      <c r="AI477" s="355" t="str">
        <f>IF($C477="","",IFERROR(VLOOKUP($C477,גיליון1!$A:$E,5,0),"לא הגיש בקשה שוטפת"))</f>
        <v/>
      </c>
      <c r="AJ477" s="355">
        <f t="shared" si="26"/>
        <v>0</v>
      </c>
      <c r="AK477" s="15"/>
      <c r="AL477" s="15" t="s">
        <v>250</v>
      </c>
    </row>
    <row r="478" spans="1:38" x14ac:dyDescent="0.25">
      <c r="A478" s="346" t="str">
        <f>'הזנה לתנאי סף'!B478</f>
        <v/>
      </c>
      <c r="B478" s="347" t="str">
        <f>IF($F478="","",'הזנה לתנאי סף'!C478)</f>
        <v/>
      </c>
      <c r="C478" s="347" t="str">
        <f>IF($F478="","",'הזנה לתנאי סף'!D478)</f>
        <v/>
      </c>
      <c r="D478" s="347" t="str">
        <f>IF($F478="","",'הזנה לתנאי סף'!E478)</f>
        <v/>
      </c>
      <c r="E478" s="348" t="str">
        <f>IF($F478="","",'הזנה לתנאי סף'!F478)</f>
        <v/>
      </c>
      <c r="F478" s="348" t="str">
        <f>IF('הזנה לתנאי סף'!BL478=1,'הזנה לתנאי סף'!G478,"")</f>
        <v/>
      </c>
      <c r="G478" s="348" t="str">
        <f>IF($F478="","",'הזנה לתנאי סף'!H478)</f>
        <v/>
      </c>
      <c r="H478" s="348" t="str">
        <f>IF($F478="","",'הזנה לתנאי סף'!I478)</f>
        <v/>
      </c>
      <c r="I478" s="349" t="str">
        <f>IF($F478="","",'הזנה לתנאי סף'!R478)</f>
        <v/>
      </c>
      <c r="J478" s="349" t="str">
        <f>IF($F478="","",'תחום תמיכה א'!P478)</f>
        <v/>
      </c>
      <c r="K478" s="177" t="str">
        <f>IF($F478="","",'הזנה לתנאי סף'!N478)</f>
        <v/>
      </c>
      <c r="L478" s="177" t="str">
        <f>IF($F478="","",'הזנה לתנאי סף'!O478)</f>
        <v/>
      </c>
      <c r="M478" s="177" t="str">
        <f>IF($F478="","",'הזנה לתנאי סף'!Q478)</f>
        <v/>
      </c>
      <c r="N478" s="349" t="str">
        <f>IF($F478="","",'תחום תמיכה א'!AE478)</f>
        <v/>
      </c>
      <c r="O478" s="178"/>
      <c r="P478" s="349" t="str">
        <f>IF($F478="","",'תחום תמיכה ב'!AC478)</f>
        <v/>
      </c>
      <c r="Q478" s="349" t="str">
        <f>IF($F478="","",IF('תחום תמיכה ג'!O478="",0,'תחום תמיכה ג'!O478))</f>
        <v/>
      </c>
      <c r="R478" s="349" t="str">
        <f t="shared" si="24"/>
        <v/>
      </c>
      <c r="S478" s="349" t="str">
        <f>IF($F478="","",'תחום תמיכה ב'!AE478)</f>
        <v/>
      </c>
      <c r="T478" s="349" t="str">
        <f>IF($F478="","",IF(Q478='תחום תמיכה ג'!$Q$2,'תחום תמיכה ג'!$Q$2,IFERROR(SUMIF(N478:R478,"&gt;0"),'תחום תמיכה ג'!$Q$2)))</f>
        <v/>
      </c>
      <c r="U478" s="349" t="str">
        <f>IF($F478="","",'הזנה לתנאי סף'!Y478)</f>
        <v/>
      </c>
      <c r="V478" s="350" t="str">
        <f>IF(F478="","",'הגבלה לסכום מבוקש '!AA478)</f>
        <v/>
      </c>
      <c r="W478" s="349" t="str">
        <f t="shared" si="25"/>
        <v/>
      </c>
      <c r="X478" s="349" t="str">
        <f>IF(F478="","",'הזנה לתנאי סף'!Z478)</f>
        <v/>
      </c>
      <c r="Y478" s="351"/>
      <c r="Z478" s="352" t="str">
        <f>IFERROR(VLOOKUP(G478*1,#REF!,3,0),"")</f>
        <v/>
      </c>
      <c r="AA478" s="349" t="str">
        <f>IF(OR($F478="",Z478=""),"",IFERROR(IF(Z478&gt;V478,MIN(Z478,T478)-V478,0),'תחום תמיכה ג'!$Q$2))</f>
        <v/>
      </c>
      <c r="AB478" s="353"/>
      <c r="AC478" s="260" t="str">
        <f t="shared" si="27"/>
        <v/>
      </c>
      <c r="AD478" s="358"/>
      <c r="AE478" s="180"/>
      <c r="AF478" s="355" t="str">
        <f>IF($C478="","",IFERROR(VLOOKUP($C478,גיליון1!$A:$E,2,0),"לא הגיש בקשה שוטפת"))</f>
        <v/>
      </c>
      <c r="AG478" s="355" t="str">
        <f>IF($C478="","",IFERROR(VLOOKUP($C478,גיליון1!$A:$E,3,0),"לא הגיש בקשה שוטפת"))</f>
        <v/>
      </c>
      <c r="AH478" s="355" t="str">
        <f>IF($C478="","",IFERROR(VLOOKUP($C478,גיליון1!$A:$E,4,0),"לא הגיש בקשה שוטפת"))</f>
        <v/>
      </c>
      <c r="AI478" s="355" t="str">
        <f>IF($C478="","",IFERROR(VLOOKUP($C478,גיליון1!$A:$E,5,0),"לא הגיש בקשה שוטפת"))</f>
        <v/>
      </c>
      <c r="AJ478" s="355">
        <f t="shared" si="26"/>
        <v>0</v>
      </c>
      <c r="AK478" s="15"/>
      <c r="AL478" s="15" t="s">
        <v>250</v>
      </c>
    </row>
    <row r="479" spans="1:38" x14ac:dyDescent="0.25">
      <c r="A479" s="346" t="str">
        <f>'הזנה לתנאי סף'!B479</f>
        <v/>
      </c>
      <c r="B479" s="347" t="str">
        <f>IF($F479="","",'הזנה לתנאי סף'!C479)</f>
        <v/>
      </c>
      <c r="C479" s="347" t="str">
        <f>IF($F479="","",'הזנה לתנאי סף'!D479)</f>
        <v/>
      </c>
      <c r="D479" s="347" t="str">
        <f>IF($F479="","",'הזנה לתנאי סף'!E479)</f>
        <v/>
      </c>
      <c r="E479" s="348" t="str">
        <f>IF($F479="","",'הזנה לתנאי סף'!F479)</f>
        <v/>
      </c>
      <c r="F479" s="348" t="str">
        <f>IF('הזנה לתנאי סף'!BL479=1,'הזנה לתנאי סף'!G479,"")</f>
        <v/>
      </c>
      <c r="G479" s="348" t="str">
        <f>IF($F479="","",'הזנה לתנאי סף'!H479)</f>
        <v/>
      </c>
      <c r="H479" s="348" t="str">
        <f>IF($F479="","",'הזנה לתנאי סף'!I479)</f>
        <v/>
      </c>
      <c r="I479" s="349" t="str">
        <f>IF($F479="","",'הזנה לתנאי סף'!R479)</f>
        <v/>
      </c>
      <c r="J479" s="349" t="str">
        <f>IF($F479="","",'תחום תמיכה א'!P479)</f>
        <v/>
      </c>
      <c r="K479" s="177" t="str">
        <f>IF($F479="","",'הזנה לתנאי סף'!N479)</f>
        <v/>
      </c>
      <c r="L479" s="177" t="str">
        <f>IF($F479="","",'הזנה לתנאי סף'!O479)</f>
        <v/>
      </c>
      <c r="M479" s="177" t="str">
        <f>IF($F479="","",'הזנה לתנאי סף'!Q479)</f>
        <v/>
      </c>
      <c r="N479" s="349" t="str">
        <f>IF($F479="","",'תחום תמיכה א'!AE479)</f>
        <v/>
      </c>
      <c r="O479" s="178"/>
      <c r="P479" s="349" t="str">
        <f>IF($F479="","",'תחום תמיכה ב'!AC479)</f>
        <v/>
      </c>
      <c r="Q479" s="349" t="str">
        <f>IF($F479="","",IF('תחום תמיכה ג'!O479="",0,'תחום תמיכה ג'!O479))</f>
        <v/>
      </c>
      <c r="R479" s="349" t="str">
        <f t="shared" si="24"/>
        <v/>
      </c>
      <c r="S479" s="349" t="str">
        <f>IF($F479="","",'תחום תמיכה ב'!AE479)</f>
        <v/>
      </c>
      <c r="T479" s="349" t="str">
        <f>IF($F479="","",IF(Q479='תחום תמיכה ג'!$Q$2,'תחום תמיכה ג'!$Q$2,IFERROR(SUMIF(N479:R479,"&gt;0"),'תחום תמיכה ג'!$Q$2)))</f>
        <v/>
      </c>
      <c r="U479" s="349" t="str">
        <f>IF($F479="","",'הזנה לתנאי סף'!Y479)</f>
        <v/>
      </c>
      <c r="V479" s="350" t="str">
        <f>IF(F479="","",'הגבלה לסכום מבוקש '!AA479)</f>
        <v/>
      </c>
      <c r="W479" s="349" t="str">
        <f t="shared" si="25"/>
        <v/>
      </c>
      <c r="X479" s="349" t="str">
        <f>IF(F479="","",'הזנה לתנאי סף'!Z479)</f>
        <v/>
      </c>
      <c r="Y479" s="351"/>
      <c r="Z479" s="352" t="str">
        <f>IFERROR(VLOOKUP(G479*1,#REF!,3,0),"")</f>
        <v/>
      </c>
      <c r="AA479" s="349" t="str">
        <f>IF(OR($F479="",Z479=""),"",IFERROR(IF(Z479&gt;V479,MIN(Z479,T479)-V479,0),'תחום תמיכה ג'!$Q$2))</f>
        <v/>
      </c>
      <c r="AB479" s="353"/>
      <c r="AC479" s="260" t="str">
        <f t="shared" si="27"/>
        <v/>
      </c>
      <c r="AD479" s="358"/>
      <c r="AE479" s="180"/>
      <c r="AF479" s="355" t="str">
        <f>IF($C479="","",IFERROR(VLOOKUP($C479,גיליון1!$A:$E,2,0),"לא הגיש בקשה שוטפת"))</f>
        <v/>
      </c>
      <c r="AG479" s="355" t="str">
        <f>IF($C479="","",IFERROR(VLOOKUP($C479,גיליון1!$A:$E,3,0),"לא הגיש בקשה שוטפת"))</f>
        <v/>
      </c>
      <c r="AH479" s="355" t="str">
        <f>IF($C479="","",IFERROR(VLOOKUP($C479,גיליון1!$A:$E,4,0),"לא הגיש בקשה שוטפת"))</f>
        <v/>
      </c>
      <c r="AI479" s="355" t="str">
        <f>IF($C479="","",IFERROR(VLOOKUP($C479,גיליון1!$A:$E,5,0),"לא הגיש בקשה שוטפת"))</f>
        <v/>
      </c>
      <c r="AJ479" s="355">
        <f t="shared" si="26"/>
        <v>0</v>
      </c>
      <c r="AK479" s="15"/>
      <c r="AL479" s="15" t="s">
        <v>250</v>
      </c>
    </row>
    <row r="480" spans="1:38" x14ac:dyDescent="0.25">
      <c r="A480" s="346" t="str">
        <f>'הזנה לתנאי סף'!B480</f>
        <v/>
      </c>
      <c r="B480" s="347" t="str">
        <f>IF($F480="","",'הזנה לתנאי סף'!C480)</f>
        <v/>
      </c>
      <c r="C480" s="347" t="str">
        <f>IF($F480="","",'הזנה לתנאי סף'!D480)</f>
        <v/>
      </c>
      <c r="D480" s="347" t="str">
        <f>IF($F480="","",'הזנה לתנאי סף'!E480)</f>
        <v/>
      </c>
      <c r="E480" s="348" t="str">
        <f>IF($F480="","",'הזנה לתנאי סף'!F480)</f>
        <v/>
      </c>
      <c r="F480" s="348" t="str">
        <f>IF('הזנה לתנאי סף'!BL480=1,'הזנה לתנאי סף'!G480,"")</f>
        <v/>
      </c>
      <c r="G480" s="348" t="str">
        <f>IF($F480="","",'הזנה לתנאי סף'!H480)</f>
        <v/>
      </c>
      <c r="H480" s="348" t="str">
        <f>IF($F480="","",'הזנה לתנאי סף'!I480)</f>
        <v/>
      </c>
      <c r="I480" s="349" t="str">
        <f>IF($F480="","",'הזנה לתנאי סף'!R480)</f>
        <v/>
      </c>
      <c r="J480" s="349" t="str">
        <f>IF($F480="","",'תחום תמיכה א'!P480)</f>
        <v/>
      </c>
      <c r="K480" s="177" t="str">
        <f>IF($F480="","",'הזנה לתנאי סף'!N480)</f>
        <v/>
      </c>
      <c r="L480" s="177" t="str">
        <f>IF($F480="","",'הזנה לתנאי סף'!O480)</f>
        <v/>
      </c>
      <c r="M480" s="177" t="str">
        <f>IF($F480="","",'הזנה לתנאי סף'!Q480)</f>
        <v/>
      </c>
      <c r="N480" s="349" t="str">
        <f>IF($F480="","",'תחום תמיכה א'!AE480)</f>
        <v/>
      </c>
      <c r="O480" s="178"/>
      <c r="P480" s="349" t="str">
        <f>IF($F480="","",'תחום תמיכה ב'!AC480)</f>
        <v/>
      </c>
      <c r="Q480" s="349" t="str">
        <f>IF($F480="","",IF('תחום תמיכה ג'!O480="",0,'תחום תמיכה ג'!O480))</f>
        <v/>
      </c>
      <c r="R480" s="349" t="str">
        <f t="shared" ref="R480:R500" si="28">IF($F480="","",IFERROR(S480-P480,""))</f>
        <v/>
      </c>
      <c r="S480" s="349" t="str">
        <f>IF($F480="","",'תחום תמיכה ב'!AE480)</f>
        <v/>
      </c>
      <c r="T480" s="349" t="str">
        <f>IF($F480="","",IF(Q480='תחום תמיכה ג'!$Q$2,'תחום תמיכה ג'!$Q$2,IFERROR(SUMIF(N480:R480,"&gt;0"),'תחום תמיכה ג'!$Q$2)))</f>
        <v/>
      </c>
      <c r="U480" s="349" t="str">
        <f>IF($F480="","",'הזנה לתנאי סף'!Y480)</f>
        <v/>
      </c>
      <c r="V480" s="350" t="str">
        <f>IF(F480="","",'הגבלה לסכום מבוקש '!AA480)</f>
        <v/>
      </c>
      <c r="W480" s="349" t="str">
        <f t="shared" ref="W480:W500" si="29">IF(G480="","",V480/4)</f>
        <v/>
      </c>
      <c r="X480" s="349" t="str">
        <f>IF(F480="","",'הזנה לתנאי סף'!Z480)</f>
        <v/>
      </c>
      <c r="Y480" s="351"/>
      <c r="Z480" s="352" t="str">
        <f>IFERROR(VLOOKUP(G480*1,#REF!,3,0),"")</f>
        <v/>
      </c>
      <c r="AA480" s="349" t="str">
        <f>IF(OR($F480="",Z480=""),"",IFERROR(IF(Z480&gt;V480,MIN(Z480,T480)-V480,0),'תחום תמיכה ג'!$Q$2))</f>
        <v/>
      </c>
      <c r="AB480" s="353"/>
      <c r="AC480" s="260" t="str">
        <f t="shared" si="27"/>
        <v/>
      </c>
      <c r="AD480" s="358"/>
      <c r="AE480" s="180"/>
      <c r="AF480" s="355" t="str">
        <f>IF($C480="","",IFERROR(VLOOKUP($C480,גיליון1!$A:$E,2,0),"לא הגיש בקשה שוטפת"))</f>
        <v/>
      </c>
      <c r="AG480" s="355" t="str">
        <f>IF($C480="","",IFERROR(VLOOKUP($C480,גיליון1!$A:$E,3,0),"לא הגיש בקשה שוטפת"))</f>
        <v/>
      </c>
      <c r="AH480" s="355" t="str">
        <f>IF($C480="","",IFERROR(VLOOKUP($C480,גיליון1!$A:$E,4,0),"לא הגיש בקשה שוטפת"))</f>
        <v/>
      </c>
      <c r="AI480" s="355" t="str">
        <f>IF($C480="","",IFERROR(VLOOKUP($C480,גיליון1!$A:$E,5,0),"לא הגיש בקשה שוטפת"))</f>
        <v/>
      </c>
      <c r="AJ480" s="355">
        <f t="shared" ref="AJ480:AJ500" si="30">IF(T480&gt;U480,1,0)</f>
        <v>0</v>
      </c>
      <c r="AK480" s="15"/>
      <c r="AL480" s="15" t="s">
        <v>250</v>
      </c>
    </row>
    <row r="481" spans="1:38" x14ac:dyDescent="0.25">
      <c r="A481" s="346" t="str">
        <f>'הזנה לתנאי סף'!B481</f>
        <v/>
      </c>
      <c r="B481" s="347" t="str">
        <f>IF($F481="","",'הזנה לתנאי סף'!C481)</f>
        <v/>
      </c>
      <c r="C481" s="347" t="str">
        <f>IF($F481="","",'הזנה לתנאי סף'!D481)</f>
        <v/>
      </c>
      <c r="D481" s="347" t="str">
        <f>IF($F481="","",'הזנה לתנאי סף'!E481)</f>
        <v/>
      </c>
      <c r="E481" s="348" t="str">
        <f>IF($F481="","",'הזנה לתנאי סף'!F481)</f>
        <v/>
      </c>
      <c r="F481" s="348" t="str">
        <f>IF('הזנה לתנאי סף'!BL481=1,'הזנה לתנאי סף'!G481,"")</f>
        <v/>
      </c>
      <c r="G481" s="348" t="str">
        <f>IF($F481="","",'הזנה לתנאי סף'!H481)</f>
        <v/>
      </c>
      <c r="H481" s="348" t="str">
        <f>IF($F481="","",'הזנה לתנאי סף'!I481)</f>
        <v/>
      </c>
      <c r="I481" s="349" t="str">
        <f>IF($F481="","",'הזנה לתנאי סף'!R481)</f>
        <v/>
      </c>
      <c r="J481" s="349" t="str">
        <f>IF($F481="","",'תחום תמיכה א'!P481)</f>
        <v/>
      </c>
      <c r="K481" s="177" t="str">
        <f>IF($F481="","",'הזנה לתנאי סף'!N481)</f>
        <v/>
      </c>
      <c r="L481" s="177" t="str">
        <f>IF($F481="","",'הזנה לתנאי סף'!O481)</f>
        <v/>
      </c>
      <c r="M481" s="177" t="str">
        <f>IF($F481="","",'הזנה לתנאי סף'!Q481)</f>
        <v/>
      </c>
      <c r="N481" s="349" t="str">
        <f>IF($F481="","",'תחום תמיכה א'!AE481)</f>
        <v/>
      </c>
      <c r="O481" s="178"/>
      <c r="P481" s="349" t="str">
        <f>IF($F481="","",'תחום תמיכה ב'!AC481)</f>
        <v/>
      </c>
      <c r="Q481" s="349" t="str">
        <f>IF($F481="","",IF('תחום תמיכה ג'!O481="",0,'תחום תמיכה ג'!O481))</f>
        <v/>
      </c>
      <c r="R481" s="349" t="str">
        <f t="shared" si="28"/>
        <v/>
      </c>
      <c r="S481" s="349" t="str">
        <f>IF($F481="","",'תחום תמיכה ב'!AE481)</f>
        <v/>
      </c>
      <c r="T481" s="349" t="str">
        <f>IF($F481="","",IF(Q481='תחום תמיכה ג'!$Q$2,'תחום תמיכה ג'!$Q$2,IFERROR(SUMIF(N481:R481,"&gt;0"),'תחום תמיכה ג'!$Q$2)))</f>
        <v/>
      </c>
      <c r="U481" s="349" t="str">
        <f>IF($F481="","",'הזנה לתנאי סף'!Y481)</f>
        <v/>
      </c>
      <c r="V481" s="350" t="str">
        <f>IF(F481="","",'הגבלה לסכום מבוקש '!AA481)</f>
        <v/>
      </c>
      <c r="W481" s="349" t="str">
        <f t="shared" si="29"/>
        <v/>
      </c>
      <c r="X481" s="349" t="str">
        <f>IF(F481="","",'הזנה לתנאי סף'!Z481)</f>
        <v/>
      </c>
      <c r="Y481" s="351"/>
      <c r="Z481" s="352" t="str">
        <f>IFERROR(VLOOKUP(G481*1,#REF!,3,0),"")</f>
        <v/>
      </c>
      <c r="AA481" s="349" t="str">
        <f>IF(OR($F481="",Z481=""),"",IFERROR(IF(Z481&gt;V481,MIN(Z481,T481)-V481,0),'תחום תמיכה ג'!$Q$2))</f>
        <v/>
      </c>
      <c r="AB481" s="353"/>
      <c r="AC481" s="260" t="str">
        <f t="shared" ref="AC481:AC500" si="31">AA481</f>
        <v/>
      </c>
      <c r="AD481" s="358"/>
      <c r="AE481" s="180"/>
      <c r="AF481" s="355" t="str">
        <f>IF($C481="","",IFERROR(VLOOKUP($C481,גיליון1!$A:$E,2,0),"לא הגיש בקשה שוטפת"))</f>
        <v/>
      </c>
      <c r="AG481" s="355" t="str">
        <f>IF($C481="","",IFERROR(VLOOKUP($C481,גיליון1!$A:$E,3,0),"לא הגיש בקשה שוטפת"))</f>
        <v/>
      </c>
      <c r="AH481" s="355" t="str">
        <f>IF($C481="","",IFERROR(VLOOKUP($C481,גיליון1!$A:$E,4,0),"לא הגיש בקשה שוטפת"))</f>
        <v/>
      </c>
      <c r="AI481" s="355" t="str">
        <f>IF($C481="","",IFERROR(VLOOKUP($C481,גיליון1!$A:$E,5,0),"לא הגיש בקשה שוטפת"))</f>
        <v/>
      </c>
      <c r="AJ481" s="355">
        <f t="shared" si="30"/>
        <v>0</v>
      </c>
      <c r="AK481" s="15"/>
      <c r="AL481" s="15" t="s">
        <v>250</v>
      </c>
    </row>
    <row r="482" spans="1:38" x14ac:dyDescent="0.25">
      <c r="A482" s="346" t="str">
        <f>'הזנה לתנאי סף'!B482</f>
        <v/>
      </c>
      <c r="B482" s="347" t="str">
        <f>IF($F482="","",'הזנה לתנאי סף'!C482)</f>
        <v/>
      </c>
      <c r="C482" s="347" t="str">
        <f>IF($F482="","",'הזנה לתנאי סף'!D482)</f>
        <v/>
      </c>
      <c r="D482" s="347" t="str">
        <f>IF($F482="","",'הזנה לתנאי סף'!E482)</f>
        <v/>
      </c>
      <c r="E482" s="348" t="str">
        <f>IF($F482="","",'הזנה לתנאי סף'!F482)</f>
        <v/>
      </c>
      <c r="F482" s="348" t="str">
        <f>IF('הזנה לתנאי סף'!BL482=1,'הזנה לתנאי סף'!G482,"")</f>
        <v/>
      </c>
      <c r="G482" s="348" t="str">
        <f>IF($F482="","",'הזנה לתנאי סף'!H482)</f>
        <v/>
      </c>
      <c r="H482" s="348" t="str">
        <f>IF($F482="","",'הזנה לתנאי סף'!I482)</f>
        <v/>
      </c>
      <c r="I482" s="349" t="str">
        <f>IF($F482="","",'הזנה לתנאי סף'!R482)</f>
        <v/>
      </c>
      <c r="J482" s="349" t="str">
        <f>IF($F482="","",'תחום תמיכה א'!P482)</f>
        <v/>
      </c>
      <c r="K482" s="177" t="str">
        <f>IF($F482="","",'הזנה לתנאי סף'!N482)</f>
        <v/>
      </c>
      <c r="L482" s="177" t="str">
        <f>IF($F482="","",'הזנה לתנאי סף'!O482)</f>
        <v/>
      </c>
      <c r="M482" s="177" t="str">
        <f>IF($F482="","",'הזנה לתנאי סף'!Q482)</f>
        <v/>
      </c>
      <c r="N482" s="349" t="str">
        <f>IF($F482="","",'תחום תמיכה א'!AE482)</f>
        <v/>
      </c>
      <c r="O482" s="178"/>
      <c r="P482" s="349" t="str">
        <f>IF($F482="","",'תחום תמיכה ב'!AC482)</f>
        <v/>
      </c>
      <c r="Q482" s="349" t="str">
        <f>IF($F482="","",IF('תחום תמיכה ג'!O482="",0,'תחום תמיכה ג'!O482))</f>
        <v/>
      </c>
      <c r="R482" s="349" t="str">
        <f t="shared" si="28"/>
        <v/>
      </c>
      <c r="S482" s="349" t="str">
        <f>IF($F482="","",'תחום תמיכה ב'!AE482)</f>
        <v/>
      </c>
      <c r="T482" s="349" t="str">
        <f>IF($F482="","",IF(Q482='תחום תמיכה ג'!$Q$2,'תחום תמיכה ג'!$Q$2,IFERROR(SUMIF(N482:R482,"&gt;0"),'תחום תמיכה ג'!$Q$2)))</f>
        <v/>
      </c>
      <c r="U482" s="349" t="str">
        <f>IF($F482="","",'הזנה לתנאי סף'!Y482)</f>
        <v/>
      </c>
      <c r="V482" s="350" t="str">
        <f>IF(F482="","",'הגבלה לסכום מבוקש '!AA482)</f>
        <v/>
      </c>
      <c r="W482" s="349" t="str">
        <f t="shared" si="29"/>
        <v/>
      </c>
      <c r="X482" s="349" t="str">
        <f>IF(F482="","",'הזנה לתנאי סף'!Z482)</f>
        <v/>
      </c>
      <c r="Y482" s="351"/>
      <c r="Z482" s="352" t="str">
        <f>IFERROR(VLOOKUP(G482*1,#REF!,3,0),"")</f>
        <v/>
      </c>
      <c r="AA482" s="349" t="str">
        <f>IF(OR($F482="",Z482=""),"",IFERROR(IF(Z482&gt;V482,MIN(Z482,T482)-V482,0),'תחום תמיכה ג'!$Q$2))</f>
        <v/>
      </c>
      <c r="AB482" s="353"/>
      <c r="AC482" s="260" t="str">
        <f t="shared" si="31"/>
        <v/>
      </c>
      <c r="AD482" s="358"/>
      <c r="AE482" s="180"/>
      <c r="AF482" s="355" t="str">
        <f>IF($C482="","",IFERROR(VLOOKUP($C482,גיליון1!$A:$E,2,0),"לא הגיש בקשה שוטפת"))</f>
        <v/>
      </c>
      <c r="AG482" s="355" t="str">
        <f>IF($C482="","",IFERROR(VLOOKUP($C482,גיליון1!$A:$E,3,0),"לא הגיש בקשה שוטפת"))</f>
        <v/>
      </c>
      <c r="AH482" s="355" t="str">
        <f>IF($C482="","",IFERROR(VLOOKUP($C482,גיליון1!$A:$E,4,0),"לא הגיש בקשה שוטפת"))</f>
        <v/>
      </c>
      <c r="AI482" s="355" t="str">
        <f>IF($C482="","",IFERROR(VLOOKUP($C482,גיליון1!$A:$E,5,0),"לא הגיש בקשה שוטפת"))</f>
        <v/>
      </c>
      <c r="AJ482" s="355">
        <f t="shared" si="30"/>
        <v>0</v>
      </c>
      <c r="AK482" s="15"/>
      <c r="AL482" s="15" t="s">
        <v>250</v>
      </c>
    </row>
    <row r="483" spans="1:38" x14ac:dyDescent="0.25">
      <c r="A483" s="346" t="str">
        <f>'הזנה לתנאי סף'!B483</f>
        <v/>
      </c>
      <c r="B483" s="347" t="str">
        <f>IF($F483="","",'הזנה לתנאי סף'!C483)</f>
        <v/>
      </c>
      <c r="C483" s="347" t="str">
        <f>IF($F483="","",'הזנה לתנאי סף'!D483)</f>
        <v/>
      </c>
      <c r="D483" s="347" t="str">
        <f>IF($F483="","",'הזנה לתנאי סף'!E483)</f>
        <v/>
      </c>
      <c r="E483" s="348" t="str">
        <f>IF($F483="","",'הזנה לתנאי סף'!F483)</f>
        <v/>
      </c>
      <c r="F483" s="348" t="str">
        <f>IF('הזנה לתנאי סף'!BL483=1,'הזנה לתנאי סף'!G483,"")</f>
        <v/>
      </c>
      <c r="G483" s="348" t="str">
        <f>IF($F483="","",'הזנה לתנאי סף'!H483)</f>
        <v/>
      </c>
      <c r="H483" s="348" t="str">
        <f>IF($F483="","",'הזנה לתנאי סף'!I483)</f>
        <v/>
      </c>
      <c r="I483" s="349" t="str">
        <f>IF($F483="","",'הזנה לתנאי סף'!R483)</f>
        <v/>
      </c>
      <c r="J483" s="349" t="str">
        <f>IF($F483="","",'תחום תמיכה א'!P483)</f>
        <v/>
      </c>
      <c r="K483" s="177" t="str">
        <f>IF($F483="","",'הזנה לתנאי סף'!N483)</f>
        <v/>
      </c>
      <c r="L483" s="177" t="str">
        <f>IF($F483="","",'הזנה לתנאי סף'!O483)</f>
        <v/>
      </c>
      <c r="M483" s="177" t="str">
        <f>IF($F483="","",'הזנה לתנאי סף'!Q483)</f>
        <v/>
      </c>
      <c r="N483" s="349" t="str">
        <f>IF($F483="","",'תחום תמיכה א'!AE483)</f>
        <v/>
      </c>
      <c r="O483" s="178"/>
      <c r="P483" s="349" t="str">
        <f>IF($F483="","",'תחום תמיכה ב'!AC483)</f>
        <v/>
      </c>
      <c r="Q483" s="349" t="str">
        <f>IF($F483="","",IF('תחום תמיכה ג'!O483="",0,'תחום תמיכה ג'!O483))</f>
        <v/>
      </c>
      <c r="R483" s="349" t="str">
        <f t="shared" si="28"/>
        <v/>
      </c>
      <c r="S483" s="349" t="str">
        <f>IF($F483="","",'תחום תמיכה ב'!AE483)</f>
        <v/>
      </c>
      <c r="T483" s="349" t="str">
        <f>IF($F483="","",IF(Q483='תחום תמיכה ג'!$Q$2,'תחום תמיכה ג'!$Q$2,IFERROR(SUMIF(N483:R483,"&gt;0"),'תחום תמיכה ג'!$Q$2)))</f>
        <v/>
      </c>
      <c r="U483" s="349" t="str">
        <f>IF($F483="","",'הזנה לתנאי סף'!Y483)</f>
        <v/>
      </c>
      <c r="V483" s="350" t="str">
        <f>IF(F483="","",'הגבלה לסכום מבוקש '!AA483)</f>
        <v/>
      </c>
      <c r="W483" s="349" t="str">
        <f t="shared" si="29"/>
        <v/>
      </c>
      <c r="X483" s="349" t="str">
        <f>IF(F483="","",'הזנה לתנאי סף'!Z483)</f>
        <v/>
      </c>
      <c r="Y483" s="351"/>
      <c r="Z483" s="352" t="str">
        <f>IFERROR(VLOOKUP(G483*1,#REF!,3,0),"")</f>
        <v/>
      </c>
      <c r="AA483" s="349" t="str">
        <f>IF(OR($F483="",Z483=""),"",IFERROR(IF(Z483&gt;V483,MIN(Z483,T483)-V483,0),'תחום תמיכה ג'!$Q$2))</f>
        <v/>
      </c>
      <c r="AB483" s="353"/>
      <c r="AC483" s="260" t="str">
        <f t="shared" si="31"/>
        <v/>
      </c>
      <c r="AD483" s="358"/>
      <c r="AE483" s="180"/>
      <c r="AF483" s="355" t="str">
        <f>IF($C483="","",IFERROR(VLOOKUP($C483,גיליון1!$A:$E,2,0),"לא הגיש בקשה שוטפת"))</f>
        <v/>
      </c>
      <c r="AG483" s="355" t="str">
        <f>IF($C483="","",IFERROR(VLOOKUP($C483,גיליון1!$A:$E,3,0),"לא הגיש בקשה שוטפת"))</f>
        <v/>
      </c>
      <c r="AH483" s="355" t="str">
        <f>IF($C483="","",IFERROR(VLOOKUP($C483,גיליון1!$A:$E,4,0),"לא הגיש בקשה שוטפת"))</f>
        <v/>
      </c>
      <c r="AI483" s="355" t="str">
        <f>IF($C483="","",IFERROR(VLOOKUP($C483,גיליון1!$A:$E,5,0),"לא הגיש בקשה שוטפת"))</f>
        <v/>
      </c>
      <c r="AJ483" s="355">
        <f t="shared" si="30"/>
        <v>0</v>
      </c>
      <c r="AK483" s="15"/>
      <c r="AL483" s="15" t="s">
        <v>250</v>
      </c>
    </row>
    <row r="484" spans="1:38" x14ac:dyDescent="0.25">
      <c r="A484" s="346" t="str">
        <f>'הזנה לתנאי סף'!B484</f>
        <v/>
      </c>
      <c r="B484" s="347" t="str">
        <f>IF($F484="","",'הזנה לתנאי סף'!C484)</f>
        <v/>
      </c>
      <c r="C484" s="347" t="str">
        <f>IF($F484="","",'הזנה לתנאי סף'!D484)</f>
        <v/>
      </c>
      <c r="D484" s="347" t="str">
        <f>IF($F484="","",'הזנה לתנאי סף'!E484)</f>
        <v/>
      </c>
      <c r="E484" s="348" t="str">
        <f>IF($F484="","",'הזנה לתנאי סף'!F484)</f>
        <v/>
      </c>
      <c r="F484" s="348" t="str">
        <f>IF('הזנה לתנאי סף'!BL484=1,'הזנה לתנאי סף'!G484,"")</f>
        <v/>
      </c>
      <c r="G484" s="348" t="str">
        <f>IF($F484="","",'הזנה לתנאי סף'!H484)</f>
        <v/>
      </c>
      <c r="H484" s="348" t="str">
        <f>IF($F484="","",'הזנה לתנאי סף'!I484)</f>
        <v/>
      </c>
      <c r="I484" s="349" t="str">
        <f>IF($F484="","",'הזנה לתנאי סף'!R484)</f>
        <v/>
      </c>
      <c r="J484" s="349" t="str">
        <f>IF($F484="","",'תחום תמיכה א'!P484)</f>
        <v/>
      </c>
      <c r="K484" s="177" t="str">
        <f>IF($F484="","",'הזנה לתנאי סף'!N484)</f>
        <v/>
      </c>
      <c r="L484" s="177" t="str">
        <f>IF($F484="","",'הזנה לתנאי סף'!O484)</f>
        <v/>
      </c>
      <c r="M484" s="177" t="str">
        <f>IF($F484="","",'הזנה לתנאי סף'!Q484)</f>
        <v/>
      </c>
      <c r="N484" s="349" t="str">
        <f>IF($F484="","",'תחום תמיכה א'!AE484)</f>
        <v/>
      </c>
      <c r="O484" s="178"/>
      <c r="P484" s="349" t="str">
        <f>IF($F484="","",'תחום תמיכה ב'!AC484)</f>
        <v/>
      </c>
      <c r="Q484" s="349" t="str">
        <f>IF($F484="","",IF('תחום תמיכה ג'!O484="",0,'תחום תמיכה ג'!O484))</f>
        <v/>
      </c>
      <c r="R484" s="349" t="str">
        <f t="shared" si="28"/>
        <v/>
      </c>
      <c r="S484" s="349" t="str">
        <f>IF($F484="","",'תחום תמיכה ב'!AE484)</f>
        <v/>
      </c>
      <c r="T484" s="349" t="str">
        <f>IF($F484="","",IF(Q484='תחום תמיכה ג'!$Q$2,'תחום תמיכה ג'!$Q$2,IFERROR(SUMIF(N484:R484,"&gt;0"),'תחום תמיכה ג'!$Q$2)))</f>
        <v/>
      </c>
      <c r="U484" s="349" t="str">
        <f>IF($F484="","",'הזנה לתנאי סף'!Y484)</f>
        <v/>
      </c>
      <c r="V484" s="350" t="str">
        <f>IF(F484="","",'הגבלה לסכום מבוקש '!AA484)</f>
        <v/>
      </c>
      <c r="W484" s="349" t="str">
        <f t="shared" si="29"/>
        <v/>
      </c>
      <c r="X484" s="349" t="str">
        <f>IF(F484="","",'הזנה לתנאי סף'!Z484)</f>
        <v/>
      </c>
      <c r="Y484" s="351"/>
      <c r="Z484" s="352" t="str">
        <f>IFERROR(VLOOKUP(G484*1,#REF!,3,0),"")</f>
        <v/>
      </c>
      <c r="AA484" s="349" t="str">
        <f>IF(OR($F484="",Z484=""),"",IFERROR(IF(Z484&gt;V484,MIN(Z484,T484)-V484,0),'תחום תמיכה ג'!$Q$2))</f>
        <v/>
      </c>
      <c r="AB484" s="353"/>
      <c r="AC484" s="260" t="str">
        <f t="shared" si="31"/>
        <v/>
      </c>
      <c r="AD484" s="358"/>
      <c r="AE484" s="180"/>
      <c r="AF484" s="355" t="str">
        <f>IF($C484="","",IFERROR(VLOOKUP($C484,גיליון1!$A:$E,2,0),"לא הגיש בקשה שוטפת"))</f>
        <v/>
      </c>
      <c r="AG484" s="355" t="str">
        <f>IF($C484="","",IFERROR(VLOOKUP($C484,גיליון1!$A:$E,3,0),"לא הגיש בקשה שוטפת"))</f>
        <v/>
      </c>
      <c r="AH484" s="355" t="str">
        <f>IF($C484="","",IFERROR(VLOOKUP($C484,גיליון1!$A:$E,4,0),"לא הגיש בקשה שוטפת"))</f>
        <v/>
      </c>
      <c r="AI484" s="355" t="str">
        <f>IF($C484="","",IFERROR(VLOOKUP($C484,גיליון1!$A:$E,5,0),"לא הגיש בקשה שוטפת"))</f>
        <v/>
      </c>
      <c r="AJ484" s="355">
        <f t="shared" si="30"/>
        <v>0</v>
      </c>
      <c r="AK484" s="15"/>
      <c r="AL484" s="15" t="s">
        <v>250</v>
      </c>
    </row>
    <row r="485" spans="1:38" x14ac:dyDescent="0.25">
      <c r="A485" s="346" t="str">
        <f>'הזנה לתנאי סף'!B485</f>
        <v/>
      </c>
      <c r="B485" s="347" t="str">
        <f>IF($F485="","",'הזנה לתנאי סף'!C485)</f>
        <v/>
      </c>
      <c r="C485" s="347" t="str">
        <f>IF($F485="","",'הזנה לתנאי סף'!D485)</f>
        <v/>
      </c>
      <c r="D485" s="347" t="str">
        <f>IF($F485="","",'הזנה לתנאי סף'!E485)</f>
        <v/>
      </c>
      <c r="E485" s="348" t="str">
        <f>IF($F485="","",'הזנה לתנאי סף'!F485)</f>
        <v/>
      </c>
      <c r="F485" s="348" t="str">
        <f>IF('הזנה לתנאי סף'!BL485=1,'הזנה לתנאי סף'!G485,"")</f>
        <v/>
      </c>
      <c r="G485" s="348" t="str">
        <f>IF($F485="","",'הזנה לתנאי סף'!H485)</f>
        <v/>
      </c>
      <c r="H485" s="348" t="str">
        <f>IF($F485="","",'הזנה לתנאי סף'!I485)</f>
        <v/>
      </c>
      <c r="I485" s="349" t="str">
        <f>IF($F485="","",'הזנה לתנאי סף'!R485)</f>
        <v/>
      </c>
      <c r="J485" s="349" t="str">
        <f>IF($F485="","",'תחום תמיכה א'!P485)</f>
        <v/>
      </c>
      <c r="K485" s="177" t="str">
        <f>IF($F485="","",'הזנה לתנאי סף'!N485)</f>
        <v/>
      </c>
      <c r="L485" s="177" t="str">
        <f>IF($F485="","",'הזנה לתנאי סף'!O485)</f>
        <v/>
      </c>
      <c r="M485" s="177" t="str">
        <f>IF($F485="","",'הזנה לתנאי סף'!Q485)</f>
        <v/>
      </c>
      <c r="N485" s="349" t="str">
        <f>IF($F485="","",'תחום תמיכה א'!AE485)</f>
        <v/>
      </c>
      <c r="O485" s="178"/>
      <c r="P485" s="349" t="str">
        <f>IF($F485="","",'תחום תמיכה ב'!AC485)</f>
        <v/>
      </c>
      <c r="Q485" s="349" t="str">
        <f>IF($F485="","",IF('תחום תמיכה ג'!O485="",0,'תחום תמיכה ג'!O485))</f>
        <v/>
      </c>
      <c r="R485" s="349" t="str">
        <f t="shared" si="28"/>
        <v/>
      </c>
      <c r="S485" s="349" t="str">
        <f>IF($F485="","",'תחום תמיכה ב'!AE485)</f>
        <v/>
      </c>
      <c r="T485" s="349" t="str">
        <f>IF($F485="","",IF(Q485='תחום תמיכה ג'!$Q$2,'תחום תמיכה ג'!$Q$2,IFERROR(SUMIF(N485:R485,"&gt;0"),'תחום תמיכה ג'!$Q$2)))</f>
        <v/>
      </c>
      <c r="U485" s="349" t="str">
        <f>IF($F485="","",'הזנה לתנאי סף'!Y485)</f>
        <v/>
      </c>
      <c r="V485" s="350" t="str">
        <f>IF(F485="","",'הגבלה לסכום מבוקש '!AA485)</f>
        <v/>
      </c>
      <c r="W485" s="349" t="str">
        <f t="shared" si="29"/>
        <v/>
      </c>
      <c r="X485" s="349" t="str">
        <f>IF(F485="","",'הזנה לתנאי סף'!Z485)</f>
        <v/>
      </c>
      <c r="Y485" s="351"/>
      <c r="Z485" s="352" t="str">
        <f>IFERROR(VLOOKUP(G485*1,#REF!,3,0),"")</f>
        <v/>
      </c>
      <c r="AA485" s="349" t="str">
        <f>IF(OR($F485="",Z485=""),"",IFERROR(IF(Z485&gt;V485,MIN(Z485,T485)-V485,0),'תחום תמיכה ג'!$Q$2))</f>
        <v/>
      </c>
      <c r="AB485" s="353"/>
      <c r="AC485" s="260" t="str">
        <f t="shared" si="31"/>
        <v/>
      </c>
      <c r="AD485" s="358"/>
      <c r="AE485" s="180"/>
      <c r="AF485" s="355" t="str">
        <f>IF($C485="","",IFERROR(VLOOKUP($C485,גיליון1!$A:$E,2,0),"לא הגיש בקשה שוטפת"))</f>
        <v/>
      </c>
      <c r="AG485" s="355" t="str">
        <f>IF($C485="","",IFERROR(VLOOKUP($C485,גיליון1!$A:$E,3,0),"לא הגיש בקשה שוטפת"))</f>
        <v/>
      </c>
      <c r="AH485" s="355" t="str">
        <f>IF($C485="","",IFERROR(VLOOKUP($C485,גיליון1!$A:$E,4,0),"לא הגיש בקשה שוטפת"))</f>
        <v/>
      </c>
      <c r="AI485" s="355" t="str">
        <f>IF($C485="","",IFERROR(VLOOKUP($C485,גיליון1!$A:$E,5,0),"לא הגיש בקשה שוטפת"))</f>
        <v/>
      </c>
      <c r="AJ485" s="355">
        <f t="shared" si="30"/>
        <v>0</v>
      </c>
      <c r="AK485" s="15"/>
      <c r="AL485" s="15" t="s">
        <v>250</v>
      </c>
    </row>
    <row r="486" spans="1:38" x14ac:dyDescent="0.25">
      <c r="A486" s="346" t="str">
        <f>'הזנה לתנאי סף'!B486</f>
        <v/>
      </c>
      <c r="B486" s="347" t="str">
        <f>IF($F486="","",'הזנה לתנאי סף'!C486)</f>
        <v/>
      </c>
      <c r="C486" s="347" t="str">
        <f>IF($F486="","",'הזנה לתנאי סף'!D486)</f>
        <v/>
      </c>
      <c r="D486" s="347" t="str">
        <f>IF($F486="","",'הזנה לתנאי סף'!E486)</f>
        <v/>
      </c>
      <c r="E486" s="348" t="str">
        <f>IF($F486="","",'הזנה לתנאי סף'!F486)</f>
        <v/>
      </c>
      <c r="F486" s="348" t="str">
        <f>IF('הזנה לתנאי סף'!BL486=1,'הזנה לתנאי סף'!G486,"")</f>
        <v/>
      </c>
      <c r="G486" s="348" t="str">
        <f>IF($F486="","",'הזנה לתנאי סף'!H486)</f>
        <v/>
      </c>
      <c r="H486" s="348" t="str">
        <f>IF($F486="","",'הזנה לתנאי סף'!I486)</f>
        <v/>
      </c>
      <c r="I486" s="349" t="str">
        <f>IF($F486="","",'הזנה לתנאי סף'!R486)</f>
        <v/>
      </c>
      <c r="J486" s="349" t="str">
        <f>IF($F486="","",'תחום תמיכה א'!P486)</f>
        <v/>
      </c>
      <c r="K486" s="177" t="str">
        <f>IF($F486="","",'הזנה לתנאי סף'!N486)</f>
        <v/>
      </c>
      <c r="L486" s="177" t="str">
        <f>IF($F486="","",'הזנה לתנאי סף'!O486)</f>
        <v/>
      </c>
      <c r="M486" s="177" t="str">
        <f>IF($F486="","",'הזנה לתנאי סף'!Q486)</f>
        <v/>
      </c>
      <c r="N486" s="349" t="str">
        <f>IF($F486="","",'תחום תמיכה א'!AE486)</f>
        <v/>
      </c>
      <c r="O486" s="178"/>
      <c r="P486" s="349" t="str">
        <f>IF($F486="","",'תחום תמיכה ב'!AC486)</f>
        <v/>
      </c>
      <c r="Q486" s="349" t="str">
        <f>IF($F486="","",IF('תחום תמיכה ג'!O486="",0,'תחום תמיכה ג'!O486))</f>
        <v/>
      </c>
      <c r="R486" s="349" t="str">
        <f t="shared" si="28"/>
        <v/>
      </c>
      <c r="S486" s="349" t="str">
        <f>IF($F486="","",'תחום תמיכה ב'!AE486)</f>
        <v/>
      </c>
      <c r="T486" s="349" t="str">
        <f>IF($F486="","",IF(Q486='תחום תמיכה ג'!$Q$2,'תחום תמיכה ג'!$Q$2,IFERROR(SUMIF(N486:R486,"&gt;0"),'תחום תמיכה ג'!$Q$2)))</f>
        <v/>
      </c>
      <c r="U486" s="349" t="str">
        <f>IF($F486="","",'הזנה לתנאי סף'!Y486)</f>
        <v/>
      </c>
      <c r="V486" s="350" t="str">
        <f>IF(F486="","",'הגבלה לסכום מבוקש '!AA486)</f>
        <v/>
      </c>
      <c r="W486" s="349" t="str">
        <f t="shared" si="29"/>
        <v/>
      </c>
      <c r="X486" s="349" t="str">
        <f>IF(F486="","",'הזנה לתנאי סף'!Z486)</f>
        <v/>
      </c>
      <c r="Y486" s="351"/>
      <c r="Z486" s="352" t="str">
        <f>IFERROR(VLOOKUP(G486*1,#REF!,3,0),"")</f>
        <v/>
      </c>
      <c r="AA486" s="349" t="str">
        <f>IF(OR($F486="",Z486=""),"",IFERROR(IF(Z486&gt;V486,MIN(Z486,T486)-V486,0),'תחום תמיכה ג'!$Q$2))</f>
        <v/>
      </c>
      <c r="AB486" s="353"/>
      <c r="AC486" s="260" t="str">
        <f t="shared" si="31"/>
        <v/>
      </c>
      <c r="AD486" s="358"/>
      <c r="AE486" s="180"/>
      <c r="AF486" s="355" t="str">
        <f>IF($C486="","",IFERROR(VLOOKUP($C486,גיליון1!$A:$E,2,0),"לא הגיש בקשה שוטפת"))</f>
        <v/>
      </c>
      <c r="AG486" s="355" t="str">
        <f>IF($C486="","",IFERROR(VLOOKUP($C486,גיליון1!$A:$E,3,0),"לא הגיש בקשה שוטפת"))</f>
        <v/>
      </c>
      <c r="AH486" s="355" t="str">
        <f>IF($C486="","",IFERROR(VLOOKUP($C486,גיליון1!$A:$E,4,0),"לא הגיש בקשה שוטפת"))</f>
        <v/>
      </c>
      <c r="AI486" s="355" t="str">
        <f>IF($C486="","",IFERROR(VLOOKUP($C486,גיליון1!$A:$E,5,0),"לא הגיש בקשה שוטפת"))</f>
        <v/>
      </c>
      <c r="AJ486" s="355">
        <f t="shared" si="30"/>
        <v>0</v>
      </c>
      <c r="AK486" s="15"/>
      <c r="AL486" s="15" t="s">
        <v>250</v>
      </c>
    </row>
    <row r="487" spans="1:38" x14ac:dyDescent="0.25">
      <c r="A487" s="346" t="str">
        <f>'הזנה לתנאי סף'!B487</f>
        <v/>
      </c>
      <c r="B487" s="347" t="str">
        <f>IF($F487="","",'הזנה לתנאי סף'!C487)</f>
        <v/>
      </c>
      <c r="C487" s="347" t="str">
        <f>IF($F487="","",'הזנה לתנאי סף'!D487)</f>
        <v/>
      </c>
      <c r="D487" s="347" t="str">
        <f>IF($F487="","",'הזנה לתנאי סף'!E487)</f>
        <v/>
      </c>
      <c r="E487" s="348" t="str">
        <f>IF($F487="","",'הזנה לתנאי סף'!F487)</f>
        <v/>
      </c>
      <c r="F487" s="348" t="str">
        <f>IF('הזנה לתנאי סף'!BL487=1,'הזנה לתנאי סף'!G487,"")</f>
        <v/>
      </c>
      <c r="G487" s="348" t="str">
        <f>IF($F487="","",'הזנה לתנאי סף'!H487)</f>
        <v/>
      </c>
      <c r="H487" s="348" t="str">
        <f>IF($F487="","",'הזנה לתנאי סף'!I487)</f>
        <v/>
      </c>
      <c r="I487" s="349" t="str">
        <f>IF($F487="","",'הזנה לתנאי סף'!R487)</f>
        <v/>
      </c>
      <c r="J487" s="349" t="str">
        <f>IF($F487="","",'תחום תמיכה א'!P487)</f>
        <v/>
      </c>
      <c r="K487" s="177" t="str">
        <f>IF($F487="","",'הזנה לתנאי סף'!N487)</f>
        <v/>
      </c>
      <c r="L487" s="177" t="str">
        <f>IF($F487="","",'הזנה לתנאי סף'!O487)</f>
        <v/>
      </c>
      <c r="M487" s="177" t="str">
        <f>IF($F487="","",'הזנה לתנאי סף'!Q487)</f>
        <v/>
      </c>
      <c r="N487" s="349" t="str">
        <f>IF($F487="","",'תחום תמיכה א'!AE487)</f>
        <v/>
      </c>
      <c r="O487" s="178"/>
      <c r="P487" s="349" t="str">
        <f>IF($F487="","",'תחום תמיכה ב'!AC487)</f>
        <v/>
      </c>
      <c r="Q487" s="349" t="str">
        <f>IF($F487="","",IF('תחום תמיכה ג'!O487="",0,'תחום תמיכה ג'!O487))</f>
        <v/>
      </c>
      <c r="R487" s="349" t="str">
        <f t="shared" si="28"/>
        <v/>
      </c>
      <c r="S487" s="349" t="str">
        <f>IF($F487="","",'תחום תמיכה ב'!AE487)</f>
        <v/>
      </c>
      <c r="T487" s="349" t="str">
        <f>IF($F487="","",IF(Q487='תחום תמיכה ג'!$Q$2,'תחום תמיכה ג'!$Q$2,IFERROR(SUMIF(N487:R487,"&gt;0"),'תחום תמיכה ג'!$Q$2)))</f>
        <v/>
      </c>
      <c r="U487" s="349" t="str">
        <f>IF($F487="","",'הזנה לתנאי סף'!Y487)</f>
        <v/>
      </c>
      <c r="V487" s="350" t="str">
        <f>IF(F487="","",'הגבלה לסכום מבוקש '!AA487)</f>
        <v/>
      </c>
      <c r="W487" s="349" t="str">
        <f t="shared" si="29"/>
        <v/>
      </c>
      <c r="X487" s="349" t="str">
        <f>IF(F487="","",'הזנה לתנאי סף'!Z487)</f>
        <v/>
      </c>
      <c r="Y487" s="351"/>
      <c r="Z487" s="352" t="str">
        <f>IFERROR(VLOOKUP(G487*1,#REF!,3,0),"")</f>
        <v/>
      </c>
      <c r="AA487" s="349" t="str">
        <f>IF(OR($F487="",Z487=""),"",IFERROR(IF(Z487&gt;V487,MIN(Z487,T487)-V487,0),'תחום תמיכה ג'!$Q$2))</f>
        <v/>
      </c>
      <c r="AB487" s="353"/>
      <c r="AC487" s="260" t="str">
        <f t="shared" si="31"/>
        <v/>
      </c>
      <c r="AD487" s="358"/>
      <c r="AE487" s="180"/>
      <c r="AF487" s="355" t="str">
        <f>IF($C487="","",IFERROR(VLOOKUP($C487,גיליון1!$A:$E,2,0),"לא הגיש בקשה שוטפת"))</f>
        <v/>
      </c>
      <c r="AG487" s="355" t="str">
        <f>IF($C487="","",IFERROR(VLOOKUP($C487,גיליון1!$A:$E,3,0),"לא הגיש בקשה שוטפת"))</f>
        <v/>
      </c>
      <c r="AH487" s="355" t="str">
        <f>IF($C487="","",IFERROR(VLOOKUP($C487,גיליון1!$A:$E,4,0),"לא הגיש בקשה שוטפת"))</f>
        <v/>
      </c>
      <c r="AI487" s="355" t="str">
        <f>IF($C487="","",IFERROR(VLOOKUP($C487,גיליון1!$A:$E,5,0),"לא הגיש בקשה שוטפת"))</f>
        <v/>
      </c>
      <c r="AJ487" s="355">
        <f t="shared" si="30"/>
        <v>0</v>
      </c>
      <c r="AK487" s="15"/>
      <c r="AL487" s="15" t="s">
        <v>250</v>
      </c>
    </row>
    <row r="488" spans="1:38" x14ac:dyDescent="0.25">
      <c r="A488" s="346" t="str">
        <f>'הזנה לתנאי סף'!B488</f>
        <v/>
      </c>
      <c r="B488" s="347" t="str">
        <f>IF($F488="","",'הזנה לתנאי סף'!C488)</f>
        <v/>
      </c>
      <c r="C488" s="347" t="str">
        <f>IF($F488="","",'הזנה לתנאי סף'!D488)</f>
        <v/>
      </c>
      <c r="D488" s="347" t="str">
        <f>IF($F488="","",'הזנה לתנאי סף'!E488)</f>
        <v/>
      </c>
      <c r="E488" s="348" t="str">
        <f>IF($F488="","",'הזנה לתנאי סף'!F488)</f>
        <v/>
      </c>
      <c r="F488" s="348" t="str">
        <f>IF('הזנה לתנאי סף'!BL488=1,'הזנה לתנאי סף'!G488,"")</f>
        <v/>
      </c>
      <c r="G488" s="348" t="str">
        <f>IF($F488="","",'הזנה לתנאי סף'!H488)</f>
        <v/>
      </c>
      <c r="H488" s="348" t="str">
        <f>IF($F488="","",'הזנה לתנאי סף'!I488)</f>
        <v/>
      </c>
      <c r="I488" s="349" t="str">
        <f>IF($F488="","",'הזנה לתנאי סף'!R488)</f>
        <v/>
      </c>
      <c r="J488" s="349" t="str">
        <f>IF($F488="","",'תחום תמיכה א'!P488)</f>
        <v/>
      </c>
      <c r="K488" s="177" t="str">
        <f>IF($F488="","",'הזנה לתנאי סף'!N488)</f>
        <v/>
      </c>
      <c r="L488" s="177" t="str">
        <f>IF($F488="","",'הזנה לתנאי סף'!O488)</f>
        <v/>
      </c>
      <c r="M488" s="177" t="str">
        <f>IF($F488="","",'הזנה לתנאי סף'!Q488)</f>
        <v/>
      </c>
      <c r="N488" s="349" t="str">
        <f>IF($F488="","",'תחום תמיכה א'!AE488)</f>
        <v/>
      </c>
      <c r="O488" s="178"/>
      <c r="P488" s="349" t="str">
        <f>IF($F488="","",'תחום תמיכה ב'!AC488)</f>
        <v/>
      </c>
      <c r="Q488" s="349" t="str">
        <f>IF($F488="","",IF('תחום תמיכה ג'!O488="",0,'תחום תמיכה ג'!O488))</f>
        <v/>
      </c>
      <c r="R488" s="349" t="str">
        <f t="shared" si="28"/>
        <v/>
      </c>
      <c r="S488" s="349" t="str">
        <f>IF($F488="","",'תחום תמיכה ב'!AE488)</f>
        <v/>
      </c>
      <c r="T488" s="349" t="str">
        <f>IF($F488="","",IF(Q488='תחום תמיכה ג'!$Q$2,'תחום תמיכה ג'!$Q$2,IFERROR(SUMIF(N488:R488,"&gt;0"),'תחום תמיכה ג'!$Q$2)))</f>
        <v/>
      </c>
      <c r="U488" s="349" t="str">
        <f>IF($F488="","",'הזנה לתנאי סף'!Y488)</f>
        <v/>
      </c>
      <c r="V488" s="350" t="str">
        <f>IF(F488="","",'הגבלה לסכום מבוקש '!AA488)</f>
        <v/>
      </c>
      <c r="W488" s="349" t="str">
        <f t="shared" si="29"/>
        <v/>
      </c>
      <c r="X488" s="349" t="str">
        <f>IF(F488="","",'הזנה לתנאי סף'!Z488)</f>
        <v/>
      </c>
      <c r="Y488" s="351"/>
      <c r="Z488" s="352" t="str">
        <f>IFERROR(VLOOKUP(G488*1,#REF!,3,0),"")</f>
        <v/>
      </c>
      <c r="AA488" s="349" t="str">
        <f>IF(OR($F488="",Z488=""),"",IFERROR(IF(Z488&gt;V488,MIN(Z488,T488)-V488,0),'תחום תמיכה ג'!$Q$2))</f>
        <v/>
      </c>
      <c r="AB488" s="353"/>
      <c r="AC488" s="260" t="str">
        <f t="shared" si="31"/>
        <v/>
      </c>
      <c r="AD488" s="358"/>
      <c r="AE488" s="180"/>
      <c r="AF488" s="355" t="str">
        <f>IF($C488="","",IFERROR(VLOOKUP($C488,גיליון1!$A:$E,2,0),"לא הגיש בקשה שוטפת"))</f>
        <v/>
      </c>
      <c r="AG488" s="355" t="str">
        <f>IF($C488="","",IFERROR(VLOOKUP($C488,גיליון1!$A:$E,3,0),"לא הגיש בקשה שוטפת"))</f>
        <v/>
      </c>
      <c r="AH488" s="355" t="str">
        <f>IF($C488="","",IFERROR(VLOOKUP($C488,גיליון1!$A:$E,4,0),"לא הגיש בקשה שוטפת"))</f>
        <v/>
      </c>
      <c r="AI488" s="355" t="str">
        <f>IF($C488="","",IFERROR(VLOOKUP($C488,גיליון1!$A:$E,5,0),"לא הגיש בקשה שוטפת"))</f>
        <v/>
      </c>
      <c r="AJ488" s="355">
        <f t="shared" si="30"/>
        <v>0</v>
      </c>
      <c r="AK488" s="15"/>
      <c r="AL488" s="15" t="s">
        <v>250</v>
      </c>
    </row>
    <row r="489" spans="1:38" x14ac:dyDescent="0.25">
      <c r="A489" s="346" t="str">
        <f>'הזנה לתנאי סף'!B489</f>
        <v/>
      </c>
      <c r="B489" s="347" t="str">
        <f>IF($F489="","",'הזנה לתנאי סף'!C489)</f>
        <v/>
      </c>
      <c r="C489" s="347" t="str">
        <f>IF($F489="","",'הזנה לתנאי סף'!D489)</f>
        <v/>
      </c>
      <c r="D489" s="347" t="str">
        <f>IF($F489="","",'הזנה לתנאי סף'!E489)</f>
        <v/>
      </c>
      <c r="E489" s="348" t="str">
        <f>IF($F489="","",'הזנה לתנאי סף'!F489)</f>
        <v/>
      </c>
      <c r="F489" s="348" t="str">
        <f>IF('הזנה לתנאי סף'!BL489=1,'הזנה לתנאי סף'!G489,"")</f>
        <v/>
      </c>
      <c r="G489" s="348" t="str">
        <f>IF($F489="","",'הזנה לתנאי סף'!H489)</f>
        <v/>
      </c>
      <c r="H489" s="348" t="str">
        <f>IF($F489="","",'הזנה לתנאי סף'!I489)</f>
        <v/>
      </c>
      <c r="I489" s="349" t="str">
        <f>IF($F489="","",'הזנה לתנאי סף'!R489)</f>
        <v/>
      </c>
      <c r="J489" s="349" t="str">
        <f>IF($F489="","",'תחום תמיכה א'!P489)</f>
        <v/>
      </c>
      <c r="K489" s="177" t="str">
        <f>IF($F489="","",'הזנה לתנאי סף'!N489)</f>
        <v/>
      </c>
      <c r="L489" s="177" t="str">
        <f>IF($F489="","",'הזנה לתנאי סף'!O489)</f>
        <v/>
      </c>
      <c r="M489" s="177" t="str">
        <f>IF($F489="","",'הזנה לתנאי סף'!Q489)</f>
        <v/>
      </c>
      <c r="N489" s="349" t="str">
        <f>IF($F489="","",'תחום תמיכה א'!AE489)</f>
        <v/>
      </c>
      <c r="O489" s="178"/>
      <c r="P489" s="349" t="str">
        <f>IF($F489="","",'תחום תמיכה ב'!AC489)</f>
        <v/>
      </c>
      <c r="Q489" s="349" t="str">
        <f>IF($F489="","",IF('תחום תמיכה ג'!O489="",0,'תחום תמיכה ג'!O489))</f>
        <v/>
      </c>
      <c r="R489" s="349" t="str">
        <f t="shared" si="28"/>
        <v/>
      </c>
      <c r="S489" s="349" t="str">
        <f>IF($F489="","",'תחום תמיכה ב'!AE489)</f>
        <v/>
      </c>
      <c r="T489" s="349" t="str">
        <f>IF($F489="","",IF(Q489='תחום תמיכה ג'!$Q$2,'תחום תמיכה ג'!$Q$2,IFERROR(SUMIF(N489:R489,"&gt;0"),'תחום תמיכה ג'!$Q$2)))</f>
        <v/>
      </c>
      <c r="U489" s="349" t="str">
        <f>IF($F489="","",'הזנה לתנאי סף'!Y489)</f>
        <v/>
      </c>
      <c r="V489" s="350" t="str">
        <f>IF(F489="","",'הגבלה לסכום מבוקש '!AA489)</f>
        <v/>
      </c>
      <c r="W489" s="349" t="str">
        <f t="shared" si="29"/>
        <v/>
      </c>
      <c r="X489" s="349" t="str">
        <f>IF(F489="","",'הזנה לתנאי סף'!Z489)</f>
        <v/>
      </c>
      <c r="Y489" s="351"/>
      <c r="Z489" s="352" t="str">
        <f>IFERROR(VLOOKUP(G489*1,#REF!,3,0),"")</f>
        <v/>
      </c>
      <c r="AA489" s="349" t="str">
        <f>IF(OR($F489="",Z489=""),"",IFERROR(IF(Z489&gt;V489,MIN(Z489,T489)-V489,0),'תחום תמיכה ג'!$Q$2))</f>
        <v/>
      </c>
      <c r="AB489" s="353"/>
      <c r="AC489" s="260" t="str">
        <f t="shared" si="31"/>
        <v/>
      </c>
      <c r="AD489" s="358"/>
      <c r="AE489" s="180"/>
      <c r="AF489" s="355" t="str">
        <f>IF($C489="","",IFERROR(VLOOKUP($C489,גיליון1!$A:$E,2,0),"לא הגיש בקשה שוטפת"))</f>
        <v/>
      </c>
      <c r="AG489" s="355" t="str">
        <f>IF($C489="","",IFERROR(VLOOKUP($C489,גיליון1!$A:$E,3,0),"לא הגיש בקשה שוטפת"))</f>
        <v/>
      </c>
      <c r="AH489" s="355" t="str">
        <f>IF($C489="","",IFERROR(VLOOKUP($C489,גיליון1!$A:$E,4,0),"לא הגיש בקשה שוטפת"))</f>
        <v/>
      </c>
      <c r="AI489" s="355" t="str">
        <f>IF($C489="","",IFERROR(VLOOKUP($C489,גיליון1!$A:$E,5,0),"לא הגיש בקשה שוטפת"))</f>
        <v/>
      </c>
      <c r="AJ489" s="355">
        <f t="shared" si="30"/>
        <v>0</v>
      </c>
      <c r="AK489" s="15"/>
      <c r="AL489" s="15" t="s">
        <v>250</v>
      </c>
    </row>
    <row r="490" spans="1:38" x14ac:dyDescent="0.25">
      <c r="A490" s="346" t="str">
        <f>'הזנה לתנאי סף'!B490</f>
        <v/>
      </c>
      <c r="B490" s="347" t="str">
        <f>IF($F490="","",'הזנה לתנאי סף'!C490)</f>
        <v/>
      </c>
      <c r="C490" s="347" t="str">
        <f>IF($F490="","",'הזנה לתנאי סף'!D490)</f>
        <v/>
      </c>
      <c r="D490" s="347" t="str">
        <f>IF($F490="","",'הזנה לתנאי סף'!E490)</f>
        <v/>
      </c>
      <c r="E490" s="348" t="str">
        <f>IF($F490="","",'הזנה לתנאי סף'!F490)</f>
        <v/>
      </c>
      <c r="F490" s="348" t="str">
        <f>IF('הזנה לתנאי סף'!BL490=1,'הזנה לתנאי סף'!G490,"")</f>
        <v/>
      </c>
      <c r="G490" s="348" t="str">
        <f>IF($F490="","",'הזנה לתנאי סף'!H490)</f>
        <v/>
      </c>
      <c r="H490" s="348" t="str">
        <f>IF($F490="","",'הזנה לתנאי סף'!I490)</f>
        <v/>
      </c>
      <c r="I490" s="349" t="str">
        <f>IF($F490="","",'הזנה לתנאי סף'!R490)</f>
        <v/>
      </c>
      <c r="J490" s="349" t="str">
        <f>IF($F490="","",'תחום תמיכה א'!P490)</f>
        <v/>
      </c>
      <c r="K490" s="177" t="str">
        <f>IF($F490="","",'הזנה לתנאי סף'!N490)</f>
        <v/>
      </c>
      <c r="L490" s="177" t="str">
        <f>IF($F490="","",'הזנה לתנאי סף'!O490)</f>
        <v/>
      </c>
      <c r="M490" s="177" t="str">
        <f>IF($F490="","",'הזנה לתנאי סף'!Q490)</f>
        <v/>
      </c>
      <c r="N490" s="349" t="str">
        <f>IF($F490="","",'תחום תמיכה א'!AE490)</f>
        <v/>
      </c>
      <c r="O490" s="178"/>
      <c r="P490" s="349" t="str">
        <f>IF($F490="","",'תחום תמיכה ב'!AC490)</f>
        <v/>
      </c>
      <c r="Q490" s="349" t="str">
        <f>IF($F490="","",IF('תחום תמיכה ג'!O490="",0,'תחום תמיכה ג'!O490))</f>
        <v/>
      </c>
      <c r="R490" s="349" t="str">
        <f t="shared" si="28"/>
        <v/>
      </c>
      <c r="S490" s="349" t="str">
        <f>IF($F490="","",'תחום תמיכה ב'!AE490)</f>
        <v/>
      </c>
      <c r="T490" s="349" t="str">
        <f>IF($F490="","",IF(Q490='תחום תמיכה ג'!$Q$2,'תחום תמיכה ג'!$Q$2,IFERROR(SUMIF(N490:R490,"&gt;0"),'תחום תמיכה ג'!$Q$2)))</f>
        <v/>
      </c>
      <c r="U490" s="349" t="str">
        <f>IF($F490="","",'הזנה לתנאי סף'!Y490)</f>
        <v/>
      </c>
      <c r="V490" s="350" t="str">
        <f>IF(F490="","",'הגבלה לסכום מבוקש '!AA490)</f>
        <v/>
      </c>
      <c r="W490" s="349" t="str">
        <f t="shared" si="29"/>
        <v/>
      </c>
      <c r="X490" s="349" t="str">
        <f>IF(F490="","",'הזנה לתנאי סף'!Z490)</f>
        <v/>
      </c>
      <c r="Y490" s="351"/>
      <c r="Z490" s="352" t="str">
        <f>IFERROR(VLOOKUP(G490*1,#REF!,3,0),"")</f>
        <v/>
      </c>
      <c r="AA490" s="349" t="str">
        <f>IF(OR($F490="",Z490=""),"",IFERROR(IF(Z490&gt;V490,MIN(Z490,T490)-V490,0),'תחום תמיכה ג'!$Q$2))</f>
        <v/>
      </c>
      <c r="AB490" s="353"/>
      <c r="AC490" s="260" t="str">
        <f t="shared" si="31"/>
        <v/>
      </c>
      <c r="AD490" s="358"/>
      <c r="AE490" s="180"/>
      <c r="AF490" s="355" t="str">
        <f>IF($C490="","",IFERROR(VLOOKUP($C490,גיליון1!$A:$E,2,0),"לא הגיש בקשה שוטפת"))</f>
        <v/>
      </c>
      <c r="AG490" s="355" t="str">
        <f>IF($C490="","",IFERROR(VLOOKUP($C490,גיליון1!$A:$E,3,0),"לא הגיש בקשה שוטפת"))</f>
        <v/>
      </c>
      <c r="AH490" s="355" t="str">
        <f>IF($C490="","",IFERROR(VLOOKUP($C490,גיליון1!$A:$E,4,0),"לא הגיש בקשה שוטפת"))</f>
        <v/>
      </c>
      <c r="AI490" s="355" t="str">
        <f>IF($C490="","",IFERROR(VLOOKUP($C490,גיליון1!$A:$E,5,0),"לא הגיש בקשה שוטפת"))</f>
        <v/>
      </c>
      <c r="AJ490" s="355">
        <f t="shared" si="30"/>
        <v>0</v>
      </c>
      <c r="AK490" s="15"/>
      <c r="AL490" s="15" t="s">
        <v>250</v>
      </c>
    </row>
    <row r="491" spans="1:38" x14ac:dyDescent="0.25">
      <c r="A491" s="346" t="str">
        <f>'הזנה לתנאי סף'!B491</f>
        <v/>
      </c>
      <c r="B491" s="347" t="str">
        <f>IF($F491="","",'הזנה לתנאי סף'!C491)</f>
        <v/>
      </c>
      <c r="C491" s="347" t="str">
        <f>IF($F491="","",'הזנה לתנאי סף'!D491)</f>
        <v/>
      </c>
      <c r="D491" s="347" t="str">
        <f>IF($F491="","",'הזנה לתנאי סף'!E491)</f>
        <v/>
      </c>
      <c r="E491" s="348" t="str">
        <f>IF($F491="","",'הזנה לתנאי סף'!F491)</f>
        <v/>
      </c>
      <c r="F491" s="348" t="str">
        <f>IF('הזנה לתנאי סף'!BL491=1,'הזנה לתנאי סף'!G491,"")</f>
        <v/>
      </c>
      <c r="G491" s="348" t="str">
        <f>IF($F491="","",'הזנה לתנאי סף'!H491)</f>
        <v/>
      </c>
      <c r="H491" s="348" t="str">
        <f>IF($F491="","",'הזנה לתנאי סף'!I491)</f>
        <v/>
      </c>
      <c r="I491" s="349" t="str">
        <f>IF($F491="","",'הזנה לתנאי סף'!R491)</f>
        <v/>
      </c>
      <c r="J491" s="349" t="str">
        <f>IF($F491="","",'תחום תמיכה א'!P491)</f>
        <v/>
      </c>
      <c r="K491" s="177" t="str">
        <f>IF($F491="","",'הזנה לתנאי סף'!N491)</f>
        <v/>
      </c>
      <c r="L491" s="177" t="str">
        <f>IF($F491="","",'הזנה לתנאי סף'!O491)</f>
        <v/>
      </c>
      <c r="M491" s="177" t="str">
        <f>IF($F491="","",'הזנה לתנאי סף'!Q491)</f>
        <v/>
      </c>
      <c r="N491" s="349" t="str">
        <f>IF($F491="","",'תחום תמיכה א'!AE491)</f>
        <v/>
      </c>
      <c r="O491" s="178"/>
      <c r="P491" s="349" t="str">
        <f>IF($F491="","",'תחום תמיכה ב'!AC491)</f>
        <v/>
      </c>
      <c r="Q491" s="349" t="str">
        <f>IF($F491="","",IF('תחום תמיכה ג'!O491="",0,'תחום תמיכה ג'!O491))</f>
        <v/>
      </c>
      <c r="R491" s="349" t="str">
        <f t="shared" si="28"/>
        <v/>
      </c>
      <c r="S491" s="349" t="str">
        <f>IF($F491="","",'תחום תמיכה ב'!AE491)</f>
        <v/>
      </c>
      <c r="T491" s="349" t="str">
        <f>IF($F491="","",IF(Q491='תחום תמיכה ג'!$Q$2,'תחום תמיכה ג'!$Q$2,IFERROR(SUMIF(N491:R491,"&gt;0"),'תחום תמיכה ג'!$Q$2)))</f>
        <v/>
      </c>
      <c r="U491" s="349" t="str">
        <f>IF($F491="","",'הזנה לתנאי סף'!Y491)</f>
        <v/>
      </c>
      <c r="V491" s="350" t="str">
        <f>IF(F491="","",'הגבלה לסכום מבוקש '!AA491)</f>
        <v/>
      </c>
      <c r="W491" s="349" t="str">
        <f t="shared" si="29"/>
        <v/>
      </c>
      <c r="X491" s="349" t="str">
        <f>IF(F491="","",'הזנה לתנאי סף'!Z491)</f>
        <v/>
      </c>
      <c r="Y491" s="351"/>
      <c r="Z491" s="352" t="str">
        <f>IFERROR(VLOOKUP(G491*1,#REF!,3,0),"")</f>
        <v/>
      </c>
      <c r="AA491" s="349" t="str">
        <f>IF(OR($F491="",Z491=""),"",IFERROR(IF(Z491&gt;V491,MIN(Z491,T491)-V491,0),'תחום תמיכה ג'!$Q$2))</f>
        <v/>
      </c>
      <c r="AB491" s="353"/>
      <c r="AC491" s="260" t="str">
        <f t="shared" si="31"/>
        <v/>
      </c>
      <c r="AD491" s="358"/>
      <c r="AE491" s="180"/>
      <c r="AF491" s="355" t="str">
        <f>IF($C491="","",IFERROR(VLOOKUP($C491,גיליון1!$A:$E,2,0),"לא הגיש בקשה שוטפת"))</f>
        <v/>
      </c>
      <c r="AG491" s="355" t="str">
        <f>IF($C491="","",IFERROR(VLOOKUP($C491,גיליון1!$A:$E,3,0),"לא הגיש בקשה שוטפת"))</f>
        <v/>
      </c>
      <c r="AH491" s="355" t="str">
        <f>IF($C491="","",IFERROR(VLOOKUP($C491,גיליון1!$A:$E,4,0),"לא הגיש בקשה שוטפת"))</f>
        <v/>
      </c>
      <c r="AI491" s="355" t="str">
        <f>IF($C491="","",IFERROR(VLOOKUP($C491,גיליון1!$A:$E,5,0),"לא הגיש בקשה שוטפת"))</f>
        <v/>
      </c>
      <c r="AJ491" s="355">
        <f t="shared" si="30"/>
        <v>0</v>
      </c>
      <c r="AK491" s="15"/>
      <c r="AL491" s="15" t="s">
        <v>250</v>
      </c>
    </row>
    <row r="492" spans="1:38" x14ac:dyDescent="0.25">
      <c r="A492" s="346" t="str">
        <f>'הזנה לתנאי סף'!B492</f>
        <v/>
      </c>
      <c r="B492" s="347" t="str">
        <f>IF($F492="","",'הזנה לתנאי סף'!C492)</f>
        <v/>
      </c>
      <c r="C492" s="347" t="str">
        <f>IF($F492="","",'הזנה לתנאי סף'!D492)</f>
        <v/>
      </c>
      <c r="D492" s="347" t="str">
        <f>IF($F492="","",'הזנה לתנאי סף'!E492)</f>
        <v/>
      </c>
      <c r="E492" s="348" t="str">
        <f>IF($F492="","",'הזנה לתנאי סף'!F492)</f>
        <v/>
      </c>
      <c r="F492" s="348" t="str">
        <f>IF('הזנה לתנאי סף'!BL492=1,'הזנה לתנאי סף'!G492,"")</f>
        <v/>
      </c>
      <c r="G492" s="348" t="str">
        <f>IF($F492="","",'הזנה לתנאי סף'!H492)</f>
        <v/>
      </c>
      <c r="H492" s="348" t="str">
        <f>IF($F492="","",'הזנה לתנאי סף'!I492)</f>
        <v/>
      </c>
      <c r="I492" s="349" t="str">
        <f>IF($F492="","",'הזנה לתנאי סף'!R492)</f>
        <v/>
      </c>
      <c r="J492" s="349" t="str">
        <f>IF($F492="","",'תחום תמיכה א'!P492)</f>
        <v/>
      </c>
      <c r="K492" s="177" t="str">
        <f>IF($F492="","",'הזנה לתנאי סף'!N492)</f>
        <v/>
      </c>
      <c r="L492" s="177" t="str">
        <f>IF($F492="","",'הזנה לתנאי סף'!O492)</f>
        <v/>
      </c>
      <c r="M492" s="177" t="str">
        <f>IF($F492="","",'הזנה לתנאי סף'!Q492)</f>
        <v/>
      </c>
      <c r="N492" s="349" t="str">
        <f>IF($F492="","",'תחום תמיכה א'!AE492)</f>
        <v/>
      </c>
      <c r="O492" s="178"/>
      <c r="P492" s="349" t="str">
        <f>IF($F492="","",'תחום תמיכה ב'!AC492)</f>
        <v/>
      </c>
      <c r="Q492" s="349" t="str">
        <f>IF($F492="","",IF('תחום תמיכה ג'!O492="",0,'תחום תמיכה ג'!O492))</f>
        <v/>
      </c>
      <c r="R492" s="349" t="str">
        <f t="shared" si="28"/>
        <v/>
      </c>
      <c r="S492" s="349" t="str">
        <f>IF($F492="","",'תחום תמיכה ב'!AE492)</f>
        <v/>
      </c>
      <c r="T492" s="349" t="str">
        <f>IF($F492="","",IF(Q492='תחום תמיכה ג'!$Q$2,'תחום תמיכה ג'!$Q$2,IFERROR(SUMIF(N492:R492,"&gt;0"),'תחום תמיכה ג'!$Q$2)))</f>
        <v/>
      </c>
      <c r="U492" s="349" t="str">
        <f>IF($F492="","",'הזנה לתנאי סף'!Y492)</f>
        <v/>
      </c>
      <c r="V492" s="350" t="str">
        <f>IF(F492="","",'הגבלה לסכום מבוקש '!AA492)</f>
        <v/>
      </c>
      <c r="W492" s="349" t="str">
        <f t="shared" si="29"/>
        <v/>
      </c>
      <c r="X492" s="349" t="str">
        <f>IF(F492="","",'הזנה לתנאי סף'!Z492)</f>
        <v/>
      </c>
      <c r="Y492" s="351"/>
      <c r="Z492" s="352" t="str">
        <f>IFERROR(VLOOKUP(G492*1,#REF!,3,0),"")</f>
        <v/>
      </c>
      <c r="AA492" s="349" t="str">
        <f>IF(OR($F492="",Z492=""),"",IFERROR(IF(Z492&gt;V492,MIN(Z492,T492)-V492,0),'תחום תמיכה ג'!$Q$2))</f>
        <v/>
      </c>
      <c r="AB492" s="353"/>
      <c r="AC492" s="260" t="str">
        <f t="shared" si="31"/>
        <v/>
      </c>
      <c r="AD492" s="358"/>
      <c r="AE492" s="180"/>
      <c r="AF492" s="355" t="str">
        <f>IF($C492="","",IFERROR(VLOOKUP($C492,גיליון1!$A:$E,2,0),"לא הגיש בקשה שוטפת"))</f>
        <v/>
      </c>
      <c r="AG492" s="355" t="str">
        <f>IF($C492="","",IFERROR(VLOOKUP($C492,גיליון1!$A:$E,3,0),"לא הגיש בקשה שוטפת"))</f>
        <v/>
      </c>
      <c r="AH492" s="355" t="str">
        <f>IF($C492="","",IFERROR(VLOOKUP($C492,גיליון1!$A:$E,4,0),"לא הגיש בקשה שוטפת"))</f>
        <v/>
      </c>
      <c r="AI492" s="355" t="str">
        <f>IF($C492="","",IFERROR(VLOOKUP($C492,גיליון1!$A:$E,5,0),"לא הגיש בקשה שוטפת"))</f>
        <v/>
      </c>
      <c r="AJ492" s="355">
        <f t="shared" si="30"/>
        <v>0</v>
      </c>
      <c r="AK492" s="15"/>
      <c r="AL492" s="15" t="s">
        <v>250</v>
      </c>
    </row>
    <row r="493" spans="1:38" x14ac:dyDescent="0.25">
      <c r="A493" s="346" t="str">
        <f>'הזנה לתנאי סף'!B493</f>
        <v/>
      </c>
      <c r="B493" s="347" t="str">
        <f>IF($F493="","",'הזנה לתנאי סף'!C493)</f>
        <v/>
      </c>
      <c r="C493" s="347" t="str">
        <f>IF($F493="","",'הזנה לתנאי סף'!D493)</f>
        <v/>
      </c>
      <c r="D493" s="347" t="str">
        <f>IF($F493="","",'הזנה לתנאי סף'!E493)</f>
        <v/>
      </c>
      <c r="E493" s="348" t="str">
        <f>IF($F493="","",'הזנה לתנאי סף'!F493)</f>
        <v/>
      </c>
      <c r="F493" s="348" t="str">
        <f>IF('הזנה לתנאי סף'!BL493=1,'הזנה לתנאי סף'!G493,"")</f>
        <v/>
      </c>
      <c r="G493" s="348" t="str">
        <f>IF($F493="","",'הזנה לתנאי סף'!H493)</f>
        <v/>
      </c>
      <c r="H493" s="348" t="str">
        <f>IF($F493="","",'הזנה לתנאי סף'!I493)</f>
        <v/>
      </c>
      <c r="I493" s="349" t="str">
        <f>IF($F493="","",'הזנה לתנאי סף'!R493)</f>
        <v/>
      </c>
      <c r="J493" s="349" t="str">
        <f>IF($F493="","",'תחום תמיכה א'!P493)</f>
        <v/>
      </c>
      <c r="K493" s="177" t="str">
        <f>IF($F493="","",'הזנה לתנאי סף'!N493)</f>
        <v/>
      </c>
      <c r="L493" s="177" t="str">
        <f>IF($F493="","",'הזנה לתנאי סף'!O493)</f>
        <v/>
      </c>
      <c r="M493" s="177" t="str">
        <f>IF($F493="","",'הזנה לתנאי סף'!Q493)</f>
        <v/>
      </c>
      <c r="N493" s="349" t="str">
        <f>IF($F493="","",'תחום תמיכה א'!AE493)</f>
        <v/>
      </c>
      <c r="O493" s="178"/>
      <c r="P493" s="349" t="str">
        <f>IF($F493="","",'תחום תמיכה ב'!AC493)</f>
        <v/>
      </c>
      <c r="Q493" s="349" t="str">
        <f>IF($F493="","",IF('תחום תמיכה ג'!O493="",0,'תחום תמיכה ג'!O493))</f>
        <v/>
      </c>
      <c r="R493" s="349" t="str">
        <f t="shared" si="28"/>
        <v/>
      </c>
      <c r="S493" s="349" t="str">
        <f>IF($F493="","",'תחום תמיכה ב'!AE493)</f>
        <v/>
      </c>
      <c r="T493" s="349" t="str">
        <f>IF($F493="","",IF(Q493='תחום תמיכה ג'!$Q$2,'תחום תמיכה ג'!$Q$2,IFERROR(SUMIF(N493:R493,"&gt;0"),'תחום תמיכה ג'!$Q$2)))</f>
        <v/>
      </c>
      <c r="U493" s="349" t="str">
        <f>IF($F493="","",'הזנה לתנאי סף'!Y493)</f>
        <v/>
      </c>
      <c r="V493" s="350" t="str">
        <f>IF(F493="","",'הגבלה לסכום מבוקש '!AA493)</f>
        <v/>
      </c>
      <c r="W493" s="349" t="str">
        <f t="shared" si="29"/>
        <v/>
      </c>
      <c r="X493" s="349" t="str">
        <f>IF(F493="","",'הזנה לתנאי סף'!Z493)</f>
        <v/>
      </c>
      <c r="Y493" s="351"/>
      <c r="Z493" s="352" t="str">
        <f>IFERROR(VLOOKUP(G493*1,#REF!,3,0),"")</f>
        <v/>
      </c>
      <c r="AA493" s="349" t="str">
        <f>IF(OR($F493="",Z493=""),"",IFERROR(IF(Z493&gt;V493,MIN(Z493,T493)-V493,0),'תחום תמיכה ג'!$Q$2))</f>
        <v/>
      </c>
      <c r="AB493" s="353"/>
      <c r="AC493" s="260" t="str">
        <f t="shared" si="31"/>
        <v/>
      </c>
      <c r="AD493" s="358"/>
      <c r="AE493" s="180"/>
      <c r="AF493" s="355" t="str">
        <f>IF($C493="","",IFERROR(VLOOKUP($C493,גיליון1!$A:$E,2,0),"לא הגיש בקשה שוטפת"))</f>
        <v/>
      </c>
      <c r="AG493" s="355" t="str">
        <f>IF($C493="","",IFERROR(VLOOKUP($C493,גיליון1!$A:$E,3,0),"לא הגיש בקשה שוטפת"))</f>
        <v/>
      </c>
      <c r="AH493" s="355" t="str">
        <f>IF($C493="","",IFERROR(VLOOKUP($C493,גיליון1!$A:$E,4,0),"לא הגיש בקשה שוטפת"))</f>
        <v/>
      </c>
      <c r="AI493" s="355" t="str">
        <f>IF($C493="","",IFERROR(VLOOKUP($C493,גיליון1!$A:$E,5,0),"לא הגיש בקשה שוטפת"))</f>
        <v/>
      </c>
      <c r="AJ493" s="355">
        <f t="shared" si="30"/>
        <v>0</v>
      </c>
      <c r="AK493" s="15"/>
      <c r="AL493" s="15" t="s">
        <v>250</v>
      </c>
    </row>
    <row r="494" spans="1:38" x14ac:dyDescent="0.25">
      <c r="A494" s="346" t="str">
        <f>'הזנה לתנאי סף'!B494</f>
        <v/>
      </c>
      <c r="B494" s="347" t="str">
        <f>IF($F494="","",'הזנה לתנאי סף'!C494)</f>
        <v/>
      </c>
      <c r="C494" s="347" t="str">
        <f>IF($F494="","",'הזנה לתנאי סף'!D494)</f>
        <v/>
      </c>
      <c r="D494" s="347" t="str">
        <f>IF($F494="","",'הזנה לתנאי סף'!E494)</f>
        <v/>
      </c>
      <c r="E494" s="348" t="str">
        <f>IF($F494="","",'הזנה לתנאי סף'!F494)</f>
        <v/>
      </c>
      <c r="F494" s="348" t="str">
        <f>IF('הזנה לתנאי סף'!BL494=1,'הזנה לתנאי סף'!G494,"")</f>
        <v/>
      </c>
      <c r="G494" s="348" t="str">
        <f>IF($F494="","",'הזנה לתנאי סף'!H494)</f>
        <v/>
      </c>
      <c r="H494" s="348" t="str">
        <f>IF($F494="","",'הזנה לתנאי סף'!I494)</f>
        <v/>
      </c>
      <c r="I494" s="349" t="str">
        <f>IF($F494="","",'הזנה לתנאי סף'!R494)</f>
        <v/>
      </c>
      <c r="J494" s="349" t="str">
        <f>IF($F494="","",'תחום תמיכה א'!P494)</f>
        <v/>
      </c>
      <c r="K494" s="177" t="str">
        <f>IF($F494="","",'הזנה לתנאי סף'!N494)</f>
        <v/>
      </c>
      <c r="L494" s="177" t="str">
        <f>IF($F494="","",'הזנה לתנאי סף'!O494)</f>
        <v/>
      </c>
      <c r="M494" s="177" t="str">
        <f>IF($F494="","",'הזנה לתנאי סף'!Q494)</f>
        <v/>
      </c>
      <c r="N494" s="349" t="str">
        <f>IF($F494="","",'תחום תמיכה א'!AE494)</f>
        <v/>
      </c>
      <c r="O494" s="178"/>
      <c r="P494" s="349" t="str">
        <f>IF($F494="","",'תחום תמיכה ב'!AC494)</f>
        <v/>
      </c>
      <c r="Q494" s="349" t="str">
        <f>IF($F494="","",IF('תחום תמיכה ג'!O494="",0,'תחום תמיכה ג'!O494))</f>
        <v/>
      </c>
      <c r="R494" s="349" t="str">
        <f t="shared" si="28"/>
        <v/>
      </c>
      <c r="S494" s="349" t="str">
        <f>IF($F494="","",'תחום תמיכה ב'!AE494)</f>
        <v/>
      </c>
      <c r="T494" s="349" t="str">
        <f>IF($F494="","",IF(Q494='תחום תמיכה ג'!$Q$2,'תחום תמיכה ג'!$Q$2,IFERROR(SUMIF(N494:R494,"&gt;0"),'תחום תמיכה ג'!$Q$2)))</f>
        <v/>
      </c>
      <c r="U494" s="349" t="str">
        <f>IF($F494="","",'הזנה לתנאי סף'!Y494)</f>
        <v/>
      </c>
      <c r="V494" s="350" t="str">
        <f>IF(F494="","",'הגבלה לסכום מבוקש '!AA494)</f>
        <v/>
      </c>
      <c r="W494" s="349" t="str">
        <f t="shared" si="29"/>
        <v/>
      </c>
      <c r="X494" s="349" t="str">
        <f>IF(F494="","",'הזנה לתנאי סף'!Z494)</f>
        <v/>
      </c>
      <c r="Y494" s="351"/>
      <c r="Z494" s="352" t="str">
        <f>IFERROR(VLOOKUP(G494*1,#REF!,3,0),"")</f>
        <v/>
      </c>
      <c r="AA494" s="349" t="str">
        <f>IF(OR($F494="",Z494=""),"",IFERROR(IF(Z494&gt;V494,MIN(Z494,T494)-V494,0),'תחום תמיכה ג'!$Q$2))</f>
        <v/>
      </c>
      <c r="AB494" s="353"/>
      <c r="AC494" s="260" t="str">
        <f t="shared" si="31"/>
        <v/>
      </c>
      <c r="AD494" s="358"/>
      <c r="AE494" s="180"/>
      <c r="AF494" s="355" t="str">
        <f>IF($C494="","",IFERROR(VLOOKUP($C494,גיליון1!$A:$E,2,0),"לא הגיש בקשה שוטפת"))</f>
        <v/>
      </c>
      <c r="AG494" s="355" t="str">
        <f>IF($C494="","",IFERROR(VLOOKUP($C494,גיליון1!$A:$E,3,0),"לא הגיש בקשה שוטפת"))</f>
        <v/>
      </c>
      <c r="AH494" s="355" t="str">
        <f>IF($C494="","",IFERROR(VLOOKUP($C494,גיליון1!$A:$E,4,0),"לא הגיש בקשה שוטפת"))</f>
        <v/>
      </c>
      <c r="AI494" s="355" t="str">
        <f>IF($C494="","",IFERROR(VLOOKUP($C494,גיליון1!$A:$E,5,0),"לא הגיש בקשה שוטפת"))</f>
        <v/>
      </c>
      <c r="AJ494" s="355">
        <f t="shared" si="30"/>
        <v>0</v>
      </c>
      <c r="AK494" s="15"/>
      <c r="AL494" s="15" t="s">
        <v>250</v>
      </c>
    </row>
    <row r="495" spans="1:38" x14ac:dyDescent="0.25">
      <c r="A495" s="346" t="str">
        <f>'הזנה לתנאי סף'!B495</f>
        <v/>
      </c>
      <c r="B495" s="347" t="str">
        <f>IF($F495="","",'הזנה לתנאי סף'!C495)</f>
        <v/>
      </c>
      <c r="C495" s="347" t="str">
        <f>IF($F495="","",'הזנה לתנאי סף'!D495)</f>
        <v/>
      </c>
      <c r="D495" s="347" t="str">
        <f>IF($F495="","",'הזנה לתנאי סף'!E495)</f>
        <v/>
      </c>
      <c r="E495" s="348" t="str">
        <f>IF($F495="","",'הזנה לתנאי סף'!F495)</f>
        <v/>
      </c>
      <c r="F495" s="348" t="str">
        <f>IF('הזנה לתנאי סף'!BL495=1,'הזנה לתנאי סף'!G495,"")</f>
        <v/>
      </c>
      <c r="G495" s="348" t="str">
        <f>IF($F495="","",'הזנה לתנאי סף'!H495)</f>
        <v/>
      </c>
      <c r="H495" s="348" t="str">
        <f>IF($F495="","",'הזנה לתנאי סף'!I495)</f>
        <v/>
      </c>
      <c r="I495" s="349" t="str">
        <f>IF($F495="","",'הזנה לתנאי סף'!R495)</f>
        <v/>
      </c>
      <c r="J495" s="349" t="str">
        <f>IF($F495="","",'תחום תמיכה א'!P495)</f>
        <v/>
      </c>
      <c r="K495" s="177" t="str">
        <f>IF($F495="","",'הזנה לתנאי סף'!N495)</f>
        <v/>
      </c>
      <c r="L495" s="177" t="str">
        <f>IF($F495="","",'הזנה לתנאי סף'!O495)</f>
        <v/>
      </c>
      <c r="M495" s="177" t="str">
        <f>IF($F495="","",'הזנה לתנאי סף'!Q495)</f>
        <v/>
      </c>
      <c r="N495" s="349" t="str">
        <f>IF($F495="","",'תחום תמיכה א'!AE495)</f>
        <v/>
      </c>
      <c r="O495" s="178"/>
      <c r="P495" s="349" t="str">
        <f>IF($F495="","",'תחום תמיכה ב'!AC495)</f>
        <v/>
      </c>
      <c r="Q495" s="349" t="str">
        <f>IF($F495="","",IF('תחום תמיכה ג'!O495="",0,'תחום תמיכה ג'!O495))</f>
        <v/>
      </c>
      <c r="R495" s="349" t="str">
        <f t="shared" si="28"/>
        <v/>
      </c>
      <c r="S495" s="349" t="str">
        <f>IF($F495="","",'תחום תמיכה ב'!AE495)</f>
        <v/>
      </c>
      <c r="T495" s="349" t="str">
        <f>IF($F495="","",IF(Q495='תחום תמיכה ג'!$Q$2,'תחום תמיכה ג'!$Q$2,IFERROR(SUMIF(N495:R495,"&gt;0"),'תחום תמיכה ג'!$Q$2)))</f>
        <v/>
      </c>
      <c r="U495" s="349" t="str">
        <f>IF($F495="","",'הזנה לתנאי סף'!Y495)</f>
        <v/>
      </c>
      <c r="V495" s="350" t="str">
        <f>IF(F495="","",'הגבלה לסכום מבוקש '!AA495)</f>
        <v/>
      </c>
      <c r="W495" s="349" t="str">
        <f t="shared" si="29"/>
        <v/>
      </c>
      <c r="X495" s="349" t="str">
        <f>IF(F495="","",'הזנה לתנאי סף'!Z495)</f>
        <v/>
      </c>
      <c r="Y495" s="351"/>
      <c r="Z495" s="352" t="str">
        <f>IFERROR(VLOOKUP(G495*1,#REF!,3,0),"")</f>
        <v/>
      </c>
      <c r="AA495" s="349" t="str">
        <f>IF(OR($F495="",Z495=""),"",IFERROR(IF(Z495&gt;V495,MIN(Z495,T495)-V495,0),'תחום תמיכה ג'!$Q$2))</f>
        <v/>
      </c>
      <c r="AB495" s="353"/>
      <c r="AC495" s="260" t="str">
        <f t="shared" si="31"/>
        <v/>
      </c>
      <c r="AD495" s="358"/>
      <c r="AE495" s="180"/>
      <c r="AF495" s="355" t="str">
        <f>IF($C495="","",IFERROR(VLOOKUP($C495,גיליון1!$A:$E,2,0),"לא הגיש בקשה שוטפת"))</f>
        <v/>
      </c>
      <c r="AG495" s="355" t="str">
        <f>IF($C495="","",IFERROR(VLOOKUP($C495,גיליון1!$A:$E,3,0),"לא הגיש בקשה שוטפת"))</f>
        <v/>
      </c>
      <c r="AH495" s="355" t="str">
        <f>IF($C495="","",IFERROR(VLOOKUP($C495,גיליון1!$A:$E,4,0),"לא הגיש בקשה שוטפת"))</f>
        <v/>
      </c>
      <c r="AI495" s="355" t="str">
        <f>IF($C495="","",IFERROR(VLOOKUP($C495,גיליון1!$A:$E,5,0),"לא הגיש בקשה שוטפת"))</f>
        <v/>
      </c>
      <c r="AJ495" s="355">
        <f t="shared" si="30"/>
        <v>0</v>
      </c>
      <c r="AK495" s="15"/>
      <c r="AL495" s="15" t="s">
        <v>250</v>
      </c>
    </row>
    <row r="496" spans="1:38" x14ac:dyDescent="0.25">
      <c r="A496" s="346" t="str">
        <f>'הזנה לתנאי סף'!B496</f>
        <v/>
      </c>
      <c r="B496" s="347" t="str">
        <f>IF($F496="","",'הזנה לתנאי סף'!C496)</f>
        <v/>
      </c>
      <c r="C496" s="347" t="str">
        <f>IF($F496="","",'הזנה לתנאי סף'!D496)</f>
        <v/>
      </c>
      <c r="D496" s="347" t="str">
        <f>IF($F496="","",'הזנה לתנאי סף'!E496)</f>
        <v/>
      </c>
      <c r="E496" s="348" t="str">
        <f>IF($F496="","",'הזנה לתנאי סף'!F496)</f>
        <v/>
      </c>
      <c r="F496" s="348" t="str">
        <f>IF('הזנה לתנאי סף'!BL496=1,'הזנה לתנאי סף'!G496,"")</f>
        <v/>
      </c>
      <c r="G496" s="348" t="str">
        <f>IF($F496="","",'הזנה לתנאי סף'!H496)</f>
        <v/>
      </c>
      <c r="H496" s="348" t="str">
        <f>IF($F496="","",'הזנה לתנאי סף'!I496)</f>
        <v/>
      </c>
      <c r="I496" s="349" t="str">
        <f>IF($F496="","",'הזנה לתנאי סף'!R496)</f>
        <v/>
      </c>
      <c r="J496" s="349" t="str">
        <f>IF($F496="","",'תחום תמיכה א'!P496)</f>
        <v/>
      </c>
      <c r="K496" s="177" t="str">
        <f>IF($F496="","",'הזנה לתנאי סף'!N496)</f>
        <v/>
      </c>
      <c r="L496" s="177" t="str">
        <f>IF($F496="","",'הזנה לתנאי סף'!O496)</f>
        <v/>
      </c>
      <c r="M496" s="177" t="str">
        <f>IF($F496="","",'הזנה לתנאי סף'!Q496)</f>
        <v/>
      </c>
      <c r="N496" s="349" t="str">
        <f>IF($F496="","",'תחום תמיכה א'!AE496)</f>
        <v/>
      </c>
      <c r="O496" s="178"/>
      <c r="P496" s="349" t="str">
        <f>IF($F496="","",'תחום תמיכה ב'!AC496)</f>
        <v/>
      </c>
      <c r="Q496" s="349" t="str">
        <f>IF($F496="","",IF('תחום תמיכה ג'!O496="",0,'תחום תמיכה ג'!O496))</f>
        <v/>
      </c>
      <c r="R496" s="349" t="str">
        <f t="shared" si="28"/>
        <v/>
      </c>
      <c r="S496" s="349" t="str">
        <f>IF($F496="","",'תחום תמיכה ב'!AE496)</f>
        <v/>
      </c>
      <c r="T496" s="349" t="str">
        <f>IF($F496="","",IF(Q496='תחום תמיכה ג'!$Q$2,'תחום תמיכה ג'!$Q$2,IFERROR(SUMIF(N496:R496,"&gt;0"),'תחום תמיכה ג'!$Q$2)))</f>
        <v/>
      </c>
      <c r="U496" s="349" t="str">
        <f>IF($F496="","",'הזנה לתנאי סף'!Y496)</f>
        <v/>
      </c>
      <c r="V496" s="350" t="str">
        <f>IF(F496="","",'הגבלה לסכום מבוקש '!AA496)</f>
        <v/>
      </c>
      <c r="W496" s="349" t="str">
        <f t="shared" si="29"/>
        <v/>
      </c>
      <c r="X496" s="349" t="str">
        <f>IF(F496="","",'הזנה לתנאי סף'!Z496)</f>
        <v/>
      </c>
      <c r="Y496" s="351"/>
      <c r="Z496" s="352" t="str">
        <f>IFERROR(VLOOKUP(G496*1,#REF!,3,0),"")</f>
        <v/>
      </c>
      <c r="AA496" s="349" t="str">
        <f>IF(OR($F496="",Z496=""),"",IFERROR(IF(Z496&gt;V496,MIN(Z496,T496)-V496,0),'תחום תמיכה ג'!$Q$2))</f>
        <v/>
      </c>
      <c r="AB496" s="353"/>
      <c r="AC496" s="260" t="str">
        <f t="shared" si="31"/>
        <v/>
      </c>
      <c r="AD496" s="358"/>
      <c r="AE496" s="180"/>
      <c r="AF496" s="355" t="str">
        <f>IF($C496="","",IFERROR(VLOOKUP($C496,גיליון1!$A:$E,2,0),"לא הגיש בקשה שוטפת"))</f>
        <v/>
      </c>
      <c r="AG496" s="355" t="str">
        <f>IF($C496="","",IFERROR(VLOOKUP($C496,גיליון1!$A:$E,3,0),"לא הגיש בקשה שוטפת"))</f>
        <v/>
      </c>
      <c r="AH496" s="355" t="str">
        <f>IF($C496="","",IFERROR(VLOOKUP($C496,גיליון1!$A:$E,4,0),"לא הגיש בקשה שוטפת"))</f>
        <v/>
      </c>
      <c r="AI496" s="355" t="str">
        <f>IF($C496="","",IFERROR(VLOOKUP($C496,גיליון1!$A:$E,5,0),"לא הגיש בקשה שוטפת"))</f>
        <v/>
      </c>
      <c r="AJ496" s="355">
        <f t="shared" si="30"/>
        <v>0</v>
      </c>
      <c r="AK496" s="15"/>
      <c r="AL496" s="15" t="s">
        <v>250</v>
      </c>
    </row>
    <row r="497" spans="1:38" x14ac:dyDescent="0.25">
      <c r="A497" s="346" t="str">
        <f>'הזנה לתנאי סף'!B497</f>
        <v/>
      </c>
      <c r="B497" s="347" t="str">
        <f>IF($F497="","",'הזנה לתנאי סף'!C497)</f>
        <v/>
      </c>
      <c r="C497" s="347" t="str">
        <f>IF($F497="","",'הזנה לתנאי סף'!D497)</f>
        <v/>
      </c>
      <c r="D497" s="347" t="str">
        <f>IF($F497="","",'הזנה לתנאי סף'!E497)</f>
        <v/>
      </c>
      <c r="E497" s="348" t="str">
        <f>IF($F497="","",'הזנה לתנאי סף'!F497)</f>
        <v/>
      </c>
      <c r="F497" s="348" t="str">
        <f>IF('הזנה לתנאי סף'!BL497=1,'הזנה לתנאי סף'!G497,"")</f>
        <v/>
      </c>
      <c r="G497" s="348" t="str">
        <f>IF($F497="","",'הזנה לתנאי סף'!H497)</f>
        <v/>
      </c>
      <c r="H497" s="348" t="str">
        <f>IF($F497="","",'הזנה לתנאי סף'!I497)</f>
        <v/>
      </c>
      <c r="I497" s="349" t="str">
        <f>IF($F497="","",'הזנה לתנאי סף'!R497)</f>
        <v/>
      </c>
      <c r="J497" s="349" t="str">
        <f>IF($F497="","",'תחום תמיכה א'!P497)</f>
        <v/>
      </c>
      <c r="K497" s="177" t="str">
        <f>IF($F497="","",'הזנה לתנאי סף'!N497)</f>
        <v/>
      </c>
      <c r="L497" s="177" t="str">
        <f>IF($F497="","",'הזנה לתנאי סף'!O497)</f>
        <v/>
      </c>
      <c r="M497" s="177" t="str">
        <f>IF($F497="","",'הזנה לתנאי סף'!Q497)</f>
        <v/>
      </c>
      <c r="N497" s="349" t="str">
        <f>IF($F497="","",'תחום תמיכה א'!AE497)</f>
        <v/>
      </c>
      <c r="O497" s="178"/>
      <c r="P497" s="349" t="str">
        <f>IF($F497="","",'תחום תמיכה ב'!AC497)</f>
        <v/>
      </c>
      <c r="Q497" s="349" t="str">
        <f>IF($F497="","",IF('תחום תמיכה ג'!O497="",0,'תחום תמיכה ג'!O497))</f>
        <v/>
      </c>
      <c r="R497" s="349" t="str">
        <f t="shared" si="28"/>
        <v/>
      </c>
      <c r="S497" s="349" t="str">
        <f>IF($F497="","",'תחום תמיכה ב'!AE497)</f>
        <v/>
      </c>
      <c r="T497" s="349" t="str">
        <f>IF($F497="","",IF(Q497='תחום תמיכה ג'!$Q$2,'תחום תמיכה ג'!$Q$2,IFERROR(SUMIF(N497:R497,"&gt;0"),'תחום תמיכה ג'!$Q$2)))</f>
        <v/>
      </c>
      <c r="U497" s="349" t="str">
        <f>IF($F497="","",'הזנה לתנאי סף'!Y497)</f>
        <v/>
      </c>
      <c r="V497" s="350" t="str">
        <f>IF(F497="","",'הגבלה לסכום מבוקש '!AA497)</f>
        <v/>
      </c>
      <c r="W497" s="349" t="str">
        <f t="shared" si="29"/>
        <v/>
      </c>
      <c r="X497" s="349" t="str">
        <f>IF(F497="","",'הזנה לתנאי סף'!Z497)</f>
        <v/>
      </c>
      <c r="Y497" s="351"/>
      <c r="Z497" s="352" t="str">
        <f>IFERROR(VLOOKUP(G497*1,#REF!,3,0),"")</f>
        <v/>
      </c>
      <c r="AA497" s="349" t="str">
        <f>IF(OR($F497="",Z497=""),"",IFERROR(IF(Z497&gt;V497,MIN(Z497,T497)-V497,0),'תחום תמיכה ג'!$Q$2))</f>
        <v/>
      </c>
      <c r="AB497" s="353"/>
      <c r="AC497" s="260" t="str">
        <f t="shared" si="31"/>
        <v/>
      </c>
      <c r="AD497" s="358"/>
      <c r="AE497" s="180"/>
      <c r="AF497" s="355" t="str">
        <f>IF($C497="","",IFERROR(VLOOKUP($C497,גיליון1!$A:$E,2,0),"לא הגיש בקשה שוטפת"))</f>
        <v/>
      </c>
      <c r="AG497" s="355" t="str">
        <f>IF($C497="","",IFERROR(VLOOKUP($C497,גיליון1!$A:$E,3,0),"לא הגיש בקשה שוטפת"))</f>
        <v/>
      </c>
      <c r="AH497" s="355" t="str">
        <f>IF($C497="","",IFERROR(VLOOKUP($C497,גיליון1!$A:$E,4,0),"לא הגיש בקשה שוטפת"))</f>
        <v/>
      </c>
      <c r="AI497" s="355" t="str">
        <f>IF($C497="","",IFERROR(VLOOKUP($C497,גיליון1!$A:$E,5,0),"לא הגיש בקשה שוטפת"))</f>
        <v/>
      </c>
      <c r="AJ497" s="355">
        <f t="shared" si="30"/>
        <v>0</v>
      </c>
      <c r="AK497" s="15"/>
      <c r="AL497" s="15" t="s">
        <v>250</v>
      </c>
    </row>
    <row r="498" spans="1:38" x14ac:dyDescent="0.25">
      <c r="A498" s="346" t="str">
        <f>'הזנה לתנאי סף'!B498</f>
        <v/>
      </c>
      <c r="B498" s="347" t="str">
        <f>IF($F498="","",'הזנה לתנאי סף'!C498)</f>
        <v/>
      </c>
      <c r="C498" s="347" t="str">
        <f>IF($F498="","",'הזנה לתנאי סף'!D498)</f>
        <v/>
      </c>
      <c r="D498" s="347" t="str">
        <f>IF($F498="","",'הזנה לתנאי סף'!E498)</f>
        <v/>
      </c>
      <c r="E498" s="348" t="str">
        <f>IF($F498="","",'הזנה לתנאי סף'!F498)</f>
        <v/>
      </c>
      <c r="F498" s="348" t="str">
        <f>IF('הזנה לתנאי סף'!BL498=1,'הזנה לתנאי סף'!G498,"")</f>
        <v/>
      </c>
      <c r="G498" s="348" t="str">
        <f>IF($F498="","",'הזנה לתנאי סף'!H498)</f>
        <v/>
      </c>
      <c r="H498" s="348" t="str">
        <f>IF($F498="","",'הזנה לתנאי סף'!I498)</f>
        <v/>
      </c>
      <c r="I498" s="349" t="str">
        <f>IF($F498="","",'הזנה לתנאי סף'!R498)</f>
        <v/>
      </c>
      <c r="J498" s="349" t="str">
        <f>IF($F498="","",'תחום תמיכה א'!P498)</f>
        <v/>
      </c>
      <c r="K498" s="177" t="str">
        <f>IF($F498="","",'הזנה לתנאי סף'!N498)</f>
        <v/>
      </c>
      <c r="L498" s="177" t="str">
        <f>IF($F498="","",'הזנה לתנאי סף'!O498)</f>
        <v/>
      </c>
      <c r="M498" s="177" t="str">
        <f>IF($F498="","",'הזנה לתנאי סף'!Q498)</f>
        <v/>
      </c>
      <c r="N498" s="349" t="str">
        <f>IF($F498="","",'תחום תמיכה א'!AE498)</f>
        <v/>
      </c>
      <c r="O498" s="178"/>
      <c r="P498" s="349" t="str">
        <f>IF($F498="","",'תחום תמיכה ב'!AC498)</f>
        <v/>
      </c>
      <c r="Q498" s="349" t="str">
        <f>IF($F498="","",IF('תחום תמיכה ג'!O498="",0,'תחום תמיכה ג'!O498))</f>
        <v/>
      </c>
      <c r="R498" s="349" t="str">
        <f t="shared" si="28"/>
        <v/>
      </c>
      <c r="S498" s="349" t="str">
        <f>IF($F498="","",'תחום תמיכה ב'!AE498)</f>
        <v/>
      </c>
      <c r="T498" s="349" t="str">
        <f>IF($F498="","",IF(Q498='תחום תמיכה ג'!$Q$2,'תחום תמיכה ג'!$Q$2,IFERROR(SUMIF(N498:R498,"&gt;0"),'תחום תמיכה ג'!$Q$2)))</f>
        <v/>
      </c>
      <c r="U498" s="349" t="str">
        <f>IF($F498="","",'הזנה לתנאי סף'!Y498)</f>
        <v/>
      </c>
      <c r="V498" s="350" t="str">
        <f>IF(F498="","",'הגבלה לסכום מבוקש '!AA498)</f>
        <v/>
      </c>
      <c r="W498" s="349" t="str">
        <f t="shared" si="29"/>
        <v/>
      </c>
      <c r="X498" s="349" t="str">
        <f>IF(F498="","",'הזנה לתנאי סף'!Z498)</f>
        <v/>
      </c>
      <c r="Y498" s="351"/>
      <c r="Z498" s="352" t="str">
        <f>IFERROR(VLOOKUP(G498*1,#REF!,3,0),"")</f>
        <v/>
      </c>
      <c r="AA498" s="349" t="str">
        <f>IF(OR($F498="",Z498=""),"",IFERROR(IF(Z498&gt;V498,MIN(Z498,T498)-V498,0),'תחום תמיכה ג'!$Q$2))</f>
        <v/>
      </c>
      <c r="AB498" s="353"/>
      <c r="AC498" s="260" t="str">
        <f t="shared" si="31"/>
        <v/>
      </c>
      <c r="AD498" s="358"/>
      <c r="AE498" s="180"/>
      <c r="AF498" s="355" t="str">
        <f>IF($C498="","",IFERROR(VLOOKUP($C498,גיליון1!$A:$E,2,0),"לא הגיש בקשה שוטפת"))</f>
        <v/>
      </c>
      <c r="AG498" s="355" t="str">
        <f>IF($C498="","",IFERROR(VLOOKUP($C498,גיליון1!$A:$E,3,0),"לא הגיש בקשה שוטפת"))</f>
        <v/>
      </c>
      <c r="AH498" s="355" t="str">
        <f>IF($C498="","",IFERROR(VLOOKUP($C498,גיליון1!$A:$E,4,0),"לא הגיש בקשה שוטפת"))</f>
        <v/>
      </c>
      <c r="AI498" s="355" t="str">
        <f>IF($C498="","",IFERROR(VLOOKUP($C498,גיליון1!$A:$E,5,0),"לא הגיש בקשה שוטפת"))</f>
        <v/>
      </c>
      <c r="AJ498" s="355">
        <f t="shared" si="30"/>
        <v>0</v>
      </c>
      <c r="AK498" s="15"/>
      <c r="AL498" s="15" t="s">
        <v>250</v>
      </c>
    </row>
    <row r="499" spans="1:38" x14ac:dyDescent="0.25">
      <c r="A499" s="346" t="str">
        <f>'הזנה לתנאי סף'!B499</f>
        <v/>
      </c>
      <c r="B499" s="347" t="str">
        <f>IF($F499="","",'הזנה לתנאי סף'!C499)</f>
        <v/>
      </c>
      <c r="C499" s="347" t="str">
        <f>IF($F499="","",'הזנה לתנאי סף'!D499)</f>
        <v/>
      </c>
      <c r="D499" s="347" t="str">
        <f>IF($F499="","",'הזנה לתנאי סף'!E499)</f>
        <v/>
      </c>
      <c r="E499" s="348" t="str">
        <f>IF($F499="","",'הזנה לתנאי סף'!F499)</f>
        <v/>
      </c>
      <c r="F499" s="348" t="str">
        <f>IF('הזנה לתנאי סף'!BL499=1,'הזנה לתנאי סף'!G499,"")</f>
        <v/>
      </c>
      <c r="G499" s="348" t="str">
        <f>IF($F499="","",'הזנה לתנאי סף'!H499)</f>
        <v/>
      </c>
      <c r="H499" s="348" t="str">
        <f>IF($F499="","",'הזנה לתנאי סף'!I499)</f>
        <v/>
      </c>
      <c r="I499" s="349" t="str">
        <f>IF($F499="","",'הזנה לתנאי סף'!R499)</f>
        <v/>
      </c>
      <c r="J499" s="349" t="str">
        <f>IF($F499="","",'תחום תמיכה א'!P499)</f>
        <v/>
      </c>
      <c r="K499" s="177" t="str">
        <f>IF($F499="","",'הזנה לתנאי סף'!N499)</f>
        <v/>
      </c>
      <c r="L499" s="177" t="str">
        <f>IF($F499="","",'הזנה לתנאי סף'!O499)</f>
        <v/>
      </c>
      <c r="M499" s="177" t="str">
        <f>IF($F499="","",'הזנה לתנאי סף'!Q499)</f>
        <v/>
      </c>
      <c r="N499" s="349" t="str">
        <f>IF($F499="","",'תחום תמיכה א'!AE499)</f>
        <v/>
      </c>
      <c r="O499" s="178"/>
      <c r="P499" s="349" t="str">
        <f>IF($F499="","",'תחום תמיכה ב'!AC499)</f>
        <v/>
      </c>
      <c r="Q499" s="349" t="str">
        <f>IF($F499="","",IF('תחום תמיכה ג'!O499="",0,'תחום תמיכה ג'!O499))</f>
        <v/>
      </c>
      <c r="R499" s="349" t="str">
        <f t="shared" si="28"/>
        <v/>
      </c>
      <c r="S499" s="349" t="str">
        <f>IF($F499="","",'תחום תמיכה ב'!AE499)</f>
        <v/>
      </c>
      <c r="T499" s="349" t="str">
        <f>IF($F499="","",IF(Q499='תחום תמיכה ג'!$Q$2,'תחום תמיכה ג'!$Q$2,IFERROR(SUMIF(N499:R499,"&gt;0"),'תחום תמיכה ג'!$Q$2)))</f>
        <v/>
      </c>
      <c r="U499" s="349" t="str">
        <f>IF($F499="","",'הזנה לתנאי סף'!Y499)</f>
        <v/>
      </c>
      <c r="V499" s="350" t="str">
        <f>IF(F499="","",'הגבלה לסכום מבוקש '!AA499)</f>
        <v/>
      </c>
      <c r="W499" s="349" t="str">
        <f t="shared" si="29"/>
        <v/>
      </c>
      <c r="X499" s="349" t="str">
        <f>IF(F499="","",'הזנה לתנאי סף'!Z499)</f>
        <v/>
      </c>
      <c r="Y499" s="351"/>
      <c r="Z499" s="352" t="str">
        <f>IFERROR(VLOOKUP(G499*1,#REF!,3,0),"")</f>
        <v/>
      </c>
      <c r="AA499" s="349" t="str">
        <f>IF(OR($F499="",Z499=""),"",IFERROR(IF(Z499&gt;V499,MIN(Z499,T499)-V499,0),'תחום תמיכה ג'!$Q$2))</f>
        <v/>
      </c>
      <c r="AB499" s="353"/>
      <c r="AC499" s="260" t="str">
        <f t="shared" si="31"/>
        <v/>
      </c>
      <c r="AD499" s="358"/>
      <c r="AE499" s="180"/>
      <c r="AF499" s="355" t="str">
        <f>IF($C499="","",IFERROR(VLOOKUP($C499,גיליון1!$A:$E,2,0),"לא הגיש בקשה שוטפת"))</f>
        <v/>
      </c>
      <c r="AG499" s="355" t="str">
        <f>IF($C499="","",IFERROR(VLOOKUP($C499,גיליון1!$A:$E,3,0),"לא הגיש בקשה שוטפת"))</f>
        <v/>
      </c>
      <c r="AH499" s="355" t="str">
        <f>IF($C499="","",IFERROR(VLOOKUP($C499,גיליון1!$A:$E,4,0),"לא הגיש בקשה שוטפת"))</f>
        <v/>
      </c>
      <c r="AI499" s="355" t="str">
        <f>IF($C499="","",IFERROR(VLOOKUP($C499,גיליון1!$A:$E,5,0),"לא הגיש בקשה שוטפת"))</f>
        <v/>
      </c>
      <c r="AJ499" s="355">
        <f t="shared" si="30"/>
        <v>0</v>
      </c>
      <c r="AK499" s="15"/>
      <c r="AL499" s="15" t="s">
        <v>250</v>
      </c>
    </row>
    <row r="500" spans="1:38" x14ac:dyDescent="0.25">
      <c r="A500" s="346" t="str">
        <f>'הזנה לתנאי סף'!B500</f>
        <v/>
      </c>
      <c r="B500" s="347" t="str">
        <f>IF($F500="","",'הזנה לתנאי סף'!C500)</f>
        <v/>
      </c>
      <c r="C500" s="347" t="str">
        <f>IF($F500="","",'הזנה לתנאי סף'!D500)</f>
        <v/>
      </c>
      <c r="D500" s="347" t="str">
        <f>IF($F500="","",'הזנה לתנאי סף'!E500)</f>
        <v/>
      </c>
      <c r="E500" s="348" t="str">
        <f>IF($F500="","",'הזנה לתנאי סף'!F500)</f>
        <v/>
      </c>
      <c r="F500" s="348" t="str">
        <f>IF('הזנה לתנאי סף'!BL500=1,'הזנה לתנאי סף'!G500,"")</f>
        <v/>
      </c>
      <c r="G500" s="348" t="str">
        <f>IF($F500="","",'הזנה לתנאי סף'!H500)</f>
        <v/>
      </c>
      <c r="H500" s="348" t="str">
        <f>IF($F500="","",'הזנה לתנאי סף'!I500)</f>
        <v/>
      </c>
      <c r="I500" s="349" t="str">
        <f>IF($F500="","",'הזנה לתנאי סף'!R500)</f>
        <v/>
      </c>
      <c r="J500" s="349" t="str">
        <f>IF($F500="","",'תחום תמיכה א'!P500)</f>
        <v/>
      </c>
      <c r="K500" s="177" t="str">
        <f>IF($F500="","",'הזנה לתנאי סף'!N500)</f>
        <v/>
      </c>
      <c r="L500" s="177" t="str">
        <f>IF($F500="","",'הזנה לתנאי סף'!O500)</f>
        <v/>
      </c>
      <c r="M500" s="177" t="str">
        <f>IF($F500="","",'הזנה לתנאי סף'!Q500)</f>
        <v/>
      </c>
      <c r="N500" s="349" t="str">
        <f>IF($F500="","",'תחום תמיכה א'!AE500)</f>
        <v/>
      </c>
      <c r="O500" s="178"/>
      <c r="P500" s="349" t="str">
        <f>IF($F500="","",'תחום תמיכה ב'!AC500)</f>
        <v/>
      </c>
      <c r="Q500" s="349" t="str">
        <f>IF($F500="","",IF('תחום תמיכה ג'!O500="",0,'תחום תמיכה ג'!O500))</f>
        <v/>
      </c>
      <c r="R500" s="349" t="str">
        <f t="shared" si="28"/>
        <v/>
      </c>
      <c r="S500" s="349" t="str">
        <f>IF($F500="","",'תחום תמיכה ב'!AE500)</f>
        <v/>
      </c>
      <c r="T500" s="349" t="str">
        <f>IF($F500="","",IF(Q500='תחום תמיכה ג'!$Q$2,'תחום תמיכה ג'!$Q$2,IFERROR(SUMIF(N500:R500,"&gt;0"),'תחום תמיכה ג'!$Q$2)))</f>
        <v/>
      </c>
      <c r="U500" s="349" t="str">
        <f>IF($F500="","",'הזנה לתנאי סף'!Y500)</f>
        <v/>
      </c>
      <c r="V500" s="350" t="str">
        <f>IF(F500="","",'הגבלה לסכום מבוקש '!AA500)</f>
        <v/>
      </c>
      <c r="W500" s="349" t="str">
        <f t="shared" si="29"/>
        <v/>
      </c>
      <c r="X500" s="349" t="str">
        <f>IF(F500="","",'הזנה לתנאי סף'!Z500)</f>
        <v/>
      </c>
      <c r="Y500" s="351"/>
      <c r="Z500" s="352" t="str">
        <f>IFERROR(VLOOKUP(G500*1,#REF!,3,0),"")</f>
        <v/>
      </c>
      <c r="AA500" s="349" t="str">
        <f>IF(OR($F500="",Z500=""),"",IFERROR(IF(Z500&gt;V500,MIN(Z500,T500)-V500,0),'תחום תמיכה ג'!$Q$2))</f>
        <v/>
      </c>
      <c r="AB500" s="353"/>
      <c r="AC500" s="260" t="str">
        <f t="shared" si="31"/>
        <v/>
      </c>
      <c r="AD500" s="358"/>
      <c r="AE500" s="180"/>
      <c r="AF500" s="355" t="str">
        <f>IF($C500="","",IFERROR(VLOOKUP($C500,גיליון1!$A:$E,2,0),"לא הגיש בקשה שוטפת"))</f>
        <v/>
      </c>
      <c r="AG500" s="355" t="str">
        <f>IF($C500="","",IFERROR(VLOOKUP($C500,גיליון1!$A:$E,3,0),"לא הגיש בקשה שוטפת"))</f>
        <v/>
      </c>
      <c r="AH500" s="355" t="str">
        <f>IF($C500="","",IFERROR(VLOOKUP($C500,גיליון1!$A:$E,4,0),"לא הגיש בקשה שוטפת"))</f>
        <v/>
      </c>
      <c r="AI500" s="355" t="str">
        <f>IF($C500="","",IFERROR(VLOOKUP($C500,גיליון1!$A:$E,5,0),"לא הגיש בקשה שוטפת"))</f>
        <v/>
      </c>
      <c r="AJ500" s="355">
        <f t="shared" si="30"/>
        <v>0</v>
      </c>
      <c r="AK500" s="15"/>
      <c r="AL500" s="15" t="s">
        <v>250</v>
      </c>
    </row>
    <row r="501" spans="1:38" ht="14.25" x14ac:dyDescent="0.2">
      <c r="A501" s="346">
        <f>'הזנה לתנאי סף'!B501</f>
        <v>0</v>
      </c>
      <c r="B501" s="347"/>
      <c r="C501" s="347"/>
      <c r="D501" s="347"/>
      <c r="E501" s="348" t="str">
        <f>IF(F501="","",'הזנה לתנאי סף'!F501)</f>
        <v/>
      </c>
      <c r="F501" s="359"/>
      <c r="N501" s="183">
        <f t="shared" ref="N501:AC501" si="32">SUM(N31:N500)</f>
        <v>49837071.789360404</v>
      </c>
      <c r="O501" s="183">
        <f t="shared" si="32"/>
        <v>0</v>
      </c>
      <c r="P501" s="183">
        <f t="shared" si="32"/>
        <v>99781016.73280035</v>
      </c>
      <c r="Q501" s="183">
        <f t="shared" si="32"/>
        <v>22008061.000000004</v>
      </c>
      <c r="R501" s="183">
        <f t="shared" si="32"/>
        <v>2991938.9999999958</v>
      </c>
      <c r="S501" s="183">
        <f t="shared" si="32"/>
        <v>102772955.73280032</v>
      </c>
      <c r="T501" s="183">
        <f t="shared" si="32"/>
        <v>174618088.52216071</v>
      </c>
      <c r="U501" s="183">
        <f t="shared" si="32"/>
        <v>415289085</v>
      </c>
      <c r="V501" s="183">
        <f t="shared" si="32"/>
        <v>174618088.52216068</v>
      </c>
      <c r="W501" s="183">
        <f t="shared" si="32"/>
        <v>43654522.13054017</v>
      </c>
      <c r="X501" s="183">
        <f t="shared" si="32"/>
        <v>197513413</v>
      </c>
      <c r="Y501" s="183"/>
      <c r="Z501" s="183">
        <f t="shared" si="32"/>
        <v>0</v>
      </c>
      <c r="AA501" s="183">
        <f t="shared" si="32"/>
        <v>0</v>
      </c>
      <c r="AB501" s="184"/>
      <c r="AC501" s="183">
        <f t="shared" si="32"/>
        <v>0</v>
      </c>
      <c r="AE501" s="15"/>
      <c r="AF501" s="15"/>
      <c r="AG501" s="15"/>
      <c r="AH501" s="15"/>
      <c r="AI501" s="15"/>
      <c r="AJ501" s="15"/>
      <c r="AK501" s="15"/>
    </row>
    <row r="502" spans="1:38" ht="14.25" x14ac:dyDescent="0.2">
      <c r="E502" s="15"/>
      <c r="F502" s="359"/>
      <c r="S502" s="360"/>
      <c r="T502" s="360"/>
      <c r="U502" s="360"/>
      <c r="V502" s="360"/>
      <c r="W502" s="360"/>
      <c r="X502" s="360"/>
      <c r="Y502" s="360"/>
      <c r="Z502" s="360"/>
      <c r="AA502" s="183"/>
      <c r="AB502" s="361"/>
      <c r="AC502" s="15"/>
      <c r="AE502" s="15"/>
      <c r="AF502" s="15"/>
      <c r="AG502" s="15"/>
      <c r="AH502" s="15"/>
      <c r="AI502" s="15"/>
      <c r="AJ502" s="15"/>
      <c r="AK502" s="15"/>
    </row>
    <row r="503" spans="1:38" ht="14.25" x14ac:dyDescent="0.2">
      <c r="E503" s="15"/>
      <c r="F503" s="359"/>
      <c r="S503" s="360"/>
      <c r="T503" s="360"/>
      <c r="U503" s="360"/>
      <c r="V503" s="360"/>
      <c r="W503" s="360"/>
      <c r="X503" s="360"/>
      <c r="Y503" s="360"/>
      <c r="Z503" s="360"/>
      <c r="AA503" s="183"/>
      <c r="AB503" s="361"/>
      <c r="AC503" s="15"/>
      <c r="AE503" s="15"/>
      <c r="AF503" s="15"/>
      <c r="AG503" s="15"/>
      <c r="AH503" s="15"/>
      <c r="AI503" s="15"/>
      <c r="AJ503" s="15"/>
      <c r="AK503" s="15"/>
    </row>
    <row r="504" spans="1:38" ht="14.25" x14ac:dyDescent="0.2">
      <c r="E504" s="15"/>
      <c r="F504" s="359"/>
      <c r="S504" s="360"/>
      <c r="T504" s="360"/>
      <c r="U504" s="360"/>
      <c r="V504" s="360"/>
      <c r="W504" s="360"/>
      <c r="X504" s="360"/>
      <c r="Y504" s="360"/>
      <c r="Z504" s="360"/>
      <c r="AA504" s="183"/>
      <c r="AB504" s="361"/>
      <c r="AC504" s="15"/>
      <c r="AE504" s="15"/>
      <c r="AF504" s="15"/>
      <c r="AG504" s="15"/>
      <c r="AH504" s="15"/>
      <c r="AI504" s="15"/>
      <c r="AJ504" s="15"/>
      <c r="AK504" s="15"/>
    </row>
    <row r="505" spans="1:38" ht="14.25" x14ac:dyDescent="0.2">
      <c r="E505" s="15"/>
      <c r="F505" s="359"/>
      <c r="S505" s="360"/>
      <c r="T505" s="360"/>
      <c r="U505" s="360"/>
      <c r="V505" s="360"/>
      <c r="W505" s="360"/>
      <c r="X505" s="360"/>
      <c r="Y505" s="360"/>
      <c r="Z505" s="360"/>
      <c r="AA505" s="183"/>
      <c r="AB505" s="361"/>
      <c r="AC505" s="15"/>
      <c r="AE505" s="15"/>
      <c r="AF505" s="15"/>
      <c r="AG505" s="15"/>
      <c r="AH505" s="15"/>
      <c r="AI505" s="15"/>
      <c r="AJ505" s="15"/>
      <c r="AK505" s="15"/>
    </row>
    <row r="506" spans="1:38" ht="14.25" x14ac:dyDescent="0.2">
      <c r="E506" s="15"/>
      <c r="F506" s="359"/>
      <c r="S506" s="360"/>
      <c r="T506" s="360"/>
      <c r="U506" s="360"/>
      <c r="V506" s="360"/>
      <c r="W506" s="360"/>
      <c r="X506" s="360"/>
      <c r="Y506" s="360"/>
      <c r="Z506" s="360"/>
      <c r="AA506" s="183"/>
      <c r="AB506" s="361"/>
      <c r="AC506" s="15"/>
      <c r="AE506" s="15"/>
      <c r="AF506" s="15"/>
      <c r="AG506" s="15"/>
      <c r="AH506" s="15"/>
      <c r="AI506" s="15"/>
      <c r="AJ506" s="15"/>
      <c r="AK506" s="15"/>
    </row>
    <row r="507" spans="1:38" ht="14.25" x14ac:dyDescent="0.2">
      <c r="E507" s="15"/>
      <c r="F507" s="359"/>
      <c r="S507" s="360"/>
      <c r="T507" s="360"/>
      <c r="U507" s="360"/>
      <c r="V507" s="360"/>
      <c r="W507" s="360"/>
      <c r="X507" s="360"/>
      <c r="Y507" s="360"/>
      <c r="Z507" s="360"/>
      <c r="AA507" s="183"/>
      <c r="AB507" s="361"/>
      <c r="AC507" s="15"/>
      <c r="AE507" s="15"/>
      <c r="AF507" s="15"/>
      <c r="AG507" s="15"/>
      <c r="AH507" s="15"/>
      <c r="AI507" s="15"/>
      <c r="AJ507" s="15"/>
      <c r="AK507" s="15"/>
    </row>
    <row r="508" spans="1:38" ht="14.25" x14ac:dyDescent="0.2">
      <c r="E508" s="15"/>
      <c r="F508" s="359"/>
      <c r="S508" s="360"/>
      <c r="T508" s="360"/>
      <c r="U508" s="360"/>
      <c r="V508" s="360"/>
      <c r="W508" s="360"/>
      <c r="X508" s="360"/>
      <c r="Y508" s="360"/>
      <c r="Z508" s="360"/>
      <c r="AA508" s="183"/>
      <c r="AB508" s="361"/>
      <c r="AC508" s="15"/>
      <c r="AE508" s="15"/>
      <c r="AF508" s="15"/>
      <c r="AG508" s="15"/>
      <c r="AH508" s="15"/>
      <c r="AI508" s="15"/>
      <c r="AJ508" s="15"/>
      <c r="AK508" s="15"/>
    </row>
    <row r="509" spans="1:38" ht="14.25" x14ac:dyDescent="0.2">
      <c r="E509" s="15"/>
      <c r="F509" s="359"/>
      <c r="S509" s="360"/>
      <c r="T509" s="360"/>
      <c r="U509" s="360"/>
      <c r="V509" s="360"/>
      <c r="W509" s="360"/>
      <c r="X509" s="360"/>
      <c r="Y509" s="360"/>
      <c r="Z509" s="360"/>
      <c r="AA509" s="183"/>
      <c r="AB509" s="361"/>
      <c r="AC509" s="15"/>
      <c r="AE509" s="15"/>
      <c r="AF509" s="15"/>
      <c r="AG509" s="15"/>
      <c r="AH509" s="15"/>
      <c r="AI509" s="15"/>
      <c r="AJ509" s="15"/>
      <c r="AK509" s="15"/>
    </row>
    <row r="510" spans="1:38" ht="14.25" x14ac:dyDescent="0.2">
      <c r="E510" s="15"/>
      <c r="F510" s="359"/>
      <c r="S510" s="360"/>
      <c r="T510" s="360"/>
      <c r="U510" s="360"/>
      <c r="V510" s="360"/>
      <c r="W510" s="360"/>
      <c r="X510" s="360"/>
      <c r="Y510" s="360"/>
      <c r="Z510" s="360"/>
      <c r="AA510" s="183"/>
      <c r="AB510" s="361"/>
      <c r="AC510" s="15"/>
      <c r="AE510" s="15"/>
      <c r="AF510" s="15"/>
      <c r="AG510" s="15"/>
      <c r="AH510" s="15"/>
      <c r="AI510" s="15"/>
      <c r="AJ510" s="15"/>
      <c r="AK510" s="15"/>
    </row>
    <row r="511" spans="1:38" ht="14.25" x14ac:dyDescent="0.2">
      <c r="E511" s="15"/>
      <c r="F511" s="359"/>
      <c r="S511" s="360"/>
      <c r="T511" s="360"/>
      <c r="U511" s="360"/>
      <c r="V511" s="360"/>
      <c r="W511" s="360"/>
      <c r="X511" s="360"/>
      <c r="Y511" s="360"/>
      <c r="Z511" s="360"/>
      <c r="AA511" s="183"/>
      <c r="AB511" s="361"/>
      <c r="AC511" s="15"/>
      <c r="AE511" s="15"/>
      <c r="AF511" s="15"/>
      <c r="AG511" s="15"/>
      <c r="AH511" s="15"/>
      <c r="AI511" s="15"/>
      <c r="AJ511" s="15"/>
      <c r="AK511" s="15"/>
    </row>
    <row r="512" spans="1:38" ht="14.25" x14ac:dyDescent="0.2">
      <c r="E512" s="15"/>
      <c r="F512" s="359"/>
      <c r="S512" s="360"/>
      <c r="T512" s="360"/>
      <c r="U512" s="360"/>
      <c r="V512" s="360"/>
      <c r="W512" s="360"/>
      <c r="X512" s="360"/>
      <c r="Y512" s="360"/>
      <c r="Z512" s="360"/>
      <c r="AA512" s="183"/>
      <c r="AB512" s="361"/>
      <c r="AC512" s="15"/>
      <c r="AE512" s="15"/>
      <c r="AF512" s="15"/>
      <c r="AG512" s="15"/>
      <c r="AH512" s="15"/>
      <c r="AI512" s="15"/>
      <c r="AJ512" s="15"/>
      <c r="AK512" s="15"/>
    </row>
    <row r="513" spans="5:37" ht="14.25" x14ac:dyDescent="0.2">
      <c r="E513" s="15"/>
      <c r="F513" s="359"/>
      <c r="S513" s="360"/>
      <c r="T513" s="360"/>
      <c r="U513" s="360"/>
      <c r="V513" s="360"/>
      <c r="W513" s="360"/>
      <c r="X513" s="360"/>
      <c r="Y513" s="360"/>
      <c r="Z513" s="360"/>
      <c r="AA513" s="183"/>
      <c r="AB513" s="361"/>
      <c r="AC513" s="15"/>
      <c r="AE513" s="15"/>
      <c r="AF513" s="15"/>
      <c r="AG513" s="15"/>
      <c r="AH513" s="15"/>
      <c r="AI513" s="15"/>
      <c r="AJ513" s="15"/>
      <c r="AK513" s="15"/>
    </row>
    <row r="514" spans="5:37" ht="14.25" x14ac:dyDescent="0.2">
      <c r="E514" s="15"/>
      <c r="F514" s="359"/>
      <c r="S514" s="360"/>
      <c r="T514" s="360"/>
      <c r="U514" s="360"/>
      <c r="V514" s="360"/>
      <c r="W514" s="360"/>
      <c r="X514" s="360"/>
      <c r="Y514" s="360"/>
      <c r="Z514" s="360"/>
      <c r="AA514" s="183"/>
      <c r="AB514" s="361"/>
      <c r="AC514" s="15"/>
      <c r="AE514" s="15"/>
      <c r="AF514" s="15"/>
      <c r="AG514" s="15"/>
      <c r="AH514" s="15"/>
      <c r="AI514" s="15"/>
      <c r="AJ514" s="15"/>
      <c r="AK514" s="15"/>
    </row>
    <row r="515" spans="5:37" ht="14.25" x14ac:dyDescent="0.2">
      <c r="E515" s="15"/>
      <c r="F515" s="359"/>
      <c r="S515" s="360"/>
      <c r="T515" s="360"/>
      <c r="U515" s="360"/>
      <c r="V515" s="360"/>
      <c r="W515" s="360"/>
      <c r="X515" s="360"/>
      <c r="Y515" s="360"/>
      <c r="Z515" s="360"/>
      <c r="AA515" s="183"/>
      <c r="AB515" s="361"/>
      <c r="AC515" s="15"/>
      <c r="AE515" s="15"/>
      <c r="AF515" s="15"/>
      <c r="AG515" s="15"/>
      <c r="AH515" s="15"/>
      <c r="AI515" s="15"/>
      <c r="AJ515" s="15"/>
      <c r="AK515" s="15"/>
    </row>
    <row r="516" spans="5:37" ht="14.25" x14ac:dyDescent="0.2">
      <c r="E516" s="15"/>
      <c r="F516" s="359"/>
      <c r="S516" s="360"/>
      <c r="T516" s="360"/>
      <c r="U516" s="360"/>
      <c r="V516" s="360"/>
      <c r="W516" s="360"/>
      <c r="X516" s="360"/>
      <c r="Y516" s="360"/>
      <c r="Z516" s="360"/>
      <c r="AA516" s="183"/>
      <c r="AB516" s="361"/>
      <c r="AC516" s="15"/>
      <c r="AE516" s="15"/>
      <c r="AF516" s="15"/>
      <c r="AG516" s="15"/>
      <c r="AH516" s="15"/>
      <c r="AI516" s="15"/>
      <c r="AJ516" s="15"/>
      <c r="AK516" s="15"/>
    </row>
    <row r="517" spans="5:37" ht="14.25" x14ac:dyDescent="0.2">
      <c r="E517" s="15"/>
      <c r="F517" s="359"/>
      <c r="S517" s="360"/>
      <c r="T517" s="360"/>
      <c r="U517" s="360"/>
      <c r="V517" s="360"/>
      <c r="W517" s="360"/>
      <c r="X517" s="360"/>
      <c r="Y517" s="360"/>
      <c r="Z517" s="360"/>
      <c r="AA517" s="183"/>
      <c r="AB517" s="361"/>
      <c r="AC517" s="15"/>
      <c r="AE517" s="15"/>
      <c r="AF517" s="15"/>
      <c r="AG517" s="15"/>
      <c r="AH517" s="15"/>
      <c r="AI517" s="15"/>
      <c r="AJ517" s="15"/>
      <c r="AK517" s="15"/>
    </row>
    <row r="518" spans="5:37" ht="14.25" x14ac:dyDescent="0.2">
      <c r="E518" s="15"/>
      <c r="F518" s="359"/>
      <c r="S518" s="360"/>
      <c r="T518" s="360"/>
      <c r="U518" s="360"/>
      <c r="V518" s="360"/>
      <c r="W518" s="360"/>
      <c r="X518" s="360"/>
      <c r="Y518" s="360"/>
      <c r="Z518" s="360"/>
      <c r="AA518" s="183"/>
      <c r="AB518" s="361"/>
      <c r="AC518" s="15"/>
      <c r="AE518" s="15"/>
      <c r="AF518" s="15"/>
      <c r="AG518" s="15"/>
      <c r="AH518" s="15"/>
      <c r="AI518" s="15"/>
      <c r="AJ518" s="15"/>
      <c r="AK518" s="15"/>
    </row>
    <row r="519" spans="5:37" ht="14.25" x14ac:dyDescent="0.2">
      <c r="E519" s="15"/>
      <c r="F519" s="359"/>
      <c r="S519" s="360"/>
      <c r="T519" s="360"/>
      <c r="U519" s="360"/>
      <c r="V519" s="360"/>
      <c r="W519" s="360"/>
      <c r="X519" s="360"/>
      <c r="Y519" s="360"/>
      <c r="Z519" s="360"/>
      <c r="AA519" s="183"/>
      <c r="AB519" s="361"/>
      <c r="AC519" s="15"/>
      <c r="AE519" s="15"/>
      <c r="AF519" s="15"/>
      <c r="AG519" s="15"/>
      <c r="AH519" s="15"/>
      <c r="AI519" s="15"/>
      <c r="AJ519" s="15"/>
      <c r="AK519" s="15"/>
    </row>
    <row r="520" spans="5:37" ht="14.25" x14ac:dyDescent="0.2">
      <c r="E520" s="15"/>
      <c r="F520" s="359"/>
      <c r="S520" s="360"/>
      <c r="T520" s="360"/>
      <c r="U520" s="360"/>
      <c r="V520" s="360"/>
      <c r="W520" s="360"/>
      <c r="X520" s="360"/>
      <c r="Y520" s="360"/>
      <c r="Z520" s="360"/>
      <c r="AA520" s="183"/>
      <c r="AB520" s="361"/>
      <c r="AC520" s="15"/>
      <c r="AE520" s="15"/>
      <c r="AF520" s="15"/>
      <c r="AG520" s="15"/>
      <c r="AH520" s="15"/>
      <c r="AI520" s="15"/>
      <c r="AJ520" s="15"/>
      <c r="AK520" s="15"/>
    </row>
    <row r="521" spans="5:37" ht="14.25" x14ac:dyDescent="0.2">
      <c r="E521" s="15"/>
      <c r="F521" s="359"/>
      <c r="S521" s="360"/>
      <c r="T521" s="360"/>
      <c r="U521" s="360"/>
      <c r="V521" s="360"/>
      <c r="W521" s="360"/>
      <c r="X521" s="360"/>
      <c r="Y521" s="360"/>
      <c r="Z521" s="360"/>
      <c r="AA521" s="183"/>
      <c r="AB521" s="361"/>
      <c r="AC521" s="15"/>
      <c r="AE521" s="15"/>
      <c r="AF521" s="15"/>
      <c r="AG521" s="15"/>
      <c r="AH521" s="15"/>
      <c r="AI521" s="15"/>
      <c r="AJ521" s="15"/>
      <c r="AK521" s="15"/>
    </row>
    <row r="522" spans="5:37" ht="14.25" x14ac:dyDescent="0.2">
      <c r="E522" s="15"/>
      <c r="F522" s="359"/>
      <c r="S522" s="360"/>
      <c r="T522" s="360"/>
      <c r="U522" s="360"/>
      <c r="V522" s="360"/>
      <c r="W522" s="360"/>
      <c r="X522" s="360"/>
      <c r="Y522" s="360"/>
      <c r="Z522" s="360"/>
      <c r="AA522" s="183"/>
      <c r="AB522" s="361"/>
      <c r="AC522" s="15"/>
      <c r="AE522" s="15"/>
      <c r="AF522" s="15"/>
      <c r="AG522" s="15"/>
      <c r="AH522" s="15"/>
      <c r="AI522" s="15"/>
      <c r="AJ522" s="15"/>
      <c r="AK522" s="15"/>
    </row>
    <row r="523" spans="5:37" ht="14.25" x14ac:dyDescent="0.2">
      <c r="E523" s="15"/>
      <c r="F523" s="359"/>
      <c r="S523" s="360"/>
      <c r="T523" s="360"/>
      <c r="U523" s="360"/>
      <c r="V523" s="360"/>
      <c r="W523" s="360"/>
      <c r="X523" s="360"/>
      <c r="Y523" s="360"/>
      <c r="Z523" s="360"/>
      <c r="AA523" s="183"/>
      <c r="AB523" s="361"/>
      <c r="AC523" s="15"/>
      <c r="AE523" s="15"/>
      <c r="AF523" s="15"/>
      <c r="AG523" s="15"/>
      <c r="AH523" s="15"/>
      <c r="AI523" s="15"/>
      <c r="AJ523" s="15"/>
      <c r="AK523" s="15"/>
    </row>
    <row r="524" spans="5:37" ht="14.25" x14ac:dyDescent="0.2">
      <c r="E524" s="15"/>
      <c r="F524" s="359"/>
      <c r="S524" s="360"/>
      <c r="T524" s="360"/>
      <c r="U524" s="360"/>
      <c r="V524" s="360"/>
      <c r="W524" s="360"/>
      <c r="X524" s="360"/>
      <c r="Y524" s="360"/>
      <c r="Z524" s="360"/>
      <c r="AA524" s="183"/>
      <c r="AB524" s="361"/>
      <c r="AC524" s="15"/>
      <c r="AE524" s="15"/>
      <c r="AF524" s="15"/>
      <c r="AG524" s="15"/>
      <c r="AH524" s="15"/>
      <c r="AI524" s="15"/>
      <c r="AJ524" s="15"/>
      <c r="AK524" s="15"/>
    </row>
    <row r="525" spans="5:37" ht="14.25" x14ac:dyDescent="0.2">
      <c r="E525" s="15"/>
      <c r="F525" s="359"/>
      <c r="S525" s="360"/>
      <c r="T525" s="360"/>
      <c r="U525" s="360"/>
      <c r="V525" s="360"/>
      <c r="W525" s="360"/>
      <c r="X525" s="360"/>
      <c r="Y525" s="360"/>
      <c r="Z525" s="360"/>
      <c r="AA525" s="183"/>
      <c r="AB525" s="361"/>
      <c r="AC525" s="15"/>
      <c r="AE525" s="15"/>
      <c r="AF525" s="15"/>
      <c r="AG525" s="15"/>
      <c r="AH525" s="15"/>
      <c r="AI525" s="15"/>
      <c r="AJ525" s="15"/>
      <c r="AK525" s="15"/>
    </row>
    <row r="526" spans="5:37" ht="14.25" x14ac:dyDescent="0.2">
      <c r="E526" s="15"/>
      <c r="F526" s="359"/>
      <c r="S526" s="360"/>
      <c r="T526" s="360"/>
      <c r="U526" s="360"/>
      <c r="V526" s="360"/>
      <c r="W526" s="360"/>
      <c r="X526" s="360"/>
      <c r="Y526" s="360"/>
      <c r="Z526" s="360"/>
      <c r="AA526" s="183"/>
      <c r="AB526" s="361"/>
      <c r="AC526" s="15"/>
      <c r="AE526" s="15"/>
      <c r="AF526" s="15"/>
      <c r="AG526" s="15"/>
      <c r="AH526" s="15"/>
      <c r="AI526" s="15"/>
      <c r="AJ526" s="15"/>
      <c r="AK526" s="15"/>
    </row>
    <row r="527" spans="5:37" ht="14.25" x14ac:dyDescent="0.2">
      <c r="E527" s="15"/>
      <c r="F527" s="359"/>
      <c r="S527" s="360"/>
      <c r="T527" s="360"/>
      <c r="U527" s="360"/>
      <c r="V527" s="360"/>
      <c r="W527" s="360"/>
      <c r="X527" s="360"/>
      <c r="Y527" s="360"/>
      <c r="Z527" s="360"/>
      <c r="AA527" s="183"/>
      <c r="AB527" s="361"/>
      <c r="AC527" s="15"/>
      <c r="AE527" s="15"/>
      <c r="AF527" s="15"/>
      <c r="AG527" s="15"/>
      <c r="AH527" s="15"/>
      <c r="AI527" s="15"/>
      <c r="AJ527" s="15"/>
      <c r="AK527" s="15"/>
    </row>
    <row r="528" spans="5:37" ht="14.25" x14ac:dyDescent="0.2">
      <c r="E528" s="15"/>
      <c r="F528" s="359"/>
      <c r="S528" s="360"/>
      <c r="T528" s="360"/>
      <c r="U528" s="360"/>
      <c r="V528" s="360"/>
      <c r="W528" s="360"/>
      <c r="X528" s="360"/>
      <c r="Y528" s="360"/>
      <c r="Z528" s="360"/>
      <c r="AA528" s="183"/>
      <c r="AB528" s="361"/>
      <c r="AC528" s="15"/>
      <c r="AE528" s="15"/>
      <c r="AF528" s="15"/>
      <c r="AG528" s="15"/>
      <c r="AH528" s="15"/>
      <c r="AI528" s="15"/>
      <c r="AJ528" s="15"/>
      <c r="AK528" s="15"/>
    </row>
    <row r="529" spans="5:37" ht="14.25" x14ac:dyDescent="0.2">
      <c r="E529" s="15"/>
      <c r="F529" s="359"/>
      <c r="S529" s="360"/>
      <c r="T529" s="360"/>
      <c r="U529" s="360"/>
      <c r="V529" s="360"/>
      <c r="W529" s="360"/>
      <c r="X529" s="360"/>
      <c r="Y529" s="360"/>
      <c r="Z529" s="360"/>
      <c r="AA529" s="183"/>
      <c r="AB529" s="361"/>
      <c r="AC529" s="15"/>
      <c r="AE529" s="15"/>
      <c r="AF529" s="15"/>
      <c r="AG529" s="15"/>
      <c r="AH529" s="15"/>
      <c r="AI529" s="15"/>
      <c r="AJ529" s="15"/>
      <c r="AK529" s="15"/>
    </row>
    <row r="530" spans="5:37" ht="14.25" x14ac:dyDescent="0.2">
      <c r="E530" s="15"/>
      <c r="F530" s="359"/>
      <c r="S530" s="360"/>
      <c r="T530" s="360"/>
      <c r="U530" s="360"/>
      <c r="V530" s="360"/>
      <c r="W530" s="360"/>
      <c r="X530" s="360"/>
      <c r="Y530" s="360"/>
      <c r="Z530" s="360"/>
      <c r="AA530" s="183"/>
      <c r="AB530" s="361"/>
      <c r="AC530" s="15"/>
      <c r="AE530" s="15"/>
      <c r="AF530" s="15"/>
      <c r="AG530" s="15"/>
      <c r="AH530" s="15"/>
      <c r="AI530" s="15"/>
      <c r="AJ530" s="15"/>
      <c r="AK530" s="15"/>
    </row>
    <row r="531" spans="5:37" ht="14.25" x14ac:dyDescent="0.2">
      <c r="E531" s="15"/>
      <c r="F531" s="359"/>
      <c r="S531" s="360"/>
      <c r="T531" s="360"/>
      <c r="U531" s="360"/>
      <c r="V531" s="360"/>
      <c r="W531" s="360"/>
      <c r="X531" s="360"/>
      <c r="Y531" s="360"/>
      <c r="Z531" s="360"/>
      <c r="AA531" s="183"/>
      <c r="AB531" s="361"/>
      <c r="AC531" s="15"/>
      <c r="AE531" s="15"/>
      <c r="AF531" s="15"/>
      <c r="AG531" s="15"/>
      <c r="AH531" s="15"/>
      <c r="AI531" s="15"/>
      <c r="AJ531" s="15"/>
      <c r="AK531" s="15"/>
    </row>
    <row r="532" spans="5:37" ht="14.25" x14ac:dyDescent="0.2">
      <c r="E532" s="15"/>
      <c r="F532" s="359"/>
      <c r="S532" s="360"/>
      <c r="T532" s="360"/>
      <c r="U532" s="360"/>
      <c r="V532" s="360"/>
      <c r="W532" s="360"/>
      <c r="X532" s="360"/>
      <c r="Y532" s="360"/>
      <c r="Z532" s="360"/>
      <c r="AA532" s="183"/>
      <c r="AB532" s="361"/>
      <c r="AC532" s="15"/>
      <c r="AE532" s="15"/>
      <c r="AF532" s="15"/>
      <c r="AG532" s="15"/>
      <c r="AH532" s="15"/>
      <c r="AI532" s="15"/>
      <c r="AJ532" s="15"/>
      <c r="AK532" s="15"/>
    </row>
    <row r="533" spans="5:37" ht="14.25" x14ac:dyDescent="0.2">
      <c r="E533" s="15"/>
      <c r="F533" s="359"/>
      <c r="S533" s="360"/>
      <c r="T533" s="360"/>
      <c r="U533" s="360"/>
      <c r="V533" s="360"/>
      <c r="W533" s="360"/>
      <c r="X533" s="360"/>
      <c r="Y533" s="360"/>
      <c r="Z533" s="360"/>
      <c r="AA533" s="183"/>
      <c r="AB533" s="361"/>
      <c r="AC533" s="15"/>
      <c r="AE533" s="15"/>
      <c r="AF533" s="15"/>
      <c r="AG533" s="15"/>
      <c r="AH533" s="15"/>
      <c r="AI533" s="15"/>
      <c r="AJ533" s="15"/>
      <c r="AK533" s="15"/>
    </row>
    <row r="534" spans="5:37" ht="14.25" x14ac:dyDescent="0.2">
      <c r="E534" s="15"/>
      <c r="F534" s="359"/>
      <c r="S534" s="360"/>
      <c r="T534" s="360"/>
      <c r="U534" s="360"/>
      <c r="V534" s="360"/>
      <c r="W534" s="360"/>
      <c r="X534" s="360"/>
      <c r="Y534" s="360"/>
      <c r="Z534" s="360"/>
      <c r="AA534" s="183"/>
      <c r="AB534" s="361"/>
      <c r="AC534" s="15"/>
      <c r="AE534" s="15"/>
      <c r="AF534" s="15"/>
      <c r="AG534" s="15"/>
      <c r="AH534" s="15"/>
      <c r="AI534" s="15"/>
      <c r="AJ534" s="15"/>
      <c r="AK534" s="15"/>
    </row>
    <row r="535" spans="5:37" ht="14.25" x14ac:dyDescent="0.2">
      <c r="E535" s="15"/>
      <c r="F535" s="359"/>
      <c r="S535" s="360"/>
      <c r="T535" s="360"/>
      <c r="U535" s="360"/>
      <c r="V535" s="360"/>
      <c r="W535" s="360"/>
      <c r="X535" s="360"/>
      <c r="Y535" s="360"/>
      <c r="Z535" s="360"/>
      <c r="AA535" s="183"/>
      <c r="AB535" s="361"/>
      <c r="AC535" s="15"/>
      <c r="AE535" s="15"/>
      <c r="AF535" s="15"/>
      <c r="AG535" s="15"/>
      <c r="AH535" s="15"/>
      <c r="AI535" s="15"/>
      <c r="AJ535" s="15"/>
      <c r="AK535" s="15"/>
    </row>
    <row r="536" spans="5:37" ht="14.25" x14ac:dyDescent="0.2">
      <c r="E536" s="15"/>
      <c r="F536" s="359"/>
      <c r="S536" s="360"/>
      <c r="T536" s="360"/>
      <c r="U536" s="360"/>
      <c r="V536" s="360"/>
      <c r="W536" s="360"/>
      <c r="X536" s="360"/>
      <c r="Y536" s="360"/>
      <c r="Z536" s="360"/>
      <c r="AA536" s="183"/>
      <c r="AB536" s="361"/>
      <c r="AC536" s="15"/>
      <c r="AE536" s="15"/>
      <c r="AF536" s="15"/>
      <c r="AG536" s="15"/>
      <c r="AH536" s="15"/>
      <c r="AI536" s="15"/>
      <c r="AJ536" s="15"/>
      <c r="AK536" s="15"/>
    </row>
    <row r="537" spans="5:37" ht="14.25" x14ac:dyDescent="0.2">
      <c r="E537" s="15"/>
      <c r="F537" s="359"/>
      <c r="S537" s="360"/>
      <c r="T537" s="360"/>
      <c r="U537" s="360"/>
      <c r="V537" s="360"/>
      <c r="W537" s="360"/>
      <c r="X537" s="360"/>
      <c r="Y537" s="360"/>
      <c r="Z537" s="360"/>
      <c r="AA537" s="183"/>
      <c r="AB537" s="361"/>
      <c r="AC537" s="15"/>
      <c r="AE537" s="15"/>
      <c r="AF537" s="15"/>
      <c r="AG537" s="15"/>
      <c r="AH537" s="15"/>
      <c r="AI537" s="15"/>
      <c r="AJ537" s="15"/>
      <c r="AK537" s="15"/>
    </row>
    <row r="538" spans="5:37" ht="14.25" x14ac:dyDescent="0.2">
      <c r="E538" s="15"/>
      <c r="F538" s="359"/>
      <c r="S538" s="360"/>
      <c r="T538" s="360"/>
      <c r="U538" s="360"/>
      <c r="V538" s="360"/>
      <c r="W538" s="360"/>
      <c r="X538" s="360"/>
      <c r="Y538" s="360"/>
      <c r="Z538" s="360"/>
      <c r="AA538" s="183"/>
      <c r="AB538" s="361"/>
      <c r="AC538" s="15"/>
      <c r="AE538" s="15"/>
      <c r="AF538" s="15"/>
      <c r="AG538" s="15"/>
      <c r="AH538" s="15"/>
      <c r="AI538" s="15"/>
      <c r="AJ538" s="15"/>
      <c r="AK538" s="15"/>
    </row>
    <row r="539" spans="5:37" ht="14.25" x14ac:dyDescent="0.2">
      <c r="E539" s="15"/>
      <c r="F539" s="359"/>
      <c r="S539" s="360"/>
      <c r="T539" s="360"/>
      <c r="U539" s="360"/>
      <c r="V539" s="360"/>
      <c r="W539" s="360"/>
      <c r="X539" s="360"/>
      <c r="Y539" s="360"/>
      <c r="Z539" s="360"/>
      <c r="AA539" s="183"/>
      <c r="AB539" s="361"/>
      <c r="AC539" s="15"/>
      <c r="AE539" s="15"/>
      <c r="AF539" s="15"/>
      <c r="AG539" s="15"/>
      <c r="AH539" s="15"/>
      <c r="AI539" s="15"/>
      <c r="AJ539" s="15"/>
      <c r="AK539" s="15"/>
    </row>
    <row r="540" spans="5:37" ht="14.25" x14ac:dyDescent="0.2">
      <c r="E540" s="15"/>
      <c r="F540" s="359"/>
      <c r="S540" s="360"/>
      <c r="T540" s="360"/>
      <c r="U540" s="360"/>
      <c r="V540" s="360"/>
      <c r="W540" s="360"/>
      <c r="X540" s="360"/>
      <c r="Y540" s="360"/>
      <c r="Z540" s="360"/>
      <c r="AA540" s="183"/>
      <c r="AB540" s="361"/>
      <c r="AC540" s="15"/>
      <c r="AE540" s="15"/>
      <c r="AF540" s="15"/>
      <c r="AG540" s="15"/>
      <c r="AH540" s="15"/>
      <c r="AI540" s="15"/>
      <c r="AJ540" s="15"/>
      <c r="AK540" s="15"/>
    </row>
    <row r="541" spans="5:37" ht="14.25" x14ac:dyDescent="0.2">
      <c r="E541" s="15"/>
      <c r="F541" s="359"/>
      <c r="S541" s="360"/>
      <c r="T541" s="360"/>
      <c r="U541" s="360"/>
      <c r="V541" s="360"/>
      <c r="W541" s="360"/>
      <c r="X541" s="360"/>
      <c r="Y541" s="360"/>
      <c r="Z541" s="360"/>
      <c r="AA541" s="183"/>
      <c r="AB541" s="361"/>
      <c r="AC541" s="15"/>
      <c r="AE541" s="15"/>
      <c r="AF541" s="15"/>
      <c r="AG541" s="15"/>
      <c r="AH541" s="15"/>
      <c r="AI541" s="15"/>
      <c r="AJ541" s="15"/>
      <c r="AK541" s="15"/>
    </row>
    <row r="542" spans="5:37" ht="14.25" x14ac:dyDescent="0.2">
      <c r="E542" s="15"/>
      <c r="F542" s="359"/>
      <c r="S542" s="360"/>
      <c r="T542" s="360"/>
      <c r="U542" s="360"/>
      <c r="V542" s="360"/>
      <c r="W542" s="360"/>
      <c r="X542" s="360"/>
      <c r="Y542" s="360"/>
      <c r="Z542" s="360"/>
      <c r="AA542" s="183"/>
      <c r="AB542" s="361"/>
      <c r="AC542" s="15"/>
      <c r="AE542" s="15"/>
      <c r="AF542" s="15"/>
      <c r="AG542" s="15"/>
      <c r="AH542" s="15"/>
      <c r="AI542" s="15"/>
      <c r="AJ542" s="15"/>
      <c r="AK542" s="15"/>
    </row>
    <row r="543" spans="5:37" ht="14.25" x14ac:dyDescent="0.2">
      <c r="E543" s="15"/>
      <c r="F543" s="359"/>
      <c r="S543" s="360"/>
      <c r="T543" s="360"/>
      <c r="U543" s="360"/>
      <c r="V543" s="360"/>
      <c r="W543" s="360"/>
      <c r="X543" s="360"/>
      <c r="Y543" s="360"/>
      <c r="Z543" s="360"/>
      <c r="AA543" s="183"/>
      <c r="AB543" s="361"/>
      <c r="AC543" s="15"/>
      <c r="AE543" s="15"/>
      <c r="AF543" s="15"/>
      <c r="AG543" s="15"/>
      <c r="AH543" s="15"/>
      <c r="AI543" s="15"/>
      <c r="AJ543" s="15"/>
      <c r="AK543" s="15"/>
    </row>
    <row r="544" spans="5:37" ht="14.25" x14ac:dyDescent="0.2">
      <c r="E544" s="15"/>
      <c r="F544" s="359"/>
      <c r="S544" s="360"/>
      <c r="T544" s="360"/>
      <c r="U544" s="360"/>
      <c r="V544" s="360"/>
      <c r="W544" s="360"/>
      <c r="X544" s="360"/>
      <c r="Y544" s="360"/>
      <c r="Z544" s="360"/>
      <c r="AA544" s="183"/>
      <c r="AB544" s="361"/>
      <c r="AC544" s="15"/>
      <c r="AE544" s="15"/>
      <c r="AF544" s="15"/>
      <c r="AG544" s="15"/>
      <c r="AH544" s="15"/>
      <c r="AI544" s="15"/>
      <c r="AJ544" s="15"/>
      <c r="AK544" s="15"/>
    </row>
    <row r="545" spans="5:37" ht="14.25" x14ac:dyDescent="0.2">
      <c r="E545" s="15"/>
      <c r="F545" s="359"/>
      <c r="S545" s="360"/>
      <c r="T545" s="360"/>
      <c r="U545" s="360"/>
      <c r="V545" s="360"/>
      <c r="W545" s="360"/>
      <c r="X545" s="360"/>
      <c r="Y545" s="360"/>
      <c r="Z545" s="360"/>
      <c r="AA545" s="183"/>
      <c r="AB545" s="361"/>
      <c r="AC545" s="15"/>
      <c r="AE545" s="15"/>
      <c r="AF545" s="15"/>
      <c r="AG545" s="15"/>
      <c r="AH545" s="15"/>
      <c r="AI545" s="15"/>
      <c r="AJ545" s="15"/>
      <c r="AK545" s="15"/>
    </row>
    <row r="546" spans="5:37" ht="14.25" x14ac:dyDescent="0.2">
      <c r="E546" s="15"/>
      <c r="F546" s="359"/>
      <c r="S546" s="360"/>
      <c r="T546" s="360"/>
      <c r="U546" s="360"/>
      <c r="V546" s="360"/>
      <c r="W546" s="360"/>
      <c r="X546" s="360"/>
      <c r="Y546" s="360"/>
      <c r="Z546" s="360"/>
      <c r="AA546" s="183"/>
      <c r="AB546" s="361"/>
      <c r="AC546" s="15"/>
      <c r="AE546" s="15"/>
      <c r="AF546" s="15"/>
      <c r="AG546" s="15"/>
      <c r="AH546" s="15"/>
      <c r="AI546" s="15"/>
      <c r="AJ546" s="15"/>
      <c r="AK546" s="15"/>
    </row>
    <row r="547" spans="5:37" ht="14.25" x14ac:dyDescent="0.2">
      <c r="E547" s="15"/>
      <c r="F547" s="359"/>
      <c r="S547" s="360"/>
      <c r="T547" s="360"/>
      <c r="U547" s="360"/>
      <c r="V547" s="360"/>
      <c r="W547" s="360"/>
      <c r="X547" s="360"/>
      <c r="Y547" s="360"/>
      <c r="Z547" s="360"/>
      <c r="AA547" s="183"/>
      <c r="AB547" s="361"/>
      <c r="AC547" s="15"/>
      <c r="AE547" s="15"/>
      <c r="AF547" s="15"/>
      <c r="AG547" s="15"/>
      <c r="AH547" s="15"/>
      <c r="AI547" s="15"/>
      <c r="AJ547" s="15"/>
      <c r="AK547" s="15"/>
    </row>
    <row r="548" spans="5:37" ht="14.25" x14ac:dyDescent="0.2">
      <c r="E548" s="15"/>
      <c r="F548" s="359"/>
      <c r="S548" s="360"/>
      <c r="T548" s="360"/>
      <c r="U548" s="360"/>
      <c r="V548" s="360"/>
      <c r="W548" s="360"/>
      <c r="X548" s="360"/>
      <c r="Y548" s="360"/>
      <c r="Z548" s="360"/>
      <c r="AA548" s="183"/>
      <c r="AB548" s="361"/>
      <c r="AC548" s="15"/>
      <c r="AE548" s="15"/>
      <c r="AF548" s="15"/>
      <c r="AG548" s="15"/>
      <c r="AH548" s="15"/>
      <c r="AI548" s="15"/>
      <c r="AJ548" s="15"/>
      <c r="AK548" s="15"/>
    </row>
    <row r="549" spans="5:37" ht="14.25" x14ac:dyDescent="0.2">
      <c r="E549" s="15"/>
      <c r="F549" s="359"/>
      <c r="S549" s="360"/>
      <c r="T549" s="360"/>
      <c r="U549" s="360"/>
      <c r="V549" s="360"/>
      <c r="W549" s="360"/>
      <c r="X549" s="360"/>
      <c r="Y549" s="360"/>
      <c r="Z549" s="360"/>
      <c r="AA549" s="183"/>
      <c r="AB549" s="361"/>
      <c r="AC549" s="15"/>
      <c r="AE549" s="15"/>
      <c r="AF549" s="15"/>
      <c r="AG549" s="15"/>
      <c r="AH549" s="15"/>
      <c r="AI549" s="15"/>
      <c r="AJ549" s="15"/>
      <c r="AK549" s="15"/>
    </row>
    <row r="550" spans="5:37" ht="14.25" x14ac:dyDescent="0.2">
      <c r="E550" s="15"/>
      <c r="F550" s="359"/>
      <c r="S550" s="360"/>
      <c r="T550" s="360"/>
      <c r="U550" s="360"/>
      <c r="V550" s="360"/>
      <c r="W550" s="360"/>
      <c r="X550" s="360"/>
      <c r="Y550" s="360"/>
      <c r="Z550" s="360"/>
      <c r="AA550" s="183"/>
      <c r="AB550" s="361"/>
      <c r="AC550" s="15"/>
      <c r="AE550" s="15"/>
      <c r="AF550" s="15"/>
      <c r="AG550" s="15"/>
      <c r="AH550" s="15"/>
      <c r="AI550" s="15"/>
      <c r="AJ550" s="15"/>
      <c r="AK550" s="15"/>
    </row>
    <row r="551" spans="5:37" ht="14.25" x14ac:dyDescent="0.2">
      <c r="E551" s="15"/>
      <c r="F551" s="359"/>
      <c r="S551" s="360"/>
      <c r="T551" s="360"/>
      <c r="U551" s="360"/>
      <c r="V551" s="360"/>
      <c r="W551" s="360"/>
      <c r="X551" s="360"/>
      <c r="Y551" s="360"/>
      <c r="Z551" s="360"/>
      <c r="AA551" s="183"/>
      <c r="AB551" s="361"/>
      <c r="AC551" s="15"/>
      <c r="AE551" s="15"/>
      <c r="AF551" s="15"/>
      <c r="AG551" s="15"/>
      <c r="AH551" s="15"/>
      <c r="AI551" s="15"/>
      <c r="AJ551" s="15"/>
      <c r="AK551" s="15"/>
    </row>
    <row r="552" spans="5:37" ht="14.25" x14ac:dyDescent="0.2">
      <c r="E552" s="15"/>
      <c r="F552" s="359"/>
      <c r="S552" s="360"/>
      <c r="T552" s="360"/>
      <c r="U552" s="360"/>
      <c r="V552" s="360"/>
      <c r="W552" s="360"/>
      <c r="X552" s="360"/>
      <c r="Y552" s="360"/>
      <c r="Z552" s="360"/>
      <c r="AA552" s="183"/>
      <c r="AB552" s="361"/>
      <c r="AC552" s="15"/>
      <c r="AE552" s="15"/>
      <c r="AF552" s="15"/>
      <c r="AG552" s="15"/>
      <c r="AH552" s="15"/>
      <c r="AI552" s="15"/>
      <c r="AJ552" s="15"/>
      <c r="AK552" s="15"/>
    </row>
    <row r="553" spans="5:37" ht="14.25" x14ac:dyDescent="0.2">
      <c r="E553" s="15"/>
      <c r="F553" s="359"/>
      <c r="S553" s="360"/>
      <c r="T553" s="360"/>
      <c r="U553" s="360"/>
      <c r="V553" s="360"/>
      <c r="W553" s="360"/>
      <c r="X553" s="360"/>
      <c r="Y553" s="360"/>
      <c r="Z553" s="360"/>
      <c r="AA553" s="183"/>
      <c r="AB553" s="361"/>
      <c r="AC553" s="15"/>
      <c r="AE553" s="15"/>
      <c r="AF553" s="15"/>
      <c r="AG553" s="15"/>
      <c r="AH553" s="15"/>
      <c r="AI553" s="15"/>
      <c r="AJ553" s="15"/>
      <c r="AK553" s="15"/>
    </row>
    <row r="554" spans="5:37" ht="14.25" x14ac:dyDescent="0.2">
      <c r="E554" s="15"/>
      <c r="F554" s="359"/>
      <c r="S554" s="360"/>
      <c r="T554" s="360"/>
      <c r="U554" s="360"/>
      <c r="V554" s="360"/>
      <c r="W554" s="360"/>
      <c r="X554" s="360"/>
      <c r="Y554" s="360"/>
      <c r="Z554" s="360"/>
      <c r="AA554" s="183"/>
      <c r="AB554" s="361"/>
      <c r="AC554" s="15"/>
      <c r="AE554" s="15"/>
      <c r="AF554" s="15"/>
      <c r="AG554" s="15"/>
      <c r="AH554" s="15"/>
      <c r="AI554" s="15"/>
      <c r="AJ554" s="15"/>
      <c r="AK554" s="15"/>
    </row>
    <row r="555" spans="5:37" ht="14.25" x14ac:dyDescent="0.2">
      <c r="E555" s="15"/>
      <c r="F555" s="359"/>
      <c r="S555" s="360"/>
      <c r="T555" s="360"/>
      <c r="U555" s="360"/>
      <c r="V555" s="360"/>
      <c r="W555" s="360"/>
      <c r="X555" s="360"/>
      <c r="Y555" s="360"/>
      <c r="Z555" s="360"/>
      <c r="AA555" s="183"/>
      <c r="AB555" s="361"/>
      <c r="AC555" s="15"/>
      <c r="AE555" s="15"/>
      <c r="AF555" s="15"/>
      <c r="AG555" s="15"/>
      <c r="AH555" s="15"/>
      <c r="AI555" s="15"/>
      <c r="AJ555" s="15"/>
      <c r="AK555" s="15"/>
    </row>
    <row r="556" spans="5:37" ht="14.25" x14ac:dyDescent="0.2">
      <c r="E556" s="15"/>
      <c r="F556" s="359"/>
      <c r="S556" s="360"/>
      <c r="T556" s="360"/>
      <c r="U556" s="360"/>
      <c r="V556" s="360"/>
      <c r="W556" s="360"/>
      <c r="X556" s="360"/>
      <c r="Y556" s="360"/>
      <c r="Z556" s="360"/>
      <c r="AA556" s="183"/>
      <c r="AB556" s="361"/>
      <c r="AC556" s="15"/>
      <c r="AE556" s="15"/>
      <c r="AF556" s="15"/>
      <c r="AG556" s="15"/>
      <c r="AH556" s="15"/>
      <c r="AI556" s="15"/>
      <c r="AJ556" s="15"/>
      <c r="AK556" s="15"/>
    </row>
    <row r="557" spans="5:37" ht="14.25" x14ac:dyDescent="0.2">
      <c r="E557" s="15"/>
      <c r="F557" s="359"/>
      <c r="S557" s="360"/>
      <c r="T557" s="360"/>
      <c r="U557" s="360"/>
      <c r="V557" s="360"/>
      <c r="W557" s="360"/>
      <c r="X557" s="360"/>
      <c r="Y557" s="360"/>
      <c r="Z557" s="360"/>
      <c r="AA557" s="183"/>
      <c r="AB557" s="361"/>
      <c r="AC557" s="15"/>
      <c r="AE557" s="15"/>
      <c r="AF557" s="15"/>
      <c r="AG557" s="15"/>
      <c r="AH557" s="15"/>
      <c r="AI557" s="15"/>
      <c r="AJ557" s="15"/>
      <c r="AK557" s="15"/>
    </row>
    <row r="558" spans="5:37" ht="14.25" x14ac:dyDescent="0.2">
      <c r="E558" s="15"/>
      <c r="F558" s="359"/>
      <c r="S558" s="360"/>
      <c r="T558" s="360"/>
      <c r="U558" s="360"/>
      <c r="V558" s="360"/>
      <c r="W558" s="360"/>
      <c r="X558" s="360"/>
      <c r="Y558" s="360"/>
      <c r="Z558" s="360"/>
      <c r="AA558" s="183"/>
      <c r="AB558" s="361"/>
      <c r="AC558" s="15"/>
      <c r="AE558" s="15"/>
      <c r="AF558" s="15"/>
      <c r="AG558" s="15"/>
      <c r="AH558" s="15"/>
      <c r="AI558" s="15"/>
      <c r="AJ558" s="15"/>
      <c r="AK558" s="15"/>
    </row>
    <row r="559" spans="5:37" ht="14.25" x14ac:dyDescent="0.2">
      <c r="E559" s="15"/>
      <c r="F559" s="359"/>
      <c r="S559" s="360"/>
      <c r="T559" s="360"/>
      <c r="U559" s="360"/>
      <c r="V559" s="360"/>
      <c r="W559" s="360"/>
      <c r="X559" s="360"/>
      <c r="Y559" s="360"/>
      <c r="Z559" s="360"/>
      <c r="AA559" s="183"/>
      <c r="AB559" s="361"/>
      <c r="AC559" s="15"/>
      <c r="AE559" s="15"/>
      <c r="AF559" s="15"/>
      <c r="AG559" s="15"/>
      <c r="AH559" s="15"/>
      <c r="AI559" s="15"/>
      <c r="AJ559" s="15"/>
      <c r="AK559" s="15"/>
    </row>
    <row r="560" spans="5:37" ht="14.25" x14ac:dyDescent="0.2">
      <c r="E560" s="15"/>
      <c r="F560" s="359"/>
      <c r="S560" s="360"/>
      <c r="T560" s="360"/>
      <c r="U560" s="360"/>
      <c r="V560" s="360"/>
      <c r="W560" s="360"/>
      <c r="X560" s="360"/>
      <c r="Y560" s="360"/>
      <c r="Z560" s="360"/>
      <c r="AA560" s="183"/>
      <c r="AB560" s="361"/>
      <c r="AC560" s="15"/>
      <c r="AE560" s="15"/>
      <c r="AF560" s="15"/>
      <c r="AG560" s="15"/>
      <c r="AH560" s="15"/>
      <c r="AI560" s="15"/>
      <c r="AJ560" s="15"/>
      <c r="AK560" s="15"/>
    </row>
    <row r="561" spans="5:37" ht="14.25" x14ac:dyDescent="0.2">
      <c r="E561" s="15"/>
      <c r="F561" s="359"/>
      <c r="S561" s="360"/>
      <c r="T561" s="360"/>
      <c r="U561" s="360"/>
      <c r="V561" s="360"/>
      <c r="W561" s="360"/>
      <c r="X561" s="360"/>
      <c r="Y561" s="360"/>
      <c r="Z561" s="360"/>
      <c r="AA561" s="183"/>
      <c r="AB561" s="361"/>
      <c r="AC561" s="15"/>
      <c r="AE561" s="15"/>
      <c r="AF561" s="15"/>
      <c r="AG561" s="15"/>
      <c r="AH561" s="15"/>
      <c r="AI561" s="15"/>
      <c r="AJ561" s="15"/>
      <c r="AK561" s="15"/>
    </row>
    <row r="562" spans="5:37" ht="14.25" x14ac:dyDescent="0.2">
      <c r="E562" s="15"/>
      <c r="F562" s="359"/>
      <c r="S562" s="360"/>
      <c r="T562" s="360"/>
      <c r="U562" s="360"/>
      <c r="V562" s="360"/>
      <c r="W562" s="360"/>
      <c r="X562" s="360"/>
      <c r="Y562" s="360"/>
      <c r="Z562" s="360"/>
      <c r="AA562" s="183"/>
      <c r="AB562" s="361"/>
      <c r="AC562" s="15"/>
      <c r="AE562" s="15"/>
      <c r="AF562" s="15"/>
      <c r="AG562" s="15"/>
      <c r="AH562" s="15"/>
      <c r="AI562" s="15"/>
      <c r="AJ562" s="15"/>
      <c r="AK562" s="15"/>
    </row>
    <row r="563" spans="5:37" ht="14.25" x14ac:dyDescent="0.2">
      <c r="E563" s="15"/>
      <c r="F563" s="359"/>
      <c r="S563" s="360"/>
      <c r="T563" s="360"/>
      <c r="U563" s="360"/>
      <c r="V563" s="360"/>
      <c r="W563" s="360"/>
      <c r="X563" s="360"/>
      <c r="Y563" s="360"/>
      <c r="Z563" s="360"/>
      <c r="AA563" s="183"/>
      <c r="AB563" s="361"/>
      <c r="AC563" s="15"/>
      <c r="AE563" s="15"/>
      <c r="AF563" s="15"/>
      <c r="AG563" s="15"/>
      <c r="AH563" s="15"/>
      <c r="AI563" s="15"/>
      <c r="AJ563" s="15"/>
      <c r="AK563" s="15"/>
    </row>
    <row r="564" spans="5:37" ht="14.25" x14ac:dyDescent="0.2">
      <c r="E564" s="15"/>
      <c r="F564" s="359"/>
      <c r="S564" s="360"/>
      <c r="T564" s="360"/>
      <c r="U564" s="360"/>
      <c r="V564" s="360"/>
      <c r="W564" s="360"/>
      <c r="X564" s="360"/>
      <c r="Y564" s="360"/>
      <c r="Z564" s="360"/>
      <c r="AA564" s="183"/>
      <c r="AB564" s="361"/>
      <c r="AC564" s="15"/>
      <c r="AE564" s="15"/>
      <c r="AF564" s="15"/>
      <c r="AG564" s="15"/>
      <c r="AH564" s="15"/>
      <c r="AI564" s="15"/>
      <c r="AJ564" s="15"/>
      <c r="AK564" s="15"/>
    </row>
    <row r="565" spans="5:37" ht="14.25" x14ac:dyDescent="0.2">
      <c r="E565" s="15"/>
      <c r="F565" s="359"/>
      <c r="S565" s="360"/>
      <c r="T565" s="360"/>
      <c r="U565" s="360"/>
      <c r="V565" s="360"/>
      <c r="W565" s="360"/>
      <c r="X565" s="360"/>
      <c r="Y565" s="360"/>
      <c r="Z565" s="360"/>
      <c r="AA565" s="183"/>
      <c r="AB565" s="361"/>
      <c r="AC565" s="15"/>
      <c r="AE565" s="15"/>
      <c r="AF565" s="15"/>
      <c r="AG565" s="15"/>
      <c r="AH565" s="15"/>
      <c r="AI565" s="15"/>
      <c r="AJ565" s="15"/>
      <c r="AK565" s="15"/>
    </row>
    <row r="566" spans="5:37" ht="14.25" x14ac:dyDescent="0.2">
      <c r="E566" s="15"/>
      <c r="F566" s="359"/>
      <c r="S566" s="360"/>
      <c r="T566" s="360"/>
      <c r="U566" s="360"/>
      <c r="V566" s="360"/>
      <c r="W566" s="360"/>
      <c r="X566" s="360"/>
      <c r="Y566" s="360"/>
      <c r="Z566" s="360"/>
      <c r="AA566" s="183"/>
      <c r="AB566" s="361"/>
      <c r="AC566" s="15"/>
      <c r="AE566" s="15"/>
      <c r="AF566" s="15"/>
      <c r="AG566" s="15"/>
      <c r="AH566" s="15"/>
      <c r="AI566" s="15"/>
      <c r="AJ566" s="15"/>
      <c r="AK566" s="15"/>
    </row>
    <row r="567" spans="5:37" ht="14.25" x14ac:dyDescent="0.2">
      <c r="E567" s="15"/>
      <c r="F567" s="359"/>
      <c r="S567" s="360"/>
      <c r="T567" s="360"/>
      <c r="U567" s="360"/>
      <c r="V567" s="360"/>
      <c r="W567" s="360"/>
      <c r="X567" s="360"/>
      <c r="Y567" s="360"/>
      <c r="Z567" s="360"/>
      <c r="AA567" s="183"/>
      <c r="AB567" s="361"/>
      <c r="AC567" s="15"/>
      <c r="AE567" s="15"/>
      <c r="AF567" s="15"/>
      <c r="AG567" s="15"/>
      <c r="AH567" s="15"/>
      <c r="AI567" s="15"/>
      <c r="AJ567" s="15"/>
      <c r="AK567" s="15"/>
    </row>
    <row r="568" spans="5:37" ht="14.25" x14ac:dyDescent="0.2">
      <c r="E568" s="15"/>
      <c r="F568" s="359"/>
      <c r="S568" s="360"/>
      <c r="T568" s="360"/>
      <c r="U568" s="360"/>
      <c r="V568" s="360"/>
      <c r="W568" s="360"/>
      <c r="X568" s="360"/>
      <c r="Y568" s="360"/>
      <c r="Z568" s="360"/>
      <c r="AA568" s="183"/>
      <c r="AB568" s="361"/>
      <c r="AC568" s="15"/>
      <c r="AE568" s="15"/>
      <c r="AF568" s="15"/>
      <c r="AG568" s="15"/>
      <c r="AH568" s="15"/>
      <c r="AI568" s="15"/>
      <c r="AJ568" s="15"/>
      <c r="AK568" s="15"/>
    </row>
    <row r="569" spans="5:37" ht="14.25" x14ac:dyDescent="0.2">
      <c r="E569" s="15"/>
      <c r="F569" s="359"/>
      <c r="S569" s="360"/>
      <c r="T569" s="360"/>
      <c r="U569" s="360"/>
      <c r="V569" s="360"/>
      <c r="W569" s="360"/>
      <c r="X569" s="360"/>
      <c r="Y569" s="360"/>
      <c r="Z569" s="360"/>
      <c r="AA569" s="183"/>
      <c r="AB569" s="361"/>
      <c r="AC569" s="15"/>
      <c r="AE569" s="15"/>
      <c r="AF569" s="15"/>
      <c r="AG569" s="15"/>
      <c r="AH569" s="15"/>
      <c r="AI569" s="15"/>
      <c r="AJ569" s="15"/>
      <c r="AK569" s="15"/>
    </row>
    <row r="570" spans="5:37" ht="14.25" x14ac:dyDescent="0.2">
      <c r="E570" s="15"/>
      <c r="F570" s="359"/>
      <c r="S570" s="360"/>
      <c r="T570" s="360"/>
      <c r="U570" s="360"/>
      <c r="V570" s="360"/>
      <c r="W570" s="360"/>
      <c r="X570" s="360"/>
      <c r="Y570" s="360"/>
      <c r="Z570" s="360"/>
      <c r="AA570" s="183"/>
      <c r="AB570" s="361"/>
      <c r="AC570" s="15"/>
      <c r="AE570" s="15"/>
      <c r="AF570" s="15"/>
      <c r="AG570" s="15"/>
      <c r="AH570" s="15"/>
      <c r="AI570" s="15"/>
      <c r="AJ570" s="15"/>
      <c r="AK570" s="15"/>
    </row>
    <row r="571" spans="5:37" ht="14.25" x14ac:dyDescent="0.2">
      <c r="E571" s="15"/>
      <c r="F571" s="359"/>
      <c r="S571" s="360"/>
      <c r="T571" s="360"/>
      <c r="U571" s="360"/>
      <c r="V571" s="360"/>
      <c r="W571" s="360"/>
      <c r="X571" s="360"/>
      <c r="Y571" s="360"/>
      <c r="Z571" s="360"/>
      <c r="AA571" s="183"/>
      <c r="AB571" s="361"/>
      <c r="AC571" s="15"/>
      <c r="AE571" s="15"/>
      <c r="AF571" s="15"/>
      <c r="AG571" s="15"/>
      <c r="AH571" s="15"/>
      <c r="AI571" s="15"/>
      <c r="AJ571" s="15"/>
      <c r="AK571" s="15"/>
    </row>
    <row r="572" spans="5:37" ht="14.25" x14ac:dyDescent="0.2">
      <c r="E572" s="15"/>
      <c r="F572" s="359"/>
      <c r="S572" s="360"/>
      <c r="T572" s="360"/>
      <c r="U572" s="360"/>
      <c r="V572" s="360"/>
      <c r="W572" s="360"/>
      <c r="X572" s="360"/>
      <c r="Y572" s="360"/>
      <c r="Z572" s="360"/>
      <c r="AA572" s="183"/>
      <c r="AB572" s="361"/>
      <c r="AC572" s="15"/>
      <c r="AE572" s="15"/>
      <c r="AF572" s="15"/>
      <c r="AG572" s="15"/>
      <c r="AH572" s="15"/>
      <c r="AI572" s="15"/>
      <c r="AJ572" s="15"/>
      <c r="AK572" s="15"/>
    </row>
    <row r="573" spans="5:37" ht="14.25" x14ac:dyDescent="0.2">
      <c r="E573" s="15"/>
      <c r="F573" s="359"/>
      <c r="S573" s="360"/>
      <c r="T573" s="360"/>
      <c r="U573" s="360"/>
      <c r="V573" s="360"/>
      <c r="W573" s="360"/>
      <c r="X573" s="360"/>
      <c r="Y573" s="360"/>
      <c r="Z573" s="360"/>
      <c r="AA573" s="183"/>
      <c r="AB573" s="361"/>
      <c r="AC573" s="15"/>
      <c r="AE573" s="15"/>
      <c r="AF573" s="15"/>
      <c r="AG573" s="15"/>
      <c r="AH573" s="15"/>
      <c r="AI573" s="15"/>
      <c r="AJ573" s="15"/>
      <c r="AK573" s="15"/>
    </row>
    <row r="574" spans="5:37" ht="14.25" x14ac:dyDescent="0.2">
      <c r="E574" s="15"/>
      <c r="F574" s="359"/>
      <c r="S574" s="360"/>
      <c r="T574" s="360"/>
      <c r="U574" s="360"/>
      <c r="V574" s="360"/>
      <c r="W574" s="360"/>
      <c r="X574" s="360"/>
      <c r="Y574" s="360"/>
      <c r="Z574" s="360"/>
      <c r="AA574" s="183"/>
      <c r="AB574" s="361"/>
      <c r="AC574" s="15"/>
      <c r="AE574" s="15"/>
      <c r="AF574" s="15"/>
      <c r="AG574" s="15"/>
      <c r="AH574" s="15"/>
      <c r="AI574" s="15"/>
      <c r="AJ574" s="15"/>
      <c r="AK574" s="15"/>
    </row>
    <row r="575" spans="5:37" ht="14.25" x14ac:dyDescent="0.2">
      <c r="E575" s="15"/>
      <c r="F575" s="359"/>
      <c r="S575" s="360"/>
      <c r="T575" s="360"/>
      <c r="U575" s="360"/>
      <c r="V575" s="360"/>
      <c r="W575" s="360"/>
      <c r="X575" s="360"/>
      <c r="Y575" s="360"/>
      <c r="Z575" s="360"/>
      <c r="AA575" s="183"/>
      <c r="AB575" s="361"/>
      <c r="AC575" s="15"/>
      <c r="AE575" s="15"/>
      <c r="AF575" s="15"/>
      <c r="AG575" s="15"/>
      <c r="AH575" s="15"/>
      <c r="AI575" s="15"/>
      <c r="AJ575" s="15"/>
      <c r="AK575" s="15"/>
    </row>
    <row r="576" spans="5:37" ht="14.25" x14ac:dyDescent="0.2">
      <c r="E576" s="15"/>
      <c r="F576" s="359"/>
      <c r="S576" s="360"/>
      <c r="T576" s="360"/>
      <c r="U576" s="360"/>
      <c r="V576" s="360"/>
      <c r="W576" s="360"/>
      <c r="X576" s="360"/>
      <c r="Y576" s="360"/>
      <c r="Z576" s="360"/>
      <c r="AA576" s="183"/>
      <c r="AB576" s="361"/>
      <c r="AC576" s="15"/>
      <c r="AE576" s="15"/>
      <c r="AF576" s="15"/>
      <c r="AG576" s="15"/>
      <c r="AH576" s="15"/>
      <c r="AI576" s="15"/>
      <c r="AJ576" s="15"/>
      <c r="AK576" s="15"/>
    </row>
    <row r="577" spans="5:37" ht="14.25" x14ac:dyDescent="0.2">
      <c r="E577" s="15"/>
      <c r="F577" s="359"/>
      <c r="S577" s="360"/>
      <c r="T577" s="360"/>
      <c r="U577" s="360"/>
      <c r="V577" s="360"/>
      <c r="W577" s="360"/>
      <c r="X577" s="360"/>
      <c r="Y577" s="360"/>
      <c r="Z577" s="360"/>
      <c r="AA577" s="183"/>
      <c r="AB577" s="361"/>
      <c r="AC577" s="15"/>
      <c r="AE577" s="15"/>
      <c r="AF577" s="15"/>
      <c r="AG577" s="15"/>
      <c r="AH577" s="15"/>
      <c r="AI577" s="15"/>
      <c r="AJ577" s="15"/>
      <c r="AK577" s="15"/>
    </row>
    <row r="578" spans="5:37" ht="14.25" x14ac:dyDescent="0.2">
      <c r="E578" s="15"/>
      <c r="F578" s="359"/>
      <c r="S578" s="360"/>
      <c r="T578" s="360"/>
      <c r="U578" s="360"/>
      <c r="V578" s="360"/>
      <c r="W578" s="360"/>
      <c r="X578" s="360"/>
      <c r="Y578" s="360"/>
      <c r="Z578" s="360"/>
      <c r="AA578" s="183"/>
      <c r="AB578" s="361"/>
      <c r="AC578" s="15"/>
      <c r="AE578" s="15"/>
      <c r="AF578" s="15"/>
      <c r="AG578" s="15"/>
      <c r="AH578" s="15"/>
      <c r="AI578" s="15"/>
      <c r="AJ578" s="15"/>
      <c r="AK578" s="15"/>
    </row>
    <row r="579" spans="5:37" ht="14.25" x14ac:dyDescent="0.2">
      <c r="E579" s="15"/>
      <c r="F579" s="359"/>
      <c r="S579" s="360"/>
      <c r="T579" s="360"/>
      <c r="U579" s="360"/>
      <c r="V579" s="360"/>
      <c r="W579" s="360"/>
      <c r="X579" s="360"/>
      <c r="Y579" s="360"/>
      <c r="Z579" s="360"/>
      <c r="AA579" s="183"/>
      <c r="AB579" s="361"/>
      <c r="AC579" s="15"/>
      <c r="AE579" s="15"/>
      <c r="AF579" s="15"/>
      <c r="AG579" s="15"/>
      <c r="AH579" s="15"/>
      <c r="AI579" s="15"/>
      <c r="AJ579" s="15"/>
      <c r="AK579" s="15"/>
    </row>
    <row r="580" spans="5:37" ht="14.25" x14ac:dyDescent="0.2">
      <c r="E580" s="15"/>
      <c r="F580" s="359"/>
      <c r="S580" s="360"/>
      <c r="T580" s="360"/>
      <c r="U580" s="360"/>
      <c r="V580" s="360"/>
      <c r="W580" s="360"/>
      <c r="X580" s="360"/>
      <c r="Y580" s="360"/>
      <c r="Z580" s="360"/>
      <c r="AA580" s="183"/>
      <c r="AB580" s="361"/>
      <c r="AC580" s="15"/>
      <c r="AE580" s="15"/>
      <c r="AF580" s="15"/>
      <c r="AG580" s="15"/>
      <c r="AH580" s="15"/>
      <c r="AI580" s="15"/>
      <c r="AJ580" s="15"/>
      <c r="AK580" s="15"/>
    </row>
    <row r="581" spans="5:37" ht="14.25" x14ac:dyDescent="0.2">
      <c r="E581" s="15"/>
      <c r="F581" s="359"/>
      <c r="S581" s="360"/>
      <c r="T581" s="360"/>
      <c r="U581" s="360"/>
      <c r="V581" s="360"/>
      <c r="W581" s="360"/>
      <c r="X581" s="360"/>
      <c r="Y581" s="360"/>
      <c r="Z581" s="360"/>
      <c r="AA581" s="183"/>
      <c r="AB581" s="361"/>
      <c r="AC581" s="15"/>
      <c r="AE581" s="15"/>
      <c r="AF581" s="15"/>
      <c r="AG581" s="15"/>
      <c r="AH581" s="15"/>
      <c r="AI581" s="15"/>
      <c r="AJ581" s="15"/>
      <c r="AK581" s="15"/>
    </row>
    <row r="582" spans="5:37" ht="14.25" x14ac:dyDescent="0.2">
      <c r="E582" s="15"/>
      <c r="F582" s="359"/>
      <c r="S582" s="360"/>
      <c r="T582" s="360"/>
      <c r="U582" s="360"/>
      <c r="V582" s="360"/>
      <c r="W582" s="360"/>
      <c r="X582" s="360"/>
      <c r="Y582" s="360"/>
      <c r="Z582" s="360"/>
      <c r="AA582" s="183"/>
      <c r="AB582" s="361"/>
      <c r="AC582" s="15"/>
      <c r="AE582" s="15"/>
      <c r="AF582" s="15"/>
      <c r="AG582" s="15"/>
      <c r="AH582" s="15"/>
      <c r="AI582" s="15"/>
      <c r="AJ582" s="15"/>
      <c r="AK582" s="15"/>
    </row>
    <row r="583" spans="5:37" ht="14.25" x14ac:dyDescent="0.2">
      <c r="E583" s="15"/>
      <c r="F583" s="359"/>
      <c r="S583" s="360"/>
      <c r="T583" s="360"/>
      <c r="U583" s="360"/>
      <c r="V583" s="360"/>
      <c r="W583" s="360"/>
      <c r="X583" s="360"/>
      <c r="Y583" s="360"/>
      <c r="Z583" s="360"/>
      <c r="AA583" s="183"/>
      <c r="AB583" s="361"/>
      <c r="AC583" s="15"/>
      <c r="AE583" s="15"/>
      <c r="AF583" s="15"/>
      <c r="AG583" s="15"/>
      <c r="AH583" s="15"/>
      <c r="AI583" s="15"/>
      <c r="AJ583" s="15"/>
      <c r="AK583" s="15"/>
    </row>
    <row r="584" spans="5:37" ht="14.25" x14ac:dyDescent="0.2">
      <c r="E584" s="15"/>
      <c r="F584" s="359"/>
      <c r="S584" s="360"/>
      <c r="T584" s="360"/>
      <c r="U584" s="360"/>
      <c r="V584" s="360"/>
      <c r="W584" s="360"/>
      <c r="X584" s="360"/>
      <c r="Y584" s="360"/>
      <c r="Z584" s="360"/>
      <c r="AA584" s="183"/>
      <c r="AB584" s="361"/>
      <c r="AC584" s="15"/>
      <c r="AE584" s="15"/>
      <c r="AF584" s="15"/>
      <c r="AG584" s="15"/>
      <c r="AH584" s="15"/>
      <c r="AI584" s="15"/>
      <c r="AJ584" s="15"/>
      <c r="AK584" s="15"/>
    </row>
    <row r="585" spans="5:37" ht="14.25" x14ac:dyDescent="0.2">
      <c r="E585" s="15"/>
      <c r="F585" s="359"/>
      <c r="S585" s="360"/>
      <c r="T585" s="360"/>
      <c r="U585" s="360"/>
      <c r="V585" s="360"/>
      <c r="W585" s="360"/>
      <c r="X585" s="360"/>
      <c r="Y585" s="360"/>
      <c r="Z585" s="360"/>
      <c r="AA585" s="183"/>
      <c r="AB585" s="361"/>
      <c r="AC585" s="15"/>
      <c r="AE585" s="15"/>
      <c r="AF585" s="15"/>
      <c r="AG585" s="15"/>
      <c r="AH585" s="15"/>
      <c r="AI585" s="15"/>
      <c r="AJ585" s="15"/>
      <c r="AK585" s="15"/>
    </row>
    <row r="586" spans="5:37" ht="14.25" x14ac:dyDescent="0.2">
      <c r="E586" s="15"/>
      <c r="F586" s="359"/>
      <c r="S586" s="360"/>
      <c r="T586" s="360"/>
      <c r="U586" s="360"/>
      <c r="V586" s="360"/>
      <c r="W586" s="360"/>
      <c r="X586" s="360"/>
      <c r="Y586" s="360"/>
      <c r="Z586" s="360"/>
      <c r="AA586" s="183"/>
      <c r="AB586" s="361"/>
      <c r="AC586" s="15"/>
      <c r="AE586" s="15"/>
      <c r="AF586" s="15"/>
      <c r="AG586" s="15"/>
      <c r="AH586" s="15"/>
      <c r="AI586" s="15"/>
      <c r="AJ586" s="15"/>
      <c r="AK586" s="15"/>
    </row>
    <row r="587" spans="5:37" ht="14.25" x14ac:dyDescent="0.2">
      <c r="E587" s="15"/>
      <c r="F587" s="359"/>
      <c r="S587" s="360"/>
      <c r="T587" s="360"/>
      <c r="U587" s="360"/>
      <c r="V587" s="360"/>
      <c r="W587" s="360"/>
      <c r="X587" s="360"/>
      <c r="Y587" s="360"/>
      <c r="Z587" s="360"/>
      <c r="AA587" s="183"/>
      <c r="AB587" s="361"/>
      <c r="AC587" s="15"/>
      <c r="AE587" s="15"/>
      <c r="AF587" s="15"/>
      <c r="AG587" s="15"/>
      <c r="AH587" s="15"/>
      <c r="AI587" s="15"/>
      <c r="AJ587" s="15"/>
      <c r="AK587" s="15"/>
    </row>
    <row r="588" spans="5:37" ht="14.25" x14ac:dyDescent="0.2">
      <c r="E588" s="15"/>
      <c r="F588" s="359"/>
      <c r="S588" s="360"/>
      <c r="T588" s="360"/>
      <c r="U588" s="360"/>
      <c r="V588" s="360"/>
      <c r="W588" s="360"/>
      <c r="X588" s="360"/>
      <c r="Y588" s="360"/>
      <c r="Z588" s="360"/>
      <c r="AA588" s="183"/>
      <c r="AB588" s="361"/>
      <c r="AC588" s="15"/>
      <c r="AE588" s="15"/>
      <c r="AF588" s="15"/>
      <c r="AG588" s="15"/>
      <c r="AH588" s="15"/>
      <c r="AI588" s="15"/>
      <c r="AJ588" s="15"/>
      <c r="AK588" s="15"/>
    </row>
    <row r="589" spans="5:37" ht="14.25" x14ac:dyDescent="0.2">
      <c r="E589" s="15"/>
      <c r="F589" s="359"/>
      <c r="S589" s="360"/>
      <c r="T589" s="360"/>
      <c r="U589" s="360"/>
      <c r="V589" s="360"/>
      <c r="W589" s="360"/>
      <c r="X589" s="360"/>
      <c r="Y589" s="360"/>
      <c r="Z589" s="360"/>
      <c r="AA589" s="183"/>
      <c r="AB589" s="361"/>
      <c r="AC589" s="15"/>
      <c r="AE589" s="15"/>
      <c r="AF589" s="15"/>
      <c r="AG589" s="15"/>
      <c r="AH589" s="15"/>
      <c r="AI589" s="15"/>
      <c r="AJ589" s="15"/>
      <c r="AK589" s="15"/>
    </row>
    <row r="590" spans="5:37" ht="14.25" x14ac:dyDescent="0.2">
      <c r="E590" s="15"/>
      <c r="F590" s="359"/>
      <c r="S590" s="360"/>
      <c r="T590" s="360"/>
      <c r="U590" s="360"/>
      <c r="V590" s="360"/>
      <c r="W590" s="360"/>
      <c r="X590" s="360"/>
      <c r="Y590" s="360"/>
      <c r="Z590" s="360"/>
      <c r="AA590" s="183"/>
      <c r="AB590" s="361"/>
      <c r="AC590" s="15"/>
      <c r="AE590" s="15"/>
      <c r="AF590" s="15"/>
      <c r="AG590" s="15"/>
      <c r="AH590" s="15"/>
      <c r="AI590" s="15"/>
      <c r="AJ590" s="15"/>
      <c r="AK590" s="15"/>
    </row>
    <row r="591" spans="5:37" ht="14.25" x14ac:dyDescent="0.2">
      <c r="E591" s="15"/>
      <c r="F591" s="359"/>
      <c r="S591" s="360"/>
      <c r="T591" s="360"/>
      <c r="U591" s="360"/>
      <c r="V591" s="360"/>
      <c r="W591" s="360"/>
      <c r="X591" s="360"/>
      <c r="Y591" s="360"/>
      <c r="Z591" s="360"/>
      <c r="AA591" s="183"/>
      <c r="AB591" s="361"/>
      <c r="AC591" s="15"/>
      <c r="AE591" s="15"/>
      <c r="AF591" s="15"/>
      <c r="AG591" s="15"/>
      <c r="AH591" s="15"/>
      <c r="AI591" s="15"/>
      <c r="AJ591" s="15"/>
      <c r="AK591" s="15"/>
    </row>
    <row r="592" spans="5:37" ht="14.25" x14ac:dyDescent="0.2">
      <c r="E592" s="15"/>
      <c r="F592" s="359"/>
      <c r="S592" s="360"/>
      <c r="T592" s="360"/>
      <c r="U592" s="360"/>
      <c r="V592" s="360"/>
      <c r="W592" s="360"/>
      <c r="X592" s="360"/>
      <c r="Y592" s="360"/>
      <c r="Z592" s="360"/>
      <c r="AA592" s="183"/>
      <c r="AB592" s="361"/>
      <c r="AC592" s="15"/>
      <c r="AE592" s="15"/>
      <c r="AF592" s="15"/>
      <c r="AG592" s="15"/>
      <c r="AH592" s="15"/>
      <c r="AI592" s="15"/>
      <c r="AJ592" s="15"/>
      <c r="AK592" s="15"/>
    </row>
    <row r="593" spans="5:37" ht="14.25" x14ac:dyDescent="0.2">
      <c r="E593" s="15"/>
      <c r="F593" s="359"/>
      <c r="S593" s="360"/>
      <c r="T593" s="360"/>
      <c r="U593" s="360"/>
      <c r="V593" s="360"/>
      <c r="W593" s="360"/>
      <c r="X593" s="360"/>
      <c r="Y593" s="360"/>
      <c r="Z593" s="360"/>
      <c r="AA593" s="183"/>
      <c r="AB593" s="361"/>
      <c r="AC593" s="15"/>
      <c r="AE593" s="15"/>
      <c r="AF593" s="15"/>
      <c r="AG593" s="15"/>
      <c r="AH593" s="15"/>
      <c r="AI593" s="15"/>
      <c r="AJ593" s="15"/>
      <c r="AK593" s="15"/>
    </row>
    <row r="594" spans="5:37" ht="14.25" x14ac:dyDescent="0.2">
      <c r="E594" s="15"/>
      <c r="F594" s="359"/>
      <c r="S594" s="360"/>
      <c r="T594" s="360"/>
      <c r="U594" s="360"/>
      <c r="V594" s="360"/>
      <c r="W594" s="360"/>
      <c r="X594" s="360"/>
      <c r="Y594" s="360"/>
      <c r="Z594" s="360"/>
      <c r="AA594" s="183"/>
      <c r="AB594" s="361"/>
      <c r="AC594" s="15"/>
      <c r="AE594" s="15"/>
      <c r="AF594" s="15"/>
      <c r="AG594" s="15"/>
      <c r="AH594" s="15"/>
      <c r="AI594" s="15"/>
      <c r="AJ594" s="15"/>
      <c r="AK594" s="15"/>
    </row>
    <row r="595" spans="5:37" ht="14.25" x14ac:dyDescent="0.2">
      <c r="E595" s="15"/>
      <c r="F595" s="359"/>
      <c r="S595" s="360"/>
      <c r="T595" s="360"/>
      <c r="U595" s="360"/>
      <c r="V595" s="360"/>
      <c r="W595" s="360"/>
      <c r="X595" s="360"/>
      <c r="Y595" s="360"/>
      <c r="Z595" s="360"/>
      <c r="AA595" s="183"/>
      <c r="AB595" s="361"/>
      <c r="AC595" s="15"/>
      <c r="AE595" s="15"/>
      <c r="AF595" s="15"/>
      <c r="AG595" s="15"/>
      <c r="AH595" s="15"/>
      <c r="AI595" s="15"/>
      <c r="AJ595" s="15"/>
      <c r="AK595" s="15"/>
    </row>
    <row r="596" spans="5:37" ht="14.25" x14ac:dyDescent="0.2">
      <c r="E596" s="15"/>
      <c r="F596" s="359"/>
      <c r="S596" s="360"/>
      <c r="T596" s="360"/>
      <c r="U596" s="360"/>
      <c r="V596" s="360"/>
      <c r="W596" s="360"/>
      <c r="X596" s="360"/>
      <c r="Y596" s="360"/>
      <c r="Z596" s="360"/>
      <c r="AA596" s="183"/>
      <c r="AB596" s="361"/>
      <c r="AC596" s="15"/>
      <c r="AE596" s="15"/>
      <c r="AF596" s="15"/>
      <c r="AG596" s="15"/>
      <c r="AH596" s="15"/>
      <c r="AI596" s="15"/>
      <c r="AJ596" s="15"/>
      <c r="AK596" s="15"/>
    </row>
    <row r="597" spans="5:37" ht="14.25" x14ac:dyDescent="0.2">
      <c r="E597" s="15"/>
      <c r="F597" s="359"/>
      <c r="S597" s="360"/>
      <c r="T597" s="360"/>
      <c r="U597" s="360"/>
      <c r="V597" s="360"/>
      <c r="W597" s="360"/>
      <c r="X597" s="360"/>
      <c r="Y597" s="360"/>
      <c r="Z597" s="360"/>
      <c r="AA597" s="183"/>
      <c r="AB597" s="361"/>
      <c r="AC597" s="15"/>
      <c r="AE597" s="15"/>
      <c r="AF597" s="15"/>
      <c r="AG597" s="15"/>
      <c r="AH597" s="15"/>
      <c r="AI597" s="15"/>
      <c r="AJ597" s="15"/>
      <c r="AK597" s="15"/>
    </row>
    <row r="598" spans="5:37" ht="14.25" x14ac:dyDescent="0.2">
      <c r="E598" s="15"/>
      <c r="F598" s="359"/>
      <c r="S598" s="360"/>
      <c r="T598" s="360"/>
      <c r="U598" s="360"/>
      <c r="V598" s="360"/>
      <c r="W598" s="360"/>
      <c r="X598" s="360"/>
      <c r="Y598" s="360"/>
      <c r="Z598" s="360"/>
      <c r="AA598" s="183"/>
      <c r="AB598" s="361"/>
      <c r="AC598" s="15"/>
      <c r="AE598" s="15"/>
      <c r="AF598" s="15"/>
      <c r="AG598" s="15"/>
      <c r="AH598" s="15"/>
      <c r="AI598" s="15"/>
      <c r="AJ598" s="15"/>
      <c r="AK598" s="15"/>
    </row>
    <row r="599" spans="5:37" ht="14.25" x14ac:dyDescent="0.2">
      <c r="E599" s="15"/>
      <c r="F599" s="359"/>
      <c r="S599" s="360"/>
      <c r="T599" s="360"/>
      <c r="U599" s="360"/>
      <c r="V599" s="360"/>
      <c r="W599" s="360"/>
      <c r="X599" s="360"/>
      <c r="Y599" s="360"/>
      <c r="Z599" s="360"/>
      <c r="AA599" s="183"/>
      <c r="AB599" s="361"/>
      <c r="AC599" s="15"/>
      <c r="AE599" s="15"/>
      <c r="AF599" s="15"/>
      <c r="AG599" s="15"/>
      <c r="AH599" s="15"/>
      <c r="AI599" s="15"/>
      <c r="AJ599" s="15"/>
      <c r="AK599" s="15"/>
    </row>
    <row r="600" spans="5:37" ht="14.25" x14ac:dyDescent="0.2">
      <c r="E600" s="15"/>
      <c r="F600" s="359"/>
      <c r="S600" s="360"/>
      <c r="T600" s="360"/>
      <c r="U600" s="360"/>
      <c r="V600" s="360"/>
      <c r="W600" s="360"/>
      <c r="X600" s="360"/>
      <c r="Y600" s="360"/>
      <c r="Z600" s="360"/>
      <c r="AA600" s="183"/>
      <c r="AB600" s="361"/>
      <c r="AC600" s="15"/>
      <c r="AE600" s="15"/>
      <c r="AF600" s="15"/>
      <c r="AG600" s="15"/>
      <c r="AH600" s="15"/>
      <c r="AI600" s="15"/>
      <c r="AJ600" s="15"/>
      <c r="AK600" s="15"/>
    </row>
    <row r="601" spans="5:37" ht="14.25" x14ac:dyDescent="0.2">
      <c r="E601" s="15"/>
      <c r="F601" s="359"/>
      <c r="S601" s="360"/>
      <c r="T601" s="360"/>
      <c r="U601" s="360"/>
      <c r="V601" s="360"/>
      <c r="W601" s="360"/>
      <c r="X601" s="360"/>
      <c r="Y601" s="360"/>
      <c r="Z601" s="360"/>
      <c r="AA601" s="183"/>
      <c r="AB601" s="361"/>
      <c r="AC601" s="15"/>
      <c r="AE601" s="15"/>
      <c r="AF601" s="15"/>
      <c r="AG601" s="15"/>
      <c r="AH601" s="15"/>
      <c r="AI601" s="15"/>
      <c r="AJ601" s="15"/>
      <c r="AK601" s="15"/>
    </row>
    <row r="602" spans="5:37" ht="14.25" x14ac:dyDescent="0.2">
      <c r="E602" s="15"/>
      <c r="F602" s="359"/>
      <c r="S602" s="360"/>
      <c r="T602" s="360"/>
      <c r="U602" s="360"/>
      <c r="V602" s="360"/>
      <c r="W602" s="360"/>
      <c r="X602" s="360"/>
      <c r="Y602" s="360"/>
      <c r="Z602" s="360"/>
      <c r="AA602" s="183"/>
      <c r="AB602" s="361"/>
      <c r="AC602" s="15"/>
      <c r="AE602" s="15"/>
      <c r="AF602" s="15"/>
      <c r="AG602" s="15"/>
      <c r="AH602" s="15"/>
      <c r="AI602" s="15"/>
      <c r="AJ602" s="15"/>
      <c r="AK602" s="15"/>
    </row>
    <row r="603" spans="5:37" ht="14.25" x14ac:dyDescent="0.2">
      <c r="E603" s="15"/>
      <c r="F603" s="359"/>
      <c r="S603" s="360"/>
      <c r="T603" s="360"/>
      <c r="U603" s="360"/>
      <c r="V603" s="360"/>
      <c r="W603" s="360"/>
      <c r="X603" s="360"/>
      <c r="Y603" s="360"/>
      <c r="Z603" s="360"/>
      <c r="AA603" s="183"/>
      <c r="AB603" s="361"/>
      <c r="AC603" s="15"/>
      <c r="AE603" s="15"/>
      <c r="AF603" s="15"/>
      <c r="AG603" s="15"/>
      <c r="AH603" s="15"/>
      <c r="AI603" s="15"/>
      <c r="AJ603" s="15"/>
      <c r="AK603" s="15"/>
    </row>
    <row r="604" spans="5:37" ht="14.25" x14ac:dyDescent="0.2">
      <c r="E604" s="15"/>
      <c r="F604" s="359"/>
      <c r="S604" s="360"/>
      <c r="T604" s="360"/>
      <c r="U604" s="360"/>
      <c r="V604" s="360"/>
      <c r="W604" s="360"/>
      <c r="X604" s="360"/>
      <c r="Y604" s="360"/>
      <c r="Z604" s="360"/>
      <c r="AA604" s="183"/>
      <c r="AB604" s="361"/>
      <c r="AC604" s="15"/>
      <c r="AE604" s="15"/>
      <c r="AF604" s="15"/>
      <c r="AG604" s="15"/>
      <c r="AH604" s="15"/>
      <c r="AI604" s="15"/>
      <c r="AJ604" s="15"/>
      <c r="AK604" s="15"/>
    </row>
    <row r="605" spans="5:37" ht="14.25" x14ac:dyDescent="0.2">
      <c r="E605" s="15"/>
      <c r="F605" s="359"/>
      <c r="S605" s="360"/>
      <c r="T605" s="360"/>
      <c r="U605" s="360"/>
      <c r="V605" s="360"/>
      <c r="W605" s="360"/>
      <c r="X605" s="360"/>
      <c r="Y605" s="360"/>
      <c r="Z605" s="360"/>
      <c r="AA605" s="183"/>
      <c r="AB605" s="361"/>
      <c r="AC605" s="15"/>
      <c r="AE605" s="15"/>
      <c r="AF605" s="15"/>
      <c r="AG605" s="15"/>
      <c r="AH605" s="15"/>
      <c r="AI605" s="15"/>
      <c r="AJ605" s="15"/>
      <c r="AK605" s="15"/>
    </row>
    <row r="606" spans="5:37" ht="14.25" x14ac:dyDescent="0.2">
      <c r="E606" s="15"/>
      <c r="F606" s="359"/>
      <c r="S606" s="360"/>
      <c r="T606" s="360"/>
      <c r="U606" s="360"/>
      <c r="V606" s="360"/>
      <c r="W606" s="360"/>
      <c r="X606" s="360"/>
      <c r="Y606" s="360"/>
      <c r="Z606" s="360"/>
      <c r="AA606" s="183"/>
      <c r="AB606" s="361"/>
      <c r="AC606" s="15"/>
      <c r="AE606" s="15"/>
      <c r="AF606" s="15"/>
      <c r="AG606" s="15"/>
      <c r="AH606" s="15"/>
      <c r="AI606" s="15"/>
      <c r="AJ606" s="15"/>
      <c r="AK606" s="15"/>
    </row>
    <row r="607" spans="5:37" ht="14.25" x14ac:dyDescent="0.2">
      <c r="E607" s="15"/>
      <c r="F607" s="359"/>
      <c r="S607" s="360"/>
      <c r="T607" s="360"/>
      <c r="U607" s="360"/>
      <c r="V607" s="360"/>
      <c r="W607" s="360"/>
      <c r="X607" s="360"/>
      <c r="Y607" s="360"/>
      <c r="Z607" s="360"/>
      <c r="AA607" s="183"/>
      <c r="AB607" s="361"/>
      <c r="AC607" s="15"/>
      <c r="AE607" s="15"/>
      <c r="AF607" s="15"/>
      <c r="AG607" s="15"/>
      <c r="AH607" s="15"/>
      <c r="AI607" s="15"/>
      <c r="AJ607" s="15"/>
      <c r="AK607" s="15"/>
    </row>
    <row r="608" spans="5:37" ht="14.25" x14ac:dyDescent="0.2">
      <c r="E608" s="15"/>
      <c r="F608" s="359"/>
      <c r="S608" s="360"/>
      <c r="T608" s="360"/>
      <c r="U608" s="360"/>
      <c r="V608" s="360"/>
      <c r="W608" s="360"/>
      <c r="X608" s="360"/>
      <c r="Y608" s="360"/>
      <c r="Z608" s="360"/>
      <c r="AA608" s="183"/>
      <c r="AB608" s="361"/>
      <c r="AC608" s="15"/>
      <c r="AE608" s="15"/>
      <c r="AF608" s="15"/>
      <c r="AG608" s="15"/>
      <c r="AH608" s="15"/>
      <c r="AI608" s="15"/>
      <c r="AJ608" s="15"/>
      <c r="AK608" s="15"/>
    </row>
    <row r="609" spans="5:37" ht="14.25" x14ac:dyDescent="0.2">
      <c r="E609" s="15"/>
      <c r="F609" s="359"/>
      <c r="S609" s="360"/>
      <c r="T609" s="360"/>
      <c r="U609" s="360"/>
      <c r="V609" s="360"/>
      <c r="W609" s="360"/>
      <c r="X609" s="360"/>
      <c r="Y609" s="360"/>
      <c r="Z609" s="360"/>
      <c r="AA609" s="183"/>
      <c r="AB609" s="361"/>
      <c r="AC609" s="15"/>
      <c r="AE609" s="15"/>
      <c r="AF609" s="15"/>
      <c r="AG609" s="15"/>
      <c r="AH609" s="15"/>
      <c r="AI609" s="15"/>
      <c r="AJ609" s="15"/>
      <c r="AK609" s="15"/>
    </row>
    <row r="610" spans="5:37" ht="14.25" x14ac:dyDescent="0.2">
      <c r="E610" s="15"/>
      <c r="F610" s="359"/>
      <c r="S610" s="360"/>
      <c r="T610" s="360"/>
      <c r="U610" s="360"/>
      <c r="V610" s="360"/>
      <c r="W610" s="360"/>
      <c r="X610" s="360"/>
      <c r="Y610" s="360"/>
      <c r="Z610" s="360"/>
      <c r="AA610" s="183"/>
      <c r="AB610" s="361"/>
      <c r="AC610" s="15"/>
      <c r="AE610" s="15"/>
      <c r="AF610" s="15"/>
      <c r="AG610" s="15"/>
      <c r="AH610" s="15"/>
      <c r="AI610" s="15"/>
      <c r="AJ610" s="15"/>
      <c r="AK610" s="15"/>
    </row>
    <row r="611" spans="5:37" ht="14.25" x14ac:dyDescent="0.2">
      <c r="E611" s="15"/>
      <c r="F611" s="359"/>
      <c r="S611" s="360"/>
      <c r="T611" s="360"/>
      <c r="U611" s="360"/>
      <c r="V611" s="360"/>
      <c r="W611" s="360"/>
      <c r="X611" s="360"/>
      <c r="Y611" s="360"/>
      <c r="Z611" s="360"/>
      <c r="AA611" s="183"/>
      <c r="AB611" s="361"/>
      <c r="AC611" s="15"/>
      <c r="AE611" s="15"/>
      <c r="AF611" s="15"/>
      <c r="AG611" s="15"/>
      <c r="AH611" s="15"/>
      <c r="AI611" s="15"/>
      <c r="AJ611" s="15"/>
      <c r="AK611" s="15"/>
    </row>
    <row r="612" spans="5:37" ht="14.25" x14ac:dyDescent="0.2">
      <c r="E612" s="15"/>
      <c r="F612" s="359"/>
      <c r="S612" s="360"/>
      <c r="T612" s="360"/>
      <c r="U612" s="360"/>
      <c r="V612" s="360"/>
      <c r="W612" s="360"/>
      <c r="X612" s="360"/>
      <c r="Y612" s="360"/>
      <c r="Z612" s="360"/>
      <c r="AA612" s="183"/>
      <c r="AB612" s="361"/>
      <c r="AC612" s="15"/>
      <c r="AE612" s="15"/>
      <c r="AF612" s="15"/>
      <c r="AG612" s="15"/>
      <c r="AH612" s="15"/>
      <c r="AI612" s="15"/>
      <c r="AJ612" s="15"/>
      <c r="AK612" s="15"/>
    </row>
    <row r="613" spans="5:37" ht="14.25" x14ac:dyDescent="0.2">
      <c r="E613" s="15"/>
      <c r="F613" s="359"/>
      <c r="S613" s="360"/>
      <c r="T613" s="360"/>
      <c r="U613" s="360"/>
      <c r="V613" s="360"/>
      <c r="W613" s="360"/>
      <c r="X613" s="360"/>
      <c r="Y613" s="360"/>
      <c r="Z613" s="360"/>
      <c r="AA613" s="183"/>
      <c r="AB613" s="361"/>
      <c r="AC613" s="15"/>
      <c r="AE613" s="15"/>
      <c r="AF613" s="15"/>
      <c r="AG613" s="15"/>
      <c r="AH613" s="15"/>
      <c r="AI613" s="15"/>
      <c r="AJ613" s="15"/>
      <c r="AK613" s="15"/>
    </row>
    <row r="614" spans="5:37" ht="14.25" x14ac:dyDescent="0.2">
      <c r="E614" s="15"/>
      <c r="F614" s="359"/>
      <c r="S614" s="360"/>
      <c r="T614" s="360"/>
      <c r="U614" s="360"/>
      <c r="V614" s="360"/>
      <c r="W614" s="360"/>
      <c r="X614" s="360"/>
      <c r="Y614" s="360"/>
      <c r="Z614" s="360"/>
      <c r="AA614" s="183"/>
      <c r="AB614" s="361"/>
      <c r="AC614" s="15"/>
      <c r="AE614" s="15"/>
      <c r="AF614" s="15"/>
      <c r="AG614" s="15"/>
      <c r="AH614" s="15"/>
      <c r="AI614" s="15"/>
      <c r="AJ614" s="15"/>
      <c r="AK614" s="15"/>
    </row>
    <row r="615" spans="5:37" ht="14.25" x14ac:dyDescent="0.2">
      <c r="E615" s="15"/>
      <c r="F615" s="359"/>
      <c r="S615" s="360"/>
      <c r="T615" s="360"/>
      <c r="U615" s="360"/>
      <c r="V615" s="360"/>
      <c r="W615" s="360"/>
      <c r="X615" s="360"/>
      <c r="Y615" s="360"/>
      <c r="Z615" s="360"/>
      <c r="AA615" s="183"/>
      <c r="AB615" s="361"/>
      <c r="AC615" s="15"/>
      <c r="AE615" s="15"/>
      <c r="AF615" s="15"/>
      <c r="AG615" s="15"/>
      <c r="AH615" s="15"/>
      <c r="AI615" s="15"/>
      <c r="AJ615" s="15"/>
      <c r="AK615" s="15"/>
    </row>
    <row r="616" spans="5:37" ht="14.25" x14ac:dyDescent="0.2">
      <c r="E616" s="15"/>
      <c r="F616" s="359"/>
      <c r="S616" s="360"/>
      <c r="T616" s="360"/>
      <c r="U616" s="360"/>
      <c r="V616" s="360"/>
      <c r="W616" s="360"/>
      <c r="X616" s="360"/>
      <c r="Y616" s="360"/>
      <c r="Z616" s="360"/>
      <c r="AA616" s="183"/>
      <c r="AB616" s="361"/>
      <c r="AC616" s="15"/>
      <c r="AE616" s="15"/>
      <c r="AF616" s="15"/>
      <c r="AG616" s="15"/>
      <c r="AH616" s="15"/>
      <c r="AI616" s="15"/>
      <c r="AJ616" s="15"/>
      <c r="AK616" s="15"/>
    </row>
    <row r="617" spans="5:37" ht="14.25" x14ac:dyDescent="0.2">
      <c r="E617" s="15"/>
      <c r="F617" s="359"/>
      <c r="S617" s="360"/>
      <c r="T617" s="360"/>
      <c r="U617" s="360"/>
      <c r="V617" s="360"/>
      <c r="W617" s="360"/>
      <c r="X617" s="360"/>
      <c r="Y617" s="360"/>
      <c r="Z617" s="360"/>
      <c r="AA617" s="183"/>
      <c r="AB617" s="361"/>
      <c r="AC617" s="15"/>
      <c r="AE617" s="15"/>
      <c r="AF617" s="15"/>
      <c r="AG617" s="15"/>
      <c r="AH617" s="15"/>
      <c r="AI617" s="15"/>
      <c r="AJ617" s="15"/>
      <c r="AK617" s="15"/>
    </row>
    <row r="618" spans="5:37" ht="14.25" x14ac:dyDescent="0.2">
      <c r="E618" s="15"/>
      <c r="F618" s="359"/>
      <c r="S618" s="360"/>
      <c r="T618" s="360"/>
      <c r="U618" s="360"/>
      <c r="V618" s="360"/>
      <c r="W618" s="360"/>
      <c r="X618" s="360"/>
      <c r="Y618" s="360"/>
      <c r="Z618" s="360"/>
      <c r="AA618" s="183"/>
      <c r="AB618" s="361"/>
      <c r="AC618" s="15"/>
      <c r="AE618" s="15"/>
      <c r="AF618" s="15"/>
      <c r="AG618" s="15"/>
      <c r="AH618" s="15"/>
      <c r="AI618" s="15"/>
      <c r="AJ618" s="15"/>
      <c r="AK618" s="15"/>
    </row>
    <row r="619" spans="5:37" ht="14.25" x14ac:dyDescent="0.2">
      <c r="E619" s="15"/>
      <c r="F619" s="359"/>
      <c r="S619" s="360"/>
      <c r="T619" s="360"/>
      <c r="U619" s="360"/>
      <c r="V619" s="360"/>
      <c r="W619" s="360"/>
      <c r="X619" s="360"/>
      <c r="Y619" s="360"/>
      <c r="Z619" s="360"/>
      <c r="AA619" s="183"/>
      <c r="AB619" s="361"/>
      <c r="AC619" s="15"/>
      <c r="AE619" s="15"/>
      <c r="AF619" s="15"/>
      <c r="AG619" s="15"/>
      <c r="AH619" s="15"/>
      <c r="AI619" s="15"/>
      <c r="AJ619" s="15"/>
      <c r="AK619" s="15"/>
    </row>
    <row r="620" spans="5:37" ht="14.25" x14ac:dyDescent="0.2">
      <c r="E620" s="15"/>
      <c r="F620" s="359"/>
      <c r="S620" s="360"/>
      <c r="T620" s="360"/>
      <c r="U620" s="360"/>
      <c r="V620" s="360"/>
      <c r="W620" s="360"/>
      <c r="X620" s="360"/>
      <c r="Y620" s="360"/>
      <c r="Z620" s="360"/>
      <c r="AA620" s="183"/>
      <c r="AB620" s="361"/>
      <c r="AC620" s="15"/>
      <c r="AE620" s="15"/>
      <c r="AF620" s="15"/>
      <c r="AG620" s="15"/>
      <c r="AH620" s="15"/>
      <c r="AI620" s="15"/>
      <c r="AJ620" s="15"/>
      <c r="AK620" s="15"/>
    </row>
    <row r="621" spans="5:37" ht="14.25" x14ac:dyDescent="0.2">
      <c r="E621" s="15"/>
      <c r="F621" s="359"/>
      <c r="S621" s="360"/>
      <c r="T621" s="360"/>
      <c r="U621" s="360"/>
      <c r="V621" s="360"/>
      <c r="W621" s="360"/>
      <c r="X621" s="360"/>
      <c r="Y621" s="360"/>
      <c r="Z621" s="360"/>
      <c r="AA621" s="183"/>
      <c r="AB621" s="361"/>
      <c r="AC621" s="15"/>
      <c r="AE621" s="15"/>
      <c r="AF621" s="15"/>
      <c r="AG621" s="15"/>
      <c r="AH621" s="15"/>
      <c r="AI621" s="15"/>
      <c r="AJ621" s="15"/>
      <c r="AK621" s="15"/>
    </row>
    <row r="622" spans="5:37" ht="14.25" x14ac:dyDescent="0.2">
      <c r="E622" s="15"/>
      <c r="F622" s="359"/>
      <c r="S622" s="360"/>
      <c r="T622" s="360"/>
      <c r="U622" s="360"/>
      <c r="V622" s="360"/>
      <c r="W622" s="360"/>
      <c r="X622" s="360"/>
      <c r="Y622" s="360"/>
      <c r="Z622" s="360"/>
      <c r="AA622" s="183"/>
      <c r="AB622" s="361"/>
      <c r="AC622" s="15"/>
      <c r="AE622" s="15"/>
      <c r="AF622" s="15"/>
      <c r="AG622" s="15"/>
      <c r="AH622" s="15"/>
      <c r="AI622" s="15"/>
      <c r="AJ622" s="15"/>
      <c r="AK622" s="15"/>
    </row>
    <row r="623" spans="5:37" ht="14.25" x14ac:dyDescent="0.2">
      <c r="E623" s="15"/>
      <c r="F623" s="359"/>
      <c r="S623" s="360"/>
      <c r="T623" s="360"/>
      <c r="U623" s="360"/>
      <c r="V623" s="360"/>
      <c r="W623" s="360"/>
      <c r="X623" s="360"/>
      <c r="Y623" s="360"/>
      <c r="Z623" s="360"/>
      <c r="AA623" s="183"/>
      <c r="AB623" s="361"/>
      <c r="AC623" s="15"/>
      <c r="AE623" s="15"/>
      <c r="AF623" s="15"/>
      <c r="AG623" s="15"/>
      <c r="AH623" s="15"/>
      <c r="AI623" s="15"/>
      <c r="AJ623" s="15"/>
      <c r="AK623" s="15"/>
    </row>
    <row r="624" spans="5:37" ht="14.25" x14ac:dyDescent="0.2">
      <c r="E624" s="15"/>
      <c r="F624" s="359"/>
      <c r="S624" s="360"/>
      <c r="T624" s="360"/>
      <c r="U624" s="360"/>
      <c r="V624" s="360"/>
      <c r="W624" s="360"/>
      <c r="X624" s="360"/>
      <c r="Y624" s="360"/>
      <c r="Z624" s="360"/>
      <c r="AA624" s="183"/>
      <c r="AB624" s="361"/>
      <c r="AC624" s="15"/>
      <c r="AE624" s="15"/>
      <c r="AF624" s="15"/>
      <c r="AG624" s="15"/>
      <c r="AH624" s="15"/>
      <c r="AI624" s="15"/>
      <c r="AJ624" s="15"/>
      <c r="AK624" s="15"/>
    </row>
    <row r="625" spans="5:37" ht="14.25" x14ac:dyDescent="0.2">
      <c r="E625" s="15"/>
      <c r="F625" s="359"/>
      <c r="S625" s="360"/>
      <c r="T625" s="360"/>
      <c r="U625" s="360"/>
      <c r="V625" s="360"/>
      <c r="W625" s="360"/>
      <c r="X625" s="360"/>
      <c r="Y625" s="360"/>
      <c r="Z625" s="360"/>
      <c r="AA625" s="183"/>
      <c r="AB625" s="361"/>
      <c r="AC625" s="15"/>
      <c r="AE625" s="15"/>
      <c r="AF625" s="15"/>
      <c r="AG625" s="15"/>
      <c r="AH625" s="15"/>
      <c r="AI625" s="15"/>
      <c r="AJ625" s="15"/>
      <c r="AK625" s="15"/>
    </row>
    <row r="626" spans="5:37" ht="14.25" x14ac:dyDescent="0.2">
      <c r="E626" s="15"/>
      <c r="F626" s="359"/>
      <c r="S626" s="360"/>
      <c r="T626" s="360"/>
      <c r="U626" s="360"/>
      <c r="V626" s="360"/>
      <c r="W626" s="360"/>
      <c r="X626" s="360"/>
      <c r="Y626" s="360"/>
      <c r="Z626" s="360"/>
      <c r="AA626" s="183"/>
      <c r="AB626" s="361"/>
      <c r="AC626" s="15"/>
      <c r="AE626" s="15"/>
      <c r="AF626" s="15"/>
      <c r="AG626" s="15"/>
      <c r="AH626" s="15"/>
      <c r="AI626" s="15"/>
      <c r="AJ626" s="15"/>
      <c r="AK626" s="15"/>
    </row>
    <row r="627" spans="5:37" ht="14.25" x14ac:dyDescent="0.2">
      <c r="E627" s="15"/>
      <c r="F627" s="359"/>
      <c r="S627" s="360"/>
      <c r="T627" s="360"/>
      <c r="U627" s="360"/>
      <c r="V627" s="360"/>
      <c r="W627" s="360"/>
      <c r="X627" s="360"/>
      <c r="Y627" s="360"/>
      <c r="Z627" s="360"/>
      <c r="AA627" s="183"/>
      <c r="AB627" s="361"/>
      <c r="AC627" s="15"/>
      <c r="AE627" s="15"/>
      <c r="AF627" s="15"/>
      <c r="AG627" s="15"/>
      <c r="AH627" s="15"/>
      <c r="AI627" s="15"/>
      <c r="AJ627" s="15"/>
      <c r="AK627" s="15"/>
    </row>
    <row r="628" spans="5:37" ht="14.25" x14ac:dyDescent="0.2">
      <c r="E628" s="15"/>
      <c r="F628" s="359"/>
      <c r="S628" s="360"/>
      <c r="T628" s="360"/>
      <c r="U628" s="360"/>
      <c r="V628" s="360"/>
      <c r="W628" s="360"/>
      <c r="X628" s="360"/>
      <c r="Y628" s="360"/>
      <c r="Z628" s="360"/>
      <c r="AA628" s="183"/>
      <c r="AB628" s="361"/>
      <c r="AC628" s="15"/>
      <c r="AE628" s="15"/>
      <c r="AF628" s="15"/>
      <c r="AG628" s="15"/>
      <c r="AH628" s="15"/>
      <c r="AI628" s="15"/>
      <c r="AJ628" s="15"/>
      <c r="AK628" s="15"/>
    </row>
  </sheetData>
  <sheetProtection algorithmName="SHA-512" hashValue="ZnHS4ZMAMuPwpLuEIIoGw0Cr2O3qS9Paf3jnVpVsEHLi8Fz0WvMDc/EC0CDmYiUR6B1h5G9s6uMwrGPt8xTR1A==" saltValue="QVCbCSNG7weFCUUfPxlOcg==" spinCount="100000" sheet="1" objects="1" scenarios="1" formatColumns="0" formatRows="0" autoFilter="0"/>
  <autoFilter ref="A30:AM501"/>
  <mergeCells count="1">
    <mergeCell ref="A1:AE2"/>
  </mergeCells>
  <conditionalFormatting sqref="AD31:AD500">
    <cfRule type="expression" dxfId="21" priority="3">
      <formula>AD31="לא זכאי לתמיכה"</formula>
    </cfRule>
    <cfRule type="expression" dxfId="20" priority="4">
      <formula>AD31="זכאי לתמיכה"</formula>
    </cfRule>
  </conditionalFormatting>
  <conditionalFormatting sqref="O32:O500">
    <cfRule type="expression" dxfId="19" priority="1">
      <formula>O32=0</formula>
    </cfRule>
    <cfRule type="expression" dxfId="18" priority="2">
      <formula>O32=1</formula>
    </cfRule>
  </conditionalFormatting>
  <dataValidations count="1">
    <dataValidation type="list" allowBlank="1" showInputMessage="1" showErrorMessage="1" sqref="AE31:AE500">
      <formula1>"0,1"</formula1>
    </dataValidation>
  </dataValidations>
  <pageMargins left="0.31496062992125984" right="0.31496062992125984" top="0.74803149606299213" bottom="0.74803149606299213" header="0.31496062992125984" footer="0.31496062992125984"/>
  <pageSetup paperSize="9" scale="33" orientation="landscape" r:id="rId1"/>
  <headerFooter>
    <oddHeader>&amp;L&amp;D</oddHeader>
    <oddFooter>&amp;Lא חפץ ייעוץ כלכלי&amp;C&amp;P</oddFooter>
  </headerFooter>
  <colBreaks count="1" manualBreakCount="1">
    <brk id="25" max="500"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7">
    <tabColor theme="8" tint="-0.249977111117893"/>
  </sheetPr>
  <dimension ref="A1:GY501"/>
  <sheetViews>
    <sheetView rightToLeft="1" view="pageBreakPreview" topLeftCell="B1" zoomScale="80" zoomScaleNormal="100" zoomScaleSheetLayoutView="80" workbookViewId="0">
      <pane ySplit="30" topLeftCell="A31" activePane="bottomLeft" state="frozen"/>
      <selection activeCell="C4" sqref="C4"/>
      <selection pane="bottomLeft" activeCell="D35" sqref="D35"/>
    </sheetView>
  </sheetViews>
  <sheetFormatPr defaultColWidth="7.375" defaultRowHeight="15" x14ac:dyDescent="0.2"/>
  <cols>
    <col min="1" max="1" width="7.375" style="305" hidden="1" customWidth="1"/>
    <col min="2" max="2" width="8" style="305" customWidth="1"/>
    <col min="3" max="3" width="12.375" style="305" bestFit="1" customWidth="1"/>
    <col min="4" max="4" width="13.5" style="305" bestFit="1" customWidth="1"/>
    <col min="5" max="5" width="10.875" style="305" bestFit="1" customWidth="1"/>
    <col min="6" max="6" width="10.125" style="305" bestFit="1" customWidth="1"/>
    <col min="7" max="7" width="13.75" style="305" bestFit="1" customWidth="1"/>
    <col min="8" max="8" width="32.125" style="305" bestFit="1" customWidth="1"/>
    <col min="9" max="9" width="14.625" style="305" customWidth="1"/>
    <col min="10" max="10" width="13.375" style="305" bestFit="1" customWidth="1"/>
    <col min="11" max="11" width="9.375" style="305" customWidth="1"/>
    <col min="12" max="12" width="14.625" style="305" bestFit="1" customWidth="1"/>
    <col min="13" max="13" width="14.625" style="305" customWidth="1"/>
    <col min="14" max="26" width="22" style="305" hidden="1" customWidth="1"/>
    <col min="27" max="27" width="13.5" style="305" customWidth="1"/>
    <col min="28" max="31" width="8.375" style="305" hidden="1" customWidth="1"/>
    <col min="32" max="32" width="8.625" style="305" customWidth="1"/>
    <col min="33" max="206" width="7.375" style="305" hidden="1" customWidth="1"/>
    <col min="207" max="207" width="9.125" style="305" bestFit="1" customWidth="1"/>
    <col min="208" max="16384" width="7.375" style="305"/>
  </cols>
  <sheetData>
    <row r="1" spans="8:40" ht="18" x14ac:dyDescent="0.2">
      <c r="H1" s="304" t="str">
        <f>'תחום תמיכה ב'!E3</f>
        <v>שנת תקציב</v>
      </c>
      <c r="I1" s="130">
        <v>2020</v>
      </c>
      <c r="AN1" s="305" t="s">
        <v>317</v>
      </c>
    </row>
    <row r="2" spans="8:40" ht="18.75" thickBot="1" x14ac:dyDescent="0.3">
      <c r="H2" s="306" t="s">
        <v>1133</v>
      </c>
      <c r="I2" s="136">
        <f>J501-L501</f>
        <v>14565642.374225378</v>
      </c>
      <c r="K2" s="434" t="str">
        <f>IF(AND(AA501&lt;&gt;0,I2&gt;AA501),"נא לשים לב כי לא חולק סך התקציב בשל הגבולת לסכום מבוקש","")</f>
        <v/>
      </c>
      <c r="L2" s="435"/>
      <c r="M2" s="435"/>
      <c r="N2" s="435"/>
      <c r="O2" s="435"/>
      <c r="P2" s="435"/>
      <c r="Q2" s="435"/>
      <c r="R2" s="435"/>
      <c r="S2" s="435"/>
      <c r="T2" s="435"/>
      <c r="U2" s="435"/>
      <c r="V2" s="435"/>
      <c r="W2" s="435"/>
      <c r="X2" s="435"/>
      <c r="Y2" s="435"/>
      <c r="Z2" s="435"/>
      <c r="AA2" s="435"/>
    </row>
    <row r="3" spans="8:40" ht="20.25" x14ac:dyDescent="0.2">
      <c r="H3" s="307" t="str">
        <f>IF(SUBTOTAL(102,B$31:B$500)=SUBTOTAL(2,B$31:B$500),"","ישנן שורות מוסתרות")</f>
        <v/>
      </c>
      <c r="I3" s="308"/>
    </row>
    <row r="4" spans="8:40" ht="15.75" thickBot="1" x14ac:dyDescent="0.25"/>
    <row r="5" spans="8:40" ht="13.5" hidden="1" customHeight="1" x14ac:dyDescent="0.2"/>
    <row r="6" spans="8:40" ht="15.75" hidden="1" thickBot="1" x14ac:dyDescent="0.25"/>
    <row r="7" spans="8:40" ht="15.75" hidden="1" thickBot="1" x14ac:dyDescent="0.25"/>
    <row r="8" spans="8:40" ht="15.75" hidden="1" thickBot="1" x14ac:dyDescent="0.25"/>
    <row r="9" spans="8:40" ht="15.75" hidden="1" thickBot="1" x14ac:dyDescent="0.25"/>
    <row r="10" spans="8:40" ht="15.75" hidden="1" thickBot="1" x14ac:dyDescent="0.25"/>
    <row r="11" spans="8:40" ht="15.75" hidden="1" thickBot="1" x14ac:dyDescent="0.25"/>
    <row r="12" spans="8:40" ht="15.75" hidden="1" thickBot="1" x14ac:dyDescent="0.25"/>
    <row r="13" spans="8:40" ht="15.75" hidden="1" thickBot="1" x14ac:dyDescent="0.25"/>
    <row r="14" spans="8:40" ht="15.75" hidden="1" thickBot="1" x14ac:dyDescent="0.25"/>
    <row r="15" spans="8:40" ht="15.75" hidden="1" thickBot="1" x14ac:dyDescent="0.25"/>
    <row r="16" spans="8:40" ht="15.75" hidden="1" thickBot="1" x14ac:dyDescent="0.25"/>
    <row r="17" spans="2:35" ht="15.75" hidden="1" thickBot="1" x14ac:dyDescent="0.25"/>
    <row r="18" spans="2:35" ht="15.75" hidden="1" thickBot="1" x14ac:dyDescent="0.25"/>
    <row r="19" spans="2:35" ht="15.75" hidden="1" thickBot="1" x14ac:dyDescent="0.25"/>
    <row r="20" spans="2:35" ht="15.75" hidden="1" thickBot="1" x14ac:dyDescent="0.25"/>
    <row r="21" spans="2:35" ht="15.75" hidden="1" thickBot="1" x14ac:dyDescent="0.25"/>
    <row r="22" spans="2:35" ht="15.75" hidden="1" thickBot="1" x14ac:dyDescent="0.25"/>
    <row r="23" spans="2:35" ht="15.75" hidden="1" thickBot="1" x14ac:dyDescent="0.25"/>
    <row r="24" spans="2:35" ht="15.75" hidden="1" thickBot="1" x14ac:dyDescent="0.25"/>
    <row r="25" spans="2:35" ht="15.75" hidden="1" thickBot="1" x14ac:dyDescent="0.25"/>
    <row r="26" spans="2:35" ht="15.75" hidden="1" thickBot="1" x14ac:dyDescent="0.25"/>
    <row r="27" spans="2:35" ht="15.75" hidden="1" thickBot="1" x14ac:dyDescent="0.25"/>
    <row r="28" spans="2:35" ht="18.75" customHeight="1" thickBot="1" x14ac:dyDescent="0.25">
      <c r="B28" s="436" t="str">
        <f ca="1">MID(CELL("filename",B29),FIND("]",CELL("filename",H29),1)+1,99)</f>
        <v xml:space="preserve">הגבלה לסכום מבוקש </v>
      </c>
      <c r="C28" s="437"/>
      <c r="D28" s="437"/>
      <c r="E28" s="437"/>
      <c r="F28" s="437"/>
      <c r="G28" s="437"/>
      <c r="H28" s="438"/>
      <c r="I28" s="438"/>
      <c r="J28" s="438"/>
      <c r="K28" s="438"/>
      <c r="L28" s="438"/>
      <c r="M28" s="438"/>
      <c r="N28" s="438"/>
      <c r="O28" s="438"/>
      <c r="P28" s="438"/>
      <c r="Q28" s="438"/>
      <c r="R28" s="438"/>
      <c r="S28" s="438"/>
      <c r="T28" s="438"/>
      <c r="U28" s="438"/>
      <c r="V28" s="438"/>
      <c r="W28" s="438"/>
      <c r="X28" s="438"/>
      <c r="Y28" s="438"/>
      <c r="Z28" s="438"/>
      <c r="AA28" s="438"/>
      <c r="AB28" s="438"/>
      <c r="AC28" s="438"/>
      <c r="AD28" s="438"/>
      <c r="AE28" s="438"/>
      <c r="AF28" s="439"/>
    </row>
    <row r="29" spans="2:35" s="312" customFormat="1" ht="45" customHeight="1" x14ac:dyDescent="0.25">
      <c r="B29" s="440" t="str">
        <f>'סיכום לוועדה'!A30</f>
        <v>מס"ד</v>
      </c>
      <c r="C29" s="328" t="str">
        <f>'סיכום לוועדה'!B30</f>
        <v>מספר בקשה חדשה</v>
      </c>
      <c r="D29" s="328" t="str">
        <f>'סיכום לוועדה'!C30</f>
        <v>מספר בקשה המקורית ל-2020</v>
      </c>
      <c r="E29" s="328" t="str">
        <f>'סיכום לוועדה'!D30</f>
        <v>מספר מרכבה - ספק</v>
      </c>
      <c r="F29" s="328" t="str">
        <f>'סיכום לוועדה'!E30</f>
        <v>מס' מרכבה - רשות</v>
      </c>
      <c r="G29" s="328" t="str">
        <f>'סיכום לוועדה'!F30</f>
        <v>שם הרשות</v>
      </c>
      <c r="H29" s="442" t="str">
        <f>'סיכום לוועדה'!G30</f>
        <v>שם המוסד</v>
      </c>
      <c r="I29" s="309" t="s">
        <v>1112</v>
      </c>
      <c r="J29" s="444" t="s">
        <v>1113</v>
      </c>
      <c r="K29" s="444" t="s">
        <v>1114</v>
      </c>
      <c r="L29" s="444" t="s">
        <v>1115</v>
      </c>
      <c r="M29" s="432" t="s">
        <v>1132</v>
      </c>
      <c r="N29" s="444" t="s">
        <v>1116</v>
      </c>
      <c r="O29" s="310"/>
      <c r="P29" s="310"/>
      <c r="Q29" s="310"/>
      <c r="R29" s="310"/>
      <c r="S29" s="310"/>
      <c r="T29" s="310"/>
      <c r="U29" s="310"/>
      <c r="V29" s="310"/>
      <c r="W29" s="310"/>
      <c r="X29" s="310"/>
      <c r="Y29" s="310"/>
      <c r="Z29" s="310"/>
      <c r="AA29" s="444" t="s">
        <v>1117</v>
      </c>
      <c r="AB29" s="311"/>
      <c r="AC29" s="311"/>
      <c r="AD29" s="311"/>
      <c r="AE29" s="311"/>
      <c r="AF29" s="432" t="s">
        <v>1118</v>
      </c>
      <c r="AI29" s="428" t="s">
        <v>1119</v>
      </c>
    </row>
    <row r="30" spans="2:35" s="312" customFormat="1" ht="30.75" customHeight="1" thickBot="1" x14ac:dyDescent="0.3">
      <c r="B30" s="441"/>
      <c r="C30" s="329"/>
      <c r="D30" s="329"/>
      <c r="E30" s="329"/>
      <c r="F30" s="329"/>
      <c r="G30" s="329"/>
      <c r="H30" s="443"/>
      <c r="I30" s="313" t="s">
        <v>321</v>
      </c>
      <c r="J30" s="445"/>
      <c r="K30" s="445"/>
      <c r="L30" s="445"/>
      <c r="M30" s="433"/>
      <c r="N30" s="445"/>
      <c r="O30" s="314" t="s">
        <v>1120</v>
      </c>
      <c r="P30" s="314" t="s">
        <v>1121</v>
      </c>
      <c r="Q30" s="314" t="s">
        <v>1122</v>
      </c>
      <c r="R30" s="314" t="s">
        <v>1123</v>
      </c>
      <c r="S30" s="314" t="s">
        <v>1124</v>
      </c>
      <c r="T30" s="314" t="s">
        <v>1125</v>
      </c>
      <c r="U30" s="314" t="s">
        <v>1126</v>
      </c>
      <c r="V30" s="314" t="s">
        <v>1127</v>
      </c>
      <c r="W30" s="314" t="s">
        <v>1128</v>
      </c>
      <c r="X30" s="314" t="s">
        <v>1129</v>
      </c>
      <c r="Y30" s="314" t="s">
        <v>1130</v>
      </c>
      <c r="Z30" s="314" t="s">
        <v>1131</v>
      </c>
      <c r="AA30" s="445"/>
      <c r="AB30" s="315"/>
      <c r="AC30" s="315"/>
      <c r="AD30" s="315"/>
      <c r="AE30" s="315"/>
      <c r="AF30" s="433"/>
      <c r="AI30" s="428"/>
    </row>
    <row r="31" spans="2:35" s="312" customFormat="1" ht="15.75" x14ac:dyDescent="0.25">
      <c r="B31" s="316">
        <f>IF(H31="","",ROW()-30)</f>
        <v>1</v>
      </c>
      <c r="C31" s="330">
        <f>'סיכום לוועדה'!B31</f>
        <v>1001346678</v>
      </c>
      <c r="D31" s="330">
        <f>'סיכום לוועדה'!C31</f>
        <v>1001268955</v>
      </c>
      <c r="E31" s="330">
        <f>'סיכום לוועדה'!D31</f>
        <v>40000100</v>
      </c>
      <c r="F31" s="330">
        <f>'סיכום לוועדה'!E31</f>
        <v>20000159</v>
      </c>
      <c r="G31" s="330" t="str">
        <f>'סיכום לוועדה'!F31</f>
        <v>ירושלים</v>
      </c>
      <c r="H31" s="317" t="str">
        <f>'סיכום לוועדה'!G31</f>
        <v>בית עגנון בירושלים</v>
      </c>
      <c r="I31" s="318">
        <f>'סיכום לוועדה'!U31</f>
        <v>1000000</v>
      </c>
      <c r="J31" s="319">
        <f>'סיכום לוועדה'!T31</f>
        <v>280755.32741322322</v>
      </c>
      <c r="K31" s="320">
        <f>IF(H31="","",IF(J31&gt;$I31,1,0))</f>
        <v>0</v>
      </c>
      <c r="L31" s="319">
        <f>IF($H31="","",MIN(I31:J31))</f>
        <v>280755.32741322322</v>
      </c>
      <c r="M31" s="331">
        <f>'תחום תמיכה ב'!AF31</f>
        <v>1.6237020414979755E-3</v>
      </c>
      <c r="N31" s="319">
        <f t="shared" ref="N31:N94" si="0">IF($H31="","",IF(K31=1,L31,M31/SUMIF(K$31:K$500,0,M$31:M$500)*$I$2+J31))</f>
        <v>308414.2991939566</v>
      </c>
      <c r="O31" s="321">
        <f>IF(OR(N31&gt;$I31,$K31=1),1,0)</f>
        <v>0</v>
      </c>
      <c r="P31" s="322">
        <f>IF($H31="","",MIN(N31,$I31))</f>
        <v>308414.2991939566</v>
      </c>
      <c r="Q31" s="322">
        <f>IFERROR(IF($H31="","",IF(O31=1,P31,P31/SUMIF(O$31:O$500,0,P$31:P$500)*($J$501-SUMIF(O$31:O$500,1,P$31:P$500)))),0)</f>
        <v>308554.72836980369</v>
      </c>
      <c r="R31" s="321">
        <f>IF(OR(Q31&gt;$I31,$K31=1,$O31=1),1,0)</f>
        <v>0</v>
      </c>
      <c r="S31" s="322">
        <f>IF($H31="","",MIN(Q31,$I31))</f>
        <v>308554.72836980369</v>
      </c>
      <c r="T31" s="322">
        <f>IFERROR(IF($H31="","",IF(R31=1,S31,S31/SUMIF(R$31:R$500,0,S$31:S$500)*($J$501-SUMIF(R$31:R$500,1,S$31:S$500)))),0)</f>
        <v>308554.72836980311</v>
      </c>
      <c r="U31" s="321">
        <f>IF(OR(T31&gt;$I31,$K31=1,$O31=1,$R31=1),1,0)</f>
        <v>0</v>
      </c>
      <c r="V31" s="322">
        <f>IF($H31="","",MIN(T31,$I31))</f>
        <v>308554.72836980311</v>
      </c>
      <c r="W31" s="322">
        <f>IFERROR(IF($H31="","",IF(U31=2,V31,IF(U31=1,V31,V31/SUMIF(U$31:U$500,0,V$31:V$500)*($J$501-SUMIF(U$31:U$500,1,V$31:V$500)-SUMIF(U$31:U$500,2,V$31:V$500))))),0)</f>
        <v>308554.72836980323</v>
      </c>
      <c r="X31" s="321">
        <f>IF(OR(W31&gt;$I31,$K31=1,$O31=1,$R31=1,$U31=1),1,0)</f>
        <v>0</v>
      </c>
      <c r="Y31" s="322">
        <f>IF($H31="","",MIN(W31,$I31))</f>
        <v>308554.72836980323</v>
      </c>
      <c r="Z31" s="322">
        <f>IFERROR(IF($H31="","",IF(X31=2,Y31,IF(X31=1,Y31,Y31/SUMIF(X$31:X$500,0,Y$31:Y$500)*($J$501-SUMIF(X$31:X$500,1,Y$31:Y$500)-SUMIF(X$31:X$500,2,Y$31:Y$500))))),0)</f>
        <v>308554.72836980317</v>
      </c>
      <c r="AA31" s="323">
        <f>IF($H31="","",IF(AI31=0,$AN$1,IFERROR(Z31,$AN$1)))</f>
        <v>308554.72836980317</v>
      </c>
      <c r="AB31" s="323"/>
      <c r="AC31" s="323"/>
      <c r="AD31" s="323"/>
      <c r="AE31" s="323"/>
      <c r="AF31" s="324">
        <f>IF(H31="","",IFERROR(AA31/SUMIF($AA$31:$AA$500,"&lt;&gt;#DIV/0!"),$AN$1))</f>
        <v>1.7670261482139902E-3</v>
      </c>
      <c r="AI31" s="325">
        <f>IF(H31="",0,IFERROR(IF(I31*1&gt;=0,1,0),0))</f>
        <v>1</v>
      </c>
    </row>
    <row r="32" spans="2:35" s="312" customFormat="1" ht="15.75" x14ac:dyDescent="0.25">
      <c r="B32" s="316">
        <f t="shared" ref="B32:B95" si="1">IF(H32="","",ROW()-30)</f>
        <v>2</v>
      </c>
      <c r="C32" s="330">
        <f>'סיכום לוועדה'!B32</f>
        <v>1001349309</v>
      </c>
      <c r="D32" s="330">
        <f>'סיכום לוועדה'!C32</f>
        <v>1001263928</v>
      </c>
      <c r="E32" s="330">
        <f>'סיכום לוועדה'!D32</f>
        <v>40000096</v>
      </c>
      <c r="F32" s="330">
        <f>'סיכום לוועדה'!E32</f>
        <v>20000254</v>
      </c>
      <c r="G32" s="330" t="str">
        <f>'סיכום לוועדה'!F32</f>
        <v>באר שבע</v>
      </c>
      <c r="H32" s="317" t="str">
        <f>'סיכום לוועדה'!G32</f>
        <v>עמותת הסינפונייטה הישראלית באר שבע</v>
      </c>
      <c r="I32" s="318">
        <f>'סיכום לוועדה'!U32</f>
        <v>2000000</v>
      </c>
      <c r="J32" s="319">
        <f>'סיכום לוועדה'!T32</f>
        <v>297577.94359339646</v>
      </c>
      <c r="K32" s="320">
        <f t="shared" ref="K32:K95" si="2">IF(H32="","",IF(J32&gt;$I32,1,0))</f>
        <v>0</v>
      </c>
      <c r="L32" s="319">
        <f t="shared" ref="L32:L95" si="3">IF($H32="","",MIN(I32:J32))</f>
        <v>297577.94359339646</v>
      </c>
      <c r="M32" s="331">
        <f>'תחום תמיכה ב'!AF32</f>
        <v>1.3106338952769037E-3</v>
      </c>
      <c r="N32" s="319">
        <f t="shared" si="0"/>
        <v>319903.95230549533</v>
      </c>
      <c r="O32" s="321">
        <f t="shared" ref="O32:O95" si="4">IF(OR(N32&gt;$I32,$K32=1),1,0)</f>
        <v>0</v>
      </c>
      <c r="P32" s="322">
        <f t="shared" ref="P32:P95" si="5">IF($H32="","",MIN(N32,$I32))</f>
        <v>319903.95230549533</v>
      </c>
      <c r="Q32" s="322">
        <f t="shared" ref="Q32:Q95" si="6">IFERROR(IF($H32="","",IF(O32=1,P32,P32/SUMIF(O$31:O$500,0,P$31:P$500)*($J$501-SUMIF(O$31:O$500,1,P$31:P$500)))),0)</f>
        <v>320049.6130238534</v>
      </c>
      <c r="R32" s="321">
        <f t="shared" ref="R32:R95" si="7">IF(OR(Q32&gt;$I32,$K32=1,$O32=1),1,0)</f>
        <v>0</v>
      </c>
      <c r="S32" s="322">
        <f t="shared" ref="S32:S95" si="8">IF($H32="","",MIN(Q32,$I32))</f>
        <v>320049.6130238534</v>
      </c>
      <c r="T32" s="322">
        <f t="shared" ref="T32:T95" si="9">IFERROR(IF($H32="","",IF(R32=1,S32,S32/SUMIF(R$31:R$500,0,S$31:S$500)*($J$501-SUMIF(R$31:R$500,1,S$31:S$500)))),0)</f>
        <v>320049.61302385275</v>
      </c>
      <c r="U32" s="321">
        <f t="shared" ref="U32:U95" si="10">IF(OR(T32&gt;$I32,$K32=1,$O32=1,$R32=1),1,0)</f>
        <v>0</v>
      </c>
      <c r="V32" s="322">
        <f t="shared" ref="V32:V95" si="11">IF($H32="","",MIN(T32,$I32))</f>
        <v>320049.61302385275</v>
      </c>
      <c r="W32" s="322">
        <f t="shared" ref="W32:W95" si="12">IFERROR(IF($H32="","",IF(U32=2,V32,IF(U32=1,V32,V32/SUMIF(U$31:U$500,0,V$31:V$500)*($J$501-SUMIF(U$31:U$500,1,V$31:V$500)-SUMIF(U$31:U$500,2,V$31:V$500))))),0)</f>
        <v>320049.61302385287</v>
      </c>
      <c r="X32" s="321">
        <f t="shared" ref="X32:X95" si="13">IF(OR(W32&gt;$I32,$K32=1,$O32=1,$R32=1,$U32=1),1,0)</f>
        <v>0</v>
      </c>
      <c r="Y32" s="322">
        <f t="shared" ref="Y32:Y95" si="14">IF($H32="","",MIN(W32,$I32))</f>
        <v>320049.61302385287</v>
      </c>
      <c r="Z32" s="322">
        <f t="shared" ref="Z32:Z95" si="15">IFERROR(IF($H32="","",IF(X32=2,Y32,IF(X32=1,Y32,Y32/SUMIF(X$31:X$500,0,Y$31:Y$500)*($J$501-SUMIF(X$31:X$500,1,Y$31:Y$500)-SUMIF(X$31:X$500,2,Y$31:Y$500))))),0)</f>
        <v>320049.61302385281</v>
      </c>
      <c r="AA32" s="323">
        <f t="shared" ref="AA32:AA95" si="16">IF($H32="","",IF(AI32=0,$AN$1,IFERROR(Z32,$AN$1)))</f>
        <v>320049.61302385281</v>
      </c>
      <c r="AB32" s="323"/>
      <c r="AC32" s="323"/>
      <c r="AD32" s="323"/>
      <c r="AE32" s="323"/>
      <c r="AF32" s="324">
        <f t="shared" ref="AF32:AF95" si="17">IF(H32="","",IFERROR(AA32/SUMIF($AA$31:$AA$500,"&lt;&gt;#DIV/0!"),$AN$1))</f>
        <v>1.8328548647652588E-3</v>
      </c>
      <c r="AI32" s="325">
        <f t="shared" ref="AI32:AI95" si="18">IF(H32="",0,IFERROR(IF(I32*1&gt;=0,1,0),0))</f>
        <v>1</v>
      </c>
    </row>
    <row r="33" spans="2:207" s="312" customFormat="1" ht="15.75" x14ac:dyDescent="0.25">
      <c r="B33" s="316">
        <f t="shared" si="1"/>
        <v>3</v>
      </c>
      <c r="C33" s="330">
        <f>'סיכום לוועדה'!B33</f>
        <v>1001347990</v>
      </c>
      <c r="D33" s="330">
        <f>'סיכום לוועדה'!C33</f>
        <v>1001263876</v>
      </c>
      <c r="E33" s="330">
        <f>'סיכום לוועדה'!D33</f>
        <v>40000104</v>
      </c>
      <c r="F33" s="330">
        <f>'סיכום לוועדה'!E33</f>
        <v>20000250</v>
      </c>
      <c r="G33" s="330" t="str">
        <f>'סיכום לוועדה'!F33</f>
        <v>רמת גן</v>
      </c>
      <c r="H33" s="317" t="str">
        <f>'סיכום לוועדה'!G33</f>
        <v>בית צבי ביה"ס לאומנויות הבמה</v>
      </c>
      <c r="I33" s="318">
        <f>'סיכום לוועדה'!U33</f>
        <v>250000</v>
      </c>
      <c r="J33" s="319">
        <f>'סיכום לוועדה'!T33</f>
        <v>899191.52069155627</v>
      </c>
      <c r="K33" s="320">
        <f t="shared" si="2"/>
        <v>1</v>
      </c>
      <c r="L33" s="319">
        <f t="shared" si="3"/>
        <v>250000</v>
      </c>
      <c r="M33" s="331">
        <f>'תחום תמיכה ב'!AF33</f>
        <v>5.4782387695820533E-3</v>
      </c>
      <c r="N33" s="319">
        <f t="shared" si="0"/>
        <v>250000</v>
      </c>
      <c r="O33" s="321">
        <f t="shared" si="4"/>
        <v>1</v>
      </c>
      <c r="P33" s="322">
        <f t="shared" si="5"/>
        <v>250000</v>
      </c>
      <c r="Q33" s="322">
        <f t="shared" si="6"/>
        <v>250000</v>
      </c>
      <c r="R33" s="321">
        <f t="shared" si="7"/>
        <v>1</v>
      </c>
      <c r="S33" s="322">
        <f t="shared" si="8"/>
        <v>250000</v>
      </c>
      <c r="T33" s="322">
        <f t="shared" si="9"/>
        <v>250000</v>
      </c>
      <c r="U33" s="321">
        <f t="shared" si="10"/>
        <v>1</v>
      </c>
      <c r="V33" s="322">
        <f t="shared" si="11"/>
        <v>250000</v>
      </c>
      <c r="W33" s="322">
        <f t="shared" si="12"/>
        <v>250000</v>
      </c>
      <c r="X33" s="321">
        <f t="shared" si="13"/>
        <v>1</v>
      </c>
      <c r="Y33" s="322">
        <f t="shared" si="14"/>
        <v>250000</v>
      </c>
      <c r="Z33" s="322">
        <f t="shared" si="15"/>
        <v>250000</v>
      </c>
      <c r="AA33" s="323">
        <f t="shared" si="16"/>
        <v>250000</v>
      </c>
      <c r="AB33" s="323"/>
      <c r="AC33" s="323"/>
      <c r="AD33" s="323"/>
      <c r="AE33" s="323"/>
      <c r="AF33" s="324">
        <f t="shared" si="17"/>
        <v>1.4316958919652395E-3</v>
      </c>
      <c r="AI33" s="325">
        <f t="shared" si="18"/>
        <v>1</v>
      </c>
    </row>
    <row r="34" spans="2:207" s="312" customFormat="1" ht="15.75" x14ac:dyDescent="0.25">
      <c r="B34" s="316">
        <f t="shared" si="1"/>
        <v>4</v>
      </c>
      <c r="C34" s="330">
        <f>'סיכום לוועדה'!B34</f>
        <v>1001347193</v>
      </c>
      <c r="D34" s="330">
        <f>'סיכום לוועדה'!C34</f>
        <v>1001266975</v>
      </c>
      <c r="E34" s="330">
        <f>'סיכום לוועדה'!D34</f>
        <v>40000118</v>
      </c>
      <c r="F34" s="330">
        <f>'סיכום לוועדה'!E34</f>
        <v>20000161</v>
      </c>
      <c r="G34" s="330" t="str">
        <f>'סיכום לוועדה'!F34</f>
        <v>מנשה</v>
      </c>
      <c r="H34" s="317" t="str">
        <f>'סיכום לוועדה'!G34</f>
        <v>מוזיאון חצר ראשונים עין שמר</v>
      </c>
      <c r="I34" s="318">
        <f>'סיכום לוועדה'!U34</f>
        <v>590000</v>
      </c>
      <c r="J34" s="319">
        <f>'סיכום לוועדה'!T34</f>
        <v>187513.76579180983</v>
      </c>
      <c r="K34" s="320">
        <f t="shared" si="2"/>
        <v>0</v>
      </c>
      <c r="L34" s="319">
        <f t="shared" si="3"/>
        <v>187513.76579180983</v>
      </c>
      <c r="M34" s="331">
        <f>'תחום תמיכה ב'!AF34</f>
        <v>1.3110862528403927E-3</v>
      </c>
      <c r="N34" s="319">
        <f t="shared" si="0"/>
        <v>209847.48019421613</v>
      </c>
      <c r="O34" s="321">
        <f t="shared" si="4"/>
        <v>0</v>
      </c>
      <c r="P34" s="322">
        <f t="shared" si="5"/>
        <v>209847.48019421613</v>
      </c>
      <c r="Q34" s="322">
        <f t="shared" si="6"/>
        <v>209943.02929415824</v>
      </c>
      <c r="R34" s="321">
        <f t="shared" si="7"/>
        <v>0</v>
      </c>
      <c r="S34" s="322">
        <f t="shared" si="8"/>
        <v>209943.02929415824</v>
      </c>
      <c r="T34" s="322">
        <f t="shared" si="9"/>
        <v>209943.02929415781</v>
      </c>
      <c r="U34" s="321">
        <f t="shared" si="10"/>
        <v>0</v>
      </c>
      <c r="V34" s="322">
        <f t="shared" si="11"/>
        <v>209943.02929415781</v>
      </c>
      <c r="W34" s="322">
        <f t="shared" si="12"/>
        <v>209943.02929415787</v>
      </c>
      <c r="X34" s="321">
        <f t="shared" si="13"/>
        <v>0</v>
      </c>
      <c r="Y34" s="322">
        <f t="shared" si="14"/>
        <v>209943.02929415787</v>
      </c>
      <c r="Z34" s="322">
        <f t="shared" si="15"/>
        <v>209943.02929415781</v>
      </c>
      <c r="AA34" s="323">
        <f t="shared" si="16"/>
        <v>209943.02929415781</v>
      </c>
      <c r="AB34" s="323"/>
      <c r="AC34" s="323"/>
      <c r="AD34" s="323"/>
      <c r="AE34" s="323"/>
      <c r="AF34" s="324">
        <f t="shared" si="17"/>
        <v>1.2022982903487347E-3</v>
      </c>
      <c r="AI34" s="325">
        <f t="shared" si="18"/>
        <v>1</v>
      </c>
    </row>
    <row r="35" spans="2:207" s="312" customFormat="1" ht="15.75" x14ac:dyDescent="0.25">
      <c r="B35" s="316">
        <f t="shared" si="1"/>
        <v>5</v>
      </c>
      <c r="C35" s="330">
        <f>'סיכום לוועדה'!B35</f>
        <v>1001349260</v>
      </c>
      <c r="D35" s="330">
        <f>'סיכום לוועדה'!C35</f>
        <v>1001276615</v>
      </c>
      <c r="E35" s="330">
        <f>'סיכום לוועדה'!D35</f>
        <v>40000478</v>
      </c>
      <c r="F35" s="330">
        <f>'סיכום לוועדה'!E35</f>
        <v>20000201</v>
      </c>
      <c r="G35" s="330" t="str">
        <f>'סיכום לוועדה'!F35</f>
        <v>תל אביב -יפו</v>
      </c>
      <c r="H35" s="317" t="str">
        <f>'סיכום לוועדה'!G35</f>
        <v>תיאטרון היידישפיל</v>
      </c>
      <c r="I35" s="318">
        <f>'סיכום לוועדה'!U35</f>
        <v>6400000</v>
      </c>
      <c r="J35" s="319">
        <f>'סיכום לוועדה'!T35</f>
        <v>1075900.3762644213</v>
      </c>
      <c r="K35" s="320">
        <f t="shared" si="2"/>
        <v>0</v>
      </c>
      <c r="L35" s="319">
        <f t="shared" si="3"/>
        <v>1075900.3762644213</v>
      </c>
      <c r="M35" s="331">
        <f>'תחום תמיכה ב'!AF35</f>
        <v>4.8830606139585661E-3</v>
      </c>
      <c r="N35" s="319">
        <f t="shared" si="0"/>
        <v>1159080.9304999067</v>
      </c>
      <c r="O35" s="321">
        <f t="shared" si="4"/>
        <v>0</v>
      </c>
      <c r="P35" s="322">
        <f t="shared" si="5"/>
        <v>1159080.9304999067</v>
      </c>
      <c r="Q35" s="322">
        <f t="shared" si="6"/>
        <v>1159608.6906596513</v>
      </c>
      <c r="R35" s="321">
        <f t="shared" si="7"/>
        <v>0</v>
      </c>
      <c r="S35" s="322">
        <f t="shared" si="8"/>
        <v>1159608.6906596513</v>
      </c>
      <c r="T35" s="322">
        <f t="shared" si="9"/>
        <v>1159608.690659649</v>
      </c>
      <c r="U35" s="321">
        <f t="shared" si="10"/>
        <v>0</v>
      </c>
      <c r="V35" s="322">
        <f t="shared" si="11"/>
        <v>1159608.690659649</v>
      </c>
      <c r="W35" s="322">
        <f t="shared" si="12"/>
        <v>1159608.6906596494</v>
      </c>
      <c r="X35" s="321">
        <f t="shared" si="13"/>
        <v>0</v>
      </c>
      <c r="Y35" s="322">
        <f t="shared" si="14"/>
        <v>1159608.6906596494</v>
      </c>
      <c r="Z35" s="322">
        <f t="shared" si="15"/>
        <v>1159608.6906596492</v>
      </c>
      <c r="AA35" s="323">
        <f t="shared" si="16"/>
        <v>1159608.6906596492</v>
      </c>
      <c r="AB35" s="323"/>
      <c r="AC35" s="323"/>
      <c r="AD35" s="323"/>
      <c r="AE35" s="323"/>
      <c r="AF35" s="324">
        <f t="shared" si="17"/>
        <v>6.6408279948184405E-3</v>
      </c>
      <c r="AI35" s="325">
        <f t="shared" si="18"/>
        <v>1</v>
      </c>
    </row>
    <row r="36" spans="2:207" ht="15.75" x14ac:dyDescent="0.25">
      <c r="B36" s="316">
        <f t="shared" si="1"/>
        <v>6</v>
      </c>
      <c r="C36" s="330">
        <f>'סיכום לוועדה'!B36</f>
        <v>1001350859</v>
      </c>
      <c r="D36" s="330">
        <f>'סיכום לוועדה'!C36</f>
        <v>1001263559</v>
      </c>
      <c r="E36" s="330">
        <f>'סיכום לוועדה'!D36</f>
        <v>40000062</v>
      </c>
      <c r="F36" s="330">
        <f>'סיכום לוועדה'!E36</f>
        <v>20000201</v>
      </c>
      <c r="G36" s="330" t="str">
        <f>'סיכום לוועדה'!F36</f>
        <v>תל אביב -יפו</v>
      </c>
      <c r="H36" s="317" t="str">
        <f>'סיכום לוועדה'!G36</f>
        <v>תיאטרון אורנה פורת לילדים</v>
      </c>
      <c r="I36" s="318">
        <f>'סיכום לוועדה'!U36</f>
        <v>1250000</v>
      </c>
      <c r="J36" s="319">
        <f>'סיכום לוועדה'!T36</f>
        <v>5048851.1608179342</v>
      </c>
      <c r="K36" s="320">
        <f t="shared" si="2"/>
        <v>1</v>
      </c>
      <c r="L36" s="319">
        <f t="shared" si="3"/>
        <v>1250000</v>
      </c>
      <c r="M36" s="331">
        <f>'תחום תמיכה ב'!AF36</f>
        <v>2.7318001803540975E-2</v>
      </c>
      <c r="N36" s="319">
        <f t="shared" si="0"/>
        <v>1250000</v>
      </c>
      <c r="O36" s="321">
        <f t="shared" si="4"/>
        <v>1</v>
      </c>
      <c r="P36" s="322">
        <f t="shared" si="5"/>
        <v>1250000</v>
      </c>
      <c r="Q36" s="322">
        <f t="shared" si="6"/>
        <v>1250000</v>
      </c>
      <c r="R36" s="321">
        <f t="shared" si="7"/>
        <v>1</v>
      </c>
      <c r="S36" s="322">
        <f t="shared" si="8"/>
        <v>1250000</v>
      </c>
      <c r="T36" s="322">
        <f t="shared" si="9"/>
        <v>1250000</v>
      </c>
      <c r="U36" s="321">
        <f t="shared" si="10"/>
        <v>1</v>
      </c>
      <c r="V36" s="322">
        <f t="shared" si="11"/>
        <v>1250000</v>
      </c>
      <c r="W36" s="322">
        <f t="shared" si="12"/>
        <v>1250000</v>
      </c>
      <c r="X36" s="321">
        <f t="shared" si="13"/>
        <v>1</v>
      </c>
      <c r="Y36" s="322">
        <f t="shared" si="14"/>
        <v>1250000</v>
      </c>
      <c r="Z36" s="322">
        <f t="shared" si="15"/>
        <v>1250000</v>
      </c>
      <c r="AA36" s="323">
        <f t="shared" si="16"/>
        <v>1250000</v>
      </c>
      <c r="AB36" s="323"/>
      <c r="AC36" s="323"/>
      <c r="AD36" s="323"/>
      <c r="AE36" s="323"/>
      <c r="AF36" s="324">
        <f t="shared" si="17"/>
        <v>7.1584794598261977E-3</v>
      </c>
      <c r="AG36" s="312"/>
      <c r="AH36" s="312"/>
      <c r="AI36" s="325">
        <f t="shared" si="18"/>
        <v>1</v>
      </c>
      <c r="AJ36" s="312"/>
      <c r="AK36" s="312"/>
      <c r="AL36" s="312"/>
      <c r="AM36" s="312"/>
      <c r="AN36" s="312"/>
      <c r="AO36" s="312"/>
      <c r="AP36" s="312"/>
      <c r="AQ36" s="312"/>
      <c r="AR36" s="312"/>
      <c r="AS36" s="312"/>
      <c r="AT36" s="312"/>
      <c r="AU36" s="312"/>
      <c r="AV36" s="312"/>
      <c r="AW36" s="312"/>
      <c r="AX36" s="312"/>
      <c r="AY36" s="312"/>
      <c r="AZ36" s="312"/>
      <c r="BA36" s="312"/>
      <c r="BB36" s="312"/>
      <c r="BC36" s="312"/>
      <c r="BD36" s="312"/>
      <c r="BE36" s="312"/>
      <c r="BF36" s="312"/>
      <c r="BG36" s="312"/>
      <c r="BH36" s="312"/>
      <c r="BI36" s="312"/>
      <c r="BJ36" s="312"/>
      <c r="BK36" s="312"/>
      <c r="BL36" s="312"/>
      <c r="BM36" s="312"/>
      <c r="BN36" s="312"/>
      <c r="BO36" s="312"/>
      <c r="BP36" s="312"/>
      <c r="BQ36" s="312"/>
      <c r="BR36" s="312"/>
      <c r="BS36" s="312"/>
      <c r="BT36" s="312"/>
      <c r="BU36" s="312"/>
      <c r="BV36" s="312"/>
      <c r="BW36" s="312"/>
      <c r="BX36" s="312"/>
      <c r="BY36" s="312"/>
      <c r="BZ36" s="312"/>
      <c r="CA36" s="312"/>
      <c r="CB36" s="312"/>
      <c r="CC36" s="312"/>
      <c r="CD36" s="312"/>
      <c r="CE36" s="312"/>
      <c r="CF36" s="312"/>
      <c r="CG36" s="312"/>
      <c r="CH36" s="312"/>
      <c r="CI36" s="312"/>
      <c r="CJ36" s="312"/>
      <c r="CK36" s="312"/>
      <c r="CL36" s="312"/>
      <c r="CM36" s="312"/>
      <c r="CN36" s="312"/>
      <c r="CO36" s="312"/>
      <c r="CP36" s="312"/>
      <c r="CQ36" s="312"/>
      <c r="CR36" s="312"/>
      <c r="CS36" s="312"/>
      <c r="CT36" s="312"/>
      <c r="CU36" s="312"/>
      <c r="CV36" s="312"/>
      <c r="CW36" s="312"/>
      <c r="CX36" s="312"/>
      <c r="CY36" s="312"/>
      <c r="CZ36" s="312"/>
      <c r="DA36" s="312"/>
      <c r="DB36" s="312"/>
      <c r="DC36" s="312"/>
      <c r="DD36" s="312"/>
      <c r="DE36" s="312"/>
      <c r="DF36" s="312"/>
      <c r="DG36" s="312"/>
      <c r="DH36" s="312"/>
      <c r="DI36" s="312"/>
      <c r="DJ36" s="312"/>
      <c r="DK36" s="312"/>
      <c r="DL36" s="312"/>
      <c r="DM36" s="312"/>
      <c r="DN36" s="312"/>
      <c r="DO36" s="312"/>
      <c r="DP36" s="312"/>
      <c r="DQ36" s="312"/>
      <c r="DR36" s="312"/>
      <c r="DS36" s="312"/>
      <c r="DT36" s="312"/>
      <c r="DU36" s="312"/>
      <c r="DV36" s="312"/>
      <c r="DW36" s="312"/>
      <c r="DX36" s="312"/>
      <c r="DY36" s="312"/>
      <c r="DZ36" s="312"/>
      <c r="EA36" s="312"/>
      <c r="EB36" s="312"/>
      <c r="EC36" s="312"/>
      <c r="ED36" s="312"/>
      <c r="EE36" s="312"/>
      <c r="EF36" s="312"/>
      <c r="EG36" s="312"/>
      <c r="EH36" s="312"/>
      <c r="EI36" s="312"/>
      <c r="EJ36" s="312"/>
      <c r="EK36" s="312"/>
      <c r="EL36" s="312"/>
      <c r="EM36" s="312"/>
      <c r="EN36" s="312"/>
      <c r="EO36" s="312"/>
      <c r="EP36" s="312"/>
      <c r="EQ36" s="312"/>
      <c r="ER36" s="312"/>
      <c r="ES36" s="312"/>
      <c r="ET36" s="312"/>
      <c r="EU36" s="312"/>
      <c r="EV36" s="312"/>
      <c r="EW36" s="312"/>
      <c r="EX36" s="312"/>
      <c r="EY36" s="312"/>
      <c r="EZ36" s="312"/>
      <c r="FA36" s="312"/>
      <c r="FB36" s="312"/>
      <c r="FC36" s="312"/>
      <c r="FD36" s="312"/>
      <c r="FE36" s="312"/>
      <c r="FF36" s="312"/>
      <c r="FG36" s="312"/>
      <c r="FH36" s="312"/>
      <c r="FI36" s="312"/>
      <c r="FJ36" s="312"/>
      <c r="FK36" s="312"/>
      <c r="FL36" s="312"/>
      <c r="FM36" s="312"/>
      <c r="FN36" s="312"/>
      <c r="FO36" s="312"/>
      <c r="FP36" s="312"/>
      <c r="FQ36" s="312"/>
      <c r="FR36" s="312"/>
      <c r="FS36" s="312"/>
      <c r="FT36" s="312"/>
      <c r="FU36" s="312"/>
      <c r="FV36" s="312"/>
      <c r="FW36" s="312"/>
      <c r="FX36" s="312"/>
      <c r="FY36" s="312"/>
      <c r="FZ36" s="312"/>
      <c r="GA36" s="312"/>
      <c r="GB36" s="312"/>
      <c r="GC36" s="312"/>
      <c r="GD36" s="312"/>
      <c r="GE36" s="312"/>
      <c r="GF36" s="312"/>
      <c r="GG36" s="312"/>
      <c r="GH36" s="312"/>
      <c r="GI36" s="312"/>
      <c r="GJ36" s="312"/>
      <c r="GK36" s="312"/>
      <c r="GL36" s="312"/>
      <c r="GM36" s="312"/>
      <c r="GN36" s="312"/>
      <c r="GO36" s="312"/>
      <c r="GP36" s="312"/>
      <c r="GQ36" s="312"/>
      <c r="GR36" s="312"/>
      <c r="GS36" s="312"/>
      <c r="GT36" s="312"/>
      <c r="GU36" s="312"/>
      <c r="GV36" s="312"/>
      <c r="GW36" s="312"/>
      <c r="GX36" s="312"/>
      <c r="GY36" s="312"/>
    </row>
    <row r="37" spans="2:207" ht="15.75" x14ac:dyDescent="0.25">
      <c r="B37" s="316">
        <f t="shared" si="1"/>
        <v>7</v>
      </c>
      <c r="C37" s="330">
        <f>'סיכום לוועדה'!B37</f>
        <v>1001347316</v>
      </c>
      <c r="D37" s="330">
        <f>'סיכום לוועדה'!C37</f>
        <v>1001278100</v>
      </c>
      <c r="E37" s="330">
        <f>'סיכום לוועדה'!D37</f>
        <v>40000007</v>
      </c>
      <c r="F37" s="330">
        <f>'סיכום לוועדה'!E37</f>
        <v>20000135</v>
      </c>
      <c r="G37" s="330" t="str">
        <f>'סיכום לוועדה'!F37</f>
        <v>הגלבוע</v>
      </c>
      <c r="H37" s="317" t="str">
        <f>'סיכום לוועדה'!G37</f>
        <v>משכן לאמנות עין חרוד ע"ש חיים אתר בע"מ</v>
      </c>
      <c r="I37" s="318">
        <f>'סיכום לוועדה'!U37</f>
        <v>1103000</v>
      </c>
      <c r="J37" s="319">
        <f>'סיכום לוועדה'!T37</f>
        <v>286936.13965046388</v>
      </c>
      <c r="K37" s="320">
        <f t="shared" si="2"/>
        <v>0</v>
      </c>
      <c r="L37" s="319">
        <f t="shared" si="3"/>
        <v>286936.13965046388</v>
      </c>
      <c r="M37" s="331">
        <f>'תחום תמיכה ב'!AF37</f>
        <v>2.3583869604139052E-3</v>
      </c>
      <c r="N37" s="319">
        <f t="shared" si="0"/>
        <v>327110.11044005415</v>
      </c>
      <c r="O37" s="321">
        <f t="shared" si="4"/>
        <v>0</v>
      </c>
      <c r="P37" s="322">
        <f t="shared" si="5"/>
        <v>327110.11044005415</v>
      </c>
      <c r="Q37" s="322">
        <f t="shared" si="6"/>
        <v>327259.05231253023</v>
      </c>
      <c r="R37" s="321">
        <f t="shared" si="7"/>
        <v>0</v>
      </c>
      <c r="S37" s="322">
        <f t="shared" si="8"/>
        <v>327259.05231253023</v>
      </c>
      <c r="T37" s="322">
        <f t="shared" si="9"/>
        <v>327259.05231252959</v>
      </c>
      <c r="U37" s="321">
        <f t="shared" si="10"/>
        <v>0</v>
      </c>
      <c r="V37" s="322">
        <f t="shared" si="11"/>
        <v>327259.05231252959</v>
      </c>
      <c r="W37" s="322">
        <f t="shared" si="12"/>
        <v>327259.0523125297</v>
      </c>
      <c r="X37" s="321">
        <f t="shared" si="13"/>
        <v>0</v>
      </c>
      <c r="Y37" s="322">
        <f t="shared" si="14"/>
        <v>327259.0523125297</v>
      </c>
      <c r="Z37" s="322">
        <f t="shared" si="15"/>
        <v>327259.05231252965</v>
      </c>
      <c r="AA37" s="323">
        <f t="shared" si="16"/>
        <v>327259.05231252965</v>
      </c>
      <c r="AB37" s="323"/>
      <c r="AC37" s="323"/>
      <c r="AD37" s="323"/>
      <c r="AE37" s="323"/>
      <c r="AF37" s="324">
        <f t="shared" si="17"/>
        <v>1.8741417632171446E-3</v>
      </c>
      <c r="AG37" s="312"/>
      <c r="AH37" s="312"/>
      <c r="AI37" s="325">
        <f t="shared" si="18"/>
        <v>1</v>
      </c>
      <c r="AJ37" s="312"/>
      <c r="AK37" s="312"/>
      <c r="AL37" s="312"/>
      <c r="AM37" s="312"/>
      <c r="AN37" s="312"/>
      <c r="AO37" s="312"/>
      <c r="AP37" s="312"/>
      <c r="AQ37" s="312"/>
      <c r="AR37" s="312"/>
      <c r="AS37" s="312"/>
      <c r="AT37" s="312"/>
      <c r="AU37" s="312"/>
      <c r="AV37" s="312"/>
      <c r="AW37" s="312"/>
      <c r="AX37" s="312"/>
      <c r="AY37" s="312"/>
      <c r="AZ37" s="312"/>
      <c r="BA37" s="312"/>
      <c r="BB37" s="312"/>
      <c r="BC37" s="312"/>
      <c r="BD37" s="312"/>
      <c r="BE37" s="312"/>
      <c r="BF37" s="312"/>
      <c r="BG37" s="312"/>
      <c r="BH37" s="312"/>
      <c r="BI37" s="312"/>
      <c r="BJ37" s="312"/>
      <c r="BK37" s="312"/>
      <c r="BL37" s="312"/>
      <c r="BM37" s="312"/>
      <c r="BN37" s="312"/>
      <c r="BO37" s="312"/>
      <c r="BP37" s="312"/>
      <c r="BQ37" s="312"/>
      <c r="BR37" s="312"/>
      <c r="BS37" s="312"/>
      <c r="BT37" s="312"/>
      <c r="BU37" s="312"/>
      <c r="BV37" s="312"/>
      <c r="BW37" s="312"/>
      <c r="BX37" s="312"/>
      <c r="BY37" s="312"/>
      <c r="BZ37" s="312"/>
      <c r="CA37" s="312"/>
      <c r="CB37" s="312"/>
      <c r="CC37" s="312"/>
      <c r="CD37" s="312"/>
      <c r="CE37" s="312"/>
      <c r="CF37" s="312"/>
      <c r="CG37" s="312"/>
      <c r="CH37" s="312"/>
      <c r="CI37" s="312"/>
      <c r="CJ37" s="312"/>
      <c r="CK37" s="312"/>
      <c r="CL37" s="312"/>
      <c r="CM37" s="312"/>
      <c r="CN37" s="312"/>
      <c r="CO37" s="312"/>
      <c r="CP37" s="312"/>
      <c r="CQ37" s="312"/>
      <c r="CR37" s="312"/>
      <c r="CS37" s="312"/>
      <c r="CT37" s="312"/>
      <c r="CU37" s="312"/>
      <c r="CV37" s="312"/>
      <c r="CW37" s="312"/>
      <c r="CX37" s="312"/>
      <c r="CY37" s="312"/>
      <c r="CZ37" s="312"/>
      <c r="DA37" s="312"/>
      <c r="DB37" s="312"/>
      <c r="DC37" s="312"/>
      <c r="DD37" s="312"/>
      <c r="DE37" s="312"/>
      <c r="DF37" s="312"/>
      <c r="DG37" s="312"/>
      <c r="DH37" s="312"/>
      <c r="DI37" s="312"/>
      <c r="DJ37" s="312"/>
      <c r="DK37" s="312"/>
      <c r="DL37" s="312"/>
      <c r="DM37" s="312"/>
      <c r="DN37" s="312"/>
      <c r="DO37" s="312"/>
      <c r="DP37" s="312"/>
      <c r="DQ37" s="312"/>
      <c r="DR37" s="312"/>
      <c r="DS37" s="312"/>
      <c r="DT37" s="312"/>
      <c r="DU37" s="312"/>
      <c r="DV37" s="312"/>
      <c r="DW37" s="312"/>
      <c r="DX37" s="312"/>
      <c r="DY37" s="312"/>
      <c r="DZ37" s="312"/>
      <c r="EA37" s="312"/>
      <c r="EB37" s="312"/>
      <c r="EC37" s="312"/>
      <c r="ED37" s="312"/>
      <c r="EE37" s="312"/>
      <c r="EF37" s="312"/>
      <c r="EG37" s="312"/>
      <c r="EH37" s="312"/>
      <c r="EI37" s="312"/>
      <c r="EJ37" s="312"/>
      <c r="EK37" s="312"/>
      <c r="EL37" s="312"/>
      <c r="EM37" s="312"/>
      <c r="EN37" s="312"/>
      <c r="EO37" s="312"/>
      <c r="EP37" s="312"/>
      <c r="EQ37" s="312"/>
      <c r="ER37" s="312"/>
      <c r="ES37" s="312"/>
      <c r="ET37" s="312"/>
      <c r="EU37" s="312"/>
      <c r="EV37" s="312"/>
      <c r="EW37" s="312"/>
      <c r="EX37" s="312"/>
      <c r="EY37" s="312"/>
      <c r="EZ37" s="312"/>
      <c r="FA37" s="312"/>
      <c r="FB37" s="312"/>
      <c r="FC37" s="312"/>
      <c r="FD37" s="312"/>
      <c r="FE37" s="312"/>
      <c r="FF37" s="312"/>
      <c r="FG37" s="312"/>
      <c r="FH37" s="312"/>
      <c r="FI37" s="312"/>
      <c r="FJ37" s="312"/>
      <c r="FK37" s="312"/>
      <c r="FL37" s="312"/>
      <c r="FM37" s="312"/>
      <c r="FN37" s="312"/>
      <c r="FO37" s="312"/>
      <c r="FP37" s="312"/>
      <c r="FQ37" s="312"/>
      <c r="FR37" s="312"/>
      <c r="FS37" s="312"/>
      <c r="FT37" s="312"/>
      <c r="FU37" s="312"/>
      <c r="FV37" s="312"/>
      <c r="FW37" s="312"/>
      <c r="FX37" s="312"/>
      <c r="FY37" s="312"/>
      <c r="FZ37" s="312"/>
      <c r="GA37" s="312"/>
      <c r="GB37" s="312"/>
      <c r="GC37" s="312"/>
      <c r="GD37" s="312"/>
      <c r="GE37" s="312"/>
      <c r="GF37" s="312"/>
      <c r="GG37" s="312"/>
      <c r="GH37" s="312"/>
      <c r="GI37" s="312"/>
      <c r="GJ37" s="312"/>
      <c r="GK37" s="312"/>
      <c r="GL37" s="312"/>
      <c r="GM37" s="312"/>
      <c r="GN37" s="312"/>
      <c r="GO37" s="312"/>
      <c r="GP37" s="312"/>
      <c r="GQ37" s="312"/>
      <c r="GR37" s="312"/>
      <c r="GS37" s="312"/>
      <c r="GT37" s="312"/>
      <c r="GU37" s="312"/>
      <c r="GV37" s="312"/>
      <c r="GW37" s="312"/>
      <c r="GX37" s="312"/>
      <c r="GY37" s="312"/>
    </row>
    <row r="38" spans="2:207" ht="15.75" x14ac:dyDescent="0.25">
      <c r="B38" s="316">
        <f t="shared" si="1"/>
        <v>8</v>
      </c>
      <c r="C38" s="330">
        <f>'סיכום לוועדה'!B38</f>
        <v>1001349107</v>
      </c>
      <c r="D38" s="330">
        <f>'סיכום לוועדה'!C38</f>
        <v>1001277535</v>
      </c>
      <c r="E38" s="330">
        <f>'סיכום לוועדה'!D38</f>
        <v>40000019</v>
      </c>
      <c r="F38" s="330">
        <f>'סיכום לוועדה'!E38</f>
        <v>20000159</v>
      </c>
      <c r="G38" s="330" t="str">
        <f>'סיכום לוועדה'!F38</f>
        <v>ירושלים</v>
      </c>
      <c r="H38" s="317" t="str">
        <f>'סיכום לוועדה'!G38</f>
        <v>תיאטרון ירושלים לאומנויות הבמה</v>
      </c>
      <c r="I38" s="318">
        <f>'סיכום לוועדה'!U38</f>
        <v>150000</v>
      </c>
      <c r="J38" s="319">
        <f>'סיכום לוועדה'!T38</f>
        <v>55923.450654564149</v>
      </c>
      <c r="K38" s="320">
        <f t="shared" si="2"/>
        <v>0</v>
      </c>
      <c r="L38" s="319">
        <f t="shared" si="3"/>
        <v>55923.450654564149</v>
      </c>
      <c r="M38" s="331">
        <f>'תחום תמיכה ב'!AF38</f>
        <v>3.1207245184742367E-4</v>
      </c>
      <c r="N38" s="319">
        <f t="shared" si="0"/>
        <v>61239.452555521864</v>
      </c>
      <c r="O38" s="321">
        <f t="shared" si="4"/>
        <v>0</v>
      </c>
      <c r="P38" s="322">
        <f t="shared" si="5"/>
        <v>61239.452555521864</v>
      </c>
      <c r="Q38" s="322">
        <f t="shared" si="6"/>
        <v>61267.336495644529</v>
      </c>
      <c r="R38" s="321">
        <f t="shared" si="7"/>
        <v>0</v>
      </c>
      <c r="S38" s="322">
        <f t="shared" si="8"/>
        <v>61267.336495644529</v>
      </c>
      <c r="T38" s="322">
        <f t="shared" si="9"/>
        <v>61267.336495644406</v>
      </c>
      <c r="U38" s="321">
        <f t="shared" si="10"/>
        <v>0</v>
      </c>
      <c r="V38" s="322">
        <f t="shared" si="11"/>
        <v>61267.336495644406</v>
      </c>
      <c r="W38" s="322">
        <f t="shared" si="12"/>
        <v>61267.336495644427</v>
      </c>
      <c r="X38" s="321">
        <f t="shared" si="13"/>
        <v>0</v>
      </c>
      <c r="Y38" s="322">
        <f t="shared" si="14"/>
        <v>61267.336495644427</v>
      </c>
      <c r="Z38" s="322">
        <f t="shared" si="15"/>
        <v>61267.336495644413</v>
      </c>
      <c r="AA38" s="323">
        <f t="shared" si="16"/>
        <v>61267.336495644413</v>
      </c>
      <c r="AB38" s="323"/>
      <c r="AC38" s="323"/>
      <c r="AD38" s="323"/>
      <c r="AE38" s="323"/>
      <c r="AF38" s="324">
        <f t="shared" si="17"/>
        <v>3.508647758898644E-4</v>
      </c>
      <c r="AG38" s="312"/>
      <c r="AH38" s="312"/>
      <c r="AI38" s="325">
        <f t="shared" si="18"/>
        <v>1</v>
      </c>
      <c r="AJ38" s="312"/>
      <c r="AK38" s="312"/>
      <c r="AL38" s="312"/>
      <c r="AM38" s="312"/>
      <c r="AN38" s="312"/>
      <c r="AO38" s="312"/>
      <c r="AP38" s="312"/>
      <c r="AQ38" s="312"/>
      <c r="AR38" s="312"/>
      <c r="AS38" s="312"/>
      <c r="AT38" s="312"/>
      <c r="AU38" s="312"/>
      <c r="AV38" s="312"/>
      <c r="AW38" s="312"/>
      <c r="AX38" s="312"/>
      <c r="AY38" s="312"/>
      <c r="AZ38" s="312"/>
      <c r="BA38" s="312"/>
      <c r="BB38" s="312"/>
      <c r="BC38" s="312"/>
      <c r="BD38" s="312"/>
      <c r="BE38" s="312"/>
      <c r="BF38" s="312"/>
      <c r="BG38" s="312"/>
      <c r="BH38" s="312"/>
      <c r="BI38" s="312"/>
      <c r="BJ38" s="312"/>
      <c r="BK38" s="312"/>
      <c r="BL38" s="312"/>
      <c r="BM38" s="312"/>
      <c r="BN38" s="312"/>
      <c r="BO38" s="312"/>
      <c r="BP38" s="312"/>
      <c r="BQ38" s="312"/>
      <c r="BR38" s="312"/>
      <c r="BS38" s="312"/>
      <c r="BT38" s="312"/>
      <c r="BU38" s="312"/>
      <c r="BV38" s="312"/>
      <c r="BW38" s="312"/>
      <c r="BX38" s="312"/>
      <c r="BY38" s="312"/>
      <c r="BZ38" s="312"/>
      <c r="CA38" s="312"/>
      <c r="CB38" s="312"/>
      <c r="CC38" s="312"/>
      <c r="CD38" s="312"/>
      <c r="CE38" s="312"/>
      <c r="CF38" s="312"/>
      <c r="CG38" s="312"/>
      <c r="CH38" s="312"/>
      <c r="CI38" s="312"/>
      <c r="CJ38" s="312"/>
      <c r="CK38" s="312"/>
      <c r="CL38" s="312"/>
      <c r="CM38" s="312"/>
      <c r="CN38" s="312"/>
      <c r="CO38" s="312"/>
      <c r="CP38" s="312"/>
      <c r="CQ38" s="312"/>
      <c r="CR38" s="312"/>
      <c r="CS38" s="312"/>
      <c r="CT38" s="312"/>
      <c r="CU38" s="312"/>
      <c r="CV38" s="312"/>
      <c r="CW38" s="312"/>
      <c r="CX38" s="312"/>
      <c r="CY38" s="312"/>
      <c r="CZ38" s="312"/>
      <c r="DA38" s="312"/>
      <c r="DB38" s="312"/>
      <c r="DC38" s="312"/>
      <c r="DD38" s="312"/>
      <c r="DE38" s="312"/>
      <c r="DF38" s="312"/>
      <c r="DG38" s="312"/>
      <c r="DH38" s="312"/>
      <c r="DI38" s="312"/>
      <c r="DJ38" s="312"/>
      <c r="DK38" s="312"/>
      <c r="DL38" s="312"/>
      <c r="DM38" s="312"/>
      <c r="DN38" s="312"/>
      <c r="DO38" s="312"/>
      <c r="DP38" s="312"/>
      <c r="DQ38" s="312"/>
      <c r="DR38" s="312"/>
      <c r="DS38" s="312"/>
      <c r="DT38" s="312"/>
      <c r="DU38" s="312"/>
      <c r="DV38" s="312"/>
      <c r="DW38" s="312"/>
      <c r="DX38" s="312"/>
      <c r="DY38" s="312"/>
      <c r="DZ38" s="312"/>
      <c r="EA38" s="312"/>
      <c r="EB38" s="312"/>
      <c r="EC38" s="312"/>
      <c r="ED38" s="312"/>
      <c r="EE38" s="312"/>
      <c r="EF38" s="312"/>
      <c r="EG38" s="312"/>
      <c r="EH38" s="312"/>
      <c r="EI38" s="312"/>
      <c r="EJ38" s="312"/>
      <c r="EK38" s="312"/>
      <c r="EL38" s="312"/>
      <c r="EM38" s="312"/>
      <c r="EN38" s="312"/>
      <c r="EO38" s="312"/>
      <c r="EP38" s="312"/>
      <c r="EQ38" s="312"/>
      <c r="ER38" s="312"/>
      <c r="ES38" s="312"/>
      <c r="ET38" s="312"/>
      <c r="EU38" s="312"/>
      <c r="EV38" s="312"/>
      <c r="EW38" s="312"/>
      <c r="EX38" s="312"/>
      <c r="EY38" s="312"/>
      <c r="EZ38" s="312"/>
      <c r="FA38" s="312"/>
      <c r="FB38" s="312"/>
      <c r="FC38" s="312"/>
      <c r="FD38" s="312"/>
      <c r="FE38" s="312"/>
      <c r="FF38" s="312"/>
      <c r="FG38" s="312"/>
      <c r="FH38" s="312"/>
      <c r="FI38" s="312"/>
      <c r="FJ38" s="312"/>
      <c r="FK38" s="312"/>
      <c r="FL38" s="312"/>
      <c r="FM38" s="312"/>
      <c r="FN38" s="312"/>
      <c r="FO38" s="312"/>
      <c r="FP38" s="312"/>
      <c r="FQ38" s="312"/>
      <c r="FR38" s="312"/>
      <c r="FS38" s="312"/>
      <c r="FT38" s="312"/>
      <c r="FU38" s="312"/>
      <c r="FV38" s="312"/>
      <c r="FW38" s="312"/>
      <c r="FX38" s="312"/>
      <c r="FY38" s="312"/>
      <c r="FZ38" s="312"/>
      <c r="GA38" s="312"/>
      <c r="GB38" s="312"/>
      <c r="GC38" s="312"/>
      <c r="GD38" s="312"/>
      <c r="GE38" s="312"/>
      <c r="GF38" s="312"/>
      <c r="GG38" s="312"/>
      <c r="GH38" s="312"/>
      <c r="GI38" s="312"/>
      <c r="GJ38" s="312"/>
      <c r="GK38" s="312"/>
      <c r="GL38" s="312"/>
      <c r="GM38" s="312"/>
      <c r="GN38" s="312"/>
      <c r="GO38" s="312"/>
      <c r="GP38" s="312"/>
      <c r="GQ38" s="312"/>
      <c r="GR38" s="312"/>
      <c r="GS38" s="312"/>
      <c r="GT38" s="312"/>
      <c r="GU38" s="312"/>
      <c r="GV38" s="312"/>
      <c r="GW38" s="312"/>
      <c r="GX38" s="312"/>
      <c r="GY38" s="312"/>
    </row>
    <row r="39" spans="2:207" ht="15.75" x14ac:dyDescent="0.25">
      <c r="B39" s="316">
        <f t="shared" si="1"/>
        <v>9</v>
      </c>
      <c r="C39" s="330">
        <f>'סיכום לוועדה'!B39</f>
        <v>1001349111</v>
      </c>
      <c r="D39" s="330">
        <f>'סיכום לוועדה'!C39</f>
        <v>1001277536</v>
      </c>
      <c r="E39" s="330">
        <f>'סיכום לוועדה'!D39</f>
        <v>40000019</v>
      </c>
      <c r="F39" s="330">
        <f>'סיכום לוועדה'!E39</f>
        <v>20000159</v>
      </c>
      <c r="G39" s="330" t="str">
        <f>'סיכום לוועדה'!F39</f>
        <v>ירושלים</v>
      </c>
      <c r="H39" s="317" t="str">
        <f>'סיכום לוועדה'!G39</f>
        <v>תיאטרון ירושלים לאומנויות הבמה</v>
      </c>
      <c r="I39" s="318">
        <f>'סיכום לוועדה'!U39</f>
        <v>200000</v>
      </c>
      <c r="J39" s="319">
        <f>'סיכום לוועדה'!T39</f>
        <v>43678.864273163766</v>
      </c>
      <c r="K39" s="320">
        <f t="shared" si="2"/>
        <v>0</v>
      </c>
      <c r="L39" s="319">
        <f t="shared" si="3"/>
        <v>43678.864273163766</v>
      </c>
      <c r="M39" s="331">
        <f>'תחום תמיכה ב'!AF39</f>
        <v>2.2148888407020316E-4</v>
      </c>
      <c r="N39" s="319">
        <f t="shared" si="0"/>
        <v>47451.819309047125</v>
      </c>
      <c r="O39" s="321">
        <f t="shared" si="4"/>
        <v>0</v>
      </c>
      <c r="P39" s="322">
        <f t="shared" si="5"/>
        <v>47451.819309047125</v>
      </c>
      <c r="Q39" s="322">
        <f t="shared" si="6"/>
        <v>47473.425375612227</v>
      </c>
      <c r="R39" s="321">
        <f t="shared" si="7"/>
        <v>0</v>
      </c>
      <c r="S39" s="322">
        <f t="shared" si="8"/>
        <v>47473.425375612227</v>
      </c>
      <c r="T39" s="322">
        <f t="shared" si="9"/>
        <v>47473.425375612132</v>
      </c>
      <c r="U39" s="321">
        <f t="shared" si="10"/>
        <v>0</v>
      </c>
      <c r="V39" s="322">
        <f t="shared" si="11"/>
        <v>47473.425375612132</v>
      </c>
      <c r="W39" s="322">
        <f t="shared" si="12"/>
        <v>47473.425375612147</v>
      </c>
      <c r="X39" s="321">
        <f t="shared" si="13"/>
        <v>0</v>
      </c>
      <c r="Y39" s="322">
        <f t="shared" si="14"/>
        <v>47473.425375612147</v>
      </c>
      <c r="Z39" s="322">
        <f t="shared" si="15"/>
        <v>47473.42537561214</v>
      </c>
      <c r="AA39" s="323">
        <f t="shared" si="16"/>
        <v>47473.42537561214</v>
      </c>
      <c r="AB39" s="323"/>
      <c r="AC39" s="323"/>
      <c r="AD39" s="323"/>
      <c r="AE39" s="323"/>
      <c r="AF39" s="324">
        <f t="shared" si="17"/>
        <v>2.7187003235112906E-4</v>
      </c>
      <c r="AG39" s="312"/>
      <c r="AH39" s="312"/>
      <c r="AI39" s="325">
        <f t="shared" si="18"/>
        <v>1</v>
      </c>
      <c r="AJ39" s="312"/>
      <c r="AK39" s="312"/>
      <c r="AL39" s="312"/>
      <c r="AM39" s="312"/>
      <c r="AN39" s="312"/>
      <c r="AO39" s="312"/>
      <c r="AP39" s="312"/>
      <c r="AQ39" s="312"/>
      <c r="AR39" s="312"/>
      <c r="AS39" s="312"/>
      <c r="AT39" s="312"/>
      <c r="AU39" s="312"/>
      <c r="AV39" s="312"/>
      <c r="AW39" s="312"/>
      <c r="AX39" s="312"/>
      <c r="AY39" s="312"/>
      <c r="AZ39" s="312"/>
      <c r="BA39" s="312"/>
      <c r="BB39" s="312"/>
      <c r="BC39" s="312"/>
      <c r="BD39" s="312"/>
      <c r="BE39" s="312"/>
      <c r="BF39" s="312"/>
      <c r="BG39" s="312"/>
      <c r="BH39" s="312"/>
      <c r="BI39" s="312"/>
      <c r="BJ39" s="312"/>
      <c r="BK39" s="312"/>
      <c r="BL39" s="312"/>
      <c r="BM39" s="312"/>
      <c r="BN39" s="312"/>
      <c r="BO39" s="312"/>
      <c r="BP39" s="312"/>
      <c r="BQ39" s="312"/>
      <c r="BR39" s="312"/>
      <c r="BS39" s="312"/>
      <c r="BT39" s="312"/>
      <c r="BU39" s="312"/>
      <c r="BV39" s="312"/>
      <c r="BW39" s="312"/>
      <c r="BX39" s="312"/>
      <c r="BY39" s="312"/>
      <c r="BZ39" s="312"/>
      <c r="CA39" s="312"/>
      <c r="CB39" s="312"/>
      <c r="CC39" s="312"/>
      <c r="CD39" s="312"/>
      <c r="CE39" s="312"/>
      <c r="CF39" s="312"/>
      <c r="CG39" s="312"/>
      <c r="CH39" s="312"/>
      <c r="CI39" s="312"/>
      <c r="CJ39" s="312"/>
      <c r="CK39" s="312"/>
      <c r="CL39" s="312"/>
      <c r="CM39" s="312"/>
      <c r="CN39" s="312"/>
      <c r="CO39" s="312"/>
      <c r="CP39" s="312"/>
      <c r="CQ39" s="312"/>
      <c r="CR39" s="312"/>
      <c r="CS39" s="312"/>
      <c r="CT39" s="312"/>
      <c r="CU39" s="312"/>
      <c r="CV39" s="312"/>
      <c r="CW39" s="312"/>
      <c r="CX39" s="312"/>
      <c r="CY39" s="312"/>
      <c r="CZ39" s="312"/>
      <c r="DA39" s="312"/>
      <c r="DB39" s="312"/>
      <c r="DC39" s="312"/>
      <c r="DD39" s="312"/>
      <c r="DE39" s="312"/>
      <c r="DF39" s="312"/>
      <c r="DG39" s="312"/>
      <c r="DH39" s="312"/>
      <c r="DI39" s="312"/>
      <c r="DJ39" s="312"/>
      <c r="DK39" s="312"/>
      <c r="DL39" s="312"/>
      <c r="DM39" s="312"/>
      <c r="DN39" s="312"/>
      <c r="DO39" s="312"/>
      <c r="DP39" s="312"/>
      <c r="DQ39" s="312"/>
      <c r="DR39" s="312"/>
      <c r="DS39" s="312"/>
      <c r="DT39" s="312"/>
      <c r="DU39" s="312"/>
      <c r="DV39" s="312"/>
      <c r="DW39" s="312"/>
      <c r="DX39" s="312"/>
      <c r="DY39" s="312"/>
      <c r="DZ39" s="312"/>
      <c r="EA39" s="312"/>
      <c r="EB39" s="312"/>
      <c r="EC39" s="312"/>
      <c r="ED39" s="312"/>
      <c r="EE39" s="312"/>
      <c r="EF39" s="312"/>
      <c r="EG39" s="312"/>
      <c r="EH39" s="312"/>
      <c r="EI39" s="312"/>
      <c r="EJ39" s="312"/>
      <c r="EK39" s="312"/>
      <c r="EL39" s="312"/>
      <c r="EM39" s="312"/>
      <c r="EN39" s="312"/>
      <c r="EO39" s="312"/>
      <c r="EP39" s="312"/>
      <c r="EQ39" s="312"/>
      <c r="ER39" s="312"/>
      <c r="ES39" s="312"/>
      <c r="ET39" s="312"/>
      <c r="EU39" s="312"/>
      <c r="EV39" s="312"/>
      <c r="EW39" s="312"/>
      <c r="EX39" s="312"/>
      <c r="EY39" s="312"/>
      <c r="EZ39" s="312"/>
      <c r="FA39" s="312"/>
      <c r="FB39" s="312"/>
      <c r="FC39" s="312"/>
      <c r="FD39" s="312"/>
      <c r="FE39" s="312"/>
      <c r="FF39" s="312"/>
      <c r="FG39" s="312"/>
      <c r="FH39" s="312"/>
      <c r="FI39" s="312"/>
      <c r="FJ39" s="312"/>
      <c r="FK39" s="312"/>
      <c r="FL39" s="312"/>
      <c r="FM39" s="312"/>
      <c r="FN39" s="312"/>
      <c r="FO39" s="312"/>
      <c r="FP39" s="312"/>
      <c r="FQ39" s="312"/>
      <c r="FR39" s="312"/>
      <c r="FS39" s="312"/>
      <c r="FT39" s="312"/>
      <c r="FU39" s="312"/>
      <c r="FV39" s="312"/>
      <c r="FW39" s="312"/>
      <c r="FX39" s="312"/>
      <c r="FY39" s="312"/>
      <c r="FZ39" s="312"/>
      <c r="GA39" s="312"/>
      <c r="GB39" s="312"/>
      <c r="GC39" s="312"/>
      <c r="GD39" s="312"/>
      <c r="GE39" s="312"/>
      <c r="GF39" s="312"/>
      <c r="GG39" s="312"/>
      <c r="GH39" s="312"/>
      <c r="GI39" s="312"/>
      <c r="GJ39" s="312"/>
      <c r="GK39" s="312"/>
      <c r="GL39" s="312"/>
      <c r="GM39" s="312"/>
      <c r="GN39" s="312"/>
      <c r="GO39" s="312"/>
      <c r="GP39" s="312"/>
      <c r="GQ39" s="312"/>
      <c r="GR39" s="312"/>
      <c r="GS39" s="312"/>
      <c r="GT39" s="312"/>
      <c r="GU39" s="312"/>
      <c r="GV39" s="312"/>
      <c r="GW39" s="312"/>
      <c r="GX39" s="312"/>
      <c r="GY39" s="312"/>
    </row>
    <row r="40" spans="2:207" ht="15.75" x14ac:dyDescent="0.25">
      <c r="B40" s="316">
        <f t="shared" si="1"/>
        <v>10</v>
      </c>
      <c r="C40" s="330">
        <f>'סיכום לוועדה'!B40</f>
        <v>1001346994</v>
      </c>
      <c r="D40" s="330">
        <f>'סיכום לוועדה'!C40</f>
        <v>1001267387</v>
      </c>
      <c r="E40" s="330">
        <f>'סיכום לוועדה'!D40</f>
        <v>40000039</v>
      </c>
      <c r="F40" s="330">
        <f>'סיכום לוועדה'!E40</f>
        <v>20000201</v>
      </c>
      <c r="G40" s="330" t="str">
        <f>'סיכום לוועדה'!F40</f>
        <v>תל אביב -יפו</v>
      </c>
      <c r="H40" s="317" t="str">
        <f>'סיכום לוועדה'!G40</f>
        <v>מוזיאון ת"א לאומנות</v>
      </c>
      <c r="I40" s="318">
        <f>'סיכום לוועדה'!U40</f>
        <v>18000000</v>
      </c>
      <c r="J40" s="319">
        <f>'סיכום לוועדה'!T40</f>
        <v>7248258.1287566796</v>
      </c>
      <c r="K40" s="320">
        <f t="shared" si="2"/>
        <v>0</v>
      </c>
      <c r="L40" s="319">
        <f t="shared" si="3"/>
        <v>7248258.1287566796</v>
      </c>
      <c r="M40" s="331">
        <f>'תחום תמיכה ב'!AF40</f>
        <v>3.3346014576457063E-2</v>
      </c>
      <c r="N40" s="319">
        <f t="shared" si="0"/>
        <v>7816291.2115501519</v>
      </c>
      <c r="O40" s="321">
        <f t="shared" si="4"/>
        <v>0</v>
      </c>
      <c r="P40" s="322">
        <f t="shared" si="5"/>
        <v>7816291.2115501519</v>
      </c>
      <c r="Q40" s="322">
        <f t="shared" si="6"/>
        <v>7819850.1753721517</v>
      </c>
      <c r="R40" s="321">
        <f t="shared" si="7"/>
        <v>0</v>
      </c>
      <c r="S40" s="322">
        <f t="shared" si="8"/>
        <v>7819850.1753721517</v>
      </c>
      <c r="T40" s="322">
        <f t="shared" si="9"/>
        <v>7819850.1753721358</v>
      </c>
      <c r="U40" s="321">
        <f t="shared" si="10"/>
        <v>0</v>
      </c>
      <c r="V40" s="322">
        <f t="shared" si="11"/>
        <v>7819850.1753721358</v>
      </c>
      <c r="W40" s="322">
        <f t="shared" si="12"/>
        <v>7819850.1753721386</v>
      </c>
      <c r="X40" s="321">
        <f t="shared" si="13"/>
        <v>0</v>
      </c>
      <c r="Y40" s="322">
        <f t="shared" si="14"/>
        <v>7819850.1753721386</v>
      </c>
      <c r="Z40" s="322">
        <f t="shared" si="15"/>
        <v>7819850.1753721368</v>
      </c>
      <c r="AA40" s="323">
        <f t="shared" si="16"/>
        <v>7819850.1753721368</v>
      </c>
      <c r="AB40" s="323"/>
      <c r="AC40" s="323"/>
      <c r="AD40" s="323"/>
      <c r="AE40" s="323"/>
      <c r="AF40" s="324">
        <f t="shared" si="17"/>
        <v>4.4782589487455789E-2</v>
      </c>
      <c r="AG40" s="312"/>
      <c r="AH40" s="312"/>
      <c r="AI40" s="325">
        <f t="shared" si="18"/>
        <v>1</v>
      </c>
      <c r="AJ40" s="312"/>
      <c r="AK40" s="312"/>
      <c r="AL40" s="312"/>
      <c r="AM40" s="312"/>
      <c r="AN40" s="312"/>
      <c r="AO40" s="312"/>
      <c r="AP40" s="312"/>
      <c r="AQ40" s="312"/>
      <c r="AR40" s="312"/>
      <c r="AS40" s="312"/>
      <c r="AT40" s="312"/>
      <c r="AU40" s="312"/>
      <c r="AV40" s="312"/>
      <c r="AW40" s="312"/>
      <c r="AX40" s="312"/>
      <c r="AY40" s="312"/>
      <c r="AZ40" s="312"/>
      <c r="BA40" s="312"/>
      <c r="BB40" s="312"/>
      <c r="BC40" s="312"/>
      <c r="BD40" s="312"/>
      <c r="BE40" s="312"/>
      <c r="BF40" s="312"/>
      <c r="BG40" s="312"/>
      <c r="BH40" s="312"/>
      <c r="BI40" s="312"/>
      <c r="BJ40" s="312"/>
      <c r="BK40" s="312"/>
      <c r="BL40" s="312"/>
      <c r="BM40" s="312"/>
      <c r="BN40" s="312"/>
      <c r="BO40" s="312"/>
      <c r="BP40" s="312"/>
      <c r="BQ40" s="312"/>
      <c r="BR40" s="312"/>
      <c r="BS40" s="312"/>
      <c r="BT40" s="312"/>
      <c r="BU40" s="312"/>
      <c r="BV40" s="312"/>
      <c r="BW40" s="312"/>
      <c r="BX40" s="312"/>
      <c r="BY40" s="312"/>
      <c r="BZ40" s="312"/>
      <c r="CA40" s="312"/>
      <c r="CB40" s="312"/>
      <c r="CC40" s="312"/>
      <c r="CD40" s="312"/>
      <c r="CE40" s="312"/>
      <c r="CF40" s="312"/>
      <c r="CG40" s="312"/>
      <c r="CH40" s="312"/>
      <c r="CI40" s="312"/>
      <c r="CJ40" s="312"/>
      <c r="CK40" s="312"/>
      <c r="CL40" s="312"/>
      <c r="CM40" s="312"/>
      <c r="CN40" s="312"/>
      <c r="CO40" s="312"/>
      <c r="CP40" s="312"/>
      <c r="CQ40" s="312"/>
      <c r="CR40" s="312"/>
      <c r="CS40" s="312"/>
      <c r="CT40" s="312"/>
      <c r="CU40" s="312"/>
      <c r="CV40" s="312"/>
      <c r="CW40" s="312"/>
      <c r="CX40" s="312"/>
      <c r="CY40" s="312"/>
      <c r="CZ40" s="312"/>
      <c r="DA40" s="312"/>
      <c r="DB40" s="312"/>
      <c r="DC40" s="312"/>
      <c r="DD40" s="312"/>
      <c r="DE40" s="312"/>
      <c r="DF40" s="312"/>
      <c r="DG40" s="312"/>
      <c r="DH40" s="312"/>
      <c r="DI40" s="312"/>
      <c r="DJ40" s="312"/>
      <c r="DK40" s="312"/>
      <c r="DL40" s="312"/>
      <c r="DM40" s="312"/>
      <c r="DN40" s="312"/>
      <c r="DO40" s="312"/>
      <c r="DP40" s="312"/>
      <c r="DQ40" s="312"/>
      <c r="DR40" s="312"/>
      <c r="DS40" s="312"/>
      <c r="DT40" s="312"/>
      <c r="DU40" s="312"/>
      <c r="DV40" s="312"/>
      <c r="DW40" s="312"/>
      <c r="DX40" s="312"/>
      <c r="DY40" s="312"/>
      <c r="DZ40" s="312"/>
      <c r="EA40" s="312"/>
      <c r="EB40" s="312"/>
      <c r="EC40" s="312"/>
      <c r="ED40" s="312"/>
      <c r="EE40" s="312"/>
      <c r="EF40" s="312"/>
      <c r="EG40" s="312"/>
      <c r="EH40" s="312"/>
      <c r="EI40" s="312"/>
      <c r="EJ40" s="312"/>
      <c r="EK40" s="312"/>
      <c r="EL40" s="312"/>
      <c r="EM40" s="312"/>
      <c r="EN40" s="312"/>
      <c r="EO40" s="312"/>
      <c r="EP40" s="312"/>
      <c r="EQ40" s="312"/>
      <c r="ER40" s="312"/>
      <c r="ES40" s="312"/>
      <c r="ET40" s="312"/>
      <c r="EU40" s="312"/>
      <c r="EV40" s="312"/>
      <c r="EW40" s="312"/>
      <c r="EX40" s="312"/>
      <c r="EY40" s="312"/>
      <c r="EZ40" s="312"/>
      <c r="FA40" s="312"/>
      <c r="FB40" s="312"/>
      <c r="FC40" s="312"/>
      <c r="FD40" s="312"/>
      <c r="FE40" s="312"/>
      <c r="FF40" s="312"/>
      <c r="FG40" s="312"/>
      <c r="FH40" s="312"/>
      <c r="FI40" s="312"/>
      <c r="FJ40" s="312"/>
      <c r="FK40" s="312"/>
      <c r="FL40" s="312"/>
      <c r="FM40" s="312"/>
      <c r="FN40" s="312"/>
      <c r="FO40" s="312"/>
      <c r="FP40" s="312"/>
      <c r="FQ40" s="312"/>
      <c r="FR40" s="312"/>
      <c r="FS40" s="312"/>
      <c r="FT40" s="312"/>
      <c r="FU40" s="312"/>
      <c r="FV40" s="312"/>
      <c r="FW40" s="312"/>
      <c r="FX40" s="312"/>
      <c r="FY40" s="312"/>
      <c r="FZ40" s="312"/>
      <c r="GA40" s="312"/>
      <c r="GB40" s="312"/>
      <c r="GC40" s="312"/>
      <c r="GD40" s="312"/>
      <c r="GE40" s="312"/>
      <c r="GF40" s="312"/>
      <c r="GG40" s="312"/>
      <c r="GH40" s="312"/>
      <c r="GI40" s="312"/>
      <c r="GJ40" s="312"/>
      <c r="GK40" s="312"/>
      <c r="GL40" s="312"/>
      <c r="GM40" s="312"/>
      <c r="GN40" s="312"/>
      <c r="GO40" s="312"/>
      <c r="GP40" s="312"/>
      <c r="GQ40" s="312"/>
      <c r="GR40" s="312"/>
      <c r="GS40" s="312"/>
      <c r="GT40" s="312"/>
      <c r="GU40" s="312"/>
      <c r="GV40" s="312"/>
      <c r="GW40" s="312"/>
      <c r="GX40" s="312"/>
      <c r="GY40" s="312"/>
    </row>
    <row r="41" spans="2:207" ht="15.75" x14ac:dyDescent="0.25">
      <c r="B41" s="316">
        <f t="shared" si="1"/>
        <v>11</v>
      </c>
      <c r="C41" s="330">
        <f>'סיכום לוועדה'!B41</f>
        <v>1001350182</v>
      </c>
      <c r="D41" s="330">
        <f>'סיכום לוועדה'!C41</f>
        <v>1001344519</v>
      </c>
      <c r="E41" s="330">
        <f>'סיכום לוועדה'!D41</f>
        <v>40000070</v>
      </c>
      <c r="F41" s="330">
        <f>'סיכום לוועדה'!E41</f>
        <v>20000159</v>
      </c>
      <c r="G41" s="330" t="str">
        <f>'סיכום לוועדה'!F41</f>
        <v>ירושלים</v>
      </c>
      <c r="H41" s="317" t="str">
        <f>'סיכום לוועדה'!G41</f>
        <v>הורה ירושלים</v>
      </c>
      <c r="I41" s="318">
        <f>'סיכום לוועדה'!U41</f>
        <v>1600000</v>
      </c>
      <c r="J41" s="319">
        <f>'סיכום לוועדה'!T41</f>
        <v>213285.70249605831</v>
      </c>
      <c r="K41" s="320">
        <f t="shared" si="2"/>
        <v>0</v>
      </c>
      <c r="L41" s="319">
        <f t="shared" si="3"/>
        <v>213285.70249605831</v>
      </c>
      <c r="M41" s="331">
        <f>'תחום תמיכה ב'!AF41</f>
        <v>1.5417621057104835E-3</v>
      </c>
      <c r="N41" s="319">
        <f t="shared" si="0"/>
        <v>239548.86746388007</v>
      </c>
      <c r="O41" s="321">
        <f t="shared" si="4"/>
        <v>0</v>
      </c>
      <c r="P41" s="322">
        <f t="shared" si="5"/>
        <v>239548.86746388007</v>
      </c>
      <c r="Q41" s="322">
        <f t="shared" si="6"/>
        <v>239657.94038987919</v>
      </c>
      <c r="R41" s="321">
        <f t="shared" si="7"/>
        <v>0</v>
      </c>
      <c r="S41" s="322">
        <f t="shared" si="8"/>
        <v>239657.94038987919</v>
      </c>
      <c r="T41" s="322">
        <f t="shared" si="9"/>
        <v>239657.9403898787</v>
      </c>
      <c r="U41" s="321">
        <f t="shared" si="10"/>
        <v>0</v>
      </c>
      <c r="V41" s="322">
        <f t="shared" si="11"/>
        <v>239657.9403898787</v>
      </c>
      <c r="W41" s="322">
        <f t="shared" si="12"/>
        <v>239657.94038987876</v>
      </c>
      <c r="X41" s="321">
        <f t="shared" si="13"/>
        <v>0</v>
      </c>
      <c r="Y41" s="322">
        <f t="shared" si="14"/>
        <v>239657.94038987876</v>
      </c>
      <c r="Z41" s="322">
        <f t="shared" si="15"/>
        <v>239657.9403898787</v>
      </c>
      <c r="AA41" s="323">
        <f t="shared" si="16"/>
        <v>239657.9403898787</v>
      </c>
      <c r="AB41" s="323"/>
      <c r="AC41" s="323"/>
      <c r="AD41" s="323"/>
      <c r="AE41" s="323"/>
      <c r="AF41" s="324">
        <f t="shared" si="17"/>
        <v>1.3724691549321583E-3</v>
      </c>
      <c r="AG41" s="312"/>
      <c r="AH41" s="312"/>
      <c r="AI41" s="325">
        <f t="shared" si="18"/>
        <v>1</v>
      </c>
      <c r="AJ41" s="312"/>
      <c r="AK41" s="312"/>
      <c r="AL41" s="312"/>
      <c r="AM41" s="312"/>
      <c r="AN41" s="312"/>
      <c r="AO41" s="312"/>
      <c r="AP41" s="312"/>
      <c r="AQ41" s="312"/>
      <c r="AR41" s="312"/>
      <c r="AS41" s="312"/>
      <c r="AT41" s="312"/>
      <c r="AU41" s="312"/>
      <c r="AV41" s="312"/>
      <c r="AW41" s="312"/>
      <c r="AX41" s="312"/>
      <c r="AY41" s="312"/>
      <c r="AZ41" s="312"/>
      <c r="BA41" s="312"/>
      <c r="BB41" s="312"/>
      <c r="BC41" s="312"/>
      <c r="BD41" s="312"/>
      <c r="BE41" s="312"/>
      <c r="BF41" s="312"/>
      <c r="BG41" s="312"/>
      <c r="BH41" s="312"/>
      <c r="BI41" s="312"/>
      <c r="BJ41" s="312"/>
      <c r="BK41" s="312"/>
      <c r="BL41" s="312"/>
      <c r="BM41" s="312"/>
      <c r="BN41" s="312"/>
      <c r="BO41" s="312"/>
      <c r="BP41" s="312"/>
      <c r="BQ41" s="312"/>
      <c r="BR41" s="312"/>
      <c r="BS41" s="312"/>
      <c r="BT41" s="312"/>
      <c r="BU41" s="312"/>
      <c r="BV41" s="312"/>
      <c r="BW41" s="312"/>
      <c r="BX41" s="312"/>
      <c r="BY41" s="312"/>
      <c r="BZ41" s="312"/>
      <c r="CA41" s="312"/>
      <c r="CB41" s="312"/>
      <c r="CC41" s="312"/>
      <c r="CD41" s="312"/>
      <c r="CE41" s="312"/>
      <c r="CF41" s="312"/>
      <c r="CG41" s="312"/>
      <c r="CH41" s="312"/>
      <c r="CI41" s="312"/>
      <c r="CJ41" s="312"/>
      <c r="CK41" s="312"/>
      <c r="CL41" s="312"/>
      <c r="CM41" s="312"/>
      <c r="CN41" s="312"/>
      <c r="CO41" s="312"/>
      <c r="CP41" s="312"/>
      <c r="CQ41" s="312"/>
      <c r="CR41" s="312"/>
      <c r="CS41" s="312"/>
      <c r="CT41" s="312"/>
      <c r="CU41" s="312"/>
      <c r="CV41" s="312"/>
      <c r="CW41" s="312"/>
      <c r="CX41" s="312"/>
      <c r="CY41" s="312"/>
      <c r="CZ41" s="312"/>
      <c r="DA41" s="312"/>
      <c r="DB41" s="312"/>
      <c r="DC41" s="312"/>
      <c r="DD41" s="312"/>
      <c r="DE41" s="312"/>
      <c r="DF41" s="312"/>
      <c r="DG41" s="312"/>
      <c r="DH41" s="312"/>
      <c r="DI41" s="312"/>
      <c r="DJ41" s="312"/>
      <c r="DK41" s="312"/>
      <c r="DL41" s="312"/>
      <c r="DM41" s="312"/>
      <c r="DN41" s="312"/>
      <c r="DO41" s="312"/>
      <c r="DP41" s="312"/>
      <c r="DQ41" s="312"/>
      <c r="DR41" s="312"/>
      <c r="DS41" s="312"/>
      <c r="DT41" s="312"/>
      <c r="DU41" s="312"/>
      <c r="DV41" s="312"/>
      <c r="DW41" s="312"/>
      <c r="DX41" s="312"/>
      <c r="DY41" s="312"/>
      <c r="DZ41" s="312"/>
      <c r="EA41" s="312"/>
      <c r="EB41" s="312"/>
      <c r="EC41" s="312"/>
      <c r="ED41" s="312"/>
      <c r="EE41" s="312"/>
      <c r="EF41" s="312"/>
      <c r="EG41" s="312"/>
      <c r="EH41" s="312"/>
      <c r="EI41" s="312"/>
      <c r="EJ41" s="312"/>
      <c r="EK41" s="312"/>
      <c r="EL41" s="312"/>
      <c r="EM41" s="312"/>
      <c r="EN41" s="312"/>
      <c r="EO41" s="312"/>
      <c r="EP41" s="312"/>
      <c r="EQ41" s="312"/>
      <c r="ER41" s="312"/>
      <c r="ES41" s="312"/>
      <c r="ET41" s="312"/>
      <c r="EU41" s="312"/>
      <c r="EV41" s="312"/>
      <c r="EW41" s="312"/>
      <c r="EX41" s="312"/>
      <c r="EY41" s="312"/>
      <c r="EZ41" s="312"/>
      <c r="FA41" s="312"/>
      <c r="FB41" s="312"/>
      <c r="FC41" s="312"/>
      <c r="FD41" s="312"/>
      <c r="FE41" s="312"/>
      <c r="FF41" s="312"/>
      <c r="FG41" s="312"/>
      <c r="FH41" s="312"/>
      <c r="FI41" s="312"/>
      <c r="FJ41" s="312"/>
      <c r="FK41" s="312"/>
      <c r="FL41" s="312"/>
      <c r="FM41" s="312"/>
      <c r="FN41" s="312"/>
      <c r="FO41" s="312"/>
      <c r="FP41" s="312"/>
      <c r="FQ41" s="312"/>
      <c r="FR41" s="312"/>
      <c r="FS41" s="312"/>
      <c r="FT41" s="312"/>
      <c r="FU41" s="312"/>
      <c r="FV41" s="312"/>
      <c r="FW41" s="312"/>
      <c r="FX41" s="312"/>
      <c r="FY41" s="312"/>
      <c r="FZ41" s="312"/>
      <c r="GA41" s="312"/>
      <c r="GB41" s="312"/>
      <c r="GC41" s="312"/>
      <c r="GD41" s="312"/>
      <c r="GE41" s="312"/>
      <c r="GF41" s="312"/>
      <c r="GG41" s="312"/>
      <c r="GH41" s="312"/>
      <c r="GI41" s="312"/>
      <c r="GJ41" s="312"/>
      <c r="GK41" s="312"/>
      <c r="GL41" s="312"/>
      <c r="GM41" s="312"/>
      <c r="GN41" s="312"/>
      <c r="GO41" s="312"/>
      <c r="GP41" s="312"/>
      <c r="GQ41" s="312"/>
      <c r="GR41" s="312"/>
      <c r="GS41" s="312"/>
      <c r="GT41" s="312"/>
      <c r="GU41" s="312"/>
      <c r="GV41" s="312"/>
      <c r="GW41" s="312"/>
      <c r="GX41" s="312"/>
      <c r="GY41" s="312"/>
    </row>
    <row r="42" spans="2:207" ht="15.75" x14ac:dyDescent="0.25">
      <c r="B42" s="316">
        <f t="shared" si="1"/>
        <v>12</v>
      </c>
      <c r="C42" s="330">
        <f>'סיכום לוועדה'!B42</f>
        <v>1001349551</v>
      </c>
      <c r="D42" s="330">
        <f>'סיכום לוועדה'!C42</f>
        <v>1001271250</v>
      </c>
      <c r="E42" s="330">
        <f>'סיכום לוועדה'!D42</f>
        <v>40000101</v>
      </c>
      <c r="F42" s="330">
        <f>'סיכום לוועדה'!E42</f>
        <v>20000208</v>
      </c>
      <c r="G42" s="330" t="str">
        <f>'סיכום לוועדה'!F42</f>
        <v>חוף אשקלון</v>
      </c>
      <c r="H42" s="317" t="str">
        <f>'סיכום לוועדה'!G42</f>
        <v>מוזיאון יד מרדכי</v>
      </c>
      <c r="I42" s="318">
        <f>'סיכום לוועדה'!U42</f>
        <v>500000</v>
      </c>
      <c r="J42" s="319">
        <f>'סיכום לוועדה'!T42</f>
        <v>185905.70423077262</v>
      </c>
      <c r="K42" s="320">
        <f t="shared" si="2"/>
        <v>0</v>
      </c>
      <c r="L42" s="319">
        <f t="shared" si="3"/>
        <v>185905.70423077262</v>
      </c>
      <c r="M42" s="331">
        <f>'תחום תמיכה ב'!AF42</f>
        <v>1.2059945818171922E-3</v>
      </c>
      <c r="N42" s="319">
        <f t="shared" si="0"/>
        <v>206449.23331042158</v>
      </c>
      <c r="O42" s="321">
        <f t="shared" si="4"/>
        <v>0</v>
      </c>
      <c r="P42" s="322">
        <f t="shared" si="5"/>
        <v>206449.23331042158</v>
      </c>
      <c r="Q42" s="322">
        <f t="shared" si="6"/>
        <v>206543.23509880758</v>
      </c>
      <c r="R42" s="321">
        <f t="shared" si="7"/>
        <v>0</v>
      </c>
      <c r="S42" s="322">
        <f t="shared" si="8"/>
        <v>206543.23509880758</v>
      </c>
      <c r="T42" s="322">
        <f t="shared" si="9"/>
        <v>206543.23509880714</v>
      </c>
      <c r="U42" s="321">
        <f t="shared" si="10"/>
        <v>0</v>
      </c>
      <c r="V42" s="322">
        <f t="shared" si="11"/>
        <v>206543.23509880714</v>
      </c>
      <c r="W42" s="322">
        <f t="shared" si="12"/>
        <v>206543.23509880723</v>
      </c>
      <c r="X42" s="321">
        <f t="shared" si="13"/>
        <v>0</v>
      </c>
      <c r="Y42" s="322">
        <f t="shared" si="14"/>
        <v>206543.23509880723</v>
      </c>
      <c r="Z42" s="322">
        <f t="shared" si="15"/>
        <v>206543.2350988072</v>
      </c>
      <c r="AA42" s="323">
        <f t="shared" si="16"/>
        <v>206543.2350988072</v>
      </c>
      <c r="AB42" s="323"/>
      <c r="AC42" s="323"/>
      <c r="AD42" s="323"/>
      <c r="AE42" s="323"/>
      <c r="AF42" s="324">
        <f t="shared" si="17"/>
        <v>1.1828284048166918E-3</v>
      </c>
      <c r="AG42" s="312"/>
      <c r="AH42" s="312"/>
      <c r="AI42" s="325">
        <f t="shared" si="18"/>
        <v>1</v>
      </c>
      <c r="AJ42" s="312"/>
      <c r="AK42" s="312"/>
      <c r="AL42" s="312"/>
      <c r="AM42" s="312"/>
      <c r="AN42" s="312"/>
      <c r="AO42" s="312"/>
      <c r="AP42" s="312"/>
      <c r="AQ42" s="312"/>
      <c r="AR42" s="312"/>
      <c r="AS42" s="312"/>
      <c r="AT42" s="312"/>
      <c r="AU42" s="312"/>
      <c r="AV42" s="312"/>
      <c r="AW42" s="312"/>
      <c r="AX42" s="312"/>
      <c r="AY42" s="312"/>
      <c r="AZ42" s="312"/>
      <c r="BA42" s="312"/>
      <c r="BB42" s="312"/>
      <c r="BC42" s="312"/>
      <c r="BD42" s="312"/>
      <c r="BE42" s="312"/>
      <c r="BF42" s="312"/>
      <c r="BG42" s="312"/>
      <c r="BH42" s="312"/>
      <c r="BI42" s="312"/>
      <c r="BJ42" s="312"/>
      <c r="BK42" s="312"/>
      <c r="BL42" s="312"/>
      <c r="BM42" s="312"/>
      <c r="BN42" s="312"/>
      <c r="BO42" s="312"/>
      <c r="BP42" s="312"/>
      <c r="BQ42" s="312"/>
      <c r="BR42" s="312"/>
      <c r="BS42" s="312"/>
      <c r="BT42" s="312"/>
      <c r="BU42" s="312"/>
      <c r="BV42" s="312"/>
      <c r="BW42" s="312"/>
      <c r="BX42" s="312"/>
      <c r="BY42" s="312"/>
      <c r="BZ42" s="312"/>
      <c r="CA42" s="312"/>
      <c r="CB42" s="312"/>
      <c r="CC42" s="312"/>
      <c r="CD42" s="312"/>
      <c r="CE42" s="312"/>
      <c r="CF42" s="312"/>
      <c r="CG42" s="312"/>
      <c r="CH42" s="312"/>
      <c r="CI42" s="312"/>
      <c r="CJ42" s="312"/>
      <c r="CK42" s="312"/>
      <c r="CL42" s="312"/>
      <c r="CM42" s="312"/>
      <c r="CN42" s="312"/>
      <c r="CO42" s="312"/>
      <c r="CP42" s="312"/>
      <c r="CQ42" s="312"/>
      <c r="CR42" s="312"/>
      <c r="CS42" s="312"/>
      <c r="CT42" s="312"/>
      <c r="CU42" s="312"/>
      <c r="CV42" s="312"/>
      <c r="CW42" s="312"/>
      <c r="CX42" s="312"/>
      <c r="CY42" s="312"/>
      <c r="CZ42" s="312"/>
      <c r="DA42" s="312"/>
      <c r="DB42" s="312"/>
      <c r="DC42" s="312"/>
      <c r="DD42" s="312"/>
      <c r="DE42" s="312"/>
      <c r="DF42" s="312"/>
      <c r="DG42" s="312"/>
      <c r="DH42" s="312"/>
      <c r="DI42" s="312"/>
      <c r="DJ42" s="312"/>
      <c r="DK42" s="312"/>
      <c r="DL42" s="312"/>
      <c r="DM42" s="312"/>
      <c r="DN42" s="312"/>
      <c r="DO42" s="312"/>
      <c r="DP42" s="312"/>
      <c r="DQ42" s="312"/>
      <c r="DR42" s="312"/>
      <c r="DS42" s="312"/>
      <c r="DT42" s="312"/>
      <c r="DU42" s="312"/>
      <c r="DV42" s="312"/>
      <c r="DW42" s="312"/>
      <c r="DX42" s="312"/>
      <c r="DY42" s="312"/>
      <c r="DZ42" s="312"/>
      <c r="EA42" s="312"/>
      <c r="EB42" s="312"/>
      <c r="EC42" s="312"/>
      <c r="ED42" s="312"/>
      <c r="EE42" s="312"/>
      <c r="EF42" s="312"/>
      <c r="EG42" s="312"/>
      <c r="EH42" s="312"/>
      <c r="EI42" s="312"/>
      <c r="EJ42" s="312"/>
      <c r="EK42" s="312"/>
      <c r="EL42" s="312"/>
      <c r="EM42" s="312"/>
      <c r="EN42" s="312"/>
      <c r="EO42" s="312"/>
      <c r="EP42" s="312"/>
      <c r="EQ42" s="312"/>
      <c r="ER42" s="312"/>
      <c r="ES42" s="312"/>
      <c r="ET42" s="312"/>
      <c r="EU42" s="312"/>
      <c r="EV42" s="312"/>
      <c r="EW42" s="312"/>
      <c r="EX42" s="312"/>
      <c r="EY42" s="312"/>
      <c r="EZ42" s="312"/>
      <c r="FA42" s="312"/>
      <c r="FB42" s="312"/>
      <c r="FC42" s="312"/>
      <c r="FD42" s="312"/>
      <c r="FE42" s="312"/>
      <c r="FF42" s="312"/>
      <c r="FG42" s="312"/>
      <c r="FH42" s="312"/>
      <c r="FI42" s="312"/>
      <c r="FJ42" s="312"/>
      <c r="FK42" s="312"/>
      <c r="FL42" s="312"/>
      <c r="FM42" s="312"/>
      <c r="FN42" s="312"/>
      <c r="FO42" s="312"/>
      <c r="FP42" s="312"/>
      <c r="FQ42" s="312"/>
      <c r="FR42" s="312"/>
      <c r="FS42" s="312"/>
      <c r="FT42" s="312"/>
      <c r="FU42" s="312"/>
      <c r="FV42" s="312"/>
      <c r="FW42" s="312"/>
      <c r="FX42" s="312"/>
      <c r="FY42" s="312"/>
      <c r="FZ42" s="312"/>
      <c r="GA42" s="312"/>
      <c r="GB42" s="312"/>
      <c r="GC42" s="312"/>
      <c r="GD42" s="312"/>
      <c r="GE42" s="312"/>
      <c r="GF42" s="312"/>
      <c r="GG42" s="312"/>
      <c r="GH42" s="312"/>
      <c r="GI42" s="312"/>
      <c r="GJ42" s="312"/>
      <c r="GK42" s="312"/>
      <c r="GL42" s="312"/>
      <c r="GM42" s="312"/>
      <c r="GN42" s="312"/>
      <c r="GO42" s="312"/>
      <c r="GP42" s="312"/>
      <c r="GQ42" s="312"/>
      <c r="GR42" s="312"/>
      <c r="GS42" s="312"/>
      <c r="GT42" s="312"/>
      <c r="GU42" s="312"/>
      <c r="GV42" s="312"/>
      <c r="GW42" s="312"/>
      <c r="GX42" s="312"/>
      <c r="GY42" s="312"/>
    </row>
    <row r="43" spans="2:207" ht="15.75" x14ac:dyDescent="0.25">
      <c r="B43" s="316">
        <f t="shared" si="1"/>
        <v>13</v>
      </c>
      <c r="C43" s="330">
        <f>'סיכום לוועדה'!B43</f>
        <v>1001347156</v>
      </c>
      <c r="D43" s="330">
        <f>'סיכום לוועדה'!C43</f>
        <v>1001263123</v>
      </c>
      <c r="E43" s="330">
        <f>'סיכום לוועדה'!D43</f>
        <v>40000052</v>
      </c>
      <c r="F43" s="330">
        <f>'סיכום לוועדה'!E43</f>
        <v>20000132</v>
      </c>
      <c r="G43" s="330" t="str">
        <f>'סיכום לוועדה'!F43</f>
        <v>עמק הירדן</v>
      </c>
      <c r="H43" s="317" t="str">
        <f>'סיכום לוועדה'!G43</f>
        <v>בית יגאל אלון</v>
      </c>
      <c r="I43" s="318">
        <f>'סיכום לוועדה'!U43</f>
        <v>800000</v>
      </c>
      <c r="J43" s="319">
        <f>'סיכום לוועדה'!T43</f>
        <v>767824.03971250728</v>
      </c>
      <c r="K43" s="320">
        <f t="shared" si="2"/>
        <v>0</v>
      </c>
      <c r="L43" s="319">
        <f t="shared" si="3"/>
        <v>767824.03971250728</v>
      </c>
      <c r="M43" s="331">
        <f>'תחום תמיכה ב'!AF43</f>
        <v>5.4089756474675552E-3</v>
      </c>
      <c r="N43" s="319">
        <f t="shared" si="0"/>
        <v>859963.29985530837</v>
      </c>
      <c r="O43" s="321">
        <f t="shared" si="4"/>
        <v>1</v>
      </c>
      <c r="P43" s="322">
        <f t="shared" si="5"/>
        <v>800000</v>
      </c>
      <c r="Q43" s="322">
        <f t="shared" si="6"/>
        <v>800000</v>
      </c>
      <c r="R43" s="321">
        <f t="shared" si="7"/>
        <v>1</v>
      </c>
      <c r="S43" s="322">
        <f t="shared" si="8"/>
        <v>800000</v>
      </c>
      <c r="T43" s="322">
        <f t="shared" si="9"/>
        <v>800000</v>
      </c>
      <c r="U43" s="321">
        <f t="shared" si="10"/>
        <v>1</v>
      </c>
      <c r="V43" s="322">
        <f t="shared" si="11"/>
        <v>800000</v>
      </c>
      <c r="W43" s="322">
        <f t="shared" si="12"/>
        <v>800000</v>
      </c>
      <c r="X43" s="321">
        <f t="shared" si="13"/>
        <v>1</v>
      </c>
      <c r="Y43" s="322">
        <f t="shared" si="14"/>
        <v>800000</v>
      </c>
      <c r="Z43" s="322">
        <f t="shared" si="15"/>
        <v>800000</v>
      </c>
      <c r="AA43" s="323">
        <f t="shared" si="16"/>
        <v>800000</v>
      </c>
      <c r="AB43" s="323"/>
      <c r="AC43" s="323"/>
      <c r="AD43" s="323"/>
      <c r="AE43" s="323"/>
      <c r="AF43" s="324">
        <f t="shared" si="17"/>
        <v>4.5814268542887669E-3</v>
      </c>
      <c r="AG43" s="312"/>
      <c r="AH43" s="312"/>
      <c r="AI43" s="325">
        <f t="shared" si="18"/>
        <v>1</v>
      </c>
      <c r="AJ43" s="312"/>
      <c r="AK43" s="312"/>
      <c r="AL43" s="312"/>
      <c r="AM43" s="312"/>
      <c r="AN43" s="312"/>
      <c r="AO43" s="312"/>
      <c r="AP43" s="312"/>
      <c r="AQ43" s="312"/>
      <c r="AR43" s="312"/>
      <c r="AS43" s="312"/>
      <c r="AT43" s="312"/>
      <c r="AU43" s="312"/>
      <c r="AV43" s="312"/>
      <c r="AW43" s="312"/>
      <c r="AX43" s="312"/>
      <c r="AY43" s="312"/>
      <c r="AZ43" s="312"/>
      <c r="BA43" s="312"/>
      <c r="BB43" s="312"/>
      <c r="BC43" s="312"/>
      <c r="BD43" s="312"/>
      <c r="BE43" s="312"/>
      <c r="BF43" s="312"/>
      <c r="BG43" s="312"/>
      <c r="BH43" s="312"/>
      <c r="BI43" s="312"/>
      <c r="BJ43" s="312"/>
      <c r="BK43" s="312"/>
      <c r="BL43" s="312"/>
      <c r="BM43" s="312"/>
      <c r="BN43" s="312"/>
      <c r="BO43" s="312"/>
      <c r="BP43" s="312"/>
      <c r="BQ43" s="312"/>
      <c r="BR43" s="312"/>
      <c r="BS43" s="312"/>
      <c r="BT43" s="312"/>
      <c r="BU43" s="312"/>
      <c r="BV43" s="312"/>
      <c r="BW43" s="312"/>
      <c r="BX43" s="312"/>
      <c r="BY43" s="312"/>
      <c r="BZ43" s="312"/>
      <c r="CA43" s="312"/>
      <c r="CB43" s="312"/>
      <c r="CC43" s="312"/>
      <c r="CD43" s="312"/>
      <c r="CE43" s="312"/>
      <c r="CF43" s="312"/>
      <c r="CG43" s="312"/>
      <c r="CH43" s="312"/>
      <c r="CI43" s="312"/>
      <c r="CJ43" s="312"/>
      <c r="CK43" s="312"/>
      <c r="CL43" s="312"/>
      <c r="CM43" s="312"/>
      <c r="CN43" s="312"/>
      <c r="CO43" s="312"/>
      <c r="CP43" s="312"/>
      <c r="CQ43" s="312"/>
      <c r="CR43" s="312"/>
      <c r="CS43" s="312"/>
      <c r="CT43" s="312"/>
      <c r="CU43" s="312"/>
      <c r="CV43" s="312"/>
      <c r="CW43" s="312"/>
      <c r="CX43" s="312"/>
      <c r="CY43" s="312"/>
      <c r="CZ43" s="312"/>
      <c r="DA43" s="312"/>
      <c r="DB43" s="312"/>
      <c r="DC43" s="312"/>
      <c r="DD43" s="312"/>
      <c r="DE43" s="312"/>
      <c r="DF43" s="312"/>
      <c r="DG43" s="312"/>
      <c r="DH43" s="312"/>
      <c r="DI43" s="312"/>
      <c r="DJ43" s="312"/>
      <c r="DK43" s="312"/>
      <c r="DL43" s="312"/>
      <c r="DM43" s="312"/>
      <c r="DN43" s="312"/>
      <c r="DO43" s="312"/>
      <c r="DP43" s="312"/>
      <c r="DQ43" s="312"/>
      <c r="DR43" s="312"/>
      <c r="DS43" s="312"/>
      <c r="DT43" s="312"/>
      <c r="DU43" s="312"/>
      <c r="DV43" s="312"/>
      <c r="DW43" s="312"/>
      <c r="DX43" s="312"/>
      <c r="DY43" s="312"/>
      <c r="DZ43" s="312"/>
      <c r="EA43" s="312"/>
      <c r="EB43" s="312"/>
      <c r="EC43" s="312"/>
      <c r="ED43" s="312"/>
      <c r="EE43" s="312"/>
      <c r="EF43" s="312"/>
      <c r="EG43" s="312"/>
      <c r="EH43" s="312"/>
      <c r="EI43" s="312"/>
      <c r="EJ43" s="312"/>
      <c r="EK43" s="312"/>
      <c r="EL43" s="312"/>
      <c r="EM43" s="312"/>
      <c r="EN43" s="312"/>
      <c r="EO43" s="312"/>
      <c r="EP43" s="312"/>
      <c r="EQ43" s="312"/>
      <c r="ER43" s="312"/>
      <c r="ES43" s="312"/>
      <c r="ET43" s="312"/>
      <c r="EU43" s="312"/>
      <c r="EV43" s="312"/>
      <c r="EW43" s="312"/>
      <c r="EX43" s="312"/>
      <c r="EY43" s="312"/>
      <c r="EZ43" s="312"/>
      <c r="FA43" s="312"/>
      <c r="FB43" s="312"/>
      <c r="FC43" s="312"/>
      <c r="FD43" s="312"/>
      <c r="FE43" s="312"/>
      <c r="FF43" s="312"/>
      <c r="FG43" s="312"/>
      <c r="FH43" s="312"/>
      <c r="FI43" s="312"/>
      <c r="FJ43" s="312"/>
      <c r="FK43" s="312"/>
      <c r="FL43" s="312"/>
      <c r="FM43" s="312"/>
      <c r="FN43" s="312"/>
      <c r="FO43" s="312"/>
      <c r="FP43" s="312"/>
      <c r="FQ43" s="312"/>
      <c r="FR43" s="312"/>
      <c r="FS43" s="312"/>
      <c r="FT43" s="312"/>
      <c r="FU43" s="312"/>
      <c r="FV43" s="312"/>
      <c r="FW43" s="312"/>
      <c r="FX43" s="312"/>
      <c r="FY43" s="312"/>
      <c r="FZ43" s="312"/>
      <c r="GA43" s="312"/>
      <c r="GB43" s="312"/>
      <c r="GC43" s="312"/>
      <c r="GD43" s="312"/>
      <c r="GE43" s="312"/>
      <c r="GF43" s="312"/>
      <c r="GG43" s="312"/>
      <c r="GH43" s="312"/>
      <c r="GI43" s="312"/>
      <c r="GJ43" s="312"/>
      <c r="GK43" s="312"/>
      <c r="GL43" s="312"/>
      <c r="GM43" s="312"/>
      <c r="GN43" s="312"/>
      <c r="GO43" s="312"/>
      <c r="GP43" s="312"/>
      <c r="GQ43" s="312"/>
      <c r="GR43" s="312"/>
      <c r="GS43" s="312"/>
      <c r="GT43" s="312"/>
      <c r="GU43" s="312"/>
      <c r="GV43" s="312"/>
      <c r="GW43" s="312"/>
      <c r="GX43" s="312"/>
      <c r="GY43" s="312"/>
    </row>
    <row r="44" spans="2:207" ht="15.75" x14ac:dyDescent="0.25">
      <c r="B44" s="316">
        <f t="shared" si="1"/>
        <v>14</v>
      </c>
      <c r="C44" s="330">
        <f>'סיכום לוועדה'!B44</f>
        <v>1001348127</v>
      </c>
      <c r="D44" s="330">
        <f>'סיכום לוועדה'!C44</f>
        <v>1001268819</v>
      </c>
      <c r="E44" s="330">
        <f>'סיכום לוועדה'!D44</f>
        <v>40000028</v>
      </c>
      <c r="F44" s="330">
        <f>'סיכום לוועדה'!E44</f>
        <v>20000159</v>
      </c>
      <c r="G44" s="330" t="str">
        <f>'סיכום לוועדה'!F44</f>
        <v>ירושלים</v>
      </c>
      <c r="H44" s="317" t="str">
        <f>'סיכום לוועדה'!G44</f>
        <v>הקם בע"מ</v>
      </c>
      <c r="I44" s="318">
        <f>'סיכום לוועדה'!U44</f>
        <v>2400000</v>
      </c>
      <c r="J44" s="319">
        <f>'סיכום לוועדה'!T44</f>
        <v>102559.28469424369</v>
      </c>
      <c r="K44" s="320">
        <f t="shared" si="2"/>
        <v>0</v>
      </c>
      <c r="L44" s="319">
        <f t="shared" si="3"/>
        <v>102559.28469424369</v>
      </c>
      <c r="M44" s="331">
        <f>'תחום תמיכה ב'!AF44</f>
        <v>5.4418346375622998E-4</v>
      </c>
      <c r="N44" s="319">
        <f t="shared" si="0"/>
        <v>111829.18439436922</v>
      </c>
      <c r="O44" s="321">
        <f t="shared" si="4"/>
        <v>0</v>
      </c>
      <c r="P44" s="322">
        <f t="shared" si="5"/>
        <v>111829.18439436922</v>
      </c>
      <c r="Q44" s="322">
        <f t="shared" si="6"/>
        <v>111880.10317550614</v>
      </c>
      <c r="R44" s="321">
        <f t="shared" si="7"/>
        <v>0</v>
      </c>
      <c r="S44" s="322">
        <f t="shared" si="8"/>
        <v>111880.10317550614</v>
      </c>
      <c r="T44" s="322">
        <f t="shared" si="9"/>
        <v>111880.10317550592</v>
      </c>
      <c r="U44" s="321">
        <f t="shared" si="10"/>
        <v>0</v>
      </c>
      <c r="V44" s="322">
        <f t="shared" si="11"/>
        <v>111880.10317550592</v>
      </c>
      <c r="W44" s="322">
        <f t="shared" si="12"/>
        <v>111880.10317550595</v>
      </c>
      <c r="X44" s="321">
        <f t="shared" si="13"/>
        <v>0</v>
      </c>
      <c r="Y44" s="322">
        <f t="shared" si="14"/>
        <v>111880.10317550595</v>
      </c>
      <c r="Z44" s="322">
        <f t="shared" si="15"/>
        <v>111880.10317550592</v>
      </c>
      <c r="AA44" s="323">
        <f t="shared" si="16"/>
        <v>111880.10317550592</v>
      </c>
      <c r="AB44" s="323"/>
      <c r="AC44" s="323"/>
      <c r="AD44" s="323"/>
      <c r="AE44" s="323"/>
      <c r="AF44" s="324">
        <f t="shared" si="17"/>
        <v>6.4071313643607598E-4</v>
      </c>
      <c r="AG44" s="312"/>
      <c r="AH44" s="312"/>
      <c r="AI44" s="325">
        <f t="shared" si="18"/>
        <v>1</v>
      </c>
      <c r="AJ44" s="312"/>
      <c r="AK44" s="312"/>
      <c r="AL44" s="312"/>
      <c r="AM44" s="312"/>
      <c r="AN44" s="312"/>
      <c r="AO44" s="312"/>
      <c r="AP44" s="312"/>
      <c r="AQ44" s="312"/>
      <c r="AR44" s="312"/>
      <c r="AS44" s="312"/>
      <c r="AT44" s="312"/>
      <c r="AU44" s="312"/>
      <c r="AV44" s="312"/>
      <c r="AW44" s="312"/>
      <c r="AX44" s="312"/>
      <c r="AY44" s="312"/>
      <c r="AZ44" s="312"/>
      <c r="BA44" s="312"/>
      <c r="BB44" s="312"/>
      <c r="BC44" s="312"/>
      <c r="BD44" s="312"/>
      <c r="BE44" s="312"/>
      <c r="BF44" s="312"/>
      <c r="BG44" s="312"/>
      <c r="BH44" s="312"/>
      <c r="BI44" s="312"/>
      <c r="BJ44" s="312"/>
      <c r="BK44" s="312"/>
      <c r="BL44" s="312"/>
      <c r="BM44" s="312"/>
      <c r="BN44" s="312"/>
      <c r="BO44" s="312"/>
      <c r="BP44" s="312"/>
      <c r="BQ44" s="312"/>
      <c r="BR44" s="312"/>
      <c r="BS44" s="312"/>
      <c r="BT44" s="312"/>
      <c r="BU44" s="312"/>
      <c r="BV44" s="312"/>
      <c r="BW44" s="312"/>
      <c r="BX44" s="312"/>
      <c r="BY44" s="312"/>
      <c r="BZ44" s="312"/>
      <c r="CA44" s="312"/>
      <c r="CB44" s="312"/>
      <c r="CC44" s="312"/>
      <c r="CD44" s="312"/>
      <c r="CE44" s="312"/>
      <c r="CF44" s="312"/>
      <c r="CG44" s="312"/>
      <c r="CH44" s="312"/>
      <c r="CI44" s="312"/>
      <c r="CJ44" s="312"/>
      <c r="CK44" s="312"/>
      <c r="CL44" s="312"/>
      <c r="CM44" s="312"/>
      <c r="CN44" s="312"/>
      <c r="CO44" s="312"/>
      <c r="CP44" s="312"/>
      <c r="CQ44" s="312"/>
      <c r="CR44" s="312"/>
      <c r="CS44" s="312"/>
      <c r="CT44" s="312"/>
      <c r="CU44" s="312"/>
      <c r="CV44" s="312"/>
      <c r="CW44" s="312"/>
      <c r="CX44" s="312"/>
      <c r="CY44" s="312"/>
      <c r="CZ44" s="312"/>
      <c r="DA44" s="312"/>
      <c r="DB44" s="312"/>
      <c r="DC44" s="312"/>
      <c r="DD44" s="312"/>
      <c r="DE44" s="312"/>
      <c r="DF44" s="312"/>
      <c r="DG44" s="312"/>
      <c r="DH44" s="312"/>
      <c r="DI44" s="312"/>
      <c r="DJ44" s="312"/>
      <c r="DK44" s="312"/>
      <c r="DL44" s="312"/>
      <c r="DM44" s="312"/>
      <c r="DN44" s="312"/>
      <c r="DO44" s="312"/>
      <c r="DP44" s="312"/>
      <c r="DQ44" s="312"/>
      <c r="DR44" s="312"/>
      <c r="DS44" s="312"/>
      <c r="DT44" s="312"/>
      <c r="DU44" s="312"/>
      <c r="DV44" s="312"/>
      <c r="DW44" s="312"/>
      <c r="DX44" s="312"/>
      <c r="DY44" s="312"/>
      <c r="DZ44" s="312"/>
      <c r="EA44" s="312"/>
      <c r="EB44" s="312"/>
      <c r="EC44" s="312"/>
      <c r="ED44" s="312"/>
      <c r="EE44" s="312"/>
      <c r="EF44" s="312"/>
      <c r="EG44" s="312"/>
      <c r="EH44" s="312"/>
      <c r="EI44" s="312"/>
      <c r="EJ44" s="312"/>
      <c r="EK44" s="312"/>
      <c r="EL44" s="312"/>
      <c r="EM44" s="312"/>
      <c r="EN44" s="312"/>
      <c r="EO44" s="312"/>
      <c r="EP44" s="312"/>
      <c r="EQ44" s="312"/>
      <c r="ER44" s="312"/>
      <c r="ES44" s="312"/>
      <c r="ET44" s="312"/>
      <c r="EU44" s="312"/>
      <c r="EV44" s="312"/>
      <c r="EW44" s="312"/>
      <c r="EX44" s="312"/>
      <c r="EY44" s="312"/>
      <c r="EZ44" s="312"/>
      <c r="FA44" s="312"/>
      <c r="FB44" s="312"/>
      <c r="FC44" s="312"/>
      <c r="FD44" s="312"/>
      <c r="FE44" s="312"/>
      <c r="FF44" s="312"/>
      <c r="FG44" s="312"/>
      <c r="FH44" s="312"/>
      <c r="FI44" s="312"/>
      <c r="FJ44" s="312"/>
      <c r="FK44" s="312"/>
      <c r="FL44" s="312"/>
      <c r="FM44" s="312"/>
      <c r="FN44" s="312"/>
      <c r="FO44" s="312"/>
      <c r="FP44" s="312"/>
      <c r="FQ44" s="312"/>
      <c r="FR44" s="312"/>
      <c r="FS44" s="312"/>
      <c r="FT44" s="312"/>
      <c r="FU44" s="312"/>
      <c r="FV44" s="312"/>
      <c r="FW44" s="312"/>
      <c r="FX44" s="312"/>
      <c r="FY44" s="312"/>
      <c r="FZ44" s="312"/>
      <c r="GA44" s="312"/>
      <c r="GB44" s="312"/>
      <c r="GC44" s="312"/>
      <c r="GD44" s="312"/>
      <c r="GE44" s="312"/>
      <c r="GF44" s="312"/>
      <c r="GG44" s="312"/>
      <c r="GH44" s="312"/>
      <c r="GI44" s="312"/>
      <c r="GJ44" s="312"/>
      <c r="GK44" s="312"/>
      <c r="GL44" s="312"/>
      <c r="GM44" s="312"/>
      <c r="GN44" s="312"/>
      <c r="GO44" s="312"/>
      <c r="GP44" s="312"/>
      <c r="GQ44" s="312"/>
      <c r="GR44" s="312"/>
      <c r="GS44" s="312"/>
      <c r="GT44" s="312"/>
      <c r="GU44" s="312"/>
      <c r="GV44" s="312"/>
      <c r="GW44" s="312"/>
      <c r="GX44" s="312"/>
      <c r="GY44" s="312"/>
    </row>
    <row r="45" spans="2:207" ht="15.75" x14ac:dyDescent="0.25">
      <c r="B45" s="316">
        <f t="shared" si="1"/>
        <v>15</v>
      </c>
      <c r="C45" s="330">
        <f>'סיכום לוועדה'!B45</f>
        <v>1001346801</v>
      </c>
      <c r="D45" s="330">
        <f>'סיכום לוועדה'!C45</f>
        <v>1001274535</v>
      </c>
      <c r="E45" s="330">
        <f>'סיכום לוועדה'!D45</f>
        <v>40000095</v>
      </c>
      <c r="F45" s="330">
        <f>'סיכום לוועדה'!E45</f>
        <v>20000182</v>
      </c>
      <c r="G45" s="330" t="str">
        <f>'סיכום לוועדה'!F45</f>
        <v>חיפה</v>
      </c>
      <c r="H45" s="317" t="str">
        <f>'סיכום לוועדה'!G45</f>
        <v>בית גפן - מרכז תרבות ערבי יהודי</v>
      </c>
      <c r="I45" s="318">
        <f>'סיכום לוועדה'!U45</f>
        <v>600000</v>
      </c>
      <c r="J45" s="319">
        <f>'סיכום לוועדה'!T45</f>
        <v>76760.635031152749</v>
      </c>
      <c r="K45" s="320">
        <f t="shared" si="2"/>
        <v>0</v>
      </c>
      <c r="L45" s="319">
        <f t="shared" si="3"/>
        <v>76760.635031152749</v>
      </c>
      <c r="M45" s="331">
        <f>'תחום תמיכה ב'!AF45</f>
        <v>3.0704391281189178E-4</v>
      </c>
      <c r="N45" s="319">
        <f t="shared" si="0"/>
        <v>81990.978223968559</v>
      </c>
      <c r="O45" s="321">
        <f t="shared" si="4"/>
        <v>0</v>
      </c>
      <c r="P45" s="322">
        <f t="shared" si="5"/>
        <v>81990.978223968559</v>
      </c>
      <c r="Q45" s="322">
        <f t="shared" si="6"/>
        <v>82028.310881789483</v>
      </c>
      <c r="R45" s="321">
        <f t="shared" si="7"/>
        <v>0</v>
      </c>
      <c r="S45" s="322">
        <f t="shared" si="8"/>
        <v>82028.310881789483</v>
      </c>
      <c r="T45" s="322">
        <f t="shared" si="9"/>
        <v>82028.310881789308</v>
      </c>
      <c r="U45" s="321">
        <f t="shared" si="10"/>
        <v>0</v>
      </c>
      <c r="V45" s="322">
        <f t="shared" si="11"/>
        <v>82028.310881789308</v>
      </c>
      <c r="W45" s="322">
        <f t="shared" si="12"/>
        <v>82028.310881789352</v>
      </c>
      <c r="X45" s="321">
        <f t="shared" si="13"/>
        <v>0</v>
      </c>
      <c r="Y45" s="322">
        <f t="shared" si="14"/>
        <v>82028.310881789352</v>
      </c>
      <c r="Z45" s="322">
        <f t="shared" si="15"/>
        <v>82028.310881789352</v>
      </c>
      <c r="AA45" s="323">
        <f t="shared" si="16"/>
        <v>82028.310881789352</v>
      </c>
      <c r="AB45" s="323"/>
      <c r="AC45" s="323"/>
      <c r="AD45" s="323"/>
      <c r="AE45" s="323"/>
      <c r="AF45" s="324">
        <f t="shared" si="17"/>
        <v>4.6975838285722148E-4</v>
      </c>
      <c r="AG45" s="312"/>
      <c r="AH45" s="312"/>
      <c r="AI45" s="325">
        <f t="shared" si="18"/>
        <v>1</v>
      </c>
      <c r="AJ45" s="312"/>
      <c r="AK45" s="312"/>
      <c r="AL45" s="312"/>
      <c r="AM45" s="312"/>
      <c r="AN45" s="312"/>
      <c r="AO45" s="312"/>
      <c r="AP45" s="312"/>
      <c r="AQ45" s="312"/>
      <c r="AR45" s="312"/>
      <c r="AS45" s="312"/>
      <c r="AT45" s="312"/>
      <c r="AU45" s="312"/>
      <c r="AV45" s="312"/>
      <c r="AW45" s="312"/>
      <c r="AX45" s="312"/>
      <c r="AY45" s="312"/>
      <c r="AZ45" s="312"/>
      <c r="BA45" s="312"/>
      <c r="BB45" s="312"/>
      <c r="BC45" s="312"/>
      <c r="BD45" s="312"/>
      <c r="BE45" s="312"/>
      <c r="BF45" s="312"/>
      <c r="BG45" s="312"/>
      <c r="BH45" s="312"/>
      <c r="BI45" s="312"/>
      <c r="BJ45" s="312"/>
      <c r="BK45" s="312"/>
      <c r="BL45" s="312"/>
      <c r="BM45" s="312"/>
      <c r="BN45" s="312"/>
      <c r="BO45" s="312"/>
      <c r="BP45" s="312"/>
      <c r="BQ45" s="312"/>
      <c r="BR45" s="312"/>
      <c r="BS45" s="312"/>
      <c r="BT45" s="312"/>
      <c r="BU45" s="312"/>
      <c r="BV45" s="312"/>
      <c r="BW45" s="312"/>
      <c r="BX45" s="312"/>
      <c r="BY45" s="312"/>
      <c r="BZ45" s="312"/>
      <c r="CA45" s="312"/>
      <c r="CB45" s="312"/>
      <c r="CC45" s="312"/>
      <c r="CD45" s="312"/>
      <c r="CE45" s="312"/>
      <c r="CF45" s="312"/>
      <c r="CG45" s="312"/>
      <c r="CH45" s="312"/>
      <c r="CI45" s="312"/>
      <c r="CJ45" s="312"/>
      <c r="CK45" s="312"/>
      <c r="CL45" s="312"/>
      <c r="CM45" s="312"/>
      <c r="CN45" s="312"/>
      <c r="CO45" s="312"/>
      <c r="CP45" s="312"/>
      <c r="CQ45" s="312"/>
      <c r="CR45" s="312"/>
      <c r="CS45" s="312"/>
      <c r="CT45" s="312"/>
      <c r="CU45" s="312"/>
      <c r="CV45" s="312"/>
      <c r="CW45" s="312"/>
      <c r="CX45" s="312"/>
      <c r="CY45" s="312"/>
      <c r="CZ45" s="312"/>
      <c r="DA45" s="312"/>
      <c r="DB45" s="312"/>
      <c r="DC45" s="312"/>
      <c r="DD45" s="312"/>
      <c r="DE45" s="312"/>
      <c r="DF45" s="312"/>
      <c r="DG45" s="312"/>
      <c r="DH45" s="312"/>
      <c r="DI45" s="312"/>
      <c r="DJ45" s="312"/>
      <c r="DK45" s="312"/>
      <c r="DL45" s="312"/>
      <c r="DM45" s="312"/>
      <c r="DN45" s="312"/>
      <c r="DO45" s="312"/>
      <c r="DP45" s="312"/>
      <c r="DQ45" s="312"/>
      <c r="DR45" s="312"/>
      <c r="DS45" s="312"/>
      <c r="DT45" s="312"/>
      <c r="DU45" s="312"/>
      <c r="DV45" s="312"/>
      <c r="DW45" s="312"/>
      <c r="DX45" s="312"/>
      <c r="DY45" s="312"/>
      <c r="DZ45" s="312"/>
      <c r="EA45" s="312"/>
      <c r="EB45" s="312"/>
      <c r="EC45" s="312"/>
      <c r="ED45" s="312"/>
      <c r="EE45" s="312"/>
      <c r="EF45" s="312"/>
      <c r="EG45" s="312"/>
      <c r="EH45" s="312"/>
      <c r="EI45" s="312"/>
      <c r="EJ45" s="312"/>
      <c r="EK45" s="312"/>
      <c r="EL45" s="312"/>
      <c r="EM45" s="312"/>
      <c r="EN45" s="312"/>
      <c r="EO45" s="312"/>
      <c r="EP45" s="312"/>
      <c r="EQ45" s="312"/>
      <c r="ER45" s="312"/>
      <c r="ES45" s="312"/>
      <c r="ET45" s="312"/>
      <c r="EU45" s="312"/>
      <c r="EV45" s="312"/>
      <c r="EW45" s="312"/>
      <c r="EX45" s="312"/>
      <c r="EY45" s="312"/>
      <c r="EZ45" s="312"/>
      <c r="FA45" s="312"/>
      <c r="FB45" s="312"/>
      <c r="FC45" s="312"/>
      <c r="FD45" s="312"/>
      <c r="FE45" s="312"/>
      <c r="FF45" s="312"/>
      <c r="FG45" s="312"/>
      <c r="FH45" s="312"/>
      <c r="FI45" s="312"/>
      <c r="FJ45" s="312"/>
      <c r="FK45" s="312"/>
      <c r="FL45" s="312"/>
      <c r="FM45" s="312"/>
      <c r="FN45" s="312"/>
      <c r="FO45" s="312"/>
      <c r="FP45" s="312"/>
      <c r="FQ45" s="312"/>
      <c r="FR45" s="312"/>
      <c r="FS45" s="312"/>
      <c r="FT45" s="312"/>
      <c r="FU45" s="312"/>
      <c r="FV45" s="312"/>
      <c r="FW45" s="312"/>
      <c r="FX45" s="312"/>
      <c r="FY45" s="312"/>
      <c r="FZ45" s="312"/>
      <c r="GA45" s="312"/>
      <c r="GB45" s="312"/>
      <c r="GC45" s="312"/>
      <c r="GD45" s="312"/>
      <c r="GE45" s="312"/>
      <c r="GF45" s="312"/>
      <c r="GG45" s="312"/>
      <c r="GH45" s="312"/>
      <c r="GI45" s="312"/>
      <c r="GJ45" s="312"/>
      <c r="GK45" s="312"/>
      <c r="GL45" s="312"/>
      <c r="GM45" s="312"/>
      <c r="GN45" s="312"/>
      <c r="GO45" s="312"/>
      <c r="GP45" s="312"/>
      <c r="GQ45" s="312"/>
      <c r="GR45" s="312"/>
      <c r="GS45" s="312"/>
      <c r="GT45" s="312"/>
      <c r="GU45" s="312"/>
      <c r="GV45" s="312"/>
      <c r="GW45" s="312"/>
      <c r="GX45" s="312"/>
      <c r="GY45" s="312"/>
    </row>
    <row r="46" spans="2:207" ht="15.75" x14ac:dyDescent="0.25">
      <c r="B46" s="316">
        <f t="shared" si="1"/>
        <v>16</v>
      </c>
      <c r="C46" s="330">
        <f>'סיכום לוועדה'!B46</f>
        <v>1001348773</v>
      </c>
      <c r="D46" s="330">
        <f>'סיכום לוועדה'!C46</f>
        <v>1001262086</v>
      </c>
      <c r="E46" s="330">
        <f>'סיכום לוועדה'!D46</f>
        <v>40000043</v>
      </c>
      <c r="F46" s="330">
        <f>'סיכום לוועדה'!E46</f>
        <v>20000159</v>
      </c>
      <c r="G46" s="330" t="str">
        <f>'סיכום לוועדה'!F46</f>
        <v>ירושלים</v>
      </c>
      <c r="H46" s="317" t="str">
        <f>'סיכום לוועדה'!G46</f>
        <v>מוזיאון ישראל</v>
      </c>
      <c r="I46" s="318">
        <f>'סיכום לוועדה'!U46</f>
        <v>35000000</v>
      </c>
      <c r="J46" s="319">
        <f>'סיכום לוועדה'!T46</f>
        <v>22052683.359855928</v>
      </c>
      <c r="K46" s="320">
        <f t="shared" si="2"/>
        <v>0</v>
      </c>
      <c r="L46" s="319">
        <f t="shared" si="3"/>
        <v>22052683.359855928</v>
      </c>
      <c r="M46" s="331">
        <f>'תחום תמיכה ב'!AF46</f>
        <v>0.13360464696899066</v>
      </c>
      <c r="N46" s="319">
        <f t="shared" si="0"/>
        <v>24328573.311241914</v>
      </c>
      <c r="O46" s="321">
        <f t="shared" si="4"/>
        <v>0</v>
      </c>
      <c r="P46" s="322">
        <f t="shared" si="5"/>
        <v>24328573.311241914</v>
      </c>
      <c r="Q46" s="322">
        <f t="shared" si="6"/>
        <v>24339650.753204115</v>
      </c>
      <c r="R46" s="321">
        <f t="shared" si="7"/>
        <v>0</v>
      </c>
      <c r="S46" s="322">
        <f t="shared" si="8"/>
        <v>24339650.753204115</v>
      </c>
      <c r="T46" s="322">
        <f t="shared" si="9"/>
        <v>24339650.753204063</v>
      </c>
      <c r="U46" s="321">
        <f t="shared" si="10"/>
        <v>0</v>
      </c>
      <c r="V46" s="322">
        <f t="shared" si="11"/>
        <v>24339650.753204063</v>
      </c>
      <c r="W46" s="322">
        <f t="shared" si="12"/>
        <v>24339650.753204074</v>
      </c>
      <c r="X46" s="321">
        <f t="shared" si="13"/>
        <v>0</v>
      </c>
      <c r="Y46" s="322">
        <f t="shared" si="14"/>
        <v>24339650.753204074</v>
      </c>
      <c r="Z46" s="322">
        <f t="shared" si="15"/>
        <v>24339650.75320407</v>
      </c>
      <c r="AA46" s="323">
        <f t="shared" si="16"/>
        <v>24339650.75320407</v>
      </c>
      <c r="AB46" s="323"/>
      <c r="AC46" s="323"/>
      <c r="AD46" s="323"/>
      <c r="AE46" s="323"/>
      <c r="AF46" s="324">
        <f t="shared" si="17"/>
        <v>0.13938791198092368</v>
      </c>
      <c r="AG46" s="312"/>
      <c r="AH46" s="312"/>
      <c r="AI46" s="325">
        <f t="shared" si="18"/>
        <v>1</v>
      </c>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Q46" s="312"/>
      <c r="BR46" s="312"/>
      <c r="BS46" s="312"/>
      <c r="BT46" s="312"/>
      <c r="BU46" s="312"/>
      <c r="BV46" s="312"/>
      <c r="BW46" s="312"/>
      <c r="BX46" s="312"/>
      <c r="BY46" s="312"/>
      <c r="BZ46" s="312"/>
      <c r="CA46" s="312"/>
      <c r="CB46" s="312"/>
      <c r="CC46" s="312"/>
      <c r="CD46" s="312"/>
      <c r="CE46" s="312"/>
      <c r="CF46" s="312"/>
      <c r="CG46" s="312"/>
      <c r="CH46" s="312"/>
      <c r="CI46" s="312"/>
      <c r="CJ46" s="312"/>
      <c r="CK46" s="312"/>
      <c r="CL46" s="312"/>
      <c r="CM46" s="312"/>
      <c r="CN46" s="312"/>
      <c r="CO46" s="312"/>
      <c r="CP46" s="312"/>
      <c r="CQ46" s="312"/>
      <c r="CR46" s="312"/>
      <c r="CS46" s="312"/>
      <c r="CT46" s="312"/>
      <c r="CU46" s="312"/>
      <c r="CV46" s="312"/>
      <c r="CW46" s="312"/>
      <c r="CX46" s="312"/>
      <c r="CY46" s="312"/>
      <c r="CZ46" s="312"/>
      <c r="DA46" s="312"/>
      <c r="DB46" s="312"/>
      <c r="DC46" s="312"/>
      <c r="DD46" s="312"/>
      <c r="DE46" s="312"/>
      <c r="DF46" s="312"/>
      <c r="DG46" s="312"/>
      <c r="DH46" s="312"/>
      <c r="DI46" s="312"/>
      <c r="DJ46" s="312"/>
      <c r="DK46" s="312"/>
      <c r="DL46" s="312"/>
      <c r="DM46" s="312"/>
      <c r="DN46" s="312"/>
      <c r="DO46" s="312"/>
      <c r="DP46" s="312"/>
      <c r="DQ46" s="312"/>
      <c r="DR46" s="312"/>
      <c r="DS46" s="312"/>
      <c r="DT46" s="312"/>
      <c r="DU46" s="312"/>
      <c r="DV46" s="312"/>
      <c r="DW46" s="312"/>
      <c r="DX46" s="312"/>
      <c r="DY46" s="312"/>
      <c r="DZ46" s="312"/>
      <c r="EA46" s="312"/>
      <c r="EB46" s="312"/>
      <c r="EC46" s="312"/>
      <c r="ED46" s="312"/>
      <c r="EE46" s="312"/>
      <c r="EF46" s="312"/>
      <c r="EG46" s="312"/>
      <c r="EH46" s="312"/>
      <c r="EI46" s="312"/>
      <c r="EJ46" s="312"/>
      <c r="EK46" s="312"/>
      <c r="EL46" s="312"/>
      <c r="EM46" s="312"/>
      <c r="EN46" s="312"/>
      <c r="EO46" s="312"/>
      <c r="EP46" s="312"/>
      <c r="EQ46" s="312"/>
      <c r="ER46" s="312"/>
      <c r="ES46" s="312"/>
      <c r="ET46" s="312"/>
      <c r="EU46" s="312"/>
      <c r="EV46" s="312"/>
      <c r="EW46" s="312"/>
      <c r="EX46" s="312"/>
      <c r="EY46" s="312"/>
      <c r="EZ46" s="312"/>
      <c r="FA46" s="312"/>
      <c r="FB46" s="312"/>
      <c r="FC46" s="312"/>
      <c r="FD46" s="312"/>
      <c r="FE46" s="312"/>
      <c r="FF46" s="312"/>
      <c r="FG46" s="312"/>
      <c r="FH46" s="312"/>
      <c r="FI46" s="312"/>
      <c r="FJ46" s="312"/>
      <c r="FK46" s="312"/>
      <c r="FL46" s="312"/>
      <c r="FM46" s="312"/>
      <c r="FN46" s="312"/>
      <c r="FO46" s="312"/>
      <c r="FP46" s="312"/>
      <c r="FQ46" s="312"/>
      <c r="FR46" s="312"/>
      <c r="FS46" s="312"/>
      <c r="FT46" s="312"/>
      <c r="FU46" s="312"/>
      <c r="FV46" s="312"/>
      <c r="FW46" s="312"/>
      <c r="FX46" s="312"/>
      <c r="FY46" s="312"/>
      <c r="FZ46" s="312"/>
      <c r="GA46" s="312"/>
      <c r="GB46" s="312"/>
      <c r="GC46" s="312"/>
      <c r="GD46" s="312"/>
      <c r="GE46" s="312"/>
      <c r="GF46" s="312"/>
      <c r="GG46" s="312"/>
      <c r="GH46" s="312"/>
      <c r="GI46" s="312"/>
      <c r="GJ46" s="312"/>
      <c r="GK46" s="312"/>
      <c r="GL46" s="312"/>
      <c r="GM46" s="312"/>
      <c r="GN46" s="312"/>
      <c r="GO46" s="312"/>
      <c r="GP46" s="312"/>
      <c r="GQ46" s="312"/>
      <c r="GR46" s="312"/>
      <c r="GS46" s="312"/>
      <c r="GT46" s="312"/>
      <c r="GU46" s="312"/>
      <c r="GV46" s="312"/>
      <c r="GW46" s="312"/>
      <c r="GX46" s="312"/>
      <c r="GY46" s="312"/>
    </row>
    <row r="47" spans="2:207" ht="15.75" x14ac:dyDescent="0.25">
      <c r="B47" s="316">
        <f t="shared" si="1"/>
        <v>17</v>
      </c>
      <c r="C47" s="330">
        <f>'סיכום לוועדה'!B47</f>
        <v>1001346968</v>
      </c>
      <c r="D47" s="330">
        <f>'סיכום לוועדה'!C47</f>
        <v>1001266786</v>
      </c>
      <c r="E47" s="330">
        <f>'סיכום לוועדה'!D47</f>
        <v>40000128</v>
      </c>
      <c r="F47" s="330">
        <f>'סיכום לוועדה'!E47</f>
        <v>20000184</v>
      </c>
      <c r="G47" s="330" t="str">
        <f>'סיכום לוועדה'!F47</f>
        <v>קצרין</v>
      </c>
      <c r="H47" s="317" t="str">
        <f>'סיכום לוועדה'!G47</f>
        <v>מוזיאון עתיקות הגולן</v>
      </c>
      <c r="I47" s="318">
        <f>'סיכום לוועדה'!U47</f>
        <v>500000</v>
      </c>
      <c r="J47" s="319">
        <f>'סיכום לוועדה'!T47</f>
        <v>222216.31578094143</v>
      </c>
      <c r="K47" s="320">
        <f t="shared" si="2"/>
        <v>0</v>
      </c>
      <c r="L47" s="319">
        <f t="shared" si="3"/>
        <v>222216.31578094143</v>
      </c>
      <c r="M47" s="331">
        <f>'תחום תמיכה ב'!AF47</f>
        <v>1.4580398216854991E-3</v>
      </c>
      <c r="N47" s="319">
        <f t="shared" si="0"/>
        <v>247053.3125035541</v>
      </c>
      <c r="O47" s="321">
        <f t="shared" si="4"/>
        <v>0</v>
      </c>
      <c r="P47" s="322">
        <f t="shared" si="5"/>
        <v>247053.3125035541</v>
      </c>
      <c r="Q47" s="322">
        <f t="shared" si="6"/>
        <v>247165.80240157712</v>
      </c>
      <c r="R47" s="321">
        <f t="shared" si="7"/>
        <v>0</v>
      </c>
      <c r="S47" s="322">
        <f t="shared" si="8"/>
        <v>247165.80240157712</v>
      </c>
      <c r="T47" s="322">
        <f t="shared" si="9"/>
        <v>247165.80240157663</v>
      </c>
      <c r="U47" s="321">
        <f t="shared" si="10"/>
        <v>0</v>
      </c>
      <c r="V47" s="322">
        <f t="shared" si="11"/>
        <v>247165.80240157663</v>
      </c>
      <c r="W47" s="322">
        <f t="shared" si="12"/>
        <v>247165.80240157672</v>
      </c>
      <c r="X47" s="321">
        <f t="shared" si="13"/>
        <v>0</v>
      </c>
      <c r="Y47" s="322">
        <f t="shared" si="14"/>
        <v>247165.80240157672</v>
      </c>
      <c r="Z47" s="322">
        <f t="shared" si="15"/>
        <v>247165.80240157669</v>
      </c>
      <c r="AA47" s="323">
        <f t="shared" si="16"/>
        <v>247165.80240157669</v>
      </c>
      <c r="AB47" s="323"/>
      <c r="AC47" s="323"/>
      <c r="AD47" s="323"/>
      <c r="AE47" s="323"/>
      <c r="AF47" s="324">
        <f t="shared" si="17"/>
        <v>1.4154650557305179E-3</v>
      </c>
      <c r="AG47" s="312"/>
      <c r="AH47" s="312"/>
      <c r="AI47" s="325">
        <f t="shared" si="18"/>
        <v>1</v>
      </c>
      <c r="AJ47" s="312"/>
      <c r="AK47" s="312"/>
      <c r="AL47" s="312"/>
      <c r="AM47" s="312"/>
      <c r="AN47" s="312"/>
      <c r="AO47" s="312"/>
      <c r="AP47" s="312"/>
      <c r="AQ47" s="312"/>
      <c r="AR47" s="312"/>
      <c r="AS47" s="312"/>
      <c r="AT47" s="312"/>
      <c r="AU47" s="312"/>
      <c r="AV47" s="312"/>
      <c r="AW47" s="312"/>
      <c r="AX47" s="312"/>
      <c r="AY47" s="312"/>
      <c r="AZ47" s="312"/>
      <c r="BA47" s="312"/>
      <c r="BB47" s="312"/>
      <c r="BC47" s="312"/>
      <c r="BD47" s="312"/>
      <c r="BE47" s="312"/>
      <c r="BF47" s="312"/>
      <c r="BG47" s="312"/>
      <c r="BH47" s="312"/>
      <c r="BI47" s="312"/>
      <c r="BJ47" s="312"/>
      <c r="BK47" s="312"/>
      <c r="BL47" s="312"/>
      <c r="BM47" s="312"/>
      <c r="BN47" s="312"/>
      <c r="BO47" s="312"/>
      <c r="BP47" s="312"/>
      <c r="BQ47" s="312"/>
      <c r="BR47" s="312"/>
      <c r="BS47" s="312"/>
      <c r="BT47" s="312"/>
      <c r="BU47" s="312"/>
      <c r="BV47" s="312"/>
      <c r="BW47" s="312"/>
      <c r="BX47" s="312"/>
      <c r="BY47" s="312"/>
      <c r="BZ47" s="312"/>
      <c r="CA47" s="312"/>
      <c r="CB47" s="312"/>
      <c r="CC47" s="312"/>
      <c r="CD47" s="312"/>
      <c r="CE47" s="312"/>
      <c r="CF47" s="312"/>
      <c r="CG47" s="312"/>
      <c r="CH47" s="312"/>
      <c r="CI47" s="312"/>
      <c r="CJ47" s="312"/>
      <c r="CK47" s="312"/>
      <c r="CL47" s="312"/>
      <c r="CM47" s="312"/>
      <c r="CN47" s="312"/>
      <c r="CO47" s="312"/>
      <c r="CP47" s="312"/>
      <c r="CQ47" s="312"/>
      <c r="CR47" s="312"/>
      <c r="CS47" s="312"/>
      <c r="CT47" s="312"/>
      <c r="CU47" s="312"/>
      <c r="CV47" s="312"/>
      <c r="CW47" s="312"/>
      <c r="CX47" s="312"/>
      <c r="CY47" s="312"/>
      <c r="CZ47" s="312"/>
      <c r="DA47" s="312"/>
      <c r="DB47" s="312"/>
      <c r="DC47" s="312"/>
      <c r="DD47" s="312"/>
      <c r="DE47" s="312"/>
      <c r="DF47" s="312"/>
      <c r="DG47" s="312"/>
      <c r="DH47" s="312"/>
      <c r="DI47" s="312"/>
      <c r="DJ47" s="312"/>
      <c r="DK47" s="312"/>
      <c r="DL47" s="312"/>
      <c r="DM47" s="312"/>
      <c r="DN47" s="312"/>
      <c r="DO47" s="312"/>
      <c r="DP47" s="312"/>
      <c r="DQ47" s="312"/>
      <c r="DR47" s="312"/>
      <c r="DS47" s="312"/>
      <c r="DT47" s="312"/>
      <c r="DU47" s="312"/>
      <c r="DV47" s="312"/>
      <c r="DW47" s="312"/>
      <c r="DX47" s="312"/>
      <c r="DY47" s="312"/>
      <c r="DZ47" s="312"/>
      <c r="EA47" s="312"/>
      <c r="EB47" s="312"/>
      <c r="EC47" s="312"/>
      <c r="ED47" s="312"/>
      <c r="EE47" s="312"/>
      <c r="EF47" s="312"/>
      <c r="EG47" s="312"/>
      <c r="EH47" s="312"/>
      <c r="EI47" s="312"/>
      <c r="EJ47" s="312"/>
      <c r="EK47" s="312"/>
      <c r="EL47" s="312"/>
      <c r="EM47" s="312"/>
      <c r="EN47" s="312"/>
      <c r="EO47" s="312"/>
      <c r="EP47" s="312"/>
      <c r="EQ47" s="312"/>
      <c r="ER47" s="312"/>
      <c r="ES47" s="312"/>
      <c r="ET47" s="312"/>
      <c r="EU47" s="312"/>
      <c r="EV47" s="312"/>
      <c r="EW47" s="312"/>
      <c r="EX47" s="312"/>
      <c r="EY47" s="312"/>
      <c r="EZ47" s="312"/>
      <c r="FA47" s="312"/>
      <c r="FB47" s="312"/>
      <c r="FC47" s="312"/>
      <c r="FD47" s="312"/>
      <c r="FE47" s="312"/>
      <c r="FF47" s="312"/>
      <c r="FG47" s="312"/>
      <c r="FH47" s="312"/>
      <c r="FI47" s="312"/>
      <c r="FJ47" s="312"/>
      <c r="FK47" s="312"/>
      <c r="FL47" s="312"/>
      <c r="FM47" s="312"/>
      <c r="FN47" s="312"/>
      <c r="FO47" s="312"/>
      <c r="FP47" s="312"/>
      <c r="FQ47" s="312"/>
      <c r="FR47" s="312"/>
      <c r="FS47" s="312"/>
      <c r="FT47" s="312"/>
      <c r="FU47" s="312"/>
      <c r="FV47" s="312"/>
      <c r="FW47" s="312"/>
      <c r="FX47" s="312"/>
      <c r="FY47" s="312"/>
      <c r="FZ47" s="312"/>
      <c r="GA47" s="312"/>
      <c r="GB47" s="312"/>
      <c r="GC47" s="312"/>
      <c r="GD47" s="312"/>
      <c r="GE47" s="312"/>
      <c r="GF47" s="312"/>
      <c r="GG47" s="312"/>
      <c r="GH47" s="312"/>
      <c r="GI47" s="312"/>
      <c r="GJ47" s="312"/>
      <c r="GK47" s="312"/>
      <c r="GL47" s="312"/>
      <c r="GM47" s="312"/>
      <c r="GN47" s="312"/>
      <c r="GO47" s="312"/>
      <c r="GP47" s="312"/>
      <c r="GQ47" s="312"/>
      <c r="GR47" s="312"/>
      <c r="GS47" s="312"/>
      <c r="GT47" s="312"/>
      <c r="GU47" s="312"/>
      <c r="GV47" s="312"/>
      <c r="GW47" s="312"/>
      <c r="GX47" s="312"/>
      <c r="GY47" s="312"/>
    </row>
    <row r="48" spans="2:207" ht="15.75" x14ac:dyDescent="0.25">
      <c r="B48" s="316">
        <f t="shared" si="1"/>
        <v>18</v>
      </c>
      <c r="C48" s="330">
        <f>'סיכום לוועדה'!B48</f>
        <v>1001346240</v>
      </c>
      <c r="D48" s="330">
        <f>'סיכום לוועדה'!C48</f>
        <v>1001273528</v>
      </c>
      <c r="E48" s="330">
        <f>'סיכום לוועדה'!D48</f>
        <v>40000133</v>
      </c>
      <c r="F48" s="330">
        <f>'סיכום לוועדה'!E48</f>
        <v>20000201</v>
      </c>
      <c r="G48" s="330" t="str">
        <f>'סיכום לוועדה'!F48</f>
        <v>תל אביב -יפו</v>
      </c>
      <c r="H48" s="317" t="str">
        <f>'סיכום לוועדה'!G48</f>
        <v>האופרה הישראלית ת"א</v>
      </c>
      <c r="I48" s="318">
        <f>'סיכום לוועדה'!U48</f>
        <v>10000000</v>
      </c>
      <c r="J48" s="319">
        <f>'סיכום לוועדה'!T48</f>
        <v>9189042.7739763688</v>
      </c>
      <c r="K48" s="320">
        <f t="shared" si="2"/>
        <v>0</v>
      </c>
      <c r="L48" s="319">
        <f t="shared" si="3"/>
        <v>9189042.7739763688</v>
      </c>
      <c r="M48" s="331">
        <f>'תחום תמיכה ב'!AF48</f>
        <v>4.6182022848558386E-2</v>
      </c>
      <c r="N48" s="319">
        <f t="shared" si="0"/>
        <v>9975730.9926886018</v>
      </c>
      <c r="O48" s="321">
        <f t="shared" si="4"/>
        <v>0</v>
      </c>
      <c r="P48" s="322">
        <f t="shared" si="5"/>
        <v>9975730.9926886018</v>
      </c>
      <c r="Q48" s="322">
        <f t="shared" si="6"/>
        <v>9980273.2064751759</v>
      </c>
      <c r="R48" s="321">
        <f t="shared" si="7"/>
        <v>0</v>
      </c>
      <c r="S48" s="322">
        <f t="shared" si="8"/>
        <v>9980273.2064751759</v>
      </c>
      <c r="T48" s="322">
        <f t="shared" si="9"/>
        <v>9980273.2064751554</v>
      </c>
      <c r="U48" s="321">
        <f t="shared" si="10"/>
        <v>0</v>
      </c>
      <c r="V48" s="322">
        <f t="shared" si="11"/>
        <v>9980273.2064751554</v>
      </c>
      <c r="W48" s="322">
        <f t="shared" si="12"/>
        <v>9980273.2064751592</v>
      </c>
      <c r="X48" s="321">
        <f t="shared" si="13"/>
        <v>0</v>
      </c>
      <c r="Y48" s="322">
        <f t="shared" si="14"/>
        <v>9980273.2064751592</v>
      </c>
      <c r="Z48" s="322">
        <f t="shared" si="15"/>
        <v>9980273.2064751573</v>
      </c>
      <c r="AA48" s="323">
        <f t="shared" si="16"/>
        <v>9980273.2064751573</v>
      </c>
      <c r="AB48" s="323"/>
      <c r="AC48" s="323"/>
      <c r="AD48" s="323"/>
      <c r="AE48" s="323"/>
      <c r="AF48" s="324">
        <f t="shared" si="17"/>
        <v>5.7154864601604925E-2</v>
      </c>
      <c r="AG48" s="312"/>
      <c r="AH48" s="312"/>
      <c r="AI48" s="325">
        <f t="shared" si="18"/>
        <v>1</v>
      </c>
      <c r="AJ48" s="312"/>
      <c r="AK48" s="312"/>
      <c r="AL48" s="312"/>
      <c r="AM48" s="312"/>
      <c r="AN48" s="312"/>
      <c r="AO48" s="312"/>
      <c r="AP48" s="312"/>
      <c r="AQ48" s="312"/>
      <c r="AR48" s="312"/>
      <c r="AS48" s="312"/>
      <c r="AT48" s="312"/>
      <c r="AU48" s="312"/>
      <c r="AV48" s="312"/>
      <c r="AW48" s="312"/>
      <c r="AX48" s="312"/>
      <c r="AY48" s="312"/>
      <c r="AZ48" s="312"/>
      <c r="BA48" s="312"/>
      <c r="BB48" s="312"/>
      <c r="BC48" s="312"/>
      <c r="BD48" s="312"/>
      <c r="BE48" s="312"/>
      <c r="BF48" s="312"/>
      <c r="BG48" s="312"/>
      <c r="BH48" s="312"/>
      <c r="BI48" s="312"/>
      <c r="BJ48" s="312"/>
      <c r="BK48" s="312"/>
      <c r="BL48" s="312"/>
      <c r="BM48" s="312"/>
      <c r="BN48" s="312"/>
      <c r="BO48" s="312"/>
      <c r="BP48" s="312"/>
      <c r="BQ48" s="312"/>
      <c r="BR48" s="312"/>
      <c r="BS48" s="312"/>
      <c r="BT48" s="312"/>
      <c r="BU48" s="312"/>
      <c r="BV48" s="312"/>
      <c r="BW48" s="312"/>
      <c r="BX48" s="312"/>
      <c r="BY48" s="312"/>
      <c r="BZ48" s="312"/>
      <c r="CA48" s="312"/>
      <c r="CB48" s="312"/>
      <c r="CC48" s="312"/>
      <c r="CD48" s="312"/>
      <c r="CE48" s="312"/>
      <c r="CF48" s="312"/>
      <c r="CG48" s="312"/>
      <c r="CH48" s="312"/>
      <c r="CI48" s="312"/>
      <c r="CJ48" s="312"/>
      <c r="CK48" s="312"/>
      <c r="CL48" s="312"/>
      <c r="CM48" s="312"/>
      <c r="CN48" s="312"/>
      <c r="CO48" s="312"/>
      <c r="CP48" s="312"/>
      <c r="CQ48" s="312"/>
      <c r="CR48" s="312"/>
      <c r="CS48" s="312"/>
      <c r="CT48" s="312"/>
      <c r="CU48" s="312"/>
      <c r="CV48" s="312"/>
      <c r="CW48" s="312"/>
      <c r="CX48" s="312"/>
      <c r="CY48" s="312"/>
      <c r="CZ48" s="312"/>
      <c r="DA48" s="312"/>
      <c r="DB48" s="312"/>
      <c r="DC48" s="312"/>
      <c r="DD48" s="312"/>
      <c r="DE48" s="312"/>
      <c r="DF48" s="312"/>
      <c r="DG48" s="312"/>
      <c r="DH48" s="312"/>
      <c r="DI48" s="312"/>
      <c r="DJ48" s="312"/>
      <c r="DK48" s="312"/>
      <c r="DL48" s="312"/>
      <c r="DM48" s="312"/>
      <c r="DN48" s="312"/>
      <c r="DO48" s="312"/>
      <c r="DP48" s="312"/>
      <c r="DQ48" s="312"/>
      <c r="DR48" s="312"/>
      <c r="DS48" s="312"/>
      <c r="DT48" s="312"/>
      <c r="DU48" s="312"/>
      <c r="DV48" s="312"/>
      <c r="DW48" s="312"/>
      <c r="DX48" s="312"/>
      <c r="DY48" s="312"/>
      <c r="DZ48" s="312"/>
      <c r="EA48" s="312"/>
      <c r="EB48" s="312"/>
      <c r="EC48" s="312"/>
      <c r="ED48" s="312"/>
      <c r="EE48" s="312"/>
      <c r="EF48" s="312"/>
      <c r="EG48" s="312"/>
      <c r="EH48" s="312"/>
      <c r="EI48" s="312"/>
      <c r="EJ48" s="312"/>
      <c r="EK48" s="312"/>
      <c r="EL48" s="312"/>
      <c r="EM48" s="312"/>
      <c r="EN48" s="312"/>
      <c r="EO48" s="312"/>
      <c r="EP48" s="312"/>
      <c r="EQ48" s="312"/>
      <c r="ER48" s="312"/>
      <c r="ES48" s="312"/>
      <c r="ET48" s="312"/>
      <c r="EU48" s="312"/>
      <c r="EV48" s="312"/>
      <c r="EW48" s="312"/>
      <c r="EX48" s="312"/>
      <c r="EY48" s="312"/>
      <c r="EZ48" s="312"/>
      <c r="FA48" s="312"/>
      <c r="FB48" s="312"/>
      <c r="FC48" s="312"/>
      <c r="FD48" s="312"/>
      <c r="FE48" s="312"/>
      <c r="FF48" s="312"/>
      <c r="FG48" s="312"/>
      <c r="FH48" s="312"/>
      <c r="FI48" s="312"/>
      <c r="FJ48" s="312"/>
      <c r="FK48" s="312"/>
      <c r="FL48" s="312"/>
      <c r="FM48" s="312"/>
      <c r="FN48" s="312"/>
      <c r="FO48" s="312"/>
      <c r="FP48" s="312"/>
      <c r="FQ48" s="312"/>
      <c r="FR48" s="312"/>
      <c r="FS48" s="312"/>
      <c r="FT48" s="312"/>
      <c r="FU48" s="312"/>
      <c r="FV48" s="312"/>
      <c r="FW48" s="312"/>
      <c r="FX48" s="312"/>
      <c r="FY48" s="312"/>
      <c r="FZ48" s="312"/>
      <c r="GA48" s="312"/>
      <c r="GB48" s="312"/>
      <c r="GC48" s="312"/>
      <c r="GD48" s="312"/>
      <c r="GE48" s="312"/>
      <c r="GF48" s="312"/>
      <c r="GG48" s="312"/>
      <c r="GH48" s="312"/>
      <c r="GI48" s="312"/>
      <c r="GJ48" s="312"/>
      <c r="GK48" s="312"/>
      <c r="GL48" s="312"/>
      <c r="GM48" s="312"/>
      <c r="GN48" s="312"/>
      <c r="GO48" s="312"/>
      <c r="GP48" s="312"/>
      <c r="GQ48" s="312"/>
      <c r="GR48" s="312"/>
      <c r="GS48" s="312"/>
      <c r="GT48" s="312"/>
      <c r="GU48" s="312"/>
      <c r="GV48" s="312"/>
      <c r="GW48" s="312"/>
      <c r="GX48" s="312"/>
      <c r="GY48" s="312"/>
    </row>
    <row r="49" spans="2:207" ht="15.75" x14ac:dyDescent="0.25">
      <c r="B49" s="316">
        <f t="shared" si="1"/>
        <v>19</v>
      </c>
      <c r="C49" s="330">
        <f>'סיכום לוועדה'!B49</f>
        <v>1001348851</v>
      </c>
      <c r="D49" s="330">
        <f>'סיכום לוועדה'!C49</f>
        <v>1001270249</v>
      </c>
      <c r="E49" s="330">
        <f>'סיכום לוועדה'!D49</f>
        <v>40000134</v>
      </c>
      <c r="F49" s="330">
        <f>'סיכום לוועדה'!E49</f>
        <v>20000201</v>
      </c>
      <c r="G49" s="330" t="str">
        <f>'סיכום לוועדה'!F49</f>
        <v>תל אביב -יפו</v>
      </c>
      <c r="H49" s="317" t="str">
        <f>'סיכום לוועדה'!G49</f>
        <v>תיאטרון תמונע</v>
      </c>
      <c r="I49" s="318">
        <f>'סיכום לוועדה'!U49</f>
        <v>200000</v>
      </c>
      <c r="J49" s="319">
        <f>'סיכום לוועדה'!T49</f>
        <v>91341.324437686737</v>
      </c>
      <c r="K49" s="320">
        <f t="shared" si="2"/>
        <v>0</v>
      </c>
      <c r="L49" s="319">
        <f t="shared" si="3"/>
        <v>91341.324437686737</v>
      </c>
      <c r="M49" s="331">
        <f>'תחום תמיכה ב'!AF49</f>
        <v>3.7194552883238748E-4</v>
      </c>
      <c r="N49" s="319">
        <f t="shared" si="0"/>
        <v>97677.234982243244</v>
      </c>
      <c r="O49" s="321">
        <f t="shared" si="4"/>
        <v>0</v>
      </c>
      <c r="P49" s="322">
        <f t="shared" si="5"/>
        <v>97677.234982243244</v>
      </c>
      <c r="Q49" s="322">
        <f t="shared" si="6"/>
        <v>97721.710007050555</v>
      </c>
      <c r="R49" s="321">
        <f t="shared" si="7"/>
        <v>0</v>
      </c>
      <c r="S49" s="322">
        <f t="shared" si="8"/>
        <v>97721.710007050555</v>
      </c>
      <c r="T49" s="322">
        <f t="shared" si="9"/>
        <v>97721.710007050351</v>
      </c>
      <c r="U49" s="321">
        <f t="shared" si="10"/>
        <v>0</v>
      </c>
      <c r="V49" s="322">
        <f t="shared" si="11"/>
        <v>97721.710007050351</v>
      </c>
      <c r="W49" s="322">
        <f t="shared" si="12"/>
        <v>97721.710007050395</v>
      </c>
      <c r="X49" s="321">
        <f t="shared" si="13"/>
        <v>0</v>
      </c>
      <c r="Y49" s="322">
        <f t="shared" si="14"/>
        <v>97721.710007050395</v>
      </c>
      <c r="Z49" s="322">
        <f t="shared" si="15"/>
        <v>97721.71000705038</v>
      </c>
      <c r="AA49" s="323">
        <f t="shared" si="16"/>
        <v>97721.71000705038</v>
      </c>
      <c r="AB49" s="323"/>
      <c r="AC49" s="323"/>
      <c r="AD49" s="323"/>
      <c r="AE49" s="323"/>
      <c r="AF49" s="324">
        <f t="shared" si="17"/>
        <v>5.5963108309164988E-4</v>
      </c>
      <c r="AG49" s="312"/>
      <c r="AH49" s="312"/>
      <c r="AI49" s="325">
        <f t="shared" si="18"/>
        <v>1</v>
      </c>
      <c r="AJ49" s="312"/>
      <c r="AK49" s="312"/>
      <c r="AL49" s="312"/>
      <c r="AM49" s="312"/>
      <c r="AN49" s="312"/>
      <c r="AO49" s="312"/>
      <c r="AP49" s="312"/>
      <c r="AQ49" s="312"/>
      <c r="AR49" s="312"/>
      <c r="AS49" s="312"/>
      <c r="AT49" s="312"/>
      <c r="AU49" s="312"/>
      <c r="AV49" s="312"/>
      <c r="AW49" s="312"/>
      <c r="AX49" s="312"/>
      <c r="AY49" s="312"/>
      <c r="AZ49" s="312"/>
      <c r="BA49" s="312"/>
      <c r="BB49" s="312"/>
      <c r="BC49" s="312"/>
      <c r="BD49" s="312"/>
      <c r="BE49" s="312"/>
      <c r="BF49" s="312"/>
      <c r="BG49" s="312"/>
      <c r="BH49" s="312"/>
      <c r="BI49" s="312"/>
      <c r="BJ49" s="312"/>
      <c r="BK49" s="312"/>
      <c r="BL49" s="312"/>
      <c r="BM49" s="312"/>
      <c r="BN49" s="312"/>
      <c r="BO49" s="312"/>
      <c r="BP49" s="312"/>
      <c r="BQ49" s="312"/>
      <c r="BR49" s="312"/>
      <c r="BS49" s="312"/>
      <c r="BT49" s="312"/>
      <c r="BU49" s="312"/>
      <c r="BV49" s="312"/>
      <c r="BW49" s="312"/>
      <c r="BX49" s="312"/>
      <c r="BY49" s="312"/>
      <c r="BZ49" s="312"/>
      <c r="CA49" s="312"/>
      <c r="CB49" s="312"/>
      <c r="CC49" s="312"/>
      <c r="CD49" s="312"/>
      <c r="CE49" s="312"/>
      <c r="CF49" s="312"/>
      <c r="CG49" s="312"/>
      <c r="CH49" s="312"/>
      <c r="CI49" s="312"/>
      <c r="CJ49" s="312"/>
      <c r="CK49" s="312"/>
      <c r="CL49" s="312"/>
      <c r="CM49" s="312"/>
      <c r="CN49" s="312"/>
      <c r="CO49" s="312"/>
      <c r="CP49" s="312"/>
      <c r="CQ49" s="312"/>
      <c r="CR49" s="312"/>
      <c r="CS49" s="312"/>
      <c r="CT49" s="312"/>
      <c r="CU49" s="312"/>
      <c r="CV49" s="312"/>
      <c r="CW49" s="312"/>
      <c r="CX49" s="312"/>
      <c r="CY49" s="312"/>
      <c r="CZ49" s="312"/>
      <c r="DA49" s="312"/>
      <c r="DB49" s="312"/>
      <c r="DC49" s="312"/>
      <c r="DD49" s="312"/>
      <c r="DE49" s="312"/>
      <c r="DF49" s="312"/>
      <c r="DG49" s="312"/>
      <c r="DH49" s="312"/>
      <c r="DI49" s="312"/>
      <c r="DJ49" s="312"/>
      <c r="DK49" s="312"/>
      <c r="DL49" s="312"/>
      <c r="DM49" s="312"/>
      <c r="DN49" s="312"/>
      <c r="DO49" s="312"/>
      <c r="DP49" s="312"/>
      <c r="DQ49" s="312"/>
      <c r="DR49" s="312"/>
      <c r="DS49" s="312"/>
      <c r="DT49" s="312"/>
      <c r="DU49" s="312"/>
      <c r="DV49" s="312"/>
      <c r="DW49" s="312"/>
      <c r="DX49" s="312"/>
      <c r="DY49" s="312"/>
      <c r="DZ49" s="312"/>
      <c r="EA49" s="312"/>
      <c r="EB49" s="312"/>
      <c r="EC49" s="312"/>
      <c r="ED49" s="312"/>
      <c r="EE49" s="312"/>
      <c r="EF49" s="312"/>
      <c r="EG49" s="312"/>
      <c r="EH49" s="312"/>
      <c r="EI49" s="312"/>
      <c r="EJ49" s="312"/>
      <c r="EK49" s="312"/>
      <c r="EL49" s="312"/>
      <c r="EM49" s="312"/>
      <c r="EN49" s="312"/>
      <c r="EO49" s="312"/>
      <c r="EP49" s="312"/>
      <c r="EQ49" s="312"/>
      <c r="ER49" s="312"/>
      <c r="ES49" s="312"/>
      <c r="ET49" s="312"/>
      <c r="EU49" s="312"/>
      <c r="EV49" s="312"/>
      <c r="EW49" s="312"/>
      <c r="EX49" s="312"/>
      <c r="EY49" s="312"/>
      <c r="EZ49" s="312"/>
      <c r="FA49" s="312"/>
      <c r="FB49" s="312"/>
      <c r="FC49" s="312"/>
      <c r="FD49" s="312"/>
      <c r="FE49" s="312"/>
      <c r="FF49" s="312"/>
      <c r="FG49" s="312"/>
      <c r="FH49" s="312"/>
      <c r="FI49" s="312"/>
      <c r="FJ49" s="312"/>
      <c r="FK49" s="312"/>
      <c r="FL49" s="312"/>
      <c r="FM49" s="312"/>
      <c r="FN49" s="312"/>
      <c r="FO49" s="312"/>
      <c r="FP49" s="312"/>
      <c r="FQ49" s="312"/>
      <c r="FR49" s="312"/>
      <c r="FS49" s="312"/>
      <c r="FT49" s="312"/>
      <c r="FU49" s="312"/>
      <c r="FV49" s="312"/>
      <c r="FW49" s="312"/>
      <c r="FX49" s="312"/>
      <c r="FY49" s="312"/>
      <c r="FZ49" s="312"/>
      <c r="GA49" s="312"/>
      <c r="GB49" s="312"/>
      <c r="GC49" s="312"/>
      <c r="GD49" s="312"/>
      <c r="GE49" s="312"/>
      <c r="GF49" s="312"/>
      <c r="GG49" s="312"/>
      <c r="GH49" s="312"/>
      <c r="GI49" s="312"/>
      <c r="GJ49" s="312"/>
      <c r="GK49" s="312"/>
      <c r="GL49" s="312"/>
      <c r="GM49" s="312"/>
      <c r="GN49" s="312"/>
      <c r="GO49" s="312"/>
      <c r="GP49" s="312"/>
      <c r="GQ49" s="312"/>
      <c r="GR49" s="312"/>
      <c r="GS49" s="312"/>
      <c r="GT49" s="312"/>
      <c r="GU49" s="312"/>
      <c r="GV49" s="312"/>
      <c r="GW49" s="312"/>
      <c r="GX49" s="312"/>
      <c r="GY49" s="312"/>
    </row>
    <row r="50" spans="2:207" ht="15.75" x14ac:dyDescent="0.25">
      <c r="B50" s="316">
        <f t="shared" si="1"/>
        <v>20</v>
      </c>
      <c r="C50" s="330">
        <f>'סיכום לוועדה'!B50</f>
        <v>1001350603</v>
      </c>
      <c r="D50" s="330">
        <f>'סיכום לוועדה'!C50</f>
        <v>1001334964</v>
      </c>
      <c r="E50" s="330">
        <f>'סיכום לוועדה'!D50</f>
        <v>40000065</v>
      </c>
      <c r="F50" s="330">
        <f>'סיכום לוועדה'!E50</f>
        <v>20000201</v>
      </c>
      <c r="G50" s="330" t="str">
        <f>'סיכום לוועדה'!F50</f>
        <v>תל אביב -יפו</v>
      </c>
      <c r="H50" s="317" t="str">
        <f>'סיכום לוועדה'!G50</f>
        <v>אנחנו כאן אגודה לתרבות פולקלור</v>
      </c>
      <c r="I50" s="318">
        <f>'סיכום לוועדה'!U50</f>
        <v>250000</v>
      </c>
      <c r="J50" s="319">
        <f>'סיכום לוועדה'!T50</f>
        <v>32816.565752388982</v>
      </c>
      <c r="K50" s="320">
        <f t="shared" si="2"/>
        <v>0</v>
      </c>
      <c r="L50" s="319">
        <f t="shared" si="3"/>
        <v>32816.565752388982</v>
      </c>
      <c r="M50" s="331">
        <f>'תחום תמיכה ב'!AF50</f>
        <v>2.0283154879966603E-4</v>
      </c>
      <c r="N50" s="319">
        <f t="shared" si="0"/>
        <v>36271.702188207404</v>
      </c>
      <c r="O50" s="321">
        <f t="shared" si="4"/>
        <v>0</v>
      </c>
      <c r="P50" s="322">
        <f t="shared" si="5"/>
        <v>36271.702188207404</v>
      </c>
      <c r="Q50" s="322">
        <f t="shared" si="6"/>
        <v>36288.217652173153</v>
      </c>
      <c r="R50" s="321">
        <f t="shared" si="7"/>
        <v>0</v>
      </c>
      <c r="S50" s="322">
        <f t="shared" si="8"/>
        <v>36288.217652173153</v>
      </c>
      <c r="T50" s="322">
        <f t="shared" si="9"/>
        <v>36288.21765217308</v>
      </c>
      <c r="U50" s="321">
        <f t="shared" si="10"/>
        <v>0</v>
      </c>
      <c r="V50" s="322">
        <f t="shared" si="11"/>
        <v>36288.21765217308</v>
      </c>
      <c r="W50" s="322">
        <f t="shared" si="12"/>
        <v>36288.217652173094</v>
      </c>
      <c r="X50" s="321">
        <f t="shared" si="13"/>
        <v>0</v>
      </c>
      <c r="Y50" s="322">
        <f t="shared" si="14"/>
        <v>36288.217652173094</v>
      </c>
      <c r="Z50" s="322">
        <f t="shared" si="15"/>
        <v>36288.217652173087</v>
      </c>
      <c r="AA50" s="323">
        <f t="shared" si="16"/>
        <v>36288.217652173087</v>
      </c>
      <c r="AB50" s="323"/>
      <c r="AC50" s="323"/>
      <c r="AD50" s="323"/>
      <c r="AE50" s="323"/>
      <c r="AF50" s="324">
        <f t="shared" si="17"/>
        <v>2.0781476855742681E-4</v>
      </c>
      <c r="AG50" s="312"/>
      <c r="AH50" s="312"/>
      <c r="AI50" s="325">
        <f t="shared" si="18"/>
        <v>1</v>
      </c>
      <c r="AJ50" s="312"/>
      <c r="AK50" s="312"/>
      <c r="AL50" s="312"/>
      <c r="AM50" s="312"/>
      <c r="AN50" s="312"/>
      <c r="AO50" s="312"/>
      <c r="AP50" s="312"/>
      <c r="AQ50" s="312"/>
      <c r="AR50" s="312"/>
      <c r="AS50" s="312"/>
      <c r="AT50" s="312"/>
      <c r="AU50" s="312"/>
      <c r="AV50" s="312"/>
      <c r="AW50" s="312"/>
      <c r="AX50" s="312"/>
      <c r="AY50" s="312"/>
      <c r="AZ50" s="312"/>
      <c r="BA50" s="312"/>
      <c r="BB50" s="312"/>
      <c r="BC50" s="312"/>
      <c r="BD50" s="312"/>
      <c r="BE50" s="312"/>
      <c r="BF50" s="312"/>
      <c r="BG50" s="312"/>
      <c r="BH50" s="312"/>
      <c r="BI50" s="312"/>
      <c r="BJ50" s="312"/>
      <c r="BK50" s="312"/>
      <c r="BL50" s="312"/>
      <c r="BM50" s="312"/>
      <c r="BN50" s="312"/>
      <c r="BO50" s="312"/>
      <c r="BP50" s="312"/>
      <c r="BQ50" s="312"/>
      <c r="BR50" s="312"/>
      <c r="BS50" s="312"/>
      <c r="BT50" s="312"/>
      <c r="BU50" s="312"/>
      <c r="BV50" s="312"/>
      <c r="BW50" s="312"/>
      <c r="BX50" s="312"/>
      <c r="BY50" s="312"/>
      <c r="BZ50" s="312"/>
      <c r="CA50" s="312"/>
      <c r="CB50" s="312"/>
      <c r="CC50" s="312"/>
      <c r="CD50" s="312"/>
      <c r="CE50" s="312"/>
      <c r="CF50" s="312"/>
      <c r="CG50" s="312"/>
      <c r="CH50" s="312"/>
      <c r="CI50" s="312"/>
      <c r="CJ50" s="312"/>
      <c r="CK50" s="312"/>
      <c r="CL50" s="312"/>
      <c r="CM50" s="312"/>
      <c r="CN50" s="312"/>
      <c r="CO50" s="312"/>
      <c r="CP50" s="312"/>
      <c r="CQ50" s="312"/>
      <c r="CR50" s="312"/>
      <c r="CS50" s="312"/>
      <c r="CT50" s="312"/>
      <c r="CU50" s="312"/>
      <c r="CV50" s="312"/>
      <c r="CW50" s="312"/>
      <c r="CX50" s="312"/>
      <c r="CY50" s="312"/>
      <c r="CZ50" s="312"/>
      <c r="DA50" s="312"/>
      <c r="DB50" s="312"/>
      <c r="DC50" s="312"/>
      <c r="DD50" s="312"/>
      <c r="DE50" s="312"/>
      <c r="DF50" s="312"/>
      <c r="DG50" s="312"/>
      <c r="DH50" s="312"/>
      <c r="DI50" s="312"/>
      <c r="DJ50" s="312"/>
      <c r="DK50" s="312"/>
      <c r="DL50" s="312"/>
      <c r="DM50" s="312"/>
      <c r="DN50" s="312"/>
      <c r="DO50" s="312"/>
      <c r="DP50" s="312"/>
      <c r="DQ50" s="312"/>
      <c r="DR50" s="312"/>
      <c r="DS50" s="312"/>
      <c r="DT50" s="312"/>
      <c r="DU50" s="312"/>
      <c r="DV50" s="312"/>
      <c r="DW50" s="312"/>
      <c r="DX50" s="312"/>
      <c r="DY50" s="312"/>
      <c r="DZ50" s="312"/>
      <c r="EA50" s="312"/>
      <c r="EB50" s="312"/>
      <c r="EC50" s="312"/>
      <c r="ED50" s="312"/>
      <c r="EE50" s="312"/>
      <c r="EF50" s="312"/>
      <c r="EG50" s="312"/>
      <c r="EH50" s="312"/>
      <c r="EI50" s="312"/>
      <c r="EJ50" s="312"/>
      <c r="EK50" s="312"/>
      <c r="EL50" s="312"/>
      <c r="EM50" s="312"/>
      <c r="EN50" s="312"/>
      <c r="EO50" s="312"/>
      <c r="EP50" s="312"/>
      <c r="EQ50" s="312"/>
      <c r="ER50" s="312"/>
      <c r="ES50" s="312"/>
      <c r="ET50" s="312"/>
      <c r="EU50" s="312"/>
      <c r="EV50" s="312"/>
      <c r="EW50" s="312"/>
      <c r="EX50" s="312"/>
      <c r="EY50" s="312"/>
      <c r="EZ50" s="312"/>
      <c r="FA50" s="312"/>
      <c r="FB50" s="312"/>
      <c r="FC50" s="312"/>
      <c r="FD50" s="312"/>
      <c r="FE50" s="312"/>
      <c r="FF50" s="312"/>
      <c r="FG50" s="312"/>
      <c r="FH50" s="312"/>
      <c r="FI50" s="312"/>
      <c r="FJ50" s="312"/>
      <c r="FK50" s="312"/>
      <c r="FL50" s="312"/>
      <c r="FM50" s="312"/>
      <c r="FN50" s="312"/>
      <c r="FO50" s="312"/>
      <c r="FP50" s="312"/>
      <c r="FQ50" s="312"/>
      <c r="FR50" s="312"/>
      <c r="FS50" s="312"/>
      <c r="FT50" s="312"/>
      <c r="FU50" s="312"/>
      <c r="FV50" s="312"/>
      <c r="FW50" s="312"/>
      <c r="FX50" s="312"/>
      <c r="FY50" s="312"/>
      <c r="FZ50" s="312"/>
      <c r="GA50" s="312"/>
      <c r="GB50" s="312"/>
      <c r="GC50" s="312"/>
      <c r="GD50" s="312"/>
      <c r="GE50" s="312"/>
      <c r="GF50" s="312"/>
      <c r="GG50" s="312"/>
      <c r="GH50" s="312"/>
      <c r="GI50" s="312"/>
      <c r="GJ50" s="312"/>
      <c r="GK50" s="312"/>
      <c r="GL50" s="312"/>
      <c r="GM50" s="312"/>
      <c r="GN50" s="312"/>
      <c r="GO50" s="312"/>
      <c r="GP50" s="312"/>
      <c r="GQ50" s="312"/>
      <c r="GR50" s="312"/>
      <c r="GS50" s="312"/>
      <c r="GT50" s="312"/>
      <c r="GU50" s="312"/>
      <c r="GV50" s="312"/>
      <c r="GW50" s="312"/>
      <c r="GX50" s="312"/>
      <c r="GY50" s="312"/>
    </row>
    <row r="51" spans="2:207" ht="15.75" x14ac:dyDescent="0.25">
      <c r="B51" s="316">
        <f t="shared" si="1"/>
        <v>21</v>
      </c>
      <c r="C51" s="330">
        <f>'סיכום לוועדה'!B51</f>
        <v>1001346663</v>
      </c>
      <c r="D51" s="330">
        <f>'סיכום לוועדה'!C51</f>
        <v>1001273853</v>
      </c>
      <c r="E51" s="330">
        <f>'סיכום לוועדה'!D51</f>
        <v>40000140</v>
      </c>
      <c r="F51" s="330">
        <f>'סיכום לוועדה'!E51</f>
        <v>20000201</v>
      </c>
      <c r="G51" s="330" t="str">
        <f>'סיכום לוועדה'!F51</f>
        <v>תל אביב -יפו</v>
      </c>
      <c r="H51" s="317" t="str">
        <f>'סיכום לוועדה'!G51</f>
        <v>להקת המחול בת שבע</v>
      </c>
      <c r="I51" s="318">
        <f>'סיכום לוועדה'!U51</f>
        <v>7000000</v>
      </c>
      <c r="J51" s="319">
        <f>'סיכום לוועדה'!T51</f>
        <v>3600759.5063375034</v>
      </c>
      <c r="K51" s="320">
        <f t="shared" si="2"/>
        <v>0</v>
      </c>
      <c r="L51" s="319">
        <f t="shared" si="3"/>
        <v>3600759.5063375034</v>
      </c>
      <c r="M51" s="331">
        <f>'תחום תמיכה ב'!AF51</f>
        <v>1.8783293502497134E-2</v>
      </c>
      <c r="N51" s="319">
        <f t="shared" si="0"/>
        <v>3920723.7434062096</v>
      </c>
      <c r="O51" s="321">
        <f t="shared" si="4"/>
        <v>0</v>
      </c>
      <c r="P51" s="322">
        <f t="shared" si="5"/>
        <v>3920723.7434062096</v>
      </c>
      <c r="Q51" s="322">
        <f t="shared" si="6"/>
        <v>3922508.95247547</v>
      </c>
      <c r="R51" s="321">
        <f t="shared" si="7"/>
        <v>0</v>
      </c>
      <c r="S51" s="322">
        <f t="shared" si="8"/>
        <v>3922508.95247547</v>
      </c>
      <c r="T51" s="322">
        <f t="shared" si="9"/>
        <v>3922508.9524754621</v>
      </c>
      <c r="U51" s="321">
        <f t="shared" si="10"/>
        <v>0</v>
      </c>
      <c r="V51" s="322">
        <f t="shared" si="11"/>
        <v>3922508.9524754621</v>
      </c>
      <c r="W51" s="322">
        <f t="shared" si="12"/>
        <v>3922508.952475464</v>
      </c>
      <c r="X51" s="321">
        <f t="shared" si="13"/>
        <v>0</v>
      </c>
      <c r="Y51" s="322">
        <f t="shared" si="14"/>
        <v>3922508.952475464</v>
      </c>
      <c r="Z51" s="322">
        <f t="shared" si="15"/>
        <v>3922508.952475463</v>
      </c>
      <c r="AA51" s="323">
        <f t="shared" si="16"/>
        <v>3922508.952475463</v>
      </c>
      <c r="AB51" s="323"/>
      <c r="AC51" s="323"/>
      <c r="AD51" s="323"/>
      <c r="AE51" s="323"/>
      <c r="AF51" s="324">
        <f t="shared" si="17"/>
        <v>2.2463359813823983E-2</v>
      </c>
      <c r="AG51" s="312"/>
      <c r="AH51" s="312"/>
      <c r="AI51" s="325">
        <f t="shared" si="18"/>
        <v>1</v>
      </c>
      <c r="AJ51" s="312"/>
      <c r="AK51" s="312"/>
      <c r="AL51" s="312"/>
      <c r="AM51" s="312"/>
      <c r="AN51" s="312"/>
      <c r="AO51" s="312"/>
      <c r="AP51" s="312"/>
      <c r="AQ51" s="312"/>
      <c r="AR51" s="312"/>
      <c r="AS51" s="312"/>
      <c r="AT51" s="312"/>
      <c r="AU51" s="312"/>
      <c r="AV51" s="312"/>
      <c r="AW51" s="312"/>
      <c r="AX51" s="312"/>
      <c r="AY51" s="312"/>
      <c r="AZ51" s="312"/>
      <c r="BA51" s="312"/>
      <c r="BB51" s="312"/>
      <c r="BC51" s="312"/>
      <c r="BD51" s="312"/>
      <c r="BE51" s="312"/>
      <c r="BF51" s="312"/>
      <c r="BG51" s="312"/>
      <c r="BH51" s="312"/>
      <c r="BI51" s="312"/>
      <c r="BJ51" s="312"/>
      <c r="BK51" s="312"/>
      <c r="BL51" s="312"/>
      <c r="BM51" s="312"/>
      <c r="BN51" s="312"/>
      <c r="BO51" s="312"/>
      <c r="BP51" s="312"/>
      <c r="BQ51" s="312"/>
      <c r="BR51" s="312"/>
      <c r="BS51" s="312"/>
      <c r="BT51" s="312"/>
      <c r="BU51" s="312"/>
      <c r="BV51" s="312"/>
      <c r="BW51" s="312"/>
      <c r="BX51" s="312"/>
      <c r="BY51" s="312"/>
      <c r="BZ51" s="312"/>
      <c r="CA51" s="312"/>
      <c r="CB51" s="312"/>
      <c r="CC51" s="312"/>
      <c r="CD51" s="312"/>
      <c r="CE51" s="312"/>
      <c r="CF51" s="312"/>
      <c r="CG51" s="312"/>
      <c r="CH51" s="312"/>
      <c r="CI51" s="312"/>
      <c r="CJ51" s="312"/>
      <c r="CK51" s="312"/>
      <c r="CL51" s="312"/>
      <c r="CM51" s="312"/>
      <c r="CN51" s="312"/>
      <c r="CO51" s="312"/>
      <c r="CP51" s="312"/>
      <c r="CQ51" s="312"/>
      <c r="CR51" s="312"/>
      <c r="CS51" s="312"/>
      <c r="CT51" s="312"/>
      <c r="CU51" s="312"/>
      <c r="CV51" s="312"/>
      <c r="CW51" s="312"/>
      <c r="CX51" s="312"/>
      <c r="CY51" s="312"/>
      <c r="CZ51" s="312"/>
      <c r="DA51" s="312"/>
      <c r="DB51" s="312"/>
      <c r="DC51" s="312"/>
      <c r="DD51" s="312"/>
      <c r="DE51" s="312"/>
      <c r="DF51" s="312"/>
      <c r="DG51" s="312"/>
      <c r="DH51" s="312"/>
      <c r="DI51" s="312"/>
      <c r="DJ51" s="312"/>
      <c r="DK51" s="312"/>
      <c r="DL51" s="312"/>
      <c r="DM51" s="312"/>
      <c r="DN51" s="312"/>
      <c r="DO51" s="312"/>
      <c r="DP51" s="312"/>
      <c r="DQ51" s="312"/>
      <c r="DR51" s="312"/>
      <c r="DS51" s="312"/>
      <c r="DT51" s="312"/>
      <c r="DU51" s="312"/>
      <c r="DV51" s="312"/>
      <c r="DW51" s="312"/>
      <c r="DX51" s="312"/>
      <c r="DY51" s="312"/>
      <c r="DZ51" s="312"/>
      <c r="EA51" s="312"/>
      <c r="EB51" s="312"/>
      <c r="EC51" s="312"/>
      <c r="ED51" s="312"/>
      <c r="EE51" s="312"/>
      <c r="EF51" s="312"/>
      <c r="EG51" s="312"/>
      <c r="EH51" s="312"/>
      <c r="EI51" s="312"/>
      <c r="EJ51" s="312"/>
      <c r="EK51" s="312"/>
      <c r="EL51" s="312"/>
      <c r="EM51" s="312"/>
      <c r="EN51" s="312"/>
      <c r="EO51" s="312"/>
      <c r="EP51" s="312"/>
      <c r="EQ51" s="312"/>
      <c r="ER51" s="312"/>
      <c r="ES51" s="312"/>
      <c r="ET51" s="312"/>
      <c r="EU51" s="312"/>
      <c r="EV51" s="312"/>
      <c r="EW51" s="312"/>
      <c r="EX51" s="312"/>
      <c r="EY51" s="312"/>
      <c r="EZ51" s="312"/>
      <c r="FA51" s="312"/>
      <c r="FB51" s="312"/>
      <c r="FC51" s="312"/>
      <c r="FD51" s="312"/>
      <c r="FE51" s="312"/>
      <c r="FF51" s="312"/>
      <c r="FG51" s="312"/>
      <c r="FH51" s="312"/>
      <c r="FI51" s="312"/>
      <c r="FJ51" s="312"/>
      <c r="FK51" s="312"/>
      <c r="FL51" s="312"/>
      <c r="FM51" s="312"/>
      <c r="FN51" s="312"/>
      <c r="FO51" s="312"/>
      <c r="FP51" s="312"/>
      <c r="FQ51" s="312"/>
      <c r="FR51" s="312"/>
      <c r="FS51" s="312"/>
      <c r="FT51" s="312"/>
      <c r="FU51" s="312"/>
      <c r="FV51" s="312"/>
      <c r="FW51" s="312"/>
      <c r="FX51" s="312"/>
      <c r="FY51" s="312"/>
      <c r="FZ51" s="312"/>
      <c r="GA51" s="312"/>
      <c r="GB51" s="312"/>
      <c r="GC51" s="312"/>
      <c r="GD51" s="312"/>
      <c r="GE51" s="312"/>
      <c r="GF51" s="312"/>
      <c r="GG51" s="312"/>
      <c r="GH51" s="312"/>
      <c r="GI51" s="312"/>
      <c r="GJ51" s="312"/>
      <c r="GK51" s="312"/>
      <c r="GL51" s="312"/>
      <c r="GM51" s="312"/>
      <c r="GN51" s="312"/>
      <c r="GO51" s="312"/>
      <c r="GP51" s="312"/>
      <c r="GQ51" s="312"/>
      <c r="GR51" s="312"/>
      <c r="GS51" s="312"/>
      <c r="GT51" s="312"/>
      <c r="GU51" s="312"/>
      <c r="GV51" s="312"/>
      <c r="GW51" s="312"/>
      <c r="GX51" s="312"/>
      <c r="GY51" s="312"/>
    </row>
    <row r="52" spans="2:207" ht="15.75" x14ac:dyDescent="0.25">
      <c r="B52" s="316">
        <f t="shared" si="1"/>
        <v>22</v>
      </c>
      <c r="C52" s="330">
        <f>'סיכום לוועדה'!B52</f>
        <v>1001350716</v>
      </c>
      <c r="D52" s="330">
        <f>'סיכום לוועדה'!C52</f>
        <v>1001302141</v>
      </c>
      <c r="E52" s="330">
        <f>'סיכום לוועדה'!D52</f>
        <v>40000150</v>
      </c>
      <c r="F52" s="330">
        <f>'סיכום לוועדה'!E52</f>
        <v>20000233</v>
      </c>
      <c r="G52" s="330" t="str">
        <f>'סיכום לוועדה'!F52</f>
        <v>נתניה</v>
      </c>
      <c r="H52" s="317" t="str">
        <f>'סיכום לוועדה'!G52</f>
        <v>היכל התרבות נתניה</v>
      </c>
      <c r="I52" s="318">
        <f>'סיכום לוועדה'!U52</f>
        <v>841523</v>
      </c>
      <c r="J52" s="319">
        <f>'סיכום לוועדה'!T52</f>
        <v>33426.206817976417</v>
      </c>
      <c r="K52" s="320">
        <f t="shared" si="2"/>
        <v>0</v>
      </c>
      <c r="L52" s="319">
        <f t="shared" si="3"/>
        <v>33426.206817976417</v>
      </c>
      <c r="M52" s="331">
        <f>'תחום תמיכה ב'!AF52</f>
        <v>2.0559098395028398E-4</v>
      </c>
      <c r="N52" s="319">
        <f t="shared" si="0"/>
        <v>36928.348884761028</v>
      </c>
      <c r="O52" s="321">
        <f t="shared" si="4"/>
        <v>0</v>
      </c>
      <c r="P52" s="322">
        <f t="shared" si="5"/>
        <v>36928.348884761028</v>
      </c>
      <c r="Q52" s="322">
        <f t="shared" si="6"/>
        <v>36945.163337310194</v>
      </c>
      <c r="R52" s="321">
        <f t="shared" si="7"/>
        <v>0</v>
      </c>
      <c r="S52" s="322">
        <f t="shared" si="8"/>
        <v>36945.163337310194</v>
      </c>
      <c r="T52" s="322">
        <f t="shared" si="9"/>
        <v>36945.163337310121</v>
      </c>
      <c r="U52" s="321">
        <f t="shared" si="10"/>
        <v>0</v>
      </c>
      <c r="V52" s="322">
        <f t="shared" si="11"/>
        <v>36945.163337310121</v>
      </c>
      <c r="W52" s="322">
        <f t="shared" si="12"/>
        <v>36945.163337310136</v>
      </c>
      <c r="X52" s="321">
        <f t="shared" si="13"/>
        <v>0</v>
      </c>
      <c r="Y52" s="322">
        <f t="shared" si="14"/>
        <v>36945.163337310136</v>
      </c>
      <c r="Z52" s="322">
        <f t="shared" si="15"/>
        <v>36945.163337310129</v>
      </c>
      <c r="AA52" s="323">
        <f t="shared" si="16"/>
        <v>36945.163337310129</v>
      </c>
      <c r="AB52" s="323"/>
      <c r="AC52" s="323"/>
      <c r="AD52" s="323"/>
      <c r="AE52" s="323"/>
      <c r="AF52" s="324">
        <f t="shared" si="17"/>
        <v>2.1157695431204678E-4</v>
      </c>
      <c r="AG52" s="312"/>
      <c r="AH52" s="312"/>
      <c r="AI52" s="325">
        <f t="shared" si="18"/>
        <v>1</v>
      </c>
      <c r="AJ52" s="312"/>
      <c r="AK52" s="312"/>
      <c r="AL52" s="312"/>
      <c r="AM52" s="312"/>
      <c r="AN52" s="312"/>
      <c r="AO52" s="312"/>
      <c r="AP52" s="312"/>
      <c r="AQ52" s="312"/>
      <c r="AR52" s="312"/>
      <c r="AS52" s="312"/>
      <c r="AT52" s="312"/>
      <c r="AU52" s="312"/>
      <c r="AV52" s="312"/>
      <c r="AW52" s="312"/>
      <c r="AX52" s="312"/>
      <c r="AY52" s="312"/>
      <c r="AZ52" s="312"/>
      <c r="BA52" s="312"/>
      <c r="BB52" s="312"/>
      <c r="BC52" s="312"/>
      <c r="BD52" s="312"/>
      <c r="BE52" s="312"/>
      <c r="BF52" s="312"/>
      <c r="BG52" s="312"/>
      <c r="BH52" s="312"/>
      <c r="BI52" s="312"/>
      <c r="BJ52" s="312"/>
      <c r="BK52" s="312"/>
      <c r="BL52" s="312"/>
      <c r="BM52" s="312"/>
      <c r="BN52" s="312"/>
      <c r="BO52" s="312"/>
      <c r="BP52" s="312"/>
      <c r="BQ52" s="312"/>
      <c r="BR52" s="312"/>
      <c r="BS52" s="312"/>
      <c r="BT52" s="312"/>
      <c r="BU52" s="312"/>
      <c r="BV52" s="312"/>
      <c r="BW52" s="312"/>
      <c r="BX52" s="312"/>
      <c r="BY52" s="312"/>
      <c r="BZ52" s="312"/>
      <c r="CA52" s="312"/>
      <c r="CB52" s="312"/>
      <c r="CC52" s="312"/>
      <c r="CD52" s="312"/>
      <c r="CE52" s="312"/>
      <c r="CF52" s="312"/>
      <c r="CG52" s="312"/>
      <c r="CH52" s="312"/>
      <c r="CI52" s="312"/>
      <c r="CJ52" s="312"/>
      <c r="CK52" s="312"/>
      <c r="CL52" s="312"/>
      <c r="CM52" s="312"/>
      <c r="CN52" s="312"/>
      <c r="CO52" s="312"/>
      <c r="CP52" s="312"/>
      <c r="CQ52" s="312"/>
      <c r="CR52" s="312"/>
      <c r="CS52" s="312"/>
      <c r="CT52" s="312"/>
      <c r="CU52" s="312"/>
      <c r="CV52" s="312"/>
      <c r="CW52" s="312"/>
      <c r="CX52" s="312"/>
      <c r="CY52" s="312"/>
      <c r="CZ52" s="312"/>
      <c r="DA52" s="312"/>
      <c r="DB52" s="312"/>
      <c r="DC52" s="312"/>
      <c r="DD52" s="312"/>
      <c r="DE52" s="312"/>
      <c r="DF52" s="312"/>
      <c r="DG52" s="312"/>
      <c r="DH52" s="312"/>
      <c r="DI52" s="312"/>
      <c r="DJ52" s="312"/>
      <c r="DK52" s="312"/>
      <c r="DL52" s="312"/>
      <c r="DM52" s="312"/>
      <c r="DN52" s="312"/>
      <c r="DO52" s="312"/>
      <c r="DP52" s="312"/>
      <c r="DQ52" s="312"/>
      <c r="DR52" s="312"/>
      <c r="DS52" s="312"/>
      <c r="DT52" s="312"/>
      <c r="DU52" s="312"/>
      <c r="DV52" s="312"/>
      <c r="DW52" s="312"/>
      <c r="DX52" s="312"/>
      <c r="DY52" s="312"/>
      <c r="DZ52" s="312"/>
      <c r="EA52" s="312"/>
      <c r="EB52" s="312"/>
      <c r="EC52" s="312"/>
      <c r="ED52" s="312"/>
      <c r="EE52" s="312"/>
      <c r="EF52" s="312"/>
      <c r="EG52" s="312"/>
      <c r="EH52" s="312"/>
      <c r="EI52" s="312"/>
      <c r="EJ52" s="312"/>
      <c r="EK52" s="312"/>
      <c r="EL52" s="312"/>
      <c r="EM52" s="312"/>
      <c r="EN52" s="312"/>
      <c r="EO52" s="312"/>
      <c r="EP52" s="312"/>
      <c r="EQ52" s="312"/>
      <c r="ER52" s="312"/>
      <c r="ES52" s="312"/>
      <c r="ET52" s="312"/>
      <c r="EU52" s="312"/>
      <c r="EV52" s="312"/>
      <c r="EW52" s="312"/>
      <c r="EX52" s="312"/>
      <c r="EY52" s="312"/>
      <c r="EZ52" s="312"/>
      <c r="FA52" s="312"/>
      <c r="FB52" s="312"/>
      <c r="FC52" s="312"/>
      <c r="FD52" s="312"/>
      <c r="FE52" s="312"/>
      <c r="FF52" s="312"/>
      <c r="FG52" s="312"/>
      <c r="FH52" s="312"/>
      <c r="FI52" s="312"/>
      <c r="FJ52" s="312"/>
      <c r="FK52" s="312"/>
      <c r="FL52" s="312"/>
      <c r="FM52" s="312"/>
      <c r="FN52" s="312"/>
      <c r="FO52" s="312"/>
      <c r="FP52" s="312"/>
      <c r="FQ52" s="312"/>
      <c r="FR52" s="312"/>
      <c r="FS52" s="312"/>
      <c r="FT52" s="312"/>
      <c r="FU52" s="312"/>
      <c r="FV52" s="312"/>
      <c r="FW52" s="312"/>
      <c r="FX52" s="312"/>
      <c r="FY52" s="312"/>
      <c r="FZ52" s="312"/>
      <c r="GA52" s="312"/>
      <c r="GB52" s="312"/>
      <c r="GC52" s="312"/>
      <c r="GD52" s="312"/>
      <c r="GE52" s="312"/>
      <c r="GF52" s="312"/>
      <c r="GG52" s="312"/>
      <c r="GH52" s="312"/>
      <c r="GI52" s="312"/>
      <c r="GJ52" s="312"/>
      <c r="GK52" s="312"/>
      <c r="GL52" s="312"/>
      <c r="GM52" s="312"/>
      <c r="GN52" s="312"/>
      <c r="GO52" s="312"/>
      <c r="GP52" s="312"/>
      <c r="GQ52" s="312"/>
      <c r="GR52" s="312"/>
      <c r="GS52" s="312"/>
      <c r="GT52" s="312"/>
      <c r="GU52" s="312"/>
      <c r="GV52" s="312"/>
      <c r="GW52" s="312"/>
      <c r="GX52" s="312"/>
      <c r="GY52" s="312"/>
    </row>
    <row r="53" spans="2:207" ht="15.75" x14ac:dyDescent="0.25">
      <c r="B53" s="316">
        <f t="shared" si="1"/>
        <v>23</v>
      </c>
      <c r="C53" s="330">
        <f>'סיכום לוועדה'!B53</f>
        <v>1001346670</v>
      </c>
      <c r="D53" s="330">
        <f>'סיכום לוועדה'!C53</f>
        <v>1001277080</v>
      </c>
      <c r="E53" s="330">
        <f>'סיכום לוועדה'!D53</f>
        <v>40000106</v>
      </c>
      <c r="F53" s="330">
        <f>'סיכום לוועדה'!E53</f>
        <v>20000201</v>
      </c>
      <c r="G53" s="330" t="str">
        <f>'סיכום לוועדה'!F53</f>
        <v>תל אביב -יפו</v>
      </c>
      <c r="H53" s="317" t="str">
        <f>'סיכום לוועדה'!G53</f>
        <v>התזמורת הקאמרית הישראלית</v>
      </c>
      <c r="I53" s="318">
        <f>'סיכום לוועדה'!U53</f>
        <v>1400000</v>
      </c>
      <c r="J53" s="319">
        <f>'סיכום לוועדה'!T53</f>
        <v>690880.07607347216</v>
      </c>
      <c r="K53" s="320">
        <f t="shared" si="2"/>
        <v>0</v>
      </c>
      <c r="L53" s="319">
        <f t="shared" si="3"/>
        <v>690880.07607347216</v>
      </c>
      <c r="M53" s="331">
        <f>'תחום תמיכה ב'!AF53</f>
        <v>3.4387009458058154E-3</v>
      </c>
      <c r="N53" s="319">
        <f t="shared" si="0"/>
        <v>749456.66832476843</v>
      </c>
      <c r="O53" s="321">
        <f t="shared" si="4"/>
        <v>0</v>
      </c>
      <c r="P53" s="322">
        <f t="shared" si="5"/>
        <v>749456.66832476843</v>
      </c>
      <c r="Q53" s="322">
        <f t="shared" si="6"/>
        <v>749797.91573949915</v>
      </c>
      <c r="R53" s="321">
        <f t="shared" si="7"/>
        <v>0</v>
      </c>
      <c r="S53" s="322">
        <f t="shared" si="8"/>
        <v>749797.91573949915</v>
      </c>
      <c r="T53" s="322">
        <f t="shared" si="9"/>
        <v>749797.91573949764</v>
      </c>
      <c r="U53" s="321">
        <f t="shared" si="10"/>
        <v>0</v>
      </c>
      <c r="V53" s="322">
        <f t="shared" si="11"/>
        <v>749797.91573949764</v>
      </c>
      <c r="W53" s="322">
        <f t="shared" si="12"/>
        <v>749797.91573949787</v>
      </c>
      <c r="X53" s="321">
        <f t="shared" si="13"/>
        <v>0</v>
      </c>
      <c r="Y53" s="322">
        <f t="shared" si="14"/>
        <v>749797.91573949787</v>
      </c>
      <c r="Z53" s="322">
        <f t="shared" si="15"/>
        <v>749797.91573949775</v>
      </c>
      <c r="AA53" s="323">
        <f t="shared" si="16"/>
        <v>749797.91573949775</v>
      </c>
      <c r="AB53" s="323"/>
      <c r="AC53" s="323"/>
      <c r="AD53" s="323"/>
      <c r="AE53" s="323"/>
      <c r="AF53" s="324">
        <f t="shared" si="17"/>
        <v>4.2939303830733513E-3</v>
      </c>
      <c r="AG53" s="312"/>
      <c r="AH53" s="312"/>
      <c r="AI53" s="325">
        <f t="shared" si="18"/>
        <v>1</v>
      </c>
      <c r="AJ53" s="312"/>
      <c r="AK53" s="312"/>
      <c r="AL53" s="312"/>
      <c r="AM53" s="312"/>
      <c r="AN53" s="312"/>
      <c r="AO53" s="312"/>
      <c r="AP53" s="312"/>
      <c r="AQ53" s="312"/>
      <c r="AR53" s="312"/>
      <c r="AS53" s="312"/>
      <c r="AT53" s="312"/>
      <c r="AU53" s="312"/>
      <c r="AV53" s="312"/>
      <c r="AW53" s="312"/>
      <c r="AX53" s="312"/>
      <c r="AY53" s="312"/>
      <c r="AZ53" s="312"/>
      <c r="BA53" s="312"/>
      <c r="BB53" s="312"/>
      <c r="BC53" s="312"/>
      <c r="BD53" s="312"/>
      <c r="BE53" s="312"/>
      <c r="BF53" s="312"/>
      <c r="BG53" s="312"/>
      <c r="BH53" s="312"/>
      <c r="BI53" s="312"/>
      <c r="BJ53" s="312"/>
      <c r="BK53" s="312"/>
      <c r="BL53" s="312"/>
      <c r="BM53" s="312"/>
      <c r="BN53" s="312"/>
      <c r="BO53" s="312"/>
      <c r="BP53" s="312"/>
      <c r="BQ53" s="312"/>
      <c r="BR53" s="312"/>
      <c r="BS53" s="312"/>
      <c r="BT53" s="312"/>
      <c r="BU53" s="312"/>
      <c r="BV53" s="312"/>
      <c r="BW53" s="312"/>
      <c r="BX53" s="312"/>
      <c r="BY53" s="312"/>
      <c r="BZ53" s="312"/>
      <c r="CA53" s="312"/>
      <c r="CB53" s="312"/>
      <c r="CC53" s="312"/>
      <c r="CD53" s="312"/>
      <c r="CE53" s="312"/>
      <c r="CF53" s="312"/>
      <c r="CG53" s="312"/>
      <c r="CH53" s="312"/>
      <c r="CI53" s="312"/>
      <c r="CJ53" s="312"/>
      <c r="CK53" s="312"/>
      <c r="CL53" s="312"/>
      <c r="CM53" s="312"/>
      <c r="CN53" s="312"/>
      <c r="CO53" s="312"/>
      <c r="CP53" s="312"/>
      <c r="CQ53" s="312"/>
      <c r="CR53" s="312"/>
      <c r="CS53" s="312"/>
      <c r="CT53" s="312"/>
      <c r="CU53" s="312"/>
      <c r="CV53" s="312"/>
      <c r="CW53" s="312"/>
      <c r="CX53" s="312"/>
      <c r="CY53" s="312"/>
      <c r="CZ53" s="312"/>
      <c r="DA53" s="312"/>
      <c r="DB53" s="312"/>
      <c r="DC53" s="312"/>
      <c r="DD53" s="312"/>
      <c r="DE53" s="312"/>
      <c r="DF53" s="312"/>
      <c r="DG53" s="312"/>
      <c r="DH53" s="312"/>
      <c r="DI53" s="312"/>
      <c r="DJ53" s="312"/>
      <c r="DK53" s="312"/>
      <c r="DL53" s="312"/>
      <c r="DM53" s="312"/>
      <c r="DN53" s="312"/>
      <c r="DO53" s="312"/>
      <c r="DP53" s="312"/>
      <c r="DQ53" s="312"/>
      <c r="DR53" s="312"/>
      <c r="DS53" s="312"/>
      <c r="DT53" s="312"/>
      <c r="DU53" s="312"/>
      <c r="DV53" s="312"/>
      <c r="DW53" s="312"/>
      <c r="DX53" s="312"/>
      <c r="DY53" s="312"/>
      <c r="DZ53" s="312"/>
      <c r="EA53" s="312"/>
      <c r="EB53" s="312"/>
      <c r="EC53" s="312"/>
      <c r="ED53" s="312"/>
      <c r="EE53" s="312"/>
      <c r="EF53" s="312"/>
      <c r="EG53" s="312"/>
      <c r="EH53" s="312"/>
      <c r="EI53" s="312"/>
      <c r="EJ53" s="312"/>
      <c r="EK53" s="312"/>
      <c r="EL53" s="312"/>
      <c r="EM53" s="312"/>
      <c r="EN53" s="312"/>
      <c r="EO53" s="312"/>
      <c r="EP53" s="312"/>
      <c r="EQ53" s="312"/>
      <c r="ER53" s="312"/>
      <c r="ES53" s="312"/>
      <c r="ET53" s="312"/>
      <c r="EU53" s="312"/>
      <c r="EV53" s="312"/>
      <c r="EW53" s="312"/>
      <c r="EX53" s="312"/>
      <c r="EY53" s="312"/>
      <c r="EZ53" s="312"/>
      <c r="FA53" s="312"/>
      <c r="FB53" s="312"/>
      <c r="FC53" s="312"/>
      <c r="FD53" s="312"/>
      <c r="FE53" s="312"/>
      <c r="FF53" s="312"/>
      <c r="FG53" s="312"/>
      <c r="FH53" s="312"/>
      <c r="FI53" s="312"/>
      <c r="FJ53" s="312"/>
      <c r="FK53" s="312"/>
      <c r="FL53" s="312"/>
      <c r="FM53" s="312"/>
      <c r="FN53" s="312"/>
      <c r="FO53" s="312"/>
      <c r="FP53" s="312"/>
      <c r="FQ53" s="312"/>
      <c r="FR53" s="312"/>
      <c r="FS53" s="312"/>
      <c r="FT53" s="312"/>
      <c r="FU53" s="312"/>
      <c r="FV53" s="312"/>
      <c r="FW53" s="312"/>
      <c r="FX53" s="312"/>
      <c r="FY53" s="312"/>
      <c r="FZ53" s="312"/>
      <c r="GA53" s="312"/>
      <c r="GB53" s="312"/>
      <c r="GC53" s="312"/>
      <c r="GD53" s="312"/>
      <c r="GE53" s="312"/>
      <c r="GF53" s="312"/>
      <c r="GG53" s="312"/>
      <c r="GH53" s="312"/>
      <c r="GI53" s="312"/>
      <c r="GJ53" s="312"/>
      <c r="GK53" s="312"/>
      <c r="GL53" s="312"/>
      <c r="GM53" s="312"/>
      <c r="GN53" s="312"/>
      <c r="GO53" s="312"/>
      <c r="GP53" s="312"/>
      <c r="GQ53" s="312"/>
      <c r="GR53" s="312"/>
      <c r="GS53" s="312"/>
      <c r="GT53" s="312"/>
      <c r="GU53" s="312"/>
      <c r="GV53" s="312"/>
      <c r="GW53" s="312"/>
      <c r="GX53" s="312"/>
      <c r="GY53" s="312"/>
    </row>
    <row r="54" spans="2:207" ht="15.75" x14ac:dyDescent="0.25">
      <c r="B54" s="316">
        <f t="shared" si="1"/>
        <v>24</v>
      </c>
      <c r="C54" s="330">
        <f>'סיכום לוועדה'!B54</f>
        <v>1001346676</v>
      </c>
      <c r="D54" s="330">
        <f>'סיכום לוועדה'!C54</f>
        <v>1001266343</v>
      </c>
      <c r="E54" s="330">
        <f>'סיכום לוועדה'!D54</f>
        <v>40000132</v>
      </c>
      <c r="F54" s="330">
        <f>'סיכום לוועדה'!E54</f>
        <v>20000201</v>
      </c>
      <c r="G54" s="330" t="str">
        <f>'סיכום לוועדה'!F54</f>
        <v>תל אביב -יפו</v>
      </c>
      <c r="H54" s="317" t="str">
        <f>'סיכום לוועדה'!G54</f>
        <v>תיאטרון הנפש</v>
      </c>
      <c r="I54" s="318">
        <f>'סיכום לוועדה'!U54</f>
        <v>1000000</v>
      </c>
      <c r="J54" s="319">
        <f>'סיכום לוועדה'!T54</f>
        <v>317386.80212028202</v>
      </c>
      <c r="K54" s="320">
        <f t="shared" si="2"/>
        <v>0</v>
      </c>
      <c r="L54" s="319">
        <f t="shared" si="3"/>
        <v>317386.80212028202</v>
      </c>
      <c r="M54" s="331">
        <f>'תחום תמיכה ב'!AF54</f>
        <v>1.5554232039544709E-3</v>
      </c>
      <c r="N54" s="319">
        <f t="shared" si="0"/>
        <v>343882.6772289839</v>
      </c>
      <c r="O54" s="321">
        <f t="shared" si="4"/>
        <v>0</v>
      </c>
      <c r="P54" s="322">
        <f t="shared" si="5"/>
        <v>343882.6772289839</v>
      </c>
      <c r="Q54" s="322">
        <f t="shared" si="6"/>
        <v>344039.25609409343</v>
      </c>
      <c r="R54" s="321">
        <f t="shared" si="7"/>
        <v>0</v>
      </c>
      <c r="S54" s="322">
        <f t="shared" si="8"/>
        <v>344039.25609409343</v>
      </c>
      <c r="T54" s="322">
        <f t="shared" si="9"/>
        <v>344039.25609409274</v>
      </c>
      <c r="U54" s="321">
        <f t="shared" si="10"/>
        <v>0</v>
      </c>
      <c r="V54" s="322">
        <f t="shared" si="11"/>
        <v>344039.25609409274</v>
      </c>
      <c r="W54" s="322">
        <f t="shared" si="12"/>
        <v>344039.25609409291</v>
      </c>
      <c r="X54" s="321">
        <f t="shared" si="13"/>
        <v>0</v>
      </c>
      <c r="Y54" s="322">
        <f t="shared" si="14"/>
        <v>344039.25609409291</v>
      </c>
      <c r="Z54" s="322">
        <f t="shared" si="15"/>
        <v>344039.25609409279</v>
      </c>
      <c r="AA54" s="323">
        <f t="shared" si="16"/>
        <v>344039.25609409279</v>
      </c>
      <c r="AB54" s="323"/>
      <c r="AC54" s="323"/>
      <c r="AD54" s="323"/>
      <c r="AE54" s="323"/>
      <c r="AF54" s="324">
        <f t="shared" si="17"/>
        <v>1.9702383584987589E-3</v>
      </c>
      <c r="AG54" s="312"/>
      <c r="AH54" s="312"/>
      <c r="AI54" s="325">
        <f t="shared" si="18"/>
        <v>1</v>
      </c>
      <c r="AJ54" s="312"/>
      <c r="AK54" s="312"/>
      <c r="AL54" s="312"/>
      <c r="AM54" s="312"/>
      <c r="AN54" s="312"/>
      <c r="AO54" s="312"/>
      <c r="AP54" s="312"/>
      <c r="AQ54" s="312"/>
      <c r="AR54" s="312"/>
      <c r="AS54" s="312"/>
      <c r="AT54" s="312"/>
      <c r="AU54" s="312"/>
      <c r="AV54" s="312"/>
      <c r="AW54" s="312"/>
      <c r="AX54" s="312"/>
      <c r="AY54" s="312"/>
      <c r="AZ54" s="312"/>
      <c r="BA54" s="312"/>
      <c r="BB54" s="312"/>
      <c r="BC54" s="312"/>
      <c r="BD54" s="312"/>
      <c r="BE54" s="312"/>
      <c r="BF54" s="312"/>
      <c r="BG54" s="312"/>
      <c r="BH54" s="312"/>
      <c r="BI54" s="312"/>
      <c r="BJ54" s="312"/>
      <c r="BK54" s="312"/>
      <c r="BL54" s="312"/>
      <c r="BM54" s="312"/>
      <c r="BN54" s="312"/>
      <c r="BO54" s="312"/>
      <c r="BP54" s="312"/>
      <c r="BQ54" s="312"/>
      <c r="BR54" s="312"/>
      <c r="BS54" s="312"/>
      <c r="BT54" s="312"/>
      <c r="BU54" s="312"/>
      <c r="BV54" s="312"/>
      <c r="BW54" s="312"/>
      <c r="BX54" s="312"/>
      <c r="BY54" s="312"/>
      <c r="BZ54" s="312"/>
      <c r="CA54" s="312"/>
      <c r="CB54" s="312"/>
      <c r="CC54" s="312"/>
      <c r="CD54" s="312"/>
      <c r="CE54" s="312"/>
      <c r="CF54" s="312"/>
      <c r="CG54" s="312"/>
      <c r="CH54" s="312"/>
      <c r="CI54" s="312"/>
      <c r="CJ54" s="312"/>
      <c r="CK54" s="312"/>
      <c r="CL54" s="312"/>
      <c r="CM54" s="312"/>
      <c r="CN54" s="312"/>
      <c r="CO54" s="312"/>
      <c r="CP54" s="312"/>
      <c r="CQ54" s="312"/>
      <c r="CR54" s="312"/>
      <c r="CS54" s="312"/>
      <c r="CT54" s="312"/>
      <c r="CU54" s="312"/>
      <c r="CV54" s="312"/>
      <c r="CW54" s="312"/>
      <c r="CX54" s="312"/>
      <c r="CY54" s="312"/>
      <c r="CZ54" s="312"/>
      <c r="DA54" s="312"/>
      <c r="DB54" s="312"/>
      <c r="DC54" s="312"/>
      <c r="DD54" s="312"/>
      <c r="DE54" s="312"/>
      <c r="DF54" s="312"/>
      <c r="DG54" s="312"/>
      <c r="DH54" s="312"/>
      <c r="DI54" s="312"/>
      <c r="DJ54" s="312"/>
      <c r="DK54" s="312"/>
      <c r="DL54" s="312"/>
      <c r="DM54" s="312"/>
      <c r="DN54" s="312"/>
      <c r="DO54" s="312"/>
      <c r="DP54" s="312"/>
      <c r="DQ54" s="312"/>
      <c r="DR54" s="312"/>
      <c r="DS54" s="312"/>
      <c r="DT54" s="312"/>
      <c r="DU54" s="312"/>
      <c r="DV54" s="312"/>
      <c r="DW54" s="312"/>
      <c r="DX54" s="312"/>
      <c r="DY54" s="312"/>
      <c r="DZ54" s="312"/>
      <c r="EA54" s="312"/>
      <c r="EB54" s="312"/>
      <c r="EC54" s="312"/>
      <c r="ED54" s="312"/>
      <c r="EE54" s="312"/>
      <c r="EF54" s="312"/>
      <c r="EG54" s="312"/>
      <c r="EH54" s="312"/>
      <c r="EI54" s="312"/>
      <c r="EJ54" s="312"/>
      <c r="EK54" s="312"/>
      <c r="EL54" s="312"/>
      <c r="EM54" s="312"/>
      <c r="EN54" s="312"/>
      <c r="EO54" s="312"/>
      <c r="EP54" s="312"/>
      <c r="EQ54" s="312"/>
      <c r="ER54" s="312"/>
      <c r="ES54" s="312"/>
      <c r="ET54" s="312"/>
      <c r="EU54" s="312"/>
      <c r="EV54" s="312"/>
      <c r="EW54" s="312"/>
      <c r="EX54" s="312"/>
      <c r="EY54" s="312"/>
      <c r="EZ54" s="312"/>
      <c r="FA54" s="312"/>
      <c r="FB54" s="312"/>
      <c r="FC54" s="312"/>
      <c r="FD54" s="312"/>
      <c r="FE54" s="312"/>
      <c r="FF54" s="312"/>
      <c r="FG54" s="312"/>
      <c r="FH54" s="312"/>
      <c r="FI54" s="312"/>
      <c r="FJ54" s="312"/>
      <c r="FK54" s="312"/>
      <c r="FL54" s="312"/>
      <c r="FM54" s="312"/>
      <c r="FN54" s="312"/>
      <c r="FO54" s="312"/>
      <c r="FP54" s="312"/>
      <c r="FQ54" s="312"/>
      <c r="FR54" s="312"/>
      <c r="FS54" s="312"/>
      <c r="FT54" s="312"/>
      <c r="FU54" s="312"/>
      <c r="FV54" s="312"/>
      <c r="FW54" s="312"/>
      <c r="FX54" s="312"/>
      <c r="FY54" s="312"/>
      <c r="FZ54" s="312"/>
      <c r="GA54" s="312"/>
      <c r="GB54" s="312"/>
      <c r="GC54" s="312"/>
      <c r="GD54" s="312"/>
      <c r="GE54" s="312"/>
      <c r="GF54" s="312"/>
      <c r="GG54" s="312"/>
      <c r="GH54" s="312"/>
      <c r="GI54" s="312"/>
      <c r="GJ54" s="312"/>
      <c r="GK54" s="312"/>
      <c r="GL54" s="312"/>
      <c r="GM54" s="312"/>
      <c r="GN54" s="312"/>
      <c r="GO54" s="312"/>
      <c r="GP54" s="312"/>
      <c r="GQ54" s="312"/>
      <c r="GR54" s="312"/>
      <c r="GS54" s="312"/>
      <c r="GT54" s="312"/>
      <c r="GU54" s="312"/>
      <c r="GV54" s="312"/>
      <c r="GW54" s="312"/>
      <c r="GX54" s="312"/>
      <c r="GY54" s="312"/>
    </row>
    <row r="55" spans="2:207" ht="15.75" x14ac:dyDescent="0.25">
      <c r="B55" s="316">
        <f t="shared" si="1"/>
        <v>25</v>
      </c>
      <c r="C55" s="330">
        <f>'סיכום לוועדה'!B55</f>
        <v>1001346807</v>
      </c>
      <c r="D55" s="330">
        <f>'סיכום לוועדה'!C55</f>
        <v>1001266435</v>
      </c>
      <c r="E55" s="330">
        <f>'סיכום לוועדה'!D55</f>
        <v>40000132</v>
      </c>
      <c r="F55" s="330">
        <f>'סיכום לוועדה'!E55</f>
        <v>20000201</v>
      </c>
      <c r="G55" s="330" t="str">
        <f>'סיכום לוועדה'!F55</f>
        <v>תל אביב -יפו</v>
      </c>
      <c r="H55" s="317" t="str">
        <f>'סיכום לוועדה'!G55</f>
        <v>תיאטרון הנפש</v>
      </c>
      <c r="I55" s="318">
        <f>'סיכום לוועדה'!U55</f>
        <v>300000</v>
      </c>
      <c r="J55" s="319">
        <f>'סיכום לוועדה'!T55</f>
        <v>28804.412162632711</v>
      </c>
      <c r="K55" s="320">
        <f t="shared" si="2"/>
        <v>0</v>
      </c>
      <c r="L55" s="319">
        <f t="shared" si="3"/>
        <v>28804.412162632711</v>
      </c>
      <c r="M55" s="331">
        <f>'תחום תמיכה ב'!AF55</f>
        <v>1.248165579283135E-4</v>
      </c>
      <c r="N55" s="319">
        <f t="shared" si="0"/>
        <v>30930.601306499597</v>
      </c>
      <c r="O55" s="321">
        <f t="shared" si="4"/>
        <v>0</v>
      </c>
      <c r="P55" s="322">
        <f t="shared" si="5"/>
        <v>30930.601306499597</v>
      </c>
      <c r="Q55" s="322">
        <f t="shared" si="6"/>
        <v>30944.684826171924</v>
      </c>
      <c r="R55" s="321">
        <f t="shared" si="7"/>
        <v>0</v>
      </c>
      <c r="S55" s="322">
        <f t="shared" si="8"/>
        <v>30944.684826171924</v>
      </c>
      <c r="T55" s="322">
        <f t="shared" si="9"/>
        <v>30944.684826171859</v>
      </c>
      <c r="U55" s="321">
        <f t="shared" si="10"/>
        <v>0</v>
      </c>
      <c r="V55" s="322">
        <f t="shared" si="11"/>
        <v>30944.684826171859</v>
      </c>
      <c r="W55" s="322">
        <f t="shared" si="12"/>
        <v>30944.68482617187</v>
      </c>
      <c r="X55" s="321">
        <f t="shared" si="13"/>
        <v>0</v>
      </c>
      <c r="Y55" s="322">
        <f t="shared" si="14"/>
        <v>30944.68482617187</v>
      </c>
      <c r="Z55" s="322">
        <f t="shared" si="15"/>
        <v>30944.684826171866</v>
      </c>
      <c r="AA55" s="323">
        <f t="shared" si="16"/>
        <v>30944.684826171866</v>
      </c>
      <c r="AB55" s="323"/>
      <c r="AC55" s="323"/>
      <c r="AD55" s="323"/>
      <c r="AE55" s="323"/>
      <c r="AF55" s="324">
        <f t="shared" si="17"/>
        <v>1.7721351257515738E-4</v>
      </c>
      <c r="AG55" s="312"/>
      <c r="AH55" s="312"/>
      <c r="AI55" s="325">
        <f t="shared" si="18"/>
        <v>1</v>
      </c>
      <c r="AJ55" s="312"/>
      <c r="AK55" s="312"/>
      <c r="AL55" s="312"/>
      <c r="AM55" s="312"/>
      <c r="AN55" s="312"/>
      <c r="AO55" s="312"/>
      <c r="AP55" s="312"/>
      <c r="AQ55" s="312"/>
      <c r="AR55" s="312"/>
      <c r="AS55" s="312"/>
      <c r="AT55" s="312"/>
      <c r="AU55" s="312"/>
      <c r="AV55" s="312"/>
      <c r="AW55" s="312"/>
      <c r="AX55" s="312"/>
      <c r="AY55" s="312"/>
      <c r="AZ55" s="312"/>
      <c r="BA55" s="312"/>
      <c r="BB55" s="312"/>
      <c r="BC55" s="312"/>
      <c r="BD55" s="312"/>
      <c r="BE55" s="312"/>
      <c r="BF55" s="312"/>
      <c r="BG55" s="312"/>
      <c r="BH55" s="312"/>
      <c r="BI55" s="312"/>
      <c r="BJ55" s="312"/>
      <c r="BK55" s="312"/>
      <c r="BL55" s="312"/>
      <c r="BM55" s="312"/>
      <c r="BN55" s="312"/>
      <c r="BO55" s="312"/>
      <c r="BP55" s="312"/>
      <c r="BQ55" s="312"/>
      <c r="BR55" s="312"/>
      <c r="BS55" s="312"/>
      <c r="BT55" s="312"/>
      <c r="BU55" s="312"/>
      <c r="BV55" s="312"/>
      <c r="BW55" s="312"/>
      <c r="BX55" s="312"/>
      <c r="BY55" s="312"/>
      <c r="BZ55" s="312"/>
      <c r="CA55" s="312"/>
      <c r="CB55" s="312"/>
      <c r="CC55" s="312"/>
      <c r="CD55" s="312"/>
      <c r="CE55" s="312"/>
      <c r="CF55" s="312"/>
      <c r="CG55" s="312"/>
      <c r="CH55" s="312"/>
      <c r="CI55" s="312"/>
      <c r="CJ55" s="312"/>
      <c r="CK55" s="312"/>
      <c r="CL55" s="312"/>
      <c r="CM55" s="312"/>
      <c r="CN55" s="312"/>
      <c r="CO55" s="312"/>
      <c r="CP55" s="312"/>
      <c r="CQ55" s="312"/>
      <c r="CR55" s="312"/>
      <c r="CS55" s="312"/>
      <c r="CT55" s="312"/>
      <c r="CU55" s="312"/>
      <c r="CV55" s="312"/>
      <c r="CW55" s="312"/>
      <c r="CX55" s="312"/>
      <c r="CY55" s="312"/>
      <c r="CZ55" s="312"/>
      <c r="DA55" s="312"/>
      <c r="DB55" s="312"/>
      <c r="DC55" s="312"/>
      <c r="DD55" s="312"/>
      <c r="DE55" s="312"/>
      <c r="DF55" s="312"/>
      <c r="DG55" s="312"/>
      <c r="DH55" s="312"/>
      <c r="DI55" s="312"/>
      <c r="DJ55" s="312"/>
      <c r="DK55" s="312"/>
      <c r="DL55" s="312"/>
      <c r="DM55" s="312"/>
      <c r="DN55" s="312"/>
      <c r="DO55" s="312"/>
      <c r="DP55" s="312"/>
      <c r="DQ55" s="312"/>
      <c r="DR55" s="312"/>
      <c r="DS55" s="312"/>
      <c r="DT55" s="312"/>
      <c r="DU55" s="312"/>
      <c r="DV55" s="312"/>
      <c r="DW55" s="312"/>
      <c r="DX55" s="312"/>
      <c r="DY55" s="312"/>
      <c r="DZ55" s="312"/>
      <c r="EA55" s="312"/>
      <c r="EB55" s="312"/>
      <c r="EC55" s="312"/>
      <c r="ED55" s="312"/>
      <c r="EE55" s="312"/>
      <c r="EF55" s="312"/>
      <c r="EG55" s="312"/>
      <c r="EH55" s="312"/>
      <c r="EI55" s="312"/>
      <c r="EJ55" s="312"/>
      <c r="EK55" s="312"/>
      <c r="EL55" s="312"/>
      <c r="EM55" s="312"/>
      <c r="EN55" s="312"/>
      <c r="EO55" s="312"/>
      <c r="EP55" s="312"/>
      <c r="EQ55" s="312"/>
      <c r="ER55" s="312"/>
      <c r="ES55" s="312"/>
      <c r="ET55" s="312"/>
      <c r="EU55" s="312"/>
      <c r="EV55" s="312"/>
      <c r="EW55" s="312"/>
      <c r="EX55" s="312"/>
      <c r="EY55" s="312"/>
      <c r="EZ55" s="312"/>
      <c r="FA55" s="312"/>
      <c r="FB55" s="312"/>
      <c r="FC55" s="312"/>
      <c r="FD55" s="312"/>
      <c r="FE55" s="312"/>
      <c r="FF55" s="312"/>
      <c r="FG55" s="312"/>
      <c r="FH55" s="312"/>
      <c r="FI55" s="312"/>
      <c r="FJ55" s="312"/>
      <c r="FK55" s="312"/>
      <c r="FL55" s="312"/>
      <c r="FM55" s="312"/>
      <c r="FN55" s="312"/>
      <c r="FO55" s="312"/>
      <c r="FP55" s="312"/>
      <c r="FQ55" s="312"/>
      <c r="FR55" s="312"/>
      <c r="FS55" s="312"/>
      <c r="FT55" s="312"/>
      <c r="FU55" s="312"/>
      <c r="FV55" s="312"/>
      <c r="FW55" s="312"/>
      <c r="FX55" s="312"/>
      <c r="FY55" s="312"/>
      <c r="FZ55" s="312"/>
      <c r="GA55" s="312"/>
      <c r="GB55" s="312"/>
      <c r="GC55" s="312"/>
      <c r="GD55" s="312"/>
      <c r="GE55" s="312"/>
      <c r="GF55" s="312"/>
      <c r="GG55" s="312"/>
      <c r="GH55" s="312"/>
      <c r="GI55" s="312"/>
      <c r="GJ55" s="312"/>
      <c r="GK55" s="312"/>
      <c r="GL55" s="312"/>
      <c r="GM55" s="312"/>
      <c r="GN55" s="312"/>
      <c r="GO55" s="312"/>
      <c r="GP55" s="312"/>
      <c r="GQ55" s="312"/>
      <c r="GR55" s="312"/>
      <c r="GS55" s="312"/>
      <c r="GT55" s="312"/>
      <c r="GU55" s="312"/>
      <c r="GV55" s="312"/>
      <c r="GW55" s="312"/>
      <c r="GX55" s="312"/>
      <c r="GY55" s="312"/>
    </row>
    <row r="56" spans="2:207" ht="15.75" x14ac:dyDescent="0.25">
      <c r="B56" s="316">
        <f t="shared" si="1"/>
        <v>26</v>
      </c>
      <c r="C56" s="330">
        <f>'סיכום לוועדה'!B56</f>
        <v>1001346564</v>
      </c>
      <c r="D56" s="330">
        <f>'סיכום לוועדה'!C56</f>
        <v>1001269642</v>
      </c>
      <c r="E56" s="330">
        <f>'סיכום לוועדה'!D56</f>
        <v>40000060</v>
      </c>
      <c r="F56" s="330">
        <f>'סיכום לוועדה'!E56</f>
        <v>20000159</v>
      </c>
      <c r="G56" s="330" t="str">
        <f>'סיכום לוועדה'!F56</f>
        <v>ירושלים</v>
      </c>
      <c r="H56" s="317" t="str">
        <f>'סיכום לוועדה'!G56</f>
        <v>תיאטרון הקרון</v>
      </c>
      <c r="I56" s="318">
        <f>'סיכום לוועדה'!U56</f>
        <v>500000</v>
      </c>
      <c r="J56" s="319">
        <f>'סיכום לוועדה'!T56</f>
        <v>336379.28238387906</v>
      </c>
      <c r="K56" s="320">
        <f t="shared" si="2"/>
        <v>0</v>
      </c>
      <c r="L56" s="319">
        <f t="shared" si="3"/>
        <v>336379.28238387906</v>
      </c>
      <c r="M56" s="331">
        <f>'תחום תמיכה ב'!AF56</f>
        <v>1.8177288611103651E-3</v>
      </c>
      <c r="N56" s="319">
        <f t="shared" si="0"/>
        <v>367343.40633613616</v>
      </c>
      <c r="O56" s="321">
        <f t="shared" si="4"/>
        <v>0</v>
      </c>
      <c r="P56" s="322">
        <f t="shared" si="5"/>
        <v>367343.40633613616</v>
      </c>
      <c r="Q56" s="322">
        <f t="shared" si="6"/>
        <v>367510.66749082145</v>
      </c>
      <c r="R56" s="321">
        <f t="shared" si="7"/>
        <v>0</v>
      </c>
      <c r="S56" s="322">
        <f t="shared" si="8"/>
        <v>367510.66749082145</v>
      </c>
      <c r="T56" s="322">
        <f t="shared" si="9"/>
        <v>367510.66749082069</v>
      </c>
      <c r="U56" s="321">
        <f t="shared" si="10"/>
        <v>0</v>
      </c>
      <c r="V56" s="322">
        <f t="shared" si="11"/>
        <v>367510.66749082069</v>
      </c>
      <c r="W56" s="322">
        <f t="shared" si="12"/>
        <v>367510.66749082081</v>
      </c>
      <c r="X56" s="321">
        <f t="shared" si="13"/>
        <v>0</v>
      </c>
      <c r="Y56" s="322">
        <f t="shared" si="14"/>
        <v>367510.66749082081</v>
      </c>
      <c r="Z56" s="322">
        <f t="shared" si="15"/>
        <v>367510.66749082075</v>
      </c>
      <c r="AA56" s="323">
        <f t="shared" si="16"/>
        <v>367510.66749082075</v>
      </c>
      <c r="AB56" s="323"/>
      <c r="AC56" s="323"/>
      <c r="AD56" s="323"/>
      <c r="AE56" s="323"/>
      <c r="AF56" s="324">
        <f t="shared" si="17"/>
        <v>2.1046540516000446E-3</v>
      </c>
      <c r="AG56" s="312"/>
      <c r="AH56" s="312"/>
      <c r="AI56" s="325">
        <f t="shared" si="18"/>
        <v>1</v>
      </c>
      <c r="AJ56" s="312"/>
      <c r="AK56" s="312"/>
      <c r="AL56" s="312"/>
      <c r="AM56" s="312"/>
      <c r="AN56" s="312"/>
      <c r="AO56" s="312"/>
      <c r="AP56" s="312"/>
      <c r="AQ56" s="312"/>
      <c r="AR56" s="312"/>
      <c r="AS56" s="312"/>
      <c r="AT56" s="312"/>
      <c r="AU56" s="312"/>
      <c r="AV56" s="312"/>
      <c r="AW56" s="312"/>
      <c r="AX56" s="312"/>
      <c r="AY56" s="312"/>
      <c r="AZ56" s="312"/>
      <c r="BA56" s="312"/>
      <c r="BB56" s="312"/>
      <c r="BC56" s="312"/>
      <c r="BD56" s="312"/>
      <c r="BE56" s="312"/>
      <c r="BF56" s="312"/>
      <c r="BG56" s="312"/>
      <c r="BH56" s="312"/>
      <c r="BI56" s="312"/>
      <c r="BJ56" s="312"/>
      <c r="BK56" s="312"/>
      <c r="BL56" s="312"/>
      <c r="BM56" s="312"/>
      <c r="BN56" s="312"/>
      <c r="BO56" s="312"/>
      <c r="BP56" s="312"/>
      <c r="BQ56" s="312"/>
      <c r="BR56" s="312"/>
      <c r="BS56" s="312"/>
      <c r="BT56" s="312"/>
      <c r="BU56" s="312"/>
      <c r="BV56" s="312"/>
      <c r="BW56" s="312"/>
      <c r="BX56" s="312"/>
      <c r="BY56" s="312"/>
      <c r="BZ56" s="312"/>
      <c r="CA56" s="312"/>
      <c r="CB56" s="312"/>
      <c r="CC56" s="312"/>
      <c r="CD56" s="312"/>
      <c r="CE56" s="312"/>
      <c r="CF56" s="312"/>
      <c r="CG56" s="312"/>
      <c r="CH56" s="312"/>
      <c r="CI56" s="312"/>
      <c r="CJ56" s="312"/>
      <c r="CK56" s="312"/>
      <c r="CL56" s="312"/>
      <c r="CM56" s="312"/>
      <c r="CN56" s="312"/>
      <c r="CO56" s="312"/>
      <c r="CP56" s="312"/>
      <c r="CQ56" s="312"/>
      <c r="CR56" s="312"/>
      <c r="CS56" s="312"/>
      <c r="CT56" s="312"/>
      <c r="CU56" s="312"/>
      <c r="CV56" s="312"/>
      <c r="CW56" s="312"/>
      <c r="CX56" s="312"/>
      <c r="CY56" s="312"/>
      <c r="CZ56" s="312"/>
      <c r="DA56" s="312"/>
      <c r="DB56" s="312"/>
      <c r="DC56" s="312"/>
      <c r="DD56" s="312"/>
      <c r="DE56" s="312"/>
      <c r="DF56" s="312"/>
      <c r="DG56" s="312"/>
      <c r="DH56" s="312"/>
      <c r="DI56" s="312"/>
      <c r="DJ56" s="312"/>
      <c r="DK56" s="312"/>
      <c r="DL56" s="312"/>
      <c r="DM56" s="312"/>
      <c r="DN56" s="312"/>
      <c r="DO56" s="312"/>
      <c r="DP56" s="312"/>
      <c r="DQ56" s="312"/>
      <c r="DR56" s="312"/>
      <c r="DS56" s="312"/>
      <c r="DT56" s="312"/>
      <c r="DU56" s="312"/>
      <c r="DV56" s="312"/>
      <c r="DW56" s="312"/>
      <c r="DX56" s="312"/>
      <c r="DY56" s="312"/>
      <c r="DZ56" s="312"/>
      <c r="EA56" s="312"/>
      <c r="EB56" s="312"/>
      <c r="EC56" s="312"/>
      <c r="ED56" s="312"/>
      <c r="EE56" s="312"/>
      <c r="EF56" s="312"/>
      <c r="EG56" s="312"/>
      <c r="EH56" s="312"/>
      <c r="EI56" s="312"/>
      <c r="EJ56" s="312"/>
      <c r="EK56" s="312"/>
      <c r="EL56" s="312"/>
      <c r="EM56" s="312"/>
      <c r="EN56" s="312"/>
      <c r="EO56" s="312"/>
      <c r="EP56" s="312"/>
      <c r="EQ56" s="312"/>
      <c r="ER56" s="312"/>
      <c r="ES56" s="312"/>
      <c r="ET56" s="312"/>
      <c r="EU56" s="312"/>
      <c r="EV56" s="312"/>
      <c r="EW56" s="312"/>
      <c r="EX56" s="312"/>
      <c r="EY56" s="312"/>
      <c r="EZ56" s="312"/>
      <c r="FA56" s="312"/>
      <c r="FB56" s="312"/>
      <c r="FC56" s="312"/>
      <c r="FD56" s="312"/>
      <c r="FE56" s="312"/>
      <c r="FF56" s="312"/>
      <c r="FG56" s="312"/>
      <c r="FH56" s="312"/>
      <c r="FI56" s="312"/>
      <c r="FJ56" s="312"/>
      <c r="FK56" s="312"/>
      <c r="FL56" s="312"/>
      <c r="FM56" s="312"/>
      <c r="FN56" s="312"/>
      <c r="FO56" s="312"/>
      <c r="FP56" s="312"/>
      <c r="FQ56" s="312"/>
      <c r="FR56" s="312"/>
      <c r="FS56" s="312"/>
      <c r="FT56" s="312"/>
      <c r="FU56" s="312"/>
      <c r="FV56" s="312"/>
      <c r="FW56" s="312"/>
      <c r="FX56" s="312"/>
      <c r="FY56" s="312"/>
      <c r="FZ56" s="312"/>
      <c r="GA56" s="312"/>
      <c r="GB56" s="312"/>
      <c r="GC56" s="312"/>
      <c r="GD56" s="312"/>
      <c r="GE56" s="312"/>
      <c r="GF56" s="312"/>
      <c r="GG56" s="312"/>
      <c r="GH56" s="312"/>
      <c r="GI56" s="312"/>
      <c r="GJ56" s="312"/>
      <c r="GK56" s="312"/>
      <c r="GL56" s="312"/>
      <c r="GM56" s="312"/>
      <c r="GN56" s="312"/>
      <c r="GO56" s="312"/>
      <c r="GP56" s="312"/>
      <c r="GQ56" s="312"/>
      <c r="GR56" s="312"/>
      <c r="GS56" s="312"/>
      <c r="GT56" s="312"/>
      <c r="GU56" s="312"/>
      <c r="GV56" s="312"/>
      <c r="GW56" s="312"/>
      <c r="GX56" s="312"/>
      <c r="GY56" s="312"/>
    </row>
    <row r="57" spans="2:207" ht="15.75" x14ac:dyDescent="0.25">
      <c r="B57" s="316">
        <f t="shared" si="1"/>
        <v>27</v>
      </c>
      <c r="C57" s="330">
        <f>'סיכום לוועדה'!B57</f>
        <v>1001347019</v>
      </c>
      <c r="D57" s="330">
        <f>'סיכום לוועדה'!C57</f>
        <v>1001270522</v>
      </c>
      <c r="E57" s="330">
        <f>'סיכום לוועדה'!D57</f>
        <v>40000075</v>
      </c>
      <c r="F57" s="330">
        <f>'סיכום לוועדה'!E57</f>
        <v>20000159</v>
      </c>
      <c r="G57" s="330" t="str">
        <f>'סיכום לוועדה'!F57</f>
        <v>ירושלים</v>
      </c>
      <c r="H57" s="317" t="str">
        <f>'סיכום לוועדה'!G57</f>
        <v>מוזיאון חצר הישוב הישן</v>
      </c>
      <c r="I57" s="318">
        <f>'סיכום לוועדה'!U57</f>
        <v>200000</v>
      </c>
      <c r="J57" s="319">
        <f>'סיכום לוועדה'!T57</f>
        <v>23302.872375235074</v>
      </c>
      <c r="K57" s="320">
        <f t="shared" si="2"/>
        <v>0</v>
      </c>
      <c r="L57" s="319">
        <f t="shared" si="3"/>
        <v>23302.872375235074</v>
      </c>
      <c r="M57" s="331">
        <f>'תחום תמיכה ב'!AF57</f>
        <v>1.0495966852809383E-4</v>
      </c>
      <c r="N57" s="319">
        <f t="shared" si="0"/>
        <v>25090.809099916034</v>
      </c>
      <c r="O57" s="321">
        <f t="shared" si="4"/>
        <v>0</v>
      </c>
      <c r="P57" s="322">
        <f t="shared" si="5"/>
        <v>25090.809099916034</v>
      </c>
      <c r="Q57" s="322">
        <f t="shared" si="6"/>
        <v>25102.233607963964</v>
      </c>
      <c r="R57" s="321">
        <f t="shared" si="7"/>
        <v>0</v>
      </c>
      <c r="S57" s="322">
        <f t="shared" si="8"/>
        <v>25102.233607963964</v>
      </c>
      <c r="T57" s="322">
        <f t="shared" si="9"/>
        <v>25102.233607963914</v>
      </c>
      <c r="U57" s="321">
        <f t="shared" si="10"/>
        <v>0</v>
      </c>
      <c r="V57" s="322">
        <f t="shared" si="11"/>
        <v>25102.233607963914</v>
      </c>
      <c r="W57" s="322">
        <f t="shared" si="12"/>
        <v>25102.233607963924</v>
      </c>
      <c r="X57" s="321">
        <f t="shared" si="13"/>
        <v>0</v>
      </c>
      <c r="Y57" s="322">
        <f t="shared" si="14"/>
        <v>25102.233607963924</v>
      </c>
      <c r="Z57" s="322">
        <f t="shared" si="15"/>
        <v>25102.233607963921</v>
      </c>
      <c r="AA57" s="323">
        <f t="shared" si="16"/>
        <v>25102.233607963921</v>
      </c>
      <c r="AB57" s="323"/>
      <c r="AC57" s="323"/>
      <c r="AD57" s="323"/>
      <c r="AE57" s="323"/>
      <c r="AF57" s="324">
        <f t="shared" si="17"/>
        <v>1.4375505894269488E-4</v>
      </c>
      <c r="AG57" s="312"/>
      <c r="AH57" s="312"/>
      <c r="AI57" s="325">
        <f t="shared" si="18"/>
        <v>1</v>
      </c>
      <c r="AJ57" s="312"/>
      <c r="AK57" s="312"/>
      <c r="AL57" s="312"/>
      <c r="AM57" s="312"/>
      <c r="AN57" s="312"/>
      <c r="AO57" s="312"/>
      <c r="AP57" s="312"/>
      <c r="AQ57" s="312"/>
      <c r="AR57" s="312"/>
      <c r="AS57" s="312"/>
      <c r="AT57" s="312"/>
      <c r="AU57" s="312"/>
      <c r="AV57" s="312"/>
      <c r="AW57" s="312"/>
      <c r="AX57" s="312"/>
      <c r="AY57" s="312"/>
      <c r="AZ57" s="312"/>
      <c r="BA57" s="312"/>
      <c r="BB57" s="312"/>
      <c r="BC57" s="312"/>
      <c r="BD57" s="312"/>
      <c r="BE57" s="312"/>
      <c r="BF57" s="312"/>
      <c r="BG57" s="312"/>
      <c r="BH57" s="312"/>
      <c r="BI57" s="312"/>
      <c r="BJ57" s="312"/>
      <c r="BK57" s="312"/>
      <c r="BL57" s="312"/>
      <c r="BM57" s="312"/>
      <c r="BN57" s="312"/>
      <c r="BO57" s="312"/>
      <c r="BP57" s="312"/>
      <c r="BQ57" s="312"/>
      <c r="BR57" s="312"/>
      <c r="BS57" s="312"/>
      <c r="BT57" s="312"/>
      <c r="BU57" s="312"/>
      <c r="BV57" s="312"/>
      <c r="BW57" s="312"/>
      <c r="BX57" s="312"/>
      <c r="BY57" s="312"/>
      <c r="BZ57" s="312"/>
      <c r="CA57" s="312"/>
      <c r="CB57" s="312"/>
      <c r="CC57" s="312"/>
      <c r="CD57" s="312"/>
      <c r="CE57" s="312"/>
      <c r="CF57" s="312"/>
      <c r="CG57" s="312"/>
      <c r="CH57" s="312"/>
      <c r="CI57" s="312"/>
      <c r="CJ57" s="312"/>
      <c r="CK57" s="312"/>
      <c r="CL57" s="312"/>
      <c r="CM57" s="312"/>
      <c r="CN57" s="312"/>
      <c r="CO57" s="312"/>
      <c r="CP57" s="312"/>
      <c r="CQ57" s="312"/>
      <c r="CR57" s="312"/>
      <c r="CS57" s="312"/>
      <c r="CT57" s="312"/>
      <c r="CU57" s="312"/>
      <c r="CV57" s="312"/>
      <c r="CW57" s="312"/>
      <c r="CX57" s="312"/>
      <c r="CY57" s="312"/>
      <c r="CZ57" s="312"/>
      <c r="DA57" s="312"/>
      <c r="DB57" s="312"/>
      <c r="DC57" s="312"/>
      <c r="DD57" s="312"/>
      <c r="DE57" s="312"/>
      <c r="DF57" s="312"/>
      <c r="DG57" s="312"/>
      <c r="DH57" s="312"/>
      <c r="DI57" s="312"/>
      <c r="DJ57" s="312"/>
      <c r="DK57" s="312"/>
      <c r="DL57" s="312"/>
      <c r="DM57" s="312"/>
      <c r="DN57" s="312"/>
      <c r="DO57" s="312"/>
      <c r="DP57" s="312"/>
      <c r="DQ57" s="312"/>
      <c r="DR57" s="312"/>
      <c r="DS57" s="312"/>
      <c r="DT57" s="312"/>
      <c r="DU57" s="312"/>
      <c r="DV57" s="312"/>
      <c r="DW57" s="312"/>
      <c r="DX57" s="312"/>
      <c r="DY57" s="312"/>
      <c r="DZ57" s="312"/>
      <c r="EA57" s="312"/>
      <c r="EB57" s="312"/>
      <c r="EC57" s="312"/>
      <c r="ED57" s="312"/>
      <c r="EE57" s="312"/>
      <c r="EF57" s="312"/>
      <c r="EG57" s="312"/>
      <c r="EH57" s="312"/>
      <c r="EI57" s="312"/>
      <c r="EJ57" s="312"/>
      <c r="EK57" s="312"/>
      <c r="EL57" s="312"/>
      <c r="EM57" s="312"/>
      <c r="EN57" s="312"/>
      <c r="EO57" s="312"/>
      <c r="EP57" s="312"/>
      <c r="EQ57" s="312"/>
      <c r="ER57" s="312"/>
      <c r="ES57" s="312"/>
      <c r="ET57" s="312"/>
      <c r="EU57" s="312"/>
      <c r="EV57" s="312"/>
      <c r="EW57" s="312"/>
      <c r="EX57" s="312"/>
      <c r="EY57" s="312"/>
      <c r="EZ57" s="312"/>
      <c r="FA57" s="312"/>
      <c r="FB57" s="312"/>
      <c r="FC57" s="312"/>
      <c r="FD57" s="312"/>
      <c r="FE57" s="312"/>
      <c r="FF57" s="312"/>
      <c r="FG57" s="312"/>
      <c r="FH57" s="312"/>
      <c r="FI57" s="312"/>
      <c r="FJ57" s="312"/>
      <c r="FK57" s="312"/>
      <c r="FL57" s="312"/>
      <c r="FM57" s="312"/>
      <c r="FN57" s="312"/>
      <c r="FO57" s="312"/>
      <c r="FP57" s="312"/>
      <c r="FQ57" s="312"/>
      <c r="FR57" s="312"/>
      <c r="FS57" s="312"/>
      <c r="FT57" s="312"/>
      <c r="FU57" s="312"/>
      <c r="FV57" s="312"/>
      <c r="FW57" s="312"/>
      <c r="FX57" s="312"/>
      <c r="FY57" s="312"/>
      <c r="FZ57" s="312"/>
      <c r="GA57" s="312"/>
      <c r="GB57" s="312"/>
      <c r="GC57" s="312"/>
      <c r="GD57" s="312"/>
      <c r="GE57" s="312"/>
      <c r="GF57" s="312"/>
      <c r="GG57" s="312"/>
      <c r="GH57" s="312"/>
      <c r="GI57" s="312"/>
      <c r="GJ57" s="312"/>
      <c r="GK57" s="312"/>
      <c r="GL57" s="312"/>
      <c r="GM57" s="312"/>
      <c r="GN57" s="312"/>
      <c r="GO57" s="312"/>
      <c r="GP57" s="312"/>
      <c r="GQ57" s="312"/>
      <c r="GR57" s="312"/>
      <c r="GS57" s="312"/>
      <c r="GT57" s="312"/>
      <c r="GU57" s="312"/>
      <c r="GV57" s="312"/>
      <c r="GW57" s="312"/>
      <c r="GX57" s="312"/>
      <c r="GY57" s="312"/>
    </row>
    <row r="58" spans="2:207" ht="15.75" x14ac:dyDescent="0.25">
      <c r="B58" s="316">
        <f t="shared" si="1"/>
        <v>28</v>
      </c>
      <c r="C58" s="330">
        <f>'סיכום לוועדה'!B58</f>
        <v>1001348863</v>
      </c>
      <c r="D58" s="330">
        <f>'סיכום לוועדה'!C58</f>
        <v>1001271791</v>
      </c>
      <c r="E58" s="330">
        <f>'סיכום לוועדה'!D58</f>
        <v>40000111</v>
      </c>
      <c r="F58" s="330">
        <f>'סיכום לוועדה'!E58</f>
        <v>20000201</v>
      </c>
      <c r="G58" s="330" t="str">
        <f>'סיכום לוועדה'!F58</f>
        <v>תל אביב -יפו</v>
      </c>
      <c r="H58" s="317" t="str">
        <f>'סיכום לוועדה'!G58</f>
        <v>הבלט הישראלי</v>
      </c>
      <c r="I58" s="318">
        <f>'סיכום לוועדה'!U58</f>
        <v>2000000</v>
      </c>
      <c r="J58" s="319">
        <f>'סיכום לוועדה'!T58</f>
        <v>655680.63559642446</v>
      </c>
      <c r="K58" s="320">
        <f t="shared" si="2"/>
        <v>0</v>
      </c>
      <c r="L58" s="319">
        <f t="shared" si="3"/>
        <v>655680.63559642446</v>
      </c>
      <c r="M58" s="331">
        <f>'תחום תמיכה ב'!AF58</f>
        <v>2.872947396755404E-3</v>
      </c>
      <c r="N58" s="319">
        <f t="shared" si="0"/>
        <v>704619.89227253187</v>
      </c>
      <c r="O58" s="321">
        <f t="shared" si="4"/>
        <v>0</v>
      </c>
      <c r="P58" s="322">
        <f t="shared" si="5"/>
        <v>704619.89227253187</v>
      </c>
      <c r="Q58" s="322">
        <f t="shared" si="6"/>
        <v>704940.72431895742</v>
      </c>
      <c r="R58" s="321">
        <f t="shared" si="7"/>
        <v>0</v>
      </c>
      <c r="S58" s="322">
        <f t="shared" si="8"/>
        <v>704940.72431895742</v>
      </c>
      <c r="T58" s="322">
        <f t="shared" si="9"/>
        <v>704940.72431895591</v>
      </c>
      <c r="U58" s="321">
        <f t="shared" si="10"/>
        <v>0</v>
      </c>
      <c r="V58" s="322">
        <f t="shared" si="11"/>
        <v>704940.72431895591</v>
      </c>
      <c r="W58" s="322">
        <f t="shared" si="12"/>
        <v>704940.72431895614</v>
      </c>
      <c r="X58" s="321">
        <f t="shared" si="13"/>
        <v>0</v>
      </c>
      <c r="Y58" s="322">
        <f t="shared" si="14"/>
        <v>704940.72431895614</v>
      </c>
      <c r="Z58" s="322">
        <f t="shared" si="15"/>
        <v>704940.72431895591</v>
      </c>
      <c r="AA58" s="323">
        <f t="shared" si="16"/>
        <v>704940.72431895591</v>
      </c>
      <c r="AB58" s="323"/>
      <c r="AC58" s="323"/>
      <c r="AD58" s="323"/>
      <c r="AE58" s="323"/>
      <c r="AF58" s="324">
        <f t="shared" si="17"/>
        <v>4.0370429563457988E-3</v>
      </c>
      <c r="AG58" s="312"/>
      <c r="AH58" s="312"/>
      <c r="AI58" s="325">
        <f t="shared" si="18"/>
        <v>1</v>
      </c>
      <c r="AJ58" s="312"/>
      <c r="AK58" s="312"/>
      <c r="AL58" s="312"/>
      <c r="AM58" s="312"/>
      <c r="AN58" s="312"/>
      <c r="AO58" s="312"/>
      <c r="AP58" s="312"/>
      <c r="AQ58" s="312"/>
      <c r="AR58" s="312"/>
      <c r="AS58" s="312"/>
      <c r="AT58" s="312"/>
      <c r="AU58" s="312"/>
      <c r="AV58" s="312"/>
      <c r="AW58" s="312"/>
      <c r="AX58" s="312"/>
      <c r="AY58" s="312"/>
      <c r="AZ58" s="312"/>
      <c r="BA58" s="312"/>
      <c r="BB58" s="312"/>
      <c r="BC58" s="312"/>
      <c r="BD58" s="312"/>
      <c r="BE58" s="312"/>
      <c r="BF58" s="312"/>
      <c r="BG58" s="312"/>
      <c r="BH58" s="312"/>
      <c r="BI58" s="312"/>
      <c r="BJ58" s="312"/>
      <c r="BK58" s="312"/>
      <c r="BL58" s="312"/>
      <c r="BM58" s="312"/>
      <c r="BN58" s="312"/>
      <c r="BO58" s="312"/>
      <c r="BP58" s="312"/>
      <c r="BQ58" s="312"/>
      <c r="BR58" s="312"/>
      <c r="BS58" s="312"/>
      <c r="BT58" s="312"/>
      <c r="BU58" s="312"/>
      <c r="BV58" s="312"/>
      <c r="BW58" s="312"/>
      <c r="BX58" s="312"/>
      <c r="BY58" s="312"/>
      <c r="BZ58" s="312"/>
      <c r="CA58" s="312"/>
      <c r="CB58" s="312"/>
      <c r="CC58" s="312"/>
      <c r="CD58" s="312"/>
      <c r="CE58" s="312"/>
      <c r="CF58" s="312"/>
      <c r="CG58" s="312"/>
      <c r="CH58" s="312"/>
      <c r="CI58" s="312"/>
      <c r="CJ58" s="312"/>
      <c r="CK58" s="312"/>
      <c r="CL58" s="312"/>
      <c r="CM58" s="312"/>
      <c r="CN58" s="312"/>
      <c r="CO58" s="312"/>
      <c r="CP58" s="312"/>
      <c r="CQ58" s="312"/>
      <c r="CR58" s="312"/>
      <c r="CS58" s="312"/>
      <c r="CT58" s="312"/>
      <c r="CU58" s="312"/>
      <c r="CV58" s="312"/>
      <c r="CW58" s="312"/>
      <c r="CX58" s="312"/>
      <c r="CY58" s="312"/>
      <c r="CZ58" s="312"/>
      <c r="DA58" s="312"/>
      <c r="DB58" s="312"/>
      <c r="DC58" s="312"/>
      <c r="DD58" s="312"/>
      <c r="DE58" s="312"/>
      <c r="DF58" s="312"/>
      <c r="DG58" s="312"/>
      <c r="DH58" s="312"/>
      <c r="DI58" s="312"/>
      <c r="DJ58" s="312"/>
      <c r="DK58" s="312"/>
      <c r="DL58" s="312"/>
      <c r="DM58" s="312"/>
      <c r="DN58" s="312"/>
      <c r="DO58" s="312"/>
      <c r="DP58" s="312"/>
      <c r="DQ58" s="312"/>
      <c r="DR58" s="312"/>
      <c r="DS58" s="312"/>
      <c r="DT58" s="312"/>
      <c r="DU58" s="312"/>
      <c r="DV58" s="312"/>
      <c r="DW58" s="312"/>
      <c r="DX58" s="312"/>
      <c r="DY58" s="312"/>
      <c r="DZ58" s="312"/>
      <c r="EA58" s="312"/>
      <c r="EB58" s="312"/>
      <c r="EC58" s="312"/>
      <c r="ED58" s="312"/>
      <c r="EE58" s="312"/>
      <c r="EF58" s="312"/>
      <c r="EG58" s="312"/>
      <c r="EH58" s="312"/>
      <c r="EI58" s="312"/>
      <c r="EJ58" s="312"/>
      <c r="EK58" s="312"/>
      <c r="EL58" s="312"/>
      <c r="EM58" s="312"/>
      <c r="EN58" s="312"/>
      <c r="EO58" s="312"/>
      <c r="EP58" s="312"/>
      <c r="EQ58" s="312"/>
      <c r="ER58" s="312"/>
      <c r="ES58" s="312"/>
      <c r="ET58" s="312"/>
      <c r="EU58" s="312"/>
      <c r="EV58" s="312"/>
      <c r="EW58" s="312"/>
      <c r="EX58" s="312"/>
      <c r="EY58" s="312"/>
      <c r="EZ58" s="312"/>
      <c r="FA58" s="312"/>
      <c r="FB58" s="312"/>
      <c r="FC58" s="312"/>
      <c r="FD58" s="312"/>
      <c r="FE58" s="312"/>
      <c r="FF58" s="312"/>
      <c r="FG58" s="312"/>
      <c r="FH58" s="312"/>
      <c r="FI58" s="312"/>
      <c r="FJ58" s="312"/>
      <c r="FK58" s="312"/>
      <c r="FL58" s="312"/>
      <c r="FM58" s="312"/>
      <c r="FN58" s="312"/>
      <c r="FO58" s="312"/>
      <c r="FP58" s="312"/>
      <c r="FQ58" s="312"/>
      <c r="FR58" s="312"/>
      <c r="FS58" s="312"/>
      <c r="FT58" s="312"/>
      <c r="FU58" s="312"/>
      <c r="FV58" s="312"/>
      <c r="FW58" s="312"/>
      <c r="FX58" s="312"/>
      <c r="FY58" s="312"/>
      <c r="FZ58" s="312"/>
      <c r="GA58" s="312"/>
      <c r="GB58" s="312"/>
      <c r="GC58" s="312"/>
      <c r="GD58" s="312"/>
      <c r="GE58" s="312"/>
      <c r="GF58" s="312"/>
      <c r="GG58" s="312"/>
      <c r="GH58" s="312"/>
      <c r="GI58" s="312"/>
      <c r="GJ58" s="312"/>
      <c r="GK58" s="312"/>
      <c r="GL58" s="312"/>
      <c r="GM58" s="312"/>
      <c r="GN58" s="312"/>
      <c r="GO58" s="312"/>
      <c r="GP58" s="312"/>
      <c r="GQ58" s="312"/>
      <c r="GR58" s="312"/>
      <c r="GS58" s="312"/>
      <c r="GT58" s="312"/>
      <c r="GU58" s="312"/>
      <c r="GV58" s="312"/>
      <c r="GW58" s="312"/>
      <c r="GX58" s="312"/>
      <c r="GY58" s="312"/>
    </row>
    <row r="59" spans="2:207" ht="15.75" x14ac:dyDescent="0.25">
      <c r="B59" s="316">
        <f t="shared" si="1"/>
        <v>29</v>
      </c>
      <c r="C59" s="330">
        <f>'סיכום לוועדה'!B59</f>
        <v>1001350366</v>
      </c>
      <c r="D59" s="330">
        <f>'סיכום לוועדה'!C59</f>
        <v>1001276978</v>
      </c>
      <c r="E59" s="330">
        <f>'סיכום לוועדה'!D59</f>
        <v>40000047</v>
      </c>
      <c r="F59" s="330">
        <f>'סיכום לוועדה'!E59</f>
        <v>20000201</v>
      </c>
      <c r="G59" s="330" t="str">
        <f>'סיכום לוועדה'!F59</f>
        <v>תל אביב -יפו</v>
      </c>
      <c r="H59" s="317" t="str">
        <f>'סיכום לוועדה'!G59</f>
        <v>סינמטק</v>
      </c>
      <c r="I59" s="318">
        <f>'סיכום לוועדה'!U59</f>
        <v>202000</v>
      </c>
      <c r="J59" s="319">
        <f>'סיכום לוועדה'!T59</f>
        <v>27139.159638904697</v>
      </c>
      <c r="K59" s="320">
        <f t="shared" si="2"/>
        <v>0</v>
      </c>
      <c r="L59" s="319">
        <f t="shared" si="3"/>
        <v>27139.159638904697</v>
      </c>
      <c r="M59" s="331">
        <f>'תחום תמיכה ב'!AF59</f>
        <v>1.0711169121701269E-4</v>
      </c>
      <c r="N59" s="319">
        <f t="shared" si="0"/>
        <v>28963.755019732562</v>
      </c>
      <c r="O59" s="321">
        <f t="shared" si="4"/>
        <v>0</v>
      </c>
      <c r="P59" s="322">
        <f t="shared" si="5"/>
        <v>28963.755019732562</v>
      </c>
      <c r="Q59" s="322">
        <f t="shared" si="6"/>
        <v>28976.942982344826</v>
      </c>
      <c r="R59" s="321">
        <f t="shared" si="7"/>
        <v>0</v>
      </c>
      <c r="S59" s="322">
        <f t="shared" si="8"/>
        <v>28976.942982344826</v>
      </c>
      <c r="T59" s="322">
        <f t="shared" si="9"/>
        <v>28976.942982344768</v>
      </c>
      <c r="U59" s="321">
        <f t="shared" si="10"/>
        <v>0</v>
      </c>
      <c r="V59" s="322">
        <f t="shared" si="11"/>
        <v>28976.942982344768</v>
      </c>
      <c r="W59" s="322">
        <f t="shared" si="12"/>
        <v>28976.942982344779</v>
      </c>
      <c r="X59" s="321">
        <f t="shared" si="13"/>
        <v>0</v>
      </c>
      <c r="Y59" s="322">
        <f t="shared" si="14"/>
        <v>28976.942982344779</v>
      </c>
      <c r="Z59" s="322">
        <f t="shared" si="15"/>
        <v>28976.942982344775</v>
      </c>
      <c r="AA59" s="323">
        <f t="shared" si="16"/>
        <v>28976.942982344775</v>
      </c>
      <c r="AB59" s="323"/>
      <c r="AC59" s="323"/>
      <c r="AD59" s="323"/>
      <c r="AE59" s="323"/>
      <c r="AF59" s="324">
        <f t="shared" si="17"/>
        <v>1.6594468091813599E-4</v>
      </c>
      <c r="AG59" s="312"/>
      <c r="AH59" s="312"/>
      <c r="AI59" s="325">
        <f t="shared" si="18"/>
        <v>1</v>
      </c>
      <c r="AJ59" s="312"/>
      <c r="AK59" s="312"/>
      <c r="AL59" s="312"/>
      <c r="AM59" s="312"/>
      <c r="AN59" s="312"/>
      <c r="AO59" s="312"/>
      <c r="AP59" s="312"/>
      <c r="AQ59" s="312"/>
      <c r="AR59" s="312"/>
      <c r="AS59" s="312"/>
      <c r="AT59" s="312"/>
      <c r="AU59" s="312"/>
      <c r="AV59" s="312"/>
      <c r="AW59" s="312"/>
      <c r="AX59" s="312"/>
      <c r="AY59" s="312"/>
      <c r="AZ59" s="312"/>
      <c r="BA59" s="312"/>
      <c r="BB59" s="312"/>
      <c r="BC59" s="312"/>
      <c r="BD59" s="312"/>
      <c r="BE59" s="312"/>
      <c r="BF59" s="312"/>
      <c r="BG59" s="312"/>
      <c r="BH59" s="312"/>
      <c r="BI59" s="312"/>
      <c r="BJ59" s="312"/>
      <c r="BK59" s="312"/>
      <c r="BL59" s="312"/>
      <c r="BM59" s="312"/>
      <c r="BN59" s="312"/>
      <c r="BO59" s="312"/>
      <c r="BP59" s="312"/>
      <c r="BQ59" s="312"/>
      <c r="BR59" s="312"/>
      <c r="BS59" s="312"/>
      <c r="BT59" s="312"/>
      <c r="BU59" s="312"/>
      <c r="BV59" s="312"/>
      <c r="BW59" s="312"/>
      <c r="BX59" s="312"/>
      <c r="BY59" s="312"/>
      <c r="BZ59" s="312"/>
      <c r="CA59" s="312"/>
      <c r="CB59" s="312"/>
      <c r="CC59" s="312"/>
      <c r="CD59" s="312"/>
      <c r="CE59" s="312"/>
      <c r="CF59" s="312"/>
      <c r="CG59" s="312"/>
      <c r="CH59" s="312"/>
      <c r="CI59" s="312"/>
      <c r="CJ59" s="312"/>
      <c r="CK59" s="312"/>
      <c r="CL59" s="312"/>
      <c r="CM59" s="312"/>
      <c r="CN59" s="312"/>
      <c r="CO59" s="312"/>
      <c r="CP59" s="312"/>
      <c r="CQ59" s="312"/>
      <c r="CR59" s="312"/>
      <c r="CS59" s="312"/>
      <c r="CT59" s="312"/>
      <c r="CU59" s="312"/>
      <c r="CV59" s="312"/>
      <c r="CW59" s="312"/>
      <c r="CX59" s="312"/>
      <c r="CY59" s="312"/>
      <c r="CZ59" s="312"/>
      <c r="DA59" s="312"/>
      <c r="DB59" s="312"/>
      <c r="DC59" s="312"/>
      <c r="DD59" s="312"/>
      <c r="DE59" s="312"/>
      <c r="DF59" s="312"/>
      <c r="DG59" s="312"/>
      <c r="DH59" s="312"/>
      <c r="DI59" s="312"/>
      <c r="DJ59" s="312"/>
      <c r="DK59" s="312"/>
      <c r="DL59" s="312"/>
      <c r="DM59" s="312"/>
      <c r="DN59" s="312"/>
      <c r="DO59" s="312"/>
      <c r="DP59" s="312"/>
      <c r="DQ59" s="312"/>
      <c r="DR59" s="312"/>
      <c r="DS59" s="312"/>
      <c r="DT59" s="312"/>
      <c r="DU59" s="312"/>
      <c r="DV59" s="312"/>
      <c r="DW59" s="312"/>
      <c r="DX59" s="312"/>
      <c r="DY59" s="312"/>
      <c r="DZ59" s="312"/>
      <c r="EA59" s="312"/>
      <c r="EB59" s="312"/>
      <c r="EC59" s="312"/>
      <c r="ED59" s="312"/>
      <c r="EE59" s="312"/>
      <c r="EF59" s="312"/>
      <c r="EG59" s="312"/>
      <c r="EH59" s="312"/>
      <c r="EI59" s="312"/>
      <c r="EJ59" s="312"/>
      <c r="EK59" s="312"/>
      <c r="EL59" s="312"/>
      <c r="EM59" s="312"/>
      <c r="EN59" s="312"/>
      <c r="EO59" s="312"/>
      <c r="EP59" s="312"/>
      <c r="EQ59" s="312"/>
      <c r="ER59" s="312"/>
      <c r="ES59" s="312"/>
      <c r="ET59" s="312"/>
      <c r="EU59" s="312"/>
      <c r="EV59" s="312"/>
      <c r="EW59" s="312"/>
      <c r="EX59" s="312"/>
      <c r="EY59" s="312"/>
      <c r="EZ59" s="312"/>
      <c r="FA59" s="312"/>
      <c r="FB59" s="312"/>
      <c r="FC59" s="312"/>
      <c r="FD59" s="312"/>
      <c r="FE59" s="312"/>
      <c r="FF59" s="312"/>
      <c r="FG59" s="312"/>
      <c r="FH59" s="312"/>
      <c r="FI59" s="312"/>
      <c r="FJ59" s="312"/>
      <c r="FK59" s="312"/>
      <c r="FL59" s="312"/>
      <c r="FM59" s="312"/>
      <c r="FN59" s="312"/>
      <c r="FO59" s="312"/>
      <c r="FP59" s="312"/>
      <c r="FQ59" s="312"/>
      <c r="FR59" s="312"/>
      <c r="FS59" s="312"/>
      <c r="FT59" s="312"/>
      <c r="FU59" s="312"/>
      <c r="FV59" s="312"/>
      <c r="FW59" s="312"/>
      <c r="FX59" s="312"/>
      <c r="FY59" s="312"/>
      <c r="FZ59" s="312"/>
      <c r="GA59" s="312"/>
      <c r="GB59" s="312"/>
      <c r="GC59" s="312"/>
      <c r="GD59" s="312"/>
      <c r="GE59" s="312"/>
      <c r="GF59" s="312"/>
      <c r="GG59" s="312"/>
      <c r="GH59" s="312"/>
      <c r="GI59" s="312"/>
      <c r="GJ59" s="312"/>
      <c r="GK59" s="312"/>
      <c r="GL59" s="312"/>
      <c r="GM59" s="312"/>
      <c r="GN59" s="312"/>
      <c r="GO59" s="312"/>
      <c r="GP59" s="312"/>
      <c r="GQ59" s="312"/>
      <c r="GR59" s="312"/>
      <c r="GS59" s="312"/>
      <c r="GT59" s="312"/>
      <c r="GU59" s="312"/>
      <c r="GV59" s="312"/>
      <c r="GW59" s="312"/>
      <c r="GX59" s="312"/>
      <c r="GY59" s="312"/>
    </row>
    <row r="60" spans="2:207" ht="15.75" x14ac:dyDescent="0.25">
      <c r="B60" s="316">
        <f t="shared" si="1"/>
        <v>30</v>
      </c>
      <c r="C60" s="330">
        <f>'סיכום לוועדה'!B60</f>
        <v>1001350413</v>
      </c>
      <c r="D60" s="330">
        <f>'סיכום לוועדה'!C60</f>
        <v>1001279700</v>
      </c>
      <c r="E60" s="330">
        <f>'סיכום לוועדה'!D60</f>
        <v>40000047</v>
      </c>
      <c r="F60" s="330">
        <f>'סיכום לוועדה'!E60</f>
        <v>20000201</v>
      </c>
      <c r="G60" s="330" t="str">
        <f>'סיכום לוועדה'!F60</f>
        <v>תל אביב -יפו</v>
      </c>
      <c r="H60" s="317" t="str">
        <f>'סיכום לוועדה'!G60</f>
        <v>סינמטק</v>
      </c>
      <c r="I60" s="318">
        <f>'סיכום לוועדה'!U60</f>
        <v>263000</v>
      </c>
      <c r="J60" s="319">
        <f>'סיכום לוועדה'!T60</f>
        <v>47167.6069214819</v>
      </c>
      <c r="K60" s="320">
        <f t="shared" si="2"/>
        <v>0</v>
      </c>
      <c r="L60" s="319">
        <f t="shared" si="3"/>
        <v>47167.6069214819</v>
      </c>
      <c r="M60" s="331">
        <f>'תחום תמיכה ב'!AF60</f>
        <v>2.2527055637572708E-4</v>
      </c>
      <c r="N60" s="319">
        <f t="shared" si="0"/>
        <v>51004.980899331953</v>
      </c>
      <c r="O60" s="321">
        <f t="shared" si="4"/>
        <v>0</v>
      </c>
      <c r="P60" s="322">
        <f t="shared" si="5"/>
        <v>51004.980899331953</v>
      </c>
      <c r="Q60" s="322">
        <f t="shared" si="6"/>
        <v>51028.20481421044</v>
      </c>
      <c r="R60" s="321">
        <f t="shared" si="7"/>
        <v>0</v>
      </c>
      <c r="S60" s="322">
        <f t="shared" si="8"/>
        <v>51028.20481421044</v>
      </c>
      <c r="T60" s="322">
        <f t="shared" si="9"/>
        <v>51028.20481421033</v>
      </c>
      <c r="U60" s="321">
        <f t="shared" si="10"/>
        <v>0</v>
      </c>
      <c r="V60" s="322">
        <f t="shared" si="11"/>
        <v>51028.20481421033</v>
      </c>
      <c r="W60" s="322">
        <f t="shared" si="12"/>
        <v>51028.204814210352</v>
      </c>
      <c r="X60" s="321">
        <f t="shared" si="13"/>
        <v>0</v>
      </c>
      <c r="Y60" s="322">
        <f t="shared" si="14"/>
        <v>51028.204814210352</v>
      </c>
      <c r="Z60" s="322">
        <f t="shared" si="15"/>
        <v>51028.204814210345</v>
      </c>
      <c r="AA60" s="323">
        <f t="shared" si="16"/>
        <v>51028.204814210345</v>
      </c>
      <c r="AB60" s="323"/>
      <c r="AC60" s="323"/>
      <c r="AD60" s="323"/>
      <c r="AE60" s="323"/>
      <c r="AF60" s="324">
        <f t="shared" si="17"/>
        <v>2.9222748482746327E-4</v>
      </c>
      <c r="AG60" s="312"/>
      <c r="AH60" s="312"/>
      <c r="AI60" s="325">
        <f t="shared" si="18"/>
        <v>1</v>
      </c>
      <c r="AJ60" s="312"/>
      <c r="AK60" s="312"/>
      <c r="AL60" s="312"/>
      <c r="AM60" s="312"/>
      <c r="AN60" s="312"/>
      <c r="AO60" s="312"/>
      <c r="AP60" s="312"/>
      <c r="AQ60" s="312"/>
      <c r="AR60" s="312"/>
      <c r="AS60" s="312"/>
      <c r="AT60" s="312"/>
      <c r="AU60" s="312"/>
      <c r="AV60" s="312"/>
      <c r="AW60" s="312"/>
      <c r="AX60" s="312"/>
      <c r="AY60" s="312"/>
      <c r="AZ60" s="312"/>
      <c r="BA60" s="312"/>
      <c r="BB60" s="312"/>
      <c r="BC60" s="312"/>
      <c r="BD60" s="312"/>
      <c r="BE60" s="312"/>
      <c r="BF60" s="312"/>
      <c r="BG60" s="312"/>
      <c r="BH60" s="312"/>
      <c r="BI60" s="312"/>
      <c r="BJ60" s="312"/>
      <c r="BK60" s="312"/>
      <c r="BL60" s="312"/>
      <c r="BM60" s="312"/>
      <c r="BN60" s="312"/>
      <c r="BO60" s="312"/>
      <c r="BP60" s="312"/>
      <c r="BQ60" s="312"/>
      <c r="BR60" s="312"/>
      <c r="BS60" s="312"/>
      <c r="BT60" s="312"/>
      <c r="BU60" s="312"/>
      <c r="BV60" s="312"/>
      <c r="BW60" s="312"/>
      <c r="BX60" s="312"/>
      <c r="BY60" s="312"/>
      <c r="BZ60" s="312"/>
      <c r="CA60" s="312"/>
      <c r="CB60" s="312"/>
      <c r="CC60" s="312"/>
      <c r="CD60" s="312"/>
      <c r="CE60" s="312"/>
      <c r="CF60" s="312"/>
      <c r="CG60" s="312"/>
      <c r="CH60" s="312"/>
      <c r="CI60" s="312"/>
      <c r="CJ60" s="312"/>
      <c r="CK60" s="312"/>
      <c r="CL60" s="312"/>
      <c r="CM60" s="312"/>
      <c r="CN60" s="312"/>
      <c r="CO60" s="312"/>
      <c r="CP60" s="312"/>
      <c r="CQ60" s="312"/>
      <c r="CR60" s="312"/>
      <c r="CS60" s="312"/>
      <c r="CT60" s="312"/>
      <c r="CU60" s="312"/>
      <c r="CV60" s="312"/>
      <c r="CW60" s="312"/>
      <c r="CX60" s="312"/>
      <c r="CY60" s="312"/>
      <c r="CZ60" s="312"/>
      <c r="DA60" s="312"/>
      <c r="DB60" s="312"/>
      <c r="DC60" s="312"/>
      <c r="DD60" s="312"/>
      <c r="DE60" s="312"/>
      <c r="DF60" s="312"/>
      <c r="DG60" s="312"/>
      <c r="DH60" s="312"/>
      <c r="DI60" s="312"/>
      <c r="DJ60" s="312"/>
      <c r="DK60" s="312"/>
      <c r="DL60" s="312"/>
      <c r="DM60" s="312"/>
      <c r="DN60" s="312"/>
      <c r="DO60" s="312"/>
      <c r="DP60" s="312"/>
      <c r="DQ60" s="312"/>
      <c r="DR60" s="312"/>
      <c r="DS60" s="312"/>
      <c r="DT60" s="312"/>
      <c r="DU60" s="312"/>
      <c r="DV60" s="312"/>
      <c r="DW60" s="312"/>
      <c r="DX60" s="312"/>
      <c r="DY60" s="312"/>
      <c r="DZ60" s="312"/>
      <c r="EA60" s="312"/>
      <c r="EB60" s="312"/>
      <c r="EC60" s="312"/>
      <c r="ED60" s="312"/>
      <c r="EE60" s="312"/>
      <c r="EF60" s="312"/>
      <c r="EG60" s="312"/>
      <c r="EH60" s="312"/>
      <c r="EI60" s="312"/>
      <c r="EJ60" s="312"/>
      <c r="EK60" s="312"/>
      <c r="EL60" s="312"/>
      <c r="EM60" s="312"/>
      <c r="EN60" s="312"/>
      <c r="EO60" s="312"/>
      <c r="EP60" s="312"/>
      <c r="EQ60" s="312"/>
      <c r="ER60" s="312"/>
      <c r="ES60" s="312"/>
      <c r="ET60" s="312"/>
      <c r="EU60" s="312"/>
      <c r="EV60" s="312"/>
      <c r="EW60" s="312"/>
      <c r="EX60" s="312"/>
      <c r="EY60" s="312"/>
      <c r="EZ60" s="312"/>
      <c r="FA60" s="312"/>
      <c r="FB60" s="312"/>
      <c r="FC60" s="312"/>
      <c r="FD60" s="312"/>
      <c r="FE60" s="312"/>
      <c r="FF60" s="312"/>
      <c r="FG60" s="312"/>
      <c r="FH60" s="312"/>
      <c r="FI60" s="312"/>
      <c r="FJ60" s="312"/>
      <c r="FK60" s="312"/>
      <c r="FL60" s="312"/>
      <c r="FM60" s="312"/>
      <c r="FN60" s="312"/>
      <c r="FO60" s="312"/>
      <c r="FP60" s="312"/>
      <c r="FQ60" s="312"/>
      <c r="FR60" s="312"/>
      <c r="FS60" s="312"/>
      <c r="FT60" s="312"/>
      <c r="FU60" s="312"/>
      <c r="FV60" s="312"/>
      <c r="FW60" s="312"/>
      <c r="FX60" s="312"/>
      <c r="FY60" s="312"/>
      <c r="FZ60" s="312"/>
      <c r="GA60" s="312"/>
      <c r="GB60" s="312"/>
      <c r="GC60" s="312"/>
      <c r="GD60" s="312"/>
      <c r="GE60" s="312"/>
      <c r="GF60" s="312"/>
      <c r="GG60" s="312"/>
      <c r="GH60" s="312"/>
      <c r="GI60" s="312"/>
      <c r="GJ60" s="312"/>
      <c r="GK60" s="312"/>
      <c r="GL60" s="312"/>
      <c r="GM60" s="312"/>
      <c r="GN60" s="312"/>
      <c r="GO60" s="312"/>
      <c r="GP60" s="312"/>
      <c r="GQ60" s="312"/>
      <c r="GR60" s="312"/>
      <c r="GS60" s="312"/>
      <c r="GT60" s="312"/>
      <c r="GU60" s="312"/>
      <c r="GV60" s="312"/>
      <c r="GW60" s="312"/>
      <c r="GX60" s="312"/>
      <c r="GY60" s="312"/>
    </row>
    <row r="61" spans="2:207" ht="15.75" x14ac:dyDescent="0.25">
      <c r="B61" s="316">
        <f t="shared" si="1"/>
        <v>31</v>
      </c>
      <c r="C61" s="330">
        <f>'סיכום לוועדה'!B61</f>
        <v>1001350418</v>
      </c>
      <c r="D61" s="330">
        <f>'סיכום לוועדה'!C61</f>
        <v>1001279702</v>
      </c>
      <c r="E61" s="330">
        <f>'סיכום לוועדה'!D61</f>
        <v>40000047</v>
      </c>
      <c r="F61" s="330">
        <f>'סיכום לוועדה'!E61</f>
        <v>20000201</v>
      </c>
      <c r="G61" s="330" t="str">
        <f>'סיכום לוועדה'!F61</f>
        <v>תל אביב -יפו</v>
      </c>
      <c r="H61" s="317" t="str">
        <f>'סיכום לוועדה'!G61</f>
        <v>סינמטק</v>
      </c>
      <c r="I61" s="318">
        <f>'סיכום לוועדה'!U61</f>
        <v>213400</v>
      </c>
      <c r="J61" s="319">
        <f>'סיכום לוועדה'!T61</f>
        <v>4082660.0408191769</v>
      </c>
      <c r="K61" s="320">
        <f t="shared" si="2"/>
        <v>1</v>
      </c>
      <c r="L61" s="319">
        <f t="shared" si="3"/>
        <v>213400</v>
      </c>
      <c r="M61" s="331">
        <f>'תחום תמיכה ב'!AF61</f>
        <v>2.126028711356788E-2</v>
      </c>
      <c r="N61" s="319">
        <f t="shared" si="0"/>
        <v>213400</v>
      </c>
      <c r="O61" s="321">
        <f t="shared" si="4"/>
        <v>1</v>
      </c>
      <c r="P61" s="322">
        <f t="shared" si="5"/>
        <v>213400</v>
      </c>
      <c r="Q61" s="322">
        <f t="shared" si="6"/>
        <v>213400</v>
      </c>
      <c r="R61" s="321">
        <f t="shared" si="7"/>
        <v>1</v>
      </c>
      <c r="S61" s="322">
        <f t="shared" si="8"/>
        <v>213400</v>
      </c>
      <c r="T61" s="322">
        <f t="shared" si="9"/>
        <v>213400</v>
      </c>
      <c r="U61" s="321">
        <f t="shared" si="10"/>
        <v>1</v>
      </c>
      <c r="V61" s="322">
        <f t="shared" si="11"/>
        <v>213400</v>
      </c>
      <c r="W61" s="322">
        <f t="shared" si="12"/>
        <v>213400</v>
      </c>
      <c r="X61" s="321">
        <f t="shared" si="13"/>
        <v>1</v>
      </c>
      <c r="Y61" s="322">
        <f t="shared" si="14"/>
        <v>213400</v>
      </c>
      <c r="Z61" s="322">
        <f t="shared" si="15"/>
        <v>213400</v>
      </c>
      <c r="AA61" s="323">
        <f t="shared" si="16"/>
        <v>213400</v>
      </c>
      <c r="AB61" s="323"/>
      <c r="AC61" s="323"/>
      <c r="AD61" s="323"/>
      <c r="AE61" s="323"/>
      <c r="AF61" s="324">
        <f t="shared" si="17"/>
        <v>1.2220956133815286E-3</v>
      </c>
      <c r="AG61" s="312"/>
      <c r="AH61" s="312"/>
      <c r="AI61" s="325">
        <f t="shared" si="18"/>
        <v>1</v>
      </c>
      <c r="AJ61" s="312"/>
      <c r="AK61" s="312"/>
      <c r="AL61" s="312"/>
      <c r="AM61" s="312"/>
      <c r="AN61" s="312"/>
      <c r="AO61" s="312"/>
      <c r="AP61" s="312"/>
      <c r="AQ61" s="312"/>
      <c r="AR61" s="312"/>
      <c r="AS61" s="312"/>
      <c r="AT61" s="312"/>
      <c r="AU61" s="312"/>
      <c r="AV61" s="312"/>
      <c r="AW61" s="312"/>
      <c r="AX61" s="312"/>
      <c r="AY61" s="312"/>
      <c r="AZ61" s="312"/>
      <c r="BA61" s="312"/>
      <c r="BB61" s="312"/>
      <c r="BC61" s="312"/>
      <c r="BD61" s="312"/>
      <c r="BE61" s="312"/>
      <c r="BF61" s="312"/>
      <c r="BG61" s="312"/>
      <c r="BH61" s="312"/>
      <c r="BI61" s="312"/>
      <c r="BJ61" s="312"/>
      <c r="BK61" s="312"/>
      <c r="BL61" s="312"/>
      <c r="BM61" s="312"/>
      <c r="BN61" s="312"/>
      <c r="BO61" s="312"/>
      <c r="BP61" s="312"/>
      <c r="BQ61" s="312"/>
      <c r="BR61" s="312"/>
      <c r="BS61" s="312"/>
      <c r="BT61" s="312"/>
      <c r="BU61" s="312"/>
      <c r="BV61" s="312"/>
      <c r="BW61" s="312"/>
      <c r="BX61" s="312"/>
      <c r="BY61" s="312"/>
      <c r="BZ61" s="312"/>
      <c r="CA61" s="312"/>
      <c r="CB61" s="312"/>
      <c r="CC61" s="312"/>
      <c r="CD61" s="312"/>
      <c r="CE61" s="312"/>
      <c r="CF61" s="312"/>
      <c r="CG61" s="312"/>
      <c r="CH61" s="312"/>
      <c r="CI61" s="312"/>
      <c r="CJ61" s="312"/>
      <c r="CK61" s="312"/>
      <c r="CL61" s="312"/>
      <c r="CM61" s="312"/>
      <c r="CN61" s="312"/>
      <c r="CO61" s="312"/>
      <c r="CP61" s="312"/>
      <c r="CQ61" s="312"/>
      <c r="CR61" s="312"/>
      <c r="CS61" s="312"/>
      <c r="CT61" s="312"/>
      <c r="CU61" s="312"/>
      <c r="CV61" s="312"/>
      <c r="CW61" s="312"/>
      <c r="CX61" s="312"/>
      <c r="CY61" s="312"/>
      <c r="CZ61" s="312"/>
      <c r="DA61" s="312"/>
      <c r="DB61" s="312"/>
      <c r="DC61" s="312"/>
      <c r="DD61" s="312"/>
      <c r="DE61" s="312"/>
      <c r="DF61" s="312"/>
      <c r="DG61" s="312"/>
      <c r="DH61" s="312"/>
      <c r="DI61" s="312"/>
      <c r="DJ61" s="312"/>
      <c r="DK61" s="312"/>
      <c r="DL61" s="312"/>
      <c r="DM61" s="312"/>
      <c r="DN61" s="312"/>
      <c r="DO61" s="312"/>
      <c r="DP61" s="312"/>
      <c r="DQ61" s="312"/>
      <c r="DR61" s="312"/>
      <c r="DS61" s="312"/>
      <c r="DT61" s="312"/>
      <c r="DU61" s="312"/>
      <c r="DV61" s="312"/>
      <c r="DW61" s="312"/>
      <c r="DX61" s="312"/>
      <c r="DY61" s="312"/>
      <c r="DZ61" s="312"/>
      <c r="EA61" s="312"/>
      <c r="EB61" s="312"/>
      <c r="EC61" s="312"/>
      <c r="ED61" s="312"/>
      <c r="EE61" s="312"/>
      <c r="EF61" s="312"/>
      <c r="EG61" s="312"/>
      <c r="EH61" s="312"/>
      <c r="EI61" s="312"/>
      <c r="EJ61" s="312"/>
      <c r="EK61" s="312"/>
      <c r="EL61" s="312"/>
      <c r="EM61" s="312"/>
      <c r="EN61" s="312"/>
      <c r="EO61" s="312"/>
      <c r="EP61" s="312"/>
      <c r="EQ61" s="312"/>
      <c r="ER61" s="312"/>
      <c r="ES61" s="312"/>
      <c r="ET61" s="312"/>
      <c r="EU61" s="312"/>
      <c r="EV61" s="312"/>
      <c r="EW61" s="312"/>
      <c r="EX61" s="312"/>
      <c r="EY61" s="312"/>
      <c r="EZ61" s="312"/>
      <c r="FA61" s="312"/>
      <c r="FB61" s="312"/>
      <c r="FC61" s="312"/>
      <c r="FD61" s="312"/>
      <c r="FE61" s="312"/>
      <c r="FF61" s="312"/>
      <c r="FG61" s="312"/>
      <c r="FH61" s="312"/>
      <c r="FI61" s="312"/>
      <c r="FJ61" s="312"/>
      <c r="FK61" s="312"/>
      <c r="FL61" s="312"/>
      <c r="FM61" s="312"/>
      <c r="FN61" s="312"/>
      <c r="FO61" s="312"/>
      <c r="FP61" s="312"/>
      <c r="FQ61" s="312"/>
      <c r="FR61" s="312"/>
      <c r="FS61" s="312"/>
      <c r="FT61" s="312"/>
      <c r="FU61" s="312"/>
      <c r="FV61" s="312"/>
      <c r="FW61" s="312"/>
      <c r="FX61" s="312"/>
      <c r="FY61" s="312"/>
      <c r="FZ61" s="312"/>
      <c r="GA61" s="312"/>
      <c r="GB61" s="312"/>
      <c r="GC61" s="312"/>
      <c r="GD61" s="312"/>
      <c r="GE61" s="312"/>
      <c r="GF61" s="312"/>
      <c r="GG61" s="312"/>
      <c r="GH61" s="312"/>
      <c r="GI61" s="312"/>
      <c r="GJ61" s="312"/>
      <c r="GK61" s="312"/>
      <c r="GL61" s="312"/>
      <c r="GM61" s="312"/>
      <c r="GN61" s="312"/>
      <c r="GO61" s="312"/>
      <c r="GP61" s="312"/>
      <c r="GQ61" s="312"/>
      <c r="GR61" s="312"/>
      <c r="GS61" s="312"/>
      <c r="GT61" s="312"/>
      <c r="GU61" s="312"/>
      <c r="GV61" s="312"/>
      <c r="GW61" s="312"/>
      <c r="GX61" s="312"/>
      <c r="GY61" s="312"/>
    </row>
    <row r="62" spans="2:207" ht="15.75" x14ac:dyDescent="0.25">
      <c r="B62" s="316">
        <f t="shared" si="1"/>
        <v>32</v>
      </c>
      <c r="C62" s="330">
        <f>'סיכום לוועדה'!B62</f>
        <v>1001350420</v>
      </c>
      <c r="D62" s="330">
        <f>'סיכום לוועדה'!C62</f>
        <v>1001279677</v>
      </c>
      <c r="E62" s="330">
        <f>'סיכום לוועדה'!D62</f>
        <v>40000047</v>
      </c>
      <c r="F62" s="330">
        <f>'סיכום לוועדה'!E62</f>
        <v>20000201</v>
      </c>
      <c r="G62" s="330" t="str">
        <f>'סיכום לוועדה'!F62</f>
        <v>תל אביב -יפו</v>
      </c>
      <c r="H62" s="317" t="str">
        <f>'סיכום לוועדה'!G62</f>
        <v>סינמטק</v>
      </c>
      <c r="I62" s="318">
        <f>'סיכום לוועדה'!U62</f>
        <v>203500</v>
      </c>
      <c r="J62" s="319">
        <f>'סיכום לוועדה'!T62</f>
        <v>68912.716707280269</v>
      </c>
      <c r="K62" s="320">
        <f t="shared" si="2"/>
        <v>0</v>
      </c>
      <c r="L62" s="319">
        <f t="shared" si="3"/>
        <v>68912.716707280269</v>
      </c>
      <c r="M62" s="331">
        <f>'תחום תמיכה ב'!AF62</f>
        <v>3.1702529499244217E-4</v>
      </c>
      <c r="N62" s="319">
        <f t="shared" si="0"/>
        <v>74313.087873830635</v>
      </c>
      <c r="O62" s="321">
        <f t="shared" si="4"/>
        <v>0</v>
      </c>
      <c r="P62" s="322">
        <f t="shared" si="5"/>
        <v>74313.087873830635</v>
      </c>
      <c r="Q62" s="322">
        <f t="shared" si="6"/>
        <v>74346.924585397021</v>
      </c>
      <c r="R62" s="321">
        <f t="shared" si="7"/>
        <v>0</v>
      </c>
      <c r="S62" s="322">
        <f t="shared" si="8"/>
        <v>74346.924585397021</v>
      </c>
      <c r="T62" s="322">
        <f t="shared" si="9"/>
        <v>74346.92458539686</v>
      </c>
      <c r="U62" s="321">
        <f t="shared" si="10"/>
        <v>0</v>
      </c>
      <c r="V62" s="322">
        <f t="shared" si="11"/>
        <v>74346.92458539686</v>
      </c>
      <c r="W62" s="322">
        <f t="shared" si="12"/>
        <v>74346.92458539689</v>
      </c>
      <c r="X62" s="321">
        <f t="shared" si="13"/>
        <v>0</v>
      </c>
      <c r="Y62" s="322">
        <f t="shared" si="14"/>
        <v>74346.92458539689</v>
      </c>
      <c r="Z62" s="322">
        <f t="shared" si="15"/>
        <v>74346.924585396875</v>
      </c>
      <c r="AA62" s="323">
        <f t="shared" si="16"/>
        <v>74346.924585396875</v>
      </c>
      <c r="AB62" s="323"/>
      <c r="AC62" s="323"/>
      <c r="AD62" s="323"/>
      <c r="AE62" s="323"/>
      <c r="AF62" s="324">
        <f t="shared" si="17"/>
        <v>4.2576874603664872E-4</v>
      </c>
      <c r="AG62" s="312"/>
      <c r="AH62" s="312"/>
      <c r="AI62" s="325">
        <f t="shared" si="18"/>
        <v>1</v>
      </c>
      <c r="AJ62" s="312"/>
      <c r="AK62" s="312"/>
      <c r="AL62" s="312"/>
      <c r="AM62" s="312"/>
      <c r="AN62" s="312"/>
      <c r="AO62" s="312"/>
      <c r="AP62" s="312"/>
      <c r="AQ62" s="312"/>
      <c r="AR62" s="312"/>
      <c r="AS62" s="312"/>
      <c r="AT62" s="312"/>
      <c r="AU62" s="312"/>
      <c r="AV62" s="312"/>
      <c r="AW62" s="312"/>
      <c r="AX62" s="312"/>
      <c r="AY62" s="312"/>
      <c r="AZ62" s="312"/>
      <c r="BA62" s="312"/>
      <c r="BB62" s="312"/>
      <c r="BC62" s="312"/>
      <c r="BD62" s="312"/>
      <c r="BE62" s="312"/>
      <c r="BF62" s="312"/>
      <c r="BG62" s="312"/>
      <c r="BH62" s="312"/>
      <c r="BI62" s="312"/>
      <c r="BJ62" s="312"/>
      <c r="BK62" s="312"/>
      <c r="BL62" s="312"/>
      <c r="BM62" s="312"/>
      <c r="BN62" s="312"/>
      <c r="BO62" s="312"/>
      <c r="BP62" s="312"/>
      <c r="BQ62" s="312"/>
      <c r="BR62" s="312"/>
      <c r="BS62" s="312"/>
      <c r="BT62" s="312"/>
      <c r="BU62" s="312"/>
      <c r="BV62" s="312"/>
      <c r="BW62" s="312"/>
      <c r="BX62" s="312"/>
      <c r="BY62" s="312"/>
      <c r="BZ62" s="312"/>
      <c r="CA62" s="312"/>
      <c r="CB62" s="312"/>
      <c r="CC62" s="312"/>
      <c r="CD62" s="312"/>
      <c r="CE62" s="312"/>
      <c r="CF62" s="312"/>
      <c r="CG62" s="312"/>
      <c r="CH62" s="312"/>
      <c r="CI62" s="312"/>
      <c r="CJ62" s="312"/>
      <c r="CK62" s="312"/>
      <c r="CL62" s="312"/>
      <c r="CM62" s="312"/>
      <c r="CN62" s="312"/>
      <c r="CO62" s="312"/>
      <c r="CP62" s="312"/>
      <c r="CQ62" s="312"/>
      <c r="CR62" s="312"/>
      <c r="CS62" s="312"/>
      <c r="CT62" s="312"/>
      <c r="CU62" s="312"/>
      <c r="CV62" s="312"/>
      <c r="CW62" s="312"/>
      <c r="CX62" s="312"/>
      <c r="CY62" s="312"/>
      <c r="CZ62" s="312"/>
      <c r="DA62" s="312"/>
      <c r="DB62" s="312"/>
      <c r="DC62" s="312"/>
      <c r="DD62" s="312"/>
      <c r="DE62" s="312"/>
      <c r="DF62" s="312"/>
      <c r="DG62" s="312"/>
      <c r="DH62" s="312"/>
      <c r="DI62" s="312"/>
      <c r="DJ62" s="312"/>
      <c r="DK62" s="312"/>
      <c r="DL62" s="312"/>
      <c r="DM62" s="312"/>
      <c r="DN62" s="312"/>
      <c r="DO62" s="312"/>
      <c r="DP62" s="312"/>
      <c r="DQ62" s="312"/>
      <c r="DR62" s="312"/>
      <c r="DS62" s="312"/>
      <c r="DT62" s="312"/>
      <c r="DU62" s="312"/>
      <c r="DV62" s="312"/>
      <c r="DW62" s="312"/>
      <c r="DX62" s="312"/>
      <c r="DY62" s="312"/>
      <c r="DZ62" s="312"/>
      <c r="EA62" s="312"/>
      <c r="EB62" s="312"/>
      <c r="EC62" s="312"/>
      <c r="ED62" s="312"/>
      <c r="EE62" s="312"/>
      <c r="EF62" s="312"/>
      <c r="EG62" s="312"/>
      <c r="EH62" s="312"/>
      <c r="EI62" s="312"/>
      <c r="EJ62" s="312"/>
      <c r="EK62" s="312"/>
      <c r="EL62" s="312"/>
      <c r="EM62" s="312"/>
      <c r="EN62" s="312"/>
      <c r="EO62" s="312"/>
      <c r="EP62" s="312"/>
      <c r="EQ62" s="312"/>
      <c r="ER62" s="312"/>
      <c r="ES62" s="312"/>
      <c r="ET62" s="312"/>
      <c r="EU62" s="312"/>
      <c r="EV62" s="312"/>
      <c r="EW62" s="312"/>
      <c r="EX62" s="312"/>
      <c r="EY62" s="312"/>
      <c r="EZ62" s="312"/>
      <c r="FA62" s="312"/>
      <c r="FB62" s="312"/>
      <c r="FC62" s="312"/>
      <c r="FD62" s="312"/>
      <c r="FE62" s="312"/>
      <c r="FF62" s="312"/>
      <c r="FG62" s="312"/>
      <c r="FH62" s="312"/>
      <c r="FI62" s="312"/>
      <c r="FJ62" s="312"/>
      <c r="FK62" s="312"/>
      <c r="FL62" s="312"/>
      <c r="FM62" s="312"/>
      <c r="FN62" s="312"/>
      <c r="FO62" s="312"/>
      <c r="FP62" s="312"/>
      <c r="FQ62" s="312"/>
      <c r="FR62" s="312"/>
      <c r="FS62" s="312"/>
      <c r="FT62" s="312"/>
      <c r="FU62" s="312"/>
      <c r="FV62" s="312"/>
      <c r="FW62" s="312"/>
      <c r="FX62" s="312"/>
      <c r="FY62" s="312"/>
      <c r="FZ62" s="312"/>
      <c r="GA62" s="312"/>
      <c r="GB62" s="312"/>
      <c r="GC62" s="312"/>
      <c r="GD62" s="312"/>
      <c r="GE62" s="312"/>
      <c r="GF62" s="312"/>
      <c r="GG62" s="312"/>
      <c r="GH62" s="312"/>
      <c r="GI62" s="312"/>
      <c r="GJ62" s="312"/>
      <c r="GK62" s="312"/>
      <c r="GL62" s="312"/>
      <c r="GM62" s="312"/>
      <c r="GN62" s="312"/>
      <c r="GO62" s="312"/>
      <c r="GP62" s="312"/>
      <c r="GQ62" s="312"/>
      <c r="GR62" s="312"/>
      <c r="GS62" s="312"/>
      <c r="GT62" s="312"/>
      <c r="GU62" s="312"/>
      <c r="GV62" s="312"/>
      <c r="GW62" s="312"/>
      <c r="GX62" s="312"/>
      <c r="GY62" s="312"/>
    </row>
    <row r="63" spans="2:207" ht="15.75" x14ac:dyDescent="0.25">
      <c r="B63" s="316">
        <f t="shared" si="1"/>
        <v>33</v>
      </c>
      <c r="C63" s="330">
        <f>'סיכום לוועדה'!B63</f>
        <v>1001346673</v>
      </c>
      <c r="D63" s="330">
        <f>'סיכום לוועדה'!C63</f>
        <v>1001280582</v>
      </c>
      <c r="E63" s="330">
        <f>'סיכום לוועדה'!D63</f>
        <v>40000026</v>
      </c>
      <c r="F63" s="330">
        <f>'סיכום לוועדה'!E63</f>
        <v>20000182</v>
      </c>
      <c r="G63" s="330" t="str">
        <f>'סיכום לוועדה'!F63</f>
        <v>חיפה</v>
      </c>
      <c r="H63" s="317" t="str">
        <f>'סיכום לוועדה'!G63</f>
        <v>מוזיאוני חיפה</v>
      </c>
      <c r="I63" s="318">
        <f>'סיכום לוועדה'!U63</f>
        <v>4000000</v>
      </c>
      <c r="J63" s="319">
        <f>'סיכום לוועדה'!T63</f>
        <v>680473.58035353594</v>
      </c>
      <c r="K63" s="320">
        <f t="shared" si="2"/>
        <v>0</v>
      </c>
      <c r="L63" s="319">
        <f t="shared" si="3"/>
        <v>680473.58035353594</v>
      </c>
      <c r="M63" s="331">
        <f>'תחום תמיכה ב'!AF63</f>
        <v>2.9618697225131142E-3</v>
      </c>
      <c r="N63" s="319">
        <f t="shared" si="0"/>
        <v>730927.58544773411</v>
      </c>
      <c r="O63" s="321">
        <f t="shared" si="4"/>
        <v>0</v>
      </c>
      <c r="P63" s="322">
        <f t="shared" si="5"/>
        <v>730927.58544773411</v>
      </c>
      <c r="Q63" s="322">
        <f t="shared" si="6"/>
        <v>731260.39608166576</v>
      </c>
      <c r="R63" s="321">
        <f t="shared" si="7"/>
        <v>0</v>
      </c>
      <c r="S63" s="322">
        <f t="shared" si="8"/>
        <v>731260.39608166576</v>
      </c>
      <c r="T63" s="322">
        <f t="shared" si="9"/>
        <v>731260.39608166437</v>
      </c>
      <c r="U63" s="321">
        <f t="shared" si="10"/>
        <v>0</v>
      </c>
      <c r="V63" s="322">
        <f t="shared" si="11"/>
        <v>731260.39608166437</v>
      </c>
      <c r="W63" s="322">
        <f t="shared" si="12"/>
        <v>731260.3960816646</v>
      </c>
      <c r="X63" s="321">
        <f t="shared" si="13"/>
        <v>0</v>
      </c>
      <c r="Y63" s="322">
        <f t="shared" si="14"/>
        <v>731260.3960816646</v>
      </c>
      <c r="Z63" s="322">
        <f t="shared" si="15"/>
        <v>731260.39608166448</v>
      </c>
      <c r="AA63" s="323">
        <f t="shared" si="16"/>
        <v>731260.39608166448</v>
      </c>
      <c r="AB63" s="323"/>
      <c r="AC63" s="323"/>
      <c r="AD63" s="323"/>
      <c r="AE63" s="323"/>
      <c r="AF63" s="324">
        <f t="shared" si="17"/>
        <v>4.1877700201079721E-3</v>
      </c>
      <c r="AG63" s="312"/>
      <c r="AH63" s="312"/>
      <c r="AI63" s="325">
        <f t="shared" si="18"/>
        <v>1</v>
      </c>
      <c r="AJ63" s="312"/>
      <c r="AK63" s="312"/>
      <c r="AL63" s="312"/>
      <c r="AM63" s="312"/>
      <c r="AN63" s="312"/>
      <c r="AO63" s="312"/>
      <c r="AP63" s="312"/>
      <c r="AQ63" s="312"/>
      <c r="AR63" s="312"/>
      <c r="AS63" s="312"/>
      <c r="AT63" s="312"/>
      <c r="AU63" s="312"/>
      <c r="AV63" s="312"/>
      <c r="AW63" s="312"/>
      <c r="AX63" s="312"/>
      <c r="AY63" s="312"/>
      <c r="AZ63" s="312"/>
      <c r="BA63" s="312"/>
      <c r="BB63" s="312"/>
      <c r="BC63" s="312"/>
      <c r="BD63" s="312"/>
      <c r="BE63" s="312"/>
      <c r="BF63" s="312"/>
      <c r="BG63" s="312"/>
      <c r="BH63" s="312"/>
      <c r="BI63" s="312"/>
      <c r="BJ63" s="312"/>
      <c r="BK63" s="312"/>
      <c r="BL63" s="312"/>
      <c r="BM63" s="312"/>
      <c r="BN63" s="312"/>
      <c r="BO63" s="312"/>
      <c r="BP63" s="312"/>
      <c r="BQ63" s="312"/>
      <c r="BR63" s="312"/>
      <c r="BS63" s="312"/>
      <c r="BT63" s="312"/>
      <c r="BU63" s="312"/>
      <c r="BV63" s="312"/>
      <c r="BW63" s="312"/>
      <c r="BX63" s="312"/>
      <c r="BY63" s="312"/>
      <c r="BZ63" s="312"/>
      <c r="CA63" s="312"/>
      <c r="CB63" s="312"/>
      <c r="CC63" s="312"/>
      <c r="CD63" s="312"/>
      <c r="CE63" s="312"/>
      <c r="CF63" s="312"/>
      <c r="CG63" s="312"/>
      <c r="CH63" s="312"/>
      <c r="CI63" s="312"/>
      <c r="CJ63" s="312"/>
      <c r="CK63" s="312"/>
      <c r="CL63" s="312"/>
      <c r="CM63" s="312"/>
      <c r="CN63" s="312"/>
      <c r="CO63" s="312"/>
      <c r="CP63" s="312"/>
      <c r="CQ63" s="312"/>
      <c r="CR63" s="312"/>
      <c r="CS63" s="312"/>
      <c r="CT63" s="312"/>
      <c r="CU63" s="312"/>
      <c r="CV63" s="312"/>
      <c r="CW63" s="312"/>
      <c r="CX63" s="312"/>
      <c r="CY63" s="312"/>
      <c r="CZ63" s="312"/>
      <c r="DA63" s="312"/>
      <c r="DB63" s="312"/>
      <c r="DC63" s="312"/>
      <c r="DD63" s="312"/>
      <c r="DE63" s="312"/>
      <c r="DF63" s="312"/>
      <c r="DG63" s="312"/>
      <c r="DH63" s="312"/>
      <c r="DI63" s="312"/>
      <c r="DJ63" s="312"/>
      <c r="DK63" s="312"/>
      <c r="DL63" s="312"/>
      <c r="DM63" s="312"/>
      <c r="DN63" s="312"/>
      <c r="DO63" s="312"/>
      <c r="DP63" s="312"/>
      <c r="DQ63" s="312"/>
      <c r="DR63" s="312"/>
      <c r="DS63" s="312"/>
      <c r="DT63" s="312"/>
      <c r="DU63" s="312"/>
      <c r="DV63" s="312"/>
      <c r="DW63" s="312"/>
      <c r="DX63" s="312"/>
      <c r="DY63" s="312"/>
      <c r="DZ63" s="312"/>
      <c r="EA63" s="312"/>
      <c r="EB63" s="312"/>
      <c r="EC63" s="312"/>
      <c r="ED63" s="312"/>
      <c r="EE63" s="312"/>
      <c r="EF63" s="312"/>
      <c r="EG63" s="312"/>
      <c r="EH63" s="312"/>
      <c r="EI63" s="312"/>
      <c r="EJ63" s="312"/>
      <c r="EK63" s="312"/>
      <c r="EL63" s="312"/>
      <c r="EM63" s="312"/>
      <c r="EN63" s="312"/>
      <c r="EO63" s="312"/>
      <c r="EP63" s="312"/>
      <c r="EQ63" s="312"/>
      <c r="ER63" s="312"/>
      <c r="ES63" s="312"/>
      <c r="ET63" s="312"/>
      <c r="EU63" s="312"/>
      <c r="EV63" s="312"/>
      <c r="EW63" s="312"/>
      <c r="EX63" s="312"/>
      <c r="EY63" s="312"/>
      <c r="EZ63" s="312"/>
      <c r="FA63" s="312"/>
      <c r="FB63" s="312"/>
      <c r="FC63" s="312"/>
      <c r="FD63" s="312"/>
      <c r="FE63" s="312"/>
      <c r="FF63" s="312"/>
      <c r="FG63" s="312"/>
      <c r="FH63" s="312"/>
      <c r="FI63" s="312"/>
      <c r="FJ63" s="312"/>
      <c r="FK63" s="312"/>
      <c r="FL63" s="312"/>
      <c r="FM63" s="312"/>
      <c r="FN63" s="312"/>
      <c r="FO63" s="312"/>
      <c r="FP63" s="312"/>
      <c r="FQ63" s="312"/>
      <c r="FR63" s="312"/>
      <c r="FS63" s="312"/>
      <c r="FT63" s="312"/>
      <c r="FU63" s="312"/>
      <c r="FV63" s="312"/>
      <c r="FW63" s="312"/>
      <c r="FX63" s="312"/>
      <c r="FY63" s="312"/>
      <c r="FZ63" s="312"/>
      <c r="GA63" s="312"/>
      <c r="GB63" s="312"/>
      <c r="GC63" s="312"/>
      <c r="GD63" s="312"/>
      <c r="GE63" s="312"/>
      <c r="GF63" s="312"/>
      <c r="GG63" s="312"/>
      <c r="GH63" s="312"/>
      <c r="GI63" s="312"/>
      <c r="GJ63" s="312"/>
      <c r="GK63" s="312"/>
      <c r="GL63" s="312"/>
      <c r="GM63" s="312"/>
      <c r="GN63" s="312"/>
      <c r="GO63" s="312"/>
      <c r="GP63" s="312"/>
      <c r="GQ63" s="312"/>
      <c r="GR63" s="312"/>
      <c r="GS63" s="312"/>
      <c r="GT63" s="312"/>
      <c r="GU63" s="312"/>
      <c r="GV63" s="312"/>
      <c r="GW63" s="312"/>
      <c r="GX63" s="312"/>
      <c r="GY63" s="312"/>
    </row>
    <row r="64" spans="2:207" ht="15.75" x14ac:dyDescent="0.25">
      <c r="B64" s="316">
        <f t="shared" si="1"/>
        <v>34</v>
      </c>
      <c r="C64" s="330">
        <f>'סיכום לוועדה'!B64</f>
        <v>1001349871</v>
      </c>
      <c r="D64" s="330">
        <f>'סיכום לוועדה'!C64</f>
        <v>1001270373</v>
      </c>
      <c r="E64" s="330">
        <f>'סיכום לוועדה'!D64</f>
        <v>40000076</v>
      </c>
      <c r="F64" s="330">
        <f>'סיכום לוועדה'!E64</f>
        <v>20000159</v>
      </c>
      <c r="G64" s="330" t="str">
        <f>'סיכום לוועדה'!F64</f>
        <v>ירושלים</v>
      </c>
      <c r="H64" s="317" t="str">
        <f>'סיכום לוועדה'!G64</f>
        <v>רננות</v>
      </c>
      <c r="I64" s="318">
        <f>'סיכום לוועדה'!U64</f>
        <v>200000</v>
      </c>
      <c r="J64" s="319">
        <f>'סיכום לוועדה'!T64</f>
        <v>12500.883801327796</v>
      </c>
      <c r="K64" s="320">
        <f t="shared" si="2"/>
        <v>0</v>
      </c>
      <c r="L64" s="319">
        <f t="shared" si="3"/>
        <v>12500.883801327796</v>
      </c>
      <c r="M64" s="331">
        <f>'תחום תמיכה ב'!AF64</f>
        <v>6.0111154154638728E-5</v>
      </c>
      <c r="N64" s="319">
        <f t="shared" si="0"/>
        <v>13524.847973311342</v>
      </c>
      <c r="O64" s="321">
        <f t="shared" si="4"/>
        <v>0</v>
      </c>
      <c r="P64" s="322">
        <f t="shared" si="5"/>
        <v>13524.847973311342</v>
      </c>
      <c r="Q64" s="322">
        <f t="shared" si="6"/>
        <v>13531.006193793703</v>
      </c>
      <c r="R64" s="321">
        <f t="shared" si="7"/>
        <v>0</v>
      </c>
      <c r="S64" s="322">
        <f t="shared" si="8"/>
        <v>13531.006193793703</v>
      </c>
      <c r="T64" s="322">
        <f t="shared" si="9"/>
        <v>13531.006193793673</v>
      </c>
      <c r="U64" s="321">
        <f t="shared" si="10"/>
        <v>0</v>
      </c>
      <c r="V64" s="322">
        <f t="shared" si="11"/>
        <v>13531.006193793673</v>
      </c>
      <c r="W64" s="322">
        <f t="shared" si="12"/>
        <v>13531.006193793679</v>
      </c>
      <c r="X64" s="321">
        <f t="shared" si="13"/>
        <v>0</v>
      </c>
      <c r="Y64" s="322">
        <f t="shared" si="14"/>
        <v>13531.006193793679</v>
      </c>
      <c r="Z64" s="322">
        <f t="shared" si="15"/>
        <v>13531.006193793677</v>
      </c>
      <c r="AA64" s="323">
        <f t="shared" si="16"/>
        <v>13531.006193793677</v>
      </c>
      <c r="AB64" s="323"/>
      <c r="AC64" s="323"/>
      <c r="AD64" s="323"/>
      <c r="AE64" s="323"/>
      <c r="AF64" s="324">
        <f t="shared" si="17"/>
        <v>7.7489143927242482E-5</v>
      </c>
      <c r="AG64" s="312"/>
      <c r="AH64" s="312"/>
      <c r="AI64" s="325">
        <f t="shared" si="18"/>
        <v>1</v>
      </c>
      <c r="AJ64" s="312"/>
      <c r="AK64" s="312"/>
      <c r="AL64" s="312"/>
      <c r="AM64" s="312"/>
      <c r="AN64" s="312"/>
      <c r="AO64" s="312"/>
      <c r="AP64" s="312"/>
      <c r="AQ64" s="312"/>
      <c r="AR64" s="312"/>
      <c r="AS64" s="312"/>
      <c r="AT64" s="312"/>
      <c r="AU64" s="312"/>
      <c r="AV64" s="312"/>
      <c r="AW64" s="312"/>
      <c r="AX64" s="312"/>
      <c r="AY64" s="312"/>
      <c r="AZ64" s="312"/>
      <c r="BA64" s="312"/>
      <c r="BB64" s="312"/>
      <c r="BC64" s="312"/>
      <c r="BD64" s="312"/>
      <c r="BE64" s="312"/>
      <c r="BF64" s="312"/>
      <c r="BG64" s="312"/>
      <c r="BH64" s="312"/>
      <c r="BI64" s="312"/>
      <c r="BJ64" s="312"/>
      <c r="BK64" s="312"/>
      <c r="BL64" s="312"/>
      <c r="BM64" s="312"/>
      <c r="BN64" s="312"/>
      <c r="BO64" s="312"/>
      <c r="BP64" s="312"/>
      <c r="BQ64" s="312"/>
      <c r="BR64" s="312"/>
      <c r="BS64" s="312"/>
      <c r="BT64" s="312"/>
      <c r="BU64" s="312"/>
      <c r="BV64" s="312"/>
      <c r="BW64" s="312"/>
      <c r="BX64" s="312"/>
      <c r="BY64" s="312"/>
      <c r="BZ64" s="312"/>
      <c r="CA64" s="312"/>
      <c r="CB64" s="312"/>
      <c r="CC64" s="312"/>
      <c r="CD64" s="312"/>
      <c r="CE64" s="312"/>
      <c r="CF64" s="312"/>
      <c r="CG64" s="312"/>
      <c r="CH64" s="312"/>
      <c r="CI64" s="312"/>
      <c r="CJ64" s="312"/>
      <c r="CK64" s="312"/>
      <c r="CL64" s="312"/>
      <c r="CM64" s="312"/>
      <c r="CN64" s="312"/>
      <c r="CO64" s="312"/>
      <c r="CP64" s="312"/>
      <c r="CQ64" s="312"/>
      <c r="CR64" s="312"/>
      <c r="CS64" s="312"/>
      <c r="CT64" s="312"/>
      <c r="CU64" s="312"/>
      <c r="CV64" s="312"/>
      <c r="CW64" s="312"/>
      <c r="CX64" s="312"/>
      <c r="CY64" s="312"/>
      <c r="CZ64" s="312"/>
      <c r="DA64" s="312"/>
      <c r="DB64" s="312"/>
      <c r="DC64" s="312"/>
      <c r="DD64" s="312"/>
      <c r="DE64" s="312"/>
      <c r="DF64" s="312"/>
      <c r="DG64" s="312"/>
      <c r="DH64" s="312"/>
      <c r="DI64" s="312"/>
      <c r="DJ64" s="312"/>
      <c r="DK64" s="312"/>
      <c r="DL64" s="312"/>
      <c r="DM64" s="312"/>
      <c r="DN64" s="312"/>
      <c r="DO64" s="312"/>
      <c r="DP64" s="312"/>
      <c r="DQ64" s="312"/>
      <c r="DR64" s="312"/>
      <c r="DS64" s="312"/>
      <c r="DT64" s="312"/>
      <c r="DU64" s="312"/>
      <c r="DV64" s="312"/>
      <c r="DW64" s="312"/>
      <c r="DX64" s="312"/>
      <c r="DY64" s="312"/>
      <c r="DZ64" s="312"/>
      <c r="EA64" s="312"/>
      <c r="EB64" s="312"/>
      <c r="EC64" s="312"/>
      <c r="ED64" s="312"/>
      <c r="EE64" s="312"/>
      <c r="EF64" s="312"/>
      <c r="EG64" s="312"/>
      <c r="EH64" s="312"/>
      <c r="EI64" s="312"/>
      <c r="EJ64" s="312"/>
      <c r="EK64" s="312"/>
      <c r="EL64" s="312"/>
      <c r="EM64" s="312"/>
      <c r="EN64" s="312"/>
      <c r="EO64" s="312"/>
      <c r="EP64" s="312"/>
      <c r="EQ64" s="312"/>
      <c r="ER64" s="312"/>
      <c r="ES64" s="312"/>
      <c r="ET64" s="312"/>
      <c r="EU64" s="312"/>
      <c r="EV64" s="312"/>
      <c r="EW64" s="312"/>
      <c r="EX64" s="312"/>
      <c r="EY64" s="312"/>
      <c r="EZ64" s="312"/>
      <c r="FA64" s="312"/>
      <c r="FB64" s="312"/>
      <c r="FC64" s="312"/>
      <c r="FD64" s="312"/>
      <c r="FE64" s="312"/>
      <c r="FF64" s="312"/>
      <c r="FG64" s="312"/>
      <c r="FH64" s="312"/>
      <c r="FI64" s="312"/>
      <c r="FJ64" s="312"/>
      <c r="FK64" s="312"/>
      <c r="FL64" s="312"/>
      <c r="FM64" s="312"/>
      <c r="FN64" s="312"/>
      <c r="FO64" s="312"/>
      <c r="FP64" s="312"/>
      <c r="FQ64" s="312"/>
      <c r="FR64" s="312"/>
      <c r="FS64" s="312"/>
      <c r="FT64" s="312"/>
      <c r="FU64" s="312"/>
      <c r="FV64" s="312"/>
      <c r="FW64" s="312"/>
      <c r="FX64" s="312"/>
      <c r="FY64" s="312"/>
      <c r="FZ64" s="312"/>
      <c r="GA64" s="312"/>
      <c r="GB64" s="312"/>
      <c r="GC64" s="312"/>
      <c r="GD64" s="312"/>
      <c r="GE64" s="312"/>
      <c r="GF64" s="312"/>
      <c r="GG64" s="312"/>
      <c r="GH64" s="312"/>
      <c r="GI64" s="312"/>
      <c r="GJ64" s="312"/>
      <c r="GK64" s="312"/>
      <c r="GL64" s="312"/>
      <c r="GM64" s="312"/>
      <c r="GN64" s="312"/>
      <c r="GO64" s="312"/>
      <c r="GP64" s="312"/>
      <c r="GQ64" s="312"/>
      <c r="GR64" s="312"/>
      <c r="GS64" s="312"/>
      <c r="GT64" s="312"/>
      <c r="GU64" s="312"/>
      <c r="GV64" s="312"/>
      <c r="GW64" s="312"/>
      <c r="GX64" s="312"/>
      <c r="GY64" s="312"/>
    </row>
    <row r="65" spans="2:207" ht="15.75" x14ac:dyDescent="0.25">
      <c r="B65" s="316">
        <f t="shared" si="1"/>
        <v>35</v>
      </c>
      <c r="C65" s="330">
        <f>'סיכום לוועדה'!B65</f>
        <v>1001350106</v>
      </c>
      <c r="D65" s="330">
        <f>'סיכום לוועדה'!C65</f>
        <v>1001288944</v>
      </c>
      <c r="E65" s="330">
        <f>'סיכום לוועדה'!D65</f>
        <v>40000076</v>
      </c>
      <c r="F65" s="330">
        <f>'סיכום לוועדה'!E65</f>
        <v>20000159</v>
      </c>
      <c r="G65" s="330" t="str">
        <f>'סיכום לוועדה'!F65</f>
        <v>ירושלים</v>
      </c>
      <c r="H65" s="317" t="str">
        <f>'סיכום לוועדה'!G65</f>
        <v>רננות</v>
      </c>
      <c r="I65" s="318">
        <f>'סיכום לוועדה'!U65</f>
        <v>100000</v>
      </c>
      <c r="J65" s="319">
        <f>'סיכום לוועדה'!T65</f>
        <v>15817.232916957999</v>
      </c>
      <c r="K65" s="320">
        <f t="shared" si="2"/>
        <v>0</v>
      </c>
      <c r="L65" s="319">
        <f t="shared" si="3"/>
        <v>15817.232916957999</v>
      </c>
      <c r="M65" s="331">
        <f>'תחום תמיכה ב'!AF65</f>
        <v>9.6423802140739202E-5</v>
      </c>
      <c r="N65" s="319">
        <f t="shared" si="0"/>
        <v>17459.76532391442</v>
      </c>
      <c r="O65" s="321">
        <f t="shared" si="4"/>
        <v>0</v>
      </c>
      <c r="P65" s="322">
        <f t="shared" si="5"/>
        <v>17459.76532391442</v>
      </c>
      <c r="Q65" s="322">
        <f t="shared" si="6"/>
        <v>17467.71521619026</v>
      </c>
      <c r="R65" s="321">
        <f t="shared" si="7"/>
        <v>0</v>
      </c>
      <c r="S65" s="322">
        <f t="shared" si="8"/>
        <v>17467.71521619026</v>
      </c>
      <c r="T65" s="322">
        <f t="shared" si="9"/>
        <v>17467.715216190227</v>
      </c>
      <c r="U65" s="321">
        <f t="shared" si="10"/>
        <v>0</v>
      </c>
      <c r="V65" s="322">
        <f t="shared" si="11"/>
        <v>17467.715216190227</v>
      </c>
      <c r="W65" s="322">
        <f t="shared" si="12"/>
        <v>17467.715216190234</v>
      </c>
      <c r="X65" s="321">
        <f t="shared" si="13"/>
        <v>0</v>
      </c>
      <c r="Y65" s="322">
        <f t="shared" si="14"/>
        <v>17467.715216190234</v>
      </c>
      <c r="Z65" s="322">
        <f t="shared" si="15"/>
        <v>17467.71521619023</v>
      </c>
      <c r="AA65" s="323">
        <f t="shared" si="16"/>
        <v>17467.71521619023</v>
      </c>
      <c r="AB65" s="323"/>
      <c r="AC65" s="323"/>
      <c r="AD65" s="323"/>
      <c r="AE65" s="323"/>
      <c r="AF65" s="324">
        <f t="shared" si="17"/>
        <v>1.0003382446815305E-4</v>
      </c>
      <c r="AG65" s="312"/>
      <c r="AH65" s="312"/>
      <c r="AI65" s="325">
        <f t="shared" si="18"/>
        <v>1</v>
      </c>
      <c r="AJ65" s="312"/>
      <c r="AK65" s="312"/>
      <c r="AL65" s="312"/>
      <c r="AM65" s="312"/>
      <c r="AN65" s="312"/>
      <c r="AO65" s="312"/>
      <c r="AP65" s="312"/>
      <c r="AQ65" s="312"/>
      <c r="AR65" s="312"/>
      <c r="AS65" s="312"/>
      <c r="AT65" s="312"/>
      <c r="AU65" s="312"/>
      <c r="AV65" s="312"/>
      <c r="AW65" s="312"/>
      <c r="AX65" s="312"/>
      <c r="AY65" s="312"/>
      <c r="AZ65" s="312"/>
      <c r="BA65" s="312"/>
      <c r="BB65" s="312"/>
      <c r="BC65" s="312"/>
      <c r="BD65" s="312"/>
      <c r="BE65" s="312"/>
      <c r="BF65" s="312"/>
      <c r="BG65" s="312"/>
      <c r="BH65" s="312"/>
      <c r="BI65" s="312"/>
      <c r="BJ65" s="312"/>
      <c r="BK65" s="312"/>
      <c r="BL65" s="312"/>
      <c r="BM65" s="312"/>
      <c r="BN65" s="312"/>
      <c r="BO65" s="312"/>
      <c r="BP65" s="312"/>
      <c r="BQ65" s="312"/>
      <c r="BR65" s="312"/>
      <c r="BS65" s="312"/>
      <c r="BT65" s="312"/>
      <c r="BU65" s="312"/>
      <c r="BV65" s="312"/>
      <c r="BW65" s="312"/>
      <c r="BX65" s="312"/>
      <c r="BY65" s="312"/>
      <c r="BZ65" s="312"/>
      <c r="CA65" s="312"/>
      <c r="CB65" s="312"/>
      <c r="CC65" s="312"/>
      <c r="CD65" s="312"/>
      <c r="CE65" s="312"/>
      <c r="CF65" s="312"/>
      <c r="CG65" s="312"/>
      <c r="CH65" s="312"/>
      <c r="CI65" s="312"/>
      <c r="CJ65" s="312"/>
      <c r="CK65" s="312"/>
      <c r="CL65" s="312"/>
      <c r="CM65" s="312"/>
      <c r="CN65" s="312"/>
      <c r="CO65" s="312"/>
      <c r="CP65" s="312"/>
      <c r="CQ65" s="312"/>
      <c r="CR65" s="312"/>
      <c r="CS65" s="312"/>
      <c r="CT65" s="312"/>
      <c r="CU65" s="312"/>
      <c r="CV65" s="312"/>
      <c r="CW65" s="312"/>
      <c r="CX65" s="312"/>
      <c r="CY65" s="312"/>
      <c r="CZ65" s="312"/>
      <c r="DA65" s="312"/>
      <c r="DB65" s="312"/>
      <c r="DC65" s="312"/>
      <c r="DD65" s="312"/>
      <c r="DE65" s="312"/>
      <c r="DF65" s="312"/>
      <c r="DG65" s="312"/>
      <c r="DH65" s="312"/>
      <c r="DI65" s="312"/>
      <c r="DJ65" s="312"/>
      <c r="DK65" s="312"/>
      <c r="DL65" s="312"/>
      <c r="DM65" s="312"/>
      <c r="DN65" s="312"/>
      <c r="DO65" s="312"/>
      <c r="DP65" s="312"/>
      <c r="DQ65" s="312"/>
      <c r="DR65" s="312"/>
      <c r="DS65" s="312"/>
      <c r="DT65" s="312"/>
      <c r="DU65" s="312"/>
      <c r="DV65" s="312"/>
      <c r="DW65" s="312"/>
      <c r="DX65" s="312"/>
      <c r="DY65" s="312"/>
      <c r="DZ65" s="312"/>
      <c r="EA65" s="312"/>
      <c r="EB65" s="312"/>
      <c r="EC65" s="312"/>
      <c r="ED65" s="312"/>
      <c r="EE65" s="312"/>
      <c r="EF65" s="312"/>
      <c r="EG65" s="312"/>
      <c r="EH65" s="312"/>
      <c r="EI65" s="312"/>
      <c r="EJ65" s="312"/>
      <c r="EK65" s="312"/>
      <c r="EL65" s="312"/>
      <c r="EM65" s="312"/>
      <c r="EN65" s="312"/>
      <c r="EO65" s="312"/>
      <c r="EP65" s="312"/>
      <c r="EQ65" s="312"/>
      <c r="ER65" s="312"/>
      <c r="ES65" s="312"/>
      <c r="ET65" s="312"/>
      <c r="EU65" s="312"/>
      <c r="EV65" s="312"/>
      <c r="EW65" s="312"/>
      <c r="EX65" s="312"/>
      <c r="EY65" s="312"/>
      <c r="EZ65" s="312"/>
      <c r="FA65" s="312"/>
      <c r="FB65" s="312"/>
      <c r="FC65" s="312"/>
      <c r="FD65" s="312"/>
      <c r="FE65" s="312"/>
      <c r="FF65" s="312"/>
      <c r="FG65" s="312"/>
      <c r="FH65" s="312"/>
      <c r="FI65" s="312"/>
      <c r="FJ65" s="312"/>
      <c r="FK65" s="312"/>
      <c r="FL65" s="312"/>
      <c r="FM65" s="312"/>
      <c r="FN65" s="312"/>
      <c r="FO65" s="312"/>
      <c r="FP65" s="312"/>
      <c r="FQ65" s="312"/>
      <c r="FR65" s="312"/>
      <c r="FS65" s="312"/>
      <c r="FT65" s="312"/>
      <c r="FU65" s="312"/>
      <c r="FV65" s="312"/>
      <c r="FW65" s="312"/>
      <c r="FX65" s="312"/>
      <c r="FY65" s="312"/>
      <c r="FZ65" s="312"/>
      <c r="GA65" s="312"/>
      <c r="GB65" s="312"/>
      <c r="GC65" s="312"/>
      <c r="GD65" s="312"/>
      <c r="GE65" s="312"/>
      <c r="GF65" s="312"/>
      <c r="GG65" s="312"/>
      <c r="GH65" s="312"/>
      <c r="GI65" s="312"/>
      <c r="GJ65" s="312"/>
      <c r="GK65" s="312"/>
      <c r="GL65" s="312"/>
      <c r="GM65" s="312"/>
      <c r="GN65" s="312"/>
      <c r="GO65" s="312"/>
      <c r="GP65" s="312"/>
      <c r="GQ65" s="312"/>
      <c r="GR65" s="312"/>
      <c r="GS65" s="312"/>
      <c r="GT65" s="312"/>
      <c r="GU65" s="312"/>
      <c r="GV65" s="312"/>
      <c r="GW65" s="312"/>
      <c r="GX65" s="312"/>
      <c r="GY65" s="312"/>
    </row>
    <row r="66" spans="2:207" ht="15.75" x14ac:dyDescent="0.25">
      <c r="B66" s="316">
        <f t="shared" si="1"/>
        <v>36</v>
      </c>
      <c r="C66" s="330">
        <f>'סיכום לוועדה'!B66</f>
        <v>1001348855</v>
      </c>
      <c r="D66" s="330">
        <f>'סיכום לוועדה'!C66</f>
        <v>1001272029</v>
      </c>
      <c r="E66" s="330">
        <f>'סיכום לוועדה'!D66</f>
        <v>40000107</v>
      </c>
      <c r="F66" s="330">
        <f>'סיכום לוועדה'!E66</f>
        <v>20000139</v>
      </c>
      <c r="G66" s="330" t="str">
        <f>'סיכום לוועדה'!F66</f>
        <v>מטה אשר</v>
      </c>
      <c r="H66" s="317" t="str">
        <f>'סיכום לוועדה'!G66</f>
        <v>בית לוחמי הגטאות</v>
      </c>
      <c r="I66" s="318">
        <f>'סיכום לוועדה'!U66</f>
        <v>2800000</v>
      </c>
      <c r="J66" s="319">
        <f>'סיכום לוועדה'!T66</f>
        <v>2395626.7061032606</v>
      </c>
      <c r="K66" s="320">
        <f t="shared" si="2"/>
        <v>0</v>
      </c>
      <c r="L66" s="319">
        <f t="shared" si="3"/>
        <v>2395626.7061032606</v>
      </c>
      <c r="M66" s="331">
        <f>'תחום תמיכה ב'!AF66</f>
        <v>1.6505241943573536E-2</v>
      </c>
      <c r="N66" s="319">
        <f t="shared" si="0"/>
        <v>2676785.4467366766</v>
      </c>
      <c r="O66" s="321">
        <f t="shared" si="4"/>
        <v>0</v>
      </c>
      <c r="P66" s="322">
        <f t="shared" si="5"/>
        <v>2676785.4467366766</v>
      </c>
      <c r="Q66" s="322">
        <f t="shared" si="6"/>
        <v>2678004.2578462362</v>
      </c>
      <c r="R66" s="321">
        <f t="shared" si="7"/>
        <v>0</v>
      </c>
      <c r="S66" s="322">
        <f t="shared" si="8"/>
        <v>2678004.2578462362</v>
      </c>
      <c r="T66" s="322">
        <f t="shared" si="9"/>
        <v>2678004.2578462306</v>
      </c>
      <c r="U66" s="321">
        <f t="shared" si="10"/>
        <v>0</v>
      </c>
      <c r="V66" s="322">
        <f t="shared" si="11"/>
        <v>2678004.2578462306</v>
      </c>
      <c r="W66" s="322">
        <f t="shared" si="12"/>
        <v>2678004.2578462316</v>
      </c>
      <c r="X66" s="321">
        <f t="shared" si="13"/>
        <v>0</v>
      </c>
      <c r="Y66" s="322">
        <f t="shared" si="14"/>
        <v>2678004.2578462316</v>
      </c>
      <c r="Z66" s="322">
        <f t="shared" si="15"/>
        <v>2678004.2578462311</v>
      </c>
      <c r="AA66" s="323">
        <f t="shared" si="16"/>
        <v>2678004.2578462311</v>
      </c>
      <c r="AB66" s="323"/>
      <c r="AC66" s="323"/>
      <c r="AD66" s="323"/>
      <c r="AE66" s="323"/>
      <c r="AF66" s="324">
        <f t="shared" si="17"/>
        <v>1.5336350778495477E-2</v>
      </c>
      <c r="AG66" s="312"/>
      <c r="AH66" s="312"/>
      <c r="AI66" s="325">
        <f t="shared" si="18"/>
        <v>1</v>
      </c>
      <c r="AJ66" s="312"/>
      <c r="AK66" s="312"/>
      <c r="AL66" s="312"/>
      <c r="AM66" s="312"/>
      <c r="AN66" s="312"/>
      <c r="AO66" s="312"/>
      <c r="AP66" s="312"/>
      <c r="AQ66" s="312"/>
      <c r="AR66" s="312"/>
      <c r="AS66" s="312"/>
      <c r="AT66" s="312"/>
      <c r="AU66" s="312"/>
      <c r="AV66" s="312"/>
      <c r="AW66" s="312"/>
      <c r="AX66" s="312"/>
      <c r="AY66" s="312"/>
      <c r="AZ66" s="312"/>
      <c r="BA66" s="312"/>
      <c r="BB66" s="312"/>
      <c r="BC66" s="312"/>
      <c r="BD66" s="312"/>
      <c r="BE66" s="312"/>
      <c r="BF66" s="312"/>
      <c r="BG66" s="312"/>
      <c r="BH66" s="312"/>
      <c r="BI66" s="312"/>
      <c r="BJ66" s="312"/>
      <c r="BK66" s="312"/>
      <c r="BL66" s="312"/>
      <c r="BM66" s="312"/>
      <c r="BN66" s="312"/>
      <c r="BO66" s="312"/>
      <c r="BP66" s="312"/>
      <c r="BQ66" s="312"/>
      <c r="BR66" s="312"/>
      <c r="BS66" s="312"/>
      <c r="BT66" s="312"/>
      <c r="BU66" s="312"/>
      <c r="BV66" s="312"/>
      <c r="BW66" s="312"/>
      <c r="BX66" s="312"/>
      <c r="BY66" s="312"/>
      <c r="BZ66" s="312"/>
      <c r="CA66" s="312"/>
      <c r="CB66" s="312"/>
      <c r="CC66" s="312"/>
      <c r="CD66" s="312"/>
      <c r="CE66" s="312"/>
      <c r="CF66" s="312"/>
      <c r="CG66" s="312"/>
      <c r="CH66" s="312"/>
      <c r="CI66" s="312"/>
      <c r="CJ66" s="312"/>
      <c r="CK66" s="312"/>
      <c r="CL66" s="312"/>
      <c r="CM66" s="312"/>
      <c r="CN66" s="312"/>
      <c r="CO66" s="312"/>
      <c r="CP66" s="312"/>
      <c r="CQ66" s="312"/>
      <c r="CR66" s="312"/>
      <c r="CS66" s="312"/>
      <c r="CT66" s="312"/>
      <c r="CU66" s="312"/>
      <c r="CV66" s="312"/>
      <c r="CW66" s="312"/>
      <c r="CX66" s="312"/>
      <c r="CY66" s="312"/>
      <c r="CZ66" s="312"/>
      <c r="DA66" s="312"/>
      <c r="DB66" s="312"/>
      <c r="DC66" s="312"/>
      <c r="DD66" s="312"/>
      <c r="DE66" s="312"/>
      <c r="DF66" s="312"/>
      <c r="DG66" s="312"/>
      <c r="DH66" s="312"/>
      <c r="DI66" s="312"/>
      <c r="DJ66" s="312"/>
      <c r="DK66" s="312"/>
      <c r="DL66" s="312"/>
      <c r="DM66" s="312"/>
      <c r="DN66" s="312"/>
      <c r="DO66" s="312"/>
      <c r="DP66" s="312"/>
      <c r="DQ66" s="312"/>
      <c r="DR66" s="312"/>
      <c r="DS66" s="312"/>
      <c r="DT66" s="312"/>
      <c r="DU66" s="312"/>
      <c r="DV66" s="312"/>
      <c r="DW66" s="312"/>
      <c r="DX66" s="312"/>
      <c r="DY66" s="312"/>
      <c r="DZ66" s="312"/>
      <c r="EA66" s="312"/>
      <c r="EB66" s="312"/>
      <c r="EC66" s="312"/>
      <c r="ED66" s="312"/>
      <c r="EE66" s="312"/>
      <c r="EF66" s="312"/>
      <c r="EG66" s="312"/>
      <c r="EH66" s="312"/>
      <c r="EI66" s="312"/>
      <c r="EJ66" s="312"/>
      <c r="EK66" s="312"/>
      <c r="EL66" s="312"/>
      <c r="EM66" s="312"/>
      <c r="EN66" s="312"/>
      <c r="EO66" s="312"/>
      <c r="EP66" s="312"/>
      <c r="EQ66" s="312"/>
      <c r="ER66" s="312"/>
      <c r="ES66" s="312"/>
      <c r="ET66" s="312"/>
      <c r="EU66" s="312"/>
      <c r="EV66" s="312"/>
      <c r="EW66" s="312"/>
      <c r="EX66" s="312"/>
      <c r="EY66" s="312"/>
      <c r="EZ66" s="312"/>
      <c r="FA66" s="312"/>
      <c r="FB66" s="312"/>
      <c r="FC66" s="312"/>
      <c r="FD66" s="312"/>
      <c r="FE66" s="312"/>
      <c r="FF66" s="312"/>
      <c r="FG66" s="312"/>
      <c r="FH66" s="312"/>
      <c r="FI66" s="312"/>
      <c r="FJ66" s="312"/>
      <c r="FK66" s="312"/>
      <c r="FL66" s="312"/>
      <c r="FM66" s="312"/>
      <c r="FN66" s="312"/>
      <c r="FO66" s="312"/>
      <c r="FP66" s="312"/>
      <c r="FQ66" s="312"/>
      <c r="FR66" s="312"/>
      <c r="FS66" s="312"/>
      <c r="FT66" s="312"/>
      <c r="FU66" s="312"/>
      <c r="FV66" s="312"/>
      <c r="FW66" s="312"/>
      <c r="FX66" s="312"/>
      <c r="FY66" s="312"/>
      <c r="FZ66" s="312"/>
      <c r="GA66" s="312"/>
      <c r="GB66" s="312"/>
      <c r="GC66" s="312"/>
      <c r="GD66" s="312"/>
      <c r="GE66" s="312"/>
      <c r="GF66" s="312"/>
      <c r="GG66" s="312"/>
      <c r="GH66" s="312"/>
      <c r="GI66" s="312"/>
      <c r="GJ66" s="312"/>
      <c r="GK66" s="312"/>
      <c r="GL66" s="312"/>
      <c r="GM66" s="312"/>
      <c r="GN66" s="312"/>
      <c r="GO66" s="312"/>
      <c r="GP66" s="312"/>
      <c r="GQ66" s="312"/>
      <c r="GR66" s="312"/>
      <c r="GS66" s="312"/>
      <c r="GT66" s="312"/>
      <c r="GU66" s="312"/>
      <c r="GV66" s="312"/>
      <c r="GW66" s="312"/>
      <c r="GX66" s="312"/>
      <c r="GY66" s="312"/>
    </row>
    <row r="67" spans="2:207" ht="15.75" x14ac:dyDescent="0.25">
      <c r="B67" s="316">
        <f t="shared" si="1"/>
        <v>37</v>
      </c>
      <c r="C67" s="330">
        <f>'סיכום לוועדה'!B67</f>
        <v>1001347716</v>
      </c>
      <c r="D67" s="330">
        <f>'סיכום לוועדה'!C67</f>
        <v>1001280063</v>
      </c>
      <c r="E67" s="330">
        <f>'סיכום לוועדה'!D67</f>
        <v>40000157</v>
      </c>
      <c r="F67" s="330">
        <f>'סיכום לוועדה'!E67</f>
        <v>20000201</v>
      </c>
      <c r="G67" s="330" t="str">
        <f>'סיכום לוועדה'!F67</f>
        <v>תל אביב -יפו</v>
      </c>
      <c r="H67" s="317" t="str">
        <f>'סיכום לוועדה'!G67</f>
        <v>מרכז סוזן דלל</v>
      </c>
      <c r="I67" s="318">
        <f>'סיכום לוועדה'!U67</f>
        <v>116000</v>
      </c>
      <c r="J67" s="319">
        <f>'סיכום לוועדה'!T67</f>
        <v>159279.50923247525</v>
      </c>
      <c r="K67" s="320">
        <f t="shared" si="2"/>
        <v>1</v>
      </c>
      <c r="L67" s="319">
        <f t="shared" si="3"/>
        <v>116000</v>
      </c>
      <c r="M67" s="331">
        <f>'תחום תמיכה ב'!AF67</f>
        <v>8.114188362842613E-4</v>
      </c>
      <c r="N67" s="319">
        <f t="shared" si="0"/>
        <v>116000</v>
      </c>
      <c r="O67" s="321">
        <f t="shared" si="4"/>
        <v>1</v>
      </c>
      <c r="P67" s="322">
        <f t="shared" si="5"/>
        <v>116000</v>
      </c>
      <c r="Q67" s="322">
        <f t="shared" si="6"/>
        <v>116000</v>
      </c>
      <c r="R67" s="321">
        <f t="shared" si="7"/>
        <v>1</v>
      </c>
      <c r="S67" s="322">
        <f t="shared" si="8"/>
        <v>116000</v>
      </c>
      <c r="T67" s="322">
        <f t="shared" si="9"/>
        <v>116000</v>
      </c>
      <c r="U67" s="321">
        <f t="shared" si="10"/>
        <v>1</v>
      </c>
      <c r="V67" s="322">
        <f t="shared" si="11"/>
        <v>116000</v>
      </c>
      <c r="W67" s="322">
        <f t="shared" si="12"/>
        <v>116000</v>
      </c>
      <c r="X67" s="321">
        <f t="shared" si="13"/>
        <v>1</v>
      </c>
      <c r="Y67" s="322">
        <f t="shared" si="14"/>
        <v>116000</v>
      </c>
      <c r="Z67" s="322">
        <f t="shared" si="15"/>
        <v>116000</v>
      </c>
      <c r="AA67" s="323">
        <f t="shared" si="16"/>
        <v>116000</v>
      </c>
      <c r="AB67" s="323"/>
      <c r="AC67" s="323"/>
      <c r="AD67" s="323"/>
      <c r="AE67" s="323"/>
      <c r="AF67" s="324">
        <f t="shared" si="17"/>
        <v>6.6430689387187119E-4</v>
      </c>
      <c r="AG67" s="312"/>
      <c r="AH67" s="312"/>
      <c r="AI67" s="325">
        <f t="shared" si="18"/>
        <v>1</v>
      </c>
      <c r="AJ67" s="312"/>
      <c r="AK67" s="312"/>
      <c r="AL67" s="312"/>
      <c r="AM67" s="312"/>
      <c r="AN67" s="312"/>
      <c r="AO67" s="312"/>
      <c r="AP67" s="312"/>
      <c r="AQ67" s="312"/>
      <c r="AR67" s="312"/>
      <c r="AS67" s="312"/>
      <c r="AT67" s="312"/>
      <c r="AU67" s="312"/>
      <c r="AV67" s="312"/>
      <c r="AW67" s="312"/>
      <c r="AX67" s="312"/>
      <c r="AY67" s="312"/>
      <c r="AZ67" s="312"/>
      <c r="BA67" s="312"/>
      <c r="BB67" s="312"/>
      <c r="BC67" s="312"/>
      <c r="BD67" s="312"/>
      <c r="BE67" s="312"/>
      <c r="BF67" s="312"/>
      <c r="BG67" s="312"/>
      <c r="BH67" s="312"/>
      <c r="BI67" s="312"/>
      <c r="BJ67" s="312"/>
      <c r="BK67" s="312"/>
      <c r="BL67" s="312"/>
      <c r="BM67" s="312"/>
      <c r="BN67" s="312"/>
      <c r="BO67" s="312"/>
      <c r="BP67" s="312"/>
      <c r="BQ67" s="312"/>
      <c r="BR67" s="312"/>
      <c r="BS67" s="312"/>
      <c r="BT67" s="312"/>
      <c r="BU67" s="312"/>
      <c r="BV67" s="312"/>
      <c r="BW67" s="312"/>
      <c r="BX67" s="312"/>
      <c r="BY67" s="312"/>
      <c r="BZ67" s="312"/>
      <c r="CA67" s="312"/>
      <c r="CB67" s="312"/>
      <c r="CC67" s="312"/>
      <c r="CD67" s="312"/>
      <c r="CE67" s="312"/>
      <c r="CF67" s="312"/>
      <c r="CG67" s="312"/>
      <c r="CH67" s="312"/>
      <c r="CI67" s="312"/>
      <c r="CJ67" s="312"/>
      <c r="CK67" s="312"/>
      <c r="CL67" s="312"/>
      <c r="CM67" s="312"/>
      <c r="CN67" s="312"/>
      <c r="CO67" s="312"/>
      <c r="CP67" s="312"/>
      <c r="CQ67" s="312"/>
      <c r="CR67" s="312"/>
      <c r="CS67" s="312"/>
      <c r="CT67" s="312"/>
      <c r="CU67" s="312"/>
      <c r="CV67" s="312"/>
      <c r="CW67" s="312"/>
      <c r="CX67" s="312"/>
      <c r="CY67" s="312"/>
      <c r="CZ67" s="312"/>
      <c r="DA67" s="312"/>
      <c r="DB67" s="312"/>
      <c r="DC67" s="312"/>
      <c r="DD67" s="312"/>
      <c r="DE67" s="312"/>
      <c r="DF67" s="312"/>
      <c r="DG67" s="312"/>
      <c r="DH67" s="312"/>
      <c r="DI67" s="312"/>
      <c r="DJ67" s="312"/>
      <c r="DK67" s="312"/>
      <c r="DL67" s="312"/>
      <c r="DM67" s="312"/>
      <c r="DN67" s="312"/>
      <c r="DO67" s="312"/>
      <c r="DP67" s="312"/>
      <c r="DQ67" s="312"/>
      <c r="DR67" s="312"/>
      <c r="DS67" s="312"/>
      <c r="DT67" s="312"/>
      <c r="DU67" s="312"/>
      <c r="DV67" s="312"/>
      <c r="DW67" s="312"/>
      <c r="DX67" s="312"/>
      <c r="DY67" s="312"/>
      <c r="DZ67" s="312"/>
      <c r="EA67" s="312"/>
      <c r="EB67" s="312"/>
      <c r="EC67" s="312"/>
      <c r="ED67" s="312"/>
      <c r="EE67" s="312"/>
      <c r="EF67" s="312"/>
      <c r="EG67" s="312"/>
      <c r="EH67" s="312"/>
      <c r="EI67" s="312"/>
      <c r="EJ67" s="312"/>
      <c r="EK67" s="312"/>
      <c r="EL67" s="312"/>
      <c r="EM67" s="312"/>
      <c r="EN67" s="312"/>
      <c r="EO67" s="312"/>
      <c r="EP67" s="312"/>
      <c r="EQ67" s="312"/>
      <c r="ER67" s="312"/>
      <c r="ES67" s="312"/>
      <c r="ET67" s="312"/>
      <c r="EU67" s="312"/>
      <c r="EV67" s="312"/>
      <c r="EW67" s="312"/>
      <c r="EX67" s="312"/>
      <c r="EY67" s="312"/>
      <c r="EZ67" s="312"/>
      <c r="FA67" s="312"/>
      <c r="FB67" s="312"/>
      <c r="FC67" s="312"/>
      <c r="FD67" s="312"/>
      <c r="FE67" s="312"/>
      <c r="FF67" s="312"/>
      <c r="FG67" s="312"/>
      <c r="FH67" s="312"/>
      <c r="FI67" s="312"/>
      <c r="FJ67" s="312"/>
      <c r="FK67" s="312"/>
      <c r="FL67" s="312"/>
      <c r="FM67" s="312"/>
      <c r="FN67" s="312"/>
      <c r="FO67" s="312"/>
      <c r="FP67" s="312"/>
      <c r="FQ67" s="312"/>
      <c r="FR67" s="312"/>
      <c r="FS67" s="312"/>
      <c r="FT67" s="312"/>
      <c r="FU67" s="312"/>
      <c r="FV67" s="312"/>
      <c r="FW67" s="312"/>
      <c r="FX67" s="312"/>
      <c r="FY67" s="312"/>
      <c r="FZ67" s="312"/>
      <c r="GA67" s="312"/>
      <c r="GB67" s="312"/>
      <c r="GC67" s="312"/>
      <c r="GD67" s="312"/>
      <c r="GE67" s="312"/>
      <c r="GF67" s="312"/>
      <c r="GG67" s="312"/>
      <c r="GH67" s="312"/>
      <c r="GI67" s="312"/>
      <c r="GJ67" s="312"/>
      <c r="GK67" s="312"/>
      <c r="GL67" s="312"/>
      <c r="GM67" s="312"/>
      <c r="GN67" s="312"/>
      <c r="GO67" s="312"/>
      <c r="GP67" s="312"/>
      <c r="GQ67" s="312"/>
      <c r="GR67" s="312"/>
      <c r="GS67" s="312"/>
      <c r="GT67" s="312"/>
      <c r="GU67" s="312"/>
      <c r="GV67" s="312"/>
      <c r="GW67" s="312"/>
      <c r="GX67" s="312"/>
      <c r="GY67" s="312"/>
    </row>
    <row r="68" spans="2:207" ht="15.75" x14ac:dyDescent="0.25">
      <c r="B68" s="316">
        <f t="shared" si="1"/>
        <v>38</v>
      </c>
      <c r="C68" s="330">
        <f>'סיכום לוועדה'!B68</f>
        <v>1001347748</v>
      </c>
      <c r="D68" s="330">
        <f>'סיכום לוועדה'!C68</f>
        <v>1001280061</v>
      </c>
      <c r="E68" s="330">
        <f>'סיכום לוועדה'!D68</f>
        <v>40000157</v>
      </c>
      <c r="F68" s="330">
        <f>'סיכום לוועדה'!E68</f>
        <v>20000201</v>
      </c>
      <c r="G68" s="330" t="str">
        <f>'סיכום לוועדה'!F68</f>
        <v>תל אביב -יפו</v>
      </c>
      <c r="H68" s="317" t="str">
        <f>'סיכום לוועדה'!G68</f>
        <v>מרכז סוזן דלל</v>
      </c>
      <c r="I68" s="318">
        <f>'סיכום לוועדה'!U68</f>
        <v>3191000</v>
      </c>
      <c r="J68" s="319">
        <f>'סיכום לוועדה'!T68</f>
        <v>821076.85686908197</v>
      </c>
      <c r="K68" s="320">
        <f t="shared" si="2"/>
        <v>0</v>
      </c>
      <c r="L68" s="319">
        <f t="shared" si="3"/>
        <v>821076.85686908197</v>
      </c>
      <c r="M68" s="331">
        <f>'תחום תמיכה ב'!AF68</f>
        <v>4.1057887620071423E-3</v>
      </c>
      <c r="N68" s="319">
        <f t="shared" si="0"/>
        <v>891016.96447727294</v>
      </c>
      <c r="O68" s="321">
        <f t="shared" si="4"/>
        <v>0</v>
      </c>
      <c r="P68" s="322">
        <f t="shared" si="5"/>
        <v>891016.96447727294</v>
      </c>
      <c r="Q68" s="322">
        <f t="shared" si="6"/>
        <v>891422.66803354223</v>
      </c>
      <c r="R68" s="321">
        <f t="shared" si="7"/>
        <v>0</v>
      </c>
      <c r="S68" s="322">
        <f t="shared" si="8"/>
        <v>891422.66803354223</v>
      </c>
      <c r="T68" s="322">
        <f t="shared" si="9"/>
        <v>891422.66803354037</v>
      </c>
      <c r="U68" s="321">
        <f t="shared" si="10"/>
        <v>0</v>
      </c>
      <c r="V68" s="322">
        <f t="shared" si="11"/>
        <v>891422.66803354037</v>
      </c>
      <c r="W68" s="322">
        <f t="shared" si="12"/>
        <v>891422.66803354071</v>
      </c>
      <c r="X68" s="321">
        <f t="shared" si="13"/>
        <v>0</v>
      </c>
      <c r="Y68" s="322">
        <f t="shared" si="14"/>
        <v>891422.66803354071</v>
      </c>
      <c r="Z68" s="322">
        <f t="shared" si="15"/>
        <v>891422.6680335406</v>
      </c>
      <c r="AA68" s="323">
        <f t="shared" si="16"/>
        <v>891422.6680335406</v>
      </c>
      <c r="AB68" s="323"/>
      <c r="AC68" s="323"/>
      <c r="AD68" s="323"/>
      <c r="AE68" s="323"/>
      <c r="AF68" s="324">
        <f t="shared" si="17"/>
        <v>5.104984687313254E-3</v>
      </c>
      <c r="AG68" s="312"/>
      <c r="AH68" s="312"/>
      <c r="AI68" s="325">
        <f t="shared" si="18"/>
        <v>1</v>
      </c>
      <c r="AJ68" s="312"/>
      <c r="AK68" s="312"/>
      <c r="AL68" s="312"/>
      <c r="AM68" s="312"/>
      <c r="AN68" s="312"/>
      <c r="AO68" s="312"/>
      <c r="AP68" s="312"/>
      <c r="AQ68" s="312"/>
      <c r="AR68" s="312"/>
      <c r="AS68" s="312"/>
      <c r="AT68" s="312"/>
      <c r="AU68" s="312"/>
      <c r="AV68" s="312"/>
      <c r="AW68" s="312"/>
      <c r="AX68" s="312"/>
      <c r="AY68" s="312"/>
      <c r="AZ68" s="312"/>
      <c r="BA68" s="312"/>
      <c r="BB68" s="312"/>
      <c r="BC68" s="312"/>
      <c r="BD68" s="312"/>
      <c r="BE68" s="312"/>
      <c r="BF68" s="312"/>
      <c r="BG68" s="312"/>
      <c r="BH68" s="312"/>
      <c r="BI68" s="312"/>
      <c r="BJ68" s="312"/>
      <c r="BK68" s="312"/>
      <c r="BL68" s="312"/>
      <c r="BM68" s="312"/>
      <c r="BN68" s="312"/>
      <c r="BO68" s="312"/>
      <c r="BP68" s="312"/>
      <c r="BQ68" s="312"/>
      <c r="BR68" s="312"/>
      <c r="BS68" s="312"/>
      <c r="BT68" s="312"/>
      <c r="BU68" s="312"/>
      <c r="BV68" s="312"/>
      <c r="BW68" s="312"/>
      <c r="BX68" s="312"/>
      <c r="BY68" s="312"/>
      <c r="BZ68" s="312"/>
      <c r="CA68" s="312"/>
      <c r="CB68" s="312"/>
      <c r="CC68" s="312"/>
      <c r="CD68" s="312"/>
      <c r="CE68" s="312"/>
      <c r="CF68" s="312"/>
      <c r="CG68" s="312"/>
      <c r="CH68" s="312"/>
      <c r="CI68" s="312"/>
      <c r="CJ68" s="312"/>
      <c r="CK68" s="312"/>
      <c r="CL68" s="312"/>
      <c r="CM68" s="312"/>
      <c r="CN68" s="312"/>
      <c r="CO68" s="312"/>
      <c r="CP68" s="312"/>
      <c r="CQ68" s="312"/>
      <c r="CR68" s="312"/>
      <c r="CS68" s="312"/>
      <c r="CT68" s="312"/>
      <c r="CU68" s="312"/>
      <c r="CV68" s="312"/>
      <c r="CW68" s="312"/>
      <c r="CX68" s="312"/>
      <c r="CY68" s="312"/>
      <c r="CZ68" s="312"/>
      <c r="DA68" s="312"/>
      <c r="DB68" s="312"/>
      <c r="DC68" s="312"/>
      <c r="DD68" s="312"/>
      <c r="DE68" s="312"/>
      <c r="DF68" s="312"/>
      <c r="DG68" s="312"/>
      <c r="DH68" s="312"/>
      <c r="DI68" s="312"/>
      <c r="DJ68" s="312"/>
      <c r="DK68" s="312"/>
      <c r="DL68" s="312"/>
      <c r="DM68" s="312"/>
      <c r="DN68" s="312"/>
      <c r="DO68" s="312"/>
      <c r="DP68" s="312"/>
      <c r="DQ68" s="312"/>
      <c r="DR68" s="312"/>
      <c r="DS68" s="312"/>
      <c r="DT68" s="312"/>
      <c r="DU68" s="312"/>
      <c r="DV68" s="312"/>
      <c r="DW68" s="312"/>
      <c r="DX68" s="312"/>
      <c r="DY68" s="312"/>
      <c r="DZ68" s="312"/>
      <c r="EA68" s="312"/>
      <c r="EB68" s="312"/>
      <c r="EC68" s="312"/>
      <c r="ED68" s="312"/>
      <c r="EE68" s="312"/>
      <c r="EF68" s="312"/>
      <c r="EG68" s="312"/>
      <c r="EH68" s="312"/>
      <c r="EI68" s="312"/>
      <c r="EJ68" s="312"/>
      <c r="EK68" s="312"/>
      <c r="EL68" s="312"/>
      <c r="EM68" s="312"/>
      <c r="EN68" s="312"/>
      <c r="EO68" s="312"/>
      <c r="EP68" s="312"/>
      <c r="EQ68" s="312"/>
      <c r="ER68" s="312"/>
      <c r="ES68" s="312"/>
      <c r="ET68" s="312"/>
      <c r="EU68" s="312"/>
      <c r="EV68" s="312"/>
      <c r="EW68" s="312"/>
      <c r="EX68" s="312"/>
      <c r="EY68" s="312"/>
      <c r="EZ68" s="312"/>
      <c r="FA68" s="312"/>
      <c r="FB68" s="312"/>
      <c r="FC68" s="312"/>
      <c r="FD68" s="312"/>
      <c r="FE68" s="312"/>
      <c r="FF68" s="312"/>
      <c r="FG68" s="312"/>
      <c r="FH68" s="312"/>
      <c r="FI68" s="312"/>
      <c r="FJ68" s="312"/>
      <c r="FK68" s="312"/>
      <c r="FL68" s="312"/>
      <c r="FM68" s="312"/>
      <c r="FN68" s="312"/>
      <c r="FO68" s="312"/>
      <c r="FP68" s="312"/>
      <c r="FQ68" s="312"/>
      <c r="FR68" s="312"/>
      <c r="FS68" s="312"/>
      <c r="FT68" s="312"/>
      <c r="FU68" s="312"/>
      <c r="FV68" s="312"/>
      <c r="FW68" s="312"/>
      <c r="FX68" s="312"/>
      <c r="FY68" s="312"/>
      <c r="FZ68" s="312"/>
      <c r="GA68" s="312"/>
      <c r="GB68" s="312"/>
      <c r="GC68" s="312"/>
      <c r="GD68" s="312"/>
      <c r="GE68" s="312"/>
      <c r="GF68" s="312"/>
      <c r="GG68" s="312"/>
      <c r="GH68" s="312"/>
      <c r="GI68" s="312"/>
      <c r="GJ68" s="312"/>
      <c r="GK68" s="312"/>
      <c r="GL68" s="312"/>
      <c r="GM68" s="312"/>
      <c r="GN68" s="312"/>
      <c r="GO68" s="312"/>
      <c r="GP68" s="312"/>
      <c r="GQ68" s="312"/>
      <c r="GR68" s="312"/>
      <c r="GS68" s="312"/>
      <c r="GT68" s="312"/>
      <c r="GU68" s="312"/>
      <c r="GV68" s="312"/>
      <c r="GW68" s="312"/>
      <c r="GX68" s="312"/>
      <c r="GY68" s="312"/>
    </row>
    <row r="69" spans="2:207" ht="15.75" x14ac:dyDescent="0.25">
      <c r="B69" s="316">
        <f t="shared" si="1"/>
        <v>39</v>
      </c>
      <c r="C69" s="330">
        <f>'סיכום לוועדה'!B69</f>
        <v>1001346567</v>
      </c>
      <c r="D69" s="330">
        <f>'סיכום לוועדה'!C69</f>
        <v>1001271762</v>
      </c>
      <c r="E69" s="330">
        <f>'סיכום לוועדה'!D69</f>
        <v>40000192</v>
      </c>
      <c r="F69" s="330">
        <f>'סיכום לוועדה'!E69</f>
        <v>20000201</v>
      </c>
      <c r="G69" s="330" t="str">
        <f>'סיכום לוועדה'!F69</f>
        <v>תל אביב -יפו</v>
      </c>
      <c r="H69" s="317" t="str">
        <f>'סיכום לוועדה'!G69</f>
        <v>תיאטרון יפו</v>
      </c>
      <c r="I69" s="318">
        <f>'סיכום לוועדה'!U69</f>
        <v>700000</v>
      </c>
      <c r="J69" s="319">
        <f>'סיכום לוועדה'!T69</f>
        <v>466341.44778591656</v>
      </c>
      <c r="K69" s="320">
        <f t="shared" si="2"/>
        <v>0</v>
      </c>
      <c r="L69" s="319">
        <f t="shared" si="3"/>
        <v>466341.44778591656</v>
      </c>
      <c r="M69" s="331">
        <f>'תחום תמיכה ב'!AF69</f>
        <v>2.4516450031966284E-3</v>
      </c>
      <c r="N69" s="319">
        <f t="shared" si="0"/>
        <v>508104.0238169427</v>
      </c>
      <c r="O69" s="321">
        <f t="shared" si="4"/>
        <v>0</v>
      </c>
      <c r="P69" s="322">
        <f t="shared" si="5"/>
        <v>508104.0238169427</v>
      </c>
      <c r="Q69" s="322">
        <f t="shared" si="6"/>
        <v>508335.37699834729</v>
      </c>
      <c r="R69" s="321">
        <f t="shared" si="7"/>
        <v>0</v>
      </c>
      <c r="S69" s="322">
        <f t="shared" si="8"/>
        <v>508335.37699834729</v>
      </c>
      <c r="T69" s="322">
        <f t="shared" si="9"/>
        <v>508335.37699834624</v>
      </c>
      <c r="U69" s="321">
        <f t="shared" si="10"/>
        <v>0</v>
      </c>
      <c r="V69" s="322">
        <f t="shared" si="11"/>
        <v>508335.37699834624</v>
      </c>
      <c r="W69" s="322">
        <f t="shared" si="12"/>
        <v>508335.37699834642</v>
      </c>
      <c r="X69" s="321">
        <f t="shared" si="13"/>
        <v>0</v>
      </c>
      <c r="Y69" s="322">
        <f t="shared" si="14"/>
        <v>508335.37699834642</v>
      </c>
      <c r="Z69" s="322">
        <f t="shared" si="15"/>
        <v>508335.3769983463</v>
      </c>
      <c r="AA69" s="323">
        <f t="shared" si="16"/>
        <v>508335.3769983463</v>
      </c>
      <c r="AB69" s="323"/>
      <c r="AC69" s="323"/>
      <c r="AD69" s="323"/>
      <c r="AE69" s="323"/>
      <c r="AF69" s="324">
        <f t="shared" si="17"/>
        <v>2.9111266839565351E-3</v>
      </c>
      <c r="AG69" s="312"/>
      <c r="AH69" s="312"/>
      <c r="AI69" s="325">
        <f t="shared" si="18"/>
        <v>1</v>
      </c>
      <c r="AJ69" s="312"/>
      <c r="AK69" s="312"/>
      <c r="AL69" s="312"/>
      <c r="AM69" s="312"/>
      <c r="AN69" s="312"/>
      <c r="AO69" s="312"/>
      <c r="AP69" s="312"/>
      <c r="AQ69" s="312"/>
      <c r="AR69" s="312"/>
      <c r="AS69" s="312"/>
      <c r="AT69" s="312"/>
      <c r="AU69" s="312"/>
      <c r="AV69" s="312"/>
      <c r="AW69" s="312"/>
      <c r="AX69" s="312"/>
      <c r="AY69" s="312"/>
      <c r="AZ69" s="312"/>
      <c r="BA69" s="312"/>
      <c r="BB69" s="312"/>
      <c r="BC69" s="312"/>
      <c r="BD69" s="312"/>
      <c r="BE69" s="312"/>
      <c r="BF69" s="312"/>
      <c r="BG69" s="312"/>
      <c r="BH69" s="312"/>
      <c r="BI69" s="312"/>
      <c r="BJ69" s="312"/>
      <c r="BK69" s="312"/>
      <c r="BL69" s="312"/>
      <c r="BM69" s="312"/>
      <c r="BN69" s="312"/>
      <c r="BO69" s="312"/>
      <c r="BP69" s="312"/>
      <c r="BQ69" s="312"/>
      <c r="BR69" s="312"/>
      <c r="BS69" s="312"/>
      <c r="BT69" s="312"/>
      <c r="BU69" s="312"/>
      <c r="BV69" s="312"/>
      <c r="BW69" s="312"/>
      <c r="BX69" s="312"/>
      <c r="BY69" s="312"/>
      <c r="BZ69" s="312"/>
      <c r="CA69" s="312"/>
      <c r="CB69" s="312"/>
      <c r="CC69" s="312"/>
      <c r="CD69" s="312"/>
      <c r="CE69" s="312"/>
      <c r="CF69" s="312"/>
      <c r="CG69" s="312"/>
      <c r="CH69" s="312"/>
      <c r="CI69" s="312"/>
      <c r="CJ69" s="312"/>
      <c r="CK69" s="312"/>
      <c r="CL69" s="312"/>
      <c r="CM69" s="312"/>
      <c r="CN69" s="312"/>
      <c r="CO69" s="312"/>
      <c r="CP69" s="312"/>
      <c r="CQ69" s="312"/>
      <c r="CR69" s="312"/>
      <c r="CS69" s="312"/>
      <c r="CT69" s="312"/>
      <c r="CU69" s="312"/>
      <c r="CV69" s="312"/>
      <c r="CW69" s="312"/>
      <c r="CX69" s="312"/>
      <c r="CY69" s="312"/>
      <c r="CZ69" s="312"/>
      <c r="DA69" s="312"/>
      <c r="DB69" s="312"/>
      <c r="DC69" s="312"/>
      <c r="DD69" s="312"/>
      <c r="DE69" s="312"/>
      <c r="DF69" s="312"/>
      <c r="DG69" s="312"/>
      <c r="DH69" s="312"/>
      <c r="DI69" s="312"/>
      <c r="DJ69" s="312"/>
      <c r="DK69" s="312"/>
      <c r="DL69" s="312"/>
      <c r="DM69" s="312"/>
      <c r="DN69" s="312"/>
      <c r="DO69" s="312"/>
      <c r="DP69" s="312"/>
      <c r="DQ69" s="312"/>
      <c r="DR69" s="312"/>
      <c r="DS69" s="312"/>
      <c r="DT69" s="312"/>
      <c r="DU69" s="312"/>
      <c r="DV69" s="312"/>
      <c r="DW69" s="312"/>
      <c r="DX69" s="312"/>
      <c r="DY69" s="312"/>
      <c r="DZ69" s="312"/>
      <c r="EA69" s="312"/>
      <c r="EB69" s="312"/>
      <c r="EC69" s="312"/>
      <c r="ED69" s="312"/>
      <c r="EE69" s="312"/>
      <c r="EF69" s="312"/>
      <c r="EG69" s="312"/>
      <c r="EH69" s="312"/>
      <c r="EI69" s="312"/>
      <c r="EJ69" s="312"/>
      <c r="EK69" s="312"/>
      <c r="EL69" s="312"/>
      <c r="EM69" s="312"/>
      <c r="EN69" s="312"/>
      <c r="EO69" s="312"/>
      <c r="EP69" s="312"/>
      <c r="EQ69" s="312"/>
      <c r="ER69" s="312"/>
      <c r="ES69" s="312"/>
      <c r="ET69" s="312"/>
      <c r="EU69" s="312"/>
      <c r="EV69" s="312"/>
      <c r="EW69" s="312"/>
      <c r="EX69" s="312"/>
      <c r="EY69" s="312"/>
      <c r="EZ69" s="312"/>
      <c r="FA69" s="312"/>
      <c r="FB69" s="312"/>
      <c r="FC69" s="312"/>
      <c r="FD69" s="312"/>
      <c r="FE69" s="312"/>
      <c r="FF69" s="312"/>
      <c r="FG69" s="312"/>
      <c r="FH69" s="312"/>
      <c r="FI69" s="312"/>
      <c r="FJ69" s="312"/>
      <c r="FK69" s="312"/>
      <c r="FL69" s="312"/>
      <c r="FM69" s="312"/>
      <c r="FN69" s="312"/>
      <c r="FO69" s="312"/>
      <c r="FP69" s="312"/>
      <c r="FQ69" s="312"/>
      <c r="FR69" s="312"/>
      <c r="FS69" s="312"/>
      <c r="FT69" s="312"/>
      <c r="FU69" s="312"/>
      <c r="FV69" s="312"/>
      <c r="FW69" s="312"/>
      <c r="FX69" s="312"/>
      <c r="FY69" s="312"/>
      <c r="FZ69" s="312"/>
      <c r="GA69" s="312"/>
      <c r="GB69" s="312"/>
      <c r="GC69" s="312"/>
      <c r="GD69" s="312"/>
      <c r="GE69" s="312"/>
      <c r="GF69" s="312"/>
      <c r="GG69" s="312"/>
      <c r="GH69" s="312"/>
      <c r="GI69" s="312"/>
      <c r="GJ69" s="312"/>
      <c r="GK69" s="312"/>
      <c r="GL69" s="312"/>
      <c r="GM69" s="312"/>
      <c r="GN69" s="312"/>
      <c r="GO69" s="312"/>
      <c r="GP69" s="312"/>
      <c r="GQ69" s="312"/>
      <c r="GR69" s="312"/>
      <c r="GS69" s="312"/>
      <c r="GT69" s="312"/>
      <c r="GU69" s="312"/>
      <c r="GV69" s="312"/>
      <c r="GW69" s="312"/>
      <c r="GX69" s="312"/>
      <c r="GY69" s="312"/>
    </row>
    <row r="70" spans="2:207" ht="15.75" x14ac:dyDescent="0.25">
      <c r="B70" s="316">
        <f t="shared" si="1"/>
        <v>40</v>
      </c>
      <c r="C70" s="330">
        <f>'סיכום לוועדה'!B70</f>
        <v>1001346993</v>
      </c>
      <c r="D70" s="330">
        <f>'סיכום לוועדה'!C70</f>
        <v>1001277357</v>
      </c>
      <c r="E70" s="330">
        <f>'סיכום לוועדה'!D70</f>
        <v>40000192</v>
      </c>
      <c r="F70" s="330">
        <f>'סיכום לוועדה'!E70</f>
        <v>20000201</v>
      </c>
      <c r="G70" s="330" t="str">
        <f>'סיכום לוועדה'!F70</f>
        <v>תל אביב -יפו</v>
      </c>
      <c r="H70" s="317" t="str">
        <f>'סיכום לוועדה'!G70</f>
        <v>תיאטרון יפו</v>
      </c>
      <c r="I70" s="318">
        <f>'סיכום לוועדה'!U70</f>
        <v>70000</v>
      </c>
      <c r="J70" s="319">
        <f>'סיכום לוועדה'!T70</f>
        <v>4486.1629573014643</v>
      </c>
      <c r="K70" s="320">
        <f t="shared" si="2"/>
        <v>0</v>
      </c>
      <c r="L70" s="319">
        <f t="shared" si="3"/>
        <v>4486.1629573014643</v>
      </c>
      <c r="M70" s="331">
        <f>'תחום תמיכה ב'!AF70</f>
        <v>1.4545990200496455E-5</v>
      </c>
      <c r="N70" s="319">
        <f t="shared" si="0"/>
        <v>4733.9468007627811</v>
      </c>
      <c r="O70" s="321">
        <f t="shared" si="4"/>
        <v>0</v>
      </c>
      <c r="P70" s="322">
        <f t="shared" si="5"/>
        <v>4733.9468007627811</v>
      </c>
      <c r="Q70" s="322">
        <f t="shared" si="6"/>
        <v>4736.1022917678101</v>
      </c>
      <c r="R70" s="321">
        <f t="shared" si="7"/>
        <v>0</v>
      </c>
      <c r="S70" s="322">
        <f t="shared" si="8"/>
        <v>4736.1022917678101</v>
      </c>
      <c r="T70" s="322">
        <f t="shared" si="9"/>
        <v>4736.1022917678001</v>
      </c>
      <c r="U70" s="321">
        <f t="shared" si="10"/>
        <v>0</v>
      </c>
      <c r="V70" s="322">
        <f t="shared" si="11"/>
        <v>4736.1022917678001</v>
      </c>
      <c r="W70" s="322">
        <f t="shared" si="12"/>
        <v>4736.1022917678019</v>
      </c>
      <c r="X70" s="321">
        <f t="shared" si="13"/>
        <v>0</v>
      </c>
      <c r="Y70" s="322">
        <f t="shared" si="14"/>
        <v>4736.1022917678019</v>
      </c>
      <c r="Z70" s="322">
        <f t="shared" si="15"/>
        <v>4736.102291767801</v>
      </c>
      <c r="AA70" s="323">
        <f t="shared" si="16"/>
        <v>4736.102291767801</v>
      </c>
      <c r="AB70" s="323"/>
      <c r="AC70" s="323"/>
      <c r="AD70" s="323"/>
      <c r="AE70" s="323"/>
      <c r="AF70" s="324">
        <f t="shared" si="17"/>
        <v>2.7122632780204468E-5</v>
      </c>
      <c r="AG70" s="312"/>
      <c r="AH70" s="312"/>
      <c r="AI70" s="325">
        <f t="shared" si="18"/>
        <v>1</v>
      </c>
      <c r="AJ70" s="312"/>
      <c r="AK70" s="312"/>
      <c r="AL70" s="312"/>
      <c r="AM70" s="312"/>
      <c r="AN70" s="312"/>
      <c r="AO70" s="312"/>
      <c r="AP70" s="312"/>
      <c r="AQ70" s="312"/>
      <c r="AR70" s="312"/>
      <c r="AS70" s="312"/>
      <c r="AT70" s="312"/>
      <c r="AU70" s="312"/>
      <c r="AV70" s="312"/>
      <c r="AW70" s="312"/>
      <c r="AX70" s="312"/>
      <c r="AY70" s="312"/>
      <c r="AZ70" s="312"/>
      <c r="BA70" s="312"/>
      <c r="BB70" s="312"/>
      <c r="BC70" s="312"/>
      <c r="BD70" s="312"/>
      <c r="BE70" s="312"/>
      <c r="BF70" s="312"/>
      <c r="BG70" s="312"/>
      <c r="BH70" s="312"/>
      <c r="BI70" s="312"/>
      <c r="BJ70" s="312"/>
      <c r="BK70" s="312"/>
      <c r="BL70" s="312"/>
      <c r="BM70" s="312"/>
      <c r="BN70" s="312"/>
      <c r="BO70" s="312"/>
      <c r="BP70" s="312"/>
      <c r="BQ70" s="312"/>
      <c r="BR70" s="312"/>
      <c r="BS70" s="312"/>
      <c r="BT70" s="312"/>
      <c r="BU70" s="312"/>
      <c r="BV70" s="312"/>
      <c r="BW70" s="312"/>
      <c r="BX70" s="312"/>
      <c r="BY70" s="312"/>
      <c r="BZ70" s="312"/>
      <c r="CA70" s="312"/>
      <c r="CB70" s="312"/>
      <c r="CC70" s="312"/>
      <c r="CD70" s="312"/>
      <c r="CE70" s="312"/>
      <c r="CF70" s="312"/>
      <c r="CG70" s="312"/>
      <c r="CH70" s="312"/>
      <c r="CI70" s="312"/>
      <c r="CJ70" s="312"/>
      <c r="CK70" s="312"/>
      <c r="CL70" s="312"/>
      <c r="CM70" s="312"/>
      <c r="CN70" s="312"/>
      <c r="CO70" s="312"/>
      <c r="CP70" s="312"/>
      <c r="CQ70" s="312"/>
      <c r="CR70" s="312"/>
      <c r="CS70" s="312"/>
      <c r="CT70" s="312"/>
      <c r="CU70" s="312"/>
      <c r="CV70" s="312"/>
      <c r="CW70" s="312"/>
      <c r="CX70" s="312"/>
      <c r="CY70" s="312"/>
      <c r="CZ70" s="312"/>
      <c r="DA70" s="312"/>
      <c r="DB70" s="312"/>
      <c r="DC70" s="312"/>
      <c r="DD70" s="312"/>
      <c r="DE70" s="312"/>
      <c r="DF70" s="312"/>
      <c r="DG70" s="312"/>
      <c r="DH70" s="312"/>
      <c r="DI70" s="312"/>
      <c r="DJ70" s="312"/>
      <c r="DK70" s="312"/>
      <c r="DL70" s="312"/>
      <c r="DM70" s="312"/>
      <c r="DN70" s="312"/>
      <c r="DO70" s="312"/>
      <c r="DP70" s="312"/>
      <c r="DQ70" s="312"/>
      <c r="DR70" s="312"/>
      <c r="DS70" s="312"/>
      <c r="DT70" s="312"/>
      <c r="DU70" s="312"/>
      <c r="DV70" s="312"/>
      <c r="DW70" s="312"/>
      <c r="DX70" s="312"/>
      <c r="DY70" s="312"/>
      <c r="DZ70" s="312"/>
      <c r="EA70" s="312"/>
      <c r="EB70" s="312"/>
      <c r="EC70" s="312"/>
      <c r="ED70" s="312"/>
      <c r="EE70" s="312"/>
      <c r="EF70" s="312"/>
      <c r="EG70" s="312"/>
      <c r="EH70" s="312"/>
      <c r="EI70" s="312"/>
      <c r="EJ70" s="312"/>
      <c r="EK70" s="312"/>
      <c r="EL70" s="312"/>
      <c r="EM70" s="312"/>
      <c r="EN70" s="312"/>
      <c r="EO70" s="312"/>
      <c r="EP70" s="312"/>
      <c r="EQ70" s="312"/>
      <c r="ER70" s="312"/>
      <c r="ES70" s="312"/>
      <c r="ET70" s="312"/>
      <c r="EU70" s="312"/>
      <c r="EV70" s="312"/>
      <c r="EW70" s="312"/>
      <c r="EX70" s="312"/>
      <c r="EY70" s="312"/>
      <c r="EZ70" s="312"/>
      <c r="FA70" s="312"/>
      <c r="FB70" s="312"/>
      <c r="FC70" s="312"/>
      <c r="FD70" s="312"/>
      <c r="FE70" s="312"/>
      <c r="FF70" s="312"/>
      <c r="FG70" s="312"/>
      <c r="FH70" s="312"/>
      <c r="FI70" s="312"/>
      <c r="FJ70" s="312"/>
      <c r="FK70" s="312"/>
      <c r="FL70" s="312"/>
      <c r="FM70" s="312"/>
      <c r="FN70" s="312"/>
      <c r="FO70" s="312"/>
      <c r="FP70" s="312"/>
      <c r="FQ70" s="312"/>
      <c r="FR70" s="312"/>
      <c r="FS70" s="312"/>
      <c r="FT70" s="312"/>
      <c r="FU70" s="312"/>
      <c r="FV70" s="312"/>
      <c r="FW70" s="312"/>
      <c r="FX70" s="312"/>
      <c r="FY70" s="312"/>
      <c r="FZ70" s="312"/>
      <c r="GA70" s="312"/>
      <c r="GB70" s="312"/>
      <c r="GC70" s="312"/>
      <c r="GD70" s="312"/>
      <c r="GE70" s="312"/>
      <c r="GF70" s="312"/>
      <c r="GG70" s="312"/>
      <c r="GH70" s="312"/>
      <c r="GI70" s="312"/>
      <c r="GJ70" s="312"/>
      <c r="GK70" s="312"/>
      <c r="GL70" s="312"/>
      <c r="GM70" s="312"/>
      <c r="GN70" s="312"/>
      <c r="GO70" s="312"/>
      <c r="GP70" s="312"/>
      <c r="GQ70" s="312"/>
      <c r="GR70" s="312"/>
      <c r="GS70" s="312"/>
      <c r="GT70" s="312"/>
      <c r="GU70" s="312"/>
      <c r="GV70" s="312"/>
      <c r="GW70" s="312"/>
      <c r="GX70" s="312"/>
      <c r="GY70" s="312"/>
    </row>
    <row r="71" spans="2:207" ht="15.75" x14ac:dyDescent="0.25">
      <c r="B71" s="316">
        <f t="shared" si="1"/>
        <v>41</v>
      </c>
      <c r="C71" s="330">
        <f>'סיכום לוועדה'!B71</f>
        <v>1001349157</v>
      </c>
      <c r="D71" s="330">
        <f>'סיכום לוועדה'!C71</f>
        <v>1001273336</v>
      </c>
      <c r="E71" s="330">
        <f>'סיכום לוועדה'!D71</f>
        <v>40000050</v>
      </c>
      <c r="F71" s="330">
        <f>'סיכום לוועדה'!E71</f>
        <v>20000250</v>
      </c>
      <c r="G71" s="330" t="str">
        <f>'סיכום לוועדה'!F71</f>
        <v>רמת גן</v>
      </c>
      <c r="H71" s="317" t="str">
        <f>'סיכום לוועדה'!G71</f>
        <v>אגודת שוחרי מוזאון האדם והחי</v>
      </c>
      <c r="I71" s="318">
        <f>'סיכום לוועדה'!U71</f>
        <v>141583</v>
      </c>
      <c r="J71" s="319">
        <f>'סיכום לוועדה'!T71</f>
        <v>42575.425552062035</v>
      </c>
      <c r="K71" s="320">
        <f t="shared" si="2"/>
        <v>0</v>
      </c>
      <c r="L71" s="319">
        <f t="shared" si="3"/>
        <v>42575.425552062035</v>
      </c>
      <c r="M71" s="331">
        <f>'תחום תמיכה ב'!AF71</f>
        <v>1.977060454716579E-4</v>
      </c>
      <c r="N71" s="319">
        <f t="shared" si="0"/>
        <v>45943.251540342528</v>
      </c>
      <c r="O71" s="321">
        <f t="shared" si="4"/>
        <v>0</v>
      </c>
      <c r="P71" s="322">
        <f t="shared" si="5"/>
        <v>45943.251540342528</v>
      </c>
      <c r="Q71" s="322">
        <f t="shared" si="6"/>
        <v>45964.170716160268</v>
      </c>
      <c r="R71" s="321">
        <f t="shared" si="7"/>
        <v>0</v>
      </c>
      <c r="S71" s="322">
        <f t="shared" si="8"/>
        <v>45964.170716160268</v>
      </c>
      <c r="T71" s="322">
        <f t="shared" si="9"/>
        <v>45964.170716160173</v>
      </c>
      <c r="U71" s="321">
        <f t="shared" si="10"/>
        <v>0</v>
      </c>
      <c r="V71" s="322">
        <f t="shared" si="11"/>
        <v>45964.170716160173</v>
      </c>
      <c r="W71" s="322">
        <f t="shared" si="12"/>
        <v>45964.170716160188</v>
      </c>
      <c r="X71" s="321">
        <f t="shared" si="13"/>
        <v>0</v>
      </c>
      <c r="Y71" s="322">
        <f t="shared" si="14"/>
        <v>45964.170716160188</v>
      </c>
      <c r="Z71" s="322">
        <f t="shared" si="15"/>
        <v>45964.170716160181</v>
      </c>
      <c r="AA71" s="323">
        <f t="shared" si="16"/>
        <v>45964.170716160181</v>
      </c>
      <c r="AB71" s="323"/>
      <c r="AC71" s="323"/>
      <c r="AD71" s="323"/>
      <c r="AE71" s="323"/>
      <c r="AF71" s="324">
        <f t="shared" si="17"/>
        <v>2.6322685756766199E-4</v>
      </c>
      <c r="AG71" s="312"/>
      <c r="AH71" s="312"/>
      <c r="AI71" s="325">
        <f t="shared" si="18"/>
        <v>1</v>
      </c>
      <c r="AJ71" s="312"/>
      <c r="AK71" s="312"/>
      <c r="AL71" s="312"/>
      <c r="AM71" s="312"/>
      <c r="AN71" s="312"/>
      <c r="AO71" s="312"/>
      <c r="AP71" s="312"/>
      <c r="AQ71" s="312"/>
      <c r="AR71" s="312"/>
      <c r="AS71" s="312"/>
      <c r="AT71" s="312"/>
      <c r="AU71" s="312"/>
      <c r="AV71" s="312"/>
      <c r="AW71" s="312"/>
      <c r="AX71" s="312"/>
      <c r="AY71" s="312"/>
      <c r="AZ71" s="312"/>
      <c r="BA71" s="312"/>
      <c r="BB71" s="312"/>
      <c r="BC71" s="312"/>
      <c r="BD71" s="312"/>
      <c r="BE71" s="312"/>
      <c r="BF71" s="312"/>
      <c r="BG71" s="312"/>
      <c r="BH71" s="312"/>
      <c r="BI71" s="312"/>
      <c r="BJ71" s="312"/>
      <c r="BK71" s="312"/>
      <c r="BL71" s="312"/>
      <c r="BM71" s="312"/>
      <c r="BN71" s="312"/>
      <c r="BO71" s="312"/>
      <c r="BP71" s="312"/>
      <c r="BQ71" s="312"/>
      <c r="BR71" s="312"/>
      <c r="BS71" s="312"/>
      <c r="BT71" s="312"/>
      <c r="BU71" s="312"/>
      <c r="BV71" s="312"/>
      <c r="BW71" s="312"/>
      <c r="BX71" s="312"/>
      <c r="BY71" s="312"/>
      <c r="BZ71" s="312"/>
      <c r="CA71" s="312"/>
      <c r="CB71" s="312"/>
      <c r="CC71" s="312"/>
      <c r="CD71" s="312"/>
      <c r="CE71" s="312"/>
      <c r="CF71" s="312"/>
      <c r="CG71" s="312"/>
      <c r="CH71" s="312"/>
      <c r="CI71" s="312"/>
      <c r="CJ71" s="312"/>
      <c r="CK71" s="312"/>
      <c r="CL71" s="312"/>
      <c r="CM71" s="312"/>
      <c r="CN71" s="312"/>
      <c r="CO71" s="312"/>
      <c r="CP71" s="312"/>
      <c r="CQ71" s="312"/>
      <c r="CR71" s="312"/>
      <c r="CS71" s="312"/>
      <c r="CT71" s="312"/>
      <c r="CU71" s="312"/>
      <c r="CV71" s="312"/>
      <c r="CW71" s="312"/>
      <c r="CX71" s="312"/>
      <c r="CY71" s="312"/>
      <c r="CZ71" s="312"/>
      <c r="DA71" s="312"/>
      <c r="DB71" s="312"/>
      <c r="DC71" s="312"/>
      <c r="DD71" s="312"/>
      <c r="DE71" s="312"/>
      <c r="DF71" s="312"/>
      <c r="DG71" s="312"/>
      <c r="DH71" s="312"/>
      <c r="DI71" s="312"/>
      <c r="DJ71" s="312"/>
      <c r="DK71" s="312"/>
      <c r="DL71" s="312"/>
      <c r="DM71" s="312"/>
      <c r="DN71" s="312"/>
      <c r="DO71" s="312"/>
      <c r="DP71" s="312"/>
      <c r="DQ71" s="312"/>
      <c r="DR71" s="312"/>
      <c r="DS71" s="312"/>
      <c r="DT71" s="312"/>
      <c r="DU71" s="312"/>
      <c r="DV71" s="312"/>
      <c r="DW71" s="312"/>
      <c r="DX71" s="312"/>
      <c r="DY71" s="312"/>
      <c r="DZ71" s="312"/>
      <c r="EA71" s="312"/>
      <c r="EB71" s="312"/>
      <c r="EC71" s="312"/>
      <c r="ED71" s="312"/>
      <c r="EE71" s="312"/>
      <c r="EF71" s="312"/>
      <c r="EG71" s="312"/>
      <c r="EH71" s="312"/>
      <c r="EI71" s="312"/>
      <c r="EJ71" s="312"/>
      <c r="EK71" s="312"/>
      <c r="EL71" s="312"/>
      <c r="EM71" s="312"/>
      <c r="EN71" s="312"/>
      <c r="EO71" s="312"/>
      <c r="EP71" s="312"/>
      <c r="EQ71" s="312"/>
      <c r="ER71" s="312"/>
      <c r="ES71" s="312"/>
      <c r="ET71" s="312"/>
      <c r="EU71" s="312"/>
      <c r="EV71" s="312"/>
      <c r="EW71" s="312"/>
      <c r="EX71" s="312"/>
      <c r="EY71" s="312"/>
      <c r="EZ71" s="312"/>
      <c r="FA71" s="312"/>
      <c r="FB71" s="312"/>
      <c r="FC71" s="312"/>
      <c r="FD71" s="312"/>
      <c r="FE71" s="312"/>
      <c r="FF71" s="312"/>
      <c r="FG71" s="312"/>
      <c r="FH71" s="312"/>
      <c r="FI71" s="312"/>
      <c r="FJ71" s="312"/>
      <c r="FK71" s="312"/>
      <c r="FL71" s="312"/>
      <c r="FM71" s="312"/>
      <c r="FN71" s="312"/>
      <c r="FO71" s="312"/>
      <c r="FP71" s="312"/>
      <c r="FQ71" s="312"/>
      <c r="FR71" s="312"/>
      <c r="FS71" s="312"/>
      <c r="FT71" s="312"/>
      <c r="FU71" s="312"/>
      <c r="FV71" s="312"/>
      <c r="FW71" s="312"/>
      <c r="FX71" s="312"/>
      <c r="FY71" s="312"/>
      <c r="FZ71" s="312"/>
      <c r="GA71" s="312"/>
      <c r="GB71" s="312"/>
      <c r="GC71" s="312"/>
      <c r="GD71" s="312"/>
      <c r="GE71" s="312"/>
      <c r="GF71" s="312"/>
      <c r="GG71" s="312"/>
      <c r="GH71" s="312"/>
      <c r="GI71" s="312"/>
      <c r="GJ71" s="312"/>
      <c r="GK71" s="312"/>
      <c r="GL71" s="312"/>
      <c r="GM71" s="312"/>
      <c r="GN71" s="312"/>
      <c r="GO71" s="312"/>
      <c r="GP71" s="312"/>
      <c r="GQ71" s="312"/>
      <c r="GR71" s="312"/>
      <c r="GS71" s="312"/>
      <c r="GT71" s="312"/>
      <c r="GU71" s="312"/>
      <c r="GV71" s="312"/>
      <c r="GW71" s="312"/>
      <c r="GX71" s="312"/>
      <c r="GY71" s="312"/>
    </row>
    <row r="72" spans="2:207" ht="15.75" x14ac:dyDescent="0.25">
      <c r="B72" s="316">
        <f t="shared" si="1"/>
        <v>42</v>
      </c>
      <c r="C72" s="330">
        <f>'סיכום לוועדה'!B72</f>
        <v>1001347603</v>
      </c>
      <c r="D72" s="330">
        <f>'סיכום לוועדה'!C72</f>
        <v>1001274726</v>
      </c>
      <c r="E72" s="330">
        <f>'סיכום לוועדה'!D72</f>
        <v>40000220</v>
      </c>
      <c r="F72" s="330">
        <f>'סיכום לוועדה'!E72</f>
        <v>20000136</v>
      </c>
      <c r="G72" s="330" t="str">
        <f>'סיכום לוועדה'!F72</f>
        <v>עמק יזרעאל</v>
      </c>
      <c r="H72" s="317" t="str">
        <f>'סיכום לוועדה'!G72</f>
        <v>מוזיאון העמק</v>
      </c>
      <c r="I72" s="318">
        <f>'סיכום לוועדה'!U72</f>
        <v>150000</v>
      </c>
      <c r="J72" s="319">
        <f>'סיכום לוועדה'!T72</f>
        <v>130864.25709913649</v>
      </c>
      <c r="K72" s="320">
        <f t="shared" si="2"/>
        <v>0</v>
      </c>
      <c r="L72" s="319">
        <f t="shared" si="3"/>
        <v>130864.25709913649</v>
      </c>
      <c r="M72" s="331">
        <f>'תחום תמיכה ב'!AF72</f>
        <v>4.7320957740142142E-4</v>
      </c>
      <c r="N72" s="319">
        <f t="shared" si="0"/>
        <v>138925.15128612885</v>
      </c>
      <c r="O72" s="321">
        <f t="shared" si="4"/>
        <v>0</v>
      </c>
      <c r="P72" s="322">
        <f t="shared" si="5"/>
        <v>138925.15128612885</v>
      </c>
      <c r="Q72" s="322">
        <f t="shared" si="6"/>
        <v>138988.40757661386</v>
      </c>
      <c r="R72" s="321">
        <f t="shared" si="7"/>
        <v>0</v>
      </c>
      <c r="S72" s="322">
        <f t="shared" si="8"/>
        <v>138988.40757661386</v>
      </c>
      <c r="T72" s="322">
        <f t="shared" si="9"/>
        <v>138988.40757661356</v>
      </c>
      <c r="U72" s="321">
        <f t="shared" si="10"/>
        <v>0</v>
      </c>
      <c r="V72" s="322">
        <f t="shared" si="11"/>
        <v>138988.40757661356</v>
      </c>
      <c r="W72" s="322">
        <f t="shared" si="12"/>
        <v>138988.40757661362</v>
      </c>
      <c r="X72" s="321">
        <f t="shared" si="13"/>
        <v>0</v>
      </c>
      <c r="Y72" s="322">
        <f t="shared" si="14"/>
        <v>138988.40757661362</v>
      </c>
      <c r="Z72" s="322">
        <f t="shared" si="15"/>
        <v>138988.40757661359</v>
      </c>
      <c r="AA72" s="323">
        <f t="shared" si="16"/>
        <v>138988.40757661359</v>
      </c>
      <c r="AB72" s="323"/>
      <c r="AC72" s="323"/>
      <c r="AD72" s="323"/>
      <c r="AE72" s="323"/>
      <c r="AF72" s="324">
        <f t="shared" si="17"/>
        <v>7.959565286329123E-4</v>
      </c>
      <c r="AG72" s="312"/>
      <c r="AH72" s="312"/>
      <c r="AI72" s="325">
        <f t="shared" si="18"/>
        <v>1</v>
      </c>
      <c r="AJ72" s="312"/>
      <c r="AK72" s="312"/>
      <c r="AL72" s="312"/>
      <c r="AM72" s="312"/>
      <c r="AN72" s="312"/>
      <c r="AO72" s="312"/>
      <c r="AP72" s="312"/>
      <c r="AQ72" s="312"/>
      <c r="AR72" s="312"/>
      <c r="AS72" s="312"/>
      <c r="AT72" s="312"/>
      <c r="AU72" s="312"/>
      <c r="AV72" s="312"/>
      <c r="AW72" s="312"/>
      <c r="AX72" s="312"/>
      <c r="AY72" s="312"/>
      <c r="AZ72" s="312"/>
      <c r="BA72" s="312"/>
      <c r="BB72" s="312"/>
      <c r="BC72" s="312"/>
      <c r="BD72" s="312"/>
      <c r="BE72" s="312"/>
      <c r="BF72" s="312"/>
      <c r="BG72" s="312"/>
      <c r="BH72" s="312"/>
      <c r="BI72" s="312"/>
      <c r="BJ72" s="312"/>
      <c r="BK72" s="312"/>
      <c r="BL72" s="312"/>
      <c r="BM72" s="312"/>
      <c r="BN72" s="312"/>
      <c r="BO72" s="312"/>
      <c r="BP72" s="312"/>
      <c r="BQ72" s="312"/>
      <c r="BR72" s="312"/>
      <c r="BS72" s="312"/>
      <c r="BT72" s="312"/>
      <c r="BU72" s="312"/>
      <c r="BV72" s="312"/>
      <c r="BW72" s="312"/>
      <c r="BX72" s="312"/>
      <c r="BY72" s="312"/>
      <c r="BZ72" s="312"/>
      <c r="CA72" s="312"/>
      <c r="CB72" s="312"/>
      <c r="CC72" s="312"/>
      <c r="CD72" s="312"/>
      <c r="CE72" s="312"/>
      <c r="CF72" s="312"/>
      <c r="CG72" s="312"/>
      <c r="CH72" s="312"/>
      <c r="CI72" s="312"/>
      <c r="CJ72" s="312"/>
      <c r="CK72" s="312"/>
      <c r="CL72" s="312"/>
      <c r="CM72" s="312"/>
      <c r="CN72" s="312"/>
      <c r="CO72" s="312"/>
      <c r="CP72" s="312"/>
      <c r="CQ72" s="312"/>
      <c r="CR72" s="312"/>
      <c r="CS72" s="312"/>
      <c r="CT72" s="312"/>
      <c r="CU72" s="312"/>
      <c r="CV72" s="312"/>
      <c r="CW72" s="312"/>
      <c r="CX72" s="312"/>
      <c r="CY72" s="312"/>
      <c r="CZ72" s="312"/>
      <c r="DA72" s="312"/>
      <c r="DB72" s="312"/>
      <c r="DC72" s="312"/>
      <c r="DD72" s="312"/>
      <c r="DE72" s="312"/>
      <c r="DF72" s="312"/>
      <c r="DG72" s="312"/>
      <c r="DH72" s="312"/>
      <c r="DI72" s="312"/>
      <c r="DJ72" s="312"/>
      <c r="DK72" s="312"/>
      <c r="DL72" s="312"/>
      <c r="DM72" s="312"/>
      <c r="DN72" s="312"/>
      <c r="DO72" s="312"/>
      <c r="DP72" s="312"/>
      <c r="DQ72" s="312"/>
      <c r="DR72" s="312"/>
      <c r="DS72" s="312"/>
      <c r="DT72" s="312"/>
      <c r="DU72" s="312"/>
      <c r="DV72" s="312"/>
      <c r="DW72" s="312"/>
      <c r="DX72" s="312"/>
      <c r="DY72" s="312"/>
      <c r="DZ72" s="312"/>
      <c r="EA72" s="312"/>
      <c r="EB72" s="312"/>
      <c r="EC72" s="312"/>
      <c r="ED72" s="312"/>
      <c r="EE72" s="312"/>
      <c r="EF72" s="312"/>
      <c r="EG72" s="312"/>
      <c r="EH72" s="312"/>
      <c r="EI72" s="312"/>
      <c r="EJ72" s="312"/>
      <c r="EK72" s="312"/>
      <c r="EL72" s="312"/>
      <c r="EM72" s="312"/>
      <c r="EN72" s="312"/>
      <c r="EO72" s="312"/>
      <c r="EP72" s="312"/>
      <c r="EQ72" s="312"/>
      <c r="ER72" s="312"/>
      <c r="ES72" s="312"/>
      <c r="ET72" s="312"/>
      <c r="EU72" s="312"/>
      <c r="EV72" s="312"/>
      <c r="EW72" s="312"/>
      <c r="EX72" s="312"/>
      <c r="EY72" s="312"/>
      <c r="EZ72" s="312"/>
      <c r="FA72" s="312"/>
      <c r="FB72" s="312"/>
      <c r="FC72" s="312"/>
      <c r="FD72" s="312"/>
      <c r="FE72" s="312"/>
      <c r="FF72" s="312"/>
      <c r="FG72" s="312"/>
      <c r="FH72" s="312"/>
      <c r="FI72" s="312"/>
      <c r="FJ72" s="312"/>
      <c r="FK72" s="312"/>
      <c r="FL72" s="312"/>
      <c r="FM72" s="312"/>
      <c r="FN72" s="312"/>
      <c r="FO72" s="312"/>
      <c r="FP72" s="312"/>
      <c r="FQ72" s="312"/>
      <c r="FR72" s="312"/>
      <c r="FS72" s="312"/>
      <c r="FT72" s="312"/>
      <c r="FU72" s="312"/>
      <c r="FV72" s="312"/>
      <c r="FW72" s="312"/>
      <c r="FX72" s="312"/>
      <c r="FY72" s="312"/>
      <c r="FZ72" s="312"/>
      <c r="GA72" s="312"/>
      <c r="GB72" s="312"/>
      <c r="GC72" s="312"/>
      <c r="GD72" s="312"/>
      <c r="GE72" s="312"/>
      <c r="GF72" s="312"/>
      <c r="GG72" s="312"/>
      <c r="GH72" s="312"/>
      <c r="GI72" s="312"/>
      <c r="GJ72" s="312"/>
      <c r="GK72" s="312"/>
      <c r="GL72" s="312"/>
      <c r="GM72" s="312"/>
      <c r="GN72" s="312"/>
      <c r="GO72" s="312"/>
      <c r="GP72" s="312"/>
      <c r="GQ72" s="312"/>
      <c r="GR72" s="312"/>
      <c r="GS72" s="312"/>
      <c r="GT72" s="312"/>
      <c r="GU72" s="312"/>
      <c r="GV72" s="312"/>
      <c r="GW72" s="312"/>
      <c r="GX72" s="312"/>
      <c r="GY72" s="312"/>
    </row>
    <row r="73" spans="2:207" ht="15.75" x14ac:dyDescent="0.25">
      <c r="B73" s="316">
        <f t="shared" si="1"/>
        <v>43</v>
      </c>
      <c r="C73" s="330">
        <f>'סיכום לוועדה'!B73</f>
        <v>1001347012</v>
      </c>
      <c r="D73" s="330">
        <f>'סיכום לוועדה'!C73</f>
        <v>1010013470</v>
      </c>
      <c r="E73" s="330">
        <f>'סיכום לוועדה'!D73</f>
        <v>40000280</v>
      </c>
      <c r="F73" s="330">
        <f>'סיכום לוועדה'!E73</f>
        <v>20000227</v>
      </c>
      <c r="G73" s="330" t="str">
        <f>'סיכום לוועדה'!F73</f>
        <v>כפר סבא</v>
      </c>
      <c r="H73" s="317" t="str">
        <f>'סיכום לוועדה'!G73</f>
        <v>מרכז קהילתי בכפר סבא ע"ש שושנה ופנחס ספיר</v>
      </c>
      <c r="I73" s="318">
        <f>'סיכום לוועדה'!U73</f>
        <v>210000</v>
      </c>
      <c r="J73" s="319">
        <f>'סיכום לוועדה'!T73</f>
        <v>109710.10876146861</v>
      </c>
      <c r="K73" s="320">
        <f t="shared" si="2"/>
        <v>0</v>
      </c>
      <c r="L73" s="319">
        <f t="shared" si="3"/>
        <v>109710.10876146861</v>
      </c>
      <c r="M73" s="331">
        <f>'תחום תמיכה ב'!AF73</f>
        <v>6.0866263263338681E-4</v>
      </c>
      <c r="N73" s="319">
        <f t="shared" si="0"/>
        <v>120078.37963243599</v>
      </c>
      <c r="O73" s="321">
        <f t="shared" si="4"/>
        <v>0</v>
      </c>
      <c r="P73" s="322">
        <f t="shared" si="5"/>
        <v>120078.37963243599</v>
      </c>
      <c r="Q73" s="322">
        <f t="shared" si="6"/>
        <v>120133.05449003144</v>
      </c>
      <c r="R73" s="321">
        <f t="shared" si="7"/>
        <v>0</v>
      </c>
      <c r="S73" s="322">
        <f t="shared" si="8"/>
        <v>120133.05449003144</v>
      </c>
      <c r="T73" s="322">
        <f t="shared" si="9"/>
        <v>120133.05449003119</v>
      </c>
      <c r="U73" s="321">
        <f t="shared" si="10"/>
        <v>0</v>
      </c>
      <c r="V73" s="322">
        <f t="shared" si="11"/>
        <v>120133.05449003119</v>
      </c>
      <c r="W73" s="322">
        <f t="shared" si="12"/>
        <v>120133.05449003124</v>
      </c>
      <c r="X73" s="321">
        <f t="shared" si="13"/>
        <v>0</v>
      </c>
      <c r="Y73" s="322">
        <f t="shared" si="14"/>
        <v>120133.05449003124</v>
      </c>
      <c r="Z73" s="322">
        <f t="shared" si="15"/>
        <v>120133.05449003122</v>
      </c>
      <c r="AA73" s="323">
        <f t="shared" si="16"/>
        <v>120133.05449003122</v>
      </c>
      <c r="AB73" s="323"/>
      <c r="AC73" s="323"/>
      <c r="AD73" s="323"/>
      <c r="AE73" s="323"/>
      <c r="AF73" s="324">
        <f t="shared" si="17"/>
        <v>6.8797600241045592E-4</v>
      </c>
      <c r="AG73" s="312"/>
      <c r="AH73" s="312"/>
      <c r="AI73" s="325">
        <f t="shared" si="18"/>
        <v>1</v>
      </c>
      <c r="AJ73" s="312"/>
      <c r="AK73" s="312"/>
      <c r="AL73" s="312"/>
      <c r="AM73" s="312"/>
      <c r="AN73" s="312"/>
      <c r="AO73" s="312"/>
      <c r="AP73" s="312"/>
      <c r="AQ73" s="312"/>
      <c r="AR73" s="312"/>
      <c r="AS73" s="312"/>
      <c r="AT73" s="312"/>
      <c r="AU73" s="312"/>
      <c r="AV73" s="312"/>
      <c r="AW73" s="312"/>
      <c r="AX73" s="312"/>
      <c r="AY73" s="312"/>
      <c r="AZ73" s="312"/>
      <c r="BA73" s="312"/>
      <c r="BB73" s="312"/>
      <c r="BC73" s="312"/>
      <c r="BD73" s="312"/>
      <c r="BE73" s="312"/>
      <c r="BF73" s="312"/>
      <c r="BG73" s="312"/>
      <c r="BH73" s="312"/>
      <c r="BI73" s="312"/>
      <c r="BJ73" s="312"/>
      <c r="BK73" s="312"/>
      <c r="BL73" s="312"/>
      <c r="BM73" s="312"/>
      <c r="BN73" s="312"/>
      <c r="BO73" s="312"/>
      <c r="BP73" s="312"/>
      <c r="BQ73" s="312"/>
      <c r="BR73" s="312"/>
      <c r="BS73" s="312"/>
      <c r="BT73" s="312"/>
      <c r="BU73" s="312"/>
      <c r="BV73" s="312"/>
      <c r="BW73" s="312"/>
      <c r="BX73" s="312"/>
      <c r="BY73" s="312"/>
      <c r="BZ73" s="312"/>
      <c r="CA73" s="312"/>
      <c r="CB73" s="312"/>
      <c r="CC73" s="312"/>
      <c r="CD73" s="312"/>
      <c r="CE73" s="312"/>
      <c r="CF73" s="312"/>
      <c r="CG73" s="312"/>
      <c r="CH73" s="312"/>
      <c r="CI73" s="312"/>
      <c r="CJ73" s="312"/>
      <c r="CK73" s="312"/>
      <c r="CL73" s="312"/>
      <c r="CM73" s="312"/>
      <c r="CN73" s="312"/>
      <c r="CO73" s="312"/>
      <c r="CP73" s="312"/>
      <c r="CQ73" s="312"/>
      <c r="CR73" s="312"/>
      <c r="CS73" s="312"/>
      <c r="CT73" s="312"/>
      <c r="CU73" s="312"/>
      <c r="CV73" s="312"/>
      <c r="CW73" s="312"/>
      <c r="CX73" s="312"/>
      <c r="CY73" s="312"/>
      <c r="CZ73" s="312"/>
      <c r="DA73" s="312"/>
      <c r="DB73" s="312"/>
      <c r="DC73" s="312"/>
      <c r="DD73" s="312"/>
      <c r="DE73" s="312"/>
      <c r="DF73" s="312"/>
      <c r="DG73" s="312"/>
      <c r="DH73" s="312"/>
      <c r="DI73" s="312"/>
      <c r="DJ73" s="312"/>
      <c r="DK73" s="312"/>
      <c r="DL73" s="312"/>
      <c r="DM73" s="312"/>
      <c r="DN73" s="312"/>
      <c r="DO73" s="312"/>
      <c r="DP73" s="312"/>
      <c r="DQ73" s="312"/>
      <c r="DR73" s="312"/>
      <c r="DS73" s="312"/>
      <c r="DT73" s="312"/>
      <c r="DU73" s="312"/>
      <c r="DV73" s="312"/>
      <c r="DW73" s="312"/>
      <c r="DX73" s="312"/>
      <c r="DY73" s="312"/>
      <c r="DZ73" s="312"/>
      <c r="EA73" s="312"/>
      <c r="EB73" s="312"/>
      <c r="EC73" s="312"/>
      <c r="ED73" s="312"/>
      <c r="EE73" s="312"/>
      <c r="EF73" s="312"/>
      <c r="EG73" s="312"/>
      <c r="EH73" s="312"/>
      <c r="EI73" s="312"/>
      <c r="EJ73" s="312"/>
      <c r="EK73" s="312"/>
      <c r="EL73" s="312"/>
      <c r="EM73" s="312"/>
      <c r="EN73" s="312"/>
      <c r="EO73" s="312"/>
      <c r="EP73" s="312"/>
      <c r="EQ73" s="312"/>
      <c r="ER73" s="312"/>
      <c r="ES73" s="312"/>
      <c r="ET73" s="312"/>
      <c r="EU73" s="312"/>
      <c r="EV73" s="312"/>
      <c r="EW73" s="312"/>
      <c r="EX73" s="312"/>
      <c r="EY73" s="312"/>
      <c r="EZ73" s="312"/>
      <c r="FA73" s="312"/>
      <c r="FB73" s="312"/>
      <c r="FC73" s="312"/>
      <c r="FD73" s="312"/>
      <c r="FE73" s="312"/>
      <c r="FF73" s="312"/>
      <c r="FG73" s="312"/>
      <c r="FH73" s="312"/>
      <c r="FI73" s="312"/>
      <c r="FJ73" s="312"/>
      <c r="FK73" s="312"/>
      <c r="FL73" s="312"/>
      <c r="FM73" s="312"/>
      <c r="FN73" s="312"/>
      <c r="FO73" s="312"/>
      <c r="FP73" s="312"/>
      <c r="FQ73" s="312"/>
      <c r="FR73" s="312"/>
      <c r="FS73" s="312"/>
      <c r="FT73" s="312"/>
      <c r="FU73" s="312"/>
      <c r="FV73" s="312"/>
      <c r="FW73" s="312"/>
      <c r="FX73" s="312"/>
      <c r="FY73" s="312"/>
      <c r="FZ73" s="312"/>
      <c r="GA73" s="312"/>
      <c r="GB73" s="312"/>
      <c r="GC73" s="312"/>
      <c r="GD73" s="312"/>
      <c r="GE73" s="312"/>
      <c r="GF73" s="312"/>
      <c r="GG73" s="312"/>
      <c r="GH73" s="312"/>
      <c r="GI73" s="312"/>
      <c r="GJ73" s="312"/>
      <c r="GK73" s="312"/>
      <c r="GL73" s="312"/>
      <c r="GM73" s="312"/>
      <c r="GN73" s="312"/>
      <c r="GO73" s="312"/>
      <c r="GP73" s="312"/>
      <c r="GQ73" s="312"/>
      <c r="GR73" s="312"/>
      <c r="GS73" s="312"/>
      <c r="GT73" s="312"/>
      <c r="GU73" s="312"/>
      <c r="GV73" s="312"/>
      <c r="GW73" s="312"/>
      <c r="GX73" s="312"/>
      <c r="GY73" s="312"/>
    </row>
    <row r="74" spans="2:207" ht="15.75" x14ac:dyDescent="0.25">
      <c r="B74" s="316">
        <f t="shared" si="1"/>
        <v>44</v>
      </c>
      <c r="C74" s="330">
        <f>'סיכום לוועדה'!B74</f>
        <v>1001346658</v>
      </c>
      <c r="D74" s="330">
        <f>'סיכום לוועדה'!C74</f>
        <v>1001274373</v>
      </c>
      <c r="E74" s="330">
        <f>'סיכום לוועדה'!D74</f>
        <v>40000168</v>
      </c>
      <c r="F74" s="330">
        <f>'סיכום לוועדה'!E74</f>
        <v>20000139</v>
      </c>
      <c r="G74" s="330" t="str">
        <f>'סיכום לוועדה'!F74</f>
        <v>מטה אשר</v>
      </c>
      <c r="H74" s="317" t="str">
        <f>'סיכום לוועדה'!G74</f>
        <v>קשת איילון</v>
      </c>
      <c r="I74" s="318">
        <f>'סיכום לוועדה'!U74</f>
        <v>800000</v>
      </c>
      <c r="J74" s="319">
        <f>'סיכום לוועדה'!T74</f>
        <v>142618.00281224208</v>
      </c>
      <c r="K74" s="320">
        <f t="shared" si="2"/>
        <v>0</v>
      </c>
      <c r="L74" s="319">
        <f t="shared" si="3"/>
        <v>142618.00281224208</v>
      </c>
      <c r="M74" s="331">
        <f>'תחום תמיכה ב'!AF74</f>
        <v>8.3708819597845075E-4</v>
      </c>
      <c r="N74" s="319">
        <f t="shared" si="0"/>
        <v>156877.39166488696</v>
      </c>
      <c r="O74" s="321">
        <f t="shared" si="4"/>
        <v>0</v>
      </c>
      <c r="P74" s="322">
        <f t="shared" si="5"/>
        <v>156877.39166488696</v>
      </c>
      <c r="Q74" s="322">
        <f t="shared" si="6"/>
        <v>156948.82208454687</v>
      </c>
      <c r="R74" s="321">
        <f t="shared" si="7"/>
        <v>0</v>
      </c>
      <c r="S74" s="322">
        <f t="shared" si="8"/>
        <v>156948.82208454687</v>
      </c>
      <c r="T74" s="322">
        <f t="shared" si="9"/>
        <v>156948.82208454655</v>
      </c>
      <c r="U74" s="321">
        <f t="shared" si="10"/>
        <v>0</v>
      </c>
      <c r="V74" s="322">
        <f t="shared" si="11"/>
        <v>156948.82208454655</v>
      </c>
      <c r="W74" s="322">
        <f t="shared" si="12"/>
        <v>156948.82208454661</v>
      </c>
      <c r="X74" s="321">
        <f t="shared" si="13"/>
        <v>0</v>
      </c>
      <c r="Y74" s="322">
        <f t="shared" si="14"/>
        <v>156948.82208454661</v>
      </c>
      <c r="Z74" s="322">
        <f t="shared" si="15"/>
        <v>156948.82208454658</v>
      </c>
      <c r="AA74" s="323">
        <f t="shared" si="16"/>
        <v>156948.82208454658</v>
      </c>
      <c r="AB74" s="323"/>
      <c r="AC74" s="323"/>
      <c r="AD74" s="323"/>
      <c r="AE74" s="323"/>
      <c r="AF74" s="324">
        <f t="shared" si="17"/>
        <v>8.9881193530891442E-4</v>
      </c>
      <c r="AG74" s="312"/>
      <c r="AH74" s="312"/>
      <c r="AI74" s="325">
        <f t="shared" si="18"/>
        <v>1</v>
      </c>
      <c r="AJ74" s="312"/>
      <c r="AK74" s="312"/>
      <c r="AL74" s="312"/>
      <c r="AM74" s="312"/>
      <c r="AN74" s="312"/>
      <c r="AO74" s="312"/>
      <c r="AP74" s="312"/>
      <c r="AQ74" s="312"/>
      <c r="AR74" s="312"/>
      <c r="AS74" s="312"/>
      <c r="AT74" s="312"/>
      <c r="AU74" s="312"/>
      <c r="AV74" s="312"/>
      <c r="AW74" s="312"/>
      <c r="AX74" s="312"/>
      <c r="AY74" s="312"/>
      <c r="AZ74" s="312"/>
      <c r="BA74" s="312"/>
      <c r="BB74" s="312"/>
      <c r="BC74" s="312"/>
      <c r="BD74" s="312"/>
      <c r="BE74" s="312"/>
      <c r="BF74" s="312"/>
      <c r="BG74" s="312"/>
      <c r="BH74" s="312"/>
      <c r="BI74" s="312"/>
      <c r="BJ74" s="312"/>
      <c r="BK74" s="312"/>
      <c r="BL74" s="312"/>
      <c r="BM74" s="312"/>
      <c r="BN74" s="312"/>
      <c r="BO74" s="312"/>
      <c r="BP74" s="312"/>
      <c r="BQ74" s="312"/>
      <c r="BR74" s="312"/>
      <c r="BS74" s="312"/>
      <c r="BT74" s="312"/>
      <c r="BU74" s="312"/>
      <c r="BV74" s="312"/>
      <c r="BW74" s="312"/>
      <c r="BX74" s="312"/>
      <c r="BY74" s="312"/>
      <c r="BZ74" s="312"/>
      <c r="CA74" s="312"/>
      <c r="CB74" s="312"/>
      <c r="CC74" s="312"/>
      <c r="CD74" s="312"/>
      <c r="CE74" s="312"/>
      <c r="CF74" s="312"/>
      <c r="CG74" s="312"/>
      <c r="CH74" s="312"/>
      <c r="CI74" s="312"/>
      <c r="CJ74" s="312"/>
      <c r="CK74" s="312"/>
      <c r="CL74" s="312"/>
      <c r="CM74" s="312"/>
      <c r="CN74" s="312"/>
      <c r="CO74" s="312"/>
      <c r="CP74" s="312"/>
      <c r="CQ74" s="312"/>
      <c r="CR74" s="312"/>
      <c r="CS74" s="312"/>
      <c r="CT74" s="312"/>
      <c r="CU74" s="312"/>
      <c r="CV74" s="312"/>
      <c r="CW74" s="312"/>
      <c r="CX74" s="312"/>
      <c r="CY74" s="312"/>
      <c r="CZ74" s="312"/>
      <c r="DA74" s="312"/>
      <c r="DB74" s="312"/>
      <c r="DC74" s="312"/>
      <c r="DD74" s="312"/>
      <c r="DE74" s="312"/>
      <c r="DF74" s="312"/>
      <c r="DG74" s="312"/>
      <c r="DH74" s="312"/>
      <c r="DI74" s="312"/>
      <c r="DJ74" s="312"/>
      <c r="DK74" s="312"/>
      <c r="DL74" s="312"/>
      <c r="DM74" s="312"/>
      <c r="DN74" s="312"/>
      <c r="DO74" s="312"/>
      <c r="DP74" s="312"/>
      <c r="DQ74" s="312"/>
      <c r="DR74" s="312"/>
      <c r="DS74" s="312"/>
      <c r="DT74" s="312"/>
      <c r="DU74" s="312"/>
      <c r="DV74" s="312"/>
      <c r="DW74" s="312"/>
      <c r="DX74" s="312"/>
      <c r="DY74" s="312"/>
      <c r="DZ74" s="312"/>
      <c r="EA74" s="312"/>
      <c r="EB74" s="312"/>
      <c r="EC74" s="312"/>
      <c r="ED74" s="312"/>
      <c r="EE74" s="312"/>
      <c r="EF74" s="312"/>
      <c r="EG74" s="312"/>
      <c r="EH74" s="312"/>
      <c r="EI74" s="312"/>
      <c r="EJ74" s="312"/>
      <c r="EK74" s="312"/>
      <c r="EL74" s="312"/>
      <c r="EM74" s="312"/>
      <c r="EN74" s="312"/>
      <c r="EO74" s="312"/>
      <c r="EP74" s="312"/>
      <c r="EQ74" s="312"/>
      <c r="ER74" s="312"/>
      <c r="ES74" s="312"/>
      <c r="ET74" s="312"/>
      <c r="EU74" s="312"/>
      <c r="EV74" s="312"/>
      <c r="EW74" s="312"/>
      <c r="EX74" s="312"/>
      <c r="EY74" s="312"/>
      <c r="EZ74" s="312"/>
      <c r="FA74" s="312"/>
      <c r="FB74" s="312"/>
      <c r="FC74" s="312"/>
      <c r="FD74" s="312"/>
      <c r="FE74" s="312"/>
      <c r="FF74" s="312"/>
      <c r="FG74" s="312"/>
      <c r="FH74" s="312"/>
      <c r="FI74" s="312"/>
      <c r="FJ74" s="312"/>
      <c r="FK74" s="312"/>
      <c r="FL74" s="312"/>
      <c r="FM74" s="312"/>
      <c r="FN74" s="312"/>
      <c r="FO74" s="312"/>
      <c r="FP74" s="312"/>
      <c r="FQ74" s="312"/>
      <c r="FR74" s="312"/>
      <c r="FS74" s="312"/>
      <c r="FT74" s="312"/>
      <c r="FU74" s="312"/>
      <c r="FV74" s="312"/>
      <c r="FW74" s="312"/>
      <c r="FX74" s="312"/>
      <c r="FY74" s="312"/>
      <c r="FZ74" s="312"/>
      <c r="GA74" s="312"/>
      <c r="GB74" s="312"/>
      <c r="GC74" s="312"/>
      <c r="GD74" s="312"/>
      <c r="GE74" s="312"/>
      <c r="GF74" s="312"/>
      <c r="GG74" s="312"/>
      <c r="GH74" s="312"/>
      <c r="GI74" s="312"/>
      <c r="GJ74" s="312"/>
      <c r="GK74" s="312"/>
      <c r="GL74" s="312"/>
      <c r="GM74" s="312"/>
      <c r="GN74" s="312"/>
      <c r="GO74" s="312"/>
      <c r="GP74" s="312"/>
      <c r="GQ74" s="312"/>
      <c r="GR74" s="312"/>
      <c r="GS74" s="312"/>
      <c r="GT74" s="312"/>
      <c r="GU74" s="312"/>
      <c r="GV74" s="312"/>
      <c r="GW74" s="312"/>
      <c r="GX74" s="312"/>
      <c r="GY74" s="312"/>
    </row>
    <row r="75" spans="2:207" ht="15.75" x14ac:dyDescent="0.25">
      <c r="B75" s="316" t="str">
        <f t="shared" si="1"/>
        <v/>
      </c>
      <c r="C75" s="330" t="str">
        <f>'סיכום לוועדה'!B75</f>
        <v/>
      </c>
      <c r="D75" s="330" t="str">
        <f>'סיכום לוועדה'!C75</f>
        <v/>
      </c>
      <c r="E75" s="330" t="str">
        <f>'סיכום לוועדה'!D75</f>
        <v/>
      </c>
      <c r="F75" s="330" t="str">
        <f>'סיכום לוועדה'!E75</f>
        <v/>
      </c>
      <c r="G75" s="330" t="str">
        <f>'סיכום לוועדה'!F75</f>
        <v/>
      </c>
      <c r="H75" s="317" t="str">
        <f>'סיכום לוועדה'!G75</f>
        <v/>
      </c>
      <c r="I75" s="318" t="str">
        <f>'סיכום לוועדה'!U75</f>
        <v/>
      </c>
      <c r="J75" s="319" t="str">
        <f>'סיכום לוועדה'!T75</f>
        <v/>
      </c>
      <c r="K75" s="320" t="str">
        <f t="shared" si="2"/>
        <v/>
      </c>
      <c r="L75" s="319" t="str">
        <f t="shared" si="3"/>
        <v/>
      </c>
      <c r="M75" s="331" t="str">
        <f>'תחום תמיכה ב'!AF75</f>
        <v/>
      </c>
      <c r="N75" s="319" t="str">
        <f t="shared" si="0"/>
        <v/>
      </c>
      <c r="O75" s="321">
        <f t="shared" si="4"/>
        <v>0</v>
      </c>
      <c r="P75" s="322" t="str">
        <f t="shared" si="5"/>
        <v/>
      </c>
      <c r="Q75" s="322" t="str">
        <f t="shared" si="6"/>
        <v/>
      </c>
      <c r="R75" s="321">
        <f t="shared" si="7"/>
        <v>0</v>
      </c>
      <c r="S75" s="322" t="str">
        <f t="shared" si="8"/>
        <v/>
      </c>
      <c r="T75" s="322" t="str">
        <f t="shared" si="9"/>
        <v/>
      </c>
      <c r="U75" s="321">
        <f t="shared" si="10"/>
        <v>0</v>
      </c>
      <c r="V75" s="322" t="str">
        <f t="shared" si="11"/>
        <v/>
      </c>
      <c r="W75" s="322" t="str">
        <f t="shared" si="12"/>
        <v/>
      </c>
      <c r="X75" s="321">
        <f t="shared" si="13"/>
        <v>0</v>
      </c>
      <c r="Y75" s="322" t="str">
        <f t="shared" si="14"/>
        <v/>
      </c>
      <c r="Z75" s="322" t="str">
        <f t="shared" si="15"/>
        <v/>
      </c>
      <c r="AA75" s="323" t="str">
        <f t="shared" si="16"/>
        <v/>
      </c>
      <c r="AB75" s="323"/>
      <c r="AC75" s="323"/>
      <c r="AD75" s="323"/>
      <c r="AE75" s="323"/>
      <c r="AF75" s="324" t="str">
        <f t="shared" si="17"/>
        <v/>
      </c>
      <c r="AG75" s="312"/>
      <c r="AH75" s="312"/>
      <c r="AI75" s="325">
        <f t="shared" si="18"/>
        <v>0</v>
      </c>
      <c r="AJ75" s="312"/>
      <c r="AK75" s="312"/>
      <c r="AL75" s="312"/>
      <c r="AM75" s="312"/>
      <c r="AN75" s="312"/>
      <c r="AO75" s="312"/>
      <c r="AP75" s="312"/>
      <c r="AQ75" s="312"/>
      <c r="AR75" s="312"/>
      <c r="AS75" s="312"/>
      <c r="AT75" s="312"/>
      <c r="AU75" s="312"/>
      <c r="AV75" s="312"/>
      <c r="AW75" s="312"/>
      <c r="AX75" s="312"/>
      <c r="AY75" s="312"/>
      <c r="AZ75" s="312"/>
      <c r="BA75" s="312"/>
      <c r="BB75" s="312"/>
      <c r="BC75" s="312"/>
      <c r="BD75" s="312"/>
      <c r="BE75" s="312"/>
      <c r="BF75" s="312"/>
      <c r="BG75" s="312"/>
      <c r="BH75" s="312"/>
      <c r="BI75" s="312"/>
      <c r="BJ75" s="312"/>
      <c r="BK75" s="312"/>
      <c r="BL75" s="312"/>
      <c r="BM75" s="312"/>
      <c r="BN75" s="312"/>
      <c r="BO75" s="312"/>
      <c r="BP75" s="312"/>
      <c r="BQ75" s="312"/>
      <c r="BR75" s="312"/>
      <c r="BS75" s="312"/>
      <c r="BT75" s="312"/>
      <c r="BU75" s="312"/>
      <c r="BV75" s="312"/>
      <c r="BW75" s="312"/>
      <c r="BX75" s="312"/>
      <c r="BY75" s="312"/>
      <c r="BZ75" s="312"/>
      <c r="CA75" s="312"/>
      <c r="CB75" s="312"/>
      <c r="CC75" s="312"/>
      <c r="CD75" s="312"/>
      <c r="CE75" s="312"/>
      <c r="CF75" s="312"/>
      <c r="CG75" s="312"/>
      <c r="CH75" s="312"/>
      <c r="CI75" s="312"/>
      <c r="CJ75" s="312"/>
      <c r="CK75" s="312"/>
      <c r="CL75" s="312"/>
      <c r="CM75" s="312"/>
      <c r="CN75" s="312"/>
      <c r="CO75" s="312"/>
      <c r="CP75" s="312"/>
      <c r="CQ75" s="312"/>
      <c r="CR75" s="312"/>
      <c r="CS75" s="312"/>
      <c r="CT75" s="312"/>
      <c r="CU75" s="312"/>
      <c r="CV75" s="312"/>
      <c r="CW75" s="312"/>
      <c r="CX75" s="312"/>
      <c r="CY75" s="312"/>
      <c r="CZ75" s="312"/>
      <c r="DA75" s="312"/>
      <c r="DB75" s="312"/>
      <c r="DC75" s="312"/>
      <c r="DD75" s="312"/>
      <c r="DE75" s="312"/>
      <c r="DF75" s="312"/>
      <c r="DG75" s="312"/>
      <c r="DH75" s="312"/>
      <c r="DI75" s="312"/>
      <c r="DJ75" s="312"/>
      <c r="DK75" s="312"/>
      <c r="DL75" s="312"/>
      <c r="DM75" s="312"/>
      <c r="DN75" s="312"/>
      <c r="DO75" s="312"/>
      <c r="DP75" s="312"/>
      <c r="DQ75" s="312"/>
      <c r="DR75" s="312"/>
      <c r="DS75" s="312"/>
      <c r="DT75" s="312"/>
      <c r="DU75" s="312"/>
      <c r="DV75" s="312"/>
      <c r="DW75" s="312"/>
      <c r="DX75" s="312"/>
      <c r="DY75" s="312"/>
      <c r="DZ75" s="312"/>
      <c r="EA75" s="312"/>
      <c r="EB75" s="312"/>
      <c r="EC75" s="312"/>
      <c r="ED75" s="312"/>
      <c r="EE75" s="312"/>
      <c r="EF75" s="312"/>
      <c r="EG75" s="312"/>
      <c r="EH75" s="312"/>
      <c r="EI75" s="312"/>
      <c r="EJ75" s="312"/>
      <c r="EK75" s="312"/>
      <c r="EL75" s="312"/>
      <c r="EM75" s="312"/>
      <c r="EN75" s="312"/>
      <c r="EO75" s="312"/>
      <c r="EP75" s="312"/>
      <c r="EQ75" s="312"/>
      <c r="ER75" s="312"/>
      <c r="ES75" s="312"/>
      <c r="ET75" s="312"/>
      <c r="EU75" s="312"/>
      <c r="EV75" s="312"/>
      <c r="EW75" s="312"/>
      <c r="EX75" s="312"/>
      <c r="EY75" s="312"/>
      <c r="EZ75" s="312"/>
      <c r="FA75" s="312"/>
      <c r="FB75" s="312"/>
      <c r="FC75" s="312"/>
      <c r="FD75" s="312"/>
      <c r="FE75" s="312"/>
      <c r="FF75" s="312"/>
      <c r="FG75" s="312"/>
      <c r="FH75" s="312"/>
      <c r="FI75" s="312"/>
      <c r="FJ75" s="312"/>
      <c r="FK75" s="312"/>
      <c r="FL75" s="312"/>
      <c r="FM75" s="312"/>
      <c r="FN75" s="312"/>
      <c r="FO75" s="312"/>
      <c r="FP75" s="312"/>
      <c r="FQ75" s="312"/>
      <c r="FR75" s="312"/>
      <c r="FS75" s="312"/>
      <c r="FT75" s="312"/>
      <c r="FU75" s="312"/>
      <c r="FV75" s="312"/>
      <c r="FW75" s="312"/>
      <c r="FX75" s="312"/>
      <c r="FY75" s="312"/>
      <c r="FZ75" s="312"/>
      <c r="GA75" s="312"/>
      <c r="GB75" s="312"/>
      <c r="GC75" s="312"/>
      <c r="GD75" s="312"/>
      <c r="GE75" s="312"/>
      <c r="GF75" s="312"/>
      <c r="GG75" s="312"/>
      <c r="GH75" s="312"/>
      <c r="GI75" s="312"/>
      <c r="GJ75" s="312"/>
      <c r="GK75" s="312"/>
      <c r="GL75" s="312"/>
      <c r="GM75" s="312"/>
      <c r="GN75" s="312"/>
      <c r="GO75" s="312"/>
      <c r="GP75" s="312"/>
      <c r="GQ75" s="312"/>
      <c r="GR75" s="312"/>
      <c r="GS75" s="312"/>
      <c r="GT75" s="312"/>
      <c r="GU75" s="312"/>
      <c r="GV75" s="312"/>
      <c r="GW75" s="312"/>
      <c r="GX75" s="312"/>
      <c r="GY75" s="312"/>
    </row>
    <row r="76" spans="2:207" ht="15.75" x14ac:dyDescent="0.25">
      <c r="B76" s="316">
        <f t="shared" si="1"/>
        <v>46</v>
      </c>
      <c r="C76" s="330">
        <f>'סיכום לוועדה'!B76</f>
        <v>1001348760</v>
      </c>
      <c r="D76" s="330">
        <f>'סיכום לוועדה'!C76</f>
        <v>1001271005</v>
      </c>
      <c r="E76" s="330">
        <f>'סיכום לוועדה'!D76</f>
        <v>40000158</v>
      </c>
      <c r="F76" s="330">
        <f>'סיכום לוועדה'!E76</f>
        <v>20000062</v>
      </c>
      <c r="G76" s="330" t="str">
        <f>'סיכום לוועדה'!F76</f>
        <v>עיילבון</v>
      </c>
      <c r="H76" s="317" t="str">
        <f>'סיכום לוועדה'!G76</f>
        <v>ג'בינה- לקידום התיאטרון הערבי</v>
      </c>
      <c r="I76" s="318">
        <f>'סיכום לוועדה'!U76</f>
        <v>100000</v>
      </c>
      <c r="J76" s="319">
        <f>'סיכום לוועדה'!T76</f>
        <v>17503.546530515006</v>
      </c>
      <c r="K76" s="320">
        <f t="shared" si="2"/>
        <v>0</v>
      </c>
      <c r="L76" s="319">
        <f t="shared" si="3"/>
        <v>17503.546530515006</v>
      </c>
      <c r="M76" s="331">
        <f>'תחום תמיכה ב'!AF76</f>
        <v>8.6642855869351548E-5</v>
      </c>
      <c r="N76" s="319">
        <f t="shared" si="0"/>
        <v>18979.465291620741</v>
      </c>
      <c r="O76" s="321">
        <f t="shared" si="4"/>
        <v>0</v>
      </c>
      <c r="P76" s="322">
        <f t="shared" si="5"/>
        <v>18979.465291620741</v>
      </c>
      <c r="Q76" s="322">
        <f t="shared" si="6"/>
        <v>18988.107143428151</v>
      </c>
      <c r="R76" s="321">
        <f t="shared" si="7"/>
        <v>0</v>
      </c>
      <c r="S76" s="322">
        <f t="shared" si="8"/>
        <v>18988.107143428151</v>
      </c>
      <c r="T76" s="322">
        <f t="shared" si="9"/>
        <v>18988.107143428111</v>
      </c>
      <c r="U76" s="321">
        <f t="shared" si="10"/>
        <v>0</v>
      </c>
      <c r="V76" s="322">
        <f t="shared" si="11"/>
        <v>18988.107143428111</v>
      </c>
      <c r="W76" s="322">
        <f t="shared" si="12"/>
        <v>18988.107143428118</v>
      </c>
      <c r="X76" s="321">
        <f t="shared" si="13"/>
        <v>0</v>
      </c>
      <c r="Y76" s="322">
        <f t="shared" si="14"/>
        <v>18988.107143428118</v>
      </c>
      <c r="Z76" s="322">
        <f t="shared" si="15"/>
        <v>18988.107143428115</v>
      </c>
      <c r="AA76" s="323">
        <f t="shared" si="16"/>
        <v>18988.107143428115</v>
      </c>
      <c r="AB76" s="323"/>
      <c r="AC76" s="323"/>
      <c r="AD76" s="323"/>
      <c r="AE76" s="323"/>
      <c r="AF76" s="324">
        <f t="shared" si="17"/>
        <v>1.0874077997376741E-4</v>
      </c>
      <c r="AG76" s="312"/>
      <c r="AH76" s="312"/>
      <c r="AI76" s="325">
        <f t="shared" si="18"/>
        <v>1</v>
      </c>
      <c r="AJ76" s="312"/>
      <c r="AK76" s="312"/>
      <c r="AL76" s="312"/>
      <c r="AM76" s="312"/>
      <c r="AN76" s="312"/>
      <c r="AO76" s="312"/>
      <c r="AP76" s="312"/>
      <c r="AQ76" s="312"/>
      <c r="AR76" s="312"/>
      <c r="AS76" s="312"/>
      <c r="AT76" s="312"/>
      <c r="AU76" s="312"/>
      <c r="AV76" s="312"/>
      <c r="AW76" s="312"/>
      <c r="AX76" s="312"/>
      <c r="AY76" s="312"/>
      <c r="AZ76" s="312"/>
      <c r="BA76" s="312"/>
      <c r="BB76" s="312"/>
      <c r="BC76" s="312"/>
      <c r="BD76" s="312"/>
      <c r="BE76" s="312"/>
      <c r="BF76" s="312"/>
      <c r="BG76" s="312"/>
      <c r="BH76" s="312"/>
      <c r="BI76" s="312"/>
      <c r="BJ76" s="312"/>
      <c r="BK76" s="312"/>
      <c r="BL76" s="312"/>
      <c r="BM76" s="312"/>
      <c r="BN76" s="312"/>
      <c r="BO76" s="312"/>
      <c r="BP76" s="312"/>
      <c r="BQ76" s="312"/>
      <c r="BR76" s="312"/>
      <c r="BS76" s="312"/>
      <c r="BT76" s="312"/>
      <c r="BU76" s="312"/>
      <c r="BV76" s="312"/>
      <c r="BW76" s="312"/>
      <c r="BX76" s="312"/>
      <c r="BY76" s="312"/>
      <c r="BZ76" s="312"/>
      <c r="CA76" s="312"/>
      <c r="CB76" s="312"/>
      <c r="CC76" s="312"/>
      <c r="CD76" s="312"/>
      <c r="CE76" s="312"/>
      <c r="CF76" s="312"/>
      <c r="CG76" s="312"/>
      <c r="CH76" s="312"/>
      <c r="CI76" s="312"/>
      <c r="CJ76" s="312"/>
      <c r="CK76" s="312"/>
      <c r="CL76" s="312"/>
      <c r="CM76" s="312"/>
      <c r="CN76" s="312"/>
      <c r="CO76" s="312"/>
      <c r="CP76" s="312"/>
      <c r="CQ76" s="312"/>
      <c r="CR76" s="312"/>
      <c r="CS76" s="312"/>
      <c r="CT76" s="312"/>
      <c r="CU76" s="312"/>
      <c r="CV76" s="312"/>
      <c r="CW76" s="312"/>
      <c r="CX76" s="312"/>
      <c r="CY76" s="312"/>
      <c r="CZ76" s="312"/>
      <c r="DA76" s="312"/>
      <c r="DB76" s="312"/>
      <c r="DC76" s="312"/>
      <c r="DD76" s="312"/>
      <c r="DE76" s="312"/>
      <c r="DF76" s="312"/>
      <c r="DG76" s="312"/>
      <c r="DH76" s="312"/>
      <c r="DI76" s="312"/>
      <c r="DJ76" s="312"/>
      <c r="DK76" s="312"/>
      <c r="DL76" s="312"/>
      <c r="DM76" s="312"/>
      <c r="DN76" s="312"/>
      <c r="DO76" s="312"/>
      <c r="DP76" s="312"/>
      <c r="DQ76" s="312"/>
      <c r="DR76" s="312"/>
      <c r="DS76" s="312"/>
      <c r="DT76" s="312"/>
      <c r="DU76" s="312"/>
      <c r="DV76" s="312"/>
      <c r="DW76" s="312"/>
      <c r="DX76" s="312"/>
      <c r="DY76" s="312"/>
      <c r="DZ76" s="312"/>
      <c r="EA76" s="312"/>
      <c r="EB76" s="312"/>
      <c r="EC76" s="312"/>
      <c r="ED76" s="312"/>
      <c r="EE76" s="312"/>
      <c r="EF76" s="312"/>
      <c r="EG76" s="312"/>
      <c r="EH76" s="312"/>
      <c r="EI76" s="312"/>
      <c r="EJ76" s="312"/>
      <c r="EK76" s="312"/>
      <c r="EL76" s="312"/>
      <c r="EM76" s="312"/>
      <c r="EN76" s="312"/>
      <c r="EO76" s="312"/>
      <c r="EP76" s="312"/>
      <c r="EQ76" s="312"/>
      <c r="ER76" s="312"/>
      <c r="ES76" s="312"/>
      <c r="ET76" s="312"/>
      <c r="EU76" s="312"/>
      <c r="EV76" s="312"/>
      <c r="EW76" s="312"/>
      <c r="EX76" s="312"/>
      <c r="EY76" s="312"/>
      <c r="EZ76" s="312"/>
      <c r="FA76" s="312"/>
      <c r="FB76" s="312"/>
      <c r="FC76" s="312"/>
      <c r="FD76" s="312"/>
      <c r="FE76" s="312"/>
      <c r="FF76" s="312"/>
      <c r="FG76" s="312"/>
      <c r="FH76" s="312"/>
      <c r="FI76" s="312"/>
      <c r="FJ76" s="312"/>
      <c r="FK76" s="312"/>
      <c r="FL76" s="312"/>
      <c r="FM76" s="312"/>
      <c r="FN76" s="312"/>
      <c r="FO76" s="312"/>
      <c r="FP76" s="312"/>
      <c r="FQ76" s="312"/>
      <c r="FR76" s="312"/>
      <c r="FS76" s="312"/>
      <c r="FT76" s="312"/>
      <c r="FU76" s="312"/>
      <c r="FV76" s="312"/>
      <c r="FW76" s="312"/>
      <c r="FX76" s="312"/>
      <c r="FY76" s="312"/>
      <c r="FZ76" s="312"/>
      <c r="GA76" s="312"/>
      <c r="GB76" s="312"/>
      <c r="GC76" s="312"/>
      <c r="GD76" s="312"/>
      <c r="GE76" s="312"/>
      <c r="GF76" s="312"/>
      <c r="GG76" s="312"/>
      <c r="GH76" s="312"/>
      <c r="GI76" s="312"/>
      <c r="GJ76" s="312"/>
      <c r="GK76" s="312"/>
      <c r="GL76" s="312"/>
      <c r="GM76" s="312"/>
      <c r="GN76" s="312"/>
      <c r="GO76" s="312"/>
      <c r="GP76" s="312"/>
      <c r="GQ76" s="312"/>
      <c r="GR76" s="312"/>
      <c r="GS76" s="312"/>
      <c r="GT76" s="312"/>
      <c r="GU76" s="312"/>
      <c r="GV76" s="312"/>
      <c r="GW76" s="312"/>
      <c r="GX76" s="312"/>
      <c r="GY76" s="312"/>
    </row>
    <row r="77" spans="2:207" ht="15.75" x14ac:dyDescent="0.25">
      <c r="B77" s="316">
        <f t="shared" si="1"/>
        <v>47</v>
      </c>
      <c r="C77" s="330">
        <f>'סיכום לוועדה'!B77</f>
        <v>1001350788</v>
      </c>
      <c r="D77" s="330">
        <f>'סיכום לוועדה'!C77</f>
        <v>1001274174</v>
      </c>
      <c r="E77" s="330">
        <f>'סיכום לוועדה'!D77</f>
        <v>40000291</v>
      </c>
      <c r="F77" s="330">
        <f>'סיכום לוועדה'!E77</f>
        <v>20000014</v>
      </c>
      <c r="G77" s="330" t="str">
        <f>'סיכום לוועדה'!F77</f>
        <v>אשדוד</v>
      </c>
      <c r="H77" s="317" t="str">
        <f>'סיכום לוועדה'!G77</f>
        <v>החברה העירונית לתרבות ופנאי אשדוד</v>
      </c>
      <c r="I77" s="318">
        <f>'סיכום לוועדה'!U77</f>
        <v>250000</v>
      </c>
      <c r="J77" s="319">
        <f>'סיכום לוועדה'!T77</f>
        <v>109296.82285117682</v>
      </c>
      <c r="K77" s="320">
        <f t="shared" si="2"/>
        <v>0</v>
      </c>
      <c r="L77" s="319">
        <f t="shared" si="3"/>
        <v>109296.82285117682</v>
      </c>
      <c r="M77" s="331">
        <f>'תחום תמיכה ב'!AF77</f>
        <v>5.7933624365551933E-4</v>
      </c>
      <c r="N77" s="319">
        <f t="shared" si="0"/>
        <v>119165.5329995246</v>
      </c>
      <c r="O77" s="321">
        <f t="shared" si="4"/>
        <v>0</v>
      </c>
      <c r="P77" s="322">
        <f t="shared" si="5"/>
        <v>119165.5329995246</v>
      </c>
      <c r="Q77" s="322">
        <f t="shared" si="6"/>
        <v>119219.79221393923</v>
      </c>
      <c r="R77" s="321">
        <f t="shared" si="7"/>
        <v>0</v>
      </c>
      <c r="S77" s="322">
        <f t="shared" si="8"/>
        <v>119219.79221393923</v>
      </c>
      <c r="T77" s="322">
        <f t="shared" si="9"/>
        <v>119219.792213939</v>
      </c>
      <c r="U77" s="321">
        <f t="shared" si="10"/>
        <v>0</v>
      </c>
      <c r="V77" s="322">
        <f t="shared" si="11"/>
        <v>119219.792213939</v>
      </c>
      <c r="W77" s="322">
        <f t="shared" si="12"/>
        <v>119219.79221393906</v>
      </c>
      <c r="X77" s="321">
        <f t="shared" si="13"/>
        <v>0</v>
      </c>
      <c r="Y77" s="322">
        <f t="shared" si="14"/>
        <v>119219.79221393906</v>
      </c>
      <c r="Z77" s="322">
        <f t="shared" si="15"/>
        <v>119219.79221393903</v>
      </c>
      <c r="AA77" s="323">
        <f t="shared" si="16"/>
        <v>119219.79221393903</v>
      </c>
      <c r="AB77" s="323"/>
      <c r="AC77" s="323"/>
      <c r="AD77" s="323"/>
      <c r="AE77" s="323"/>
      <c r="AF77" s="324">
        <f t="shared" si="17"/>
        <v>6.8274594701458384E-4</v>
      </c>
      <c r="AG77" s="312"/>
      <c r="AH77" s="312"/>
      <c r="AI77" s="325">
        <f t="shared" si="18"/>
        <v>1</v>
      </c>
      <c r="AJ77" s="312"/>
      <c r="AK77" s="312"/>
      <c r="AL77" s="312"/>
      <c r="AM77" s="312"/>
      <c r="AN77" s="312"/>
      <c r="AO77" s="312"/>
      <c r="AP77" s="312"/>
      <c r="AQ77" s="312"/>
      <c r="AR77" s="312"/>
      <c r="AS77" s="312"/>
      <c r="AT77" s="312"/>
      <c r="AU77" s="312"/>
      <c r="AV77" s="312"/>
      <c r="AW77" s="312"/>
      <c r="AX77" s="312"/>
      <c r="AY77" s="312"/>
      <c r="AZ77" s="312"/>
      <c r="BA77" s="312"/>
      <c r="BB77" s="312"/>
      <c r="BC77" s="312"/>
      <c r="BD77" s="312"/>
      <c r="BE77" s="312"/>
      <c r="BF77" s="312"/>
      <c r="BG77" s="312"/>
      <c r="BH77" s="312"/>
      <c r="BI77" s="312"/>
      <c r="BJ77" s="312"/>
      <c r="BK77" s="312"/>
      <c r="BL77" s="312"/>
      <c r="BM77" s="312"/>
      <c r="BN77" s="312"/>
      <c r="BO77" s="312"/>
      <c r="BP77" s="312"/>
      <c r="BQ77" s="312"/>
      <c r="BR77" s="312"/>
      <c r="BS77" s="312"/>
      <c r="BT77" s="312"/>
      <c r="BU77" s="312"/>
      <c r="BV77" s="312"/>
      <c r="BW77" s="312"/>
      <c r="BX77" s="312"/>
      <c r="BY77" s="312"/>
      <c r="BZ77" s="312"/>
      <c r="CA77" s="312"/>
      <c r="CB77" s="312"/>
      <c r="CC77" s="312"/>
      <c r="CD77" s="312"/>
      <c r="CE77" s="312"/>
      <c r="CF77" s="312"/>
      <c r="CG77" s="312"/>
      <c r="CH77" s="312"/>
      <c r="CI77" s="312"/>
      <c r="CJ77" s="312"/>
      <c r="CK77" s="312"/>
      <c r="CL77" s="312"/>
      <c r="CM77" s="312"/>
      <c r="CN77" s="312"/>
      <c r="CO77" s="312"/>
      <c r="CP77" s="312"/>
      <c r="CQ77" s="312"/>
      <c r="CR77" s="312"/>
      <c r="CS77" s="312"/>
      <c r="CT77" s="312"/>
      <c r="CU77" s="312"/>
      <c r="CV77" s="312"/>
      <c r="CW77" s="312"/>
      <c r="CX77" s="312"/>
      <c r="CY77" s="312"/>
      <c r="CZ77" s="312"/>
      <c r="DA77" s="312"/>
      <c r="DB77" s="312"/>
      <c r="DC77" s="312"/>
      <c r="DD77" s="312"/>
      <c r="DE77" s="312"/>
      <c r="DF77" s="312"/>
      <c r="DG77" s="312"/>
      <c r="DH77" s="312"/>
      <c r="DI77" s="312"/>
      <c r="DJ77" s="312"/>
      <c r="DK77" s="312"/>
      <c r="DL77" s="312"/>
      <c r="DM77" s="312"/>
      <c r="DN77" s="312"/>
      <c r="DO77" s="312"/>
      <c r="DP77" s="312"/>
      <c r="DQ77" s="312"/>
      <c r="DR77" s="312"/>
      <c r="DS77" s="312"/>
      <c r="DT77" s="312"/>
      <c r="DU77" s="312"/>
      <c r="DV77" s="312"/>
      <c r="DW77" s="312"/>
      <c r="DX77" s="312"/>
      <c r="DY77" s="312"/>
      <c r="DZ77" s="312"/>
      <c r="EA77" s="312"/>
      <c r="EB77" s="312"/>
      <c r="EC77" s="312"/>
      <c r="ED77" s="312"/>
      <c r="EE77" s="312"/>
      <c r="EF77" s="312"/>
      <c r="EG77" s="312"/>
      <c r="EH77" s="312"/>
      <c r="EI77" s="312"/>
      <c r="EJ77" s="312"/>
      <c r="EK77" s="312"/>
      <c r="EL77" s="312"/>
      <c r="EM77" s="312"/>
      <c r="EN77" s="312"/>
      <c r="EO77" s="312"/>
      <c r="EP77" s="312"/>
      <c r="EQ77" s="312"/>
      <c r="ER77" s="312"/>
      <c r="ES77" s="312"/>
      <c r="ET77" s="312"/>
      <c r="EU77" s="312"/>
      <c r="EV77" s="312"/>
      <c r="EW77" s="312"/>
      <c r="EX77" s="312"/>
      <c r="EY77" s="312"/>
      <c r="EZ77" s="312"/>
      <c r="FA77" s="312"/>
      <c r="FB77" s="312"/>
      <c r="FC77" s="312"/>
      <c r="FD77" s="312"/>
      <c r="FE77" s="312"/>
      <c r="FF77" s="312"/>
      <c r="FG77" s="312"/>
      <c r="FH77" s="312"/>
      <c r="FI77" s="312"/>
      <c r="FJ77" s="312"/>
      <c r="FK77" s="312"/>
      <c r="FL77" s="312"/>
      <c r="FM77" s="312"/>
      <c r="FN77" s="312"/>
      <c r="FO77" s="312"/>
      <c r="FP77" s="312"/>
      <c r="FQ77" s="312"/>
      <c r="FR77" s="312"/>
      <c r="FS77" s="312"/>
      <c r="FT77" s="312"/>
      <c r="FU77" s="312"/>
      <c r="FV77" s="312"/>
      <c r="FW77" s="312"/>
      <c r="FX77" s="312"/>
      <c r="FY77" s="312"/>
      <c r="FZ77" s="312"/>
      <c r="GA77" s="312"/>
      <c r="GB77" s="312"/>
      <c r="GC77" s="312"/>
      <c r="GD77" s="312"/>
      <c r="GE77" s="312"/>
      <c r="GF77" s="312"/>
      <c r="GG77" s="312"/>
      <c r="GH77" s="312"/>
      <c r="GI77" s="312"/>
      <c r="GJ77" s="312"/>
      <c r="GK77" s="312"/>
      <c r="GL77" s="312"/>
      <c r="GM77" s="312"/>
      <c r="GN77" s="312"/>
      <c r="GO77" s="312"/>
      <c r="GP77" s="312"/>
      <c r="GQ77" s="312"/>
      <c r="GR77" s="312"/>
      <c r="GS77" s="312"/>
      <c r="GT77" s="312"/>
      <c r="GU77" s="312"/>
      <c r="GV77" s="312"/>
      <c r="GW77" s="312"/>
      <c r="GX77" s="312"/>
      <c r="GY77" s="312"/>
    </row>
    <row r="78" spans="2:207" ht="15.75" x14ac:dyDescent="0.25">
      <c r="B78" s="316">
        <f t="shared" si="1"/>
        <v>48</v>
      </c>
      <c r="C78" s="330">
        <f>'סיכום לוועדה'!B78</f>
        <v>1001346581</v>
      </c>
      <c r="D78" s="330">
        <f>'סיכום לוועדה'!C78</f>
        <v>1001263210</v>
      </c>
      <c r="E78" s="330">
        <f>'סיכום לוועדה'!D78</f>
        <v>40000298</v>
      </c>
      <c r="F78" s="330">
        <f>'סיכום לוועדה'!E78</f>
        <v>20000257</v>
      </c>
      <c r="G78" s="330" t="str">
        <f>'סיכום לוועדה'!F78</f>
        <v>זכרון יעקב</v>
      </c>
      <c r="H78" s="317" t="str">
        <f>'סיכום לוועדה'!G78</f>
        <v>בית אהרונסון, מוזיאון נילי</v>
      </c>
      <c r="I78" s="318">
        <f>'סיכום לוועדה'!U78</f>
        <v>130000</v>
      </c>
      <c r="J78" s="319">
        <f>'סיכום לוועדה'!T78</f>
        <v>59338.1324274238</v>
      </c>
      <c r="K78" s="320">
        <f t="shared" si="2"/>
        <v>0</v>
      </c>
      <c r="L78" s="319">
        <f t="shared" si="3"/>
        <v>59338.1324274238</v>
      </c>
      <c r="M78" s="331">
        <f>'תחום תמיכה ב'!AF78</f>
        <v>4.1331324244900364E-4</v>
      </c>
      <c r="N78" s="319">
        <f t="shared" si="0"/>
        <v>66378.721782693538</v>
      </c>
      <c r="O78" s="321">
        <f t="shared" si="4"/>
        <v>0</v>
      </c>
      <c r="P78" s="322">
        <f t="shared" si="5"/>
        <v>66378.721782693538</v>
      </c>
      <c r="Q78" s="322">
        <f t="shared" si="6"/>
        <v>66408.945767826808</v>
      </c>
      <c r="R78" s="321">
        <f t="shared" si="7"/>
        <v>0</v>
      </c>
      <c r="S78" s="322">
        <f t="shared" si="8"/>
        <v>66408.945767826808</v>
      </c>
      <c r="T78" s="322">
        <f t="shared" si="9"/>
        <v>66408.945767826677</v>
      </c>
      <c r="U78" s="321">
        <f t="shared" si="10"/>
        <v>0</v>
      </c>
      <c r="V78" s="322">
        <f t="shared" si="11"/>
        <v>66408.945767826677</v>
      </c>
      <c r="W78" s="322">
        <f t="shared" si="12"/>
        <v>66408.945767826692</v>
      </c>
      <c r="X78" s="321">
        <f t="shared" si="13"/>
        <v>0</v>
      </c>
      <c r="Y78" s="322">
        <f t="shared" si="14"/>
        <v>66408.945767826692</v>
      </c>
      <c r="Z78" s="322">
        <f t="shared" si="15"/>
        <v>66408.945767826677</v>
      </c>
      <c r="AA78" s="323">
        <f t="shared" si="16"/>
        <v>66408.945767826677</v>
      </c>
      <c r="AB78" s="323"/>
      <c r="AC78" s="323"/>
      <c r="AD78" s="323"/>
      <c r="AE78" s="323"/>
      <c r="AF78" s="324">
        <f t="shared" si="17"/>
        <v>3.8030965938215934E-4</v>
      </c>
      <c r="AG78" s="312"/>
      <c r="AH78" s="312"/>
      <c r="AI78" s="325">
        <f t="shared" si="18"/>
        <v>1</v>
      </c>
      <c r="AJ78" s="312"/>
      <c r="AK78" s="312"/>
      <c r="AL78" s="312"/>
      <c r="AM78" s="312"/>
      <c r="AN78" s="312"/>
      <c r="AO78" s="312"/>
      <c r="AP78" s="312"/>
      <c r="AQ78" s="312"/>
      <c r="AR78" s="312"/>
      <c r="AS78" s="312"/>
      <c r="AT78" s="312"/>
      <c r="AU78" s="312"/>
      <c r="AV78" s="312"/>
      <c r="AW78" s="312"/>
      <c r="AX78" s="312"/>
      <c r="AY78" s="312"/>
      <c r="AZ78" s="312"/>
      <c r="BA78" s="312"/>
      <c r="BB78" s="312"/>
      <c r="BC78" s="312"/>
      <c r="BD78" s="312"/>
      <c r="BE78" s="312"/>
      <c r="BF78" s="312"/>
      <c r="BG78" s="312"/>
      <c r="BH78" s="312"/>
      <c r="BI78" s="312"/>
      <c r="BJ78" s="312"/>
      <c r="BK78" s="312"/>
      <c r="BL78" s="312"/>
      <c r="BM78" s="312"/>
      <c r="BN78" s="312"/>
      <c r="BO78" s="312"/>
      <c r="BP78" s="312"/>
      <c r="BQ78" s="312"/>
      <c r="BR78" s="312"/>
      <c r="BS78" s="312"/>
      <c r="BT78" s="312"/>
      <c r="BU78" s="312"/>
      <c r="BV78" s="312"/>
      <c r="BW78" s="312"/>
      <c r="BX78" s="312"/>
      <c r="BY78" s="312"/>
      <c r="BZ78" s="312"/>
      <c r="CA78" s="312"/>
      <c r="CB78" s="312"/>
      <c r="CC78" s="312"/>
      <c r="CD78" s="312"/>
      <c r="CE78" s="312"/>
      <c r="CF78" s="312"/>
      <c r="CG78" s="312"/>
      <c r="CH78" s="312"/>
      <c r="CI78" s="312"/>
      <c r="CJ78" s="312"/>
      <c r="CK78" s="312"/>
      <c r="CL78" s="312"/>
      <c r="CM78" s="312"/>
      <c r="CN78" s="312"/>
      <c r="CO78" s="312"/>
      <c r="CP78" s="312"/>
      <c r="CQ78" s="312"/>
      <c r="CR78" s="312"/>
      <c r="CS78" s="312"/>
      <c r="CT78" s="312"/>
      <c r="CU78" s="312"/>
      <c r="CV78" s="312"/>
      <c r="CW78" s="312"/>
      <c r="CX78" s="312"/>
      <c r="CY78" s="312"/>
      <c r="CZ78" s="312"/>
      <c r="DA78" s="312"/>
      <c r="DB78" s="312"/>
      <c r="DC78" s="312"/>
      <c r="DD78" s="312"/>
      <c r="DE78" s="312"/>
      <c r="DF78" s="312"/>
      <c r="DG78" s="312"/>
      <c r="DH78" s="312"/>
      <c r="DI78" s="312"/>
      <c r="DJ78" s="312"/>
      <c r="DK78" s="312"/>
      <c r="DL78" s="312"/>
      <c r="DM78" s="312"/>
      <c r="DN78" s="312"/>
      <c r="DO78" s="312"/>
      <c r="DP78" s="312"/>
      <c r="DQ78" s="312"/>
      <c r="DR78" s="312"/>
      <c r="DS78" s="312"/>
      <c r="DT78" s="312"/>
      <c r="DU78" s="312"/>
      <c r="DV78" s="312"/>
      <c r="DW78" s="312"/>
      <c r="DX78" s="312"/>
      <c r="DY78" s="312"/>
      <c r="DZ78" s="312"/>
      <c r="EA78" s="312"/>
      <c r="EB78" s="312"/>
      <c r="EC78" s="312"/>
      <c r="ED78" s="312"/>
      <c r="EE78" s="312"/>
      <c r="EF78" s="312"/>
      <c r="EG78" s="312"/>
      <c r="EH78" s="312"/>
      <c r="EI78" s="312"/>
      <c r="EJ78" s="312"/>
      <c r="EK78" s="312"/>
      <c r="EL78" s="312"/>
      <c r="EM78" s="312"/>
      <c r="EN78" s="312"/>
      <c r="EO78" s="312"/>
      <c r="EP78" s="312"/>
      <c r="EQ78" s="312"/>
      <c r="ER78" s="312"/>
      <c r="ES78" s="312"/>
      <c r="ET78" s="312"/>
      <c r="EU78" s="312"/>
      <c r="EV78" s="312"/>
      <c r="EW78" s="312"/>
      <c r="EX78" s="312"/>
      <c r="EY78" s="312"/>
      <c r="EZ78" s="312"/>
      <c r="FA78" s="312"/>
      <c r="FB78" s="312"/>
      <c r="FC78" s="312"/>
      <c r="FD78" s="312"/>
      <c r="FE78" s="312"/>
      <c r="FF78" s="312"/>
      <c r="FG78" s="312"/>
      <c r="FH78" s="312"/>
      <c r="FI78" s="312"/>
      <c r="FJ78" s="312"/>
      <c r="FK78" s="312"/>
      <c r="FL78" s="312"/>
      <c r="FM78" s="312"/>
      <c r="FN78" s="312"/>
      <c r="FO78" s="312"/>
      <c r="FP78" s="312"/>
      <c r="FQ78" s="312"/>
      <c r="FR78" s="312"/>
      <c r="FS78" s="312"/>
      <c r="FT78" s="312"/>
      <c r="FU78" s="312"/>
      <c r="FV78" s="312"/>
      <c r="FW78" s="312"/>
      <c r="FX78" s="312"/>
      <c r="FY78" s="312"/>
      <c r="FZ78" s="312"/>
      <c r="GA78" s="312"/>
      <c r="GB78" s="312"/>
      <c r="GC78" s="312"/>
      <c r="GD78" s="312"/>
      <c r="GE78" s="312"/>
      <c r="GF78" s="312"/>
      <c r="GG78" s="312"/>
      <c r="GH78" s="312"/>
      <c r="GI78" s="312"/>
      <c r="GJ78" s="312"/>
      <c r="GK78" s="312"/>
      <c r="GL78" s="312"/>
      <c r="GM78" s="312"/>
      <c r="GN78" s="312"/>
      <c r="GO78" s="312"/>
      <c r="GP78" s="312"/>
      <c r="GQ78" s="312"/>
      <c r="GR78" s="312"/>
      <c r="GS78" s="312"/>
      <c r="GT78" s="312"/>
      <c r="GU78" s="312"/>
      <c r="GV78" s="312"/>
      <c r="GW78" s="312"/>
      <c r="GX78" s="312"/>
      <c r="GY78" s="312"/>
    </row>
    <row r="79" spans="2:207" ht="15.75" x14ac:dyDescent="0.25">
      <c r="B79" s="316">
        <f t="shared" si="1"/>
        <v>49</v>
      </c>
      <c r="C79" s="330">
        <f>'סיכום לוועדה'!B79</f>
        <v>1001349393</v>
      </c>
      <c r="D79" s="330">
        <f>'סיכום לוועדה'!C79</f>
        <v>1001272661</v>
      </c>
      <c r="E79" s="330">
        <f>'סיכום לוועדה'!D79</f>
        <v>40000323</v>
      </c>
      <c r="F79" s="330">
        <f>'סיכום לוועדה'!E79</f>
        <v>20000127</v>
      </c>
      <c r="G79" s="330" t="str">
        <f>'סיכום לוועדה'!F79</f>
        <v>הגליל העליון</v>
      </c>
      <c r="H79" s="317" t="str">
        <f>'סיכום לוועדה'!G79</f>
        <v>מכון בר דוד לאמנות</v>
      </c>
      <c r="I79" s="318">
        <f>'סיכום לוועדה'!U79</f>
        <v>27500</v>
      </c>
      <c r="J79" s="319">
        <f>'סיכום לוועדה'!T79</f>
        <v>42299.354455117733</v>
      </c>
      <c r="K79" s="320">
        <f t="shared" si="2"/>
        <v>1</v>
      </c>
      <c r="L79" s="319">
        <f t="shared" si="3"/>
        <v>27500</v>
      </c>
      <c r="M79" s="331">
        <f>'תחום תמיכה ב'!AF79</f>
        <v>2.0972815577290167E-4</v>
      </c>
      <c r="N79" s="319">
        <f t="shared" si="0"/>
        <v>27500</v>
      </c>
      <c r="O79" s="321">
        <f t="shared" si="4"/>
        <v>1</v>
      </c>
      <c r="P79" s="322">
        <f t="shared" si="5"/>
        <v>27500</v>
      </c>
      <c r="Q79" s="322">
        <f t="shared" si="6"/>
        <v>27500</v>
      </c>
      <c r="R79" s="321">
        <f t="shared" si="7"/>
        <v>1</v>
      </c>
      <c r="S79" s="322">
        <f t="shared" si="8"/>
        <v>27500</v>
      </c>
      <c r="T79" s="322">
        <f t="shared" si="9"/>
        <v>27500</v>
      </c>
      <c r="U79" s="321">
        <f t="shared" si="10"/>
        <v>1</v>
      </c>
      <c r="V79" s="322">
        <f t="shared" si="11"/>
        <v>27500</v>
      </c>
      <c r="W79" s="322">
        <f t="shared" si="12"/>
        <v>27500</v>
      </c>
      <c r="X79" s="321">
        <f t="shared" si="13"/>
        <v>1</v>
      </c>
      <c r="Y79" s="322">
        <f t="shared" si="14"/>
        <v>27500</v>
      </c>
      <c r="Z79" s="322">
        <f t="shared" si="15"/>
        <v>27500</v>
      </c>
      <c r="AA79" s="323">
        <f t="shared" si="16"/>
        <v>27500</v>
      </c>
      <c r="AB79" s="323"/>
      <c r="AC79" s="323"/>
      <c r="AD79" s="323"/>
      <c r="AE79" s="323"/>
      <c r="AF79" s="324">
        <f t="shared" si="17"/>
        <v>1.5748654811617636E-4</v>
      </c>
      <c r="AG79" s="312"/>
      <c r="AH79" s="312"/>
      <c r="AI79" s="325">
        <f t="shared" si="18"/>
        <v>1</v>
      </c>
      <c r="AJ79" s="312"/>
      <c r="AK79" s="312"/>
      <c r="AL79" s="312"/>
      <c r="AM79" s="312"/>
      <c r="AN79" s="312"/>
      <c r="AO79" s="312"/>
      <c r="AP79" s="312"/>
      <c r="AQ79" s="312"/>
      <c r="AR79" s="312"/>
      <c r="AS79" s="312"/>
      <c r="AT79" s="312"/>
      <c r="AU79" s="312"/>
      <c r="AV79" s="312"/>
      <c r="AW79" s="312"/>
      <c r="AX79" s="312"/>
      <c r="AY79" s="312"/>
      <c r="AZ79" s="312"/>
      <c r="BA79" s="312"/>
      <c r="BB79" s="312"/>
      <c r="BC79" s="312"/>
      <c r="BD79" s="312"/>
      <c r="BE79" s="312"/>
      <c r="BF79" s="312"/>
      <c r="BG79" s="312"/>
      <c r="BH79" s="312"/>
      <c r="BI79" s="312"/>
      <c r="BJ79" s="312"/>
      <c r="BK79" s="312"/>
      <c r="BL79" s="312"/>
      <c r="BM79" s="312"/>
      <c r="BN79" s="312"/>
      <c r="BO79" s="312"/>
      <c r="BP79" s="312"/>
      <c r="BQ79" s="312"/>
      <c r="BR79" s="312"/>
      <c r="BS79" s="312"/>
      <c r="BT79" s="312"/>
      <c r="BU79" s="312"/>
      <c r="BV79" s="312"/>
      <c r="BW79" s="312"/>
      <c r="BX79" s="312"/>
      <c r="BY79" s="312"/>
      <c r="BZ79" s="312"/>
      <c r="CA79" s="312"/>
      <c r="CB79" s="312"/>
      <c r="CC79" s="312"/>
      <c r="CD79" s="312"/>
      <c r="CE79" s="312"/>
      <c r="CF79" s="312"/>
      <c r="CG79" s="312"/>
      <c r="CH79" s="312"/>
      <c r="CI79" s="312"/>
      <c r="CJ79" s="312"/>
      <c r="CK79" s="312"/>
      <c r="CL79" s="312"/>
      <c r="CM79" s="312"/>
      <c r="CN79" s="312"/>
      <c r="CO79" s="312"/>
      <c r="CP79" s="312"/>
      <c r="CQ79" s="312"/>
      <c r="CR79" s="312"/>
      <c r="CS79" s="312"/>
      <c r="CT79" s="312"/>
      <c r="CU79" s="312"/>
      <c r="CV79" s="312"/>
      <c r="CW79" s="312"/>
      <c r="CX79" s="312"/>
      <c r="CY79" s="312"/>
      <c r="CZ79" s="312"/>
      <c r="DA79" s="312"/>
      <c r="DB79" s="312"/>
      <c r="DC79" s="312"/>
      <c r="DD79" s="312"/>
      <c r="DE79" s="312"/>
      <c r="DF79" s="312"/>
      <c r="DG79" s="312"/>
      <c r="DH79" s="312"/>
      <c r="DI79" s="312"/>
      <c r="DJ79" s="312"/>
      <c r="DK79" s="312"/>
      <c r="DL79" s="312"/>
      <c r="DM79" s="312"/>
      <c r="DN79" s="312"/>
      <c r="DO79" s="312"/>
      <c r="DP79" s="312"/>
      <c r="DQ79" s="312"/>
      <c r="DR79" s="312"/>
      <c r="DS79" s="312"/>
      <c r="DT79" s="312"/>
      <c r="DU79" s="312"/>
      <c r="DV79" s="312"/>
      <c r="DW79" s="312"/>
      <c r="DX79" s="312"/>
      <c r="DY79" s="312"/>
      <c r="DZ79" s="312"/>
      <c r="EA79" s="312"/>
      <c r="EB79" s="312"/>
      <c r="EC79" s="312"/>
      <c r="ED79" s="312"/>
      <c r="EE79" s="312"/>
      <c r="EF79" s="312"/>
      <c r="EG79" s="312"/>
      <c r="EH79" s="312"/>
      <c r="EI79" s="312"/>
      <c r="EJ79" s="312"/>
      <c r="EK79" s="312"/>
      <c r="EL79" s="312"/>
      <c r="EM79" s="312"/>
      <c r="EN79" s="312"/>
      <c r="EO79" s="312"/>
      <c r="EP79" s="312"/>
      <c r="EQ79" s="312"/>
      <c r="ER79" s="312"/>
      <c r="ES79" s="312"/>
      <c r="ET79" s="312"/>
      <c r="EU79" s="312"/>
      <c r="EV79" s="312"/>
      <c r="EW79" s="312"/>
      <c r="EX79" s="312"/>
      <c r="EY79" s="312"/>
      <c r="EZ79" s="312"/>
      <c r="FA79" s="312"/>
      <c r="FB79" s="312"/>
      <c r="FC79" s="312"/>
      <c r="FD79" s="312"/>
      <c r="FE79" s="312"/>
      <c r="FF79" s="312"/>
      <c r="FG79" s="312"/>
      <c r="FH79" s="312"/>
      <c r="FI79" s="312"/>
      <c r="FJ79" s="312"/>
      <c r="FK79" s="312"/>
      <c r="FL79" s="312"/>
      <c r="FM79" s="312"/>
      <c r="FN79" s="312"/>
      <c r="FO79" s="312"/>
      <c r="FP79" s="312"/>
      <c r="FQ79" s="312"/>
      <c r="FR79" s="312"/>
      <c r="FS79" s="312"/>
      <c r="FT79" s="312"/>
      <c r="FU79" s="312"/>
      <c r="FV79" s="312"/>
      <c r="FW79" s="312"/>
      <c r="FX79" s="312"/>
      <c r="FY79" s="312"/>
      <c r="FZ79" s="312"/>
      <c r="GA79" s="312"/>
      <c r="GB79" s="312"/>
      <c r="GC79" s="312"/>
      <c r="GD79" s="312"/>
      <c r="GE79" s="312"/>
      <c r="GF79" s="312"/>
      <c r="GG79" s="312"/>
      <c r="GH79" s="312"/>
      <c r="GI79" s="312"/>
      <c r="GJ79" s="312"/>
      <c r="GK79" s="312"/>
      <c r="GL79" s="312"/>
      <c r="GM79" s="312"/>
      <c r="GN79" s="312"/>
      <c r="GO79" s="312"/>
      <c r="GP79" s="312"/>
      <c r="GQ79" s="312"/>
      <c r="GR79" s="312"/>
      <c r="GS79" s="312"/>
      <c r="GT79" s="312"/>
      <c r="GU79" s="312"/>
      <c r="GV79" s="312"/>
      <c r="GW79" s="312"/>
      <c r="GX79" s="312"/>
      <c r="GY79" s="312"/>
    </row>
    <row r="80" spans="2:207" ht="15.75" x14ac:dyDescent="0.25">
      <c r="B80" s="316">
        <f t="shared" si="1"/>
        <v>50</v>
      </c>
      <c r="C80" s="330">
        <f>'סיכום לוועדה'!B80</f>
        <v>1001348701</v>
      </c>
      <c r="D80" s="330">
        <f>'סיכום לוועדה'!C80</f>
        <v>1001266423</v>
      </c>
      <c r="E80" s="330">
        <f>'סיכום לוועדה'!D80</f>
        <v>40000341</v>
      </c>
      <c r="F80" s="330">
        <f>'סיכום לוועדה'!E80</f>
        <v>20000182</v>
      </c>
      <c r="G80" s="330" t="str">
        <f>'סיכום לוועדה'!F80</f>
        <v>חיפה</v>
      </c>
      <c r="H80" s="317" t="str">
        <f>'סיכום לוועדה'!G80</f>
        <v>מדעטק- המוזיאון הלאומי למדע</v>
      </c>
      <c r="I80" s="318">
        <f>'סיכום לוועדה'!U80</f>
        <v>3000000</v>
      </c>
      <c r="J80" s="319">
        <f>'סיכום לוועדה'!T80</f>
        <v>4510616.9727731179</v>
      </c>
      <c r="K80" s="320">
        <f t="shared" si="2"/>
        <v>1</v>
      </c>
      <c r="L80" s="319">
        <f t="shared" si="3"/>
        <v>3000000</v>
      </c>
      <c r="M80" s="331">
        <f>'תחום תמיכה ב'!AF80</f>
        <v>2.7047724866046206E-2</v>
      </c>
      <c r="N80" s="319">
        <f t="shared" si="0"/>
        <v>3000000</v>
      </c>
      <c r="O80" s="321">
        <f t="shared" si="4"/>
        <v>1</v>
      </c>
      <c r="P80" s="322">
        <f t="shared" si="5"/>
        <v>3000000</v>
      </c>
      <c r="Q80" s="322">
        <f t="shared" si="6"/>
        <v>3000000</v>
      </c>
      <c r="R80" s="321">
        <f t="shared" si="7"/>
        <v>1</v>
      </c>
      <c r="S80" s="322">
        <f t="shared" si="8"/>
        <v>3000000</v>
      </c>
      <c r="T80" s="322">
        <f t="shared" si="9"/>
        <v>3000000</v>
      </c>
      <c r="U80" s="321">
        <f t="shared" si="10"/>
        <v>1</v>
      </c>
      <c r="V80" s="322">
        <f t="shared" si="11"/>
        <v>3000000</v>
      </c>
      <c r="W80" s="322">
        <f t="shared" si="12"/>
        <v>3000000</v>
      </c>
      <c r="X80" s="321">
        <f t="shared" si="13"/>
        <v>1</v>
      </c>
      <c r="Y80" s="322">
        <f t="shared" si="14"/>
        <v>3000000</v>
      </c>
      <c r="Z80" s="322">
        <f t="shared" si="15"/>
        <v>3000000</v>
      </c>
      <c r="AA80" s="323">
        <f t="shared" si="16"/>
        <v>3000000</v>
      </c>
      <c r="AB80" s="323"/>
      <c r="AC80" s="323"/>
      <c r="AD80" s="323"/>
      <c r="AE80" s="323"/>
      <c r="AF80" s="324">
        <f t="shared" si="17"/>
        <v>1.7180350703582876E-2</v>
      </c>
      <c r="AG80" s="312"/>
      <c r="AH80" s="312"/>
      <c r="AI80" s="325">
        <f t="shared" si="18"/>
        <v>1</v>
      </c>
      <c r="AJ80" s="312"/>
      <c r="AK80" s="312"/>
      <c r="AL80" s="312"/>
      <c r="AM80" s="312"/>
      <c r="AN80" s="312"/>
      <c r="AO80" s="312"/>
      <c r="AP80" s="312"/>
      <c r="AQ80" s="312"/>
      <c r="AR80" s="312"/>
      <c r="AS80" s="312"/>
      <c r="AT80" s="312"/>
      <c r="AU80" s="312"/>
      <c r="AV80" s="312"/>
      <c r="AW80" s="312"/>
      <c r="AX80" s="312"/>
      <c r="AY80" s="312"/>
      <c r="AZ80" s="312"/>
      <c r="BA80" s="312"/>
      <c r="BB80" s="312"/>
      <c r="BC80" s="312"/>
      <c r="BD80" s="312"/>
      <c r="BE80" s="312"/>
      <c r="BF80" s="312"/>
      <c r="BG80" s="312"/>
      <c r="BH80" s="312"/>
      <c r="BI80" s="312"/>
      <c r="BJ80" s="312"/>
      <c r="BK80" s="312"/>
      <c r="BL80" s="312"/>
      <c r="BM80" s="312"/>
      <c r="BN80" s="312"/>
      <c r="BO80" s="312"/>
      <c r="BP80" s="312"/>
      <c r="BQ80" s="312"/>
      <c r="BR80" s="312"/>
      <c r="BS80" s="312"/>
      <c r="BT80" s="312"/>
      <c r="BU80" s="312"/>
      <c r="BV80" s="312"/>
      <c r="BW80" s="312"/>
      <c r="BX80" s="312"/>
      <c r="BY80" s="312"/>
      <c r="BZ80" s="312"/>
      <c r="CA80" s="312"/>
      <c r="CB80" s="312"/>
      <c r="CC80" s="312"/>
      <c r="CD80" s="312"/>
      <c r="CE80" s="312"/>
      <c r="CF80" s="312"/>
      <c r="CG80" s="312"/>
      <c r="CH80" s="312"/>
      <c r="CI80" s="312"/>
      <c r="CJ80" s="312"/>
      <c r="CK80" s="312"/>
      <c r="CL80" s="312"/>
      <c r="CM80" s="312"/>
      <c r="CN80" s="312"/>
      <c r="CO80" s="312"/>
      <c r="CP80" s="312"/>
      <c r="CQ80" s="312"/>
      <c r="CR80" s="312"/>
      <c r="CS80" s="312"/>
      <c r="CT80" s="312"/>
      <c r="CU80" s="312"/>
      <c r="CV80" s="312"/>
      <c r="CW80" s="312"/>
      <c r="CX80" s="312"/>
      <c r="CY80" s="312"/>
      <c r="CZ80" s="312"/>
      <c r="DA80" s="312"/>
      <c r="DB80" s="312"/>
      <c r="DC80" s="312"/>
      <c r="DD80" s="312"/>
      <c r="DE80" s="312"/>
      <c r="DF80" s="312"/>
      <c r="DG80" s="312"/>
      <c r="DH80" s="312"/>
      <c r="DI80" s="312"/>
      <c r="DJ80" s="312"/>
      <c r="DK80" s="312"/>
      <c r="DL80" s="312"/>
      <c r="DM80" s="312"/>
      <c r="DN80" s="312"/>
      <c r="DO80" s="312"/>
      <c r="DP80" s="312"/>
      <c r="DQ80" s="312"/>
      <c r="DR80" s="312"/>
      <c r="DS80" s="312"/>
      <c r="DT80" s="312"/>
      <c r="DU80" s="312"/>
      <c r="DV80" s="312"/>
      <c r="DW80" s="312"/>
      <c r="DX80" s="312"/>
      <c r="DY80" s="312"/>
      <c r="DZ80" s="312"/>
      <c r="EA80" s="312"/>
      <c r="EB80" s="312"/>
      <c r="EC80" s="312"/>
      <c r="ED80" s="312"/>
      <c r="EE80" s="312"/>
      <c r="EF80" s="312"/>
      <c r="EG80" s="312"/>
      <c r="EH80" s="312"/>
      <c r="EI80" s="312"/>
      <c r="EJ80" s="312"/>
      <c r="EK80" s="312"/>
      <c r="EL80" s="312"/>
      <c r="EM80" s="312"/>
      <c r="EN80" s="312"/>
      <c r="EO80" s="312"/>
      <c r="EP80" s="312"/>
      <c r="EQ80" s="312"/>
      <c r="ER80" s="312"/>
      <c r="ES80" s="312"/>
      <c r="ET80" s="312"/>
      <c r="EU80" s="312"/>
      <c r="EV80" s="312"/>
      <c r="EW80" s="312"/>
      <c r="EX80" s="312"/>
      <c r="EY80" s="312"/>
      <c r="EZ80" s="312"/>
      <c r="FA80" s="312"/>
      <c r="FB80" s="312"/>
      <c r="FC80" s="312"/>
      <c r="FD80" s="312"/>
      <c r="FE80" s="312"/>
      <c r="FF80" s="312"/>
      <c r="FG80" s="312"/>
      <c r="FH80" s="312"/>
      <c r="FI80" s="312"/>
      <c r="FJ80" s="312"/>
      <c r="FK80" s="312"/>
      <c r="FL80" s="312"/>
      <c r="FM80" s="312"/>
      <c r="FN80" s="312"/>
      <c r="FO80" s="312"/>
      <c r="FP80" s="312"/>
      <c r="FQ80" s="312"/>
      <c r="FR80" s="312"/>
      <c r="FS80" s="312"/>
      <c r="FT80" s="312"/>
      <c r="FU80" s="312"/>
      <c r="FV80" s="312"/>
      <c r="FW80" s="312"/>
      <c r="FX80" s="312"/>
      <c r="FY80" s="312"/>
      <c r="FZ80" s="312"/>
      <c r="GA80" s="312"/>
      <c r="GB80" s="312"/>
      <c r="GC80" s="312"/>
      <c r="GD80" s="312"/>
      <c r="GE80" s="312"/>
      <c r="GF80" s="312"/>
      <c r="GG80" s="312"/>
      <c r="GH80" s="312"/>
      <c r="GI80" s="312"/>
      <c r="GJ80" s="312"/>
      <c r="GK80" s="312"/>
      <c r="GL80" s="312"/>
      <c r="GM80" s="312"/>
      <c r="GN80" s="312"/>
      <c r="GO80" s="312"/>
      <c r="GP80" s="312"/>
      <c r="GQ80" s="312"/>
      <c r="GR80" s="312"/>
      <c r="GS80" s="312"/>
      <c r="GT80" s="312"/>
      <c r="GU80" s="312"/>
      <c r="GV80" s="312"/>
      <c r="GW80" s="312"/>
      <c r="GX80" s="312"/>
      <c r="GY80" s="312"/>
    </row>
    <row r="81" spans="2:207" ht="15.75" x14ac:dyDescent="0.25">
      <c r="B81" s="316">
        <f t="shared" si="1"/>
        <v>51</v>
      </c>
      <c r="C81" s="330">
        <f>'סיכום לוועדה'!B81</f>
        <v>1001346261</v>
      </c>
      <c r="D81" s="330">
        <f>'סיכום לוועדה'!C81</f>
        <v>1001274606</v>
      </c>
      <c r="E81" s="330">
        <f>'סיכום לוועדה'!D81</f>
        <v>40000183</v>
      </c>
      <c r="F81" s="330">
        <f>'סיכום לוועדה'!E81</f>
        <v>20000159</v>
      </c>
      <c r="G81" s="330" t="str">
        <f>'סיכום לוועדה'!F81</f>
        <v>ירושלים</v>
      </c>
      <c r="H81" s="317" t="str">
        <f>'סיכום לוועדה'!G81</f>
        <v>מוזיאון המדע ע"ש בלומפילד ירושלים</v>
      </c>
      <c r="I81" s="318">
        <f>'סיכום לוועדה'!U81</f>
        <v>5000000</v>
      </c>
      <c r="J81" s="319">
        <f>'סיכום לוועדה'!T81</f>
        <v>2323310.6631085752</v>
      </c>
      <c r="K81" s="320">
        <f t="shared" si="2"/>
        <v>0</v>
      </c>
      <c r="L81" s="319">
        <f t="shared" si="3"/>
        <v>2323310.6631085752</v>
      </c>
      <c r="M81" s="331">
        <f>'תחום תמיכה ב'!AF81</f>
        <v>1.4102731692091634E-2</v>
      </c>
      <c r="N81" s="319">
        <f t="shared" si="0"/>
        <v>2563543.8142247451</v>
      </c>
      <c r="O81" s="321">
        <f t="shared" si="4"/>
        <v>0</v>
      </c>
      <c r="P81" s="322">
        <f t="shared" si="5"/>
        <v>2563543.8142247451</v>
      </c>
      <c r="Q81" s="322">
        <f t="shared" si="6"/>
        <v>2564711.0634282366</v>
      </c>
      <c r="R81" s="321">
        <f t="shared" si="7"/>
        <v>0</v>
      </c>
      <c r="S81" s="322">
        <f t="shared" si="8"/>
        <v>2564711.0634282366</v>
      </c>
      <c r="T81" s="322">
        <f t="shared" si="9"/>
        <v>2564711.0634282315</v>
      </c>
      <c r="U81" s="321">
        <f t="shared" si="10"/>
        <v>0</v>
      </c>
      <c r="V81" s="322">
        <f t="shared" si="11"/>
        <v>2564711.0634282315</v>
      </c>
      <c r="W81" s="322">
        <f t="shared" si="12"/>
        <v>2564711.0634282324</v>
      </c>
      <c r="X81" s="321">
        <f t="shared" si="13"/>
        <v>0</v>
      </c>
      <c r="Y81" s="322">
        <f t="shared" si="14"/>
        <v>2564711.0634282324</v>
      </c>
      <c r="Z81" s="322">
        <f t="shared" si="15"/>
        <v>2564711.063428232</v>
      </c>
      <c r="AA81" s="323">
        <f t="shared" si="16"/>
        <v>2564711.063428232</v>
      </c>
      <c r="AB81" s="323"/>
      <c r="AC81" s="323"/>
      <c r="AD81" s="323"/>
      <c r="AE81" s="323"/>
      <c r="AF81" s="324">
        <f t="shared" si="17"/>
        <v>1.4687545174352003E-2</v>
      </c>
      <c r="AG81" s="312"/>
      <c r="AH81" s="312"/>
      <c r="AI81" s="325">
        <f t="shared" si="18"/>
        <v>1</v>
      </c>
      <c r="AJ81" s="312"/>
      <c r="AK81" s="312"/>
      <c r="AL81" s="312"/>
      <c r="AM81" s="312"/>
      <c r="AN81" s="312"/>
      <c r="AO81" s="312"/>
      <c r="AP81" s="312"/>
      <c r="AQ81" s="312"/>
      <c r="AR81" s="312"/>
      <c r="AS81" s="312"/>
      <c r="AT81" s="312"/>
      <c r="AU81" s="312"/>
      <c r="AV81" s="312"/>
      <c r="AW81" s="312"/>
      <c r="AX81" s="312"/>
      <c r="AY81" s="312"/>
      <c r="AZ81" s="312"/>
      <c r="BA81" s="312"/>
      <c r="BB81" s="312"/>
      <c r="BC81" s="312"/>
      <c r="BD81" s="312"/>
      <c r="BE81" s="312"/>
      <c r="BF81" s="312"/>
      <c r="BG81" s="312"/>
      <c r="BH81" s="312"/>
      <c r="BI81" s="312"/>
      <c r="BJ81" s="312"/>
      <c r="BK81" s="312"/>
      <c r="BL81" s="312"/>
      <c r="BM81" s="312"/>
      <c r="BN81" s="312"/>
      <c r="BO81" s="312"/>
      <c r="BP81" s="312"/>
      <c r="BQ81" s="312"/>
      <c r="BR81" s="312"/>
      <c r="BS81" s="312"/>
      <c r="BT81" s="312"/>
      <c r="BU81" s="312"/>
      <c r="BV81" s="312"/>
      <c r="BW81" s="312"/>
      <c r="BX81" s="312"/>
      <c r="BY81" s="312"/>
      <c r="BZ81" s="312"/>
      <c r="CA81" s="312"/>
      <c r="CB81" s="312"/>
      <c r="CC81" s="312"/>
      <c r="CD81" s="312"/>
      <c r="CE81" s="312"/>
      <c r="CF81" s="312"/>
      <c r="CG81" s="312"/>
      <c r="CH81" s="312"/>
      <c r="CI81" s="312"/>
      <c r="CJ81" s="312"/>
      <c r="CK81" s="312"/>
      <c r="CL81" s="312"/>
      <c r="CM81" s="312"/>
      <c r="CN81" s="312"/>
      <c r="CO81" s="312"/>
      <c r="CP81" s="312"/>
      <c r="CQ81" s="312"/>
      <c r="CR81" s="312"/>
      <c r="CS81" s="312"/>
      <c r="CT81" s="312"/>
      <c r="CU81" s="312"/>
      <c r="CV81" s="312"/>
      <c r="CW81" s="312"/>
      <c r="CX81" s="312"/>
      <c r="CY81" s="312"/>
      <c r="CZ81" s="312"/>
      <c r="DA81" s="312"/>
      <c r="DB81" s="312"/>
      <c r="DC81" s="312"/>
      <c r="DD81" s="312"/>
      <c r="DE81" s="312"/>
      <c r="DF81" s="312"/>
      <c r="DG81" s="312"/>
      <c r="DH81" s="312"/>
      <c r="DI81" s="312"/>
      <c r="DJ81" s="312"/>
      <c r="DK81" s="312"/>
      <c r="DL81" s="312"/>
      <c r="DM81" s="312"/>
      <c r="DN81" s="312"/>
      <c r="DO81" s="312"/>
      <c r="DP81" s="312"/>
      <c r="DQ81" s="312"/>
      <c r="DR81" s="312"/>
      <c r="DS81" s="312"/>
      <c r="DT81" s="312"/>
      <c r="DU81" s="312"/>
      <c r="DV81" s="312"/>
      <c r="DW81" s="312"/>
      <c r="DX81" s="312"/>
      <c r="DY81" s="312"/>
      <c r="DZ81" s="312"/>
      <c r="EA81" s="312"/>
      <c r="EB81" s="312"/>
      <c r="EC81" s="312"/>
      <c r="ED81" s="312"/>
      <c r="EE81" s="312"/>
      <c r="EF81" s="312"/>
      <c r="EG81" s="312"/>
      <c r="EH81" s="312"/>
      <c r="EI81" s="312"/>
      <c r="EJ81" s="312"/>
      <c r="EK81" s="312"/>
      <c r="EL81" s="312"/>
      <c r="EM81" s="312"/>
      <c r="EN81" s="312"/>
      <c r="EO81" s="312"/>
      <c r="EP81" s="312"/>
      <c r="EQ81" s="312"/>
      <c r="ER81" s="312"/>
      <c r="ES81" s="312"/>
      <c r="ET81" s="312"/>
      <c r="EU81" s="312"/>
      <c r="EV81" s="312"/>
      <c r="EW81" s="312"/>
      <c r="EX81" s="312"/>
      <c r="EY81" s="312"/>
      <c r="EZ81" s="312"/>
      <c r="FA81" s="312"/>
      <c r="FB81" s="312"/>
      <c r="FC81" s="312"/>
      <c r="FD81" s="312"/>
      <c r="FE81" s="312"/>
      <c r="FF81" s="312"/>
      <c r="FG81" s="312"/>
      <c r="FH81" s="312"/>
      <c r="FI81" s="312"/>
      <c r="FJ81" s="312"/>
      <c r="FK81" s="312"/>
      <c r="FL81" s="312"/>
      <c r="FM81" s="312"/>
      <c r="FN81" s="312"/>
      <c r="FO81" s="312"/>
      <c r="FP81" s="312"/>
      <c r="FQ81" s="312"/>
      <c r="FR81" s="312"/>
      <c r="FS81" s="312"/>
      <c r="FT81" s="312"/>
      <c r="FU81" s="312"/>
      <c r="FV81" s="312"/>
      <c r="FW81" s="312"/>
      <c r="FX81" s="312"/>
      <c r="FY81" s="312"/>
      <c r="FZ81" s="312"/>
      <c r="GA81" s="312"/>
      <c r="GB81" s="312"/>
      <c r="GC81" s="312"/>
      <c r="GD81" s="312"/>
      <c r="GE81" s="312"/>
      <c r="GF81" s="312"/>
      <c r="GG81" s="312"/>
      <c r="GH81" s="312"/>
      <c r="GI81" s="312"/>
      <c r="GJ81" s="312"/>
      <c r="GK81" s="312"/>
      <c r="GL81" s="312"/>
      <c r="GM81" s="312"/>
      <c r="GN81" s="312"/>
      <c r="GO81" s="312"/>
      <c r="GP81" s="312"/>
      <c r="GQ81" s="312"/>
      <c r="GR81" s="312"/>
      <c r="GS81" s="312"/>
      <c r="GT81" s="312"/>
      <c r="GU81" s="312"/>
      <c r="GV81" s="312"/>
      <c r="GW81" s="312"/>
      <c r="GX81" s="312"/>
      <c r="GY81" s="312"/>
    </row>
    <row r="82" spans="2:207" ht="15.75" x14ac:dyDescent="0.25">
      <c r="B82" s="316">
        <f t="shared" si="1"/>
        <v>52</v>
      </c>
      <c r="C82" s="330">
        <f>'סיכום לוועדה'!B82</f>
        <v>1001349066</v>
      </c>
      <c r="D82" s="330">
        <f>'סיכום לוועדה'!C82</f>
        <v>1001268608</v>
      </c>
      <c r="E82" s="330">
        <f>'סיכום לוועדה'!D82</f>
        <v>40000293</v>
      </c>
      <c r="F82" s="330">
        <f>'סיכום לוועדה'!E82</f>
        <v>20000224</v>
      </c>
      <c r="G82" s="330" t="str">
        <f>'סיכום לוועדה'!F82</f>
        <v>חולון</v>
      </c>
      <c r="H82" s="317" t="str">
        <f>'סיכום לוועדה'!G82</f>
        <v>החברה לפיתוח תיאטרון מוזיקה אומנות ומחול חולון</v>
      </c>
      <c r="I82" s="318">
        <f>'סיכום לוועדה'!U82</f>
        <v>1300000</v>
      </c>
      <c r="J82" s="319">
        <f>'סיכום לוועדה'!T82</f>
        <v>530239.87710625655</v>
      </c>
      <c r="K82" s="320">
        <f t="shared" si="2"/>
        <v>0</v>
      </c>
      <c r="L82" s="319">
        <f t="shared" si="3"/>
        <v>530239.87710625655</v>
      </c>
      <c r="M82" s="331">
        <f>'תחום תמיכה ב'!AF82</f>
        <v>3.2052225215176556E-3</v>
      </c>
      <c r="N82" s="319">
        <f t="shared" si="0"/>
        <v>584839.27835590905</v>
      </c>
      <c r="O82" s="321">
        <f t="shared" si="4"/>
        <v>0</v>
      </c>
      <c r="P82" s="322">
        <f t="shared" si="5"/>
        <v>584839.27835590905</v>
      </c>
      <c r="Q82" s="322">
        <f t="shared" si="6"/>
        <v>585105.57112533366</v>
      </c>
      <c r="R82" s="321">
        <f t="shared" si="7"/>
        <v>0</v>
      </c>
      <c r="S82" s="322">
        <f t="shared" si="8"/>
        <v>585105.57112533366</v>
      </c>
      <c r="T82" s="322">
        <f t="shared" si="9"/>
        <v>585105.5711253325</v>
      </c>
      <c r="U82" s="321">
        <f t="shared" si="10"/>
        <v>0</v>
      </c>
      <c r="V82" s="322">
        <f t="shared" si="11"/>
        <v>585105.5711253325</v>
      </c>
      <c r="W82" s="322">
        <f t="shared" si="12"/>
        <v>585105.57112533273</v>
      </c>
      <c r="X82" s="321">
        <f t="shared" si="13"/>
        <v>0</v>
      </c>
      <c r="Y82" s="322">
        <f t="shared" si="14"/>
        <v>585105.57112533273</v>
      </c>
      <c r="Z82" s="322">
        <f t="shared" si="15"/>
        <v>585105.57112533262</v>
      </c>
      <c r="AA82" s="323">
        <f t="shared" si="16"/>
        <v>585105.57112533262</v>
      </c>
      <c r="AB82" s="323"/>
      <c r="AC82" s="323"/>
      <c r="AD82" s="323"/>
      <c r="AE82" s="323"/>
      <c r="AF82" s="324">
        <f t="shared" si="17"/>
        <v>3.3507729701844559E-3</v>
      </c>
      <c r="AG82" s="312"/>
      <c r="AH82" s="312"/>
      <c r="AI82" s="325">
        <f t="shared" si="18"/>
        <v>1</v>
      </c>
      <c r="AJ82" s="312"/>
      <c r="AK82" s="312"/>
      <c r="AL82" s="312"/>
      <c r="AM82" s="312"/>
      <c r="AN82" s="312"/>
      <c r="AO82" s="312"/>
      <c r="AP82" s="312"/>
      <c r="AQ82" s="312"/>
      <c r="AR82" s="312"/>
      <c r="AS82" s="312"/>
      <c r="AT82" s="312"/>
      <c r="AU82" s="312"/>
      <c r="AV82" s="312"/>
      <c r="AW82" s="312"/>
      <c r="AX82" s="312"/>
      <c r="AY82" s="312"/>
      <c r="AZ82" s="312"/>
      <c r="BA82" s="312"/>
      <c r="BB82" s="312"/>
      <c r="BC82" s="312"/>
      <c r="BD82" s="312"/>
      <c r="BE82" s="312"/>
      <c r="BF82" s="312"/>
      <c r="BG82" s="312"/>
      <c r="BH82" s="312"/>
      <c r="BI82" s="312"/>
      <c r="BJ82" s="312"/>
      <c r="BK82" s="312"/>
      <c r="BL82" s="312"/>
      <c r="BM82" s="312"/>
      <c r="BN82" s="312"/>
      <c r="BO82" s="312"/>
      <c r="BP82" s="312"/>
      <c r="BQ82" s="312"/>
      <c r="BR82" s="312"/>
      <c r="BS82" s="312"/>
      <c r="BT82" s="312"/>
      <c r="BU82" s="312"/>
      <c r="BV82" s="312"/>
      <c r="BW82" s="312"/>
      <c r="BX82" s="312"/>
      <c r="BY82" s="312"/>
      <c r="BZ82" s="312"/>
      <c r="CA82" s="312"/>
      <c r="CB82" s="312"/>
      <c r="CC82" s="312"/>
      <c r="CD82" s="312"/>
      <c r="CE82" s="312"/>
      <c r="CF82" s="312"/>
      <c r="CG82" s="312"/>
      <c r="CH82" s="312"/>
      <c r="CI82" s="312"/>
      <c r="CJ82" s="312"/>
      <c r="CK82" s="312"/>
      <c r="CL82" s="312"/>
      <c r="CM82" s="312"/>
      <c r="CN82" s="312"/>
      <c r="CO82" s="312"/>
      <c r="CP82" s="312"/>
      <c r="CQ82" s="312"/>
      <c r="CR82" s="312"/>
      <c r="CS82" s="312"/>
      <c r="CT82" s="312"/>
      <c r="CU82" s="312"/>
      <c r="CV82" s="312"/>
      <c r="CW82" s="312"/>
      <c r="CX82" s="312"/>
      <c r="CY82" s="312"/>
      <c r="CZ82" s="312"/>
      <c r="DA82" s="312"/>
      <c r="DB82" s="312"/>
      <c r="DC82" s="312"/>
      <c r="DD82" s="312"/>
      <c r="DE82" s="312"/>
      <c r="DF82" s="312"/>
      <c r="DG82" s="312"/>
      <c r="DH82" s="312"/>
      <c r="DI82" s="312"/>
      <c r="DJ82" s="312"/>
      <c r="DK82" s="312"/>
      <c r="DL82" s="312"/>
      <c r="DM82" s="312"/>
      <c r="DN82" s="312"/>
      <c r="DO82" s="312"/>
      <c r="DP82" s="312"/>
      <c r="DQ82" s="312"/>
      <c r="DR82" s="312"/>
      <c r="DS82" s="312"/>
      <c r="DT82" s="312"/>
      <c r="DU82" s="312"/>
      <c r="DV82" s="312"/>
      <c r="DW82" s="312"/>
      <c r="DX82" s="312"/>
      <c r="DY82" s="312"/>
      <c r="DZ82" s="312"/>
      <c r="EA82" s="312"/>
      <c r="EB82" s="312"/>
      <c r="EC82" s="312"/>
      <c r="ED82" s="312"/>
      <c r="EE82" s="312"/>
      <c r="EF82" s="312"/>
      <c r="EG82" s="312"/>
      <c r="EH82" s="312"/>
      <c r="EI82" s="312"/>
      <c r="EJ82" s="312"/>
      <c r="EK82" s="312"/>
      <c r="EL82" s="312"/>
      <c r="EM82" s="312"/>
      <c r="EN82" s="312"/>
      <c r="EO82" s="312"/>
      <c r="EP82" s="312"/>
      <c r="EQ82" s="312"/>
      <c r="ER82" s="312"/>
      <c r="ES82" s="312"/>
      <c r="ET82" s="312"/>
      <c r="EU82" s="312"/>
      <c r="EV82" s="312"/>
      <c r="EW82" s="312"/>
      <c r="EX82" s="312"/>
      <c r="EY82" s="312"/>
      <c r="EZ82" s="312"/>
      <c r="FA82" s="312"/>
      <c r="FB82" s="312"/>
      <c r="FC82" s="312"/>
      <c r="FD82" s="312"/>
      <c r="FE82" s="312"/>
      <c r="FF82" s="312"/>
      <c r="FG82" s="312"/>
      <c r="FH82" s="312"/>
      <c r="FI82" s="312"/>
      <c r="FJ82" s="312"/>
      <c r="FK82" s="312"/>
      <c r="FL82" s="312"/>
      <c r="FM82" s="312"/>
      <c r="FN82" s="312"/>
      <c r="FO82" s="312"/>
      <c r="FP82" s="312"/>
      <c r="FQ82" s="312"/>
      <c r="FR82" s="312"/>
      <c r="FS82" s="312"/>
      <c r="FT82" s="312"/>
      <c r="FU82" s="312"/>
      <c r="FV82" s="312"/>
      <c r="FW82" s="312"/>
      <c r="FX82" s="312"/>
      <c r="FY82" s="312"/>
      <c r="FZ82" s="312"/>
      <c r="GA82" s="312"/>
      <c r="GB82" s="312"/>
      <c r="GC82" s="312"/>
      <c r="GD82" s="312"/>
      <c r="GE82" s="312"/>
      <c r="GF82" s="312"/>
      <c r="GG82" s="312"/>
      <c r="GH82" s="312"/>
      <c r="GI82" s="312"/>
      <c r="GJ82" s="312"/>
      <c r="GK82" s="312"/>
      <c r="GL82" s="312"/>
      <c r="GM82" s="312"/>
      <c r="GN82" s="312"/>
      <c r="GO82" s="312"/>
      <c r="GP82" s="312"/>
      <c r="GQ82" s="312"/>
      <c r="GR82" s="312"/>
      <c r="GS82" s="312"/>
      <c r="GT82" s="312"/>
      <c r="GU82" s="312"/>
      <c r="GV82" s="312"/>
      <c r="GW82" s="312"/>
      <c r="GX82" s="312"/>
      <c r="GY82" s="312"/>
    </row>
    <row r="83" spans="2:207" ht="15.75" x14ac:dyDescent="0.25">
      <c r="B83" s="316">
        <f t="shared" si="1"/>
        <v>53</v>
      </c>
      <c r="C83" s="330">
        <f>'סיכום לוועדה'!B83</f>
        <v>1001350257</v>
      </c>
      <c r="D83" s="330">
        <f>'סיכום לוועדה'!C83</f>
        <v>1001268522</v>
      </c>
      <c r="E83" s="330">
        <f>'סיכום לוועדה'!D83</f>
        <v>40000293</v>
      </c>
      <c r="F83" s="330">
        <f>'סיכום לוועדה'!E83</f>
        <v>20000224</v>
      </c>
      <c r="G83" s="330" t="str">
        <f>'סיכום לוועדה'!F83</f>
        <v>חולון</v>
      </c>
      <c r="H83" s="317" t="str">
        <f>'סיכום לוועדה'!G83</f>
        <v>החברה לפיתוח תיאטרון מוזיקה אומנות ומחול חולון</v>
      </c>
      <c r="I83" s="318">
        <f>'סיכום לוועדה'!U83</f>
        <v>850000</v>
      </c>
      <c r="J83" s="319">
        <f>'סיכום לוועדה'!T83</f>
        <v>350771.6450804515</v>
      </c>
      <c r="K83" s="320">
        <f t="shared" si="2"/>
        <v>0</v>
      </c>
      <c r="L83" s="319">
        <f t="shared" si="3"/>
        <v>350771.6450804515</v>
      </c>
      <c r="M83" s="331">
        <f>'תחום תמיכה ב'!AF83</f>
        <v>1.6370456776389603E-3</v>
      </c>
      <c r="N83" s="319">
        <f t="shared" si="0"/>
        <v>378657.91919008712</v>
      </c>
      <c r="O83" s="321">
        <f t="shared" si="4"/>
        <v>0</v>
      </c>
      <c r="P83" s="322">
        <f t="shared" si="5"/>
        <v>378657.91919008712</v>
      </c>
      <c r="Q83" s="322">
        <f t="shared" si="6"/>
        <v>378830.33214129857</v>
      </c>
      <c r="R83" s="321">
        <f t="shared" si="7"/>
        <v>0</v>
      </c>
      <c r="S83" s="322">
        <f t="shared" si="8"/>
        <v>378830.33214129857</v>
      </c>
      <c r="T83" s="322">
        <f t="shared" si="9"/>
        <v>378830.33214129781</v>
      </c>
      <c r="U83" s="321">
        <f t="shared" si="10"/>
        <v>0</v>
      </c>
      <c r="V83" s="322">
        <f t="shared" si="11"/>
        <v>378830.33214129781</v>
      </c>
      <c r="W83" s="322">
        <f t="shared" si="12"/>
        <v>378830.33214129799</v>
      </c>
      <c r="X83" s="321">
        <f t="shared" si="13"/>
        <v>0</v>
      </c>
      <c r="Y83" s="322">
        <f t="shared" si="14"/>
        <v>378830.33214129799</v>
      </c>
      <c r="Z83" s="322">
        <f t="shared" si="15"/>
        <v>378830.33214129793</v>
      </c>
      <c r="AA83" s="323">
        <f t="shared" si="16"/>
        <v>378830.33214129793</v>
      </c>
      <c r="AB83" s="323"/>
      <c r="AC83" s="323"/>
      <c r="AD83" s="323"/>
      <c r="AE83" s="323"/>
      <c r="AF83" s="324">
        <f t="shared" si="17"/>
        <v>2.1694793211140938E-3</v>
      </c>
      <c r="AG83" s="312"/>
      <c r="AH83" s="312"/>
      <c r="AI83" s="325">
        <f t="shared" si="18"/>
        <v>1</v>
      </c>
      <c r="AJ83" s="312"/>
      <c r="AK83" s="312"/>
      <c r="AL83" s="312"/>
      <c r="AM83" s="312"/>
      <c r="AN83" s="312"/>
      <c r="AO83" s="312"/>
      <c r="AP83" s="312"/>
      <c r="AQ83" s="312"/>
      <c r="AR83" s="312"/>
      <c r="AS83" s="312"/>
      <c r="AT83" s="312"/>
      <c r="AU83" s="312"/>
      <c r="AV83" s="312"/>
      <c r="AW83" s="312"/>
      <c r="AX83" s="312"/>
      <c r="AY83" s="312"/>
      <c r="AZ83" s="312"/>
      <c r="BA83" s="312"/>
      <c r="BB83" s="312"/>
      <c r="BC83" s="312"/>
      <c r="BD83" s="312"/>
      <c r="BE83" s="312"/>
      <c r="BF83" s="312"/>
      <c r="BG83" s="312"/>
      <c r="BH83" s="312"/>
      <c r="BI83" s="312"/>
      <c r="BJ83" s="312"/>
      <c r="BK83" s="312"/>
      <c r="BL83" s="312"/>
      <c r="BM83" s="312"/>
      <c r="BN83" s="312"/>
      <c r="BO83" s="312"/>
      <c r="BP83" s="312"/>
      <c r="BQ83" s="312"/>
      <c r="BR83" s="312"/>
      <c r="BS83" s="312"/>
      <c r="BT83" s="312"/>
      <c r="BU83" s="312"/>
      <c r="BV83" s="312"/>
      <c r="BW83" s="312"/>
      <c r="BX83" s="312"/>
      <c r="BY83" s="312"/>
      <c r="BZ83" s="312"/>
      <c r="CA83" s="312"/>
      <c r="CB83" s="312"/>
      <c r="CC83" s="312"/>
      <c r="CD83" s="312"/>
      <c r="CE83" s="312"/>
      <c r="CF83" s="312"/>
      <c r="CG83" s="312"/>
      <c r="CH83" s="312"/>
      <c r="CI83" s="312"/>
      <c r="CJ83" s="312"/>
      <c r="CK83" s="312"/>
      <c r="CL83" s="312"/>
      <c r="CM83" s="312"/>
      <c r="CN83" s="312"/>
      <c r="CO83" s="312"/>
      <c r="CP83" s="312"/>
      <c r="CQ83" s="312"/>
      <c r="CR83" s="312"/>
      <c r="CS83" s="312"/>
      <c r="CT83" s="312"/>
      <c r="CU83" s="312"/>
      <c r="CV83" s="312"/>
      <c r="CW83" s="312"/>
      <c r="CX83" s="312"/>
      <c r="CY83" s="312"/>
      <c r="CZ83" s="312"/>
      <c r="DA83" s="312"/>
      <c r="DB83" s="312"/>
      <c r="DC83" s="312"/>
      <c r="DD83" s="312"/>
      <c r="DE83" s="312"/>
      <c r="DF83" s="312"/>
      <c r="DG83" s="312"/>
      <c r="DH83" s="312"/>
      <c r="DI83" s="312"/>
      <c r="DJ83" s="312"/>
      <c r="DK83" s="312"/>
      <c r="DL83" s="312"/>
      <c r="DM83" s="312"/>
      <c r="DN83" s="312"/>
      <c r="DO83" s="312"/>
      <c r="DP83" s="312"/>
      <c r="DQ83" s="312"/>
      <c r="DR83" s="312"/>
      <c r="DS83" s="312"/>
      <c r="DT83" s="312"/>
      <c r="DU83" s="312"/>
      <c r="DV83" s="312"/>
      <c r="DW83" s="312"/>
      <c r="DX83" s="312"/>
      <c r="DY83" s="312"/>
      <c r="DZ83" s="312"/>
      <c r="EA83" s="312"/>
      <c r="EB83" s="312"/>
      <c r="EC83" s="312"/>
      <c r="ED83" s="312"/>
      <c r="EE83" s="312"/>
      <c r="EF83" s="312"/>
      <c r="EG83" s="312"/>
      <c r="EH83" s="312"/>
      <c r="EI83" s="312"/>
      <c r="EJ83" s="312"/>
      <c r="EK83" s="312"/>
      <c r="EL83" s="312"/>
      <c r="EM83" s="312"/>
      <c r="EN83" s="312"/>
      <c r="EO83" s="312"/>
      <c r="EP83" s="312"/>
      <c r="EQ83" s="312"/>
      <c r="ER83" s="312"/>
      <c r="ES83" s="312"/>
      <c r="ET83" s="312"/>
      <c r="EU83" s="312"/>
      <c r="EV83" s="312"/>
      <c r="EW83" s="312"/>
      <c r="EX83" s="312"/>
      <c r="EY83" s="312"/>
      <c r="EZ83" s="312"/>
      <c r="FA83" s="312"/>
      <c r="FB83" s="312"/>
      <c r="FC83" s="312"/>
      <c r="FD83" s="312"/>
      <c r="FE83" s="312"/>
      <c r="FF83" s="312"/>
      <c r="FG83" s="312"/>
      <c r="FH83" s="312"/>
      <c r="FI83" s="312"/>
      <c r="FJ83" s="312"/>
      <c r="FK83" s="312"/>
      <c r="FL83" s="312"/>
      <c r="FM83" s="312"/>
      <c r="FN83" s="312"/>
      <c r="FO83" s="312"/>
      <c r="FP83" s="312"/>
      <c r="FQ83" s="312"/>
      <c r="FR83" s="312"/>
      <c r="FS83" s="312"/>
      <c r="FT83" s="312"/>
      <c r="FU83" s="312"/>
      <c r="FV83" s="312"/>
      <c r="FW83" s="312"/>
      <c r="FX83" s="312"/>
      <c r="FY83" s="312"/>
      <c r="FZ83" s="312"/>
      <c r="GA83" s="312"/>
      <c r="GB83" s="312"/>
      <c r="GC83" s="312"/>
      <c r="GD83" s="312"/>
      <c r="GE83" s="312"/>
      <c r="GF83" s="312"/>
      <c r="GG83" s="312"/>
      <c r="GH83" s="312"/>
      <c r="GI83" s="312"/>
      <c r="GJ83" s="312"/>
      <c r="GK83" s="312"/>
      <c r="GL83" s="312"/>
      <c r="GM83" s="312"/>
      <c r="GN83" s="312"/>
      <c r="GO83" s="312"/>
      <c r="GP83" s="312"/>
      <c r="GQ83" s="312"/>
      <c r="GR83" s="312"/>
      <c r="GS83" s="312"/>
      <c r="GT83" s="312"/>
      <c r="GU83" s="312"/>
      <c r="GV83" s="312"/>
      <c r="GW83" s="312"/>
      <c r="GX83" s="312"/>
      <c r="GY83" s="312"/>
    </row>
    <row r="84" spans="2:207" ht="15.75" x14ac:dyDescent="0.25">
      <c r="B84" s="316">
        <f t="shared" si="1"/>
        <v>54</v>
      </c>
      <c r="C84" s="330">
        <f>'סיכום לוועדה'!B84</f>
        <v>1001350298</v>
      </c>
      <c r="D84" s="330">
        <f>'סיכום לוועדה'!C84</f>
        <v>1001268564</v>
      </c>
      <c r="E84" s="330">
        <f>'סיכום לוועדה'!D84</f>
        <v>40000293</v>
      </c>
      <c r="F84" s="330">
        <f>'סיכום לוועדה'!E84</f>
        <v>20000224</v>
      </c>
      <c r="G84" s="330" t="str">
        <f>'סיכום לוועדה'!F84</f>
        <v>חולון</v>
      </c>
      <c r="H84" s="317" t="str">
        <f>'סיכום לוועדה'!G84</f>
        <v>החברה לפיתוח תיאטרון מוזיקה אומנות ומחול חולון</v>
      </c>
      <c r="I84" s="318">
        <f>'סיכום לוועדה'!U84</f>
        <v>100000</v>
      </c>
      <c r="J84" s="319">
        <f>'סיכום לוועדה'!T84</f>
        <v>22830.800245242404</v>
      </c>
      <c r="K84" s="320">
        <f t="shared" si="2"/>
        <v>0</v>
      </c>
      <c r="L84" s="319">
        <f t="shared" si="3"/>
        <v>22830.800245242404</v>
      </c>
      <c r="M84" s="331">
        <f>'תחום תמיכה ב'!AF84</f>
        <v>9.1560099266801536E-5</v>
      </c>
      <c r="N84" s="319">
        <f t="shared" si="0"/>
        <v>24390.481847616473</v>
      </c>
      <c r="O84" s="321">
        <f t="shared" si="4"/>
        <v>0</v>
      </c>
      <c r="P84" s="322">
        <f t="shared" si="5"/>
        <v>24390.481847616473</v>
      </c>
      <c r="Q84" s="322">
        <f t="shared" si="6"/>
        <v>24401.587478170324</v>
      </c>
      <c r="R84" s="321">
        <f t="shared" si="7"/>
        <v>0</v>
      </c>
      <c r="S84" s="322">
        <f t="shared" si="8"/>
        <v>24401.587478170324</v>
      </c>
      <c r="T84" s="322">
        <f t="shared" si="9"/>
        <v>24401.587478170277</v>
      </c>
      <c r="U84" s="321">
        <f t="shared" si="10"/>
        <v>0</v>
      </c>
      <c r="V84" s="322">
        <f t="shared" si="11"/>
        <v>24401.587478170277</v>
      </c>
      <c r="W84" s="322">
        <f t="shared" si="12"/>
        <v>24401.587478170284</v>
      </c>
      <c r="X84" s="321">
        <f t="shared" si="13"/>
        <v>0</v>
      </c>
      <c r="Y84" s="322">
        <f t="shared" si="14"/>
        <v>24401.587478170284</v>
      </c>
      <c r="Z84" s="322">
        <f t="shared" si="15"/>
        <v>24401.587478170281</v>
      </c>
      <c r="AA84" s="323">
        <f t="shared" si="16"/>
        <v>24401.587478170281</v>
      </c>
      <c r="AB84" s="323"/>
      <c r="AC84" s="323"/>
      <c r="AD84" s="323"/>
      <c r="AE84" s="323"/>
      <c r="AF84" s="324">
        <f t="shared" si="17"/>
        <v>1.397426101997073E-4</v>
      </c>
      <c r="AG84" s="312"/>
      <c r="AH84" s="312"/>
      <c r="AI84" s="325">
        <f t="shared" si="18"/>
        <v>1</v>
      </c>
      <c r="AJ84" s="312"/>
      <c r="AK84" s="312"/>
      <c r="AL84" s="312"/>
      <c r="AM84" s="312"/>
      <c r="AN84" s="312"/>
      <c r="AO84" s="312"/>
      <c r="AP84" s="312"/>
      <c r="AQ84" s="312"/>
      <c r="AR84" s="312"/>
      <c r="AS84" s="312"/>
      <c r="AT84" s="312"/>
      <c r="AU84" s="312"/>
      <c r="AV84" s="312"/>
      <c r="AW84" s="312"/>
      <c r="AX84" s="312"/>
      <c r="AY84" s="312"/>
      <c r="AZ84" s="312"/>
      <c r="BA84" s="312"/>
      <c r="BB84" s="312"/>
      <c r="BC84" s="312"/>
      <c r="BD84" s="312"/>
      <c r="BE84" s="312"/>
      <c r="BF84" s="312"/>
      <c r="BG84" s="312"/>
      <c r="BH84" s="312"/>
      <c r="BI84" s="312"/>
      <c r="BJ84" s="312"/>
      <c r="BK84" s="312"/>
      <c r="BL84" s="312"/>
      <c r="BM84" s="312"/>
      <c r="BN84" s="312"/>
      <c r="BO84" s="312"/>
      <c r="BP84" s="312"/>
      <c r="BQ84" s="312"/>
      <c r="BR84" s="312"/>
      <c r="BS84" s="312"/>
      <c r="BT84" s="312"/>
      <c r="BU84" s="312"/>
      <c r="BV84" s="312"/>
      <c r="BW84" s="312"/>
      <c r="BX84" s="312"/>
      <c r="BY84" s="312"/>
      <c r="BZ84" s="312"/>
      <c r="CA84" s="312"/>
      <c r="CB84" s="312"/>
      <c r="CC84" s="312"/>
      <c r="CD84" s="312"/>
      <c r="CE84" s="312"/>
      <c r="CF84" s="312"/>
      <c r="CG84" s="312"/>
      <c r="CH84" s="312"/>
      <c r="CI84" s="312"/>
      <c r="CJ84" s="312"/>
      <c r="CK84" s="312"/>
      <c r="CL84" s="312"/>
      <c r="CM84" s="312"/>
      <c r="CN84" s="312"/>
      <c r="CO84" s="312"/>
      <c r="CP84" s="312"/>
      <c r="CQ84" s="312"/>
      <c r="CR84" s="312"/>
      <c r="CS84" s="312"/>
      <c r="CT84" s="312"/>
      <c r="CU84" s="312"/>
      <c r="CV84" s="312"/>
      <c r="CW84" s="312"/>
      <c r="CX84" s="312"/>
      <c r="CY84" s="312"/>
      <c r="CZ84" s="312"/>
      <c r="DA84" s="312"/>
      <c r="DB84" s="312"/>
      <c r="DC84" s="312"/>
      <c r="DD84" s="312"/>
      <c r="DE84" s="312"/>
      <c r="DF84" s="312"/>
      <c r="DG84" s="312"/>
      <c r="DH84" s="312"/>
      <c r="DI84" s="312"/>
      <c r="DJ84" s="312"/>
      <c r="DK84" s="312"/>
      <c r="DL84" s="312"/>
      <c r="DM84" s="312"/>
      <c r="DN84" s="312"/>
      <c r="DO84" s="312"/>
      <c r="DP84" s="312"/>
      <c r="DQ84" s="312"/>
      <c r="DR84" s="312"/>
      <c r="DS84" s="312"/>
      <c r="DT84" s="312"/>
      <c r="DU84" s="312"/>
      <c r="DV84" s="312"/>
      <c r="DW84" s="312"/>
      <c r="DX84" s="312"/>
      <c r="DY84" s="312"/>
      <c r="DZ84" s="312"/>
      <c r="EA84" s="312"/>
      <c r="EB84" s="312"/>
      <c r="EC84" s="312"/>
      <c r="ED84" s="312"/>
      <c r="EE84" s="312"/>
      <c r="EF84" s="312"/>
      <c r="EG84" s="312"/>
      <c r="EH84" s="312"/>
      <c r="EI84" s="312"/>
      <c r="EJ84" s="312"/>
      <c r="EK84" s="312"/>
      <c r="EL84" s="312"/>
      <c r="EM84" s="312"/>
      <c r="EN84" s="312"/>
      <c r="EO84" s="312"/>
      <c r="EP84" s="312"/>
      <c r="EQ84" s="312"/>
      <c r="ER84" s="312"/>
      <c r="ES84" s="312"/>
      <c r="ET84" s="312"/>
      <c r="EU84" s="312"/>
      <c r="EV84" s="312"/>
      <c r="EW84" s="312"/>
      <c r="EX84" s="312"/>
      <c r="EY84" s="312"/>
      <c r="EZ84" s="312"/>
      <c r="FA84" s="312"/>
      <c r="FB84" s="312"/>
      <c r="FC84" s="312"/>
      <c r="FD84" s="312"/>
      <c r="FE84" s="312"/>
      <c r="FF84" s="312"/>
      <c r="FG84" s="312"/>
      <c r="FH84" s="312"/>
      <c r="FI84" s="312"/>
      <c r="FJ84" s="312"/>
      <c r="FK84" s="312"/>
      <c r="FL84" s="312"/>
      <c r="FM84" s="312"/>
      <c r="FN84" s="312"/>
      <c r="FO84" s="312"/>
      <c r="FP84" s="312"/>
      <c r="FQ84" s="312"/>
      <c r="FR84" s="312"/>
      <c r="FS84" s="312"/>
      <c r="FT84" s="312"/>
      <c r="FU84" s="312"/>
      <c r="FV84" s="312"/>
      <c r="FW84" s="312"/>
      <c r="FX84" s="312"/>
      <c r="FY84" s="312"/>
      <c r="FZ84" s="312"/>
      <c r="GA84" s="312"/>
      <c r="GB84" s="312"/>
      <c r="GC84" s="312"/>
      <c r="GD84" s="312"/>
      <c r="GE84" s="312"/>
      <c r="GF84" s="312"/>
      <c r="GG84" s="312"/>
      <c r="GH84" s="312"/>
      <c r="GI84" s="312"/>
      <c r="GJ84" s="312"/>
      <c r="GK84" s="312"/>
      <c r="GL84" s="312"/>
      <c r="GM84" s="312"/>
      <c r="GN84" s="312"/>
      <c r="GO84" s="312"/>
      <c r="GP84" s="312"/>
      <c r="GQ84" s="312"/>
      <c r="GR84" s="312"/>
      <c r="GS84" s="312"/>
      <c r="GT84" s="312"/>
      <c r="GU84" s="312"/>
      <c r="GV84" s="312"/>
      <c r="GW84" s="312"/>
      <c r="GX84" s="312"/>
      <c r="GY84" s="312"/>
    </row>
    <row r="85" spans="2:207" ht="15.75" x14ac:dyDescent="0.25">
      <c r="B85" s="316">
        <f t="shared" si="1"/>
        <v>55</v>
      </c>
      <c r="C85" s="330">
        <f>'סיכום לוועדה'!B85</f>
        <v>1001350320</v>
      </c>
      <c r="D85" s="330">
        <f>'סיכום לוועדה'!C85</f>
        <v>1001268529</v>
      </c>
      <c r="E85" s="330">
        <f>'סיכום לוועדה'!D85</f>
        <v>40000293</v>
      </c>
      <c r="F85" s="330">
        <f>'סיכום לוועדה'!E85</f>
        <v>20000224</v>
      </c>
      <c r="G85" s="330" t="str">
        <f>'סיכום לוועדה'!F85</f>
        <v>חולון</v>
      </c>
      <c r="H85" s="317" t="str">
        <f>'סיכום לוועדה'!G85</f>
        <v>החברה לפיתוח תיאטרון מוזיקה אומנות ומחול חולון</v>
      </c>
      <c r="I85" s="318">
        <f>'סיכום לוועדה'!U85</f>
        <v>200000</v>
      </c>
      <c r="J85" s="319">
        <f>'סיכום לוועדה'!T85</f>
        <v>72264.450876726827</v>
      </c>
      <c r="K85" s="320">
        <f t="shared" si="2"/>
        <v>0</v>
      </c>
      <c r="L85" s="319">
        <f t="shared" si="3"/>
        <v>72264.450876726827</v>
      </c>
      <c r="M85" s="331">
        <f>'תחום תמיכה ב'!AF85</f>
        <v>2.9005155664599963E-4</v>
      </c>
      <c r="N85" s="319">
        <f t="shared" si="0"/>
        <v>77205.337575882644</v>
      </c>
      <c r="O85" s="321">
        <f t="shared" si="4"/>
        <v>0</v>
      </c>
      <c r="P85" s="322">
        <f t="shared" si="5"/>
        <v>77205.337575882644</v>
      </c>
      <c r="Q85" s="322">
        <f t="shared" si="6"/>
        <v>77240.491205124577</v>
      </c>
      <c r="R85" s="321">
        <f t="shared" si="7"/>
        <v>0</v>
      </c>
      <c r="S85" s="322">
        <f t="shared" si="8"/>
        <v>77240.491205124577</v>
      </c>
      <c r="T85" s="322">
        <f t="shared" si="9"/>
        <v>77240.491205124417</v>
      </c>
      <c r="U85" s="321">
        <f t="shared" si="10"/>
        <v>0</v>
      </c>
      <c r="V85" s="322">
        <f t="shared" si="11"/>
        <v>77240.491205124417</v>
      </c>
      <c r="W85" s="322">
        <f t="shared" si="12"/>
        <v>77240.491205124446</v>
      </c>
      <c r="X85" s="321">
        <f t="shared" si="13"/>
        <v>0</v>
      </c>
      <c r="Y85" s="322">
        <f t="shared" si="14"/>
        <v>77240.491205124446</v>
      </c>
      <c r="Z85" s="322">
        <f t="shared" si="15"/>
        <v>77240.491205124432</v>
      </c>
      <c r="AA85" s="323">
        <f t="shared" si="16"/>
        <v>77240.491205124432</v>
      </c>
      <c r="AB85" s="323"/>
      <c r="AC85" s="323"/>
      <c r="AD85" s="323"/>
      <c r="AE85" s="323"/>
      <c r="AF85" s="324">
        <f t="shared" si="17"/>
        <v>4.4233957580701549E-4</v>
      </c>
      <c r="AG85" s="312"/>
      <c r="AH85" s="312"/>
      <c r="AI85" s="325">
        <f t="shared" si="18"/>
        <v>1</v>
      </c>
      <c r="AJ85" s="312"/>
      <c r="AK85" s="312"/>
      <c r="AL85" s="312"/>
      <c r="AM85" s="312"/>
      <c r="AN85" s="312"/>
      <c r="AO85" s="312"/>
      <c r="AP85" s="312"/>
      <c r="AQ85" s="312"/>
      <c r="AR85" s="312"/>
      <c r="AS85" s="312"/>
      <c r="AT85" s="312"/>
      <c r="AU85" s="312"/>
      <c r="AV85" s="312"/>
      <c r="AW85" s="312"/>
      <c r="AX85" s="312"/>
      <c r="AY85" s="312"/>
      <c r="AZ85" s="312"/>
      <c r="BA85" s="312"/>
      <c r="BB85" s="312"/>
      <c r="BC85" s="312"/>
      <c r="BD85" s="312"/>
      <c r="BE85" s="312"/>
      <c r="BF85" s="312"/>
      <c r="BG85" s="312"/>
      <c r="BH85" s="312"/>
      <c r="BI85" s="312"/>
      <c r="BJ85" s="312"/>
      <c r="BK85" s="312"/>
      <c r="BL85" s="312"/>
      <c r="BM85" s="312"/>
      <c r="BN85" s="312"/>
      <c r="BO85" s="312"/>
      <c r="BP85" s="312"/>
      <c r="BQ85" s="312"/>
      <c r="BR85" s="312"/>
      <c r="BS85" s="312"/>
      <c r="BT85" s="312"/>
      <c r="BU85" s="312"/>
      <c r="BV85" s="312"/>
      <c r="BW85" s="312"/>
      <c r="BX85" s="312"/>
      <c r="BY85" s="312"/>
      <c r="BZ85" s="312"/>
      <c r="CA85" s="312"/>
      <c r="CB85" s="312"/>
      <c r="CC85" s="312"/>
      <c r="CD85" s="312"/>
      <c r="CE85" s="312"/>
      <c r="CF85" s="312"/>
      <c r="CG85" s="312"/>
      <c r="CH85" s="312"/>
      <c r="CI85" s="312"/>
      <c r="CJ85" s="312"/>
      <c r="CK85" s="312"/>
      <c r="CL85" s="312"/>
      <c r="CM85" s="312"/>
      <c r="CN85" s="312"/>
      <c r="CO85" s="312"/>
      <c r="CP85" s="312"/>
      <c r="CQ85" s="312"/>
      <c r="CR85" s="312"/>
      <c r="CS85" s="312"/>
      <c r="CT85" s="312"/>
      <c r="CU85" s="312"/>
      <c r="CV85" s="312"/>
      <c r="CW85" s="312"/>
      <c r="CX85" s="312"/>
      <c r="CY85" s="312"/>
      <c r="CZ85" s="312"/>
      <c r="DA85" s="312"/>
      <c r="DB85" s="312"/>
      <c r="DC85" s="312"/>
      <c r="DD85" s="312"/>
      <c r="DE85" s="312"/>
      <c r="DF85" s="312"/>
      <c r="DG85" s="312"/>
      <c r="DH85" s="312"/>
      <c r="DI85" s="312"/>
      <c r="DJ85" s="312"/>
      <c r="DK85" s="312"/>
      <c r="DL85" s="312"/>
      <c r="DM85" s="312"/>
      <c r="DN85" s="312"/>
      <c r="DO85" s="312"/>
      <c r="DP85" s="312"/>
      <c r="DQ85" s="312"/>
      <c r="DR85" s="312"/>
      <c r="DS85" s="312"/>
      <c r="DT85" s="312"/>
      <c r="DU85" s="312"/>
      <c r="DV85" s="312"/>
      <c r="DW85" s="312"/>
      <c r="DX85" s="312"/>
      <c r="DY85" s="312"/>
      <c r="DZ85" s="312"/>
      <c r="EA85" s="312"/>
      <c r="EB85" s="312"/>
      <c r="EC85" s="312"/>
      <c r="ED85" s="312"/>
      <c r="EE85" s="312"/>
      <c r="EF85" s="312"/>
      <c r="EG85" s="312"/>
      <c r="EH85" s="312"/>
      <c r="EI85" s="312"/>
      <c r="EJ85" s="312"/>
      <c r="EK85" s="312"/>
      <c r="EL85" s="312"/>
      <c r="EM85" s="312"/>
      <c r="EN85" s="312"/>
      <c r="EO85" s="312"/>
      <c r="EP85" s="312"/>
      <c r="EQ85" s="312"/>
      <c r="ER85" s="312"/>
      <c r="ES85" s="312"/>
      <c r="ET85" s="312"/>
      <c r="EU85" s="312"/>
      <c r="EV85" s="312"/>
      <c r="EW85" s="312"/>
      <c r="EX85" s="312"/>
      <c r="EY85" s="312"/>
      <c r="EZ85" s="312"/>
      <c r="FA85" s="312"/>
      <c r="FB85" s="312"/>
      <c r="FC85" s="312"/>
      <c r="FD85" s="312"/>
      <c r="FE85" s="312"/>
      <c r="FF85" s="312"/>
      <c r="FG85" s="312"/>
      <c r="FH85" s="312"/>
      <c r="FI85" s="312"/>
      <c r="FJ85" s="312"/>
      <c r="FK85" s="312"/>
      <c r="FL85" s="312"/>
      <c r="FM85" s="312"/>
      <c r="FN85" s="312"/>
      <c r="FO85" s="312"/>
      <c r="FP85" s="312"/>
      <c r="FQ85" s="312"/>
      <c r="FR85" s="312"/>
      <c r="FS85" s="312"/>
      <c r="FT85" s="312"/>
      <c r="FU85" s="312"/>
      <c r="FV85" s="312"/>
      <c r="FW85" s="312"/>
      <c r="FX85" s="312"/>
      <c r="FY85" s="312"/>
      <c r="FZ85" s="312"/>
      <c r="GA85" s="312"/>
      <c r="GB85" s="312"/>
      <c r="GC85" s="312"/>
      <c r="GD85" s="312"/>
      <c r="GE85" s="312"/>
      <c r="GF85" s="312"/>
      <c r="GG85" s="312"/>
      <c r="GH85" s="312"/>
      <c r="GI85" s="312"/>
      <c r="GJ85" s="312"/>
      <c r="GK85" s="312"/>
      <c r="GL85" s="312"/>
      <c r="GM85" s="312"/>
      <c r="GN85" s="312"/>
      <c r="GO85" s="312"/>
      <c r="GP85" s="312"/>
      <c r="GQ85" s="312"/>
      <c r="GR85" s="312"/>
      <c r="GS85" s="312"/>
      <c r="GT85" s="312"/>
      <c r="GU85" s="312"/>
      <c r="GV85" s="312"/>
      <c r="GW85" s="312"/>
      <c r="GX85" s="312"/>
      <c r="GY85" s="312"/>
    </row>
    <row r="86" spans="2:207" ht="15.75" x14ac:dyDescent="0.25">
      <c r="B86" s="316">
        <f t="shared" si="1"/>
        <v>56</v>
      </c>
      <c r="C86" s="330">
        <f>'סיכום לוועדה'!B86</f>
        <v>1001350327</v>
      </c>
      <c r="D86" s="330">
        <f>'סיכום לוועדה'!C86</f>
        <v>1001268562</v>
      </c>
      <c r="E86" s="330">
        <f>'סיכום לוועדה'!D86</f>
        <v>40000293</v>
      </c>
      <c r="F86" s="330">
        <f>'סיכום לוועדה'!E86</f>
        <v>20000224</v>
      </c>
      <c r="G86" s="330" t="str">
        <f>'סיכום לוועדה'!F86</f>
        <v>חולון</v>
      </c>
      <c r="H86" s="317" t="str">
        <f>'סיכום לוועדה'!G86</f>
        <v>החברה לפיתוח תיאטרון מוזיקה אומנות ומחול חולון</v>
      </c>
      <c r="I86" s="318">
        <f>'סיכום לוועדה'!U86</f>
        <v>800000</v>
      </c>
      <c r="J86" s="319">
        <f>'סיכום לוועדה'!T86</f>
        <v>321546.19091725344</v>
      </c>
      <c r="K86" s="320">
        <f t="shared" si="2"/>
        <v>0</v>
      </c>
      <c r="L86" s="319">
        <f t="shared" si="3"/>
        <v>321546.19091725344</v>
      </c>
      <c r="M86" s="331">
        <f>'תחום תמיכה ב'!AF86</f>
        <v>1.7441748997532385E-3</v>
      </c>
      <c r="N86" s="319">
        <f t="shared" si="0"/>
        <v>351257.3590379954</v>
      </c>
      <c r="O86" s="321">
        <f t="shared" si="4"/>
        <v>0</v>
      </c>
      <c r="P86" s="322">
        <f t="shared" si="5"/>
        <v>351257.3590379954</v>
      </c>
      <c r="Q86" s="322">
        <f t="shared" si="6"/>
        <v>351417.2957905028</v>
      </c>
      <c r="R86" s="321">
        <f t="shared" si="7"/>
        <v>0</v>
      </c>
      <c r="S86" s="322">
        <f t="shared" si="8"/>
        <v>351417.2957905028</v>
      </c>
      <c r="T86" s="322">
        <f t="shared" si="9"/>
        <v>351417.2957905021</v>
      </c>
      <c r="U86" s="321">
        <f t="shared" si="10"/>
        <v>0</v>
      </c>
      <c r="V86" s="322">
        <f t="shared" si="11"/>
        <v>351417.2957905021</v>
      </c>
      <c r="W86" s="322">
        <f t="shared" si="12"/>
        <v>351417.29579050228</v>
      </c>
      <c r="X86" s="321">
        <f t="shared" si="13"/>
        <v>0</v>
      </c>
      <c r="Y86" s="322">
        <f t="shared" si="14"/>
        <v>351417.29579050228</v>
      </c>
      <c r="Z86" s="322">
        <f t="shared" si="15"/>
        <v>351417.29579050216</v>
      </c>
      <c r="AA86" s="323">
        <f t="shared" si="16"/>
        <v>351417.29579050216</v>
      </c>
      <c r="AB86" s="323"/>
      <c r="AC86" s="323"/>
      <c r="AD86" s="323"/>
      <c r="AE86" s="323"/>
      <c r="AF86" s="324">
        <f t="shared" si="17"/>
        <v>2.0124907949951817E-3</v>
      </c>
      <c r="AG86" s="312"/>
      <c r="AH86" s="312"/>
      <c r="AI86" s="325">
        <f t="shared" si="18"/>
        <v>1</v>
      </c>
      <c r="AJ86" s="312"/>
      <c r="AK86" s="312"/>
      <c r="AL86" s="312"/>
      <c r="AM86" s="312"/>
      <c r="AN86" s="312"/>
      <c r="AO86" s="312"/>
      <c r="AP86" s="312"/>
      <c r="AQ86" s="312"/>
      <c r="AR86" s="312"/>
      <c r="AS86" s="312"/>
      <c r="AT86" s="312"/>
      <c r="AU86" s="312"/>
      <c r="AV86" s="312"/>
      <c r="AW86" s="312"/>
      <c r="AX86" s="312"/>
      <c r="AY86" s="312"/>
      <c r="AZ86" s="312"/>
      <c r="BA86" s="312"/>
      <c r="BB86" s="312"/>
      <c r="BC86" s="312"/>
      <c r="BD86" s="312"/>
      <c r="BE86" s="312"/>
      <c r="BF86" s="312"/>
      <c r="BG86" s="312"/>
      <c r="BH86" s="312"/>
      <c r="BI86" s="312"/>
      <c r="BJ86" s="312"/>
      <c r="BK86" s="312"/>
      <c r="BL86" s="312"/>
      <c r="BM86" s="312"/>
      <c r="BN86" s="312"/>
      <c r="BO86" s="312"/>
      <c r="BP86" s="312"/>
      <c r="BQ86" s="312"/>
      <c r="BR86" s="312"/>
      <c r="BS86" s="312"/>
      <c r="BT86" s="312"/>
      <c r="BU86" s="312"/>
      <c r="BV86" s="312"/>
      <c r="BW86" s="312"/>
      <c r="BX86" s="312"/>
      <c r="BY86" s="312"/>
      <c r="BZ86" s="312"/>
      <c r="CA86" s="312"/>
      <c r="CB86" s="312"/>
      <c r="CC86" s="312"/>
      <c r="CD86" s="312"/>
      <c r="CE86" s="312"/>
      <c r="CF86" s="312"/>
      <c r="CG86" s="312"/>
      <c r="CH86" s="312"/>
      <c r="CI86" s="312"/>
      <c r="CJ86" s="312"/>
      <c r="CK86" s="312"/>
      <c r="CL86" s="312"/>
      <c r="CM86" s="312"/>
      <c r="CN86" s="312"/>
      <c r="CO86" s="312"/>
      <c r="CP86" s="312"/>
      <c r="CQ86" s="312"/>
      <c r="CR86" s="312"/>
      <c r="CS86" s="312"/>
      <c r="CT86" s="312"/>
      <c r="CU86" s="312"/>
      <c r="CV86" s="312"/>
      <c r="CW86" s="312"/>
      <c r="CX86" s="312"/>
      <c r="CY86" s="312"/>
      <c r="CZ86" s="312"/>
      <c r="DA86" s="312"/>
      <c r="DB86" s="312"/>
      <c r="DC86" s="312"/>
      <c r="DD86" s="312"/>
      <c r="DE86" s="312"/>
      <c r="DF86" s="312"/>
      <c r="DG86" s="312"/>
      <c r="DH86" s="312"/>
      <c r="DI86" s="312"/>
      <c r="DJ86" s="312"/>
      <c r="DK86" s="312"/>
      <c r="DL86" s="312"/>
      <c r="DM86" s="312"/>
      <c r="DN86" s="312"/>
      <c r="DO86" s="312"/>
      <c r="DP86" s="312"/>
      <c r="DQ86" s="312"/>
      <c r="DR86" s="312"/>
      <c r="DS86" s="312"/>
      <c r="DT86" s="312"/>
      <c r="DU86" s="312"/>
      <c r="DV86" s="312"/>
      <c r="DW86" s="312"/>
      <c r="DX86" s="312"/>
      <c r="DY86" s="312"/>
      <c r="DZ86" s="312"/>
      <c r="EA86" s="312"/>
      <c r="EB86" s="312"/>
      <c r="EC86" s="312"/>
      <c r="ED86" s="312"/>
      <c r="EE86" s="312"/>
      <c r="EF86" s="312"/>
      <c r="EG86" s="312"/>
      <c r="EH86" s="312"/>
      <c r="EI86" s="312"/>
      <c r="EJ86" s="312"/>
      <c r="EK86" s="312"/>
      <c r="EL86" s="312"/>
      <c r="EM86" s="312"/>
      <c r="EN86" s="312"/>
      <c r="EO86" s="312"/>
      <c r="EP86" s="312"/>
      <c r="EQ86" s="312"/>
      <c r="ER86" s="312"/>
      <c r="ES86" s="312"/>
      <c r="ET86" s="312"/>
      <c r="EU86" s="312"/>
      <c r="EV86" s="312"/>
      <c r="EW86" s="312"/>
      <c r="EX86" s="312"/>
      <c r="EY86" s="312"/>
      <c r="EZ86" s="312"/>
      <c r="FA86" s="312"/>
      <c r="FB86" s="312"/>
      <c r="FC86" s="312"/>
      <c r="FD86" s="312"/>
      <c r="FE86" s="312"/>
      <c r="FF86" s="312"/>
      <c r="FG86" s="312"/>
      <c r="FH86" s="312"/>
      <c r="FI86" s="312"/>
      <c r="FJ86" s="312"/>
      <c r="FK86" s="312"/>
      <c r="FL86" s="312"/>
      <c r="FM86" s="312"/>
      <c r="FN86" s="312"/>
      <c r="FO86" s="312"/>
      <c r="FP86" s="312"/>
      <c r="FQ86" s="312"/>
      <c r="FR86" s="312"/>
      <c r="FS86" s="312"/>
      <c r="FT86" s="312"/>
      <c r="FU86" s="312"/>
      <c r="FV86" s="312"/>
      <c r="FW86" s="312"/>
      <c r="FX86" s="312"/>
      <c r="FY86" s="312"/>
      <c r="FZ86" s="312"/>
      <c r="GA86" s="312"/>
      <c r="GB86" s="312"/>
      <c r="GC86" s="312"/>
      <c r="GD86" s="312"/>
      <c r="GE86" s="312"/>
      <c r="GF86" s="312"/>
      <c r="GG86" s="312"/>
      <c r="GH86" s="312"/>
      <c r="GI86" s="312"/>
      <c r="GJ86" s="312"/>
      <c r="GK86" s="312"/>
      <c r="GL86" s="312"/>
      <c r="GM86" s="312"/>
      <c r="GN86" s="312"/>
      <c r="GO86" s="312"/>
      <c r="GP86" s="312"/>
      <c r="GQ86" s="312"/>
      <c r="GR86" s="312"/>
      <c r="GS86" s="312"/>
      <c r="GT86" s="312"/>
      <c r="GU86" s="312"/>
      <c r="GV86" s="312"/>
      <c r="GW86" s="312"/>
      <c r="GX86" s="312"/>
      <c r="GY86" s="312"/>
    </row>
    <row r="87" spans="2:207" ht="15.75" x14ac:dyDescent="0.25">
      <c r="B87" s="316">
        <f t="shared" si="1"/>
        <v>57</v>
      </c>
      <c r="C87" s="330">
        <f>'סיכום לוועדה'!B87</f>
        <v>1001350660</v>
      </c>
      <c r="D87" s="330">
        <f>'סיכום לוועדה'!C87</f>
        <v>1001269476</v>
      </c>
      <c r="E87" s="330">
        <f>'סיכום לוועדה'!D87</f>
        <v>40000373</v>
      </c>
      <c r="F87" s="330">
        <f>'סיכום לוועדה'!E87</f>
        <v>20000254</v>
      </c>
      <c r="G87" s="330" t="str">
        <f>'סיכום לוועדה'!F87</f>
        <v>באר שבע</v>
      </c>
      <c r="H87" s="317" t="str">
        <f>'סיכום לוועדה'!G87</f>
        <v>תיאטרון באר שבע</v>
      </c>
      <c r="I87" s="318">
        <f>'סיכום לוועדה'!U87</f>
        <v>5000000</v>
      </c>
      <c r="J87" s="319">
        <f>'סיכום לוועדה'!T87</f>
        <v>2180443.401310578</v>
      </c>
      <c r="K87" s="320">
        <f t="shared" si="2"/>
        <v>0</v>
      </c>
      <c r="L87" s="319">
        <f t="shared" si="3"/>
        <v>2180443.401310578</v>
      </c>
      <c r="M87" s="331">
        <f>'תחום תמיכה ב'!AF87</f>
        <v>1.2129954948276447E-2</v>
      </c>
      <c r="N87" s="319">
        <f t="shared" si="0"/>
        <v>2387071.2634683554</v>
      </c>
      <c r="O87" s="321">
        <f t="shared" si="4"/>
        <v>0</v>
      </c>
      <c r="P87" s="322">
        <f t="shared" si="5"/>
        <v>2387071.2634683554</v>
      </c>
      <c r="Q87" s="322">
        <f t="shared" si="6"/>
        <v>2388158.1600587312</v>
      </c>
      <c r="R87" s="321">
        <f t="shared" si="7"/>
        <v>0</v>
      </c>
      <c r="S87" s="322">
        <f t="shared" si="8"/>
        <v>2388158.1600587312</v>
      </c>
      <c r="T87" s="322">
        <f t="shared" si="9"/>
        <v>2388158.1600587266</v>
      </c>
      <c r="U87" s="321">
        <f t="shared" si="10"/>
        <v>0</v>
      </c>
      <c r="V87" s="322">
        <f t="shared" si="11"/>
        <v>2388158.1600587266</v>
      </c>
      <c r="W87" s="322">
        <f t="shared" si="12"/>
        <v>2388158.1600587275</v>
      </c>
      <c r="X87" s="321">
        <f t="shared" si="13"/>
        <v>0</v>
      </c>
      <c r="Y87" s="322">
        <f t="shared" si="14"/>
        <v>2388158.1600587275</v>
      </c>
      <c r="Z87" s="322">
        <f t="shared" si="15"/>
        <v>2388158.160058727</v>
      </c>
      <c r="AA87" s="323">
        <f t="shared" si="16"/>
        <v>2388158.160058727</v>
      </c>
      <c r="AB87" s="323"/>
      <c r="AC87" s="323"/>
      <c r="AD87" s="323"/>
      <c r="AE87" s="323"/>
      <c r="AF87" s="324">
        <f t="shared" si="17"/>
        <v>1.3676464908477378E-2</v>
      </c>
      <c r="AG87" s="312"/>
      <c r="AH87" s="312"/>
      <c r="AI87" s="325">
        <f t="shared" si="18"/>
        <v>1</v>
      </c>
      <c r="AJ87" s="312"/>
      <c r="AK87" s="312"/>
      <c r="AL87" s="312"/>
      <c r="AM87" s="312"/>
      <c r="AN87" s="312"/>
      <c r="AO87" s="312"/>
      <c r="AP87" s="312"/>
      <c r="AQ87" s="312"/>
      <c r="AR87" s="312"/>
      <c r="AS87" s="312"/>
      <c r="AT87" s="312"/>
      <c r="AU87" s="312"/>
      <c r="AV87" s="312"/>
      <c r="AW87" s="312"/>
      <c r="AX87" s="312"/>
      <c r="AY87" s="312"/>
      <c r="AZ87" s="312"/>
      <c r="BA87" s="312"/>
      <c r="BB87" s="312"/>
      <c r="BC87" s="312"/>
      <c r="BD87" s="312"/>
      <c r="BE87" s="312"/>
      <c r="BF87" s="312"/>
      <c r="BG87" s="312"/>
      <c r="BH87" s="312"/>
      <c r="BI87" s="312"/>
      <c r="BJ87" s="312"/>
      <c r="BK87" s="312"/>
      <c r="BL87" s="312"/>
      <c r="BM87" s="312"/>
      <c r="BN87" s="312"/>
      <c r="BO87" s="312"/>
      <c r="BP87" s="312"/>
      <c r="BQ87" s="312"/>
      <c r="BR87" s="312"/>
      <c r="BS87" s="312"/>
      <c r="BT87" s="312"/>
      <c r="BU87" s="312"/>
      <c r="BV87" s="312"/>
      <c r="BW87" s="312"/>
      <c r="BX87" s="312"/>
      <c r="BY87" s="312"/>
      <c r="BZ87" s="312"/>
      <c r="CA87" s="312"/>
      <c r="CB87" s="312"/>
      <c r="CC87" s="312"/>
      <c r="CD87" s="312"/>
      <c r="CE87" s="312"/>
      <c r="CF87" s="312"/>
      <c r="CG87" s="312"/>
      <c r="CH87" s="312"/>
      <c r="CI87" s="312"/>
      <c r="CJ87" s="312"/>
      <c r="CK87" s="312"/>
      <c r="CL87" s="312"/>
      <c r="CM87" s="312"/>
      <c r="CN87" s="312"/>
      <c r="CO87" s="312"/>
      <c r="CP87" s="312"/>
      <c r="CQ87" s="312"/>
      <c r="CR87" s="312"/>
      <c r="CS87" s="312"/>
      <c r="CT87" s="312"/>
      <c r="CU87" s="312"/>
      <c r="CV87" s="312"/>
      <c r="CW87" s="312"/>
      <c r="CX87" s="312"/>
      <c r="CY87" s="312"/>
      <c r="CZ87" s="312"/>
      <c r="DA87" s="312"/>
      <c r="DB87" s="312"/>
      <c r="DC87" s="312"/>
      <c r="DD87" s="312"/>
      <c r="DE87" s="312"/>
      <c r="DF87" s="312"/>
      <c r="DG87" s="312"/>
      <c r="DH87" s="312"/>
      <c r="DI87" s="312"/>
      <c r="DJ87" s="312"/>
      <c r="DK87" s="312"/>
      <c r="DL87" s="312"/>
      <c r="DM87" s="312"/>
      <c r="DN87" s="312"/>
      <c r="DO87" s="312"/>
      <c r="DP87" s="312"/>
      <c r="DQ87" s="312"/>
      <c r="DR87" s="312"/>
      <c r="DS87" s="312"/>
      <c r="DT87" s="312"/>
      <c r="DU87" s="312"/>
      <c r="DV87" s="312"/>
      <c r="DW87" s="312"/>
      <c r="DX87" s="312"/>
      <c r="DY87" s="312"/>
      <c r="DZ87" s="312"/>
      <c r="EA87" s="312"/>
      <c r="EB87" s="312"/>
      <c r="EC87" s="312"/>
      <c r="ED87" s="312"/>
      <c r="EE87" s="312"/>
      <c r="EF87" s="312"/>
      <c r="EG87" s="312"/>
      <c r="EH87" s="312"/>
      <c r="EI87" s="312"/>
      <c r="EJ87" s="312"/>
      <c r="EK87" s="312"/>
      <c r="EL87" s="312"/>
      <c r="EM87" s="312"/>
      <c r="EN87" s="312"/>
      <c r="EO87" s="312"/>
      <c r="EP87" s="312"/>
      <c r="EQ87" s="312"/>
      <c r="ER87" s="312"/>
      <c r="ES87" s="312"/>
      <c r="ET87" s="312"/>
      <c r="EU87" s="312"/>
      <c r="EV87" s="312"/>
      <c r="EW87" s="312"/>
      <c r="EX87" s="312"/>
      <c r="EY87" s="312"/>
      <c r="EZ87" s="312"/>
      <c r="FA87" s="312"/>
      <c r="FB87" s="312"/>
      <c r="FC87" s="312"/>
      <c r="FD87" s="312"/>
      <c r="FE87" s="312"/>
      <c r="FF87" s="312"/>
      <c r="FG87" s="312"/>
      <c r="FH87" s="312"/>
      <c r="FI87" s="312"/>
      <c r="FJ87" s="312"/>
      <c r="FK87" s="312"/>
      <c r="FL87" s="312"/>
      <c r="FM87" s="312"/>
      <c r="FN87" s="312"/>
      <c r="FO87" s="312"/>
      <c r="FP87" s="312"/>
      <c r="FQ87" s="312"/>
      <c r="FR87" s="312"/>
      <c r="FS87" s="312"/>
      <c r="FT87" s="312"/>
      <c r="FU87" s="312"/>
      <c r="FV87" s="312"/>
      <c r="FW87" s="312"/>
      <c r="FX87" s="312"/>
      <c r="FY87" s="312"/>
      <c r="FZ87" s="312"/>
      <c r="GA87" s="312"/>
      <c r="GB87" s="312"/>
      <c r="GC87" s="312"/>
      <c r="GD87" s="312"/>
      <c r="GE87" s="312"/>
      <c r="GF87" s="312"/>
      <c r="GG87" s="312"/>
      <c r="GH87" s="312"/>
      <c r="GI87" s="312"/>
      <c r="GJ87" s="312"/>
      <c r="GK87" s="312"/>
      <c r="GL87" s="312"/>
      <c r="GM87" s="312"/>
      <c r="GN87" s="312"/>
      <c r="GO87" s="312"/>
      <c r="GP87" s="312"/>
      <c r="GQ87" s="312"/>
      <c r="GR87" s="312"/>
      <c r="GS87" s="312"/>
      <c r="GT87" s="312"/>
      <c r="GU87" s="312"/>
      <c r="GV87" s="312"/>
      <c r="GW87" s="312"/>
      <c r="GX87" s="312"/>
      <c r="GY87" s="312"/>
    </row>
    <row r="88" spans="2:207" ht="15.75" x14ac:dyDescent="0.25">
      <c r="B88" s="316">
        <f t="shared" si="1"/>
        <v>58</v>
      </c>
      <c r="C88" s="330">
        <f>'סיכום לוועדה'!B88</f>
        <v>1001348833</v>
      </c>
      <c r="D88" s="330">
        <f>'סיכום לוועדה'!C88</f>
        <v>1001279924</v>
      </c>
      <c r="E88" s="330">
        <f>'סיכום לוועדה'!D88</f>
        <v>40000399</v>
      </c>
      <c r="F88" s="330">
        <f>'סיכום לוועדה'!E88</f>
        <v>20000159</v>
      </c>
      <c r="G88" s="330" t="str">
        <f>'סיכום לוועדה'!F88</f>
        <v>ירושלים</v>
      </c>
      <c r="H88" s="317" t="str">
        <f>'סיכום לוועדה'!G88</f>
        <v>הקאמרטה הישראלית ירושלים</v>
      </c>
      <c r="I88" s="318">
        <f>'סיכום לוועדה'!U88</f>
        <v>2400000</v>
      </c>
      <c r="J88" s="319">
        <f>'סיכום לוועדה'!T88</f>
        <v>603560.58732295642</v>
      </c>
      <c r="K88" s="320">
        <f t="shared" si="2"/>
        <v>0</v>
      </c>
      <c r="L88" s="319">
        <f t="shared" si="3"/>
        <v>603560.58732295642</v>
      </c>
      <c r="M88" s="331">
        <f>'תחום תמיכה ב'!AF88</f>
        <v>3.096376517369184E-3</v>
      </c>
      <c r="N88" s="319">
        <f t="shared" si="0"/>
        <v>656305.85001747683</v>
      </c>
      <c r="O88" s="321">
        <f t="shared" si="4"/>
        <v>0</v>
      </c>
      <c r="P88" s="322">
        <f t="shared" si="5"/>
        <v>656305.85001747683</v>
      </c>
      <c r="Q88" s="322">
        <f t="shared" si="6"/>
        <v>656604.6834044581</v>
      </c>
      <c r="R88" s="321">
        <f t="shared" si="7"/>
        <v>0</v>
      </c>
      <c r="S88" s="322">
        <f t="shared" si="8"/>
        <v>656604.6834044581</v>
      </c>
      <c r="T88" s="322">
        <f t="shared" si="9"/>
        <v>656604.68340445682</v>
      </c>
      <c r="U88" s="321">
        <f t="shared" si="10"/>
        <v>0</v>
      </c>
      <c r="V88" s="322">
        <f t="shared" si="11"/>
        <v>656604.68340445682</v>
      </c>
      <c r="W88" s="322">
        <f t="shared" si="12"/>
        <v>656604.68340445706</v>
      </c>
      <c r="X88" s="321">
        <f t="shared" si="13"/>
        <v>0</v>
      </c>
      <c r="Y88" s="322">
        <f t="shared" si="14"/>
        <v>656604.68340445706</v>
      </c>
      <c r="Z88" s="322">
        <f t="shared" si="15"/>
        <v>656604.68340445694</v>
      </c>
      <c r="AA88" s="323">
        <f t="shared" si="16"/>
        <v>656604.68340445694</v>
      </c>
      <c r="AB88" s="323"/>
      <c r="AC88" s="323"/>
      <c r="AD88" s="323"/>
      <c r="AE88" s="323"/>
      <c r="AF88" s="324">
        <f t="shared" si="17"/>
        <v>3.760232911501191E-3</v>
      </c>
      <c r="AG88" s="312"/>
      <c r="AH88" s="312"/>
      <c r="AI88" s="325">
        <f t="shared" si="18"/>
        <v>1</v>
      </c>
      <c r="AJ88" s="312"/>
      <c r="AK88" s="312"/>
      <c r="AL88" s="312"/>
      <c r="AM88" s="312"/>
      <c r="AN88" s="312"/>
      <c r="AO88" s="312"/>
      <c r="AP88" s="312"/>
      <c r="AQ88" s="312"/>
      <c r="AR88" s="312"/>
      <c r="AS88" s="312"/>
      <c r="AT88" s="312"/>
      <c r="AU88" s="312"/>
      <c r="AV88" s="312"/>
      <c r="AW88" s="312"/>
      <c r="AX88" s="312"/>
      <c r="AY88" s="312"/>
      <c r="AZ88" s="312"/>
      <c r="BA88" s="312"/>
      <c r="BB88" s="312"/>
      <c r="BC88" s="312"/>
      <c r="BD88" s="312"/>
      <c r="BE88" s="312"/>
      <c r="BF88" s="312"/>
      <c r="BG88" s="312"/>
      <c r="BH88" s="312"/>
      <c r="BI88" s="312"/>
      <c r="BJ88" s="312"/>
      <c r="BK88" s="312"/>
      <c r="BL88" s="312"/>
      <c r="BM88" s="312"/>
      <c r="BN88" s="312"/>
      <c r="BO88" s="312"/>
      <c r="BP88" s="312"/>
      <c r="BQ88" s="312"/>
      <c r="BR88" s="312"/>
      <c r="BS88" s="312"/>
      <c r="BT88" s="312"/>
      <c r="BU88" s="312"/>
      <c r="BV88" s="312"/>
      <c r="BW88" s="312"/>
      <c r="BX88" s="312"/>
      <c r="BY88" s="312"/>
      <c r="BZ88" s="312"/>
      <c r="CA88" s="312"/>
      <c r="CB88" s="312"/>
      <c r="CC88" s="312"/>
      <c r="CD88" s="312"/>
      <c r="CE88" s="312"/>
      <c r="CF88" s="312"/>
      <c r="CG88" s="312"/>
      <c r="CH88" s="312"/>
      <c r="CI88" s="312"/>
      <c r="CJ88" s="312"/>
      <c r="CK88" s="312"/>
      <c r="CL88" s="312"/>
      <c r="CM88" s="312"/>
      <c r="CN88" s="312"/>
      <c r="CO88" s="312"/>
      <c r="CP88" s="312"/>
      <c r="CQ88" s="312"/>
      <c r="CR88" s="312"/>
      <c r="CS88" s="312"/>
      <c r="CT88" s="312"/>
      <c r="CU88" s="312"/>
      <c r="CV88" s="312"/>
      <c r="CW88" s="312"/>
      <c r="CX88" s="312"/>
      <c r="CY88" s="312"/>
      <c r="CZ88" s="312"/>
      <c r="DA88" s="312"/>
      <c r="DB88" s="312"/>
      <c r="DC88" s="312"/>
      <c r="DD88" s="312"/>
      <c r="DE88" s="312"/>
      <c r="DF88" s="312"/>
      <c r="DG88" s="312"/>
      <c r="DH88" s="312"/>
      <c r="DI88" s="312"/>
      <c r="DJ88" s="312"/>
      <c r="DK88" s="312"/>
      <c r="DL88" s="312"/>
      <c r="DM88" s="312"/>
      <c r="DN88" s="312"/>
      <c r="DO88" s="312"/>
      <c r="DP88" s="312"/>
      <c r="DQ88" s="312"/>
      <c r="DR88" s="312"/>
      <c r="DS88" s="312"/>
      <c r="DT88" s="312"/>
      <c r="DU88" s="312"/>
      <c r="DV88" s="312"/>
      <c r="DW88" s="312"/>
      <c r="DX88" s="312"/>
      <c r="DY88" s="312"/>
      <c r="DZ88" s="312"/>
      <c r="EA88" s="312"/>
      <c r="EB88" s="312"/>
      <c r="EC88" s="312"/>
      <c r="ED88" s="312"/>
      <c r="EE88" s="312"/>
      <c r="EF88" s="312"/>
      <c r="EG88" s="312"/>
      <c r="EH88" s="312"/>
      <c r="EI88" s="312"/>
      <c r="EJ88" s="312"/>
      <c r="EK88" s="312"/>
      <c r="EL88" s="312"/>
      <c r="EM88" s="312"/>
      <c r="EN88" s="312"/>
      <c r="EO88" s="312"/>
      <c r="EP88" s="312"/>
      <c r="EQ88" s="312"/>
      <c r="ER88" s="312"/>
      <c r="ES88" s="312"/>
      <c r="ET88" s="312"/>
      <c r="EU88" s="312"/>
      <c r="EV88" s="312"/>
      <c r="EW88" s="312"/>
      <c r="EX88" s="312"/>
      <c r="EY88" s="312"/>
      <c r="EZ88" s="312"/>
      <c r="FA88" s="312"/>
      <c r="FB88" s="312"/>
      <c r="FC88" s="312"/>
      <c r="FD88" s="312"/>
      <c r="FE88" s="312"/>
      <c r="FF88" s="312"/>
      <c r="FG88" s="312"/>
      <c r="FH88" s="312"/>
      <c r="FI88" s="312"/>
      <c r="FJ88" s="312"/>
      <c r="FK88" s="312"/>
      <c r="FL88" s="312"/>
      <c r="FM88" s="312"/>
      <c r="FN88" s="312"/>
      <c r="FO88" s="312"/>
      <c r="FP88" s="312"/>
      <c r="FQ88" s="312"/>
      <c r="FR88" s="312"/>
      <c r="FS88" s="312"/>
      <c r="FT88" s="312"/>
      <c r="FU88" s="312"/>
      <c r="FV88" s="312"/>
      <c r="FW88" s="312"/>
      <c r="FX88" s="312"/>
      <c r="FY88" s="312"/>
      <c r="FZ88" s="312"/>
      <c r="GA88" s="312"/>
      <c r="GB88" s="312"/>
      <c r="GC88" s="312"/>
      <c r="GD88" s="312"/>
      <c r="GE88" s="312"/>
      <c r="GF88" s="312"/>
      <c r="GG88" s="312"/>
      <c r="GH88" s="312"/>
      <c r="GI88" s="312"/>
      <c r="GJ88" s="312"/>
      <c r="GK88" s="312"/>
      <c r="GL88" s="312"/>
      <c r="GM88" s="312"/>
      <c r="GN88" s="312"/>
      <c r="GO88" s="312"/>
      <c r="GP88" s="312"/>
      <c r="GQ88" s="312"/>
      <c r="GR88" s="312"/>
      <c r="GS88" s="312"/>
      <c r="GT88" s="312"/>
      <c r="GU88" s="312"/>
      <c r="GV88" s="312"/>
      <c r="GW88" s="312"/>
      <c r="GX88" s="312"/>
      <c r="GY88" s="312"/>
    </row>
    <row r="89" spans="2:207" ht="15.75" x14ac:dyDescent="0.25">
      <c r="B89" s="316">
        <f t="shared" si="1"/>
        <v>59</v>
      </c>
      <c r="C89" s="330">
        <f>'סיכום לוועדה'!B89</f>
        <v>1001349874</v>
      </c>
      <c r="D89" s="330">
        <f>'סיכום לוועדה'!C89</f>
        <v>1001269409</v>
      </c>
      <c r="E89" s="330">
        <f>'סיכום לוועדה'!D89</f>
        <v>40000299</v>
      </c>
      <c r="F89" s="330">
        <f>'סיכום לוועדה'!E89</f>
        <v>20000201</v>
      </c>
      <c r="G89" s="330" t="str">
        <f>'סיכום לוועדה'!F89</f>
        <v>תל אביב -יפו</v>
      </c>
      <c r="H89" s="317" t="str">
        <f>'סיכום לוועדה'!G89</f>
        <v>מוזיאון ארץ ישראל ת"א</v>
      </c>
      <c r="I89" s="318">
        <f>'סיכום לוועדה'!U89</f>
        <v>2500000</v>
      </c>
      <c r="J89" s="319">
        <f>'סיכום לוועדה'!T89</f>
        <v>2280865.4032315565</v>
      </c>
      <c r="K89" s="320">
        <f t="shared" si="2"/>
        <v>0</v>
      </c>
      <c r="L89" s="319">
        <f t="shared" si="3"/>
        <v>2280865.4032315565</v>
      </c>
      <c r="M89" s="331">
        <f>'תחום תמיכה ב'!AF89</f>
        <v>1.0474849868413957E-2</v>
      </c>
      <c r="N89" s="319">
        <f t="shared" si="0"/>
        <v>2459299.3581772498</v>
      </c>
      <c r="O89" s="321">
        <f t="shared" si="4"/>
        <v>0</v>
      </c>
      <c r="P89" s="322">
        <f t="shared" si="5"/>
        <v>2459299.3581772498</v>
      </c>
      <c r="Q89" s="322">
        <f t="shared" si="6"/>
        <v>2460419.1421267381</v>
      </c>
      <c r="R89" s="321">
        <f t="shared" si="7"/>
        <v>0</v>
      </c>
      <c r="S89" s="322">
        <f t="shared" si="8"/>
        <v>2460419.1421267381</v>
      </c>
      <c r="T89" s="322">
        <f t="shared" si="9"/>
        <v>2460419.1421267334</v>
      </c>
      <c r="U89" s="321">
        <f t="shared" si="10"/>
        <v>0</v>
      </c>
      <c r="V89" s="322">
        <f t="shared" si="11"/>
        <v>2460419.1421267334</v>
      </c>
      <c r="W89" s="322">
        <f t="shared" si="12"/>
        <v>2460419.1421267344</v>
      </c>
      <c r="X89" s="321">
        <f t="shared" si="13"/>
        <v>0</v>
      </c>
      <c r="Y89" s="322">
        <f t="shared" si="14"/>
        <v>2460419.1421267344</v>
      </c>
      <c r="Z89" s="322">
        <f t="shared" si="15"/>
        <v>2460419.1421267339</v>
      </c>
      <c r="AA89" s="323">
        <f t="shared" si="16"/>
        <v>2460419.1421267339</v>
      </c>
      <c r="AB89" s="323"/>
      <c r="AC89" s="323"/>
      <c r="AD89" s="323"/>
      <c r="AE89" s="323"/>
      <c r="AF89" s="324">
        <f t="shared" si="17"/>
        <v>1.4090287913181936E-2</v>
      </c>
      <c r="AG89" s="312"/>
      <c r="AH89" s="312"/>
      <c r="AI89" s="325">
        <f t="shared" si="18"/>
        <v>1</v>
      </c>
      <c r="AJ89" s="312"/>
      <c r="AK89" s="312"/>
      <c r="AL89" s="312"/>
      <c r="AM89" s="312"/>
      <c r="AN89" s="312"/>
      <c r="AO89" s="312"/>
      <c r="AP89" s="312"/>
      <c r="AQ89" s="312"/>
      <c r="AR89" s="312"/>
      <c r="AS89" s="312"/>
      <c r="AT89" s="312"/>
      <c r="AU89" s="312"/>
      <c r="AV89" s="312"/>
      <c r="AW89" s="312"/>
      <c r="AX89" s="312"/>
      <c r="AY89" s="312"/>
      <c r="AZ89" s="312"/>
      <c r="BA89" s="312"/>
      <c r="BB89" s="312"/>
      <c r="BC89" s="312"/>
      <c r="BD89" s="312"/>
      <c r="BE89" s="312"/>
      <c r="BF89" s="312"/>
      <c r="BG89" s="312"/>
      <c r="BH89" s="312"/>
      <c r="BI89" s="312"/>
      <c r="BJ89" s="312"/>
      <c r="BK89" s="312"/>
      <c r="BL89" s="312"/>
      <c r="BM89" s="312"/>
      <c r="BN89" s="312"/>
      <c r="BO89" s="312"/>
      <c r="BP89" s="312"/>
      <c r="BQ89" s="312"/>
      <c r="BR89" s="312"/>
      <c r="BS89" s="312"/>
      <c r="BT89" s="312"/>
      <c r="BU89" s="312"/>
      <c r="BV89" s="312"/>
      <c r="BW89" s="312"/>
      <c r="BX89" s="312"/>
      <c r="BY89" s="312"/>
      <c r="BZ89" s="312"/>
      <c r="CA89" s="312"/>
      <c r="CB89" s="312"/>
      <c r="CC89" s="312"/>
      <c r="CD89" s="312"/>
      <c r="CE89" s="312"/>
      <c r="CF89" s="312"/>
      <c r="CG89" s="312"/>
      <c r="CH89" s="312"/>
      <c r="CI89" s="312"/>
      <c r="CJ89" s="312"/>
      <c r="CK89" s="312"/>
      <c r="CL89" s="312"/>
      <c r="CM89" s="312"/>
      <c r="CN89" s="312"/>
      <c r="CO89" s="312"/>
      <c r="CP89" s="312"/>
      <c r="CQ89" s="312"/>
      <c r="CR89" s="312"/>
      <c r="CS89" s="312"/>
      <c r="CT89" s="312"/>
      <c r="CU89" s="312"/>
      <c r="CV89" s="312"/>
      <c r="CW89" s="312"/>
      <c r="CX89" s="312"/>
      <c r="CY89" s="312"/>
      <c r="CZ89" s="312"/>
      <c r="DA89" s="312"/>
      <c r="DB89" s="312"/>
      <c r="DC89" s="312"/>
      <c r="DD89" s="312"/>
      <c r="DE89" s="312"/>
      <c r="DF89" s="312"/>
      <c r="DG89" s="312"/>
      <c r="DH89" s="312"/>
      <c r="DI89" s="312"/>
      <c r="DJ89" s="312"/>
      <c r="DK89" s="312"/>
      <c r="DL89" s="312"/>
      <c r="DM89" s="312"/>
      <c r="DN89" s="312"/>
      <c r="DO89" s="312"/>
      <c r="DP89" s="312"/>
      <c r="DQ89" s="312"/>
      <c r="DR89" s="312"/>
      <c r="DS89" s="312"/>
      <c r="DT89" s="312"/>
      <c r="DU89" s="312"/>
      <c r="DV89" s="312"/>
      <c r="DW89" s="312"/>
      <c r="DX89" s="312"/>
      <c r="DY89" s="312"/>
      <c r="DZ89" s="312"/>
      <c r="EA89" s="312"/>
      <c r="EB89" s="312"/>
      <c r="EC89" s="312"/>
      <c r="ED89" s="312"/>
      <c r="EE89" s="312"/>
      <c r="EF89" s="312"/>
      <c r="EG89" s="312"/>
      <c r="EH89" s="312"/>
      <c r="EI89" s="312"/>
      <c r="EJ89" s="312"/>
      <c r="EK89" s="312"/>
      <c r="EL89" s="312"/>
      <c r="EM89" s="312"/>
      <c r="EN89" s="312"/>
      <c r="EO89" s="312"/>
      <c r="EP89" s="312"/>
      <c r="EQ89" s="312"/>
      <c r="ER89" s="312"/>
      <c r="ES89" s="312"/>
      <c r="ET89" s="312"/>
      <c r="EU89" s="312"/>
      <c r="EV89" s="312"/>
      <c r="EW89" s="312"/>
      <c r="EX89" s="312"/>
      <c r="EY89" s="312"/>
      <c r="EZ89" s="312"/>
      <c r="FA89" s="312"/>
      <c r="FB89" s="312"/>
      <c r="FC89" s="312"/>
      <c r="FD89" s="312"/>
      <c r="FE89" s="312"/>
      <c r="FF89" s="312"/>
      <c r="FG89" s="312"/>
      <c r="FH89" s="312"/>
      <c r="FI89" s="312"/>
      <c r="FJ89" s="312"/>
      <c r="FK89" s="312"/>
      <c r="FL89" s="312"/>
      <c r="FM89" s="312"/>
      <c r="FN89" s="312"/>
      <c r="FO89" s="312"/>
      <c r="FP89" s="312"/>
      <c r="FQ89" s="312"/>
      <c r="FR89" s="312"/>
      <c r="FS89" s="312"/>
      <c r="FT89" s="312"/>
      <c r="FU89" s="312"/>
      <c r="FV89" s="312"/>
      <c r="FW89" s="312"/>
      <c r="FX89" s="312"/>
      <c r="FY89" s="312"/>
      <c r="FZ89" s="312"/>
      <c r="GA89" s="312"/>
      <c r="GB89" s="312"/>
      <c r="GC89" s="312"/>
      <c r="GD89" s="312"/>
      <c r="GE89" s="312"/>
      <c r="GF89" s="312"/>
      <c r="GG89" s="312"/>
      <c r="GH89" s="312"/>
      <c r="GI89" s="312"/>
      <c r="GJ89" s="312"/>
      <c r="GK89" s="312"/>
      <c r="GL89" s="312"/>
      <c r="GM89" s="312"/>
      <c r="GN89" s="312"/>
      <c r="GO89" s="312"/>
      <c r="GP89" s="312"/>
      <c r="GQ89" s="312"/>
      <c r="GR89" s="312"/>
      <c r="GS89" s="312"/>
      <c r="GT89" s="312"/>
      <c r="GU89" s="312"/>
      <c r="GV89" s="312"/>
      <c r="GW89" s="312"/>
      <c r="GX89" s="312"/>
      <c r="GY89" s="312"/>
    </row>
    <row r="90" spans="2:207" ht="15.75" x14ac:dyDescent="0.25">
      <c r="B90" s="316">
        <f t="shared" si="1"/>
        <v>60</v>
      </c>
      <c r="C90" s="330">
        <f>'סיכום לוועדה'!B90</f>
        <v>1001351086</v>
      </c>
      <c r="D90" s="330">
        <f>'סיכום לוועדה'!C90</f>
        <v>1001263868</v>
      </c>
      <c r="E90" s="330">
        <f>'סיכום לוועדה'!D90</f>
        <v>40000490</v>
      </c>
      <c r="F90" s="330">
        <f>'סיכום לוועדה'!E90</f>
        <v>20000201</v>
      </c>
      <c r="G90" s="330" t="str">
        <f>'סיכום לוועדה'!F90</f>
        <v>תל אביב -יפו</v>
      </c>
      <c r="H90" s="317" t="str">
        <f>'סיכום לוועדה'!G90</f>
        <v>המקהלה הקאמרית תל אביב</v>
      </c>
      <c r="I90" s="318">
        <f>'סיכום לוועדה'!U90</f>
        <v>120000</v>
      </c>
      <c r="J90" s="319">
        <f>'סיכום לוועדה'!T90</f>
        <v>8800.1016747218873</v>
      </c>
      <c r="K90" s="320">
        <f t="shared" si="2"/>
        <v>0</v>
      </c>
      <c r="L90" s="319">
        <f t="shared" si="3"/>
        <v>8800.1016747218873</v>
      </c>
      <c r="M90" s="331">
        <f>'תחום תמיכה ב'!AF90</f>
        <v>3.6994178933278125E-5</v>
      </c>
      <c r="N90" s="319">
        <f t="shared" si="0"/>
        <v>9430.279456738439</v>
      </c>
      <c r="O90" s="321">
        <f t="shared" si="4"/>
        <v>0</v>
      </c>
      <c r="P90" s="322">
        <f t="shared" si="5"/>
        <v>9430.279456738439</v>
      </c>
      <c r="Q90" s="322">
        <f t="shared" si="6"/>
        <v>9434.5733120349614</v>
      </c>
      <c r="R90" s="321">
        <f t="shared" si="7"/>
        <v>0</v>
      </c>
      <c r="S90" s="322">
        <f t="shared" si="8"/>
        <v>9434.5733120349614</v>
      </c>
      <c r="T90" s="322">
        <f t="shared" si="9"/>
        <v>9434.5733120349432</v>
      </c>
      <c r="U90" s="321">
        <f t="shared" si="10"/>
        <v>0</v>
      </c>
      <c r="V90" s="322">
        <f t="shared" si="11"/>
        <v>9434.5733120349432</v>
      </c>
      <c r="W90" s="322">
        <f t="shared" si="12"/>
        <v>9434.5733120349469</v>
      </c>
      <c r="X90" s="321">
        <f t="shared" si="13"/>
        <v>0</v>
      </c>
      <c r="Y90" s="322">
        <f t="shared" si="14"/>
        <v>9434.5733120349469</v>
      </c>
      <c r="Z90" s="322">
        <f t="shared" si="15"/>
        <v>9434.573312034945</v>
      </c>
      <c r="AA90" s="323">
        <f t="shared" si="16"/>
        <v>9434.573312034945</v>
      </c>
      <c r="AB90" s="323"/>
      <c r="AC90" s="323"/>
      <c r="AD90" s="323"/>
      <c r="AE90" s="323"/>
      <c r="AF90" s="324">
        <f t="shared" si="17"/>
        <v>5.4029759413141259E-5</v>
      </c>
      <c r="AG90" s="312"/>
      <c r="AH90" s="312"/>
      <c r="AI90" s="325">
        <f t="shared" si="18"/>
        <v>1</v>
      </c>
      <c r="AJ90" s="312"/>
      <c r="AK90" s="312"/>
      <c r="AL90" s="312"/>
      <c r="AM90" s="312"/>
      <c r="AN90" s="312"/>
      <c r="AO90" s="312"/>
      <c r="AP90" s="312"/>
      <c r="AQ90" s="312"/>
      <c r="AR90" s="312"/>
      <c r="AS90" s="312"/>
      <c r="AT90" s="312"/>
      <c r="AU90" s="312"/>
      <c r="AV90" s="312"/>
      <c r="AW90" s="312"/>
      <c r="AX90" s="312"/>
      <c r="AY90" s="312"/>
      <c r="AZ90" s="312"/>
      <c r="BA90" s="312"/>
      <c r="BB90" s="312"/>
      <c r="BC90" s="312"/>
      <c r="BD90" s="312"/>
      <c r="BE90" s="312"/>
      <c r="BF90" s="312"/>
      <c r="BG90" s="312"/>
      <c r="BH90" s="312"/>
      <c r="BI90" s="312"/>
      <c r="BJ90" s="312"/>
      <c r="BK90" s="312"/>
      <c r="BL90" s="312"/>
      <c r="BM90" s="312"/>
      <c r="BN90" s="312"/>
      <c r="BO90" s="312"/>
      <c r="BP90" s="312"/>
      <c r="BQ90" s="312"/>
      <c r="BR90" s="312"/>
      <c r="BS90" s="312"/>
      <c r="BT90" s="312"/>
      <c r="BU90" s="312"/>
      <c r="BV90" s="312"/>
      <c r="BW90" s="312"/>
      <c r="BX90" s="312"/>
      <c r="BY90" s="312"/>
      <c r="BZ90" s="312"/>
      <c r="CA90" s="312"/>
      <c r="CB90" s="312"/>
      <c r="CC90" s="312"/>
      <c r="CD90" s="312"/>
      <c r="CE90" s="312"/>
      <c r="CF90" s="312"/>
      <c r="CG90" s="312"/>
      <c r="CH90" s="312"/>
      <c r="CI90" s="312"/>
      <c r="CJ90" s="312"/>
      <c r="CK90" s="312"/>
      <c r="CL90" s="312"/>
      <c r="CM90" s="312"/>
      <c r="CN90" s="312"/>
      <c r="CO90" s="312"/>
      <c r="CP90" s="312"/>
      <c r="CQ90" s="312"/>
      <c r="CR90" s="312"/>
      <c r="CS90" s="312"/>
      <c r="CT90" s="312"/>
      <c r="CU90" s="312"/>
      <c r="CV90" s="312"/>
      <c r="CW90" s="312"/>
      <c r="CX90" s="312"/>
      <c r="CY90" s="312"/>
      <c r="CZ90" s="312"/>
      <c r="DA90" s="312"/>
      <c r="DB90" s="312"/>
      <c r="DC90" s="312"/>
      <c r="DD90" s="312"/>
      <c r="DE90" s="312"/>
      <c r="DF90" s="312"/>
      <c r="DG90" s="312"/>
      <c r="DH90" s="312"/>
      <c r="DI90" s="312"/>
      <c r="DJ90" s="312"/>
      <c r="DK90" s="312"/>
      <c r="DL90" s="312"/>
      <c r="DM90" s="312"/>
      <c r="DN90" s="312"/>
      <c r="DO90" s="312"/>
      <c r="DP90" s="312"/>
      <c r="DQ90" s="312"/>
      <c r="DR90" s="312"/>
      <c r="DS90" s="312"/>
      <c r="DT90" s="312"/>
      <c r="DU90" s="312"/>
      <c r="DV90" s="312"/>
      <c r="DW90" s="312"/>
      <c r="DX90" s="312"/>
      <c r="DY90" s="312"/>
      <c r="DZ90" s="312"/>
      <c r="EA90" s="312"/>
      <c r="EB90" s="312"/>
      <c r="EC90" s="312"/>
      <c r="ED90" s="312"/>
      <c r="EE90" s="312"/>
      <c r="EF90" s="312"/>
      <c r="EG90" s="312"/>
      <c r="EH90" s="312"/>
      <c r="EI90" s="312"/>
      <c r="EJ90" s="312"/>
      <c r="EK90" s="312"/>
      <c r="EL90" s="312"/>
      <c r="EM90" s="312"/>
      <c r="EN90" s="312"/>
      <c r="EO90" s="312"/>
      <c r="EP90" s="312"/>
      <c r="EQ90" s="312"/>
      <c r="ER90" s="312"/>
      <c r="ES90" s="312"/>
      <c r="ET90" s="312"/>
      <c r="EU90" s="312"/>
      <c r="EV90" s="312"/>
      <c r="EW90" s="312"/>
      <c r="EX90" s="312"/>
      <c r="EY90" s="312"/>
      <c r="EZ90" s="312"/>
      <c r="FA90" s="312"/>
      <c r="FB90" s="312"/>
      <c r="FC90" s="312"/>
      <c r="FD90" s="312"/>
      <c r="FE90" s="312"/>
      <c r="FF90" s="312"/>
      <c r="FG90" s="312"/>
      <c r="FH90" s="312"/>
      <c r="FI90" s="312"/>
      <c r="FJ90" s="312"/>
      <c r="FK90" s="312"/>
      <c r="FL90" s="312"/>
      <c r="FM90" s="312"/>
      <c r="FN90" s="312"/>
      <c r="FO90" s="312"/>
      <c r="FP90" s="312"/>
      <c r="FQ90" s="312"/>
      <c r="FR90" s="312"/>
      <c r="FS90" s="312"/>
      <c r="FT90" s="312"/>
      <c r="FU90" s="312"/>
      <c r="FV90" s="312"/>
      <c r="FW90" s="312"/>
      <c r="FX90" s="312"/>
      <c r="FY90" s="312"/>
      <c r="FZ90" s="312"/>
      <c r="GA90" s="312"/>
      <c r="GB90" s="312"/>
      <c r="GC90" s="312"/>
      <c r="GD90" s="312"/>
      <c r="GE90" s="312"/>
      <c r="GF90" s="312"/>
      <c r="GG90" s="312"/>
      <c r="GH90" s="312"/>
      <c r="GI90" s="312"/>
      <c r="GJ90" s="312"/>
      <c r="GK90" s="312"/>
      <c r="GL90" s="312"/>
      <c r="GM90" s="312"/>
      <c r="GN90" s="312"/>
      <c r="GO90" s="312"/>
      <c r="GP90" s="312"/>
      <c r="GQ90" s="312"/>
      <c r="GR90" s="312"/>
      <c r="GS90" s="312"/>
      <c r="GT90" s="312"/>
      <c r="GU90" s="312"/>
      <c r="GV90" s="312"/>
      <c r="GW90" s="312"/>
      <c r="GX90" s="312"/>
      <c r="GY90" s="312"/>
    </row>
    <row r="91" spans="2:207" ht="15.75" x14ac:dyDescent="0.25">
      <c r="B91" s="316">
        <f t="shared" si="1"/>
        <v>61</v>
      </c>
      <c r="C91" s="330">
        <f>'סיכום לוועדה'!B91</f>
        <v>1001350880</v>
      </c>
      <c r="D91" s="330">
        <f>'סיכום לוועדה'!C91</f>
        <v>1001265925</v>
      </c>
      <c r="E91" s="330">
        <f>'סיכום לוועדה'!D91</f>
        <v>40000016</v>
      </c>
      <c r="F91" s="330">
        <f>'סיכום לוועדה'!E91</f>
        <v>20000015</v>
      </c>
      <c r="G91" s="330" t="str">
        <f>'סיכום לוועדה'!F91</f>
        <v>מצפה רמון</v>
      </c>
      <c r="H91" s="317" t="str">
        <f>'סיכום לוועדה'!G91</f>
        <v>מרכז תרבות מצפה רמון</v>
      </c>
      <c r="I91" s="318">
        <f>'סיכום לוועדה'!U91</f>
        <v>450000</v>
      </c>
      <c r="J91" s="319">
        <f>'סיכום לוועדה'!T91</f>
        <v>12661.760246691843</v>
      </c>
      <c r="K91" s="320">
        <f t="shared" si="2"/>
        <v>0</v>
      </c>
      <c r="L91" s="319">
        <f t="shared" si="3"/>
        <v>12661.760246691843</v>
      </c>
      <c r="M91" s="331">
        <f>'תחום תמיכה ב'!AF91</f>
        <v>9.3947017143324277E-5</v>
      </c>
      <c r="N91" s="319">
        <f t="shared" si="0"/>
        <v>14262.101830086052</v>
      </c>
      <c r="O91" s="321">
        <f t="shared" si="4"/>
        <v>0</v>
      </c>
      <c r="P91" s="322">
        <f t="shared" si="5"/>
        <v>14262.101830086052</v>
      </c>
      <c r="Q91" s="322">
        <f t="shared" si="6"/>
        <v>14268.595741720761</v>
      </c>
      <c r="R91" s="321">
        <f t="shared" si="7"/>
        <v>0</v>
      </c>
      <c r="S91" s="322">
        <f t="shared" si="8"/>
        <v>14268.595741720761</v>
      </c>
      <c r="T91" s="322">
        <f t="shared" si="9"/>
        <v>14268.595741720732</v>
      </c>
      <c r="U91" s="321">
        <f t="shared" si="10"/>
        <v>0</v>
      </c>
      <c r="V91" s="322">
        <f t="shared" si="11"/>
        <v>14268.595741720732</v>
      </c>
      <c r="W91" s="322">
        <f t="shared" si="12"/>
        <v>14268.595741720737</v>
      </c>
      <c r="X91" s="321">
        <f t="shared" si="13"/>
        <v>0</v>
      </c>
      <c r="Y91" s="322">
        <f t="shared" si="14"/>
        <v>14268.595741720737</v>
      </c>
      <c r="Z91" s="322">
        <f t="shared" si="15"/>
        <v>14268.595741720734</v>
      </c>
      <c r="AA91" s="323">
        <f t="shared" si="16"/>
        <v>14268.595741720734</v>
      </c>
      <c r="AB91" s="323"/>
      <c r="AC91" s="323"/>
      <c r="AD91" s="323"/>
      <c r="AE91" s="323"/>
      <c r="AF91" s="324">
        <f t="shared" si="17"/>
        <v>8.1713159630137147E-5</v>
      </c>
      <c r="AG91" s="312"/>
      <c r="AH91" s="312"/>
      <c r="AI91" s="325">
        <f t="shared" si="18"/>
        <v>1</v>
      </c>
      <c r="AJ91" s="312"/>
      <c r="AK91" s="312"/>
      <c r="AL91" s="312"/>
      <c r="AM91" s="312"/>
      <c r="AN91" s="312"/>
      <c r="AO91" s="312"/>
      <c r="AP91" s="312"/>
      <c r="AQ91" s="312"/>
      <c r="AR91" s="312"/>
      <c r="AS91" s="312"/>
      <c r="AT91" s="312"/>
      <c r="AU91" s="312"/>
      <c r="AV91" s="312"/>
      <c r="AW91" s="312"/>
      <c r="AX91" s="312"/>
      <c r="AY91" s="312"/>
      <c r="AZ91" s="312"/>
      <c r="BA91" s="312"/>
      <c r="BB91" s="312"/>
      <c r="BC91" s="312"/>
      <c r="BD91" s="312"/>
      <c r="BE91" s="312"/>
      <c r="BF91" s="312"/>
      <c r="BG91" s="312"/>
      <c r="BH91" s="312"/>
      <c r="BI91" s="312"/>
      <c r="BJ91" s="312"/>
      <c r="BK91" s="312"/>
      <c r="BL91" s="312"/>
      <c r="BM91" s="312"/>
      <c r="BN91" s="312"/>
      <c r="BO91" s="312"/>
      <c r="BP91" s="312"/>
      <c r="BQ91" s="312"/>
      <c r="BR91" s="312"/>
      <c r="BS91" s="312"/>
      <c r="BT91" s="312"/>
      <c r="BU91" s="312"/>
      <c r="BV91" s="312"/>
      <c r="BW91" s="312"/>
      <c r="BX91" s="312"/>
      <c r="BY91" s="312"/>
      <c r="BZ91" s="312"/>
      <c r="CA91" s="312"/>
      <c r="CB91" s="312"/>
      <c r="CC91" s="312"/>
      <c r="CD91" s="312"/>
      <c r="CE91" s="312"/>
      <c r="CF91" s="312"/>
      <c r="CG91" s="312"/>
      <c r="CH91" s="312"/>
      <c r="CI91" s="312"/>
      <c r="CJ91" s="312"/>
      <c r="CK91" s="312"/>
      <c r="CL91" s="312"/>
      <c r="CM91" s="312"/>
      <c r="CN91" s="312"/>
      <c r="CO91" s="312"/>
      <c r="CP91" s="312"/>
      <c r="CQ91" s="312"/>
      <c r="CR91" s="312"/>
      <c r="CS91" s="312"/>
      <c r="CT91" s="312"/>
      <c r="CU91" s="312"/>
      <c r="CV91" s="312"/>
      <c r="CW91" s="312"/>
      <c r="CX91" s="312"/>
      <c r="CY91" s="312"/>
      <c r="CZ91" s="312"/>
      <c r="DA91" s="312"/>
      <c r="DB91" s="312"/>
      <c r="DC91" s="312"/>
      <c r="DD91" s="312"/>
      <c r="DE91" s="312"/>
      <c r="DF91" s="312"/>
      <c r="DG91" s="312"/>
      <c r="DH91" s="312"/>
      <c r="DI91" s="312"/>
      <c r="DJ91" s="312"/>
      <c r="DK91" s="312"/>
      <c r="DL91" s="312"/>
      <c r="DM91" s="312"/>
      <c r="DN91" s="312"/>
      <c r="DO91" s="312"/>
      <c r="DP91" s="312"/>
      <c r="DQ91" s="312"/>
      <c r="DR91" s="312"/>
      <c r="DS91" s="312"/>
      <c r="DT91" s="312"/>
      <c r="DU91" s="312"/>
      <c r="DV91" s="312"/>
      <c r="DW91" s="312"/>
      <c r="DX91" s="312"/>
      <c r="DY91" s="312"/>
      <c r="DZ91" s="312"/>
      <c r="EA91" s="312"/>
      <c r="EB91" s="312"/>
      <c r="EC91" s="312"/>
      <c r="ED91" s="312"/>
      <c r="EE91" s="312"/>
      <c r="EF91" s="312"/>
      <c r="EG91" s="312"/>
      <c r="EH91" s="312"/>
      <c r="EI91" s="312"/>
      <c r="EJ91" s="312"/>
      <c r="EK91" s="312"/>
      <c r="EL91" s="312"/>
      <c r="EM91" s="312"/>
      <c r="EN91" s="312"/>
      <c r="EO91" s="312"/>
      <c r="EP91" s="312"/>
      <c r="EQ91" s="312"/>
      <c r="ER91" s="312"/>
      <c r="ES91" s="312"/>
      <c r="ET91" s="312"/>
      <c r="EU91" s="312"/>
      <c r="EV91" s="312"/>
      <c r="EW91" s="312"/>
      <c r="EX91" s="312"/>
      <c r="EY91" s="312"/>
      <c r="EZ91" s="312"/>
      <c r="FA91" s="312"/>
      <c r="FB91" s="312"/>
      <c r="FC91" s="312"/>
      <c r="FD91" s="312"/>
      <c r="FE91" s="312"/>
      <c r="FF91" s="312"/>
      <c r="FG91" s="312"/>
      <c r="FH91" s="312"/>
      <c r="FI91" s="312"/>
      <c r="FJ91" s="312"/>
      <c r="FK91" s="312"/>
      <c r="FL91" s="312"/>
      <c r="FM91" s="312"/>
      <c r="FN91" s="312"/>
      <c r="FO91" s="312"/>
      <c r="FP91" s="312"/>
      <c r="FQ91" s="312"/>
      <c r="FR91" s="312"/>
      <c r="FS91" s="312"/>
      <c r="FT91" s="312"/>
      <c r="FU91" s="312"/>
      <c r="FV91" s="312"/>
      <c r="FW91" s="312"/>
      <c r="FX91" s="312"/>
      <c r="FY91" s="312"/>
      <c r="FZ91" s="312"/>
      <c r="GA91" s="312"/>
      <c r="GB91" s="312"/>
      <c r="GC91" s="312"/>
      <c r="GD91" s="312"/>
      <c r="GE91" s="312"/>
      <c r="GF91" s="312"/>
      <c r="GG91" s="312"/>
      <c r="GH91" s="312"/>
      <c r="GI91" s="312"/>
      <c r="GJ91" s="312"/>
      <c r="GK91" s="312"/>
      <c r="GL91" s="312"/>
      <c r="GM91" s="312"/>
      <c r="GN91" s="312"/>
      <c r="GO91" s="312"/>
      <c r="GP91" s="312"/>
      <c r="GQ91" s="312"/>
      <c r="GR91" s="312"/>
      <c r="GS91" s="312"/>
      <c r="GT91" s="312"/>
      <c r="GU91" s="312"/>
      <c r="GV91" s="312"/>
      <c r="GW91" s="312"/>
      <c r="GX91" s="312"/>
      <c r="GY91" s="312"/>
    </row>
    <row r="92" spans="2:207" ht="15.75" x14ac:dyDescent="0.25">
      <c r="B92" s="316">
        <f t="shared" si="1"/>
        <v>62</v>
      </c>
      <c r="C92" s="330">
        <f>'סיכום לוועדה'!B92</f>
        <v>1001347234</v>
      </c>
      <c r="D92" s="330">
        <f>'סיכום לוועדה'!C92</f>
        <v>1001262482</v>
      </c>
      <c r="E92" s="330">
        <f>'סיכום לוועדה'!D92</f>
        <v>40000408</v>
      </c>
      <c r="F92" s="330">
        <f>'סיכום לוועדה'!E92</f>
        <v>20000162</v>
      </c>
      <c r="G92" s="330" t="str">
        <f>'סיכום לוועדה'!F92</f>
        <v>חוף הכרמל</v>
      </c>
      <c r="H92" s="317" t="str">
        <f>'סיכום לוועדה'!G92</f>
        <v>מוזיאון ינקו דאדא עין הוד</v>
      </c>
      <c r="I92" s="318">
        <f>'סיכום לוועדה'!U92</f>
        <v>450000</v>
      </c>
      <c r="J92" s="319">
        <f>'סיכום לוועדה'!T92</f>
        <v>120750.64338054947</v>
      </c>
      <c r="K92" s="320">
        <f t="shared" si="2"/>
        <v>0</v>
      </c>
      <c r="L92" s="319">
        <f t="shared" si="3"/>
        <v>120750.64338054947</v>
      </c>
      <c r="M92" s="331">
        <f>'תחום תמיכה ב'!AF92</f>
        <v>7.8707398596497384E-4</v>
      </c>
      <c r="N92" s="319">
        <f t="shared" si="0"/>
        <v>134158.06457654093</v>
      </c>
      <c r="O92" s="321">
        <f t="shared" si="4"/>
        <v>0</v>
      </c>
      <c r="P92" s="322">
        <f t="shared" si="5"/>
        <v>134158.06457654093</v>
      </c>
      <c r="Q92" s="322">
        <f t="shared" si="6"/>
        <v>134219.15028654516</v>
      </c>
      <c r="R92" s="321">
        <f t="shared" si="7"/>
        <v>0</v>
      </c>
      <c r="S92" s="322">
        <f t="shared" si="8"/>
        <v>134219.15028654516</v>
      </c>
      <c r="T92" s="322">
        <f t="shared" si="9"/>
        <v>134219.1502865449</v>
      </c>
      <c r="U92" s="321">
        <f t="shared" si="10"/>
        <v>0</v>
      </c>
      <c r="V92" s="322">
        <f t="shared" si="11"/>
        <v>134219.1502865449</v>
      </c>
      <c r="W92" s="322">
        <f t="shared" si="12"/>
        <v>134219.15028654496</v>
      </c>
      <c r="X92" s="321">
        <f t="shared" si="13"/>
        <v>0</v>
      </c>
      <c r="Y92" s="322">
        <f t="shared" si="14"/>
        <v>134219.15028654496</v>
      </c>
      <c r="Z92" s="322">
        <f t="shared" si="15"/>
        <v>134219.15028654493</v>
      </c>
      <c r="AA92" s="323">
        <f t="shared" si="16"/>
        <v>134219.15028654493</v>
      </c>
      <c r="AB92" s="323"/>
      <c r="AC92" s="323"/>
      <c r="AD92" s="323"/>
      <c r="AE92" s="323"/>
      <c r="AF92" s="324">
        <f t="shared" si="17"/>
        <v>7.6864402435324595E-4</v>
      </c>
      <c r="AG92" s="312"/>
      <c r="AH92" s="312"/>
      <c r="AI92" s="325">
        <f t="shared" si="18"/>
        <v>1</v>
      </c>
      <c r="AJ92" s="312"/>
      <c r="AK92" s="312"/>
      <c r="AL92" s="312"/>
      <c r="AM92" s="312"/>
      <c r="AN92" s="312"/>
      <c r="AO92" s="312"/>
      <c r="AP92" s="312"/>
      <c r="AQ92" s="312"/>
      <c r="AR92" s="312"/>
      <c r="AS92" s="312"/>
      <c r="AT92" s="312"/>
      <c r="AU92" s="312"/>
      <c r="AV92" s="312"/>
      <c r="AW92" s="312"/>
      <c r="AX92" s="312"/>
      <c r="AY92" s="312"/>
      <c r="AZ92" s="312"/>
      <c r="BA92" s="312"/>
      <c r="BB92" s="312"/>
      <c r="BC92" s="312"/>
      <c r="BD92" s="312"/>
      <c r="BE92" s="312"/>
      <c r="BF92" s="312"/>
      <c r="BG92" s="312"/>
      <c r="BH92" s="312"/>
      <c r="BI92" s="312"/>
      <c r="BJ92" s="312"/>
      <c r="BK92" s="312"/>
      <c r="BL92" s="312"/>
      <c r="BM92" s="312"/>
      <c r="BN92" s="312"/>
      <c r="BO92" s="312"/>
      <c r="BP92" s="312"/>
      <c r="BQ92" s="312"/>
      <c r="BR92" s="312"/>
      <c r="BS92" s="312"/>
      <c r="BT92" s="312"/>
      <c r="BU92" s="312"/>
      <c r="BV92" s="312"/>
      <c r="BW92" s="312"/>
      <c r="BX92" s="312"/>
      <c r="BY92" s="312"/>
      <c r="BZ92" s="312"/>
      <c r="CA92" s="312"/>
      <c r="CB92" s="312"/>
      <c r="CC92" s="312"/>
      <c r="CD92" s="312"/>
      <c r="CE92" s="312"/>
      <c r="CF92" s="312"/>
      <c r="CG92" s="312"/>
      <c r="CH92" s="312"/>
      <c r="CI92" s="312"/>
      <c r="CJ92" s="312"/>
      <c r="CK92" s="312"/>
      <c r="CL92" s="312"/>
      <c r="CM92" s="312"/>
      <c r="CN92" s="312"/>
      <c r="CO92" s="312"/>
      <c r="CP92" s="312"/>
      <c r="CQ92" s="312"/>
      <c r="CR92" s="312"/>
      <c r="CS92" s="312"/>
      <c r="CT92" s="312"/>
      <c r="CU92" s="312"/>
      <c r="CV92" s="312"/>
      <c r="CW92" s="312"/>
      <c r="CX92" s="312"/>
      <c r="CY92" s="312"/>
      <c r="CZ92" s="312"/>
      <c r="DA92" s="312"/>
      <c r="DB92" s="312"/>
      <c r="DC92" s="312"/>
      <c r="DD92" s="312"/>
      <c r="DE92" s="312"/>
      <c r="DF92" s="312"/>
      <c r="DG92" s="312"/>
      <c r="DH92" s="312"/>
      <c r="DI92" s="312"/>
      <c r="DJ92" s="312"/>
      <c r="DK92" s="312"/>
      <c r="DL92" s="312"/>
      <c r="DM92" s="312"/>
      <c r="DN92" s="312"/>
      <c r="DO92" s="312"/>
      <c r="DP92" s="312"/>
      <c r="DQ92" s="312"/>
      <c r="DR92" s="312"/>
      <c r="DS92" s="312"/>
      <c r="DT92" s="312"/>
      <c r="DU92" s="312"/>
      <c r="DV92" s="312"/>
      <c r="DW92" s="312"/>
      <c r="DX92" s="312"/>
      <c r="DY92" s="312"/>
      <c r="DZ92" s="312"/>
      <c r="EA92" s="312"/>
      <c r="EB92" s="312"/>
      <c r="EC92" s="312"/>
      <c r="ED92" s="312"/>
      <c r="EE92" s="312"/>
      <c r="EF92" s="312"/>
      <c r="EG92" s="312"/>
      <c r="EH92" s="312"/>
      <c r="EI92" s="312"/>
      <c r="EJ92" s="312"/>
      <c r="EK92" s="312"/>
      <c r="EL92" s="312"/>
      <c r="EM92" s="312"/>
      <c r="EN92" s="312"/>
      <c r="EO92" s="312"/>
      <c r="EP92" s="312"/>
      <c r="EQ92" s="312"/>
      <c r="ER92" s="312"/>
      <c r="ES92" s="312"/>
      <c r="ET92" s="312"/>
      <c r="EU92" s="312"/>
      <c r="EV92" s="312"/>
      <c r="EW92" s="312"/>
      <c r="EX92" s="312"/>
      <c r="EY92" s="312"/>
      <c r="EZ92" s="312"/>
      <c r="FA92" s="312"/>
      <c r="FB92" s="312"/>
      <c r="FC92" s="312"/>
      <c r="FD92" s="312"/>
      <c r="FE92" s="312"/>
      <c r="FF92" s="312"/>
      <c r="FG92" s="312"/>
      <c r="FH92" s="312"/>
      <c r="FI92" s="312"/>
      <c r="FJ92" s="312"/>
      <c r="FK92" s="312"/>
      <c r="FL92" s="312"/>
      <c r="FM92" s="312"/>
      <c r="FN92" s="312"/>
      <c r="FO92" s="312"/>
      <c r="FP92" s="312"/>
      <c r="FQ92" s="312"/>
      <c r="FR92" s="312"/>
      <c r="FS92" s="312"/>
      <c r="FT92" s="312"/>
      <c r="FU92" s="312"/>
      <c r="FV92" s="312"/>
      <c r="FW92" s="312"/>
      <c r="FX92" s="312"/>
      <c r="FY92" s="312"/>
      <c r="FZ92" s="312"/>
      <c r="GA92" s="312"/>
      <c r="GB92" s="312"/>
      <c r="GC92" s="312"/>
      <c r="GD92" s="312"/>
      <c r="GE92" s="312"/>
      <c r="GF92" s="312"/>
      <c r="GG92" s="312"/>
      <c r="GH92" s="312"/>
      <c r="GI92" s="312"/>
      <c r="GJ92" s="312"/>
      <c r="GK92" s="312"/>
      <c r="GL92" s="312"/>
      <c r="GM92" s="312"/>
      <c r="GN92" s="312"/>
      <c r="GO92" s="312"/>
      <c r="GP92" s="312"/>
      <c r="GQ92" s="312"/>
      <c r="GR92" s="312"/>
      <c r="GS92" s="312"/>
      <c r="GT92" s="312"/>
      <c r="GU92" s="312"/>
      <c r="GV92" s="312"/>
      <c r="GW92" s="312"/>
      <c r="GX92" s="312"/>
      <c r="GY92" s="312"/>
    </row>
    <row r="93" spans="2:207" ht="15.75" x14ac:dyDescent="0.25">
      <c r="B93" s="316">
        <f t="shared" si="1"/>
        <v>63</v>
      </c>
      <c r="C93" s="330">
        <f>'סיכום לוועדה'!B93</f>
        <v>1001348950</v>
      </c>
      <c r="D93" s="330">
        <f>'סיכום לוועדה'!C93</f>
        <v>1001288866</v>
      </c>
      <c r="E93" s="330">
        <f>'סיכום לוועדה'!D93</f>
        <v>40000513</v>
      </c>
      <c r="F93" s="330">
        <f>'סיכום לוועדה'!E93</f>
        <v>20000102</v>
      </c>
      <c r="G93" s="330" t="str">
        <f>'סיכום לוועדה'!F93</f>
        <v>מעלות-תרשיחא</v>
      </c>
      <c r="H93" s="317" t="str">
        <f>'סיכום לוועדה'!G93</f>
        <v>בית האומנות לחינוך ולתרבות - תרשיחא</v>
      </c>
      <c r="I93" s="318">
        <f>'סיכום לוועדה'!U93</f>
        <v>1050000</v>
      </c>
      <c r="J93" s="319">
        <f>'סיכום לוועדה'!T93</f>
        <v>47263.912553414535</v>
      </c>
      <c r="K93" s="320">
        <f t="shared" si="2"/>
        <v>0</v>
      </c>
      <c r="L93" s="319">
        <f t="shared" si="3"/>
        <v>47263.912553414535</v>
      </c>
      <c r="M93" s="331">
        <f>'תחום תמיכה ב'!AF93</f>
        <v>2.3249461335289129E-4</v>
      </c>
      <c r="N93" s="319">
        <f t="shared" si="0"/>
        <v>51224.344815954224</v>
      </c>
      <c r="O93" s="321">
        <f t="shared" si="4"/>
        <v>0</v>
      </c>
      <c r="P93" s="322">
        <f t="shared" si="5"/>
        <v>51224.344815954224</v>
      </c>
      <c r="Q93" s="322">
        <f t="shared" si="6"/>
        <v>51247.668613017493</v>
      </c>
      <c r="R93" s="321">
        <f t="shared" si="7"/>
        <v>0</v>
      </c>
      <c r="S93" s="322">
        <f t="shared" si="8"/>
        <v>51247.668613017493</v>
      </c>
      <c r="T93" s="322">
        <f t="shared" si="9"/>
        <v>51247.668613017391</v>
      </c>
      <c r="U93" s="321">
        <f t="shared" si="10"/>
        <v>0</v>
      </c>
      <c r="V93" s="322">
        <f t="shared" si="11"/>
        <v>51247.668613017391</v>
      </c>
      <c r="W93" s="322">
        <f t="shared" si="12"/>
        <v>51247.668613017406</v>
      </c>
      <c r="X93" s="321">
        <f t="shared" si="13"/>
        <v>0</v>
      </c>
      <c r="Y93" s="322">
        <f t="shared" si="14"/>
        <v>51247.668613017406</v>
      </c>
      <c r="Z93" s="322">
        <f t="shared" si="15"/>
        <v>51247.668613017398</v>
      </c>
      <c r="AA93" s="323">
        <f t="shared" si="16"/>
        <v>51247.668613017398</v>
      </c>
      <c r="AB93" s="323"/>
      <c r="AC93" s="323"/>
      <c r="AD93" s="323"/>
      <c r="AE93" s="323"/>
      <c r="AF93" s="324">
        <f t="shared" si="17"/>
        <v>2.9348430650421182E-4</v>
      </c>
      <c r="AG93" s="312"/>
      <c r="AH93" s="312"/>
      <c r="AI93" s="325">
        <f t="shared" si="18"/>
        <v>1</v>
      </c>
      <c r="AJ93" s="312"/>
      <c r="AK93" s="312"/>
      <c r="AL93" s="312"/>
      <c r="AM93" s="312"/>
      <c r="AN93" s="312"/>
      <c r="AO93" s="312"/>
      <c r="AP93" s="312"/>
      <c r="AQ93" s="312"/>
      <c r="AR93" s="312"/>
      <c r="AS93" s="312"/>
      <c r="AT93" s="312"/>
      <c r="AU93" s="312"/>
      <c r="AV93" s="312"/>
      <c r="AW93" s="312"/>
      <c r="AX93" s="312"/>
      <c r="AY93" s="312"/>
      <c r="AZ93" s="312"/>
      <c r="BA93" s="312"/>
      <c r="BB93" s="312"/>
      <c r="BC93" s="312"/>
      <c r="BD93" s="312"/>
      <c r="BE93" s="312"/>
      <c r="BF93" s="312"/>
      <c r="BG93" s="312"/>
      <c r="BH93" s="312"/>
      <c r="BI93" s="312"/>
      <c r="BJ93" s="312"/>
      <c r="BK93" s="312"/>
      <c r="BL93" s="312"/>
      <c r="BM93" s="312"/>
      <c r="BN93" s="312"/>
      <c r="BO93" s="312"/>
      <c r="BP93" s="312"/>
      <c r="BQ93" s="312"/>
      <c r="BR93" s="312"/>
      <c r="BS93" s="312"/>
      <c r="BT93" s="312"/>
      <c r="BU93" s="312"/>
      <c r="BV93" s="312"/>
      <c r="BW93" s="312"/>
      <c r="BX93" s="312"/>
      <c r="BY93" s="312"/>
      <c r="BZ93" s="312"/>
      <c r="CA93" s="312"/>
      <c r="CB93" s="312"/>
      <c r="CC93" s="312"/>
      <c r="CD93" s="312"/>
      <c r="CE93" s="312"/>
      <c r="CF93" s="312"/>
      <c r="CG93" s="312"/>
      <c r="CH93" s="312"/>
      <c r="CI93" s="312"/>
      <c r="CJ93" s="312"/>
      <c r="CK93" s="312"/>
      <c r="CL93" s="312"/>
      <c r="CM93" s="312"/>
      <c r="CN93" s="312"/>
      <c r="CO93" s="312"/>
      <c r="CP93" s="312"/>
      <c r="CQ93" s="312"/>
      <c r="CR93" s="312"/>
      <c r="CS93" s="312"/>
      <c r="CT93" s="312"/>
      <c r="CU93" s="312"/>
      <c r="CV93" s="312"/>
      <c r="CW93" s="312"/>
      <c r="CX93" s="312"/>
      <c r="CY93" s="312"/>
      <c r="CZ93" s="312"/>
      <c r="DA93" s="312"/>
      <c r="DB93" s="312"/>
      <c r="DC93" s="312"/>
      <c r="DD93" s="312"/>
      <c r="DE93" s="312"/>
      <c r="DF93" s="312"/>
      <c r="DG93" s="312"/>
      <c r="DH93" s="312"/>
      <c r="DI93" s="312"/>
      <c r="DJ93" s="312"/>
      <c r="DK93" s="312"/>
      <c r="DL93" s="312"/>
      <c r="DM93" s="312"/>
      <c r="DN93" s="312"/>
      <c r="DO93" s="312"/>
      <c r="DP93" s="312"/>
      <c r="DQ93" s="312"/>
      <c r="DR93" s="312"/>
      <c r="DS93" s="312"/>
      <c r="DT93" s="312"/>
      <c r="DU93" s="312"/>
      <c r="DV93" s="312"/>
      <c r="DW93" s="312"/>
      <c r="DX93" s="312"/>
      <c r="DY93" s="312"/>
      <c r="DZ93" s="312"/>
      <c r="EA93" s="312"/>
      <c r="EB93" s="312"/>
      <c r="EC93" s="312"/>
      <c r="ED93" s="312"/>
      <c r="EE93" s="312"/>
      <c r="EF93" s="312"/>
      <c r="EG93" s="312"/>
      <c r="EH93" s="312"/>
      <c r="EI93" s="312"/>
      <c r="EJ93" s="312"/>
      <c r="EK93" s="312"/>
      <c r="EL93" s="312"/>
      <c r="EM93" s="312"/>
      <c r="EN93" s="312"/>
      <c r="EO93" s="312"/>
      <c r="EP93" s="312"/>
      <c r="EQ93" s="312"/>
      <c r="ER93" s="312"/>
      <c r="ES93" s="312"/>
      <c r="ET93" s="312"/>
      <c r="EU93" s="312"/>
      <c r="EV93" s="312"/>
      <c r="EW93" s="312"/>
      <c r="EX93" s="312"/>
      <c r="EY93" s="312"/>
      <c r="EZ93" s="312"/>
      <c r="FA93" s="312"/>
      <c r="FB93" s="312"/>
      <c r="FC93" s="312"/>
      <c r="FD93" s="312"/>
      <c r="FE93" s="312"/>
      <c r="FF93" s="312"/>
      <c r="FG93" s="312"/>
      <c r="FH93" s="312"/>
      <c r="FI93" s="312"/>
      <c r="FJ93" s="312"/>
      <c r="FK93" s="312"/>
      <c r="FL93" s="312"/>
      <c r="FM93" s="312"/>
      <c r="FN93" s="312"/>
      <c r="FO93" s="312"/>
      <c r="FP93" s="312"/>
      <c r="FQ93" s="312"/>
      <c r="FR93" s="312"/>
      <c r="FS93" s="312"/>
      <c r="FT93" s="312"/>
      <c r="FU93" s="312"/>
      <c r="FV93" s="312"/>
      <c r="FW93" s="312"/>
      <c r="FX93" s="312"/>
      <c r="FY93" s="312"/>
      <c r="FZ93" s="312"/>
      <c r="GA93" s="312"/>
      <c r="GB93" s="312"/>
      <c r="GC93" s="312"/>
      <c r="GD93" s="312"/>
      <c r="GE93" s="312"/>
      <c r="GF93" s="312"/>
      <c r="GG93" s="312"/>
      <c r="GH93" s="312"/>
      <c r="GI93" s="312"/>
      <c r="GJ93" s="312"/>
      <c r="GK93" s="312"/>
      <c r="GL93" s="312"/>
      <c r="GM93" s="312"/>
      <c r="GN93" s="312"/>
      <c r="GO93" s="312"/>
      <c r="GP93" s="312"/>
      <c r="GQ93" s="312"/>
      <c r="GR93" s="312"/>
      <c r="GS93" s="312"/>
      <c r="GT93" s="312"/>
      <c r="GU93" s="312"/>
      <c r="GV93" s="312"/>
      <c r="GW93" s="312"/>
      <c r="GX93" s="312"/>
      <c r="GY93" s="312"/>
    </row>
    <row r="94" spans="2:207" ht="15.75" x14ac:dyDescent="0.25">
      <c r="B94" s="316">
        <f t="shared" si="1"/>
        <v>64</v>
      </c>
      <c r="C94" s="330">
        <f>'סיכום לוועדה'!B94</f>
        <v>1001350242</v>
      </c>
      <c r="D94" s="330">
        <f>'סיכום לוועדה'!C94</f>
        <v>1001277229</v>
      </c>
      <c r="E94" s="330">
        <f>'סיכום לוועדה'!D94</f>
        <v>40000531</v>
      </c>
      <c r="F94" s="330">
        <f>'סיכום לוועדה'!E94</f>
        <v>20000005</v>
      </c>
      <c r="G94" s="330" t="str">
        <f>'סיכום לוועדה'!F94</f>
        <v>אליכין</v>
      </c>
      <c r="H94" s="317" t="str">
        <f>'סיכום לוועדה'!G94</f>
        <v>מכון רימון לידיעת הארץ</v>
      </c>
      <c r="I94" s="318">
        <f>'סיכום לוועדה'!U94</f>
        <v>1600000</v>
      </c>
      <c r="J94" s="319">
        <f>'סיכום לוועדה'!T94</f>
        <v>30432.614132196119</v>
      </c>
      <c r="K94" s="320">
        <f t="shared" si="2"/>
        <v>0</v>
      </c>
      <c r="L94" s="319">
        <f t="shared" si="3"/>
        <v>30432.614132196119</v>
      </c>
      <c r="M94" s="331">
        <f>'תחום תמיכה ב'!AF94</f>
        <v>1.4127389078700766E-4</v>
      </c>
      <c r="N94" s="319">
        <f t="shared" si="0"/>
        <v>32839.145908818959</v>
      </c>
      <c r="O94" s="321">
        <f t="shared" si="4"/>
        <v>0</v>
      </c>
      <c r="P94" s="322">
        <f t="shared" si="5"/>
        <v>32839.145908818959</v>
      </c>
      <c r="Q94" s="322">
        <f t="shared" si="6"/>
        <v>32854.098439254638</v>
      </c>
      <c r="R94" s="321">
        <f t="shared" si="7"/>
        <v>0</v>
      </c>
      <c r="S94" s="322">
        <f t="shared" si="8"/>
        <v>32854.098439254638</v>
      </c>
      <c r="T94" s="322">
        <f t="shared" si="9"/>
        <v>32854.098439254572</v>
      </c>
      <c r="U94" s="321">
        <f t="shared" si="10"/>
        <v>0</v>
      </c>
      <c r="V94" s="322">
        <f t="shared" si="11"/>
        <v>32854.098439254572</v>
      </c>
      <c r="W94" s="322">
        <f t="shared" si="12"/>
        <v>32854.098439254587</v>
      </c>
      <c r="X94" s="321">
        <f t="shared" si="13"/>
        <v>0</v>
      </c>
      <c r="Y94" s="322">
        <f t="shared" si="14"/>
        <v>32854.098439254587</v>
      </c>
      <c r="Z94" s="322">
        <f t="shared" si="15"/>
        <v>32854.09843925458</v>
      </c>
      <c r="AA94" s="323">
        <f t="shared" si="16"/>
        <v>32854.09843925458</v>
      </c>
      <c r="AB94" s="323"/>
      <c r="AC94" s="323"/>
      <c r="AD94" s="323"/>
      <c r="AE94" s="323"/>
      <c r="AF94" s="324">
        <f t="shared" si="17"/>
        <v>1.8814831107880948E-4</v>
      </c>
      <c r="AG94" s="312"/>
      <c r="AH94" s="312"/>
      <c r="AI94" s="325">
        <f t="shared" si="18"/>
        <v>1</v>
      </c>
      <c r="AJ94" s="312"/>
      <c r="AK94" s="312"/>
      <c r="AL94" s="312"/>
      <c r="AM94" s="312"/>
      <c r="AN94" s="312"/>
      <c r="AO94" s="312"/>
      <c r="AP94" s="312"/>
      <c r="AQ94" s="312"/>
      <c r="AR94" s="312"/>
      <c r="AS94" s="312"/>
      <c r="AT94" s="312"/>
      <c r="AU94" s="312"/>
      <c r="AV94" s="312"/>
      <c r="AW94" s="312"/>
      <c r="AX94" s="312"/>
      <c r="AY94" s="312"/>
      <c r="AZ94" s="312"/>
      <c r="BA94" s="312"/>
      <c r="BB94" s="312"/>
      <c r="BC94" s="312"/>
      <c r="BD94" s="312"/>
      <c r="BE94" s="312"/>
      <c r="BF94" s="312"/>
      <c r="BG94" s="312"/>
      <c r="BH94" s="312"/>
      <c r="BI94" s="312"/>
      <c r="BJ94" s="312"/>
      <c r="BK94" s="312"/>
      <c r="BL94" s="312"/>
      <c r="BM94" s="312"/>
      <c r="BN94" s="312"/>
      <c r="BO94" s="312"/>
      <c r="BP94" s="312"/>
      <c r="BQ94" s="312"/>
      <c r="BR94" s="312"/>
      <c r="BS94" s="312"/>
      <c r="BT94" s="312"/>
      <c r="BU94" s="312"/>
      <c r="BV94" s="312"/>
      <c r="BW94" s="312"/>
      <c r="BX94" s="312"/>
      <c r="BY94" s="312"/>
      <c r="BZ94" s="312"/>
      <c r="CA94" s="312"/>
      <c r="CB94" s="312"/>
      <c r="CC94" s="312"/>
      <c r="CD94" s="312"/>
      <c r="CE94" s="312"/>
      <c r="CF94" s="312"/>
      <c r="CG94" s="312"/>
      <c r="CH94" s="312"/>
      <c r="CI94" s="312"/>
      <c r="CJ94" s="312"/>
      <c r="CK94" s="312"/>
      <c r="CL94" s="312"/>
      <c r="CM94" s="312"/>
      <c r="CN94" s="312"/>
      <c r="CO94" s="312"/>
      <c r="CP94" s="312"/>
      <c r="CQ94" s="312"/>
      <c r="CR94" s="312"/>
      <c r="CS94" s="312"/>
      <c r="CT94" s="312"/>
      <c r="CU94" s="312"/>
      <c r="CV94" s="312"/>
      <c r="CW94" s="312"/>
      <c r="CX94" s="312"/>
      <c r="CY94" s="312"/>
      <c r="CZ94" s="312"/>
      <c r="DA94" s="312"/>
      <c r="DB94" s="312"/>
      <c r="DC94" s="312"/>
      <c r="DD94" s="312"/>
      <c r="DE94" s="312"/>
      <c r="DF94" s="312"/>
      <c r="DG94" s="312"/>
      <c r="DH94" s="312"/>
      <c r="DI94" s="312"/>
      <c r="DJ94" s="312"/>
      <c r="DK94" s="312"/>
      <c r="DL94" s="312"/>
      <c r="DM94" s="312"/>
      <c r="DN94" s="312"/>
      <c r="DO94" s="312"/>
      <c r="DP94" s="312"/>
      <c r="DQ94" s="312"/>
      <c r="DR94" s="312"/>
      <c r="DS94" s="312"/>
      <c r="DT94" s="312"/>
      <c r="DU94" s="312"/>
      <c r="DV94" s="312"/>
      <c r="DW94" s="312"/>
      <c r="DX94" s="312"/>
      <c r="DY94" s="312"/>
      <c r="DZ94" s="312"/>
      <c r="EA94" s="312"/>
      <c r="EB94" s="312"/>
      <c r="EC94" s="312"/>
      <c r="ED94" s="312"/>
      <c r="EE94" s="312"/>
      <c r="EF94" s="312"/>
      <c r="EG94" s="312"/>
      <c r="EH94" s="312"/>
      <c r="EI94" s="312"/>
      <c r="EJ94" s="312"/>
      <c r="EK94" s="312"/>
      <c r="EL94" s="312"/>
      <c r="EM94" s="312"/>
      <c r="EN94" s="312"/>
      <c r="EO94" s="312"/>
      <c r="EP94" s="312"/>
      <c r="EQ94" s="312"/>
      <c r="ER94" s="312"/>
      <c r="ES94" s="312"/>
      <c r="ET94" s="312"/>
      <c r="EU94" s="312"/>
      <c r="EV94" s="312"/>
      <c r="EW94" s="312"/>
      <c r="EX94" s="312"/>
      <c r="EY94" s="312"/>
      <c r="EZ94" s="312"/>
      <c r="FA94" s="312"/>
      <c r="FB94" s="312"/>
      <c r="FC94" s="312"/>
      <c r="FD94" s="312"/>
      <c r="FE94" s="312"/>
      <c r="FF94" s="312"/>
      <c r="FG94" s="312"/>
      <c r="FH94" s="312"/>
      <c r="FI94" s="312"/>
      <c r="FJ94" s="312"/>
      <c r="FK94" s="312"/>
      <c r="FL94" s="312"/>
      <c r="FM94" s="312"/>
      <c r="FN94" s="312"/>
      <c r="FO94" s="312"/>
      <c r="FP94" s="312"/>
      <c r="FQ94" s="312"/>
      <c r="FR94" s="312"/>
      <c r="FS94" s="312"/>
      <c r="FT94" s="312"/>
      <c r="FU94" s="312"/>
      <c r="FV94" s="312"/>
      <c r="FW94" s="312"/>
      <c r="FX94" s="312"/>
      <c r="FY94" s="312"/>
      <c r="FZ94" s="312"/>
      <c r="GA94" s="312"/>
      <c r="GB94" s="312"/>
      <c r="GC94" s="312"/>
      <c r="GD94" s="312"/>
      <c r="GE94" s="312"/>
      <c r="GF94" s="312"/>
      <c r="GG94" s="312"/>
      <c r="GH94" s="312"/>
      <c r="GI94" s="312"/>
      <c r="GJ94" s="312"/>
      <c r="GK94" s="312"/>
      <c r="GL94" s="312"/>
      <c r="GM94" s="312"/>
      <c r="GN94" s="312"/>
      <c r="GO94" s="312"/>
      <c r="GP94" s="312"/>
      <c r="GQ94" s="312"/>
      <c r="GR94" s="312"/>
      <c r="GS94" s="312"/>
      <c r="GT94" s="312"/>
      <c r="GU94" s="312"/>
      <c r="GV94" s="312"/>
      <c r="GW94" s="312"/>
      <c r="GX94" s="312"/>
      <c r="GY94" s="312"/>
    </row>
    <row r="95" spans="2:207" ht="15.75" x14ac:dyDescent="0.25">
      <c r="B95" s="316">
        <f t="shared" si="1"/>
        <v>65</v>
      </c>
      <c r="C95" s="330">
        <f>'סיכום לוועדה'!B95</f>
        <v>1001348656</v>
      </c>
      <c r="D95" s="330">
        <f>'סיכום לוועדה'!C95</f>
        <v>1001274980</v>
      </c>
      <c r="E95" s="330">
        <f>'סיכום לוועדה'!D95</f>
        <v>40000533</v>
      </c>
      <c r="F95" s="330">
        <f>'סיכום לוועדה'!E95</f>
        <v>20000159</v>
      </c>
      <c r="G95" s="330" t="str">
        <f>'סיכום לוועדה'!F95</f>
        <v>ירושלים</v>
      </c>
      <c r="H95" s="317" t="str">
        <f>'סיכום לוועדה'!G95</f>
        <v xml:space="preserve">תזמורת הבארוק ירושלים </v>
      </c>
      <c r="I95" s="318">
        <f>'סיכום לוועדה'!U95</f>
        <v>120000</v>
      </c>
      <c r="J95" s="319">
        <f>'סיכום לוועדה'!T95</f>
        <v>81880.907970384462</v>
      </c>
      <c r="K95" s="320">
        <f t="shared" si="2"/>
        <v>0</v>
      </c>
      <c r="L95" s="319">
        <f t="shared" si="3"/>
        <v>81880.907970384462</v>
      </c>
      <c r="M95" s="331">
        <f>'תחום תמיכה ב'!AF95</f>
        <v>4.290583679586468E-4</v>
      </c>
      <c r="N95" s="319">
        <f t="shared" ref="N95:N158" si="19">IF($H95="","",IF(K95=1,L95,M95/SUMIF(K$31:K$500,0,M$31:M$500)*$I$2+J95))</f>
        <v>89189.707853833097</v>
      </c>
      <c r="O95" s="321">
        <f t="shared" si="4"/>
        <v>0</v>
      </c>
      <c r="P95" s="322">
        <f t="shared" si="5"/>
        <v>89189.707853833097</v>
      </c>
      <c r="Q95" s="322">
        <f t="shared" si="6"/>
        <v>89230.318283377666</v>
      </c>
      <c r="R95" s="321">
        <f t="shared" si="7"/>
        <v>0</v>
      </c>
      <c r="S95" s="322">
        <f t="shared" si="8"/>
        <v>89230.318283377666</v>
      </c>
      <c r="T95" s="322">
        <f t="shared" si="9"/>
        <v>89230.318283377492</v>
      </c>
      <c r="U95" s="321">
        <f t="shared" si="10"/>
        <v>0</v>
      </c>
      <c r="V95" s="322">
        <f t="shared" si="11"/>
        <v>89230.318283377492</v>
      </c>
      <c r="W95" s="322">
        <f t="shared" si="12"/>
        <v>89230.318283377521</v>
      </c>
      <c r="X95" s="321">
        <f t="shared" si="13"/>
        <v>0</v>
      </c>
      <c r="Y95" s="322">
        <f t="shared" si="14"/>
        <v>89230.318283377521</v>
      </c>
      <c r="Z95" s="322">
        <f t="shared" si="15"/>
        <v>89230.318283377506</v>
      </c>
      <c r="AA95" s="323">
        <f t="shared" si="16"/>
        <v>89230.318283377506</v>
      </c>
      <c r="AB95" s="323"/>
      <c r="AC95" s="323"/>
      <c r="AD95" s="323"/>
      <c r="AE95" s="323"/>
      <c r="AF95" s="324">
        <f t="shared" si="17"/>
        <v>5.1100272050024951E-4</v>
      </c>
      <c r="AG95" s="312"/>
      <c r="AH95" s="312"/>
      <c r="AI95" s="325">
        <f t="shared" si="18"/>
        <v>1</v>
      </c>
      <c r="AJ95" s="312"/>
      <c r="AK95" s="312"/>
      <c r="AL95" s="312"/>
      <c r="AM95" s="312"/>
      <c r="AN95" s="312"/>
      <c r="AO95" s="312"/>
      <c r="AP95" s="312"/>
      <c r="AQ95" s="312"/>
      <c r="AR95" s="312"/>
      <c r="AS95" s="312"/>
      <c r="AT95" s="312"/>
      <c r="AU95" s="312"/>
      <c r="AV95" s="312"/>
      <c r="AW95" s="312"/>
      <c r="AX95" s="312"/>
      <c r="AY95" s="312"/>
      <c r="AZ95" s="312"/>
      <c r="BA95" s="312"/>
      <c r="BB95" s="312"/>
      <c r="BC95" s="312"/>
      <c r="BD95" s="312"/>
      <c r="BE95" s="312"/>
      <c r="BF95" s="312"/>
      <c r="BG95" s="312"/>
      <c r="BH95" s="312"/>
      <c r="BI95" s="312"/>
      <c r="BJ95" s="312"/>
      <c r="BK95" s="312"/>
      <c r="BL95" s="312"/>
      <c r="BM95" s="312"/>
      <c r="BN95" s="312"/>
      <c r="BO95" s="312"/>
      <c r="BP95" s="312"/>
      <c r="BQ95" s="312"/>
      <c r="BR95" s="312"/>
      <c r="BS95" s="312"/>
      <c r="BT95" s="312"/>
      <c r="BU95" s="312"/>
      <c r="BV95" s="312"/>
      <c r="BW95" s="312"/>
      <c r="BX95" s="312"/>
      <c r="BY95" s="312"/>
      <c r="BZ95" s="312"/>
      <c r="CA95" s="312"/>
      <c r="CB95" s="312"/>
      <c r="CC95" s="312"/>
      <c r="CD95" s="312"/>
      <c r="CE95" s="312"/>
      <c r="CF95" s="312"/>
      <c r="CG95" s="312"/>
      <c r="CH95" s="312"/>
      <c r="CI95" s="312"/>
      <c r="CJ95" s="312"/>
      <c r="CK95" s="312"/>
      <c r="CL95" s="312"/>
      <c r="CM95" s="312"/>
      <c r="CN95" s="312"/>
      <c r="CO95" s="312"/>
      <c r="CP95" s="312"/>
      <c r="CQ95" s="312"/>
      <c r="CR95" s="312"/>
      <c r="CS95" s="312"/>
      <c r="CT95" s="312"/>
      <c r="CU95" s="312"/>
      <c r="CV95" s="312"/>
      <c r="CW95" s="312"/>
      <c r="CX95" s="312"/>
      <c r="CY95" s="312"/>
      <c r="CZ95" s="312"/>
      <c r="DA95" s="312"/>
      <c r="DB95" s="312"/>
      <c r="DC95" s="312"/>
      <c r="DD95" s="312"/>
      <c r="DE95" s="312"/>
      <c r="DF95" s="312"/>
      <c r="DG95" s="312"/>
      <c r="DH95" s="312"/>
      <c r="DI95" s="312"/>
      <c r="DJ95" s="312"/>
      <c r="DK95" s="312"/>
      <c r="DL95" s="312"/>
      <c r="DM95" s="312"/>
      <c r="DN95" s="312"/>
      <c r="DO95" s="312"/>
      <c r="DP95" s="312"/>
      <c r="DQ95" s="312"/>
      <c r="DR95" s="312"/>
      <c r="DS95" s="312"/>
      <c r="DT95" s="312"/>
      <c r="DU95" s="312"/>
      <c r="DV95" s="312"/>
      <c r="DW95" s="312"/>
      <c r="DX95" s="312"/>
      <c r="DY95" s="312"/>
      <c r="DZ95" s="312"/>
      <c r="EA95" s="312"/>
      <c r="EB95" s="312"/>
      <c r="EC95" s="312"/>
      <c r="ED95" s="312"/>
      <c r="EE95" s="312"/>
      <c r="EF95" s="312"/>
      <c r="EG95" s="312"/>
      <c r="EH95" s="312"/>
      <c r="EI95" s="312"/>
      <c r="EJ95" s="312"/>
      <c r="EK95" s="312"/>
      <c r="EL95" s="312"/>
      <c r="EM95" s="312"/>
      <c r="EN95" s="312"/>
      <c r="EO95" s="312"/>
      <c r="EP95" s="312"/>
      <c r="EQ95" s="312"/>
      <c r="ER95" s="312"/>
      <c r="ES95" s="312"/>
      <c r="ET95" s="312"/>
      <c r="EU95" s="312"/>
      <c r="EV95" s="312"/>
      <c r="EW95" s="312"/>
      <c r="EX95" s="312"/>
      <c r="EY95" s="312"/>
      <c r="EZ95" s="312"/>
      <c r="FA95" s="312"/>
      <c r="FB95" s="312"/>
      <c r="FC95" s="312"/>
      <c r="FD95" s="312"/>
      <c r="FE95" s="312"/>
      <c r="FF95" s="312"/>
      <c r="FG95" s="312"/>
      <c r="FH95" s="312"/>
      <c r="FI95" s="312"/>
      <c r="FJ95" s="312"/>
      <c r="FK95" s="312"/>
      <c r="FL95" s="312"/>
      <c r="FM95" s="312"/>
      <c r="FN95" s="312"/>
      <c r="FO95" s="312"/>
      <c r="FP95" s="312"/>
      <c r="FQ95" s="312"/>
      <c r="FR95" s="312"/>
      <c r="FS95" s="312"/>
      <c r="FT95" s="312"/>
      <c r="FU95" s="312"/>
      <c r="FV95" s="312"/>
      <c r="FW95" s="312"/>
      <c r="FX95" s="312"/>
      <c r="FY95" s="312"/>
      <c r="FZ95" s="312"/>
      <c r="GA95" s="312"/>
      <c r="GB95" s="312"/>
      <c r="GC95" s="312"/>
      <c r="GD95" s="312"/>
      <c r="GE95" s="312"/>
      <c r="GF95" s="312"/>
      <c r="GG95" s="312"/>
      <c r="GH95" s="312"/>
      <c r="GI95" s="312"/>
      <c r="GJ95" s="312"/>
      <c r="GK95" s="312"/>
      <c r="GL95" s="312"/>
      <c r="GM95" s="312"/>
      <c r="GN95" s="312"/>
      <c r="GO95" s="312"/>
      <c r="GP95" s="312"/>
      <c r="GQ95" s="312"/>
      <c r="GR95" s="312"/>
      <c r="GS95" s="312"/>
      <c r="GT95" s="312"/>
      <c r="GU95" s="312"/>
      <c r="GV95" s="312"/>
      <c r="GW95" s="312"/>
      <c r="GX95" s="312"/>
      <c r="GY95" s="312"/>
    </row>
    <row r="96" spans="2:207" ht="15.75" x14ac:dyDescent="0.25">
      <c r="B96" s="316">
        <f t="shared" ref="B96:B159" si="20">IF(H96="","",ROW()-30)</f>
        <v>66</v>
      </c>
      <c r="C96" s="330">
        <f>'סיכום לוועדה'!B96</f>
        <v>1001347378</v>
      </c>
      <c r="D96" s="330">
        <f>'סיכום לוועדה'!C96</f>
        <v>1001266836</v>
      </c>
      <c r="E96" s="330">
        <f>'סיכום לוועדה'!D96</f>
        <v>40000550</v>
      </c>
      <c r="F96" s="330">
        <f>'סיכום לוועדה'!E96</f>
        <v>20000096</v>
      </c>
      <c r="G96" s="330" t="str">
        <f>'סיכום לוועדה'!F96</f>
        <v>שדרות</v>
      </c>
      <c r="H96" s="317" t="str">
        <f>'סיכום לוועדה'!G96</f>
        <v>מרכז התנועה שדרות אדמה (ע''ר)</v>
      </c>
      <c r="I96" s="318">
        <f>'סיכום לוועדה'!U96</f>
        <v>1250000</v>
      </c>
      <c r="J96" s="319">
        <f>'סיכום לוועדה'!T96</f>
        <v>33213.693679414311</v>
      </c>
      <c r="K96" s="320">
        <f t="shared" ref="K96:K159" si="21">IF(H96="","",IF(J96&gt;$I96,1,0))</f>
        <v>0</v>
      </c>
      <c r="L96" s="319">
        <f t="shared" ref="L96:L159" si="22">IF($H96="","",MIN(I96:J96))</f>
        <v>33213.693679414311</v>
      </c>
      <c r="M96" s="331">
        <f>'תחום תמיכה ב'!AF96</f>
        <v>1.6373760846815464E-4</v>
      </c>
      <c r="N96" s="319">
        <f t="shared" si="19"/>
        <v>36002.88392264842</v>
      </c>
      <c r="O96" s="321">
        <f t="shared" ref="O96:O159" si="23">IF(OR(N96&gt;$I96,$K96=1),1,0)</f>
        <v>0</v>
      </c>
      <c r="P96" s="322">
        <f t="shared" ref="P96:P159" si="24">IF($H96="","",MIN(N96,$I96))</f>
        <v>36002.88392264842</v>
      </c>
      <c r="Q96" s="322">
        <f t="shared" ref="Q96:Q159" si="25">IFERROR(IF($H96="","",IF(O96=1,P96,P96/SUMIF(O$31:O$500,0,P$31:P$500)*($J$501-SUMIF(O$31:O$500,1,P$31:P$500)))),0)</f>
        <v>36019.276986558194</v>
      </c>
      <c r="R96" s="321">
        <f t="shared" ref="R96:R159" si="26">IF(OR(Q96&gt;$I96,$K96=1,$O96=1),1,0)</f>
        <v>0</v>
      </c>
      <c r="S96" s="322">
        <f t="shared" ref="S96:S159" si="27">IF($H96="","",MIN(Q96,$I96))</f>
        <v>36019.276986558194</v>
      </c>
      <c r="T96" s="322">
        <f t="shared" ref="T96:T159" si="28">IFERROR(IF($H96="","",IF(R96=1,S96,S96/SUMIF(R$31:R$500,0,S$31:S$500)*($J$501-SUMIF(R$31:R$500,1,S$31:S$500)))),0)</f>
        <v>36019.276986558121</v>
      </c>
      <c r="U96" s="321">
        <f t="shared" ref="U96:U159" si="29">IF(OR(T96&gt;$I96,$K96=1,$O96=1,$R96=1),1,0)</f>
        <v>0</v>
      </c>
      <c r="V96" s="322">
        <f t="shared" ref="V96:V159" si="30">IF($H96="","",MIN(T96,$I96))</f>
        <v>36019.276986558121</v>
      </c>
      <c r="W96" s="322">
        <f t="shared" ref="W96:W159" si="31">IFERROR(IF($H96="","",IF(U96=2,V96,IF(U96=1,V96,V96/SUMIF(U$31:U$500,0,V$31:V$500)*($J$501-SUMIF(U$31:U$500,1,V$31:V$500)-SUMIF(U$31:U$500,2,V$31:V$500))))),0)</f>
        <v>36019.276986558136</v>
      </c>
      <c r="X96" s="321">
        <f t="shared" ref="X96:X159" si="32">IF(OR(W96&gt;$I96,$K96=1,$O96=1,$R96=1,$U96=1),1,0)</f>
        <v>0</v>
      </c>
      <c r="Y96" s="322">
        <f t="shared" ref="Y96:Y159" si="33">IF($H96="","",MIN(W96,$I96))</f>
        <v>36019.276986558136</v>
      </c>
      <c r="Z96" s="322">
        <f t="shared" ref="Z96:Z159" si="34">IFERROR(IF($H96="","",IF(X96=2,Y96,IF(X96=1,Y96,Y96/SUMIF(X$31:X$500,0,Y$31:Y$500)*($J$501-SUMIF(X$31:X$500,1,Y$31:Y$500)-SUMIF(X$31:X$500,2,Y$31:Y$500))))),0)</f>
        <v>36019.276986558129</v>
      </c>
      <c r="AA96" s="323">
        <f t="shared" ref="AA96:AA159" si="35">IF($H96="","",IF(AI96=0,$AN$1,IFERROR(Z96,$AN$1)))</f>
        <v>36019.276986558129</v>
      </c>
      <c r="AB96" s="323"/>
      <c r="AC96" s="323"/>
      <c r="AD96" s="323"/>
      <c r="AE96" s="323"/>
      <c r="AF96" s="324">
        <f t="shared" ref="AF96:AF159" si="36">IF(H96="","",IFERROR(AA96/SUMIF($AA$31:$AA$500,"&lt;&gt;#DIV/0!"),$AN$1))</f>
        <v>2.0627460357285348E-4</v>
      </c>
      <c r="AG96" s="312"/>
      <c r="AH96" s="312"/>
      <c r="AI96" s="325">
        <f t="shared" ref="AI96:AI159" si="37">IF(H96="",0,IFERROR(IF(I96*1&gt;=0,1,0),0))</f>
        <v>1</v>
      </c>
      <c r="AJ96" s="312"/>
      <c r="AK96" s="312"/>
      <c r="AL96" s="312"/>
      <c r="AM96" s="312"/>
      <c r="AN96" s="312"/>
      <c r="AO96" s="312"/>
      <c r="AP96" s="312"/>
      <c r="AQ96" s="312"/>
      <c r="AR96" s="312"/>
      <c r="AS96" s="312"/>
      <c r="AT96" s="312"/>
      <c r="AU96" s="312"/>
      <c r="AV96" s="312"/>
      <c r="AW96" s="312"/>
      <c r="AX96" s="312"/>
      <c r="AY96" s="312"/>
      <c r="AZ96" s="312"/>
      <c r="BA96" s="312"/>
      <c r="BB96" s="312"/>
      <c r="BC96" s="312"/>
      <c r="BD96" s="312"/>
      <c r="BE96" s="312"/>
      <c r="BF96" s="312"/>
      <c r="BG96" s="312"/>
      <c r="BH96" s="312"/>
      <c r="BI96" s="312"/>
      <c r="BJ96" s="312"/>
      <c r="BK96" s="312"/>
      <c r="BL96" s="312"/>
      <c r="BM96" s="312"/>
      <c r="BN96" s="312"/>
      <c r="BO96" s="312"/>
      <c r="BP96" s="312"/>
      <c r="BQ96" s="312"/>
      <c r="BR96" s="312"/>
      <c r="BS96" s="312"/>
      <c r="BT96" s="312"/>
      <c r="BU96" s="312"/>
      <c r="BV96" s="312"/>
      <c r="BW96" s="312"/>
      <c r="BX96" s="312"/>
      <c r="BY96" s="312"/>
      <c r="BZ96" s="312"/>
      <c r="CA96" s="312"/>
      <c r="CB96" s="312"/>
      <c r="CC96" s="312"/>
      <c r="CD96" s="312"/>
      <c r="CE96" s="312"/>
      <c r="CF96" s="312"/>
      <c r="CG96" s="312"/>
      <c r="CH96" s="312"/>
      <c r="CI96" s="312"/>
      <c r="CJ96" s="312"/>
      <c r="CK96" s="312"/>
      <c r="CL96" s="312"/>
      <c r="CM96" s="312"/>
      <c r="CN96" s="312"/>
      <c r="CO96" s="312"/>
      <c r="CP96" s="312"/>
      <c r="CQ96" s="312"/>
      <c r="CR96" s="312"/>
      <c r="CS96" s="312"/>
      <c r="CT96" s="312"/>
      <c r="CU96" s="312"/>
      <c r="CV96" s="312"/>
      <c r="CW96" s="312"/>
      <c r="CX96" s="312"/>
      <c r="CY96" s="312"/>
      <c r="CZ96" s="312"/>
      <c r="DA96" s="312"/>
      <c r="DB96" s="312"/>
      <c r="DC96" s="312"/>
      <c r="DD96" s="312"/>
      <c r="DE96" s="312"/>
      <c r="DF96" s="312"/>
      <c r="DG96" s="312"/>
      <c r="DH96" s="312"/>
      <c r="DI96" s="312"/>
      <c r="DJ96" s="312"/>
      <c r="DK96" s="312"/>
      <c r="DL96" s="312"/>
      <c r="DM96" s="312"/>
      <c r="DN96" s="312"/>
      <c r="DO96" s="312"/>
      <c r="DP96" s="312"/>
      <c r="DQ96" s="312"/>
      <c r="DR96" s="312"/>
      <c r="DS96" s="312"/>
      <c r="DT96" s="312"/>
      <c r="DU96" s="312"/>
      <c r="DV96" s="312"/>
      <c r="DW96" s="312"/>
      <c r="DX96" s="312"/>
      <c r="DY96" s="312"/>
      <c r="DZ96" s="312"/>
      <c r="EA96" s="312"/>
      <c r="EB96" s="312"/>
      <c r="EC96" s="312"/>
      <c r="ED96" s="312"/>
      <c r="EE96" s="312"/>
      <c r="EF96" s="312"/>
      <c r="EG96" s="312"/>
      <c r="EH96" s="312"/>
      <c r="EI96" s="312"/>
      <c r="EJ96" s="312"/>
      <c r="EK96" s="312"/>
      <c r="EL96" s="312"/>
      <c r="EM96" s="312"/>
      <c r="EN96" s="312"/>
      <c r="EO96" s="312"/>
      <c r="EP96" s="312"/>
      <c r="EQ96" s="312"/>
      <c r="ER96" s="312"/>
      <c r="ES96" s="312"/>
      <c r="ET96" s="312"/>
      <c r="EU96" s="312"/>
      <c r="EV96" s="312"/>
      <c r="EW96" s="312"/>
      <c r="EX96" s="312"/>
      <c r="EY96" s="312"/>
      <c r="EZ96" s="312"/>
      <c r="FA96" s="312"/>
      <c r="FB96" s="312"/>
      <c r="FC96" s="312"/>
      <c r="FD96" s="312"/>
      <c r="FE96" s="312"/>
      <c r="FF96" s="312"/>
      <c r="FG96" s="312"/>
      <c r="FH96" s="312"/>
      <c r="FI96" s="312"/>
      <c r="FJ96" s="312"/>
      <c r="FK96" s="312"/>
      <c r="FL96" s="312"/>
      <c r="FM96" s="312"/>
      <c r="FN96" s="312"/>
      <c r="FO96" s="312"/>
      <c r="FP96" s="312"/>
      <c r="FQ96" s="312"/>
      <c r="FR96" s="312"/>
      <c r="FS96" s="312"/>
      <c r="FT96" s="312"/>
      <c r="FU96" s="312"/>
      <c r="FV96" s="312"/>
      <c r="FW96" s="312"/>
      <c r="FX96" s="312"/>
      <c r="FY96" s="312"/>
      <c r="FZ96" s="312"/>
      <c r="GA96" s="312"/>
      <c r="GB96" s="312"/>
      <c r="GC96" s="312"/>
      <c r="GD96" s="312"/>
      <c r="GE96" s="312"/>
      <c r="GF96" s="312"/>
      <c r="GG96" s="312"/>
      <c r="GH96" s="312"/>
      <c r="GI96" s="312"/>
      <c r="GJ96" s="312"/>
      <c r="GK96" s="312"/>
      <c r="GL96" s="312"/>
      <c r="GM96" s="312"/>
      <c r="GN96" s="312"/>
      <c r="GO96" s="312"/>
      <c r="GP96" s="312"/>
      <c r="GQ96" s="312"/>
      <c r="GR96" s="312"/>
      <c r="GS96" s="312"/>
      <c r="GT96" s="312"/>
      <c r="GU96" s="312"/>
      <c r="GV96" s="312"/>
      <c r="GW96" s="312"/>
      <c r="GX96" s="312"/>
      <c r="GY96" s="312"/>
    </row>
    <row r="97" spans="2:207" ht="15.75" x14ac:dyDescent="0.25">
      <c r="B97" s="316">
        <f t="shared" si="20"/>
        <v>67</v>
      </c>
      <c r="C97" s="330">
        <f>'סיכום לוועדה'!B97</f>
        <v>1001348650</v>
      </c>
      <c r="D97" s="330">
        <f>'סיכום לוועדה'!C97</f>
        <v>1001270091</v>
      </c>
      <c r="E97" s="330">
        <f>'סיכום לוועדה'!D97</f>
        <v>40000685</v>
      </c>
      <c r="F97" s="330">
        <f>'סיכום לוועדה'!E97</f>
        <v>20000231</v>
      </c>
      <c r="G97" s="330" t="str">
        <f>'סיכום לוועדה'!F97</f>
        <v>נצרת</v>
      </c>
      <c r="H97" s="317" t="str">
        <f>'סיכום לוועדה'!G97</f>
        <v>אלערביא לתרבות ואמנות</v>
      </c>
      <c r="I97" s="318">
        <f>'סיכום לוועדה'!U97</f>
        <v>65000</v>
      </c>
      <c r="J97" s="319">
        <f>'סיכום לוועדה'!T97</f>
        <v>8695.6224228227147</v>
      </c>
      <c r="K97" s="320">
        <f t="shared" si="21"/>
        <v>0</v>
      </c>
      <c r="L97" s="319">
        <f t="shared" si="22"/>
        <v>8695.6224228227147</v>
      </c>
      <c r="M97" s="331">
        <f>'תחום תמיכה ב'!AF97</f>
        <v>6.4840523104738002E-5</v>
      </c>
      <c r="N97" s="319">
        <f t="shared" si="19"/>
        <v>9800.1490865616997</v>
      </c>
      <c r="O97" s="321">
        <f t="shared" si="23"/>
        <v>0</v>
      </c>
      <c r="P97" s="322">
        <f t="shared" si="24"/>
        <v>9800.1490865616997</v>
      </c>
      <c r="Q97" s="322">
        <f t="shared" si="25"/>
        <v>9804.6113532691816</v>
      </c>
      <c r="R97" s="321">
        <f t="shared" si="26"/>
        <v>0</v>
      </c>
      <c r="S97" s="322">
        <f t="shared" si="27"/>
        <v>9804.6113532691816</v>
      </c>
      <c r="T97" s="322">
        <f t="shared" si="28"/>
        <v>9804.6113532691616</v>
      </c>
      <c r="U97" s="321">
        <f t="shared" si="29"/>
        <v>0</v>
      </c>
      <c r="V97" s="322">
        <f t="shared" si="30"/>
        <v>9804.6113532691616</v>
      </c>
      <c r="W97" s="322">
        <f t="shared" si="31"/>
        <v>9804.6113532691652</v>
      </c>
      <c r="X97" s="321">
        <f t="shared" si="32"/>
        <v>0</v>
      </c>
      <c r="Y97" s="322">
        <f t="shared" si="33"/>
        <v>9804.6113532691652</v>
      </c>
      <c r="Z97" s="322">
        <f t="shared" si="34"/>
        <v>9804.6113532691634</v>
      </c>
      <c r="AA97" s="323">
        <f t="shared" si="35"/>
        <v>9804.6113532691634</v>
      </c>
      <c r="AB97" s="323"/>
      <c r="AC97" s="323"/>
      <c r="AD97" s="323"/>
      <c r="AE97" s="323"/>
      <c r="AF97" s="324">
        <f t="shared" si="36"/>
        <v>5.6148887187164837E-5</v>
      </c>
      <c r="AG97" s="312"/>
      <c r="AH97" s="312"/>
      <c r="AI97" s="325">
        <f t="shared" si="37"/>
        <v>1</v>
      </c>
      <c r="AJ97" s="312"/>
      <c r="AK97" s="312"/>
      <c r="AL97" s="312"/>
      <c r="AM97" s="312"/>
      <c r="AN97" s="312"/>
      <c r="AO97" s="312"/>
      <c r="AP97" s="312"/>
      <c r="AQ97" s="312"/>
      <c r="AR97" s="312"/>
      <c r="AS97" s="312"/>
      <c r="AT97" s="312"/>
      <c r="AU97" s="312"/>
      <c r="AV97" s="312"/>
      <c r="AW97" s="312"/>
      <c r="AX97" s="312"/>
      <c r="AY97" s="312"/>
      <c r="AZ97" s="312"/>
      <c r="BA97" s="312"/>
      <c r="BB97" s="312"/>
      <c r="BC97" s="312"/>
      <c r="BD97" s="312"/>
      <c r="BE97" s="312"/>
      <c r="BF97" s="312"/>
      <c r="BG97" s="312"/>
      <c r="BH97" s="312"/>
      <c r="BI97" s="312"/>
      <c r="BJ97" s="312"/>
      <c r="BK97" s="312"/>
      <c r="BL97" s="312"/>
      <c r="BM97" s="312"/>
      <c r="BN97" s="312"/>
      <c r="BO97" s="312"/>
      <c r="BP97" s="312"/>
      <c r="BQ97" s="312"/>
      <c r="BR97" s="312"/>
      <c r="BS97" s="312"/>
      <c r="BT97" s="312"/>
      <c r="BU97" s="312"/>
      <c r="BV97" s="312"/>
      <c r="BW97" s="312"/>
      <c r="BX97" s="312"/>
      <c r="BY97" s="312"/>
      <c r="BZ97" s="312"/>
      <c r="CA97" s="312"/>
      <c r="CB97" s="312"/>
      <c r="CC97" s="312"/>
      <c r="CD97" s="312"/>
      <c r="CE97" s="312"/>
      <c r="CF97" s="312"/>
      <c r="CG97" s="312"/>
      <c r="CH97" s="312"/>
      <c r="CI97" s="312"/>
      <c r="CJ97" s="312"/>
      <c r="CK97" s="312"/>
      <c r="CL97" s="312"/>
      <c r="CM97" s="312"/>
      <c r="CN97" s="312"/>
      <c r="CO97" s="312"/>
      <c r="CP97" s="312"/>
      <c r="CQ97" s="312"/>
      <c r="CR97" s="312"/>
      <c r="CS97" s="312"/>
      <c r="CT97" s="312"/>
      <c r="CU97" s="312"/>
      <c r="CV97" s="312"/>
      <c r="CW97" s="312"/>
      <c r="CX97" s="312"/>
      <c r="CY97" s="312"/>
      <c r="CZ97" s="312"/>
      <c r="DA97" s="312"/>
      <c r="DB97" s="312"/>
      <c r="DC97" s="312"/>
      <c r="DD97" s="312"/>
      <c r="DE97" s="312"/>
      <c r="DF97" s="312"/>
      <c r="DG97" s="312"/>
      <c r="DH97" s="312"/>
      <c r="DI97" s="312"/>
      <c r="DJ97" s="312"/>
      <c r="DK97" s="312"/>
      <c r="DL97" s="312"/>
      <c r="DM97" s="312"/>
      <c r="DN97" s="312"/>
      <c r="DO97" s="312"/>
      <c r="DP97" s="312"/>
      <c r="DQ97" s="312"/>
      <c r="DR97" s="312"/>
      <c r="DS97" s="312"/>
      <c r="DT97" s="312"/>
      <c r="DU97" s="312"/>
      <c r="DV97" s="312"/>
      <c r="DW97" s="312"/>
      <c r="DX97" s="312"/>
      <c r="DY97" s="312"/>
      <c r="DZ97" s="312"/>
      <c r="EA97" s="312"/>
      <c r="EB97" s="312"/>
      <c r="EC97" s="312"/>
      <c r="ED97" s="312"/>
      <c r="EE97" s="312"/>
      <c r="EF97" s="312"/>
      <c r="EG97" s="312"/>
      <c r="EH97" s="312"/>
      <c r="EI97" s="312"/>
      <c r="EJ97" s="312"/>
      <c r="EK97" s="312"/>
      <c r="EL97" s="312"/>
      <c r="EM97" s="312"/>
      <c r="EN97" s="312"/>
      <c r="EO97" s="312"/>
      <c r="EP97" s="312"/>
      <c r="EQ97" s="312"/>
      <c r="ER97" s="312"/>
      <c r="ES97" s="312"/>
      <c r="ET97" s="312"/>
      <c r="EU97" s="312"/>
      <c r="EV97" s="312"/>
      <c r="EW97" s="312"/>
      <c r="EX97" s="312"/>
      <c r="EY97" s="312"/>
      <c r="EZ97" s="312"/>
      <c r="FA97" s="312"/>
      <c r="FB97" s="312"/>
      <c r="FC97" s="312"/>
      <c r="FD97" s="312"/>
      <c r="FE97" s="312"/>
      <c r="FF97" s="312"/>
      <c r="FG97" s="312"/>
      <c r="FH97" s="312"/>
      <c r="FI97" s="312"/>
      <c r="FJ97" s="312"/>
      <c r="FK97" s="312"/>
      <c r="FL97" s="312"/>
      <c r="FM97" s="312"/>
      <c r="FN97" s="312"/>
      <c r="FO97" s="312"/>
      <c r="FP97" s="312"/>
      <c r="FQ97" s="312"/>
      <c r="FR97" s="312"/>
      <c r="FS97" s="312"/>
      <c r="FT97" s="312"/>
      <c r="FU97" s="312"/>
      <c r="FV97" s="312"/>
      <c r="FW97" s="312"/>
      <c r="FX97" s="312"/>
      <c r="FY97" s="312"/>
      <c r="FZ97" s="312"/>
      <c r="GA97" s="312"/>
      <c r="GB97" s="312"/>
      <c r="GC97" s="312"/>
      <c r="GD97" s="312"/>
      <c r="GE97" s="312"/>
      <c r="GF97" s="312"/>
      <c r="GG97" s="312"/>
      <c r="GH97" s="312"/>
      <c r="GI97" s="312"/>
      <c r="GJ97" s="312"/>
      <c r="GK97" s="312"/>
      <c r="GL97" s="312"/>
      <c r="GM97" s="312"/>
      <c r="GN97" s="312"/>
      <c r="GO97" s="312"/>
      <c r="GP97" s="312"/>
      <c r="GQ97" s="312"/>
      <c r="GR97" s="312"/>
      <c r="GS97" s="312"/>
      <c r="GT97" s="312"/>
      <c r="GU97" s="312"/>
      <c r="GV97" s="312"/>
      <c r="GW97" s="312"/>
      <c r="GX97" s="312"/>
      <c r="GY97" s="312"/>
    </row>
    <row r="98" spans="2:207" ht="15.75" x14ac:dyDescent="0.25">
      <c r="B98" s="316">
        <f t="shared" si="20"/>
        <v>68</v>
      </c>
      <c r="C98" s="330">
        <f>'סיכום לוועדה'!B98</f>
        <v>1001348519</v>
      </c>
      <c r="D98" s="330">
        <f>'סיכום לוועדה'!C98</f>
        <v>1001270078</v>
      </c>
      <c r="E98" s="330">
        <f>'סיכום לוועדה'!D98</f>
        <v>40000685</v>
      </c>
      <c r="F98" s="330">
        <f>'סיכום לוועדה'!E98</f>
        <v>20000231</v>
      </c>
      <c r="G98" s="330" t="str">
        <f>'סיכום לוועדה'!F98</f>
        <v>נצרת</v>
      </c>
      <c r="H98" s="317" t="str">
        <f>'סיכום לוועדה'!G98</f>
        <v>אלערביא לתרבות ואמנות</v>
      </c>
      <c r="I98" s="318">
        <f>'סיכום לוועדה'!U98</f>
        <v>499898</v>
      </c>
      <c r="J98" s="319">
        <f>'סיכום לוועדה'!T98</f>
        <v>12189.158557715935</v>
      </c>
      <c r="K98" s="320">
        <f t="shared" si="21"/>
        <v>0</v>
      </c>
      <c r="L98" s="319">
        <f t="shared" si="22"/>
        <v>12189.158557715935</v>
      </c>
      <c r="M98" s="331">
        <f>'תחום תמיכה ב'!AF98</f>
        <v>6.867387479752569E-5</v>
      </c>
      <c r="N98" s="319">
        <f t="shared" si="19"/>
        <v>13358.984496559991</v>
      </c>
      <c r="O98" s="321">
        <f t="shared" si="23"/>
        <v>0</v>
      </c>
      <c r="P98" s="322">
        <f t="shared" si="24"/>
        <v>13358.984496559991</v>
      </c>
      <c r="Q98" s="322">
        <f t="shared" si="25"/>
        <v>13365.067195020823</v>
      </c>
      <c r="R98" s="321">
        <f t="shared" si="26"/>
        <v>0</v>
      </c>
      <c r="S98" s="322">
        <f t="shared" si="27"/>
        <v>13365.067195020823</v>
      </c>
      <c r="T98" s="322">
        <f t="shared" si="28"/>
        <v>13365.067195020796</v>
      </c>
      <c r="U98" s="321">
        <f t="shared" si="29"/>
        <v>0</v>
      </c>
      <c r="V98" s="322">
        <f t="shared" si="30"/>
        <v>13365.067195020796</v>
      </c>
      <c r="W98" s="322">
        <f t="shared" si="31"/>
        <v>13365.067195020802</v>
      </c>
      <c r="X98" s="321">
        <f t="shared" si="32"/>
        <v>0</v>
      </c>
      <c r="Y98" s="322">
        <f t="shared" si="33"/>
        <v>13365.067195020802</v>
      </c>
      <c r="Z98" s="322">
        <f t="shared" si="34"/>
        <v>13365.0671950208</v>
      </c>
      <c r="AA98" s="323">
        <f t="shared" si="35"/>
        <v>13365.0671950208</v>
      </c>
      <c r="AB98" s="323"/>
      <c r="AC98" s="323"/>
      <c r="AD98" s="323"/>
      <c r="AE98" s="323"/>
      <c r="AF98" s="324">
        <f t="shared" si="36"/>
        <v>7.6538847195802665E-5</v>
      </c>
      <c r="AG98" s="312"/>
      <c r="AH98" s="312"/>
      <c r="AI98" s="325">
        <f t="shared" si="37"/>
        <v>1</v>
      </c>
      <c r="AJ98" s="312"/>
      <c r="AK98" s="312"/>
      <c r="AL98" s="312"/>
      <c r="AM98" s="312"/>
      <c r="AN98" s="312"/>
      <c r="AO98" s="312"/>
      <c r="AP98" s="312"/>
      <c r="AQ98" s="312"/>
      <c r="AR98" s="312"/>
      <c r="AS98" s="312"/>
      <c r="AT98" s="312"/>
      <c r="AU98" s="312"/>
      <c r="AV98" s="312"/>
      <c r="AW98" s="312"/>
      <c r="AX98" s="312"/>
      <c r="AY98" s="312"/>
      <c r="AZ98" s="312"/>
      <c r="BA98" s="312"/>
      <c r="BB98" s="312"/>
      <c r="BC98" s="312"/>
      <c r="BD98" s="312"/>
      <c r="BE98" s="312"/>
      <c r="BF98" s="312"/>
      <c r="BG98" s="312"/>
      <c r="BH98" s="312"/>
      <c r="BI98" s="312"/>
      <c r="BJ98" s="312"/>
      <c r="BK98" s="312"/>
      <c r="BL98" s="312"/>
      <c r="BM98" s="312"/>
      <c r="BN98" s="312"/>
      <c r="BO98" s="312"/>
      <c r="BP98" s="312"/>
      <c r="BQ98" s="312"/>
      <c r="BR98" s="312"/>
      <c r="BS98" s="312"/>
      <c r="BT98" s="312"/>
      <c r="BU98" s="312"/>
      <c r="BV98" s="312"/>
      <c r="BW98" s="312"/>
      <c r="BX98" s="312"/>
      <c r="BY98" s="312"/>
      <c r="BZ98" s="312"/>
      <c r="CA98" s="312"/>
      <c r="CB98" s="312"/>
      <c r="CC98" s="312"/>
      <c r="CD98" s="312"/>
      <c r="CE98" s="312"/>
      <c r="CF98" s="312"/>
      <c r="CG98" s="312"/>
      <c r="CH98" s="312"/>
      <c r="CI98" s="312"/>
      <c r="CJ98" s="312"/>
      <c r="CK98" s="312"/>
      <c r="CL98" s="312"/>
      <c r="CM98" s="312"/>
      <c r="CN98" s="312"/>
      <c r="CO98" s="312"/>
      <c r="CP98" s="312"/>
      <c r="CQ98" s="312"/>
      <c r="CR98" s="312"/>
      <c r="CS98" s="312"/>
      <c r="CT98" s="312"/>
      <c r="CU98" s="312"/>
      <c r="CV98" s="312"/>
      <c r="CW98" s="312"/>
      <c r="CX98" s="312"/>
      <c r="CY98" s="312"/>
      <c r="CZ98" s="312"/>
      <c r="DA98" s="312"/>
      <c r="DB98" s="312"/>
      <c r="DC98" s="312"/>
      <c r="DD98" s="312"/>
      <c r="DE98" s="312"/>
      <c r="DF98" s="312"/>
      <c r="DG98" s="312"/>
      <c r="DH98" s="312"/>
      <c r="DI98" s="312"/>
      <c r="DJ98" s="312"/>
      <c r="DK98" s="312"/>
      <c r="DL98" s="312"/>
      <c r="DM98" s="312"/>
      <c r="DN98" s="312"/>
      <c r="DO98" s="312"/>
      <c r="DP98" s="312"/>
      <c r="DQ98" s="312"/>
      <c r="DR98" s="312"/>
      <c r="DS98" s="312"/>
      <c r="DT98" s="312"/>
      <c r="DU98" s="312"/>
      <c r="DV98" s="312"/>
      <c r="DW98" s="312"/>
      <c r="DX98" s="312"/>
      <c r="DY98" s="312"/>
      <c r="DZ98" s="312"/>
      <c r="EA98" s="312"/>
      <c r="EB98" s="312"/>
      <c r="EC98" s="312"/>
      <c r="ED98" s="312"/>
      <c r="EE98" s="312"/>
      <c r="EF98" s="312"/>
      <c r="EG98" s="312"/>
      <c r="EH98" s="312"/>
      <c r="EI98" s="312"/>
      <c r="EJ98" s="312"/>
      <c r="EK98" s="312"/>
      <c r="EL98" s="312"/>
      <c r="EM98" s="312"/>
      <c r="EN98" s="312"/>
      <c r="EO98" s="312"/>
      <c r="EP98" s="312"/>
      <c r="EQ98" s="312"/>
      <c r="ER98" s="312"/>
      <c r="ES98" s="312"/>
      <c r="ET98" s="312"/>
      <c r="EU98" s="312"/>
      <c r="EV98" s="312"/>
      <c r="EW98" s="312"/>
      <c r="EX98" s="312"/>
      <c r="EY98" s="312"/>
      <c r="EZ98" s="312"/>
      <c r="FA98" s="312"/>
      <c r="FB98" s="312"/>
      <c r="FC98" s="312"/>
      <c r="FD98" s="312"/>
      <c r="FE98" s="312"/>
      <c r="FF98" s="312"/>
      <c r="FG98" s="312"/>
      <c r="FH98" s="312"/>
      <c r="FI98" s="312"/>
      <c r="FJ98" s="312"/>
      <c r="FK98" s="312"/>
      <c r="FL98" s="312"/>
      <c r="FM98" s="312"/>
      <c r="FN98" s="312"/>
      <c r="FO98" s="312"/>
      <c r="FP98" s="312"/>
      <c r="FQ98" s="312"/>
      <c r="FR98" s="312"/>
      <c r="FS98" s="312"/>
      <c r="FT98" s="312"/>
      <c r="FU98" s="312"/>
      <c r="FV98" s="312"/>
      <c r="FW98" s="312"/>
      <c r="FX98" s="312"/>
      <c r="FY98" s="312"/>
      <c r="FZ98" s="312"/>
      <c r="GA98" s="312"/>
      <c r="GB98" s="312"/>
      <c r="GC98" s="312"/>
      <c r="GD98" s="312"/>
      <c r="GE98" s="312"/>
      <c r="GF98" s="312"/>
      <c r="GG98" s="312"/>
      <c r="GH98" s="312"/>
      <c r="GI98" s="312"/>
      <c r="GJ98" s="312"/>
      <c r="GK98" s="312"/>
      <c r="GL98" s="312"/>
      <c r="GM98" s="312"/>
      <c r="GN98" s="312"/>
      <c r="GO98" s="312"/>
      <c r="GP98" s="312"/>
      <c r="GQ98" s="312"/>
      <c r="GR98" s="312"/>
      <c r="GS98" s="312"/>
      <c r="GT98" s="312"/>
      <c r="GU98" s="312"/>
      <c r="GV98" s="312"/>
      <c r="GW98" s="312"/>
      <c r="GX98" s="312"/>
      <c r="GY98" s="312"/>
    </row>
    <row r="99" spans="2:207" ht="15.75" x14ac:dyDescent="0.25">
      <c r="B99" s="316">
        <f t="shared" si="20"/>
        <v>69</v>
      </c>
      <c r="C99" s="330">
        <f>'סיכום לוועדה'!B99</f>
        <v>1001349422</v>
      </c>
      <c r="D99" s="330">
        <f>'סיכום לוועדה'!C99</f>
        <v>1001288961</v>
      </c>
      <c r="E99" s="330">
        <f>'סיכום לוועדה'!D99</f>
        <v>40000581</v>
      </c>
      <c r="F99" s="330">
        <f>'סיכום לוועדה'!E99</f>
        <v>20000111</v>
      </c>
      <c r="G99" s="330" t="str">
        <f>'סיכום לוועדה'!F99</f>
        <v>מיתר</v>
      </c>
      <c r="H99" s="317" t="str">
        <f>'סיכום לוועדה'!G99</f>
        <v>נוה הבדואים</v>
      </c>
      <c r="I99" s="318">
        <f>'סיכום לוועדה'!U99</f>
        <v>1558964</v>
      </c>
      <c r="J99" s="319">
        <f>'סיכום לוועדה'!T99</f>
        <v>163045.94321118831</v>
      </c>
      <c r="K99" s="320">
        <f t="shared" si="21"/>
        <v>0</v>
      </c>
      <c r="L99" s="319">
        <f t="shared" si="22"/>
        <v>163045.94321118831</v>
      </c>
      <c r="M99" s="331">
        <f>'תחום תמיכה ב'!AF99</f>
        <v>9.4056172080346739E-4</v>
      </c>
      <c r="N99" s="319">
        <f t="shared" si="19"/>
        <v>179067.95305588897</v>
      </c>
      <c r="O99" s="321">
        <f t="shared" si="23"/>
        <v>0</v>
      </c>
      <c r="P99" s="322">
        <f t="shared" si="24"/>
        <v>179067.95305588897</v>
      </c>
      <c r="Q99" s="322">
        <f t="shared" si="25"/>
        <v>179149.48742421748</v>
      </c>
      <c r="R99" s="321">
        <f t="shared" si="26"/>
        <v>0</v>
      </c>
      <c r="S99" s="322">
        <f t="shared" si="27"/>
        <v>179149.48742421748</v>
      </c>
      <c r="T99" s="322">
        <f t="shared" si="28"/>
        <v>179149.48742421711</v>
      </c>
      <c r="U99" s="321">
        <f t="shared" si="29"/>
        <v>0</v>
      </c>
      <c r="V99" s="322">
        <f t="shared" si="30"/>
        <v>179149.48742421711</v>
      </c>
      <c r="W99" s="322">
        <f t="shared" si="31"/>
        <v>179149.48742421719</v>
      </c>
      <c r="X99" s="321">
        <f t="shared" si="32"/>
        <v>0</v>
      </c>
      <c r="Y99" s="322">
        <f t="shared" si="33"/>
        <v>179149.48742421719</v>
      </c>
      <c r="Z99" s="322">
        <f t="shared" si="34"/>
        <v>179149.48742421714</v>
      </c>
      <c r="AA99" s="323">
        <f t="shared" si="35"/>
        <v>179149.48742421714</v>
      </c>
      <c r="AB99" s="323"/>
      <c r="AC99" s="323"/>
      <c r="AD99" s="323"/>
      <c r="AE99" s="323"/>
      <c r="AF99" s="324">
        <f t="shared" si="36"/>
        <v>1.0259503407717202E-3</v>
      </c>
      <c r="AG99" s="312"/>
      <c r="AH99" s="312"/>
      <c r="AI99" s="325">
        <f t="shared" si="37"/>
        <v>1</v>
      </c>
      <c r="AJ99" s="312"/>
      <c r="AK99" s="312"/>
      <c r="AL99" s="312"/>
      <c r="AM99" s="312"/>
      <c r="AN99" s="312"/>
      <c r="AO99" s="312"/>
      <c r="AP99" s="312"/>
      <c r="AQ99" s="312"/>
      <c r="AR99" s="312"/>
      <c r="AS99" s="312"/>
      <c r="AT99" s="312"/>
      <c r="AU99" s="312"/>
      <c r="AV99" s="312"/>
      <c r="AW99" s="312"/>
      <c r="AX99" s="312"/>
      <c r="AY99" s="312"/>
      <c r="AZ99" s="312"/>
      <c r="BA99" s="312"/>
      <c r="BB99" s="312"/>
      <c r="BC99" s="312"/>
      <c r="BD99" s="312"/>
      <c r="BE99" s="312"/>
      <c r="BF99" s="312"/>
      <c r="BG99" s="312"/>
      <c r="BH99" s="312"/>
      <c r="BI99" s="312"/>
      <c r="BJ99" s="312"/>
      <c r="BK99" s="312"/>
      <c r="BL99" s="312"/>
      <c r="BM99" s="312"/>
      <c r="BN99" s="312"/>
      <c r="BO99" s="312"/>
      <c r="BP99" s="312"/>
      <c r="BQ99" s="312"/>
      <c r="BR99" s="312"/>
      <c r="BS99" s="312"/>
      <c r="BT99" s="312"/>
      <c r="BU99" s="312"/>
      <c r="BV99" s="312"/>
      <c r="BW99" s="312"/>
      <c r="BX99" s="312"/>
      <c r="BY99" s="312"/>
      <c r="BZ99" s="312"/>
      <c r="CA99" s="312"/>
      <c r="CB99" s="312"/>
      <c r="CC99" s="312"/>
      <c r="CD99" s="312"/>
      <c r="CE99" s="312"/>
      <c r="CF99" s="312"/>
      <c r="CG99" s="312"/>
      <c r="CH99" s="312"/>
      <c r="CI99" s="312"/>
      <c r="CJ99" s="312"/>
      <c r="CK99" s="312"/>
      <c r="CL99" s="312"/>
      <c r="CM99" s="312"/>
      <c r="CN99" s="312"/>
      <c r="CO99" s="312"/>
      <c r="CP99" s="312"/>
      <c r="CQ99" s="312"/>
      <c r="CR99" s="312"/>
      <c r="CS99" s="312"/>
      <c r="CT99" s="312"/>
      <c r="CU99" s="312"/>
      <c r="CV99" s="312"/>
      <c r="CW99" s="312"/>
      <c r="CX99" s="312"/>
      <c r="CY99" s="312"/>
      <c r="CZ99" s="312"/>
      <c r="DA99" s="312"/>
      <c r="DB99" s="312"/>
      <c r="DC99" s="312"/>
      <c r="DD99" s="312"/>
      <c r="DE99" s="312"/>
      <c r="DF99" s="312"/>
      <c r="DG99" s="312"/>
      <c r="DH99" s="312"/>
      <c r="DI99" s="312"/>
      <c r="DJ99" s="312"/>
      <c r="DK99" s="312"/>
      <c r="DL99" s="312"/>
      <c r="DM99" s="312"/>
      <c r="DN99" s="312"/>
      <c r="DO99" s="312"/>
      <c r="DP99" s="312"/>
      <c r="DQ99" s="312"/>
      <c r="DR99" s="312"/>
      <c r="DS99" s="312"/>
      <c r="DT99" s="312"/>
      <c r="DU99" s="312"/>
      <c r="DV99" s="312"/>
      <c r="DW99" s="312"/>
      <c r="DX99" s="312"/>
      <c r="DY99" s="312"/>
      <c r="DZ99" s="312"/>
      <c r="EA99" s="312"/>
      <c r="EB99" s="312"/>
      <c r="EC99" s="312"/>
      <c r="ED99" s="312"/>
      <c r="EE99" s="312"/>
      <c r="EF99" s="312"/>
      <c r="EG99" s="312"/>
      <c r="EH99" s="312"/>
      <c r="EI99" s="312"/>
      <c r="EJ99" s="312"/>
      <c r="EK99" s="312"/>
      <c r="EL99" s="312"/>
      <c r="EM99" s="312"/>
      <c r="EN99" s="312"/>
      <c r="EO99" s="312"/>
      <c r="EP99" s="312"/>
      <c r="EQ99" s="312"/>
      <c r="ER99" s="312"/>
      <c r="ES99" s="312"/>
      <c r="ET99" s="312"/>
      <c r="EU99" s="312"/>
      <c r="EV99" s="312"/>
      <c r="EW99" s="312"/>
      <c r="EX99" s="312"/>
      <c r="EY99" s="312"/>
      <c r="EZ99" s="312"/>
      <c r="FA99" s="312"/>
      <c r="FB99" s="312"/>
      <c r="FC99" s="312"/>
      <c r="FD99" s="312"/>
      <c r="FE99" s="312"/>
      <c r="FF99" s="312"/>
      <c r="FG99" s="312"/>
      <c r="FH99" s="312"/>
      <c r="FI99" s="312"/>
      <c r="FJ99" s="312"/>
      <c r="FK99" s="312"/>
      <c r="FL99" s="312"/>
      <c r="FM99" s="312"/>
      <c r="FN99" s="312"/>
      <c r="FO99" s="312"/>
      <c r="FP99" s="312"/>
      <c r="FQ99" s="312"/>
      <c r="FR99" s="312"/>
      <c r="FS99" s="312"/>
      <c r="FT99" s="312"/>
      <c r="FU99" s="312"/>
      <c r="FV99" s="312"/>
      <c r="FW99" s="312"/>
      <c r="FX99" s="312"/>
      <c r="FY99" s="312"/>
      <c r="FZ99" s="312"/>
      <c r="GA99" s="312"/>
      <c r="GB99" s="312"/>
      <c r="GC99" s="312"/>
      <c r="GD99" s="312"/>
      <c r="GE99" s="312"/>
      <c r="GF99" s="312"/>
      <c r="GG99" s="312"/>
      <c r="GH99" s="312"/>
      <c r="GI99" s="312"/>
      <c r="GJ99" s="312"/>
      <c r="GK99" s="312"/>
      <c r="GL99" s="312"/>
      <c r="GM99" s="312"/>
      <c r="GN99" s="312"/>
      <c r="GO99" s="312"/>
      <c r="GP99" s="312"/>
      <c r="GQ99" s="312"/>
      <c r="GR99" s="312"/>
      <c r="GS99" s="312"/>
      <c r="GT99" s="312"/>
      <c r="GU99" s="312"/>
      <c r="GV99" s="312"/>
      <c r="GW99" s="312"/>
      <c r="GX99" s="312"/>
      <c r="GY99" s="312"/>
    </row>
    <row r="100" spans="2:207" ht="15.75" x14ac:dyDescent="0.25">
      <c r="B100" s="316">
        <f t="shared" si="20"/>
        <v>70</v>
      </c>
      <c r="C100" s="330">
        <f>'סיכום לוועדה'!B100</f>
        <v>1001349725</v>
      </c>
      <c r="D100" s="330">
        <f>'סיכום לוועדה'!C100</f>
        <v>1001268621</v>
      </c>
      <c r="E100" s="330">
        <f>'סיכום לוועדה'!D100</f>
        <v>40000391</v>
      </c>
      <c r="F100" s="330">
        <f>'סיכום לוועדה'!E100</f>
        <v>20000132</v>
      </c>
      <c r="G100" s="330" t="str">
        <f>'סיכום לוועדה'!F100</f>
        <v>עמק הירדן</v>
      </c>
      <c r="H100" s="317" t="str">
        <f>'סיכום לוועדה'!G100</f>
        <v>מרכז תרבות והנצחה</v>
      </c>
      <c r="I100" s="318">
        <f>'סיכום לוועדה'!U100</f>
        <v>120000</v>
      </c>
      <c r="J100" s="319">
        <f>'סיכום לוועדה'!T100</f>
        <v>6997.2536154183344</v>
      </c>
      <c r="K100" s="320">
        <f t="shared" si="21"/>
        <v>0</v>
      </c>
      <c r="L100" s="319">
        <f t="shared" si="22"/>
        <v>6997.2536154183344</v>
      </c>
      <c r="M100" s="331">
        <f>'תחום תמיכה ב'!AF100</f>
        <v>3.2071567921341728E-5</v>
      </c>
      <c r="N100" s="319">
        <f t="shared" si="19"/>
        <v>7543.5771214735987</v>
      </c>
      <c r="O100" s="321">
        <f t="shared" si="23"/>
        <v>0</v>
      </c>
      <c r="P100" s="322">
        <f t="shared" si="24"/>
        <v>7543.5771214735987</v>
      </c>
      <c r="Q100" s="322">
        <f t="shared" si="25"/>
        <v>7547.0119113678284</v>
      </c>
      <c r="R100" s="321">
        <f t="shared" si="26"/>
        <v>0</v>
      </c>
      <c r="S100" s="322">
        <f t="shared" si="27"/>
        <v>7547.0119113678284</v>
      </c>
      <c r="T100" s="322">
        <f t="shared" si="28"/>
        <v>7547.0119113678129</v>
      </c>
      <c r="U100" s="321">
        <f t="shared" si="29"/>
        <v>0</v>
      </c>
      <c r="V100" s="322">
        <f t="shared" si="30"/>
        <v>7547.0119113678129</v>
      </c>
      <c r="W100" s="322">
        <f t="shared" si="31"/>
        <v>7547.0119113678156</v>
      </c>
      <c r="X100" s="321">
        <f t="shared" si="32"/>
        <v>0</v>
      </c>
      <c r="Y100" s="322">
        <f t="shared" si="33"/>
        <v>7547.0119113678156</v>
      </c>
      <c r="Z100" s="322">
        <f t="shared" si="34"/>
        <v>7547.0119113678138</v>
      </c>
      <c r="AA100" s="323">
        <f t="shared" si="35"/>
        <v>7547.0119113678138</v>
      </c>
      <c r="AB100" s="323"/>
      <c r="AC100" s="323"/>
      <c r="AD100" s="323"/>
      <c r="AE100" s="323"/>
      <c r="AF100" s="324">
        <f t="shared" si="36"/>
        <v>4.322010380047212E-5</v>
      </c>
      <c r="AG100" s="312"/>
      <c r="AH100" s="312"/>
      <c r="AI100" s="325">
        <f t="shared" si="37"/>
        <v>1</v>
      </c>
      <c r="AJ100" s="312"/>
      <c r="AK100" s="312"/>
      <c r="AL100" s="312"/>
      <c r="AM100" s="312"/>
      <c r="AN100" s="312"/>
      <c r="AO100" s="312"/>
      <c r="AP100" s="312"/>
      <c r="AQ100" s="312"/>
      <c r="AR100" s="312"/>
      <c r="AS100" s="312"/>
      <c r="AT100" s="312"/>
      <c r="AU100" s="312"/>
      <c r="AV100" s="312"/>
      <c r="AW100" s="312"/>
      <c r="AX100" s="312"/>
      <c r="AY100" s="312"/>
      <c r="AZ100" s="312"/>
      <c r="BA100" s="312"/>
      <c r="BB100" s="312"/>
      <c r="BC100" s="312"/>
      <c r="BD100" s="312"/>
      <c r="BE100" s="312"/>
      <c r="BF100" s="312"/>
      <c r="BG100" s="312"/>
      <c r="BH100" s="312"/>
      <c r="BI100" s="312"/>
      <c r="BJ100" s="312"/>
      <c r="BK100" s="312"/>
      <c r="BL100" s="312"/>
      <c r="BM100" s="312"/>
      <c r="BN100" s="312"/>
      <c r="BO100" s="312"/>
      <c r="BP100" s="312"/>
      <c r="BQ100" s="312"/>
      <c r="BR100" s="312"/>
      <c r="BS100" s="312"/>
      <c r="BT100" s="312"/>
      <c r="BU100" s="312"/>
      <c r="BV100" s="312"/>
      <c r="BW100" s="312"/>
      <c r="BX100" s="312"/>
      <c r="BY100" s="312"/>
      <c r="BZ100" s="312"/>
      <c r="CA100" s="312"/>
      <c r="CB100" s="312"/>
      <c r="CC100" s="312"/>
      <c r="CD100" s="312"/>
      <c r="CE100" s="312"/>
      <c r="CF100" s="312"/>
      <c r="CG100" s="312"/>
      <c r="CH100" s="312"/>
      <c r="CI100" s="312"/>
      <c r="CJ100" s="312"/>
      <c r="CK100" s="312"/>
      <c r="CL100" s="312"/>
      <c r="CM100" s="312"/>
      <c r="CN100" s="312"/>
      <c r="CO100" s="312"/>
      <c r="CP100" s="312"/>
      <c r="CQ100" s="312"/>
      <c r="CR100" s="312"/>
      <c r="CS100" s="312"/>
      <c r="CT100" s="312"/>
      <c r="CU100" s="312"/>
      <c r="CV100" s="312"/>
      <c r="CW100" s="312"/>
      <c r="CX100" s="312"/>
      <c r="CY100" s="312"/>
      <c r="CZ100" s="312"/>
      <c r="DA100" s="312"/>
      <c r="DB100" s="312"/>
      <c r="DC100" s="312"/>
      <c r="DD100" s="312"/>
      <c r="DE100" s="312"/>
      <c r="DF100" s="312"/>
      <c r="DG100" s="312"/>
      <c r="DH100" s="312"/>
      <c r="DI100" s="312"/>
      <c r="DJ100" s="312"/>
      <c r="DK100" s="312"/>
      <c r="DL100" s="312"/>
      <c r="DM100" s="312"/>
      <c r="DN100" s="312"/>
      <c r="DO100" s="312"/>
      <c r="DP100" s="312"/>
      <c r="DQ100" s="312"/>
      <c r="DR100" s="312"/>
      <c r="DS100" s="312"/>
      <c r="DT100" s="312"/>
      <c r="DU100" s="312"/>
      <c r="DV100" s="312"/>
      <c r="DW100" s="312"/>
      <c r="DX100" s="312"/>
      <c r="DY100" s="312"/>
      <c r="DZ100" s="312"/>
      <c r="EA100" s="312"/>
      <c r="EB100" s="312"/>
      <c r="EC100" s="312"/>
      <c r="ED100" s="312"/>
      <c r="EE100" s="312"/>
      <c r="EF100" s="312"/>
      <c r="EG100" s="312"/>
      <c r="EH100" s="312"/>
      <c r="EI100" s="312"/>
      <c r="EJ100" s="312"/>
      <c r="EK100" s="312"/>
      <c r="EL100" s="312"/>
      <c r="EM100" s="312"/>
      <c r="EN100" s="312"/>
      <c r="EO100" s="312"/>
      <c r="EP100" s="312"/>
      <c r="EQ100" s="312"/>
      <c r="ER100" s="312"/>
      <c r="ES100" s="312"/>
      <c r="ET100" s="312"/>
      <c r="EU100" s="312"/>
      <c r="EV100" s="312"/>
      <c r="EW100" s="312"/>
      <c r="EX100" s="312"/>
      <c r="EY100" s="312"/>
      <c r="EZ100" s="312"/>
      <c r="FA100" s="312"/>
      <c r="FB100" s="312"/>
      <c r="FC100" s="312"/>
      <c r="FD100" s="312"/>
      <c r="FE100" s="312"/>
      <c r="FF100" s="312"/>
      <c r="FG100" s="312"/>
      <c r="FH100" s="312"/>
      <c r="FI100" s="312"/>
      <c r="FJ100" s="312"/>
      <c r="FK100" s="312"/>
      <c r="FL100" s="312"/>
      <c r="FM100" s="312"/>
      <c r="FN100" s="312"/>
      <c r="FO100" s="312"/>
      <c r="FP100" s="312"/>
      <c r="FQ100" s="312"/>
      <c r="FR100" s="312"/>
      <c r="FS100" s="312"/>
      <c r="FT100" s="312"/>
      <c r="FU100" s="312"/>
      <c r="FV100" s="312"/>
      <c r="FW100" s="312"/>
      <c r="FX100" s="312"/>
      <c r="FY100" s="312"/>
      <c r="FZ100" s="312"/>
      <c r="GA100" s="312"/>
      <c r="GB100" s="312"/>
      <c r="GC100" s="312"/>
      <c r="GD100" s="312"/>
      <c r="GE100" s="312"/>
      <c r="GF100" s="312"/>
      <c r="GG100" s="312"/>
      <c r="GH100" s="312"/>
      <c r="GI100" s="312"/>
      <c r="GJ100" s="312"/>
      <c r="GK100" s="312"/>
      <c r="GL100" s="312"/>
      <c r="GM100" s="312"/>
      <c r="GN100" s="312"/>
      <c r="GO100" s="312"/>
      <c r="GP100" s="312"/>
      <c r="GQ100" s="312"/>
      <c r="GR100" s="312"/>
      <c r="GS100" s="312"/>
      <c r="GT100" s="312"/>
      <c r="GU100" s="312"/>
      <c r="GV100" s="312"/>
      <c r="GW100" s="312"/>
      <c r="GX100" s="312"/>
      <c r="GY100" s="312"/>
    </row>
    <row r="101" spans="2:207" ht="15.75" x14ac:dyDescent="0.25">
      <c r="B101" s="316">
        <f t="shared" si="20"/>
        <v>71</v>
      </c>
      <c r="C101" s="330">
        <f>'סיכום לוועדה'!B101</f>
        <v>1001347665</v>
      </c>
      <c r="D101" s="330">
        <f>'סיכום לוועדה'!C101</f>
        <v>1001269101</v>
      </c>
      <c r="E101" s="330">
        <f>'סיכום לוועדה'!D101</f>
        <v>40000411</v>
      </c>
      <c r="F101" s="330">
        <f>'סיכום לוועדה'!E101</f>
        <v>20000159</v>
      </c>
      <c r="G101" s="330" t="str">
        <f>'סיכום לוועדה'!F101</f>
        <v>ירושלים</v>
      </c>
      <c r="H101" s="317" t="str">
        <f>'סיכום לוועדה'!G101</f>
        <v>סינמטק ירושלים</v>
      </c>
      <c r="I101" s="318">
        <f>'סיכום לוועדה'!U101</f>
        <v>4900000</v>
      </c>
      <c r="J101" s="319">
        <f>'סיכום לוועדה'!T101</f>
        <v>2095962.3623117253</v>
      </c>
      <c r="K101" s="320">
        <f t="shared" si="21"/>
        <v>0</v>
      </c>
      <c r="L101" s="319">
        <f t="shared" si="22"/>
        <v>2095962.3623117253</v>
      </c>
      <c r="M101" s="331">
        <f>'תחום תמיכה ב'!AF101</f>
        <v>1.3478431645550768E-2</v>
      </c>
      <c r="N101" s="319">
        <f t="shared" si="19"/>
        <v>2325560.86684332</v>
      </c>
      <c r="O101" s="321">
        <f t="shared" si="23"/>
        <v>0</v>
      </c>
      <c r="P101" s="322">
        <f t="shared" si="24"/>
        <v>2325560.86684332</v>
      </c>
      <c r="Q101" s="322">
        <f t="shared" si="25"/>
        <v>2326619.7561255828</v>
      </c>
      <c r="R101" s="321">
        <f t="shared" si="26"/>
        <v>0</v>
      </c>
      <c r="S101" s="322">
        <f t="shared" si="27"/>
        <v>2326619.7561255828</v>
      </c>
      <c r="T101" s="322">
        <f t="shared" si="28"/>
        <v>2326619.7561255782</v>
      </c>
      <c r="U101" s="321">
        <f t="shared" si="29"/>
        <v>0</v>
      </c>
      <c r="V101" s="322">
        <f t="shared" si="30"/>
        <v>2326619.7561255782</v>
      </c>
      <c r="W101" s="322">
        <f t="shared" si="31"/>
        <v>2326619.7561255791</v>
      </c>
      <c r="X101" s="321">
        <f t="shared" si="32"/>
        <v>0</v>
      </c>
      <c r="Y101" s="322">
        <f t="shared" si="33"/>
        <v>2326619.7561255791</v>
      </c>
      <c r="Z101" s="322">
        <f t="shared" si="34"/>
        <v>2326619.7561255787</v>
      </c>
      <c r="AA101" s="323">
        <f t="shared" si="35"/>
        <v>2326619.7561255787</v>
      </c>
      <c r="AB101" s="323"/>
      <c r="AC101" s="323"/>
      <c r="AD101" s="323"/>
      <c r="AE101" s="323"/>
      <c r="AF101" s="324">
        <f t="shared" si="36"/>
        <v>1.3324047788040635E-2</v>
      </c>
      <c r="AG101" s="312"/>
      <c r="AH101" s="312"/>
      <c r="AI101" s="325">
        <f t="shared" si="37"/>
        <v>1</v>
      </c>
      <c r="AJ101" s="312"/>
      <c r="AK101" s="312"/>
      <c r="AL101" s="312"/>
      <c r="AM101" s="312"/>
      <c r="AN101" s="312"/>
      <c r="AO101" s="312"/>
      <c r="AP101" s="312"/>
      <c r="AQ101" s="312"/>
      <c r="AR101" s="312"/>
      <c r="AS101" s="312"/>
      <c r="AT101" s="312"/>
      <c r="AU101" s="312"/>
      <c r="AV101" s="312"/>
      <c r="AW101" s="312"/>
      <c r="AX101" s="312"/>
      <c r="AY101" s="312"/>
      <c r="AZ101" s="312"/>
      <c r="BA101" s="312"/>
      <c r="BB101" s="312"/>
      <c r="BC101" s="312"/>
      <c r="BD101" s="312"/>
      <c r="BE101" s="312"/>
      <c r="BF101" s="312"/>
      <c r="BG101" s="312"/>
      <c r="BH101" s="312"/>
      <c r="BI101" s="312"/>
      <c r="BJ101" s="312"/>
      <c r="BK101" s="312"/>
      <c r="BL101" s="312"/>
      <c r="BM101" s="312"/>
      <c r="BN101" s="312"/>
      <c r="BO101" s="312"/>
      <c r="BP101" s="312"/>
      <c r="BQ101" s="312"/>
      <c r="BR101" s="312"/>
      <c r="BS101" s="312"/>
      <c r="BT101" s="312"/>
      <c r="BU101" s="312"/>
      <c r="BV101" s="312"/>
      <c r="BW101" s="312"/>
      <c r="BX101" s="312"/>
      <c r="BY101" s="312"/>
      <c r="BZ101" s="312"/>
      <c r="CA101" s="312"/>
      <c r="CB101" s="312"/>
      <c r="CC101" s="312"/>
      <c r="CD101" s="312"/>
      <c r="CE101" s="312"/>
      <c r="CF101" s="312"/>
      <c r="CG101" s="312"/>
      <c r="CH101" s="312"/>
      <c r="CI101" s="312"/>
      <c r="CJ101" s="312"/>
      <c r="CK101" s="312"/>
      <c r="CL101" s="312"/>
      <c r="CM101" s="312"/>
      <c r="CN101" s="312"/>
      <c r="CO101" s="312"/>
      <c r="CP101" s="312"/>
      <c r="CQ101" s="312"/>
      <c r="CR101" s="312"/>
      <c r="CS101" s="312"/>
      <c r="CT101" s="312"/>
      <c r="CU101" s="312"/>
      <c r="CV101" s="312"/>
      <c r="CW101" s="312"/>
      <c r="CX101" s="312"/>
      <c r="CY101" s="312"/>
      <c r="CZ101" s="312"/>
      <c r="DA101" s="312"/>
      <c r="DB101" s="312"/>
      <c r="DC101" s="312"/>
      <c r="DD101" s="312"/>
      <c r="DE101" s="312"/>
      <c r="DF101" s="312"/>
      <c r="DG101" s="312"/>
      <c r="DH101" s="312"/>
      <c r="DI101" s="312"/>
      <c r="DJ101" s="312"/>
      <c r="DK101" s="312"/>
      <c r="DL101" s="312"/>
      <c r="DM101" s="312"/>
      <c r="DN101" s="312"/>
      <c r="DO101" s="312"/>
      <c r="DP101" s="312"/>
      <c r="DQ101" s="312"/>
      <c r="DR101" s="312"/>
      <c r="DS101" s="312"/>
      <c r="DT101" s="312"/>
      <c r="DU101" s="312"/>
      <c r="DV101" s="312"/>
      <c r="DW101" s="312"/>
      <c r="DX101" s="312"/>
      <c r="DY101" s="312"/>
      <c r="DZ101" s="312"/>
      <c r="EA101" s="312"/>
      <c r="EB101" s="312"/>
      <c r="EC101" s="312"/>
      <c r="ED101" s="312"/>
      <c r="EE101" s="312"/>
      <c r="EF101" s="312"/>
      <c r="EG101" s="312"/>
      <c r="EH101" s="312"/>
      <c r="EI101" s="312"/>
      <c r="EJ101" s="312"/>
      <c r="EK101" s="312"/>
      <c r="EL101" s="312"/>
      <c r="EM101" s="312"/>
      <c r="EN101" s="312"/>
      <c r="EO101" s="312"/>
      <c r="EP101" s="312"/>
      <c r="EQ101" s="312"/>
      <c r="ER101" s="312"/>
      <c r="ES101" s="312"/>
      <c r="ET101" s="312"/>
      <c r="EU101" s="312"/>
      <c r="EV101" s="312"/>
      <c r="EW101" s="312"/>
      <c r="EX101" s="312"/>
      <c r="EY101" s="312"/>
      <c r="EZ101" s="312"/>
      <c r="FA101" s="312"/>
      <c r="FB101" s="312"/>
      <c r="FC101" s="312"/>
      <c r="FD101" s="312"/>
      <c r="FE101" s="312"/>
      <c r="FF101" s="312"/>
      <c r="FG101" s="312"/>
      <c r="FH101" s="312"/>
      <c r="FI101" s="312"/>
      <c r="FJ101" s="312"/>
      <c r="FK101" s="312"/>
      <c r="FL101" s="312"/>
      <c r="FM101" s="312"/>
      <c r="FN101" s="312"/>
      <c r="FO101" s="312"/>
      <c r="FP101" s="312"/>
      <c r="FQ101" s="312"/>
      <c r="FR101" s="312"/>
      <c r="FS101" s="312"/>
      <c r="FT101" s="312"/>
      <c r="FU101" s="312"/>
      <c r="FV101" s="312"/>
      <c r="FW101" s="312"/>
      <c r="FX101" s="312"/>
      <c r="FY101" s="312"/>
      <c r="FZ101" s="312"/>
      <c r="GA101" s="312"/>
      <c r="GB101" s="312"/>
      <c r="GC101" s="312"/>
      <c r="GD101" s="312"/>
      <c r="GE101" s="312"/>
      <c r="GF101" s="312"/>
      <c r="GG101" s="312"/>
      <c r="GH101" s="312"/>
      <c r="GI101" s="312"/>
      <c r="GJ101" s="312"/>
      <c r="GK101" s="312"/>
      <c r="GL101" s="312"/>
      <c r="GM101" s="312"/>
      <c r="GN101" s="312"/>
      <c r="GO101" s="312"/>
      <c r="GP101" s="312"/>
      <c r="GQ101" s="312"/>
      <c r="GR101" s="312"/>
      <c r="GS101" s="312"/>
      <c r="GT101" s="312"/>
      <c r="GU101" s="312"/>
      <c r="GV101" s="312"/>
      <c r="GW101" s="312"/>
      <c r="GX101" s="312"/>
      <c r="GY101" s="312"/>
    </row>
    <row r="102" spans="2:207" ht="15.75" x14ac:dyDescent="0.25">
      <c r="B102" s="316">
        <f t="shared" si="20"/>
        <v>72</v>
      </c>
      <c r="C102" s="330">
        <f>'סיכום לוועדה'!B102</f>
        <v>1001347675</v>
      </c>
      <c r="D102" s="330">
        <f>'סיכום לוועדה'!C102</f>
        <v>1001269049</v>
      </c>
      <c r="E102" s="330">
        <f>'סיכום לוועדה'!D102</f>
        <v>40000411</v>
      </c>
      <c r="F102" s="330">
        <f>'סיכום לוועדה'!E102</f>
        <v>20000159</v>
      </c>
      <c r="G102" s="330" t="str">
        <f>'סיכום לוועדה'!F102</f>
        <v>ירושלים</v>
      </c>
      <c r="H102" s="317" t="str">
        <f>'סיכום לוועדה'!G102</f>
        <v>סינמטק ירושלים</v>
      </c>
      <c r="I102" s="318">
        <f>'סיכום לוועדה'!U102</f>
        <v>2000000</v>
      </c>
      <c r="J102" s="319">
        <f>'סיכום לוועדה'!T102</f>
        <v>1157208.4207951173</v>
      </c>
      <c r="K102" s="320">
        <f t="shared" si="21"/>
        <v>0</v>
      </c>
      <c r="L102" s="319">
        <f t="shared" si="22"/>
        <v>1157208.4207951173</v>
      </c>
      <c r="M102" s="331">
        <f>'תחום תמיכה ב'!AF102</f>
        <v>6.6934582178609509E-3</v>
      </c>
      <c r="N102" s="319">
        <f t="shared" si="19"/>
        <v>1271228.2145945602</v>
      </c>
      <c r="O102" s="321">
        <f t="shared" si="23"/>
        <v>0</v>
      </c>
      <c r="P102" s="322">
        <f t="shared" si="24"/>
        <v>1271228.2145945602</v>
      </c>
      <c r="Q102" s="322">
        <f t="shared" si="25"/>
        <v>1271807.0383746366</v>
      </c>
      <c r="R102" s="321">
        <f t="shared" si="26"/>
        <v>0</v>
      </c>
      <c r="S102" s="322">
        <f t="shared" si="27"/>
        <v>1271807.0383746366</v>
      </c>
      <c r="T102" s="322">
        <f t="shared" si="28"/>
        <v>1271807.038374634</v>
      </c>
      <c r="U102" s="321">
        <f t="shared" si="29"/>
        <v>0</v>
      </c>
      <c r="V102" s="322">
        <f t="shared" si="30"/>
        <v>1271807.038374634</v>
      </c>
      <c r="W102" s="322">
        <f t="shared" si="31"/>
        <v>1271807.0383746345</v>
      </c>
      <c r="X102" s="321">
        <f t="shared" si="32"/>
        <v>0</v>
      </c>
      <c r="Y102" s="322">
        <f t="shared" si="33"/>
        <v>1271807.0383746345</v>
      </c>
      <c r="Z102" s="322">
        <f t="shared" si="34"/>
        <v>1271807.0383746342</v>
      </c>
      <c r="AA102" s="323">
        <f t="shared" si="35"/>
        <v>1271807.0383746342</v>
      </c>
      <c r="AB102" s="323"/>
      <c r="AC102" s="323"/>
      <c r="AD102" s="323"/>
      <c r="AE102" s="323"/>
      <c r="AF102" s="324">
        <f t="shared" si="36"/>
        <v>7.2833636488537669E-3</v>
      </c>
      <c r="AG102" s="312"/>
      <c r="AH102" s="312"/>
      <c r="AI102" s="325">
        <f t="shared" si="37"/>
        <v>1</v>
      </c>
      <c r="AJ102" s="312"/>
      <c r="AK102" s="312"/>
      <c r="AL102" s="312"/>
      <c r="AM102" s="312"/>
      <c r="AN102" s="312"/>
      <c r="AO102" s="312"/>
      <c r="AP102" s="312"/>
      <c r="AQ102" s="312"/>
      <c r="AR102" s="312"/>
      <c r="AS102" s="312"/>
      <c r="AT102" s="312"/>
      <c r="AU102" s="312"/>
      <c r="AV102" s="312"/>
      <c r="AW102" s="312"/>
      <c r="AX102" s="312"/>
      <c r="AY102" s="312"/>
      <c r="AZ102" s="312"/>
      <c r="BA102" s="312"/>
      <c r="BB102" s="312"/>
      <c r="BC102" s="312"/>
      <c r="BD102" s="312"/>
      <c r="BE102" s="312"/>
      <c r="BF102" s="312"/>
      <c r="BG102" s="312"/>
      <c r="BH102" s="312"/>
      <c r="BI102" s="312"/>
      <c r="BJ102" s="312"/>
      <c r="BK102" s="312"/>
      <c r="BL102" s="312"/>
      <c r="BM102" s="312"/>
      <c r="BN102" s="312"/>
      <c r="BO102" s="312"/>
      <c r="BP102" s="312"/>
      <c r="BQ102" s="312"/>
      <c r="BR102" s="312"/>
      <c r="BS102" s="312"/>
      <c r="BT102" s="312"/>
      <c r="BU102" s="312"/>
      <c r="BV102" s="312"/>
      <c r="BW102" s="312"/>
      <c r="BX102" s="312"/>
      <c r="BY102" s="312"/>
      <c r="BZ102" s="312"/>
      <c r="CA102" s="312"/>
      <c r="CB102" s="312"/>
      <c r="CC102" s="312"/>
      <c r="CD102" s="312"/>
      <c r="CE102" s="312"/>
      <c r="CF102" s="312"/>
      <c r="CG102" s="312"/>
      <c r="CH102" s="312"/>
      <c r="CI102" s="312"/>
      <c r="CJ102" s="312"/>
      <c r="CK102" s="312"/>
      <c r="CL102" s="312"/>
      <c r="CM102" s="312"/>
      <c r="CN102" s="312"/>
      <c r="CO102" s="312"/>
      <c r="CP102" s="312"/>
      <c r="CQ102" s="312"/>
      <c r="CR102" s="312"/>
      <c r="CS102" s="312"/>
      <c r="CT102" s="312"/>
      <c r="CU102" s="312"/>
      <c r="CV102" s="312"/>
      <c r="CW102" s="312"/>
      <c r="CX102" s="312"/>
      <c r="CY102" s="312"/>
      <c r="CZ102" s="312"/>
      <c r="DA102" s="312"/>
      <c r="DB102" s="312"/>
      <c r="DC102" s="312"/>
      <c r="DD102" s="312"/>
      <c r="DE102" s="312"/>
      <c r="DF102" s="312"/>
      <c r="DG102" s="312"/>
      <c r="DH102" s="312"/>
      <c r="DI102" s="312"/>
      <c r="DJ102" s="312"/>
      <c r="DK102" s="312"/>
      <c r="DL102" s="312"/>
      <c r="DM102" s="312"/>
      <c r="DN102" s="312"/>
      <c r="DO102" s="312"/>
      <c r="DP102" s="312"/>
      <c r="DQ102" s="312"/>
      <c r="DR102" s="312"/>
      <c r="DS102" s="312"/>
      <c r="DT102" s="312"/>
      <c r="DU102" s="312"/>
      <c r="DV102" s="312"/>
      <c r="DW102" s="312"/>
      <c r="DX102" s="312"/>
      <c r="DY102" s="312"/>
      <c r="DZ102" s="312"/>
      <c r="EA102" s="312"/>
      <c r="EB102" s="312"/>
      <c r="EC102" s="312"/>
      <c r="ED102" s="312"/>
      <c r="EE102" s="312"/>
      <c r="EF102" s="312"/>
      <c r="EG102" s="312"/>
      <c r="EH102" s="312"/>
      <c r="EI102" s="312"/>
      <c r="EJ102" s="312"/>
      <c r="EK102" s="312"/>
      <c r="EL102" s="312"/>
      <c r="EM102" s="312"/>
      <c r="EN102" s="312"/>
      <c r="EO102" s="312"/>
      <c r="EP102" s="312"/>
      <c r="EQ102" s="312"/>
      <c r="ER102" s="312"/>
      <c r="ES102" s="312"/>
      <c r="ET102" s="312"/>
      <c r="EU102" s="312"/>
      <c r="EV102" s="312"/>
      <c r="EW102" s="312"/>
      <c r="EX102" s="312"/>
      <c r="EY102" s="312"/>
      <c r="EZ102" s="312"/>
      <c r="FA102" s="312"/>
      <c r="FB102" s="312"/>
      <c r="FC102" s="312"/>
      <c r="FD102" s="312"/>
      <c r="FE102" s="312"/>
      <c r="FF102" s="312"/>
      <c r="FG102" s="312"/>
      <c r="FH102" s="312"/>
      <c r="FI102" s="312"/>
      <c r="FJ102" s="312"/>
      <c r="FK102" s="312"/>
      <c r="FL102" s="312"/>
      <c r="FM102" s="312"/>
      <c r="FN102" s="312"/>
      <c r="FO102" s="312"/>
      <c r="FP102" s="312"/>
      <c r="FQ102" s="312"/>
      <c r="FR102" s="312"/>
      <c r="FS102" s="312"/>
      <c r="FT102" s="312"/>
      <c r="FU102" s="312"/>
      <c r="FV102" s="312"/>
      <c r="FW102" s="312"/>
      <c r="FX102" s="312"/>
      <c r="FY102" s="312"/>
      <c r="FZ102" s="312"/>
      <c r="GA102" s="312"/>
      <c r="GB102" s="312"/>
      <c r="GC102" s="312"/>
      <c r="GD102" s="312"/>
      <c r="GE102" s="312"/>
      <c r="GF102" s="312"/>
      <c r="GG102" s="312"/>
      <c r="GH102" s="312"/>
      <c r="GI102" s="312"/>
      <c r="GJ102" s="312"/>
      <c r="GK102" s="312"/>
      <c r="GL102" s="312"/>
      <c r="GM102" s="312"/>
      <c r="GN102" s="312"/>
      <c r="GO102" s="312"/>
      <c r="GP102" s="312"/>
      <c r="GQ102" s="312"/>
      <c r="GR102" s="312"/>
      <c r="GS102" s="312"/>
      <c r="GT102" s="312"/>
      <c r="GU102" s="312"/>
      <c r="GV102" s="312"/>
      <c r="GW102" s="312"/>
      <c r="GX102" s="312"/>
      <c r="GY102" s="312"/>
    </row>
    <row r="103" spans="2:207" ht="15.75" x14ac:dyDescent="0.25">
      <c r="B103" s="316">
        <f t="shared" si="20"/>
        <v>73</v>
      </c>
      <c r="C103" s="330">
        <f>'סיכום לוועדה'!B103</f>
        <v>1001346703</v>
      </c>
      <c r="D103" s="330">
        <f>'סיכום לוועדה'!C103</f>
        <v>1001278260</v>
      </c>
      <c r="E103" s="330">
        <f>'סיכום לוועדה'!D103</f>
        <v>40000449</v>
      </c>
      <c r="F103" s="330">
        <f>'סיכום לוועדה'!E103</f>
        <v>20000201</v>
      </c>
      <c r="G103" s="330" t="str">
        <f>'סיכום לוועדה'!F103</f>
        <v>תל אביב -יפו</v>
      </c>
      <c r="H103" s="317" t="str">
        <f>'סיכום לוועדה'!G103</f>
        <v>תיאטרון בית ליסין</v>
      </c>
      <c r="I103" s="318">
        <f>'סיכום לוועדה'!U103</f>
        <v>12000000</v>
      </c>
      <c r="J103" s="319">
        <f>'סיכום לוועדה'!T103</f>
        <v>9561395.0432585664</v>
      </c>
      <c r="K103" s="320">
        <f t="shared" si="21"/>
        <v>0</v>
      </c>
      <c r="L103" s="319">
        <f t="shared" si="22"/>
        <v>9561395.0432585664</v>
      </c>
      <c r="M103" s="331">
        <f>'תחום תמיכה ב'!AF103</f>
        <v>4.9951750459437345E-2</v>
      </c>
      <c r="N103" s="319">
        <f t="shared" si="19"/>
        <v>10412298.731894186</v>
      </c>
      <c r="O103" s="321">
        <f t="shared" si="23"/>
        <v>0</v>
      </c>
      <c r="P103" s="322">
        <f t="shared" si="24"/>
        <v>10412298.731894186</v>
      </c>
      <c r="Q103" s="322">
        <f t="shared" si="25"/>
        <v>10417039.726502459</v>
      </c>
      <c r="R103" s="321">
        <f t="shared" si="26"/>
        <v>0</v>
      </c>
      <c r="S103" s="322">
        <f t="shared" si="27"/>
        <v>10417039.726502459</v>
      </c>
      <c r="T103" s="322">
        <f t="shared" si="28"/>
        <v>10417039.726502437</v>
      </c>
      <c r="U103" s="321">
        <f t="shared" si="29"/>
        <v>0</v>
      </c>
      <c r="V103" s="322">
        <f t="shared" si="30"/>
        <v>10417039.726502437</v>
      </c>
      <c r="W103" s="322">
        <f t="shared" si="31"/>
        <v>10417039.726502443</v>
      </c>
      <c r="X103" s="321">
        <f t="shared" si="32"/>
        <v>0</v>
      </c>
      <c r="Y103" s="322">
        <f t="shared" si="33"/>
        <v>10417039.726502443</v>
      </c>
      <c r="Z103" s="322">
        <f t="shared" si="34"/>
        <v>10417039.726502443</v>
      </c>
      <c r="AA103" s="323">
        <f t="shared" si="35"/>
        <v>10417039.726502443</v>
      </c>
      <c r="AB103" s="323"/>
      <c r="AC103" s="323"/>
      <c r="AD103" s="323"/>
      <c r="AE103" s="323"/>
      <c r="AF103" s="324">
        <f t="shared" si="36"/>
        <v>5.9656131931488998E-2</v>
      </c>
      <c r="AG103" s="312"/>
      <c r="AH103" s="312"/>
      <c r="AI103" s="325">
        <f t="shared" si="37"/>
        <v>1</v>
      </c>
      <c r="AJ103" s="312"/>
      <c r="AK103" s="312"/>
      <c r="AL103" s="312"/>
      <c r="AM103" s="312"/>
      <c r="AN103" s="312"/>
      <c r="AO103" s="312"/>
      <c r="AP103" s="312"/>
      <c r="AQ103" s="312"/>
      <c r="AR103" s="312"/>
      <c r="AS103" s="312"/>
      <c r="AT103" s="312"/>
      <c r="AU103" s="312"/>
      <c r="AV103" s="312"/>
      <c r="AW103" s="312"/>
      <c r="AX103" s="312"/>
      <c r="AY103" s="312"/>
      <c r="AZ103" s="312"/>
      <c r="BA103" s="312"/>
      <c r="BB103" s="312"/>
      <c r="BC103" s="312"/>
      <c r="BD103" s="312"/>
      <c r="BE103" s="312"/>
      <c r="BF103" s="312"/>
      <c r="BG103" s="312"/>
      <c r="BH103" s="312"/>
      <c r="BI103" s="312"/>
      <c r="BJ103" s="312"/>
      <c r="BK103" s="312"/>
      <c r="BL103" s="312"/>
      <c r="BM103" s="312"/>
      <c r="BN103" s="312"/>
      <c r="BO103" s="312"/>
      <c r="BP103" s="312"/>
      <c r="BQ103" s="312"/>
      <c r="BR103" s="312"/>
      <c r="BS103" s="312"/>
      <c r="BT103" s="312"/>
      <c r="BU103" s="312"/>
      <c r="BV103" s="312"/>
      <c r="BW103" s="312"/>
      <c r="BX103" s="312"/>
      <c r="BY103" s="312"/>
      <c r="BZ103" s="312"/>
      <c r="CA103" s="312"/>
      <c r="CB103" s="312"/>
      <c r="CC103" s="312"/>
      <c r="CD103" s="312"/>
      <c r="CE103" s="312"/>
      <c r="CF103" s="312"/>
      <c r="CG103" s="312"/>
      <c r="CH103" s="312"/>
      <c r="CI103" s="312"/>
      <c r="CJ103" s="312"/>
      <c r="CK103" s="312"/>
      <c r="CL103" s="312"/>
      <c r="CM103" s="312"/>
      <c r="CN103" s="312"/>
      <c r="CO103" s="312"/>
      <c r="CP103" s="312"/>
      <c r="CQ103" s="312"/>
      <c r="CR103" s="312"/>
      <c r="CS103" s="312"/>
      <c r="CT103" s="312"/>
      <c r="CU103" s="312"/>
      <c r="CV103" s="312"/>
      <c r="CW103" s="312"/>
      <c r="CX103" s="312"/>
      <c r="CY103" s="312"/>
      <c r="CZ103" s="312"/>
      <c r="DA103" s="312"/>
      <c r="DB103" s="312"/>
      <c r="DC103" s="312"/>
      <c r="DD103" s="312"/>
      <c r="DE103" s="312"/>
      <c r="DF103" s="312"/>
      <c r="DG103" s="312"/>
      <c r="DH103" s="312"/>
      <c r="DI103" s="312"/>
      <c r="DJ103" s="312"/>
      <c r="DK103" s="312"/>
      <c r="DL103" s="312"/>
      <c r="DM103" s="312"/>
      <c r="DN103" s="312"/>
      <c r="DO103" s="312"/>
      <c r="DP103" s="312"/>
      <c r="DQ103" s="312"/>
      <c r="DR103" s="312"/>
      <c r="DS103" s="312"/>
      <c r="DT103" s="312"/>
      <c r="DU103" s="312"/>
      <c r="DV103" s="312"/>
      <c r="DW103" s="312"/>
      <c r="DX103" s="312"/>
      <c r="DY103" s="312"/>
      <c r="DZ103" s="312"/>
      <c r="EA103" s="312"/>
      <c r="EB103" s="312"/>
      <c r="EC103" s="312"/>
      <c r="ED103" s="312"/>
      <c r="EE103" s="312"/>
      <c r="EF103" s="312"/>
      <c r="EG103" s="312"/>
      <c r="EH103" s="312"/>
      <c r="EI103" s="312"/>
      <c r="EJ103" s="312"/>
      <c r="EK103" s="312"/>
      <c r="EL103" s="312"/>
      <c r="EM103" s="312"/>
      <c r="EN103" s="312"/>
      <c r="EO103" s="312"/>
      <c r="EP103" s="312"/>
      <c r="EQ103" s="312"/>
      <c r="ER103" s="312"/>
      <c r="ES103" s="312"/>
      <c r="ET103" s="312"/>
      <c r="EU103" s="312"/>
      <c r="EV103" s="312"/>
      <c r="EW103" s="312"/>
      <c r="EX103" s="312"/>
      <c r="EY103" s="312"/>
      <c r="EZ103" s="312"/>
      <c r="FA103" s="312"/>
      <c r="FB103" s="312"/>
      <c r="FC103" s="312"/>
      <c r="FD103" s="312"/>
      <c r="FE103" s="312"/>
      <c r="FF103" s="312"/>
      <c r="FG103" s="312"/>
      <c r="FH103" s="312"/>
      <c r="FI103" s="312"/>
      <c r="FJ103" s="312"/>
      <c r="FK103" s="312"/>
      <c r="FL103" s="312"/>
      <c r="FM103" s="312"/>
      <c r="FN103" s="312"/>
      <c r="FO103" s="312"/>
      <c r="FP103" s="312"/>
      <c r="FQ103" s="312"/>
      <c r="FR103" s="312"/>
      <c r="FS103" s="312"/>
      <c r="FT103" s="312"/>
      <c r="FU103" s="312"/>
      <c r="FV103" s="312"/>
      <c r="FW103" s="312"/>
      <c r="FX103" s="312"/>
      <c r="FY103" s="312"/>
      <c r="FZ103" s="312"/>
      <c r="GA103" s="312"/>
      <c r="GB103" s="312"/>
      <c r="GC103" s="312"/>
      <c r="GD103" s="312"/>
      <c r="GE103" s="312"/>
      <c r="GF103" s="312"/>
      <c r="GG103" s="312"/>
      <c r="GH103" s="312"/>
      <c r="GI103" s="312"/>
      <c r="GJ103" s="312"/>
      <c r="GK103" s="312"/>
      <c r="GL103" s="312"/>
      <c r="GM103" s="312"/>
      <c r="GN103" s="312"/>
      <c r="GO103" s="312"/>
      <c r="GP103" s="312"/>
      <c r="GQ103" s="312"/>
      <c r="GR103" s="312"/>
      <c r="GS103" s="312"/>
      <c r="GT103" s="312"/>
      <c r="GU103" s="312"/>
      <c r="GV103" s="312"/>
      <c r="GW103" s="312"/>
      <c r="GX103" s="312"/>
      <c r="GY103" s="312"/>
    </row>
    <row r="104" spans="2:207" ht="15.75" x14ac:dyDescent="0.25">
      <c r="B104" s="316">
        <f t="shared" si="20"/>
        <v>74</v>
      </c>
      <c r="C104" s="330">
        <f>'סיכום לוועדה'!B104</f>
        <v>1001348511</v>
      </c>
      <c r="D104" s="330">
        <f>'סיכום לוועדה'!C104</f>
        <v>1001271268</v>
      </c>
      <c r="E104" s="330">
        <f>'סיכום לוועדה'!D104</f>
        <v>40000594</v>
      </c>
      <c r="F104" s="330">
        <f>'סיכום לוועדה'!E104</f>
        <v>20000185</v>
      </c>
      <c r="G104" s="330" t="str">
        <f>'סיכום לוועדה'!F104</f>
        <v>עמק חפר</v>
      </c>
      <c r="H104" s="317" t="str">
        <f>'סיכום לוועדה'!G104</f>
        <v>עמותת מקהלות מורן והבית לשירה בישרא</v>
      </c>
      <c r="I104" s="318">
        <f>'סיכום לוועדה'!U104</f>
        <v>211375</v>
      </c>
      <c r="J104" s="319">
        <f>'סיכום לוועדה'!T104</f>
        <v>40878.496054115065</v>
      </c>
      <c r="K104" s="320">
        <f t="shared" si="21"/>
        <v>0</v>
      </c>
      <c r="L104" s="319">
        <f t="shared" si="22"/>
        <v>40878.496054115065</v>
      </c>
      <c r="M104" s="331">
        <f>'תחום תמיכה ב'!AF104</f>
        <v>2.2136948280134652E-4</v>
      </c>
      <c r="N104" s="319">
        <f t="shared" si="19"/>
        <v>44649.417147660795</v>
      </c>
      <c r="O104" s="321">
        <f t="shared" si="23"/>
        <v>0</v>
      </c>
      <c r="P104" s="322">
        <f t="shared" si="24"/>
        <v>44649.417147660795</v>
      </c>
      <c r="Q104" s="322">
        <f t="shared" si="25"/>
        <v>44669.747206508539</v>
      </c>
      <c r="R104" s="321">
        <f t="shared" si="26"/>
        <v>0</v>
      </c>
      <c r="S104" s="322">
        <f t="shared" si="27"/>
        <v>44669.747206508539</v>
      </c>
      <c r="T104" s="322">
        <f t="shared" si="28"/>
        <v>44669.747206508444</v>
      </c>
      <c r="U104" s="321">
        <f t="shared" si="29"/>
        <v>0</v>
      </c>
      <c r="V104" s="322">
        <f t="shared" si="30"/>
        <v>44669.747206508444</v>
      </c>
      <c r="W104" s="322">
        <f t="shared" si="31"/>
        <v>44669.747206508458</v>
      </c>
      <c r="X104" s="321">
        <f t="shared" si="32"/>
        <v>0</v>
      </c>
      <c r="Y104" s="322">
        <f t="shared" si="33"/>
        <v>44669.747206508458</v>
      </c>
      <c r="Z104" s="322">
        <f t="shared" si="34"/>
        <v>44669.747206508444</v>
      </c>
      <c r="AA104" s="323">
        <f t="shared" si="35"/>
        <v>44669.747206508444</v>
      </c>
      <c r="AB104" s="323"/>
      <c r="AC104" s="323"/>
      <c r="AD104" s="323"/>
      <c r="AE104" s="323"/>
      <c r="AF104" s="324">
        <f t="shared" si="36"/>
        <v>2.5581397428273551E-4</v>
      </c>
      <c r="AG104" s="312"/>
      <c r="AH104" s="312"/>
      <c r="AI104" s="325">
        <f t="shared" si="37"/>
        <v>1</v>
      </c>
      <c r="AJ104" s="312"/>
      <c r="AK104" s="312"/>
      <c r="AL104" s="312"/>
      <c r="AM104" s="312"/>
      <c r="AN104" s="312"/>
      <c r="AO104" s="312"/>
      <c r="AP104" s="312"/>
      <c r="AQ104" s="312"/>
      <c r="AR104" s="312"/>
      <c r="AS104" s="312"/>
      <c r="AT104" s="312"/>
      <c r="AU104" s="312"/>
      <c r="AV104" s="312"/>
      <c r="AW104" s="312"/>
      <c r="AX104" s="312"/>
      <c r="AY104" s="312"/>
      <c r="AZ104" s="312"/>
      <c r="BA104" s="312"/>
      <c r="BB104" s="312"/>
      <c r="BC104" s="312"/>
      <c r="BD104" s="312"/>
      <c r="BE104" s="312"/>
      <c r="BF104" s="312"/>
      <c r="BG104" s="312"/>
      <c r="BH104" s="312"/>
      <c r="BI104" s="312"/>
      <c r="BJ104" s="312"/>
      <c r="BK104" s="312"/>
      <c r="BL104" s="312"/>
      <c r="BM104" s="312"/>
      <c r="BN104" s="312"/>
      <c r="BO104" s="312"/>
      <c r="BP104" s="312"/>
      <c r="BQ104" s="312"/>
      <c r="BR104" s="312"/>
      <c r="BS104" s="312"/>
      <c r="BT104" s="312"/>
      <c r="BU104" s="312"/>
      <c r="BV104" s="312"/>
      <c r="BW104" s="312"/>
      <c r="BX104" s="312"/>
      <c r="BY104" s="312"/>
      <c r="BZ104" s="312"/>
      <c r="CA104" s="312"/>
      <c r="CB104" s="312"/>
      <c r="CC104" s="312"/>
      <c r="CD104" s="312"/>
      <c r="CE104" s="312"/>
      <c r="CF104" s="312"/>
      <c r="CG104" s="312"/>
      <c r="CH104" s="312"/>
      <c r="CI104" s="312"/>
      <c r="CJ104" s="312"/>
      <c r="CK104" s="312"/>
      <c r="CL104" s="312"/>
      <c r="CM104" s="312"/>
      <c r="CN104" s="312"/>
      <c r="CO104" s="312"/>
      <c r="CP104" s="312"/>
      <c r="CQ104" s="312"/>
      <c r="CR104" s="312"/>
      <c r="CS104" s="312"/>
      <c r="CT104" s="312"/>
      <c r="CU104" s="312"/>
      <c r="CV104" s="312"/>
      <c r="CW104" s="312"/>
      <c r="CX104" s="312"/>
      <c r="CY104" s="312"/>
      <c r="CZ104" s="312"/>
      <c r="DA104" s="312"/>
      <c r="DB104" s="312"/>
      <c r="DC104" s="312"/>
      <c r="DD104" s="312"/>
      <c r="DE104" s="312"/>
      <c r="DF104" s="312"/>
      <c r="DG104" s="312"/>
      <c r="DH104" s="312"/>
      <c r="DI104" s="312"/>
      <c r="DJ104" s="312"/>
      <c r="DK104" s="312"/>
      <c r="DL104" s="312"/>
      <c r="DM104" s="312"/>
      <c r="DN104" s="312"/>
      <c r="DO104" s="312"/>
      <c r="DP104" s="312"/>
      <c r="DQ104" s="312"/>
      <c r="DR104" s="312"/>
      <c r="DS104" s="312"/>
      <c r="DT104" s="312"/>
      <c r="DU104" s="312"/>
      <c r="DV104" s="312"/>
      <c r="DW104" s="312"/>
      <c r="DX104" s="312"/>
      <c r="DY104" s="312"/>
      <c r="DZ104" s="312"/>
      <c r="EA104" s="312"/>
      <c r="EB104" s="312"/>
      <c r="EC104" s="312"/>
      <c r="ED104" s="312"/>
      <c r="EE104" s="312"/>
      <c r="EF104" s="312"/>
      <c r="EG104" s="312"/>
      <c r="EH104" s="312"/>
      <c r="EI104" s="312"/>
      <c r="EJ104" s="312"/>
      <c r="EK104" s="312"/>
      <c r="EL104" s="312"/>
      <c r="EM104" s="312"/>
      <c r="EN104" s="312"/>
      <c r="EO104" s="312"/>
      <c r="EP104" s="312"/>
      <c r="EQ104" s="312"/>
      <c r="ER104" s="312"/>
      <c r="ES104" s="312"/>
      <c r="ET104" s="312"/>
      <c r="EU104" s="312"/>
      <c r="EV104" s="312"/>
      <c r="EW104" s="312"/>
      <c r="EX104" s="312"/>
      <c r="EY104" s="312"/>
      <c r="EZ104" s="312"/>
      <c r="FA104" s="312"/>
      <c r="FB104" s="312"/>
      <c r="FC104" s="312"/>
      <c r="FD104" s="312"/>
      <c r="FE104" s="312"/>
      <c r="FF104" s="312"/>
      <c r="FG104" s="312"/>
      <c r="FH104" s="312"/>
      <c r="FI104" s="312"/>
      <c r="FJ104" s="312"/>
      <c r="FK104" s="312"/>
      <c r="FL104" s="312"/>
      <c r="FM104" s="312"/>
      <c r="FN104" s="312"/>
      <c r="FO104" s="312"/>
      <c r="FP104" s="312"/>
      <c r="FQ104" s="312"/>
      <c r="FR104" s="312"/>
      <c r="FS104" s="312"/>
      <c r="FT104" s="312"/>
      <c r="FU104" s="312"/>
      <c r="FV104" s="312"/>
      <c r="FW104" s="312"/>
      <c r="FX104" s="312"/>
      <c r="FY104" s="312"/>
      <c r="FZ104" s="312"/>
      <c r="GA104" s="312"/>
      <c r="GB104" s="312"/>
      <c r="GC104" s="312"/>
      <c r="GD104" s="312"/>
      <c r="GE104" s="312"/>
      <c r="GF104" s="312"/>
      <c r="GG104" s="312"/>
      <c r="GH104" s="312"/>
      <c r="GI104" s="312"/>
      <c r="GJ104" s="312"/>
      <c r="GK104" s="312"/>
      <c r="GL104" s="312"/>
      <c r="GM104" s="312"/>
      <c r="GN104" s="312"/>
      <c r="GO104" s="312"/>
      <c r="GP104" s="312"/>
      <c r="GQ104" s="312"/>
      <c r="GR104" s="312"/>
      <c r="GS104" s="312"/>
      <c r="GT104" s="312"/>
      <c r="GU104" s="312"/>
      <c r="GV104" s="312"/>
      <c r="GW104" s="312"/>
      <c r="GX104" s="312"/>
      <c r="GY104" s="312"/>
    </row>
    <row r="105" spans="2:207" ht="15.75" x14ac:dyDescent="0.25">
      <c r="B105" s="316">
        <f t="shared" si="20"/>
        <v>75</v>
      </c>
      <c r="C105" s="330">
        <f>'סיכום לוועדה'!B105</f>
        <v>1001347498</v>
      </c>
      <c r="D105" s="330">
        <f>'סיכום לוועדה'!C105</f>
        <v>1001270248</v>
      </c>
      <c r="E105" s="330">
        <f>'סיכום לוועדה'!D105</f>
        <v>40000624</v>
      </c>
      <c r="F105" s="330">
        <f>'סיכום לוועדה'!E105</f>
        <v>20000247</v>
      </c>
      <c r="G105" s="330" t="str">
        <f>'סיכום לוועדה'!F105</f>
        <v>ראשון לציון</v>
      </c>
      <c r="H105" s="317" t="str">
        <f>'סיכום לוועדה'!G105</f>
        <v>עמותת התזמורת הסימפונית ראשון לציון</v>
      </c>
      <c r="I105" s="318">
        <f>'סיכום לוועדה'!U105</f>
        <v>4000000</v>
      </c>
      <c r="J105" s="319">
        <f>'סיכום לוועדה'!T105</f>
        <v>2017452.2713651112</v>
      </c>
      <c r="K105" s="320">
        <f t="shared" si="21"/>
        <v>0</v>
      </c>
      <c r="L105" s="319">
        <f t="shared" si="22"/>
        <v>2017452.2713651112</v>
      </c>
      <c r="M105" s="331">
        <f>'תחום תמיכה ב'!AF105</f>
        <v>5.7914250001886557E-3</v>
      </c>
      <c r="N105" s="319">
        <f t="shared" si="19"/>
        <v>2116106.3695657086</v>
      </c>
      <c r="O105" s="321">
        <f t="shared" si="23"/>
        <v>0</v>
      </c>
      <c r="P105" s="322">
        <f t="shared" si="24"/>
        <v>2116106.3695657086</v>
      </c>
      <c r="Q105" s="322">
        <f t="shared" si="25"/>
        <v>2117069.88868353</v>
      </c>
      <c r="R105" s="321">
        <f t="shared" si="26"/>
        <v>0</v>
      </c>
      <c r="S105" s="322">
        <f t="shared" si="27"/>
        <v>2117069.88868353</v>
      </c>
      <c r="T105" s="322">
        <f t="shared" si="28"/>
        <v>2117069.8886835258</v>
      </c>
      <c r="U105" s="321">
        <f t="shared" si="29"/>
        <v>0</v>
      </c>
      <c r="V105" s="322">
        <f t="shared" si="30"/>
        <v>2117069.8886835258</v>
      </c>
      <c r="W105" s="322">
        <f t="shared" si="31"/>
        <v>2117069.8886835268</v>
      </c>
      <c r="X105" s="321">
        <f t="shared" si="32"/>
        <v>0</v>
      </c>
      <c r="Y105" s="322">
        <f t="shared" si="33"/>
        <v>2117069.8886835268</v>
      </c>
      <c r="Z105" s="322">
        <f t="shared" si="34"/>
        <v>2117069.8886835263</v>
      </c>
      <c r="AA105" s="323">
        <f t="shared" si="35"/>
        <v>2117069.8886835263</v>
      </c>
      <c r="AB105" s="323"/>
      <c r="AC105" s="323"/>
      <c r="AD105" s="323"/>
      <c r="AE105" s="323"/>
      <c r="AF105" s="324">
        <f t="shared" si="36"/>
        <v>1.2124001050526047E-2</v>
      </c>
      <c r="AG105" s="312"/>
      <c r="AH105" s="312"/>
      <c r="AI105" s="325">
        <f t="shared" si="37"/>
        <v>1</v>
      </c>
      <c r="AJ105" s="312"/>
      <c r="AK105" s="312"/>
      <c r="AL105" s="312"/>
      <c r="AM105" s="312"/>
      <c r="AN105" s="312"/>
      <c r="AO105" s="312"/>
      <c r="AP105" s="312"/>
      <c r="AQ105" s="312"/>
      <c r="AR105" s="312"/>
      <c r="AS105" s="312"/>
      <c r="AT105" s="312"/>
      <c r="AU105" s="312"/>
      <c r="AV105" s="312"/>
      <c r="AW105" s="312"/>
      <c r="AX105" s="312"/>
      <c r="AY105" s="312"/>
      <c r="AZ105" s="312"/>
      <c r="BA105" s="312"/>
      <c r="BB105" s="312"/>
      <c r="BC105" s="312"/>
      <c r="BD105" s="312"/>
      <c r="BE105" s="312"/>
      <c r="BF105" s="312"/>
      <c r="BG105" s="312"/>
      <c r="BH105" s="312"/>
      <c r="BI105" s="312"/>
      <c r="BJ105" s="312"/>
      <c r="BK105" s="312"/>
      <c r="BL105" s="312"/>
      <c r="BM105" s="312"/>
      <c r="BN105" s="312"/>
      <c r="BO105" s="312"/>
      <c r="BP105" s="312"/>
      <c r="BQ105" s="312"/>
      <c r="BR105" s="312"/>
      <c r="BS105" s="312"/>
      <c r="BT105" s="312"/>
      <c r="BU105" s="312"/>
      <c r="BV105" s="312"/>
      <c r="BW105" s="312"/>
      <c r="BX105" s="312"/>
      <c r="BY105" s="312"/>
      <c r="BZ105" s="312"/>
      <c r="CA105" s="312"/>
      <c r="CB105" s="312"/>
      <c r="CC105" s="312"/>
      <c r="CD105" s="312"/>
      <c r="CE105" s="312"/>
      <c r="CF105" s="312"/>
      <c r="CG105" s="312"/>
      <c r="CH105" s="312"/>
      <c r="CI105" s="312"/>
      <c r="CJ105" s="312"/>
      <c r="CK105" s="312"/>
      <c r="CL105" s="312"/>
      <c r="CM105" s="312"/>
      <c r="CN105" s="312"/>
      <c r="CO105" s="312"/>
      <c r="CP105" s="312"/>
      <c r="CQ105" s="312"/>
      <c r="CR105" s="312"/>
      <c r="CS105" s="312"/>
      <c r="CT105" s="312"/>
      <c r="CU105" s="312"/>
      <c r="CV105" s="312"/>
      <c r="CW105" s="312"/>
      <c r="CX105" s="312"/>
      <c r="CY105" s="312"/>
      <c r="CZ105" s="312"/>
      <c r="DA105" s="312"/>
      <c r="DB105" s="312"/>
      <c r="DC105" s="312"/>
      <c r="DD105" s="312"/>
      <c r="DE105" s="312"/>
      <c r="DF105" s="312"/>
      <c r="DG105" s="312"/>
      <c r="DH105" s="312"/>
      <c r="DI105" s="312"/>
      <c r="DJ105" s="312"/>
      <c r="DK105" s="312"/>
      <c r="DL105" s="312"/>
      <c r="DM105" s="312"/>
      <c r="DN105" s="312"/>
      <c r="DO105" s="312"/>
      <c r="DP105" s="312"/>
      <c r="DQ105" s="312"/>
      <c r="DR105" s="312"/>
      <c r="DS105" s="312"/>
      <c r="DT105" s="312"/>
      <c r="DU105" s="312"/>
      <c r="DV105" s="312"/>
      <c r="DW105" s="312"/>
      <c r="DX105" s="312"/>
      <c r="DY105" s="312"/>
      <c r="DZ105" s="312"/>
      <c r="EA105" s="312"/>
      <c r="EB105" s="312"/>
      <c r="EC105" s="312"/>
      <c r="ED105" s="312"/>
      <c r="EE105" s="312"/>
      <c r="EF105" s="312"/>
      <c r="EG105" s="312"/>
      <c r="EH105" s="312"/>
      <c r="EI105" s="312"/>
      <c r="EJ105" s="312"/>
      <c r="EK105" s="312"/>
      <c r="EL105" s="312"/>
      <c r="EM105" s="312"/>
      <c r="EN105" s="312"/>
      <c r="EO105" s="312"/>
      <c r="EP105" s="312"/>
      <c r="EQ105" s="312"/>
      <c r="ER105" s="312"/>
      <c r="ES105" s="312"/>
      <c r="ET105" s="312"/>
      <c r="EU105" s="312"/>
      <c r="EV105" s="312"/>
      <c r="EW105" s="312"/>
      <c r="EX105" s="312"/>
      <c r="EY105" s="312"/>
      <c r="EZ105" s="312"/>
      <c r="FA105" s="312"/>
      <c r="FB105" s="312"/>
      <c r="FC105" s="312"/>
      <c r="FD105" s="312"/>
      <c r="FE105" s="312"/>
      <c r="FF105" s="312"/>
      <c r="FG105" s="312"/>
      <c r="FH105" s="312"/>
      <c r="FI105" s="312"/>
      <c r="FJ105" s="312"/>
      <c r="FK105" s="312"/>
      <c r="FL105" s="312"/>
      <c r="FM105" s="312"/>
      <c r="FN105" s="312"/>
      <c r="FO105" s="312"/>
      <c r="FP105" s="312"/>
      <c r="FQ105" s="312"/>
      <c r="FR105" s="312"/>
      <c r="FS105" s="312"/>
      <c r="FT105" s="312"/>
      <c r="FU105" s="312"/>
      <c r="FV105" s="312"/>
      <c r="FW105" s="312"/>
      <c r="FX105" s="312"/>
      <c r="FY105" s="312"/>
      <c r="FZ105" s="312"/>
      <c r="GA105" s="312"/>
      <c r="GB105" s="312"/>
      <c r="GC105" s="312"/>
      <c r="GD105" s="312"/>
      <c r="GE105" s="312"/>
      <c r="GF105" s="312"/>
      <c r="GG105" s="312"/>
      <c r="GH105" s="312"/>
      <c r="GI105" s="312"/>
      <c r="GJ105" s="312"/>
      <c r="GK105" s="312"/>
      <c r="GL105" s="312"/>
      <c r="GM105" s="312"/>
      <c r="GN105" s="312"/>
      <c r="GO105" s="312"/>
      <c r="GP105" s="312"/>
      <c r="GQ105" s="312"/>
      <c r="GR105" s="312"/>
      <c r="GS105" s="312"/>
      <c r="GT105" s="312"/>
      <c r="GU105" s="312"/>
      <c r="GV105" s="312"/>
      <c r="GW105" s="312"/>
      <c r="GX105" s="312"/>
      <c r="GY105" s="312"/>
    </row>
    <row r="106" spans="2:207" ht="15.75" x14ac:dyDescent="0.25">
      <c r="B106" s="316">
        <f t="shared" si="20"/>
        <v>76</v>
      </c>
      <c r="C106" s="330">
        <f>'סיכום לוועדה'!B106</f>
        <v>1001345723</v>
      </c>
      <c r="D106" s="330">
        <f>'סיכום לוועדה'!C106</f>
        <v>1001262216</v>
      </c>
      <c r="E106" s="330">
        <f>'סיכום לוועדה'!D106</f>
        <v>40000690</v>
      </c>
      <c r="F106" s="330">
        <f>'סיכום לוועדה'!E106</f>
        <v>20000135</v>
      </c>
      <c r="G106" s="330" t="str">
        <f>'סיכום לוועדה'!F106</f>
        <v>הגלבוע</v>
      </c>
      <c r="H106" s="317" t="str">
        <f>'סיכום לוועדה'!G106</f>
        <v>בית חיים שטורמן - מוזיאון ומכון ליד</v>
      </c>
      <c r="I106" s="318">
        <f>'סיכום לוועדה'!U106</f>
        <v>780872</v>
      </c>
      <c r="J106" s="319">
        <f>'סיכום לוועדה'!T106</f>
        <v>33354.628856522133</v>
      </c>
      <c r="K106" s="320">
        <f t="shared" si="21"/>
        <v>0</v>
      </c>
      <c r="L106" s="319">
        <f t="shared" si="22"/>
        <v>33354.628856522133</v>
      </c>
      <c r="M106" s="331">
        <f>'תחום תמיכה ב'!AF106</f>
        <v>1.7493913720938845E-4</v>
      </c>
      <c r="N106" s="319">
        <f t="shared" si="19"/>
        <v>36334.631674623139</v>
      </c>
      <c r="O106" s="321">
        <f t="shared" si="23"/>
        <v>0</v>
      </c>
      <c r="P106" s="322">
        <f t="shared" si="24"/>
        <v>36334.631674623139</v>
      </c>
      <c r="Q106" s="322">
        <f t="shared" si="25"/>
        <v>36351.175792046066</v>
      </c>
      <c r="R106" s="321">
        <f t="shared" si="26"/>
        <v>0</v>
      </c>
      <c r="S106" s="322">
        <f t="shared" si="27"/>
        <v>36351.175792046066</v>
      </c>
      <c r="T106" s="322">
        <f t="shared" si="28"/>
        <v>36351.175792045993</v>
      </c>
      <c r="U106" s="321">
        <f t="shared" si="29"/>
        <v>0</v>
      </c>
      <c r="V106" s="322">
        <f t="shared" si="30"/>
        <v>36351.175792045993</v>
      </c>
      <c r="W106" s="322">
        <f t="shared" si="31"/>
        <v>36351.175792046008</v>
      </c>
      <c r="X106" s="321">
        <f t="shared" si="32"/>
        <v>0</v>
      </c>
      <c r="Y106" s="322">
        <f t="shared" si="33"/>
        <v>36351.175792046008</v>
      </c>
      <c r="Z106" s="322">
        <f t="shared" si="34"/>
        <v>36351.175792046</v>
      </c>
      <c r="AA106" s="323">
        <f t="shared" si="35"/>
        <v>36351.175792046</v>
      </c>
      <c r="AB106" s="323"/>
      <c r="AC106" s="323"/>
      <c r="AD106" s="323"/>
      <c r="AE106" s="323"/>
      <c r="AF106" s="324">
        <f t="shared" si="36"/>
        <v>2.0817531619831409E-4</v>
      </c>
      <c r="AG106" s="312"/>
      <c r="AH106" s="312"/>
      <c r="AI106" s="325">
        <f t="shared" si="37"/>
        <v>1</v>
      </c>
      <c r="AJ106" s="312"/>
      <c r="AK106" s="312"/>
      <c r="AL106" s="312"/>
      <c r="AM106" s="312"/>
      <c r="AN106" s="312"/>
      <c r="AO106" s="312"/>
      <c r="AP106" s="312"/>
      <c r="AQ106" s="312"/>
      <c r="AR106" s="312"/>
      <c r="AS106" s="312"/>
      <c r="AT106" s="312"/>
      <c r="AU106" s="312"/>
      <c r="AV106" s="312"/>
      <c r="AW106" s="312"/>
      <c r="AX106" s="312"/>
      <c r="AY106" s="312"/>
      <c r="AZ106" s="312"/>
      <c r="BA106" s="312"/>
      <c r="BB106" s="312"/>
      <c r="BC106" s="312"/>
      <c r="BD106" s="312"/>
      <c r="BE106" s="312"/>
      <c r="BF106" s="312"/>
      <c r="BG106" s="312"/>
      <c r="BH106" s="312"/>
      <c r="BI106" s="312"/>
      <c r="BJ106" s="312"/>
      <c r="BK106" s="312"/>
      <c r="BL106" s="312"/>
      <c r="BM106" s="312"/>
      <c r="BN106" s="312"/>
      <c r="BO106" s="312"/>
      <c r="BP106" s="312"/>
      <c r="BQ106" s="312"/>
      <c r="BR106" s="312"/>
      <c r="BS106" s="312"/>
      <c r="BT106" s="312"/>
      <c r="BU106" s="312"/>
      <c r="BV106" s="312"/>
      <c r="BW106" s="312"/>
      <c r="BX106" s="312"/>
      <c r="BY106" s="312"/>
      <c r="BZ106" s="312"/>
      <c r="CA106" s="312"/>
      <c r="CB106" s="312"/>
      <c r="CC106" s="312"/>
      <c r="CD106" s="312"/>
      <c r="CE106" s="312"/>
      <c r="CF106" s="312"/>
      <c r="CG106" s="312"/>
      <c r="CH106" s="312"/>
      <c r="CI106" s="312"/>
      <c r="CJ106" s="312"/>
      <c r="CK106" s="312"/>
      <c r="CL106" s="312"/>
      <c r="CM106" s="312"/>
      <c r="CN106" s="312"/>
      <c r="CO106" s="312"/>
      <c r="CP106" s="312"/>
      <c r="CQ106" s="312"/>
      <c r="CR106" s="312"/>
      <c r="CS106" s="312"/>
      <c r="CT106" s="312"/>
      <c r="CU106" s="312"/>
      <c r="CV106" s="312"/>
      <c r="CW106" s="312"/>
      <c r="CX106" s="312"/>
      <c r="CY106" s="312"/>
      <c r="CZ106" s="312"/>
      <c r="DA106" s="312"/>
      <c r="DB106" s="312"/>
      <c r="DC106" s="312"/>
      <c r="DD106" s="312"/>
      <c r="DE106" s="312"/>
      <c r="DF106" s="312"/>
      <c r="DG106" s="312"/>
      <c r="DH106" s="312"/>
      <c r="DI106" s="312"/>
      <c r="DJ106" s="312"/>
      <c r="DK106" s="312"/>
      <c r="DL106" s="312"/>
      <c r="DM106" s="312"/>
      <c r="DN106" s="312"/>
      <c r="DO106" s="312"/>
      <c r="DP106" s="312"/>
      <c r="DQ106" s="312"/>
      <c r="DR106" s="312"/>
      <c r="DS106" s="312"/>
      <c r="DT106" s="312"/>
      <c r="DU106" s="312"/>
      <c r="DV106" s="312"/>
      <c r="DW106" s="312"/>
      <c r="DX106" s="312"/>
      <c r="DY106" s="312"/>
      <c r="DZ106" s="312"/>
      <c r="EA106" s="312"/>
      <c r="EB106" s="312"/>
      <c r="EC106" s="312"/>
      <c r="ED106" s="312"/>
      <c r="EE106" s="312"/>
      <c r="EF106" s="312"/>
      <c r="EG106" s="312"/>
      <c r="EH106" s="312"/>
      <c r="EI106" s="312"/>
      <c r="EJ106" s="312"/>
      <c r="EK106" s="312"/>
      <c r="EL106" s="312"/>
      <c r="EM106" s="312"/>
      <c r="EN106" s="312"/>
      <c r="EO106" s="312"/>
      <c r="EP106" s="312"/>
      <c r="EQ106" s="312"/>
      <c r="ER106" s="312"/>
      <c r="ES106" s="312"/>
      <c r="ET106" s="312"/>
      <c r="EU106" s="312"/>
      <c r="EV106" s="312"/>
      <c r="EW106" s="312"/>
      <c r="EX106" s="312"/>
      <c r="EY106" s="312"/>
      <c r="EZ106" s="312"/>
      <c r="FA106" s="312"/>
      <c r="FB106" s="312"/>
      <c r="FC106" s="312"/>
      <c r="FD106" s="312"/>
      <c r="FE106" s="312"/>
      <c r="FF106" s="312"/>
      <c r="FG106" s="312"/>
      <c r="FH106" s="312"/>
      <c r="FI106" s="312"/>
      <c r="FJ106" s="312"/>
      <c r="FK106" s="312"/>
      <c r="FL106" s="312"/>
      <c r="FM106" s="312"/>
      <c r="FN106" s="312"/>
      <c r="FO106" s="312"/>
      <c r="FP106" s="312"/>
      <c r="FQ106" s="312"/>
      <c r="FR106" s="312"/>
      <c r="FS106" s="312"/>
      <c r="FT106" s="312"/>
      <c r="FU106" s="312"/>
      <c r="FV106" s="312"/>
      <c r="FW106" s="312"/>
      <c r="FX106" s="312"/>
      <c r="FY106" s="312"/>
      <c r="FZ106" s="312"/>
      <c r="GA106" s="312"/>
      <c r="GB106" s="312"/>
      <c r="GC106" s="312"/>
      <c r="GD106" s="312"/>
      <c r="GE106" s="312"/>
      <c r="GF106" s="312"/>
      <c r="GG106" s="312"/>
      <c r="GH106" s="312"/>
      <c r="GI106" s="312"/>
      <c r="GJ106" s="312"/>
      <c r="GK106" s="312"/>
      <c r="GL106" s="312"/>
      <c r="GM106" s="312"/>
      <c r="GN106" s="312"/>
      <c r="GO106" s="312"/>
      <c r="GP106" s="312"/>
      <c r="GQ106" s="312"/>
      <c r="GR106" s="312"/>
      <c r="GS106" s="312"/>
      <c r="GT106" s="312"/>
      <c r="GU106" s="312"/>
      <c r="GV106" s="312"/>
      <c r="GW106" s="312"/>
      <c r="GX106" s="312"/>
      <c r="GY106" s="312"/>
    </row>
    <row r="107" spans="2:207" ht="15.75" x14ac:dyDescent="0.25">
      <c r="B107" s="316">
        <f t="shared" si="20"/>
        <v>77</v>
      </c>
      <c r="C107" s="330">
        <f>'סיכום לוועדה'!B107</f>
        <v>1001350383</v>
      </c>
      <c r="D107" s="330">
        <f>'סיכום לוועדה'!C107</f>
        <v>1001289932</v>
      </c>
      <c r="E107" s="330">
        <f>'סיכום לוועדה'!D107</f>
        <v>40000702</v>
      </c>
      <c r="F107" s="330">
        <f>'סיכום לוועדה'!E107</f>
        <v>20000096</v>
      </c>
      <c r="G107" s="330" t="str">
        <f>'סיכום לוועדה'!F107</f>
        <v>שדרות</v>
      </c>
      <c r="H107" s="317" t="str">
        <f>'סיכום לוועדה'!G107</f>
        <v>סינמטק שדרות</v>
      </c>
      <c r="I107" s="318">
        <f>'סיכום לוועדה'!U107</f>
        <v>810000</v>
      </c>
      <c r="J107" s="319">
        <f>'סיכום לוועדה'!T107</f>
        <v>281428.42857964325</v>
      </c>
      <c r="K107" s="320">
        <f t="shared" si="21"/>
        <v>0</v>
      </c>
      <c r="L107" s="319">
        <f t="shared" si="22"/>
        <v>281428.42857964325</v>
      </c>
      <c r="M107" s="331">
        <f>'תחום תמיכה ב'!AF107</f>
        <v>1.8479951931630234E-3</v>
      </c>
      <c r="N107" s="319">
        <f t="shared" si="19"/>
        <v>312908.12472603173</v>
      </c>
      <c r="O107" s="321">
        <f t="shared" si="23"/>
        <v>0</v>
      </c>
      <c r="P107" s="322">
        <f t="shared" si="24"/>
        <v>312908.12472603173</v>
      </c>
      <c r="Q107" s="322">
        <f t="shared" si="25"/>
        <v>313050.60005932843</v>
      </c>
      <c r="R107" s="321">
        <f t="shared" si="26"/>
        <v>0</v>
      </c>
      <c r="S107" s="322">
        <f t="shared" si="27"/>
        <v>313050.60005932843</v>
      </c>
      <c r="T107" s="322">
        <f t="shared" si="28"/>
        <v>313050.60005932779</v>
      </c>
      <c r="U107" s="321">
        <f t="shared" si="29"/>
        <v>0</v>
      </c>
      <c r="V107" s="322">
        <f t="shared" si="30"/>
        <v>313050.60005932779</v>
      </c>
      <c r="W107" s="322">
        <f t="shared" si="31"/>
        <v>313050.6000593279</v>
      </c>
      <c r="X107" s="321">
        <f t="shared" si="32"/>
        <v>0</v>
      </c>
      <c r="Y107" s="322">
        <f t="shared" si="33"/>
        <v>313050.6000593279</v>
      </c>
      <c r="Z107" s="322">
        <f t="shared" si="34"/>
        <v>313050.60005932784</v>
      </c>
      <c r="AA107" s="323">
        <f t="shared" si="35"/>
        <v>313050.60005932784</v>
      </c>
      <c r="AB107" s="323"/>
      <c r="AC107" s="323"/>
      <c r="AD107" s="323"/>
      <c r="AE107" s="323"/>
      <c r="AF107" s="324">
        <f t="shared" si="36"/>
        <v>1.7927730323287715E-3</v>
      </c>
      <c r="AG107" s="312"/>
      <c r="AH107" s="312"/>
      <c r="AI107" s="325">
        <f t="shared" si="37"/>
        <v>1</v>
      </c>
      <c r="AJ107" s="312"/>
      <c r="AK107" s="312"/>
      <c r="AL107" s="312"/>
      <c r="AM107" s="312"/>
      <c r="AN107" s="312"/>
      <c r="AO107" s="312"/>
      <c r="AP107" s="312"/>
      <c r="AQ107" s="312"/>
      <c r="AR107" s="312"/>
      <c r="AS107" s="312"/>
      <c r="AT107" s="312"/>
      <c r="AU107" s="312"/>
      <c r="AV107" s="312"/>
      <c r="AW107" s="312"/>
      <c r="AX107" s="312"/>
      <c r="AY107" s="312"/>
      <c r="AZ107" s="312"/>
      <c r="BA107" s="312"/>
      <c r="BB107" s="312"/>
      <c r="BC107" s="312"/>
      <c r="BD107" s="312"/>
      <c r="BE107" s="312"/>
      <c r="BF107" s="312"/>
      <c r="BG107" s="312"/>
      <c r="BH107" s="312"/>
      <c r="BI107" s="312"/>
      <c r="BJ107" s="312"/>
      <c r="BK107" s="312"/>
      <c r="BL107" s="312"/>
      <c r="BM107" s="312"/>
      <c r="BN107" s="312"/>
      <c r="BO107" s="312"/>
      <c r="BP107" s="312"/>
      <c r="BQ107" s="312"/>
      <c r="BR107" s="312"/>
      <c r="BS107" s="312"/>
      <c r="BT107" s="312"/>
      <c r="BU107" s="312"/>
      <c r="BV107" s="312"/>
      <c r="BW107" s="312"/>
      <c r="BX107" s="312"/>
      <c r="BY107" s="312"/>
      <c r="BZ107" s="312"/>
      <c r="CA107" s="312"/>
      <c r="CB107" s="312"/>
      <c r="CC107" s="312"/>
      <c r="CD107" s="312"/>
      <c r="CE107" s="312"/>
      <c r="CF107" s="312"/>
      <c r="CG107" s="312"/>
      <c r="CH107" s="312"/>
      <c r="CI107" s="312"/>
      <c r="CJ107" s="312"/>
      <c r="CK107" s="312"/>
      <c r="CL107" s="312"/>
      <c r="CM107" s="312"/>
      <c r="CN107" s="312"/>
      <c r="CO107" s="312"/>
      <c r="CP107" s="312"/>
      <c r="CQ107" s="312"/>
      <c r="CR107" s="312"/>
      <c r="CS107" s="312"/>
      <c r="CT107" s="312"/>
      <c r="CU107" s="312"/>
      <c r="CV107" s="312"/>
      <c r="CW107" s="312"/>
      <c r="CX107" s="312"/>
      <c r="CY107" s="312"/>
      <c r="CZ107" s="312"/>
      <c r="DA107" s="312"/>
      <c r="DB107" s="312"/>
      <c r="DC107" s="312"/>
      <c r="DD107" s="312"/>
      <c r="DE107" s="312"/>
      <c r="DF107" s="312"/>
      <c r="DG107" s="312"/>
      <c r="DH107" s="312"/>
      <c r="DI107" s="312"/>
      <c r="DJ107" s="312"/>
      <c r="DK107" s="312"/>
      <c r="DL107" s="312"/>
      <c r="DM107" s="312"/>
      <c r="DN107" s="312"/>
      <c r="DO107" s="312"/>
      <c r="DP107" s="312"/>
      <c r="DQ107" s="312"/>
      <c r="DR107" s="312"/>
      <c r="DS107" s="312"/>
      <c r="DT107" s="312"/>
      <c r="DU107" s="312"/>
      <c r="DV107" s="312"/>
      <c r="DW107" s="312"/>
      <c r="DX107" s="312"/>
      <c r="DY107" s="312"/>
      <c r="DZ107" s="312"/>
      <c r="EA107" s="312"/>
      <c r="EB107" s="312"/>
      <c r="EC107" s="312"/>
      <c r="ED107" s="312"/>
      <c r="EE107" s="312"/>
      <c r="EF107" s="312"/>
      <c r="EG107" s="312"/>
      <c r="EH107" s="312"/>
      <c r="EI107" s="312"/>
      <c r="EJ107" s="312"/>
      <c r="EK107" s="312"/>
      <c r="EL107" s="312"/>
      <c r="EM107" s="312"/>
      <c r="EN107" s="312"/>
      <c r="EO107" s="312"/>
      <c r="EP107" s="312"/>
      <c r="EQ107" s="312"/>
      <c r="ER107" s="312"/>
      <c r="ES107" s="312"/>
      <c r="ET107" s="312"/>
      <c r="EU107" s="312"/>
      <c r="EV107" s="312"/>
      <c r="EW107" s="312"/>
      <c r="EX107" s="312"/>
      <c r="EY107" s="312"/>
      <c r="EZ107" s="312"/>
      <c r="FA107" s="312"/>
      <c r="FB107" s="312"/>
      <c r="FC107" s="312"/>
      <c r="FD107" s="312"/>
      <c r="FE107" s="312"/>
      <c r="FF107" s="312"/>
      <c r="FG107" s="312"/>
      <c r="FH107" s="312"/>
      <c r="FI107" s="312"/>
      <c r="FJ107" s="312"/>
      <c r="FK107" s="312"/>
      <c r="FL107" s="312"/>
      <c r="FM107" s="312"/>
      <c r="FN107" s="312"/>
      <c r="FO107" s="312"/>
      <c r="FP107" s="312"/>
      <c r="FQ107" s="312"/>
      <c r="FR107" s="312"/>
      <c r="FS107" s="312"/>
      <c r="FT107" s="312"/>
      <c r="FU107" s="312"/>
      <c r="FV107" s="312"/>
      <c r="FW107" s="312"/>
      <c r="FX107" s="312"/>
      <c r="FY107" s="312"/>
      <c r="FZ107" s="312"/>
      <c r="GA107" s="312"/>
      <c r="GB107" s="312"/>
      <c r="GC107" s="312"/>
      <c r="GD107" s="312"/>
      <c r="GE107" s="312"/>
      <c r="GF107" s="312"/>
      <c r="GG107" s="312"/>
      <c r="GH107" s="312"/>
      <c r="GI107" s="312"/>
      <c r="GJ107" s="312"/>
      <c r="GK107" s="312"/>
      <c r="GL107" s="312"/>
      <c r="GM107" s="312"/>
      <c r="GN107" s="312"/>
      <c r="GO107" s="312"/>
      <c r="GP107" s="312"/>
      <c r="GQ107" s="312"/>
      <c r="GR107" s="312"/>
      <c r="GS107" s="312"/>
      <c r="GT107" s="312"/>
      <c r="GU107" s="312"/>
      <c r="GV107" s="312"/>
      <c r="GW107" s="312"/>
      <c r="GX107" s="312"/>
      <c r="GY107" s="312"/>
    </row>
    <row r="108" spans="2:207" ht="15.75" x14ac:dyDescent="0.25">
      <c r="B108" s="316">
        <f t="shared" si="20"/>
        <v>78</v>
      </c>
      <c r="C108" s="330">
        <f>'סיכום לוועדה'!B108</f>
        <v>1001346201</v>
      </c>
      <c r="D108" s="330">
        <f>'סיכום לוועדה'!C108</f>
        <v>1001271257</v>
      </c>
      <c r="E108" s="330">
        <f>'סיכום לוועדה'!D108</f>
        <v>40002836</v>
      </c>
      <c r="F108" s="330">
        <f>'סיכום לוועדה'!E108</f>
        <v>20000244</v>
      </c>
      <c r="G108" s="330" t="str">
        <f>'סיכום לוועדה'!F108</f>
        <v>צפת</v>
      </c>
      <c r="H108" s="317" t="str">
        <f>'סיכום לוועדה'!G108</f>
        <v>בית המאירי</v>
      </c>
      <c r="I108" s="318">
        <f>'סיכום לוועדה'!U108</f>
        <v>180000</v>
      </c>
      <c r="J108" s="319">
        <f>'סיכום לוועדה'!T108</f>
        <v>13507.873775309083</v>
      </c>
      <c r="K108" s="320">
        <f t="shared" si="21"/>
        <v>0</v>
      </c>
      <c r="L108" s="319">
        <f t="shared" si="22"/>
        <v>13507.873775309083</v>
      </c>
      <c r="M108" s="331">
        <f>'תחום תמיכה ב'!AF108</f>
        <v>6.7605310767440333E-5</v>
      </c>
      <c r="N108" s="319">
        <f t="shared" si="19"/>
        <v>14659.497247445164</v>
      </c>
      <c r="O108" s="321">
        <f t="shared" si="23"/>
        <v>0</v>
      </c>
      <c r="P108" s="322">
        <f t="shared" si="24"/>
        <v>14659.497247445164</v>
      </c>
      <c r="Q108" s="322">
        <f t="shared" si="25"/>
        <v>14666.17210370887</v>
      </c>
      <c r="R108" s="321">
        <f t="shared" si="26"/>
        <v>0</v>
      </c>
      <c r="S108" s="322">
        <f t="shared" si="27"/>
        <v>14666.17210370887</v>
      </c>
      <c r="T108" s="322">
        <f t="shared" si="28"/>
        <v>14666.172103708841</v>
      </c>
      <c r="U108" s="321">
        <f t="shared" si="29"/>
        <v>0</v>
      </c>
      <c r="V108" s="322">
        <f t="shared" si="30"/>
        <v>14666.172103708841</v>
      </c>
      <c r="W108" s="322">
        <f t="shared" si="31"/>
        <v>14666.172103708846</v>
      </c>
      <c r="X108" s="321">
        <f t="shared" si="32"/>
        <v>0</v>
      </c>
      <c r="Y108" s="322">
        <f t="shared" si="33"/>
        <v>14666.172103708846</v>
      </c>
      <c r="Z108" s="322">
        <f t="shared" si="34"/>
        <v>14666.172103708845</v>
      </c>
      <c r="AA108" s="323">
        <f t="shared" si="35"/>
        <v>14666.172103708845</v>
      </c>
      <c r="AB108" s="323"/>
      <c r="AC108" s="323"/>
      <c r="AD108" s="323"/>
      <c r="AE108" s="323"/>
      <c r="AF108" s="324">
        <f t="shared" si="36"/>
        <v>8.3989993406940596E-5</v>
      </c>
      <c r="AG108" s="312"/>
      <c r="AH108" s="312"/>
      <c r="AI108" s="325">
        <f t="shared" si="37"/>
        <v>1</v>
      </c>
      <c r="AJ108" s="312"/>
      <c r="AK108" s="312"/>
      <c r="AL108" s="312"/>
      <c r="AM108" s="312"/>
      <c r="AN108" s="312"/>
      <c r="AO108" s="312"/>
      <c r="AP108" s="312"/>
      <c r="AQ108" s="312"/>
      <c r="AR108" s="312"/>
      <c r="AS108" s="312"/>
      <c r="AT108" s="312"/>
      <c r="AU108" s="312"/>
      <c r="AV108" s="312"/>
      <c r="AW108" s="312"/>
      <c r="AX108" s="312"/>
      <c r="AY108" s="312"/>
      <c r="AZ108" s="312"/>
      <c r="BA108" s="312"/>
      <c r="BB108" s="312"/>
      <c r="BC108" s="312"/>
      <c r="BD108" s="312"/>
      <c r="BE108" s="312"/>
      <c r="BF108" s="312"/>
      <c r="BG108" s="312"/>
      <c r="BH108" s="312"/>
      <c r="BI108" s="312"/>
      <c r="BJ108" s="312"/>
      <c r="BK108" s="312"/>
      <c r="BL108" s="312"/>
      <c r="BM108" s="312"/>
      <c r="BN108" s="312"/>
      <c r="BO108" s="312"/>
      <c r="BP108" s="312"/>
      <c r="BQ108" s="312"/>
      <c r="BR108" s="312"/>
      <c r="BS108" s="312"/>
      <c r="BT108" s="312"/>
      <c r="BU108" s="312"/>
      <c r="BV108" s="312"/>
      <c r="BW108" s="312"/>
      <c r="BX108" s="312"/>
      <c r="BY108" s="312"/>
      <c r="BZ108" s="312"/>
      <c r="CA108" s="312"/>
      <c r="CB108" s="312"/>
      <c r="CC108" s="312"/>
      <c r="CD108" s="312"/>
      <c r="CE108" s="312"/>
      <c r="CF108" s="312"/>
      <c r="CG108" s="312"/>
      <c r="CH108" s="312"/>
      <c r="CI108" s="312"/>
      <c r="CJ108" s="312"/>
      <c r="CK108" s="312"/>
      <c r="CL108" s="312"/>
      <c r="CM108" s="312"/>
      <c r="CN108" s="312"/>
      <c r="CO108" s="312"/>
      <c r="CP108" s="312"/>
      <c r="CQ108" s="312"/>
      <c r="CR108" s="312"/>
      <c r="CS108" s="312"/>
      <c r="CT108" s="312"/>
      <c r="CU108" s="312"/>
      <c r="CV108" s="312"/>
      <c r="CW108" s="312"/>
      <c r="CX108" s="312"/>
      <c r="CY108" s="312"/>
      <c r="CZ108" s="312"/>
      <c r="DA108" s="312"/>
      <c r="DB108" s="312"/>
      <c r="DC108" s="312"/>
      <c r="DD108" s="312"/>
      <c r="DE108" s="312"/>
      <c r="DF108" s="312"/>
      <c r="DG108" s="312"/>
      <c r="DH108" s="312"/>
      <c r="DI108" s="312"/>
      <c r="DJ108" s="312"/>
      <c r="DK108" s="312"/>
      <c r="DL108" s="312"/>
      <c r="DM108" s="312"/>
      <c r="DN108" s="312"/>
      <c r="DO108" s="312"/>
      <c r="DP108" s="312"/>
      <c r="DQ108" s="312"/>
      <c r="DR108" s="312"/>
      <c r="DS108" s="312"/>
      <c r="DT108" s="312"/>
      <c r="DU108" s="312"/>
      <c r="DV108" s="312"/>
      <c r="DW108" s="312"/>
      <c r="DX108" s="312"/>
      <c r="DY108" s="312"/>
      <c r="DZ108" s="312"/>
      <c r="EA108" s="312"/>
      <c r="EB108" s="312"/>
      <c r="EC108" s="312"/>
      <c r="ED108" s="312"/>
      <c r="EE108" s="312"/>
      <c r="EF108" s="312"/>
      <c r="EG108" s="312"/>
      <c r="EH108" s="312"/>
      <c r="EI108" s="312"/>
      <c r="EJ108" s="312"/>
      <c r="EK108" s="312"/>
      <c r="EL108" s="312"/>
      <c r="EM108" s="312"/>
      <c r="EN108" s="312"/>
      <c r="EO108" s="312"/>
      <c r="EP108" s="312"/>
      <c r="EQ108" s="312"/>
      <c r="ER108" s="312"/>
      <c r="ES108" s="312"/>
      <c r="ET108" s="312"/>
      <c r="EU108" s="312"/>
      <c r="EV108" s="312"/>
      <c r="EW108" s="312"/>
      <c r="EX108" s="312"/>
      <c r="EY108" s="312"/>
      <c r="EZ108" s="312"/>
      <c r="FA108" s="312"/>
      <c r="FB108" s="312"/>
      <c r="FC108" s="312"/>
      <c r="FD108" s="312"/>
      <c r="FE108" s="312"/>
      <c r="FF108" s="312"/>
      <c r="FG108" s="312"/>
      <c r="FH108" s="312"/>
      <c r="FI108" s="312"/>
      <c r="FJ108" s="312"/>
      <c r="FK108" s="312"/>
      <c r="FL108" s="312"/>
      <c r="FM108" s="312"/>
      <c r="FN108" s="312"/>
      <c r="FO108" s="312"/>
      <c r="FP108" s="312"/>
      <c r="FQ108" s="312"/>
      <c r="FR108" s="312"/>
      <c r="FS108" s="312"/>
      <c r="FT108" s="312"/>
      <c r="FU108" s="312"/>
      <c r="FV108" s="312"/>
      <c r="FW108" s="312"/>
      <c r="FX108" s="312"/>
      <c r="FY108" s="312"/>
      <c r="FZ108" s="312"/>
      <c r="GA108" s="312"/>
      <c r="GB108" s="312"/>
      <c r="GC108" s="312"/>
      <c r="GD108" s="312"/>
      <c r="GE108" s="312"/>
      <c r="GF108" s="312"/>
      <c r="GG108" s="312"/>
      <c r="GH108" s="312"/>
      <c r="GI108" s="312"/>
      <c r="GJ108" s="312"/>
      <c r="GK108" s="312"/>
      <c r="GL108" s="312"/>
      <c r="GM108" s="312"/>
      <c r="GN108" s="312"/>
      <c r="GO108" s="312"/>
      <c r="GP108" s="312"/>
      <c r="GQ108" s="312"/>
      <c r="GR108" s="312"/>
      <c r="GS108" s="312"/>
      <c r="GT108" s="312"/>
      <c r="GU108" s="312"/>
      <c r="GV108" s="312"/>
      <c r="GW108" s="312"/>
      <c r="GX108" s="312"/>
      <c r="GY108" s="312"/>
    </row>
    <row r="109" spans="2:207" ht="15.75" x14ac:dyDescent="0.25">
      <c r="B109" s="316">
        <f t="shared" si="20"/>
        <v>79</v>
      </c>
      <c r="C109" s="330">
        <f>'סיכום לוועדה'!B109</f>
        <v>1001350540</v>
      </c>
      <c r="D109" s="330">
        <f>'סיכום לוועדה'!C109</f>
        <v>1001274933</v>
      </c>
      <c r="E109" s="330">
        <f>'סיכום לוועדה'!D109</f>
        <v>40000481</v>
      </c>
      <c r="F109" s="330">
        <f>'סיכום לוועדה'!E109</f>
        <v>20000159</v>
      </c>
      <c r="G109" s="330" t="str">
        <f>'סיכום לוועדה'!F109</f>
        <v>ירושלים</v>
      </c>
      <c r="H109" s="317" t="str">
        <f>'סיכום לוועדה'!G109</f>
        <v>התזמורת הסימפונית ירושלים</v>
      </c>
      <c r="I109" s="318">
        <f>'סיכום לוועדה'!U109</f>
        <v>4000000</v>
      </c>
      <c r="J109" s="319">
        <f>'סיכום לוועדה'!T109</f>
        <v>405354.07818893169</v>
      </c>
      <c r="K109" s="320">
        <f t="shared" si="21"/>
        <v>0</v>
      </c>
      <c r="L109" s="319">
        <f t="shared" si="22"/>
        <v>405354.07818893169</v>
      </c>
      <c r="M109" s="331">
        <f>'תחום תמיכה ב'!AF109</f>
        <v>1.3288531179006554E-3</v>
      </c>
      <c r="N109" s="319">
        <f t="shared" si="19"/>
        <v>427990.44246599142</v>
      </c>
      <c r="O109" s="321">
        <f t="shared" si="23"/>
        <v>0</v>
      </c>
      <c r="P109" s="322">
        <f t="shared" si="24"/>
        <v>427990.44246599142</v>
      </c>
      <c r="Q109" s="322">
        <f t="shared" si="25"/>
        <v>428185.31781795464</v>
      </c>
      <c r="R109" s="321">
        <f t="shared" si="26"/>
        <v>0</v>
      </c>
      <c r="S109" s="322">
        <f t="shared" si="27"/>
        <v>428185.31781795464</v>
      </c>
      <c r="T109" s="322">
        <f t="shared" si="28"/>
        <v>428185.31781795376</v>
      </c>
      <c r="U109" s="321">
        <f t="shared" si="29"/>
        <v>0</v>
      </c>
      <c r="V109" s="322">
        <f t="shared" si="30"/>
        <v>428185.31781795376</v>
      </c>
      <c r="W109" s="322">
        <f t="shared" si="31"/>
        <v>428185.31781795388</v>
      </c>
      <c r="X109" s="321">
        <f t="shared" si="32"/>
        <v>0</v>
      </c>
      <c r="Y109" s="322">
        <f t="shared" si="33"/>
        <v>428185.31781795388</v>
      </c>
      <c r="Z109" s="322">
        <f t="shared" si="34"/>
        <v>428185.31781795382</v>
      </c>
      <c r="AA109" s="323">
        <f t="shared" si="35"/>
        <v>428185.31781795382</v>
      </c>
      <c r="AB109" s="323"/>
      <c r="AC109" s="323"/>
      <c r="AD109" s="323"/>
      <c r="AE109" s="323"/>
      <c r="AF109" s="324">
        <f t="shared" si="36"/>
        <v>2.4521246420791802E-3</v>
      </c>
      <c r="AG109" s="312"/>
      <c r="AH109" s="312"/>
      <c r="AI109" s="325">
        <f t="shared" si="37"/>
        <v>1</v>
      </c>
      <c r="AJ109" s="312"/>
      <c r="AK109" s="312"/>
      <c r="AL109" s="312"/>
      <c r="AM109" s="312"/>
      <c r="AN109" s="312"/>
      <c r="AO109" s="312"/>
      <c r="AP109" s="312"/>
      <c r="AQ109" s="312"/>
      <c r="AR109" s="312"/>
      <c r="AS109" s="312"/>
      <c r="AT109" s="312"/>
      <c r="AU109" s="312"/>
      <c r="AV109" s="312"/>
      <c r="AW109" s="312"/>
      <c r="AX109" s="312"/>
      <c r="AY109" s="312"/>
      <c r="AZ109" s="312"/>
      <c r="BA109" s="312"/>
      <c r="BB109" s="312"/>
      <c r="BC109" s="312"/>
      <c r="BD109" s="312"/>
      <c r="BE109" s="312"/>
      <c r="BF109" s="312"/>
      <c r="BG109" s="312"/>
      <c r="BH109" s="312"/>
      <c r="BI109" s="312"/>
      <c r="BJ109" s="312"/>
      <c r="BK109" s="312"/>
      <c r="BL109" s="312"/>
      <c r="BM109" s="312"/>
      <c r="BN109" s="312"/>
      <c r="BO109" s="312"/>
      <c r="BP109" s="312"/>
      <c r="BQ109" s="312"/>
      <c r="BR109" s="312"/>
      <c r="BS109" s="312"/>
      <c r="BT109" s="312"/>
      <c r="BU109" s="312"/>
      <c r="BV109" s="312"/>
      <c r="BW109" s="312"/>
      <c r="BX109" s="312"/>
      <c r="BY109" s="312"/>
      <c r="BZ109" s="312"/>
      <c r="CA109" s="312"/>
      <c r="CB109" s="312"/>
      <c r="CC109" s="312"/>
      <c r="CD109" s="312"/>
      <c r="CE109" s="312"/>
      <c r="CF109" s="312"/>
      <c r="CG109" s="312"/>
      <c r="CH109" s="312"/>
      <c r="CI109" s="312"/>
      <c r="CJ109" s="312"/>
      <c r="CK109" s="312"/>
      <c r="CL109" s="312"/>
      <c r="CM109" s="312"/>
      <c r="CN109" s="312"/>
      <c r="CO109" s="312"/>
      <c r="CP109" s="312"/>
      <c r="CQ109" s="312"/>
      <c r="CR109" s="312"/>
      <c r="CS109" s="312"/>
      <c r="CT109" s="312"/>
      <c r="CU109" s="312"/>
      <c r="CV109" s="312"/>
      <c r="CW109" s="312"/>
      <c r="CX109" s="312"/>
      <c r="CY109" s="312"/>
      <c r="CZ109" s="312"/>
      <c r="DA109" s="312"/>
      <c r="DB109" s="312"/>
      <c r="DC109" s="312"/>
      <c r="DD109" s="312"/>
      <c r="DE109" s="312"/>
      <c r="DF109" s="312"/>
      <c r="DG109" s="312"/>
      <c r="DH109" s="312"/>
      <c r="DI109" s="312"/>
      <c r="DJ109" s="312"/>
      <c r="DK109" s="312"/>
      <c r="DL109" s="312"/>
      <c r="DM109" s="312"/>
      <c r="DN109" s="312"/>
      <c r="DO109" s="312"/>
      <c r="DP109" s="312"/>
      <c r="DQ109" s="312"/>
      <c r="DR109" s="312"/>
      <c r="DS109" s="312"/>
      <c r="DT109" s="312"/>
      <c r="DU109" s="312"/>
      <c r="DV109" s="312"/>
      <c r="DW109" s="312"/>
      <c r="DX109" s="312"/>
      <c r="DY109" s="312"/>
      <c r="DZ109" s="312"/>
      <c r="EA109" s="312"/>
      <c r="EB109" s="312"/>
      <c r="EC109" s="312"/>
      <c r="ED109" s="312"/>
      <c r="EE109" s="312"/>
      <c r="EF109" s="312"/>
      <c r="EG109" s="312"/>
      <c r="EH109" s="312"/>
      <c r="EI109" s="312"/>
      <c r="EJ109" s="312"/>
      <c r="EK109" s="312"/>
      <c r="EL109" s="312"/>
      <c r="EM109" s="312"/>
      <c r="EN109" s="312"/>
      <c r="EO109" s="312"/>
      <c r="EP109" s="312"/>
      <c r="EQ109" s="312"/>
      <c r="ER109" s="312"/>
      <c r="ES109" s="312"/>
      <c r="ET109" s="312"/>
      <c r="EU109" s="312"/>
      <c r="EV109" s="312"/>
      <c r="EW109" s="312"/>
      <c r="EX109" s="312"/>
      <c r="EY109" s="312"/>
      <c r="EZ109" s="312"/>
      <c r="FA109" s="312"/>
      <c r="FB109" s="312"/>
      <c r="FC109" s="312"/>
      <c r="FD109" s="312"/>
      <c r="FE109" s="312"/>
      <c r="FF109" s="312"/>
      <c r="FG109" s="312"/>
      <c r="FH109" s="312"/>
      <c r="FI109" s="312"/>
      <c r="FJ109" s="312"/>
      <c r="FK109" s="312"/>
      <c r="FL109" s="312"/>
      <c r="FM109" s="312"/>
      <c r="FN109" s="312"/>
      <c r="FO109" s="312"/>
      <c r="FP109" s="312"/>
      <c r="FQ109" s="312"/>
      <c r="FR109" s="312"/>
      <c r="FS109" s="312"/>
      <c r="FT109" s="312"/>
      <c r="FU109" s="312"/>
      <c r="FV109" s="312"/>
      <c r="FW109" s="312"/>
      <c r="FX109" s="312"/>
      <c r="FY109" s="312"/>
      <c r="FZ109" s="312"/>
      <c r="GA109" s="312"/>
      <c r="GB109" s="312"/>
      <c r="GC109" s="312"/>
      <c r="GD109" s="312"/>
      <c r="GE109" s="312"/>
      <c r="GF109" s="312"/>
      <c r="GG109" s="312"/>
      <c r="GH109" s="312"/>
      <c r="GI109" s="312"/>
      <c r="GJ109" s="312"/>
      <c r="GK109" s="312"/>
      <c r="GL109" s="312"/>
      <c r="GM109" s="312"/>
      <c r="GN109" s="312"/>
      <c r="GO109" s="312"/>
      <c r="GP109" s="312"/>
      <c r="GQ109" s="312"/>
      <c r="GR109" s="312"/>
      <c r="GS109" s="312"/>
      <c r="GT109" s="312"/>
      <c r="GU109" s="312"/>
      <c r="GV109" s="312"/>
      <c r="GW109" s="312"/>
      <c r="GX109" s="312"/>
      <c r="GY109" s="312"/>
    </row>
    <row r="110" spans="2:207" ht="15.75" x14ac:dyDescent="0.25">
      <c r="B110" s="316">
        <f t="shared" si="20"/>
        <v>80</v>
      </c>
      <c r="C110" s="330">
        <f>'סיכום לוועדה'!B110</f>
        <v>1001351066</v>
      </c>
      <c r="D110" s="330">
        <f>'סיכום לוועדה'!C110</f>
        <v>1001274404</v>
      </c>
      <c r="E110" s="330">
        <f>'סיכום לוועדה'!D110</f>
        <v>40216097</v>
      </c>
      <c r="F110" s="330">
        <f>'סיכום לוועדה'!E110</f>
        <v>20000201</v>
      </c>
      <c r="G110" s="330" t="str">
        <f>'סיכום לוועדה'!F110</f>
        <v>תל אביב -יפו</v>
      </c>
      <c r="H110" s="317" t="str">
        <f>'סיכום לוועדה'!G110</f>
        <v>אנסמבל סולני ת"א</v>
      </c>
      <c r="I110" s="318">
        <f>'סיכום לוועדה'!U110</f>
        <v>200000</v>
      </c>
      <c r="J110" s="319">
        <f>'סיכום לוועדה'!T110</f>
        <v>78225.582051553996</v>
      </c>
      <c r="K110" s="320">
        <f t="shared" si="21"/>
        <v>0</v>
      </c>
      <c r="L110" s="319">
        <f t="shared" si="22"/>
        <v>78225.582051553996</v>
      </c>
      <c r="M110" s="331">
        <f>'תחום תמיכה ב'!AF110</f>
        <v>3.3221807611213061E-4</v>
      </c>
      <c r="N110" s="319">
        <f t="shared" si="19"/>
        <v>83884.754829188518</v>
      </c>
      <c r="O110" s="321">
        <f t="shared" si="23"/>
        <v>0</v>
      </c>
      <c r="P110" s="322">
        <f t="shared" si="24"/>
        <v>83884.754829188518</v>
      </c>
      <c r="Q110" s="322">
        <f t="shared" si="25"/>
        <v>83922.949773513683</v>
      </c>
      <c r="R110" s="321">
        <f t="shared" si="26"/>
        <v>0</v>
      </c>
      <c r="S110" s="322">
        <f t="shared" si="27"/>
        <v>83922.949773513683</v>
      </c>
      <c r="T110" s="322">
        <f t="shared" si="28"/>
        <v>83922.949773513508</v>
      </c>
      <c r="U110" s="321">
        <f t="shared" si="29"/>
        <v>0</v>
      </c>
      <c r="V110" s="322">
        <f t="shared" si="30"/>
        <v>83922.949773513508</v>
      </c>
      <c r="W110" s="322">
        <f t="shared" si="31"/>
        <v>83922.949773513552</v>
      </c>
      <c r="X110" s="321">
        <f t="shared" si="32"/>
        <v>0</v>
      </c>
      <c r="Y110" s="322">
        <f t="shared" si="33"/>
        <v>83922.949773513552</v>
      </c>
      <c r="Z110" s="322">
        <f t="shared" si="34"/>
        <v>83922.949773513552</v>
      </c>
      <c r="AA110" s="323">
        <f t="shared" si="35"/>
        <v>83922.949773513552</v>
      </c>
      <c r="AB110" s="323"/>
      <c r="AC110" s="323"/>
      <c r="AD110" s="323"/>
      <c r="AE110" s="323"/>
      <c r="AF110" s="324">
        <f t="shared" si="36"/>
        <v>4.8060856972937792E-4</v>
      </c>
      <c r="AG110" s="312"/>
      <c r="AH110" s="312"/>
      <c r="AI110" s="325">
        <f t="shared" si="37"/>
        <v>1</v>
      </c>
      <c r="AJ110" s="312"/>
      <c r="AK110" s="312"/>
      <c r="AL110" s="312"/>
      <c r="AM110" s="312"/>
      <c r="AN110" s="312"/>
      <c r="AO110" s="312"/>
      <c r="AP110" s="312"/>
      <c r="AQ110" s="312"/>
      <c r="AR110" s="312"/>
      <c r="AS110" s="312"/>
      <c r="AT110" s="312"/>
      <c r="AU110" s="312"/>
      <c r="AV110" s="312"/>
      <c r="AW110" s="312"/>
      <c r="AX110" s="312"/>
      <c r="AY110" s="312"/>
      <c r="AZ110" s="312"/>
      <c r="BA110" s="312"/>
      <c r="BB110" s="312"/>
      <c r="BC110" s="312"/>
      <c r="BD110" s="312"/>
      <c r="BE110" s="312"/>
      <c r="BF110" s="312"/>
      <c r="BG110" s="312"/>
      <c r="BH110" s="312"/>
      <c r="BI110" s="312"/>
      <c r="BJ110" s="312"/>
      <c r="BK110" s="312"/>
      <c r="BL110" s="312"/>
      <c r="BM110" s="312"/>
      <c r="BN110" s="312"/>
      <c r="BO110" s="312"/>
      <c r="BP110" s="312"/>
      <c r="BQ110" s="312"/>
      <c r="BR110" s="312"/>
      <c r="BS110" s="312"/>
      <c r="BT110" s="312"/>
      <c r="BU110" s="312"/>
      <c r="BV110" s="312"/>
      <c r="BW110" s="312"/>
      <c r="BX110" s="312"/>
      <c r="BY110" s="312"/>
      <c r="BZ110" s="312"/>
      <c r="CA110" s="312"/>
      <c r="CB110" s="312"/>
      <c r="CC110" s="312"/>
      <c r="CD110" s="312"/>
      <c r="CE110" s="312"/>
      <c r="CF110" s="312"/>
      <c r="CG110" s="312"/>
      <c r="CH110" s="312"/>
      <c r="CI110" s="312"/>
      <c r="CJ110" s="312"/>
      <c r="CK110" s="312"/>
      <c r="CL110" s="312"/>
      <c r="CM110" s="312"/>
      <c r="CN110" s="312"/>
      <c r="CO110" s="312"/>
      <c r="CP110" s="312"/>
      <c r="CQ110" s="312"/>
      <c r="CR110" s="312"/>
      <c r="CS110" s="312"/>
      <c r="CT110" s="312"/>
      <c r="CU110" s="312"/>
      <c r="CV110" s="312"/>
      <c r="CW110" s="312"/>
      <c r="CX110" s="312"/>
      <c r="CY110" s="312"/>
      <c r="CZ110" s="312"/>
      <c r="DA110" s="312"/>
      <c r="DB110" s="312"/>
      <c r="DC110" s="312"/>
      <c r="DD110" s="312"/>
      <c r="DE110" s="312"/>
      <c r="DF110" s="312"/>
      <c r="DG110" s="312"/>
      <c r="DH110" s="312"/>
      <c r="DI110" s="312"/>
      <c r="DJ110" s="312"/>
      <c r="DK110" s="312"/>
      <c r="DL110" s="312"/>
      <c r="DM110" s="312"/>
      <c r="DN110" s="312"/>
      <c r="DO110" s="312"/>
      <c r="DP110" s="312"/>
      <c r="DQ110" s="312"/>
      <c r="DR110" s="312"/>
      <c r="DS110" s="312"/>
      <c r="DT110" s="312"/>
      <c r="DU110" s="312"/>
      <c r="DV110" s="312"/>
      <c r="DW110" s="312"/>
      <c r="DX110" s="312"/>
      <c r="DY110" s="312"/>
      <c r="DZ110" s="312"/>
      <c r="EA110" s="312"/>
      <c r="EB110" s="312"/>
      <c r="EC110" s="312"/>
      <c r="ED110" s="312"/>
      <c r="EE110" s="312"/>
      <c r="EF110" s="312"/>
      <c r="EG110" s="312"/>
      <c r="EH110" s="312"/>
      <c r="EI110" s="312"/>
      <c r="EJ110" s="312"/>
      <c r="EK110" s="312"/>
      <c r="EL110" s="312"/>
      <c r="EM110" s="312"/>
      <c r="EN110" s="312"/>
      <c r="EO110" s="312"/>
      <c r="EP110" s="312"/>
      <c r="EQ110" s="312"/>
      <c r="ER110" s="312"/>
      <c r="ES110" s="312"/>
      <c r="ET110" s="312"/>
      <c r="EU110" s="312"/>
      <c r="EV110" s="312"/>
      <c r="EW110" s="312"/>
      <c r="EX110" s="312"/>
      <c r="EY110" s="312"/>
      <c r="EZ110" s="312"/>
      <c r="FA110" s="312"/>
      <c r="FB110" s="312"/>
      <c r="FC110" s="312"/>
      <c r="FD110" s="312"/>
      <c r="FE110" s="312"/>
      <c r="FF110" s="312"/>
      <c r="FG110" s="312"/>
      <c r="FH110" s="312"/>
      <c r="FI110" s="312"/>
      <c r="FJ110" s="312"/>
      <c r="FK110" s="312"/>
      <c r="FL110" s="312"/>
      <c r="FM110" s="312"/>
      <c r="FN110" s="312"/>
      <c r="FO110" s="312"/>
      <c r="FP110" s="312"/>
      <c r="FQ110" s="312"/>
      <c r="FR110" s="312"/>
      <c r="FS110" s="312"/>
      <c r="FT110" s="312"/>
      <c r="FU110" s="312"/>
      <c r="FV110" s="312"/>
      <c r="FW110" s="312"/>
      <c r="FX110" s="312"/>
      <c r="FY110" s="312"/>
      <c r="FZ110" s="312"/>
      <c r="GA110" s="312"/>
      <c r="GB110" s="312"/>
      <c r="GC110" s="312"/>
      <c r="GD110" s="312"/>
      <c r="GE110" s="312"/>
      <c r="GF110" s="312"/>
      <c r="GG110" s="312"/>
      <c r="GH110" s="312"/>
      <c r="GI110" s="312"/>
      <c r="GJ110" s="312"/>
      <c r="GK110" s="312"/>
      <c r="GL110" s="312"/>
      <c r="GM110" s="312"/>
      <c r="GN110" s="312"/>
      <c r="GO110" s="312"/>
      <c r="GP110" s="312"/>
      <c r="GQ110" s="312"/>
      <c r="GR110" s="312"/>
      <c r="GS110" s="312"/>
      <c r="GT110" s="312"/>
      <c r="GU110" s="312"/>
      <c r="GV110" s="312"/>
      <c r="GW110" s="312"/>
      <c r="GX110" s="312"/>
      <c r="GY110" s="312"/>
    </row>
    <row r="111" spans="2:207" ht="15.75" x14ac:dyDescent="0.25">
      <c r="B111" s="316">
        <f t="shared" si="20"/>
        <v>81</v>
      </c>
      <c r="C111" s="330">
        <f>'סיכום לוועדה'!B111</f>
        <v>1001348972</v>
      </c>
      <c r="D111" s="330">
        <f>'סיכום לוועדה'!C111</f>
        <v>1001288922</v>
      </c>
      <c r="E111" s="330">
        <f>'סיכום לוועדה'!D111</f>
        <v>40216100</v>
      </c>
      <c r="F111" s="330">
        <f>'סיכום לוועדה'!E111</f>
        <v>20000201</v>
      </c>
      <c r="G111" s="330" t="str">
        <f>'סיכום לוועדה'!F111</f>
        <v>תל אביב -יפו</v>
      </c>
      <c r="H111" s="317" t="str">
        <f>'סיכום לוועדה'!G111</f>
        <v>אורתו-דה</v>
      </c>
      <c r="I111" s="318">
        <f>'סיכום לוועדה'!U111</f>
        <v>90000</v>
      </c>
      <c r="J111" s="319">
        <f>'סיכום לוועדה'!T111</f>
        <v>226915.09609104088</v>
      </c>
      <c r="K111" s="320">
        <f t="shared" si="21"/>
        <v>1</v>
      </c>
      <c r="L111" s="319">
        <f t="shared" si="22"/>
        <v>90000</v>
      </c>
      <c r="M111" s="331">
        <f>'תחום תמיכה ב'!AF111</f>
        <v>1.142778869498776E-3</v>
      </c>
      <c r="N111" s="319">
        <f t="shared" si="19"/>
        <v>90000</v>
      </c>
      <c r="O111" s="321">
        <f t="shared" si="23"/>
        <v>1</v>
      </c>
      <c r="P111" s="322">
        <f t="shared" si="24"/>
        <v>90000</v>
      </c>
      <c r="Q111" s="322">
        <f t="shared" si="25"/>
        <v>90000</v>
      </c>
      <c r="R111" s="321">
        <f t="shared" si="26"/>
        <v>1</v>
      </c>
      <c r="S111" s="322">
        <f t="shared" si="27"/>
        <v>90000</v>
      </c>
      <c r="T111" s="322">
        <f t="shared" si="28"/>
        <v>90000</v>
      </c>
      <c r="U111" s="321">
        <f t="shared" si="29"/>
        <v>1</v>
      </c>
      <c r="V111" s="322">
        <f t="shared" si="30"/>
        <v>90000</v>
      </c>
      <c r="W111" s="322">
        <f t="shared" si="31"/>
        <v>90000</v>
      </c>
      <c r="X111" s="321">
        <f t="shared" si="32"/>
        <v>1</v>
      </c>
      <c r="Y111" s="322">
        <f t="shared" si="33"/>
        <v>90000</v>
      </c>
      <c r="Z111" s="322">
        <f t="shared" si="34"/>
        <v>90000</v>
      </c>
      <c r="AA111" s="323">
        <f t="shared" si="35"/>
        <v>90000</v>
      </c>
      <c r="AB111" s="323"/>
      <c r="AC111" s="323"/>
      <c r="AD111" s="323"/>
      <c r="AE111" s="323"/>
      <c r="AF111" s="324">
        <f t="shared" si="36"/>
        <v>5.1541052110748626E-4</v>
      </c>
      <c r="AG111" s="312"/>
      <c r="AH111" s="312"/>
      <c r="AI111" s="325">
        <f t="shared" si="37"/>
        <v>1</v>
      </c>
      <c r="AJ111" s="312"/>
      <c r="AK111" s="312"/>
      <c r="AL111" s="312"/>
      <c r="AM111" s="312"/>
      <c r="AN111" s="312"/>
      <c r="AO111" s="312"/>
      <c r="AP111" s="312"/>
      <c r="AQ111" s="312"/>
      <c r="AR111" s="312"/>
      <c r="AS111" s="312"/>
      <c r="AT111" s="312"/>
      <c r="AU111" s="312"/>
      <c r="AV111" s="312"/>
      <c r="AW111" s="312"/>
      <c r="AX111" s="312"/>
      <c r="AY111" s="312"/>
      <c r="AZ111" s="312"/>
      <c r="BA111" s="312"/>
      <c r="BB111" s="312"/>
      <c r="BC111" s="312"/>
      <c r="BD111" s="312"/>
      <c r="BE111" s="312"/>
      <c r="BF111" s="312"/>
      <c r="BG111" s="312"/>
      <c r="BH111" s="312"/>
      <c r="BI111" s="312"/>
      <c r="BJ111" s="312"/>
      <c r="BK111" s="312"/>
      <c r="BL111" s="312"/>
      <c r="BM111" s="312"/>
      <c r="BN111" s="312"/>
      <c r="BO111" s="312"/>
      <c r="BP111" s="312"/>
      <c r="BQ111" s="312"/>
      <c r="BR111" s="312"/>
      <c r="BS111" s="312"/>
      <c r="BT111" s="312"/>
      <c r="BU111" s="312"/>
      <c r="BV111" s="312"/>
      <c r="BW111" s="312"/>
      <c r="BX111" s="312"/>
      <c r="BY111" s="312"/>
      <c r="BZ111" s="312"/>
      <c r="CA111" s="312"/>
      <c r="CB111" s="312"/>
      <c r="CC111" s="312"/>
      <c r="CD111" s="312"/>
      <c r="CE111" s="312"/>
      <c r="CF111" s="312"/>
      <c r="CG111" s="312"/>
      <c r="CH111" s="312"/>
      <c r="CI111" s="312"/>
      <c r="CJ111" s="312"/>
      <c r="CK111" s="312"/>
      <c r="CL111" s="312"/>
      <c r="CM111" s="312"/>
      <c r="CN111" s="312"/>
      <c r="CO111" s="312"/>
      <c r="CP111" s="312"/>
      <c r="CQ111" s="312"/>
      <c r="CR111" s="312"/>
      <c r="CS111" s="312"/>
      <c r="CT111" s="312"/>
      <c r="CU111" s="312"/>
      <c r="CV111" s="312"/>
      <c r="CW111" s="312"/>
      <c r="CX111" s="312"/>
      <c r="CY111" s="312"/>
      <c r="CZ111" s="312"/>
      <c r="DA111" s="312"/>
      <c r="DB111" s="312"/>
      <c r="DC111" s="312"/>
      <c r="DD111" s="312"/>
      <c r="DE111" s="312"/>
      <c r="DF111" s="312"/>
      <c r="DG111" s="312"/>
      <c r="DH111" s="312"/>
      <c r="DI111" s="312"/>
      <c r="DJ111" s="312"/>
      <c r="DK111" s="312"/>
      <c r="DL111" s="312"/>
      <c r="DM111" s="312"/>
      <c r="DN111" s="312"/>
      <c r="DO111" s="312"/>
      <c r="DP111" s="312"/>
      <c r="DQ111" s="312"/>
      <c r="DR111" s="312"/>
      <c r="DS111" s="312"/>
      <c r="DT111" s="312"/>
      <c r="DU111" s="312"/>
      <c r="DV111" s="312"/>
      <c r="DW111" s="312"/>
      <c r="DX111" s="312"/>
      <c r="DY111" s="312"/>
      <c r="DZ111" s="312"/>
      <c r="EA111" s="312"/>
      <c r="EB111" s="312"/>
      <c r="EC111" s="312"/>
      <c r="ED111" s="312"/>
      <c r="EE111" s="312"/>
      <c r="EF111" s="312"/>
      <c r="EG111" s="312"/>
      <c r="EH111" s="312"/>
      <c r="EI111" s="312"/>
      <c r="EJ111" s="312"/>
      <c r="EK111" s="312"/>
      <c r="EL111" s="312"/>
      <c r="EM111" s="312"/>
      <c r="EN111" s="312"/>
      <c r="EO111" s="312"/>
      <c r="EP111" s="312"/>
      <c r="EQ111" s="312"/>
      <c r="ER111" s="312"/>
      <c r="ES111" s="312"/>
      <c r="ET111" s="312"/>
      <c r="EU111" s="312"/>
      <c r="EV111" s="312"/>
      <c r="EW111" s="312"/>
      <c r="EX111" s="312"/>
      <c r="EY111" s="312"/>
      <c r="EZ111" s="312"/>
      <c r="FA111" s="312"/>
      <c r="FB111" s="312"/>
      <c r="FC111" s="312"/>
      <c r="FD111" s="312"/>
      <c r="FE111" s="312"/>
      <c r="FF111" s="312"/>
      <c r="FG111" s="312"/>
      <c r="FH111" s="312"/>
      <c r="FI111" s="312"/>
      <c r="FJ111" s="312"/>
      <c r="FK111" s="312"/>
      <c r="FL111" s="312"/>
      <c r="FM111" s="312"/>
      <c r="FN111" s="312"/>
      <c r="FO111" s="312"/>
      <c r="FP111" s="312"/>
      <c r="FQ111" s="312"/>
      <c r="FR111" s="312"/>
      <c r="FS111" s="312"/>
      <c r="FT111" s="312"/>
      <c r="FU111" s="312"/>
      <c r="FV111" s="312"/>
      <c r="FW111" s="312"/>
      <c r="FX111" s="312"/>
      <c r="FY111" s="312"/>
      <c r="FZ111" s="312"/>
      <c r="GA111" s="312"/>
      <c r="GB111" s="312"/>
      <c r="GC111" s="312"/>
      <c r="GD111" s="312"/>
      <c r="GE111" s="312"/>
      <c r="GF111" s="312"/>
      <c r="GG111" s="312"/>
      <c r="GH111" s="312"/>
      <c r="GI111" s="312"/>
      <c r="GJ111" s="312"/>
      <c r="GK111" s="312"/>
      <c r="GL111" s="312"/>
      <c r="GM111" s="312"/>
      <c r="GN111" s="312"/>
      <c r="GO111" s="312"/>
      <c r="GP111" s="312"/>
      <c r="GQ111" s="312"/>
      <c r="GR111" s="312"/>
      <c r="GS111" s="312"/>
      <c r="GT111" s="312"/>
      <c r="GU111" s="312"/>
      <c r="GV111" s="312"/>
      <c r="GW111" s="312"/>
      <c r="GX111" s="312"/>
      <c r="GY111" s="312"/>
    </row>
    <row r="112" spans="2:207" ht="15.75" x14ac:dyDescent="0.25">
      <c r="B112" s="316">
        <f t="shared" si="20"/>
        <v>82</v>
      </c>
      <c r="C112" s="330">
        <f>'סיכום לוועדה'!B112</f>
        <v>1001347046</v>
      </c>
      <c r="D112" s="330">
        <f>'סיכום לוועדה'!C112</f>
        <v>1001277747</v>
      </c>
      <c r="E112" s="330">
        <f>'סיכום לוועדה'!D112</f>
        <v>40216106</v>
      </c>
      <c r="F112" s="330">
        <f>'סיכום לוועדה'!E112</f>
        <v>20000201</v>
      </c>
      <c r="G112" s="330" t="str">
        <f>'סיכום לוועדה'!F112</f>
        <v>תל אביב -יפו</v>
      </c>
      <c r="H112" s="317" t="str">
        <f>'סיכום לוועדה'!G112</f>
        <v>העמותה לקידום תרבות הפלמנקו בישראל</v>
      </c>
      <c r="I112" s="318">
        <f>'סיכום לוועדה'!U112</f>
        <v>1500000</v>
      </c>
      <c r="J112" s="319">
        <f>'סיכום לוועדה'!T112</f>
        <v>210202.88788064441</v>
      </c>
      <c r="K112" s="320">
        <f t="shared" si="21"/>
        <v>0</v>
      </c>
      <c r="L112" s="319">
        <f t="shared" si="22"/>
        <v>210202.88788064441</v>
      </c>
      <c r="M112" s="331">
        <f>'תחום תמיכה ב'!AF112</f>
        <v>1.063193542685926E-3</v>
      </c>
      <c r="N112" s="319">
        <f t="shared" si="19"/>
        <v>228313.87095699637</v>
      </c>
      <c r="O112" s="321">
        <f t="shared" si="23"/>
        <v>0</v>
      </c>
      <c r="P112" s="322">
        <f t="shared" si="24"/>
        <v>228313.87095699637</v>
      </c>
      <c r="Q112" s="322">
        <f t="shared" si="25"/>
        <v>228417.82829236228</v>
      </c>
      <c r="R112" s="321">
        <f t="shared" si="26"/>
        <v>0</v>
      </c>
      <c r="S112" s="322">
        <f t="shared" si="27"/>
        <v>228417.82829236228</v>
      </c>
      <c r="T112" s="322">
        <f t="shared" si="28"/>
        <v>228417.82829236184</v>
      </c>
      <c r="U112" s="321">
        <f t="shared" si="29"/>
        <v>0</v>
      </c>
      <c r="V112" s="322">
        <f t="shared" si="30"/>
        <v>228417.82829236184</v>
      </c>
      <c r="W112" s="322">
        <f t="shared" si="31"/>
        <v>228417.82829236193</v>
      </c>
      <c r="X112" s="321">
        <f t="shared" si="32"/>
        <v>0</v>
      </c>
      <c r="Y112" s="322">
        <f t="shared" si="33"/>
        <v>228417.82829236193</v>
      </c>
      <c r="Z112" s="322">
        <f t="shared" si="34"/>
        <v>228417.8282923619</v>
      </c>
      <c r="AA112" s="323">
        <f t="shared" si="35"/>
        <v>228417.8282923619</v>
      </c>
      <c r="AB112" s="323"/>
      <c r="AC112" s="323"/>
      <c r="AD112" s="323"/>
      <c r="AE112" s="323"/>
      <c r="AF112" s="324">
        <f t="shared" si="36"/>
        <v>1.308099465671184E-3</v>
      </c>
      <c r="AG112" s="312"/>
      <c r="AH112" s="312"/>
      <c r="AI112" s="325">
        <f t="shared" si="37"/>
        <v>1</v>
      </c>
      <c r="AJ112" s="312"/>
      <c r="AK112" s="312"/>
      <c r="AL112" s="312"/>
      <c r="AM112" s="312"/>
      <c r="AN112" s="312"/>
      <c r="AO112" s="312"/>
      <c r="AP112" s="312"/>
      <c r="AQ112" s="312"/>
      <c r="AR112" s="312"/>
      <c r="AS112" s="312"/>
      <c r="AT112" s="312"/>
      <c r="AU112" s="312"/>
      <c r="AV112" s="312"/>
      <c r="AW112" s="312"/>
      <c r="AX112" s="312"/>
      <c r="AY112" s="312"/>
      <c r="AZ112" s="312"/>
      <c r="BA112" s="312"/>
      <c r="BB112" s="312"/>
      <c r="BC112" s="312"/>
      <c r="BD112" s="312"/>
      <c r="BE112" s="312"/>
      <c r="BF112" s="312"/>
      <c r="BG112" s="312"/>
      <c r="BH112" s="312"/>
      <c r="BI112" s="312"/>
      <c r="BJ112" s="312"/>
      <c r="BK112" s="312"/>
      <c r="BL112" s="312"/>
      <c r="BM112" s="312"/>
      <c r="BN112" s="312"/>
      <c r="BO112" s="312"/>
      <c r="BP112" s="312"/>
      <c r="BQ112" s="312"/>
      <c r="BR112" s="312"/>
      <c r="BS112" s="312"/>
      <c r="BT112" s="312"/>
      <c r="BU112" s="312"/>
      <c r="BV112" s="312"/>
      <c r="BW112" s="312"/>
      <c r="BX112" s="312"/>
      <c r="BY112" s="312"/>
      <c r="BZ112" s="312"/>
      <c r="CA112" s="312"/>
      <c r="CB112" s="312"/>
      <c r="CC112" s="312"/>
      <c r="CD112" s="312"/>
      <c r="CE112" s="312"/>
      <c r="CF112" s="312"/>
      <c r="CG112" s="312"/>
      <c r="CH112" s="312"/>
      <c r="CI112" s="312"/>
      <c r="CJ112" s="312"/>
      <c r="CK112" s="312"/>
      <c r="CL112" s="312"/>
      <c r="CM112" s="312"/>
      <c r="CN112" s="312"/>
      <c r="CO112" s="312"/>
      <c r="CP112" s="312"/>
      <c r="CQ112" s="312"/>
      <c r="CR112" s="312"/>
      <c r="CS112" s="312"/>
      <c r="CT112" s="312"/>
      <c r="CU112" s="312"/>
      <c r="CV112" s="312"/>
      <c r="CW112" s="312"/>
      <c r="CX112" s="312"/>
      <c r="CY112" s="312"/>
      <c r="CZ112" s="312"/>
      <c r="DA112" s="312"/>
      <c r="DB112" s="312"/>
      <c r="DC112" s="312"/>
      <c r="DD112" s="312"/>
      <c r="DE112" s="312"/>
      <c r="DF112" s="312"/>
      <c r="DG112" s="312"/>
      <c r="DH112" s="312"/>
      <c r="DI112" s="312"/>
      <c r="DJ112" s="312"/>
      <c r="DK112" s="312"/>
      <c r="DL112" s="312"/>
      <c r="DM112" s="312"/>
      <c r="DN112" s="312"/>
      <c r="DO112" s="312"/>
      <c r="DP112" s="312"/>
      <c r="DQ112" s="312"/>
      <c r="DR112" s="312"/>
      <c r="DS112" s="312"/>
      <c r="DT112" s="312"/>
      <c r="DU112" s="312"/>
      <c r="DV112" s="312"/>
      <c r="DW112" s="312"/>
      <c r="DX112" s="312"/>
      <c r="DY112" s="312"/>
      <c r="DZ112" s="312"/>
      <c r="EA112" s="312"/>
      <c r="EB112" s="312"/>
      <c r="EC112" s="312"/>
      <c r="ED112" s="312"/>
      <c r="EE112" s="312"/>
      <c r="EF112" s="312"/>
      <c r="EG112" s="312"/>
      <c r="EH112" s="312"/>
      <c r="EI112" s="312"/>
      <c r="EJ112" s="312"/>
      <c r="EK112" s="312"/>
      <c r="EL112" s="312"/>
      <c r="EM112" s="312"/>
      <c r="EN112" s="312"/>
      <c r="EO112" s="312"/>
      <c r="EP112" s="312"/>
      <c r="EQ112" s="312"/>
      <c r="ER112" s="312"/>
      <c r="ES112" s="312"/>
      <c r="ET112" s="312"/>
      <c r="EU112" s="312"/>
      <c r="EV112" s="312"/>
      <c r="EW112" s="312"/>
      <c r="EX112" s="312"/>
      <c r="EY112" s="312"/>
      <c r="EZ112" s="312"/>
      <c r="FA112" s="312"/>
      <c r="FB112" s="312"/>
      <c r="FC112" s="312"/>
      <c r="FD112" s="312"/>
      <c r="FE112" s="312"/>
      <c r="FF112" s="312"/>
      <c r="FG112" s="312"/>
      <c r="FH112" s="312"/>
      <c r="FI112" s="312"/>
      <c r="FJ112" s="312"/>
      <c r="FK112" s="312"/>
      <c r="FL112" s="312"/>
      <c r="FM112" s="312"/>
      <c r="FN112" s="312"/>
      <c r="FO112" s="312"/>
      <c r="FP112" s="312"/>
      <c r="FQ112" s="312"/>
      <c r="FR112" s="312"/>
      <c r="FS112" s="312"/>
      <c r="FT112" s="312"/>
      <c r="FU112" s="312"/>
      <c r="FV112" s="312"/>
      <c r="FW112" s="312"/>
      <c r="FX112" s="312"/>
      <c r="FY112" s="312"/>
      <c r="FZ112" s="312"/>
      <c r="GA112" s="312"/>
      <c r="GB112" s="312"/>
      <c r="GC112" s="312"/>
      <c r="GD112" s="312"/>
      <c r="GE112" s="312"/>
      <c r="GF112" s="312"/>
      <c r="GG112" s="312"/>
      <c r="GH112" s="312"/>
      <c r="GI112" s="312"/>
      <c r="GJ112" s="312"/>
      <c r="GK112" s="312"/>
      <c r="GL112" s="312"/>
      <c r="GM112" s="312"/>
      <c r="GN112" s="312"/>
      <c r="GO112" s="312"/>
      <c r="GP112" s="312"/>
      <c r="GQ112" s="312"/>
      <c r="GR112" s="312"/>
      <c r="GS112" s="312"/>
      <c r="GT112" s="312"/>
      <c r="GU112" s="312"/>
      <c r="GV112" s="312"/>
      <c r="GW112" s="312"/>
      <c r="GX112" s="312"/>
      <c r="GY112" s="312"/>
    </row>
    <row r="113" spans="2:207" ht="15.75" x14ac:dyDescent="0.25">
      <c r="B113" s="316">
        <f t="shared" si="20"/>
        <v>83</v>
      </c>
      <c r="C113" s="330">
        <f>'סיכום לוועדה'!B113</f>
        <v>1001346702</v>
      </c>
      <c r="D113" s="330">
        <f>'סיכום לוועדה'!C113</f>
        <v>1001277088</v>
      </c>
      <c r="E113" s="330">
        <f>'סיכום לוועדה'!D113</f>
        <v>40221541</v>
      </c>
      <c r="F113" s="330">
        <f>'סיכום לוועדה'!E113</f>
        <v>20000201</v>
      </c>
      <c r="G113" s="330" t="str">
        <f>'סיכום לוועדה'!F113</f>
        <v>תל אביב -יפו</v>
      </c>
      <c r="H113" s="317" t="str">
        <f>'סיכום לוועדה'!G113</f>
        <v>מרכז פליציה בלומנטל למוזיקה</v>
      </c>
      <c r="I113" s="318">
        <f>'סיכום לוועדה'!U113</f>
        <v>115000</v>
      </c>
      <c r="J113" s="319">
        <f>'סיכום לוועדה'!T113</f>
        <v>4329.7760837096139</v>
      </c>
      <c r="K113" s="320">
        <f t="shared" si="21"/>
        <v>0</v>
      </c>
      <c r="L113" s="319">
        <f t="shared" si="22"/>
        <v>4329.7760837096139</v>
      </c>
      <c r="M113" s="331">
        <f>'תחום תמיכה ב'!AF113</f>
        <v>1.9305879515868344E-5</v>
      </c>
      <c r="N113" s="319">
        <f t="shared" si="19"/>
        <v>4658.6423184524165</v>
      </c>
      <c r="O113" s="321">
        <f t="shared" si="23"/>
        <v>0</v>
      </c>
      <c r="P113" s="322">
        <f t="shared" si="24"/>
        <v>4658.6423184524165</v>
      </c>
      <c r="Q113" s="322">
        <f t="shared" si="25"/>
        <v>4660.7635213378089</v>
      </c>
      <c r="R113" s="321">
        <f t="shared" si="26"/>
        <v>0</v>
      </c>
      <c r="S113" s="322">
        <f t="shared" si="27"/>
        <v>4660.7635213378089</v>
      </c>
      <c r="T113" s="322">
        <f t="shared" si="28"/>
        <v>4660.7635213377989</v>
      </c>
      <c r="U113" s="321">
        <f t="shared" si="29"/>
        <v>0</v>
      </c>
      <c r="V113" s="322">
        <f t="shared" si="30"/>
        <v>4660.7635213377989</v>
      </c>
      <c r="W113" s="322">
        <f t="shared" si="31"/>
        <v>4660.7635213378007</v>
      </c>
      <c r="X113" s="321">
        <f t="shared" si="32"/>
        <v>0</v>
      </c>
      <c r="Y113" s="322">
        <f t="shared" si="33"/>
        <v>4660.7635213378007</v>
      </c>
      <c r="Z113" s="322">
        <f t="shared" si="34"/>
        <v>4660.7635213377998</v>
      </c>
      <c r="AA113" s="323">
        <f t="shared" si="35"/>
        <v>4660.7635213377998</v>
      </c>
      <c r="AB113" s="323"/>
      <c r="AC113" s="323"/>
      <c r="AD113" s="323"/>
      <c r="AE113" s="323"/>
      <c r="AF113" s="324">
        <f t="shared" si="36"/>
        <v>2.669118394768309E-5</v>
      </c>
      <c r="AG113" s="312"/>
      <c r="AH113" s="312"/>
      <c r="AI113" s="325">
        <f t="shared" si="37"/>
        <v>1</v>
      </c>
      <c r="AJ113" s="312"/>
      <c r="AK113" s="312"/>
      <c r="AL113" s="312"/>
      <c r="AM113" s="312"/>
      <c r="AN113" s="312"/>
      <c r="AO113" s="312"/>
      <c r="AP113" s="312"/>
      <c r="AQ113" s="312"/>
      <c r="AR113" s="312"/>
      <c r="AS113" s="312"/>
      <c r="AT113" s="312"/>
      <c r="AU113" s="312"/>
      <c r="AV113" s="312"/>
      <c r="AW113" s="312"/>
      <c r="AX113" s="312"/>
      <c r="AY113" s="312"/>
      <c r="AZ113" s="312"/>
      <c r="BA113" s="312"/>
      <c r="BB113" s="312"/>
      <c r="BC113" s="312"/>
      <c r="BD113" s="312"/>
      <c r="BE113" s="312"/>
      <c r="BF113" s="312"/>
      <c r="BG113" s="312"/>
      <c r="BH113" s="312"/>
      <c r="BI113" s="312"/>
      <c r="BJ113" s="312"/>
      <c r="BK113" s="312"/>
      <c r="BL113" s="312"/>
      <c r="BM113" s="312"/>
      <c r="BN113" s="312"/>
      <c r="BO113" s="312"/>
      <c r="BP113" s="312"/>
      <c r="BQ113" s="312"/>
      <c r="BR113" s="312"/>
      <c r="BS113" s="312"/>
      <c r="BT113" s="312"/>
      <c r="BU113" s="312"/>
      <c r="BV113" s="312"/>
      <c r="BW113" s="312"/>
      <c r="BX113" s="312"/>
      <c r="BY113" s="312"/>
      <c r="BZ113" s="312"/>
      <c r="CA113" s="312"/>
      <c r="CB113" s="312"/>
      <c r="CC113" s="312"/>
      <c r="CD113" s="312"/>
      <c r="CE113" s="312"/>
      <c r="CF113" s="312"/>
      <c r="CG113" s="312"/>
      <c r="CH113" s="312"/>
      <c r="CI113" s="312"/>
      <c r="CJ113" s="312"/>
      <c r="CK113" s="312"/>
      <c r="CL113" s="312"/>
      <c r="CM113" s="312"/>
      <c r="CN113" s="312"/>
      <c r="CO113" s="312"/>
      <c r="CP113" s="312"/>
      <c r="CQ113" s="312"/>
      <c r="CR113" s="312"/>
      <c r="CS113" s="312"/>
      <c r="CT113" s="312"/>
      <c r="CU113" s="312"/>
      <c r="CV113" s="312"/>
      <c r="CW113" s="312"/>
      <c r="CX113" s="312"/>
      <c r="CY113" s="312"/>
      <c r="CZ113" s="312"/>
      <c r="DA113" s="312"/>
      <c r="DB113" s="312"/>
      <c r="DC113" s="312"/>
      <c r="DD113" s="312"/>
      <c r="DE113" s="312"/>
      <c r="DF113" s="312"/>
      <c r="DG113" s="312"/>
      <c r="DH113" s="312"/>
      <c r="DI113" s="312"/>
      <c r="DJ113" s="312"/>
      <c r="DK113" s="312"/>
      <c r="DL113" s="312"/>
      <c r="DM113" s="312"/>
      <c r="DN113" s="312"/>
      <c r="DO113" s="312"/>
      <c r="DP113" s="312"/>
      <c r="DQ113" s="312"/>
      <c r="DR113" s="312"/>
      <c r="DS113" s="312"/>
      <c r="DT113" s="312"/>
      <c r="DU113" s="312"/>
      <c r="DV113" s="312"/>
      <c r="DW113" s="312"/>
      <c r="DX113" s="312"/>
      <c r="DY113" s="312"/>
      <c r="DZ113" s="312"/>
      <c r="EA113" s="312"/>
      <c r="EB113" s="312"/>
      <c r="EC113" s="312"/>
      <c r="ED113" s="312"/>
      <c r="EE113" s="312"/>
      <c r="EF113" s="312"/>
      <c r="EG113" s="312"/>
      <c r="EH113" s="312"/>
      <c r="EI113" s="312"/>
      <c r="EJ113" s="312"/>
      <c r="EK113" s="312"/>
      <c r="EL113" s="312"/>
      <c r="EM113" s="312"/>
      <c r="EN113" s="312"/>
      <c r="EO113" s="312"/>
      <c r="EP113" s="312"/>
      <c r="EQ113" s="312"/>
      <c r="ER113" s="312"/>
      <c r="ES113" s="312"/>
      <c r="ET113" s="312"/>
      <c r="EU113" s="312"/>
      <c r="EV113" s="312"/>
      <c r="EW113" s="312"/>
      <c r="EX113" s="312"/>
      <c r="EY113" s="312"/>
      <c r="EZ113" s="312"/>
      <c r="FA113" s="312"/>
      <c r="FB113" s="312"/>
      <c r="FC113" s="312"/>
      <c r="FD113" s="312"/>
      <c r="FE113" s="312"/>
      <c r="FF113" s="312"/>
      <c r="FG113" s="312"/>
      <c r="FH113" s="312"/>
      <c r="FI113" s="312"/>
      <c r="FJ113" s="312"/>
      <c r="FK113" s="312"/>
      <c r="FL113" s="312"/>
      <c r="FM113" s="312"/>
      <c r="FN113" s="312"/>
      <c r="FO113" s="312"/>
      <c r="FP113" s="312"/>
      <c r="FQ113" s="312"/>
      <c r="FR113" s="312"/>
      <c r="FS113" s="312"/>
      <c r="FT113" s="312"/>
      <c r="FU113" s="312"/>
      <c r="FV113" s="312"/>
      <c r="FW113" s="312"/>
      <c r="FX113" s="312"/>
      <c r="FY113" s="312"/>
      <c r="FZ113" s="312"/>
      <c r="GA113" s="312"/>
      <c r="GB113" s="312"/>
      <c r="GC113" s="312"/>
      <c r="GD113" s="312"/>
      <c r="GE113" s="312"/>
      <c r="GF113" s="312"/>
      <c r="GG113" s="312"/>
      <c r="GH113" s="312"/>
      <c r="GI113" s="312"/>
      <c r="GJ113" s="312"/>
      <c r="GK113" s="312"/>
      <c r="GL113" s="312"/>
      <c r="GM113" s="312"/>
      <c r="GN113" s="312"/>
      <c r="GO113" s="312"/>
      <c r="GP113" s="312"/>
      <c r="GQ113" s="312"/>
      <c r="GR113" s="312"/>
      <c r="GS113" s="312"/>
      <c r="GT113" s="312"/>
      <c r="GU113" s="312"/>
      <c r="GV113" s="312"/>
      <c r="GW113" s="312"/>
      <c r="GX113" s="312"/>
      <c r="GY113" s="312"/>
    </row>
    <row r="114" spans="2:207" ht="15.75" x14ac:dyDescent="0.25">
      <c r="B114" s="316">
        <f t="shared" si="20"/>
        <v>84</v>
      </c>
      <c r="C114" s="330">
        <f>'סיכום לוועדה'!B114</f>
        <v>1001346704</v>
      </c>
      <c r="D114" s="330">
        <f>'סיכום לוועדה'!C114</f>
        <v>1001277175</v>
      </c>
      <c r="E114" s="330">
        <f>'סיכום לוועדה'!D114</f>
        <v>40221541</v>
      </c>
      <c r="F114" s="330">
        <f>'סיכום לוועדה'!E114</f>
        <v>20000201</v>
      </c>
      <c r="G114" s="330" t="str">
        <f>'סיכום לוועדה'!F114</f>
        <v>תל אביב -יפו</v>
      </c>
      <c r="H114" s="317" t="str">
        <f>'סיכום לוועדה'!G114</f>
        <v>מרכז פליציה בלומנטל למוזיקה</v>
      </c>
      <c r="I114" s="318">
        <f>'סיכום לוועדה'!U114</f>
        <v>86000</v>
      </c>
      <c r="J114" s="319">
        <f>'סיכום לוועדה'!T114</f>
        <v>11395.818944885294</v>
      </c>
      <c r="K114" s="320">
        <f t="shared" si="21"/>
        <v>0</v>
      </c>
      <c r="L114" s="319">
        <f t="shared" si="22"/>
        <v>11395.818944885294</v>
      </c>
      <c r="M114" s="331">
        <f>'תחום תמיכה ב'!AF114</f>
        <v>7.1041786888246131E-5</v>
      </c>
      <c r="N114" s="319">
        <f t="shared" si="19"/>
        <v>12605.981110464687</v>
      </c>
      <c r="O114" s="321">
        <f t="shared" si="23"/>
        <v>0</v>
      </c>
      <c r="P114" s="322">
        <f t="shared" si="24"/>
        <v>12605.981110464687</v>
      </c>
      <c r="Q114" s="322">
        <f t="shared" si="25"/>
        <v>12611.720946596515</v>
      </c>
      <c r="R114" s="321">
        <f t="shared" si="26"/>
        <v>0</v>
      </c>
      <c r="S114" s="322">
        <f t="shared" si="27"/>
        <v>12611.720946596515</v>
      </c>
      <c r="T114" s="322">
        <f t="shared" si="28"/>
        <v>12611.72094659649</v>
      </c>
      <c r="U114" s="321">
        <f t="shared" si="29"/>
        <v>0</v>
      </c>
      <c r="V114" s="322">
        <f t="shared" si="30"/>
        <v>12611.72094659649</v>
      </c>
      <c r="W114" s="322">
        <f t="shared" si="31"/>
        <v>12611.720946596493</v>
      </c>
      <c r="X114" s="321">
        <f t="shared" si="32"/>
        <v>0</v>
      </c>
      <c r="Y114" s="322">
        <f t="shared" si="33"/>
        <v>12611.720946596493</v>
      </c>
      <c r="Z114" s="322">
        <f t="shared" si="34"/>
        <v>12611.720946596492</v>
      </c>
      <c r="AA114" s="323">
        <f t="shared" si="35"/>
        <v>12611.720946596492</v>
      </c>
      <c r="AB114" s="323"/>
      <c r="AC114" s="323"/>
      <c r="AD114" s="323"/>
      <c r="AE114" s="323"/>
      <c r="AF114" s="324">
        <f t="shared" si="36"/>
        <v>7.2224596279416635E-5</v>
      </c>
      <c r="AG114" s="312"/>
      <c r="AH114" s="312"/>
      <c r="AI114" s="325">
        <f t="shared" si="37"/>
        <v>1</v>
      </c>
      <c r="AJ114" s="312"/>
      <c r="AK114" s="312"/>
      <c r="AL114" s="312"/>
      <c r="AM114" s="312"/>
      <c r="AN114" s="312"/>
      <c r="AO114" s="312"/>
      <c r="AP114" s="312"/>
      <c r="AQ114" s="312"/>
      <c r="AR114" s="312"/>
      <c r="AS114" s="312"/>
      <c r="AT114" s="312"/>
      <c r="AU114" s="312"/>
      <c r="AV114" s="312"/>
      <c r="AW114" s="312"/>
      <c r="AX114" s="312"/>
      <c r="AY114" s="312"/>
      <c r="AZ114" s="312"/>
      <c r="BA114" s="312"/>
      <c r="BB114" s="312"/>
      <c r="BC114" s="312"/>
      <c r="BD114" s="312"/>
      <c r="BE114" s="312"/>
      <c r="BF114" s="312"/>
      <c r="BG114" s="312"/>
      <c r="BH114" s="312"/>
      <c r="BI114" s="312"/>
      <c r="BJ114" s="312"/>
      <c r="BK114" s="312"/>
      <c r="BL114" s="312"/>
      <c r="BM114" s="312"/>
      <c r="BN114" s="312"/>
      <c r="BO114" s="312"/>
      <c r="BP114" s="312"/>
      <c r="BQ114" s="312"/>
      <c r="BR114" s="312"/>
      <c r="BS114" s="312"/>
      <c r="BT114" s="312"/>
      <c r="BU114" s="312"/>
      <c r="BV114" s="312"/>
      <c r="BW114" s="312"/>
      <c r="BX114" s="312"/>
      <c r="BY114" s="312"/>
      <c r="BZ114" s="312"/>
      <c r="CA114" s="312"/>
      <c r="CB114" s="312"/>
      <c r="CC114" s="312"/>
      <c r="CD114" s="312"/>
      <c r="CE114" s="312"/>
      <c r="CF114" s="312"/>
      <c r="CG114" s="312"/>
      <c r="CH114" s="312"/>
      <c r="CI114" s="312"/>
      <c r="CJ114" s="312"/>
      <c r="CK114" s="312"/>
      <c r="CL114" s="312"/>
      <c r="CM114" s="312"/>
      <c r="CN114" s="312"/>
      <c r="CO114" s="312"/>
      <c r="CP114" s="312"/>
      <c r="CQ114" s="312"/>
      <c r="CR114" s="312"/>
      <c r="CS114" s="312"/>
      <c r="CT114" s="312"/>
      <c r="CU114" s="312"/>
      <c r="CV114" s="312"/>
      <c r="CW114" s="312"/>
      <c r="CX114" s="312"/>
      <c r="CY114" s="312"/>
      <c r="CZ114" s="312"/>
      <c r="DA114" s="312"/>
      <c r="DB114" s="312"/>
      <c r="DC114" s="312"/>
      <c r="DD114" s="312"/>
      <c r="DE114" s="312"/>
      <c r="DF114" s="312"/>
      <c r="DG114" s="312"/>
      <c r="DH114" s="312"/>
      <c r="DI114" s="312"/>
      <c r="DJ114" s="312"/>
      <c r="DK114" s="312"/>
      <c r="DL114" s="312"/>
      <c r="DM114" s="312"/>
      <c r="DN114" s="312"/>
      <c r="DO114" s="312"/>
      <c r="DP114" s="312"/>
      <c r="DQ114" s="312"/>
      <c r="DR114" s="312"/>
      <c r="DS114" s="312"/>
      <c r="DT114" s="312"/>
      <c r="DU114" s="312"/>
      <c r="DV114" s="312"/>
      <c r="DW114" s="312"/>
      <c r="DX114" s="312"/>
      <c r="DY114" s="312"/>
      <c r="DZ114" s="312"/>
      <c r="EA114" s="312"/>
      <c r="EB114" s="312"/>
      <c r="EC114" s="312"/>
      <c r="ED114" s="312"/>
      <c r="EE114" s="312"/>
      <c r="EF114" s="312"/>
      <c r="EG114" s="312"/>
      <c r="EH114" s="312"/>
      <c r="EI114" s="312"/>
      <c r="EJ114" s="312"/>
      <c r="EK114" s="312"/>
      <c r="EL114" s="312"/>
      <c r="EM114" s="312"/>
      <c r="EN114" s="312"/>
      <c r="EO114" s="312"/>
      <c r="EP114" s="312"/>
      <c r="EQ114" s="312"/>
      <c r="ER114" s="312"/>
      <c r="ES114" s="312"/>
      <c r="ET114" s="312"/>
      <c r="EU114" s="312"/>
      <c r="EV114" s="312"/>
      <c r="EW114" s="312"/>
      <c r="EX114" s="312"/>
      <c r="EY114" s="312"/>
      <c r="EZ114" s="312"/>
      <c r="FA114" s="312"/>
      <c r="FB114" s="312"/>
      <c r="FC114" s="312"/>
      <c r="FD114" s="312"/>
      <c r="FE114" s="312"/>
      <c r="FF114" s="312"/>
      <c r="FG114" s="312"/>
      <c r="FH114" s="312"/>
      <c r="FI114" s="312"/>
      <c r="FJ114" s="312"/>
      <c r="FK114" s="312"/>
      <c r="FL114" s="312"/>
      <c r="FM114" s="312"/>
      <c r="FN114" s="312"/>
      <c r="FO114" s="312"/>
      <c r="FP114" s="312"/>
      <c r="FQ114" s="312"/>
      <c r="FR114" s="312"/>
      <c r="FS114" s="312"/>
      <c r="FT114" s="312"/>
      <c r="FU114" s="312"/>
      <c r="FV114" s="312"/>
      <c r="FW114" s="312"/>
      <c r="FX114" s="312"/>
      <c r="FY114" s="312"/>
      <c r="FZ114" s="312"/>
      <c r="GA114" s="312"/>
      <c r="GB114" s="312"/>
      <c r="GC114" s="312"/>
      <c r="GD114" s="312"/>
      <c r="GE114" s="312"/>
      <c r="GF114" s="312"/>
      <c r="GG114" s="312"/>
      <c r="GH114" s="312"/>
      <c r="GI114" s="312"/>
      <c r="GJ114" s="312"/>
      <c r="GK114" s="312"/>
      <c r="GL114" s="312"/>
      <c r="GM114" s="312"/>
      <c r="GN114" s="312"/>
      <c r="GO114" s="312"/>
      <c r="GP114" s="312"/>
      <c r="GQ114" s="312"/>
      <c r="GR114" s="312"/>
      <c r="GS114" s="312"/>
      <c r="GT114" s="312"/>
      <c r="GU114" s="312"/>
      <c r="GV114" s="312"/>
      <c r="GW114" s="312"/>
      <c r="GX114" s="312"/>
      <c r="GY114" s="312"/>
    </row>
    <row r="115" spans="2:207" ht="15.75" x14ac:dyDescent="0.25">
      <c r="B115" s="316">
        <f t="shared" si="20"/>
        <v>85</v>
      </c>
      <c r="C115" s="330">
        <f>'סיכום לוועדה'!B115</f>
        <v>1001346707</v>
      </c>
      <c r="D115" s="330">
        <f>'סיכום לוועדה'!C115</f>
        <v>1001277143</v>
      </c>
      <c r="E115" s="330">
        <f>'סיכום לוועדה'!D115</f>
        <v>40221541</v>
      </c>
      <c r="F115" s="330">
        <f>'סיכום לוועדה'!E115</f>
        <v>20000201</v>
      </c>
      <c r="G115" s="330" t="str">
        <f>'סיכום לוועדה'!F115</f>
        <v>תל אביב -יפו</v>
      </c>
      <c r="H115" s="317" t="str">
        <f>'סיכום לוועדה'!G115</f>
        <v>מרכז פליציה בלומנטל למוזיקה</v>
      </c>
      <c r="I115" s="318">
        <f>'סיכום לוועדה'!U115</f>
        <v>76000</v>
      </c>
      <c r="J115" s="319">
        <f>'סיכום לוועדה'!T115</f>
        <v>8822.9498961924583</v>
      </c>
      <c r="K115" s="320">
        <f t="shared" si="21"/>
        <v>0</v>
      </c>
      <c r="L115" s="319">
        <f t="shared" si="22"/>
        <v>8822.9498961924583</v>
      </c>
      <c r="M115" s="331">
        <f>'תחום תמיכה ב'!AF115</f>
        <v>4.995498959685449E-5</v>
      </c>
      <c r="N115" s="319">
        <f t="shared" si="19"/>
        <v>9673.9087619530219</v>
      </c>
      <c r="O115" s="321">
        <f t="shared" si="23"/>
        <v>0</v>
      </c>
      <c r="P115" s="322">
        <f t="shared" si="24"/>
        <v>9673.9087619530219</v>
      </c>
      <c r="Q115" s="322">
        <f t="shared" si="25"/>
        <v>9678.3135481066183</v>
      </c>
      <c r="R115" s="321">
        <f t="shared" si="26"/>
        <v>0</v>
      </c>
      <c r="S115" s="322">
        <f t="shared" si="27"/>
        <v>9678.3135481066183</v>
      </c>
      <c r="T115" s="322">
        <f t="shared" si="28"/>
        <v>9678.3135481066001</v>
      </c>
      <c r="U115" s="321">
        <f t="shared" si="29"/>
        <v>0</v>
      </c>
      <c r="V115" s="322">
        <f t="shared" si="30"/>
        <v>9678.3135481066001</v>
      </c>
      <c r="W115" s="322">
        <f t="shared" si="31"/>
        <v>9678.3135481066038</v>
      </c>
      <c r="X115" s="321">
        <f t="shared" si="32"/>
        <v>0</v>
      </c>
      <c r="Y115" s="322">
        <f t="shared" si="33"/>
        <v>9678.3135481066038</v>
      </c>
      <c r="Z115" s="322">
        <f t="shared" si="34"/>
        <v>9678.313548106602</v>
      </c>
      <c r="AA115" s="323">
        <f t="shared" si="35"/>
        <v>9678.313548106602</v>
      </c>
      <c r="AB115" s="323"/>
      <c r="AC115" s="323"/>
      <c r="AD115" s="323"/>
      <c r="AE115" s="323"/>
      <c r="AF115" s="324">
        <f t="shared" si="36"/>
        <v>5.5425606991902974E-5</v>
      </c>
      <c r="AG115" s="312"/>
      <c r="AH115" s="312"/>
      <c r="AI115" s="325">
        <f t="shared" si="37"/>
        <v>1</v>
      </c>
      <c r="AJ115" s="312"/>
      <c r="AK115" s="312"/>
      <c r="AL115" s="312"/>
      <c r="AM115" s="312"/>
      <c r="AN115" s="312"/>
      <c r="AO115" s="312"/>
      <c r="AP115" s="312"/>
      <c r="AQ115" s="312"/>
      <c r="AR115" s="312"/>
      <c r="AS115" s="312"/>
      <c r="AT115" s="312"/>
      <c r="AU115" s="312"/>
      <c r="AV115" s="312"/>
      <c r="AW115" s="312"/>
      <c r="AX115" s="312"/>
      <c r="AY115" s="312"/>
      <c r="AZ115" s="312"/>
      <c r="BA115" s="312"/>
      <c r="BB115" s="312"/>
      <c r="BC115" s="312"/>
      <c r="BD115" s="312"/>
      <c r="BE115" s="312"/>
      <c r="BF115" s="312"/>
      <c r="BG115" s="312"/>
      <c r="BH115" s="312"/>
      <c r="BI115" s="312"/>
      <c r="BJ115" s="312"/>
      <c r="BK115" s="312"/>
      <c r="BL115" s="312"/>
      <c r="BM115" s="312"/>
      <c r="BN115" s="312"/>
      <c r="BO115" s="312"/>
      <c r="BP115" s="312"/>
      <c r="BQ115" s="312"/>
      <c r="BR115" s="312"/>
      <c r="BS115" s="312"/>
      <c r="BT115" s="312"/>
      <c r="BU115" s="312"/>
      <c r="BV115" s="312"/>
      <c r="BW115" s="312"/>
      <c r="BX115" s="312"/>
      <c r="BY115" s="312"/>
      <c r="BZ115" s="312"/>
      <c r="CA115" s="312"/>
      <c r="CB115" s="312"/>
      <c r="CC115" s="312"/>
      <c r="CD115" s="312"/>
      <c r="CE115" s="312"/>
      <c r="CF115" s="312"/>
      <c r="CG115" s="312"/>
      <c r="CH115" s="312"/>
      <c r="CI115" s="312"/>
      <c r="CJ115" s="312"/>
      <c r="CK115" s="312"/>
      <c r="CL115" s="312"/>
      <c r="CM115" s="312"/>
      <c r="CN115" s="312"/>
      <c r="CO115" s="312"/>
      <c r="CP115" s="312"/>
      <c r="CQ115" s="312"/>
      <c r="CR115" s="312"/>
      <c r="CS115" s="312"/>
      <c r="CT115" s="312"/>
      <c r="CU115" s="312"/>
      <c r="CV115" s="312"/>
      <c r="CW115" s="312"/>
      <c r="CX115" s="312"/>
      <c r="CY115" s="312"/>
      <c r="CZ115" s="312"/>
      <c r="DA115" s="312"/>
      <c r="DB115" s="312"/>
      <c r="DC115" s="312"/>
      <c r="DD115" s="312"/>
      <c r="DE115" s="312"/>
      <c r="DF115" s="312"/>
      <c r="DG115" s="312"/>
      <c r="DH115" s="312"/>
      <c r="DI115" s="312"/>
      <c r="DJ115" s="312"/>
      <c r="DK115" s="312"/>
      <c r="DL115" s="312"/>
      <c r="DM115" s="312"/>
      <c r="DN115" s="312"/>
      <c r="DO115" s="312"/>
      <c r="DP115" s="312"/>
      <c r="DQ115" s="312"/>
      <c r="DR115" s="312"/>
      <c r="DS115" s="312"/>
      <c r="DT115" s="312"/>
      <c r="DU115" s="312"/>
      <c r="DV115" s="312"/>
      <c r="DW115" s="312"/>
      <c r="DX115" s="312"/>
      <c r="DY115" s="312"/>
      <c r="DZ115" s="312"/>
      <c r="EA115" s="312"/>
      <c r="EB115" s="312"/>
      <c r="EC115" s="312"/>
      <c r="ED115" s="312"/>
      <c r="EE115" s="312"/>
      <c r="EF115" s="312"/>
      <c r="EG115" s="312"/>
      <c r="EH115" s="312"/>
      <c r="EI115" s="312"/>
      <c r="EJ115" s="312"/>
      <c r="EK115" s="312"/>
      <c r="EL115" s="312"/>
      <c r="EM115" s="312"/>
      <c r="EN115" s="312"/>
      <c r="EO115" s="312"/>
      <c r="EP115" s="312"/>
      <c r="EQ115" s="312"/>
      <c r="ER115" s="312"/>
      <c r="ES115" s="312"/>
      <c r="ET115" s="312"/>
      <c r="EU115" s="312"/>
      <c r="EV115" s="312"/>
      <c r="EW115" s="312"/>
      <c r="EX115" s="312"/>
      <c r="EY115" s="312"/>
      <c r="EZ115" s="312"/>
      <c r="FA115" s="312"/>
      <c r="FB115" s="312"/>
      <c r="FC115" s="312"/>
      <c r="FD115" s="312"/>
      <c r="FE115" s="312"/>
      <c r="FF115" s="312"/>
      <c r="FG115" s="312"/>
      <c r="FH115" s="312"/>
      <c r="FI115" s="312"/>
      <c r="FJ115" s="312"/>
      <c r="FK115" s="312"/>
      <c r="FL115" s="312"/>
      <c r="FM115" s="312"/>
      <c r="FN115" s="312"/>
      <c r="FO115" s="312"/>
      <c r="FP115" s="312"/>
      <c r="FQ115" s="312"/>
      <c r="FR115" s="312"/>
      <c r="FS115" s="312"/>
      <c r="FT115" s="312"/>
      <c r="FU115" s="312"/>
      <c r="FV115" s="312"/>
      <c r="FW115" s="312"/>
      <c r="FX115" s="312"/>
      <c r="FY115" s="312"/>
      <c r="FZ115" s="312"/>
      <c r="GA115" s="312"/>
      <c r="GB115" s="312"/>
      <c r="GC115" s="312"/>
      <c r="GD115" s="312"/>
      <c r="GE115" s="312"/>
      <c r="GF115" s="312"/>
      <c r="GG115" s="312"/>
      <c r="GH115" s="312"/>
      <c r="GI115" s="312"/>
      <c r="GJ115" s="312"/>
      <c r="GK115" s="312"/>
      <c r="GL115" s="312"/>
      <c r="GM115" s="312"/>
      <c r="GN115" s="312"/>
      <c r="GO115" s="312"/>
      <c r="GP115" s="312"/>
      <c r="GQ115" s="312"/>
      <c r="GR115" s="312"/>
      <c r="GS115" s="312"/>
      <c r="GT115" s="312"/>
      <c r="GU115" s="312"/>
      <c r="GV115" s="312"/>
      <c r="GW115" s="312"/>
      <c r="GX115" s="312"/>
      <c r="GY115" s="312"/>
    </row>
    <row r="116" spans="2:207" ht="15.75" x14ac:dyDescent="0.25">
      <c r="B116" s="316">
        <f t="shared" si="20"/>
        <v>86</v>
      </c>
      <c r="C116" s="330">
        <f>'סיכום לוועדה'!B116</f>
        <v>1001346708</v>
      </c>
      <c r="D116" s="330">
        <f>'סיכום לוועדה'!C116</f>
        <v>1001277166</v>
      </c>
      <c r="E116" s="330">
        <f>'סיכום לוועדה'!D116</f>
        <v>40221541</v>
      </c>
      <c r="F116" s="330">
        <f>'סיכום לוועדה'!E116</f>
        <v>20000201</v>
      </c>
      <c r="G116" s="330" t="str">
        <f>'סיכום לוועדה'!F116</f>
        <v>תל אביב -יפו</v>
      </c>
      <c r="H116" s="317" t="str">
        <f>'סיכום לוועדה'!G116</f>
        <v>מרכז פליציה בלומנטל למוזיקה</v>
      </c>
      <c r="I116" s="318">
        <f>'סיכום לוועדה'!U116</f>
        <v>110000</v>
      </c>
      <c r="J116" s="319">
        <f>'סיכום לוועדה'!T116</f>
        <v>32531.683432319031</v>
      </c>
      <c r="K116" s="320">
        <f t="shared" si="21"/>
        <v>0</v>
      </c>
      <c r="L116" s="319">
        <f t="shared" si="22"/>
        <v>32531.683432319031</v>
      </c>
      <c r="M116" s="331">
        <f>'תחום תמיכה ב'!AF116</f>
        <v>2.0419656587965725E-4</v>
      </c>
      <c r="N116" s="319">
        <f t="shared" si="19"/>
        <v>36010.072267857824</v>
      </c>
      <c r="O116" s="321">
        <f t="shared" si="23"/>
        <v>0</v>
      </c>
      <c r="P116" s="322">
        <f t="shared" si="24"/>
        <v>36010.072267857824</v>
      </c>
      <c r="Q116" s="322">
        <f t="shared" si="25"/>
        <v>36026.468604811023</v>
      </c>
      <c r="R116" s="321">
        <f t="shared" si="26"/>
        <v>0</v>
      </c>
      <c r="S116" s="322">
        <f t="shared" si="27"/>
        <v>36026.468604811023</v>
      </c>
      <c r="T116" s="322">
        <f t="shared" si="28"/>
        <v>36026.468604810951</v>
      </c>
      <c r="U116" s="321">
        <f t="shared" si="29"/>
        <v>0</v>
      </c>
      <c r="V116" s="322">
        <f t="shared" si="30"/>
        <v>36026.468604810951</v>
      </c>
      <c r="W116" s="322">
        <f t="shared" si="31"/>
        <v>36026.468604810965</v>
      </c>
      <c r="X116" s="321">
        <f t="shared" si="32"/>
        <v>0</v>
      </c>
      <c r="Y116" s="322">
        <f t="shared" si="33"/>
        <v>36026.468604810965</v>
      </c>
      <c r="Z116" s="322">
        <f t="shared" si="34"/>
        <v>36026.468604810958</v>
      </c>
      <c r="AA116" s="323">
        <f t="shared" si="35"/>
        <v>36026.468604810958</v>
      </c>
      <c r="AB116" s="323"/>
      <c r="AC116" s="323"/>
      <c r="AD116" s="323"/>
      <c r="AE116" s="323"/>
      <c r="AF116" s="324">
        <f t="shared" si="36"/>
        <v>2.0631578841409011E-4</v>
      </c>
      <c r="AG116" s="312"/>
      <c r="AH116" s="312"/>
      <c r="AI116" s="325">
        <f t="shared" si="37"/>
        <v>1</v>
      </c>
      <c r="AJ116" s="312"/>
      <c r="AK116" s="312"/>
      <c r="AL116" s="312"/>
      <c r="AM116" s="312"/>
      <c r="AN116" s="312"/>
      <c r="AO116" s="312"/>
      <c r="AP116" s="312"/>
      <c r="AQ116" s="312"/>
      <c r="AR116" s="312"/>
      <c r="AS116" s="312"/>
      <c r="AT116" s="312"/>
      <c r="AU116" s="312"/>
      <c r="AV116" s="312"/>
      <c r="AW116" s="312"/>
      <c r="AX116" s="312"/>
      <c r="AY116" s="312"/>
      <c r="AZ116" s="312"/>
      <c r="BA116" s="312"/>
      <c r="BB116" s="312"/>
      <c r="BC116" s="312"/>
      <c r="BD116" s="312"/>
      <c r="BE116" s="312"/>
      <c r="BF116" s="312"/>
      <c r="BG116" s="312"/>
      <c r="BH116" s="312"/>
      <c r="BI116" s="312"/>
      <c r="BJ116" s="312"/>
      <c r="BK116" s="312"/>
      <c r="BL116" s="312"/>
      <c r="BM116" s="312"/>
      <c r="BN116" s="312"/>
      <c r="BO116" s="312"/>
      <c r="BP116" s="312"/>
      <c r="BQ116" s="312"/>
      <c r="BR116" s="312"/>
      <c r="BS116" s="312"/>
      <c r="BT116" s="312"/>
      <c r="BU116" s="312"/>
      <c r="BV116" s="312"/>
      <c r="BW116" s="312"/>
      <c r="BX116" s="312"/>
      <c r="BY116" s="312"/>
      <c r="BZ116" s="312"/>
      <c r="CA116" s="312"/>
      <c r="CB116" s="312"/>
      <c r="CC116" s="312"/>
      <c r="CD116" s="312"/>
      <c r="CE116" s="312"/>
      <c r="CF116" s="312"/>
      <c r="CG116" s="312"/>
      <c r="CH116" s="312"/>
      <c r="CI116" s="312"/>
      <c r="CJ116" s="312"/>
      <c r="CK116" s="312"/>
      <c r="CL116" s="312"/>
      <c r="CM116" s="312"/>
      <c r="CN116" s="312"/>
      <c r="CO116" s="312"/>
      <c r="CP116" s="312"/>
      <c r="CQ116" s="312"/>
      <c r="CR116" s="312"/>
      <c r="CS116" s="312"/>
      <c r="CT116" s="312"/>
      <c r="CU116" s="312"/>
      <c r="CV116" s="312"/>
      <c r="CW116" s="312"/>
      <c r="CX116" s="312"/>
      <c r="CY116" s="312"/>
      <c r="CZ116" s="312"/>
      <c r="DA116" s="312"/>
      <c r="DB116" s="312"/>
      <c r="DC116" s="312"/>
      <c r="DD116" s="312"/>
      <c r="DE116" s="312"/>
      <c r="DF116" s="312"/>
      <c r="DG116" s="312"/>
      <c r="DH116" s="312"/>
      <c r="DI116" s="312"/>
      <c r="DJ116" s="312"/>
      <c r="DK116" s="312"/>
      <c r="DL116" s="312"/>
      <c r="DM116" s="312"/>
      <c r="DN116" s="312"/>
      <c r="DO116" s="312"/>
      <c r="DP116" s="312"/>
      <c r="DQ116" s="312"/>
      <c r="DR116" s="312"/>
      <c r="DS116" s="312"/>
      <c r="DT116" s="312"/>
      <c r="DU116" s="312"/>
      <c r="DV116" s="312"/>
      <c r="DW116" s="312"/>
      <c r="DX116" s="312"/>
      <c r="DY116" s="312"/>
      <c r="DZ116" s="312"/>
      <c r="EA116" s="312"/>
      <c r="EB116" s="312"/>
      <c r="EC116" s="312"/>
      <c r="ED116" s="312"/>
      <c r="EE116" s="312"/>
      <c r="EF116" s="312"/>
      <c r="EG116" s="312"/>
      <c r="EH116" s="312"/>
      <c r="EI116" s="312"/>
      <c r="EJ116" s="312"/>
      <c r="EK116" s="312"/>
      <c r="EL116" s="312"/>
      <c r="EM116" s="312"/>
      <c r="EN116" s="312"/>
      <c r="EO116" s="312"/>
      <c r="EP116" s="312"/>
      <c r="EQ116" s="312"/>
      <c r="ER116" s="312"/>
      <c r="ES116" s="312"/>
      <c r="ET116" s="312"/>
      <c r="EU116" s="312"/>
      <c r="EV116" s="312"/>
      <c r="EW116" s="312"/>
      <c r="EX116" s="312"/>
      <c r="EY116" s="312"/>
      <c r="EZ116" s="312"/>
      <c r="FA116" s="312"/>
      <c r="FB116" s="312"/>
      <c r="FC116" s="312"/>
      <c r="FD116" s="312"/>
      <c r="FE116" s="312"/>
      <c r="FF116" s="312"/>
      <c r="FG116" s="312"/>
      <c r="FH116" s="312"/>
      <c r="FI116" s="312"/>
      <c r="FJ116" s="312"/>
      <c r="FK116" s="312"/>
      <c r="FL116" s="312"/>
      <c r="FM116" s="312"/>
      <c r="FN116" s="312"/>
      <c r="FO116" s="312"/>
      <c r="FP116" s="312"/>
      <c r="FQ116" s="312"/>
      <c r="FR116" s="312"/>
      <c r="FS116" s="312"/>
      <c r="FT116" s="312"/>
      <c r="FU116" s="312"/>
      <c r="FV116" s="312"/>
      <c r="FW116" s="312"/>
      <c r="FX116" s="312"/>
      <c r="FY116" s="312"/>
      <c r="FZ116" s="312"/>
      <c r="GA116" s="312"/>
      <c r="GB116" s="312"/>
      <c r="GC116" s="312"/>
      <c r="GD116" s="312"/>
      <c r="GE116" s="312"/>
      <c r="GF116" s="312"/>
      <c r="GG116" s="312"/>
      <c r="GH116" s="312"/>
      <c r="GI116" s="312"/>
      <c r="GJ116" s="312"/>
      <c r="GK116" s="312"/>
      <c r="GL116" s="312"/>
      <c r="GM116" s="312"/>
      <c r="GN116" s="312"/>
      <c r="GO116" s="312"/>
      <c r="GP116" s="312"/>
      <c r="GQ116" s="312"/>
      <c r="GR116" s="312"/>
      <c r="GS116" s="312"/>
      <c r="GT116" s="312"/>
      <c r="GU116" s="312"/>
      <c r="GV116" s="312"/>
      <c r="GW116" s="312"/>
      <c r="GX116" s="312"/>
      <c r="GY116" s="312"/>
    </row>
    <row r="117" spans="2:207" ht="15.75" x14ac:dyDescent="0.25">
      <c r="B117" s="316">
        <f t="shared" si="20"/>
        <v>87</v>
      </c>
      <c r="C117" s="330">
        <f>'סיכום לוועדה'!B117</f>
        <v>1001346709</v>
      </c>
      <c r="D117" s="330">
        <f>'סיכום לוועדה'!C117</f>
        <v>1001277179</v>
      </c>
      <c r="E117" s="330">
        <f>'סיכום לוועדה'!D117</f>
        <v>40221541</v>
      </c>
      <c r="F117" s="330">
        <f>'סיכום לוועדה'!E117</f>
        <v>20000201</v>
      </c>
      <c r="G117" s="330" t="str">
        <f>'סיכום לוועדה'!F117</f>
        <v>תל אביב -יפו</v>
      </c>
      <c r="H117" s="317" t="str">
        <f>'סיכום לוועדה'!G117</f>
        <v>מרכז פליציה בלומנטל למוזיקה</v>
      </c>
      <c r="I117" s="318">
        <f>'סיכום לוועדה'!U117</f>
        <v>92000</v>
      </c>
      <c r="J117" s="319">
        <f>'סיכום לוועדה'!T117</f>
        <v>12187.965504059954</v>
      </c>
      <c r="K117" s="320">
        <f t="shared" si="21"/>
        <v>0</v>
      </c>
      <c r="L117" s="319">
        <f t="shared" si="22"/>
        <v>12187.965504059954</v>
      </c>
      <c r="M117" s="331">
        <f>'תחום תמיכה ב'!AF117</f>
        <v>7.6308650679608435E-5</v>
      </c>
      <c r="N117" s="319">
        <f t="shared" si="19"/>
        <v>13487.846123675325</v>
      </c>
      <c r="O117" s="321">
        <f t="shared" si="23"/>
        <v>0</v>
      </c>
      <c r="P117" s="322">
        <f t="shared" si="24"/>
        <v>13487.846123675325</v>
      </c>
      <c r="Q117" s="322">
        <f t="shared" si="25"/>
        <v>13493.987496238302</v>
      </c>
      <c r="R117" s="321">
        <f t="shared" si="26"/>
        <v>0</v>
      </c>
      <c r="S117" s="322">
        <f t="shared" si="27"/>
        <v>13493.987496238302</v>
      </c>
      <c r="T117" s="322">
        <f t="shared" si="28"/>
        <v>13493.987496238275</v>
      </c>
      <c r="U117" s="321">
        <f t="shared" si="29"/>
        <v>0</v>
      </c>
      <c r="V117" s="322">
        <f t="shared" si="30"/>
        <v>13493.987496238275</v>
      </c>
      <c r="W117" s="322">
        <f t="shared" si="31"/>
        <v>13493.987496238278</v>
      </c>
      <c r="X117" s="321">
        <f t="shared" si="32"/>
        <v>0</v>
      </c>
      <c r="Y117" s="322">
        <f t="shared" si="33"/>
        <v>13493.987496238278</v>
      </c>
      <c r="Z117" s="322">
        <f t="shared" si="34"/>
        <v>13493.987496238276</v>
      </c>
      <c r="AA117" s="323">
        <f t="shared" si="35"/>
        <v>13493.987496238276</v>
      </c>
      <c r="AB117" s="323"/>
      <c r="AC117" s="323"/>
      <c r="AD117" s="323"/>
      <c r="AE117" s="323"/>
      <c r="AF117" s="324">
        <f t="shared" si="36"/>
        <v>7.7277145858378597E-5</v>
      </c>
      <c r="AG117" s="312"/>
      <c r="AH117" s="312"/>
      <c r="AI117" s="325">
        <f t="shared" si="37"/>
        <v>1</v>
      </c>
      <c r="AJ117" s="312"/>
      <c r="AK117" s="312"/>
      <c r="AL117" s="312"/>
      <c r="AM117" s="312"/>
      <c r="AN117" s="312"/>
      <c r="AO117" s="312"/>
      <c r="AP117" s="312"/>
      <c r="AQ117" s="312"/>
      <c r="AR117" s="312"/>
      <c r="AS117" s="312"/>
      <c r="AT117" s="312"/>
      <c r="AU117" s="312"/>
      <c r="AV117" s="312"/>
      <c r="AW117" s="312"/>
      <c r="AX117" s="312"/>
      <c r="AY117" s="312"/>
      <c r="AZ117" s="312"/>
      <c r="BA117" s="312"/>
      <c r="BB117" s="312"/>
      <c r="BC117" s="312"/>
      <c r="BD117" s="312"/>
      <c r="BE117" s="312"/>
      <c r="BF117" s="312"/>
      <c r="BG117" s="312"/>
      <c r="BH117" s="312"/>
      <c r="BI117" s="312"/>
      <c r="BJ117" s="312"/>
      <c r="BK117" s="312"/>
      <c r="BL117" s="312"/>
      <c r="BM117" s="312"/>
      <c r="BN117" s="312"/>
      <c r="BO117" s="312"/>
      <c r="BP117" s="312"/>
      <c r="BQ117" s="312"/>
      <c r="BR117" s="312"/>
      <c r="BS117" s="312"/>
      <c r="BT117" s="312"/>
      <c r="BU117" s="312"/>
      <c r="BV117" s="312"/>
      <c r="BW117" s="312"/>
      <c r="BX117" s="312"/>
      <c r="BY117" s="312"/>
      <c r="BZ117" s="312"/>
      <c r="CA117" s="312"/>
      <c r="CB117" s="312"/>
      <c r="CC117" s="312"/>
      <c r="CD117" s="312"/>
      <c r="CE117" s="312"/>
      <c r="CF117" s="312"/>
      <c r="CG117" s="312"/>
      <c r="CH117" s="312"/>
      <c r="CI117" s="312"/>
      <c r="CJ117" s="312"/>
      <c r="CK117" s="312"/>
      <c r="CL117" s="312"/>
      <c r="CM117" s="312"/>
      <c r="CN117" s="312"/>
      <c r="CO117" s="312"/>
      <c r="CP117" s="312"/>
      <c r="CQ117" s="312"/>
      <c r="CR117" s="312"/>
      <c r="CS117" s="312"/>
      <c r="CT117" s="312"/>
      <c r="CU117" s="312"/>
      <c r="CV117" s="312"/>
      <c r="CW117" s="312"/>
      <c r="CX117" s="312"/>
      <c r="CY117" s="312"/>
      <c r="CZ117" s="312"/>
      <c r="DA117" s="312"/>
      <c r="DB117" s="312"/>
      <c r="DC117" s="312"/>
      <c r="DD117" s="312"/>
      <c r="DE117" s="312"/>
      <c r="DF117" s="312"/>
      <c r="DG117" s="312"/>
      <c r="DH117" s="312"/>
      <c r="DI117" s="312"/>
      <c r="DJ117" s="312"/>
      <c r="DK117" s="312"/>
      <c r="DL117" s="312"/>
      <c r="DM117" s="312"/>
      <c r="DN117" s="312"/>
      <c r="DO117" s="312"/>
      <c r="DP117" s="312"/>
      <c r="DQ117" s="312"/>
      <c r="DR117" s="312"/>
      <c r="DS117" s="312"/>
      <c r="DT117" s="312"/>
      <c r="DU117" s="312"/>
      <c r="DV117" s="312"/>
      <c r="DW117" s="312"/>
      <c r="DX117" s="312"/>
      <c r="DY117" s="312"/>
      <c r="DZ117" s="312"/>
      <c r="EA117" s="312"/>
      <c r="EB117" s="312"/>
      <c r="EC117" s="312"/>
      <c r="ED117" s="312"/>
      <c r="EE117" s="312"/>
      <c r="EF117" s="312"/>
      <c r="EG117" s="312"/>
      <c r="EH117" s="312"/>
      <c r="EI117" s="312"/>
      <c r="EJ117" s="312"/>
      <c r="EK117" s="312"/>
      <c r="EL117" s="312"/>
      <c r="EM117" s="312"/>
      <c r="EN117" s="312"/>
      <c r="EO117" s="312"/>
      <c r="EP117" s="312"/>
      <c r="EQ117" s="312"/>
      <c r="ER117" s="312"/>
      <c r="ES117" s="312"/>
      <c r="ET117" s="312"/>
      <c r="EU117" s="312"/>
      <c r="EV117" s="312"/>
      <c r="EW117" s="312"/>
      <c r="EX117" s="312"/>
      <c r="EY117" s="312"/>
      <c r="EZ117" s="312"/>
      <c r="FA117" s="312"/>
      <c r="FB117" s="312"/>
      <c r="FC117" s="312"/>
      <c r="FD117" s="312"/>
      <c r="FE117" s="312"/>
      <c r="FF117" s="312"/>
      <c r="FG117" s="312"/>
      <c r="FH117" s="312"/>
      <c r="FI117" s="312"/>
      <c r="FJ117" s="312"/>
      <c r="FK117" s="312"/>
      <c r="FL117" s="312"/>
      <c r="FM117" s="312"/>
      <c r="FN117" s="312"/>
      <c r="FO117" s="312"/>
      <c r="FP117" s="312"/>
      <c r="FQ117" s="312"/>
      <c r="FR117" s="312"/>
      <c r="FS117" s="312"/>
      <c r="FT117" s="312"/>
      <c r="FU117" s="312"/>
      <c r="FV117" s="312"/>
      <c r="FW117" s="312"/>
      <c r="FX117" s="312"/>
      <c r="FY117" s="312"/>
      <c r="FZ117" s="312"/>
      <c r="GA117" s="312"/>
      <c r="GB117" s="312"/>
      <c r="GC117" s="312"/>
      <c r="GD117" s="312"/>
      <c r="GE117" s="312"/>
      <c r="GF117" s="312"/>
      <c r="GG117" s="312"/>
      <c r="GH117" s="312"/>
      <c r="GI117" s="312"/>
      <c r="GJ117" s="312"/>
      <c r="GK117" s="312"/>
      <c r="GL117" s="312"/>
      <c r="GM117" s="312"/>
      <c r="GN117" s="312"/>
      <c r="GO117" s="312"/>
      <c r="GP117" s="312"/>
      <c r="GQ117" s="312"/>
      <c r="GR117" s="312"/>
      <c r="GS117" s="312"/>
      <c r="GT117" s="312"/>
      <c r="GU117" s="312"/>
      <c r="GV117" s="312"/>
      <c r="GW117" s="312"/>
      <c r="GX117" s="312"/>
      <c r="GY117" s="312"/>
    </row>
    <row r="118" spans="2:207" ht="15.75" x14ac:dyDescent="0.25">
      <c r="B118" s="316">
        <f t="shared" si="20"/>
        <v>88</v>
      </c>
      <c r="C118" s="330">
        <f>'סיכום לוועדה'!B118</f>
        <v>1001346710</v>
      </c>
      <c r="D118" s="330">
        <f>'סיכום לוועדה'!C118</f>
        <v>1001277161</v>
      </c>
      <c r="E118" s="330">
        <f>'סיכום לוועדה'!D118</f>
        <v>40221541</v>
      </c>
      <c r="F118" s="330">
        <f>'סיכום לוועדה'!E118</f>
        <v>20000201</v>
      </c>
      <c r="G118" s="330" t="str">
        <f>'סיכום לוועדה'!F118</f>
        <v>תל אביב -יפו</v>
      </c>
      <c r="H118" s="317" t="str">
        <f>'סיכום לוועדה'!G118</f>
        <v>מרכז פליציה בלומנטל למוזיקה</v>
      </c>
      <c r="I118" s="318">
        <f>'סיכום לוועדה'!U118</f>
        <v>82000</v>
      </c>
      <c r="J118" s="319">
        <f>'סיכום לוועדה'!T118</f>
        <v>3355.2556487021593</v>
      </c>
      <c r="K118" s="320">
        <f t="shared" si="21"/>
        <v>0</v>
      </c>
      <c r="L118" s="319">
        <f t="shared" si="22"/>
        <v>3355.2556487021593</v>
      </c>
      <c r="M118" s="331">
        <f>'תחום תמיכה ב'!AF118</f>
        <v>1.7179732903293501E-5</v>
      </c>
      <c r="N118" s="319">
        <f t="shared" si="19"/>
        <v>3647.904013628985</v>
      </c>
      <c r="O118" s="321">
        <f t="shared" si="23"/>
        <v>0</v>
      </c>
      <c r="P118" s="322">
        <f t="shared" si="24"/>
        <v>3647.904013628985</v>
      </c>
      <c r="Q118" s="322">
        <f t="shared" si="25"/>
        <v>3649.5650006699293</v>
      </c>
      <c r="R118" s="321">
        <f t="shared" si="26"/>
        <v>0</v>
      </c>
      <c r="S118" s="322">
        <f t="shared" si="27"/>
        <v>3649.5650006699293</v>
      </c>
      <c r="T118" s="322">
        <f t="shared" si="28"/>
        <v>3649.5650006699216</v>
      </c>
      <c r="U118" s="321">
        <f t="shared" si="29"/>
        <v>0</v>
      </c>
      <c r="V118" s="322">
        <f t="shared" si="30"/>
        <v>3649.5650006699216</v>
      </c>
      <c r="W118" s="322">
        <f t="shared" si="31"/>
        <v>3649.5650006699229</v>
      </c>
      <c r="X118" s="321">
        <f t="shared" si="32"/>
        <v>0</v>
      </c>
      <c r="Y118" s="322">
        <f t="shared" si="33"/>
        <v>3649.5650006699229</v>
      </c>
      <c r="Z118" s="322">
        <f t="shared" si="34"/>
        <v>3649.5650006699225</v>
      </c>
      <c r="AA118" s="323">
        <f t="shared" si="35"/>
        <v>3649.5650006699225</v>
      </c>
      <c r="AB118" s="323"/>
      <c r="AC118" s="323"/>
      <c r="AD118" s="323"/>
      <c r="AE118" s="323"/>
      <c r="AF118" s="324">
        <f t="shared" si="36"/>
        <v>2.0900268875676979E-5</v>
      </c>
      <c r="AG118" s="312"/>
      <c r="AH118" s="312"/>
      <c r="AI118" s="325">
        <f t="shared" si="37"/>
        <v>1</v>
      </c>
      <c r="AJ118" s="312"/>
      <c r="AK118" s="312"/>
      <c r="AL118" s="312"/>
      <c r="AM118" s="312"/>
      <c r="AN118" s="312"/>
      <c r="AO118" s="312"/>
      <c r="AP118" s="312"/>
      <c r="AQ118" s="312"/>
      <c r="AR118" s="312"/>
      <c r="AS118" s="312"/>
      <c r="AT118" s="312"/>
      <c r="AU118" s="312"/>
      <c r="AV118" s="312"/>
      <c r="AW118" s="312"/>
      <c r="AX118" s="312"/>
      <c r="AY118" s="312"/>
      <c r="AZ118" s="312"/>
      <c r="BA118" s="312"/>
      <c r="BB118" s="312"/>
      <c r="BC118" s="312"/>
      <c r="BD118" s="312"/>
      <c r="BE118" s="312"/>
      <c r="BF118" s="312"/>
      <c r="BG118" s="312"/>
      <c r="BH118" s="312"/>
      <c r="BI118" s="312"/>
      <c r="BJ118" s="312"/>
      <c r="BK118" s="312"/>
      <c r="BL118" s="312"/>
      <c r="BM118" s="312"/>
      <c r="BN118" s="312"/>
      <c r="BO118" s="312"/>
      <c r="BP118" s="312"/>
      <c r="BQ118" s="312"/>
      <c r="BR118" s="312"/>
      <c r="BS118" s="312"/>
      <c r="BT118" s="312"/>
      <c r="BU118" s="312"/>
      <c r="BV118" s="312"/>
      <c r="BW118" s="312"/>
      <c r="BX118" s="312"/>
      <c r="BY118" s="312"/>
      <c r="BZ118" s="312"/>
      <c r="CA118" s="312"/>
      <c r="CB118" s="312"/>
      <c r="CC118" s="312"/>
      <c r="CD118" s="312"/>
      <c r="CE118" s="312"/>
      <c r="CF118" s="312"/>
      <c r="CG118" s="312"/>
      <c r="CH118" s="312"/>
      <c r="CI118" s="312"/>
      <c r="CJ118" s="312"/>
      <c r="CK118" s="312"/>
      <c r="CL118" s="312"/>
      <c r="CM118" s="312"/>
      <c r="CN118" s="312"/>
      <c r="CO118" s="312"/>
      <c r="CP118" s="312"/>
      <c r="CQ118" s="312"/>
      <c r="CR118" s="312"/>
      <c r="CS118" s="312"/>
      <c r="CT118" s="312"/>
      <c r="CU118" s="312"/>
      <c r="CV118" s="312"/>
      <c r="CW118" s="312"/>
      <c r="CX118" s="312"/>
      <c r="CY118" s="312"/>
      <c r="CZ118" s="312"/>
      <c r="DA118" s="312"/>
      <c r="DB118" s="312"/>
      <c r="DC118" s="312"/>
      <c r="DD118" s="312"/>
      <c r="DE118" s="312"/>
      <c r="DF118" s="312"/>
      <c r="DG118" s="312"/>
      <c r="DH118" s="312"/>
      <c r="DI118" s="312"/>
      <c r="DJ118" s="312"/>
      <c r="DK118" s="312"/>
      <c r="DL118" s="312"/>
      <c r="DM118" s="312"/>
      <c r="DN118" s="312"/>
      <c r="DO118" s="312"/>
      <c r="DP118" s="312"/>
      <c r="DQ118" s="312"/>
      <c r="DR118" s="312"/>
      <c r="DS118" s="312"/>
      <c r="DT118" s="312"/>
      <c r="DU118" s="312"/>
      <c r="DV118" s="312"/>
      <c r="DW118" s="312"/>
      <c r="DX118" s="312"/>
      <c r="DY118" s="312"/>
      <c r="DZ118" s="312"/>
      <c r="EA118" s="312"/>
      <c r="EB118" s="312"/>
      <c r="EC118" s="312"/>
      <c r="ED118" s="312"/>
      <c r="EE118" s="312"/>
      <c r="EF118" s="312"/>
      <c r="EG118" s="312"/>
      <c r="EH118" s="312"/>
      <c r="EI118" s="312"/>
      <c r="EJ118" s="312"/>
      <c r="EK118" s="312"/>
      <c r="EL118" s="312"/>
      <c r="EM118" s="312"/>
      <c r="EN118" s="312"/>
      <c r="EO118" s="312"/>
      <c r="EP118" s="312"/>
      <c r="EQ118" s="312"/>
      <c r="ER118" s="312"/>
      <c r="ES118" s="312"/>
      <c r="ET118" s="312"/>
      <c r="EU118" s="312"/>
      <c r="EV118" s="312"/>
      <c r="EW118" s="312"/>
      <c r="EX118" s="312"/>
      <c r="EY118" s="312"/>
      <c r="EZ118" s="312"/>
      <c r="FA118" s="312"/>
      <c r="FB118" s="312"/>
      <c r="FC118" s="312"/>
      <c r="FD118" s="312"/>
      <c r="FE118" s="312"/>
      <c r="FF118" s="312"/>
      <c r="FG118" s="312"/>
      <c r="FH118" s="312"/>
      <c r="FI118" s="312"/>
      <c r="FJ118" s="312"/>
      <c r="FK118" s="312"/>
      <c r="FL118" s="312"/>
      <c r="FM118" s="312"/>
      <c r="FN118" s="312"/>
      <c r="FO118" s="312"/>
      <c r="FP118" s="312"/>
      <c r="FQ118" s="312"/>
      <c r="FR118" s="312"/>
      <c r="FS118" s="312"/>
      <c r="FT118" s="312"/>
      <c r="FU118" s="312"/>
      <c r="FV118" s="312"/>
      <c r="FW118" s="312"/>
      <c r="FX118" s="312"/>
      <c r="FY118" s="312"/>
      <c r="FZ118" s="312"/>
      <c r="GA118" s="312"/>
      <c r="GB118" s="312"/>
      <c r="GC118" s="312"/>
      <c r="GD118" s="312"/>
      <c r="GE118" s="312"/>
      <c r="GF118" s="312"/>
      <c r="GG118" s="312"/>
      <c r="GH118" s="312"/>
      <c r="GI118" s="312"/>
      <c r="GJ118" s="312"/>
      <c r="GK118" s="312"/>
      <c r="GL118" s="312"/>
      <c r="GM118" s="312"/>
      <c r="GN118" s="312"/>
      <c r="GO118" s="312"/>
      <c r="GP118" s="312"/>
      <c r="GQ118" s="312"/>
      <c r="GR118" s="312"/>
      <c r="GS118" s="312"/>
      <c r="GT118" s="312"/>
      <c r="GU118" s="312"/>
      <c r="GV118" s="312"/>
      <c r="GW118" s="312"/>
      <c r="GX118" s="312"/>
      <c r="GY118" s="312"/>
    </row>
    <row r="119" spans="2:207" ht="15.75" x14ac:dyDescent="0.25">
      <c r="B119" s="316">
        <f t="shared" si="20"/>
        <v>89</v>
      </c>
      <c r="C119" s="330">
        <f>'סיכום לוועדה'!B119</f>
        <v>1001346712</v>
      </c>
      <c r="D119" s="330">
        <f>'סיכום לוועדה'!C119</f>
        <v>1001277159</v>
      </c>
      <c r="E119" s="330">
        <f>'סיכום לוועדה'!D119</f>
        <v>40221541</v>
      </c>
      <c r="F119" s="330">
        <f>'סיכום לוועדה'!E119</f>
        <v>20000201</v>
      </c>
      <c r="G119" s="330" t="str">
        <f>'סיכום לוועדה'!F119</f>
        <v>תל אביב -יפו</v>
      </c>
      <c r="H119" s="317" t="str">
        <f>'סיכום לוועדה'!G119</f>
        <v>מרכז פליציה בלומנטל למוזיקה</v>
      </c>
      <c r="I119" s="318">
        <f>'סיכום לוועדה'!U119</f>
        <v>85000</v>
      </c>
      <c r="J119" s="319">
        <f>'סיכום לוועדה'!T119</f>
        <v>11759.719645209694</v>
      </c>
      <c r="K119" s="320">
        <f t="shared" si="21"/>
        <v>0</v>
      </c>
      <c r="L119" s="319">
        <f t="shared" si="22"/>
        <v>11759.719645209694</v>
      </c>
      <c r="M119" s="331">
        <f>'תחום תמיכה ב'!AF119</f>
        <v>7.7846321017864661E-5</v>
      </c>
      <c r="N119" s="319">
        <f t="shared" si="19"/>
        <v>13085.793728531411</v>
      </c>
      <c r="O119" s="321">
        <f t="shared" si="23"/>
        <v>0</v>
      </c>
      <c r="P119" s="322">
        <f t="shared" si="24"/>
        <v>13085.793728531411</v>
      </c>
      <c r="Q119" s="322">
        <f t="shared" si="25"/>
        <v>13091.752036020413</v>
      </c>
      <c r="R119" s="321">
        <f t="shared" si="26"/>
        <v>0</v>
      </c>
      <c r="S119" s="322">
        <f t="shared" si="27"/>
        <v>13091.752036020413</v>
      </c>
      <c r="T119" s="322">
        <f t="shared" si="28"/>
        <v>13091.752036020385</v>
      </c>
      <c r="U119" s="321">
        <f t="shared" si="29"/>
        <v>0</v>
      </c>
      <c r="V119" s="322">
        <f t="shared" si="30"/>
        <v>13091.752036020385</v>
      </c>
      <c r="W119" s="322">
        <f t="shared" si="31"/>
        <v>13091.752036020391</v>
      </c>
      <c r="X119" s="321">
        <f t="shared" si="32"/>
        <v>0</v>
      </c>
      <c r="Y119" s="322">
        <f t="shared" si="33"/>
        <v>13091.752036020391</v>
      </c>
      <c r="Z119" s="322">
        <f t="shared" si="34"/>
        <v>13091.752036020387</v>
      </c>
      <c r="AA119" s="323">
        <f t="shared" si="35"/>
        <v>13091.752036020387</v>
      </c>
      <c r="AB119" s="323"/>
      <c r="AC119" s="323"/>
      <c r="AD119" s="323"/>
      <c r="AE119" s="323"/>
      <c r="AF119" s="324">
        <f t="shared" si="36"/>
        <v>7.4973630434391799E-5</v>
      </c>
      <c r="AG119" s="312"/>
      <c r="AH119" s="312"/>
      <c r="AI119" s="325">
        <f t="shared" si="37"/>
        <v>1</v>
      </c>
      <c r="AJ119" s="312"/>
      <c r="AK119" s="312"/>
      <c r="AL119" s="312"/>
      <c r="AM119" s="312"/>
      <c r="AN119" s="312"/>
      <c r="AO119" s="312"/>
      <c r="AP119" s="312"/>
      <c r="AQ119" s="312"/>
      <c r="AR119" s="312"/>
      <c r="AS119" s="312"/>
      <c r="AT119" s="312"/>
      <c r="AU119" s="312"/>
      <c r="AV119" s="312"/>
      <c r="AW119" s="312"/>
      <c r="AX119" s="312"/>
      <c r="AY119" s="312"/>
      <c r="AZ119" s="312"/>
      <c r="BA119" s="312"/>
      <c r="BB119" s="312"/>
      <c r="BC119" s="312"/>
      <c r="BD119" s="312"/>
      <c r="BE119" s="312"/>
      <c r="BF119" s="312"/>
      <c r="BG119" s="312"/>
      <c r="BH119" s="312"/>
      <c r="BI119" s="312"/>
      <c r="BJ119" s="312"/>
      <c r="BK119" s="312"/>
      <c r="BL119" s="312"/>
      <c r="BM119" s="312"/>
      <c r="BN119" s="312"/>
      <c r="BO119" s="312"/>
      <c r="BP119" s="312"/>
      <c r="BQ119" s="312"/>
      <c r="BR119" s="312"/>
      <c r="BS119" s="312"/>
      <c r="BT119" s="312"/>
      <c r="BU119" s="312"/>
      <c r="BV119" s="312"/>
      <c r="BW119" s="312"/>
      <c r="BX119" s="312"/>
      <c r="BY119" s="312"/>
      <c r="BZ119" s="312"/>
      <c r="CA119" s="312"/>
      <c r="CB119" s="312"/>
      <c r="CC119" s="312"/>
      <c r="CD119" s="312"/>
      <c r="CE119" s="312"/>
      <c r="CF119" s="312"/>
      <c r="CG119" s="312"/>
      <c r="CH119" s="312"/>
      <c r="CI119" s="312"/>
      <c r="CJ119" s="312"/>
      <c r="CK119" s="312"/>
      <c r="CL119" s="312"/>
      <c r="CM119" s="312"/>
      <c r="CN119" s="312"/>
      <c r="CO119" s="312"/>
      <c r="CP119" s="312"/>
      <c r="CQ119" s="312"/>
      <c r="CR119" s="312"/>
      <c r="CS119" s="312"/>
      <c r="CT119" s="312"/>
      <c r="CU119" s="312"/>
      <c r="CV119" s="312"/>
      <c r="CW119" s="312"/>
      <c r="CX119" s="312"/>
      <c r="CY119" s="312"/>
      <c r="CZ119" s="312"/>
      <c r="DA119" s="312"/>
      <c r="DB119" s="312"/>
      <c r="DC119" s="312"/>
      <c r="DD119" s="312"/>
      <c r="DE119" s="312"/>
      <c r="DF119" s="312"/>
      <c r="DG119" s="312"/>
      <c r="DH119" s="312"/>
      <c r="DI119" s="312"/>
      <c r="DJ119" s="312"/>
      <c r="DK119" s="312"/>
      <c r="DL119" s="312"/>
      <c r="DM119" s="312"/>
      <c r="DN119" s="312"/>
      <c r="DO119" s="312"/>
      <c r="DP119" s="312"/>
      <c r="DQ119" s="312"/>
      <c r="DR119" s="312"/>
      <c r="DS119" s="312"/>
      <c r="DT119" s="312"/>
      <c r="DU119" s="312"/>
      <c r="DV119" s="312"/>
      <c r="DW119" s="312"/>
      <c r="DX119" s="312"/>
      <c r="DY119" s="312"/>
      <c r="DZ119" s="312"/>
      <c r="EA119" s="312"/>
      <c r="EB119" s="312"/>
      <c r="EC119" s="312"/>
      <c r="ED119" s="312"/>
      <c r="EE119" s="312"/>
      <c r="EF119" s="312"/>
      <c r="EG119" s="312"/>
      <c r="EH119" s="312"/>
      <c r="EI119" s="312"/>
      <c r="EJ119" s="312"/>
      <c r="EK119" s="312"/>
      <c r="EL119" s="312"/>
      <c r="EM119" s="312"/>
      <c r="EN119" s="312"/>
      <c r="EO119" s="312"/>
      <c r="EP119" s="312"/>
      <c r="EQ119" s="312"/>
      <c r="ER119" s="312"/>
      <c r="ES119" s="312"/>
      <c r="ET119" s="312"/>
      <c r="EU119" s="312"/>
      <c r="EV119" s="312"/>
      <c r="EW119" s="312"/>
      <c r="EX119" s="312"/>
      <c r="EY119" s="312"/>
      <c r="EZ119" s="312"/>
      <c r="FA119" s="312"/>
      <c r="FB119" s="312"/>
      <c r="FC119" s="312"/>
      <c r="FD119" s="312"/>
      <c r="FE119" s="312"/>
      <c r="FF119" s="312"/>
      <c r="FG119" s="312"/>
      <c r="FH119" s="312"/>
      <c r="FI119" s="312"/>
      <c r="FJ119" s="312"/>
      <c r="FK119" s="312"/>
      <c r="FL119" s="312"/>
      <c r="FM119" s="312"/>
      <c r="FN119" s="312"/>
      <c r="FO119" s="312"/>
      <c r="FP119" s="312"/>
      <c r="FQ119" s="312"/>
      <c r="FR119" s="312"/>
      <c r="FS119" s="312"/>
      <c r="FT119" s="312"/>
      <c r="FU119" s="312"/>
      <c r="FV119" s="312"/>
      <c r="FW119" s="312"/>
      <c r="FX119" s="312"/>
      <c r="FY119" s="312"/>
      <c r="FZ119" s="312"/>
      <c r="GA119" s="312"/>
      <c r="GB119" s="312"/>
      <c r="GC119" s="312"/>
      <c r="GD119" s="312"/>
      <c r="GE119" s="312"/>
      <c r="GF119" s="312"/>
      <c r="GG119" s="312"/>
      <c r="GH119" s="312"/>
      <c r="GI119" s="312"/>
      <c r="GJ119" s="312"/>
      <c r="GK119" s="312"/>
      <c r="GL119" s="312"/>
      <c r="GM119" s="312"/>
      <c r="GN119" s="312"/>
      <c r="GO119" s="312"/>
      <c r="GP119" s="312"/>
      <c r="GQ119" s="312"/>
      <c r="GR119" s="312"/>
      <c r="GS119" s="312"/>
      <c r="GT119" s="312"/>
      <c r="GU119" s="312"/>
      <c r="GV119" s="312"/>
      <c r="GW119" s="312"/>
      <c r="GX119" s="312"/>
      <c r="GY119" s="312"/>
    </row>
    <row r="120" spans="2:207" ht="15.75" x14ac:dyDescent="0.25">
      <c r="B120" s="316">
        <f t="shared" si="20"/>
        <v>90</v>
      </c>
      <c r="C120" s="330">
        <f>'סיכום לוועדה'!B120</f>
        <v>1001346713</v>
      </c>
      <c r="D120" s="330">
        <f>'סיכום לוועדה'!C120</f>
        <v>1001277173</v>
      </c>
      <c r="E120" s="330">
        <f>'סיכום לוועדה'!D120</f>
        <v>40221541</v>
      </c>
      <c r="F120" s="330">
        <f>'סיכום לוועדה'!E120</f>
        <v>20000201</v>
      </c>
      <c r="G120" s="330" t="str">
        <f>'סיכום לוועדה'!F120</f>
        <v>תל אביב -יפו</v>
      </c>
      <c r="H120" s="317" t="str">
        <f>'סיכום לוועדה'!G120</f>
        <v>מרכז פליציה בלומנטל למוזיקה</v>
      </c>
      <c r="I120" s="318">
        <f>'סיכום לוועדה'!U120</f>
        <v>90000</v>
      </c>
      <c r="J120" s="319">
        <f>'סיכום לוועדה'!T120</f>
        <v>8450.8049005475077</v>
      </c>
      <c r="K120" s="320">
        <f t="shared" si="21"/>
        <v>0</v>
      </c>
      <c r="L120" s="319">
        <f t="shared" si="22"/>
        <v>8450.8049005475077</v>
      </c>
      <c r="M120" s="331">
        <f>'תחום תמיכה ב'!AF120</f>
        <v>5.0345540287783371E-5</v>
      </c>
      <c r="N120" s="319">
        <f t="shared" si="19"/>
        <v>9308.4166067081369</v>
      </c>
      <c r="O120" s="321">
        <f t="shared" si="23"/>
        <v>0</v>
      </c>
      <c r="P120" s="322">
        <f t="shared" si="24"/>
        <v>9308.4166067081369</v>
      </c>
      <c r="Q120" s="322">
        <f t="shared" si="25"/>
        <v>9312.6549746305627</v>
      </c>
      <c r="R120" s="321">
        <f t="shared" si="26"/>
        <v>0</v>
      </c>
      <c r="S120" s="322">
        <f t="shared" si="27"/>
        <v>9312.6549746305627</v>
      </c>
      <c r="T120" s="322">
        <f t="shared" si="28"/>
        <v>9312.6549746305445</v>
      </c>
      <c r="U120" s="321">
        <f t="shared" si="29"/>
        <v>0</v>
      </c>
      <c r="V120" s="322">
        <f t="shared" si="30"/>
        <v>9312.6549746305445</v>
      </c>
      <c r="W120" s="322">
        <f t="shared" si="31"/>
        <v>9312.6549746305482</v>
      </c>
      <c r="X120" s="321">
        <f t="shared" si="32"/>
        <v>0</v>
      </c>
      <c r="Y120" s="322">
        <f t="shared" si="33"/>
        <v>9312.6549746305482</v>
      </c>
      <c r="Z120" s="322">
        <f t="shared" si="34"/>
        <v>9312.6549746305463</v>
      </c>
      <c r="AA120" s="323">
        <f t="shared" si="35"/>
        <v>9312.6549746305463</v>
      </c>
      <c r="AB120" s="323"/>
      <c r="AC120" s="323"/>
      <c r="AD120" s="323"/>
      <c r="AE120" s="323"/>
      <c r="AF120" s="324">
        <f t="shared" si="36"/>
        <v>5.3331559481872826E-5</v>
      </c>
      <c r="AG120" s="312"/>
      <c r="AH120" s="312"/>
      <c r="AI120" s="325">
        <f t="shared" si="37"/>
        <v>1</v>
      </c>
      <c r="AJ120" s="312"/>
      <c r="AK120" s="312"/>
      <c r="AL120" s="312"/>
      <c r="AM120" s="312"/>
      <c r="AN120" s="312"/>
      <c r="AO120" s="312"/>
      <c r="AP120" s="312"/>
      <c r="AQ120" s="312"/>
      <c r="AR120" s="312"/>
      <c r="AS120" s="312"/>
      <c r="AT120" s="312"/>
      <c r="AU120" s="312"/>
      <c r="AV120" s="312"/>
      <c r="AW120" s="312"/>
      <c r="AX120" s="312"/>
      <c r="AY120" s="312"/>
      <c r="AZ120" s="312"/>
      <c r="BA120" s="312"/>
      <c r="BB120" s="312"/>
      <c r="BC120" s="312"/>
      <c r="BD120" s="312"/>
      <c r="BE120" s="312"/>
      <c r="BF120" s="312"/>
      <c r="BG120" s="312"/>
      <c r="BH120" s="312"/>
      <c r="BI120" s="312"/>
      <c r="BJ120" s="312"/>
      <c r="BK120" s="312"/>
      <c r="BL120" s="312"/>
      <c r="BM120" s="312"/>
      <c r="BN120" s="312"/>
      <c r="BO120" s="312"/>
      <c r="BP120" s="312"/>
      <c r="BQ120" s="312"/>
      <c r="BR120" s="312"/>
      <c r="BS120" s="312"/>
      <c r="BT120" s="312"/>
      <c r="BU120" s="312"/>
      <c r="BV120" s="312"/>
      <c r="BW120" s="312"/>
      <c r="BX120" s="312"/>
      <c r="BY120" s="312"/>
      <c r="BZ120" s="312"/>
      <c r="CA120" s="312"/>
      <c r="CB120" s="312"/>
      <c r="CC120" s="312"/>
      <c r="CD120" s="312"/>
      <c r="CE120" s="312"/>
      <c r="CF120" s="312"/>
      <c r="CG120" s="312"/>
      <c r="CH120" s="312"/>
      <c r="CI120" s="312"/>
      <c r="CJ120" s="312"/>
      <c r="CK120" s="312"/>
      <c r="CL120" s="312"/>
      <c r="CM120" s="312"/>
      <c r="CN120" s="312"/>
      <c r="CO120" s="312"/>
      <c r="CP120" s="312"/>
      <c r="CQ120" s="312"/>
      <c r="CR120" s="312"/>
      <c r="CS120" s="312"/>
      <c r="CT120" s="312"/>
      <c r="CU120" s="312"/>
      <c r="CV120" s="312"/>
      <c r="CW120" s="312"/>
      <c r="CX120" s="312"/>
      <c r="CY120" s="312"/>
      <c r="CZ120" s="312"/>
      <c r="DA120" s="312"/>
      <c r="DB120" s="312"/>
      <c r="DC120" s="312"/>
      <c r="DD120" s="312"/>
      <c r="DE120" s="312"/>
      <c r="DF120" s="312"/>
      <c r="DG120" s="312"/>
      <c r="DH120" s="312"/>
      <c r="DI120" s="312"/>
      <c r="DJ120" s="312"/>
      <c r="DK120" s="312"/>
      <c r="DL120" s="312"/>
      <c r="DM120" s="312"/>
      <c r="DN120" s="312"/>
      <c r="DO120" s="312"/>
      <c r="DP120" s="312"/>
      <c r="DQ120" s="312"/>
      <c r="DR120" s="312"/>
      <c r="DS120" s="312"/>
      <c r="DT120" s="312"/>
      <c r="DU120" s="312"/>
      <c r="DV120" s="312"/>
      <c r="DW120" s="312"/>
      <c r="DX120" s="312"/>
      <c r="DY120" s="312"/>
      <c r="DZ120" s="312"/>
      <c r="EA120" s="312"/>
      <c r="EB120" s="312"/>
      <c r="EC120" s="312"/>
      <c r="ED120" s="312"/>
      <c r="EE120" s="312"/>
      <c r="EF120" s="312"/>
      <c r="EG120" s="312"/>
      <c r="EH120" s="312"/>
      <c r="EI120" s="312"/>
      <c r="EJ120" s="312"/>
      <c r="EK120" s="312"/>
      <c r="EL120" s="312"/>
      <c r="EM120" s="312"/>
      <c r="EN120" s="312"/>
      <c r="EO120" s="312"/>
      <c r="EP120" s="312"/>
      <c r="EQ120" s="312"/>
      <c r="ER120" s="312"/>
      <c r="ES120" s="312"/>
      <c r="ET120" s="312"/>
      <c r="EU120" s="312"/>
      <c r="EV120" s="312"/>
      <c r="EW120" s="312"/>
      <c r="EX120" s="312"/>
      <c r="EY120" s="312"/>
      <c r="EZ120" s="312"/>
      <c r="FA120" s="312"/>
      <c r="FB120" s="312"/>
      <c r="FC120" s="312"/>
      <c r="FD120" s="312"/>
      <c r="FE120" s="312"/>
      <c r="FF120" s="312"/>
      <c r="FG120" s="312"/>
      <c r="FH120" s="312"/>
      <c r="FI120" s="312"/>
      <c r="FJ120" s="312"/>
      <c r="FK120" s="312"/>
      <c r="FL120" s="312"/>
      <c r="FM120" s="312"/>
      <c r="FN120" s="312"/>
      <c r="FO120" s="312"/>
      <c r="FP120" s="312"/>
      <c r="FQ120" s="312"/>
      <c r="FR120" s="312"/>
      <c r="FS120" s="312"/>
      <c r="FT120" s="312"/>
      <c r="FU120" s="312"/>
      <c r="FV120" s="312"/>
      <c r="FW120" s="312"/>
      <c r="FX120" s="312"/>
      <c r="FY120" s="312"/>
      <c r="FZ120" s="312"/>
      <c r="GA120" s="312"/>
      <c r="GB120" s="312"/>
      <c r="GC120" s="312"/>
      <c r="GD120" s="312"/>
      <c r="GE120" s="312"/>
      <c r="GF120" s="312"/>
      <c r="GG120" s="312"/>
      <c r="GH120" s="312"/>
      <c r="GI120" s="312"/>
      <c r="GJ120" s="312"/>
      <c r="GK120" s="312"/>
      <c r="GL120" s="312"/>
      <c r="GM120" s="312"/>
      <c r="GN120" s="312"/>
      <c r="GO120" s="312"/>
      <c r="GP120" s="312"/>
      <c r="GQ120" s="312"/>
      <c r="GR120" s="312"/>
      <c r="GS120" s="312"/>
      <c r="GT120" s="312"/>
      <c r="GU120" s="312"/>
      <c r="GV120" s="312"/>
      <c r="GW120" s="312"/>
      <c r="GX120" s="312"/>
      <c r="GY120" s="312"/>
    </row>
    <row r="121" spans="2:207" ht="15.75" x14ac:dyDescent="0.25">
      <c r="B121" s="316">
        <f t="shared" si="20"/>
        <v>91</v>
      </c>
      <c r="C121" s="330">
        <f>'סיכום לוועדה'!B121</f>
        <v>1001346714</v>
      </c>
      <c r="D121" s="330">
        <f>'סיכום לוועדה'!C121</f>
        <v>1001277167</v>
      </c>
      <c r="E121" s="330">
        <f>'סיכום לוועדה'!D121</f>
        <v>40221541</v>
      </c>
      <c r="F121" s="330">
        <f>'סיכום לוועדה'!E121</f>
        <v>20000201</v>
      </c>
      <c r="G121" s="330" t="str">
        <f>'סיכום לוועדה'!F121</f>
        <v>תל אביב -יפו</v>
      </c>
      <c r="H121" s="317" t="str">
        <f>'סיכום לוועדה'!G121</f>
        <v>מרכז פליציה בלומנטל למוזיקה</v>
      </c>
      <c r="I121" s="318">
        <f>'סיכום לוועדה'!U121</f>
        <v>55000</v>
      </c>
      <c r="J121" s="319">
        <f>'סיכום לוועדה'!T121</f>
        <v>7611.959692045366</v>
      </c>
      <c r="K121" s="320">
        <f t="shared" si="21"/>
        <v>0</v>
      </c>
      <c r="L121" s="319">
        <f t="shared" si="22"/>
        <v>7611.959692045366</v>
      </c>
      <c r="M121" s="331">
        <f>'תחום תמיכה ב'!AF121</f>
        <v>4.9049662878925413E-5</v>
      </c>
      <c r="N121" s="319">
        <f t="shared" si="19"/>
        <v>8447.4967590377</v>
      </c>
      <c r="O121" s="321">
        <f t="shared" si="23"/>
        <v>0</v>
      </c>
      <c r="P121" s="322">
        <f t="shared" si="24"/>
        <v>8447.4967590377</v>
      </c>
      <c r="Q121" s="322">
        <f t="shared" si="25"/>
        <v>8451.3431274160248</v>
      </c>
      <c r="R121" s="321">
        <f t="shared" si="26"/>
        <v>0</v>
      </c>
      <c r="S121" s="322">
        <f t="shared" si="27"/>
        <v>8451.3431274160248</v>
      </c>
      <c r="T121" s="322">
        <f t="shared" si="28"/>
        <v>8451.3431274160084</v>
      </c>
      <c r="U121" s="321">
        <f t="shared" si="29"/>
        <v>0</v>
      </c>
      <c r="V121" s="322">
        <f t="shared" si="30"/>
        <v>8451.3431274160084</v>
      </c>
      <c r="W121" s="322">
        <f t="shared" si="31"/>
        <v>8451.3431274160121</v>
      </c>
      <c r="X121" s="321">
        <f t="shared" si="32"/>
        <v>0</v>
      </c>
      <c r="Y121" s="322">
        <f t="shared" si="33"/>
        <v>8451.3431274160121</v>
      </c>
      <c r="Z121" s="322">
        <f t="shared" si="34"/>
        <v>8451.3431274160102</v>
      </c>
      <c r="AA121" s="323">
        <f t="shared" si="35"/>
        <v>8451.3431274160102</v>
      </c>
      <c r="AB121" s="323"/>
      <c r="AC121" s="323"/>
      <c r="AD121" s="323"/>
      <c r="AE121" s="323"/>
      <c r="AF121" s="324">
        <f t="shared" si="36"/>
        <v>4.8399012948440648E-5</v>
      </c>
      <c r="AG121" s="312"/>
      <c r="AH121" s="312"/>
      <c r="AI121" s="325">
        <f t="shared" si="37"/>
        <v>1</v>
      </c>
      <c r="AJ121" s="312"/>
      <c r="AK121" s="312"/>
      <c r="AL121" s="312"/>
      <c r="AM121" s="312"/>
      <c r="AN121" s="312"/>
      <c r="AO121" s="312"/>
      <c r="AP121" s="312"/>
      <c r="AQ121" s="312"/>
      <c r="AR121" s="312"/>
      <c r="AS121" s="312"/>
      <c r="AT121" s="312"/>
      <c r="AU121" s="312"/>
      <c r="AV121" s="312"/>
      <c r="AW121" s="312"/>
      <c r="AX121" s="312"/>
      <c r="AY121" s="312"/>
      <c r="AZ121" s="312"/>
      <c r="BA121" s="312"/>
      <c r="BB121" s="312"/>
      <c r="BC121" s="312"/>
      <c r="BD121" s="312"/>
      <c r="BE121" s="312"/>
      <c r="BF121" s="312"/>
      <c r="BG121" s="312"/>
      <c r="BH121" s="312"/>
      <c r="BI121" s="312"/>
      <c r="BJ121" s="312"/>
      <c r="BK121" s="312"/>
      <c r="BL121" s="312"/>
      <c r="BM121" s="312"/>
      <c r="BN121" s="312"/>
      <c r="BO121" s="312"/>
      <c r="BP121" s="312"/>
      <c r="BQ121" s="312"/>
      <c r="BR121" s="312"/>
      <c r="BS121" s="312"/>
      <c r="BT121" s="312"/>
      <c r="BU121" s="312"/>
      <c r="BV121" s="312"/>
      <c r="BW121" s="312"/>
      <c r="BX121" s="312"/>
      <c r="BY121" s="312"/>
      <c r="BZ121" s="312"/>
      <c r="CA121" s="312"/>
      <c r="CB121" s="312"/>
      <c r="CC121" s="312"/>
      <c r="CD121" s="312"/>
      <c r="CE121" s="312"/>
      <c r="CF121" s="312"/>
      <c r="CG121" s="312"/>
      <c r="CH121" s="312"/>
      <c r="CI121" s="312"/>
      <c r="CJ121" s="312"/>
      <c r="CK121" s="312"/>
      <c r="CL121" s="312"/>
      <c r="CM121" s="312"/>
      <c r="CN121" s="312"/>
      <c r="CO121" s="312"/>
      <c r="CP121" s="312"/>
      <c r="CQ121" s="312"/>
      <c r="CR121" s="312"/>
      <c r="CS121" s="312"/>
      <c r="CT121" s="312"/>
      <c r="CU121" s="312"/>
      <c r="CV121" s="312"/>
      <c r="CW121" s="312"/>
      <c r="CX121" s="312"/>
      <c r="CY121" s="312"/>
      <c r="CZ121" s="312"/>
      <c r="DA121" s="312"/>
      <c r="DB121" s="312"/>
      <c r="DC121" s="312"/>
      <c r="DD121" s="312"/>
      <c r="DE121" s="312"/>
      <c r="DF121" s="312"/>
      <c r="DG121" s="312"/>
      <c r="DH121" s="312"/>
      <c r="DI121" s="312"/>
      <c r="DJ121" s="312"/>
      <c r="DK121" s="312"/>
      <c r="DL121" s="312"/>
      <c r="DM121" s="312"/>
      <c r="DN121" s="312"/>
      <c r="DO121" s="312"/>
      <c r="DP121" s="312"/>
      <c r="DQ121" s="312"/>
      <c r="DR121" s="312"/>
      <c r="DS121" s="312"/>
      <c r="DT121" s="312"/>
      <c r="DU121" s="312"/>
      <c r="DV121" s="312"/>
      <c r="DW121" s="312"/>
      <c r="DX121" s="312"/>
      <c r="DY121" s="312"/>
      <c r="DZ121" s="312"/>
      <c r="EA121" s="312"/>
      <c r="EB121" s="312"/>
      <c r="EC121" s="312"/>
      <c r="ED121" s="312"/>
      <c r="EE121" s="312"/>
      <c r="EF121" s="312"/>
      <c r="EG121" s="312"/>
      <c r="EH121" s="312"/>
      <c r="EI121" s="312"/>
      <c r="EJ121" s="312"/>
      <c r="EK121" s="312"/>
      <c r="EL121" s="312"/>
      <c r="EM121" s="312"/>
      <c r="EN121" s="312"/>
      <c r="EO121" s="312"/>
      <c r="EP121" s="312"/>
      <c r="EQ121" s="312"/>
      <c r="ER121" s="312"/>
      <c r="ES121" s="312"/>
      <c r="ET121" s="312"/>
      <c r="EU121" s="312"/>
      <c r="EV121" s="312"/>
      <c r="EW121" s="312"/>
      <c r="EX121" s="312"/>
      <c r="EY121" s="312"/>
      <c r="EZ121" s="312"/>
      <c r="FA121" s="312"/>
      <c r="FB121" s="312"/>
      <c r="FC121" s="312"/>
      <c r="FD121" s="312"/>
      <c r="FE121" s="312"/>
      <c r="FF121" s="312"/>
      <c r="FG121" s="312"/>
      <c r="FH121" s="312"/>
      <c r="FI121" s="312"/>
      <c r="FJ121" s="312"/>
      <c r="FK121" s="312"/>
      <c r="FL121" s="312"/>
      <c r="FM121" s="312"/>
      <c r="FN121" s="312"/>
      <c r="FO121" s="312"/>
      <c r="FP121" s="312"/>
      <c r="FQ121" s="312"/>
      <c r="FR121" s="312"/>
      <c r="FS121" s="312"/>
      <c r="FT121" s="312"/>
      <c r="FU121" s="312"/>
      <c r="FV121" s="312"/>
      <c r="FW121" s="312"/>
      <c r="FX121" s="312"/>
      <c r="FY121" s="312"/>
      <c r="FZ121" s="312"/>
      <c r="GA121" s="312"/>
      <c r="GB121" s="312"/>
      <c r="GC121" s="312"/>
      <c r="GD121" s="312"/>
      <c r="GE121" s="312"/>
      <c r="GF121" s="312"/>
      <c r="GG121" s="312"/>
      <c r="GH121" s="312"/>
      <c r="GI121" s="312"/>
      <c r="GJ121" s="312"/>
      <c r="GK121" s="312"/>
      <c r="GL121" s="312"/>
      <c r="GM121" s="312"/>
      <c r="GN121" s="312"/>
      <c r="GO121" s="312"/>
      <c r="GP121" s="312"/>
      <c r="GQ121" s="312"/>
      <c r="GR121" s="312"/>
      <c r="GS121" s="312"/>
      <c r="GT121" s="312"/>
      <c r="GU121" s="312"/>
      <c r="GV121" s="312"/>
      <c r="GW121" s="312"/>
      <c r="GX121" s="312"/>
      <c r="GY121" s="312"/>
    </row>
    <row r="122" spans="2:207" ht="15.75" x14ac:dyDescent="0.25">
      <c r="B122" s="316">
        <f t="shared" si="20"/>
        <v>92</v>
      </c>
      <c r="C122" s="330">
        <f>'סיכום לוועדה'!B122</f>
        <v>1001346715</v>
      </c>
      <c r="D122" s="330">
        <f>'סיכום לוועדה'!C122</f>
        <v>1001277158</v>
      </c>
      <c r="E122" s="330">
        <f>'סיכום לוועדה'!D122</f>
        <v>40221541</v>
      </c>
      <c r="F122" s="330">
        <f>'סיכום לוועדה'!E122</f>
        <v>20000201</v>
      </c>
      <c r="G122" s="330" t="str">
        <f>'סיכום לוועדה'!F122</f>
        <v>תל אביב -יפו</v>
      </c>
      <c r="H122" s="317" t="str">
        <f>'סיכום לוועדה'!G122</f>
        <v>מרכז פליציה בלומנטל למוזיקה</v>
      </c>
      <c r="I122" s="318">
        <f>'סיכום לוועדה'!U122</f>
        <v>95000</v>
      </c>
      <c r="J122" s="319">
        <f>'סיכום לוועדה'!T122</f>
        <v>66411.509731270533</v>
      </c>
      <c r="K122" s="320">
        <f t="shared" si="21"/>
        <v>0</v>
      </c>
      <c r="L122" s="319">
        <f t="shared" si="22"/>
        <v>66411.509731270533</v>
      </c>
      <c r="M122" s="331">
        <f>'תחום תמיכה ב'!AF122</f>
        <v>4.8133313196095445E-4</v>
      </c>
      <c r="N122" s="319">
        <f t="shared" si="19"/>
        <v>74610.784705241575</v>
      </c>
      <c r="O122" s="321">
        <f t="shared" si="23"/>
        <v>0</v>
      </c>
      <c r="P122" s="322">
        <f t="shared" si="24"/>
        <v>74610.784705241575</v>
      </c>
      <c r="Q122" s="322">
        <f t="shared" si="25"/>
        <v>74644.756966037661</v>
      </c>
      <c r="R122" s="321">
        <f t="shared" si="26"/>
        <v>0</v>
      </c>
      <c r="S122" s="322">
        <f t="shared" si="27"/>
        <v>74644.756966037661</v>
      </c>
      <c r="T122" s="322">
        <f t="shared" si="28"/>
        <v>74644.756966037516</v>
      </c>
      <c r="U122" s="321">
        <f t="shared" si="29"/>
        <v>0</v>
      </c>
      <c r="V122" s="322">
        <f t="shared" si="30"/>
        <v>74644.756966037516</v>
      </c>
      <c r="W122" s="322">
        <f t="shared" si="31"/>
        <v>74644.756966037545</v>
      </c>
      <c r="X122" s="321">
        <f t="shared" si="32"/>
        <v>0</v>
      </c>
      <c r="Y122" s="322">
        <f t="shared" si="33"/>
        <v>74644.756966037545</v>
      </c>
      <c r="Z122" s="322">
        <f t="shared" si="34"/>
        <v>74644.75696603753</v>
      </c>
      <c r="AA122" s="323">
        <f t="shared" si="35"/>
        <v>74644.75696603753</v>
      </c>
      <c r="AB122" s="323"/>
      <c r="AC122" s="323"/>
      <c r="AD122" s="323"/>
      <c r="AE122" s="323"/>
      <c r="AF122" s="324">
        <f t="shared" si="36"/>
        <v>4.2747436762007854E-4</v>
      </c>
      <c r="AG122" s="312"/>
      <c r="AH122" s="312"/>
      <c r="AI122" s="325">
        <f t="shared" si="37"/>
        <v>1</v>
      </c>
      <c r="AJ122" s="312"/>
      <c r="AK122" s="312"/>
      <c r="AL122" s="312"/>
      <c r="AM122" s="312"/>
      <c r="AN122" s="312"/>
      <c r="AO122" s="312"/>
      <c r="AP122" s="312"/>
      <c r="AQ122" s="312"/>
      <c r="AR122" s="312"/>
      <c r="AS122" s="312"/>
      <c r="AT122" s="312"/>
      <c r="AU122" s="312"/>
      <c r="AV122" s="312"/>
      <c r="AW122" s="312"/>
      <c r="AX122" s="312"/>
      <c r="AY122" s="312"/>
      <c r="AZ122" s="312"/>
      <c r="BA122" s="312"/>
      <c r="BB122" s="312"/>
      <c r="BC122" s="312"/>
      <c r="BD122" s="312"/>
      <c r="BE122" s="312"/>
      <c r="BF122" s="312"/>
      <c r="BG122" s="312"/>
      <c r="BH122" s="312"/>
      <c r="BI122" s="312"/>
      <c r="BJ122" s="312"/>
      <c r="BK122" s="312"/>
      <c r="BL122" s="312"/>
      <c r="BM122" s="312"/>
      <c r="BN122" s="312"/>
      <c r="BO122" s="312"/>
      <c r="BP122" s="312"/>
      <c r="BQ122" s="312"/>
      <c r="BR122" s="312"/>
      <c r="BS122" s="312"/>
      <c r="BT122" s="312"/>
      <c r="BU122" s="312"/>
      <c r="BV122" s="312"/>
      <c r="BW122" s="312"/>
      <c r="BX122" s="312"/>
      <c r="BY122" s="312"/>
      <c r="BZ122" s="312"/>
      <c r="CA122" s="312"/>
      <c r="CB122" s="312"/>
      <c r="CC122" s="312"/>
      <c r="CD122" s="312"/>
      <c r="CE122" s="312"/>
      <c r="CF122" s="312"/>
      <c r="CG122" s="312"/>
      <c r="CH122" s="312"/>
      <c r="CI122" s="312"/>
      <c r="CJ122" s="312"/>
      <c r="CK122" s="312"/>
      <c r="CL122" s="312"/>
      <c r="CM122" s="312"/>
      <c r="CN122" s="312"/>
      <c r="CO122" s="312"/>
      <c r="CP122" s="312"/>
      <c r="CQ122" s="312"/>
      <c r="CR122" s="312"/>
      <c r="CS122" s="312"/>
      <c r="CT122" s="312"/>
      <c r="CU122" s="312"/>
      <c r="CV122" s="312"/>
      <c r="CW122" s="312"/>
      <c r="CX122" s="312"/>
      <c r="CY122" s="312"/>
      <c r="CZ122" s="312"/>
      <c r="DA122" s="312"/>
      <c r="DB122" s="312"/>
      <c r="DC122" s="312"/>
      <c r="DD122" s="312"/>
      <c r="DE122" s="312"/>
      <c r="DF122" s="312"/>
      <c r="DG122" s="312"/>
      <c r="DH122" s="312"/>
      <c r="DI122" s="312"/>
      <c r="DJ122" s="312"/>
      <c r="DK122" s="312"/>
      <c r="DL122" s="312"/>
      <c r="DM122" s="312"/>
      <c r="DN122" s="312"/>
      <c r="DO122" s="312"/>
      <c r="DP122" s="312"/>
      <c r="DQ122" s="312"/>
      <c r="DR122" s="312"/>
      <c r="DS122" s="312"/>
      <c r="DT122" s="312"/>
      <c r="DU122" s="312"/>
      <c r="DV122" s="312"/>
      <c r="DW122" s="312"/>
      <c r="DX122" s="312"/>
      <c r="DY122" s="312"/>
      <c r="DZ122" s="312"/>
      <c r="EA122" s="312"/>
      <c r="EB122" s="312"/>
      <c r="EC122" s="312"/>
      <c r="ED122" s="312"/>
      <c r="EE122" s="312"/>
      <c r="EF122" s="312"/>
      <c r="EG122" s="312"/>
      <c r="EH122" s="312"/>
      <c r="EI122" s="312"/>
      <c r="EJ122" s="312"/>
      <c r="EK122" s="312"/>
      <c r="EL122" s="312"/>
      <c r="EM122" s="312"/>
      <c r="EN122" s="312"/>
      <c r="EO122" s="312"/>
      <c r="EP122" s="312"/>
      <c r="EQ122" s="312"/>
      <c r="ER122" s="312"/>
      <c r="ES122" s="312"/>
      <c r="ET122" s="312"/>
      <c r="EU122" s="312"/>
      <c r="EV122" s="312"/>
      <c r="EW122" s="312"/>
      <c r="EX122" s="312"/>
      <c r="EY122" s="312"/>
      <c r="EZ122" s="312"/>
      <c r="FA122" s="312"/>
      <c r="FB122" s="312"/>
      <c r="FC122" s="312"/>
      <c r="FD122" s="312"/>
      <c r="FE122" s="312"/>
      <c r="FF122" s="312"/>
      <c r="FG122" s="312"/>
      <c r="FH122" s="312"/>
      <c r="FI122" s="312"/>
      <c r="FJ122" s="312"/>
      <c r="FK122" s="312"/>
      <c r="FL122" s="312"/>
      <c r="FM122" s="312"/>
      <c r="FN122" s="312"/>
      <c r="FO122" s="312"/>
      <c r="FP122" s="312"/>
      <c r="FQ122" s="312"/>
      <c r="FR122" s="312"/>
      <c r="FS122" s="312"/>
      <c r="FT122" s="312"/>
      <c r="FU122" s="312"/>
      <c r="FV122" s="312"/>
      <c r="FW122" s="312"/>
      <c r="FX122" s="312"/>
      <c r="FY122" s="312"/>
      <c r="FZ122" s="312"/>
      <c r="GA122" s="312"/>
      <c r="GB122" s="312"/>
      <c r="GC122" s="312"/>
      <c r="GD122" s="312"/>
      <c r="GE122" s="312"/>
      <c r="GF122" s="312"/>
      <c r="GG122" s="312"/>
      <c r="GH122" s="312"/>
      <c r="GI122" s="312"/>
      <c r="GJ122" s="312"/>
      <c r="GK122" s="312"/>
      <c r="GL122" s="312"/>
      <c r="GM122" s="312"/>
      <c r="GN122" s="312"/>
      <c r="GO122" s="312"/>
      <c r="GP122" s="312"/>
      <c r="GQ122" s="312"/>
      <c r="GR122" s="312"/>
      <c r="GS122" s="312"/>
      <c r="GT122" s="312"/>
      <c r="GU122" s="312"/>
      <c r="GV122" s="312"/>
      <c r="GW122" s="312"/>
      <c r="GX122" s="312"/>
      <c r="GY122" s="312"/>
    </row>
    <row r="123" spans="2:207" ht="15.75" x14ac:dyDescent="0.25">
      <c r="B123" s="316">
        <f t="shared" si="20"/>
        <v>93</v>
      </c>
      <c r="C123" s="330">
        <f>'סיכום לוועדה'!B123</f>
        <v>1001346718</v>
      </c>
      <c r="D123" s="330">
        <f>'סיכום לוועדה'!C123</f>
        <v>1001277149</v>
      </c>
      <c r="E123" s="330">
        <f>'סיכום לוועדה'!D123</f>
        <v>40221541</v>
      </c>
      <c r="F123" s="330">
        <f>'סיכום לוועדה'!E123</f>
        <v>20000201</v>
      </c>
      <c r="G123" s="330" t="str">
        <f>'סיכום לוועדה'!F123</f>
        <v>תל אביב -יפו</v>
      </c>
      <c r="H123" s="317" t="str">
        <f>'סיכום לוועדה'!G123</f>
        <v>מרכז פליציה בלומנטל למוזיקה</v>
      </c>
      <c r="I123" s="318">
        <f>'סיכום לוועדה'!U123</f>
        <v>140000</v>
      </c>
      <c r="J123" s="319">
        <f>'סיכום לוועדה'!T123</f>
        <v>105584.38933168384</v>
      </c>
      <c r="K123" s="320">
        <f t="shared" si="21"/>
        <v>0</v>
      </c>
      <c r="L123" s="319">
        <f t="shared" si="22"/>
        <v>105584.38933168384</v>
      </c>
      <c r="M123" s="331">
        <f>'תחום תמיכה ב'!AF123</f>
        <v>5.57453237543407E-4</v>
      </c>
      <c r="N123" s="319">
        <f t="shared" si="19"/>
        <v>115080.33315156525</v>
      </c>
      <c r="O123" s="321">
        <f t="shared" si="23"/>
        <v>0</v>
      </c>
      <c r="P123" s="322">
        <f t="shared" si="24"/>
        <v>115080.33315156525</v>
      </c>
      <c r="Q123" s="322">
        <f t="shared" si="25"/>
        <v>115132.7322665963</v>
      </c>
      <c r="R123" s="321">
        <f t="shared" si="26"/>
        <v>0</v>
      </c>
      <c r="S123" s="322">
        <f t="shared" si="27"/>
        <v>115132.7322665963</v>
      </c>
      <c r="T123" s="322">
        <f t="shared" si="28"/>
        <v>115132.73226659607</v>
      </c>
      <c r="U123" s="321">
        <f t="shared" si="29"/>
        <v>0</v>
      </c>
      <c r="V123" s="322">
        <f t="shared" si="30"/>
        <v>115132.73226659607</v>
      </c>
      <c r="W123" s="322">
        <f t="shared" si="31"/>
        <v>115132.73226659611</v>
      </c>
      <c r="X123" s="321">
        <f t="shared" si="32"/>
        <v>0</v>
      </c>
      <c r="Y123" s="322">
        <f t="shared" si="33"/>
        <v>115132.73226659611</v>
      </c>
      <c r="Z123" s="322">
        <f t="shared" si="34"/>
        <v>115132.73226659608</v>
      </c>
      <c r="AA123" s="323">
        <f t="shared" si="35"/>
        <v>115132.73226659608</v>
      </c>
      <c r="AB123" s="323"/>
      <c r="AC123" s="323"/>
      <c r="AD123" s="323"/>
      <c r="AE123" s="323"/>
      <c r="AF123" s="324">
        <f t="shared" si="36"/>
        <v>6.5934023926727755E-4</v>
      </c>
      <c r="AG123" s="312"/>
      <c r="AH123" s="312"/>
      <c r="AI123" s="325">
        <f t="shared" si="37"/>
        <v>1</v>
      </c>
      <c r="AJ123" s="312"/>
      <c r="AK123" s="312"/>
      <c r="AL123" s="312"/>
      <c r="AM123" s="312"/>
      <c r="AN123" s="312"/>
      <c r="AO123" s="312"/>
      <c r="AP123" s="312"/>
      <c r="AQ123" s="312"/>
      <c r="AR123" s="312"/>
      <c r="AS123" s="312"/>
      <c r="AT123" s="312"/>
      <c r="AU123" s="312"/>
      <c r="AV123" s="312"/>
      <c r="AW123" s="312"/>
      <c r="AX123" s="312"/>
      <c r="AY123" s="312"/>
      <c r="AZ123" s="312"/>
      <c r="BA123" s="312"/>
      <c r="BB123" s="312"/>
      <c r="BC123" s="312"/>
      <c r="BD123" s="312"/>
      <c r="BE123" s="312"/>
      <c r="BF123" s="312"/>
      <c r="BG123" s="312"/>
      <c r="BH123" s="312"/>
      <c r="BI123" s="312"/>
      <c r="BJ123" s="312"/>
      <c r="BK123" s="312"/>
      <c r="BL123" s="312"/>
      <c r="BM123" s="312"/>
      <c r="BN123" s="312"/>
      <c r="BO123" s="312"/>
      <c r="BP123" s="312"/>
      <c r="BQ123" s="312"/>
      <c r="BR123" s="312"/>
      <c r="BS123" s="312"/>
      <c r="BT123" s="312"/>
      <c r="BU123" s="312"/>
      <c r="BV123" s="312"/>
      <c r="BW123" s="312"/>
      <c r="BX123" s="312"/>
      <c r="BY123" s="312"/>
      <c r="BZ123" s="312"/>
      <c r="CA123" s="312"/>
      <c r="CB123" s="312"/>
      <c r="CC123" s="312"/>
      <c r="CD123" s="312"/>
      <c r="CE123" s="312"/>
      <c r="CF123" s="312"/>
      <c r="CG123" s="312"/>
      <c r="CH123" s="312"/>
      <c r="CI123" s="312"/>
      <c r="CJ123" s="312"/>
      <c r="CK123" s="312"/>
      <c r="CL123" s="312"/>
      <c r="CM123" s="312"/>
      <c r="CN123" s="312"/>
      <c r="CO123" s="312"/>
      <c r="CP123" s="312"/>
      <c r="CQ123" s="312"/>
      <c r="CR123" s="312"/>
      <c r="CS123" s="312"/>
      <c r="CT123" s="312"/>
      <c r="CU123" s="312"/>
      <c r="CV123" s="312"/>
      <c r="CW123" s="312"/>
      <c r="CX123" s="312"/>
      <c r="CY123" s="312"/>
      <c r="CZ123" s="312"/>
      <c r="DA123" s="312"/>
      <c r="DB123" s="312"/>
      <c r="DC123" s="312"/>
      <c r="DD123" s="312"/>
      <c r="DE123" s="312"/>
      <c r="DF123" s="312"/>
      <c r="DG123" s="312"/>
      <c r="DH123" s="312"/>
      <c r="DI123" s="312"/>
      <c r="DJ123" s="312"/>
      <c r="DK123" s="312"/>
      <c r="DL123" s="312"/>
      <c r="DM123" s="312"/>
      <c r="DN123" s="312"/>
      <c r="DO123" s="312"/>
      <c r="DP123" s="312"/>
      <c r="DQ123" s="312"/>
      <c r="DR123" s="312"/>
      <c r="DS123" s="312"/>
      <c r="DT123" s="312"/>
      <c r="DU123" s="312"/>
      <c r="DV123" s="312"/>
      <c r="DW123" s="312"/>
      <c r="DX123" s="312"/>
      <c r="DY123" s="312"/>
      <c r="DZ123" s="312"/>
      <c r="EA123" s="312"/>
      <c r="EB123" s="312"/>
      <c r="EC123" s="312"/>
      <c r="ED123" s="312"/>
      <c r="EE123" s="312"/>
      <c r="EF123" s="312"/>
      <c r="EG123" s="312"/>
      <c r="EH123" s="312"/>
      <c r="EI123" s="312"/>
      <c r="EJ123" s="312"/>
      <c r="EK123" s="312"/>
      <c r="EL123" s="312"/>
      <c r="EM123" s="312"/>
      <c r="EN123" s="312"/>
      <c r="EO123" s="312"/>
      <c r="EP123" s="312"/>
      <c r="EQ123" s="312"/>
      <c r="ER123" s="312"/>
      <c r="ES123" s="312"/>
      <c r="ET123" s="312"/>
      <c r="EU123" s="312"/>
      <c r="EV123" s="312"/>
      <c r="EW123" s="312"/>
      <c r="EX123" s="312"/>
      <c r="EY123" s="312"/>
      <c r="EZ123" s="312"/>
      <c r="FA123" s="312"/>
      <c r="FB123" s="312"/>
      <c r="FC123" s="312"/>
      <c r="FD123" s="312"/>
      <c r="FE123" s="312"/>
      <c r="FF123" s="312"/>
      <c r="FG123" s="312"/>
      <c r="FH123" s="312"/>
      <c r="FI123" s="312"/>
      <c r="FJ123" s="312"/>
      <c r="FK123" s="312"/>
      <c r="FL123" s="312"/>
      <c r="FM123" s="312"/>
      <c r="FN123" s="312"/>
      <c r="FO123" s="312"/>
      <c r="FP123" s="312"/>
      <c r="FQ123" s="312"/>
      <c r="FR123" s="312"/>
      <c r="FS123" s="312"/>
      <c r="FT123" s="312"/>
      <c r="FU123" s="312"/>
      <c r="FV123" s="312"/>
      <c r="FW123" s="312"/>
      <c r="FX123" s="312"/>
      <c r="FY123" s="312"/>
      <c r="FZ123" s="312"/>
      <c r="GA123" s="312"/>
      <c r="GB123" s="312"/>
      <c r="GC123" s="312"/>
      <c r="GD123" s="312"/>
      <c r="GE123" s="312"/>
      <c r="GF123" s="312"/>
      <c r="GG123" s="312"/>
      <c r="GH123" s="312"/>
      <c r="GI123" s="312"/>
      <c r="GJ123" s="312"/>
      <c r="GK123" s="312"/>
      <c r="GL123" s="312"/>
      <c r="GM123" s="312"/>
      <c r="GN123" s="312"/>
      <c r="GO123" s="312"/>
      <c r="GP123" s="312"/>
      <c r="GQ123" s="312"/>
      <c r="GR123" s="312"/>
      <c r="GS123" s="312"/>
      <c r="GT123" s="312"/>
      <c r="GU123" s="312"/>
      <c r="GV123" s="312"/>
      <c r="GW123" s="312"/>
      <c r="GX123" s="312"/>
      <c r="GY123" s="312"/>
    </row>
    <row r="124" spans="2:207" ht="15.75" x14ac:dyDescent="0.25">
      <c r="B124" s="316">
        <f t="shared" si="20"/>
        <v>94</v>
      </c>
      <c r="C124" s="330">
        <f>'סיכום לוועדה'!B124</f>
        <v>1001347600</v>
      </c>
      <c r="D124" s="330">
        <f>'סיכום לוועדה'!C124</f>
        <v>1001277089</v>
      </c>
      <c r="E124" s="330">
        <f>'סיכום לוועדה'!D124</f>
        <v>40221541</v>
      </c>
      <c r="F124" s="330">
        <f>'סיכום לוועדה'!E124</f>
        <v>20000201</v>
      </c>
      <c r="G124" s="330" t="str">
        <f>'סיכום לוועדה'!F124</f>
        <v>תל אביב -יפו</v>
      </c>
      <c r="H124" s="317" t="str">
        <f>'סיכום לוועדה'!G124</f>
        <v>מרכז פליציה בלומנטל למוזיקה</v>
      </c>
      <c r="I124" s="318">
        <f>'סיכום לוועדה'!U124</f>
        <v>60000</v>
      </c>
      <c r="J124" s="319">
        <f>'סיכום לוועדה'!T124</f>
        <v>18828.437030233203</v>
      </c>
      <c r="K124" s="320">
        <f t="shared" si="21"/>
        <v>0</v>
      </c>
      <c r="L124" s="319">
        <f t="shared" si="22"/>
        <v>18828.437030233203</v>
      </c>
      <c r="M124" s="331">
        <f>'תחום תמיכה ב'!AF124</f>
        <v>1.2584668500830807E-4</v>
      </c>
      <c r="N124" s="319">
        <f t="shared" si="19"/>
        <v>20972.173886123564</v>
      </c>
      <c r="O124" s="321">
        <f t="shared" si="23"/>
        <v>0</v>
      </c>
      <c r="P124" s="322">
        <f t="shared" si="24"/>
        <v>20972.173886123564</v>
      </c>
      <c r="Q124" s="322">
        <f t="shared" si="25"/>
        <v>20981.723070782795</v>
      </c>
      <c r="R124" s="321">
        <f t="shared" si="26"/>
        <v>0</v>
      </c>
      <c r="S124" s="322">
        <f t="shared" si="27"/>
        <v>20981.723070782795</v>
      </c>
      <c r="T124" s="322">
        <f t="shared" si="28"/>
        <v>20981.723070782751</v>
      </c>
      <c r="U124" s="321">
        <f t="shared" si="29"/>
        <v>0</v>
      </c>
      <c r="V124" s="322">
        <f t="shared" si="30"/>
        <v>20981.723070782751</v>
      </c>
      <c r="W124" s="322">
        <f t="shared" si="31"/>
        <v>20981.723070782758</v>
      </c>
      <c r="X124" s="321">
        <f t="shared" si="32"/>
        <v>0</v>
      </c>
      <c r="Y124" s="322">
        <f t="shared" si="33"/>
        <v>20981.723070782758</v>
      </c>
      <c r="Z124" s="322">
        <f t="shared" si="34"/>
        <v>20981.723070782755</v>
      </c>
      <c r="AA124" s="323">
        <f t="shared" si="35"/>
        <v>20981.723070782755</v>
      </c>
      <c r="AB124" s="323"/>
      <c r="AC124" s="323"/>
      <c r="AD124" s="323"/>
      <c r="AE124" s="323"/>
      <c r="AF124" s="324">
        <f t="shared" si="36"/>
        <v>1.2015778690716785E-4</v>
      </c>
      <c r="AG124" s="312"/>
      <c r="AH124" s="312"/>
      <c r="AI124" s="325">
        <f t="shared" si="37"/>
        <v>1</v>
      </c>
      <c r="AJ124" s="312"/>
      <c r="AK124" s="312"/>
      <c r="AL124" s="312"/>
      <c r="AM124" s="312"/>
      <c r="AN124" s="312"/>
      <c r="AO124" s="312"/>
      <c r="AP124" s="312"/>
      <c r="AQ124" s="312"/>
      <c r="AR124" s="312"/>
      <c r="AS124" s="312"/>
      <c r="AT124" s="312"/>
      <c r="AU124" s="312"/>
      <c r="AV124" s="312"/>
      <c r="AW124" s="312"/>
      <c r="AX124" s="312"/>
      <c r="AY124" s="312"/>
      <c r="AZ124" s="312"/>
      <c r="BA124" s="312"/>
      <c r="BB124" s="312"/>
      <c r="BC124" s="312"/>
      <c r="BD124" s="312"/>
      <c r="BE124" s="312"/>
      <c r="BF124" s="312"/>
      <c r="BG124" s="312"/>
      <c r="BH124" s="312"/>
      <c r="BI124" s="312"/>
      <c r="BJ124" s="312"/>
      <c r="BK124" s="312"/>
      <c r="BL124" s="312"/>
      <c r="BM124" s="312"/>
      <c r="BN124" s="312"/>
      <c r="BO124" s="312"/>
      <c r="BP124" s="312"/>
      <c r="BQ124" s="312"/>
      <c r="BR124" s="312"/>
      <c r="BS124" s="312"/>
      <c r="BT124" s="312"/>
      <c r="BU124" s="312"/>
      <c r="BV124" s="312"/>
      <c r="BW124" s="312"/>
      <c r="BX124" s="312"/>
      <c r="BY124" s="312"/>
      <c r="BZ124" s="312"/>
      <c r="CA124" s="312"/>
      <c r="CB124" s="312"/>
      <c r="CC124" s="312"/>
      <c r="CD124" s="312"/>
      <c r="CE124" s="312"/>
      <c r="CF124" s="312"/>
      <c r="CG124" s="312"/>
      <c r="CH124" s="312"/>
      <c r="CI124" s="312"/>
      <c r="CJ124" s="312"/>
      <c r="CK124" s="312"/>
      <c r="CL124" s="312"/>
      <c r="CM124" s="312"/>
      <c r="CN124" s="312"/>
      <c r="CO124" s="312"/>
      <c r="CP124" s="312"/>
      <c r="CQ124" s="312"/>
      <c r="CR124" s="312"/>
      <c r="CS124" s="312"/>
      <c r="CT124" s="312"/>
      <c r="CU124" s="312"/>
      <c r="CV124" s="312"/>
      <c r="CW124" s="312"/>
      <c r="CX124" s="312"/>
      <c r="CY124" s="312"/>
      <c r="CZ124" s="312"/>
      <c r="DA124" s="312"/>
      <c r="DB124" s="312"/>
      <c r="DC124" s="312"/>
      <c r="DD124" s="312"/>
      <c r="DE124" s="312"/>
      <c r="DF124" s="312"/>
      <c r="DG124" s="312"/>
      <c r="DH124" s="312"/>
      <c r="DI124" s="312"/>
      <c r="DJ124" s="312"/>
      <c r="DK124" s="312"/>
      <c r="DL124" s="312"/>
      <c r="DM124" s="312"/>
      <c r="DN124" s="312"/>
      <c r="DO124" s="312"/>
      <c r="DP124" s="312"/>
      <c r="DQ124" s="312"/>
      <c r="DR124" s="312"/>
      <c r="DS124" s="312"/>
      <c r="DT124" s="312"/>
      <c r="DU124" s="312"/>
      <c r="DV124" s="312"/>
      <c r="DW124" s="312"/>
      <c r="DX124" s="312"/>
      <c r="DY124" s="312"/>
      <c r="DZ124" s="312"/>
      <c r="EA124" s="312"/>
      <c r="EB124" s="312"/>
      <c r="EC124" s="312"/>
      <c r="ED124" s="312"/>
      <c r="EE124" s="312"/>
      <c r="EF124" s="312"/>
      <c r="EG124" s="312"/>
      <c r="EH124" s="312"/>
      <c r="EI124" s="312"/>
      <c r="EJ124" s="312"/>
      <c r="EK124" s="312"/>
      <c r="EL124" s="312"/>
      <c r="EM124" s="312"/>
      <c r="EN124" s="312"/>
      <c r="EO124" s="312"/>
      <c r="EP124" s="312"/>
      <c r="EQ124" s="312"/>
      <c r="ER124" s="312"/>
      <c r="ES124" s="312"/>
      <c r="ET124" s="312"/>
      <c r="EU124" s="312"/>
      <c r="EV124" s="312"/>
      <c r="EW124" s="312"/>
      <c r="EX124" s="312"/>
      <c r="EY124" s="312"/>
      <c r="EZ124" s="312"/>
      <c r="FA124" s="312"/>
      <c r="FB124" s="312"/>
      <c r="FC124" s="312"/>
      <c r="FD124" s="312"/>
      <c r="FE124" s="312"/>
      <c r="FF124" s="312"/>
      <c r="FG124" s="312"/>
      <c r="FH124" s="312"/>
      <c r="FI124" s="312"/>
      <c r="FJ124" s="312"/>
      <c r="FK124" s="312"/>
      <c r="FL124" s="312"/>
      <c r="FM124" s="312"/>
      <c r="FN124" s="312"/>
      <c r="FO124" s="312"/>
      <c r="FP124" s="312"/>
      <c r="FQ124" s="312"/>
      <c r="FR124" s="312"/>
      <c r="FS124" s="312"/>
      <c r="FT124" s="312"/>
      <c r="FU124" s="312"/>
      <c r="FV124" s="312"/>
      <c r="FW124" s="312"/>
      <c r="FX124" s="312"/>
      <c r="FY124" s="312"/>
      <c r="FZ124" s="312"/>
      <c r="GA124" s="312"/>
      <c r="GB124" s="312"/>
      <c r="GC124" s="312"/>
      <c r="GD124" s="312"/>
      <c r="GE124" s="312"/>
      <c r="GF124" s="312"/>
      <c r="GG124" s="312"/>
      <c r="GH124" s="312"/>
      <c r="GI124" s="312"/>
      <c r="GJ124" s="312"/>
      <c r="GK124" s="312"/>
      <c r="GL124" s="312"/>
      <c r="GM124" s="312"/>
      <c r="GN124" s="312"/>
      <c r="GO124" s="312"/>
      <c r="GP124" s="312"/>
      <c r="GQ124" s="312"/>
      <c r="GR124" s="312"/>
      <c r="GS124" s="312"/>
      <c r="GT124" s="312"/>
      <c r="GU124" s="312"/>
      <c r="GV124" s="312"/>
      <c r="GW124" s="312"/>
      <c r="GX124" s="312"/>
      <c r="GY124" s="312"/>
    </row>
    <row r="125" spans="2:207" ht="15.75" x14ac:dyDescent="0.25">
      <c r="B125" s="316">
        <f t="shared" si="20"/>
        <v>95</v>
      </c>
      <c r="C125" s="330">
        <f>'סיכום לוועדה'!B125</f>
        <v>1001347697</v>
      </c>
      <c r="D125" s="330">
        <f>'סיכום לוועדה'!C125</f>
        <v>1001277111</v>
      </c>
      <c r="E125" s="330">
        <f>'סיכום לוועדה'!D125</f>
        <v>40221541</v>
      </c>
      <c r="F125" s="330">
        <f>'סיכום לוועדה'!E125</f>
        <v>20000201</v>
      </c>
      <c r="G125" s="330" t="str">
        <f>'סיכום לוועדה'!F125</f>
        <v>תל אביב -יפו</v>
      </c>
      <c r="H125" s="317" t="str">
        <f>'סיכום לוועדה'!G125</f>
        <v>מרכז פליציה בלומנטל למוזיקה</v>
      </c>
      <c r="I125" s="318">
        <f>'סיכום לוועדה'!U125</f>
        <v>45000</v>
      </c>
      <c r="J125" s="319">
        <f>'סיכום לוועדה'!T125</f>
        <v>6340.1535418230424</v>
      </c>
      <c r="K125" s="320">
        <f t="shared" si="21"/>
        <v>0</v>
      </c>
      <c r="L125" s="319">
        <f t="shared" si="22"/>
        <v>6340.1535418230424</v>
      </c>
      <c r="M125" s="331">
        <f>'תחום תמיכה ב'!AF125</f>
        <v>3.191375299398521E-5</v>
      </c>
      <c r="N125" s="319">
        <f t="shared" si="19"/>
        <v>6883.7887476170681</v>
      </c>
      <c r="O125" s="321">
        <f t="shared" si="23"/>
        <v>0</v>
      </c>
      <c r="P125" s="322">
        <f t="shared" si="24"/>
        <v>6883.7887476170681</v>
      </c>
      <c r="Q125" s="322">
        <f t="shared" si="25"/>
        <v>6886.9231184392365</v>
      </c>
      <c r="R125" s="321">
        <f t="shared" si="26"/>
        <v>0</v>
      </c>
      <c r="S125" s="322">
        <f t="shared" si="27"/>
        <v>6886.9231184392365</v>
      </c>
      <c r="T125" s="322">
        <f t="shared" si="28"/>
        <v>6886.9231184392229</v>
      </c>
      <c r="U125" s="321">
        <f t="shared" si="29"/>
        <v>0</v>
      </c>
      <c r="V125" s="322">
        <f t="shared" si="30"/>
        <v>6886.9231184392229</v>
      </c>
      <c r="W125" s="322">
        <f t="shared" si="31"/>
        <v>6886.9231184392256</v>
      </c>
      <c r="X125" s="321">
        <f t="shared" si="32"/>
        <v>0</v>
      </c>
      <c r="Y125" s="322">
        <f t="shared" si="33"/>
        <v>6886.9231184392256</v>
      </c>
      <c r="Z125" s="322">
        <f t="shared" si="34"/>
        <v>6886.9231184392247</v>
      </c>
      <c r="AA125" s="323">
        <f t="shared" si="35"/>
        <v>6886.9231184392247</v>
      </c>
      <c r="AB125" s="323"/>
      <c r="AC125" s="323"/>
      <c r="AD125" s="323"/>
      <c r="AE125" s="323"/>
      <c r="AF125" s="324">
        <f t="shared" si="36"/>
        <v>3.9439918147799502E-5</v>
      </c>
      <c r="AG125" s="312"/>
      <c r="AH125" s="312"/>
      <c r="AI125" s="325">
        <f t="shared" si="37"/>
        <v>1</v>
      </c>
      <c r="AJ125" s="312"/>
      <c r="AK125" s="312"/>
      <c r="AL125" s="312"/>
      <c r="AM125" s="312"/>
      <c r="AN125" s="312"/>
      <c r="AO125" s="312"/>
      <c r="AP125" s="312"/>
      <c r="AQ125" s="312"/>
      <c r="AR125" s="312"/>
      <c r="AS125" s="312"/>
      <c r="AT125" s="312"/>
      <c r="AU125" s="312"/>
      <c r="AV125" s="312"/>
      <c r="AW125" s="312"/>
      <c r="AX125" s="312"/>
      <c r="AY125" s="312"/>
      <c r="AZ125" s="312"/>
      <c r="BA125" s="312"/>
      <c r="BB125" s="312"/>
      <c r="BC125" s="312"/>
      <c r="BD125" s="312"/>
      <c r="BE125" s="312"/>
      <c r="BF125" s="312"/>
      <c r="BG125" s="312"/>
      <c r="BH125" s="312"/>
      <c r="BI125" s="312"/>
      <c r="BJ125" s="312"/>
      <c r="BK125" s="312"/>
      <c r="BL125" s="312"/>
      <c r="BM125" s="312"/>
      <c r="BN125" s="312"/>
      <c r="BO125" s="312"/>
      <c r="BP125" s="312"/>
      <c r="BQ125" s="312"/>
      <c r="BR125" s="312"/>
      <c r="BS125" s="312"/>
      <c r="BT125" s="312"/>
      <c r="BU125" s="312"/>
      <c r="BV125" s="312"/>
      <c r="BW125" s="312"/>
      <c r="BX125" s="312"/>
      <c r="BY125" s="312"/>
      <c r="BZ125" s="312"/>
      <c r="CA125" s="312"/>
      <c r="CB125" s="312"/>
      <c r="CC125" s="312"/>
      <c r="CD125" s="312"/>
      <c r="CE125" s="312"/>
      <c r="CF125" s="312"/>
      <c r="CG125" s="312"/>
      <c r="CH125" s="312"/>
      <c r="CI125" s="312"/>
      <c r="CJ125" s="312"/>
      <c r="CK125" s="312"/>
      <c r="CL125" s="312"/>
      <c r="CM125" s="312"/>
      <c r="CN125" s="312"/>
      <c r="CO125" s="312"/>
      <c r="CP125" s="312"/>
      <c r="CQ125" s="312"/>
      <c r="CR125" s="312"/>
      <c r="CS125" s="312"/>
      <c r="CT125" s="312"/>
      <c r="CU125" s="312"/>
      <c r="CV125" s="312"/>
      <c r="CW125" s="312"/>
      <c r="CX125" s="312"/>
      <c r="CY125" s="312"/>
      <c r="CZ125" s="312"/>
      <c r="DA125" s="312"/>
      <c r="DB125" s="312"/>
      <c r="DC125" s="312"/>
      <c r="DD125" s="312"/>
      <c r="DE125" s="312"/>
      <c r="DF125" s="312"/>
      <c r="DG125" s="312"/>
      <c r="DH125" s="312"/>
      <c r="DI125" s="312"/>
      <c r="DJ125" s="312"/>
      <c r="DK125" s="312"/>
      <c r="DL125" s="312"/>
      <c r="DM125" s="312"/>
      <c r="DN125" s="312"/>
      <c r="DO125" s="312"/>
      <c r="DP125" s="312"/>
      <c r="DQ125" s="312"/>
      <c r="DR125" s="312"/>
      <c r="DS125" s="312"/>
      <c r="DT125" s="312"/>
      <c r="DU125" s="312"/>
      <c r="DV125" s="312"/>
      <c r="DW125" s="312"/>
      <c r="DX125" s="312"/>
      <c r="DY125" s="312"/>
      <c r="DZ125" s="312"/>
      <c r="EA125" s="312"/>
      <c r="EB125" s="312"/>
      <c r="EC125" s="312"/>
      <c r="ED125" s="312"/>
      <c r="EE125" s="312"/>
      <c r="EF125" s="312"/>
      <c r="EG125" s="312"/>
      <c r="EH125" s="312"/>
      <c r="EI125" s="312"/>
      <c r="EJ125" s="312"/>
      <c r="EK125" s="312"/>
      <c r="EL125" s="312"/>
      <c r="EM125" s="312"/>
      <c r="EN125" s="312"/>
      <c r="EO125" s="312"/>
      <c r="EP125" s="312"/>
      <c r="EQ125" s="312"/>
      <c r="ER125" s="312"/>
      <c r="ES125" s="312"/>
      <c r="ET125" s="312"/>
      <c r="EU125" s="312"/>
      <c r="EV125" s="312"/>
      <c r="EW125" s="312"/>
      <c r="EX125" s="312"/>
      <c r="EY125" s="312"/>
      <c r="EZ125" s="312"/>
      <c r="FA125" s="312"/>
      <c r="FB125" s="312"/>
      <c r="FC125" s="312"/>
      <c r="FD125" s="312"/>
      <c r="FE125" s="312"/>
      <c r="FF125" s="312"/>
      <c r="FG125" s="312"/>
      <c r="FH125" s="312"/>
      <c r="FI125" s="312"/>
      <c r="FJ125" s="312"/>
      <c r="FK125" s="312"/>
      <c r="FL125" s="312"/>
      <c r="FM125" s="312"/>
      <c r="FN125" s="312"/>
      <c r="FO125" s="312"/>
      <c r="FP125" s="312"/>
      <c r="FQ125" s="312"/>
      <c r="FR125" s="312"/>
      <c r="FS125" s="312"/>
      <c r="FT125" s="312"/>
      <c r="FU125" s="312"/>
      <c r="FV125" s="312"/>
      <c r="FW125" s="312"/>
      <c r="FX125" s="312"/>
      <c r="FY125" s="312"/>
      <c r="FZ125" s="312"/>
      <c r="GA125" s="312"/>
      <c r="GB125" s="312"/>
      <c r="GC125" s="312"/>
      <c r="GD125" s="312"/>
      <c r="GE125" s="312"/>
      <c r="GF125" s="312"/>
      <c r="GG125" s="312"/>
      <c r="GH125" s="312"/>
      <c r="GI125" s="312"/>
      <c r="GJ125" s="312"/>
      <c r="GK125" s="312"/>
      <c r="GL125" s="312"/>
      <c r="GM125" s="312"/>
      <c r="GN125" s="312"/>
      <c r="GO125" s="312"/>
      <c r="GP125" s="312"/>
      <c r="GQ125" s="312"/>
      <c r="GR125" s="312"/>
      <c r="GS125" s="312"/>
      <c r="GT125" s="312"/>
      <c r="GU125" s="312"/>
      <c r="GV125" s="312"/>
      <c r="GW125" s="312"/>
      <c r="GX125" s="312"/>
      <c r="GY125" s="312"/>
    </row>
    <row r="126" spans="2:207" ht="15.75" x14ac:dyDescent="0.25">
      <c r="B126" s="316">
        <f t="shared" si="20"/>
        <v>96</v>
      </c>
      <c r="C126" s="330">
        <f>'סיכום לוועדה'!B126</f>
        <v>1001349148</v>
      </c>
      <c r="D126" s="330">
        <f>'סיכום לוועדה'!C126</f>
        <v>1001279372</v>
      </c>
      <c r="E126" s="330">
        <f>'סיכום לוועדה'!D126</f>
        <v>40133812</v>
      </c>
      <c r="F126" s="330">
        <f>'סיכום לוועדה'!E126</f>
        <v>20000201</v>
      </c>
      <c r="G126" s="330" t="str">
        <f>'סיכום לוועדה'!F126</f>
        <v>תל אביב -יפו</v>
      </c>
      <c r="H126" s="317" t="str">
        <f>'סיכום לוועדה'!G126</f>
        <v>תיאטרון "מלנקי"</v>
      </c>
      <c r="I126" s="318">
        <f>'סיכום לוועדה'!U126</f>
        <v>600000</v>
      </c>
      <c r="J126" s="319">
        <f>'סיכום לוועדה'!T126</f>
        <v>48811.421040771434</v>
      </c>
      <c r="K126" s="320">
        <f t="shared" si="21"/>
        <v>0</v>
      </c>
      <c r="L126" s="319">
        <f t="shared" si="22"/>
        <v>48811.421040771434</v>
      </c>
      <c r="M126" s="331">
        <f>'תחום תמיכה ב'!AF126</f>
        <v>1.959231527310593E-4</v>
      </c>
      <c r="N126" s="319">
        <f t="shared" si="19"/>
        <v>52148.876321409778</v>
      </c>
      <c r="O126" s="321">
        <f t="shared" si="23"/>
        <v>0</v>
      </c>
      <c r="P126" s="322">
        <f t="shared" si="24"/>
        <v>52148.876321409778</v>
      </c>
      <c r="Q126" s="322">
        <f t="shared" si="25"/>
        <v>52172.621082084966</v>
      </c>
      <c r="R126" s="321">
        <f t="shared" si="26"/>
        <v>0</v>
      </c>
      <c r="S126" s="322">
        <f t="shared" si="27"/>
        <v>52172.621082084966</v>
      </c>
      <c r="T126" s="322">
        <f t="shared" si="28"/>
        <v>52172.621082084857</v>
      </c>
      <c r="U126" s="321">
        <f t="shared" si="29"/>
        <v>0</v>
      </c>
      <c r="V126" s="322">
        <f t="shared" si="30"/>
        <v>52172.621082084857</v>
      </c>
      <c r="W126" s="322">
        <f t="shared" si="31"/>
        <v>52172.621082084879</v>
      </c>
      <c r="X126" s="321">
        <f t="shared" si="32"/>
        <v>0</v>
      </c>
      <c r="Y126" s="322">
        <f t="shared" si="33"/>
        <v>52172.621082084879</v>
      </c>
      <c r="Z126" s="322">
        <f t="shared" si="34"/>
        <v>52172.621082084872</v>
      </c>
      <c r="AA126" s="323">
        <f t="shared" si="35"/>
        <v>52172.621082084872</v>
      </c>
      <c r="AB126" s="323"/>
      <c r="AC126" s="323"/>
      <c r="AD126" s="323"/>
      <c r="AE126" s="323"/>
      <c r="AF126" s="324">
        <f t="shared" si="36"/>
        <v>2.9878130910511983E-4</v>
      </c>
      <c r="AG126" s="312"/>
      <c r="AH126" s="312"/>
      <c r="AI126" s="325">
        <f t="shared" si="37"/>
        <v>1</v>
      </c>
      <c r="AJ126" s="312"/>
      <c r="AK126" s="312"/>
      <c r="AL126" s="312"/>
      <c r="AM126" s="312"/>
      <c r="AN126" s="312"/>
      <c r="AO126" s="312"/>
      <c r="AP126" s="312"/>
      <c r="AQ126" s="312"/>
      <c r="AR126" s="312"/>
      <c r="AS126" s="312"/>
      <c r="AT126" s="312"/>
      <c r="AU126" s="312"/>
      <c r="AV126" s="312"/>
      <c r="AW126" s="312"/>
      <c r="AX126" s="312"/>
      <c r="AY126" s="312"/>
      <c r="AZ126" s="312"/>
      <c r="BA126" s="312"/>
      <c r="BB126" s="312"/>
      <c r="BC126" s="312"/>
      <c r="BD126" s="312"/>
      <c r="BE126" s="312"/>
      <c r="BF126" s="312"/>
      <c r="BG126" s="312"/>
      <c r="BH126" s="312"/>
      <c r="BI126" s="312"/>
      <c r="BJ126" s="312"/>
      <c r="BK126" s="312"/>
      <c r="BL126" s="312"/>
      <c r="BM126" s="312"/>
      <c r="BN126" s="312"/>
      <c r="BO126" s="312"/>
      <c r="BP126" s="312"/>
      <c r="BQ126" s="312"/>
      <c r="BR126" s="312"/>
      <c r="BS126" s="312"/>
      <c r="BT126" s="312"/>
      <c r="BU126" s="312"/>
      <c r="BV126" s="312"/>
      <c r="BW126" s="312"/>
      <c r="BX126" s="312"/>
      <c r="BY126" s="312"/>
      <c r="BZ126" s="312"/>
      <c r="CA126" s="312"/>
      <c r="CB126" s="312"/>
      <c r="CC126" s="312"/>
      <c r="CD126" s="312"/>
      <c r="CE126" s="312"/>
      <c r="CF126" s="312"/>
      <c r="CG126" s="312"/>
      <c r="CH126" s="312"/>
      <c r="CI126" s="312"/>
      <c r="CJ126" s="312"/>
      <c r="CK126" s="312"/>
      <c r="CL126" s="312"/>
      <c r="CM126" s="312"/>
      <c r="CN126" s="312"/>
      <c r="CO126" s="312"/>
      <c r="CP126" s="312"/>
      <c r="CQ126" s="312"/>
      <c r="CR126" s="312"/>
      <c r="CS126" s="312"/>
      <c r="CT126" s="312"/>
      <c r="CU126" s="312"/>
      <c r="CV126" s="312"/>
      <c r="CW126" s="312"/>
      <c r="CX126" s="312"/>
      <c r="CY126" s="312"/>
      <c r="CZ126" s="312"/>
      <c r="DA126" s="312"/>
      <c r="DB126" s="312"/>
      <c r="DC126" s="312"/>
      <c r="DD126" s="312"/>
      <c r="DE126" s="312"/>
      <c r="DF126" s="312"/>
      <c r="DG126" s="312"/>
      <c r="DH126" s="312"/>
      <c r="DI126" s="312"/>
      <c r="DJ126" s="312"/>
      <c r="DK126" s="312"/>
      <c r="DL126" s="312"/>
      <c r="DM126" s="312"/>
      <c r="DN126" s="312"/>
      <c r="DO126" s="312"/>
      <c r="DP126" s="312"/>
      <c r="DQ126" s="312"/>
      <c r="DR126" s="312"/>
      <c r="DS126" s="312"/>
      <c r="DT126" s="312"/>
      <c r="DU126" s="312"/>
      <c r="DV126" s="312"/>
      <c r="DW126" s="312"/>
      <c r="DX126" s="312"/>
      <c r="DY126" s="312"/>
      <c r="DZ126" s="312"/>
      <c r="EA126" s="312"/>
      <c r="EB126" s="312"/>
      <c r="EC126" s="312"/>
      <c r="ED126" s="312"/>
      <c r="EE126" s="312"/>
      <c r="EF126" s="312"/>
      <c r="EG126" s="312"/>
      <c r="EH126" s="312"/>
      <c r="EI126" s="312"/>
      <c r="EJ126" s="312"/>
      <c r="EK126" s="312"/>
      <c r="EL126" s="312"/>
      <c r="EM126" s="312"/>
      <c r="EN126" s="312"/>
      <c r="EO126" s="312"/>
      <c r="EP126" s="312"/>
      <c r="EQ126" s="312"/>
      <c r="ER126" s="312"/>
      <c r="ES126" s="312"/>
      <c r="ET126" s="312"/>
      <c r="EU126" s="312"/>
      <c r="EV126" s="312"/>
      <c r="EW126" s="312"/>
      <c r="EX126" s="312"/>
      <c r="EY126" s="312"/>
      <c r="EZ126" s="312"/>
      <c r="FA126" s="312"/>
      <c r="FB126" s="312"/>
      <c r="FC126" s="312"/>
      <c r="FD126" s="312"/>
      <c r="FE126" s="312"/>
      <c r="FF126" s="312"/>
      <c r="FG126" s="312"/>
      <c r="FH126" s="312"/>
      <c r="FI126" s="312"/>
      <c r="FJ126" s="312"/>
      <c r="FK126" s="312"/>
      <c r="FL126" s="312"/>
      <c r="FM126" s="312"/>
      <c r="FN126" s="312"/>
      <c r="FO126" s="312"/>
      <c r="FP126" s="312"/>
      <c r="FQ126" s="312"/>
      <c r="FR126" s="312"/>
      <c r="FS126" s="312"/>
      <c r="FT126" s="312"/>
      <c r="FU126" s="312"/>
      <c r="FV126" s="312"/>
      <c r="FW126" s="312"/>
      <c r="FX126" s="312"/>
      <c r="FY126" s="312"/>
      <c r="FZ126" s="312"/>
      <c r="GA126" s="312"/>
      <c r="GB126" s="312"/>
      <c r="GC126" s="312"/>
      <c r="GD126" s="312"/>
      <c r="GE126" s="312"/>
      <c r="GF126" s="312"/>
      <c r="GG126" s="312"/>
      <c r="GH126" s="312"/>
      <c r="GI126" s="312"/>
      <c r="GJ126" s="312"/>
      <c r="GK126" s="312"/>
      <c r="GL126" s="312"/>
      <c r="GM126" s="312"/>
      <c r="GN126" s="312"/>
      <c r="GO126" s="312"/>
      <c r="GP126" s="312"/>
      <c r="GQ126" s="312"/>
      <c r="GR126" s="312"/>
      <c r="GS126" s="312"/>
      <c r="GT126" s="312"/>
      <c r="GU126" s="312"/>
      <c r="GV126" s="312"/>
      <c r="GW126" s="312"/>
      <c r="GX126" s="312"/>
      <c r="GY126" s="312"/>
    </row>
    <row r="127" spans="2:207" ht="15.75" x14ac:dyDescent="0.25">
      <c r="B127" s="316">
        <f t="shared" si="20"/>
        <v>97</v>
      </c>
      <c r="C127" s="330">
        <f>'סיכום לוועדה'!B127</f>
        <v>1001350656</v>
      </c>
      <c r="D127" s="330">
        <f>'סיכום לוועדה'!C127</f>
        <v>1001288980</v>
      </c>
      <c r="E127" s="330">
        <f>'סיכום לוועדה'!D127</f>
        <v>40209197</v>
      </c>
      <c r="F127" s="330">
        <f>'סיכום לוועדה'!E127</f>
        <v>20000248</v>
      </c>
      <c r="G127" s="330" t="str">
        <f>'סיכום לוועדה'!F127</f>
        <v>רחובות</v>
      </c>
      <c r="H127" s="317" t="str">
        <f>'סיכום לוועדה'!G127</f>
        <v>מכון דוידסון לחינוך מדעי</v>
      </c>
      <c r="I127" s="318">
        <f>'סיכום לוועדה'!U127</f>
        <v>909691</v>
      </c>
      <c r="J127" s="319">
        <f>'סיכום לוועדה'!T127</f>
        <v>705943.9558426491</v>
      </c>
      <c r="K127" s="320">
        <f t="shared" si="21"/>
        <v>0</v>
      </c>
      <c r="L127" s="319">
        <f t="shared" si="22"/>
        <v>705943.9558426491</v>
      </c>
      <c r="M127" s="331">
        <f>'תחום תמיכה ב'!AF127</f>
        <v>4.5928632746162759E-3</v>
      </c>
      <c r="N127" s="319">
        <f t="shared" si="19"/>
        <v>784181.1400419008</v>
      </c>
      <c r="O127" s="321">
        <f t="shared" si="23"/>
        <v>0</v>
      </c>
      <c r="P127" s="322">
        <f t="shared" si="24"/>
        <v>784181.1400419008</v>
      </c>
      <c r="Q127" s="322">
        <f t="shared" si="25"/>
        <v>784538.19842570054</v>
      </c>
      <c r="R127" s="321">
        <f t="shared" si="26"/>
        <v>0</v>
      </c>
      <c r="S127" s="322">
        <f t="shared" si="27"/>
        <v>784538.19842570054</v>
      </c>
      <c r="T127" s="322">
        <f t="shared" si="28"/>
        <v>784538.19842569891</v>
      </c>
      <c r="U127" s="321">
        <f t="shared" si="29"/>
        <v>0</v>
      </c>
      <c r="V127" s="322">
        <f t="shared" si="30"/>
        <v>784538.19842569891</v>
      </c>
      <c r="W127" s="322">
        <f t="shared" si="31"/>
        <v>784538.19842569926</v>
      </c>
      <c r="X127" s="321">
        <f t="shared" si="32"/>
        <v>0</v>
      </c>
      <c r="Y127" s="322">
        <f t="shared" si="33"/>
        <v>784538.19842569926</v>
      </c>
      <c r="Z127" s="322">
        <f t="shared" si="34"/>
        <v>784538.19842569914</v>
      </c>
      <c r="AA127" s="323">
        <f t="shared" si="35"/>
        <v>784538.19842569914</v>
      </c>
      <c r="AB127" s="323"/>
      <c r="AC127" s="323"/>
      <c r="AD127" s="323"/>
      <c r="AE127" s="323"/>
      <c r="AF127" s="324">
        <f t="shared" si="36"/>
        <v>4.4928804631035341E-3</v>
      </c>
      <c r="AG127" s="312"/>
      <c r="AH127" s="312"/>
      <c r="AI127" s="325">
        <f t="shared" si="37"/>
        <v>1</v>
      </c>
      <c r="AJ127" s="312"/>
      <c r="AK127" s="312"/>
      <c r="AL127" s="312"/>
      <c r="AM127" s="312"/>
      <c r="AN127" s="312"/>
      <c r="AO127" s="312"/>
      <c r="AP127" s="312"/>
      <c r="AQ127" s="312"/>
      <c r="AR127" s="312"/>
      <c r="AS127" s="312"/>
      <c r="AT127" s="312"/>
      <c r="AU127" s="312"/>
      <c r="AV127" s="312"/>
      <c r="AW127" s="312"/>
      <c r="AX127" s="312"/>
      <c r="AY127" s="312"/>
      <c r="AZ127" s="312"/>
      <c r="BA127" s="312"/>
      <c r="BB127" s="312"/>
      <c r="BC127" s="312"/>
      <c r="BD127" s="312"/>
      <c r="BE127" s="312"/>
      <c r="BF127" s="312"/>
      <c r="BG127" s="312"/>
      <c r="BH127" s="312"/>
      <c r="BI127" s="312"/>
      <c r="BJ127" s="312"/>
      <c r="BK127" s="312"/>
      <c r="BL127" s="312"/>
      <c r="BM127" s="312"/>
      <c r="BN127" s="312"/>
      <c r="BO127" s="312"/>
      <c r="BP127" s="312"/>
      <c r="BQ127" s="312"/>
      <c r="BR127" s="312"/>
      <c r="BS127" s="312"/>
      <c r="BT127" s="312"/>
      <c r="BU127" s="312"/>
      <c r="BV127" s="312"/>
      <c r="BW127" s="312"/>
      <c r="BX127" s="312"/>
      <c r="BY127" s="312"/>
      <c r="BZ127" s="312"/>
      <c r="CA127" s="312"/>
      <c r="CB127" s="312"/>
      <c r="CC127" s="312"/>
      <c r="CD127" s="312"/>
      <c r="CE127" s="312"/>
      <c r="CF127" s="312"/>
      <c r="CG127" s="312"/>
      <c r="CH127" s="312"/>
      <c r="CI127" s="312"/>
      <c r="CJ127" s="312"/>
      <c r="CK127" s="312"/>
      <c r="CL127" s="312"/>
      <c r="CM127" s="312"/>
      <c r="CN127" s="312"/>
      <c r="CO127" s="312"/>
      <c r="CP127" s="312"/>
      <c r="CQ127" s="312"/>
      <c r="CR127" s="312"/>
      <c r="CS127" s="312"/>
      <c r="CT127" s="312"/>
      <c r="CU127" s="312"/>
      <c r="CV127" s="312"/>
      <c r="CW127" s="312"/>
      <c r="CX127" s="312"/>
      <c r="CY127" s="312"/>
      <c r="CZ127" s="312"/>
      <c r="DA127" s="312"/>
      <c r="DB127" s="312"/>
      <c r="DC127" s="312"/>
      <c r="DD127" s="312"/>
      <c r="DE127" s="312"/>
      <c r="DF127" s="312"/>
      <c r="DG127" s="312"/>
      <c r="DH127" s="312"/>
      <c r="DI127" s="312"/>
      <c r="DJ127" s="312"/>
      <c r="DK127" s="312"/>
      <c r="DL127" s="312"/>
      <c r="DM127" s="312"/>
      <c r="DN127" s="312"/>
      <c r="DO127" s="312"/>
      <c r="DP127" s="312"/>
      <c r="DQ127" s="312"/>
      <c r="DR127" s="312"/>
      <c r="DS127" s="312"/>
      <c r="DT127" s="312"/>
      <c r="DU127" s="312"/>
      <c r="DV127" s="312"/>
      <c r="DW127" s="312"/>
      <c r="DX127" s="312"/>
      <c r="DY127" s="312"/>
      <c r="DZ127" s="312"/>
      <c r="EA127" s="312"/>
      <c r="EB127" s="312"/>
      <c r="EC127" s="312"/>
      <c r="ED127" s="312"/>
      <c r="EE127" s="312"/>
      <c r="EF127" s="312"/>
      <c r="EG127" s="312"/>
      <c r="EH127" s="312"/>
      <c r="EI127" s="312"/>
      <c r="EJ127" s="312"/>
      <c r="EK127" s="312"/>
      <c r="EL127" s="312"/>
      <c r="EM127" s="312"/>
      <c r="EN127" s="312"/>
      <c r="EO127" s="312"/>
      <c r="EP127" s="312"/>
      <c r="EQ127" s="312"/>
      <c r="ER127" s="312"/>
      <c r="ES127" s="312"/>
      <c r="ET127" s="312"/>
      <c r="EU127" s="312"/>
      <c r="EV127" s="312"/>
      <c r="EW127" s="312"/>
      <c r="EX127" s="312"/>
      <c r="EY127" s="312"/>
      <c r="EZ127" s="312"/>
      <c r="FA127" s="312"/>
      <c r="FB127" s="312"/>
      <c r="FC127" s="312"/>
      <c r="FD127" s="312"/>
      <c r="FE127" s="312"/>
      <c r="FF127" s="312"/>
      <c r="FG127" s="312"/>
      <c r="FH127" s="312"/>
      <c r="FI127" s="312"/>
      <c r="FJ127" s="312"/>
      <c r="FK127" s="312"/>
      <c r="FL127" s="312"/>
      <c r="FM127" s="312"/>
      <c r="FN127" s="312"/>
      <c r="FO127" s="312"/>
      <c r="FP127" s="312"/>
      <c r="FQ127" s="312"/>
      <c r="FR127" s="312"/>
      <c r="FS127" s="312"/>
      <c r="FT127" s="312"/>
      <c r="FU127" s="312"/>
      <c r="FV127" s="312"/>
      <c r="FW127" s="312"/>
      <c r="FX127" s="312"/>
      <c r="FY127" s="312"/>
      <c r="FZ127" s="312"/>
      <c r="GA127" s="312"/>
      <c r="GB127" s="312"/>
      <c r="GC127" s="312"/>
      <c r="GD127" s="312"/>
      <c r="GE127" s="312"/>
      <c r="GF127" s="312"/>
      <c r="GG127" s="312"/>
      <c r="GH127" s="312"/>
      <c r="GI127" s="312"/>
      <c r="GJ127" s="312"/>
      <c r="GK127" s="312"/>
      <c r="GL127" s="312"/>
      <c r="GM127" s="312"/>
      <c r="GN127" s="312"/>
      <c r="GO127" s="312"/>
      <c r="GP127" s="312"/>
      <c r="GQ127" s="312"/>
      <c r="GR127" s="312"/>
      <c r="GS127" s="312"/>
      <c r="GT127" s="312"/>
      <c r="GU127" s="312"/>
      <c r="GV127" s="312"/>
      <c r="GW127" s="312"/>
      <c r="GX127" s="312"/>
      <c r="GY127" s="312"/>
    </row>
    <row r="128" spans="2:207" ht="15.75" x14ac:dyDescent="0.25">
      <c r="B128" s="316">
        <f t="shared" si="20"/>
        <v>98</v>
      </c>
      <c r="C128" s="330">
        <f>'סיכום לוועדה'!B128</f>
        <v>1001348864</v>
      </c>
      <c r="D128" s="330">
        <f>'סיכום לוועדה'!C128</f>
        <v>1001311515</v>
      </c>
      <c r="E128" s="330">
        <f>'סיכום לוועדה'!D128</f>
        <v>40216045</v>
      </c>
      <c r="F128" s="330">
        <f>'סיכום לוועדה'!E128</f>
        <v>20000158</v>
      </c>
      <c r="G128" s="330" t="str">
        <f>'סיכום לוועדה'!F128</f>
        <v>גולן</v>
      </c>
      <c r="H128" s="317" t="str">
        <f>'סיכום לוועדה'!G128</f>
        <v>תל-חי כיתות אומן בינ"ל לפסנתר</v>
      </c>
      <c r="I128" s="318">
        <f>'סיכום לוועדה'!U128</f>
        <v>100000</v>
      </c>
      <c r="J128" s="319">
        <f>'סיכום לוועדה'!T128</f>
        <v>189859.14435483306</v>
      </c>
      <c r="K128" s="320">
        <f t="shared" si="21"/>
        <v>1</v>
      </c>
      <c r="L128" s="319">
        <f t="shared" si="22"/>
        <v>100000</v>
      </c>
      <c r="M128" s="331">
        <f>'תחום תמיכה ב'!AF128</f>
        <v>1.375085091395181E-3</v>
      </c>
      <c r="N128" s="319">
        <f t="shared" si="19"/>
        <v>100000</v>
      </c>
      <c r="O128" s="321">
        <f t="shared" si="23"/>
        <v>1</v>
      </c>
      <c r="P128" s="322">
        <f t="shared" si="24"/>
        <v>100000</v>
      </c>
      <c r="Q128" s="322">
        <f t="shared" si="25"/>
        <v>100000</v>
      </c>
      <c r="R128" s="321">
        <f t="shared" si="26"/>
        <v>1</v>
      </c>
      <c r="S128" s="322">
        <f t="shared" si="27"/>
        <v>100000</v>
      </c>
      <c r="T128" s="322">
        <f t="shared" si="28"/>
        <v>100000</v>
      </c>
      <c r="U128" s="321">
        <f t="shared" si="29"/>
        <v>1</v>
      </c>
      <c r="V128" s="322">
        <f t="shared" si="30"/>
        <v>100000</v>
      </c>
      <c r="W128" s="322">
        <f t="shared" si="31"/>
        <v>100000</v>
      </c>
      <c r="X128" s="321">
        <f t="shared" si="32"/>
        <v>1</v>
      </c>
      <c r="Y128" s="322">
        <f t="shared" si="33"/>
        <v>100000</v>
      </c>
      <c r="Z128" s="322">
        <f t="shared" si="34"/>
        <v>100000</v>
      </c>
      <c r="AA128" s="323">
        <f t="shared" si="35"/>
        <v>100000</v>
      </c>
      <c r="AB128" s="323"/>
      <c r="AC128" s="323"/>
      <c r="AD128" s="323"/>
      <c r="AE128" s="323"/>
      <c r="AF128" s="324">
        <f t="shared" si="36"/>
        <v>5.7267835678609586E-4</v>
      </c>
      <c r="AG128" s="312"/>
      <c r="AH128" s="312"/>
      <c r="AI128" s="325">
        <f t="shared" si="37"/>
        <v>1</v>
      </c>
      <c r="AJ128" s="312"/>
      <c r="AK128" s="312"/>
      <c r="AL128" s="312"/>
      <c r="AM128" s="312"/>
      <c r="AN128" s="312"/>
      <c r="AO128" s="312"/>
      <c r="AP128" s="312"/>
      <c r="AQ128" s="312"/>
      <c r="AR128" s="312"/>
      <c r="AS128" s="312"/>
      <c r="AT128" s="312"/>
      <c r="AU128" s="312"/>
      <c r="AV128" s="312"/>
      <c r="AW128" s="312"/>
      <c r="AX128" s="312"/>
      <c r="AY128" s="312"/>
      <c r="AZ128" s="312"/>
      <c r="BA128" s="312"/>
      <c r="BB128" s="312"/>
      <c r="BC128" s="312"/>
      <c r="BD128" s="312"/>
      <c r="BE128" s="312"/>
      <c r="BF128" s="312"/>
      <c r="BG128" s="312"/>
      <c r="BH128" s="312"/>
      <c r="BI128" s="312"/>
      <c r="BJ128" s="312"/>
      <c r="BK128" s="312"/>
      <c r="BL128" s="312"/>
      <c r="BM128" s="312"/>
      <c r="BN128" s="312"/>
      <c r="BO128" s="312"/>
      <c r="BP128" s="312"/>
      <c r="BQ128" s="312"/>
      <c r="BR128" s="312"/>
      <c r="BS128" s="312"/>
      <c r="BT128" s="312"/>
      <c r="BU128" s="312"/>
      <c r="BV128" s="312"/>
      <c r="BW128" s="312"/>
      <c r="BX128" s="312"/>
      <c r="BY128" s="312"/>
      <c r="BZ128" s="312"/>
      <c r="CA128" s="312"/>
      <c r="CB128" s="312"/>
      <c r="CC128" s="312"/>
      <c r="CD128" s="312"/>
      <c r="CE128" s="312"/>
      <c r="CF128" s="312"/>
      <c r="CG128" s="312"/>
      <c r="CH128" s="312"/>
      <c r="CI128" s="312"/>
      <c r="CJ128" s="312"/>
      <c r="CK128" s="312"/>
      <c r="CL128" s="312"/>
      <c r="CM128" s="312"/>
      <c r="CN128" s="312"/>
      <c r="CO128" s="312"/>
      <c r="CP128" s="312"/>
      <c r="CQ128" s="312"/>
      <c r="CR128" s="312"/>
      <c r="CS128" s="312"/>
      <c r="CT128" s="312"/>
      <c r="CU128" s="312"/>
      <c r="CV128" s="312"/>
      <c r="CW128" s="312"/>
      <c r="CX128" s="312"/>
      <c r="CY128" s="312"/>
      <c r="CZ128" s="312"/>
      <c r="DA128" s="312"/>
      <c r="DB128" s="312"/>
      <c r="DC128" s="312"/>
      <c r="DD128" s="312"/>
      <c r="DE128" s="312"/>
      <c r="DF128" s="312"/>
      <c r="DG128" s="312"/>
      <c r="DH128" s="312"/>
      <c r="DI128" s="312"/>
      <c r="DJ128" s="312"/>
      <c r="DK128" s="312"/>
      <c r="DL128" s="312"/>
      <c r="DM128" s="312"/>
      <c r="DN128" s="312"/>
      <c r="DO128" s="312"/>
      <c r="DP128" s="312"/>
      <c r="DQ128" s="312"/>
      <c r="DR128" s="312"/>
      <c r="DS128" s="312"/>
      <c r="DT128" s="312"/>
      <c r="DU128" s="312"/>
      <c r="DV128" s="312"/>
      <c r="DW128" s="312"/>
      <c r="DX128" s="312"/>
      <c r="DY128" s="312"/>
      <c r="DZ128" s="312"/>
      <c r="EA128" s="312"/>
      <c r="EB128" s="312"/>
      <c r="EC128" s="312"/>
      <c r="ED128" s="312"/>
      <c r="EE128" s="312"/>
      <c r="EF128" s="312"/>
      <c r="EG128" s="312"/>
      <c r="EH128" s="312"/>
      <c r="EI128" s="312"/>
      <c r="EJ128" s="312"/>
      <c r="EK128" s="312"/>
      <c r="EL128" s="312"/>
      <c r="EM128" s="312"/>
      <c r="EN128" s="312"/>
      <c r="EO128" s="312"/>
      <c r="EP128" s="312"/>
      <c r="EQ128" s="312"/>
      <c r="ER128" s="312"/>
      <c r="ES128" s="312"/>
      <c r="ET128" s="312"/>
      <c r="EU128" s="312"/>
      <c r="EV128" s="312"/>
      <c r="EW128" s="312"/>
      <c r="EX128" s="312"/>
      <c r="EY128" s="312"/>
      <c r="EZ128" s="312"/>
      <c r="FA128" s="312"/>
      <c r="FB128" s="312"/>
      <c r="FC128" s="312"/>
      <c r="FD128" s="312"/>
      <c r="FE128" s="312"/>
      <c r="FF128" s="312"/>
      <c r="FG128" s="312"/>
      <c r="FH128" s="312"/>
      <c r="FI128" s="312"/>
      <c r="FJ128" s="312"/>
      <c r="FK128" s="312"/>
      <c r="FL128" s="312"/>
      <c r="FM128" s="312"/>
      <c r="FN128" s="312"/>
      <c r="FO128" s="312"/>
      <c r="FP128" s="312"/>
      <c r="FQ128" s="312"/>
      <c r="FR128" s="312"/>
      <c r="FS128" s="312"/>
      <c r="FT128" s="312"/>
      <c r="FU128" s="312"/>
      <c r="FV128" s="312"/>
      <c r="FW128" s="312"/>
      <c r="FX128" s="312"/>
      <c r="FY128" s="312"/>
      <c r="FZ128" s="312"/>
      <c r="GA128" s="312"/>
      <c r="GB128" s="312"/>
      <c r="GC128" s="312"/>
      <c r="GD128" s="312"/>
      <c r="GE128" s="312"/>
      <c r="GF128" s="312"/>
      <c r="GG128" s="312"/>
      <c r="GH128" s="312"/>
      <c r="GI128" s="312"/>
      <c r="GJ128" s="312"/>
      <c r="GK128" s="312"/>
      <c r="GL128" s="312"/>
      <c r="GM128" s="312"/>
      <c r="GN128" s="312"/>
      <c r="GO128" s="312"/>
      <c r="GP128" s="312"/>
      <c r="GQ128" s="312"/>
      <c r="GR128" s="312"/>
      <c r="GS128" s="312"/>
      <c r="GT128" s="312"/>
      <c r="GU128" s="312"/>
      <c r="GV128" s="312"/>
      <c r="GW128" s="312"/>
      <c r="GX128" s="312"/>
      <c r="GY128" s="312"/>
    </row>
    <row r="129" spans="2:207" ht="15.75" x14ac:dyDescent="0.25">
      <c r="B129" s="316">
        <f t="shared" si="20"/>
        <v>99</v>
      </c>
      <c r="C129" s="330">
        <f>'סיכום לוועדה'!B129</f>
        <v>1001350625</v>
      </c>
      <c r="D129" s="330">
        <f>'סיכום לוועדה'!C129</f>
        <v>1001312149</v>
      </c>
      <c r="E129" s="330">
        <f>'סיכום לוועדה'!D129</f>
        <v>40233029</v>
      </c>
      <c r="F129" s="330">
        <f>'סיכום לוועדה'!E129</f>
        <v>20000159</v>
      </c>
      <c r="G129" s="330" t="str">
        <f>'סיכום לוועדה'!F129</f>
        <v>ירושלים</v>
      </c>
      <c r="H129" s="317" t="str">
        <f>'סיכום לוועדה'!G129</f>
        <v>המרכז למוסיקה ירושלים</v>
      </c>
      <c r="I129" s="318">
        <f>'סיכום לוועדה'!U129</f>
        <v>1270065</v>
      </c>
      <c r="J129" s="319">
        <f>'סיכום לוועדה'!T129</f>
        <v>407027.97560367023</v>
      </c>
      <c r="K129" s="320">
        <f t="shared" si="21"/>
        <v>0</v>
      </c>
      <c r="L129" s="319">
        <f t="shared" si="22"/>
        <v>407027.97560367023</v>
      </c>
      <c r="M129" s="331">
        <f>'תחום תמיכה ב'!AF129</f>
        <v>3.0003100541983372E-3</v>
      </c>
      <c r="N129" s="319">
        <f t="shared" si="19"/>
        <v>458136.79298617633</v>
      </c>
      <c r="O129" s="321">
        <f t="shared" si="23"/>
        <v>0</v>
      </c>
      <c r="P129" s="322">
        <f t="shared" si="24"/>
        <v>458136.79298617633</v>
      </c>
      <c r="Q129" s="322">
        <f t="shared" si="25"/>
        <v>458345.39476771629</v>
      </c>
      <c r="R129" s="321">
        <f t="shared" si="26"/>
        <v>0</v>
      </c>
      <c r="S129" s="322">
        <f t="shared" si="27"/>
        <v>458345.39476771629</v>
      </c>
      <c r="T129" s="322">
        <f t="shared" si="28"/>
        <v>458345.39476771542</v>
      </c>
      <c r="U129" s="321">
        <f t="shared" si="29"/>
        <v>0</v>
      </c>
      <c r="V129" s="322">
        <f t="shared" si="30"/>
        <v>458345.39476771542</v>
      </c>
      <c r="W129" s="322">
        <f t="shared" si="31"/>
        <v>458345.3947677156</v>
      </c>
      <c r="X129" s="321">
        <f t="shared" si="32"/>
        <v>0</v>
      </c>
      <c r="Y129" s="322">
        <f t="shared" si="33"/>
        <v>458345.3947677156</v>
      </c>
      <c r="Z129" s="322">
        <f t="shared" si="34"/>
        <v>458345.39476771554</v>
      </c>
      <c r="AA129" s="323">
        <f t="shared" si="35"/>
        <v>458345.39476771554</v>
      </c>
      <c r="AB129" s="323"/>
      <c r="AC129" s="323"/>
      <c r="AD129" s="323"/>
      <c r="AE129" s="323"/>
      <c r="AF129" s="324">
        <f t="shared" si="36"/>
        <v>2.6248448751604973E-3</v>
      </c>
      <c r="AG129" s="312"/>
      <c r="AH129" s="312"/>
      <c r="AI129" s="325">
        <f t="shared" si="37"/>
        <v>1</v>
      </c>
      <c r="AJ129" s="312"/>
      <c r="AK129" s="312"/>
      <c r="AL129" s="312"/>
      <c r="AM129" s="312"/>
      <c r="AN129" s="312"/>
      <c r="AO129" s="312"/>
      <c r="AP129" s="312"/>
      <c r="AQ129" s="312"/>
      <c r="AR129" s="312"/>
      <c r="AS129" s="312"/>
      <c r="AT129" s="312"/>
      <c r="AU129" s="312"/>
      <c r="AV129" s="312"/>
      <c r="AW129" s="312"/>
      <c r="AX129" s="312"/>
      <c r="AY129" s="312"/>
      <c r="AZ129" s="312"/>
      <c r="BA129" s="312"/>
      <c r="BB129" s="312"/>
      <c r="BC129" s="312"/>
      <c r="BD129" s="312"/>
      <c r="BE129" s="312"/>
      <c r="BF129" s="312"/>
      <c r="BG129" s="312"/>
      <c r="BH129" s="312"/>
      <c r="BI129" s="312"/>
      <c r="BJ129" s="312"/>
      <c r="BK129" s="312"/>
      <c r="BL129" s="312"/>
      <c r="BM129" s="312"/>
      <c r="BN129" s="312"/>
      <c r="BO129" s="312"/>
      <c r="BP129" s="312"/>
      <c r="BQ129" s="312"/>
      <c r="BR129" s="312"/>
      <c r="BS129" s="312"/>
      <c r="BT129" s="312"/>
      <c r="BU129" s="312"/>
      <c r="BV129" s="312"/>
      <c r="BW129" s="312"/>
      <c r="BX129" s="312"/>
      <c r="BY129" s="312"/>
      <c r="BZ129" s="312"/>
      <c r="CA129" s="312"/>
      <c r="CB129" s="312"/>
      <c r="CC129" s="312"/>
      <c r="CD129" s="312"/>
      <c r="CE129" s="312"/>
      <c r="CF129" s="312"/>
      <c r="CG129" s="312"/>
      <c r="CH129" s="312"/>
      <c r="CI129" s="312"/>
      <c r="CJ129" s="312"/>
      <c r="CK129" s="312"/>
      <c r="CL129" s="312"/>
      <c r="CM129" s="312"/>
      <c r="CN129" s="312"/>
      <c r="CO129" s="312"/>
      <c r="CP129" s="312"/>
      <c r="CQ129" s="312"/>
      <c r="CR129" s="312"/>
      <c r="CS129" s="312"/>
      <c r="CT129" s="312"/>
      <c r="CU129" s="312"/>
      <c r="CV129" s="312"/>
      <c r="CW129" s="312"/>
      <c r="CX129" s="312"/>
      <c r="CY129" s="312"/>
      <c r="CZ129" s="312"/>
      <c r="DA129" s="312"/>
      <c r="DB129" s="312"/>
      <c r="DC129" s="312"/>
      <c r="DD129" s="312"/>
      <c r="DE129" s="312"/>
      <c r="DF129" s="312"/>
      <c r="DG129" s="312"/>
      <c r="DH129" s="312"/>
      <c r="DI129" s="312"/>
      <c r="DJ129" s="312"/>
      <c r="DK129" s="312"/>
      <c r="DL129" s="312"/>
      <c r="DM129" s="312"/>
      <c r="DN129" s="312"/>
      <c r="DO129" s="312"/>
      <c r="DP129" s="312"/>
      <c r="DQ129" s="312"/>
      <c r="DR129" s="312"/>
      <c r="DS129" s="312"/>
      <c r="DT129" s="312"/>
      <c r="DU129" s="312"/>
      <c r="DV129" s="312"/>
      <c r="DW129" s="312"/>
      <c r="DX129" s="312"/>
      <c r="DY129" s="312"/>
      <c r="DZ129" s="312"/>
      <c r="EA129" s="312"/>
      <c r="EB129" s="312"/>
      <c r="EC129" s="312"/>
      <c r="ED129" s="312"/>
      <c r="EE129" s="312"/>
      <c r="EF129" s="312"/>
      <c r="EG129" s="312"/>
      <c r="EH129" s="312"/>
      <c r="EI129" s="312"/>
      <c r="EJ129" s="312"/>
      <c r="EK129" s="312"/>
      <c r="EL129" s="312"/>
      <c r="EM129" s="312"/>
      <c r="EN129" s="312"/>
      <c r="EO129" s="312"/>
      <c r="EP129" s="312"/>
      <c r="EQ129" s="312"/>
      <c r="ER129" s="312"/>
      <c r="ES129" s="312"/>
      <c r="ET129" s="312"/>
      <c r="EU129" s="312"/>
      <c r="EV129" s="312"/>
      <c r="EW129" s="312"/>
      <c r="EX129" s="312"/>
      <c r="EY129" s="312"/>
      <c r="EZ129" s="312"/>
      <c r="FA129" s="312"/>
      <c r="FB129" s="312"/>
      <c r="FC129" s="312"/>
      <c r="FD129" s="312"/>
      <c r="FE129" s="312"/>
      <c r="FF129" s="312"/>
      <c r="FG129" s="312"/>
      <c r="FH129" s="312"/>
      <c r="FI129" s="312"/>
      <c r="FJ129" s="312"/>
      <c r="FK129" s="312"/>
      <c r="FL129" s="312"/>
      <c r="FM129" s="312"/>
      <c r="FN129" s="312"/>
      <c r="FO129" s="312"/>
      <c r="FP129" s="312"/>
      <c r="FQ129" s="312"/>
      <c r="FR129" s="312"/>
      <c r="FS129" s="312"/>
      <c r="FT129" s="312"/>
      <c r="FU129" s="312"/>
      <c r="FV129" s="312"/>
      <c r="FW129" s="312"/>
      <c r="FX129" s="312"/>
      <c r="FY129" s="312"/>
      <c r="FZ129" s="312"/>
      <c r="GA129" s="312"/>
      <c r="GB129" s="312"/>
      <c r="GC129" s="312"/>
      <c r="GD129" s="312"/>
      <c r="GE129" s="312"/>
      <c r="GF129" s="312"/>
      <c r="GG129" s="312"/>
      <c r="GH129" s="312"/>
      <c r="GI129" s="312"/>
      <c r="GJ129" s="312"/>
      <c r="GK129" s="312"/>
      <c r="GL129" s="312"/>
      <c r="GM129" s="312"/>
      <c r="GN129" s="312"/>
      <c r="GO129" s="312"/>
      <c r="GP129" s="312"/>
      <c r="GQ129" s="312"/>
      <c r="GR129" s="312"/>
      <c r="GS129" s="312"/>
      <c r="GT129" s="312"/>
      <c r="GU129" s="312"/>
      <c r="GV129" s="312"/>
      <c r="GW129" s="312"/>
      <c r="GX129" s="312"/>
      <c r="GY129" s="312"/>
    </row>
    <row r="130" spans="2:207" ht="15.75" x14ac:dyDescent="0.25">
      <c r="B130" s="316">
        <f t="shared" si="20"/>
        <v>100</v>
      </c>
      <c r="C130" s="330">
        <f>'סיכום לוועדה'!B130</f>
        <v>1001347014</v>
      </c>
      <c r="D130" s="330">
        <f>'סיכום לוועדה'!C130</f>
        <v>1001269702</v>
      </c>
      <c r="E130" s="330">
        <f>'סיכום לוועדה'!D130</f>
        <v>40216083</v>
      </c>
      <c r="F130" s="330">
        <f>'סיכום לוועדה'!E130</f>
        <v>20000159</v>
      </c>
      <c r="G130" s="330" t="str">
        <f>'סיכום לוועדה'!F130</f>
        <v>ירושלים</v>
      </c>
      <c r="H130" s="317" t="str">
        <f>'סיכום לוועדה'!G130</f>
        <v>תאטרון "פסיק" ירושלים</v>
      </c>
      <c r="I130" s="318">
        <f>'סיכום לוועדה'!U130</f>
        <v>2551736</v>
      </c>
      <c r="J130" s="319">
        <f>'סיכום לוועדה'!T130</f>
        <v>343071.7036655579</v>
      </c>
      <c r="K130" s="320">
        <f t="shared" si="21"/>
        <v>0</v>
      </c>
      <c r="L130" s="319">
        <f t="shared" si="22"/>
        <v>343071.7036655579</v>
      </c>
      <c r="M130" s="331">
        <f>'תחום תמיכה ב'!AF130</f>
        <v>1.9591799107286033E-3</v>
      </c>
      <c r="N130" s="319">
        <f t="shared" si="19"/>
        <v>376445.37720866018</v>
      </c>
      <c r="O130" s="321">
        <f t="shared" si="23"/>
        <v>0</v>
      </c>
      <c r="P130" s="322">
        <f t="shared" si="24"/>
        <v>376445.37720866018</v>
      </c>
      <c r="Q130" s="322">
        <f t="shared" si="25"/>
        <v>376616.78273107274</v>
      </c>
      <c r="R130" s="321">
        <f t="shared" si="26"/>
        <v>0</v>
      </c>
      <c r="S130" s="322">
        <f t="shared" si="27"/>
        <v>376616.78273107274</v>
      </c>
      <c r="T130" s="322">
        <f t="shared" si="28"/>
        <v>376616.78273107199</v>
      </c>
      <c r="U130" s="321">
        <f t="shared" si="29"/>
        <v>0</v>
      </c>
      <c r="V130" s="322">
        <f t="shared" si="30"/>
        <v>376616.78273107199</v>
      </c>
      <c r="W130" s="322">
        <f t="shared" si="31"/>
        <v>376616.7827310721</v>
      </c>
      <c r="X130" s="321">
        <f t="shared" si="32"/>
        <v>0</v>
      </c>
      <c r="Y130" s="322">
        <f t="shared" si="33"/>
        <v>376616.7827310721</v>
      </c>
      <c r="Z130" s="322">
        <f t="shared" si="34"/>
        <v>376616.78273107205</v>
      </c>
      <c r="AA130" s="323">
        <f t="shared" si="35"/>
        <v>376616.78273107205</v>
      </c>
      <c r="AB130" s="323"/>
      <c r="AC130" s="323"/>
      <c r="AD130" s="323"/>
      <c r="AE130" s="323"/>
      <c r="AF130" s="324">
        <f t="shared" si="36"/>
        <v>2.156802802724964E-3</v>
      </c>
      <c r="AG130" s="312"/>
      <c r="AH130" s="312"/>
      <c r="AI130" s="325">
        <f t="shared" si="37"/>
        <v>1</v>
      </c>
      <c r="AJ130" s="312"/>
      <c r="AK130" s="312"/>
      <c r="AL130" s="312"/>
      <c r="AM130" s="312"/>
      <c r="AN130" s="312"/>
      <c r="AO130" s="312"/>
      <c r="AP130" s="312"/>
      <c r="AQ130" s="312"/>
      <c r="AR130" s="312"/>
      <c r="AS130" s="312"/>
      <c r="AT130" s="312"/>
      <c r="AU130" s="312"/>
      <c r="AV130" s="312"/>
      <c r="AW130" s="312"/>
      <c r="AX130" s="312"/>
      <c r="AY130" s="312"/>
      <c r="AZ130" s="312"/>
      <c r="BA130" s="312"/>
      <c r="BB130" s="312"/>
      <c r="BC130" s="312"/>
      <c r="BD130" s="312"/>
      <c r="BE130" s="312"/>
      <c r="BF130" s="312"/>
      <c r="BG130" s="312"/>
      <c r="BH130" s="312"/>
      <c r="BI130" s="312"/>
      <c r="BJ130" s="312"/>
      <c r="BK130" s="312"/>
      <c r="BL130" s="312"/>
      <c r="BM130" s="312"/>
      <c r="BN130" s="312"/>
      <c r="BO130" s="312"/>
      <c r="BP130" s="312"/>
      <c r="BQ130" s="312"/>
      <c r="BR130" s="312"/>
      <c r="BS130" s="312"/>
      <c r="BT130" s="312"/>
      <c r="BU130" s="312"/>
      <c r="BV130" s="312"/>
      <c r="BW130" s="312"/>
      <c r="BX130" s="312"/>
      <c r="BY130" s="312"/>
      <c r="BZ130" s="312"/>
      <c r="CA130" s="312"/>
      <c r="CB130" s="312"/>
      <c r="CC130" s="312"/>
      <c r="CD130" s="312"/>
      <c r="CE130" s="312"/>
      <c r="CF130" s="312"/>
      <c r="CG130" s="312"/>
      <c r="CH130" s="312"/>
      <c r="CI130" s="312"/>
      <c r="CJ130" s="312"/>
      <c r="CK130" s="312"/>
      <c r="CL130" s="312"/>
      <c r="CM130" s="312"/>
      <c r="CN130" s="312"/>
      <c r="CO130" s="312"/>
      <c r="CP130" s="312"/>
      <c r="CQ130" s="312"/>
      <c r="CR130" s="312"/>
      <c r="CS130" s="312"/>
      <c r="CT130" s="312"/>
      <c r="CU130" s="312"/>
      <c r="CV130" s="312"/>
      <c r="CW130" s="312"/>
      <c r="CX130" s="312"/>
      <c r="CY130" s="312"/>
      <c r="CZ130" s="312"/>
      <c r="DA130" s="312"/>
      <c r="DB130" s="312"/>
      <c r="DC130" s="312"/>
      <c r="DD130" s="312"/>
      <c r="DE130" s="312"/>
      <c r="DF130" s="312"/>
      <c r="DG130" s="312"/>
      <c r="DH130" s="312"/>
      <c r="DI130" s="312"/>
      <c r="DJ130" s="312"/>
      <c r="DK130" s="312"/>
      <c r="DL130" s="312"/>
      <c r="DM130" s="312"/>
      <c r="DN130" s="312"/>
      <c r="DO130" s="312"/>
      <c r="DP130" s="312"/>
      <c r="DQ130" s="312"/>
      <c r="DR130" s="312"/>
      <c r="DS130" s="312"/>
      <c r="DT130" s="312"/>
      <c r="DU130" s="312"/>
      <c r="DV130" s="312"/>
      <c r="DW130" s="312"/>
      <c r="DX130" s="312"/>
      <c r="DY130" s="312"/>
      <c r="DZ130" s="312"/>
      <c r="EA130" s="312"/>
      <c r="EB130" s="312"/>
      <c r="EC130" s="312"/>
      <c r="ED130" s="312"/>
      <c r="EE130" s="312"/>
      <c r="EF130" s="312"/>
      <c r="EG130" s="312"/>
      <c r="EH130" s="312"/>
      <c r="EI130" s="312"/>
      <c r="EJ130" s="312"/>
      <c r="EK130" s="312"/>
      <c r="EL130" s="312"/>
      <c r="EM130" s="312"/>
      <c r="EN130" s="312"/>
      <c r="EO130" s="312"/>
      <c r="EP130" s="312"/>
      <c r="EQ130" s="312"/>
      <c r="ER130" s="312"/>
      <c r="ES130" s="312"/>
      <c r="ET130" s="312"/>
      <c r="EU130" s="312"/>
      <c r="EV130" s="312"/>
      <c r="EW130" s="312"/>
      <c r="EX130" s="312"/>
      <c r="EY130" s="312"/>
      <c r="EZ130" s="312"/>
      <c r="FA130" s="312"/>
      <c r="FB130" s="312"/>
      <c r="FC130" s="312"/>
      <c r="FD130" s="312"/>
      <c r="FE130" s="312"/>
      <c r="FF130" s="312"/>
      <c r="FG130" s="312"/>
      <c r="FH130" s="312"/>
      <c r="FI130" s="312"/>
      <c r="FJ130" s="312"/>
      <c r="FK130" s="312"/>
      <c r="FL130" s="312"/>
      <c r="FM130" s="312"/>
      <c r="FN130" s="312"/>
      <c r="FO130" s="312"/>
      <c r="FP130" s="312"/>
      <c r="FQ130" s="312"/>
      <c r="FR130" s="312"/>
      <c r="FS130" s="312"/>
      <c r="FT130" s="312"/>
      <c r="FU130" s="312"/>
      <c r="FV130" s="312"/>
      <c r="FW130" s="312"/>
      <c r="FX130" s="312"/>
      <c r="FY130" s="312"/>
      <c r="FZ130" s="312"/>
      <c r="GA130" s="312"/>
      <c r="GB130" s="312"/>
      <c r="GC130" s="312"/>
      <c r="GD130" s="312"/>
      <c r="GE130" s="312"/>
      <c r="GF130" s="312"/>
      <c r="GG130" s="312"/>
      <c r="GH130" s="312"/>
      <c r="GI130" s="312"/>
      <c r="GJ130" s="312"/>
      <c r="GK130" s="312"/>
      <c r="GL130" s="312"/>
      <c r="GM130" s="312"/>
      <c r="GN130" s="312"/>
      <c r="GO130" s="312"/>
      <c r="GP130" s="312"/>
      <c r="GQ130" s="312"/>
      <c r="GR130" s="312"/>
      <c r="GS130" s="312"/>
      <c r="GT130" s="312"/>
      <c r="GU130" s="312"/>
      <c r="GV130" s="312"/>
      <c r="GW130" s="312"/>
      <c r="GX130" s="312"/>
      <c r="GY130" s="312"/>
    </row>
    <row r="131" spans="2:207" ht="15.75" x14ac:dyDescent="0.25">
      <c r="B131" s="316">
        <f t="shared" si="20"/>
        <v>101</v>
      </c>
      <c r="C131" s="330">
        <f>'סיכום לוועדה'!B131</f>
        <v>1001350428</v>
      </c>
      <c r="D131" s="330">
        <f>'סיכום לוועדה'!C131</f>
        <v>1001269684</v>
      </c>
      <c r="E131" s="330">
        <f>'סיכום לוועדה'!D131</f>
        <v>40216083</v>
      </c>
      <c r="F131" s="330">
        <f>'סיכום לוועדה'!E131</f>
        <v>20000159</v>
      </c>
      <c r="G131" s="330" t="str">
        <f>'סיכום לוועדה'!F131</f>
        <v>ירושלים</v>
      </c>
      <c r="H131" s="317" t="str">
        <f>'סיכום לוועדה'!G131</f>
        <v>תאטרון "פסיק" ירושלים</v>
      </c>
      <c r="I131" s="318">
        <f>'סיכום לוועדה'!U131</f>
        <v>180000</v>
      </c>
      <c r="J131" s="319">
        <f>'סיכום לוועדה'!T131</f>
        <v>5080.5099794176522</v>
      </c>
      <c r="K131" s="320">
        <f t="shared" si="21"/>
        <v>0</v>
      </c>
      <c r="L131" s="319">
        <f t="shared" si="22"/>
        <v>5080.5099794176522</v>
      </c>
      <c r="M131" s="331">
        <f>'תחום תמיכה ב'!AF131</f>
        <v>2.0633370254307618E-5</v>
      </c>
      <c r="N131" s="319">
        <f t="shared" si="19"/>
        <v>5431.9893709683402</v>
      </c>
      <c r="O131" s="321">
        <f t="shared" si="23"/>
        <v>0</v>
      </c>
      <c r="P131" s="322">
        <f t="shared" si="24"/>
        <v>5431.9893709683402</v>
      </c>
      <c r="Q131" s="322">
        <f t="shared" si="25"/>
        <v>5434.4626991913465</v>
      </c>
      <c r="R131" s="321">
        <f t="shared" si="26"/>
        <v>0</v>
      </c>
      <c r="S131" s="322">
        <f t="shared" si="27"/>
        <v>5434.4626991913465</v>
      </c>
      <c r="T131" s="322">
        <f t="shared" si="28"/>
        <v>5434.4626991913356</v>
      </c>
      <c r="U131" s="321">
        <f t="shared" si="29"/>
        <v>0</v>
      </c>
      <c r="V131" s="322">
        <f t="shared" si="30"/>
        <v>5434.4626991913356</v>
      </c>
      <c r="W131" s="322">
        <f t="shared" si="31"/>
        <v>5434.4626991913374</v>
      </c>
      <c r="X131" s="321">
        <f t="shared" si="32"/>
        <v>0</v>
      </c>
      <c r="Y131" s="322">
        <f t="shared" si="33"/>
        <v>5434.4626991913374</v>
      </c>
      <c r="Z131" s="322">
        <f t="shared" si="34"/>
        <v>5434.4626991913365</v>
      </c>
      <c r="AA131" s="323">
        <f t="shared" si="35"/>
        <v>5434.4626991913365</v>
      </c>
      <c r="AB131" s="323"/>
      <c r="AC131" s="323"/>
      <c r="AD131" s="323"/>
      <c r="AE131" s="323"/>
      <c r="AF131" s="324">
        <f t="shared" si="36"/>
        <v>3.1121991685882259E-5</v>
      </c>
      <c r="AG131" s="312"/>
      <c r="AH131" s="312"/>
      <c r="AI131" s="325">
        <f t="shared" si="37"/>
        <v>1</v>
      </c>
      <c r="AJ131" s="312"/>
      <c r="AK131" s="312"/>
      <c r="AL131" s="312"/>
      <c r="AM131" s="312"/>
      <c r="AN131" s="312"/>
      <c r="AO131" s="312"/>
      <c r="AP131" s="312"/>
      <c r="AQ131" s="312"/>
      <c r="AR131" s="312"/>
      <c r="AS131" s="312"/>
      <c r="AT131" s="312"/>
      <c r="AU131" s="312"/>
      <c r="AV131" s="312"/>
      <c r="AW131" s="312"/>
      <c r="AX131" s="312"/>
      <c r="AY131" s="312"/>
      <c r="AZ131" s="312"/>
      <c r="BA131" s="312"/>
      <c r="BB131" s="312"/>
      <c r="BC131" s="312"/>
      <c r="BD131" s="312"/>
      <c r="BE131" s="312"/>
      <c r="BF131" s="312"/>
      <c r="BG131" s="312"/>
      <c r="BH131" s="312"/>
      <c r="BI131" s="312"/>
      <c r="BJ131" s="312"/>
      <c r="BK131" s="312"/>
      <c r="BL131" s="312"/>
      <c r="BM131" s="312"/>
      <c r="BN131" s="312"/>
      <c r="BO131" s="312"/>
      <c r="BP131" s="312"/>
      <c r="BQ131" s="312"/>
      <c r="BR131" s="312"/>
      <c r="BS131" s="312"/>
      <c r="BT131" s="312"/>
      <c r="BU131" s="312"/>
      <c r="BV131" s="312"/>
      <c r="BW131" s="312"/>
      <c r="BX131" s="312"/>
      <c r="BY131" s="312"/>
      <c r="BZ131" s="312"/>
      <c r="CA131" s="312"/>
      <c r="CB131" s="312"/>
      <c r="CC131" s="312"/>
      <c r="CD131" s="312"/>
      <c r="CE131" s="312"/>
      <c r="CF131" s="312"/>
      <c r="CG131" s="312"/>
      <c r="CH131" s="312"/>
      <c r="CI131" s="312"/>
      <c r="CJ131" s="312"/>
      <c r="CK131" s="312"/>
      <c r="CL131" s="312"/>
      <c r="CM131" s="312"/>
      <c r="CN131" s="312"/>
      <c r="CO131" s="312"/>
      <c r="CP131" s="312"/>
      <c r="CQ131" s="312"/>
      <c r="CR131" s="312"/>
      <c r="CS131" s="312"/>
      <c r="CT131" s="312"/>
      <c r="CU131" s="312"/>
      <c r="CV131" s="312"/>
      <c r="CW131" s="312"/>
      <c r="CX131" s="312"/>
      <c r="CY131" s="312"/>
      <c r="CZ131" s="312"/>
      <c r="DA131" s="312"/>
      <c r="DB131" s="312"/>
      <c r="DC131" s="312"/>
      <c r="DD131" s="312"/>
      <c r="DE131" s="312"/>
      <c r="DF131" s="312"/>
      <c r="DG131" s="312"/>
      <c r="DH131" s="312"/>
      <c r="DI131" s="312"/>
      <c r="DJ131" s="312"/>
      <c r="DK131" s="312"/>
      <c r="DL131" s="312"/>
      <c r="DM131" s="312"/>
      <c r="DN131" s="312"/>
      <c r="DO131" s="312"/>
      <c r="DP131" s="312"/>
      <c r="DQ131" s="312"/>
      <c r="DR131" s="312"/>
      <c r="DS131" s="312"/>
      <c r="DT131" s="312"/>
      <c r="DU131" s="312"/>
      <c r="DV131" s="312"/>
      <c r="DW131" s="312"/>
      <c r="DX131" s="312"/>
      <c r="DY131" s="312"/>
      <c r="DZ131" s="312"/>
      <c r="EA131" s="312"/>
      <c r="EB131" s="312"/>
      <c r="EC131" s="312"/>
      <c r="ED131" s="312"/>
      <c r="EE131" s="312"/>
      <c r="EF131" s="312"/>
      <c r="EG131" s="312"/>
      <c r="EH131" s="312"/>
      <c r="EI131" s="312"/>
      <c r="EJ131" s="312"/>
      <c r="EK131" s="312"/>
      <c r="EL131" s="312"/>
      <c r="EM131" s="312"/>
      <c r="EN131" s="312"/>
      <c r="EO131" s="312"/>
      <c r="EP131" s="312"/>
      <c r="EQ131" s="312"/>
      <c r="ER131" s="312"/>
      <c r="ES131" s="312"/>
      <c r="ET131" s="312"/>
      <c r="EU131" s="312"/>
      <c r="EV131" s="312"/>
      <c r="EW131" s="312"/>
      <c r="EX131" s="312"/>
      <c r="EY131" s="312"/>
      <c r="EZ131" s="312"/>
      <c r="FA131" s="312"/>
      <c r="FB131" s="312"/>
      <c r="FC131" s="312"/>
      <c r="FD131" s="312"/>
      <c r="FE131" s="312"/>
      <c r="FF131" s="312"/>
      <c r="FG131" s="312"/>
      <c r="FH131" s="312"/>
      <c r="FI131" s="312"/>
      <c r="FJ131" s="312"/>
      <c r="FK131" s="312"/>
      <c r="FL131" s="312"/>
      <c r="FM131" s="312"/>
      <c r="FN131" s="312"/>
      <c r="FO131" s="312"/>
      <c r="FP131" s="312"/>
      <c r="FQ131" s="312"/>
      <c r="FR131" s="312"/>
      <c r="FS131" s="312"/>
      <c r="FT131" s="312"/>
      <c r="FU131" s="312"/>
      <c r="FV131" s="312"/>
      <c r="FW131" s="312"/>
      <c r="FX131" s="312"/>
      <c r="FY131" s="312"/>
      <c r="FZ131" s="312"/>
      <c r="GA131" s="312"/>
      <c r="GB131" s="312"/>
      <c r="GC131" s="312"/>
      <c r="GD131" s="312"/>
      <c r="GE131" s="312"/>
      <c r="GF131" s="312"/>
      <c r="GG131" s="312"/>
      <c r="GH131" s="312"/>
      <c r="GI131" s="312"/>
      <c r="GJ131" s="312"/>
      <c r="GK131" s="312"/>
      <c r="GL131" s="312"/>
      <c r="GM131" s="312"/>
      <c r="GN131" s="312"/>
      <c r="GO131" s="312"/>
      <c r="GP131" s="312"/>
      <c r="GQ131" s="312"/>
      <c r="GR131" s="312"/>
      <c r="GS131" s="312"/>
      <c r="GT131" s="312"/>
      <c r="GU131" s="312"/>
      <c r="GV131" s="312"/>
      <c r="GW131" s="312"/>
      <c r="GX131" s="312"/>
      <c r="GY131" s="312"/>
    </row>
    <row r="132" spans="2:207" ht="15.75" x14ac:dyDescent="0.25">
      <c r="B132" s="316">
        <f t="shared" si="20"/>
        <v>102</v>
      </c>
      <c r="C132" s="330">
        <f>'סיכום לוועדה'!B132</f>
        <v>1001350429</v>
      </c>
      <c r="D132" s="330">
        <f>'סיכום לוועדה'!C132</f>
        <v>1001269710</v>
      </c>
      <c r="E132" s="330">
        <f>'סיכום לוועדה'!D132</f>
        <v>40216083</v>
      </c>
      <c r="F132" s="330">
        <f>'סיכום לוועדה'!E132</f>
        <v>20000159</v>
      </c>
      <c r="G132" s="330" t="str">
        <f>'סיכום לוועדה'!F132</f>
        <v>ירושלים</v>
      </c>
      <c r="H132" s="317" t="str">
        <f>'סיכום לוועדה'!G132</f>
        <v>תאטרון "פסיק" ירושלים</v>
      </c>
      <c r="I132" s="318">
        <f>'סיכום לוועדה'!U132</f>
        <v>130000</v>
      </c>
      <c r="J132" s="319">
        <f>'סיכום לוועדה'!T132</f>
        <v>6575.501562705731</v>
      </c>
      <c r="K132" s="320">
        <f t="shared" si="21"/>
        <v>0</v>
      </c>
      <c r="L132" s="319">
        <f t="shared" si="22"/>
        <v>6575.501562705731</v>
      </c>
      <c r="M132" s="331">
        <f>'תחום תמיכה ב'!AF132</f>
        <v>2.7417128999344218E-5</v>
      </c>
      <c r="N132" s="319">
        <f t="shared" si="19"/>
        <v>7042.538973462435</v>
      </c>
      <c r="O132" s="321">
        <f t="shared" si="23"/>
        <v>0</v>
      </c>
      <c r="P132" s="322">
        <f t="shared" si="24"/>
        <v>7042.538973462435</v>
      </c>
      <c r="Q132" s="322">
        <f t="shared" si="25"/>
        <v>7045.7456274551296</v>
      </c>
      <c r="R132" s="321">
        <f t="shared" si="26"/>
        <v>0</v>
      </c>
      <c r="S132" s="322">
        <f t="shared" si="27"/>
        <v>7045.7456274551296</v>
      </c>
      <c r="T132" s="322">
        <f t="shared" si="28"/>
        <v>7045.745627455115</v>
      </c>
      <c r="U132" s="321">
        <f t="shared" si="29"/>
        <v>0</v>
      </c>
      <c r="V132" s="322">
        <f t="shared" si="30"/>
        <v>7045.745627455115</v>
      </c>
      <c r="W132" s="322">
        <f t="shared" si="31"/>
        <v>7045.7456274551178</v>
      </c>
      <c r="X132" s="321">
        <f t="shared" si="32"/>
        <v>0</v>
      </c>
      <c r="Y132" s="322">
        <f t="shared" si="33"/>
        <v>7045.7456274551178</v>
      </c>
      <c r="Z132" s="322">
        <f t="shared" si="34"/>
        <v>7045.7456274551168</v>
      </c>
      <c r="AA132" s="323">
        <f t="shared" si="35"/>
        <v>7045.7456274551168</v>
      </c>
      <c r="AB132" s="323"/>
      <c r="AC132" s="323"/>
      <c r="AD132" s="323"/>
      <c r="AE132" s="323"/>
      <c r="AF132" s="324">
        <f t="shared" si="36"/>
        <v>4.0349460282638158E-5</v>
      </c>
      <c r="AG132" s="312"/>
      <c r="AH132" s="312"/>
      <c r="AI132" s="325">
        <f t="shared" si="37"/>
        <v>1</v>
      </c>
      <c r="AJ132" s="312"/>
      <c r="AK132" s="312"/>
      <c r="AL132" s="312"/>
      <c r="AM132" s="312"/>
      <c r="AN132" s="312"/>
      <c r="AO132" s="312"/>
      <c r="AP132" s="312"/>
      <c r="AQ132" s="312"/>
      <c r="AR132" s="312"/>
      <c r="AS132" s="312"/>
      <c r="AT132" s="312"/>
      <c r="AU132" s="312"/>
      <c r="AV132" s="312"/>
      <c r="AW132" s="312"/>
      <c r="AX132" s="312"/>
      <c r="AY132" s="312"/>
      <c r="AZ132" s="312"/>
      <c r="BA132" s="312"/>
      <c r="BB132" s="312"/>
      <c r="BC132" s="312"/>
      <c r="BD132" s="312"/>
      <c r="BE132" s="312"/>
      <c r="BF132" s="312"/>
      <c r="BG132" s="312"/>
      <c r="BH132" s="312"/>
      <c r="BI132" s="312"/>
      <c r="BJ132" s="312"/>
      <c r="BK132" s="312"/>
      <c r="BL132" s="312"/>
      <c r="BM132" s="312"/>
      <c r="BN132" s="312"/>
      <c r="BO132" s="312"/>
      <c r="BP132" s="312"/>
      <c r="BQ132" s="312"/>
      <c r="BR132" s="312"/>
      <c r="BS132" s="312"/>
      <c r="BT132" s="312"/>
      <c r="BU132" s="312"/>
      <c r="BV132" s="312"/>
      <c r="BW132" s="312"/>
      <c r="BX132" s="312"/>
      <c r="BY132" s="312"/>
      <c r="BZ132" s="312"/>
      <c r="CA132" s="312"/>
      <c r="CB132" s="312"/>
      <c r="CC132" s="312"/>
      <c r="CD132" s="312"/>
      <c r="CE132" s="312"/>
      <c r="CF132" s="312"/>
      <c r="CG132" s="312"/>
      <c r="CH132" s="312"/>
      <c r="CI132" s="312"/>
      <c r="CJ132" s="312"/>
      <c r="CK132" s="312"/>
      <c r="CL132" s="312"/>
      <c r="CM132" s="312"/>
      <c r="CN132" s="312"/>
      <c r="CO132" s="312"/>
      <c r="CP132" s="312"/>
      <c r="CQ132" s="312"/>
      <c r="CR132" s="312"/>
      <c r="CS132" s="312"/>
      <c r="CT132" s="312"/>
      <c r="CU132" s="312"/>
      <c r="CV132" s="312"/>
      <c r="CW132" s="312"/>
      <c r="CX132" s="312"/>
      <c r="CY132" s="312"/>
      <c r="CZ132" s="312"/>
      <c r="DA132" s="312"/>
      <c r="DB132" s="312"/>
      <c r="DC132" s="312"/>
      <c r="DD132" s="312"/>
      <c r="DE132" s="312"/>
      <c r="DF132" s="312"/>
      <c r="DG132" s="312"/>
      <c r="DH132" s="312"/>
      <c r="DI132" s="312"/>
      <c r="DJ132" s="312"/>
      <c r="DK132" s="312"/>
      <c r="DL132" s="312"/>
      <c r="DM132" s="312"/>
      <c r="DN132" s="312"/>
      <c r="DO132" s="312"/>
      <c r="DP132" s="312"/>
      <c r="DQ132" s="312"/>
      <c r="DR132" s="312"/>
      <c r="DS132" s="312"/>
      <c r="DT132" s="312"/>
      <c r="DU132" s="312"/>
      <c r="DV132" s="312"/>
      <c r="DW132" s="312"/>
      <c r="DX132" s="312"/>
      <c r="DY132" s="312"/>
      <c r="DZ132" s="312"/>
      <c r="EA132" s="312"/>
      <c r="EB132" s="312"/>
      <c r="EC132" s="312"/>
      <c r="ED132" s="312"/>
      <c r="EE132" s="312"/>
      <c r="EF132" s="312"/>
      <c r="EG132" s="312"/>
      <c r="EH132" s="312"/>
      <c r="EI132" s="312"/>
      <c r="EJ132" s="312"/>
      <c r="EK132" s="312"/>
      <c r="EL132" s="312"/>
      <c r="EM132" s="312"/>
      <c r="EN132" s="312"/>
      <c r="EO132" s="312"/>
      <c r="EP132" s="312"/>
      <c r="EQ132" s="312"/>
      <c r="ER132" s="312"/>
      <c r="ES132" s="312"/>
      <c r="ET132" s="312"/>
      <c r="EU132" s="312"/>
      <c r="EV132" s="312"/>
      <c r="EW132" s="312"/>
      <c r="EX132" s="312"/>
      <c r="EY132" s="312"/>
      <c r="EZ132" s="312"/>
      <c r="FA132" s="312"/>
      <c r="FB132" s="312"/>
      <c r="FC132" s="312"/>
      <c r="FD132" s="312"/>
      <c r="FE132" s="312"/>
      <c r="FF132" s="312"/>
      <c r="FG132" s="312"/>
      <c r="FH132" s="312"/>
      <c r="FI132" s="312"/>
      <c r="FJ132" s="312"/>
      <c r="FK132" s="312"/>
      <c r="FL132" s="312"/>
      <c r="FM132" s="312"/>
      <c r="FN132" s="312"/>
      <c r="FO132" s="312"/>
      <c r="FP132" s="312"/>
      <c r="FQ132" s="312"/>
      <c r="FR132" s="312"/>
      <c r="FS132" s="312"/>
      <c r="FT132" s="312"/>
      <c r="FU132" s="312"/>
      <c r="FV132" s="312"/>
      <c r="FW132" s="312"/>
      <c r="FX132" s="312"/>
      <c r="FY132" s="312"/>
      <c r="FZ132" s="312"/>
      <c r="GA132" s="312"/>
      <c r="GB132" s="312"/>
      <c r="GC132" s="312"/>
      <c r="GD132" s="312"/>
      <c r="GE132" s="312"/>
      <c r="GF132" s="312"/>
      <c r="GG132" s="312"/>
      <c r="GH132" s="312"/>
      <c r="GI132" s="312"/>
      <c r="GJ132" s="312"/>
      <c r="GK132" s="312"/>
      <c r="GL132" s="312"/>
      <c r="GM132" s="312"/>
      <c r="GN132" s="312"/>
      <c r="GO132" s="312"/>
      <c r="GP132" s="312"/>
      <c r="GQ132" s="312"/>
      <c r="GR132" s="312"/>
      <c r="GS132" s="312"/>
      <c r="GT132" s="312"/>
      <c r="GU132" s="312"/>
      <c r="GV132" s="312"/>
      <c r="GW132" s="312"/>
      <c r="GX132" s="312"/>
      <c r="GY132" s="312"/>
    </row>
    <row r="133" spans="2:207" ht="15.75" x14ac:dyDescent="0.25">
      <c r="B133" s="316">
        <f t="shared" si="20"/>
        <v>103</v>
      </c>
      <c r="C133" s="330">
        <f>'סיכום לוועדה'!B133</f>
        <v>1001350431</v>
      </c>
      <c r="D133" s="330">
        <f>'סיכום לוועדה'!C133</f>
        <v>1001268315</v>
      </c>
      <c r="E133" s="330">
        <f>'סיכום לוועדה'!D133</f>
        <v>40216083</v>
      </c>
      <c r="F133" s="330">
        <f>'סיכום לוועדה'!E133</f>
        <v>20000159</v>
      </c>
      <c r="G133" s="330" t="str">
        <f>'סיכום לוועדה'!F133</f>
        <v>ירושלים</v>
      </c>
      <c r="H133" s="317" t="str">
        <f>'סיכום לוועדה'!G133</f>
        <v>תאטרון "פסיק" ירושלים</v>
      </c>
      <c r="I133" s="318">
        <f>'סיכום לוועדה'!U133</f>
        <v>650000</v>
      </c>
      <c r="J133" s="319">
        <f>'סיכום לוועדה'!T133</f>
        <v>78887.379542875278</v>
      </c>
      <c r="K133" s="320">
        <f t="shared" si="21"/>
        <v>0</v>
      </c>
      <c r="L133" s="319">
        <f t="shared" si="22"/>
        <v>78887.379542875278</v>
      </c>
      <c r="M133" s="331">
        <f>'תחום תמיכה ב'!AF133</f>
        <v>4.6451913998637122E-4</v>
      </c>
      <c r="N133" s="319">
        <f t="shared" si="19"/>
        <v>86800.236370129322</v>
      </c>
      <c r="O133" s="321">
        <f t="shared" si="23"/>
        <v>0</v>
      </c>
      <c r="P133" s="322">
        <f t="shared" si="24"/>
        <v>86800.236370129322</v>
      </c>
      <c r="Q133" s="322">
        <f t="shared" si="25"/>
        <v>86839.758810199855</v>
      </c>
      <c r="R133" s="321">
        <f t="shared" si="26"/>
        <v>0</v>
      </c>
      <c r="S133" s="322">
        <f t="shared" si="27"/>
        <v>86839.758810199855</v>
      </c>
      <c r="T133" s="322">
        <f t="shared" si="28"/>
        <v>86839.758810199681</v>
      </c>
      <c r="U133" s="321">
        <f t="shared" si="29"/>
        <v>0</v>
      </c>
      <c r="V133" s="322">
        <f t="shared" si="30"/>
        <v>86839.758810199681</v>
      </c>
      <c r="W133" s="322">
        <f t="shared" si="31"/>
        <v>86839.758810199724</v>
      </c>
      <c r="X133" s="321">
        <f t="shared" si="32"/>
        <v>0</v>
      </c>
      <c r="Y133" s="322">
        <f t="shared" si="33"/>
        <v>86839.758810199724</v>
      </c>
      <c r="Z133" s="322">
        <f t="shared" si="34"/>
        <v>86839.758810199695</v>
      </c>
      <c r="AA133" s="323">
        <f t="shared" si="35"/>
        <v>86839.758810199695</v>
      </c>
      <c r="AB133" s="323"/>
      <c r="AC133" s="323"/>
      <c r="AD133" s="323"/>
      <c r="AE133" s="323"/>
      <c r="AF133" s="324">
        <f t="shared" si="36"/>
        <v>4.9731250379126052E-4</v>
      </c>
      <c r="AG133" s="312"/>
      <c r="AH133" s="312"/>
      <c r="AI133" s="325">
        <f t="shared" si="37"/>
        <v>1</v>
      </c>
      <c r="AJ133" s="312"/>
      <c r="AK133" s="312"/>
      <c r="AL133" s="312"/>
      <c r="AM133" s="312"/>
      <c r="AN133" s="312"/>
      <c r="AO133" s="312"/>
      <c r="AP133" s="312"/>
      <c r="AQ133" s="312"/>
      <c r="AR133" s="312"/>
      <c r="AS133" s="312"/>
      <c r="AT133" s="312"/>
      <c r="AU133" s="312"/>
      <c r="AV133" s="312"/>
      <c r="AW133" s="312"/>
      <c r="AX133" s="312"/>
      <c r="AY133" s="312"/>
      <c r="AZ133" s="312"/>
      <c r="BA133" s="312"/>
      <c r="BB133" s="312"/>
      <c r="BC133" s="312"/>
      <c r="BD133" s="312"/>
      <c r="BE133" s="312"/>
      <c r="BF133" s="312"/>
      <c r="BG133" s="312"/>
      <c r="BH133" s="312"/>
      <c r="BI133" s="312"/>
      <c r="BJ133" s="312"/>
      <c r="BK133" s="312"/>
      <c r="BL133" s="312"/>
      <c r="BM133" s="312"/>
      <c r="BN133" s="312"/>
      <c r="BO133" s="312"/>
      <c r="BP133" s="312"/>
      <c r="BQ133" s="312"/>
      <c r="BR133" s="312"/>
      <c r="BS133" s="312"/>
      <c r="BT133" s="312"/>
      <c r="BU133" s="312"/>
      <c r="BV133" s="312"/>
      <c r="BW133" s="312"/>
      <c r="BX133" s="312"/>
      <c r="BY133" s="312"/>
      <c r="BZ133" s="312"/>
      <c r="CA133" s="312"/>
      <c r="CB133" s="312"/>
      <c r="CC133" s="312"/>
      <c r="CD133" s="312"/>
      <c r="CE133" s="312"/>
      <c r="CF133" s="312"/>
      <c r="CG133" s="312"/>
      <c r="CH133" s="312"/>
      <c r="CI133" s="312"/>
      <c r="CJ133" s="312"/>
      <c r="CK133" s="312"/>
      <c r="CL133" s="312"/>
      <c r="CM133" s="312"/>
      <c r="CN133" s="312"/>
      <c r="CO133" s="312"/>
      <c r="CP133" s="312"/>
      <c r="CQ133" s="312"/>
      <c r="CR133" s="312"/>
      <c r="CS133" s="312"/>
      <c r="CT133" s="312"/>
      <c r="CU133" s="312"/>
      <c r="CV133" s="312"/>
      <c r="CW133" s="312"/>
      <c r="CX133" s="312"/>
      <c r="CY133" s="312"/>
      <c r="CZ133" s="312"/>
      <c r="DA133" s="312"/>
      <c r="DB133" s="312"/>
      <c r="DC133" s="312"/>
      <c r="DD133" s="312"/>
      <c r="DE133" s="312"/>
      <c r="DF133" s="312"/>
      <c r="DG133" s="312"/>
      <c r="DH133" s="312"/>
      <c r="DI133" s="312"/>
      <c r="DJ133" s="312"/>
      <c r="DK133" s="312"/>
      <c r="DL133" s="312"/>
      <c r="DM133" s="312"/>
      <c r="DN133" s="312"/>
      <c r="DO133" s="312"/>
      <c r="DP133" s="312"/>
      <c r="DQ133" s="312"/>
      <c r="DR133" s="312"/>
      <c r="DS133" s="312"/>
      <c r="DT133" s="312"/>
      <c r="DU133" s="312"/>
      <c r="DV133" s="312"/>
      <c r="DW133" s="312"/>
      <c r="DX133" s="312"/>
      <c r="DY133" s="312"/>
      <c r="DZ133" s="312"/>
      <c r="EA133" s="312"/>
      <c r="EB133" s="312"/>
      <c r="EC133" s="312"/>
      <c r="ED133" s="312"/>
      <c r="EE133" s="312"/>
      <c r="EF133" s="312"/>
      <c r="EG133" s="312"/>
      <c r="EH133" s="312"/>
      <c r="EI133" s="312"/>
      <c r="EJ133" s="312"/>
      <c r="EK133" s="312"/>
      <c r="EL133" s="312"/>
      <c r="EM133" s="312"/>
      <c r="EN133" s="312"/>
      <c r="EO133" s="312"/>
      <c r="EP133" s="312"/>
      <c r="EQ133" s="312"/>
      <c r="ER133" s="312"/>
      <c r="ES133" s="312"/>
      <c r="ET133" s="312"/>
      <c r="EU133" s="312"/>
      <c r="EV133" s="312"/>
      <c r="EW133" s="312"/>
      <c r="EX133" s="312"/>
      <c r="EY133" s="312"/>
      <c r="EZ133" s="312"/>
      <c r="FA133" s="312"/>
      <c r="FB133" s="312"/>
      <c r="FC133" s="312"/>
      <c r="FD133" s="312"/>
      <c r="FE133" s="312"/>
      <c r="FF133" s="312"/>
      <c r="FG133" s="312"/>
      <c r="FH133" s="312"/>
      <c r="FI133" s="312"/>
      <c r="FJ133" s="312"/>
      <c r="FK133" s="312"/>
      <c r="FL133" s="312"/>
      <c r="FM133" s="312"/>
      <c r="FN133" s="312"/>
      <c r="FO133" s="312"/>
      <c r="FP133" s="312"/>
      <c r="FQ133" s="312"/>
      <c r="FR133" s="312"/>
      <c r="FS133" s="312"/>
      <c r="FT133" s="312"/>
      <c r="FU133" s="312"/>
      <c r="FV133" s="312"/>
      <c r="FW133" s="312"/>
      <c r="FX133" s="312"/>
      <c r="FY133" s="312"/>
      <c r="FZ133" s="312"/>
      <c r="GA133" s="312"/>
      <c r="GB133" s="312"/>
      <c r="GC133" s="312"/>
      <c r="GD133" s="312"/>
      <c r="GE133" s="312"/>
      <c r="GF133" s="312"/>
      <c r="GG133" s="312"/>
      <c r="GH133" s="312"/>
      <c r="GI133" s="312"/>
      <c r="GJ133" s="312"/>
      <c r="GK133" s="312"/>
      <c r="GL133" s="312"/>
      <c r="GM133" s="312"/>
      <c r="GN133" s="312"/>
      <c r="GO133" s="312"/>
      <c r="GP133" s="312"/>
      <c r="GQ133" s="312"/>
      <c r="GR133" s="312"/>
      <c r="GS133" s="312"/>
      <c r="GT133" s="312"/>
      <c r="GU133" s="312"/>
      <c r="GV133" s="312"/>
      <c r="GW133" s="312"/>
      <c r="GX133" s="312"/>
      <c r="GY133" s="312"/>
    </row>
    <row r="134" spans="2:207" ht="15.75" x14ac:dyDescent="0.25">
      <c r="B134" s="316">
        <f t="shared" si="20"/>
        <v>104</v>
      </c>
      <c r="C134" s="330">
        <f>'סיכום לוועדה'!B134</f>
        <v>1001350432</v>
      </c>
      <c r="D134" s="330">
        <f>'סיכום לוועדה'!C134</f>
        <v>1001269688</v>
      </c>
      <c r="E134" s="330">
        <f>'סיכום לוועדה'!D134</f>
        <v>40216083</v>
      </c>
      <c r="F134" s="330">
        <f>'סיכום לוועדה'!E134</f>
        <v>20000159</v>
      </c>
      <c r="G134" s="330" t="str">
        <f>'סיכום לוועדה'!F134</f>
        <v>ירושלים</v>
      </c>
      <c r="H134" s="317" t="str">
        <f>'סיכום לוועדה'!G134</f>
        <v>תאטרון "פסיק" ירושלים</v>
      </c>
      <c r="I134" s="318">
        <f>'סיכום לוועדה'!U134</f>
        <v>600000</v>
      </c>
      <c r="J134" s="319">
        <f>'סיכום לוועדה'!T134</f>
        <v>34004.087249719596</v>
      </c>
      <c r="K134" s="320">
        <f t="shared" si="21"/>
        <v>0</v>
      </c>
      <c r="L134" s="319">
        <f t="shared" si="22"/>
        <v>34004.087249719596</v>
      </c>
      <c r="M134" s="331">
        <f>'תחום תמיכה ב'!AF134</f>
        <v>1.7107026409422238E-4</v>
      </c>
      <c r="N134" s="319">
        <f t="shared" si="19"/>
        <v>36918.185702622599</v>
      </c>
      <c r="O134" s="321">
        <f t="shared" si="23"/>
        <v>0</v>
      </c>
      <c r="P134" s="322">
        <f t="shared" si="24"/>
        <v>36918.185702622599</v>
      </c>
      <c r="Q134" s="322">
        <f t="shared" si="25"/>
        <v>36934.995527606516</v>
      </c>
      <c r="R134" s="321">
        <f t="shared" si="26"/>
        <v>0</v>
      </c>
      <c r="S134" s="322">
        <f t="shared" si="27"/>
        <v>36934.995527606516</v>
      </c>
      <c r="T134" s="322">
        <f t="shared" si="28"/>
        <v>36934.995527606443</v>
      </c>
      <c r="U134" s="321">
        <f t="shared" si="29"/>
        <v>0</v>
      </c>
      <c r="V134" s="322">
        <f t="shared" si="30"/>
        <v>36934.995527606443</v>
      </c>
      <c r="W134" s="322">
        <f t="shared" si="31"/>
        <v>36934.995527606457</v>
      </c>
      <c r="X134" s="321">
        <f t="shared" si="32"/>
        <v>0</v>
      </c>
      <c r="Y134" s="322">
        <f t="shared" si="33"/>
        <v>36934.995527606457</v>
      </c>
      <c r="Z134" s="322">
        <f t="shared" si="34"/>
        <v>36934.99552760645</v>
      </c>
      <c r="AA134" s="323">
        <f t="shared" si="35"/>
        <v>36934.99552760645</v>
      </c>
      <c r="AB134" s="323"/>
      <c r="AC134" s="323"/>
      <c r="AD134" s="323"/>
      <c r="AE134" s="323"/>
      <c r="AF134" s="324">
        <f t="shared" si="36"/>
        <v>2.1151872546651461E-4</v>
      </c>
      <c r="AG134" s="312"/>
      <c r="AH134" s="312"/>
      <c r="AI134" s="325">
        <f t="shared" si="37"/>
        <v>1</v>
      </c>
      <c r="AJ134" s="312"/>
      <c r="AK134" s="312"/>
      <c r="AL134" s="312"/>
      <c r="AM134" s="312"/>
      <c r="AN134" s="312"/>
      <c r="AO134" s="312"/>
      <c r="AP134" s="312"/>
      <c r="AQ134" s="312"/>
      <c r="AR134" s="312"/>
      <c r="AS134" s="312"/>
      <c r="AT134" s="312"/>
      <c r="AU134" s="312"/>
      <c r="AV134" s="312"/>
      <c r="AW134" s="312"/>
      <c r="AX134" s="312"/>
      <c r="AY134" s="312"/>
      <c r="AZ134" s="312"/>
      <c r="BA134" s="312"/>
      <c r="BB134" s="312"/>
      <c r="BC134" s="312"/>
      <c r="BD134" s="312"/>
      <c r="BE134" s="312"/>
      <c r="BF134" s="312"/>
      <c r="BG134" s="312"/>
      <c r="BH134" s="312"/>
      <c r="BI134" s="312"/>
      <c r="BJ134" s="312"/>
      <c r="BK134" s="312"/>
      <c r="BL134" s="312"/>
      <c r="BM134" s="312"/>
      <c r="BN134" s="312"/>
      <c r="BO134" s="312"/>
      <c r="BP134" s="312"/>
      <c r="BQ134" s="312"/>
      <c r="BR134" s="312"/>
      <c r="BS134" s="312"/>
      <c r="BT134" s="312"/>
      <c r="BU134" s="312"/>
      <c r="BV134" s="312"/>
      <c r="BW134" s="312"/>
      <c r="BX134" s="312"/>
      <c r="BY134" s="312"/>
      <c r="BZ134" s="312"/>
      <c r="CA134" s="312"/>
      <c r="CB134" s="312"/>
      <c r="CC134" s="312"/>
      <c r="CD134" s="312"/>
      <c r="CE134" s="312"/>
      <c r="CF134" s="312"/>
      <c r="CG134" s="312"/>
      <c r="CH134" s="312"/>
      <c r="CI134" s="312"/>
      <c r="CJ134" s="312"/>
      <c r="CK134" s="312"/>
      <c r="CL134" s="312"/>
      <c r="CM134" s="312"/>
      <c r="CN134" s="312"/>
      <c r="CO134" s="312"/>
      <c r="CP134" s="312"/>
      <c r="CQ134" s="312"/>
      <c r="CR134" s="312"/>
      <c r="CS134" s="312"/>
      <c r="CT134" s="312"/>
      <c r="CU134" s="312"/>
      <c r="CV134" s="312"/>
      <c r="CW134" s="312"/>
      <c r="CX134" s="312"/>
      <c r="CY134" s="312"/>
      <c r="CZ134" s="312"/>
      <c r="DA134" s="312"/>
      <c r="DB134" s="312"/>
      <c r="DC134" s="312"/>
      <c r="DD134" s="312"/>
      <c r="DE134" s="312"/>
      <c r="DF134" s="312"/>
      <c r="DG134" s="312"/>
      <c r="DH134" s="312"/>
      <c r="DI134" s="312"/>
      <c r="DJ134" s="312"/>
      <c r="DK134" s="312"/>
      <c r="DL134" s="312"/>
      <c r="DM134" s="312"/>
      <c r="DN134" s="312"/>
      <c r="DO134" s="312"/>
      <c r="DP134" s="312"/>
      <c r="DQ134" s="312"/>
      <c r="DR134" s="312"/>
      <c r="DS134" s="312"/>
      <c r="DT134" s="312"/>
      <c r="DU134" s="312"/>
      <c r="DV134" s="312"/>
      <c r="DW134" s="312"/>
      <c r="DX134" s="312"/>
      <c r="DY134" s="312"/>
      <c r="DZ134" s="312"/>
      <c r="EA134" s="312"/>
      <c r="EB134" s="312"/>
      <c r="EC134" s="312"/>
      <c r="ED134" s="312"/>
      <c r="EE134" s="312"/>
      <c r="EF134" s="312"/>
      <c r="EG134" s="312"/>
      <c r="EH134" s="312"/>
      <c r="EI134" s="312"/>
      <c r="EJ134" s="312"/>
      <c r="EK134" s="312"/>
      <c r="EL134" s="312"/>
      <c r="EM134" s="312"/>
      <c r="EN134" s="312"/>
      <c r="EO134" s="312"/>
      <c r="EP134" s="312"/>
      <c r="EQ134" s="312"/>
      <c r="ER134" s="312"/>
      <c r="ES134" s="312"/>
      <c r="ET134" s="312"/>
      <c r="EU134" s="312"/>
      <c r="EV134" s="312"/>
      <c r="EW134" s="312"/>
      <c r="EX134" s="312"/>
      <c r="EY134" s="312"/>
      <c r="EZ134" s="312"/>
      <c r="FA134" s="312"/>
      <c r="FB134" s="312"/>
      <c r="FC134" s="312"/>
      <c r="FD134" s="312"/>
      <c r="FE134" s="312"/>
      <c r="FF134" s="312"/>
      <c r="FG134" s="312"/>
      <c r="FH134" s="312"/>
      <c r="FI134" s="312"/>
      <c r="FJ134" s="312"/>
      <c r="FK134" s="312"/>
      <c r="FL134" s="312"/>
      <c r="FM134" s="312"/>
      <c r="FN134" s="312"/>
      <c r="FO134" s="312"/>
      <c r="FP134" s="312"/>
      <c r="FQ134" s="312"/>
      <c r="FR134" s="312"/>
      <c r="FS134" s="312"/>
      <c r="FT134" s="312"/>
      <c r="FU134" s="312"/>
      <c r="FV134" s="312"/>
      <c r="FW134" s="312"/>
      <c r="FX134" s="312"/>
      <c r="FY134" s="312"/>
      <c r="FZ134" s="312"/>
      <c r="GA134" s="312"/>
      <c r="GB134" s="312"/>
      <c r="GC134" s="312"/>
      <c r="GD134" s="312"/>
      <c r="GE134" s="312"/>
      <c r="GF134" s="312"/>
      <c r="GG134" s="312"/>
      <c r="GH134" s="312"/>
      <c r="GI134" s="312"/>
      <c r="GJ134" s="312"/>
      <c r="GK134" s="312"/>
      <c r="GL134" s="312"/>
      <c r="GM134" s="312"/>
      <c r="GN134" s="312"/>
      <c r="GO134" s="312"/>
      <c r="GP134" s="312"/>
      <c r="GQ134" s="312"/>
      <c r="GR134" s="312"/>
      <c r="GS134" s="312"/>
      <c r="GT134" s="312"/>
      <c r="GU134" s="312"/>
      <c r="GV134" s="312"/>
      <c r="GW134" s="312"/>
      <c r="GX134" s="312"/>
      <c r="GY134" s="312"/>
    </row>
    <row r="135" spans="2:207" ht="15.75" x14ac:dyDescent="0.25">
      <c r="B135" s="316">
        <f t="shared" si="20"/>
        <v>105</v>
      </c>
      <c r="C135" s="330">
        <f>'סיכום לוועדה'!B135</f>
        <v>1001350435</v>
      </c>
      <c r="D135" s="330">
        <f>'סיכום לוועדה'!C135</f>
        <v>1001269686</v>
      </c>
      <c r="E135" s="330">
        <f>'סיכום לוועדה'!D135</f>
        <v>40216083</v>
      </c>
      <c r="F135" s="330">
        <f>'סיכום לוועדה'!E135</f>
        <v>20000159</v>
      </c>
      <c r="G135" s="330" t="str">
        <f>'סיכום לוועדה'!F135</f>
        <v>ירושלים</v>
      </c>
      <c r="H135" s="317" t="str">
        <f>'סיכום לוועדה'!G135</f>
        <v>תאטרון "פסיק" ירושלים</v>
      </c>
      <c r="I135" s="318">
        <f>'סיכום לוועדה'!U135</f>
        <v>100000</v>
      </c>
      <c r="J135" s="319">
        <f>'סיכום לוועדה'!T135</f>
        <v>7656.3094009198003</v>
      </c>
      <c r="K135" s="320">
        <f t="shared" si="21"/>
        <v>0</v>
      </c>
      <c r="L135" s="319">
        <f t="shared" si="22"/>
        <v>7656.3094009198003</v>
      </c>
      <c r="M135" s="331">
        <f>'תחום תמיכה ב'!AF135</f>
        <v>3.6708239937700786E-5</v>
      </c>
      <c r="N135" s="319">
        <f t="shared" si="19"/>
        <v>8281.6163517077421</v>
      </c>
      <c r="O135" s="321">
        <f t="shared" si="23"/>
        <v>0</v>
      </c>
      <c r="P135" s="322">
        <f t="shared" si="24"/>
        <v>8281.6163517077421</v>
      </c>
      <c r="Q135" s="322">
        <f t="shared" si="25"/>
        <v>8285.3871903555973</v>
      </c>
      <c r="R135" s="321">
        <f t="shared" si="26"/>
        <v>0</v>
      </c>
      <c r="S135" s="322">
        <f t="shared" si="27"/>
        <v>8285.3871903555973</v>
      </c>
      <c r="T135" s="322">
        <f t="shared" si="28"/>
        <v>8285.387190355581</v>
      </c>
      <c r="U135" s="321">
        <f t="shared" si="29"/>
        <v>0</v>
      </c>
      <c r="V135" s="322">
        <f t="shared" si="30"/>
        <v>8285.387190355581</v>
      </c>
      <c r="W135" s="322">
        <f t="shared" si="31"/>
        <v>8285.3871903555846</v>
      </c>
      <c r="X135" s="321">
        <f t="shared" si="32"/>
        <v>0</v>
      </c>
      <c r="Y135" s="322">
        <f t="shared" si="33"/>
        <v>8285.3871903555846</v>
      </c>
      <c r="Z135" s="322">
        <f t="shared" si="34"/>
        <v>8285.3871903555828</v>
      </c>
      <c r="AA135" s="323">
        <f t="shared" si="35"/>
        <v>8285.3871903555828</v>
      </c>
      <c r="AB135" s="323"/>
      <c r="AC135" s="323"/>
      <c r="AD135" s="323"/>
      <c r="AE135" s="323"/>
      <c r="AF135" s="324">
        <f t="shared" si="36"/>
        <v>4.7448619215094026E-5</v>
      </c>
      <c r="AG135" s="312"/>
      <c r="AH135" s="312"/>
      <c r="AI135" s="325">
        <f t="shared" si="37"/>
        <v>1</v>
      </c>
      <c r="AJ135" s="312"/>
      <c r="AK135" s="312"/>
      <c r="AL135" s="312"/>
      <c r="AM135" s="312"/>
      <c r="AN135" s="312"/>
      <c r="AO135" s="312"/>
      <c r="AP135" s="312"/>
      <c r="AQ135" s="312"/>
      <c r="AR135" s="312"/>
      <c r="AS135" s="312"/>
      <c r="AT135" s="312"/>
      <c r="AU135" s="312"/>
      <c r="AV135" s="312"/>
      <c r="AW135" s="312"/>
      <c r="AX135" s="312"/>
      <c r="AY135" s="312"/>
      <c r="AZ135" s="312"/>
      <c r="BA135" s="312"/>
      <c r="BB135" s="312"/>
      <c r="BC135" s="312"/>
      <c r="BD135" s="312"/>
      <c r="BE135" s="312"/>
      <c r="BF135" s="312"/>
      <c r="BG135" s="312"/>
      <c r="BH135" s="312"/>
      <c r="BI135" s="312"/>
      <c r="BJ135" s="312"/>
      <c r="BK135" s="312"/>
      <c r="BL135" s="312"/>
      <c r="BM135" s="312"/>
      <c r="BN135" s="312"/>
      <c r="BO135" s="312"/>
      <c r="BP135" s="312"/>
      <c r="BQ135" s="312"/>
      <c r="BR135" s="312"/>
      <c r="BS135" s="312"/>
      <c r="BT135" s="312"/>
      <c r="BU135" s="312"/>
      <c r="BV135" s="312"/>
      <c r="BW135" s="312"/>
      <c r="BX135" s="312"/>
      <c r="BY135" s="312"/>
      <c r="BZ135" s="312"/>
      <c r="CA135" s="312"/>
      <c r="CB135" s="312"/>
      <c r="CC135" s="312"/>
      <c r="CD135" s="312"/>
      <c r="CE135" s="312"/>
      <c r="CF135" s="312"/>
      <c r="CG135" s="312"/>
      <c r="CH135" s="312"/>
      <c r="CI135" s="312"/>
      <c r="CJ135" s="312"/>
      <c r="CK135" s="312"/>
      <c r="CL135" s="312"/>
      <c r="CM135" s="312"/>
      <c r="CN135" s="312"/>
      <c r="CO135" s="312"/>
      <c r="CP135" s="312"/>
      <c r="CQ135" s="312"/>
      <c r="CR135" s="312"/>
      <c r="CS135" s="312"/>
      <c r="CT135" s="312"/>
      <c r="CU135" s="312"/>
      <c r="CV135" s="312"/>
      <c r="CW135" s="312"/>
      <c r="CX135" s="312"/>
      <c r="CY135" s="312"/>
      <c r="CZ135" s="312"/>
      <c r="DA135" s="312"/>
      <c r="DB135" s="312"/>
      <c r="DC135" s="312"/>
      <c r="DD135" s="312"/>
      <c r="DE135" s="312"/>
      <c r="DF135" s="312"/>
      <c r="DG135" s="312"/>
      <c r="DH135" s="312"/>
      <c r="DI135" s="312"/>
      <c r="DJ135" s="312"/>
      <c r="DK135" s="312"/>
      <c r="DL135" s="312"/>
      <c r="DM135" s="312"/>
      <c r="DN135" s="312"/>
      <c r="DO135" s="312"/>
      <c r="DP135" s="312"/>
      <c r="DQ135" s="312"/>
      <c r="DR135" s="312"/>
      <c r="DS135" s="312"/>
      <c r="DT135" s="312"/>
      <c r="DU135" s="312"/>
      <c r="DV135" s="312"/>
      <c r="DW135" s="312"/>
      <c r="DX135" s="312"/>
      <c r="DY135" s="312"/>
      <c r="DZ135" s="312"/>
      <c r="EA135" s="312"/>
      <c r="EB135" s="312"/>
      <c r="EC135" s="312"/>
      <c r="ED135" s="312"/>
      <c r="EE135" s="312"/>
      <c r="EF135" s="312"/>
      <c r="EG135" s="312"/>
      <c r="EH135" s="312"/>
      <c r="EI135" s="312"/>
      <c r="EJ135" s="312"/>
      <c r="EK135" s="312"/>
      <c r="EL135" s="312"/>
      <c r="EM135" s="312"/>
      <c r="EN135" s="312"/>
      <c r="EO135" s="312"/>
      <c r="EP135" s="312"/>
      <c r="EQ135" s="312"/>
      <c r="ER135" s="312"/>
      <c r="ES135" s="312"/>
      <c r="ET135" s="312"/>
      <c r="EU135" s="312"/>
      <c r="EV135" s="312"/>
      <c r="EW135" s="312"/>
      <c r="EX135" s="312"/>
      <c r="EY135" s="312"/>
      <c r="EZ135" s="312"/>
      <c r="FA135" s="312"/>
      <c r="FB135" s="312"/>
      <c r="FC135" s="312"/>
      <c r="FD135" s="312"/>
      <c r="FE135" s="312"/>
      <c r="FF135" s="312"/>
      <c r="FG135" s="312"/>
      <c r="FH135" s="312"/>
      <c r="FI135" s="312"/>
      <c r="FJ135" s="312"/>
      <c r="FK135" s="312"/>
      <c r="FL135" s="312"/>
      <c r="FM135" s="312"/>
      <c r="FN135" s="312"/>
      <c r="FO135" s="312"/>
      <c r="FP135" s="312"/>
      <c r="FQ135" s="312"/>
      <c r="FR135" s="312"/>
      <c r="FS135" s="312"/>
      <c r="FT135" s="312"/>
      <c r="FU135" s="312"/>
      <c r="FV135" s="312"/>
      <c r="FW135" s="312"/>
      <c r="FX135" s="312"/>
      <c r="FY135" s="312"/>
      <c r="FZ135" s="312"/>
      <c r="GA135" s="312"/>
      <c r="GB135" s="312"/>
      <c r="GC135" s="312"/>
      <c r="GD135" s="312"/>
      <c r="GE135" s="312"/>
      <c r="GF135" s="312"/>
      <c r="GG135" s="312"/>
      <c r="GH135" s="312"/>
      <c r="GI135" s="312"/>
      <c r="GJ135" s="312"/>
      <c r="GK135" s="312"/>
      <c r="GL135" s="312"/>
      <c r="GM135" s="312"/>
      <c r="GN135" s="312"/>
      <c r="GO135" s="312"/>
      <c r="GP135" s="312"/>
      <c r="GQ135" s="312"/>
      <c r="GR135" s="312"/>
      <c r="GS135" s="312"/>
      <c r="GT135" s="312"/>
      <c r="GU135" s="312"/>
      <c r="GV135" s="312"/>
      <c r="GW135" s="312"/>
      <c r="GX135" s="312"/>
      <c r="GY135" s="312"/>
    </row>
    <row r="136" spans="2:207" ht="15.75" x14ac:dyDescent="0.25">
      <c r="B136" s="316">
        <f t="shared" si="20"/>
        <v>106</v>
      </c>
      <c r="C136" s="330">
        <f>'סיכום לוועדה'!B136</f>
        <v>1001350437</v>
      </c>
      <c r="D136" s="330">
        <f>'סיכום לוועדה'!C136</f>
        <v>1001269687</v>
      </c>
      <c r="E136" s="330">
        <f>'סיכום לוועדה'!D136</f>
        <v>40216083</v>
      </c>
      <c r="F136" s="330">
        <f>'סיכום לוועדה'!E136</f>
        <v>20000159</v>
      </c>
      <c r="G136" s="330" t="str">
        <f>'סיכום לוועדה'!F136</f>
        <v>ירושלים</v>
      </c>
      <c r="H136" s="317" t="str">
        <f>'סיכום לוועדה'!G136</f>
        <v>תאטרון "פסיק" ירושלים</v>
      </c>
      <c r="I136" s="318">
        <f>'סיכום לוועדה'!U136</f>
        <v>100000</v>
      </c>
      <c r="J136" s="319">
        <f>'סיכום לוועדה'!T136</f>
        <v>7466.5139644774044</v>
      </c>
      <c r="K136" s="320">
        <f t="shared" si="21"/>
        <v>0</v>
      </c>
      <c r="L136" s="319">
        <f t="shared" si="22"/>
        <v>7466.5139644774044</v>
      </c>
      <c r="M136" s="331">
        <f>'תחום תמיכה ב'!AF136</f>
        <v>3.5747229091598463E-5</v>
      </c>
      <c r="N136" s="319">
        <f t="shared" si="19"/>
        <v>8075.4505645519848</v>
      </c>
      <c r="O136" s="321">
        <f t="shared" si="23"/>
        <v>0</v>
      </c>
      <c r="P136" s="322">
        <f t="shared" si="24"/>
        <v>8075.4505645519848</v>
      </c>
      <c r="Q136" s="322">
        <f t="shared" si="25"/>
        <v>8079.1275304719757</v>
      </c>
      <c r="R136" s="321">
        <f t="shared" si="26"/>
        <v>0</v>
      </c>
      <c r="S136" s="322">
        <f t="shared" si="27"/>
        <v>8079.1275304719757</v>
      </c>
      <c r="T136" s="322">
        <f t="shared" si="28"/>
        <v>8079.1275304719602</v>
      </c>
      <c r="U136" s="321">
        <f t="shared" si="29"/>
        <v>0</v>
      </c>
      <c r="V136" s="322">
        <f t="shared" si="30"/>
        <v>8079.1275304719602</v>
      </c>
      <c r="W136" s="322">
        <f t="shared" si="31"/>
        <v>8079.1275304719629</v>
      </c>
      <c r="X136" s="321">
        <f t="shared" si="32"/>
        <v>0</v>
      </c>
      <c r="Y136" s="322">
        <f t="shared" si="33"/>
        <v>8079.1275304719629</v>
      </c>
      <c r="Z136" s="322">
        <f t="shared" si="34"/>
        <v>8079.1275304719611</v>
      </c>
      <c r="AA136" s="323">
        <f t="shared" si="35"/>
        <v>8079.1275304719611</v>
      </c>
      <c r="AB136" s="323"/>
      <c r="AC136" s="323"/>
      <c r="AD136" s="323"/>
      <c r="AE136" s="323"/>
      <c r="AF136" s="324">
        <f t="shared" si="36"/>
        <v>4.6267414784159909E-5</v>
      </c>
      <c r="AG136" s="312"/>
      <c r="AH136" s="312"/>
      <c r="AI136" s="325">
        <f t="shared" si="37"/>
        <v>1</v>
      </c>
      <c r="AJ136" s="312"/>
      <c r="AK136" s="312"/>
      <c r="AL136" s="312"/>
      <c r="AM136" s="312"/>
      <c r="AN136" s="312"/>
      <c r="AO136" s="312"/>
      <c r="AP136" s="312"/>
      <c r="AQ136" s="312"/>
      <c r="AR136" s="312"/>
      <c r="AS136" s="312"/>
      <c r="AT136" s="312"/>
      <c r="AU136" s="312"/>
      <c r="AV136" s="312"/>
      <c r="AW136" s="312"/>
      <c r="AX136" s="312"/>
      <c r="AY136" s="312"/>
      <c r="AZ136" s="312"/>
      <c r="BA136" s="312"/>
      <c r="BB136" s="312"/>
      <c r="BC136" s="312"/>
      <c r="BD136" s="312"/>
      <c r="BE136" s="312"/>
      <c r="BF136" s="312"/>
      <c r="BG136" s="312"/>
      <c r="BH136" s="312"/>
      <c r="BI136" s="312"/>
      <c r="BJ136" s="312"/>
      <c r="BK136" s="312"/>
      <c r="BL136" s="312"/>
      <c r="BM136" s="312"/>
      <c r="BN136" s="312"/>
      <c r="BO136" s="312"/>
      <c r="BP136" s="312"/>
      <c r="BQ136" s="312"/>
      <c r="BR136" s="312"/>
      <c r="BS136" s="312"/>
      <c r="BT136" s="312"/>
      <c r="BU136" s="312"/>
      <c r="BV136" s="312"/>
      <c r="BW136" s="312"/>
      <c r="BX136" s="312"/>
      <c r="BY136" s="312"/>
      <c r="BZ136" s="312"/>
      <c r="CA136" s="312"/>
      <c r="CB136" s="312"/>
      <c r="CC136" s="312"/>
      <c r="CD136" s="312"/>
      <c r="CE136" s="312"/>
      <c r="CF136" s="312"/>
      <c r="CG136" s="312"/>
      <c r="CH136" s="312"/>
      <c r="CI136" s="312"/>
      <c r="CJ136" s="312"/>
      <c r="CK136" s="312"/>
      <c r="CL136" s="312"/>
      <c r="CM136" s="312"/>
      <c r="CN136" s="312"/>
      <c r="CO136" s="312"/>
      <c r="CP136" s="312"/>
      <c r="CQ136" s="312"/>
      <c r="CR136" s="312"/>
      <c r="CS136" s="312"/>
      <c r="CT136" s="312"/>
      <c r="CU136" s="312"/>
      <c r="CV136" s="312"/>
      <c r="CW136" s="312"/>
      <c r="CX136" s="312"/>
      <c r="CY136" s="312"/>
      <c r="CZ136" s="312"/>
      <c r="DA136" s="312"/>
      <c r="DB136" s="312"/>
      <c r="DC136" s="312"/>
      <c r="DD136" s="312"/>
      <c r="DE136" s="312"/>
      <c r="DF136" s="312"/>
      <c r="DG136" s="312"/>
      <c r="DH136" s="312"/>
      <c r="DI136" s="312"/>
      <c r="DJ136" s="312"/>
      <c r="DK136" s="312"/>
      <c r="DL136" s="312"/>
      <c r="DM136" s="312"/>
      <c r="DN136" s="312"/>
      <c r="DO136" s="312"/>
      <c r="DP136" s="312"/>
      <c r="DQ136" s="312"/>
      <c r="DR136" s="312"/>
      <c r="DS136" s="312"/>
      <c r="DT136" s="312"/>
      <c r="DU136" s="312"/>
      <c r="DV136" s="312"/>
      <c r="DW136" s="312"/>
      <c r="DX136" s="312"/>
      <c r="DY136" s="312"/>
      <c r="DZ136" s="312"/>
      <c r="EA136" s="312"/>
      <c r="EB136" s="312"/>
      <c r="EC136" s="312"/>
      <c r="ED136" s="312"/>
      <c r="EE136" s="312"/>
      <c r="EF136" s="312"/>
      <c r="EG136" s="312"/>
      <c r="EH136" s="312"/>
      <c r="EI136" s="312"/>
      <c r="EJ136" s="312"/>
      <c r="EK136" s="312"/>
      <c r="EL136" s="312"/>
      <c r="EM136" s="312"/>
      <c r="EN136" s="312"/>
      <c r="EO136" s="312"/>
      <c r="EP136" s="312"/>
      <c r="EQ136" s="312"/>
      <c r="ER136" s="312"/>
      <c r="ES136" s="312"/>
      <c r="ET136" s="312"/>
      <c r="EU136" s="312"/>
      <c r="EV136" s="312"/>
      <c r="EW136" s="312"/>
      <c r="EX136" s="312"/>
      <c r="EY136" s="312"/>
      <c r="EZ136" s="312"/>
      <c r="FA136" s="312"/>
      <c r="FB136" s="312"/>
      <c r="FC136" s="312"/>
      <c r="FD136" s="312"/>
      <c r="FE136" s="312"/>
      <c r="FF136" s="312"/>
      <c r="FG136" s="312"/>
      <c r="FH136" s="312"/>
      <c r="FI136" s="312"/>
      <c r="FJ136" s="312"/>
      <c r="FK136" s="312"/>
      <c r="FL136" s="312"/>
      <c r="FM136" s="312"/>
      <c r="FN136" s="312"/>
      <c r="FO136" s="312"/>
      <c r="FP136" s="312"/>
      <c r="FQ136" s="312"/>
      <c r="FR136" s="312"/>
      <c r="FS136" s="312"/>
      <c r="FT136" s="312"/>
      <c r="FU136" s="312"/>
      <c r="FV136" s="312"/>
      <c r="FW136" s="312"/>
      <c r="FX136" s="312"/>
      <c r="FY136" s="312"/>
      <c r="FZ136" s="312"/>
      <c r="GA136" s="312"/>
      <c r="GB136" s="312"/>
      <c r="GC136" s="312"/>
      <c r="GD136" s="312"/>
      <c r="GE136" s="312"/>
      <c r="GF136" s="312"/>
      <c r="GG136" s="312"/>
      <c r="GH136" s="312"/>
      <c r="GI136" s="312"/>
      <c r="GJ136" s="312"/>
      <c r="GK136" s="312"/>
      <c r="GL136" s="312"/>
      <c r="GM136" s="312"/>
      <c r="GN136" s="312"/>
      <c r="GO136" s="312"/>
      <c r="GP136" s="312"/>
      <c r="GQ136" s="312"/>
      <c r="GR136" s="312"/>
      <c r="GS136" s="312"/>
      <c r="GT136" s="312"/>
      <c r="GU136" s="312"/>
      <c r="GV136" s="312"/>
      <c r="GW136" s="312"/>
      <c r="GX136" s="312"/>
      <c r="GY136" s="312"/>
    </row>
    <row r="137" spans="2:207" ht="15.75" x14ac:dyDescent="0.25">
      <c r="B137" s="316">
        <f t="shared" si="20"/>
        <v>107</v>
      </c>
      <c r="C137" s="330">
        <f>'סיכום לוועדה'!B137</f>
        <v>1001350444</v>
      </c>
      <c r="D137" s="330">
        <f>'סיכום לוועדה'!C137</f>
        <v>1001268330</v>
      </c>
      <c r="E137" s="330">
        <f>'סיכום לוועדה'!D137</f>
        <v>40216083</v>
      </c>
      <c r="F137" s="330">
        <f>'סיכום לוועדה'!E137</f>
        <v>20000159</v>
      </c>
      <c r="G137" s="330" t="str">
        <f>'סיכום לוועדה'!F137</f>
        <v>ירושלים</v>
      </c>
      <c r="H137" s="317" t="str">
        <f>'סיכום לוועדה'!G137</f>
        <v>תאטרון "פסיק" ירושלים</v>
      </c>
      <c r="I137" s="318">
        <f>'סיכום לוועדה'!U137</f>
        <v>80000</v>
      </c>
      <c r="J137" s="319">
        <f>'סיכום לוועדה'!T137</f>
        <v>2619.7133879026519</v>
      </c>
      <c r="K137" s="320">
        <f t="shared" si="21"/>
        <v>0</v>
      </c>
      <c r="L137" s="319">
        <f t="shared" si="22"/>
        <v>2619.7133879026519</v>
      </c>
      <c r="M137" s="331">
        <f>'תחום תמיכה ב'!AF137</f>
        <v>1.0635988088655173E-5</v>
      </c>
      <c r="N137" s="319">
        <f t="shared" si="19"/>
        <v>2800.8922537818426</v>
      </c>
      <c r="O137" s="321">
        <f t="shared" si="23"/>
        <v>0</v>
      </c>
      <c r="P137" s="322">
        <f t="shared" si="24"/>
        <v>2800.8922537818426</v>
      </c>
      <c r="Q137" s="322">
        <f t="shared" si="25"/>
        <v>2802.1675739983921</v>
      </c>
      <c r="R137" s="321">
        <f t="shared" si="26"/>
        <v>0</v>
      </c>
      <c r="S137" s="322">
        <f t="shared" si="27"/>
        <v>2802.1675739983921</v>
      </c>
      <c r="T137" s="322">
        <f t="shared" si="28"/>
        <v>2802.1675739983866</v>
      </c>
      <c r="U137" s="321">
        <f t="shared" si="29"/>
        <v>0</v>
      </c>
      <c r="V137" s="322">
        <f t="shared" si="30"/>
        <v>2802.1675739983866</v>
      </c>
      <c r="W137" s="322">
        <f t="shared" si="31"/>
        <v>2802.1675739983875</v>
      </c>
      <c r="X137" s="321">
        <f t="shared" si="32"/>
        <v>0</v>
      </c>
      <c r="Y137" s="322">
        <f t="shared" si="33"/>
        <v>2802.1675739983875</v>
      </c>
      <c r="Z137" s="322">
        <f t="shared" si="34"/>
        <v>2802.1675739983871</v>
      </c>
      <c r="AA137" s="323">
        <f t="shared" si="35"/>
        <v>2802.1675739983871</v>
      </c>
      <c r="AB137" s="323"/>
      <c r="AC137" s="323"/>
      <c r="AD137" s="323"/>
      <c r="AE137" s="323"/>
      <c r="AF137" s="324">
        <f t="shared" si="36"/>
        <v>1.604740721716677E-5</v>
      </c>
      <c r="AG137" s="312"/>
      <c r="AH137" s="312"/>
      <c r="AI137" s="325">
        <f t="shared" si="37"/>
        <v>1</v>
      </c>
      <c r="AJ137" s="312"/>
      <c r="AK137" s="312"/>
      <c r="AL137" s="312"/>
      <c r="AM137" s="312"/>
      <c r="AN137" s="312"/>
      <c r="AO137" s="312"/>
      <c r="AP137" s="312"/>
      <c r="AQ137" s="312"/>
      <c r="AR137" s="312"/>
      <c r="AS137" s="312"/>
      <c r="AT137" s="312"/>
      <c r="AU137" s="312"/>
      <c r="AV137" s="312"/>
      <c r="AW137" s="312"/>
      <c r="AX137" s="312"/>
      <c r="AY137" s="312"/>
      <c r="AZ137" s="312"/>
      <c r="BA137" s="312"/>
      <c r="BB137" s="312"/>
      <c r="BC137" s="312"/>
      <c r="BD137" s="312"/>
      <c r="BE137" s="312"/>
      <c r="BF137" s="312"/>
      <c r="BG137" s="312"/>
      <c r="BH137" s="312"/>
      <c r="BI137" s="312"/>
      <c r="BJ137" s="312"/>
      <c r="BK137" s="312"/>
      <c r="BL137" s="312"/>
      <c r="BM137" s="312"/>
      <c r="BN137" s="312"/>
      <c r="BO137" s="312"/>
      <c r="BP137" s="312"/>
      <c r="BQ137" s="312"/>
      <c r="BR137" s="312"/>
      <c r="BS137" s="312"/>
      <c r="BT137" s="312"/>
      <c r="BU137" s="312"/>
      <c r="BV137" s="312"/>
      <c r="BW137" s="312"/>
      <c r="BX137" s="312"/>
      <c r="BY137" s="312"/>
      <c r="BZ137" s="312"/>
      <c r="CA137" s="312"/>
      <c r="CB137" s="312"/>
      <c r="CC137" s="312"/>
      <c r="CD137" s="312"/>
      <c r="CE137" s="312"/>
      <c r="CF137" s="312"/>
      <c r="CG137" s="312"/>
      <c r="CH137" s="312"/>
      <c r="CI137" s="312"/>
      <c r="CJ137" s="312"/>
      <c r="CK137" s="312"/>
      <c r="CL137" s="312"/>
      <c r="CM137" s="312"/>
      <c r="CN137" s="312"/>
      <c r="CO137" s="312"/>
      <c r="CP137" s="312"/>
      <c r="CQ137" s="312"/>
      <c r="CR137" s="312"/>
      <c r="CS137" s="312"/>
      <c r="CT137" s="312"/>
      <c r="CU137" s="312"/>
      <c r="CV137" s="312"/>
      <c r="CW137" s="312"/>
      <c r="CX137" s="312"/>
      <c r="CY137" s="312"/>
      <c r="CZ137" s="312"/>
      <c r="DA137" s="312"/>
      <c r="DB137" s="312"/>
      <c r="DC137" s="312"/>
      <c r="DD137" s="312"/>
      <c r="DE137" s="312"/>
      <c r="DF137" s="312"/>
      <c r="DG137" s="312"/>
      <c r="DH137" s="312"/>
      <c r="DI137" s="312"/>
      <c r="DJ137" s="312"/>
      <c r="DK137" s="312"/>
      <c r="DL137" s="312"/>
      <c r="DM137" s="312"/>
      <c r="DN137" s="312"/>
      <c r="DO137" s="312"/>
      <c r="DP137" s="312"/>
      <c r="DQ137" s="312"/>
      <c r="DR137" s="312"/>
      <c r="DS137" s="312"/>
      <c r="DT137" s="312"/>
      <c r="DU137" s="312"/>
      <c r="DV137" s="312"/>
      <c r="DW137" s="312"/>
      <c r="DX137" s="312"/>
      <c r="DY137" s="312"/>
      <c r="DZ137" s="312"/>
      <c r="EA137" s="312"/>
      <c r="EB137" s="312"/>
      <c r="EC137" s="312"/>
      <c r="ED137" s="312"/>
      <c r="EE137" s="312"/>
      <c r="EF137" s="312"/>
      <c r="EG137" s="312"/>
      <c r="EH137" s="312"/>
      <c r="EI137" s="312"/>
      <c r="EJ137" s="312"/>
      <c r="EK137" s="312"/>
      <c r="EL137" s="312"/>
      <c r="EM137" s="312"/>
      <c r="EN137" s="312"/>
      <c r="EO137" s="312"/>
      <c r="EP137" s="312"/>
      <c r="EQ137" s="312"/>
      <c r="ER137" s="312"/>
      <c r="ES137" s="312"/>
      <c r="ET137" s="312"/>
      <c r="EU137" s="312"/>
      <c r="EV137" s="312"/>
      <c r="EW137" s="312"/>
      <c r="EX137" s="312"/>
      <c r="EY137" s="312"/>
      <c r="EZ137" s="312"/>
      <c r="FA137" s="312"/>
      <c r="FB137" s="312"/>
      <c r="FC137" s="312"/>
      <c r="FD137" s="312"/>
      <c r="FE137" s="312"/>
      <c r="FF137" s="312"/>
      <c r="FG137" s="312"/>
      <c r="FH137" s="312"/>
      <c r="FI137" s="312"/>
      <c r="FJ137" s="312"/>
      <c r="FK137" s="312"/>
      <c r="FL137" s="312"/>
      <c r="FM137" s="312"/>
      <c r="FN137" s="312"/>
      <c r="FO137" s="312"/>
      <c r="FP137" s="312"/>
      <c r="FQ137" s="312"/>
      <c r="FR137" s="312"/>
      <c r="FS137" s="312"/>
      <c r="FT137" s="312"/>
      <c r="FU137" s="312"/>
      <c r="FV137" s="312"/>
      <c r="FW137" s="312"/>
      <c r="FX137" s="312"/>
      <c r="FY137" s="312"/>
      <c r="FZ137" s="312"/>
      <c r="GA137" s="312"/>
      <c r="GB137" s="312"/>
      <c r="GC137" s="312"/>
      <c r="GD137" s="312"/>
      <c r="GE137" s="312"/>
      <c r="GF137" s="312"/>
      <c r="GG137" s="312"/>
      <c r="GH137" s="312"/>
      <c r="GI137" s="312"/>
      <c r="GJ137" s="312"/>
      <c r="GK137" s="312"/>
      <c r="GL137" s="312"/>
      <c r="GM137" s="312"/>
      <c r="GN137" s="312"/>
      <c r="GO137" s="312"/>
      <c r="GP137" s="312"/>
      <c r="GQ137" s="312"/>
      <c r="GR137" s="312"/>
      <c r="GS137" s="312"/>
      <c r="GT137" s="312"/>
      <c r="GU137" s="312"/>
      <c r="GV137" s="312"/>
      <c r="GW137" s="312"/>
      <c r="GX137" s="312"/>
      <c r="GY137" s="312"/>
    </row>
    <row r="138" spans="2:207" ht="15.75" x14ac:dyDescent="0.25">
      <c r="B138" s="316">
        <f t="shared" si="20"/>
        <v>108</v>
      </c>
      <c r="C138" s="330">
        <f>'סיכום לוועדה'!B138</f>
        <v>1001351084</v>
      </c>
      <c r="D138" s="330">
        <f>'סיכום לוועדה'!C138</f>
        <v>1001290814</v>
      </c>
      <c r="E138" s="330">
        <f>'סיכום לוועדה'!D138</f>
        <v>40258570</v>
      </c>
      <c r="F138" s="330">
        <f>'סיכום לוועדה'!E138</f>
        <v>20000055</v>
      </c>
      <c r="G138" s="330" t="str">
        <f>'סיכום לוועדה'!F138</f>
        <v>מג'ד אל-כרום</v>
      </c>
      <c r="H138" s="317" t="str">
        <f>'סיכום לוועדה'!G138</f>
        <v>עמותת האומנים לקידום תיאטרון מגד אל כרום</v>
      </c>
      <c r="I138" s="318">
        <f>'סיכום לוועדה'!U138</f>
        <v>1100000</v>
      </c>
      <c r="J138" s="319">
        <f>'סיכום לוועדה'!T138</f>
        <v>175342.0419425095</v>
      </c>
      <c r="K138" s="320">
        <f t="shared" si="21"/>
        <v>0</v>
      </c>
      <c r="L138" s="319">
        <f t="shared" si="22"/>
        <v>175342.0419425095</v>
      </c>
      <c r="M138" s="331">
        <f>'תחום תמיכה ב'!AF138</f>
        <v>8.8011273787450624E-4</v>
      </c>
      <c r="N138" s="319">
        <f t="shared" si="19"/>
        <v>190334.33286694344</v>
      </c>
      <c r="O138" s="321">
        <f t="shared" si="23"/>
        <v>0</v>
      </c>
      <c r="P138" s="322">
        <f t="shared" si="24"/>
        <v>190334.33286694344</v>
      </c>
      <c r="Q138" s="322">
        <f t="shared" si="25"/>
        <v>190420.99711555243</v>
      </c>
      <c r="R138" s="321">
        <f t="shared" si="26"/>
        <v>0</v>
      </c>
      <c r="S138" s="322">
        <f t="shared" si="27"/>
        <v>190420.99711555243</v>
      </c>
      <c r="T138" s="322">
        <f t="shared" si="28"/>
        <v>190420.99711555202</v>
      </c>
      <c r="U138" s="321">
        <f t="shared" si="29"/>
        <v>0</v>
      </c>
      <c r="V138" s="322">
        <f t="shared" si="30"/>
        <v>190420.99711555202</v>
      </c>
      <c r="W138" s="322">
        <f t="shared" si="31"/>
        <v>190420.99711555211</v>
      </c>
      <c r="X138" s="321">
        <f t="shared" si="32"/>
        <v>0</v>
      </c>
      <c r="Y138" s="322">
        <f t="shared" si="33"/>
        <v>190420.99711555211</v>
      </c>
      <c r="Z138" s="322">
        <f t="shared" si="34"/>
        <v>190420.99711555205</v>
      </c>
      <c r="AA138" s="323">
        <f t="shared" si="35"/>
        <v>190420.99711555205</v>
      </c>
      <c r="AB138" s="323"/>
      <c r="AC138" s="323"/>
      <c r="AD138" s="323"/>
      <c r="AE138" s="323"/>
      <c r="AF138" s="324">
        <f t="shared" si="36"/>
        <v>1.0904998372570423E-3</v>
      </c>
      <c r="AG138" s="312"/>
      <c r="AH138" s="312"/>
      <c r="AI138" s="325">
        <f t="shared" si="37"/>
        <v>1</v>
      </c>
      <c r="AJ138" s="312"/>
      <c r="AK138" s="312"/>
      <c r="AL138" s="312"/>
      <c r="AM138" s="312"/>
      <c r="AN138" s="312"/>
      <c r="AO138" s="312"/>
      <c r="AP138" s="312"/>
      <c r="AQ138" s="312"/>
      <c r="AR138" s="312"/>
      <c r="AS138" s="312"/>
      <c r="AT138" s="312"/>
      <c r="AU138" s="312"/>
      <c r="AV138" s="312"/>
      <c r="AW138" s="312"/>
      <c r="AX138" s="312"/>
      <c r="AY138" s="312"/>
      <c r="AZ138" s="312"/>
      <c r="BA138" s="312"/>
      <c r="BB138" s="312"/>
      <c r="BC138" s="312"/>
      <c r="BD138" s="312"/>
      <c r="BE138" s="312"/>
      <c r="BF138" s="312"/>
      <c r="BG138" s="312"/>
      <c r="BH138" s="312"/>
      <c r="BI138" s="312"/>
      <c r="BJ138" s="312"/>
      <c r="BK138" s="312"/>
      <c r="BL138" s="312"/>
      <c r="BM138" s="312"/>
      <c r="BN138" s="312"/>
      <c r="BO138" s="312"/>
      <c r="BP138" s="312"/>
      <c r="BQ138" s="312"/>
      <c r="BR138" s="312"/>
      <c r="BS138" s="312"/>
      <c r="BT138" s="312"/>
      <c r="BU138" s="312"/>
      <c r="BV138" s="312"/>
      <c r="BW138" s="312"/>
      <c r="BX138" s="312"/>
      <c r="BY138" s="312"/>
      <c r="BZ138" s="312"/>
      <c r="CA138" s="312"/>
      <c r="CB138" s="312"/>
      <c r="CC138" s="312"/>
      <c r="CD138" s="312"/>
      <c r="CE138" s="312"/>
      <c r="CF138" s="312"/>
      <c r="CG138" s="312"/>
      <c r="CH138" s="312"/>
      <c r="CI138" s="312"/>
      <c r="CJ138" s="312"/>
      <c r="CK138" s="312"/>
      <c r="CL138" s="312"/>
      <c r="CM138" s="312"/>
      <c r="CN138" s="312"/>
      <c r="CO138" s="312"/>
      <c r="CP138" s="312"/>
      <c r="CQ138" s="312"/>
      <c r="CR138" s="312"/>
      <c r="CS138" s="312"/>
      <c r="CT138" s="312"/>
      <c r="CU138" s="312"/>
      <c r="CV138" s="312"/>
      <c r="CW138" s="312"/>
      <c r="CX138" s="312"/>
      <c r="CY138" s="312"/>
      <c r="CZ138" s="312"/>
      <c r="DA138" s="312"/>
      <c r="DB138" s="312"/>
      <c r="DC138" s="312"/>
      <c r="DD138" s="312"/>
      <c r="DE138" s="312"/>
      <c r="DF138" s="312"/>
      <c r="DG138" s="312"/>
      <c r="DH138" s="312"/>
      <c r="DI138" s="312"/>
      <c r="DJ138" s="312"/>
      <c r="DK138" s="312"/>
      <c r="DL138" s="312"/>
      <c r="DM138" s="312"/>
      <c r="DN138" s="312"/>
      <c r="DO138" s="312"/>
      <c r="DP138" s="312"/>
      <c r="DQ138" s="312"/>
      <c r="DR138" s="312"/>
      <c r="DS138" s="312"/>
      <c r="DT138" s="312"/>
      <c r="DU138" s="312"/>
      <c r="DV138" s="312"/>
      <c r="DW138" s="312"/>
      <c r="DX138" s="312"/>
      <c r="DY138" s="312"/>
      <c r="DZ138" s="312"/>
      <c r="EA138" s="312"/>
      <c r="EB138" s="312"/>
      <c r="EC138" s="312"/>
      <c r="ED138" s="312"/>
      <c r="EE138" s="312"/>
      <c r="EF138" s="312"/>
      <c r="EG138" s="312"/>
      <c r="EH138" s="312"/>
      <c r="EI138" s="312"/>
      <c r="EJ138" s="312"/>
      <c r="EK138" s="312"/>
      <c r="EL138" s="312"/>
      <c r="EM138" s="312"/>
      <c r="EN138" s="312"/>
      <c r="EO138" s="312"/>
      <c r="EP138" s="312"/>
      <c r="EQ138" s="312"/>
      <c r="ER138" s="312"/>
      <c r="ES138" s="312"/>
      <c r="ET138" s="312"/>
      <c r="EU138" s="312"/>
      <c r="EV138" s="312"/>
      <c r="EW138" s="312"/>
      <c r="EX138" s="312"/>
      <c r="EY138" s="312"/>
      <c r="EZ138" s="312"/>
      <c r="FA138" s="312"/>
      <c r="FB138" s="312"/>
      <c r="FC138" s="312"/>
      <c r="FD138" s="312"/>
      <c r="FE138" s="312"/>
      <c r="FF138" s="312"/>
      <c r="FG138" s="312"/>
      <c r="FH138" s="312"/>
      <c r="FI138" s="312"/>
      <c r="FJ138" s="312"/>
      <c r="FK138" s="312"/>
      <c r="FL138" s="312"/>
      <c r="FM138" s="312"/>
      <c r="FN138" s="312"/>
      <c r="FO138" s="312"/>
      <c r="FP138" s="312"/>
      <c r="FQ138" s="312"/>
      <c r="FR138" s="312"/>
      <c r="FS138" s="312"/>
      <c r="FT138" s="312"/>
      <c r="FU138" s="312"/>
      <c r="FV138" s="312"/>
      <c r="FW138" s="312"/>
      <c r="FX138" s="312"/>
      <c r="FY138" s="312"/>
      <c r="FZ138" s="312"/>
      <c r="GA138" s="312"/>
      <c r="GB138" s="312"/>
      <c r="GC138" s="312"/>
      <c r="GD138" s="312"/>
      <c r="GE138" s="312"/>
      <c r="GF138" s="312"/>
      <c r="GG138" s="312"/>
      <c r="GH138" s="312"/>
      <c r="GI138" s="312"/>
      <c r="GJ138" s="312"/>
      <c r="GK138" s="312"/>
      <c r="GL138" s="312"/>
      <c r="GM138" s="312"/>
      <c r="GN138" s="312"/>
      <c r="GO138" s="312"/>
      <c r="GP138" s="312"/>
      <c r="GQ138" s="312"/>
      <c r="GR138" s="312"/>
      <c r="GS138" s="312"/>
      <c r="GT138" s="312"/>
      <c r="GU138" s="312"/>
      <c r="GV138" s="312"/>
      <c r="GW138" s="312"/>
      <c r="GX138" s="312"/>
      <c r="GY138" s="312"/>
    </row>
    <row r="139" spans="2:207" ht="15.75" x14ac:dyDescent="0.25">
      <c r="B139" s="316">
        <f t="shared" si="20"/>
        <v>109</v>
      </c>
      <c r="C139" s="330">
        <f>'סיכום לוועדה'!B139</f>
        <v>1001347400</v>
      </c>
      <c r="D139" s="330">
        <f>'סיכום לוועדה'!C139</f>
        <v>1001266852</v>
      </c>
      <c r="E139" s="330">
        <f>'סיכום לוועדה'!D139</f>
        <v>40000550</v>
      </c>
      <c r="F139" s="330">
        <f>'סיכום לוועדה'!E139</f>
        <v>20000096</v>
      </c>
      <c r="G139" s="330" t="str">
        <f>'סיכום לוועדה'!F139</f>
        <v>שדרות</v>
      </c>
      <c r="H139" s="317" t="str">
        <f>'סיכום לוועדה'!G139</f>
        <v>מרכז התנועה שדרות אדמה (ע''ר)</v>
      </c>
      <c r="I139" s="318">
        <f>'סיכום לוועדה'!U139</f>
        <v>125000</v>
      </c>
      <c r="J139" s="319">
        <f>'סיכום לוועדה'!T139</f>
        <v>4442.4478459277107</v>
      </c>
      <c r="K139" s="320">
        <f t="shared" si="21"/>
        <v>0</v>
      </c>
      <c r="L139" s="319">
        <f t="shared" si="22"/>
        <v>4442.4478459277107</v>
      </c>
      <c r="M139" s="331">
        <f>'תחום תמיכה ב'!AF139</f>
        <v>2.1464646892663287E-5</v>
      </c>
      <c r="N139" s="319">
        <f t="shared" si="19"/>
        <v>4808.0876292834428</v>
      </c>
      <c r="O139" s="321">
        <f t="shared" si="23"/>
        <v>0</v>
      </c>
      <c r="P139" s="322">
        <f t="shared" si="24"/>
        <v>4808.0876292834428</v>
      </c>
      <c r="Q139" s="322">
        <f t="shared" si="25"/>
        <v>4810.2768785658054</v>
      </c>
      <c r="R139" s="321">
        <f t="shared" si="26"/>
        <v>0</v>
      </c>
      <c r="S139" s="322">
        <f t="shared" si="27"/>
        <v>4810.2768785658054</v>
      </c>
      <c r="T139" s="322">
        <f t="shared" si="28"/>
        <v>4810.2768785657954</v>
      </c>
      <c r="U139" s="321">
        <f t="shared" si="29"/>
        <v>0</v>
      </c>
      <c r="V139" s="322">
        <f t="shared" si="30"/>
        <v>4810.2768785657954</v>
      </c>
      <c r="W139" s="322">
        <f t="shared" si="31"/>
        <v>4810.2768785657972</v>
      </c>
      <c r="X139" s="321">
        <f t="shared" si="32"/>
        <v>0</v>
      </c>
      <c r="Y139" s="322">
        <f t="shared" si="33"/>
        <v>4810.2768785657972</v>
      </c>
      <c r="Z139" s="322">
        <f t="shared" si="34"/>
        <v>4810.2768785657963</v>
      </c>
      <c r="AA139" s="323">
        <f t="shared" si="35"/>
        <v>4810.2768785657963</v>
      </c>
      <c r="AB139" s="323"/>
      <c r="AC139" s="323"/>
      <c r="AD139" s="323"/>
      <c r="AE139" s="323"/>
      <c r="AF139" s="324">
        <f t="shared" si="36"/>
        <v>2.7547414585032106E-5</v>
      </c>
      <c r="AG139" s="312"/>
      <c r="AH139" s="312"/>
      <c r="AI139" s="325">
        <f t="shared" si="37"/>
        <v>1</v>
      </c>
      <c r="AJ139" s="312"/>
      <c r="AK139" s="312"/>
      <c r="AL139" s="312"/>
      <c r="AM139" s="312"/>
      <c r="AN139" s="312"/>
      <c r="AO139" s="312"/>
      <c r="AP139" s="312"/>
      <c r="AQ139" s="312"/>
      <c r="AR139" s="312"/>
      <c r="AS139" s="312"/>
      <c r="AT139" s="312"/>
      <c r="AU139" s="312"/>
      <c r="AV139" s="312"/>
      <c r="AW139" s="312"/>
      <c r="AX139" s="312"/>
      <c r="AY139" s="312"/>
      <c r="AZ139" s="312"/>
      <c r="BA139" s="312"/>
      <c r="BB139" s="312"/>
      <c r="BC139" s="312"/>
      <c r="BD139" s="312"/>
      <c r="BE139" s="312"/>
      <c r="BF139" s="312"/>
      <c r="BG139" s="312"/>
      <c r="BH139" s="312"/>
      <c r="BI139" s="312"/>
      <c r="BJ139" s="312"/>
      <c r="BK139" s="312"/>
      <c r="BL139" s="312"/>
      <c r="BM139" s="312"/>
      <c r="BN139" s="312"/>
      <c r="BO139" s="312"/>
      <c r="BP139" s="312"/>
      <c r="BQ139" s="312"/>
      <c r="BR139" s="312"/>
      <c r="BS139" s="312"/>
      <c r="BT139" s="312"/>
      <c r="BU139" s="312"/>
      <c r="BV139" s="312"/>
      <c r="BW139" s="312"/>
      <c r="BX139" s="312"/>
      <c r="BY139" s="312"/>
      <c r="BZ139" s="312"/>
      <c r="CA139" s="312"/>
      <c r="CB139" s="312"/>
      <c r="CC139" s="312"/>
      <c r="CD139" s="312"/>
      <c r="CE139" s="312"/>
      <c r="CF139" s="312"/>
      <c r="CG139" s="312"/>
      <c r="CH139" s="312"/>
      <c r="CI139" s="312"/>
      <c r="CJ139" s="312"/>
      <c r="CK139" s="312"/>
      <c r="CL139" s="312"/>
      <c r="CM139" s="312"/>
      <c r="CN139" s="312"/>
      <c r="CO139" s="312"/>
      <c r="CP139" s="312"/>
      <c r="CQ139" s="312"/>
      <c r="CR139" s="312"/>
      <c r="CS139" s="312"/>
      <c r="CT139" s="312"/>
      <c r="CU139" s="312"/>
      <c r="CV139" s="312"/>
      <c r="CW139" s="312"/>
      <c r="CX139" s="312"/>
      <c r="CY139" s="312"/>
      <c r="CZ139" s="312"/>
      <c r="DA139" s="312"/>
      <c r="DB139" s="312"/>
      <c r="DC139" s="312"/>
      <c r="DD139" s="312"/>
      <c r="DE139" s="312"/>
      <c r="DF139" s="312"/>
      <c r="DG139" s="312"/>
      <c r="DH139" s="312"/>
      <c r="DI139" s="312"/>
      <c r="DJ139" s="312"/>
      <c r="DK139" s="312"/>
      <c r="DL139" s="312"/>
      <c r="DM139" s="312"/>
      <c r="DN139" s="312"/>
      <c r="DO139" s="312"/>
      <c r="DP139" s="312"/>
      <c r="DQ139" s="312"/>
      <c r="DR139" s="312"/>
      <c r="DS139" s="312"/>
      <c r="DT139" s="312"/>
      <c r="DU139" s="312"/>
      <c r="DV139" s="312"/>
      <c r="DW139" s="312"/>
      <c r="DX139" s="312"/>
      <c r="DY139" s="312"/>
      <c r="DZ139" s="312"/>
      <c r="EA139" s="312"/>
      <c r="EB139" s="312"/>
      <c r="EC139" s="312"/>
      <c r="ED139" s="312"/>
      <c r="EE139" s="312"/>
      <c r="EF139" s="312"/>
      <c r="EG139" s="312"/>
      <c r="EH139" s="312"/>
      <c r="EI139" s="312"/>
      <c r="EJ139" s="312"/>
      <c r="EK139" s="312"/>
      <c r="EL139" s="312"/>
      <c r="EM139" s="312"/>
      <c r="EN139" s="312"/>
      <c r="EO139" s="312"/>
      <c r="EP139" s="312"/>
      <c r="EQ139" s="312"/>
      <c r="ER139" s="312"/>
      <c r="ES139" s="312"/>
      <c r="ET139" s="312"/>
      <c r="EU139" s="312"/>
      <c r="EV139" s="312"/>
      <c r="EW139" s="312"/>
      <c r="EX139" s="312"/>
      <c r="EY139" s="312"/>
      <c r="EZ139" s="312"/>
      <c r="FA139" s="312"/>
      <c r="FB139" s="312"/>
      <c r="FC139" s="312"/>
      <c r="FD139" s="312"/>
      <c r="FE139" s="312"/>
      <c r="FF139" s="312"/>
      <c r="FG139" s="312"/>
      <c r="FH139" s="312"/>
      <c r="FI139" s="312"/>
      <c r="FJ139" s="312"/>
      <c r="FK139" s="312"/>
      <c r="FL139" s="312"/>
      <c r="FM139" s="312"/>
      <c r="FN139" s="312"/>
      <c r="FO139" s="312"/>
      <c r="FP139" s="312"/>
      <c r="FQ139" s="312"/>
      <c r="FR139" s="312"/>
      <c r="FS139" s="312"/>
      <c r="FT139" s="312"/>
      <c r="FU139" s="312"/>
      <c r="FV139" s="312"/>
      <c r="FW139" s="312"/>
      <c r="FX139" s="312"/>
      <c r="FY139" s="312"/>
      <c r="FZ139" s="312"/>
      <c r="GA139" s="312"/>
      <c r="GB139" s="312"/>
      <c r="GC139" s="312"/>
      <c r="GD139" s="312"/>
      <c r="GE139" s="312"/>
      <c r="GF139" s="312"/>
      <c r="GG139" s="312"/>
      <c r="GH139" s="312"/>
      <c r="GI139" s="312"/>
      <c r="GJ139" s="312"/>
      <c r="GK139" s="312"/>
      <c r="GL139" s="312"/>
      <c r="GM139" s="312"/>
      <c r="GN139" s="312"/>
      <c r="GO139" s="312"/>
      <c r="GP139" s="312"/>
      <c r="GQ139" s="312"/>
      <c r="GR139" s="312"/>
      <c r="GS139" s="312"/>
      <c r="GT139" s="312"/>
      <c r="GU139" s="312"/>
      <c r="GV139" s="312"/>
      <c r="GW139" s="312"/>
      <c r="GX139" s="312"/>
      <c r="GY139" s="312"/>
    </row>
    <row r="140" spans="2:207" ht="15.75" x14ac:dyDescent="0.25">
      <c r="B140" s="316">
        <f t="shared" si="20"/>
        <v>110</v>
      </c>
      <c r="C140" s="330">
        <f>'סיכום לוועדה'!B140</f>
        <v>1001350749</v>
      </c>
      <c r="D140" s="330">
        <f>'סיכום לוועדה'!C140</f>
        <v>1001270674</v>
      </c>
      <c r="E140" s="330">
        <f>'סיכום לוועדה'!D140</f>
        <v>40000590</v>
      </c>
      <c r="F140" s="330">
        <f>'סיכום לוועדה'!E140</f>
        <v>20000235</v>
      </c>
      <c r="G140" s="330" t="str">
        <f>'סיכום לוועדה'!F140</f>
        <v>סח'נין</v>
      </c>
      <c r="H140" s="317" t="str">
        <f>'סיכום לוועדה'!G140</f>
        <v>אמנות למען השלום</v>
      </c>
      <c r="I140" s="318">
        <f>'סיכום לוועדה'!U140</f>
        <v>600000</v>
      </c>
      <c r="J140" s="319">
        <f>'סיכום לוועדה'!T140</f>
        <v>86579.697612630378</v>
      </c>
      <c r="K140" s="320">
        <f t="shared" si="21"/>
        <v>0</v>
      </c>
      <c r="L140" s="319">
        <f t="shared" si="22"/>
        <v>86579.697612630378</v>
      </c>
      <c r="M140" s="331">
        <f>'תחום תמיכה ב'!AF140</f>
        <v>5.2701409374924276E-4</v>
      </c>
      <c r="N140" s="319">
        <f t="shared" si="19"/>
        <v>95557.125474709741</v>
      </c>
      <c r="O140" s="321">
        <f t="shared" si="23"/>
        <v>0</v>
      </c>
      <c r="P140" s="322">
        <f t="shared" si="24"/>
        <v>95557.125474709741</v>
      </c>
      <c r="Q140" s="322">
        <f t="shared" si="25"/>
        <v>95600.635157664787</v>
      </c>
      <c r="R140" s="321">
        <f t="shared" si="26"/>
        <v>0</v>
      </c>
      <c r="S140" s="322">
        <f t="shared" si="27"/>
        <v>95600.635157664787</v>
      </c>
      <c r="T140" s="322">
        <f t="shared" si="28"/>
        <v>95600.635157664598</v>
      </c>
      <c r="U140" s="321">
        <f t="shared" si="29"/>
        <v>0</v>
      </c>
      <c r="V140" s="322">
        <f t="shared" si="30"/>
        <v>95600.635157664598</v>
      </c>
      <c r="W140" s="322">
        <f t="shared" si="31"/>
        <v>95600.635157664627</v>
      </c>
      <c r="X140" s="321">
        <f t="shared" si="32"/>
        <v>0</v>
      </c>
      <c r="Y140" s="322">
        <f t="shared" si="33"/>
        <v>95600.635157664627</v>
      </c>
      <c r="Z140" s="322">
        <f t="shared" si="34"/>
        <v>95600.635157664612</v>
      </c>
      <c r="AA140" s="323">
        <f t="shared" si="35"/>
        <v>95600.635157664612</v>
      </c>
      <c r="AB140" s="323"/>
      <c r="AC140" s="323"/>
      <c r="AD140" s="323"/>
      <c r="AE140" s="323"/>
      <c r="AF140" s="324">
        <f t="shared" si="36"/>
        <v>5.4748414649798431E-4</v>
      </c>
      <c r="AG140" s="312"/>
      <c r="AH140" s="312"/>
      <c r="AI140" s="325">
        <f t="shared" si="37"/>
        <v>1</v>
      </c>
      <c r="AJ140" s="312"/>
      <c r="AK140" s="312"/>
      <c r="AL140" s="312"/>
      <c r="AM140" s="312"/>
      <c r="AN140" s="312"/>
      <c r="AO140" s="312"/>
      <c r="AP140" s="312"/>
      <c r="AQ140" s="312"/>
      <c r="AR140" s="312"/>
      <c r="AS140" s="312"/>
      <c r="AT140" s="312"/>
      <c r="AU140" s="312"/>
      <c r="AV140" s="312"/>
      <c r="AW140" s="312"/>
      <c r="AX140" s="312"/>
      <c r="AY140" s="312"/>
      <c r="AZ140" s="312"/>
      <c r="BA140" s="312"/>
      <c r="BB140" s="312"/>
      <c r="BC140" s="312"/>
      <c r="BD140" s="312"/>
      <c r="BE140" s="312"/>
      <c r="BF140" s="312"/>
      <c r="BG140" s="312"/>
      <c r="BH140" s="312"/>
      <c r="BI140" s="312"/>
      <c r="BJ140" s="312"/>
      <c r="BK140" s="312"/>
      <c r="BL140" s="312"/>
      <c r="BM140" s="312"/>
      <c r="BN140" s="312"/>
      <c r="BO140" s="312"/>
      <c r="BP140" s="312"/>
      <c r="BQ140" s="312"/>
      <c r="BR140" s="312"/>
      <c r="BS140" s="312"/>
      <c r="BT140" s="312"/>
      <c r="BU140" s="312"/>
      <c r="BV140" s="312"/>
      <c r="BW140" s="312"/>
      <c r="BX140" s="312"/>
      <c r="BY140" s="312"/>
      <c r="BZ140" s="312"/>
      <c r="CA140" s="312"/>
      <c r="CB140" s="312"/>
      <c r="CC140" s="312"/>
      <c r="CD140" s="312"/>
      <c r="CE140" s="312"/>
      <c r="CF140" s="312"/>
      <c r="CG140" s="312"/>
      <c r="CH140" s="312"/>
      <c r="CI140" s="312"/>
      <c r="CJ140" s="312"/>
      <c r="CK140" s="312"/>
      <c r="CL140" s="312"/>
      <c r="CM140" s="312"/>
      <c r="CN140" s="312"/>
      <c r="CO140" s="312"/>
      <c r="CP140" s="312"/>
      <c r="CQ140" s="312"/>
      <c r="CR140" s="312"/>
      <c r="CS140" s="312"/>
      <c r="CT140" s="312"/>
      <c r="CU140" s="312"/>
      <c r="CV140" s="312"/>
      <c r="CW140" s="312"/>
      <c r="CX140" s="312"/>
      <c r="CY140" s="312"/>
      <c r="CZ140" s="312"/>
      <c r="DA140" s="312"/>
      <c r="DB140" s="312"/>
      <c r="DC140" s="312"/>
      <c r="DD140" s="312"/>
      <c r="DE140" s="312"/>
      <c r="DF140" s="312"/>
      <c r="DG140" s="312"/>
      <c r="DH140" s="312"/>
      <c r="DI140" s="312"/>
      <c r="DJ140" s="312"/>
      <c r="DK140" s="312"/>
      <c r="DL140" s="312"/>
      <c r="DM140" s="312"/>
      <c r="DN140" s="312"/>
      <c r="DO140" s="312"/>
      <c r="DP140" s="312"/>
      <c r="DQ140" s="312"/>
      <c r="DR140" s="312"/>
      <c r="DS140" s="312"/>
      <c r="DT140" s="312"/>
      <c r="DU140" s="312"/>
      <c r="DV140" s="312"/>
      <c r="DW140" s="312"/>
      <c r="DX140" s="312"/>
      <c r="DY140" s="312"/>
      <c r="DZ140" s="312"/>
      <c r="EA140" s="312"/>
      <c r="EB140" s="312"/>
      <c r="EC140" s="312"/>
      <c r="ED140" s="312"/>
      <c r="EE140" s="312"/>
      <c r="EF140" s="312"/>
      <c r="EG140" s="312"/>
      <c r="EH140" s="312"/>
      <c r="EI140" s="312"/>
      <c r="EJ140" s="312"/>
      <c r="EK140" s="312"/>
      <c r="EL140" s="312"/>
      <c r="EM140" s="312"/>
      <c r="EN140" s="312"/>
      <c r="EO140" s="312"/>
      <c r="EP140" s="312"/>
      <c r="EQ140" s="312"/>
      <c r="ER140" s="312"/>
      <c r="ES140" s="312"/>
      <c r="ET140" s="312"/>
      <c r="EU140" s="312"/>
      <c r="EV140" s="312"/>
      <c r="EW140" s="312"/>
      <c r="EX140" s="312"/>
      <c r="EY140" s="312"/>
      <c r="EZ140" s="312"/>
      <c r="FA140" s="312"/>
      <c r="FB140" s="312"/>
      <c r="FC140" s="312"/>
      <c r="FD140" s="312"/>
      <c r="FE140" s="312"/>
      <c r="FF140" s="312"/>
      <c r="FG140" s="312"/>
      <c r="FH140" s="312"/>
      <c r="FI140" s="312"/>
      <c r="FJ140" s="312"/>
      <c r="FK140" s="312"/>
      <c r="FL140" s="312"/>
      <c r="FM140" s="312"/>
      <c r="FN140" s="312"/>
      <c r="FO140" s="312"/>
      <c r="FP140" s="312"/>
      <c r="FQ140" s="312"/>
      <c r="FR140" s="312"/>
      <c r="FS140" s="312"/>
      <c r="FT140" s="312"/>
      <c r="FU140" s="312"/>
      <c r="FV140" s="312"/>
      <c r="FW140" s="312"/>
      <c r="FX140" s="312"/>
      <c r="FY140" s="312"/>
      <c r="FZ140" s="312"/>
      <c r="GA140" s="312"/>
      <c r="GB140" s="312"/>
      <c r="GC140" s="312"/>
      <c r="GD140" s="312"/>
      <c r="GE140" s="312"/>
      <c r="GF140" s="312"/>
      <c r="GG140" s="312"/>
      <c r="GH140" s="312"/>
      <c r="GI140" s="312"/>
      <c r="GJ140" s="312"/>
      <c r="GK140" s="312"/>
      <c r="GL140" s="312"/>
      <c r="GM140" s="312"/>
      <c r="GN140" s="312"/>
      <c r="GO140" s="312"/>
      <c r="GP140" s="312"/>
      <c r="GQ140" s="312"/>
      <c r="GR140" s="312"/>
      <c r="GS140" s="312"/>
      <c r="GT140" s="312"/>
      <c r="GU140" s="312"/>
      <c r="GV140" s="312"/>
      <c r="GW140" s="312"/>
      <c r="GX140" s="312"/>
      <c r="GY140" s="312"/>
    </row>
    <row r="141" spans="2:207" ht="15.75" x14ac:dyDescent="0.25">
      <c r="B141" s="316">
        <f t="shared" si="20"/>
        <v>111</v>
      </c>
      <c r="C141" s="330">
        <f>'סיכום לוועדה'!B141</f>
        <v>1001347197</v>
      </c>
      <c r="D141" s="330">
        <f>'סיכום לוועדה'!C141</f>
        <v>1001262104</v>
      </c>
      <c r="E141" s="330">
        <f>'סיכום לוועדה'!D141</f>
        <v>40000479</v>
      </c>
      <c r="F141" s="330">
        <f>'סיכום לוועדה'!E141</f>
        <v>20000162</v>
      </c>
      <c r="G141" s="330" t="str">
        <f>'סיכום לוועדה'!F141</f>
        <v>חוף הכרמל</v>
      </c>
      <c r="H141" s="317" t="str">
        <f>'סיכום לוועדה'!G141</f>
        <v>המזגגה</v>
      </c>
      <c r="I141" s="318">
        <f>'סיכום לוועדה'!U141</f>
        <v>200000</v>
      </c>
      <c r="J141" s="319">
        <f>'סיכום לוועדה'!T141</f>
        <v>39141.330232112203</v>
      </c>
      <c r="K141" s="320">
        <f t="shared" si="21"/>
        <v>0</v>
      </c>
      <c r="L141" s="319">
        <f t="shared" si="22"/>
        <v>39141.330232112203</v>
      </c>
      <c r="M141" s="331">
        <f>'תחום תמיכה ב'!AF141</f>
        <v>2.550903012491584E-4</v>
      </c>
      <c r="N141" s="319">
        <f t="shared" si="19"/>
        <v>43486.669009465732</v>
      </c>
      <c r="O141" s="321">
        <f t="shared" si="23"/>
        <v>0</v>
      </c>
      <c r="P141" s="322">
        <f t="shared" si="24"/>
        <v>43486.669009465732</v>
      </c>
      <c r="Q141" s="322">
        <f t="shared" si="25"/>
        <v>43506.46963837721</v>
      </c>
      <c r="R141" s="321">
        <f t="shared" si="26"/>
        <v>0</v>
      </c>
      <c r="S141" s="322">
        <f t="shared" si="27"/>
        <v>43506.46963837721</v>
      </c>
      <c r="T141" s="322">
        <f t="shared" si="28"/>
        <v>43506.469638377122</v>
      </c>
      <c r="U141" s="321">
        <f t="shared" si="29"/>
        <v>0</v>
      </c>
      <c r="V141" s="322">
        <f t="shared" si="30"/>
        <v>43506.469638377122</v>
      </c>
      <c r="W141" s="322">
        <f t="shared" si="31"/>
        <v>43506.469638377144</v>
      </c>
      <c r="X141" s="321">
        <f t="shared" si="32"/>
        <v>0</v>
      </c>
      <c r="Y141" s="322">
        <f t="shared" si="33"/>
        <v>43506.469638377144</v>
      </c>
      <c r="Z141" s="322">
        <f t="shared" si="34"/>
        <v>43506.46963837713</v>
      </c>
      <c r="AA141" s="323">
        <f t="shared" si="35"/>
        <v>43506.46963837713</v>
      </c>
      <c r="AB141" s="323"/>
      <c r="AC141" s="323"/>
      <c r="AD141" s="323"/>
      <c r="AE141" s="323"/>
      <c r="AF141" s="324">
        <f t="shared" si="36"/>
        <v>2.4915213542069982E-4</v>
      </c>
      <c r="AG141" s="312"/>
      <c r="AH141" s="312"/>
      <c r="AI141" s="325">
        <f t="shared" si="37"/>
        <v>1</v>
      </c>
      <c r="AJ141" s="312"/>
      <c r="AK141" s="312"/>
      <c r="AL141" s="312"/>
      <c r="AM141" s="312"/>
      <c r="AN141" s="312"/>
      <c r="AO141" s="312"/>
      <c r="AP141" s="312"/>
      <c r="AQ141" s="312"/>
      <c r="AR141" s="312"/>
      <c r="AS141" s="312"/>
      <c r="AT141" s="312"/>
      <c r="AU141" s="312"/>
      <c r="AV141" s="312"/>
      <c r="AW141" s="312"/>
      <c r="AX141" s="312"/>
      <c r="AY141" s="312"/>
      <c r="AZ141" s="312"/>
      <c r="BA141" s="312"/>
      <c r="BB141" s="312"/>
      <c r="BC141" s="312"/>
      <c r="BD141" s="312"/>
      <c r="BE141" s="312"/>
      <c r="BF141" s="312"/>
      <c r="BG141" s="312"/>
      <c r="BH141" s="312"/>
      <c r="BI141" s="312"/>
      <c r="BJ141" s="312"/>
      <c r="BK141" s="312"/>
      <c r="BL141" s="312"/>
      <c r="BM141" s="312"/>
      <c r="BN141" s="312"/>
      <c r="BO141" s="312"/>
      <c r="BP141" s="312"/>
      <c r="BQ141" s="312"/>
      <c r="BR141" s="312"/>
      <c r="BS141" s="312"/>
      <c r="BT141" s="312"/>
      <c r="BU141" s="312"/>
      <c r="BV141" s="312"/>
      <c r="BW141" s="312"/>
      <c r="BX141" s="312"/>
      <c r="BY141" s="312"/>
      <c r="BZ141" s="312"/>
      <c r="CA141" s="312"/>
      <c r="CB141" s="312"/>
      <c r="CC141" s="312"/>
      <c r="CD141" s="312"/>
      <c r="CE141" s="312"/>
      <c r="CF141" s="312"/>
      <c r="CG141" s="312"/>
      <c r="CH141" s="312"/>
      <c r="CI141" s="312"/>
      <c r="CJ141" s="312"/>
      <c r="CK141" s="312"/>
      <c r="CL141" s="312"/>
      <c r="CM141" s="312"/>
      <c r="CN141" s="312"/>
      <c r="CO141" s="312"/>
      <c r="CP141" s="312"/>
      <c r="CQ141" s="312"/>
      <c r="CR141" s="312"/>
      <c r="CS141" s="312"/>
      <c r="CT141" s="312"/>
      <c r="CU141" s="312"/>
      <c r="CV141" s="312"/>
      <c r="CW141" s="312"/>
      <c r="CX141" s="312"/>
      <c r="CY141" s="312"/>
      <c r="CZ141" s="312"/>
      <c r="DA141" s="312"/>
      <c r="DB141" s="312"/>
      <c r="DC141" s="312"/>
      <c r="DD141" s="312"/>
      <c r="DE141" s="312"/>
      <c r="DF141" s="312"/>
      <c r="DG141" s="312"/>
      <c r="DH141" s="312"/>
      <c r="DI141" s="312"/>
      <c r="DJ141" s="312"/>
      <c r="DK141" s="312"/>
      <c r="DL141" s="312"/>
      <c r="DM141" s="312"/>
      <c r="DN141" s="312"/>
      <c r="DO141" s="312"/>
      <c r="DP141" s="312"/>
      <c r="DQ141" s="312"/>
      <c r="DR141" s="312"/>
      <c r="DS141" s="312"/>
      <c r="DT141" s="312"/>
      <c r="DU141" s="312"/>
      <c r="DV141" s="312"/>
      <c r="DW141" s="312"/>
      <c r="DX141" s="312"/>
      <c r="DY141" s="312"/>
      <c r="DZ141" s="312"/>
      <c r="EA141" s="312"/>
      <c r="EB141" s="312"/>
      <c r="EC141" s="312"/>
      <c r="ED141" s="312"/>
      <c r="EE141" s="312"/>
      <c r="EF141" s="312"/>
      <c r="EG141" s="312"/>
      <c r="EH141" s="312"/>
      <c r="EI141" s="312"/>
      <c r="EJ141" s="312"/>
      <c r="EK141" s="312"/>
      <c r="EL141" s="312"/>
      <c r="EM141" s="312"/>
      <c r="EN141" s="312"/>
      <c r="EO141" s="312"/>
      <c r="EP141" s="312"/>
      <c r="EQ141" s="312"/>
      <c r="ER141" s="312"/>
      <c r="ES141" s="312"/>
      <c r="ET141" s="312"/>
      <c r="EU141" s="312"/>
      <c r="EV141" s="312"/>
      <c r="EW141" s="312"/>
      <c r="EX141" s="312"/>
      <c r="EY141" s="312"/>
      <c r="EZ141" s="312"/>
      <c r="FA141" s="312"/>
      <c r="FB141" s="312"/>
      <c r="FC141" s="312"/>
      <c r="FD141" s="312"/>
      <c r="FE141" s="312"/>
      <c r="FF141" s="312"/>
      <c r="FG141" s="312"/>
      <c r="FH141" s="312"/>
      <c r="FI141" s="312"/>
      <c r="FJ141" s="312"/>
      <c r="FK141" s="312"/>
      <c r="FL141" s="312"/>
      <c r="FM141" s="312"/>
      <c r="FN141" s="312"/>
      <c r="FO141" s="312"/>
      <c r="FP141" s="312"/>
      <c r="FQ141" s="312"/>
      <c r="FR141" s="312"/>
      <c r="FS141" s="312"/>
      <c r="FT141" s="312"/>
      <c r="FU141" s="312"/>
      <c r="FV141" s="312"/>
      <c r="FW141" s="312"/>
      <c r="FX141" s="312"/>
      <c r="FY141" s="312"/>
      <c r="FZ141" s="312"/>
      <c r="GA141" s="312"/>
      <c r="GB141" s="312"/>
      <c r="GC141" s="312"/>
      <c r="GD141" s="312"/>
      <c r="GE141" s="312"/>
      <c r="GF141" s="312"/>
      <c r="GG141" s="312"/>
      <c r="GH141" s="312"/>
      <c r="GI141" s="312"/>
      <c r="GJ141" s="312"/>
      <c r="GK141" s="312"/>
      <c r="GL141" s="312"/>
      <c r="GM141" s="312"/>
      <c r="GN141" s="312"/>
      <c r="GO141" s="312"/>
      <c r="GP141" s="312"/>
      <c r="GQ141" s="312"/>
      <c r="GR141" s="312"/>
      <c r="GS141" s="312"/>
      <c r="GT141" s="312"/>
      <c r="GU141" s="312"/>
      <c r="GV141" s="312"/>
      <c r="GW141" s="312"/>
      <c r="GX141" s="312"/>
      <c r="GY141" s="312"/>
    </row>
    <row r="142" spans="2:207" ht="15.75" x14ac:dyDescent="0.25">
      <c r="B142" s="316">
        <f t="shared" si="20"/>
        <v>112</v>
      </c>
      <c r="C142" s="330">
        <f>'סיכום לוועדה'!B142</f>
        <v>1001346660</v>
      </c>
      <c r="D142" s="330">
        <f>'סיכום לוועדה'!C142</f>
        <v>1001262391</v>
      </c>
      <c r="E142" s="330">
        <f>'סיכום לוועדה'!D142</f>
        <v>40000448</v>
      </c>
      <c r="F142" s="330">
        <f>'סיכום לוועדה'!E142</f>
        <v>20000238</v>
      </c>
      <c r="G142" s="330" t="str">
        <f>'סיכום לוועדה'!F142</f>
        <v>עכו</v>
      </c>
      <c r="H142" s="317" t="str">
        <f>'סיכום לוועדה'!G142</f>
        <v>המרכז לתיאטרון של עכו</v>
      </c>
      <c r="I142" s="318">
        <f>'סיכום לוועדה'!U142</f>
        <v>3000000</v>
      </c>
      <c r="J142" s="319">
        <f>'סיכום לוועדה'!T142</f>
        <v>76302.39588079942</v>
      </c>
      <c r="K142" s="320">
        <f t="shared" si="21"/>
        <v>0</v>
      </c>
      <c r="L142" s="319">
        <f t="shared" si="22"/>
        <v>76302.39588079942</v>
      </c>
      <c r="M142" s="331">
        <f>'תחום תמיכה ב'!AF142</f>
        <v>3.1685305702347538E-4</v>
      </c>
      <c r="N142" s="319">
        <f t="shared" si="19"/>
        <v>81699.833057614305</v>
      </c>
      <c r="O142" s="321">
        <f t="shared" si="23"/>
        <v>0</v>
      </c>
      <c r="P142" s="322">
        <f t="shared" si="24"/>
        <v>81699.833057614305</v>
      </c>
      <c r="Q142" s="322">
        <f t="shared" si="25"/>
        <v>81737.033149351657</v>
      </c>
      <c r="R142" s="321">
        <f t="shared" si="26"/>
        <v>0</v>
      </c>
      <c r="S142" s="322">
        <f t="shared" si="27"/>
        <v>81737.033149351657</v>
      </c>
      <c r="T142" s="322">
        <f t="shared" si="28"/>
        <v>81737.033149351497</v>
      </c>
      <c r="U142" s="321">
        <f t="shared" si="29"/>
        <v>0</v>
      </c>
      <c r="V142" s="322">
        <f t="shared" si="30"/>
        <v>81737.033149351497</v>
      </c>
      <c r="W142" s="322">
        <f t="shared" si="31"/>
        <v>81737.033149351526</v>
      </c>
      <c r="X142" s="321">
        <f t="shared" si="32"/>
        <v>0</v>
      </c>
      <c r="Y142" s="322">
        <f t="shared" si="33"/>
        <v>81737.033149351526</v>
      </c>
      <c r="Z142" s="322">
        <f t="shared" si="34"/>
        <v>81737.033149351511</v>
      </c>
      <c r="AA142" s="323">
        <f t="shared" si="35"/>
        <v>81737.033149351511</v>
      </c>
      <c r="AB142" s="323"/>
      <c r="AC142" s="323"/>
      <c r="AD142" s="323"/>
      <c r="AE142" s="323"/>
      <c r="AF142" s="324">
        <f t="shared" si="36"/>
        <v>4.6809029832541266E-4</v>
      </c>
      <c r="AG142" s="312"/>
      <c r="AH142" s="312"/>
      <c r="AI142" s="325">
        <f t="shared" si="37"/>
        <v>1</v>
      </c>
      <c r="AJ142" s="312"/>
      <c r="AK142" s="312"/>
      <c r="AL142" s="312"/>
      <c r="AM142" s="312"/>
      <c r="AN142" s="312"/>
      <c r="AO142" s="312"/>
      <c r="AP142" s="312"/>
      <c r="AQ142" s="312"/>
      <c r="AR142" s="312"/>
      <c r="AS142" s="312"/>
      <c r="AT142" s="312"/>
      <c r="AU142" s="312"/>
      <c r="AV142" s="312"/>
      <c r="AW142" s="312"/>
      <c r="AX142" s="312"/>
      <c r="AY142" s="312"/>
      <c r="AZ142" s="312"/>
      <c r="BA142" s="312"/>
      <c r="BB142" s="312"/>
      <c r="BC142" s="312"/>
      <c r="BD142" s="312"/>
      <c r="BE142" s="312"/>
      <c r="BF142" s="312"/>
      <c r="BG142" s="312"/>
      <c r="BH142" s="312"/>
      <c r="BI142" s="312"/>
      <c r="BJ142" s="312"/>
      <c r="BK142" s="312"/>
      <c r="BL142" s="312"/>
      <c r="BM142" s="312"/>
      <c r="BN142" s="312"/>
      <c r="BO142" s="312"/>
      <c r="BP142" s="312"/>
      <c r="BQ142" s="312"/>
      <c r="BR142" s="312"/>
      <c r="BS142" s="312"/>
      <c r="BT142" s="312"/>
      <c r="BU142" s="312"/>
      <c r="BV142" s="312"/>
      <c r="BW142" s="312"/>
      <c r="BX142" s="312"/>
      <c r="BY142" s="312"/>
      <c r="BZ142" s="312"/>
      <c r="CA142" s="312"/>
      <c r="CB142" s="312"/>
      <c r="CC142" s="312"/>
      <c r="CD142" s="312"/>
      <c r="CE142" s="312"/>
      <c r="CF142" s="312"/>
      <c r="CG142" s="312"/>
      <c r="CH142" s="312"/>
      <c r="CI142" s="312"/>
      <c r="CJ142" s="312"/>
      <c r="CK142" s="312"/>
      <c r="CL142" s="312"/>
      <c r="CM142" s="312"/>
      <c r="CN142" s="312"/>
      <c r="CO142" s="312"/>
      <c r="CP142" s="312"/>
      <c r="CQ142" s="312"/>
      <c r="CR142" s="312"/>
      <c r="CS142" s="312"/>
      <c r="CT142" s="312"/>
      <c r="CU142" s="312"/>
      <c r="CV142" s="312"/>
      <c r="CW142" s="312"/>
      <c r="CX142" s="312"/>
      <c r="CY142" s="312"/>
      <c r="CZ142" s="312"/>
      <c r="DA142" s="312"/>
      <c r="DB142" s="312"/>
      <c r="DC142" s="312"/>
      <c r="DD142" s="312"/>
      <c r="DE142" s="312"/>
      <c r="DF142" s="312"/>
      <c r="DG142" s="312"/>
      <c r="DH142" s="312"/>
      <c r="DI142" s="312"/>
      <c r="DJ142" s="312"/>
      <c r="DK142" s="312"/>
      <c r="DL142" s="312"/>
      <c r="DM142" s="312"/>
      <c r="DN142" s="312"/>
      <c r="DO142" s="312"/>
      <c r="DP142" s="312"/>
      <c r="DQ142" s="312"/>
      <c r="DR142" s="312"/>
      <c r="DS142" s="312"/>
      <c r="DT142" s="312"/>
      <c r="DU142" s="312"/>
      <c r="DV142" s="312"/>
      <c r="DW142" s="312"/>
      <c r="DX142" s="312"/>
      <c r="DY142" s="312"/>
      <c r="DZ142" s="312"/>
      <c r="EA142" s="312"/>
      <c r="EB142" s="312"/>
      <c r="EC142" s="312"/>
      <c r="ED142" s="312"/>
      <c r="EE142" s="312"/>
      <c r="EF142" s="312"/>
      <c r="EG142" s="312"/>
      <c r="EH142" s="312"/>
      <c r="EI142" s="312"/>
      <c r="EJ142" s="312"/>
      <c r="EK142" s="312"/>
      <c r="EL142" s="312"/>
      <c r="EM142" s="312"/>
      <c r="EN142" s="312"/>
      <c r="EO142" s="312"/>
      <c r="EP142" s="312"/>
      <c r="EQ142" s="312"/>
      <c r="ER142" s="312"/>
      <c r="ES142" s="312"/>
      <c r="ET142" s="312"/>
      <c r="EU142" s="312"/>
      <c r="EV142" s="312"/>
      <c r="EW142" s="312"/>
      <c r="EX142" s="312"/>
      <c r="EY142" s="312"/>
      <c r="EZ142" s="312"/>
      <c r="FA142" s="312"/>
      <c r="FB142" s="312"/>
      <c r="FC142" s="312"/>
      <c r="FD142" s="312"/>
      <c r="FE142" s="312"/>
      <c r="FF142" s="312"/>
      <c r="FG142" s="312"/>
      <c r="FH142" s="312"/>
      <c r="FI142" s="312"/>
      <c r="FJ142" s="312"/>
      <c r="FK142" s="312"/>
      <c r="FL142" s="312"/>
      <c r="FM142" s="312"/>
      <c r="FN142" s="312"/>
      <c r="FO142" s="312"/>
      <c r="FP142" s="312"/>
      <c r="FQ142" s="312"/>
      <c r="FR142" s="312"/>
      <c r="FS142" s="312"/>
      <c r="FT142" s="312"/>
      <c r="FU142" s="312"/>
      <c r="FV142" s="312"/>
      <c r="FW142" s="312"/>
      <c r="FX142" s="312"/>
      <c r="FY142" s="312"/>
      <c r="FZ142" s="312"/>
      <c r="GA142" s="312"/>
      <c r="GB142" s="312"/>
      <c r="GC142" s="312"/>
      <c r="GD142" s="312"/>
      <c r="GE142" s="312"/>
      <c r="GF142" s="312"/>
      <c r="GG142" s="312"/>
      <c r="GH142" s="312"/>
      <c r="GI142" s="312"/>
      <c r="GJ142" s="312"/>
      <c r="GK142" s="312"/>
      <c r="GL142" s="312"/>
      <c r="GM142" s="312"/>
      <c r="GN142" s="312"/>
      <c r="GO142" s="312"/>
      <c r="GP142" s="312"/>
      <c r="GQ142" s="312"/>
      <c r="GR142" s="312"/>
      <c r="GS142" s="312"/>
      <c r="GT142" s="312"/>
      <c r="GU142" s="312"/>
      <c r="GV142" s="312"/>
      <c r="GW142" s="312"/>
      <c r="GX142" s="312"/>
      <c r="GY142" s="312"/>
    </row>
    <row r="143" spans="2:207" ht="15.75" x14ac:dyDescent="0.25">
      <c r="B143" s="316">
        <f t="shared" si="20"/>
        <v>113</v>
      </c>
      <c r="C143" s="330">
        <f>'סיכום לוועדה'!B143</f>
        <v>1001347313</v>
      </c>
      <c r="D143" s="330">
        <f>'סיכום לוועדה'!C143</f>
        <v>1001270594</v>
      </c>
      <c r="E143" s="330">
        <f>'סיכום לוועדה'!D143</f>
        <v>40002883</v>
      </c>
      <c r="F143" s="330">
        <f>'סיכום לוועדה'!E143</f>
        <v>20000254</v>
      </c>
      <c r="G143" s="330" t="str">
        <f>'סיכום לוועדה'!F143</f>
        <v>באר שבע</v>
      </c>
      <c r="H143" s="317" t="str">
        <f>'סיכום לוועדה'!G143</f>
        <v>בת-דור באר-שבע - מרכז עירוני לאמנות</v>
      </c>
      <c r="I143" s="318">
        <f>'סיכום לוועדה'!U143</f>
        <v>1300000</v>
      </c>
      <c r="J143" s="319">
        <f>'סיכום לוועדה'!T143</f>
        <v>166738.16592135877</v>
      </c>
      <c r="K143" s="320">
        <f t="shared" si="21"/>
        <v>0</v>
      </c>
      <c r="L143" s="319">
        <f t="shared" si="22"/>
        <v>166738.16592135877</v>
      </c>
      <c r="M143" s="331">
        <f>'תחום תמיכה ב'!AF143</f>
        <v>8.0751943437287472E-4</v>
      </c>
      <c r="N143" s="319">
        <f t="shared" si="19"/>
        <v>180493.86535196821</v>
      </c>
      <c r="O143" s="321">
        <f t="shared" si="23"/>
        <v>0</v>
      </c>
      <c r="P143" s="322">
        <f t="shared" si="24"/>
        <v>180493.86535196821</v>
      </c>
      <c r="Q143" s="322">
        <f t="shared" si="25"/>
        <v>180576.04897582444</v>
      </c>
      <c r="R143" s="321">
        <f t="shared" si="26"/>
        <v>0</v>
      </c>
      <c r="S143" s="322">
        <f t="shared" si="27"/>
        <v>180576.04897582444</v>
      </c>
      <c r="T143" s="322">
        <f t="shared" si="28"/>
        <v>180576.04897582406</v>
      </c>
      <c r="U143" s="321">
        <f t="shared" si="29"/>
        <v>0</v>
      </c>
      <c r="V143" s="322">
        <f t="shared" si="30"/>
        <v>180576.04897582406</v>
      </c>
      <c r="W143" s="322">
        <f t="shared" si="31"/>
        <v>180576.04897582412</v>
      </c>
      <c r="X143" s="321">
        <f t="shared" si="32"/>
        <v>0</v>
      </c>
      <c r="Y143" s="322">
        <f t="shared" si="33"/>
        <v>180576.04897582412</v>
      </c>
      <c r="Z143" s="322">
        <f t="shared" si="34"/>
        <v>180576.04897582406</v>
      </c>
      <c r="AA143" s="323">
        <f t="shared" si="35"/>
        <v>180576.04897582406</v>
      </c>
      <c r="AB143" s="323"/>
      <c r="AC143" s="323"/>
      <c r="AD143" s="323"/>
      <c r="AE143" s="323"/>
      <c r="AF143" s="324">
        <f t="shared" si="36"/>
        <v>1.0341199500240048E-3</v>
      </c>
      <c r="AG143" s="312"/>
      <c r="AH143" s="312"/>
      <c r="AI143" s="325">
        <f t="shared" si="37"/>
        <v>1</v>
      </c>
      <c r="AJ143" s="312"/>
      <c r="AK143" s="312"/>
      <c r="AL143" s="312"/>
      <c r="AM143" s="312"/>
      <c r="AN143" s="312"/>
      <c r="AO143" s="312"/>
      <c r="AP143" s="312"/>
      <c r="AQ143" s="312"/>
      <c r="AR143" s="312"/>
      <c r="AS143" s="312"/>
      <c r="AT143" s="312"/>
      <c r="AU143" s="312"/>
      <c r="AV143" s="312"/>
      <c r="AW143" s="312"/>
      <c r="AX143" s="312"/>
      <c r="AY143" s="312"/>
      <c r="AZ143" s="312"/>
      <c r="BA143" s="312"/>
      <c r="BB143" s="312"/>
      <c r="BC143" s="312"/>
      <c r="BD143" s="312"/>
      <c r="BE143" s="312"/>
      <c r="BF143" s="312"/>
      <c r="BG143" s="312"/>
      <c r="BH143" s="312"/>
      <c r="BI143" s="312"/>
      <c r="BJ143" s="312"/>
      <c r="BK143" s="312"/>
      <c r="BL143" s="312"/>
      <c r="BM143" s="312"/>
      <c r="BN143" s="312"/>
      <c r="BO143" s="312"/>
      <c r="BP143" s="312"/>
      <c r="BQ143" s="312"/>
      <c r="BR143" s="312"/>
      <c r="BS143" s="312"/>
      <c r="BT143" s="312"/>
      <c r="BU143" s="312"/>
      <c r="BV143" s="312"/>
      <c r="BW143" s="312"/>
      <c r="BX143" s="312"/>
      <c r="BY143" s="312"/>
      <c r="BZ143" s="312"/>
      <c r="CA143" s="312"/>
      <c r="CB143" s="312"/>
      <c r="CC143" s="312"/>
      <c r="CD143" s="312"/>
      <c r="CE143" s="312"/>
      <c r="CF143" s="312"/>
      <c r="CG143" s="312"/>
      <c r="CH143" s="312"/>
      <c r="CI143" s="312"/>
      <c r="CJ143" s="312"/>
      <c r="CK143" s="312"/>
      <c r="CL143" s="312"/>
      <c r="CM143" s="312"/>
      <c r="CN143" s="312"/>
      <c r="CO143" s="312"/>
      <c r="CP143" s="312"/>
      <c r="CQ143" s="312"/>
      <c r="CR143" s="312"/>
      <c r="CS143" s="312"/>
      <c r="CT143" s="312"/>
      <c r="CU143" s="312"/>
      <c r="CV143" s="312"/>
      <c r="CW143" s="312"/>
      <c r="CX143" s="312"/>
      <c r="CY143" s="312"/>
      <c r="CZ143" s="312"/>
      <c r="DA143" s="312"/>
      <c r="DB143" s="312"/>
      <c r="DC143" s="312"/>
      <c r="DD143" s="312"/>
      <c r="DE143" s="312"/>
      <c r="DF143" s="312"/>
      <c r="DG143" s="312"/>
      <c r="DH143" s="312"/>
      <c r="DI143" s="312"/>
      <c r="DJ143" s="312"/>
      <c r="DK143" s="312"/>
      <c r="DL143" s="312"/>
      <c r="DM143" s="312"/>
      <c r="DN143" s="312"/>
      <c r="DO143" s="312"/>
      <c r="DP143" s="312"/>
      <c r="DQ143" s="312"/>
      <c r="DR143" s="312"/>
      <c r="DS143" s="312"/>
      <c r="DT143" s="312"/>
      <c r="DU143" s="312"/>
      <c r="DV143" s="312"/>
      <c r="DW143" s="312"/>
      <c r="DX143" s="312"/>
      <c r="DY143" s="312"/>
      <c r="DZ143" s="312"/>
      <c r="EA143" s="312"/>
      <c r="EB143" s="312"/>
      <c r="EC143" s="312"/>
      <c r="ED143" s="312"/>
      <c r="EE143" s="312"/>
      <c r="EF143" s="312"/>
      <c r="EG143" s="312"/>
      <c r="EH143" s="312"/>
      <c r="EI143" s="312"/>
      <c r="EJ143" s="312"/>
      <c r="EK143" s="312"/>
      <c r="EL143" s="312"/>
      <c r="EM143" s="312"/>
      <c r="EN143" s="312"/>
      <c r="EO143" s="312"/>
      <c r="EP143" s="312"/>
      <c r="EQ143" s="312"/>
      <c r="ER143" s="312"/>
      <c r="ES143" s="312"/>
      <c r="ET143" s="312"/>
      <c r="EU143" s="312"/>
      <c r="EV143" s="312"/>
      <c r="EW143" s="312"/>
      <c r="EX143" s="312"/>
      <c r="EY143" s="312"/>
      <c r="EZ143" s="312"/>
      <c r="FA143" s="312"/>
      <c r="FB143" s="312"/>
      <c r="FC143" s="312"/>
      <c r="FD143" s="312"/>
      <c r="FE143" s="312"/>
      <c r="FF143" s="312"/>
      <c r="FG143" s="312"/>
      <c r="FH143" s="312"/>
      <c r="FI143" s="312"/>
      <c r="FJ143" s="312"/>
      <c r="FK143" s="312"/>
      <c r="FL143" s="312"/>
      <c r="FM143" s="312"/>
      <c r="FN143" s="312"/>
      <c r="FO143" s="312"/>
      <c r="FP143" s="312"/>
      <c r="FQ143" s="312"/>
      <c r="FR143" s="312"/>
      <c r="FS143" s="312"/>
      <c r="FT143" s="312"/>
      <c r="FU143" s="312"/>
      <c r="FV143" s="312"/>
      <c r="FW143" s="312"/>
      <c r="FX143" s="312"/>
      <c r="FY143" s="312"/>
      <c r="FZ143" s="312"/>
      <c r="GA143" s="312"/>
      <c r="GB143" s="312"/>
      <c r="GC143" s="312"/>
      <c r="GD143" s="312"/>
      <c r="GE143" s="312"/>
      <c r="GF143" s="312"/>
      <c r="GG143" s="312"/>
      <c r="GH143" s="312"/>
      <c r="GI143" s="312"/>
      <c r="GJ143" s="312"/>
      <c r="GK143" s="312"/>
      <c r="GL143" s="312"/>
      <c r="GM143" s="312"/>
      <c r="GN143" s="312"/>
      <c r="GO143" s="312"/>
      <c r="GP143" s="312"/>
      <c r="GQ143" s="312"/>
      <c r="GR143" s="312"/>
      <c r="GS143" s="312"/>
      <c r="GT143" s="312"/>
      <c r="GU143" s="312"/>
      <c r="GV143" s="312"/>
      <c r="GW143" s="312"/>
      <c r="GX143" s="312"/>
      <c r="GY143" s="312"/>
    </row>
    <row r="144" spans="2:207" ht="15.75" x14ac:dyDescent="0.25">
      <c r="B144" s="316">
        <f t="shared" si="20"/>
        <v>114</v>
      </c>
      <c r="C144" s="330">
        <f>'סיכום לוועדה'!B144</f>
        <v>1001346798</v>
      </c>
      <c r="D144" s="330">
        <f>'סיכום לוועדה'!C144</f>
        <v>1001266509</v>
      </c>
      <c r="E144" s="330">
        <f>'סיכום לוועדה'!D144</f>
        <v>40000709</v>
      </c>
      <c r="F144" s="330">
        <f>'סיכום לוועדה'!E144</f>
        <v>20000159</v>
      </c>
      <c r="G144" s="330" t="str">
        <f>'סיכום לוועדה'!F144</f>
        <v>ירושלים</v>
      </c>
      <c r="H144" s="317" t="str">
        <f>'סיכום לוועדה'!G144</f>
        <v>צוללת צהובה - המקום למוסיקה בירושלים</v>
      </c>
      <c r="I144" s="318">
        <f>'סיכום לוועדה'!U144</f>
        <v>500000</v>
      </c>
      <c r="J144" s="319">
        <f>'סיכום לוועדה'!T144</f>
        <v>511145.57089821895</v>
      </c>
      <c r="K144" s="320">
        <f t="shared" si="21"/>
        <v>1</v>
      </c>
      <c r="L144" s="319">
        <f t="shared" si="22"/>
        <v>500000</v>
      </c>
      <c r="M144" s="331">
        <f>'תחום תמיכה ב'!AF144</f>
        <v>2.9695265681332472E-3</v>
      </c>
      <c r="N144" s="319">
        <f t="shared" si="19"/>
        <v>500000</v>
      </c>
      <c r="O144" s="321">
        <f t="shared" si="23"/>
        <v>1</v>
      </c>
      <c r="P144" s="322">
        <f t="shared" si="24"/>
        <v>500000</v>
      </c>
      <c r="Q144" s="322">
        <f t="shared" si="25"/>
        <v>500000</v>
      </c>
      <c r="R144" s="321">
        <f t="shared" si="26"/>
        <v>1</v>
      </c>
      <c r="S144" s="322">
        <f t="shared" si="27"/>
        <v>500000</v>
      </c>
      <c r="T144" s="322">
        <f t="shared" si="28"/>
        <v>500000</v>
      </c>
      <c r="U144" s="321">
        <f t="shared" si="29"/>
        <v>1</v>
      </c>
      <c r="V144" s="322">
        <f t="shared" si="30"/>
        <v>500000</v>
      </c>
      <c r="W144" s="322">
        <f t="shared" si="31"/>
        <v>500000</v>
      </c>
      <c r="X144" s="321">
        <f t="shared" si="32"/>
        <v>1</v>
      </c>
      <c r="Y144" s="322">
        <f t="shared" si="33"/>
        <v>500000</v>
      </c>
      <c r="Z144" s="322">
        <f t="shared" si="34"/>
        <v>500000</v>
      </c>
      <c r="AA144" s="323">
        <f t="shared" si="35"/>
        <v>500000</v>
      </c>
      <c r="AB144" s="323"/>
      <c r="AC144" s="323"/>
      <c r="AD144" s="323"/>
      <c r="AE144" s="323"/>
      <c r="AF144" s="324">
        <f t="shared" si="36"/>
        <v>2.863391783930479E-3</v>
      </c>
      <c r="AG144" s="312"/>
      <c r="AH144" s="312"/>
      <c r="AI144" s="325">
        <f t="shared" si="37"/>
        <v>1</v>
      </c>
      <c r="AJ144" s="312"/>
      <c r="AK144" s="312"/>
      <c r="AL144" s="312"/>
      <c r="AM144" s="312"/>
      <c r="AN144" s="312"/>
      <c r="AO144" s="312"/>
      <c r="AP144" s="312"/>
      <c r="AQ144" s="312"/>
      <c r="AR144" s="312"/>
      <c r="AS144" s="312"/>
      <c r="AT144" s="312"/>
      <c r="AU144" s="312"/>
      <c r="AV144" s="312"/>
      <c r="AW144" s="312"/>
      <c r="AX144" s="312"/>
      <c r="AY144" s="312"/>
      <c r="AZ144" s="312"/>
      <c r="BA144" s="312"/>
      <c r="BB144" s="312"/>
      <c r="BC144" s="312"/>
      <c r="BD144" s="312"/>
      <c r="BE144" s="312"/>
      <c r="BF144" s="312"/>
      <c r="BG144" s="312"/>
      <c r="BH144" s="312"/>
      <c r="BI144" s="312"/>
      <c r="BJ144" s="312"/>
      <c r="BK144" s="312"/>
      <c r="BL144" s="312"/>
      <c r="BM144" s="312"/>
      <c r="BN144" s="312"/>
      <c r="BO144" s="312"/>
      <c r="BP144" s="312"/>
      <c r="BQ144" s="312"/>
      <c r="BR144" s="312"/>
      <c r="BS144" s="312"/>
      <c r="BT144" s="312"/>
      <c r="BU144" s="312"/>
      <c r="BV144" s="312"/>
      <c r="BW144" s="312"/>
      <c r="BX144" s="312"/>
      <c r="BY144" s="312"/>
      <c r="BZ144" s="312"/>
      <c r="CA144" s="312"/>
      <c r="CB144" s="312"/>
      <c r="CC144" s="312"/>
      <c r="CD144" s="312"/>
      <c r="CE144" s="312"/>
      <c r="CF144" s="312"/>
      <c r="CG144" s="312"/>
      <c r="CH144" s="312"/>
      <c r="CI144" s="312"/>
      <c r="CJ144" s="312"/>
      <c r="CK144" s="312"/>
      <c r="CL144" s="312"/>
      <c r="CM144" s="312"/>
      <c r="CN144" s="312"/>
      <c r="CO144" s="312"/>
      <c r="CP144" s="312"/>
      <c r="CQ144" s="312"/>
      <c r="CR144" s="312"/>
      <c r="CS144" s="312"/>
      <c r="CT144" s="312"/>
      <c r="CU144" s="312"/>
      <c r="CV144" s="312"/>
      <c r="CW144" s="312"/>
      <c r="CX144" s="312"/>
      <c r="CY144" s="312"/>
      <c r="CZ144" s="312"/>
      <c r="DA144" s="312"/>
      <c r="DB144" s="312"/>
      <c r="DC144" s="312"/>
      <c r="DD144" s="312"/>
      <c r="DE144" s="312"/>
      <c r="DF144" s="312"/>
      <c r="DG144" s="312"/>
      <c r="DH144" s="312"/>
      <c r="DI144" s="312"/>
      <c r="DJ144" s="312"/>
      <c r="DK144" s="312"/>
      <c r="DL144" s="312"/>
      <c r="DM144" s="312"/>
      <c r="DN144" s="312"/>
      <c r="DO144" s="312"/>
      <c r="DP144" s="312"/>
      <c r="DQ144" s="312"/>
      <c r="DR144" s="312"/>
      <c r="DS144" s="312"/>
      <c r="DT144" s="312"/>
      <c r="DU144" s="312"/>
      <c r="DV144" s="312"/>
      <c r="DW144" s="312"/>
      <c r="DX144" s="312"/>
      <c r="DY144" s="312"/>
      <c r="DZ144" s="312"/>
      <c r="EA144" s="312"/>
      <c r="EB144" s="312"/>
      <c r="EC144" s="312"/>
      <c r="ED144" s="312"/>
      <c r="EE144" s="312"/>
      <c r="EF144" s="312"/>
      <c r="EG144" s="312"/>
      <c r="EH144" s="312"/>
      <c r="EI144" s="312"/>
      <c r="EJ144" s="312"/>
      <c r="EK144" s="312"/>
      <c r="EL144" s="312"/>
      <c r="EM144" s="312"/>
      <c r="EN144" s="312"/>
      <c r="EO144" s="312"/>
      <c r="EP144" s="312"/>
      <c r="EQ144" s="312"/>
      <c r="ER144" s="312"/>
      <c r="ES144" s="312"/>
      <c r="ET144" s="312"/>
      <c r="EU144" s="312"/>
      <c r="EV144" s="312"/>
      <c r="EW144" s="312"/>
      <c r="EX144" s="312"/>
      <c r="EY144" s="312"/>
      <c r="EZ144" s="312"/>
      <c r="FA144" s="312"/>
      <c r="FB144" s="312"/>
      <c r="FC144" s="312"/>
      <c r="FD144" s="312"/>
      <c r="FE144" s="312"/>
      <c r="FF144" s="312"/>
      <c r="FG144" s="312"/>
      <c r="FH144" s="312"/>
      <c r="FI144" s="312"/>
      <c r="FJ144" s="312"/>
      <c r="FK144" s="312"/>
      <c r="FL144" s="312"/>
      <c r="FM144" s="312"/>
      <c r="FN144" s="312"/>
      <c r="FO144" s="312"/>
      <c r="FP144" s="312"/>
      <c r="FQ144" s="312"/>
      <c r="FR144" s="312"/>
      <c r="FS144" s="312"/>
      <c r="FT144" s="312"/>
      <c r="FU144" s="312"/>
      <c r="FV144" s="312"/>
      <c r="FW144" s="312"/>
      <c r="FX144" s="312"/>
      <c r="FY144" s="312"/>
      <c r="FZ144" s="312"/>
      <c r="GA144" s="312"/>
      <c r="GB144" s="312"/>
      <c r="GC144" s="312"/>
      <c r="GD144" s="312"/>
      <c r="GE144" s="312"/>
      <c r="GF144" s="312"/>
      <c r="GG144" s="312"/>
      <c r="GH144" s="312"/>
      <c r="GI144" s="312"/>
      <c r="GJ144" s="312"/>
      <c r="GK144" s="312"/>
      <c r="GL144" s="312"/>
      <c r="GM144" s="312"/>
      <c r="GN144" s="312"/>
      <c r="GO144" s="312"/>
      <c r="GP144" s="312"/>
      <c r="GQ144" s="312"/>
      <c r="GR144" s="312"/>
      <c r="GS144" s="312"/>
      <c r="GT144" s="312"/>
      <c r="GU144" s="312"/>
      <c r="GV144" s="312"/>
      <c r="GW144" s="312"/>
      <c r="GX144" s="312"/>
      <c r="GY144" s="312"/>
    </row>
    <row r="145" spans="2:207" ht="15.75" x14ac:dyDescent="0.25">
      <c r="B145" s="316">
        <f t="shared" si="20"/>
        <v>115</v>
      </c>
      <c r="C145" s="330">
        <f>'סיכום לוועדה'!B145</f>
        <v>1001346657</v>
      </c>
      <c r="D145" s="330">
        <f>'סיכום לוועדה'!C145</f>
        <v>1001288870</v>
      </c>
      <c r="E145" s="330">
        <f>'סיכום לוועדה'!D145</f>
        <v>40221446</v>
      </c>
      <c r="F145" s="330">
        <f>'סיכום לוועדה'!E145</f>
        <v>20000201</v>
      </c>
      <c r="G145" s="330" t="str">
        <f>'סיכום לוועדה'!F145</f>
        <v>תל אביב -יפו</v>
      </c>
      <c r="H145" s="317" t="str">
        <f>'סיכום לוועדה'!G145</f>
        <v>תאטרון מחול אבשלום פולק</v>
      </c>
      <c r="I145" s="318">
        <f>'סיכום לוועדה'!U145</f>
        <v>2500000</v>
      </c>
      <c r="J145" s="319">
        <f>'סיכום לוועדה'!T145</f>
        <v>457086.0288296715</v>
      </c>
      <c r="K145" s="320">
        <f t="shared" si="21"/>
        <v>0</v>
      </c>
      <c r="L145" s="319">
        <f t="shared" si="22"/>
        <v>457086.0288296715</v>
      </c>
      <c r="M145" s="331">
        <f>'תחום תמיכה ב'!AF145</f>
        <v>2.2645826543041779E-3</v>
      </c>
      <c r="N145" s="319">
        <f t="shared" si="19"/>
        <v>495662.08904867049</v>
      </c>
      <c r="O145" s="321">
        <f t="shared" si="23"/>
        <v>0</v>
      </c>
      <c r="P145" s="322">
        <f t="shared" si="24"/>
        <v>495662.08904867049</v>
      </c>
      <c r="Q145" s="322">
        <f t="shared" si="25"/>
        <v>495887.77708857547</v>
      </c>
      <c r="R145" s="321">
        <f t="shared" si="26"/>
        <v>0</v>
      </c>
      <c r="S145" s="322">
        <f t="shared" si="27"/>
        <v>495887.77708857547</v>
      </c>
      <c r="T145" s="322">
        <f t="shared" si="28"/>
        <v>495887.77708857448</v>
      </c>
      <c r="U145" s="321">
        <f t="shared" si="29"/>
        <v>0</v>
      </c>
      <c r="V145" s="322">
        <f t="shared" si="30"/>
        <v>495887.77708857448</v>
      </c>
      <c r="W145" s="322">
        <f t="shared" si="31"/>
        <v>495887.77708857472</v>
      </c>
      <c r="X145" s="321">
        <f t="shared" si="32"/>
        <v>0</v>
      </c>
      <c r="Y145" s="322">
        <f t="shared" si="33"/>
        <v>495887.77708857472</v>
      </c>
      <c r="Z145" s="322">
        <f t="shared" si="34"/>
        <v>495887.7770885746</v>
      </c>
      <c r="AA145" s="323">
        <f t="shared" si="35"/>
        <v>495887.7770885746</v>
      </c>
      <c r="AB145" s="323"/>
      <c r="AC145" s="323"/>
      <c r="AD145" s="323"/>
      <c r="AE145" s="323"/>
      <c r="AF145" s="324">
        <f t="shared" si="36"/>
        <v>2.8398419733339469E-3</v>
      </c>
      <c r="AG145" s="312"/>
      <c r="AH145" s="312"/>
      <c r="AI145" s="325">
        <f t="shared" si="37"/>
        <v>1</v>
      </c>
      <c r="AJ145" s="312"/>
      <c r="AK145" s="312"/>
      <c r="AL145" s="312"/>
      <c r="AM145" s="312"/>
      <c r="AN145" s="312"/>
      <c r="AO145" s="312"/>
      <c r="AP145" s="312"/>
      <c r="AQ145" s="312"/>
      <c r="AR145" s="312"/>
      <c r="AS145" s="312"/>
      <c r="AT145" s="312"/>
      <c r="AU145" s="312"/>
      <c r="AV145" s="312"/>
      <c r="AW145" s="312"/>
      <c r="AX145" s="312"/>
      <c r="AY145" s="312"/>
      <c r="AZ145" s="312"/>
      <c r="BA145" s="312"/>
      <c r="BB145" s="312"/>
      <c r="BC145" s="312"/>
      <c r="BD145" s="312"/>
      <c r="BE145" s="312"/>
      <c r="BF145" s="312"/>
      <c r="BG145" s="312"/>
      <c r="BH145" s="312"/>
      <c r="BI145" s="312"/>
      <c r="BJ145" s="312"/>
      <c r="BK145" s="312"/>
      <c r="BL145" s="312"/>
      <c r="BM145" s="312"/>
      <c r="BN145" s="312"/>
      <c r="BO145" s="312"/>
      <c r="BP145" s="312"/>
      <c r="BQ145" s="312"/>
      <c r="BR145" s="312"/>
      <c r="BS145" s="312"/>
      <c r="BT145" s="312"/>
      <c r="BU145" s="312"/>
      <c r="BV145" s="312"/>
      <c r="BW145" s="312"/>
      <c r="BX145" s="312"/>
      <c r="BY145" s="312"/>
      <c r="BZ145" s="312"/>
      <c r="CA145" s="312"/>
      <c r="CB145" s="312"/>
      <c r="CC145" s="312"/>
      <c r="CD145" s="312"/>
      <c r="CE145" s="312"/>
      <c r="CF145" s="312"/>
      <c r="CG145" s="312"/>
      <c r="CH145" s="312"/>
      <c r="CI145" s="312"/>
      <c r="CJ145" s="312"/>
      <c r="CK145" s="312"/>
      <c r="CL145" s="312"/>
      <c r="CM145" s="312"/>
      <c r="CN145" s="312"/>
      <c r="CO145" s="312"/>
      <c r="CP145" s="312"/>
      <c r="CQ145" s="312"/>
      <c r="CR145" s="312"/>
      <c r="CS145" s="312"/>
      <c r="CT145" s="312"/>
      <c r="CU145" s="312"/>
      <c r="CV145" s="312"/>
      <c r="CW145" s="312"/>
      <c r="CX145" s="312"/>
      <c r="CY145" s="312"/>
      <c r="CZ145" s="312"/>
      <c r="DA145" s="312"/>
      <c r="DB145" s="312"/>
      <c r="DC145" s="312"/>
      <c r="DD145" s="312"/>
      <c r="DE145" s="312"/>
      <c r="DF145" s="312"/>
      <c r="DG145" s="312"/>
      <c r="DH145" s="312"/>
      <c r="DI145" s="312"/>
      <c r="DJ145" s="312"/>
      <c r="DK145" s="312"/>
      <c r="DL145" s="312"/>
      <c r="DM145" s="312"/>
      <c r="DN145" s="312"/>
      <c r="DO145" s="312"/>
      <c r="DP145" s="312"/>
      <c r="DQ145" s="312"/>
      <c r="DR145" s="312"/>
      <c r="DS145" s="312"/>
      <c r="DT145" s="312"/>
      <c r="DU145" s="312"/>
      <c r="DV145" s="312"/>
      <c r="DW145" s="312"/>
      <c r="DX145" s="312"/>
      <c r="DY145" s="312"/>
      <c r="DZ145" s="312"/>
      <c r="EA145" s="312"/>
      <c r="EB145" s="312"/>
      <c r="EC145" s="312"/>
      <c r="ED145" s="312"/>
      <c r="EE145" s="312"/>
      <c r="EF145" s="312"/>
      <c r="EG145" s="312"/>
      <c r="EH145" s="312"/>
      <c r="EI145" s="312"/>
      <c r="EJ145" s="312"/>
      <c r="EK145" s="312"/>
      <c r="EL145" s="312"/>
      <c r="EM145" s="312"/>
      <c r="EN145" s="312"/>
      <c r="EO145" s="312"/>
      <c r="EP145" s="312"/>
      <c r="EQ145" s="312"/>
      <c r="ER145" s="312"/>
      <c r="ES145" s="312"/>
      <c r="ET145" s="312"/>
      <c r="EU145" s="312"/>
      <c r="EV145" s="312"/>
      <c r="EW145" s="312"/>
      <c r="EX145" s="312"/>
      <c r="EY145" s="312"/>
      <c r="EZ145" s="312"/>
      <c r="FA145" s="312"/>
      <c r="FB145" s="312"/>
      <c r="FC145" s="312"/>
      <c r="FD145" s="312"/>
      <c r="FE145" s="312"/>
      <c r="FF145" s="312"/>
      <c r="FG145" s="312"/>
      <c r="FH145" s="312"/>
      <c r="FI145" s="312"/>
      <c r="FJ145" s="312"/>
      <c r="FK145" s="312"/>
      <c r="FL145" s="312"/>
      <c r="FM145" s="312"/>
      <c r="FN145" s="312"/>
      <c r="FO145" s="312"/>
      <c r="FP145" s="312"/>
      <c r="FQ145" s="312"/>
      <c r="FR145" s="312"/>
      <c r="FS145" s="312"/>
      <c r="FT145" s="312"/>
      <c r="FU145" s="312"/>
      <c r="FV145" s="312"/>
      <c r="FW145" s="312"/>
      <c r="FX145" s="312"/>
      <c r="FY145" s="312"/>
      <c r="FZ145" s="312"/>
      <c r="GA145" s="312"/>
      <c r="GB145" s="312"/>
      <c r="GC145" s="312"/>
      <c r="GD145" s="312"/>
      <c r="GE145" s="312"/>
      <c r="GF145" s="312"/>
      <c r="GG145" s="312"/>
      <c r="GH145" s="312"/>
      <c r="GI145" s="312"/>
      <c r="GJ145" s="312"/>
      <c r="GK145" s="312"/>
      <c r="GL145" s="312"/>
      <c r="GM145" s="312"/>
      <c r="GN145" s="312"/>
      <c r="GO145" s="312"/>
      <c r="GP145" s="312"/>
      <c r="GQ145" s="312"/>
      <c r="GR145" s="312"/>
      <c r="GS145" s="312"/>
      <c r="GT145" s="312"/>
      <c r="GU145" s="312"/>
      <c r="GV145" s="312"/>
      <c r="GW145" s="312"/>
      <c r="GX145" s="312"/>
      <c r="GY145" s="312"/>
    </row>
    <row r="146" spans="2:207" ht="15.75" x14ac:dyDescent="0.25">
      <c r="B146" s="316">
        <f t="shared" si="20"/>
        <v>116</v>
      </c>
      <c r="C146" s="330">
        <f>'סיכום לוועדה'!B146</f>
        <v>1001350382</v>
      </c>
      <c r="D146" s="330">
        <f>'סיכום לוועדה'!C146</f>
        <v>1001266978</v>
      </c>
      <c r="E146" s="330">
        <f>'סיכום לוועדה'!D146</f>
        <v>40000422</v>
      </c>
      <c r="F146" s="330">
        <f>'סיכום לוועדה'!E146</f>
        <v>20000201</v>
      </c>
      <c r="G146" s="330" t="str">
        <f>'סיכום לוועדה'!F146</f>
        <v>תל אביב -יפו</v>
      </c>
      <c r="H146" s="317" t="str">
        <f>'סיכום לוועדה'!G146</f>
        <v>מוזיאון נחום גוטמן</v>
      </c>
      <c r="I146" s="318">
        <f>'סיכום לוועדה'!U146</f>
        <v>200000</v>
      </c>
      <c r="J146" s="319">
        <f>'סיכום לוועדה'!T146</f>
        <v>198360.33089516309</v>
      </c>
      <c r="K146" s="320">
        <f t="shared" si="21"/>
        <v>0</v>
      </c>
      <c r="L146" s="319">
        <f t="shared" si="22"/>
        <v>198360.33089516309</v>
      </c>
      <c r="M146" s="331">
        <f>'תחום תמיכה ב'!AF146</f>
        <v>9.1615897352911554E-4</v>
      </c>
      <c r="N146" s="319">
        <f t="shared" si="19"/>
        <v>213966.65185053344</v>
      </c>
      <c r="O146" s="321">
        <f t="shared" si="23"/>
        <v>1</v>
      </c>
      <c r="P146" s="322">
        <f t="shared" si="24"/>
        <v>200000</v>
      </c>
      <c r="Q146" s="322">
        <f t="shared" si="25"/>
        <v>200000</v>
      </c>
      <c r="R146" s="321">
        <f t="shared" si="26"/>
        <v>1</v>
      </c>
      <c r="S146" s="322">
        <f t="shared" si="27"/>
        <v>200000</v>
      </c>
      <c r="T146" s="322">
        <f t="shared" si="28"/>
        <v>200000</v>
      </c>
      <c r="U146" s="321">
        <f t="shared" si="29"/>
        <v>1</v>
      </c>
      <c r="V146" s="322">
        <f t="shared" si="30"/>
        <v>200000</v>
      </c>
      <c r="W146" s="322">
        <f t="shared" si="31"/>
        <v>200000</v>
      </c>
      <c r="X146" s="321">
        <f t="shared" si="32"/>
        <v>1</v>
      </c>
      <c r="Y146" s="322">
        <f t="shared" si="33"/>
        <v>200000</v>
      </c>
      <c r="Z146" s="322">
        <f t="shared" si="34"/>
        <v>200000</v>
      </c>
      <c r="AA146" s="323">
        <f t="shared" si="35"/>
        <v>200000</v>
      </c>
      <c r="AB146" s="323"/>
      <c r="AC146" s="323"/>
      <c r="AD146" s="323"/>
      <c r="AE146" s="323"/>
      <c r="AF146" s="324">
        <f t="shared" si="36"/>
        <v>1.1453567135721917E-3</v>
      </c>
      <c r="AG146" s="312"/>
      <c r="AH146" s="312"/>
      <c r="AI146" s="325">
        <f t="shared" si="37"/>
        <v>1</v>
      </c>
      <c r="AJ146" s="312"/>
      <c r="AK146" s="312"/>
      <c r="AL146" s="312"/>
      <c r="AM146" s="312"/>
      <c r="AN146" s="312"/>
      <c r="AO146" s="312"/>
      <c r="AP146" s="312"/>
      <c r="AQ146" s="312"/>
      <c r="AR146" s="312"/>
      <c r="AS146" s="312"/>
      <c r="AT146" s="312"/>
      <c r="AU146" s="312"/>
      <c r="AV146" s="312"/>
      <c r="AW146" s="312"/>
      <c r="AX146" s="312"/>
      <c r="AY146" s="312"/>
      <c r="AZ146" s="312"/>
      <c r="BA146" s="312"/>
      <c r="BB146" s="312"/>
      <c r="BC146" s="312"/>
      <c r="BD146" s="312"/>
      <c r="BE146" s="312"/>
      <c r="BF146" s="312"/>
      <c r="BG146" s="312"/>
      <c r="BH146" s="312"/>
      <c r="BI146" s="312"/>
      <c r="BJ146" s="312"/>
      <c r="BK146" s="312"/>
      <c r="BL146" s="312"/>
      <c r="BM146" s="312"/>
      <c r="BN146" s="312"/>
      <c r="BO146" s="312"/>
      <c r="BP146" s="312"/>
      <c r="BQ146" s="312"/>
      <c r="BR146" s="312"/>
      <c r="BS146" s="312"/>
      <c r="BT146" s="312"/>
      <c r="BU146" s="312"/>
      <c r="BV146" s="312"/>
      <c r="BW146" s="312"/>
      <c r="BX146" s="312"/>
      <c r="BY146" s="312"/>
      <c r="BZ146" s="312"/>
      <c r="CA146" s="312"/>
      <c r="CB146" s="312"/>
      <c r="CC146" s="312"/>
      <c r="CD146" s="312"/>
      <c r="CE146" s="312"/>
      <c r="CF146" s="312"/>
      <c r="CG146" s="312"/>
      <c r="CH146" s="312"/>
      <c r="CI146" s="312"/>
      <c r="CJ146" s="312"/>
      <c r="CK146" s="312"/>
      <c r="CL146" s="312"/>
      <c r="CM146" s="312"/>
      <c r="CN146" s="312"/>
      <c r="CO146" s="312"/>
      <c r="CP146" s="312"/>
      <c r="CQ146" s="312"/>
      <c r="CR146" s="312"/>
      <c r="CS146" s="312"/>
      <c r="CT146" s="312"/>
      <c r="CU146" s="312"/>
      <c r="CV146" s="312"/>
      <c r="CW146" s="312"/>
      <c r="CX146" s="312"/>
      <c r="CY146" s="312"/>
      <c r="CZ146" s="312"/>
      <c r="DA146" s="312"/>
      <c r="DB146" s="312"/>
      <c r="DC146" s="312"/>
      <c r="DD146" s="312"/>
      <c r="DE146" s="312"/>
      <c r="DF146" s="312"/>
      <c r="DG146" s="312"/>
      <c r="DH146" s="312"/>
      <c r="DI146" s="312"/>
      <c r="DJ146" s="312"/>
      <c r="DK146" s="312"/>
      <c r="DL146" s="312"/>
      <c r="DM146" s="312"/>
      <c r="DN146" s="312"/>
      <c r="DO146" s="312"/>
      <c r="DP146" s="312"/>
      <c r="DQ146" s="312"/>
      <c r="DR146" s="312"/>
      <c r="DS146" s="312"/>
      <c r="DT146" s="312"/>
      <c r="DU146" s="312"/>
      <c r="DV146" s="312"/>
      <c r="DW146" s="312"/>
      <c r="DX146" s="312"/>
      <c r="DY146" s="312"/>
      <c r="DZ146" s="312"/>
      <c r="EA146" s="312"/>
      <c r="EB146" s="312"/>
      <c r="EC146" s="312"/>
      <c r="ED146" s="312"/>
      <c r="EE146" s="312"/>
      <c r="EF146" s="312"/>
      <c r="EG146" s="312"/>
      <c r="EH146" s="312"/>
      <c r="EI146" s="312"/>
      <c r="EJ146" s="312"/>
      <c r="EK146" s="312"/>
      <c r="EL146" s="312"/>
      <c r="EM146" s="312"/>
      <c r="EN146" s="312"/>
      <c r="EO146" s="312"/>
      <c r="EP146" s="312"/>
      <c r="EQ146" s="312"/>
      <c r="ER146" s="312"/>
      <c r="ES146" s="312"/>
      <c r="ET146" s="312"/>
      <c r="EU146" s="312"/>
      <c r="EV146" s="312"/>
      <c r="EW146" s="312"/>
      <c r="EX146" s="312"/>
      <c r="EY146" s="312"/>
      <c r="EZ146" s="312"/>
      <c r="FA146" s="312"/>
      <c r="FB146" s="312"/>
      <c r="FC146" s="312"/>
      <c r="FD146" s="312"/>
      <c r="FE146" s="312"/>
      <c r="FF146" s="312"/>
      <c r="FG146" s="312"/>
      <c r="FH146" s="312"/>
      <c r="FI146" s="312"/>
      <c r="FJ146" s="312"/>
      <c r="FK146" s="312"/>
      <c r="FL146" s="312"/>
      <c r="FM146" s="312"/>
      <c r="FN146" s="312"/>
      <c r="FO146" s="312"/>
      <c r="FP146" s="312"/>
      <c r="FQ146" s="312"/>
      <c r="FR146" s="312"/>
      <c r="FS146" s="312"/>
      <c r="FT146" s="312"/>
      <c r="FU146" s="312"/>
      <c r="FV146" s="312"/>
      <c r="FW146" s="312"/>
      <c r="FX146" s="312"/>
      <c r="FY146" s="312"/>
      <c r="FZ146" s="312"/>
      <c r="GA146" s="312"/>
      <c r="GB146" s="312"/>
      <c r="GC146" s="312"/>
      <c r="GD146" s="312"/>
      <c r="GE146" s="312"/>
      <c r="GF146" s="312"/>
      <c r="GG146" s="312"/>
      <c r="GH146" s="312"/>
      <c r="GI146" s="312"/>
      <c r="GJ146" s="312"/>
      <c r="GK146" s="312"/>
      <c r="GL146" s="312"/>
      <c r="GM146" s="312"/>
      <c r="GN146" s="312"/>
      <c r="GO146" s="312"/>
      <c r="GP146" s="312"/>
      <c r="GQ146" s="312"/>
      <c r="GR146" s="312"/>
      <c r="GS146" s="312"/>
      <c r="GT146" s="312"/>
      <c r="GU146" s="312"/>
      <c r="GV146" s="312"/>
      <c r="GW146" s="312"/>
      <c r="GX146" s="312"/>
      <c r="GY146" s="312"/>
    </row>
    <row r="147" spans="2:207" ht="15.75" x14ac:dyDescent="0.25">
      <c r="B147" s="316">
        <f t="shared" si="20"/>
        <v>117</v>
      </c>
      <c r="C147" s="330">
        <f>'סיכום לוועדה'!B147</f>
        <v>1001347845</v>
      </c>
      <c r="D147" s="330">
        <f>'סיכום לוועדה'!C147</f>
        <v>1001268850</v>
      </c>
      <c r="E147" s="330">
        <f>'סיכום לוועדה'!D147</f>
        <v>40216081</v>
      </c>
      <c r="F147" s="330">
        <f>'סיכום לוועדה'!E147</f>
        <v>20000253</v>
      </c>
      <c r="G147" s="330" t="str">
        <f>'סיכום לוועדה'!F147</f>
        <v>טמרה</v>
      </c>
      <c r="H147" s="317" t="str">
        <f>'סיכום לוועדה'!G147</f>
        <v>אלאג'יאל טמרה (ע"ר)</v>
      </c>
      <c r="I147" s="318">
        <f>'סיכום לוועדה'!U147</f>
        <v>1200000</v>
      </c>
      <c r="J147" s="319">
        <f>'סיכום לוועדה'!T147</f>
        <v>89776.22349905927</v>
      </c>
      <c r="K147" s="320">
        <f t="shared" si="21"/>
        <v>0</v>
      </c>
      <c r="L147" s="319">
        <f t="shared" si="22"/>
        <v>89776.22349905927</v>
      </c>
      <c r="M147" s="331">
        <f>'תחום תמיכה ב'!AF147</f>
        <v>4.9525696907535394E-4</v>
      </c>
      <c r="N147" s="319">
        <f t="shared" si="19"/>
        <v>98212.684242330331</v>
      </c>
      <c r="O147" s="321">
        <f t="shared" si="23"/>
        <v>0</v>
      </c>
      <c r="P147" s="322">
        <f t="shared" si="24"/>
        <v>98212.684242330331</v>
      </c>
      <c r="Q147" s="322">
        <f t="shared" si="25"/>
        <v>98257.40307132731</v>
      </c>
      <c r="R147" s="321">
        <f t="shared" si="26"/>
        <v>0</v>
      </c>
      <c r="S147" s="322">
        <f t="shared" si="27"/>
        <v>98257.40307132731</v>
      </c>
      <c r="T147" s="322">
        <f t="shared" si="28"/>
        <v>98257.40307132712</v>
      </c>
      <c r="U147" s="321">
        <f t="shared" si="29"/>
        <v>0</v>
      </c>
      <c r="V147" s="322">
        <f t="shared" si="30"/>
        <v>98257.40307132712</v>
      </c>
      <c r="W147" s="322">
        <f t="shared" si="31"/>
        <v>98257.40307132715</v>
      </c>
      <c r="X147" s="321">
        <f t="shared" si="32"/>
        <v>0</v>
      </c>
      <c r="Y147" s="322">
        <f t="shared" si="33"/>
        <v>98257.40307132715</v>
      </c>
      <c r="Z147" s="322">
        <f t="shared" si="34"/>
        <v>98257.403071327135</v>
      </c>
      <c r="AA147" s="323">
        <f t="shared" si="35"/>
        <v>98257.403071327135</v>
      </c>
      <c r="AB147" s="323"/>
      <c r="AC147" s="323"/>
      <c r="AD147" s="323"/>
      <c r="AE147" s="323"/>
      <c r="AF147" s="324">
        <f t="shared" si="36"/>
        <v>5.6269888132956709E-4</v>
      </c>
      <c r="AG147" s="312"/>
      <c r="AH147" s="312"/>
      <c r="AI147" s="325">
        <f t="shared" si="37"/>
        <v>1</v>
      </c>
      <c r="AJ147" s="312"/>
      <c r="AK147" s="312"/>
      <c r="AL147" s="312"/>
      <c r="AM147" s="312"/>
      <c r="AN147" s="312"/>
      <c r="AO147" s="312"/>
      <c r="AP147" s="312"/>
      <c r="AQ147" s="312"/>
      <c r="AR147" s="312"/>
      <c r="AS147" s="312"/>
      <c r="AT147" s="312"/>
      <c r="AU147" s="312"/>
      <c r="AV147" s="312"/>
      <c r="AW147" s="312"/>
      <c r="AX147" s="312"/>
      <c r="AY147" s="312"/>
      <c r="AZ147" s="312"/>
      <c r="BA147" s="312"/>
      <c r="BB147" s="312"/>
      <c r="BC147" s="312"/>
      <c r="BD147" s="312"/>
      <c r="BE147" s="312"/>
      <c r="BF147" s="312"/>
      <c r="BG147" s="312"/>
      <c r="BH147" s="312"/>
      <c r="BI147" s="312"/>
      <c r="BJ147" s="312"/>
      <c r="BK147" s="312"/>
      <c r="BL147" s="312"/>
      <c r="BM147" s="312"/>
      <c r="BN147" s="312"/>
      <c r="BO147" s="312"/>
      <c r="BP147" s="312"/>
      <c r="BQ147" s="312"/>
      <c r="BR147" s="312"/>
      <c r="BS147" s="312"/>
      <c r="BT147" s="312"/>
      <c r="BU147" s="312"/>
      <c r="BV147" s="312"/>
      <c r="BW147" s="312"/>
      <c r="BX147" s="312"/>
      <c r="BY147" s="312"/>
      <c r="BZ147" s="312"/>
      <c r="CA147" s="312"/>
      <c r="CB147" s="312"/>
      <c r="CC147" s="312"/>
      <c r="CD147" s="312"/>
      <c r="CE147" s="312"/>
      <c r="CF147" s="312"/>
      <c r="CG147" s="312"/>
      <c r="CH147" s="312"/>
      <c r="CI147" s="312"/>
      <c r="CJ147" s="312"/>
      <c r="CK147" s="312"/>
      <c r="CL147" s="312"/>
      <c r="CM147" s="312"/>
      <c r="CN147" s="312"/>
      <c r="CO147" s="312"/>
      <c r="CP147" s="312"/>
      <c r="CQ147" s="312"/>
      <c r="CR147" s="312"/>
      <c r="CS147" s="312"/>
      <c r="CT147" s="312"/>
      <c r="CU147" s="312"/>
      <c r="CV147" s="312"/>
      <c r="CW147" s="312"/>
      <c r="CX147" s="312"/>
      <c r="CY147" s="312"/>
      <c r="CZ147" s="312"/>
      <c r="DA147" s="312"/>
      <c r="DB147" s="312"/>
      <c r="DC147" s="312"/>
      <c r="DD147" s="312"/>
      <c r="DE147" s="312"/>
      <c r="DF147" s="312"/>
      <c r="DG147" s="312"/>
      <c r="DH147" s="312"/>
      <c r="DI147" s="312"/>
      <c r="DJ147" s="312"/>
      <c r="DK147" s="312"/>
      <c r="DL147" s="312"/>
      <c r="DM147" s="312"/>
      <c r="DN147" s="312"/>
      <c r="DO147" s="312"/>
      <c r="DP147" s="312"/>
      <c r="DQ147" s="312"/>
      <c r="DR147" s="312"/>
      <c r="DS147" s="312"/>
      <c r="DT147" s="312"/>
      <c r="DU147" s="312"/>
      <c r="DV147" s="312"/>
      <c r="DW147" s="312"/>
      <c r="DX147" s="312"/>
      <c r="DY147" s="312"/>
      <c r="DZ147" s="312"/>
      <c r="EA147" s="312"/>
      <c r="EB147" s="312"/>
      <c r="EC147" s="312"/>
      <c r="ED147" s="312"/>
      <c r="EE147" s="312"/>
      <c r="EF147" s="312"/>
      <c r="EG147" s="312"/>
      <c r="EH147" s="312"/>
      <c r="EI147" s="312"/>
      <c r="EJ147" s="312"/>
      <c r="EK147" s="312"/>
      <c r="EL147" s="312"/>
      <c r="EM147" s="312"/>
      <c r="EN147" s="312"/>
      <c r="EO147" s="312"/>
      <c r="EP147" s="312"/>
      <c r="EQ147" s="312"/>
      <c r="ER147" s="312"/>
      <c r="ES147" s="312"/>
      <c r="ET147" s="312"/>
      <c r="EU147" s="312"/>
      <c r="EV147" s="312"/>
      <c r="EW147" s="312"/>
      <c r="EX147" s="312"/>
      <c r="EY147" s="312"/>
      <c r="EZ147" s="312"/>
      <c r="FA147" s="312"/>
      <c r="FB147" s="312"/>
      <c r="FC147" s="312"/>
      <c r="FD147" s="312"/>
      <c r="FE147" s="312"/>
      <c r="FF147" s="312"/>
      <c r="FG147" s="312"/>
      <c r="FH147" s="312"/>
      <c r="FI147" s="312"/>
      <c r="FJ147" s="312"/>
      <c r="FK147" s="312"/>
      <c r="FL147" s="312"/>
      <c r="FM147" s="312"/>
      <c r="FN147" s="312"/>
      <c r="FO147" s="312"/>
      <c r="FP147" s="312"/>
      <c r="FQ147" s="312"/>
      <c r="FR147" s="312"/>
      <c r="FS147" s="312"/>
      <c r="FT147" s="312"/>
      <c r="FU147" s="312"/>
      <c r="FV147" s="312"/>
      <c r="FW147" s="312"/>
      <c r="FX147" s="312"/>
      <c r="FY147" s="312"/>
      <c r="FZ147" s="312"/>
      <c r="GA147" s="312"/>
      <c r="GB147" s="312"/>
      <c r="GC147" s="312"/>
      <c r="GD147" s="312"/>
      <c r="GE147" s="312"/>
      <c r="GF147" s="312"/>
      <c r="GG147" s="312"/>
      <c r="GH147" s="312"/>
      <c r="GI147" s="312"/>
      <c r="GJ147" s="312"/>
      <c r="GK147" s="312"/>
      <c r="GL147" s="312"/>
      <c r="GM147" s="312"/>
      <c r="GN147" s="312"/>
      <c r="GO147" s="312"/>
      <c r="GP147" s="312"/>
      <c r="GQ147" s="312"/>
      <c r="GR147" s="312"/>
      <c r="GS147" s="312"/>
      <c r="GT147" s="312"/>
      <c r="GU147" s="312"/>
      <c r="GV147" s="312"/>
      <c r="GW147" s="312"/>
      <c r="GX147" s="312"/>
      <c r="GY147" s="312"/>
    </row>
    <row r="148" spans="2:207" ht="15.75" x14ac:dyDescent="0.25">
      <c r="B148" s="316">
        <f t="shared" si="20"/>
        <v>118</v>
      </c>
      <c r="C148" s="330">
        <f>'סיכום לוועדה'!B148</f>
        <v>1001350385</v>
      </c>
      <c r="D148" s="330">
        <f>'סיכום לוועדה'!C148</f>
        <v>1001271278</v>
      </c>
      <c r="E148" s="330">
        <f>'סיכום לוועדה'!D148</f>
        <v>40216101</v>
      </c>
      <c r="F148" s="330">
        <f>'סיכום לוועדה'!E148</f>
        <v>20000186</v>
      </c>
      <c r="G148" s="330" t="str">
        <f>'סיכום לוועדה'!F148</f>
        <v>לב השרון</v>
      </c>
      <c r="H148" s="317" t="str">
        <f>'סיכום לוועדה'!G148</f>
        <v>איסמבל קולות נשים</v>
      </c>
      <c r="I148" s="318">
        <f>'סיכום לוועדה'!U148</f>
        <v>55000</v>
      </c>
      <c r="J148" s="319">
        <f>'סיכום לוועדה'!T148</f>
        <v>7801.7095305323401</v>
      </c>
      <c r="K148" s="320">
        <f t="shared" si="21"/>
        <v>0</v>
      </c>
      <c r="L148" s="319">
        <f t="shared" si="22"/>
        <v>7801.7095305323401</v>
      </c>
      <c r="M148" s="331">
        <f>'תחום תמיכה ב'!AF148</f>
        <v>4.3900995063686833E-5</v>
      </c>
      <c r="N148" s="319">
        <f t="shared" si="19"/>
        <v>8549.5415542528954</v>
      </c>
      <c r="O148" s="321">
        <f t="shared" si="23"/>
        <v>0</v>
      </c>
      <c r="P148" s="322">
        <f t="shared" si="24"/>
        <v>8549.5415542528954</v>
      </c>
      <c r="Q148" s="322">
        <f t="shared" si="25"/>
        <v>8553.4343863215508</v>
      </c>
      <c r="R148" s="321">
        <f t="shared" si="26"/>
        <v>0</v>
      </c>
      <c r="S148" s="322">
        <f t="shared" si="27"/>
        <v>8553.4343863215508</v>
      </c>
      <c r="T148" s="322">
        <f t="shared" si="28"/>
        <v>8553.4343863215345</v>
      </c>
      <c r="U148" s="321">
        <f t="shared" si="29"/>
        <v>0</v>
      </c>
      <c r="V148" s="322">
        <f t="shared" si="30"/>
        <v>8553.4343863215345</v>
      </c>
      <c r="W148" s="322">
        <f t="shared" si="31"/>
        <v>8553.4343863215381</v>
      </c>
      <c r="X148" s="321">
        <f t="shared" si="32"/>
        <v>0</v>
      </c>
      <c r="Y148" s="322">
        <f t="shared" si="33"/>
        <v>8553.4343863215381</v>
      </c>
      <c r="Z148" s="322">
        <f t="shared" si="34"/>
        <v>8553.4343863215363</v>
      </c>
      <c r="AA148" s="323">
        <f t="shared" si="35"/>
        <v>8553.4343863215363</v>
      </c>
      <c r="AB148" s="323"/>
      <c r="AC148" s="323"/>
      <c r="AD148" s="323"/>
      <c r="AE148" s="323"/>
      <c r="AF148" s="324">
        <f t="shared" si="36"/>
        <v>4.8983667492363054E-5</v>
      </c>
      <c r="AG148" s="312"/>
      <c r="AH148" s="312"/>
      <c r="AI148" s="325">
        <f t="shared" si="37"/>
        <v>1</v>
      </c>
      <c r="AJ148" s="312"/>
      <c r="AK148" s="312"/>
      <c r="AL148" s="312"/>
      <c r="AM148" s="312"/>
      <c r="AN148" s="312"/>
      <c r="AO148" s="312"/>
      <c r="AP148" s="312"/>
      <c r="AQ148" s="312"/>
      <c r="AR148" s="312"/>
      <c r="AS148" s="312"/>
      <c r="AT148" s="312"/>
      <c r="AU148" s="312"/>
      <c r="AV148" s="312"/>
      <c r="AW148" s="312"/>
      <c r="AX148" s="312"/>
      <c r="AY148" s="312"/>
      <c r="AZ148" s="312"/>
      <c r="BA148" s="312"/>
      <c r="BB148" s="312"/>
      <c r="BC148" s="312"/>
      <c r="BD148" s="312"/>
      <c r="BE148" s="312"/>
      <c r="BF148" s="312"/>
      <c r="BG148" s="312"/>
      <c r="BH148" s="312"/>
      <c r="BI148" s="312"/>
      <c r="BJ148" s="312"/>
      <c r="BK148" s="312"/>
      <c r="BL148" s="312"/>
      <c r="BM148" s="312"/>
      <c r="BN148" s="312"/>
      <c r="BO148" s="312"/>
      <c r="BP148" s="312"/>
      <c r="BQ148" s="312"/>
      <c r="BR148" s="312"/>
      <c r="BS148" s="312"/>
      <c r="BT148" s="312"/>
      <c r="BU148" s="312"/>
      <c r="BV148" s="312"/>
      <c r="BW148" s="312"/>
      <c r="BX148" s="312"/>
      <c r="BY148" s="312"/>
      <c r="BZ148" s="312"/>
      <c r="CA148" s="312"/>
      <c r="CB148" s="312"/>
      <c r="CC148" s="312"/>
      <c r="CD148" s="312"/>
      <c r="CE148" s="312"/>
      <c r="CF148" s="312"/>
      <c r="CG148" s="312"/>
      <c r="CH148" s="312"/>
      <c r="CI148" s="312"/>
      <c r="CJ148" s="312"/>
      <c r="CK148" s="312"/>
      <c r="CL148" s="312"/>
      <c r="CM148" s="312"/>
      <c r="CN148" s="312"/>
      <c r="CO148" s="312"/>
      <c r="CP148" s="312"/>
      <c r="CQ148" s="312"/>
      <c r="CR148" s="312"/>
      <c r="CS148" s="312"/>
      <c r="CT148" s="312"/>
      <c r="CU148" s="312"/>
      <c r="CV148" s="312"/>
      <c r="CW148" s="312"/>
      <c r="CX148" s="312"/>
      <c r="CY148" s="312"/>
      <c r="CZ148" s="312"/>
      <c r="DA148" s="312"/>
      <c r="DB148" s="312"/>
      <c r="DC148" s="312"/>
      <c r="DD148" s="312"/>
      <c r="DE148" s="312"/>
      <c r="DF148" s="312"/>
      <c r="DG148" s="312"/>
      <c r="DH148" s="312"/>
      <c r="DI148" s="312"/>
      <c r="DJ148" s="312"/>
      <c r="DK148" s="312"/>
      <c r="DL148" s="312"/>
      <c r="DM148" s="312"/>
      <c r="DN148" s="312"/>
      <c r="DO148" s="312"/>
      <c r="DP148" s="312"/>
      <c r="DQ148" s="312"/>
      <c r="DR148" s="312"/>
      <c r="DS148" s="312"/>
      <c r="DT148" s="312"/>
      <c r="DU148" s="312"/>
      <c r="DV148" s="312"/>
      <c r="DW148" s="312"/>
      <c r="DX148" s="312"/>
      <c r="DY148" s="312"/>
      <c r="DZ148" s="312"/>
      <c r="EA148" s="312"/>
      <c r="EB148" s="312"/>
      <c r="EC148" s="312"/>
      <c r="ED148" s="312"/>
      <c r="EE148" s="312"/>
      <c r="EF148" s="312"/>
      <c r="EG148" s="312"/>
      <c r="EH148" s="312"/>
      <c r="EI148" s="312"/>
      <c r="EJ148" s="312"/>
      <c r="EK148" s="312"/>
      <c r="EL148" s="312"/>
      <c r="EM148" s="312"/>
      <c r="EN148" s="312"/>
      <c r="EO148" s="312"/>
      <c r="EP148" s="312"/>
      <c r="EQ148" s="312"/>
      <c r="ER148" s="312"/>
      <c r="ES148" s="312"/>
      <c r="ET148" s="312"/>
      <c r="EU148" s="312"/>
      <c r="EV148" s="312"/>
      <c r="EW148" s="312"/>
      <c r="EX148" s="312"/>
      <c r="EY148" s="312"/>
      <c r="EZ148" s="312"/>
      <c r="FA148" s="312"/>
      <c r="FB148" s="312"/>
      <c r="FC148" s="312"/>
      <c r="FD148" s="312"/>
      <c r="FE148" s="312"/>
      <c r="FF148" s="312"/>
      <c r="FG148" s="312"/>
      <c r="FH148" s="312"/>
      <c r="FI148" s="312"/>
      <c r="FJ148" s="312"/>
      <c r="FK148" s="312"/>
      <c r="FL148" s="312"/>
      <c r="FM148" s="312"/>
      <c r="FN148" s="312"/>
      <c r="FO148" s="312"/>
      <c r="FP148" s="312"/>
      <c r="FQ148" s="312"/>
      <c r="FR148" s="312"/>
      <c r="FS148" s="312"/>
      <c r="FT148" s="312"/>
      <c r="FU148" s="312"/>
      <c r="FV148" s="312"/>
      <c r="FW148" s="312"/>
      <c r="FX148" s="312"/>
      <c r="FY148" s="312"/>
      <c r="FZ148" s="312"/>
      <c r="GA148" s="312"/>
      <c r="GB148" s="312"/>
      <c r="GC148" s="312"/>
      <c r="GD148" s="312"/>
      <c r="GE148" s="312"/>
      <c r="GF148" s="312"/>
      <c r="GG148" s="312"/>
      <c r="GH148" s="312"/>
      <c r="GI148" s="312"/>
      <c r="GJ148" s="312"/>
      <c r="GK148" s="312"/>
      <c r="GL148" s="312"/>
      <c r="GM148" s="312"/>
      <c r="GN148" s="312"/>
      <c r="GO148" s="312"/>
      <c r="GP148" s="312"/>
      <c r="GQ148" s="312"/>
      <c r="GR148" s="312"/>
      <c r="GS148" s="312"/>
      <c r="GT148" s="312"/>
      <c r="GU148" s="312"/>
      <c r="GV148" s="312"/>
      <c r="GW148" s="312"/>
      <c r="GX148" s="312"/>
      <c r="GY148" s="312"/>
    </row>
    <row r="149" spans="2:207" ht="15.75" x14ac:dyDescent="0.25">
      <c r="B149" s="316">
        <f t="shared" si="20"/>
        <v>119</v>
      </c>
      <c r="C149" s="330">
        <f>'סיכום לוועדה'!B149</f>
        <v>1001349532</v>
      </c>
      <c r="D149" s="330">
        <f>'סיכום לוועדה'!C149</f>
        <v>1001277350</v>
      </c>
      <c r="E149" s="330">
        <f>'סיכום לוועדה'!D149</f>
        <v>40000449</v>
      </c>
      <c r="F149" s="330">
        <f>'סיכום לוועדה'!E149</f>
        <v>20000201</v>
      </c>
      <c r="G149" s="330" t="str">
        <f>'סיכום לוועדה'!F149</f>
        <v>תל אביב -יפו</v>
      </c>
      <c r="H149" s="317" t="str">
        <f>'סיכום לוועדה'!G149</f>
        <v>תיאטרון מחול ענבל</v>
      </c>
      <c r="I149" s="318">
        <f>'סיכום לוועדה'!U149</f>
        <v>200000</v>
      </c>
      <c r="J149" s="319">
        <f>'סיכום לוועדה'!T149</f>
        <v>82670.884599904006</v>
      </c>
      <c r="K149" s="320">
        <f t="shared" si="21"/>
        <v>0</v>
      </c>
      <c r="L149" s="319">
        <f t="shared" si="22"/>
        <v>82670.884599904006</v>
      </c>
      <c r="M149" s="331">
        <f>'תחום תמיכה ב'!AF149</f>
        <v>3.47991909599973E-4</v>
      </c>
      <c r="N149" s="319">
        <f t="shared" si="19"/>
        <v>88598.756932114266</v>
      </c>
      <c r="O149" s="321">
        <f t="shared" si="23"/>
        <v>0</v>
      </c>
      <c r="P149" s="322">
        <f t="shared" si="24"/>
        <v>88598.756932114266</v>
      </c>
      <c r="Q149" s="322">
        <f t="shared" si="25"/>
        <v>88639.098286096778</v>
      </c>
      <c r="R149" s="321">
        <f t="shared" si="26"/>
        <v>0</v>
      </c>
      <c r="S149" s="322">
        <f t="shared" si="27"/>
        <v>88639.098286096778</v>
      </c>
      <c r="T149" s="322">
        <f t="shared" si="28"/>
        <v>88639.098286096603</v>
      </c>
      <c r="U149" s="321">
        <f t="shared" si="29"/>
        <v>0</v>
      </c>
      <c r="V149" s="322">
        <f t="shared" si="30"/>
        <v>88639.098286096603</v>
      </c>
      <c r="W149" s="322">
        <f t="shared" si="31"/>
        <v>88639.098286096647</v>
      </c>
      <c r="X149" s="321">
        <f t="shared" si="32"/>
        <v>0</v>
      </c>
      <c r="Y149" s="322">
        <f t="shared" si="33"/>
        <v>88639.098286096647</v>
      </c>
      <c r="Z149" s="322">
        <f t="shared" si="34"/>
        <v>88639.098286096618</v>
      </c>
      <c r="AA149" s="323">
        <f t="shared" si="35"/>
        <v>88639.098286096618</v>
      </c>
      <c r="AB149" s="323"/>
      <c r="AC149" s="323"/>
      <c r="AD149" s="323"/>
      <c r="AE149" s="323"/>
      <c r="AF149" s="324">
        <f t="shared" si="36"/>
        <v>5.0761693153483051E-4</v>
      </c>
      <c r="AG149" s="312"/>
      <c r="AH149" s="312"/>
      <c r="AI149" s="325">
        <f t="shared" si="37"/>
        <v>1</v>
      </c>
      <c r="AJ149" s="312"/>
      <c r="AK149" s="312"/>
      <c r="AL149" s="312"/>
      <c r="AM149" s="312"/>
      <c r="AN149" s="312"/>
      <c r="AO149" s="312"/>
      <c r="AP149" s="312"/>
      <c r="AQ149" s="312"/>
      <c r="AR149" s="312"/>
      <c r="AS149" s="312"/>
      <c r="AT149" s="312"/>
      <c r="AU149" s="312"/>
      <c r="AV149" s="312"/>
      <c r="AW149" s="312"/>
      <c r="AX149" s="312"/>
      <c r="AY149" s="312"/>
      <c r="AZ149" s="312"/>
      <c r="BA149" s="312"/>
      <c r="BB149" s="312"/>
      <c r="BC149" s="312"/>
      <c r="BD149" s="312"/>
      <c r="BE149" s="312"/>
      <c r="BF149" s="312"/>
      <c r="BG149" s="312"/>
      <c r="BH149" s="312"/>
      <c r="BI149" s="312"/>
      <c r="BJ149" s="312"/>
      <c r="BK149" s="312"/>
      <c r="BL149" s="312"/>
      <c r="BM149" s="312"/>
      <c r="BN149" s="312"/>
      <c r="BO149" s="312"/>
      <c r="BP149" s="312"/>
      <c r="BQ149" s="312"/>
      <c r="BR149" s="312"/>
      <c r="BS149" s="312"/>
      <c r="BT149" s="312"/>
      <c r="BU149" s="312"/>
      <c r="BV149" s="312"/>
      <c r="BW149" s="312"/>
      <c r="BX149" s="312"/>
      <c r="BY149" s="312"/>
      <c r="BZ149" s="312"/>
      <c r="CA149" s="312"/>
      <c r="CB149" s="312"/>
      <c r="CC149" s="312"/>
      <c r="CD149" s="312"/>
      <c r="CE149" s="312"/>
      <c r="CF149" s="312"/>
      <c r="CG149" s="312"/>
      <c r="CH149" s="312"/>
      <c r="CI149" s="312"/>
      <c r="CJ149" s="312"/>
      <c r="CK149" s="312"/>
      <c r="CL149" s="312"/>
      <c r="CM149" s="312"/>
      <c r="CN149" s="312"/>
      <c r="CO149" s="312"/>
      <c r="CP149" s="312"/>
      <c r="CQ149" s="312"/>
      <c r="CR149" s="312"/>
      <c r="CS149" s="312"/>
      <c r="CT149" s="312"/>
      <c r="CU149" s="312"/>
      <c r="CV149" s="312"/>
      <c r="CW149" s="312"/>
      <c r="CX149" s="312"/>
      <c r="CY149" s="312"/>
      <c r="CZ149" s="312"/>
      <c r="DA149" s="312"/>
      <c r="DB149" s="312"/>
      <c r="DC149" s="312"/>
      <c r="DD149" s="312"/>
      <c r="DE149" s="312"/>
      <c r="DF149" s="312"/>
      <c r="DG149" s="312"/>
      <c r="DH149" s="312"/>
      <c r="DI149" s="312"/>
      <c r="DJ149" s="312"/>
      <c r="DK149" s="312"/>
      <c r="DL149" s="312"/>
      <c r="DM149" s="312"/>
      <c r="DN149" s="312"/>
      <c r="DO149" s="312"/>
      <c r="DP149" s="312"/>
      <c r="DQ149" s="312"/>
      <c r="DR149" s="312"/>
      <c r="DS149" s="312"/>
      <c r="DT149" s="312"/>
      <c r="DU149" s="312"/>
      <c r="DV149" s="312"/>
      <c r="DW149" s="312"/>
      <c r="DX149" s="312"/>
      <c r="DY149" s="312"/>
      <c r="DZ149" s="312"/>
      <c r="EA149" s="312"/>
      <c r="EB149" s="312"/>
      <c r="EC149" s="312"/>
      <c r="ED149" s="312"/>
      <c r="EE149" s="312"/>
      <c r="EF149" s="312"/>
      <c r="EG149" s="312"/>
      <c r="EH149" s="312"/>
      <c r="EI149" s="312"/>
      <c r="EJ149" s="312"/>
      <c r="EK149" s="312"/>
      <c r="EL149" s="312"/>
      <c r="EM149" s="312"/>
      <c r="EN149" s="312"/>
      <c r="EO149" s="312"/>
      <c r="EP149" s="312"/>
      <c r="EQ149" s="312"/>
      <c r="ER149" s="312"/>
      <c r="ES149" s="312"/>
      <c r="ET149" s="312"/>
      <c r="EU149" s="312"/>
      <c r="EV149" s="312"/>
      <c r="EW149" s="312"/>
      <c r="EX149" s="312"/>
      <c r="EY149" s="312"/>
      <c r="EZ149" s="312"/>
      <c r="FA149" s="312"/>
      <c r="FB149" s="312"/>
      <c r="FC149" s="312"/>
      <c r="FD149" s="312"/>
      <c r="FE149" s="312"/>
      <c r="FF149" s="312"/>
      <c r="FG149" s="312"/>
      <c r="FH149" s="312"/>
      <c r="FI149" s="312"/>
      <c r="FJ149" s="312"/>
      <c r="FK149" s="312"/>
      <c r="FL149" s="312"/>
      <c r="FM149" s="312"/>
      <c r="FN149" s="312"/>
      <c r="FO149" s="312"/>
      <c r="FP149" s="312"/>
      <c r="FQ149" s="312"/>
      <c r="FR149" s="312"/>
      <c r="FS149" s="312"/>
      <c r="FT149" s="312"/>
      <c r="FU149" s="312"/>
      <c r="FV149" s="312"/>
      <c r="FW149" s="312"/>
      <c r="FX149" s="312"/>
      <c r="FY149" s="312"/>
      <c r="FZ149" s="312"/>
      <c r="GA149" s="312"/>
      <c r="GB149" s="312"/>
      <c r="GC149" s="312"/>
      <c r="GD149" s="312"/>
      <c r="GE149" s="312"/>
      <c r="GF149" s="312"/>
      <c r="GG149" s="312"/>
      <c r="GH149" s="312"/>
      <c r="GI149" s="312"/>
      <c r="GJ149" s="312"/>
      <c r="GK149" s="312"/>
      <c r="GL149" s="312"/>
      <c r="GM149" s="312"/>
      <c r="GN149" s="312"/>
      <c r="GO149" s="312"/>
      <c r="GP149" s="312"/>
      <c r="GQ149" s="312"/>
      <c r="GR149" s="312"/>
      <c r="GS149" s="312"/>
      <c r="GT149" s="312"/>
      <c r="GU149" s="312"/>
      <c r="GV149" s="312"/>
      <c r="GW149" s="312"/>
      <c r="GX149" s="312"/>
      <c r="GY149" s="312"/>
    </row>
    <row r="150" spans="2:207" ht="15.75" x14ac:dyDescent="0.25">
      <c r="B150" s="316">
        <f t="shared" si="20"/>
        <v>120</v>
      </c>
      <c r="C150" s="330">
        <f>'סיכום לוועדה'!B150</f>
        <v>1001350998</v>
      </c>
      <c r="D150" s="330">
        <f>'סיכום לוועדה'!C150</f>
        <v>1001270595</v>
      </c>
      <c r="E150" s="330">
        <f>'סיכום לוועדה'!D150</f>
        <v>40002883</v>
      </c>
      <c r="F150" s="330">
        <f>'סיכום לוועדה'!E150</f>
        <v>20000254</v>
      </c>
      <c r="G150" s="330" t="str">
        <f>'סיכום לוועדה'!F150</f>
        <v>באר שבע</v>
      </c>
      <c r="H150" s="317" t="str">
        <f>'סיכום לוועדה'!G150</f>
        <v>בת-דור באר-שבע - מרכז עירוני לאמנות</v>
      </c>
      <c r="I150" s="318">
        <f>'סיכום לוועדה'!U150</f>
        <v>1300000</v>
      </c>
      <c r="J150" s="319">
        <f>'סיכום לוועדה'!T150</f>
        <v>299391.55320323026</v>
      </c>
      <c r="K150" s="320">
        <f t="shared" si="21"/>
        <v>0</v>
      </c>
      <c r="L150" s="319">
        <f t="shared" si="22"/>
        <v>299391.55320323026</v>
      </c>
      <c r="M150" s="331">
        <f>'תחום תמיכה ב'!AF150</f>
        <v>1.8744899944040112E-3</v>
      </c>
      <c r="N150" s="319">
        <f t="shared" si="19"/>
        <v>331322.57535718143</v>
      </c>
      <c r="O150" s="321">
        <f t="shared" si="23"/>
        <v>0</v>
      </c>
      <c r="P150" s="322">
        <f t="shared" si="24"/>
        <v>331322.57535718143</v>
      </c>
      <c r="Q150" s="322">
        <f t="shared" si="25"/>
        <v>331473.43527618825</v>
      </c>
      <c r="R150" s="321">
        <f t="shared" si="26"/>
        <v>0</v>
      </c>
      <c r="S150" s="322">
        <f t="shared" si="27"/>
        <v>331473.43527618825</v>
      </c>
      <c r="T150" s="322">
        <f t="shared" si="28"/>
        <v>331473.43527618761</v>
      </c>
      <c r="U150" s="321">
        <f t="shared" si="29"/>
        <v>0</v>
      </c>
      <c r="V150" s="322">
        <f t="shared" si="30"/>
        <v>331473.43527618761</v>
      </c>
      <c r="W150" s="322">
        <f t="shared" si="31"/>
        <v>331473.43527618772</v>
      </c>
      <c r="X150" s="321">
        <f t="shared" si="32"/>
        <v>0</v>
      </c>
      <c r="Y150" s="322">
        <f t="shared" si="33"/>
        <v>331473.43527618772</v>
      </c>
      <c r="Z150" s="322">
        <f t="shared" si="34"/>
        <v>331473.43527618767</v>
      </c>
      <c r="AA150" s="323">
        <f t="shared" si="35"/>
        <v>331473.43527618767</v>
      </c>
      <c r="AB150" s="323"/>
      <c r="AC150" s="323"/>
      <c r="AD150" s="323"/>
      <c r="AE150" s="323"/>
      <c r="AF150" s="324">
        <f t="shared" si="36"/>
        <v>1.8982766223220944E-3</v>
      </c>
      <c r="AG150" s="312"/>
      <c r="AH150" s="312"/>
      <c r="AI150" s="325">
        <f t="shared" si="37"/>
        <v>1</v>
      </c>
      <c r="AJ150" s="312"/>
      <c r="AK150" s="312"/>
      <c r="AL150" s="312"/>
      <c r="AM150" s="312"/>
      <c r="AN150" s="312"/>
      <c r="AO150" s="312"/>
      <c r="AP150" s="312"/>
      <c r="AQ150" s="312"/>
      <c r="AR150" s="312"/>
      <c r="AS150" s="312"/>
      <c r="AT150" s="312"/>
      <c r="AU150" s="312"/>
      <c r="AV150" s="312"/>
      <c r="AW150" s="312"/>
      <c r="AX150" s="312"/>
      <c r="AY150" s="312"/>
      <c r="AZ150" s="312"/>
      <c r="BA150" s="312"/>
      <c r="BB150" s="312"/>
      <c r="BC150" s="312"/>
      <c r="BD150" s="312"/>
      <c r="BE150" s="312"/>
      <c r="BF150" s="312"/>
      <c r="BG150" s="312"/>
      <c r="BH150" s="312"/>
      <c r="BI150" s="312"/>
      <c r="BJ150" s="312"/>
      <c r="BK150" s="312"/>
      <c r="BL150" s="312"/>
      <c r="BM150" s="312"/>
      <c r="BN150" s="312"/>
      <c r="BO150" s="312"/>
      <c r="BP150" s="312"/>
      <c r="BQ150" s="312"/>
      <c r="BR150" s="312"/>
      <c r="BS150" s="312"/>
      <c r="BT150" s="312"/>
      <c r="BU150" s="312"/>
      <c r="BV150" s="312"/>
      <c r="BW150" s="312"/>
      <c r="BX150" s="312"/>
      <c r="BY150" s="312"/>
      <c r="BZ150" s="312"/>
      <c r="CA150" s="312"/>
      <c r="CB150" s="312"/>
      <c r="CC150" s="312"/>
      <c r="CD150" s="312"/>
      <c r="CE150" s="312"/>
      <c r="CF150" s="312"/>
      <c r="CG150" s="312"/>
      <c r="CH150" s="312"/>
      <c r="CI150" s="312"/>
      <c r="CJ150" s="312"/>
      <c r="CK150" s="312"/>
      <c r="CL150" s="312"/>
      <c r="CM150" s="312"/>
      <c r="CN150" s="312"/>
      <c r="CO150" s="312"/>
      <c r="CP150" s="312"/>
      <c r="CQ150" s="312"/>
      <c r="CR150" s="312"/>
      <c r="CS150" s="312"/>
      <c r="CT150" s="312"/>
      <c r="CU150" s="312"/>
      <c r="CV150" s="312"/>
      <c r="CW150" s="312"/>
      <c r="CX150" s="312"/>
      <c r="CY150" s="312"/>
      <c r="CZ150" s="312"/>
      <c r="DA150" s="312"/>
      <c r="DB150" s="312"/>
      <c r="DC150" s="312"/>
      <c r="DD150" s="312"/>
      <c r="DE150" s="312"/>
      <c r="DF150" s="312"/>
      <c r="DG150" s="312"/>
      <c r="DH150" s="312"/>
      <c r="DI150" s="312"/>
      <c r="DJ150" s="312"/>
      <c r="DK150" s="312"/>
      <c r="DL150" s="312"/>
      <c r="DM150" s="312"/>
      <c r="DN150" s="312"/>
      <c r="DO150" s="312"/>
      <c r="DP150" s="312"/>
      <c r="DQ150" s="312"/>
      <c r="DR150" s="312"/>
      <c r="DS150" s="312"/>
      <c r="DT150" s="312"/>
      <c r="DU150" s="312"/>
      <c r="DV150" s="312"/>
      <c r="DW150" s="312"/>
      <c r="DX150" s="312"/>
      <c r="DY150" s="312"/>
      <c r="DZ150" s="312"/>
      <c r="EA150" s="312"/>
      <c r="EB150" s="312"/>
      <c r="EC150" s="312"/>
      <c r="ED150" s="312"/>
      <c r="EE150" s="312"/>
      <c r="EF150" s="312"/>
      <c r="EG150" s="312"/>
      <c r="EH150" s="312"/>
      <c r="EI150" s="312"/>
      <c r="EJ150" s="312"/>
      <c r="EK150" s="312"/>
      <c r="EL150" s="312"/>
      <c r="EM150" s="312"/>
      <c r="EN150" s="312"/>
      <c r="EO150" s="312"/>
      <c r="EP150" s="312"/>
      <c r="EQ150" s="312"/>
      <c r="ER150" s="312"/>
      <c r="ES150" s="312"/>
      <c r="ET150" s="312"/>
      <c r="EU150" s="312"/>
      <c r="EV150" s="312"/>
      <c r="EW150" s="312"/>
      <c r="EX150" s="312"/>
      <c r="EY150" s="312"/>
      <c r="EZ150" s="312"/>
      <c r="FA150" s="312"/>
      <c r="FB150" s="312"/>
      <c r="FC150" s="312"/>
      <c r="FD150" s="312"/>
      <c r="FE150" s="312"/>
      <c r="FF150" s="312"/>
      <c r="FG150" s="312"/>
      <c r="FH150" s="312"/>
      <c r="FI150" s="312"/>
      <c r="FJ150" s="312"/>
      <c r="FK150" s="312"/>
      <c r="FL150" s="312"/>
      <c r="FM150" s="312"/>
      <c r="FN150" s="312"/>
      <c r="FO150" s="312"/>
      <c r="FP150" s="312"/>
      <c r="FQ150" s="312"/>
      <c r="FR150" s="312"/>
      <c r="FS150" s="312"/>
      <c r="FT150" s="312"/>
      <c r="FU150" s="312"/>
      <c r="FV150" s="312"/>
      <c r="FW150" s="312"/>
      <c r="FX150" s="312"/>
      <c r="FY150" s="312"/>
      <c r="FZ150" s="312"/>
      <c r="GA150" s="312"/>
      <c r="GB150" s="312"/>
      <c r="GC150" s="312"/>
      <c r="GD150" s="312"/>
      <c r="GE150" s="312"/>
      <c r="GF150" s="312"/>
      <c r="GG150" s="312"/>
      <c r="GH150" s="312"/>
      <c r="GI150" s="312"/>
      <c r="GJ150" s="312"/>
      <c r="GK150" s="312"/>
      <c r="GL150" s="312"/>
      <c r="GM150" s="312"/>
      <c r="GN150" s="312"/>
      <c r="GO150" s="312"/>
      <c r="GP150" s="312"/>
      <c r="GQ150" s="312"/>
      <c r="GR150" s="312"/>
      <c r="GS150" s="312"/>
      <c r="GT150" s="312"/>
      <c r="GU150" s="312"/>
      <c r="GV150" s="312"/>
      <c r="GW150" s="312"/>
      <c r="GX150" s="312"/>
      <c r="GY150" s="312"/>
    </row>
    <row r="151" spans="2:207" ht="15.75" x14ac:dyDescent="0.25">
      <c r="B151" s="316">
        <f t="shared" si="20"/>
        <v>121</v>
      </c>
      <c r="C151" s="330">
        <f>'סיכום לוועדה'!B151</f>
        <v>1001350131</v>
      </c>
      <c r="D151" s="330">
        <f>'סיכום לוועדה'!C151</f>
        <v>1001270246</v>
      </c>
      <c r="E151" s="330">
        <f>'סיכום לוועדה'!D151</f>
        <v>40269761</v>
      </c>
      <c r="F151" s="330">
        <f>'סיכום לוועדה'!E151</f>
        <v>20000201</v>
      </c>
      <c r="G151" s="330" t="str">
        <f>'סיכום לוועדה'!F151</f>
        <v>תל אביב -יפו</v>
      </c>
      <c r="H151" s="317" t="str">
        <f>'סיכום לוועדה'!G151</f>
        <v>נא לגעת</v>
      </c>
      <c r="I151" s="318">
        <f>'סיכום לוועדה'!U151</f>
        <v>400000</v>
      </c>
      <c r="J151" s="319">
        <f>'סיכום לוועדה'!T151</f>
        <v>163229.62193579704</v>
      </c>
      <c r="K151" s="320">
        <f t="shared" si="21"/>
        <v>0</v>
      </c>
      <c r="L151" s="319">
        <f t="shared" si="22"/>
        <v>163229.62193579704</v>
      </c>
      <c r="M151" s="331">
        <f>'תחום תמיכה ב'!AF151</f>
        <v>6.4094746591608208E-4</v>
      </c>
      <c r="N151" s="319">
        <f t="shared" si="19"/>
        <v>174147.84918415983</v>
      </c>
      <c r="O151" s="321">
        <f t="shared" si="23"/>
        <v>0</v>
      </c>
      <c r="P151" s="322">
        <f t="shared" si="24"/>
        <v>174147.84918415983</v>
      </c>
      <c r="Q151" s="322">
        <f t="shared" si="25"/>
        <v>174227.14329925241</v>
      </c>
      <c r="R151" s="321">
        <f t="shared" si="26"/>
        <v>0</v>
      </c>
      <c r="S151" s="322">
        <f t="shared" si="27"/>
        <v>174227.14329925241</v>
      </c>
      <c r="T151" s="322">
        <f t="shared" si="28"/>
        <v>174227.14329925203</v>
      </c>
      <c r="U151" s="321">
        <f t="shared" si="29"/>
        <v>0</v>
      </c>
      <c r="V151" s="322">
        <f t="shared" si="30"/>
        <v>174227.14329925203</v>
      </c>
      <c r="W151" s="322">
        <f t="shared" si="31"/>
        <v>174227.14329925209</v>
      </c>
      <c r="X151" s="321">
        <f t="shared" si="32"/>
        <v>0</v>
      </c>
      <c r="Y151" s="322">
        <f t="shared" si="33"/>
        <v>174227.14329925209</v>
      </c>
      <c r="Z151" s="322">
        <f t="shared" si="34"/>
        <v>174227.14329925203</v>
      </c>
      <c r="AA151" s="323">
        <f t="shared" si="35"/>
        <v>174227.14329925203</v>
      </c>
      <c r="AB151" s="323"/>
      <c r="AC151" s="323"/>
      <c r="AD151" s="323"/>
      <c r="AE151" s="323"/>
      <c r="AF151" s="324">
        <f t="shared" si="36"/>
        <v>9.9776114132151309E-4</v>
      </c>
      <c r="AG151" s="312"/>
      <c r="AH151" s="312"/>
      <c r="AI151" s="325">
        <f t="shared" si="37"/>
        <v>1</v>
      </c>
      <c r="AJ151" s="312"/>
      <c r="AK151" s="312"/>
      <c r="AL151" s="312"/>
      <c r="AM151" s="312"/>
      <c r="AN151" s="312"/>
      <c r="AO151" s="312"/>
      <c r="AP151" s="312"/>
      <c r="AQ151" s="312"/>
      <c r="AR151" s="312"/>
      <c r="AS151" s="312"/>
      <c r="AT151" s="312"/>
      <c r="AU151" s="312"/>
      <c r="AV151" s="312"/>
      <c r="AW151" s="312"/>
      <c r="AX151" s="312"/>
      <c r="AY151" s="312"/>
      <c r="AZ151" s="312"/>
      <c r="BA151" s="312"/>
      <c r="BB151" s="312"/>
      <c r="BC151" s="312"/>
      <c r="BD151" s="312"/>
      <c r="BE151" s="312"/>
      <c r="BF151" s="312"/>
      <c r="BG151" s="312"/>
      <c r="BH151" s="312"/>
      <c r="BI151" s="312"/>
      <c r="BJ151" s="312"/>
      <c r="BK151" s="312"/>
      <c r="BL151" s="312"/>
      <c r="BM151" s="312"/>
      <c r="BN151" s="312"/>
      <c r="BO151" s="312"/>
      <c r="BP151" s="312"/>
      <c r="BQ151" s="312"/>
      <c r="BR151" s="312"/>
      <c r="BS151" s="312"/>
      <c r="BT151" s="312"/>
      <c r="BU151" s="312"/>
      <c r="BV151" s="312"/>
      <c r="BW151" s="312"/>
      <c r="BX151" s="312"/>
      <c r="BY151" s="312"/>
      <c r="BZ151" s="312"/>
      <c r="CA151" s="312"/>
      <c r="CB151" s="312"/>
      <c r="CC151" s="312"/>
      <c r="CD151" s="312"/>
      <c r="CE151" s="312"/>
      <c r="CF151" s="312"/>
      <c r="CG151" s="312"/>
      <c r="CH151" s="312"/>
      <c r="CI151" s="312"/>
      <c r="CJ151" s="312"/>
      <c r="CK151" s="312"/>
      <c r="CL151" s="312"/>
      <c r="CM151" s="312"/>
      <c r="CN151" s="312"/>
      <c r="CO151" s="312"/>
      <c r="CP151" s="312"/>
      <c r="CQ151" s="312"/>
      <c r="CR151" s="312"/>
      <c r="CS151" s="312"/>
      <c r="CT151" s="312"/>
      <c r="CU151" s="312"/>
      <c r="CV151" s="312"/>
      <c r="CW151" s="312"/>
      <c r="CX151" s="312"/>
      <c r="CY151" s="312"/>
      <c r="CZ151" s="312"/>
      <c r="DA151" s="312"/>
      <c r="DB151" s="312"/>
      <c r="DC151" s="312"/>
      <c r="DD151" s="312"/>
      <c r="DE151" s="312"/>
      <c r="DF151" s="312"/>
      <c r="DG151" s="312"/>
      <c r="DH151" s="312"/>
      <c r="DI151" s="312"/>
      <c r="DJ151" s="312"/>
      <c r="DK151" s="312"/>
      <c r="DL151" s="312"/>
      <c r="DM151" s="312"/>
      <c r="DN151" s="312"/>
      <c r="DO151" s="312"/>
      <c r="DP151" s="312"/>
      <c r="DQ151" s="312"/>
      <c r="DR151" s="312"/>
      <c r="DS151" s="312"/>
      <c r="DT151" s="312"/>
      <c r="DU151" s="312"/>
      <c r="DV151" s="312"/>
      <c r="DW151" s="312"/>
      <c r="DX151" s="312"/>
      <c r="DY151" s="312"/>
      <c r="DZ151" s="312"/>
      <c r="EA151" s="312"/>
      <c r="EB151" s="312"/>
      <c r="EC151" s="312"/>
      <c r="ED151" s="312"/>
      <c r="EE151" s="312"/>
      <c r="EF151" s="312"/>
      <c r="EG151" s="312"/>
      <c r="EH151" s="312"/>
      <c r="EI151" s="312"/>
      <c r="EJ151" s="312"/>
      <c r="EK151" s="312"/>
      <c r="EL151" s="312"/>
      <c r="EM151" s="312"/>
      <c r="EN151" s="312"/>
      <c r="EO151" s="312"/>
      <c r="EP151" s="312"/>
      <c r="EQ151" s="312"/>
      <c r="ER151" s="312"/>
      <c r="ES151" s="312"/>
      <c r="ET151" s="312"/>
      <c r="EU151" s="312"/>
      <c r="EV151" s="312"/>
      <c r="EW151" s="312"/>
      <c r="EX151" s="312"/>
      <c r="EY151" s="312"/>
      <c r="EZ151" s="312"/>
      <c r="FA151" s="312"/>
      <c r="FB151" s="312"/>
      <c r="FC151" s="312"/>
      <c r="FD151" s="312"/>
      <c r="FE151" s="312"/>
      <c r="FF151" s="312"/>
      <c r="FG151" s="312"/>
      <c r="FH151" s="312"/>
      <c r="FI151" s="312"/>
      <c r="FJ151" s="312"/>
      <c r="FK151" s="312"/>
      <c r="FL151" s="312"/>
      <c r="FM151" s="312"/>
      <c r="FN151" s="312"/>
      <c r="FO151" s="312"/>
      <c r="FP151" s="312"/>
      <c r="FQ151" s="312"/>
      <c r="FR151" s="312"/>
      <c r="FS151" s="312"/>
      <c r="FT151" s="312"/>
      <c r="FU151" s="312"/>
      <c r="FV151" s="312"/>
      <c r="FW151" s="312"/>
      <c r="FX151" s="312"/>
      <c r="FY151" s="312"/>
      <c r="FZ151" s="312"/>
      <c r="GA151" s="312"/>
      <c r="GB151" s="312"/>
      <c r="GC151" s="312"/>
      <c r="GD151" s="312"/>
      <c r="GE151" s="312"/>
      <c r="GF151" s="312"/>
      <c r="GG151" s="312"/>
      <c r="GH151" s="312"/>
      <c r="GI151" s="312"/>
      <c r="GJ151" s="312"/>
      <c r="GK151" s="312"/>
      <c r="GL151" s="312"/>
      <c r="GM151" s="312"/>
      <c r="GN151" s="312"/>
      <c r="GO151" s="312"/>
      <c r="GP151" s="312"/>
      <c r="GQ151" s="312"/>
      <c r="GR151" s="312"/>
      <c r="GS151" s="312"/>
      <c r="GT151" s="312"/>
      <c r="GU151" s="312"/>
      <c r="GV151" s="312"/>
      <c r="GW151" s="312"/>
      <c r="GX151" s="312"/>
      <c r="GY151" s="312"/>
    </row>
    <row r="152" spans="2:207" ht="15.75" x14ac:dyDescent="0.25">
      <c r="B152" s="316">
        <f t="shared" si="20"/>
        <v>122</v>
      </c>
      <c r="C152" s="330">
        <f>'סיכום לוועדה'!B152</f>
        <v>1001347266</v>
      </c>
      <c r="D152" s="330">
        <f>'סיכום לוועדה'!C152</f>
        <v>1001266737</v>
      </c>
      <c r="E152" s="330">
        <f>'סיכום לוועדה'!D152</f>
        <v>40299484</v>
      </c>
      <c r="F152" s="330">
        <f>'סיכום לוועדה'!E152</f>
        <v>20000159</v>
      </c>
      <c r="G152" s="330" t="str">
        <f>'סיכום לוועדה'!F152</f>
        <v>ירושלים</v>
      </c>
      <c r="H152" s="317" t="str">
        <f>'סיכום לוועדה'!G152</f>
        <v>קרן אהבת קדומים תזמורת י-ם</v>
      </c>
      <c r="I152" s="318">
        <f>'סיכום לוועדה'!U152</f>
        <v>1200000</v>
      </c>
      <c r="J152" s="319">
        <f>'סיכום לוועדה'!T152</f>
        <v>439877.46282671287</v>
      </c>
      <c r="K152" s="320">
        <f t="shared" si="21"/>
        <v>0</v>
      </c>
      <c r="L152" s="319">
        <f t="shared" si="22"/>
        <v>439877.46282671287</v>
      </c>
      <c r="M152" s="331">
        <f>'תחום תמיכה ב'!AF152</f>
        <v>1.9322575378147675E-3</v>
      </c>
      <c r="N152" s="319">
        <f t="shared" si="19"/>
        <v>472792.52688749461</v>
      </c>
      <c r="O152" s="321">
        <f t="shared" si="23"/>
        <v>0</v>
      </c>
      <c r="P152" s="322">
        <f t="shared" si="24"/>
        <v>472792.52688749461</v>
      </c>
      <c r="Q152" s="322">
        <f t="shared" si="25"/>
        <v>473007.80181174743</v>
      </c>
      <c r="R152" s="321">
        <f t="shared" si="26"/>
        <v>0</v>
      </c>
      <c r="S152" s="322">
        <f t="shared" si="27"/>
        <v>473007.80181174743</v>
      </c>
      <c r="T152" s="322">
        <f t="shared" si="28"/>
        <v>473007.80181174644</v>
      </c>
      <c r="U152" s="321">
        <f t="shared" si="29"/>
        <v>0</v>
      </c>
      <c r="V152" s="322">
        <f t="shared" si="30"/>
        <v>473007.80181174644</v>
      </c>
      <c r="W152" s="322">
        <f t="shared" si="31"/>
        <v>473007.80181174661</v>
      </c>
      <c r="X152" s="321">
        <f t="shared" si="32"/>
        <v>0</v>
      </c>
      <c r="Y152" s="322">
        <f t="shared" si="33"/>
        <v>473007.80181174661</v>
      </c>
      <c r="Z152" s="322">
        <f t="shared" si="34"/>
        <v>473007.80181174655</v>
      </c>
      <c r="AA152" s="323">
        <f t="shared" si="35"/>
        <v>473007.80181174655</v>
      </c>
      <c r="AB152" s="323"/>
      <c r="AC152" s="323"/>
      <c r="AD152" s="323"/>
      <c r="AE152" s="323"/>
      <c r="AF152" s="324">
        <f t="shared" si="36"/>
        <v>2.708813306885543E-3</v>
      </c>
      <c r="AG152" s="312"/>
      <c r="AH152" s="312"/>
      <c r="AI152" s="325">
        <f t="shared" si="37"/>
        <v>1</v>
      </c>
      <c r="AJ152" s="312"/>
      <c r="AK152" s="312"/>
      <c r="AL152" s="312"/>
      <c r="AM152" s="312"/>
      <c r="AN152" s="312"/>
      <c r="AO152" s="312"/>
      <c r="AP152" s="312"/>
      <c r="AQ152" s="312"/>
      <c r="AR152" s="312"/>
      <c r="AS152" s="312"/>
      <c r="AT152" s="312"/>
      <c r="AU152" s="312"/>
      <c r="AV152" s="312"/>
      <c r="AW152" s="312"/>
      <c r="AX152" s="312"/>
      <c r="AY152" s="312"/>
      <c r="AZ152" s="312"/>
      <c r="BA152" s="312"/>
      <c r="BB152" s="312"/>
      <c r="BC152" s="312"/>
      <c r="BD152" s="312"/>
      <c r="BE152" s="312"/>
      <c r="BF152" s="312"/>
      <c r="BG152" s="312"/>
      <c r="BH152" s="312"/>
      <c r="BI152" s="312"/>
      <c r="BJ152" s="312"/>
      <c r="BK152" s="312"/>
      <c r="BL152" s="312"/>
      <c r="BM152" s="312"/>
      <c r="BN152" s="312"/>
      <c r="BO152" s="312"/>
      <c r="BP152" s="312"/>
      <c r="BQ152" s="312"/>
      <c r="BR152" s="312"/>
      <c r="BS152" s="312"/>
      <c r="BT152" s="312"/>
      <c r="BU152" s="312"/>
      <c r="BV152" s="312"/>
      <c r="BW152" s="312"/>
      <c r="BX152" s="312"/>
      <c r="BY152" s="312"/>
      <c r="BZ152" s="312"/>
      <c r="CA152" s="312"/>
      <c r="CB152" s="312"/>
      <c r="CC152" s="312"/>
      <c r="CD152" s="312"/>
      <c r="CE152" s="312"/>
      <c r="CF152" s="312"/>
      <c r="CG152" s="312"/>
      <c r="CH152" s="312"/>
      <c r="CI152" s="312"/>
      <c r="CJ152" s="312"/>
      <c r="CK152" s="312"/>
      <c r="CL152" s="312"/>
      <c r="CM152" s="312"/>
      <c r="CN152" s="312"/>
      <c r="CO152" s="312"/>
      <c r="CP152" s="312"/>
      <c r="CQ152" s="312"/>
      <c r="CR152" s="312"/>
      <c r="CS152" s="312"/>
      <c r="CT152" s="312"/>
      <c r="CU152" s="312"/>
      <c r="CV152" s="312"/>
      <c r="CW152" s="312"/>
      <c r="CX152" s="312"/>
      <c r="CY152" s="312"/>
      <c r="CZ152" s="312"/>
      <c r="DA152" s="312"/>
      <c r="DB152" s="312"/>
      <c r="DC152" s="312"/>
      <c r="DD152" s="312"/>
      <c r="DE152" s="312"/>
      <c r="DF152" s="312"/>
      <c r="DG152" s="312"/>
      <c r="DH152" s="312"/>
      <c r="DI152" s="312"/>
      <c r="DJ152" s="312"/>
      <c r="DK152" s="312"/>
      <c r="DL152" s="312"/>
      <c r="DM152" s="312"/>
      <c r="DN152" s="312"/>
      <c r="DO152" s="312"/>
      <c r="DP152" s="312"/>
      <c r="DQ152" s="312"/>
      <c r="DR152" s="312"/>
      <c r="DS152" s="312"/>
      <c r="DT152" s="312"/>
      <c r="DU152" s="312"/>
      <c r="DV152" s="312"/>
      <c r="DW152" s="312"/>
      <c r="DX152" s="312"/>
      <c r="DY152" s="312"/>
      <c r="DZ152" s="312"/>
      <c r="EA152" s="312"/>
      <c r="EB152" s="312"/>
      <c r="EC152" s="312"/>
      <c r="ED152" s="312"/>
      <c r="EE152" s="312"/>
      <c r="EF152" s="312"/>
      <c r="EG152" s="312"/>
      <c r="EH152" s="312"/>
      <c r="EI152" s="312"/>
      <c r="EJ152" s="312"/>
      <c r="EK152" s="312"/>
      <c r="EL152" s="312"/>
      <c r="EM152" s="312"/>
      <c r="EN152" s="312"/>
      <c r="EO152" s="312"/>
      <c r="EP152" s="312"/>
      <c r="EQ152" s="312"/>
      <c r="ER152" s="312"/>
      <c r="ES152" s="312"/>
      <c r="ET152" s="312"/>
      <c r="EU152" s="312"/>
      <c r="EV152" s="312"/>
      <c r="EW152" s="312"/>
      <c r="EX152" s="312"/>
      <c r="EY152" s="312"/>
      <c r="EZ152" s="312"/>
      <c r="FA152" s="312"/>
      <c r="FB152" s="312"/>
      <c r="FC152" s="312"/>
      <c r="FD152" s="312"/>
      <c r="FE152" s="312"/>
      <c r="FF152" s="312"/>
      <c r="FG152" s="312"/>
      <c r="FH152" s="312"/>
      <c r="FI152" s="312"/>
      <c r="FJ152" s="312"/>
      <c r="FK152" s="312"/>
      <c r="FL152" s="312"/>
      <c r="FM152" s="312"/>
      <c r="FN152" s="312"/>
      <c r="FO152" s="312"/>
      <c r="FP152" s="312"/>
      <c r="FQ152" s="312"/>
      <c r="FR152" s="312"/>
      <c r="FS152" s="312"/>
      <c r="FT152" s="312"/>
      <c r="FU152" s="312"/>
      <c r="FV152" s="312"/>
      <c r="FW152" s="312"/>
      <c r="FX152" s="312"/>
      <c r="FY152" s="312"/>
      <c r="FZ152" s="312"/>
      <c r="GA152" s="312"/>
      <c r="GB152" s="312"/>
      <c r="GC152" s="312"/>
      <c r="GD152" s="312"/>
      <c r="GE152" s="312"/>
      <c r="GF152" s="312"/>
      <c r="GG152" s="312"/>
      <c r="GH152" s="312"/>
      <c r="GI152" s="312"/>
      <c r="GJ152" s="312"/>
      <c r="GK152" s="312"/>
      <c r="GL152" s="312"/>
      <c r="GM152" s="312"/>
      <c r="GN152" s="312"/>
      <c r="GO152" s="312"/>
      <c r="GP152" s="312"/>
      <c r="GQ152" s="312"/>
      <c r="GR152" s="312"/>
      <c r="GS152" s="312"/>
      <c r="GT152" s="312"/>
      <c r="GU152" s="312"/>
      <c r="GV152" s="312"/>
      <c r="GW152" s="312"/>
      <c r="GX152" s="312"/>
      <c r="GY152" s="312"/>
    </row>
    <row r="153" spans="2:207" ht="15.75" x14ac:dyDescent="0.25">
      <c r="B153" s="316">
        <f t="shared" si="20"/>
        <v>123</v>
      </c>
      <c r="C153" s="330">
        <f>'סיכום לוועדה'!B153</f>
        <v>1001348246</v>
      </c>
      <c r="D153" s="330">
        <f>'סיכום לוועדה'!C153</f>
        <v>1001266660</v>
      </c>
      <c r="E153" s="330">
        <f>'סיכום לוועדה'!D153</f>
        <v>40327977</v>
      </c>
      <c r="F153" s="330">
        <f>'סיכום לוועדה'!E153</f>
        <v>20000159</v>
      </c>
      <c r="G153" s="330" t="str">
        <f>'סיכום לוועדה'!F153</f>
        <v>ירושלים</v>
      </c>
      <c r="H153" s="317" t="str">
        <f>'סיכום לוועדה'!G153</f>
        <v>אביבים</v>
      </c>
      <c r="I153" s="318">
        <f>'סיכום לוועדה'!U153</f>
        <v>600000</v>
      </c>
      <c r="J153" s="319">
        <f>'סיכום לוועדה'!T153</f>
        <v>15675.210496900949</v>
      </c>
      <c r="K153" s="320">
        <f t="shared" si="21"/>
        <v>0</v>
      </c>
      <c r="L153" s="319">
        <f t="shared" si="22"/>
        <v>15675.210496900949</v>
      </c>
      <c r="M153" s="331">
        <f>'תחום תמיכה ב'!AF153</f>
        <v>8.6511791034378393E-5</v>
      </c>
      <c r="N153" s="319">
        <f t="shared" si="19"/>
        <v>17148.896632513013</v>
      </c>
      <c r="O153" s="321">
        <f t="shared" si="23"/>
        <v>0</v>
      </c>
      <c r="P153" s="322">
        <f t="shared" si="24"/>
        <v>17148.896632513013</v>
      </c>
      <c r="Q153" s="322">
        <f t="shared" si="25"/>
        <v>17156.704978063412</v>
      </c>
      <c r="R153" s="321">
        <f t="shared" si="26"/>
        <v>0</v>
      </c>
      <c r="S153" s="322">
        <f t="shared" si="27"/>
        <v>17156.704978063412</v>
      </c>
      <c r="T153" s="322">
        <f t="shared" si="28"/>
        <v>17156.704978063379</v>
      </c>
      <c r="U153" s="321">
        <f t="shared" si="29"/>
        <v>0</v>
      </c>
      <c r="V153" s="322">
        <f t="shared" si="30"/>
        <v>17156.704978063379</v>
      </c>
      <c r="W153" s="322">
        <f t="shared" si="31"/>
        <v>17156.704978063382</v>
      </c>
      <c r="X153" s="321">
        <f t="shared" si="32"/>
        <v>0</v>
      </c>
      <c r="Y153" s="322">
        <f t="shared" si="33"/>
        <v>17156.704978063382</v>
      </c>
      <c r="Z153" s="322">
        <f t="shared" si="34"/>
        <v>17156.704978063379</v>
      </c>
      <c r="AA153" s="323">
        <f t="shared" si="35"/>
        <v>17156.704978063379</v>
      </c>
      <c r="AB153" s="323"/>
      <c r="AC153" s="323"/>
      <c r="AD153" s="323"/>
      <c r="AE153" s="323"/>
      <c r="AF153" s="324">
        <f t="shared" si="36"/>
        <v>9.8252736147011655E-5</v>
      </c>
      <c r="AG153" s="312"/>
      <c r="AH153" s="312"/>
      <c r="AI153" s="325">
        <f t="shared" si="37"/>
        <v>1</v>
      </c>
      <c r="AJ153" s="312"/>
      <c r="AK153" s="312"/>
      <c r="AL153" s="312"/>
      <c r="AM153" s="312"/>
      <c r="AN153" s="312"/>
      <c r="AO153" s="312"/>
      <c r="AP153" s="312"/>
      <c r="AQ153" s="312"/>
      <c r="AR153" s="312"/>
      <c r="AS153" s="312"/>
      <c r="AT153" s="312"/>
      <c r="AU153" s="312"/>
      <c r="AV153" s="312"/>
      <c r="AW153" s="312"/>
      <c r="AX153" s="312"/>
      <c r="AY153" s="312"/>
      <c r="AZ153" s="312"/>
      <c r="BA153" s="312"/>
      <c r="BB153" s="312"/>
      <c r="BC153" s="312"/>
      <c r="BD153" s="312"/>
      <c r="BE153" s="312"/>
      <c r="BF153" s="312"/>
      <c r="BG153" s="312"/>
      <c r="BH153" s="312"/>
      <c r="BI153" s="312"/>
      <c r="BJ153" s="312"/>
      <c r="BK153" s="312"/>
      <c r="BL153" s="312"/>
      <c r="BM153" s="312"/>
      <c r="BN153" s="312"/>
      <c r="BO153" s="312"/>
      <c r="BP153" s="312"/>
      <c r="BQ153" s="312"/>
      <c r="BR153" s="312"/>
      <c r="BS153" s="312"/>
      <c r="BT153" s="312"/>
      <c r="BU153" s="312"/>
      <c r="BV153" s="312"/>
      <c r="BW153" s="312"/>
      <c r="BX153" s="312"/>
      <c r="BY153" s="312"/>
      <c r="BZ153" s="312"/>
      <c r="CA153" s="312"/>
      <c r="CB153" s="312"/>
      <c r="CC153" s="312"/>
      <c r="CD153" s="312"/>
      <c r="CE153" s="312"/>
      <c r="CF153" s="312"/>
      <c r="CG153" s="312"/>
      <c r="CH153" s="312"/>
      <c r="CI153" s="312"/>
      <c r="CJ153" s="312"/>
      <c r="CK153" s="312"/>
      <c r="CL153" s="312"/>
      <c r="CM153" s="312"/>
      <c r="CN153" s="312"/>
      <c r="CO153" s="312"/>
      <c r="CP153" s="312"/>
      <c r="CQ153" s="312"/>
      <c r="CR153" s="312"/>
      <c r="CS153" s="312"/>
      <c r="CT153" s="312"/>
      <c r="CU153" s="312"/>
      <c r="CV153" s="312"/>
      <c r="CW153" s="312"/>
      <c r="CX153" s="312"/>
      <c r="CY153" s="312"/>
      <c r="CZ153" s="312"/>
      <c r="DA153" s="312"/>
      <c r="DB153" s="312"/>
      <c r="DC153" s="312"/>
      <c r="DD153" s="312"/>
      <c r="DE153" s="312"/>
      <c r="DF153" s="312"/>
      <c r="DG153" s="312"/>
      <c r="DH153" s="312"/>
      <c r="DI153" s="312"/>
      <c r="DJ153" s="312"/>
      <c r="DK153" s="312"/>
      <c r="DL153" s="312"/>
      <c r="DM153" s="312"/>
      <c r="DN153" s="312"/>
      <c r="DO153" s="312"/>
      <c r="DP153" s="312"/>
      <c r="DQ153" s="312"/>
      <c r="DR153" s="312"/>
      <c r="DS153" s="312"/>
      <c r="DT153" s="312"/>
      <c r="DU153" s="312"/>
      <c r="DV153" s="312"/>
      <c r="DW153" s="312"/>
      <c r="DX153" s="312"/>
      <c r="DY153" s="312"/>
      <c r="DZ153" s="312"/>
      <c r="EA153" s="312"/>
      <c r="EB153" s="312"/>
      <c r="EC153" s="312"/>
      <c r="ED153" s="312"/>
      <c r="EE153" s="312"/>
      <c r="EF153" s="312"/>
      <c r="EG153" s="312"/>
      <c r="EH153" s="312"/>
      <c r="EI153" s="312"/>
      <c r="EJ153" s="312"/>
      <c r="EK153" s="312"/>
      <c r="EL153" s="312"/>
      <c r="EM153" s="312"/>
      <c r="EN153" s="312"/>
      <c r="EO153" s="312"/>
      <c r="EP153" s="312"/>
      <c r="EQ153" s="312"/>
      <c r="ER153" s="312"/>
      <c r="ES153" s="312"/>
      <c r="ET153" s="312"/>
      <c r="EU153" s="312"/>
      <c r="EV153" s="312"/>
      <c r="EW153" s="312"/>
      <c r="EX153" s="312"/>
      <c r="EY153" s="312"/>
      <c r="EZ153" s="312"/>
      <c r="FA153" s="312"/>
      <c r="FB153" s="312"/>
      <c r="FC153" s="312"/>
      <c r="FD153" s="312"/>
      <c r="FE153" s="312"/>
      <c r="FF153" s="312"/>
      <c r="FG153" s="312"/>
      <c r="FH153" s="312"/>
      <c r="FI153" s="312"/>
      <c r="FJ153" s="312"/>
      <c r="FK153" s="312"/>
      <c r="FL153" s="312"/>
      <c r="FM153" s="312"/>
      <c r="FN153" s="312"/>
      <c r="FO153" s="312"/>
      <c r="FP153" s="312"/>
      <c r="FQ153" s="312"/>
      <c r="FR153" s="312"/>
      <c r="FS153" s="312"/>
      <c r="FT153" s="312"/>
      <c r="FU153" s="312"/>
      <c r="FV153" s="312"/>
      <c r="FW153" s="312"/>
      <c r="FX153" s="312"/>
      <c r="FY153" s="312"/>
      <c r="FZ153" s="312"/>
      <c r="GA153" s="312"/>
      <c r="GB153" s="312"/>
      <c r="GC153" s="312"/>
      <c r="GD153" s="312"/>
      <c r="GE153" s="312"/>
      <c r="GF153" s="312"/>
      <c r="GG153" s="312"/>
      <c r="GH153" s="312"/>
      <c r="GI153" s="312"/>
      <c r="GJ153" s="312"/>
      <c r="GK153" s="312"/>
      <c r="GL153" s="312"/>
      <c r="GM153" s="312"/>
      <c r="GN153" s="312"/>
      <c r="GO153" s="312"/>
      <c r="GP153" s="312"/>
      <c r="GQ153" s="312"/>
      <c r="GR153" s="312"/>
      <c r="GS153" s="312"/>
      <c r="GT153" s="312"/>
      <c r="GU153" s="312"/>
      <c r="GV153" s="312"/>
      <c r="GW153" s="312"/>
      <c r="GX153" s="312"/>
      <c r="GY153" s="312"/>
    </row>
    <row r="154" spans="2:207" ht="15.75" x14ac:dyDescent="0.25">
      <c r="B154" s="316">
        <f t="shared" si="20"/>
        <v>124</v>
      </c>
      <c r="C154" s="330">
        <f>'סיכום לוועדה'!B154</f>
        <v>1001349552</v>
      </c>
      <c r="D154" s="330">
        <f>'סיכום לוועדה'!C154</f>
        <v>1001290587</v>
      </c>
      <c r="E154" s="330">
        <f>'סיכום לוועדה'!D154</f>
        <v>41053690</v>
      </c>
      <c r="F154" s="330">
        <f>'סיכום לוועדה'!E154</f>
        <v>20000072</v>
      </c>
      <c r="G154" s="330" t="str">
        <f>'סיכום לוועדה'!F154</f>
        <v>ראמה</v>
      </c>
      <c r="H154" s="317" t="str">
        <f>'סיכום לוועדה'!G154</f>
        <v>סיראג'</v>
      </c>
      <c r="I154" s="318">
        <f>'סיכום לוועדה'!U154</f>
        <v>500000</v>
      </c>
      <c r="J154" s="319">
        <f>'סיכום לוועדה'!T154</f>
        <v>136624.29575207079</v>
      </c>
      <c r="K154" s="320">
        <f t="shared" si="21"/>
        <v>0</v>
      </c>
      <c r="L154" s="319">
        <f t="shared" si="22"/>
        <v>136624.29575207079</v>
      </c>
      <c r="M154" s="331">
        <f>'תחום תמיכה ב'!AF154</f>
        <v>8.9599618402213296E-4</v>
      </c>
      <c r="N154" s="319">
        <f t="shared" si="19"/>
        <v>151887.15342924016</v>
      </c>
      <c r="O154" s="321">
        <f t="shared" si="23"/>
        <v>0</v>
      </c>
      <c r="P154" s="322">
        <f t="shared" si="24"/>
        <v>151887.15342924016</v>
      </c>
      <c r="Q154" s="322">
        <f t="shared" si="25"/>
        <v>151956.3116616359</v>
      </c>
      <c r="R154" s="321">
        <f t="shared" si="26"/>
        <v>0</v>
      </c>
      <c r="S154" s="322">
        <f t="shared" si="27"/>
        <v>151956.3116616359</v>
      </c>
      <c r="T154" s="322">
        <f t="shared" si="28"/>
        <v>151956.31166163558</v>
      </c>
      <c r="U154" s="321">
        <f t="shared" si="29"/>
        <v>0</v>
      </c>
      <c r="V154" s="322">
        <f t="shared" si="30"/>
        <v>151956.31166163558</v>
      </c>
      <c r="W154" s="322">
        <f t="shared" si="31"/>
        <v>151956.31166163564</v>
      </c>
      <c r="X154" s="321">
        <f t="shared" si="32"/>
        <v>0</v>
      </c>
      <c r="Y154" s="322">
        <f t="shared" si="33"/>
        <v>151956.31166163564</v>
      </c>
      <c r="Z154" s="322">
        <f t="shared" si="34"/>
        <v>151956.31166163561</v>
      </c>
      <c r="AA154" s="323">
        <f t="shared" si="35"/>
        <v>151956.31166163561</v>
      </c>
      <c r="AB154" s="323"/>
      <c r="AC154" s="323"/>
      <c r="AD154" s="323"/>
      <c r="AE154" s="323"/>
      <c r="AF154" s="324">
        <f t="shared" si="36"/>
        <v>8.7022090865661338E-4</v>
      </c>
      <c r="AG154" s="312"/>
      <c r="AH154" s="312"/>
      <c r="AI154" s="325">
        <f t="shared" si="37"/>
        <v>1</v>
      </c>
      <c r="AJ154" s="312"/>
      <c r="AK154" s="312"/>
      <c r="AL154" s="312"/>
      <c r="AM154" s="312"/>
      <c r="AN154" s="312"/>
      <c r="AO154" s="312"/>
      <c r="AP154" s="312"/>
      <c r="AQ154" s="312"/>
      <c r="AR154" s="312"/>
      <c r="AS154" s="312"/>
      <c r="AT154" s="312"/>
      <c r="AU154" s="312"/>
      <c r="AV154" s="312"/>
      <c r="AW154" s="312"/>
      <c r="AX154" s="312"/>
      <c r="AY154" s="312"/>
      <c r="AZ154" s="312"/>
      <c r="BA154" s="312"/>
      <c r="BB154" s="312"/>
      <c r="BC154" s="312"/>
      <c r="BD154" s="312"/>
      <c r="BE154" s="312"/>
      <c r="BF154" s="312"/>
      <c r="BG154" s="312"/>
      <c r="BH154" s="312"/>
      <c r="BI154" s="312"/>
      <c r="BJ154" s="312"/>
      <c r="BK154" s="312"/>
      <c r="BL154" s="312"/>
      <c r="BM154" s="312"/>
      <c r="BN154" s="312"/>
      <c r="BO154" s="312"/>
      <c r="BP154" s="312"/>
      <c r="BQ154" s="312"/>
      <c r="BR154" s="312"/>
      <c r="BS154" s="312"/>
      <c r="BT154" s="312"/>
      <c r="BU154" s="312"/>
      <c r="BV154" s="312"/>
      <c r="BW154" s="312"/>
      <c r="BX154" s="312"/>
      <c r="BY154" s="312"/>
      <c r="BZ154" s="312"/>
      <c r="CA154" s="312"/>
      <c r="CB154" s="312"/>
      <c r="CC154" s="312"/>
      <c r="CD154" s="312"/>
      <c r="CE154" s="312"/>
      <c r="CF154" s="312"/>
      <c r="CG154" s="312"/>
      <c r="CH154" s="312"/>
      <c r="CI154" s="312"/>
      <c r="CJ154" s="312"/>
      <c r="CK154" s="312"/>
      <c r="CL154" s="312"/>
      <c r="CM154" s="312"/>
      <c r="CN154" s="312"/>
      <c r="CO154" s="312"/>
      <c r="CP154" s="312"/>
      <c r="CQ154" s="312"/>
      <c r="CR154" s="312"/>
      <c r="CS154" s="312"/>
      <c r="CT154" s="312"/>
      <c r="CU154" s="312"/>
      <c r="CV154" s="312"/>
      <c r="CW154" s="312"/>
      <c r="CX154" s="312"/>
      <c r="CY154" s="312"/>
      <c r="CZ154" s="312"/>
      <c r="DA154" s="312"/>
      <c r="DB154" s="312"/>
      <c r="DC154" s="312"/>
      <c r="DD154" s="312"/>
      <c r="DE154" s="312"/>
      <c r="DF154" s="312"/>
      <c r="DG154" s="312"/>
      <c r="DH154" s="312"/>
      <c r="DI154" s="312"/>
      <c r="DJ154" s="312"/>
      <c r="DK154" s="312"/>
      <c r="DL154" s="312"/>
      <c r="DM154" s="312"/>
      <c r="DN154" s="312"/>
      <c r="DO154" s="312"/>
      <c r="DP154" s="312"/>
      <c r="DQ154" s="312"/>
      <c r="DR154" s="312"/>
      <c r="DS154" s="312"/>
      <c r="DT154" s="312"/>
      <c r="DU154" s="312"/>
      <c r="DV154" s="312"/>
      <c r="DW154" s="312"/>
      <c r="DX154" s="312"/>
      <c r="DY154" s="312"/>
      <c r="DZ154" s="312"/>
      <c r="EA154" s="312"/>
      <c r="EB154" s="312"/>
      <c r="EC154" s="312"/>
      <c r="ED154" s="312"/>
      <c r="EE154" s="312"/>
      <c r="EF154" s="312"/>
      <c r="EG154" s="312"/>
      <c r="EH154" s="312"/>
      <c r="EI154" s="312"/>
      <c r="EJ154" s="312"/>
      <c r="EK154" s="312"/>
      <c r="EL154" s="312"/>
      <c r="EM154" s="312"/>
      <c r="EN154" s="312"/>
      <c r="EO154" s="312"/>
      <c r="EP154" s="312"/>
      <c r="EQ154" s="312"/>
      <c r="ER154" s="312"/>
      <c r="ES154" s="312"/>
      <c r="ET154" s="312"/>
      <c r="EU154" s="312"/>
      <c r="EV154" s="312"/>
      <c r="EW154" s="312"/>
      <c r="EX154" s="312"/>
      <c r="EY154" s="312"/>
      <c r="EZ154" s="312"/>
      <c r="FA154" s="312"/>
      <c r="FB154" s="312"/>
      <c r="FC154" s="312"/>
      <c r="FD154" s="312"/>
      <c r="FE154" s="312"/>
      <c r="FF154" s="312"/>
      <c r="FG154" s="312"/>
      <c r="FH154" s="312"/>
      <c r="FI154" s="312"/>
      <c r="FJ154" s="312"/>
      <c r="FK154" s="312"/>
      <c r="FL154" s="312"/>
      <c r="FM154" s="312"/>
      <c r="FN154" s="312"/>
      <c r="FO154" s="312"/>
      <c r="FP154" s="312"/>
      <c r="FQ154" s="312"/>
      <c r="FR154" s="312"/>
      <c r="FS154" s="312"/>
      <c r="FT154" s="312"/>
      <c r="FU154" s="312"/>
      <c r="FV154" s="312"/>
      <c r="FW154" s="312"/>
      <c r="FX154" s="312"/>
      <c r="FY154" s="312"/>
      <c r="FZ154" s="312"/>
      <c r="GA154" s="312"/>
      <c r="GB154" s="312"/>
      <c r="GC154" s="312"/>
      <c r="GD154" s="312"/>
      <c r="GE154" s="312"/>
      <c r="GF154" s="312"/>
      <c r="GG154" s="312"/>
      <c r="GH154" s="312"/>
      <c r="GI154" s="312"/>
      <c r="GJ154" s="312"/>
      <c r="GK154" s="312"/>
      <c r="GL154" s="312"/>
      <c r="GM154" s="312"/>
      <c r="GN154" s="312"/>
      <c r="GO154" s="312"/>
      <c r="GP154" s="312"/>
      <c r="GQ154" s="312"/>
      <c r="GR154" s="312"/>
      <c r="GS154" s="312"/>
      <c r="GT154" s="312"/>
      <c r="GU154" s="312"/>
      <c r="GV154" s="312"/>
      <c r="GW154" s="312"/>
      <c r="GX154" s="312"/>
      <c r="GY154" s="312"/>
    </row>
    <row r="155" spans="2:207" ht="15.75" x14ac:dyDescent="0.25">
      <c r="B155" s="316">
        <f t="shared" si="20"/>
        <v>125</v>
      </c>
      <c r="C155" s="330">
        <f>'סיכום לוועדה'!B155</f>
        <v>1001347776</v>
      </c>
      <c r="D155" s="330">
        <f>'סיכום לוועדה'!C155</f>
        <v>1001276514</v>
      </c>
      <c r="E155" s="330">
        <f>'סיכום לוועדה'!D155</f>
        <v>40946840</v>
      </c>
      <c r="F155" s="330">
        <f>'סיכום לוועדה'!E155</f>
        <v>20000231</v>
      </c>
      <c r="G155" s="330" t="str">
        <f>'סיכום לוועדה'!F155</f>
        <v>נצרת</v>
      </c>
      <c r="H155" s="317" t="str">
        <f>'סיכום לוועדה'!G155</f>
        <v>נצרת עלא אלעהד</v>
      </c>
      <c r="I155" s="318">
        <f>'סיכום לוועדה'!U155</f>
        <v>130000</v>
      </c>
      <c r="J155" s="319">
        <f>'סיכום לוועדה'!T155</f>
        <v>16157.42027699465</v>
      </c>
      <c r="K155" s="320">
        <f t="shared" si="21"/>
        <v>0</v>
      </c>
      <c r="L155" s="319">
        <f t="shared" si="22"/>
        <v>16157.42027699465</v>
      </c>
      <c r="M155" s="331">
        <f>'תחום תמיכה ב'!AF155</f>
        <v>7.9845228774709807E-5</v>
      </c>
      <c r="N155" s="319">
        <f t="shared" si="19"/>
        <v>17517.544778327705</v>
      </c>
      <c r="O155" s="321">
        <f t="shared" si="23"/>
        <v>0</v>
      </c>
      <c r="P155" s="322">
        <f t="shared" si="24"/>
        <v>17517.544778327705</v>
      </c>
      <c r="Q155" s="322">
        <f t="shared" si="25"/>
        <v>17525.520979115132</v>
      </c>
      <c r="R155" s="321">
        <f t="shared" si="26"/>
        <v>0</v>
      </c>
      <c r="S155" s="322">
        <f t="shared" si="27"/>
        <v>17525.520979115132</v>
      </c>
      <c r="T155" s="322">
        <f t="shared" si="28"/>
        <v>17525.520979115096</v>
      </c>
      <c r="U155" s="321">
        <f t="shared" si="29"/>
        <v>0</v>
      </c>
      <c r="V155" s="322">
        <f t="shared" si="30"/>
        <v>17525.520979115096</v>
      </c>
      <c r="W155" s="322">
        <f t="shared" si="31"/>
        <v>17525.520979115103</v>
      </c>
      <c r="X155" s="321">
        <f t="shared" si="32"/>
        <v>0</v>
      </c>
      <c r="Y155" s="322">
        <f t="shared" si="33"/>
        <v>17525.520979115103</v>
      </c>
      <c r="Z155" s="322">
        <f t="shared" si="34"/>
        <v>17525.520979115099</v>
      </c>
      <c r="AA155" s="323">
        <f t="shared" si="35"/>
        <v>17525.520979115099</v>
      </c>
      <c r="AB155" s="323"/>
      <c r="AC155" s="323"/>
      <c r="AD155" s="323"/>
      <c r="AE155" s="323"/>
      <c r="AF155" s="324">
        <f t="shared" si="36"/>
        <v>1.0036486556139884E-4</v>
      </c>
      <c r="AG155" s="312"/>
      <c r="AH155" s="312"/>
      <c r="AI155" s="325">
        <f t="shared" si="37"/>
        <v>1</v>
      </c>
      <c r="AJ155" s="312"/>
      <c r="AK155" s="312"/>
      <c r="AL155" s="312"/>
      <c r="AM155" s="312"/>
      <c r="AN155" s="312"/>
      <c r="AO155" s="312"/>
      <c r="AP155" s="312"/>
      <c r="AQ155" s="312"/>
      <c r="AR155" s="312"/>
      <c r="AS155" s="312"/>
      <c r="AT155" s="312"/>
      <c r="AU155" s="312"/>
      <c r="AV155" s="312"/>
      <c r="AW155" s="312"/>
      <c r="AX155" s="312"/>
      <c r="AY155" s="312"/>
      <c r="AZ155" s="312"/>
      <c r="BA155" s="312"/>
      <c r="BB155" s="312"/>
      <c r="BC155" s="312"/>
      <c r="BD155" s="312"/>
      <c r="BE155" s="312"/>
      <c r="BF155" s="312"/>
      <c r="BG155" s="312"/>
      <c r="BH155" s="312"/>
      <c r="BI155" s="312"/>
      <c r="BJ155" s="312"/>
      <c r="BK155" s="312"/>
      <c r="BL155" s="312"/>
      <c r="BM155" s="312"/>
      <c r="BN155" s="312"/>
      <c r="BO155" s="312"/>
      <c r="BP155" s="312"/>
      <c r="BQ155" s="312"/>
      <c r="BR155" s="312"/>
      <c r="BS155" s="312"/>
      <c r="BT155" s="312"/>
      <c r="BU155" s="312"/>
      <c r="BV155" s="312"/>
      <c r="BW155" s="312"/>
      <c r="BX155" s="312"/>
      <c r="BY155" s="312"/>
      <c r="BZ155" s="312"/>
      <c r="CA155" s="312"/>
      <c r="CB155" s="312"/>
      <c r="CC155" s="312"/>
      <c r="CD155" s="312"/>
      <c r="CE155" s="312"/>
      <c r="CF155" s="312"/>
      <c r="CG155" s="312"/>
      <c r="CH155" s="312"/>
      <c r="CI155" s="312"/>
      <c r="CJ155" s="312"/>
      <c r="CK155" s="312"/>
      <c r="CL155" s="312"/>
      <c r="CM155" s="312"/>
      <c r="CN155" s="312"/>
      <c r="CO155" s="312"/>
      <c r="CP155" s="312"/>
      <c r="CQ155" s="312"/>
      <c r="CR155" s="312"/>
      <c r="CS155" s="312"/>
      <c r="CT155" s="312"/>
      <c r="CU155" s="312"/>
      <c r="CV155" s="312"/>
      <c r="CW155" s="312"/>
      <c r="CX155" s="312"/>
      <c r="CY155" s="312"/>
      <c r="CZ155" s="312"/>
      <c r="DA155" s="312"/>
      <c r="DB155" s="312"/>
      <c r="DC155" s="312"/>
      <c r="DD155" s="312"/>
      <c r="DE155" s="312"/>
      <c r="DF155" s="312"/>
      <c r="DG155" s="312"/>
      <c r="DH155" s="312"/>
      <c r="DI155" s="312"/>
      <c r="DJ155" s="312"/>
      <c r="DK155" s="312"/>
      <c r="DL155" s="312"/>
      <c r="DM155" s="312"/>
      <c r="DN155" s="312"/>
      <c r="DO155" s="312"/>
      <c r="DP155" s="312"/>
      <c r="DQ155" s="312"/>
      <c r="DR155" s="312"/>
      <c r="DS155" s="312"/>
      <c r="DT155" s="312"/>
      <c r="DU155" s="312"/>
      <c r="DV155" s="312"/>
      <c r="DW155" s="312"/>
      <c r="DX155" s="312"/>
      <c r="DY155" s="312"/>
      <c r="DZ155" s="312"/>
      <c r="EA155" s="312"/>
      <c r="EB155" s="312"/>
      <c r="EC155" s="312"/>
      <c r="ED155" s="312"/>
      <c r="EE155" s="312"/>
      <c r="EF155" s="312"/>
      <c r="EG155" s="312"/>
      <c r="EH155" s="312"/>
      <c r="EI155" s="312"/>
      <c r="EJ155" s="312"/>
      <c r="EK155" s="312"/>
      <c r="EL155" s="312"/>
      <c r="EM155" s="312"/>
      <c r="EN155" s="312"/>
      <c r="EO155" s="312"/>
      <c r="EP155" s="312"/>
      <c r="EQ155" s="312"/>
      <c r="ER155" s="312"/>
      <c r="ES155" s="312"/>
      <c r="ET155" s="312"/>
      <c r="EU155" s="312"/>
      <c r="EV155" s="312"/>
      <c r="EW155" s="312"/>
      <c r="EX155" s="312"/>
      <c r="EY155" s="312"/>
      <c r="EZ155" s="312"/>
      <c r="FA155" s="312"/>
      <c r="FB155" s="312"/>
      <c r="FC155" s="312"/>
      <c r="FD155" s="312"/>
      <c r="FE155" s="312"/>
      <c r="FF155" s="312"/>
      <c r="FG155" s="312"/>
      <c r="FH155" s="312"/>
      <c r="FI155" s="312"/>
      <c r="FJ155" s="312"/>
      <c r="FK155" s="312"/>
      <c r="FL155" s="312"/>
      <c r="FM155" s="312"/>
      <c r="FN155" s="312"/>
      <c r="FO155" s="312"/>
      <c r="FP155" s="312"/>
      <c r="FQ155" s="312"/>
      <c r="FR155" s="312"/>
      <c r="FS155" s="312"/>
      <c r="FT155" s="312"/>
      <c r="FU155" s="312"/>
      <c r="FV155" s="312"/>
      <c r="FW155" s="312"/>
      <c r="FX155" s="312"/>
      <c r="FY155" s="312"/>
      <c r="FZ155" s="312"/>
      <c r="GA155" s="312"/>
      <c r="GB155" s="312"/>
      <c r="GC155" s="312"/>
      <c r="GD155" s="312"/>
      <c r="GE155" s="312"/>
      <c r="GF155" s="312"/>
      <c r="GG155" s="312"/>
      <c r="GH155" s="312"/>
      <c r="GI155" s="312"/>
      <c r="GJ155" s="312"/>
      <c r="GK155" s="312"/>
      <c r="GL155" s="312"/>
      <c r="GM155" s="312"/>
      <c r="GN155" s="312"/>
      <c r="GO155" s="312"/>
      <c r="GP155" s="312"/>
      <c r="GQ155" s="312"/>
      <c r="GR155" s="312"/>
      <c r="GS155" s="312"/>
      <c r="GT155" s="312"/>
      <c r="GU155" s="312"/>
      <c r="GV155" s="312"/>
      <c r="GW155" s="312"/>
      <c r="GX155" s="312"/>
      <c r="GY155" s="312"/>
    </row>
    <row r="156" spans="2:207" ht="15.75" x14ac:dyDescent="0.25">
      <c r="B156" s="316">
        <f t="shared" si="20"/>
        <v>126</v>
      </c>
      <c r="C156" s="330">
        <f>'סיכום לוועדה'!B156</f>
        <v>1001348954</v>
      </c>
      <c r="D156" s="330">
        <f>'סיכום לוועדה'!C156</f>
        <v>1001290646</v>
      </c>
      <c r="E156" s="330">
        <f>'סיכום לוועדה'!D156</f>
        <v>40970756</v>
      </c>
      <c r="F156" s="330">
        <f>'סיכום לוועדה'!E156</f>
        <v>20000201</v>
      </c>
      <c r="G156" s="330" t="str">
        <f>'סיכום לוועדה'!F156</f>
        <v>תל אביב -יפו</v>
      </c>
      <c r="H156" s="317" t="str">
        <f>'סיכום לוועדה'!G156</f>
        <v>אלמז אמנות בישראל</v>
      </c>
      <c r="I156" s="318">
        <f>'סיכום לוועדה'!U156</f>
        <v>75000</v>
      </c>
      <c r="J156" s="319">
        <f>'סיכום לוועדה'!T156</f>
        <v>35215.866013826148</v>
      </c>
      <c r="K156" s="320">
        <f t="shared" si="21"/>
        <v>0</v>
      </c>
      <c r="L156" s="319">
        <f t="shared" si="22"/>
        <v>35215.866013826148</v>
      </c>
      <c r="M156" s="331">
        <f>'תחום תמיכה ב'!AF156</f>
        <v>2.6501770285098009E-4</v>
      </c>
      <c r="N156" s="319">
        <f t="shared" si="19"/>
        <v>39730.313232102417</v>
      </c>
      <c r="O156" s="321">
        <f t="shared" si="23"/>
        <v>0</v>
      </c>
      <c r="P156" s="322">
        <f t="shared" si="24"/>
        <v>39730.313232102417</v>
      </c>
      <c r="Q156" s="322">
        <f t="shared" si="25"/>
        <v>39748.403493020647</v>
      </c>
      <c r="R156" s="321">
        <f t="shared" si="26"/>
        <v>0</v>
      </c>
      <c r="S156" s="322">
        <f t="shared" si="27"/>
        <v>39748.403493020647</v>
      </c>
      <c r="T156" s="322">
        <f t="shared" si="28"/>
        <v>39748.403493020567</v>
      </c>
      <c r="U156" s="321">
        <f t="shared" si="29"/>
        <v>0</v>
      </c>
      <c r="V156" s="322">
        <f t="shared" si="30"/>
        <v>39748.403493020567</v>
      </c>
      <c r="W156" s="322">
        <f t="shared" si="31"/>
        <v>39748.403493020582</v>
      </c>
      <c r="X156" s="321">
        <f t="shared" si="32"/>
        <v>0</v>
      </c>
      <c r="Y156" s="322">
        <f t="shared" si="33"/>
        <v>39748.403493020582</v>
      </c>
      <c r="Z156" s="322">
        <f t="shared" si="34"/>
        <v>39748.403493020574</v>
      </c>
      <c r="AA156" s="323">
        <f t="shared" si="35"/>
        <v>39748.403493020574</v>
      </c>
      <c r="AB156" s="323"/>
      <c r="AC156" s="323"/>
      <c r="AD156" s="323"/>
      <c r="AE156" s="323"/>
      <c r="AF156" s="324">
        <f t="shared" si="36"/>
        <v>2.2763050397253735E-4</v>
      </c>
      <c r="AG156" s="312"/>
      <c r="AH156" s="312"/>
      <c r="AI156" s="325">
        <f t="shared" si="37"/>
        <v>1</v>
      </c>
      <c r="AJ156" s="312"/>
      <c r="AK156" s="312"/>
      <c r="AL156" s="312"/>
      <c r="AM156" s="312"/>
      <c r="AN156" s="312"/>
      <c r="AO156" s="312"/>
      <c r="AP156" s="312"/>
      <c r="AQ156" s="312"/>
      <c r="AR156" s="312"/>
      <c r="AS156" s="312"/>
      <c r="AT156" s="312"/>
      <c r="AU156" s="312"/>
      <c r="AV156" s="312"/>
      <c r="AW156" s="312"/>
      <c r="AX156" s="312"/>
      <c r="AY156" s="312"/>
      <c r="AZ156" s="312"/>
      <c r="BA156" s="312"/>
      <c r="BB156" s="312"/>
      <c r="BC156" s="312"/>
      <c r="BD156" s="312"/>
      <c r="BE156" s="312"/>
      <c r="BF156" s="312"/>
      <c r="BG156" s="312"/>
      <c r="BH156" s="312"/>
      <c r="BI156" s="312"/>
      <c r="BJ156" s="312"/>
      <c r="BK156" s="312"/>
      <c r="BL156" s="312"/>
      <c r="BM156" s="312"/>
      <c r="BN156" s="312"/>
      <c r="BO156" s="312"/>
      <c r="BP156" s="312"/>
      <c r="BQ156" s="312"/>
      <c r="BR156" s="312"/>
      <c r="BS156" s="312"/>
      <c r="BT156" s="312"/>
      <c r="BU156" s="312"/>
      <c r="BV156" s="312"/>
      <c r="BW156" s="312"/>
      <c r="BX156" s="312"/>
      <c r="BY156" s="312"/>
      <c r="BZ156" s="312"/>
      <c r="CA156" s="312"/>
      <c r="CB156" s="312"/>
      <c r="CC156" s="312"/>
      <c r="CD156" s="312"/>
      <c r="CE156" s="312"/>
      <c r="CF156" s="312"/>
      <c r="CG156" s="312"/>
      <c r="CH156" s="312"/>
      <c r="CI156" s="312"/>
      <c r="CJ156" s="312"/>
      <c r="CK156" s="312"/>
      <c r="CL156" s="312"/>
      <c r="CM156" s="312"/>
      <c r="CN156" s="312"/>
      <c r="CO156" s="312"/>
      <c r="CP156" s="312"/>
      <c r="CQ156" s="312"/>
      <c r="CR156" s="312"/>
      <c r="CS156" s="312"/>
      <c r="CT156" s="312"/>
      <c r="CU156" s="312"/>
      <c r="CV156" s="312"/>
      <c r="CW156" s="312"/>
      <c r="CX156" s="312"/>
      <c r="CY156" s="312"/>
      <c r="CZ156" s="312"/>
      <c r="DA156" s="312"/>
      <c r="DB156" s="312"/>
      <c r="DC156" s="312"/>
      <c r="DD156" s="312"/>
      <c r="DE156" s="312"/>
      <c r="DF156" s="312"/>
      <c r="DG156" s="312"/>
      <c r="DH156" s="312"/>
      <c r="DI156" s="312"/>
      <c r="DJ156" s="312"/>
      <c r="DK156" s="312"/>
      <c r="DL156" s="312"/>
      <c r="DM156" s="312"/>
      <c r="DN156" s="312"/>
      <c r="DO156" s="312"/>
      <c r="DP156" s="312"/>
      <c r="DQ156" s="312"/>
      <c r="DR156" s="312"/>
      <c r="DS156" s="312"/>
      <c r="DT156" s="312"/>
      <c r="DU156" s="312"/>
      <c r="DV156" s="312"/>
      <c r="DW156" s="312"/>
      <c r="DX156" s="312"/>
      <c r="DY156" s="312"/>
      <c r="DZ156" s="312"/>
      <c r="EA156" s="312"/>
      <c r="EB156" s="312"/>
      <c r="EC156" s="312"/>
      <c r="ED156" s="312"/>
      <c r="EE156" s="312"/>
      <c r="EF156" s="312"/>
      <c r="EG156" s="312"/>
      <c r="EH156" s="312"/>
      <c r="EI156" s="312"/>
      <c r="EJ156" s="312"/>
      <c r="EK156" s="312"/>
      <c r="EL156" s="312"/>
      <c r="EM156" s="312"/>
      <c r="EN156" s="312"/>
      <c r="EO156" s="312"/>
      <c r="EP156" s="312"/>
      <c r="EQ156" s="312"/>
      <c r="ER156" s="312"/>
      <c r="ES156" s="312"/>
      <c r="ET156" s="312"/>
      <c r="EU156" s="312"/>
      <c r="EV156" s="312"/>
      <c r="EW156" s="312"/>
      <c r="EX156" s="312"/>
      <c r="EY156" s="312"/>
      <c r="EZ156" s="312"/>
      <c r="FA156" s="312"/>
      <c r="FB156" s="312"/>
      <c r="FC156" s="312"/>
      <c r="FD156" s="312"/>
      <c r="FE156" s="312"/>
      <c r="FF156" s="312"/>
      <c r="FG156" s="312"/>
      <c r="FH156" s="312"/>
      <c r="FI156" s="312"/>
      <c r="FJ156" s="312"/>
      <c r="FK156" s="312"/>
      <c r="FL156" s="312"/>
      <c r="FM156" s="312"/>
      <c r="FN156" s="312"/>
      <c r="FO156" s="312"/>
      <c r="FP156" s="312"/>
      <c r="FQ156" s="312"/>
      <c r="FR156" s="312"/>
      <c r="FS156" s="312"/>
      <c r="FT156" s="312"/>
      <c r="FU156" s="312"/>
      <c r="FV156" s="312"/>
      <c r="FW156" s="312"/>
      <c r="FX156" s="312"/>
      <c r="FY156" s="312"/>
      <c r="FZ156" s="312"/>
      <c r="GA156" s="312"/>
      <c r="GB156" s="312"/>
      <c r="GC156" s="312"/>
      <c r="GD156" s="312"/>
      <c r="GE156" s="312"/>
      <c r="GF156" s="312"/>
      <c r="GG156" s="312"/>
      <c r="GH156" s="312"/>
      <c r="GI156" s="312"/>
      <c r="GJ156" s="312"/>
      <c r="GK156" s="312"/>
      <c r="GL156" s="312"/>
      <c r="GM156" s="312"/>
      <c r="GN156" s="312"/>
      <c r="GO156" s="312"/>
      <c r="GP156" s="312"/>
      <c r="GQ156" s="312"/>
      <c r="GR156" s="312"/>
      <c r="GS156" s="312"/>
      <c r="GT156" s="312"/>
      <c r="GU156" s="312"/>
      <c r="GV156" s="312"/>
      <c r="GW156" s="312"/>
      <c r="GX156" s="312"/>
      <c r="GY156" s="312"/>
    </row>
    <row r="157" spans="2:207" ht="15.75" x14ac:dyDescent="0.25">
      <c r="B157" s="316">
        <f t="shared" si="20"/>
        <v>127</v>
      </c>
      <c r="C157" s="330">
        <f>'סיכום לוועדה'!B157</f>
        <v>1001348952</v>
      </c>
      <c r="D157" s="330">
        <f>'סיכום לוועדה'!C157</f>
        <v>1001263412</v>
      </c>
      <c r="E157" s="330">
        <f>'סיכום לוועדה'!D157</f>
        <v>40374797</v>
      </c>
      <c r="F157" s="330">
        <f>'סיכום לוועדה'!E157</f>
        <v>20000027</v>
      </c>
      <c r="G157" s="330" t="str">
        <f>'סיכום לוועדה'!F157</f>
        <v>כפר שמריהו</v>
      </c>
      <c r="H157" s="317" t="str">
        <f>'סיכום לוועדה'!G157</f>
        <v>בארוקדה</v>
      </c>
      <c r="I157" s="318">
        <f>'סיכום לוועדה'!U157</f>
        <v>350000</v>
      </c>
      <c r="J157" s="319">
        <f>'סיכום לוועדה'!T157</f>
        <v>190965.94758300594</v>
      </c>
      <c r="K157" s="320">
        <f t="shared" si="21"/>
        <v>0</v>
      </c>
      <c r="L157" s="319">
        <f t="shared" si="22"/>
        <v>190965.94758300594</v>
      </c>
      <c r="M157" s="331">
        <f>'תחום תמיכה ב'!AF157</f>
        <v>1.3050343280321434E-3</v>
      </c>
      <c r="N157" s="319">
        <f t="shared" si="19"/>
        <v>213196.57040012605</v>
      </c>
      <c r="O157" s="321">
        <f t="shared" si="23"/>
        <v>0</v>
      </c>
      <c r="P157" s="322">
        <f t="shared" si="24"/>
        <v>213196.57040012605</v>
      </c>
      <c r="Q157" s="322">
        <f t="shared" si="25"/>
        <v>213293.64442929058</v>
      </c>
      <c r="R157" s="321">
        <f t="shared" si="26"/>
        <v>0</v>
      </c>
      <c r="S157" s="322">
        <f t="shared" si="27"/>
        <v>213293.64442929058</v>
      </c>
      <c r="T157" s="322">
        <f t="shared" si="28"/>
        <v>213293.64442929014</v>
      </c>
      <c r="U157" s="321">
        <f t="shared" si="29"/>
        <v>0</v>
      </c>
      <c r="V157" s="322">
        <f t="shared" si="30"/>
        <v>213293.64442929014</v>
      </c>
      <c r="W157" s="322">
        <f t="shared" si="31"/>
        <v>213293.64442929023</v>
      </c>
      <c r="X157" s="321">
        <f t="shared" si="32"/>
        <v>0</v>
      </c>
      <c r="Y157" s="322">
        <f t="shared" si="33"/>
        <v>213293.64442929023</v>
      </c>
      <c r="Z157" s="322">
        <f t="shared" si="34"/>
        <v>213293.6444292902</v>
      </c>
      <c r="AA157" s="323">
        <f t="shared" si="35"/>
        <v>213293.6444292902</v>
      </c>
      <c r="AB157" s="323"/>
      <c r="AC157" s="323"/>
      <c r="AD157" s="323"/>
      <c r="AE157" s="323"/>
      <c r="AF157" s="324">
        <f t="shared" si="36"/>
        <v>1.2214865380468373E-3</v>
      </c>
      <c r="AG157" s="312"/>
      <c r="AH157" s="312"/>
      <c r="AI157" s="325">
        <f t="shared" si="37"/>
        <v>1</v>
      </c>
      <c r="AJ157" s="312"/>
      <c r="AK157" s="312"/>
      <c r="AL157" s="312"/>
      <c r="AM157" s="312"/>
      <c r="AN157" s="312"/>
      <c r="AO157" s="312"/>
      <c r="AP157" s="312"/>
      <c r="AQ157" s="312"/>
      <c r="AR157" s="312"/>
      <c r="AS157" s="312"/>
      <c r="AT157" s="312"/>
      <c r="AU157" s="312"/>
      <c r="AV157" s="312"/>
      <c r="AW157" s="312"/>
      <c r="AX157" s="312"/>
      <c r="AY157" s="312"/>
      <c r="AZ157" s="312"/>
      <c r="BA157" s="312"/>
      <c r="BB157" s="312"/>
      <c r="BC157" s="312"/>
      <c r="BD157" s="312"/>
      <c r="BE157" s="312"/>
      <c r="BF157" s="312"/>
      <c r="BG157" s="312"/>
      <c r="BH157" s="312"/>
      <c r="BI157" s="312"/>
      <c r="BJ157" s="312"/>
      <c r="BK157" s="312"/>
      <c r="BL157" s="312"/>
      <c r="BM157" s="312"/>
      <c r="BN157" s="312"/>
      <c r="BO157" s="312"/>
      <c r="BP157" s="312"/>
      <c r="BQ157" s="312"/>
      <c r="BR157" s="312"/>
      <c r="BS157" s="312"/>
      <c r="BT157" s="312"/>
      <c r="BU157" s="312"/>
      <c r="BV157" s="312"/>
      <c r="BW157" s="312"/>
      <c r="BX157" s="312"/>
      <c r="BY157" s="312"/>
      <c r="BZ157" s="312"/>
      <c r="CA157" s="312"/>
      <c r="CB157" s="312"/>
      <c r="CC157" s="312"/>
      <c r="CD157" s="312"/>
      <c r="CE157" s="312"/>
      <c r="CF157" s="312"/>
      <c r="CG157" s="312"/>
      <c r="CH157" s="312"/>
      <c r="CI157" s="312"/>
      <c r="CJ157" s="312"/>
      <c r="CK157" s="312"/>
      <c r="CL157" s="312"/>
      <c r="CM157" s="312"/>
      <c r="CN157" s="312"/>
      <c r="CO157" s="312"/>
      <c r="CP157" s="312"/>
      <c r="CQ157" s="312"/>
      <c r="CR157" s="312"/>
      <c r="CS157" s="312"/>
      <c r="CT157" s="312"/>
      <c r="CU157" s="312"/>
      <c r="CV157" s="312"/>
      <c r="CW157" s="312"/>
      <c r="CX157" s="312"/>
      <c r="CY157" s="312"/>
      <c r="CZ157" s="312"/>
      <c r="DA157" s="312"/>
      <c r="DB157" s="312"/>
      <c r="DC157" s="312"/>
      <c r="DD157" s="312"/>
      <c r="DE157" s="312"/>
      <c r="DF157" s="312"/>
      <c r="DG157" s="312"/>
      <c r="DH157" s="312"/>
      <c r="DI157" s="312"/>
      <c r="DJ157" s="312"/>
      <c r="DK157" s="312"/>
      <c r="DL157" s="312"/>
      <c r="DM157" s="312"/>
      <c r="DN157" s="312"/>
      <c r="DO157" s="312"/>
      <c r="DP157" s="312"/>
      <c r="DQ157" s="312"/>
      <c r="DR157" s="312"/>
      <c r="DS157" s="312"/>
      <c r="DT157" s="312"/>
      <c r="DU157" s="312"/>
      <c r="DV157" s="312"/>
      <c r="DW157" s="312"/>
      <c r="DX157" s="312"/>
      <c r="DY157" s="312"/>
      <c r="DZ157" s="312"/>
      <c r="EA157" s="312"/>
      <c r="EB157" s="312"/>
      <c r="EC157" s="312"/>
      <c r="ED157" s="312"/>
      <c r="EE157" s="312"/>
      <c r="EF157" s="312"/>
      <c r="EG157" s="312"/>
      <c r="EH157" s="312"/>
      <c r="EI157" s="312"/>
      <c r="EJ157" s="312"/>
      <c r="EK157" s="312"/>
      <c r="EL157" s="312"/>
      <c r="EM157" s="312"/>
      <c r="EN157" s="312"/>
      <c r="EO157" s="312"/>
      <c r="EP157" s="312"/>
      <c r="EQ157" s="312"/>
      <c r="ER157" s="312"/>
      <c r="ES157" s="312"/>
      <c r="ET157" s="312"/>
      <c r="EU157" s="312"/>
      <c r="EV157" s="312"/>
      <c r="EW157" s="312"/>
      <c r="EX157" s="312"/>
      <c r="EY157" s="312"/>
      <c r="EZ157" s="312"/>
      <c r="FA157" s="312"/>
      <c r="FB157" s="312"/>
      <c r="FC157" s="312"/>
      <c r="FD157" s="312"/>
      <c r="FE157" s="312"/>
      <c r="FF157" s="312"/>
      <c r="FG157" s="312"/>
      <c r="FH157" s="312"/>
      <c r="FI157" s="312"/>
      <c r="FJ157" s="312"/>
      <c r="FK157" s="312"/>
      <c r="FL157" s="312"/>
      <c r="FM157" s="312"/>
      <c r="FN157" s="312"/>
      <c r="FO157" s="312"/>
      <c r="FP157" s="312"/>
      <c r="FQ157" s="312"/>
      <c r="FR157" s="312"/>
      <c r="FS157" s="312"/>
      <c r="FT157" s="312"/>
      <c r="FU157" s="312"/>
      <c r="FV157" s="312"/>
      <c r="FW157" s="312"/>
      <c r="FX157" s="312"/>
      <c r="FY157" s="312"/>
      <c r="FZ157" s="312"/>
      <c r="GA157" s="312"/>
      <c r="GB157" s="312"/>
      <c r="GC157" s="312"/>
      <c r="GD157" s="312"/>
      <c r="GE157" s="312"/>
      <c r="GF157" s="312"/>
      <c r="GG157" s="312"/>
      <c r="GH157" s="312"/>
      <c r="GI157" s="312"/>
      <c r="GJ157" s="312"/>
      <c r="GK157" s="312"/>
      <c r="GL157" s="312"/>
      <c r="GM157" s="312"/>
      <c r="GN157" s="312"/>
      <c r="GO157" s="312"/>
      <c r="GP157" s="312"/>
      <c r="GQ157" s="312"/>
      <c r="GR157" s="312"/>
      <c r="GS157" s="312"/>
      <c r="GT157" s="312"/>
      <c r="GU157" s="312"/>
      <c r="GV157" s="312"/>
      <c r="GW157" s="312"/>
      <c r="GX157" s="312"/>
      <c r="GY157" s="312"/>
    </row>
    <row r="158" spans="2:207" ht="15.75" x14ac:dyDescent="0.25">
      <c r="B158" s="316">
        <f t="shared" si="20"/>
        <v>128</v>
      </c>
      <c r="C158" s="330">
        <f>'סיכום לוועדה'!B158</f>
        <v>1001349365</v>
      </c>
      <c r="D158" s="330">
        <f>'סיכום לוועדה'!C158</f>
        <v>1001290811</v>
      </c>
      <c r="E158" s="330">
        <f>'סיכום לוועדה'!D158</f>
        <v>40984631</v>
      </c>
      <c r="F158" s="330">
        <f>'סיכום לוועדה'!E158</f>
        <v>20000201</v>
      </c>
      <c r="G158" s="330" t="str">
        <f>'סיכום לוועדה'!F158</f>
        <v>תל אביב -יפו</v>
      </c>
      <c r="H158" s="317" t="str">
        <f>'סיכום לוועדה'!G158</f>
        <v>תמיד - תרבות מוסיקלית יהודית</v>
      </c>
      <c r="I158" s="318">
        <f>'סיכום לוועדה'!U158</f>
        <v>950000</v>
      </c>
      <c r="J158" s="319">
        <f>'סיכום לוועדה'!T158</f>
        <v>91646.741520846248</v>
      </c>
      <c r="K158" s="320">
        <f t="shared" si="21"/>
        <v>0</v>
      </c>
      <c r="L158" s="319">
        <f t="shared" si="22"/>
        <v>91646.741520846248</v>
      </c>
      <c r="M158" s="331">
        <f>'תחום תמיכה ב'!AF158</f>
        <v>6.7999534259371899E-4</v>
      </c>
      <c r="N158" s="319">
        <f t="shared" si="19"/>
        <v>103230.13028993233</v>
      </c>
      <c r="O158" s="321">
        <f t="shared" si="23"/>
        <v>0</v>
      </c>
      <c r="P158" s="322">
        <f t="shared" si="24"/>
        <v>103230.13028993233</v>
      </c>
      <c r="Q158" s="322">
        <f t="shared" si="25"/>
        <v>103277.13369462884</v>
      </c>
      <c r="R158" s="321">
        <f t="shared" si="26"/>
        <v>0</v>
      </c>
      <c r="S158" s="322">
        <f t="shared" si="27"/>
        <v>103277.13369462884</v>
      </c>
      <c r="T158" s="322">
        <f t="shared" si="28"/>
        <v>103277.13369462863</v>
      </c>
      <c r="U158" s="321">
        <f t="shared" si="29"/>
        <v>0</v>
      </c>
      <c r="V158" s="322">
        <f t="shared" si="30"/>
        <v>103277.13369462863</v>
      </c>
      <c r="W158" s="322">
        <f t="shared" si="31"/>
        <v>103277.13369462866</v>
      </c>
      <c r="X158" s="321">
        <f t="shared" si="32"/>
        <v>0</v>
      </c>
      <c r="Y158" s="322">
        <f t="shared" si="33"/>
        <v>103277.13369462866</v>
      </c>
      <c r="Z158" s="322">
        <f t="shared" si="34"/>
        <v>103277.13369462865</v>
      </c>
      <c r="AA158" s="323">
        <f t="shared" si="35"/>
        <v>103277.13369462865</v>
      </c>
      <c r="AB158" s="323"/>
      <c r="AC158" s="323"/>
      <c r="AD158" s="323"/>
      <c r="AE158" s="323"/>
      <c r="AF158" s="324">
        <f t="shared" si="36"/>
        <v>5.9144579217817865E-4</v>
      </c>
      <c r="AG158" s="312"/>
      <c r="AH158" s="312"/>
      <c r="AI158" s="325">
        <f t="shared" si="37"/>
        <v>1</v>
      </c>
      <c r="AJ158" s="312"/>
      <c r="AK158" s="312"/>
      <c r="AL158" s="312"/>
      <c r="AM158" s="312"/>
      <c r="AN158" s="312"/>
      <c r="AO158" s="312"/>
      <c r="AP158" s="312"/>
      <c r="AQ158" s="312"/>
      <c r="AR158" s="312"/>
      <c r="AS158" s="312"/>
      <c r="AT158" s="312"/>
      <c r="AU158" s="312"/>
      <c r="AV158" s="312"/>
      <c r="AW158" s="312"/>
      <c r="AX158" s="312"/>
      <c r="AY158" s="312"/>
      <c r="AZ158" s="312"/>
      <c r="BA158" s="312"/>
      <c r="BB158" s="312"/>
      <c r="BC158" s="312"/>
      <c r="BD158" s="312"/>
      <c r="BE158" s="312"/>
      <c r="BF158" s="312"/>
      <c r="BG158" s="312"/>
      <c r="BH158" s="312"/>
      <c r="BI158" s="312"/>
      <c r="BJ158" s="312"/>
      <c r="BK158" s="312"/>
      <c r="BL158" s="312"/>
      <c r="BM158" s="312"/>
      <c r="BN158" s="312"/>
      <c r="BO158" s="312"/>
      <c r="BP158" s="312"/>
      <c r="BQ158" s="312"/>
      <c r="BR158" s="312"/>
      <c r="BS158" s="312"/>
      <c r="BT158" s="312"/>
      <c r="BU158" s="312"/>
      <c r="BV158" s="312"/>
      <c r="BW158" s="312"/>
      <c r="BX158" s="312"/>
      <c r="BY158" s="312"/>
      <c r="BZ158" s="312"/>
      <c r="CA158" s="312"/>
      <c r="CB158" s="312"/>
      <c r="CC158" s="312"/>
      <c r="CD158" s="312"/>
      <c r="CE158" s="312"/>
      <c r="CF158" s="312"/>
      <c r="CG158" s="312"/>
      <c r="CH158" s="312"/>
      <c r="CI158" s="312"/>
      <c r="CJ158" s="312"/>
      <c r="CK158" s="312"/>
      <c r="CL158" s="312"/>
      <c r="CM158" s="312"/>
      <c r="CN158" s="312"/>
      <c r="CO158" s="312"/>
      <c r="CP158" s="312"/>
      <c r="CQ158" s="312"/>
      <c r="CR158" s="312"/>
      <c r="CS158" s="312"/>
      <c r="CT158" s="312"/>
      <c r="CU158" s="312"/>
      <c r="CV158" s="312"/>
      <c r="CW158" s="312"/>
      <c r="CX158" s="312"/>
      <c r="CY158" s="312"/>
      <c r="CZ158" s="312"/>
      <c r="DA158" s="312"/>
      <c r="DB158" s="312"/>
      <c r="DC158" s="312"/>
      <c r="DD158" s="312"/>
      <c r="DE158" s="312"/>
      <c r="DF158" s="312"/>
      <c r="DG158" s="312"/>
      <c r="DH158" s="312"/>
      <c r="DI158" s="312"/>
      <c r="DJ158" s="312"/>
      <c r="DK158" s="312"/>
      <c r="DL158" s="312"/>
      <c r="DM158" s="312"/>
      <c r="DN158" s="312"/>
      <c r="DO158" s="312"/>
      <c r="DP158" s="312"/>
      <c r="DQ158" s="312"/>
      <c r="DR158" s="312"/>
      <c r="DS158" s="312"/>
      <c r="DT158" s="312"/>
      <c r="DU158" s="312"/>
      <c r="DV158" s="312"/>
      <c r="DW158" s="312"/>
      <c r="DX158" s="312"/>
      <c r="DY158" s="312"/>
      <c r="DZ158" s="312"/>
      <c r="EA158" s="312"/>
      <c r="EB158" s="312"/>
      <c r="EC158" s="312"/>
      <c r="ED158" s="312"/>
      <c r="EE158" s="312"/>
      <c r="EF158" s="312"/>
      <c r="EG158" s="312"/>
      <c r="EH158" s="312"/>
      <c r="EI158" s="312"/>
      <c r="EJ158" s="312"/>
      <c r="EK158" s="312"/>
      <c r="EL158" s="312"/>
      <c r="EM158" s="312"/>
      <c r="EN158" s="312"/>
      <c r="EO158" s="312"/>
      <c r="EP158" s="312"/>
      <c r="EQ158" s="312"/>
      <c r="ER158" s="312"/>
      <c r="ES158" s="312"/>
      <c r="ET158" s="312"/>
      <c r="EU158" s="312"/>
      <c r="EV158" s="312"/>
      <c r="EW158" s="312"/>
      <c r="EX158" s="312"/>
      <c r="EY158" s="312"/>
      <c r="EZ158" s="312"/>
      <c r="FA158" s="312"/>
      <c r="FB158" s="312"/>
      <c r="FC158" s="312"/>
      <c r="FD158" s="312"/>
      <c r="FE158" s="312"/>
      <c r="FF158" s="312"/>
      <c r="FG158" s="312"/>
      <c r="FH158" s="312"/>
      <c r="FI158" s="312"/>
      <c r="FJ158" s="312"/>
      <c r="FK158" s="312"/>
      <c r="FL158" s="312"/>
      <c r="FM158" s="312"/>
      <c r="FN158" s="312"/>
      <c r="FO158" s="312"/>
      <c r="FP158" s="312"/>
      <c r="FQ158" s="312"/>
      <c r="FR158" s="312"/>
      <c r="FS158" s="312"/>
      <c r="FT158" s="312"/>
      <c r="FU158" s="312"/>
      <c r="FV158" s="312"/>
      <c r="FW158" s="312"/>
      <c r="FX158" s="312"/>
      <c r="FY158" s="312"/>
      <c r="FZ158" s="312"/>
      <c r="GA158" s="312"/>
      <c r="GB158" s="312"/>
      <c r="GC158" s="312"/>
      <c r="GD158" s="312"/>
      <c r="GE158" s="312"/>
      <c r="GF158" s="312"/>
      <c r="GG158" s="312"/>
      <c r="GH158" s="312"/>
      <c r="GI158" s="312"/>
      <c r="GJ158" s="312"/>
      <c r="GK158" s="312"/>
      <c r="GL158" s="312"/>
      <c r="GM158" s="312"/>
      <c r="GN158" s="312"/>
      <c r="GO158" s="312"/>
      <c r="GP158" s="312"/>
      <c r="GQ158" s="312"/>
      <c r="GR158" s="312"/>
      <c r="GS158" s="312"/>
      <c r="GT158" s="312"/>
      <c r="GU158" s="312"/>
      <c r="GV158" s="312"/>
      <c r="GW158" s="312"/>
      <c r="GX158" s="312"/>
      <c r="GY158" s="312"/>
    </row>
    <row r="159" spans="2:207" ht="15.75" x14ac:dyDescent="0.25">
      <c r="B159" s="316">
        <f t="shared" si="20"/>
        <v>129</v>
      </c>
      <c r="C159" s="330">
        <f>'סיכום לוועדה'!B159</f>
        <v>1001347325</v>
      </c>
      <c r="D159" s="330">
        <f>'סיכום לוועדה'!C159</f>
        <v>1001270479</v>
      </c>
      <c r="E159" s="330">
        <f>'סיכום לוועדה'!D159</f>
        <v>40384065</v>
      </c>
      <c r="F159" s="330">
        <f>'סיכום לוועדה'!E159</f>
        <v>20000041</v>
      </c>
      <c r="G159" s="330" t="str">
        <f>'סיכום לוועדה'!F159</f>
        <v>דייר אל-אסד</v>
      </c>
      <c r="H159" s="317" t="str">
        <f>'סיכום לוועדה'!G159</f>
        <v>אל אסדי</v>
      </c>
      <c r="I159" s="318">
        <f>'סיכום לוועדה'!U159</f>
        <v>500000</v>
      </c>
      <c r="J159" s="319">
        <f>'סיכום לוועדה'!T159</f>
        <v>89922.139366596777</v>
      </c>
      <c r="K159" s="320">
        <f t="shared" si="21"/>
        <v>0</v>
      </c>
      <c r="L159" s="319">
        <f t="shared" si="22"/>
        <v>89922.139366596777</v>
      </c>
      <c r="M159" s="331">
        <f>'תחום תמיכה ב'!AF159</f>
        <v>5.6312773710713582E-4</v>
      </c>
      <c r="N159" s="319">
        <f t="shared" ref="N159:N222" si="38">IF($H159="","",IF(K159=1,L159,M159/SUMIF(K$31:K$500,0,M$31:M$500)*$I$2+J159))</f>
        <v>99514.745516937648</v>
      </c>
      <c r="O159" s="321">
        <f t="shared" si="23"/>
        <v>0</v>
      </c>
      <c r="P159" s="322">
        <f t="shared" si="24"/>
        <v>99514.745516937648</v>
      </c>
      <c r="Q159" s="322">
        <f t="shared" si="25"/>
        <v>99560.05720882125</v>
      </c>
      <c r="R159" s="321">
        <f t="shared" si="26"/>
        <v>0</v>
      </c>
      <c r="S159" s="322">
        <f t="shared" si="27"/>
        <v>99560.05720882125</v>
      </c>
      <c r="T159" s="322">
        <f t="shared" si="28"/>
        <v>99560.057208821047</v>
      </c>
      <c r="U159" s="321">
        <f t="shared" si="29"/>
        <v>0</v>
      </c>
      <c r="V159" s="322">
        <f t="shared" si="30"/>
        <v>99560.057208821047</v>
      </c>
      <c r="W159" s="322">
        <f t="shared" si="31"/>
        <v>99560.057208821076</v>
      </c>
      <c r="X159" s="321">
        <f t="shared" si="32"/>
        <v>0</v>
      </c>
      <c r="Y159" s="322">
        <f t="shared" si="33"/>
        <v>99560.057208821076</v>
      </c>
      <c r="Z159" s="322">
        <f t="shared" si="34"/>
        <v>99560.057208821061</v>
      </c>
      <c r="AA159" s="323">
        <f t="shared" si="35"/>
        <v>99560.057208821061</v>
      </c>
      <c r="AB159" s="323"/>
      <c r="AC159" s="323"/>
      <c r="AD159" s="323"/>
      <c r="AE159" s="323"/>
      <c r="AF159" s="324">
        <f t="shared" si="36"/>
        <v>5.7015889963877339E-4</v>
      </c>
      <c r="AG159" s="312"/>
      <c r="AH159" s="312"/>
      <c r="AI159" s="325">
        <f t="shared" si="37"/>
        <v>1</v>
      </c>
      <c r="AJ159" s="312"/>
      <c r="AK159" s="312"/>
      <c r="AL159" s="312"/>
      <c r="AM159" s="312"/>
      <c r="AN159" s="312"/>
      <c r="AO159" s="312"/>
      <c r="AP159" s="312"/>
      <c r="AQ159" s="312"/>
      <c r="AR159" s="312"/>
      <c r="AS159" s="312"/>
      <c r="AT159" s="312"/>
      <c r="AU159" s="312"/>
      <c r="AV159" s="312"/>
      <c r="AW159" s="312"/>
      <c r="AX159" s="312"/>
      <c r="AY159" s="312"/>
      <c r="AZ159" s="312"/>
      <c r="BA159" s="312"/>
      <c r="BB159" s="312"/>
      <c r="BC159" s="312"/>
      <c r="BD159" s="312"/>
      <c r="BE159" s="312"/>
      <c r="BF159" s="312"/>
      <c r="BG159" s="312"/>
      <c r="BH159" s="312"/>
      <c r="BI159" s="312"/>
      <c r="BJ159" s="312"/>
      <c r="BK159" s="312"/>
      <c r="BL159" s="312"/>
      <c r="BM159" s="312"/>
      <c r="BN159" s="312"/>
      <c r="BO159" s="312"/>
      <c r="BP159" s="312"/>
      <c r="BQ159" s="312"/>
      <c r="BR159" s="312"/>
      <c r="BS159" s="312"/>
      <c r="BT159" s="312"/>
      <c r="BU159" s="312"/>
      <c r="BV159" s="312"/>
      <c r="BW159" s="312"/>
      <c r="BX159" s="312"/>
      <c r="BY159" s="312"/>
      <c r="BZ159" s="312"/>
      <c r="CA159" s="312"/>
      <c r="CB159" s="312"/>
      <c r="CC159" s="312"/>
      <c r="CD159" s="312"/>
      <c r="CE159" s="312"/>
      <c r="CF159" s="312"/>
      <c r="CG159" s="312"/>
      <c r="CH159" s="312"/>
      <c r="CI159" s="312"/>
      <c r="CJ159" s="312"/>
      <c r="CK159" s="312"/>
      <c r="CL159" s="312"/>
      <c r="CM159" s="312"/>
      <c r="CN159" s="312"/>
      <c r="CO159" s="312"/>
      <c r="CP159" s="312"/>
      <c r="CQ159" s="312"/>
      <c r="CR159" s="312"/>
      <c r="CS159" s="312"/>
      <c r="CT159" s="312"/>
      <c r="CU159" s="312"/>
      <c r="CV159" s="312"/>
      <c r="CW159" s="312"/>
      <c r="CX159" s="312"/>
      <c r="CY159" s="312"/>
      <c r="CZ159" s="312"/>
      <c r="DA159" s="312"/>
      <c r="DB159" s="312"/>
      <c r="DC159" s="312"/>
      <c r="DD159" s="312"/>
      <c r="DE159" s="312"/>
      <c r="DF159" s="312"/>
      <c r="DG159" s="312"/>
      <c r="DH159" s="312"/>
      <c r="DI159" s="312"/>
      <c r="DJ159" s="312"/>
      <c r="DK159" s="312"/>
      <c r="DL159" s="312"/>
      <c r="DM159" s="312"/>
      <c r="DN159" s="312"/>
      <c r="DO159" s="312"/>
      <c r="DP159" s="312"/>
      <c r="DQ159" s="312"/>
      <c r="DR159" s="312"/>
      <c r="DS159" s="312"/>
      <c r="DT159" s="312"/>
      <c r="DU159" s="312"/>
      <c r="DV159" s="312"/>
      <c r="DW159" s="312"/>
      <c r="DX159" s="312"/>
      <c r="DY159" s="312"/>
      <c r="DZ159" s="312"/>
      <c r="EA159" s="312"/>
      <c r="EB159" s="312"/>
      <c r="EC159" s="312"/>
      <c r="ED159" s="312"/>
      <c r="EE159" s="312"/>
      <c r="EF159" s="312"/>
      <c r="EG159" s="312"/>
      <c r="EH159" s="312"/>
      <c r="EI159" s="312"/>
      <c r="EJ159" s="312"/>
      <c r="EK159" s="312"/>
      <c r="EL159" s="312"/>
      <c r="EM159" s="312"/>
      <c r="EN159" s="312"/>
      <c r="EO159" s="312"/>
      <c r="EP159" s="312"/>
      <c r="EQ159" s="312"/>
      <c r="ER159" s="312"/>
      <c r="ES159" s="312"/>
      <c r="ET159" s="312"/>
      <c r="EU159" s="312"/>
      <c r="EV159" s="312"/>
      <c r="EW159" s="312"/>
      <c r="EX159" s="312"/>
      <c r="EY159" s="312"/>
      <c r="EZ159" s="312"/>
      <c r="FA159" s="312"/>
      <c r="FB159" s="312"/>
      <c r="FC159" s="312"/>
      <c r="FD159" s="312"/>
      <c r="FE159" s="312"/>
      <c r="FF159" s="312"/>
      <c r="FG159" s="312"/>
      <c r="FH159" s="312"/>
      <c r="FI159" s="312"/>
      <c r="FJ159" s="312"/>
      <c r="FK159" s="312"/>
      <c r="FL159" s="312"/>
      <c r="FM159" s="312"/>
      <c r="FN159" s="312"/>
      <c r="FO159" s="312"/>
      <c r="FP159" s="312"/>
      <c r="FQ159" s="312"/>
      <c r="FR159" s="312"/>
      <c r="FS159" s="312"/>
      <c r="FT159" s="312"/>
      <c r="FU159" s="312"/>
      <c r="FV159" s="312"/>
      <c r="FW159" s="312"/>
      <c r="FX159" s="312"/>
      <c r="FY159" s="312"/>
      <c r="FZ159" s="312"/>
      <c r="GA159" s="312"/>
      <c r="GB159" s="312"/>
      <c r="GC159" s="312"/>
      <c r="GD159" s="312"/>
      <c r="GE159" s="312"/>
      <c r="GF159" s="312"/>
      <c r="GG159" s="312"/>
      <c r="GH159" s="312"/>
      <c r="GI159" s="312"/>
      <c r="GJ159" s="312"/>
      <c r="GK159" s="312"/>
      <c r="GL159" s="312"/>
      <c r="GM159" s="312"/>
      <c r="GN159" s="312"/>
      <c r="GO159" s="312"/>
      <c r="GP159" s="312"/>
      <c r="GQ159" s="312"/>
      <c r="GR159" s="312"/>
      <c r="GS159" s="312"/>
      <c r="GT159" s="312"/>
      <c r="GU159" s="312"/>
      <c r="GV159" s="312"/>
      <c r="GW159" s="312"/>
      <c r="GX159" s="312"/>
      <c r="GY159" s="312"/>
    </row>
    <row r="160" spans="2:207" ht="15.75" x14ac:dyDescent="0.25">
      <c r="B160" s="316">
        <f t="shared" ref="B160:B223" si="39">IF(H160="","",ROW()-30)</f>
        <v>130</v>
      </c>
      <c r="C160" s="330">
        <f>'סיכום לוועדה'!B160</f>
        <v>1001350318</v>
      </c>
      <c r="D160" s="330">
        <f>'סיכום לוועדה'!C160</f>
        <v>1001265106</v>
      </c>
      <c r="E160" s="330">
        <f>'סיכום לוועדה'!D160</f>
        <v>40992259</v>
      </c>
      <c r="F160" s="330">
        <f>'סיכום לוועדה'!E160</f>
        <v>20000201</v>
      </c>
      <c r="G160" s="330" t="str">
        <f>'סיכום לוועדה'!F160</f>
        <v>תל אביב -יפו</v>
      </c>
      <c r="H160" s="317" t="str">
        <f>'סיכום לוועדה'!G160</f>
        <v>גלרית תיאטרון החנות</v>
      </c>
      <c r="I160" s="318">
        <f>'סיכום לוועדה'!U160</f>
        <v>200000</v>
      </c>
      <c r="J160" s="319">
        <f>'סיכום לוועדה'!T160</f>
        <v>67516.529501895304</v>
      </c>
      <c r="K160" s="320">
        <f t="shared" ref="K160:K223" si="40">IF(H160="","",IF(J160&gt;$I160,1,0))</f>
        <v>0</v>
      </c>
      <c r="L160" s="319">
        <f t="shared" ref="L160:L223" si="41">IF($H160="","",MIN(I160:J160))</f>
        <v>67516.529501895304</v>
      </c>
      <c r="M160" s="331">
        <f>'תחום תמיכה ב'!AF160</f>
        <v>3.6240563187499335E-4</v>
      </c>
      <c r="N160" s="319">
        <f t="shared" si="38"/>
        <v>73689.932558013708</v>
      </c>
      <c r="O160" s="321">
        <f t="shared" ref="O160:O223" si="42">IF(OR(N160&gt;$I160,$K160=1),1,0)</f>
        <v>0</v>
      </c>
      <c r="P160" s="322">
        <f t="shared" ref="P160:P223" si="43">IF($H160="","",MIN(N160,$I160))</f>
        <v>73689.932558013708</v>
      </c>
      <c r="Q160" s="322">
        <f t="shared" ref="Q160:Q223" si="44">IFERROR(IF($H160="","",IF(O160=1,P160,P160/SUMIF(O$31:O$500,0,P$31:P$500)*($J$501-SUMIF(O$31:O$500,1,P$31:P$500)))),0)</f>
        <v>73723.485530506849</v>
      </c>
      <c r="R160" s="321">
        <f t="shared" ref="R160:R223" si="45">IF(OR(Q160&gt;$I160,$K160=1,$O160=1),1,0)</f>
        <v>0</v>
      </c>
      <c r="S160" s="322">
        <f t="shared" ref="S160:S223" si="46">IF($H160="","",MIN(Q160,$I160))</f>
        <v>73723.485530506849</v>
      </c>
      <c r="T160" s="322">
        <f t="shared" ref="T160:T223" si="47">IFERROR(IF($H160="","",IF(R160=1,S160,S160/SUMIF(R$31:R$500,0,S$31:S$500)*($J$501-SUMIF(R$31:R$500,1,S$31:S$500)))),0)</f>
        <v>73723.485530506703</v>
      </c>
      <c r="U160" s="321">
        <f t="shared" ref="U160:U223" si="48">IF(OR(T160&gt;$I160,$K160=1,$O160=1,$R160=1),1,0)</f>
        <v>0</v>
      </c>
      <c r="V160" s="322">
        <f t="shared" ref="V160:V223" si="49">IF($H160="","",MIN(T160,$I160))</f>
        <v>73723.485530506703</v>
      </c>
      <c r="W160" s="322">
        <f t="shared" ref="W160:W223" si="50">IFERROR(IF($H160="","",IF(U160=2,V160,IF(U160=1,V160,V160/SUMIF(U$31:U$500,0,V$31:V$500)*($J$501-SUMIF(U$31:U$500,1,V$31:V$500)-SUMIF(U$31:U$500,2,V$31:V$500))))),0)</f>
        <v>73723.485530506732</v>
      </c>
      <c r="X160" s="321">
        <f t="shared" ref="X160:X223" si="51">IF(OR(W160&gt;$I160,$K160=1,$O160=1,$R160=1,$U160=1),1,0)</f>
        <v>0</v>
      </c>
      <c r="Y160" s="322">
        <f t="shared" ref="Y160:Y223" si="52">IF($H160="","",MIN(W160,$I160))</f>
        <v>73723.485530506732</v>
      </c>
      <c r="Z160" s="322">
        <f t="shared" ref="Z160:Z223" si="53">IFERROR(IF($H160="","",IF(X160=2,Y160,IF(X160=1,Y160,Y160/SUMIF(X$31:X$500,0,Y$31:Y$500)*($J$501-SUMIF(X$31:X$500,1,Y$31:Y$500)-SUMIF(X$31:X$500,2,Y$31:Y$500))))),0)</f>
        <v>73723.485530506718</v>
      </c>
      <c r="AA160" s="323">
        <f t="shared" ref="AA160:AA223" si="54">IF($H160="","",IF(AI160=0,$AN$1,IFERROR(Z160,$AN$1)))</f>
        <v>73723.485530506718</v>
      </c>
      <c r="AB160" s="323"/>
      <c r="AC160" s="323"/>
      <c r="AD160" s="323"/>
      <c r="AE160" s="323"/>
      <c r="AF160" s="324">
        <f t="shared" ref="AF160:AF223" si="55">IF(H160="","",IFERROR(AA160/SUMIF($AA$31:$AA$500,"&lt;&gt;#DIV/0!"),$AN$1))</f>
        <v>4.2219844550154102E-4</v>
      </c>
      <c r="AG160" s="312"/>
      <c r="AH160" s="312"/>
      <c r="AI160" s="325">
        <f t="shared" ref="AI160:AI223" si="56">IF(H160="",0,IFERROR(IF(I160*1&gt;=0,1,0),0))</f>
        <v>1</v>
      </c>
      <c r="AJ160" s="312"/>
      <c r="AK160" s="312"/>
      <c r="AL160" s="312"/>
      <c r="AM160" s="312"/>
      <c r="AN160" s="312"/>
      <c r="AO160" s="312"/>
      <c r="AP160" s="312"/>
      <c r="AQ160" s="312"/>
      <c r="AR160" s="312"/>
      <c r="AS160" s="312"/>
      <c r="AT160" s="312"/>
      <c r="AU160" s="312"/>
      <c r="AV160" s="312"/>
      <c r="AW160" s="312"/>
      <c r="AX160" s="312"/>
      <c r="AY160" s="312"/>
      <c r="AZ160" s="312"/>
      <c r="BA160" s="312"/>
      <c r="BB160" s="312"/>
      <c r="BC160" s="312"/>
      <c r="BD160" s="312"/>
      <c r="BE160" s="312"/>
      <c r="BF160" s="312"/>
      <c r="BG160" s="312"/>
      <c r="BH160" s="312"/>
      <c r="BI160" s="312"/>
      <c r="BJ160" s="312"/>
      <c r="BK160" s="312"/>
      <c r="BL160" s="312"/>
      <c r="BM160" s="312"/>
      <c r="BN160" s="312"/>
      <c r="BO160" s="312"/>
      <c r="BP160" s="312"/>
      <c r="BQ160" s="312"/>
      <c r="BR160" s="312"/>
      <c r="BS160" s="312"/>
      <c r="BT160" s="312"/>
      <c r="BU160" s="312"/>
      <c r="BV160" s="312"/>
      <c r="BW160" s="312"/>
      <c r="BX160" s="312"/>
      <c r="BY160" s="312"/>
      <c r="BZ160" s="312"/>
      <c r="CA160" s="312"/>
      <c r="CB160" s="312"/>
      <c r="CC160" s="312"/>
      <c r="CD160" s="312"/>
      <c r="CE160" s="312"/>
      <c r="CF160" s="312"/>
      <c r="CG160" s="312"/>
      <c r="CH160" s="312"/>
      <c r="CI160" s="312"/>
      <c r="CJ160" s="312"/>
      <c r="CK160" s="312"/>
      <c r="CL160" s="312"/>
      <c r="CM160" s="312"/>
      <c r="CN160" s="312"/>
      <c r="CO160" s="312"/>
      <c r="CP160" s="312"/>
      <c r="CQ160" s="312"/>
      <c r="CR160" s="312"/>
      <c r="CS160" s="312"/>
      <c r="CT160" s="312"/>
      <c r="CU160" s="312"/>
      <c r="CV160" s="312"/>
      <c r="CW160" s="312"/>
      <c r="CX160" s="312"/>
      <c r="CY160" s="312"/>
      <c r="CZ160" s="312"/>
      <c r="DA160" s="312"/>
      <c r="DB160" s="312"/>
      <c r="DC160" s="312"/>
      <c r="DD160" s="312"/>
      <c r="DE160" s="312"/>
      <c r="DF160" s="312"/>
      <c r="DG160" s="312"/>
      <c r="DH160" s="312"/>
      <c r="DI160" s="312"/>
      <c r="DJ160" s="312"/>
      <c r="DK160" s="312"/>
      <c r="DL160" s="312"/>
      <c r="DM160" s="312"/>
      <c r="DN160" s="312"/>
      <c r="DO160" s="312"/>
      <c r="DP160" s="312"/>
      <c r="DQ160" s="312"/>
      <c r="DR160" s="312"/>
      <c r="DS160" s="312"/>
      <c r="DT160" s="312"/>
      <c r="DU160" s="312"/>
      <c r="DV160" s="312"/>
      <c r="DW160" s="312"/>
      <c r="DX160" s="312"/>
      <c r="DY160" s="312"/>
      <c r="DZ160" s="312"/>
      <c r="EA160" s="312"/>
      <c r="EB160" s="312"/>
      <c r="EC160" s="312"/>
      <c r="ED160" s="312"/>
      <c r="EE160" s="312"/>
      <c r="EF160" s="312"/>
      <c r="EG160" s="312"/>
      <c r="EH160" s="312"/>
      <c r="EI160" s="312"/>
      <c r="EJ160" s="312"/>
      <c r="EK160" s="312"/>
      <c r="EL160" s="312"/>
      <c r="EM160" s="312"/>
      <c r="EN160" s="312"/>
      <c r="EO160" s="312"/>
      <c r="EP160" s="312"/>
      <c r="EQ160" s="312"/>
      <c r="ER160" s="312"/>
      <c r="ES160" s="312"/>
      <c r="ET160" s="312"/>
      <c r="EU160" s="312"/>
      <c r="EV160" s="312"/>
      <c r="EW160" s="312"/>
      <c r="EX160" s="312"/>
      <c r="EY160" s="312"/>
      <c r="EZ160" s="312"/>
      <c r="FA160" s="312"/>
      <c r="FB160" s="312"/>
      <c r="FC160" s="312"/>
      <c r="FD160" s="312"/>
      <c r="FE160" s="312"/>
      <c r="FF160" s="312"/>
      <c r="FG160" s="312"/>
      <c r="FH160" s="312"/>
      <c r="FI160" s="312"/>
      <c r="FJ160" s="312"/>
      <c r="FK160" s="312"/>
      <c r="FL160" s="312"/>
      <c r="FM160" s="312"/>
      <c r="FN160" s="312"/>
      <c r="FO160" s="312"/>
      <c r="FP160" s="312"/>
      <c r="FQ160" s="312"/>
      <c r="FR160" s="312"/>
      <c r="FS160" s="312"/>
      <c r="FT160" s="312"/>
      <c r="FU160" s="312"/>
      <c r="FV160" s="312"/>
      <c r="FW160" s="312"/>
      <c r="FX160" s="312"/>
      <c r="FY160" s="312"/>
      <c r="FZ160" s="312"/>
      <c r="GA160" s="312"/>
      <c r="GB160" s="312"/>
      <c r="GC160" s="312"/>
      <c r="GD160" s="312"/>
      <c r="GE160" s="312"/>
      <c r="GF160" s="312"/>
      <c r="GG160" s="312"/>
      <c r="GH160" s="312"/>
      <c r="GI160" s="312"/>
      <c r="GJ160" s="312"/>
      <c r="GK160" s="312"/>
      <c r="GL160" s="312"/>
      <c r="GM160" s="312"/>
      <c r="GN160" s="312"/>
      <c r="GO160" s="312"/>
      <c r="GP160" s="312"/>
      <c r="GQ160" s="312"/>
      <c r="GR160" s="312"/>
      <c r="GS160" s="312"/>
      <c r="GT160" s="312"/>
      <c r="GU160" s="312"/>
      <c r="GV160" s="312"/>
      <c r="GW160" s="312"/>
      <c r="GX160" s="312"/>
      <c r="GY160" s="312"/>
    </row>
    <row r="161" spans="2:207" ht="15.75" x14ac:dyDescent="0.25">
      <c r="B161" s="316">
        <f t="shared" si="39"/>
        <v>131</v>
      </c>
      <c r="C161" s="330">
        <f>'סיכום לוועדה'!B161</f>
        <v>1001347256</v>
      </c>
      <c r="D161" s="330">
        <f>'סיכום לוועדה'!C161</f>
        <v>1001268258</v>
      </c>
      <c r="E161" s="330">
        <f>'סיכום לוועדה'!D161</f>
        <v>41484317</v>
      </c>
      <c r="F161" s="330">
        <f>'סיכום לוועדה'!E161</f>
        <v>20000201</v>
      </c>
      <c r="G161" s="330" t="str">
        <f>'סיכום לוועדה'!F161</f>
        <v>תל אביב -יפו</v>
      </c>
      <c r="H161" s="317" t="str">
        <f>'סיכום לוועדה'!G161</f>
        <v>קידום נתיב אמן</v>
      </c>
      <c r="I161" s="318">
        <f>'סיכום לוועדה'!U161</f>
        <v>1000000</v>
      </c>
      <c r="J161" s="319">
        <f>'סיכום לוועדה'!T161</f>
        <v>113495.87500253769</v>
      </c>
      <c r="K161" s="320">
        <f t="shared" si="40"/>
        <v>0</v>
      </c>
      <c r="L161" s="319">
        <f t="shared" si="41"/>
        <v>113495.87500253769</v>
      </c>
      <c r="M161" s="331">
        <f>'תחום תמיכה ב'!AF161</f>
        <v>8.4211031537623942E-4</v>
      </c>
      <c r="N161" s="319">
        <f t="shared" si="38"/>
        <v>127840.81320792882</v>
      </c>
      <c r="O161" s="321">
        <f t="shared" si="42"/>
        <v>0</v>
      </c>
      <c r="P161" s="322">
        <f t="shared" si="43"/>
        <v>127840.81320792882</v>
      </c>
      <c r="Q161" s="322">
        <f t="shared" si="44"/>
        <v>127899.02250654217</v>
      </c>
      <c r="R161" s="321">
        <f t="shared" si="45"/>
        <v>0</v>
      </c>
      <c r="S161" s="322">
        <f t="shared" si="46"/>
        <v>127899.02250654217</v>
      </c>
      <c r="T161" s="322">
        <f t="shared" si="47"/>
        <v>127899.02250654191</v>
      </c>
      <c r="U161" s="321">
        <f t="shared" si="48"/>
        <v>0</v>
      </c>
      <c r="V161" s="322">
        <f t="shared" si="49"/>
        <v>127899.02250654191</v>
      </c>
      <c r="W161" s="322">
        <f t="shared" si="50"/>
        <v>127899.02250654195</v>
      </c>
      <c r="X161" s="321">
        <f t="shared" si="51"/>
        <v>0</v>
      </c>
      <c r="Y161" s="322">
        <f t="shared" si="52"/>
        <v>127899.02250654195</v>
      </c>
      <c r="Z161" s="322">
        <f t="shared" si="53"/>
        <v>127899.02250654192</v>
      </c>
      <c r="AA161" s="323">
        <f t="shared" si="54"/>
        <v>127899.02250654192</v>
      </c>
      <c r="AB161" s="323"/>
      <c r="AC161" s="323"/>
      <c r="AD161" s="323"/>
      <c r="AE161" s="323"/>
      <c r="AF161" s="324">
        <f t="shared" si="55"/>
        <v>7.3245002043594314E-4</v>
      </c>
      <c r="AG161" s="312"/>
      <c r="AH161" s="312"/>
      <c r="AI161" s="325">
        <f t="shared" si="56"/>
        <v>1</v>
      </c>
      <c r="AJ161" s="312"/>
      <c r="AK161" s="312"/>
      <c r="AL161" s="312"/>
      <c r="AM161" s="312"/>
      <c r="AN161" s="312"/>
      <c r="AO161" s="312"/>
      <c r="AP161" s="312"/>
      <c r="AQ161" s="312"/>
      <c r="AR161" s="312"/>
      <c r="AS161" s="312"/>
      <c r="AT161" s="312"/>
      <c r="AU161" s="312"/>
      <c r="AV161" s="312"/>
      <c r="AW161" s="312"/>
      <c r="AX161" s="312"/>
      <c r="AY161" s="312"/>
      <c r="AZ161" s="312"/>
      <c r="BA161" s="312"/>
      <c r="BB161" s="312"/>
      <c r="BC161" s="312"/>
      <c r="BD161" s="312"/>
      <c r="BE161" s="312"/>
      <c r="BF161" s="312"/>
      <c r="BG161" s="312"/>
      <c r="BH161" s="312"/>
      <c r="BI161" s="312"/>
      <c r="BJ161" s="312"/>
      <c r="BK161" s="312"/>
      <c r="BL161" s="312"/>
      <c r="BM161" s="312"/>
      <c r="BN161" s="312"/>
      <c r="BO161" s="312"/>
      <c r="BP161" s="312"/>
      <c r="BQ161" s="312"/>
      <c r="BR161" s="312"/>
      <c r="BS161" s="312"/>
      <c r="BT161" s="312"/>
      <c r="BU161" s="312"/>
      <c r="BV161" s="312"/>
      <c r="BW161" s="312"/>
      <c r="BX161" s="312"/>
      <c r="BY161" s="312"/>
      <c r="BZ161" s="312"/>
      <c r="CA161" s="312"/>
      <c r="CB161" s="312"/>
      <c r="CC161" s="312"/>
      <c r="CD161" s="312"/>
      <c r="CE161" s="312"/>
      <c r="CF161" s="312"/>
      <c r="CG161" s="312"/>
      <c r="CH161" s="312"/>
      <c r="CI161" s="312"/>
      <c r="CJ161" s="312"/>
      <c r="CK161" s="312"/>
      <c r="CL161" s="312"/>
      <c r="CM161" s="312"/>
      <c r="CN161" s="312"/>
      <c r="CO161" s="312"/>
      <c r="CP161" s="312"/>
      <c r="CQ161" s="312"/>
      <c r="CR161" s="312"/>
      <c r="CS161" s="312"/>
      <c r="CT161" s="312"/>
      <c r="CU161" s="312"/>
      <c r="CV161" s="312"/>
      <c r="CW161" s="312"/>
      <c r="CX161" s="312"/>
      <c r="CY161" s="312"/>
      <c r="CZ161" s="312"/>
      <c r="DA161" s="312"/>
      <c r="DB161" s="312"/>
      <c r="DC161" s="312"/>
      <c r="DD161" s="312"/>
      <c r="DE161" s="312"/>
      <c r="DF161" s="312"/>
      <c r="DG161" s="312"/>
      <c r="DH161" s="312"/>
      <c r="DI161" s="312"/>
      <c r="DJ161" s="312"/>
      <c r="DK161" s="312"/>
      <c r="DL161" s="312"/>
      <c r="DM161" s="312"/>
      <c r="DN161" s="312"/>
      <c r="DO161" s="312"/>
      <c r="DP161" s="312"/>
      <c r="DQ161" s="312"/>
      <c r="DR161" s="312"/>
      <c r="DS161" s="312"/>
      <c r="DT161" s="312"/>
      <c r="DU161" s="312"/>
      <c r="DV161" s="312"/>
      <c r="DW161" s="312"/>
      <c r="DX161" s="312"/>
      <c r="DY161" s="312"/>
      <c r="DZ161" s="312"/>
      <c r="EA161" s="312"/>
      <c r="EB161" s="312"/>
      <c r="EC161" s="312"/>
      <c r="ED161" s="312"/>
      <c r="EE161" s="312"/>
      <c r="EF161" s="312"/>
      <c r="EG161" s="312"/>
      <c r="EH161" s="312"/>
      <c r="EI161" s="312"/>
      <c r="EJ161" s="312"/>
      <c r="EK161" s="312"/>
      <c r="EL161" s="312"/>
      <c r="EM161" s="312"/>
      <c r="EN161" s="312"/>
      <c r="EO161" s="312"/>
      <c r="EP161" s="312"/>
      <c r="EQ161" s="312"/>
      <c r="ER161" s="312"/>
      <c r="ES161" s="312"/>
      <c r="ET161" s="312"/>
      <c r="EU161" s="312"/>
      <c r="EV161" s="312"/>
      <c r="EW161" s="312"/>
      <c r="EX161" s="312"/>
      <c r="EY161" s="312"/>
      <c r="EZ161" s="312"/>
      <c r="FA161" s="312"/>
      <c r="FB161" s="312"/>
      <c r="FC161" s="312"/>
      <c r="FD161" s="312"/>
      <c r="FE161" s="312"/>
      <c r="FF161" s="312"/>
      <c r="FG161" s="312"/>
      <c r="FH161" s="312"/>
      <c r="FI161" s="312"/>
      <c r="FJ161" s="312"/>
      <c r="FK161" s="312"/>
      <c r="FL161" s="312"/>
      <c r="FM161" s="312"/>
      <c r="FN161" s="312"/>
      <c r="FO161" s="312"/>
      <c r="FP161" s="312"/>
      <c r="FQ161" s="312"/>
      <c r="FR161" s="312"/>
      <c r="FS161" s="312"/>
      <c r="FT161" s="312"/>
      <c r="FU161" s="312"/>
      <c r="FV161" s="312"/>
      <c r="FW161" s="312"/>
      <c r="FX161" s="312"/>
      <c r="FY161" s="312"/>
      <c r="FZ161" s="312"/>
      <c r="GA161" s="312"/>
      <c r="GB161" s="312"/>
      <c r="GC161" s="312"/>
      <c r="GD161" s="312"/>
      <c r="GE161" s="312"/>
      <c r="GF161" s="312"/>
      <c r="GG161" s="312"/>
      <c r="GH161" s="312"/>
      <c r="GI161" s="312"/>
      <c r="GJ161" s="312"/>
      <c r="GK161" s="312"/>
      <c r="GL161" s="312"/>
      <c r="GM161" s="312"/>
      <c r="GN161" s="312"/>
      <c r="GO161" s="312"/>
      <c r="GP161" s="312"/>
      <c r="GQ161" s="312"/>
      <c r="GR161" s="312"/>
      <c r="GS161" s="312"/>
      <c r="GT161" s="312"/>
      <c r="GU161" s="312"/>
      <c r="GV161" s="312"/>
      <c r="GW161" s="312"/>
      <c r="GX161" s="312"/>
      <c r="GY161" s="312"/>
    </row>
    <row r="162" spans="2:207" ht="15.75" x14ac:dyDescent="0.25">
      <c r="B162" s="316">
        <f t="shared" si="39"/>
        <v>132</v>
      </c>
      <c r="C162" s="330">
        <f>'סיכום לוועדה'!B162</f>
        <v>1001350329</v>
      </c>
      <c r="D162" s="330">
        <f>'סיכום לוועדה'!C162</f>
        <v>1001302334</v>
      </c>
      <c r="E162" s="330">
        <f>'סיכום לוועדה'!D162</f>
        <v>41484318</v>
      </c>
      <c r="F162" s="330">
        <f>'סיכום לוועדה'!E162</f>
        <v>20000182</v>
      </c>
      <c r="G162" s="330" t="str">
        <f>'סיכום לוועדה'!F162</f>
        <v>חיפה</v>
      </c>
      <c r="H162" s="317" t="str">
        <f>'סיכום לוועדה'!G162</f>
        <v>תיאטרון אלמג'ד</v>
      </c>
      <c r="I162" s="318">
        <f>'סיכום לוועדה'!U162</f>
        <v>1300000</v>
      </c>
      <c r="J162" s="319">
        <f>'סיכום לוועדה'!T162</f>
        <v>53554.892776487235</v>
      </c>
      <c r="K162" s="320">
        <f t="shared" si="40"/>
        <v>0</v>
      </c>
      <c r="L162" s="319">
        <f t="shared" si="41"/>
        <v>53554.892776487235</v>
      </c>
      <c r="M162" s="331">
        <f>'תחום תמיכה ב'!AF162</f>
        <v>3.1259821036059616E-4</v>
      </c>
      <c r="N162" s="319">
        <f t="shared" si="38"/>
        <v>58879.850717104731</v>
      </c>
      <c r="O162" s="321">
        <f t="shared" si="42"/>
        <v>0</v>
      </c>
      <c r="P162" s="322">
        <f t="shared" si="43"/>
        <v>58879.850717104731</v>
      </c>
      <c r="Q162" s="322">
        <f t="shared" si="44"/>
        <v>58906.660268191728</v>
      </c>
      <c r="R162" s="321">
        <f t="shared" si="45"/>
        <v>0</v>
      </c>
      <c r="S162" s="322">
        <f t="shared" si="46"/>
        <v>58906.660268191728</v>
      </c>
      <c r="T162" s="322">
        <f t="shared" si="47"/>
        <v>58906.660268191605</v>
      </c>
      <c r="U162" s="321">
        <f t="shared" si="48"/>
        <v>0</v>
      </c>
      <c r="V162" s="322">
        <f t="shared" si="49"/>
        <v>58906.660268191605</v>
      </c>
      <c r="W162" s="322">
        <f t="shared" si="50"/>
        <v>58906.660268191627</v>
      </c>
      <c r="X162" s="321">
        <f t="shared" si="51"/>
        <v>0</v>
      </c>
      <c r="Y162" s="322">
        <f t="shared" si="52"/>
        <v>58906.660268191627</v>
      </c>
      <c r="Z162" s="322">
        <f t="shared" si="53"/>
        <v>58906.660268191619</v>
      </c>
      <c r="AA162" s="323">
        <f t="shared" si="54"/>
        <v>58906.660268191619</v>
      </c>
      <c r="AB162" s="323"/>
      <c r="AC162" s="323"/>
      <c r="AD162" s="323"/>
      <c r="AE162" s="323"/>
      <c r="AF162" s="324">
        <f t="shared" si="55"/>
        <v>3.3734569406144776E-4</v>
      </c>
      <c r="AG162" s="312"/>
      <c r="AH162" s="312"/>
      <c r="AI162" s="325">
        <f t="shared" si="56"/>
        <v>1</v>
      </c>
      <c r="AJ162" s="312"/>
      <c r="AK162" s="312"/>
      <c r="AL162" s="312"/>
      <c r="AM162" s="312"/>
      <c r="AN162" s="312"/>
      <c r="AO162" s="312"/>
      <c r="AP162" s="312"/>
      <c r="AQ162" s="312"/>
      <c r="AR162" s="312"/>
      <c r="AS162" s="312"/>
      <c r="AT162" s="312"/>
      <c r="AU162" s="312"/>
      <c r="AV162" s="312"/>
      <c r="AW162" s="312"/>
      <c r="AX162" s="312"/>
      <c r="AY162" s="312"/>
      <c r="AZ162" s="312"/>
      <c r="BA162" s="312"/>
      <c r="BB162" s="312"/>
      <c r="BC162" s="312"/>
      <c r="BD162" s="312"/>
      <c r="BE162" s="312"/>
      <c r="BF162" s="312"/>
      <c r="BG162" s="312"/>
      <c r="BH162" s="312"/>
      <c r="BI162" s="312"/>
      <c r="BJ162" s="312"/>
      <c r="BK162" s="312"/>
      <c r="BL162" s="312"/>
      <c r="BM162" s="312"/>
      <c r="BN162" s="312"/>
      <c r="BO162" s="312"/>
      <c r="BP162" s="312"/>
      <c r="BQ162" s="312"/>
      <c r="BR162" s="312"/>
      <c r="BS162" s="312"/>
      <c r="BT162" s="312"/>
      <c r="BU162" s="312"/>
      <c r="BV162" s="312"/>
      <c r="BW162" s="312"/>
      <c r="BX162" s="312"/>
      <c r="BY162" s="312"/>
      <c r="BZ162" s="312"/>
      <c r="CA162" s="312"/>
      <c r="CB162" s="312"/>
      <c r="CC162" s="312"/>
      <c r="CD162" s="312"/>
      <c r="CE162" s="312"/>
      <c r="CF162" s="312"/>
      <c r="CG162" s="312"/>
      <c r="CH162" s="312"/>
      <c r="CI162" s="312"/>
      <c r="CJ162" s="312"/>
      <c r="CK162" s="312"/>
      <c r="CL162" s="312"/>
      <c r="CM162" s="312"/>
      <c r="CN162" s="312"/>
      <c r="CO162" s="312"/>
      <c r="CP162" s="312"/>
      <c r="CQ162" s="312"/>
      <c r="CR162" s="312"/>
      <c r="CS162" s="312"/>
      <c r="CT162" s="312"/>
      <c r="CU162" s="312"/>
      <c r="CV162" s="312"/>
      <c r="CW162" s="312"/>
      <c r="CX162" s="312"/>
      <c r="CY162" s="312"/>
      <c r="CZ162" s="312"/>
      <c r="DA162" s="312"/>
      <c r="DB162" s="312"/>
      <c r="DC162" s="312"/>
      <c r="DD162" s="312"/>
      <c r="DE162" s="312"/>
      <c r="DF162" s="312"/>
      <c r="DG162" s="312"/>
      <c r="DH162" s="312"/>
      <c r="DI162" s="312"/>
      <c r="DJ162" s="312"/>
      <c r="DK162" s="312"/>
      <c r="DL162" s="312"/>
      <c r="DM162" s="312"/>
      <c r="DN162" s="312"/>
      <c r="DO162" s="312"/>
      <c r="DP162" s="312"/>
      <c r="DQ162" s="312"/>
      <c r="DR162" s="312"/>
      <c r="DS162" s="312"/>
      <c r="DT162" s="312"/>
      <c r="DU162" s="312"/>
      <c r="DV162" s="312"/>
      <c r="DW162" s="312"/>
      <c r="DX162" s="312"/>
      <c r="DY162" s="312"/>
      <c r="DZ162" s="312"/>
      <c r="EA162" s="312"/>
      <c r="EB162" s="312"/>
      <c r="EC162" s="312"/>
      <c r="ED162" s="312"/>
      <c r="EE162" s="312"/>
      <c r="EF162" s="312"/>
      <c r="EG162" s="312"/>
      <c r="EH162" s="312"/>
      <c r="EI162" s="312"/>
      <c r="EJ162" s="312"/>
      <c r="EK162" s="312"/>
      <c r="EL162" s="312"/>
      <c r="EM162" s="312"/>
      <c r="EN162" s="312"/>
      <c r="EO162" s="312"/>
      <c r="EP162" s="312"/>
      <c r="EQ162" s="312"/>
      <c r="ER162" s="312"/>
      <c r="ES162" s="312"/>
      <c r="ET162" s="312"/>
      <c r="EU162" s="312"/>
      <c r="EV162" s="312"/>
      <c r="EW162" s="312"/>
      <c r="EX162" s="312"/>
      <c r="EY162" s="312"/>
      <c r="EZ162" s="312"/>
      <c r="FA162" s="312"/>
      <c r="FB162" s="312"/>
      <c r="FC162" s="312"/>
      <c r="FD162" s="312"/>
      <c r="FE162" s="312"/>
      <c r="FF162" s="312"/>
      <c r="FG162" s="312"/>
      <c r="FH162" s="312"/>
      <c r="FI162" s="312"/>
      <c r="FJ162" s="312"/>
      <c r="FK162" s="312"/>
      <c r="FL162" s="312"/>
      <c r="FM162" s="312"/>
      <c r="FN162" s="312"/>
      <c r="FO162" s="312"/>
      <c r="FP162" s="312"/>
      <c r="FQ162" s="312"/>
      <c r="FR162" s="312"/>
      <c r="FS162" s="312"/>
      <c r="FT162" s="312"/>
      <c r="FU162" s="312"/>
      <c r="FV162" s="312"/>
      <c r="FW162" s="312"/>
      <c r="FX162" s="312"/>
      <c r="FY162" s="312"/>
      <c r="FZ162" s="312"/>
      <c r="GA162" s="312"/>
      <c r="GB162" s="312"/>
      <c r="GC162" s="312"/>
      <c r="GD162" s="312"/>
      <c r="GE162" s="312"/>
      <c r="GF162" s="312"/>
      <c r="GG162" s="312"/>
      <c r="GH162" s="312"/>
      <c r="GI162" s="312"/>
      <c r="GJ162" s="312"/>
      <c r="GK162" s="312"/>
      <c r="GL162" s="312"/>
      <c r="GM162" s="312"/>
      <c r="GN162" s="312"/>
      <c r="GO162" s="312"/>
      <c r="GP162" s="312"/>
      <c r="GQ162" s="312"/>
      <c r="GR162" s="312"/>
      <c r="GS162" s="312"/>
      <c r="GT162" s="312"/>
      <c r="GU162" s="312"/>
      <c r="GV162" s="312"/>
      <c r="GW162" s="312"/>
      <c r="GX162" s="312"/>
      <c r="GY162" s="312"/>
    </row>
    <row r="163" spans="2:207" ht="15.75" x14ac:dyDescent="0.25">
      <c r="B163" s="316">
        <f t="shared" si="39"/>
        <v>133</v>
      </c>
      <c r="C163" s="330">
        <f>'סיכום לוועדה'!B163</f>
        <v>1001349802</v>
      </c>
      <c r="D163" s="330">
        <f>'סיכום לוועדה'!C163</f>
        <v>1001290463</v>
      </c>
      <c r="E163" s="330">
        <f>'סיכום לוועדה'!D163</f>
        <v>41484540</v>
      </c>
      <c r="F163" s="330">
        <f>'סיכום לוועדה'!E163</f>
        <v>20000231</v>
      </c>
      <c r="G163" s="330" t="str">
        <f>'סיכום לוועדה'!F163</f>
        <v>נצרת</v>
      </c>
      <c r="H163" s="317" t="str">
        <f>'סיכום לוועדה'!G163</f>
        <v>להקת מחול ביסאן</v>
      </c>
      <c r="I163" s="318">
        <f>'סיכום לוועדה'!U163</f>
        <v>577897</v>
      </c>
      <c r="J163" s="319">
        <f>'סיכום לוועדה'!T163</f>
        <v>62625.903445409924</v>
      </c>
      <c r="K163" s="320">
        <f t="shared" si="40"/>
        <v>0</v>
      </c>
      <c r="L163" s="319">
        <f t="shared" si="41"/>
        <v>62625.903445409924</v>
      </c>
      <c r="M163" s="331">
        <f>'תחום תמיכה ב'!AF163</f>
        <v>4.7022966829310983E-4</v>
      </c>
      <c r="N163" s="319">
        <f t="shared" si="38"/>
        <v>70636.036335175682</v>
      </c>
      <c r="O163" s="321">
        <f t="shared" si="42"/>
        <v>0</v>
      </c>
      <c r="P163" s="322">
        <f t="shared" si="43"/>
        <v>70636.036335175682</v>
      </c>
      <c r="Q163" s="322">
        <f t="shared" si="44"/>
        <v>70668.198788063179</v>
      </c>
      <c r="R163" s="321">
        <f t="shared" si="45"/>
        <v>0</v>
      </c>
      <c r="S163" s="322">
        <f t="shared" si="46"/>
        <v>70668.198788063179</v>
      </c>
      <c r="T163" s="322">
        <f t="shared" si="47"/>
        <v>70668.198788063033</v>
      </c>
      <c r="U163" s="321">
        <f t="shared" si="48"/>
        <v>0</v>
      </c>
      <c r="V163" s="322">
        <f t="shared" si="49"/>
        <v>70668.198788063033</v>
      </c>
      <c r="W163" s="322">
        <f t="shared" si="50"/>
        <v>70668.198788063062</v>
      </c>
      <c r="X163" s="321">
        <f t="shared" si="51"/>
        <v>0</v>
      </c>
      <c r="Y163" s="322">
        <f t="shared" si="52"/>
        <v>70668.198788063062</v>
      </c>
      <c r="Z163" s="322">
        <f t="shared" si="53"/>
        <v>70668.198788063048</v>
      </c>
      <c r="AA163" s="323">
        <f t="shared" si="54"/>
        <v>70668.198788063048</v>
      </c>
      <c r="AB163" s="323"/>
      <c r="AC163" s="323"/>
      <c r="AD163" s="323"/>
      <c r="AE163" s="323"/>
      <c r="AF163" s="324">
        <f t="shared" si="55"/>
        <v>4.0470147958981116E-4</v>
      </c>
      <c r="AG163" s="312"/>
      <c r="AH163" s="312"/>
      <c r="AI163" s="325">
        <f t="shared" si="56"/>
        <v>1</v>
      </c>
      <c r="AJ163" s="312"/>
      <c r="AK163" s="312"/>
      <c r="AL163" s="312"/>
      <c r="AM163" s="312"/>
      <c r="AN163" s="312"/>
      <c r="AO163" s="312"/>
      <c r="AP163" s="312"/>
      <c r="AQ163" s="312"/>
      <c r="AR163" s="312"/>
      <c r="AS163" s="312"/>
      <c r="AT163" s="312"/>
      <c r="AU163" s="312"/>
      <c r="AV163" s="312"/>
      <c r="AW163" s="312"/>
      <c r="AX163" s="312"/>
      <c r="AY163" s="312"/>
      <c r="AZ163" s="312"/>
      <c r="BA163" s="312"/>
      <c r="BB163" s="312"/>
      <c r="BC163" s="312"/>
      <c r="BD163" s="312"/>
      <c r="BE163" s="312"/>
      <c r="BF163" s="312"/>
      <c r="BG163" s="312"/>
      <c r="BH163" s="312"/>
      <c r="BI163" s="312"/>
      <c r="BJ163" s="312"/>
      <c r="BK163" s="312"/>
      <c r="BL163" s="312"/>
      <c r="BM163" s="312"/>
      <c r="BN163" s="312"/>
      <c r="BO163" s="312"/>
      <c r="BP163" s="312"/>
      <c r="BQ163" s="312"/>
      <c r="BR163" s="312"/>
      <c r="BS163" s="312"/>
      <c r="BT163" s="312"/>
      <c r="BU163" s="312"/>
      <c r="BV163" s="312"/>
      <c r="BW163" s="312"/>
      <c r="BX163" s="312"/>
      <c r="BY163" s="312"/>
      <c r="BZ163" s="312"/>
      <c r="CA163" s="312"/>
      <c r="CB163" s="312"/>
      <c r="CC163" s="312"/>
      <c r="CD163" s="312"/>
      <c r="CE163" s="312"/>
      <c r="CF163" s="312"/>
      <c r="CG163" s="312"/>
      <c r="CH163" s="312"/>
      <c r="CI163" s="312"/>
      <c r="CJ163" s="312"/>
      <c r="CK163" s="312"/>
      <c r="CL163" s="312"/>
      <c r="CM163" s="312"/>
      <c r="CN163" s="312"/>
      <c r="CO163" s="312"/>
      <c r="CP163" s="312"/>
      <c r="CQ163" s="312"/>
      <c r="CR163" s="312"/>
      <c r="CS163" s="312"/>
      <c r="CT163" s="312"/>
      <c r="CU163" s="312"/>
      <c r="CV163" s="312"/>
      <c r="CW163" s="312"/>
      <c r="CX163" s="312"/>
      <c r="CY163" s="312"/>
      <c r="CZ163" s="312"/>
      <c r="DA163" s="312"/>
      <c r="DB163" s="312"/>
      <c r="DC163" s="312"/>
      <c r="DD163" s="312"/>
      <c r="DE163" s="312"/>
      <c r="DF163" s="312"/>
      <c r="DG163" s="312"/>
      <c r="DH163" s="312"/>
      <c r="DI163" s="312"/>
      <c r="DJ163" s="312"/>
      <c r="DK163" s="312"/>
      <c r="DL163" s="312"/>
      <c r="DM163" s="312"/>
      <c r="DN163" s="312"/>
      <c r="DO163" s="312"/>
      <c r="DP163" s="312"/>
      <c r="DQ163" s="312"/>
      <c r="DR163" s="312"/>
      <c r="DS163" s="312"/>
      <c r="DT163" s="312"/>
      <c r="DU163" s="312"/>
      <c r="DV163" s="312"/>
      <c r="DW163" s="312"/>
      <c r="DX163" s="312"/>
      <c r="DY163" s="312"/>
      <c r="DZ163" s="312"/>
      <c r="EA163" s="312"/>
      <c r="EB163" s="312"/>
      <c r="EC163" s="312"/>
      <c r="ED163" s="312"/>
      <c r="EE163" s="312"/>
      <c r="EF163" s="312"/>
      <c r="EG163" s="312"/>
      <c r="EH163" s="312"/>
      <c r="EI163" s="312"/>
      <c r="EJ163" s="312"/>
      <c r="EK163" s="312"/>
      <c r="EL163" s="312"/>
      <c r="EM163" s="312"/>
      <c r="EN163" s="312"/>
      <c r="EO163" s="312"/>
      <c r="EP163" s="312"/>
      <c r="EQ163" s="312"/>
      <c r="ER163" s="312"/>
      <c r="ES163" s="312"/>
      <c r="ET163" s="312"/>
      <c r="EU163" s="312"/>
      <c r="EV163" s="312"/>
      <c r="EW163" s="312"/>
      <c r="EX163" s="312"/>
      <c r="EY163" s="312"/>
      <c r="EZ163" s="312"/>
      <c r="FA163" s="312"/>
      <c r="FB163" s="312"/>
      <c r="FC163" s="312"/>
      <c r="FD163" s="312"/>
      <c r="FE163" s="312"/>
      <c r="FF163" s="312"/>
      <c r="FG163" s="312"/>
      <c r="FH163" s="312"/>
      <c r="FI163" s="312"/>
      <c r="FJ163" s="312"/>
      <c r="FK163" s="312"/>
      <c r="FL163" s="312"/>
      <c r="FM163" s="312"/>
      <c r="FN163" s="312"/>
      <c r="FO163" s="312"/>
      <c r="FP163" s="312"/>
      <c r="FQ163" s="312"/>
      <c r="FR163" s="312"/>
      <c r="FS163" s="312"/>
      <c r="FT163" s="312"/>
      <c r="FU163" s="312"/>
      <c r="FV163" s="312"/>
      <c r="FW163" s="312"/>
      <c r="FX163" s="312"/>
      <c r="FY163" s="312"/>
      <c r="FZ163" s="312"/>
      <c r="GA163" s="312"/>
      <c r="GB163" s="312"/>
      <c r="GC163" s="312"/>
      <c r="GD163" s="312"/>
      <c r="GE163" s="312"/>
      <c r="GF163" s="312"/>
      <c r="GG163" s="312"/>
      <c r="GH163" s="312"/>
      <c r="GI163" s="312"/>
      <c r="GJ163" s="312"/>
      <c r="GK163" s="312"/>
      <c r="GL163" s="312"/>
      <c r="GM163" s="312"/>
      <c r="GN163" s="312"/>
      <c r="GO163" s="312"/>
      <c r="GP163" s="312"/>
      <c r="GQ163" s="312"/>
      <c r="GR163" s="312"/>
      <c r="GS163" s="312"/>
      <c r="GT163" s="312"/>
      <c r="GU163" s="312"/>
      <c r="GV163" s="312"/>
      <c r="GW163" s="312"/>
      <c r="GX163" s="312"/>
      <c r="GY163" s="312"/>
    </row>
    <row r="164" spans="2:207" ht="15.75" x14ac:dyDescent="0.25">
      <c r="B164" s="316">
        <f t="shared" si="39"/>
        <v>134</v>
      </c>
      <c r="C164" s="330">
        <f>'סיכום לוועדה'!B164</f>
        <v>1001348957</v>
      </c>
      <c r="D164" s="330">
        <f>'סיכום לוועדה'!C164</f>
        <v>1001274725</v>
      </c>
      <c r="E164" s="330">
        <f>'סיכום לוועדה'!D164</f>
        <v>40993419</v>
      </c>
      <c r="F164" s="330">
        <f>'סיכום לוועדה'!E164</f>
        <v>20000182</v>
      </c>
      <c r="G164" s="330" t="str">
        <f>'סיכום לוועדה'!F164</f>
        <v>חיפה</v>
      </c>
      <c r="H164" s="317" t="str">
        <f>'סיכום לוועדה'!G164</f>
        <v>התאטרון העברי - עמותה לטיפוח תרבות עברית</v>
      </c>
      <c r="I164" s="318">
        <f>'סיכום לוועדה'!U164</f>
        <v>1118000</v>
      </c>
      <c r="J164" s="319">
        <f>'סיכום לוועדה'!T164</f>
        <v>1217491.3809693246</v>
      </c>
      <c r="K164" s="320">
        <f t="shared" si="40"/>
        <v>1</v>
      </c>
      <c r="L164" s="319">
        <f t="shared" si="41"/>
        <v>1118000</v>
      </c>
      <c r="M164" s="331">
        <f>'תחום תמיכה ב'!AF164</f>
        <v>8.7216545681032386E-3</v>
      </c>
      <c r="N164" s="319">
        <f t="shared" si="38"/>
        <v>1118000</v>
      </c>
      <c r="O164" s="321">
        <f t="shared" si="42"/>
        <v>1</v>
      </c>
      <c r="P164" s="322">
        <f t="shared" si="43"/>
        <v>1118000</v>
      </c>
      <c r="Q164" s="322">
        <f t="shared" si="44"/>
        <v>1118000</v>
      </c>
      <c r="R164" s="321">
        <f t="shared" si="45"/>
        <v>1</v>
      </c>
      <c r="S164" s="322">
        <f t="shared" si="46"/>
        <v>1118000</v>
      </c>
      <c r="T164" s="322">
        <f t="shared" si="47"/>
        <v>1118000</v>
      </c>
      <c r="U164" s="321">
        <f t="shared" si="48"/>
        <v>1</v>
      </c>
      <c r="V164" s="322">
        <f t="shared" si="49"/>
        <v>1118000</v>
      </c>
      <c r="W164" s="322">
        <f t="shared" si="50"/>
        <v>1118000</v>
      </c>
      <c r="X164" s="321">
        <f t="shared" si="51"/>
        <v>1</v>
      </c>
      <c r="Y164" s="322">
        <f t="shared" si="52"/>
        <v>1118000</v>
      </c>
      <c r="Z164" s="322">
        <f t="shared" si="53"/>
        <v>1118000</v>
      </c>
      <c r="AA164" s="323">
        <f t="shared" si="54"/>
        <v>1118000</v>
      </c>
      <c r="AB164" s="323"/>
      <c r="AC164" s="323"/>
      <c r="AD164" s="323"/>
      <c r="AE164" s="323"/>
      <c r="AF164" s="324">
        <f t="shared" si="55"/>
        <v>6.4025440288685512E-3</v>
      </c>
      <c r="AG164" s="312"/>
      <c r="AH164" s="312"/>
      <c r="AI164" s="325">
        <f t="shared" si="56"/>
        <v>1</v>
      </c>
      <c r="AJ164" s="312"/>
      <c r="AK164" s="312"/>
      <c r="AL164" s="312"/>
      <c r="AM164" s="312"/>
      <c r="AN164" s="312"/>
      <c r="AO164" s="312"/>
      <c r="AP164" s="312"/>
      <c r="AQ164" s="312"/>
      <c r="AR164" s="312"/>
      <c r="AS164" s="312"/>
      <c r="AT164" s="312"/>
      <c r="AU164" s="312"/>
      <c r="AV164" s="312"/>
      <c r="AW164" s="312"/>
      <c r="AX164" s="312"/>
      <c r="AY164" s="312"/>
      <c r="AZ164" s="312"/>
      <c r="BA164" s="312"/>
      <c r="BB164" s="312"/>
      <c r="BC164" s="312"/>
      <c r="BD164" s="312"/>
      <c r="BE164" s="312"/>
      <c r="BF164" s="312"/>
      <c r="BG164" s="312"/>
      <c r="BH164" s="312"/>
      <c r="BI164" s="312"/>
      <c r="BJ164" s="312"/>
      <c r="BK164" s="312"/>
      <c r="BL164" s="312"/>
      <c r="BM164" s="312"/>
      <c r="BN164" s="312"/>
      <c r="BO164" s="312"/>
      <c r="BP164" s="312"/>
      <c r="BQ164" s="312"/>
      <c r="BR164" s="312"/>
      <c r="BS164" s="312"/>
      <c r="BT164" s="312"/>
      <c r="BU164" s="312"/>
      <c r="BV164" s="312"/>
      <c r="BW164" s="312"/>
      <c r="BX164" s="312"/>
      <c r="BY164" s="312"/>
      <c r="BZ164" s="312"/>
      <c r="CA164" s="312"/>
      <c r="CB164" s="312"/>
      <c r="CC164" s="312"/>
      <c r="CD164" s="312"/>
      <c r="CE164" s="312"/>
      <c r="CF164" s="312"/>
      <c r="CG164" s="312"/>
      <c r="CH164" s="312"/>
      <c r="CI164" s="312"/>
      <c r="CJ164" s="312"/>
      <c r="CK164" s="312"/>
      <c r="CL164" s="312"/>
      <c r="CM164" s="312"/>
      <c r="CN164" s="312"/>
      <c r="CO164" s="312"/>
      <c r="CP164" s="312"/>
      <c r="CQ164" s="312"/>
      <c r="CR164" s="312"/>
      <c r="CS164" s="312"/>
      <c r="CT164" s="312"/>
      <c r="CU164" s="312"/>
      <c r="CV164" s="312"/>
      <c r="CW164" s="312"/>
      <c r="CX164" s="312"/>
      <c r="CY164" s="312"/>
      <c r="CZ164" s="312"/>
      <c r="DA164" s="312"/>
      <c r="DB164" s="312"/>
      <c r="DC164" s="312"/>
      <c r="DD164" s="312"/>
      <c r="DE164" s="312"/>
      <c r="DF164" s="312"/>
      <c r="DG164" s="312"/>
      <c r="DH164" s="312"/>
      <c r="DI164" s="312"/>
      <c r="DJ164" s="312"/>
      <c r="DK164" s="312"/>
      <c r="DL164" s="312"/>
      <c r="DM164" s="312"/>
      <c r="DN164" s="312"/>
      <c r="DO164" s="312"/>
      <c r="DP164" s="312"/>
      <c r="DQ164" s="312"/>
      <c r="DR164" s="312"/>
      <c r="DS164" s="312"/>
      <c r="DT164" s="312"/>
      <c r="DU164" s="312"/>
      <c r="DV164" s="312"/>
      <c r="DW164" s="312"/>
      <c r="DX164" s="312"/>
      <c r="DY164" s="312"/>
      <c r="DZ164" s="312"/>
      <c r="EA164" s="312"/>
      <c r="EB164" s="312"/>
      <c r="EC164" s="312"/>
      <c r="ED164" s="312"/>
      <c r="EE164" s="312"/>
      <c r="EF164" s="312"/>
      <c r="EG164" s="312"/>
      <c r="EH164" s="312"/>
      <c r="EI164" s="312"/>
      <c r="EJ164" s="312"/>
      <c r="EK164" s="312"/>
      <c r="EL164" s="312"/>
      <c r="EM164" s="312"/>
      <c r="EN164" s="312"/>
      <c r="EO164" s="312"/>
      <c r="EP164" s="312"/>
      <c r="EQ164" s="312"/>
      <c r="ER164" s="312"/>
      <c r="ES164" s="312"/>
      <c r="ET164" s="312"/>
      <c r="EU164" s="312"/>
      <c r="EV164" s="312"/>
      <c r="EW164" s="312"/>
      <c r="EX164" s="312"/>
      <c r="EY164" s="312"/>
      <c r="EZ164" s="312"/>
      <c r="FA164" s="312"/>
      <c r="FB164" s="312"/>
      <c r="FC164" s="312"/>
      <c r="FD164" s="312"/>
      <c r="FE164" s="312"/>
      <c r="FF164" s="312"/>
      <c r="FG164" s="312"/>
      <c r="FH164" s="312"/>
      <c r="FI164" s="312"/>
      <c r="FJ164" s="312"/>
      <c r="FK164" s="312"/>
      <c r="FL164" s="312"/>
      <c r="FM164" s="312"/>
      <c r="FN164" s="312"/>
      <c r="FO164" s="312"/>
      <c r="FP164" s="312"/>
      <c r="FQ164" s="312"/>
      <c r="FR164" s="312"/>
      <c r="FS164" s="312"/>
      <c r="FT164" s="312"/>
      <c r="FU164" s="312"/>
      <c r="FV164" s="312"/>
      <c r="FW164" s="312"/>
      <c r="FX164" s="312"/>
      <c r="FY164" s="312"/>
      <c r="FZ164" s="312"/>
      <c r="GA164" s="312"/>
      <c r="GB164" s="312"/>
      <c r="GC164" s="312"/>
      <c r="GD164" s="312"/>
      <c r="GE164" s="312"/>
      <c r="GF164" s="312"/>
      <c r="GG164" s="312"/>
      <c r="GH164" s="312"/>
      <c r="GI164" s="312"/>
      <c r="GJ164" s="312"/>
      <c r="GK164" s="312"/>
      <c r="GL164" s="312"/>
      <c r="GM164" s="312"/>
      <c r="GN164" s="312"/>
      <c r="GO164" s="312"/>
      <c r="GP164" s="312"/>
      <c r="GQ164" s="312"/>
      <c r="GR164" s="312"/>
      <c r="GS164" s="312"/>
      <c r="GT164" s="312"/>
      <c r="GU164" s="312"/>
      <c r="GV164" s="312"/>
      <c r="GW164" s="312"/>
      <c r="GX164" s="312"/>
      <c r="GY164" s="312"/>
    </row>
    <row r="165" spans="2:207" ht="15.75" x14ac:dyDescent="0.25">
      <c r="B165" s="316">
        <f t="shared" si="39"/>
        <v>135</v>
      </c>
      <c r="C165" s="330">
        <f>'סיכום לוועדה'!B165</f>
        <v>1001348221</v>
      </c>
      <c r="D165" s="330">
        <f>'סיכום לוועדה'!C165</f>
        <v>1001269209</v>
      </c>
      <c r="E165" s="330">
        <f>'סיכום לוועדה'!D165</f>
        <v>41489877</v>
      </c>
      <c r="F165" s="330">
        <f>'סיכום לוועדה'!E165</f>
        <v>20000201</v>
      </c>
      <c r="G165" s="330" t="str">
        <f>'סיכום לוועדה'!F165</f>
        <v>תל אביב -יפו</v>
      </c>
      <c r="H165" s="317" t="str">
        <f>'סיכום לוועדה'!G165</f>
        <v>עמותת רננה רז</v>
      </c>
      <c r="I165" s="318">
        <f>'סיכום לוועדה'!U165</f>
        <v>500000</v>
      </c>
      <c r="J165" s="319">
        <f>'סיכום לוועדה'!T165</f>
        <v>134718.90554373513</v>
      </c>
      <c r="K165" s="320">
        <f t="shared" si="40"/>
        <v>0</v>
      </c>
      <c r="L165" s="319">
        <f t="shared" si="41"/>
        <v>134718.90554373513</v>
      </c>
      <c r="M165" s="331">
        <f>'תחום תמיכה ב'!AF165</f>
        <v>7.0863292981412506E-4</v>
      </c>
      <c r="N165" s="319">
        <f t="shared" si="38"/>
        <v>146790.1216336927</v>
      </c>
      <c r="O165" s="321">
        <f t="shared" si="42"/>
        <v>0</v>
      </c>
      <c r="P165" s="322">
        <f t="shared" si="43"/>
        <v>146790.1216336927</v>
      </c>
      <c r="Q165" s="322">
        <f t="shared" si="44"/>
        <v>146856.95905289598</v>
      </c>
      <c r="R165" s="321">
        <f t="shared" si="45"/>
        <v>0</v>
      </c>
      <c r="S165" s="322">
        <f t="shared" si="46"/>
        <v>146856.95905289598</v>
      </c>
      <c r="T165" s="322">
        <f t="shared" si="47"/>
        <v>146856.95905289569</v>
      </c>
      <c r="U165" s="321">
        <f t="shared" si="48"/>
        <v>0</v>
      </c>
      <c r="V165" s="322">
        <f t="shared" si="49"/>
        <v>146856.95905289569</v>
      </c>
      <c r="W165" s="322">
        <f t="shared" si="50"/>
        <v>146856.95905289575</v>
      </c>
      <c r="X165" s="321">
        <f t="shared" si="51"/>
        <v>0</v>
      </c>
      <c r="Y165" s="322">
        <f t="shared" si="52"/>
        <v>146856.95905289575</v>
      </c>
      <c r="Z165" s="322">
        <f t="shared" si="53"/>
        <v>146856.95905289572</v>
      </c>
      <c r="AA165" s="323">
        <f t="shared" si="54"/>
        <v>146856.95905289572</v>
      </c>
      <c r="AB165" s="323"/>
      <c r="AC165" s="323"/>
      <c r="AD165" s="323"/>
      <c r="AE165" s="323"/>
      <c r="AF165" s="324">
        <f t="shared" si="55"/>
        <v>8.4101801993015281E-4</v>
      </c>
      <c r="AG165" s="312"/>
      <c r="AH165" s="312"/>
      <c r="AI165" s="325">
        <f t="shared" si="56"/>
        <v>1</v>
      </c>
      <c r="AJ165" s="312"/>
      <c r="AK165" s="312"/>
      <c r="AL165" s="312"/>
      <c r="AM165" s="312"/>
      <c r="AN165" s="312"/>
      <c r="AO165" s="312"/>
      <c r="AP165" s="312"/>
      <c r="AQ165" s="312"/>
      <c r="AR165" s="312"/>
      <c r="AS165" s="312"/>
      <c r="AT165" s="312"/>
      <c r="AU165" s="312"/>
      <c r="AV165" s="312"/>
      <c r="AW165" s="312"/>
      <c r="AX165" s="312"/>
      <c r="AY165" s="312"/>
      <c r="AZ165" s="312"/>
      <c r="BA165" s="312"/>
      <c r="BB165" s="312"/>
      <c r="BC165" s="312"/>
      <c r="BD165" s="312"/>
      <c r="BE165" s="312"/>
      <c r="BF165" s="312"/>
      <c r="BG165" s="312"/>
      <c r="BH165" s="312"/>
      <c r="BI165" s="312"/>
      <c r="BJ165" s="312"/>
      <c r="BK165" s="312"/>
      <c r="BL165" s="312"/>
      <c r="BM165" s="312"/>
      <c r="BN165" s="312"/>
      <c r="BO165" s="312"/>
      <c r="BP165" s="312"/>
      <c r="BQ165" s="312"/>
      <c r="BR165" s="312"/>
      <c r="BS165" s="312"/>
      <c r="BT165" s="312"/>
      <c r="BU165" s="312"/>
      <c r="BV165" s="312"/>
      <c r="BW165" s="312"/>
      <c r="BX165" s="312"/>
      <c r="BY165" s="312"/>
      <c r="BZ165" s="312"/>
      <c r="CA165" s="312"/>
      <c r="CB165" s="312"/>
      <c r="CC165" s="312"/>
      <c r="CD165" s="312"/>
      <c r="CE165" s="312"/>
      <c r="CF165" s="312"/>
      <c r="CG165" s="312"/>
      <c r="CH165" s="312"/>
      <c r="CI165" s="312"/>
      <c r="CJ165" s="312"/>
      <c r="CK165" s="312"/>
      <c r="CL165" s="312"/>
      <c r="CM165" s="312"/>
      <c r="CN165" s="312"/>
      <c r="CO165" s="312"/>
      <c r="CP165" s="312"/>
      <c r="CQ165" s="312"/>
      <c r="CR165" s="312"/>
      <c r="CS165" s="312"/>
      <c r="CT165" s="312"/>
      <c r="CU165" s="312"/>
      <c r="CV165" s="312"/>
      <c r="CW165" s="312"/>
      <c r="CX165" s="312"/>
      <c r="CY165" s="312"/>
      <c r="CZ165" s="312"/>
      <c r="DA165" s="312"/>
      <c r="DB165" s="312"/>
      <c r="DC165" s="312"/>
      <c r="DD165" s="312"/>
      <c r="DE165" s="312"/>
      <c r="DF165" s="312"/>
      <c r="DG165" s="312"/>
      <c r="DH165" s="312"/>
      <c r="DI165" s="312"/>
      <c r="DJ165" s="312"/>
      <c r="DK165" s="312"/>
      <c r="DL165" s="312"/>
      <c r="DM165" s="312"/>
      <c r="DN165" s="312"/>
      <c r="DO165" s="312"/>
      <c r="DP165" s="312"/>
      <c r="DQ165" s="312"/>
      <c r="DR165" s="312"/>
      <c r="DS165" s="312"/>
      <c r="DT165" s="312"/>
      <c r="DU165" s="312"/>
      <c r="DV165" s="312"/>
      <c r="DW165" s="312"/>
      <c r="DX165" s="312"/>
      <c r="DY165" s="312"/>
      <c r="DZ165" s="312"/>
      <c r="EA165" s="312"/>
      <c r="EB165" s="312"/>
      <c r="EC165" s="312"/>
      <c r="ED165" s="312"/>
      <c r="EE165" s="312"/>
      <c r="EF165" s="312"/>
      <c r="EG165" s="312"/>
      <c r="EH165" s="312"/>
      <c r="EI165" s="312"/>
      <c r="EJ165" s="312"/>
      <c r="EK165" s="312"/>
      <c r="EL165" s="312"/>
      <c r="EM165" s="312"/>
      <c r="EN165" s="312"/>
      <c r="EO165" s="312"/>
      <c r="EP165" s="312"/>
      <c r="EQ165" s="312"/>
      <c r="ER165" s="312"/>
      <c r="ES165" s="312"/>
      <c r="ET165" s="312"/>
      <c r="EU165" s="312"/>
      <c r="EV165" s="312"/>
      <c r="EW165" s="312"/>
      <c r="EX165" s="312"/>
      <c r="EY165" s="312"/>
      <c r="EZ165" s="312"/>
      <c r="FA165" s="312"/>
      <c r="FB165" s="312"/>
      <c r="FC165" s="312"/>
      <c r="FD165" s="312"/>
      <c r="FE165" s="312"/>
      <c r="FF165" s="312"/>
      <c r="FG165" s="312"/>
      <c r="FH165" s="312"/>
      <c r="FI165" s="312"/>
      <c r="FJ165" s="312"/>
      <c r="FK165" s="312"/>
      <c r="FL165" s="312"/>
      <c r="FM165" s="312"/>
      <c r="FN165" s="312"/>
      <c r="FO165" s="312"/>
      <c r="FP165" s="312"/>
      <c r="FQ165" s="312"/>
      <c r="FR165" s="312"/>
      <c r="FS165" s="312"/>
      <c r="FT165" s="312"/>
      <c r="FU165" s="312"/>
      <c r="FV165" s="312"/>
      <c r="FW165" s="312"/>
      <c r="FX165" s="312"/>
      <c r="FY165" s="312"/>
      <c r="FZ165" s="312"/>
      <c r="GA165" s="312"/>
      <c r="GB165" s="312"/>
      <c r="GC165" s="312"/>
      <c r="GD165" s="312"/>
      <c r="GE165" s="312"/>
      <c r="GF165" s="312"/>
      <c r="GG165" s="312"/>
      <c r="GH165" s="312"/>
      <c r="GI165" s="312"/>
      <c r="GJ165" s="312"/>
      <c r="GK165" s="312"/>
      <c r="GL165" s="312"/>
      <c r="GM165" s="312"/>
      <c r="GN165" s="312"/>
      <c r="GO165" s="312"/>
      <c r="GP165" s="312"/>
      <c r="GQ165" s="312"/>
      <c r="GR165" s="312"/>
      <c r="GS165" s="312"/>
      <c r="GT165" s="312"/>
      <c r="GU165" s="312"/>
      <c r="GV165" s="312"/>
      <c r="GW165" s="312"/>
      <c r="GX165" s="312"/>
      <c r="GY165" s="312"/>
    </row>
    <row r="166" spans="2:207" ht="15.75" x14ac:dyDescent="0.25">
      <c r="B166" s="316">
        <f t="shared" si="39"/>
        <v>136</v>
      </c>
      <c r="C166" s="330">
        <f>'סיכום לוועדה'!B166</f>
        <v>1001347308</v>
      </c>
      <c r="D166" s="330">
        <f>'סיכום לוועדה'!C166</f>
        <v>1001271799</v>
      </c>
      <c r="E166" s="330">
        <f>'סיכום לוועדה'!D166</f>
        <v>40221577</v>
      </c>
      <c r="F166" s="330">
        <f>'סיכום לוועדה'!E166</f>
        <v>20000159</v>
      </c>
      <c r="G166" s="330" t="str">
        <f>'סיכום לוועדה'!F166</f>
        <v>ירושלים</v>
      </c>
      <c r="H166" s="317" t="str">
        <f>'סיכום לוועדה'!G166</f>
        <v>בלט ירושלים</v>
      </c>
      <c r="I166" s="318">
        <f>'סיכום לוועדה'!U166</f>
        <v>1408511</v>
      </c>
      <c r="J166" s="319">
        <f>'סיכום לוועדה'!T166</f>
        <v>65364.459020490016</v>
      </c>
      <c r="K166" s="320">
        <f t="shared" si="40"/>
        <v>0</v>
      </c>
      <c r="L166" s="319">
        <f t="shared" si="41"/>
        <v>65364.459020490016</v>
      </c>
      <c r="M166" s="331">
        <f>'תחום תמיכה ב'!AF166</f>
        <v>3.6348948035571662E-4</v>
      </c>
      <c r="N166" s="319">
        <f t="shared" si="38"/>
        <v>71556.324906472975</v>
      </c>
      <c r="O166" s="321">
        <f t="shared" si="42"/>
        <v>0</v>
      </c>
      <c r="P166" s="322">
        <f t="shared" si="43"/>
        <v>71556.324906472975</v>
      </c>
      <c r="Q166" s="322">
        <f t="shared" si="44"/>
        <v>71588.906391052398</v>
      </c>
      <c r="R166" s="321">
        <f t="shared" si="45"/>
        <v>0</v>
      </c>
      <c r="S166" s="322">
        <f t="shared" si="46"/>
        <v>71588.906391052398</v>
      </c>
      <c r="T166" s="322">
        <f t="shared" si="47"/>
        <v>71588.906391052253</v>
      </c>
      <c r="U166" s="321">
        <f t="shared" si="48"/>
        <v>0</v>
      </c>
      <c r="V166" s="322">
        <f t="shared" si="49"/>
        <v>71588.906391052253</v>
      </c>
      <c r="W166" s="322">
        <f t="shared" si="50"/>
        <v>71588.906391052282</v>
      </c>
      <c r="X166" s="321">
        <f t="shared" si="51"/>
        <v>0</v>
      </c>
      <c r="Y166" s="322">
        <f t="shared" si="52"/>
        <v>71588.906391052282</v>
      </c>
      <c r="Z166" s="322">
        <f t="shared" si="53"/>
        <v>71588.906391052267</v>
      </c>
      <c r="AA166" s="323">
        <f t="shared" si="54"/>
        <v>71588.906391052267</v>
      </c>
      <c r="AB166" s="323"/>
      <c r="AC166" s="323"/>
      <c r="AD166" s="323"/>
      <c r="AE166" s="323"/>
      <c r="AF166" s="324">
        <f t="shared" si="55"/>
        <v>4.0997417276141446E-4</v>
      </c>
      <c r="AG166" s="312"/>
      <c r="AH166" s="312"/>
      <c r="AI166" s="325">
        <f t="shared" si="56"/>
        <v>1</v>
      </c>
      <c r="AJ166" s="312"/>
      <c r="AK166" s="312"/>
      <c r="AL166" s="312"/>
      <c r="AM166" s="312"/>
      <c r="AN166" s="312"/>
      <c r="AO166" s="312"/>
      <c r="AP166" s="312"/>
      <c r="AQ166" s="312"/>
      <c r="AR166" s="312"/>
      <c r="AS166" s="312"/>
      <c r="AT166" s="312"/>
      <c r="AU166" s="312"/>
      <c r="AV166" s="312"/>
      <c r="AW166" s="312"/>
      <c r="AX166" s="312"/>
      <c r="AY166" s="312"/>
      <c r="AZ166" s="312"/>
      <c r="BA166" s="312"/>
      <c r="BB166" s="312"/>
      <c r="BC166" s="312"/>
      <c r="BD166" s="312"/>
      <c r="BE166" s="312"/>
      <c r="BF166" s="312"/>
      <c r="BG166" s="312"/>
      <c r="BH166" s="312"/>
      <c r="BI166" s="312"/>
      <c r="BJ166" s="312"/>
      <c r="BK166" s="312"/>
      <c r="BL166" s="312"/>
      <c r="BM166" s="312"/>
      <c r="BN166" s="312"/>
      <c r="BO166" s="312"/>
      <c r="BP166" s="312"/>
      <c r="BQ166" s="312"/>
      <c r="BR166" s="312"/>
      <c r="BS166" s="312"/>
      <c r="BT166" s="312"/>
      <c r="BU166" s="312"/>
      <c r="BV166" s="312"/>
      <c r="BW166" s="312"/>
      <c r="BX166" s="312"/>
      <c r="BY166" s="312"/>
      <c r="BZ166" s="312"/>
      <c r="CA166" s="312"/>
      <c r="CB166" s="312"/>
      <c r="CC166" s="312"/>
      <c r="CD166" s="312"/>
      <c r="CE166" s="312"/>
      <c r="CF166" s="312"/>
      <c r="CG166" s="312"/>
      <c r="CH166" s="312"/>
      <c r="CI166" s="312"/>
      <c r="CJ166" s="312"/>
      <c r="CK166" s="312"/>
      <c r="CL166" s="312"/>
      <c r="CM166" s="312"/>
      <c r="CN166" s="312"/>
      <c r="CO166" s="312"/>
      <c r="CP166" s="312"/>
      <c r="CQ166" s="312"/>
      <c r="CR166" s="312"/>
      <c r="CS166" s="312"/>
      <c r="CT166" s="312"/>
      <c r="CU166" s="312"/>
      <c r="CV166" s="312"/>
      <c r="CW166" s="312"/>
      <c r="CX166" s="312"/>
      <c r="CY166" s="312"/>
      <c r="CZ166" s="312"/>
      <c r="DA166" s="312"/>
      <c r="DB166" s="312"/>
      <c r="DC166" s="312"/>
      <c r="DD166" s="312"/>
      <c r="DE166" s="312"/>
      <c r="DF166" s="312"/>
      <c r="DG166" s="312"/>
      <c r="DH166" s="312"/>
      <c r="DI166" s="312"/>
      <c r="DJ166" s="312"/>
      <c r="DK166" s="312"/>
      <c r="DL166" s="312"/>
      <c r="DM166" s="312"/>
      <c r="DN166" s="312"/>
      <c r="DO166" s="312"/>
      <c r="DP166" s="312"/>
      <c r="DQ166" s="312"/>
      <c r="DR166" s="312"/>
      <c r="DS166" s="312"/>
      <c r="DT166" s="312"/>
      <c r="DU166" s="312"/>
      <c r="DV166" s="312"/>
      <c r="DW166" s="312"/>
      <c r="DX166" s="312"/>
      <c r="DY166" s="312"/>
      <c r="DZ166" s="312"/>
      <c r="EA166" s="312"/>
      <c r="EB166" s="312"/>
      <c r="EC166" s="312"/>
      <c r="ED166" s="312"/>
      <c r="EE166" s="312"/>
      <c r="EF166" s="312"/>
      <c r="EG166" s="312"/>
      <c r="EH166" s="312"/>
      <c r="EI166" s="312"/>
      <c r="EJ166" s="312"/>
      <c r="EK166" s="312"/>
      <c r="EL166" s="312"/>
      <c r="EM166" s="312"/>
      <c r="EN166" s="312"/>
      <c r="EO166" s="312"/>
      <c r="EP166" s="312"/>
      <c r="EQ166" s="312"/>
      <c r="ER166" s="312"/>
      <c r="ES166" s="312"/>
      <c r="ET166" s="312"/>
      <c r="EU166" s="312"/>
      <c r="EV166" s="312"/>
      <c r="EW166" s="312"/>
      <c r="EX166" s="312"/>
      <c r="EY166" s="312"/>
      <c r="EZ166" s="312"/>
      <c r="FA166" s="312"/>
      <c r="FB166" s="312"/>
      <c r="FC166" s="312"/>
      <c r="FD166" s="312"/>
      <c r="FE166" s="312"/>
      <c r="FF166" s="312"/>
      <c r="FG166" s="312"/>
      <c r="FH166" s="312"/>
      <c r="FI166" s="312"/>
      <c r="FJ166" s="312"/>
      <c r="FK166" s="312"/>
      <c r="FL166" s="312"/>
      <c r="FM166" s="312"/>
      <c r="FN166" s="312"/>
      <c r="FO166" s="312"/>
      <c r="FP166" s="312"/>
      <c r="FQ166" s="312"/>
      <c r="FR166" s="312"/>
      <c r="FS166" s="312"/>
      <c r="FT166" s="312"/>
      <c r="FU166" s="312"/>
      <c r="FV166" s="312"/>
      <c r="FW166" s="312"/>
      <c r="FX166" s="312"/>
      <c r="FY166" s="312"/>
      <c r="FZ166" s="312"/>
      <c r="GA166" s="312"/>
      <c r="GB166" s="312"/>
      <c r="GC166" s="312"/>
      <c r="GD166" s="312"/>
      <c r="GE166" s="312"/>
      <c r="GF166" s="312"/>
      <c r="GG166" s="312"/>
      <c r="GH166" s="312"/>
      <c r="GI166" s="312"/>
      <c r="GJ166" s="312"/>
      <c r="GK166" s="312"/>
      <c r="GL166" s="312"/>
      <c r="GM166" s="312"/>
      <c r="GN166" s="312"/>
      <c r="GO166" s="312"/>
      <c r="GP166" s="312"/>
      <c r="GQ166" s="312"/>
      <c r="GR166" s="312"/>
      <c r="GS166" s="312"/>
      <c r="GT166" s="312"/>
      <c r="GU166" s="312"/>
      <c r="GV166" s="312"/>
      <c r="GW166" s="312"/>
      <c r="GX166" s="312"/>
      <c r="GY166" s="312"/>
    </row>
    <row r="167" spans="2:207" ht="15.75" x14ac:dyDescent="0.25">
      <c r="B167" s="316">
        <f t="shared" si="39"/>
        <v>137</v>
      </c>
      <c r="C167" s="330">
        <f>'סיכום לוועדה'!B167</f>
        <v>1001347068</v>
      </c>
      <c r="D167" s="330">
        <f>'סיכום לוועדה'!C167</f>
        <v>1001265731</v>
      </c>
      <c r="E167" s="330">
        <f>'סיכום לוועדה'!D167</f>
        <v>40000188</v>
      </c>
      <c r="F167" s="330">
        <f>'סיכום לוועדה'!E167</f>
        <v>20000228</v>
      </c>
      <c r="G167" s="330" t="str">
        <f>'סיכום לוועדה'!F167</f>
        <v>לוד</v>
      </c>
      <c r="H167" s="317" t="str">
        <f>'סיכום לוועדה'!G167</f>
        <v>מכון הברמן למחקרי ספרות</v>
      </c>
      <c r="I167" s="318">
        <f>'סיכום לוועדה'!U167</f>
        <v>345000</v>
      </c>
      <c r="J167" s="319">
        <f>'סיכום לוועדה'!T167</f>
        <v>10278.890314150238</v>
      </c>
      <c r="K167" s="320">
        <f t="shared" si="40"/>
        <v>0</v>
      </c>
      <c r="L167" s="319">
        <f t="shared" si="41"/>
        <v>10278.890314150238</v>
      </c>
      <c r="M167" s="331">
        <f>'תחום תמיכה ב'!AF167</f>
        <v>4.8312566869987461E-5</v>
      </c>
      <c r="N167" s="319">
        <f t="shared" si="38"/>
        <v>11101.871310391994</v>
      </c>
      <c r="O167" s="321">
        <f t="shared" si="42"/>
        <v>0</v>
      </c>
      <c r="P167" s="322">
        <f t="shared" si="43"/>
        <v>11101.871310391994</v>
      </c>
      <c r="Q167" s="322">
        <f t="shared" si="44"/>
        <v>11106.926285607324</v>
      </c>
      <c r="R167" s="321">
        <f t="shared" si="45"/>
        <v>0</v>
      </c>
      <c r="S167" s="322">
        <f t="shared" si="46"/>
        <v>11106.926285607324</v>
      </c>
      <c r="T167" s="322">
        <f t="shared" si="47"/>
        <v>11106.9262856073</v>
      </c>
      <c r="U167" s="321">
        <f t="shared" si="48"/>
        <v>0</v>
      </c>
      <c r="V167" s="322">
        <f t="shared" si="49"/>
        <v>11106.9262856073</v>
      </c>
      <c r="W167" s="322">
        <f t="shared" si="50"/>
        <v>11106.926285607306</v>
      </c>
      <c r="X167" s="321">
        <f t="shared" si="51"/>
        <v>0</v>
      </c>
      <c r="Y167" s="322">
        <f t="shared" si="52"/>
        <v>11106.926285607306</v>
      </c>
      <c r="Z167" s="322">
        <f t="shared" si="53"/>
        <v>11106.926285607302</v>
      </c>
      <c r="AA167" s="323">
        <f t="shared" si="54"/>
        <v>11106.926285607302</v>
      </c>
      <c r="AB167" s="323"/>
      <c r="AC167" s="323"/>
      <c r="AD167" s="323"/>
      <c r="AE167" s="323"/>
      <c r="AF167" s="324">
        <f t="shared" si="55"/>
        <v>6.3606962941858847E-5</v>
      </c>
      <c r="AG167" s="312"/>
      <c r="AH167" s="312"/>
      <c r="AI167" s="325">
        <f t="shared" si="56"/>
        <v>1</v>
      </c>
      <c r="AJ167" s="312"/>
      <c r="AK167" s="312"/>
      <c r="AL167" s="312"/>
      <c r="AM167" s="312"/>
      <c r="AN167" s="312"/>
      <c r="AO167" s="312"/>
      <c r="AP167" s="312"/>
      <c r="AQ167" s="312"/>
      <c r="AR167" s="312"/>
      <c r="AS167" s="312"/>
      <c r="AT167" s="312"/>
      <c r="AU167" s="312"/>
      <c r="AV167" s="312"/>
      <c r="AW167" s="312"/>
      <c r="AX167" s="312"/>
      <c r="AY167" s="312"/>
      <c r="AZ167" s="312"/>
      <c r="BA167" s="312"/>
      <c r="BB167" s="312"/>
      <c r="BC167" s="312"/>
      <c r="BD167" s="312"/>
      <c r="BE167" s="312"/>
      <c r="BF167" s="312"/>
      <c r="BG167" s="312"/>
      <c r="BH167" s="312"/>
      <c r="BI167" s="312"/>
      <c r="BJ167" s="312"/>
      <c r="BK167" s="312"/>
      <c r="BL167" s="312"/>
      <c r="BM167" s="312"/>
      <c r="BN167" s="312"/>
      <c r="BO167" s="312"/>
      <c r="BP167" s="312"/>
      <c r="BQ167" s="312"/>
      <c r="BR167" s="312"/>
      <c r="BS167" s="312"/>
      <c r="BT167" s="312"/>
      <c r="BU167" s="312"/>
      <c r="BV167" s="312"/>
      <c r="BW167" s="312"/>
      <c r="BX167" s="312"/>
      <c r="BY167" s="312"/>
      <c r="BZ167" s="312"/>
      <c r="CA167" s="312"/>
      <c r="CB167" s="312"/>
      <c r="CC167" s="312"/>
      <c r="CD167" s="312"/>
      <c r="CE167" s="312"/>
      <c r="CF167" s="312"/>
      <c r="CG167" s="312"/>
      <c r="CH167" s="312"/>
      <c r="CI167" s="312"/>
      <c r="CJ167" s="312"/>
      <c r="CK167" s="312"/>
      <c r="CL167" s="312"/>
      <c r="CM167" s="312"/>
      <c r="CN167" s="312"/>
      <c r="CO167" s="312"/>
      <c r="CP167" s="312"/>
      <c r="CQ167" s="312"/>
      <c r="CR167" s="312"/>
      <c r="CS167" s="312"/>
      <c r="CT167" s="312"/>
      <c r="CU167" s="312"/>
      <c r="CV167" s="312"/>
      <c r="CW167" s="312"/>
      <c r="CX167" s="312"/>
      <c r="CY167" s="312"/>
      <c r="CZ167" s="312"/>
      <c r="DA167" s="312"/>
      <c r="DB167" s="312"/>
      <c r="DC167" s="312"/>
      <c r="DD167" s="312"/>
      <c r="DE167" s="312"/>
      <c r="DF167" s="312"/>
      <c r="DG167" s="312"/>
      <c r="DH167" s="312"/>
      <c r="DI167" s="312"/>
      <c r="DJ167" s="312"/>
      <c r="DK167" s="312"/>
      <c r="DL167" s="312"/>
      <c r="DM167" s="312"/>
      <c r="DN167" s="312"/>
      <c r="DO167" s="312"/>
      <c r="DP167" s="312"/>
      <c r="DQ167" s="312"/>
      <c r="DR167" s="312"/>
      <c r="DS167" s="312"/>
      <c r="DT167" s="312"/>
      <c r="DU167" s="312"/>
      <c r="DV167" s="312"/>
      <c r="DW167" s="312"/>
      <c r="DX167" s="312"/>
      <c r="DY167" s="312"/>
      <c r="DZ167" s="312"/>
      <c r="EA167" s="312"/>
      <c r="EB167" s="312"/>
      <c r="EC167" s="312"/>
      <c r="ED167" s="312"/>
      <c r="EE167" s="312"/>
      <c r="EF167" s="312"/>
      <c r="EG167" s="312"/>
      <c r="EH167" s="312"/>
      <c r="EI167" s="312"/>
      <c r="EJ167" s="312"/>
      <c r="EK167" s="312"/>
      <c r="EL167" s="312"/>
      <c r="EM167" s="312"/>
      <c r="EN167" s="312"/>
      <c r="EO167" s="312"/>
      <c r="EP167" s="312"/>
      <c r="EQ167" s="312"/>
      <c r="ER167" s="312"/>
      <c r="ES167" s="312"/>
      <c r="ET167" s="312"/>
      <c r="EU167" s="312"/>
      <c r="EV167" s="312"/>
      <c r="EW167" s="312"/>
      <c r="EX167" s="312"/>
      <c r="EY167" s="312"/>
      <c r="EZ167" s="312"/>
      <c r="FA167" s="312"/>
      <c r="FB167" s="312"/>
      <c r="FC167" s="312"/>
      <c r="FD167" s="312"/>
      <c r="FE167" s="312"/>
      <c r="FF167" s="312"/>
      <c r="FG167" s="312"/>
      <c r="FH167" s="312"/>
      <c r="FI167" s="312"/>
      <c r="FJ167" s="312"/>
      <c r="FK167" s="312"/>
      <c r="FL167" s="312"/>
      <c r="FM167" s="312"/>
      <c r="FN167" s="312"/>
      <c r="FO167" s="312"/>
      <c r="FP167" s="312"/>
      <c r="FQ167" s="312"/>
      <c r="FR167" s="312"/>
      <c r="FS167" s="312"/>
      <c r="FT167" s="312"/>
      <c r="FU167" s="312"/>
      <c r="FV167" s="312"/>
      <c r="FW167" s="312"/>
      <c r="FX167" s="312"/>
      <c r="FY167" s="312"/>
      <c r="FZ167" s="312"/>
      <c r="GA167" s="312"/>
      <c r="GB167" s="312"/>
      <c r="GC167" s="312"/>
      <c r="GD167" s="312"/>
      <c r="GE167" s="312"/>
      <c r="GF167" s="312"/>
      <c r="GG167" s="312"/>
      <c r="GH167" s="312"/>
      <c r="GI167" s="312"/>
      <c r="GJ167" s="312"/>
      <c r="GK167" s="312"/>
      <c r="GL167" s="312"/>
      <c r="GM167" s="312"/>
      <c r="GN167" s="312"/>
      <c r="GO167" s="312"/>
      <c r="GP167" s="312"/>
      <c r="GQ167" s="312"/>
      <c r="GR167" s="312"/>
      <c r="GS167" s="312"/>
      <c r="GT167" s="312"/>
      <c r="GU167" s="312"/>
      <c r="GV167" s="312"/>
      <c r="GW167" s="312"/>
      <c r="GX167" s="312"/>
      <c r="GY167" s="312"/>
    </row>
    <row r="168" spans="2:207" ht="15.75" x14ac:dyDescent="0.25">
      <c r="B168" s="316">
        <f t="shared" si="39"/>
        <v>138</v>
      </c>
      <c r="C168" s="330">
        <f>'סיכום לוועדה'!B168</f>
        <v>1001348953</v>
      </c>
      <c r="D168" s="330">
        <f>'סיכום לוועדה'!C168</f>
        <v>1001277689</v>
      </c>
      <c r="E168" s="330">
        <f>'סיכום לוועדה'!D168</f>
        <v>40821399</v>
      </c>
      <c r="F168" s="330">
        <f>'סיכום לוועדה'!E168</f>
        <v>20000233</v>
      </c>
      <c r="G168" s="330" t="str">
        <f>'סיכום לוועדה'!F168</f>
        <v>נתניה</v>
      </c>
      <c r="H168" s="317" t="str">
        <f>'סיכום לוועדה'!G168</f>
        <v>תזמורת נתניה הקאמרית הקיבוצית</v>
      </c>
      <c r="I168" s="318">
        <f>'סיכום לוועדה'!U168</f>
        <v>1000000</v>
      </c>
      <c r="J168" s="319">
        <f>'סיכום לוועדה'!T168</f>
        <v>0</v>
      </c>
      <c r="K168" s="320">
        <f t="shared" si="40"/>
        <v>0</v>
      </c>
      <c r="L168" s="319">
        <f t="shared" si="41"/>
        <v>0</v>
      </c>
      <c r="M168" s="331">
        <f>'תחום תמיכה ב'!AF168</f>
        <v>0</v>
      </c>
      <c r="N168" s="319">
        <f t="shared" si="38"/>
        <v>0</v>
      </c>
      <c r="O168" s="321">
        <f t="shared" si="42"/>
        <v>0</v>
      </c>
      <c r="P168" s="322">
        <f t="shared" si="43"/>
        <v>0</v>
      </c>
      <c r="Q168" s="322">
        <f t="shared" si="44"/>
        <v>0</v>
      </c>
      <c r="R168" s="321">
        <f t="shared" si="45"/>
        <v>0</v>
      </c>
      <c r="S168" s="322">
        <f t="shared" si="46"/>
        <v>0</v>
      </c>
      <c r="T168" s="322">
        <f t="shared" si="47"/>
        <v>0</v>
      </c>
      <c r="U168" s="321">
        <f t="shared" si="48"/>
        <v>0</v>
      </c>
      <c r="V168" s="322">
        <f t="shared" si="49"/>
        <v>0</v>
      </c>
      <c r="W168" s="322">
        <f t="shared" si="50"/>
        <v>0</v>
      </c>
      <c r="X168" s="321">
        <f t="shared" si="51"/>
        <v>0</v>
      </c>
      <c r="Y168" s="322">
        <f t="shared" si="52"/>
        <v>0</v>
      </c>
      <c r="Z168" s="322">
        <f t="shared" si="53"/>
        <v>0</v>
      </c>
      <c r="AA168" s="323">
        <f t="shared" si="54"/>
        <v>0</v>
      </c>
      <c r="AB168" s="323"/>
      <c r="AC168" s="323"/>
      <c r="AD168" s="323"/>
      <c r="AE168" s="323"/>
      <c r="AF168" s="324">
        <f t="shared" si="55"/>
        <v>0</v>
      </c>
      <c r="AG168" s="312"/>
      <c r="AH168" s="312"/>
      <c r="AI168" s="325">
        <f t="shared" si="56"/>
        <v>1</v>
      </c>
      <c r="AJ168" s="312"/>
      <c r="AK168" s="312"/>
      <c r="AL168" s="312"/>
      <c r="AM168" s="312"/>
      <c r="AN168" s="312"/>
      <c r="AO168" s="312"/>
      <c r="AP168" s="312"/>
      <c r="AQ168" s="312"/>
      <c r="AR168" s="312"/>
      <c r="AS168" s="312"/>
      <c r="AT168" s="312"/>
      <c r="AU168" s="312"/>
      <c r="AV168" s="312"/>
      <c r="AW168" s="312"/>
      <c r="AX168" s="312"/>
      <c r="AY168" s="312"/>
      <c r="AZ168" s="312"/>
      <c r="BA168" s="312"/>
      <c r="BB168" s="312"/>
      <c r="BC168" s="312"/>
      <c r="BD168" s="312"/>
      <c r="BE168" s="312"/>
      <c r="BF168" s="312"/>
      <c r="BG168" s="312"/>
      <c r="BH168" s="312"/>
      <c r="BI168" s="312"/>
      <c r="BJ168" s="312"/>
      <c r="BK168" s="312"/>
      <c r="BL168" s="312"/>
      <c r="BM168" s="312"/>
      <c r="BN168" s="312"/>
      <c r="BO168" s="312"/>
      <c r="BP168" s="312"/>
      <c r="BQ168" s="312"/>
      <c r="BR168" s="312"/>
      <c r="BS168" s="312"/>
      <c r="BT168" s="312"/>
      <c r="BU168" s="312"/>
      <c r="BV168" s="312"/>
      <c r="BW168" s="312"/>
      <c r="BX168" s="312"/>
      <c r="BY168" s="312"/>
      <c r="BZ168" s="312"/>
      <c r="CA168" s="312"/>
      <c r="CB168" s="312"/>
      <c r="CC168" s="312"/>
      <c r="CD168" s="312"/>
      <c r="CE168" s="312"/>
      <c r="CF168" s="312"/>
      <c r="CG168" s="312"/>
      <c r="CH168" s="312"/>
      <c r="CI168" s="312"/>
      <c r="CJ168" s="312"/>
      <c r="CK168" s="312"/>
      <c r="CL168" s="312"/>
      <c r="CM168" s="312"/>
      <c r="CN168" s="312"/>
      <c r="CO168" s="312"/>
      <c r="CP168" s="312"/>
      <c r="CQ168" s="312"/>
      <c r="CR168" s="312"/>
      <c r="CS168" s="312"/>
      <c r="CT168" s="312"/>
      <c r="CU168" s="312"/>
      <c r="CV168" s="312"/>
      <c r="CW168" s="312"/>
      <c r="CX168" s="312"/>
      <c r="CY168" s="312"/>
      <c r="CZ168" s="312"/>
      <c r="DA168" s="312"/>
      <c r="DB168" s="312"/>
      <c r="DC168" s="312"/>
      <c r="DD168" s="312"/>
      <c r="DE168" s="312"/>
      <c r="DF168" s="312"/>
      <c r="DG168" s="312"/>
      <c r="DH168" s="312"/>
      <c r="DI168" s="312"/>
      <c r="DJ168" s="312"/>
      <c r="DK168" s="312"/>
      <c r="DL168" s="312"/>
      <c r="DM168" s="312"/>
      <c r="DN168" s="312"/>
      <c r="DO168" s="312"/>
      <c r="DP168" s="312"/>
      <c r="DQ168" s="312"/>
      <c r="DR168" s="312"/>
      <c r="DS168" s="312"/>
      <c r="DT168" s="312"/>
      <c r="DU168" s="312"/>
      <c r="DV168" s="312"/>
      <c r="DW168" s="312"/>
      <c r="DX168" s="312"/>
      <c r="DY168" s="312"/>
      <c r="DZ168" s="312"/>
      <c r="EA168" s="312"/>
      <c r="EB168" s="312"/>
      <c r="EC168" s="312"/>
      <c r="ED168" s="312"/>
      <c r="EE168" s="312"/>
      <c r="EF168" s="312"/>
      <c r="EG168" s="312"/>
      <c r="EH168" s="312"/>
      <c r="EI168" s="312"/>
      <c r="EJ168" s="312"/>
      <c r="EK168" s="312"/>
      <c r="EL168" s="312"/>
      <c r="EM168" s="312"/>
      <c r="EN168" s="312"/>
      <c r="EO168" s="312"/>
      <c r="EP168" s="312"/>
      <c r="EQ168" s="312"/>
      <c r="ER168" s="312"/>
      <c r="ES168" s="312"/>
      <c r="ET168" s="312"/>
      <c r="EU168" s="312"/>
      <c r="EV168" s="312"/>
      <c r="EW168" s="312"/>
      <c r="EX168" s="312"/>
      <c r="EY168" s="312"/>
      <c r="EZ168" s="312"/>
      <c r="FA168" s="312"/>
      <c r="FB168" s="312"/>
      <c r="FC168" s="312"/>
      <c r="FD168" s="312"/>
      <c r="FE168" s="312"/>
      <c r="FF168" s="312"/>
      <c r="FG168" s="312"/>
      <c r="FH168" s="312"/>
      <c r="FI168" s="312"/>
      <c r="FJ168" s="312"/>
      <c r="FK168" s="312"/>
      <c r="FL168" s="312"/>
      <c r="FM168" s="312"/>
      <c r="FN168" s="312"/>
      <c r="FO168" s="312"/>
      <c r="FP168" s="312"/>
      <c r="FQ168" s="312"/>
      <c r="FR168" s="312"/>
      <c r="FS168" s="312"/>
      <c r="FT168" s="312"/>
      <c r="FU168" s="312"/>
      <c r="FV168" s="312"/>
      <c r="FW168" s="312"/>
      <c r="FX168" s="312"/>
      <c r="FY168" s="312"/>
      <c r="FZ168" s="312"/>
      <c r="GA168" s="312"/>
      <c r="GB168" s="312"/>
      <c r="GC168" s="312"/>
      <c r="GD168" s="312"/>
      <c r="GE168" s="312"/>
      <c r="GF168" s="312"/>
      <c r="GG168" s="312"/>
      <c r="GH168" s="312"/>
      <c r="GI168" s="312"/>
      <c r="GJ168" s="312"/>
      <c r="GK168" s="312"/>
      <c r="GL168" s="312"/>
      <c r="GM168" s="312"/>
      <c r="GN168" s="312"/>
      <c r="GO168" s="312"/>
      <c r="GP168" s="312"/>
      <c r="GQ168" s="312"/>
      <c r="GR168" s="312"/>
      <c r="GS168" s="312"/>
      <c r="GT168" s="312"/>
      <c r="GU168" s="312"/>
      <c r="GV168" s="312"/>
      <c r="GW168" s="312"/>
      <c r="GX168" s="312"/>
      <c r="GY168" s="312"/>
    </row>
    <row r="169" spans="2:207" ht="15.75" x14ac:dyDescent="0.25">
      <c r="B169" s="316">
        <f t="shared" si="39"/>
        <v>139</v>
      </c>
      <c r="C169" s="330">
        <f>'סיכום לוועדה'!B169</f>
        <v>1001347059</v>
      </c>
      <c r="D169" s="330">
        <f>'סיכום לוועדה'!C169</f>
        <v>1001264877</v>
      </c>
      <c r="E169" s="330">
        <f>'סיכום לוועדה'!D169</f>
        <v>41489885</v>
      </c>
      <c r="F169" s="330">
        <f>'סיכום לוועדה'!E169</f>
        <v>20000201</v>
      </c>
      <c r="G169" s="330" t="str">
        <f>'סיכום לוועדה'!F169</f>
        <v>תל אביב -יפו</v>
      </c>
      <c r="H169" s="317" t="str">
        <f>'סיכום לוועדה'!G169</f>
        <v>עמותה למחול ואמניות ניב שינפלד</v>
      </c>
      <c r="I169" s="318">
        <f>'סיכום לוועדה'!U169</f>
        <v>130000</v>
      </c>
      <c r="J169" s="319">
        <f>'סיכום לוועדה'!T169</f>
        <v>49332.071627061523</v>
      </c>
      <c r="K169" s="320">
        <f t="shared" si="40"/>
        <v>0</v>
      </c>
      <c r="L169" s="319">
        <f t="shared" si="41"/>
        <v>49332.071627061523</v>
      </c>
      <c r="M169" s="331">
        <f>'תחום תמיכה ב'!AF169</f>
        <v>2.2773763489266846E-4</v>
      </c>
      <c r="N169" s="319">
        <f t="shared" si="38"/>
        <v>53211.471083316457</v>
      </c>
      <c r="O169" s="321">
        <f t="shared" si="42"/>
        <v>0</v>
      </c>
      <c r="P169" s="322">
        <f t="shared" si="43"/>
        <v>53211.471083316457</v>
      </c>
      <c r="Q169" s="322">
        <f t="shared" si="44"/>
        <v>53235.699671450573</v>
      </c>
      <c r="R169" s="321">
        <f t="shared" si="45"/>
        <v>0</v>
      </c>
      <c r="S169" s="322">
        <f t="shared" si="46"/>
        <v>53235.699671450573</v>
      </c>
      <c r="T169" s="322">
        <f t="shared" si="47"/>
        <v>53235.699671450464</v>
      </c>
      <c r="U169" s="321">
        <f t="shared" si="48"/>
        <v>0</v>
      </c>
      <c r="V169" s="322">
        <f t="shared" si="49"/>
        <v>53235.699671450464</v>
      </c>
      <c r="W169" s="322">
        <f t="shared" si="50"/>
        <v>53235.699671450478</v>
      </c>
      <c r="X169" s="321">
        <f t="shared" si="51"/>
        <v>0</v>
      </c>
      <c r="Y169" s="322">
        <f t="shared" si="52"/>
        <v>53235.699671450478</v>
      </c>
      <c r="Z169" s="322">
        <f t="shared" si="53"/>
        <v>53235.699671450471</v>
      </c>
      <c r="AA169" s="323">
        <f t="shared" si="54"/>
        <v>53235.699671450471</v>
      </c>
      <c r="AB169" s="323"/>
      <c r="AC169" s="323"/>
      <c r="AD169" s="323"/>
      <c r="AE169" s="323"/>
      <c r="AF169" s="324">
        <f t="shared" si="55"/>
        <v>3.0486933010204356E-4</v>
      </c>
      <c r="AG169" s="312"/>
      <c r="AH169" s="312"/>
      <c r="AI169" s="325">
        <f t="shared" si="56"/>
        <v>1</v>
      </c>
      <c r="AJ169" s="312"/>
      <c r="AK169" s="312"/>
      <c r="AL169" s="312"/>
      <c r="AM169" s="312"/>
      <c r="AN169" s="312"/>
      <c r="AO169" s="312"/>
      <c r="AP169" s="312"/>
      <c r="AQ169" s="312"/>
      <c r="AR169" s="312"/>
      <c r="AS169" s="312"/>
      <c r="AT169" s="312"/>
      <c r="AU169" s="312"/>
      <c r="AV169" s="312"/>
      <c r="AW169" s="312"/>
      <c r="AX169" s="312"/>
      <c r="AY169" s="312"/>
      <c r="AZ169" s="312"/>
      <c r="BA169" s="312"/>
      <c r="BB169" s="312"/>
      <c r="BC169" s="312"/>
      <c r="BD169" s="312"/>
      <c r="BE169" s="312"/>
      <c r="BF169" s="312"/>
      <c r="BG169" s="312"/>
      <c r="BH169" s="312"/>
      <c r="BI169" s="312"/>
      <c r="BJ169" s="312"/>
      <c r="BK169" s="312"/>
      <c r="BL169" s="312"/>
      <c r="BM169" s="312"/>
      <c r="BN169" s="312"/>
      <c r="BO169" s="312"/>
      <c r="BP169" s="312"/>
      <c r="BQ169" s="312"/>
      <c r="BR169" s="312"/>
      <c r="BS169" s="312"/>
      <c r="BT169" s="312"/>
      <c r="BU169" s="312"/>
      <c r="BV169" s="312"/>
      <c r="BW169" s="312"/>
      <c r="BX169" s="312"/>
      <c r="BY169" s="312"/>
      <c r="BZ169" s="312"/>
      <c r="CA169" s="312"/>
      <c r="CB169" s="312"/>
      <c r="CC169" s="312"/>
      <c r="CD169" s="312"/>
      <c r="CE169" s="312"/>
      <c r="CF169" s="312"/>
      <c r="CG169" s="312"/>
      <c r="CH169" s="312"/>
      <c r="CI169" s="312"/>
      <c r="CJ169" s="312"/>
      <c r="CK169" s="312"/>
      <c r="CL169" s="312"/>
      <c r="CM169" s="312"/>
      <c r="CN169" s="312"/>
      <c r="CO169" s="312"/>
      <c r="CP169" s="312"/>
      <c r="CQ169" s="312"/>
      <c r="CR169" s="312"/>
      <c r="CS169" s="312"/>
      <c r="CT169" s="312"/>
      <c r="CU169" s="312"/>
      <c r="CV169" s="312"/>
      <c r="CW169" s="312"/>
      <c r="CX169" s="312"/>
      <c r="CY169" s="312"/>
      <c r="CZ169" s="312"/>
      <c r="DA169" s="312"/>
      <c r="DB169" s="312"/>
      <c r="DC169" s="312"/>
      <c r="DD169" s="312"/>
      <c r="DE169" s="312"/>
      <c r="DF169" s="312"/>
      <c r="DG169" s="312"/>
      <c r="DH169" s="312"/>
      <c r="DI169" s="312"/>
      <c r="DJ169" s="312"/>
      <c r="DK169" s="312"/>
      <c r="DL169" s="312"/>
      <c r="DM169" s="312"/>
      <c r="DN169" s="312"/>
      <c r="DO169" s="312"/>
      <c r="DP169" s="312"/>
      <c r="DQ169" s="312"/>
      <c r="DR169" s="312"/>
      <c r="DS169" s="312"/>
      <c r="DT169" s="312"/>
      <c r="DU169" s="312"/>
      <c r="DV169" s="312"/>
      <c r="DW169" s="312"/>
      <c r="DX169" s="312"/>
      <c r="DY169" s="312"/>
      <c r="DZ169" s="312"/>
      <c r="EA169" s="312"/>
      <c r="EB169" s="312"/>
      <c r="EC169" s="312"/>
      <c r="ED169" s="312"/>
      <c r="EE169" s="312"/>
      <c r="EF169" s="312"/>
      <c r="EG169" s="312"/>
      <c r="EH169" s="312"/>
      <c r="EI169" s="312"/>
      <c r="EJ169" s="312"/>
      <c r="EK169" s="312"/>
      <c r="EL169" s="312"/>
      <c r="EM169" s="312"/>
      <c r="EN169" s="312"/>
      <c r="EO169" s="312"/>
      <c r="EP169" s="312"/>
      <c r="EQ169" s="312"/>
      <c r="ER169" s="312"/>
      <c r="ES169" s="312"/>
      <c r="ET169" s="312"/>
      <c r="EU169" s="312"/>
      <c r="EV169" s="312"/>
      <c r="EW169" s="312"/>
      <c r="EX169" s="312"/>
      <c r="EY169" s="312"/>
      <c r="EZ169" s="312"/>
      <c r="FA169" s="312"/>
      <c r="FB169" s="312"/>
      <c r="FC169" s="312"/>
      <c r="FD169" s="312"/>
      <c r="FE169" s="312"/>
      <c r="FF169" s="312"/>
      <c r="FG169" s="312"/>
      <c r="FH169" s="312"/>
      <c r="FI169" s="312"/>
      <c r="FJ169" s="312"/>
      <c r="FK169" s="312"/>
      <c r="FL169" s="312"/>
      <c r="FM169" s="312"/>
      <c r="FN169" s="312"/>
      <c r="FO169" s="312"/>
      <c r="FP169" s="312"/>
      <c r="FQ169" s="312"/>
      <c r="FR169" s="312"/>
      <c r="FS169" s="312"/>
      <c r="FT169" s="312"/>
      <c r="FU169" s="312"/>
      <c r="FV169" s="312"/>
      <c r="FW169" s="312"/>
      <c r="FX169" s="312"/>
      <c r="FY169" s="312"/>
      <c r="FZ169" s="312"/>
      <c r="GA169" s="312"/>
      <c r="GB169" s="312"/>
      <c r="GC169" s="312"/>
      <c r="GD169" s="312"/>
      <c r="GE169" s="312"/>
      <c r="GF169" s="312"/>
      <c r="GG169" s="312"/>
      <c r="GH169" s="312"/>
      <c r="GI169" s="312"/>
      <c r="GJ169" s="312"/>
      <c r="GK169" s="312"/>
      <c r="GL169" s="312"/>
      <c r="GM169" s="312"/>
      <c r="GN169" s="312"/>
      <c r="GO169" s="312"/>
      <c r="GP169" s="312"/>
      <c r="GQ169" s="312"/>
      <c r="GR169" s="312"/>
      <c r="GS169" s="312"/>
      <c r="GT169" s="312"/>
      <c r="GU169" s="312"/>
      <c r="GV169" s="312"/>
      <c r="GW169" s="312"/>
      <c r="GX169" s="312"/>
      <c r="GY169" s="312"/>
    </row>
    <row r="170" spans="2:207" ht="15.75" x14ac:dyDescent="0.25">
      <c r="B170" s="316">
        <f t="shared" si="39"/>
        <v>140</v>
      </c>
      <c r="C170" s="330">
        <f>'סיכום לוועדה'!B170</f>
        <v>1001348829</v>
      </c>
      <c r="D170" s="330">
        <f>'סיכום לוועדה'!C170</f>
        <v>1001270276</v>
      </c>
      <c r="E170" s="330">
        <f>'סיכום לוועדה'!D170</f>
        <v>41489893</v>
      </c>
      <c r="F170" s="330">
        <f>'סיכום לוועדה'!E170</f>
        <v>20000201</v>
      </c>
      <c r="G170" s="330" t="str">
        <f>'סיכום לוועדה'!F170</f>
        <v>תל אביב -יפו</v>
      </c>
      <c r="H170" s="317" t="str">
        <f>'סיכום לוועדה'!G170</f>
        <v>תאטרון מחול יוסי ברג ועודד גרף</v>
      </c>
      <c r="I170" s="318">
        <f>'סיכום לוועדה'!U170</f>
        <v>200000</v>
      </c>
      <c r="J170" s="319">
        <f>'סיכום לוועדה'!T170</f>
        <v>43914.923404083143</v>
      </c>
      <c r="K170" s="320">
        <f t="shared" si="40"/>
        <v>0</v>
      </c>
      <c r="L170" s="319">
        <f t="shared" si="41"/>
        <v>43914.923404083143</v>
      </c>
      <c r="M170" s="331">
        <f>'תחום תמיכה ב'!AF170</f>
        <v>2.237584395036695E-4</v>
      </c>
      <c r="N170" s="319">
        <f t="shared" si="38"/>
        <v>47726.539209051414</v>
      </c>
      <c r="O170" s="321">
        <f t="shared" si="42"/>
        <v>0</v>
      </c>
      <c r="P170" s="322">
        <f t="shared" si="43"/>
        <v>47726.539209051414</v>
      </c>
      <c r="Q170" s="322">
        <f t="shared" si="44"/>
        <v>47748.270362842522</v>
      </c>
      <c r="R170" s="321">
        <f t="shared" si="45"/>
        <v>0</v>
      </c>
      <c r="S170" s="322">
        <f t="shared" si="46"/>
        <v>47748.270362842522</v>
      </c>
      <c r="T170" s="322">
        <f t="shared" si="47"/>
        <v>47748.270362842428</v>
      </c>
      <c r="U170" s="321">
        <f t="shared" si="48"/>
        <v>0</v>
      </c>
      <c r="V170" s="322">
        <f t="shared" si="49"/>
        <v>47748.270362842428</v>
      </c>
      <c r="W170" s="322">
        <f t="shared" si="50"/>
        <v>47748.270362842442</v>
      </c>
      <c r="X170" s="321">
        <f t="shared" si="51"/>
        <v>0</v>
      </c>
      <c r="Y170" s="322">
        <f t="shared" si="52"/>
        <v>47748.270362842442</v>
      </c>
      <c r="Z170" s="322">
        <f t="shared" si="53"/>
        <v>47748.270362842435</v>
      </c>
      <c r="AA170" s="323">
        <f t="shared" si="54"/>
        <v>47748.270362842435</v>
      </c>
      <c r="AB170" s="323"/>
      <c r="AC170" s="323"/>
      <c r="AD170" s="323"/>
      <c r="AE170" s="323"/>
      <c r="AF170" s="324">
        <f t="shared" si="55"/>
        <v>2.7344401010770847E-4</v>
      </c>
      <c r="AG170" s="312"/>
      <c r="AH170" s="312"/>
      <c r="AI170" s="325">
        <f t="shared" si="56"/>
        <v>1</v>
      </c>
      <c r="AJ170" s="312"/>
      <c r="AK170" s="312"/>
      <c r="AL170" s="312"/>
      <c r="AM170" s="312"/>
      <c r="AN170" s="312"/>
      <c r="AO170" s="312"/>
      <c r="AP170" s="312"/>
      <c r="AQ170" s="312"/>
      <c r="AR170" s="312"/>
      <c r="AS170" s="312"/>
      <c r="AT170" s="312"/>
      <c r="AU170" s="312"/>
      <c r="AV170" s="312"/>
      <c r="AW170" s="312"/>
      <c r="AX170" s="312"/>
      <c r="AY170" s="312"/>
      <c r="AZ170" s="312"/>
      <c r="BA170" s="312"/>
      <c r="BB170" s="312"/>
      <c r="BC170" s="312"/>
      <c r="BD170" s="312"/>
      <c r="BE170" s="312"/>
      <c r="BF170" s="312"/>
      <c r="BG170" s="312"/>
      <c r="BH170" s="312"/>
      <c r="BI170" s="312"/>
      <c r="BJ170" s="312"/>
      <c r="BK170" s="312"/>
      <c r="BL170" s="312"/>
      <c r="BM170" s="312"/>
      <c r="BN170" s="312"/>
      <c r="BO170" s="312"/>
      <c r="BP170" s="312"/>
      <c r="BQ170" s="312"/>
      <c r="BR170" s="312"/>
      <c r="BS170" s="312"/>
      <c r="BT170" s="312"/>
      <c r="BU170" s="312"/>
      <c r="BV170" s="312"/>
      <c r="BW170" s="312"/>
      <c r="BX170" s="312"/>
      <c r="BY170" s="312"/>
      <c r="BZ170" s="312"/>
      <c r="CA170" s="312"/>
      <c r="CB170" s="312"/>
      <c r="CC170" s="312"/>
      <c r="CD170" s="312"/>
      <c r="CE170" s="312"/>
      <c r="CF170" s="312"/>
      <c r="CG170" s="312"/>
      <c r="CH170" s="312"/>
      <c r="CI170" s="312"/>
      <c r="CJ170" s="312"/>
      <c r="CK170" s="312"/>
      <c r="CL170" s="312"/>
      <c r="CM170" s="312"/>
      <c r="CN170" s="312"/>
      <c r="CO170" s="312"/>
      <c r="CP170" s="312"/>
      <c r="CQ170" s="312"/>
      <c r="CR170" s="312"/>
      <c r="CS170" s="312"/>
      <c r="CT170" s="312"/>
      <c r="CU170" s="312"/>
      <c r="CV170" s="312"/>
      <c r="CW170" s="312"/>
      <c r="CX170" s="312"/>
      <c r="CY170" s="312"/>
      <c r="CZ170" s="312"/>
      <c r="DA170" s="312"/>
      <c r="DB170" s="312"/>
      <c r="DC170" s="312"/>
      <c r="DD170" s="312"/>
      <c r="DE170" s="312"/>
      <c r="DF170" s="312"/>
      <c r="DG170" s="312"/>
      <c r="DH170" s="312"/>
      <c r="DI170" s="312"/>
      <c r="DJ170" s="312"/>
      <c r="DK170" s="312"/>
      <c r="DL170" s="312"/>
      <c r="DM170" s="312"/>
      <c r="DN170" s="312"/>
      <c r="DO170" s="312"/>
      <c r="DP170" s="312"/>
      <c r="DQ170" s="312"/>
      <c r="DR170" s="312"/>
      <c r="DS170" s="312"/>
      <c r="DT170" s="312"/>
      <c r="DU170" s="312"/>
      <c r="DV170" s="312"/>
      <c r="DW170" s="312"/>
      <c r="DX170" s="312"/>
      <c r="DY170" s="312"/>
      <c r="DZ170" s="312"/>
      <c r="EA170" s="312"/>
      <c r="EB170" s="312"/>
      <c r="EC170" s="312"/>
      <c r="ED170" s="312"/>
      <c r="EE170" s="312"/>
      <c r="EF170" s="312"/>
      <c r="EG170" s="312"/>
      <c r="EH170" s="312"/>
      <c r="EI170" s="312"/>
      <c r="EJ170" s="312"/>
      <c r="EK170" s="312"/>
      <c r="EL170" s="312"/>
      <c r="EM170" s="312"/>
      <c r="EN170" s="312"/>
      <c r="EO170" s="312"/>
      <c r="EP170" s="312"/>
      <c r="EQ170" s="312"/>
      <c r="ER170" s="312"/>
      <c r="ES170" s="312"/>
      <c r="ET170" s="312"/>
      <c r="EU170" s="312"/>
      <c r="EV170" s="312"/>
      <c r="EW170" s="312"/>
      <c r="EX170" s="312"/>
      <c r="EY170" s="312"/>
      <c r="EZ170" s="312"/>
      <c r="FA170" s="312"/>
      <c r="FB170" s="312"/>
      <c r="FC170" s="312"/>
      <c r="FD170" s="312"/>
      <c r="FE170" s="312"/>
      <c r="FF170" s="312"/>
      <c r="FG170" s="312"/>
      <c r="FH170" s="312"/>
      <c r="FI170" s="312"/>
      <c r="FJ170" s="312"/>
      <c r="FK170" s="312"/>
      <c r="FL170" s="312"/>
      <c r="FM170" s="312"/>
      <c r="FN170" s="312"/>
      <c r="FO170" s="312"/>
      <c r="FP170" s="312"/>
      <c r="FQ170" s="312"/>
      <c r="FR170" s="312"/>
      <c r="FS170" s="312"/>
      <c r="FT170" s="312"/>
      <c r="FU170" s="312"/>
      <c r="FV170" s="312"/>
      <c r="FW170" s="312"/>
      <c r="FX170" s="312"/>
      <c r="FY170" s="312"/>
      <c r="FZ170" s="312"/>
      <c r="GA170" s="312"/>
      <c r="GB170" s="312"/>
      <c r="GC170" s="312"/>
      <c r="GD170" s="312"/>
      <c r="GE170" s="312"/>
      <c r="GF170" s="312"/>
      <c r="GG170" s="312"/>
      <c r="GH170" s="312"/>
      <c r="GI170" s="312"/>
      <c r="GJ170" s="312"/>
      <c r="GK170" s="312"/>
      <c r="GL170" s="312"/>
      <c r="GM170" s="312"/>
      <c r="GN170" s="312"/>
      <c r="GO170" s="312"/>
      <c r="GP170" s="312"/>
      <c r="GQ170" s="312"/>
      <c r="GR170" s="312"/>
      <c r="GS170" s="312"/>
      <c r="GT170" s="312"/>
      <c r="GU170" s="312"/>
      <c r="GV170" s="312"/>
      <c r="GW170" s="312"/>
      <c r="GX170" s="312"/>
      <c r="GY170" s="312"/>
    </row>
    <row r="171" spans="2:207" ht="15.75" x14ac:dyDescent="0.25">
      <c r="B171" s="316">
        <f t="shared" si="39"/>
        <v>141</v>
      </c>
      <c r="C171" s="330">
        <f>'סיכום לוועדה'!B171</f>
        <v>1001346762</v>
      </c>
      <c r="D171" s="330">
        <f>'סיכום לוועדה'!C171</f>
        <v>1001274754</v>
      </c>
      <c r="E171" s="330">
        <f>'סיכום לוועדה'!D171</f>
        <v>41512756</v>
      </c>
      <c r="F171" s="330">
        <f>'סיכום לוועדה'!E171</f>
        <v>20000071</v>
      </c>
      <c r="G171" s="330" t="str">
        <f>'סיכום לוועדה'!F171</f>
        <v>ריינה</v>
      </c>
      <c r="H171" s="317" t="str">
        <f>'סיכום לוועדה'!G171</f>
        <v>מרכז על-קלעה לאומנויות הבמה</v>
      </c>
      <c r="I171" s="318">
        <f>'סיכום לוועדה'!U171</f>
        <v>600000</v>
      </c>
      <c r="J171" s="319">
        <f>'סיכום לוועדה'!T171</f>
        <v>157076.6060343119</v>
      </c>
      <c r="K171" s="320">
        <f t="shared" si="40"/>
        <v>0</v>
      </c>
      <c r="L171" s="319">
        <f t="shared" si="41"/>
        <v>157076.6060343119</v>
      </c>
      <c r="M171" s="331">
        <f>'תחום תמיכה ב'!AF171</f>
        <v>1.1119671436738926E-3</v>
      </c>
      <c r="N171" s="319">
        <f t="shared" si="38"/>
        <v>176018.42359808396</v>
      </c>
      <c r="O171" s="321">
        <f t="shared" si="42"/>
        <v>0</v>
      </c>
      <c r="P171" s="322">
        <f t="shared" si="43"/>
        <v>176018.42359808396</v>
      </c>
      <c r="Q171" s="322">
        <f t="shared" si="44"/>
        <v>176098.56943511026</v>
      </c>
      <c r="R171" s="321">
        <f t="shared" si="45"/>
        <v>0</v>
      </c>
      <c r="S171" s="322">
        <f t="shared" si="46"/>
        <v>176098.56943511026</v>
      </c>
      <c r="T171" s="322">
        <f t="shared" si="47"/>
        <v>176098.56943510988</v>
      </c>
      <c r="U171" s="321">
        <f t="shared" si="48"/>
        <v>0</v>
      </c>
      <c r="V171" s="322">
        <f t="shared" si="49"/>
        <v>176098.56943510988</v>
      </c>
      <c r="W171" s="322">
        <f t="shared" si="50"/>
        <v>176098.56943510994</v>
      </c>
      <c r="X171" s="321">
        <f t="shared" si="51"/>
        <v>0</v>
      </c>
      <c r="Y171" s="322">
        <f t="shared" si="52"/>
        <v>176098.56943510994</v>
      </c>
      <c r="Z171" s="322">
        <f t="shared" si="53"/>
        <v>176098.56943510988</v>
      </c>
      <c r="AA171" s="323">
        <f t="shared" si="54"/>
        <v>176098.56943510988</v>
      </c>
      <c r="AB171" s="323"/>
      <c r="AC171" s="323"/>
      <c r="AD171" s="323"/>
      <c r="AE171" s="323"/>
      <c r="AF171" s="324">
        <f t="shared" si="55"/>
        <v>1.0084783937648093E-3</v>
      </c>
      <c r="AG171" s="312"/>
      <c r="AH171" s="312"/>
      <c r="AI171" s="325">
        <f t="shared" si="56"/>
        <v>1</v>
      </c>
      <c r="AJ171" s="312"/>
      <c r="AK171" s="312"/>
      <c r="AL171" s="312"/>
      <c r="AM171" s="312"/>
      <c r="AN171" s="312"/>
      <c r="AO171" s="312"/>
      <c r="AP171" s="312"/>
      <c r="AQ171" s="312"/>
      <c r="AR171" s="312"/>
      <c r="AS171" s="312"/>
      <c r="AT171" s="312"/>
      <c r="AU171" s="312"/>
      <c r="AV171" s="312"/>
      <c r="AW171" s="312"/>
      <c r="AX171" s="312"/>
      <c r="AY171" s="312"/>
      <c r="AZ171" s="312"/>
      <c r="BA171" s="312"/>
      <c r="BB171" s="312"/>
      <c r="BC171" s="312"/>
      <c r="BD171" s="312"/>
      <c r="BE171" s="312"/>
      <c r="BF171" s="312"/>
      <c r="BG171" s="312"/>
      <c r="BH171" s="312"/>
      <c r="BI171" s="312"/>
      <c r="BJ171" s="312"/>
      <c r="BK171" s="312"/>
      <c r="BL171" s="312"/>
      <c r="BM171" s="312"/>
      <c r="BN171" s="312"/>
      <c r="BO171" s="312"/>
      <c r="BP171" s="312"/>
      <c r="BQ171" s="312"/>
      <c r="BR171" s="312"/>
      <c r="BS171" s="312"/>
      <c r="BT171" s="312"/>
      <c r="BU171" s="312"/>
      <c r="BV171" s="312"/>
      <c r="BW171" s="312"/>
      <c r="BX171" s="312"/>
      <c r="BY171" s="312"/>
      <c r="BZ171" s="312"/>
      <c r="CA171" s="312"/>
      <c r="CB171" s="312"/>
      <c r="CC171" s="312"/>
      <c r="CD171" s="312"/>
      <c r="CE171" s="312"/>
      <c r="CF171" s="312"/>
      <c r="CG171" s="312"/>
      <c r="CH171" s="312"/>
      <c r="CI171" s="312"/>
      <c r="CJ171" s="312"/>
      <c r="CK171" s="312"/>
      <c r="CL171" s="312"/>
      <c r="CM171" s="312"/>
      <c r="CN171" s="312"/>
      <c r="CO171" s="312"/>
      <c r="CP171" s="312"/>
      <c r="CQ171" s="312"/>
      <c r="CR171" s="312"/>
      <c r="CS171" s="312"/>
      <c r="CT171" s="312"/>
      <c r="CU171" s="312"/>
      <c r="CV171" s="312"/>
      <c r="CW171" s="312"/>
      <c r="CX171" s="312"/>
      <c r="CY171" s="312"/>
      <c r="CZ171" s="312"/>
      <c r="DA171" s="312"/>
      <c r="DB171" s="312"/>
      <c r="DC171" s="312"/>
      <c r="DD171" s="312"/>
      <c r="DE171" s="312"/>
      <c r="DF171" s="312"/>
      <c r="DG171" s="312"/>
      <c r="DH171" s="312"/>
      <c r="DI171" s="312"/>
      <c r="DJ171" s="312"/>
      <c r="DK171" s="312"/>
      <c r="DL171" s="312"/>
      <c r="DM171" s="312"/>
      <c r="DN171" s="312"/>
      <c r="DO171" s="312"/>
      <c r="DP171" s="312"/>
      <c r="DQ171" s="312"/>
      <c r="DR171" s="312"/>
      <c r="DS171" s="312"/>
      <c r="DT171" s="312"/>
      <c r="DU171" s="312"/>
      <c r="DV171" s="312"/>
      <c r="DW171" s="312"/>
      <c r="DX171" s="312"/>
      <c r="DY171" s="312"/>
      <c r="DZ171" s="312"/>
      <c r="EA171" s="312"/>
      <c r="EB171" s="312"/>
      <c r="EC171" s="312"/>
      <c r="ED171" s="312"/>
      <c r="EE171" s="312"/>
      <c r="EF171" s="312"/>
      <c r="EG171" s="312"/>
      <c r="EH171" s="312"/>
      <c r="EI171" s="312"/>
      <c r="EJ171" s="312"/>
      <c r="EK171" s="312"/>
      <c r="EL171" s="312"/>
      <c r="EM171" s="312"/>
      <c r="EN171" s="312"/>
      <c r="EO171" s="312"/>
      <c r="EP171" s="312"/>
      <c r="EQ171" s="312"/>
      <c r="ER171" s="312"/>
      <c r="ES171" s="312"/>
      <c r="ET171" s="312"/>
      <c r="EU171" s="312"/>
      <c r="EV171" s="312"/>
      <c r="EW171" s="312"/>
      <c r="EX171" s="312"/>
      <c r="EY171" s="312"/>
      <c r="EZ171" s="312"/>
      <c r="FA171" s="312"/>
      <c r="FB171" s="312"/>
      <c r="FC171" s="312"/>
      <c r="FD171" s="312"/>
      <c r="FE171" s="312"/>
      <c r="FF171" s="312"/>
      <c r="FG171" s="312"/>
      <c r="FH171" s="312"/>
      <c r="FI171" s="312"/>
      <c r="FJ171" s="312"/>
      <c r="FK171" s="312"/>
      <c r="FL171" s="312"/>
      <c r="FM171" s="312"/>
      <c r="FN171" s="312"/>
      <c r="FO171" s="312"/>
      <c r="FP171" s="312"/>
      <c r="FQ171" s="312"/>
      <c r="FR171" s="312"/>
      <c r="FS171" s="312"/>
      <c r="FT171" s="312"/>
      <c r="FU171" s="312"/>
      <c r="FV171" s="312"/>
      <c r="FW171" s="312"/>
      <c r="FX171" s="312"/>
      <c r="FY171" s="312"/>
      <c r="FZ171" s="312"/>
      <c r="GA171" s="312"/>
      <c r="GB171" s="312"/>
      <c r="GC171" s="312"/>
      <c r="GD171" s="312"/>
      <c r="GE171" s="312"/>
      <c r="GF171" s="312"/>
      <c r="GG171" s="312"/>
      <c r="GH171" s="312"/>
      <c r="GI171" s="312"/>
      <c r="GJ171" s="312"/>
      <c r="GK171" s="312"/>
      <c r="GL171" s="312"/>
      <c r="GM171" s="312"/>
      <c r="GN171" s="312"/>
      <c r="GO171" s="312"/>
      <c r="GP171" s="312"/>
      <c r="GQ171" s="312"/>
      <c r="GR171" s="312"/>
      <c r="GS171" s="312"/>
      <c r="GT171" s="312"/>
      <c r="GU171" s="312"/>
      <c r="GV171" s="312"/>
      <c r="GW171" s="312"/>
      <c r="GX171" s="312"/>
      <c r="GY171" s="312"/>
    </row>
    <row r="172" spans="2:207" ht="15.75" x14ac:dyDescent="0.25">
      <c r="B172" s="316">
        <f t="shared" si="39"/>
        <v>142</v>
      </c>
      <c r="C172" s="330">
        <f>'סיכום לוועדה'!B172</f>
        <v>1001348970</v>
      </c>
      <c r="D172" s="330">
        <f>'סיכום לוועדה'!C172</f>
        <v>1001274728</v>
      </c>
      <c r="E172" s="330">
        <f>'סיכום לוועדה'!D172</f>
        <v>41512788</v>
      </c>
      <c r="F172" s="330">
        <f>'סיכום לוועדה'!E172</f>
        <v>20000201</v>
      </c>
      <c r="G172" s="330" t="str">
        <f>'סיכום לוועדה'!F172</f>
        <v>תל אביב -יפו</v>
      </c>
      <c r="H172" s="317" t="str">
        <f>'סיכום לוועדה'!G172</f>
        <v>פלטפורמא - תיאטרון אקטיביסטי</v>
      </c>
      <c r="I172" s="318">
        <f>'סיכום לוועדה'!U172</f>
        <v>153427</v>
      </c>
      <c r="J172" s="319">
        <f>'סיכום לוועדה'!T172</f>
        <v>80588.655831823766</v>
      </c>
      <c r="K172" s="320">
        <f t="shared" si="40"/>
        <v>0</v>
      </c>
      <c r="L172" s="319">
        <f t="shared" si="41"/>
        <v>80588.655831823766</v>
      </c>
      <c r="M172" s="331">
        <f>'תחום תמיכה ב'!AF172</f>
        <v>5.8458228590779976E-4</v>
      </c>
      <c r="N172" s="319">
        <f t="shared" si="38"/>
        <v>90546.729749451828</v>
      </c>
      <c r="O172" s="321">
        <f t="shared" si="42"/>
        <v>0</v>
      </c>
      <c r="P172" s="322">
        <f t="shared" si="43"/>
        <v>90546.729749451828</v>
      </c>
      <c r="Q172" s="322">
        <f t="shared" si="44"/>
        <v>90587.95806690531</v>
      </c>
      <c r="R172" s="321">
        <f t="shared" si="45"/>
        <v>0</v>
      </c>
      <c r="S172" s="322">
        <f t="shared" si="46"/>
        <v>90587.95806690531</v>
      </c>
      <c r="T172" s="322">
        <f t="shared" si="47"/>
        <v>90587.958066905136</v>
      </c>
      <c r="U172" s="321">
        <f t="shared" si="48"/>
        <v>0</v>
      </c>
      <c r="V172" s="322">
        <f t="shared" si="49"/>
        <v>90587.958066905136</v>
      </c>
      <c r="W172" s="322">
        <f t="shared" si="50"/>
        <v>90587.958066905165</v>
      </c>
      <c r="X172" s="321">
        <f t="shared" si="51"/>
        <v>0</v>
      </c>
      <c r="Y172" s="322">
        <f t="shared" si="52"/>
        <v>90587.958066905165</v>
      </c>
      <c r="Z172" s="322">
        <f t="shared" si="53"/>
        <v>90587.95806690515</v>
      </c>
      <c r="AA172" s="323">
        <f t="shared" si="54"/>
        <v>90587.95806690515</v>
      </c>
      <c r="AB172" s="323"/>
      <c r="AC172" s="323"/>
      <c r="AD172" s="323"/>
      <c r="AE172" s="323"/>
      <c r="AF172" s="324">
        <f t="shared" si="55"/>
        <v>5.1877762970362995E-4</v>
      </c>
      <c r="AG172" s="312"/>
      <c r="AH172" s="312"/>
      <c r="AI172" s="325">
        <f t="shared" si="56"/>
        <v>1</v>
      </c>
      <c r="AJ172" s="312"/>
      <c r="AK172" s="312"/>
      <c r="AL172" s="312"/>
      <c r="AM172" s="312"/>
      <c r="AN172" s="312"/>
      <c r="AO172" s="312"/>
      <c r="AP172" s="312"/>
      <c r="AQ172" s="312"/>
      <c r="AR172" s="312"/>
      <c r="AS172" s="312"/>
      <c r="AT172" s="312"/>
      <c r="AU172" s="312"/>
      <c r="AV172" s="312"/>
      <c r="AW172" s="312"/>
      <c r="AX172" s="312"/>
      <c r="AY172" s="312"/>
      <c r="AZ172" s="312"/>
      <c r="BA172" s="312"/>
      <c r="BB172" s="312"/>
      <c r="BC172" s="312"/>
      <c r="BD172" s="312"/>
      <c r="BE172" s="312"/>
      <c r="BF172" s="312"/>
      <c r="BG172" s="312"/>
      <c r="BH172" s="312"/>
      <c r="BI172" s="312"/>
      <c r="BJ172" s="312"/>
      <c r="BK172" s="312"/>
      <c r="BL172" s="312"/>
      <c r="BM172" s="312"/>
      <c r="BN172" s="312"/>
      <c r="BO172" s="312"/>
      <c r="BP172" s="312"/>
      <c r="BQ172" s="312"/>
      <c r="BR172" s="312"/>
      <c r="BS172" s="312"/>
      <c r="BT172" s="312"/>
      <c r="BU172" s="312"/>
      <c r="BV172" s="312"/>
      <c r="BW172" s="312"/>
      <c r="BX172" s="312"/>
      <c r="BY172" s="312"/>
      <c r="BZ172" s="312"/>
      <c r="CA172" s="312"/>
      <c r="CB172" s="312"/>
      <c r="CC172" s="312"/>
      <c r="CD172" s="312"/>
      <c r="CE172" s="312"/>
      <c r="CF172" s="312"/>
      <c r="CG172" s="312"/>
      <c r="CH172" s="312"/>
      <c r="CI172" s="312"/>
      <c r="CJ172" s="312"/>
      <c r="CK172" s="312"/>
      <c r="CL172" s="312"/>
      <c r="CM172" s="312"/>
      <c r="CN172" s="312"/>
      <c r="CO172" s="312"/>
      <c r="CP172" s="312"/>
      <c r="CQ172" s="312"/>
      <c r="CR172" s="312"/>
      <c r="CS172" s="312"/>
      <c r="CT172" s="312"/>
      <c r="CU172" s="312"/>
      <c r="CV172" s="312"/>
      <c r="CW172" s="312"/>
      <c r="CX172" s="312"/>
      <c r="CY172" s="312"/>
      <c r="CZ172" s="312"/>
      <c r="DA172" s="312"/>
      <c r="DB172" s="312"/>
      <c r="DC172" s="312"/>
      <c r="DD172" s="312"/>
      <c r="DE172" s="312"/>
      <c r="DF172" s="312"/>
      <c r="DG172" s="312"/>
      <c r="DH172" s="312"/>
      <c r="DI172" s="312"/>
      <c r="DJ172" s="312"/>
      <c r="DK172" s="312"/>
      <c r="DL172" s="312"/>
      <c r="DM172" s="312"/>
      <c r="DN172" s="312"/>
      <c r="DO172" s="312"/>
      <c r="DP172" s="312"/>
      <c r="DQ172" s="312"/>
      <c r="DR172" s="312"/>
      <c r="DS172" s="312"/>
      <c r="DT172" s="312"/>
      <c r="DU172" s="312"/>
      <c r="DV172" s="312"/>
      <c r="DW172" s="312"/>
      <c r="DX172" s="312"/>
      <c r="DY172" s="312"/>
      <c r="DZ172" s="312"/>
      <c r="EA172" s="312"/>
      <c r="EB172" s="312"/>
      <c r="EC172" s="312"/>
      <c r="ED172" s="312"/>
      <c r="EE172" s="312"/>
      <c r="EF172" s="312"/>
      <c r="EG172" s="312"/>
      <c r="EH172" s="312"/>
      <c r="EI172" s="312"/>
      <c r="EJ172" s="312"/>
      <c r="EK172" s="312"/>
      <c r="EL172" s="312"/>
      <c r="EM172" s="312"/>
      <c r="EN172" s="312"/>
      <c r="EO172" s="312"/>
      <c r="EP172" s="312"/>
      <c r="EQ172" s="312"/>
      <c r="ER172" s="312"/>
      <c r="ES172" s="312"/>
      <c r="ET172" s="312"/>
      <c r="EU172" s="312"/>
      <c r="EV172" s="312"/>
      <c r="EW172" s="312"/>
      <c r="EX172" s="312"/>
      <c r="EY172" s="312"/>
      <c r="EZ172" s="312"/>
      <c r="FA172" s="312"/>
      <c r="FB172" s="312"/>
      <c r="FC172" s="312"/>
      <c r="FD172" s="312"/>
      <c r="FE172" s="312"/>
      <c r="FF172" s="312"/>
      <c r="FG172" s="312"/>
      <c r="FH172" s="312"/>
      <c r="FI172" s="312"/>
      <c r="FJ172" s="312"/>
      <c r="FK172" s="312"/>
      <c r="FL172" s="312"/>
      <c r="FM172" s="312"/>
      <c r="FN172" s="312"/>
      <c r="FO172" s="312"/>
      <c r="FP172" s="312"/>
      <c r="FQ172" s="312"/>
      <c r="FR172" s="312"/>
      <c r="FS172" s="312"/>
      <c r="FT172" s="312"/>
      <c r="FU172" s="312"/>
      <c r="FV172" s="312"/>
      <c r="FW172" s="312"/>
      <c r="FX172" s="312"/>
      <c r="FY172" s="312"/>
      <c r="FZ172" s="312"/>
      <c r="GA172" s="312"/>
      <c r="GB172" s="312"/>
      <c r="GC172" s="312"/>
      <c r="GD172" s="312"/>
      <c r="GE172" s="312"/>
      <c r="GF172" s="312"/>
      <c r="GG172" s="312"/>
      <c r="GH172" s="312"/>
      <c r="GI172" s="312"/>
      <c r="GJ172" s="312"/>
      <c r="GK172" s="312"/>
      <c r="GL172" s="312"/>
      <c r="GM172" s="312"/>
      <c r="GN172" s="312"/>
      <c r="GO172" s="312"/>
      <c r="GP172" s="312"/>
      <c r="GQ172" s="312"/>
      <c r="GR172" s="312"/>
      <c r="GS172" s="312"/>
      <c r="GT172" s="312"/>
      <c r="GU172" s="312"/>
      <c r="GV172" s="312"/>
      <c r="GW172" s="312"/>
      <c r="GX172" s="312"/>
      <c r="GY172" s="312"/>
    </row>
    <row r="173" spans="2:207" ht="15.75" x14ac:dyDescent="0.25">
      <c r="B173" s="316">
        <f t="shared" si="39"/>
        <v>143</v>
      </c>
      <c r="C173" s="330">
        <f>'סיכום לוועדה'!B173</f>
        <v>1001350042</v>
      </c>
      <c r="D173" s="330">
        <f>'סיכום לוועדה'!C173</f>
        <v>1001271349</v>
      </c>
      <c r="E173" s="330">
        <f>'סיכום לוועדה'!D173</f>
        <v>41553249</v>
      </c>
      <c r="F173" s="330">
        <f>'סיכום לוועדה'!E173</f>
        <v>20000201</v>
      </c>
      <c r="G173" s="330" t="str">
        <f>'סיכום לוועדה'!F173</f>
        <v>תל אביב -יפו</v>
      </c>
      <c r="H173" s="317" t="str">
        <f>'סיכום לוועדה'!G173</f>
        <v>גליא</v>
      </c>
      <c r="I173" s="318">
        <f>'סיכום לוועדה'!U173</f>
        <v>3200000</v>
      </c>
      <c r="J173" s="319">
        <f>'סיכום לוועדה'!T173</f>
        <v>241736.94194943778</v>
      </c>
      <c r="K173" s="320">
        <f t="shared" si="40"/>
        <v>0</v>
      </c>
      <c r="L173" s="319">
        <f t="shared" si="41"/>
        <v>241736.94194943778</v>
      </c>
      <c r="M173" s="331">
        <f>'תחום תמיכה ב'!AF173</f>
        <v>1.2999440028216062E-3</v>
      </c>
      <c r="N173" s="319">
        <f t="shared" si="38"/>
        <v>263880.85356108134</v>
      </c>
      <c r="O173" s="321">
        <f t="shared" si="42"/>
        <v>0</v>
      </c>
      <c r="P173" s="322">
        <f t="shared" si="43"/>
        <v>263880.85356108134</v>
      </c>
      <c r="Q173" s="322">
        <f t="shared" si="44"/>
        <v>264001.00548297423</v>
      </c>
      <c r="R173" s="321">
        <f t="shared" si="45"/>
        <v>0</v>
      </c>
      <c r="S173" s="322">
        <f t="shared" si="46"/>
        <v>264001.00548297423</v>
      </c>
      <c r="T173" s="322">
        <f t="shared" si="47"/>
        <v>264001.00548297371</v>
      </c>
      <c r="U173" s="321">
        <f t="shared" si="48"/>
        <v>0</v>
      </c>
      <c r="V173" s="322">
        <f t="shared" si="49"/>
        <v>264001.00548297371</v>
      </c>
      <c r="W173" s="322">
        <f t="shared" si="50"/>
        <v>264001.00548297382</v>
      </c>
      <c r="X173" s="321">
        <f t="shared" si="51"/>
        <v>0</v>
      </c>
      <c r="Y173" s="322">
        <f t="shared" si="52"/>
        <v>264001.00548297382</v>
      </c>
      <c r="Z173" s="322">
        <f t="shared" si="53"/>
        <v>264001.00548297376</v>
      </c>
      <c r="AA173" s="323">
        <f t="shared" si="54"/>
        <v>264001.00548297376</v>
      </c>
      <c r="AB173" s="323"/>
      <c r="AC173" s="323"/>
      <c r="AD173" s="323"/>
      <c r="AE173" s="323"/>
      <c r="AF173" s="324">
        <f t="shared" si="55"/>
        <v>1.511876620098665E-3</v>
      </c>
      <c r="AG173" s="312"/>
      <c r="AH173" s="312"/>
      <c r="AI173" s="325">
        <f t="shared" si="56"/>
        <v>1</v>
      </c>
      <c r="AJ173" s="312"/>
      <c r="AK173" s="312"/>
      <c r="AL173" s="312"/>
      <c r="AM173" s="312"/>
      <c r="AN173" s="312"/>
      <c r="AO173" s="312"/>
      <c r="AP173" s="312"/>
      <c r="AQ173" s="312"/>
      <c r="AR173" s="312"/>
      <c r="AS173" s="312"/>
      <c r="AT173" s="312"/>
      <c r="AU173" s="312"/>
      <c r="AV173" s="312"/>
      <c r="AW173" s="312"/>
      <c r="AX173" s="312"/>
      <c r="AY173" s="312"/>
      <c r="AZ173" s="312"/>
      <c r="BA173" s="312"/>
      <c r="BB173" s="312"/>
      <c r="BC173" s="312"/>
      <c r="BD173" s="312"/>
      <c r="BE173" s="312"/>
      <c r="BF173" s="312"/>
      <c r="BG173" s="312"/>
      <c r="BH173" s="312"/>
      <c r="BI173" s="312"/>
      <c r="BJ173" s="312"/>
      <c r="BK173" s="312"/>
      <c r="BL173" s="312"/>
      <c r="BM173" s="312"/>
      <c r="BN173" s="312"/>
      <c r="BO173" s="312"/>
      <c r="BP173" s="312"/>
      <c r="BQ173" s="312"/>
      <c r="BR173" s="312"/>
      <c r="BS173" s="312"/>
      <c r="BT173" s="312"/>
      <c r="BU173" s="312"/>
      <c r="BV173" s="312"/>
      <c r="BW173" s="312"/>
      <c r="BX173" s="312"/>
      <c r="BY173" s="312"/>
      <c r="BZ173" s="312"/>
      <c r="CA173" s="312"/>
      <c r="CB173" s="312"/>
      <c r="CC173" s="312"/>
      <c r="CD173" s="312"/>
      <c r="CE173" s="312"/>
      <c r="CF173" s="312"/>
      <c r="CG173" s="312"/>
      <c r="CH173" s="312"/>
      <c r="CI173" s="312"/>
      <c r="CJ173" s="312"/>
      <c r="CK173" s="312"/>
      <c r="CL173" s="312"/>
      <c r="CM173" s="312"/>
      <c r="CN173" s="312"/>
      <c r="CO173" s="312"/>
      <c r="CP173" s="312"/>
      <c r="CQ173" s="312"/>
      <c r="CR173" s="312"/>
      <c r="CS173" s="312"/>
      <c r="CT173" s="312"/>
      <c r="CU173" s="312"/>
      <c r="CV173" s="312"/>
      <c r="CW173" s="312"/>
      <c r="CX173" s="312"/>
      <c r="CY173" s="312"/>
      <c r="CZ173" s="312"/>
      <c r="DA173" s="312"/>
      <c r="DB173" s="312"/>
      <c r="DC173" s="312"/>
      <c r="DD173" s="312"/>
      <c r="DE173" s="312"/>
      <c r="DF173" s="312"/>
      <c r="DG173" s="312"/>
      <c r="DH173" s="312"/>
      <c r="DI173" s="312"/>
      <c r="DJ173" s="312"/>
      <c r="DK173" s="312"/>
      <c r="DL173" s="312"/>
      <c r="DM173" s="312"/>
      <c r="DN173" s="312"/>
      <c r="DO173" s="312"/>
      <c r="DP173" s="312"/>
      <c r="DQ173" s="312"/>
      <c r="DR173" s="312"/>
      <c r="DS173" s="312"/>
      <c r="DT173" s="312"/>
      <c r="DU173" s="312"/>
      <c r="DV173" s="312"/>
      <c r="DW173" s="312"/>
      <c r="DX173" s="312"/>
      <c r="DY173" s="312"/>
      <c r="DZ173" s="312"/>
      <c r="EA173" s="312"/>
      <c r="EB173" s="312"/>
      <c r="EC173" s="312"/>
      <c r="ED173" s="312"/>
      <c r="EE173" s="312"/>
      <c r="EF173" s="312"/>
      <c r="EG173" s="312"/>
      <c r="EH173" s="312"/>
      <c r="EI173" s="312"/>
      <c r="EJ173" s="312"/>
      <c r="EK173" s="312"/>
      <c r="EL173" s="312"/>
      <c r="EM173" s="312"/>
      <c r="EN173" s="312"/>
      <c r="EO173" s="312"/>
      <c r="EP173" s="312"/>
      <c r="EQ173" s="312"/>
      <c r="ER173" s="312"/>
      <c r="ES173" s="312"/>
      <c r="ET173" s="312"/>
      <c r="EU173" s="312"/>
      <c r="EV173" s="312"/>
      <c r="EW173" s="312"/>
      <c r="EX173" s="312"/>
      <c r="EY173" s="312"/>
      <c r="EZ173" s="312"/>
      <c r="FA173" s="312"/>
      <c r="FB173" s="312"/>
      <c r="FC173" s="312"/>
      <c r="FD173" s="312"/>
      <c r="FE173" s="312"/>
      <c r="FF173" s="312"/>
      <c r="FG173" s="312"/>
      <c r="FH173" s="312"/>
      <c r="FI173" s="312"/>
      <c r="FJ173" s="312"/>
      <c r="FK173" s="312"/>
      <c r="FL173" s="312"/>
      <c r="FM173" s="312"/>
      <c r="FN173" s="312"/>
      <c r="FO173" s="312"/>
      <c r="FP173" s="312"/>
      <c r="FQ173" s="312"/>
      <c r="FR173" s="312"/>
      <c r="FS173" s="312"/>
      <c r="FT173" s="312"/>
      <c r="FU173" s="312"/>
      <c r="FV173" s="312"/>
      <c r="FW173" s="312"/>
      <c r="FX173" s="312"/>
      <c r="FY173" s="312"/>
      <c r="FZ173" s="312"/>
      <c r="GA173" s="312"/>
      <c r="GB173" s="312"/>
      <c r="GC173" s="312"/>
      <c r="GD173" s="312"/>
      <c r="GE173" s="312"/>
      <c r="GF173" s="312"/>
      <c r="GG173" s="312"/>
      <c r="GH173" s="312"/>
      <c r="GI173" s="312"/>
      <c r="GJ173" s="312"/>
      <c r="GK173" s="312"/>
      <c r="GL173" s="312"/>
      <c r="GM173" s="312"/>
      <c r="GN173" s="312"/>
      <c r="GO173" s="312"/>
      <c r="GP173" s="312"/>
      <c r="GQ173" s="312"/>
      <c r="GR173" s="312"/>
      <c r="GS173" s="312"/>
      <c r="GT173" s="312"/>
      <c r="GU173" s="312"/>
      <c r="GV173" s="312"/>
      <c r="GW173" s="312"/>
      <c r="GX173" s="312"/>
      <c r="GY173" s="312"/>
    </row>
    <row r="174" spans="2:207" ht="15.75" x14ac:dyDescent="0.25">
      <c r="B174" s="316">
        <f t="shared" si="39"/>
        <v>144</v>
      </c>
      <c r="C174" s="330">
        <f>'סיכום לוועדה'!B174</f>
        <v>1001348949</v>
      </c>
      <c r="D174" s="330">
        <f>'סיכום לוועדה'!C174</f>
        <v>1001290266</v>
      </c>
      <c r="E174" s="330">
        <f>'סיכום לוועדה'!D174</f>
        <v>40997665</v>
      </c>
      <c r="F174" s="330">
        <f>'סיכום לוועדה'!E174</f>
        <v>20000201</v>
      </c>
      <c r="G174" s="330" t="str">
        <f>'סיכום לוועדה'!F174</f>
        <v>תל אביב -יפו</v>
      </c>
      <c r="H174" s="317" t="str">
        <f>'סיכום לוועדה'!G174</f>
        <v>אלמינא - בית ליוצרים</v>
      </c>
      <c r="I174" s="318">
        <f>'סיכום לוועדה'!U174</f>
        <v>1600000</v>
      </c>
      <c r="J174" s="319">
        <f>'סיכום לוועדה'!T174</f>
        <v>181260.51747002275</v>
      </c>
      <c r="K174" s="320">
        <f t="shared" si="40"/>
        <v>0</v>
      </c>
      <c r="L174" s="319">
        <f t="shared" si="41"/>
        <v>181260.51747002275</v>
      </c>
      <c r="M174" s="331">
        <f>'תחום תמיכה ב'!AF174</f>
        <v>8.6369351414287933E-4</v>
      </c>
      <c r="N174" s="319">
        <f t="shared" si="38"/>
        <v>195973.11493208003</v>
      </c>
      <c r="O174" s="321">
        <f t="shared" si="42"/>
        <v>0</v>
      </c>
      <c r="P174" s="322">
        <f t="shared" si="43"/>
        <v>195973.11493208003</v>
      </c>
      <c r="Q174" s="322">
        <f t="shared" si="44"/>
        <v>196062.3466670872</v>
      </c>
      <c r="R174" s="321">
        <f t="shared" si="45"/>
        <v>0</v>
      </c>
      <c r="S174" s="322">
        <f t="shared" si="46"/>
        <v>196062.3466670872</v>
      </c>
      <c r="T174" s="322">
        <f t="shared" si="47"/>
        <v>196062.34666708679</v>
      </c>
      <c r="U174" s="321">
        <f t="shared" si="48"/>
        <v>0</v>
      </c>
      <c r="V174" s="322">
        <f t="shared" si="49"/>
        <v>196062.34666708679</v>
      </c>
      <c r="W174" s="322">
        <f t="shared" si="50"/>
        <v>196062.34666708688</v>
      </c>
      <c r="X174" s="321">
        <f t="shared" si="51"/>
        <v>0</v>
      </c>
      <c r="Y174" s="322">
        <f t="shared" si="52"/>
        <v>196062.34666708688</v>
      </c>
      <c r="Z174" s="322">
        <f t="shared" si="53"/>
        <v>196062.34666708685</v>
      </c>
      <c r="AA174" s="323">
        <f t="shared" si="54"/>
        <v>196062.34666708685</v>
      </c>
      <c r="AB174" s="323"/>
      <c r="AC174" s="323"/>
      <c r="AD174" s="323"/>
      <c r="AE174" s="323"/>
      <c r="AF174" s="324">
        <f t="shared" si="55"/>
        <v>1.1228066251693317E-3</v>
      </c>
      <c r="AG174" s="312"/>
      <c r="AH174" s="312"/>
      <c r="AI174" s="325">
        <f t="shared" si="56"/>
        <v>1</v>
      </c>
      <c r="AJ174" s="312"/>
      <c r="AK174" s="312"/>
      <c r="AL174" s="312"/>
      <c r="AM174" s="312"/>
      <c r="AN174" s="312"/>
      <c r="AO174" s="312"/>
      <c r="AP174" s="312"/>
      <c r="AQ174" s="312"/>
      <c r="AR174" s="312"/>
      <c r="AS174" s="312"/>
      <c r="AT174" s="312"/>
      <c r="AU174" s="312"/>
      <c r="AV174" s="312"/>
      <c r="AW174" s="312"/>
      <c r="AX174" s="312"/>
      <c r="AY174" s="312"/>
      <c r="AZ174" s="312"/>
      <c r="BA174" s="312"/>
      <c r="BB174" s="312"/>
      <c r="BC174" s="312"/>
      <c r="BD174" s="312"/>
      <c r="BE174" s="312"/>
      <c r="BF174" s="312"/>
      <c r="BG174" s="312"/>
      <c r="BH174" s="312"/>
      <c r="BI174" s="312"/>
      <c r="BJ174" s="312"/>
      <c r="BK174" s="312"/>
      <c r="BL174" s="312"/>
      <c r="BM174" s="312"/>
      <c r="BN174" s="312"/>
      <c r="BO174" s="312"/>
      <c r="BP174" s="312"/>
      <c r="BQ174" s="312"/>
      <c r="BR174" s="312"/>
      <c r="BS174" s="312"/>
      <c r="BT174" s="312"/>
      <c r="BU174" s="312"/>
      <c r="BV174" s="312"/>
      <c r="BW174" s="312"/>
      <c r="BX174" s="312"/>
      <c r="BY174" s="312"/>
      <c r="BZ174" s="312"/>
      <c r="CA174" s="312"/>
      <c r="CB174" s="312"/>
      <c r="CC174" s="312"/>
      <c r="CD174" s="312"/>
      <c r="CE174" s="312"/>
      <c r="CF174" s="312"/>
      <c r="CG174" s="312"/>
      <c r="CH174" s="312"/>
      <c r="CI174" s="312"/>
      <c r="CJ174" s="312"/>
      <c r="CK174" s="312"/>
      <c r="CL174" s="312"/>
      <c r="CM174" s="312"/>
      <c r="CN174" s="312"/>
      <c r="CO174" s="312"/>
      <c r="CP174" s="312"/>
      <c r="CQ174" s="312"/>
      <c r="CR174" s="312"/>
      <c r="CS174" s="312"/>
      <c r="CT174" s="312"/>
      <c r="CU174" s="312"/>
      <c r="CV174" s="312"/>
      <c r="CW174" s="312"/>
      <c r="CX174" s="312"/>
      <c r="CY174" s="312"/>
      <c r="CZ174" s="312"/>
      <c r="DA174" s="312"/>
      <c r="DB174" s="312"/>
      <c r="DC174" s="312"/>
      <c r="DD174" s="312"/>
      <c r="DE174" s="312"/>
      <c r="DF174" s="312"/>
      <c r="DG174" s="312"/>
      <c r="DH174" s="312"/>
      <c r="DI174" s="312"/>
      <c r="DJ174" s="312"/>
      <c r="DK174" s="312"/>
      <c r="DL174" s="312"/>
      <c r="DM174" s="312"/>
      <c r="DN174" s="312"/>
      <c r="DO174" s="312"/>
      <c r="DP174" s="312"/>
      <c r="DQ174" s="312"/>
      <c r="DR174" s="312"/>
      <c r="DS174" s="312"/>
      <c r="DT174" s="312"/>
      <c r="DU174" s="312"/>
      <c r="DV174" s="312"/>
      <c r="DW174" s="312"/>
      <c r="DX174" s="312"/>
      <c r="DY174" s="312"/>
      <c r="DZ174" s="312"/>
      <c r="EA174" s="312"/>
      <c r="EB174" s="312"/>
      <c r="EC174" s="312"/>
      <c r="ED174" s="312"/>
      <c r="EE174" s="312"/>
      <c r="EF174" s="312"/>
      <c r="EG174" s="312"/>
      <c r="EH174" s="312"/>
      <c r="EI174" s="312"/>
      <c r="EJ174" s="312"/>
      <c r="EK174" s="312"/>
      <c r="EL174" s="312"/>
      <c r="EM174" s="312"/>
      <c r="EN174" s="312"/>
      <c r="EO174" s="312"/>
      <c r="EP174" s="312"/>
      <c r="EQ174" s="312"/>
      <c r="ER174" s="312"/>
      <c r="ES174" s="312"/>
      <c r="ET174" s="312"/>
      <c r="EU174" s="312"/>
      <c r="EV174" s="312"/>
      <c r="EW174" s="312"/>
      <c r="EX174" s="312"/>
      <c r="EY174" s="312"/>
      <c r="EZ174" s="312"/>
      <c r="FA174" s="312"/>
      <c r="FB174" s="312"/>
      <c r="FC174" s="312"/>
      <c r="FD174" s="312"/>
      <c r="FE174" s="312"/>
      <c r="FF174" s="312"/>
      <c r="FG174" s="312"/>
      <c r="FH174" s="312"/>
      <c r="FI174" s="312"/>
      <c r="FJ174" s="312"/>
      <c r="FK174" s="312"/>
      <c r="FL174" s="312"/>
      <c r="FM174" s="312"/>
      <c r="FN174" s="312"/>
      <c r="FO174" s="312"/>
      <c r="FP174" s="312"/>
      <c r="FQ174" s="312"/>
      <c r="FR174" s="312"/>
      <c r="FS174" s="312"/>
      <c r="FT174" s="312"/>
      <c r="FU174" s="312"/>
      <c r="FV174" s="312"/>
      <c r="FW174" s="312"/>
      <c r="FX174" s="312"/>
      <c r="FY174" s="312"/>
      <c r="FZ174" s="312"/>
      <c r="GA174" s="312"/>
      <c r="GB174" s="312"/>
      <c r="GC174" s="312"/>
      <c r="GD174" s="312"/>
      <c r="GE174" s="312"/>
      <c r="GF174" s="312"/>
      <c r="GG174" s="312"/>
      <c r="GH174" s="312"/>
      <c r="GI174" s="312"/>
      <c r="GJ174" s="312"/>
      <c r="GK174" s="312"/>
      <c r="GL174" s="312"/>
      <c r="GM174" s="312"/>
      <c r="GN174" s="312"/>
      <c r="GO174" s="312"/>
      <c r="GP174" s="312"/>
      <c r="GQ174" s="312"/>
      <c r="GR174" s="312"/>
      <c r="GS174" s="312"/>
      <c r="GT174" s="312"/>
      <c r="GU174" s="312"/>
      <c r="GV174" s="312"/>
      <c r="GW174" s="312"/>
      <c r="GX174" s="312"/>
      <c r="GY174" s="312"/>
    </row>
    <row r="175" spans="2:207" ht="15.75" x14ac:dyDescent="0.25">
      <c r="B175" s="316">
        <f t="shared" si="39"/>
        <v>145</v>
      </c>
      <c r="C175" s="330">
        <f>'סיכום לוועדה'!B175</f>
        <v>1001350055</v>
      </c>
      <c r="D175" s="330">
        <f>'סיכום לוועדה'!C175</f>
        <v>1001271380</v>
      </c>
      <c r="E175" s="330">
        <f>'סיכום לוועדה'!D175</f>
        <v>41555435</v>
      </c>
      <c r="F175" s="330">
        <f>'סיכום לוועדה'!E175</f>
        <v>20000159</v>
      </c>
      <c r="G175" s="330" t="str">
        <f>'סיכום לוועדה'!F175</f>
        <v>ירושלים</v>
      </c>
      <c r="H175" s="317" t="str">
        <f>'סיכום לוועדה'!G175</f>
        <v>מוזיאון יהדות איטליה</v>
      </c>
      <c r="I175" s="318">
        <f>'סיכום לוועדה'!U175</f>
        <v>1200000</v>
      </c>
      <c r="J175" s="319">
        <f>'סיכום לוועדה'!T175</f>
        <v>40079.164046144564</v>
      </c>
      <c r="K175" s="320">
        <f t="shared" si="40"/>
        <v>0</v>
      </c>
      <c r="L175" s="319">
        <f t="shared" si="41"/>
        <v>40079.164046144564</v>
      </c>
      <c r="M175" s="331">
        <f>'תחום תמיכה ב'!AF175</f>
        <v>1.9004306039632944E-4</v>
      </c>
      <c r="N175" s="319">
        <f t="shared" si="38"/>
        <v>43316.45482381514</v>
      </c>
      <c r="O175" s="321">
        <f t="shared" si="42"/>
        <v>0</v>
      </c>
      <c r="P175" s="322">
        <f t="shared" si="43"/>
        <v>43316.45482381514</v>
      </c>
      <c r="Q175" s="322">
        <f t="shared" si="44"/>
        <v>43336.17794971243</v>
      </c>
      <c r="R175" s="321">
        <f t="shared" si="45"/>
        <v>0</v>
      </c>
      <c r="S175" s="322">
        <f t="shared" si="46"/>
        <v>43336.17794971243</v>
      </c>
      <c r="T175" s="322">
        <f t="shared" si="47"/>
        <v>43336.177949712343</v>
      </c>
      <c r="U175" s="321">
        <f t="shared" si="48"/>
        <v>0</v>
      </c>
      <c r="V175" s="322">
        <f t="shared" si="49"/>
        <v>43336.177949712343</v>
      </c>
      <c r="W175" s="322">
        <f t="shared" si="50"/>
        <v>43336.177949712357</v>
      </c>
      <c r="X175" s="321">
        <f t="shared" si="51"/>
        <v>0</v>
      </c>
      <c r="Y175" s="322">
        <f t="shared" si="52"/>
        <v>43336.177949712357</v>
      </c>
      <c r="Z175" s="322">
        <f t="shared" si="53"/>
        <v>43336.17794971235</v>
      </c>
      <c r="AA175" s="323">
        <f t="shared" si="54"/>
        <v>43336.17794971235</v>
      </c>
      <c r="AB175" s="323"/>
      <c r="AC175" s="323"/>
      <c r="AD175" s="323"/>
      <c r="AE175" s="323"/>
      <c r="AF175" s="324">
        <f t="shared" si="55"/>
        <v>2.481769117763111E-4</v>
      </c>
      <c r="AG175" s="312"/>
      <c r="AH175" s="312"/>
      <c r="AI175" s="325">
        <f t="shared" si="56"/>
        <v>1</v>
      </c>
      <c r="AJ175" s="312"/>
      <c r="AK175" s="312"/>
      <c r="AL175" s="312"/>
      <c r="AM175" s="312"/>
      <c r="AN175" s="312"/>
      <c r="AO175" s="312"/>
      <c r="AP175" s="312"/>
      <c r="AQ175" s="312"/>
      <c r="AR175" s="312"/>
      <c r="AS175" s="312"/>
      <c r="AT175" s="312"/>
      <c r="AU175" s="312"/>
      <c r="AV175" s="312"/>
      <c r="AW175" s="312"/>
      <c r="AX175" s="312"/>
      <c r="AY175" s="312"/>
      <c r="AZ175" s="312"/>
      <c r="BA175" s="312"/>
      <c r="BB175" s="312"/>
      <c r="BC175" s="312"/>
      <c r="BD175" s="312"/>
      <c r="BE175" s="312"/>
      <c r="BF175" s="312"/>
      <c r="BG175" s="312"/>
      <c r="BH175" s="312"/>
      <c r="BI175" s="312"/>
      <c r="BJ175" s="312"/>
      <c r="BK175" s="312"/>
      <c r="BL175" s="312"/>
      <c r="BM175" s="312"/>
      <c r="BN175" s="312"/>
      <c r="BO175" s="312"/>
      <c r="BP175" s="312"/>
      <c r="BQ175" s="312"/>
      <c r="BR175" s="312"/>
      <c r="BS175" s="312"/>
      <c r="BT175" s="312"/>
      <c r="BU175" s="312"/>
      <c r="BV175" s="312"/>
      <c r="BW175" s="312"/>
      <c r="BX175" s="312"/>
      <c r="BY175" s="312"/>
      <c r="BZ175" s="312"/>
      <c r="CA175" s="312"/>
      <c r="CB175" s="312"/>
      <c r="CC175" s="312"/>
      <c r="CD175" s="312"/>
      <c r="CE175" s="312"/>
      <c r="CF175" s="312"/>
      <c r="CG175" s="312"/>
      <c r="CH175" s="312"/>
      <c r="CI175" s="312"/>
      <c r="CJ175" s="312"/>
      <c r="CK175" s="312"/>
      <c r="CL175" s="312"/>
      <c r="CM175" s="312"/>
      <c r="CN175" s="312"/>
      <c r="CO175" s="312"/>
      <c r="CP175" s="312"/>
      <c r="CQ175" s="312"/>
      <c r="CR175" s="312"/>
      <c r="CS175" s="312"/>
      <c r="CT175" s="312"/>
      <c r="CU175" s="312"/>
      <c r="CV175" s="312"/>
      <c r="CW175" s="312"/>
      <c r="CX175" s="312"/>
      <c r="CY175" s="312"/>
      <c r="CZ175" s="312"/>
      <c r="DA175" s="312"/>
      <c r="DB175" s="312"/>
      <c r="DC175" s="312"/>
      <c r="DD175" s="312"/>
      <c r="DE175" s="312"/>
      <c r="DF175" s="312"/>
      <c r="DG175" s="312"/>
      <c r="DH175" s="312"/>
      <c r="DI175" s="312"/>
      <c r="DJ175" s="312"/>
      <c r="DK175" s="312"/>
      <c r="DL175" s="312"/>
      <c r="DM175" s="312"/>
      <c r="DN175" s="312"/>
      <c r="DO175" s="312"/>
      <c r="DP175" s="312"/>
      <c r="DQ175" s="312"/>
      <c r="DR175" s="312"/>
      <c r="DS175" s="312"/>
      <c r="DT175" s="312"/>
      <c r="DU175" s="312"/>
      <c r="DV175" s="312"/>
      <c r="DW175" s="312"/>
      <c r="DX175" s="312"/>
      <c r="DY175" s="312"/>
      <c r="DZ175" s="312"/>
      <c r="EA175" s="312"/>
      <c r="EB175" s="312"/>
      <c r="EC175" s="312"/>
      <c r="ED175" s="312"/>
      <c r="EE175" s="312"/>
      <c r="EF175" s="312"/>
      <c r="EG175" s="312"/>
      <c r="EH175" s="312"/>
      <c r="EI175" s="312"/>
      <c r="EJ175" s="312"/>
      <c r="EK175" s="312"/>
      <c r="EL175" s="312"/>
      <c r="EM175" s="312"/>
      <c r="EN175" s="312"/>
      <c r="EO175" s="312"/>
      <c r="EP175" s="312"/>
      <c r="EQ175" s="312"/>
      <c r="ER175" s="312"/>
      <c r="ES175" s="312"/>
      <c r="ET175" s="312"/>
      <c r="EU175" s="312"/>
      <c r="EV175" s="312"/>
      <c r="EW175" s="312"/>
      <c r="EX175" s="312"/>
      <c r="EY175" s="312"/>
      <c r="EZ175" s="312"/>
      <c r="FA175" s="312"/>
      <c r="FB175" s="312"/>
      <c r="FC175" s="312"/>
      <c r="FD175" s="312"/>
      <c r="FE175" s="312"/>
      <c r="FF175" s="312"/>
      <c r="FG175" s="312"/>
      <c r="FH175" s="312"/>
      <c r="FI175" s="312"/>
      <c r="FJ175" s="312"/>
      <c r="FK175" s="312"/>
      <c r="FL175" s="312"/>
      <c r="FM175" s="312"/>
      <c r="FN175" s="312"/>
      <c r="FO175" s="312"/>
      <c r="FP175" s="312"/>
      <c r="FQ175" s="312"/>
      <c r="FR175" s="312"/>
      <c r="FS175" s="312"/>
      <c r="FT175" s="312"/>
      <c r="FU175" s="312"/>
      <c r="FV175" s="312"/>
      <c r="FW175" s="312"/>
      <c r="FX175" s="312"/>
      <c r="FY175" s="312"/>
      <c r="FZ175" s="312"/>
      <c r="GA175" s="312"/>
      <c r="GB175" s="312"/>
      <c r="GC175" s="312"/>
      <c r="GD175" s="312"/>
      <c r="GE175" s="312"/>
      <c r="GF175" s="312"/>
      <c r="GG175" s="312"/>
      <c r="GH175" s="312"/>
      <c r="GI175" s="312"/>
      <c r="GJ175" s="312"/>
      <c r="GK175" s="312"/>
      <c r="GL175" s="312"/>
      <c r="GM175" s="312"/>
      <c r="GN175" s="312"/>
      <c r="GO175" s="312"/>
      <c r="GP175" s="312"/>
      <c r="GQ175" s="312"/>
      <c r="GR175" s="312"/>
      <c r="GS175" s="312"/>
      <c r="GT175" s="312"/>
      <c r="GU175" s="312"/>
      <c r="GV175" s="312"/>
      <c r="GW175" s="312"/>
      <c r="GX175" s="312"/>
      <c r="GY175" s="312"/>
    </row>
    <row r="176" spans="2:207" ht="15.75" x14ac:dyDescent="0.25">
      <c r="B176" s="316">
        <f t="shared" si="39"/>
        <v>146</v>
      </c>
      <c r="C176" s="330">
        <f>'סיכום לוועדה'!B176</f>
        <v>1001348980</v>
      </c>
      <c r="D176" s="330">
        <f>'סיכום לוועדה'!C176</f>
        <v>1001311679</v>
      </c>
      <c r="E176" s="330">
        <f>'סיכום לוועדה'!D176</f>
        <v>41555455</v>
      </c>
      <c r="F176" s="330">
        <f>'סיכום לוועדה'!E176</f>
        <v>20000201</v>
      </c>
      <c r="G176" s="330" t="str">
        <f>'סיכום לוועדה'!F176</f>
        <v>תל אביב -יפו</v>
      </c>
      <c r="H176" s="317" t="str">
        <f>'סיכום לוועדה'!G176</f>
        <v>תאטרון השחר</v>
      </c>
      <c r="I176" s="318">
        <f>'סיכום לוועדה'!U176</f>
        <v>150000</v>
      </c>
      <c r="J176" s="319">
        <f>'סיכום לוועדה'!T176</f>
        <v>125366.6848895282</v>
      </c>
      <c r="K176" s="320">
        <f t="shared" si="40"/>
        <v>0</v>
      </c>
      <c r="L176" s="319">
        <f t="shared" si="41"/>
        <v>125366.6848895282</v>
      </c>
      <c r="M176" s="331">
        <f>'תחום תמיכה ב'!AF176</f>
        <v>8.9390928437389956E-4</v>
      </c>
      <c r="N176" s="319">
        <f t="shared" si="38"/>
        <v>140593.9932497635</v>
      </c>
      <c r="O176" s="321">
        <f t="shared" si="42"/>
        <v>0</v>
      </c>
      <c r="P176" s="322">
        <f t="shared" si="43"/>
        <v>140593.9932497635</v>
      </c>
      <c r="Q176" s="322">
        <f t="shared" si="44"/>
        <v>140658.00940806977</v>
      </c>
      <c r="R176" s="321">
        <f t="shared" si="45"/>
        <v>0</v>
      </c>
      <c r="S176" s="322">
        <f t="shared" si="46"/>
        <v>140658.00940806977</v>
      </c>
      <c r="T176" s="322">
        <f t="shared" si="47"/>
        <v>140658.00940806948</v>
      </c>
      <c r="U176" s="321">
        <f t="shared" si="48"/>
        <v>0</v>
      </c>
      <c r="V176" s="322">
        <f t="shared" si="49"/>
        <v>140658.00940806948</v>
      </c>
      <c r="W176" s="322">
        <f t="shared" si="50"/>
        <v>140658.00940806954</v>
      </c>
      <c r="X176" s="321">
        <f t="shared" si="51"/>
        <v>0</v>
      </c>
      <c r="Y176" s="322">
        <f t="shared" si="52"/>
        <v>140658.00940806954</v>
      </c>
      <c r="Z176" s="322">
        <f t="shared" si="53"/>
        <v>140658.00940806951</v>
      </c>
      <c r="AA176" s="323">
        <f t="shared" si="54"/>
        <v>140658.00940806951</v>
      </c>
      <c r="AB176" s="323"/>
      <c r="AC176" s="323"/>
      <c r="AD176" s="323"/>
      <c r="AE176" s="323"/>
      <c r="AF176" s="324">
        <f t="shared" si="55"/>
        <v>8.055179769661646E-4</v>
      </c>
      <c r="AG176" s="312"/>
      <c r="AH176" s="312"/>
      <c r="AI176" s="325">
        <f t="shared" si="56"/>
        <v>1</v>
      </c>
      <c r="AJ176" s="312"/>
      <c r="AK176" s="312"/>
      <c r="AL176" s="312"/>
      <c r="AM176" s="312"/>
      <c r="AN176" s="312"/>
      <c r="AO176" s="312"/>
      <c r="AP176" s="312"/>
      <c r="AQ176" s="312"/>
      <c r="AR176" s="312"/>
      <c r="AS176" s="312"/>
      <c r="AT176" s="312"/>
      <c r="AU176" s="312"/>
      <c r="AV176" s="312"/>
      <c r="AW176" s="312"/>
      <c r="AX176" s="312"/>
      <c r="AY176" s="312"/>
      <c r="AZ176" s="312"/>
      <c r="BA176" s="312"/>
      <c r="BB176" s="312"/>
      <c r="BC176" s="312"/>
      <c r="BD176" s="312"/>
      <c r="BE176" s="312"/>
      <c r="BF176" s="312"/>
      <c r="BG176" s="312"/>
      <c r="BH176" s="312"/>
      <c r="BI176" s="312"/>
      <c r="BJ176" s="312"/>
      <c r="BK176" s="312"/>
      <c r="BL176" s="312"/>
      <c r="BM176" s="312"/>
      <c r="BN176" s="312"/>
      <c r="BO176" s="312"/>
      <c r="BP176" s="312"/>
      <c r="BQ176" s="312"/>
      <c r="BR176" s="312"/>
      <c r="BS176" s="312"/>
      <c r="BT176" s="312"/>
      <c r="BU176" s="312"/>
      <c r="BV176" s="312"/>
      <c r="BW176" s="312"/>
      <c r="BX176" s="312"/>
      <c r="BY176" s="312"/>
      <c r="BZ176" s="312"/>
      <c r="CA176" s="312"/>
      <c r="CB176" s="312"/>
      <c r="CC176" s="312"/>
      <c r="CD176" s="312"/>
      <c r="CE176" s="312"/>
      <c r="CF176" s="312"/>
      <c r="CG176" s="312"/>
      <c r="CH176" s="312"/>
      <c r="CI176" s="312"/>
      <c r="CJ176" s="312"/>
      <c r="CK176" s="312"/>
      <c r="CL176" s="312"/>
      <c r="CM176" s="312"/>
      <c r="CN176" s="312"/>
      <c r="CO176" s="312"/>
      <c r="CP176" s="312"/>
      <c r="CQ176" s="312"/>
      <c r="CR176" s="312"/>
      <c r="CS176" s="312"/>
      <c r="CT176" s="312"/>
      <c r="CU176" s="312"/>
      <c r="CV176" s="312"/>
      <c r="CW176" s="312"/>
      <c r="CX176" s="312"/>
      <c r="CY176" s="312"/>
      <c r="CZ176" s="312"/>
      <c r="DA176" s="312"/>
      <c r="DB176" s="312"/>
      <c r="DC176" s="312"/>
      <c r="DD176" s="312"/>
      <c r="DE176" s="312"/>
      <c r="DF176" s="312"/>
      <c r="DG176" s="312"/>
      <c r="DH176" s="312"/>
      <c r="DI176" s="312"/>
      <c r="DJ176" s="312"/>
      <c r="DK176" s="312"/>
      <c r="DL176" s="312"/>
      <c r="DM176" s="312"/>
      <c r="DN176" s="312"/>
      <c r="DO176" s="312"/>
      <c r="DP176" s="312"/>
      <c r="DQ176" s="312"/>
      <c r="DR176" s="312"/>
      <c r="DS176" s="312"/>
      <c r="DT176" s="312"/>
      <c r="DU176" s="312"/>
      <c r="DV176" s="312"/>
      <c r="DW176" s="312"/>
      <c r="DX176" s="312"/>
      <c r="DY176" s="312"/>
      <c r="DZ176" s="312"/>
      <c r="EA176" s="312"/>
      <c r="EB176" s="312"/>
      <c r="EC176" s="312"/>
      <c r="ED176" s="312"/>
      <c r="EE176" s="312"/>
      <c r="EF176" s="312"/>
      <c r="EG176" s="312"/>
      <c r="EH176" s="312"/>
      <c r="EI176" s="312"/>
      <c r="EJ176" s="312"/>
      <c r="EK176" s="312"/>
      <c r="EL176" s="312"/>
      <c r="EM176" s="312"/>
      <c r="EN176" s="312"/>
      <c r="EO176" s="312"/>
      <c r="EP176" s="312"/>
      <c r="EQ176" s="312"/>
      <c r="ER176" s="312"/>
      <c r="ES176" s="312"/>
      <c r="ET176" s="312"/>
      <c r="EU176" s="312"/>
      <c r="EV176" s="312"/>
      <c r="EW176" s="312"/>
      <c r="EX176" s="312"/>
      <c r="EY176" s="312"/>
      <c r="EZ176" s="312"/>
      <c r="FA176" s="312"/>
      <c r="FB176" s="312"/>
      <c r="FC176" s="312"/>
      <c r="FD176" s="312"/>
      <c r="FE176" s="312"/>
      <c r="FF176" s="312"/>
      <c r="FG176" s="312"/>
      <c r="FH176" s="312"/>
      <c r="FI176" s="312"/>
      <c r="FJ176" s="312"/>
      <c r="FK176" s="312"/>
      <c r="FL176" s="312"/>
      <c r="FM176" s="312"/>
      <c r="FN176" s="312"/>
      <c r="FO176" s="312"/>
      <c r="FP176" s="312"/>
      <c r="FQ176" s="312"/>
      <c r="FR176" s="312"/>
      <c r="FS176" s="312"/>
      <c r="FT176" s="312"/>
      <c r="FU176" s="312"/>
      <c r="FV176" s="312"/>
      <c r="FW176" s="312"/>
      <c r="FX176" s="312"/>
      <c r="FY176" s="312"/>
      <c r="FZ176" s="312"/>
      <c r="GA176" s="312"/>
      <c r="GB176" s="312"/>
      <c r="GC176" s="312"/>
      <c r="GD176" s="312"/>
      <c r="GE176" s="312"/>
      <c r="GF176" s="312"/>
      <c r="GG176" s="312"/>
      <c r="GH176" s="312"/>
      <c r="GI176" s="312"/>
      <c r="GJ176" s="312"/>
      <c r="GK176" s="312"/>
      <c r="GL176" s="312"/>
      <c r="GM176" s="312"/>
      <c r="GN176" s="312"/>
      <c r="GO176" s="312"/>
      <c r="GP176" s="312"/>
      <c r="GQ176" s="312"/>
      <c r="GR176" s="312"/>
      <c r="GS176" s="312"/>
      <c r="GT176" s="312"/>
      <c r="GU176" s="312"/>
      <c r="GV176" s="312"/>
      <c r="GW176" s="312"/>
      <c r="GX176" s="312"/>
      <c r="GY176" s="312"/>
    </row>
    <row r="177" spans="2:207" ht="15.75" x14ac:dyDescent="0.25">
      <c r="B177" s="316">
        <f t="shared" si="39"/>
        <v>147</v>
      </c>
      <c r="C177" s="330">
        <f>'סיכום לוועדה'!B177</f>
        <v>1001348615</v>
      </c>
      <c r="D177" s="330">
        <f>'סיכום לוועדה'!C177</f>
        <v>1001267389</v>
      </c>
      <c r="E177" s="330">
        <f>'סיכום לוועדה'!D177</f>
        <v>41556008</v>
      </c>
      <c r="F177" s="330">
        <f>'סיכום לוועדה'!E177</f>
        <v>20000159</v>
      </c>
      <c r="G177" s="330" t="str">
        <f>'סיכום לוועדה'!F177</f>
        <v>ירושלים</v>
      </c>
      <c r="H177" s="317" t="str">
        <f>'סיכום לוועדה'!G177</f>
        <v>פלמנרו נטורל</v>
      </c>
      <c r="I177" s="318">
        <f>'סיכום לוועדה'!U177</f>
        <v>150000</v>
      </c>
      <c r="J177" s="319">
        <f>'סיכום לוועדה'!T177</f>
        <v>28279.415973626259</v>
      </c>
      <c r="K177" s="320">
        <f t="shared" si="40"/>
        <v>0</v>
      </c>
      <c r="L177" s="319">
        <f t="shared" si="41"/>
        <v>28279.415973626259</v>
      </c>
      <c r="M177" s="331">
        <f>'תחום תמיכה ב'!AF177</f>
        <v>1.4761593426625356E-4</v>
      </c>
      <c r="N177" s="319">
        <f t="shared" si="38"/>
        <v>30793.98136549467</v>
      </c>
      <c r="O177" s="321">
        <f t="shared" si="42"/>
        <v>0</v>
      </c>
      <c r="P177" s="322">
        <f t="shared" si="43"/>
        <v>30793.98136549467</v>
      </c>
      <c r="Q177" s="322">
        <f t="shared" si="44"/>
        <v>30808.002678499641</v>
      </c>
      <c r="R177" s="321">
        <f t="shared" si="45"/>
        <v>0</v>
      </c>
      <c r="S177" s="322">
        <f t="shared" si="46"/>
        <v>30808.002678499641</v>
      </c>
      <c r="T177" s="322">
        <f t="shared" si="47"/>
        <v>30808.002678499579</v>
      </c>
      <c r="U177" s="321">
        <f t="shared" si="48"/>
        <v>0</v>
      </c>
      <c r="V177" s="322">
        <f t="shared" si="49"/>
        <v>30808.002678499579</v>
      </c>
      <c r="W177" s="322">
        <f t="shared" si="50"/>
        <v>30808.00267849959</v>
      </c>
      <c r="X177" s="321">
        <f t="shared" si="51"/>
        <v>0</v>
      </c>
      <c r="Y177" s="322">
        <f t="shared" si="52"/>
        <v>30808.00267849959</v>
      </c>
      <c r="Z177" s="322">
        <f t="shared" si="53"/>
        <v>30808.002678499583</v>
      </c>
      <c r="AA177" s="323">
        <f t="shared" si="54"/>
        <v>30808.002678499583</v>
      </c>
      <c r="AB177" s="323"/>
      <c r="AC177" s="323"/>
      <c r="AD177" s="323"/>
      <c r="AE177" s="323"/>
      <c r="AF177" s="324">
        <f t="shared" si="55"/>
        <v>1.7643076349784781E-4</v>
      </c>
      <c r="AG177" s="312"/>
      <c r="AH177" s="312"/>
      <c r="AI177" s="325">
        <f t="shared" si="56"/>
        <v>1</v>
      </c>
      <c r="AJ177" s="312"/>
      <c r="AK177" s="312"/>
      <c r="AL177" s="312"/>
      <c r="AM177" s="312"/>
      <c r="AN177" s="312"/>
      <c r="AO177" s="312"/>
      <c r="AP177" s="312"/>
      <c r="AQ177" s="312"/>
      <c r="AR177" s="312"/>
      <c r="AS177" s="312"/>
      <c r="AT177" s="312"/>
      <c r="AU177" s="312"/>
      <c r="AV177" s="312"/>
      <c r="AW177" s="312"/>
      <c r="AX177" s="312"/>
      <c r="AY177" s="312"/>
      <c r="AZ177" s="312"/>
      <c r="BA177" s="312"/>
      <c r="BB177" s="312"/>
      <c r="BC177" s="312"/>
      <c r="BD177" s="312"/>
      <c r="BE177" s="312"/>
      <c r="BF177" s="312"/>
      <c r="BG177" s="312"/>
      <c r="BH177" s="312"/>
      <c r="BI177" s="312"/>
      <c r="BJ177" s="312"/>
      <c r="BK177" s="312"/>
      <c r="BL177" s="312"/>
      <c r="BM177" s="312"/>
      <c r="BN177" s="312"/>
      <c r="BO177" s="312"/>
      <c r="BP177" s="312"/>
      <c r="BQ177" s="312"/>
      <c r="BR177" s="312"/>
      <c r="BS177" s="312"/>
      <c r="BT177" s="312"/>
      <c r="BU177" s="312"/>
      <c r="BV177" s="312"/>
      <c r="BW177" s="312"/>
      <c r="BX177" s="312"/>
      <c r="BY177" s="312"/>
      <c r="BZ177" s="312"/>
      <c r="CA177" s="312"/>
      <c r="CB177" s="312"/>
      <c r="CC177" s="312"/>
      <c r="CD177" s="312"/>
      <c r="CE177" s="312"/>
      <c r="CF177" s="312"/>
      <c r="CG177" s="312"/>
      <c r="CH177" s="312"/>
      <c r="CI177" s="312"/>
      <c r="CJ177" s="312"/>
      <c r="CK177" s="312"/>
      <c r="CL177" s="312"/>
      <c r="CM177" s="312"/>
      <c r="CN177" s="312"/>
      <c r="CO177" s="312"/>
      <c r="CP177" s="312"/>
      <c r="CQ177" s="312"/>
      <c r="CR177" s="312"/>
      <c r="CS177" s="312"/>
      <c r="CT177" s="312"/>
      <c r="CU177" s="312"/>
      <c r="CV177" s="312"/>
      <c r="CW177" s="312"/>
      <c r="CX177" s="312"/>
      <c r="CY177" s="312"/>
      <c r="CZ177" s="312"/>
      <c r="DA177" s="312"/>
      <c r="DB177" s="312"/>
      <c r="DC177" s="312"/>
      <c r="DD177" s="312"/>
      <c r="DE177" s="312"/>
      <c r="DF177" s="312"/>
      <c r="DG177" s="312"/>
      <c r="DH177" s="312"/>
      <c r="DI177" s="312"/>
      <c r="DJ177" s="312"/>
      <c r="DK177" s="312"/>
      <c r="DL177" s="312"/>
      <c r="DM177" s="312"/>
      <c r="DN177" s="312"/>
      <c r="DO177" s="312"/>
      <c r="DP177" s="312"/>
      <c r="DQ177" s="312"/>
      <c r="DR177" s="312"/>
      <c r="DS177" s="312"/>
      <c r="DT177" s="312"/>
      <c r="DU177" s="312"/>
      <c r="DV177" s="312"/>
      <c r="DW177" s="312"/>
      <c r="DX177" s="312"/>
      <c r="DY177" s="312"/>
      <c r="DZ177" s="312"/>
      <c r="EA177" s="312"/>
      <c r="EB177" s="312"/>
      <c r="EC177" s="312"/>
      <c r="ED177" s="312"/>
      <c r="EE177" s="312"/>
      <c r="EF177" s="312"/>
      <c r="EG177" s="312"/>
      <c r="EH177" s="312"/>
      <c r="EI177" s="312"/>
      <c r="EJ177" s="312"/>
      <c r="EK177" s="312"/>
      <c r="EL177" s="312"/>
      <c r="EM177" s="312"/>
      <c r="EN177" s="312"/>
      <c r="EO177" s="312"/>
      <c r="EP177" s="312"/>
      <c r="EQ177" s="312"/>
      <c r="ER177" s="312"/>
      <c r="ES177" s="312"/>
      <c r="ET177" s="312"/>
      <c r="EU177" s="312"/>
      <c r="EV177" s="312"/>
      <c r="EW177" s="312"/>
      <c r="EX177" s="312"/>
      <c r="EY177" s="312"/>
      <c r="EZ177" s="312"/>
      <c r="FA177" s="312"/>
      <c r="FB177" s="312"/>
      <c r="FC177" s="312"/>
      <c r="FD177" s="312"/>
      <c r="FE177" s="312"/>
      <c r="FF177" s="312"/>
      <c r="FG177" s="312"/>
      <c r="FH177" s="312"/>
      <c r="FI177" s="312"/>
      <c r="FJ177" s="312"/>
      <c r="FK177" s="312"/>
      <c r="FL177" s="312"/>
      <c r="FM177" s="312"/>
      <c r="FN177" s="312"/>
      <c r="FO177" s="312"/>
      <c r="FP177" s="312"/>
      <c r="FQ177" s="312"/>
      <c r="FR177" s="312"/>
      <c r="FS177" s="312"/>
      <c r="FT177" s="312"/>
      <c r="FU177" s="312"/>
      <c r="FV177" s="312"/>
      <c r="FW177" s="312"/>
      <c r="FX177" s="312"/>
      <c r="FY177" s="312"/>
      <c r="FZ177" s="312"/>
      <c r="GA177" s="312"/>
      <c r="GB177" s="312"/>
      <c r="GC177" s="312"/>
      <c r="GD177" s="312"/>
      <c r="GE177" s="312"/>
      <c r="GF177" s="312"/>
      <c r="GG177" s="312"/>
      <c r="GH177" s="312"/>
      <c r="GI177" s="312"/>
      <c r="GJ177" s="312"/>
      <c r="GK177" s="312"/>
      <c r="GL177" s="312"/>
      <c r="GM177" s="312"/>
      <c r="GN177" s="312"/>
      <c r="GO177" s="312"/>
      <c r="GP177" s="312"/>
      <c r="GQ177" s="312"/>
      <c r="GR177" s="312"/>
      <c r="GS177" s="312"/>
      <c r="GT177" s="312"/>
      <c r="GU177" s="312"/>
      <c r="GV177" s="312"/>
      <c r="GW177" s="312"/>
      <c r="GX177" s="312"/>
      <c r="GY177" s="312"/>
    </row>
    <row r="178" spans="2:207" ht="15.75" x14ac:dyDescent="0.25">
      <c r="B178" s="316">
        <f t="shared" si="39"/>
        <v>148</v>
      </c>
      <c r="C178" s="330">
        <f>'סיכום לוועדה'!B178</f>
        <v>1001348065</v>
      </c>
      <c r="D178" s="330">
        <f>'סיכום לוועדה'!C178</f>
        <v>1001268860</v>
      </c>
      <c r="E178" s="330">
        <f>'סיכום לוועדה'!D178</f>
        <v>41558839</v>
      </c>
      <c r="F178" s="330">
        <f>'סיכום לוועדה'!E178</f>
        <v>20000041</v>
      </c>
      <c r="G178" s="330" t="str">
        <f>'סיכום לוועדה'!F178</f>
        <v>דייר אל-אסד</v>
      </c>
      <c r="H178" s="317" t="str">
        <f>'סיכום לוועדה'!G178</f>
        <v>אג'יאל דיר אל אסד</v>
      </c>
      <c r="I178" s="318">
        <f>'סיכום לוועדה'!U178</f>
        <v>90000</v>
      </c>
      <c r="J178" s="319">
        <f>'סיכום לוועדה'!T178</f>
        <v>20009.994790013159</v>
      </c>
      <c r="K178" s="320">
        <f t="shared" si="40"/>
        <v>0</v>
      </c>
      <c r="L178" s="319">
        <f t="shared" si="41"/>
        <v>20009.994790013159</v>
      </c>
      <c r="M178" s="331">
        <f>'תחום תמיכה ב'!AF178</f>
        <v>1.3327992374805852E-4</v>
      </c>
      <c r="N178" s="319">
        <f t="shared" si="38"/>
        <v>22280.353239821416</v>
      </c>
      <c r="O178" s="321">
        <f t="shared" si="42"/>
        <v>0</v>
      </c>
      <c r="P178" s="322">
        <f t="shared" si="43"/>
        <v>22280.353239821416</v>
      </c>
      <c r="Q178" s="322">
        <f t="shared" si="44"/>
        <v>22290.498073090261</v>
      </c>
      <c r="R178" s="321">
        <f t="shared" si="45"/>
        <v>0</v>
      </c>
      <c r="S178" s="322">
        <f t="shared" si="46"/>
        <v>22290.498073090261</v>
      </c>
      <c r="T178" s="322">
        <f t="shared" si="47"/>
        <v>22290.498073090217</v>
      </c>
      <c r="U178" s="321">
        <f t="shared" si="48"/>
        <v>0</v>
      </c>
      <c r="V178" s="322">
        <f t="shared" si="49"/>
        <v>22290.498073090217</v>
      </c>
      <c r="W178" s="322">
        <f t="shared" si="50"/>
        <v>22290.498073090224</v>
      </c>
      <c r="X178" s="321">
        <f t="shared" si="51"/>
        <v>0</v>
      </c>
      <c r="Y178" s="322">
        <f t="shared" si="52"/>
        <v>22290.498073090224</v>
      </c>
      <c r="Z178" s="322">
        <f t="shared" si="53"/>
        <v>22290.498073090221</v>
      </c>
      <c r="AA178" s="323">
        <f t="shared" si="54"/>
        <v>22290.498073090221</v>
      </c>
      <c r="AB178" s="323"/>
      <c r="AC178" s="323"/>
      <c r="AD178" s="323"/>
      <c r="AE178" s="323"/>
      <c r="AF178" s="324">
        <f t="shared" si="55"/>
        <v>1.2765285808440943E-4</v>
      </c>
      <c r="AG178" s="312"/>
      <c r="AH178" s="312"/>
      <c r="AI178" s="325">
        <f t="shared" si="56"/>
        <v>1</v>
      </c>
      <c r="AJ178" s="312"/>
      <c r="AK178" s="312"/>
      <c r="AL178" s="312"/>
      <c r="AM178" s="312"/>
      <c r="AN178" s="312"/>
      <c r="AO178" s="312"/>
      <c r="AP178" s="312"/>
      <c r="AQ178" s="312"/>
      <c r="AR178" s="312"/>
      <c r="AS178" s="312"/>
      <c r="AT178" s="312"/>
      <c r="AU178" s="312"/>
      <c r="AV178" s="312"/>
      <c r="AW178" s="312"/>
      <c r="AX178" s="312"/>
      <c r="AY178" s="312"/>
      <c r="AZ178" s="312"/>
      <c r="BA178" s="312"/>
      <c r="BB178" s="312"/>
      <c r="BC178" s="312"/>
      <c r="BD178" s="312"/>
      <c r="BE178" s="312"/>
      <c r="BF178" s="312"/>
      <c r="BG178" s="312"/>
      <c r="BH178" s="312"/>
      <c r="BI178" s="312"/>
      <c r="BJ178" s="312"/>
      <c r="BK178" s="312"/>
      <c r="BL178" s="312"/>
      <c r="BM178" s="312"/>
      <c r="BN178" s="312"/>
      <c r="BO178" s="312"/>
      <c r="BP178" s="312"/>
      <c r="BQ178" s="312"/>
      <c r="BR178" s="312"/>
      <c r="BS178" s="312"/>
      <c r="BT178" s="312"/>
      <c r="BU178" s="312"/>
      <c r="BV178" s="312"/>
      <c r="BW178" s="312"/>
      <c r="BX178" s="312"/>
      <c r="BY178" s="312"/>
      <c r="BZ178" s="312"/>
      <c r="CA178" s="312"/>
      <c r="CB178" s="312"/>
      <c r="CC178" s="312"/>
      <c r="CD178" s="312"/>
      <c r="CE178" s="312"/>
      <c r="CF178" s="312"/>
      <c r="CG178" s="312"/>
      <c r="CH178" s="312"/>
      <c r="CI178" s="312"/>
      <c r="CJ178" s="312"/>
      <c r="CK178" s="312"/>
      <c r="CL178" s="312"/>
      <c r="CM178" s="312"/>
      <c r="CN178" s="312"/>
      <c r="CO178" s="312"/>
      <c r="CP178" s="312"/>
      <c r="CQ178" s="312"/>
      <c r="CR178" s="312"/>
      <c r="CS178" s="312"/>
      <c r="CT178" s="312"/>
      <c r="CU178" s="312"/>
      <c r="CV178" s="312"/>
      <c r="CW178" s="312"/>
      <c r="CX178" s="312"/>
      <c r="CY178" s="312"/>
      <c r="CZ178" s="312"/>
      <c r="DA178" s="312"/>
      <c r="DB178" s="312"/>
      <c r="DC178" s="312"/>
      <c r="DD178" s="312"/>
      <c r="DE178" s="312"/>
      <c r="DF178" s="312"/>
      <c r="DG178" s="312"/>
      <c r="DH178" s="312"/>
      <c r="DI178" s="312"/>
      <c r="DJ178" s="312"/>
      <c r="DK178" s="312"/>
      <c r="DL178" s="312"/>
      <c r="DM178" s="312"/>
      <c r="DN178" s="312"/>
      <c r="DO178" s="312"/>
      <c r="DP178" s="312"/>
      <c r="DQ178" s="312"/>
      <c r="DR178" s="312"/>
      <c r="DS178" s="312"/>
      <c r="DT178" s="312"/>
      <c r="DU178" s="312"/>
      <c r="DV178" s="312"/>
      <c r="DW178" s="312"/>
      <c r="DX178" s="312"/>
      <c r="DY178" s="312"/>
      <c r="DZ178" s="312"/>
      <c r="EA178" s="312"/>
      <c r="EB178" s="312"/>
      <c r="EC178" s="312"/>
      <c r="ED178" s="312"/>
      <c r="EE178" s="312"/>
      <c r="EF178" s="312"/>
      <c r="EG178" s="312"/>
      <c r="EH178" s="312"/>
      <c r="EI178" s="312"/>
      <c r="EJ178" s="312"/>
      <c r="EK178" s="312"/>
      <c r="EL178" s="312"/>
      <c r="EM178" s="312"/>
      <c r="EN178" s="312"/>
      <c r="EO178" s="312"/>
      <c r="EP178" s="312"/>
      <c r="EQ178" s="312"/>
      <c r="ER178" s="312"/>
      <c r="ES178" s="312"/>
      <c r="ET178" s="312"/>
      <c r="EU178" s="312"/>
      <c r="EV178" s="312"/>
      <c r="EW178" s="312"/>
      <c r="EX178" s="312"/>
      <c r="EY178" s="312"/>
      <c r="EZ178" s="312"/>
      <c r="FA178" s="312"/>
      <c r="FB178" s="312"/>
      <c r="FC178" s="312"/>
      <c r="FD178" s="312"/>
      <c r="FE178" s="312"/>
      <c r="FF178" s="312"/>
      <c r="FG178" s="312"/>
      <c r="FH178" s="312"/>
      <c r="FI178" s="312"/>
      <c r="FJ178" s="312"/>
      <c r="FK178" s="312"/>
      <c r="FL178" s="312"/>
      <c r="FM178" s="312"/>
      <c r="FN178" s="312"/>
      <c r="FO178" s="312"/>
      <c r="FP178" s="312"/>
      <c r="FQ178" s="312"/>
      <c r="FR178" s="312"/>
      <c r="FS178" s="312"/>
      <c r="FT178" s="312"/>
      <c r="FU178" s="312"/>
      <c r="FV178" s="312"/>
      <c r="FW178" s="312"/>
      <c r="FX178" s="312"/>
      <c r="FY178" s="312"/>
      <c r="FZ178" s="312"/>
      <c r="GA178" s="312"/>
      <c r="GB178" s="312"/>
      <c r="GC178" s="312"/>
      <c r="GD178" s="312"/>
      <c r="GE178" s="312"/>
      <c r="GF178" s="312"/>
      <c r="GG178" s="312"/>
      <c r="GH178" s="312"/>
      <c r="GI178" s="312"/>
      <c r="GJ178" s="312"/>
      <c r="GK178" s="312"/>
      <c r="GL178" s="312"/>
      <c r="GM178" s="312"/>
      <c r="GN178" s="312"/>
      <c r="GO178" s="312"/>
      <c r="GP178" s="312"/>
      <c r="GQ178" s="312"/>
      <c r="GR178" s="312"/>
      <c r="GS178" s="312"/>
      <c r="GT178" s="312"/>
      <c r="GU178" s="312"/>
      <c r="GV178" s="312"/>
      <c r="GW178" s="312"/>
      <c r="GX178" s="312"/>
      <c r="GY178" s="312"/>
    </row>
    <row r="179" spans="2:207" ht="15.75" x14ac:dyDescent="0.25">
      <c r="B179" s="316">
        <f t="shared" si="39"/>
        <v>149</v>
      </c>
      <c r="C179" s="330">
        <f>'סיכום לוועדה'!B179</f>
        <v>1001348191</v>
      </c>
      <c r="D179" s="330">
        <f>'סיכום לוועדה'!C179</f>
        <v>1001268861</v>
      </c>
      <c r="E179" s="330">
        <f>'סיכום לוועדה'!D179</f>
        <v>41558839</v>
      </c>
      <c r="F179" s="330">
        <f>'סיכום לוועדה'!E179</f>
        <v>20000041</v>
      </c>
      <c r="G179" s="330" t="str">
        <f>'סיכום לוועדה'!F179</f>
        <v>דייר אל-אסד</v>
      </c>
      <c r="H179" s="317" t="str">
        <f>'סיכום לוועדה'!G179</f>
        <v>אג'יאל דיר אל אסד</v>
      </c>
      <c r="I179" s="318">
        <f>'סיכום לוועדה'!U179</f>
        <v>80000</v>
      </c>
      <c r="J179" s="319">
        <f>'סיכום לוועדה'!T179</f>
        <v>17925.670728566067</v>
      </c>
      <c r="K179" s="320">
        <f t="shared" si="40"/>
        <v>0</v>
      </c>
      <c r="L179" s="319">
        <f t="shared" si="41"/>
        <v>17925.670728566067</v>
      </c>
      <c r="M179" s="331">
        <f>'תחום תמיכה ב'!AF179</f>
        <v>1.1566527608043671E-4</v>
      </c>
      <c r="N179" s="319">
        <f t="shared" si="38"/>
        <v>19895.972252710282</v>
      </c>
      <c r="O179" s="321">
        <f t="shared" si="42"/>
        <v>0</v>
      </c>
      <c r="P179" s="322">
        <f t="shared" si="43"/>
        <v>19895.972252710282</v>
      </c>
      <c r="Q179" s="322">
        <f t="shared" si="44"/>
        <v>19905.031414342629</v>
      </c>
      <c r="R179" s="321">
        <f t="shared" si="45"/>
        <v>0</v>
      </c>
      <c r="S179" s="322">
        <f t="shared" si="46"/>
        <v>19905.031414342629</v>
      </c>
      <c r="T179" s="322">
        <f t="shared" si="47"/>
        <v>19905.031414342589</v>
      </c>
      <c r="U179" s="321">
        <f t="shared" si="48"/>
        <v>0</v>
      </c>
      <c r="V179" s="322">
        <f t="shared" si="49"/>
        <v>19905.031414342589</v>
      </c>
      <c r="W179" s="322">
        <f t="shared" si="50"/>
        <v>19905.031414342597</v>
      </c>
      <c r="X179" s="321">
        <f t="shared" si="51"/>
        <v>0</v>
      </c>
      <c r="Y179" s="322">
        <f t="shared" si="52"/>
        <v>19905.031414342597</v>
      </c>
      <c r="Z179" s="322">
        <f t="shared" si="53"/>
        <v>19905.031414342593</v>
      </c>
      <c r="AA179" s="323">
        <f t="shared" si="54"/>
        <v>19905.031414342593</v>
      </c>
      <c r="AB179" s="323"/>
      <c r="AC179" s="323"/>
      <c r="AD179" s="323"/>
      <c r="AE179" s="323"/>
      <c r="AF179" s="324">
        <f t="shared" si="55"/>
        <v>1.1399180682141334E-4</v>
      </c>
      <c r="AG179" s="312"/>
      <c r="AH179" s="312"/>
      <c r="AI179" s="325">
        <f t="shared" si="56"/>
        <v>1</v>
      </c>
      <c r="AJ179" s="312"/>
      <c r="AK179" s="312"/>
      <c r="AL179" s="312"/>
      <c r="AM179" s="312"/>
      <c r="AN179" s="312"/>
      <c r="AO179" s="312"/>
      <c r="AP179" s="312"/>
      <c r="AQ179" s="312"/>
      <c r="AR179" s="312"/>
      <c r="AS179" s="312"/>
      <c r="AT179" s="312"/>
      <c r="AU179" s="312"/>
      <c r="AV179" s="312"/>
      <c r="AW179" s="312"/>
      <c r="AX179" s="312"/>
      <c r="AY179" s="312"/>
      <c r="AZ179" s="312"/>
      <c r="BA179" s="312"/>
      <c r="BB179" s="312"/>
      <c r="BC179" s="312"/>
      <c r="BD179" s="312"/>
      <c r="BE179" s="312"/>
      <c r="BF179" s="312"/>
      <c r="BG179" s="312"/>
      <c r="BH179" s="312"/>
      <c r="BI179" s="312"/>
      <c r="BJ179" s="312"/>
      <c r="BK179" s="312"/>
      <c r="BL179" s="312"/>
      <c r="BM179" s="312"/>
      <c r="BN179" s="312"/>
      <c r="BO179" s="312"/>
      <c r="BP179" s="312"/>
      <c r="BQ179" s="312"/>
      <c r="BR179" s="312"/>
      <c r="BS179" s="312"/>
      <c r="BT179" s="312"/>
      <c r="BU179" s="312"/>
      <c r="BV179" s="312"/>
      <c r="BW179" s="312"/>
      <c r="BX179" s="312"/>
      <c r="BY179" s="312"/>
      <c r="BZ179" s="312"/>
      <c r="CA179" s="312"/>
      <c r="CB179" s="312"/>
      <c r="CC179" s="312"/>
      <c r="CD179" s="312"/>
      <c r="CE179" s="312"/>
      <c r="CF179" s="312"/>
      <c r="CG179" s="312"/>
      <c r="CH179" s="312"/>
      <c r="CI179" s="312"/>
      <c r="CJ179" s="312"/>
      <c r="CK179" s="312"/>
      <c r="CL179" s="312"/>
      <c r="CM179" s="312"/>
      <c r="CN179" s="312"/>
      <c r="CO179" s="312"/>
      <c r="CP179" s="312"/>
      <c r="CQ179" s="312"/>
      <c r="CR179" s="312"/>
      <c r="CS179" s="312"/>
      <c r="CT179" s="312"/>
      <c r="CU179" s="312"/>
      <c r="CV179" s="312"/>
      <c r="CW179" s="312"/>
      <c r="CX179" s="312"/>
      <c r="CY179" s="312"/>
      <c r="CZ179" s="312"/>
      <c r="DA179" s="312"/>
      <c r="DB179" s="312"/>
      <c r="DC179" s="312"/>
      <c r="DD179" s="312"/>
      <c r="DE179" s="312"/>
      <c r="DF179" s="312"/>
      <c r="DG179" s="312"/>
      <c r="DH179" s="312"/>
      <c r="DI179" s="312"/>
      <c r="DJ179" s="312"/>
      <c r="DK179" s="312"/>
      <c r="DL179" s="312"/>
      <c r="DM179" s="312"/>
      <c r="DN179" s="312"/>
      <c r="DO179" s="312"/>
      <c r="DP179" s="312"/>
      <c r="DQ179" s="312"/>
      <c r="DR179" s="312"/>
      <c r="DS179" s="312"/>
      <c r="DT179" s="312"/>
      <c r="DU179" s="312"/>
      <c r="DV179" s="312"/>
      <c r="DW179" s="312"/>
      <c r="DX179" s="312"/>
      <c r="DY179" s="312"/>
      <c r="DZ179" s="312"/>
      <c r="EA179" s="312"/>
      <c r="EB179" s="312"/>
      <c r="EC179" s="312"/>
      <c r="ED179" s="312"/>
      <c r="EE179" s="312"/>
      <c r="EF179" s="312"/>
      <c r="EG179" s="312"/>
      <c r="EH179" s="312"/>
      <c r="EI179" s="312"/>
      <c r="EJ179" s="312"/>
      <c r="EK179" s="312"/>
      <c r="EL179" s="312"/>
      <c r="EM179" s="312"/>
      <c r="EN179" s="312"/>
      <c r="EO179" s="312"/>
      <c r="EP179" s="312"/>
      <c r="EQ179" s="312"/>
      <c r="ER179" s="312"/>
      <c r="ES179" s="312"/>
      <c r="ET179" s="312"/>
      <c r="EU179" s="312"/>
      <c r="EV179" s="312"/>
      <c r="EW179" s="312"/>
      <c r="EX179" s="312"/>
      <c r="EY179" s="312"/>
      <c r="EZ179" s="312"/>
      <c r="FA179" s="312"/>
      <c r="FB179" s="312"/>
      <c r="FC179" s="312"/>
      <c r="FD179" s="312"/>
      <c r="FE179" s="312"/>
      <c r="FF179" s="312"/>
      <c r="FG179" s="312"/>
      <c r="FH179" s="312"/>
      <c r="FI179" s="312"/>
      <c r="FJ179" s="312"/>
      <c r="FK179" s="312"/>
      <c r="FL179" s="312"/>
      <c r="FM179" s="312"/>
      <c r="FN179" s="312"/>
      <c r="FO179" s="312"/>
      <c r="FP179" s="312"/>
      <c r="FQ179" s="312"/>
      <c r="FR179" s="312"/>
      <c r="FS179" s="312"/>
      <c r="FT179" s="312"/>
      <c r="FU179" s="312"/>
      <c r="FV179" s="312"/>
      <c r="FW179" s="312"/>
      <c r="FX179" s="312"/>
      <c r="FY179" s="312"/>
      <c r="FZ179" s="312"/>
      <c r="GA179" s="312"/>
      <c r="GB179" s="312"/>
      <c r="GC179" s="312"/>
      <c r="GD179" s="312"/>
      <c r="GE179" s="312"/>
      <c r="GF179" s="312"/>
      <c r="GG179" s="312"/>
      <c r="GH179" s="312"/>
      <c r="GI179" s="312"/>
      <c r="GJ179" s="312"/>
      <c r="GK179" s="312"/>
      <c r="GL179" s="312"/>
      <c r="GM179" s="312"/>
      <c r="GN179" s="312"/>
      <c r="GO179" s="312"/>
      <c r="GP179" s="312"/>
      <c r="GQ179" s="312"/>
      <c r="GR179" s="312"/>
      <c r="GS179" s="312"/>
      <c r="GT179" s="312"/>
      <c r="GU179" s="312"/>
      <c r="GV179" s="312"/>
      <c r="GW179" s="312"/>
      <c r="GX179" s="312"/>
      <c r="GY179" s="312"/>
    </row>
    <row r="180" spans="2:207" ht="15.75" x14ac:dyDescent="0.25">
      <c r="B180" s="316">
        <f t="shared" si="39"/>
        <v>150</v>
      </c>
      <c r="C180" s="330">
        <f>'סיכום לוועדה'!B180</f>
        <v>1001351065</v>
      </c>
      <c r="D180" s="330">
        <f>'סיכום לוועדה'!C180</f>
        <v>1001302359</v>
      </c>
      <c r="E180" s="330">
        <f>'סיכום לוועדה'!D180</f>
        <v>41635262</v>
      </c>
      <c r="F180" s="330">
        <f>'סיכום לוועדה'!E180</f>
        <v>20000231</v>
      </c>
      <c r="G180" s="330" t="str">
        <f>'סיכום לוועדה'!F180</f>
        <v>נצרת</v>
      </c>
      <c r="H180" s="317" t="str">
        <f>'סיכום לוועדה'!G180</f>
        <v>אלמדינה לתרבות ואומנות</v>
      </c>
      <c r="I180" s="318">
        <f>'סיכום לוועדה'!U180</f>
        <v>380000</v>
      </c>
      <c r="J180" s="319">
        <f>'סיכום לוועדה'!T180</f>
        <v>104581.6211714268</v>
      </c>
      <c r="K180" s="320">
        <f t="shared" si="40"/>
        <v>0</v>
      </c>
      <c r="L180" s="319">
        <f t="shared" si="41"/>
        <v>104581.6211714268</v>
      </c>
      <c r="M180" s="331">
        <f>'תחום תמיכה ב'!AF180</f>
        <v>7.760536054313914E-4</v>
      </c>
      <c r="N180" s="319">
        <f t="shared" si="38"/>
        <v>117801.31556385392</v>
      </c>
      <c r="O180" s="321">
        <f t="shared" si="42"/>
        <v>0</v>
      </c>
      <c r="P180" s="322">
        <f t="shared" si="43"/>
        <v>117801.31556385392</v>
      </c>
      <c r="Q180" s="322">
        <f t="shared" si="44"/>
        <v>117854.95361404021</v>
      </c>
      <c r="R180" s="321">
        <f t="shared" si="45"/>
        <v>0</v>
      </c>
      <c r="S180" s="322">
        <f t="shared" si="46"/>
        <v>117854.95361404021</v>
      </c>
      <c r="T180" s="322">
        <f t="shared" si="47"/>
        <v>117854.95361403997</v>
      </c>
      <c r="U180" s="321">
        <f t="shared" si="48"/>
        <v>0</v>
      </c>
      <c r="V180" s="322">
        <f t="shared" si="49"/>
        <v>117854.95361403997</v>
      </c>
      <c r="W180" s="322">
        <f t="shared" si="50"/>
        <v>117854.95361404003</v>
      </c>
      <c r="X180" s="321">
        <f t="shared" si="51"/>
        <v>0</v>
      </c>
      <c r="Y180" s="322">
        <f t="shared" si="52"/>
        <v>117854.95361404003</v>
      </c>
      <c r="Z180" s="322">
        <f t="shared" si="53"/>
        <v>117854.95361404</v>
      </c>
      <c r="AA180" s="323">
        <f t="shared" si="54"/>
        <v>117854.95361404</v>
      </c>
      <c r="AB180" s="323"/>
      <c r="AC180" s="323"/>
      <c r="AD180" s="323"/>
      <c r="AE180" s="323"/>
      <c r="AF180" s="324">
        <f t="shared" si="55"/>
        <v>6.749298117478998E-4</v>
      </c>
      <c r="AG180" s="312"/>
      <c r="AH180" s="312"/>
      <c r="AI180" s="325">
        <f t="shared" si="56"/>
        <v>1</v>
      </c>
      <c r="AJ180" s="312"/>
      <c r="AK180" s="312"/>
      <c r="AL180" s="312"/>
      <c r="AM180" s="312"/>
      <c r="AN180" s="312"/>
      <c r="AO180" s="312"/>
      <c r="AP180" s="312"/>
      <c r="AQ180" s="312"/>
      <c r="AR180" s="312"/>
      <c r="AS180" s="312"/>
      <c r="AT180" s="312"/>
      <c r="AU180" s="312"/>
      <c r="AV180" s="312"/>
      <c r="AW180" s="312"/>
      <c r="AX180" s="312"/>
      <c r="AY180" s="312"/>
      <c r="AZ180" s="312"/>
      <c r="BA180" s="312"/>
      <c r="BB180" s="312"/>
      <c r="BC180" s="312"/>
      <c r="BD180" s="312"/>
      <c r="BE180" s="312"/>
      <c r="BF180" s="312"/>
      <c r="BG180" s="312"/>
      <c r="BH180" s="312"/>
      <c r="BI180" s="312"/>
      <c r="BJ180" s="312"/>
      <c r="BK180" s="312"/>
      <c r="BL180" s="312"/>
      <c r="BM180" s="312"/>
      <c r="BN180" s="312"/>
      <c r="BO180" s="312"/>
      <c r="BP180" s="312"/>
      <c r="BQ180" s="312"/>
      <c r="BR180" s="312"/>
      <c r="BS180" s="312"/>
      <c r="BT180" s="312"/>
      <c r="BU180" s="312"/>
      <c r="BV180" s="312"/>
      <c r="BW180" s="312"/>
      <c r="BX180" s="312"/>
      <c r="BY180" s="312"/>
      <c r="BZ180" s="312"/>
      <c r="CA180" s="312"/>
      <c r="CB180" s="312"/>
      <c r="CC180" s="312"/>
      <c r="CD180" s="312"/>
      <c r="CE180" s="312"/>
      <c r="CF180" s="312"/>
      <c r="CG180" s="312"/>
      <c r="CH180" s="312"/>
      <c r="CI180" s="312"/>
      <c r="CJ180" s="312"/>
      <c r="CK180" s="312"/>
      <c r="CL180" s="312"/>
      <c r="CM180" s="312"/>
      <c r="CN180" s="312"/>
      <c r="CO180" s="312"/>
      <c r="CP180" s="312"/>
      <c r="CQ180" s="312"/>
      <c r="CR180" s="312"/>
      <c r="CS180" s="312"/>
      <c r="CT180" s="312"/>
      <c r="CU180" s="312"/>
      <c r="CV180" s="312"/>
      <c r="CW180" s="312"/>
      <c r="CX180" s="312"/>
      <c r="CY180" s="312"/>
      <c r="CZ180" s="312"/>
      <c r="DA180" s="312"/>
      <c r="DB180" s="312"/>
      <c r="DC180" s="312"/>
      <c r="DD180" s="312"/>
      <c r="DE180" s="312"/>
      <c r="DF180" s="312"/>
      <c r="DG180" s="312"/>
      <c r="DH180" s="312"/>
      <c r="DI180" s="312"/>
      <c r="DJ180" s="312"/>
      <c r="DK180" s="312"/>
      <c r="DL180" s="312"/>
      <c r="DM180" s="312"/>
      <c r="DN180" s="312"/>
      <c r="DO180" s="312"/>
      <c r="DP180" s="312"/>
      <c r="DQ180" s="312"/>
      <c r="DR180" s="312"/>
      <c r="DS180" s="312"/>
      <c r="DT180" s="312"/>
      <c r="DU180" s="312"/>
      <c r="DV180" s="312"/>
      <c r="DW180" s="312"/>
      <c r="DX180" s="312"/>
      <c r="DY180" s="312"/>
      <c r="DZ180" s="312"/>
      <c r="EA180" s="312"/>
      <c r="EB180" s="312"/>
      <c r="EC180" s="312"/>
      <c r="ED180" s="312"/>
      <c r="EE180" s="312"/>
      <c r="EF180" s="312"/>
      <c r="EG180" s="312"/>
      <c r="EH180" s="312"/>
      <c r="EI180" s="312"/>
      <c r="EJ180" s="312"/>
      <c r="EK180" s="312"/>
      <c r="EL180" s="312"/>
      <c r="EM180" s="312"/>
      <c r="EN180" s="312"/>
      <c r="EO180" s="312"/>
      <c r="EP180" s="312"/>
      <c r="EQ180" s="312"/>
      <c r="ER180" s="312"/>
      <c r="ES180" s="312"/>
      <c r="ET180" s="312"/>
      <c r="EU180" s="312"/>
      <c r="EV180" s="312"/>
      <c r="EW180" s="312"/>
      <c r="EX180" s="312"/>
      <c r="EY180" s="312"/>
      <c r="EZ180" s="312"/>
      <c r="FA180" s="312"/>
      <c r="FB180" s="312"/>
      <c r="FC180" s="312"/>
      <c r="FD180" s="312"/>
      <c r="FE180" s="312"/>
      <c r="FF180" s="312"/>
      <c r="FG180" s="312"/>
      <c r="FH180" s="312"/>
      <c r="FI180" s="312"/>
      <c r="FJ180" s="312"/>
      <c r="FK180" s="312"/>
      <c r="FL180" s="312"/>
      <c r="FM180" s="312"/>
      <c r="FN180" s="312"/>
      <c r="FO180" s="312"/>
      <c r="FP180" s="312"/>
      <c r="FQ180" s="312"/>
      <c r="FR180" s="312"/>
      <c r="FS180" s="312"/>
      <c r="FT180" s="312"/>
      <c r="FU180" s="312"/>
      <c r="FV180" s="312"/>
      <c r="FW180" s="312"/>
      <c r="FX180" s="312"/>
      <c r="FY180" s="312"/>
      <c r="FZ180" s="312"/>
      <c r="GA180" s="312"/>
      <c r="GB180" s="312"/>
      <c r="GC180" s="312"/>
      <c r="GD180" s="312"/>
      <c r="GE180" s="312"/>
      <c r="GF180" s="312"/>
      <c r="GG180" s="312"/>
      <c r="GH180" s="312"/>
      <c r="GI180" s="312"/>
      <c r="GJ180" s="312"/>
      <c r="GK180" s="312"/>
      <c r="GL180" s="312"/>
      <c r="GM180" s="312"/>
      <c r="GN180" s="312"/>
      <c r="GO180" s="312"/>
      <c r="GP180" s="312"/>
      <c r="GQ180" s="312"/>
      <c r="GR180" s="312"/>
      <c r="GS180" s="312"/>
      <c r="GT180" s="312"/>
      <c r="GU180" s="312"/>
      <c r="GV180" s="312"/>
      <c r="GW180" s="312"/>
      <c r="GX180" s="312"/>
      <c r="GY180" s="312"/>
    </row>
    <row r="181" spans="2:207" ht="15.75" x14ac:dyDescent="0.25">
      <c r="B181" s="316">
        <f t="shared" si="39"/>
        <v>151</v>
      </c>
      <c r="C181" s="330">
        <f>'סיכום לוועדה'!B181</f>
        <v>1001348955</v>
      </c>
      <c r="D181" s="330">
        <f>'סיכום לוועדה'!C181</f>
        <v>1001348955</v>
      </c>
      <c r="E181" s="330">
        <f>'סיכום לוועדה'!D181</f>
        <v>41905827</v>
      </c>
      <c r="F181" s="330">
        <f>'סיכום לוועדה'!E181</f>
        <v>20000189</v>
      </c>
      <c r="G181" s="330" t="str">
        <f>'סיכום לוועדה'!F181</f>
        <v>מסעדה</v>
      </c>
      <c r="H181" s="317" t="str">
        <f>'סיכום לוועדה'!G181</f>
        <v>גולן הייטז ארטיסטיק פרודקשין</v>
      </c>
      <c r="I181" s="318">
        <f>'סיכום לוועדה'!U181</f>
        <v>350000</v>
      </c>
      <c r="J181" s="319">
        <f>'סיכום לוועדה'!T181</f>
        <v>47898.06393943404</v>
      </c>
      <c r="K181" s="320">
        <f t="shared" si="40"/>
        <v>0</v>
      </c>
      <c r="L181" s="319">
        <f t="shared" si="41"/>
        <v>47898.06393943404</v>
      </c>
      <c r="M181" s="331">
        <f>'תחום תמיכה ב'!AF181</f>
        <v>3.8820615611206023E-4</v>
      </c>
      <c r="N181" s="319">
        <f t="shared" si="38"/>
        <v>54510.966333215896</v>
      </c>
      <c r="O181" s="321">
        <f t="shared" si="42"/>
        <v>0</v>
      </c>
      <c r="P181" s="322">
        <f t="shared" si="43"/>
        <v>54510.966333215896</v>
      </c>
      <c r="Q181" s="322">
        <f t="shared" si="44"/>
        <v>54535.786615857811</v>
      </c>
      <c r="R181" s="321">
        <f t="shared" si="45"/>
        <v>0</v>
      </c>
      <c r="S181" s="322">
        <f t="shared" si="46"/>
        <v>54535.786615857811</v>
      </c>
      <c r="T181" s="322">
        <f t="shared" si="47"/>
        <v>54535.786615857702</v>
      </c>
      <c r="U181" s="321">
        <f t="shared" si="48"/>
        <v>0</v>
      </c>
      <c r="V181" s="322">
        <f t="shared" si="49"/>
        <v>54535.786615857702</v>
      </c>
      <c r="W181" s="322">
        <f t="shared" si="50"/>
        <v>54535.786615857724</v>
      </c>
      <c r="X181" s="321">
        <f t="shared" si="51"/>
        <v>0</v>
      </c>
      <c r="Y181" s="322">
        <f t="shared" si="52"/>
        <v>54535.786615857724</v>
      </c>
      <c r="Z181" s="322">
        <f t="shared" si="53"/>
        <v>54535.786615857709</v>
      </c>
      <c r="AA181" s="323">
        <f t="shared" si="54"/>
        <v>54535.786615857709</v>
      </c>
      <c r="AB181" s="323"/>
      <c r="AC181" s="323"/>
      <c r="AD181" s="323"/>
      <c r="AE181" s="323"/>
      <c r="AF181" s="324">
        <f t="shared" si="55"/>
        <v>3.123146466520655E-4</v>
      </c>
      <c r="AG181" s="312"/>
      <c r="AH181" s="312"/>
      <c r="AI181" s="325">
        <f t="shared" si="56"/>
        <v>1</v>
      </c>
      <c r="AJ181" s="312"/>
      <c r="AK181" s="312"/>
      <c r="AL181" s="312"/>
      <c r="AM181" s="312"/>
      <c r="AN181" s="312"/>
      <c r="AO181" s="312"/>
      <c r="AP181" s="312"/>
      <c r="AQ181" s="312"/>
      <c r="AR181" s="312"/>
      <c r="AS181" s="312"/>
      <c r="AT181" s="312"/>
      <c r="AU181" s="312"/>
      <c r="AV181" s="312"/>
      <c r="AW181" s="312"/>
      <c r="AX181" s="312"/>
      <c r="AY181" s="312"/>
      <c r="AZ181" s="312"/>
      <c r="BA181" s="312"/>
      <c r="BB181" s="312"/>
      <c r="BC181" s="312"/>
      <c r="BD181" s="312"/>
      <c r="BE181" s="312"/>
      <c r="BF181" s="312"/>
      <c r="BG181" s="312"/>
      <c r="BH181" s="312"/>
      <c r="BI181" s="312"/>
      <c r="BJ181" s="312"/>
      <c r="BK181" s="312"/>
      <c r="BL181" s="312"/>
      <c r="BM181" s="312"/>
      <c r="BN181" s="312"/>
      <c r="BO181" s="312"/>
      <c r="BP181" s="312"/>
      <c r="BQ181" s="312"/>
      <c r="BR181" s="312"/>
      <c r="BS181" s="312"/>
      <c r="BT181" s="312"/>
      <c r="BU181" s="312"/>
      <c r="BV181" s="312"/>
      <c r="BW181" s="312"/>
      <c r="BX181" s="312"/>
      <c r="BY181" s="312"/>
      <c r="BZ181" s="312"/>
      <c r="CA181" s="312"/>
      <c r="CB181" s="312"/>
      <c r="CC181" s="312"/>
      <c r="CD181" s="312"/>
      <c r="CE181" s="312"/>
      <c r="CF181" s="312"/>
      <c r="CG181" s="312"/>
      <c r="CH181" s="312"/>
      <c r="CI181" s="312"/>
      <c r="CJ181" s="312"/>
      <c r="CK181" s="312"/>
      <c r="CL181" s="312"/>
      <c r="CM181" s="312"/>
      <c r="CN181" s="312"/>
      <c r="CO181" s="312"/>
      <c r="CP181" s="312"/>
      <c r="CQ181" s="312"/>
      <c r="CR181" s="312"/>
      <c r="CS181" s="312"/>
      <c r="CT181" s="312"/>
      <c r="CU181" s="312"/>
      <c r="CV181" s="312"/>
      <c r="CW181" s="312"/>
      <c r="CX181" s="312"/>
      <c r="CY181" s="312"/>
      <c r="CZ181" s="312"/>
      <c r="DA181" s="312"/>
      <c r="DB181" s="312"/>
      <c r="DC181" s="312"/>
      <c r="DD181" s="312"/>
      <c r="DE181" s="312"/>
      <c r="DF181" s="312"/>
      <c r="DG181" s="312"/>
      <c r="DH181" s="312"/>
      <c r="DI181" s="312"/>
      <c r="DJ181" s="312"/>
      <c r="DK181" s="312"/>
      <c r="DL181" s="312"/>
      <c r="DM181" s="312"/>
      <c r="DN181" s="312"/>
      <c r="DO181" s="312"/>
      <c r="DP181" s="312"/>
      <c r="DQ181" s="312"/>
      <c r="DR181" s="312"/>
      <c r="DS181" s="312"/>
      <c r="DT181" s="312"/>
      <c r="DU181" s="312"/>
      <c r="DV181" s="312"/>
      <c r="DW181" s="312"/>
      <c r="DX181" s="312"/>
      <c r="DY181" s="312"/>
      <c r="DZ181" s="312"/>
      <c r="EA181" s="312"/>
      <c r="EB181" s="312"/>
      <c r="EC181" s="312"/>
      <c r="ED181" s="312"/>
      <c r="EE181" s="312"/>
      <c r="EF181" s="312"/>
      <c r="EG181" s="312"/>
      <c r="EH181" s="312"/>
      <c r="EI181" s="312"/>
      <c r="EJ181" s="312"/>
      <c r="EK181" s="312"/>
      <c r="EL181" s="312"/>
      <c r="EM181" s="312"/>
      <c r="EN181" s="312"/>
      <c r="EO181" s="312"/>
      <c r="EP181" s="312"/>
      <c r="EQ181" s="312"/>
      <c r="ER181" s="312"/>
      <c r="ES181" s="312"/>
      <c r="ET181" s="312"/>
      <c r="EU181" s="312"/>
      <c r="EV181" s="312"/>
      <c r="EW181" s="312"/>
      <c r="EX181" s="312"/>
      <c r="EY181" s="312"/>
      <c r="EZ181" s="312"/>
      <c r="FA181" s="312"/>
      <c r="FB181" s="312"/>
      <c r="FC181" s="312"/>
      <c r="FD181" s="312"/>
      <c r="FE181" s="312"/>
      <c r="FF181" s="312"/>
      <c r="FG181" s="312"/>
      <c r="FH181" s="312"/>
      <c r="FI181" s="312"/>
      <c r="FJ181" s="312"/>
      <c r="FK181" s="312"/>
      <c r="FL181" s="312"/>
      <c r="FM181" s="312"/>
      <c r="FN181" s="312"/>
      <c r="FO181" s="312"/>
      <c r="FP181" s="312"/>
      <c r="FQ181" s="312"/>
      <c r="FR181" s="312"/>
      <c r="FS181" s="312"/>
      <c r="FT181" s="312"/>
      <c r="FU181" s="312"/>
      <c r="FV181" s="312"/>
      <c r="FW181" s="312"/>
      <c r="FX181" s="312"/>
      <c r="FY181" s="312"/>
      <c r="FZ181" s="312"/>
      <c r="GA181" s="312"/>
      <c r="GB181" s="312"/>
      <c r="GC181" s="312"/>
      <c r="GD181" s="312"/>
      <c r="GE181" s="312"/>
      <c r="GF181" s="312"/>
      <c r="GG181" s="312"/>
      <c r="GH181" s="312"/>
      <c r="GI181" s="312"/>
      <c r="GJ181" s="312"/>
      <c r="GK181" s="312"/>
      <c r="GL181" s="312"/>
      <c r="GM181" s="312"/>
      <c r="GN181" s="312"/>
      <c r="GO181" s="312"/>
      <c r="GP181" s="312"/>
      <c r="GQ181" s="312"/>
      <c r="GR181" s="312"/>
      <c r="GS181" s="312"/>
      <c r="GT181" s="312"/>
      <c r="GU181" s="312"/>
      <c r="GV181" s="312"/>
      <c r="GW181" s="312"/>
      <c r="GX181" s="312"/>
      <c r="GY181" s="312"/>
    </row>
    <row r="182" spans="2:207" ht="15.75" x14ac:dyDescent="0.25">
      <c r="B182" s="316">
        <f t="shared" si="39"/>
        <v>152</v>
      </c>
      <c r="C182" s="330">
        <f>'סיכום לוועדה'!B182</f>
        <v>1001347088</v>
      </c>
      <c r="D182" s="330">
        <f>'סיכום לוועדה'!C182</f>
        <v>1001301993</v>
      </c>
      <c r="E182" s="330">
        <f>'סיכום לוועדה'!D182</f>
        <v>42000072</v>
      </c>
      <c r="F182" s="330">
        <f>'סיכום לוועדה'!E182</f>
        <v>20000055</v>
      </c>
      <c r="G182" s="330" t="str">
        <f>'סיכום לוועדה'!F182</f>
        <v>מג'ד אל-כרום</v>
      </c>
      <c r="H182" s="317" t="str">
        <f>'סיכום לוועדה'!G182</f>
        <v>כנארי עמותה לקידום המוסיקה והשירה</v>
      </c>
      <c r="I182" s="318">
        <f>'סיכום לוועדה'!U182</f>
        <v>120000</v>
      </c>
      <c r="J182" s="319">
        <f>'סיכום לוועדה'!T182</f>
        <v>41251.412844622217</v>
      </c>
      <c r="K182" s="320">
        <f t="shared" si="40"/>
        <v>0</v>
      </c>
      <c r="L182" s="319">
        <f t="shared" si="41"/>
        <v>41251.412844622217</v>
      </c>
      <c r="M182" s="331">
        <f>'תחום תמיכה ב'!AF182</f>
        <v>2.9798285710278037E-4</v>
      </c>
      <c r="N182" s="319">
        <f t="shared" si="38"/>
        <v>46327.405375951668</v>
      </c>
      <c r="O182" s="321">
        <f t="shared" si="42"/>
        <v>0</v>
      </c>
      <c r="P182" s="322">
        <f t="shared" si="43"/>
        <v>46327.405375951668</v>
      </c>
      <c r="Q182" s="322">
        <f t="shared" si="44"/>
        <v>46348.499467156522</v>
      </c>
      <c r="R182" s="321">
        <f t="shared" si="45"/>
        <v>0</v>
      </c>
      <c r="S182" s="322">
        <f t="shared" si="46"/>
        <v>46348.499467156522</v>
      </c>
      <c r="T182" s="322">
        <f t="shared" si="47"/>
        <v>46348.499467156427</v>
      </c>
      <c r="U182" s="321">
        <f t="shared" si="48"/>
        <v>0</v>
      </c>
      <c r="V182" s="322">
        <f t="shared" si="49"/>
        <v>46348.499467156427</v>
      </c>
      <c r="W182" s="322">
        <f t="shared" si="50"/>
        <v>46348.499467156442</v>
      </c>
      <c r="X182" s="321">
        <f t="shared" si="51"/>
        <v>0</v>
      </c>
      <c r="Y182" s="322">
        <f t="shared" si="52"/>
        <v>46348.499467156442</v>
      </c>
      <c r="Z182" s="322">
        <f t="shared" si="53"/>
        <v>46348.499467156435</v>
      </c>
      <c r="AA182" s="323">
        <f t="shared" si="54"/>
        <v>46348.499467156435</v>
      </c>
      <c r="AB182" s="323"/>
      <c r="AC182" s="323"/>
      <c r="AD182" s="323"/>
      <c r="AE182" s="323"/>
      <c r="AF182" s="324">
        <f t="shared" si="55"/>
        <v>2.6542782514352387E-4</v>
      </c>
      <c r="AG182" s="312"/>
      <c r="AH182" s="312"/>
      <c r="AI182" s="325">
        <f t="shared" si="56"/>
        <v>1</v>
      </c>
      <c r="AJ182" s="312"/>
      <c r="AK182" s="312"/>
      <c r="AL182" s="312"/>
      <c r="AM182" s="312"/>
      <c r="AN182" s="312"/>
      <c r="AO182" s="312"/>
      <c r="AP182" s="312"/>
      <c r="AQ182" s="312"/>
      <c r="AR182" s="312"/>
      <c r="AS182" s="312"/>
      <c r="AT182" s="312"/>
      <c r="AU182" s="312"/>
      <c r="AV182" s="312"/>
      <c r="AW182" s="312"/>
      <c r="AX182" s="312"/>
      <c r="AY182" s="312"/>
      <c r="AZ182" s="312"/>
      <c r="BA182" s="312"/>
      <c r="BB182" s="312"/>
      <c r="BC182" s="312"/>
      <c r="BD182" s="312"/>
      <c r="BE182" s="312"/>
      <c r="BF182" s="312"/>
      <c r="BG182" s="312"/>
      <c r="BH182" s="312"/>
      <c r="BI182" s="312"/>
      <c r="BJ182" s="312"/>
      <c r="BK182" s="312"/>
      <c r="BL182" s="312"/>
      <c r="BM182" s="312"/>
      <c r="BN182" s="312"/>
      <c r="BO182" s="312"/>
      <c r="BP182" s="312"/>
      <c r="BQ182" s="312"/>
      <c r="BR182" s="312"/>
      <c r="BS182" s="312"/>
      <c r="BT182" s="312"/>
      <c r="BU182" s="312"/>
      <c r="BV182" s="312"/>
      <c r="BW182" s="312"/>
      <c r="BX182" s="312"/>
      <c r="BY182" s="312"/>
      <c r="BZ182" s="312"/>
      <c r="CA182" s="312"/>
      <c r="CB182" s="312"/>
      <c r="CC182" s="312"/>
      <c r="CD182" s="312"/>
      <c r="CE182" s="312"/>
      <c r="CF182" s="312"/>
      <c r="CG182" s="312"/>
      <c r="CH182" s="312"/>
      <c r="CI182" s="312"/>
      <c r="CJ182" s="312"/>
      <c r="CK182" s="312"/>
      <c r="CL182" s="312"/>
      <c r="CM182" s="312"/>
      <c r="CN182" s="312"/>
      <c r="CO182" s="312"/>
      <c r="CP182" s="312"/>
      <c r="CQ182" s="312"/>
      <c r="CR182" s="312"/>
      <c r="CS182" s="312"/>
      <c r="CT182" s="312"/>
      <c r="CU182" s="312"/>
      <c r="CV182" s="312"/>
      <c r="CW182" s="312"/>
      <c r="CX182" s="312"/>
      <c r="CY182" s="312"/>
      <c r="CZ182" s="312"/>
      <c r="DA182" s="312"/>
      <c r="DB182" s="312"/>
      <c r="DC182" s="312"/>
      <c r="DD182" s="312"/>
      <c r="DE182" s="312"/>
      <c r="DF182" s="312"/>
      <c r="DG182" s="312"/>
      <c r="DH182" s="312"/>
      <c r="DI182" s="312"/>
      <c r="DJ182" s="312"/>
      <c r="DK182" s="312"/>
      <c r="DL182" s="312"/>
      <c r="DM182" s="312"/>
      <c r="DN182" s="312"/>
      <c r="DO182" s="312"/>
      <c r="DP182" s="312"/>
      <c r="DQ182" s="312"/>
      <c r="DR182" s="312"/>
      <c r="DS182" s="312"/>
      <c r="DT182" s="312"/>
      <c r="DU182" s="312"/>
      <c r="DV182" s="312"/>
      <c r="DW182" s="312"/>
      <c r="DX182" s="312"/>
      <c r="DY182" s="312"/>
      <c r="DZ182" s="312"/>
      <c r="EA182" s="312"/>
      <c r="EB182" s="312"/>
      <c r="EC182" s="312"/>
      <c r="ED182" s="312"/>
      <c r="EE182" s="312"/>
      <c r="EF182" s="312"/>
      <c r="EG182" s="312"/>
      <c r="EH182" s="312"/>
      <c r="EI182" s="312"/>
      <c r="EJ182" s="312"/>
      <c r="EK182" s="312"/>
      <c r="EL182" s="312"/>
      <c r="EM182" s="312"/>
      <c r="EN182" s="312"/>
      <c r="EO182" s="312"/>
      <c r="EP182" s="312"/>
      <c r="EQ182" s="312"/>
      <c r="ER182" s="312"/>
      <c r="ES182" s="312"/>
      <c r="ET182" s="312"/>
      <c r="EU182" s="312"/>
      <c r="EV182" s="312"/>
      <c r="EW182" s="312"/>
      <c r="EX182" s="312"/>
      <c r="EY182" s="312"/>
      <c r="EZ182" s="312"/>
      <c r="FA182" s="312"/>
      <c r="FB182" s="312"/>
      <c r="FC182" s="312"/>
      <c r="FD182" s="312"/>
      <c r="FE182" s="312"/>
      <c r="FF182" s="312"/>
      <c r="FG182" s="312"/>
      <c r="FH182" s="312"/>
      <c r="FI182" s="312"/>
      <c r="FJ182" s="312"/>
      <c r="FK182" s="312"/>
      <c r="FL182" s="312"/>
      <c r="FM182" s="312"/>
      <c r="FN182" s="312"/>
      <c r="FO182" s="312"/>
      <c r="FP182" s="312"/>
      <c r="FQ182" s="312"/>
      <c r="FR182" s="312"/>
      <c r="FS182" s="312"/>
      <c r="FT182" s="312"/>
      <c r="FU182" s="312"/>
      <c r="FV182" s="312"/>
      <c r="FW182" s="312"/>
      <c r="FX182" s="312"/>
      <c r="FY182" s="312"/>
      <c r="FZ182" s="312"/>
      <c r="GA182" s="312"/>
      <c r="GB182" s="312"/>
      <c r="GC182" s="312"/>
      <c r="GD182" s="312"/>
      <c r="GE182" s="312"/>
      <c r="GF182" s="312"/>
      <c r="GG182" s="312"/>
      <c r="GH182" s="312"/>
      <c r="GI182" s="312"/>
      <c r="GJ182" s="312"/>
      <c r="GK182" s="312"/>
      <c r="GL182" s="312"/>
      <c r="GM182" s="312"/>
      <c r="GN182" s="312"/>
      <c r="GO182" s="312"/>
      <c r="GP182" s="312"/>
      <c r="GQ182" s="312"/>
      <c r="GR182" s="312"/>
      <c r="GS182" s="312"/>
      <c r="GT182" s="312"/>
      <c r="GU182" s="312"/>
      <c r="GV182" s="312"/>
      <c r="GW182" s="312"/>
      <c r="GX182" s="312"/>
      <c r="GY182" s="312"/>
    </row>
    <row r="183" spans="2:207" ht="15.75" x14ac:dyDescent="0.25">
      <c r="B183" s="316">
        <f t="shared" si="39"/>
        <v>153</v>
      </c>
      <c r="C183" s="330">
        <f>'סיכום לוועדה'!B183</f>
        <v>1001348513</v>
      </c>
      <c r="D183" s="330">
        <f>'סיכום לוועדה'!C183</f>
        <v>1001271351</v>
      </c>
      <c r="E183" s="330">
        <f>'סיכום לוועדה'!D183</f>
        <v>40000594</v>
      </c>
      <c r="F183" s="330">
        <f>'סיכום לוועדה'!E183</f>
        <v>20000185</v>
      </c>
      <c r="G183" s="330" t="str">
        <f>'סיכום לוועדה'!F183</f>
        <v>עמק חפר</v>
      </c>
      <c r="H183" s="317" t="str">
        <f>'סיכום לוועדה'!G183</f>
        <v>עמותת מקהלות מורן והבית לשירה בישרא</v>
      </c>
      <c r="I183" s="318">
        <f>'סיכום לוועדה'!U183</f>
        <v>110053</v>
      </c>
      <c r="J183" s="319">
        <f>'סיכום לוועדה'!T183</f>
        <v>16135.975484604634</v>
      </c>
      <c r="K183" s="320">
        <f t="shared" si="40"/>
        <v>0</v>
      </c>
      <c r="L183" s="319">
        <f t="shared" si="41"/>
        <v>16135.975484604634</v>
      </c>
      <c r="M183" s="331">
        <f>'תחום תמיכה ב'!AF183</f>
        <v>9.7159260440366033E-5</v>
      </c>
      <c r="N183" s="319">
        <f t="shared" si="38"/>
        <v>17791.036064732849</v>
      </c>
      <c r="O183" s="321">
        <f t="shared" si="42"/>
        <v>0</v>
      </c>
      <c r="P183" s="322">
        <f t="shared" si="43"/>
        <v>17791.036064732849</v>
      </c>
      <c r="Q183" s="322">
        <f t="shared" si="44"/>
        <v>17799.136793326063</v>
      </c>
      <c r="R183" s="321">
        <f t="shared" si="45"/>
        <v>0</v>
      </c>
      <c r="S183" s="322">
        <f t="shared" si="46"/>
        <v>17799.136793326063</v>
      </c>
      <c r="T183" s="322">
        <f t="shared" si="47"/>
        <v>17799.136793326026</v>
      </c>
      <c r="U183" s="321">
        <f t="shared" si="48"/>
        <v>0</v>
      </c>
      <c r="V183" s="322">
        <f t="shared" si="49"/>
        <v>17799.136793326026</v>
      </c>
      <c r="W183" s="322">
        <f t="shared" si="50"/>
        <v>17799.136793326034</v>
      </c>
      <c r="X183" s="321">
        <f t="shared" si="51"/>
        <v>0</v>
      </c>
      <c r="Y183" s="322">
        <f t="shared" si="52"/>
        <v>17799.136793326034</v>
      </c>
      <c r="Z183" s="322">
        <f t="shared" si="53"/>
        <v>17799.13679332603</v>
      </c>
      <c r="AA183" s="323">
        <f t="shared" si="54"/>
        <v>17799.13679332603</v>
      </c>
      <c r="AB183" s="323"/>
      <c r="AC183" s="323"/>
      <c r="AD183" s="323"/>
      <c r="AE183" s="323"/>
      <c r="AF183" s="324">
        <f t="shared" si="55"/>
        <v>1.019318041101289E-4</v>
      </c>
      <c r="AG183" s="312"/>
      <c r="AH183" s="312"/>
      <c r="AI183" s="325">
        <f t="shared" si="56"/>
        <v>1</v>
      </c>
      <c r="AJ183" s="312"/>
      <c r="AK183" s="312"/>
      <c r="AL183" s="312"/>
      <c r="AM183" s="312"/>
      <c r="AN183" s="312"/>
      <c r="AO183" s="312"/>
      <c r="AP183" s="312"/>
      <c r="AQ183" s="312"/>
      <c r="AR183" s="312"/>
      <c r="AS183" s="312"/>
      <c r="AT183" s="312"/>
      <c r="AU183" s="312"/>
      <c r="AV183" s="312"/>
      <c r="AW183" s="312"/>
      <c r="AX183" s="312"/>
      <c r="AY183" s="312"/>
      <c r="AZ183" s="312"/>
      <c r="BA183" s="312"/>
      <c r="BB183" s="312"/>
      <c r="BC183" s="312"/>
      <c r="BD183" s="312"/>
      <c r="BE183" s="312"/>
      <c r="BF183" s="312"/>
      <c r="BG183" s="312"/>
      <c r="BH183" s="312"/>
      <c r="BI183" s="312"/>
      <c r="BJ183" s="312"/>
      <c r="BK183" s="312"/>
      <c r="BL183" s="312"/>
      <c r="BM183" s="312"/>
      <c r="BN183" s="312"/>
      <c r="BO183" s="312"/>
      <c r="BP183" s="312"/>
      <c r="BQ183" s="312"/>
      <c r="BR183" s="312"/>
      <c r="BS183" s="312"/>
      <c r="BT183" s="312"/>
      <c r="BU183" s="312"/>
      <c r="BV183" s="312"/>
      <c r="BW183" s="312"/>
      <c r="BX183" s="312"/>
      <c r="BY183" s="312"/>
      <c r="BZ183" s="312"/>
      <c r="CA183" s="312"/>
      <c r="CB183" s="312"/>
      <c r="CC183" s="312"/>
      <c r="CD183" s="312"/>
      <c r="CE183" s="312"/>
      <c r="CF183" s="312"/>
      <c r="CG183" s="312"/>
      <c r="CH183" s="312"/>
      <c r="CI183" s="312"/>
      <c r="CJ183" s="312"/>
      <c r="CK183" s="312"/>
      <c r="CL183" s="312"/>
      <c r="CM183" s="312"/>
      <c r="CN183" s="312"/>
      <c r="CO183" s="312"/>
      <c r="CP183" s="312"/>
      <c r="CQ183" s="312"/>
      <c r="CR183" s="312"/>
      <c r="CS183" s="312"/>
      <c r="CT183" s="312"/>
      <c r="CU183" s="312"/>
      <c r="CV183" s="312"/>
      <c r="CW183" s="312"/>
      <c r="CX183" s="312"/>
      <c r="CY183" s="312"/>
      <c r="CZ183" s="312"/>
      <c r="DA183" s="312"/>
      <c r="DB183" s="312"/>
      <c r="DC183" s="312"/>
      <c r="DD183" s="312"/>
      <c r="DE183" s="312"/>
      <c r="DF183" s="312"/>
      <c r="DG183" s="312"/>
      <c r="DH183" s="312"/>
      <c r="DI183" s="312"/>
      <c r="DJ183" s="312"/>
      <c r="DK183" s="312"/>
      <c r="DL183" s="312"/>
      <c r="DM183" s="312"/>
      <c r="DN183" s="312"/>
      <c r="DO183" s="312"/>
      <c r="DP183" s="312"/>
      <c r="DQ183" s="312"/>
      <c r="DR183" s="312"/>
      <c r="DS183" s="312"/>
      <c r="DT183" s="312"/>
      <c r="DU183" s="312"/>
      <c r="DV183" s="312"/>
      <c r="DW183" s="312"/>
      <c r="DX183" s="312"/>
      <c r="DY183" s="312"/>
      <c r="DZ183" s="312"/>
      <c r="EA183" s="312"/>
      <c r="EB183" s="312"/>
      <c r="EC183" s="312"/>
      <c r="ED183" s="312"/>
      <c r="EE183" s="312"/>
      <c r="EF183" s="312"/>
      <c r="EG183" s="312"/>
      <c r="EH183" s="312"/>
      <c r="EI183" s="312"/>
      <c r="EJ183" s="312"/>
      <c r="EK183" s="312"/>
      <c r="EL183" s="312"/>
      <c r="EM183" s="312"/>
      <c r="EN183" s="312"/>
      <c r="EO183" s="312"/>
      <c r="EP183" s="312"/>
      <c r="EQ183" s="312"/>
      <c r="ER183" s="312"/>
      <c r="ES183" s="312"/>
      <c r="ET183" s="312"/>
      <c r="EU183" s="312"/>
      <c r="EV183" s="312"/>
      <c r="EW183" s="312"/>
      <c r="EX183" s="312"/>
      <c r="EY183" s="312"/>
      <c r="EZ183" s="312"/>
      <c r="FA183" s="312"/>
      <c r="FB183" s="312"/>
      <c r="FC183" s="312"/>
      <c r="FD183" s="312"/>
      <c r="FE183" s="312"/>
      <c r="FF183" s="312"/>
      <c r="FG183" s="312"/>
      <c r="FH183" s="312"/>
      <c r="FI183" s="312"/>
      <c r="FJ183" s="312"/>
      <c r="FK183" s="312"/>
      <c r="FL183" s="312"/>
      <c r="FM183" s="312"/>
      <c r="FN183" s="312"/>
      <c r="FO183" s="312"/>
      <c r="FP183" s="312"/>
      <c r="FQ183" s="312"/>
      <c r="FR183" s="312"/>
      <c r="FS183" s="312"/>
      <c r="FT183" s="312"/>
      <c r="FU183" s="312"/>
      <c r="FV183" s="312"/>
      <c r="FW183" s="312"/>
      <c r="FX183" s="312"/>
      <c r="FY183" s="312"/>
      <c r="FZ183" s="312"/>
      <c r="GA183" s="312"/>
      <c r="GB183" s="312"/>
      <c r="GC183" s="312"/>
      <c r="GD183" s="312"/>
      <c r="GE183" s="312"/>
      <c r="GF183" s="312"/>
      <c r="GG183" s="312"/>
      <c r="GH183" s="312"/>
      <c r="GI183" s="312"/>
      <c r="GJ183" s="312"/>
      <c r="GK183" s="312"/>
      <c r="GL183" s="312"/>
      <c r="GM183" s="312"/>
      <c r="GN183" s="312"/>
      <c r="GO183" s="312"/>
      <c r="GP183" s="312"/>
      <c r="GQ183" s="312"/>
      <c r="GR183" s="312"/>
      <c r="GS183" s="312"/>
      <c r="GT183" s="312"/>
      <c r="GU183" s="312"/>
      <c r="GV183" s="312"/>
      <c r="GW183" s="312"/>
      <c r="GX183" s="312"/>
      <c r="GY183" s="312"/>
    </row>
    <row r="184" spans="2:207" ht="15.75" x14ac:dyDescent="0.25">
      <c r="B184" s="316">
        <f t="shared" si="39"/>
        <v>154</v>
      </c>
      <c r="C184" s="330">
        <f>'סיכום לוועדה'!B184</f>
        <v>1001347628</v>
      </c>
      <c r="D184" s="330">
        <f>'סיכום לוועדה'!C184</f>
        <v>1001263875</v>
      </c>
      <c r="E184" s="330">
        <f>'סיכום לוועדה'!D184</f>
        <v>40384415</v>
      </c>
      <c r="F184" s="330">
        <f>'סיכום לוועדה'!E184</f>
        <v>20000095</v>
      </c>
      <c r="G184" s="330" t="str">
        <f>'סיכום לוועדה'!F184</f>
        <v>מטה יהודה</v>
      </c>
      <c r="H184" s="317" t="str">
        <f>'סיכום לוועדה'!G184</f>
        <v>סינמטק ראש פינה (ע"ר)</v>
      </c>
      <c r="I184" s="318">
        <f>'סיכום לוועדה'!U184</f>
        <v>770000</v>
      </c>
      <c r="J184" s="319">
        <f>'סיכום לוועדה'!T184</f>
        <v>285101.53862438526</v>
      </c>
      <c r="K184" s="320">
        <f t="shared" si="40"/>
        <v>0</v>
      </c>
      <c r="L184" s="319">
        <f t="shared" si="41"/>
        <v>285101.53862438526</v>
      </c>
      <c r="M184" s="331">
        <f>'תחום תמיכה ב'!AF184</f>
        <v>1.9884796728121541E-3</v>
      </c>
      <c r="N184" s="319">
        <f t="shared" si="38"/>
        <v>318974.31931395852</v>
      </c>
      <c r="O184" s="321">
        <f t="shared" si="42"/>
        <v>0</v>
      </c>
      <c r="P184" s="322">
        <f t="shared" si="43"/>
        <v>318974.31931395852</v>
      </c>
      <c r="Q184" s="322">
        <f t="shared" si="44"/>
        <v>319119.55674586334</v>
      </c>
      <c r="R184" s="321">
        <f t="shared" si="45"/>
        <v>0</v>
      </c>
      <c r="S184" s="322">
        <f t="shared" si="46"/>
        <v>319119.55674586334</v>
      </c>
      <c r="T184" s="322">
        <f t="shared" si="47"/>
        <v>319119.5567458627</v>
      </c>
      <c r="U184" s="321">
        <f t="shared" si="48"/>
        <v>0</v>
      </c>
      <c r="V184" s="322">
        <f t="shared" si="49"/>
        <v>319119.5567458627</v>
      </c>
      <c r="W184" s="322">
        <f t="shared" si="50"/>
        <v>319119.55674586282</v>
      </c>
      <c r="X184" s="321">
        <f t="shared" si="51"/>
        <v>0</v>
      </c>
      <c r="Y184" s="322">
        <f t="shared" si="52"/>
        <v>319119.55674586282</v>
      </c>
      <c r="Z184" s="322">
        <f t="shared" si="53"/>
        <v>319119.55674586276</v>
      </c>
      <c r="AA184" s="323">
        <f t="shared" si="54"/>
        <v>319119.55674586276</v>
      </c>
      <c r="AB184" s="323"/>
      <c r="AC184" s="323"/>
      <c r="AD184" s="323"/>
      <c r="AE184" s="323"/>
      <c r="AF184" s="324">
        <f t="shared" si="55"/>
        <v>1.8275286337552795E-3</v>
      </c>
      <c r="AG184" s="312"/>
      <c r="AH184" s="312"/>
      <c r="AI184" s="325">
        <f t="shared" si="56"/>
        <v>1</v>
      </c>
      <c r="AJ184" s="312"/>
      <c r="AK184" s="312"/>
      <c r="AL184" s="312"/>
      <c r="AM184" s="312"/>
      <c r="AN184" s="312"/>
      <c r="AO184" s="312"/>
      <c r="AP184" s="312"/>
      <c r="AQ184" s="312"/>
      <c r="AR184" s="312"/>
      <c r="AS184" s="312"/>
      <c r="AT184" s="312"/>
      <c r="AU184" s="312"/>
      <c r="AV184" s="312"/>
      <c r="AW184" s="312"/>
      <c r="AX184" s="312"/>
      <c r="AY184" s="312"/>
      <c r="AZ184" s="312"/>
      <c r="BA184" s="312"/>
      <c r="BB184" s="312"/>
      <c r="BC184" s="312"/>
      <c r="BD184" s="312"/>
      <c r="BE184" s="312"/>
      <c r="BF184" s="312"/>
      <c r="BG184" s="312"/>
      <c r="BH184" s="312"/>
      <c r="BI184" s="312"/>
      <c r="BJ184" s="312"/>
      <c r="BK184" s="312"/>
      <c r="BL184" s="312"/>
      <c r="BM184" s="312"/>
      <c r="BN184" s="312"/>
      <c r="BO184" s="312"/>
      <c r="BP184" s="312"/>
      <c r="BQ184" s="312"/>
      <c r="BR184" s="312"/>
      <c r="BS184" s="312"/>
      <c r="BT184" s="312"/>
      <c r="BU184" s="312"/>
      <c r="BV184" s="312"/>
      <c r="BW184" s="312"/>
      <c r="BX184" s="312"/>
      <c r="BY184" s="312"/>
      <c r="BZ184" s="312"/>
      <c r="CA184" s="312"/>
      <c r="CB184" s="312"/>
      <c r="CC184" s="312"/>
      <c r="CD184" s="312"/>
      <c r="CE184" s="312"/>
      <c r="CF184" s="312"/>
      <c r="CG184" s="312"/>
      <c r="CH184" s="312"/>
      <c r="CI184" s="312"/>
      <c r="CJ184" s="312"/>
      <c r="CK184" s="312"/>
      <c r="CL184" s="312"/>
      <c r="CM184" s="312"/>
      <c r="CN184" s="312"/>
      <c r="CO184" s="312"/>
      <c r="CP184" s="312"/>
      <c r="CQ184" s="312"/>
      <c r="CR184" s="312"/>
      <c r="CS184" s="312"/>
      <c r="CT184" s="312"/>
      <c r="CU184" s="312"/>
      <c r="CV184" s="312"/>
      <c r="CW184" s="312"/>
      <c r="CX184" s="312"/>
      <c r="CY184" s="312"/>
      <c r="CZ184" s="312"/>
      <c r="DA184" s="312"/>
      <c r="DB184" s="312"/>
      <c r="DC184" s="312"/>
      <c r="DD184" s="312"/>
      <c r="DE184" s="312"/>
      <c r="DF184" s="312"/>
      <c r="DG184" s="312"/>
      <c r="DH184" s="312"/>
      <c r="DI184" s="312"/>
      <c r="DJ184" s="312"/>
      <c r="DK184" s="312"/>
      <c r="DL184" s="312"/>
      <c r="DM184" s="312"/>
      <c r="DN184" s="312"/>
      <c r="DO184" s="312"/>
      <c r="DP184" s="312"/>
      <c r="DQ184" s="312"/>
      <c r="DR184" s="312"/>
      <c r="DS184" s="312"/>
      <c r="DT184" s="312"/>
      <c r="DU184" s="312"/>
      <c r="DV184" s="312"/>
      <c r="DW184" s="312"/>
      <c r="DX184" s="312"/>
      <c r="DY184" s="312"/>
      <c r="DZ184" s="312"/>
      <c r="EA184" s="312"/>
      <c r="EB184" s="312"/>
      <c r="EC184" s="312"/>
      <c r="ED184" s="312"/>
      <c r="EE184" s="312"/>
      <c r="EF184" s="312"/>
      <c r="EG184" s="312"/>
      <c r="EH184" s="312"/>
      <c r="EI184" s="312"/>
      <c r="EJ184" s="312"/>
      <c r="EK184" s="312"/>
      <c r="EL184" s="312"/>
      <c r="EM184" s="312"/>
      <c r="EN184" s="312"/>
      <c r="EO184" s="312"/>
      <c r="EP184" s="312"/>
      <c r="EQ184" s="312"/>
      <c r="ER184" s="312"/>
      <c r="ES184" s="312"/>
      <c r="ET184" s="312"/>
      <c r="EU184" s="312"/>
      <c r="EV184" s="312"/>
      <c r="EW184" s="312"/>
      <c r="EX184" s="312"/>
      <c r="EY184" s="312"/>
      <c r="EZ184" s="312"/>
      <c r="FA184" s="312"/>
      <c r="FB184" s="312"/>
      <c r="FC184" s="312"/>
      <c r="FD184" s="312"/>
      <c r="FE184" s="312"/>
      <c r="FF184" s="312"/>
      <c r="FG184" s="312"/>
      <c r="FH184" s="312"/>
      <c r="FI184" s="312"/>
      <c r="FJ184" s="312"/>
      <c r="FK184" s="312"/>
      <c r="FL184" s="312"/>
      <c r="FM184" s="312"/>
      <c r="FN184" s="312"/>
      <c r="FO184" s="312"/>
      <c r="FP184" s="312"/>
      <c r="FQ184" s="312"/>
      <c r="FR184" s="312"/>
      <c r="FS184" s="312"/>
      <c r="FT184" s="312"/>
      <c r="FU184" s="312"/>
      <c r="FV184" s="312"/>
      <c r="FW184" s="312"/>
      <c r="FX184" s="312"/>
      <c r="FY184" s="312"/>
      <c r="FZ184" s="312"/>
      <c r="GA184" s="312"/>
      <c r="GB184" s="312"/>
      <c r="GC184" s="312"/>
      <c r="GD184" s="312"/>
      <c r="GE184" s="312"/>
      <c r="GF184" s="312"/>
      <c r="GG184" s="312"/>
      <c r="GH184" s="312"/>
      <c r="GI184" s="312"/>
      <c r="GJ184" s="312"/>
      <c r="GK184" s="312"/>
      <c r="GL184" s="312"/>
      <c r="GM184" s="312"/>
      <c r="GN184" s="312"/>
      <c r="GO184" s="312"/>
      <c r="GP184" s="312"/>
      <c r="GQ184" s="312"/>
      <c r="GR184" s="312"/>
      <c r="GS184" s="312"/>
      <c r="GT184" s="312"/>
      <c r="GU184" s="312"/>
      <c r="GV184" s="312"/>
      <c r="GW184" s="312"/>
      <c r="GX184" s="312"/>
      <c r="GY184" s="312"/>
    </row>
    <row r="185" spans="2:207" ht="15.75" x14ac:dyDescent="0.25">
      <c r="B185" s="316">
        <f t="shared" si="39"/>
        <v>155</v>
      </c>
      <c r="C185" s="330">
        <f>'סיכום לוועדה'!B185</f>
        <v>1001349214</v>
      </c>
      <c r="D185" s="330">
        <f>'סיכום לוועדה'!C185</f>
        <v>1001275601</v>
      </c>
      <c r="E185" s="330">
        <f>'סיכום לוועדה'!D185</f>
        <v>40395783</v>
      </c>
      <c r="F185" s="330">
        <f>'סיכום לוועדה'!E185</f>
        <v>20000139</v>
      </c>
      <c r="G185" s="330" t="str">
        <f>'סיכום לוועדה'!F185</f>
        <v>מטה אשר</v>
      </c>
      <c r="H185" s="317" t="str">
        <f>'סיכום לוועדה'!G185</f>
        <v>להקת המחול הקיבוצית (ע"ר)</v>
      </c>
      <c r="I185" s="318">
        <f>'סיכום לוועדה'!U185</f>
        <v>3000000</v>
      </c>
      <c r="J185" s="319">
        <f>'סיכום לוועדה'!T185</f>
        <v>1270030.7214714303</v>
      </c>
      <c r="K185" s="320">
        <f t="shared" si="40"/>
        <v>0</v>
      </c>
      <c r="L185" s="319">
        <f t="shared" si="41"/>
        <v>1270030.7214714303</v>
      </c>
      <c r="M185" s="331">
        <f>'תחום תמיכה ב'!AF185</f>
        <v>7.8943150928268389E-3</v>
      </c>
      <c r="N185" s="319">
        <f t="shared" si="38"/>
        <v>1404506.5260219213</v>
      </c>
      <c r="O185" s="321">
        <f t="shared" si="42"/>
        <v>0</v>
      </c>
      <c r="P185" s="322">
        <f t="shared" si="43"/>
        <v>1404506.5260219213</v>
      </c>
      <c r="Q185" s="322">
        <f t="shared" si="44"/>
        <v>1405146.0349371582</v>
      </c>
      <c r="R185" s="321">
        <f t="shared" si="45"/>
        <v>0</v>
      </c>
      <c r="S185" s="322">
        <f t="shared" si="46"/>
        <v>1405146.0349371582</v>
      </c>
      <c r="T185" s="322">
        <f t="shared" si="47"/>
        <v>1405146.0349371554</v>
      </c>
      <c r="U185" s="321">
        <f t="shared" si="48"/>
        <v>0</v>
      </c>
      <c r="V185" s="322">
        <f t="shared" si="49"/>
        <v>1405146.0349371554</v>
      </c>
      <c r="W185" s="322">
        <f t="shared" si="50"/>
        <v>1405146.0349371559</v>
      </c>
      <c r="X185" s="321">
        <f t="shared" si="51"/>
        <v>0</v>
      </c>
      <c r="Y185" s="322">
        <f t="shared" si="52"/>
        <v>1405146.0349371559</v>
      </c>
      <c r="Z185" s="322">
        <f t="shared" si="53"/>
        <v>1405146.0349371557</v>
      </c>
      <c r="AA185" s="323">
        <f t="shared" si="54"/>
        <v>1405146.0349371557</v>
      </c>
      <c r="AB185" s="323"/>
      <c r="AC185" s="323"/>
      <c r="AD185" s="323"/>
      <c r="AE185" s="323"/>
      <c r="AF185" s="324">
        <f t="shared" si="55"/>
        <v>8.0469672233230826E-3</v>
      </c>
      <c r="AG185" s="312"/>
      <c r="AH185" s="312"/>
      <c r="AI185" s="325">
        <f t="shared" si="56"/>
        <v>1</v>
      </c>
      <c r="AJ185" s="312"/>
      <c r="AK185" s="312"/>
      <c r="AL185" s="312"/>
      <c r="AM185" s="312"/>
      <c r="AN185" s="312"/>
      <c r="AO185" s="312"/>
      <c r="AP185" s="312"/>
      <c r="AQ185" s="312"/>
      <c r="AR185" s="312"/>
      <c r="AS185" s="312"/>
      <c r="AT185" s="312"/>
      <c r="AU185" s="312"/>
      <c r="AV185" s="312"/>
      <c r="AW185" s="312"/>
      <c r="AX185" s="312"/>
      <c r="AY185" s="312"/>
      <c r="AZ185" s="312"/>
      <c r="BA185" s="312"/>
      <c r="BB185" s="312"/>
      <c r="BC185" s="312"/>
      <c r="BD185" s="312"/>
      <c r="BE185" s="312"/>
      <c r="BF185" s="312"/>
      <c r="BG185" s="312"/>
      <c r="BH185" s="312"/>
      <c r="BI185" s="312"/>
      <c r="BJ185" s="312"/>
      <c r="BK185" s="312"/>
      <c r="BL185" s="312"/>
      <c r="BM185" s="312"/>
      <c r="BN185" s="312"/>
      <c r="BO185" s="312"/>
      <c r="BP185" s="312"/>
      <c r="BQ185" s="312"/>
      <c r="BR185" s="312"/>
      <c r="BS185" s="312"/>
      <c r="BT185" s="312"/>
      <c r="BU185" s="312"/>
      <c r="BV185" s="312"/>
      <c r="BW185" s="312"/>
      <c r="BX185" s="312"/>
      <c r="BY185" s="312"/>
      <c r="BZ185" s="312"/>
      <c r="CA185" s="312"/>
      <c r="CB185" s="312"/>
      <c r="CC185" s="312"/>
      <c r="CD185" s="312"/>
      <c r="CE185" s="312"/>
      <c r="CF185" s="312"/>
      <c r="CG185" s="312"/>
      <c r="CH185" s="312"/>
      <c r="CI185" s="312"/>
      <c r="CJ185" s="312"/>
      <c r="CK185" s="312"/>
      <c r="CL185" s="312"/>
      <c r="CM185" s="312"/>
      <c r="CN185" s="312"/>
      <c r="CO185" s="312"/>
      <c r="CP185" s="312"/>
      <c r="CQ185" s="312"/>
      <c r="CR185" s="312"/>
      <c r="CS185" s="312"/>
      <c r="CT185" s="312"/>
      <c r="CU185" s="312"/>
      <c r="CV185" s="312"/>
      <c r="CW185" s="312"/>
      <c r="CX185" s="312"/>
      <c r="CY185" s="312"/>
      <c r="CZ185" s="312"/>
      <c r="DA185" s="312"/>
      <c r="DB185" s="312"/>
      <c r="DC185" s="312"/>
      <c r="DD185" s="312"/>
      <c r="DE185" s="312"/>
      <c r="DF185" s="312"/>
      <c r="DG185" s="312"/>
      <c r="DH185" s="312"/>
      <c r="DI185" s="312"/>
      <c r="DJ185" s="312"/>
      <c r="DK185" s="312"/>
      <c r="DL185" s="312"/>
      <c r="DM185" s="312"/>
      <c r="DN185" s="312"/>
      <c r="DO185" s="312"/>
      <c r="DP185" s="312"/>
      <c r="DQ185" s="312"/>
      <c r="DR185" s="312"/>
      <c r="DS185" s="312"/>
      <c r="DT185" s="312"/>
      <c r="DU185" s="312"/>
      <c r="DV185" s="312"/>
      <c r="DW185" s="312"/>
      <c r="DX185" s="312"/>
      <c r="DY185" s="312"/>
      <c r="DZ185" s="312"/>
      <c r="EA185" s="312"/>
      <c r="EB185" s="312"/>
      <c r="EC185" s="312"/>
      <c r="ED185" s="312"/>
      <c r="EE185" s="312"/>
      <c r="EF185" s="312"/>
      <c r="EG185" s="312"/>
      <c r="EH185" s="312"/>
      <c r="EI185" s="312"/>
      <c r="EJ185" s="312"/>
      <c r="EK185" s="312"/>
      <c r="EL185" s="312"/>
      <c r="EM185" s="312"/>
      <c r="EN185" s="312"/>
      <c r="EO185" s="312"/>
      <c r="EP185" s="312"/>
      <c r="EQ185" s="312"/>
      <c r="ER185" s="312"/>
      <c r="ES185" s="312"/>
      <c r="ET185" s="312"/>
      <c r="EU185" s="312"/>
      <c r="EV185" s="312"/>
      <c r="EW185" s="312"/>
      <c r="EX185" s="312"/>
      <c r="EY185" s="312"/>
      <c r="EZ185" s="312"/>
      <c r="FA185" s="312"/>
      <c r="FB185" s="312"/>
      <c r="FC185" s="312"/>
      <c r="FD185" s="312"/>
      <c r="FE185" s="312"/>
      <c r="FF185" s="312"/>
      <c r="FG185" s="312"/>
      <c r="FH185" s="312"/>
      <c r="FI185" s="312"/>
      <c r="FJ185" s="312"/>
      <c r="FK185" s="312"/>
      <c r="FL185" s="312"/>
      <c r="FM185" s="312"/>
      <c r="FN185" s="312"/>
      <c r="FO185" s="312"/>
      <c r="FP185" s="312"/>
      <c r="FQ185" s="312"/>
      <c r="FR185" s="312"/>
      <c r="FS185" s="312"/>
      <c r="FT185" s="312"/>
      <c r="FU185" s="312"/>
      <c r="FV185" s="312"/>
      <c r="FW185" s="312"/>
      <c r="FX185" s="312"/>
      <c r="FY185" s="312"/>
      <c r="FZ185" s="312"/>
      <c r="GA185" s="312"/>
      <c r="GB185" s="312"/>
      <c r="GC185" s="312"/>
      <c r="GD185" s="312"/>
      <c r="GE185" s="312"/>
      <c r="GF185" s="312"/>
      <c r="GG185" s="312"/>
      <c r="GH185" s="312"/>
      <c r="GI185" s="312"/>
      <c r="GJ185" s="312"/>
      <c r="GK185" s="312"/>
      <c r="GL185" s="312"/>
      <c r="GM185" s="312"/>
      <c r="GN185" s="312"/>
      <c r="GO185" s="312"/>
      <c r="GP185" s="312"/>
      <c r="GQ185" s="312"/>
      <c r="GR185" s="312"/>
      <c r="GS185" s="312"/>
      <c r="GT185" s="312"/>
      <c r="GU185" s="312"/>
      <c r="GV185" s="312"/>
      <c r="GW185" s="312"/>
      <c r="GX185" s="312"/>
      <c r="GY185" s="312"/>
    </row>
    <row r="186" spans="2:207" ht="15.75" x14ac:dyDescent="0.25">
      <c r="B186" s="316">
        <f t="shared" si="39"/>
        <v>156</v>
      </c>
      <c r="C186" s="330">
        <f>'סיכום לוועדה'!B186</f>
        <v>1001350960</v>
      </c>
      <c r="D186" s="330">
        <f>'סיכום לוועדה'!C186</f>
        <v>1001273357</v>
      </c>
      <c r="E186" s="330">
        <f>'סיכום לוועדה'!D186</f>
        <v>40404400</v>
      </c>
      <c r="F186" s="330">
        <f>'סיכום לוועדה'!E186</f>
        <v>20000159</v>
      </c>
      <c r="G186" s="330" t="str">
        <f>'סיכום לוועדה'!F186</f>
        <v>ירושלים</v>
      </c>
      <c r="H186" s="317" t="str">
        <f>'סיכום לוועדה'!G186</f>
        <v>סדנאות האמנים</v>
      </c>
      <c r="I186" s="318">
        <f>'סיכום לוועדה'!U186</f>
        <v>800000</v>
      </c>
      <c r="J186" s="319">
        <f>'סיכום לוועדה'!T186</f>
        <v>79417.600253098208</v>
      </c>
      <c r="K186" s="320">
        <f t="shared" si="40"/>
        <v>0</v>
      </c>
      <c r="L186" s="319">
        <f t="shared" si="41"/>
        <v>79417.600253098208</v>
      </c>
      <c r="M186" s="331">
        <f>'תחום תמיכה ב'!AF186</f>
        <v>4.279660189735345E-4</v>
      </c>
      <c r="N186" s="319">
        <f t="shared" si="38"/>
        <v>86707.792504738944</v>
      </c>
      <c r="O186" s="321">
        <f t="shared" si="42"/>
        <v>0</v>
      </c>
      <c r="P186" s="322">
        <f t="shared" si="43"/>
        <v>86707.792504738944</v>
      </c>
      <c r="Q186" s="322">
        <f t="shared" si="44"/>
        <v>86747.272852676062</v>
      </c>
      <c r="R186" s="321">
        <f t="shared" si="45"/>
        <v>0</v>
      </c>
      <c r="S186" s="322">
        <f t="shared" si="46"/>
        <v>86747.272852676062</v>
      </c>
      <c r="T186" s="322">
        <f t="shared" si="47"/>
        <v>86747.272852675887</v>
      </c>
      <c r="U186" s="321">
        <f t="shared" si="48"/>
        <v>0</v>
      </c>
      <c r="V186" s="322">
        <f t="shared" si="49"/>
        <v>86747.272852675887</v>
      </c>
      <c r="W186" s="322">
        <f t="shared" si="50"/>
        <v>86747.272852675917</v>
      </c>
      <c r="X186" s="321">
        <f t="shared" si="51"/>
        <v>0</v>
      </c>
      <c r="Y186" s="322">
        <f t="shared" si="52"/>
        <v>86747.272852675917</v>
      </c>
      <c r="Z186" s="322">
        <f t="shared" si="53"/>
        <v>86747.272852675902</v>
      </c>
      <c r="AA186" s="323">
        <f t="shared" si="54"/>
        <v>86747.272852675902</v>
      </c>
      <c r="AB186" s="323"/>
      <c r="AC186" s="323"/>
      <c r="AD186" s="323"/>
      <c r="AE186" s="323"/>
      <c r="AF186" s="324">
        <f t="shared" si="55"/>
        <v>4.9678285672945537E-4</v>
      </c>
      <c r="AG186" s="312"/>
      <c r="AH186" s="312"/>
      <c r="AI186" s="325">
        <f t="shared" si="56"/>
        <v>1</v>
      </c>
      <c r="AJ186" s="312"/>
      <c r="AK186" s="312"/>
      <c r="AL186" s="312"/>
      <c r="AM186" s="312"/>
      <c r="AN186" s="312"/>
      <c r="AO186" s="312"/>
      <c r="AP186" s="312"/>
      <c r="AQ186" s="312"/>
      <c r="AR186" s="312"/>
      <c r="AS186" s="312"/>
      <c r="AT186" s="312"/>
      <c r="AU186" s="312"/>
      <c r="AV186" s="312"/>
      <c r="AW186" s="312"/>
      <c r="AX186" s="312"/>
      <c r="AY186" s="312"/>
      <c r="AZ186" s="312"/>
      <c r="BA186" s="312"/>
      <c r="BB186" s="312"/>
      <c r="BC186" s="312"/>
      <c r="BD186" s="312"/>
      <c r="BE186" s="312"/>
      <c r="BF186" s="312"/>
      <c r="BG186" s="312"/>
      <c r="BH186" s="312"/>
      <c r="BI186" s="312"/>
      <c r="BJ186" s="312"/>
      <c r="BK186" s="312"/>
      <c r="BL186" s="312"/>
      <c r="BM186" s="312"/>
      <c r="BN186" s="312"/>
      <c r="BO186" s="312"/>
      <c r="BP186" s="312"/>
      <c r="BQ186" s="312"/>
      <c r="BR186" s="312"/>
      <c r="BS186" s="312"/>
      <c r="BT186" s="312"/>
      <c r="BU186" s="312"/>
      <c r="BV186" s="312"/>
      <c r="BW186" s="312"/>
      <c r="BX186" s="312"/>
      <c r="BY186" s="312"/>
      <c r="BZ186" s="312"/>
      <c r="CA186" s="312"/>
      <c r="CB186" s="312"/>
      <c r="CC186" s="312"/>
      <c r="CD186" s="312"/>
      <c r="CE186" s="312"/>
      <c r="CF186" s="312"/>
      <c r="CG186" s="312"/>
      <c r="CH186" s="312"/>
      <c r="CI186" s="312"/>
      <c r="CJ186" s="312"/>
      <c r="CK186" s="312"/>
      <c r="CL186" s="312"/>
      <c r="CM186" s="312"/>
      <c r="CN186" s="312"/>
      <c r="CO186" s="312"/>
      <c r="CP186" s="312"/>
      <c r="CQ186" s="312"/>
      <c r="CR186" s="312"/>
      <c r="CS186" s="312"/>
      <c r="CT186" s="312"/>
      <c r="CU186" s="312"/>
      <c r="CV186" s="312"/>
      <c r="CW186" s="312"/>
      <c r="CX186" s="312"/>
      <c r="CY186" s="312"/>
      <c r="CZ186" s="312"/>
      <c r="DA186" s="312"/>
      <c r="DB186" s="312"/>
      <c r="DC186" s="312"/>
      <c r="DD186" s="312"/>
      <c r="DE186" s="312"/>
      <c r="DF186" s="312"/>
      <c r="DG186" s="312"/>
      <c r="DH186" s="312"/>
      <c r="DI186" s="312"/>
      <c r="DJ186" s="312"/>
      <c r="DK186" s="312"/>
      <c r="DL186" s="312"/>
      <c r="DM186" s="312"/>
      <c r="DN186" s="312"/>
      <c r="DO186" s="312"/>
      <c r="DP186" s="312"/>
      <c r="DQ186" s="312"/>
      <c r="DR186" s="312"/>
      <c r="DS186" s="312"/>
      <c r="DT186" s="312"/>
      <c r="DU186" s="312"/>
      <c r="DV186" s="312"/>
      <c r="DW186" s="312"/>
      <c r="DX186" s="312"/>
      <c r="DY186" s="312"/>
      <c r="DZ186" s="312"/>
      <c r="EA186" s="312"/>
      <c r="EB186" s="312"/>
      <c r="EC186" s="312"/>
      <c r="ED186" s="312"/>
      <c r="EE186" s="312"/>
      <c r="EF186" s="312"/>
      <c r="EG186" s="312"/>
      <c r="EH186" s="312"/>
      <c r="EI186" s="312"/>
      <c r="EJ186" s="312"/>
      <c r="EK186" s="312"/>
      <c r="EL186" s="312"/>
      <c r="EM186" s="312"/>
      <c r="EN186" s="312"/>
      <c r="EO186" s="312"/>
      <c r="EP186" s="312"/>
      <c r="EQ186" s="312"/>
      <c r="ER186" s="312"/>
      <c r="ES186" s="312"/>
      <c r="ET186" s="312"/>
      <c r="EU186" s="312"/>
      <c r="EV186" s="312"/>
      <c r="EW186" s="312"/>
      <c r="EX186" s="312"/>
      <c r="EY186" s="312"/>
      <c r="EZ186" s="312"/>
      <c r="FA186" s="312"/>
      <c r="FB186" s="312"/>
      <c r="FC186" s="312"/>
      <c r="FD186" s="312"/>
      <c r="FE186" s="312"/>
      <c r="FF186" s="312"/>
      <c r="FG186" s="312"/>
      <c r="FH186" s="312"/>
      <c r="FI186" s="312"/>
      <c r="FJ186" s="312"/>
      <c r="FK186" s="312"/>
      <c r="FL186" s="312"/>
      <c r="FM186" s="312"/>
      <c r="FN186" s="312"/>
      <c r="FO186" s="312"/>
      <c r="FP186" s="312"/>
      <c r="FQ186" s="312"/>
      <c r="FR186" s="312"/>
      <c r="FS186" s="312"/>
      <c r="FT186" s="312"/>
      <c r="FU186" s="312"/>
      <c r="FV186" s="312"/>
      <c r="FW186" s="312"/>
      <c r="FX186" s="312"/>
      <c r="FY186" s="312"/>
      <c r="FZ186" s="312"/>
      <c r="GA186" s="312"/>
      <c r="GB186" s="312"/>
      <c r="GC186" s="312"/>
      <c r="GD186" s="312"/>
      <c r="GE186" s="312"/>
      <c r="GF186" s="312"/>
      <c r="GG186" s="312"/>
      <c r="GH186" s="312"/>
      <c r="GI186" s="312"/>
      <c r="GJ186" s="312"/>
      <c r="GK186" s="312"/>
      <c r="GL186" s="312"/>
      <c r="GM186" s="312"/>
      <c r="GN186" s="312"/>
      <c r="GO186" s="312"/>
      <c r="GP186" s="312"/>
      <c r="GQ186" s="312"/>
      <c r="GR186" s="312"/>
      <c r="GS186" s="312"/>
      <c r="GT186" s="312"/>
      <c r="GU186" s="312"/>
      <c r="GV186" s="312"/>
      <c r="GW186" s="312"/>
      <c r="GX186" s="312"/>
      <c r="GY186" s="312"/>
    </row>
    <row r="187" spans="2:207" ht="15.75" x14ac:dyDescent="0.25">
      <c r="B187" s="316">
        <f t="shared" si="39"/>
        <v>157</v>
      </c>
      <c r="C187" s="330">
        <f>'סיכום לוועדה'!B187</f>
        <v>1001347605</v>
      </c>
      <c r="D187" s="330">
        <f>'סיכום לוועדה'!C187</f>
        <v>1001268753</v>
      </c>
      <c r="E187" s="330">
        <f>'סיכום לוועדה'!D187</f>
        <v>40507218</v>
      </c>
      <c r="F187" s="330">
        <f>'סיכום לוועדה'!E187</f>
        <v>20000122</v>
      </c>
      <c r="G187" s="330" t="str">
        <f>'סיכום לוועדה'!F187</f>
        <v>אלעד</v>
      </c>
      <c r="H187" s="317" t="str">
        <f>'סיכום לוועדה'!G187</f>
        <v>ארגון אמנים משמחי לב (ע"ר)</v>
      </c>
      <c r="I187" s="318">
        <f>'סיכום לוועדה'!U187</f>
        <v>2500000</v>
      </c>
      <c r="J187" s="319">
        <f>'סיכום לוועדה'!T187</f>
        <v>419916.72858692589</v>
      </c>
      <c r="K187" s="320">
        <f t="shared" si="40"/>
        <v>0</v>
      </c>
      <c r="L187" s="319">
        <f t="shared" si="41"/>
        <v>419916.72858692589</v>
      </c>
      <c r="M187" s="331">
        <f>'תחום תמיכה ב'!AF187</f>
        <v>3.0909303135014995E-3</v>
      </c>
      <c r="N187" s="319">
        <f t="shared" si="38"/>
        <v>472569.21785674238</v>
      </c>
      <c r="O187" s="321">
        <f t="shared" si="42"/>
        <v>0</v>
      </c>
      <c r="P187" s="322">
        <f t="shared" si="43"/>
        <v>472569.21785674238</v>
      </c>
      <c r="Q187" s="322">
        <f t="shared" si="44"/>
        <v>472784.39110249578</v>
      </c>
      <c r="R187" s="321">
        <f t="shared" si="45"/>
        <v>0</v>
      </c>
      <c r="S187" s="322">
        <f t="shared" si="46"/>
        <v>472784.39110249578</v>
      </c>
      <c r="T187" s="322">
        <f t="shared" si="47"/>
        <v>472784.39110249485</v>
      </c>
      <c r="U187" s="321">
        <f t="shared" si="48"/>
        <v>0</v>
      </c>
      <c r="V187" s="322">
        <f t="shared" si="49"/>
        <v>472784.39110249485</v>
      </c>
      <c r="W187" s="322">
        <f t="shared" si="50"/>
        <v>472784.39110249502</v>
      </c>
      <c r="X187" s="321">
        <f t="shared" si="51"/>
        <v>0</v>
      </c>
      <c r="Y187" s="322">
        <f t="shared" si="52"/>
        <v>472784.39110249502</v>
      </c>
      <c r="Z187" s="322">
        <f t="shared" si="53"/>
        <v>472784.3911024949</v>
      </c>
      <c r="AA187" s="323">
        <f t="shared" si="54"/>
        <v>472784.3911024949</v>
      </c>
      <c r="AB187" s="323"/>
      <c r="AC187" s="323"/>
      <c r="AD187" s="323"/>
      <c r="AE187" s="323"/>
      <c r="AF187" s="324">
        <f t="shared" si="55"/>
        <v>2.7075338821069164E-3</v>
      </c>
      <c r="AG187" s="312"/>
      <c r="AH187" s="312"/>
      <c r="AI187" s="325">
        <f t="shared" si="56"/>
        <v>1</v>
      </c>
      <c r="AJ187" s="312"/>
      <c r="AK187" s="312"/>
      <c r="AL187" s="312"/>
      <c r="AM187" s="312"/>
      <c r="AN187" s="312"/>
      <c r="AO187" s="312"/>
      <c r="AP187" s="312"/>
      <c r="AQ187" s="312"/>
      <c r="AR187" s="312"/>
      <c r="AS187" s="312"/>
      <c r="AT187" s="312"/>
      <c r="AU187" s="312"/>
      <c r="AV187" s="312"/>
      <c r="AW187" s="312"/>
      <c r="AX187" s="312"/>
      <c r="AY187" s="312"/>
      <c r="AZ187" s="312"/>
      <c r="BA187" s="312"/>
      <c r="BB187" s="312"/>
      <c r="BC187" s="312"/>
      <c r="BD187" s="312"/>
      <c r="BE187" s="312"/>
      <c r="BF187" s="312"/>
      <c r="BG187" s="312"/>
      <c r="BH187" s="312"/>
      <c r="BI187" s="312"/>
      <c r="BJ187" s="312"/>
      <c r="BK187" s="312"/>
      <c r="BL187" s="312"/>
      <c r="BM187" s="312"/>
      <c r="BN187" s="312"/>
      <c r="BO187" s="312"/>
      <c r="BP187" s="312"/>
      <c r="BQ187" s="312"/>
      <c r="BR187" s="312"/>
      <c r="BS187" s="312"/>
      <c r="BT187" s="312"/>
      <c r="BU187" s="312"/>
      <c r="BV187" s="312"/>
      <c r="BW187" s="312"/>
      <c r="BX187" s="312"/>
      <c r="BY187" s="312"/>
      <c r="BZ187" s="312"/>
      <c r="CA187" s="312"/>
      <c r="CB187" s="312"/>
      <c r="CC187" s="312"/>
      <c r="CD187" s="312"/>
      <c r="CE187" s="312"/>
      <c r="CF187" s="312"/>
      <c r="CG187" s="312"/>
      <c r="CH187" s="312"/>
      <c r="CI187" s="312"/>
      <c r="CJ187" s="312"/>
      <c r="CK187" s="312"/>
      <c r="CL187" s="312"/>
      <c r="CM187" s="312"/>
      <c r="CN187" s="312"/>
      <c r="CO187" s="312"/>
      <c r="CP187" s="312"/>
      <c r="CQ187" s="312"/>
      <c r="CR187" s="312"/>
      <c r="CS187" s="312"/>
      <c r="CT187" s="312"/>
      <c r="CU187" s="312"/>
      <c r="CV187" s="312"/>
      <c r="CW187" s="312"/>
      <c r="CX187" s="312"/>
      <c r="CY187" s="312"/>
      <c r="CZ187" s="312"/>
      <c r="DA187" s="312"/>
      <c r="DB187" s="312"/>
      <c r="DC187" s="312"/>
      <c r="DD187" s="312"/>
      <c r="DE187" s="312"/>
      <c r="DF187" s="312"/>
      <c r="DG187" s="312"/>
      <c r="DH187" s="312"/>
      <c r="DI187" s="312"/>
      <c r="DJ187" s="312"/>
      <c r="DK187" s="312"/>
      <c r="DL187" s="312"/>
      <c r="DM187" s="312"/>
      <c r="DN187" s="312"/>
      <c r="DO187" s="312"/>
      <c r="DP187" s="312"/>
      <c r="DQ187" s="312"/>
      <c r="DR187" s="312"/>
      <c r="DS187" s="312"/>
      <c r="DT187" s="312"/>
      <c r="DU187" s="312"/>
      <c r="DV187" s="312"/>
      <c r="DW187" s="312"/>
      <c r="DX187" s="312"/>
      <c r="DY187" s="312"/>
      <c r="DZ187" s="312"/>
      <c r="EA187" s="312"/>
      <c r="EB187" s="312"/>
      <c r="EC187" s="312"/>
      <c r="ED187" s="312"/>
      <c r="EE187" s="312"/>
      <c r="EF187" s="312"/>
      <c r="EG187" s="312"/>
      <c r="EH187" s="312"/>
      <c r="EI187" s="312"/>
      <c r="EJ187" s="312"/>
      <c r="EK187" s="312"/>
      <c r="EL187" s="312"/>
      <c r="EM187" s="312"/>
      <c r="EN187" s="312"/>
      <c r="EO187" s="312"/>
      <c r="EP187" s="312"/>
      <c r="EQ187" s="312"/>
      <c r="ER187" s="312"/>
      <c r="ES187" s="312"/>
      <c r="ET187" s="312"/>
      <c r="EU187" s="312"/>
      <c r="EV187" s="312"/>
      <c r="EW187" s="312"/>
      <c r="EX187" s="312"/>
      <c r="EY187" s="312"/>
      <c r="EZ187" s="312"/>
      <c r="FA187" s="312"/>
      <c r="FB187" s="312"/>
      <c r="FC187" s="312"/>
      <c r="FD187" s="312"/>
      <c r="FE187" s="312"/>
      <c r="FF187" s="312"/>
      <c r="FG187" s="312"/>
      <c r="FH187" s="312"/>
      <c r="FI187" s="312"/>
      <c r="FJ187" s="312"/>
      <c r="FK187" s="312"/>
      <c r="FL187" s="312"/>
      <c r="FM187" s="312"/>
      <c r="FN187" s="312"/>
      <c r="FO187" s="312"/>
      <c r="FP187" s="312"/>
      <c r="FQ187" s="312"/>
      <c r="FR187" s="312"/>
      <c r="FS187" s="312"/>
      <c r="FT187" s="312"/>
      <c r="FU187" s="312"/>
      <c r="FV187" s="312"/>
      <c r="FW187" s="312"/>
      <c r="FX187" s="312"/>
      <c r="FY187" s="312"/>
      <c r="FZ187" s="312"/>
      <c r="GA187" s="312"/>
      <c r="GB187" s="312"/>
      <c r="GC187" s="312"/>
      <c r="GD187" s="312"/>
      <c r="GE187" s="312"/>
      <c r="GF187" s="312"/>
      <c r="GG187" s="312"/>
      <c r="GH187" s="312"/>
      <c r="GI187" s="312"/>
      <c r="GJ187" s="312"/>
      <c r="GK187" s="312"/>
      <c r="GL187" s="312"/>
      <c r="GM187" s="312"/>
      <c r="GN187" s="312"/>
      <c r="GO187" s="312"/>
      <c r="GP187" s="312"/>
      <c r="GQ187" s="312"/>
      <c r="GR187" s="312"/>
      <c r="GS187" s="312"/>
      <c r="GT187" s="312"/>
      <c r="GU187" s="312"/>
      <c r="GV187" s="312"/>
      <c r="GW187" s="312"/>
      <c r="GX187" s="312"/>
      <c r="GY187" s="312"/>
    </row>
    <row r="188" spans="2:207" ht="15.75" x14ac:dyDescent="0.25">
      <c r="B188" s="316">
        <f t="shared" si="39"/>
        <v>158</v>
      </c>
      <c r="C188" s="330">
        <f>'סיכום לוועדה'!B188</f>
        <v>1001347746</v>
      </c>
      <c r="D188" s="330">
        <f>'סיכום לוועדה'!C188</f>
        <v>1001278693</v>
      </c>
      <c r="E188" s="330">
        <f>'סיכום לוועדה'!D188</f>
        <v>40521896</v>
      </c>
      <c r="F188" s="330">
        <f>'סיכום לוועדה'!E188</f>
        <v>20000254</v>
      </c>
      <c r="G188" s="330" t="str">
        <f>'סיכום לוועדה'!F188</f>
        <v>באר שבע</v>
      </c>
      <c r="H188" s="317" t="str">
        <f>'סיכום לוועדה'!G188</f>
        <v>תיאטרון הפרינג' באר שבע (ע"ר)</v>
      </c>
      <c r="I188" s="318">
        <f>'סיכום לוועדה'!U188</f>
        <v>2500000</v>
      </c>
      <c r="J188" s="319">
        <f>'סיכום לוועדה'!T188</f>
        <v>94099.236240742961</v>
      </c>
      <c r="K188" s="320">
        <f t="shared" si="40"/>
        <v>0</v>
      </c>
      <c r="L188" s="319">
        <f t="shared" si="41"/>
        <v>94099.236240742961</v>
      </c>
      <c r="M188" s="331">
        <f>'תחום תמיכה ב'!AF188</f>
        <v>5.6049404325705867E-4</v>
      </c>
      <c r="N188" s="319">
        <f t="shared" si="38"/>
        <v>103646.97870180056</v>
      </c>
      <c r="O188" s="321">
        <f t="shared" si="42"/>
        <v>0</v>
      </c>
      <c r="P188" s="322">
        <f t="shared" si="43"/>
        <v>103646.97870180056</v>
      </c>
      <c r="Q188" s="322">
        <f t="shared" si="44"/>
        <v>103694.17190858824</v>
      </c>
      <c r="R188" s="321">
        <f t="shared" si="45"/>
        <v>0</v>
      </c>
      <c r="S188" s="322">
        <f t="shared" si="46"/>
        <v>103694.17190858824</v>
      </c>
      <c r="T188" s="322">
        <f t="shared" si="47"/>
        <v>103694.17190858802</v>
      </c>
      <c r="U188" s="321">
        <f t="shared" si="48"/>
        <v>0</v>
      </c>
      <c r="V188" s="322">
        <f t="shared" si="49"/>
        <v>103694.17190858802</v>
      </c>
      <c r="W188" s="322">
        <f t="shared" si="50"/>
        <v>103694.17190858805</v>
      </c>
      <c r="X188" s="321">
        <f t="shared" si="51"/>
        <v>0</v>
      </c>
      <c r="Y188" s="322">
        <f t="shared" si="52"/>
        <v>103694.17190858805</v>
      </c>
      <c r="Z188" s="322">
        <f t="shared" si="53"/>
        <v>103694.17190858803</v>
      </c>
      <c r="AA188" s="323">
        <f t="shared" si="54"/>
        <v>103694.17190858803</v>
      </c>
      <c r="AB188" s="323"/>
      <c r="AC188" s="323"/>
      <c r="AD188" s="323"/>
      <c r="AE188" s="323"/>
      <c r="AF188" s="324">
        <f t="shared" si="55"/>
        <v>5.9383407976905129E-4</v>
      </c>
      <c r="AG188" s="312"/>
      <c r="AH188" s="312"/>
      <c r="AI188" s="325">
        <f t="shared" si="56"/>
        <v>1</v>
      </c>
      <c r="AJ188" s="312"/>
      <c r="AK188" s="312"/>
      <c r="AL188" s="312"/>
      <c r="AM188" s="312"/>
      <c r="AN188" s="312"/>
      <c r="AO188" s="312"/>
      <c r="AP188" s="312"/>
      <c r="AQ188" s="312"/>
      <c r="AR188" s="312"/>
      <c r="AS188" s="312"/>
      <c r="AT188" s="312"/>
      <c r="AU188" s="312"/>
      <c r="AV188" s="312"/>
      <c r="AW188" s="312"/>
      <c r="AX188" s="312"/>
      <c r="AY188" s="312"/>
      <c r="AZ188" s="312"/>
      <c r="BA188" s="312"/>
      <c r="BB188" s="312"/>
      <c r="BC188" s="312"/>
      <c r="BD188" s="312"/>
      <c r="BE188" s="312"/>
      <c r="BF188" s="312"/>
      <c r="BG188" s="312"/>
      <c r="BH188" s="312"/>
      <c r="BI188" s="312"/>
      <c r="BJ188" s="312"/>
      <c r="BK188" s="312"/>
      <c r="BL188" s="312"/>
      <c r="BM188" s="312"/>
      <c r="BN188" s="312"/>
      <c r="BO188" s="312"/>
      <c r="BP188" s="312"/>
      <c r="BQ188" s="312"/>
      <c r="BR188" s="312"/>
      <c r="BS188" s="312"/>
      <c r="BT188" s="312"/>
      <c r="BU188" s="312"/>
      <c r="BV188" s="312"/>
      <c r="BW188" s="312"/>
      <c r="BX188" s="312"/>
      <c r="BY188" s="312"/>
      <c r="BZ188" s="312"/>
      <c r="CA188" s="312"/>
      <c r="CB188" s="312"/>
      <c r="CC188" s="312"/>
      <c r="CD188" s="312"/>
      <c r="CE188" s="312"/>
      <c r="CF188" s="312"/>
      <c r="CG188" s="312"/>
      <c r="CH188" s="312"/>
      <c r="CI188" s="312"/>
      <c r="CJ188" s="312"/>
      <c r="CK188" s="312"/>
      <c r="CL188" s="312"/>
      <c r="CM188" s="312"/>
      <c r="CN188" s="312"/>
      <c r="CO188" s="312"/>
      <c r="CP188" s="312"/>
      <c r="CQ188" s="312"/>
      <c r="CR188" s="312"/>
      <c r="CS188" s="312"/>
      <c r="CT188" s="312"/>
      <c r="CU188" s="312"/>
      <c r="CV188" s="312"/>
      <c r="CW188" s="312"/>
      <c r="CX188" s="312"/>
      <c r="CY188" s="312"/>
      <c r="CZ188" s="312"/>
      <c r="DA188" s="312"/>
      <c r="DB188" s="312"/>
      <c r="DC188" s="312"/>
      <c r="DD188" s="312"/>
      <c r="DE188" s="312"/>
      <c r="DF188" s="312"/>
      <c r="DG188" s="312"/>
      <c r="DH188" s="312"/>
      <c r="DI188" s="312"/>
      <c r="DJ188" s="312"/>
      <c r="DK188" s="312"/>
      <c r="DL188" s="312"/>
      <c r="DM188" s="312"/>
      <c r="DN188" s="312"/>
      <c r="DO188" s="312"/>
      <c r="DP188" s="312"/>
      <c r="DQ188" s="312"/>
      <c r="DR188" s="312"/>
      <c r="DS188" s="312"/>
      <c r="DT188" s="312"/>
      <c r="DU188" s="312"/>
      <c r="DV188" s="312"/>
      <c r="DW188" s="312"/>
      <c r="DX188" s="312"/>
      <c r="DY188" s="312"/>
      <c r="DZ188" s="312"/>
      <c r="EA188" s="312"/>
      <c r="EB188" s="312"/>
      <c r="EC188" s="312"/>
      <c r="ED188" s="312"/>
      <c r="EE188" s="312"/>
      <c r="EF188" s="312"/>
      <c r="EG188" s="312"/>
      <c r="EH188" s="312"/>
      <c r="EI188" s="312"/>
      <c r="EJ188" s="312"/>
      <c r="EK188" s="312"/>
      <c r="EL188" s="312"/>
      <c r="EM188" s="312"/>
      <c r="EN188" s="312"/>
      <c r="EO188" s="312"/>
      <c r="EP188" s="312"/>
      <c r="EQ188" s="312"/>
      <c r="ER188" s="312"/>
      <c r="ES188" s="312"/>
      <c r="ET188" s="312"/>
      <c r="EU188" s="312"/>
      <c r="EV188" s="312"/>
      <c r="EW188" s="312"/>
      <c r="EX188" s="312"/>
      <c r="EY188" s="312"/>
      <c r="EZ188" s="312"/>
      <c r="FA188" s="312"/>
      <c r="FB188" s="312"/>
      <c r="FC188" s="312"/>
      <c r="FD188" s="312"/>
      <c r="FE188" s="312"/>
      <c r="FF188" s="312"/>
      <c r="FG188" s="312"/>
      <c r="FH188" s="312"/>
      <c r="FI188" s="312"/>
      <c r="FJ188" s="312"/>
      <c r="FK188" s="312"/>
      <c r="FL188" s="312"/>
      <c r="FM188" s="312"/>
      <c r="FN188" s="312"/>
      <c r="FO188" s="312"/>
      <c r="FP188" s="312"/>
      <c r="FQ188" s="312"/>
      <c r="FR188" s="312"/>
      <c r="FS188" s="312"/>
      <c r="FT188" s="312"/>
      <c r="FU188" s="312"/>
      <c r="FV188" s="312"/>
      <c r="FW188" s="312"/>
      <c r="FX188" s="312"/>
      <c r="FY188" s="312"/>
      <c r="FZ188" s="312"/>
      <c r="GA188" s="312"/>
      <c r="GB188" s="312"/>
      <c r="GC188" s="312"/>
      <c r="GD188" s="312"/>
      <c r="GE188" s="312"/>
      <c r="GF188" s="312"/>
      <c r="GG188" s="312"/>
      <c r="GH188" s="312"/>
      <c r="GI188" s="312"/>
      <c r="GJ188" s="312"/>
      <c r="GK188" s="312"/>
      <c r="GL188" s="312"/>
      <c r="GM188" s="312"/>
      <c r="GN188" s="312"/>
      <c r="GO188" s="312"/>
      <c r="GP188" s="312"/>
      <c r="GQ188" s="312"/>
      <c r="GR188" s="312"/>
      <c r="GS188" s="312"/>
      <c r="GT188" s="312"/>
      <c r="GU188" s="312"/>
      <c r="GV188" s="312"/>
      <c r="GW188" s="312"/>
      <c r="GX188" s="312"/>
      <c r="GY188" s="312"/>
    </row>
    <row r="189" spans="2:207" ht="15.75" x14ac:dyDescent="0.25">
      <c r="B189" s="316">
        <f t="shared" si="39"/>
        <v>159</v>
      </c>
      <c r="C189" s="330">
        <f>'סיכום לוועדה'!B189</f>
        <v>1001347757</v>
      </c>
      <c r="D189" s="330">
        <f>'סיכום לוועדה'!C189</f>
        <v>1001278627</v>
      </c>
      <c r="E189" s="330">
        <f>'סיכום לוועדה'!D189</f>
        <v>40521896</v>
      </c>
      <c r="F189" s="330">
        <f>'סיכום לוועדה'!E189</f>
        <v>20000254</v>
      </c>
      <c r="G189" s="330" t="str">
        <f>'סיכום לוועדה'!F189</f>
        <v>באר שבע</v>
      </c>
      <c r="H189" s="317" t="str">
        <f>'סיכום לוועדה'!G189</f>
        <v>תיאטרון הפרינג' באר שבע (ע"ר)</v>
      </c>
      <c r="I189" s="318">
        <f>'סיכום לוועדה'!U189</f>
        <v>1500000</v>
      </c>
      <c r="J189" s="319">
        <f>'סיכום לוועדה'!T189</f>
        <v>73860.729610013397</v>
      </c>
      <c r="K189" s="320">
        <f t="shared" si="40"/>
        <v>0</v>
      </c>
      <c r="L189" s="319">
        <f t="shared" si="41"/>
        <v>73860.729610013397</v>
      </c>
      <c r="M189" s="331">
        <f>'תחום תמיכה ב'!AF189</f>
        <v>4.6452362476616464E-4</v>
      </c>
      <c r="N189" s="319">
        <f t="shared" si="38"/>
        <v>81773.662833302282</v>
      </c>
      <c r="O189" s="321">
        <f t="shared" si="42"/>
        <v>0</v>
      </c>
      <c r="P189" s="322">
        <f t="shared" si="43"/>
        <v>81773.662833302282</v>
      </c>
      <c r="Q189" s="322">
        <f t="shared" si="44"/>
        <v>81810.896541686379</v>
      </c>
      <c r="R189" s="321">
        <f t="shared" si="45"/>
        <v>0</v>
      </c>
      <c r="S189" s="322">
        <f t="shared" si="46"/>
        <v>81810.896541686379</v>
      </c>
      <c r="T189" s="322">
        <f t="shared" si="47"/>
        <v>81810.896541686205</v>
      </c>
      <c r="U189" s="321">
        <f t="shared" si="48"/>
        <v>0</v>
      </c>
      <c r="V189" s="322">
        <f t="shared" si="49"/>
        <v>81810.896541686205</v>
      </c>
      <c r="W189" s="322">
        <f t="shared" si="50"/>
        <v>81810.896541686219</v>
      </c>
      <c r="X189" s="321">
        <f t="shared" si="51"/>
        <v>0</v>
      </c>
      <c r="Y189" s="322">
        <f t="shared" si="52"/>
        <v>81810.896541686219</v>
      </c>
      <c r="Z189" s="322">
        <f t="shared" si="53"/>
        <v>81810.896541686205</v>
      </c>
      <c r="AA189" s="323">
        <f t="shared" si="54"/>
        <v>81810.896541686205</v>
      </c>
      <c r="AB189" s="323"/>
      <c r="AC189" s="323"/>
      <c r="AD189" s="323"/>
      <c r="AE189" s="323"/>
      <c r="AF189" s="324">
        <f t="shared" si="55"/>
        <v>4.6851329798690148E-4</v>
      </c>
      <c r="AG189" s="312"/>
      <c r="AH189" s="312"/>
      <c r="AI189" s="325">
        <f t="shared" si="56"/>
        <v>1</v>
      </c>
      <c r="AJ189" s="312"/>
      <c r="AK189" s="312"/>
      <c r="AL189" s="312"/>
      <c r="AM189" s="312"/>
      <c r="AN189" s="312"/>
      <c r="AO189" s="312"/>
      <c r="AP189" s="312"/>
      <c r="AQ189" s="312"/>
      <c r="AR189" s="312"/>
      <c r="AS189" s="312"/>
      <c r="AT189" s="312"/>
      <c r="AU189" s="312"/>
      <c r="AV189" s="312"/>
      <c r="AW189" s="312"/>
      <c r="AX189" s="312"/>
      <c r="AY189" s="312"/>
      <c r="AZ189" s="312"/>
      <c r="BA189" s="312"/>
      <c r="BB189" s="312"/>
      <c r="BC189" s="312"/>
      <c r="BD189" s="312"/>
      <c r="BE189" s="312"/>
      <c r="BF189" s="312"/>
      <c r="BG189" s="312"/>
      <c r="BH189" s="312"/>
      <c r="BI189" s="312"/>
      <c r="BJ189" s="312"/>
      <c r="BK189" s="312"/>
      <c r="BL189" s="312"/>
      <c r="BM189" s="312"/>
      <c r="BN189" s="312"/>
      <c r="BO189" s="312"/>
      <c r="BP189" s="312"/>
      <c r="BQ189" s="312"/>
      <c r="BR189" s="312"/>
      <c r="BS189" s="312"/>
      <c r="BT189" s="312"/>
      <c r="BU189" s="312"/>
      <c r="BV189" s="312"/>
      <c r="BW189" s="312"/>
      <c r="BX189" s="312"/>
      <c r="BY189" s="312"/>
      <c r="BZ189" s="312"/>
      <c r="CA189" s="312"/>
      <c r="CB189" s="312"/>
      <c r="CC189" s="312"/>
      <c r="CD189" s="312"/>
      <c r="CE189" s="312"/>
      <c r="CF189" s="312"/>
      <c r="CG189" s="312"/>
      <c r="CH189" s="312"/>
      <c r="CI189" s="312"/>
      <c r="CJ189" s="312"/>
      <c r="CK189" s="312"/>
      <c r="CL189" s="312"/>
      <c r="CM189" s="312"/>
      <c r="CN189" s="312"/>
      <c r="CO189" s="312"/>
      <c r="CP189" s="312"/>
      <c r="CQ189" s="312"/>
      <c r="CR189" s="312"/>
      <c r="CS189" s="312"/>
      <c r="CT189" s="312"/>
      <c r="CU189" s="312"/>
      <c r="CV189" s="312"/>
      <c r="CW189" s="312"/>
      <c r="CX189" s="312"/>
      <c r="CY189" s="312"/>
      <c r="CZ189" s="312"/>
      <c r="DA189" s="312"/>
      <c r="DB189" s="312"/>
      <c r="DC189" s="312"/>
      <c r="DD189" s="312"/>
      <c r="DE189" s="312"/>
      <c r="DF189" s="312"/>
      <c r="DG189" s="312"/>
      <c r="DH189" s="312"/>
      <c r="DI189" s="312"/>
      <c r="DJ189" s="312"/>
      <c r="DK189" s="312"/>
      <c r="DL189" s="312"/>
      <c r="DM189" s="312"/>
      <c r="DN189" s="312"/>
      <c r="DO189" s="312"/>
      <c r="DP189" s="312"/>
      <c r="DQ189" s="312"/>
      <c r="DR189" s="312"/>
      <c r="DS189" s="312"/>
      <c r="DT189" s="312"/>
      <c r="DU189" s="312"/>
      <c r="DV189" s="312"/>
      <c r="DW189" s="312"/>
      <c r="DX189" s="312"/>
      <c r="DY189" s="312"/>
      <c r="DZ189" s="312"/>
      <c r="EA189" s="312"/>
      <c r="EB189" s="312"/>
      <c r="EC189" s="312"/>
      <c r="ED189" s="312"/>
      <c r="EE189" s="312"/>
      <c r="EF189" s="312"/>
      <c r="EG189" s="312"/>
      <c r="EH189" s="312"/>
      <c r="EI189" s="312"/>
      <c r="EJ189" s="312"/>
      <c r="EK189" s="312"/>
      <c r="EL189" s="312"/>
      <c r="EM189" s="312"/>
      <c r="EN189" s="312"/>
      <c r="EO189" s="312"/>
      <c r="EP189" s="312"/>
      <c r="EQ189" s="312"/>
      <c r="ER189" s="312"/>
      <c r="ES189" s="312"/>
      <c r="ET189" s="312"/>
      <c r="EU189" s="312"/>
      <c r="EV189" s="312"/>
      <c r="EW189" s="312"/>
      <c r="EX189" s="312"/>
      <c r="EY189" s="312"/>
      <c r="EZ189" s="312"/>
      <c r="FA189" s="312"/>
      <c r="FB189" s="312"/>
      <c r="FC189" s="312"/>
      <c r="FD189" s="312"/>
      <c r="FE189" s="312"/>
      <c r="FF189" s="312"/>
      <c r="FG189" s="312"/>
      <c r="FH189" s="312"/>
      <c r="FI189" s="312"/>
      <c r="FJ189" s="312"/>
      <c r="FK189" s="312"/>
      <c r="FL189" s="312"/>
      <c r="FM189" s="312"/>
      <c r="FN189" s="312"/>
      <c r="FO189" s="312"/>
      <c r="FP189" s="312"/>
      <c r="FQ189" s="312"/>
      <c r="FR189" s="312"/>
      <c r="FS189" s="312"/>
      <c r="FT189" s="312"/>
      <c r="FU189" s="312"/>
      <c r="FV189" s="312"/>
      <c r="FW189" s="312"/>
      <c r="FX189" s="312"/>
      <c r="FY189" s="312"/>
      <c r="FZ189" s="312"/>
      <c r="GA189" s="312"/>
      <c r="GB189" s="312"/>
      <c r="GC189" s="312"/>
      <c r="GD189" s="312"/>
      <c r="GE189" s="312"/>
      <c r="GF189" s="312"/>
      <c r="GG189" s="312"/>
      <c r="GH189" s="312"/>
      <c r="GI189" s="312"/>
      <c r="GJ189" s="312"/>
      <c r="GK189" s="312"/>
      <c r="GL189" s="312"/>
      <c r="GM189" s="312"/>
      <c r="GN189" s="312"/>
      <c r="GO189" s="312"/>
      <c r="GP189" s="312"/>
      <c r="GQ189" s="312"/>
      <c r="GR189" s="312"/>
      <c r="GS189" s="312"/>
      <c r="GT189" s="312"/>
      <c r="GU189" s="312"/>
      <c r="GV189" s="312"/>
      <c r="GW189" s="312"/>
      <c r="GX189" s="312"/>
      <c r="GY189" s="312"/>
    </row>
    <row r="190" spans="2:207" ht="15.75" x14ac:dyDescent="0.25">
      <c r="B190" s="316">
        <f t="shared" si="39"/>
        <v>160</v>
      </c>
      <c r="C190" s="330">
        <f>'סיכום לוועדה'!B190</f>
        <v>1001350316</v>
      </c>
      <c r="D190" s="330">
        <f>'סיכום לוועדה'!C190</f>
        <v>1001265592</v>
      </c>
      <c r="E190" s="330">
        <f>'סיכום לוועדה'!D190</f>
        <v>40521896</v>
      </c>
      <c r="F190" s="330">
        <f>'סיכום לוועדה'!E190</f>
        <v>20000254</v>
      </c>
      <c r="G190" s="330" t="str">
        <f>'סיכום לוועדה'!F190</f>
        <v>באר שבע</v>
      </c>
      <c r="H190" s="317" t="str">
        <f>'סיכום לוועדה'!G190</f>
        <v>תיאטרון הפרינג' באר שבע (ע"ר)</v>
      </c>
      <c r="I190" s="318">
        <f>'סיכום לוועדה'!U190</f>
        <v>1000000</v>
      </c>
      <c r="J190" s="319">
        <f>'סיכום לוועדה'!T190</f>
        <v>71112.641222256556</v>
      </c>
      <c r="K190" s="320">
        <f t="shared" si="40"/>
        <v>0</v>
      </c>
      <c r="L190" s="319">
        <f t="shared" si="41"/>
        <v>71112.641222256556</v>
      </c>
      <c r="M190" s="331">
        <f>'תחום תמיכה ב'!AF190</f>
        <v>4.9701415511746222E-4</v>
      </c>
      <c r="N190" s="319">
        <f t="shared" si="38"/>
        <v>79579.034772107902</v>
      </c>
      <c r="O190" s="321">
        <f t="shared" si="42"/>
        <v>0</v>
      </c>
      <c r="P190" s="322">
        <f t="shared" si="43"/>
        <v>79579.034772107902</v>
      </c>
      <c r="Q190" s="322">
        <f t="shared" si="44"/>
        <v>79615.269208374186</v>
      </c>
      <c r="R190" s="321">
        <f t="shared" si="45"/>
        <v>0</v>
      </c>
      <c r="S190" s="322">
        <f t="shared" si="46"/>
        <v>79615.269208374186</v>
      </c>
      <c r="T190" s="322">
        <f t="shared" si="47"/>
        <v>79615.269208374026</v>
      </c>
      <c r="U190" s="321">
        <f t="shared" si="48"/>
        <v>0</v>
      </c>
      <c r="V190" s="322">
        <f t="shared" si="49"/>
        <v>79615.269208374026</v>
      </c>
      <c r="W190" s="322">
        <f t="shared" si="50"/>
        <v>79615.269208374055</v>
      </c>
      <c r="X190" s="321">
        <f t="shared" si="51"/>
        <v>0</v>
      </c>
      <c r="Y190" s="322">
        <f t="shared" si="52"/>
        <v>79615.269208374055</v>
      </c>
      <c r="Z190" s="322">
        <f t="shared" si="53"/>
        <v>79615.26920837404</v>
      </c>
      <c r="AA190" s="323">
        <f t="shared" si="54"/>
        <v>79615.26920837404</v>
      </c>
      <c r="AB190" s="323"/>
      <c r="AC190" s="323"/>
      <c r="AD190" s="323"/>
      <c r="AE190" s="323"/>
      <c r="AF190" s="324">
        <f t="shared" si="55"/>
        <v>4.5593941545334299E-4</v>
      </c>
      <c r="AG190" s="312"/>
      <c r="AH190" s="312"/>
      <c r="AI190" s="325">
        <f t="shared" si="56"/>
        <v>1</v>
      </c>
      <c r="AJ190" s="312"/>
      <c r="AK190" s="312"/>
      <c r="AL190" s="312"/>
      <c r="AM190" s="312"/>
      <c r="AN190" s="312"/>
      <c r="AO190" s="312"/>
      <c r="AP190" s="312"/>
      <c r="AQ190" s="312"/>
      <c r="AR190" s="312"/>
      <c r="AS190" s="312"/>
      <c r="AT190" s="312"/>
      <c r="AU190" s="312"/>
      <c r="AV190" s="312"/>
      <c r="AW190" s="312"/>
      <c r="AX190" s="312"/>
      <c r="AY190" s="312"/>
      <c r="AZ190" s="312"/>
      <c r="BA190" s="312"/>
      <c r="BB190" s="312"/>
      <c r="BC190" s="312"/>
      <c r="BD190" s="312"/>
      <c r="BE190" s="312"/>
      <c r="BF190" s="312"/>
      <c r="BG190" s="312"/>
      <c r="BH190" s="312"/>
      <c r="BI190" s="312"/>
      <c r="BJ190" s="312"/>
      <c r="BK190" s="312"/>
      <c r="BL190" s="312"/>
      <c r="BM190" s="312"/>
      <c r="BN190" s="312"/>
      <c r="BO190" s="312"/>
      <c r="BP190" s="312"/>
      <c r="BQ190" s="312"/>
      <c r="BR190" s="312"/>
      <c r="BS190" s="312"/>
      <c r="BT190" s="312"/>
      <c r="BU190" s="312"/>
      <c r="BV190" s="312"/>
      <c r="BW190" s="312"/>
      <c r="BX190" s="312"/>
      <c r="BY190" s="312"/>
      <c r="BZ190" s="312"/>
      <c r="CA190" s="312"/>
      <c r="CB190" s="312"/>
      <c r="CC190" s="312"/>
      <c r="CD190" s="312"/>
      <c r="CE190" s="312"/>
      <c r="CF190" s="312"/>
      <c r="CG190" s="312"/>
      <c r="CH190" s="312"/>
      <c r="CI190" s="312"/>
      <c r="CJ190" s="312"/>
      <c r="CK190" s="312"/>
      <c r="CL190" s="312"/>
      <c r="CM190" s="312"/>
      <c r="CN190" s="312"/>
      <c r="CO190" s="312"/>
      <c r="CP190" s="312"/>
      <c r="CQ190" s="312"/>
      <c r="CR190" s="312"/>
      <c r="CS190" s="312"/>
      <c r="CT190" s="312"/>
      <c r="CU190" s="312"/>
      <c r="CV190" s="312"/>
      <c r="CW190" s="312"/>
      <c r="CX190" s="312"/>
      <c r="CY190" s="312"/>
      <c r="CZ190" s="312"/>
      <c r="DA190" s="312"/>
      <c r="DB190" s="312"/>
      <c r="DC190" s="312"/>
      <c r="DD190" s="312"/>
      <c r="DE190" s="312"/>
      <c r="DF190" s="312"/>
      <c r="DG190" s="312"/>
      <c r="DH190" s="312"/>
      <c r="DI190" s="312"/>
      <c r="DJ190" s="312"/>
      <c r="DK190" s="312"/>
      <c r="DL190" s="312"/>
      <c r="DM190" s="312"/>
      <c r="DN190" s="312"/>
      <c r="DO190" s="312"/>
      <c r="DP190" s="312"/>
      <c r="DQ190" s="312"/>
      <c r="DR190" s="312"/>
      <c r="DS190" s="312"/>
      <c r="DT190" s="312"/>
      <c r="DU190" s="312"/>
      <c r="DV190" s="312"/>
      <c r="DW190" s="312"/>
      <c r="DX190" s="312"/>
      <c r="DY190" s="312"/>
      <c r="DZ190" s="312"/>
      <c r="EA190" s="312"/>
      <c r="EB190" s="312"/>
      <c r="EC190" s="312"/>
      <c r="ED190" s="312"/>
      <c r="EE190" s="312"/>
      <c r="EF190" s="312"/>
      <c r="EG190" s="312"/>
      <c r="EH190" s="312"/>
      <c r="EI190" s="312"/>
      <c r="EJ190" s="312"/>
      <c r="EK190" s="312"/>
      <c r="EL190" s="312"/>
      <c r="EM190" s="312"/>
      <c r="EN190" s="312"/>
      <c r="EO190" s="312"/>
      <c r="EP190" s="312"/>
      <c r="EQ190" s="312"/>
      <c r="ER190" s="312"/>
      <c r="ES190" s="312"/>
      <c r="ET190" s="312"/>
      <c r="EU190" s="312"/>
      <c r="EV190" s="312"/>
      <c r="EW190" s="312"/>
      <c r="EX190" s="312"/>
      <c r="EY190" s="312"/>
      <c r="EZ190" s="312"/>
      <c r="FA190" s="312"/>
      <c r="FB190" s="312"/>
      <c r="FC190" s="312"/>
      <c r="FD190" s="312"/>
      <c r="FE190" s="312"/>
      <c r="FF190" s="312"/>
      <c r="FG190" s="312"/>
      <c r="FH190" s="312"/>
      <c r="FI190" s="312"/>
      <c r="FJ190" s="312"/>
      <c r="FK190" s="312"/>
      <c r="FL190" s="312"/>
      <c r="FM190" s="312"/>
      <c r="FN190" s="312"/>
      <c r="FO190" s="312"/>
      <c r="FP190" s="312"/>
      <c r="FQ190" s="312"/>
      <c r="FR190" s="312"/>
      <c r="FS190" s="312"/>
      <c r="FT190" s="312"/>
      <c r="FU190" s="312"/>
      <c r="FV190" s="312"/>
      <c r="FW190" s="312"/>
      <c r="FX190" s="312"/>
      <c r="FY190" s="312"/>
      <c r="FZ190" s="312"/>
      <c r="GA190" s="312"/>
      <c r="GB190" s="312"/>
      <c r="GC190" s="312"/>
      <c r="GD190" s="312"/>
      <c r="GE190" s="312"/>
      <c r="GF190" s="312"/>
      <c r="GG190" s="312"/>
      <c r="GH190" s="312"/>
      <c r="GI190" s="312"/>
      <c r="GJ190" s="312"/>
      <c r="GK190" s="312"/>
      <c r="GL190" s="312"/>
      <c r="GM190" s="312"/>
      <c r="GN190" s="312"/>
      <c r="GO190" s="312"/>
      <c r="GP190" s="312"/>
      <c r="GQ190" s="312"/>
      <c r="GR190" s="312"/>
      <c r="GS190" s="312"/>
      <c r="GT190" s="312"/>
      <c r="GU190" s="312"/>
      <c r="GV190" s="312"/>
      <c r="GW190" s="312"/>
      <c r="GX190" s="312"/>
      <c r="GY190" s="312"/>
    </row>
    <row r="191" spans="2:207" ht="15.75" x14ac:dyDescent="0.25">
      <c r="B191" s="316">
        <f t="shared" si="39"/>
        <v>161</v>
      </c>
      <c r="C191" s="330">
        <f>'סיכום לוועדה'!B191</f>
        <v>1001348946</v>
      </c>
      <c r="D191" s="330">
        <f>'סיכום לוועדה'!C191</f>
        <v>1001278264</v>
      </c>
      <c r="E191" s="330">
        <f>'סיכום לוועדה'!D191</f>
        <v>40526318</v>
      </c>
      <c r="F191" s="330">
        <f>'סיכום לוועדה'!E191</f>
        <v>20000159</v>
      </c>
      <c r="G191" s="330" t="str">
        <f>'סיכום לוועדה'!F191</f>
        <v>ירושלים</v>
      </c>
      <c r="H191" s="317" t="str">
        <f>'סיכום לוועדה'!G191</f>
        <v>קהילות שרות פיוט וניגון (ע"ר)</v>
      </c>
      <c r="I191" s="318">
        <f>'סיכום לוועדה'!U191</f>
        <v>200000</v>
      </c>
      <c r="J191" s="319">
        <f>'סיכום לוועדה'!T191</f>
        <v>71863.351172040246</v>
      </c>
      <c r="K191" s="320">
        <f t="shared" si="40"/>
        <v>0</v>
      </c>
      <c r="L191" s="319">
        <f t="shared" si="41"/>
        <v>71863.351172040246</v>
      </c>
      <c r="M191" s="331">
        <f>'תחום תמיכה ב'!AF191</f>
        <v>4.228495744949201E-4</v>
      </c>
      <c r="N191" s="319">
        <f t="shared" si="38"/>
        <v>79066.387289221035</v>
      </c>
      <c r="O191" s="321">
        <f t="shared" si="42"/>
        <v>0</v>
      </c>
      <c r="P191" s="322">
        <f t="shared" si="43"/>
        <v>79066.387289221035</v>
      </c>
      <c r="Q191" s="322">
        <f t="shared" si="44"/>
        <v>79102.388303549</v>
      </c>
      <c r="R191" s="321">
        <f t="shared" si="45"/>
        <v>0</v>
      </c>
      <c r="S191" s="322">
        <f t="shared" si="46"/>
        <v>79102.388303549</v>
      </c>
      <c r="T191" s="322">
        <f t="shared" si="47"/>
        <v>79102.38830354884</v>
      </c>
      <c r="U191" s="321">
        <f t="shared" si="48"/>
        <v>0</v>
      </c>
      <c r="V191" s="322">
        <f t="shared" si="49"/>
        <v>79102.38830354884</v>
      </c>
      <c r="W191" s="322">
        <f t="shared" si="50"/>
        <v>79102.388303548869</v>
      </c>
      <c r="X191" s="321">
        <f t="shared" si="51"/>
        <v>0</v>
      </c>
      <c r="Y191" s="322">
        <f t="shared" si="52"/>
        <v>79102.388303548869</v>
      </c>
      <c r="Z191" s="322">
        <f t="shared" si="53"/>
        <v>79102.388303548854</v>
      </c>
      <c r="AA191" s="323">
        <f t="shared" si="54"/>
        <v>79102.388303548854</v>
      </c>
      <c r="AB191" s="323"/>
      <c r="AC191" s="323"/>
      <c r="AD191" s="323"/>
      <c r="AE191" s="323"/>
      <c r="AF191" s="324">
        <f t="shared" si="55"/>
        <v>4.5300225751532047E-4</v>
      </c>
      <c r="AG191" s="312"/>
      <c r="AH191" s="312"/>
      <c r="AI191" s="325">
        <f t="shared" si="56"/>
        <v>1</v>
      </c>
      <c r="AJ191" s="312"/>
      <c r="AK191" s="312"/>
      <c r="AL191" s="312"/>
      <c r="AM191" s="312"/>
      <c r="AN191" s="312"/>
      <c r="AO191" s="312"/>
      <c r="AP191" s="312"/>
      <c r="AQ191" s="312"/>
      <c r="AR191" s="312"/>
      <c r="AS191" s="312"/>
      <c r="AT191" s="312"/>
      <c r="AU191" s="312"/>
      <c r="AV191" s="312"/>
      <c r="AW191" s="312"/>
      <c r="AX191" s="312"/>
      <c r="AY191" s="312"/>
      <c r="AZ191" s="312"/>
      <c r="BA191" s="312"/>
      <c r="BB191" s="312"/>
      <c r="BC191" s="312"/>
      <c r="BD191" s="312"/>
      <c r="BE191" s="312"/>
      <c r="BF191" s="312"/>
      <c r="BG191" s="312"/>
      <c r="BH191" s="312"/>
      <c r="BI191" s="312"/>
      <c r="BJ191" s="312"/>
      <c r="BK191" s="312"/>
      <c r="BL191" s="312"/>
      <c r="BM191" s="312"/>
      <c r="BN191" s="312"/>
      <c r="BO191" s="312"/>
      <c r="BP191" s="312"/>
      <c r="BQ191" s="312"/>
      <c r="BR191" s="312"/>
      <c r="BS191" s="312"/>
      <c r="BT191" s="312"/>
      <c r="BU191" s="312"/>
      <c r="BV191" s="312"/>
      <c r="BW191" s="312"/>
      <c r="BX191" s="312"/>
      <c r="BY191" s="312"/>
      <c r="BZ191" s="312"/>
      <c r="CA191" s="312"/>
      <c r="CB191" s="312"/>
      <c r="CC191" s="312"/>
      <c r="CD191" s="312"/>
      <c r="CE191" s="312"/>
      <c r="CF191" s="312"/>
      <c r="CG191" s="312"/>
      <c r="CH191" s="312"/>
      <c r="CI191" s="312"/>
      <c r="CJ191" s="312"/>
      <c r="CK191" s="312"/>
      <c r="CL191" s="312"/>
      <c r="CM191" s="312"/>
      <c r="CN191" s="312"/>
      <c r="CO191" s="312"/>
      <c r="CP191" s="312"/>
      <c r="CQ191" s="312"/>
      <c r="CR191" s="312"/>
      <c r="CS191" s="312"/>
      <c r="CT191" s="312"/>
      <c r="CU191" s="312"/>
      <c r="CV191" s="312"/>
      <c r="CW191" s="312"/>
      <c r="CX191" s="312"/>
      <c r="CY191" s="312"/>
      <c r="CZ191" s="312"/>
      <c r="DA191" s="312"/>
      <c r="DB191" s="312"/>
      <c r="DC191" s="312"/>
      <c r="DD191" s="312"/>
      <c r="DE191" s="312"/>
      <c r="DF191" s="312"/>
      <c r="DG191" s="312"/>
      <c r="DH191" s="312"/>
      <c r="DI191" s="312"/>
      <c r="DJ191" s="312"/>
      <c r="DK191" s="312"/>
      <c r="DL191" s="312"/>
      <c r="DM191" s="312"/>
      <c r="DN191" s="312"/>
      <c r="DO191" s="312"/>
      <c r="DP191" s="312"/>
      <c r="DQ191" s="312"/>
      <c r="DR191" s="312"/>
      <c r="DS191" s="312"/>
      <c r="DT191" s="312"/>
      <c r="DU191" s="312"/>
      <c r="DV191" s="312"/>
      <c r="DW191" s="312"/>
      <c r="DX191" s="312"/>
      <c r="DY191" s="312"/>
      <c r="DZ191" s="312"/>
      <c r="EA191" s="312"/>
      <c r="EB191" s="312"/>
      <c r="EC191" s="312"/>
      <c r="ED191" s="312"/>
      <c r="EE191" s="312"/>
      <c r="EF191" s="312"/>
      <c r="EG191" s="312"/>
      <c r="EH191" s="312"/>
      <c r="EI191" s="312"/>
      <c r="EJ191" s="312"/>
      <c r="EK191" s="312"/>
      <c r="EL191" s="312"/>
      <c r="EM191" s="312"/>
      <c r="EN191" s="312"/>
      <c r="EO191" s="312"/>
      <c r="EP191" s="312"/>
      <c r="EQ191" s="312"/>
      <c r="ER191" s="312"/>
      <c r="ES191" s="312"/>
      <c r="ET191" s="312"/>
      <c r="EU191" s="312"/>
      <c r="EV191" s="312"/>
      <c r="EW191" s="312"/>
      <c r="EX191" s="312"/>
      <c r="EY191" s="312"/>
      <c r="EZ191" s="312"/>
      <c r="FA191" s="312"/>
      <c r="FB191" s="312"/>
      <c r="FC191" s="312"/>
      <c r="FD191" s="312"/>
      <c r="FE191" s="312"/>
      <c r="FF191" s="312"/>
      <c r="FG191" s="312"/>
      <c r="FH191" s="312"/>
      <c r="FI191" s="312"/>
      <c r="FJ191" s="312"/>
      <c r="FK191" s="312"/>
      <c r="FL191" s="312"/>
      <c r="FM191" s="312"/>
      <c r="FN191" s="312"/>
      <c r="FO191" s="312"/>
      <c r="FP191" s="312"/>
      <c r="FQ191" s="312"/>
      <c r="FR191" s="312"/>
      <c r="FS191" s="312"/>
      <c r="FT191" s="312"/>
      <c r="FU191" s="312"/>
      <c r="FV191" s="312"/>
      <c r="FW191" s="312"/>
      <c r="FX191" s="312"/>
      <c r="FY191" s="312"/>
      <c r="FZ191" s="312"/>
      <c r="GA191" s="312"/>
      <c r="GB191" s="312"/>
      <c r="GC191" s="312"/>
      <c r="GD191" s="312"/>
      <c r="GE191" s="312"/>
      <c r="GF191" s="312"/>
      <c r="GG191" s="312"/>
      <c r="GH191" s="312"/>
      <c r="GI191" s="312"/>
      <c r="GJ191" s="312"/>
      <c r="GK191" s="312"/>
      <c r="GL191" s="312"/>
      <c r="GM191" s="312"/>
      <c r="GN191" s="312"/>
      <c r="GO191" s="312"/>
      <c r="GP191" s="312"/>
      <c r="GQ191" s="312"/>
      <c r="GR191" s="312"/>
      <c r="GS191" s="312"/>
      <c r="GT191" s="312"/>
      <c r="GU191" s="312"/>
      <c r="GV191" s="312"/>
      <c r="GW191" s="312"/>
      <c r="GX191" s="312"/>
      <c r="GY191" s="312"/>
    </row>
    <row r="192" spans="2:207" ht="15.75" x14ac:dyDescent="0.25">
      <c r="B192" s="316">
        <f t="shared" si="39"/>
        <v>162</v>
      </c>
      <c r="C192" s="330">
        <f>'סיכום לוועדה'!B192</f>
        <v>1001348956</v>
      </c>
      <c r="D192" s="330">
        <f>'סיכום לוועדה'!C192</f>
        <v>1001274741</v>
      </c>
      <c r="E192" s="330">
        <f>'סיכום לוועדה'!D192</f>
        <v>40527700</v>
      </c>
      <c r="F192" s="330">
        <f>'סיכום לוועדה'!E192</f>
        <v>20000201</v>
      </c>
      <c r="G192" s="330" t="str">
        <f>'סיכום לוועדה'!F192</f>
        <v>תל אביב -יפו</v>
      </c>
      <c r="H192" s="317" t="str">
        <f>'סיכום לוועדה'!G192</f>
        <v>המקהלה הישראלית ע"ש גארי ברתיני (ע"</v>
      </c>
      <c r="I192" s="318">
        <f>'סיכום לוועדה'!U192</f>
        <v>180000</v>
      </c>
      <c r="J192" s="319">
        <f>'סיכום לוועדה'!T192</f>
        <v>332302.81597957236</v>
      </c>
      <c r="K192" s="320">
        <f t="shared" si="40"/>
        <v>1</v>
      </c>
      <c r="L192" s="319">
        <f t="shared" si="41"/>
        <v>180000</v>
      </c>
      <c r="M192" s="331">
        <f>'תחום תמיכה ב'!AF192</f>
        <v>1.846618110611555E-3</v>
      </c>
      <c r="N192" s="319">
        <f t="shared" si="38"/>
        <v>180000</v>
      </c>
      <c r="O192" s="321">
        <f t="shared" si="42"/>
        <v>1</v>
      </c>
      <c r="P192" s="322">
        <f t="shared" si="43"/>
        <v>180000</v>
      </c>
      <c r="Q192" s="322">
        <f t="shared" si="44"/>
        <v>180000</v>
      </c>
      <c r="R192" s="321">
        <f t="shared" si="45"/>
        <v>1</v>
      </c>
      <c r="S192" s="322">
        <f t="shared" si="46"/>
        <v>180000</v>
      </c>
      <c r="T192" s="322">
        <f t="shared" si="47"/>
        <v>180000</v>
      </c>
      <c r="U192" s="321">
        <f t="shared" si="48"/>
        <v>1</v>
      </c>
      <c r="V192" s="322">
        <f t="shared" si="49"/>
        <v>180000</v>
      </c>
      <c r="W192" s="322">
        <f t="shared" si="50"/>
        <v>180000</v>
      </c>
      <c r="X192" s="321">
        <f t="shared" si="51"/>
        <v>1</v>
      </c>
      <c r="Y192" s="322">
        <f t="shared" si="52"/>
        <v>180000</v>
      </c>
      <c r="Z192" s="322">
        <f t="shared" si="53"/>
        <v>180000</v>
      </c>
      <c r="AA192" s="323">
        <f t="shared" si="54"/>
        <v>180000</v>
      </c>
      <c r="AB192" s="323"/>
      <c r="AC192" s="323"/>
      <c r="AD192" s="323"/>
      <c r="AE192" s="323"/>
      <c r="AF192" s="324">
        <f t="shared" si="55"/>
        <v>1.0308210422149725E-3</v>
      </c>
      <c r="AG192" s="312"/>
      <c r="AH192" s="312"/>
      <c r="AI192" s="325">
        <f t="shared" si="56"/>
        <v>1</v>
      </c>
      <c r="AJ192" s="312"/>
      <c r="AK192" s="312"/>
      <c r="AL192" s="312"/>
      <c r="AM192" s="312"/>
      <c r="AN192" s="312"/>
      <c r="AO192" s="312"/>
      <c r="AP192" s="312"/>
      <c r="AQ192" s="312"/>
      <c r="AR192" s="312"/>
      <c r="AS192" s="312"/>
      <c r="AT192" s="312"/>
      <c r="AU192" s="312"/>
      <c r="AV192" s="312"/>
      <c r="AW192" s="312"/>
      <c r="AX192" s="312"/>
      <c r="AY192" s="312"/>
      <c r="AZ192" s="312"/>
      <c r="BA192" s="312"/>
      <c r="BB192" s="312"/>
      <c r="BC192" s="312"/>
      <c r="BD192" s="312"/>
      <c r="BE192" s="312"/>
      <c r="BF192" s="312"/>
      <c r="BG192" s="312"/>
      <c r="BH192" s="312"/>
      <c r="BI192" s="312"/>
      <c r="BJ192" s="312"/>
      <c r="BK192" s="312"/>
      <c r="BL192" s="312"/>
      <c r="BM192" s="312"/>
      <c r="BN192" s="312"/>
      <c r="BO192" s="312"/>
      <c r="BP192" s="312"/>
      <c r="BQ192" s="312"/>
      <c r="BR192" s="312"/>
      <c r="BS192" s="312"/>
      <c r="BT192" s="312"/>
      <c r="BU192" s="312"/>
      <c r="BV192" s="312"/>
      <c r="BW192" s="312"/>
      <c r="BX192" s="312"/>
      <c r="BY192" s="312"/>
      <c r="BZ192" s="312"/>
      <c r="CA192" s="312"/>
      <c r="CB192" s="312"/>
      <c r="CC192" s="312"/>
      <c r="CD192" s="312"/>
      <c r="CE192" s="312"/>
      <c r="CF192" s="312"/>
      <c r="CG192" s="312"/>
      <c r="CH192" s="312"/>
      <c r="CI192" s="312"/>
      <c r="CJ192" s="312"/>
      <c r="CK192" s="312"/>
      <c r="CL192" s="312"/>
      <c r="CM192" s="312"/>
      <c r="CN192" s="312"/>
      <c r="CO192" s="312"/>
      <c r="CP192" s="312"/>
      <c r="CQ192" s="312"/>
      <c r="CR192" s="312"/>
      <c r="CS192" s="312"/>
      <c r="CT192" s="312"/>
      <c r="CU192" s="312"/>
      <c r="CV192" s="312"/>
      <c r="CW192" s="312"/>
      <c r="CX192" s="312"/>
      <c r="CY192" s="312"/>
      <c r="CZ192" s="312"/>
      <c r="DA192" s="312"/>
      <c r="DB192" s="312"/>
      <c r="DC192" s="312"/>
      <c r="DD192" s="312"/>
      <c r="DE192" s="312"/>
      <c r="DF192" s="312"/>
      <c r="DG192" s="312"/>
      <c r="DH192" s="312"/>
      <c r="DI192" s="312"/>
      <c r="DJ192" s="312"/>
      <c r="DK192" s="312"/>
      <c r="DL192" s="312"/>
      <c r="DM192" s="312"/>
      <c r="DN192" s="312"/>
      <c r="DO192" s="312"/>
      <c r="DP192" s="312"/>
      <c r="DQ192" s="312"/>
      <c r="DR192" s="312"/>
      <c r="DS192" s="312"/>
      <c r="DT192" s="312"/>
      <c r="DU192" s="312"/>
      <c r="DV192" s="312"/>
      <c r="DW192" s="312"/>
      <c r="DX192" s="312"/>
      <c r="DY192" s="312"/>
      <c r="DZ192" s="312"/>
      <c r="EA192" s="312"/>
      <c r="EB192" s="312"/>
      <c r="EC192" s="312"/>
      <c r="ED192" s="312"/>
      <c r="EE192" s="312"/>
      <c r="EF192" s="312"/>
      <c r="EG192" s="312"/>
      <c r="EH192" s="312"/>
      <c r="EI192" s="312"/>
      <c r="EJ192" s="312"/>
      <c r="EK192" s="312"/>
      <c r="EL192" s="312"/>
      <c r="EM192" s="312"/>
      <c r="EN192" s="312"/>
      <c r="EO192" s="312"/>
      <c r="EP192" s="312"/>
      <c r="EQ192" s="312"/>
      <c r="ER192" s="312"/>
      <c r="ES192" s="312"/>
      <c r="ET192" s="312"/>
      <c r="EU192" s="312"/>
      <c r="EV192" s="312"/>
      <c r="EW192" s="312"/>
      <c r="EX192" s="312"/>
      <c r="EY192" s="312"/>
      <c r="EZ192" s="312"/>
      <c r="FA192" s="312"/>
      <c r="FB192" s="312"/>
      <c r="FC192" s="312"/>
      <c r="FD192" s="312"/>
      <c r="FE192" s="312"/>
      <c r="FF192" s="312"/>
      <c r="FG192" s="312"/>
      <c r="FH192" s="312"/>
      <c r="FI192" s="312"/>
      <c r="FJ192" s="312"/>
      <c r="FK192" s="312"/>
      <c r="FL192" s="312"/>
      <c r="FM192" s="312"/>
      <c r="FN192" s="312"/>
      <c r="FO192" s="312"/>
      <c r="FP192" s="312"/>
      <c r="FQ192" s="312"/>
      <c r="FR192" s="312"/>
      <c r="FS192" s="312"/>
      <c r="FT192" s="312"/>
      <c r="FU192" s="312"/>
      <c r="FV192" s="312"/>
      <c r="FW192" s="312"/>
      <c r="FX192" s="312"/>
      <c r="FY192" s="312"/>
      <c r="FZ192" s="312"/>
      <c r="GA192" s="312"/>
      <c r="GB192" s="312"/>
      <c r="GC192" s="312"/>
      <c r="GD192" s="312"/>
      <c r="GE192" s="312"/>
      <c r="GF192" s="312"/>
      <c r="GG192" s="312"/>
      <c r="GH192" s="312"/>
      <c r="GI192" s="312"/>
      <c r="GJ192" s="312"/>
      <c r="GK192" s="312"/>
      <c r="GL192" s="312"/>
      <c r="GM192" s="312"/>
      <c r="GN192" s="312"/>
      <c r="GO192" s="312"/>
      <c r="GP192" s="312"/>
      <c r="GQ192" s="312"/>
      <c r="GR192" s="312"/>
      <c r="GS192" s="312"/>
      <c r="GT192" s="312"/>
      <c r="GU192" s="312"/>
      <c r="GV192" s="312"/>
      <c r="GW192" s="312"/>
      <c r="GX192" s="312"/>
      <c r="GY192" s="312"/>
    </row>
    <row r="193" spans="2:207" ht="15.75" x14ac:dyDescent="0.25">
      <c r="B193" s="316">
        <f t="shared" si="39"/>
        <v>163</v>
      </c>
      <c r="C193" s="330">
        <f>'סיכום לוועדה'!B193</f>
        <v>1001348979</v>
      </c>
      <c r="D193" s="330">
        <f>'סיכום לוועדה'!C193</f>
        <v>1001274745</v>
      </c>
      <c r="E193" s="330">
        <f>'סיכום לוועדה'!D193</f>
        <v>40527701</v>
      </c>
      <c r="F193" s="330">
        <f>'סיכום לוועדה'!E193</f>
        <v>20000201</v>
      </c>
      <c r="G193" s="330" t="str">
        <f>'סיכום לוועדה'!F193</f>
        <v>תל אביב -יפו</v>
      </c>
      <c r="H193" s="317" t="str">
        <f>'סיכום לוועדה'!G193</f>
        <v>תיאטרון הקיבוץ (ע"ר)</v>
      </c>
      <c r="I193" s="318">
        <f>'סיכום לוועדה'!U193</f>
        <v>700000</v>
      </c>
      <c r="J193" s="319">
        <f>'סיכום לוועדה'!T193</f>
        <v>1355490.6391362287</v>
      </c>
      <c r="K193" s="320">
        <f t="shared" si="40"/>
        <v>1</v>
      </c>
      <c r="L193" s="319">
        <f t="shared" si="41"/>
        <v>700000</v>
      </c>
      <c r="M193" s="331">
        <f>'תחום תמיכה ב'!AF193</f>
        <v>7.491747819062553E-3</v>
      </c>
      <c r="N193" s="319">
        <f t="shared" si="38"/>
        <v>700000</v>
      </c>
      <c r="O193" s="321">
        <f t="shared" si="42"/>
        <v>1</v>
      </c>
      <c r="P193" s="322">
        <f t="shared" si="43"/>
        <v>700000</v>
      </c>
      <c r="Q193" s="322">
        <f t="shared" si="44"/>
        <v>700000</v>
      </c>
      <c r="R193" s="321">
        <f t="shared" si="45"/>
        <v>1</v>
      </c>
      <c r="S193" s="322">
        <f t="shared" si="46"/>
        <v>700000</v>
      </c>
      <c r="T193" s="322">
        <f t="shared" si="47"/>
        <v>700000</v>
      </c>
      <c r="U193" s="321">
        <f t="shared" si="48"/>
        <v>1</v>
      </c>
      <c r="V193" s="322">
        <f t="shared" si="49"/>
        <v>700000</v>
      </c>
      <c r="W193" s="322">
        <f t="shared" si="50"/>
        <v>700000</v>
      </c>
      <c r="X193" s="321">
        <f t="shared" si="51"/>
        <v>1</v>
      </c>
      <c r="Y193" s="322">
        <f t="shared" si="52"/>
        <v>700000</v>
      </c>
      <c r="Z193" s="322">
        <f t="shared" si="53"/>
        <v>700000</v>
      </c>
      <c r="AA193" s="323">
        <f t="shared" si="54"/>
        <v>700000</v>
      </c>
      <c r="AB193" s="323"/>
      <c r="AC193" s="323"/>
      <c r="AD193" s="323"/>
      <c r="AE193" s="323"/>
      <c r="AF193" s="324">
        <f t="shared" si="55"/>
        <v>4.0087484975026705E-3</v>
      </c>
      <c r="AG193" s="312"/>
      <c r="AH193" s="312"/>
      <c r="AI193" s="325">
        <f t="shared" si="56"/>
        <v>1</v>
      </c>
      <c r="AJ193" s="312"/>
      <c r="AK193" s="312"/>
      <c r="AL193" s="312"/>
      <c r="AM193" s="312"/>
      <c r="AN193" s="312"/>
      <c r="AO193" s="312"/>
      <c r="AP193" s="312"/>
      <c r="AQ193" s="312"/>
      <c r="AR193" s="312"/>
      <c r="AS193" s="312"/>
      <c r="AT193" s="312"/>
      <c r="AU193" s="312"/>
      <c r="AV193" s="312"/>
      <c r="AW193" s="312"/>
      <c r="AX193" s="312"/>
      <c r="AY193" s="312"/>
      <c r="AZ193" s="312"/>
      <c r="BA193" s="312"/>
      <c r="BB193" s="312"/>
      <c r="BC193" s="312"/>
      <c r="BD193" s="312"/>
      <c r="BE193" s="312"/>
      <c r="BF193" s="312"/>
      <c r="BG193" s="312"/>
      <c r="BH193" s="312"/>
      <c r="BI193" s="312"/>
      <c r="BJ193" s="312"/>
      <c r="BK193" s="312"/>
      <c r="BL193" s="312"/>
      <c r="BM193" s="312"/>
      <c r="BN193" s="312"/>
      <c r="BO193" s="312"/>
      <c r="BP193" s="312"/>
      <c r="BQ193" s="312"/>
      <c r="BR193" s="312"/>
      <c r="BS193" s="312"/>
      <c r="BT193" s="312"/>
      <c r="BU193" s="312"/>
      <c r="BV193" s="312"/>
      <c r="BW193" s="312"/>
      <c r="BX193" s="312"/>
      <c r="BY193" s="312"/>
      <c r="BZ193" s="312"/>
      <c r="CA193" s="312"/>
      <c r="CB193" s="312"/>
      <c r="CC193" s="312"/>
      <c r="CD193" s="312"/>
      <c r="CE193" s="312"/>
      <c r="CF193" s="312"/>
      <c r="CG193" s="312"/>
      <c r="CH193" s="312"/>
      <c r="CI193" s="312"/>
      <c r="CJ193" s="312"/>
      <c r="CK193" s="312"/>
      <c r="CL193" s="312"/>
      <c r="CM193" s="312"/>
      <c r="CN193" s="312"/>
      <c r="CO193" s="312"/>
      <c r="CP193" s="312"/>
      <c r="CQ193" s="312"/>
      <c r="CR193" s="312"/>
      <c r="CS193" s="312"/>
      <c r="CT193" s="312"/>
      <c r="CU193" s="312"/>
      <c r="CV193" s="312"/>
      <c r="CW193" s="312"/>
      <c r="CX193" s="312"/>
      <c r="CY193" s="312"/>
      <c r="CZ193" s="312"/>
      <c r="DA193" s="312"/>
      <c r="DB193" s="312"/>
      <c r="DC193" s="312"/>
      <c r="DD193" s="312"/>
      <c r="DE193" s="312"/>
      <c r="DF193" s="312"/>
      <c r="DG193" s="312"/>
      <c r="DH193" s="312"/>
      <c r="DI193" s="312"/>
      <c r="DJ193" s="312"/>
      <c r="DK193" s="312"/>
      <c r="DL193" s="312"/>
      <c r="DM193" s="312"/>
      <c r="DN193" s="312"/>
      <c r="DO193" s="312"/>
      <c r="DP193" s="312"/>
      <c r="DQ193" s="312"/>
      <c r="DR193" s="312"/>
      <c r="DS193" s="312"/>
      <c r="DT193" s="312"/>
      <c r="DU193" s="312"/>
      <c r="DV193" s="312"/>
      <c r="DW193" s="312"/>
      <c r="DX193" s="312"/>
      <c r="DY193" s="312"/>
      <c r="DZ193" s="312"/>
      <c r="EA193" s="312"/>
      <c r="EB193" s="312"/>
      <c r="EC193" s="312"/>
      <c r="ED193" s="312"/>
      <c r="EE193" s="312"/>
      <c r="EF193" s="312"/>
      <c r="EG193" s="312"/>
      <c r="EH193" s="312"/>
      <c r="EI193" s="312"/>
      <c r="EJ193" s="312"/>
      <c r="EK193" s="312"/>
      <c r="EL193" s="312"/>
      <c r="EM193" s="312"/>
      <c r="EN193" s="312"/>
      <c r="EO193" s="312"/>
      <c r="EP193" s="312"/>
      <c r="EQ193" s="312"/>
      <c r="ER193" s="312"/>
      <c r="ES193" s="312"/>
      <c r="ET193" s="312"/>
      <c r="EU193" s="312"/>
      <c r="EV193" s="312"/>
      <c r="EW193" s="312"/>
      <c r="EX193" s="312"/>
      <c r="EY193" s="312"/>
      <c r="EZ193" s="312"/>
      <c r="FA193" s="312"/>
      <c r="FB193" s="312"/>
      <c r="FC193" s="312"/>
      <c r="FD193" s="312"/>
      <c r="FE193" s="312"/>
      <c r="FF193" s="312"/>
      <c r="FG193" s="312"/>
      <c r="FH193" s="312"/>
      <c r="FI193" s="312"/>
      <c r="FJ193" s="312"/>
      <c r="FK193" s="312"/>
      <c r="FL193" s="312"/>
      <c r="FM193" s="312"/>
      <c r="FN193" s="312"/>
      <c r="FO193" s="312"/>
      <c r="FP193" s="312"/>
      <c r="FQ193" s="312"/>
      <c r="FR193" s="312"/>
      <c r="FS193" s="312"/>
      <c r="FT193" s="312"/>
      <c r="FU193" s="312"/>
      <c r="FV193" s="312"/>
      <c r="FW193" s="312"/>
      <c r="FX193" s="312"/>
      <c r="FY193" s="312"/>
      <c r="FZ193" s="312"/>
      <c r="GA193" s="312"/>
      <c r="GB193" s="312"/>
      <c r="GC193" s="312"/>
      <c r="GD193" s="312"/>
      <c r="GE193" s="312"/>
      <c r="GF193" s="312"/>
      <c r="GG193" s="312"/>
      <c r="GH193" s="312"/>
      <c r="GI193" s="312"/>
      <c r="GJ193" s="312"/>
      <c r="GK193" s="312"/>
      <c r="GL193" s="312"/>
      <c r="GM193" s="312"/>
      <c r="GN193" s="312"/>
      <c r="GO193" s="312"/>
      <c r="GP193" s="312"/>
      <c r="GQ193" s="312"/>
      <c r="GR193" s="312"/>
      <c r="GS193" s="312"/>
      <c r="GT193" s="312"/>
      <c r="GU193" s="312"/>
      <c r="GV193" s="312"/>
      <c r="GW193" s="312"/>
      <c r="GX193" s="312"/>
      <c r="GY193" s="312"/>
    </row>
    <row r="194" spans="2:207" ht="15.75" x14ac:dyDescent="0.25">
      <c r="B194" s="316">
        <f t="shared" si="39"/>
        <v>164</v>
      </c>
      <c r="C194" s="330">
        <f>'סיכום לוועדה'!B194</f>
        <v>1001350362</v>
      </c>
      <c r="D194" s="330">
        <f>'סיכום לוועדה'!C194</f>
        <v>1001301999</v>
      </c>
      <c r="E194" s="330">
        <f>'סיכום לוועדה'!D194</f>
        <v>40216094</v>
      </c>
      <c r="F194" s="330">
        <f>'סיכום לוועדה'!E194</f>
        <v>20000231</v>
      </c>
      <c r="G194" s="330" t="str">
        <f>'סיכום לוועדה'!F194</f>
        <v>נצרת</v>
      </c>
      <c r="H194" s="317" t="str">
        <f>'סיכום לוועדה'!G194</f>
        <v>אלחנין נצרת (ע"ר)</v>
      </c>
      <c r="I194" s="318">
        <f>'סיכום לוועדה'!U194</f>
        <v>400000</v>
      </c>
      <c r="J194" s="319">
        <f>'סיכום לוועדה'!T194</f>
        <v>86347.102195828425</v>
      </c>
      <c r="K194" s="320">
        <f t="shared" si="40"/>
        <v>0</v>
      </c>
      <c r="L194" s="319">
        <f t="shared" si="41"/>
        <v>86347.102195828425</v>
      </c>
      <c r="M194" s="331">
        <f>'תחום תמיכה ב'!AF194</f>
        <v>5.0929006106432604E-4</v>
      </c>
      <c r="N194" s="319">
        <f t="shared" si="38"/>
        <v>95022.609811862756</v>
      </c>
      <c r="O194" s="321">
        <f t="shared" si="42"/>
        <v>0</v>
      </c>
      <c r="P194" s="322">
        <f t="shared" si="43"/>
        <v>95022.609811862756</v>
      </c>
      <c r="Q194" s="322">
        <f t="shared" si="44"/>
        <v>95065.876115719584</v>
      </c>
      <c r="R194" s="321">
        <f t="shared" si="45"/>
        <v>0</v>
      </c>
      <c r="S194" s="322">
        <f t="shared" si="46"/>
        <v>95065.876115719584</v>
      </c>
      <c r="T194" s="322">
        <f t="shared" si="47"/>
        <v>95065.876115719395</v>
      </c>
      <c r="U194" s="321">
        <f t="shared" si="48"/>
        <v>0</v>
      </c>
      <c r="V194" s="322">
        <f t="shared" si="49"/>
        <v>95065.876115719395</v>
      </c>
      <c r="W194" s="322">
        <f t="shared" si="50"/>
        <v>95065.876115719424</v>
      </c>
      <c r="X194" s="321">
        <f t="shared" si="51"/>
        <v>0</v>
      </c>
      <c r="Y194" s="322">
        <f t="shared" si="52"/>
        <v>95065.876115719424</v>
      </c>
      <c r="Z194" s="322">
        <f t="shared" si="53"/>
        <v>95065.876115719409</v>
      </c>
      <c r="AA194" s="323">
        <f t="shared" si="54"/>
        <v>95065.876115719409</v>
      </c>
      <c r="AB194" s="323"/>
      <c r="AC194" s="323"/>
      <c r="AD194" s="323"/>
      <c r="AE194" s="323"/>
      <c r="AF194" s="324">
        <f t="shared" si="55"/>
        <v>5.444216972038075E-4</v>
      </c>
      <c r="AG194" s="312"/>
      <c r="AH194" s="312"/>
      <c r="AI194" s="325">
        <f t="shared" si="56"/>
        <v>1</v>
      </c>
      <c r="AJ194" s="312"/>
      <c r="AK194" s="312"/>
      <c r="AL194" s="312"/>
      <c r="AM194" s="312"/>
      <c r="AN194" s="312"/>
      <c r="AO194" s="312"/>
      <c r="AP194" s="312"/>
      <c r="AQ194" s="312"/>
      <c r="AR194" s="312"/>
      <c r="AS194" s="312"/>
      <c r="AT194" s="312"/>
      <c r="AU194" s="312"/>
      <c r="AV194" s="312"/>
      <c r="AW194" s="312"/>
      <c r="AX194" s="312"/>
      <c r="AY194" s="312"/>
      <c r="AZ194" s="312"/>
      <c r="BA194" s="312"/>
      <c r="BB194" s="312"/>
      <c r="BC194" s="312"/>
      <c r="BD194" s="312"/>
      <c r="BE194" s="312"/>
      <c r="BF194" s="312"/>
      <c r="BG194" s="312"/>
      <c r="BH194" s="312"/>
      <c r="BI194" s="312"/>
      <c r="BJ194" s="312"/>
      <c r="BK194" s="312"/>
      <c r="BL194" s="312"/>
      <c r="BM194" s="312"/>
      <c r="BN194" s="312"/>
      <c r="BO194" s="312"/>
      <c r="BP194" s="312"/>
      <c r="BQ194" s="312"/>
      <c r="BR194" s="312"/>
      <c r="BS194" s="312"/>
      <c r="BT194" s="312"/>
      <c r="BU194" s="312"/>
      <c r="BV194" s="312"/>
      <c r="BW194" s="312"/>
      <c r="BX194" s="312"/>
      <c r="BY194" s="312"/>
      <c r="BZ194" s="312"/>
      <c r="CA194" s="312"/>
      <c r="CB194" s="312"/>
      <c r="CC194" s="312"/>
      <c r="CD194" s="312"/>
      <c r="CE194" s="312"/>
      <c r="CF194" s="312"/>
      <c r="CG194" s="312"/>
      <c r="CH194" s="312"/>
      <c r="CI194" s="312"/>
      <c r="CJ194" s="312"/>
      <c r="CK194" s="312"/>
      <c r="CL194" s="312"/>
      <c r="CM194" s="312"/>
      <c r="CN194" s="312"/>
      <c r="CO194" s="312"/>
      <c r="CP194" s="312"/>
      <c r="CQ194" s="312"/>
      <c r="CR194" s="312"/>
      <c r="CS194" s="312"/>
      <c r="CT194" s="312"/>
      <c r="CU194" s="312"/>
      <c r="CV194" s="312"/>
      <c r="CW194" s="312"/>
      <c r="CX194" s="312"/>
      <c r="CY194" s="312"/>
      <c r="CZ194" s="312"/>
      <c r="DA194" s="312"/>
      <c r="DB194" s="312"/>
      <c r="DC194" s="312"/>
      <c r="DD194" s="312"/>
      <c r="DE194" s="312"/>
      <c r="DF194" s="312"/>
      <c r="DG194" s="312"/>
      <c r="DH194" s="312"/>
      <c r="DI194" s="312"/>
      <c r="DJ194" s="312"/>
      <c r="DK194" s="312"/>
      <c r="DL194" s="312"/>
      <c r="DM194" s="312"/>
      <c r="DN194" s="312"/>
      <c r="DO194" s="312"/>
      <c r="DP194" s="312"/>
      <c r="DQ194" s="312"/>
      <c r="DR194" s="312"/>
      <c r="DS194" s="312"/>
      <c r="DT194" s="312"/>
      <c r="DU194" s="312"/>
      <c r="DV194" s="312"/>
      <c r="DW194" s="312"/>
      <c r="DX194" s="312"/>
      <c r="DY194" s="312"/>
      <c r="DZ194" s="312"/>
      <c r="EA194" s="312"/>
      <c r="EB194" s="312"/>
      <c r="EC194" s="312"/>
      <c r="ED194" s="312"/>
      <c r="EE194" s="312"/>
      <c r="EF194" s="312"/>
      <c r="EG194" s="312"/>
      <c r="EH194" s="312"/>
      <c r="EI194" s="312"/>
      <c r="EJ194" s="312"/>
      <c r="EK194" s="312"/>
      <c r="EL194" s="312"/>
      <c r="EM194" s="312"/>
      <c r="EN194" s="312"/>
      <c r="EO194" s="312"/>
      <c r="EP194" s="312"/>
      <c r="EQ194" s="312"/>
      <c r="ER194" s="312"/>
      <c r="ES194" s="312"/>
      <c r="ET194" s="312"/>
      <c r="EU194" s="312"/>
      <c r="EV194" s="312"/>
      <c r="EW194" s="312"/>
      <c r="EX194" s="312"/>
      <c r="EY194" s="312"/>
      <c r="EZ194" s="312"/>
      <c r="FA194" s="312"/>
      <c r="FB194" s="312"/>
      <c r="FC194" s="312"/>
      <c r="FD194" s="312"/>
      <c r="FE194" s="312"/>
      <c r="FF194" s="312"/>
      <c r="FG194" s="312"/>
      <c r="FH194" s="312"/>
      <c r="FI194" s="312"/>
      <c r="FJ194" s="312"/>
      <c r="FK194" s="312"/>
      <c r="FL194" s="312"/>
      <c r="FM194" s="312"/>
      <c r="FN194" s="312"/>
      <c r="FO194" s="312"/>
      <c r="FP194" s="312"/>
      <c r="FQ194" s="312"/>
      <c r="FR194" s="312"/>
      <c r="FS194" s="312"/>
      <c r="FT194" s="312"/>
      <c r="FU194" s="312"/>
      <c r="FV194" s="312"/>
      <c r="FW194" s="312"/>
      <c r="FX194" s="312"/>
      <c r="FY194" s="312"/>
      <c r="FZ194" s="312"/>
      <c r="GA194" s="312"/>
      <c r="GB194" s="312"/>
      <c r="GC194" s="312"/>
      <c r="GD194" s="312"/>
      <c r="GE194" s="312"/>
      <c r="GF194" s="312"/>
      <c r="GG194" s="312"/>
      <c r="GH194" s="312"/>
      <c r="GI194" s="312"/>
      <c r="GJ194" s="312"/>
      <c r="GK194" s="312"/>
      <c r="GL194" s="312"/>
      <c r="GM194" s="312"/>
      <c r="GN194" s="312"/>
      <c r="GO194" s="312"/>
      <c r="GP194" s="312"/>
      <c r="GQ194" s="312"/>
      <c r="GR194" s="312"/>
      <c r="GS194" s="312"/>
      <c r="GT194" s="312"/>
      <c r="GU194" s="312"/>
      <c r="GV194" s="312"/>
      <c r="GW194" s="312"/>
      <c r="GX194" s="312"/>
      <c r="GY194" s="312"/>
    </row>
    <row r="195" spans="2:207" ht="15.75" x14ac:dyDescent="0.25">
      <c r="B195" s="316">
        <f t="shared" si="39"/>
        <v>165</v>
      </c>
      <c r="C195" s="330">
        <f>'סיכום לוועדה'!B195</f>
        <v>1001349141</v>
      </c>
      <c r="D195" s="330">
        <f>'סיכום לוועדה'!C195</f>
        <v>1001263416</v>
      </c>
      <c r="E195" s="330">
        <f>'סיכום לוועדה'!D195</f>
        <v>41375324</v>
      </c>
      <c r="F195" s="330">
        <f>'סיכום לוועדה'!E195</f>
        <v>20000201</v>
      </c>
      <c r="G195" s="330" t="str">
        <f>'סיכום לוועדה'!F195</f>
        <v>תל אביב -יפו</v>
      </c>
      <c r="H195" s="317" t="str">
        <f>'סיכום לוועדה'!G195</f>
        <v>אדם יוצר - טיפוח הביטוי האמנותי (ע"</v>
      </c>
      <c r="I195" s="318">
        <f>'סיכום לוועדה'!U195</f>
        <v>50000</v>
      </c>
      <c r="J195" s="319">
        <f>'סיכום לוועדה'!T195</f>
        <v>11448.093219388549</v>
      </c>
      <c r="K195" s="320">
        <f t="shared" si="40"/>
        <v>0</v>
      </c>
      <c r="L195" s="319">
        <f t="shared" si="41"/>
        <v>11448.093219388549</v>
      </c>
      <c r="M195" s="331">
        <f>'תחום תמיכה ב'!AF195</f>
        <v>7.3874809898756937E-5</v>
      </c>
      <c r="N195" s="319">
        <f t="shared" si="38"/>
        <v>12706.51454921066</v>
      </c>
      <c r="O195" s="321">
        <f t="shared" si="42"/>
        <v>0</v>
      </c>
      <c r="P195" s="322">
        <f t="shared" si="43"/>
        <v>12706.51454921066</v>
      </c>
      <c r="Q195" s="322">
        <f t="shared" si="44"/>
        <v>12712.300160872306</v>
      </c>
      <c r="R195" s="321">
        <f t="shared" si="45"/>
        <v>0</v>
      </c>
      <c r="S195" s="322">
        <f t="shared" si="46"/>
        <v>12712.300160872306</v>
      </c>
      <c r="T195" s="322">
        <f t="shared" si="47"/>
        <v>12712.300160872281</v>
      </c>
      <c r="U195" s="321">
        <f t="shared" si="48"/>
        <v>0</v>
      </c>
      <c r="V195" s="322">
        <f t="shared" si="49"/>
        <v>12712.300160872281</v>
      </c>
      <c r="W195" s="322">
        <f t="shared" si="50"/>
        <v>12712.300160872286</v>
      </c>
      <c r="X195" s="321">
        <f t="shared" si="51"/>
        <v>0</v>
      </c>
      <c r="Y195" s="322">
        <f t="shared" si="52"/>
        <v>12712.300160872286</v>
      </c>
      <c r="Z195" s="322">
        <f t="shared" si="53"/>
        <v>12712.300160872284</v>
      </c>
      <c r="AA195" s="323">
        <f t="shared" si="54"/>
        <v>12712.300160872284</v>
      </c>
      <c r="AB195" s="323"/>
      <c r="AC195" s="323"/>
      <c r="AD195" s="323"/>
      <c r="AE195" s="323"/>
      <c r="AF195" s="324">
        <f t="shared" si="55"/>
        <v>7.280059167099961E-5</v>
      </c>
      <c r="AG195" s="312"/>
      <c r="AH195" s="312"/>
      <c r="AI195" s="325">
        <f t="shared" si="56"/>
        <v>1</v>
      </c>
      <c r="AJ195" s="312"/>
      <c r="AK195" s="312"/>
      <c r="AL195" s="312"/>
      <c r="AM195" s="312"/>
      <c r="AN195" s="312"/>
      <c r="AO195" s="312"/>
      <c r="AP195" s="312"/>
      <c r="AQ195" s="312"/>
      <c r="AR195" s="312"/>
      <c r="AS195" s="312"/>
      <c r="AT195" s="312"/>
      <c r="AU195" s="312"/>
      <c r="AV195" s="312"/>
      <c r="AW195" s="312"/>
      <c r="AX195" s="312"/>
      <c r="AY195" s="312"/>
      <c r="AZ195" s="312"/>
      <c r="BA195" s="312"/>
      <c r="BB195" s="312"/>
      <c r="BC195" s="312"/>
      <c r="BD195" s="312"/>
      <c r="BE195" s="312"/>
      <c r="BF195" s="312"/>
      <c r="BG195" s="312"/>
      <c r="BH195" s="312"/>
      <c r="BI195" s="312"/>
      <c r="BJ195" s="312"/>
      <c r="BK195" s="312"/>
      <c r="BL195" s="312"/>
      <c r="BM195" s="312"/>
      <c r="BN195" s="312"/>
      <c r="BO195" s="312"/>
      <c r="BP195" s="312"/>
      <c r="BQ195" s="312"/>
      <c r="BR195" s="312"/>
      <c r="BS195" s="312"/>
      <c r="BT195" s="312"/>
      <c r="BU195" s="312"/>
      <c r="BV195" s="312"/>
      <c r="BW195" s="312"/>
      <c r="BX195" s="312"/>
      <c r="BY195" s="312"/>
      <c r="BZ195" s="312"/>
      <c r="CA195" s="312"/>
      <c r="CB195" s="312"/>
      <c r="CC195" s="312"/>
      <c r="CD195" s="312"/>
      <c r="CE195" s="312"/>
      <c r="CF195" s="312"/>
      <c r="CG195" s="312"/>
      <c r="CH195" s="312"/>
      <c r="CI195" s="312"/>
      <c r="CJ195" s="312"/>
      <c r="CK195" s="312"/>
      <c r="CL195" s="312"/>
      <c r="CM195" s="312"/>
      <c r="CN195" s="312"/>
      <c r="CO195" s="312"/>
      <c r="CP195" s="312"/>
      <c r="CQ195" s="312"/>
      <c r="CR195" s="312"/>
      <c r="CS195" s="312"/>
      <c r="CT195" s="312"/>
      <c r="CU195" s="312"/>
      <c r="CV195" s="312"/>
      <c r="CW195" s="312"/>
      <c r="CX195" s="312"/>
      <c r="CY195" s="312"/>
      <c r="CZ195" s="312"/>
      <c r="DA195" s="312"/>
      <c r="DB195" s="312"/>
      <c r="DC195" s="312"/>
      <c r="DD195" s="312"/>
      <c r="DE195" s="312"/>
      <c r="DF195" s="312"/>
      <c r="DG195" s="312"/>
      <c r="DH195" s="312"/>
      <c r="DI195" s="312"/>
      <c r="DJ195" s="312"/>
      <c r="DK195" s="312"/>
      <c r="DL195" s="312"/>
      <c r="DM195" s="312"/>
      <c r="DN195" s="312"/>
      <c r="DO195" s="312"/>
      <c r="DP195" s="312"/>
      <c r="DQ195" s="312"/>
      <c r="DR195" s="312"/>
      <c r="DS195" s="312"/>
      <c r="DT195" s="312"/>
      <c r="DU195" s="312"/>
      <c r="DV195" s="312"/>
      <c r="DW195" s="312"/>
      <c r="DX195" s="312"/>
      <c r="DY195" s="312"/>
      <c r="DZ195" s="312"/>
      <c r="EA195" s="312"/>
      <c r="EB195" s="312"/>
      <c r="EC195" s="312"/>
      <c r="ED195" s="312"/>
      <c r="EE195" s="312"/>
      <c r="EF195" s="312"/>
      <c r="EG195" s="312"/>
      <c r="EH195" s="312"/>
      <c r="EI195" s="312"/>
      <c r="EJ195" s="312"/>
      <c r="EK195" s="312"/>
      <c r="EL195" s="312"/>
      <c r="EM195" s="312"/>
      <c r="EN195" s="312"/>
      <c r="EO195" s="312"/>
      <c r="EP195" s="312"/>
      <c r="EQ195" s="312"/>
      <c r="ER195" s="312"/>
      <c r="ES195" s="312"/>
      <c r="ET195" s="312"/>
      <c r="EU195" s="312"/>
      <c r="EV195" s="312"/>
      <c r="EW195" s="312"/>
      <c r="EX195" s="312"/>
      <c r="EY195" s="312"/>
      <c r="EZ195" s="312"/>
      <c r="FA195" s="312"/>
      <c r="FB195" s="312"/>
      <c r="FC195" s="312"/>
      <c r="FD195" s="312"/>
      <c r="FE195" s="312"/>
      <c r="FF195" s="312"/>
      <c r="FG195" s="312"/>
      <c r="FH195" s="312"/>
      <c r="FI195" s="312"/>
      <c r="FJ195" s="312"/>
      <c r="FK195" s="312"/>
      <c r="FL195" s="312"/>
      <c r="FM195" s="312"/>
      <c r="FN195" s="312"/>
      <c r="FO195" s="312"/>
      <c r="FP195" s="312"/>
      <c r="FQ195" s="312"/>
      <c r="FR195" s="312"/>
      <c r="FS195" s="312"/>
      <c r="FT195" s="312"/>
      <c r="FU195" s="312"/>
      <c r="FV195" s="312"/>
      <c r="FW195" s="312"/>
      <c r="FX195" s="312"/>
      <c r="FY195" s="312"/>
      <c r="FZ195" s="312"/>
      <c r="GA195" s="312"/>
      <c r="GB195" s="312"/>
      <c r="GC195" s="312"/>
      <c r="GD195" s="312"/>
      <c r="GE195" s="312"/>
      <c r="GF195" s="312"/>
      <c r="GG195" s="312"/>
      <c r="GH195" s="312"/>
      <c r="GI195" s="312"/>
      <c r="GJ195" s="312"/>
      <c r="GK195" s="312"/>
      <c r="GL195" s="312"/>
      <c r="GM195" s="312"/>
      <c r="GN195" s="312"/>
      <c r="GO195" s="312"/>
      <c r="GP195" s="312"/>
      <c r="GQ195" s="312"/>
      <c r="GR195" s="312"/>
      <c r="GS195" s="312"/>
      <c r="GT195" s="312"/>
      <c r="GU195" s="312"/>
      <c r="GV195" s="312"/>
      <c r="GW195" s="312"/>
      <c r="GX195" s="312"/>
      <c r="GY195" s="312"/>
    </row>
    <row r="196" spans="2:207" ht="15.75" x14ac:dyDescent="0.25">
      <c r="B196" s="316">
        <f t="shared" si="39"/>
        <v>166</v>
      </c>
      <c r="C196" s="330">
        <f>'סיכום לוועדה'!B196</f>
        <v>1001349841</v>
      </c>
      <c r="D196" s="330">
        <f>'סיכום לוועדה'!C196</f>
        <v>1001263630</v>
      </c>
      <c r="E196" s="330">
        <f>'סיכום לוועדה'!D196</f>
        <v>40003600</v>
      </c>
      <c r="F196" s="330">
        <f>'סיכום לוועדה'!E196</f>
        <v>20000254</v>
      </c>
      <c r="G196" s="330" t="str">
        <f>'סיכום לוועדה'!F196</f>
        <v>באר שבע</v>
      </c>
      <c r="H196" s="317" t="str">
        <f>'סיכום לוועדה'!G196</f>
        <v>חברת בית יציב ב.ש בע"מ - חברה לתועל</v>
      </c>
      <c r="I196" s="318">
        <f>'סיכום לוועדה'!U196</f>
        <v>3700000</v>
      </c>
      <c r="J196" s="319">
        <f>'סיכום לוועדה'!T196</f>
        <v>1722804.0684584265</v>
      </c>
      <c r="K196" s="320">
        <f t="shared" si="40"/>
        <v>0</v>
      </c>
      <c r="L196" s="319">
        <f t="shared" si="41"/>
        <v>1722804.0684584265</v>
      </c>
      <c r="M196" s="331">
        <f>'תחום תמיכה ב'!AF196</f>
        <v>1.2153091567896941E-2</v>
      </c>
      <c r="N196" s="319">
        <f t="shared" si="38"/>
        <v>1929826.051638922</v>
      </c>
      <c r="O196" s="321">
        <f t="shared" si="42"/>
        <v>0</v>
      </c>
      <c r="P196" s="322">
        <f t="shared" si="43"/>
        <v>1929826.051638922</v>
      </c>
      <c r="Q196" s="322">
        <f t="shared" si="44"/>
        <v>1930704.7524082058</v>
      </c>
      <c r="R196" s="321">
        <f t="shared" si="45"/>
        <v>0</v>
      </c>
      <c r="S196" s="322">
        <f t="shared" si="46"/>
        <v>1930704.7524082058</v>
      </c>
      <c r="T196" s="322">
        <f t="shared" si="47"/>
        <v>1930704.7524082018</v>
      </c>
      <c r="U196" s="321">
        <f t="shared" si="48"/>
        <v>0</v>
      </c>
      <c r="V196" s="322">
        <f t="shared" si="49"/>
        <v>1930704.7524082018</v>
      </c>
      <c r="W196" s="322">
        <f t="shared" si="50"/>
        <v>1930704.7524082027</v>
      </c>
      <c r="X196" s="321">
        <f t="shared" si="51"/>
        <v>0</v>
      </c>
      <c r="Y196" s="322">
        <f t="shared" si="52"/>
        <v>1930704.7524082027</v>
      </c>
      <c r="Z196" s="322">
        <f t="shared" si="53"/>
        <v>1930704.7524082023</v>
      </c>
      <c r="AA196" s="323">
        <f t="shared" si="54"/>
        <v>1930704.7524082023</v>
      </c>
      <c r="AB196" s="323"/>
      <c r="AC196" s="323"/>
      <c r="AD196" s="323"/>
      <c r="AE196" s="323"/>
      <c r="AF196" s="324">
        <f t="shared" si="55"/>
        <v>1.1056728250482354E-2</v>
      </c>
      <c r="AG196" s="312"/>
      <c r="AH196" s="312"/>
      <c r="AI196" s="325">
        <f t="shared" si="56"/>
        <v>1</v>
      </c>
      <c r="AJ196" s="312"/>
      <c r="AK196" s="312"/>
      <c r="AL196" s="312"/>
      <c r="AM196" s="312"/>
      <c r="AN196" s="312"/>
      <c r="AO196" s="312"/>
      <c r="AP196" s="312"/>
      <c r="AQ196" s="312"/>
      <c r="AR196" s="312"/>
      <c r="AS196" s="312"/>
      <c r="AT196" s="312"/>
      <c r="AU196" s="312"/>
      <c r="AV196" s="312"/>
      <c r="AW196" s="312"/>
      <c r="AX196" s="312"/>
      <c r="AY196" s="312"/>
      <c r="AZ196" s="312"/>
      <c r="BA196" s="312"/>
      <c r="BB196" s="312"/>
      <c r="BC196" s="312"/>
      <c r="BD196" s="312"/>
      <c r="BE196" s="312"/>
      <c r="BF196" s="312"/>
      <c r="BG196" s="312"/>
      <c r="BH196" s="312"/>
      <c r="BI196" s="312"/>
      <c r="BJ196" s="312"/>
      <c r="BK196" s="312"/>
      <c r="BL196" s="312"/>
      <c r="BM196" s="312"/>
      <c r="BN196" s="312"/>
      <c r="BO196" s="312"/>
      <c r="BP196" s="312"/>
      <c r="BQ196" s="312"/>
      <c r="BR196" s="312"/>
      <c r="BS196" s="312"/>
      <c r="BT196" s="312"/>
      <c r="BU196" s="312"/>
      <c r="BV196" s="312"/>
      <c r="BW196" s="312"/>
      <c r="BX196" s="312"/>
      <c r="BY196" s="312"/>
      <c r="BZ196" s="312"/>
      <c r="CA196" s="312"/>
      <c r="CB196" s="312"/>
      <c r="CC196" s="312"/>
      <c r="CD196" s="312"/>
      <c r="CE196" s="312"/>
      <c r="CF196" s="312"/>
      <c r="CG196" s="312"/>
      <c r="CH196" s="312"/>
      <c r="CI196" s="312"/>
      <c r="CJ196" s="312"/>
      <c r="CK196" s="312"/>
      <c r="CL196" s="312"/>
      <c r="CM196" s="312"/>
      <c r="CN196" s="312"/>
      <c r="CO196" s="312"/>
      <c r="CP196" s="312"/>
      <c r="CQ196" s="312"/>
      <c r="CR196" s="312"/>
      <c r="CS196" s="312"/>
      <c r="CT196" s="312"/>
      <c r="CU196" s="312"/>
      <c r="CV196" s="312"/>
      <c r="CW196" s="312"/>
      <c r="CX196" s="312"/>
      <c r="CY196" s="312"/>
      <c r="CZ196" s="312"/>
      <c r="DA196" s="312"/>
      <c r="DB196" s="312"/>
      <c r="DC196" s="312"/>
      <c r="DD196" s="312"/>
      <c r="DE196" s="312"/>
      <c r="DF196" s="312"/>
      <c r="DG196" s="312"/>
      <c r="DH196" s="312"/>
      <c r="DI196" s="312"/>
      <c r="DJ196" s="312"/>
      <c r="DK196" s="312"/>
      <c r="DL196" s="312"/>
      <c r="DM196" s="312"/>
      <c r="DN196" s="312"/>
      <c r="DO196" s="312"/>
      <c r="DP196" s="312"/>
      <c r="DQ196" s="312"/>
      <c r="DR196" s="312"/>
      <c r="DS196" s="312"/>
      <c r="DT196" s="312"/>
      <c r="DU196" s="312"/>
      <c r="DV196" s="312"/>
      <c r="DW196" s="312"/>
      <c r="DX196" s="312"/>
      <c r="DY196" s="312"/>
      <c r="DZ196" s="312"/>
      <c r="EA196" s="312"/>
      <c r="EB196" s="312"/>
      <c r="EC196" s="312"/>
      <c r="ED196" s="312"/>
      <c r="EE196" s="312"/>
      <c r="EF196" s="312"/>
      <c r="EG196" s="312"/>
      <c r="EH196" s="312"/>
      <c r="EI196" s="312"/>
      <c r="EJ196" s="312"/>
      <c r="EK196" s="312"/>
      <c r="EL196" s="312"/>
      <c r="EM196" s="312"/>
      <c r="EN196" s="312"/>
      <c r="EO196" s="312"/>
      <c r="EP196" s="312"/>
      <c r="EQ196" s="312"/>
      <c r="ER196" s="312"/>
      <c r="ES196" s="312"/>
      <c r="ET196" s="312"/>
      <c r="EU196" s="312"/>
      <c r="EV196" s="312"/>
      <c r="EW196" s="312"/>
      <c r="EX196" s="312"/>
      <c r="EY196" s="312"/>
      <c r="EZ196" s="312"/>
      <c r="FA196" s="312"/>
      <c r="FB196" s="312"/>
      <c r="FC196" s="312"/>
      <c r="FD196" s="312"/>
      <c r="FE196" s="312"/>
      <c r="FF196" s="312"/>
      <c r="FG196" s="312"/>
      <c r="FH196" s="312"/>
      <c r="FI196" s="312"/>
      <c r="FJ196" s="312"/>
      <c r="FK196" s="312"/>
      <c r="FL196" s="312"/>
      <c r="FM196" s="312"/>
      <c r="FN196" s="312"/>
      <c r="FO196" s="312"/>
      <c r="FP196" s="312"/>
      <c r="FQ196" s="312"/>
      <c r="FR196" s="312"/>
      <c r="FS196" s="312"/>
      <c r="FT196" s="312"/>
      <c r="FU196" s="312"/>
      <c r="FV196" s="312"/>
      <c r="FW196" s="312"/>
      <c r="FX196" s="312"/>
      <c r="FY196" s="312"/>
      <c r="FZ196" s="312"/>
      <c r="GA196" s="312"/>
      <c r="GB196" s="312"/>
      <c r="GC196" s="312"/>
      <c r="GD196" s="312"/>
      <c r="GE196" s="312"/>
      <c r="GF196" s="312"/>
      <c r="GG196" s="312"/>
      <c r="GH196" s="312"/>
      <c r="GI196" s="312"/>
      <c r="GJ196" s="312"/>
      <c r="GK196" s="312"/>
      <c r="GL196" s="312"/>
      <c r="GM196" s="312"/>
      <c r="GN196" s="312"/>
      <c r="GO196" s="312"/>
      <c r="GP196" s="312"/>
      <c r="GQ196" s="312"/>
      <c r="GR196" s="312"/>
      <c r="GS196" s="312"/>
      <c r="GT196" s="312"/>
      <c r="GU196" s="312"/>
      <c r="GV196" s="312"/>
      <c r="GW196" s="312"/>
      <c r="GX196" s="312"/>
      <c r="GY196" s="312"/>
    </row>
    <row r="197" spans="2:207" ht="15.75" x14ac:dyDescent="0.25">
      <c r="B197" s="316">
        <f t="shared" si="39"/>
        <v>167</v>
      </c>
      <c r="C197" s="330">
        <f>'סיכום לוועדה'!B197</f>
        <v>1001346793</v>
      </c>
      <c r="D197" s="330">
        <f>'סיכום לוועדה'!C197</f>
        <v>1001346793</v>
      </c>
      <c r="E197" s="330">
        <f>'סיכום לוועדה'!D197</f>
        <v>40462864</v>
      </c>
      <c r="F197" s="330">
        <f>'סיכום לוועדה'!E197</f>
        <v>20000244</v>
      </c>
      <c r="G197" s="330" t="str">
        <f>'סיכום לוועדה'!F197</f>
        <v>צפת</v>
      </c>
      <c r="H197" s="317" t="str">
        <f>'סיכום לוועדה'!G197</f>
        <v>עמותת כליזמרים - כיתת אומן בצפת (ע"</v>
      </c>
      <c r="I197" s="318">
        <f>'סיכום לוועדה'!U197</f>
        <v>100000</v>
      </c>
      <c r="J197" s="319">
        <f>'סיכום לוועדה'!T197</f>
        <v>70440.08679039916</v>
      </c>
      <c r="K197" s="320">
        <f t="shared" si="40"/>
        <v>0</v>
      </c>
      <c r="L197" s="319">
        <f t="shared" si="41"/>
        <v>70440.08679039916</v>
      </c>
      <c r="M197" s="331">
        <f>'תחום תמיכה ב'!AF197</f>
        <v>4.7253999985378062E-4</v>
      </c>
      <c r="N197" s="319">
        <f t="shared" si="38"/>
        <v>78489.575050674757</v>
      </c>
      <c r="O197" s="321">
        <f t="shared" si="42"/>
        <v>0</v>
      </c>
      <c r="P197" s="322">
        <f t="shared" si="43"/>
        <v>78489.575050674757</v>
      </c>
      <c r="Q197" s="322">
        <f t="shared" si="44"/>
        <v>78525.313427156521</v>
      </c>
      <c r="R197" s="321">
        <f t="shared" si="45"/>
        <v>0</v>
      </c>
      <c r="S197" s="322">
        <f t="shared" si="46"/>
        <v>78525.313427156521</v>
      </c>
      <c r="T197" s="322">
        <f t="shared" si="47"/>
        <v>78525.313427156361</v>
      </c>
      <c r="U197" s="321">
        <f t="shared" si="48"/>
        <v>0</v>
      </c>
      <c r="V197" s="322">
        <f t="shared" si="49"/>
        <v>78525.313427156361</v>
      </c>
      <c r="W197" s="322">
        <f t="shared" si="50"/>
        <v>78525.31342715639</v>
      </c>
      <c r="X197" s="321">
        <f t="shared" si="51"/>
        <v>0</v>
      </c>
      <c r="Y197" s="322">
        <f t="shared" si="52"/>
        <v>78525.31342715639</v>
      </c>
      <c r="Z197" s="322">
        <f t="shared" si="53"/>
        <v>78525.313427156376</v>
      </c>
      <c r="AA197" s="323">
        <f t="shared" si="54"/>
        <v>78525.313427156376</v>
      </c>
      <c r="AB197" s="323"/>
      <c r="AC197" s="323"/>
      <c r="AD197" s="323"/>
      <c r="AE197" s="323"/>
      <c r="AF197" s="324">
        <f t="shared" si="55"/>
        <v>4.496974745957706E-4</v>
      </c>
      <c r="AG197" s="312"/>
      <c r="AH197" s="312"/>
      <c r="AI197" s="325">
        <f t="shared" si="56"/>
        <v>1</v>
      </c>
      <c r="AJ197" s="312"/>
      <c r="AK197" s="312"/>
      <c r="AL197" s="312"/>
      <c r="AM197" s="312"/>
      <c r="AN197" s="312"/>
      <c r="AO197" s="312"/>
      <c r="AP197" s="312"/>
      <c r="AQ197" s="312"/>
      <c r="AR197" s="312"/>
      <c r="AS197" s="312"/>
      <c r="AT197" s="312"/>
      <c r="AU197" s="312"/>
      <c r="AV197" s="312"/>
      <c r="AW197" s="312"/>
      <c r="AX197" s="312"/>
      <c r="AY197" s="312"/>
      <c r="AZ197" s="312"/>
      <c r="BA197" s="312"/>
      <c r="BB197" s="312"/>
      <c r="BC197" s="312"/>
      <c r="BD197" s="312"/>
      <c r="BE197" s="312"/>
      <c r="BF197" s="312"/>
      <c r="BG197" s="312"/>
      <c r="BH197" s="312"/>
      <c r="BI197" s="312"/>
      <c r="BJ197" s="312"/>
      <c r="BK197" s="312"/>
      <c r="BL197" s="312"/>
      <c r="BM197" s="312"/>
      <c r="BN197" s="312"/>
      <c r="BO197" s="312"/>
      <c r="BP197" s="312"/>
      <c r="BQ197" s="312"/>
      <c r="BR197" s="312"/>
      <c r="BS197" s="312"/>
      <c r="BT197" s="312"/>
      <c r="BU197" s="312"/>
      <c r="BV197" s="312"/>
      <c r="BW197" s="312"/>
      <c r="BX197" s="312"/>
      <c r="BY197" s="312"/>
      <c r="BZ197" s="312"/>
      <c r="CA197" s="312"/>
      <c r="CB197" s="312"/>
      <c r="CC197" s="312"/>
      <c r="CD197" s="312"/>
      <c r="CE197" s="312"/>
      <c r="CF197" s="312"/>
      <c r="CG197" s="312"/>
      <c r="CH197" s="312"/>
      <c r="CI197" s="312"/>
      <c r="CJ197" s="312"/>
      <c r="CK197" s="312"/>
      <c r="CL197" s="312"/>
      <c r="CM197" s="312"/>
      <c r="CN197" s="312"/>
      <c r="CO197" s="312"/>
      <c r="CP197" s="312"/>
      <c r="CQ197" s="312"/>
      <c r="CR197" s="312"/>
      <c r="CS197" s="312"/>
      <c r="CT197" s="312"/>
      <c r="CU197" s="312"/>
      <c r="CV197" s="312"/>
      <c r="CW197" s="312"/>
      <c r="CX197" s="312"/>
      <c r="CY197" s="312"/>
      <c r="CZ197" s="312"/>
      <c r="DA197" s="312"/>
      <c r="DB197" s="312"/>
      <c r="DC197" s="312"/>
      <c r="DD197" s="312"/>
      <c r="DE197" s="312"/>
      <c r="DF197" s="312"/>
      <c r="DG197" s="312"/>
      <c r="DH197" s="312"/>
      <c r="DI197" s="312"/>
      <c r="DJ197" s="312"/>
      <c r="DK197" s="312"/>
      <c r="DL197" s="312"/>
      <c r="DM197" s="312"/>
      <c r="DN197" s="312"/>
      <c r="DO197" s="312"/>
      <c r="DP197" s="312"/>
      <c r="DQ197" s="312"/>
      <c r="DR197" s="312"/>
      <c r="DS197" s="312"/>
      <c r="DT197" s="312"/>
      <c r="DU197" s="312"/>
      <c r="DV197" s="312"/>
      <c r="DW197" s="312"/>
      <c r="DX197" s="312"/>
      <c r="DY197" s="312"/>
      <c r="DZ197" s="312"/>
      <c r="EA197" s="312"/>
      <c r="EB197" s="312"/>
      <c r="EC197" s="312"/>
      <c r="ED197" s="312"/>
      <c r="EE197" s="312"/>
      <c r="EF197" s="312"/>
      <c r="EG197" s="312"/>
      <c r="EH197" s="312"/>
      <c r="EI197" s="312"/>
      <c r="EJ197" s="312"/>
      <c r="EK197" s="312"/>
      <c r="EL197" s="312"/>
      <c r="EM197" s="312"/>
      <c r="EN197" s="312"/>
      <c r="EO197" s="312"/>
      <c r="EP197" s="312"/>
      <c r="EQ197" s="312"/>
      <c r="ER197" s="312"/>
      <c r="ES197" s="312"/>
      <c r="ET197" s="312"/>
      <c r="EU197" s="312"/>
      <c r="EV197" s="312"/>
      <c r="EW197" s="312"/>
      <c r="EX197" s="312"/>
      <c r="EY197" s="312"/>
      <c r="EZ197" s="312"/>
      <c r="FA197" s="312"/>
      <c r="FB197" s="312"/>
      <c r="FC197" s="312"/>
      <c r="FD197" s="312"/>
      <c r="FE197" s="312"/>
      <c r="FF197" s="312"/>
      <c r="FG197" s="312"/>
      <c r="FH197" s="312"/>
      <c r="FI197" s="312"/>
      <c r="FJ197" s="312"/>
      <c r="FK197" s="312"/>
      <c r="FL197" s="312"/>
      <c r="FM197" s="312"/>
      <c r="FN197" s="312"/>
      <c r="FO197" s="312"/>
      <c r="FP197" s="312"/>
      <c r="FQ197" s="312"/>
      <c r="FR197" s="312"/>
      <c r="FS197" s="312"/>
      <c r="FT197" s="312"/>
      <c r="FU197" s="312"/>
      <c r="FV197" s="312"/>
      <c r="FW197" s="312"/>
      <c r="FX197" s="312"/>
      <c r="FY197" s="312"/>
      <c r="FZ197" s="312"/>
      <c r="GA197" s="312"/>
      <c r="GB197" s="312"/>
      <c r="GC197" s="312"/>
      <c r="GD197" s="312"/>
      <c r="GE197" s="312"/>
      <c r="GF197" s="312"/>
      <c r="GG197" s="312"/>
      <c r="GH197" s="312"/>
      <c r="GI197" s="312"/>
      <c r="GJ197" s="312"/>
      <c r="GK197" s="312"/>
      <c r="GL197" s="312"/>
      <c r="GM197" s="312"/>
      <c r="GN197" s="312"/>
      <c r="GO197" s="312"/>
      <c r="GP197" s="312"/>
      <c r="GQ197" s="312"/>
      <c r="GR197" s="312"/>
      <c r="GS197" s="312"/>
      <c r="GT197" s="312"/>
      <c r="GU197" s="312"/>
      <c r="GV197" s="312"/>
      <c r="GW197" s="312"/>
      <c r="GX197" s="312"/>
      <c r="GY197" s="312"/>
    </row>
    <row r="198" spans="2:207" ht="15.75" x14ac:dyDescent="0.25">
      <c r="B198" s="316">
        <f t="shared" si="39"/>
        <v>168</v>
      </c>
      <c r="C198" s="330">
        <f>'סיכום לוועדה'!B198</f>
        <v>1001350197</v>
      </c>
      <c r="D198" s="330">
        <f>'סיכום לוועדה'!C198</f>
        <v>1001280236</v>
      </c>
      <c r="E198" s="330">
        <f>'סיכום לוועדה'!D198</f>
        <v>40384701</v>
      </c>
      <c r="F198" s="330">
        <f>'סיכום לוועדה'!E198</f>
        <v>20000201</v>
      </c>
      <c r="G198" s="330" t="str">
        <f>'סיכום לוועדה'!F198</f>
        <v>תל אביב -יפו</v>
      </c>
      <c r="H198" s="317" t="str">
        <f>'סיכום לוועדה'!G198</f>
        <v>תזמורת המהפכה (ע"ר)</v>
      </c>
      <c r="I198" s="318">
        <f>'סיכום לוועדה'!U198</f>
        <v>147328</v>
      </c>
      <c r="J198" s="319">
        <f>'סיכום לוועדה'!T198</f>
        <v>200137.64127937873</v>
      </c>
      <c r="K198" s="320">
        <f t="shared" si="40"/>
        <v>1</v>
      </c>
      <c r="L198" s="319">
        <f t="shared" si="41"/>
        <v>147328</v>
      </c>
      <c r="M198" s="331">
        <f>'תחום תמיכה ב'!AF198</f>
        <v>1.0190084311358064E-3</v>
      </c>
      <c r="N198" s="319">
        <f t="shared" si="38"/>
        <v>147328</v>
      </c>
      <c r="O198" s="321">
        <f t="shared" si="42"/>
        <v>1</v>
      </c>
      <c r="P198" s="322">
        <f t="shared" si="43"/>
        <v>147328</v>
      </c>
      <c r="Q198" s="322">
        <f t="shared" si="44"/>
        <v>147328</v>
      </c>
      <c r="R198" s="321">
        <f t="shared" si="45"/>
        <v>1</v>
      </c>
      <c r="S198" s="322">
        <f t="shared" si="46"/>
        <v>147328</v>
      </c>
      <c r="T198" s="322">
        <f t="shared" si="47"/>
        <v>147328</v>
      </c>
      <c r="U198" s="321">
        <f t="shared" si="48"/>
        <v>1</v>
      </c>
      <c r="V198" s="322">
        <f t="shared" si="49"/>
        <v>147328</v>
      </c>
      <c r="W198" s="322">
        <f t="shared" si="50"/>
        <v>147328</v>
      </c>
      <c r="X198" s="321">
        <f t="shared" si="51"/>
        <v>1</v>
      </c>
      <c r="Y198" s="322">
        <f t="shared" si="52"/>
        <v>147328</v>
      </c>
      <c r="Z198" s="322">
        <f t="shared" si="53"/>
        <v>147328</v>
      </c>
      <c r="AA198" s="323">
        <f t="shared" si="54"/>
        <v>147328</v>
      </c>
      <c r="AB198" s="323"/>
      <c r="AC198" s="323"/>
      <c r="AD198" s="323"/>
      <c r="AE198" s="323"/>
      <c r="AF198" s="324">
        <f t="shared" si="55"/>
        <v>8.4371556948581927E-4</v>
      </c>
      <c r="AG198" s="312"/>
      <c r="AH198" s="312"/>
      <c r="AI198" s="325">
        <f t="shared" si="56"/>
        <v>1</v>
      </c>
      <c r="AJ198" s="312"/>
      <c r="AK198" s="312"/>
      <c r="AL198" s="312"/>
      <c r="AM198" s="312"/>
      <c r="AN198" s="312"/>
      <c r="AO198" s="312"/>
      <c r="AP198" s="312"/>
      <c r="AQ198" s="312"/>
      <c r="AR198" s="312"/>
      <c r="AS198" s="312"/>
      <c r="AT198" s="312"/>
      <c r="AU198" s="312"/>
      <c r="AV198" s="312"/>
      <c r="AW198" s="312"/>
      <c r="AX198" s="312"/>
      <c r="AY198" s="312"/>
      <c r="AZ198" s="312"/>
      <c r="BA198" s="312"/>
      <c r="BB198" s="312"/>
      <c r="BC198" s="312"/>
      <c r="BD198" s="312"/>
      <c r="BE198" s="312"/>
      <c r="BF198" s="312"/>
      <c r="BG198" s="312"/>
      <c r="BH198" s="312"/>
      <c r="BI198" s="312"/>
      <c r="BJ198" s="312"/>
      <c r="BK198" s="312"/>
      <c r="BL198" s="312"/>
      <c r="BM198" s="312"/>
      <c r="BN198" s="312"/>
      <c r="BO198" s="312"/>
      <c r="BP198" s="312"/>
      <c r="BQ198" s="312"/>
      <c r="BR198" s="312"/>
      <c r="BS198" s="312"/>
      <c r="BT198" s="312"/>
      <c r="BU198" s="312"/>
      <c r="BV198" s="312"/>
      <c r="BW198" s="312"/>
      <c r="BX198" s="312"/>
      <c r="BY198" s="312"/>
      <c r="BZ198" s="312"/>
      <c r="CA198" s="312"/>
      <c r="CB198" s="312"/>
      <c r="CC198" s="312"/>
      <c r="CD198" s="312"/>
      <c r="CE198" s="312"/>
      <c r="CF198" s="312"/>
      <c r="CG198" s="312"/>
      <c r="CH198" s="312"/>
      <c r="CI198" s="312"/>
      <c r="CJ198" s="312"/>
      <c r="CK198" s="312"/>
      <c r="CL198" s="312"/>
      <c r="CM198" s="312"/>
      <c r="CN198" s="312"/>
      <c r="CO198" s="312"/>
      <c r="CP198" s="312"/>
      <c r="CQ198" s="312"/>
      <c r="CR198" s="312"/>
      <c r="CS198" s="312"/>
      <c r="CT198" s="312"/>
      <c r="CU198" s="312"/>
      <c r="CV198" s="312"/>
      <c r="CW198" s="312"/>
      <c r="CX198" s="312"/>
      <c r="CY198" s="312"/>
      <c r="CZ198" s="312"/>
      <c r="DA198" s="312"/>
      <c r="DB198" s="312"/>
      <c r="DC198" s="312"/>
      <c r="DD198" s="312"/>
      <c r="DE198" s="312"/>
      <c r="DF198" s="312"/>
      <c r="DG198" s="312"/>
      <c r="DH198" s="312"/>
      <c r="DI198" s="312"/>
      <c r="DJ198" s="312"/>
      <c r="DK198" s="312"/>
      <c r="DL198" s="312"/>
      <c r="DM198" s="312"/>
      <c r="DN198" s="312"/>
      <c r="DO198" s="312"/>
      <c r="DP198" s="312"/>
      <c r="DQ198" s="312"/>
      <c r="DR198" s="312"/>
      <c r="DS198" s="312"/>
      <c r="DT198" s="312"/>
      <c r="DU198" s="312"/>
      <c r="DV198" s="312"/>
      <c r="DW198" s="312"/>
      <c r="DX198" s="312"/>
      <c r="DY198" s="312"/>
      <c r="DZ198" s="312"/>
      <c r="EA198" s="312"/>
      <c r="EB198" s="312"/>
      <c r="EC198" s="312"/>
      <c r="ED198" s="312"/>
      <c r="EE198" s="312"/>
      <c r="EF198" s="312"/>
      <c r="EG198" s="312"/>
      <c r="EH198" s="312"/>
      <c r="EI198" s="312"/>
      <c r="EJ198" s="312"/>
      <c r="EK198" s="312"/>
      <c r="EL198" s="312"/>
      <c r="EM198" s="312"/>
      <c r="EN198" s="312"/>
      <c r="EO198" s="312"/>
      <c r="EP198" s="312"/>
      <c r="EQ198" s="312"/>
      <c r="ER198" s="312"/>
      <c r="ES198" s="312"/>
      <c r="ET198" s="312"/>
      <c r="EU198" s="312"/>
      <c r="EV198" s="312"/>
      <c r="EW198" s="312"/>
      <c r="EX198" s="312"/>
      <c r="EY198" s="312"/>
      <c r="EZ198" s="312"/>
      <c r="FA198" s="312"/>
      <c r="FB198" s="312"/>
      <c r="FC198" s="312"/>
      <c r="FD198" s="312"/>
      <c r="FE198" s="312"/>
      <c r="FF198" s="312"/>
      <c r="FG198" s="312"/>
      <c r="FH198" s="312"/>
      <c r="FI198" s="312"/>
      <c r="FJ198" s="312"/>
      <c r="FK198" s="312"/>
      <c r="FL198" s="312"/>
      <c r="FM198" s="312"/>
      <c r="FN198" s="312"/>
      <c r="FO198" s="312"/>
      <c r="FP198" s="312"/>
      <c r="FQ198" s="312"/>
      <c r="FR198" s="312"/>
      <c r="FS198" s="312"/>
      <c r="FT198" s="312"/>
      <c r="FU198" s="312"/>
      <c r="FV198" s="312"/>
      <c r="FW198" s="312"/>
      <c r="FX198" s="312"/>
      <c r="FY198" s="312"/>
      <c r="FZ198" s="312"/>
      <c r="GA198" s="312"/>
      <c r="GB198" s="312"/>
      <c r="GC198" s="312"/>
      <c r="GD198" s="312"/>
      <c r="GE198" s="312"/>
      <c r="GF198" s="312"/>
      <c r="GG198" s="312"/>
      <c r="GH198" s="312"/>
      <c r="GI198" s="312"/>
      <c r="GJ198" s="312"/>
      <c r="GK198" s="312"/>
      <c r="GL198" s="312"/>
      <c r="GM198" s="312"/>
      <c r="GN198" s="312"/>
      <c r="GO198" s="312"/>
      <c r="GP198" s="312"/>
      <c r="GQ198" s="312"/>
      <c r="GR198" s="312"/>
      <c r="GS198" s="312"/>
      <c r="GT198" s="312"/>
      <c r="GU198" s="312"/>
      <c r="GV198" s="312"/>
      <c r="GW198" s="312"/>
      <c r="GX198" s="312"/>
      <c r="GY198" s="312"/>
    </row>
    <row r="199" spans="2:207" ht="15.75" x14ac:dyDescent="0.25">
      <c r="B199" s="316">
        <f t="shared" si="39"/>
        <v>169</v>
      </c>
      <c r="C199" s="330">
        <f>'סיכום לוועדה'!B199</f>
        <v>1001350703</v>
      </c>
      <c r="D199" s="330">
        <f>'סיכום לוועדה'!C199</f>
        <v>1001279377</v>
      </c>
      <c r="E199" s="330">
        <f>'סיכום לוועדה'!D199</f>
        <v>40000394</v>
      </c>
      <c r="F199" s="330">
        <f>'סיכום לוועדה'!E199</f>
        <v>20000159</v>
      </c>
      <c r="G199" s="330" t="str">
        <f>'סיכום לוועדה'!F199</f>
        <v>ירושלים</v>
      </c>
      <c r="H199" s="317" t="str">
        <f>'סיכום לוועדה'!G199</f>
        <v>להקת קולבן דאנס</v>
      </c>
      <c r="I199" s="318">
        <f>'סיכום לוועדה'!U199</f>
        <v>1000000</v>
      </c>
      <c r="J199" s="319">
        <f>'סיכום לוועדה'!T199</f>
        <v>127598.8301915086</v>
      </c>
      <c r="K199" s="320">
        <f t="shared" si="40"/>
        <v>0</v>
      </c>
      <c r="L199" s="319">
        <f t="shared" si="41"/>
        <v>127598.8301915086</v>
      </c>
      <c r="M199" s="331">
        <f>'תחום תמיכה ב'!AF199</f>
        <v>5.1563755230622256E-4</v>
      </c>
      <c r="N199" s="319">
        <f t="shared" si="38"/>
        <v>136382.46422276631</v>
      </c>
      <c r="O199" s="321">
        <f t="shared" si="42"/>
        <v>0</v>
      </c>
      <c r="P199" s="322">
        <f t="shared" si="43"/>
        <v>136382.46422276631</v>
      </c>
      <c r="Q199" s="322">
        <f t="shared" si="44"/>
        <v>136444.56276067733</v>
      </c>
      <c r="R199" s="321">
        <f t="shared" si="45"/>
        <v>0</v>
      </c>
      <c r="S199" s="322">
        <f t="shared" si="46"/>
        <v>136444.56276067733</v>
      </c>
      <c r="T199" s="322">
        <f t="shared" si="47"/>
        <v>136444.56276067707</v>
      </c>
      <c r="U199" s="321">
        <f t="shared" si="48"/>
        <v>0</v>
      </c>
      <c r="V199" s="322">
        <f t="shared" si="49"/>
        <v>136444.56276067707</v>
      </c>
      <c r="W199" s="322">
        <f t="shared" si="50"/>
        <v>136444.56276067713</v>
      </c>
      <c r="X199" s="321">
        <f t="shared" si="51"/>
        <v>0</v>
      </c>
      <c r="Y199" s="322">
        <f t="shared" si="52"/>
        <v>136444.56276067713</v>
      </c>
      <c r="Z199" s="322">
        <f t="shared" si="53"/>
        <v>136444.5627606771</v>
      </c>
      <c r="AA199" s="323">
        <f t="shared" si="54"/>
        <v>136444.5627606771</v>
      </c>
      <c r="AB199" s="323"/>
      <c r="AC199" s="323"/>
      <c r="AD199" s="323"/>
      <c r="AE199" s="323"/>
      <c r="AF199" s="324">
        <f t="shared" si="55"/>
        <v>7.8138847994181887E-4</v>
      </c>
      <c r="AG199" s="312"/>
      <c r="AH199" s="312"/>
      <c r="AI199" s="325">
        <f t="shared" si="56"/>
        <v>1</v>
      </c>
      <c r="AJ199" s="312"/>
      <c r="AK199" s="312"/>
      <c r="AL199" s="312"/>
      <c r="AM199" s="312"/>
      <c r="AN199" s="312"/>
      <c r="AO199" s="312"/>
      <c r="AP199" s="312"/>
      <c r="AQ199" s="312"/>
      <c r="AR199" s="312"/>
      <c r="AS199" s="312"/>
      <c r="AT199" s="312"/>
      <c r="AU199" s="312"/>
      <c r="AV199" s="312"/>
      <c r="AW199" s="312"/>
      <c r="AX199" s="312"/>
      <c r="AY199" s="312"/>
      <c r="AZ199" s="312"/>
      <c r="BA199" s="312"/>
      <c r="BB199" s="312"/>
      <c r="BC199" s="312"/>
      <c r="BD199" s="312"/>
      <c r="BE199" s="312"/>
      <c r="BF199" s="312"/>
      <c r="BG199" s="312"/>
      <c r="BH199" s="312"/>
      <c r="BI199" s="312"/>
      <c r="BJ199" s="312"/>
      <c r="BK199" s="312"/>
      <c r="BL199" s="312"/>
      <c r="BM199" s="312"/>
      <c r="BN199" s="312"/>
      <c r="BO199" s="312"/>
      <c r="BP199" s="312"/>
      <c r="BQ199" s="312"/>
      <c r="BR199" s="312"/>
      <c r="BS199" s="312"/>
      <c r="BT199" s="312"/>
      <c r="BU199" s="312"/>
      <c r="BV199" s="312"/>
      <c r="BW199" s="312"/>
      <c r="BX199" s="312"/>
      <c r="BY199" s="312"/>
      <c r="BZ199" s="312"/>
      <c r="CA199" s="312"/>
      <c r="CB199" s="312"/>
      <c r="CC199" s="312"/>
      <c r="CD199" s="312"/>
      <c r="CE199" s="312"/>
      <c r="CF199" s="312"/>
      <c r="CG199" s="312"/>
      <c r="CH199" s="312"/>
      <c r="CI199" s="312"/>
      <c r="CJ199" s="312"/>
      <c r="CK199" s="312"/>
      <c r="CL199" s="312"/>
      <c r="CM199" s="312"/>
      <c r="CN199" s="312"/>
      <c r="CO199" s="312"/>
      <c r="CP199" s="312"/>
      <c r="CQ199" s="312"/>
      <c r="CR199" s="312"/>
      <c r="CS199" s="312"/>
      <c r="CT199" s="312"/>
      <c r="CU199" s="312"/>
      <c r="CV199" s="312"/>
      <c r="CW199" s="312"/>
      <c r="CX199" s="312"/>
      <c r="CY199" s="312"/>
      <c r="CZ199" s="312"/>
      <c r="DA199" s="312"/>
      <c r="DB199" s="312"/>
      <c r="DC199" s="312"/>
      <c r="DD199" s="312"/>
      <c r="DE199" s="312"/>
      <c r="DF199" s="312"/>
      <c r="DG199" s="312"/>
      <c r="DH199" s="312"/>
      <c r="DI199" s="312"/>
      <c r="DJ199" s="312"/>
      <c r="DK199" s="312"/>
      <c r="DL199" s="312"/>
      <c r="DM199" s="312"/>
      <c r="DN199" s="312"/>
      <c r="DO199" s="312"/>
      <c r="DP199" s="312"/>
      <c r="DQ199" s="312"/>
      <c r="DR199" s="312"/>
      <c r="DS199" s="312"/>
      <c r="DT199" s="312"/>
      <c r="DU199" s="312"/>
      <c r="DV199" s="312"/>
      <c r="DW199" s="312"/>
      <c r="DX199" s="312"/>
      <c r="DY199" s="312"/>
      <c r="DZ199" s="312"/>
      <c r="EA199" s="312"/>
      <c r="EB199" s="312"/>
      <c r="EC199" s="312"/>
      <c r="ED199" s="312"/>
      <c r="EE199" s="312"/>
      <c r="EF199" s="312"/>
      <c r="EG199" s="312"/>
      <c r="EH199" s="312"/>
      <c r="EI199" s="312"/>
      <c r="EJ199" s="312"/>
      <c r="EK199" s="312"/>
      <c r="EL199" s="312"/>
      <c r="EM199" s="312"/>
      <c r="EN199" s="312"/>
      <c r="EO199" s="312"/>
      <c r="EP199" s="312"/>
      <c r="EQ199" s="312"/>
      <c r="ER199" s="312"/>
      <c r="ES199" s="312"/>
      <c r="ET199" s="312"/>
      <c r="EU199" s="312"/>
      <c r="EV199" s="312"/>
      <c r="EW199" s="312"/>
      <c r="EX199" s="312"/>
      <c r="EY199" s="312"/>
      <c r="EZ199" s="312"/>
      <c r="FA199" s="312"/>
      <c r="FB199" s="312"/>
      <c r="FC199" s="312"/>
      <c r="FD199" s="312"/>
      <c r="FE199" s="312"/>
      <c r="FF199" s="312"/>
      <c r="FG199" s="312"/>
      <c r="FH199" s="312"/>
      <c r="FI199" s="312"/>
      <c r="FJ199" s="312"/>
      <c r="FK199" s="312"/>
      <c r="FL199" s="312"/>
      <c r="FM199" s="312"/>
      <c r="FN199" s="312"/>
      <c r="FO199" s="312"/>
      <c r="FP199" s="312"/>
      <c r="FQ199" s="312"/>
      <c r="FR199" s="312"/>
      <c r="FS199" s="312"/>
      <c r="FT199" s="312"/>
      <c r="FU199" s="312"/>
      <c r="FV199" s="312"/>
      <c r="FW199" s="312"/>
      <c r="FX199" s="312"/>
      <c r="FY199" s="312"/>
      <c r="FZ199" s="312"/>
      <c r="GA199" s="312"/>
      <c r="GB199" s="312"/>
      <c r="GC199" s="312"/>
      <c r="GD199" s="312"/>
      <c r="GE199" s="312"/>
      <c r="GF199" s="312"/>
      <c r="GG199" s="312"/>
      <c r="GH199" s="312"/>
      <c r="GI199" s="312"/>
      <c r="GJ199" s="312"/>
      <c r="GK199" s="312"/>
      <c r="GL199" s="312"/>
      <c r="GM199" s="312"/>
      <c r="GN199" s="312"/>
      <c r="GO199" s="312"/>
      <c r="GP199" s="312"/>
      <c r="GQ199" s="312"/>
      <c r="GR199" s="312"/>
      <c r="GS199" s="312"/>
      <c r="GT199" s="312"/>
      <c r="GU199" s="312"/>
      <c r="GV199" s="312"/>
      <c r="GW199" s="312"/>
      <c r="GX199" s="312"/>
      <c r="GY199" s="312"/>
    </row>
    <row r="200" spans="2:207" ht="15.75" x14ac:dyDescent="0.25">
      <c r="B200" s="316">
        <f t="shared" si="39"/>
        <v>170</v>
      </c>
      <c r="C200" s="330">
        <f>'סיכום לוועדה'!B200</f>
        <v>1001346528</v>
      </c>
      <c r="D200" s="330">
        <f>'סיכום לוועדה'!C200</f>
        <v>1001266833</v>
      </c>
      <c r="E200" s="330">
        <f>'סיכום לוועדה'!D200</f>
        <v>40318159</v>
      </c>
      <c r="F200" s="330">
        <f>'סיכום לוועדה'!E200</f>
        <v>20000154</v>
      </c>
      <c r="G200" s="330" t="str">
        <f>'סיכום לוועדה'!F200</f>
        <v>אום אל-פחם</v>
      </c>
      <c r="H200" s="317" t="str">
        <f>'סיכום לוועדה'!G200</f>
        <v>אלמיאדין תאטרון א.א. פחם</v>
      </c>
      <c r="I200" s="318">
        <f>'סיכום לוועדה'!U200</f>
        <v>520000</v>
      </c>
      <c r="J200" s="319">
        <f>'סיכום לוועדה'!T200</f>
        <v>87682.548379118292</v>
      </c>
      <c r="K200" s="320">
        <f t="shared" si="40"/>
        <v>0</v>
      </c>
      <c r="L200" s="319">
        <f t="shared" si="41"/>
        <v>87682.548379118292</v>
      </c>
      <c r="M200" s="331">
        <f>'תחום תמיכה ב'!AF200</f>
        <v>6.4950598433645933E-4</v>
      </c>
      <c r="N200" s="319">
        <f t="shared" si="38"/>
        <v>98746.565811532157</v>
      </c>
      <c r="O200" s="321">
        <f t="shared" si="42"/>
        <v>0</v>
      </c>
      <c r="P200" s="322">
        <f t="shared" si="43"/>
        <v>98746.565811532157</v>
      </c>
      <c r="Q200" s="322">
        <f t="shared" si="44"/>
        <v>98791.527730907765</v>
      </c>
      <c r="R200" s="321">
        <f t="shared" si="45"/>
        <v>0</v>
      </c>
      <c r="S200" s="322">
        <f t="shared" si="46"/>
        <v>98791.527730907765</v>
      </c>
      <c r="T200" s="322">
        <f t="shared" si="47"/>
        <v>98791.527730907575</v>
      </c>
      <c r="U200" s="321">
        <f t="shared" si="48"/>
        <v>0</v>
      </c>
      <c r="V200" s="322">
        <f t="shared" si="49"/>
        <v>98791.527730907575</v>
      </c>
      <c r="W200" s="322">
        <f t="shared" si="50"/>
        <v>98791.527730907605</v>
      </c>
      <c r="X200" s="321">
        <f t="shared" si="51"/>
        <v>0</v>
      </c>
      <c r="Y200" s="322">
        <f t="shared" si="52"/>
        <v>98791.527730907605</v>
      </c>
      <c r="Z200" s="322">
        <f t="shared" si="53"/>
        <v>98791.52773090759</v>
      </c>
      <c r="AA200" s="323">
        <f t="shared" si="54"/>
        <v>98791.52773090759</v>
      </c>
      <c r="AB200" s="323"/>
      <c r="AC200" s="323"/>
      <c r="AD200" s="323"/>
      <c r="AE200" s="323"/>
      <c r="AF200" s="324">
        <f t="shared" si="55"/>
        <v>5.6575769765324177E-4</v>
      </c>
      <c r="AG200" s="312"/>
      <c r="AH200" s="312"/>
      <c r="AI200" s="325">
        <f t="shared" si="56"/>
        <v>1</v>
      </c>
      <c r="AJ200" s="312"/>
      <c r="AK200" s="312"/>
      <c r="AL200" s="312"/>
      <c r="AM200" s="312"/>
      <c r="AN200" s="312"/>
      <c r="AO200" s="312"/>
      <c r="AP200" s="312"/>
      <c r="AQ200" s="312"/>
      <c r="AR200" s="312"/>
      <c r="AS200" s="312"/>
      <c r="AT200" s="312"/>
      <c r="AU200" s="312"/>
      <c r="AV200" s="312"/>
      <c r="AW200" s="312"/>
      <c r="AX200" s="312"/>
      <c r="AY200" s="312"/>
      <c r="AZ200" s="312"/>
      <c r="BA200" s="312"/>
      <c r="BB200" s="312"/>
      <c r="BC200" s="312"/>
      <c r="BD200" s="312"/>
      <c r="BE200" s="312"/>
      <c r="BF200" s="312"/>
      <c r="BG200" s="312"/>
      <c r="BH200" s="312"/>
      <c r="BI200" s="312"/>
      <c r="BJ200" s="312"/>
      <c r="BK200" s="312"/>
      <c r="BL200" s="312"/>
      <c r="BM200" s="312"/>
      <c r="BN200" s="312"/>
      <c r="BO200" s="312"/>
      <c r="BP200" s="312"/>
      <c r="BQ200" s="312"/>
      <c r="BR200" s="312"/>
      <c r="BS200" s="312"/>
      <c r="BT200" s="312"/>
      <c r="BU200" s="312"/>
      <c r="BV200" s="312"/>
      <c r="BW200" s="312"/>
      <c r="BX200" s="312"/>
      <c r="BY200" s="312"/>
      <c r="BZ200" s="312"/>
      <c r="CA200" s="312"/>
      <c r="CB200" s="312"/>
      <c r="CC200" s="312"/>
      <c r="CD200" s="312"/>
      <c r="CE200" s="312"/>
      <c r="CF200" s="312"/>
      <c r="CG200" s="312"/>
      <c r="CH200" s="312"/>
      <c r="CI200" s="312"/>
      <c r="CJ200" s="312"/>
      <c r="CK200" s="312"/>
      <c r="CL200" s="312"/>
      <c r="CM200" s="312"/>
      <c r="CN200" s="312"/>
      <c r="CO200" s="312"/>
      <c r="CP200" s="312"/>
      <c r="CQ200" s="312"/>
      <c r="CR200" s="312"/>
      <c r="CS200" s="312"/>
      <c r="CT200" s="312"/>
      <c r="CU200" s="312"/>
      <c r="CV200" s="312"/>
      <c r="CW200" s="312"/>
      <c r="CX200" s="312"/>
      <c r="CY200" s="312"/>
      <c r="CZ200" s="312"/>
      <c r="DA200" s="312"/>
      <c r="DB200" s="312"/>
      <c r="DC200" s="312"/>
      <c r="DD200" s="312"/>
      <c r="DE200" s="312"/>
      <c r="DF200" s="312"/>
      <c r="DG200" s="312"/>
      <c r="DH200" s="312"/>
      <c r="DI200" s="312"/>
      <c r="DJ200" s="312"/>
      <c r="DK200" s="312"/>
      <c r="DL200" s="312"/>
      <c r="DM200" s="312"/>
      <c r="DN200" s="312"/>
      <c r="DO200" s="312"/>
      <c r="DP200" s="312"/>
      <c r="DQ200" s="312"/>
      <c r="DR200" s="312"/>
      <c r="DS200" s="312"/>
      <c r="DT200" s="312"/>
      <c r="DU200" s="312"/>
      <c r="DV200" s="312"/>
      <c r="DW200" s="312"/>
      <c r="DX200" s="312"/>
      <c r="DY200" s="312"/>
      <c r="DZ200" s="312"/>
      <c r="EA200" s="312"/>
      <c r="EB200" s="312"/>
      <c r="EC200" s="312"/>
      <c r="ED200" s="312"/>
      <c r="EE200" s="312"/>
      <c r="EF200" s="312"/>
      <c r="EG200" s="312"/>
      <c r="EH200" s="312"/>
      <c r="EI200" s="312"/>
      <c r="EJ200" s="312"/>
      <c r="EK200" s="312"/>
      <c r="EL200" s="312"/>
      <c r="EM200" s="312"/>
      <c r="EN200" s="312"/>
      <c r="EO200" s="312"/>
      <c r="EP200" s="312"/>
      <c r="EQ200" s="312"/>
      <c r="ER200" s="312"/>
      <c r="ES200" s="312"/>
      <c r="ET200" s="312"/>
      <c r="EU200" s="312"/>
      <c r="EV200" s="312"/>
      <c r="EW200" s="312"/>
      <c r="EX200" s="312"/>
      <c r="EY200" s="312"/>
      <c r="EZ200" s="312"/>
      <c r="FA200" s="312"/>
      <c r="FB200" s="312"/>
      <c r="FC200" s="312"/>
      <c r="FD200" s="312"/>
      <c r="FE200" s="312"/>
      <c r="FF200" s="312"/>
      <c r="FG200" s="312"/>
      <c r="FH200" s="312"/>
      <c r="FI200" s="312"/>
      <c r="FJ200" s="312"/>
      <c r="FK200" s="312"/>
      <c r="FL200" s="312"/>
      <c r="FM200" s="312"/>
      <c r="FN200" s="312"/>
      <c r="FO200" s="312"/>
      <c r="FP200" s="312"/>
      <c r="FQ200" s="312"/>
      <c r="FR200" s="312"/>
      <c r="FS200" s="312"/>
      <c r="FT200" s="312"/>
      <c r="FU200" s="312"/>
      <c r="FV200" s="312"/>
      <c r="FW200" s="312"/>
      <c r="FX200" s="312"/>
      <c r="FY200" s="312"/>
      <c r="FZ200" s="312"/>
      <c r="GA200" s="312"/>
      <c r="GB200" s="312"/>
      <c r="GC200" s="312"/>
      <c r="GD200" s="312"/>
      <c r="GE200" s="312"/>
      <c r="GF200" s="312"/>
      <c r="GG200" s="312"/>
      <c r="GH200" s="312"/>
      <c r="GI200" s="312"/>
      <c r="GJ200" s="312"/>
      <c r="GK200" s="312"/>
      <c r="GL200" s="312"/>
      <c r="GM200" s="312"/>
      <c r="GN200" s="312"/>
      <c r="GO200" s="312"/>
      <c r="GP200" s="312"/>
      <c r="GQ200" s="312"/>
      <c r="GR200" s="312"/>
      <c r="GS200" s="312"/>
      <c r="GT200" s="312"/>
      <c r="GU200" s="312"/>
      <c r="GV200" s="312"/>
      <c r="GW200" s="312"/>
      <c r="GX200" s="312"/>
      <c r="GY200" s="312"/>
    </row>
    <row r="201" spans="2:207" ht="15.75" x14ac:dyDescent="0.25">
      <c r="B201" s="316">
        <f t="shared" si="39"/>
        <v>171</v>
      </c>
      <c r="C201" s="330">
        <f>'סיכום לוועדה'!B201</f>
        <v>1001349724</v>
      </c>
      <c r="D201" s="330">
        <f>'סיכום לוועדה'!C201</f>
        <v>1001269669</v>
      </c>
      <c r="E201" s="330">
        <f>'סיכום לוועדה'!D201</f>
        <v>40461779</v>
      </c>
      <c r="F201" s="330">
        <f>'סיכום לוועדה'!E201</f>
        <v>20000222</v>
      </c>
      <c r="G201" s="330" t="str">
        <f>'סיכום לוועדה'!F201</f>
        <v>הרצלייה</v>
      </c>
      <c r="H201" s="317" t="str">
        <f>'סיכום לוועדה'!G201</f>
        <v>שיא - עמותה לפיתוח התרבות והאומנות</v>
      </c>
      <c r="I201" s="318">
        <f>'סיכום לוועדה'!U201</f>
        <v>1500000</v>
      </c>
      <c r="J201" s="319">
        <f>'סיכום לוועדה'!T201</f>
        <v>709652.66375646717</v>
      </c>
      <c r="K201" s="320">
        <f t="shared" si="40"/>
        <v>0</v>
      </c>
      <c r="L201" s="319">
        <f t="shared" si="41"/>
        <v>709652.66375646717</v>
      </c>
      <c r="M201" s="331">
        <f>'תחום תמיכה ב'!AF201</f>
        <v>4.9013739379389033E-3</v>
      </c>
      <c r="N201" s="319">
        <f t="shared" si="38"/>
        <v>793145.17652759375</v>
      </c>
      <c r="O201" s="321">
        <f t="shared" si="42"/>
        <v>0</v>
      </c>
      <c r="P201" s="322">
        <f t="shared" si="43"/>
        <v>793145.17652759375</v>
      </c>
      <c r="Q201" s="322">
        <f t="shared" si="44"/>
        <v>793506.31647395145</v>
      </c>
      <c r="R201" s="321">
        <f t="shared" si="45"/>
        <v>0</v>
      </c>
      <c r="S201" s="322">
        <f t="shared" si="46"/>
        <v>793506.31647395145</v>
      </c>
      <c r="T201" s="322">
        <f t="shared" si="47"/>
        <v>793506.31647394993</v>
      </c>
      <c r="U201" s="321">
        <f t="shared" si="48"/>
        <v>0</v>
      </c>
      <c r="V201" s="322">
        <f t="shared" si="49"/>
        <v>793506.31647394993</v>
      </c>
      <c r="W201" s="322">
        <f t="shared" si="50"/>
        <v>793506.31647395017</v>
      </c>
      <c r="X201" s="321">
        <f t="shared" si="51"/>
        <v>0</v>
      </c>
      <c r="Y201" s="322">
        <f t="shared" si="52"/>
        <v>793506.31647395017</v>
      </c>
      <c r="Z201" s="322">
        <f t="shared" si="53"/>
        <v>793506.31647395005</v>
      </c>
      <c r="AA201" s="323">
        <f t="shared" si="54"/>
        <v>793506.31647395005</v>
      </c>
      <c r="AB201" s="323"/>
      <c r="AC201" s="323"/>
      <c r="AD201" s="323"/>
      <c r="AE201" s="323"/>
      <c r="AF201" s="324">
        <f t="shared" si="55"/>
        <v>4.5442389341768946E-3</v>
      </c>
      <c r="AG201" s="312"/>
      <c r="AH201" s="312"/>
      <c r="AI201" s="325">
        <f t="shared" si="56"/>
        <v>1</v>
      </c>
      <c r="AJ201" s="312"/>
      <c r="AK201" s="312"/>
      <c r="AL201" s="312"/>
      <c r="AM201" s="312"/>
      <c r="AN201" s="312"/>
      <c r="AO201" s="312"/>
      <c r="AP201" s="312"/>
      <c r="AQ201" s="312"/>
      <c r="AR201" s="312"/>
      <c r="AS201" s="312"/>
      <c r="AT201" s="312"/>
      <c r="AU201" s="312"/>
      <c r="AV201" s="312"/>
      <c r="AW201" s="312"/>
      <c r="AX201" s="312"/>
      <c r="AY201" s="312"/>
      <c r="AZ201" s="312"/>
      <c r="BA201" s="312"/>
      <c r="BB201" s="312"/>
      <c r="BC201" s="312"/>
      <c r="BD201" s="312"/>
      <c r="BE201" s="312"/>
      <c r="BF201" s="312"/>
      <c r="BG201" s="312"/>
      <c r="BH201" s="312"/>
      <c r="BI201" s="312"/>
      <c r="BJ201" s="312"/>
      <c r="BK201" s="312"/>
      <c r="BL201" s="312"/>
      <c r="BM201" s="312"/>
      <c r="BN201" s="312"/>
      <c r="BO201" s="312"/>
      <c r="BP201" s="312"/>
      <c r="BQ201" s="312"/>
      <c r="BR201" s="312"/>
      <c r="BS201" s="312"/>
      <c r="BT201" s="312"/>
      <c r="BU201" s="312"/>
      <c r="BV201" s="312"/>
      <c r="BW201" s="312"/>
      <c r="BX201" s="312"/>
      <c r="BY201" s="312"/>
      <c r="BZ201" s="312"/>
      <c r="CA201" s="312"/>
      <c r="CB201" s="312"/>
      <c r="CC201" s="312"/>
      <c r="CD201" s="312"/>
      <c r="CE201" s="312"/>
      <c r="CF201" s="312"/>
      <c r="CG201" s="312"/>
      <c r="CH201" s="312"/>
      <c r="CI201" s="312"/>
      <c r="CJ201" s="312"/>
      <c r="CK201" s="312"/>
      <c r="CL201" s="312"/>
      <c r="CM201" s="312"/>
      <c r="CN201" s="312"/>
      <c r="CO201" s="312"/>
      <c r="CP201" s="312"/>
      <c r="CQ201" s="312"/>
      <c r="CR201" s="312"/>
      <c r="CS201" s="312"/>
      <c r="CT201" s="312"/>
      <c r="CU201" s="312"/>
      <c r="CV201" s="312"/>
      <c r="CW201" s="312"/>
      <c r="CX201" s="312"/>
      <c r="CY201" s="312"/>
      <c r="CZ201" s="312"/>
      <c r="DA201" s="312"/>
      <c r="DB201" s="312"/>
      <c r="DC201" s="312"/>
      <c r="DD201" s="312"/>
      <c r="DE201" s="312"/>
      <c r="DF201" s="312"/>
      <c r="DG201" s="312"/>
      <c r="DH201" s="312"/>
      <c r="DI201" s="312"/>
      <c r="DJ201" s="312"/>
      <c r="DK201" s="312"/>
      <c r="DL201" s="312"/>
      <c r="DM201" s="312"/>
      <c r="DN201" s="312"/>
      <c r="DO201" s="312"/>
      <c r="DP201" s="312"/>
      <c r="DQ201" s="312"/>
      <c r="DR201" s="312"/>
      <c r="DS201" s="312"/>
      <c r="DT201" s="312"/>
      <c r="DU201" s="312"/>
      <c r="DV201" s="312"/>
      <c r="DW201" s="312"/>
      <c r="DX201" s="312"/>
      <c r="DY201" s="312"/>
      <c r="DZ201" s="312"/>
      <c r="EA201" s="312"/>
      <c r="EB201" s="312"/>
      <c r="EC201" s="312"/>
      <c r="ED201" s="312"/>
      <c r="EE201" s="312"/>
      <c r="EF201" s="312"/>
      <c r="EG201" s="312"/>
      <c r="EH201" s="312"/>
      <c r="EI201" s="312"/>
      <c r="EJ201" s="312"/>
      <c r="EK201" s="312"/>
      <c r="EL201" s="312"/>
      <c r="EM201" s="312"/>
      <c r="EN201" s="312"/>
      <c r="EO201" s="312"/>
      <c r="EP201" s="312"/>
      <c r="EQ201" s="312"/>
      <c r="ER201" s="312"/>
      <c r="ES201" s="312"/>
      <c r="ET201" s="312"/>
      <c r="EU201" s="312"/>
      <c r="EV201" s="312"/>
      <c r="EW201" s="312"/>
      <c r="EX201" s="312"/>
      <c r="EY201" s="312"/>
      <c r="EZ201" s="312"/>
      <c r="FA201" s="312"/>
      <c r="FB201" s="312"/>
      <c r="FC201" s="312"/>
      <c r="FD201" s="312"/>
      <c r="FE201" s="312"/>
      <c r="FF201" s="312"/>
      <c r="FG201" s="312"/>
      <c r="FH201" s="312"/>
      <c r="FI201" s="312"/>
      <c r="FJ201" s="312"/>
      <c r="FK201" s="312"/>
      <c r="FL201" s="312"/>
      <c r="FM201" s="312"/>
      <c r="FN201" s="312"/>
      <c r="FO201" s="312"/>
      <c r="FP201" s="312"/>
      <c r="FQ201" s="312"/>
      <c r="FR201" s="312"/>
      <c r="FS201" s="312"/>
      <c r="FT201" s="312"/>
      <c r="FU201" s="312"/>
      <c r="FV201" s="312"/>
      <c r="FW201" s="312"/>
      <c r="FX201" s="312"/>
      <c r="FY201" s="312"/>
      <c r="FZ201" s="312"/>
      <c r="GA201" s="312"/>
      <c r="GB201" s="312"/>
      <c r="GC201" s="312"/>
      <c r="GD201" s="312"/>
      <c r="GE201" s="312"/>
      <c r="GF201" s="312"/>
      <c r="GG201" s="312"/>
      <c r="GH201" s="312"/>
      <c r="GI201" s="312"/>
      <c r="GJ201" s="312"/>
      <c r="GK201" s="312"/>
      <c r="GL201" s="312"/>
      <c r="GM201" s="312"/>
      <c r="GN201" s="312"/>
      <c r="GO201" s="312"/>
      <c r="GP201" s="312"/>
      <c r="GQ201" s="312"/>
      <c r="GR201" s="312"/>
      <c r="GS201" s="312"/>
      <c r="GT201" s="312"/>
      <c r="GU201" s="312"/>
      <c r="GV201" s="312"/>
      <c r="GW201" s="312"/>
      <c r="GX201" s="312"/>
      <c r="GY201" s="312"/>
    </row>
    <row r="202" spans="2:207" ht="15.75" x14ac:dyDescent="0.25">
      <c r="B202" s="316">
        <f t="shared" si="39"/>
        <v>172</v>
      </c>
      <c r="C202" s="330">
        <f>'סיכום לוועדה'!B202</f>
        <v>1001350043</v>
      </c>
      <c r="D202" s="330">
        <f>'סיכום לוועדה'!C202</f>
        <v>1001280546</v>
      </c>
      <c r="E202" s="330">
        <f>'סיכום לוועדה'!D202</f>
        <v>40000403</v>
      </c>
      <c r="F202" s="330">
        <f>'סיכום לוועדה'!E202</f>
        <v>20000254</v>
      </c>
      <c r="G202" s="330" t="str">
        <f>'סיכום לוועדה'!F202</f>
        <v>באר שבע</v>
      </c>
      <c r="H202" s="317" t="str">
        <f>'סיכום לוועדה'!G202</f>
        <v>החוג לאופרה קלה בנגב</v>
      </c>
      <c r="I202" s="318">
        <f>'סיכום לוועדה'!U202</f>
        <v>50000</v>
      </c>
      <c r="J202" s="319">
        <f>'סיכום לוועדה'!T202</f>
        <v>57781.888332678885</v>
      </c>
      <c r="K202" s="320">
        <f t="shared" si="40"/>
        <v>1</v>
      </c>
      <c r="L202" s="319">
        <f t="shared" si="41"/>
        <v>50000</v>
      </c>
      <c r="M202" s="331">
        <f>'תחום תמיכה ב'!AF202</f>
        <v>3.9586590217019989E-4</v>
      </c>
      <c r="N202" s="319">
        <f t="shared" si="38"/>
        <v>50000</v>
      </c>
      <c r="O202" s="321">
        <f t="shared" si="42"/>
        <v>1</v>
      </c>
      <c r="P202" s="322">
        <f t="shared" si="43"/>
        <v>50000</v>
      </c>
      <c r="Q202" s="322">
        <f t="shared" si="44"/>
        <v>50000</v>
      </c>
      <c r="R202" s="321">
        <f t="shared" si="45"/>
        <v>1</v>
      </c>
      <c r="S202" s="322">
        <f t="shared" si="46"/>
        <v>50000</v>
      </c>
      <c r="T202" s="322">
        <f t="shared" si="47"/>
        <v>50000</v>
      </c>
      <c r="U202" s="321">
        <f t="shared" si="48"/>
        <v>1</v>
      </c>
      <c r="V202" s="322">
        <f t="shared" si="49"/>
        <v>50000</v>
      </c>
      <c r="W202" s="322">
        <f t="shared" si="50"/>
        <v>50000</v>
      </c>
      <c r="X202" s="321">
        <f t="shared" si="51"/>
        <v>1</v>
      </c>
      <c r="Y202" s="322">
        <f t="shared" si="52"/>
        <v>50000</v>
      </c>
      <c r="Z202" s="322">
        <f t="shared" si="53"/>
        <v>50000</v>
      </c>
      <c r="AA202" s="323">
        <f t="shared" si="54"/>
        <v>50000</v>
      </c>
      <c r="AB202" s="323"/>
      <c r="AC202" s="323"/>
      <c r="AD202" s="323"/>
      <c r="AE202" s="323"/>
      <c r="AF202" s="324">
        <f t="shared" si="55"/>
        <v>2.8633917839304793E-4</v>
      </c>
      <c r="AG202" s="312"/>
      <c r="AH202" s="312"/>
      <c r="AI202" s="325">
        <f t="shared" si="56"/>
        <v>1</v>
      </c>
      <c r="AJ202" s="312"/>
      <c r="AK202" s="312"/>
      <c r="AL202" s="312"/>
      <c r="AM202" s="312"/>
      <c r="AN202" s="312"/>
      <c r="AO202" s="312"/>
      <c r="AP202" s="312"/>
      <c r="AQ202" s="312"/>
      <c r="AR202" s="312"/>
      <c r="AS202" s="312"/>
      <c r="AT202" s="312"/>
      <c r="AU202" s="312"/>
      <c r="AV202" s="312"/>
      <c r="AW202" s="312"/>
      <c r="AX202" s="312"/>
      <c r="AY202" s="312"/>
      <c r="AZ202" s="312"/>
      <c r="BA202" s="312"/>
      <c r="BB202" s="312"/>
      <c r="BC202" s="312"/>
      <c r="BD202" s="312"/>
      <c r="BE202" s="312"/>
      <c r="BF202" s="312"/>
      <c r="BG202" s="312"/>
      <c r="BH202" s="312"/>
      <c r="BI202" s="312"/>
      <c r="BJ202" s="312"/>
      <c r="BK202" s="312"/>
      <c r="BL202" s="312"/>
      <c r="BM202" s="312"/>
      <c r="BN202" s="312"/>
      <c r="BO202" s="312"/>
      <c r="BP202" s="312"/>
      <c r="BQ202" s="312"/>
      <c r="BR202" s="312"/>
      <c r="BS202" s="312"/>
      <c r="BT202" s="312"/>
      <c r="BU202" s="312"/>
      <c r="BV202" s="312"/>
      <c r="BW202" s="312"/>
      <c r="BX202" s="312"/>
      <c r="BY202" s="312"/>
      <c r="BZ202" s="312"/>
      <c r="CA202" s="312"/>
      <c r="CB202" s="312"/>
      <c r="CC202" s="312"/>
      <c r="CD202" s="312"/>
      <c r="CE202" s="312"/>
      <c r="CF202" s="312"/>
      <c r="CG202" s="312"/>
      <c r="CH202" s="312"/>
      <c r="CI202" s="312"/>
      <c r="CJ202" s="312"/>
      <c r="CK202" s="312"/>
      <c r="CL202" s="312"/>
      <c r="CM202" s="312"/>
      <c r="CN202" s="312"/>
      <c r="CO202" s="312"/>
      <c r="CP202" s="312"/>
      <c r="CQ202" s="312"/>
      <c r="CR202" s="312"/>
      <c r="CS202" s="312"/>
      <c r="CT202" s="312"/>
      <c r="CU202" s="312"/>
      <c r="CV202" s="312"/>
      <c r="CW202" s="312"/>
      <c r="CX202" s="312"/>
      <c r="CY202" s="312"/>
      <c r="CZ202" s="312"/>
      <c r="DA202" s="312"/>
      <c r="DB202" s="312"/>
      <c r="DC202" s="312"/>
      <c r="DD202" s="312"/>
      <c r="DE202" s="312"/>
      <c r="DF202" s="312"/>
      <c r="DG202" s="312"/>
      <c r="DH202" s="312"/>
      <c r="DI202" s="312"/>
      <c r="DJ202" s="312"/>
      <c r="DK202" s="312"/>
      <c r="DL202" s="312"/>
      <c r="DM202" s="312"/>
      <c r="DN202" s="312"/>
      <c r="DO202" s="312"/>
      <c r="DP202" s="312"/>
      <c r="DQ202" s="312"/>
      <c r="DR202" s="312"/>
      <c r="DS202" s="312"/>
      <c r="DT202" s="312"/>
      <c r="DU202" s="312"/>
      <c r="DV202" s="312"/>
      <c r="DW202" s="312"/>
      <c r="DX202" s="312"/>
      <c r="DY202" s="312"/>
      <c r="DZ202" s="312"/>
      <c r="EA202" s="312"/>
      <c r="EB202" s="312"/>
      <c r="EC202" s="312"/>
      <c r="ED202" s="312"/>
      <c r="EE202" s="312"/>
      <c r="EF202" s="312"/>
      <c r="EG202" s="312"/>
      <c r="EH202" s="312"/>
      <c r="EI202" s="312"/>
      <c r="EJ202" s="312"/>
      <c r="EK202" s="312"/>
      <c r="EL202" s="312"/>
      <c r="EM202" s="312"/>
      <c r="EN202" s="312"/>
      <c r="EO202" s="312"/>
      <c r="EP202" s="312"/>
      <c r="EQ202" s="312"/>
      <c r="ER202" s="312"/>
      <c r="ES202" s="312"/>
      <c r="ET202" s="312"/>
      <c r="EU202" s="312"/>
      <c r="EV202" s="312"/>
      <c r="EW202" s="312"/>
      <c r="EX202" s="312"/>
      <c r="EY202" s="312"/>
      <c r="EZ202" s="312"/>
      <c r="FA202" s="312"/>
      <c r="FB202" s="312"/>
      <c r="FC202" s="312"/>
      <c r="FD202" s="312"/>
      <c r="FE202" s="312"/>
      <c r="FF202" s="312"/>
      <c r="FG202" s="312"/>
      <c r="FH202" s="312"/>
      <c r="FI202" s="312"/>
      <c r="FJ202" s="312"/>
      <c r="FK202" s="312"/>
      <c r="FL202" s="312"/>
      <c r="FM202" s="312"/>
      <c r="FN202" s="312"/>
      <c r="FO202" s="312"/>
      <c r="FP202" s="312"/>
      <c r="FQ202" s="312"/>
      <c r="FR202" s="312"/>
      <c r="FS202" s="312"/>
      <c r="FT202" s="312"/>
      <c r="FU202" s="312"/>
      <c r="FV202" s="312"/>
      <c r="FW202" s="312"/>
      <c r="FX202" s="312"/>
      <c r="FY202" s="312"/>
      <c r="FZ202" s="312"/>
      <c r="GA202" s="312"/>
      <c r="GB202" s="312"/>
      <c r="GC202" s="312"/>
      <c r="GD202" s="312"/>
      <c r="GE202" s="312"/>
      <c r="GF202" s="312"/>
      <c r="GG202" s="312"/>
      <c r="GH202" s="312"/>
      <c r="GI202" s="312"/>
      <c r="GJ202" s="312"/>
      <c r="GK202" s="312"/>
      <c r="GL202" s="312"/>
      <c r="GM202" s="312"/>
      <c r="GN202" s="312"/>
      <c r="GO202" s="312"/>
      <c r="GP202" s="312"/>
      <c r="GQ202" s="312"/>
      <c r="GR202" s="312"/>
      <c r="GS202" s="312"/>
      <c r="GT202" s="312"/>
      <c r="GU202" s="312"/>
      <c r="GV202" s="312"/>
      <c r="GW202" s="312"/>
      <c r="GX202" s="312"/>
      <c r="GY202" s="312"/>
    </row>
    <row r="203" spans="2:207" ht="15.75" x14ac:dyDescent="0.25">
      <c r="B203" s="316">
        <f t="shared" si="39"/>
        <v>173</v>
      </c>
      <c r="C203" s="330">
        <f>'סיכום לוועדה'!B203</f>
        <v>1001350380</v>
      </c>
      <c r="D203" s="330">
        <f>'סיכום לוועדה'!C203</f>
        <v>1001290728</v>
      </c>
      <c r="E203" s="330">
        <f>'סיכום לוועדה'!D203</f>
        <v>40221579</v>
      </c>
      <c r="F203" s="330">
        <f>'סיכום לוועדה'!E203</f>
        <v>20000159</v>
      </c>
      <c r="G203" s="330" t="str">
        <f>'סיכום לוועדה'!F203</f>
        <v>ירושלים</v>
      </c>
      <c r="H203" s="317" t="str">
        <f>'סיכום לוועדה'!G203</f>
        <v>אספקלריה</v>
      </c>
      <c r="I203" s="318">
        <f>'סיכום לוועדה'!U203</f>
        <v>800000</v>
      </c>
      <c r="J203" s="319">
        <f>'סיכום לוועדה'!T203</f>
        <v>241655.89157355306</v>
      </c>
      <c r="K203" s="320">
        <f t="shared" si="40"/>
        <v>0</v>
      </c>
      <c r="L203" s="319">
        <f t="shared" si="41"/>
        <v>241655.89157355306</v>
      </c>
      <c r="M203" s="331">
        <f>'תחום תמיכה ב'!AF203</f>
        <v>1.3271222966972E-3</v>
      </c>
      <c r="N203" s="319">
        <f t="shared" si="38"/>
        <v>264262.77215619083</v>
      </c>
      <c r="O203" s="321">
        <f t="shared" si="42"/>
        <v>0</v>
      </c>
      <c r="P203" s="322">
        <f t="shared" si="43"/>
        <v>264262.77215619083</v>
      </c>
      <c r="Q203" s="322">
        <f t="shared" si="44"/>
        <v>264383.0979757068</v>
      </c>
      <c r="R203" s="321">
        <f t="shared" si="45"/>
        <v>0</v>
      </c>
      <c r="S203" s="322">
        <f t="shared" si="46"/>
        <v>264383.0979757068</v>
      </c>
      <c r="T203" s="322">
        <f t="shared" si="47"/>
        <v>264383.09797570627</v>
      </c>
      <c r="U203" s="321">
        <f t="shared" si="48"/>
        <v>0</v>
      </c>
      <c r="V203" s="322">
        <f t="shared" si="49"/>
        <v>264383.09797570627</v>
      </c>
      <c r="W203" s="322">
        <f t="shared" si="50"/>
        <v>264383.09797570633</v>
      </c>
      <c r="X203" s="321">
        <f t="shared" si="51"/>
        <v>0</v>
      </c>
      <c r="Y203" s="322">
        <f t="shared" si="52"/>
        <v>264383.09797570633</v>
      </c>
      <c r="Z203" s="322">
        <f t="shared" si="53"/>
        <v>264383.09797570627</v>
      </c>
      <c r="AA203" s="323">
        <f t="shared" si="54"/>
        <v>264383.09797570627</v>
      </c>
      <c r="AB203" s="323"/>
      <c r="AC203" s="323"/>
      <c r="AD203" s="323"/>
      <c r="AE203" s="323"/>
      <c r="AF203" s="324">
        <f t="shared" si="55"/>
        <v>1.5140647811074485E-3</v>
      </c>
      <c r="AG203" s="312"/>
      <c r="AH203" s="312"/>
      <c r="AI203" s="325">
        <f t="shared" si="56"/>
        <v>1</v>
      </c>
      <c r="AJ203" s="312"/>
      <c r="AK203" s="312"/>
      <c r="AL203" s="312"/>
      <c r="AM203" s="312"/>
      <c r="AN203" s="312"/>
      <c r="AO203" s="312"/>
      <c r="AP203" s="312"/>
      <c r="AQ203" s="312"/>
      <c r="AR203" s="312"/>
      <c r="AS203" s="312"/>
      <c r="AT203" s="312"/>
      <c r="AU203" s="312"/>
      <c r="AV203" s="312"/>
      <c r="AW203" s="312"/>
      <c r="AX203" s="312"/>
      <c r="AY203" s="312"/>
      <c r="AZ203" s="312"/>
      <c r="BA203" s="312"/>
      <c r="BB203" s="312"/>
      <c r="BC203" s="312"/>
      <c r="BD203" s="312"/>
      <c r="BE203" s="312"/>
      <c r="BF203" s="312"/>
      <c r="BG203" s="312"/>
      <c r="BH203" s="312"/>
      <c r="BI203" s="312"/>
      <c r="BJ203" s="312"/>
      <c r="BK203" s="312"/>
      <c r="BL203" s="312"/>
      <c r="BM203" s="312"/>
      <c r="BN203" s="312"/>
      <c r="BO203" s="312"/>
      <c r="BP203" s="312"/>
      <c r="BQ203" s="312"/>
      <c r="BR203" s="312"/>
      <c r="BS203" s="312"/>
      <c r="BT203" s="312"/>
      <c r="BU203" s="312"/>
      <c r="BV203" s="312"/>
      <c r="BW203" s="312"/>
      <c r="BX203" s="312"/>
      <c r="BY203" s="312"/>
      <c r="BZ203" s="312"/>
      <c r="CA203" s="312"/>
      <c r="CB203" s="312"/>
      <c r="CC203" s="312"/>
      <c r="CD203" s="312"/>
      <c r="CE203" s="312"/>
      <c r="CF203" s="312"/>
      <c r="CG203" s="312"/>
      <c r="CH203" s="312"/>
      <c r="CI203" s="312"/>
      <c r="CJ203" s="312"/>
      <c r="CK203" s="312"/>
      <c r="CL203" s="312"/>
      <c r="CM203" s="312"/>
      <c r="CN203" s="312"/>
      <c r="CO203" s="312"/>
      <c r="CP203" s="312"/>
      <c r="CQ203" s="312"/>
      <c r="CR203" s="312"/>
      <c r="CS203" s="312"/>
      <c r="CT203" s="312"/>
      <c r="CU203" s="312"/>
      <c r="CV203" s="312"/>
      <c r="CW203" s="312"/>
      <c r="CX203" s="312"/>
      <c r="CY203" s="312"/>
      <c r="CZ203" s="312"/>
      <c r="DA203" s="312"/>
      <c r="DB203" s="312"/>
      <c r="DC203" s="312"/>
      <c r="DD203" s="312"/>
      <c r="DE203" s="312"/>
      <c r="DF203" s="312"/>
      <c r="DG203" s="312"/>
      <c r="DH203" s="312"/>
      <c r="DI203" s="312"/>
      <c r="DJ203" s="312"/>
      <c r="DK203" s="312"/>
      <c r="DL203" s="312"/>
      <c r="DM203" s="312"/>
      <c r="DN203" s="312"/>
      <c r="DO203" s="312"/>
      <c r="DP203" s="312"/>
      <c r="DQ203" s="312"/>
      <c r="DR203" s="312"/>
      <c r="DS203" s="312"/>
      <c r="DT203" s="312"/>
      <c r="DU203" s="312"/>
      <c r="DV203" s="312"/>
      <c r="DW203" s="312"/>
      <c r="DX203" s="312"/>
      <c r="DY203" s="312"/>
      <c r="DZ203" s="312"/>
      <c r="EA203" s="312"/>
      <c r="EB203" s="312"/>
      <c r="EC203" s="312"/>
      <c r="ED203" s="312"/>
      <c r="EE203" s="312"/>
      <c r="EF203" s="312"/>
      <c r="EG203" s="312"/>
      <c r="EH203" s="312"/>
      <c r="EI203" s="312"/>
      <c r="EJ203" s="312"/>
      <c r="EK203" s="312"/>
      <c r="EL203" s="312"/>
      <c r="EM203" s="312"/>
      <c r="EN203" s="312"/>
      <c r="EO203" s="312"/>
      <c r="EP203" s="312"/>
      <c r="EQ203" s="312"/>
      <c r="ER203" s="312"/>
      <c r="ES203" s="312"/>
      <c r="ET203" s="312"/>
      <c r="EU203" s="312"/>
      <c r="EV203" s="312"/>
      <c r="EW203" s="312"/>
      <c r="EX203" s="312"/>
      <c r="EY203" s="312"/>
      <c r="EZ203" s="312"/>
      <c r="FA203" s="312"/>
      <c r="FB203" s="312"/>
      <c r="FC203" s="312"/>
      <c r="FD203" s="312"/>
      <c r="FE203" s="312"/>
      <c r="FF203" s="312"/>
      <c r="FG203" s="312"/>
      <c r="FH203" s="312"/>
      <c r="FI203" s="312"/>
      <c r="FJ203" s="312"/>
      <c r="FK203" s="312"/>
      <c r="FL203" s="312"/>
      <c r="FM203" s="312"/>
      <c r="FN203" s="312"/>
      <c r="FO203" s="312"/>
      <c r="FP203" s="312"/>
      <c r="FQ203" s="312"/>
      <c r="FR203" s="312"/>
      <c r="FS203" s="312"/>
      <c r="FT203" s="312"/>
      <c r="FU203" s="312"/>
      <c r="FV203" s="312"/>
      <c r="FW203" s="312"/>
      <c r="FX203" s="312"/>
      <c r="FY203" s="312"/>
      <c r="FZ203" s="312"/>
      <c r="GA203" s="312"/>
      <c r="GB203" s="312"/>
      <c r="GC203" s="312"/>
      <c r="GD203" s="312"/>
      <c r="GE203" s="312"/>
      <c r="GF203" s="312"/>
      <c r="GG203" s="312"/>
      <c r="GH203" s="312"/>
      <c r="GI203" s="312"/>
      <c r="GJ203" s="312"/>
      <c r="GK203" s="312"/>
      <c r="GL203" s="312"/>
      <c r="GM203" s="312"/>
      <c r="GN203" s="312"/>
      <c r="GO203" s="312"/>
      <c r="GP203" s="312"/>
      <c r="GQ203" s="312"/>
      <c r="GR203" s="312"/>
      <c r="GS203" s="312"/>
      <c r="GT203" s="312"/>
      <c r="GU203" s="312"/>
      <c r="GV203" s="312"/>
      <c r="GW203" s="312"/>
      <c r="GX203" s="312"/>
      <c r="GY203" s="312"/>
    </row>
    <row r="204" spans="2:207" ht="15.75" x14ac:dyDescent="0.25">
      <c r="B204" s="316">
        <f t="shared" si="39"/>
        <v>174</v>
      </c>
      <c r="C204" s="330">
        <f>'סיכום לוועדה'!B204</f>
        <v>1001348865</v>
      </c>
      <c r="D204" s="330">
        <f>'סיכום לוועדה'!C204</f>
        <v>1001262670</v>
      </c>
      <c r="E204" s="330">
        <f>'סיכום לוועדה'!D204</f>
        <v>41481124</v>
      </c>
      <c r="F204" s="330">
        <f>'סיכום לוועדה'!E204</f>
        <v>20000159</v>
      </c>
      <c r="G204" s="330" t="str">
        <f>'סיכום לוועדה'!F204</f>
        <v>ירושלים</v>
      </c>
      <c r="H204" s="317" t="str">
        <f>'סיכום לוועדה'!G204</f>
        <v>האיל המרקד</v>
      </c>
      <c r="I204" s="318">
        <f>'סיכום לוועדה'!U204</f>
        <v>479382</v>
      </c>
      <c r="J204" s="319">
        <f>'סיכום לוועדה'!T204</f>
        <v>146812.945990737</v>
      </c>
      <c r="K204" s="320">
        <f t="shared" si="40"/>
        <v>0</v>
      </c>
      <c r="L204" s="319">
        <f t="shared" si="41"/>
        <v>146812.945990737</v>
      </c>
      <c r="M204" s="331">
        <f>'תחום תמיכה ב'!AF204</f>
        <v>1.009849875823721E-3</v>
      </c>
      <c r="N204" s="319">
        <f t="shared" si="38"/>
        <v>164015.24573805812</v>
      </c>
      <c r="O204" s="321">
        <f t="shared" si="42"/>
        <v>0</v>
      </c>
      <c r="P204" s="322">
        <f t="shared" si="43"/>
        <v>164015.24573805812</v>
      </c>
      <c r="Q204" s="322">
        <f t="shared" si="44"/>
        <v>164089.92621119297</v>
      </c>
      <c r="R204" s="321">
        <f t="shared" si="45"/>
        <v>0</v>
      </c>
      <c r="S204" s="322">
        <f t="shared" si="46"/>
        <v>164089.92621119297</v>
      </c>
      <c r="T204" s="322">
        <f t="shared" si="47"/>
        <v>164089.92621119265</v>
      </c>
      <c r="U204" s="321">
        <f t="shared" si="48"/>
        <v>0</v>
      </c>
      <c r="V204" s="322">
        <f t="shared" si="49"/>
        <v>164089.92621119265</v>
      </c>
      <c r="W204" s="322">
        <f t="shared" si="50"/>
        <v>164089.92621119271</v>
      </c>
      <c r="X204" s="321">
        <f t="shared" si="51"/>
        <v>0</v>
      </c>
      <c r="Y204" s="322">
        <f t="shared" si="52"/>
        <v>164089.92621119271</v>
      </c>
      <c r="Z204" s="322">
        <f t="shared" si="53"/>
        <v>164089.92621119268</v>
      </c>
      <c r="AA204" s="323">
        <f t="shared" si="54"/>
        <v>164089.92621119268</v>
      </c>
      <c r="AB204" s="323"/>
      <c r="AC204" s="323"/>
      <c r="AD204" s="323"/>
      <c r="AE204" s="323"/>
      <c r="AF204" s="324">
        <f t="shared" si="55"/>
        <v>9.3970749307777546E-4</v>
      </c>
      <c r="AG204" s="312"/>
      <c r="AH204" s="312"/>
      <c r="AI204" s="325">
        <f t="shared" si="56"/>
        <v>1</v>
      </c>
      <c r="AJ204" s="312"/>
      <c r="AK204" s="312"/>
      <c r="AL204" s="312"/>
      <c r="AM204" s="312"/>
      <c r="AN204" s="312"/>
      <c r="AO204" s="312"/>
      <c r="AP204" s="312"/>
      <c r="AQ204" s="312"/>
      <c r="AR204" s="312"/>
      <c r="AS204" s="312"/>
      <c r="AT204" s="312"/>
      <c r="AU204" s="312"/>
      <c r="AV204" s="312"/>
      <c r="AW204" s="312"/>
      <c r="AX204" s="312"/>
      <c r="AY204" s="312"/>
      <c r="AZ204" s="312"/>
      <c r="BA204" s="312"/>
      <c r="BB204" s="312"/>
      <c r="BC204" s="312"/>
      <c r="BD204" s="312"/>
      <c r="BE204" s="312"/>
      <c r="BF204" s="312"/>
      <c r="BG204" s="312"/>
      <c r="BH204" s="312"/>
      <c r="BI204" s="312"/>
      <c r="BJ204" s="312"/>
      <c r="BK204" s="312"/>
      <c r="BL204" s="312"/>
      <c r="BM204" s="312"/>
      <c r="BN204" s="312"/>
      <c r="BO204" s="312"/>
      <c r="BP204" s="312"/>
      <c r="BQ204" s="312"/>
      <c r="BR204" s="312"/>
      <c r="BS204" s="312"/>
      <c r="BT204" s="312"/>
      <c r="BU204" s="312"/>
      <c r="BV204" s="312"/>
      <c r="BW204" s="312"/>
      <c r="BX204" s="312"/>
      <c r="BY204" s="312"/>
      <c r="BZ204" s="312"/>
      <c r="CA204" s="312"/>
      <c r="CB204" s="312"/>
      <c r="CC204" s="312"/>
      <c r="CD204" s="312"/>
      <c r="CE204" s="312"/>
      <c r="CF204" s="312"/>
      <c r="CG204" s="312"/>
      <c r="CH204" s="312"/>
      <c r="CI204" s="312"/>
      <c r="CJ204" s="312"/>
      <c r="CK204" s="312"/>
      <c r="CL204" s="312"/>
      <c r="CM204" s="312"/>
      <c r="CN204" s="312"/>
      <c r="CO204" s="312"/>
      <c r="CP204" s="312"/>
      <c r="CQ204" s="312"/>
      <c r="CR204" s="312"/>
      <c r="CS204" s="312"/>
      <c r="CT204" s="312"/>
      <c r="CU204" s="312"/>
      <c r="CV204" s="312"/>
      <c r="CW204" s="312"/>
      <c r="CX204" s="312"/>
      <c r="CY204" s="312"/>
      <c r="CZ204" s="312"/>
      <c r="DA204" s="312"/>
      <c r="DB204" s="312"/>
      <c r="DC204" s="312"/>
      <c r="DD204" s="312"/>
      <c r="DE204" s="312"/>
      <c r="DF204" s="312"/>
      <c r="DG204" s="312"/>
      <c r="DH204" s="312"/>
      <c r="DI204" s="312"/>
      <c r="DJ204" s="312"/>
      <c r="DK204" s="312"/>
      <c r="DL204" s="312"/>
      <c r="DM204" s="312"/>
      <c r="DN204" s="312"/>
      <c r="DO204" s="312"/>
      <c r="DP204" s="312"/>
      <c r="DQ204" s="312"/>
      <c r="DR204" s="312"/>
      <c r="DS204" s="312"/>
      <c r="DT204" s="312"/>
      <c r="DU204" s="312"/>
      <c r="DV204" s="312"/>
      <c r="DW204" s="312"/>
      <c r="DX204" s="312"/>
      <c r="DY204" s="312"/>
      <c r="DZ204" s="312"/>
      <c r="EA204" s="312"/>
      <c r="EB204" s="312"/>
      <c r="EC204" s="312"/>
      <c r="ED204" s="312"/>
      <c r="EE204" s="312"/>
      <c r="EF204" s="312"/>
      <c r="EG204" s="312"/>
      <c r="EH204" s="312"/>
      <c r="EI204" s="312"/>
      <c r="EJ204" s="312"/>
      <c r="EK204" s="312"/>
      <c r="EL204" s="312"/>
      <c r="EM204" s="312"/>
      <c r="EN204" s="312"/>
      <c r="EO204" s="312"/>
      <c r="EP204" s="312"/>
      <c r="EQ204" s="312"/>
      <c r="ER204" s="312"/>
      <c r="ES204" s="312"/>
      <c r="ET204" s="312"/>
      <c r="EU204" s="312"/>
      <c r="EV204" s="312"/>
      <c r="EW204" s="312"/>
      <c r="EX204" s="312"/>
      <c r="EY204" s="312"/>
      <c r="EZ204" s="312"/>
      <c r="FA204" s="312"/>
      <c r="FB204" s="312"/>
      <c r="FC204" s="312"/>
      <c r="FD204" s="312"/>
      <c r="FE204" s="312"/>
      <c r="FF204" s="312"/>
      <c r="FG204" s="312"/>
      <c r="FH204" s="312"/>
      <c r="FI204" s="312"/>
      <c r="FJ204" s="312"/>
      <c r="FK204" s="312"/>
      <c r="FL204" s="312"/>
      <c r="FM204" s="312"/>
      <c r="FN204" s="312"/>
      <c r="FO204" s="312"/>
      <c r="FP204" s="312"/>
      <c r="FQ204" s="312"/>
      <c r="FR204" s="312"/>
      <c r="FS204" s="312"/>
      <c r="FT204" s="312"/>
      <c r="FU204" s="312"/>
      <c r="FV204" s="312"/>
      <c r="FW204" s="312"/>
      <c r="FX204" s="312"/>
      <c r="FY204" s="312"/>
      <c r="FZ204" s="312"/>
      <c r="GA204" s="312"/>
      <c r="GB204" s="312"/>
      <c r="GC204" s="312"/>
      <c r="GD204" s="312"/>
      <c r="GE204" s="312"/>
      <c r="GF204" s="312"/>
      <c r="GG204" s="312"/>
      <c r="GH204" s="312"/>
      <c r="GI204" s="312"/>
      <c r="GJ204" s="312"/>
      <c r="GK204" s="312"/>
      <c r="GL204" s="312"/>
      <c r="GM204" s="312"/>
      <c r="GN204" s="312"/>
      <c r="GO204" s="312"/>
      <c r="GP204" s="312"/>
      <c r="GQ204" s="312"/>
      <c r="GR204" s="312"/>
      <c r="GS204" s="312"/>
      <c r="GT204" s="312"/>
      <c r="GU204" s="312"/>
      <c r="GV204" s="312"/>
      <c r="GW204" s="312"/>
      <c r="GX204" s="312"/>
      <c r="GY204" s="312"/>
    </row>
    <row r="205" spans="2:207" ht="15.75" x14ac:dyDescent="0.25">
      <c r="B205" s="316">
        <f t="shared" si="39"/>
        <v>175</v>
      </c>
      <c r="C205" s="330">
        <f>'סיכום לוועדה'!B205</f>
        <v>1001348123</v>
      </c>
      <c r="D205" s="330">
        <f>'סיכום לוועדה'!C205</f>
        <v>1001273976</v>
      </c>
      <c r="E205" s="330">
        <f>'סיכום לוועדה'!D205</f>
        <v>41482603</v>
      </c>
      <c r="F205" s="330">
        <f>'סיכום לוועדה'!E205</f>
        <v>20000159</v>
      </c>
      <c r="G205" s="330" t="str">
        <f>'סיכום לוועדה'!F205</f>
        <v>ירושלים</v>
      </c>
      <c r="H205" s="317" t="str">
        <f>'סיכום לוועדה'!G205</f>
        <v>במת חוצות</v>
      </c>
      <c r="I205" s="318">
        <f>'סיכום לוועדה'!U205</f>
        <v>350000</v>
      </c>
      <c r="J205" s="319">
        <f>'סיכום לוועדה'!T205</f>
        <v>56276.922973708672</v>
      </c>
      <c r="K205" s="320">
        <f t="shared" si="40"/>
        <v>0</v>
      </c>
      <c r="L205" s="319">
        <f t="shared" si="41"/>
        <v>56276.922973708672</v>
      </c>
      <c r="M205" s="331">
        <f>'תחום תמיכה ב'!AF205</f>
        <v>2.5913213338454649E-4</v>
      </c>
      <c r="N205" s="319">
        <f t="shared" si="38"/>
        <v>60691.112388751877</v>
      </c>
      <c r="O205" s="321">
        <f t="shared" si="42"/>
        <v>0</v>
      </c>
      <c r="P205" s="322">
        <f t="shared" si="43"/>
        <v>60691.112388751877</v>
      </c>
      <c r="Q205" s="322">
        <f t="shared" si="44"/>
        <v>60718.746655114592</v>
      </c>
      <c r="R205" s="321">
        <f t="shared" si="45"/>
        <v>0</v>
      </c>
      <c r="S205" s="322">
        <f t="shared" si="46"/>
        <v>60718.746655114592</v>
      </c>
      <c r="T205" s="322">
        <f t="shared" si="47"/>
        <v>60718.746655114468</v>
      </c>
      <c r="U205" s="321">
        <f t="shared" si="48"/>
        <v>0</v>
      </c>
      <c r="V205" s="322">
        <f t="shared" si="49"/>
        <v>60718.746655114468</v>
      </c>
      <c r="W205" s="322">
        <f t="shared" si="50"/>
        <v>60718.74665511449</v>
      </c>
      <c r="X205" s="321">
        <f t="shared" si="51"/>
        <v>0</v>
      </c>
      <c r="Y205" s="322">
        <f t="shared" si="52"/>
        <v>60718.74665511449</v>
      </c>
      <c r="Z205" s="322">
        <f t="shared" si="53"/>
        <v>60718.746655114475</v>
      </c>
      <c r="AA205" s="323">
        <f t="shared" si="54"/>
        <v>60718.746655114475</v>
      </c>
      <c r="AB205" s="323"/>
      <c r="AC205" s="323"/>
      <c r="AD205" s="323"/>
      <c r="AE205" s="323"/>
      <c r="AF205" s="324">
        <f t="shared" si="55"/>
        <v>3.4772312060562209E-4</v>
      </c>
      <c r="AG205" s="312"/>
      <c r="AH205" s="312"/>
      <c r="AI205" s="325">
        <f t="shared" si="56"/>
        <v>1</v>
      </c>
      <c r="AJ205" s="312"/>
      <c r="AK205" s="312"/>
      <c r="AL205" s="312"/>
      <c r="AM205" s="312"/>
      <c r="AN205" s="312"/>
      <c r="AO205" s="312"/>
      <c r="AP205" s="312"/>
      <c r="AQ205" s="312"/>
      <c r="AR205" s="312"/>
      <c r="AS205" s="312"/>
      <c r="AT205" s="312"/>
      <c r="AU205" s="312"/>
      <c r="AV205" s="312"/>
      <c r="AW205" s="312"/>
      <c r="AX205" s="312"/>
      <c r="AY205" s="312"/>
      <c r="AZ205" s="312"/>
      <c r="BA205" s="312"/>
      <c r="BB205" s="312"/>
      <c r="BC205" s="312"/>
      <c r="BD205" s="312"/>
      <c r="BE205" s="312"/>
      <c r="BF205" s="312"/>
      <c r="BG205" s="312"/>
      <c r="BH205" s="312"/>
      <c r="BI205" s="312"/>
      <c r="BJ205" s="312"/>
      <c r="BK205" s="312"/>
      <c r="BL205" s="312"/>
      <c r="BM205" s="312"/>
      <c r="BN205" s="312"/>
      <c r="BO205" s="312"/>
      <c r="BP205" s="312"/>
      <c r="BQ205" s="312"/>
      <c r="BR205" s="312"/>
      <c r="BS205" s="312"/>
      <c r="BT205" s="312"/>
      <c r="BU205" s="312"/>
      <c r="BV205" s="312"/>
      <c r="BW205" s="312"/>
      <c r="BX205" s="312"/>
      <c r="BY205" s="312"/>
      <c r="BZ205" s="312"/>
      <c r="CA205" s="312"/>
      <c r="CB205" s="312"/>
      <c r="CC205" s="312"/>
      <c r="CD205" s="312"/>
      <c r="CE205" s="312"/>
      <c r="CF205" s="312"/>
      <c r="CG205" s="312"/>
      <c r="CH205" s="312"/>
      <c r="CI205" s="312"/>
      <c r="CJ205" s="312"/>
      <c r="CK205" s="312"/>
      <c r="CL205" s="312"/>
      <c r="CM205" s="312"/>
      <c r="CN205" s="312"/>
      <c r="CO205" s="312"/>
      <c r="CP205" s="312"/>
      <c r="CQ205" s="312"/>
      <c r="CR205" s="312"/>
      <c r="CS205" s="312"/>
      <c r="CT205" s="312"/>
      <c r="CU205" s="312"/>
      <c r="CV205" s="312"/>
      <c r="CW205" s="312"/>
      <c r="CX205" s="312"/>
      <c r="CY205" s="312"/>
      <c r="CZ205" s="312"/>
      <c r="DA205" s="312"/>
      <c r="DB205" s="312"/>
      <c r="DC205" s="312"/>
      <c r="DD205" s="312"/>
      <c r="DE205" s="312"/>
      <c r="DF205" s="312"/>
      <c r="DG205" s="312"/>
      <c r="DH205" s="312"/>
      <c r="DI205" s="312"/>
      <c r="DJ205" s="312"/>
      <c r="DK205" s="312"/>
      <c r="DL205" s="312"/>
      <c r="DM205" s="312"/>
      <c r="DN205" s="312"/>
      <c r="DO205" s="312"/>
      <c r="DP205" s="312"/>
      <c r="DQ205" s="312"/>
      <c r="DR205" s="312"/>
      <c r="DS205" s="312"/>
      <c r="DT205" s="312"/>
      <c r="DU205" s="312"/>
      <c r="DV205" s="312"/>
      <c r="DW205" s="312"/>
      <c r="DX205" s="312"/>
      <c r="DY205" s="312"/>
      <c r="DZ205" s="312"/>
      <c r="EA205" s="312"/>
      <c r="EB205" s="312"/>
      <c r="EC205" s="312"/>
      <c r="ED205" s="312"/>
      <c r="EE205" s="312"/>
      <c r="EF205" s="312"/>
      <c r="EG205" s="312"/>
      <c r="EH205" s="312"/>
      <c r="EI205" s="312"/>
      <c r="EJ205" s="312"/>
      <c r="EK205" s="312"/>
      <c r="EL205" s="312"/>
      <c r="EM205" s="312"/>
      <c r="EN205" s="312"/>
      <c r="EO205" s="312"/>
      <c r="EP205" s="312"/>
      <c r="EQ205" s="312"/>
      <c r="ER205" s="312"/>
      <c r="ES205" s="312"/>
      <c r="ET205" s="312"/>
      <c r="EU205" s="312"/>
      <c r="EV205" s="312"/>
      <c r="EW205" s="312"/>
      <c r="EX205" s="312"/>
      <c r="EY205" s="312"/>
      <c r="EZ205" s="312"/>
      <c r="FA205" s="312"/>
      <c r="FB205" s="312"/>
      <c r="FC205" s="312"/>
      <c r="FD205" s="312"/>
      <c r="FE205" s="312"/>
      <c r="FF205" s="312"/>
      <c r="FG205" s="312"/>
      <c r="FH205" s="312"/>
      <c r="FI205" s="312"/>
      <c r="FJ205" s="312"/>
      <c r="FK205" s="312"/>
      <c r="FL205" s="312"/>
      <c r="FM205" s="312"/>
      <c r="FN205" s="312"/>
      <c r="FO205" s="312"/>
      <c r="FP205" s="312"/>
      <c r="FQ205" s="312"/>
      <c r="FR205" s="312"/>
      <c r="FS205" s="312"/>
      <c r="FT205" s="312"/>
      <c r="FU205" s="312"/>
      <c r="FV205" s="312"/>
      <c r="FW205" s="312"/>
      <c r="FX205" s="312"/>
      <c r="FY205" s="312"/>
      <c r="FZ205" s="312"/>
      <c r="GA205" s="312"/>
      <c r="GB205" s="312"/>
      <c r="GC205" s="312"/>
      <c r="GD205" s="312"/>
      <c r="GE205" s="312"/>
      <c r="GF205" s="312"/>
      <c r="GG205" s="312"/>
      <c r="GH205" s="312"/>
      <c r="GI205" s="312"/>
      <c r="GJ205" s="312"/>
      <c r="GK205" s="312"/>
      <c r="GL205" s="312"/>
      <c r="GM205" s="312"/>
      <c r="GN205" s="312"/>
      <c r="GO205" s="312"/>
      <c r="GP205" s="312"/>
      <c r="GQ205" s="312"/>
      <c r="GR205" s="312"/>
      <c r="GS205" s="312"/>
      <c r="GT205" s="312"/>
      <c r="GU205" s="312"/>
      <c r="GV205" s="312"/>
      <c r="GW205" s="312"/>
      <c r="GX205" s="312"/>
      <c r="GY205" s="312"/>
    </row>
    <row r="206" spans="2:207" ht="15.75" x14ac:dyDescent="0.25">
      <c r="B206" s="316">
        <f t="shared" si="39"/>
        <v>176</v>
      </c>
      <c r="C206" s="330">
        <f>'סיכום לוועדה'!B206</f>
        <v>1001347085</v>
      </c>
      <c r="D206" s="330">
        <f>'סיכום לוועדה'!C206</f>
        <v>1001270801</v>
      </c>
      <c r="E206" s="330">
        <f>'סיכום לוועדה'!D206</f>
        <v>40323479</v>
      </c>
      <c r="F206" s="330">
        <f>'סיכום לוועדה'!E206</f>
        <v>20000201</v>
      </c>
      <c r="G206" s="330" t="str">
        <f>'סיכום לוועדה'!F206</f>
        <v>תל אביב -יפו</v>
      </c>
      <c r="H206" s="317" t="str">
        <f>'סיכום לוועדה'!G206</f>
        <v>להקת יסמין גודר</v>
      </c>
      <c r="I206" s="318">
        <f>'סיכום לוועדה'!U206</f>
        <v>700000</v>
      </c>
      <c r="J206" s="319">
        <f>'סיכום לוועדה'!T206</f>
        <v>102022.80631287312</v>
      </c>
      <c r="K206" s="320">
        <f t="shared" si="40"/>
        <v>0</v>
      </c>
      <c r="L206" s="319">
        <f t="shared" si="41"/>
        <v>102022.80631287312</v>
      </c>
      <c r="M206" s="331">
        <f>'תחום תמיכה ב'!AF206</f>
        <v>4.8160631839669972E-4</v>
      </c>
      <c r="N206" s="319">
        <f t="shared" si="38"/>
        <v>110226.7348844403</v>
      </c>
      <c r="O206" s="321">
        <f t="shared" si="42"/>
        <v>0</v>
      </c>
      <c r="P206" s="322">
        <f t="shared" si="43"/>
        <v>110226.7348844403</v>
      </c>
      <c r="Q206" s="322">
        <f t="shared" si="44"/>
        <v>110276.92402799359</v>
      </c>
      <c r="R206" s="321">
        <f t="shared" si="45"/>
        <v>0</v>
      </c>
      <c r="S206" s="322">
        <f t="shared" si="46"/>
        <v>110276.92402799359</v>
      </c>
      <c r="T206" s="322">
        <f t="shared" si="47"/>
        <v>110276.92402799336</v>
      </c>
      <c r="U206" s="321">
        <f t="shared" si="48"/>
        <v>0</v>
      </c>
      <c r="V206" s="322">
        <f t="shared" si="49"/>
        <v>110276.92402799336</v>
      </c>
      <c r="W206" s="322">
        <f t="shared" si="50"/>
        <v>110276.9240279934</v>
      </c>
      <c r="X206" s="321">
        <f t="shared" si="51"/>
        <v>0</v>
      </c>
      <c r="Y206" s="322">
        <f t="shared" si="52"/>
        <v>110276.9240279934</v>
      </c>
      <c r="Z206" s="322">
        <f t="shared" si="53"/>
        <v>110276.92402799339</v>
      </c>
      <c r="AA206" s="323">
        <f t="shared" si="54"/>
        <v>110276.92402799339</v>
      </c>
      <c r="AB206" s="323"/>
      <c r="AC206" s="323"/>
      <c r="AD206" s="323"/>
      <c r="AE206" s="323"/>
      <c r="AF206" s="324">
        <f t="shared" si="55"/>
        <v>6.3153207643776386E-4</v>
      </c>
      <c r="AG206" s="312"/>
      <c r="AH206" s="312"/>
      <c r="AI206" s="325">
        <f t="shared" si="56"/>
        <v>1</v>
      </c>
      <c r="AJ206" s="312"/>
      <c r="AK206" s="312"/>
      <c r="AL206" s="312"/>
      <c r="AM206" s="312"/>
      <c r="AN206" s="312"/>
      <c r="AO206" s="312"/>
      <c r="AP206" s="312"/>
      <c r="AQ206" s="312"/>
      <c r="AR206" s="312"/>
      <c r="AS206" s="312"/>
      <c r="AT206" s="312"/>
      <c r="AU206" s="312"/>
      <c r="AV206" s="312"/>
      <c r="AW206" s="312"/>
      <c r="AX206" s="312"/>
      <c r="AY206" s="312"/>
      <c r="AZ206" s="312"/>
      <c r="BA206" s="312"/>
      <c r="BB206" s="312"/>
      <c r="BC206" s="312"/>
      <c r="BD206" s="312"/>
      <c r="BE206" s="312"/>
      <c r="BF206" s="312"/>
      <c r="BG206" s="312"/>
      <c r="BH206" s="312"/>
      <c r="BI206" s="312"/>
      <c r="BJ206" s="312"/>
      <c r="BK206" s="312"/>
      <c r="BL206" s="312"/>
      <c r="BM206" s="312"/>
      <c r="BN206" s="312"/>
      <c r="BO206" s="312"/>
      <c r="BP206" s="312"/>
      <c r="BQ206" s="312"/>
      <c r="BR206" s="312"/>
      <c r="BS206" s="312"/>
      <c r="BT206" s="312"/>
      <c r="BU206" s="312"/>
      <c r="BV206" s="312"/>
      <c r="BW206" s="312"/>
      <c r="BX206" s="312"/>
      <c r="BY206" s="312"/>
      <c r="BZ206" s="312"/>
      <c r="CA206" s="312"/>
      <c r="CB206" s="312"/>
      <c r="CC206" s="312"/>
      <c r="CD206" s="312"/>
      <c r="CE206" s="312"/>
      <c r="CF206" s="312"/>
      <c r="CG206" s="312"/>
      <c r="CH206" s="312"/>
      <c r="CI206" s="312"/>
      <c r="CJ206" s="312"/>
      <c r="CK206" s="312"/>
      <c r="CL206" s="312"/>
      <c r="CM206" s="312"/>
      <c r="CN206" s="312"/>
      <c r="CO206" s="312"/>
      <c r="CP206" s="312"/>
      <c r="CQ206" s="312"/>
      <c r="CR206" s="312"/>
      <c r="CS206" s="312"/>
      <c r="CT206" s="312"/>
      <c r="CU206" s="312"/>
      <c r="CV206" s="312"/>
      <c r="CW206" s="312"/>
      <c r="CX206" s="312"/>
      <c r="CY206" s="312"/>
      <c r="CZ206" s="312"/>
      <c r="DA206" s="312"/>
      <c r="DB206" s="312"/>
      <c r="DC206" s="312"/>
      <c r="DD206" s="312"/>
      <c r="DE206" s="312"/>
      <c r="DF206" s="312"/>
      <c r="DG206" s="312"/>
      <c r="DH206" s="312"/>
      <c r="DI206" s="312"/>
      <c r="DJ206" s="312"/>
      <c r="DK206" s="312"/>
      <c r="DL206" s="312"/>
      <c r="DM206" s="312"/>
      <c r="DN206" s="312"/>
      <c r="DO206" s="312"/>
      <c r="DP206" s="312"/>
      <c r="DQ206" s="312"/>
      <c r="DR206" s="312"/>
      <c r="DS206" s="312"/>
      <c r="DT206" s="312"/>
      <c r="DU206" s="312"/>
      <c r="DV206" s="312"/>
      <c r="DW206" s="312"/>
      <c r="DX206" s="312"/>
      <c r="DY206" s="312"/>
      <c r="DZ206" s="312"/>
      <c r="EA206" s="312"/>
      <c r="EB206" s="312"/>
      <c r="EC206" s="312"/>
      <c r="ED206" s="312"/>
      <c r="EE206" s="312"/>
      <c r="EF206" s="312"/>
      <c r="EG206" s="312"/>
      <c r="EH206" s="312"/>
      <c r="EI206" s="312"/>
      <c r="EJ206" s="312"/>
      <c r="EK206" s="312"/>
      <c r="EL206" s="312"/>
      <c r="EM206" s="312"/>
      <c r="EN206" s="312"/>
      <c r="EO206" s="312"/>
      <c r="EP206" s="312"/>
      <c r="EQ206" s="312"/>
      <c r="ER206" s="312"/>
      <c r="ES206" s="312"/>
      <c r="ET206" s="312"/>
      <c r="EU206" s="312"/>
      <c r="EV206" s="312"/>
      <c r="EW206" s="312"/>
      <c r="EX206" s="312"/>
      <c r="EY206" s="312"/>
      <c r="EZ206" s="312"/>
      <c r="FA206" s="312"/>
      <c r="FB206" s="312"/>
      <c r="FC206" s="312"/>
      <c r="FD206" s="312"/>
      <c r="FE206" s="312"/>
      <c r="FF206" s="312"/>
      <c r="FG206" s="312"/>
      <c r="FH206" s="312"/>
      <c r="FI206" s="312"/>
      <c r="FJ206" s="312"/>
      <c r="FK206" s="312"/>
      <c r="FL206" s="312"/>
      <c r="FM206" s="312"/>
      <c r="FN206" s="312"/>
      <c r="FO206" s="312"/>
      <c r="FP206" s="312"/>
      <c r="FQ206" s="312"/>
      <c r="FR206" s="312"/>
      <c r="FS206" s="312"/>
      <c r="FT206" s="312"/>
      <c r="FU206" s="312"/>
      <c r="FV206" s="312"/>
      <c r="FW206" s="312"/>
      <c r="FX206" s="312"/>
      <c r="FY206" s="312"/>
      <c r="FZ206" s="312"/>
      <c r="GA206" s="312"/>
      <c r="GB206" s="312"/>
      <c r="GC206" s="312"/>
      <c r="GD206" s="312"/>
      <c r="GE206" s="312"/>
      <c r="GF206" s="312"/>
      <c r="GG206" s="312"/>
      <c r="GH206" s="312"/>
      <c r="GI206" s="312"/>
      <c r="GJ206" s="312"/>
      <c r="GK206" s="312"/>
      <c r="GL206" s="312"/>
      <c r="GM206" s="312"/>
      <c r="GN206" s="312"/>
      <c r="GO206" s="312"/>
      <c r="GP206" s="312"/>
      <c r="GQ206" s="312"/>
      <c r="GR206" s="312"/>
      <c r="GS206" s="312"/>
      <c r="GT206" s="312"/>
      <c r="GU206" s="312"/>
      <c r="GV206" s="312"/>
      <c r="GW206" s="312"/>
      <c r="GX206" s="312"/>
      <c r="GY206" s="312"/>
    </row>
    <row r="207" spans="2:207" ht="15.75" x14ac:dyDescent="0.25">
      <c r="B207" s="316">
        <f t="shared" si="39"/>
        <v>177</v>
      </c>
      <c r="C207" s="330">
        <f>'סיכום לוועדה'!B207</f>
        <v>1001350682</v>
      </c>
      <c r="D207" s="330">
        <f>'סיכום לוועדה'!C207</f>
        <v>1001270744</v>
      </c>
      <c r="E207" s="330">
        <f>'סיכום לוועדה'!D207</f>
        <v>40467070</v>
      </c>
      <c r="F207" s="330">
        <f>'סיכום לוועדה'!E207</f>
        <v>20000201</v>
      </c>
      <c r="G207" s="330" t="str">
        <f>'סיכום לוועדה'!F207</f>
        <v>תל אביב -יפו</v>
      </c>
      <c r="H207" s="317" t="str">
        <f>'סיכום לוועדה'!G207</f>
        <v>זמרי קולגיום</v>
      </c>
      <c r="I207" s="318">
        <f>'סיכום לוועדה'!U207</f>
        <v>160000</v>
      </c>
      <c r="J207" s="319">
        <f>'סיכום לוועדה'!T207</f>
        <v>18537.03634350374</v>
      </c>
      <c r="K207" s="320">
        <f t="shared" si="40"/>
        <v>0</v>
      </c>
      <c r="L207" s="319">
        <f t="shared" si="41"/>
        <v>18537.03634350374</v>
      </c>
      <c r="M207" s="331">
        <f>'תחום תמיכה ב'!AF207</f>
        <v>8.8132312960965197E-5</v>
      </c>
      <c r="N207" s="319">
        <f t="shared" si="38"/>
        <v>20038.327279191177</v>
      </c>
      <c r="O207" s="321">
        <f t="shared" si="42"/>
        <v>0</v>
      </c>
      <c r="P207" s="322">
        <f t="shared" si="43"/>
        <v>20038.327279191177</v>
      </c>
      <c r="Q207" s="322">
        <f t="shared" si="44"/>
        <v>20047.451258826768</v>
      </c>
      <c r="R207" s="321">
        <f t="shared" si="45"/>
        <v>0</v>
      </c>
      <c r="S207" s="322">
        <f t="shared" si="46"/>
        <v>20047.451258826768</v>
      </c>
      <c r="T207" s="322">
        <f t="shared" si="47"/>
        <v>20047.451258826728</v>
      </c>
      <c r="U207" s="321">
        <f t="shared" si="48"/>
        <v>0</v>
      </c>
      <c r="V207" s="322">
        <f t="shared" si="49"/>
        <v>20047.451258826728</v>
      </c>
      <c r="W207" s="322">
        <f t="shared" si="50"/>
        <v>20047.451258826739</v>
      </c>
      <c r="X207" s="321">
        <f t="shared" si="51"/>
        <v>0</v>
      </c>
      <c r="Y207" s="322">
        <f t="shared" si="52"/>
        <v>20047.451258826739</v>
      </c>
      <c r="Z207" s="322">
        <f t="shared" si="53"/>
        <v>20047.451258826739</v>
      </c>
      <c r="AA207" s="323">
        <f t="shared" si="54"/>
        <v>20047.451258826739</v>
      </c>
      <c r="AB207" s="323"/>
      <c r="AC207" s="323"/>
      <c r="AD207" s="323"/>
      <c r="AE207" s="323"/>
      <c r="AF207" s="324">
        <f t="shared" si="55"/>
        <v>1.1480741444654245E-4</v>
      </c>
      <c r="AG207" s="312"/>
      <c r="AH207" s="312"/>
      <c r="AI207" s="325">
        <f t="shared" si="56"/>
        <v>1</v>
      </c>
      <c r="AJ207" s="312"/>
      <c r="AK207" s="312"/>
      <c r="AL207" s="312"/>
      <c r="AM207" s="312"/>
      <c r="AN207" s="312"/>
      <c r="AO207" s="312"/>
      <c r="AP207" s="312"/>
      <c r="AQ207" s="312"/>
      <c r="AR207" s="312"/>
      <c r="AS207" s="312"/>
      <c r="AT207" s="312"/>
      <c r="AU207" s="312"/>
      <c r="AV207" s="312"/>
      <c r="AW207" s="312"/>
      <c r="AX207" s="312"/>
      <c r="AY207" s="312"/>
      <c r="AZ207" s="312"/>
      <c r="BA207" s="312"/>
      <c r="BB207" s="312"/>
      <c r="BC207" s="312"/>
      <c r="BD207" s="312"/>
      <c r="BE207" s="312"/>
      <c r="BF207" s="312"/>
      <c r="BG207" s="312"/>
      <c r="BH207" s="312"/>
      <c r="BI207" s="312"/>
      <c r="BJ207" s="312"/>
      <c r="BK207" s="312"/>
      <c r="BL207" s="312"/>
      <c r="BM207" s="312"/>
      <c r="BN207" s="312"/>
      <c r="BO207" s="312"/>
      <c r="BP207" s="312"/>
      <c r="BQ207" s="312"/>
      <c r="BR207" s="312"/>
      <c r="BS207" s="312"/>
      <c r="BT207" s="312"/>
      <c r="BU207" s="312"/>
      <c r="BV207" s="312"/>
      <c r="BW207" s="312"/>
      <c r="BX207" s="312"/>
      <c r="BY207" s="312"/>
      <c r="BZ207" s="312"/>
      <c r="CA207" s="312"/>
      <c r="CB207" s="312"/>
      <c r="CC207" s="312"/>
      <c r="CD207" s="312"/>
      <c r="CE207" s="312"/>
      <c r="CF207" s="312"/>
      <c r="CG207" s="312"/>
      <c r="CH207" s="312"/>
      <c r="CI207" s="312"/>
      <c r="CJ207" s="312"/>
      <c r="CK207" s="312"/>
      <c r="CL207" s="312"/>
      <c r="CM207" s="312"/>
      <c r="CN207" s="312"/>
      <c r="CO207" s="312"/>
      <c r="CP207" s="312"/>
      <c r="CQ207" s="312"/>
      <c r="CR207" s="312"/>
      <c r="CS207" s="312"/>
      <c r="CT207" s="312"/>
      <c r="CU207" s="312"/>
      <c r="CV207" s="312"/>
      <c r="CW207" s="312"/>
      <c r="CX207" s="312"/>
      <c r="CY207" s="312"/>
      <c r="CZ207" s="312"/>
      <c r="DA207" s="312"/>
      <c r="DB207" s="312"/>
      <c r="DC207" s="312"/>
      <c r="DD207" s="312"/>
      <c r="DE207" s="312"/>
      <c r="DF207" s="312"/>
      <c r="DG207" s="312"/>
      <c r="DH207" s="312"/>
      <c r="DI207" s="312"/>
      <c r="DJ207" s="312"/>
      <c r="DK207" s="312"/>
      <c r="DL207" s="312"/>
      <c r="DM207" s="312"/>
      <c r="DN207" s="312"/>
      <c r="DO207" s="312"/>
      <c r="DP207" s="312"/>
      <c r="DQ207" s="312"/>
      <c r="DR207" s="312"/>
      <c r="DS207" s="312"/>
      <c r="DT207" s="312"/>
      <c r="DU207" s="312"/>
      <c r="DV207" s="312"/>
      <c r="DW207" s="312"/>
      <c r="DX207" s="312"/>
      <c r="DY207" s="312"/>
      <c r="DZ207" s="312"/>
      <c r="EA207" s="312"/>
      <c r="EB207" s="312"/>
      <c r="EC207" s="312"/>
      <c r="ED207" s="312"/>
      <c r="EE207" s="312"/>
      <c r="EF207" s="312"/>
      <c r="EG207" s="312"/>
      <c r="EH207" s="312"/>
      <c r="EI207" s="312"/>
      <c r="EJ207" s="312"/>
      <c r="EK207" s="312"/>
      <c r="EL207" s="312"/>
      <c r="EM207" s="312"/>
      <c r="EN207" s="312"/>
      <c r="EO207" s="312"/>
      <c r="EP207" s="312"/>
      <c r="EQ207" s="312"/>
      <c r="ER207" s="312"/>
      <c r="ES207" s="312"/>
      <c r="ET207" s="312"/>
      <c r="EU207" s="312"/>
      <c r="EV207" s="312"/>
      <c r="EW207" s="312"/>
      <c r="EX207" s="312"/>
      <c r="EY207" s="312"/>
      <c r="EZ207" s="312"/>
      <c r="FA207" s="312"/>
      <c r="FB207" s="312"/>
      <c r="FC207" s="312"/>
      <c r="FD207" s="312"/>
      <c r="FE207" s="312"/>
      <c r="FF207" s="312"/>
      <c r="FG207" s="312"/>
      <c r="FH207" s="312"/>
      <c r="FI207" s="312"/>
      <c r="FJ207" s="312"/>
      <c r="FK207" s="312"/>
      <c r="FL207" s="312"/>
      <c r="FM207" s="312"/>
      <c r="FN207" s="312"/>
      <c r="FO207" s="312"/>
      <c r="FP207" s="312"/>
      <c r="FQ207" s="312"/>
      <c r="FR207" s="312"/>
      <c r="FS207" s="312"/>
      <c r="FT207" s="312"/>
      <c r="FU207" s="312"/>
      <c r="FV207" s="312"/>
      <c r="FW207" s="312"/>
      <c r="FX207" s="312"/>
      <c r="FY207" s="312"/>
      <c r="FZ207" s="312"/>
      <c r="GA207" s="312"/>
      <c r="GB207" s="312"/>
      <c r="GC207" s="312"/>
      <c r="GD207" s="312"/>
      <c r="GE207" s="312"/>
      <c r="GF207" s="312"/>
      <c r="GG207" s="312"/>
      <c r="GH207" s="312"/>
      <c r="GI207" s="312"/>
      <c r="GJ207" s="312"/>
      <c r="GK207" s="312"/>
      <c r="GL207" s="312"/>
      <c r="GM207" s="312"/>
      <c r="GN207" s="312"/>
      <c r="GO207" s="312"/>
      <c r="GP207" s="312"/>
      <c r="GQ207" s="312"/>
      <c r="GR207" s="312"/>
      <c r="GS207" s="312"/>
      <c r="GT207" s="312"/>
      <c r="GU207" s="312"/>
      <c r="GV207" s="312"/>
      <c r="GW207" s="312"/>
      <c r="GX207" s="312"/>
      <c r="GY207" s="312"/>
    </row>
    <row r="208" spans="2:207" ht="15.75" x14ac:dyDescent="0.25">
      <c r="B208" s="316">
        <f t="shared" si="39"/>
        <v>178</v>
      </c>
      <c r="C208" s="330">
        <f>'סיכום לוועדה'!B208</f>
        <v>1001348272</v>
      </c>
      <c r="D208" s="330">
        <f>'סיכום לוועדה'!C208</f>
        <v>1001280728</v>
      </c>
      <c r="E208" s="330">
        <f>'סיכום לוועדה'!D208</f>
        <v>40343383</v>
      </c>
      <c r="F208" s="330">
        <f>'סיכום לוועדה'!E208</f>
        <v>20000231</v>
      </c>
      <c r="G208" s="330" t="str">
        <f>'סיכום לוועדה'!F208</f>
        <v>נצרת</v>
      </c>
      <c r="H208" s="317" t="str">
        <f>'סיכום לוועדה'!G208</f>
        <v>תיאטרון אנסמבל פרינג' נצרת</v>
      </c>
      <c r="I208" s="318">
        <f>'סיכום לוועדה'!U208</f>
        <v>1500000</v>
      </c>
      <c r="J208" s="319">
        <f>'סיכום לוועדה'!T208</f>
        <v>100684.77536739982</v>
      </c>
      <c r="K208" s="320">
        <f t="shared" si="40"/>
        <v>0</v>
      </c>
      <c r="L208" s="319">
        <f t="shared" si="41"/>
        <v>100684.77536739982</v>
      </c>
      <c r="M208" s="331">
        <f>'תחום תמיכה ב'!AF208</f>
        <v>5.6548492288770093E-4</v>
      </c>
      <c r="N208" s="319">
        <f t="shared" si="38"/>
        <v>110317.53502701783</v>
      </c>
      <c r="O208" s="321">
        <f t="shared" si="42"/>
        <v>0</v>
      </c>
      <c r="P208" s="322">
        <f t="shared" si="43"/>
        <v>110317.53502701783</v>
      </c>
      <c r="Q208" s="322">
        <f t="shared" si="44"/>
        <v>110367.76551427414</v>
      </c>
      <c r="R208" s="321">
        <f t="shared" si="45"/>
        <v>0</v>
      </c>
      <c r="S208" s="322">
        <f t="shared" si="46"/>
        <v>110367.76551427414</v>
      </c>
      <c r="T208" s="322">
        <f t="shared" si="47"/>
        <v>110367.76551427392</v>
      </c>
      <c r="U208" s="321">
        <f t="shared" si="48"/>
        <v>0</v>
      </c>
      <c r="V208" s="322">
        <f t="shared" si="49"/>
        <v>110367.76551427392</v>
      </c>
      <c r="W208" s="322">
        <f t="shared" si="50"/>
        <v>110367.76551427397</v>
      </c>
      <c r="X208" s="321">
        <f t="shared" si="51"/>
        <v>0</v>
      </c>
      <c r="Y208" s="322">
        <f t="shared" si="52"/>
        <v>110367.76551427397</v>
      </c>
      <c r="Z208" s="322">
        <f t="shared" si="53"/>
        <v>110367.76551427394</v>
      </c>
      <c r="AA208" s="323">
        <f t="shared" si="54"/>
        <v>110367.76551427394</v>
      </c>
      <c r="AB208" s="323"/>
      <c r="AC208" s="323"/>
      <c r="AD208" s="323"/>
      <c r="AE208" s="323"/>
      <c r="AF208" s="324">
        <f t="shared" si="55"/>
        <v>6.3205230596867534E-4</v>
      </c>
      <c r="AG208" s="312"/>
      <c r="AH208" s="312"/>
      <c r="AI208" s="325">
        <f t="shared" si="56"/>
        <v>1</v>
      </c>
      <c r="AJ208" s="312"/>
      <c r="AK208" s="312"/>
      <c r="AL208" s="312"/>
      <c r="AM208" s="312"/>
      <c r="AN208" s="312"/>
      <c r="AO208" s="312"/>
      <c r="AP208" s="312"/>
      <c r="AQ208" s="312"/>
      <c r="AR208" s="312"/>
      <c r="AS208" s="312"/>
      <c r="AT208" s="312"/>
      <c r="AU208" s="312"/>
      <c r="AV208" s="312"/>
      <c r="AW208" s="312"/>
      <c r="AX208" s="312"/>
      <c r="AY208" s="312"/>
      <c r="AZ208" s="312"/>
      <c r="BA208" s="312"/>
      <c r="BB208" s="312"/>
      <c r="BC208" s="312"/>
      <c r="BD208" s="312"/>
      <c r="BE208" s="312"/>
      <c r="BF208" s="312"/>
      <c r="BG208" s="312"/>
      <c r="BH208" s="312"/>
      <c r="BI208" s="312"/>
      <c r="BJ208" s="312"/>
      <c r="BK208" s="312"/>
      <c r="BL208" s="312"/>
      <c r="BM208" s="312"/>
      <c r="BN208" s="312"/>
      <c r="BO208" s="312"/>
      <c r="BP208" s="312"/>
      <c r="BQ208" s="312"/>
      <c r="BR208" s="312"/>
      <c r="BS208" s="312"/>
      <c r="BT208" s="312"/>
      <c r="BU208" s="312"/>
      <c r="BV208" s="312"/>
      <c r="BW208" s="312"/>
      <c r="BX208" s="312"/>
      <c r="BY208" s="312"/>
      <c r="BZ208" s="312"/>
      <c r="CA208" s="312"/>
      <c r="CB208" s="312"/>
      <c r="CC208" s="312"/>
      <c r="CD208" s="312"/>
      <c r="CE208" s="312"/>
      <c r="CF208" s="312"/>
      <c r="CG208" s="312"/>
      <c r="CH208" s="312"/>
      <c r="CI208" s="312"/>
      <c r="CJ208" s="312"/>
      <c r="CK208" s="312"/>
      <c r="CL208" s="312"/>
      <c r="CM208" s="312"/>
      <c r="CN208" s="312"/>
      <c r="CO208" s="312"/>
      <c r="CP208" s="312"/>
      <c r="CQ208" s="312"/>
      <c r="CR208" s="312"/>
      <c r="CS208" s="312"/>
      <c r="CT208" s="312"/>
      <c r="CU208" s="312"/>
      <c r="CV208" s="312"/>
      <c r="CW208" s="312"/>
      <c r="CX208" s="312"/>
      <c r="CY208" s="312"/>
      <c r="CZ208" s="312"/>
      <c r="DA208" s="312"/>
      <c r="DB208" s="312"/>
      <c r="DC208" s="312"/>
      <c r="DD208" s="312"/>
      <c r="DE208" s="312"/>
      <c r="DF208" s="312"/>
      <c r="DG208" s="312"/>
      <c r="DH208" s="312"/>
      <c r="DI208" s="312"/>
      <c r="DJ208" s="312"/>
      <c r="DK208" s="312"/>
      <c r="DL208" s="312"/>
      <c r="DM208" s="312"/>
      <c r="DN208" s="312"/>
      <c r="DO208" s="312"/>
      <c r="DP208" s="312"/>
      <c r="DQ208" s="312"/>
      <c r="DR208" s="312"/>
      <c r="DS208" s="312"/>
      <c r="DT208" s="312"/>
      <c r="DU208" s="312"/>
      <c r="DV208" s="312"/>
      <c r="DW208" s="312"/>
      <c r="DX208" s="312"/>
      <c r="DY208" s="312"/>
      <c r="DZ208" s="312"/>
      <c r="EA208" s="312"/>
      <c r="EB208" s="312"/>
      <c r="EC208" s="312"/>
      <c r="ED208" s="312"/>
      <c r="EE208" s="312"/>
      <c r="EF208" s="312"/>
      <c r="EG208" s="312"/>
      <c r="EH208" s="312"/>
      <c r="EI208" s="312"/>
      <c r="EJ208" s="312"/>
      <c r="EK208" s="312"/>
      <c r="EL208" s="312"/>
      <c r="EM208" s="312"/>
      <c r="EN208" s="312"/>
      <c r="EO208" s="312"/>
      <c r="EP208" s="312"/>
      <c r="EQ208" s="312"/>
      <c r="ER208" s="312"/>
      <c r="ES208" s="312"/>
      <c r="ET208" s="312"/>
      <c r="EU208" s="312"/>
      <c r="EV208" s="312"/>
      <c r="EW208" s="312"/>
      <c r="EX208" s="312"/>
      <c r="EY208" s="312"/>
      <c r="EZ208" s="312"/>
      <c r="FA208" s="312"/>
      <c r="FB208" s="312"/>
      <c r="FC208" s="312"/>
      <c r="FD208" s="312"/>
      <c r="FE208" s="312"/>
      <c r="FF208" s="312"/>
      <c r="FG208" s="312"/>
      <c r="FH208" s="312"/>
      <c r="FI208" s="312"/>
      <c r="FJ208" s="312"/>
      <c r="FK208" s="312"/>
      <c r="FL208" s="312"/>
      <c r="FM208" s="312"/>
      <c r="FN208" s="312"/>
      <c r="FO208" s="312"/>
      <c r="FP208" s="312"/>
      <c r="FQ208" s="312"/>
      <c r="FR208" s="312"/>
      <c r="FS208" s="312"/>
      <c r="FT208" s="312"/>
      <c r="FU208" s="312"/>
      <c r="FV208" s="312"/>
      <c r="FW208" s="312"/>
      <c r="FX208" s="312"/>
      <c r="FY208" s="312"/>
      <c r="FZ208" s="312"/>
      <c r="GA208" s="312"/>
      <c r="GB208" s="312"/>
      <c r="GC208" s="312"/>
      <c r="GD208" s="312"/>
      <c r="GE208" s="312"/>
      <c r="GF208" s="312"/>
      <c r="GG208" s="312"/>
      <c r="GH208" s="312"/>
      <c r="GI208" s="312"/>
      <c r="GJ208" s="312"/>
      <c r="GK208" s="312"/>
      <c r="GL208" s="312"/>
      <c r="GM208" s="312"/>
      <c r="GN208" s="312"/>
      <c r="GO208" s="312"/>
      <c r="GP208" s="312"/>
      <c r="GQ208" s="312"/>
      <c r="GR208" s="312"/>
      <c r="GS208" s="312"/>
      <c r="GT208" s="312"/>
      <c r="GU208" s="312"/>
      <c r="GV208" s="312"/>
      <c r="GW208" s="312"/>
      <c r="GX208" s="312"/>
      <c r="GY208" s="312"/>
    </row>
    <row r="209" spans="2:207" ht="15.75" x14ac:dyDescent="0.25">
      <c r="B209" s="316">
        <f t="shared" si="39"/>
        <v>179</v>
      </c>
      <c r="C209" s="330">
        <f>'סיכום לוועדה'!B209</f>
        <v>1001346674</v>
      </c>
      <c r="D209" s="330">
        <f>'סיכום לוועדה'!C209</f>
        <v>1001263309</v>
      </c>
      <c r="E209" s="330">
        <f>'סיכום לוועדה'!D209</f>
        <v>40507679</v>
      </c>
      <c r="F209" s="330">
        <f>'סיכום לוועדה'!E209</f>
        <v>20000057</v>
      </c>
      <c r="G209" s="330" t="str">
        <f>'סיכום לוועדה'!F209</f>
        <v>מעיליא</v>
      </c>
      <c r="H209" s="317" t="str">
        <f>'סיכום לוועדה'!G209</f>
        <v>"ביאת" למוסיקה ושירה (ע"ר)</v>
      </c>
      <c r="I209" s="318">
        <f>'סיכום לוועדה'!U209</f>
        <v>1685000</v>
      </c>
      <c r="J209" s="319">
        <f>'סיכום לוועדה'!T209</f>
        <v>163241.50209201997</v>
      </c>
      <c r="K209" s="320">
        <f t="shared" si="40"/>
        <v>0</v>
      </c>
      <c r="L209" s="319">
        <f t="shared" si="41"/>
        <v>163241.50209201997</v>
      </c>
      <c r="M209" s="331">
        <f>'תחום תמיכה ב'!AF209</f>
        <v>1.1030207682628992E-3</v>
      </c>
      <c r="N209" s="319">
        <f t="shared" si="38"/>
        <v>182030.92251721097</v>
      </c>
      <c r="O209" s="321">
        <f t="shared" si="42"/>
        <v>0</v>
      </c>
      <c r="P209" s="322">
        <f t="shared" si="43"/>
        <v>182030.92251721097</v>
      </c>
      <c r="Q209" s="322">
        <f t="shared" si="44"/>
        <v>182113.80600378918</v>
      </c>
      <c r="R209" s="321">
        <f t="shared" si="45"/>
        <v>0</v>
      </c>
      <c r="S209" s="322">
        <f t="shared" si="46"/>
        <v>182113.80600378918</v>
      </c>
      <c r="T209" s="322">
        <f t="shared" si="47"/>
        <v>182113.80600378881</v>
      </c>
      <c r="U209" s="321">
        <f t="shared" si="48"/>
        <v>0</v>
      </c>
      <c r="V209" s="322">
        <f t="shared" si="49"/>
        <v>182113.80600378881</v>
      </c>
      <c r="W209" s="322">
        <f t="shared" si="50"/>
        <v>182113.80600378886</v>
      </c>
      <c r="X209" s="321">
        <f t="shared" si="51"/>
        <v>0</v>
      </c>
      <c r="Y209" s="322">
        <f t="shared" si="52"/>
        <v>182113.80600378886</v>
      </c>
      <c r="Z209" s="322">
        <f t="shared" si="53"/>
        <v>182113.80600378884</v>
      </c>
      <c r="AA209" s="323">
        <f t="shared" si="54"/>
        <v>182113.80600378884</v>
      </c>
      <c r="AB209" s="323"/>
      <c r="AC209" s="323"/>
      <c r="AD209" s="323"/>
      <c r="AE209" s="323"/>
      <c r="AF209" s="324">
        <f t="shared" si="55"/>
        <v>1.0429263517031163E-3</v>
      </c>
      <c r="AG209" s="312"/>
      <c r="AH209" s="312"/>
      <c r="AI209" s="325">
        <f t="shared" si="56"/>
        <v>1</v>
      </c>
      <c r="AJ209" s="312"/>
      <c r="AK209" s="312"/>
      <c r="AL209" s="312"/>
      <c r="AM209" s="312"/>
      <c r="AN209" s="312"/>
      <c r="AO209" s="312"/>
      <c r="AP209" s="312"/>
      <c r="AQ209" s="312"/>
      <c r="AR209" s="312"/>
      <c r="AS209" s="312"/>
      <c r="AT209" s="312"/>
      <c r="AU209" s="312"/>
      <c r="AV209" s="312"/>
      <c r="AW209" s="312"/>
      <c r="AX209" s="312"/>
      <c r="AY209" s="312"/>
      <c r="AZ209" s="312"/>
      <c r="BA209" s="312"/>
      <c r="BB209" s="312"/>
      <c r="BC209" s="312"/>
      <c r="BD209" s="312"/>
      <c r="BE209" s="312"/>
      <c r="BF209" s="312"/>
      <c r="BG209" s="312"/>
      <c r="BH209" s="312"/>
      <c r="BI209" s="312"/>
      <c r="BJ209" s="312"/>
      <c r="BK209" s="312"/>
      <c r="BL209" s="312"/>
      <c r="BM209" s="312"/>
      <c r="BN209" s="312"/>
      <c r="BO209" s="312"/>
      <c r="BP209" s="312"/>
      <c r="BQ209" s="312"/>
      <c r="BR209" s="312"/>
      <c r="BS209" s="312"/>
      <c r="BT209" s="312"/>
      <c r="BU209" s="312"/>
      <c r="BV209" s="312"/>
      <c r="BW209" s="312"/>
      <c r="BX209" s="312"/>
      <c r="BY209" s="312"/>
      <c r="BZ209" s="312"/>
      <c r="CA209" s="312"/>
      <c r="CB209" s="312"/>
      <c r="CC209" s="312"/>
      <c r="CD209" s="312"/>
      <c r="CE209" s="312"/>
      <c r="CF209" s="312"/>
      <c r="CG209" s="312"/>
      <c r="CH209" s="312"/>
      <c r="CI209" s="312"/>
      <c r="CJ209" s="312"/>
      <c r="CK209" s="312"/>
      <c r="CL209" s="312"/>
      <c r="CM209" s="312"/>
      <c r="CN209" s="312"/>
      <c r="CO209" s="312"/>
      <c r="CP209" s="312"/>
      <c r="CQ209" s="312"/>
      <c r="CR209" s="312"/>
      <c r="CS209" s="312"/>
      <c r="CT209" s="312"/>
      <c r="CU209" s="312"/>
      <c r="CV209" s="312"/>
      <c r="CW209" s="312"/>
      <c r="CX209" s="312"/>
      <c r="CY209" s="312"/>
      <c r="CZ209" s="312"/>
      <c r="DA209" s="312"/>
      <c r="DB209" s="312"/>
      <c r="DC209" s="312"/>
      <c r="DD209" s="312"/>
      <c r="DE209" s="312"/>
      <c r="DF209" s="312"/>
      <c r="DG209" s="312"/>
      <c r="DH209" s="312"/>
      <c r="DI209" s="312"/>
      <c r="DJ209" s="312"/>
      <c r="DK209" s="312"/>
      <c r="DL209" s="312"/>
      <c r="DM209" s="312"/>
      <c r="DN209" s="312"/>
      <c r="DO209" s="312"/>
      <c r="DP209" s="312"/>
      <c r="DQ209" s="312"/>
      <c r="DR209" s="312"/>
      <c r="DS209" s="312"/>
      <c r="DT209" s="312"/>
      <c r="DU209" s="312"/>
      <c r="DV209" s="312"/>
      <c r="DW209" s="312"/>
      <c r="DX209" s="312"/>
      <c r="DY209" s="312"/>
      <c r="DZ209" s="312"/>
      <c r="EA209" s="312"/>
      <c r="EB209" s="312"/>
      <c r="EC209" s="312"/>
      <c r="ED209" s="312"/>
      <c r="EE209" s="312"/>
      <c r="EF209" s="312"/>
      <c r="EG209" s="312"/>
      <c r="EH209" s="312"/>
      <c r="EI209" s="312"/>
      <c r="EJ209" s="312"/>
      <c r="EK209" s="312"/>
      <c r="EL209" s="312"/>
      <c r="EM209" s="312"/>
      <c r="EN209" s="312"/>
      <c r="EO209" s="312"/>
      <c r="EP209" s="312"/>
      <c r="EQ209" s="312"/>
      <c r="ER209" s="312"/>
      <c r="ES209" s="312"/>
      <c r="ET209" s="312"/>
      <c r="EU209" s="312"/>
      <c r="EV209" s="312"/>
      <c r="EW209" s="312"/>
      <c r="EX209" s="312"/>
      <c r="EY209" s="312"/>
      <c r="EZ209" s="312"/>
      <c r="FA209" s="312"/>
      <c r="FB209" s="312"/>
      <c r="FC209" s="312"/>
      <c r="FD209" s="312"/>
      <c r="FE209" s="312"/>
      <c r="FF209" s="312"/>
      <c r="FG209" s="312"/>
      <c r="FH209" s="312"/>
      <c r="FI209" s="312"/>
      <c r="FJ209" s="312"/>
      <c r="FK209" s="312"/>
      <c r="FL209" s="312"/>
      <c r="FM209" s="312"/>
      <c r="FN209" s="312"/>
      <c r="FO209" s="312"/>
      <c r="FP209" s="312"/>
      <c r="FQ209" s="312"/>
      <c r="FR209" s="312"/>
      <c r="FS209" s="312"/>
      <c r="FT209" s="312"/>
      <c r="FU209" s="312"/>
      <c r="FV209" s="312"/>
      <c r="FW209" s="312"/>
      <c r="FX209" s="312"/>
      <c r="FY209" s="312"/>
      <c r="FZ209" s="312"/>
      <c r="GA209" s="312"/>
      <c r="GB209" s="312"/>
      <c r="GC209" s="312"/>
      <c r="GD209" s="312"/>
      <c r="GE209" s="312"/>
      <c r="GF209" s="312"/>
      <c r="GG209" s="312"/>
      <c r="GH209" s="312"/>
      <c r="GI209" s="312"/>
      <c r="GJ209" s="312"/>
      <c r="GK209" s="312"/>
      <c r="GL209" s="312"/>
      <c r="GM209" s="312"/>
      <c r="GN209" s="312"/>
      <c r="GO209" s="312"/>
      <c r="GP209" s="312"/>
      <c r="GQ209" s="312"/>
      <c r="GR209" s="312"/>
      <c r="GS209" s="312"/>
      <c r="GT209" s="312"/>
      <c r="GU209" s="312"/>
      <c r="GV209" s="312"/>
      <c r="GW209" s="312"/>
      <c r="GX209" s="312"/>
      <c r="GY209" s="312"/>
    </row>
    <row r="210" spans="2:207" ht="15.75" x14ac:dyDescent="0.25">
      <c r="B210" s="316">
        <f t="shared" si="39"/>
        <v>180</v>
      </c>
      <c r="C210" s="330">
        <f>'סיכום לוועדה'!B210</f>
        <v>1001350423</v>
      </c>
      <c r="D210" s="330">
        <f>'סיכום לוועדה'!C210</f>
        <v>1001288875</v>
      </c>
      <c r="E210" s="330">
        <f>'סיכום לוועדה'!D210</f>
        <v>41904917</v>
      </c>
      <c r="F210" s="330">
        <f>'סיכום לוועדה'!E210</f>
        <v>20000065</v>
      </c>
      <c r="G210" s="330" t="str">
        <f>'סיכום לוועדה'!F210</f>
        <v>עספיא</v>
      </c>
      <c r="H210" s="317" t="str">
        <f>'סיכום לוועדה'!G210</f>
        <v>התאחדות מוסיקאים ואמנים ערבים</v>
      </c>
      <c r="I210" s="318">
        <f>'סיכום לוועדה'!U210</f>
        <v>450000</v>
      </c>
      <c r="J210" s="319">
        <f>'סיכום לוועדה'!T210</f>
        <v>31465.127773142427</v>
      </c>
      <c r="K210" s="320">
        <f t="shared" si="40"/>
        <v>0</v>
      </c>
      <c r="L210" s="319">
        <f t="shared" si="41"/>
        <v>31465.127773142427</v>
      </c>
      <c r="M210" s="331">
        <f>'תחום תמיכה ב'!AF210</f>
        <v>2.7962048557022157E-4</v>
      </c>
      <c r="N210" s="319">
        <f t="shared" si="38"/>
        <v>36228.326267717552</v>
      </c>
      <c r="O210" s="321">
        <f t="shared" si="42"/>
        <v>0</v>
      </c>
      <c r="P210" s="322">
        <f t="shared" si="43"/>
        <v>36228.326267717552</v>
      </c>
      <c r="Q210" s="322">
        <f t="shared" si="44"/>
        <v>36244.821981481116</v>
      </c>
      <c r="R210" s="321">
        <f t="shared" si="45"/>
        <v>0</v>
      </c>
      <c r="S210" s="322">
        <f t="shared" si="46"/>
        <v>36244.821981481116</v>
      </c>
      <c r="T210" s="322">
        <f t="shared" si="47"/>
        <v>36244.821981481044</v>
      </c>
      <c r="U210" s="321">
        <f t="shared" si="48"/>
        <v>0</v>
      </c>
      <c r="V210" s="322">
        <f t="shared" si="49"/>
        <v>36244.821981481044</v>
      </c>
      <c r="W210" s="322">
        <f t="shared" si="50"/>
        <v>36244.821981481058</v>
      </c>
      <c r="X210" s="321">
        <f t="shared" si="51"/>
        <v>0</v>
      </c>
      <c r="Y210" s="322">
        <f t="shared" si="52"/>
        <v>36244.821981481058</v>
      </c>
      <c r="Z210" s="322">
        <f t="shared" si="53"/>
        <v>36244.821981481051</v>
      </c>
      <c r="AA210" s="323">
        <f t="shared" si="54"/>
        <v>36244.821981481051</v>
      </c>
      <c r="AB210" s="323"/>
      <c r="AC210" s="323"/>
      <c r="AD210" s="323"/>
      <c r="AE210" s="323"/>
      <c r="AF210" s="324">
        <f t="shared" si="55"/>
        <v>2.0756625094359136E-4</v>
      </c>
      <c r="AG210" s="312"/>
      <c r="AH210" s="312"/>
      <c r="AI210" s="325">
        <f t="shared" si="56"/>
        <v>1</v>
      </c>
      <c r="AJ210" s="312"/>
      <c r="AK210" s="312"/>
      <c r="AL210" s="312"/>
      <c r="AM210" s="312"/>
      <c r="AN210" s="312"/>
      <c r="AO210" s="312"/>
      <c r="AP210" s="312"/>
      <c r="AQ210" s="312"/>
      <c r="AR210" s="312"/>
      <c r="AS210" s="312"/>
      <c r="AT210" s="312"/>
      <c r="AU210" s="312"/>
      <c r="AV210" s="312"/>
      <c r="AW210" s="312"/>
      <c r="AX210" s="312"/>
      <c r="AY210" s="312"/>
      <c r="AZ210" s="312"/>
      <c r="BA210" s="312"/>
      <c r="BB210" s="312"/>
      <c r="BC210" s="312"/>
      <c r="BD210" s="312"/>
      <c r="BE210" s="312"/>
      <c r="BF210" s="312"/>
      <c r="BG210" s="312"/>
      <c r="BH210" s="312"/>
      <c r="BI210" s="312"/>
      <c r="BJ210" s="312"/>
      <c r="BK210" s="312"/>
      <c r="BL210" s="312"/>
      <c r="BM210" s="312"/>
      <c r="BN210" s="312"/>
      <c r="BO210" s="312"/>
      <c r="BP210" s="312"/>
      <c r="BQ210" s="312"/>
      <c r="BR210" s="312"/>
      <c r="BS210" s="312"/>
      <c r="BT210" s="312"/>
      <c r="BU210" s="312"/>
      <c r="BV210" s="312"/>
      <c r="BW210" s="312"/>
      <c r="BX210" s="312"/>
      <c r="BY210" s="312"/>
      <c r="BZ210" s="312"/>
      <c r="CA210" s="312"/>
      <c r="CB210" s="312"/>
      <c r="CC210" s="312"/>
      <c r="CD210" s="312"/>
      <c r="CE210" s="312"/>
      <c r="CF210" s="312"/>
      <c r="CG210" s="312"/>
      <c r="CH210" s="312"/>
      <c r="CI210" s="312"/>
      <c r="CJ210" s="312"/>
      <c r="CK210" s="312"/>
      <c r="CL210" s="312"/>
      <c r="CM210" s="312"/>
      <c r="CN210" s="312"/>
      <c r="CO210" s="312"/>
      <c r="CP210" s="312"/>
      <c r="CQ210" s="312"/>
      <c r="CR210" s="312"/>
      <c r="CS210" s="312"/>
      <c r="CT210" s="312"/>
      <c r="CU210" s="312"/>
      <c r="CV210" s="312"/>
      <c r="CW210" s="312"/>
      <c r="CX210" s="312"/>
      <c r="CY210" s="312"/>
      <c r="CZ210" s="312"/>
      <c r="DA210" s="312"/>
      <c r="DB210" s="312"/>
      <c r="DC210" s="312"/>
      <c r="DD210" s="312"/>
      <c r="DE210" s="312"/>
      <c r="DF210" s="312"/>
      <c r="DG210" s="312"/>
      <c r="DH210" s="312"/>
      <c r="DI210" s="312"/>
      <c r="DJ210" s="312"/>
      <c r="DK210" s="312"/>
      <c r="DL210" s="312"/>
      <c r="DM210" s="312"/>
      <c r="DN210" s="312"/>
      <c r="DO210" s="312"/>
      <c r="DP210" s="312"/>
      <c r="DQ210" s="312"/>
      <c r="DR210" s="312"/>
      <c r="DS210" s="312"/>
      <c r="DT210" s="312"/>
      <c r="DU210" s="312"/>
      <c r="DV210" s="312"/>
      <c r="DW210" s="312"/>
      <c r="DX210" s="312"/>
      <c r="DY210" s="312"/>
      <c r="DZ210" s="312"/>
      <c r="EA210" s="312"/>
      <c r="EB210" s="312"/>
      <c r="EC210" s="312"/>
      <c r="ED210" s="312"/>
      <c r="EE210" s="312"/>
      <c r="EF210" s="312"/>
      <c r="EG210" s="312"/>
      <c r="EH210" s="312"/>
      <c r="EI210" s="312"/>
      <c r="EJ210" s="312"/>
      <c r="EK210" s="312"/>
      <c r="EL210" s="312"/>
      <c r="EM210" s="312"/>
      <c r="EN210" s="312"/>
      <c r="EO210" s="312"/>
      <c r="EP210" s="312"/>
      <c r="EQ210" s="312"/>
      <c r="ER210" s="312"/>
      <c r="ES210" s="312"/>
      <c r="ET210" s="312"/>
      <c r="EU210" s="312"/>
      <c r="EV210" s="312"/>
      <c r="EW210" s="312"/>
      <c r="EX210" s="312"/>
      <c r="EY210" s="312"/>
      <c r="EZ210" s="312"/>
      <c r="FA210" s="312"/>
      <c r="FB210" s="312"/>
      <c r="FC210" s="312"/>
      <c r="FD210" s="312"/>
      <c r="FE210" s="312"/>
      <c r="FF210" s="312"/>
      <c r="FG210" s="312"/>
      <c r="FH210" s="312"/>
      <c r="FI210" s="312"/>
      <c r="FJ210" s="312"/>
      <c r="FK210" s="312"/>
      <c r="FL210" s="312"/>
      <c r="FM210" s="312"/>
      <c r="FN210" s="312"/>
      <c r="FO210" s="312"/>
      <c r="FP210" s="312"/>
      <c r="FQ210" s="312"/>
      <c r="FR210" s="312"/>
      <c r="FS210" s="312"/>
      <c r="FT210" s="312"/>
      <c r="FU210" s="312"/>
      <c r="FV210" s="312"/>
      <c r="FW210" s="312"/>
      <c r="FX210" s="312"/>
      <c r="FY210" s="312"/>
      <c r="FZ210" s="312"/>
      <c r="GA210" s="312"/>
      <c r="GB210" s="312"/>
      <c r="GC210" s="312"/>
      <c r="GD210" s="312"/>
      <c r="GE210" s="312"/>
      <c r="GF210" s="312"/>
      <c r="GG210" s="312"/>
      <c r="GH210" s="312"/>
      <c r="GI210" s="312"/>
      <c r="GJ210" s="312"/>
      <c r="GK210" s="312"/>
      <c r="GL210" s="312"/>
      <c r="GM210" s="312"/>
      <c r="GN210" s="312"/>
      <c r="GO210" s="312"/>
      <c r="GP210" s="312"/>
      <c r="GQ210" s="312"/>
      <c r="GR210" s="312"/>
      <c r="GS210" s="312"/>
      <c r="GT210" s="312"/>
      <c r="GU210" s="312"/>
      <c r="GV210" s="312"/>
      <c r="GW210" s="312"/>
      <c r="GX210" s="312"/>
      <c r="GY210" s="312"/>
    </row>
    <row r="211" spans="2:207" ht="15.75" x14ac:dyDescent="0.25">
      <c r="B211" s="316">
        <f t="shared" si="39"/>
        <v>181</v>
      </c>
      <c r="C211" s="330">
        <f>'סיכום לוועדה'!B211</f>
        <v>1001350410</v>
      </c>
      <c r="D211" s="330">
        <f>'סיכום לוועדה'!C211</f>
        <v>1001280469</v>
      </c>
      <c r="E211" s="330">
        <f>'סיכום לוועדה'!D211</f>
        <v>40822680</v>
      </c>
      <c r="F211" s="330">
        <f>'סיכום לוועדה'!E211</f>
        <v>20000201</v>
      </c>
      <c r="G211" s="330" t="str">
        <f>'סיכום לוועדה'!F211</f>
        <v>תל אביב -יפו</v>
      </c>
      <c r="H211" s="317" t="str">
        <f>'סיכום לוועדה'!G211</f>
        <v>העמותה לקידום סרטי תרבות ואמנות (ע"</v>
      </c>
      <c r="I211" s="318">
        <f>'סיכום לוועדה'!U211</f>
        <v>256054</v>
      </c>
      <c r="J211" s="319">
        <f>'סיכום לוועדה'!T211</f>
        <v>80131.704657628958</v>
      </c>
      <c r="K211" s="320">
        <f t="shared" si="40"/>
        <v>0</v>
      </c>
      <c r="L211" s="319">
        <f t="shared" si="41"/>
        <v>80131.704657628958</v>
      </c>
      <c r="M211" s="331">
        <f>'תחום תמיכה ב'!AF211</f>
        <v>4.072613194250769E-4</v>
      </c>
      <c r="N211" s="319">
        <f t="shared" si="38"/>
        <v>87069.202458007552</v>
      </c>
      <c r="O211" s="321">
        <f t="shared" si="42"/>
        <v>0</v>
      </c>
      <c r="P211" s="322">
        <f t="shared" si="43"/>
        <v>87069.202458007552</v>
      </c>
      <c r="Q211" s="322">
        <f t="shared" si="44"/>
        <v>87108.847365441456</v>
      </c>
      <c r="R211" s="321">
        <f t="shared" si="45"/>
        <v>0</v>
      </c>
      <c r="S211" s="322">
        <f t="shared" si="46"/>
        <v>87108.847365441456</v>
      </c>
      <c r="T211" s="322">
        <f t="shared" si="47"/>
        <v>87108.847365441281</v>
      </c>
      <c r="U211" s="321">
        <f t="shared" si="48"/>
        <v>0</v>
      </c>
      <c r="V211" s="322">
        <f t="shared" si="49"/>
        <v>87108.847365441281</v>
      </c>
      <c r="W211" s="322">
        <f t="shared" si="50"/>
        <v>87108.847365441325</v>
      </c>
      <c r="X211" s="321">
        <f t="shared" si="51"/>
        <v>0</v>
      </c>
      <c r="Y211" s="322">
        <f t="shared" si="52"/>
        <v>87108.847365441325</v>
      </c>
      <c r="Z211" s="322">
        <f t="shared" si="53"/>
        <v>87108.84736544131</v>
      </c>
      <c r="AA211" s="323">
        <f t="shared" si="54"/>
        <v>87108.84736544131</v>
      </c>
      <c r="AB211" s="323"/>
      <c r="AC211" s="323"/>
      <c r="AD211" s="323"/>
      <c r="AE211" s="323"/>
      <c r="AF211" s="324">
        <f t="shared" si="55"/>
        <v>4.9885351570771758E-4</v>
      </c>
      <c r="AG211" s="312"/>
      <c r="AH211" s="312"/>
      <c r="AI211" s="325">
        <f t="shared" si="56"/>
        <v>1</v>
      </c>
      <c r="AJ211" s="312"/>
      <c r="AK211" s="312"/>
      <c r="AL211" s="312"/>
      <c r="AM211" s="312"/>
      <c r="AN211" s="312"/>
      <c r="AO211" s="312"/>
      <c r="AP211" s="312"/>
      <c r="AQ211" s="312"/>
      <c r="AR211" s="312"/>
      <c r="AS211" s="312"/>
      <c r="AT211" s="312"/>
      <c r="AU211" s="312"/>
      <c r="AV211" s="312"/>
      <c r="AW211" s="312"/>
      <c r="AX211" s="312"/>
      <c r="AY211" s="312"/>
      <c r="AZ211" s="312"/>
      <c r="BA211" s="312"/>
      <c r="BB211" s="312"/>
      <c r="BC211" s="312"/>
      <c r="BD211" s="312"/>
      <c r="BE211" s="312"/>
      <c r="BF211" s="312"/>
      <c r="BG211" s="312"/>
      <c r="BH211" s="312"/>
      <c r="BI211" s="312"/>
      <c r="BJ211" s="312"/>
      <c r="BK211" s="312"/>
      <c r="BL211" s="312"/>
      <c r="BM211" s="312"/>
      <c r="BN211" s="312"/>
      <c r="BO211" s="312"/>
      <c r="BP211" s="312"/>
      <c r="BQ211" s="312"/>
      <c r="BR211" s="312"/>
      <c r="BS211" s="312"/>
      <c r="BT211" s="312"/>
      <c r="BU211" s="312"/>
      <c r="BV211" s="312"/>
      <c r="BW211" s="312"/>
      <c r="BX211" s="312"/>
      <c r="BY211" s="312"/>
      <c r="BZ211" s="312"/>
      <c r="CA211" s="312"/>
      <c r="CB211" s="312"/>
      <c r="CC211" s="312"/>
      <c r="CD211" s="312"/>
      <c r="CE211" s="312"/>
      <c r="CF211" s="312"/>
      <c r="CG211" s="312"/>
      <c r="CH211" s="312"/>
      <c r="CI211" s="312"/>
      <c r="CJ211" s="312"/>
      <c r="CK211" s="312"/>
      <c r="CL211" s="312"/>
      <c r="CM211" s="312"/>
      <c r="CN211" s="312"/>
      <c r="CO211" s="312"/>
      <c r="CP211" s="312"/>
      <c r="CQ211" s="312"/>
      <c r="CR211" s="312"/>
      <c r="CS211" s="312"/>
      <c r="CT211" s="312"/>
      <c r="CU211" s="312"/>
      <c r="CV211" s="312"/>
      <c r="CW211" s="312"/>
      <c r="CX211" s="312"/>
      <c r="CY211" s="312"/>
      <c r="CZ211" s="312"/>
      <c r="DA211" s="312"/>
      <c r="DB211" s="312"/>
      <c r="DC211" s="312"/>
      <c r="DD211" s="312"/>
      <c r="DE211" s="312"/>
      <c r="DF211" s="312"/>
      <c r="DG211" s="312"/>
      <c r="DH211" s="312"/>
      <c r="DI211" s="312"/>
      <c r="DJ211" s="312"/>
      <c r="DK211" s="312"/>
      <c r="DL211" s="312"/>
      <c r="DM211" s="312"/>
      <c r="DN211" s="312"/>
      <c r="DO211" s="312"/>
      <c r="DP211" s="312"/>
      <c r="DQ211" s="312"/>
      <c r="DR211" s="312"/>
      <c r="DS211" s="312"/>
      <c r="DT211" s="312"/>
      <c r="DU211" s="312"/>
      <c r="DV211" s="312"/>
      <c r="DW211" s="312"/>
      <c r="DX211" s="312"/>
      <c r="DY211" s="312"/>
      <c r="DZ211" s="312"/>
      <c r="EA211" s="312"/>
      <c r="EB211" s="312"/>
      <c r="EC211" s="312"/>
      <c r="ED211" s="312"/>
      <c r="EE211" s="312"/>
      <c r="EF211" s="312"/>
      <c r="EG211" s="312"/>
      <c r="EH211" s="312"/>
      <c r="EI211" s="312"/>
      <c r="EJ211" s="312"/>
      <c r="EK211" s="312"/>
      <c r="EL211" s="312"/>
      <c r="EM211" s="312"/>
      <c r="EN211" s="312"/>
      <c r="EO211" s="312"/>
      <c r="EP211" s="312"/>
      <c r="EQ211" s="312"/>
      <c r="ER211" s="312"/>
      <c r="ES211" s="312"/>
      <c r="ET211" s="312"/>
      <c r="EU211" s="312"/>
      <c r="EV211" s="312"/>
      <c r="EW211" s="312"/>
      <c r="EX211" s="312"/>
      <c r="EY211" s="312"/>
      <c r="EZ211" s="312"/>
      <c r="FA211" s="312"/>
      <c r="FB211" s="312"/>
      <c r="FC211" s="312"/>
      <c r="FD211" s="312"/>
      <c r="FE211" s="312"/>
      <c r="FF211" s="312"/>
      <c r="FG211" s="312"/>
      <c r="FH211" s="312"/>
      <c r="FI211" s="312"/>
      <c r="FJ211" s="312"/>
      <c r="FK211" s="312"/>
      <c r="FL211" s="312"/>
      <c r="FM211" s="312"/>
      <c r="FN211" s="312"/>
      <c r="FO211" s="312"/>
      <c r="FP211" s="312"/>
      <c r="FQ211" s="312"/>
      <c r="FR211" s="312"/>
      <c r="FS211" s="312"/>
      <c r="FT211" s="312"/>
      <c r="FU211" s="312"/>
      <c r="FV211" s="312"/>
      <c r="FW211" s="312"/>
      <c r="FX211" s="312"/>
      <c r="FY211" s="312"/>
      <c r="FZ211" s="312"/>
      <c r="GA211" s="312"/>
      <c r="GB211" s="312"/>
      <c r="GC211" s="312"/>
      <c r="GD211" s="312"/>
      <c r="GE211" s="312"/>
      <c r="GF211" s="312"/>
      <c r="GG211" s="312"/>
      <c r="GH211" s="312"/>
      <c r="GI211" s="312"/>
      <c r="GJ211" s="312"/>
      <c r="GK211" s="312"/>
      <c r="GL211" s="312"/>
      <c r="GM211" s="312"/>
      <c r="GN211" s="312"/>
      <c r="GO211" s="312"/>
      <c r="GP211" s="312"/>
      <c r="GQ211" s="312"/>
      <c r="GR211" s="312"/>
      <c r="GS211" s="312"/>
      <c r="GT211" s="312"/>
      <c r="GU211" s="312"/>
      <c r="GV211" s="312"/>
      <c r="GW211" s="312"/>
      <c r="GX211" s="312"/>
      <c r="GY211" s="312"/>
    </row>
    <row r="212" spans="2:207" ht="15.75" x14ac:dyDescent="0.25">
      <c r="B212" s="316">
        <f t="shared" si="39"/>
        <v>182</v>
      </c>
      <c r="C212" s="330">
        <f>'סיכום לוועדה'!B212</f>
        <v>1001349287</v>
      </c>
      <c r="D212" s="330">
        <f>'סיכום לוועדה'!C212</f>
        <v>1001262828</v>
      </c>
      <c r="E212" s="330">
        <f>'סיכום לוועדה'!D212</f>
        <v>41489778</v>
      </c>
      <c r="F212" s="330">
        <f>'סיכום לוועדה'!E212</f>
        <v>20000211</v>
      </c>
      <c r="G212" s="330" t="str">
        <f>'סיכום לוועדה'!F212</f>
        <v>בת ים</v>
      </c>
      <c r="H212" s="317" t="str">
        <f>'סיכום לוועדה'!G212</f>
        <v>כלים גוף לעבודה כוריאוגרפית</v>
      </c>
      <c r="I212" s="318">
        <f>'סיכום לוועדה'!U212</f>
        <v>220000</v>
      </c>
      <c r="J212" s="319">
        <f>'סיכום לוועדה'!T212</f>
        <v>78977.687300402831</v>
      </c>
      <c r="K212" s="320">
        <f t="shared" si="40"/>
        <v>0</v>
      </c>
      <c r="L212" s="319">
        <f t="shared" si="41"/>
        <v>78977.687300402831</v>
      </c>
      <c r="M212" s="331">
        <f>'תחום תמיכה ב'!AF212</f>
        <v>4.8805160122822604E-4</v>
      </c>
      <c r="N212" s="319">
        <f t="shared" si="38"/>
        <v>87291.408119192638</v>
      </c>
      <c r="O212" s="321">
        <f t="shared" si="42"/>
        <v>0</v>
      </c>
      <c r="P212" s="322">
        <f t="shared" si="43"/>
        <v>87291.408119192638</v>
      </c>
      <c r="Q212" s="322">
        <f t="shared" si="44"/>
        <v>87331.15420273268</v>
      </c>
      <c r="R212" s="321">
        <f t="shared" si="45"/>
        <v>0</v>
      </c>
      <c r="S212" s="322">
        <f t="shared" si="46"/>
        <v>87331.15420273268</v>
      </c>
      <c r="T212" s="322">
        <f t="shared" si="47"/>
        <v>87331.154202732505</v>
      </c>
      <c r="U212" s="321">
        <f t="shared" si="48"/>
        <v>0</v>
      </c>
      <c r="V212" s="322">
        <f t="shared" si="49"/>
        <v>87331.154202732505</v>
      </c>
      <c r="W212" s="322">
        <f t="shared" si="50"/>
        <v>87331.154202732534</v>
      </c>
      <c r="X212" s="321">
        <f t="shared" si="51"/>
        <v>0</v>
      </c>
      <c r="Y212" s="322">
        <f t="shared" si="52"/>
        <v>87331.154202732534</v>
      </c>
      <c r="Z212" s="322">
        <f t="shared" si="53"/>
        <v>87331.154202732519</v>
      </c>
      <c r="AA212" s="323">
        <f t="shared" si="54"/>
        <v>87331.154202732519</v>
      </c>
      <c r="AB212" s="323"/>
      <c r="AC212" s="323"/>
      <c r="AD212" s="323"/>
      <c r="AE212" s="323"/>
      <c r="AF212" s="324">
        <f t="shared" si="55"/>
        <v>5.0012661885054008E-4</v>
      </c>
      <c r="AG212" s="312"/>
      <c r="AH212" s="312"/>
      <c r="AI212" s="325">
        <f t="shared" si="56"/>
        <v>1</v>
      </c>
      <c r="AJ212" s="312"/>
      <c r="AK212" s="312"/>
      <c r="AL212" s="312"/>
      <c r="AM212" s="312"/>
      <c r="AN212" s="312"/>
      <c r="AO212" s="312"/>
      <c r="AP212" s="312"/>
      <c r="AQ212" s="312"/>
      <c r="AR212" s="312"/>
      <c r="AS212" s="312"/>
      <c r="AT212" s="312"/>
      <c r="AU212" s="312"/>
      <c r="AV212" s="312"/>
      <c r="AW212" s="312"/>
      <c r="AX212" s="312"/>
      <c r="AY212" s="312"/>
      <c r="AZ212" s="312"/>
      <c r="BA212" s="312"/>
      <c r="BB212" s="312"/>
      <c r="BC212" s="312"/>
      <c r="BD212" s="312"/>
      <c r="BE212" s="312"/>
      <c r="BF212" s="312"/>
      <c r="BG212" s="312"/>
      <c r="BH212" s="312"/>
      <c r="BI212" s="312"/>
      <c r="BJ212" s="312"/>
      <c r="BK212" s="312"/>
      <c r="BL212" s="312"/>
      <c r="BM212" s="312"/>
      <c r="BN212" s="312"/>
      <c r="BO212" s="312"/>
      <c r="BP212" s="312"/>
      <c r="BQ212" s="312"/>
      <c r="BR212" s="312"/>
      <c r="BS212" s="312"/>
      <c r="BT212" s="312"/>
      <c r="BU212" s="312"/>
      <c r="BV212" s="312"/>
      <c r="BW212" s="312"/>
      <c r="BX212" s="312"/>
      <c r="BY212" s="312"/>
      <c r="BZ212" s="312"/>
      <c r="CA212" s="312"/>
      <c r="CB212" s="312"/>
      <c r="CC212" s="312"/>
      <c r="CD212" s="312"/>
      <c r="CE212" s="312"/>
      <c r="CF212" s="312"/>
      <c r="CG212" s="312"/>
      <c r="CH212" s="312"/>
      <c r="CI212" s="312"/>
      <c r="CJ212" s="312"/>
      <c r="CK212" s="312"/>
      <c r="CL212" s="312"/>
      <c r="CM212" s="312"/>
      <c r="CN212" s="312"/>
      <c r="CO212" s="312"/>
      <c r="CP212" s="312"/>
      <c r="CQ212" s="312"/>
      <c r="CR212" s="312"/>
      <c r="CS212" s="312"/>
      <c r="CT212" s="312"/>
      <c r="CU212" s="312"/>
      <c r="CV212" s="312"/>
      <c r="CW212" s="312"/>
      <c r="CX212" s="312"/>
      <c r="CY212" s="312"/>
      <c r="CZ212" s="312"/>
      <c r="DA212" s="312"/>
      <c r="DB212" s="312"/>
      <c r="DC212" s="312"/>
      <c r="DD212" s="312"/>
      <c r="DE212" s="312"/>
      <c r="DF212" s="312"/>
      <c r="DG212" s="312"/>
      <c r="DH212" s="312"/>
      <c r="DI212" s="312"/>
      <c r="DJ212" s="312"/>
      <c r="DK212" s="312"/>
      <c r="DL212" s="312"/>
      <c r="DM212" s="312"/>
      <c r="DN212" s="312"/>
      <c r="DO212" s="312"/>
      <c r="DP212" s="312"/>
      <c r="DQ212" s="312"/>
      <c r="DR212" s="312"/>
      <c r="DS212" s="312"/>
      <c r="DT212" s="312"/>
      <c r="DU212" s="312"/>
      <c r="DV212" s="312"/>
      <c r="DW212" s="312"/>
      <c r="DX212" s="312"/>
      <c r="DY212" s="312"/>
      <c r="DZ212" s="312"/>
      <c r="EA212" s="312"/>
      <c r="EB212" s="312"/>
      <c r="EC212" s="312"/>
      <c r="ED212" s="312"/>
      <c r="EE212" s="312"/>
      <c r="EF212" s="312"/>
      <c r="EG212" s="312"/>
      <c r="EH212" s="312"/>
      <c r="EI212" s="312"/>
      <c r="EJ212" s="312"/>
      <c r="EK212" s="312"/>
      <c r="EL212" s="312"/>
      <c r="EM212" s="312"/>
      <c r="EN212" s="312"/>
      <c r="EO212" s="312"/>
      <c r="EP212" s="312"/>
      <c r="EQ212" s="312"/>
      <c r="ER212" s="312"/>
      <c r="ES212" s="312"/>
      <c r="ET212" s="312"/>
      <c r="EU212" s="312"/>
      <c r="EV212" s="312"/>
      <c r="EW212" s="312"/>
      <c r="EX212" s="312"/>
      <c r="EY212" s="312"/>
      <c r="EZ212" s="312"/>
      <c r="FA212" s="312"/>
      <c r="FB212" s="312"/>
      <c r="FC212" s="312"/>
      <c r="FD212" s="312"/>
      <c r="FE212" s="312"/>
      <c r="FF212" s="312"/>
      <c r="FG212" s="312"/>
      <c r="FH212" s="312"/>
      <c r="FI212" s="312"/>
      <c r="FJ212" s="312"/>
      <c r="FK212" s="312"/>
      <c r="FL212" s="312"/>
      <c r="FM212" s="312"/>
      <c r="FN212" s="312"/>
      <c r="FO212" s="312"/>
      <c r="FP212" s="312"/>
      <c r="FQ212" s="312"/>
      <c r="FR212" s="312"/>
      <c r="FS212" s="312"/>
      <c r="FT212" s="312"/>
      <c r="FU212" s="312"/>
      <c r="FV212" s="312"/>
      <c r="FW212" s="312"/>
      <c r="FX212" s="312"/>
      <c r="FY212" s="312"/>
      <c r="FZ212" s="312"/>
      <c r="GA212" s="312"/>
      <c r="GB212" s="312"/>
      <c r="GC212" s="312"/>
      <c r="GD212" s="312"/>
      <c r="GE212" s="312"/>
      <c r="GF212" s="312"/>
      <c r="GG212" s="312"/>
      <c r="GH212" s="312"/>
      <c r="GI212" s="312"/>
      <c r="GJ212" s="312"/>
      <c r="GK212" s="312"/>
      <c r="GL212" s="312"/>
      <c r="GM212" s="312"/>
      <c r="GN212" s="312"/>
      <c r="GO212" s="312"/>
      <c r="GP212" s="312"/>
      <c r="GQ212" s="312"/>
      <c r="GR212" s="312"/>
      <c r="GS212" s="312"/>
      <c r="GT212" s="312"/>
      <c r="GU212" s="312"/>
      <c r="GV212" s="312"/>
      <c r="GW212" s="312"/>
      <c r="GX212" s="312"/>
      <c r="GY212" s="312"/>
    </row>
    <row r="213" spans="2:207" ht="15.75" x14ac:dyDescent="0.25">
      <c r="B213" s="316">
        <f t="shared" si="39"/>
        <v>183</v>
      </c>
      <c r="C213" s="330">
        <f>'סיכום לוועדה'!B213</f>
        <v>1001348951</v>
      </c>
      <c r="D213" s="330">
        <f>'סיכום לוועדה'!C213</f>
        <v>1001290208</v>
      </c>
      <c r="E213" s="330">
        <f>'סיכום לוועדה'!D213</f>
        <v>40298756</v>
      </c>
      <c r="F213" s="330">
        <f>'סיכום לוועדה'!E213</f>
        <v>20000182</v>
      </c>
      <c r="G213" s="330" t="str">
        <f>'סיכום לוועדה'!F213</f>
        <v>חיפה</v>
      </c>
      <c r="H213" s="317" t="str">
        <f>'סיכום לוועדה'!G213</f>
        <v>סרד לחינוך ספרותי</v>
      </c>
      <c r="I213" s="318">
        <f>'סיכום לוועדה'!U213</f>
        <v>350000</v>
      </c>
      <c r="J213" s="319">
        <f>'סיכום לוועדה'!T213</f>
        <v>40980.575005258303</v>
      </c>
      <c r="K213" s="320">
        <f t="shared" si="40"/>
        <v>0</v>
      </c>
      <c r="L213" s="319">
        <f t="shared" si="41"/>
        <v>40980.575005258303</v>
      </c>
      <c r="M213" s="331">
        <f>'תחום תמיכה ב'!AF213</f>
        <v>2.23780086707814E-4</v>
      </c>
      <c r="N213" s="319">
        <f t="shared" si="38"/>
        <v>44792.559559783607</v>
      </c>
      <c r="O213" s="321">
        <f t="shared" si="42"/>
        <v>0</v>
      </c>
      <c r="P213" s="322">
        <f t="shared" si="43"/>
        <v>44792.559559783607</v>
      </c>
      <c r="Q213" s="322">
        <f t="shared" si="44"/>
        <v>44812.95479515208</v>
      </c>
      <c r="R213" s="321">
        <f t="shared" si="45"/>
        <v>0</v>
      </c>
      <c r="S213" s="322">
        <f t="shared" si="46"/>
        <v>44812.95479515208</v>
      </c>
      <c r="T213" s="322">
        <f t="shared" si="47"/>
        <v>44812.954795151985</v>
      </c>
      <c r="U213" s="321">
        <f t="shared" si="48"/>
        <v>0</v>
      </c>
      <c r="V213" s="322">
        <f t="shared" si="49"/>
        <v>44812.954795151985</v>
      </c>
      <c r="W213" s="322">
        <f t="shared" si="50"/>
        <v>44812.954795152007</v>
      </c>
      <c r="X213" s="321">
        <f t="shared" si="51"/>
        <v>0</v>
      </c>
      <c r="Y213" s="322">
        <f t="shared" si="52"/>
        <v>44812.954795152007</v>
      </c>
      <c r="Z213" s="322">
        <f t="shared" si="53"/>
        <v>44812.954795152</v>
      </c>
      <c r="AA213" s="323">
        <f t="shared" si="54"/>
        <v>44812.954795152</v>
      </c>
      <c r="AB213" s="323"/>
      <c r="AC213" s="323"/>
      <c r="AD213" s="323"/>
      <c r="AE213" s="323"/>
      <c r="AF213" s="324">
        <f t="shared" si="55"/>
        <v>2.5663409314817244E-4</v>
      </c>
      <c r="AG213" s="312"/>
      <c r="AH213" s="312"/>
      <c r="AI213" s="325">
        <f t="shared" si="56"/>
        <v>1</v>
      </c>
      <c r="AJ213" s="312"/>
      <c r="AK213" s="312"/>
      <c r="AL213" s="312"/>
      <c r="AM213" s="312"/>
      <c r="AN213" s="312"/>
      <c r="AO213" s="312"/>
      <c r="AP213" s="312"/>
      <c r="AQ213" s="312"/>
      <c r="AR213" s="312"/>
      <c r="AS213" s="312"/>
      <c r="AT213" s="312"/>
      <c r="AU213" s="312"/>
      <c r="AV213" s="312"/>
      <c r="AW213" s="312"/>
      <c r="AX213" s="312"/>
      <c r="AY213" s="312"/>
      <c r="AZ213" s="312"/>
      <c r="BA213" s="312"/>
      <c r="BB213" s="312"/>
      <c r="BC213" s="312"/>
      <c r="BD213" s="312"/>
      <c r="BE213" s="312"/>
      <c r="BF213" s="312"/>
      <c r="BG213" s="312"/>
      <c r="BH213" s="312"/>
      <c r="BI213" s="312"/>
      <c r="BJ213" s="312"/>
      <c r="BK213" s="312"/>
      <c r="BL213" s="312"/>
      <c r="BM213" s="312"/>
      <c r="BN213" s="312"/>
      <c r="BO213" s="312"/>
      <c r="BP213" s="312"/>
      <c r="BQ213" s="312"/>
      <c r="BR213" s="312"/>
      <c r="BS213" s="312"/>
      <c r="BT213" s="312"/>
      <c r="BU213" s="312"/>
      <c r="BV213" s="312"/>
      <c r="BW213" s="312"/>
      <c r="BX213" s="312"/>
      <c r="BY213" s="312"/>
      <c r="BZ213" s="312"/>
      <c r="CA213" s="312"/>
      <c r="CB213" s="312"/>
      <c r="CC213" s="312"/>
      <c r="CD213" s="312"/>
      <c r="CE213" s="312"/>
      <c r="CF213" s="312"/>
      <c r="CG213" s="312"/>
      <c r="CH213" s="312"/>
      <c r="CI213" s="312"/>
      <c r="CJ213" s="312"/>
      <c r="CK213" s="312"/>
      <c r="CL213" s="312"/>
      <c r="CM213" s="312"/>
      <c r="CN213" s="312"/>
      <c r="CO213" s="312"/>
      <c r="CP213" s="312"/>
      <c r="CQ213" s="312"/>
      <c r="CR213" s="312"/>
      <c r="CS213" s="312"/>
      <c r="CT213" s="312"/>
      <c r="CU213" s="312"/>
      <c r="CV213" s="312"/>
      <c r="CW213" s="312"/>
      <c r="CX213" s="312"/>
      <c r="CY213" s="312"/>
      <c r="CZ213" s="312"/>
      <c r="DA213" s="312"/>
      <c r="DB213" s="312"/>
      <c r="DC213" s="312"/>
      <c r="DD213" s="312"/>
      <c r="DE213" s="312"/>
      <c r="DF213" s="312"/>
      <c r="DG213" s="312"/>
      <c r="DH213" s="312"/>
      <c r="DI213" s="312"/>
      <c r="DJ213" s="312"/>
      <c r="DK213" s="312"/>
      <c r="DL213" s="312"/>
      <c r="DM213" s="312"/>
      <c r="DN213" s="312"/>
      <c r="DO213" s="312"/>
      <c r="DP213" s="312"/>
      <c r="DQ213" s="312"/>
      <c r="DR213" s="312"/>
      <c r="DS213" s="312"/>
      <c r="DT213" s="312"/>
      <c r="DU213" s="312"/>
      <c r="DV213" s="312"/>
      <c r="DW213" s="312"/>
      <c r="DX213" s="312"/>
      <c r="DY213" s="312"/>
      <c r="DZ213" s="312"/>
      <c r="EA213" s="312"/>
      <c r="EB213" s="312"/>
      <c r="EC213" s="312"/>
      <c r="ED213" s="312"/>
      <c r="EE213" s="312"/>
      <c r="EF213" s="312"/>
      <c r="EG213" s="312"/>
      <c r="EH213" s="312"/>
      <c r="EI213" s="312"/>
      <c r="EJ213" s="312"/>
      <c r="EK213" s="312"/>
      <c r="EL213" s="312"/>
      <c r="EM213" s="312"/>
      <c r="EN213" s="312"/>
      <c r="EO213" s="312"/>
      <c r="EP213" s="312"/>
      <c r="EQ213" s="312"/>
      <c r="ER213" s="312"/>
      <c r="ES213" s="312"/>
      <c r="ET213" s="312"/>
      <c r="EU213" s="312"/>
      <c r="EV213" s="312"/>
      <c r="EW213" s="312"/>
      <c r="EX213" s="312"/>
      <c r="EY213" s="312"/>
      <c r="EZ213" s="312"/>
      <c r="FA213" s="312"/>
      <c r="FB213" s="312"/>
      <c r="FC213" s="312"/>
      <c r="FD213" s="312"/>
      <c r="FE213" s="312"/>
      <c r="FF213" s="312"/>
      <c r="FG213" s="312"/>
      <c r="FH213" s="312"/>
      <c r="FI213" s="312"/>
      <c r="FJ213" s="312"/>
      <c r="FK213" s="312"/>
      <c r="FL213" s="312"/>
      <c r="FM213" s="312"/>
      <c r="FN213" s="312"/>
      <c r="FO213" s="312"/>
      <c r="FP213" s="312"/>
      <c r="FQ213" s="312"/>
      <c r="FR213" s="312"/>
      <c r="FS213" s="312"/>
      <c r="FT213" s="312"/>
      <c r="FU213" s="312"/>
      <c r="FV213" s="312"/>
      <c r="FW213" s="312"/>
      <c r="FX213" s="312"/>
      <c r="FY213" s="312"/>
      <c r="FZ213" s="312"/>
      <c r="GA213" s="312"/>
      <c r="GB213" s="312"/>
      <c r="GC213" s="312"/>
      <c r="GD213" s="312"/>
      <c r="GE213" s="312"/>
      <c r="GF213" s="312"/>
      <c r="GG213" s="312"/>
      <c r="GH213" s="312"/>
      <c r="GI213" s="312"/>
      <c r="GJ213" s="312"/>
      <c r="GK213" s="312"/>
      <c r="GL213" s="312"/>
      <c r="GM213" s="312"/>
      <c r="GN213" s="312"/>
      <c r="GO213" s="312"/>
      <c r="GP213" s="312"/>
      <c r="GQ213" s="312"/>
      <c r="GR213" s="312"/>
      <c r="GS213" s="312"/>
      <c r="GT213" s="312"/>
      <c r="GU213" s="312"/>
      <c r="GV213" s="312"/>
      <c r="GW213" s="312"/>
      <c r="GX213" s="312"/>
      <c r="GY213" s="312"/>
    </row>
    <row r="214" spans="2:207" ht="15.75" x14ac:dyDescent="0.25">
      <c r="B214" s="316">
        <f t="shared" si="39"/>
        <v>184</v>
      </c>
      <c r="C214" s="330">
        <f>'סיכום לוועדה'!B214</f>
        <v>1001350272</v>
      </c>
      <c r="D214" s="330">
        <f>'סיכום לוועדה'!C214</f>
        <v>1001288861</v>
      </c>
      <c r="E214" s="330">
        <f>'סיכום לוועדה'!D214</f>
        <v>40000218</v>
      </c>
      <c r="F214" s="330">
        <f>'סיכום לוועדה'!E214</f>
        <v>20000061</v>
      </c>
      <c r="G214" s="330" t="str">
        <f>'סיכום לוועדה'!F214</f>
        <v>אעבלין</v>
      </c>
      <c r="H214" s="317" t="str">
        <f>'סיכום לוועדה'!G214</f>
        <v>אלכרואן</v>
      </c>
      <c r="I214" s="318">
        <f>'סיכום לוועדה'!U214</f>
        <v>500000</v>
      </c>
      <c r="J214" s="319">
        <f>'סיכום לוועדה'!T214</f>
        <v>83456.495750109956</v>
      </c>
      <c r="K214" s="320">
        <f t="shared" si="40"/>
        <v>0</v>
      </c>
      <c r="L214" s="319">
        <f t="shared" si="41"/>
        <v>83456.495750109956</v>
      </c>
      <c r="M214" s="331">
        <f>'תחום תמיכה ב'!AF214</f>
        <v>4.9231535305861176E-4</v>
      </c>
      <c r="N214" s="319">
        <f t="shared" si="38"/>
        <v>91842.847500279197</v>
      </c>
      <c r="O214" s="321">
        <f t="shared" si="42"/>
        <v>0</v>
      </c>
      <c r="P214" s="322">
        <f t="shared" si="43"/>
        <v>91842.847500279197</v>
      </c>
      <c r="Q214" s="322">
        <f t="shared" si="44"/>
        <v>91884.665974375952</v>
      </c>
      <c r="R214" s="321">
        <f t="shared" si="45"/>
        <v>0</v>
      </c>
      <c r="S214" s="322">
        <f t="shared" si="46"/>
        <v>91884.665974375952</v>
      </c>
      <c r="T214" s="322">
        <f t="shared" si="47"/>
        <v>91884.665974375763</v>
      </c>
      <c r="U214" s="321">
        <f t="shared" si="48"/>
        <v>0</v>
      </c>
      <c r="V214" s="322">
        <f t="shared" si="49"/>
        <v>91884.665974375763</v>
      </c>
      <c r="W214" s="322">
        <f t="shared" si="50"/>
        <v>91884.665974375792</v>
      </c>
      <c r="X214" s="321">
        <f t="shared" si="51"/>
        <v>0</v>
      </c>
      <c r="Y214" s="322">
        <f t="shared" si="52"/>
        <v>91884.665974375792</v>
      </c>
      <c r="Z214" s="322">
        <f t="shared" si="53"/>
        <v>91884.665974375777</v>
      </c>
      <c r="AA214" s="323">
        <f t="shared" si="54"/>
        <v>91884.665974375777</v>
      </c>
      <c r="AB214" s="323"/>
      <c r="AC214" s="323"/>
      <c r="AD214" s="323"/>
      <c r="AE214" s="323"/>
      <c r="AF214" s="324">
        <f t="shared" si="55"/>
        <v>5.2620359524044812E-4</v>
      </c>
      <c r="AG214" s="312"/>
      <c r="AH214" s="312"/>
      <c r="AI214" s="325">
        <f t="shared" si="56"/>
        <v>1</v>
      </c>
      <c r="AJ214" s="312"/>
      <c r="AK214" s="312"/>
      <c r="AL214" s="312"/>
      <c r="AM214" s="312"/>
      <c r="AN214" s="312"/>
      <c r="AO214" s="312"/>
      <c r="AP214" s="312"/>
      <c r="AQ214" s="312"/>
      <c r="AR214" s="312"/>
      <c r="AS214" s="312"/>
      <c r="AT214" s="312"/>
      <c r="AU214" s="312"/>
      <c r="AV214" s="312"/>
      <c r="AW214" s="312"/>
      <c r="AX214" s="312"/>
      <c r="AY214" s="312"/>
      <c r="AZ214" s="312"/>
      <c r="BA214" s="312"/>
      <c r="BB214" s="312"/>
      <c r="BC214" s="312"/>
      <c r="BD214" s="312"/>
      <c r="BE214" s="312"/>
      <c r="BF214" s="312"/>
      <c r="BG214" s="312"/>
      <c r="BH214" s="312"/>
      <c r="BI214" s="312"/>
      <c r="BJ214" s="312"/>
      <c r="BK214" s="312"/>
      <c r="BL214" s="312"/>
      <c r="BM214" s="312"/>
      <c r="BN214" s="312"/>
      <c r="BO214" s="312"/>
      <c r="BP214" s="312"/>
      <c r="BQ214" s="312"/>
      <c r="BR214" s="312"/>
      <c r="BS214" s="312"/>
      <c r="BT214" s="312"/>
      <c r="BU214" s="312"/>
      <c r="BV214" s="312"/>
      <c r="BW214" s="312"/>
      <c r="BX214" s="312"/>
      <c r="BY214" s="312"/>
      <c r="BZ214" s="312"/>
      <c r="CA214" s="312"/>
      <c r="CB214" s="312"/>
      <c r="CC214" s="312"/>
      <c r="CD214" s="312"/>
      <c r="CE214" s="312"/>
      <c r="CF214" s="312"/>
      <c r="CG214" s="312"/>
      <c r="CH214" s="312"/>
      <c r="CI214" s="312"/>
      <c r="CJ214" s="312"/>
      <c r="CK214" s="312"/>
      <c r="CL214" s="312"/>
      <c r="CM214" s="312"/>
      <c r="CN214" s="312"/>
      <c r="CO214" s="312"/>
      <c r="CP214" s="312"/>
      <c r="CQ214" s="312"/>
      <c r="CR214" s="312"/>
      <c r="CS214" s="312"/>
      <c r="CT214" s="312"/>
      <c r="CU214" s="312"/>
      <c r="CV214" s="312"/>
      <c r="CW214" s="312"/>
      <c r="CX214" s="312"/>
      <c r="CY214" s="312"/>
      <c r="CZ214" s="312"/>
      <c r="DA214" s="312"/>
      <c r="DB214" s="312"/>
      <c r="DC214" s="312"/>
      <c r="DD214" s="312"/>
      <c r="DE214" s="312"/>
      <c r="DF214" s="312"/>
      <c r="DG214" s="312"/>
      <c r="DH214" s="312"/>
      <c r="DI214" s="312"/>
      <c r="DJ214" s="312"/>
      <c r="DK214" s="312"/>
      <c r="DL214" s="312"/>
      <c r="DM214" s="312"/>
      <c r="DN214" s="312"/>
      <c r="DO214" s="312"/>
      <c r="DP214" s="312"/>
      <c r="DQ214" s="312"/>
      <c r="DR214" s="312"/>
      <c r="DS214" s="312"/>
      <c r="DT214" s="312"/>
      <c r="DU214" s="312"/>
      <c r="DV214" s="312"/>
      <c r="DW214" s="312"/>
      <c r="DX214" s="312"/>
      <c r="DY214" s="312"/>
      <c r="DZ214" s="312"/>
      <c r="EA214" s="312"/>
      <c r="EB214" s="312"/>
      <c r="EC214" s="312"/>
      <c r="ED214" s="312"/>
      <c r="EE214" s="312"/>
      <c r="EF214" s="312"/>
      <c r="EG214" s="312"/>
      <c r="EH214" s="312"/>
      <c r="EI214" s="312"/>
      <c r="EJ214" s="312"/>
      <c r="EK214" s="312"/>
      <c r="EL214" s="312"/>
      <c r="EM214" s="312"/>
      <c r="EN214" s="312"/>
      <c r="EO214" s="312"/>
      <c r="EP214" s="312"/>
      <c r="EQ214" s="312"/>
      <c r="ER214" s="312"/>
      <c r="ES214" s="312"/>
      <c r="ET214" s="312"/>
      <c r="EU214" s="312"/>
      <c r="EV214" s="312"/>
      <c r="EW214" s="312"/>
      <c r="EX214" s="312"/>
      <c r="EY214" s="312"/>
      <c r="EZ214" s="312"/>
      <c r="FA214" s="312"/>
      <c r="FB214" s="312"/>
      <c r="FC214" s="312"/>
      <c r="FD214" s="312"/>
      <c r="FE214" s="312"/>
      <c r="FF214" s="312"/>
      <c r="FG214" s="312"/>
      <c r="FH214" s="312"/>
      <c r="FI214" s="312"/>
      <c r="FJ214" s="312"/>
      <c r="FK214" s="312"/>
      <c r="FL214" s="312"/>
      <c r="FM214" s="312"/>
      <c r="FN214" s="312"/>
      <c r="FO214" s="312"/>
      <c r="FP214" s="312"/>
      <c r="FQ214" s="312"/>
      <c r="FR214" s="312"/>
      <c r="FS214" s="312"/>
      <c r="FT214" s="312"/>
      <c r="FU214" s="312"/>
      <c r="FV214" s="312"/>
      <c r="FW214" s="312"/>
      <c r="FX214" s="312"/>
      <c r="FY214" s="312"/>
      <c r="FZ214" s="312"/>
      <c r="GA214" s="312"/>
      <c r="GB214" s="312"/>
      <c r="GC214" s="312"/>
      <c r="GD214" s="312"/>
      <c r="GE214" s="312"/>
      <c r="GF214" s="312"/>
      <c r="GG214" s="312"/>
      <c r="GH214" s="312"/>
      <c r="GI214" s="312"/>
      <c r="GJ214" s="312"/>
      <c r="GK214" s="312"/>
      <c r="GL214" s="312"/>
      <c r="GM214" s="312"/>
      <c r="GN214" s="312"/>
      <c r="GO214" s="312"/>
      <c r="GP214" s="312"/>
      <c r="GQ214" s="312"/>
      <c r="GR214" s="312"/>
      <c r="GS214" s="312"/>
      <c r="GT214" s="312"/>
      <c r="GU214" s="312"/>
      <c r="GV214" s="312"/>
      <c r="GW214" s="312"/>
      <c r="GX214" s="312"/>
      <c r="GY214" s="312"/>
    </row>
    <row r="215" spans="2:207" ht="15.75" x14ac:dyDescent="0.25">
      <c r="B215" s="316">
        <f t="shared" si="39"/>
        <v>185</v>
      </c>
      <c r="C215" s="330">
        <f>'סיכום לוועדה'!B215</f>
        <v>1001350325</v>
      </c>
      <c r="D215" s="330">
        <f>'סיכום לוועדה'!C215</f>
        <v>1001271352</v>
      </c>
      <c r="E215" s="330">
        <f>'סיכום לוועדה'!D215</f>
        <v>40000402</v>
      </c>
      <c r="F215" s="330">
        <f>'סיכום לוועדה'!E215</f>
        <v>20000159</v>
      </c>
      <c r="G215" s="330" t="str">
        <f>'סיכום לוועדה'!F215</f>
        <v>ירושלים</v>
      </c>
      <c r="H215" s="317" t="str">
        <f>'סיכום לוועדה'!G215</f>
        <v>מרכז החאן</v>
      </c>
      <c r="I215" s="318">
        <f>'סיכום לוועדה'!U215</f>
        <v>1500000</v>
      </c>
      <c r="J215" s="319">
        <f>'סיכום לוועדה'!T215</f>
        <v>649091.28933915053</v>
      </c>
      <c r="K215" s="320">
        <f t="shared" si="40"/>
        <v>0</v>
      </c>
      <c r="L215" s="319">
        <f t="shared" si="41"/>
        <v>649091.28933915053</v>
      </c>
      <c r="M215" s="331">
        <f>'תחום תמיכה ב'!AF215</f>
        <v>2.9083480468442497E-3</v>
      </c>
      <c r="N215" s="319">
        <f t="shared" si="38"/>
        <v>698633.57881117892</v>
      </c>
      <c r="O215" s="321">
        <f t="shared" si="42"/>
        <v>0</v>
      </c>
      <c r="P215" s="322">
        <f t="shared" si="43"/>
        <v>698633.57881117892</v>
      </c>
      <c r="Q215" s="322">
        <f t="shared" si="44"/>
        <v>698951.68513098301</v>
      </c>
      <c r="R215" s="321">
        <f t="shared" si="45"/>
        <v>0</v>
      </c>
      <c r="S215" s="322">
        <f t="shared" si="46"/>
        <v>698951.68513098301</v>
      </c>
      <c r="T215" s="322">
        <f t="shared" si="47"/>
        <v>698951.68513098161</v>
      </c>
      <c r="U215" s="321">
        <f t="shared" si="48"/>
        <v>0</v>
      </c>
      <c r="V215" s="322">
        <f t="shared" si="49"/>
        <v>698951.68513098161</v>
      </c>
      <c r="W215" s="322">
        <f t="shared" si="50"/>
        <v>698951.68513098184</v>
      </c>
      <c r="X215" s="321">
        <f t="shared" si="51"/>
        <v>0</v>
      </c>
      <c r="Y215" s="322">
        <f t="shared" si="52"/>
        <v>698951.68513098184</v>
      </c>
      <c r="Z215" s="322">
        <f t="shared" si="53"/>
        <v>698951.68513098173</v>
      </c>
      <c r="AA215" s="323">
        <f t="shared" si="54"/>
        <v>698951.68513098173</v>
      </c>
      <c r="AB215" s="323"/>
      <c r="AC215" s="323"/>
      <c r="AD215" s="323"/>
      <c r="AE215" s="323"/>
      <c r="AF215" s="324">
        <f t="shared" si="55"/>
        <v>4.002745025136833E-3</v>
      </c>
      <c r="AG215" s="312"/>
      <c r="AH215" s="312"/>
      <c r="AI215" s="325">
        <f t="shared" si="56"/>
        <v>1</v>
      </c>
      <c r="AJ215" s="312"/>
      <c r="AK215" s="312"/>
      <c r="AL215" s="312"/>
      <c r="AM215" s="312"/>
      <c r="AN215" s="312"/>
      <c r="AO215" s="312"/>
      <c r="AP215" s="312"/>
      <c r="AQ215" s="312"/>
      <c r="AR215" s="312"/>
      <c r="AS215" s="312"/>
      <c r="AT215" s="312"/>
      <c r="AU215" s="312"/>
      <c r="AV215" s="312"/>
      <c r="AW215" s="312"/>
      <c r="AX215" s="312"/>
      <c r="AY215" s="312"/>
      <c r="AZ215" s="312"/>
      <c r="BA215" s="312"/>
      <c r="BB215" s="312"/>
      <c r="BC215" s="312"/>
      <c r="BD215" s="312"/>
      <c r="BE215" s="312"/>
      <c r="BF215" s="312"/>
      <c r="BG215" s="312"/>
      <c r="BH215" s="312"/>
      <c r="BI215" s="312"/>
      <c r="BJ215" s="312"/>
      <c r="BK215" s="312"/>
      <c r="BL215" s="312"/>
      <c r="BM215" s="312"/>
      <c r="BN215" s="312"/>
      <c r="BO215" s="312"/>
      <c r="BP215" s="312"/>
      <c r="BQ215" s="312"/>
      <c r="BR215" s="312"/>
      <c r="BS215" s="312"/>
      <c r="BT215" s="312"/>
      <c r="BU215" s="312"/>
      <c r="BV215" s="312"/>
      <c r="BW215" s="312"/>
      <c r="BX215" s="312"/>
      <c r="BY215" s="312"/>
      <c r="BZ215" s="312"/>
      <c r="CA215" s="312"/>
      <c r="CB215" s="312"/>
      <c r="CC215" s="312"/>
      <c r="CD215" s="312"/>
      <c r="CE215" s="312"/>
      <c r="CF215" s="312"/>
      <c r="CG215" s="312"/>
      <c r="CH215" s="312"/>
      <c r="CI215" s="312"/>
      <c r="CJ215" s="312"/>
      <c r="CK215" s="312"/>
      <c r="CL215" s="312"/>
      <c r="CM215" s="312"/>
      <c r="CN215" s="312"/>
      <c r="CO215" s="312"/>
      <c r="CP215" s="312"/>
      <c r="CQ215" s="312"/>
      <c r="CR215" s="312"/>
      <c r="CS215" s="312"/>
      <c r="CT215" s="312"/>
      <c r="CU215" s="312"/>
      <c r="CV215" s="312"/>
      <c r="CW215" s="312"/>
      <c r="CX215" s="312"/>
      <c r="CY215" s="312"/>
      <c r="CZ215" s="312"/>
      <c r="DA215" s="312"/>
      <c r="DB215" s="312"/>
      <c r="DC215" s="312"/>
      <c r="DD215" s="312"/>
      <c r="DE215" s="312"/>
      <c r="DF215" s="312"/>
      <c r="DG215" s="312"/>
      <c r="DH215" s="312"/>
      <c r="DI215" s="312"/>
      <c r="DJ215" s="312"/>
      <c r="DK215" s="312"/>
      <c r="DL215" s="312"/>
      <c r="DM215" s="312"/>
      <c r="DN215" s="312"/>
      <c r="DO215" s="312"/>
      <c r="DP215" s="312"/>
      <c r="DQ215" s="312"/>
      <c r="DR215" s="312"/>
      <c r="DS215" s="312"/>
      <c r="DT215" s="312"/>
      <c r="DU215" s="312"/>
      <c r="DV215" s="312"/>
      <c r="DW215" s="312"/>
      <c r="DX215" s="312"/>
      <c r="DY215" s="312"/>
      <c r="DZ215" s="312"/>
      <c r="EA215" s="312"/>
      <c r="EB215" s="312"/>
      <c r="EC215" s="312"/>
      <c r="ED215" s="312"/>
      <c r="EE215" s="312"/>
      <c r="EF215" s="312"/>
      <c r="EG215" s="312"/>
      <c r="EH215" s="312"/>
      <c r="EI215" s="312"/>
      <c r="EJ215" s="312"/>
      <c r="EK215" s="312"/>
      <c r="EL215" s="312"/>
      <c r="EM215" s="312"/>
      <c r="EN215" s="312"/>
      <c r="EO215" s="312"/>
      <c r="EP215" s="312"/>
      <c r="EQ215" s="312"/>
      <c r="ER215" s="312"/>
      <c r="ES215" s="312"/>
      <c r="ET215" s="312"/>
      <c r="EU215" s="312"/>
      <c r="EV215" s="312"/>
      <c r="EW215" s="312"/>
      <c r="EX215" s="312"/>
      <c r="EY215" s="312"/>
      <c r="EZ215" s="312"/>
      <c r="FA215" s="312"/>
      <c r="FB215" s="312"/>
      <c r="FC215" s="312"/>
      <c r="FD215" s="312"/>
      <c r="FE215" s="312"/>
      <c r="FF215" s="312"/>
      <c r="FG215" s="312"/>
      <c r="FH215" s="312"/>
      <c r="FI215" s="312"/>
      <c r="FJ215" s="312"/>
      <c r="FK215" s="312"/>
      <c r="FL215" s="312"/>
      <c r="FM215" s="312"/>
      <c r="FN215" s="312"/>
      <c r="FO215" s="312"/>
      <c r="FP215" s="312"/>
      <c r="FQ215" s="312"/>
      <c r="FR215" s="312"/>
      <c r="FS215" s="312"/>
      <c r="FT215" s="312"/>
      <c r="FU215" s="312"/>
      <c r="FV215" s="312"/>
      <c r="FW215" s="312"/>
      <c r="FX215" s="312"/>
      <c r="FY215" s="312"/>
      <c r="FZ215" s="312"/>
      <c r="GA215" s="312"/>
      <c r="GB215" s="312"/>
      <c r="GC215" s="312"/>
      <c r="GD215" s="312"/>
      <c r="GE215" s="312"/>
      <c r="GF215" s="312"/>
      <c r="GG215" s="312"/>
      <c r="GH215" s="312"/>
      <c r="GI215" s="312"/>
      <c r="GJ215" s="312"/>
      <c r="GK215" s="312"/>
      <c r="GL215" s="312"/>
      <c r="GM215" s="312"/>
      <c r="GN215" s="312"/>
      <c r="GO215" s="312"/>
      <c r="GP215" s="312"/>
      <c r="GQ215" s="312"/>
      <c r="GR215" s="312"/>
      <c r="GS215" s="312"/>
      <c r="GT215" s="312"/>
      <c r="GU215" s="312"/>
      <c r="GV215" s="312"/>
      <c r="GW215" s="312"/>
      <c r="GX215" s="312"/>
      <c r="GY215" s="312"/>
    </row>
    <row r="216" spans="2:207" ht="15.75" x14ac:dyDescent="0.25">
      <c r="B216" s="316">
        <f t="shared" si="39"/>
        <v>186</v>
      </c>
      <c r="C216" s="330">
        <f>'סיכום לוועדה'!B216</f>
        <v>1001350764</v>
      </c>
      <c r="D216" s="330">
        <f>'סיכום לוועדה'!C216</f>
        <v>1001290586</v>
      </c>
      <c r="E216" s="330">
        <f>'סיכום לוועדה'!D216</f>
        <v>40000625</v>
      </c>
      <c r="F216" s="330">
        <f>'סיכום לוועדה'!E216</f>
        <v>20000154</v>
      </c>
      <c r="G216" s="330" t="str">
        <f>'סיכום לוועדה'!F216</f>
        <v>אום אל-פחם</v>
      </c>
      <c r="H216" s="317" t="str">
        <f>'סיכום לוועדה'!G216</f>
        <v>אבדאע - עמותה לקידום האמנויות במגזר</v>
      </c>
      <c r="I216" s="318">
        <f>'סיכום לוועדה'!U216</f>
        <v>180000</v>
      </c>
      <c r="J216" s="319">
        <f>'סיכום לוועדה'!T216</f>
        <v>30930.636184291448</v>
      </c>
      <c r="K216" s="320">
        <f t="shared" si="40"/>
        <v>0</v>
      </c>
      <c r="L216" s="319">
        <f t="shared" si="41"/>
        <v>30930.636184291448</v>
      </c>
      <c r="M216" s="331">
        <f>'תחום תמיכה ב'!AF216</f>
        <v>1.6110807676699638E-4</v>
      </c>
      <c r="N216" s="319">
        <f t="shared" si="38"/>
        <v>33675.033638417663</v>
      </c>
      <c r="O216" s="321">
        <f t="shared" si="42"/>
        <v>0</v>
      </c>
      <c r="P216" s="322">
        <f t="shared" si="43"/>
        <v>33675.033638417663</v>
      </c>
      <c r="Q216" s="322">
        <f t="shared" si="44"/>
        <v>33690.366770612978</v>
      </c>
      <c r="R216" s="321">
        <f t="shared" si="45"/>
        <v>0</v>
      </c>
      <c r="S216" s="322">
        <f t="shared" si="46"/>
        <v>33690.366770612978</v>
      </c>
      <c r="T216" s="322">
        <f t="shared" si="47"/>
        <v>33690.366770612913</v>
      </c>
      <c r="U216" s="321">
        <f t="shared" si="48"/>
        <v>0</v>
      </c>
      <c r="V216" s="322">
        <f t="shared" si="49"/>
        <v>33690.366770612913</v>
      </c>
      <c r="W216" s="322">
        <f t="shared" si="50"/>
        <v>33690.366770612927</v>
      </c>
      <c r="X216" s="321">
        <f t="shared" si="51"/>
        <v>0</v>
      </c>
      <c r="Y216" s="322">
        <f t="shared" si="52"/>
        <v>33690.366770612927</v>
      </c>
      <c r="Z216" s="322">
        <f t="shared" si="53"/>
        <v>33690.36677061292</v>
      </c>
      <c r="AA216" s="323">
        <f t="shared" si="54"/>
        <v>33690.36677061292</v>
      </c>
      <c r="AB216" s="323"/>
      <c r="AC216" s="323"/>
      <c r="AD216" s="323"/>
      <c r="AE216" s="323"/>
      <c r="AF216" s="324">
        <f t="shared" si="55"/>
        <v>1.9293743881715494E-4</v>
      </c>
      <c r="AG216" s="312"/>
      <c r="AH216" s="312"/>
      <c r="AI216" s="325">
        <f t="shared" si="56"/>
        <v>1</v>
      </c>
      <c r="AJ216" s="312"/>
      <c r="AK216" s="312"/>
      <c r="AL216" s="312"/>
      <c r="AM216" s="312"/>
      <c r="AN216" s="312"/>
      <c r="AO216" s="312"/>
      <c r="AP216" s="312"/>
      <c r="AQ216" s="312"/>
      <c r="AR216" s="312"/>
      <c r="AS216" s="312"/>
      <c r="AT216" s="312"/>
      <c r="AU216" s="312"/>
      <c r="AV216" s="312"/>
      <c r="AW216" s="312"/>
      <c r="AX216" s="312"/>
      <c r="AY216" s="312"/>
      <c r="AZ216" s="312"/>
      <c r="BA216" s="312"/>
      <c r="BB216" s="312"/>
      <c r="BC216" s="312"/>
      <c r="BD216" s="312"/>
      <c r="BE216" s="312"/>
      <c r="BF216" s="312"/>
      <c r="BG216" s="312"/>
      <c r="BH216" s="312"/>
      <c r="BI216" s="312"/>
      <c r="BJ216" s="312"/>
      <c r="BK216" s="312"/>
      <c r="BL216" s="312"/>
      <c r="BM216" s="312"/>
      <c r="BN216" s="312"/>
      <c r="BO216" s="312"/>
      <c r="BP216" s="312"/>
      <c r="BQ216" s="312"/>
      <c r="BR216" s="312"/>
      <c r="BS216" s="312"/>
      <c r="BT216" s="312"/>
      <c r="BU216" s="312"/>
      <c r="BV216" s="312"/>
      <c r="BW216" s="312"/>
      <c r="BX216" s="312"/>
      <c r="BY216" s="312"/>
      <c r="BZ216" s="312"/>
      <c r="CA216" s="312"/>
      <c r="CB216" s="312"/>
      <c r="CC216" s="312"/>
      <c r="CD216" s="312"/>
      <c r="CE216" s="312"/>
      <c r="CF216" s="312"/>
      <c r="CG216" s="312"/>
      <c r="CH216" s="312"/>
      <c r="CI216" s="312"/>
      <c r="CJ216" s="312"/>
      <c r="CK216" s="312"/>
      <c r="CL216" s="312"/>
      <c r="CM216" s="312"/>
      <c r="CN216" s="312"/>
      <c r="CO216" s="312"/>
      <c r="CP216" s="312"/>
      <c r="CQ216" s="312"/>
      <c r="CR216" s="312"/>
      <c r="CS216" s="312"/>
      <c r="CT216" s="312"/>
      <c r="CU216" s="312"/>
      <c r="CV216" s="312"/>
      <c r="CW216" s="312"/>
      <c r="CX216" s="312"/>
      <c r="CY216" s="312"/>
      <c r="CZ216" s="312"/>
      <c r="DA216" s="312"/>
      <c r="DB216" s="312"/>
      <c r="DC216" s="312"/>
      <c r="DD216" s="312"/>
      <c r="DE216" s="312"/>
      <c r="DF216" s="312"/>
      <c r="DG216" s="312"/>
      <c r="DH216" s="312"/>
      <c r="DI216" s="312"/>
      <c r="DJ216" s="312"/>
      <c r="DK216" s="312"/>
      <c r="DL216" s="312"/>
      <c r="DM216" s="312"/>
      <c r="DN216" s="312"/>
      <c r="DO216" s="312"/>
      <c r="DP216" s="312"/>
      <c r="DQ216" s="312"/>
      <c r="DR216" s="312"/>
      <c r="DS216" s="312"/>
      <c r="DT216" s="312"/>
      <c r="DU216" s="312"/>
      <c r="DV216" s="312"/>
      <c r="DW216" s="312"/>
      <c r="DX216" s="312"/>
      <c r="DY216" s="312"/>
      <c r="DZ216" s="312"/>
      <c r="EA216" s="312"/>
      <c r="EB216" s="312"/>
      <c r="EC216" s="312"/>
      <c r="ED216" s="312"/>
      <c r="EE216" s="312"/>
      <c r="EF216" s="312"/>
      <c r="EG216" s="312"/>
      <c r="EH216" s="312"/>
      <c r="EI216" s="312"/>
      <c r="EJ216" s="312"/>
      <c r="EK216" s="312"/>
      <c r="EL216" s="312"/>
      <c r="EM216" s="312"/>
      <c r="EN216" s="312"/>
      <c r="EO216" s="312"/>
      <c r="EP216" s="312"/>
      <c r="EQ216" s="312"/>
      <c r="ER216" s="312"/>
      <c r="ES216" s="312"/>
      <c r="ET216" s="312"/>
      <c r="EU216" s="312"/>
      <c r="EV216" s="312"/>
      <c r="EW216" s="312"/>
      <c r="EX216" s="312"/>
      <c r="EY216" s="312"/>
      <c r="EZ216" s="312"/>
      <c r="FA216" s="312"/>
      <c r="FB216" s="312"/>
      <c r="FC216" s="312"/>
      <c r="FD216" s="312"/>
      <c r="FE216" s="312"/>
      <c r="FF216" s="312"/>
      <c r="FG216" s="312"/>
      <c r="FH216" s="312"/>
      <c r="FI216" s="312"/>
      <c r="FJ216" s="312"/>
      <c r="FK216" s="312"/>
      <c r="FL216" s="312"/>
      <c r="FM216" s="312"/>
      <c r="FN216" s="312"/>
      <c r="FO216" s="312"/>
      <c r="FP216" s="312"/>
      <c r="FQ216" s="312"/>
      <c r="FR216" s="312"/>
      <c r="FS216" s="312"/>
      <c r="FT216" s="312"/>
      <c r="FU216" s="312"/>
      <c r="FV216" s="312"/>
      <c r="FW216" s="312"/>
      <c r="FX216" s="312"/>
      <c r="FY216" s="312"/>
      <c r="FZ216" s="312"/>
      <c r="GA216" s="312"/>
      <c r="GB216" s="312"/>
      <c r="GC216" s="312"/>
      <c r="GD216" s="312"/>
      <c r="GE216" s="312"/>
      <c r="GF216" s="312"/>
      <c r="GG216" s="312"/>
      <c r="GH216" s="312"/>
      <c r="GI216" s="312"/>
      <c r="GJ216" s="312"/>
      <c r="GK216" s="312"/>
      <c r="GL216" s="312"/>
      <c r="GM216" s="312"/>
      <c r="GN216" s="312"/>
      <c r="GO216" s="312"/>
      <c r="GP216" s="312"/>
      <c r="GQ216" s="312"/>
      <c r="GR216" s="312"/>
      <c r="GS216" s="312"/>
      <c r="GT216" s="312"/>
      <c r="GU216" s="312"/>
      <c r="GV216" s="312"/>
      <c r="GW216" s="312"/>
      <c r="GX216" s="312"/>
      <c r="GY216" s="312"/>
    </row>
    <row r="217" spans="2:207" ht="15.75" x14ac:dyDescent="0.25">
      <c r="B217" s="316">
        <f t="shared" si="39"/>
        <v>187</v>
      </c>
      <c r="C217" s="330">
        <f>'סיכום לוועדה'!B217</f>
        <v>1001349137</v>
      </c>
      <c r="D217" s="330">
        <f>'סיכום לוועדה'!C217</f>
        <v>1001264894</v>
      </c>
      <c r="E217" s="330">
        <f>'סיכום לוועדה'!D217</f>
        <v>40188899</v>
      </c>
      <c r="F217" s="330">
        <f>'סיכום לוועדה'!E217</f>
        <v>20000159</v>
      </c>
      <c r="G217" s="330" t="str">
        <f>'סיכום לוועדה'!F217</f>
        <v>ירושלים</v>
      </c>
      <c r="H217" s="317" t="str">
        <f>'סיכום לוועדה'!G217</f>
        <v>נהר אפרסמון</v>
      </c>
      <c r="I217" s="318">
        <f>'סיכום לוועדה'!U217</f>
        <v>450000</v>
      </c>
      <c r="J217" s="319">
        <f>'סיכום לוועדה'!T217</f>
        <v>10737.061333479505</v>
      </c>
      <c r="K217" s="320">
        <f t="shared" si="40"/>
        <v>0</v>
      </c>
      <c r="L217" s="319">
        <f t="shared" si="41"/>
        <v>10737.061333479505</v>
      </c>
      <c r="M217" s="331">
        <f>'תחום תמיכה ב'!AF217</f>
        <v>5.8870424935189545E-5</v>
      </c>
      <c r="N217" s="319">
        <f t="shared" si="38"/>
        <v>11739.890288784616</v>
      </c>
      <c r="O217" s="321">
        <f t="shared" si="42"/>
        <v>0</v>
      </c>
      <c r="P217" s="322">
        <f t="shared" si="43"/>
        <v>11739.890288784616</v>
      </c>
      <c r="Q217" s="322">
        <f t="shared" si="44"/>
        <v>11745.235770891308</v>
      </c>
      <c r="R217" s="321">
        <f t="shared" si="45"/>
        <v>0</v>
      </c>
      <c r="S217" s="322">
        <f t="shared" si="46"/>
        <v>11745.235770891308</v>
      </c>
      <c r="T217" s="322">
        <f t="shared" si="47"/>
        <v>11745.235770891284</v>
      </c>
      <c r="U217" s="321">
        <f t="shared" si="48"/>
        <v>0</v>
      </c>
      <c r="V217" s="322">
        <f t="shared" si="49"/>
        <v>11745.235770891284</v>
      </c>
      <c r="W217" s="322">
        <f t="shared" si="50"/>
        <v>11745.235770891288</v>
      </c>
      <c r="X217" s="321">
        <f t="shared" si="51"/>
        <v>0</v>
      </c>
      <c r="Y217" s="322">
        <f t="shared" si="52"/>
        <v>11745.235770891288</v>
      </c>
      <c r="Z217" s="322">
        <f t="shared" si="53"/>
        <v>11745.235770891286</v>
      </c>
      <c r="AA217" s="323">
        <f t="shared" si="54"/>
        <v>11745.235770891286</v>
      </c>
      <c r="AB217" s="323"/>
      <c r="AC217" s="323"/>
      <c r="AD217" s="323"/>
      <c r="AE217" s="323"/>
      <c r="AF217" s="324">
        <f t="shared" si="55"/>
        <v>6.7262423213392954E-5</v>
      </c>
      <c r="AG217" s="312"/>
      <c r="AH217" s="312"/>
      <c r="AI217" s="325">
        <f t="shared" si="56"/>
        <v>1</v>
      </c>
      <c r="AJ217" s="312"/>
      <c r="AK217" s="312"/>
      <c r="AL217" s="312"/>
      <c r="AM217" s="312"/>
      <c r="AN217" s="312"/>
      <c r="AO217" s="312"/>
      <c r="AP217" s="312"/>
      <c r="AQ217" s="312"/>
      <c r="AR217" s="312"/>
      <c r="AS217" s="312"/>
      <c r="AT217" s="312"/>
      <c r="AU217" s="312"/>
      <c r="AV217" s="312"/>
      <c r="AW217" s="312"/>
      <c r="AX217" s="312"/>
      <c r="AY217" s="312"/>
      <c r="AZ217" s="312"/>
      <c r="BA217" s="312"/>
      <c r="BB217" s="312"/>
      <c r="BC217" s="312"/>
      <c r="BD217" s="312"/>
      <c r="BE217" s="312"/>
      <c r="BF217" s="312"/>
      <c r="BG217" s="312"/>
      <c r="BH217" s="312"/>
      <c r="BI217" s="312"/>
      <c r="BJ217" s="312"/>
      <c r="BK217" s="312"/>
      <c r="BL217" s="312"/>
      <c r="BM217" s="312"/>
      <c r="BN217" s="312"/>
      <c r="BO217" s="312"/>
      <c r="BP217" s="312"/>
      <c r="BQ217" s="312"/>
      <c r="BR217" s="312"/>
      <c r="BS217" s="312"/>
      <c r="BT217" s="312"/>
      <c r="BU217" s="312"/>
      <c r="BV217" s="312"/>
      <c r="BW217" s="312"/>
      <c r="BX217" s="312"/>
      <c r="BY217" s="312"/>
      <c r="BZ217" s="312"/>
      <c r="CA217" s="312"/>
      <c r="CB217" s="312"/>
      <c r="CC217" s="312"/>
      <c r="CD217" s="312"/>
      <c r="CE217" s="312"/>
      <c r="CF217" s="312"/>
      <c r="CG217" s="312"/>
      <c r="CH217" s="312"/>
      <c r="CI217" s="312"/>
      <c r="CJ217" s="312"/>
      <c r="CK217" s="312"/>
      <c r="CL217" s="312"/>
      <c r="CM217" s="312"/>
      <c r="CN217" s="312"/>
      <c r="CO217" s="312"/>
      <c r="CP217" s="312"/>
      <c r="CQ217" s="312"/>
      <c r="CR217" s="312"/>
      <c r="CS217" s="312"/>
      <c r="CT217" s="312"/>
      <c r="CU217" s="312"/>
      <c r="CV217" s="312"/>
      <c r="CW217" s="312"/>
      <c r="CX217" s="312"/>
      <c r="CY217" s="312"/>
      <c r="CZ217" s="312"/>
      <c r="DA217" s="312"/>
      <c r="DB217" s="312"/>
      <c r="DC217" s="312"/>
      <c r="DD217" s="312"/>
      <c r="DE217" s="312"/>
      <c r="DF217" s="312"/>
      <c r="DG217" s="312"/>
      <c r="DH217" s="312"/>
      <c r="DI217" s="312"/>
      <c r="DJ217" s="312"/>
      <c r="DK217" s="312"/>
      <c r="DL217" s="312"/>
      <c r="DM217" s="312"/>
      <c r="DN217" s="312"/>
      <c r="DO217" s="312"/>
      <c r="DP217" s="312"/>
      <c r="DQ217" s="312"/>
      <c r="DR217" s="312"/>
      <c r="DS217" s="312"/>
      <c r="DT217" s="312"/>
      <c r="DU217" s="312"/>
      <c r="DV217" s="312"/>
      <c r="DW217" s="312"/>
      <c r="DX217" s="312"/>
      <c r="DY217" s="312"/>
      <c r="DZ217" s="312"/>
      <c r="EA217" s="312"/>
      <c r="EB217" s="312"/>
      <c r="EC217" s="312"/>
      <c r="ED217" s="312"/>
      <c r="EE217" s="312"/>
      <c r="EF217" s="312"/>
      <c r="EG217" s="312"/>
      <c r="EH217" s="312"/>
      <c r="EI217" s="312"/>
      <c r="EJ217" s="312"/>
      <c r="EK217" s="312"/>
      <c r="EL217" s="312"/>
      <c r="EM217" s="312"/>
      <c r="EN217" s="312"/>
      <c r="EO217" s="312"/>
      <c r="EP217" s="312"/>
      <c r="EQ217" s="312"/>
      <c r="ER217" s="312"/>
      <c r="ES217" s="312"/>
      <c r="ET217" s="312"/>
      <c r="EU217" s="312"/>
      <c r="EV217" s="312"/>
      <c r="EW217" s="312"/>
      <c r="EX217" s="312"/>
      <c r="EY217" s="312"/>
      <c r="EZ217" s="312"/>
      <c r="FA217" s="312"/>
      <c r="FB217" s="312"/>
      <c r="FC217" s="312"/>
      <c r="FD217" s="312"/>
      <c r="FE217" s="312"/>
      <c r="FF217" s="312"/>
      <c r="FG217" s="312"/>
      <c r="FH217" s="312"/>
      <c r="FI217" s="312"/>
      <c r="FJ217" s="312"/>
      <c r="FK217" s="312"/>
      <c r="FL217" s="312"/>
      <c r="FM217" s="312"/>
      <c r="FN217" s="312"/>
      <c r="FO217" s="312"/>
      <c r="FP217" s="312"/>
      <c r="FQ217" s="312"/>
      <c r="FR217" s="312"/>
      <c r="FS217" s="312"/>
      <c r="FT217" s="312"/>
      <c r="FU217" s="312"/>
      <c r="FV217" s="312"/>
      <c r="FW217" s="312"/>
      <c r="FX217" s="312"/>
      <c r="FY217" s="312"/>
      <c r="FZ217" s="312"/>
      <c r="GA217" s="312"/>
      <c r="GB217" s="312"/>
      <c r="GC217" s="312"/>
      <c r="GD217" s="312"/>
      <c r="GE217" s="312"/>
      <c r="GF217" s="312"/>
      <c r="GG217" s="312"/>
      <c r="GH217" s="312"/>
      <c r="GI217" s="312"/>
      <c r="GJ217" s="312"/>
      <c r="GK217" s="312"/>
      <c r="GL217" s="312"/>
      <c r="GM217" s="312"/>
      <c r="GN217" s="312"/>
      <c r="GO217" s="312"/>
      <c r="GP217" s="312"/>
      <c r="GQ217" s="312"/>
      <c r="GR217" s="312"/>
      <c r="GS217" s="312"/>
      <c r="GT217" s="312"/>
      <c r="GU217" s="312"/>
      <c r="GV217" s="312"/>
      <c r="GW217" s="312"/>
      <c r="GX217" s="312"/>
      <c r="GY217" s="312"/>
    </row>
    <row r="218" spans="2:207" ht="15.75" x14ac:dyDescent="0.25">
      <c r="B218" s="316">
        <f t="shared" si="39"/>
        <v>188</v>
      </c>
      <c r="C218" s="330">
        <f>'סיכום לוועדה'!B218</f>
        <v>1001349367</v>
      </c>
      <c r="D218" s="330">
        <f>'סיכום לוועדה'!C218</f>
        <v>1001264905</v>
      </c>
      <c r="E218" s="330">
        <f>'סיכום לוועדה'!D218</f>
        <v>40188899</v>
      </c>
      <c r="F218" s="330">
        <f>'סיכום לוועדה'!E218</f>
        <v>20000159</v>
      </c>
      <c r="G218" s="330" t="str">
        <f>'סיכום לוועדה'!F218</f>
        <v>ירושלים</v>
      </c>
      <c r="H218" s="317" t="str">
        <f>'סיכום לוועדה'!G218</f>
        <v>נהר אפרסמון</v>
      </c>
      <c r="I218" s="318">
        <f>'סיכום לוועדה'!U218</f>
        <v>450000</v>
      </c>
      <c r="J218" s="319">
        <f>'סיכום לוועדה'!T218</f>
        <v>7798.8578581188649</v>
      </c>
      <c r="K218" s="320">
        <f t="shared" si="40"/>
        <v>0</v>
      </c>
      <c r="L218" s="319">
        <f t="shared" si="41"/>
        <v>7798.8578581188649</v>
      </c>
      <c r="M218" s="331">
        <f>'תחום תמיכה ב'!AF218</f>
        <v>3.3013457047637283E-5</v>
      </c>
      <c r="N218" s="319">
        <f t="shared" si="38"/>
        <v>8361.2259857235076</v>
      </c>
      <c r="O218" s="321">
        <f t="shared" si="42"/>
        <v>0</v>
      </c>
      <c r="P218" s="322">
        <f t="shared" si="43"/>
        <v>8361.2259857235076</v>
      </c>
      <c r="Q218" s="322">
        <f t="shared" si="44"/>
        <v>8365.0330727402743</v>
      </c>
      <c r="R218" s="321">
        <f t="shared" si="45"/>
        <v>0</v>
      </c>
      <c r="S218" s="322">
        <f t="shared" si="46"/>
        <v>8365.0330727402743</v>
      </c>
      <c r="T218" s="322">
        <f t="shared" si="47"/>
        <v>8365.0330727402579</v>
      </c>
      <c r="U218" s="321">
        <f t="shared" si="48"/>
        <v>0</v>
      </c>
      <c r="V218" s="322">
        <f t="shared" si="49"/>
        <v>8365.0330727402579</v>
      </c>
      <c r="W218" s="322">
        <f t="shared" si="50"/>
        <v>8365.0330727402597</v>
      </c>
      <c r="X218" s="321">
        <f t="shared" si="51"/>
        <v>0</v>
      </c>
      <c r="Y218" s="322">
        <f t="shared" si="52"/>
        <v>8365.0330727402597</v>
      </c>
      <c r="Z218" s="322">
        <f t="shared" si="53"/>
        <v>8365.0330727402579</v>
      </c>
      <c r="AA218" s="323">
        <f t="shared" si="54"/>
        <v>8365.0330727402579</v>
      </c>
      <c r="AB218" s="323"/>
      <c r="AC218" s="323"/>
      <c r="AD218" s="323"/>
      <c r="AE218" s="323"/>
      <c r="AF218" s="324">
        <f t="shared" si="55"/>
        <v>4.790473394558237E-5</v>
      </c>
      <c r="AG218" s="312"/>
      <c r="AH218" s="312"/>
      <c r="AI218" s="325">
        <f t="shared" si="56"/>
        <v>1</v>
      </c>
      <c r="AJ218" s="312"/>
      <c r="AK218" s="312"/>
      <c r="AL218" s="312"/>
      <c r="AM218" s="312"/>
      <c r="AN218" s="312"/>
      <c r="AO218" s="312"/>
      <c r="AP218" s="312"/>
      <c r="AQ218" s="312"/>
      <c r="AR218" s="312"/>
      <c r="AS218" s="312"/>
      <c r="AT218" s="312"/>
      <c r="AU218" s="312"/>
      <c r="AV218" s="312"/>
      <c r="AW218" s="312"/>
      <c r="AX218" s="312"/>
      <c r="AY218" s="312"/>
      <c r="AZ218" s="312"/>
      <c r="BA218" s="312"/>
      <c r="BB218" s="312"/>
      <c r="BC218" s="312"/>
      <c r="BD218" s="312"/>
      <c r="BE218" s="312"/>
      <c r="BF218" s="312"/>
      <c r="BG218" s="312"/>
      <c r="BH218" s="312"/>
      <c r="BI218" s="312"/>
      <c r="BJ218" s="312"/>
      <c r="BK218" s="312"/>
      <c r="BL218" s="312"/>
      <c r="BM218" s="312"/>
      <c r="BN218" s="312"/>
      <c r="BO218" s="312"/>
      <c r="BP218" s="312"/>
      <c r="BQ218" s="312"/>
      <c r="BR218" s="312"/>
      <c r="BS218" s="312"/>
      <c r="BT218" s="312"/>
      <c r="BU218" s="312"/>
      <c r="BV218" s="312"/>
      <c r="BW218" s="312"/>
      <c r="BX218" s="312"/>
      <c r="BY218" s="312"/>
      <c r="BZ218" s="312"/>
      <c r="CA218" s="312"/>
      <c r="CB218" s="312"/>
      <c r="CC218" s="312"/>
      <c r="CD218" s="312"/>
      <c r="CE218" s="312"/>
      <c r="CF218" s="312"/>
      <c r="CG218" s="312"/>
      <c r="CH218" s="312"/>
      <c r="CI218" s="312"/>
      <c r="CJ218" s="312"/>
      <c r="CK218" s="312"/>
      <c r="CL218" s="312"/>
      <c r="CM218" s="312"/>
      <c r="CN218" s="312"/>
      <c r="CO218" s="312"/>
      <c r="CP218" s="312"/>
      <c r="CQ218" s="312"/>
      <c r="CR218" s="312"/>
      <c r="CS218" s="312"/>
      <c r="CT218" s="312"/>
      <c r="CU218" s="312"/>
      <c r="CV218" s="312"/>
      <c r="CW218" s="312"/>
      <c r="CX218" s="312"/>
      <c r="CY218" s="312"/>
      <c r="CZ218" s="312"/>
      <c r="DA218" s="312"/>
      <c r="DB218" s="312"/>
      <c r="DC218" s="312"/>
      <c r="DD218" s="312"/>
      <c r="DE218" s="312"/>
      <c r="DF218" s="312"/>
      <c r="DG218" s="312"/>
      <c r="DH218" s="312"/>
      <c r="DI218" s="312"/>
      <c r="DJ218" s="312"/>
      <c r="DK218" s="312"/>
      <c r="DL218" s="312"/>
      <c r="DM218" s="312"/>
      <c r="DN218" s="312"/>
      <c r="DO218" s="312"/>
      <c r="DP218" s="312"/>
      <c r="DQ218" s="312"/>
      <c r="DR218" s="312"/>
      <c r="DS218" s="312"/>
      <c r="DT218" s="312"/>
      <c r="DU218" s="312"/>
      <c r="DV218" s="312"/>
      <c r="DW218" s="312"/>
      <c r="DX218" s="312"/>
      <c r="DY218" s="312"/>
      <c r="DZ218" s="312"/>
      <c r="EA218" s="312"/>
      <c r="EB218" s="312"/>
      <c r="EC218" s="312"/>
      <c r="ED218" s="312"/>
      <c r="EE218" s="312"/>
      <c r="EF218" s="312"/>
      <c r="EG218" s="312"/>
      <c r="EH218" s="312"/>
      <c r="EI218" s="312"/>
      <c r="EJ218" s="312"/>
      <c r="EK218" s="312"/>
      <c r="EL218" s="312"/>
      <c r="EM218" s="312"/>
      <c r="EN218" s="312"/>
      <c r="EO218" s="312"/>
      <c r="EP218" s="312"/>
      <c r="EQ218" s="312"/>
      <c r="ER218" s="312"/>
      <c r="ES218" s="312"/>
      <c r="ET218" s="312"/>
      <c r="EU218" s="312"/>
      <c r="EV218" s="312"/>
      <c r="EW218" s="312"/>
      <c r="EX218" s="312"/>
      <c r="EY218" s="312"/>
      <c r="EZ218" s="312"/>
      <c r="FA218" s="312"/>
      <c r="FB218" s="312"/>
      <c r="FC218" s="312"/>
      <c r="FD218" s="312"/>
      <c r="FE218" s="312"/>
      <c r="FF218" s="312"/>
      <c r="FG218" s="312"/>
      <c r="FH218" s="312"/>
      <c r="FI218" s="312"/>
      <c r="FJ218" s="312"/>
      <c r="FK218" s="312"/>
      <c r="FL218" s="312"/>
      <c r="FM218" s="312"/>
      <c r="FN218" s="312"/>
      <c r="FO218" s="312"/>
      <c r="FP218" s="312"/>
      <c r="FQ218" s="312"/>
      <c r="FR218" s="312"/>
      <c r="FS218" s="312"/>
      <c r="FT218" s="312"/>
      <c r="FU218" s="312"/>
      <c r="FV218" s="312"/>
      <c r="FW218" s="312"/>
      <c r="FX218" s="312"/>
      <c r="FY218" s="312"/>
      <c r="FZ218" s="312"/>
      <c r="GA218" s="312"/>
      <c r="GB218" s="312"/>
      <c r="GC218" s="312"/>
      <c r="GD218" s="312"/>
      <c r="GE218" s="312"/>
      <c r="GF218" s="312"/>
      <c r="GG218" s="312"/>
      <c r="GH218" s="312"/>
      <c r="GI218" s="312"/>
      <c r="GJ218" s="312"/>
      <c r="GK218" s="312"/>
      <c r="GL218" s="312"/>
      <c r="GM218" s="312"/>
      <c r="GN218" s="312"/>
      <c r="GO218" s="312"/>
      <c r="GP218" s="312"/>
      <c r="GQ218" s="312"/>
      <c r="GR218" s="312"/>
      <c r="GS218" s="312"/>
      <c r="GT218" s="312"/>
      <c r="GU218" s="312"/>
      <c r="GV218" s="312"/>
      <c r="GW218" s="312"/>
      <c r="GX218" s="312"/>
      <c r="GY218" s="312"/>
    </row>
    <row r="219" spans="2:207" ht="15.75" x14ac:dyDescent="0.25">
      <c r="B219" s="316">
        <f t="shared" si="39"/>
        <v>189</v>
      </c>
      <c r="C219" s="330">
        <f>'סיכום לוועדה'!B219</f>
        <v>1001346791</v>
      </c>
      <c r="D219" s="330">
        <f>'סיכום לוועדה'!C219</f>
        <v>1001265735</v>
      </c>
      <c r="E219" s="330">
        <f>'סיכום לוועדה'!D219</f>
        <v>40221576</v>
      </c>
      <c r="F219" s="330">
        <f>'סיכום לוועדה'!E219</f>
        <v>20000231</v>
      </c>
      <c r="G219" s="330" t="str">
        <f>'סיכום לוועדה'!F219</f>
        <v>נצרת</v>
      </c>
      <c r="H219" s="317" t="str">
        <f>'סיכום לוועדה'!G219</f>
        <v>אורפיאוס</v>
      </c>
      <c r="I219" s="318">
        <f>'סיכום לוועדה'!U219</f>
        <v>100000</v>
      </c>
      <c r="J219" s="319">
        <f>'סיכום לוועדה'!T219</f>
        <v>12555.201198078132</v>
      </c>
      <c r="K219" s="320">
        <f t="shared" si="40"/>
        <v>0</v>
      </c>
      <c r="L219" s="319">
        <f t="shared" si="41"/>
        <v>12555.201198078132</v>
      </c>
      <c r="M219" s="331">
        <f>'תחום תמיכה ב'!AF219</f>
        <v>6.2914241048449594E-5</v>
      </c>
      <c r="N219" s="319">
        <f t="shared" si="38"/>
        <v>13626.914587167625</v>
      </c>
      <c r="O219" s="321">
        <f t="shared" si="42"/>
        <v>0</v>
      </c>
      <c r="P219" s="322">
        <f t="shared" si="43"/>
        <v>13626.914587167625</v>
      </c>
      <c r="Q219" s="322">
        <f t="shared" si="44"/>
        <v>13633.11928127492</v>
      </c>
      <c r="R219" s="321">
        <f t="shared" si="45"/>
        <v>0</v>
      </c>
      <c r="S219" s="322">
        <f t="shared" si="46"/>
        <v>13633.11928127492</v>
      </c>
      <c r="T219" s="322">
        <f t="shared" si="47"/>
        <v>13633.119281274892</v>
      </c>
      <c r="U219" s="321">
        <f t="shared" si="48"/>
        <v>0</v>
      </c>
      <c r="V219" s="322">
        <f t="shared" si="49"/>
        <v>13633.119281274892</v>
      </c>
      <c r="W219" s="322">
        <f t="shared" si="50"/>
        <v>13633.119281274896</v>
      </c>
      <c r="X219" s="321">
        <f t="shared" si="51"/>
        <v>0</v>
      </c>
      <c r="Y219" s="322">
        <f t="shared" si="52"/>
        <v>13633.119281274896</v>
      </c>
      <c r="Z219" s="322">
        <f t="shared" si="53"/>
        <v>13633.119281274894</v>
      </c>
      <c r="AA219" s="323">
        <f t="shared" si="54"/>
        <v>13633.119281274894</v>
      </c>
      <c r="AB219" s="323"/>
      <c r="AC219" s="323"/>
      <c r="AD219" s="323"/>
      <c r="AE219" s="323"/>
      <c r="AF219" s="324">
        <f t="shared" si="55"/>
        <v>7.8073923478693468E-5</v>
      </c>
      <c r="AG219" s="312"/>
      <c r="AH219" s="312"/>
      <c r="AI219" s="325">
        <f t="shared" si="56"/>
        <v>1</v>
      </c>
      <c r="AJ219" s="312"/>
      <c r="AK219" s="312"/>
      <c r="AL219" s="312"/>
      <c r="AM219" s="312"/>
      <c r="AN219" s="312"/>
      <c r="AO219" s="312"/>
      <c r="AP219" s="312"/>
      <c r="AQ219" s="312"/>
      <c r="AR219" s="312"/>
      <c r="AS219" s="312"/>
      <c r="AT219" s="312"/>
      <c r="AU219" s="312"/>
      <c r="AV219" s="312"/>
      <c r="AW219" s="312"/>
      <c r="AX219" s="312"/>
      <c r="AY219" s="312"/>
      <c r="AZ219" s="312"/>
      <c r="BA219" s="312"/>
      <c r="BB219" s="312"/>
      <c r="BC219" s="312"/>
      <c r="BD219" s="312"/>
      <c r="BE219" s="312"/>
      <c r="BF219" s="312"/>
      <c r="BG219" s="312"/>
      <c r="BH219" s="312"/>
      <c r="BI219" s="312"/>
      <c r="BJ219" s="312"/>
      <c r="BK219" s="312"/>
      <c r="BL219" s="312"/>
      <c r="BM219" s="312"/>
      <c r="BN219" s="312"/>
      <c r="BO219" s="312"/>
      <c r="BP219" s="312"/>
      <c r="BQ219" s="312"/>
      <c r="BR219" s="312"/>
      <c r="BS219" s="312"/>
      <c r="BT219" s="312"/>
      <c r="BU219" s="312"/>
      <c r="BV219" s="312"/>
      <c r="BW219" s="312"/>
      <c r="BX219" s="312"/>
      <c r="BY219" s="312"/>
      <c r="BZ219" s="312"/>
      <c r="CA219" s="312"/>
      <c r="CB219" s="312"/>
      <c r="CC219" s="312"/>
      <c r="CD219" s="312"/>
      <c r="CE219" s="312"/>
      <c r="CF219" s="312"/>
      <c r="CG219" s="312"/>
      <c r="CH219" s="312"/>
      <c r="CI219" s="312"/>
      <c r="CJ219" s="312"/>
      <c r="CK219" s="312"/>
      <c r="CL219" s="312"/>
      <c r="CM219" s="312"/>
      <c r="CN219" s="312"/>
      <c r="CO219" s="312"/>
      <c r="CP219" s="312"/>
      <c r="CQ219" s="312"/>
      <c r="CR219" s="312"/>
      <c r="CS219" s="312"/>
      <c r="CT219" s="312"/>
      <c r="CU219" s="312"/>
      <c r="CV219" s="312"/>
      <c r="CW219" s="312"/>
      <c r="CX219" s="312"/>
      <c r="CY219" s="312"/>
      <c r="CZ219" s="312"/>
      <c r="DA219" s="312"/>
      <c r="DB219" s="312"/>
      <c r="DC219" s="312"/>
      <c r="DD219" s="312"/>
      <c r="DE219" s="312"/>
      <c r="DF219" s="312"/>
      <c r="DG219" s="312"/>
      <c r="DH219" s="312"/>
      <c r="DI219" s="312"/>
      <c r="DJ219" s="312"/>
      <c r="DK219" s="312"/>
      <c r="DL219" s="312"/>
      <c r="DM219" s="312"/>
      <c r="DN219" s="312"/>
      <c r="DO219" s="312"/>
      <c r="DP219" s="312"/>
      <c r="DQ219" s="312"/>
      <c r="DR219" s="312"/>
      <c r="DS219" s="312"/>
      <c r="DT219" s="312"/>
      <c r="DU219" s="312"/>
      <c r="DV219" s="312"/>
      <c r="DW219" s="312"/>
      <c r="DX219" s="312"/>
      <c r="DY219" s="312"/>
      <c r="DZ219" s="312"/>
      <c r="EA219" s="312"/>
      <c r="EB219" s="312"/>
      <c r="EC219" s="312"/>
      <c r="ED219" s="312"/>
      <c r="EE219" s="312"/>
      <c r="EF219" s="312"/>
      <c r="EG219" s="312"/>
      <c r="EH219" s="312"/>
      <c r="EI219" s="312"/>
      <c r="EJ219" s="312"/>
      <c r="EK219" s="312"/>
      <c r="EL219" s="312"/>
      <c r="EM219" s="312"/>
      <c r="EN219" s="312"/>
      <c r="EO219" s="312"/>
      <c r="EP219" s="312"/>
      <c r="EQ219" s="312"/>
      <c r="ER219" s="312"/>
      <c r="ES219" s="312"/>
      <c r="ET219" s="312"/>
      <c r="EU219" s="312"/>
      <c r="EV219" s="312"/>
      <c r="EW219" s="312"/>
      <c r="EX219" s="312"/>
      <c r="EY219" s="312"/>
      <c r="EZ219" s="312"/>
      <c r="FA219" s="312"/>
      <c r="FB219" s="312"/>
      <c r="FC219" s="312"/>
      <c r="FD219" s="312"/>
      <c r="FE219" s="312"/>
      <c r="FF219" s="312"/>
      <c r="FG219" s="312"/>
      <c r="FH219" s="312"/>
      <c r="FI219" s="312"/>
      <c r="FJ219" s="312"/>
      <c r="FK219" s="312"/>
      <c r="FL219" s="312"/>
      <c r="FM219" s="312"/>
      <c r="FN219" s="312"/>
      <c r="FO219" s="312"/>
      <c r="FP219" s="312"/>
      <c r="FQ219" s="312"/>
      <c r="FR219" s="312"/>
      <c r="FS219" s="312"/>
      <c r="FT219" s="312"/>
      <c r="FU219" s="312"/>
      <c r="FV219" s="312"/>
      <c r="FW219" s="312"/>
      <c r="FX219" s="312"/>
      <c r="FY219" s="312"/>
      <c r="FZ219" s="312"/>
      <c r="GA219" s="312"/>
      <c r="GB219" s="312"/>
      <c r="GC219" s="312"/>
      <c r="GD219" s="312"/>
      <c r="GE219" s="312"/>
      <c r="GF219" s="312"/>
      <c r="GG219" s="312"/>
      <c r="GH219" s="312"/>
      <c r="GI219" s="312"/>
      <c r="GJ219" s="312"/>
      <c r="GK219" s="312"/>
      <c r="GL219" s="312"/>
      <c r="GM219" s="312"/>
      <c r="GN219" s="312"/>
      <c r="GO219" s="312"/>
      <c r="GP219" s="312"/>
      <c r="GQ219" s="312"/>
      <c r="GR219" s="312"/>
      <c r="GS219" s="312"/>
      <c r="GT219" s="312"/>
      <c r="GU219" s="312"/>
      <c r="GV219" s="312"/>
      <c r="GW219" s="312"/>
      <c r="GX219" s="312"/>
      <c r="GY219" s="312"/>
    </row>
    <row r="220" spans="2:207" ht="15.75" x14ac:dyDescent="0.25">
      <c r="B220" s="316">
        <f t="shared" si="39"/>
        <v>190</v>
      </c>
      <c r="C220" s="330">
        <f>'סיכום לוועדה'!B220</f>
        <v>1001349328</v>
      </c>
      <c r="D220" s="330">
        <f>'סיכום לוועדה'!C220</f>
        <v>1001275158</v>
      </c>
      <c r="E220" s="330">
        <f>'סיכום לוועדה'!D220</f>
        <v>40268014</v>
      </c>
      <c r="F220" s="330">
        <f>'סיכום לוועדה'!E220</f>
        <v>20000194</v>
      </c>
      <c r="G220" s="330" t="str">
        <f>'סיכום לוועדה'!F220</f>
        <v>גן רווה</v>
      </c>
      <c r="H220" s="317" t="str">
        <f>'סיכום לוועדה'!G220</f>
        <v>מוזיאון בית מרים</v>
      </c>
      <c r="I220" s="318">
        <f>'סיכום לוועדה'!U220</f>
        <v>100000</v>
      </c>
      <c r="J220" s="319">
        <f>'סיכום לוועדה'!T220</f>
        <v>29702.173596043005</v>
      </c>
      <c r="K220" s="320">
        <f t="shared" si="40"/>
        <v>0</v>
      </c>
      <c r="L220" s="319">
        <f t="shared" si="41"/>
        <v>29702.173596043005</v>
      </c>
      <c r="M220" s="331">
        <f>'תחום תמיכה ב'!AF220</f>
        <v>2.1658657492497804E-4</v>
      </c>
      <c r="N220" s="319">
        <f t="shared" si="38"/>
        <v>33391.62018835557</v>
      </c>
      <c r="O220" s="321">
        <f t="shared" si="42"/>
        <v>0</v>
      </c>
      <c r="P220" s="322">
        <f t="shared" si="43"/>
        <v>33391.62018835557</v>
      </c>
      <c r="Q220" s="322">
        <f t="shared" si="44"/>
        <v>33406.824274921935</v>
      </c>
      <c r="R220" s="321">
        <f t="shared" si="45"/>
        <v>0</v>
      </c>
      <c r="S220" s="322">
        <f t="shared" si="46"/>
        <v>33406.824274921935</v>
      </c>
      <c r="T220" s="322">
        <f t="shared" si="47"/>
        <v>33406.82427492187</v>
      </c>
      <c r="U220" s="321">
        <f t="shared" si="48"/>
        <v>0</v>
      </c>
      <c r="V220" s="322">
        <f t="shared" si="49"/>
        <v>33406.82427492187</v>
      </c>
      <c r="W220" s="322">
        <f t="shared" si="50"/>
        <v>33406.824274921884</v>
      </c>
      <c r="X220" s="321">
        <f t="shared" si="51"/>
        <v>0</v>
      </c>
      <c r="Y220" s="322">
        <f t="shared" si="52"/>
        <v>33406.824274921884</v>
      </c>
      <c r="Z220" s="322">
        <f t="shared" si="53"/>
        <v>33406.824274921877</v>
      </c>
      <c r="AA220" s="323">
        <f t="shared" si="54"/>
        <v>33406.824274921877</v>
      </c>
      <c r="AB220" s="323"/>
      <c r="AC220" s="323"/>
      <c r="AD220" s="323"/>
      <c r="AE220" s="323"/>
      <c r="AF220" s="324">
        <f t="shared" si="55"/>
        <v>1.9131365231204119E-4</v>
      </c>
      <c r="AG220" s="312"/>
      <c r="AH220" s="312"/>
      <c r="AI220" s="325">
        <f t="shared" si="56"/>
        <v>1</v>
      </c>
      <c r="AJ220" s="312"/>
      <c r="AK220" s="312"/>
      <c r="AL220" s="312"/>
      <c r="AM220" s="312"/>
      <c r="AN220" s="312"/>
      <c r="AO220" s="312"/>
      <c r="AP220" s="312"/>
      <c r="AQ220" s="312"/>
      <c r="AR220" s="312"/>
      <c r="AS220" s="312"/>
      <c r="AT220" s="312"/>
      <c r="AU220" s="312"/>
      <c r="AV220" s="312"/>
      <c r="AW220" s="312"/>
      <c r="AX220" s="312"/>
      <c r="AY220" s="312"/>
      <c r="AZ220" s="312"/>
      <c r="BA220" s="312"/>
      <c r="BB220" s="312"/>
      <c r="BC220" s="312"/>
      <c r="BD220" s="312"/>
      <c r="BE220" s="312"/>
      <c r="BF220" s="312"/>
      <c r="BG220" s="312"/>
      <c r="BH220" s="312"/>
      <c r="BI220" s="312"/>
      <c r="BJ220" s="312"/>
      <c r="BK220" s="312"/>
      <c r="BL220" s="312"/>
      <c r="BM220" s="312"/>
      <c r="BN220" s="312"/>
      <c r="BO220" s="312"/>
      <c r="BP220" s="312"/>
      <c r="BQ220" s="312"/>
      <c r="BR220" s="312"/>
      <c r="BS220" s="312"/>
      <c r="BT220" s="312"/>
      <c r="BU220" s="312"/>
      <c r="BV220" s="312"/>
      <c r="BW220" s="312"/>
      <c r="BX220" s="312"/>
      <c r="BY220" s="312"/>
      <c r="BZ220" s="312"/>
      <c r="CA220" s="312"/>
      <c r="CB220" s="312"/>
      <c r="CC220" s="312"/>
      <c r="CD220" s="312"/>
      <c r="CE220" s="312"/>
      <c r="CF220" s="312"/>
      <c r="CG220" s="312"/>
      <c r="CH220" s="312"/>
      <c r="CI220" s="312"/>
      <c r="CJ220" s="312"/>
      <c r="CK220" s="312"/>
      <c r="CL220" s="312"/>
      <c r="CM220" s="312"/>
      <c r="CN220" s="312"/>
      <c r="CO220" s="312"/>
      <c r="CP220" s="312"/>
      <c r="CQ220" s="312"/>
      <c r="CR220" s="312"/>
      <c r="CS220" s="312"/>
      <c r="CT220" s="312"/>
      <c r="CU220" s="312"/>
      <c r="CV220" s="312"/>
      <c r="CW220" s="312"/>
      <c r="CX220" s="312"/>
      <c r="CY220" s="312"/>
      <c r="CZ220" s="312"/>
      <c r="DA220" s="312"/>
      <c r="DB220" s="312"/>
      <c r="DC220" s="312"/>
      <c r="DD220" s="312"/>
      <c r="DE220" s="312"/>
      <c r="DF220" s="312"/>
      <c r="DG220" s="312"/>
      <c r="DH220" s="312"/>
      <c r="DI220" s="312"/>
      <c r="DJ220" s="312"/>
      <c r="DK220" s="312"/>
      <c r="DL220" s="312"/>
      <c r="DM220" s="312"/>
      <c r="DN220" s="312"/>
      <c r="DO220" s="312"/>
      <c r="DP220" s="312"/>
      <c r="DQ220" s="312"/>
      <c r="DR220" s="312"/>
      <c r="DS220" s="312"/>
      <c r="DT220" s="312"/>
      <c r="DU220" s="312"/>
      <c r="DV220" s="312"/>
      <c r="DW220" s="312"/>
      <c r="DX220" s="312"/>
      <c r="DY220" s="312"/>
      <c r="DZ220" s="312"/>
      <c r="EA220" s="312"/>
      <c r="EB220" s="312"/>
      <c r="EC220" s="312"/>
      <c r="ED220" s="312"/>
      <c r="EE220" s="312"/>
      <c r="EF220" s="312"/>
      <c r="EG220" s="312"/>
      <c r="EH220" s="312"/>
      <c r="EI220" s="312"/>
      <c r="EJ220" s="312"/>
      <c r="EK220" s="312"/>
      <c r="EL220" s="312"/>
      <c r="EM220" s="312"/>
      <c r="EN220" s="312"/>
      <c r="EO220" s="312"/>
      <c r="EP220" s="312"/>
      <c r="EQ220" s="312"/>
      <c r="ER220" s="312"/>
      <c r="ES220" s="312"/>
      <c r="ET220" s="312"/>
      <c r="EU220" s="312"/>
      <c r="EV220" s="312"/>
      <c r="EW220" s="312"/>
      <c r="EX220" s="312"/>
      <c r="EY220" s="312"/>
      <c r="EZ220" s="312"/>
      <c r="FA220" s="312"/>
      <c r="FB220" s="312"/>
      <c r="FC220" s="312"/>
      <c r="FD220" s="312"/>
      <c r="FE220" s="312"/>
      <c r="FF220" s="312"/>
      <c r="FG220" s="312"/>
      <c r="FH220" s="312"/>
      <c r="FI220" s="312"/>
      <c r="FJ220" s="312"/>
      <c r="FK220" s="312"/>
      <c r="FL220" s="312"/>
      <c r="FM220" s="312"/>
      <c r="FN220" s="312"/>
      <c r="FO220" s="312"/>
      <c r="FP220" s="312"/>
      <c r="FQ220" s="312"/>
      <c r="FR220" s="312"/>
      <c r="FS220" s="312"/>
      <c r="FT220" s="312"/>
      <c r="FU220" s="312"/>
      <c r="FV220" s="312"/>
      <c r="FW220" s="312"/>
      <c r="FX220" s="312"/>
      <c r="FY220" s="312"/>
      <c r="FZ220" s="312"/>
      <c r="GA220" s="312"/>
      <c r="GB220" s="312"/>
      <c r="GC220" s="312"/>
      <c r="GD220" s="312"/>
      <c r="GE220" s="312"/>
      <c r="GF220" s="312"/>
      <c r="GG220" s="312"/>
      <c r="GH220" s="312"/>
      <c r="GI220" s="312"/>
      <c r="GJ220" s="312"/>
      <c r="GK220" s="312"/>
      <c r="GL220" s="312"/>
      <c r="GM220" s="312"/>
      <c r="GN220" s="312"/>
      <c r="GO220" s="312"/>
      <c r="GP220" s="312"/>
      <c r="GQ220" s="312"/>
      <c r="GR220" s="312"/>
      <c r="GS220" s="312"/>
      <c r="GT220" s="312"/>
      <c r="GU220" s="312"/>
      <c r="GV220" s="312"/>
      <c r="GW220" s="312"/>
      <c r="GX220" s="312"/>
      <c r="GY220" s="312"/>
    </row>
    <row r="221" spans="2:207" ht="15.75" x14ac:dyDescent="0.25">
      <c r="B221" s="316">
        <f t="shared" si="39"/>
        <v>191</v>
      </c>
      <c r="C221" s="330">
        <f>'סיכום לוועדה'!B221</f>
        <v>1001350855</v>
      </c>
      <c r="D221" s="330">
        <f>'סיכום לוועדה'!C221</f>
        <v>1001268627</v>
      </c>
      <c r="E221" s="330">
        <f>'סיכום לוועדה'!D221</f>
        <v>40000006</v>
      </c>
      <c r="F221" s="330">
        <f>'סיכום לוועדה'!E221</f>
        <v>20000137</v>
      </c>
      <c r="G221" s="330" t="str">
        <f>'סיכום לוועדה'!F221</f>
        <v>מגידו</v>
      </c>
      <c r="H221" s="317" t="str">
        <f>'סיכום לוועדה'!G221</f>
        <v>וילפריד ישראל לאמנות וידיעת המזרח בע"מ</v>
      </c>
      <c r="I221" s="318">
        <f>'סיכום לוועדה'!U221</f>
        <v>150000</v>
      </c>
      <c r="J221" s="319">
        <f>'סיכום לוועדה'!T221</f>
        <v>104975.60240938514</v>
      </c>
      <c r="K221" s="320">
        <f t="shared" si="40"/>
        <v>0</v>
      </c>
      <c r="L221" s="319">
        <f t="shared" si="41"/>
        <v>104975.60240938514</v>
      </c>
      <c r="M221" s="331">
        <f>'תחום תמיכה ב'!AF221</f>
        <v>6.478304806098584E-4</v>
      </c>
      <c r="N221" s="319">
        <f t="shared" si="38"/>
        <v>116011.0784535959</v>
      </c>
      <c r="O221" s="321">
        <f t="shared" si="42"/>
        <v>0</v>
      </c>
      <c r="P221" s="322">
        <f t="shared" si="43"/>
        <v>116011.0784535959</v>
      </c>
      <c r="Q221" s="322">
        <f t="shared" si="44"/>
        <v>116063.90136154454</v>
      </c>
      <c r="R221" s="321">
        <f t="shared" si="45"/>
        <v>0</v>
      </c>
      <c r="S221" s="322">
        <f t="shared" si="46"/>
        <v>116063.90136154454</v>
      </c>
      <c r="T221" s="322">
        <f t="shared" si="47"/>
        <v>116063.90136154431</v>
      </c>
      <c r="U221" s="321">
        <f t="shared" si="48"/>
        <v>0</v>
      </c>
      <c r="V221" s="322">
        <f t="shared" si="49"/>
        <v>116063.90136154431</v>
      </c>
      <c r="W221" s="322">
        <f t="shared" si="50"/>
        <v>116063.90136154435</v>
      </c>
      <c r="X221" s="321">
        <f t="shared" si="51"/>
        <v>0</v>
      </c>
      <c r="Y221" s="322">
        <f t="shared" si="52"/>
        <v>116063.90136154435</v>
      </c>
      <c r="Z221" s="322">
        <f t="shared" si="53"/>
        <v>116063.90136154433</v>
      </c>
      <c r="AA221" s="323">
        <f t="shared" si="54"/>
        <v>116063.90136154433</v>
      </c>
      <c r="AB221" s="323"/>
      <c r="AC221" s="323"/>
      <c r="AD221" s="323"/>
      <c r="AE221" s="323"/>
      <c r="AF221" s="324">
        <f t="shared" si="55"/>
        <v>6.6467284313912714E-4</v>
      </c>
      <c r="AG221" s="312"/>
      <c r="AH221" s="312"/>
      <c r="AI221" s="325">
        <f t="shared" si="56"/>
        <v>1</v>
      </c>
      <c r="AJ221" s="312"/>
      <c r="AK221" s="312"/>
      <c r="AL221" s="312"/>
      <c r="AM221" s="312"/>
      <c r="AN221" s="312"/>
      <c r="AO221" s="312"/>
      <c r="AP221" s="312"/>
      <c r="AQ221" s="312"/>
      <c r="AR221" s="312"/>
      <c r="AS221" s="312"/>
      <c r="AT221" s="312"/>
      <c r="AU221" s="312"/>
      <c r="AV221" s="312"/>
      <c r="AW221" s="312"/>
      <c r="AX221" s="312"/>
      <c r="AY221" s="312"/>
      <c r="AZ221" s="312"/>
      <c r="BA221" s="312"/>
      <c r="BB221" s="312"/>
      <c r="BC221" s="312"/>
      <c r="BD221" s="312"/>
      <c r="BE221" s="312"/>
      <c r="BF221" s="312"/>
      <c r="BG221" s="312"/>
      <c r="BH221" s="312"/>
      <c r="BI221" s="312"/>
      <c r="BJ221" s="312"/>
      <c r="BK221" s="312"/>
      <c r="BL221" s="312"/>
      <c r="BM221" s="312"/>
      <c r="BN221" s="312"/>
      <c r="BO221" s="312"/>
      <c r="BP221" s="312"/>
      <c r="BQ221" s="312"/>
      <c r="BR221" s="312"/>
      <c r="BS221" s="312"/>
      <c r="BT221" s="312"/>
      <c r="BU221" s="312"/>
      <c r="BV221" s="312"/>
      <c r="BW221" s="312"/>
      <c r="BX221" s="312"/>
      <c r="BY221" s="312"/>
      <c r="BZ221" s="312"/>
      <c r="CA221" s="312"/>
      <c r="CB221" s="312"/>
      <c r="CC221" s="312"/>
      <c r="CD221" s="312"/>
      <c r="CE221" s="312"/>
      <c r="CF221" s="312"/>
      <c r="CG221" s="312"/>
      <c r="CH221" s="312"/>
      <c r="CI221" s="312"/>
      <c r="CJ221" s="312"/>
      <c r="CK221" s="312"/>
      <c r="CL221" s="312"/>
      <c r="CM221" s="312"/>
      <c r="CN221" s="312"/>
      <c r="CO221" s="312"/>
      <c r="CP221" s="312"/>
      <c r="CQ221" s="312"/>
      <c r="CR221" s="312"/>
      <c r="CS221" s="312"/>
      <c r="CT221" s="312"/>
      <c r="CU221" s="312"/>
      <c r="CV221" s="312"/>
      <c r="CW221" s="312"/>
      <c r="CX221" s="312"/>
      <c r="CY221" s="312"/>
      <c r="CZ221" s="312"/>
      <c r="DA221" s="312"/>
      <c r="DB221" s="312"/>
      <c r="DC221" s="312"/>
      <c r="DD221" s="312"/>
      <c r="DE221" s="312"/>
      <c r="DF221" s="312"/>
      <c r="DG221" s="312"/>
      <c r="DH221" s="312"/>
      <c r="DI221" s="312"/>
      <c r="DJ221" s="312"/>
      <c r="DK221" s="312"/>
      <c r="DL221" s="312"/>
      <c r="DM221" s="312"/>
      <c r="DN221" s="312"/>
      <c r="DO221" s="312"/>
      <c r="DP221" s="312"/>
      <c r="DQ221" s="312"/>
      <c r="DR221" s="312"/>
      <c r="DS221" s="312"/>
      <c r="DT221" s="312"/>
      <c r="DU221" s="312"/>
      <c r="DV221" s="312"/>
      <c r="DW221" s="312"/>
      <c r="DX221" s="312"/>
      <c r="DY221" s="312"/>
      <c r="DZ221" s="312"/>
      <c r="EA221" s="312"/>
      <c r="EB221" s="312"/>
      <c r="EC221" s="312"/>
      <c r="ED221" s="312"/>
      <c r="EE221" s="312"/>
      <c r="EF221" s="312"/>
      <c r="EG221" s="312"/>
      <c r="EH221" s="312"/>
      <c r="EI221" s="312"/>
      <c r="EJ221" s="312"/>
      <c r="EK221" s="312"/>
      <c r="EL221" s="312"/>
      <c r="EM221" s="312"/>
      <c r="EN221" s="312"/>
      <c r="EO221" s="312"/>
      <c r="EP221" s="312"/>
      <c r="EQ221" s="312"/>
      <c r="ER221" s="312"/>
      <c r="ES221" s="312"/>
      <c r="ET221" s="312"/>
      <c r="EU221" s="312"/>
      <c r="EV221" s="312"/>
      <c r="EW221" s="312"/>
      <c r="EX221" s="312"/>
      <c r="EY221" s="312"/>
      <c r="EZ221" s="312"/>
      <c r="FA221" s="312"/>
      <c r="FB221" s="312"/>
      <c r="FC221" s="312"/>
      <c r="FD221" s="312"/>
      <c r="FE221" s="312"/>
      <c r="FF221" s="312"/>
      <c r="FG221" s="312"/>
      <c r="FH221" s="312"/>
      <c r="FI221" s="312"/>
      <c r="FJ221" s="312"/>
      <c r="FK221" s="312"/>
      <c r="FL221" s="312"/>
      <c r="FM221" s="312"/>
      <c r="FN221" s="312"/>
      <c r="FO221" s="312"/>
      <c r="FP221" s="312"/>
      <c r="FQ221" s="312"/>
      <c r="FR221" s="312"/>
      <c r="FS221" s="312"/>
      <c r="FT221" s="312"/>
      <c r="FU221" s="312"/>
      <c r="FV221" s="312"/>
      <c r="FW221" s="312"/>
      <c r="FX221" s="312"/>
      <c r="FY221" s="312"/>
      <c r="FZ221" s="312"/>
      <c r="GA221" s="312"/>
      <c r="GB221" s="312"/>
      <c r="GC221" s="312"/>
      <c r="GD221" s="312"/>
      <c r="GE221" s="312"/>
      <c r="GF221" s="312"/>
      <c r="GG221" s="312"/>
      <c r="GH221" s="312"/>
      <c r="GI221" s="312"/>
      <c r="GJ221" s="312"/>
      <c r="GK221" s="312"/>
      <c r="GL221" s="312"/>
      <c r="GM221" s="312"/>
      <c r="GN221" s="312"/>
      <c r="GO221" s="312"/>
      <c r="GP221" s="312"/>
      <c r="GQ221" s="312"/>
      <c r="GR221" s="312"/>
      <c r="GS221" s="312"/>
      <c r="GT221" s="312"/>
      <c r="GU221" s="312"/>
      <c r="GV221" s="312"/>
      <c r="GW221" s="312"/>
      <c r="GX221" s="312"/>
      <c r="GY221" s="312"/>
    </row>
    <row r="222" spans="2:207" ht="15.75" x14ac:dyDescent="0.25">
      <c r="B222" s="316">
        <f t="shared" si="39"/>
        <v>192</v>
      </c>
      <c r="C222" s="330">
        <f>'סיכום לוועדה'!B222</f>
        <v>1001350662</v>
      </c>
      <c r="D222" s="330">
        <f>'סיכום לוועדה'!C222</f>
        <v>1001279212</v>
      </c>
      <c r="E222" s="330">
        <f>'סיכום לוועדה'!D222</f>
        <v>40000437</v>
      </c>
      <c r="F222" s="330">
        <f>'סיכום לוועדה'!E222</f>
        <v>20000201</v>
      </c>
      <c r="G222" s="330" t="str">
        <f>'סיכום לוועדה'!F222</f>
        <v>תל אביב -יפו</v>
      </c>
      <c r="H222" s="317" t="str">
        <f>'סיכום לוועדה'!G222</f>
        <v>עמותת אמנים יוצרים בישראל</v>
      </c>
      <c r="I222" s="318">
        <f>'סיכום לוועדה'!U222</f>
        <v>65000</v>
      </c>
      <c r="J222" s="319">
        <f>'סיכום לוועדה'!T222</f>
        <v>106894.81563578045</v>
      </c>
      <c r="K222" s="320">
        <f t="shared" si="40"/>
        <v>1</v>
      </c>
      <c r="L222" s="319">
        <f t="shared" si="41"/>
        <v>65000</v>
      </c>
      <c r="M222" s="331">
        <f>'תחום תמיכה ב'!AF222</f>
        <v>5.8297476511882376E-4</v>
      </c>
      <c r="N222" s="319">
        <f t="shared" si="38"/>
        <v>65000</v>
      </c>
      <c r="O222" s="321">
        <f t="shared" si="42"/>
        <v>1</v>
      </c>
      <c r="P222" s="322">
        <f t="shared" si="43"/>
        <v>65000</v>
      </c>
      <c r="Q222" s="322">
        <f t="shared" si="44"/>
        <v>65000</v>
      </c>
      <c r="R222" s="321">
        <f t="shared" si="45"/>
        <v>1</v>
      </c>
      <c r="S222" s="322">
        <f t="shared" si="46"/>
        <v>65000</v>
      </c>
      <c r="T222" s="322">
        <f t="shared" si="47"/>
        <v>65000</v>
      </c>
      <c r="U222" s="321">
        <f t="shared" si="48"/>
        <v>1</v>
      </c>
      <c r="V222" s="322">
        <f t="shared" si="49"/>
        <v>65000</v>
      </c>
      <c r="W222" s="322">
        <f t="shared" si="50"/>
        <v>65000</v>
      </c>
      <c r="X222" s="321">
        <f t="shared" si="51"/>
        <v>1</v>
      </c>
      <c r="Y222" s="322">
        <f t="shared" si="52"/>
        <v>65000</v>
      </c>
      <c r="Z222" s="322">
        <f t="shared" si="53"/>
        <v>65000</v>
      </c>
      <c r="AA222" s="323">
        <f t="shared" si="54"/>
        <v>65000</v>
      </c>
      <c r="AB222" s="323"/>
      <c r="AC222" s="323"/>
      <c r="AD222" s="323"/>
      <c r="AE222" s="323"/>
      <c r="AF222" s="324">
        <f t="shared" si="55"/>
        <v>3.7224093191096227E-4</v>
      </c>
      <c r="AG222" s="312"/>
      <c r="AH222" s="312"/>
      <c r="AI222" s="325">
        <f t="shared" si="56"/>
        <v>1</v>
      </c>
      <c r="AJ222" s="312"/>
      <c r="AK222" s="312"/>
      <c r="AL222" s="312"/>
      <c r="AM222" s="312"/>
      <c r="AN222" s="312"/>
      <c r="AO222" s="312"/>
      <c r="AP222" s="312"/>
      <c r="AQ222" s="312"/>
      <c r="AR222" s="312"/>
      <c r="AS222" s="312"/>
      <c r="AT222" s="312"/>
      <c r="AU222" s="312"/>
      <c r="AV222" s="312"/>
      <c r="AW222" s="312"/>
      <c r="AX222" s="312"/>
      <c r="AY222" s="312"/>
      <c r="AZ222" s="312"/>
      <c r="BA222" s="312"/>
      <c r="BB222" s="312"/>
      <c r="BC222" s="312"/>
      <c r="BD222" s="312"/>
      <c r="BE222" s="312"/>
      <c r="BF222" s="312"/>
      <c r="BG222" s="312"/>
      <c r="BH222" s="312"/>
      <c r="BI222" s="312"/>
      <c r="BJ222" s="312"/>
      <c r="BK222" s="312"/>
      <c r="BL222" s="312"/>
      <c r="BM222" s="312"/>
      <c r="BN222" s="312"/>
      <c r="BO222" s="312"/>
      <c r="BP222" s="312"/>
      <c r="BQ222" s="312"/>
      <c r="BR222" s="312"/>
      <c r="BS222" s="312"/>
      <c r="BT222" s="312"/>
      <c r="BU222" s="312"/>
      <c r="BV222" s="312"/>
      <c r="BW222" s="312"/>
      <c r="BX222" s="312"/>
      <c r="BY222" s="312"/>
      <c r="BZ222" s="312"/>
      <c r="CA222" s="312"/>
      <c r="CB222" s="312"/>
      <c r="CC222" s="312"/>
      <c r="CD222" s="312"/>
      <c r="CE222" s="312"/>
      <c r="CF222" s="312"/>
      <c r="CG222" s="312"/>
      <c r="CH222" s="312"/>
      <c r="CI222" s="312"/>
      <c r="CJ222" s="312"/>
      <c r="CK222" s="312"/>
      <c r="CL222" s="312"/>
      <c r="CM222" s="312"/>
      <c r="CN222" s="312"/>
      <c r="CO222" s="312"/>
      <c r="CP222" s="312"/>
      <c r="CQ222" s="312"/>
      <c r="CR222" s="312"/>
      <c r="CS222" s="312"/>
      <c r="CT222" s="312"/>
      <c r="CU222" s="312"/>
      <c r="CV222" s="312"/>
      <c r="CW222" s="312"/>
      <c r="CX222" s="312"/>
      <c r="CY222" s="312"/>
      <c r="CZ222" s="312"/>
      <c r="DA222" s="312"/>
      <c r="DB222" s="312"/>
      <c r="DC222" s="312"/>
      <c r="DD222" s="312"/>
      <c r="DE222" s="312"/>
      <c r="DF222" s="312"/>
      <c r="DG222" s="312"/>
      <c r="DH222" s="312"/>
      <c r="DI222" s="312"/>
      <c r="DJ222" s="312"/>
      <c r="DK222" s="312"/>
      <c r="DL222" s="312"/>
      <c r="DM222" s="312"/>
      <c r="DN222" s="312"/>
      <c r="DO222" s="312"/>
      <c r="DP222" s="312"/>
      <c r="DQ222" s="312"/>
      <c r="DR222" s="312"/>
      <c r="DS222" s="312"/>
      <c r="DT222" s="312"/>
      <c r="DU222" s="312"/>
      <c r="DV222" s="312"/>
      <c r="DW222" s="312"/>
      <c r="DX222" s="312"/>
      <c r="DY222" s="312"/>
      <c r="DZ222" s="312"/>
      <c r="EA222" s="312"/>
      <c r="EB222" s="312"/>
      <c r="EC222" s="312"/>
      <c r="ED222" s="312"/>
      <c r="EE222" s="312"/>
      <c r="EF222" s="312"/>
      <c r="EG222" s="312"/>
      <c r="EH222" s="312"/>
      <c r="EI222" s="312"/>
      <c r="EJ222" s="312"/>
      <c r="EK222" s="312"/>
      <c r="EL222" s="312"/>
      <c r="EM222" s="312"/>
      <c r="EN222" s="312"/>
      <c r="EO222" s="312"/>
      <c r="EP222" s="312"/>
      <c r="EQ222" s="312"/>
      <c r="ER222" s="312"/>
      <c r="ES222" s="312"/>
      <c r="ET222" s="312"/>
      <c r="EU222" s="312"/>
      <c r="EV222" s="312"/>
      <c r="EW222" s="312"/>
      <c r="EX222" s="312"/>
      <c r="EY222" s="312"/>
      <c r="EZ222" s="312"/>
      <c r="FA222" s="312"/>
      <c r="FB222" s="312"/>
      <c r="FC222" s="312"/>
      <c r="FD222" s="312"/>
      <c r="FE222" s="312"/>
      <c r="FF222" s="312"/>
      <c r="FG222" s="312"/>
      <c r="FH222" s="312"/>
      <c r="FI222" s="312"/>
      <c r="FJ222" s="312"/>
      <c r="FK222" s="312"/>
      <c r="FL222" s="312"/>
      <c r="FM222" s="312"/>
      <c r="FN222" s="312"/>
      <c r="FO222" s="312"/>
      <c r="FP222" s="312"/>
      <c r="FQ222" s="312"/>
      <c r="FR222" s="312"/>
      <c r="FS222" s="312"/>
      <c r="FT222" s="312"/>
      <c r="FU222" s="312"/>
      <c r="FV222" s="312"/>
      <c r="FW222" s="312"/>
      <c r="FX222" s="312"/>
      <c r="FY222" s="312"/>
      <c r="FZ222" s="312"/>
      <c r="GA222" s="312"/>
      <c r="GB222" s="312"/>
      <c r="GC222" s="312"/>
      <c r="GD222" s="312"/>
      <c r="GE222" s="312"/>
      <c r="GF222" s="312"/>
      <c r="GG222" s="312"/>
      <c r="GH222" s="312"/>
      <c r="GI222" s="312"/>
      <c r="GJ222" s="312"/>
      <c r="GK222" s="312"/>
      <c r="GL222" s="312"/>
      <c r="GM222" s="312"/>
      <c r="GN222" s="312"/>
      <c r="GO222" s="312"/>
      <c r="GP222" s="312"/>
      <c r="GQ222" s="312"/>
      <c r="GR222" s="312"/>
      <c r="GS222" s="312"/>
      <c r="GT222" s="312"/>
      <c r="GU222" s="312"/>
      <c r="GV222" s="312"/>
      <c r="GW222" s="312"/>
      <c r="GX222" s="312"/>
      <c r="GY222" s="312"/>
    </row>
    <row r="223" spans="2:207" ht="15.75" x14ac:dyDescent="0.25">
      <c r="B223" s="316" t="str">
        <f t="shared" si="39"/>
        <v/>
      </c>
      <c r="C223" s="330" t="str">
        <f>'סיכום לוועדה'!B223</f>
        <v/>
      </c>
      <c r="D223" s="330" t="str">
        <f>'סיכום לוועדה'!C223</f>
        <v/>
      </c>
      <c r="E223" s="330" t="str">
        <f>'סיכום לוועדה'!D223</f>
        <v/>
      </c>
      <c r="F223" s="330" t="str">
        <f>'סיכום לוועדה'!E223</f>
        <v/>
      </c>
      <c r="G223" s="330" t="str">
        <f>'סיכום לוועדה'!F223</f>
        <v/>
      </c>
      <c r="H223" s="317" t="str">
        <f>'סיכום לוועדה'!G223</f>
        <v/>
      </c>
      <c r="I223" s="318" t="str">
        <f>'סיכום לוועדה'!U223</f>
        <v/>
      </c>
      <c r="J223" s="319" t="str">
        <f>'סיכום לוועדה'!T223</f>
        <v/>
      </c>
      <c r="K223" s="320" t="str">
        <f t="shared" si="40"/>
        <v/>
      </c>
      <c r="L223" s="319" t="str">
        <f t="shared" si="41"/>
        <v/>
      </c>
      <c r="M223" s="331" t="str">
        <f>'תחום תמיכה ב'!AF223</f>
        <v/>
      </c>
      <c r="N223" s="319" t="str">
        <f t="shared" ref="N223:N286" si="57">IF($H223="","",IF(K223=1,L223,M223/SUMIF(K$31:K$500,0,M$31:M$500)*$I$2+J223))</f>
        <v/>
      </c>
      <c r="O223" s="321">
        <f t="shared" si="42"/>
        <v>0</v>
      </c>
      <c r="P223" s="322" t="str">
        <f t="shared" si="43"/>
        <v/>
      </c>
      <c r="Q223" s="322" t="str">
        <f t="shared" si="44"/>
        <v/>
      </c>
      <c r="R223" s="321">
        <f t="shared" si="45"/>
        <v>0</v>
      </c>
      <c r="S223" s="322" t="str">
        <f t="shared" si="46"/>
        <v/>
      </c>
      <c r="T223" s="322" t="str">
        <f t="shared" si="47"/>
        <v/>
      </c>
      <c r="U223" s="321">
        <f t="shared" si="48"/>
        <v>0</v>
      </c>
      <c r="V223" s="322" t="str">
        <f t="shared" si="49"/>
        <v/>
      </c>
      <c r="W223" s="322" t="str">
        <f t="shared" si="50"/>
        <v/>
      </c>
      <c r="X223" s="321">
        <f t="shared" si="51"/>
        <v>0</v>
      </c>
      <c r="Y223" s="322" t="str">
        <f t="shared" si="52"/>
        <v/>
      </c>
      <c r="Z223" s="322" t="str">
        <f t="shared" si="53"/>
        <v/>
      </c>
      <c r="AA223" s="323" t="str">
        <f t="shared" si="54"/>
        <v/>
      </c>
      <c r="AB223" s="323"/>
      <c r="AC223" s="323"/>
      <c r="AD223" s="323"/>
      <c r="AE223" s="323"/>
      <c r="AF223" s="324" t="str">
        <f t="shared" si="55"/>
        <v/>
      </c>
      <c r="AG223" s="312"/>
      <c r="AH223" s="312"/>
      <c r="AI223" s="325">
        <f t="shared" si="56"/>
        <v>0</v>
      </c>
      <c r="AJ223" s="312"/>
      <c r="AK223" s="312"/>
      <c r="AL223" s="312"/>
      <c r="AM223" s="312"/>
      <c r="AN223" s="312"/>
      <c r="AO223" s="312"/>
      <c r="AP223" s="312"/>
      <c r="AQ223" s="312"/>
      <c r="AR223" s="312"/>
      <c r="AS223" s="312"/>
      <c r="AT223" s="312"/>
      <c r="AU223" s="312"/>
      <c r="AV223" s="312"/>
      <c r="AW223" s="312"/>
      <c r="AX223" s="312"/>
      <c r="AY223" s="312"/>
      <c r="AZ223" s="312"/>
      <c r="BA223" s="312"/>
      <c r="BB223" s="312"/>
      <c r="BC223" s="312"/>
      <c r="BD223" s="312"/>
      <c r="BE223" s="312"/>
      <c r="BF223" s="312"/>
      <c r="BG223" s="312"/>
      <c r="BH223" s="312"/>
      <c r="BI223" s="312"/>
      <c r="BJ223" s="312"/>
      <c r="BK223" s="312"/>
      <c r="BL223" s="312"/>
      <c r="BM223" s="312"/>
      <c r="BN223" s="312"/>
      <c r="BO223" s="312"/>
      <c r="BP223" s="312"/>
      <c r="BQ223" s="312"/>
      <c r="BR223" s="312"/>
      <c r="BS223" s="312"/>
      <c r="BT223" s="312"/>
      <c r="BU223" s="312"/>
      <c r="BV223" s="312"/>
      <c r="BW223" s="312"/>
      <c r="BX223" s="312"/>
      <c r="BY223" s="312"/>
      <c r="BZ223" s="312"/>
      <c r="CA223" s="312"/>
      <c r="CB223" s="312"/>
      <c r="CC223" s="312"/>
      <c r="CD223" s="312"/>
      <c r="CE223" s="312"/>
      <c r="CF223" s="312"/>
      <c r="CG223" s="312"/>
      <c r="CH223" s="312"/>
      <c r="CI223" s="312"/>
      <c r="CJ223" s="312"/>
      <c r="CK223" s="312"/>
      <c r="CL223" s="312"/>
      <c r="CM223" s="312"/>
      <c r="CN223" s="312"/>
      <c r="CO223" s="312"/>
      <c r="CP223" s="312"/>
      <c r="CQ223" s="312"/>
      <c r="CR223" s="312"/>
      <c r="CS223" s="312"/>
      <c r="CT223" s="312"/>
      <c r="CU223" s="312"/>
      <c r="CV223" s="312"/>
      <c r="CW223" s="312"/>
      <c r="CX223" s="312"/>
      <c r="CY223" s="312"/>
      <c r="CZ223" s="312"/>
      <c r="DA223" s="312"/>
      <c r="DB223" s="312"/>
      <c r="DC223" s="312"/>
      <c r="DD223" s="312"/>
      <c r="DE223" s="312"/>
      <c r="DF223" s="312"/>
      <c r="DG223" s="312"/>
      <c r="DH223" s="312"/>
      <c r="DI223" s="312"/>
      <c r="DJ223" s="312"/>
      <c r="DK223" s="312"/>
      <c r="DL223" s="312"/>
      <c r="DM223" s="312"/>
      <c r="DN223" s="312"/>
      <c r="DO223" s="312"/>
      <c r="DP223" s="312"/>
      <c r="DQ223" s="312"/>
      <c r="DR223" s="312"/>
      <c r="DS223" s="312"/>
      <c r="DT223" s="312"/>
      <c r="DU223" s="312"/>
      <c r="DV223" s="312"/>
      <c r="DW223" s="312"/>
      <c r="DX223" s="312"/>
      <c r="DY223" s="312"/>
      <c r="DZ223" s="312"/>
      <c r="EA223" s="312"/>
      <c r="EB223" s="312"/>
      <c r="EC223" s="312"/>
      <c r="ED223" s="312"/>
      <c r="EE223" s="312"/>
      <c r="EF223" s="312"/>
      <c r="EG223" s="312"/>
      <c r="EH223" s="312"/>
      <c r="EI223" s="312"/>
      <c r="EJ223" s="312"/>
      <c r="EK223" s="312"/>
      <c r="EL223" s="312"/>
      <c r="EM223" s="312"/>
      <c r="EN223" s="312"/>
      <c r="EO223" s="312"/>
      <c r="EP223" s="312"/>
      <c r="EQ223" s="312"/>
      <c r="ER223" s="312"/>
      <c r="ES223" s="312"/>
      <c r="ET223" s="312"/>
      <c r="EU223" s="312"/>
      <c r="EV223" s="312"/>
      <c r="EW223" s="312"/>
      <c r="EX223" s="312"/>
      <c r="EY223" s="312"/>
      <c r="EZ223" s="312"/>
      <c r="FA223" s="312"/>
      <c r="FB223" s="312"/>
      <c r="FC223" s="312"/>
      <c r="FD223" s="312"/>
      <c r="FE223" s="312"/>
      <c r="FF223" s="312"/>
      <c r="FG223" s="312"/>
      <c r="FH223" s="312"/>
      <c r="FI223" s="312"/>
      <c r="FJ223" s="312"/>
      <c r="FK223" s="312"/>
      <c r="FL223" s="312"/>
      <c r="FM223" s="312"/>
      <c r="FN223" s="312"/>
      <c r="FO223" s="312"/>
      <c r="FP223" s="312"/>
      <c r="FQ223" s="312"/>
      <c r="FR223" s="312"/>
      <c r="FS223" s="312"/>
      <c r="FT223" s="312"/>
      <c r="FU223" s="312"/>
      <c r="FV223" s="312"/>
      <c r="FW223" s="312"/>
      <c r="FX223" s="312"/>
      <c r="FY223" s="312"/>
      <c r="FZ223" s="312"/>
      <c r="GA223" s="312"/>
      <c r="GB223" s="312"/>
      <c r="GC223" s="312"/>
      <c r="GD223" s="312"/>
      <c r="GE223" s="312"/>
      <c r="GF223" s="312"/>
      <c r="GG223" s="312"/>
      <c r="GH223" s="312"/>
      <c r="GI223" s="312"/>
      <c r="GJ223" s="312"/>
      <c r="GK223" s="312"/>
      <c r="GL223" s="312"/>
      <c r="GM223" s="312"/>
      <c r="GN223" s="312"/>
      <c r="GO223" s="312"/>
      <c r="GP223" s="312"/>
      <c r="GQ223" s="312"/>
      <c r="GR223" s="312"/>
      <c r="GS223" s="312"/>
      <c r="GT223" s="312"/>
      <c r="GU223" s="312"/>
      <c r="GV223" s="312"/>
      <c r="GW223" s="312"/>
      <c r="GX223" s="312"/>
      <c r="GY223" s="312"/>
    </row>
    <row r="224" spans="2:207" ht="15.75" x14ac:dyDescent="0.25">
      <c r="B224" s="316">
        <f t="shared" ref="B224:B287" si="58">IF(H224="","",ROW()-30)</f>
        <v>194</v>
      </c>
      <c r="C224" s="330">
        <f>'סיכום לוועדה'!B224</f>
        <v>1001349549</v>
      </c>
      <c r="D224" s="330">
        <f>'סיכום לוועדה'!C224</f>
        <v>1001265903</v>
      </c>
      <c r="E224" s="330">
        <f>'סיכום לוועדה'!D224</f>
        <v>41534722</v>
      </c>
      <c r="F224" s="330">
        <f>'סיכום לוועדה'!E224</f>
        <v>20000228</v>
      </c>
      <c r="G224" s="330" t="str">
        <f>'סיכום לוועדה'!F224</f>
        <v>לוד</v>
      </c>
      <c r="H224" s="317" t="str">
        <f>'סיכום לוועדה'!G224</f>
        <v>המרכז לתאטרון לוד</v>
      </c>
      <c r="I224" s="318">
        <f>'סיכום לוועדה'!U224</f>
        <v>50000</v>
      </c>
      <c r="J224" s="319">
        <f>'סיכום לוועדה'!T224</f>
        <v>5228.1517953274233</v>
      </c>
      <c r="K224" s="320">
        <f t="shared" ref="K224:K287" si="59">IF(H224="","",IF(J224&gt;$I224,1,0))</f>
        <v>0</v>
      </c>
      <c r="L224" s="319">
        <f t="shared" ref="L224:L287" si="60">IF($H224="","",MIN(I224:J224))</f>
        <v>5228.1517953274233</v>
      </c>
      <c r="M224" s="331">
        <f>'תחום תמיכה ב'!AF224</f>
        <v>3.5332619083812053E-5</v>
      </c>
      <c r="N224" s="319">
        <f t="shared" si="57"/>
        <v>5830.0257162821363</v>
      </c>
      <c r="O224" s="321">
        <f t="shared" ref="O224:O287" si="61">IF(OR(N224&gt;$I224,$K224=1),1,0)</f>
        <v>0</v>
      </c>
      <c r="P224" s="322">
        <f t="shared" ref="P224:P287" si="62">IF($H224="","",MIN(N224,$I224))</f>
        <v>5830.0257162821363</v>
      </c>
      <c r="Q224" s="322">
        <f t="shared" ref="Q224:Q287" si="63">IFERROR(IF($H224="","",IF(O224=1,P224,P224/SUMIF(O$31:O$500,0,P$31:P$500)*($J$501-SUMIF(O$31:O$500,1,P$31:P$500)))),0)</f>
        <v>5832.6802809655646</v>
      </c>
      <c r="R224" s="321">
        <f t="shared" ref="R224:R287" si="64">IF(OR(Q224&gt;$I224,$K224=1,$O224=1),1,0)</f>
        <v>0</v>
      </c>
      <c r="S224" s="322">
        <f t="shared" ref="S224:S287" si="65">IF($H224="","",MIN(Q224,$I224))</f>
        <v>5832.6802809655646</v>
      </c>
      <c r="T224" s="322">
        <f t="shared" ref="T224:T287" si="66">IFERROR(IF($H224="","",IF(R224=1,S224,S224/SUMIF(R$31:R$500,0,S$31:S$500)*($J$501-SUMIF(R$31:R$500,1,S$31:S$500)))),0)</f>
        <v>5832.6802809655528</v>
      </c>
      <c r="U224" s="321">
        <f t="shared" ref="U224:U287" si="67">IF(OR(T224&gt;$I224,$K224=1,$O224=1,$R224=1),1,0)</f>
        <v>0</v>
      </c>
      <c r="V224" s="322">
        <f t="shared" ref="V224:V287" si="68">IF($H224="","",MIN(T224,$I224))</f>
        <v>5832.6802809655528</v>
      </c>
      <c r="W224" s="322">
        <f t="shared" ref="W224:W287" si="69">IFERROR(IF($H224="","",IF(U224=2,V224,IF(U224=1,V224,V224/SUMIF(U$31:U$500,0,V$31:V$500)*($J$501-SUMIF(U$31:U$500,1,V$31:V$500)-SUMIF(U$31:U$500,2,V$31:V$500))))),0)</f>
        <v>5832.6802809655546</v>
      </c>
      <c r="X224" s="321">
        <f t="shared" ref="X224:X287" si="70">IF(OR(W224&gt;$I224,$K224=1,$O224=1,$R224=1,$U224=1),1,0)</f>
        <v>0</v>
      </c>
      <c r="Y224" s="322">
        <f t="shared" ref="Y224:Y287" si="71">IF($H224="","",MIN(W224,$I224))</f>
        <v>5832.6802809655546</v>
      </c>
      <c r="Z224" s="322">
        <f t="shared" ref="Z224:Z287" si="72">IFERROR(IF($H224="","",IF(X224=2,Y224,IF(X224=1,Y224,Y224/SUMIF(X$31:X$500,0,Y$31:Y$500)*($J$501-SUMIF(X$31:X$500,1,Y$31:Y$500)-SUMIF(X$31:X$500,2,Y$31:Y$500))))),0)</f>
        <v>5832.6802809655537</v>
      </c>
      <c r="AA224" s="323">
        <f t="shared" ref="AA224:AA287" si="73">IF($H224="","",IF(AI224=0,$AN$1,IFERROR(Z224,$AN$1)))</f>
        <v>5832.6802809655537</v>
      </c>
      <c r="AB224" s="323"/>
      <c r="AC224" s="323"/>
      <c r="AD224" s="323"/>
      <c r="AE224" s="323"/>
      <c r="AF224" s="324">
        <f t="shared" ref="AF224:AF287" si="74">IF(H224="","",IFERROR(AA224/SUMIF($AA$31:$AA$500,"&lt;&gt;#DIV/0!"),$AN$1))</f>
        <v>3.3402497589620173E-5</v>
      </c>
      <c r="AG224" s="312"/>
      <c r="AH224" s="312"/>
      <c r="AI224" s="325">
        <f t="shared" ref="AI224:AI287" si="75">IF(H224="",0,IFERROR(IF(I224*1&gt;=0,1,0),0))</f>
        <v>1</v>
      </c>
      <c r="AJ224" s="312"/>
      <c r="AK224" s="312"/>
      <c r="AL224" s="312"/>
      <c r="AM224" s="312"/>
      <c r="AN224" s="312"/>
      <c r="AO224" s="312"/>
      <c r="AP224" s="312"/>
      <c r="AQ224" s="312"/>
      <c r="AR224" s="312"/>
      <c r="AS224" s="312"/>
      <c r="AT224" s="312"/>
      <c r="AU224" s="312"/>
      <c r="AV224" s="312"/>
      <c r="AW224" s="312"/>
      <c r="AX224" s="312"/>
      <c r="AY224" s="312"/>
      <c r="AZ224" s="312"/>
      <c r="BA224" s="312"/>
      <c r="BB224" s="312"/>
      <c r="BC224" s="312"/>
      <c r="BD224" s="312"/>
      <c r="BE224" s="312"/>
      <c r="BF224" s="312"/>
      <c r="BG224" s="312"/>
      <c r="BH224" s="312"/>
      <c r="BI224" s="312"/>
      <c r="BJ224" s="312"/>
      <c r="BK224" s="312"/>
      <c r="BL224" s="312"/>
      <c r="BM224" s="312"/>
      <c r="BN224" s="312"/>
      <c r="BO224" s="312"/>
      <c r="BP224" s="312"/>
      <c r="BQ224" s="312"/>
      <c r="BR224" s="312"/>
      <c r="BS224" s="312"/>
      <c r="BT224" s="312"/>
      <c r="BU224" s="312"/>
      <c r="BV224" s="312"/>
      <c r="BW224" s="312"/>
      <c r="BX224" s="312"/>
      <c r="BY224" s="312"/>
      <c r="BZ224" s="312"/>
      <c r="CA224" s="312"/>
      <c r="CB224" s="312"/>
      <c r="CC224" s="312"/>
      <c r="CD224" s="312"/>
      <c r="CE224" s="312"/>
      <c r="CF224" s="312"/>
      <c r="CG224" s="312"/>
      <c r="CH224" s="312"/>
      <c r="CI224" s="312"/>
      <c r="CJ224" s="312"/>
      <c r="CK224" s="312"/>
      <c r="CL224" s="312"/>
      <c r="CM224" s="312"/>
      <c r="CN224" s="312"/>
      <c r="CO224" s="312"/>
      <c r="CP224" s="312"/>
      <c r="CQ224" s="312"/>
      <c r="CR224" s="312"/>
      <c r="CS224" s="312"/>
      <c r="CT224" s="312"/>
      <c r="CU224" s="312"/>
      <c r="CV224" s="312"/>
      <c r="CW224" s="312"/>
      <c r="CX224" s="312"/>
      <c r="CY224" s="312"/>
      <c r="CZ224" s="312"/>
      <c r="DA224" s="312"/>
      <c r="DB224" s="312"/>
      <c r="DC224" s="312"/>
      <c r="DD224" s="312"/>
      <c r="DE224" s="312"/>
      <c r="DF224" s="312"/>
      <c r="DG224" s="312"/>
      <c r="DH224" s="312"/>
      <c r="DI224" s="312"/>
      <c r="DJ224" s="312"/>
      <c r="DK224" s="312"/>
      <c r="DL224" s="312"/>
      <c r="DM224" s="312"/>
      <c r="DN224" s="312"/>
      <c r="DO224" s="312"/>
      <c r="DP224" s="312"/>
      <c r="DQ224" s="312"/>
      <c r="DR224" s="312"/>
      <c r="DS224" s="312"/>
      <c r="DT224" s="312"/>
      <c r="DU224" s="312"/>
      <c r="DV224" s="312"/>
      <c r="DW224" s="312"/>
      <c r="DX224" s="312"/>
      <c r="DY224" s="312"/>
      <c r="DZ224" s="312"/>
      <c r="EA224" s="312"/>
      <c r="EB224" s="312"/>
      <c r="EC224" s="312"/>
      <c r="ED224" s="312"/>
      <c r="EE224" s="312"/>
      <c r="EF224" s="312"/>
      <c r="EG224" s="312"/>
      <c r="EH224" s="312"/>
      <c r="EI224" s="312"/>
      <c r="EJ224" s="312"/>
      <c r="EK224" s="312"/>
      <c r="EL224" s="312"/>
      <c r="EM224" s="312"/>
      <c r="EN224" s="312"/>
      <c r="EO224" s="312"/>
      <c r="EP224" s="312"/>
      <c r="EQ224" s="312"/>
      <c r="ER224" s="312"/>
      <c r="ES224" s="312"/>
      <c r="ET224" s="312"/>
      <c r="EU224" s="312"/>
      <c r="EV224" s="312"/>
      <c r="EW224" s="312"/>
      <c r="EX224" s="312"/>
      <c r="EY224" s="312"/>
      <c r="EZ224" s="312"/>
      <c r="FA224" s="312"/>
      <c r="FB224" s="312"/>
      <c r="FC224" s="312"/>
      <c r="FD224" s="312"/>
      <c r="FE224" s="312"/>
      <c r="FF224" s="312"/>
      <c r="FG224" s="312"/>
      <c r="FH224" s="312"/>
      <c r="FI224" s="312"/>
      <c r="FJ224" s="312"/>
      <c r="FK224" s="312"/>
      <c r="FL224" s="312"/>
      <c r="FM224" s="312"/>
      <c r="FN224" s="312"/>
      <c r="FO224" s="312"/>
      <c r="FP224" s="312"/>
      <c r="FQ224" s="312"/>
      <c r="FR224" s="312"/>
      <c r="FS224" s="312"/>
      <c r="FT224" s="312"/>
      <c r="FU224" s="312"/>
      <c r="FV224" s="312"/>
      <c r="FW224" s="312"/>
      <c r="FX224" s="312"/>
      <c r="FY224" s="312"/>
      <c r="FZ224" s="312"/>
      <c r="GA224" s="312"/>
      <c r="GB224" s="312"/>
      <c r="GC224" s="312"/>
      <c r="GD224" s="312"/>
      <c r="GE224" s="312"/>
      <c r="GF224" s="312"/>
      <c r="GG224" s="312"/>
      <c r="GH224" s="312"/>
      <c r="GI224" s="312"/>
      <c r="GJ224" s="312"/>
      <c r="GK224" s="312"/>
      <c r="GL224" s="312"/>
      <c r="GM224" s="312"/>
      <c r="GN224" s="312"/>
      <c r="GO224" s="312"/>
      <c r="GP224" s="312"/>
      <c r="GQ224" s="312"/>
      <c r="GR224" s="312"/>
      <c r="GS224" s="312"/>
      <c r="GT224" s="312"/>
      <c r="GU224" s="312"/>
      <c r="GV224" s="312"/>
      <c r="GW224" s="312"/>
      <c r="GX224" s="312"/>
      <c r="GY224" s="312"/>
    </row>
    <row r="225" spans="2:207" ht="15.75" x14ac:dyDescent="0.25">
      <c r="B225" s="316">
        <f t="shared" si="58"/>
        <v>195</v>
      </c>
      <c r="C225" s="330">
        <f>'סיכום לוועדה'!B225</f>
        <v>1001350350</v>
      </c>
      <c r="D225" s="330">
        <f>'סיכום לוועדה'!C225</f>
        <v>1001270597</v>
      </c>
      <c r="E225" s="330">
        <f>'סיכום לוועדה'!D225</f>
        <v>41103047</v>
      </c>
      <c r="F225" s="330">
        <f>'סיכום לוועדה'!E225</f>
        <v>20000201</v>
      </c>
      <c r="G225" s="330" t="str">
        <f>'סיכום לוועדה'!F225</f>
        <v>תל אביב -יפו</v>
      </c>
      <c r="H225" s="317" t="str">
        <f>'סיכום לוועדה'!G225</f>
        <v>א.מ.א. - אומנות מקורית אלטרנטיבית</v>
      </c>
      <c r="I225" s="318">
        <f>'סיכום לוועדה'!U225</f>
        <v>500000</v>
      </c>
      <c r="J225" s="319">
        <f>'סיכום לוועדה'!T225</f>
        <v>384319.97899325332</v>
      </c>
      <c r="K225" s="320">
        <f t="shared" si="59"/>
        <v>0</v>
      </c>
      <c r="L225" s="319">
        <f t="shared" si="60"/>
        <v>384319.97899325332</v>
      </c>
      <c r="M225" s="331">
        <f>'תחום תמיכה ב'!AF225</f>
        <v>2.1323366352447698E-3</v>
      </c>
      <c r="N225" s="319">
        <f t="shared" si="57"/>
        <v>420643.2928241872</v>
      </c>
      <c r="O225" s="321">
        <f t="shared" si="61"/>
        <v>0</v>
      </c>
      <c r="P225" s="322">
        <f t="shared" si="62"/>
        <v>420643.2928241872</v>
      </c>
      <c r="Q225" s="322">
        <f t="shared" si="63"/>
        <v>420834.82282487547</v>
      </c>
      <c r="R225" s="321">
        <f t="shared" si="64"/>
        <v>0</v>
      </c>
      <c r="S225" s="322">
        <f t="shared" si="65"/>
        <v>420834.82282487547</v>
      </c>
      <c r="T225" s="322">
        <f t="shared" si="66"/>
        <v>420834.82282487466</v>
      </c>
      <c r="U225" s="321">
        <f t="shared" si="67"/>
        <v>0</v>
      </c>
      <c r="V225" s="322">
        <f t="shared" si="68"/>
        <v>420834.82282487466</v>
      </c>
      <c r="W225" s="322">
        <f t="shared" si="69"/>
        <v>420834.82282487478</v>
      </c>
      <c r="X225" s="321">
        <f t="shared" si="70"/>
        <v>0</v>
      </c>
      <c r="Y225" s="322">
        <f t="shared" si="71"/>
        <v>420834.82282487478</v>
      </c>
      <c r="Z225" s="322">
        <f t="shared" si="72"/>
        <v>420834.82282487472</v>
      </c>
      <c r="AA225" s="323">
        <f t="shared" si="73"/>
        <v>420834.82282487472</v>
      </c>
      <c r="AB225" s="323"/>
      <c r="AC225" s="323"/>
      <c r="AD225" s="323"/>
      <c r="AE225" s="323"/>
      <c r="AF225" s="324">
        <f t="shared" si="74"/>
        <v>2.4100299481371705E-3</v>
      </c>
      <c r="AG225" s="312"/>
      <c r="AH225" s="312"/>
      <c r="AI225" s="325">
        <f t="shared" si="75"/>
        <v>1</v>
      </c>
      <c r="AJ225" s="312"/>
      <c r="AK225" s="312"/>
      <c r="AL225" s="312"/>
      <c r="AM225" s="312"/>
      <c r="AN225" s="312"/>
      <c r="AO225" s="312"/>
      <c r="AP225" s="312"/>
      <c r="AQ225" s="312"/>
      <c r="AR225" s="312"/>
      <c r="AS225" s="312"/>
      <c r="AT225" s="312"/>
      <c r="AU225" s="312"/>
      <c r="AV225" s="312"/>
      <c r="AW225" s="312"/>
      <c r="AX225" s="312"/>
      <c r="AY225" s="312"/>
      <c r="AZ225" s="312"/>
      <c r="BA225" s="312"/>
      <c r="BB225" s="312"/>
      <c r="BC225" s="312"/>
      <c r="BD225" s="312"/>
      <c r="BE225" s="312"/>
      <c r="BF225" s="312"/>
      <c r="BG225" s="312"/>
      <c r="BH225" s="312"/>
      <c r="BI225" s="312"/>
      <c r="BJ225" s="312"/>
      <c r="BK225" s="312"/>
      <c r="BL225" s="312"/>
      <c r="BM225" s="312"/>
      <c r="BN225" s="312"/>
      <c r="BO225" s="312"/>
      <c r="BP225" s="312"/>
      <c r="BQ225" s="312"/>
      <c r="BR225" s="312"/>
      <c r="BS225" s="312"/>
      <c r="BT225" s="312"/>
      <c r="BU225" s="312"/>
      <c r="BV225" s="312"/>
      <c r="BW225" s="312"/>
      <c r="BX225" s="312"/>
      <c r="BY225" s="312"/>
      <c r="BZ225" s="312"/>
      <c r="CA225" s="312"/>
      <c r="CB225" s="312"/>
      <c r="CC225" s="312"/>
      <c r="CD225" s="312"/>
      <c r="CE225" s="312"/>
      <c r="CF225" s="312"/>
      <c r="CG225" s="312"/>
      <c r="CH225" s="312"/>
      <c r="CI225" s="312"/>
      <c r="CJ225" s="312"/>
      <c r="CK225" s="312"/>
      <c r="CL225" s="312"/>
      <c r="CM225" s="312"/>
      <c r="CN225" s="312"/>
      <c r="CO225" s="312"/>
      <c r="CP225" s="312"/>
      <c r="CQ225" s="312"/>
      <c r="CR225" s="312"/>
      <c r="CS225" s="312"/>
      <c r="CT225" s="312"/>
      <c r="CU225" s="312"/>
      <c r="CV225" s="312"/>
      <c r="CW225" s="312"/>
      <c r="CX225" s="312"/>
      <c r="CY225" s="312"/>
      <c r="CZ225" s="312"/>
      <c r="DA225" s="312"/>
      <c r="DB225" s="312"/>
      <c r="DC225" s="312"/>
      <c r="DD225" s="312"/>
      <c r="DE225" s="312"/>
      <c r="DF225" s="312"/>
      <c r="DG225" s="312"/>
      <c r="DH225" s="312"/>
      <c r="DI225" s="312"/>
      <c r="DJ225" s="312"/>
      <c r="DK225" s="312"/>
      <c r="DL225" s="312"/>
      <c r="DM225" s="312"/>
      <c r="DN225" s="312"/>
      <c r="DO225" s="312"/>
      <c r="DP225" s="312"/>
      <c r="DQ225" s="312"/>
      <c r="DR225" s="312"/>
      <c r="DS225" s="312"/>
      <c r="DT225" s="312"/>
      <c r="DU225" s="312"/>
      <c r="DV225" s="312"/>
      <c r="DW225" s="312"/>
      <c r="DX225" s="312"/>
      <c r="DY225" s="312"/>
      <c r="DZ225" s="312"/>
      <c r="EA225" s="312"/>
      <c r="EB225" s="312"/>
      <c r="EC225" s="312"/>
      <c r="ED225" s="312"/>
      <c r="EE225" s="312"/>
      <c r="EF225" s="312"/>
      <c r="EG225" s="312"/>
      <c r="EH225" s="312"/>
      <c r="EI225" s="312"/>
      <c r="EJ225" s="312"/>
      <c r="EK225" s="312"/>
      <c r="EL225" s="312"/>
      <c r="EM225" s="312"/>
      <c r="EN225" s="312"/>
      <c r="EO225" s="312"/>
      <c r="EP225" s="312"/>
      <c r="EQ225" s="312"/>
      <c r="ER225" s="312"/>
      <c r="ES225" s="312"/>
      <c r="ET225" s="312"/>
      <c r="EU225" s="312"/>
      <c r="EV225" s="312"/>
      <c r="EW225" s="312"/>
      <c r="EX225" s="312"/>
      <c r="EY225" s="312"/>
      <c r="EZ225" s="312"/>
      <c r="FA225" s="312"/>
      <c r="FB225" s="312"/>
      <c r="FC225" s="312"/>
      <c r="FD225" s="312"/>
      <c r="FE225" s="312"/>
      <c r="FF225" s="312"/>
      <c r="FG225" s="312"/>
      <c r="FH225" s="312"/>
      <c r="FI225" s="312"/>
      <c r="FJ225" s="312"/>
      <c r="FK225" s="312"/>
      <c r="FL225" s="312"/>
      <c r="FM225" s="312"/>
      <c r="FN225" s="312"/>
      <c r="FO225" s="312"/>
      <c r="FP225" s="312"/>
      <c r="FQ225" s="312"/>
      <c r="FR225" s="312"/>
      <c r="FS225" s="312"/>
      <c r="FT225" s="312"/>
      <c r="FU225" s="312"/>
      <c r="FV225" s="312"/>
      <c r="FW225" s="312"/>
      <c r="FX225" s="312"/>
      <c r="FY225" s="312"/>
      <c r="FZ225" s="312"/>
      <c r="GA225" s="312"/>
      <c r="GB225" s="312"/>
      <c r="GC225" s="312"/>
      <c r="GD225" s="312"/>
      <c r="GE225" s="312"/>
      <c r="GF225" s="312"/>
      <c r="GG225" s="312"/>
      <c r="GH225" s="312"/>
      <c r="GI225" s="312"/>
      <c r="GJ225" s="312"/>
      <c r="GK225" s="312"/>
      <c r="GL225" s="312"/>
      <c r="GM225" s="312"/>
      <c r="GN225" s="312"/>
      <c r="GO225" s="312"/>
      <c r="GP225" s="312"/>
      <c r="GQ225" s="312"/>
      <c r="GR225" s="312"/>
      <c r="GS225" s="312"/>
      <c r="GT225" s="312"/>
      <c r="GU225" s="312"/>
      <c r="GV225" s="312"/>
      <c r="GW225" s="312"/>
      <c r="GX225" s="312"/>
      <c r="GY225" s="312"/>
    </row>
    <row r="226" spans="2:207" ht="15.75" x14ac:dyDescent="0.25">
      <c r="B226" s="316">
        <f t="shared" si="58"/>
        <v>196</v>
      </c>
      <c r="C226" s="330">
        <f>'סיכום לוועדה'!B226</f>
        <v>1001347622</v>
      </c>
      <c r="D226" s="330">
        <f>'סיכום לוועדה'!C226</f>
        <v>1001266749</v>
      </c>
      <c r="E226" s="330">
        <f>'סיכום לוועדה'!D226</f>
        <v>40000166</v>
      </c>
      <c r="F226" s="330">
        <f>'סיכום לוועדה'!E226</f>
        <v>20000231</v>
      </c>
      <c r="G226" s="330" t="str">
        <f>'סיכום לוועדה'!F226</f>
        <v>נצרת</v>
      </c>
      <c r="H226" s="317" t="str">
        <f>'סיכום לוועדה'!G226</f>
        <v>האגודה הנצרתית לאומנות</v>
      </c>
      <c r="I226" s="318">
        <f>'סיכום לוועדה'!U226</f>
        <v>350000</v>
      </c>
      <c r="J226" s="319">
        <f>'סיכום לוועדה'!T226</f>
        <v>90747.105341720686</v>
      </c>
      <c r="K226" s="320">
        <f t="shared" si="59"/>
        <v>0</v>
      </c>
      <c r="L226" s="319">
        <f t="shared" si="60"/>
        <v>90747.105341720686</v>
      </c>
      <c r="M226" s="331">
        <f>'תחום תמיכה ב'!AF226</f>
        <v>5.1969980817195198E-4</v>
      </c>
      <c r="N226" s="319">
        <f t="shared" si="57"/>
        <v>99599.937918946016</v>
      </c>
      <c r="O226" s="321">
        <f t="shared" si="61"/>
        <v>0</v>
      </c>
      <c r="P226" s="322">
        <f t="shared" si="62"/>
        <v>99599.937918946016</v>
      </c>
      <c r="Q226" s="322">
        <f t="shared" si="63"/>
        <v>99645.288401180238</v>
      </c>
      <c r="R226" s="321">
        <f t="shared" si="64"/>
        <v>0</v>
      </c>
      <c r="S226" s="322">
        <f t="shared" si="65"/>
        <v>99645.288401180238</v>
      </c>
      <c r="T226" s="322">
        <f t="shared" si="66"/>
        <v>99645.288401180034</v>
      </c>
      <c r="U226" s="321">
        <f t="shared" si="67"/>
        <v>0</v>
      </c>
      <c r="V226" s="322">
        <f t="shared" si="68"/>
        <v>99645.288401180034</v>
      </c>
      <c r="W226" s="322">
        <f t="shared" si="69"/>
        <v>99645.288401180063</v>
      </c>
      <c r="X226" s="321">
        <f t="shared" si="70"/>
        <v>0</v>
      </c>
      <c r="Y226" s="322">
        <f t="shared" si="71"/>
        <v>99645.288401180063</v>
      </c>
      <c r="Z226" s="322">
        <f t="shared" si="72"/>
        <v>99645.288401180049</v>
      </c>
      <c r="AA226" s="323">
        <f t="shared" si="73"/>
        <v>99645.288401180049</v>
      </c>
      <c r="AB226" s="323"/>
      <c r="AC226" s="323"/>
      <c r="AD226" s="323"/>
      <c r="AE226" s="323"/>
      <c r="AF226" s="324">
        <f t="shared" si="74"/>
        <v>5.7064700023064404E-4</v>
      </c>
      <c r="AG226" s="312"/>
      <c r="AH226" s="312"/>
      <c r="AI226" s="325">
        <f t="shared" si="75"/>
        <v>1</v>
      </c>
      <c r="AJ226" s="312"/>
      <c r="AK226" s="312"/>
      <c r="AL226" s="312"/>
      <c r="AM226" s="312"/>
      <c r="AN226" s="312"/>
      <c r="AO226" s="312"/>
      <c r="AP226" s="312"/>
      <c r="AQ226" s="312"/>
      <c r="AR226" s="312"/>
      <c r="AS226" s="312"/>
      <c r="AT226" s="312"/>
      <c r="AU226" s="312"/>
      <c r="AV226" s="312"/>
      <c r="AW226" s="312"/>
      <c r="AX226" s="312"/>
      <c r="AY226" s="312"/>
      <c r="AZ226" s="312"/>
      <c r="BA226" s="312"/>
      <c r="BB226" s="312"/>
      <c r="BC226" s="312"/>
      <c r="BD226" s="312"/>
      <c r="BE226" s="312"/>
      <c r="BF226" s="312"/>
      <c r="BG226" s="312"/>
      <c r="BH226" s="312"/>
      <c r="BI226" s="312"/>
      <c r="BJ226" s="312"/>
      <c r="BK226" s="312"/>
      <c r="BL226" s="312"/>
      <c r="BM226" s="312"/>
      <c r="BN226" s="312"/>
      <c r="BO226" s="312"/>
      <c r="BP226" s="312"/>
      <c r="BQ226" s="312"/>
      <c r="BR226" s="312"/>
      <c r="BS226" s="312"/>
      <c r="BT226" s="312"/>
      <c r="BU226" s="312"/>
      <c r="BV226" s="312"/>
      <c r="BW226" s="312"/>
      <c r="BX226" s="312"/>
      <c r="BY226" s="312"/>
      <c r="BZ226" s="312"/>
      <c r="CA226" s="312"/>
      <c r="CB226" s="312"/>
      <c r="CC226" s="312"/>
      <c r="CD226" s="312"/>
      <c r="CE226" s="312"/>
      <c r="CF226" s="312"/>
      <c r="CG226" s="312"/>
      <c r="CH226" s="312"/>
      <c r="CI226" s="312"/>
      <c r="CJ226" s="312"/>
      <c r="CK226" s="312"/>
      <c r="CL226" s="312"/>
      <c r="CM226" s="312"/>
      <c r="CN226" s="312"/>
      <c r="CO226" s="312"/>
      <c r="CP226" s="312"/>
      <c r="CQ226" s="312"/>
      <c r="CR226" s="312"/>
      <c r="CS226" s="312"/>
      <c r="CT226" s="312"/>
      <c r="CU226" s="312"/>
      <c r="CV226" s="312"/>
      <c r="CW226" s="312"/>
      <c r="CX226" s="312"/>
      <c r="CY226" s="312"/>
      <c r="CZ226" s="312"/>
      <c r="DA226" s="312"/>
      <c r="DB226" s="312"/>
      <c r="DC226" s="312"/>
      <c r="DD226" s="312"/>
      <c r="DE226" s="312"/>
      <c r="DF226" s="312"/>
      <c r="DG226" s="312"/>
      <c r="DH226" s="312"/>
      <c r="DI226" s="312"/>
      <c r="DJ226" s="312"/>
      <c r="DK226" s="312"/>
      <c r="DL226" s="312"/>
      <c r="DM226" s="312"/>
      <c r="DN226" s="312"/>
      <c r="DO226" s="312"/>
      <c r="DP226" s="312"/>
      <c r="DQ226" s="312"/>
      <c r="DR226" s="312"/>
      <c r="DS226" s="312"/>
      <c r="DT226" s="312"/>
      <c r="DU226" s="312"/>
      <c r="DV226" s="312"/>
      <c r="DW226" s="312"/>
      <c r="DX226" s="312"/>
      <c r="DY226" s="312"/>
      <c r="DZ226" s="312"/>
      <c r="EA226" s="312"/>
      <c r="EB226" s="312"/>
      <c r="EC226" s="312"/>
      <c r="ED226" s="312"/>
      <c r="EE226" s="312"/>
      <c r="EF226" s="312"/>
      <c r="EG226" s="312"/>
      <c r="EH226" s="312"/>
      <c r="EI226" s="312"/>
      <c r="EJ226" s="312"/>
      <c r="EK226" s="312"/>
      <c r="EL226" s="312"/>
      <c r="EM226" s="312"/>
      <c r="EN226" s="312"/>
      <c r="EO226" s="312"/>
      <c r="EP226" s="312"/>
      <c r="EQ226" s="312"/>
      <c r="ER226" s="312"/>
      <c r="ES226" s="312"/>
      <c r="ET226" s="312"/>
      <c r="EU226" s="312"/>
      <c r="EV226" s="312"/>
      <c r="EW226" s="312"/>
      <c r="EX226" s="312"/>
      <c r="EY226" s="312"/>
      <c r="EZ226" s="312"/>
      <c r="FA226" s="312"/>
      <c r="FB226" s="312"/>
      <c r="FC226" s="312"/>
      <c r="FD226" s="312"/>
      <c r="FE226" s="312"/>
      <c r="FF226" s="312"/>
      <c r="FG226" s="312"/>
      <c r="FH226" s="312"/>
      <c r="FI226" s="312"/>
      <c r="FJ226" s="312"/>
      <c r="FK226" s="312"/>
      <c r="FL226" s="312"/>
      <c r="FM226" s="312"/>
      <c r="FN226" s="312"/>
      <c r="FO226" s="312"/>
      <c r="FP226" s="312"/>
      <c r="FQ226" s="312"/>
      <c r="FR226" s="312"/>
      <c r="FS226" s="312"/>
      <c r="FT226" s="312"/>
      <c r="FU226" s="312"/>
      <c r="FV226" s="312"/>
      <c r="FW226" s="312"/>
      <c r="FX226" s="312"/>
      <c r="FY226" s="312"/>
      <c r="FZ226" s="312"/>
      <c r="GA226" s="312"/>
      <c r="GB226" s="312"/>
      <c r="GC226" s="312"/>
      <c r="GD226" s="312"/>
      <c r="GE226" s="312"/>
      <c r="GF226" s="312"/>
      <c r="GG226" s="312"/>
      <c r="GH226" s="312"/>
      <c r="GI226" s="312"/>
      <c r="GJ226" s="312"/>
      <c r="GK226" s="312"/>
      <c r="GL226" s="312"/>
      <c r="GM226" s="312"/>
      <c r="GN226" s="312"/>
      <c r="GO226" s="312"/>
      <c r="GP226" s="312"/>
      <c r="GQ226" s="312"/>
      <c r="GR226" s="312"/>
      <c r="GS226" s="312"/>
      <c r="GT226" s="312"/>
      <c r="GU226" s="312"/>
      <c r="GV226" s="312"/>
      <c r="GW226" s="312"/>
      <c r="GX226" s="312"/>
      <c r="GY226" s="312"/>
    </row>
    <row r="227" spans="2:207" ht="15.75" x14ac:dyDescent="0.25">
      <c r="B227" s="316">
        <f t="shared" si="58"/>
        <v>197</v>
      </c>
      <c r="C227" s="330">
        <f>'סיכום לוועדה'!B227</f>
        <v>1001347084</v>
      </c>
      <c r="D227" s="330">
        <f>'סיכום לוועדה'!C227</f>
        <v>1001347084</v>
      </c>
      <c r="E227" s="330">
        <f>'סיכום לוועדה'!D227</f>
        <v>40461777</v>
      </c>
      <c r="F227" s="330">
        <f>'סיכום לוועדה'!E227</f>
        <v>20000256</v>
      </c>
      <c r="G227" s="330" t="str">
        <f>'סיכום לוועדה'!F227</f>
        <v>בית שאן</v>
      </c>
      <c r="H227" s="317" t="str">
        <f>'סיכום לוועדה'!G227</f>
        <v>העמותה לקידום התיאטרון בבית שאן</v>
      </c>
      <c r="I227" s="318">
        <f>'סיכום לוועדה'!U227</f>
        <v>75000</v>
      </c>
      <c r="J227" s="319">
        <f>'סיכום לוועדה'!T227</f>
        <v>3279.7950341199689</v>
      </c>
      <c r="K227" s="320">
        <f t="shared" si="59"/>
        <v>0</v>
      </c>
      <c r="L227" s="319">
        <f t="shared" si="60"/>
        <v>3279.7950341199689</v>
      </c>
      <c r="M227" s="331">
        <f>'תחום תמיכה ב'!AF227</f>
        <v>1.6782535749223071E-5</v>
      </c>
      <c r="N227" s="319">
        <f t="shared" si="57"/>
        <v>3565.6773393911167</v>
      </c>
      <c r="O227" s="321">
        <f t="shared" si="61"/>
        <v>0</v>
      </c>
      <c r="P227" s="322">
        <f t="shared" si="62"/>
        <v>3565.6773393911167</v>
      </c>
      <c r="Q227" s="322">
        <f t="shared" si="63"/>
        <v>3567.30088645562</v>
      </c>
      <c r="R227" s="321">
        <f t="shared" si="64"/>
        <v>0</v>
      </c>
      <c r="S227" s="322">
        <f t="shared" si="65"/>
        <v>3567.30088645562</v>
      </c>
      <c r="T227" s="322">
        <f t="shared" si="66"/>
        <v>3567.3008864556127</v>
      </c>
      <c r="U227" s="321">
        <f t="shared" si="67"/>
        <v>0</v>
      </c>
      <c r="V227" s="322">
        <f t="shared" si="68"/>
        <v>3567.3008864556127</v>
      </c>
      <c r="W227" s="322">
        <f t="shared" si="69"/>
        <v>3567.3008864556141</v>
      </c>
      <c r="X227" s="321">
        <f t="shared" si="70"/>
        <v>0</v>
      </c>
      <c r="Y227" s="322">
        <f t="shared" si="71"/>
        <v>3567.3008864556141</v>
      </c>
      <c r="Z227" s="322">
        <f t="shared" si="72"/>
        <v>3567.3008864556136</v>
      </c>
      <c r="AA227" s="323">
        <f t="shared" si="73"/>
        <v>3567.3008864556136</v>
      </c>
      <c r="AB227" s="323"/>
      <c r="AC227" s="323"/>
      <c r="AD227" s="323"/>
      <c r="AE227" s="323"/>
      <c r="AF227" s="324">
        <f t="shared" si="74"/>
        <v>2.0429160098169839E-5</v>
      </c>
      <c r="AG227" s="312"/>
      <c r="AH227" s="312"/>
      <c r="AI227" s="325">
        <f t="shared" si="75"/>
        <v>1</v>
      </c>
      <c r="AJ227" s="312"/>
      <c r="AK227" s="312"/>
      <c r="AL227" s="312"/>
      <c r="AM227" s="312"/>
      <c r="AN227" s="312"/>
      <c r="AO227" s="312"/>
      <c r="AP227" s="312"/>
      <c r="AQ227" s="312"/>
      <c r="AR227" s="312"/>
      <c r="AS227" s="312"/>
      <c r="AT227" s="312"/>
      <c r="AU227" s="312"/>
      <c r="AV227" s="312"/>
      <c r="AW227" s="312"/>
      <c r="AX227" s="312"/>
      <c r="AY227" s="312"/>
      <c r="AZ227" s="312"/>
      <c r="BA227" s="312"/>
      <c r="BB227" s="312"/>
      <c r="BC227" s="312"/>
      <c r="BD227" s="312"/>
      <c r="BE227" s="312"/>
      <c r="BF227" s="312"/>
      <c r="BG227" s="312"/>
      <c r="BH227" s="312"/>
      <c r="BI227" s="312"/>
      <c r="BJ227" s="312"/>
      <c r="BK227" s="312"/>
      <c r="BL227" s="312"/>
      <c r="BM227" s="312"/>
      <c r="BN227" s="312"/>
      <c r="BO227" s="312"/>
      <c r="BP227" s="312"/>
      <c r="BQ227" s="312"/>
      <c r="BR227" s="312"/>
      <c r="BS227" s="312"/>
      <c r="BT227" s="312"/>
      <c r="BU227" s="312"/>
      <c r="BV227" s="312"/>
      <c r="BW227" s="312"/>
      <c r="BX227" s="312"/>
      <c r="BY227" s="312"/>
      <c r="BZ227" s="312"/>
      <c r="CA227" s="312"/>
      <c r="CB227" s="312"/>
      <c r="CC227" s="312"/>
      <c r="CD227" s="312"/>
      <c r="CE227" s="312"/>
      <c r="CF227" s="312"/>
      <c r="CG227" s="312"/>
      <c r="CH227" s="312"/>
      <c r="CI227" s="312"/>
      <c r="CJ227" s="312"/>
      <c r="CK227" s="312"/>
      <c r="CL227" s="312"/>
      <c r="CM227" s="312"/>
      <c r="CN227" s="312"/>
      <c r="CO227" s="312"/>
      <c r="CP227" s="312"/>
      <c r="CQ227" s="312"/>
      <c r="CR227" s="312"/>
      <c r="CS227" s="312"/>
      <c r="CT227" s="312"/>
      <c r="CU227" s="312"/>
      <c r="CV227" s="312"/>
      <c r="CW227" s="312"/>
      <c r="CX227" s="312"/>
      <c r="CY227" s="312"/>
      <c r="CZ227" s="312"/>
      <c r="DA227" s="312"/>
      <c r="DB227" s="312"/>
      <c r="DC227" s="312"/>
      <c r="DD227" s="312"/>
      <c r="DE227" s="312"/>
      <c r="DF227" s="312"/>
      <c r="DG227" s="312"/>
      <c r="DH227" s="312"/>
      <c r="DI227" s="312"/>
      <c r="DJ227" s="312"/>
      <c r="DK227" s="312"/>
      <c r="DL227" s="312"/>
      <c r="DM227" s="312"/>
      <c r="DN227" s="312"/>
      <c r="DO227" s="312"/>
      <c r="DP227" s="312"/>
      <c r="DQ227" s="312"/>
      <c r="DR227" s="312"/>
      <c r="DS227" s="312"/>
      <c r="DT227" s="312"/>
      <c r="DU227" s="312"/>
      <c r="DV227" s="312"/>
      <c r="DW227" s="312"/>
      <c r="DX227" s="312"/>
      <c r="DY227" s="312"/>
      <c r="DZ227" s="312"/>
      <c r="EA227" s="312"/>
      <c r="EB227" s="312"/>
      <c r="EC227" s="312"/>
      <c r="ED227" s="312"/>
      <c r="EE227" s="312"/>
      <c r="EF227" s="312"/>
      <c r="EG227" s="312"/>
      <c r="EH227" s="312"/>
      <c r="EI227" s="312"/>
      <c r="EJ227" s="312"/>
      <c r="EK227" s="312"/>
      <c r="EL227" s="312"/>
      <c r="EM227" s="312"/>
      <c r="EN227" s="312"/>
      <c r="EO227" s="312"/>
      <c r="EP227" s="312"/>
      <c r="EQ227" s="312"/>
      <c r="ER227" s="312"/>
      <c r="ES227" s="312"/>
      <c r="ET227" s="312"/>
      <c r="EU227" s="312"/>
      <c r="EV227" s="312"/>
      <c r="EW227" s="312"/>
      <c r="EX227" s="312"/>
      <c r="EY227" s="312"/>
      <c r="EZ227" s="312"/>
      <c r="FA227" s="312"/>
      <c r="FB227" s="312"/>
      <c r="FC227" s="312"/>
      <c r="FD227" s="312"/>
      <c r="FE227" s="312"/>
      <c r="FF227" s="312"/>
      <c r="FG227" s="312"/>
      <c r="FH227" s="312"/>
      <c r="FI227" s="312"/>
      <c r="FJ227" s="312"/>
      <c r="FK227" s="312"/>
      <c r="FL227" s="312"/>
      <c r="FM227" s="312"/>
      <c r="FN227" s="312"/>
      <c r="FO227" s="312"/>
      <c r="FP227" s="312"/>
      <c r="FQ227" s="312"/>
      <c r="FR227" s="312"/>
      <c r="FS227" s="312"/>
      <c r="FT227" s="312"/>
      <c r="FU227" s="312"/>
      <c r="FV227" s="312"/>
      <c r="FW227" s="312"/>
      <c r="FX227" s="312"/>
      <c r="FY227" s="312"/>
      <c r="FZ227" s="312"/>
      <c r="GA227" s="312"/>
      <c r="GB227" s="312"/>
      <c r="GC227" s="312"/>
      <c r="GD227" s="312"/>
      <c r="GE227" s="312"/>
      <c r="GF227" s="312"/>
      <c r="GG227" s="312"/>
      <c r="GH227" s="312"/>
      <c r="GI227" s="312"/>
      <c r="GJ227" s="312"/>
      <c r="GK227" s="312"/>
      <c r="GL227" s="312"/>
      <c r="GM227" s="312"/>
      <c r="GN227" s="312"/>
      <c r="GO227" s="312"/>
      <c r="GP227" s="312"/>
      <c r="GQ227" s="312"/>
      <c r="GR227" s="312"/>
      <c r="GS227" s="312"/>
      <c r="GT227" s="312"/>
      <c r="GU227" s="312"/>
      <c r="GV227" s="312"/>
      <c r="GW227" s="312"/>
      <c r="GX227" s="312"/>
      <c r="GY227" s="312"/>
    </row>
    <row r="228" spans="2:207" ht="15.75" x14ac:dyDescent="0.25">
      <c r="B228" s="316">
        <f t="shared" si="58"/>
        <v>198</v>
      </c>
      <c r="C228" s="330">
        <f>'סיכום לוועדה'!B228</f>
        <v>1001348948</v>
      </c>
      <c r="D228" s="330">
        <f>'סיכום לוועדה'!C228</f>
        <v>1001266872</v>
      </c>
      <c r="E228" s="330">
        <f>'סיכום לוועדה'!D228</f>
        <v>40000626</v>
      </c>
      <c r="F228" s="330">
        <f>'סיכום לוועדה'!E228</f>
        <v>20000052</v>
      </c>
      <c r="G228" s="330" t="str">
        <f>'סיכום לוועדה'!F228</f>
        <v>כפר כנא</v>
      </c>
      <c r="H228" s="317" t="str">
        <f>'סיכום לוועדה'!G228</f>
        <v>עמותת אלפאראבי המוסיקלית כפר קנא</v>
      </c>
      <c r="I228" s="318">
        <f>'סיכום לוועדה'!U228</f>
        <v>1350000</v>
      </c>
      <c r="J228" s="319">
        <f>'סיכום לוועדה'!T228</f>
        <v>175116.84949567117</v>
      </c>
      <c r="K228" s="320">
        <f t="shared" si="59"/>
        <v>0</v>
      </c>
      <c r="L228" s="319">
        <f t="shared" si="60"/>
        <v>175116.84949567117</v>
      </c>
      <c r="M228" s="331">
        <f>'תחום תמיכה ב'!AF228</f>
        <v>1.0142016638032267E-3</v>
      </c>
      <c r="N228" s="319">
        <f t="shared" si="57"/>
        <v>192393.27982720331</v>
      </c>
      <c r="O228" s="321">
        <f t="shared" si="61"/>
        <v>0</v>
      </c>
      <c r="P228" s="322">
        <f t="shared" si="62"/>
        <v>192393.27982720331</v>
      </c>
      <c r="Q228" s="322">
        <f t="shared" si="63"/>
        <v>192480.8815687414</v>
      </c>
      <c r="R228" s="321">
        <f t="shared" si="64"/>
        <v>0</v>
      </c>
      <c r="S228" s="322">
        <f t="shared" si="65"/>
        <v>192480.8815687414</v>
      </c>
      <c r="T228" s="322">
        <f t="shared" si="66"/>
        <v>192480.88156874102</v>
      </c>
      <c r="U228" s="321">
        <f t="shared" si="67"/>
        <v>0</v>
      </c>
      <c r="V228" s="322">
        <f t="shared" si="68"/>
        <v>192480.88156874102</v>
      </c>
      <c r="W228" s="322">
        <f t="shared" si="69"/>
        <v>192480.88156874111</v>
      </c>
      <c r="X228" s="321">
        <f t="shared" si="70"/>
        <v>0</v>
      </c>
      <c r="Y228" s="322">
        <f t="shared" si="71"/>
        <v>192480.88156874111</v>
      </c>
      <c r="Z228" s="322">
        <f t="shared" si="72"/>
        <v>192480.88156874105</v>
      </c>
      <c r="AA228" s="323">
        <f t="shared" si="73"/>
        <v>192480.88156874105</v>
      </c>
      <c r="AB228" s="323"/>
      <c r="AC228" s="323"/>
      <c r="AD228" s="323"/>
      <c r="AE228" s="323"/>
      <c r="AF228" s="324">
        <f t="shared" si="74"/>
        <v>1.1022963496952576E-3</v>
      </c>
      <c r="AG228" s="312"/>
      <c r="AH228" s="312"/>
      <c r="AI228" s="325">
        <f t="shared" si="75"/>
        <v>1</v>
      </c>
      <c r="AJ228" s="312"/>
      <c r="AK228" s="312"/>
      <c r="AL228" s="312"/>
      <c r="AM228" s="312"/>
      <c r="AN228" s="312"/>
      <c r="AO228" s="312"/>
      <c r="AP228" s="312"/>
      <c r="AQ228" s="312"/>
      <c r="AR228" s="312"/>
      <c r="AS228" s="312"/>
      <c r="AT228" s="312"/>
      <c r="AU228" s="312"/>
      <c r="AV228" s="312"/>
      <c r="AW228" s="312"/>
      <c r="AX228" s="312"/>
      <c r="AY228" s="312"/>
      <c r="AZ228" s="312"/>
      <c r="BA228" s="312"/>
      <c r="BB228" s="312"/>
      <c r="BC228" s="312"/>
      <c r="BD228" s="312"/>
      <c r="BE228" s="312"/>
      <c r="BF228" s="312"/>
      <c r="BG228" s="312"/>
      <c r="BH228" s="312"/>
      <c r="BI228" s="312"/>
      <c r="BJ228" s="312"/>
      <c r="BK228" s="312"/>
      <c r="BL228" s="312"/>
      <c r="BM228" s="312"/>
      <c r="BN228" s="312"/>
      <c r="BO228" s="312"/>
      <c r="BP228" s="312"/>
      <c r="BQ228" s="312"/>
      <c r="BR228" s="312"/>
      <c r="BS228" s="312"/>
      <c r="BT228" s="312"/>
      <c r="BU228" s="312"/>
      <c r="BV228" s="312"/>
      <c r="BW228" s="312"/>
      <c r="BX228" s="312"/>
      <c r="BY228" s="312"/>
      <c r="BZ228" s="312"/>
      <c r="CA228" s="312"/>
      <c r="CB228" s="312"/>
      <c r="CC228" s="312"/>
      <c r="CD228" s="312"/>
      <c r="CE228" s="312"/>
      <c r="CF228" s="312"/>
      <c r="CG228" s="312"/>
      <c r="CH228" s="312"/>
      <c r="CI228" s="312"/>
      <c r="CJ228" s="312"/>
      <c r="CK228" s="312"/>
      <c r="CL228" s="312"/>
      <c r="CM228" s="312"/>
      <c r="CN228" s="312"/>
      <c r="CO228" s="312"/>
      <c r="CP228" s="312"/>
      <c r="CQ228" s="312"/>
      <c r="CR228" s="312"/>
      <c r="CS228" s="312"/>
      <c r="CT228" s="312"/>
      <c r="CU228" s="312"/>
      <c r="CV228" s="312"/>
      <c r="CW228" s="312"/>
      <c r="CX228" s="312"/>
      <c r="CY228" s="312"/>
      <c r="CZ228" s="312"/>
      <c r="DA228" s="312"/>
      <c r="DB228" s="312"/>
      <c r="DC228" s="312"/>
      <c r="DD228" s="312"/>
      <c r="DE228" s="312"/>
      <c r="DF228" s="312"/>
      <c r="DG228" s="312"/>
      <c r="DH228" s="312"/>
      <c r="DI228" s="312"/>
      <c r="DJ228" s="312"/>
      <c r="DK228" s="312"/>
      <c r="DL228" s="312"/>
      <c r="DM228" s="312"/>
      <c r="DN228" s="312"/>
      <c r="DO228" s="312"/>
      <c r="DP228" s="312"/>
      <c r="DQ228" s="312"/>
      <c r="DR228" s="312"/>
      <c r="DS228" s="312"/>
      <c r="DT228" s="312"/>
      <c r="DU228" s="312"/>
      <c r="DV228" s="312"/>
      <c r="DW228" s="312"/>
      <c r="DX228" s="312"/>
      <c r="DY228" s="312"/>
      <c r="DZ228" s="312"/>
      <c r="EA228" s="312"/>
      <c r="EB228" s="312"/>
      <c r="EC228" s="312"/>
      <c r="ED228" s="312"/>
      <c r="EE228" s="312"/>
      <c r="EF228" s="312"/>
      <c r="EG228" s="312"/>
      <c r="EH228" s="312"/>
      <c r="EI228" s="312"/>
      <c r="EJ228" s="312"/>
      <c r="EK228" s="312"/>
      <c r="EL228" s="312"/>
      <c r="EM228" s="312"/>
      <c r="EN228" s="312"/>
      <c r="EO228" s="312"/>
      <c r="EP228" s="312"/>
      <c r="EQ228" s="312"/>
      <c r="ER228" s="312"/>
      <c r="ES228" s="312"/>
      <c r="ET228" s="312"/>
      <c r="EU228" s="312"/>
      <c r="EV228" s="312"/>
      <c r="EW228" s="312"/>
      <c r="EX228" s="312"/>
      <c r="EY228" s="312"/>
      <c r="EZ228" s="312"/>
      <c r="FA228" s="312"/>
      <c r="FB228" s="312"/>
      <c r="FC228" s="312"/>
      <c r="FD228" s="312"/>
      <c r="FE228" s="312"/>
      <c r="FF228" s="312"/>
      <c r="FG228" s="312"/>
      <c r="FH228" s="312"/>
      <c r="FI228" s="312"/>
      <c r="FJ228" s="312"/>
      <c r="FK228" s="312"/>
      <c r="FL228" s="312"/>
      <c r="FM228" s="312"/>
      <c r="FN228" s="312"/>
      <c r="FO228" s="312"/>
      <c r="FP228" s="312"/>
      <c r="FQ228" s="312"/>
      <c r="FR228" s="312"/>
      <c r="FS228" s="312"/>
      <c r="FT228" s="312"/>
      <c r="FU228" s="312"/>
      <c r="FV228" s="312"/>
      <c r="FW228" s="312"/>
      <c r="FX228" s="312"/>
      <c r="FY228" s="312"/>
      <c r="FZ228" s="312"/>
      <c r="GA228" s="312"/>
      <c r="GB228" s="312"/>
      <c r="GC228" s="312"/>
      <c r="GD228" s="312"/>
      <c r="GE228" s="312"/>
      <c r="GF228" s="312"/>
      <c r="GG228" s="312"/>
      <c r="GH228" s="312"/>
      <c r="GI228" s="312"/>
      <c r="GJ228" s="312"/>
      <c r="GK228" s="312"/>
      <c r="GL228" s="312"/>
      <c r="GM228" s="312"/>
      <c r="GN228" s="312"/>
      <c r="GO228" s="312"/>
      <c r="GP228" s="312"/>
      <c r="GQ228" s="312"/>
      <c r="GR228" s="312"/>
      <c r="GS228" s="312"/>
      <c r="GT228" s="312"/>
      <c r="GU228" s="312"/>
      <c r="GV228" s="312"/>
      <c r="GW228" s="312"/>
      <c r="GX228" s="312"/>
      <c r="GY228" s="312"/>
    </row>
    <row r="229" spans="2:207" ht="15.75" x14ac:dyDescent="0.25">
      <c r="B229" s="316">
        <f t="shared" si="58"/>
        <v>199</v>
      </c>
      <c r="C229" s="330">
        <f>'סיכום לוועדה'!B229</f>
        <v>1001349377</v>
      </c>
      <c r="D229" s="330">
        <f>'סיכום לוועדה'!C229</f>
        <v>1001270641</v>
      </c>
      <c r="E229" s="330">
        <f>'סיכום לוועדה'!D229</f>
        <v>40376018</v>
      </c>
      <c r="F229" s="330">
        <f>'סיכום לוועדה'!E229</f>
        <v>20000130</v>
      </c>
      <c r="G229" s="330" t="str">
        <f>'סיכום לוועדה'!F229</f>
        <v>דימונה</v>
      </c>
      <c r="H229" s="317" t="str">
        <f>'סיכום לוועדה'!G229</f>
        <v>מעבדתרבות דימונה</v>
      </c>
      <c r="I229" s="318">
        <f>'סיכום לוועדה'!U229</f>
        <v>1400000</v>
      </c>
      <c r="J229" s="319">
        <f>'סיכום לוועדה'!T229</f>
        <v>108737.38173981549</v>
      </c>
      <c r="K229" s="320">
        <f t="shared" si="59"/>
        <v>0</v>
      </c>
      <c r="L229" s="319">
        <f t="shared" si="60"/>
        <v>108737.38173981549</v>
      </c>
      <c r="M229" s="331">
        <f>'תחום תמיכה ב'!AF229</f>
        <v>4.8409160757188026E-4</v>
      </c>
      <c r="N229" s="319">
        <f t="shared" si="57"/>
        <v>116983.6459994624</v>
      </c>
      <c r="O229" s="321">
        <f t="shared" si="61"/>
        <v>0</v>
      </c>
      <c r="P229" s="322">
        <f t="shared" si="62"/>
        <v>116983.6459994624</v>
      </c>
      <c r="Q229" s="322">
        <f t="shared" si="63"/>
        <v>117036.91174310082</v>
      </c>
      <c r="R229" s="321">
        <f t="shared" si="64"/>
        <v>0</v>
      </c>
      <c r="S229" s="322">
        <f t="shared" si="65"/>
        <v>117036.91174310082</v>
      </c>
      <c r="T229" s="322">
        <f t="shared" si="66"/>
        <v>117036.91174310057</v>
      </c>
      <c r="U229" s="321">
        <f t="shared" si="67"/>
        <v>0</v>
      </c>
      <c r="V229" s="322">
        <f t="shared" si="68"/>
        <v>117036.91174310057</v>
      </c>
      <c r="W229" s="322">
        <f t="shared" si="69"/>
        <v>117036.91174310062</v>
      </c>
      <c r="X229" s="321">
        <f t="shared" si="70"/>
        <v>0</v>
      </c>
      <c r="Y229" s="322">
        <f t="shared" si="71"/>
        <v>117036.91174310062</v>
      </c>
      <c r="Z229" s="322">
        <f t="shared" si="72"/>
        <v>117036.91174310059</v>
      </c>
      <c r="AA229" s="323">
        <f t="shared" si="73"/>
        <v>117036.91174310059</v>
      </c>
      <c r="AB229" s="323"/>
      <c r="AC229" s="323"/>
      <c r="AD229" s="323"/>
      <c r="AE229" s="323"/>
      <c r="AF229" s="324">
        <f t="shared" si="74"/>
        <v>6.7024506300358171E-4</v>
      </c>
      <c r="AG229" s="312"/>
      <c r="AH229" s="312"/>
      <c r="AI229" s="325">
        <f t="shared" si="75"/>
        <v>1</v>
      </c>
      <c r="AJ229" s="312"/>
      <c r="AK229" s="312"/>
      <c r="AL229" s="312"/>
      <c r="AM229" s="312"/>
      <c r="AN229" s="312"/>
      <c r="AO229" s="312"/>
      <c r="AP229" s="312"/>
      <c r="AQ229" s="312"/>
      <c r="AR229" s="312"/>
      <c r="AS229" s="312"/>
      <c r="AT229" s="312"/>
      <c r="AU229" s="312"/>
      <c r="AV229" s="312"/>
      <c r="AW229" s="312"/>
      <c r="AX229" s="312"/>
      <c r="AY229" s="312"/>
      <c r="AZ229" s="312"/>
      <c r="BA229" s="312"/>
      <c r="BB229" s="312"/>
      <c r="BC229" s="312"/>
      <c r="BD229" s="312"/>
      <c r="BE229" s="312"/>
      <c r="BF229" s="312"/>
      <c r="BG229" s="312"/>
      <c r="BH229" s="312"/>
      <c r="BI229" s="312"/>
      <c r="BJ229" s="312"/>
      <c r="BK229" s="312"/>
      <c r="BL229" s="312"/>
      <c r="BM229" s="312"/>
      <c r="BN229" s="312"/>
      <c r="BO229" s="312"/>
      <c r="BP229" s="312"/>
      <c r="BQ229" s="312"/>
      <c r="BR229" s="312"/>
      <c r="BS229" s="312"/>
      <c r="BT229" s="312"/>
      <c r="BU229" s="312"/>
      <c r="BV229" s="312"/>
      <c r="BW229" s="312"/>
      <c r="BX229" s="312"/>
      <c r="BY229" s="312"/>
      <c r="BZ229" s="312"/>
      <c r="CA229" s="312"/>
      <c r="CB229" s="312"/>
      <c r="CC229" s="312"/>
      <c r="CD229" s="312"/>
      <c r="CE229" s="312"/>
      <c r="CF229" s="312"/>
      <c r="CG229" s="312"/>
      <c r="CH229" s="312"/>
      <c r="CI229" s="312"/>
      <c r="CJ229" s="312"/>
      <c r="CK229" s="312"/>
      <c r="CL229" s="312"/>
      <c r="CM229" s="312"/>
      <c r="CN229" s="312"/>
      <c r="CO229" s="312"/>
      <c r="CP229" s="312"/>
      <c r="CQ229" s="312"/>
      <c r="CR229" s="312"/>
      <c r="CS229" s="312"/>
      <c r="CT229" s="312"/>
      <c r="CU229" s="312"/>
      <c r="CV229" s="312"/>
      <c r="CW229" s="312"/>
      <c r="CX229" s="312"/>
      <c r="CY229" s="312"/>
      <c r="CZ229" s="312"/>
      <c r="DA229" s="312"/>
      <c r="DB229" s="312"/>
      <c r="DC229" s="312"/>
      <c r="DD229" s="312"/>
      <c r="DE229" s="312"/>
      <c r="DF229" s="312"/>
      <c r="DG229" s="312"/>
      <c r="DH229" s="312"/>
      <c r="DI229" s="312"/>
      <c r="DJ229" s="312"/>
      <c r="DK229" s="312"/>
      <c r="DL229" s="312"/>
      <c r="DM229" s="312"/>
      <c r="DN229" s="312"/>
      <c r="DO229" s="312"/>
      <c r="DP229" s="312"/>
      <c r="DQ229" s="312"/>
      <c r="DR229" s="312"/>
      <c r="DS229" s="312"/>
      <c r="DT229" s="312"/>
      <c r="DU229" s="312"/>
      <c r="DV229" s="312"/>
      <c r="DW229" s="312"/>
      <c r="DX229" s="312"/>
      <c r="DY229" s="312"/>
      <c r="DZ229" s="312"/>
      <c r="EA229" s="312"/>
      <c r="EB229" s="312"/>
      <c r="EC229" s="312"/>
      <c r="ED229" s="312"/>
      <c r="EE229" s="312"/>
      <c r="EF229" s="312"/>
      <c r="EG229" s="312"/>
      <c r="EH229" s="312"/>
      <c r="EI229" s="312"/>
      <c r="EJ229" s="312"/>
      <c r="EK229" s="312"/>
      <c r="EL229" s="312"/>
      <c r="EM229" s="312"/>
      <c r="EN229" s="312"/>
      <c r="EO229" s="312"/>
      <c r="EP229" s="312"/>
      <c r="EQ229" s="312"/>
      <c r="ER229" s="312"/>
      <c r="ES229" s="312"/>
      <c r="ET229" s="312"/>
      <c r="EU229" s="312"/>
      <c r="EV229" s="312"/>
      <c r="EW229" s="312"/>
      <c r="EX229" s="312"/>
      <c r="EY229" s="312"/>
      <c r="EZ229" s="312"/>
      <c r="FA229" s="312"/>
      <c r="FB229" s="312"/>
      <c r="FC229" s="312"/>
      <c r="FD229" s="312"/>
      <c r="FE229" s="312"/>
      <c r="FF229" s="312"/>
      <c r="FG229" s="312"/>
      <c r="FH229" s="312"/>
      <c r="FI229" s="312"/>
      <c r="FJ229" s="312"/>
      <c r="FK229" s="312"/>
      <c r="FL229" s="312"/>
      <c r="FM229" s="312"/>
      <c r="FN229" s="312"/>
      <c r="FO229" s="312"/>
      <c r="FP229" s="312"/>
      <c r="FQ229" s="312"/>
      <c r="FR229" s="312"/>
      <c r="FS229" s="312"/>
      <c r="FT229" s="312"/>
      <c r="FU229" s="312"/>
      <c r="FV229" s="312"/>
      <c r="FW229" s="312"/>
      <c r="FX229" s="312"/>
      <c r="FY229" s="312"/>
      <c r="FZ229" s="312"/>
      <c r="GA229" s="312"/>
      <c r="GB229" s="312"/>
      <c r="GC229" s="312"/>
      <c r="GD229" s="312"/>
      <c r="GE229" s="312"/>
      <c r="GF229" s="312"/>
      <c r="GG229" s="312"/>
      <c r="GH229" s="312"/>
      <c r="GI229" s="312"/>
      <c r="GJ229" s="312"/>
      <c r="GK229" s="312"/>
      <c r="GL229" s="312"/>
      <c r="GM229" s="312"/>
      <c r="GN229" s="312"/>
      <c r="GO229" s="312"/>
      <c r="GP229" s="312"/>
      <c r="GQ229" s="312"/>
      <c r="GR229" s="312"/>
      <c r="GS229" s="312"/>
      <c r="GT229" s="312"/>
      <c r="GU229" s="312"/>
      <c r="GV229" s="312"/>
      <c r="GW229" s="312"/>
      <c r="GX229" s="312"/>
      <c r="GY229" s="312"/>
    </row>
    <row r="230" spans="2:207" ht="15.75" x14ac:dyDescent="0.25">
      <c r="B230" s="316">
        <f t="shared" si="58"/>
        <v>200</v>
      </c>
      <c r="C230" s="330">
        <f>'סיכום לוועדה'!B230</f>
        <v>1001350722</v>
      </c>
      <c r="D230" s="330">
        <f>'סיכום לוועדה'!C230</f>
        <v>1001288836</v>
      </c>
      <c r="E230" s="330">
        <f>'סיכום לוועדה'!D230</f>
        <v>40997574</v>
      </c>
      <c r="F230" s="330">
        <f>'סיכום לוועדה'!E230</f>
        <v>20000052</v>
      </c>
      <c r="G230" s="330" t="str">
        <f>'סיכום לוועדה'!F230</f>
        <v>כפר כנא</v>
      </c>
      <c r="H230" s="317" t="str">
        <f>'סיכום לוועדה'!G230</f>
        <v>עמותת אנג'אם לקודום המוסיקה</v>
      </c>
      <c r="I230" s="318">
        <f>'סיכום לוועדה'!U230</f>
        <v>540000</v>
      </c>
      <c r="J230" s="319">
        <f>'סיכום לוועדה'!T230</f>
        <v>46523.946190593968</v>
      </c>
      <c r="K230" s="320">
        <f t="shared" si="59"/>
        <v>0</v>
      </c>
      <c r="L230" s="319">
        <f t="shared" si="60"/>
        <v>46523.946190593968</v>
      </c>
      <c r="M230" s="331">
        <f>'תחום תמיכה ב'!AF230</f>
        <v>2.8348572106024579E-4</v>
      </c>
      <c r="N230" s="319">
        <f t="shared" si="57"/>
        <v>51352.987085198256</v>
      </c>
      <c r="O230" s="321">
        <f t="shared" si="61"/>
        <v>0</v>
      </c>
      <c r="P230" s="322">
        <f t="shared" si="62"/>
        <v>51352.987085198256</v>
      </c>
      <c r="Q230" s="322">
        <f t="shared" si="63"/>
        <v>51376.369456484237</v>
      </c>
      <c r="R230" s="321">
        <f t="shared" si="64"/>
        <v>0</v>
      </c>
      <c r="S230" s="322">
        <f t="shared" si="65"/>
        <v>51376.369456484237</v>
      </c>
      <c r="T230" s="322">
        <f t="shared" si="66"/>
        <v>51376.369456484135</v>
      </c>
      <c r="U230" s="321">
        <f t="shared" si="67"/>
        <v>0</v>
      </c>
      <c r="V230" s="322">
        <f t="shared" si="68"/>
        <v>51376.369456484135</v>
      </c>
      <c r="W230" s="322">
        <f t="shared" si="69"/>
        <v>51376.36945648415</v>
      </c>
      <c r="X230" s="321">
        <f t="shared" si="70"/>
        <v>0</v>
      </c>
      <c r="Y230" s="322">
        <f t="shared" si="71"/>
        <v>51376.36945648415</v>
      </c>
      <c r="Z230" s="322">
        <f t="shared" si="72"/>
        <v>51376.369456484143</v>
      </c>
      <c r="AA230" s="323">
        <f t="shared" si="73"/>
        <v>51376.369456484143</v>
      </c>
      <c r="AB230" s="323"/>
      <c r="AC230" s="323"/>
      <c r="AD230" s="323"/>
      <c r="AE230" s="323"/>
      <c r="AF230" s="324">
        <f t="shared" si="74"/>
        <v>2.9422134837974703E-4</v>
      </c>
      <c r="AG230" s="312"/>
      <c r="AH230" s="312"/>
      <c r="AI230" s="325">
        <f t="shared" si="75"/>
        <v>1</v>
      </c>
      <c r="AJ230" s="312"/>
      <c r="AK230" s="312"/>
      <c r="AL230" s="312"/>
      <c r="AM230" s="312"/>
      <c r="AN230" s="312"/>
      <c r="AO230" s="312"/>
      <c r="AP230" s="312"/>
      <c r="AQ230" s="312"/>
      <c r="AR230" s="312"/>
      <c r="AS230" s="312"/>
      <c r="AT230" s="312"/>
      <c r="AU230" s="312"/>
      <c r="AV230" s="312"/>
      <c r="AW230" s="312"/>
      <c r="AX230" s="312"/>
      <c r="AY230" s="312"/>
      <c r="AZ230" s="312"/>
      <c r="BA230" s="312"/>
      <c r="BB230" s="312"/>
      <c r="BC230" s="312"/>
      <c r="BD230" s="312"/>
      <c r="BE230" s="312"/>
      <c r="BF230" s="312"/>
      <c r="BG230" s="312"/>
      <c r="BH230" s="312"/>
      <c r="BI230" s="312"/>
      <c r="BJ230" s="312"/>
      <c r="BK230" s="312"/>
      <c r="BL230" s="312"/>
      <c r="BM230" s="312"/>
      <c r="BN230" s="312"/>
      <c r="BO230" s="312"/>
      <c r="BP230" s="312"/>
      <c r="BQ230" s="312"/>
      <c r="BR230" s="312"/>
      <c r="BS230" s="312"/>
      <c r="BT230" s="312"/>
      <c r="BU230" s="312"/>
      <c r="BV230" s="312"/>
      <c r="BW230" s="312"/>
      <c r="BX230" s="312"/>
      <c r="BY230" s="312"/>
      <c r="BZ230" s="312"/>
      <c r="CA230" s="312"/>
      <c r="CB230" s="312"/>
      <c r="CC230" s="312"/>
      <c r="CD230" s="312"/>
      <c r="CE230" s="312"/>
      <c r="CF230" s="312"/>
      <c r="CG230" s="312"/>
      <c r="CH230" s="312"/>
      <c r="CI230" s="312"/>
      <c r="CJ230" s="312"/>
      <c r="CK230" s="312"/>
      <c r="CL230" s="312"/>
      <c r="CM230" s="312"/>
      <c r="CN230" s="312"/>
      <c r="CO230" s="312"/>
      <c r="CP230" s="312"/>
      <c r="CQ230" s="312"/>
      <c r="CR230" s="312"/>
      <c r="CS230" s="312"/>
      <c r="CT230" s="312"/>
      <c r="CU230" s="312"/>
      <c r="CV230" s="312"/>
      <c r="CW230" s="312"/>
      <c r="CX230" s="312"/>
      <c r="CY230" s="312"/>
      <c r="CZ230" s="312"/>
      <c r="DA230" s="312"/>
      <c r="DB230" s="312"/>
      <c r="DC230" s="312"/>
      <c r="DD230" s="312"/>
      <c r="DE230" s="312"/>
      <c r="DF230" s="312"/>
      <c r="DG230" s="312"/>
      <c r="DH230" s="312"/>
      <c r="DI230" s="312"/>
      <c r="DJ230" s="312"/>
      <c r="DK230" s="312"/>
      <c r="DL230" s="312"/>
      <c r="DM230" s="312"/>
      <c r="DN230" s="312"/>
      <c r="DO230" s="312"/>
      <c r="DP230" s="312"/>
      <c r="DQ230" s="312"/>
      <c r="DR230" s="312"/>
      <c r="DS230" s="312"/>
      <c r="DT230" s="312"/>
      <c r="DU230" s="312"/>
      <c r="DV230" s="312"/>
      <c r="DW230" s="312"/>
      <c r="DX230" s="312"/>
      <c r="DY230" s="312"/>
      <c r="DZ230" s="312"/>
      <c r="EA230" s="312"/>
      <c r="EB230" s="312"/>
      <c r="EC230" s="312"/>
      <c r="ED230" s="312"/>
      <c r="EE230" s="312"/>
      <c r="EF230" s="312"/>
      <c r="EG230" s="312"/>
      <c r="EH230" s="312"/>
      <c r="EI230" s="312"/>
      <c r="EJ230" s="312"/>
      <c r="EK230" s="312"/>
      <c r="EL230" s="312"/>
      <c r="EM230" s="312"/>
      <c r="EN230" s="312"/>
      <c r="EO230" s="312"/>
      <c r="EP230" s="312"/>
      <c r="EQ230" s="312"/>
      <c r="ER230" s="312"/>
      <c r="ES230" s="312"/>
      <c r="ET230" s="312"/>
      <c r="EU230" s="312"/>
      <c r="EV230" s="312"/>
      <c r="EW230" s="312"/>
      <c r="EX230" s="312"/>
      <c r="EY230" s="312"/>
      <c r="EZ230" s="312"/>
      <c r="FA230" s="312"/>
      <c r="FB230" s="312"/>
      <c r="FC230" s="312"/>
      <c r="FD230" s="312"/>
      <c r="FE230" s="312"/>
      <c r="FF230" s="312"/>
      <c r="FG230" s="312"/>
      <c r="FH230" s="312"/>
      <c r="FI230" s="312"/>
      <c r="FJ230" s="312"/>
      <c r="FK230" s="312"/>
      <c r="FL230" s="312"/>
      <c r="FM230" s="312"/>
      <c r="FN230" s="312"/>
      <c r="FO230" s="312"/>
      <c r="FP230" s="312"/>
      <c r="FQ230" s="312"/>
      <c r="FR230" s="312"/>
      <c r="FS230" s="312"/>
      <c r="FT230" s="312"/>
      <c r="FU230" s="312"/>
      <c r="FV230" s="312"/>
      <c r="FW230" s="312"/>
      <c r="FX230" s="312"/>
      <c r="FY230" s="312"/>
      <c r="FZ230" s="312"/>
      <c r="GA230" s="312"/>
      <c r="GB230" s="312"/>
      <c r="GC230" s="312"/>
      <c r="GD230" s="312"/>
      <c r="GE230" s="312"/>
      <c r="GF230" s="312"/>
      <c r="GG230" s="312"/>
      <c r="GH230" s="312"/>
      <c r="GI230" s="312"/>
      <c r="GJ230" s="312"/>
      <c r="GK230" s="312"/>
      <c r="GL230" s="312"/>
      <c r="GM230" s="312"/>
      <c r="GN230" s="312"/>
      <c r="GO230" s="312"/>
      <c r="GP230" s="312"/>
      <c r="GQ230" s="312"/>
      <c r="GR230" s="312"/>
      <c r="GS230" s="312"/>
      <c r="GT230" s="312"/>
      <c r="GU230" s="312"/>
      <c r="GV230" s="312"/>
      <c r="GW230" s="312"/>
      <c r="GX230" s="312"/>
      <c r="GY230" s="312"/>
    </row>
    <row r="231" spans="2:207" ht="15.75" x14ac:dyDescent="0.25">
      <c r="B231" s="316">
        <f t="shared" si="58"/>
        <v>201</v>
      </c>
      <c r="C231" s="330">
        <f>'סיכום לוועדה'!B231</f>
        <v>1001348110</v>
      </c>
      <c r="D231" s="330">
        <f>'סיכום לוועדה'!C231</f>
        <v>1001266857</v>
      </c>
      <c r="E231" s="330">
        <f>'סיכום לוועדה'!D231</f>
        <v>41966540</v>
      </c>
      <c r="F231" s="330">
        <f>'סיכום לוועדה'!E231</f>
        <v>20000231</v>
      </c>
      <c r="G231" s="330" t="str">
        <f>'סיכום לוועדה'!F231</f>
        <v>נצרת</v>
      </c>
      <c r="H231" s="317" t="str">
        <f>'סיכום לוועדה'!G231</f>
        <v>עוד זיריאב</v>
      </c>
      <c r="I231" s="318">
        <f>'סיכום לוועדה'!U231</f>
        <v>540000</v>
      </c>
      <c r="J231" s="319">
        <f>'סיכום לוועדה'!T231</f>
        <v>93874.365551166309</v>
      </c>
      <c r="K231" s="320">
        <f t="shared" si="59"/>
        <v>0</v>
      </c>
      <c r="L231" s="319">
        <f t="shared" si="60"/>
        <v>93874.365551166309</v>
      </c>
      <c r="M231" s="331">
        <f>'תחום תמיכה ב'!AF231</f>
        <v>7.3036631693080059E-4</v>
      </c>
      <c r="N231" s="319">
        <f t="shared" si="57"/>
        <v>106315.79928302897</v>
      </c>
      <c r="O231" s="321">
        <f t="shared" si="61"/>
        <v>0</v>
      </c>
      <c r="P231" s="322">
        <f t="shared" si="62"/>
        <v>106315.79928302897</v>
      </c>
      <c r="Q231" s="322">
        <f t="shared" si="63"/>
        <v>106364.20767431258</v>
      </c>
      <c r="R231" s="321">
        <f t="shared" si="64"/>
        <v>0</v>
      </c>
      <c r="S231" s="322">
        <f t="shared" si="65"/>
        <v>106364.20767431258</v>
      </c>
      <c r="T231" s="322">
        <f t="shared" si="66"/>
        <v>106364.20767431236</v>
      </c>
      <c r="U231" s="321">
        <f t="shared" si="67"/>
        <v>0</v>
      </c>
      <c r="V231" s="322">
        <f t="shared" si="68"/>
        <v>106364.20767431236</v>
      </c>
      <c r="W231" s="322">
        <f t="shared" si="69"/>
        <v>106364.20767431239</v>
      </c>
      <c r="X231" s="321">
        <f t="shared" si="70"/>
        <v>0</v>
      </c>
      <c r="Y231" s="322">
        <f t="shared" si="71"/>
        <v>106364.20767431239</v>
      </c>
      <c r="Z231" s="322">
        <f t="shared" si="72"/>
        <v>106364.20767431236</v>
      </c>
      <c r="AA231" s="323">
        <f t="shared" si="73"/>
        <v>106364.20767431236</v>
      </c>
      <c r="AB231" s="323"/>
      <c r="AC231" s="323"/>
      <c r="AD231" s="323"/>
      <c r="AE231" s="323"/>
      <c r="AF231" s="324">
        <f t="shared" si="74"/>
        <v>6.0912479671780247E-4</v>
      </c>
      <c r="AG231" s="312"/>
      <c r="AH231" s="312"/>
      <c r="AI231" s="325">
        <f t="shared" si="75"/>
        <v>1</v>
      </c>
      <c r="AJ231" s="312"/>
      <c r="AK231" s="312"/>
      <c r="AL231" s="312"/>
      <c r="AM231" s="312"/>
      <c r="AN231" s="312"/>
      <c r="AO231" s="312"/>
      <c r="AP231" s="312"/>
      <c r="AQ231" s="312"/>
      <c r="AR231" s="312"/>
      <c r="AS231" s="312"/>
      <c r="AT231" s="312"/>
      <c r="AU231" s="312"/>
      <c r="AV231" s="312"/>
      <c r="AW231" s="312"/>
      <c r="AX231" s="312"/>
      <c r="AY231" s="312"/>
      <c r="AZ231" s="312"/>
      <c r="BA231" s="312"/>
      <c r="BB231" s="312"/>
      <c r="BC231" s="312"/>
      <c r="BD231" s="312"/>
      <c r="BE231" s="312"/>
      <c r="BF231" s="312"/>
      <c r="BG231" s="312"/>
      <c r="BH231" s="312"/>
      <c r="BI231" s="312"/>
      <c r="BJ231" s="312"/>
      <c r="BK231" s="312"/>
      <c r="BL231" s="312"/>
      <c r="BM231" s="312"/>
      <c r="BN231" s="312"/>
      <c r="BO231" s="312"/>
      <c r="BP231" s="312"/>
      <c r="BQ231" s="312"/>
      <c r="BR231" s="312"/>
      <c r="BS231" s="312"/>
      <c r="BT231" s="312"/>
      <c r="BU231" s="312"/>
      <c r="BV231" s="312"/>
      <c r="BW231" s="312"/>
      <c r="BX231" s="312"/>
      <c r="BY231" s="312"/>
      <c r="BZ231" s="312"/>
      <c r="CA231" s="312"/>
      <c r="CB231" s="312"/>
      <c r="CC231" s="312"/>
      <c r="CD231" s="312"/>
      <c r="CE231" s="312"/>
      <c r="CF231" s="312"/>
      <c r="CG231" s="312"/>
      <c r="CH231" s="312"/>
      <c r="CI231" s="312"/>
      <c r="CJ231" s="312"/>
      <c r="CK231" s="312"/>
      <c r="CL231" s="312"/>
      <c r="CM231" s="312"/>
      <c r="CN231" s="312"/>
      <c r="CO231" s="312"/>
      <c r="CP231" s="312"/>
      <c r="CQ231" s="312"/>
      <c r="CR231" s="312"/>
      <c r="CS231" s="312"/>
      <c r="CT231" s="312"/>
      <c r="CU231" s="312"/>
      <c r="CV231" s="312"/>
      <c r="CW231" s="312"/>
      <c r="CX231" s="312"/>
      <c r="CY231" s="312"/>
      <c r="CZ231" s="312"/>
      <c r="DA231" s="312"/>
      <c r="DB231" s="312"/>
      <c r="DC231" s="312"/>
      <c r="DD231" s="312"/>
      <c r="DE231" s="312"/>
      <c r="DF231" s="312"/>
      <c r="DG231" s="312"/>
      <c r="DH231" s="312"/>
      <c r="DI231" s="312"/>
      <c r="DJ231" s="312"/>
      <c r="DK231" s="312"/>
      <c r="DL231" s="312"/>
      <c r="DM231" s="312"/>
      <c r="DN231" s="312"/>
      <c r="DO231" s="312"/>
      <c r="DP231" s="312"/>
      <c r="DQ231" s="312"/>
      <c r="DR231" s="312"/>
      <c r="DS231" s="312"/>
      <c r="DT231" s="312"/>
      <c r="DU231" s="312"/>
      <c r="DV231" s="312"/>
      <c r="DW231" s="312"/>
      <c r="DX231" s="312"/>
      <c r="DY231" s="312"/>
      <c r="DZ231" s="312"/>
      <c r="EA231" s="312"/>
      <c r="EB231" s="312"/>
      <c r="EC231" s="312"/>
      <c r="ED231" s="312"/>
      <c r="EE231" s="312"/>
      <c r="EF231" s="312"/>
      <c r="EG231" s="312"/>
      <c r="EH231" s="312"/>
      <c r="EI231" s="312"/>
      <c r="EJ231" s="312"/>
      <c r="EK231" s="312"/>
      <c r="EL231" s="312"/>
      <c r="EM231" s="312"/>
      <c r="EN231" s="312"/>
      <c r="EO231" s="312"/>
      <c r="EP231" s="312"/>
      <c r="EQ231" s="312"/>
      <c r="ER231" s="312"/>
      <c r="ES231" s="312"/>
      <c r="ET231" s="312"/>
      <c r="EU231" s="312"/>
      <c r="EV231" s="312"/>
      <c r="EW231" s="312"/>
      <c r="EX231" s="312"/>
      <c r="EY231" s="312"/>
      <c r="EZ231" s="312"/>
      <c r="FA231" s="312"/>
      <c r="FB231" s="312"/>
      <c r="FC231" s="312"/>
      <c r="FD231" s="312"/>
      <c r="FE231" s="312"/>
      <c r="FF231" s="312"/>
      <c r="FG231" s="312"/>
      <c r="FH231" s="312"/>
      <c r="FI231" s="312"/>
      <c r="FJ231" s="312"/>
      <c r="FK231" s="312"/>
      <c r="FL231" s="312"/>
      <c r="FM231" s="312"/>
      <c r="FN231" s="312"/>
      <c r="FO231" s="312"/>
      <c r="FP231" s="312"/>
      <c r="FQ231" s="312"/>
      <c r="FR231" s="312"/>
      <c r="FS231" s="312"/>
      <c r="FT231" s="312"/>
      <c r="FU231" s="312"/>
      <c r="FV231" s="312"/>
      <c r="FW231" s="312"/>
      <c r="FX231" s="312"/>
      <c r="FY231" s="312"/>
      <c r="FZ231" s="312"/>
      <c r="GA231" s="312"/>
      <c r="GB231" s="312"/>
      <c r="GC231" s="312"/>
      <c r="GD231" s="312"/>
      <c r="GE231" s="312"/>
      <c r="GF231" s="312"/>
      <c r="GG231" s="312"/>
      <c r="GH231" s="312"/>
      <c r="GI231" s="312"/>
      <c r="GJ231" s="312"/>
      <c r="GK231" s="312"/>
      <c r="GL231" s="312"/>
      <c r="GM231" s="312"/>
      <c r="GN231" s="312"/>
      <c r="GO231" s="312"/>
      <c r="GP231" s="312"/>
      <c r="GQ231" s="312"/>
      <c r="GR231" s="312"/>
      <c r="GS231" s="312"/>
      <c r="GT231" s="312"/>
      <c r="GU231" s="312"/>
      <c r="GV231" s="312"/>
      <c r="GW231" s="312"/>
      <c r="GX231" s="312"/>
      <c r="GY231" s="312"/>
    </row>
    <row r="232" spans="2:207" ht="15.75" x14ac:dyDescent="0.25">
      <c r="B232" s="316">
        <f t="shared" si="58"/>
        <v>202</v>
      </c>
      <c r="C232" s="330">
        <f>'סיכום לוועדה'!B232</f>
        <v>1001349379</v>
      </c>
      <c r="D232" s="330">
        <f>'סיכום לוועדה'!C232</f>
        <v>1001274144</v>
      </c>
      <c r="E232" s="330">
        <f>'סיכום לוועדה'!D232</f>
        <v>40471611</v>
      </c>
      <c r="F232" s="330">
        <f>'סיכום לוועדה'!E232</f>
        <v>20000159</v>
      </c>
      <c r="G232" s="330" t="str">
        <f>'סיכום לוועדה'!F232</f>
        <v>ירושלים</v>
      </c>
      <c r="H232" s="317" t="str">
        <f>'סיכום לוועדה'!G232</f>
        <v>חיבה - התנועה למורשת ישראל (ע"ר)</v>
      </c>
      <c r="I232" s="318">
        <f>'סיכום לוועדה'!U232</f>
        <v>140000</v>
      </c>
      <c r="J232" s="319">
        <f>'סיכום לוועדה'!T232</f>
        <v>242587.46849136177</v>
      </c>
      <c r="K232" s="320">
        <f t="shared" si="59"/>
        <v>1</v>
      </c>
      <c r="L232" s="319">
        <f t="shared" si="60"/>
        <v>140000</v>
      </c>
      <c r="M232" s="331">
        <f>'תחום תמיכה ב'!AF232</f>
        <v>1.5108911883395127E-3</v>
      </c>
      <c r="N232" s="319">
        <f t="shared" si="57"/>
        <v>140000</v>
      </c>
      <c r="O232" s="321">
        <f t="shared" si="61"/>
        <v>1</v>
      </c>
      <c r="P232" s="322">
        <f t="shared" si="62"/>
        <v>140000</v>
      </c>
      <c r="Q232" s="322">
        <f t="shared" si="63"/>
        <v>140000</v>
      </c>
      <c r="R232" s="321">
        <f t="shared" si="64"/>
        <v>1</v>
      </c>
      <c r="S232" s="322">
        <f t="shared" si="65"/>
        <v>140000</v>
      </c>
      <c r="T232" s="322">
        <f t="shared" si="66"/>
        <v>140000</v>
      </c>
      <c r="U232" s="321">
        <f t="shared" si="67"/>
        <v>1</v>
      </c>
      <c r="V232" s="322">
        <f t="shared" si="68"/>
        <v>140000</v>
      </c>
      <c r="W232" s="322">
        <f t="shared" si="69"/>
        <v>140000</v>
      </c>
      <c r="X232" s="321">
        <f t="shared" si="70"/>
        <v>1</v>
      </c>
      <c r="Y232" s="322">
        <f t="shared" si="71"/>
        <v>140000</v>
      </c>
      <c r="Z232" s="322">
        <f t="shared" si="72"/>
        <v>140000</v>
      </c>
      <c r="AA232" s="323">
        <f t="shared" si="73"/>
        <v>140000</v>
      </c>
      <c r="AB232" s="323"/>
      <c r="AC232" s="323"/>
      <c r="AD232" s="323"/>
      <c r="AE232" s="323"/>
      <c r="AF232" s="324">
        <f t="shared" si="74"/>
        <v>8.0174969950053414E-4</v>
      </c>
      <c r="AG232" s="312"/>
      <c r="AH232" s="312"/>
      <c r="AI232" s="325">
        <f t="shared" si="75"/>
        <v>1</v>
      </c>
      <c r="AJ232" s="312"/>
      <c r="AK232" s="312"/>
      <c r="AL232" s="312"/>
      <c r="AM232" s="312"/>
      <c r="AN232" s="312"/>
      <c r="AO232" s="312"/>
      <c r="AP232" s="312"/>
      <c r="AQ232" s="312"/>
      <c r="AR232" s="312"/>
      <c r="AS232" s="312"/>
      <c r="AT232" s="312"/>
      <c r="AU232" s="312"/>
      <c r="AV232" s="312"/>
      <c r="AW232" s="312"/>
      <c r="AX232" s="312"/>
      <c r="AY232" s="312"/>
      <c r="AZ232" s="312"/>
      <c r="BA232" s="312"/>
      <c r="BB232" s="312"/>
      <c r="BC232" s="312"/>
      <c r="BD232" s="312"/>
      <c r="BE232" s="312"/>
      <c r="BF232" s="312"/>
      <c r="BG232" s="312"/>
      <c r="BH232" s="312"/>
      <c r="BI232" s="312"/>
      <c r="BJ232" s="312"/>
      <c r="BK232" s="312"/>
      <c r="BL232" s="312"/>
      <c r="BM232" s="312"/>
      <c r="BN232" s="312"/>
      <c r="BO232" s="312"/>
      <c r="BP232" s="312"/>
      <c r="BQ232" s="312"/>
      <c r="BR232" s="312"/>
      <c r="BS232" s="312"/>
      <c r="BT232" s="312"/>
      <c r="BU232" s="312"/>
      <c r="BV232" s="312"/>
      <c r="BW232" s="312"/>
      <c r="BX232" s="312"/>
      <c r="BY232" s="312"/>
      <c r="BZ232" s="312"/>
      <c r="CA232" s="312"/>
      <c r="CB232" s="312"/>
      <c r="CC232" s="312"/>
      <c r="CD232" s="312"/>
      <c r="CE232" s="312"/>
      <c r="CF232" s="312"/>
      <c r="CG232" s="312"/>
      <c r="CH232" s="312"/>
      <c r="CI232" s="312"/>
      <c r="CJ232" s="312"/>
      <c r="CK232" s="312"/>
      <c r="CL232" s="312"/>
      <c r="CM232" s="312"/>
      <c r="CN232" s="312"/>
      <c r="CO232" s="312"/>
      <c r="CP232" s="312"/>
      <c r="CQ232" s="312"/>
      <c r="CR232" s="312"/>
      <c r="CS232" s="312"/>
      <c r="CT232" s="312"/>
      <c r="CU232" s="312"/>
      <c r="CV232" s="312"/>
      <c r="CW232" s="312"/>
      <c r="CX232" s="312"/>
      <c r="CY232" s="312"/>
      <c r="CZ232" s="312"/>
      <c r="DA232" s="312"/>
      <c r="DB232" s="312"/>
      <c r="DC232" s="312"/>
      <c r="DD232" s="312"/>
      <c r="DE232" s="312"/>
      <c r="DF232" s="312"/>
      <c r="DG232" s="312"/>
      <c r="DH232" s="312"/>
      <c r="DI232" s="312"/>
      <c r="DJ232" s="312"/>
      <c r="DK232" s="312"/>
      <c r="DL232" s="312"/>
      <c r="DM232" s="312"/>
      <c r="DN232" s="312"/>
      <c r="DO232" s="312"/>
      <c r="DP232" s="312"/>
      <c r="DQ232" s="312"/>
      <c r="DR232" s="312"/>
      <c r="DS232" s="312"/>
      <c r="DT232" s="312"/>
      <c r="DU232" s="312"/>
      <c r="DV232" s="312"/>
      <c r="DW232" s="312"/>
      <c r="DX232" s="312"/>
      <c r="DY232" s="312"/>
      <c r="DZ232" s="312"/>
      <c r="EA232" s="312"/>
      <c r="EB232" s="312"/>
      <c r="EC232" s="312"/>
      <c r="ED232" s="312"/>
      <c r="EE232" s="312"/>
      <c r="EF232" s="312"/>
      <c r="EG232" s="312"/>
      <c r="EH232" s="312"/>
      <c r="EI232" s="312"/>
      <c r="EJ232" s="312"/>
      <c r="EK232" s="312"/>
      <c r="EL232" s="312"/>
      <c r="EM232" s="312"/>
      <c r="EN232" s="312"/>
      <c r="EO232" s="312"/>
      <c r="EP232" s="312"/>
      <c r="EQ232" s="312"/>
      <c r="ER232" s="312"/>
      <c r="ES232" s="312"/>
      <c r="ET232" s="312"/>
      <c r="EU232" s="312"/>
      <c r="EV232" s="312"/>
      <c r="EW232" s="312"/>
      <c r="EX232" s="312"/>
      <c r="EY232" s="312"/>
      <c r="EZ232" s="312"/>
      <c r="FA232" s="312"/>
      <c r="FB232" s="312"/>
      <c r="FC232" s="312"/>
      <c r="FD232" s="312"/>
      <c r="FE232" s="312"/>
      <c r="FF232" s="312"/>
      <c r="FG232" s="312"/>
      <c r="FH232" s="312"/>
      <c r="FI232" s="312"/>
      <c r="FJ232" s="312"/>
      <c r="FK232" s="312"/>
      <c r="FL232" s="312"/>
      <c r="FM232" s="312"/>
      <c r="FN232" s="312"/>
      <c r="FO232" s="312"/>
      <c r="FP232" s="312"/>
      <c r="FQ232" s="312"/>
      <c r="FR232" s="312"/>
      <c r="FS232" s="312"/>
      <c r="FT232" s="312"/>
      <c r="FU232" s="312"/>
      <c r="FV232" s="312"/>
      <c r="FW232" s="312"/>
      <c r="FX232" s="312"/>
      <c r="FY232" s="312"/>
      <c r="FZ232" s="312"/>
      <c r="GA232" s="312"/>
      <c r="GB232" s="312"/>
      <c r="GC232" s="312"/>
      <c r="GD232" s="312"/>
      <c r="GE232" s="312"/>
      <c r="GF232" s="312"/>
      <c r="GG232" s="312"/>
      <c r="GH232" s="312"/>
      <c r="GI232" s="312"/>
      <c r="GJ232" s="312"/>
      <c r="GK232" s="312"/>
      <c r="GL232" s="312"/>
      <c r="GM232" s="312"/>
      <c r="GN232" s="312"/>
      <c r="GO232" s="312"/>
      <c r="GP232" s="312"/>
      <c r="GQ232" s="312"/>
      <c r="GR232" s="312"/>
      <c r="GS232" s="312"/>
      <c r="GT232" s="312"/>
      <c r="GU232" s="312"/>
      <c r="GV232" s="312"/>
      <c r="GW232" s="312"/>
      <c r="GX232" s="312"/>
      <c r="GY232" s="312"/>
    </row>
    <row r="233" spans="2:207" ht="15.75" x14ac:dyDescent="0.25">
      <c r="B233" s="316">
        <f t="shared" si="58"/>
        <v>203</v>
      </c>
      <c r="C233" s="330">
        <f>'סיכום לוועדה'!B233</f>
        <v>1001349381</v>
      </c>
      <c r="D233" s="330">
        <f>'סיכום לוועדה'!C233</f>
        <v>1001268664</v>
      </c>
      <c r="E233" s="330">
        <f>'סיכום לוועדה'!D233</f>
        <v>40471611</v>
      </c>
      <c r="F233" s="330">
        <f>'סיכום לוועדה'!E233</f>
        <v>20000159</v>
      </c>
      <c r="G233" s="330" t="str">
        <f>'סיכום לוועדה'!F233</f>
        <v>ירושלים</v>
      </c>
      <c r="H233" s="317" t="str">
        <f>'סיכום לוועדה'!G233</f>
        <v>חיבה - התנועה למורשת ישראל (ע"ר)</v>
      </c>
      <c r="I233" s="318">
        <f>'סיכום לוועדה'!U233</f>
        <v>80000</v>
      </c>
      <c r="J233" s="319">
        <f>'סיכום לוועדה'!T233</f>
        <v>22769.653240232346</v>
      </c>
      <c r="K233" s="320">
        <f t="shared" si="59"/>
        <v>0</v>
      </c>
      <c r="L233" s="319">
        <f t="shared" si="60"/>
        <v>22769.653240232346</v>
      </c>
      <c r="M233" s="331">
        <f>'תחום תמיכה ב'!AF233</f>
        <v>1.0110539846550781E-4</v>
      </c>
      <c r="N233" s="319">
        <f t="shared" si="57"/>
        <v>24491.934355588553</v>
      </c>
      <c r="O233" s="321">
        <f t="shared" si="61"/>
        <v>0</v>
      </c>
      <c r="P233" s="322">
        <f t="shared" si="62"/>
        <v>24491.934355588553</v>
      </c>
      <c r="Q233" s="322">
        <f t="shared" si="63"/>
        <v>24503.086180148715</v>
      </c>
      <c r="R233" s="321">
        <f t="shared" si="64"/>
        <v>0</v>
      </c>
      <c r="S233" s="322">
        <f t="shared" si="65"/>
        <v>24503.086180148715</v>
      </c>
      <c r="T233" s="322">
        <f t="shared" si="66"/>
        <v>24503.086180148668</v>
      </c>
      <c r="U233" s="321">
        <f t="shared" si="67"/>
        <v>0</v>
      </c>
      <c r="V233" s="322">
        <f t="shared" si="68"/>
        <v>24503.086180148668</v>
      </c>
      <c r="W233" s="322">
        <f t="shared" si="69"/>
        <v>24503.086180148675</v>
      </c>
      <c r="X233" s="321">
        <f t="shared" si="70"/>
        <v>0</v>
      </c>
      <c r="Y233" s="322">
        <f t="shared" si="71"/>
        <v>24503.086180148675</v>
      </c>
      <c r="Z233" s="322">
        <f t="shared" si="72"/>
        <v>24503.086180148672</v>
      </c>
      <c r="AA233" s="323">
        <f t="shared" si="73"/>
        <v>24503.086180148672</v>
      </c>
      <c r="AB233" s="323"/>
      <c r="AC233" s="323"/>
      <c r="AD233" s="323"/>
      <c r="AE233" s="323"/>
      <c r="AF233" s="324">
        <f t="shared" si="74"/>
        <v>1.4032387129835636E-4</v>
      </c>
      <c r="AG233" s="312"/>
      <c r="AH233" s="312"/>
      <c r="AI233" s="325">
        <f t="shared" si="75"/>
        <v>1</v>
      </c>
      <c r="AJ233" s="312"/>
      <c r="AK233" s="312"/>
      <c r="AL233" s="312"/>
      <c r="AM233" s="312"/>
      <c r="AN233" s="312"/>
      <c r="AO233" s="312"/>
      <c r="AP233" s="312"/>
      <c r="AQ233" s="312"/>
      <c r="AR233" s="312"/>
      <c r="AS233" s="312"/>
      <c r="AT233" s="312"/>
      <c r="AU233" s="312"/>
      <c r="AV233" s="312"/>
      <c r="AW233" s="312"/>
      <c r="AX233" s="312"/>
      <c r="AY233" s="312"/>
      <c r="AZ233" s="312"/>
      <c r="BA233" s="312"/>
      <c r="BB233" s="312"/>
      <c r="BC233" s="312"/>
      <c r="BD233" s="312"/>
      <c r="BE233" s="312"/>
      <c r="BF233" s="312"/>
      <c r="BG233" s="312"/>
      <c r="BH233" s="312"/>
      <c r="BI233" s="312"/>
      <c r="BJ233" s="312"/>
      <c r="BK233" s="312"/>
      <c r="BL233" s="312"/>
      <c r="BM233" s="312"/>
      <c r="BN233" s="312"/>
      <c r="BO233" s="312"/>
      <c r="BP233" s="312"/>
      <c r="BQ233" s="312"/>
      <c r="BR233" s="312"/>
      <c r="BS233" s="312"/>
      <c r="BT233" s="312"/>
      <c r="BU233" s="312"/>
      <c r="BV233" s="312"/>
      <c r="BW233" s="312"/>
      <c r="BX233" s="312"/>
      <c r="BY233" s="312"/>
      <c r="BZ233" s="312"/>
      <c r="CA233" s="312"/>
      <c r="CB233" s="312"/>
      <c r="CC233" s="312"/>
      <c r="CD233" s="312"/>
      <c r="CE233" s="312"/>
      <c r="CF233" s="312"/>
      <c r="CG233" s="312"/>
      <c r="CH233" s="312"/>
      <c r="CI233" s="312"/>
      <c r="CJ233" s="312"/>
      <c r="CK233" s="312"/>
      <c r="CL233" s="312"/>
      <c r="CM233" s="312"/>
      <c r="CN233" s="312"/>
      <c r="CO233" s="312"/>
      <c r="CP233" s="312"/>
      <c r="CQ233" s="312"/>
      <c r="CR233" s="312"/>
      <c r="CS233" s="312"/>
      <c r="CT233" s="312"/>
      <c r="CU233" s="312"/>
      <c r="CV233" s="312"/>
      <c r="CW233" s="312"/>
      <c r="CX233" s="312"/>
      <c r="CY233" s="312"/>
      <c r="CZ233" s="312"/>
      <c r="DA233" s="312"/>
      <c r="DB233" s="312"/>
      <c r="DC233" s="312"/>
      <c r="DD233" s="312"/>
      <c r="DE233" s="312"/>
      <c r="DF233" s="312"/>
      <c r="DG233" s="312"/>
      <c r="DH233" s="312"/>
      <c r="DI233" s="312"/>
      <c r="DJ233" s="312"/>
      <c r="DK233" s="312"/>
      <c r="DL233" s="312"/>
      <c r="DM233" s="312"/>
      <c r="DN233" s="312"/>
      <c r="DO233" s="312"/>
      <c r="DP233" s="312"/>
      <c r="DQ233" s="312"/>
      <c r="DR233" s="312"/>
      <c r="DS233" s="312"/>
      <c r="DT233" s="312"/>
      <c r="DU233" s="312"/>
      <c r="DV233" s="312"/>
      <c r="DW233" s="312"/>
      <c r="DX233" s="312"/>
      <c r="DY233" s="312"/>
      <c r="DZ233" s="312"/>
      <c r="EA233" s="312"/>
      <c r="EB233" s="312"/>
      <c r="EC233" s="312"/>
      <c r="ED233" s="312"/>
      <c r="EE233" s="312"/>
      <c r="EF233" s="312"/>
      <c r="EG233" s="312"/>
      <c r="EH233" s="312"/>
      <c r="EI233" s="312"/>
      <c r="EJ233" s="312"/>
      <c r="EK233" s="312"/>
      <c r="EL233" s="312"/>
      <c r="EM233" s="312"/>
      <c r="EN233" s="312"/>
      <c r="EO233" s="312"/>
      <c r="EP233" s="312"/>
      <c r="EQ233" s="312"/>
      <c r="ER233" s="312"/>
      <c r="ES233" s="312"/>
      <c r="ET233" s="312"/>
      <c r="EU233" s="312"/>
      <c r="EV233" s="312"/>
      <c r="EW233" s="312"/>
      <c r="EX233" s="312"/>
      <c r="EY233" s="312"/>
      <c r="EZ233" s="312"/>
      <c r="FA233" s="312"/>
      <c r="FB233" s="312"/>
      <c r="FC233" s="312"/>
      <c r="FD233" s="312"/>
      <c r="FE233" s="312"/>
      <c r="FF233" s="312"/>
      <c r="FG233" s="312"/>
      <c r="FH233" s="312"/>
      <c r="FI233" s="312"/>
      <c r="FJ233" s="312"/>
      <c r="FK233" s="312"/>
      <c r="FL233" s="312"/>
      <c r="FM233" s="312"/>
      <c r="FN233" s="312"/>
      <c r="FO233" s="312"/>
      <c r="FP233" s="312"/>
      <c r="FQ233" s="312"/>
      <c r="FR233" s="312"/>
      <c r="FS233" s="312"/>
      <c r="FT233" s="312"/>
      <c r="FU233" s="312"/>
      <c r="FV233" s="312"/>
      <c r="FW233" s="312"/>
      <c r="FX233" s="312"/>
      <c r="FY233" s="312"/>
      <c r="FZ233" s="312"/>
      <c r="GA233" s="312"/>
      <c r="GB233" s="312"/>
      <c r="GC233" s="312"/>
      <c r="GD233" s="312"/>
      <c r="GE233" s="312"/>
      <c r="GF233" s="312"/>
      <c r="GG233" s="312"/>
      <c r="GH233" s="312"/>
      <c r="GI233" s="312"/>
      <c r="GJ233" s="312"/>
      <c r="GK233" s="312"/>
      <c r="GL233" s="312"/>
      <c r="GM233" s="312"/>
      <c r="GN233" s="312"/>
      <c r="GO233" s="312"/>
      <c r="GP233" s="312"/>
      <c r="GQ233" s="312"/>
      <c r="GR233" s="312"/>
      <c r="GS233" s="312"/>
      <c r="GT233" s="312"/>
      <c r="GU233" s="312"/>
      <c r="GV233" s="312"/>
      <c r="GW233" s="312"/>
      <c r="GX233" s="312"/>
      <c r="GY233" s="312"/>
    </row>
    <row r="234" spans="2:207" ht="15.75" x14ac:dyDescent="0.25">
      <c r="B234" s="316">
        <f t="shared" si="58"/>
        <v>204</v>
      </c>
      <c r="C234" s="330">
        <f>'סיכום לוועדה'!B234</f>
        <v>1001349104</v>
      </c>
      <c r="D234" s="330">
        <f>'סיכום לוועדה'!C234</f>
        <v>1001275605</v>
      </c>
      <c r="E234" s="330">
        <f>'סיכום לוועדה'!D234</f>
        <v>40541378</v>
      </c>
      <c r="F234" s="330">
        <f>'סיכום לוועדה'!E234</f>
        <v>20000253</v>
      </c>
      <c r="G234" s="330" t="str">
        <f>'סיכום לוועדה'!F234</f>
        <v>טמרה</v>
      </c>
      <c r="H234" s="317" t="str">
        <f>'סיכום לוועדה'!G234</f>
        <v>באב אל חארה- התיאטרון הכפרי לתרבות</v>
      </c>
      <c r="I234" s="318">
        <f>'סיכום לוועדה'!U234</f>
        <v>973600</v>
      </c>
      <c r="J234" s="319">
        <f>'סיכום לוועדה'!T234</f>
        <v>41796.772408725374</v>
      </c>
      <c r="K234" s="320">
        <f t="shared" si="59"/>
        <v>0</v>
      </c>
      <c r="L234" s="319">
        <f t="shared" si="60"/>
        <v>41796.772408725374</v>
      </c>
      <c r="M234" s="331">
        <f>'תחום תמיכה ב'!AF234</f>
        <v>2.0002272526866658E-4</v>
      </c>
      <c r="N234" s="319">
        <f t="shared" si="57"/>
        <v>45204.061906623276</v>
      </c>
      <c r="O234" s="321">
        <f t="shared" si="61"/>
        <v>0</v>
      </c>
      <c r="P234" s="322">
        <f t="shared" si="62"/>
        <v>45204.061906623276</v>
      </c>
      <c r="Q234" s="322">
        <f t="shared" si="63"/>
        <v>45224.644509878308</v>
      </c>
      <c r="R234" s="321">
        <f t="shared" si="64"/>
        <v>0</v>
      </c>
      <c r="S234" s="322">
        <f t="shared" si="65"/>
        <v>45224.644509878308</v>
      </c>
      <c r="T234" s="322">
        <f t="shared" si="66"/>
        <v>45224.644509878221</v>
      </c>
      <c r="U234" s="321">
        <f t="shared" si="67"/>
        <v>0</v>
      </c>
      <c r="V234" s="322">
        <f t="shared" si="68"/>
        <v>45224.644509878221</v>
      </c>
      <c r="W234" s="322">
        <f t="shared" si="69"/>
        <v>45224.644509878235</v>
      </c>
      <c r="X234" s="321">
        <f t="shared" si="70"/>
        <v>0</v>
      </c>
      <c r="Y234" s="322">
        <f t="shared" si="71"/>
        <v>45224.644509878235</v>
      </c>
      <c r="Z234" s="322">
        <f t="shared" si="72"/>
        <v>45224.644509878228</v>
      </c>
      <c r="AA234" s="323">
        <f t="shared" si="73"/>
        <v>45224.644509878228</v>
      </c>
      <c r="AB234" s="323"/>
      <c r="AC234" s="323"/>
      <c r="AD234" s="323"/>
      <c r="AE234" s="323"/>
      <c r="AF234" s="324">
        <f t="shared" si="74"/>
        <v>2.5899175104152392E-4</v>
      </c>
      <c r="AG234" s="312"/>
      <c r="AH234" s="312"/>
      <c r="AI234" s="325">
        <f t="shared" si="75"/>
        <v>1</v>
      </c>
      <c r="AJ234" s="312"/>
      <c r="AK234" s="312"/>
      <c r="AL234" s="312"/>
      <c r="AM234" s="312"/>
      <c r="AN234" s="312"/>
      <c r="AO234" s="312"/>
      <c r="AP234" s="312"/>
      <c r="AQ234" s="312"/>
      <c r="AR234" s="312"/>
      <c r="AS234" s="312"/>
      <c r="AT234" s="312"/>
      <c r="AU234" s="312"/>
      <c r="AV234" s="312"/>
      <c r="AW234" s="312"/>
      <c r="AX234" s="312"/>
      <c r="AY234" s="312"/>
      <c r="AZ234" s="312"/>
      <c r="BA234" s="312"/>
      <c r="BB234" s="312"/>
      <c r="BC234" s="312"/>
      <c r="BD234" s="312"/>
      <c r="BE234" s="312"/>
      <c r="BF234" s="312"/>
      <c r="BG234" s="312"/>
      <c r="BH234" s="312"/>
      <c r="BI234" s="312"/>
      <c r="BJ234" s="312"/>
      <c r="BK234" s="312"/>
      <c r="BL234" s="312"/>
      <c r="BM234" s="312"/>
      <c r="BN234" s="312"/>
      <c r="BO234" s="312"/>
      <c r="BP234" s="312"/>
      <c r="BQ234" s="312"/>
      <c r="BR234" s="312"/>
      <c r="BS234" s="312"/>
      <c r="BT234" s="312"/>
      <c r="BU234" s="312"/>
      <c r="BV234" s="312"/>
      <c r="BW234" s="312"/>
      <c r="BX234" s="312"/>
      <c r="BY234" s="312"/>
      <c r="BZ234" s="312"/>
      <c r="CA234" s="312"/>
      <c r="CB234" s="312"/>
      <c r="CC234" s="312"/>
      <c r="CD234" s="312"/>
      <c r="CE234" s="312"/>
      <c r="CF234" s="312"/>
      <c r="CG234" s="312"/>
      <c r="CH234" s="312"/>
      <c r="CI234" s="312"/>
      <c r="CJ234" s="312"/>
      <c r="CK234" s="312"/>
      <c r="CL234" s="312"/>
      <c r="CM234" s="312"/>
      <c r="CN234" s="312"/>
      <c r="CO234" s="312"/>
      <c r="CP234" s="312"/>
      <c r="CQ234" s="312"/>
      <c r="CR234" s="312"/>
      <c r="CS234" s="312"/>
      <c r="CT234" s="312"/>
      <c r="CU234" s="312"/>
      <c r="CV234" s="312"/>
      <c r="CW234" s="312"/>
      <c r="CX234" s="312"/>
      <c r="CY234" s="312"/>
      <c r="CZ234" s="312"/>
      <c r="DA234" s="312"/>
      <c r="DB234" s="312"/>
      <c r="DC234" s="312"/>
      <c r="DD234" s="312"/>
      <c r="DE234" s="312"/>
      <c r="DF234" s="312"/>
      <c r="DG234" s="312"/>
      <c r="DH234" s="312"/>
      <c r="DI234" s="312"/>
      <c r="DJ234" s="312"/>
      <c r="DK234" s="312"/>
      <c r="DL234" s="312"/>
      <c r="DM234" s="312"/>
      <c r="DN234" s="312"/>
      <c r="DO234" s="312"/>
      <c r="DP234" s="312"/>
      <c r="DQ234" s="312"/>
      <c r="DR234" s="312"/>
      <c r="DS234" s="312"/>
      <c r="DT234" s="312"/>
      <c r="DU234" s="312"/>
      <c r="DV234" s="312"/>
      <c r="DW234" s="312"/>
      <c r="DX234" s="312"/>
      <c r="DY234" s="312"/>
      <c r="DZ234" s="312"/>
      <c r="EA234" s="312"/>
      <c r="EB234" s="312"/>
      <c r="EC234" s="312"/>
      <c r="ED234" s="312"/>
      <c r="EE234" s="312"/>
      <c r="EF234" s="312"/>
      <c r="EG234" s="312"/>
      <c r="EH234" s="312"/>
      <c r="EI234" s="312"/>
      <c r="EJ234" s="312"/>
      <c r="EK234" s="312"/>
      <c r="EL234" s="312"/>
      <c r="EM234" s="312"/>
      <c r="EN234" s="312"/>
      <c r="EO234" s="312"/>
      <c r="EP234" s="312"/>
      <c r="EQ234" s="312"/>
      <c r="ER234" s="312"/>
      <c r="ES234" s="312"/>
      <c r="ET234" s="312"/>
      <c r="EU234" s="312"/>
      <c r="EV234" s="312"/>
      <c r="EW234" s="312"/>
      <c r="EX234" s="312"/>
      <c r="EY234" s="312"/>
      <c r="EZ234" s="312"/>
      <c r="FA234" s="312"/>
      <c r="FB234" s="312"/>
      <c r="FC234" s="312"/>
      <c r="FD234" s="312"/>
      <c r="FE234" s="312"/>
      <c r="FF234" s="312"/>
      <c r="FG234" s="312"/>
      <c r="FH234" s="312"/>
      <c r="FI234" s="312"/>
      <c r="FJ234" s="312"/>
      <c r="FK234" s="312"/>
      <c r="FL234" s="312"/>
      <c r="FM234" s="312"/>
      <c r="FN234" s="312"/>
      <c r="FO234" s="312"/>
      <c r="FP234" s="312"/>
      <c r="FQ234" s="312"/>
      <c r="FR234" s="312"/>
      <c r="FS234" s="312"/>
      <c r="FT234" s="312"/>
      <c r="FU234" s="312"/>
      <c r="FV234" s="312"/>
      <c r="FW234" s="312"/>
      <c r="FX234" s="312"/>
      <c r="FY234" s="312"/>
      <c r="FZ234" s="312"/>
      <c r="GA234" s="312"/>
      <c r="GB234" s="312"/>
      <c r="GC234" s="312"/>
      <c r="GD234" s="312"/>
      <c r="GE234" s="312"/>
      <c r="GF234" s="312"/>
      <c r="GG234" s="312"/>
      <c r="GH234" s="312"/>
      <c r="GI234" s="312"/>
      <c r="GJ234" s="312"/>
      <c r="GK234" s="312"/>
      <c r="GL234" s="312"/>
      <c r="GM234" s="312"/>
      <c r="GN234" s="312"/>
      <c r="GO234" s="312"/>
      <c r="GP234" s="312"/>
      <c r="GQ234" s="312"/>
      <c r="GR234" s="312"/>
      <c r="GS234" s="312"/>
      <c r="GT234" s="312"/>
      <c r="GU234" s="312"/>
      <c r="GV234" s="312"/>
      <c r="GW234" s="312"/>
      <c r="GX234" s="312"/>
      <c r="GY234" s="312"/>
    </row>
    <row r="235" spans="2:207" ht="15.75" x14ac:dyDescent="0.25">
      <c r="B235" s="316">
        <f t="shared" si="58"/>
        <v>205</v>
      </c>
      <c r="C235" s="330">
        <f>'סיכום לוועדה'!B235</f>
        <v>1001347304</v>
      </c>
      <c r="D235" s="330">
        <f>'סיכום לוועדה'!C235</f>
        <v>1001272196</v>
      </c>
      <c r="E235" s="330">
        <f>'סיכום לוועדה'!D235</f>
        <v>40578853</v>
      </c>
      <c r="F235" s="330">
        <f>'סיכום לוועדה'!E235</f>
        <v>20000159</v>
      </c>
      <c r="G235" s="330" t="str">
        <f>'סיכום לוועדה'!F235</f>
        <v>ירושלים</v>
      </c>
      <c r="H235" s="317" t="str">
        <f>'סיכום לוועדה'!G235</f>
        <v>להקת הפלמנקו רמנגאר בע"מ חברה לתועל</v>
      </c>
      <c r="I235" s="318">
        <f>'סיכום לוועדה'!U235</f>
        <v>125000</v>
      </c>
      <c r="J235" s="319">
        <f>'סיכום לוועדה'!T235</f>
        <v>43775.337275394151</v>
      </c>
      <c r="K235" s="320">
        <f t="shared" si="59"/>
        <v>0</v>
      </c>
      <c r="L235" s="319">
        <f t="shared" si="60"/>
        <v>43775.337275394151</v>
      </c>
      <c r="M235" s="331">
        <f>'תחום תמיכה ב'!AF235</f>
        <v>2.5378978330050338E-4</v>
      </c>
      <c r="N235" s="319">
        <f t="shared" si="57"/>
        <v>48098.5223642489</v>
      </c>
      <c r="O235" s="321">
        <f t="shared" si="61"/>
        <v>0</v>
      </c>
      <c r="P235" s="322">
        <f t="shared" si="62"/>
        <v>48098.5223642489</v>
      </c>
      <c r="Q235" s="322">
        <f t="shared" si="63"/>
        <v>48120.422891794893</v>
      </c>
      <c r="R235" s="321">
        <f t="shared" si="64"/>
        <v>0</v>
      </c>
      <c r="S235" s="322">
        <f t="shared" si="65"/>
        <v>48120.422891794893</v>
      </c>
      <c r="T235" s="322">
        <f t="shared" si="66"/>
        <v>48120.422891794791</v>
      </c>
      <c r="U235" s="321">
        <f t="shared" si="67"/>
        <v>0</v>
      </c>
      <c r="V235" s="322">
        <f t="shared" si="68"/>
        <v>48120.422891794791</v>
      </c>
      <c r="W235" s="322">
        <f t="shared" si="69"/>
        <v>48120.422891794813</v>
      </c>
      <c r="X235" s="321">
        <f t="shared" si="70"/>
        <v>0</v>
      </c>
      <c r="Y235" s="322">
        <f t="shared" si="71"/>
        <v>48120.422891794813</v>
      </c>
      <c r="Z235" s="322">
        <f t="shared" si="72"/>
        <v>48120.422891794806</v>
      </c>
      <c r="AA235" s="323">
        <f t="shared" si="73"/>
        <v>48120.422891794806</v>
      </c>
      <c r="AB235" s="323"/>
      <c r="AC235" s="323"/>
      <c r="AD235" s="323"/>
      <c r="AE235" s="323"/>
      <c r="AF235" s="324">
        <f t="shared" si="74"/>
        <v>2.755752470952508E-4</v>
      </c>
      <c r="AG235" s="312"/>
      <c r="AH235" s="312"/>
      <c r="AI235" s="325">
        <f t="shared" si="75"/>
        <v>1</v>
      </c>
      <c r="AJ235" s="312"/>
      <c r="AK235" s="312"/>
      <c r="AL235" s="312"/>
      <c r="AM235" s="312"/>
      <c r="AN235" s="312"/>
      <c r="AO235" s="312"/>
      <c r="AP235" s="312"/>
      <c r="AQ235" s="312"/>
      <c r="AR235" s="312"/>
      <c r="AS235" s="312"/>
      <c r="AT235" s="312"/>
      <c r="AU235" s="312"/>
      <c r="AV235" s="312"/>
      <c r="AW235" s="312"/>
      <c r="AX235" s="312"/>
      <c r="AY235" s="312"/>
      <c r="AZ235" s="312"/>
      <c r="BA235" s="312"/>
      <c r="BB235" s="312"/>
      <c r="BC235" s="312"/>
      <c r="BD235" s="312"/>
      <c r="BE235" s="312"/>
      <c r="BF235" s="312"/>
      <c r="BG235" s="312"/>
      <c r="BH235" s="312"/>
      <c r="BI235" s="312"/>
      <c r="BJ235" s="312"/>
      <c r="BK235" s="312"/>
      <c r="BL235" s="312"/>
      <c r="BM235" s="312"/>
      <c r="BN235" s="312"/>
      <c r="BO235" s="312"/>
      <c r="BP235" s="312"/>
      <c r="BQ235" s="312"/>
      <c r="BR235" s="312"/>
      <c r="BS235" s="312"/>
      <c r="BT235" s="312"/>
      <c r="BU235" s="312"/>
      <c r="BV235" s="312"/>
      <c r="BW235" s="312"/>
      <c r="BX235" s="312"/>
      <c r="BY235" s="312"/>
      <c r="BZ235" s="312"/>
      <c r="CA235" s="312"/>
      <c r="CB235" s="312"/>
      <c r="CC235" s="312"/>
      <c r="CD235" s="312"/>
      <c r="CE235" s="312"/>
      <c r="CF235" s="312"/>
      <c r="CG235" s="312"/>
      <c r="CH235" s="312"/>
      <c r="CI235" s="312"/>
      <c r="CJ235" s="312"/>
      <c r="CK235" s="312"/>
      <c r="CL235" s="312"/>
      <c r="CM235" s="312"/>
      <c r="CN235" s="312"/>
      <c r="CO235" s="312"/>
      <c r="CP235" s="312"/>
      <c r="CQ235" s="312"/>
      <c r="CR235" s="312"/>
      <c r="CS235" s="312"/>
      <c r="CT235" s="312"/>
      <c r="CU235" s="312"/>
      <c r="CV235" s="312"/>
      <c r="CW235" s="312"/>
      <c r="CX235" s="312"/>
      <c r="CY235" s="312"/>
      <c r="CZ235" s="312"/>
      <c r="DA235" s="312"/>
      <c r="DB235" s="312"/>
      <c r="DC235" s="312"/>
      <c r="DD235" s="312"/>
      <c r="DE235" s="312"/>
      <c r="DF235" s="312"/>
      <c r="DG235" s="312"/>
      <c r="DH235" s="312"/>
      <c r="DI235" s="312"/>
      <c r="DJ235" s="312"/>
      <c r="DK235" s="312"/>
      <c r="DL235" s="312"/>
      <c r="DM235" s="312"/>
      <c r="DN235" s="312"/>
      <c r="DO235" s="312"/>
      <c r="DP235" s="312"/>
      <c r="DQ235" s="312"/>
      <c r="DR235" s="312"/>
      <c r="DS235" s="312"/>
      <c r="DT235" s="312"/>
      <c r="DU235" s="312"/>
      <c r="DV235" s="312"/>
      <c r="DW235" s="312"/>
      <c r="DX235" s="312"/>
      <c r="DY235" s="312"/>
      <c r="DZ235" s="312"/>
      <c r="EA235" s="312"/>
      <c r="EB235" s="312"/>
      <c r="EC235" s="312"/>
      <c r="ED235" s="312"/>
      <c r="EE235" s="312"/>
      <c r="EF235" s="312"/>
      <c r="EG235" s="312"/>
      <c r="EH235" s="312"/>
      <c r="EI235" s="312"/>
      <c r="EJ235" s="312"/>
      <c r="EK235" s="312"/>
      <c r="EL235" s="312"/>
      <c r="EM235" s="312"/>
      <c r="EN235" s="312"/>
      <c r="EO235" s="312"/>
      <c r="EP235" s="312"/>
      <c r="EQ235" s="312"/>
      <c r="ER235" s="312"/>
      <c r="ES235" s="312"/>
      <c r="ET235" s="312"/>
      <c r="EU235" s="312"/>
      <c r="EV235" s="312"/>
      <c r="EW235" s="312"/>
      <c r="EX235" s="312"/>
      <c r="EY235" s="312"/>
      <c r="EZ235" s="312"/>
      <c r="FA235" s="312"/>
      <c r="FB235" s="312"/>
      <c r="FC235" s="312"/>
      <c r="FD235" s="312"/>
      <c r="FE235" s="312"/>
      <c r="FF235" s="312"/>
      <c r="FG235" s="312"/>
      <c r="FH235" s="312"/>
      <c r="FI235" s="312"/>
      <c r="FJ235" s="312"/>
      <c r="FK235" s="312"/>
      <c r="FL235" s="312"/>
      <c r="FM235" s="312"/>
      <c r="FN235" s="312"/>
      <c r="FO235" s="312"/>
      <c r="FP235" s="312"/>
      <c r="FQ235" s="312"/>
      <c r="FR235" s="312"/>
      <c r="FS235" s="312"/>
      <c r="FT235" s="312"/>
      <c r="FU235" s="312"/>
      <c r="FV235" s="312"/>
      <c r="FW235" s="312"/>
      <c r="FX235" s="312"/>
      <c r="FY235" s="312"/>
      <c r="FZ235" s="312"/>
      <c r="GA235" s="312"/>
      <c r="GB235" s="312"/>
      <c r="GC235" s="312"/>
      <c r="GD235" s="312"/>
      <c r="GE235" s="312"/>
      <c r="GF235" s="312"/>
      <c r="GG235" s="312"/>
      <c r="GH235" s="312"/>
      <c r="GI235" s="312"/>
      <c r="GJ235" s="312"/>
      <c r="GK235" s="312"/>
      <c r="GL235" s="312"/>
      <c r="GM235" s="312"/>
      <c r="GN235" s="312"/>
      <c r="GO235" s="312"/>
      <c r="GP235" s="312"/>
      <c r="GQ235" s="312"/>
      <c r="GR235" s="312"/>
      <c r="GS235" s="312"/>
      <c r="GT235" s="312"/>
      <c r="GU235" s="312"/>
      <c r="GV235" s="312"/>
      <c r="GW235" s="312"/>
      <c r="GX235" s="312"/>
      <c r="GY235" s="312"/>
    </row>
    <row r="236" spans="2:207" ht="15.75" x14ac:dyDescent="0.25">
      <c r="B236" s="316">
        <f t="shared" si="58"/>
        <v>206</v>
      </c>
      <c r="C236" s="330">
        <f>'סיכום לוועדה'!B236</f>
        <v>1001346679</v>
      </c>
      <c r="D236" s="330">
        <f>'סיכום לוועדה'!C236</f>
        <v>1001266776</v>
      </c>
      <c r="E236" s="330">
        <f>'סיכום לוועדה'!D236</f>
        <v>40819694</v>
      </c>
      <c r="F236" s="330">
        <f>'סיכום לוועדה'!E236</f>
        <v>20000182</v>
      </c>
      <c r="G236" s="330" t="str">
        <f>'סיכום לוועדה'!F236</f>
        <v>חיפה</v>
      </c>
      <c r="H236" s="317" t="str">
        <f>'סיכום לוועדה'!G236</f>
        <v>בית 9 - בית ספר ובית יוצר לתיאטרון</v>
      </c>
      <c r="I236" s="318">
        <f>'סיכום לוועדה'!U236</f>
        <v>394650</v>
      </c>
      <c r="J236" s="319">
        <f>'סיכום לוועדה'!T236</f>
        <v>38016.744538479528</v>
      </c>
      <c r="K236" s="320">
        <f t="shared" si="59"/>
        <v>0</v>
      </c>
      <c r="L236" s="319">
        <f t="shared" si="60"/>
        <v>38016.744538479528</v>
      </c>
      <c r="M236" s="331">
        <f>'תחום תמיכה ב'!AF236</f>
        <v>2.2750012246571135E-4</v>
      </c>
      <c r="N236" s="319">
        <f t="shared" si="57"/>
        <v>41892.098086466271</v>
      </c>
      <c r="O236" s="321">
        <f t="shared" si="61"/>
        <v>0</v>
      </c>
      <c r="P236" s="322">
        <f t="shared" si="62"/>
        <v>41892.098086466271</v>
      </c>
      <c r="Q236" s="322">
        <f t="shared" si="63"/>
        <v>41911.172665122846</v>
      </c>
      <c r="R236" s="321">
        <f t="shared" si="64"/>
        <v>0</v>
      </c>
      <c r="S236" s="322">
        <f t="shared" si="65"/>
        <v>41911.172665122846</v>
      </c>
      <c r="T236" s="322">
        <f t="shared" si="66"/>
        <v>41911.172665122758</v>
      </c>
      <c r="U236" s="321">
        <f t="shared" si="67"/>
        <v>0</v>
      </c>
      <c r="V236" s="322">
        <f t="shared" si="68"/>
        <v>41911.172665122758</v>
      </c>
      <c r="W236" s="322">
        <f t="shared" si="69"/>
        <v>41911.17266512278</v>
      </c>
      <c r="X236" s="321">
        <f t="shared" si="70"/>
        <v>0</v>
      </c>
      <c r="Y236" s="322">
        <f t="shared" si="71"/>
        <v>41911.17266512278</v>
      </c>
      <c r="Z236" s="322">
        <f t="shared" si="72"/>
        <v>41911.172665122773</v>
      </c>
      <c r="AA236" s="323">
        <f t="shared" si="73"/>
        <v>41911.172665122773</v>
      </c>
      <c r="AB236" s="323"/>
      <c r="AC236" s="323"/>
      <c r="AD236" s="323"/>
      <c r="AE236" s="323"/>
      <c r="AF236" s="324">
        <f t="shared" si="74"/>
        <v>2.4001621492840847E-4</v>
      </c>
      <c r="AG236" s="312"/>
      <c r="AH236" s="312"/>
      <c r="AI236" s="325">
        <f t="shared" si="75"/>
        <v>1</v>
      </c>
      <c r="AJ236" s="312"/>
      <c r="AK236" s="312"/>
      <c r="AL236" s="312"/>
      <c r="AM236" s="312"/>
      <c r="AN236" s="312"/>
      <c r="AO236" s="312"/>
      <c r="AP236" s="312"/>
      <c r="AQ236" s="312"/>
      <c r="AR236" s="312"/>
      <c r="AS236" s="312"/>
      <c r="AT236" s="312"/>
      <c r="AU236" s="312"/>
      <c r="AV236" s="312"/>
      <c r="AW236" s="312"/>
      <c r="AX236" s="312"/>
      <c r="AY236" s="312"/>
      <c r="AZ236" s="312"/>
      <c r="BA236" s="312"/>
      <c r="BB236" s="312"/>
      <c r="BC236" s="312"/>
      <c r="BD236" s="312"/>
      <c r="BE236" s="312"/>
      <c r="BF236" s="312"/>
      <c r="BG236" s="312"/>
      <c r="BH236" s="312"/>
      <c r="BI236" s="312"/>
      <c r="BJ236" s="312"/>
      <c r="BK236" s="312"/>
      <c r="BL236" s="312"/>
      <c r="BM236" s="312"/>
      <c r="BN236" s="312"/>
      <c r="BO236" s="312"/>
      <c r="BP236" s="312"/>
      <c r="BQ236" s="312"/>
      <c r="BR236" s="312"/>
      <c r="BS236" s="312"/>
      <c r="BT236" s="312"/>
      <c r="BU236" s="312"/>
      <c r="BV236" s="312"/>
      <c r="BW236" s="312"/>
      <c r="BX236" s="312"/>
      <c r="BY236" s="312"/>
      <c r="BZ236" s="312"/>
      <c r="CA236" s="312"/>
      <c r="CB236" s="312"/>
      <c r="CC236" s="312"/>
      <c r="CD236" s="312"/>
      <c r="CE236" s="312"/>
      <c r="CF236" s="312"/>
      <c r="CG236" s="312"/>
      <c r="CH236" s="312"/>
      <c r="CI236" s="312"/>
      <c r="CJ236" s="312"/>
      <c r="CK236" s="312"/>
      <c r="CL236" s="312"/>
      <c r="CM236" s="312"/>
      <c r="CN236" s="312"/>
      <c r="CO236" s="312"/>
      <c r="CP236" s="312"/>
      <c r="CQ236" s="312"/>
      <c r="CR236" s="312"/>
      <c r="CS236" s="312"/>
      <c r="CT236" s="312"/>
      <c r="CU236" s="312"/>
      <c r="CV236" s="312"/>
      <c r="CW236" s="312"/>
      <c r="CX236" s="312"/>
      <c r="CY236" s="312"/>
      <c r="CZ236" s="312"/>
      <c r="DA236" s="312"/>
      <c r="DB236" s="312"/>
      <c r="DC236" s="312"/>
      <c r="DD236" s="312"/>
      <c r="DE236" s="312"/>
      <c r="DF236" s="312"/>
      <c r="DG236" s="312"/>
      <c r="DH236" s="312"/>
      <c r="DI236" s="312"/>
      <c r="DJ236" s="312"/>
      <c r="DK236" s="312"/>
      <c r="DL236" s="312"/>
      <c r="DM236" s="312"/>
      <c r="DN236" s="312"/>
      <c r="DO236" s="312"/>
      <c r="DP236" s="312"/>
      <c r="DQ236" s="312"/>
      <c r="DR236" s="312"/>
      <c r="DS236" s="312"/>
      <c r="DT236" s="312"/>
      <c r="DU236" s="312"/>
      <c r="DV236" s="312"/>
      <c r="DW236" s="312"/>
      <c r="DX236" s="312"/>
      <c r="DY236" s="312"/>
      <c r="DZ236" s="312"/>
      <c r="EA236" s="312"/>
      <c r="EB236" s="312"/>
      <c r="EC236" s="312"/>
      <c r="ED236" s="312"/>
      <c r="EE236" s="312"/>
      <c r="EF236" s="312"/>
      <c r="EG236" s="312"/>
      <c r="EH236" s="312"/>
      <c r="EI236" s="312"/>
      <c r="EJ236" s="312"/>
      <c r="EK236" s="312"/>
      <c r="EL236" s="312"/>
      <c r="EM236" s="312"/>
      <c r="EN236" s="312"/>
      <c r="EO236" s="312"/>
      <c r="EP236" s="312"/>
      <c r="EQ236" s="312"/>
      <c r="ER236" s="312"/>
      <c r="ES236" s="312"/>
      <c r="ET236" s="312"/>
      <c r="EU236" s="312"/>
      <c r="EV236" s="312"/>
      <c r="EW236" s="312"/>
      <c r="EX236" s="312"/>
      <c r="EY236" s="312"/>
      <c r="EZ236" s="312"/>
      <c r="FA236" s="312"/>
      <c r="FB236" s="312"/>
      <c r="FC236" s="312"/>
      <c r="FD236" s="312"/>
      <c r="FE236" s="312"/>
      <c r="FF236" s="312"/>
      <c r="FG236" s="312"/>
      <c r="FH236" s="312"/>
      <c r="FI236" s="312"/>
      <c r="FJ236" s="312"/>
      <c r="FK236" s="312"/>
      <c r="FL236" s="312"/>
      <c r="FM236" s="312"/>
      <c r="FN236" s="312"/>
      <c r="FO236" s="312"/>
      <c r="FP236" s="312"/>
      <c r="FQ236" s="312"/>
      <c r="FR236" s="312"/>
      <c r="FS236" s="312"/>
      <c r="FT236" s="312"/>
      <c r="FU236" s="312"/>
      <c r="FV236" s="312"/>
      <c r="FW236" s="312"/>
      <c r="FX236" s="312"/>
      <c r="FY236" s="312"/>
      <c r="FZ236" s="312"/>
      <c r="GA236" s="312"/>
      <c r="GB236" s="312"/>
      <c r="GC236" s="312"/>
      <c r="GD236" s="312"/>
      <c r="GE236" s="312"/>
      <c r="GF236" s="312"/>
      <c r="GG236" s="312"/>
      <c r="GH236" s="312"/>
      <c r="GI236" s="312"/>
      <c r="GJ236" s="312"/>
      <c r="GK236" s="312"/>
      <c r="GL236" s="312"/>
      <c r="GM236" s="312"/>
      <c r="GN236" s="312"/>
      <c r="GO236" s="312"/>
      <c r="GP236" s="312"/>
      <c r="GQ236" s="312"/>
      <c r="GR236" s="312"/>
      <c r="GS236" s="312"/>
      <c r="GT236" s="312"/>
      <c r="GU236" s="312"/>
      <c r="GV236" s="312"/>
      <c r="GW236" s="312"/>
      <c r="GX236" s="312"/>
      <c r="GY236" s="312"/>
    </row>
    <row r="237" spans="2:207" ht="15.75" x14ac:dyDescent="0.25">
      <c r="B237" s="316">
        <f t="shared" si="58"/>
        <v>207</v>
      </c>
      <c r="C237" s="330">
        <f>'סיכום לוועדה'!B237</f>
        <v>1001350744</v>
      </c>
      <c r="D237" s="330">
        <f>'סיכום לוועדה'!C237</f>
        <v>1001280342</v>
      </c>
      <c r="E237" s="330">
        <f>'סיכום לוועדה'!D237</f>
        <v>40820736</v>
      </c>
      <c r="F237" s="330">
        <f>'סיכום לוועדה'!E237</f>
        <v>20000201</v>
      </c>
      <c r="G237" s="330" t="str">
        <f>'סיכום לוועדה'!F237</f>
        <v>תל אביב -יפו</v>
      </c>
      <c r="H237" s="317" t="str">
        <f>'סיכום לוועדה'!G237</f>
        <v>התיאטרון הלאומי הבימה בע"מ(חל"צ)</v>
      </c>
      <c r="I237" s="318">
        <f>'סיכום לוועדה'!U237</f>
        <v>20000000</v>
      </c>
      <c r="J237" s="319">
        <f>'סיכום לוועדה'!T237</f>
        <v>11800482.40728458</v>
      </c>
      <c r="K237" s="320">
        <f t="shared" si="59"/>
        <v>0</v>
      </c>
      <c r="L237" s="319">
        <f t="shared" si="60"/>
        <v>11800482.40728458</v>
      </c>
      <c r="M237" s="331">
        <f>'תחום תמיכה ב'!AF237</f>
        <v>7.8259455919200055E-2</v>
      </c>
      <c r="N237" s="319">
        <f t="shared" si="57"/>
        <v>13133594.042007742</v>
      </c>
      <c r="O237" s="321">
        <f t="shared" si="61"/>
        <v>0</v>
      </c>
      <c r="P237" s="322">
        <f t="shared" si="62"/>
        <v>13133594.042007742</v>
      </c>
      <c r="Q237" s="322">
        <f t="shared" si="63"/>
        <v>13139574.114241907</v>
      </c>
      <c r="R237" s="321">
        <f t="shared" si="64"/>
        <v>0</v>
      </c>
      <c r="S237" s="322">
        <f t="shared" si="65"/>
        <v>13139574.114241907</v>
      </c>
      <c r="T237" s="322">
        <f t="shared" si="66"/>
        <v>13139574.114241881</v>
      </c>
      <c r="U237" s="321">
        <f t="shared" si="67"/>
        <v>0</v>
      </c>
      <c r="V237" s="322">
        <f t="shared" si="68"/>
        <v>13139574.114241881</v>
      </c>
      <c r="W237" s="322">
        <f t="shared" si="69"/>
        <v>13139574.114241887</v>
      </c>
      <c r="X237" s="321">
        <f t="shared" si="70"/>
        <v>0</v>
      </c>
      <c r="Y237" s="322">
        <f t="shared" si="71"/>
        <v>13139574.114241887</v>
      </c>
      <c r="Z237" s="322">
        <f t="shared" si="72"/>
        <v>13139574.114241883</v>
      </c>
      <c r="AA237" s="323">
        <f t="shared" si="73"/>
        <v>13139574.114241883</v>
      </c>
      <c r="AB237" s="323"/>
      <c r="AC237" s="323"/>
      <c r="AD237" s="323"/>
      <c r="AE237" s="323"/>
      <c r="AF237" s="324">
        <f t="shared" si="74"/>
        <v>7.5247497126131629E-2</v>
      </c>
      <c r="AG237" s="312"/>
      <c r="AH237" s="312"/>
      <c r="AI237" s="325">
        <f t="shared" si="75"/>
        <v>1</v>
      </c>
      <c r="AJ237" s="312"/>
      <c r="AK237" s="312"/>
      <c r="AL237" s="312"/>
      <c r="AM237" s="312"/>
      <c r="AN237" s="312"/>
      <c r="AO237" s="312"/>
      <c r="AP237" s="312"/>
      <c r="AQ237" s="312"/>
      <c r="AR237" s="312"/>
      <c r="AS237" s="312"/>
      <c r="AT237" s="312"/>
      <c r="AU237" s="312"/>
      <c r="AV237" s="312"/>
      <c r="AW237" s="312"/>
      <c r="AX237" s="312"/>
      <c r="AY237" s="312"/>
      <c r="AZ237" s="312"/>
      <c r="BA237" s="312"/>
      <c r="BB237" s="312"/>
      <c r="BC237" s="312"/>
      <c r="BD237" s="312"/>
      <c r="BE237" s="312"/>
      <c r="BF237" s="312"/>
      <c r="BG237" s="312"/>
      <c r="BH237" s="312"/>
      <c r="BI237" s="312"/>
      <c r="BJ237" s="312"/>
      <c r="BK237" s="312"/>
      <c r="BL237" s="312"/>
      <c r="BM237" s="312"/>
      <c r="BN237" s="312"/>
      <c r="BO237" s="312"/>
      <c r="BP237" s="312"/>
      <c r="BQ237" s="312"/>
      <c r="BR237" s="312"/>
      <c r="BS237" s="312"/>
      <c r="BT237" s="312"/>
      <c r="BU237" s="312"/>
      <c r="BV237" s="312"/>
      <c r="BW237" s="312"/>
      <c r="BX237" s="312"/>
      <c r="BY237" s="312"/>
      <c r="BZ237" s="312"/>
      <c r="CA237" s="312"/>
      <c r="CB237" s="312"/>
      <c r="CC237" s="312"/>
      <c r="CD237" s="312"/>
      <c r="CE237" s="312"/>
      <c r="CF237" s="312"/>
      <c r="CG237" s="312"/>
      <c r="CH237" s="312"/>
      <c r="CI237" s="312"/>
      <c r="CJ237" s="312"/>
      <c r="CK237" s="312"/>
      <c r="CL237" s="312"/>
      <c r="CM237" s="312"/>
      <c r="CN237" s="312"/>
      <c r="CO237" s="312"/>
      <c r="CP237" s="312"/>
      <c r="CQ237" s="312"/>
      <c r="CR237" s="312"/>
      <c r="CS237" s="312"/>
      <c r="CT237" s="312"/>
      <c r="CU237" s="312"/>
      <c r="CV237" s="312"/>
      <c r="CW237" s="312"/>
      <c r="CX237" s="312"/>
      <c r="CY237" s="312"/>
      <c r="CZ237" s="312"/>
      <c r="DA237" s="312"/>
      <c r="DB237" s="312"/>
      <c r="DC237" s="312"/>
      <c r="DD237" s="312"/>
      <c r="DE237" s="312"/>
      <c r="DF237" s="312"/>
      <c r="DG237" s="312"/>
      <c r="DH237" s="312"/>
      <c r="DI237" s="312"/>
      <c r="DJ237" s="312"/>
      <c r="DK237" s="312"/>
      <c r="DL237" s="312"/>
      <c r="DM237" s="312"/>
      <c r="DN237" s="312"/>
      <c r="DO237" s="312"/>
      <c r="DP237" s="312"/>
      <c r="DQ237" s="312"/>
      <c r="DR237" s="312"/>
      <c r="DS237" s="312"/>
      <c r="DT237" s="312"/>
      <c r="DU237" s="312"/>
      <c r="DV237" s="312"/>
      <c r="DW237" s="312"/>
      <c r="DX237" s="312"/>
      <c r="DY237" s="312"/>
      <c r="DZ237" s="312"/>
      <c r="EA237" s="312"/>
      <c r="EB237" s="312"/>
      <c r="EC237" s="312"/>
      <c r="ED237" s="312"/>
      <c r="EE237" s="312"/>
      <c r="EF237" s="312"/>
      <c r="EG237" s="312"/>
      <c r="EH237" s="312"/>
      <c r="EI237" s="312"/>
      <c r="EJ237" s="312"/>
      <c r="EK237" s="312"/>
      <c r="EL237" s="312"/>
      <c r="EM237" s="312"/>
      <c r="EN237" s="312"/>
      <c r="EO237" s="312"/>
      <c r="EP237" s="312"/>
      <c r="EQ237" s="312"/>
      <c r="ER237" s="312"/>
      <c r="ES237" s="312"/>
      <c r="ET237" s="312"/>
      <c r="EU237" s="312"/>
      <c r="EV237" s="312"/>
      <c r="EW237" s="312"/>
      <c r="EX237" s="312"/>
      <c r="EY237" s="312"/>
      <c r="EZ237" s="312"/>
      <c r="FA237" s="312"/>
      <c r="FB237" s="312"/>
      <c r="FC237" s="312"/>
      <c r="FD237" s="312"/>
      <c r="FE237" s="312"/>
      <c r="FF237" s="312"/>
      <c r="FG237" s="312"/>
      <c r="FH237" s="312"/>
      <c r="FI237" s="312"/>
      <c r="FJ237" s="312"/>
      <c r="FK237" s="312"/>
      <c r="FL237" s="312"/>
      <c r="FM237" s="312"/>
      <c r="FN237" s="312"/>
      <c r="FO237" s="312"/>
      <c r="FP237" s="312"/>
      <c r="FQ237" s="312"/>
      <c r="FR237" s="312"/>
      <c r="FS237" s="312"/>
      <c r="FT237" s="312"/>
      <c r="FU237" s="312"/>
      <c r="FV237" s="312"/>
      <c r="FW237" s="312"/>
      <c r="FX237" s="312"/>
      <c r="FY237" s="312"/>
      <c r="FZ237" s="312"/>
      <c r="GA237" s="312"/>
      <c r="GB237" s="312"/>
      <c r="GC237" s="312"/>
      <c r="GD237" s="312"/>
      <c r="GE237" s="312"/>
      <c r="GF237" s="312"/>
      <c r="GG237" s="312"/>
      <c r="GH237" s="312"/>
      <c r="GI237" s="312"/>
      <c r="GJ237" s="312"/>
      <c r="GK237" s="312"/>
      <c r="GL237" s="312"/>
      <c r="GM237" s="312"/>
      <c r="GN237" s="312"/>
      <c r="GO237" s="312"/>
      <c r="GP237" s="312"/>
      <c r="GQ237" s="312"/>
      <c r="GR237" s="312"/>
      <c r="GS237" s="312"/>
      <c r="GT237" s="312"/>
      <c r="GU237" s="312"/>
      <c r="GV237" s="312"/>
      <c r="GW237" s="312"/>
      <c r="GX237" s="312"/>
      <c r="GY237" s="312"/>
    </row>
    <row r="238" spans="2:207" ht="15.75" x14ac:dyDescent="0.25">
      <c r="B238" s="316">
        <f t="shared" si="58"/>
        <v>208</v>
      </c>
      <c r="C238" s="330">
        <f>'סיכום לוועדה'!B238</f>
        <v>1001348658</v>
      </c>
      <c r="D238" s="330">
        <f>'סיכום לוועדה'!C238</f>
        <v>1001280645</v>
      </c>
      <c r="E238" s="330">
        <f>'סיכום לוועדה'!D238</f>
        <v>41085342</v>
      </c>
      <c r="F238" s="330">
        <f>'סיכום לוועדה'!E238</f>
        <v>20000254</v>
      </c>
      <c r="G238" s="330" t="str">
        <f>'סיכום לוועדה'!F238</f>
        <v>באר שבע</v>
      </c>
      <c r="H238" s="317" t="str">
        <f>'סיכום לוועדה'!G238</f>
        <v>סאנאם (ע"ר)</v>
      </c>
      <c r="I238" s="318">
        <f>'סיכום לוועדה'!U238</f>
        <v>1200000</v>
      </c>
      <c r="J238" s="319">
        <f>'סיכום לוועדה'!T238</f>
        <v>54914.537150199219</v>
      </c>
      <c r="K238" s="320">
        <f t="shared" si="59"/>
        <v>0</v>
      </c>
      <c r="L238" s="319">
        <f t="shared" si="60"/>
        <v>54914.537150199219</v>
      </c>
      <c r="M238" s="331">
        <f>'תחום תמיכה ב'!AF238</f>
        <v>2.9752595623806202E-4</v>
      </c>
      <c r="N238" s="319">
        <f t="shared" si="57"/>
        <v>59982.746598302278</v>
      </c>
      <c r="O238" s="321">
        <f t="shared" si="61"/>
        <v>0</v>
      </c>
      <c r="P238" s="322">
        <f t="shared" si="62"/>
        <v>59982.746598302278</v>
      </c>
      <c r="Q238" s="322">
        <f t="shared" si="63"/>
        <v>60010.058327012186</v>
      </c>
      <c r="R238" s="321">
        <f t="shared" si="64"/>
        <v>0</v>
      </c>
      <c r="S238" s="322">
        <f t="shared" si="65"/>
        <v>60010.058327012186</v>
      </c>
      <c r="T238" s="322">
        <f t="shared" si="66"/>
        <v>60010.058327012062</v>
      </c>
      <c r="U238" s="321">
        <f t="shared" si="67"/>
        <v>0</v>
      </c>
      <c r="V238" s="322">
        <f t="shared" si="68"/>
        <v>60010.058327012062</v>
      </c>
      <c r="W238" s="322">
        <f t="shared" si="69"/>
        <v>60010.058327012084</v>
      </c>
      <c r="X238" s="321">
        <f t="shared" si="70"/>
        <v>0</v>
      </c>
      <c r="Y238" s="322">
        <f t="shared" si="71"/>
        <v>60010.058327012084</v>
      </c>
      <c r="Z238" s="322">
        <f t="shared" si="72"/>
        <v>60010.058327012077</v>
      </c>
      <c r="AA238" s="323">
        <f t="shared" si="73"/>
        <v>60010.058327012077</v>
      </c>
      <c r="AB238" s="323"/>
      <c r="AC238" s="323"/>
      <c r="AD238" s="323"/>
      <c r="AE238" s="323"/>
      <c r="AF238" s="324">
        <f t="shared" si="74"/>
        <v>3.4366461593351045E-4</v>
      </c>
      <c r="AG238" s="312"/>
      <c r="AH238" s="312"/>
      <c r="AI238" s="325">
        <f t="shared" si="75"/>
        <v>1</v>
      </c>
      <c r="AJ238" s="312"/>
      <c r="AK238" s="312"/>
      <c r="AL238" s="312"/>
      <c r="AM238" s="312"/>
      <c r="AN238" s="312"/>
      <c r="AO238" s="312"/>
      <c r="AP238" s="312"/>
      <c r="AQ238" s="312"/>
      <c r="AR238" s="312"/>
      <c r="AS238" s="312"/>
      <c r="AT238" s="312"/>
      <c r="AU238" s="312"/>
      <c r="AV238" s="312"/>
      <c r="AW238" s="312"/>
      <c r="AX238" s="312"/>
      <c r="AY238" s="312"/>
      <c r="AZ238" s="312"/>
      <c r="BA238" s="312"/>
      <c r="BB238" s="312"/>
      <c r="BC238" s="312"/>
      <c r="BD238" s="312"/>
      <c r="BE238" s="312"/>
      <c r="BF238" s="312"/>
      <c r="BG238" s="312"/>
      <c r="BH238" s="312"/>
      <c r="BI238" s="312"/>
      <c r="BJ238" s="312"/>
      <c r="BK238" s="312"/>
      <c r="BL238" s="312"/>
      <c r="BM238" s="312"/>
      <c r="BN238" s="312"/>
      <c r="BO238" s="312"/>
      <c r="BP238" s="312"/>
      <c r="BQ238" s="312"/>
      <c r="BR238" s="312"/>
      <c r="BS238" s="312"/>
      <c r="BT238" s="312"/>
      <c r="BU238" s="312"/>
      <c r="BV238" s="312"/>
      <c r="BW238" s="312"/>
      <c r="BX238" s="312"/>
      <c r="BY238" s="312"/>
      <c r="BZ238" s="312"/>
      <c r="CA238" s="312"/>
      <c r="CB238" s="312"/>
      <c r="CC238" s="312"/>
      <c r="CD238" s="312"/>
      <c r="CE238" s="312"/>
      <c r="CF238" s="312"/>
      <c r="CG238" s="312"/>
      <c r="CH238" s="312"/>
      <c r="CI238" s="312"/>
      <c r="CJ238" s="312"/>
      <c r="CK238" s="312"/>
      <c r="CL238" s="312"/>
      <c r="CM238" s="312"/>
      <c r="CN238" s="312"/>
      <c r="CO238" s="312"/>
      <c r="CP238" s="312"/>
      <c r="CQ238" s="312"/>
      <c r="CR238" s="312"/>
      <c r="CS238" s="312"/>
      <c r="CT238" s="312"/>
      <c r="CU238" s="312"/>
      <c r="CV238" s="312"/>
      <c r="CW238" s="312"/>
      <c r="CX238" s="312"/>
      <c r="CY238" s="312"/>
      <c r="CZ238" s="312"/>
      <c r="DA238" s="312"/>
      <c r="DB238" s="312"/>
      <c r="DC238" s="312"/>
      <c r="DD238" s="312"/>
      <c r="DE238" s="312"/>
      <c r="DF238" s="312"/>
      <c r="DG238" s="312"/>
      <c r="DH238" s="312"/>
      <c r="DI238" s="312"/>
      <c r="DJ238" s="312"/>
      <c r="DK238" s="312"/>
      <c r="DL238" s="312"/>
      <c r="DM238" s="312"/>
      <c r="DN238" s="312"/>
      <c r="DO238" s="312"/>
      <c r="DP238" s="312"/>
      <c r="DQ238" s="312"/>
      <c r="DR238" s="312"/>
      <c r="DS238" s="312"/>
      <c r="DT238" s="312"/>
      <c r="DU238" s="312"/>
      <c r="DV238" s="312"/>
      <c r="DW238" s="312"/>
      <c r="DX238" s="312"/>
      <c r="DY238" s="312"/>
      <c r="DZ238" s="312"/>
      <c r="EA238" s="312"/>
      <c r="EB238" s="312"/>
      <c r="EC238" s="312"/>
      <c r="ED238" s="312"/>
      <c r="EE238" s="312"/>
      <c r="EF238" s="312"/>
      <c r="EG238" s="312"/>
      <c r="EH238" s="312"/>
      <c r="EI238" s="312"/>
      <c r="EJ238" s="312"/>
      <c r="EK238" s="312"/>
      <c r="EL238" s="312"/>
      <c r="EM238" s="312"/>
      <c r="EN238" s="312"/>
      <c r="EO238" s="312"/>
      <c r="EP238" s="312"/>
      <c r="EQ238" s="312"/>
      <c r="ER238" s="312"/>
      <c r="ES238" s="312"/>
      <c r="ET238" s="312"/>
      <c r="EU238" s="312"/>
      <c r="EV238" s="312"/>
      <c r="EW238" s="312"/>
      <c r="EX238" s="312"/>
      <c r="EY238" s="312"/>
      <c r="EZ238" s="312"/>
      <c r="FA238" s="312"/>
      <c r="FB238" s="312"/>
      <c r="FC238" s="312"/>
      <c r="FD238" s="312"/>
      <c r="FE238" s="312"/>
      <c r="FF238" s="312"/>
      <c r="FG238" s="312"/>
      <c r="FH238" s="312"/>
      <c r="FI238" s="312"/>
      <c r="FJ238" s="312"/>
      <c r="FK238" s="312"/>
      <c r="FL238" s="312"/>
      <c r="FM238" s="312"/>
      <c r="FN238" s="312"/>
      <c r="FO238" s="312"/>
      <c r="FP238" s="312"/>
      <c r="FQ238" s="312"/>
      <c r="FR238" s="312"/>
      <c r="FS238" s="312"/>
      <c r="FT238" s="312"/>
      <c r="FU238" s="312"/>
      <c r="FV238" s="312"/>
      <c r="FW238" s="312"/>
      <c r="FX238" s="312"/>
      <c r="FY238" s="312"/>
      <c r="FZ238" s="312"/>
      <c r="GA238" s="312"/>
      <c r="GB238" s="312"/>
      <c r="GC238" s="312"/>
      <c r="GD238" s="312"/>
      <c r="GE238" s="312"/>
      <c r="GF238" s="312"/>
      <c r="GG238" s="312"/>
      <c r="GH238" s="312"/>
      <c r="GI238" s="312"/>
      <c r="GJ238" s="312"/>
      <c r="GK238" s="312"/>
      <c r="GL238" s="312"/>
      <c r="GM238" s="312"/>
      <c r="GN238" s="312"/>
      <c r="GO238" s="312"/>
      <c r="GP238" s="312"/>
      <c r="GQ238" s="312"/>
      <c r="GR238" s="312"/>
      <c r="GS238" s="312"/>
      <c r="GT238" s="312"/>
      <c r="GU238" s="312"/>
      <c r="GV238" s="312"/>
      <c r="GW238" s="312"/>
      <c r="GX238" s="312"/>
      <c r="GY238" s="312"/>
    </row>
    <row r="239" spans="2:207" ht="15.75" x14ac:dyDescent="0.25">
      <c r="B239" s="316">
        <f t="shared" si="58"/>
        <v>209</v>
      </c>
      <c r="C239" s="330">
        <f>'סיכום לוועדה'!B239</f>
        <v>1001350449</v>
      </c>
      <c r="D239" s="330">
        <f>'סיכום לוועדה'!C239</f>
        <v>1001280646</v>
      </c>
      <c r="E239" s="330">
        <f>'סיכום לוועדה'!D239</f>
        <v>41090413</v>
      </c>
      <c r="F239" s="330">
        <f>'סיכום לוועדה'!E239</f>
        <v>20000159</v>
      </c>
      <c r="G239" s="330" t="str">
        <f>'סיכום לוועדה'!F239</f>
        <v>ירושלים</v>
      </c>
      <c r="H239" s="317" t="str">
        <f>'סיכום לוועדה'!G239</f>
        <v>תיאטרון נקודה טובה (ע"ר)</v>
      </c>
      <c r="I239" s="318">
        <f>'סיכום לוועדה'!U239</f>
        <v>563872</v>
      </c>
      <c r="J239" s="319">
        <f>'סיכום לוועדה'!T239</f>
        <v>385333.39034072217</v>
      </c>
      <c r="K239" s="320">
        <f t="shared" si="59"/>
        <v>0</v>
      </c>
      <c r="L239" s="319">
        <f t="shared" si="60"/>
        <v>385333.39034072217</v>
      </c>
      <c r="M239" s="331">
        <f>'תחום תמיכה ב'!AF239</f>
        <v>2.3964572893708457E-3</v>
      </c>
      <c r="N239" s="319">
        <f t="shared" si="57"/>
        <v>426155.87060273497</v>
      </c>
      <c r="O239" s="321">
        <f t="shared" si="61"/>
        <v>0</v>
      </c>
      <c r="P239" s="322">
        <f t="shared" si="62"/>
        <v>426155.87060273497</v>
      </c>
      <c r="Q239" s="322">
        <f t="shared" si="63"/>
        <v>426349.91062567668</v>
      </c>
      <c r="R239" s="321">
        <f t="shared" si="64"/>
        <v>0</v>
      </c>
      <c r="S239" s="322">
        <f t="shared" si="65"/>
        <v>426349.91062567668</v>
      </c>
      <c r="T239" s="322">
        <f t="shared" si="66"/>
        <v>426349.91062567581</v>
      </c>
      <c r="U239" s="321">
        <f t="shared" si="67"/>
        <v>0</v>
      </c>
      <c r="V239" s="322">
        <f t="shared" si="68"/>
        <v>426349.91062567581</v>
      </c>
      <c r="W239" s="322">
        <f t="shared" si="69"/>
        <v>426349.91062567598</v>
      </c>
      <c r="X239" s="321">
        <f t="shared" si="70"/>
        <v>0</v>
      </c>
      <c r="Y239" s="322">
        <f t="shared" si="71"/>
        <v>426349.91062567598</v>
      </c>
      <c r="Z239" s="322">
        <f t="shared" si="72"/>
        <v>426349.91062567587</v>
      </c>
      <c r="AA239" s="323">
        <f t="shared" si="73"/>
        <v>426349.91062567587</v>
      </c>
      <c r="AB239" s="323"/>
      <c r="AC239" s="323"/>
      <c r="AD239" s="323"/>
      <c r="AE239" s="323"/>
      <c r="AF239" s="324">
        <f t="shared" si="74"/>
        <v>2.4416136623301088E-3</v>
      </c>
      <c r="AG239" s="312"/>
      <c r="AH239" s="312"/>
      <c r="AI239" s="325">
        <f t="shared" si="75"/>
        <v>1</v>
      </c>
      <c r="AJ239" s="312"/>
      <c r="AK239" s="312"/>
      <c r="AL239" s="312"/>
      <c r="AM239" s="312"/>
      <c r="AN239" s="312"/>
      <c r="AO239" s="312"/>
      <c r="AP239" s="312"/>
      <c r="AQ239" s="312"/>
      <c r="AR239" s="312"/>
      <c r="AS239" s="312"/>
      <c r="AT239" s="312"/>
      <c r="AU239" s="312"/>
      <c r="AV239" s="312"/>
      <c r="AW239" s="312"/>
      <c r="AX239" s="312"/>
      <c r="AY239" s="312"/>
      <c r="AZ239" s="312"/>
      <c r="BA239" s="312"/>
      <c r="BB239" s="312"/>
      <c r="BC239" s="312"/>
      <c r="BD239" s="312"/>
      <c r="BE239" s="312"/>
      <c r="BF239" s="312"/>
      <c r="BG239" s="312"/>
      <c r="BH239" s="312"/>
      <c r="BI239" s="312"/>
      <c r="BJ239" s="312"/>
      <c r="BK239" s="312"/>
      <c r="BL239" s="312"/>
      <c r="BM239" s="312"/>
      <c r="BN239" s="312"/>
      <c r="BO239" s="312"/>
      <c r="BP239" s="312"/>
      <c r="BQ239" s="312"/>
      <c r="BR239" s="312"/>
      <c r="BS239" s="312"/>
      <c r="BT239" s="312"/>
      <c r="BU239" s="312"/>
      <c r="BV239" s="312"/>
      <c r="BW239" s="312"/>
      <c r="BX239" s="312"/>
      <c r="BY239" s="312"/>
      <c r="BZ239" s="312"/>
      <c r="CA239" s="312"/>
      <c r="CB239" s="312"/>
      <c r="CC239" s="312"/>
      <c r="CD239" s="312"/>
      <c r="CE239" s="312"/>
      <c r="CF239" s="312"/>
      <c r="CG239" s="312"/>
      <c r="CH239" s="312"/>
      <c r="CI239" s="312"/>
      <c r="CJ239" s="312"/>
      <c r="CK239" s="312"/>
      <c r="CL239" s="312"/>
      <c r="CM239" s="312"/>
      <c r="CN239" s="312"/>
      <c r="CO239" s="312"/>
      <c r="CP239" s="312"/>
      <c r="CQ239" s="312"/>
      <c r="CR239" s="312"/>
      <c r="CS239" s="312"/>
      <c r="CT239" s="312"/>
      <c r="CU239" s="312"/>
      <c r="CV239" s="312"/>
      <c r="CW239" s="312"/>
      <c r="CX239" s="312"/>
      <c r="CY239" s="312"/>
      <c r="CZ239" s="312"/>
      <c r="DA239" s="312"/>
      <c r="DB239" s="312"/>
      <c r="DC239" s="312"/>
      <c r="DD239" s="312"/>
      <c r="DE239" s="312"/>
      <c r="DF239" s="312"/>
      <c r="DG239" s="312"/>
      <c r="DH239" s="312"/>
      <c r="DI239" s="312"/>
      <c r="DJ239" s="312"/>
      <c r="DK239" s="312"/>
      <c r="DL239" s="312"/>
      <c r="DM239" s="312"/>
      <c r="DN239" s="312"/>
      <c r="DO239" s="312"/>
      <c r="DP239" s="312"/>
      <c r="DQ239" s="312"/>
      <c r="DR239" s="312"/>
      <c r="DS239" s="312"/>
      <c r="DT239" s="312"/>
      <c r="DU239" s="312"/>
      <c r="DV239" s="312"/>
      <c r="DW239" s="312"/>
      <c r="DX239" s="312"/>
      <c r="DY239" s="312"/>
      <c r="DZ239" s="312"/>
      <c r="EA239" s="312"/>
      <c r="EB239" s="312"/>
      <c r="EC239" s="312"/>
      <c r="ED239" s="312"/>
      <c r="EE239" s="312"/>
      <c r="EF239" s="312"/>
      <c r="EG239" s="312"/>
      <c r="EH239" s="312"/>
      <c r="EI239" s="312"/>
      <c r="EJ239" s="312"/>
      <c r="EK239" s="312"/>
      <c r="EL239" s="312"/>
      <c r="EM239" s="312"/>
      <c r="EN239" s="312"/>
      <c r="EO239" s="312"/>
      <c r="EP239" s="312"/>
      <c r="EQ239" s="312"/>
      <c r="ER239" s="312"/>
      <c r="ES239" s="312"/>
      <c r="ET239" s="312"/>
      <c r="EU239" s="312"/>
      <c r="EV239" s="312"/>
      <c r="EW239" s="312"/>
      <c r="EX239" s="312"/>
      <c r="EY239" s="312"/>
      <c r="EZ239" s="312"/>
      <c r="FA239" s="312"/>
      <c r="FB239" s="312"/>
      <c r="FC239" s="312"/>
      <c r="FD239" s="312"/>
      <c r="FE239" s="312"/>
      <c r="FF239" s="312"/>
      <c r="FG239" s="312"/>
      <c r="FH239" s="312"/>
      <c r="FI239" s="312"/>
      <c r="FJ239" s="312"/>
      <c r="FK239" s="312"/>
      <c r="FL239" s="312"/>
      <c r="FM239" s="312"/>
      <c r="FN239" s="312"/>
      <c r="FO239" s="312"/>
      <c r="FP239" s="312"/>
      <c r="FQ239" s="312"/>
      <c r="FR239" s="312"/>
      <c r="FS239" s="312"/>
      <c r="FT239" s="312"/>
      <c r="FU239" s="312"/>
      <c r="FV239" s="312"/>
      <c r="FW239" s="312"/>
      <c r="FX239" s="312"/>
      <c r="FY239" s="312"/>
      <c r="FZ239" s="312"/>
      <c r="GA239" s="312"/>
      <c r="GB239" s="312"/>
      <c r="GC239" s="312"/>
      <c r="GD239" s="312"/>
      <c r="GE239" s="312"/>
      <c r="GF239" s="312"/>
      <c r="GG239" s="312"/>
      <c r="GH239" s="312"/>
      <c r="GI239" s="312"/>
      <c r="GJ239" s="312"/>
      <c r="GK239" s="312"/>
      <c r="GL239" s="312"/>
      <c r="GM239" s="312"/>
      <c r="GN239" s="312"/>
      <c r="GO239" s="312"/>
      <c r="GP239" s="312"/>
      <c r="GQ239" s="312"/>
      <c r="GR239" s="312"/>
      <c r="GS239" s="312"/>
      <c r="GT239" s="312"/>
      <c r="GU239" s="312"/>
      <c r="GV239" s="312"/>
      <c r="GW239" s="312"/>
      <c r="GX239" s="312"/>
      <c r="GY239" s="312"/>
    </row>
    <row r="240" spans="2:207" ht="15.75" x14ac:dyDescent="0.25">
      <c r="B240" s="316">
        <f t="shared" si="58"/>
        <v>210</v>
      </c>
      <c r="C240" s="330">
        <f>'סיכום לוועדה'!B240</f>
        <v>1001347310</v>
      </c>
      <c r="D240" s="330">
        <f>'סיכום לוועדה'!C240</f>
        <v>1001270285</v>
      </c>
      <c r="E240" s="330">
        <f>'סיכום לוועדה'!D240</f>
        <v>41107963</v>
      </c>
      <c r="F240" s="330">
        <f>'סיכום לוועדה'!E240</f>
        <v>20000201</v>
      </c>
      <c r="G240" s="330" t="str">
        <f>'סיכום לוועדה'!F240</f>
        <v>תל אביב -יפו</v>
      </c>
      <c r="H240" s="317" t="str">
        <f>'סיכום לוועדה'!G240</f>
        <v>עלילה מקומית, עמותה רשומה</v>
      </c>
      <c r="I240" s="318">
        <f>'סיכום לוועדה'!U240</f>
        <v>1000000</v>
      </c>
      <c r="J240" s="319">
        <f>'סיכום לוועדה'!T240</f>
        <v>52719.597801276614</v>
      </c>
      <c r="K240" s="320">
        <f t="shared" si="59"/>
        <v>0</v>
      </c>
      <c r="L240" s="319">
        <f t="shared" si="60"/>
        <v>52719.597801276614</v>
      </c>
      <c r="M240" s="331">
        <f>'תחום תמיכה ב'!AF240</f>
        <v>2.0010916558499574E-4</v>
      </c>
      <c r="N240" s="319">
        <f t="shared" si="57"/>
        <v>56128.359767773407</v>
      </c>
      <c r="O240" s="321">
        <f t="shared" si="61"/>
        <v>0</v>
      </c>
      <c r="P240" s="322">
        <f t="shared" si="62"/>
        <v>56128.359767773407</v>
      </c>
      <c r="Q240" s="322">
        <f t="shared" si="63"/>
        <v>56153.916492362499</v>
      </c>
      <c r="R240" s="321">
        <f t="shared" si="64"/>
        <v>0</v>
      </c>
      <c r="S240" s="322">
        <f t="shared" si="65"/>
        <v>56153.916492362499</v>
      </c>
      <c r="T240" s="322">
        <f t="shared" si="66"/>
        <v>56153.916492362383</v>
      </c>
      <c r="U240" s="321">
        <f t="shared" si="67"/>
        <v>0</v>
      </c>
      <c r="V240" s="322">
        <f t="shared" si="68"/>
        <v>56153.916492362383</v>
      </c>
      <c r="W240" s="322">
        <f t="shared" si="69"/>
        <v>56153.916492362398</v>
      </c>
      <c r="X240" s="321">
        <f t="shared" si="70"/>
        <v>0</v>
      </c>
      <c r="Y240" s="322">
        <f t="shared" si="71"/>
        <v>56153.916492362398</v>
      </c>
      <c r="Z240" s="322">
        <f t="shared" si="72"/>
        <v>56153.91649236239</v>
      </c>
      <c r="AA240" s="323">
        <f t="shared" si="73"/>
        <v>56153.91649236239</v>
      </c>
      <c r="AB240" s="323"/>
      <c r="AC240" s="323"/>
      <c r="AD240" s="323"/>
      <c r="AE240" s="323"/>
      <c r="AF240" s="324">
        <f t="shared" si="74"/>
        <v>3.2158132623949742E-4</v>
      </c>
      <c r="AG240" s="312"/>
      <c r="AH240" s="312"/>
      <c r="AI240" s="325">
        <f t="shared" si="75"/>
        <v>1</v>
      </c>
      <c r="AJ240" s="312"/>
      <c r="AK240" s="312"/>
      <c r="AL240" s="312"/>
      <c r="AM240" s="312"/>
      <c r="AN240" s="312"/>
      <c r="AO240" s="312"/>
      <c r="AP240" s="312"/>
      <c r="AQ240" s="312"/>
      <c r="AR240" s="312"/>
      <c r="AS240" s="312"/>
      <c r="AT240" s="312"/>
      <c r="AU240" s="312"/>
      <c r="AV240" s="312"/>
      <c r="AW240" s="312"/>
      <c r="AX240" s="312"/>
      <c r="AY240" s="312"/>
      <c r="AZ240" s="312"/>
      <c r="BA240" s="312"/>
      <c r="BB240" s="312"/>
      <c r="BC240" s="312"/>
      <c r="BD240" s="312"/>
      <c r="BE240" s="312"/>
      <c r="BF240" s="312"/>
      <c r="BG240" s="312"/>
      <c r="BH240" s="312"/>
      <c r="BI240" s="312"/>
      <c r="BJ240" s="312"/>
      <c r="BK240" s="312"/>
      <c r="BL240" s="312"/>
      <c r="BM240" s="312"/>
      <c r="BN240" s="312"/>
      <c r="BO240" s="312"/>
      <c r="BP240" s="312"/>
      <c r="BQ240" s="312"/>
      <c r="BR240" s="312"/>
      <c r="BS240" s="312"/>
      <c r="BT240" s="312"/>
      <c r="BU240" s="312"/>
      <c r="BV240" s="312"/>
      <c r="BW240" s="312"/>
      <c r="BX240" s="312"/>
      <c r="BY240" s="312"/>
      <c r="BZ240" s="312"/>
      <c r="CA240" s="312"/>
      <c r="CB240" s="312"/>
      <c r="CC240" s="312"/>
      <c r="CD240" s="312"/>
      <c r="CE240" s="312"/>
      <c r="CF240" s="312"/>
      <c r="CG240" s="312"/>
      <c r="CH240" s="312"/>
      <c r="CI240" s="312"/>
      <c r="CJ240" s="312"/>
      <c r="CK240" s="312"/>
      <c r="CL240" s="312"/>
      <c r="CM240" s="312"/>
      <c r="CN240" s="312"/>
      <c r="CO240" s="312"/>
      <c r="CP240" s="312"/>
      <c r="CQ240" s="312"/>
      <c r="CR240" s="312"/>
      <c r="CS240" s="312"/>
      <c r="CT240" s="312"/>
      <c r="CU240" s="312"/>
      <c r="CV240" s="312"/>
      <c r="CW240" s="312"/>
      <c r="CX240" s="312"/>
      <c r="CY240" s="312"/>
      <c r="CZ240" s="312"/>
      <c r="DA240" s="312"/>
      <c r="DB240" s="312"/>
      <c r="DC240" s="312"/>
      <c r="DD240" s="312"/>
      <c r="DE240" s="312"/>
      <c r="DF240" s="312"/>
      <c r="DG240" s="312"/>
      <c r="DH240" s="312"/>
      <c r="DI240" s="312"/>
      <c r="DJ240" s="312"/>
      <c r="DK240" s="312"/>
      <c r="DL240" s="312"/>
      <c r="DM240" s="312"/>
      <c r="DN240" s="312"/>
      <c r="DO240" s="312"/>
      <c r="DP240" s="312"/>
      <c r="DQ240" s="312"/>
      <c r="DR240" s="312"/>
      <c r="DS240" s="312"/>
      <c r="DT240" s="312"/>
      <c r="DU240" s="312"/>
      <c r="DV240" s="312"/>
      <c r="DW240" s="312"/>
      <c r="DX240" s="312"/>
      <c r="DY240" s="312"/>
      <c r="DZ240" s="312"/>
      <c r="EA240" s="312"/>
      <c r="EB240" s="312"/>
      <c r="EC240" s="312"/>
      <c r="ED240" s="312"/>
      <c r="EE240" s="312"/>
      <c r="EF240" s="312"/>
      <c r="EG240" s="312"/>
      <c r="EH240" s="312"/>
      <c r="EI240" s="312"/>
      <c r="EJ240" s="312"/>
      <c r="EK240" s="312"/>
      <c r="EL240" s="312"/>
      <c r="EM240" s="312"/>
      <c r="EN240" s="312"/>
      <c r="EO240" s="312"/>
      <c r="EP240" s="312"/>
      <c r="EQ240" s="312"/>
      <c r="ER240" s="312"/>
      <c r="ES240" s="312"/>
      <c r="ET240" s="312"/>
      <c r="EU240" s="312"/>
      <c r="EV240" s="312"/>
      <c r="EW240" s="312"/>
      <c r="EX240" s="312"/>
      <c r="EY240" s="312"/>
      <c r="EZ240" s="312"/>
      <c r="FA240" s="312"/>
      <c r="FB240" s="312"/>
      <c r="FC240" s="312"/>
      <c r="FD240" s="312"/>
      <c r="FE240" s="312"/>
      <c r="FF240" s="312"/>
      <c r="FG240" s="312"/>
      <c r="FH240" s="312"/>
      <c r="FI240" s="312"/>
      <c r="FJ240" s="312"/>
      <c r="FK240" s="312"/>
      <c r="FL240" s="312"/>
      <c r="FM240" s="312"/>
      <c r="FN240" s="312"/>
      <c r="FO240" s="312"/>
      <c r="FP240" s="312"/>
      <c r="FQ240" s="312"/>
      <c r="FR240" s="312"/>
      <c r="FS240" s="312"/>
      <c r="FT240" s="312"/>
      <c r="FU240" s="312"/>
      <c r="FV240" s="312"/>
      <c r="FW240" s="312"/>
      <c r="FX240" s="312"/>
      <c r="FY240" s="312"/>
      <c r="FZ240" s="312"/>
      <c r="GA240" s="312"/>
      <c r="GB240" s="312"/>
      <c r="GC240" s="312"/>
      <c r="GD240" s="312"/>
      <c r="GE240" s="312"/>
      <c r="GF240" s="312"/>
      <c r="GG240" s="312"/>
      <c r="GH240" s="312"/>
      <c r="GI240" s="312"/>
      <c r="GJ240" s="312"/>
      <c r="GK240" s="312"/>
      <c r="GL240" s="312"/>
      <c r="GM240" s="312"/>
      <c r="GN240" s="312"/>
      <c r="GO240" s="312"/>
      <c r="GP240" s="312"/>
      <c r="GQ240" s="312"/>
      <c r="GR240" s="312"/>
      <c r="GS240" s="312"/>
      <c r="GT240" s="312"/>
      <c r="GU240" s="312"/>
      <c r="GV240" s="312"/>
      <c r="GW240" s="312"/>
      <c r="GX240" s="312"/>
      <c r="GY240" s="312"/>
    </row>
    <row r="241" spans="2:207" ht="15.75" x14ac:dyDescent="0.25">
      <c r="B241" s="316">
        <f t="shared" si="58"/>
        <v>211</v>
      </c>
      <c r="C241" s="330">
        <f>'סיכום לוועדה'!B241</f>
        <v>1001350115</v>
      </c>
      <c r="D241" s="330">
        <f>'סיכום לוועדה'!C241</f>
        <v>1001272277</v>
      </c>
      <c r="E241" s="330">
        <f>'סיכום לוועדה'!D241</f>
        <v>41109519</v>
      </c>
      <c r="F241" s="330">
        <f>'סיכום לוועדה'!E241</f>
        <v>20000159</v>
      </c>
      <c r="G241" s="330" t="str">
        <f>'סיכום לוועדה'!F241</f>
        <v>ירושלים</v>
      </c>
      <c r="H241" s="317" t="str">
        <f>'סיכום לוועדה'!G241</f>
        <v>עמותת תיאטרון קומקום (ע"ר)</v>
      </c>
      <c r="I241" s="318">
        <f>'סיכום לוועדה'!U241</f>
        <v>1200000</v>
      </c>
      <c r="J241" s="319">
        <f>'סיכום לוועדה'!T241</f>
        <v>66739.991604956944</v>
      </c>
      <c r="K241" s="320">
        <f t="shared" si="59"/>
        <v>0</v>
      </c>
      <c r="L241" s="319">
        <f t="shared" si="60"/>
        <v>66739.991604956944</v>
      </c>
      <c r="M241" s="331">
        <f>'תחום תמיכה ב'!AF241</f>
        <v>3.8286255641625301E-4</v>
      </c>
      <c r="N241" s="319">
        <f t="shared" si="57"/>
        <v>73261.868386023853</v>
      </c>
      <c r="O241" s="321">
        <f t="shared" si="61"/>
        <v>0</v>
      </c>
      <c r="P241" s="322">
        <f t="shared" si="62"/>
        <v>73261.868386023853</v>
      </c>
      <c r="Q241" s="322">
        <f t="shared" si="63"/>
        <v>73295.226449594047</v>
      </c>
      <c r="R241" s="321">
        <f t="shared" si="64"/>
        <v>0</v>
      </c>
      <c r="S241" s="322">
        <f t="shared" si="65"/>
        <v>73295.226449594047</v>
      </c>
      <c r="T241" s="322">
        <f t="shared" si="66"/>
        <v>73295.226449593902</v>
      </c>
      <c r="U241" s="321">
        <f t="shared" si="67"/>
        <v>0</v>
      </c>
      <c r="V241" s="322">
        <f t="shared" si="68"/>
        <v>73295.226449593902</v>
      </c>
      <c r="W241" s="322">
        <f t="shared" si="69"/>
        <v>73295.226449593931</v>
      </c>
      <c r="X241" s="321">
        <f t="shared" si="70"/>
        <v>0</v>
      </c>
      <c r="Y241" s="322">
        <f t="shared" si="71"/>
        <v>73295.226449593931</v>
      </c>
      <c r="Z241" s="322">
        <f t="shared" si="72"/>
        <v>73295.226449593916</v>
      </c>
      <c r="AA241" s="323">
        <f t="shared" si="73"/>
        <v>73295.226449593916</v>
      </c>
      <c r="AB241" s="323"/>
      <c r="AC241" s="323"/>
      <c r="AD241" s="323"/>
      <c r="AE241" s="323"/>
      <c r="AF241" s="324">
        <f t="shared" si="74"/>
        <v>4.1974589843418232E-4</v>
      </c>
      <c r="AG241" s="312"/>
      <c r="AH241" s="312"/>
      <c r="AI241" s="325">
        <f t="shared" si="75"/>
        <v>1</v>
      </c>
      <c r="AJ241" s="312"/>
      <c r="AK241" s="312"/>
      <c r="AL241" s="312"/>
      <c r="AM241" s="312"/>
      <c r="AN241" s="312"/>
      <c r="AO241" s="312"/>
      <c r="AP241" s="312"/>
      <c r="AQ241" s="312"/>
      <c r="AR241" s="312"/>
      <c r="AS241" s="312"/>
      <c r="AT241" s="312"/>
      <c r="AU241" s="312"/>
      <c r="AV241" s="312"/>
      <c r="AW241" s="312"/>
      <c r="AX241" s="312"/>
      <c r="AY241" s="312"/>
      <c r="AZ241" s="312"/>
      <c r="BA241" s="312"/>
      <c r="BB241" s="312"/>
      <c r="BC241" s="312"/>
      <c r="BD241" s="312"/>
      <c r="BE241" s="312"/>
      <c r="BF241" s="312"/>
      <c r="BG241" s="312"/>
      <c r="BH241" s="312"/>
      <c r="BI241" s="312"/>
      <c r="BJ241" s="312"/>
      <c r="BK241" s="312"/>
      <c r="BL241" s="312"/>
      <c r="BM241" s="312"/>
      <c r="BN241" s="312"/>
      <c r="BO241" s="312"/>
      <c r="BP241" s="312"/>
      <c r="BQ241" s="312"/>
      <c r="BR241" s="312"/>
      <c r="BS241" s="312"/>
      <c r="BT241" s="312"/>
      <c r="BU241" s="312"/>
      <c r="BV241" s="312"/>
      <c r="BW241" s="312"/>
      <c r="BX241" s="312"/>
      <c r="BY241" s="312"/>
      <c r="BZ241" s="312"/>
      <c r="CA241" s="312"/>
      <c r="CB241" s="312"/>
      <c r="CC241" s="312"/>
      <c r="CD241" s="312"/>
      <c r="CE241" s="312"/>
      <c r="CF241" s="312"/>
      <c r="CG241" s="312"/>
      <c r="CH241" s="312"/>
      <c r="CI241" s="312"/>
      <c r="CJ241" s="312"/>
      <c r="CK241" s="312"/>
      <c r="CL241" s="312"/>
      <c r="CM241" s="312"/>
      <c r="CN241" s="312"/>
      <c r="CO241" s="312"/>
      <c r="CP241" s="312"/>
      <c r="CQ241" s="312"/>
      <c r="CR241" s="312"/>
      <c r="CS241" s="312"/>
      <c r="CT241" s="312"/>
      <c r="CU241" s="312"/>
      <c r="CV241" s="312"/>
      <c r="CW241" s="312"/>
      <c r="CX241" s="312"/>
      <c r="CY241" s="312"/>
      <c r="CZ241" s="312"/>
      <c r="DA241" s="312"/>
      <c r="DB241" s="312"/>
      <c r="DC241" s="312"/>
      <c r="DD241" s="312"/>
      <c r="DE241" s="312"/>
      <c r="DF241" s="312"/>
      <c r="DG241" s="312"/>
      <c r="DH241" s="312"/>
      <c r="DI241" s="312"/>
      <c r="DJ241" s="312"/>
      <c r="DK241" s="312"/>
      <c r="DL241" s="312"/>
      <c r="DM241" s="312"/>
      <c r="DN241" s="312"/>
      <c r="DO241" s="312"/>
      <c r="DP241" s="312"/>
      <c r="DQ241" s="312"/>
      <c r="DR241" s="312"/>
      <c r="DS241" s="312"/>
      <c r="DT241" s="312"/>
      <c r="DU241" s="312"/>
      <c r="DV241" s="312"/>
      <c r="DW241" s="312"/>
      <c r="DX241" s="312"/>
      <c r="DY241" s="312"/>
      <c r="DZ241" s="312"/>
      <c r="EA241" s="312"/>
      <c r="EB241" s="312"/>
      <c r="EC241" s="312"/>
      <c r="ED241" s="312"/>
      <c r="EE241" s="312"/>
      <c r="EF241" s="312"/>
      <c r="EG241" s="312"/>
      <c r="EH241" s="312"/>
      <c r="EI241" s="312"/>
      <c r="EJ241" s="312"/>
      <c r="EK241" s="312"/>
      <c r="EL241" s="312"/>
      <c r="EM241" s="312"/>
      <c r="EN241" s="312"/>
      <c r="EO241" s="312"/>
      <c r="EP241" s="312"/>
      <c r="EQ241" s="312"/>
      <c r="ER241" s="312"/>
      <c r="ES241" s="312"/>
      <c r="ET241" s="312"/>
      <c r="EU241" s="312"/>
      <c r="EV241" s="312"/>
      <c r="EW241" s="312"/>
      <c r="EX241" s="312"/>
      <c r="EY241" s="312"/>
      <c r="EZ241" s="312"/>
      <c r="FA241" s="312"/>
      <c r="FB241" s="312"/>
      <c r="FC241" s="312"/>
      <c r="FD241" s="312"/>
      <c r="FE241" s="312"/>
      <c r="FF241" s="312"/>
      <c r="FG241" s="312"/>
      <c r="FH241" s="312"/>
      <c r="FI241" s="312"/>
      <c r="FJ241" s="312"/>
      <c r="FK241" s="312"/>
      <c r="FL241" s="312"/>
      <c r="FM241" s="312"/>
      <c r="FN241" s="312"/>
      <c r="FO241" s="312"/>
      <c r="FP241" s="312"/>
      <c r="FQ241" s="312"/>
      <c r="FR241" s="312"/>
      <c r="FS241" s="312"/>
      <c r="FT241" s="312"/>
      <c r="FU241" s="312"/>
      <c r="FV241" s="312"/>
      <c r="FW241" s="312"/>
      <c r="FX241" s="312"/>
      <c r="FY241" s="312"/>
      <c r="FZ241" s="312"/>
      <c r="GA241" s="312"/>
      <c r="GB241" s="312"/>
      <c r="GC241" s="312"/>
      <c r="GD241" s="312"/>
      <c r="GE241" s="312"/>
      <c r="GF241" s="312"/>
      <c r="GG241" s="312"/>
      <c r="GH241" s="312"/>
      <c r="GI241" s="312"/>
      <c r="GJ241" s="312"/>
      <c r="GK241" s="312"/>
      <c r="GL241" s="312"/>
      <c r="GM241" s="312"/>
      <c r="GN241" s="312"/>
      <c r="GO241" s="312"/>
      <c r="GP241" s="312"/>
      <c r="GQ241" s="312"/>
      <c r="GR241" s="312"/>
      <c r="GS241" s="312"/>
      <c r="GT241" s="312"/>
      <c r="GU241" s="312"/>
      <c r="GV241" s="312"/>
      <c r="GW241" s="312"/>
      <c r="GX241" s="312"/>
      <c r="GY241" s="312"/>
    </row>
    <row r="242" spans="2:207" ht="15.75" x14ac:dyDescent="0.25">
      <c r="B242" s="316">
        <f t="shared" si="58"/>
        <v>212</v>
      </c>
      <c r="C242" s="330">
        <f>'סיכום לוועדה'!B242</f>
        <v>1001348412</v>
      </c>
      <c r="D242" s="330">
        <f>'סיכום לוועדה'!C242</f>
        <v>1001275936</v>
      </c>
      <c r="E242" s="330">
        <f>'סיכום לוועדה'!D242</f>
        <v>41375155</v>
      </c>
      <c r="F242" s="330">
        <f>'סיכום לוועדה'!E242</f>
        <v>20000159</v>
      </c>
      <c r="G242" s="330" t="str">
        <f>'סיכום לוועדה'!F242</f>
        <v>ירושלים</v>
      </c>
      <c r="H242" s="317" t="str">
        <f>'סיכום לוועדה'!G242</f>
        <v>כביש אחד (ע"ר)</v>
      </c>
      <c r="I242" s="318">
        <f>'סיכום לוועדה'!U242</f>
        <v>200000</v>
      </c>
      <c r="J242" s="319">
        <f>'סיכום לוועדה'!T242</f>
        <v>8103.1365959278774</v>
      </c>
      <c r="K242" s="320">
        <f t="shared" si="59"/>
        <v>0</v>
      </c>
      <c r="L242" s="319">
        <f t="shared" si="60"/>
        <v>8103.1365959278774</v>
      </c>
      <c r="M242" s="331">
        <f>'תחום תמיכה ב'!AF242</f>
        <v>3.8148035646277028E-5</v>
      </c>
      <c r="N242" s="319">
        <f t="shared" si="57"/>
        <v>8752.9697638761991</v>
      </c>
      <c r="O242" s="321">
        <f t="shared" si="61"/>
        <v>0</v>
      </c>
      <c r="P242" s="322">
        <f t="shared" si="62"/>
        <v>8752.9697638761991</v>
      </c>
      <c r="Q242" s="322">
        <f t="shared" si="63"/>
        <v>8756.9552221813683</v>
      </c>
      <c r="R242" s="321">
        <f t="shared" si="64"/>
        <v>0</v>
      </c>
      <c r="S242" s="322">
        <f t="shared" si="65"/>
        <v>8756.9552221813683</v>
      </c>
      <c r="T242" s="322">
        <f t="shared" si="66"/>
        <v>8756.9552221813501</v>
      </c>
      <c r="U242" s="321">
        <f t="shared" si="67"/>
        <v>0</v>
      </c>
      <c r="V242" s="322">
        <f t="shared" si="68"/>
        <v>8756.9552221813501</v>
      </c>
      <c r="W242" s="322">
        <f t="shared" si="69"/>
        <v>8756.9552221813537</v>
      </c>
      <c r="X242" s="321">
        <f t="shared" si="70"/>
        <v>0</v>
      </c>
      <c r="Y242" s="322">
        <f t="shared" si="71"/>
        <v>8756.9552221813537</v>
      </c>
      <c r="Z242" s="322">
        <f t="shared" si="72"/>
        <v>8756.9552221813519</v>
      </c>
      <c r="AA242" s="323">
        <f t="shared" si="73"/>
        <v>8756.9552221813519</v>
      </c>
      <c r="AB242" s="323"/>
      <c r="AC242" s="323"/>
      <c r="AD242" s="323"/>
      <c r="AE242" s="323"/>
      <c r="AF242" s="324">
        <f t="shared" si="74"/>
        <v>5.0149187270882372E-5</v>
      </c>
      <c r="AG242" s="312"/>
      <c r="AH242" s="312"/>
      <c r="AI242" s="325">
        <f t="shared" si="75"/>
        <v>1</v>
      </c>
      <c r="AJ242" s="312"/>
      <c r="AK242" s="312"/>
      <c r="AL242" s="312"/>
      <c r="AM242" s="312"/>
      <c r="AN242" s="312"/>
      <c r="AO242" s="312"/>
      <c r="AP242" s="312"/>
      <c r="AQ242" s="312"/>
      <c r="AR242" s="312"/>
      <c r="AS242" s="312"/>
      <c r="AT242" s="312"/>
      <c r="AU242" s="312"/>
      <c r="AV242" s="312"/>
      <c r="AW242" s="312"/>
      <c r="AX242" s="312"/>
      <c r="AY242" s="312"/>
      <c r="AZ242" s="312"/>
      <c r="BA242" s="312"/>
      <c r="BB242" s="312"/>
      <c r="BC242" s="312"/>
      <c r="BD242" s="312"/>
      <c r="BE242" s="312"/>
      <c r="BF242" s="312"/>
      <c r="BG242" s="312"/>
      <c r="BH242" s="312"/>
      <c r="BI242" s="312"/>
      <c r="BJ242" s="312"/>
      <c r="BK242" s="312"/>
      <c r="BL242" s="312"/>
      <c r="BM242" s="312"/>
      <c r="BN242" s="312"/>
      <c r="BO242" s="312"/>
      <c r="BP242" s="312"/>
      <c r="BQ242" s="312"/>
      <c r="BR242" s="312"/>
      <c r="BS242" s="312"/>
      <c r="BT242" s="312"/>
      <c r="BU242" s="312"/>
      <c r="BV242" s="312"/>
      <c r="BW242" s="312"/>
      <c r="BX242" s="312"/>
      <c r="BY242" s="312"/>
      <c r="BZ242" s="312"/>
      <c r="CA242" s="312"/>
      <c r="CB242" s="312"/>
      <c r="CC242" s="312"/>
      <c r="CD242" s="312"/>
      <c r="CE242" s="312"/>
      <c r="CF242" s="312"/>
      <c r="CG242" s="312"/>
      <c r="CH242" s="312"/>
      <c r="CI242" s="312"/>
      <c r="CJ242" s="312"/>
      <c r="CK242" s="312"/>
      <c r="CL242" s="312"/>
      <c r="CM242" s="312"/>
      <c r="CN242" s="312"/>
      <c r="CO242" s="312"/>
      <c r="CP242" s="312"/>
      <c r="CQ242" s="312"/>
      <c r="CR242" s="312"/>
      <c r="CS242" s="312"/>
      <c r="CT242" s="312"/>
      <c r="CU242" s="312"/>
      <c r="CV242" s="312"/>
      <c r="CW242" s="312"/>
      <c r="CX242" s="312"/>
      <c r="CY242" s="312"/>
      <c r="CZ242" s="312"/>
      <c r="DA242" s="312"/>
      <c r="DB242" s="312"/>
      <c r="DC242" s="312"/>
      <c r="DD242" s="312"/>
      <c r="DE242" s="312"/>
      <c r="DF242" s="312"/>
      <c r="DG242" s="312"/>
      <c r="DH242" s="312"/>
      <c r="DI242" s="312"/>
      <c r="DJ242" s="312"/>
      <c r="DK242" s="312"/>
      <c r="DL242" s="312"/>
      <c r="DM242" s="312"/>
      <c r="DN242" s="312"/>
      <c r="DO242" s="312"/>
      <c r="DP242" s="312"/>
      <c r="DQ242" s="312"/>
      <c r="DR242" s="312"/>
      <c r="DS242" s="312"/>
      <c r="DT242" s="312"/>
      <c r="DU242" s="312"/>
      <c r="DV242" s="312"/>
      <c r="DW242" s="312"/>
      <c r="DX242" s="312"/>
      <c r="DY242" s="312"/>
      <c r="DZ242" s="312"/>
      <c r="EA242" s="312"/>
      <c r="EB242" s="312"/>
      <c r="EC242" s="312"/>
      <c r="ED242" s="312"/>
      <c r="EE242" s="312"/>
      <c r="EF242" s="312"/>
      <c r="EG242" s="312"/>
      <c r="EH242" s="312"/>
      <c r="EI242" s="312"/>
      <c r="EJ242" s="312"/>
      <c r="EK242" s="312"/>
      <c r="EL242" s="312"/>
      <c r="EM242" s="312"/>
      <c r="EN242" s="312"/>
      <c r="EO242" s="312"/>
      <c r="EP242" s="312"/>
      <c r="EQ242" s="312"/>
      <c r="ER242" s="312"/>
      <c r="ES242" s="312"/>
      <c r="ET242" s="312"/>
      <c r="EU242" s="312"/>
      <c r="EV242" s="312"/>
      <c r="EW242" s="312"/>
      <c r="EX242" s="312"/>
      <c r="EY242" s="312"/>
      <c r="EZ242" s="312"/>
      <c r="FA242" s="312"/>
      <c r="FB242" s="312"/>
      <c r="FC242" s="312"/>
      <c r="FD242" s="312"/>
      <c r="FE242" s="312"/>
      <c r="FF242" s="312"/>
      <c r="FG242" s="312"/>
      <c r="FH242" s="312"/>
      <c r="FI242" s="312"/>
      <c r="FJ242" s="312"/>
      <c r="FK242" s="312"/>
      <c r="FL242" s="312"/>
      <c r="FM242" s="312"/>
      <c r="FN242" s="312"/>
      <c r="FO242" s="312"/>
      <c r="FP242" s="312"/>
      <c r="FQ242" s="312"/>
      <c r="FR242" s="312"/>
      <c r="FS242" s="312"/>
      <c r="FT242" s="312"/>
      <c r="FU242" s="312"/>
      <c r="FV242" s="312"/>
      <c r="FW242" s="312"/>
      <c r="FX242" s="312"/>
      <c r="FY242" s="312"/>
      <c r="FZ242" s="312"/>
      <c r="GA242" s="312"/>
      <c r="GB242" s="312"/>
      <c r="GC242" s="312"/>
      <c r="GD242" s="312"/>
      <c r="GE242" s="312"/>
      <c r="GF242" s="312"/>
      <c r="GG242" s="312"/>
      <c r="GH242" s="312"/>
      <c r="GI242" s="312"/>
      <c r="GJ242" s="312"/>
      <c r="GK242" s="312"/>
      <c r="GL242" s="312"/>
      <c r="GM242" s="312"/>
      <c r="GN242" s="312"/>
      <c r="GO242" s="312"/>
      <c r="GP242" s="312"/>
      <c r="GQ242" s="312"/>
      <c r="GR242" s="312"/>
      <c r="GS242" s="312"/>
      <c r="GT242" s="312"/>
      <c r="GU242" s="312"/>
      <c r="GV242" s="312"/>
      <c r="GW242" s="312"/>
      <c r="GX242" s="312"/>
      <c r="GY242" s="312"/>
    </row>
    <row r="243" spans="2:207" ht="15.75" x14ac:dyDescent="0.25">
      <c r="B243" s="316">
        <f t="shared" si="58"/>
        <v>213</v>
      </c>
      <c r="C243" s="330">
        <f>'סיכום לוועדה'!B243</f>
        <v>1001348413</v>
      </c>
      <c r="D243" s="330">
        <f>'סיכום לוועדה'!C243</f>
        <v>1001275127</v>
      </c>
      <c r="E243" s="330">
        <f>'סיכום לוועדה'!D243</f>
        <v>41375155</v>
      </c>
      <c r="F243" s="330">
        <f>'סיכום לוועדה'!E243</f>
        <v>20000159</v>
      </c>
      <c r="G243" s="330" t="str">
        <f>'סיכום לוועדה'!F243</f>
        <v>ירושלים</v>
      </c>
      <c r="H243" s="317" t="str">
        <f>'סיכום לוועדה'!G243</f>
        <v>כביש אחד (ע"ר)</v>
      </c>
      <c r="I243" s="318">
        <f>'סיכום לוועדה'!U243</f>
        <v>200000</v>
      </c>
      <c r="J243" s="319">
        <f>'סיכום לוועדה'!T243</f>
        <v>13343.810474238275</v>
      </c>
      <c r="K243" s="320">
        <f t="shared" si="59"/>
        <v>0</v>
      </c>
      <c r="L243" s="319">
        <f t="shared" si="60"/>
        <v>13343.810474238275</v>
      </c>
      <c r="M243" s="331">
        <f>'תחום תמיכה ב'!AF243</f>
        <v>6.8171371894364948E-5</v>
      </c>
      <c r="N243" s="319">
        <f t="shared" si="57"/>
        <v>14505.07652138851</v>
      </c>
      <c r="O243" s="321">
        <f t="shared" si="61"/>
        <v>0</v>
      </c>
      <c r="P243" s="322">
        <f t="shared" si="62"/>
        <v>14505.07652138851</v>
      </c>
      <c r="Q243" s="322">
        <f t="shared" si="63"/>
        <v>14511.681065817291</v>
      </c>
      <c r="R243" s="321">
        <f t="shared" si="64"/>
        <v>0</v>
      </c>
      <c r="S243" s="322">
        <f t="shared" si="65"/>
        <v>14511.681065817291</v>
      </c>
      <c r="T243" s="322">
        <f t="shared" si="66"/>
        <v>14511.681065817262</v>
      </c>
      <c r="U243" s="321">
        <f t="shared" si="67"/>
        <v>0</v>
      </c>
      <c r="V243" s="322">
        <f t="shared" si="68"/>
        <v>14511.681065817262</v>
      </c>
      <c r="W243" s="322">
        <f t="shared" si="69"/>
        <v>14511.681065817267</v>
      </c>
      <c r="X243" s="321">
        <f t="shared" si="70"/>
        <v>0</v>
      </c>
      <c r="Y243" s="322">
        <f t="shared" si="71"/>
        <v>14511.681065817267</v>
      </c>
      <c r="Z243" s="322">
        <f t="shared" si="72"/>
        <v>14511.681065817264</v>
      </c>
      <c r="AA243" s="323">
        <f t="shared" si="73"/>
        <v>14511.681065817264</v>
      </c>
      <c r="AB243" s="323"/>
      <c r="AC243" s="323"/>
      <c r="AD243" s="323"/>
      <c r="AE243" s="323"/>
      <c r="AF243" s="324">
        <f t="shared" si="74"/>
        <v>8.3105256669761303E-5</v>
      </c>
      <c r="AG243" s="312"/>
      <c r="AH243" s="312"/>
      <c r="AI243" s="325">
        <f t="shared" si="75"/>
        <v>1</v>
      </c>
      <c r="AJ243" s="312"/>
      <c r="AK243" s="312"/>
      <c r="AL243" s="312"/>
      <c r="AM243" s="312"/>
      <c r="AN243" s="312"/>
      <c r="AO243" s="312"/>
      <c r="AP243" s="312"/>
      <c r="AQ243" s="312"/>
      <c r="AR243" s="312"/>
      <c r="AS243" s="312"/>
      <c r="AT243" s="312"/>
      <c r="AU243" s="312"/>
      <c r="AV243" s="312"/>
      <c r="AW243" s="312"/>
      <c r="AX243" s="312"/>
      <c r="AY243" s="312"/>
      <c r="AZ243" s="312"/>
      <c r="BA243" s="312"/>
      <c r="BB243" s="312"/>
      <c r="BC243" s="312"/>
      <c r="BD243" s="312"/>
      <c r="BE243" s="312"/>
      <c r="BF243" s="312"/>
      <c r="BG243" s="312"/>
      <c r="BH243" s="312"/>
      <c r="BI243" s="312"/>
      <c r="BJ243" s="312"/>
      <c r="BK243" s="312"/>
      <c r="BL243" s="312"/>
      <c r="BM243" s="312"/>
      <c r="BN243" s="312"/>
      <c r="BO243" s="312"/>
      <c r="BP243" s="312"/>
      <c r="BQ243" s="312"/>
      <c r="BR243" s="312"/>
      <c r="BS243" s="312"/>
      <c r="BT243" s="312"/>
      <c r="BU243" s="312"/>
      <c r="BV243" s="312"/>
      <c r="BW243" s="312"/>
      <c r="BX243" s="312"/>
      <c r="BY243" s="312"/>
      <c r="BZ243" s="312"/>
      <c r="CA243" s="312"/>
      <c r="CB243" s="312"/>
      <c r="CC243" s="312"/>
      <c r="CD243" s="312"/>
      <c r="CE243" s="312"/>
      <c r="CF243" s="312"/>
      <c r="CG243" s="312"/>
      <c r="CH243" s="312"/>
      <c r="CI243" s="312"/>
      <c r="CJ243" s="312"/>
      <c r="CK243" s="312"/>
      <c r="CL243" s="312"/>
      <c r="CM243" s="312"/>
      <c r="CN243" s="312"/>
      <c r="CO243" s="312"/>
      <c r="CP243" s="312"/>
      <c r="CQ243" s="312"/>
      <c r="CR243" s="312"/>
      <c r="CS243" s="312"/>
      <c r="CT243" s="312"/>
      <c r="CU243" s="312"/>
      <c r="CV243" s="312"/>
      <c r="CW243" s="312"/>
      <c r="CX243" s="312"/>
      <c r="CY243" s="312"/>
      <c r="CZ243" s="312"/>
      <c r="DA243" s="312"/>
      <c r="DB243" s="312"/>
      <c r="DC243" s="312"/>
      <c r="DD243" s="312"/>
      <c r="DE243" s="312"/>
      <c r="DF243" s="312"/>
      <c r="DG243" s="312"/>
      <c r="DH243" s="312"/>
      <c r="DI243" s="312"/>
      <c r="DJ243" s="312"/>
      <c r="DK243" s="312"/>
      <c r="DL243" s="312"/>
      <c r="DM243" s="312"/>
      <c r="DN243" s="312"/>
      <c r="DO243" s="312"/>
      <c r="DP243" s="312"/>
      <c r="DQ243" s="312"/>
      <c r="DR243" s="312"/>
      <c r="DS243" s="312"/>
      <c r="DT243" s="312"/>
      <c r="DU243" s="312"/>
      <c r="DV243" s="312"/>
      <c r="DW243" s="312"/>
      <c r="DX243" s="312"/>
      <c r="DY243" s="312"/>
      <c r="DZ243" s="312"/>
      <c r="EA243" s="312"/>
      <c r="EB243" s="312"/>
      <c r="EC243" s="312"/>
      <c r="ED243" s="312"/>
      <c r="EE243" s="312"/>
      <c r="EF243" s="312"/>
      <c r="EG243" s="312"/>
      <c r="EH243" s="312"/>
      <c r="EI243" s="312"/>
      <c r="EJ243" s="312"/>
      <c r="EK243" s="312"/>
      <c r="EL243" s="312"/>
      <c r="EM243" s="312"/>
      <c r="EN243" s="312"/>
      <c r="EO243" s="312"/>
      <c r="EP243" s="312"/>
      <c r="EQ243" s="312"/>
      <c r="ER243" s="312"/>
      <c r="ES243" s="312"/>
      <c r="ET243" s="312"/>
      <c r="EU243" s="312"/>
      <c r="EV243" s="312"/>
      <c r="EW243" s="312"/>
      <c r="EX243" s="312"/>
      <c r="EY243" s="312"/>
      <c r="EZ243" s="312"/>
      <c r="FA243" s="312"/>
      <c r="FB243" s="312"/>
      <c r="FC243" s="312"/>
      <c r="FD243" s="312"/>
      <c r="FE243" s="312"/>
      <c r="FF243" s="312"/>
      <c r="FG243" s="312"/>
      <c r="FH243" s="312"/>
      <c r="FI243" s="312"/>
      <c r="FJ243" s="312"/>
      <c r="FK243" s="312"/>
      <c r="FL243" s="312"/>
      <c r="FM243" s="312"/>
      <c r="FN243" s="312"/>
      <c r="FO243" s="312"/>
      <c r="FP243" s="312"/>
      <c r="FQ243" s="312"/>
      <c r="FR243" s="312"/>
      <c r="FS243" s="312"/>
      <c r="FT243" s="312"/>
      <c r="FU243" s="312"/>
      <c r="FV243" s="312"/>
      <c r="FW243" s="312"/>
      <c r="FX243" s="312"/>
      <c r="FY243" s="312"/>
      <c r="FZ243" s="312"/>
      <c r="GA243" s="312"/>
      <c r="GB243" s="312"/>
      <c r="GC243" s="312"/>
      <c r="GD243" s="312"/>
      <c r="GE243" s="312"/>
      <c r="GF243" s="312"/>
      <c r="GG243" s="312"/>
      <c r="GH243" s="312"/>
      <c r="GI243" s="312"/>
      <c r="GJ243" s="312"/>
      <c r="GK243" s="312"/>
      <c r="GL243" s="312"/>
      <c r="GM243" s="312"/>
      <c r="GN243" s="312"/>
      <c r="GO243" s="312"/>
      <c r="GP243" s="312"/>
      <c r="GQ243" s="312"/>
      <c r="GR243" s="312"/>
      <c r="GS243" s="312"/>
      <c r="GT243" s="312"/>
      <c r="GU243" s="312"/>
      <c r="GV243" s="312"/>
      <c r="GW243" s="312"/>
      <c r="GX243" s="312"/>
      <c r="GY243" s="312"/>
    </row>
    <row r="244" spans="2:207" ht="15.75" x14ac:dyDescent="0.25">
      <c r="B244" s="316">
        <f t="shared" si="58"/>
        <v>214</v>
      </c>
      <c r="C244" s="330">
        <f>'סיכום לוועדה'!B244</f>
        <v>1001348578</v>
      </c>
      <c r="D244" s="330">
        <f>'סיכום לוועדה'!C244</f>
        <v>1001274514</v>
      </c>
      <c r="E244" s="330">
        <f>'סיכום לוועדה'!D244</f>
        <v>41375631</v>
      </c>
      <c r="F244" s="330">
        <f>'סיכום לוועדה'!E244</f>
        <v>20000065</v>
      </c>
      <c r="G244" s="330" t="str">
        <f>'סיכום לוועדה'!F244</f>
        <v>עספיא</v>
      </c>
      <c r="H244" s="317" t="str">
        <f>'סיכום לוועדה'!G244</f>
        <v>לוגוס לתרבויות ומורשת עמים (ע"ר)</v>
      </c>
      <c r="I244" s="318">
        <f>'סיכום לוועדה'!U244</f>
        <v>1086108</v>
      </c>
      <c r="J244" s="319">
        <f>'סיכום לוועדה'!T244</f>
        <v>116434.08443985696</v>
      </c>
      <c r="K244" s="320">
        <f t="shared" si="59"/>
        <v>0</v>
      </c>
      <c r="L244" s="319">
        <f t="shared" si="60"/>
        <v>116434.08443985696</v>
      </c>
      <c r="M244" s="331">
        <f>'תחום תמיכה ב'!AF244</f>
        <v>7.5353974330785018E-4</v>
      </c>
      <c r="N244" s="319">
        <f t="shared" si="57"/>
        <v>129270.2661795711</v>
      </c>
      <c r="O244" s="321">
        <f t="shared" si="61"/>
        <v>0</v>
      </c>
      <c r="P244" s="322">
        <f t="shared" si="62"/>
        <v>129270.2661795711</v>
      </c>
      <c r="Q244" s="322">
        <f t="shared" si="63"/>
        <v>129329.12634587524</v>
      </c>
      <c r="R244" s="321">
        <f t="shared" si="64"/>
        <v>0</v>
      </c>
      <c r="S244" s="322">
        <f t="shared" si="65"/>
        <v>129329.12634587524</v>
      </c>
      <c r="T244" s="322">
        <f t="shared" si="66"/>
        <v>129329.12634587497</v>
      </c>
      <c r="U244" s="321">
        <f t="shared" si="67"/>
        <v>0</v>
      </c>
      <c r="V244" s="322">
        <f t="shared" si="68"/>
        <v>129329.12634587497</v>
      </c>
      <c r="W244" s="322">
        <f t="shared" si="69"/>
        <v>129329.12634587503</v>
      </c>
      <c r="X244" s="321">
        <f t="shared" si="70"/>
        <v>0</v>
      </c>
      <c r="Y244" s="322">
        <f t="shared" si="71"/>
        <v>129329.12634587503</v>
      </c>
      <c r="Z244" s="322">
        <f t="shared" si="72"/>
        <v>129329.126345875</v>
      </c>
      <c r="AA244" s="323">
        <f t="shared" si="73"/>
        <v>129329.126345875</v>
      </c>
      <c r="AB244" s="323"/>
      <c r="AC244" s="323"/>
      <c r="AD244" s="323"/>
      <c r="AE244" s="323"/>
      <c r="AF244" s="324">
        <f t="shared" si="74"/>
        <v>7.4063991560337076E-4</v>
      </c>
      <c r="AG244" s="312"/>
      <c r="AH244" s="312"/>
      <c r="AI244" s="325">
        <f t="shared" si="75"/>
        <v>1</v>
      </c>
      <c r="AJ244" s="312"/>
      <c r="AK244" s="312"/>
      <c r="AL244" s="312"/>
      <c r="AM244" s="312"/>
      <c r="AN244" s="312"/>
      <c r="AO244" s="312"/>
      <c r="AP244" s="312"/>
      <c r="AQ244" s="312"/>
      <c r="AR244" s="312"/>
      <c r="AS244" s="312"/>
      <c r="AT244" s="312"/>
      <c r="AU244" s="312"/>
      <c r="AV244" s="312"/>
      <c r="AW244" s="312"/>
      <c r="AX244" s="312"/>
      <c r="AY244" s="312"/>
      <c r="AZ244" s="312"/>
      <c r="BA244" s="312"/>
      <c r="BB244" s="312"/>
      <c r="BC244" s="312"/>
      <c r="BD244" s="312"/>
      <c r="BE244" s="312"/>
      <c r="BF244" s="312"/>
      <c r="BG244" s="312"/>
      <c r="BH244" s="312"/>
      <c r="BI244" s="312"/>
      <c r="BJ244" s="312"/>
      <c r="BK244" s="312"/>
      <c r="BL244" s="312"/>
      <c r="BM244" s="312"/>
      <c r="BN244" s="312"/>
      <c r="BO244" s="312"/>
      <c r="BP244" s="312"/>
      <c r="BQ244" s="312"/>
      <c r="BR244" s="312"/>
      <c r="BS244" s="312"/>
      <c r="BT244" s="312"/>
      <c r="BU244" s="312"/>
      <c r="BV244" s="312"/>
      <c r="BW244" s="312"/>
      <c r="BX244" s="312"/>
      <c r="BY244" s="312"/>
      <c r="BZ244" s="312"/>
      <c r="CA244" s="312"/>
      <c r="CB244" s="312"/>
      <c r="CC244" s="312"/>
      <c r="CD244" s="312"/>
      <c r="CE244" s="312"/>
      <c r="CF244" s="312"/>
      <c r="CG244" s="312"/>
      <c r="CH244" s="312"/>
      <c r="CI244" s="312"/>
      <c r="CJ244" s="312"/>
      <c r="CK244" s="312"/>
      <c r="CL244" s="312"/>
      <c r="CM244" s="312"/>
      <c r="CN244" s="312"/>
      <c r="CO244" s="312"/>
      <c r="CP244" s="312"/>
      <c r="CQ244" s="312"/>
      <c r="CR244" s="312"/>
      <c r="CS244" s="312"/>
      <c r="CT244" s="312"/>
      <c r="CU244" s="312"/>
      <c r="CV244" s="312"/>
      <c r="CW244" s="312"/>
      <c r="CX244" s="312"/>
      <c r="CY244" s="312"/>
      <c r="CZ244" s="312"/>
      <c r="DA244" s="312"/>
      <c r="DB244" s="312"/>
      <c r="DC244" s="312"/>
      <c r="DD244" s="312"/>
      <c r="DE244" s="312"/>
      <c r="DF244" s="312"/>
      <c r="DG244" s="312"/>
      <c r="DH244" s="312"/>
      <c r="DI244" s="312"/>
      <c r="DJ244" s="312"/>
      <c r="DK244" s="312"/>
      <c r="DL244" s="312"/>
      <c r="DM244" s="312"/>
      <c r="DN244" s="312"/>
      <c r="DO244" s="312"/>
      <c r="DP244" s="312"/>
      <c r="DQ244" s="312"/>
      <c r="DR244" s="312"/>
      <c r="DS244" s="312"/>
      <c r="DT244" s="312"/>
      <c r="DU244" s="312"/>
      <c r="DV244" s="312"/>
      <c r="DW244" s="312"/>
      <c r="DX244" s="312"/>
      <c r="DY244" s="312"/>
      <c r="DZ244" s="312"/>
      <c r="EA244" s="312"/>
      <c r="EB244" s="312"/>
      <c r="EC244" s="312"/>
      <c r="ED244" s="312"/>
      <c r="EE244" s="312"/>
      <c r="EF244" s="312"/>
      <c r="EG244" s="312"/>
      <c r="EH244" s="312"/>
      <c r="EI244" s="312"/>
      <c r="EJ244" s="312"/>
      <c r="EK244" s="312"/>
      <c r="EL244" s="312"/>
      <c r="EM244" s="312"/>
      <c r="EN244" s="312"/>
      <c r="EO244" s="312"/>
      <c r="EP244" s="312"/>
      <c r="EQ244" s="312"/>
      <c r="ER244" s="312"/>
      <c r="ES244" s="312"/>
      <c r="ET244" s="312"/>
      <c r="EU244" s="312"/>
      <c r="EV244" s="312"/>
      <c r="EW244" s="312"/>
      <c r="EX244" s="312"/>
      <c r="EY244" s="312"/>
      <c r="EZ244" s="312"/>
      <c r="FA244" s="312"/>
      <c r="FB244" s="312"/>
      <c r="FC244" s="312"/>
      <c r="FD244" s="312"/>
      <c r="FE244" s="312"/>
      <c r="FF244" s="312"/>
      <c r="FG244" s="312"/>
      <c r="FH244" s="312"/>
      <c r="FI244" s="312"/>
      <c r="FJ244" s="312"/>
      <c r="FK244" s="312"/>
      <c r="FL244" s="312"/>
      <c r="FM244" s="312"/>
      <c r="FN244" s="312"/>
      <c r="FO244" s="312"/>
      <c r="FP244" s="312"/>
      <c r="FQ244" s="312"/>
      <c r="FR244" s="312"/>
      <c r="FS244" s="312"/>
      <c r="FT244" s="312"/>
      <c r="FU244" s="312"/>
      <c r="FV244" s="312"/>
      <c r="FW244" s="312"/>
      <c r="FX244" s="312"/>
      <c r="FY244" s="312"/>
      <c r="FZ244" s="312"/>
      <c r="GA244" s="312"/>
      <c r="GB244" s="312"/>
      <c r="GC244" s="312"/>
      <c r="GD244" s="312"/>
      <c r="GE244" s="312"/>
      <c r="GF244" s="312"/>
      <c r="GG244" s="312"/>
      <c r="GH244" s="312"/>
      <c r="GI244" s="312"/>
      <c r="GJ244" s="312"/>
      <c r="GK244" s="312"/>
      <c r="GL244" s="312"/>
      <c r="GM244" s="312"/>
      <c r="GN244" s="312"/>
      <c r="GO244" s="312"/>
      <c r="GP244" s="312"/>
      <c r="GQ244" s="312"/>
      <c r="GR244" s="312"/>
      <c r="GS244" s="312"/>
      <c r="GT244" s="312"/>
      <c r="GU244" s="312"/>
      <c r="GV244" s="312"/>
      <c r="GW244" s="312"/>
      <c r="GX244" s="312"/>
      <c r="GY244" s="312"/>
    </row>
    <row r="245" spans="2:207" ht="15.75" x14ac:dyDescent="0.25">
      <c r="B245" s="316">
        <f t="shared" si="58"/>
        <v>215</v>
      </c>
      <c r="C245" s="330">
        <f>'סיכום לוועדה'!B245</f>
        <v>1001349368</v>
      </c>
      <c r="D245" s="330">
        <f>'סיכום לוועדה'!C245</f>
        <v>1001275002</v>
      </c>
      <c r="E245" s="330">
        <f>'סיכום לוועדה'!D245</f>
        <v>41375631</v>
      </c>
      <c r="F245" s="330">
        <f>'סיכום לוועדה'!E245</f>
        <v>20000065</v>
      </c>
      <c r="G245" s="330" t="str">
        <f>'סיכום לוועדה'!F245</f>
        <v>עספיא</v>
      </c>
      <c r="H245" s="317" t="str">
        <f>'סיכום לוועדה'!G245</f>
        <v>לוגוס לתרבויות ומורשת עמים (ע"ר)</v>
      </c>
      <c r="I245" s="318">
        <f>'סיכום לוועדה'!U245</f>
        <v>495500</v>
      </c>
      <c r="J245" s="319">
        <f>'סיכום לוועדה'!T245</f>
        <v>22867.329893319904</v>
      </c>
      <c r="K245" s="320">
        <f t="shared" si="59"/>
        <v>0</v>
      </c>
      <c r="L245" s="319">
        <f t="shared" si="60"/>
        <v>22867.329893319904</v>
      </c>
      <c r="M245" s="331">
        <f>'תחום תמיכה ב'!AF245</f>
        <v>1.0604745591774255E-4</v>
      </c>
      <c r="N245" s="319">
        <f t="shared" si="57"/>
        <v>24673.796545256464</v>
      </c>
      <c r="O245" s="321">
        <f t="shared" si="61"/>
        <v>0</v>
      </c>
      <c r="P245" s="322">
        <f t="shared" si="62"/>
        <v>24673.796545256464</v>
      </c>
      <c r="Q245" s="322">
        <f t="shared" si="63"/>
        <v>24685.03117647468</v>
      </c>
      <c r="R245" s="321">
        <f t="shared" si="64"/>
        <v>0</v>
      </c>
      <c r="S245" s="322">
        <f t="shared" si="65"/>
        <v>24685.03117647468</v>
      </c>
      <c r="T245" s="322">
        <f t="shared" si="66"/>
        <v>24685.031176474633</v>
      </c>
      <c r="U245" s="321">
        <f t="shared" si="67"/>
        <v>0</v>
      </c>
      <c r="V245" s="322">
        <f t="shared" si="68"/>
        <v>24685.031176474633</v>
      </c>
      <c r="W245" s="322">
        <f t="shared" si="69"/>
        <v>24685.03117647464</v>
      </c>
      <c r="X245" s="321">
        <f t="shared" si="70"/>
        <v>0</v>
      </c>
      <c r="Y245" s="322">
        <f t="shared" si="71"/>
        <v>24685.03117647464</v>
      </c>
      <c r="Z245" s="322">
        <f t="shared" si="72"/>
        <v>24685.031176474637</v>
      </c>
      <c r="AA245" s="323">
        <f t="shared" si="73"/>
        <v>24685.031176474637</v>
      </c>
      <c r="AB245" s="323"/>
      <c r="AC245" s="323"/>
      <c r="AD245" s="323"/>
      <c r="AE245" s="323"/>
      <c r="AF245" s="324">
        <f t="shared" si="74"/>
        <v>1.4136583091357041E-4</v>
      </c>
      <c r="AG245" s="312"/>
      <c r="AH245" s="312"/>
      <c r="AI245" s="325">
        <f t="shared" si="75"/>
        <v>1</v>
      </c>
      <c r="AJ245" s="312"/>
      <c r="AK245" s="312"/>
      <c r="AL245" s="312"/>
      <c r="AM245" s="312"/>
      <c r="AN245" s="312"/>
      <c r="AO245" s="312"/>
      <c r="AP245" s="312"/>
      <c r="AQ245" s="312"/>
      <c r="AR245" s="312"/>
      <c r="AS245" s="312"/>
      <c r="AT245" s="312"/>
      <c r="AU245" s="312"/>
      <c r="AV245" s="312"/>
      <c r="AW245" s="312"/>
      <c r="AX245" s="312"/>
      <c r="AY245" s="312"/>
      <c r="AZ245" s="312"/>
      <c r="BA245" s="312"/>
      <c r="BB245" s="312"/>
      <c r="BC245" s="312"/>
      <c r="BD245" s="312"/>
      <c r="BE245" s="312"/>
      <c r="BF245" s="312"/>
      <c r="BG245" s="312"/>
      <c r="BH245" s="312"/>
      <c r="BI245" s="312"/>
      <c r="BJ245" s="312"/>
      <c r="BK245" s="312"/>
      <c r="BL245" s="312"/>
      <c r="BM245" s="312"/>
      <c r="BN245" s="312"/>
      <c r="BO245" s="312"/>
      <c r="BP245" s="312"/>
      <c r="BQ245" s="312"/>
      <c r="BR245" s="312"/>
      <c r="BS245" s="312"/>
      <c r="BT245" s="312"/>
      <c r="BU245" s="312"/>
      <c r="BV245" s="312"/>
      <c r="BW245" s="312"/>
      <c r="BX245" s="312"/>
      <c r="BY245" s="312"/>
      <c r="BZ245" s="312"/>
      <c r="CA245" s="312"/>
      <c r="CB245" s="312"/>
      <c r="CC245" s="312"/>
      <c r="CD245" s="312"/>
      <c r="CE245" s="312"/>
      <c r="CF245" s="312"/>
      <c r="CG245" s="312"/>
      <c r="CH245" s="312"/>
      <c r="CI245" s="312"/>
      <c r="CJ245" s="312"/>
      <c r="CK245" s="312"/>
      <c r="CL245" s="312"/>
      <c r="CM245" s="312"/>
      <c r="CN245" s="312"/>
      <c r="CO245" s="312"/>
      <c r="CP245" s="312"/>
      <c r="CQ245" s="312"/>
      <c r="CR245" s="312"/>
      <c r="CS245" s="312"/>
      <c r="CT245" s="312"/>
      <c r="CU245" s="312"/>
      <c r="CV245" s="312"/>
      <c r="CW245" s="312"/>
      <c r="CX245" s="312"/>
      <c r="CY245" s="312"/>
      <c r="CZ245" s="312"/>
      <c r="DA245" s="312"/>
      <c r="DB245" s="312"/>
      <c r="DC245" s="312"/>
      <c r="DD245" s="312"/>
      <c r="DE245" s="312"/>
      <c r="DF245" s="312"/>
      <c r="DG245" s="312"/>
      <c r="DH245" s="312"/>
      <c r="DI245" s="312"/>
      <c r="DJ245" s="312"/>
      <c r="DK245" s="312"/>
      <c r="DL245" s="312"/>
      <c r="DM245" s="312"/>
      <c r="DN245" s="312"/>
      <c r="DO245" s="312"/>
      <c r="DP245" s="312"/>
      <c r="DQ245" s="312"/>
      <c r="DR245" s="312"/>
      <c r="DS245" s="312"/>
      <c r="DT245" s="312"/>
      <c r="DU245" s="312"/>
      <c r="DV245" s="312"/>
      <c r="DW245" s="312"/>
      <c r="DX245" s="312"/>
      <c r="DY245" s="312"/>
      <c r="DZ245" s="312"/>
      <c r="EA245" s="312"/>
      <c r="EB245" s="312"/>
      <c r="EC245" s="312"/>
      <c r="ED245" s="312"/>
      <c r="EE245" s="312"/>
      <c r="EF245" s="312"/>
      <c r="EG245" s="312"/>
      <c r="EH245" s="312"/>
      <c r="EI245" s="312"/>
      <c r="EJ245" s="312"/>
      <c r="EK245" s="312"/>
      <c r="EL245" s="312"/>
      <c r="EM245" s="312"/>
      <c r="EN245" s="312"/>
      <c r="EO245" s="312"/>
      <c r="EP245" s="312"/>
      <c r="EQ245" s="312"/>
      <c r="ER245" s="312"/>
      <c r="ES245" s="312"/>
      <c r="ET245" s="312"/>
      <c r="EU245" s="312"/>
      <c r="EV245" s="312"/>
      <c r="EW245" s="312"/>
      <c r="EX245" s="312"/>
      <c r="EY245" s="312"/>
      <c r="EZ245" s="312"/>
      <c r="FA245" s="312"/>
      <c r="FB245" s="312"/>
      <c r="FC245" s="312"/>
      <c r="FD245" s="312"/>
      <c r="FE245" s="312"/>
      <c r="FF245" s="312"/>
      <c r="FG245" s="312"/>
      <c r="FH245" s="312"/>
      <c r="FI245" s="312"/>
      <c r="FJ245" s="312"/>
      <c r="FK245" s="312"/>
      <c r="FL245" s="312"/>
      <c r="FM245" s="312"/>
      <c r="FN245" s="312"/>
      <c r="FO245" s="312"/>
      <c r="FP245" s="312"/>
      <c r="FQ245" s="312"/>
      <c r="FR245" s="312"/>
      <c r="FS245" s="312"/>
      <c r="FT245" s="312"/>
      <c r="FU245" s="312"/>
      <c r="FV245" s="312"/>
      <c r="FW245" s="312"/>
      <c r="FX245" s="312"/>
      <c r="FY245" s="312"/>
      <c r="FZ245" s="312"/>
      <c r="GA245" s="312"/>
      <c r="GB245" s="312"/>
      <c r="GC245" s="312"/>
      <c r="GD245" s="312"/>
      <c r="GE245" s="312"/>
      <c r="GF245" s="312"/>
      <c r="GG245" s="312"/>
      <c r="GH245" s="312"/>
      <c r="GI245" s="312"/>
      <c r="GJ245" s="312"/>
      <c r="GK245" s="312"/>
      <c r="GL245" s="312"/>
      <c r="GM245" s="312"/>
      <c r="GN245" s="312"/>
      <c r="GO245" s="312"/>
      <c r="GP245" s="312"/>
      <c r="GQ245" s="312"/>
      <c r="GR245" s="312"/>
      <c r="GS245" s="312"/>
      <c r="GT245" s="312"/>
      <c r="GU245" s="312"/>
      <c r="GV245" s="312"/>
      <c r="GW245" s="312"/>
      <c r="GX245" s="312"/>
      <c r="GY245" s="312"/>
    </row>
    <row r="246" spans="2:207" ht="15.75" x14ac:dyDescent="0.25">
      <c r="B246" s="316">
        <f t="shared" si="58"/>
        <v>216</v>
      </c>
      <c r="C246" s="330">
        <f>'סיכום לוועדה'!B246</f>
        <v>1001350100</v>
      </c>
      <c r="D246" s="330">
        <f>'סיכום לוועדה'!C246</f>
        <v>1001275329</v>
      </c>
      <c r="E246" s="330">
        <f>'סיכום לוועדה'!D246</f>
        <v>41375690</v>
      </c>
      <c r="F246" s="330">
        <f>'סיכום לוועדה'!E246</f>
        <v>20000201</v>
      </c>
      <c r="G246" s="330" t="str">
        <f>'סיכום לוועדה'!F246</f>
        <v>תל אביב -יפו</v>
      </c>
      <c r="H246" s="317" t="str">
        <f>'סיכום לוועדה'!G246</f>
        <v>העמותה ליצירה פנטסטית וספקולטיבית ב</v>
      </c>
      <c r="I246" s="318">
        <f>'סיכום לוועדה'!U246</f>
        <v>20000</v>
      </c>
      <c r="J246" s="319">
        <f>'סיכום לוועדה'!T246</f>
        <v>3357.8969821519477</v>
      </c>
      <c r="K246" s="320">
        <f t="shared" si="59"/>
        <v>0</v>
      </c>
      <c r="L246" s="319">
        <f t="shared" si="60"/>
        <v>3357.8969821519477</v>
      </c>
      <c r="M246" s="331">
        <f>'תחום תמיכה ב'!AF246</f>
        <v>1.7928119309712983E-5</v>
      </c>
      <c r="N246" s="319">
        <f t="shared" si="57"/>
        <v>3663.2937442398338</v>
      </c>
      <c r="O246" s="321">
        <f t="shared" si="61"/>
        <v>0</v>
      </c>
      <c r="P246" s="322">
        <f t="shared" si="62"/>
        <v>3663.2937442398338</v>
      </c>
      <c r="Q246" s="322">
        <f t="shared" si="63"/>
        <v>3664.9617386315781</v>
      </c>
      <c r="R246" s="321">
        <f t="shared" si="64"/>
        <v>0</v>
      </c>
      <c r="S246" s="322">
        <f t="shared" si="65"/>
        <v>3664.9617386315781</v>
      </c>
      <c r="T246" s="322">
        <f t="shared" si="66"/>
        <v>3664.9617386315708</v>
      </c>
      <c r="U246" s="321">
        <f t="shared" si="67"/>
        <v>0</v>
      </c>
      <c r="V246" s="322">
        <f t="shared" si="68"/>
        <v>3664.9617386315708</v>
      </c>
      <c r="W246" s="322">
        <f t="shared" si="69"/>
        <v>3664.9617386315722</v>
      </c>
      <c r="X246" s="321">
        <f t="shared" si="70"/>
        <v>0</v>
      </c>
      <c r="Y246" s="322">
        <f t="shared" si="71"/>
        <v>3664.9617386315722</v>
      </c>
      <c r="Z246" s="322">
        <f t="shared" si="72"/>
        <v>3664.9617386315713</v>
      </c>
      <c r="AA246" s="323">
        <f t="shared" si="73"/>
        <v>3664.9617386315713</v>
      </c>
      <c r="AB246" s="323"/>
      <c r="AC246" s="323"/>
      <c r="AD246" s="323"/>
      <c r="AE246" s="323"/>
      <c r="AF246" s="324">
        <f t="shared" si="74"/>
        <v>2.0988442661634412E-5</v>
      </c>
      <c r="AG246" s="312"/>
      <c r="AH246" s="312"/>
      <c r="AI246" s="325">
        <f t="shared" si="75"/>
        <v>1</v>
      </c>
      <c r="AJ246" s="312"/>
      <c r="AK246" s="312"/>
      <c r="AL246" s="312"/>
      <c r="AM246" s="312"/>
      <c r="AN246" s="312"/>
      <c r="AO246" s="312"/>
      <c r="AP246" s="312"/>
      <c r="AQ246" s="312"/>
      <c r="AR246" s="312"/>
      <c r="AS246" s="312"/>
      <c r="AT246" s="312"/>
      <c r="AU246" s="312"/>
      <c r="AV246" s="312"/>
      <c r="AW246" s="312"/>
      <c r="AX246" s="312"/>
      <c r="AY246" s="312"/>
      <c r="AZ246" s="312"/>
      <c r="BA246" s="312"/>
      <c r="BB246" s="312"/>
      <c r="BC246" s="312"/>
      <c r="BD246" s="312"/>
      <c r="BE246" s="312"/>
      <c r="BF246" s="312"/>
      <c r="BG246" s="312"/>
      <c r="BH246" s="312"/>
      <c r="BI246" s="312"/>
      <c r="BJ246" s="312"/>
      <c r="BK246" s="312"/>
      <c r="BL246" s="312"/>
      <c r="BM246" s="312"/>
      <c r="BN246" s="312"/>
      <c r="BO246" s="312"/>
      <c r="BP246" s="312"/>
      <c r="BQ246" s="312"/>
      <c r="BR246" s="312"/>
      <c r="BS246" s="312"/>
      <c r="BT246" s="312"/>
      <c r="BU246" s="312"/>
      <c r="BV246" s="312"/>
      <c r="BW246" s="312"/>
      <c r="BX246" s="312"/>
      <c r="BY246" s="312"/>
      <c r="BZ246" s="312"/>
      <c r="CA246" s="312"/>
      <c r="CB246" s="312"/>
      <c r="CC246" s="312"/>
      <c r="CD246" s="312"/>
      <c r="CE246" s="312"/>
      <c r="CF246" s="312"/>
      <c r="CG246" s="312"/>
      <c r="CH246" s="312"/>
      <c r="CI246" s="312"/>
      <c r="CJ246" s="312"/>
      <c r="CK246" s="312"/>
      <c r="CL246" s="312"/>
      <c r="CM246" s="312"/>
      <c r="CN246" s="312"/>
      <c r="CO246" s="312"/>
      <c r="CP246" s="312"/>
      <c r="CQ246" s="312"/>
      <c r="CR246" s="312"/>
      <c r="CS246" s="312"/>
      <c r="CT246" s="312"/>
      <c r="CU246" s="312"/>
      <c r="CV246" s="312"/>
      <c r="CW246" s="312"/>
      <c r="CX246" s="312"/>
      <c r="CY246" s="312"/>
      <c r="CZ246" s="312"/>
      <c r="DA246" s="312"/>
      <c r="DB246" s="312"/>
      <c r="DC246" s="312"/>
      <c r="DD246" s="312"/>
      <c r="DE246" s="312"/>
      <c r="DF246" s="312"/>
      <c r="DG246" s="312"/>
      <c r="DH246" s="312"/>
      <c r="DI246" s="312"/>
      <c r="DJ246" s="312"/>
      <c r="DK246" s="312"/>
      <c r="DL246" s="312"/>
      <c r="DM246" s="312"/>
      <c r="DN246" s="312"/>
      <c r="DO246" s="312"/>
      <c r="DP246" s="312"/>
      <c r="DQ246" s="312"/>
      <c r="DR246" s="312"/>
      <c r="DS246" s="312"/>
      <c r="DT246" s="312"/>
      <c r="DU246" s="312"/>
      <c r="DV246" s="312"/>
      <c r="DW246" s="312"/>
      <c r="DX246" s="312"/>
      <c r="DY246" s="312"/>
      <c r="DZ246" s="312"/>
      <c r="EA246" s="312"/>
      <c r="EB246" s="312"/>
      <c r="EC246" s="312"/>
      <c r="ED246" s="312"/>
      <c r="EE246" s="312"/>
      <c r="EF246" s="312"/>
      <c r="EG246" s="312"/>
      <c r="EH246" s="312"/>
      <c r="EI246" s="312"/>
      <c r="EJ246" s="312"/>
      <c r="EK246" s="312"/>
      <c r="EL246" s="312"/>
      <c r="EM246" s="312"/>
      <c r="EN246" s="312"/>
      <c r="EO246" s="312"/>
      <c r="EP246" s="312"/>
      <c r="EQ246" s="312"/>
      <c r="ER246" s="312"/>
      <c r="ES246" s="312"/>
      <c r="ET246" s="312"/>
      <c r="EU246" s="312"/>
      <c r="EV246" s="312"/>
      <c r="EW246" s="312"/>
      <c r="EX246" s="312"/>
      <c r="EY246" s="312"/>
      <c r="EZ246" s="312"/>
      <c r="FA246" s="312"/>
      <c r="FB246" s="312"/>
      <c r="FC246" s="312"/>
      <c r="FD246" s="312"/>
      <c r="FE246" s="312"/>
      <c r="FF246" s="312"/>
      <c r="FG246" s="312"/>
      <c r="FH246" s="312"/>
      <c r="FI246" s="312"/>
      <c r="FJ246" s="312"/>
      <c r="FK246" s="312"/>
      <c r="FL246" s="312"/>
      <c r="FM246" s="312"/>
      <c r="FN246" s="312"/>
      <c r="FO246" s="312"/>
      <c r="FP246" s="312"/>
      <c r="FQ246" s="312"/>
      <c r="FR246" s="312"/>
      <c r="FS246" s="312"/>
      <c r="FT246" s="312"/>
      <c r="FU246" s="312"/>
      <c r="FV246" s="312"/>
      <c r="FW246" s="312"/>
      <c r="FX246" s="312"/>
      <c r="FY246" s="312"/>
      <c r="FZ246" s="312"/>
      <c r="GA246" s="312"/>
      <c r="GB246" s="312"/>
      <c r="GC246" s="312"/>
      <c r="GD246" s="312"/>
      <c r="GE246" s="312"/>
      <c r="GF246" s="312"/>
      <c r="GG246" s="312"/>
      <c r="GH246" s="312"/>
      <c r="GI246" s="312"/>
      <c r="GJ246" s="312"/>
      <c r="GK246" s="312"/>
      <c r="GL246" s="312"/>
      <c r="GM246" s="312"/>
      <c r="GN246" s="312"/>
      <c r="GO246" s="312"/>
      <c r="GP246" s="312"/>
      <c r="GQ246" s="312"/>
      <c r="GR246" s="312"/>
      <c r="GS246" s="312"/>
      <c r="GT246" s="312"/>
      <c r="GU246" s="312"/>
      <c r="GV246" s="312"/>
      <c r="GW246" s="312"/>
      <c r="GX246" s="312"/>
      <c r="GY246" s="312"/>
    </row>
    <row r="247" spans="2:207" ht="15.75" x14ac:dyDescent="0.25">
      <c r="B247" s="316">
        <f t="shared" si="58"/>
        <v>217</v>
      </c>
      <c r="C247" s="330">
        <f>'סיכום לוועדה'!B247</f>
        <v>1001350112</v>
      </c>
      <c r="D247" s="330">
        <f>'סיכום לוועדה'!C247</f>
        <v>1001277938</v>
      </c>
      <c r="E247" s="330">
        <f>'סיכום לוועדה'!D247</f>
        <v>41375690</v>
      </c>
      <c r="F247" s="330">
        <f>'סיכום לוועדה'!E247</f>
        <v>20000201</v>
      </c>
      <c r="G247" s="330" t="str">
        <f>'סיכום לוועדה'!F247</f>
        <v>תל אביב -יפו</v>
      </c>
      <c r="H247" s="317" t="str">
        <f>'סיכום לוועדה'!G247</f>
        <v>העמותה ליצירה פנטסטית וספקולטיבית ב</v>
      </c>
      <c r="I247" s="318">
        <f>'סיכום לוועדה'!U247</f>
        <v>120000</v>
      </c>
      <c r="J247" s="319">
        <f>'סיכום לוועדה'!T247</f>
        <v>48753.38907617738</v>
      </c>
      <c r="K247" s="320">
        <f t="shared" si="59"/>
        <v>0</v>
      </c>
      <c r="L247" s="319">
        <f t="shared" si="60"/>
        <v>48753.38907617738</v>
      </c>
      <c r="M247" s="331">
        <f>'תחום תמיכה ב'!AF247</f>
        <v>3.2802745393173454E-4</v>
      </c>
      <c r="N247" s="319">
        <f t="shared" si="57"/>
        <v>54341.176650326939</v>
      </c>
      <c r="O247" s="321">
        <f t="shared" si="61"/>
        <v>0</v>
      </c>
      <c r="P247" s="322">
        <f t="shared" si="62"/>
        <v>54341.176650326939</v>
      </c>
      <c r="Q247" s="322">
        <f t="shared" si="63"/>
        <v>54365.919623241978</v>
      </c>
      <c r="R247" s="321">
        <f t="shared" si="64"/>
        <v>0</v>
      </c>
      <c r="S247" s="322">
        <f t="shared" si="65"/>
        <v>54365.919623241978</v>
      </c>
      <c r="T247" s="322">
        <f t="shared" si="66"/>
        <v>54365.919623241869</v>
      </c>
      <c r="U247" s="321">
        <f t="shared" si="67"/>
        <v>0</v>
      </c>
      <c r="V247" s="322">
        <f t="shared" si="68"/>
        <v>54365.919623241869</v>
      </c>
      <c r="W247" s="322">
        <f t="shared" si="69"/>
        <v>54365.919623241891</v>
      </c>
      <c r="X247" s="321">
        <f t="shared" si="70"/>
        <v>0</v>
      </c>
      <c r="Y247" s="322">
        <f t="shared" si="71"/>
        <v>54365.919623241891</v>
      </c>
      <c r="Z247" s="322">
        <f t="shared" si="72"/>
        <v>54365.919623241884</v>
      </c>
      <c r="AA247" s="323">
        <f t="shared" si="73"/>
        <v>54365.919623241884</v>
      </c>
      <c r="AB247" s="323"/>
      <c r="AC247" s="323"/>
      <c r="AD247" s="323"/>
      <c r="AE247" s="323"/>
      <c r="AF247" s="324">
        <f t="shared" si="74"/>
        <v>3.1134185515003122E-4</v>
      </c>
      <c r="AG247" s="312"/>
      <c r="AH247" s="312"/>
      <c r="AI247" s="325">
        <f t="shared" si="75"/>
        <v>1</v>
      </c>
      <c r="AJ247" s="312"/>
      <c r="AK247" s="312"/>
      <c r="AL247" s="312"/>
      <c r="AM247" s="312"/>
      <c r="AN247" s="312"/>
      <c r="AO247" s="312"/>
      <c r="AP247" s="312"/>
      <c r="AQ247" s="312"/>
      <c r="AR247" s="312"/>
      <c r="AS247" s="312"/>
      <c r="AT247" s="312"/>
      <c r="AU247" s="312"/>
      <c r="AV247" s="312"/>
      <c r="AW247" s="312"/>
      <c r="AX247" s="312"/>
      <c r="AY247" s="312"/>
      <c r="AZ247" s="312"/>
      <c r="BA247" s="312"/>
      <c r="BB247" s="312"/>
      <c r="BC247" s="312"/>
      <c r="BD247" s="312"/>
      <c r="BE247" s="312"/>
      <c r="BF247" s="312"/>
      <c r="BG247" s="312"/>
      <c r="BH247" s="312"/>
      <c r="BI247" s="312"/>
      <c r="BJ247" s="312"/>
      <c r="BK247" s="312"/>
      <c r="BL247" s="312"/>
      <c r="BM247" s="312"/>
      <c r="BN247" s="312"/>
      <c r="BO247" s="312"/>
      <c r="BP247" s="312"/>
      <c r="BQ247" s="312"/>
      <c r="BR247" s="312"/>
      <c r="BS247" s="312"/>
      <c r="BT247" s="312"/>
      <c r="BU247" s="312"/>
      <c r="BV247" s="312"/>
      <c r="BW247" s="312"/>
      <c r="BX247" s="312"/>
      <c r="BY247" s="312"/>
      <c r="BZ247" s="312"/>
      <c r="CA247" s="312"/>
      <c r="CB247" s="312"/>
      <c r="CC247" s="312"/>
      <c r="CD247" s="312"/>
      <c r="CE247" s="312"/>
      <c r="CF247" s="312"/>
      <c r="CG247" s="312"/>
      <c r="CH247" s="312"/>
      <c r="CI247" s="312"/>
      <c r="CJ247" s="312"/>
      <c r="CK247" s="312"/>
      <c r="CL247" s="312"/>
      <c r="CM247" s="312"/>
      <c r="CN247" s="312"/>
      <c r="CO247" s="312"/>
      <c r="CP247" s="312"/>
      <c r="CQ247" s="312"/>
      <c r="CR247" s="312"/>
      <c r="CS247" s="312"/>
      <c r="CT247" s="312"/>
      <c r="CU247" s="312"/>
      <c r="CV247" s="312"/>
      <c r="CW247" s="312"/>
      <c r="CX247" s="312"/>
      <c r="CY247" s="312"/>
      <c r="CZ247" s="312"/>
      <c r="DA247" s="312"/>
      <c r="DB247" s="312"/>
      <c r="DC247" s="312"/>
      <c r="DD247" s="312"/>
      <c r="DE247" s="312"/>
      <c r="DF247" s="312"/>
      <c r="DG247" s="312"/>
      <c r="DH247" s="312"/>
      <c r="DI247" s="312"/>
      <c r="DJ247" s="312"/>
      <c r="DK247" s="312"/>
      <c r="DL247" s="312"/>
      <c r="DM247" s="312"/>
      <c r="DN247" s="312"/>
      <c r="DO247" s="312"/>
      <c r="DP247" s="312"/>
      <c r="DQ247" s="312"/>
      <c r="DR247" s="312"/>
      <c r="DS247" s="312"/>
      <c r="DT247" s="312"/>
      <c r="DU247" s="312"/>
      <c r="DV247" s="312"/>
      <c r="DW247" s="312"/>
      <c r="DX247" s="312"/>
      <c r="DY247" s="312"/>
      <c r="DZ247" s="312"/>
      <c r="EA247" s="312"/>
      <c r="EB247" s="312"/>
      <c r="EC247" s="312"/>
      <c r="ED247" s="312"/>
      <c r="EE247" s="312"/>
      <c r="EF247" s="312"/>
      <c r="EG247" s="312"/>
      <c r="EH247" s="312"/>
      <c r="EI247" s="312"/>
      <c r="EJ247" s="312"/>
      <c r="EK247" s="312"/>
      <c r="EL247" s="312"/>
      <c r="EM247" s="312"/>
      <c r="EN247" s="312"/>
      <c r="EO247" s="312"/>
      <c r="EP247" s="312"/>
      <c r="EQ247" s="312"/>
      <c r="ER247" s="312"/>
      <c r="ES247" s="312"/>
      <c r="ET247" s="312"/>
      <c r="EU247" s="312"/>
      <c r="EV247" s="312"/>
      <c r="EW247" s="312"/>
      <c r="EX247" s="312"/>
      <c r="EY247" s="312"/>
      <c r="EZ247" s="312"/>
      <c r="FA247" s="312"/>
      <c r="FB247" s="312"/>
      <c r="FC247" s="312"/>
      <c r="FD247" s="312"/>
      <c r="FE247" s="312"/>
      <c r="FF247" s="312"/>
      <c r="FG247" s="312"/>
      <c r="FH247" s="312"/>
      <c r="FI247" s="312"/>
      <c r="FJ247" s="312"/>
      <c r="FK247" s="312"/>
      <c r="FL247" s="312"/>
      <c r="FM247" s="312"/>
      <c r="FN247" s="312"/>
      <c r="FO247" s="312"/>
      <c r="FP247" s="312"/>
      <c r="FQ247" s="312"/>
      <c r="FR247" s="312"/>
      <c r="FS247" s="312"/>
      <c r="FT247" s="312"/>
      <c r="FU247" s="312"/>
      <c r="FV247" s="312"/>
      <c r="FW247" s="312"/>
      <c r="FX247" s="312"/>
      <c r="FY247" s="312"/>
      <c r="FZ247" s="312"/>
      <c r="GA247" s="312"/>
      <c r="GB247" s="312"/>
      <c r="GC247" s="312"/>
      <c r="GD247" s="312"/>
      <c r="GE247" s="312"/>
      <c r="GF247" s="312"/>
      <c r="GG247" s="312"/>
      <c r="GH247" s="312"/>
      <c r="GI247" s="312"/>
      <c r="GJ247" s="312"/>
      <c r="GK247" s="312"/>
      <c r="GL247" s="312"/>
      <c r="GM247" s="312"/>
      <c r="GN247" s="312"/>
      <c r="GO247" s="312"/>
      <c r="GP247" s="312"/>
      <c r="GQ247" s="312"/>
      <c r="GR247" s="312"/>
      <c r="GS247" s="312"/>
      <c r="GT247" s="312"/>
      <c r="GU247" s="312"/>
      <c r="GV247" s="312"/>
      <c r="GW247" s="312"/>
      <c r="GX247" s="312"/>
      <c r="GY247" s="312"/>
    </row>
    <row r="248" spans="2:207" ht="15.75" x14ac:dyDescent="0.25">
      <c r="B248" s="316">
        <f t="shared" si="58"/>
        <v>218</v>
      </c>
      <c r="C248" s="330">
        <f>'סיכום לוועדה'!B248</f>
        <v>1001350278</v>
      </c>
      <c r="D248" s="330">
        <f>'סיכום לוועדה'!C248</f>
        <v>1001295236</v>
      </c>
      <c r="E248" s="330">
        <f>'סיכום לוועדה'!D248</f>
        <v>41375765</v>
      </c>
      <c r="F248" s="330">
        <f>'סיכום לוועדה'!E248</f>
        <v>20000159</v>
      </c>
      <c r="G248" s="330" t="str">
        <f>'סיכום לוועדה'!F248</f>
        <v>ירושלים</v>
      </c>
      <c r="H248" s="317" t="str">
        <f>'סיכום לוועדה'!G248</f>
        <v>התיאטרון החברתי משו משו (ע"ר)</v>
      </c>
      <c r="I248" s="318">
        <f>'סיכום לוועדה'!U248</f>
        <v>100000</v>
      </c>
      <c r="J248" s="319">
        <f>'סיכום לוועדה'!T248</f>
        <v>6251.6450998931105</v>
      </c>
      <c r="K248" s="320">
        <f t="shared" si="59"/>
        <v>0</v>
      </c>
      <c r="L248" s="319">
        <f t="shared" si="60"/>
        <v>6251.6450998931105</v>
      </c>
      <c r="M248" s="331">
        <f>'תחום תמיכה ב'!AF248</f>
        <v>3.4203221392872606E-5</v>
      </c>
      <c r="N248" s="319">
        <f t="shared" si="57"/>
        <v>6834.2802824188811</v>
      </c>
      <c r="O248" s="321">
        <f t="shared" si="61"/>
        <v>0</v>
      </c>
      <c r="P248" s="322">
        <f t="shared" si="62"/>
        <v>6834.2802824188811</v>
      </c>
      <c r="Q248" s="322">
        <f t="shared" si="63"/>
        <v>6837.3921107292936</v>
      </c>
      <c r="R248" s="321">
        <f t="shared" si="64"/>
        <v>0</v>
      </c>
      <c r="S248" s="322">
        <f t="shared" si="65"/>
        <v>6837.3921107292936</v>
      </c>
      <c r="T248" s="322">
        <f t="shared" si="66"/>
        <v>6837.3921107292799</v>
      </c>
      <c r="U248" s="321">
        <f t="shared" si="67"/>
        <v>0</v>
      </c>
      <c r="V248" s="322">
        <f t="shared" si="68"/>
        <v>6837.3921107292799</v>
      </c>
      <c r="W248" s="322">
        <f t="shared" si="69"/>
        <v>6837.3921107292817</v>
      </c>
      <c r="X248" s="321">
        <f t="shared" si="70"/>
        <v>0</v>
      </c>
      <c r="Y248" s="322">
        <f t="shared" si="71"/>
        <v>6837.3921107292817</v>
      </c>
      <c r="Z248" s="322">
        <f t="shared" si="72"/>
        <v>6837.3921107292808</v>
      </c>
      <c r="AA248" s="323">
        <f t="shared" si="73"/>
        <v>6837.3921107292808</v>
      </c>
      <c r="AB248" s="323"/>
      <c r="AC248" s="323"/>
      <c r="AD248" s="323"/>
      <c r="AE248" s="323"/>
      <c r="AF248" s="324">
        <f t="shared" si="74"/>
        <v>3.9156264786746602E-5</v>
      </c>
      <c r="AG248" s="312"/>
      <c r="AH248" s="312"/>
      <c r="AI248" s="325">
        <f t="shared" si="75"/>
        <v>1</v>
      </c>
      <c r="AJ248" s="312"/>
      <c r="AK248" s="312"/>
      <c r="AL248" s="312"/>
      <c r="AM248" s="312"/>
      <c r="AN248" s="312"/>
      <c r="AO248" s="312"/>
      <c r="AP248" s="312"/>
      <c r="AQ248" s="312"/>
      <c r="AR248" s="312"/>
      <c r="AS248" s="312"/>
      <c r="AT248" s="312"/>
      <c r="AU248" s="312"/>
      <c r="AV248" s="312"/>
      <c r="AW248" s="312"/>
      <c r="AX248" s="312"/>
      <c r="AY248" s="312"/>
      <c r="AZ248" s="312"/>
      <c r="BA248" s="312"/>
      <c r="BB248" s="312"/>
      <c r="BC248" s="312"/>
      <c r="BD248" s="312"/>
      <c r="BE248" s="312"/>
      <c r="BF248" s="312"/>
      <c r="BG248" s="312"/>
      <c r="BH248" s="312"/>
      <c r="BI248" s="312"/>
      <c r="BJ248" s="312"/>
      <c r="BK248" s="312"/>
      <c r="BL248" s="312"/>
      <c r="BM248" s="312"/>
      <c r="BN248" s="312"/>
      <c r="BO248" s="312"/>
      <c r="BP248" s="312"/>
      <c r="BQ248" s="312"/>
      <c r="BR248" s="312"/>
      <c r="BS248" s="312"/>
      <c r="BT248" s="312"/>
      <c r="BU248" s="312"/>
      <c r="BV248" s="312"/>
      <c r="BW248" s="312"/>
      <c r="BX248" s="312"/>
      <c r="BY248" s="312"/>
      <c r="BZ248" s="312"/>
      <c r="CA248" s="312"/>
      <c r="CB248" s="312"/>
      <c r="CC248" s="312"/>
      <c r="CD248" s="312"/>
      <c r="CE248" s="312"/>
      <c r="CF248" s="312"/>
      <c r="CG248" s="312"/>
      <c r="CH248" s="312"/>
      <c r="CI248" s="312"/>
      <c r="CJ248" s="312"/>
      <c r="CK248" s="312"/>
      <c r="CL248" s="312"/>
      <c r="CM248" s="312"/>
      <c r="CN248" s="312"/>
      <c r="CO248" s="312"/>
      <c r="CP248" s="312"/>
      <c r="CQ248" s="312"/>
      <c r="CR248" s="312"/>
      <c r="CS248" s="312"/>
      <c r="CT248" s="312"/>
      <c r="CU248" s="312"/>
      <c r="CV248" s="312"/>
      <c r="CW248" s="312"/>
      <c r="CX248" s="312"/>
      <c r="CY248" s="312"/>
      <c r="CZ248" s="312"/>
      <c r="DA248" s="312"/>
      <c r="DB248" s="312"/>
      <c r="DC248" s="312"/>
      <c r="DD248" s="312"/>
      <c r="DE248" s="312"/>
      <c r="DF248" s="312"/>
      <c r="DG248" s="312"/>
      <c r="DH248" s="312"/>
      <c r="DI248" s="312"/>
      <c r="DJ248" s="312"/>
      <c r="DK248" s="312"/>
      <c r="DL248" s="312"/>
      <c r="DM248" s="312"/>
      <c r="DN248" s="312"/>
      <c r="DO248" s="312"/>
      <c r="DP248" s="312"/>
      <c r="DQ248" s="312"/>
      <c r="DR248" s="312"/>
      <c r="DS248" s="312"/>
      <c r="DT248" s="312"/>
      <c r="DU248" s="312"/>
      <c r="DV248" s="312"/>
      <c r="DW248" s="312"/>
      <c r="DX248" s="312"/>
      <c r="DY248" s="312"/>
      <c r="DZ248" s="312"/>
      <c r="EA248" s="312"/>
      <c r="EB248" s="312"/>
      <c r="EC248" s="312"/>
      <c r="ED248" s="312"/>
      <c r="EE248" s="312"/>
      <c r="EF248" s="312"/>
      <c r="EG248" s="312"/>
      <c r="EH248" s="312"/>
      <c r="EI248" s="312"/>
      <c r="EJ248" s="312"/>
      <c r="EK248" s="312"/>
      <c r="EL248" s="312"/>
      <c r="EM248" s="312"/>
      <c r="EN248" s="312"/>
      <c r="EO248" s="312"/>
      <c r="EP248" s="312"/>
      <c r="EQ248" s="312"/>
      <c r="ER248" s="312"/>
      <c r="ES248" s="312"/>
      <c r="ET248" s="312"/>
      <c r="EU248" s="312"/>
      <c r="EV248" s="312"/>
      <c r="EW248" s="312"/>
      <c r="EX248" s="312"/>
      <c r="EY248" s="312"/>
      <c r="EZ248" s="312"/>
      <c r="FA248" s="312"/>
      <c r="FB248" s="312"/>
      <c r="FC248" s="312"/>
      <c r="FD248" s="312"/>
      <c r="FE248" s="312"/>
      <c r="FF248" s="312"/>
      <c r="FG248" s="312"/>
      <c r="FH248" s="312"/>
      <c r="FI248" s="312"/>
      <c r="FJ248" s="312"/>
      <c r="FK248" s="312"/>
      <c r="FL248" s="312"/>
      <c r="FM248" s="312"/>
      <c r="FN248" s="312"/>
      <c r="FO248" s="312"/>
      <c r="FP248" s="312"/>
      <c r="FQ248" s="312"/>
      <c r="FR248" s="312"/>
      <c r="FS248" s="312"/>
      <c r="FT248" s="312"/>
      <c r="FU248" s="312"/>
      <c r="FV248" s="312"/>
      <c r="FW248" s="312"/>
      <c r="FX248" s="312"/>
      <c r="FY248" s="312"/>
      <c r="FZ248" s="312"/>
      <c r="GA248" s="312"/>
      <c r="GB248" s="312"/>
      <c r="GC248" s="312"/>
      <c r="GD248" s="312"/>
      <c r="GE248" s="312"/>
      <c r="GF248" s="312"/>
      <c r="GG248" s="312"/>
      <c r="GH248" s="312"/>
      <c r="GI248" s="312"/>
      <c r="GJ248" s="312"/>
      <c r="GK248" s="312"/>
      <c r="GL248" s="312"/>
      <c r="GM248" s="312"/>
      <c r="GN248" s="312"/>
      <c r="GO248" s="312"/>
      <c r="GP248" s="312"/>
      <c r="GQ248" s="312"/>
      <c r="GR248" s="312"/>
      <c r="GS248" s="312"/>
      <c r="GT248" s="312"/>
      <c r="GU248" s="312"/>
      <c r="GV248" s="312"/>
      <c r="GW248" s="312"/>
      <c r="GX248" s="312"/>
      <c r="GY248" s="312"/>
    </row>
    <row r="249" spans="2:207" ht="15.75" x14ac:dyDescent="0.25">
      <c r="B249" s="316">
        <f t="shared" si="58"/>
        <v>219</v>
      </c>
      <c r="C249" s="330">
        <f>'סיכום לוועדה'!B249</f>
        <v>1001347067</v>
      </c>
      <c r="D249" s="330">
        <f>'סיכום לוועדה'!C249</f>
        <v>1001347067</v>
      </c>
      <c r="E249" s="330">
        <f>'סיכום לוועדה'!D249</f>
        <v>41446343</v>
      </c>
      <c r="F249" s="330">
        <f>'סיכום לוועדה'!E249</f>
        <v>20000253</v>
      </c>
      <c r="G249" s="330" t="str">
        <f>'סיכום לוועדה'!F249</f>
        <v>טמרה</v>
      </c>
      <c r="H249" s="317" t="str">
        <f>'סיכום לוועדה'!G249</f>
        <v>תיאטרון אלעין (ע"ר)</v>
      </c>
      <c r="I249" s="318">
        <f>'סיכום לוועדה'!U249</f>
        <v>500000</v>
      </c>
      <c r="J249" s="319">
        <f>'סיכום לוועדה'!T249</f>
        <v>148304.43576368294</v>
      </c>
      <c r="K249" s="320">
        <f t="shared" si="59"/>
        <v>0</v>
      </c>
      <c r="L249" s="319">
        <f t="shared" si="60"/>
        <v>148304.43576368294</v>
      </c>
      <c r="M249" s="331">
        <f>'תחום תמיכה ב'!AF249</f>
        <v>1.1250257790568149E-3</v>
      </c>
      <c r="N249" s="319">
        <f t="shared" si="57"/>
        <v>167468.70080754679</v>
      </c>
      <c r="O249" s="321">
        <f t="shared" si="61"/>
        <v>0</v>
      </c>
      <c r="P249" s="322">
        <f t="shared" si="62"/>
        <v>167468.70080754679</v>
      </c>
      <c r="Q249" s="322">
        <f t="shared" si="63"/>
        <v>167544.95372998278</v>
      </c>
      <c r="R249" s="321">
        <f t="shared" si="64"/>
        <v>0</v>
      </c>
      <c r="S249" s="322">
        <f t="shared" si="65"/>
        <v>167544.95372998278</v>
      </c>
      <c r="T249" s="322">
        <f t="shared" si="66"/>
        <v>167544.95372998246</v>
      </c>
      <c r="U249" s="321">
        <f t="shared" si="67"/>
        <v>0</v>
      </c>
      <c r="V249" s="322">
        <f t="shared" si="68"/>
        <v>167544.95372998246</v>
      </c>
      <c r="W249" s="322">
        <f t="shared" si="69"/>
        <v>167544.95372998252</v>
      </c>
      <c r="X249" s="321">
        <f t="shared" si="70"/>
        <v>0</v>
      </c>
      <c r="Y249" s="322">
        <f t="shared" si="71"/>
        <v>167544.95372998252</v>
      </c>
      <c r="Z249" s="322">
        <f t="shared" si="72"/>
        <v>167544.95372998249</v>
      </c>
      <c r="AA249" s="323">
        <f t="shared" si="73"/>
        <v>167544.95372998249</v>
      </c>
      <c r="AB249" s="323"/>
      <c r="AC249" s="323"/>
      <c r="AD249" s="323"/>
      <c r="AE249" s="323"/>
      <c r="AF249" s="324">
        <f t="shared" si="74"/>
        <v>9.5949368789888831E-4</v>
      </c>
      <c r="AG249" s="312"/>
      <c r="AH249" s="312"/>
      <c r="AI249" s="325">
        <f t="shared" si="75"/>
        <v>1</v>
      </c>
      <c r="AJ249" s="312"/>
      <c r="AK249" s="312"/>
      <c r="AL249" s="312"/>
      <c r="AM249" s="312"/>
      <c r="AN249" s="312"/>
      <c r="AO249" s="312"/>
      <c r="AP249" s="312"/>
      <c r="AQ249" s="312"/>
      <c r="AR249" s="312"/>
      <c r="AS249" s="312"/>
      <c r="AT249" s="312"/>
      <c r="AU249" s="312"/>
      <c r="AV249" s="312"/>
      <c r="AW249" s="312"/>
      <c r="AX249" s="312"/>
      <c r="AY249" s="312"/>
      <c r="AZ249" s="312"/>
      <c r="BA249" s="312"/>
      <c r="BB249" s="312"/>
      <c r="BC249" s="312"/>
      <c r="BD249" s="312"/>
      <c r="BE249" s="312"/>
      <c r="BF249" s="312"/>
      <c r="BG249" s="312"/>
      <c r="BH249" s="312"/>
      <c r="BI249" s="312"/>
      <c r="BJ249" s="312"/>
      <c r="BK249" s="312"/>
      <c r="BL249" s="312"/>
      <c r="BM249" s="312"/>
      <c r="BN249" s="312"/>
      <c r="BO249" s="312"/>
      <c r="BP249" s="312"/>
      <c r="BQ249" s="312"/>
      <c r="BR249" s="312"/>
      <c r="BS249" s="312"/>
      <c r="BT249" s="312"/>
      <c r="BU249" s="312"/>
      <c r="BV249" s="312"/>
      <c r="BW249" s="312"/>
      <c r="BX249" s="312"/>
      <c r="BY249" s="312"/>
      <c r="BZ249" s="312"/>
      <c r="CA249" s="312"/>
      <c r="CB249" s="312"/>
      <c r="CC249" s="312"/>
      <c r="CD249" s="312"/>
      <c r="CE249" s="312"/>
      <c r="CF249" s="312"/>
      <c r="CG249" s="312"/>
      <c r="CH249" s="312"/>
      <c r="CI249" s="312"/>
      <c r="CJ249" s="312"/>
      <c r="CK249" s="312"/>
      <c r="CL249" s="312"/>
      <c r="CM249" s="312"/>
      <c r="CN249" s="312"/>
      <c r="CO249" s="312"/>
      <c r="CP249" s="312"/>
      <c r="CQ249" s="312"/>
      <c r="CR249" s="312"/>
      <c r="CS249" s="312"/>
      <c r="CT249" s="312"/>
      <c r="CU249" s="312"/>
      <c r="CV249" s="312"/>
      <c r="CW249" s="312"/>
      <c r="CX249" s="312"/>
      <c r="CY249" s="312"/>
      <c r="CZ249" s="312"/>
      <c r="DA249" s="312"/>
      <c r="DB249" s="312"/>
      <c r="DC249" s="312"/>
      <c r="DD249" s="312"/>
      <c r="DE249" s="312"/>
      <c r="DF249" s="312"/>
      <c r="DG249" s="312"/>
      <c r="DH249" s="312"/>
      <c r="DI249" s="312"/>
      <c r="DJ249" s="312"/>
      <c r="DK249" s="312"/>
      <c r="DL249" s="312"/>
      <c r="DM249" s="312"/>
      <c r="DN249" s="312"/>
      <c r="DO249" s="312"/>
      <c r="DP249" s="312"/>
      <c r="DQ249" s="312"/>
      <c r="DR249" s="312"/>
      <c r="DS249" s="312"/>
      <c r="DT249" s="312"/>
      <c r="DU249" s="312"/>
      <c r="DV249" s="312"/>
      <c r="DW249" s="312"/>
      <c r="DX249" s="312"/>
      <c r="DY249" s="312"/>
      <c r="DZ249" s="312"/>
      <c r="EA249" s="312"/>
      <c r="EB249" s="312"/>
      <c r="EC249" s="312"/>
      <c r="ED249" s="312"/>
      <c r="EE249" s="312"/>
      <c r="EF249" s="312"/>
      <c r="EG249" s="312"/>
      <c r="EH249" s="312"/>
      <c r="EI249" s="312"/>
      <c r="EJ249" s="312"/>
      <c r="EK249" s="312"/>
      <c r="EL249" s="312"/>
      <c r="EM249" s="312"/>
      <c r="EN249" s="312"/>
      <c r="EO249" s="312"/>
      <c r="EP249" s="312"/>
      <c r="EQ249" s="312"/>
      <c r="ER249" s="312"/>
      <c r="ES249" s="312"/>
      <c r="ET249" s="312"/>
      <c r="EU249" s="312"/>
      <c r="EV249" s="312"/>
      <c r="EW249" s="312"/>
      <c r="EX249" s="312"/>
      <c r="EY249" s="312"/>
      <c r="EZ249" s="312"/>
      <c r="FA249" s="312"/>
      <c r="FB249" s="312"/>
      <c r="FC249" s="312"/>
      <c r="FD249" s="312"/>
      <c r="FE249" s="312"/>
      <c r="FF249" s="312"/>
      <c r="FG249" s="312"/>
      <c r="FH249" s="312"/>
      <c r="FI249" s="312"/>
      <c r="FJ249" s="312"/>
      <c r="FK249" s="312"/>
      <c r="FL249" s="312"/>
      <c r="FM249" s="312"/>
      <c r="FN249" s="312"/>
      <c r="FO249" s="312"/>
      <c r="FP249" s="312"/>
      <c r="FQ249" s="312"/>
      <c r="FR249" s="312"/>
      <c r="FS249" s="312"/>
      <c r="FT249" s="312"/>
      <c r="FU249" s="312"/>
      <c r="FV249" s="312"/>
      <c r="FW249" s="312"/>
      <c r="FX249" s="312"/>
      <c r="FY249" s="312"/>
      <c r="FZ249" s="312"/>
      <c r="GA249" s="312"/>
      <c r="GB249" s="312"/>
      <c r="GC249" s="312"/>
      <c r="GD249" s="312"/>
      <c r="GE249" s="312"/>
      <c r="GF249" s="312"/>
      <c r="GG249" s="312"/>
      <c r="GH249" s="312"/>
      <c r="GI249" s="312"/>
      <c r="GJ249" s="312"/>
      <c r="GK249" s="312"/>
      <c r="GL249" s="312"/>
      <c r="GM249" s="312"/>
      <c r="GN249" s="312"/>
      <c r="GO249" s="312"/>
      <c r="GP249" s="312"/>
      <c r="GQ249" s="312"/>
      <c r="GR249" s="312"/>
      <c r="GS249" s="312"/>
      <c r="GT249" s="312"/>
      <c r="GU249" s="312"/>
      <c r="GV249" s="312"/>
      <c r="GW249" s="312"/>
      <c r="GX249" s="312"/>
      <c r="GY249" s="312"/>
    </row>
    <row r="250" spans="2:207" ht="15.75" x14ac:dyDescent="0.25">
      <c r="B250" s="316">
        <f t="shared" si="58"/>
        <v>220</v>
      </c>
      <c r="C250" s="330">
        <f>'סיכום לוועדה'!B250</f>
        <v>1001346668</v>
      </c>
      <c r="D250" s="330">
        <f>'סיכום לוועדה'!C250</f>
        <v>1001265550</v>
      </c>
      <c r="E250" s="330">
        <f>'סיכום לוועדה'!D250</f>
        <v>41457607</v>
      </c>
      <c r="F250" s="330">
        <f>'סיכום לוועדה'!E250</f>
        <v>20000201</v>
      </c>
      <c r="G250" s="330" t="str">
        <f>'סיכום לוועדה'!F250</f>
        <v>תל אביב -יפו</v>
      </c>
      <c r="H250" s="317" t="str">
        <f>'סיכום לוועדה'!G250</f>
        <v>להקת המחול פרסקו (ע"ר)</v>
      </c>
      <c r="I250" s="318">
        <f>'סיכום לוועדה'!U250</f>
        <v>2000000</v>
      </c>
      <c r="J250" s="319">
        <f>'סיכום לוועדה'!T250</f>
        <v>240622.1889116563</v>
      </c>
      <c r="K250" s="320">
        <f t="shared" si="59"/>
        <v>0</v>
      </c>
      <c r="L250" s="319">
        <f t="shared" si="60"/>
        <v>240622.1889116563</v>
      </c>
      <c r="M250" s="331">
        <f>'תחום תמיכה ב'!AF250</f>
        <v>1.1248612793767461E-3</v>
      </c>
      <c r="N250" s="319">
        <f t="shared" si="57"/>
        <v>259783.65178375915</v>
      </c>
      <c r="O250" s="321">
        <f t="shared" si="61"/>
        <v>0</v>
      </c>
      <c r="P250" s="322">
        <f t="shared" si="62"/>
        <v>259783.65178375915</v>
      </c>
      <c r="Q250" s="322">
        <f t="shared" si="63"/>
        <v>259901.93814147305</v>
      </c>
      <c r="R250" s="321">
        <f t="shared" si="64"/>
        <v>0</v>
      </c>
      <c r="S250" s="322">
        <f t="shared" si="65"/>
        <v>259901.93814147305</v>
      </c>
      <c r="T250" s="322">
        <f t="shared" si="66"/>
        <v>259901.93814147252</v>
      </c>
      <c r="U250" s="321">
        <f t="shared" si="67"/>
        <v>0</v>
      </c>
      <c r="V250" s="322">
        <f t="shared" si="68"/>
        <v>259901.93814147252</v>
      </c>
      <c r="W250" s="322">
        <f t="shared" si="69"/>
        <v>259901.93814147261</v>
      </c>
      <c r="X250" s="321">
        <f t="shared" si="70"/>
        <v>0</v>
      </c>
      <c r="Y250" s="322">
        <f t="shared" si="71"/>
        <v>259901.93814147261</v>
      </c>
      <c r="Z250" s="322">
        <f t="shared" si="72"/>
        <v>259901.93814147255</v>
      </c>
      <c r="AA250" s="323">
        <f t="shared" si="73"/>
        <v>259901.93814147255</v>
      </c>
      <c r="AB250" s="323"/>
      <c r="AC250" s="323"/>
      <c r="AD250" s="323"/>
      <c r="AE250" s="323"/>
      <c r="AF250" s="324">
        <f t="shared" si="74"/>
        <v>1.4884021486038003E-3</v>
      </c>
      <c r="AG250" s="312"/>
      <c r="AH250" s="312"/>
      <c r="AI250" s="325">
        <f t="shared" si="75"/>
        <v>1</v>
      </c>
      <c r="AJ250" s="312"/>
      <c r="AK250" s="312"/>
      <c r="AL250" s="312"/>
      <c r="AM250" s="312"/>
      <c r="AN250" s="312"/>
      <c r="AO250" s="312"/>
      <c r="AP250" s="312"/>
      <c r="AQ250" s="312"/>
      <c r="AR250" s="312"/>
      <c r="AS250" s="312"/>
      <c r="AT250" s="312"/>
      <c r="AU250" s="312"/>
      <c r="AV250" s="312"/>
      <c r="AW250" s="312"/>
      <c r="AX250" s="312"/>
      <c r="AY250" s="312"/>
      <c r="AZ250" s="312"/>
      <c r="BA250" s="312"/>
      <c r="BB250" s="312"/>
      <c r="BC250" s="312"/>
      <c r="BD250" s="312"/>
      <c r="BE250" s="312"/>
      <c r="BF250" s="312"/>
      <c r="BG250" s="312"/>
      <c r="BH250" s="312"/>
      <c r="BI250" s="312"/>
      <c r="BJ250" s="312"/>
      <c r="BK250" s="312"/>
      <c r="BL250" s="312"/>
      <c r="BM250" s="312"/>
      <c r="BN250" s="312"/>
      <c r="BO250" s="312"/>
      <c r="BP250" s="312"/>
      <c r="BQ250" s="312"/>
      <c r="BR250" s="312"/>
      <c r="BS250" s="312"/>
      <c r="BT250" s="312"/>
      <c r="BU250" s="312"/>
      <c r="BV250" s="312"/>
      <c r="BW250" s="312"/>
      <c r="BX250" s="312"/>
      <c r="BY250" s="312"/>
      <c r="BZ250" s="312"/>
      <c r="CA250" s="312"/>
      <c r="CB250" s="312"/>
      <c r="CC250" s="312"/>
      <c r="CD250" s="312"/>
      <c r="CE250" s="312"/>
      <c r="CF250" s="312"/>
      <c r="CG250" s="312"/>
      <c r="CH250" s="312"/>
      <c r="CI250" s="312"/>
      <c r="CJ250" s="312"/>
      <c r="CK250" s="312"/>
      <c r="CL250" s="312"/>
      <c r="CM250" s="312"/>
      <c r="CN250" s="312"/>
      <c r="CO250" s="312"/>
      <c r="CP250" s="312"/>
      <c r="CQ250" s="312"/>
      <c r="CR250" s="312"/>
      <c r="CS250" s="312"/>
      <c r="CT250" s="312"/>
      <c r="CU250" s="312"/>
      <c r="CV250" s="312"/>
      <c r="CW250" s="312"/>
      <c r="CX250" s="312"/>
      <c r="CY250" s="312"/>
      <c r="CZ250" s="312"/>
      <c r="DA250" s="312"/>
      <c r="DB250" s="312"/>
      <c r="DC250" s="312"/>
      <c r="DD250" s="312"/>
      <c r="DE250" s="312"/>
      <c r="DF250" s="312"/>
      <c r="DG250" s="312"/>
      <c r="DH250" s="312"/>
      <c r="DI250" s="312"/>
      <c r="DJ250" s="312"/>
      <c r="DK250" s="312"/>
      <c r="DL250" s="312"/>
      <c r="DM250" s="312"/>
      <c r="DN250" s="312"/>
      <c r="DO250" s="312"/>
      <c r="DP250" s="312"/>
      <c r="DQ250" s="312"/>
      <c r="DR250" s="312"/>
      <c r="DS250" s="312"/>
      <c r="DT250" s="312"/>
      <c r="DU250" s="312"/>
      <c r="DV250" s="312"/>
      <c r="DW250" s="312"/>
      <c r="DX250" s="312"/>
      <c r="DY250" s="312"/>
      <c r="DZ250" s="312"/>
      <c r="EA250" s="312"/>
      <c r="EB250" s="312"/>
      <c r="EC250" s="312"/>
      <c r="ED250" s="312"/>
      <c r="EE250" s="312"/>
      <c r="EF250" s="312"/>
      <c r="EG250" s="312"/>
      <c r="EH250" s="312"/>
      <c r="EI250" s="312"/>
      <c r="EJ250" s="312"/>
      <c r="EK250" s="312"/>
      <c r="EL250" s="312"/>
      <c r="EM250" s="312"/>
      <c r="EN250" s="312"/>
      <c r="EO250" s="312"/>
      <c r="EP250" s="312"/>
      <c r="EQ250" s="312"/>
      <c r="ER250" s="312"/>
      <c r="ES250" s="312"/>
      <c r="ET250" s="312"/>
      <c r="EU250" s="312"/>
      <c r="EV250" s="312"/>
      <c r="EW250" s="312"/>
      <c r="EX250" s="312"/>
      <c r="EY250" s="312"/>
      <c r="EZ250" s="312"/>
      <c r="FA250" s="312"/>
      <c r="FB250" s="312"/>
      <c r="FC250" s="312"/>
      <c r="FD250" s="312"/>
      <c r="FE250" s="312"/>
      <c r="FF250" s="312"/>
      <c r="FG250" s="312"/>
      <c r="FH250" s="312"/>
      <c r="FI250" s="312"/>
      <c r="FJ250" s="312"/>
      <c r="FK250" s="312"/>
      <c r="FL250" s="312"/>
      <c r="FM250" s="312"/>
      <c r="FN250" s="312"/>
      <c r="FO250" s="312"/>
      <c r="FP250" s="312"/>
      <c r="FQ250" s="312"/>
      <c r="FR250" s="312"/>
      <c r="FS250" s="312"/>
      <c r="FT250" s="312"/>
      <c r="FU250" s="312"/>
      <c r="FV250" s="312"/>
      <c r="FW250" s="312"/>
      <c r="FX250" s="312"/>
      <c r="FY250" s="312"/>
      <c r="FZ250" s="312"/>
      <c r="GA250" s="312"/>
      <c r="GB250" s="312"/>
      <c r="GC250" s="312"/>
      <c r="GD250" s="312"/>
      <c r="GE250" s="312"/>
      <c r="GF250" s="312"/>
      <c r="GG250" s="312"/>
      <c r="GH250" s="312"/>
      <c r="GI250" s="312"/>
      <c r="GJ250" s="312"/>
      <c r="GK250" s="312"/>
      <c r="GL250" s="312"/>
      <c r="GM250" s="312"/>
      <c r="GN250" s="312"/>
      <c r="GO250" s="312"/>
      <c r="GP250" s="312"/>
      <c r="GQ250" s="312"/>
      <c r="GR250" s="312"/>
      <c r="GS250" s="312"/>
      <c r="GT250" s="312"/>
      <c r="GU250" s="312"/>
      <c r="GV250" s="312"/>
      <c r="GW250" s="312"/>
      <c r="GX250" s="312"/>
      <c r="GY250" s="312"/>
    </row>
    <row r="251" spans="2:207" ht="15.75" x14ac:dyDescent="0.25">
      <c r="B251" s="316">
        <f t="shared" si="58"/>
        <v>221</v>
      </c>
      <c r="C251" s="330">
        <f>'סיכום לוועדה'!B251</f>
        <v>1001348185</v>
      </c>
      <c r="D251" s="330">
        <f>'סיכום לוועדה'!C251</f>
        <v>1001265555</v>
      </c>
      <c r="E251" s="330">
        <f>'סיכום לוועדה'!D251</f>
        <v>41457607</v>
      </c>
      <c r="F251" s="330">
        <f>'סיכום לוועדה'!E251</f>
        <v>20000201</v>
      </c>
      <c r="G251" s="330" t="str">
        <f>'סיכום לוועדה'!F251</f>
        <v>תל אביב -יפו</v>
      </c>
      <c r="H251" s="317" t="str">
        <f>'סיכום לוועדה'!G251</f>
        <v>להקת המחול פרסקו (ע"ר)</v>
      </c>
      <c r="I251" s="318">
        <f>'סיכום לוועדה'!U251</f>
        <v>300000</v>
      </c>
      <c r="J251" s="319">
        <f>'סיכום לוועדה'!T251</f>
        <v>28256.218262266346</v>
      </c>
      <c r="K251" s="320">
        <f t="shared" si="59"/>
        <v>0</v>
      </c>
      <c r="L251" s="319">
        <f t="shared" si="60"/>
        <v>28256.218262266346</v>
      </c>
      <c r="M251" s="331">
        <f>'תחום תמיכה ב'!AF251</f>
        <v>1.5998493768474358E-4</v>
      </c>
      <c r="N251" s="319">
        <f t="shared" si="57"/>
        <v>30981.483590307893</v>
      </c>
      <c r="O251" s="321">
        <f t="shared" si="61"/>
        <v>0</v>
      </c>
      <c r="P251" s="322">
        <f t="shared" si="62"/>
        <v>30981.483590307893</v>
      </c>
      <c r="Q251" s="322">
        <f t="shared" si="63"/>
        <v>30995.590278027874</v>
      </c>
      <c r="R251" s="321">
        <f t="shared" si="64"/>
        <v>0</v>
      </c>
      <c r="S251" s="322">
        <f t="shared" si="65"/>
        <v>30995.590278027874</v>
      </c>
      <c r="T251" s="322">
        <f t="shared" si="66"/>
        <v>30995.590278027808</v>
      </c>
      <c r="U251" s="321">
        <f t="shared" si="67"/>
        <v>0</v>
      </c>
      <c r="V251" s="322">
        <f t="shared" si="68"/>
        <v>30995.590278027808</v>
      </c>
      <c r="W251" s="322">
        <f t="shared" si="69"/>
        <v>30995.590278027819</v>
      </c>
      <c r="X251" s="321">
        <f t="shared" si="70"/>
        <v>0</v>
      </c>
      <c r="Y251" s="322">
        <f t="shared" si="71"/>
        <v>30995.590278027819</v>
      </c>
      <c r="Z251" s="322">
        <f t="shared" si="72"/>
        <v>30995.590278027812</v>
      </c>
      <c r="AA251" s="323">
        <f t="shared" si="73"/>
        <v>30995.590278027812</v>
      </c>
      <c r="AB251" s="323"/>
      <c r="AC251" s="323"/>
      <c r="AD251" s="323"/>
      <c r="AE251" s="323"/>
      <c r="AF251" s="324">
        <f t="shared" si="74"/>
        <v>1.7750503708036054E-4</v>
      </c>
      <c r="AG251" s="312"/>
      <c r="AH251" s="312"/>
      <c r="AI251" s="325">
        <f t="shared" si="75"/>
        <v>1</v>
      </c>
      <c r="AJ251" s="312"/>
      <c r="AK251" s="312"/>
      <c r="AL251" s="312"/>
      <c r="AM251" s="312"/>
      <c r="AN251" s="312"/>
      <c r="AO251" s="312"/>
      <c r="AP251" s="312"/>
      <c r="AQ251" s="312"/>
      <c r="AR251" s="312"/>
      <c r="AS251" s="312"/>
      <c r="AT251" s="312"/>
      <c r="AU251" s="312"/>
      <c r="AV251" s="312"/>
      <c r="AW251" s="312"/>
      <c r="AX251" s="312"/>
      <c r="AY251" s="312"/>
      <c r="AZ251" s="312"/>
      <c r="BA251" s="312"/>
      <c r="BB251" s="312"/>
      <c r="BC251" s="312"/>
      <c r="BD251" s="312"/>
      <c r="BE251" s="312"/>
      <c r="BF251" s="312"/>
      <c r="BG251" s="312"/>
      <c r="BH251" s="312"/>
      <c r="BI251" s="312"/>
      <c r="BJ251" s="312"/>
      <c r="BK251" s="312"/>
      <c r="BL251" s="312"/>
      <c r="BM251" s="312"/>
      <c r="BN251" s="312"/>
      <c r="BO251" s="312"/>
      <c r="BP251" s="312"/>
      <c r="BQ251" s="312"/>
      <c r="BR251" s="312"/>
      <c r="BS251" s="312"/>
      <c r="BT251" s="312"/>
      <c r="BU251" s="312"/>
      <c r="BV251" s="312"/>
      <c r="BW251" s="312"/>
      <c r="BX251" s="312"/>
      <c r="BY251" s="312"/>
      <c r="BZ251" s="312"/>
      <c r="CA251" s="312"/>
      <c r="CB251" s="312"/>
      <c r="CC251" s="312"/>
      <c r="CD251" s="312"/>
      <c r="CE251" s="312"/>
      <c r="CF251" s="312"/>
      <c r="CG251" s="312"/>
      <c r="CH251" s="312"/>
      <c r="CI251" s="312"/>
      <c r="CJ251" s="312"/>
      <c r="CK251" s="312"/>
      <c r="CL251" s="312"/>
      <c r="CM251" s="312"/>
      <c r="CN251" s="312"/>
      <c r="CO251" s="312"/>
      <c r="CP251" s="312"/>
      <c r="CQ251" s="312"/>
      <c r="CR251" s="312"/>
      <c r="CS251" s="312"/>
      <c r="CT251" s="312"/>
      <c r="CU251" s="312"/>
      <c r="CV251" s="312"/>
      <c r="CW251" s="312"/>
      <c r="CX251" s="312"/>
      <c r="CY251" s="312"/>
      <c r="CZ251" s="312"/>
      <c r="DA251" s="312"/>
      <c r="DB251" s="312"/>
      <c r="DC251" s="312"/>
      <c r="DD251" s="312"/>
      <c r="DE251" s="312"/>
      <c r="DF251" s="312"/>
      <c r="DG251" s="312"/>
      <c r="DH251" s="312"/>
      <c r="DI251" s="312"/>
      <c r="DJ251" s="312"/>
      <c r="DK251" s="312"/>
      <c r="DL251" s="312"/>
      <c r="DM251" s="312"/>
      <c r="DN251" s="312"/>
      <c r="DO251" s="312"/>
      <c r="DP251" s="312"/>
      <c r="DQ251" s="312"/>
      <c r="DR251" s="312"/>
      <c r="DS251" s="312"/>
      <c r="DT251" s="312"/>
      <c r="DU251" s="312"/>
      <c r="DV251" s="312"/>
      <c r="DW251" s="312"/>
      <c r="DX251" s="312"/>
      <c r="DY251" s="312"/>
      <c r="DZ251" s="312"/>
      <c r="EA251" s="312"/>
      <c r="EB251" s="312"/>
      <c r="EC251" s="312"/>
      <c r="ED251" s="312"/>
      <c r="EE251" s="312"/>
      <c r="EF251" s="312"/>
      <c r="EG251" s="312"/>
      <c r="EH251" s="312"/>
      <c r="EI251" s="312"/>
      <c r="EJ251" s="312"/>
      <c r="EK251" s="312"/>
      <c r="EL251" s="312"/>
      <c r="EM251" s="312"/>
      <c r="EN251" s="312"/>
      <c r="EO251" s="312"/>
      <c r="EP251" s="312"/>
      <c r="EQ251" s="312"/>
      <c r="ER251" s="312"/>
      <c r="ES251" s="312"/>
      <c r="ET251" s="312"/>
      <c r="EU251" s="312"/>
      <c r="EV251" s="312"/>
      <c r="EW251" s="312"/>
      <c r="EX251" s="312"/>
      <c r="EY251" s="312"/>
      <c r="EZ251" s="312"/>
      <c r="FA251" s="312"/>
      <c r="FB251" s="312"/>
      <c r="FC251" s="312"/>
      <c r="FD251" s="312"/>
      <c r="FE251" s="312"/>
      <c r="FF251" s="312"/>
      <c r="FG251" s="312"/>
      <c r="FH251" s="312"/>
      <c r="FI251" s="312"/>
      <c r="FJ251" s="312"/>
      <c r="FK251" s="312"/>
      <c r="FL251" s="312"/>
      <c r="FM251" s="312"/>
      <c r="FN251" s="312"/>
      <c r="FO251" s="312"/>
      <c r="FP251" s="312"/>
      <c r="FQ251" s="312"/>
      <c r="FR251" s="312"/>
      <c r="FS251" s="312"/>
      <c r="FT251" s="312"/>
      <c r="FU251" s="312"/>
      <c r="FV251" s="312"/>
      <c r="FW251" s="312"/>
      <c r="FX251" s="312"/>
      <c r="FY251" s="312"/>
      <c r="FZ251" s="312"/>
      <c r="GA251" s="312"/>
      <c r="GB251" s="312"/>
      <c r="GC251" s="312"/>
      <c r="GD251" s="312"/>
      <c r="GE251" s="312"/>
      <c r="GF251" s="312"/>
      <c r="GG251" s="312"/>
      <c r="GH251" s="312"/>
      <c r="GI251" s="312"/>
      <c r="GJ251" s="312"/>
      <c r="GK251" s="312"/>
      <c r="GL251" s="312"/>
      <c r="GM251" s="312"/>
      <c r="GN251" s="312"/>
      <c r="GO251" s="312"/>
      <c r="GP251" s="312"/>
      <c r="GQ251" s="312"/>
      <c r="GR251" s="312"/>
      <c r="GS251" s="312"/>
      <c r="GT251" s="312"/>
      <c r="GU251" s="312"/>
      <c r="GV251" s="312"/>
      <c r="GW251" s="312"/>
      <c r="GX251" s="312"/>
      <c r="GY251" s="312"/>
    </row>
    <row r="252" spans="2:207" ht="15.75" x14ac:dyDescent="0.25">
      <c r="B252" s="316">
        <f t="shared" si="58"/>
        <v>222</v>
      </c>
      <c r="C252" s="330">
        <f>'סיכום לוועדה'!B252</f>
        <v>1001350356</v>
      </c>
      <c r="D252" s="330">
        <f>'סיכום לוועדה'!C252</f>
        <v>1001270272</v>
      </c>
      <c r="E252" s="330">
        <f>'סיכום לוועדה'!D252</f>
        <v>41476422</v>
      </c>
      <c r="F252" s="330">
        <f>'סיכום לוועדה'!E252</f>
        <v>20000147</v>
      </c>
      <c r="G252" s="330" t="str">
        <f>'סיכום לוועדה'!F252</f>
        <v>אילת</v>
      </c>
      <c r="H252" s="317" t="str">
        <f>'סיכום לוועדה'!G252</f>
        <v>אלעד - תיאטרון אילת והערבה (ע''ר)</v>
      </c>
      <c r="I252" s="318">
        <f>'סיכום לוועדה'!U252</f>
        <v>2000000</v>
      </c>
      <c r="J252" s="319">
        <f>'סיכום לוועדה'!T252</f>
        <v>158901.7384857439</v>
      </c>
      <c r="K252" s="320">
        <f t="shared" si="59"/>
        <v>0</v>
      </c>
      <c r="L252" s="319">
        <f t="shared" si="60"/>
        <v>158901.7384857439</v>
      </c>
      <c r="M252" s="331">
        <f>'תחום תמיכה ב'!AF252</f>
        <v>1.05656164834097E-3</v>
      </c>
      <c r="N252" s="319">
        <f t="shared" si="57"/>
        <v>176899.75047882326</v>
      </c>
      <c r="O252" s="321">
        <f t="shared" si="61"/>
        <v>0</v>
      </c>
      <c r="P252" s="322">
        <f t="shared" si="62"/>
        <v>176899.75047882326</v>
      </c>
      <c r="Q252" s="322">
        <f t="shared" si="63"/>
        <v>176980.29760725479</v>
      </c>
      <c r="R252" s="321">
        <f t="shared" si="64"/>
        <v>0</v>
      </c>
      <c r="S252" s="322">
        <f t="shared" si="65"/>
        <v>176980.29760725479</v>
      </c>
      <c r="T252" s="322">
        <f t="shared" si="66"/>
        <v>176980.29760725444</v>
      </c>
      <c r="U252" s="321">
        <f t="shared" si="67"/>
        <v>0</v>
      </c>
      <c r="V252" s="322">
        <f t="shared" si="68"/>
        <v>176980.29760725444</v>
      </c>
      <c r="W252" s="322">
        <f t="shared" si="69"/>
        <v>176980.2976072545</v>
      </c>
      <c r="X252" s="321">
        <f t="shared" si="70"/>
        <v>0</v>
      </c>
      <c r="Y252" s="322">
        <f t="shared" si="71"/>
        <v>176980.2976072545</v>
      </c>
      <c r="Z252" s="322">
        <f t="shared" si="72"/>
        <v>176980.29760725447</v>
      </c>
      <c r="AA252" s="323">
        <f t="shared" si="73"/>
        <v>176980.29760725447</v>
      </c>
      <c r="AB252" s="323"/>
      <c r="AC252" s="323"/>
      <c r="AD252" s="323"/>
      <c r="AE252" s="323"/>
      <c r="AF252" s="324">
        <f t="shared" si="74"/>
        <v>1.0135278601723669E-3</v>
      </c>
      <c r="AG252" s="312"/>
      <c r="AH252" s="312"/>
      <c r="AI252" s="325">
        <f t="shared" si="75"/>
        <v>1</v>
      </c>
      <c r="AJ252" s="312"/>
      <c r="AK252" s="312"/>
      <c r="AL252" s="312"/>
      <c r="AM252" s="312"/>
      <c r="AN252" s="312"/>
      <c r="AO252" s="312"/>
      <c r="AP252" s="312"/>
      <c r="AQ252" s="312"/>
      <c r="AR252" s="312"/>
      <c r="AS252" s="312"/>
      <c r="AT252" s="312"/>
      <c r="AU252" s="312"/>
      <c r="AV252" s="312"/>
      <c r="AW252" s="312"/>
      <c r="AX252" s="312"/>
      <c r="AY252" s="312"/>
      <c r="AZ252" s="312"/>
      <c r="BA252" s="312"/>
      <c r="BB252" s="312"/>
      <c r="BC252" s="312"/>
      <c r="BD252" s="312"/>
      <c r="BE252" s="312"/>
      <c r="BF252" s="312"/>
      <c r="BG252" s="312"/>
      <c r="BH252" s="312"/>
      <c r="BI252" s="312"/>
      <c r="BJ252" s="312"/>
      <c r="BK252" s="312"/>
      <c r="BL252" s="312"/>
      <c r="BM252" s="312"/>
      <c r="BN252" s="312"/>
      <c r="BO252" s="312"/>
      <c r="BP252" s="312"/>
      <c r="BQ252" s="312"/>
      <c r="BR252" s="312"/>
      <c r="BS252" s="312"/>
      <c r="BT252" s="312"/>
      <c r="BU252" s="312"/>
      <c r="BV252" s="312"/>
      <c r="BW252" s="312"/>
      <c r="BX252" s="312"/>
      <c r="BY252" s="312"/>
      <c r="BZ252" s="312"/>
      <c r="CA252" s="312"/>
      <c r="CB252" s="312"/>
      <c r="CC252" s="312"/>
      <c r="CD252" s="312"/>
      <c r="CE252" s="312"/>
      <c r="CF252" s="312"/>
      <c r="CG252" s="312"/>
      <c r="CH252" s="312"/>
      <c r="CI252" s="312"/>
      <c r="CJ252" s="312"/>
      <c r="CK252" s="312"/>
      <c r="CL252" s="312"/>
      <c r="CM252" s="312"/>
      <c r="CN252" s="312"/>
      <c r="CO252" s="312"/>
      <c r="CP252" s="312"/>
      <c r="CQ252" s="312"/>
      <c r="CR252" s="312"/>
      <c r="CS252" s="312"/>
      <c r="CT252" s="312"/>
      <c r="CU252" s="312"/>
      <c r="CV252" s="312"/>
      <c r="CW252" s="312"/>
      <c r="CX252" s="312"/>
      <c r="CY252" s="312"/>
      <c r="CZ252" s="312"/>
      <c r="DA252" s="312"/>
      <c r="DB252" s="312"/>
      <c r="DC252" s="312"/>
      <c r="DD252" s="312"/>
      <c r="DE252" s="312"/>
      <c r="DF252" s="312"/>
      <c r="DG252" s="312"/>
      <c r="DH252" s="312"/>
      <c r="DI252" s="312"/>
      <c r="DJ252" s="312"/>
      <c r="DK252" s="312"/>
      <c r="DL252" s="312"/>
      <c r="DM252" s="312"/>
      <c r="DN252" s="312"/>
      <c r="DO252" s="312"/>
      <c r="DP252" s="312"/>
      <c r="DQ252" s="312"/>
      <c r="DR252" s="312"/>
      <c r="DS252" s="312"/>
      <c r="DT252" s="312"/>
      <c r="DU252" s="312"/>
      <c r="DV252" s="312"/>
      <c r="DW252" s="312"/>
      <c r="DX252" s="312"/>
      <c r="DY252" s="312"/>
      <c r="DZ252" s="312"/>
      <c r="EA252" s="312"/>
      <c r="EB252" s="312"/>
      <c r="EC252" s="312"/>
      <c r="ED252" s="312"/>
      <c r="EE252" s="312"/>
      <c r="EF252" s="312"/>
      <c r="EG252" s="312"/>
      <c r="EH252" s="312"/>
      <c r="EI252" s="312"/>
      <c r="EJ252" s="312"/>
      <c r="EK252" s="312"/>
      <c r="EL252" s="312"/>
      <c r="EM252" s="312"/>
      <c r="EN252" s="312"/>
      <c r="EO252" s="312"/>
      <c r="EP252" s="312"/>
      <c r="EQ252" s="312"/>
      <c r="ER252" s="312"/>
      <c r="ES252" s="312"/>
      <c r="ET252" s="312"/>
      <c r="EU252" s="312"/>
      <c r="EV252" s="312"/>
      <c r="EW252" s="312"/>
      <c r="EX252" s="312"/>
      <c r="EY252" s="312"/>
      <c r="EZ252" s="312"/>
      <c r="FA252" s="312"/>
      <c r="FB252" s="312"/>
      <c r="FC252" s="312"/>
      <c r="FD252" s="312"/>
      <c r="FE252" s="312"/>
      <c r="FF252" s="312"/>
      <c r="FG252" s="312"/>
      <c r="FH252" s="312"/>
      <c r="FI252" s="312"/>
      <c r="FJ252" s="312"/>
      <c r="FK252" s="312"/>
      <c r="FL252" s="312"/>
      <c r="FM252" s="312"/>
      <c r="FN252" s="312"/>
      <c r="FO252" s="312"/>
      <c r="FP252" s="312"/>
      <c r="FQ252" s="312"/>
      <c r="FR252" s="312"/>
      <c r="FS252" s="312"/>
      <c r="FT252" s="312"/>
      <c r="FU252" s="312"/>
      <c r="FV252" s="312"/>
      <c r="FW252" s="312"/>
      <c r="FX252" s="312"/>
      <c r="FY252" s="312"/>
      <c r="FZ252" s="312"/>
      <c r="GA252" s="312"/>
      <c r="GB252" s="312"/>
      <c r="GC252" s="312"/>
      <c r="GD252" s="312"/>
      <c r="GE252" s="312"/>
      <c r="GF252" s="312"/>
      <c r="GG252" s="312"/>
      <c r="GH252" s="312"/>
      <c r="GI252" s="312"/>
      <c r="GJ252" s="312"/>
      <c r="GK252" s="312"/>
      <c r="GL252" s="312"/>
      <c r="GM252" s="312"/>
      <c r="GN252" s="312"/>
      <c r="GO252" s="312"/>
      <c r="GP252" s="312"/>
      <c r="GQ252" s="312"/>
      <c r="GR252" s="312"/>
      <c r="GS252" s="312"/>
      <c r="GT252" s="312"/>
      <c r="GU252" s="312"/>
      <c r="GV252" s="312"/>
      <c r="GW252" s="312"/>
      <c r="GX252" s="312"/>
      <c r="GY252" s="312"/>
    </row>
    <row r="253" spans="2:207" ht="15.75" x14ac:dyDescent="0.25">
      <c r="B253" s="316">
        <f t="shared" si="58"/>
        <v>223</v>
      </c>
      <c r="C253" s="330">
        <f>'סיכום לוועדה'!B253</f>
        <v>1001350854</v>
      </c>
      <c r="D253" s="330">
        <f>'סיכום לוועדה'!C253</f>
        <v>1001311678</v>
      </c>
      <c r="E253" s="330">
        <f>'סיכום לוועדה'!D253</f>
        <v>41378459</v>
      </c>
      <c r="F253" s="330">
        <f>'סיכום לוועדה'!E253</f>
        <v>20000201</v>
      </c>
      <c r="G253" s="330" t="str">
        <f>'סיכום לוועדה'!F253</f>
        <v>תל אביב -יפו</v>
      </c>
      <c r="H253" s="317" t="str">
        <f>'סיכום לוועדה'!G253</f>
        <v>עמותת תיאטרון גלבוע</v>
      </c>
      <c r="I253" s="318">
        <f>'סיכום לוועדה'!U253</f>
        <v>630000</v>
      </c>
      <c r="J253" s="319">
        <f>'סיכום לוועדה'!T253</f>
        <v>37004.633603952672</v>
      </c>
      <c r="K253" s="320">
        <f t="shared" si="59"/>
        <v>0</v>
      </c>
      <c r="L253" s="319">
        <f t="shared" si="60"/>
        <v>37004.633603952672</v>
      </c>
      <c r="M253" s="331">
        <f>'תחום תמיכה ב'!AF253</f>
        <v>1.7989200862504346E-4</v>
      </c>
      <c r="N253" s="319">
        <f t="shared" si="57"/>
        <v>40069.006169222819</v>
      </c>
      <c r="O253" s="321">
        <f t="shared" si="61"/>
        <v>0</v>
      </c>
      <c r="P253" s="322">
        <f t="shared" si="62"/>
        <v>40069.006169222819</v>
      </c>
      <c r="Q253" s="322">
        <f t="shared" si="63"/>
        <v>40087.250645980421</v>
      </c>
      <c r="R253" s="321">
        <f t="shared" si="64"/>
        <v>0</v>
      </c>
      <c r="S253" s="322">
        <f t="shared" si="65"/>
        <v>40087.250645980421</v>
      </c>
      <c r="T253" s="322">
        <f t="shared" si="66"/>
        <v>40087.250645980341</v>
      </c>
      <c r="U253" s="321">
        <f t="shared" si="67"/>
        <v>0</v>
      </c>
      <c r="V253" s="322">
        <f t="shared" si="68"/>
        <v>40087.250645980341</v>
      </c>
      <c r="W253" s="322">
        <f t="shared" si="69"/>
        <v>40087.250645980355</v>
      </c>
      <c r="X253" s="321">
        <f t="shared" si="70"/>
        <v>0</v>
      </c>
      <c r="Y253" s="322">
        <f t="shared" si="71"/>
        <v>40087.250645980355</v>
      </c>
      <c r="Z253" s="322">
        <f t="shared" si="72"/>
        <v>40087.250645980348</v>
      </c>
      <c r="AA253" s="323">
        <f t="shared" si="73"/>
        <v>40087.250645980348</v>
      </c>
      <c r="AB253" s="323"/>
      <c r="AC253" s="323"/>
      <c r="AD253" s="323"/>
      <c r="AE253" s="323"/>
      <c r="AF253" s="324">
        <f t="shared" si="74"/>
        <v>2.2957100828012385E-4</v>
      </c>
      <c r="AG253" s="312"/>
      <c r="AH253" s="312"/>
      <c r="AI253" s="325">
        <f t="shared" si="75"/>
        <v>1</v>
      </c>
      <c r="AJ253" s="312"/>
      <c r="AK253" s="312"/>
      <c r="AL253" s="312"/>
      <c r="AM253" s="312"/>
      <c r="AN253" s="312"/>
      <c r="AO253" s="312"/>
      <c r="AP253" s="312"/>
      <c r="AQ253" s="312"/>
      <c r="AR253" s="312"/>
      <c r="AS253" s="312"/>
      <c r="AT253" s="312"/>
      <c r="AU253" s="312"/>
      <c r="AV253" s="312"/>
      <c r="AW253" s="312"/>
      <c r="AX253" s="312"/>
      <c r="AY253" s="312"/>
      <c r="AZ253" s="312"/>
      <c r="BA253" s="312"/>
      <c r="BB253" s="312"/>
      <c r="BC253" s="312"/>
      <c r="BD253" s="312"/>
      <c r="BE253" s="312"/>
      <c r="BF253" s="312"/>
      <c r="BG253" s="312"/>
      <c r="BH253" s="312"/>
      <c r="BI253" s="312"/>
      <c r="BJ253" s="312"/>
      <c r="BK253" s="312"/>
      <c r="BL253" s="312"/>
      <c r="BM253" s="312"/>
      <c r="BN253" s="312"/>
      <c r="BO253" s="312"/>
      <c r="BP253" s="312"/>
      <c r="BQ253" s="312"/>
      <c r="BR253" s="312"/>
      <c r="BS253" s="312"/>
      <c r="BT253" s="312"/>
      <c r="BU253" s="312"/>
      <c r="BV253" s="312"/>
      <c r="BW253" s="312"/>
      <c r="BX253" s="312"/>
      <c r="BY253" s="312"/>
      <c r="BZ253" s="312"/>
      <c r="CA253" s="312"/>
      <c r="CB253" s="312"/>
      <c r="CC253" s="312"/>
      <c r="CD253" s="312"/>
      <c r="CE253" s="312"/>
      <c r="CF253" s="312"/>
      <c r="CG253" s="312"/>
      <c r="CH253" s="312"/>
      <c r="CI253" s="312"/>
      <c r="CJ253" s="312"/>
      <c r="CK253" s="312"/>
      <c r="CL253" s="312"/>
      <c r="CM253" s="312"/>
      <c r="CN253" s="312"/>
      <c r="CO253" s="312"/>
      <c r="CP253" s="312"/>
      <c r="CQ253" s="312"/>
      <c r="CR253" s="312"/>
      <c r="CS253" s="312"/>
      <c r="CT253" s="312"/>
      <c r="CU253" s="312"/>
      <c r="CV253" s="312"/>
      <c r="CW253" s="312"/>
      <c r="CX253" s="312"/>
      <c r="CY253" s="312"/>
      <c r="CZ253" s="312"/>
      <c r="DA253" s="312"/>
      <c r="DB253" s="312"/>
      <c r="DC253" s="312"/>
      <c r="DD253" s="312"/>
      <c r="DE253" s="312"/>
      <c r="DF253" s="312"/>
      <c r="DG253" s="312"/>
      <c r="DH253" s="312"/>
      <c r="DI253" s="312"/>
      <c r="DJ253" s="312"/>
      <c r="DK253" s="312"/>
      <c r="DL253" s="312"/>
      <c r="DM253" s="312"/>
      <c r="DN253" s="312"/>
      <c r="DO253" s="312"/>
      <c r="DP253" s="312"/>
      <c r="DQ253" s="312"/>
      <c r="DR253" s="312"/>
      <c r="DS253" s="312"/>
      <c r="DT253" s="312"/>
      <c r="DU253" s="312"/>
      <c r="DV253" s="312"/>
      <c r="DW253" s="312"/>
      <c r="DX253" s="312"/>
      <c r="DY253" s="312"/>
      <c r="DZ253" s="312"/>
      <c r="EA253" s="312"/>
      <c r="EB253" s="312"/>
      <c r="EC253" s="312"/>
      <c r="ED253" s="312"/>
      <c r="EE253" s="312"/>
      <c r="EF253" s="312"/>
      <c r="EG253" s="312"/>
      <c r="EH253" s="312"/>
      <c r="EI253" s="312"/>
      <c r="EJ253" s="312"/>
      <c r="EK253" s="312"/>
      <c r="EL253" s="312"/>
      <c r="EM253" s="312"/>
      <c r="EN253" s="312"/>
      <c r="EO253" s="312"/>
      <c r="EP253" s="312"/>
      <c r="EQ253" s="312"/>
      <c r="ER253" s="312"/>
      <c r="ES253" s="312"/>
      <c r="ET253" s="312"/>
      <c r="EU253" s="312"/>
      <c r="EV253" s="312"/>
      <c r="EW253" s="312"/>
      <c r="EX253" s="312"/>
      <c r="EY253" s="312"/>
      <c r="EZ253" s="312"/>
      <c r="FA253" s="312"/>
      <c r="FB253" s="312"/>
      <c r="FC253" s="312"/>
      <c r="FD253" s="312"/>
      <c r="FE253" s="312"/>
      <c r="FF253" s="312"/>
      <c r="FG253" s="312"/>
      <c r="FH253" s="312"/>
      <c r="FI253" s="312"/>
      <c r="FJ253" s="312"/>
      <c r="FK253" s="312"/>
      <c r="FL253" s="312"/>
      <c r="FM253" s="312"/>
      <c r="FN253" s="312"/>
      <c r="FO253" s="312"/>
      <c r="FP253" s="312"/>
      <c r="FQ253" s="312"/>
      <c r="FR253" s="312"/>
      <c r="FS253" s="312"/>
      <c r="FT253" s="312"/>
      <c r="FU253" s="312"/>
      <c r="FV253" s="312"/>
      <c r="FW253" s="312"/>
      <c r="FX253" s="312"/>
      <c r="FY253" s="312"/>
      <c r="FZ253" s="312"/>
      <c r="GA253" s="312"/>
      <c r="GB253" s="312"/>
      <c r="GC253" s="312"/>
      <c r="GD253" s="312"/>
      <c r="GE253" s="312"/>
      <c r="GF253" s="312"/>
      <c r="GG253" s="312"/>
      <c r="GH253" s="312"/>
      <c r="GI253" s="312"/>
      <c r="GJ253" s="312"/>
      <c r="GK253" s="312"/>
      <c r="GL253" s="312"/>
      <c r="GM253" s="312"/>
      <c r="GN253" s="312"/>
      <c r="GO253" s="312"/>
      <c r="GP253" s="312"/>
      <c r="GQ253" s="312"/>
      <c r="GR253" s="312"/>
      <c r="GS253" s="312"/>
      <c r="GT253" s="312"/>
      <c r="GU253" s="312"/>
      <c r="GV253" s="312"/>
      <c r="GW253" s="312"/>
      <c r="GX253" s="312"/>
      <c r="GY253" s="312"/>
    </row>
    <row r="254" spans="2:207" ht="15.75" x14ac:dyDescent="0.25">
      <c r="B254" s="316">
        <f t="shared" si="58"/>
        <v>224</v>
      </c>
      <c r="C254" s="330">
        <f>'סיכום לוועדה'!B254</f>
        <v>1001346584</v>
      </c>
      <c r="D254" s="330">
        <f>'סיכום לוועדה'!C254</f>
        <v>1001215908</v>
      </c>
      <c r="E254" s="330">
        <f>'סיכום לוועדה'!D254</f>
        <v>40235206</v>
      </c>
      <c r="F254" s="330">
        <f>'סיכום לוועדה'!E254</f>
        <v>20000127</v>
      </c>
      <c r="G254" s="330" t="str">
        <f>'סיכום לוועדה'!F254</f>
        <v>הגליל העליון</v>
      </c>
      <c r="H254" s="317" t="str">
        <f>'סיכום לוועדה'!G254</f>
        <v>מוזיאון האדם הקדמון</v>
      </c>
      <c r="I254" s="318">
        <f>'סיכום לוועדה'!U254</f>
        <v>60000</v>
      </c>
      <c r="J254" s="319">
        <f>'סיכום לוועדה'!T254</f>
        <v>22085.797904352672</v>
      </c>
      <c r="K254" s="320">
        <f t="shared" si="59"/>
        <v>0</v>
      </c>
      <c r="L254" s="319">
        <f t="shared" si="60"/>
        <v>22085.797904352672</v>
      </c>
      <c r="M254" s="331">
        <f>'תחום תמיכה ב'!AF254</f>
        <v>1.2550060721623244E-4</v>
      </c>
      <c r="N254" s="319">
        <f t="shared" si="57"/>
        <v>24223.639493968611</v>
      </c>
      <c r="O254" s="321">
        <f t="shared" si="61"/>
        <v>0</v>
      </c>
      <c r="P254" s="322">
        <f t="shared" si="62"/>
        <v>24223.639493968611</v>
      </c>
      <c r="Q254" s="322">
        <f t="shared" si="63"/>
        <v>24234.669156792432</v>
      </c>
      <c r="R254" s="321">
        <f t="shared" si="64"/>
        <v>0</v>
      </c>
      <c r="S254" s="322">
        <f t="shared" si="65"/>
        <v>24234.669156792432</v>
      </c>
      <c r="T254" s="322">
        <f t="shared" si="66"/>
        <v>24234.669156792384</v>
      </c>
      <c r="U254" s="321">
        <f t="shared" si="67"/>
        <v>0</v>
      </c>
      <c r="V254" s="322">
        <f t="shared" si="68"/>
        <v>24234.669156792384</v>
      </c>
      <c r="W254" s="322">
        <f t="shared" si="69"/>
        <v>24234.669156792392</v>
      </c>
      <c r="X254" s="321">
        <f t="shared" si="70"/>
        <v>0</v>
      </c>
      <c r="Y254" s="322">
        <f t="shared" si="71"/>
        <v>24234.669156792392</v>
      </c>
      <c r="Z254" s="322">
        <f t="shared" si="72"/>
        <v>24234.669156792388</v>
      </c>
      <c r="AA254" s="323">
        <f t="shared" si="73"/>
        <v>24234.669156792388</v>
      </c>
      <c r="AB254" s="323"/>
      <c r="AC254" s="323"/>
      <c r="AD254" s="323"/>
      <c r="AE254" s="323"/>
      <c r="AF254" s="324">
        <f t="shared" si="74"/>
        <v>1.3878670509966543E-4</v>
      </c>
      <c r="AG254" s="312"/>
      <c r="AH254" s="312"/>
      <c r="AI254" s="325">
        <f t="shared" si="75"/>
        <v>1</v>
      </c>
      <c r="AJ254" s="312"/>
      <c r="AK254" s="312"/>
      <c r="AL254" s="312"/>
      <c r="AM254" s="312"/>
      <c r="AN254" s="312"/>
      <c r="AO254" s="312"/>
      <c r="AP254" s="312"/>
      <c r="AQ254" s="312"/>
      <c r="AR254" s="312"/>
      <c r="AS254" s="312"/>
      <c r="AT254" s="312"/>
      <c r="AU254" s="312"/>
      <c r="AV254" s="312"/>
      <c r="AW254" s="312"/>
      <c r="AX254" s="312"/>
      <c r="AY254" s="312"/>
      <c r="AZ254" s="312"/>
      <c r="BA254" s="312"/>
      <c r="BB254" s="312"/>
      <c r="BC254" s="312"/>
      <c r="BD254" s="312"/>
      <c r="BE254" s="312"/>
      <c r="BF254" s="312"/>
      <c r="BG254" s="312"/>
      <c r="BH254" s="312"/>
      <c r="BI254" s="312"/>
      <c r="BJ254" s="312"/>
      <c r="BK254" s="312"/>
      <c r="BL254" s="312"/>
      <c r="BM254" s="312"/>
      <c r="BN254" s="312"/>
      <c r="BO254" s="312"/>
      <c r="BP254" s="312"/>
      <c r="BQ254" s="312"/>
      <c r="BR254" s="312"/>
      <c r="BS254" s="312"/>
      <c r="BT254" s="312"/>
      <c r="BU254" s="312"/>
      <c r="BV254" s="312"/>
      <c r="BW254" s="312"/>
      <c r="BX254" s="312"/>
      <c r="BY254" s="312"/>
      <c r="BZ254" s="312"/>
      <c r="CA254" s="312"/>
      <c r="CB254" s="312"/>
      <c r="CC254" s="312"/>
      <c r="CD254" s="312"/>
      <c r="CE254" s="312"/>
      <c r="CF254" s="312"/>
      <c r="CG254" s="312"/>
      <c r="CH254" s="312"/>
      <c r="CI254" s="312"/>
      <c r="CJ254" s="312"/>
      <c r="CK254" s="312"/>
      <c r="CL254" s="312"/>
      <c r="CM254" s="312"/>
      <c r="CN254" s="312"/>
      <c r="CO254" s="312"/>
      <c r="CP254" s="312"/>
      <c r="CQ254" s="312"/>
      <c r="CR254" s="312"/>
      <c r="CS254" s="312"/>
      <c r="CT254" s="312"/>
      <c r="CU254" s="312"/>
      <c r="CV254" s="312"/>
      <c r="CW254" s="312"/>
      <c r="CX254" s="312"/>
      <c r="CY254" s="312"/>
      <c r="CZ254" s="312"/>
      <c r="DA254" s="312"/>
      <c r="DB254" s="312"/>
      <c r="DC254" s="312"/>
      <c r="DD254" s="312"/>
      <c r="DE254" s="312"/>
      <c r="DF254" s="312"/>
      <c r="DG254" s="312"/>
      <c r="DH254" s="312"/>
      <c r="DI254" s="312"/>
      <c r="DJ254" s="312"/>
      <c r="DK254" s="312"/>
      <c r="DL254" s="312"/>
      <c r="DM254" s="312"/>
      <c r="DN254" s="312"/>
      <c r="DO254" s="312"/>
      <c r="DP254" s="312"/>
      <c r="DQ254" s="312"/>
      <c r="DR254" s="312"/>
      <c r="DS254" s="312"/>
      <c r="DT254" s="312"/>
      <c r="DU254" s="312"/>
      <c r="DV254" s="312"/>
      <c r="DW254" s="312"/>
      <c r="DX254" s="312"/>
      <c r="DY254" s="312"/>
      <c r="DZ254" s="312"/>
      <c r="EA254" s="312"/>
      <c r="EB254" s="312"/>
      <c r="EC254" s="312"/>
      <c r="ED254" s="312"/>
      <c r="EE254" s="312"/>
      <c r="EF254" s="312"/>
      <c r="EG254" s="312"/>
      <c r="EH254" s="312"/>
      <c r="EI254" s="312"/>
      <c r="EJ254" s="312"/>
      <c r="EK254" s="312"/>
      <c r="EL254" s="312"/>
      <c r="EM254" s="312"/>
      <c r="EN254" s="312"/>
      <c r="EO254" s="312"/>
      <c r="EP254" s="312"/>
      <c r="EQ254" s="312"/>
      <c r="ER254" s="312"/>
      <c r="ES254" s="312"/>
      <c r="ET254" s="312"/>
      <c r="EU254" s="312"/>
      <c r="EV254" s="312"/>
      <c r="EW254" s="312"/>
      <c r="EX254" s="312"/>
      <c r="EY254" s="312"/>
      <c r="EZ254" s="312"/>
      <c r="FA254" s="312"/>
      <c r="FB254" s="312"/>
      <c r="FC254" s="312"/>
      <c r="FD254" s="312"/>
      <c r="FE254" s="312"/>
      <c r="FF254" s="312"/>
      <c r="FG254" s="312"/>
      <c r="FH254" s="312"/>
      <c r="FI254" s="312"/>
      <c r="FJ254" s="312"/>
      <c r="FK254" s="312"/>
      <c r="FL254" s="312"/>
      <c r="FM254" s="312"/>
      <c r="FN254" s="312"/>
      <c r="FO254" s="312"/>
      <c r="FP254" s="312"/>
      <c r="FQ254" s="312"/>
      <c r="FR254" s="312"/>
      <c r="FS254" s="312"/>
      <c r="FT254" s="312"/>
      <c r="FU254" s="312"/>
      <c r="FV254" s="312"/>
      <c r="FW254" s="312"/>
      <c r="FX254" s="312"/>
      <c r="FY254" s="312"/>
      <c r="FZ254" s="312"/>
      <c r="GA254" s="312"/>
      <c r="GB254" s="312"/>
      <c r="GC254" s="312"/>
      <c r="GD254" s="312"/>
      <c r="GE254" s="312"/>
      <c r="GF254" s="312"/>
      <c r="GG254" s="312"/>
      <c r="GH254" s="312"/>
      <c r="GI254" s="312"/>
      <c r="GJ254" s="312"/>
      <c r="GK254" s="312"/>
      <c r="GL254" s="312"/>
      <c r="GM254" s="312"/>
      <c r="GN254" s="312"/>
      <c r="GO254" s="312"/>
      <c r="GP254" s="312"/>
      <c r="GQ254" s="312"/>
      <c r="GR254" s="312"/>
      <c r="GS254" s="312"/>
      <c r="GT254" s="312"/>
      <c r="GU254" s="312"/>
      <c r="GV254" s="312"/>
      <c r="GW254" s="312"/>
      <c r="GX254" s="312"/>
      <c r="GY254" s="312"/>
    </row>
    <row r="255" spans="2:207" ht="15.75" x14ac:dyDescent="0.25">
      <c r="B255" s="316">
        <f t="shared" si="58"/>
        <v>225</v>
      </c>
      <c r="C255" s="330">
        <f>'סיכום לוועדה'!B255</f>
        <v>1001346661</v>
      </c>
      <c r="D255" s="330">
        <f>'סיכום לוועדה'!C255</f>
        <v>1001263558</v>
      </c>
      <c r="E255" s="330">
        <f>'סיכום לוועדה'!D255</f>
        <v>40000294</v>
      </c>
      <c r="F255" s="330">
        <f>'סיכום לוועדה'!E255</f>
        <v>20000201</v>
      </c>
      <c r="G255" s="330" t="str">
        <f>'סיכום לוועדה'!F255</f>
        <v>תל אביב -יפו</v>
      </c>
      <c r="H255" s="317" t="str">
        <f>'סיכום לוועדה'!G255</f>
        <v>התזמורת הפילהרמונית הישראלית</v>
      </c>
      <c r="I255" s="318">
        <f>'סיכום לוועדה'!U255</f>
        <v>30000000</v>
      </c>
      <c r="J255" s="319">
        <f>'סיכום לוועדה'!T255</f>
        <v>12049093.980165131</v>
      </c>
      <c r="K255" s="320">
        <f t="shared" si="59"/>
        <v>0</v>
      </c>
      <c r="L255" s="319">
        <f t="shared" si="60"/>
        <v>12049093.980165131</v>
      </c>
      <c r="M255" s="331">
        <f>'תחום תמיכה ב'!AF255</f>
        <v>8.5909574349586931E-2</v>
      </c>
      <c r="N255" s="319">
        <f t="shared" si="57"/>
        <v>13512521.648481579</v>
      </c>
      <c r="O255" s="321">
        <f t="shared" si="61"/>
        <v>0</v>
      </c>
      <c r="P255" s="322">
        <f t="shared" si="62"/>
        <v>13512521.648481579</v>
      </c>
      <c r="Q255" s="322">
        <f t="shared" si="63"/>
        <v>13518674.256462699</v>
      </c>
      <c r="R255" s="321">
        <f t="shared" si="64"/>
        <v>0</v>
      </c>
      <c r="S255" s="322">
        <f t="shared" si="65"/>
        <v>13518674.256462699</v>
      </c>
      <c r="T255" s="322">
        <f t="shared" si="66"/>
        <v>13518674.256462671</v>
      </c>
      <c r="U255" s="321">
        <f t="shared" si="67"/>
        <v>0</v>
      </c>
      <c r="V255" s="322">
        <f t="shared" si="68"/>
        <v>13518674.256462671</v>
      </c>
      <c r="W255" s="322">
        <f t="shared" si="69"/>
        <v>13518674.256462676</v>
      </c>
      <c r="X255" s="321">
        <f t="shared" si="70"/>
        <v>0</v>
      </c>
      <c r="Y255" s="322">
        <f t="shared" si="71"/>
        <v>13518674.256462676</v>
      </c>
      <c r="Z255" s="322">
        <f t="shared" si="72"/>
        <v>13518674.256462673</v>
      </c>
      <c r="AA255" s="323">
        <f t="shared" si="73"/>
        <v>13518674.256462673</v>
      </c>
      <c r="AB255" s="323"/>
      <c r="AC255" s="323"/>
      <c r="AD255" s="323"/>
      <c r="AE255" s="323"/>
      <c r="AF255" s="324">
        <f t="shared" si="74"/>
        <v>7.741852159117539E-2</v>
      </c>
      <c r="AG255" s="312"/>
      <c r="AH255" s="312"/>
      <c r="AI255" s="325">
        <f t="shared" si="75"/>
        <v>1</v>
      </c>
      <c r="AJ255" s="312"/>
      <c r="AK255" s="312"/>
      <c r="AL255" s="312"/>
      <c r="AM255" s="312"/>
      <c r="AN255" s="312"/>
      <c r="AO255" s="312"/>
      <c r="AP255" s="312"/>
      <c r="AQ255" s="312"/>
      <c r="AR255" s="312"/>
      <c r="AS255" s="312"/>
      <c r="AT255" s="312"/>
      <c r="AU255" s="312"/>
      <c r="AV255" s="312"/>
      <c r="AW255" s="312"/>
      <c r="AX255" s="312"/>
      <c r="AY255" s="312"/>
      <c r="AZ255" s="312"/>
      <c r="BA255" s="312"/>
      <c r="BB255" s="312"/>
      <c r="BC255" s="312"/>
      <c r="BD255" s="312"/>
      <c r="BE255" s="312"/>
      <c r="BF255" s="312"/>
      <c r="BG255" s="312"/>
      <c r="BH255" s="312"/>
      <c r="BI255" s="312"/>
      <c r="BJ255" s="312"/>
      <c r="BK255" s="312"/>
      <c r="BL255" s="312"/>
      <c r="BM255" s="312"/>
      <c r="BN255" s="312"/>
      <c r="BO255" s="312"/>
      <c r="BP255" s="312"/>
      <c r="BQ255" s="312"/>
      <c r="BR255" s="312"/>
      <c r="BS255" s="312"/>
      <c r="BT255" s="312"/>
      <c r="BU255" s="312"/>
      <c r="BV255" s="312"/>
      <c r="BW255" s="312"/>
      <c r="BX255" s="312"/>
      <c r="BY255" s="312"/>
      <c r="BZ255" s="312"/>
      <c r="CA255" s="312"/>
      <c r="CB255" s="312"/>
      <c r="CC255" s="312"/>
      <c r="CD255" s="312"/>
      <c r="CE255" s="312"/>
      <c r="CF255" s="312"/>
      <c r="CG255" s="312"/>
      <c r="CH255" s="312"/>
      <c r="CI255" s="312"/>
      <c r="CJ255" s="312"/>
      <c r="CK255" s="312"/>
      <c r="CL255" s="312"/>
      <c r="CM255" s="312"/>
      <c r="CN255" s="312"/>
      <c r="CO255" s="312"/>
      <c r="CP255" s="312"/>
      <c r="CQ255" s="312"/>
      <c r="CR255" s="312"/>
      <c r="CS255" s="312"/>
      <c r="CT255" s="312"/>
      <c r="CU255" s="312"/>
      <c r="CV255" s="312"/>
      <c r="CW255" s="312"/>
      <c r="CX255" s="312"/>
      <c r="CY255" s="312"/>
      <c r="CZ255" s="312"/>
      <c r="DA255" s="312"/>
      <c r="DB255" s="312"/>
      <c r="DC255" s="312"/>
      <c r="DD255" s="312"/>
      <c r="DE255" s="312"/>
      <c r="DF255" s="312"/>
      <c r="DG255" s="312"/>
      <c r="DH255" s="312"/>
      <c r="DI255" s="312"/>
      <c r="DJ255" s="312"/>
      <c r="DK255" s="312"/>
      <c r="DL255" s="312"/>
      <c r="DM255" s="312"/>
      <c r="DN255" s="312"/>
      <c r="DO255" s="312"/>
      <c r="DP255" s="312"/>
      <c r="DQ255" s="312"/>
      <c r="DR255" s="312"/>
      <c r="DS255" s="312"/>
      <c r="DT255" s="312"/>
      <c r="DU255" s="312"/>
      <c r="DV255" s="312"/>
      <c r="DW255" s="312"/>
      <c r="DX255" s="312"/>
      <c r="DY255" s="312"/>
      <c r="DZ255" s="312"/>
      <c r="EA255" s="312"/>
      <c r="EB255" s="312"/>
      <c r="EC255" s="312"/>
      <c r="ED255" s="312"/>
      <c r="EE255" s="312"/>
      <c r="EF255" s="312"/>
      <c r="EG255" s="312"/>
      <c r="EH255" s="312"/>
      <c r="EI255" s="312"/>
      <c r="EJ255" s="312"/>
      <c r="EK255" s="312"/>
      <c r="EL255" s="312"/>
      <c r="EM255" s="312"/>
      <c r="EN255" s="312"/>
      <c r="EO255" s="312"/>
      <c r="EP255" s="312"/>
      <c r="EQ255" s="312"/>
      <c r="ER255" s="312"/>
      <c r="ES255" s="312"/>
      <c r="ET255" s="312"/>
      <c r="EU255" s="312"/>
      <c r="EV255" s="312"/>
      <c r="EW255" s="312"/>
      <c r="EX255" s="312"/>
      <c r="EY255" s="312"/>
      <c r="EZ255" s="312"/>
      <c r="FA255" s="312"/>
      <c r="FB255" s="312"/>
      <c r="FC255" s="312"/>
      <c r="FD255" s="312"/>
      <c r="FE255" s="312"/>
      <c r="FF255" s="312"/>
      <c r="FG255" s="312"/>
      <c r="FH255" s="312"/>
      <c r="FI255" s="312"/>
      <c r="FJ255" s="312"/>
      <c r="FK255" s="312"/>
      <c r="FL255" s="312"/>
      <c r="FM255" s="312"/>
      <c r="FN255" s="312"/>
      <c r="FO255" s="312"/>
      <c r="FP255" s="312"/>
      <c r="FQ255" s="312"/>
      <c r="FR255" s="312"/>
      <c r="FS255" s="312"/>
      <c r="FT255" s="312"/>
      <c r="FU255" s="312"/>
      <c r="FV255" s="312"/>
      <c r="FW255" s="312"/>
      <c r="FX255" s="312"/>
      <c r="FY255" s="312"/>
      <c r="FZ255" s="312"/>
      <c r="GA255" s="312"/>
      <c r="GB255" s="312"/>
      <c r="GC255" s="312"/>
      <c r="GD255" s="312"/>
      <c r="GE255" s="312"/>
      <c r="GF255" s="312"/>
      <c r="GG255" s="312"/>
      <c r="GH255" s="312"/>
      <c r="GI255" s="312"/>
      <c r="GJ255" s="312"/>
      <c r="GK255" s="312"/>
      <c r="GL255" s="312"/>
      <c r="GM255" s="312"/>
      <c r="GN255" s="312"/>
      <c r="GO255" s="312"/>
      <c r="GP255" s="312"/>
      <c r="GQ255" s="312"/>
      <c r="GR255" s="312"/>
      <c r="GS255" s="312"/>
      <c r="GT255" s="312"/>
      <c r="GU255" s="312"/>
      <c r="GV255" s="312"/>
      <c r="GW255" s="312"/>
      <c r="GX255" s="312"/>
      <c r="GY255" s="312"/>
    </row>
    <row r="256" spans="2:207" ht="15.75" x14ac:dyDescent="0.25">
      <c r="B256" s="316">
        <f t="shared" si="58"/>
        <v>226</v>
      </c>
      <c r="C256" s="330">
        <f>'סיכום לוועדה'!B256</f>
        <v>1001347595</v>
      </c>
      <c r="D256" s="330">
        <f>'סיכום לוועדה'!C256</f>
        <v>1001267946</v>
      </c>
      <c r="E256" s="330">
        <f>'סיכום לוועדה'!D256</f>
        <v>40000345</v>
      </c>
      <c r="F256" s="330">
        <f>'סיכום לוועדה'!E256</f>
        <v>20000159</v>
      </c>
      <c r="G256" s="330" t="str">
        <f>'סיכום לוועדה'!F256</f>
        <v>ירושלים</v>
      </c>
      <c r="H256" s="317" t="str">
        <f>'סיכום לוועדה'!G256</f>
        <v>מגדל דוד- מוזיאון לתולדות י-ם</v>
      </c>
      <c r="I256" s="318">
        <f>'סיכום לוועדה'!U256</f>
        <v>10000000</v>
      </c>
      <c r="J256" s="319">
        <f>'סיכום לוועדה'!T256</f>
        <v>3474448.7670801422</v>
      </c>
      <c r="K256" s="320">
        <f t="shared" si="59"/>
        <v>0</v>
      </c>
      <c r="L256" s="319">
        <f t="shared" si="60"/>
        <v>3474448.7670801422</v>
      </c>
      <c r="M256" s="331">
        <f>'תחום תמיכה ב'!AF256</f>
        <v>2.1527730067828189E-2</v>
      </c>
      <c r="N256" s="319">
        <f t="shared" si="57"/>
        <v>3841163.1415351843</v>
      </c>
      <c r="O256" s="321">
        <f t="shared" si="61"/>
        <v>0</v>
      </c>
      <c r="P256" s="322">
        <f t="shared" si="62"/>
        <v>3841163.1415351843</v>
      </c>
      <c r="Q256" s="322">
        <f t="shared" si="63"/>
        <v>3842912.1245611655</v>
      </c>
      <c r="R256" s="321">
        <f t="shared" si="64"/>
        <v>0</v>
      </c>
      <c r="S256" s="322">
        <f t="shared" si="65"/>
        <v>3842912.1245611655</v>
      </c>
      <c r="T256" s="322">
        <f t="shared" si="66"/>
        <v>3842912.124561158</v>
      </c>
      <c r="U256" s="321">
        <f t="shared" si="67"/>
        <v>0</v>
      </c>
      <c r="V256" s="322">
        <f t="shared" si="68"/>
        <v>3842912.124561158</v>
      </c>
      <c r="W256" s="322">
        <f t="shared" si="69"/>
        <v>3842912.1245611594</v>
      </c>
      <c r="X256" s="321">
        <f t="shared" si="70"/>
        <v>0</v>
      </c>
      <c r="Y256" s="322">
        <f t="shared" si="71"/>
        <v>3842912.1245611594</v>
      </c>
      <c r="Z256" s="322">
        <f t="shared" si="72"/>
        <v>3842912.1245611585</v>
      </c>
      <c r="AA256" s="323">
        <f t="shared" si="73"/>
        <v>3842912.1245611585</v>
      </c>
      <c r="AB256" s="323"/>
      <c r="AC256" s="323"/>
      <c r="AD256" s="323"/>
      <c r="AE256" s="323"/>
      <c r="AF256" s="324">
        <f t="shared" si="74"/>
        <v>2.2007526007670485E-2</v>
      </c>
      <c r="AG256" s="312"/>
      <c r="AH256" s="312"/>
      <c r="AI256" s="325">
        <f t="shared" si="75"/>
        <v>1</v>
      </c>
      <c r="AJ256" s="312"/>
      <c r="AK256" s="312"/>
      <c r="AL256" s="312"/>
      <c r="AM256" s="312"/>
      <c r="AN256" s="312"/>
      <c r="AO256" s="312"/>
      <c r="AP256" s="312"/>
      <c r="AQ256" s="312"/>
      <c r="AR256" s="312"/>
      <c r="AS256" s="312"/>
      <c r="AT256" s="312"/>
      <c r="AU256" s="312"/>
      <c r="AV256" s="312"/>
      <c r="AW256" s="312"/>
      <c r="AX256" s="312"/>
      <c r="AY256" s="312"/>
      <c r="AZ256" s="312"/>
      <c r="BA256" s="312"/>
      <c r="BB256" s="312"/>
      <c r="BC256" s="312"/>
      <c r="BD256" s="312"/>
      <c r="BE256" s="312"/>
      <c r="BF256" s="312"/>
      <c r="BG256" s="312"/>
      <c r="BH256" s="312"/>
      <c r="BI256" s="312"/>
      <c r="BJ256" s="312"/>
      <c r="BK256" s="312"/>
      <c r="BL256" s="312"/>
      <c r="BM256" s="312"/>
      <c r="BN256" s="312"/>
      <c r="BO256" s="312"/>
      <c r="BP256" s="312"/>
      <c r="BQ256" s="312"/>
      <c r="BR256" s="312"/>
      <c r="BS256" s="312"/>
      <c r="BT256" s="312"/>
      <c r="BU256" s="312"/>
      <c r="BV256" s="312"/>
      <c r="BW256" s="312"/>
      <c r="BX256" s="312"/>
      <c r="BY256" s="312"/>
      <c r="BZ256" s="312"/>
      <c r="CA256" s="312"/>
      <c r="CB256" s="312"/>
      <c r="CC256" s="312"/>
      <c r="CD256" s="312"/>
      <c r="CE256" s="312"/>
      <c r="CF256" s="312"/>
      <c r="CG256" s="312"/>
      <c r="CH256" s="312"/>
      <c r="CI256" s="312"/>
      <c r="CJ256" s="312"/>
      <c r="CK256" s="312"/>
      <c r="CL256" s="312"/>
      <c r="CM256" s="312"/>
      <c r="CN256" s="312"/>
      <c r="CO256" s="312"/>
      <c r="CP256" s="312"/>
      <c r="CQ256" s="312"/>
      <c r="CR256" s="312"/>
      <c r="CS256" s="312"/>
      <c r="CT256" s="312"/>
      <c r="CU256" s="312"/>
      <c r="CV256" s="312"/>
      <c r="CW256" s="312"/>
      <c r="CX256" s="312"/>
      <c r="CY256" s="312"/>
      <c r="CZ256" s="312"/>
      <c r="DA256" s="312"/>
      <c r="DB256" s="312"/>
      <c r="DC256" s="312"/>
      <c r="DD256" s="312"/>
      <c r="DE256" s="312"/>
      <c r="DF256" s="312"/>
      <c r="DG256" s="312"/>
      <c r="DH256" s="312"/>
      <c r="DI256" s="312"/>
      <c r="DJ256" s="312"/>
      <c r="DK256" s="312"/>
      <c r="DL256" s="312"/>
      <c r="DM256" s="312"/>
      <c r="DN256" s="312"/>
      <c r="DO256" s="312"/>
      <c r="DP256" s="312"/>
      <c r="DQ256" s="312"/>
      <c r="DR256" s="312"/>
      <c r="DS256" s="312"/>
      <c r="DT256" s="312"/>
      <c r="DU256" s="312"/>
      <c r="DV256" s="312"/>
      <c r="DW256" s="312"/>
      <c r="DX256" s="312"/>
      <c r="DY256" s="312"/>
      <c r="DZ256" s="312"/>
      <c r="EA256" s="312"/>
      <c r="EB256" s="312"/>
      <c r="EC256" s="312"/>
      <c r="ED256" s="312"/>
      <c r="EE256" s="312"/>
      <c r="EF256" s="312"/>
      <c r="EG256" s="312"/>
      <c r="EH256" s="312"/>
      <c r="EI256" s="312"/>
      <c r="EJ256" s="312"/>
      <c r="EK256" s="312"/>
      <c r="EL256" s="312"/>
      <c r="EM256" s="312"/>
      <c r="EN256" s="312"/>
      <c r="EO256" s="312"/>
      <c r="EP256" s="312"/>
      <c r="EQ256" s="312"/>
      <c r="ER256" s="312"/>
      <c r="ES256" s="312"/>
      <c r="ET256" s="312"/>
      <c r="EU256" s="312"/>
      <c r="EV256" s="312"/>
      <c r="EW256" s="312"/>
      <c r="EX256" s="312"/>
      <c r="EY256" s="312"/>
      <c r="EZ256" s="312"/>
      <c r="FA256" s="312"/>
      <c r="FB256" s="312"/>
      <c r="FC256" s="312"/>
      <c r="FD256" s="312"/>
      <c r="FE256" s="312"/>
      <c r="FF256" s="312"/>
      <c r="FG256" s="312"/>
      <c r="FH256" s="312"/>
      <c r="FI256" s="312"/>
      <c r="FJ256" s="312"/>
      <c r="FK256" s="312"/>
      <c r="FL256" s="312"/>
      <c r="FM256" s="312"/>
      <c r="FN256" s="312"/>
      <c r="FO256" s="312"/>
      <c r="FP256" s="312"/>
      <c r="FQ256" s="312"/>
      <c r="FR256" s="312"/>
      <c r="FS256" s="312"/>
      <c r="FT256" s="312"/>
      <c r="FU256" s="312"/>
      <c r="FV256" s="312"/>
      <c r="FW256" s="312"/>
      <c r="FX256" s="312"/>
      <c r="FY256" s="312"/>
      <c r="FZ256" s="312"/>
      <c r="GA256" s="312"/>
      <c r="GB256" s="312"/>
      <c r="GC256" s="312"/>
      <c r="GD256" s="312"/>
      <c r="GE256" s="312"/>
      <c r="GF256" s="312"/>
      <c r="GG256" s="312"/>
      <c r="GH256" s="312"/>
      <c r="GI256" s="312"/>
      <c r="GJ256" s="312"/>
      <c r="GK256" s="312"/>
      <c r="GL256" s="312"/>
      <c r="GM256" s="312"/>
      <c r="GN256" s="312"/>
      <c r="GO256" s="312"/>
      <c r="GP256" s="312"/>
      <c r="GQ256" s="312"/>
      <c r="GR256" s="312"/>
      <c r="GS256" s="312"/>
      <c r="GT256" s="312"/>
      <c r="GU256" s="312"/>
      <c r="GV256" s="312"/>
      <c r="GW256" s="312"/>
      <c r="GX256" s="312"/>
      <c r="GY256" s="312"/>
    </row>
    <row r="257" spans="2:207" ht="15.75" x14ac:dyDescent="0.25">
      <c r="B257" s="316">
        <f t="shared" si="58"/>
        <v>227</v>
      </c>
      <c r="C257" s="330">
        <f>'סיכום לוועדה'!B257</f>
        <v>1001346662</v>
      </c>
      <c r="D257" s="330">
        <f>'סיכום לוועדה'!C257</f>
        <v>1001278692</v>
      </c>
      <c r="E257" s="330">
        <f>'סיכום לוועדה'!D257</f>
        <v>40000362</v>
      </c>
      <c r="F257" s="330">
        <f>'סיכום לוועדה'!E257</f>
        <v>20000159</v>
      </c>
      <c r="G257" s="330" t="str">
        <f>'סיכום לוועדה'!F257</f>
        <v>ירושלים</v>
      </c>
      <c r="H257" s="317" t="str">
        <f>'סיכום לוועדה'!G257</f>
        <v>מרכז עדן תמיר למוסיקה</v>
      </c>
      <c r="I257" s="318">
        <f>'סיכום לוועדה'!U257</f>
        <v>380000</v>
      </c>
      <c r="J257" s="319">
        <f>'סיכום לוועדה'!T257</f>
        <v>61442.560688573853</v>
      </c>
      <c r="K257" s="320">
        <f t="shared" si="59"/>
        <v>0</v>
      </c>
      <c r="L257" s="319">
        <f t="shared" si="60"/>
        <v>61442.560688573853</v>
      </c>
      <c r="M257" s="331">
        <f>'תחום תמיכה ב'!AF257</f>
        <v>3.2769343422325788E-4</v>
      </c>
      <c r="N257" s="319">
        <f t="shared" si="57"/>
        <v>67024.658400017783</v>
      </c>
      <c r="O257" s="321">
        <f t="shared" si="61"/>
        <v>0</v>
      </c>
      <c r="P257" s="322">
        <f t="shared" si="62"/>
        <v>67024.658400017783</v>
      </c>
      <c r="Q257" s="322">
        <f t="shared" si="63"/>
        <v>67055.176497152526</v>
      </c>
      <c r="R257" s="321">
        <f t="shared" si="64"/>
        <v>0</v>
      </c>
      <c r="S257" s="322">
        <f t="shared" si="65"/>
        <v>67055.176497152526</v>
      </c>
      <c r="T257" s="322">
        <f t="shared" si="66"/>
        <v>67055.176497152395</v>
      </c>
      <c r="U257" s="321">
        <f t="shared" si="67"/>
        <v>0</v>
      </c>
      <c r="V257" s="322">
        <f t="shared" si="68"/>
        <v>67055.176497152395</v>
      </c>
      <c r="W257" s="322">
        <f t="shared" si="69"/>
        <v>67055.176497152424</v>
      </c>
      <c r="X257" s="321">
        <f t="shared" si="70"/>
        <v>0</v>
      </c>
      <c r="Y257" s="322">
        <f t="shared" si="71"/>
        <v>67055.176497152424</v>
      </c>
      <c r="Z257" s="322">
        <f t="shared" si="72"/>
        <v>67055.17649715241</v>
      </c>
      <c r="AA257" s="323">
        <f t="shared" si="73"/>
        <v>67055.17649715241</v>
      </c>
      <c r="AB257" s="323"/>
      <c r="AC257" s="323"/>
      <c r="AD257" s="323"/>
      <c r="AE257" s="323"/>
      <c r="AF257" s="324">
        <f t="shared" si="74"/>
        <v>3.8401048290390876E-4</v>
      </c>
      <c r="AG257" s="312"/>
      <c r="AH257" s="312"/>
      <c r="AI257" s="325">
        <f t="shared" si="75"/>
        <v>1</v>
      </c>
      <c r="AJ257" s="312"/>
      <c r="AK257" s="312"/>
      <c r="AL257" s="312"/>
      <c r="AM257" s="312"/>
      <c r="AN257" s="312"/>
      <c r="AO257" s="312"/>
      <c r="AP257" s="312"/>
      <c r="AQ257" s="312"/>
      <c r="AR257" s="312"/>
      <c r="AS257" s="312"/>
      <c r="AT257" s="312"/>
      <c r="AU257" s="312"/>
      <c r="AV257" s="312"/>
      <c r="AW257" s="312"/>
      <c r="AX257" s="312"/>
      <c r="AY257" s="312"/>
      <c r="AZ257" s="312"/>
      <c r="BA257" s="312"/>
      <c r="BB257" s="312"/>
      <c r="BC257" s="312"/>
      <c r="BD257" s="312"/>
      <c r="BE257" s="312"/>
      <c r="BF257" s="312"/>
      <c r="BG257" s="312"/>
      <c r="BH257" s="312"/>
      <c r="BI257" s="312"/>
      <c r="BJ257" s="312"/>
      <c r="BK257" s="312"/>
      <c r="BL257" s="312"/>
      <c r="BM257" s="312"/>
      <c r="BN257" s="312"/>
      <c r="BO257" s="312"/>
      <c r="BP257" s="312"/>
      <c r="BQ257" s="312"/>
      <c r="BR257" s="312"/>
      <c r="BS257" s="312"/>
      <c r="BT257" s="312"/>
      <c r="BU257" s="312"/>
      <c r="BV257" s="312"/>
      <c r="BW257" s="312"/>
      <c r="BX257" s="312"/>
      <c r="BY257" s="312"/>
      <c r="BZ257" s="312"/>
      <c r="CA257" s="312"/>
      <c r="CB257" s="312"/>
      <c r="CC257" s="312"/>
      <c r="CD257" s="312"/>
      <c r="CE257" s="312"/>
      <c r="CF257" s="312"/>
      <c r="CG257" s="312"/>
      <c r="CH257" s="312"/>
      <c r="CI257" s="312"/>
      <c r="CJ257" s="312"/>
      <c r="CK257" s="312"/>
      <c r="CL257" s="312"/>
      <c r="CM257" s="312"/>
      <c r="CN257" s="312"/>
      <c r="CO257" s="312"/>
      <c r="CP257" s="312"/>
      <c r="CQ257" s="312"/>
      <c r="CR257" s="312"/>
      <c r="CS257" s="312"/>
      <c r="CT257" s="312"/>
      <c r="CU257" s="312"/>
      <c r="CV257" s="312"/>
      <c r="CW257" s="312"/>
      <c r="CX257" s="312"/>
      <c r="CY257" s="312"/>
      <c r="CZ257" s="312"/>
      <c r="DA257" s="312"/>
      <c r="DB257" s="312"/>
      <c r="DC257" s="312"/>
      <c r="DD257" s="312"/>
      <c r="DE257" s="312"/>
      <c r="DF257" s="312"/>
      <c r="DG257" s="312"/>
      <c r="DH257" s="312"/>
      <c r="DI257" s="312"/>
      <c r="DJ257" s="312"/>
      <c r="DK257" s="312"/>
      <c r="DL257" s="312"/>
      <c r="DM257" s="312"/>
      <c r="DN257" s="312"/>
      <c r="DO257" s="312"/>
      <c r="DP257" s="312"/>
      <c r="DQ257" s="312"/>
      <c r="DR257" s="312"/>
      <c r="DS257" s="312"/>
      <c r="DT257" s="312"/>
      <c r="DU257" s="312"/>
      <c r="DV257" s="312"/>
      <c r="DW257" s="312"/>
      <c r="DX257" s="312"/>
      <c r="DY257" s="312"/>
      <c r="DZ257" s="312"/>
      <c r="EA257" s="312"/>
      <c r="EB257" s="312"/>
      <c r="EC257" s="312"/>
      <c r="ED257" s="312"/>
      <c r="EE257" s="312"/>
      <c r="EF257" s="312"/>
      <c r="EG257" s="312"/>
      <c r="EH257" s="312"/>
      <c r="EI257" s="312"/>
      <c r="EJ257" s="312"/>
      <c r="EK257" s="312"/>
      <c r="EL257" s="312"/>
      <c r="EM257" s="312"/>
      <c r="EN257" s="312"/>
      <c r="EO257" s="312"/>
      <c r="EP257" s="312"/>
      <c r="EQ257" s="312"/>
      <c r="ER257" s="312"/>
      <c r="ES257" s="312"/>
      <c r="ET257" s="312"/>
      <c r="EU257" s="312"/>
      <c r="EV257" s="312"/>
      <c r="EW257" s="312"/>
      <c r="EX257" s="312"/>
      <c r="EY257" s="312"/>
      <c r="EZ257" s="312"/>
      <c r="FA257" s="312"/>
      <c r="FB257" s="312"/>
      <c r="FC257" s="312"/>
      <c r="FD257" s="312"/>
      <c r="FE257" s="312"/>
      <c r="FF257" s="312"/>
      <c r="FG257" s="312"/>
      <c r="FH257" s="312"/>
      <c r="FI257" s="312"/>
      <c r="FJ257" s="312"/>
      <c r="FK257" s="312"/>
      <c r="FL257" s="312"/>
      <c r="FM257" s="312"/>
      <c r="FN257" s="312"/>
      <c r="FO257" s="312"/>
      <c r="FP257" s="312"/>
      <c r="FQ257" s="312"/>
      <c r="FR257" s="312"/>
      <c r="FS257" s="312"/>
      <c r="FT257" s="312"/>
      <c r="FU257" s="312"/>
      <c r="FV257" s="312"/>
      <c r="FW257" s="312"/>
      <c r="FX257" s="312"/>
      <c r="FY257" s="312"/>
      <c r="FZ257" s="312"/>
      <c r="GA257" s="312"/>
      <c r="GB257" s="312"/>
      <c r="GC257" s="312"/>
      <c r="GD257" s="312"/>
      <c r="GE257" s="312"/>
      <c r="GF257" s="312"/>
      <c r="GG257" s="312"/>
      <c r="GH257" s="312"/>
      <c r="GI257" s="312"/>
      <c r="GJ257" s="312"/>
      <c r="GK257" s="312"/>
      <c r="GL257" s="312"/>
      <c r="GM257" s="312"/>
      <c r="GN257" s="312"/>
      <c r="GO257" s="312"/>
      <c r="GP257" s="312"/>
      <c r="GQ257" s="312"/>
      <c r="GR257" s="312"/>
      <c r="GS257" s="312"/>
      <c r="GT257" s="312"/>
      <c r="GU257" s="312"/>
      <c r="GV257" s="312"/>
      <c r="GW257" s="312"/>
      <c r="GX257" s="312"/>
      <c r="GY257" s="312"/>
    </row>
    <row r="258" spans="2:207" ht="15.75" x14ac:dyDescent="0.25">
      <c r="B258" s="316">
        <f t="shared" si="58"/>
        <v>228</v>
      </c>
      <c r="C258" s="330">
        <f>'סיכום לוועדה'!B258</f>
        <v>1001348984</v>
      </c>
      <c r="D258" s="330">
        <f>'סיכום לוועדה'!C258</f>
        <v>1001299405</v>
      </c>
      <c r="E258" s="330">
        <f>'סיכום לוועדה'!D258</f>
        <v>40000699</v>
      </c>
      <c r="F258" s="330">
        <f>'סיכום לוועדה'!E258</f>
        <v>20000102</v>
      </c>
      <c r="G258" s="330" t="str">
        <f>'סיכום לוועדה'!F258</f>
        <v>מעלות-תרשיחא</v>
      </c>
      <c r="H258" s="317" t="str">
        <f>'סיכום לוועדה'!G258</f>
        <v>"קתרין" לקידום המוסיקה, מחול ואומנו</v>
      </c>
      <c r="I258" s="318">
        <f>'סיכום לוועדה'!U258</f>
        <v>350000</v>
      </c>
      <c r="J258" s="319">
        <f>'סיכום לוועדה'!T258</f>
        <v>126776.653570307</v>
      </c>
      <c r="K258" s="320">
        <f t="shared" si="59"/>
        <v>0</v>
      </c>
      <c r="L258" s="319">
        <f t="shared" si="60"/>
        <v>126776.653570307</v>
      </c>
      <c r="M258" s="331">
        <f>'תחום תמיכה ב'!AF258</f>
        <v>7.3057541253244312E-4</v>
      </c>
      <c r="N258" s="319">
        <f t="shared" si="57"/>
        <v>139221.64914368829</v>
      </c>
      <c r="O258" s="321">
        <f t="shared" si="61"/>
        <v>0</v>
      </c>
      <c r="P258" s="322">
        <f t="shared" si="62"/>
        <v>139221.64914368829</v>
      </c>
      <c r="Q258" s="322">
        <f t="shared" si="63"/>
        <v>139285.04043747854</v>
      </c>
      <c r="R258" s="321">
        <f t="shared" si="64"/>
        <v>0</v>
      </c>
      <c r="S258" s="322">
        <f t="shared" si="65"/>
        <v>139285.04043747854</v>
      </c>
      <c r="T258" s="322">
        <f t="shared" si="66"/>
        <v>139285.04043747825</v>
      </c>
      <c r="U258" s="321">
        <f t="shared" si="67"/>
        <v>0</v>
      </c>
      <c r="V258" s="322">
        <f t="shared" si="68"/>
        <v>139285.04043747825</v>
      </c>
      <c r="W258" s="322">
        <f t="shared" si="69"/>
        <v>139285.04043747831</v>
      </c>
      <c r="X258" s="321">
        <f t="shared" si="70"/>
        <v>0</v>
      </c>
      <c r="Y258" s="322">
        <f t="shared" si="71"/>
        <v>139285.04043747831</v>
      </c>
      <c r="Z258" s="322">
        <f t="shared" si="72"/>
        <v>139285.04043747828</v>
      </c>
      <c r="AA258" s="323">
        <f t="shared" si="73"/>
        <v>139285.04043747828</v>
      </c>
      <c r="AB258" s="323"/>
      <c r="AC258" s="323"/>
      <c r="AD258" s="323"/>
      <c r="AE258" s="323"/>
      <c r="AF258" s="324">
        <f t="shared" si="74"/>
        <v>7.9765528082619973E-4</v>
      </c>
      <c r="AG258" s="312"/>
      <c r="AH258" s="312"/>
      <c r="AI258" s="325">
        <f t="shared" si="75"/>
        <v>1</v>
      </c>
      <c r="AJ258" s="312"/>
      <c r="AK258" s="312"/>
      <c r="AL258" s="312"/>
      <c r="AM258" s="312"/>
      <c r="AN258" s="312"/>
      <c r="AO258" s="312"/>
      <c r="AP258" s="312"/>
      <c r="AQ258" s="312"/>
      <c r="AR258" s="312"/>
      <c r="AS258" s="312"/>
      <c r="AT258" s="312"/>
      <c r="AU258" s="312"/>
      <c r="AV258" s="312"/>
      <c r="AW258" s="312"/>
      <c r="AX258" s="312"/>
      <c r="AY258" s="312"/>
      <c r="AZ258" s="312"/>
      <c r="BA258" s="312"/>
      <c r="BB258" s="312"/>
      <c r="BC258" s="312"/>
      <c r="BD258" s="312"/>
      <c r="BE258" s="312"/>
      <c r="BF258" s="312"/>
      <c r="BG258" s="312"/>
      <c r="BH258" s="312"/>
      <c r="BI258" s="312"/>
      <c r="BJ258" s="312"/>
      <c r="BK258" s="312"/>
      <c r="BL258" s="312"/>
      <c r="BM258" s="312"/>
      <c r="BN258" s="312"/>
      <c r="BO258" s="312"/>
      <c r="BP258" s="312"/>
      <c r="BQ258" s="312"/>
      <c r="BR258" s="312"/>
      <c r="BS258" s="312"/>
      <c r="BT258" s="312"/>
      <c r="BU258" s="312"/>
      <c r="BV258" s="312"/>
      <c r="BW258" s="312"/>
      <c r="BX258" s="312"/>
      <c r="BY258" s="312"/>
      <c r="BZ258" s="312"/>
      <c r="CA258" s="312"/>
      <c r="CB258" s="312"/>
      <c r="CC258" s="312"/>
      <c r="CD258" s="312"/>
      <c r="CE258" s="312"/>
      <c r="CF258" s="312"/>
      <c r="CG258" s="312"/>
      <c r="CH258" s="312"/>
      <c r="CI258" s="312"/>
      <c r="CJ258" s="312"/>
      <c r="CK258" s="312"/>
      <c r="CL258" s="312"/>
      <c r="CM258" s="312"/>
      <c r="CN258" s="312"/>
      <c r="CO258" s="312"/>
      <c r="CP258" s="312"/>
      <c r="CQ258" s="312"/>
      <c r="CR258" s="312"/>
      <c r="CS258" s="312"/>
      <c r="CT258" s="312"/>
      <c r="CU258" s="312"/>
      <c r="CV258" s="312"/>
      <c r="CW258" s="312"/>
      <c r="CX258" s="312"/>
      <c r="CY258" s="312"/>
      <c r="CZ258" s="312"/>
      <c r="DA258" s="312"/>
      <c r="DB258" s="312"/>
      <c r="DC258" s="312"/>
      <c r="DD258" s="312"/>
      <c r="DE258" s="312"/>
      <c r="DF258" s="312"/>
      <c r="DG258" s="312"/>
      <c r="DH258" s="312"/>
      <c r="DI258" s="312"/>
      <c r="DJ258" s="312"/>
      <c r="DK258" s="312"/>
      <c r="DL258" s="312"/>
      <c r="DM258" s="312"/>
      <c r="DN258" s="312"/>
      <c r="DO258" s="312"/>
      <c r="DP258" s="312"/>
      <c r="DQ258" s="312"/>
      <c r="DR258" s="312"/>
      <c r="DS258" s="312"/>
      <c r="DT258" s="312"/>
      <c r="DU258" s="312"/>
      <c r="DV258" s="312"/>
      <c r="DW258" s="312"/>
      <c r="DX258" s="312"/>
      <c r="DY258" s="312"/>
      <c r="DZ258" s="312"/>
      <c r="EA258" s="312"/>
      <c r="EB258" s="312"/>
      <c r="EC258" s="312"/>
      <c r="ED258" s="312"/>
      <c r="EE258" s="312"/>
      <c r="EF258" s="312"/>
      <c r="EG258" s="312"/>
      <c r="EH258" s="312"/>
      <c r="EI258" s="312"/>
      <c r="EJ258" s="312"/>
      <c r="EK258" s="312"/>
      <c r="EL258" s="312"/>
      <c r="EM258" s="312"/>
      <c r="EN258" s="312"/>
      <c r="EO258" s="312"/>
      <c r="EP258" s="312"/>
      <c r="EQ258" s="312"/>
      <c r="ER258" s="312"/>
      <c r="ES258" s="312"/>
      <c r="ET258" s="312"/>
      <c r="EU258" s="312"/>
      <c r="EV258" s="312"/>
      <c r="EW258" s="312"/>
      <c r="EX258" s="312"/>
      <c r="EY258" s="312"/>
      <c r="EZ258" s="312"/>
      <c r="FA258" s="312"/>
      <c r="FB258" s="312"/>
      <c r="FC258" s="312"/>
      <c r="FD258" s="312"/>
      <c r="FE258" s="312"/>
      <c r="FF258" s="312"/>
      <c r="FG258" s="312"/>
      <c r="FH258" s="312"/>
      <c r="FI258" s="312"/>
      <c r="FJ258" s="312"/>
      <c r="FK258" s="312"/>
      <c r="FL258" s="312"/>
      <c r="FM258" s="312"/>
      <c r="FN258" s="312"/>
      <c r="FO258" s="312"/>
      <c r="FP258" s="312"/>
      <c r="FQ258" s="312"/>
      <c r="FR258" s="312"/>
      <c r="FS258" s="312"/>
      <c r="FT258" s="312"/>
      <c r="FU258" s="312"/>
      <c r="FV258" s="312"/>
      <c r="FW258" s="312"/>
      <c r="FX258" s="312"/>
      <c r="FY258" s="312"/>
      <c r="FZ258" s="312"/>
      <c r="GA258" s="312"/>
      <c r="GB258" s="312"/>
      <c r="GC258" s="312"/>
      <c r="GD258" s="312"/>
      <c r="GE258" s="312"/>
      <c r="GF258" s="312"/>
      <c r="GG258" s="312"/>
      <c r="GH258" s="312"/>
      <c r="GI258" s="312"/>
      <c r="GJ258" s="312"/>
      <c r="GK258" s="312"/>
      <c r="GL258" s="312"/>
      <c r="GM258" s="312"/>
      <c r="GN258" s="312"/>
      <c r="GO258" s="312"/>
      <c r="GP258" s="312"/>
      <c r="GQ258" s="312"/>
      <c r="GR258" s="312"/>
      <c r="GS258" s="312"/>
      <c r="GT258" s="312"/>
      <c r="GU258" s="312"/>
      <c r="GV258" s="312"/>
      <c r="GW258" s="312"/>
      <c r="GX258" s="312"/>
      <c r="GY258" s="312"/>
    </row>
    <row r="259" spans="2:207" ht="15.75" x14ac:dyDescent="0.25">
      <c r="B259" s="316">
        <f t="shared" si="58"/>
        <v>229</v>
      </c>
      <c r="C259" s="330">
        <f>'סיכום לוועדה'!B259</f>
        <v>1001347694</v>
      </c>
      <c r="D259" s="330">
        <f>'סיכום לוועדה'!C259</f>
        <v>1001302279</v>
      </c>
      <c r="E259" s="330">
        <f>'סיכום לוועדה'!D259</f>
        <v>41968223</v>
      </c>
      <c r="F259" s="330">
        <f>'סיכום לוועדה'!E259</f>
        <v>20000150</v>
      </c>
      <c r="G259" s="330" t="str">
        <f>'סיכום לוועדה'!F259</f>
        <v>קריית גת</v>
      </c>
      <c r="H259" s="317" t="str">
        <f>'סיכום לוועדה'!G259</f>
        <v>מוזיקה פורטת גבולות</v>
      </c>
      <c r="I259" s="318">
        <f>'סיכום לוועדה'!U259</f>
        <v>581500</v>
      </c>
      <c r="J259" s="319">
        <f>'סיכום לוועדה'!T259</f>
        <v>85515.025434856274</v>
      </c>
      <c r="K259" s="320">
        <f t="shared" si="59"/>
        <v>0</v>
      </c>
      <c r="L259" s="319">
        <f t="shared" si="60"/>
        <v>85515.025434856274</v>
      </c>
      <c r="M259" s="331">
        <f>'תחום תמיכה ב'!AF259</f>
        <v>5.8939967177103474E-4</v>
      </c>
      <c r="N259" s="319">
        <f t="shared" si="57"/>
        <v>95555.161169395768</v>
      </c>
      <c r="O259" s="321">
        <f t="shared" si="61"/>
        <v>0</v>
      </c>
      <c r="P259" s="322">
        <f t="shared" si="62"/>
        <v>95555.161169395768</v>
      </c>
      <c r="Q259" s="322">
        <f t="shared" si="63"/>
        <v>95598.669957950711</v>
      </c>
      <c r="R259" s="321">
        <f t="shared" si="64"/>
        <v>0</v>
      </c>
      <c r="S259" s="322">
        <f t="shared" si="65"/>
        <v>95598.669957950711</v>
      </c>
      <c r="T259" s="322">
        <f t="shared" si="66"/>
        <v>95598.669957950522</v>
      </c>
      <c r="U259" s="321">
        <f t="shared" si="67"/>
        <v>0</v>
      </c>
      <c r="V259" s="322">
        <f t="shared" si="68"/>
        <v>95598.669957950522</v>
      </c>
      <c r="W259" s="322">
        <f t="shared" si="69"/>
        <v>95598.669957950551</v>
      </c>
      <c r="X259" s="321">
        <f t="shared" si="70"/>
        <v>0</v>
      </c>
      <c r="Y259" s="322">
        <f t="shared" si="71"/>
        <v>95598.669957950551</v>
      </c>
      <c r="Z259" s="322">
        <f t="shared" si="72"/>
        <v>95598.669957950537</v>
      </c>
      <c r="AA259" s="323">
        <f t="shared" si="73"/>
        <v>95598.669957950537</v>
      </c>
      <c r="AB259" s="323"/>
      <c r="AC259" s="323"/>
      <c r="AD259" s="323"/>
      <c r="AE259" s="323"/>
      <c r="AF259" s="324">
        <f t="shared" si="74"/>
        <v>5.4747289222455424E-4</v>
      </c>
      <c r="AG259" s="312"/>
      <c r="AH259" s="312"/>
      <c r="AI259" s="325">
        <f t="shared" si="75"/>
        <v>1</v>
      </c>
      <c r="AJ259" s="312"/>
      <c r="AK259" s="312"/>
      <c r="AL259" s="312"/>
      <c r="AM259" s="312"/>
      <c r="AN259" s="312"/>
      <c r="AO259" s="312"/>
      <c r="AP259" s="312"/>
      <c r="AQ259" s="312"/>
      <c r="AR259" s="312"/>
      <c r="AS259" s="312"/>
      <c r="AT259" s="312"/>
      <c r="AU259" s="312"/>
      <c r="AV259" s="312"/>
      <c r="AW259" s="312"/>
      <c r="AX259" s="312"/>
      <c r="AY259" s="312"/>
      <c r="AZ259" s="312"/>
      <c r="BA259" s="312"/>
      <c r="BB259" s="312"/>
      <c r="BC259" s="312"/>
      <c r="BD259" s="312"/>
      <c r="BE259" s="312"/>
      <c r="BF259" s="312"/>
      <c r="BG259" s="312"/>
      <c r="BH259" s="312"/>
      <c r="BI259" s="312"/>
      <c r="BJ259" s="312"/>
      <c r="BK259" s="312"/>
      <c r="BL259" s="312"/>
      <c r="BM259" s="312"/>
      <c r="BN259" s="312"/>
      <c r="BO259" s="312"/>
      <c r="BP259" s="312"/>
      <c r="BQ259" s="312"/>
      <c r="BR259" s="312"/>
      <c r="BS259" s="312"/>
      <c r="BT259" s="312"/>
      <c r="BU259" s="312"/>
      <c r="BV259" s="312"/>
      <c r="BW259" s="312"/>
      <c r="BX259" s="312"/>
      <c r="BY259" s="312"/>
      <c r="BZ259" s="312"/>
      <c r="CA259" s="312"/>
      <c r="CB259" s="312"/>
      <c r="CC259" s="312"/>
      <c r="CD259" s="312"/>
      <c r="CE259" s="312"/>
      <c r="CF259" s="312"/>
      <c r="CG259" s="312"/>
      <c r="CH259" s="312"/>
      <c r="CI259" s="312"/>
      <c r="CJ259" s="312"/>
      <c r="CK259" s="312"/>
      <c r="CL259" s="312"/>
      <c r="CM259" s="312"/>
      <c r="CN259" s="312"/>
      <c r="CO259" s="312"/>
      <c r="CP259" s="312"/>
      <c r="CQ259" s="312"/>
      <c r="CR259" s="312"/>
      <c r="CS259" s="312"/>
      <c r="CT259" s="312"/>
      <c r="CU259" s="312"/>
      <c r="CV259" s="312"/>
      <c r="CW259" s="312"/>
      <c r="CX259" s="312"/>
      <c r="CY259" s="312"/>
      <c r="CZ259" s="312"/>
      <c r="DA259" s="312"/>
      <c r="DB259" s="312"/>
      <c r="DC259" s="312"/>
      <c r="DD259" s="312"/>
      <c r="DE259" s="312"/>
      <c r="DF259" s="312"/>
      <c r="DG259" s="312"/>
      <c r="DH259" s="312"/>
      <c r="DI259" s="312"/>
      <c r="DJ259" s="312"/>
      <c r="DK259" s="312"/>
      <c r="DL259" s="312"/>
      <c r="DM259" s="312"/>
      <c r="DN259" s="312"/>
      <c r="DO259" s="312"/>
      <c r="DP259" s="312"/>
      <c r="DQ259" s="312"/>
      <c r="DR259" s="312"/>
      <c r="DS259" s="312"/>
      <c r="DT259" s="312"/>
      <c r="DU259" s="312"/>
      <c r="DV259" s="312"/>
      <c r="DW259" s="312"/>
      <c r="DX259" s="312"/>
      <c r="DY259" s="312"/>
      <c r="DZ259" s="312"/>
      <c r="EA259" s="312"/>
      <c r="EB259" s="312"/>
      <c r="EC259" s="312"/>
      <c r="ED259" s="312"/>
      <c r="EE259" s="312"/>
      <c r="EF259" s="312"/>
      <c r="EG259" s="312"/>
      <c r="EH259" s="312"/>
      <c r="EI259" s="312"/>
      <c r="EJ259" s="312"/>
      <c r="EK259" s="312"/>
      <c r="EL259" s="312"/>
      <c r="EM259" s="312"/>
      <c r="EN259" s="312"/>
      <c r="EO259" s="312"/>
      <c r="EP259" s="312"/>
      <c r="EQ259" s="312"/>
      <c r="ER259" s="312"/>
      <c r="ES259" s="312"/>
      <c r="ET259" s="312"/>
      <c r="EU259" s="312"/>
      <c r="EV259" s="312"/>
      <c r="EW259" s="312"/>
      <c r="EX259" s="312"/>
      <c r="EY259" s="312"/>
      <c r="EZ259" s="312"/>
      <c r="FA259" s="312"/>
      <c r="FB259" s="312"/>
      <c r="FC259" s="312"/>
      <c r="FD259" s="312"/>
      <c r="FE259" s="312"/>
      <c r="FF259" s="312"/>
      <c r="FG259" s="312"/>
      <c r="FH259" s="312"/>
      <c r="FI259" s="312"/>
      <c r="FJ259" s="312"/>
      <c r="FK259" s="312"/>
      <c r="FL259" s="312"/>
      <c r="FM259" s="312"/>
      <c r="FN259" s="312"/>
      <c r="FO259" s="312"/>
      <c r="FP259" s="312"/>
      <c r="FQ259" s="312"/>
      <c r="FR259" s="312"/>
      <c r="FS259" s="312"/>
      <c r="FT259" s="312"/>
      <c r="FU259" s="312"/>
      <c r="FV259" s="312"/>
      <c r="FW259" s="312"/>
      <c r="FX259" s="312"/>
      <c r="FY259" s="312"/>
      <c r="FZ259" s="312"/>
      <c r="GA259" s="312"/>
      <c r="GB259" s="312"/>
      <c r="GC259" s="312"/>
      <c r="GD259" s="312"/>
      <c r="GE259" s="312"/>
      <c r="GF259" s="312"/>
      <c r="GG259" s="312"/>
      <c r="GH259" s="312"/>
      <c r="GI259" s="312"/>
      <c r="GJ259" s="312"/>
      <c r="GK259" s="312"/>
      <c r="GL259" s="312"/>
      <c r="GM259" s="312"/>
      <c r="GN259" s="312"/>
      <c r="GO259" s="312"/>
      <c r="GP259" s="312"/>
      <c r="GQ259" s="312"/>
      <c r="GR259" s="312"/>
      <c r="GS259" s="312"/>
      <c r="GT259" s="312"/>
      <c r="GU259" s="312"/>
      <c r="GV259" s="312"/>
      <c r="GW259" s="312"/>
      <c r="GX259" s="312"/>
      <c r="GY259" s="312"/>
    </row>
    <row r="260" spans="2:207" ht="15.75" x14ac:dyDescent="0.25">
      <c r="B260" s="316">
        <f t="shared" si="58"/>
        <v>230</v>
      </c>
      <c r="C260" s="330">
        <f>'סיכום לוועדה'!B260</f>
        <v>1001349548</v>
      </c>
      <c r="D260" s="330">
        <f>'סיכום לוועדה'!C260</f>
        <v>1001302223</v>
      </c>
      <c r="E260" s="330">
        <f>'סיכום לוועדה'!D260</f>
        <v>40221328</v>
      </c>
      <c r="F260" s="330">
        <f>'סיכום לוועדה'!E260</f>
        <v>20000035</v>
      </c>
      <c r="G260" s="330" t="str">
        <f>'סיכום לוועדה'!F260</f>
        <v>מגאר</v>
      </c>
      <c r="H260" s="317" t="str">
        <f>'סיכום לוועדה'!G260</f>
        <v>תיאטרון הגליל הקהילתי</v>
      </c>
      <c r="I260" s="318">
        <f>'סיכום לוועדה'!U260</f>
        <v>400000</v>
      </c>
      <c r="J260" s="319">
        <f>'סיכום לוועדה'!T260</f>
        <v>39082.262328974975</v>
      </c>
      <c r="K260" s="320">
        <f t="shared" si="59"/>
        <v>0</v>
      </c>
      <c r="L260" s="319">
        <f t="shared" si="60"/>
        <v>39082.262328974975</v>
      </c>
      <c r="M260" s="331">
        <f>'תחום תמיכה ב'!AF260</f>
        <v>2.3226383920545827E-4</v>
      </c>
      <c r="N260" s="319">
        <f t="shared" si="57"/>
        <v>43038.763466549346</v>
      </c>
      <c r="O260" s="321">
        <f t="shared" si="61"/>
        <v>0</v>
      </c>
      <c r="P260" s="322">
        <f t="shared" si="62"/>
        <v>43038.763466549346</v>
      </c>
      <c r="Q260" s="322">
        <f t="shared" si="63"/>
        <v>43058.360152237656</v>
      </c>
      <c r="R260" s="321">
        <f t="shared" si="64"/>
        <v>0</v>
      </c>
      <c r="S260" s="322">
        <f t="shared" si="65"/>
        <v>43058.360152237656</v>
      </c>
      <c r="T260" s="322">
        <f t="shared" si="66"/>
        <v>43058.360152237568</v>
      </c>
      <c r="U260" s="321">
        <f t="shared" si="67"/>
        <v>0</v>
      </c>
      <c r="V260" s="322">
        <f t="shared" si="68"/>
        <v>43058.360152237568</v>
      </c>
      <c r="W260" s="322">
        <f t="shared" si="69"/>
        <v>43058.36015223759</v>
      </c>
      <c r="X260" s="321">
        <f t="shared" si="70"/>
        <v>0</v>
      </c>
      <c r="Y260" s="322">
        <f t="shared" si="71"/>
        <v>43058.36015223759</v>
      </c>
      <c r="Z260" s="322">
        <f t="shared" si="72"/>
        <v>43058.360152237576</v>
      </c>
      <c r="AA260" s="323">
        <f t="shared" si="73"/>
        <v>43058.360152237576</v>
      </c>
      <c r="AB260" s="323"/>
      <c r="AC260" s="323"/>
      <c r="AD260" s="323"/>
      <c r="AE260" s="323"/>
      <c r="AF260" s="324">
        <f t="shared" si="74"/>
        <v>2.4658590937887321E-4</v>
      </c>
      <c r="AG260" s="312"/>
      <c r="AH260" s="312"/>
      <c r="AI260" s="325">
        <f t="shared" si="75"/>
        <v>1</v>
      </c>
      <c r="AJ260" s="312"/>
      <c r="AK260" s="312"/>
      <c r="AL260" s="312"/>
      <c r="AM260" s="312"/>
      <c r="AN260" s="312"/>
      <c r="AO260" s="312"/>
      <c r="AP260" s="312"/>
      <c r="AQ260" s="312"/>
      <c r="AR260" s="312"/>
      <c r="AS260" s="312"/>
      <c r="AT260" s="312"/>
      <c r="AU260" s="312"/>
      <c r="AV260" s="312"/>
      <c r="AW260" s="312"/>
      <c r="AX260" s="312"/>
      <c r="AY260" s="312"/>
      <c r="AZ260" s="312"/>
      <c r="BA260" s="312"/>
      <c r="BB260" s="312"/>
      <c r="BC260" s="312"/>
      <c r="BD260" s="312"/>
      <c r="BE260" s="312"/>
      <c r="BF260" s="312"/>
      <c r="BG260" s="312"/>
      <c r="BH260" s="312"/>
      <c r="BI260" s="312"/>
      <c r="BJ260" s="312"/>
      <c r="BK260" s="312"/>
      <c r="BL260" s="312"/>
      <c r="BM260" s="312"/>
      <c r="BN260" s="312"/>
      <c r="BO260" s="312"/>
      <c r="BP260" s="312"/>
      <c r="BQ260" s="312"/>
      <c r="BR260" s="312"/>
      <c r="BS260" s="312"/>
      <c r="BT260" s="312"/>
      <c r="BU260" s="312"/>
      <c r="BV260" s="312"/>
      <c r="BW260" s="312"/>
      <c r="BX260" s="312"/>
      <c r="BY260" s="312"/>
      <c r="BZ260" s="312"/>
      <c r="CA260" s="312"/>
      <c r="CB260" s="312"/>
      <c r="CC260" s="312"/>
      <c r="CD260" s="312"/>
      <c r="CE260" s="312"/>
      <c r="CF260" s="312"/>
      <c r="CG260" s="312"/>
      <c r="CH260" s="312"/>
      <c r="CI260" s="312"/>
      <c r="CJ260" s="312"/>
      <c r="CK260" s="312"/>
      <c r="CL260" s="312"/>
      <c r="CM260" s="312"/>
      <c r="CN260" s="312"/>
      <c r="CO260" s="312"/>
      <c r="CP260" s="312"/>
      <c r="CQ260" s="312"/>
      <c r="CR260" s="312"/>
      <c r="CS260" s="312"/>
      <c r="CT260" s="312"/>
      <c r="CU260" s="312"/>
      <c r="CV260" s="312"/>
      <c r="CW260" s="312"/>
      <c r="CX260" s="312"/>
      <c r="CY260" s="312"/>
      <c r="CZ260" s="312"/>
      <c r="DA260" s="312"/>
      <c r="DB260" s="312"/>
      <c r="DC260" s="312"/>
      <c r="DD260" s="312"/>
      <c r="DE260" s="312"/>
      <c r="DF260" s="312"/>
      <c r="DG260" s="312"/>
      <c r="DH260" s="312"/>
      <c r="DI260" s="312"/>
      <c r="DJ260" s="312"/>
      <c r="DK260" s="312"/>
      <c r="DL260" s="312"/>
      <c r="DM260" s="312"/>
      <c r="DN260" s="312"/>
      <c r="DO260" s="312"/>
      <c r="DP260" s="312"/>
      <c r="DQ260" s="312"/>
      <c r="DR260" s="312"/>
      <c r="DS260" s="312"/>
      <c r="DT260" s="312"/>
      <c r="DU260" s="312"/>
      <c r="DV260" s="312"/>
      <c r="DW260" s="312"/>
      <c r="DX260" s="312"/>
      <c r="DY260" s="312"/>
      <c r="DZ260" s="312"/>
      <c r="EA260" s="312"/>
      <c r="EB260" s="312"/>
      <c r="EC260" s="312"/>
      <c r="ED260" s="312"/>
      <c r="EE260" s="312"/>
      <c r="EF260" s="312"/>
      <c r="EG260" s="312"/>
      <c r="EH260" s="312"/>
      <c r="EI260" s="312"/>
      <c r="EJ260" s="312"/>
      <c r="EK260" s="312"/>
      <c r="EL260" s="312"/>
      <c r="EM260" s="312"/>
      <c r="EN260" s="312"/>
      <c r="EO260" s="312"/>
      <c r="EP260" s="312"/>
      <c r="EQ260" s="312"/>
      <c r="ER260" s="312"/>
      <c r="ES260" s="312"/>
      <c r="ET260" s="312"/>
      <c r="EU260" s="312"/>
      <c r="EV260" s="312"/>
      <c r="EW260" s="312"/>
      <c r="EX260" s="312"/>
      <c r="EY260" s="312"/>
      <c r="EZ260" s="312"/>
      <c r="FA260" s="312"/>
      <c r="FB260" s="312"/>
      <c r="FC260" s="312"/>
      <c r="FD260" s="312"/>
      <c r="FE260" s="312"/>
      <c r="FF260" s="312"/>
      <c r="FG260" s="312"/>
      <c r="FH260" s="312"/>
      <c r="FI260" s="312"/>
      <c r="FJ260" s="312"/>
      <c r="FK260" s="312"/>
      <c r="FL260" s="312"/>
      <c r="FM260" s="312"/>
      <c r="FN260" s="312"/>
      <c r="FO260" s="312"/>
      <c r="FP260" s="312"/>
      <c r="FQ260" s="312"/>
      <c r="FR260" s="312"/>
      <c r="FS260" s="312"/>
      <c r="FT260" s="312"/>
      <c r="FU260" s="312"/>
      <c r="FV260" s="312"/>
      <c r="FW260" s="312"/>
      <c r="FX260" s="312"/>
      <c r="FY260" s="312"/>
      <c r="FZ260" s="312"/>
      <c r="GA260" s="312"/>
      <c r="GB260" s="312"/>
      <c r="GC260" s="312"/>
      <c r="GD260" s="312"/>
      <c r="GE260" s="312"/>
      <c r="GF260" s="312"/>
      <c r="GG260" s="312"/>
      <c r="GH260" s="312"/>
      <c r="GI260" s="312"/>
      <c r="GJ260" s="312"/>
      <c r="GK260" s="312"/>
      <c r="GL260" s="312"/>
      <c r="GM260" s="312"/>
      <c r="GN260" s="312"/>
      <c r="GO260" s="312"/>
      <c r="GP260" s="312"/>
      <c r="GQ260" s="312"/>
      <c r="GR260" s="312"/>
      <c r="GS260" s="312"/>
      <c r="GT260" s="312"/>
      <c r="GU260" s="312"/>
      <c r="GV260" s="312"/>
      <c r="GW260" s="312"/>
      <c r="GX260" s="312"/>
      <c r="GY260" s="312"/>
    </row>
    <row r="261" spans="2:207" ht="15.75" x14ac:dyDescent="0.25">
      <c r="B261" s="316">
        <f t="shared" si="58"/>
        <v>231</v>
      </c>
      <c r="C261" s="330">
        <f>'סיכום לוועדה'!B261</f>
        <v>1001347151</v>
      </c>
      <c r="D261" s="330">
        <f>'סיכום לוועדה'!C261</f>
        <v>1001273224</v>
      </c>
      <c r="E261" s="330">
        <f>'סיכום לוועדה'!D261</f>
        <v>41072447</v>
      </c>
      <c r="F261" s="330">
        <f>'סיכום לוועדה'!E261</f>
        <v>20000159</v>
      </c>
      <c r="G261" s="330" t="str">
        <f>'סיכום לוועדה'!F261</f>
        <v>ירושלים</v>
      </c>
      <c r="H261" s="317" t="str">
        <f>'סיכום לוועדה'!G261</f>
        <v>מחול שלם - בית עכשווי למחול (ע"ר)</v>
      </c>
      <c r="I261" s="318">
        <f>'סיכום לוועדה'!U261</f>
        <v>400000</v>
      </c>
      <c r="J261" s="319">
        <f>'סיכום לוועדה'!T261</f>
        <v>108155.80878337752</v>
      </c>
      <c r="K261" s="320">
        <f t="shared" si="59"/>
        <v>0</v>
      </c>
      <c r="L261" s="319">
        <f t="shared" si="60"/>
        <v>108155.80878337752</v>
      </c>
      <c r="M261" s="331">
        <f>'תחום תמיכה ב'!AF261</f>
        <v>5.6543480901882456E-4</v>
      </c>
      <c r="N261" s="319">
        <f t="shared" si="57"/>
        <v>117787.71477769878</v>
      </c>
      <c r="O261" s="321">
        <f t="shared" si="61"/>
        <v>0</v>
      </c>
      <c r="P261" s="322">
        <f t="shared" si="62"/>
        <v>117787.71477769878</v>
      </c>
      <c r="Q261" s="322">
        <f t="shared" si="63"/>
        <v>117841.34663508793</v>
      </c>
      <c r="R261" s="321">
        <f t="shared" si="64"/>
        <v>0</v>
      </c>
      <c r="S261" s="322">
        <f t="shared" si="65"/>
        <v>117841.34663508793</v>
      </c>
      <c r="T261" s="322">
        <f t="shared" si="66"/>
        <v>117841.3466350877</v>
      </c>
      <c r="U261" s="321">
        <f t="shared" si="67"/>
        <v>0</v>
      </c>
      <c r="V261" s="322">
        <f t="shared" si="68"/>
        <v>117841.3466350877</v>
      </c>
      <c r="W261" s="322">
        <f t="shared" si="69"/>
        <v>117841.34663508776</v>
      </c>
      <c r="X261" s="321">
        <f t="shared" si="70"/>
        <v>0</v>
      </c>
      <c r="Y261" s="322">
        <f t="shared" si="71"/>
        <v>117841.34663508776</v>
      </c>
      <c r="Z261" s="322">
        <f t="shared" si="72"/>
        <v>117841.34663508773</v>
      </c>
      <c r="AA261" s="323">
        <f t="shared" si="73"/>
        <v>117841.34663508773</v>
      </c>
      <c r="AB261" s="323"/>
      <c r="AC261" s="323"/>
      <c r="AD261" s="323"/>
      <c r="AE261" s="323"/>
      <c r="AF261" s="324">
        <f t="shared" si="74"/>
        <v>6.7485188752442762E-4</v>
      </c>
      <c r="AG261" s="312"/>
      <c r="AH261" s="312"/>
      <c r="AI261" s="325">
        <f t="shared" si="75"/>
        <v>1</v>
      </c>
      <c r="AJ261" s="312"/>
      <c r="AK261" s="312"/>
      <c r="AL261" s="312"/>
      <c r="AM261" s="312"/>
      <c r="AN261" s="312"/>
      <c r="AO261" s="312"/>
      <c r="AP261" s="312"/>
      <c r="AQ261" s="312"/>
      <c r="AR261" s="312"/>
      <c r="AS261" s="312"/>
      <c r="AT261" s="312"/>
      <c r="AU261" s="312"/>
      <c r="AV261" s="312"/>
      <c r="AW261" s="312"/>
      <c r="AX261" s="312"/>
      <c r="AY261" s="312"/>
      <c r="AZ261" s="312"/>
      <c r="BA261" s="312"/>
      <c r="BB261" s="312"/>
      <c r="BC261" s="312"/>
      <c r="BD261" s="312"/>
      <c r="BE261" s="312"/>
      <c r="BF261" s="312"/>
      <c r="BG261" s="312"/>
      <c r="BH261" s="312"/>
      <c r="BI261" s="312"/>
      <c r="BJ261" s="312"/>
      <c r="BK261" s="312"/>
      <c r="BL261" s="312"/>
      <c r="BM261" s="312"/>
      <c r="BN261" s="312"/>
      <c r="BO261" s="312"/>
      <c r="BP261" s="312"/>
      <c r="BQ261" s="312"/>
      <c r="BR261" s="312"/>
      <c r="BS261" s="312"/>
      <c r="BT261" s="312"/>
      <c r="BU261" s="312"/>
      <c r="BV261" s="312"/>
      <c r="BW261" s="312"/>
      <c r="BX261" s="312"/>
      <c r="BY261" s="312"/>
      <c r="BZ261" s="312"/>
      <c r="CA261" s="312"/>
      <c r="CB261" s="312"/>
      <c r="CC261" s="312"/>
      <c r="CD261" s="312"/>
      <c r="CE261" s="312"/>
      <c r="CF261" s="312"/>
      <c r="CG261" s="312"/>
      <c r="CH261" s="312"/>
      <c r="CI261" s="312"/>
      <c r="CJ261" s="312"/>
      <c r="CK261" s="312"/>
      <c r="CL261" s="312"/>
      <c r="CM261" s="312"/>
      <c r="CN261" s="312"/>
      <c r="CO261" s="312"/>
      <c r="CP261" s="312"/>
      <c r="CQ261" s="312"/>
      <c r="CR261" s="312"/>
      <c r="CS261" s="312"/>
      <c r="CT261" s="312"/>
      <c r="CU261" s="312"/>
      <c r="CV261" s="312"/>
      <c r="CW261" s="312"/>
      <c r="CX261" s="312"/>
      <c r="CY261" s="312"/>
      <c r="CZ261" s="312"/>
      <c r="DA261" s="312"/>
      <c r="DB261" s="312"/>
      <c r="DC261" s="312"/>
      <c r="DD261" s="312"/>
      <c r="DE261" s="312"/>
      <c r="DF261" s="312"/>
      <c r="DG261" s="312"/>
      <c r="DH261" s="312"/>
      <c r="DI261" s="312"/>
      <c r="DJ261" s="312"/>
      <c r="DK261" s="312"/>
      <c r="DL261" s="312"/>
      <c r="DM261" s="312"/>
      <c r="DN261" s="312"/>
      <c r="DO261" s="312"/>
      <c r="DP261" s="312"/>
      <c r="DQ261" s="312"/>
      <c r="DR261" s="312"/>
      <c r="DS261" s="312"/>
      <c r="DT261" s="312"/>
      <c r="DU261" s="312"/>
      <c r="DV261" s="312"/>
      <c r="DW261" s="312"/>
      <c r="DX261" s="312"/>
      <c r="DY261" s="312"/>
      <c r="DZ261" s="312"/>
      <c r="EA261" s="312"/>
      <c r="EB261" s="312"/>
      <c r="EC261" s="312"/>
      <c r="ED261" s="312"/>
      <c r="EE261" s="312"/>
      <c r="EF261" s="312"/>
      <c r="EG261" s="312"/>
      <c r="EH261" s="312"/>
      <c r="EI261" s="312"/>
      <c r="EJ261" s="312"/>
      <c r="EK261" s="312"/>
      <c r="EL261" s="312"/>
      <c r="EM261" s="312"/>
      <c r="EN261" s="312"/>
      <c r="EO261" s="312"/>
      <c r="EP261" s="312"/>
      <c r="EQ261" s="312"/>
      <c r="ER261" s="312"/>
      <c r="ES261" s="312"/>
      <c r="ET261" s="312"/>
      <c r="EU261" s="312"/>
      <c r="EV261" s="312"/>
      <c r="EW261" s="312"/>
      <c r="EX261" s="312"/>
      <c r="EY261" s="312"/>
      <c r="EZ261" s="312"/>
      <c r="FA261" s="312"/>
      <c r="FB261" s="312"/>
      <c r="FC261" s="312"/>
      <c r="FD261" s="312"/>
      <c r="FE261" s="312"/>
      <c r="FF261" s="312"/>
      <c r="FG261" s="312"/>
      <c r="FH261" s="312"/>
      <c r="FI261" s="312"/>
      <c r="FJ261" s="312"/>
      <c r="FK261" s="312"/>
      <c r="FL261" s="312"/>
      <c r="FM261" s="312"/>
      <c r="FN261" s="312"/>
      <c r="FO261" s="312"/>
      <c r="FP261" s="312"/>
      <c r="FQ261" s="312"/>
      <c r="FR261" s="312"/>
      <c r="FS261" s="312"/>
      <c r="FT261" s="312"/>
      <c r="FU261" s="312"/>
      <c r="FV261" s="312"/>
      <c r="FW261" s="312"/>
      <c r="FX261" s="312"/>
      <c r="FY261" s="312"/>
      <c r="FZ261" s="312"/>
      <c r="GA261" s="312"/>
      <c r="GB261" s="312"/>
      <c r="GC261" s="312"/>
      <c r="GD261" s="312"/>
      <c r="GE261" s="312"/>
      <c r="GF261" s="312"/>
      <c r="GG261" s="312"/>
      <c r="GH261" s="312"/>
      <c r="GI261" s="312"/>
      <c r="GJ261" s="312"/>
      <c r="GK261" s="312"/>
      <c r="GL261" s="312"/>
      <c r="GM261" s="312"/>
      <c r="GN261" s="312"/>
      <c r="GO261" s="312"/>
      <c r="GP261" s="312"/>
      <c r="GQ261" s="312"/>
      <c r="GR261" s="312"/>
      <c r="GS261" s="312"/>
      <c r="GT261" s="312"/>
      <c r="GU261" s="312"/>
      <c r="GV261" s="312"/>
      <c r="GW261" s="312"/>
      <c r="GX261" s="312"/>
      <c r="GY261" s="312"/>
    </row>
    <row r="262" spans="2:207" ht="15.75" x14ac:dyDescent="0.25">
      <c r="B262" s="316">
        <f t="shared" si="58"/>
        <v>232</v>
      </c>
      <c r="C262" s="330">
        <f>'סיכום לוועדה'!B262</f>
        <v>1001347854</v>
      </c>
      <c r="D262" s="330">
        <f>'סיכום לוועדה'!C262</f>
        <v>1001302179</v>
      </c>
      <c r="E262" s="330">
        <f>'סיכום לוועדה'!D262</f>
        <v>41072447</v>
      </c>
      <c r="F262" s="330">
        <f>'סיכום לוועדה'!E262</f>
        <v>20000159</v>
      </c>
      <c r="G262" s="330" t="str">
        <f>'סיכום לוועדה'!F262</f>
        <v>ירושלים</v>
      </c>
      <c r="H262" s="317" t="str">
        <f>'סיכום לוועדה'!G262</f>
        <v>מחול שלם - בית עכשווי למחול (ע"ר)</v>
      </c>
      <c r="I262" s="318">
        <f>'סיכום לוועדה'!U262</f>
        <v>350000</v>
      </c>
      <c r="J262" s="319">
        <f>'סיכום לוועדה'!T262</f>
        <v>15945.478711203999</v>
      </c>
      <c r="K262" s="320">
        <f t="shared" si="59"/>
        <v>0</v>
      </c>
      <c r="L262" s="319">
        <f t="shared" si="60"/>
        <v>15945.478711203999</v>
      </c>
      <c r="M262" s="331">
        <f>'תחום תמיכה ב'!AF262</f>
        <v>9.993164718577756E-5</v>
      </c>
      <c r="N262" s="319">
        <f t="shared" si="57"/>
        <v>17647.765546394305</v>
      </c>
      <c r="O262" s="321">
        <f t="shared" si="61"/>
        <v>0</v>
      </c>
      <c r="P262" s="322">
        <f t="shared" si="62"/>
        <v>17647.765546394305</v>
      </c>
      <c r="Q262" s="322">
        <f t="shared" si="63"/>
        <v>17655.801040136648</v>
      </c>
      <c r="R262" s="321">
        <f t="shared" si="64"/>
        <v>0</v>
      </c>
      <c r="S262" s="322">
        <f t="shared" si="65"/>
        <v>17655.801040136648</v>
      </c>
      <c r="T262" s="322">
        <f t="shared" si="66"/>
        <v>17655.801040136612</v>
      </c>
      <c r="U262" s="321">
        <f t="shared" si="67"/>
        <v>0</v>
      </c>
      <c r="V262" s="322">
        <f t="shared" si="68"/>
        <v>17655.801040136612</v>
      </c>
      <c r="W262" s="322">
        <f t="shared" si="69"/>
        <v>17655.801040136619</v>
      </c>
      <c r="X262" s="321">
        <f t="shared" si="70"/>
        <v>0</v>
      </c>
      <c r="Y262" s="322">
        <f t="shared" si="71"/>
        <v>17655.801040136619</v>
      </c>
      <c r="Z262" s="322">
        <f t="shared" si="72"/>
        <v>17655.801040136615</v>
      </c>
      <c r="AA262" s="323">
        <f t="shared" si="73"/>
        <v>17655.801040136615</v>
      </c>
      <c r="AB262" s="323"/>
      <c r="AC262" s="323"/>
      <c r="AD262" s="323"/>
      <c r="AE262" s="323"/>
      <c r="AF262" s="324">
        <f t="shared" si="74"/>
        <v>1.0111095127407679E-4</v>
      </c>
      <c r="AG262" s="312"/>
      <c r="AH262" s="312"/>
      <c r="AI262" s="325">
        <f t="shared" si="75"/>
        <v>1</v>
      </c>
      <c r="AJ262" s="312"/>
      <c r="AK262" s="312"/>
      <c r="AL262" s="312"/>
      <c r="AM262" s="312"/>
      <c r="AN262" s="312"/>
      <c r="AO262" s="312"/>
      <c r="AP262" s="312"/>
      <c r="AQ262" s="312"/>
      <c r="AR262" s="312"/>
      <c r="AS262" s="312"/>
      <c r="AT262" s="312"/>
      <c r="AU262" s="312"/>
      <c r="AV262" s="312"/>
      <c r="AW262" s="312"/>
      <c r="AX262" s="312"/>
      <c r="AY262" s="312"/>
      <c r="AZ262" s="312"/>
      <c r="BA262" s="312"/>
      <c r="BB262" s="312"/>
      <c r="BC262" s="312"/>
      <c r="BD262" s="312"/>
      <c r="BE262" s="312"/>
      <c r="BF262" s="312"/>
      <c r="BG262" s="312"/>
      <c r="BH262" s="312"/>
      <c r="BI262" s="312"/>
      <c r="BJ262" s="312"/>
      <c r="BK262" s="312"/>
      <c r="BL262" s="312"/>
      <c r="BM262" s="312"/>
      <c r="BN262" s="312"/>
      <c r="BO262" s="312"/>
      <c r="BP262" s="312"/>
      <c r="BQ262" s="312"/>
      <c r="BR262" s="312"/>
      <c r="BS262" s="312"/>
      <c r="BT262" s="312"/>
      <c r="BU262" s="312"/>
      <c r="BV262" s="312"/>
      <c r="BW262" s="312"/>
      <c r="BX262" s="312"/>
      <c r="BY262" s="312"/>
      <c r="BZ262" s="312"/>
      <c r="CA262" s="312"/>
      <c r="CB262" s="312"/>
      <c r="CC262" s="312"/>
      <c r="CD262" s="312"/>
      <c r="CE262" s="312"/>
      <c r="CF262" s="312"/>
      <c r="CG262" s="312"/>
      <c r="CH262" s="312"/>
      <c r="CI262" s="312"/>
      <c r="CJ262" s="312"/>
      <c r="CK262" s="312"/>
      <c r="CL262" s="312"/>
      <c r="CM262" s="312"/>
      <c r="CN262" s="312"/>
      <c r="CO262" s="312"/>
      <c r="CP262" s="312"/>
      <c r="CQ262" s="312"/>
      <c r="CR262" s="312"/>
      <c r="CS262" s="312"/>
      <c r="CT262" s="312"/>
      <c r="CU262" s="312"/>
      <c r="CV262" s="312"/>
      <c r="CW262" s="312"/>
      <c r="CX262" s="312"/>
      <c r="CY262" s="312"/>
      <c r="CZ262" s="312"/>
      <c r="DA262" s="312"/>
      <c r="DB262" s="312"/>
      <c r="DC262" s="312"/>
      <c r="DD262" s="312"/>
      <c r="DE262" s="312"/>
      <c r="DF262" s="312"/>
      <c r="DG262" s="312"/>
      <c r="DH262" s="312"/>
      <c r="DI262" s="312"/>
      <c r="DJ262" s="312"/>
      <c r="DK262" s="312"/>
      <c r="DL262" s="312"/>
      <c r="DM262" s="312"/>
      <c r="DN262" s="312"/>
      <c r="DO262" s="312"/>
      <c r="DP262" s="312"/>
      <c r="DQ262" s="312"/>
      <c r="DR262" s="312"/>
      <c r="DS262" s="312"/>
      <c r="DT262" s="312"/>
      <c r="DU262" s="312"/>
      <c r="DV262" s="312"/>
      <c r="DW262" s="312"/>
      <c r="DX262" s="312"/>
      <c r="DY262" s="312"/>
      <c r="DZ262" s="312"/>
      <c r="EA262" s="312"/>
      <c r="EB262" s="312"/>
      <c r="EC262" s="312"/>
      <c r="ED262" s="312"/>
      <c r="EE262" s="312"/>
      <c r="EF262" s="312"/>
      <c r="EG262" s="312"/>
      <c r="EH262" s="312"/>
      <c r="EI262" s="312"/>
      <c r="EJ262" s="312"/>
      <c r="EK262" s="312"/>
      <c r="EL262" s="312"/>
      <c r="EM262" s="312"/>
      <c r="EN262" s="312"/>
      <c r="EO262" s="312"/>
      <c r="EP262" s="312"/>
      <c r="EQ262" s="312"/>
      <c r="ER262" s="312"/>
      <c r="ES262" s="312"/>
      <c r="ET262" s="312"/>
      <c r="EU262" s="312"/>
      <c r="EV262" s="312"/>
      <c r="EW262" s="312"/>
      <c r="EX262" s="312"/>
      <c r="EY262" s="312"/>
      <c r="EZ262" s="312"/>
      <c r="FA262" s="312"/>
      <c r="FB262" s="312"/>
      <c r="FC262" s="312"/>
      <c r="FD262" s="312"/>
      <c r="FE262" s="312"/>
      <c r="FF262" s="312"/>
      <c r="FG262" s="312"/>
      <c r="FH262" s="312"/>
      <c r="FI262" s="312"/>
      <c r="FJ262" s="312"/>
      <c r="FK262" s="312"/>
      <c r="FL262" s="312"/>
      <c r="FM262" s="312"/>
      <c r="FN262" s="312"/>
      <c r="FO262" s="312"/>
      <c r="FP262" s="312"/>
      <c r="FQ262" s="312"/>
      <c r="FR262" s="312"/>
      <c r="FS262" s="312"/>
      <c r="FT262" s="312"/>
      <c r="FU262" s="312"/>
      <c r="FV262" s="312"/>
      <c r="FW262" s="312"/>
      <c r="FX262" s="312"/>
      <c r="FY262" s="312"/>
      <c r="FZ262" s="312"/>
      <c r="GA262" s="312"/>
      <c r="GB262" s="312"/>
      <c r="GC262" s="312"/>
      <c r="GD262" s="312"/>
      <c r="GE262" s="312"/>
      <c r="GF262" s="312"/>
      <c r="GG262" s="312"/>
      <c r="GH262" s="312"/>
      <c r="GI262" s="312"/>
      <c r="GJ262" s="312"/>
      <c r="GK262" s="312"/>
      <c r="GL262" s="312"/>
      <c r="GM262" s="312"/>
      <c r="GN262" s="312"/>
      <c r="GO262" s="312"/>
      <c r="GP262" s="312"/>
      <c r="GQ262" s="312"/>
      <c r="GR262" s="312"/>
      <c r="GS262" s="312"/>
      <c r="GT262" s="312"/>
      <c r="GU262" s="312"/>
      <c r="GV262" s="312"/>
      <c r="GW262" s="312"/>
      <c r="GX262" s="312"/>
      <c r="GY262" s="312"/>
    </row>
    <row r="263" spans="2:207" ht="15.75" x14ac:dyDescent="0.25">
      <c r="B263" s="316">
        <f t="shared" si="58"/>
        <v>233</v>
      </c>
      <c r="C263" s="330">
        <f>'סיכום לוועדה'!B263</f>
        <v>1001347063</v>
      </c>
      <c r="D263" s="330">
        <f>'סיכום לוועדה'!C263</f>
        <v>1001290740</v>
      </c>
      <c r="E263" s="330">
        <f>'סיכום לוועדה'!D263</f>
        <v>41635660</v>
      </c>
      <c r="F263" s="330">
        <f>'סיכום לוועדה'!E263</f>
        <v>20000254</v>
      </c>
      <c r="G263" s="330" t="str">
        <f>'סיכום לוועדה'!F263</f>
        <v>באר שבע</v>
      </c>
      <c r="H263" s="317" t="str">
        <f>'סיכום לוועדה'!G263</f>
        <v>עמותת הבית למחול</v>
      </c>
      <c r="I263" s="318">
        <f>'סיכום לוועדה'!U263</f>
        <v>1000000</v>
      </c>
      <c r="J263" s="319">
        <f>'סיכום לוועדה'!T263</f>
        <v>31972.797698802755</v>
      </c>
      <c r="K263" s="320">
        <f t="shared" si="59"/>
        <v>0</v>
      </c>
      <c r="L263" s="319">
        <f t="shared" si="60"/>
        <v>31972.797698802755</v>
      </c>
      <c r="M263" s="331">
        <f>'תחום תמיכה ב'!AF263</f>
        <v>2.1168104920729397E-4</v>
      </c>
      <c r="N263" s="319">
        <f t="shared" si="57"/>
        <v>35578.681054802633</v>
      </c>
      <c r="O263" s="321">
        <f t="shared" si="61"/>
        <v>0</v>
      </c>
      <c r="P263" s="322">
        <f t="shared" si="62"/>
        <v>35578.681054802633</v>
      </c>
      <c r="Q263" s="322">
        <f t="shared" si="63"/>
        <v>35594.880967943202</v>
      </c>
      <c r="R263" s="321">
        <f t="shared" si="64"/>
        <v>0</v>
      </c>
      <c r="S263" s="322">
        <f t="shared" si="65"/>
        <v>35594.880967943202</v>
      </c>
      <c r="T263" s="322">
        <f t="shared" si="66"/>
        <v>35594.880967943129</v>
      </c>
      <c r="U263" s="321">
        <f t="shared" si="67"/>
        <v>0</v>
      </c>
      <c r="V263" s="322">
        <f t="shared" si="68"/>
        <v>35594.880967943129</v>
      </c>
      <c r="W263" s="322">
        <f t="shared" si="69"/>
        <v>35594.880967943136</v>
      </c>
      <c r="X263" s="321">
        <f t="shared" si="70"/>
        <v>0</v>
      </c>
      <c r="Y263" s="322">
        <f t="shared" si="71"/>
        <v>35594.880967943136</v>
      </c>
      <c r="Z263" s="322">
        <f t="shared" si="72"/>
        <v>35594.880967943129</v>
      </c>
      <c r="AA263" s="323">
        <f t="shared" si="73"/>
        <v>35594.880967943129</v>
      </c>
      <c r="AB263" s="323"/>
      <c r="AC263" s="323"/>
      <c r="AD263" s="323"/>
      <c r="AE263" s="323"/>
      <c r="AF263" s="324">
        <f t="shared" si="74"/>
        <v>2.0384417942718349E-4</v>
      </c>
      <c r="AG263" s="312"/>
      <c r="AH263" s="312"/>
      <c r="AI263" s="325">
        <f t="shared" si="75"/>
        <v>1</v>
      </c>
      <c r="AJ263" s="312"/>
      <c r="AK263" s="312"/>
      <c r="AL263" s="312"/>
      <c r="AM263" s="312"/>
      <c r="AN263" s="312"/>
      <c r="AO263" s="312"/>
      <c r="AP263" s="312"/>
      <c r="AQ263" s="312"/>
      <c r="AR263" s="312"/>
      <c r="AS263" s="312"/>
      <c r="AT263" s="312"/>
      <c r="AU263" s="312"/>
      <c r="AV263" s="312"/>
      <c r="AW263" s="312"/>
      <c r="AX263" s="312"/>
      <c r="AY263" s="312"/>
      <c r="AZ263" s="312"/>
      <c r="BA263" s="312"/>
      <c r="BB263" s="312"/>
      <c r="BC263" s="312"/>
      <c r="BD263" s="312"/>
      <c r="BE263" s="312"/>
      <c r="BF263" s="312"/>
      <c r="BG263" s="312"/>
      <c r="BH263" s="312"/>
      <c r="BI263" s="312"/>
      <c r="BJ263" s="312"/>
      <c r="BK263" s="312"/>
      <c r="BL263" s="312"/>
      <c r="BM263" s="312"/>
      <c r="BN263" s="312"/>
      <c r="BO263" s="312"/>
      <c r="BP263" s="312"/>
      <c r="BQ263" s="312"/>
      <c r="BR263" s="312"/>
      <c r="BS263" s="312"/>
      <c r="BT263" s="312"/>
      <c r="BU263" s="312"/>
      <c r="BV263" s="312"/>
      <c r="BW263" s="312"/>
      <c r="BX263" s="312"/>
      <c r="BY263" s="312"/>
      <c r="BZ263" s="312"/>
      <c r="CA263" s="312"/>
      <c r="CB263" s="312"/>
      <c r="CC263" s="312"/>
      <c r="CD263" s="312"/>
      <c r="CE263" s="312"/>
      <c r="CF263" s="312"/>
      <c r="CG263" s="312"/>
      <c r="CH263" s="312"/>
      <c r="CI263" s="312"/>
      <c r="CJ263" s="312"/>
      <c r="CK263" s="312"/>
      <c r="CL263" s="312"/>
      <c r="CM263" s="312"/>
      <c r="CN263" s="312"/>
      <c r="CO263" s="312"/>
      <c r="CP263" s="312"/>
      <c r="CQ263" s="312"/>
      <c r="CR263" s="312"/>
      <c r="CS263" s="312"/>
      <c r="CT263" s="312"/>
      <c r="CU263" s="312"/>
      <c r="CV263" s="312"/>
      <c r="CW263" s="312"/>
      <c r="CX263" s="312"/>
      <c r="CY263" s="312"/>
      <c r="CZ263" s="312"/>
      <c r="DA263" s="312"/>
      <c r="DB263" s="312"/>
      <c r="DC263" s="312"/>
      <c r="DD263" s="312"/>
      <c r="DE263" s="312"/>
      <c r="DF263" s="312"/>
      <c r="DG263" s="312"/>
      <c r="DH263" s="312"/>
      <c r="DI263" s="312"/>
      <c r="DJ263" s="312"/>
      <c r="DK263" s="312"/>
      <c r="DL263" s="312"/>
      <c r="DM263" s="312"/>
      <c r="DN263" s="312"/>
      <c r="DO263" s="312"/>
      <c r="DP263" s="312"/>
      <c r="DQ263" s="312"/>
      <c r="DR263" s="312"/>
      <c r="DS263" s="312"/>
      <c r="DT263" s="312"/>
      <c r="DU263" s="312"/>
      <c r="DV263" s="312"/>
      <c r="DW263" s="312"/>
      <c r="DX263" s="312"/>
      <c r="DY263" s="312"/>
      <c r="DZ263" s="312"/>
      <c r="EA263" s="312"/>
      <c r="EB263" s="312"/>
      <c r="EC263" s="312"/>
      <c r="ED263" s="312"/>
      <c r="EE263" s="312"/>
      <c r="EF263" s="312"/>
      <c r="EG263" s="312"/>
      <c r="EH263" s="312"/>
      <c r="EI263" s="312"/>
      <c r="EJ263" s="312"/>
      <c r="EK263" s="312"/>
      <c r="EL263" s="312"/>
      <c r="EM263" s="312"/>
      <c r="EN263" s="312"/>
      <c r="EO263" s="312"/>
      <c r="EP263" s="312"/>
      <c r="EQ263" s="312"/>
      <c r="ER263" s="312"/>
      <c r="ES263" s="312"/>
      <c r="ET263" s="312"/>
      <c r="EU263" s="312"/>
      <c r="EV263" s="312"/>
      <c r="EW263" s="312"/>
      <c r="EX263" s="312"/>
      <c r="EY263" s="312"/>
      <c r="EZ263" s="312"/>
      <c r="FA263" s="312"/>
      <c r="FB263" s="312"/>
      <c r="FC263" s="312"/>
      <c r="FD263" s="312"/>
      <c r="FE263" s="312"/>
      <c r="FF263" s="312"/>
      <c r="FG263" s="312"/>
      <c r="FH263" s="312"/>
      <c r="FI263" s="312"/>
      <c r="FJ263" s="312"/>
      <c r="FK263" s="312"/>
      <c r="FL263" s="312"/>
      <c r="FM263" s="312"/>
      <c r="FN263" s="312"/>
      <c r="FO263" s="312"/>
      <c r="FP263" s="312"/>
      <c r="FQ263" s="312"/>
      <c r="FR263" s="312"/>
      <c r="FS263" s="312"/>
      <c r="FT263" s="312"/>
      <c r="FU263" s="312"/>
      <c r="FV263" s="312"/>
      <c r="FW263" s="312"/>
      <c r="FX263" s="312"/>
      <c r="FY263" s="312"/>
      <c r="FZ263" s="312"/>
      <c r="GA263" s="312"/>
      <c r="GB263" s="312"/>
      <c r="GC263" s="312"/>
      <c r="GD263" s="312"/>
      <c r="GE263" s="312"/>
      <c r="GF263" s="312"/>
      <c r="GG263" s="312"/>
      <c r="GH263" s="312"/>
      <c r="GI263" s="312"/>
      <c r="GJ263" s="312"/>
      <c r="GK263" s="312"/>
      <c r="GL263" s="312"/>
      <c r="GM263" s="312"/>
      <c r="GN263" s="312"/>
      <c r="GO263" s="312"/>
      <c r="GP263" s="312"/>
      <c r="GQ263" s="312"/>
      <c r="GR263" s="312"/>
      <c r="GS263" s="312"/>
      <c r="GT263" s="312"/>
      <c r="GU263" s="312"/>
      <c r="GV263" s="312"/>
      <c r="GW263" s="312"/>
      <c r="GX263" s="312"/>
      <c r="GY263" s="312"/>
    </row>
    <row r="264" spans="2:207" ht="15.75" x14ac:dyDescent="0.25">
      <c r="B264" s="316">
        <f t="shared" si="58"/>
        <v>234</v>
      </c>
      <c r="C264" s="330">
        <f>'סיכום לוועדה'!B264</f>
        <v>1001347315</v>
      </c>
      <c r="D264" s="330">
        <f>'סיכום לוועדה'!C264</f>
        <v>1001270643</v>
      </c>
      <c r="E264" s="330">
        <f>'סיכום לוועדה'!D264</f>
        <v>40000252</v>
      </c>
      <c r="F264" s="330">
        <f>'סיכום לוועדה'!E264</f>
        <v>20000182</v>
      </c>
      <c r="G264" s="330" t="str">
        <f>'סיכום לוועדה'!F264</f>
        <v>חיפה</v>
      </c>
      <c r="H264" s="317" t="str">
        <f>'סיכום לוועדה'!G264</f>
        <v>אתו"ס - החברה לאומנות תרבות וספורט</v>
      </c>
      <c r="I264" s="318">
        <f>'סיכום לוועדה'!U264</f>
        <v>130000</v>
      </c>
      <c r="J264" s="319">
        <f>'סיכום לוועדה'!T264</f>
        <v>21223.11504234327</v>
      </c>
      <c r="K264" s="320">
        <f t="shared" si="59"/>
        <v>0</v>
      </c>
      <c r="L264" s="319">
        <f t="shared" si="60"/>
        <v>21223.11504234327</v>
      </c>
      <c r="M264" s="331">
        <f>'תחום תמיכה ב'!AF264</f>
        <v>9.0673105939844778E-5</v>
      </c>
      <c r="N264" s="319">
        <f t="shared" si="57"/>
        <v>22767.687146316166</v>
      </c>
      <c r="O264" s="321">
        <f t="shared" si="61"/>
        <v>0</v>
      </c>
      <c r="P264" s="322">
        <f t="shared" si="62"/>
        <v>22767.687146316166</v>
      </c>
      <c r="Q264" s="322">
        <f t="shared" si="63"/>
        <v>22778.053875583442</v>
      </c>
      <c r="R264" s="321">
        <f t="shared" si="64"/>
        <v>0</v>
      </c>
      <c r="S264" s="322">
        <f t="shared" si="65"/>
        <v>22778.053875583442</v>
      </c>
      <c r="T264" s="322">
        <f t="shared" si="66"/>
        <v>22778.053875583395</v>
      </c>
      <c r="U264" s="321">
        <f t="shared" si="67"/>
        <v>0</v>
      </c>
      <c r="V264" s="322">
        <f t="shared" si="68"/>
        <v>22778.053875583395</v>
      </c>
      <c r="W264" s="322">
        <f t="shared" si="69"/>
        <v>22778.053875583402</v>
      </c>
      <c r="X264" s="321">
        <f t="shared" si="70"/>
        <v>0</v>
      </c>
      <c r="Y264" s="322">
        <f t="shared" si="71"/>
        <v>22778.053875583402</v>
      </c>
      <c r="Z264" s="322">
        <f t="shared" si="72"/>
        <v>22778.053875583399</v>
      </c>
      <c r="AA264" s="323">
        <f t="shared" si="73"/>
        <v>22778.053875583399</v>
      </c>
      <c r="AB264" s="323"/>
      <c r="AC264" s="323"/>
      <c r="AD264" s="323"/>
      <c r="AE264" s="323"/>
      <c r="AF264" s="324">
        <f t="shared" si="74"/>
        <v>1.3044498464254262E-4</v>
      </c>
      <c r="AG264" s="312"/>
      <c r="AH264" s="312"/>
      <c r="AI264" s="325">
        <f t="shared" si="75"/>
        <v>1</v>
      </c>
      <c r="AJ264" s="312"/>
      <c r="AK264" s="312"/>
      <c r="AL264" s="312"/>
      <c r="AM264" s="312"/>
      <c r="AN264" s="312"/>
      <c r="AO264" s="312"/>
      <c r="AP264" s="312"/>
      <c r="AQ264" s="312"/>
      <c r="AR264" s="312"/>
      <c r="AS264" s="312"/>
      <c r="AT264" s="312"/>
      <c r="AU264" s="312"/>
      <c r="AV264" s="312"/>
      <c r="AW264" s="312"/>
      <c r="AX264" s="312"/>
      <c r="AY264" s="312"/>
      <c r="AZ264" s="312"/>
      <c r="BA264" s="312"/>
      <c r="BB264" s="312"/>
      <c r="BC264" s="312"/>
      <c r="BD264" s="312"/>
      <c r="BE264" s="312"/>
      <c r="BF264" s="312"/>
      <c r="BG264" s="312"/>
      <c r="BH264" s="312"/>
      <c r="BI264" s="312"/>
      <c r="BJ264" s="312"/>
      <c r="BK264" s="312"/>
      <c r="BL264" s="312"/>
      <c r="BM264" s="312"/>
      <c r="BN264" s="312"/>
      <c r="BO264" s="312"/>
      <c r="BP264" s="312"/>
      <c r="BQ264" s="312"/>
      <c r="BR264" s="312"/>
      <c r="BS264" s="312"/>
      <c r="BT264" s="312"/>
      <c r="BU264" s="312"/>
      <c r="BV264" s="312"/>
      <c r="BW264" s="312"/>
      <c r="BX264" s="312"/>
      <c r="BY264" s="312"/>
      <c r="BZ264" s="312"/>
      <c r="CA264" s="312"/>
      <c r="CB264" s="312"/>
      <c r="CC264" s="312"/>
      <c r="CD264" s="312"/>
      <c r="CE264" s="312"/>
      <c r="CF264" s="312"/>
      <c r="CG264" s="312"/>
      <c r="CH264" s="312"/>
      <c r="CI264" s="312"/>
      <c r="CJ264" s="312"/>
      <c r="CK264" s="312"/>
      <c r="CL264" s="312"/>
      <c r="CM264" s="312"/>
      <c r="CN264" s="312"/>
      <c r="CO264" s="312"/>
      <c r="CP264" s="312"/>
      <c r="CQ264" s="312"/>
      <c r="CR264" s="312"/>
      <c r="CS264" s="312"/>
      <c r="CT264" s="312"/>
      <c r="CU264" s="312"/>
      <c r="CV264" s="312"/>
      <c r="CW264" s="312"/>
      <c r="CX264" s="312"/>
      <c r="CY264" s="312"/>
      <c r="CZ264" s="312"/>
      <c r="DA264" s="312"/>
      <c r="DB264" s="312"/>
      <c r="DC264" s="312"/>
      <c r="DD264" s="312"/>
      <c r="DE264" s="312"/>
      <c r="DF264" s="312"/>
      <c r="DG264" s="312"/>
      <c r="DH264" s="312"/>
      <c r="DI264" s="312"/>
      <c r="DJ264" s="312"/>
      <c r="DK264" s="312"/>
      <c r="DL264" s="312"/>
      <c r="DM264" s="312"/>
      <c r="DN264" s="312"/>
      <c r="DO264" s="312"/>
      <c r="DP264" s="312"/>
      <c r="DQ264" s="312"/>
      <c r="DR264" s="312"/>
      <c r="DS264" s="312"/>
      <c r="DT264" s="312"/>
      <c r="DU264" s="312"/>
      <c r="DV264" s="312"/>
      <c r="DW264" s="312"/>
      <c r="DX264" s="312"/>
      <c r="DY264" s="312"/>
      <c r="DZ264" s="312"/>
      <c r="EA264" s="312"/>
      <c r="EB264" s="312"/>
      <c r="EC264" s="312"/>
      <c r="ED264" s="312"/>
      <c r="EE264" s="312"/>
      <c r="EF264" s="312"/>
      <c r="EG264" s="312"/>
      <c r="EH264" s="312"/>
      <c r="EI264" s="312"/>
      <c r="EJ264" s="312"/>
      <c r="EK264" s="312"/>
      <c r="EL264" s="312"/>
      <c r="EM264" s="312"/>
      <c r="EN264" s="312"/>
      <c r="EO264" s="312"/>
      <c r="EP264" s="312"/>
      <c r="EQ264" s="312"/>
      <c r="ER264" s="312"/>
      <c r="ES264" s="312"/>
      <c r="ET264" s="312"/>
      <c r="EU264" s="312"/>
      <c r="EV264" s="312"/>
      <c r="EW264" s="312"/>
      <c r="EX264" s="312"/>
      <c r="EY264" s="312"/>
      <c r="EZ264" s="312"/>
      <c r="FA264" s="312"/>
      <c r="FB264" s="312"/>
      <c r="FC264" s="312"/>
      <c r="FD264" s="312"/>
      <c r="FE264" s="312"/>
      <c r="FF264" s="312"/>
      <c r="FG264" s="312"/>
      <c r="FH264" s="312"/>
      <c r="FI264" s="312"/>
      <c r="FJ264" s="312"/>
      <c r="FK264" s="312"/>
      <c r="FL264" s="312"/>
      <c r="FM264" s="312"/>
      <c r="FN264" s="312"/>
      <c r="FO264" s="312"/>
      <c r="FP264" s="312"/>
      <c r="FQ264" s="312"/>
      <c r="FR264" s="312"/>
      <c r="FS264" s="312"/>
      <c r="FT264" s="312"/>
      <c r="FU264" s="312"/>
      <c r="FV264" s="312"/>
      <c r="FW264" s="312"/>
      <c r="FX264" s="312"/>
      <c r="FY264" s="312"/>
      <c r="FZ264" s="312"/>
      <c r="GA264" s="312"/>
      <c r="GB264" s="312"/>
      <c r="GC264" s="312"/>
      <c r="GD264" s="312"/>
      <c r="GE264" s="312"/>
      <c r="GF264" s="312"/>
      <c r="GG264" s="312"/>
      <c r="GH264" s="312"/>
      <c r="GI264" s="312"/>
      <c r="GJ264" s="312"/>
      <c r="GK264" s="312"/>
      <c r="GL264" s="312"/>
      <c r="GM264" s="312"/>
      <c r="GN264" s="312"/>
      <c r="GO264" s="312"/>
      <c r="GP264" s="312"/>
      <c r="GQ264" s="312"/>
      <c r="GR264" s="312"/>
      <c r="GS264" s="312"/>
      <c r="GT264" s="312"/>
      <c r="GU264" s="312"/>
      <c r="GV264" s="312"/>
      <c r="GW264" s="312"/>
      <c r="GX264" s="312"/>
      <c r="GY264" s="312"/>
    </row>
    <row r="265" spans="2:207" ht="15.75" x14ac:dyDescent="0.25">
      <c r="B265" s="316">
        <f t="shared" si="58"/>
        <v>235</v>
      </c>
      <c r="C265" s="330">
        <f>'סיכום לוועדה'!B265</f>
        <v>1001347608</v>
      </c>
      <c r="D265" s="330">
        <f>'סיכום לוועדה'!C265</f>
        <v>1001270721</v>
      </c>
      <c r="E265" s="330">
        <f>'סיכום לוועדה'!D265</f>
        <v>40000252</v>
      </c>
      <c r="F265" s="330">
        <f>'סיכום לוועדה'!E265</f>
        <v>20000182</v>
      </c>
      <c r="G265" s="330" t="str">
        <f>'סיכום לוועדה'!F265</f>
        <v>חיפה</v>
      </c>
      <c r="H265" s="317" t="str">
        <f>'סיכום לוועדה'!G265</f>
        <v>אתו"ס - החברה לאומנות תרבות וספורט</v>
      </c>
      <c r="I265" s="318">
        <f>'סיכום לוועדה'!U265</f>
        <v>2500000</v>
      </c>
      <c r="J265" s="319">
        <f>'סיכום לוועדה'!T265</f>
        <v>540052.70858571224</v>
      </c>
      <c r="K265" s="320">
        <f t="shared" si="59"/>
        <v>0</v>
      </c>
      <c r="L265" s="319">
        <f t="shared" si="60"/>
        <v>540052.70858571224</v>
      </c>
      <c r="M265" s="331">
        <f>'תחום תמיכה ב'!AF265</f>
        <v>2.6358309653453063E-3</v>
      </c>
      <c r="N265" s="319">
        <f t="shared" si="57"/>
        <v>584952.80258449155</v>
      </c>
      <c r="O265" s="321">
        <f t="shared" si="61"/>
        <v>0</v>
      </c>
      <c r="P265" s="322">
        <f t="shared" si="62"/>
        <v>584952.80258449155</v>
      </c>
      <c r="Q265" s="322">
        <f t="shared" si="63"/>
        <v>585219.14704449568</v>
      </c>
      <c r="R265" s="321">
        <f t="shared" si="64"/>
        <v>0</v>
      </c>
      <c r="S265" s="322">
        <f t="shared" si="65"/>
        <v>585219.14704449568</v>
      </c>
      <c r="T265" s="322">
        <f t="shared" si="66"/>
        <v>585219.14704449452</v>
      </c>
      <c r="U265" s="321">
        <f t="shared" si="67"/>
        <v>0</v>
      </c>
      <c r="V265" s="322">
        <f t="shared" si="68"/>
        <v>585219.14704449452</v>
      </c>
      <c r="W265" s="322">
        <f t="shared" si="69"/>
        <v>585219.14704449475</v>
      </c>
      <c r="X265" s="321">
        <f t="shared" si="70"/>
        <v>0</v>
      </c>
      <c r="Y265" s="322">
        <f t="shared" si="71"/>
        <v>585219.14704449475</v>
      </c>
      <c r="Z265" s="322">
        <f t="shared" si="72"/>
        <v>585219.14704449463</v>
      </c>
      <c r="AA265" s="323">
        <f t="shared" si="73"/>
        <v>585219.14704449463</v>
      </c>
      <c r="AB265" s="323"/>
      <c r="AC265" s="323"/>
      <c r="AD265" s="323"/>
      <c r="AE265" s="323"/>
      <c r="AF265" s="324">
        <f t="shared" si="74"/>
        <v>3.3514233948920176E-3</v>
      </c>
      <c r="AG265" s="312"/>
      <c r="AH265" s="312"/>
      <c r="AI265" s="325">
        <f t="shared" si="75"/>
        <v>1</v>
      </c>
      <c r="AJ265" s="312"/>
      <c r="AK265" s="312"/>
      <c r="AL265" s="312"/>
      <c r="AM265" s="312"/>
      <c r="AN265" s="312"/>
      <c r="AO265" s="312"/>
      <c r="AP265" s="312"/>
      <c r="AQ265" s="312"/>
      <c r="AR265" s="312"/>
      <c r="AS265" s="312"/>
      <c r="AT265" s="312"/>
      <c r="AU265" s="312"/>
      <c r="AV265" s="312"/>
      <c r="AW265" s="312"/>
      <c r="AX265" s="312"/>
      <c r="AY265" s="312"/>
      <c r="AZ265" s="312"/>
      <c r="BA265" s="312"/>
      <c r="BB265" s="312"/>
      <c r="BC265" s="312"/>
      <c r="BD265" s="312"/>
      <c r="BE265" s="312"/>
      <c r="BF265" s="312"/>
      <c r="BG265" s="312"/>
      <c r="BH265" s="312"/>
      <c r="BI265" s="312"/>
      <c r="BJ265" s="312"/>
      <c r="BK265" s="312"/>
      <c r="BL265" s="312"/>
      <c r="BM265" s="312"/>
      <c r="BN265" s="312"/>
      <c r="BO265" s="312"/>
      <c r="BP265" s="312"/>
      <c r="BQ265" s="312"/>
      <c r="BR265" s="312"/>
      <c r="BS265" s="312"/>
      <c r="BT265" s="312"/>
      <c r="BU265" s="312"/>
      <c r="BV265" s="312"/>
      <c r="BW265" s="312"/>
      <c r="BX265" s="312"/>
      <c r="BY265" s="312"/>
      <c r="BZ265" s="312"/>
      <c r="CA265" s="312"/>
      <c r="CB265" s="312"/>
      <c r="CC265" s="312"/>
      <c r="CD265" s="312"/>
      <c r="CE265" s="312"/>
      <c r="CF265" s="312"/>
      <c r="CG265" s="312"/>
      <c r="CH265" s="312"/>
      <c r="CI265" s="312"/>
      <c r="CJ265" s="312"/>
      <c r="CK265" s="312"/>
      <c r="CL265" s="312"/>
      <c r="CM265" s="312"/>
      <c r="CN265" s="312"/>
      <c r="CO265" s="312"/>
      <c r="CP265" s="312"/>
      <c r="CQ265" s="312"/>
      <c r="CR265" s="312"/>
      <c r="CS265" s="312"/>
      <c r="CT265" s="312"/>
      <c r="CU265" s="312"/>
      <c r="CV265" s="312"/>
      <c r="CW265" s="312"/>
      <c r="CX265" s="312"/>
      <c r="CY265" s="312"/>
      <c r="CZ265" s="312"/>
      <c r="DA265" s="312"/>
      <c r="DB265" s="312"/>
      <c r="DC265" s="312"/>
      <c r="DD265" s="312"/>
      <c r="DE265" s="312"/>
      <c r="DF265" s="312"/>
      <c r="DG265" s="312"/>
      <c r="DH265" s="312"/>
      <c r="DI265" s="312"/>
      <c r="DJ265" s="312"/>
      <c r="DK265" s="312"/>
      <c r="DL265" s="312"/>
      <c r="DM265" s="312"/>
      <c r="DN265" s="312"/>
      <c r="DO265" s="312"/>
      <c r="DP265" s="312"/>
      <c r="DQ265" s="312"/>
      <c r="DR265" s="312"/>
      <c r="DS265" s="312"/>
      <c r="DT265" s="312"/>
      <c r="DU265" s="312"/>
      <c r="DV265" s="312"/>
      <c r="DW265" s="312"/>
      <c r="DX265" s="312"/>
      <c r="DY265" s="312"/>
      <c r="DZ265" s="312"/>
      <c r="EA265" s="312"/>
      <c r="EB265" s="312"/>
      <c r="EC265" s="312"/>
      <c r="ED265" s="312"/>
      <c r="EE265" s="312"/>
      <c r="EF265" s="312"/>
      <c r="EG265" s="312"/>
      <c r="EH265" s="312"/>
      <c r="EI265" s="312"/>
      <c r="EJ265" s="312"/>
      <c r="EK265" s="312"/>
      <c r="EL265" s="312"/>
      <c r="EM265" s="312"/>
      <c r="EN265" s="312"/>
      <c r="EO265" s="312"/>
      <c r="EP265" s="312"/>
      <c r="EQ265" s="312"/>
      <c r="ER265" s="312"/>
      <c r="ES265" s="312"/>
      <c r="ET265" s="312"/>
      <c r="EU265" s="312"/>
      <c r="EV265" s="312"/>
      <c r="EW265" s="312"/>
      <c r="EX265" s="312"/>
      <c r="EY265" s="312"/>
      <c r="EZ265" s="312"/>
      <c r="FA265" s="312"/>
      <c r="FB265" s="312"/>
      <c r="FC265" s="312"/>
      <c r="FD265" s="312"/>
      <c r="FE265" s="312"/>
      <c r="FF265" s="312"/>
      <c r="FG265" s="312"/>
      <c r="FH265" s="312"/>
      <c r="FI265" s="312"/>
      <c r="FJ265" s="312"/>
      <c r="FK265" s="312"/>
      <c r="FL265" s="312"/>
      <c r="FM265" s="312"/>
      <c r="FN265" s="312"/>
      <c r="FO265" s="312"/>
      <c r="FP265" s="312"/>
      <c r="FQ265" s="312"/>
      <c r="FR265" s="312"/>
      <c r="FS265" s="312"/>
      <c r="FT265" s="312"/>
      <c r="FU265" s="312"/>
      <c r="FV265" s="312"/>
      <c r="FW265" s="312"/>
      <c r="FX265" s="312"/>
      <c r="FY265" s="312"/>
      <c r="FZ265" s="312"/>
      <c r="GA265" s="312"/>
      <c r="GB265" s="312"/>
      <c r="GC265" s="312"/>
      <c r="GD265" s="312"/>
      <c r="GE265" s="312"/>
      <c r="GF265" s="312"/>
      <c r="GG265" s="312"/>
      <c r="GH265" s="312"/>
      <c r="GI265" s="312"/>
      <c r="GJ265" s="312"/>
      <c r="GK265" s="312"/>
      <c r="GL265" s="312"/>
      <c r="GM265" s="312"/>
      <c r="GN265" s="312"/>
      <c r="GO265" s="312"/>
      <c r="GP265" s="312"/>
      <c r="GQ265" s="312"/>
      <c r="GR265" s="312"/>
      <c r="GS265" s="312"/>
      <c r="GT265" s="312"/>
      <c r="GU265" s="312"/>
      <c r="GV265" s="312"/>
      <c r="GW265" s="312"/>
      <c r="GX265" s="312"/>
      <c r="GY265" s="312"/>
    </row>
    <row r="266" spans="2:207" ht="15.75" x14ac:dyDescent="0.25">
      <c r="B266" s="316">
        <f t="shared" si="58"/>
        <v>236</v>
      </c>
      <c r="C266" s="330">
        <f>'סיכום לוועדה'!B266</f>
        <v>1001347621</v>
      </c>
      <c r="D266" s="330">
        <f>'סיכום לוועדה'!C266</f>
        <v>1001270688</v>
      </c>
      <c r="E266" s="330">
        <f>'סיכום לוועדה'!D266</f>
        <v>40000252</v>
      </c>
      <c r="F266" s="330">
        <f>'סיכום לוועדה'!E266</f>
        <v>20000182</v>
      </c>
      <c r="G266" s="330" t="str">
        <f>'סיכום לוועדה'!F266</f>
        <v>חיפה</v>
      </c>
      <c r="H266" s="317" t="str">
        <f>'סיכום לוועדה'!G266</f>
        <v>אתו"ס - החברה לאומנות תרבות וספורט</v>
      </c>
      <c r="I266" s="318">
        <f>'סיכום לוועדה'!U266</f>
        <v>1490000</v>
      </c>
      <c r="J266" s="319">
        <f>'סיכום לוועדה'!T266</f>
        <v>167264.91739472561</v>
      </c>
      <c r="K266" s="320">
        <f t="shared" si="59"/>
        <v>0</v>
      </c>
      <c r="L266" s="319">
        <f t="shared" si="60"/>
        <v>167264.91739472561</v>
      </c>
      <c r="M266" s="331">
        <f>'תחום תמיכה ב'!AF266</f>
        <v>7.8073601076414259E-4</v>
      </c>
      <c r="N266" s="319">
        <f t="shared" si="57"/>
        <v>180564.37427660864</v>
      </c>
      <c r="O266" s="321">
        <f t="shared" si="61"/>
        <v>0</v>
      </c>
      <c r="P266" s="322">
        <f t="shared" si="62"/>
        <v>180564.37427660864</v>
      </c>
      <c r="Q266" s="322">
        <f t="shared" si="63"/>
        <v>180646.5900050404</v>
      </c>
      <c r="R266" s="321">
        <f t="shared" si="64"/>
        <v>0</v>
      </c>
      <c r="S266" s="322">
        <f t="shared" si="65"/>
        <v>180646.5900050404</v>
      </c>
      <c r="T266" s="322">
        <f t="shared" si="66"/>
        <v>180646.59000504005</v>
      </c>
      <c r="U266" s="321">
        <f t="shared" si="67"/>
        <v>0</v>
      </c>
      <c r="V266" s="322">
        <f t="shared" si="68"/>
        <v>180646.59000504005</v>
      </c>
      <c r="W266" s="322">
        <f t="shared" si="69"/>
        <v>180646.59000504011</v>
      </c>
      <c r="X266" s="321">
        <f t="shared" si="70"/>
        <v>0</v>
      </c>
      <c r="Y266" s="322">
        <f t="shared" si="71"/>
        <v>180646.59000504011</v>
      </c>
      <c r="Z266" s="322">
        <f t="shared" si="72"/>
        <v>180646.59000504008</v>
      </c>
      <c r="AA266" s="323">
        <f t="shared" si="73"/>
        <v>180646.59000504008</v>
      </c>
      <c r="AB266" s="323"/>
      <c r="AC266" s="323"/>
      <c r="AD266" s="323"/>
      <c r="AE266" s="323"/>
      <c r="AF266" s="324">
        <f t="shared" si="74"/>
        <v>1.0345239232309792E-3</v>
      </c>
      <c r="AG266" s="312"/>
      <c r="AH266" s="312"/>
      <c r="AI266" s="325">
        <f t="shared" si="75"/>
        <v>1</v>
      </c>
      <c r="AJ266" s="312"/>
      <c r="AK266" s="312"/>
      <c r="AL266" s="312"/>
      <c r="AM266" s="312"/>
      <c r="AN266" s="312"/>
      <c r="AO266" s="312"/>
      <c r="AP266" s="312"/>
      <c r="AQ266" s="312"/>
      <c r="AR266" s="312"/>
      <c r="AS266" s="312"/>
      <c r="AT266" s="312"/>
      <c r="AU266" s="312"/>
      <c r="AV266" s="312"/>
      <c r="AW266" s="312"/>
      <c r="AX266" s="312"/>
      <c r="AY266" s="312"/>
      <c r="AZ266" s="312"/>
      <c r="BA266" s="312"/>
      <c r="BB266" s="312"/>
      <c r="BC266" s="312"/>
      <c r="BD266" s="312"/>
      <c r="BE266" s="312"/>
      <c r="BF266" s="312"/>
      <c r="BG266" s="312"/>
      <c r="BH266" s="312"/>
      <c r="BI266" s="312"/>
      <c r="BJ266" s="312"/>
      <c r="BK266" s="312"/>
      <c r="BL266" s="312"/>
      <c r="BM266" s="312"/>
      <c r="BN266" s="312"/>
      <c r="BO266" s="312"/>
      <c r="BP266" s="312"/>
      <c r="BQ266" s="312"/>
      <c r="BR266" s="312"/>
      <c r="BS266" s="312"/>
      <c r="BT266" s="312"/>
      <c r="BU266" s="312"/>
      <c r="BV266" s="312"/>
      <c r="BW266" s="312"/>
      <c r="BX266" s="312"/>
      <c r="BY266" s="312"/>
      <c r="BZ266" s="312"/>
      <c r="CA266" s="312"/>
      <c r="CB266" s="312"/>
      <c r="CC266" s="312"/>
      <c r="CD266" s="312"/>
      <c r="CE266" s="312"/>
      <c r="CF266" s="312"/>
      <c r="CG266" s="312"/>
      <c r="CH266" s="312"/>
      <c r="CI266" s="312"/>
      <c r="CJ266" s="312"/>
      <c r="CK266" s="312"/>
      <c r="CL266" s="312"/>
      <c r="CM266" s="312"/>
      <c r="CN266" s="312"/>
      <c r="CO266" s="312"/>
      <c r="CP266" s="312"/>
      <c r="CQ266" s="312"/>
      <c r="CR266" s="312"/>
      <c r="CS266" s="312"/>
      <c r="CT266" s="312"/>
      <c r="CU266" s="312"/>
      <c r="CV266" s="312"/>
      <c r="CW266" s="312"/>
      <c r="CX266" s="312"/>
      <c r="CY266" s="312"/>
      <c r="CZ266" s="312"/>
      <c r="DA266" s="312"/>
      <c r="DB266" s="312"/>
      <c r="DC266" s="312"/>
      <c r="DD266" s="312"/>
      <c r="DE266" s="312"/>
      <c r="DF266" s="312"/>
      <c r="DG266" s="312"/>
      <c r="DH266" s="312"/>
      <c r="DI266" s="312"/>
      <c r="DJ266" s="312"/>
      <c r="DK266" s="312"/>
      <c r="DL266" s="312"/>
      <c r="DM266" s="312"/>
      <c r="DN266" s="312"/>
      <c r="DO266" s="312"/>
      <c r="DP266" s="312"/>
      <c r="DQ266" s="312"/>
      <c r="DR266" s="312"/>
      <c r="DS266" s="312"/>
      <c r="DT266" s="312"/>
      <c r="DU266" s="312"/>
      <c r="DV266" s="312"/>
      <c r="DW266" s="312"/>
      <c r="DX266" s="312"/>
      <c r="DY266" s="312"/>
      <c r="DZ266" s="312"/>
      <c r="EA266" s="312"/>
      <c r="EB266" s="312"/>
      <c r="EC266" s="312"/>
      <c r="ED266" s="312"/>
      <c r="EE266" s="312"/>
      <c r="EF266" s="312"/>
      <c r="EG266" s="312"/>
      <c r="EH266" s="312"/>
      <c r="EI266" s="312"/>
      <c r="EJ266" s="312"/>
      <c r="EK266" s="312"/>
      <c r="EL266" s="312"/>
      <c r="EM266" s="312"/>
      <c r="EN266" s="312"/>
      <c r="EO266" s="312"/>
      <c r="EP266" s="312"/>
      <c r="EQ266" s="312"/>
      <c r="ER266" s="312"/>
      <c r="ES266" s="312"/>
      <c r="ET266" s="312"/>
      <c r="EU266" s="312"/>
      <c r="EV266" s="312"/>
      <c r="EW266" s="312"/>
      <c r="EX266" s="312"/>
      <c r="EY266" s="312"/>
      <c r="EZ266" s="312"/>
      <c r="FA266" s="312"/>
      <c r="FB266" s="312"/>
      <c r="FC266" s="312"/>
      <c r="FD266" s="312"/>
      <c r="FE266" s="312"/>
      <c r="FF266" s="312"/>
      <c r="FG266" s="312"/>
      <c r="FH266" s="312"/>
      <c r="FI266" s="312"/>
      <c r="FJ266" s="312"/>
      <c r="FK266" s="312"/>
      <c r="FL266" s="312"/>
      <c r="FM266" s="312"/>
      <c r="FN266" s="312"/>
      <c r="FO266" s="312"/>
      <c r="FP266" s="312"/>
      <c r="FQ266" s="312"/>
      <c r="FR266" s="312"/>
      <c r="FS266" s="312"/>
      <c r="FT266" s="312"/>
      <c r="FU266" s="312"/>
      <c r="FV266" s="312"/>
      <c r="FW266" s="312"/>
      <c r="FX266" s="312"/>
      <c r="FY266" s="312"/>
      <c r="FZ266" s="312"/>
      <c r="GA266" s="312"/>
      <c r="GB266" s="312"/>
      <c r="GC266" s="312"/>
      <c r="GD266" s="312"/>
      <c r="GE266" s="312"/>
      <c r="GF266" s="312"/>
      <c r="GG266" s="312"/>
      <c r="GH266" s="312"/>
      <c r="GI266" s="312"/>
      <c r="GJ266" s="312"/>
      <c r="GK266" s="312"/>
      <c r="GL266" s="312"/>
      <c r="GM266" s="312"/>
      <c r="GN266" s="312"/>
      <c r="GO266" s="312"/>
      <c r="GP266" s="312"/>
      <c r="GQ266" s="312"/>
      <c r="GR266" s="312"/>
      <c r="GS266" s="312"/>
      <c r="GT266" s="312"/>
      <c r="GU266" s="312"/>
      <c r="GV266" s="312"/>
      <c r="GW266" s="312"/>
      <c r="GX266" s="312"/>
      <c r="GY266" s="312"/>
    </row>
    <row r="267" spans="2:207" ht="15.75" x14ac:dyDescent="0.25">
      <c r="B267" s="316">
        <f t="shared" si="58"/>
        <v>237</v>
      </c>
      <c r="C267" s="330">
        <f>'סיכום לוועדה'!B267</f>
        <v>1001342867</v>
      </c>
      <c r="D267" s="330">
        <f>'סיכום לוועדה'!C267</f>
        <v>1001274259</v>
      </c>
      <c r="E267" s="330">
        <f>'סיכום לוועדה'!D267</f>
        <v>40000254</v>
      </c>
      <c r="F267" s="330">
        <f>'סיכום לוועדה'!E267</f>
        <v>20000182</v>
      </c>
      <c r="G267" s="330" t="str">
        <f>'סיכום לוועדה'!F267</f>
        <v>חיפה</v>
      </c>
      <c r="H267" s="317" t="str">
        <f>'סיכום לוועדה'!G267</f>
        <v>תיאטרון עירוני חיפה בע"מ (חל"צ)</v>
      </c>
      <c r="I267" s="318">
        <f>'סיכום לוועדה'!U267</f>
        <v>5000000</v>
      </c>
      <c r="J267" s="319">
        <f>'סיכום לוועדה'!T267</f>
        <v>1359175.3332495536</v>
      </c>
      <c r="K267" s="320">
        <f t="shared" si="59"/>
        <v>0</v>
      </c>
      <c r="L267" s="319">
        <f t="shared" si="60"/>
        <v>1359175.3332495536</v>
      </c>
      <c r="M267" s="331">
        <f>'תחום תמיכה ב'!AF267</f>
        <v>6.6668481908522658E-3</v>
      </c>
      <c r="N267" s="319">
        <f t="shared" si="57"/>
        <v>1472741.8382267207</v>
      </c>
      <c r="O267" s="321">
        <f t="shared" si="61"/>
        <v>0</v>
      </c>
      <c r="P267" s="322">
        <f t="shared" si="62"/>
        <v>1472741.8382267207</v>
      </c>
      <c r="Q267" s="322">
        <f t="shared" si="63"/>
        <v>1473412.4164817438</v>
      </c>
      <c r="R267" s="321">
        <f t="shared" si="64"/>
        <v>0</v>
      </c>
      <c r="S267" s="322">
        <f t="shared" si="65"/>
        <v>1473412.4164817438</v>
      </c>
      <c r="T267" s="322">
        <f t="shared" si="66"/>
        <v>1473412.4164817408</v>
      </c>
      <c r="U267" s="321">
        <f t="shared" si="67"/>
        <v>0</v>
      </c>
      <c r="V267" s="322">
        <f t="shared" si="68"/>
        <v>1473412.4164817408</v>
      </c>
      <c r="W267" s="322">
        <f t="shared" si="69"/>
        <v>1473412.4164817412</v>
      </c>
      <c r="X267" s="321">
        <f t="shared" si="70"/>
        <v>0</v>
      </c>
      <c r="Y267" s="322">
        <f t="shared" si="71"/>
        <v>1473412.4164817412</v>
      </c>
      <c r="Z267" s="322">
        <f t="shared" si="72"/>
        <v>1473412.416481741</v>
      </c>
      <c r="AA267" s="323">
        <f t="shared" si="73"/>
        <v>1473412.416481741</v>
      </c>
      <c r="AB267" s="323"/>
      <c r="AC267" s="323"/>
      <c r="AD267" s="323"/>
      <c r="AE267" s="323"/>
      <c r="AF267" s="324">
        <f t="shared" si="74"/>
        <v>8.4379140153899405E-3</v>
      </c>
      <c r="AG267" s="312"/>
      <c r="AH267" s="312"/>
      <c r="AI267" s="325">
        <f t="shared" si="75"/>
        <v>1</v>
      </c>
      <c r="AJ267" s="312"/>
      <c r="AK267" s="312"/>
      <c r="AL267" s="312"/>
      <c r="AM267" s="312"/>
      <c r="AN267" s="312"/>
      <c r="AO267" s="312"/>
      <c r="AP267" s="312"/>
      <c r="AQ267" s="312"/>
      <c r="AR267" s="312"/>
      <c r="AS267" s="312"/>
      <c r="AT267" s="312"/>
      <c r="AU267" s="312"/>
      <c r="AV267" s="312"/>
      <c r="AW267" s="312"/>
      <c r="AX267" s="312"/>
      <c r="AY267" s="312"/>
      <c r="AZ267" s="312"/>
      <c r="BA267" s="312"/>
      <c r="BB267" s="312"/>
      <c r="BC267" s="312"/>
      <c r="BD267" s="312"/>
      <c r="BE267" s="312"/>
      <c r="BF267" s="312"/>
      <c r="BG267" s="312"/>
      <c r="BH267" s="312"/>
      <c r="BI267" s="312"/>
      <c r="BJ267" s="312"/>
      <c r="BK267" s="312"/>
      <c r="BL267" s="312"/>
      <c r="BM267" s="312"/>
      <c r="BN267" s="312"/>
      <c r="BO267" s="312"/>
      <c r="BP267" s="312"/>
      <c r="BQ267" s="312"/>
      <c r="BR267" s="312"/>
      <c r="BS267" s="312"/>
      <c r="BT267" s="312"/>
      <c r="BU267" s="312"/>
      <c r="BV267" s="312"/>
      <c r="BW267" s="312"/>
      <c r="BX267" s="312"/>
      <c r="BY267" s="312"/>
      <c r="BZ267" s="312"/>
      <c r="CA267" s="312"/>
      <c r="CB267" s="312"/>
      <c r="CC267" s="312"/>
      <c r="CD267" s="312"/>
      <c r="CE267" s="312"/>
      <c r="CF267" s="312"/>
      <c r="CG267" s="312"/>
      <c r="CH267" s="312"/>
      <c r="CI267" s="312"/>
      <c r="CJ267" s="312"/>
      <c r="CK267" s="312"/>
      <c r="CL267" s="312"/>
      <c r="CM267" s="312"/>
      <c r="CN267" s="312"/>
      <c r="CO267" s="312"/>
      <c r="CP267" s="312"/>
      <c r="CQ267" s="312"/>
      <c r="CR267" s="312"/>
      <c r="CS267" s="312"/>
      <c r="CT267" s="312"/>
      <c r="CU267" s="312"/>
      <c r="CV267" s="312"/>
      <c r="CW267" s="312"/>
      <c r="CX267" s="312"/>
      <c r="CY267" s="312"/>
      <c r="CZ267" s="312"/>
      <c r="DA267" s="312"/>
      <c r="DB267" s="312"/>
      <c r="DC267" s="312"/>
      <c r="DD267" s="312"/>
      <c r="DE267" s="312"/>
      <c r="DF267" s="312"/>
      <c r="DG267" s="312"/>
      <c r="DH267" s="312"/>
      <c r="DI267" s="312"/>
      <c r="DJ267" s="312"/>
      <c r="DK267" s="312"/>
      <c r="DL267" s="312"/>
      <c r="DM267" s="312"/>
      <c r="DN267" s="312"/>
      <c r="DO267" s="312"/>
      <c r="DP267" s="312"/>
      <c r="DQ267" s="312"/>
      <c r="DR267" s="312"/>
      <c r="DS267" s="312"/>
      <c r="DT267" s="312"/>
      <c r="DU267" s="312"/>
      <c r="DV267" s="312"/>
      <c r="DW267" s="312"/>
      <c r="DX267" s="312"/>
      <c r="DY267" s="312"/>
      <c r="DZ267" s="312"/>
      <c r="EA267" s="312"/>
      <c r="EB267" s="312"/>
      <c r="EC267" s="312"/>
      <c r="ED267" s="312"/>
      <c r="EE267" s="312"/>
      <c r="EF267" s="312"/>
      <c r="EG267" s="312"/>
      <c r="EH267" s="312"/>
      <c r="EI267" s="312"/>
      <c r="EJ267" s="312"/>
      <c r="EK267" s="312"/>
      <c r="EL267" s="312"/>
      <c r="EM267" s="312"/>
      <c r="EN267" s="312"/>
      <c r="EO267" s="312"/>
      <c r="EP267" s="312"/>
      <c r="EQ267" s="312"/>
      <c r="ER267" s="312"/>
      <c r="ES267" s="312"/>
      <c r="ET267" s="312"/>
      <c r="EU267" s="312"/>
      <c r="EV267" s="312"/>
      <c r="EW267" s="312"/>
      <c r="EX267" s="312"/>
      <c r="EY267" s="312"/>
      <c r="EZ267" s="312"/>
      <c r="FA267" s="312"/>
      <c r="FB267" s="312"/>
      <c r="FC267" s="312"/>
      <c r="FD267" s="312"/>
      <c r="FE267" s="312"/>
      <c r="FF267" s="312"/>
      <c r="FG267" s="312"/>
      <c r="FH267" s="312"/>
      <c r="FI267" s="312"/>
      <c r="FJ267" s="312"/>
      <c r="FK267" s="312"/>
      <c r="FL267" s="312"/>
      <c r="FM267" s="312"/>
      <c r="FN267" s="312"/>
      <c r="FO267" s="312"/>
      <c r="FP267" s="312"/>
      <c r="FQ267" s="312"/>
      <c r="FR267" s="312"/>
      <c r="FS267" s="312"/>
      <c r="FT267" s="312"/>
      <c r="FU267" s="312"/>
      <c r="FV267" s="312"/>
      <c r="FW267" s="312"/>
      <c r="FX267" s="312"/>
      <c r="FY267" s="312"/>
      <c r="FZ267" s="312"/>
      <c r="GA267" s="312"/>
      <c r="GB267" s="312"/>
      <c r="GC267" s="312"/>
      <c r="GD267" s="312"/>
      <c r="GE267" s="312"/>
      <c r="GF267" s="312"/>
      <c r="GG267" s="312"/>
      <c r="GH267" s="312"/>
      <c r="GI267" s="312"/>
      <c r="GJ267" s="312"/>
      <c r="GK267" s="312"/>
      <c r="GL267" s="312"/>
      <c r="GM267" s="312"/>
      <c r="GN267" s="312"/>
      <c r="GO267" s="312"/>
      <c r="GP267" s="312"/>
      <c r="GQ267" s="312"/>
      <c r="GR267" s="312"/>
      <c r="GS267" s="312"/>
      <c r="GT267" s="312"/>
      <c r="GU267" s="312"/>
      <c r="GV267" s="312"/>
      <c r="GW267" s="312"/>
      <c r="GX267" s="312"/>
      <c r="GY267" s="312"/>
    </row>
    <row r="268" spans="2:207" ht="15.75" x14ac:dyDescent="0.25">
      <c r="B268" s="316">
        <f t="shared" si="58"/>
        <v>238</v>
      </c>
      <c r="C268" s="330">
        <f>'סיכום לוועדה'!B268</f>
        <v>1001342869</v>
      </c>
      <c r="D268" s="330">
        <f>'סיכום לוועדה'!C268</f>
        <v>1001274254</v>
      </c>
      <c r="E268" s="330">
        <f>'סיכום לוועדה'!D268</f>
        <v>40000254</v>
      </c>
      <c r="F268" s="330">
        <f>'סיכום לוועדה'!E268</f>
        <v>20000182</v>
      </c>
      <c r="G268" s="330" t="str">
        <f>'סיכום לוועדה'!F268</f>
        <v>חיפה</v>
      </c>
      <c r="H268" s="317" t="str">
        <f>'סיכום לוועדה'!G268</f>
        <v>תיאטרון עירוני חיפה בע"מ (חל"צ)</v>
      </c>
      <c r="I268" s="318">
        <f>'סיכום לוועדה'!U268</f>
        <v>500000</v>
      </c>
      <c r="J268" s="319">
        <f>'סיכום לוועדה'!T268</f>
        <v>116795.93070725175</v>
      </c>
      <c r="K268" s="320">
        <f t="shared" si="59"/>
        <v>0</v>
      </c>
      <c r="L268" s="319">
        <f t="shared" si="60"/>
        <v>116795.93070725175</v>
      </c>
      <c r="M268" s="331">
        <f>'תחום תמיכה ב'!AF268</f>
        <v>5.3507786637384226E-4</v>
      </c>
      <c r="N268" s="319">
        <f t="shared" si="57"/>
        <v>125910.72100022656</v>
      </c>
      <c r="O268" s="321">
        <f t="shared" si="61"/>
        <v>0</v>
      </c>
      <c r="P268" s="322">
        <f t="shared" si="62"/>
        <v>125910.72100022656</v>
      </c>
      <c r="Q268" s="322">
        <f t="shared" si="63"/>
        <v>125968.05147688276</v>
      </c>
      <c r="R268" s="321">
        <f t="shared" si="64"/>
        <v>0</v>
      </c>
      <c r="S268" s="322">
        <f t="shared" si="65"/>
        <v>125968.05147688276</v>
      </c>
      <c r="T268" s="322">
        <f t="shared" si="66"/>
        <v>125968.05147688251</v>
      </c>
      <c r="U268" s="321">
        <f t="shared" si="67"/>
        <v>0</v>
      </c>
      <c r="V268" s="322">
        <f t="shared" si="68"/>
        <v>125968.05147688251</v>
      </c>
      <c r="W268" s="322">
        <f t="shared" si="69"/>
        <v>125968.05147688257</v>
      </c>
      <c r="X268" s="321">
        <f t="shared" si="70"/>
        <v>0</v>
      </c>
      <c r="Y268" s="322">
        <f t="shared" si="71"/>
        <v>125968.05147688257</v>
      </c>
      <c r="Z268" s="322">
        <f t="shared" si="72"/>
        <v>125968.05147688254</v>
      </c>
      <c r="AA268" s="323">
        <f t="shared" si="73"/>
        <v>125968.05147688254</v>
      </c>
      <c r="AB268" s="323"/>
      <c r="AC268" s="323"/>
      <c r="AD268" s="323"/>
      <c r="AE268" s="323"/>
      <c r="AF268" s="324">
        <f t="shared" si="74"/>
        <v>7.2139176727327426E-4</v>
      </c>
      <c r="AG268" s="312"/>
      <c r="AH268" s="312"/>
      <c r="AI268" s="325">
        <f t="shared" si="75"/>
        <v>1</v>
      </c>
      <c r="AJ268" s="312"/>
      <c r="AK268" s="312"/>
      <c r="AL268" s="312"/>
      <c r="AM268" s="312"/>
      <c r="AN268" s="312"/>
      <c r="AO268" s="312"/>
      <c r="AP268" s="312"/>
      <c r="AQ268" s="312"/>
      <c r="AR268" s="312"/>
      <c r="AS268" s="312"/>
      <c r="AT268" s="312"/>
      <c r="AU268" s="312"/>
      <c r="AV268" s="312"/>
      <c r="AW268" s="312"/>
      <c r="AX268" s="312"/>
      <c r="AY268" s="312"/>
      <c r="AZ268" s="312"/>
      <c r="BA268" s="312"/>
      <c r="BB268" s="312"/>
      <c r="BC268" s="312"/>
      <c r="BD268" s="312"/>
      <c r="BE268" s="312"/>
      <c r="BF268" s="312"/>
      <c r="BG268" s="312"/>
      <c r="BH268" s="312"/>
      <c r="BI268" s="312"/>
      <c r="BJ268" s="312"/>
      <c r="BK268" s="312"/>
      <c r="BL268" s="312"/>
      <c r="BM268" s="312"/>
      <c r="BN268" s="312"/>
      <c r="BO268" s="312"/>
      <c r="BP268" s="312"/>
      <c r="BQ268" s="312"/>
      <c r="BR268" s="312"/>
      <c r="BS268" s="312"/>
      <c r="BT268" s="312"/>
      <c r="BU268" s="312"/>
      <c r="BV268" s="312"/>
      <c r="BW268" s="312"/>
      <c r="BX268" s="312"/>
      <c r="BY268" s="312"/>
      <c r="BZ268" s="312"/>
      <c r="CA268" s="312"/>
      <c r="CB268" s="312"/>
      <c r="CC268" s="312"/>
      <c r="CD268" s="312"/>
      <c r="CE268" s="312"/>
      <c r="CF268" s="312"/>
      <c r="CG268" s="312"/>
      <c r="CH268" s="312"/>
      <c r="CI268" s="312"/>
      <c r="CJ268" s="312"/>
      <c r="CK268" s="312"/>
      <c r="CL268" s="312"/>
      <c r="CM268" s="312"/>
      <c r="CN268" s="312"/>
      <c r="CO268" s="312"/>
      <c r="CP268" s="312"/>
      <c r="CQ268" s="312"/>
      <c r="CR268" s="312"/>
      <c r="CS268" s="312"/>
      <c r="CT268" s="312"/>
      <c r="CU268" s="312"/>
      <c r="CV268" s="312"/>
      <c r="CW268" s="312"/>
      <c r="CX268" s="312"/>
      <c r="CY268" s="312"/>
      <c r="CZ268" s="312"/>
      <c r="DA268" s="312"/>
      <c r="DB268" s="312"/>
      <c r="DC268" s="312"/>
      <c r="DD268" s="312"/>
      <c r="DE268" s="312"/>
      <c r="DF268" s="312"/>
      <c r="DG268" s="312"/>
      <c r="DH268" s="312"/>
      <c r="DI268" s="312"/>
      <c r="DJ268" s="312"/>
      <c r="DK268" s="312"/>
      <c r="DL268" s="312"/>
      <c r="DM268" s="312"/>
      <c r="DN268" s="312"/>
      <c r="DO268" s="312"/>
      <c r="DP268" s="312"/>
      <c r="DQ268" s="312"/>
      <c r="DR268" s="312"/>
      <c r="DS268" s="312"/>
      <c r="DT268" s="312"/>
      <c r="DU268" s="312"/>
      <c r="DV268" s="312"/>
      <c r="DW268" s="312"/>
      <c r="DX268" s="312"/>
      <c r="DY268" s="312"/>
      <c r="DZ268" s="312"/>
      <c r="EA268" s="312"/>
      <c r="EB268" s="312"/>
      <c r="EC268" s="312"/>
      <c r="ED268" s="312"/>
      <c r="EE268" s="312"/>
      <c r="EF268" s="312"/>
      <c r="EG268" s="312"/>
      <c r="EH268" s="312"/>
      <c r="EI268" s="312"/>
      <c r="EJ268" s="312"/>
      <c r="EK268" s="312"/>
      <c r="EL268" s="312"/>
      <c r="EM268" s="312"/>
      <c r="EN268" s="312"/>
      <c r="EO268" s="312"/>
      <c r="EP268" s="312"/>
      <c r="EQ268" s="312"/>
      <c r="ER268" s="312"/>
      <c r="ES268" s="312"/>
      <c r="ET268" s="312"/>
      <c r="EU268" s="312"/>
      <c r="EV268" s="312"/>
      <c r="EW268" s="312"/>
      <c r="EX268" s="312"/>
      <c r="EY268" s="312"/>
      <c r="EZ268" s="312"/>
      <c r="FA268" s="312"/>
      <c r="FB268" s="312"/>
      <c r="FC268" s="312"/>
      <c r="FD268" s="312"/>
      <c r="FE268" s="312"/>
      <c r="FF268" s="312"/>
      <c r="FG268" s="312"/>
      <c r="FH268" s="312"/>
      <c r="FI268" s="312"/>
      <c r="FJ268" s="312"/>
      <c r="FK268" s="312"/>
      <c r="FL268" s="312"/>
      <c r="FM268" s="312"/>
      <c r="FN268" s="312"/>
      <c r="FO268" s="312"/>
      <c r="FP268" s="312"/>
      <c r="FQ268" s="312"/>
      <c r="FR268" s="312"/>
      <c r="FS268" s="312"/>
      <c r="FT268" s="312"/>
      <c r="FU268" s="312"/>
      <c r="FV268" s="312"/>
      <c r="FW268" s="312"/>
      <c r="FX268" s="312"/>
      <c r="FY268" s="312"/>
      <c r="FZ268" s="312"/>
      <c r="GA268" s="312"/>
      <c r="GB268" s="312"/>
      <c r="GC268" s="312"/>
      <c r="GD268" s="312"/>
      <c r="GE268" s="312"/>
      <c r="GF268" s="312"/>
      <c r="GG268" s="312"/>
      <c r="GH268" s="312"/>
      <c r="GI268" s="312"/>
      <c r="GJ268" s="312"/>
      <c r="GK268" s="312"/>
      <c r="GL268" s="312"/>
      <c r="GM268" s="312"/>
      <c r="GN268" s="312"/>
      <c r="GO268" s="312"/>
      <c r="GP268" s="312"/>
      <c r="GQ268" s="312"/>
      <c r="GR268" s="312"/>
      <c r="GS268" s="312"/>
      <c r="GT268" s="312"/>
      <c r="GU268" s="312"/>
      <c r="GV268" s="312"/>
      <c r="GW268" s="312"/>
      <c r="GX268" s="312"/>
      <c r="GY268" s="312"/>
    </row>
    <row r="269" spans="2:207" ht="15.75" x14ac:dyDescent="0.25">
      <c r="B269" s="316">
        <f t="shared" si="58"/>
        <v>239</v>
      </c>
      <c r="C269" s="330">
        <f>'סיכום לוועדה'!B269</f>
        <v>1001347742</v>
      </c>
      <c r="D269" s="330">
        <f>'סיכום לוועדה'!C269</f>
        <v>1001266912</v>
      </c>
      <c r="E269" s="330">
        <f>'סיכום לוועדה'!D269</f>
        <v>40474818</v>
      </c>
      <c r="F269" s="330">
        <f>'סיכום לוועדה'!E269</f>
        <v>20000201</v>
      </c>
      <c r="G269" s="330" t="str">
        <f>'סיכום לוועדה'!F269</f>
        <v>תל אביב -יפו</v>
      </c>
      <c r="H269" s="317" t="str">
        <f>'סיכום לוועדה'!G269</f>
        <v>צוותא לתרבות מתקדמת בע"מ (חל"צ)</v>
      </c>
      <c r="I269" s="318">
        <f>'סיכום לוועדה'!U269</f>
        <v>1030000</v>
      </c>
      <c r="J269" s="319">
        <f>'סיכום לוועדה'!T269</f>
        <v>32101.964452439919</v>
      </c>
      <c r="K269" s="320">
        <f t="shared" si="59"/>
        <v>0</v>
      </c>
      <c r="L269" s="319">
        <f t="shared" si="60"/>
        <v>32101.964452439919</v>
      </c>
      <c r="M269" s="331">
        <f>'תחום תמיכה ב'!AF269</f>
        <v>1.339786048821327E-4</v>
      </c>
      <c r="N269" s="319">
        <f t="shared" si="57"/>
        <v>34384.224594354971</v>
      </c>
      <c r="O269" s="321">
        <f t="shared" si="61"/>
        <v>0</v>
      </c>
      <c r="P269" s="322">
        <f t="shared" si="62"/>
        <v>34384.224594354971</v>
      </c>
      <c r="Q269" s="322">
        <f t="shared" si="63"/>
        <v>34399.880639922718</v>
      </c>
      <c r="R269" s="321">
        <f t="shared" si="64"/>
        <v>0</v>
      </c>
      <c r="S269" s="322">
        <f t="shared" si="65"/>
        <v>34399.880639922718</v>
      </c>
      <c r="T269" s="322">
        <f t="shared" si="66"/>
        <v>34399.880639922652</v>
      </c>
      <c r="U269" s="321">
        <f t="shared" si="67"/>
        <v>0</v>
      </c>
      <c r="V269" s="322">
        <f t="shared" si="68"/>
        <v>34399.880639922652</v>
      </c>
      <c r="W269" s="322">
        <f t="shared" si="69"/>
        <v>34399.88063992266</v>
      </c>
      <c r="X269" s="321">
        <f t="shared" si="70"/>
        <v>0</v>
      </c>
      <c r="Y269" s="322">
        <f t="shared" si="71"/>
        <v>34399.88063992266</v>
      </c>
      <c r="Z269" s="322">
        <f t="shared" si="72"/>
        <v>34399.880639922652</v>
      </c>
      <c r="AA269" s="323">
        <f t="shared" si="73"/>
        <v>34399.880639922652</v>
      </c>
      <c r="AB269" s="323"/>
      <c r="AC269" s="323"/>
      <c r="AD269" s="323"/>
      <c r="AE269" s="323"/>
      <c r="AF269" s="324">
        <f t="shared" si="74"/>
        <v>1.9700067118508734E-4</v>
      </c>
      <c r="AG269" s="312"/>
      <c r="AH269" s="312"/>
      <c r="AI269" s="325">
        <f t="shared" si="75"/>
        <v>1</v>
      </c>
      <c r="AJ269" s="312"/>
      <c r="AK269" s="312"/>
      <c r="AL269" s="312"/>
      <c r="AM269" s="312"/>
      <c r="AN269" s="312"/>
      <c r="AO269" s="312"/>
      <c r="AP269" s="312"/>
      <c r="AQ269" s="312"/>
      <c r="AR269" s="312"/>
      <c r="AS269" s="312"/>
      <c r="AT269" s="312"/>
      <c r="AU269" s="312"/>
      <c r="AV269" s="312"/>
      <c r="AW269" s="312"/>
      <c r="AX269" s="312"/>
      <c r="AY269" s="312"/>
      <c r="AZ269" s="312"/>
      <c r="BA269" s="312"/>
      <c r="BB269" s="312"/>
      <c r="BC269" s="312"/>
      <c r="BD269" s="312"/>
      <c r="BE269" s="312"/>
      <c r="BF269" s="312"/>
      <c r="BG269" s="312"/>
      <c r="BH269" s="312"/>
      <c r="BI269" s="312"/>
      <c r="BJ269" s="312"/>
      <c r="BK269" s="312"/>
      <c r="BL269" s="312"/>
      <c r="BM269" s="312"/>
      <c r="BN269" s="312"/>
      <c r="BO269" s="312"/>
      <c r="BP269" s="312"/>
      <c r="BQ269" s="312"/>
      <c r="BR269" s="312"/>
      <c r="BS269" s="312"/>
      <c r="BT269" s="312"/>
      <c r="BU269" s="312"/>
      <c r="BV269" s="312"/>
      <c r="BW269" s="312"/>
      <c r="BX269" s="312"/>
      <c r="BY269" s="312"/>
      <c r="BZ269" s="312"/>
      <c r="CA269" s="312"/>
      <c r="CB269" s="312"/>
      <c r="CC269" s="312"/>
      <c r="CD269" s="312"/>
      <c r="CE269" s="312"/>
      <c r="CF269" s="312"/>
      <c r="CG269" s="312"/>
      <c r="CH269" s="312"/>
      <c r="CI269" s="312"/>
      <c r="CJ269" s="312"/>
      <c r="CK269" s="312"/>
      <c r="CL269" s="312"/>
      <c r="CM269" s="312"/>
      <c r="CN269" s="312"/>
      <c r="CO269" s="312"/>
      <c r="CP269" s="312"/>
      <c r="CQ269" s="312"/>
      <c r="CR269" s="312"/>
      <c r="CS269" s="312"/>
      <c r="CT269" s="312"/>
      <c r="CU269" s="312"/>
      <c r="CV269" s="312"/>
      <c r="CW269" s="312"/>
      <c r="CX269" s="312"/>
      <c r="CY269" s="312"/>
      <c r="CZ269" s="312"/>
      <c r="DA269" s="312"/>
      <c r="DB269" s="312"/>
      <c r="DC269" s="312"/>
      <c r="DD269" s="312"/>
      <c r="DE269" s="312"/>
      <c r="DF269" s="312"/>
      <c r="DG269" s="312"/>
      <c r="DH269" s="312"/>
      <c r="DI269" s="312"/>
      <c r="DJ269" s="312"/>
      <c r="DK269" s="312"/>
      <c r="DL269" s="312"/>
      <c r="DM269" s="312"/>
      <c r="DN269" s="312"/>
      <c r="DO269" s="312"/>
      <c r="DP269" s="312"/>
      <c r="DQ269" s="312"/>
      <c r="DR269" s="312"/>
      <c r="DS269" s="312"/>
      <c r="DT269" s="312"/>
      <c r="DU269" s="312"/>
      <c r="DV269" s="312"/>
      <c r="DW269" s="312"/>
      <c r="DX269" s="312"/>
      <c r="DY269" s="312"/>
      <c r="DZ269" s="312"/>
      <c r="EA269" s="312"/>
      <c r="EB269" s="312"/>
      <c r="EC269" s="312"/>
      <c r="ED269" s="312"/>
      <c r="EE269" s="312"/>
      <c r="EF269" s="312"/>
      <c r="EG269" s="312"/>
      <c r="EH269" s="312"/>
      <c r="EI269" s="312"/>
      <c r="EJ269" s="312"/>
      <c r="EK269" s="312"/>
      <c r="EL269" s="312"/>
      <c r="EM269" s="312"/>
      <c r="EN269" s="312"/>
      <c r="EO269" s="312"/>
      <c r="EP269" s="312"/>
      <c r="EQ269" s="312"/>
      <c r="ER269" s="312"/>
      <c r="ES269" s="312"/>
      <c r="ET269" s="312"/>
      <c r="EU269" s="312"/>
      <c r="EV269" s="312"/>
      <c r="EW269" s="312"/>
      <c r="EX269" s="312"/>
      <c r="EY269" s="312"/>
      <c r="EZ269" s="312"/>
      <c r="FA269" s="312"/>
      <c r="FB269" s="312"/>
      <c r="FC269" s="312"/>
      <c r="FD269" s="312"/>
      <c r="FE269" s="312"/>
      <c r="FF269" s="312"/>
      <c r="FG269" s="312"/>
      <c r="FH269" s="312"/>
      <c r="FI269" s="312"/>
      <c r="FJ269" s="312"/>
      <c r="FK269" s="312"/>
      <c r="FL269" s="312"/>
      <c r="FM269" s="312"/>
      <c r="FN269" s="312"/>
      <c r="FO269" s="312"/>
      <c r="FP269" s="312"/>
      <c r="FQ269" s="312"/>
      <c r="FR269" s="312"/>
      <c r="FS269" s="312"/>
      <c r="FT269" s="312"/>
      <c r="FU269" s="312"/>
      <c r="FV269" s="312"/>
      <c r="FW269" s="312"/>
      <c r="FX269" s="312"/>
      <c r="FY269" s="312"/>
      <c r="FZ269" s="312"/>
      <c r="GA269" s="312"/>
      <c r="GB269" s="312"/>
      <c r="GC269" s="312"/>
      <c r="GD269" s="312"/>
      <c r="GE269" s="312"/>
      <c r="GF269" s="312"/>
      <c r="GG269" s="312"/>
      <c r="GH269" s="312"/>
      <c r="GI269" s="312"/>
      <c r="GJ269" s="312"/>
      <c r="GK269" s="312"/>
      <c r="GL269" s="312"/>
      <c r="GM269" s="312"/>
      <c r="GN269" s="312"/>
      <c r="GO269" s="312"/>
      <c r="GP269" s="312"/>
      <c r="GQ269" s="312"/>
      <c r="GR269" s="312"/>
      <c r="GS269" s="312"/>
      <c r="GT269" s="312"/>
      <c r="GU269" s="312"/>
      <c r="GV269" s="312"/>
      <c r="GW269" s="312"/>
      <c r="GX269" s="312"/>
      <c r="GY269" s="312"/>
    </row>
    <row r="270" spans="2:207" ht="15.75" x14ac:dyDescent="0.25">
      <c r="B270" s="316">
        <f t="shared" si="58"/>
        <v>240</v>
      </c>
      <c r="C270" s="330">
        <f>'סיכום לוועדה'!B270</f>
        <v>1001349320</v>
      </c>
      <c r="D270" s="330">
        <f>'סיכום לוועדה'!C270</f>
        <v>1001266968</v>
      </c>
      <c r="E270" s="330">
        <f>'סיכום לוועדה'!D270</f>
        <v>40474818</v>
      </c>
      <c r="F270" s="330">
        <f>'סיכום לוועדה'!E270</f>
        <v>20000201</v>
      </c>
      <c r="G270" s="330" t="str">
        <f>'סיכום לוועדה'!F270</f>
        <v>תל אביב -יפו</v>
      </c>
      <c r="H270" s="317" t="str">
        <f>'סיכום לוועדה'!G270</f>
        <v>צוותא לתרבות מתקדמת בע"מ (חל"צ)</v>
      </c>
      <c r="I270" s="318">
        <f>'סיכום לוועדה'!U270</f>
        <v>1050000</v>
      </c>
      <c r="J270" s="319">
        <f>'סיכום לוועדה'!T270</f>
        <v>146093.85699390279</v>
      </c>
      <c r="K270" s="320">
        <f t="shared" si="59"/>
        <v>0</v>
      </c>
      <c r="L270" s="319">
        <f t="shared" si="60"/>
        <v>146093.85699390279</v>
      </c>
      <c r="M270" s="331">
        <f>'תחום תמיכה ב'!AF270</f>
        <v>7.2317065795456559E-4</v>
      </c>
      <c r="N270" s="319">
        <f t="shared" si="57"/>
        <v>158412.71618716116</v>
      </c>
      <c r="O270" s="321">
        <f t="shared" si="61"/>
        <v>0</v>
      </c>
      <c r="P270" s="322">
        <f t="shared" si="62"/>
        <v>158412.71618716116</v>
      </c>
      <c r="Q270" s="322">
        <f t="shared" si="63"/>
        <v>158484.84568062497</v>
      </c>
      <c r="R270" s="321">
        <f t="shared" si="64"/>
        <v>0</v>
      </c>
      <c r="S270" s="322">
        <f t="shared" si="65"/>
        <v>158484.84568062497</v>
      </c>
      <c r="T270" s="322">
        <f t="shared" si="66"/>
        <v>158484.84568062465</v>
      </c>
      <c r="U270" s="321">
        <f t="shared" si="67"/>
        <v>0</v>
      </c>
      <c r="V270" s="322">
        <f t="shared" si="68"/>
        <v>158484.84568062465</v>
      </c>
      <c r="W270" s="322">
        <f t="shared" si="69"/>
        <v>158484.84568062471</v>
      </c>
      <c r="X270" s="321">
        <f t="shared" si="70"/>
        <v>0</v>
      </c>
      <c r="Y270" s="322">
        <f t="shared" si="71"/>
        <v>158484.84568062471</v>
      </c>
      <c r="Z270" s="322">
        <f t="shared" si="72"/>
        <v>158484.84568062468</v>
      </c>
      <c r="AA270" s="323">
        <f t="shared" si="73"/>
        <v>158484.84568062468</v>
      </c>
      <c r="AB270" s="323"/>
      <c r="AC270" s="323"/>
      <c r="AD270" s="323"/>
      <c r="AE270" s="323"/>
      <c r="AF270" s="324">
        <f t="shared" si="74"/>
        <v>9.076084099987812E-4</v>
      </c>
      <c r="AG270" s="312"/>
      <c r="AH270" s="312"/>
      <c r="AI270" s="325">
        <f t="shared" si="75"/>
        <v>1</v>
      </c>
      <c r="AJ270" s="312"/>
      <c r="AK270" s="312"/>
      <c r="AL270" s="312"/>
      <c r="AM270" s="312"/>
      <c r="AN270" s="312"/>
      <c r="AO270" s="312"/>
      <c r="AP270" s="312"/>
      <c r="AQ270" s="312"/>
      <c r="AR270" s="312"/>
      <c r="AS270" s="312"/>
      <c r="AT270" s="312"/>
      <c r="AU270" s="312"/>
      <c r="AV270" s="312"/>
      <c r="AW270" s="312"/>
      <c r="AX270" s="312"/>
      <c r="AY270" s="312"/>
      <c r="AZ270" s="312"/>
      <c r="BA270" s="312"/>
      <c r="BB270" s="312"/>
      <c r="BC270" s="312"/>
      <c r="BD270" s="312"/>
      <c r="BE270" s="312"/>
      <c r="BF270" s="312"/>
      <c r="BG270" s="312"/>
      <c r="BH270" s="312"/>
      <c r="BI270" s="312"/>
      <c r="BJ270" s="312"/>
      <c r="BK270" s="312"/>
      <c r="BL270" s="312"/>
      <c r="BM270" s="312"/>
      <c r="BN270" s="312"/>
      <c r="BO270" s="312"/>
      <c r="BP270" s="312"/>
      <c r="BQ270" s="312"/>
      <c r="BR270" s="312"/>
      <c r="BS270" s="312"/>
      <c r="BT270" s="312"/>
      <c r="BU270" s="312"/>
      <c r="BV270" s="312"/>
      <c r="BW270" s="312"/>
      <c r="BX270" s="312"/>
      <c r="BY270" s="312"/>
      <c r="BZ270" s="312"/>
      <c r="CA270" s="312"/>
      <c r="CB270" s="312"/>
      <c r="CC270" s="312"/>
      <c r="CD270" s="312"/>
      <c r="CE270" s="312"/>
      <c r="CF270" s="312"/>
      <c r="CG270" s="312"/>
      <c r="CH270" s="312"/>
      <c r="CI270" s="312"/>
      <c r="CJ270" s="312"/>
      <c r="CK270" s="312"/>
      <c r="CL270" s="312"/>
      <c r="CM270" s="312"/>
      <c r="CN270" s="312"/>
      <c r="CO270" s="312"/>
      <c r="CP270" s="312"/>
      <c r="CQ270" s="312"/>
      <c r="CR270" s="312"/>
      <c r="CS270" s="312"/>
      <c r="CT270" s="312"/>
      <c r="CU270" s="312"/>
      <c r="CV270" s="312"/>
      <c r="CW270" s="312"/>
      <c r="CX270" s="312"/>
      <c r="CY270" s="312"/>
      <c r="CZ270" s="312"/>
      <c r="DA270" s="312"/>
      <c r="DB270" s="312"/>
      <c r="DC270" s="312"/>
      <c r="DD270" s="312"/>
      <c r="DE270" s="312"/>
      <c r="DF270" s="312"/>
      <c r="DG270" s="312"/>
      <c r="DH270" s="312"/>
      <c r="DI270" s="312"/>
      <c r="DJ270" s="312"/>
      <c r="DK270" s="312"/>
      <c r="DL270" s="312"/>
      <c r="DM270" s="312"/>
      <c r="DN270" s="312"/>
      <c r="DO270" s="312"/>
      <c r="DP270" s="312"/>
      <c r="DQ270" s="312"/>
      <c r="DR270" s="312"/>
      <c r="DS270" s="312"/>
      <c r="DT270" s="312"/>
      <c r="DU270" s="312"/>
      <c r="DV270" s="312"/>
      <c r="DW270" s="312"/>
      <c r="DX270" s="312"/>
      <c r="DY270" s="312"/>
      <c r="DZ270" s="312"/>
      <c r="EA270" s="312"/>
      <c r="EB270" s="312"/>
      <c r="EC270" s="312"/>
      <c r="ED270" s="312"/>
      <c r="EE270" s="312"/>
      <c r="EF270" s="312"/>
      <c r="EG270" s="312"/>
      <c r="EH270" s="312"/>
      <c r="EI270" s="312"/>
      <c r="EJ270" s="312"/>
      <c r="EK270" s="312"/>
      <c r="EL270" s="312"/>
      <c r="EM270" s="312"/>
      <c r="EN270" s="312"/>
      <c r="EO270" s="312"/>
      <c r="EP270" s="312"/>
      <c r="EQ270" s="312"/>
      <c r="ER270" s="312"/>
      <c r="ES270" s="312"/>
      <c r="ET270" s="312"/>
      <c r="EU270" s="312"/>
      <c r="EV270" s="312"/>
      <c r="EW270" s="312"/>
      <c r="EX270" s="312"/>
      <c r="EY270" s="312"/>
      <c r="EZ270" s="312"/>
      <c r="FA270" s="312"/>
      <c r="FB270" s="312"/>
      <c r="FC270" s="312"/>
      <c r="FD270" s="312"/>
      <c r="FE270" s="312"/>
      <c r="FF270" s="312"/>
      <c r="FG270" s="312"/>
      <c r="FH270" s="312"/>
      <c r="FI270" s="312"/>
      <c r="FJ270" s="312"/>
      <c r="FK270" s="312"/>
      <c r="FL270" s="312"/>
      <c r="FM270" s="312"/>
      <c r="FN270" s="312"/>
      <c r="FO270" s="312"/>
      <c r="FP270" s="312"/>
      <c r="FQ270" s="312"/>
      <c r="FR270" s="312"/>
      <c r="FS270" s="312"/>
      <c r="FT270" s="312"/>
      <c r="FU270" s="312"/>
      <c r="FV270" s="312"/>
      <c r="FW270" s="312"/>
      <c r="FX270" s="312"/>
      <c r="FY270" s="312"/>
      <c r="FZ270" s="312"/>
      <c r="GA270" s="312"/>
      <c r="GB270" s="312"/>
      <c r="GC270" s="312"/>
      <c r="GD270" s="312"/>
      <c r="GE270" s="312"/>
      <c r="GF270" s="312"/>
      <c r="GG270" s="312"/>
      <c r="GH270" s="312"/>
      <c r="GI270" s="312"/>
      <c r="GJ270" s="312"/>
      <c r="GK270" s="312"/>
      <c r="GL270" s="312"/>
      <c r="GM270" s="312"/>
      <c r="GN270" s="312"/>
      <c r="GO270" s="312"/>
      <c r="GP270" s="312"/>
      <c r="GQ270" s="312"/>
      <c r="GR270" s="312"/>
      <c r="GS270" s="312"/>
      <c r="GT270" s="312"/>
      <c r="GU270" s="312"/>
      <c r="GV270" s="312"/>
      <c r="GW270" s="312"/>
      <c r="GX270" s="312"/>
      <c r="GY270" s="312"/>
    </row>
    <row r="271" spans="2:207" ht="15.75" x14ac:dyDescent="0.25">
      <c r="B271" s="316">
        <f t="shared" si="58"/>
        <v>241</v>
      </c>
      <c r="C271" s="330">
        <f>'סיכום לוועדה'!B271</f>
        <v>1001349321</v>
      </c>
      <c r="D271" s="330">
        <f>'סיכום לוועדה'!C271</f>
        <v>1001269429</v>
      </c>
      <c r="E271" s="330">
        <f>'סיכום לוועדה'!D271</f>
        <v>40474818</v>
      </c>
      <c r="F271" s="330">
        <f>'סיכום לוועדה'!E271</f>
        <v>20000201</v>
      </c>
      <c r="G271" s="330" t="str">
        <f>'סיכום לוועדה'!F271</f>
        <v>תל אביב -יפו</v>
      </c>
      <c r="H271" s="317" t="str">
        <f>'סיכום לוועדה'!G271</f>
        <v>צוותא לתרבות מתקדמת בע"מ (חל"צ)</v>
      </c>
      <c r="I271" s="318">
        <f>'סיכום לוועדה'!U271</f>
        <v>200000</v>
      </c>
      <c r="J271" s="319">
        <f>'סיכום לוועדה'!T271</f>
        <v>10436.951085619383</v>
      </c>
      <c r="K271" s="320">
        <f t="shared" si="59"/>
        <v>0</v>
      </c>
      <c r="L271" s="319">
        <f t="shared" si="60"/>
        <v>10436.951085619383</v>
      </c>
      <c r="M271" s="331">
        <f>'תחום תמיכה ב'!AF271</f>
        <v>4.8886661049020725E-5</v>
      </c>
      <c r="N271" s="319">
        <f t="shared" si="57"/>
        <v>11269.711495997193</v>
      </c>
      <c r="O271" s="321">
        <f t="shared" si="61"/>
        <v>0</v>
      </c>
      <c r="P271" s="322">
        <f t="shared" si="62"/>
        <v>11269.711495997193</v>
      </c>
      <c r="Q271" s="322">
        <f t="shared" si="63"/>
        <v>11274.842893281797</v>
      </c>
      <c r="R271" s="321">
        <f t="shared" si="64"/>
        <v>0</v>
      </c>
      <c r="S271" s="322">
        <f t="shared" si="65"/>
        <v>11274.842893281797</v>
      </c>
      <c r="T271" s="322">
        <f t="shared" si="66"/>
        <v>11274.842893281775</v>
      </c>
      <c r="U271" s="321">
        <f t="shared" si="67"/>
        <v>0</v>
      </c>
      <c r="V271" s="322">
        <f t="shared" si="68"/>
        <v>11274.842893281775</v>
      </c>
      <c r="W271" s="322">
        <f t="shared" si="69"/>
        <v>11274.842893281779</v>
      </c>
      <c r="X271" s="321">
        <f t="shared" si="70"/>
        <v>0</v>
      </c>
      <c r="Y271" s="322">
        <f t="shared" si="71"/>
        <v>11274.842893281779</v>
      </c>
      <c r="Z271" s="322">
        <f t="shared" si="72"/>
        <v>11274.842893281777</v>
      </c>
      <c r="AA271" s="323">
        <f t="shared" si="73"/>
        <v>11274.842893281777</v>
      </c>
      <c r="AB271" s="323"/>
      <c r="AC271" s="323"/>
      <c r="AD271" s="323"/>
      <c r="AE271" s="323"/>
      <c r="AF271" s="324">
        <f t="shared" si="74"/>
        <v>6.4568585011459979E-5</v>
      </c>
      <c r="AG271" s="312"/>
      <c r="AH271" s="312"/>
      <c r="AI271" s="325">
        <f t="shared" si="75"/>
        <v>1</v>
      </c>
      <c r="AJ271" s="312"/>
      <c r="AK271" s="312"/>
      <c r="AL271" s="312"/>
      <c r="AM271" s="312"/>
      <c r="AN271" s="312"/>
      <c r="AO271" s="312"/>
      <c r="AP271" s="312"/>
      <c r="AQ271" s="312"/>
      <c r="AR271" s="312"/>
      <c r="AS271" s="312"/>
      <c r="AT271" s="312"/>
      <c r="AU271" s="312"/>
      <c r="AV271" s="312"/>
      <c r="AW271" s="312"/>
      <c r="AX271" s="312"/>
      <c r="AY271" s="312"/>
      <c r="AZ271" s="312"/>
      <c r="BA271" s="312"/>
      <c r="BB271" s="312"/>
      <c r="BC271" s="312"/>
      <c r="BD271" s="312"/>
      <c r="BE271" s="312"/>
      <c r="BF271" s="312"/>
      <c r="BG271" s="312"/>
      <c r="BH271" s="312"/>
      <c r="BI271" s="312"/>
      <c r="BJ271" s="312"/>
      <c r="BK271" s="312"/>
      <c r="BL271" s="312"/>
      <c r="BM271" s="312"/>
      <c r="BN271" s="312"/>
      <c r="BO271" s="312"/>
      <c r="BP271" s="312"/>
      <c r="BQ271" s="312"/>
      <c r="BR271" s="312"/>
      <c r="BS271" s="312"/>
      <c r="BT271" s="312"/>
      <c r="BU271" s="312"/>
      <c r="BV271" s="312"/>
      <c r="BW271" s="312"/>
      <c r="BX271" s="312"/>
      <c r="BY271" s="312"/>
      <c r="BZ271" s="312"/>
      <c r="CA271" s="312"/>
      <c r="CB271" s="312"/>
      <c r="CC271" s="312"/>
      <c r="CD271" s="312"/>
      <c r="CE271" s="312"/>
      <c r="CF271" s="312"/>
      <c r="CG271" s="312"/>
      <c r="CH271" s="312"/>
      <c r="CI271" s="312"/>
      <c r="CJ271" s="312"/>
      <c r="CK271" s="312"/>
      <c r="CL271" s="312"/>
      <c r="CM271" s="312"/>
      <c r="CN271" s="312"/>
      <c r="CO271" s="312"/>
      <c r="CP271" s="312"/>
      <c r="CQ271" s="312"/>
      <c r="CR271" s="312"/>
      <c r="CS271" s="312"/>
      <c r="CT271" s="312"/>
      <c r="CU271" s="312"/>
      <c r="CV271" s="312"/>
      <c r="CW271" s="312"/>
      <c r="CX271" s="312"/>
      <c r="CY271" s="312"/>
      <c r="CZ271" s="312"/>
      <c r="DA271" s="312"/>
      <c r="DB271" s="312"/>
      <c r="DC271" s="312"/>
      <c r="DD271" s="312"/>
      <c r="DE271" s="312"/>
      <c r="DF271" s="312"/>
      <c r="DG271" s="312"/>
      <c r="DH271" s="312"/>
      <c r="DI271" s="312"/>
      <c r="DJ271" s="312"/>
      <c r="DK271" s="312"/>
      <c r="DL271" s="312"/>
      <c r="DM271" s="312"/>
      <c r="DN271" s="312"/>
      <c r="DO271" s="312"/>
      <c r="DP271" s="312"/>
      <c r="DQ271" s="312"/>
      <c r="DR271" s="312"/>
      <c r="DS271" s="312"/>
      <c r="DT271" s="312"/>
      <c r="DU271" s="312"/>
      <c r="DV271" s="312"/>
      <c r="DW271" s="312"/>
      <c r="DX271" s="312"/>
      <c r="DY271" s="312"/>
      <c r="DZ271" s="312"/>
      <c r="EA271" s="312"/>
      <c r="EB271" s="312"/>
      <c r="EC271" s="312"/>
      <c r="ED271" s="312"/>
      <c r="EE271" s="312"/>
      <c r="EF271" s="312"/>
      <c r="EG271" s="312"/>
      <c r="EH271" s="312"/>
      <c r="EI271" s="312"/>
      <c r="EJ271" s="312"/>
      <c r="EK271" s="312"/>
      <c r="EL271" s="312"/>
      <c r="EM271" s="312"/>
      <c r="EN271" s="312"/>
      <c r="EO271" s="312"/>
      <c r="EP271" s="312"/>
      <c r="EQ271" s="312"/>
      <c r="ER271" s="312"/>
      <c r="ES271" s="312"/>
      <c r="ET271" s="312"/>
      <c r="EU271" s="312"/>
      <c r="EV271" s="312"/>
      <c r="EW271" s="312"/>
      <c r="EX271" s="312"/>
      <c r="EY271" s="312"/>
      <c r="EZ271" s="312"/>
      <c r="FA271" s="312"/>
      <c r="FB271" s="312"/>
      <c r="FC271" s="312"/>
      <c r="FD271" s="312"/>
      <c r="FE271" s="312"/>
      <c r="FF271" s="312"/>
      <c r="FG271" s="312"/>
      <c r="FH271" s="312"/>
      <c r="FI271" s="312"/>
      <c r="FJ271" s="312"/>
      <c r="FK271" s="312"/>
      <c r="FL271" s="312"/>
      <c r="FM271" s="312"/>
      <c r="FN271" s="312"/>
      <c r="FO271" s="312"/>
      <c r="FP271" s="312"/>
      <c r="FQ271" s="312"/>
      <c r="FR271" s="312"/>
      <c r="FS271" s="312"/>
      <c r="FT271" s="312"/>
      <c r="FU271" s="312"/>
      <c r="FV271" s="312"/>
      <c r="FW271" s="312"/>
      <c r="FX271" s="312"/>
      <c r="FY271" s="312"/>
      <c r="FZ271" s="312"/>
      <c r="GA271" s="312"/>
      <c r="GB271" s="312"/>
      <c r="GC271" s="312"/>
      <c r="GD271" s="312"/>
      <c r="GE271" s="312"/>
      <c r="GF271" s="312"/>
      <c r="GG271" s="312"/>
      <c r="GH271" s="312"/>
      <c r="GI271" s="312"/>
      <c r="GJ271" s="312"/>
      <c r="GK271" s="312"/>
      <c r="GL271" s="312"/>
      <c r="GM271" s="312"/>
      <c r="GN271" s="312"/>
      <c r="GO271" s="312"/>
      <c r="GP271" s="312"/>
      <c r="GQ271" s="312"/>
      <c r="GR271" s="312"/>
      <c r="GS271" s="312"/>
      <c r="GT271" s="312"/>
      <c r="GU271" s="312"/>
      <c r="GV271" s="312"/>
      <c r="GW271" s="312"/>
      <c r="GX271" s="312"/>
      <c r="GY271" s="312"/>
    </row>
    <row r="272" spans="2:207" ht="15.75" x14ac:dyDescent="0.25">
      <c r="B272" s="316">
        <f t="shared" si="58"/>
        <v>242</v>
      </c>
      <c r="C272" s="330">
        <f>'סיכום לוועדה'!B272</f>
        <v>1001349324</v>
      </c>
      <c r="D272" s="330">
        <f>'סיכום לוועדה'!C272</f>
        <v>1001269399</v>
      </c>
      <c r="E272" s="330">
        <f>'סיכום לוועדה'!D272</f>
        <v>40474818</v>
      </c>
      <c r="F272" s="330">
        <f>'סיכום לוועדה'!E272</f>
        <v>20000201</v>
      </c>
      <c r="G272" s="330" t="str">
        <f>'סיכום לוועדה'!F272</f>
        <v>תל אביב -יפו</v>
      </c>
      <c r="H272" s="317" t="str">
        <f>'סיכום לוועדה'!G272</f>
        <v>צוותא לתרבות מתקדמת בע"מ (חל"צ)</v>
      </c>
      <c r="I272" s="318">
        <f>'סיכום לוועדה'!U272</f>
        <v>250000</v>
      </c>
      <c r="J272" s="319">
        <f>'סיכום לוועדה'!T272</f>
        <v>22886.6725038527</v>
      </c>
      <c r="K272" s="320">
        <f t="shared" si="59"/>
        <v>0</v>
      </c>
      <c r="L272" s="319">
        <f t="shared" si="60"/>
        <v>22886.6725038527</v>
      </c>
      <c r="M272" s="331">
        <f>'תחום תמיכה ב'!AF272</f>
        <v>1.2096023117948392E-4</v>
      </c>
      <c r="N272" s="319">
        <f t="shared" si="57"/>
        <v>24947.171003748503</v>
      </c>
      <c r="O272" s="321">
        <f t="shared" si="61"/>
        <v>0</v>
      </c>
      <c r="P272" s="322">
        <f t="shared" si="62"/>
        <v>24947.171003748503</v>
      </c>
      <c r="Q272" s="322">
        <f t="shared" si="63"/>
        <v>24958.53010957767</v>
      </c>
      <c r="R272" s="321">
        <f t="shared" si="64"/>
        <v>0</v>
      </c>
      <c r="S272" s="322">
        <f t="shared" si="65"/>
        <v>24958.53010957767</v>
      </c>
      <c r="T272" s="322">
        <f t="shared" si="66"/>
        <v>24958.530109577619</v>
      </c>
      <c r="U272" s="321">
        <f t="shared" si="67"/>
        <v>0</v>
      </c>
      <c r="V272" s="322">
        <f t="shared" si="68"/>
        <v>24958.530109577619</v>
      </c>
      <c r="W272" s="322">
        <f t="shared" si="69"/>
        <v>24958.53010957763</v>
      </c>
      <c r="X272" s="321">
        <f t="shared" si="70"/>
        <v>0</v>
      </c>
      <c r="Y272" s="322">
        <f t="shared" si="71"/>
        <v>24958.53010957763</v>
      </c>
      <c r="Z272" s="322">
        <f t="shared" si="72"/>
        <v>24958.530109577627</v>
      </c>
      <c r="AA272" s="323">
        <f t="shared" si="73"/>
        <v>24958.530109577627</v>
      </c>
      <c r="AB272" s="323"/>
      <c r="AC272" s="323"/>
      <c r="AD272" s="323"/>
      <c r="AE272" s="323"/>
      <c r="AF272" s="324">
        <f t="shared" si="74"/>
        <v>1.4293210010949211E-4</v>
      </c>
      <c r="AG272" s="312"/>
      <c r="AH272" s="312"/>
      <c r="AI272" s="325">
        <f t="shared" si="75"/>
        <v>1</v>
      </c>
      <c r="AJ272" s="312"/>
      <c r="AK272" s="312"/>
      <c r="AL272" s="312"/>
      <c r="AM272" s="312"/>
      <c r="AN272" s="312"/>
      <c r="AO272" s="312"/>
      <c r="AP272" s="312"/>
      <c r="AQ272" s="312"/>
      <c r="AR272" s="312"/>
      <c r="AS272" s="312"/>
      <c r="AT272" s="312"/>
      <c r="AU272" s="312"/>
      <c r="AV272" s="312"/>
      <c r="AW272" s="312"/>
      <c r="AX272" s="312"/>
      <c r="AY272" s="312"/>
      <c r="AZ272" s="312"/>
      <c r="BA272" s="312"/>
      <c r="BB272" s="312"/>
      <c r="BC272" s="312"/>
      <c r="BD272" s="312"/>
      <c r="BE272" s="312"/>
      <c r="BF272" s="312"/>
      <c r="BG272" s="312"/>
      <c r="BH272" s="312"/>
      <c r="BI272" s="312"/>
      <c r="BJ272" s="312"/>
      <c r="BK272" s="312"/>
      <c r="BL272" s="312"/>
      <c r="BM272" s="312"/>
      <c r="BN272" s="312"/>
      <c r="BO272" s="312"/>
      <c r="BP272" s="312"/>
      <c r="BQ272" s="312"/>
      <c r="BR272" s="312"/>
      <c r="BS272" s="312"/>
      <c r="BT272" s="312"/>
      <c r="BU272" s="312"/>
      <c r="BV272" s="312"/>
      <c r="BW272" s="312"/>
      <c r="BX272" s="312"/>
      <c r="BY272" s="312"/>
      <c r="BZ272" s="312"/>
      <c r="CA272" s="312"/>
      <c r="CB272" s="312"/>
      <c r="CC272" s="312"/>
      <c r="CD272" s="312"/>
      <c r="CE272" s="312"/>
      <c r="CF272" s="312"/>
      <c r="CG272" s="312"/>
      <c r="CH272" s="312"/>
      <c r="CI272" s="312"/>
      <c r="CJ272" s="312"/>
      <c r="CK272" s="312"/>
      <c r="CL272" s="312"/>
      <c r="CM272" s="312"/>
      <c r="CN272" s="312"/>
      <c r="CO272" s="312"/>
      <c r="CP272" s="312"/>
      <c r="CQ272" s="312"/>
      <c r="CR272" s="312"/>
      <c r="CS272" s="312"/>
      <c r="CT272" s="312"/>
      <c r="CU272" s="312"/>
      <c r="CV272" s="312"/>
      <c r="CW272" s="312"/>
      <c r="CX272" s="312"/>
      <c r="CY272" s="312"/>
      <c r="CZ272" s="312"/>
      <c r="DA272" s="312"/>
      <c r="DB272" s="312"/>
      <c r="DC272" s="312"/>
      <c r="DD272" s="312"/>
      <c r="DE272" s="312"/>
      <c r="DF272" s="312"/>
      <c r="DG272" s="312"/>
      <c r="DH272" s="312"/>
      <c r="DI272" s="312"/>
      <c r="DJ272" s="312"/>
      <c r="DK272" s="312"/>
      <c r="DL272" s="312"/>
      <c r="DM272" s="312"/>
      <c r="DN272" s="312"/>
      <c r="DO272" s="312"/>
      <c r="DP272" s="312"/>
      <c r="DQ272" s="312"/>
      <c r="DR272" s="312"/>
      <c r="DS272" s="312"/>
      <c r="DT272" s="312"/>
      <c r="DU272" s="312"/>
      <c r="DV272" s="312"/>
      <c r="DW272" s="312"/>
      <c r="DX272" s="312"/>
      <c r="DY272" s="312"/>
      <c r="DZ272" s="312"/>
      <c r="EA272" s="312"/>
      <c r="EB272" s="312"/>
      <c r="EC272" s="312"/>
      <c r="ED272" s="312"/>
      <c r="EE272" s="312"/>
      <c r="EF272" s="312"/>
      <c r="EG272" s="312"/>
      <c r="EH272" s="312"/>
      <c r="EI272" s="312"/>
      <c r="EJ272" s="312"/>
      <c r="EK272" s="312"/>
      <c r="EL272" s="312"/>
      <c r="EM272" s="312"/>
      <c r="EN272" s="312"/>
      <c r="EO272" s="312"/>
      <c r="EP272" s="312"/>
      <c r="EQ272" s="312"/>
      <c r="ER272" s="312"/>
      <c r="ES272" s="312"/>
      <c r="ET272" s="312"/>
      <c r="EU272" s="312"/>
      <c r="EV272" s="312"/>
      <c r="EW272" s="312"/>
      <c r="EX272" s="312"/>
      <c r="EY272" s="312"/>
      <c r="EZ272" s="312"/>
      <c r="FA272" s="312"/>
      <c r="FB272" s="312"/>
      <c r="FC272" s="312"/>
      <c r="FD272" s="312"/>
      <c r="FE272" s="312"/>
      <c r="FF272" s="312"/>
      <c r="FG272" s="312"/>
      <c r="FH272" s="312"/>
      <c r="FI272" s="312"/>
      <c r="FJ272" s="312"/>
      <c r="FK272" s="312"/>
      <c r="FL272" s="312"/>
      <c r="FM272" s="312"/>
      <c r="FN272" s="312"/>
      <c r="FO272" s="312"/>
      <c r="FP272" s="312"/>
      <c r="FQ272" s="312"/>
      <c r="FR272" s="312"/>
      <c r="FS272" s="312"/>
      <c r="FT272" s="312"/>
      <c r="FU272" s="312"/>
      <c r="FV272" s="312"/>
      <c r="FW272" s="312"/>
      <c r="FX272" s="312"/>
      <c r="FY272" s="312"/>
      <c r="FZ272" s="312"/>
      <c r="GA272" s="312"/>
      <c r="GB272" s="312"/>
      <c r="GC272" s="312"/>
      <c r="GD272" s="312"/>
      <c r="GE272" s="312"/>
      <c r="GF272" s="312"/>
      <c r="GG272" s="312"/>
      <c r="GH272" s="312"/>
      <c r="GI272" s="312"/>
      <c r="GJ272" s="312"/>
      <c r="GK272" s="312"/>
      <c r="GL272" s="312"/>
      <c r="GM272" s="312"/>
      <c r="GN272" s="312"/>
      <c r="GO272" s="312"/>
      <c r="GP272" s="312"/>
      <c r="GQ272" s="312"/>
      <c r="GR272" s="312"/>
      <c r="GS272" s="312"/>
      <c r="GT272" s="312"/>
      <c r="GU272" s="312"/>
      <c r="GV272" s="312"/>
      <c r="GW272" s="312"/>
      <c r="GX272" s="312"/>
      <c r="GY272" s="312"/>
    </row>
    <row r="273" spans="2:207" ht="15.75" x14ac:dyDescent="0.25">
      <c r="B273" s="316">
        <f t="shared" si="58"/>
        <v>243</v>
      </c>
      <c r="C273" s="330">
        <f>'סיכום לוועדה'!B273</f>
        <v>1001349326</v>
      </c>
      <c r="D273" s="330">
        <f>'סיכום לוועדה'!C273</f>
        <v>1001268650</v>
      </c>
      <c r="E273" s="330">
        <f>'סיכום לוועדה'!D273</f>
        <v>40474818</v>
      </c>
      <c r="F273" s="330">
        <f>'סיכום לוועדה'!E273</f>
        <v>20000201</v>
      </c>
      <c r="G273" s="330" t="str">
        <f>'סיכום לוועדה'!F273</f>
        <v>תל אביב -יפו</v>
      </c>
      <c r="H273" s="317" t="str">
        <f>'סיכום לוועדה'!G273</f>
        <v>צוותא לתרבות מתקדמת בע"מ (חל"צ)</v>
      </c>
      <c r="I273" s="318">
        <f>'סיכום לוועדה'!U273</f>
        <v>450000</v>
      </c>
      <c r="J273" s="319">
        <f>'סיכום לוועדה'!T273</f>
        <v>71507.54367175579</v>
      </c>
      <c r="K273" s="320">
        <f t="shared" si="59"/>
        <v>0</v>
      </c>
      <c r="L273" s="319">
        <f t="shared" si="60"/>
        <v>71507.54367175579</v>
      </c>
      <c r="M273" s="331">
        <f>'תחום תמיכה ב'!AF273</f>
        <v>3.7706276783470652E-4</v>
      </c>
      <c r="N273" s="319">
        <f t="shared" si="57"/>
        <v>77930.62388509576</v>
      </c>
      <c r="O273" s="321">
        <f t="shared" si="61"/>
        <v>0</v>
      </c>
      <c r="P273" s="322">
        <f t="shared" si="62"/>
        <v>77930.62388509576</v>
      </c>
      <c r="Q273" s="322">
        <f t="shared" si="63"/>
        <v>77966.107756349564</v>
      </c>
      <c r="R273" s="321">
        <f t="shared" si="64"/>
        <v>0</v>
      </c>
      <c r="S273" s="322">
        <f t="shared" si="65"/>
        <v>77966.107756349564</v>
      </c>
      <c r="T273" s="322">
        <f t="shared" si="66"/>
        <v>77966.107756349404</v>
      </c>
      <c r="U273" s="321">
        <f t="shared" si="67"/>
        <v>0</v>
      </c>
      <c r="V273" s="322">
        <f t="shared" si="68"/>
        <v>77966.107756349404</v>
      </c>
      <c r="W273" s="322">
        <f t="shared" si="69"/>
        <v>77966.107756349433</v>
      </c>
      <c r="X273" s="321">
        <f t="shared" si="70"/>
        <v>0</v>
      </c>
      <c r="Y273" s="322">
        <f t="shared" si="71"/>
        <v>77966.107756349433</v>
      </c>
      <c r="Z273" s="322">
        <f t="shared" si="72"/>
        <v>77966.107756349418</v>
      </c>
      <c r="AA273" s="323">
        <f t="shared" si="73"/>
        <v>77966.107756349418</v>
      </c>
      <c r="AB273" s="323"/>
      <c r="AC273" s="323"/>
      <c r="AD273" s="323"/>
      <c r="AE273" s="323"/>
      <c r="AF273" s="324">
        <f t="shared" si="74"/>
        <v>4.4649502474913865E-4</v>
      </c>
      <c r="AG273" s="312"/>
      <c r="AH273" s="312"/>
      <c r="AI273" s="325">
        <f t="shared" si="75"/>
        <v>1</v>
      </c>
      <c r="AJ273" s="312"/>
      <c r="AK273" s="312"/>
      <c r="AL273" s="312"/>
      <c r="AM273" s="312"/>
      <c r="AN273" s="312"/>
      <c r="AO273" s="312"/>
      <c r="AP273" s="312"/>
      <c r="AQ273" s="312"/>
      <c r="AR273" s="312"/>
      <c r="AS273" s="312"/>
      <c r="AT273" s="312"/>
      <c r="AU273" s="312"/>
      <c r="AV273" s="312"/>
      <c r="AW273" s="312"/>
      <c r="AX273" s="312"/>
      <c r="AY273" s="312"/>
      <c r="AZ273" s="312"/>
      <c r="BA273" s="312"/>
      <c r="BB273" s="312"/>
      <c r="BC273" s="312"/>
      <c r="BD273" s="312"/>
      <c r="BE273" s="312"/>
      <c r="BF273" s="312"/>
      <c r="BG273" s="312"/>
      <c r="BH273" s="312"/>
      <c r="BI273" s="312"/>
      <c r="BJ273" s="312"/>
      <c r="BK273" s="312"/>
      <c r="BL273" s="312"/>
      <c r="BM273" s="312"/>
      <c r="BN273" s="312"/>
      <c r="BO273" s="312"/>
      <c r="BP273" s="312"/>
      <c r="BQ273" s="312"/>
      <c r="BR273" s="312"/>
      <c r="BS273" s="312"/>
      <c r="BT273" s="312"/>
      <c r="BU273" s="312"/>
      <c r="BV273" s="312"/>
      <c r="BW273" s="312"/>
      <c r="BX273" s="312"/>
      <c r="BY273" s="312"/>
      <c r="BZ273" s="312"/>
      <c r="CA273" s="312"/>
      <c r="CB273" s="312"/>
      <c r="CC273" s="312"/>
      <c r="CD273" s="312"/>
      <c r="CE273" s="312"/>
      <c r="CF273" s="312"/>
      <c r="CG273" s="312"/>
      <c r="CH273" s="312"/>
      <c r="CI273" s="312"/>
      <c r="CJ273" s="312"/>
      <c r="CK273" s="312"/>
      <c r="CL273" s="312"/>
      <c r="CM273" s="312"/>
      <c r="CN273" s="312"/>
      <c r="CO273" s="312"/>
      <c r="CP273" s="312"/>
      <c r="CQ273" s="312"/>
      <c r="CR273" s="312"/>
      <c r="CS273" s="312"/>
      <c r="CT273" s="312"/>
      <c r="CU273" s="312"/>
      <c r="CV273" s="312"/>
      <c r="CW273" s="312"/>
      <c r="CX273" s="312"/>
      <c r="CY273" s="312"/>
      <c r="CZ273" s="312"/>
      <c r="DA273" s="312"/>
      <c r="DB273" s="312"/>
      <c r="DC273" s="312"/>
      <c r="DD273" s="312"/>
      <c r="DE273" s="312"/>
      <c r="DF273" s="312"/>
      <c r="DG273" s="312"/>
      <c r="DH273" s="312"/>
      <c r="DI273" s="312"/>
      <c r="DJ273" s="312"/>
      <c r="DK273" s="312"/>
      <c r="DL273" s="312"/>
      <c r="DM273" s="312"/>
      <c r="DN273" s="312"/>
      <c r="DO273" s="312"/>
      <c r="DP273" s="312"/>
      <c r="DQ273" s="312"/>
      <c r="DR273" s="312"/>
      <c r="DS273" s="312"/>
      <c r="DT273" s="312"/>
      <c r="DU273" s="312"/>
      <c r="DV273" s="312"/>
      <c r="DW273" s="312"/>
      <c r="DX273" s="312"/>
      <c r="DY273" s="312"/>
      <c r="DZ273" s="312"/>
      <c r="EA273" s="312"/>
      <c r="EB273" s="312"/>
      <c r="EC273" s="312"/>
      <c r="ED273" s="312"/>
      <c r="EE273" s="312"/>
      <c r="EF273" s="312"/>
      <c r="EG273" s="312"/>
      <c r="EH273" s="312"/>
      <c r="EI273" s="312"/>
      <c r="EJ273" s="312"/>
      <c r="EK273" s="312"/>
      <c r="EL273" s="312"/>
      <c r="EM273" s="312"/>
      <c r="EN273" s="312"/>
      <c r="EO273" s="312"/>
      <c r="EP273" s="312"/>
      <c r="EQ273" s="312"/>
      <c r="ER273" s="312"/>
      <c r="ES273" s="312"/>
      <c r="ET273" s="312"/>
      <c r="EU273" s="312"/>
      <c r="EV273" s="312"/>
      <c r="EW273" s="312"/>
      <c r="EX273" s="312"/>
      <c r="EY273" s="312"/>
      <c r="EZ273" s="312"/>
      <c r="FA273" s="312"/>
      <c r="FB273" s="312"/>
      <c r="FC273" s="312"/>
      <c r="FD273" s="312"/>
      <c r="FE273" s="312"/>
      <c r="FF273" s="312"/>
      <c r="FG273" s="312"/>
      <c r="FH273" s="312"/>
      <c r="FI273" s="312"/>
      <c r="FJ273" s="312"/>
      <c r="FK273" s="312"/>
      <c r="FL273" s="312"/>
      <c r="FM273" s="312"/>
      <c r="FN273" s="312"/>
      <c r="FO273" s="312"/>
      <c r="FP273" s="312"/>
      <c r="FQ273" s="312"/>
      <c r="FR273" s="312"/>
      <c r="FS273" s="312"/>
      <c r="FT273" s="312"/>
      <c r="FU273" s="312"/>
      <c r="FV273" s="312"/>
      <c r="FW273" s="312"/>
      <c r="FX273" s="312"/>
      <c r="FY273" s="312"/>
      <c r="FZ273" s="312"/>
      <c r="GA273" s="312"/>
      <c r="GB273" s="312"/>
      <c r="GC273" s="312"/>
      <c r="GD273" s="312"/>
      <c r="GE273" s="312"/>
      <c r="GF273" s="312"/>
      <c r="GG273" s="312"/>
      <c r="GH273" s="312"/>
      <c r="GI273" s="312"/>
      <c r="GJ273" s="312"/>
      <c r="GK273" s="312"/>
      <c r="GL273" s="312"/>
      <c r="GM273" s="312"/>
      <c r="GN273" s="312"/>
      <c r="GO273" s="312"/>
      <c r="GP273" s="312"/>
      <c r="GQ273" s="312"/>
      <c r="GR273" s="312"/>
      <c r="GS273" s="312"/>
      <c r="GT273" s="312"/>
      <c r="GU273" s="312"/>
      <c r="GV273" s="312"/>
      <c r="GW273" s="312"/>
      <c r="GX273" s="312"/>
      <c r="GY273" s="312"/>
    </row>
    <row r="274" spans="2:207" ht="15.75" x14ac:dyDescent="0.25">
      <c r="B274" s="316">
        <f t="shared" si="58"/>
        <v>244</v>
      </c>
      <c r="C274" s="330">
        <f>'סיכום לוועדה'!B274</f>
        <v>1001347844</v>
      </c>
      <c r="D274" s="330">
        <f>'סיכום לוועדה'!C274</f>
        <v>1001265161</v>
      </c>
      <c r="E274" s="330">
        <f>'סיכום לוועדה'!D274</f>
        <v>40000054</v>
      </c>
      <c r="F274" s="330">
        <f>'סיכום לוועדה'!E274</f>
        <v>20000159</v>
      </c>
      <c r="G274" s="330" t="str">
        <f>'סיכום לוועדה'!F274</f>
        <v>ירושלים</v>
      </c>
      <c r="H274" s="317" t="str">
        <f>'סיכום לוועדה'!G274</f>
        <v>פסטיבל ישראל ירושלים</v>
      </c>
      <c r="I274" s="318">
        <f>'סיכום לוועדה'!U274</f>
        <v>651000</v>
      </c>
      <c r="J274" s="319">
        <f>'סיכום לוועדה'!T274</f>
        <v>203161.13603530024</v>
      </c>
      <c r="K274" s="320">
        <f t="shared" si="59"/>
        <v>0</v>
      </c>
      <c r="L274" s="319">
        <f t="shared" si="60"/>
        <v>203161.13603530024</v>
      </c>
      <c r="M274" s="331">
        <f>'תחום תמיכה ב'!AF274</f>
        <v>1.2654040570501891E-3</v>
      </c>
      <c r="N274" s="319">
        <f t="shared" si="57"/>
        <v>224716.6765289779</v>
      </c>
      <c r="O274" s="321">
        <f t="shared" si="61"/>
        <v>0</v>
      </c>
      <c r="P274" s="322">
        <f t="shared" si="62"/>
        <v>224716.6765289779</v>
      </c>
      <c r="Q274" s="322">
        <f t="shared" si="63"/>
        <v>224818.99596671644</v>
      </c>
      <c r="R274" s="321">
        <f t="shared" si="64"/>
        <v>0</v>
      </c>
      <c r="S274" s="322">
        <f t="shared" si="65"/>
        <v>224818.99596671644</v>
      </c>
      <c r="T274" s="322">
        <f t="shared" si="66"/>
        <v>224818.995966716</v>
      </c>
      <c r="U274" s="321">
        <f t="shared" si="67"/>
        <v>0</v>
      </c>
      <c r="V274" s="322">
        <f t="shared" si="68"/>
        <v>224818.995966716</v>
      </c>
      <c r="W274" s="322">
        <f t="shared" si="69"/>
        <v>224818.99596671609</v>
      </c>
      <c r="X274" s="321">
        <f t="shared" si="70"/>
        <v>0</v>
      </c>
      <c r="Y274" s="322">
        <f t="shared" si="71"/>
        <v>224818.99596671609</v>
      </c>
      <c r="Z274" s="322">
        <f t="shared" si="72"/>
        <v>224818.99596671606</v>
      </c>
      <c r="AA274" s="323">
        <f t="shared" si="73"/>
        <v>224818.99596671606</v>
      </c>
      <c r="AB274" s="323"/>
      <c r="AC274" s="323"/>
      <c r="AD274" s="323"/>
      <c r="AE274" s="323"/>
      <c r="AF274" s="324">
        <f t="shared" si="74"/>
        <v>1.2874897318451886E-3</v>
      </c>
      <c r="AG274" s="312"/>
      <c r="AH274" s="312"/>
      <c r="AI274" s="325">
        <f t="shared" si="75"/>
        <v>1</v>
      </c>
      <c r="AJ274" s="312"/>
      <c r="AK274" s="312"/>
      <c r="AL274" s="312"/>
      <c r="AM274" s="312"/>
      <c r="AN274" s="312"/>
      <c r="AO274" s="312"/>
      <c r="AP274" s="312"/>
      <c r="AQ274" s="312"/>
      <c r="AR274" s="312"/>
      <c r="AS274" s="312"/>
      <c r="AT274" s="312"/>
      <c r="AU274" s="312"/>
      <c r="AV274" s="312"/>
      <c r="AW274" s="312"/>
      <c r="AX274" s="312"/>
      <c r="AY274" s="312"/>
      <c r="AZ274" s="312"/>
      <c r="BA274" s="312"/>
      <c r="BB274" s="312"/>
      <c r="BC274" s="312"/>
      <c r="BD274" s="312"/>
      <c r="BE274" s="312"/>
      <c r="BF274" s="312"/>
      <c r="BG274" s="312"/>
      <c r="BH274" s="312"/>
      <c r="BI274" s="312"/>
      <c r="BJ274" s="312"/>
      <c r="BK274" s="312"/>
      <c r="BL274" s="312"/>
      <c r="BM274" s="312"/>
      <c r="BN274" s="312"/>
      <c r="BO274" s="312"/>
      <c r="BP274" s="312"/>
      <c r="BQ274" s="312"/>
      <c r="BR274" s="312"/>
      <c r="BS274" s="312"/>
      <c r="BT274" s="312"/>
      <c r="BU274" s="312"/>
      <c r="BV274" s="312"/>
      <c r="BW274" s="312"/>
      <c r="BX274" s="312"/>
      <c r="BY274" s="312"/>
      <c r="BZ274" s="312"/>
      <c r="CA274" s="312"/>
      <c r="CB274" s="312"/>
      <c r="CC274" s="312"/>
      <c r="CD274" s="312"/>
      <c r="CE274" s="312"/>
      <c r="CF274" s="312"/>
      <c r="CG274" s="312"/>
      <c r="CH274" s="312"/>
      <c r="CI274" s="312"/>
      <c r="CJ274" s="312"/>
      <c r="CK274" s="312"/>
      <c r="CL274" s="312"/>
      <c r="CM274" s="312"/>
      <c r="CN274" s="312"/>
      <c r="CO274" s="312"/>
      <c r="CP274" s="312"/>
      <c r="CQ274" s="312"/>
      <c r="CR274" s="312"/>
      <c r="CS274" s="312"/>
      <c r="CT274" s="312"/>
      <c r="CU274" s="312"/>
      <c r="CV274" s="312"/>
      <c r="CW274" s="312"/>
      <c r="CX274" s="312"/>
      <c r="CY274" s="312"/>
      <c r="CZ274" s="312"/>
      <c r="DA274" s="312"/>
      <c r="DB274" s="312"/>
      <c r="DC274" s="312"/>
      <c r="DD274" s="312"/>
      <c r="DE274" s="312"/>
      <c r="DF274" s="312"/>
      <c r="DG274" s="312"/>
      <c r="DH274" s="312"/>
      <c r="DI274" s="312"/>
      <c r="DJ274" s="312"/>
      <c r="DK274" s="312"/>
      <c r="DL274" s="312"/>
      <c r="DM274" s="312"/>
      <c r="DN274" s="312"/>
      <c r="DO274" s="312"/>
      <c r="DP274" s="312"/>
      <c r="DQ274" s="312"/>
      <c r="DR274" s="312"/>
      <c r="DS274" s="312"/>
      <c r="DT274" s="312"/>
      <c r="DU274" s="312"/>
      <c r="DV274" s="312"/>
      <c r="DW274" s="312"/>
      <c r="DX274" s="312"/>
      <c r="DY274" s="312"/>
      <c r="DZ274" s="312"/>
      <c r="EA274" s="312"/>
      <c r="EB274" s="312"/>
      <c r="EC274" s="312"/>
      <c r="ED274" s="312"/>
      <c r="EE274" s="312"/>
      <c r="EF274" s="312"/>
      <c r="EG274" s="312"/>
      <c r="EH274" s="312"/>
      <c r="EI274" s="312"/>
      <c r="EJ274" s="312"/>
      <c r="EK274" s="312"/>
      <c r="EL274" s="312"/>
      <c r="EM274" s="312"/>
      <c r="EN274" s="312"/>
      <c r="EO274" s="312"/>
      <c r="EP274" s="312"/>
      <c r="EQ274" s="312"/>
      <c r="ER274" s="312"/>
      <c r="ES274" s="312"/>
      <c r="ET274" s="312"/>
      <c r="EU274" s="312"/>
      <c r="EV274" s="312"/>
      <c r="EW274" s="312"/>
      <c r="EX274" s="312"/>
      <c r="EY274" s="312"/>
      <c r="EZ274" s="312"/>
      <c r="FA274" s="312"/>
      <c r="FB274" s="312"/>
      <c r="FC274" s="312"/>
      <c r="FD274" s="312"/>
      <c r="FE274" s="312"/>
      <c r="FF274" s="312"/>
      <c r="FG274" s="312"/>
      <c r="FH274" s="312"/>
      <c r="FI274" s="312"/>
      <c r="FJ274" s="312"/>
      <c r="FK274" s="312"/>
      <c r="FL274" s="312"/>
      <c r="FM274" s="312"/>
      <c r="FN274" s="312"/>
      <c r="FO274" s="312"/>
      <c r="FP274" s="312"/>
      <c r="FQ274" s="312"/>
      <c r="FR274" s="312"/>
      <c r="FS274" s="312"/>
      <c r="FT274" s="312"/>
      <c r="FU274" s="312"/>
      <c r="FV274" s="312"/>
      <c r="FW274" s="312"/>
      <c r="FX274" s="312"/>
      <c r="FY274" s="312"/>
      <c r="FZ274" s="312"/>
      <c r="GA274" s="312"/>
      <c r="GB274" s="312"/>
      <c r="GC274" s="312"/>
      <c r="GD274" s="312"/>
      <c r="GE274" s="312"/>
      <c r="GF274" s="312"/>
      <c r="GG274" s="312"/>
      <c r="GH274" s="312"/>
      <c r="GI274" s="312"/>
      <c r="GJ274" s="312"/>
      <c r="GK274" s="312"/>
      <c r="GL274" s="312"/>
      <c r="GM274" s="312"/>
      <c r="GN274" s="312"/>
      <c r="GO274" s="312"/>
      <c r="GP274" s="312"/>
      <c r="GQ274" s="312"/>
      <c r="GR274" s="312"/>
      <c r="GS274" s="312"/>
      <c r="GT274" s="312"/>
      <c r="GU274" s="312"/>
      <c r="GV274" s="312"/>
      <c r="GW274" s="312"/>
      <c r="GX274" s="312"/>
      <c r="GY274" s="312"/>
    </row>
    <row r="275" spans="2:207" ht="15.75" x14ac:dyDescent="0.25">
      <c r="B275" s="316" t="str">
        <f t="shared" si="58"/>
        <v/>
      </c>
      <c r="C275" s="330" t="str">
        <f>'סיכום לוועדה'!B275</f>
        <v/>
      </c>
      <c r="D275" s="330" t="str">
        <f>'סיכום לוועדה'!C275</f>
        <v/>
      </c>
      <c r="E275" s="330" t="str">
        <f>'סיכום לוועדה'!D275</f>
        <v/>
      </c>
      <c r="F275" s="330" t="str">
        <f>'סיכום לוועדה'!E275</f>
        <v/>
      </c>
      <c r="G275" s="330" t="str">
        <f>'סיכום לוועדה'!F275</f>
        <v/>
      </c>
      <c r="H275" s="317" t="str">
        <f>'סיכום לוועדה'!G275</f>
        <v/>
      </c>
      <c r="I275" s="318" t="str">
        <f>'סיכום לוועדה'!U275</f>
        <v/>
      </c>
      <c r="J275" s="319" t="str">
        <f>'סיכום לוועדה'!T275</f>
        <v/>
      </c>
      <c r="K275" s="320" t="str">
        <f t="shared" si="59"/>
        <v/>
      </c>
      <c r="L275" s="319" t="str">
        <f t="shared" si="60"/>
        <v/>
      </c>
      <c r="M275" s="331" t="str">
        <f>'תחום תמיכה ב'!AF275</f>
        <v/>
      </c>
      <c r="N275" s="319" t="str">
        <f t="shared" si="57"/>
        <v/>
      </c>
      <c r="O275" s="321">
        <f t="shared" si="61"/>
        <v>0</v>
      </c>
      <c r="P275" s="322" t="str">
        <f t="shared" si="62"/>
        <v/>
      </c>
      <c r="Q275" s="322" t="str">
        <f t="shared" si="63"/>
        <v/>
      </c>
      <c r="R275" s="321">
        <f t="shared" si="64"/>
        <v>0</v>
      </c>
      <c r="S275" s="322" t="str">
        <f t="shared" si="65"/>
        <v/>
      </c>
      <c r="T275" s="322" t="str">
        <f t="shared" si="66"/>
        <v/>
      </c>
      <c r="U275" s="321">
        <f t="shared" si="67"/>
        <v>0</v>
      </c>
      <c r="V275" s="322" t="str">
        <f t="shared" si="68"/>
        <v/>
      </c>
      <c r="W275" s="322" t="str">
        <f t="shared" si="69"/>
        <v/>
      </c>
      <c r="X275" s="321">
        <f t="shared" si="70"/>
        <v>0</v>
      </c>
      <c r="Y275" s="322" t="str">
        <f t="shared" si="71"/>
        <v/>
      </c>
      <c r="Z275" s="322" t="str">
        <f t="shared" si="72"/>
        <v/>
      </c>
      <c r="AA275" s="323" t="str">
        <f t="shared" si="73"/>
        <v/>
      </c>
      <c r="AB275" s="323"/>
      <c r="AC275" s="323"/>
      <c r="AD275" s="323"/>
      <c r="AE275" s="323"/>
      <c r="AF275" s="324" t="str">
        <f t="shared" si="74"/>
        <v/>
      </c>
      <c r="AG275" s="312"/>
      <c r="AH275" s="312"/>
      <c r="AI275" s="325">
        <f t="shared" si="75"/>
        <v>0</v>
      </c>
      <c r="AJ275" s="312"/>
      <c r="AK275" s="312"/>
      <c r="AL275" s="312"/>
      <c r="AM275" s="312"/>
      <c r="AN275" s="312"/>
      <c r="AO275" s="312"/>
      <c r="AP275" s="312"/>
      <c r="AQ275" s="312"/>
      <c r="AR275" s="312"/>
      <c r="AS275" s="312"/>
      <c r="AT275" s="312"/>
      <c r="AU275" s="312"/>
      <c r="AV275" s="312"/>
      <c r="AW275" s="312"/>
      <c r="AX275" s="312"/>
      <c r="AY275" s="312"/>
      <c r="AZ275" s="312"/>
      <c r="BA275" s="312"/>
      <c r="BB275" s="312"/>
      <c r="BC275" s="312"/>
      <c r="BD275" s="312"/>
      <c r="BE275" s="312"/>
      <c r="BF275" s="312"/>
      <c r="BG275" s="312"/>
      <c r="BH275" s="312"/>
      <c r="BI275" s="312"/>
      <c r="BJ275" s="312"/>
      <c r="BK275" s="312"/>
      <c r="BL275" s="312"/>
      <c r="BM275" s="312"/>
      <c r="BN275" s="312"/>
      <c r="BO275" s="312"/>
      <c r="BP275" s="312"/>
      <c r="BQ275" s="312"/>
      <c r="BR275" s="312"/>
      <c r="BS275" s="312"/>
      <c r="BT275" s="312"/>
      <c r="BU275" s="312"/>
      <c r="BV275" s="312"/>
      <c r="BW275" s="312"/>
      <c r="BX275" s="312"/>
      <c r="BY275" s="312"/>
      <c r="BZ275" s="312"/>
      <c r="CA275" s="312"/>
      <c r="CB275" s="312"/>
      <c r="CC275" s="312"/>
      <c r="CD275" s="312"/>
      <c r="CE275" s="312"/>
      <c r="CF275" s="312"/>
      <c r="CG275" s="312"/>
      <c r="CH275" s="312"/>
      <c r="CI275" s="312"/>
      <c r="CJ275" s="312"/>
      <c r="CK275" s="312"/>
      <c r="CL275" s="312"/>
      <c r="CM275" s="312"/>
      <c r="CN275" s="312"/>
      <c r="CO275" s="312"/>
      <c r="CP275" s="312"/>
      <c r="CQ275" s="312"/>
      <c r="CR275" s="312"/>
      <c r="CS275" s="312"/>
      <c r="CT275" s="312"/>
      <c r="CU275" s="312"/>
      <c r="CV275" s="312"/>
      <c r="CW275" s="312"/>
      <c r="CX275" s="312"/>
      <c r="CY275" s="312"/>
      <c r="CZ275" s="312"/>
      <c r="DA275" s="312"/>
      <c r="DB275" s="312"/>
      <c r="DC275" s="312"/>
      <c r="DD275" s="312"/>
      <c r="DE275" s="312"/>
      <c r="DF275" s="312"/>
      <c r="DG275" s="312"/>
      <c r="DH275" s="312"/>
      <c r="DI275" s="312"/>
      <c r="DJ275" s="312"/>
      <c r="DK275" s="312"/>
      <c r="DL275" s="312"/>
      <c r="DM275" s="312"/>
      <c r="DN275" s="312"/>
      <c r="DO275" s="312"/>
      <c r="DP275" s="312"/>
      <c r="DQ275" s="312"/>
      <c r="DR275" s="312"/>
      <c r="DS275" s="312"/>
      <c r="DT275" s="312"/>
      <c r="DU275" s="312"/>
      <c r="DV275" s="312"/>
      <c r="DW275" s="312"/>
      <c r="DX275" s="312"/>
      <c r="DY275" s="312"/>
      <c r="DZ275" s="312"/>
      <c r="EA275" s="312"/>
      <c r="EB275" s="312"/>
      <c r="EC275" s="312"/>
      <c r="ED275" s="312"/>
      <c r="EE275" s="312"/>
      <c r="EF275" s="312"/>
      <c r="EG275" s="312"/>
      <c r="EH275" s="312"/>
      <c r="EI275" s="312"/>
      <c r="EJ275" s="312"/>
      <c r="EK275" s="312"/>
      <c r="EL275" s="312"/>
      <c r="EM275" s="312"/>
      <c r="EN275" s="312"/>
      <c r="EO275" s="312"/>
      <c r="EP275" s="312"/>
      <c r="EQ275" s="312"/>
      <c r="ER275" s="312"/>
      <c r="ES275" s="312"/>
      <c r="ET275" s="312"/>
      <c r="EU275" s="312"/>
      <c r="EV275" s="312"/>
      <c r="EW275" s="312"/>
      <c r="EX275" s="312"/>
      <c r="EY275" s="312"/>
      <c r="EZ275" s="312"/>
      <c r="FA275" s="312"/>
      <c r="FB275" s="312"/>
      <c r="FC275" s="312"/>
      <c r="FD275" s="312"/>
      <c r="FE275" s="312"/>
      <c r="FF275" s="312"/>
      <c r="FG275" s="312"/>
      <c r="FH275" s="312"/>
      <c r="FI275" s="312"/>
      <c r="FJ275" s="312"/>
      <c r="FK275" s="312"/>
      <c r="FL275" s="312"/>
      <c r="FM275" s="312"/>
      <c r="FN275" s="312"/>
      <c r="FO275" s="312"/>
      <c r="FP275" s="312"/>
      <c r="FQ275" s="312"/>
      <c r="FR275" s="312"/>
      <c r="FS275" s="312"/>
      <c r="FT275" s="312"/>
      <c r="FU275" s="312"/>
      <c r="FV275" s="312"/>
      <c r="FW275" s="312"/>
      <c r="FX275" s="312"/>
      <c r="FY275" s="312"/>
      <c r="FZ275" s="312"/>
      <c r="GA275" s="312"/>
      <c r="GB275" s="312"/>
      <c r="GC275" s="312"/>
      <c r="GD275" s="312"/>
      <c r="GE275" s="312"/>
      <c r="GF275" s="312"/>
      <c r="GG275" s="312"/>
      <c r="GH275" s="312"/>
      <c r="GI275" s="312"/>
      <c r="GJ275" s="312"/>
      <c r="GK275" s="312"/>
      <c r="GL275" s="312"/>
      <c r="GM275" s="312"/>
      <c r="GN275" s="312"/>
      <c r="GO275" s="312"/>
      <c r="GP275" s="312"/>
      <c r="GQ275" s="312"/>
      <c r="GR275" s="312"/>
      <c r="GS275" s="312"/>
      <c r="GT275" s="312"/>
      <c r="GU275" s="312"/>
      <c r="GV275" s="312"/>
      <c r="GW275" s="312"/>
      <c r="GX275" s="312"/>
      <c r="GY275" s="312"/>
    </row>
    <row r="276" spans="2:207" ht="15.75" x14ac:dyDescent="0.25">
      <c r="B276" s="316">
        <f t="shared" si="58"/>
        <v>246</v>
      </c>
      <c r="C276" s="330">
        <f>'סיכום לוועדה'!B276</f>
        <v>1001346748</v>
      </c>
      <c r="D276" s="330">
        <f>'סיכום לוועדה'!C276</f>
        <v>1001272517</v>
      </c>
      <c r="E276" s="330">
        <f>'סיכום לוועדה'!D276</f>
        <v>40000171</v>
      </c>
      <c r="F276" s="330">
        <f>'סיכום לוועדה'!E276</f>
        <v>20000201</v>
      </c>
      <c r="G276" s="330" t="str">
        <f>'סיכום לוועדה'!F276</f>
        <v>תל אביב -יפו</v>
      </c>
      <c r="H276" s="317" t="str">
        <f>'סיכום לוועדה'!G276</f>
        <v>תיאטרון "גשר"</v>
      </c>
      <c r="I276" s="318">
        <f>'סיכום לוועדה'!U276</f>
        <v>6000000</v>
      </c>
      <c r="J276" s="319">
        <f>'סיכום לוועדה'!T276</f>
        <v>3916708.4694827255</v>
      </c>
      <c r="K276" s="320">
        <f t="shared" si="59"/>
        <v>0</v>
      </c>
      <c r="L276" s="319">
        <f t="shared" si="60"/>
        <v>3916708.4694827255</v>
      </c>
      <c r="M276" s="331">
        <f>'תחום תמיכה ב'!AF276</f>
        <v>1.9725897619228272E-2</v>
      </c>
      <c r="N276" s="319">
        <f t="shared" si="57"/>
        <v>4252729.5076139085</v>
      </c>
      <c r="O276" s="321">
        <f t="shared" si="61"/>
        <v>0</v>
      </c>
      <c r="P276" s="322">
        <f t="shared" si="62"/>
        <v>4252729.5076139085</v>
      </c>
      <c r="Q276" s="322">
        <f t="shared" si="63"/>
        <v>4254665.887676103</v>
      </c>
      <c r="R276" s="321">
        <f t="shared" si="64"/>
        <v>0</v>
      </c>
      <c r="S276" s="322">
        <f t="shared" si="65"/>
        <v>4254665.887676103</v>
      </c>
      <c r="T276" s="322">
        <f t="shared" si="66"/>
        <v>4254665.8876760937</v>
      </c>
      <c r="U276" s="321">
        <f t="shared" si="67"/>
        <v>0</v>
      </c>
      <c r="V276" s="322">
        <f t="shared" si="68"/>
        <v>4254665.8876760937</v>
      </c>
      <c r="W276" s="322">
        <f t="shared" si="69"/>
        <v>4254665.8876760956</v>
      </c>
      <c r="X276" s="321">
        <f t="shared" si="70"/>
        <v>0</v>
      </c>
      <c r="Y276" s="322">
        <f t="shared" si="71"/>
        <v>4254665.8876760956</v>
      </c>
      <c r="Z276" s="322">
        <f t="shared" si="72"/>
        <v>4254665.8876760947</v>
      </c>
      <c r="AA276" s="323">
        <f t="shared" si="73"/>
        <v>4254665.8876760947</v>
      </c>
      <c r="AB276" s="323"/>
      <c r="AC276" s="323"/>
      <c r="AD276" s="323"/>
      <c r="AE276" s="323"/>
      <c r="AF276" s="324">
        <f t="shared" si="74"/>
        <v>2.4365550692282016E-2</v>
      </c>
      <c r="AG276" s="312"/>
      <c r="AH276" s="312"/>
      <c r="AI276" s="325">
        <f t="shared" si="75"/>
        <v>1</v>
      </c>
      <c r="AJ276" s="312"/>
      <c r="AK276" s="312"/>
      <c r="AL276" s="312"/>
      <c r="AM276" s="312"/>
      <c r="AN276" s="312"/>
      <c r="AO276" s="312"/>
      <c r="AP276" s="312"/>
      <c r="AQ276" s="312"/>
      <c r="AR276" s="312"/>
      <c r="AS276" s="312"/>
      <c r="AT276" s="312"/>
      <c r="AU276" s="312"/>
      <c r="AV276" s="312"/>
      <c r="AW276" s="312"/>
      <c r="AX276" s="312"/>
      <c r="AY276" s="312"/>
      <c r="AZ276" s="312"/>
      <c r="BA276" s="312"/>
      <c r="BB276" s="312"/>
      <c r="BC276" s="312"/>
      <c r="BD276" s="312"/>
      <c r="BE276" s="312"/>
      <c r="BF276" s="312"/>
      <c r="BG276" s="312"/>
      <c r="BH276" s="312"/>
      <c r="BI276" s="312"/>
      <c r="BJ276" s="312"/>
      <c r="BK276" s="312"/>
      <c r="BL276" s="312"/>
      <c r="BM276" s="312"/>
      <c r="BN276" s="312"/>
      <c r="BO276" s="312"/>
      <c r="BP276" s="312"/>
      <c r="BQ276" s="312"/>
      <c r="BR276" s="312"/>
      <c r="BS276" s="312"/>
      <c r="BT276" s="312"/>
      <c r="BU276" s="312"/>
      <c r="BV276" s="312"/>
      <c r="BW276" s="312"/>
      <c r="BX276" s="312"/>
      <c r="BY276" s="312"/>
      <c r="BZ276" s="312"/>
      <c r="CA276" s="312"/>
      <c r="CB276" s="312"/>
      <c r="CC276" s="312"/>
      <c r="CD276" s="312"/>
      <c r="CE276" s="312"/>
      <c r="CF276" s="312"/>
      <c r="CG276" s="312"/>
      <c r="CH276" s="312"/>
      <c r="CI276" s="312"/>
      <c r="CJ276" s="312"/>
      <c r="CK276" s="312"/>
      <c r="CL276" s="312"/>
      <c r="CM276" s="312"/>
      <c r="CN276" s="312"/>
      <c r="CO276" s="312"/>
      <c r="CP276" s="312"/>
      <c r="CQ276" s="312"/>
      <c r="CR276" s="312"/>
      <c r="CS276" s="312"/>
      <c r="CT276" s="312"/>
      <c r="CU276" s="312"/>
      <c r="CV276" s="312"/>
      <c r="CW276" s="312"/>
      <c r="CX276" s="312"/>
      <c r="CY276" s="312"/>
      <c r="CZ276" s="312"/>
      <c r="DA276" s="312"/>
      <c r="DB276" s="312"/>
      <c r="DC276" s="312"/>
      <c r="DD276" s="312"/>
      <c r="DE276" s="312"/>
      <c r="DF276" s="312"/>
      <c r="DG276" s="312"/>
      <c r="DH276" s="312"/>
      <c r="DI276" s="312"/>
      <c r="DJ276" s="312"/>
      <c r="DK276" s="312"/>
      <c r="DL276" s="312"/>
      <c r="DM276" s="312"/>
      <c r="DN276" s="312"/>
      <c r="DO276" s="312"/>
      <c r="DP276" s="312"/>
      <c r="DQ276" s="312"/>
      <c r="DR276" s="312"/>
      <c r="DS276" s="312"/>
      <c r="DT276" s="312"/>
      <c r="DU276" s="312"/>
      <c r="DV276" s="312"/>
      <c r="DW276" s="312"/>
      <c r="DX276" s="312"/>
      <c r="DY276" s="312"/>
      <c r="DZ276" s="312"/>
      <c r="EA276" s="312"/>
      <c r="EB276" s="312"/>
      <c r="EC276" s="312"/>
      <c r="ED276" s="312"/>
      <c r="EE276" s="312"/>
      <c r="EF276" s="312"/>
      <c r="EG276" s="312"/>
      <c r="EH276" s="312"/>
      <c r="EI276" s="312"/>
      <c r="EJ276" s="312"/>
      <c r="EK276" s="312"/>
      <c r="EL276" s="312"/>
      <c r="EM276" s="312"/>
      <c r="EN276" s="312"/>
      <c r="EO276" s="312"/>
      <c r="EP276" s="312"/>
      <c r="EQ276" s="312"/>
      <c r="ER276" s="312"/>
      <c r="ES276" s="312"/>
      <c r="ET276" s="312"/>
      <c r="EU276" s="312"/>
      <c r="EV276" s="312"/>
      <c r="EW276" s="312"/>
      <c r="EX276" s="312"/>
      <c r="EY276" s="312"/>
      <c r="EZ276" s="312"/>
      <c r="FA276" s="312"/>
      <c r="FB276" s="312"/>
      <c r="FC276" s="312"/>
      <c r="FD276" s="312"/>
      <c r="FE276" s="312"/>
      <c r="FF276" s="312"/>
      <c r="FG276" s="312"/>
      <c r="FH276" s="312"/>
      <c r="FI276" s="312"/>
      <c r="FJ276" s="312"/>
      <c r="FK276" s="312"/>
      <c r="FL276" s="312"/>
      <c r="FM276" s="312"/>
      <c r="FN276" s="312"/>
      <c r="FO276" s="312"/>
      <c r="FP276" s="312"/>
      <c r="FQ276" s="312"/>
      <c r="FR276" s="312"/>
      <c r="FS276" s="312"/>
      <c r="FT276" s="312"/>
      <c r="FU276" s="312"/>
      <c r="FV276" s="312"/>
      <c r="FW276" s="312"/>
      <c r="FX276" s="312"/>
      <c r="FY276" s="312"/>
      <c r="FZ276" s="312"/>
      <c r="GA276" s="312"/>
      <c r="GB276" s="312"/>
      <c r="GC276" s="312"/>
      <c r="GD276" s="312"/>
      <c r="GE276" s="312"/>
      <c r="GF276" s="312"/>
      <c r="GG276" s="312"/>
      <c r="GH276" s="312"/>
      <c r="GI276" s="312"/>
      <c r="GJ276" s="312"/>
      <c r="GK276" s="312"/>
      <c r="GL276" s="312"/>
      <c r="GM276" s="312"/>
      <c r="GN276" s="312"/>
      <c r="GO276" s="312"/>
      <c r="GP276" s="312"/>
      <c r="GQ276" s="312"/>
      <c r="GR276" s="312"/>
      <c r="GS276" s="312"/>
      <c r="GT276" s="312"/>
      <c r="GU276" s="312"/>
      <c r="GV276" s="312"/>
      <c r="GW276" s="312"/>
      <c r="GX276" s="312"/>
      <c r="GY276" s="312"/>
    </row>
    <row r="277" spans="2:207" ht="15.75" x14ac:dyDescent="0.25">
      <c r="B277" s="316">
        <f t="shared" si="58"/>
        <v>247</v>
      </c>
      <c r="C277" s="330">
        <f>'סיכום לוועדה'!B277</f>
        <v>1001346760</v>
      </c>
      <c r="D277" s="330">
        <f>'סיכום לוועדה'!C277</f>
        <v>1001272518</v>
      </c>
      <c r="E277" s="330">
        <f>'סיכום לוועדה'!D277</f>
        <v>40000171</v>
      </c>
      <c r="F277" s="330">
        <f>'סיכום לוועדה'!E277</f>
        <v>20000201</v>
      </c>
      <c r="G277" s="330" t="str">
        <f>'סיכום לוועדה'!F277</f>
        <v>תל אביב -יפו</v>
      </c>
      <c r="H277" s="317" t="str">
        <f>'סיכום לוועדה'!G277</f>
        <v>תיאטרון "גשר"</v>
      </c>
      <c r="I277" s="318">
        <f>'סיכום לוועדה'!U277</f>
        <v>300000</v>
      </c>
      <c r="J277" s="319">
        <f>'סיכום לוועדה'!T277</f>
        <v>230914.93455098569</v>
      </c>
      <c r="K277" s="320">
        <f t="shared" si="59"/>
        <v>0</v>
      </c>
      <c r="L277" s="319">
        <f t="shared" si="60"/>
        <v>230914.93455098569</v>
      </c>
      <c r="M277" s="331">
        <f>'תחום תמיכה ב'!AF277</f>
        <v>1.1806894835668295E-3</v>
      </c>
      <c r="N277" s="319">
        <f t="shared" si="57"/>
        <v>251027.4036328473</v>
      </c>
      <c r="O277" s="321">
        <f t="shared" si="61"/>
        <v>0</v>
      </c>
      <c r="P277" s="322">
        <f t="shared" si="62"/>
        <v>251027.4036328473</v>
      </c>
      <c r="Q277" s="322">
        <f t="shared" si="63"/>
        <v>251141.70303951981</v>
      </c>
      <c r="R277" s="321">
        <f t="shared" si="64"/>
        <v>0</v>
      </c>
      <c r="S277" s="322">
        <f t="shared" si="65"/>
        <v>251141.70303951981</v>
      </c>
      <c r="T277" s="322">
        <f t="shared" si="66"/>
        <v>251141.70303951929</v>
      </c>
      <c r="U277" s="321">
        <f t="shared" si="67"/>
        <v>0</v>
      </c>
      <c r="V277" s="322">
        <f t="shared" si="68"/>
        <v>251141.70303951929</v>
      </c>
      <c r="W277" s="322">
        <f t="shared" si="69"/>
        <v>251141.7030395194</v>
      </c>
      <c r="X277" s="321">
        <f t="shared" si="70"/>
        <v>0</v>
      </c>
      <c r="Y277" s="322">
        <f t="shared" si="71"/>
        <v>251141.7030395194</v>
      </c>
      <c r="Z277" s="322">
        <f t="shared" si="72"/>
        <v>251141.70303951937</v>
      </c>
      <c r="AA277" s="323">
        <f t="shared" si="73"/>
        <v>251141.70303951937</v>
      </c>
      <c r="AB277" s="323"/>
      <c r="AC277" s="323"/>
      <c r="AD277" s="323"/>
      <c r="AE277" s="323"/>
      <c r="AF277" s="324">
        <f t="shared" si="74"/>
        <v>1.438234178171336E-3</v>
      </c>
      <c r="AG277" s="312"/>
      <c r="AH277" s="312"/>
      <c r="AI277" s="325">
        <f t="shared" si="75"/>
        <v>1</v>
      </c>
      <c r="AJ277" s="312"/>
      <c r="AK277" s="312"/>
      <c r="AL277" s="312"/>
      <c r="AM277" s="312"/>
      <c r="AN277" s="312"/>
      <c r="AO277" s="312"/>
      <c r="AP277" s="312"/>
      <c r="AQ277" s="312"/>
      <c r="AR277" s="312"/>
      <c r="AS277" s="312"/>
      <c r="AT277" s="312"/>
      <c r="AU277" s="312"/>
      <c r="AV277" s="312"/>
      <c r="AW277" s="312"/>
      <c r="AX277" s="312"/>
      <c r="AY277" s="312"/>
      <c r="AZ277" s="312"/>
      <c r="BA277" s="312"/>
      <c r="BB277" s="312"/>
      <c r="BC277" s="312"/>
      <c r="BD277" s="312"/>
      <c r="BE277" s="312"/>
      <c r="BF277" s="312"/>
      <c r="BG277" s="312"/>
      <c r="BH277" s="312"/>
      <c r="BI277" s="312"/>
      <c r="BJ277" s="312"/>
      <c r="BK277" s="312"/>
      <c r="BL277" s="312"/>
      <c r="BM277" s="312"/>
      <c r="BN277" s="312"/>
      <c r="BO277" s="312"/>
      <c r="BP277" s="312"/>
      <c r="BQ277" s="312"/>
      <c r="BR277" s="312"/>
      <c r="BS277" s="312"/>
      <c r="BT277" s="312"/>
      <c r="BU277" s="312"/>
      <c r="BV277" s="312"/>
      <c r="BW277" s="312"/>
      <c r="BX277" s="312"/>
      <c r="BY277" s="312"/>
      <c r="BZ277" s="312"/>
      <c r="CA277" s="312"/>
      <c r="CB277" s="312"/>
      <c r="CC277" s="312"/>
      <c r="CD277" s="312"/>
      <c r="CE277" s="312"/>
      <c r="CF277" s="312"/>
      <c r="CG277" s="312"/>
      <c r="CH277" s="312"/>
      <c r="CI277" s="312"/>
      <c r="CJ277" s="312"/>
      <c r="CK277" s="312"/>
      <c r="CL277" s="312"/>
      <c r="CM277" s="312"/>
      <c r="CN277" s="312"/>
      <c r="CO277" s="312"/>
      <c r="CP277" s="312"/>
      <c r="CQ277" s="312"/>
      <c r="CR277" s="312"/>
      <c r="CS277" s="312"/>
      <c r="CT277" s="312"/>
      <c r="CU277" s="312"/>
      <c r="CV277" s="312"/>
      <c r="CW277" s="312"/>
      <c r="CX277" s="312"/>
      <c r="CY277" s="312"/>
      <c r="CZ277" s="312"/>
      <c r="DA277" s="312"/>
      <c r="DB277" s="312"/>
      <c r="DC277" s="312"/>
      <c r="DD277" s="312"/>
      <c r="DE277" s="312"/>
      <c r="DF277" s="312"/>
      <c r="DG277" s="312"/>
      <c r="DH277" s="312"/>
      <c r="DI277" s="312"/>
      <c r="DJ277" s="312"/>
      <c r="DK277" s="312"/>
      <c r="DL277" s="312"/>
      <c r="DM277" s="312"/>
      <c r="DN277" s="312"/>
      <c r="DO277" s="312"/>
      <c r="DP277" s="312"/>
      <c r="DQ277" s="312"/>
      <c r="DR277" s="312"/>
      <c r="DS277" s="312"/>
      <c r="DT277" s="312"/>
      <c r="DU277" s="312"/>
      <c r="DV277" s="312"/>
      <c r="DW277" s="312"/>
      <c r="DX277" s="312"/>
      <c r="DY277" s="312"/>
      <c r="DZ277" s="312"/>
      <c r="EA277" s="312"/>
      <c r="EB277" s="312"/>
      <c r="EC277" s="312"/>
      <c r="ED277" s="312"/>
      <c r="EE277" s="312"/>
      <c r="EF277" s="312"/>
      <c r="EG277" s="312"/>
      <c r="EH277" s="312"/>
      <c r="EI277" s="312"/>
      <c r="EJ277" s="312"/>
      <c r="EK277" s="312"/>
      <c r="EL277" s="312"/>
      <c r="EM277" s="312"/>
      <c r="EN277" s="312"/>
      <c r="EO277" s="312"/>
      <c r="EP277" s="312"/>
      <c r="EQ277" s="312"/>
      <c r="ER277" s="312"/>
      <c r="ES277" s="312"/>
      <c r="ET277" s="312"/>
      <c r="EU277" s="312"/>
      <c r="EV277" s="312"/>
      <c r="EW277" s="312"/>
      <c r="EX277" s="312"/>
      <c r="EY277" s="312"/>
      <c r="EZ277" s="312"/>
      <c r="FA277" s="312"/>
      <c r="FB277" s="312"/>
      <c r="FC277" s="312"/>
      <c r="FD277" s="312"/>
      <c r="FE277" s="312"/>
      <c r="FF277" s="312"/>
      <c r="FG277" s="312"/>
      <c r="FH277" s="312"/>
      <c r="FI277" s="312"/>
      <c r="FJ277" s="312"/>
      <c r="FK277" s="312"/>
      <c r="FL277" s="312"/>
      <c r="FM277" s="312"/>
      <c r="FN277" s="312"/>
      <c r="FO277" s="312"/>
      <c r="FP277" s="312"/>
      <c r="FQ277" s="312"/>
      <c r="FR277" s="312"/>
      <c r="FS277" s="312"/>
      <c r="FT277" s="312"/>
      <c r="FU277" s="312"/>
      <c r="FV277" s="312"/>
      <c r="FW277" s="312"/>
      <c r="FX277" s="312"/>
      <c r="FY277" s="312"/>
      <c r="FZ277" s="312"/>
      <c r="GA277" s="312"/>
      <c r="GB277" s="312"/>
      <c r="GC277" s="312"/>
      <c r="GD277" s="312"/>
      <c r="GE277" s="312"/>
      <c r="GF277" s="312"/>
      <c r="GG277" s="312"/>
      <c r="GH277" s="312"/>
      <c r="GI277" s="312"/>
      <c r="GJ277" s="312"/>
      <c r="GK277" s="312"/>
      <c r="GL277" s="312"/>
      <c r="GM277" s="312"/>
      <c r="GN277" s="312"/>
      <c r="GO277" s="312"/>
      <c r="GP277" s="312"/>
      <c r="GQ277" s="312"/>
      <c r="GR277" s="312"/>
      <c r="GS277" s="312"/>
      <c r="GT277" s="312"/>
      <c r="GU277" s="312"/>
      <c r="GV277" s="312"/>
      <c r="GW277" s="312"/>
      <c r="GX277" s="312"/>
      <c r="GY277" s="312"/>
    </row>
    <row r="278" spans="2:207" ht="15.75" x14ac:dyDescent="0.25">
      <c r="B278" s="316">
        <f t="shared" si="58"/>
        <v>248</v>
      </c>
      <c r="C278" s="330">
        <f>'סיכום לוועדה'!B278</f>
        <v>1001348549</v>
      </c>
      <c r="D278" s="330">
        <f>'סיכום לוועדה'!C278</f>
        <v>1001274935</v>
      </c>
      <c r="E278" s="330">
        <f>'סיכום לוועדה'!D278</f>
        <v>40000173</v>
      </c>
      <c r="F278" s="330">
        <f>'סיכום לוועדה'!E278</f>
        <v>20000251</v>
      </c>
      <c r="G278" s="330" t="str">
        <f>'סיכום לוועדה'!F278</f>
        <v>רעננה</v>
      </c>
      <c r="H278" s="317" t="str">
        <f>'סיכום לוועדה'!G278</f>
        <v>עמותת תזמורת סימפונט רעננה</v>
      </c>
      <c r="I278" s="318">
        <f>'סיכום לוועדה'!U278</f>
        <v>1750000</v>
      </c>
      <c r="J278" s="319">
        <f>'סיכום לוועדה'!T278</f>
        <v>622609.03421601863</v>
      </c>
      <c r="K278" s="320">
        <f t="shared" si="59"/>
        <v>0</v>
      </c>
      <c r="L278" s="319">
        <f t="shared" si="60"/>
        <v>622609.03421601863</v>
      </c>
      <c r="M278" s="331">
        <f>'תחום תמיכה ב'!AF278</f>
        <v>4.085997008509458E-3</v>
      </c>
      <c r="N278" s="319">
        <f t="shared" si="57"/>
        <v>692211.9989633318</v>
      </c>
      <c r="O278" s="321">
        <f t="shared" si="61"/>
        <v>0</v>
      </c>
      <c r="P278" s="322">
        <f t="shared" si="62"/>
        <v>692211.9989633318</v>
      </c>
      <c r="Q278" s="322">
        <f t="shared" si="63"/>
        <v>692527.18136823305</v>
      </c>
      <c r="R278" s="321">
        <f t="shared" si="64"/>
        <v>0</v>
      </c>
      <c r="S278" s="322">
        <f t="shared" si="65"/>
        <v>692527.18136823305</v>
      </c>
      <c r="T278" s="322">
        <f t="shared" si="66"/>
        <v>692527.18136823154</v>
      </c>
      <c r="U278" s="321">
        <f t="shared" si="67"/>
        <v>0</v>
      </c>
      <c r="V278" s="322">
        <f t="shared" si="68"/>
        <v>692527.18136823154</v>
      </c>
      <c r="W278" s="322">
        <f t="shared" si="69"/>
        <v>692527.18136823177</v>
      </c>
      <c r="X278" s="321">
        <f t="shared" si="70"/>
        <v>0</v>
      </c>
      <c r="Y278" s="322">
        <f t="shared" si="71"/>
        <v>692527.18136823177</v>
      </c>
      <c r="Z278" s="322">
        <f t="shared" si="72"/>
        <v>692527.18136823154</v>
      </c>
      <c r="AA278" s="323">
        <f t="shared" si="73"/>
        <v>692527.18136823154</v>
      </c>
      <c r="AB278" s="323"/>
      <c r="AC278" s="323"/>
      <c r="AD278" s="323"/>
      <c r="AE278" s="323"/>
      <c r="AF278" s="324">
        <f t="shared" si="74"/>
        <v>3.9659532825566538E-3</v>
      </c>
      <c r="AG278" s="312"/>
      <c r="AH278" s="312"/>
      <c r="AI278" s="325">
        <f t="shared" si="75"/>
        <v>1</v>
      </c>
      <c r="AJ278" s="312"/>
      <c r="AK278" s="312"/>
      <c r="AL278" s="312"/>
      <c r="AM278" s="312"/>
      <c r="AN278" s="312"/>
      <c r="AO278" s="312"/>
      <c r="AP278" s="312"/>
      <c r="AQ278" s="312"/>
      <c r="AR278" s="312"/>
      <c r="AS278" s="312"/>
      <c r="AT278" s="312"/>
      <c r="AU278" s="312"/>
      <c r="AV278" s="312"/>
      <c r="AW278" s="312"/>
      <c r="AX278" s="312"/>
      <c r="AY278" s="312"/>
      <c r="AZ278" s="312"/>
      <c r="BA278" s="312"/>
      <c r="BB278" s="312"/>
      <c r="BC278" s="312"/>
      <c r="BD278" s="312"/>
      <c r="BE278" s="312"/>
      <c r="BF278" s="312"/>
      <c r="BG278" s="312"/>
      <c r="BH278" s="312"/>
      <c r="BI278" s="312"/>
      <c r="BJ278" s="312"/>
      <c r="BK278" s="312"/>
      <c r="BL278" s="312"/>
      <c r="BM278" s="312"/>
      <c r="BN278" s="312"/>
      <c r="BO278" s="312"/>
      <c r="BP278" s="312"/>
      <c r="BQ278" s="312"/>
      <c r="BR278" s="312"/>
      <c r="BS278" s="312"/>
      <c r="BT278" s="312"/>
      <c r="BU278" s="312"/>
      <c r="BV278" s="312"/>
      <c r="BW278" s="312"/>
      <c r="BX278" s="312"/>
      <c r="BY278" s="312"/>
      <c r="BZ278" s="312"/>
      <c r="CA278" s="312"/>
      <c r="CB278" s="312"/>
      <c r="CC278" s="312"/>
      <c r="CD278" s="312"/>
      <c r="CE278" s="312"/>
      <c r="CF278" s="312"/>
      <c r="CG278" s="312"/>
      <c r="CH278" s="312"/>
      <c r="CI278" s="312"/>
      <c r="CJ278" s="312"/>
      <c r="CK278" s="312"/>
      <c r="CL278" s="312"/>
      <c r="CM278" s="312"/>
      <c r="CN278" s="312"/>
      <c r="CO278" s="312"/>
      <c r="CP278" s="312"/>
      <c r="CQ278" s="312"/>
      <c r="CR278" s="312"/>
      <c r="CS278" s="312"/>
      <c r="CT278" s="312"/>
      <c r="CU278" s="312"/>
      <c r="CV278" s="312"/>
      <c r="CW278" s="312"/>
      <c r="CX278" s="312"/>
      <c r="CY278" s="312"/>
      <c r="CZ278" s="312"/>
      <c r="DA278" s="312"/>
      <c r="DB278" s="312"/>
      <c r="DC278" s="312"/>
      <c r="DD278" s="312"/>
      <c r="DE278" s="312"/>
      <c r="DF278" s="312"/>
      <c r="DG278" s="312"/>
      <c r="DH278" s="312"/>
      <c r="DI278" s="312"/>
      <c r="DJ278" s="312"/>
      <c r="DK278" s="312"/>
      <c r="DL278" s="312"/>
      <c r="DM278" s="312"/>
      <c r="DN278" s="312"/>
      <c r="DO278" s="312"/>
      <c r="DP278" s="312"/>
      <c r="DQ278" s="312"/>
      <c r="DR278" s="312"/>
      <c r="DS278" s="312"/>
      <c r="DT278" s="312"/>
      <c r="DU278" s="312"/>
      <c r="DV278" s="312"/>
      <c r="DW278" s="312"/>
      <c r="DX278" s="312"/>
      <c r="DY278" s="312"/>
      <c r="DZ278" s="312"/>
      <c r="EA278" s="312"/>
      <c r="EB278" s="312"/>
      <c r="EC278" s="312"/>
      <c r="ED278" s="312"/>
      <c r="EE278" s="312"/>
      <c r="EF278" s="312"/>
      <c r="EG278" s="312"/>
      <c r="EH278" s="312"/>
      <c r="EI278" s="312"/>
      <c r="EJ278" s="312"/>
      <c r="EK278" s="312"/>
      <c r="EL278" s="312"/>
      <c r="EM278" s="312"/>
      <c r="EN278" s="312"/>
      <c r="EO278" s="312"/>
      <c r="EP278" s="312"/>
      <c r="EQ278" s="312"/>
      <c r="ER278" s="312"/>
      <c r="ES278" s="312"/>
      <c r="ET278" s="312"/>
      <c r="EU278" s="312"/>
      <c r="EV278" s="312"/>
      <c r="EW278" s="312"/>
      <c r="EX278" s="312"/>
      <c r="EY278" s="312"/>
      <c r="EZ278" s="312"/>
      <c r="FA278" s="312"/>
      <c r="FB278" s="312"/>
      <c r="FC278" s="312"/>
      <c r="FD278" s="312"/>
      <c r="FE278" s="312"/>
      <c r="FF278" s="312"/>
      <c r="FG278" s="312"/>
      <c r="FH278" s="312"/>
      <c r="FI278" s="312"/>
      <c r="FJ278" s="312"/>
      <c r="FK278" s="312"/>
      <c r="FL278" s="312"/>
      <c r="FM278" s="312"/>
      <c r="FN278" s="312"/>
      <c r="FO278" s="312"/>
      <c r="FP278" s="312"/>
      <c r="FQ278" s="312"/>
      <c r="FR278" s="312"/>
      <c r="FS278" s="312"/>
      <c r="FT278" s="312"/>
      <c r="FU278" s="312"/>
      <c r="FV278" s="312"/>
      <c r="FW278" s="312"/>
      <c r="FX278" s="312"/>
      <c r="FY278" s="312"/>
      <c r="FZ278" s="312"/>
      <c r="GA278" s="312"/>
      <c r="GB278" s="312"/>
      <c r="GC278" s="312"/>
      <c r="GD278" s="312"/>
      <c r="GE278" s="312"/>
      <c r="GF278" s="312"/>
      <c r="GG278" s="312"/>
      <c r="GH278" s="312"/>
      <c r="GI278" s="312"/>
      <c r="GJ278" s="312"/>
      <c r="GK278" s="312"/>
      <c r="GL278" s="312"/>
      <c r="GM278" s="312"/>
      <c r="GN278" s="312"/>
      <c r="GO278" s="312"/>
      <c r="GP278" s="312"/>
      <c r="GQ278" s="312"/>
      <c r="GR278" s="312"/>
      <c r="GS278" s="312"/>
      <c r="GT278" s="312"/>
      <c r="GU278" s="312"/>
      <c r="GV278" s="312"/>
      <c r="GW278" s="312"/>
      <c r="GX278" s="312"/>
      <c r="GY278" s="312"/>
    </row>
    <row r="279" spans="2:207" ht="15.75" x14ac:dyDescent="0.25">
      <c r="B279" s="316">
        <f t="shared" si="58"/>
        <v>249</v>
      </c>
      <c r="C279" s="330">
        <f>'סיכום לוועדה'!B279</f>
        <v>1001348971</v>
      </c>
      <c r="D279" s="330">
        <f>'סיכום לוועדה'!C279</f>
        <v>1001274750</v>
      </c>
      <c r="E279" s="330">
        <f>'סיכום לוועדה'!D279</f>
        <v>40000174</v>
      </c>
      <c r="F279" s="330">
        <f>'סיכום לוועדה'!E279</f>
        <v>20000201</v>
      </c>
      <c r="G279" s="330" t="str">
        <f>'סיכום לוועדה'!F279</f>
        <v>תל אביב -יפו</v>
      </c>
      <c r="H279" s="317" t="str">
        <f>'סיכום לוועדה'!G279</f>
        <v>פרויקטים במחול - שליד תיאטרון מחול</v>
      </c>
      <c r="I279" s="318">
        <f>'סיכום לוועדה'!U279</f>
        <v>50000</v>
      </c>
      <c r="J279" s="319">
        <f>'סיכום לוועדה'!T279</f>
        <v>37968.261704821722</v>
      </c>
      <c r="K279" s="320">
        <f t="shared" si="59"/>
        <v>0</v>
      </c>
      <c r="L279" s="319">
        <f t="shared" si="60"/>
        <v>37968.261704821722</v>
      </c>
      <c r="M279" s="331">
        <f>'תחום תמיכה ב'!AF279</f>
        <v>1.931684965628829E-4</v>
      </c>
      <c r="N279" s="319">
        <f t="shared" si="57"/>
        <v>41258.792762127247</v>
      </c>
      <c r="O279" s="321">
        <f t="shared" si="61"/>
        <v>0</v>
      </c>
      <c r="P279" s="322">
        <f t="shared" si="62"/>
        <v>41258.792762127247</v>
      </c>
      <c r="Q279" s="322">
        <f t="shared" si="63"/>
        <v>41277.57898014364</v>
      </c>
      <c r="R279" s="321">
        <f t="shared" si="64"/>
        <v>0</v>
      </c>
      <c r="S279" s="322">
        <f t="shared" si="65"/>
        <v>41277.57898014364</v>
      </c>
      <c r="T279" s="322">
        <f t="shared" si="66"/>
        <v>41277.57898014356</v>
      </c>
      <c r="U279" s="321">
        <f t="shared" si="67"/>
        <v>0</v>
      </c>
      <c r="V279" s="322">
        <f t="shared" si="68"/>
        <v>41277.57898014356</v>
      </c>
      <c r="W279" s="322">
        <f t="shared" si="69"/>
        <v>41277.578980143575</v>
      </c>
      <c r="X279" s="321">
        <f t="shared" si="70"/>
        <v>0</v>
      </c>
      <c r="Y279" s="322">
        <f t="shared" si="71"/>
        <v>41277.578980143575</v>
      </c>
      <c r="Z279" s="322">
        <f t="shared" si="72"/>
        <v>41277.578980143568</v>
      </c>
      <c r="AA279" s="323">
        <f t="shared" si="73"/>
        <v>41277.578980143568</v>
      </c>
      <c r="AB279" s="323"/>
      <c r="AC279" s="323"/>
      <c r="AD279" s="323"/>
      <c r="AE279" s="323"/>
      <c r="AF279" s="324">
        <f t="shared" si="74"/>
        <v>2.3638776102456909E-4</v>
      </c>
      <c r="AG279" s="312"/>
      <c r="AH279" s="312"/>
      <c r="AI279" s="325">
        <f t="shared" si="75"/>
        <v>1</v>
      </c>
      <c r="AJ279" s="312"/>
      <c r="AK279" s="312"/>
      <c r="AL279" s="312"/>
      <c r="AM279" s="312"/>
      <c r="AN279" s="312"/>
      <c r="AO279" s="312"/>
      <c r="AP279" s="312"/>
      <c r="AQ279" s="312"/>
      <c r="AR279" s="312"/>
      <c r="AS279" s="312"/>
      <c r="AT279" s="312"/>
      <c r="AU279" s="312"/>
      <c r="AV279" s="312"/>
      <c r="AW279" s="312"/>
      <c r="AX279" s="312"/>
      <c r="AY279" s="312"/>
      <c r="AZ279" s="312"/>
      <c r="BA279" s="312"/>
      <c r="BB279" s="312"/>
      <c r="BC279" s="312"/>
      <c r="BD279" s="312"/>
      <c r="BE279" s="312"/>
      <c r="BF279" s="312"/>
      <c r="BG279" s="312"/>
      <c r="BH279" s="312"/>
      <c r="BI279" s="312"/>
      <c r="BJ279" s="312"/>
      <c r="BK279" s="312"/>
      <c r="BL279" s="312"/>
      <c r="BM279" s="312"/>
      <c r="BN279" s="312"/>
      <c r="BO279" s="312"/>
      <c r="BP279" s="312"/>
      <c r="BQ279" s="312"/>
      <c r="BR279" s="312"/>
      <c r="BS279" s="312"/>
      <c r="BT279" s="312"/>
      <c r="BU279" s="312"/>
      <c r="BV279" s="312"/>
      <c r="BW279" s="312"/>
      <c r="BX279" s="312"/>
      <c r="BY279" s="312"/>
      <c r="BZ279" s="312"/>
      <c r="CA279" s="312"/>
      <c r="CB279" s="312"/>
      <c r="CC279" s="312"/>
      <c r="CD279" s="312"/>
      <c r="CE279" s="312"/>
      <c r="CF279" s="312"/>
      <c r="CG279" s="312"/>
      <c r="CH279" s="312"/>
      <c r="CI279" s="312"/>
      <c r="CJ279" s="312"/>
      <c r="CK279" s="312"/>
      <c r="CL279" s="312"/>
      <c r="CM279" s="312"/>
      <c r="CN279" s="312"/>
      <c r="CO279" s="312"/>
      <c r="CP279" s="312"/>
      <c r="CQ279" s="312"/>
      <c r="CR279" s="312"/>
      <c r="CS279" s="312"/>
      <c r="CT279" s="312"/>
      <c r="CU279" s="312"/>
      <c r="CV279" s="312"/>
      <c r="CW279" s="312"/>
      <c r="CX279" s="312"/>
      <c r="CY279" s="312"/>
      <c r="CZ279" s="312"/>
      <c r="DA279" s="312"/>
      <c r="DB279" s="312"/>
      <c r="DC279" s="312"/>
      <c r="DD279" s="312"/>
      <c r="DE279" s="312"/>
      <c r="DF279" s="312"/>
      <c r="DG279" s="312"/>
      <c r="DH279" s="312"/>
      <c r="DI279" s="312"/>
      <c r="DJ279" s="312"/>
      <c r="DK279" s="312"/>
      <c r="DL279" s="312"/>
      <c r="DM279" s="312"/>
      <c r="DN279" s="312"/>
      <c r="DO279" s="312"/>
      <c r="DP279" s="312"/>
      <c r="DQ279" s="312"/>
      <c r="DR279" s="312"/>
      <c r="DS279" s="312"/>
      <c r="DT279" s="312"/>
      <c r="DU279" s="312"/>
      <c r="DV279" s="312"/>
      <c r="DW279" s="312"/>
      <c r="DX279" s="312"/>
      <c r="DY279" s="312"/>
      <c r="DZ279" s="312"/>
      <c r="EA279" s="312"/>
      <c r="EB279" s="312"/>
      <c r="EC279" s="312"/>
      <c r="ED279" s="312"/>
      <c r="EE279" s="312"/>
      <c r="EF279" s="312"/>
      <c r="EG279" s="312"/>
      <c r="EH279" s="312"/>
      <c r="EI279" s="312"/>
      <c r="EJ279" s="312"/>
      <c r="EK279" s="312"/>
      <c r="EL279" s="312"/>
      <c r="EM279" s="312"/>
      <c r="EN279" s="312"/>
      <c r="EO279" s="312"/>
      <c r="EP279" s="312"/>
      <c r="EQ279" s="312"/>
      <c r="ER279" s="312"/>
      <c r="ES279" s="312"/>
      <c r="ET279" s="312"/>
      <c r="EU279" s="312"/>
      <c r="EV279" s="312"/>
      <c r="EW279" s="312"/>
      <c r="EX279" s="312"/>
      <c r="EY279" s="312"/>
      <c r="EZ279" s="312"/>
      <c r="FA279" s="312"/>
      <c r="FB279" s="312"/>
      <c r="FC279" s="312"/>
      <c r="FD279" s="312"/>
      <c r="FE279" s="312"/>
      <c r="FF279" s="312"/>
      <c r="FG279" s="312"/>
      <c r="FH279" s="312"/>
      <c r="FI279" s="312"/>
      <c r="FJ279" s="312"/>
      <c r="FK279" s="312"/>
      <c r="FL279" s="312"/>
      <c r="FM279" s="312"/>
      <c r="FN279" s="312"/>
      <c r="FO279" s="312"/>
      <c r="FP279" s="312"/>
      <c r="FQ279" s="312"/>
      <c r="FR279" s="312"/>
      <c r="FS279" s="312"/>
      <c r="FT279" s="312"/>
      <c r="FU279" s="312"/>
      <c r="FV279" s="312"/>
      <c r="FW279" s="312"/>
      <c r="FX279" s="312"/>
      <c r="FY279" s="312"/>
      <c r="FZ279" s="312"/>
      <c r="GA279" s="312"/>
      <c r="GB279" s="312"/>
      <c r="GC279" s="312"/>
      <c r="GD279" s="312"/>
      <c r="GE279" s="312"/>
      <c r="GF279" s="312"/>
      <c r="GG279" s="312"/>
      <c r="GH279" s="312"/>
      <c r="GI279" s="312"/>
      <c r="GJ279" s="312"/>
      <c r="GK279" s="312"/>
      <c r="GL279" s="312"/>
      <c r="GM279" s="312"/>
      <c r="GN279" s="312"/>
      <c r="GO279" s="312"/>
      <c r="GP279" s="312"/>
      <c r="GQ279" s="312"/>
      <c r="GR279" s="312"/>
      <c r="GS279" s="312"/>
      <c r="GT279" s="312"/>
      <c r="GU279" s="312"/>
      <c r="GV279" s="312"/>
      <c r="GW279" s="312"/>
      <c r="GX279" s="312"/>
      <c r="GY279" s="312"/>
    </row>
    <row r="280" spans="2:207" ht="15.75" x14ac:dyDescent="0.25">
      <c r="B280" s="316">
        <f t="shared" si="58"/>
        <v>250</v>
      </c>
      <c r="C280" s="330">
        <f>'סיכום לוועדה'!B280</f>
        <v>1001350351</v>
      </c>
      <c r="D280" s="330">
        <f>'סיכום לוועדה'!C280</f>
        <v>1001269665</v>
      </c>
      <c r="E280" s="330">
        <f>'סיכום לוועדה'!D280</f>
        <v>40000176</v>
      </c>
      <c r="F280" s="330">
        <f>'סיכום לוועדה'!E280</f>
        <v>20000201</v>
      </c>
      <c r="G280" s="330" t="str">
        <f>'סיכום לוועדה'!F280</f>
        <v>תל אביב -יפו</v>
      </c>
      <c r="H280" s="317" t="str">
        <f>'סיכום לוועדה'!G280</f>
        <v>אנסמבל עתים</v>
      </c>
      <c r="I280" s="318">
        <f>'סיכום לוועדה'!U280</f>
        <v>1200000</v>
      </c>
      <c r="J280" s="319">
        <f>'סיכום לוועדה'!T280</f>
        <v>33320.792900644912</v>
      </c>
      <c r="K280" s="320">
        <f t="shared" si="59"/>
        <v>0</v>
      </c>
      <c r="L280" s="319">
        <f t="shared" si="60"/>
        <v>33320.792900644912</v>
      </c>
      <c r="M280" s="331">
        <f>'תחום תמיכה ב'!AF280</f>
        <v>1.3024847411494445E-4</v>
      </c>
      <c r="N280" s="319">
        <f t="shared" si="57"/>
        <v>35539.512085542432</v>
      </c>
      <c r="O280" s="321">
        <f t="shared" si="61"/>
        <v>0</v>
      </c>
      <c r="P280" s="322">
        <f t="shared" si="62"/>
        <v>35539.512085542432</v>
      </c>
      <c r="Q280" s="322">
        <f t="shared" si="63"/>
        <v>35555.694164016815</v>
      </c>
      <c r="R280" s="321">
        <f t="shared" si="64"/>
        <v>0</v>
      </c>
      <c r="S280" s="322">
        <f t="shared" si="65"/>
        <v>35555.694164016815</v>
      </c>
      <c r="T280" s="322">
        <f t="shared" si="66"/>
        <v>35555.694164016742</v>
      </c>
      <c r="U280" s="321">
        <f t="shared" si="67"/>
        <v>0</v>
      </c>
      <c r="V280" s="322">
        <f t="shared" si="68"/>
        <v>35555.694164016742</v>
      </c>
      <c r="W280" s="322">
        <f t="shared" si="69"/>
        <v>35555.694164016757</v>
      </c>
      <c r="X280" s="321">
        <f t="shared" si="70"/>
        <v>0</v>
      </c>
      <c r="Y280" s="322">
        <f t="shared" si="71"/>
        <v>35555.694164016757</v>
      </c>
      <c r="Z280" s="322">
        <f t="shared" si="72"/>
        <v>35555.69416401675</v>
      </c>
      <c r="AA280" s="323">
        <f t="shared" si="73"/>
        <v>35555.69416401675</v>
      </c>
      <c r="AB280" s="323"/>
      <c r="AC280" s="323"/>
      <c r="AD280" s="323"/>
      <c r="AE280" s="323"/>
      <c r="AF280" s="324">
        <f t="shared" si="74"/>
        <v>2.036197650823809E-4</v>
      </c>
      <c r="AG280" s="312"/>
      <c r="AH280" s="312"/>
      <c r="AI280" s="325">
        <f t="shared" si="75"/>
        <v>1</v>
      </c>
      <c r="AJ280" s="312"/>
      <c r="AK280" s="312"/>
      <c r="AL280" s="312"/>
      <c r="AM280" s="312"/>
      <c r="AN280" s="312"/>
      <c r="AO280" s="312"/>
      <c r="AP280" s="312"/>
      <c r="AQ280" s="312"/>
      <c r="AR280" s="312"/>
      <c r="AS280" s="312"/>
      <c r="AT280" s="312"/>
      <c r="AU280" s="312"/>
      <c r="AV280" s="312"/>
      <c r="AW280" s="312"/>
      <c r="AX280" s="312"/>
      <c r="AY280" s="312"/>
      <c r="AZ280" s="312"/>
      <c r="BA280" s="312"/>
      <c r="BB280" s="312"/>
      <c r="BC280" s="312"/>
      <c r="BD280" s="312"/>
      <c r="BE280" s="312"/>
      <c r="BF280" s="312"/>
      <c r="BG280" s="312"/>
      <c r="BH280" s="312"/>
      <c r="BI280" s="312"/>
      <c r="BJ280" s="312"/>
      <c r="BK280" s="312"/>
      <c r="BL280" s="312"/>
      <c r="BM280" s="312"/>
      <c r="BN280" s="312"/>
      <c r="BO280" s="312"/>
      <c r="BP280" s="312"/>
      <c r="BQ280" s="312"/>
      <c r="BR280" s="312"/>
      <c r="BS280" s="312"/>
      <c r="BT280" s="312"/>
      <c r="BU280" s="312"/>
      <c r="BV280" s="312"/>
      <c r="BW280" s="312"/>
      <c r="BX280" s="312"/>
      <c r="BY280" s="312"/>
      <c r="BZ280" s="312"/>
      <c r="CA280" s="312"/>
      <c r="CB280" s="312"/>
      <c r="CC280" s="312"/>
      <c r="CD280" s="312"/>
      <c r="CE280" s="312"/>
      <c r="CF280" s="312"/>
      <c r="CG280" s="312"/>
      <c r="CH280" s="312"/>
      <c r="CI280" s="312"/>
      <c r="CJ280" s="312"/>
      <c r="CK280" s="312"/>
      <c r="CL280" s="312"/>
      <c r="CM280" s="312"/>
      <c r="CN280" s="312"/>
      <c r="CO280" s="312"/>
      <c r="CP280" s="312"/>
      <c r="CQ280" s="312"/>
      <c r="CR280" s="312"/>
      <c r="CS280" s="312"/>
      <c r="CT280" s="312"/>
      <c r="CU280" s="312"/>
      <c r="CV280" s="312"/>
      <c r="CW280" s="312"/>
      <c r="CX280" s="312"/>
      <c r="CY280" s="312"/>
      <c r="CZ280" s="312"/>
      <c r="DA280" s="312"/>
      <c r="DB280" s="312"/>
      <c r="DC280" s="312"/>
      <c r="DD280" s="312"/>
      <c r="DE280" s="312"/>
      <c r="DF280" s="312"/>
      <c r="DG280" s="312"/>
      <c r="DH280" s="312"/>
      <c r="DI280" s="312"/>
      <c r="DJ280" s="312"/>
      <c r="DK280" s="312"/>
      <c r="DL280" s="312"/>
      <c r="DM280" s="312"/>
      <c r="DN280" s="312"/>
      <c r="DO280" s="312"/>
      <c r="DP280" s="312"/>
      <c r="DQ280" s="312"/>
      <c r="DR280" s="312"/>
      <c r="DS280" s="312"/>
      <c r="DT280" s="312"/>
      <c r="DU280" s="312"/>
      <c r="DV280" s="312"/>
      <c r="DW280" s="312"/>
      <c r="DX280" s="312"/>
      <c r="DY280" s="312"/>
      <c r="DZ280" s="312"/>
      <c r="EA280" s="312"/>
      <c r="EB280" s="312"/>
      <c r="EC280" s="312"/>
      <c r="ED280" s="312"/>
      <c r="EE280" s="312"/>
      <c r="EF280" s="312"/>
      <c r="EG280" s="312"/>
      <c r="EH280" s="312"/>
      <c r="EI280" s="312"/>
      <c r="EJ280" s="312"/>
      <c r="EK280" s="312"/>
      <c r="EL280" s="312"/>
      <c r="EM280" s="312"/>
      <c r="EN280" s="312"/>
      <c r="EO280" s="312"/>
      <c r="EP280" s="312"/>
      <c r="EQ280" s="312"/>
      <c r="ER280" s="312"/>
      <c r="ES280" s="312"/>
      <c r="ET280" s="312"/>
      <c r="EU280" s="312"/>
      <c r="EV280" s="312"/>
      <c r="EW280" s="312"/>
      <c r="EX280" s="312"/>
      <c r="EY280" s="312"/>
      <c r="EZ280" s="312"/>
      <c r="FA280" s="312"/>
      <c r="FB280" s="312"/>
      <c r="FC280" s="312"/>
      <c r="FD280" s="312"/>
      <c r="FE280" s="312"/>
      <c r="FF280" s="312"/>
      <c r="FG280" s="312"/>
      <c r="FH280" s="312"/>
      <c r="FI280" s="312"/>
      <c r="FJ280" s="312"/>
      <c r="FK280" s="312"/>
      <c r="FL280" s="312"/>
      <c r="FM280" s="312"/>
      <c r="FN280" s="312"/>
      <c r="FO280" s="312"/>
      <c r="FP280" s="312"/>
      <c r="FQ280" s="312"/>
      <c r="FR280" s="312"/>
      <c r="FS280" s="312"/>
      <c r="FT280" s="312"/>
      <c r="FU280" s="312"/>
      <c r="FV280" s="312"/>
      <c r="FW280" s="312"/>
      <c r="FX280" s="312"/>
      <c r="FY280" s="312"/>
      <c r="FZ280" s="312"/>
      <c r="GA280" s="312"/>
      <c r="GB280" s="312"/>
      <c r="GC280" s="312"/>
      <c r="GD280" s="312"/>
      <c r="GE280" s="312"/>
      <c r="GF280" s="312"/>
      <c r="GG280" s="312"/>
      <c r="GH280" s="312"/>
      <c r="GI280" s="312"/>
      <c r="GJ280" s="312"/>
      <c r="GK280" s="312"/>
      <c r="GL280" s="312"/>
      <c r="GM280" s="312"/>
      <c r="GN280" s="312"/>
      <c r="GO280" s="312"/>
      <c r="GP280" s="312"/>
      <c r="GQ280" s="312"/>
      <c r="GR280" s="312"/>
      <c r="GS280" s="312"/>
      <c r="GT280" s="312"/>
      <c r="GU280" s="312"/>
      <c r="GV280" s="312"/>
      <c r="GW280" s="312"/>
      <c r="GX280" s="312"/>
      <c r="GY280" s="312"/>
    </row>
    <row r="281" spans="2:207" ht="15.75" x14ac:dyDescent="0.25">
      <c r="B281" s="316">
        <f t="shared" si="58"/>
        <v>251</v>
      </c>
      <c r="C281" s="330">
        <f>'סיכום לוועדה'!B281</f>
        <v>1001348862</v>
      </c>
      <c r="D281" s="330">
        <f>'סיכום לוועדה'!C281</f>
        <v>1001270324</v>
      </c>
      <c r="E281" s="330">
        <f>'סיכום לוועדה'!D281</f>
        <v>40000179</v>
      </c>
      <c r="F281" s="330">
        <f>'סיכום לוועדה'!E281</f>
        <v>20000201</v>
      </c>
      <c r="G281" s="330" t="str">
        <f>'סיכום לוועדה'!F281</f>
        <v>תל אביב -יפו</v>
      </c>
      <c r="H281" s="317" t="str">
        <f>'סיכום לוועדה'!G281</f>
        <v>מקשב</v>
      </c>
      <c r="I281" s="318">
        <f>'סיכום לוועדה'!U281</f>
        <v>150000</v>
      </c>
      <c r="J281" s="319">
        <f>'סיכום לוועדה'!T281</f>
        <v>13284.423080626348</v>
      </c>
      <c r="K281" s="320">
        <f t="shared" si="59"/>
        <v>0</v>
      </c>
      <c r="L281" s="319">
        <f t="shared" si="60"/>
        <v>13284.423080626348</v>
      </c>
      <c r="M281" s="331">
        <f>'תחום תמיכה ב'!AF281</f>
        <v>5.2439679048544239E-5</v>
      </c>
      <c r="N281" s="319">
        <f t="shared" si="57"/>
        <v>14177.707418469688</v>
      </c>
      <c r="O281" s="321">
        <f t="shared" si="61"/>
        <v>0</v>
      </c>
      <c r="P281" s="322">
        <f t="shared" si="62"/>
        <v>14177.707418469688</v>
      </c>
      <c r="Q281" s="322">
        <f t="shared" si="63"/>
        <v>14184.162903099877</v>
      </c>
      <c r="R281" s="321">
        <f t="shared" si="64"/>
        <v>0</v>
      </c>
      <c r="S281" s="322">
        <f t="shared" si="65"/>
        <v>14184.162903099877</v>
      </c>
      <c r="T281" s="322">
        <f t="shared" si="66"/>
        <v>14184.162903099848</v>
      </c>
      <c r="U281" s="321">
        <f t="shared" si="67"/>
        <v>0</v>
      </c>
      <c r="V281" s="322">
        <f t="shared" si="68"/>
        <v>14184.162903099848</v>
      </c>
      <c r="W281" s="322">
        <f t="shared" si="69"/>
        <v>14184.162903099852</v>
      </c>
      <c r="X281" s="321">
        <f t="shared" si="70"/>
        <v>0</v>
      </c>
      <c r="Y281" s="322">
        <f t="shared" si="71"/>
        <v>14184.162903099852</v>
      </c>
      <c r="Z281" s="322">
        <f t="shared" si="72"/>
        <v>14184.162903099848</v>
      </c>
      <c r="AA281" s="323">
        <f t="shared" si="73"/>
        <v>14184.162903099848</v>
      </c>
      <c r="AB281" s="323"/>
      <c r="AC281" s="323"/>
      <c r="AD281" s="323"/>
      <c r="AE281" s="323"/>
      <c r="AF281" s="324">
        <f t="shared" si="74"/>
        <v>8.1229631037335197E-5</v>
      </c>
      <c r="AG281" s="312"/>
      <c r="AH281" s="312"/>
      <c r="AI281" s="325">
        <f t="shared" si="75"/>
        <v>1</v>
      </c>
      <c r="AJ281" s="312"/>
      <c r="AK281" s="312"/>
      <c r="AL281" s="312"/>
      <c r="AM281" s="312"/>
      <c r="AN281" s="312"/>
      <c r="AO281" s="312"/>
      <c r="AP281" s="312"/>
      <c r="AQ281" s="312"/>
      <c r="AR281" s="312"/>
      <c r="AS281" s="312"/>
      <c r="AT281" s="312"/>
      <c r="AU281" s="312"/>
      <c r="AV281" s="312"/>
      <c r="AW281" s="312"/>
      <c r="AX281" s="312"/>
      <c r="AY281" s="312"/>
      <c r="AZ281" s="312"/>
      <c r="BA281" s="312"/>
      <c r="BB281" s="312"/>
      <c r="BC281" s="312"/>
      <c r="BD281" s="312"/>
      <c r="BE281" s="312"/>
      <c r="BF281" s="312"/>
      <c r="BG281" s="312"/>
      <c r="BH281" s="312"/>
      <c r="BI281" s="312"/>
      <c r="BJ281" s="312"/>
      <c r="BK281" s="312"/>
      <c r="BL281" s="312"/>
      <c r="BM281" s="312"/>
      <c r="BN281" s="312"/>
      <c r="BO281" s="312"/>
      <c r="BP281" s="312"/>
      <c r="BQ281" s="312"/>
      <c r="BR281" s="312"/>
      <c r="BS281" s="312"/>
      <c r="BT281" s="312"/>
      <c r="BU281" s="312"/>
      <c r="BV281" s="312"/>
      <c r="BW281" s="312"/>
      <c r="BX281" s="312"/>
      <c r="BY281" s="312"/>
      <c r="BZ281" s="312"/>
      <c r="CA281" s="312"/>
      <c r="CB281" s="312"/>
      <c r="CC281" s="312"/>
      <c r="CD281" s="312"/>
      <c r="CE281" s="312"/>
      <c r="CF281" s="312"/>
      <c r="CG281" s="312"/>
      <c r="CH281" s="312"/>
      <c r="CI281" s="312"/>
      <c r="CJ281" s="312"/>
      <c r="CK281" s="312"/>
      <c r="CL281" s="312"/>
      <c r="CM281" s="312"/>
      <c r="CN281" s="312"/>
      <c r="CO281" s="312"/>
      <c r="CP281" s="312"/>
      <c r="CQ281" s="312"/>
      <c r="CR281" s="312"/>
      <c r="CS281" s="312"/>
      <c r="CT281" s="312"/>
      <c r="CU281" s="312"/>
      <c r="CV281" s="312"/>
      <c r="CW281" s="312"/>
      <c r="CX281" s="312"/>
      <c r="CY281" s="312"/>
      <c r="CZ281" s="312"/>
      <c r="DA281" s="312"/>
      <c r="DB281" s="312"/>
      <c r="DC281" s="312"/>
      <c r="DD281" s="312"/>
      <c r="DE281" s="312"/>
      <c r="DF281" s="312"/>
      <c r="DG281" s="312"/>
      <c r="DH281" s="312"/>
      <c r="DI281" s="312"/>
      <c r="DJ281" s="312"/>
      <c r="DK281" s="312"/>
      <c r="DL281" s="312"/>
      <c r="DM281" s="312"/>
      <c r="DN281" s="312"/>
      <c r="DO281" s="312"/>
      <c r="DP281" s="312"/>
      <c r="DQ281" s="312"/>
      <c r="DR281" s="312"/>
      <c r="DS281" s="312"/>
      <c r="DT281" s="312"/>
      <c r="DU281" s="312"/>
      <c r="DV281" s="312"/>
      <c r="DW281" s="312"/>
      <c r="DX281" s="312"/>
      <c r="DY281" s="312"/>
      <c r="DZ281" s="312"/>
      <c r="EA281" s="312"/>
      <c r="EB281" s="312"/>
      <c r="EC281" s="312"/>
      <c r="ED281" s="312"/>
      <c r="EE281" s="312"/>
      <c r="EF281" s="312"/>
      <c r="EG281" s="312"/>
      <c r="EH281" s="312"/>
      <c r="EI281" s="312"/>
      <c r="EJ281" s="312"/>
      <c r="EK281" s="312"/>
      <c r="EL281" s="312"/>
      <c r="EM281" s="312"/>
      <c r="EN281" s="312"/>
      <c r="EO281" s="312"/>
      <c r="EP281" s="312"/>
      <c r="EQ281" s="312"/>
      <c r="ER281" s="312"/>
      <c r="ES281" s="312"/>
      <c r="ET281" s="312"/>
      <c r="EU281" s="312"/>
      <c r="EV281" s="312"/>
      <c r="EW281" s="312"/>
      <c r="EX281" s="312"/>
      <c r="EY281" s="312"/>
      <c r="EZ281" s="312"/>
      <c r="FA281" s="312"/>
      <c r="FB281" s="312"/>
      <c r="FC281" s="312"/>
      <c r="FD281" s="312"/>
      <c r="FE281" s="312"/>
      <c r="FF281" s="312"/>
      <c r="FG281" s="312"/>
      <c r="FH281" s="312"/>
      <c r="FI281" s="312"/>
      <c r="FJ281" s="312"/>
      <c r="FK281" s="312"/>
      <c r="FL281" s="312"/>
      <c r="FM281" s="312"/>
      <c r="FN281" s="312"/>
      <c r="FO281" s="312"/>
      <c r="FP281" s="312"/>
      <c r="FQ281" s="312"/>
      <c r="FR281" s="312"/>
      <c r="FS281" s="312"/>
      <c r="FT281" s="312"/>
      <c r="FU281" s="312"/>
      <c r="FV281" s="312"/>
      <c r="FW281" s="312"/>
      <c r="FX281" s="312"/>
      <c r="FY281" s="312"/>
      <c r="FZ281" s="312"/>
      <c r="GA281" s="312"/>
      <c r="GB281" s="312"/>
      <c r="GC281" s="312"/>
      <c r="GD281" s="312"/>
      <c r="GE281" s="312"/>
      <c r="GF281" s="312"/>
      <c r="GG281" s="312"/>
      <c r="GH281" s="312"/>
      <c r="GI281" s="312"/>
      <c r="GJ281" s="312"/>
      <c r="GK281" s="312"/>
      <c r="GL281" s="312"/>
      <c r="GM281" s="312"/>
      <c r="GN281" s="312"/>
      <c r="GO281" s="312"/>
      <c r="GP281" s="312"/>
      <c r="GQ281" s="312"/>
      <c r="GR281" s="312"/>
      <c r="GS281" s="312"/>
      <c r="GT281" s="312"/>
      <c r="GU281" s="312"/>
      <c r="GV281" s="312"/>
      <c r="GW281" s="312"/>
      <c r="GX281" s="312"/>
      <c r="GY281" s="312"/>
    </row>
    <row r="282" spans="2:207" ht="15.75" x14ac:dyDescent="0.25">
      <c r="B282" s="316">
        <f t="shared" si="58"/>
        <v>252</v>
      </c>
      <c r="C282" s="330">
        <f>'סיכום לוועדה'!B282</f>
        <v>1001348072</v>
      </c>
      <c r="D282" s="330">
        <f>'סיכום לוועדה'!C282</f>
        <v>1001272584</v>
      </c>
      <c r="E282" s="330">
        <f>'סיכום לוועדה'!D282</f>
        <v>40000564</v>
      </c>
      <c r="F282" s="330">
        <f>'סיכום לוועדה'!E282</f>
        <v>20000201</v>
      </c>
      <c r="G282" s="330" t="str">
        <f>'סיכום לוועדה'!F282</f>
        <v>תל אביב -יפו</v>
      </c>
      <c r="H282" s="317" t="str">
        <f>'סיכום לוועדה'!G282</f>
        <v>עמותת הכוריאוגרפים (ע"ר)</v>
      </c>
      <c r="I282" s="318">
        <f>'סיכום לוועדה'!U282</f>
        <v>150000</v>
      </c>
      <c r="J282" s="319">
        <f>'סיכום לוועדה'!T282</f>
        <v>5811.2579506716647</v>
      </c>
      <c r="K282" s="320">
        <f t="shared" si="59"/>
        <v>0</v>
      </c>
      <c r="L282" s="319">
        <f t="shared" si="60"/>
        <v>5811.2579506716647</v>
      </c>
      <c r="M282" s="331">
        <f>'תחום תמיכה ב'!AF282</f>
        <v>3.0001893278272077E-5</v>
      </c>
      <c r="N282" s="319">
        <f t="shared" si="57"/>
        <v>6322.3255593486447</v>
      </c>
      <c r="O282" s="321">
        <f t="shared" si="61"/>
        <v>0</v>
      </c>
      <c r="P282" s="322">
        <f t="shared" si="62"/>
        <v>6322.3255593486447</v>
      </c>
      <c r="Q282" s="322">
        <f t="shared" si="63"/>
        <v>6325.2042811525835</v>
      </c>
      <c r="R282" s="321">
        <f t="shared" si="64"/>
        <v>0</v>
      </c>
      <c r="S282" s="322">
        <f t="shared" si="65"/>
        <v>6325.2042811525835</v>
      </c>
      <c r="T282" s="322">
        <f t="shared" si="66"/>
        <v>6325.2042811525707</v>
      </c>
      <c r="U282" s="321">
        <f t="shared" si="67"/>
        <v>0</v>
      </c>
      <c r="V282" s="322">
        <f t="shared" si="68"/>
        <v>6325.2042811525707</v>
      </c>
      <c r="W282" s="322">
        <f t="shared" si="69"/>
        <v>6325.2042811525735</v>
      </c>
      <c r="X282" s="321">
        <f t="shared" si="70"/>
        <v>0</v>
      </c>
      <c r="Y282" s="322">
        <f t="shared" si="71"/>
        <v>6325.2042811525735</v>
      </c>
      <c r="Z282" s="322">
        <f t="shared" si="72"/>
        <v>6325.2042811525725</v>
      </c>
      <c r="AA282" s="323">
        <f t="shared" si="73"/>
        <v>6325.2042811525725</v>
      </c>
      <c r="AB282" s="323"/>
      <c r="AC282" s="323"/>
      <c r="AD282" s="323"/>
      <c r="AE282" s="323"/>
      <c r="AF282" s="324">
        <f t="shared" si="74"/>
        <v>3.622307594066834E-5</v>
      </c>
      <c r="AG282" s="312"/>
      <c r="AH282" s="312"/>
      <c r="AI282" s="325">
        <f t="shared" si="75"/>
        <v>1</v>
      </c>
      <c r="AJ282" s="312"/>
      <c r="AK282" s="312"/>
      <c r="AL282" s="312"/>
      <c r="AM282" s="312"/>
      <c r="AN282" s="312"/>
      <c r="AO282" s="312"/>
      <c r="AP282" s="312"/>
      <c r="AQ282" s="312"/>
      <c r="AR282" s="312"/>
      <c r="AS282" s="312"/>
      <c r="AT282" s="312"/>
      <c r="AU282" s="312"/>
      <c r="AV282" s="312"/>
      <c r="AW282" s="312"/>
      <c r="AX282" s="312"/>
      <c r="AY282" s="312"/>
      <c r="AZ282" s="312"/>
      <c r="BA282" s="312"/>
      <c r="BB282" s="312"/>
      <c r="BC282" s="312"/>
      <c r="BD282" s="312"/>
      <c r="BE282" s="312"/>
      <c r="BF282" s="312"/>
      <c r="BG282" s="312"/>
      <c r="BH282" s="312"/>
      <c r="BI282" s="312"/>
      <c r="BJ282" s="312"/>
      <c r="BK282" s="312"/>
      <c r="BL282" s="312"/>
      <c r="BM282" s="312"/>
      <c r="BN282" s="312"/>
      <c r="BO282" s="312"/>
      <c r="BP282" s="312"/>
      <c r="BQ282" s="312"/>
      <c r="BR282" s="312"/>
      <c r="BS282" s="312"/>
      <c r="BT282" s="312"/>
      <c r="BU282" s="312"/>
      <c r="BV282" s="312"/>
      <c r="BW282" s="312"/>
      <c r="BX282" s="312"/>
      <c r="BY282" s="312"/>
      <c r="BZ282" s="312"/>
      <c r="CA282" s="312"/>
      <c r="CB282" s="312"/>
      <c r="CC282" s="312"/>
      <c r="CD282" s="312"/>
      <c r="CE282" s="312"/>
      <c r="CF282" s="312"/>
      <c r="CG282" s="312"/>
      <c r="CH282" s="312"/>
      <c r="CI282" s="312"/>
      <c r="CJ282" s="312"/>
      <c r="CK282" s="312"/>
      <c r="CL282" s="312"/>
      <c r="CM282" s="312"/>
      <c r="CN282" s="312"/>
      <c r="CO282" s="312"/>
      <c r="CP282" s="312"/>
      <c r="CQ282" s="312"/>
      <c r="CR282" s="312"/>
      <c r="CS282" s="312"/>
      <c r="CT282" s="312"/>
      <c r="CU282" s="312"/>
      <c r="CV282" s="312"/>
      <c r="CW282" s="312"/>
      <c r="CX282" s="312"/>
      <c r="CY282" s="312"/>
      <c r="CZ282" s="312"/>
      <c r="DA282" s="312"/>
      <c r="DB282" s="312"/>
      <c r="DC282" s="312"/>
      <c r="DD282" s="312"/>
      <c r="DE282" s="312"/>
      <c r="DF282" s="312"/>
      <c r="DG282" s="312"/>
      <c r="DH282" s="312"/>
      <c r="DI282" s="312"/>
      <c r="DJ282" s="312"/>
      <c r="DK282" s="312"/>
      <c r="DL282" s="312"/>
      <c r="DM282" s="312"/>
      <c r="DN282" s="312"/>
      <c r="DO282" s="312"/>
      <c r="DP282" s="312"/>
      <c r="DQ282" s="312"/>
      <c r="DR282" s="312"/>
      <c r="DS282" s="312"/>
      <c r="DT282" s="312"/>
      <c r="DU282" s="312"/>
      <c r="DV282" s="312"/>
      <c r="DW282" s="312"/>
      <c r="DX282" s="312"/>
      <c r="DY282" s="312"/>
      <c r="DZ282" s="312"/>
      <c r="EA282" s="312"/>
      <c r="EB282" s="312"/>
      <c r="EC282" s="312"/>
      <c r="ED282" s="312"/>
      <c r="EE282" s="312"/>
      <c r="EF282" s="312"/>
      <c r="EG282" s="312"/>
      <c r="EH282" s="312"/>
      <c r="EI282" s="312"/>
      <c r="EJ282" s="312"/>
      <c r="EK282" s="312"/>
      <c r="EL282" s="312"/>
      <c r="EM282" s="312"/>
      <c r="EN282" s="312"/>
      <c r="EO282" s="312"/>
      <c r="EP282" s="312"/>
      <c r="EQ282" s="312"/>
      <c r="ER282" s="312"/>
      <c r="ES282" s="312"/>
      <c r="ET282" s="312"/>
      <c r="EU282" s="312"/>
      <c r="EV282" s="312"/>
      <c r="EW282" s="312"/>
      <c r="EX282" s="312"/>
      <c r="EY282" s="312"/>
      <c r="EZ282" s="312"/>
      <c r="FA282" s="312"/>
      <c r="FB282" s="312"/>
      <c r="FC282" s="312"/>
      <c r="FD282" s="312"/>
      <c r="FE282" s="312"/>
      <c r="FF282" s="312"/>
      <c r="FG282" s="312"/>
      <c r="FH282" s="312"/>
      <c r="FI282" s="312"/>
      <c r="FJ282" s="312"/>
      <c r="FK282" s="312"/>
      <c r="FL282" s="312"/>
      <c r="FM282" s="312"/>
      <c r="FN282" s="312"/>
      <c r="FO282" s="312"/>
      <c r="FP282" s="312"/>
      <c r="FQ282" s="312"/>
      <c r="FR282" s="312"/>
      <c r="FS282" s="312"/>
      <c r="FT282" s="312"/>
      <c r="FU282" s="312"/>
      <c r="FV282" s="312"/>
      <c r="FW282" s="312"/>
      <c r="FX282" s="312"/>
      <c r="FY282" s="312"/>
      <c r="FZ282" s="312"/>
      <c r="GA282" s="312"/>
      <c r="GB282" s="312"/>
      <c r="GC282" s="312"/>
      <c r="GD282" s="312"/>
      <c r="GE282" s="312"/>
      <c r="GF282" s="312"/>
      <c r="GG282" s="312"/>
      <c r="GH282" s="312"/>
      <c r="GI282" s="312"/>
      <c r="GJ282" s="312"/>
      <c r="GK282" s="312"/>
      <c r="GL282" s="312"/>
      <c r="GM282" s="312"/>
      <c r="GN282" s="312"/>
      <c r="GO282" s="312"/>
      <c r="GP282" s="312"/>
      <c r="GQ282" s="312"/>
      <c r="GR282" s="312"/>
      <c r="GS282" s="312"/>
      <c r="GT282" s="312"/>
      <c r="GU282" s="312"/>
      <c r="GV282" s="312"/>
      <c r="GW282" s="312"/>
      <c r="GX282" s="312"/>
      <c r="GY282" s="312"/>
    </row>
    <row r="283" spans="2:207" ht="15.75" x14ac:dyDescent="0.25">
      <c r="B283" s="316">
        <f t="shared" si="58"/>
        <v>253</v>
      </c>
      <c r="C283" s="330">
        <f>'סיכום לוועדה'!B283</f>
        <v>1001348120</v>
      </c>
      <c r="D283" s="330">
        <f>'סיכום לוועדה'!C283</f>
        <v>1001276731</v>
      </c>
      <c r="E283" s="330">
        <f>'סיכום לוועדה'!D283</f>
        <v>40000564</v>
      </c>
      <c r="F283" s="330">
        <f>'סיכום לוועדה'!E283</f>
        <v>20000201</v>
      </c>
      <c r="G283" s="330" t="str">
        <f>'סיכום לוועדה'!F283</f>
        <v>תל אביב -יפו</v>
      </c>
      <c r="H283" s="317" t="str">
        <f>'סיכום לוועדה'!G283</f>
        <v>עמותת הכוריאוגרפים (ע"ר)</v>
      </c>
      <c r="I283" s="318">
        <f>'סיכום לוועדה'!U283</f>
        <v>150000</v>
      </c>
      <c r="J283" s="319">
        <f>'סיכום לוועדה'!T283</f>
        <v>7210.5818194215044</v>
      </c>
      <c r="K283" s="320">
        <f t="shared" si="59"/>
        <v>0</v>
      </c>
      <c r="L283" s="319">
        <f t="shared" si="60"/>
        <v>7210.5818194215044</v>
      </c>
      <c r="M283" s="331">
        <f>'תחום תמיכה ב'!AF283</f>
        <v>4.7959786330451638E-5</v>
      </c>
      <c r="N283" s="319">
        <f t="shared" si="57"/>
        <v>8027.5533713573268</v>
      </c>
      <c r="O283" s="321">
        <f t="shared" si="61"/>
        <v>0</v>
      </c>
      <c r="P283" s="322">
        <f t="shared" si="62"/>
        <v>8027.5533713573268</v>
      </c>
      <c r="Q283" s="322">
        <f t="shared" si="63"/>
        <v>8031.2085284202594</v>
      </c>
      <c r="R283" s="321">
        <f t="shared" si="64"/>
        <v>0</v>
      </c>
      <c r="S283" s="322">
        <f t="shared" si="65"/>
        <v>8031.2085284202594</v>
      </c>
      <c r="T283" s="322">
        <f t="shared" si="66"/>
        <v>8031.2085284202431</v>
      </c>
      <c r="U283" s="321">
        <f t="shared" si="67"/>
        <v>0</v>
      </c>
      <c r="V283" s="322">
        <f t="shared" si="68"/>
        <v>8031.2085284202431</v>
      </c>
      <c r="W283" s="322">
        <f t="shared" si="69"/>
        <v>8031.2085284202458</v>
      </c>
      <c r="X283" s="321">
        <f t="shared" si="70"/>
        <v>0</v>
      </c>
      <c r="Y283" s="322">
        <f t="shared" si="71"/>
        <v>8031.2085284202458</v>
      </c>
      <c r="Z283" s="322">
        <f t="shared" si="72"/>
        <v>8031.208528420244</v>
      </c>
      <c r="AA283" s="323">
        <f t="shared" si="73"/>
        <v>8031.208528420244</v>
      </c>
      <c r="AB283" s="323"/>
      <c r="AC283" s="323"/>
      <c r="AD283" s="323"/>
      <c r="AE283" s="323"/>
      <c r="AF283" s="324">
        <f t="shared" si="74"/>
        <v>4.5992993030621839E-5</v>
      </c>
      <c r="AG283" s="312"/>
      <c r="AH283" s="312"/>
      <c r="AI283" s="325">
        <f t="shared" si="75"/>
        <v>1</v>
      </c>
      <c r="AJ283" s="312"/>
      <c r="AK283" s="312"/>
      <c r="AL283" s="312"/>
      <c r="AM283" s="312"/>
      <c r="AN283" s="312"/>
      <c r="AO283" s="312"/>
      <c r="AP283" s="312"/>
      <c r="AQ283" s="312"/>
      <c r="AR283" s="312"/>
      <c r="AS283" s="312"/>
      <c r="AT283" s="312"/>
      <c r="AU283" s="312"/>
      <c r="AV283" s="312"/>
      <c r="AW283" s="312"/>
      <c r="AX283" s="312"/>
      <c r="AY283" s="312"/>
      <c r="AZ283" s="312"/>
      <c r="BA283" s="312"/>
      <c r="BB283" s="312"/>
      <c r="BC283" s="312"/>
      <c r="BD283" s="312"/>
      <c r="BE283" s="312"/>
      <c r="BF283" s="312"/>
      <c r="BG283" s="312"/>
      <c r="BH283" s="312"/>
      <c r="BI283" s="312"/>
      <c r="BJ283" s="312"/>
      <c r="BK283" s="312"/>
      <c r="BL283" s="312"/>
      <c r="BM283" s="312"/>
      <c r="BN283" s="312"/>
      <c r="BO283" s="312"/>
      <c r="BP283" s="312"/>
      <c r="BQ283" s="312"/>
      <c r="BR283" s="312"/>
      <c r="BS283" s="312"/>
      <c r="BT283" s="312"/>
      <c r="BU283" s="312"/>
      <c r="BV283" s="312"/>
      <c r="BW283" s="312"/>
      <c r="BX283" s="312"/>
      <c r="BY283" s="312"/>
      <c r="BZ283" s="312"/>
      <c r="CA283" s="312"/>
      <c r="CB283" s="312"/>
      <c r="CC283" s="312"/>
      <c r="CD283" s="312"/>
      <c r="CE283" s="312"/>
      <c r="CF283" s="312"/>
      <c r="CG283" s="312"/>
      <c r="CH283" s="312"/>
      <c r="CI283" s="312"/>
      <c r="CJ283" s="312"/>
      <c r="CK283" s="312"/>
      <c r="CL283" s="312"/>
      <c r="CM283" s="312"/>
      <c r="CN283" s="312"/>
      <c r="CO283" s="312"/>
      <c r="CP283" s="312"/>
      <c r="CQ283" s="312"/>
      <c r="CR283" s="312"/>
      <c r="CS283" s="312"/>
      <c r="CT283" s="312"/>
      <c r="CU283" s="312"/>
      <c r="CV283" s="312"/>
      <c r="CW283" s="312"/>
      <c r="CX283" s="312"/>
      <c r="CY283" s="312"/>
      <c r="CZ283" s="312"/>
      <c r="DA283" s="312"/>
      <c r="DB283" s="312"/>
      <c r="DC283" s="312"/>
      <c r="DD283" s="312"/>
      <c r="DE283" s="312"/>
      <c r="DF283" s="312"/>
      <c r="DG283" s="312"/>
      <c r="DH283" s="312"/>
      <c r="DI283" s="312"/>
      <c r="DJ283" s="312"/>
      <c r="DK283" s="312"/>
      <c r="DL283" s="312"/>
      <c r="DM283" s="312"/>
      <c r="DN283" s="312"/>
      <c r="DO283" s="312"/>
      <c r="DP283" s="312"/>
      <c r="DQ283" s="312"/>
      <c r="DR283" s="312"/>
      <c r="DS283" s="312"/>
      <c r="DT283" s="312"/>
      <c r="DU283" s="312"/>
      <c r="DV283" s="312"/>
      <c r="DW283" s="312"/>
      <c r="DX283" s="312"/>
      <c r="DY283" s="312"/>
      <c r="DZ283" s="312"/>
      <c r="EA283" s="312"/>
      <c r="EB283" s="312"/>
      <c r="EC283" s="312"/>
      <c r="ED283" s="312"/>
      <c r="EE283" s="312"/>
      <c r="EF283" s="312"/>
      <c r="EG283" s="312"/>
      <c r="EH283" s="312"/>
      <c r="EI283" s="312"/>
      <c r="EJ283" s="312"/>
      <c r="EK283" s="312"/>
      <c r="EL283" s="312"/>
      <c r="EM283" s="312"/>
      <c r="EN283" s="312"/>
      <c r="EO283" s="312"/>
      <c r="EP283" s="312"/>
      <c r="EQ283" s="312"/>
      <c r="ER283" s="312"/>
      <c r="ES283" s="312"/>
      <c r="ET283" s="312"/>
      <c r="EU283" s="312"/>
      <c r="EV283" s="312"/>
      <c r="EW283" s="312"/>
      <c r="EX283" s="312"/>
      <c r="EY283" s="312"/>
      <c r="EZ283" s="312"/>
      <c r="FA283" s="312"/>
      <c r="FB283" s="312"/>
      <c r="FC283" s="312"/>
      <c r="FD283" s="312"/>
      <c r="FE283" s="312"/>
      <c r="FF283" s="312"/>
      <c r="FG283" s="312"/>
      <c r="FH283" s="312"/>
      <c r="FI283" s="312"/>
      <c r="FJ283" s="312"/>
      <c r="FK283" s="312"/>
      <c r="FL283" s="312"/>
      <c r="FM283" s="312"/>
      <c r="FN283" s="312"/>
      <c r="FO283" s="312"/>
      <c r="FP283" s="312"/>
      <c r="FQ283" s="312"/>
      <c r="FR283" s="312"/>
      <c r="FS283" s="312"/>
      <c r="FT283" s="312"/>
      <c r="FU283" s="312"/>
      <c r="FV283" s="312"/>
      <c r="FW283" s="312"/>
      <c r="FX283" s="312"/>
      <c r="FY283" s="312"/>
      <c r="FZ283" s="312"/>
      <c r="GA283" s="312"/>
      <c r="GB283" s="312"/>
      <c r="GC283" s="312"/>
      <c r="GD283" s="312"/>
      <c r="GE283" s="312"/>
      <c r="GF283" s="312"/>
      <c r="GG283" s="312"/>
      <c r="GH283" s="312"/>
      <c r="GI283" s="312"/>
      <c r="GJ283" s="312"/>
      <c r="GK283" s="312"/>
      <c r="GL283" s="312"/>
      <c r="GM283" s="312"/>
      <c r="GN283" s="312"/>
      <c r="GO283" s="312"/>
      <c r="GP283" s="312"/>
      <c r="GQ283" s="312"/>
      <c r="GR283" s="312"/>
      <c r="GS283" s="312"/>
      <c r="GT283" s="312"/>
      <c r="GU283" s="312"/>
      <c r="GV283" s="312"/>
      <c r="GW283" s="312"/>
      <c r="GX283" s="312"/>
      <c r="GY283" s="312"/>
    </row>
    <row r="284" spans="2:207" ht="15.75" x14ac:dyDescent="0.25">
      <c r="B284" s="316">
        <f t="shared" si="58"/>
        <v>254</v>
      </c>
      <c r="C284" s="330">
        <f>'סיכום לוועדה'!B284</f>
        <v>1001348124</v>
      </c>
      <c r="D284" s="330">
        <f>'סיכום לוועדה'!C284</f>
        <v>1001276699</v>
      </c>
      <c r="E284" s="330">
        <f>'סיכום לוועדה'!D284</f>
        <v>40000564</v>
      </c>
      <c r="F284" s="330">
        <f>'סיכום לוועדה'!E284</f>
        <v>20000201</v>
      </c>
      <c r="G284" s="330" t="str">
        <f>'סיכום לוועדה'!F284</f>
        <v>תל אביב -יפו</v>
      </c>
      <c r="H284" s="317" t="str">
        <f>'סיכום לוועדה'!G284</f>
        <v>עמותת הכוריאוגרפים (ע"ר)</v>
      </c>
      <c r="I284" s="318">
        <f>'סיכום לוועדה'!U284</f>
        <v>150000</v>
      </c>
      <c r="J284" s="319">
        <f>'סיכום לוועדה'!T284</f>
        <v>26030.135445879372</v>
      </c>
      <c r="K284" s="320">
        <f t="shared" si="59"/>
        <v>0</v>
      </c>
      <c r="L284" s="319">
        <f t="shared" si="60"/>
        <v>26030.135445879372</v>
      </c>
      <c r="M284" s="331">
        <f>'תחום תמיכה ב'!AF284</f>
        <v>1.6646110596369416E-4</v>
      </c>
      <c r="N284" s="319">
        <f t="shared" si="57"/>
        <v>28865.719139665856</v>
      </c>
      <c r="O284" s="321">
        <f t="shared" si="61"/>
        <v>0</v>
      </c>
      <c r="P284" s="322">
        <f t="shared" si="62"/>
        <v>28865.719139665856</v>
      </c>
      <c r="Q284" s="322">
        <f t="shared" si="63"/>
        <v>28878.862463952733</v>
      </c>
      <c r="R284" s="321">
        <f t="shared" si="64"/>
        <v>0</v>
      </c>
      <c r="S284" s="322">
        <f t="shared" si="65"/>
        <v>28878.862463952733</v>
      </c>
      <c r="T284" s="322">
        <f t="shared" si="66"/>
        <v>28878.862463952679</v>
      </c>
      <c r="U284" s="321">
        <f t="shared" si="67"/>
        <v>0</v>
      </c>
      <c r="V284" s="322">
        <f t="shared" si="68"/>
        <v>28878.862463952679</v>
      </c>
      <c r="W284" s="322">
        <f t="shared" si="69"/>
        <v>28878.86246395269</v>
      </c>
      <c r="X284" s="321">
        <f t="shared" si="70"/>
        <v>0</v>
      </c>
      <c r="Y284" s="322">
        <f t="shared" si="71"/>
        <v>28878.86246395269</v>
      </c>
      <c r="Z284" s="322">
        <f t="shared" si="72"/>
        <v>28878.862463952686</v>
      </c>
      <c r="AA284" s="323">
        <f t="shared" si="73"/>
        <v>28878.862463952686</v>
      </c>
      <c r="AB284" s="323"/>
      <c r="AC284" s="323"/>
      <c r="AD284" s="323"/>
      <c r="AE284" s="323"/>
      <c r="AF284" s="324">
        <f t="shared" si="74"/>
        <v>1.6538299501708088E-4</v>
      </c>
      <c r="AG284" s="312"/>
      <c r="AH284" s="312"/>
      <c r="AI284" s="325">
        <f t="shared" si="75"/>
        <v>1</v>
      </c>
      <c r="AJ284" s="312"/>
      <c r="AK284" s="312"/>
      <c r="AL284" s="312"/>
      <c r="AM284" s="312"/>
      <c r="AN284" s="312"/>
      <c r="AO284" s="312"/>
      <c r="AP284" s="312"/>
      <c r="AQ284" s="312"/>
      <c r="AR284" s="312"/>
      <c r="AS284" s="312"/>
      <c r="AT284" s="312"/>
      <c r="AU284" s="312"/>
      <c r="AV284" s="312"/>
      <c r="AW284" s="312"/>
      <c r="AX284" s="312"/>
      <c r="AY284" s="312"/>
      <c r="AZ284" s="312"/>
      <c r="BA284" s="312"/>
      <c r="BB284" s="312"/>
      <c r="BC284" s="312"/>
      <c r="BD284" s="312"/>
      <c r="BE284" s="312"/>
      <c r="BF284" s="312"/>
      <c r="BG284" s="312"/>
      <c r="BH284" s="312"/>
      <c r="BI284" s="312"/>
      <c r="BJ284" s="312"/>
      <c r="BK284" s="312"/>
      <c r="BL284" s="312"/>
      <c r="BM284" s="312"/>
      <c r="BN284" s="312"/>
      <c r="BO284" s="312"/>
      <c r="BP284" s="312"/>
      <c r="BQ284" s="312"/>
      <c r="BR284" s="312"/>
      <c r="BS284" s="312"/>
      <c r="BT284" s="312"/>
      <c r="BU284" s="312"/>
      <c r="BV284" s="312"/>
      <c r="BW284" s="312"/>
      <c r="BX284" s="312"/>
      <c r="BY284" s="312"/>
      <c r="BZ284" s="312"/>
      <c r="CA284" s="312"/>
      <c r="CB284" s="312"/>
      <c r="CC284" s="312"/>
      <c r="CD284" s="312"/>
      <c r="CE284" s="312"/>
      <c r="CF284" s="312"/>
      <c r="CG284" s="312"/>
      <c r="CH284" s="312"/>
      <c r="CI284" s="312"/>
      <c r="CJ284" s="312"/>
      <c r="CK284" s="312"/>
      <c r="CL284" s="312"/>
      <c r="CM284" s="312"/>
      <c r="CN284" s="312"/>
      <c r="CO284" s="312"/>
      <c r="CP284" s="312"/>
      <c r="CQ284" s="312"/>
      <c r="CR284" s="312"/>
      <c r="CS284" s="312"/>
      <c r="CT284" s="312"/>
      <c r="CU284" s="312"/>
      <c r="CV284" s="312"/>
      <c r="CW284" s="312"/>
      <c r="CX284" s="312"/>
      <c r="CY284" s="312"/>
      <c r="CZ284" s="312"/>
      <c r="DA284" s="312"/>
      <c r="DB284" s="312"/>
      <c r="DC284" s="312"/>
      <c r="DD284" s="312"/>
      <c r="DE284" s="312"/>
      <c r="DF284" s="312"/>
      <c r="DG284" s="312"/>
      <c r="DH284" s="312"/>
      <c r="DI284" s="312"/>
      <c r="DJ284" s="312"/>
      <c r="DK284" s="312"/>
      <c r="DL284" s="312"/>
      <c r="DM284" s="312"/>
      <c r="DN284" s="312"/>
      <c r="DO284" s="312"/>
      <c r="DP284" s="312"/>
      <c r="DQ284" s="312"/>
      <c r="DR284" s="312"/>
      <c r="DS284" s="312"/>
      <c r="DT284" s="312"/>
      <c r="DU284" s="312"/>
      <c r="DV284" s="312"/>
      <c r="DW284" s="312"/>
      <c r="DX284" s="312"/>
      <c r="DY284" s="312"/>
      <c r="DZ284" s="312"/>
      <c r="EA284" s="312"/>
      <c r="EB284" s="312"/>
      <c r="EC284" s="312"/>
      <c r="ED284" s="312"/>
      <c r="EE284" s="312"/>
      <c r="EF284" s="312"/>
      <c r="EG284" s="312"/>
      <c r="EH284" s="312"/>
      <c r="EI284" s="312"/>
      <c r="EJ284" s="312"/>
      <c r="EK284" s="312"/>
      <c r="EL284" s="312"/>
      <c r="EM284" s="312"/>
      <c r="EN284" s="312"/>
      <c r="EO284" s="312"/>
      <c r="EP284" s="312"/>
      <c r="EQ284" s="312"/>
      <c r="ER284" s="312"/>
      <c r="ES284" s="312"/>
      <c r="ET284" s="312"/>
      <c r="EU284" s="312"/>
      <c r="EV284" s="312"/>
      <c r="EW284" s="312"/>
      <c r="EX284" s="312"/>
      <c r="EY284" s="312"/>
      <c r="EZ284" s="312"/>
      <c r="FA284" s="312"/>
      <c r="FB284" s="312"/>
      <c r="FC284" s="312"/>
      <c r="FD284" s="312"/>
      <c r="FE284" s="312"/>
      <c r="FF284" s="312"/>
      <c r="FG284" s="312"/>
      <c r="FH284" s="312"/>
      <c r="FI284" s="312"/>
      <c r="FJ284" s="312"/>
      <c r="FK284" s="312"/>
      <c r="FL284" s="312"/>
      <c r="FM284" s="312"/>
      <c r="FN284" s="312"/>
      <c r="FO284" s="312"/>
      <c r="FP284" s="312"/>
      <c r="FQ284" s="312"/>
      <c r="FR284" s="312"/>
      <c r="FS284" s="312"/>
      <c r="FT284" s="312"/>
      <c r="FU284" s="312"/>
      <c r="FV284" s="312"/>
      <c r="FW284" s="312"/>
      <c r="FX284" s="312"/>
      <c r="FY284" s="312"/>
      <c r="FZ284" s="312"/>
      <c r="GA284" s="312"/>
      <c r="GB284" s="312"/>
      <c r="GC284" s="312"/>
      <c r="GD284" s="312"/>
      <c r="GE284" s="312"/>
      <c r="GF284" s="312"/>
      <c r="GG284" s="312"/>
      <c r="GH284" s="312"/>
      <c r="GI284" s="312"/>
      <c r="GJ284" s="312"/>
      <c r="GK284" s="312"/>
      <c r="GL284" s="312"/>
      <c r="GM284" s="312"/>
      <c r="GN284" s="312"/>
      <c r="GO284" s="312"/>
      <c r="GP284" s="312"/>
      <c r="GQ284" s="312"/>
      <c r="GR284" s="312"/>
      <c r="GS284" s="312"/>
      <c r="GT284" s="312"/>
      <c r="GU284" s="312"/>
      <c r="GV284" s="312"/>
      <c r="GW284" s="312"/>
      <c r="GX284" s="312"/>
      <c r="GY284" s="312"/>
    </row>
    <row r="285" spans="2:207" ht="15.75" x14ac:dyDescent="0.25">
      <c r="B285" s="316">
        <f t="shared" si="58"/>
        <v>255</v>
      </c>
      <c r="C285" s="330">
        <f>'סיכום לוועדה'!B285</f>
        <v>1001348125</v>
      </c>
      <c r="D285" s="330">
        <f>'סיכום לוועדה'!C285</f>
        <v>1001276698</v>
      </c>
      <c r="E285" s="330">
        <f>'סיכום לוועדה'!D285</f>
        <v>40000564</v>
      </c>
      <c r="F285" s="330">
        <f>'סיכום לוועדה'!E285</f>
        <v>20000201</v>
      </c>
      <c r="G285" s="330" t="str">
        <f>'סיכום לוועדה'!F285</f>
        <v>תל אביב -יפו</v>
      </c>
      <c r="H285" s="317" t="str">
        <f>'סיכום לוועדה'!G285</f>
        <v>עמותת הכוריאוגרפים (ע"ר)</v>
      </c>
      <c r="I285" s="318">
        <f>'סיכום לוועדה'!U285</f>
        <v>150000</v>
      </c>
      <c r="J285" s="319">
        <f>'סיכום לוועדה'!T285</f>
        <v>7093.65035048963</v>
      </c>
      <c r="K285" s="320">
        <f t="shared" si="59"/>
        <v>0</v>
      </c>
      <c r="L285" s="319">
        <f t="shared" si="60"/>
        <v>7093.65035048963</v>
      </c>
      <c r="M285" s="331">
        <f>'תחום תמיכה ב'!AF285</f>
        <v>4.4804067594601296E-5</v>
      </c>
      <c r="N285" s="319">
        <f t="shared" si="57"/>
        <v>7856.8657740028439</v>
      </c>
      <c r="O285" s="321">
        <f t="shared" si="61"/>
        <v>0</v>
      </c>
      <c r="P285" s="322">
        <f t="shared" si="62"/>
        <v>7856.8657740028439</v>
      </c>
      <c r="Q285" s="322">
        <f t="shared" si="63"/>
        <v>7860.4432124947298</v>
      </c>
      <c r="R285" s="321">
        <f t="shared" si="64"/>
        <v>0</v>
      </c>
      <c r="S285" s="322">
        <f t="shared" si="65"/>
        <v>7860.4432124947298</v>
      </c>
      <c r="T285" s="322">
        <f t="shared" si="66"/>
        <v>7860.4432124947143</v>
      </c>
      <c r="U285" s="321">
        <f t="shared" si="67"/>
        <v>0</v>
      </c>
      <c r="V285" s="322">
        <f t="shared" si="68"/>
        <v>7860.4432124947143</v>
      </c>
      <c r="W285" s="322">
        <f t="shared" si="69"/>
        <v>7860.443212494718</v>
      </c>
      <c r="X285" s="321">
        <f t="shared" si="70"/>
        <v>0</v>
      </c>
      <c r="Y285" s="322">
        <f t="shared" si="71"/>
        <v>7860.443212494718</v>
      </c>
      <c r="Z285" s="322">
        <f t="shared" si="72"/>
        <v>7860.4432124947161</v>
      </c>
      <c r="AA285" s="323">
        <f t="shared" si="73"/>
        <v>7860.4432124947161</v>
      </c>
      <c r="AB285" s="323"/>
      <c r="AC285" s="323"/>
      <c r="AD285" s="323"/>
      <c r="AE285" s="323"/>
      <c r="AF285" s="324">
        <f t="shared" si="74"/>
        <v>4.5015057025418941E-5</v>
      </c>
      <c r="AG285" s="312"/>
      <c r="AH285" s="312"/>
      <c r="AI285" s="325">
        <f t="shared" si="75"/>
        <v>1</v>
      </c>
      <c r="AJ285" s="312"/>
      <c r="AK285" s="312"/>
      <c r="AL285" s="312"/>
      <c r="AM285" s="312"/>
      <c r="AN285" s="312"/>
      <c r="AO285" s="312"/>
      <c r="AP285" s="312"/>
      <c r="AQ285" s="312"/>
      <c r="AR285" s="312"/>
      <c r="AS285" s="312"/>
      <c r="AT285" s="312"/>
      <c r="AU285" s="312"/>
      <c r="AV285" s="312"/>
      <c r="AW285" s="312"/>
      <c r="AX285" s="312"/>
      <c r="AY285" s="312"/>
      <c r="AZ285" s="312"/>
      <c r="BA285" s="312"/>
      <c r="BB285" s="312"/>
      <c r="BC285" s="312"/>
      <c r="BD285" s="312"/>
      <c r="BE285" s="312"/>
      <c r="BF285" s="312"/>
      <c r="BG285" s="312"/>
      <c r="BH285" s="312"/>
      <c r="BI285" s="312"/>
      <c r="BJ285" s="312"/>
      <c r="BK285" s="312"/>
      <c r="BL285" s="312"/>
      <c r="BM285" s="312"/>
      <c r="BN285" s="312"/>
      <c r="BO285" s="312"/>
      <c r="BP285" s="312"/>
      <c r="BQ285" s="312"/>
      <c r="BR285" s="312"/>
      <c r="BS285" s="312"/>
      <c r="BT285" s="312"/>
      <c r="BU285" s="312"/>
      <c r="BV285" s="312"/>
      <c r="BW285" s="312"/>
      <c r="BX285" s="312"/>
      <c r="BY285" s="312"/>
      <c r="BZ285" s="312"/>
      <c r="CA285" s="312"/>
      <c r="CB285" s="312"/>
      <c r="CC285" s="312"/>
      <c r="CD285" s="312"/>
      <c r="CE285" s="312"/>
      <c r="CF285" s="312"/>
      <c r="CG285" s="312"/>
      <c r="CH285" s="312"/>
      <c r="CI285" s="312"/>
      <c r="CJ285" s="312"/>
      <c r="CK285" s="312"/>
      <c r="CL285" s="312"/>
      <c r="CM285" s="312"/>
      <c r="CN285" s="312"/>
      <c r="CO285" s="312"/>
      <c r="CP285" s="312"/>
      <c r="CQ285" s="312"/>
      <c r="CR285" s="312"/>
      <c r="CS285" s="312"/>
      <c r="CT285" s="312"/>
      <c r="CU285" s="312"/>
      <c r="CV285" s="312"/>
      <c r="CW285" s="312"/>
      <c r="CX285" s="312"/>
      <c r="CY285" s="312"/>
      <c r="CZ285" s="312"/>
      <c r="DA285" s="312"/>
      <c r="DB285" s="312"/>
      <c r="DC285" s="312"/>
      <c r="DD285" s="312"/>
      <c r="DE285" s="312"/>
      <c r="DF285" s="312"/>
      <c r="DG285" s="312"/>
      <c r="DH285" s="312"/>
      <c r="DI285" s="312"/>
      <c r="DJ285" s="312"/>
      <c r="DK285" s="312"/>
      <c r="DL285" s="312"/>
      <c r="DM285" s="312"/>
      <c r="DN285" s="312"/>
      <c r="DO285" s="312"/>
      <c r="DP285" s="312"/>
      <c r="DQ285" s="312"/>
      <c r="DR285" s="312"/>
      <c r="DS285" s="312"/>
      <c r="DT285" s="312"/>
      <c r="DU285" s="312"/>
      <c r="DV285" s="312"/>
      <c r="DW285" s="312"/>
      <c r="DX285" s="312"/>
      <c r="DY285" s="312"/>
      <c r="DZ285" s="312"/>
      <c r="EA285" s="312"/>
      <c r="EB285" s="312"/>
      <c r="EC285" s="312"/>
      <c r="ED285" s="312"/>
      <c r="EE285" s="312"/>
      <c r="EF285" s="312"/>
      <c r="EG285" s="312"/>
      <c r="EH285" s="312"/>
      <c r="EI285" s="312"/>
      <c r="EJ285" s="312"/>
      <c r="EK285" s="312"/>
      <c r="EL285" s="312"/>
      <c r="EM285" s="312"/>
      <c r="EN285" s="312"/>
      <c r="EO285" s="312"/>
      <c r="EP285" s="312"/>
      <c r="EQ285" s="312"/>
      <c r="ER285" s="312"/>
      <c r="ES285" s="312"/>
      <c r="ET285" s="312"/>
      <c r="EU285" s="312"/>
      <c r="EV285" s="312"/>
      <c r="EW285" s="312"/>
      <c r="EX285" s="312"/>
      <c r="EY285" s="312"/>
      <c r="EZ285" s="312"/>
      <c r="FA285" s="312"/>
      <c r="FB285" s="312"/>
      <c r="FC285" s="312"/>
      <c r="FD285" s="312"/>
      <c r="FE285" s="312"/>
      <c r="FF285" s="312"/>
      <c r="FG285" s="312"/>
      <c r="FH285" s="312"/>
      <c r="FI285" s="312"/>
      <c r="FJ285" s="312"/>
      <c r="FK285" s="312"/>
      <c r="FL285" s="312"/>
      <c r="FM285" s="312"/>
      <c r="FN285" s="312"/>
      <c r="FO285" s="312"/>
      <c r="FP285" s="312"/>
      <c r="FQ285" s="312"/>
      <c r="FR285" s="312"/>
      <c r="FS285" s="312"/>
      <c r="FT285" s="312"/>
      <c r="FU285" s="312"/>
      <c r="FV285" s="312"/>
      <c r="FW285" s="312"/>
      <c r="FX285" s="312"/>
      <c r="FY285" s="312"/>
      <c r="FZ285" s="312"/>
      <c r="GA285" s="312"/>
      <c r="GB285" s="312"/>
      <c r="GC285" s="312"/>
      <c r="GD285" s="312"/>
      <c r="GE285" s="312"/>
      <c r="GF285" s="312"/>
      <c r="GG285" s="312"/>
      <c r="GH285" s="312"/>
      <c r="GI285" s="312"/>
      <c r="GJ285" s="312"/>
      <c r="GK285" s="312"/>
      <c r="GL285" s="312"/>
      <c r="GM285" s="312"/>
      <c r="GN285" s="312"/>
      <c r="GO285" s="312"/>
      <c r="GP285" s="312"/>
      <c r="GQ285" s="312"/>
      <c r="GR285" s="312"/>
      <c r="GS285" s="312"/>
      <c r="GT285" s="312"/>
      <c r="GU285" s="312"/>
      <c r="GV285" s="312"/>
      <c r="GW285" s="312"/>
      <c r="GX285" s="312"/>
      <c r="GY285" s="312"/>
    </row>
    <row r="286" spans="2:207" ht="15.75" x14ac:dyDescent="0.25">
      <c r="B286" s="316">
        <f t="shared" si="58"/>
        <v>256</v>
      </c>
      <c r="C286" s="330">
        <f>'סיכום לוועדה'!B286</f>
        <v>1001348128</v>
      </c>
      <c r="D286" s="330">
        <f>'סיכום לוועדה'!C286</f>
        <v>1001273596</v>
      </c>
      <c r="E286" s="330">
        <f>'סיכום לוועדה'!D286</f>
        <v>40000564</v>
      </c>
      <c r="F286" s="330">
        <f>'סיכום לוועדה'!E286</f>
        <v>20000201</v>
      </c>
      <c r="G286" s="330" t="str">
        <f>'סיכום לוועדה'!F286</f>
        <v>תל אביב -יפו</v>
      </c>
      <c r="H286" s="317" t="str">
        <f>'סיכום לוועדה'!G286</f>
        <v>עמותת הכוריאוגרפים (ע"ר)</v>
      </c>
      <c r="I286" s="318">
        <f>'סיכום לוועדה'!U286</f>
        <v>150000</v>
      </c>
      <c r="J286" s="319">
        <f>'סיכום לוועדה'!T286</f>
        <v>8248.807947937401</v>
      </c>
      <c r="K286" s="320">
        <f t="shared" si="59"/>
        <v>0</v>
      </c>
      <c r="L286" s="319">
        <f t="shared" si="60"/>
        <v>8248.807947937401</v>
      </c>
      <c r="M286" s="331">
        <f>'תחום תמיכה ב'!AF286</f>
        <v>4.5326769966752445E-5</v>
      </c>
      <c r="N286" s="319">
        <f t="shared" si="57"/>
        <v>9020.9273512397358</v>
      </c>
      <c r="O286" s="321">
        <f t="shared" si="61"/>
        <v>0</v>
      </c>
      <c r="P286" s="322">
        <f t="shared" si="62"/>
        <v>9020.9273512397358</v>
      </c>
      <c r="Q286" s="322">
        <f t="shared" si="63"/>
        <v>9025.0348177113683</v>
      </c>
      <c r="R286" s="321">
        <f t="shared" si="64"/>
        <v>0</v>
      </c>
      <c r="S286" s="322">
        <f t="shared" si="65"/>
        <v>9025.0348177113683</v>
      </c>
      <c r="T286" s="322">
        <f t="shared" si="66"/>
        <v>9025.0348177113501</v>
      </c>
      <c r="U286" s="321">
        <f t="shared" si="67"/>
        <v>0</v>
      </c>
      <c r="V286" s="322">
        <f t="shared" si="68"/>
        <v>9025.0348177113501</v>
      </c>
      <c r="W286" s="322">
        <f t="shared" si="69"/>
        <v>9025.0348177113538</v>
      </c>
      <c r="X286" s="321">
        <f t="shared" si="70"/>
        <v>0</v>
      </c>
      <c r="Y286" s="322">
        <f t="shared" si="71"/>
        <v>9025.0348177113538</v>
      </c>
      <c r="Z286" s="322">
        <f t="shared" si="72"/>
        <v>9025.0348177113519</v>
      </c>
      <c r="AA286" s="323">
        <f t="shared" si="73"/>
        <v>9025.0348177113519</v>
      </c>
      <c r="AB286" s="323"/>
      <c r="AC286" s="323"/>
      <c r="AD286" s="323"/>
      <c r="AE286" s="323"/>
      <c r="AF286" s="324">
        <f t="shared" si="74"/>
        <v>5.1684421093442391E-5</v>
      </c>
      <c r="AG286" s="312"/>
      <c r="AH286" s="312"/>
      <c r="AI286" s="325">
        <f t="shared" si="75"/>
        <v>1</v>
      </c>
      <c r="AJ286" s="312"/>
      <c r="AK286" s="312"/>
      <c r="AL286" s="312"/>
      <c r="AM286" s="312"/>
      <c r="AN286" s="312"/>
      <c r="AO286" s="312"/>
      <c r="AP286" s="312"/>
      <c r="AQ286" s="312"/>
      <c r="AR286" s="312"/>
      <c r="AS286" s="312"/>
      <c r="AT286" s="312"/>
      <c r="AU286" s="312"/>
      <c r="AV286" s="312"/>
      <c r="AW286" s="312"/>
      <c r="AX286" s="312"/>
      <c r="AY286" s="312"/>
      <c r="AZ286" s="312"/>
      <c r="BA286" s="312"/>
      <c r="BB286" s="312"/>
      <c r="BC286" s="312"/>
      <c r="BD286" s="312"/>
      <c r="BE286" s="312"/>
      <c r="BF286" s="312"/>
      <c r="BG286" s="312"/>
      <c r="BH286" s="312"/>
      <c r="BI286" s="312"/>
      <c r="BJ286" s="312"/>
      <c r="BK286" s="312"/>
      <c r="BL286" s="312"/>
      <c r="BM286" s="312"/>
      <c r="BN286" s="312"/>
      <c r="BO286" s="312"/>
      <c r="BP286" s="312"/>
      <c r="BQ286" s="312"/>
      <c r="BR286" s="312"/>
      <c r="BS286" s="312"/>
      <c r="BT286" s="312"/>
      <c r="BU286" s="312"/>
      <c r="BV286" s="312"/>
      <c r="BW286" s="312"/>
      <c r="BX286" s="312"/>
      <c r="BY286" s="312"/>
      <c r="BZ286" s="312"/>
      <c r="CA286" s="312"/>
      <c r="CB286" s="312"/>
      <c r="CC286" s="312"/>
      <c r="CD286" s="312"/>
      <c r="CE286" s="312"/>
      <c r="CF286" s="312"/>
      <c r="CG286" s="312"/>
      <c r="CH286" s="312"/>
      <c r="CI286" s="312"/>
      <c r="CJ286" s="312"/>
      <c r="CK286" s="312"/>
      <c r="CL286" s="312"/>
      <c r="CM286" s="312"/>
      <c r="CN286" s="312"/>
      <c r="CO286" s="312"/>
      <c r="CP286" s="312"/>
      <c r="CQ286" s="312"/>
      <c r="CR286" s="312"/>
      <c r="CS286" s="312"/>
      <c r="CT286" s="312"/>
      <c r="CU286" s="312"/>
      <c r="CV286" s="312"/>
      <c r="CW286" s="312"/>
      <c r="CX286" s="312"/>
      <c r="CY286" s="312"/>
      <c r="CZ286" s="312"/>
      <c r="DA286" s="312"/>
      <c r="DB286" s="312"/>
      <c r="DC286" s="312"/>
      <c r="DD286" s="312"/>
      <c r="DE286" s="312"/>
      <c r="DF286" s="312"/>
      <c r="DG286" s="312"/>
      <c r="DH286" s="312"/>
      <c r="DI286" s="312"/>
      <c r="DJ286" s="312"/>
      <c r="DK286" s="312"/>
      <c r="DL286" s="312"/>
      <c r="DM286" s="312"/>
      <c r="DN286" s="312"/>
      <c r="DO286" s="312"/>
      <c r="DP286" s="312"/>
      <c r="DQ286" s="312"/>
      <c r="DR286" s="312"/>
      <c r="DS286" s="312"/>
      <c r="DT286" s="312"/>
      <c r="DU286" s="312"/>
      <c r="DV286" s="312"/>
      <c r="DW286" s="312"/>
      <c r="DX286" s="312"/>
      <c r="DY286" s="312"/>
      <c r="DZ286" s="312"/>
      <c r="EA286" s="312"/>
      <c r="EB286" s="312"/>
      <c r="EC286" s="312"/>
      <c r="ED286" s="312"/>
      <c r="EE286" s="312"/>
      <c r="EF286" s="312"/>
      <c r="EG286" s="312"/>
      <c r="EH286" s="312"/>
      <c r="EI286" s="312"/>
      <c r="EJ286" s="312"/>
      <c r="EK286" s="312"/>
      <c r="EL286" s="312"/>
      <c r="EM286" s="312"/>
      <c r="EN286" s="312"/>
      <c r="EO286" s="312"/>
      <c r="EP286" s="312"/>
      <c r="EQ286" s="312"/>
      <c r="ER286" s="312"/>
      <c r="ES286" s="312"/>
      <c r="ET286" s="312"/>
      <c r="EU286" s="312"/>
      <c r="EV286" s="312"/>
      <c r="EW286" s="312"/>
      <c r="EX286" s="312"/>
      <c r="EY286" s="312"/>
      <c r="EZ286" s="312"/>
      <c r="FA286" s="312"/>
      <c r="FB286" s="312"/>
      <c r="FC286" s="312"/>
      <c r="FD286" s="312"/>
      <c r="FE286" s="312"/>
      <c r="FF286" s="312"/>
      <c r="FG286" s="312"/>
      <c r="FH286" s="312"/>
      <c r="FI286" s="312"/>
      <c r="FJ286" s="312"/>
      <c r="FK286" s="312"/>
      <c r="FL286" s="312"/>
      <c r="FM286" s="312"/>
      <c r="FN286" s="312"/>
      <c r="FO286" s="312"/>
      <c r="FP286" s="312"/>
      <c r="FQ286" s="312"/>
      <c r="FR286" s="312"/>
      <c r="FS286" s="312"/>
      <c r="FT286" s="312"/>
      <c r="FU286" s="312"/>
      <c r="FV286" s="312"/>
      <c r="FW286" s="312"/>
      <c r="FX286" s="312"/>
      <c r="FY286" s="312"/>
      <c r="FZ286" s="312"/>
      <c r="GA286" s="312"/>
      <c r="GB286" s="312"/>
      <c r="GC286" s="312"/>
      <c r="GD286" s="312"/>
      <c r="GE286" s="312"/>
      <c r="GF286" s="312"/>
      <c r="GG286" s="312"/>
      <c r="GH286" s="312"/>
      <c r="GI286" s="312"/>
      <c r="GJ286" s="312"/>
      <c r="GK286" s="312"/>
      <c r="GL286" s="312"/>
      <c r="GM286" s="312"/>
      <c r="GN286" s="312"/>
      <c r="GO286" s="312"/>
      <c r="GP286" s="312"/>
      <c r="GQ286" s="312"/>
      <c r="GR286" s="312"/>
      <c r="GS286" s="312"/>
      <c r="GT286" s="312"/>
      <c r="GU286" s="312"/>
      <c r="GV286" s="312"/>
      <c r="GW286" s="312"/>
      <c r="GX286" s="312"/>
      <c r="GY286" s="312"/>
    </row>
    <row r="287" spans="2:207" ht="15.75" x14ac:dyDescent="0.25">
      <c r="B287" s="316">
        <f t="shared" si="58"/>
        <v>257</v>
      </c>
      <c r="C287" s="330">
        <f>'סיכום לוועדה'!B287</f>
        <v>1001348129</v>
      </c>
      <c r="D287" s="330">
        <f>'סיכום לוועדה'!C287</f>
        <v>1001276685</v>
      </c>
      <c r="E287" s="330">
        <f>'סיכום לוועדה'!D287</f>
        <v>40000564</v>
      </c>
      <c r="F287" s="330">
        <f>'סיכום לוועדה'!E287</f>
        <v>20000201</v>
      </c>
      <c r="G287" s="330" t="str">
        <f>'סיכום לוועדה'!F287</f>
        <v>תל אביב -יפו</v>
      </c>
      <c r="H287" s="317" t="str">
        <f>'סיכום לוועדה'!G287</f>
        <v>עמותת הכוריאוגרפים (ע"ר)</v>
      </c>
      <c r="I287" s="318">
        <f>'סיכום לוועדה'!U287</f>
        <v>150000</v>
      </c>
      <c r="J287" s="319">
        <f>'סיכום לוועדה'!T287</f>
        <v>17781.398955483397</v>
      </c>
      <c r="K287" s="320">
        <f t="shared" si="59"/>
        <v>0</v>
      </c>
      <c r="L287" s="319">
        <f t="shared" si="60"/>
        <v>17781.398955483397</v>
      </c>
      <c r="M287" s="331">
        <f>'תחום תמיכה ב'!AF287</f>
        <v>1.190648545601215E-4</v>
      </c>
      <c r="N287" s="319">
        <f t="shared" ref="N287:N350" si="76">IF($H287="","",IF(K287=1,L287,M287/SUMIF(K$31:K$500,0,M$31:M$500)*$I$2+J287))</f>
        <v>19809.610639763421</v>
      </c>
      <c r="O287" s="321">
        <f t="shared" si="61"/>
        <v>0</v>
      </c>
      <c r="P287" s="322">
        <f t="shared" si="62"/>
        <v>19809.610639763421</v>
      </c>
      <c r="Q287" s="322">
        <f t="shared" si="63"/>
        <v>19818.630478672527</v>
      </c>
      <c r="R287" s="321">
        <f t="shared" si="64"/>
        <v>0</v>
      </c>
      <c r="S287" s="322">
        <f t="shared" si="65"/>
        <v>19818.630478672527</v>
      </c>
      <c r="T287" s="322">
        <f t="shared" si="66"/>
        <v>19818.630478672487</v>
      </c>
      <c r="U287" s="321">
        <f t="shared" si="67"/>
        <v>0</v>
      </c>
      <c r="V287" s="322">
        <f t="shared" si="68"/>
        <v>19818.630478672487</v>
      </c>
      <c r="W287" s="322">
        <f t="shared" si="69"/>
        <v>19818.630478672494</v>
      </c>
      <c r="X287" s="321">
        <f t="shared" si="70"/>
        <v>0</v>
      </c>
      <c r="Y287" s="322">
        <f t="shared" si="71"/>
        <v>19818.630478672494</v>
      </c>
      <c r="Z287" s="322">
        <f t="shared" si="72"/>
        <v>19818.63047867249</v>
      </c>
      <c r="AA287" s="323">
        <f t="shared" si="73"/>
        <v>19818.63047867249</v>
      </c>
      <c r="AB287" s="323"/>
      <c r="AC287" s="323"/>
      <c r="AD287" s="323"/>
      <c r="AE287" s="323"/>
      <c r="AF287" s="324">
        <f t="shared" si="74"/>
        <v>1.1349700736276998E-4</v>
      </c>
      <c r="AG287" s="312"/>
      <c r="AH287" s="312"/>
      <c r="AI287" s="325">
        <f t="shared" si="75"/>
        <v>1</v>
      </c>
      <c r="AJ287" s="312"/>
      <c r="AK287" s="312"/>
      <c r="AL287" s="312"/>
      <c r="AM287" s="312"/>
      <c r="AN287" s="312"/>
      <c r="AO287" s="312"/>
      <c r="AP287" s="312"/>
      <c r="AQ287" s="312"/>
      <c r="AR287" s="312"/>
      <c r="AS287" s="312"/>
      <c r="AT287" s="312"/>
      <c r="AU287" s="312"/>
      <c r="AV287" s="312"/>
      <c r="AW287" s="312"/>
      <c r="AX287" s="312"/>
      <c r="AY287" s="312"/>
      <c r="AZ287" s="312"/>
      <c r="BA287" s="312"/>
      <c r="BB287" s="312"/>
      <c r="BC287" s="312"/>
      <c r="BD287" s="312"/>
      <c r="BE287" s="312"/>
      <c r="BF287" s="312"/>
      <c r="BG287" s="312"/>
      <c r="BH287" s="312"/>
      <c r="BI287" s="312"/>
      <c r="BJ287" s="312"/>
      <c r="BK287" s="312"/>
      <c r="BL287" s="312"/>
      <c r="BM287" s="312"/>
      <c r="BN287" s="312"/>
      <c r="BO287" s="312"/>
      <c r="BP287" s="312"/>
      <c r="BQ287" s="312"/>
      <c r="BR287" s="312"/>
      <c r="BS287" s="312"/>
      <c r="BT287" s="312"/>
      <c r="BU287" s="312"/>
      <c r="BV287" s="312"/>
      <c r="BW287" s="312"/>
      <c r="BX287" s="312"/>
      <c r="BY287" s="312"/>
      <c r="BZ287" s="312"/>
      <c r="CA287" s="312"/>
      <c r="CB287" s="312"/>
      <c r="CC287" s="312"/>
      <c r="CD287" s="312"/>
      <c r="CE287" s="312"/>
      <c r="CF287" s="312"/>
      <c r="CG287" s="312"/>
      <c r="CH287" s="312"/>
      <c r="CI287" s="312"/>
      <c r="CJ287" s="312"/>
      <c r="CK287" s="312"/>
      <c r="CL287" s="312"/>
      <c r="CM287" s="312"/>
      <c r="CN287" s="312"/>
      <c r="CO287" s="312"/>
      <c r="CP287" s="312"/>
      <c r="CQ287" s="312"/>
      <c r="CR287" s="312"/>
      <c r="CS287" s="312"/>
      <c r="CT287" s="312"/>
      <c r="CU287" s="312"/>
      <c r="CV287" s="312"/>
      <c r="CW287" s="312"/>
      <c r="CX287" s="312"/>
      <c r="CY287" s="312"/>
      <c r="CZ287" s="312"/>
      <c r="DA287" s="312"/>
      <c r="DB287" s="312"/>
      <c r="DC287" s="312"/>
      <c r="DD287" s="312"/>
      <c r="DE287" s="312"/>
      <c r="DF287" s="312"/>
      <c r="DG287" s="312"/>
      <c r="DH287" s="312"/>
      <c r="DI287" s="312"/>
      <c r="DJ287" s="312"/>
      <c r="DK287" s="312"/>
      <c r="DL287" s="312"/>
      <c r="DM287" s="312"/>
      <c r="DN287" s="312"/>
      <c r="DO287" s="312"/>
      <c r="DP287" s="312"/>
      <c r="DQ287" s="312"/>
      <c r="DR287" s="312"/>
      <c r="DS287" s="312"/>
      <c r="DT287" s="312"/>
      <c r="DU287" s="312"/>
      <c r="DV287" s="312"/>
      <c r="DW287" s="312"/>
      <c r="DX287" s="312"/>
      <c r="DY287" s="312"/>
      <c r="DZ287" s="312"/>
      <c r="EA287" s="312"/>
      <c r="EB287" s="312"/>
      <c r="EC287" s="312"/>
      <c r="ED287" s="312"/>
      <c r="EE287" s="312"/>
      <c r="EF287" s="312"/>
      <c r="EG287" s="312"/>
      <c r="EH287" s="312"/>
      <c r="EI287" s="312"/>
      <c r="EJ287" s="312"/>
      <c r="EK287" s="312"/>
      <c r="EL287" s="312"/>
      <c r="EM287" s="312"/>
      <c r="EN287" s="312"/>
      <c r="EO287" s="312"/>
      <c r="EP287" s="312"/>
      <c r="EQ287" s="312"/>
      <c r="ER287" s="312"/>
      <c r="ES287" s="312"/>
      <c r="ET287" s="312"/>
      <c r="EU287" s="312"/>
      <c r="EV287" s="312"/>
      <c r="EW287" s="312"/>
      <c r="EX287" s="312"/>
      <c r="EY287" s="312"/>
      <c r="EZ287" s="312"/>
      <c r="FA287" s="312"/>
      <c r="FB287" s="312"/>
      <c r="FC287" s="312"/>
      <c r="FD287" s="312"/>
      <c r="FE287" s="312"/>
      <c r="FF287" s="312"/>
      <c r="FG287" s="312"/>
      <c r="FH287" s="312"/>
      <c r="FI287" s="312"/>
      <c r="FJ287" s="312"/>
      <c r="FK287" s="312"/>
      <c r="FL287" s="312"/>
      <c r="FM287" s="312"/>
      <c r="FN287" s="312"/>
      <c r="FO287" s="312"/>
      <c r="FP287" s="312"/>
      <c r="FQ287" s="312"/>
      <c r="FR287" s="312"/>
      <c r="FS287" s="312"/>
      <c r="FT287" s="312"/>
      <c r="FU287" s="312"/>
      <c r="FV287" s="312"/>
      <c r="FW287" s="312"/>
      <c r="FX287" s="312"/>
      <c r="FY287" s="312"/>
      <c r="FZ287" s="312"/>
      <c r="GA287" s="312"/>
      <c r="GB287" s="312"/>
      <c r="GC287" s="312"/>
      <c r="GD287" s="312"/>
      <c r="GE287" s="312"/>
      <c r="GF287" s="312"/>
      <c r="GG287" s="312"/>
      <c r="GH287" s="312"/>
      <c r="GI287" s="312"/>
      <c r="GJ287" s="312"/>
      <c r="GK287" s="312"/>
      <c r="GL287" s="312"/>
      <c r="GM287" s="312"/>
      <c r="GN287" s="312"/>
      <c r="GO287" s="312"/>
      <c r="GP287" s="312"/>
      <c r="GQ287" s="312"/>
      <c r="GR287" s="312"/>
      <c r="GS287" s="312"/>
      <c r="GT287" s="312"/>
      <c r="GU287" s="312"/>
      <c r="GV287" s="312"/>
      <c r="GW287" s="312"/>
      <c r="GX287" s="312"/>
      <c r="GY287" s="312"/>
    </row>
    <row r="288" spans="2:207" ht="15.75" x14ac:dyDescent="0.25">
      <c r="B288" s="316">
        <f t="shared" ref="B288:B351" si="77">IF(H288="","",ROW()-30)</f>
        <v>258</v>
      </c>
      <c r="C288" s="330">
        <f>'סיכום לוועדה'!B288</f>
        <v>1001348132</v>
      </c>
      <c r="D288" s="330">
        <f>'סיכום לוועדה'!C288</f>
        <v>1001276680</v>
      </c>
      <c r="E288" s="330">
        <f>'סיכום לוועדה'!D288</f>
        <v>40000564</v>
      </c>
      <c r="F288" s="330">
        <f>'סיכום לוועדה'!E288</f>
        <v>20000201</v>
      </c>
      <c r="G288" s="330" t="str">
        <f>'סיכום לוועדה'!F288</f>
        <v>תל אביב -יפו</v>
      </c>
      <c r="H288" s="317" t="str">
        <f>'סיכום לוועדה'!G288</f>
        <v>עמותת הכוריאוגרפים (ע"ר)</v>
      </c>
      <c r="I288" s="318">
        <f>'סיכום לוועדה'!U288</f>
        <v>150000</v>
      </c>
      <c r="J288" s="319">
        <f>'סיכום לוועדה'!T288</f>
        <v>20552.261272084244</v>
      </c>
      <c r="K288" s="320">
        <f t="shared" ref="K288:K351" si="78">IF(H288="","",IF(J288&gt;$I288,1,0))</f>
        <v>0</v>
      </c>
      <c r="L288" s="319">
        <f t="shared" ref="L288:L351" si="79">IF($H288="","",MIN(I288:J288))</f>
        <v>20552.261272084244</v>
      </c>
      <c r="M288" s="331">
        <f>'תחום תמיכה ב'!AF288</f>
        <v>1.4255594243729744E-4</v>
      </c>
      <c r="N288" s="319">
        <f t="shared" si="76"/>
        <v>22980.632172826241</v>
      </c>
      <c r="O288" s="321">
        <f t="shared" ref="O288:O351" si="80">IF(OR(N288&gt;$I288,$K288=1),1,0)</f>
        <v>0</v>
      </c>
      <c r="P288" s="322">
        <f t="shared" ref="P288:P351" si="81">IF($H288="","",MIN(N288,$I288))</f>
        <v>22980.632172826241</v>
      </c>
      <c r="Q288" s="322">
        <f t="shared" ref="Q288:Q351" si="82">IFERROR(IF($H288="","",IF(O288=1,P288,P288/SUMIF(O$31:O$500,0,P$31:P$500)*($J$501-SUMIF(O$31:O$500,1,P$31:P$500)))),0)</f>
        <v>22991.09586158811</v>
      </c>
      <c r="R288" s="321">
        <f t="shared" ref="R288:R351" si="83">IF(OR(Q288&gt;$I288,$K288=1,$O288=1),1,0)</f>
        <v>0</v>
      </c>
      <c r="S288" s="322">
        <f t="shared" ref="S288:S351" si="84">IF($H288="","",MIN(Q288,$I288))</f>
        <v>22991.09586158811</v>
      </c>
      <c r="T288" s="322">
        <f t="shared" ref="T288:T351" si="85">IFERROR(IF($H288="","",IF(R288=1,S288,S288/SUMIF(R$31:R$500,0,S$31:S$500)*($J$501-SUMIF(R$31:R$500,1,S$31:S$500)))),0)</f>
        <v>22991.095861588066</v>
      </c>
      <c r="U288" s="321">
        <f t="shared" ref="U288:U351" si="86">IF(OR(T288&gt;$I288,$K288=1,$O288=1,$R288=1),1,0)</f>
        <v>0</v>
      </c>
      <c r="V288" s="322">
        <f t="shared" ref="V288:V351" si="87">IF($H288="","",MIN(T288,$I288))</f>
        <v>22991.095861588066</v>
      </c>
      <c r="W288" s="322">
        <f t="shared" ref="W288:W351" si="88">IFERROR(IF($H288="","",IF(U288=2,V288,IF(U288=1,V288,V288/SUMIF(U$31:U$500,0,V$31:V$500)*($J$501-SUMIF(U$31:U$500,1,V$31:V$500)-SUMIF(U$31:U$500,2,V$31:V$500))))),0)</f>
        <v>22991.095861588074</v>
      </c>
      <c r="X288" s="321">
        <f t="shared" ref="X288:X351" si="89">IF(OR(W288&gt;$I288,$K288=1,$O288=1,$R288=1,$U288=1),1,0)</f>
        <v>0</v>
      </c>
      <c r="Y288" s="322">
        <f t="shared" ref="Y288:Y351" si="90">IF($H288="","",MIN(W288,$I288))</f>
        <v>22991.095861588074</v>
      </c>
      <c r="Z288" s="322">
        <f t="shared" ref="Z288:Z351" si="91">IFERROR(IF($H288="","",IF(X288=2,Y288,IF(X288=1,Y288,Y288/SUMIF(X$31:X$500,0,Y$31:Y$500)*($J$501-SUMIF(X$31:X$500,1,Y$31:Y$500)-SUMIF(X$31:X$500,2,Y$31:Y$500))))),0)</f>
        <v>22991.09586158807</v>
      </c>
      <c r="AA288" s="323">
        <f t="shared" ref="AA288:AA351" si="92">IF($H288="","",IF(AI288=0,$AN$1,IFERROR(Z288,$AN$1)))</f>
        <v>22991.09586158807</v>
      </c>
      <c r="AB288" s="323"/>
      <c r="AC288" s="323"/>
      <c r="AD288" s="323"/>
      <c r="AE288" s="323"/>
      <c r="AF288" s="324">
        <f t="shared" ref="AF288:AF351" si="93">IF(H288="","",IFERROR(AA288/SUMIF($AA$31:$AA$500,"&lt;&gt;#DIV/0!"),$AN$1))</f>
        <v>1.3166502998725866E-4</v>
      </c>
      <c r="AG288" s="312"/>
      <c r="AH288" s="312"/>
      <c r="AI288" s="325">
        <f t="shared" ref="AI288:AI351" si="94">IF(H288="",0,IFERROR(IF(I288*1&gt;=0,1,0),0))</f>
        <v>1</v>
      </c>
      <c r="AJ288" s="312"/>
      <c r="AK288" s="312"/>
      <c r="AL288" s="312"/>
      <c r="AM288" s="312"/>
      <c r="AN288" s="312"/>
      <c r="AO288" s="312"/>
      <c r="AP288" s="312"/>
      <c r="AQ288" s="312"/>
      <c r="AR288" s="312"/>
      <c r="AS288" s="312"/>
      <c r="AT288" s="312"/>
      <c r="AU288" s="312"/>
      <c r="AV288" s="312"/>
      <c r="AW288" s="312"/>
      <c r="AX288" s="312"/>
      <c r="AY288" s="312"/>
      <c r="AZ288" s="312"/>
      <c r="BA288" s="312"/>
      <c r="BB288" s="312"/>
      <c r="BC288" s="312"/>
      <c r="BD288" s="312"/>
      <c r="BE288" s="312"/>
      <c r="BF288" s="312"/>
      <c r="BG288" s="312"/>
      <c r="BH288" s="312"/>
      <c r="BI288" s="312"/>
      <c r="BJ288" s="312"/>
      <c r="BK288" s="312"/>
      <c r="BL288" s="312"/>
      <c r="BM288" s="312"/>
      <c r="BN288" s="312"/>
      <c r="BO288" s="312"/>
      <c r="BP288" s="312"/>
      <c r="BQ288" s="312"/>
      <c r="BR288" s="312"/>
      <c r="BS288" s="312"/>
      <c r="BT288" s="312"/>
      <c r="BU288" s="312"/>
      <c r="BV288" s="312"/>
      <c r="BW288" s="312"/>
      <c r="BX288" s="312"/>
      <c r="BY288" s="312"/>
      <c r="BZ288" s="312"/>
      <c r="CA288" s="312"/>
      <c r="CB288" s="312"/>
      <c r="CC288" s="312"/>
      <c r="CD288" s="312"/>
      <c r="CE288" s="312"/>
      <c r="CF288" s="312"/>
      <c r="CG288" s="312"/>
      <c r="CH288" s="312"/>
      <c r="CI288" s="312"/>
      <c r="CJ288" s="312"/>
      <c r="CK288" s="312"/>
      <c r="CL288" s="312"/>
      <c r="CM288" s="312"/>
      <c r="CN288" s="312"/>
      <c r="CO288" s="312"/>
      <c r="CP288" s="312"/>
      <c r="CQ288" s="312"/>
      <c r="CR288" s="312"/>
      <c r="CS288" s="312"/>
      <c r="CT288" s="312"/>
      <c r="CU288" s="312"/>
      <c r="CV288" s="312"/>
      <c r="CW288" s="312"/>
      <c r="CX288" s="312"/>
      <c r="CY288" s="312"/>
      <c r="CZ288" s="312"/>
      <c r="DA288" s="312"/>
      <c r="DB288" s="312"/>
      <c r="DC288" s="312"/>
      <c r="DD288" s="312"/>
      <c r="DE288" s="312"/>
      <c r="DF288" s="312"/>
      <c r="DG288" s="312"/>
      <c r="DH288" s="312"/>
      <c r="DI288" s="312"/>
      <c r="DJ288" s="312"/>
      <c r="DK288" s="312"/>
      <c r="DL288" s="312"/>
      <c r="DM288" s="312"/>
      <c r="DN288" s="312"/>
      <c r="DO288" s="312"/>
      <c r="DP288" s="312"/>
      <c r="DQ288" s="312"/>
      <c r="DR288" s="312"/>
      <c r="DS288" s="312"/>
      <c r="DT288" s="312"/>
      <c r="DU288" s="312"/>
      <c r="DV288" s="312"/>
      <c r="DW288" s="312"/>
      <c r="DX288" s="312"/>
      <c r="DY288" s="312"/>
      <c r="DZ288" s="312"/>
      <c r="EA288" s="312"/>
      <c r="EB288" s="312"/>
      <c r="EC288" s="312"/>
      <c r="ED288" s="312"/>
      <c r="EE288" s="312"/>
      <c r="EF288" s="312"/>
      <c r="EG288" s="312"/>
      <c r="EH288" s="312"/>
      <c r="EI288" s="312"/>
      <c r="EJ288" s="312"/>
      <c r="EK288" s="312"/>
      <c r="EL288" s="312"/>
      <c r="EM288" s="312"/>
      <c r="EN288" s="312"/>
      <c r="EO288" s="312"/>
      <c r="EP288" s="312"/>
      <c r="EQ288" s="312"/>
      <c r="ER288" s="312"/>
      <c r="ES288" s="312"/>
      <c r="ET288" s="312"/>
      <c r="EU288" s="312"/>
      <c r="EV288" s="312"/>
      <c r="EW288" s="312"/>
      <c r="EX288" s="312"/>
      <c r="EY288" s="312"/>
      <c r="EZ288" s="312"/>
      <c r="FA288" s="312"/>
      <c r="FB288" s="312"/>
      <c r="FC288" s="312"/>
      <c r="FD288" s="312"/>
      <c r="FE288" s="312"/>
      <c r="FF288" s="312"/>
      <c r="FG288" s="312"/>
      <c r="FH288" s="312"/>
      <c r="FI288" s="312"/>
      <c r="FJ288" s="312"/>
      <c r="FK288" s="312"/>
      <c r="FL288" s="312"/>
      <c r="FM288" s="312"/>
      <c r="FN288" s="312"/>
      <c r="FO288" s="312"/>
      <c r="FP288" s="312"/>
      <c r="FQ288" s="312"/>
      <c r="FR288" s="312"/>
      <c r="FS288" s="312"/>
      <c r="FT288" s="312"/>
      <c r="FU288" s="312"/>
      <c r="FV288" s="312"/>
      <c r="FW288" s="312"/>
      <c r="FX288" s="312"/>
      <c r="FY288" s="312"/>
      <c r="FZ288" s="312"/>
      <c r="GA288" s="312"/>
      <c r="GB288" s="312"/>
      <c r="GC288" s="312"/>
      <c r="GD288" s="312"/>
      <c r="GE288" s="312"/>
      <c r="GF288" s="312"/>
      <c r="GG288" s="312"/>
      <c r="GH288" s="312"/>
      <c r="GI288" s="312"/>
      <c r="GJ288" s="312"/>
      <c r="GK288" s="312"/>
      <c r="GL288" s="312"/>
      <c r="GM288" s="312"/>
      <c r="GN288" s="312"/>
      <c r="GO288" s="312"/>
      <c r="GP288" s="312"/>
      <c r="GQ288" s="312"/>
      <c r="GR288" s="312"/>
      <c r="GS288" s="312"/>
      <c r="GT288" s="312"/>
      <c r="GU288" s="312"/>
      <c r="GV288" s="312"/>
      <c r="GW288" s="312"/>
      <c r="GX288" s="312"/>
      <c r="GY288" s="312"/>
    </row>
    <row r="289" spans="2:207" ht="15.75" x14ac:dyDescent="0.25">
      <c r="B289" s="316">
        <f t="shared" si="77"/>
        <v>259</v>
      </c>
      <c r="C289" s="330">
        <f>'סיכום לוועדה'!B289</f>
        <v>1001348134</v>
      </c>
      <c r="D289" s="330">
        <f>'סיכום לוועדה'!C289</f>
        <v>1001276630</v>
      </c>
      <c r="E289" s="330">
        <f>'סיכום לוועדה'!D289</f>
        <v>40000564</v>
      </c>
      <c r="F289" s="330">
        <f>'סיכום לוועדה'!E289</f>
        <v>20000201</v>
      </c>
      <c r="G289" s="330" t="str">
        <f>'סיכום לוועדה'!F289</f>
        <v>תל אביב -יפו</v>
      </c>
      <c r="H289" s="317" t="str">
        <f>'סיכום לוועדה'!G289</f>
        <v>עמותת הכוריאוגרפים (ע"ר)</v>
      </c>
      <c r="I289" s="318">
        <f>'סיכום לוועדה'!U289</f>
        <v>150000</v>
      </c>
      <c r="J289" s="319">
        <f>'סיכום לוועדה'!T289</f>
        <v>36656.545726930715</v>
      </c>
      <c r="K289" s="320">
        <f t="shared" si="78"/>
        <v>0</v>
      </c>
      <c r="L289" s="319">
        <f t="shared" si="79"/>
        <v>36656.545726930715</v>
      </c>
      <c r="M289" s="331">
        <f>'תחום תמיכה ב'!AF289</f>
        <v>2.8590468695331765E-4</v>
      </c>
      <c r="N289" s="319">
        <f t="shared" si="76"/>
        <v>41526.792524875069</v>
      </c>
      <c r="O289" s="321">
        <f t="shared" si="80"/>
        <v>0</v>
      </c>
      <c r="P289" s="322">
        <f t="shared" si="81"/>
        <v>41526.792524875069</v>
      </c>
      <c r="Q289" s="322">
        <f t="shared" si="82"/>
        <v>41545.700770261486</v>
      </c>
      <c r="R289" s="321">
        <f t="shared" si="83"/>
        <v>0</v>
      </c>
      <c r="S289" s="322">
        <f t="shared" si="84"/>
        <v>41545.700770261486</v>
      </c>
      <c r="T289" s="322">
        <f t="shared" si="85"/>
        <v>41545.700770261399</v>
      </c>
      <c r="U289" s="321">
        <f t="shared" si="86"/>
        <v>0</v>
      </c>
      <c r="V289" s="322">
        <f t="shared" si="87"/>
        <v>41545.700770261399</v>
      </c>
      <c r="W289" s="322">
        <f t="shared" si="88"/>
        <v>41545.700770261414</v>
      </c>
      <c r="X289" s="321">
        <f t="shared" si="89"/>
        <v>0</v>
      </c>
      <c r="Y289" s="322">
        <f t="shared" si="90"/>
        <v>41545.700770261414</v>
      </c>
      <c r="Z289" s="322">
        <f t="shared" si="91"/>
        <v>41545.700770261414</v>
      </c>
      <c r="AA289" s="323">
        <f t="shared" si="92"/>
        <v>41545.700770261414</v>
      </c>
      <c r="AB289" s="323"/>
      <c r="AC289" s="323"/>
      <c r="AD289" s="323"/>
      <c r="AE289" s="323"/>
      <c r="AF289" s="324">
        <f t="shared" si="93"/>
        <v>2.3792323648640142E-4</v>
      </c>
      <c r="AG289" s="312"/>
      <c r="AH289" s="312"/>
      <c r="AI289" s="325">
        <f t="shared" si="94"/>
        <v>1</v>
      </c>
      <c r="AJ289" s="312"/>
      <c r="AK289" s="312"/>
      <c r="AL289" s="312"/>
      <c r="AM289" s="312"/>
      <c r="AN289" s="312"/>
      <c r="AO289" s="312"/>
      <c r="AP289" s="312"/>
      <c r="AQ289" s="312"/>
      <c r="AR289" s="312"/>
      <c r="AS289" s="312"/>
      <c r="AT289" s="312"/>
      <c r="AU289" s="312"/>
      <c r="AV289" s="312"/>
      <c r="AW289" s="312"/>
      <c r="AX289" s="312"/>
      <c r="AY289" s="312"/>
      <c r="AZ289" s="312"/>
      <c r="BA289" s="312"/>
      <c r="BB289" s="312"/>
      <c r="BC289" s="312"/>
      <c r="BD289" s="312"/>
      <c r="BE289" s="312"/>
      <c r="BF289" s="312"/>
      <c r="BG289" s="312"/>
      <c r="BH289" s="312"/>
      <c r="BI289" s="312"/>
      <c r="BJ289" s="312"/>
      <c r="BK289" s="312"/>
      <c r="BL289" s="312"/>
      <c r="BM289" s="312"/>
      <c r="BN289" s="312"/>
      <c r="BO289" s="312"/>
      <c r="BP289" s="312"/>
      <c r="BQ289" s="312"/>
      <c r="BR289" s="312"/>
      <c r="BS289" s="312"/>
      <c r="BT289" s="312"/>
      <c r="BU289" s="312"/>
      <c r="BV289" s="312"/>
      <c r="BW289" s="312"/>
      <c r="BX289" s="312"/>
      <c r="BY289" s="312"/>
      <c r="BZ289" s="312"/>
      <c r="CA289" s="312"/>
      <c r="CB289" s="312"/>
      <c r="CC289" s="312"/>
      <c r="CD289" s="312"/>
      <c r="CE289" s="312"/>
      <c r="CF289" s="312"/>
      <c r="CG289" s="312"/>
      <c r="CH289" s="312"/>
      <c r="CI289" s="312"/>
      <c r="CJ289" s="312"/>
      <c r="CK289" s="312"/>
      <c r="CL289" s="312"/>
      <c r="CM289" s="312"/>
      <c r="CN289" s="312"/>
      <c r="CO289" s="312"/>
      <c r="CP289" s="312"/>
      <c r="CQ289" s="312"/>
      <c r="CR289" s="312"/>
      <c r="CS289" s="312"/>
      <c r="CT289" s="312"/>
      <c r="CU289" s="312"/>
      <c r="CV289" s="312"/>
      <c r="CW289" s="312"/>
      <c r="CX289" s="312"/>
      <c r="CY289" s="312"/>
      <c r="CZ289" s="312"/>
      <c r="DA289" s="312"/>
      <c r="DB289" s="312"/>
      <c r="DC289" s="312"/>
      <c r="DD289" s="312"/>
      <c r="DE289" s="312"/>
      <c r="DF289" s="312"/>
      <c r="DG289" s="312"/>
      <c r="DH289" s="312"/>
      <c r="DI289" s="312"/>
      <c r="DJ289" s="312"/>
      <c r="DK289" s="312"/>
      <c r="DL289" s="312"/>
      <c r="DM289" s="312"/>
      <c r="DN289" s="312"/>
      <c r="DO289" s="312"/>
      <c r="DP289" s="312"/>
      <c r="DQ289" s="312"/>
      <c r="DR289" s="312"/>
      <c r="DS289" s="312"/>
      <c r="DT289" s="312"/>
      <c r="DU289" s="312"/>
      <c r="DV289" s="312"/>
      <c r="DW289" s="312"/>
      <c r="DX289" s="312"/>
      <c r="DY289" s="312"/>
      <c r="DZ289" s="312"/>
      <c r="EA289" s="312"/>
      <c r="EB289" s="312"/>
      <c r="EC289" s="312"/>
      <c r="ED289" s="312"/>
      <c r="EE289" s="312"/>
      <c r="EF289" s="312"/>
      <c r="EG289" s="312"/>
      <c r="EH289" s="312"/>
      <c r="EI289" s="312"/>
      <c r="EJ289" s="312"/>
      <c r="EK289" s="312"/>
      <c r="EL289" s="312"/>
      <c r="EM289" s="312"/>
      <c r="EN289" s="312"/>
      <c r="EO289" s="312"/>
      <c r="EP289" s="312"/>
      <c r="EQ289" s="312"/>
      <c r="ER289" s="312"/>
      <c r="ES289" s="312"/>
      <c r="ET289" s="312"/>
      <c r="EU289" s="312"/>
      <c r="EV289" s="312"/>
      <c r="EW289" s="312"/>
      <c r="EX289" s="312"/>
      <c r="EY289" s="312"/>
      <c r="EZ289" s="312"/>
      <c r="FA289" s="312"/>
      <c r="FB289" s="312"/>
      <c r="FC289" s="312"/>
      <c r="FD289" s="312"/>
      <c r="FE289" s="312"/>
      <c r="FF289" s="312"/>
      <c r="FG289" s="312"/>
      <c r="FH289" s="312"/>
      <c r="FI289" s="312"/>
      <c r="FJ289" s="312"/>
      <c r="FK289" s="312"/>
      <c r="FL289" s="312"/>
      <c r="FM289" s="312"/>
      <c r="FN289" s="312"/>
      <c r="FO289" s="312"/>
      <c r="FP289" s="312"/>
      <c r="FQ289" s="312"/>
      <c r="FR289" s="312"/>
      <c r="FS289" s="312"/>
      <c r="FT289" s="312"/>
      <c r="FU289" s="312"/>
      <c r="FV289" s="312"/>
      <c r="FW289" s="312"/>
      <c r="FX289" s="312"/>
      <c r="FY289" s="312"/>
      <c r="FZ289" s="312"/>
      <c r="GA289" s="312"/>
      <c r="GB289" s="312"/>
      <c r="GC289" s="312"/>
      <c r="GD289" s="312"/>
      <c r="GE289" s="312"/>
      <c r="GF289" s="312"/>
      <c r="GG289" s="312"/>
      <c r="GH289" s="312"/>
      <c r="GI289" s="312"/>
      <c r="GJ289" s="312"/>
      <c r="GK289" s="312"/>
      <c r="GL289" s="312"/>
      <c r="GM289" s="312"/>
      <c r="GN289" s="312"/>
      <c r="GO289" s="312"/>
      <c r="GP289" s="312"/>
      <c r="GQ289" s="312"/>
      <c r="GR289" s="312"/>
      <c r="GS289" s="312"/>
      <c r="GT289" s="312"/>
      <c r="GU289" s="312"/>
      <c r="GV289" s="312"/>
      <c r="GW289" s="312"/>
      <c r="GX289" s="312"/>
      <c r="GY289" s="312"/>
    </row>
    <row r="290" spans="2:207" ht="15.75" x14ac:dyDescent="0.25">
      <c r="B290" s="316">
        <f t="shared" si="77"/>
        <v>260</v>
      </c>
      <c r="C290" s="330">
        <f>'סיכום לוועדה'!B290</f>
        <v>1001348135</v>
      </c>
      <c r="D290" s="330">
        <f>'סיכום לוועדה'!C290</f>
        <v>1001275688</v>
      </c>
      <c r="E290" s="330">
        <f>'סיכום לוועדה'!D290</f>
        <v>40000564</v>
      </c>
      <c r="F290" s="330">
        <f>'סיכום לוועדה'!E290</f>
        <v>20000201</v>
      </c>
      <c r="G290" s="330" t="str">
        <f>'סיכום לוועדה'!F290</f>
        <v>תל אביב -יפו</v>
      </c>
      <c r="H290" s="317" t="str">
        <f>'סיכום לוועדה'!G290</f>
        <v>עמותת הכוריאוגרפים (ע"ר)</v>
      </c>
      <c r="I290" s="318">
        <f>'סיכום לוועדה'!U290</f>
        <v>150000</v>
      </c>
      <c r="J290" s="319">
        <f>'סיכום לוועדה'!T290</f>
        <v>9765.7257357432172</v>
      </c>
      <c r="K290" s="320">
        <f t="shared" si="78"/>
        <v>0</v>
      </c>
      <c r="L290" s="319">
        <f t="shared" si="79"/>
        <v>9765.7257357432172</v>
      </c>
      <c r="M290" s="331">
        <f>'תחום תמיכה ב'!AF290</f>
        <v>5.2726136897901323E-5</v>
      </c>
      <c r="N290" s="319">
        <f t="shared" si="76"/>
        <v>10663.889743236063</v>
      </c>
      <c r="O290" s="321">
        <f t="shared" si="80"/>
        <v>0</v>
      </c>
      <c r="P290" s="322">
        <f t="shared" si="81"/>
        <v>10663.889743236063</v>
      </c>
      <c r="Q290" s="322">
        <f t="shared" si="82"/>
        <v>10668.745293876485</v>
      </c>
      <c r="R290" s="321">
        <f t="shared" si="83"/>
        <v>0</v>
      </c>
      <c r="S290" s="322">
        <f t="shared" si="84"/>
        <v>10668.745293876485</v>
      </c>
      <c r="T290" s="322">
        <f t="shared" si="85"/>
        <v>10668.745293876464</v>
      </c>
      <c r="U290" s="321">
        <f t="shared" si="86"/>
        <v>0</v>
      </c>
      <c r="V290" s="322">
        <f t="shared" si="87"/>
        <v>10668.745293876464</v>
      </c>
      <c r="W290" s="322">
        <f t="shared" si="88"/>
        <v>10668.745293876469</v>
      </c>
      <c r="X290" s="321">
        <f t="shared" si="89"/>
        <v>0</v>
      </c>
      <c r="Y290" s="322">
        <f t="shared" si="90"/>
        <v>10668.745293876469</v>
      </c>
      <c r="Z290" s="322">
        <f t="shared" si="91"/>
        <v>10668.745293876465</v>
      </c>
      <c r="AA290" s="323">
        <f t="shared" si="92"/>
        <v>10668.745293876465</v>
      </c>
      <c r="AB290" s="323"/>
      <c r="AC290" s="323"/>
      <c r="AD290" s="323"/>
      <c r="AE290" s="323"/>
      <c r="AF290" s="324">
        <f t="shared" si="93"/>
        <v>6.1097595238665677E-5</v>
      </c>
      <c r="AG290" s="312"/>
      <c r="AH290" s="312"/>
      <c r="AI290" s="325">
        <f t="shared" si="94"/>
        <v>1</v>
      </c>
      <c r="AJ290" s="312"/>
      <c r="AK290" s="312"/>
      <c r="AL290" s="312"/>
      <c r="AM290" s="312"/>
      <c r="AN290" s="312"/>
      <c r="AO290" s="312"/>
      <c r="AP290" s="312"/>
      <c r="AQ290" s="312"/>
      <c r="AR290" s="312"/>
      <c r="AS290" s="312"/>
      <c r="AT290" s="312"/>
      <c r="AU290" s="312"/>
      <c r="AV290" s="312"/>
      <c r="AW290" s="312"/>
      <c r="AX290" s="312"/>
      <c r="AY290" s="312"/>
      <c r="AZ290" s="312"/>
      <c r="BA290" s="312"/>
      <c r="BB290" s="312"/>
      <c r="BC290" s="312"/>
      <c r="BD290" s="312"/>
      <c r="BE290" s="312"/>
      <c r="BF290" s="312"/>
      <c r="BG290" s="312"/>
      <c r="BH290" s="312"/>
      <c r="BI290" s="312"/>
      <c r="BJ290" s="312"/>
      <c r="BK290" s="312"/>
      <c r="BL290" s="312"/>
      <c r="BM290" s="312"/>
      <c r="BN290" s="312"/>
      <c r="BO290" s="312"/>
      <c r="BP290" s="312"/>
      <c r="BQ290" s="312"/>
      <c r="BR290" s="312"/>
      <c r="BS290" s="312"/>
      <c r="BT290" s="312"/>
      <c r="BU290" s="312"/>
      <c r="BV290" s="312"/>
      <c r="BW290" s="312"/>
      <c r="BX290" s="312"/>
      <c r="BY290" s="312"/>
      <c r="BZ290" s="312"/>
      <c r="CA290" s="312"/>
      <c r="CB290" s="312"/>
      <c r="CC290" s="312"/>
      <c r="CD290" s="312"/>
      <c r="CE290" s="312"/>
      <c r="CF290" s="312"/>
      <c r="CG290" s="312"/>
      <c r="CH290" s="312"/>
      <c r="CI290" s="312"/>
      <c r="CJ290" s="312"/>
      <c r="CK290" s="312"/>
      <c r="CL290" s="312"/>
      <c r="CM290" s="312"/>
      <c r="CN290" s="312"/>
      <c r="CO290" s="312"/>
      <c r="CP290" s="312"/>
      <c r="CQ290" s="312"/>
      <c r="CR290" s="312"/>
      <c r="CS290" s="312"/>
      <c r="CT290" s="312"/>
      <c r="CU290" s="312"/>
      <c r="CV290" s="312"/>
      <c r="CW290" s="312"/>
      <c r="CX290" s="312"/>
      <c r="CY290" s="312"/>
      <c r="CZ290" s="312"/>
      <c r="DA290" s="312"/>
      <c r="DB290" s="312"/>
      <c r="DC290" s="312"/>
      <c r="DD290" s="312"/>
      <c r="DE290" s="312"/>
      <c r="DF290" s="312"/>
      <c r="DG290" s="312"/>
      <c r="DH290" s="312"/>
      <c r="DI290" s="312"/>
      <c r="DJ290" s="312"/>
      <c r="DK290" s="312"/>
      <c r="DL290" s="312"/>
      <c r="DM290" s="312"/>
      <c r="DN290" s="312"/>
      <c r="DO290" s="312"/>
      <c r="DP290" s="312"/>
      <c r="DQ290" s="312"/>
      <c r="DR290" s="312"/>
      <c r="DS290" s="312"/>
      <c r="DT290" s="312"/>
      <c r="DU290" s="312"/>
      <c r="DV290" s="312"/>
      <c r="DW290" s="312"/>
      <c r="DX290" s="312"/>
      <c r="DY290" s="312"/>
      <c r="DZ290" s="312"/>
      <c r="EA290" s="312"/>
      <c r="EB290" s="312"/>
      <c r="EC290" s="312"/>
      <c r="ED290" s="312"/>
      <c r="EE290" s="312"/>
      <c r="EF290" s="312"/>
      <c r="EG290" s="312"/>
      <c r="EH290" s="312"/>
      <c r="EI290" s="312"/>
      <c r="EJ290" s="312"/>
      <c r="EK290" s="312"/>
      <c r="EL290" s="312"/>
      <c r="EM290" s="312"/>
      <c r="EN290" s="312"/>
      <c r="EO290" s="312"/>
      <c r="EP290" s="312"/>
      <c r="EQ290" s="312"/>
      <c r="ER290" s="312"/>
      <c r="ES290" s="312"/>
      <c r="ET290" s="312"/>
      <c r="EU290" s="312"/>
      <c r="EV290" s="312"/>
      <c r="EW290" s="312"/>
      <c r="EX290" s="312"/>
      <c r="EY290" s="312"/>
      <c r="EZ290" s="312"/>
      <c r="FA290" s="312"/>
      <c r="FB290" s="312"/>
      <c r="FC290" s="312"/>
      <c r="FD290" s="312"/>
      <c r="FE290" s="312"/>
      <c r="FF290" s="312"/>
      <c r="FG290" s="312"/>
      <c r="FH290" s="312"/>
      <c r="FI290" s="312"/>
      <c r="FJ290" s="312"/>
      <c r="FK290" s="312"/>
      <c r="FL290" s="312"/>
      <c r="FM290" s="312"/>
      <c r="FN290" s="312"/>
      <c r="FO290" s="312"/>
      <c r="FP290" s="312"/>
      <c r="FQ290" s="312"/>
      <c r="FR290" s="312"/>
      <c r="FS290" s="312"/>
      <c r="FT290" s="312"/>
      <c r="FU290" s="312"/>
      <c r="FV290" s="312"/>
      <c r="FW290" s="312"/>
      <c r="FX290" s="312"/>
      <c r="FY290" s="312"/>
      <c r="FZ290" s="312"/>
      <c r="GA290" s="312"/>
      <c r="GB290" s="312"/>
      <c r="GC290" s="312"/>
      <c r="GD290" s="312"/>
      <c r="GE290" s="312"/>
      <c r="GF290" s="312"/>
      <c r="GG290" s="312"/>
      <c r="GH290" s="312"/>
      <c r="GI290" s="312"/>
      <c r="GJ290" s="312"/>
      <c r="GK290" s="312"/>
      <c r="GL290" s="312"/>
      <c r="GM290" s="312"/>
      <c r="GN290" s="312"/>
      <c r="GO290" s="312"/>
      <c r="GP290" s="312"/>
      <c r="GQ290" s="312"/>
      <c r="GR290" s="312"/>
      <c r="GS290" s="312"/>
      <c r="GT290" s="312"/>
      <c r="GU290" s="312"/>
      <c r="GV290" s="312"/>
      <c r="GW290" s="312"/>
      <c r="GX290" s="312"/>
      <c r="GY290" s="312"/>
    </row>
    <row r="291" spans="2:207" ht="15.75" x14ac:dyDescent="0.25">
      <c r="B291" s="316">
        <f t="shared" si="77"/>
        <v>261</v>
      </c>
      <c r="C291" s="330">
        <f>'סיכום לוועדה'!B291</f>
        <v>1001348136</v>
      </c>
      <c r="D291" s="330">
        <f>'סיכום לוועדה'!C291</f>
        <v>1001275686</v>
      </c>
      <c r="E291" s="330">
        <f>'סיכום לוועדה'!D291</f>
        <v>40000564</v>
      </c>
      <c r="F291" s="330">
        <f>'סיכום לוועדה'!E291</f>
        <v>20000201</v>
      </c>
      <c r="G291" s="330" t="str">
        <f>'סיכום לוועדה'!F291</f>
        <v>תל אביב -יפו</v>
      </c>
      <c r="H291" s="317" t="str">
        <f>'סיכום לוועדה'!G291</f>
        <v>עמותת הכוריאוגרפים (ע"ר)</v>
      </c>
      <c r="I291" s="318">
        <f>'סיכום לוועדה'!U291</f>
        <v>150000</v>
      </c>
      <c r="J291" s="319">
        <f>'סיכום לוועדה'!T291</f>
        <v>6719.9683815440903</v>
      </c>
      <c r="K291" s="320">
        <f t="shared" si="78"/>
        <v>0</v>
      </c>
      <c r="L291" s="319">
        <f t="shared" si="79"/>
        <v>6719.9683815440903</v>
      </c>
      <c r="M291" s="331">
        <f>'תחום תמיכה ב'!AF291</f>
        <v>4.4172613795728169E-5</v>
      </c>
      <c r="N291" s="319">
        <f t="shared" si="76"/>
        <v>7472.4272977933506</v>
      </c>
      <c r="O291" s="321">
        <f t="shared" si="80"/>
        <v>0</v>
      </c>
      <c r="P291" s="322">
        <f t="shared" si="81"/>
        <v>7472.4272977933506</v>
      </c>
      <c r="Q291" s="322">
        <f t="shared" si="82"/>
        <v>7475.8296912937449</v>
      </c>
      <c r="R291" s="321">
        <f t="shared" si="83"/>
        <v>0</v>
      </c>
      <c r="S291" s="322">
        <f t="shared" si="84"/>
        <v>7475.8296912937449</v>
      </c>
      <c r="T291" s="322">
        <f t="shared" si="85"/>
        <v>7475.8296912937294</v>
      </c>
      <c r="U291" s="321">
        <f t="shared" si="86"/>
        <v>0</v>
      </c>
      <c r="V291" s="322">
        <f t="shared" si="87"/>
        <v>7475.8296912937294</v>
      </c>
      <c r="W291" s="322">
        <f t="shared" si="88"/>
        <v>7475.8296912937321</v>
      </c>
      <c r="X291" s="321">
        <f t="shared" si="89"/>
        <v>0</v>
      </c>
      <c r="Y291" s="322">
        <f t="shared" si="90"/>
        <v>7475.8296912937321</v>
      </c>
      <c r="Z291" s="322">
        <f t="shared" si="91"/>
        <v>7475.8296912937312</v>
      </c>
      <c r="AA291" s="323">
        <f t="shared" si="92"/>
        <v>7475.8296912937312</v>
      </c>
      <c r="AB291" s="323"/>
      <c r="AC291" s="323"/>
      <c r="AD291" s="323"/>
      <c r="AE291" s="323"/>
      <c r="AF291" s="324">
        <f t="shared" si="93"/>
        <v>4.2812458632228003E-5</v>
      </c>
      <c r="AG291" s="312"/>
      <c r="AH291" s="312"/>
      <c r="AI291" s="325">
        <f t="shared" si="94"/>
        <v>1</v>
      </c>
      <c r="AJ291" s="312"/>
      <c r="AK291" s="312"/>
      <c r="AL291" s="312"/>
      <c r="AM291" s="312"/>
      <c r="AN291" s="312"/>
      <c r="AO291" s="312"/>
      <c r="AP291" s="312"/>
      <c r="AQ291" s="312"/>
      <c r="AR291" s="312"/>
      <c r="AS291" s="312"/>
      <c r="AT291" s="312"/>
      <c r="AU291" s="312"/>
      <c r="AV291" s="312"/>
      <c r="AW291" s="312"/>
      <c r="AX291" s="312"/>
      <c r="AY291" s="312"/>
      <c r="AZ291" s="312"/>
      <c r="BA291" s="312"/>
      <c r="BB291" s="312"/>
      <c r="BC291" s="312"/>
      <c r="BD291" s="312"/>
      <c r="BE291" s="312"/>
      <c r="BF291" s="312"/>
      <c r="BG291" s="312"/>
      <c r="BH291" s="312"/>
      <c r="BI291" s="312"/>
      <c r="BJ291" s="312"/>
      <c r="BK291" s="312"/>
      <c r="BL291" s="312"/>
      <c r="BM291" s="312"/>
      <c r="BN291" s="312"/>
      <c r="BO291" s="312"/>
      <c r="BP291" s="312"/>
      <c r="BQ291" s="312"/>
      <c r="BR291" s="312"/>
      <c r="BS291" s="312"/>
      <c r="BT291" s="312"/>
      <c r="BU291" s="312"/>
      <c r="BV291" s="312"/>
      <c r="BW291" s="312"/>
      <c r="BX291" s="312"/>
      <c r="BY291" s="312"/>
      <c r="BZ291" s="312"/>
      <c r="CA291" s="312"/>
      <c r="CB291" s="312"/>
      <c r="CC291" s="312"/>
      <c r="CD291" s="312"/>
      <c r="CE291" s="312"/>
      <c r="CF291" s="312"/>
      <c r="CG291" s="312"/>
      <c r="CH291" s="312"/>
      <c r="CI291" s="312"/>
      <c r="CJ291" s="312"/>
      <c r="CK291" s="312"/>
      <c r="CL291" s="312"/>
      <c r="CM291" s="312"/>
      <c r="CN291" s="312"/>
      <c r="CO291" s="312"/>
      <c r="CP291" s="312"/>
      <c r="CQ291" s="312"/>
      <c r="CR291" s="312"/>
      <c r="CS291" s="312"/>
      <c r="CT291" s="312"/>
      <c r="CU291" s="312"/>
      <c r="CV291" s="312"/>
      <c r="CW291" s="312"/>
      <c r="CX291" s="312"/>
      <c r="CY291" s="312"/>
      <c r="CZ291" s="312"/>
      <c r="DA291" s="312"/>
      <c r="DB291" s="312"/>
      <c r="DC291" s="312"/>
      <c r="DD291" s="312"/>
      <c r="DE291" s="312"/>
      <c r="DF291" s="312"/>
      <c r="DG291" s="312"/>
      <c r="DH291" s="312"/>
      <c r="DI291" s="312"/>
      <c r="DJ291" s="312"/>
      <c r="DK291" s="312"/>
      <c r="DL291" s="312"/>
      <c r="DM291" s="312"/>
      <c r="DN291" s="312"/>
      <c r="DO291" s="312"/>
      <c r="DP291" s="312"/>
      <c r="DQ291" s="312"/>
      <c r="DR291" s="312"/>
      <c r="DS291" s="312"/>
      <c r="DT291" s="312"/>
      <c r="DU291" s="312"/>
      <c r="DV291" s="312"/>
      <c r="DW291" s="312"/>
      <c r="DX291" s="312"/>
      <c r="DY291" s="312"/>
      <c r="DZ291" s="312"/>
      <c r="EA291" s="312"/>
      <c r="EB291" s="312"/>
      <c r="EC291" s="312"/>
      <c r="ED291" s="312"/>
      <c r="EE291" s="312"/>
      <c r="EF291" s="312"/>
      <c r="EG291" s="312"/>
      <c r="EH291" s="312"/>
      <c r="EI291" s="312"/>
      <c r="EJ291" s="312"/>
      <c r="EK291" s="312"/>
      <c r="EL291" s="312"/>
      <c r="EM291" s="312"/>
      <c r="EN291" s="312"/>
      <c r="EO291" s="312"/>
      <c r="EP291" s="312"/>
      <c r="EQ291" s="312"/>
      <c r="ER291" s="312"/>
      <c r="ES291" s="312"/>
      <c r="ET291" s="312"/>
      <c r="EU291" s="312"/>
      <c r="EV291" s="312"/>
      <c r="EW291" s="312"/>
      <c r="EX291" s="312"/>
      <c r="EY291" s="312"/>
      <c r="EZ291" s="312"/>
      <c r="FA291" s="312"/>
      <c r="FB291" s="312"/>
      <c r="FC291" s="312"/>
      <c r="FD291" s="312"/>
      <c r="FE291" s="312"/>
      <c r="FF291" s="312"/>
      <c r="FG291" s="312"/>
      <c r="FH291" s="312"/>
      <c r="FI291" s="312"/>
      <c r="FJ291" s="312"/>
      <c r="FK291" s="312"/>
      <c r="FL291" s="312"/>
      <c r="FM291" s="312"/>
      <c r="FN291" s="312"/>
      <c r="FO291" s="312"/>
      <c r="FP291" s="312"/>
      <c r="FQ291" s="312"/>
      <c r="FR291" s="312"/>
      <c r="FS291" s="312"/>
      <c r="FT291" s="312"/>
      <c r="FU291" s="312"/>
      <c r="FV291" s="312"/>
      <c r="FW291" s="312"/>
      <c r="FX291" s="312"/>
      <c r="FY291" s="312"/>
      <c r="FZ291" s="312"/>
      <c r="GA291" s="312"/>
      <c r="GB291" s="312"/>
      <c r="GC291" s="312"/>
      <c r="GD291" s="312"/>
      <c r="GE291" s="312"/>
      <c r="GF291" s="312"/>
      <c r="GG291" s="312"/>
      <c r="GH291" s="312"/>
      <c r="GI291" s="312"/>
      <c r="GJ291" s="312"/>
      <c r="GK291" s="312"/>
      <c r="GL291" s="312"/>
      <c r="GM291" s="312"/>
      <c r="GN291" s="312"/>
      <c r="GO291" s="312"/>
      <c r="GP291" s="312"/>
      <c r="GQ291" s="312"/>
      <c r="GR291" s="312"/>
      <c r="GS291" s="312"/>
      <c r="GT291" s="312"/>
      <c r="GU291" s="312"/>
      <c r="GV291" s="312"/>
      <c r="GW291" s="312"/>
      <c r="GX291" s="312"/>
      <c r="GY291" s="312"/>
    </row>
    <row r="292" spans="2:207" ht="15.75" x14ac:dyDescent="0.25">
      <c r="B292" s="316">
        <f t="shared" si="77"/>
        <v>262</v>
      </c>
      <c r="C292" s="330">
        <f>'סיכום לוועדה'!B292</f>
        <v>1001348137</v>
      </c>
      <c r="D292" s="330">
        <f>'סיכום לוועדה'!C292</f>
        <v>1001275685</v>
      </c>
      <c r="E292" s="330">
        <f>'סיכום לוועדה'!D292</f>
        <v>40000564</v>
      </c>
      <c r="F292" s="330">
        <f>'סיכום לוועדה'!E292</f>
        <v>20000201</v>
      </c>
      <c r="G292" s="330" t="str">
        <f>'סיכום לוועדה'!F292</f>
        <v>תל אביב -יפו</v>
      </c>
      <c r="H292" s="317" t="str">
        <f>'סיכום לוועדה'!G292</f>
        <v>עמותת הכוריאוגרפים (ע"ר)</v>
      </c>
      <c r="I292" s="318">
        <f>'סיכום לוועדה'!U292</f>
        <v>150000</v>
      </c>
      <c r="J292" s="319">
        <f>'סיכום לוועדה'!T292</f>
        <v>19663.182619981973</v>
      </c>
      <c r="K292" s="320">
        <f t="shared" si="78"/>
        <v>0</v>
      </c>
      <c r="L292" s="319">
        <f t="shared" si="79"/>
        <v>19663.182619981973</v>
      </c>
      <c r="M292" s="331">
        <f>'תחום תמיכה ב'!AF292</f>
        <v>1.2051896171437743E-4</v>
      </c>
      <c r="N292" s="319">
        <f t="shared" si="76"/>
        <v>21716.164309914402</v>
      </c>
      <c r="O292" s="321">
        <f t="shared" si="80"/>
        <v>0</v>
      </c>
      <c r="P292" s="322">
        <f t="shared" si="81"/>
        <v>21716.164309914402</v>
      </c>
      <c r="Q292" s="322">
        <f t="shared" si="82"/>
        <v>21726.052253062859</v>
      </c>
      <c r="R292" s="321">
        <f t="shared" si="83"/>
        <v>0</v>
      </c>
      <c r="S292" s="322">
        <f t="shared" si="84"/>
        <v>21726.052253062859</v>
      </c>
      <c r="T292" s="322">
        <f t="shared" si="85"/>
        <v>21726.052253062815</v>
      </c>
      <c r="U292" s="321">
        <f t="shared" si="86"/>
        <v>0</v>
      </c>
      <c r="V292" s="322">
        <f t="shared" si="87"/>
        <v>21726.052253062815</v>
      </c>
      <c r="W292" s="322">
        <f t="shared" si="88"/>
        <v>21726.052253062822</v>
      </c>
      <c r="X292" s="321">
        <f t="shared" si="89"/>
        <v>0</v>
      </c>
      <c r="Y292" s="322">
        <f t="shared" si="90"/>
        <v>21726.052253062822</v>
      </c>
      <c r="Z292" s="322">
        <f t="shared" si="91"/>
        <v>21726.052253062819</v>
      </c>
      <c r="AA292" s="323">
        <f t="shared" si="92"/>
        <v>21726.052253062819</v>
      </c>
      <c r="AB292" s="323"/>
      <c r="AC292" s="323"/>
      <c r="AD292" s="323"/>
      <c r="AE292" s="323"/>
      <c r="AF292" s="324">
        <f t="shared" si="93"/>
        <v>1.2442039903732871E-4</v>
      </c>
      <c r="AG292" s="312"/>
      <c r="AH292" s="312"/>
      <c r="AI292" s="325">
        <f t="shared" si="94"/>
        <v>1</v>
      </c>
      <c r="AJ292" s="312"/>
      <c r="AK292" s="312"/>
      <c r="AL292" s="312"/>
      <c r="AM292" s="312"/>
      <c r="AN292" s="312"/>
      <c r="AO292" s="312"/>
      <c r="AP292" s="312"/>
      <c r="AQ292" s="312"/>
      <c r="AR292" s="312"/>
      <c r="AS292" s="312"/>
      <c r="AT292" s="312"/>
      <c r="AU292" s="312"/>
      <c r="AV292" s="312"/>
      <c r="AW292" s="312"/>
      <c r="AX292" s="312"/>
      <c r="AY292" s="312"/>
      <c r="AZ292" s="312"/>
      <c r="BA292" s="312"/>
      <c r="BB292" s="312"/>
      <c r="BC292" s="312"/>
      <c r="BD292" s="312"/>
      <c r="BE292" s="312"/>
      <c r="BF292" s="312"/>
      <c r="BG292" s="312"/>
      <c r="BH292" s="312"/>
      <c r="BI292" s="312"/>
      <c r="BJ292" s="312"/>
      <c r="BK292" s="312"/>
      <c r="BL292" s="312"/>
      <c r="BM292" s="312"/>
      <c r="BN292" s="312"/>
      <c r="BO292" s="312"/>
      <c r="BP292" s="312"/>
      <c r="BQ292" s="312"/>
      <c r="BR292" s="312"/>
      <c r="BS292" s="312"/>
      <c r="BT292" s="312"/>
      <c r="BU292" s="312"/>
      <c r="BV292" s="312"/>
      <c r="BW292" s="312"/>
      <c r="BX292" s="312"/>
      <c r="BY292" s="312"/>
      <c r="BZ292" s="312"/>
      <c r="CA292" s="312"/>
      <c r="CB292" s="312"/>
      <c r="CC292" s="312"/>
      <c r="CD292" s="312"/>
      <c r="CE292" s="312"/>
      <c r="CF292" s="312"/>
      <c r="CG292" s="312"/>
      <c r="CH292" s="312"/>
      <c r="CI292" s="312"/>
      <c r="CJ292" s="312"/>
      <c r="CK292" s="312"/>
      <c r="CL292" s="312"/>
      <c r="CM292" s="312"/>
      <c r="CN292" s="312"/>
      <c r="CO292" s="312"/>
      <c r="CP292" s="312"/>
      <c r="CQ292" s="312"/>
      <c r="CR292" s="312"/>
      <c r="CS292" s="312"/>
      <c r="CT292" s="312"/>
      <c r="CU292" s="312"/>
      <c r="CV292" s="312"/>
      <c r="CW292" s="312"/>
      <c r="CX292" s="312"/>
      <c r="CY292" s="312"/>
      <c r="CZ292" s="312"/>
      <c r="DA292" s="312"/>
      <c r="DB292" s="312"/>
      <c r="DC292" s="312"/>
      <c r="DD292" s="312"/>
      <c r="DE292" s="312"/>
      <c r="DF292" s="312"/>
      <c r="DG292" s="312"/>
      <c r="DH292" s="312"/>
      <c r="DI292" s="312"/>
      <c r="DJ292" s="312"/>
      <c r="DK292" s="312"/>
      <c r="DL292" s="312"/>
      <c r="DM292" s="312"/>
      <c r="DN292" s="312"/>
      <c r="DO292" s="312"/>
      <c r="DP292" s="312"/>
      <c r="DQ292" s="312"/>
      <c r="DR292" s="312"/>
      <c r="DS292" s="312"/>
      <c r="DT292" s="312"/>
      <c r="DU292" s="312"/>
      <c r="DV292" s="312"/>
      <c r="DW292" s="312"/>
      <c r="DX292" s="312"/>
      <c r="DY292" s="312"/>
      <c r="DZ292" s="312"/>
      <c r="EA292" s="312"/>
      <c r="EB292" s="312"/>
      <c r="EC292" s="312"/>
      <c r="ED292" s="312"/>
      <c r="EE292" s="312"/>
      <c r="EF292" s="312"/>
      <c r="EG292" s="312"/>
      <c r="EH292" s="312"/>
      <c r="EI292" s="312"/>
      <c r="EJ292" s="312"/>
      <c r="EK292" s="312"/>
      <c r="EL292" s="312"/>
      <c r="EM292" s="312"/>
      <c r="EN292" s="312"/>
      <c r="EO292" s="312"/>
      <c r="EP292" s="312"/>
      <c r="EQ292" s="312"/>
      <c r="ER292" s="312"/>
      <c r="ES292" s="312"/>
      <c r="ET292" s="312"/>
      <c r="EU292" s="312"/>
      <c r="EV292" s="312"/>
      <c r="EW292" s="312"/>
      <c r="EX292" s="312"/>
      <c r="EY292" s="312"/>
      <c r="EZ292" s="312"/>
      <c r="FA292" s="312"/>
      <c r="FB292" s="312"/>
      <c r="FC292" s="312"/>
      <c r="FD292" s="312"/>
      <c r="FE292" s="312"/>
      <c r="FF292" s="312"/>
      <c r="FG292" s="312"/>
      <c r="FH292" s="312"/>
      <c r="FI292" s="312"/>
      <c r="FJ292" s="312"/>
      <c r="FK292" s="312"/>
      <c r="FL292" s="312"/>
      <c r="FM292" s="312"/>
      <c r="FN292" s="312"/>
      <c r="FO292" s="312"/>
      <c r="FP292" s="312"/>
      <c r="FQ292" s="312"/>
      <c r="FR292" s="312"/>
      <c r="FS292" s="312"/>
      <c r="FT292" s="312"/>
      <c r="FU292" s="312"/>
      <c r="FV292" s="312"/>
      <c r="FW292" s="312"/>
      <c r="FX292" s="312"/>
      <c r="FY292" s="312"/>
      <c r="FZ292" s="312"/>
      <c r="GA292" s="312"/>
      <c r="GB292" s="312"/>
      <c r="GC292" s="312"/>
      <c r="GD292" s="312"/>
      <c r="GE292" s="312"/>
      <c r="GF292" s="312"/>
      <c r="GG292" s="312"/>
      <c r="GH292" s="312"/>
      <c r="GI292" s="312"/>
      <c r="GJ292" s="312"/>
      <c r="GK292" s="312"/>
      <c r="GL292" s="312"/>
      <c r="GM292" s="312"/>
      <c r="GN292" s="312"/>
      <c r="GO292" s="312"/>
      <c r="GP292" s="312"/>
      <c r="GQ292" s="312"/>
      <c r="GR292" s="312"/>
      <c r="GS292" s="312"/>
      <c r="GT292" s="312"/>
      <c r="GU292" s="312"/>
      <c r="GV292" s="312"/>
      <c r="GW292" s="312"/>
      <c r="GX292" s="312"/>
      <c r="GY292" s="312"/>
    </row>
    <row r="293" spans="2:207" ht="15.75" x14ac:dyDescent="0.25">
      <c r="B293" s="316">
        <f t="shared" si="77"/>
        <v>263</v>
      </c>
      <c r="C293" s="330">
        <f>'סיכום לוועדה'!B293</f>
        <v>1001348138</v>
      </c>
      <c r="D293" s="330">
        <f>'סיכום לוועדה'!C293</f>
        <v>1001275682</v>
      </c>
      <c r="E293" s="330">
        <f>'סיכום לוועדה'!D293</f>
        <v>40000564</v>
      </c>
      <c r="F293" s="330">
        <f>'סיכום לוועדה'!E293</f>
        <v>20000201</v>
      </c>
      <c r="G293" s="330" t="str">
        <f>'סיכום לוועדה'!F293</f>
        <v>תל אביב -יפו</v>
      </c>
      <c r="H293" s="317" t="str">
        <f>'סיכום לוועדה'!G293</f>
        <v>עמותת הכוריאוגרפים (ע"ר)</v>
      </c>
      <c r="I293" s="318">
        <f>'סיכום לוועדה'!U293</f>
        <v>150000</v>
      </c>
      <c r="J293" s="319">
        <f>'סיכום לוועדה'!T293</f>
        <v>28141.222767799485</v>
      </c>
      <c r="K293" s="320">
        <f t="shared" si="78"/>
        <v>0</v>
      </c>
      <c r="L293" s="319">
        <f t="shared" si="79"/>
        <v>28141.222767799485</v>
      </c>
      <c r="M293" s="331">
        <f>'תחום תמיכה ב'!AF293</f>
        <v>1.8124794176533349E-4</v>
      </c>
      <c r="N293" s="319">
        <f t="shared" si="76"/>
        <v>31228.69299231088</v>
      </c>
      <c r="O293" s="321">
        <f t="shared" si="80"/>
        <v>0</v>
      </c>
      <c r="P293" s="322">
        <f t="shared" si="81"/>
        <v>31228.69299231088</v>
      </c>
      <c r="Q293" s="322">
        <f t="shared" si="82"/>
        <v>31242.912241000558</v>
      </c>
      <c r="R293" s="321">
        <f t="shared" si="83"/>
        <v>0</v>
      </c>
      <c r="S293" s="322">
        <f t="shared" si="84"/>
        <v>31242.912241000558</v>
      </c>
      <c r="T293" s="322">
        <f t="shared" si="85"/>
        <v>31242.912241000493</v>
      </c>
      <c r="U293" s="321">
        <f t="shared" si="86"/>
        <v>0</v>
      </c>
      <c r="V293" s="322">
        <f t="shared" si="87"/>
        <v>31242.912241000493</v>
      </c>
      <c r="W293" s="322">
        <f t="shared" si="88"/>
        <v>31242.912241000504</v>
      </c>
      <c r="X293" s="321">
        <f t="shared" si="89"/>
        <v>0</v>
      </c>
      <c r="Y293" s="322">
        <f t="shared" si="90"/>
        <v>31242.912241000504</v>
      </c>
      <c r="Z293" s="322">
        <f t="shared" si="91"/>
        <v>31242.912241000497</v>
      </c>
      <c r="AA293" s="323">
        <f t="shared" si="92"/>
        <v>31242.912241000497</v>
      </c>
      <c r="AB293" s="323"/>
      <c r="AC293" s="323"/>
      <c r="AD293" s="323"/>
      <c r="AE293" s="323"/>
      <c r="AF293" s="324">
        <f t="shared" si="93"/>
        <v>1.7892139643388362E-4</v>
      </c>
      <c r="AG293" s="312"/>
      <c r="AH293" s="312"/>
      <c r="AI293" s="325">
        <f t="shared" si="94"/>
        <v>1</v>
      </c>
      <c r="AJ293" s="312"/>
      <c r="AK293" s="312"/>
      <c r="AL293" s="312"/>
      <c r="AM293" s="312"/>
      <c r="AN293" s="312"/>
      <c r="AO293" s="312"/>
      <c r="AP293" s="312"/>
      <c r="AQ293" s="312"/>
      <c r="AR293" s="312"/>
      <c r="AS293" s="312"/>
      <c r="AT293" s="312"/>
      <c r="AU293" s="312"/>
      <c r="AV293" s="312"/>
      <c r="AW293" s="312"/>
      <c r="AX293" s="312"/>
      <c r="AY293" s="312"/>
      <c r="AZ293" s="312"/>
      <c r="BA293" s="312"/>
      <c r="BB293" s="312"/>
      <c r="BC293" s="312"/>
      <c r="BD293" s="312"/>
      <c r="BE293" s="312"/>
      <c r="BF293" s="312"/>
      <c r="BG293" s="312"/>
      <c r="BH293" s="312"/>
      <c r="BI293" s="312"/>
      <c r="BJ293" s="312"/>
      <c r="BK293" s="312"/>
      <c r="BL293" s="312"/>
      <c r="BM293" s="312"/>
      <c r="BN293" s="312"/>
      <c r="BO293" s="312"/>
      <c r="BP293" s="312"/>
      <c r="BQ293" s="312"/>
      <c r="BR293" s="312"/>
      <c r="BS293" s="312"/>
      <c r="BT293" s="312"/>
      <c r="BU293" s="312"/>
      <c r="BV293" s="312"/>
      <c r="BW293" s="312"/>
      <c r="BX293" s="312"/>
      <c r="BY293" s="312"/>
      <c r="BZ293" s="312"/>
      <c r="CA293" s="312"/>
      <c r="CB293" s="312"/>
      <c r="CC293" s="312"/>
      <c r="CD293" s="312"/>
      <c r="CE293" s="312"/>
      <c r="CF293" s="312"/>
      <c r="CG293" s="312"/>
      <c r="CH293" s="312"/>
      <c r="CI293" s="312"/>
      <c r="CJ293" s="312"/>
      <c r="CK293" s="312"/>
      <c r="CL293" s="312"/>
      <c r="CM293" s="312"/>
      <c r="CN293" s="312"/>
      <c r="CO293" s="312"/>
      <c r="CP293" s="312"/>
      <c r="CQ293" s="312"/>
      <c r="CR293" s="312"/>
      <c r="CS293" s="312"/>
      <c r="CT293" s="312"/>
      <c r="CU293" s="312"/>
      <c r="CV293" s="312"/>
      <c r="CW293" s="312"/>
      <c r="CX293" s="312"/>
      <c r="CY293" s="312"/>
      <c r="CZ293" s="312"/>
      <c r="DA293" s="312"/>
      <c r="DB293" s="312"/>
      <c r="DC293" s="312"/>
      <c r="DD293" s="312"/>
      <c r="DE293" s="312"/>
      <c r="DF293" s="312"/>
      <c r="DG293" s="312"/>
      <c r="DH293" s="312"/>
      <c r="DI293" s="312"/>
      <c r="DJ293" s="312"/>
      <c r="DK293" s="312"/>
      <c r="DL293" s="312"/>
      <c r="DM293" s="312"/>
      <c r="DN293" s="312"/>
      <c r="DO293" s="312"/>
      <c r="DP293" s="312"/>
      <c r="DQ293" s="312"/>
      <c r="DR293" s="312"/>
      <c r="DS293" s="312"/>
      <c r="DT293" s="312"/>
      <c r="DU293" s="312"/>
      <c r="DV293" s="312"/>
      <c r="DW293" s="312"/>
      <c r="DX293" s="312"/>
      <c r="DY293" s="312"/>
      <c r="DZ293" s="312"/>
      <c r="EA293" s="312"/>
      <c r="EB293" s="312"/>
      <c r="EC293" s="312"/>
      <c r="ED293" s="312"/>
      <c r="EE293" s="312"/>
      <c r="EF293" s="312"/>
      <c r="EG293" s="312"/>
      <c r="EH293" s="312"/>
      <c r="EI293" s="312"/>
      <c r="EJ293" s="312"/>
      <c r="EK293" s="312"/>
      <c r="EL293" s="312"/>
      <c r="EM293" s="312"/>
      <c r="EN293" s="312"/>
      <c r="EO293" s="312"/>
      <c r="EP293" s="312"/>
      <c r="EQ293" s="312"/>
      <c r="ER293" s="312"/>
      <c r="ES293" s="312"/>
      <c r="ET293" s="312"/>
      <c r="EU293" s="312"/>
      <c r="EV293" s="312"/>
      <c r="EW293" s="312"/>
      <c r="EX293" s="312"/>
      <c r="EY293" s="312"/>
      <c r="EZ293" s="312"/>
      <c r="FA293" s="312"/>
      <c r="FB293" s="312"/>
      <c r="FC293" s="312"/>
      <c r="FD293" s="312"/>
      <c r="FE293" s="312"/>
      <c r="FF293" s="312"/>
      <c r="FG293" s="312"/>
      <c r="FH293" s="312"/>
      <c r="FI293" s="312"/>
      <c r="FJ293" s="312"/>
      <c r="FK293" s="312"/>
      <c r="FL293" s="312"/>
      <c r="FM293" s="312"/>
      <c r="FN293" s="312"/>
      <c r="FO293" s="312"/>
      <c r="FP293" s="312"/>
      <c r="FQ293" s="312"/>
      <c r="FR293" s="312"/>
      <c r="FS293" s="312"/>
      <c r="FT293" s="312"/>
      <c r="FU293" s="312"/>
      <c r="FV293" s="312"/>
      <c r="FW293" s="312"/>
      <c r="FX293" s="312"/>
      <c r="FY293" s="312"/>
      <c r="FZ293" s="312"/>
      <c r="GA293" s="312"/>
      <c r="GB293" s="312"/>
      <c r="GC293" s="312"/>
      <c r="GD293" s="312"/>
      <c r="GE293" s="312"/>
      <c r="GF293" s="312"/>
      <c r="GG293" s="312"/>
      <c r="GH293" s="312"/>
      <c r="GI293" s="312"/>
      <c r="GJ293" s="312"/>
      <c r="GK293" s="312"/>
      <c r="GL293" s="312"/>
      <c r="GM293" s="312"/>
      <c r="GN293" s="312"/>
      <c r="GO293" s="312"/>
      <c r="GP293" s="312"/>
      <c r="GQ293" s="312"/>
      <c r="GR293" s="312"/>
      <c r="GS293" s="312"/>
      <c r="GT293" s="312"/>
      <c r="GU293" s="312"/>
      <c r="GV293" s="312"/>
      <c r="GW293" s="312"/>
      <c r="GX293" s="312"/>
      <c r="GY293" s="312"/>
    </row>
    <row r="294" spans="2:207" ht="15.75" x14ac:dyDescent="0.25">
      <c r="B294" s="316">
        <f t="shared" si="77"/>
        <v>264</v>
      </c>
      <c r="C294" s="330">
        <f>'סיכום לוועדה'!B294</f>
        <v>1001348139</v>
      </c>
      <c r="D294" s="330">
        <f>'סיכום לוועדה'!C294</f>
        <v>1001275678</v>
      </c>
      <c r="E294" s="330">
        <f>'סיכום לוועדה'!D294</f>
        <v>40000564</v>
      </c>
      <c r="F294" s="330">
        <f>'סיכום לוועדה'!E294</f>
        <v>20000201</v>
      </c>
      <c r="G294" s="330" t="str">
        <f>'סיכום לוועדה'!F294</f>
        <v>תל אביב -יפו</v>
      </c>
      <c r="H294" s="317" t="str">
        <f>'סיכום לוועדה'!G294</f>
        <v>עמותת הכוריאוגרפים (ע"ר)</v>
      </c>
      <c r="I294" s="318">
        <f>'סיכום לוועדה'!U294</f>
        <v>150000</v>
      </c>
      <c r="J294" s="319">
        <f>'סיכום לוועדה'!T294</f>
        <v>17712.306758802195</v>
      </c>
      <c r="K294" s="320">
        <f t="shared" si="78"/>
        <v>0</v>
      </c>
      <c r="L294" s="319">
        <f t="shared" si="79"/>
        <v>17712.306758802195</v>
      </c>
      <c r="M294" s="331">
        <f>'תחום תמיכה ב'!AF294</f>
        <v>9.4670730929743733E-5</v>
      </c>
      <c r="N294" s="319">
        <f t="shared" si="76"/>
        <v>19324.976453317973</v>
      </c>
      <c r="O294" s="321">
        <f t="shared" si="80"/>
        <v>0</v>
      </c>
      <c r="P294" s="322">
        <f t="shared" si="81"/>
        <v>19324.976453317973</v>
      </c>
      <c r="Q294" s="322">
        <f t="shared" si="82"/>
        <v>19333.775625482482</v>
      </c>
      <c r="R294" s="321">
        <f t="shared" si="83"/>
        <v>0</v>
      </c>
      <c r="S294" s="322">
        <f t="shared" si="84"/>
        <v>19333.775625482482</v>
      </c>
      <c r="T294" s="322">
        <f t="shared" si="85"/>
        <v>19333.775625482442</v>
      </c>
      <c r="U294" s="321">
        <f t="shared" si="86"/>
        <v>0</v>
      </c>
      <c r="V294" s="322">
        <f t="shared" si="87"/>
        <v>19333.775625482442</v>
      </c>
      <c r="W294" s="322">
        <f t="shared" si="88"/>
        <v>19333.775625482449</v>
      </c>
      <c r="X294" s="321">
        <f t="shared" si="89"/>
        <v>0</v>
      </c>
      <c r="Y294" s="322">
        <f t="shared" si="90"/>
        <v>19333.775625482449</v>
      </c>
      <c r="Z294" s="322">
        <f t="shared" si="91"/>
        <v>19333.775625482445</v>
      </c>
      <c r="AA294" s="323">
        <f t="shared" si="92"/>
        <v>19333.775625482445</v>
      </c>
      <c r="AB294" s="323"/>
      <c r="AC294" s="323"/>
      <c r="AD294" s="323"/>
      <c r="AE294" s="323"/>
      <c r="AF294" s="324">
        <f t="shared" si="93"/>
        <v>1.1072034855672359E-4</v>
      </c>
      <c r="AG294" s="312"/>
      <c r="AH294" s="312"/>
      <c r="AI294" s="325">
        <f t="shared" si="94"/>
        <v>1</v>
      </c>
      <c r="AJ294" s="312"/>
      <c r="AK294" s="312"/>
      <c r="AL294" s="312"/>
      <c r="AM294" s="312"/>
      <c r="AN294" s="312"/>
      <c r="AO294" s="312"/>
      <c r="AP294" s="312"/>
      <c r="AQ294" s="312"/>
      <c r="AR294" s="312"/>
      <c r="AS294" s="312"/>
      <c r="AT294" s="312"/>
      <c r="AU294" s="312"/>
      <c r="AV294" s="312"/>
      <c r="AW294" s="312"/>
      <c r="AX294" s="312"/>
      <c r="AY294" s="312"/>
      <c r="AZ294" s="312"/>
      <c r="BA294" s="312"/>
      <c r="BB294" s="312"/>
      <c r="BC294" s="312"/>
      <c r="BD294" s="312"/>
      <c r="BE294" s="312"/>
      <c r="BF294" s="312"/>
      <c r="BG294" s="312"/>
      <c r="BH294" s="312"/>
      <c r="BI294" s="312"/>
      <c r="BJ294" s="312"/>
      <c r="BK294" s="312"/>
      <c r="BL294" s="312"/>
      <c r="BM294" s="312"/>
      <c r="BN294" s="312"/>
      <c r="BO294" s="312"/>
      <c r="BP294" s="312"/>
      <c r="BQ294" s="312"/>
      <c r="BR294" s="312"/>
      <c r="BS294" s="312"/>
      <c r="BT294" s="312"/>
      <c r="BU294" s="312"/>
      <c r="BV294" s="312"/>
      <c r="BW294" s="312"/>
      <c r="BX294" s="312"/>
      <c r="BY294" s="312"/>
      <c r="BZ294" s="312"/>
      <c r="CA294" s="312"/>
      <c r="CB294" s="312"/>
      <c r="CC294" s="312"/>
      <c r="CD294" s="312"/>
      <c r="CE294" s="312"/>
      <c r="CF294" s="312"/>
      <c r="CG294" s="312"/>
      <c r="CH294" s="312"/>
      <c r="CI294" s="312"/>
      <c r="CJ294" s="312"/>
      <c r="CK294" s="312"/>
      <c r="CL294" s="312"/>
      <c r="CM294" s="312"/>
      <c r="CN294" s="312"/>
      <c r="CO294" s="312"/>
      <c r="CP294" s="312"/>
      <c r="CQ294" s="312"/>
      <c r="CR294" s="312"/>
      <c r="CS294" s="312"/>
      <c r="CT294" s="312"/>
      <c r="CU294" s="312"/>
      <c r="CV294" s="312"/>
      <c r="CW294" s="312"/>
      <c r="CX294" s="312"/>
      <c r="CY294" s="312"/>
      <c r="CZ294" s="312"/>
      <c r="DA294" s="312"/>
      <c r="DB294" s="312"/>
      <c r="DC294" s="312"/>
      <c r="DD294" s="312"/>
      <c r="DE294" s="312"/>
      <c r="DF294" s="312"/>
      <c r="DG294" s="312"/>
      <c r="DH294" s="312"/>
      <c r="DI294" s="312"/>
      <c r="DJ294" s="312"/>
      <c r="DK294" s="312"/>
      <c r="DL294" s="312"/>
      <c r="DM294" s="312"/>
      <c r="DN294" s="312"/>
      <c r="DO294" s="312"/>
      <c r="DP294" s="312"/>
      <c r="DQ294" s="312"/>
      <c r="DR294" s="312"/>
      <c r="DS294" s="312"/>
      <c r="DT294" s="312"/>
      <c r="DU294" s="312"/>
      <c r="DV294" s="312"/>
      <c r="DW294" s="312"/>
      <c r="DX294" s="312"/>
      <c r="DY294" s="312"/>
      <c r="DZ294" s="312"/>
      <c r="EA294" s="312"/>
      <c r="EB294" s="312"/>
      <c r="EC294" s="312"/>
      <c r="ED294" s="312"/>
      <c r="EE294" s="312"/>
      <c r="EF294" s="312"/>
      <c r="EG294" s="312"/>
      <c r="EH294" s="312"/>
      <c r="EI294" s="312"/>
      <c r="EJ294" s="312"/>
      <c r="EK294" s="312"/>
      <c r="EL294" s="312"/>
      <c r="EM294" s="312"/>
      <c r="EN294" s="312"/>
      <c r="EO294" s="312"/>
      <c r="EP294" s="312"/>
      <c r="EQ294" s="312"/>
      <c r="ER294" s="312"/>
      <c r="ES294" s="312"/>
      <c r="ET294" s="312"/>
      <c r="EU294" s="312"/>
      <c r="EV294" s="312"/>
      <c r="EW294" s="312"/>
      <c r="EX294" s="312"/>
      <c r="EY294" s="312"/>
      <c r="EZ294" s="312"/>
      <c r="FA294" s="312"/>
      <c r="FB294" s="312"/>
      <c r="FC294" s="312"/>
      <c r="FD294" s="312"/>
      <c r="FE294" s="312"/>
      <c r="FF294" s="312"/>
      <c r="FG294" s="312"/>
      <c r="FH294" s="312"/>
      <c r="FI294" s="312"/>
      <c r="FJ294" s="312"/>
      <c r="FK294" s="312"/>
      <c r="FL294" s="312"/>
      <c r="FM294" s="312"/>
      <c r="FN294" s="312"/>
      <c r="FO294" s="312"/>
      <c r="FP294" s="312"/>
      <c r="FQ294" s="312"/>
      <c r="FR294" s="312"/>
      <c r="FS294" s="312"/>
      <c r="FT294" s="312"/>
      <c r="FU294" s="312"/>
      <c r="FV294" s="312"/>
      <c r="FW294" s="312"/>
      <c r="FX294" s="312"/>
      <c r="FY294" s="312"/>
      <c r="FZ294" s="312"/>
      <c r="GA294" s="312"/>
      <c r="GB294" s="312"/>
      <c r="GC294" s="312"/>
      <c r="GD294" s="312"/>
      <c r="GE294" s="312"/>
      <c r="GF294" s="312"/>
      <c r="GG294" s="312"/>
      <c r="GH294" s="312"/>
      <c r="GI294" s="312"/>
      <c r="GJ294" s="312"/>
      <c r="GK294" s="312"/>
      <c r="GL294" s="312"/>
      <c r="GM294" s="312"/>
      <c r="GN294" s="312"/>
      <c r="GO294" s="312"/>
      <c r="GP294" s="312"/>
      <c r="GQ294" s="312"/>
      <c r="GR294" s="312"/>
      <c r="GS294" s="312"/>
      <c r="GT294" s="312"/>
      <c r="GU294" s="312"/>
      <c r="GV294" s="312"/>
      <c r="GW294" s="312"/>
      <c r="GX294" s="312"/>
      <c r="GY294" s="312"/>
    </row>
    <row r="295" spans="2:207" ht="15.75" x14ac:dyDescent="0.25">
      <c r="B295" s="316">
        <f t="shared" si="77"/>
        <v>265</v>
      </c>
      <c r="C295" s="330">
        <f>'סיכום לוועדה'!B295</f>
        <v>1001348145</v>
      </c>
      <c r="D295" s="330">
        <f>'סיכום לוועדה'!C295</f>
        <v>1001275675</v>
      </c>
      <c r="E295" s="330">
        <f>'סיכום לוועדה'!D295</f>
        <v>40000564</v>
      </c>
      <c r="F295" s="330">
        <f>'סיכום לוועדה'!E295</f>
        <v>20000201</v>
      </c>
      <c r="G295" s="330" t="str">
        <f>'סיכום לוועדה'!F295</f>
        <v>תל אביב -יפו</v>
      </c>
      <c r="H295" s="317" t="str">
        <f>'סיכום לוועדה'!G295</f>
        <v>עמותת הכוריאוגרפים (ע"ר)</v>
      </c>
      <c r="I295" s="318">
        <f>'סיכום לוועדה'!U295</f>
        <v>150000</v>
      </c>
      <c r="J295" s="319">
        <f>'סיכום לוועדה'!T295</f>
        <v>28199.804050167688</v>
      </c>
      <c r="K295" s="320">
        <f t="shared" si="78"/>
        <v>0</v>
      </c>
      <c r="L295" s="319">
        <f t="shared" si="79"/>
        <v>28199.804050167688</v>
      </c>
      <c r="M295" s="331">
        <f>'תחום תמיכה ב'!AF295</f>
        <v>1.8059719029763833E-4</v>
      </c>
      <c r="N295" s="319">
        <f t="shared" si="76"/>
        <v>31276.189041045549</v>
      </c>
      <c r="O295" s="321">
        <f t="shared" si="80"/>
        <v>0</v>
      </c>
      <c r="P295" s="322">
        <f t="shared" si="81"/>
        <v>31276.189041045549</v>
      </c>
      <c r="Q295" s="322">
        <f t="shared" si="82"/>
        <v>31290.429915940618</v>
      </c>
      <c r="R295" s="321">
        <f t="shared" si="83"/>
        <v>0</v>
      </c>
      <c r="S295" s="322">
        <f t="shared" si="84"/>
        <v>31290.429915940618</v>
      </c>
      <c r="T295" s="322">
        <f t="shared" si="85"/>
        <v>31290.429915940556</v>
      </c>
      <c r="U295" s="321">
        <f t="shared" si="86"/>
        <v>0</v>
      </c>
      <c r="V295" s="322">
        <f t="shared" si="87"/>
        <v>31290.429915940556</v>
      </c>
      <c r="W295" s="322">
        <f t="shared" si="88"/>
        <v>31290.429915940567</v>
      </c>
      <c r="X295" s="321">
        <f t="shared" si="89"/>
        <v>0</v>
      </c>
      <c r="Y295" s="322">
        <f t="shared" si="90"/>
        <v>31290.429915940567</v>
      </c>
      <c r="Z295" s="322">
        <f t="shared" si="91"/>
        <v>31290.42991594056</v>
      </c>
      <c r="AA295" s="323">
        <f t="shared" si="92"/>
        <v>31290.42991594056</v>
      </c>
      <c r="AB295" s="323"/>
      <c r="AC295" s="323"/>
      <c r="AD295" s="323"/>
      <c r="AE295" s="323"/>
      <c r="AF295" s="324">
        <f t="shared" si="93"/>
        <v>1.7919351987391336E-4</v>
      </c>
      <c r="AG295" s="312"/>
      <c r="AH295" s="312"/>
      <c r="AI295" s="325">
        <f t="shared" si="94"/>
        <v>1</v>
      </c>
      <c r="AJ295" s="312"/>
      <c r="AK295" s="312"/>
      <c r="AL295" s="312"/>
      <c r="AM295" s="312"/>
      <c r="AN295" s="312"/>
      <c r="AO295" s="312"/>
      <c r="AP295" s="312"/>
      <c r="AQ295" s="312"/>
      <c r="AR295" s="312"/>
      <c r="AS295" s="312"/>
      <c r="AT295" s="312"/>
      <c r="AU295" s="312"/>
      <c r="AV295" s="312"/>
      <c r="AW295" s="312"/>
      <c r="AX295" s="312"/>
      <c r="AY295" s="312"/>
      <c r="AZ295" s="312"/>
      <c r="BA295" s="312"/>
      <c r="BB295" s="312"/>
      <c r="BC295" s="312"/>
      <c r="BD295" s="312"/>
      <c r="BE295" s="312"/>
      <c r="BF295" s="312"/>
      <c r="BG295" s="312"/>
      <c r="BH295" s="312"/>
      <c r="BI295" s="312"/>
      <c r="BJ295" s="312"/>
      <c r="BK295" s="312"/>
      <c r="BL295" s="312"/>
      <c r="BM295" s="312"/>
      <c r="BN295" s="312"/>
      <c r="BO295" s="312"/>
      <c r="BP295" s="312"/>
      <c r="BQ295" s="312"/>
      <c r="BR295" s="312"/>
      <c r="BS295" s="312"/>
      <c r="BT295" s="312"/>
      <c r="BU295" s="312"/>
      <c r="BV295" s="312"/>
      <c r="BW295" s="312"/>
      <c r="BX295" s="312"/>
      <c r="BY295" s="312"/>
      <c r="BZ295" s="312"/>
      <c r="CA295" s="312"/>
      <c r="CB295" s="312"/>
      <c r="CC295" s="312"/>
      <c r="CD295" s="312"/>
      <c r="CE295" s="312"/>
      <c r="CF295" s="312"/>
      <c r="CG295" s="312"/>
      <c r="CH295" s="312"/>
      <c r="CI295" s="312"/>
      <c r="CJ295" s="312"/>
      <c r="CK295" s="312"/>
      <c r="CL295" s="312"/>
      <c r="CM295" s="312"/>
      <c r="CN295" s="312"/>
      <c r="CO295" s="312"/>
      <c r="CP295" s="312"/>
      <c r="CQ295" s="312"/>
      <c r="CR295" s="312"/>
      <c r="CS295" s="312"/>
      <c r="CT295" s="312"/>
      <c r="CU295" s="312"/>
      <c r="CV295" s="312"/>
      <c r="CW295" s="312"/>
      <c r="CX295" s="312"/>
      <c r="CY295" s="312"/>
      <c r="CZ295" s="312"/>
      <c r="DA295" s="312"/>
      <c r="DB295" s="312"/>
      <c r="DC295" s="312"/>
      <c r="DD295" s="312"/>
      <c r="DE295" s="312"/>
      <c r="DF295" s="312"/>
      <c r="DG295" s="312"/>
      <c r="DH295" s="312"/>
      <c r="DI295" s="312"/>
      <c r="DJ295" s="312"/>
      <c r="DK295" s="312"/>
      <c r="DL295" s="312"/>
      <c r="DM295" s="312"/>
      <c r="DN295" s="312"/>
      <c r="DO295" s="312"/>
      <c r="DP295" s="312"/>
      <c r="DQ295" s="312"/>
      <c r="DR295" s="312"/>
      <c r="DS295" s="312"/>
      <c r="DT295" s="312"/>
      <c r="DU295" s="312"/>
      <c r="DV295" s="312"/>
      <c r="DW295" s="312"/>
      <c r="DX295" s="312"/>
      <c r="DY295" s="312"/>
      <c r="DZ295" s="312"/>
      <c r="EA295" s="312"/>
      <c r="EB295" s="312"/>
      <c r="EC295" s="312"/>
      <c r="ED295" s="312"/>
      <c r="EE295" s="312"/>
      <c r="EF295" s="312"/>
      <c r="EG295" s="312"/>
      <c r="EH295" s="312"/>
      <c r="EI295" s="312"/>
      <c r="EJ295" s="312"/>
      <c r="EK295" s="312"/>
      <c r="EL295" s="312"/>
      <c r="EM295" s="312"/>
      <c r="EN295" s="312"/>
      <c r="EO295" s="312"/>
      <c r="EP295" s="312"/>
      <c r="EQ295" s="312"/>
      <c r="ER295" s="312"/>
      <c r="ES295" s="312"/>
      <c r="ET295" s="312"/>
      <c r="EU295" s="312"/>
      <c r="EV295" s="312"/>
      <c r="EW295" s="312"/>
      <c r="EX295" s="312"/>
      <c r="EY295" s="312"/>
      <c r="EZ295" s="312"/>
      <c r="FA295" s="312"/>
      <c r="FB295" s="312"/>
      <c r="FC295" s="312"/>
      <c r="FD295" s="312"/>
      <c r="FE295" s="312"/>
      <c r="FF295" s="312"/>
      <c r="FG295" s="312"/>
      <c r="FH295" s="312"/>
      <c r="FI295" s="312"/>
      <c r="FJ295" s="312"/>
      <c r="FK295" s="312"/>
      <c r="FL295" s="312"/>
      <c r="FM295" s="312"/>
      <c r="FN295" s="312"/>
      <c r="FO295" s="312"/>
      <c r="FP295" s="312"/>
      <c r="FQ295" s="312"/>
      <c r="FR295" s="312"/>
      <c r="FS295" s="312"/>
      <c r="FT295" s="312"/>
      <c r="FU295" s="312"/>
      <c r="FV295" s="312"/>
      <c r="FW295" s="312"/>
      <c r="FX295" s="312"/>
      <c r="FY295" s="312"/>
      <c r="FZ295" s="312"/>
      <c r="GA295" s="312"/>
      <c r="GB295" s="312"/>
      <c r="GC295" s="312"/>
      <c r="GD295" s="312"/>
      <c r="GE295" s="312"/>
      <c r="GF295" s="312"/>
      <c r="GG295" s="312"/>
      <c r="GH295" s="312"/>
      <c r="GI295" s="312"/>
      <c r="GJ295" s="312"/>
      <c r="GK295" s="312"/>
      <c r="GL295" s="312"/>
      <c r="GM295" s="312"/>
      <c r="GN295" s="312"/>
      <c r="GO295" s="312"/>
      <c r="GP295" s="312"/>
      <c r="GQ295" s="312"/>
      <c r="GR295" s="312"/>
      <c r="GS295" s="312"/>
      <c r="GT295" s="312"/>
      <c r="GU295" s="312"/>
      <c r="GV295" s="312"/>
      <c r="GW295" s="312"/>
      <c r="GX295" s="312"/>
      <c r="GY295" s="312"/>
    </row>
    <row r="296" spans="2:207" ht="15.75" x14ac:dyDescent="0.25">
      <c r="B296" s="316">
        <f t="shared" si="77"/>
        <v>266</v>
      </c>
      <c r="C296" s="330">
        <f>'סיכום לוועדה'!B296</f>
        <v>1001348146</v>
      </c>
      <c r="D296" s="330">
        <f>'סיכום לוועדה'!C296</f>
        <v>1001275667</v>
      </c>
      <c r="E296" s="330">
        <f>'סיכום לוועדה'!D296</f>
        <v>40000564</v>
      </c>
      <c r="F296" s="330">
        <f>'סיכום לוועדה'!E296</f>
        <v>20000201</v>
      </c>
      <c r="G296" s="330" t="str">
        <f>'סיכום לוועדה'!F296</f>
        <v>תל אביב -יפו</v>
      </c>
      <c r="H296" s="317" t="str">
        <f>'סיכום לוועדה'!G296</f>
        <v>עמותת הכוריאוגרפים (ע"ר)</v>
      </c>
      <c r="I296" s="318">
        <f>'סיכום לוועדה'!U296</f>
        <v>150000</v>
      </c>
      <c r="J296" s="319">
        <f>'סיכום לוועדה'!T296</f>
        <v>5223.9601214920885</v>
      </c>
      <c r="K296" s="320">
        <f t="shared" si="78"/>
        <v>0</v>
      </c>
      <c r="L296" s="319">
        <f t="shared" si="79"/>
        <v>5223.9601214920885</v>
      </c>
      <c r="M296" s="331">
        <f>'תחום תמיכה ב'!AF296</f>
        <v>2.4182045855654506E-5</v>
      </c>
      <c r="N296" s="319">
        <f t="shared" si="76"/>
        <v>5635.8894698748054</v>
      </c>
      <c r="O296" s="321">
        <f t="shared" si="80"/>
        <v>0</v>
      </c>
      <c r="P296" s="322">
        <f t="shared" si="81"/>
        <v>5635.8894698748054</v>
      </c>
      <c r="Q296" s="322">
        <f t="shared" si="82"/>
        <v>5638.4556391979795</v>
      </c>
      <c r="R296" s="321">
        <f t="shared" si="83"/>
        <v>0</v>
      </c>
      <c r="S296" s="322">
        <f t="shared" si="84"/>
        <v>5638.4556391979795</v>
      </c>
      <c r="T296" s="322">
        <f t="shared" si="85"/>
        <v>5638.4556391979677</v>
      </c>
      <c r="U296" s="321">
        <f t="shared" si="86"/>
        <v>0</v>
      </c>
      <c r="V296" s="322">
        <f t="shared" si="87"/>
        <v>5638.4556391979677</v>
      </c>
      <c r="W296" s="322">
        <f t="shared" si="88"/>
        <v>5638.4556391979695</v>
      </c>
      <c r="X296" s="321">
        <f t="shared" si="89"/>
        <v>0</v>
      </c>
      <c r="Y296" s="322">
        <f t="shared" si="90"/>
        <v>5638.4556391979695</v>
      </c>
      <c r="Z296" s="322">
        <f t="shared" si="91"/>
        <v>5638.4556391979677</v>
      </c>
      <c r="AA296" s="323">
        <f t="shared" si="92"/>
        <v>5638.4556391979677</v>
      </c>
      <c r="AB296" s="323"/>
      <c r="AC296" s="323"/>
      <c r="AD296" s="323"/>
      <c r="AE296" s="323"/>
      <c r="AF296" s="324">
        <f t="shared" si="93"/>
        <v>3.2290215102671878E-5</v>
      </c>
      <c r="AG296" s="312"/>
      <c r="AH296" s="312"/>
      <c r="AI296" s="325">
        <f t="shared" si="94"/>
        <v>1</v>
      </c>
      <c r="AJ296" s="312"/>
      <c r="AK296" s="312"/>
      <c r="AL296" s="312"/>
      <c r="AM296" s="312"/>
      <c r="AN296" s="312"/>
      <c r="AO296" s="312"/>
      <c r="AP296" s="312"/>
      <c r="AQ296" s="312"/>
      <c r="AR296" s="312"/>
      <c r="AS296" s="312"/>
      <c r="AT296" s="312"/>
      <c r="AU296" s="312"/>
      <c r="AV296" s="312"/>
      <c r="AW296" s="312"/>
      <c r="AX296" s="312"/>
      <c r="AY296" s="312"/>
      <c r="AZ296" s="312"/>
      <c r="BA296" s="312"/>
      <c r="BB296" s="312"/>
      <c r="BC296" s="312"/>
      <c r="BD296" s="312"/>
      <c r="BE296" s="312"/>
      <c r="BF296" s="312"/>
      <c r="BG296" s="312"/>
      <c r="BH296" s="312"/>
      <c r="BI296" s="312"/>
      <c r="BJ296" s="312"/>
      <c r="BK296" s="312"/>
      <c r="BL296" s="312"/>
      <c r="BM296" s="312"/>
      <c r="BN296" s="312"/>
      <c r="BO296" s="312"/>
      <c r="BP296" s="312"/>
      <c r="BQ296" s="312"/>
      <c r="BR296" s="312"/>
      <c r="BS296" s="312"/>
      <c r="BT296" s="312"/>
      <c r="BU296" s="312"/>
      <c r="BV296" s="312"/>
      <c r="BW296" s="312"/>
      <c r="BX296" s="312"/>
      <c r="BY296" s="312"/>
      <c r="BZ296" s="312"/>
      <c r="CA296" s="312"/>
      <c r="CB296" s="312"/>
      <c r="CC296" s="312"/>
      <c r="CD296" s="312"/>
      <c r="CE296" s="312"/>
      <c r="CF296" s="312"/>
      <c r="CG296" s="312"/>
      <c r="CH296" s="312"/>
      <c r="CI296" s="312"/>
      <c r="CJ296" s="312"/>
      <c r="CK296" s="312"/>
      <c r="CL296" s="312"/>
      <c r="CM296" s="312"/>
      <c r="CN296" s="312"/>
      <c r="CO296" s="312"/>
      <c r="CP296" s="312"/>
      <c r="CQ296" s="312"/>
      <c r="CR296" s="312"/>
      <c r="CS296" s="312"/>
      <c r="CT296" s="312"/>
      <c r="CU296" s="312"/>
      <c r="CV296" s="312"/>
      <c r="CW296" s="312"/>
      <c r="CX296" s="312"/>
      <c r="CY296" s="312"/>
      <c r="CZ296" s="312"/>
      <c r="DA296" s="312"/>
      <c r="DB296" s="312"/>
      <c r="DC296" s="312"/>
      <c r="DD296" s="312"/>
      <c r="DE296" s="312"/>
      <c r="DF296" s="312"/>
      <c r="DG296" s="312"/>
      <c r="DH296" s="312"/>
      <c r="DI296" s="312"/>
      <c r="DJ296" s="312"/>
      <c r="DK296" s="312"/>
      <c r="DL296" s="312"/>
      <c r="DM296" s="312"/>
      <c r="DN296" s="312"/>
      <c r="DO296" s="312"/>
      <c r="DP296" s="312"/>
      <c r="DQ296" s="312"/>
      <c r="DR296" s="312"/>
      <c r="DS296" s="312"/>
      <c r="DT296" s="312"/>
      <c r="DU296" s="312"/>
      <c r="DV296" s="312"/>
      <c r="DW296" s="312"/>
      <c r="DX296" s="312"/>
      <c r="DY296" s="312"/>
      <c r="DZ296" s="312"/>
      <c r="EA296" s="312"/>
      <c r="EB296" s="312"/>
      <c r="EC296" s="312"/>
      <c r="ED296" s="312"/>
      <c r="EE296" s="312"/>
      <c r="EF296" s="312"/>
      <c r="EG296" s="312"/>
      <c r="EH296" s="312"/>
      <c r="EI296" s="312"/>
      <c r="EJ296" s="312"/>
      <c r="EK296" s="312"/>
      <c r="EL296" s="312"/>
      <c r="EM296" s="312"/>
      <c r="EN296" s="312"/>
      <c r="EO296" s="312"/>
      <c r="EP296" s="312"/>
      <c r="EQ296" s="312"/>
      <c r="ER296" s="312"/>
      <c r="ES296" s="312"/>
      <c r="ET296" s="312"/>
      <c r="EU296" s="312"/>
      <c r="EV296" s="312"/>
      <c r="EW296" s="312"/>
      <c r="EX296" s="312"/>
      <c r="EY296" s="312"/>
      <c r="EZ296" s="312"/>
      <c r="FA296" s="312"/>
      <c r="FB296" s="312"/>
      <c r="FC296" s="312"/>
      <c r="FD296" s="312"/>
      <c r="FE296" s="312"/>
      <c r="FF296" s="312"/>
      <c r="FG296" s="312"/>
      <c r="FH296" s="312"/>
      <c r="FI296" s="312"/>
      <c r="FJ296" s="312"/>
      <c r="FK296" s="312"/>
      <c r="FL296" s="312"/>
      <c r="FM296" s="312"/>
      <c r="FN296" s="312"/>
      <c r="FO296" s="312"/>
      <c r="FP296" s="312"/>
      <c r="FQ296" s="312"/>
      <c r="FR296" s="312"/>
      <c r="FS296" s="312"/>
      <c r="FT296" s="312"/>
      <c r="FU296" s="312"/>
      <c r="FV296" s="312"/>
      <c r="FW296" s="312"/>
      <c r="FX296" s="312"/>
      <c r="FY296" s="312"/>
      <c r="FZ296" s="312"/>
      <c r="GA296" s="312"/>
      <c r="GB296" s="312"/>
      <c r="GC296" s="312"/>
      <c r="GD296" s="312"/>
      <c r="GE296" s="312"/>
      <c r="GF296" s="312"/>
      <c r="GG296" s="312"/>
      <c r="GH296" s="312"/>
      <c r="GI296" s="312"/>
      <c r="GJ296" s="312"/>
      <c r="GK296" s="312"/>
      <c r="GL296" s="312"/>
      <c r="GM296" s="312"/>
      <c r="GN296" s="312"/>
      <c r="GO296" s="312"/>
      <c r="GP296" s="312"/>
      <c r="GQ296" s="312"/>
      <c r="GR296" s="312"/>
      <c r="GS296" s="312"/>
      <c r="GT296" s="312"/>
      <c r="GU296" s="312"/>
      <c r="GV296" s="312"/>
      <c r="GW296" s="312"/>
      <c r="GX296" s="312"/>
      <c r="GY296" s="312"/>
    </row>
    <row r="297" spans="2:207" ht="15.75" x14ac:dyDescent="0.25">
      <c r="B297" s="316">
        <f t="shared" si="77"/>
        <v>267</v>
      </c>
      <c r="C297" s="330">
        <f>'סיכום לוועדה'!B297</f>
        <v>1001348148</v>
      </c>
      <c r="D297" s="330">
        <f>'סיכום לוועדה'!C297</f>
        <v>1001275666</v>
      </c>
      <c r="E297" s="330">
        <f>'סיכום לוועדה'!D297</f>
        <v>40000564</v>
      </c>
      <c r="F297" s="330">
        <f>'סיכום לוועדה'!E297</f>
        <v>20000201</v>
      </c>
      <c r="G297" s="330" t="str">
        <f>'סיכום לוועדה'!F297</f>
        <v>תל אביב -יפו</v>
      </c>
      <c r="H297" s="317" t="str">
        <f>'סיכום לוועדה'!G297</f>
        <v>עמותת הכוריאוגרפים (ע"ר)</v>
      </c>
      <c r="I297" s="318">
        <f>'סיכום לוועדה'!U297</f>
        <v>150000</v>
      </c>
      <c r="J297" s="319">
        <f>'סיכום לוועדה'!T297</f>
        <v>9610.7660299341114</v>
      </c>
      <c r="K297" s="320">
        <f t="shared" si="78"/>
        <v>0</v>
      </c>
      <c r="L297" s="319">
        <f t="shared" si="79"/>
        <v>9610.7660299341114</v>
      </c>
      <c r="M297" s="331">
        <f>'תחום תמיכה ב'!AF297</f>
        <v>7.9304947489641092E-5</v>
      </c>
      <c r="N297" s="319">
        <f t="shared" si="76"/>
        <v>10961.687103276408</v>
      </c>
      <c r="O297" s="321">
        <f t="shared" si="80"/>
        <v>0</v>
      </c>
      <c r="P297" s="322">
        <f t="shared" si="81"/>
        <v>10961.687103276408</v>
      </c>
      <c r="Q297" s="322">
        <f t="shared" si="82"/>
        <v>10966.678248919881</v>
      </c>
      <c r="R297" s="321">
        <f t="shared" si="83"/>
        <v>0</v>
      </c>
      <c r="S297" s="322">
        <f t="shared" si="84"/>
        <v>10966.678248919881</v>
      </c>
      <c r="T297" s="322">
        <f t="shared" si="85"/>
        <v>10966.678248919859</v>
      </c>
      <c r="U297" s="321">
        <f t="shared" si="86"/>
        <v>0</v>
      </c>
      <c r="V297" s="322">
        <f t="shared" si="87"/>
        <v>10966.678248919859</v>
      </c>
      <c r="W297" s="322">
        <f t="shared" si="88"/>
        <v>10966.678248919865</v>
      </c>
      <c r="X297" s="321">
        <f t="shared" si="89"/>
        <v>0</v>
      </c>
      <c r="Y297" s="322">
        <f t="shared" si="90"/>
        <v>10966.678248919865</v>
      </c>
      <c r="Z297" s="322">
        <f t="shared" si="91"/>
        <v>10966.678248919861</v>
      </c>
      <c r="AA297" s="323">
        <f t="shared" si="92"/>
        <v>10966.678248919861</v>
      </c>
      <c r="AB297" s="323"/>
      <c r="AC297" s="323"/>
      <c r="AD297" s="323"/>
      <c r="AE297" s="323"/>
      <c r="AF297" s="324">
        <f t="shared" si="93"/>
        <v>6.2803792789932445E-5</v>
      </c>
      <c r="AG297" s="312"/>
      <c r="AH297" s="312"/>
      <c r="AI297" s="325">
        <f t="shared" si="94"/>
        <v>1</v>
      </c>
      <c r="AJ297" s="312"/>
      <c r="AK297" s="312"/>
      <c r="AL297" s="312"/>
      <c r="AM297" s="312"/>
      <c r="AN297" s="312"/>
      <c r="AO297" s="312"/>
      <c r="AP297" s="312"/>
      <c r="AQ297" s="312"/>
      <c r="AR297" s="312"/>
      <c r="AS297" s="312"/>
      <c r="AT297" s="312"/>
      <c r="AU297" s="312"/>
      <c r="AV297" s="312"/>
      <c r="AW297" s="312"/>
      <c r="AX297" s="312"/>
      <c r="AY297" s="312"/>
      <c r="AZ297" s="312"/>
      <c r="BA297" s="312"/>
      <c r="BB297" s="312"/>
      <c r="BC297" s="312"/>
      <c r="BD297" s="312"/>
      <c r="BE297" s="312"/>
      <c r="BF297" s="312"/>
      <c r="BG297" s="312"/>
      <c r="BH297" s="312"/>
      <c r="BI297" s="312"/>
      <c r="BJ297" s="312"/>
      <c r="BK297" s="312"/>
      <c r="BL297" s="312"/>
      <c r="BM297" s="312"/>
      <c r="BN297" s="312"/>
      <c r="BO297" s="312"/>
      <c r="BP297" s="312"/>
      <c r="BQ297" s="312"/>
      <c r="BR297" s="312"/>
      <c r="BS297" s="312"/>
      <c r="BT297" s="312"/>
      <c r="BU297" s="312"/>
      <c r="BV297" s="312"/>
      <c r="BW297" s="312"/>
      <c r="BX297" s="312"/>
      <c r="BY297" s="312"/>
      <c r="BZ297" s="312"/>
      <c r="CA297" s="312"/>
      <c r="CB297" s="312"/>
      <c r="CC297" s="312"/>
      <c r="CD297" s="312"/>
      <c r="CE297" s="312"/>
      <c r="CF297" s="312"/>
      <c r="CG297" s="312"/>
      <c r="CH297" s="312"/>
      <c r="CI297" s="312"/>
      <c r="CJ297" s="312"/>
      <c r="CK297" s="312"/>
      <c r="CL297" s="312"/>
      <c r="CM297" s="312"/>
      <c r="CN297" s="312"/>
      <c r="CO297" s="312"/>
      <c r="CP297" s="312"/>
      <c r="CQ297" s="312"/>
      <c r="CR297" s="312"/>
      <c r="CS297" s="312"/>
      <c r="CT297" s="312"/>
      <c r="CU297" s="312"/>
      <c r="CV297" s="312"/>
      <c r="CW297" s="312"/>
      <c r="CX297" s="312"/>
      <c r="CY297" s="312"/>
      <c r="CZ297" s="312"/>
      <c r="DA297" s="312"/>
      <c r="DB297" s="312"/>
      <c r="DC297" s="312"/>
      <c r="DD297" s="312"/>
      <c r="DE297" s="312"/>
      <c r="DF297" s="312"/>
      <c r="DG297" s="312"/>
      <c r="DH297" s="312"/>
      <c r="DI297" s="312"/>
      <c r="DJ297" s="312"/>
      <c r="DK297" s="312"/>
      <c r="DL297" s="312"/>
      <c r="DM297" s="312"/>
      <c r="DN297" s="312"/>
      <c r="DO297" s="312"/>
      <c r="DP297" s="312"/>
      <c r="DQ297" s="312"/>
      <c r="DR297" s="312"/>
      <c r="DS297" s="312"/>
      <c r="DT297" s="312"/>
      <c r="DU297" s="312"/>
      <c r="DV297" s="312"/>
      <c r="DW297" s="312"/>
      <c r="DX297" s="312"/>
      <c r="DY297" s="312"/>
      <c r="DZ297" s="312"/>
      <c r="EA297" s="312"/>
      <c r="EB297" s="312"/>
      <c r="EC297" s="312"/>
      <c r="ED297" s="312"/>
      <c r="EE297" s="312"/>
      <c r="EF297" s="312"/>
      <c r="EG297" s="312"/>
      <c r="EH297" s="312"/>
      <c r="EI297" s="312"/>
      <c r="EJ297" s="312"/>
      <c r="EK297" s="312"/>
      <c r="EL297" s="312"/>
      <c r="EM297" s="312"/>
      <c r="EN297" s="312"/>
      <c r="EO297" s="312"/>
      <c r="EP297" s="312"/>
      <c r="EQ297" s="312"/>
      <c r="ER297" s="312"/>
      <c r="ES297" s="312"/>
      <c r="ET297" s="312"/>
      <c r="EU297" s="312"/>
      <c r="EV297" s="312"/>
      <c r="EW297" s="312"/>
      <c r="EX297" s="312"/>
      <c r="EY297" s="312"/>
      <c r="EZ297" s="312"/>
      <c r="FA297" s="312"/>
      <c r="FB297" s="312"/>
      <c r="FC297" s="312"/>
      <c r="FD297" s="312"/>
      <c r="FE297" s="312"/>
      <c r="FF297" s="312"/>
      <c r="FG297" s="312"/>
      <c r="FH297" s="312"/>
      <c r="FI297" s="312"/>
      <c r="FJ297" s="312"/>
      <c r="FK297" s="312"/>
      <c r="FL297" s="312"/>
      <c r="FM297" s="312"/>
      <c r="FN297" s="312"/>
      <c r="FO297" s="312"/>
      <c r="FP297" s="312"/>
      <c r="FQ297" s="312"/>
      <c r="FR297" s="312"/>
      <c r="FS297" s="312"/>
      <c r="FT297" s="312"/>
      <c r="FU297" s="312"/>
      <c r="FV297" s="312"/>
      <c r="FW297" s="312"/>
      <c r="FX297" s="312"/>
      <c r="FY297" s="312"/>
      <c r="FZ297" s="312"/>
      <c r="GA297" s="312"/>
      <c r="GB297" s="312"/>
      <c r="GC297" s="312"/>
      <c r="GD297" s="312"/>
      <c r="GE297" s="312"/>
      <c r="GF297" s="312"/>
      <c r="GG297" s="312"/>
      <c r="GH297" s="312"/>
      <c r="GI297" s="312"/>
      <c r="GJ297" s="312"/>
      <c r="GK297" s="312"/>
      <c r="GL297" s="312"/>
      <c r="GM297" s="312"/>
      <c r="GN297" s="312"/>
      <c r="GO297" s="312"/>
      <c r="GP297" s="312"/>
      <c r="GQ297" s="312"/>
      <c r="GR297" s="312"/>
      <c r="GS297" s="312"/>
      <c r="GT297" s="312"/>
      <c r="GU297" s="312"/>
      <c r="GV297" s="312"/>
      <c r="GW297" s="312"/>
      <c r="GX297" s="312"/>
      <c r="GY297" s="312"/>
    </row>
    <row r="298" spans="2:207" ht="15.75" x14ac:dyDescent="0.25">
      <c r="B298" s="316">
        <f t="shared" si="77"/>
        <v>268</v>
      </c>
      <c r="C298" s="330">
        <f>'סיכום לוועדה'!B298</f>
        <v>1001348157</v>
      </c>
      <c r="D298" s="330">
        <f>'סיכום לוועדה'!C298</f>
        <v>1001275663</v>
      </c>
      <c r="E298" s="330">
        <f>'סיכום לוועדה'!D298</f>
        <v>40000564</v>
      </c>
      <c r="F298" s="330">
        <f>'סיכום לוועדה'!E298</f>
        <v>20000201</v>
      </c>
      <c r="G298" s="330" t="str">
        <f>'סיכום לוועדה'!F298</f>
        <v>תל אביב -יפו</v>
      </c>
      <c r="H298" s="317" t="str">
        <f>'סיכום לוועדה'!G298</f>
        <v>עמותת הכוריאוגרפים (ע"ר)</v>
      </c>
      <c r="I298" s="318">
        <f>'סיכום לוועדה'!U298</f>
        <v>150000</v>
      </c>
      <c r="J298" s="319">
        <f>'סיכום לוועדה'!T298</f>
        <v>11333.042830017697</v>
      </c>
      <c r="K298" s="320">
        <f t="shared" si="78"/>
        <v>0</v>
      </c>
      <c r="L298" s="319">
        <f t="shared" si="79"/>
        <v>11333.042830017697</v>
      </c>
      <c r="M298" s="331">
        <f>'תחום תמיכה ב'!AF298</f>
        <v>6.4409017758517773E-5</v>
      </c>
      <c r="N298" s="319">
        <f t="shared" si="76"/>
        <v>12430.219010792869</v>
      </c>
      <c r="O298" s="321">
        <f t="shared" si="80"/>
        <v>0</v>
      </c>
      <c r="P298" s="322">
        <f t="shared" si="81"/>
        <v>12430.219010792869</v>
      </c>
      <c r="Q298" s="322">
        <f t="shared" si="82"/>
        <v>12435.878817798724</v>
      </c>
      <c r="R298" s="321">
        <f t="shared" si="83"/>
        <v>0</v>
      </c>
      <c r="S298" s="322">
        <f t="shared" si="84"/>
        <v>12435.878817798724</v>
      </c>
      <c r="T298" s="322">
        <f t="shared" si="85"/>
        <v>12435.878817798701</v>
      </c>
      <c r="U298" s="321">
        <f t="shared" si="86"/>
        <v>0</v>
      </c>
      <c r="V298" s="322">
        <f t="shared" si="87"/>
        <v>12435.878817798701</v>
      </c>
      <c r="W298" s="322">
        <f t="shared" si="88"/>
        <v>12435.878817798704</v>
      </c>
      <c r="X298" s="321">
        <f t="shared" si="89"/>
        <v>0</v>
      </c>
      <c r="Y298" s="322">
        <f t="shared" si="90"/>
        <v>12435.878817798704</v>
      </c>
      <c r="Z298" s="322">
        <f t="shared" si="91"/>
        <v>12435.878817798703</v>
      </c>
      <c r="AA298" s="323">
        <f t="shared" si="92"/>
        <v>12435.878817798703</v>
      </c>
      <c r="AB298" s="323"/>
      <c r="AC298" s="323"/>
      <c r="AD298" s="323"/>
      <c r="AE298" s="323"/>
      <c r="AF298" s="324">
        <f t="shared" si="93"/>
        <v>7.1217586465679777E-5</v>
      </c>
      <c r="AG298" s="312"/>
      <c r="AH298" s="312"/>
      <c r="AI298" s="325">
        <f t="shared" si="94"/>
        <v>1</v>
      </c>
      <c r="AJ298" s="312"/>
      <c r="AK298" s="312"/>
      <c r="AL298" s="312"/>
      <c r="AM298" s="312"/>
      <c r="AN298" s="312"/>
      <c r="AO298" s="312"/>
      <c r="AP298" s="312"/>
      <c r="AQ298" s="312"/>
      <c r="AR298" s="312"/>
      <c r="AS298" s="312"/>
      <c r="AT298" s="312"/>
      <c r="AU298" s="312"/>
      <c r="AV298" s="312"/>
      <c r="AW298" s="312"/>
      <c r="AX298" s="312"/>
      <c r="AY298" s="312"/>
      <c r="AZ298" s="312"/>
      <c r="BA298" s="312"/>
      <c r="BB298" s="312"/>
      <c r="BC298" s="312"/>
      <c r="BD298" s="312"/>
      <c r="BE298" s="312"/>
      <c r="BF298" s="312"/>
      <c r="BG298" s="312"/>
      <c r="BH298" s="312"/>
      <c r="BI298" s="312"/>
      <c r="BJ298" s="312"/>
      <c r="BK298" s="312"/>
      <c r="BL298" s="312"/>
      <c r="BM298" s="312"/>
      <c r="BN298" s="312"/>
      <c r="BO298" s="312"/>
      <c r="BP298" s="312"/>
      <c r="BQ298" s="312"/>
      <c r="BR298" s="312"/>
      <c r="BS298" s="312"/>
      <c r="BT298" s="312"/>
      <c r="BU298" s="312"/>
      <c r="BV298" s="312"/>
      <c r="BW298" s="312"/>
      <c r="BX298" s="312"/>
      <c r="BY298" s="312"/>
      <c r="BZ298" s="312"/>
      <c r="CA298" s="312"/>
      <c r="CB298" s="312"/>
      <c r="CC298" s="312"/>
      <c r="CD298" s="312"/>
      <c r="CE298" s="312"/>
      <c r="CF298" s="312"/>
      <c r="CG298" s="312"/>
      <c r="CH298" s="312"/>
      <c r="CI298" s="312"/>
      <c r="CJ298" s="312"/>
      <c r="CK298" s="312"/>
      <c r="CL298" s="312"/>
      <c r="CM298" s="312"/>
      <c r="CN298" s="312"/>
      <c r="CO298" s="312"/>
      <c r="CP298" s="312"/>
      <c r="CQ298" s="312"/>
      <c r="CR298" s="312"/>
      <c r="CS298" s="312"/>
      <c r="CT298" s="312"/>
      <c r="CU298" s="312"/>
      <c r="CV298" s="312"/>
      <c r="CW298" s="312"/>
      <c r="CX298" s="312"/>
      <c r="CY298" s="312"/>
      <c r="CZ298" s="312"/>
      <c r="DA298" s="312"/>
      <c r="DB298" s="312"/>
      <c r="DC298" s="312"/>
      <c r="DD298" s="312"/>
      <c r="DE298" s="312"/>
      <c r="DF298" s="312"/>
      <c r="DG298" s="312"/>
      <c r="DH298" s="312"/>
      <c r="DI298" s="312"/>
      <c r="DJ298" s="312"/>
      <c r="DK298" s="312"/>
      <c r="DL298" s="312"/>
      <c r="DM298" s="312"/>
      <c r="DN298" s="312"/>
      <c r="DO298" s="312"/>
      <c r="DP298" s="312"/>
      <c r="DQ298" s="312"/>
      <c r="DR298" s="312"/>
      <c r="DS298" s="312"/>
      <c r="DT298" s="312"/>
      <c r="DU298" s="312"/>
      <c r="DV298" s="312"/>
      <c r="DW298" s="312"/>
      <c r="DX298" s="312"/>
      <c r="DY298" s="312"/>
      <c r="DZ298" s="312"/>
      <c r="EA298" s="312"/>
      <c r="EB298" s="312"/>
      <c r="EC298" s="312"/>
      <c r="ED298" s="312"/>
      <c r="EE298" s="312"/>
      <c r="EF298" s="312"/>
      <c r="EG298" s="312"/>
      <c r="EH298" s="312"/>
      <c r="EI298" s="312"/>
      <c r="EJ298" s="312"/>
      <c r="EK298" s="312"/>
      <c r="EL298" s="312"/>
      <c r="EM298" s="312"/>
      <c r="EN298" s="312"/>
      <c r="EO298" s="312"/>
      <c r="EP298" s="312"/>
      <c r="EQ298" s="312"/>
      <c r="ER298" s="312"/>
      <c r="ES298" s="312"/>
      <c r="ET298" s="312"/>
      <c r="EU298" s="312"/>
      <c r="EV298" s="312"/>
      <c r="EW298" s="312"/>
      <c r="EX298" s="312"/>
      <c r="EY298" s="312"/>
      <c r="EZ298" s="312"/>
      <c r="FA298" s="312"/>
      <c r="FB298" s="312"/>
      <c r="FC298" s="312"/>
      <c r="FD298" s="312"/>
      <c r="FE298" s="312"/>
      <c r="FF298" s="312"/>
      <c r="FG298" s="312"/>
      <c r="FH298" s="312"/>
      <c r="FI298" s="312"/>
      <c r="FJ298" s="312"/>
      <c r="FK298" s="312"/>
      <c r="FL298" s="312"/>
      <c r="FM298" s="312"/>
      <c r="FN298" s="312"/>
      <c r="FO298" s="312"/>
      <c r="FP298" s="312"/>
      <c r="FQ298" s="312"/>
      <c r="FR298" s="312"/>
      <c r="FS298" s="312"/>
      <c r="FT298" s="312"/>
      <c r="FU298" s="312"/>
      <c r="FV298" s="312"/>
      <c r="FW298" s="312"/>
      <c r="FX298" s="312"/>
      <c r="FY298" s="312"/>
      <c r="FZ298" s="312"/>
      <c r="GA298" s="312"/>
      <c r="GB298" s="312"/>
      <c r="GC298" s="312"/>
      <c r="GD298" s="312"/>
      <c r="GE298" s="312"/>
      <c r="GF298" s="312"/>
      <c r="GG298" s="312"/>
      <c r="GH298" s="312"/>
      <c r="GI298" s="312"/>
      <c r="GJ298" s="312"/>
      <c r="GK298" s="312"/>
      <c r="GL298" s="312"/>
      <c r="GM298" s="312"/>
      <c r="GN298" s="312"/>
      <c r="GO298" s="312"/>
      <c r="GP298" s="312"/>
      <c r="GQ298" s="312"/>
      <c r="GR298" s="312"/>
      <c r="GS298" s="312"/>
      <c r="GT298" s="312"/>
      <c r="GU298" s="312"/>
      <c r="GV298" s="312"/>
      <c r="GW298" s="312"/>
      <c r="GX298" s="312"/>
      <c r="GY298" s="312"/>
    </row>
    <row r="299" spans="2:207" ht="15.75" x14ac:dyDescent="0.25">
      <c r="B299" s="316">
        <f t="shared" si="77"/>
        <v>269</v>
      </c>
      <c r="C299" s="330">
        <f>'סיכום לוועדה'!B299</f>
        <v>1001348158</v>
      </c>
      <c r="D299" s="330">
        <f>'סיכום לוועדה'!C299</f>
        <v>1001275662</v>
      </c>
      <c r="E299" s="330">
        <f>'סיכום לוועדה'!D299</f>
        <v>40000564</v>
      </c>
      <c r="F299" s="330">
        <f>'סיכום לוועדה'!E299</f>
        <v>20000201</v>
      </c>
      <c r="G299" s="330" t="str">
        <f>'סיכום לוועדה'!F299</f>
        <v>תל אביב -יפו</v>
      </c>
      <c r="H299" s="317" t="str">
        <f>'סיכום לוועדה'!G299</f>
        <v>עמותת הכוריאוגרפים (ע"ר)</v>
      </c>
      <c r="I299" s="318">
        <f>'סיכום לוועדה'!U299</f>
        <v>150000</v>
      </c>
      <c r="J299" s="319">
        <f>'סיכום לוועדה'!T299</f>
        <v>4130.9476999516992</v>
      </c>
      <c r="K299" s="320">
        <f t="shared" si="78"/>
        <v>0</v>
      </c>
      <c r="L299" s="319">
        <f t="shared" si="79"/>
        <v>4130.9476999516992</v>
      </c>
      <c r="M299" s="331">
        <f>'תחום תמיכה ב'!AF299</f>
        <v>3.2184539945718469E-5</v>
      </c>
      <c r="N299" s="319">
        <f t="shared" si="76"/>
        <v>4679.195629302857</v>
      </c>
      <c r="O299" s="321">
        <f t="shared" si="80"/>
        <v>0</v>
      </c>
      <c r="P299" s="322">
        <f t="shared" si="81"/>
        <v>4679.195629302857</v>
      </c>
      <c r="Q299" s="322">
        <f t="shared" si="82"/>
        <v>4681.3261906535063</v>
      </c>
      <c r="R299" s="321">
        <f t="shared" si="83"/>
        <v>0</v>
      </c>
      <c r="S299" s="322">
        <f t="shared" si="84"/>
        <v>4681.3261906535063</v>
      </c>
      <c r="T299" s="322">
        <f t="shared" si="85"/>
        <v>4681.3261906534963</v>
      </c>
      <c r="U299" s="321">
        <f t="shared" si="86"/>
        <v>0</v>
      </c>
      <c r="V299" s="322">
        <f t="shared" si="87"/>
        <v>4681.3261906534963</v>
      </c>
      <c r="W299" s="322">
        <f t="shared" si="88"/>
        <v>4681.3261906534981</v>
      </c>
      <c r="X299" s="321">
        <f t="shared" si="89"/>
        <v>0</v>
      </c>
      <c r="Y299" s="322">
        <f t="shared" si="90"/>
        <v>4681.3261906534981</v>
      </c>
      <c r="Z299" s="322">
        <f t="shared" si="91"/>
        <v>4681.3261906534972</v>
      </c>
      <c r="AA299" s="323">
        <f t="shared" si="92"/>
        <v>4681.3261906534972</v>
      </c>
      <c r="AB299" s="323"/>
      <c r="AC299" s="323"/>
      <c r="AD299" s="323"/>
      <c r="AE299" s="323"/>
      <c r="AF299" s="324">
        <f t="shared" si="93"/>
        <v>2.6808941904431585E-5</v>
      </c>
      <c r="AG299" s="312"/>
      <c r="AH299" s="312"/>
      <c r="AI299" s="325">
        <f t="shared" si="94"/>
        <v>1</v>
      </c>
      <c r="AJ299" s="312"/>
      <c r="AK299" s="312"/>
      <c r="AL299" s="312"/>
      <c r="AM299" s="312"/>
      <c r="AN299" s="312"/>
      <c r="AO299" s="312"/>
      <c r="AP299" s="312"/>
      <c r="AQ299" s="312"/>
      <c r="AR299" s="312"/>
      <c r="AS299" s="312"/>
      <c r="AT299" s="312"/>
      <c r="AU299" s="312"/>
      <c r="AV299" s="312"/>
      <c r="AW299" s="312"/>
      <c r="AX299" s="312"/>
      <c r="AY299" s="312"/>
      <c r="AZ299" s="312"/>
      <c r="BA299" s="312"/>
      <c r="BB299" s="312"/>
      <c r="BC299" s="312"/>
      <c r="BD299" s="312"/>
      <c r="BE299" s="312"/>
      <c r="BF299" s="312"/>
      <c r="BG299" s="312"/>
      <c r="BH299" s="312"/>
      <c r="BI299" s="312"/>
      <c r="BJ299" s="312"/>
      <c r="BK299" s="312"/>
      <c r="BL299" s="312"/>
      <c r="BM299" s="312"/>
      <c r="BN299" s="312"/>
      <c r="BO299" s="312"/>
      <c r="BP299" s="312"/>
      <c r="BQ299" s="312"/>
      <c r="BR299" s="312"/>
      <c r="BS299" s="312"/>
      <c r="BT299" s="312"/>
      <c r="BU299" s="312"/>
      <c r="BV299" s="312"/>
      <c r="BW299" s="312"/>
      <c r="BX299" s="312"/>
      <c r="BY299" s="312"/>
      <c r="BZ299" s="312"/>
      <c r="CA299" s="312"/>
      <c r="CB299" s="312"/>
      <c r="CC299" s="312"/>
      <c r="CD299" s="312"/>
      <c r="CE299" s="312"/>
      <c r="CF299" s="312"/>
      <c r="CG299" s="312"/>
      <c r="CH299" s="312"/>
      <c r="CI299" s="312"/>
      <c r="CJ299" s="312"/>
      <c r="CK299" s="312"/>
      <c r="CL299" s="312"/>
      <c r="CM299" s="312"/>
      <c r="CN299" s="312"/>
      <c r="CO299" s="312"/>
      <c r="CP299" s="312"/>
      <c r="CQ299" s="312"/>
      <c r="CR299" s="312"/>
      <c r="CS299" s="312"/>
      <c r="CT299" s="312"/>
      <c r="CU299" s="312"/>
      <c r="CV299" s="312"/>
      <c r="CW299" s="312"/>
      <c r="CX299" s="312"/>
      <c r="CY299" s="312"/>
      <c r="CZ299" s="312"/>
      <c r="DA299" s="312"/>
      <c r="DB299" s="312"/>
      <c r="DC299" s="312"/>
      <c r="DD299" s="312"/>
      <c r="DE299" s="312"/>
      <c r="DF299" s="312"/>
      <c r="DG299" s="312"/>
      <c r="DH299" s="312"/>
      <c r="DI299" s="312"/>
      <c r="DJ299" s="312"/>
      <c r="DK299" s="312"/>
      <c r="DL299" s="312"/>
      <c r="DM299" s="312"/>
      <c r="DN299" s="312"/>
      <c r="DO299" s="312"/>
      <c r="DP299" s="312"/>
      <c r="DQ299" s="312"/>
      <c r="DR299" s="312"/>
      <c r="DS299" s="312"/>
      <c r="DT299" s="312"/>
      <c r="DU299" s="312"/>
      <c r="DV299" s="312"/>
      <c r="DW299" s="312"/>
      <c r="DX299" s="312"/>
      <c r="DY299" s="312"/>
      <c r="DZ299" s="312"/>
      <c r="EA299" s="312"/>
      <c r="EB299" s="312"/>
      <c r="EC299" s="312"/>
      <c r="ED299" s="312"/>
      <c r="EE299" s="312"/>
      <c r="EF299" s="312"/>
      <c r="EG299" s="312"/>
      <c r="EH299" s="312"/>
      <c r="EI299" s="312"/>
      <c r="EJ299" s="312"/>
      <c r="EK299" s="312"/>
      <c r="EL299" s="312"/>
      <c r="EM299" s="312"/>
      <c r="EN299" s="312"/>
      <c r="EO299" s="312"/>
      <c r="EP299" s="312"/>
      <c r="EQ299" s="312"/>
      <c r="ER299" s="312"/>
      <c r="ES299" s="312"/>
      <c r="ET299" s="312"/>
      <c r="EU299" s="312"/>
      <c r="EV299" s="312"/>
      <c r="EW299" s="312"/>
      <c r="EX299" s="312"/>
      <c r="EY299" s="312"/>
      <c r="EZ299" s="312"/>
      <c r="FA299" s="312"/>
      <c r="FB299" s="312"/>
      <c r="FC299" s="312"/>
      <c r="FD299" s="312"/>
      <c r="FE299" s="312"/>
      <c r="FF299" s="312"/>
      <c r="FG299" s="312"/>
      <c r="FH299" s="312"/>
      <c r="FI299" s="312"/>
      <c r="FJ299" s="312"/>
      <c r="FK299" s="312"/>
      <c r="FL299" s="312"/>
      <c r="FM299" s="312"/>
      <c r="FN299" s="312"/>
      <c r="FO299" s="312"/>
      <c r="FP299" s="312"/>
      <c r="FQ299" s="312"/>
      <c r="FR299" s="312"/>
      <c r="FS299" s="312"/>
      <c r="FT299" s="312"/>
      <c r="FU299" s="312"/>
      <c r="FV299" s="312"/>
      <c r="FW299" s="312"/>
      <c r="FX299" s="312"/>
      <c r="FY299" s="312"/>
      <c r="FZ299" s="312"/>
      <c r="GA299" s="312"/>
      <c r="GB299" s="312"/>
      <c r="GC299" s="312"/>
      <c r="GD299" s="312"/>
      <c r="GE299" s="312"/>
      <c r="GF299" s="312"/>
      <c r="GG299" s="312"/>
      <c r="GH299" s="312"/>
      <c r="GI299" s="312"/>
      <c r="GJ299" s="312"/>
      <c r="GK299" s="312"/>
      <c r="GL299" s="312"/>
      <c r="GM299" s="312"/>
      <c r="GN299" s="312"/>
      <c r="GO299" s="312"/>
      <c r="GP299" s="312"/>
      <c r="GQ299" s="312"/>
      <c r="GR299" s="312"/>
      <c r="GS299" s="312"/>
      <c r="GT299" s="312"/>
      <c r="GU299" s="312"/>
      <c r="GV299" s="312"/>
      <c r="GW299" s="312"/>
      <c r="GX299" s="312"/>
      <c r="GY299" s="312"/>
    </row>
    <row r="300" spans="2:207" ht="15.75" x14ac:dyDescent="0.25">
      <c r="B300" s="316">
        <f t="shared" si="77"/>
        <v>270</v>
      </c>
      <c r="C300" s="330">
        <f>'סיכום לוועדה'!B300</f>
        <v>1001348159</v>
      </c>
      <c r="D300" s="330">
        <f>'סיכום לוועדה'!C300</f>
        <v>1001275661</v>
      </c>
      <c r="E300" s="330">
        <f>'סיכום לוועדה'!D300</f>
        <v>40000564</v>
      </c>
      <c r="F300" s="330">
        <f>'סיכום לוועדה'!E300</f>
        <v>20000201</v>
      </c>
      <c r="G300" s="330" t="str">
        <f>'סיכום לוועדה'!F300</f>
        <v>תל אביב -יפו</v>
      </c>
      <c r="H300" s="317" t="str">
        <f>'סיכום לוועדה'!G300</f>
        <v>עמותת הכוריאוגרפים (ע"ר)</v>
      </c>
      <c r="I300" s="318">
        <f>'סיכום לוועדה'!U300</f>
        <v>150000</v>
      </c>
      <c r="J300" s="319">
        <f>'סיכום לוועדה'!T300</f>
        <v>4311.8769035267651</v>
      </c>
      <c r="K300" s="320">
        <f t="shared" si="78"/>
        <v>0</v>
      </c>
      <c r="L300" s="319">
        <f t="shared" si="79"/>
        <v>4311.8769035267651</v>
      </c>
      <c r="M300" s="331">
        <f>'תחום תמיכה ב'!AF300</f>
        <v>2.5084875498017208E-5</v>
      </c>
      <c r="N300" s="319">
        <f t="shared" si="76"/>
        <v>4739.1855142142103</v>
      </c>
      <c r="O300" s="321">
        <f t="shared" si="80"/>
        <v>0</v>
      </c>
      <c r="P300" s="322">
        <f t="shared" si="81"/>
        <v>4739.1855142142103</v>
      </c>
      <c r="Q300" s="322">
        <f t="shared" si="82"/>
        <v>4741.3433905438324</v>
      </c>
      <c r="R300" s="321">
        <f t="shared" si="83"/>
        <v>0</v>
      </c>
      <c r="S300" s="322">
        <f t="shared" si="84"/>
        <v>4741.3433905438324</v>
      </c>
      <c r="T300" s="322">
        <f t="shared" si="85"/>
        <v>4741.3433905438224</v>
      </c>
      <c r="U300" s="321">
        <f t="shared" si="86"/>
        <v>0</v>
      </c>
      <c r="V300" s="322">
        <f t="shared" si="87"/>
        <v>4741.3433905438224</v>
      </c>
      <c r="W300" s="322">
        <f t="shared" si="88"/>
        <v>4741.3433905438242</v>
      </c>
      <c r="X300" s="321">
        <f t="shared" si="89"/>
        <v>0</v>
      </c>
      <c r="Y300" s="322">
        <f t="shared" si="90"/>
        <v>4741.3433905438242</v>
      </c>
      <c r="Z300" s="322">
        <f t="shared" si="91"/>
        <v>4741.3433905438233</v>
      </c>
      <c r="AA300" s="323">
        <f t="shared" si="92"/>
        <v>4741.3433905438233</v>
      </c>
      <c r="AB300" s="323"/>
      <c r="AC300" s="323"/>
      <c r="AD300" s="323"/>
      <c r="AE300" s="323"/>
      <c r="AF300" s="324">
        <f t="shared" si="93"/>
        <v>2.7152647418552529E-5</v>
      </c>
      <c r="AG300" s="312"/>
      <c r="AH300" s="312"/>
      <c r="AI300" s="325">
        <f t="shared" si="94"/>
        <v>1</v>
      </c>
      <c r="AJ300" s="312"/>
      <c r="AK300" s="312"/>
      <c r="AL300" s="312"/>
      <c r="AM300" s="312"/>
      <c r="AN300" s="312"/>
      <c r="AO300" s="312"/>
      <c r="AP300" s="312"/>
      <c r="AQ300" s="312"/>
      <c r="AR300" s="312"/>
      <c r="AS300" s="312"/>
      <c r="AT300" s="312"/>
      <c r="AU300" s="312"/>
      <c r="AV300" s="312"/>
      <c r="AW300" s="312"/>
      <c r="AX300" s="312"/>
      <c r="AY300" s="312"/>
      <c r="AZ300" s="312"/>
      <c r="BA300" s="312"/>
      <c r="BB300" s="312"/>
      <c r="BC300" s="312"/>
      <c r="BD300" s="312"/>
      <c r="BE300" s="312"/>
      <c r="BF300" s="312"/>
      <c r="BG300" s="312"/>
      <c r="BH300" s="312"/>
      <c r="BI300" s="312"/>
      <c r="BJ300" s="312"/>
      <c r="BK300" s="312"/>
      <c r="BL300" s="312"/>
      <c r="BM300" s="312"/>
      <c r="BN300" s="312"/>
      <c r="BO300" s="312"/>
      <c r="BP300" s="312"/>
      <c r="BQ300" s="312"/>
      <c r="BR300" s="312"/>
      <c r="BS300" s="312"/>
      <c r="BT300" s="312"/>
      <c r="BU300" s="312"/>
      <c r="BV300" s="312"/>
      <c r="BW300" s="312"/>
      <c r="BX300" s="312"/>
      <c r="BY300" s="312"/>
      <c r="BZ300" s="312"/>
      <c r="CA300" s="312"/>
      <c r="CB300" s="312"/>
      <c r="CC300" s="312"/>
      <c r="CD300" s="312"/>
      <c r="CE300" s="312"/>
      <c r="CF300" s="312"/>
      <c r="CG300" s="312"/>
      <c r="CH300" s="312"/>
      <c r="CI300" s="312"/>
      <c r="CJ300" s="312"/>
      <c r="CK300" s="312"/>
      <c r="CL300" s="312"/>
      <c r="CM300" s="312"/>
      <c r="CN300" s="312"/>
      <c r="CO300" s="312"/>
      <c r="CP300" s="312"/>
      <c r="CQ300" s="312"/>
      <c r="CR300" s="312"/>
      <c r="CS300" s="312"/>
      <c r="CT300" s="312"/>
      <c r="CU300" s="312"/>
      <c r="CV300" s="312"/>
      <c r="CW300" s="312"/>
      <c r="CX300" s="312"/>
      <c r="CY300" s="312"/>
      <c r="CZ300" s="312"/>
      <c r="DA300" s="312"/>
      <c r="DB300" s="312"/>
      <c r="DC300" s="312"/>
      <c r="DD300" s="312"/>
      <c r="DE300" s="312"/>
      <c r="DF300" s="312"/>
      <c r="DG300" s="312"/>
      <c r="DH300" s="312"/>
      <c r="DI300" s="312"/>
      <c r="DJ300" s="312"/>
      <c r="DK300" s="312"/>
      <c r="DL300" s="312"/>
      <c r="DM300" s="312"/>
      <c r="DN300" s="312"/>
      <c r="DO300" s="312"/>
      <c r="DP300" s="312"/>
      <c r="DQ300" s="312"/>
      <c r="DR300" s="312"/>
      <c r="DS300" s="312"/>
      <c r="DT300" s="312"/>
      <c r="DU300" s="312"/>
      <c r="DV300" s="312"/>
      <c r="DW300" s="312"/>
      <c r="DX300" s="312"/>
      <c r="DY300" s="312"/>
      <c r="DZ300" s="312"/>
      <c r="EA300" s="312"/>
      <c r="EB300" s="312"/>
      <c r="EC300" s="312"/>
      <c r="ED300" s="312"/>
      <c r="EE300" s="312"/>
      <c r="EF300" s="312"/>
      <c r="EG300" s="312"/>
      <c r="EH300" s="312"/>
      <c r="EI300" s="312"/>
      <c r="EJ300" s="312"/>
      <c r="EK300" s="312"/>
      <c r="EL300" s="312"/>
      <c r="EM300" s="312"/>
      <c r="EN300" s="312"/>
      <c r="EO300" s="312"/>
      <c r="EP300" s="312"/>
      <c r="EQ300" s="312"/>
      <c r="ER300" s="312"/>
      <c r="ES300" s="312"/>
      <c r="ET300" s="312"/>
      <c r="EU300" s="312"/>
      <c r="EV300" s="312"/>
      <c r="EW300" s="312"/>
      <c r="EX300" s="312"/>
      <c r="EY300" s="312"/>
      <c r="EZ300" s="312"/>
      <c r="FA300" s="312"/>
      <c r="FB300" s="312"/>
      <c r="FC300" s="312"/>
      <c r="FD300" s="312"/>
      <c r="FE300" s="312"/>
      <c r="FF300" s="312"/>
      <c r="FG300" s="312"/>
      <c r="FH300" s="312"/>
      <c r="FI300" s="312"/>
      <c r="FJ300" s="312"/>
      <c r="FK300" s="312"/>
      <c r="FL300" s="312"/>
      <c r="FM300" s="312"/>
      <c r="FN300" s="312"/>
      <c r="FO300" s="312"/>
      <c r="FP300" s="312"/>
      <c r="FQ300" s="312"/>
      <c r="FR300" s="312"/>
      <c r="FS300" s="312"/>
      <c r="FT300" s="312"/>
      <c r="FU300" s="312"/>
      <c r="FV300" s="312"/>
      <c r="FW300" s="312"/>
      <c r="FX300" s="312"/>
      <c r="FY300" s="312"/>
      <c r="FZ300" s="312"/>
      <c r="GA300" s="312"/>
      <c r="GB300" s="312"/>
      <c r="GC300" s="312"/>
      <c r="GD300" s="312"/>
      <c r="GE300" s="312"/>
      <c r="GF300" s="312"/>
      <c r="GG300" s="312"/>
      <c r="GH300" s="312"/>
      <c r="GI300" s="312"/>
      <c r="GJ300" s="312"/>
      <c r="GK300" s="312"/>
      <c r="GL300" s="312"/>
      <c r="GM300" s="312"/>
      <c r="GN300" s="312"/>
      <c r="GO300" s="312"/>
      <c r="GP300" s="312"/>
      <c r="GQ300" s="312"/>
      <c r="GR300" s="312"/>
      <c r="GS300" s="312"/>
      <c r="GT300" s="312"/>
      <c r="GU300" s="312"/>
      <c r="GV300" s="312"/>
      <c r="GW300" s="312"/>
      <c r="GX300" s="312"/>
      <c r="GY300" s="312"/>
    </row>
    <row r="301" spans="2:207" ht="15.75" x14ac:dyDescent="0.25">
      <c r="B301" s="316" t="str">
        <f t="shared" si="77"/>
        <v/>
      </c>
      <c r="C301" s="330" t="str">
        <f>'סיכום לוועדה'!B301</f>
        <v/>
      </c>
      <c r="D301" s="330" t="str">
        <f>'סיכום לוועדה'!C301</f>
        <v/>
      </c>
      <c r="E301" s="330" t="str">
        <f>'סיכום לוועדה'!D301</f>
        <v/>
      </c>
      <c r="F301" s="330" t="str">
        <f>'סיכום לוועדה'!E301</f>
        <v/>
      </c>
      <c r="G301" s="330" t="str">
        <f>'סיכום לוועדה'!F301</f>
        <v/>
      </c>
      <c r="H301" s="317" t="str">
        <f>'סיכום לוועדה'!G301</f>
        <v/>
      </c>
      <c r="I301" s="318" t="str">
        <f>'סיכום לוועדה'!U301</f>
        <v/>
      </c>
      <c r="J301" s="319" t="str">
        <f>'סיכום לוועדה'!T301</f>
        <v/>
      </c>
      <c r="K301" s="320" t="str">
        <f t="shared" si="78"/>
        <v/>
      </c>
      <c r="L301" s="319" t="str">
        <f t="shared" si="79"/>
        <v/>
      </c>
      <c r="M301" s="331" t="str">
        <f>'תחום תמיכה ב'!AF301</f>
        <v/>
      </c>
      <c r="N301" s="319" t="str">
        <f t="shared" si="76"/>
        <v/>
      </c>
      <c r="O301" s="321">
        <f t="shared" si="80"/>
        <v>0</v>
      </c>
      <c r="P301" s="322" t="str">
        <f t="shared" si="81"/>
        <v/>
      </c>
      <c r="Q301" s="322" t="str">
        <f t="shared" si="82"/>
        <v/>
      </c>
      <c r="R301" s="321">
        <f t="shared" si="83"/>
        <v>0</v>
      </c>
      <c r="S301" s="322" t="str">
        <f t="shared" si="84"/>
        <v/>
      </c>
      <c r="T301" s="322" t="str">
        <f t="shared" si="85"/>
        <v/>
      </c>
      <c r="U301" s="321">
        <f t="shared" si="86"/>
        <v>0</v>
      </c>
      <c r="V301" s="322" t="str">
        <f t="shared" si="87"/>
        <v/>
      </c>
      <c r="W301" s="322" t="str">
        <f t="shared" si="88"/>
        <v/>
      </c>
      <c r="X301" s="321">
        <f t="shared" si="89"/>
        <v>0</v>
      </c>
      <c r="Y301" s="322" t="str">
        <f t="shared" si="90"/>
        <v/>
      </c>
      <c r="Z301" s="322" t="str">
        <f t="shared" si="91"/>
        <v/>
      </c>
      <c r="AA301" s="323" t="str">
        <f t="shared" si="92"/>
        <v/>
      </c>
      <c r="AB301" s="323"/>
      <c r="AC301" s="323"/>
      <c r="AD301" s="323"/>
      <c r="AE301" s="323"/>
      <c r="AF301" s="324" t="str">
        <f t="shared" si="93"/>
        <v/>
      </c>
      <c r="AG301" s="312"/>
      <c r="AH301" s="312"/>
      <c r="AI301" s="325">
        <f t="shared" si="94"/>
        <v>0</v>
      </c>
      <c r="AJ301" s="312"/>
      <c r="AK301" s="312"/>
      <c r="AL301" s="312"/>
      <c r="AM301" s="312"/>
      <c r="AN301" s="312"/>
      <c r="AO301" s="312"/>
      <c r="AP301" s="312"/>
      <c r="AQ301" s="312"/>
      <c r="AR301" s="312"/>
      <c r="AS301" s="312"/>
      <c r="AT301" s="312"/>
      <c r="AU301" s="312"/>
      <c r="AV301" s="312"/>
      <c r="AW301" s="312"/>
      <c r="AX301" s="312"/>
      <c r="AY301" s="312"/>
      <c r="AZ301" s="312"/>
      <c r="BA301" s="312"/>
      <c r="BB301" s="312"/>
      <c r="BC301" s="312"/>
      <c r="BD301" s="312"/>
      <c r="BE301" s="312"/>
      <c r="BF301" s="312"/>
      <c r="BG301" s="312"/>
      <c r="BH301" s="312"/>
      <c r="BI301" s="312"/>
      <c r="BJ301" s="312"/>
      <c r="BK301" s="312"/>
      <c r="BL301" s="312"/>
      <c r="BM301" s="312"/>
      <c r="BN301" s="312"/>
      <c r="BO301" s="312"/>
      <c r="BP301" s="312"/>
      <c r="BQ301" s="312"/>
      <c r="BR301" s="312"/>
      <c r="BS301" s="312"/>
      <c r="BT301" s="312"/>
      <c r="BU301" s="312"/>
      <c r="BV301" s="312"/>
      <c r="BW301" s="312"/>
      <c r="BX301" s="312"/>
      <c r="BY301" s="312"/>
      <c r="BZ301" s="312"/>
      <c r="CA301" s="312"/>
      <c r="CB301" s="312"/>
      <c r="CC301" s="312"/>
      <c r="CD301" s="312"/>
      <c r="CE301" s="312"/>
      <c r="CF301" s="312"/>
      <c r="CG301" s="312"/>
      <c r="CH301" s="312"/>
      <c r="CI301" s="312"/>
      <c r="CJ301" s="312"/>
      <c r="CK301" s="312"/>
      <c r="CL301" s="312"/>
      <c r="CM301" s="312"/>
      <c r="CN301" s="312"/>
      <c r="CO301" s="312"/>
      <c r="CP301" s="312"/>
      <c r="CQ301" s="312"/>
      <c r="CR301" s="312"/>
      <c r="CS301" s="312"/>
      <c r="CT301" s="312"/>
      <c r="CU301" s="312"/>
      <c r="CV301" s="312"/>
      <c r="CW301" s="312"/>
      <c r="CX301" s="312"/>
      <c r="CY301" s="312"/>
      <c r="CZ301" s="312"/>
      <c r="DA301" s="312"/>
      <c r="DB301" s="312"/>
      <c r="DC301" s="312"/>
      <c r="DD301" s="312"/>
      <c r="DE301" s="312"/>
      <c r="DF301" s="312"/>
      <c r="DG301" s="312"/>
      <c r="DH301" s="312"/>
      <c r="DI301" s="312"/>
      <c r="DJ301" s="312"/>
      <c r="DK301" s="312"/>
      <c r="DL301" s="312"/>
      <c r="DM301" s="312"/>
      <c r="DN301" s="312"/>
      <c r="DO301" s="312"/>
      <c r="DP301" s="312"/>
      <c r="DQ301" s="312"/>
      <c r="DR301" s="312"/>
      <c r="DS301" s="312"/>
      <c r="DT301" s="312"/>
      <c r="DU301" s="312"/>
      <c r="DV301" s="312"/>
      <c r="DW301" s="312"/>
      <c r="DX301" s="312"/>
      <c r="DY301" s="312"/>
      <c r="DZ301" s="312"/>
      <c r="EA301" s="312"/>
      <c r="EB301" s="312"/>
      <c r="EC301" s="312"/>
      <c r="ED301" s="312"/>
      <c r="EE301" s="312"/>
      <c r="EF301" s="312"/>
      <c r="EG301" s="312"/>
      <c r="EH301" s="312"/>
      <c r="EI301" s="312"/>
      <c r="EJ301" s="312"/>
      <c r="EK301" s="312"/>
      <c r="EL301" s="312"/>
      <c r="EM301" s="312"/>
      <c r="EN301" s="312"/>
      <c r="EO301" s="312"/>
      <c r="EP301" s="312"/>
      <c r="EQ301" s="312"/>
      <c r="ER301" s="312"/>
      <c r="ES301" s="312"/>
      <c r="ET301" s="312"/>
      <c r="EU301" s="312"/>
      <c r="EV301" s="312"/>
      <c r="EW301" s="312"/>
      <c r="EX301" s="312"/>
      <c r="EY301" s="312"/>
      <c r="EZ301" s="312"/>
      <c r="FA301" s="312"/>
      <c r="FB301" s="312"/>
      <c r="FC301" s="312"/>
      <c r="FD301" s="312"/>
      <c r="FE301" s="312"/>
      <c r="FF301" s="312"/>
      <c r="FG301" s="312"/>
      <c r="FH301" s="312"/>
      <c r="FI301" s="312"/>
      <c r="FJ301" s="312"/>
      <c r="FK301" s="312"/>
      <c r="FL301" s="312"/>
      <c r="FM301" s="312"/>
      <c r="FN301" s="312"/>
      <c r="FO301" s="312"/>
      <c r="FP301" s="312"/>
      <c r="FQ301" s="312"/>
      <c r="FR301" s="312"/>
      <c r="FS301" s="312"/>
      <c r="FT301" s="312"/>
      <c r="FU301" s="312"/>
      <c r="FV301" s="312"/>
      <c r="FW301" s="312"/>
      <c r="FX301" s="312"/>
      <c r="FY301" s="312"/>
      <c r="FZ301" s="312"/>
      <c r="GA301" s="312"/>
      <c r="GB301" s="312"/>
      <c r="GC301" s="312"/>
      <c r="GD301" s="312"/>
      <c r="GE301" s="312"/>
      <c r="GF301" s="312"/>
      <c r="GG301" s="312"/>
      <c r="GH301" s="312"/>
      <c r="GI301" s="312"/>
      <c r="GJ301" s="312"/>
      <c r="GK301" s="312"/>
      <c r="GL301" s="312"/>
      <c r="GM301" s="312"/>
      <c r="GN301" s="312"/>
      <c r="GO301" s="312"/>
      <c r="GP301" s="312"/>
      <c r="GQ301" s="312"/>
      <c r="GR301" s="312"/>
      <c r="GS301" s="312"/>
      <c r="GT301" s="312"/>
      <c r="GU301" s="312"/>
      <c r="GV301" s="312"/>
      <c r="GW301" s="312"/>
      <c r="GX301" s="312"/>
      <c r="GY301" s="312"/>
    </row>
    <row r="302" spans="2:207" ht="15.75" x14ac:dyDescent="0.25">
      <c r="B302" s="316">
        <f t="shared" si="77"/>
        <v>272</v>
      </c>
      <c r="C302" s="330">
        <f>'סיכום לוועדה'!B302</f>
        <v>1001348161</v>
      </c>
      <c r="D302" s="330">
        <f>'סיכום לוועדה'!C302</f>
        <v>1001275647</v>
      </c>
      <c r="E302" s="330">
        <f>'סיכום לוועדה'!D302</f>
        <v>40000564</v>
      </c>
      <c r="F302" s="330">
        <f>'סיכום לוועדה'!E302</f>
        <v>20000201</v>
      </c>
      <c r="G302" s="330" t="str">
        <f>'סיכום לוועדה'!F302</f>
        <v>תל אביב -יפו</v>
      </c>
      <c r="H302" s="317" t="str">
        <f>'סיכום לוועדה'!G302</f>
        <v>עמותת הכוריאוגרפים (ע"ר)</v>
      </c>
      <c r="I302" s="318">
        <f>'סיכום לוועדה'!U302</f>
        <v>150000</v>
      </c>
      <c r="J302" s="319">
        <f>'סיכום לוועדה'!T302</f>
        <v>21551.20912318999</v>
      </c>
      <c r="K302" s="320">
        <f t="shared" si="78"/>
        <v>0</v>
      </c>
      <c r="L302" s="319">
        <f t="shared" si="79"/>
        <v>21551.20912318999</v>
      </c>
      <c r="M302" s="331">
        <f>'תחום תמיכה ב'!AF302</f>
        <v>1.3777829157213224E-4</v>
      </c>
      <c r="N302" s="319">
        <f t="shared" si="76"/>
        <v>23898.195073318828</v>
      </c>
      <c r="O302" s="321">
        <f t="shared" si="80"/>
        <v>0</v>
      </c>
      <c r="P302" s="322">
        <f t="shared" si="81"/>
        <v>23898.195073318828</v>
      </c>
      <c r="Q302" s="322">
        <f t="shared" si="82"/>
        <v>23909.076552702729</v>
      </c>
      <c r="R302" s="321">
        <f t="shared" si="83"/>
        <v>0</v>
      </c>
      <c r="S302" s="322">
        <f t="shared" si="84"/>
        <v>23909.076552702729</v>
      </c>
      <c r="T302" s="322">
        <f t="shared" si="85"/>
        <v>23909.076552702678</v>
      </c>
      <c r="U302" s="321">
        <f t="shared" si="86"/>
        <v>0</v>
      </c>
      <c r="V302" s="322">
        <f t="shared" si="87"/>
        <v>23909.076552702678</v>
      </c>
      <c r="W302" s="322">
        <f t="shared" si="88"/>
        <v>23909.076552702689</v>
      </c>
      <c r="X302" s="321">
        <f t="shared" si="89"/>
        <v>0</v>
      </c>
      <c r="Y302" s="322">
        <f t="shared" si="90"/>
        <v>23909.076552702689</v>
      </c>
      <c r="Z302" s="322">
        <f t="shared" si="91"/>
        <v>23909.076552702682</v>
      </c>
      <c r="AA302" s="323">
        <f t="shared" si="92"/>
        <v>23909.076552702682</v>
      </c>
      <c r="AB302" s="323"/>
      <c r="AC302" s="323"/>
      <c r="AD302" s="323"/>
      <c r="AE302" s="323"/>
      <c r="AF302" s="324">
        <f t="shared" si="93"/>
        <v>1.3692210672474744E-4</v>
      </c>
      <c r="AG302" s="312"/>
      <c r="AH302" s="312"/>
      <c r="AI302" s="325">
        <f t="shared" si="94"/>
        <v>1</v>
      </c>
      <c r="AJ302" s="312"/>
      <c r="AK302" s="312"/>
      <c r="AL302" s="312"/>
      <c r="AM302" s="312"/>
      <c r="AN302" s="312"/>
      <c r="AO302" s="312"/>
      <c r="AP302" s="312"/>
      <c r="AQ302" s="312"/>
      <c r="AR302" s="312"/>
      <c r="AS302" s="312"/>
      <c r="AT302" s="312"/>
      <c r="AU302" s="312"/>
      <c r="AV302" s="312"/>
      <c r="AW302" s="312"/>
      <c r="AX302" s="312"/>
      <c r="AY302" s="312"/>
      <c r="AZ302" s="312"/>
      <c r="BA302" s="312"/>
      <c r="BB302" s="312"/>
      <c r="BC302" s="312"/>
      <c r="BD302" s="312"/>
      <c r="BE302" s="312"/>
      <c r="BF302" s="312"/>
      <c r="BG302" s="312"/>
      <c r="BH302" s="312"/>
      <c r="BI302" s="312"/>
      <c r="BJ302" s="312"/>
      <c r="BK302" s="312"/>
      <c r="BL302" s="312"/>
      <c r="BM302" s="312"/>
      <c r="BN302" s="312"/>
      <c r="BO302" s="312"/>
      <c r="BP302" s="312"/>
      <c r="BQ302" s="312"/>
      <c r="BR302" s="312"/>
      <c r="BS302" s="312"/>
      <c r="BT302" s="312"/>
      <c r="BU302" s="312"/>
      <c r="BV302" s="312"/>
      <c r="BW302" s="312"/>
      <c r="BX302" s="312"/>
      <c r="BY302" s="312"/>
      <c r="BZ302" s="312"/>
      <c r="CA302" s="312"/>
      <c r="CB302" s="312"/>
      <c r="CC302" s="312"/>
      <c r="CD302" s="312"/>
      <c r="CE302" s="312"/>
      <c r="CF302" s="312"/>
      <c r="CG302" s="312"/>
      <c r="CH302" s="312"/>
      <c r="CI302" s="312"/>
      <c r="CJ302" s="312"/>
      <c r="CK302" s="312"/>
      <c r="CL302" s="312"/>
      <c r="CM302" s="312"/>
      <c r="CN302" s="312"/>
      <c r="CO302" s="312"/>
      <c r="CP302" s="312"/>
      <c r="CQ302" s="312"/>
      <c r="CR302" s="312"/>
      <c r="CS302" s="312"/>
      <c r="CT302" s="312"/>
      <c r="CU302" s="312"/>
      <c r="CV302" s="312"/>
      <c r="CW302" s="312"/>
      <c r="CX302" s="312"/>
      <c r="CY302" s="312"/>
      <c r="CZ302" s="312"/>
      <c r="DA302" s="312"/>
      <c r="DB302" s="312"/>
      <c r="DC302" s="312"/>
      <c r="DD302" s="312"/>
      <c r="DE302" s="312"/>
      <c r="DF302" s="312"/>
      <c r="DG302" s="312"/>
      <c r="DH302" s="312"/>
      <c r="DI302" s="312"/>
      <c r="DJ302" s="312"/>
      <c r="DK302" s="312"/>
      <c r="DL302" s="312"/>
      <c r="DM302" s="312"/>
      <c r="DN302" s="312"/>
      <c r="DO302" s="312"/>
      <c r="DP302" s="312"/>
      <c r="DQ302" s="312"/>
      <c r="DR302" s="312"/>
      <c r="DS302" s="312"/>
      <c r="DT302" s="312"/>
      <c r="DU302" s="312"/>
      <c r="DV302" s="312"/>
      <c r="DW302" s="312"/>
      <c r="DX302" s="312"/>
      <c r="DY302" s="312"/>
      <c r="DZ302" s="312"/>
      <c r="EA302" s="312"/>
      <c r="EB302" s="312"/>
      <c r="EC302" s="312"/>
      <c r="ED302" s="312"/>
      <c r="EE302" s="312"/>
      <c r="EF302" s="312"/>
      <c r="EG302" s="312"/>
      <c r="EH302" s="312"/>
      <c r="EI302" s="312"/>
      <c r="EJ302" s="312"/>
      <c r="EK302" s="312"/>
      <c r="EL302" s="312"/>
      <c r="EM302" s="312"/>
      <c r="EN302" s="312"/>
      <c r="EO302" s="312"/>
      <c r="EP302" s="312"/>
      <c r="EQ302" s="312"/>
      <c r="ER302" s="312"/>
      <c r="ES302" s="312"/>
      <c r="ET302" s="312"/>
      <c r="EU302" s="312"/>
      <c r="EV302" s="312"/>
      <c r="EW302" s="312"/>
      <c r="EX302" s="312"/>
      <c r="EY302" s="312"/>
      <c r="EZ302" s="312"/>
      <c r="FA302" s="312"/>
      <c r="FB302" s="312"/>
      <c r="FC302" s="312"/>
      <c r="FD302" s="312"/>
      <c r="FE302" s="312"/>
      <c r="FF302" s="312"/>
      <c r="FG302" s="312"/>
      <c r="FH302" s="312"/>
      <c r="FI302" s="312"/>
      <c r="FJ302" s="312"/>
      <c r="FK302" s="312"/>
      <c r="FL302" s="312"/>
      <c r="FM302" s="312"/>
      <c r="FN302" s="312"/>
      <c r="FO302" s="312"/>
      <c r="FP302" s="312"/>
      <c r="FQ302" s="312"/>
      <c r="FR302" s="312"/>
      <c r="FS302" s="312"/>
      <c r="FT302" s="312"/>
      <c r="FU302" s="312"/>
      <c r="FV302" s="312"/>
      <c r="FW302" s="312"/>
      <c r="FX302" s="312"/>
      <c r="FY302" s="312"/>
      <c r="FZ302" s="312"/>
      <c r="GA302" s="312"/>
      <c r="GB302" s="312"/>
      <c r="GC302" s="312"/>
      <c r="GD302" s="312"/>
      <c r="GE302" s="312"/>
      <c r="GF302" s="312"/>
      <c r="GG302" s="312"/>
      <c r="GH302" s="312"/>
      <c r="GI302" s="312"/>
      <c r="GJ302" s="312"/>
      <c r="GK302" s="312"/>
      <c r="GL302" s="312"/>
      <c r="GM302" s="312"/>
      <c r="GN302" s="312"/>
      <c r="GO302" s="312"/>
      <c r="GP302" s="312"/>
      <c r="GQ302" s="312"/>
      <c r="GR302" s="312"/>
      <c r="GS302" s="312"/>
      <c r="GT302" s="312"/>
      <c r="GU302" s="312"/>
      <c r="GV302" s="312"/>
      <c r="GW302" s="312"/>
      <c r="GX302" s="312"/>
      <c r="GY302" s="312"/>
    </row>
    <row r="303" spans="2:207" ht="15.75" x14ac:dyDescent="0.25">
      <c r="B303" s="316">
        <f t="shared" si="77"/>
        <v>273</v>
      </c>
      <c r="C303" s="330">
        <f>'סיכום לוועדה'!B303</f>
        <v>1001348162</v>
      </c>
      <c r="D303" s="330">
        <f>'סיכום לוועדה'!C303</f>
        <v>1001275646</v>
      </c>
      <c r="E303" s="330">
        <f>'סיכום לוועדה'!D303</f>
        <v>40000564</v>
      </c>
      <c r="F303" s="330">
        <f>'סיכום לוועדה'!E303</f>
        <v>20000201</v>
      </c>
      <c r="G303" s="330" t="str">
        <f>'סיכום לוועדה'!F303</f>
        <v>תל אביב -יפו</v>
      </c>
      <c r="H303" s="317" t="str">
        <f>'סיכום לוועדה'!G303</f>
        <v>עמותת הכוריאוגרפים (ע"ר)</v>
      </c>
      <c r="I303" s="318">
        <f>'סיכום לוועדה'!U303</f>
        <v>150000</v>
      </c>
      <c r="J303" s="319">
        <f>'סיכום לוועדה'!T303</f>
        <v>7448.2893973514101</v>
      </c>
      <c r="K303" s="320">
        <f t="shared" si="78"/>
        <v>0</v>
      </c>
      <c r="L303" s="319">
        <f t="shared" si="79"/>
        <v>7448.2893973514101</v>
      </c>
      <c r="M303" s="331">
        <f>'תחום תמיכה ב'!AF303</f>
        <v>4.3139905644158958E-5</v>
      </c>
      <c r="N303" s="319">
        <f t="shared" si="76"/>
        <v>8183.1566342826882</v>
      </c>
      <c r="O303" s="321">
        <f t="shared" si="80"/>
        <v>0</v>
      </c>
      <c r="P303" s="322">
        <f t="shared" si="81"/>
        <v>8183.1566342826882</v>
      </c>
      <c r="Q303" s="322">
        <f t="shared" si="82"/>
        <v>8186.8826416208149</v>
      </c>
      <c r="R303" s="321">
        <f t="shared" si="83"/>
        <v>0</v>
      </c>
      <c r="S303" s="322">
        <f t="shared" si="84"/>
        <v>8186.8826416208149</v>
      </c>
      <c r="T303" s="322">
        <f t="shared" si="85"/>
        <v>8186.8826416207985</v>
      </c>
      <c r="U303" s="321">
        <f t="shared" si="86"/>
        <v>0</v>
      </c>
      <c r="V303" s="322">
        <f t="shared" si="87"/>
        <v>8186.8826416207985</v>
      </c>
      <c r="W303" s="322">
        <f t="shared" si="88"/>
        <v>8186.8826416208012</v>
      </c>
      <c r="X303" s="321">
        <f t="shared" si="89"/>
        <v>0</v>
      </c>
      <c r="Y303" s="322">
        <f t="shared" si="90"/>
        <v>8186.8826416208012</v>
      </c>
      <c r="Z303" s="322">
        <f t="shared" si="91"/>
        <v>8186.8826416207994</v>
      </c>
      <c r="AA303" s="323">
        <f t="shared" si="92"/>
        <v>8186.8826416207994</v>
      </c>
      <c r="AB303" s="323"/>
      <c r="AC303" s="323"/>
      <c r="AD303" s="323"/>
      <c r="AE303" s="323"/>
      <c r="AF303" s="324">
        <f t="shared" si="93"/>
        <v>4.6884504984040112E-5</v>
      </c>
      <c r="AG303" s="312"/>
      <c r="AH303" s="312"/>
      <c r="AI303" s="325">
        <f t="shared" si="94"/>
        <v>1</v>
      </c>
      <c r="AJ303" s="312"/>
      <c r="AK303" s="312"/>
      <c r="AL303" s="312"/>
      <c r="AM303" s="312"/>
      <c r="AN303" s="312"/>
      <c r="AO303" s="312"/>
      <c r="AP303" s="312"/>
      <c r="AQ303" s="312"/>
      <c r="AR303" s="312"/>
      <c r="AS303" s="312"/>
      <c r="AT303" s="312"/>
      <c r="AU303" s="312"/>
      <c r="AV303" s="312"/>
      <c r="AW303" s="312"/>
      <c r="AX303" s="312"/>
      <c r="AY303" s="312"/>
      <c r="AZ303" s="312"/>
      <c r="BA303" s="312"/>
      <c r="BB303" s="312"/>
      <c r="BC303" s="312"/>
      <c r="BD303" s="312"/>
      <c r="BE303" s="312"/>
      <c r="BF303" s="312"/>
      <c r="BG303" s="312"/>
      <c r="BH303" s="312"/>
      <c r="BI303" s="312"/>
      <c r="BJ303" s="312"/>
      <c r="BK303" s="312"/>
      <c r="BL303" s="312"/>
      <c r="BM303" s="312"/>
      <c r="BN303" s="312"/>
      <c r="BO303" s="312"/>
      <c r="BP303" s="312"/>
      <c r="BQ303" s="312"/>
      <c r="BR303" s="312"/>
      <c r="BS303" s="312"/>
      <c r="BT303" s="312"/>
      <c r="BU303" s="312"/>
      <c r="BV303" s="312"/>
      <c r="BW303" s="312"/>
      <c r="BX303" s="312"/>
      <c r="BY303" s="312"/>
      <c r="BZ303" s="312"/>
      <c r="CA303" s="312"/>
      <c r="CB303" s="312"/>
      <c r="CC303" s="312"/>
      <c r="CD303" s="312"/>
      <c r="CE303" s="312"/>
      <c r="CF303" s="312"/>
      <c r="CG303" s="312"/>
      <c r="CH303" s="312"/>
      <c r="CI303" s="312"/>
      <c r="CJ303" s="312"/>
      <c r="CK303" s="312"/>
      <c r="CL303" s="312"/>
      <c r="CM303" s="312"/>
      <c r="CN303" s="312"/>
      <c r="CO303" s="312"/>
      <c r="CP303" s="312"/>
      <c r="CQ303" s="312"/>
      <c r="CR303" s="312"/>
      <c r="CS303" s="312"/>
      <c r="CT303" s="312"/>
      <c r="CU303" s="312"/>
      <c r="CV303" s="312"/>
      <c r="CW303" s="312"/>
      <c r="CX303" s="312"/>
      <c r="CY303" s="312"/>
      <c r="CZ303" s="312"/>
      <c r="DA303" s="312"/>
      <c r="DB303" s="312"/>
      <c r="DC303" s="312"/>
      <c r="DD303" s="312"/>
      <c r="DE303" s="312"/>
      <c r="DF303" s="312"/>
      <c r="DG303" s="312"/>
      <c r="DH303" s="312"/>
      <c r="DI303" s="312"/>
      <c r="DJ303" s="312"/>
      <c r="DK303" s="312"/>
      <c r="DL303" s="312"/>
      <c r="DM303" s="312"/>
      <c r="DN303" s="312"/>
      <c r="DO303" s="312"/>
      <c r="DP303" s="312"/>
      <c r="DQ303" s="312"/>
      <c r="DR303" s="312"/>
      <c r="DS303" s="312"/>
      <c r="DT303" s="312"/>
      <c r="DU303" s="312"/>
      <c r="DV303" s="312"/>
      <c r="DW303" s="312"/>
      <c r="DX303" s="312"/>
      <c r="DY303" s="312"/>
      <c r="DZ303" s="312"/>
      <c r="EA303" s="312"/>
      <c r="EB303" s="312"/>
      <c r="EC303" s="312"/>
      <c r="ED303" s="312"/>
      <c r="EE303" s="312"/>
      <c r="EF303" s="312"/>
      <c r="EG303" s="312"/>
      <c r="EH303" s="312"/>
      <c r="EI303" s="312"/>
      <c r="EJ303" s="312"/>
      <c r="EK303" s="312"/>
      <c r="EL303" s="312"/>
      <c r="EM303" s="312"/>
      <c r="EN303" s="312"/>
      <c r="EO303" s="312"/>
      <c r="EP303" s="312"/>
      <c r="EQ303" s="312"/>
      <c r="ER303" s="312"/>
      <c r="ES303" s="312"/>
      <c r="ET303" s="312"/>
      <c r="EU303" s="312"/>
      <c r="EV303" s="312"/>
      <c r="EW303" s="312"/>
      <c r="EX303" s="312"/>
      <c r="EY303" s="312"/>
      <c r="EZ303" s="312"/>
      <c r="FA303" s="312"/>
      <c r="FB303" s="312"/>
      <c r="FC303" s="312"/>
      <c r="FD303" s="312"/>
      <c r="FE303" s="312"/>
      <c r="FF303" s="312"/>
      <c r="FG303" s="312"/>
      <c r="FH303" s="312"/>
      <c r="FI303" s="312"/>
      <c r="FJ303" s="312"/>
      <c r="FK303" s="312"/>
      <c r="FL303" s="312"/>
      <c r="FM303" s="312"/>
      <c r="FN303" s="312"/>
      <c r="FO303" s="312"/>
      <c r="FP303" s="312"/>
      <c r="FQ303" s="312"/>
      <c r="FR303" s="312"/>
      <c r="FS303" s="312"/>
      <c r="FT303" s="312"/>
      <c r="FU303" s="312"/>
      <c r="FV303" s="312"/>
      <c r="FW303" s="312"/>
      <c r="FX303" s="312"/>
      <c r="FY303" s="312"/>
      <c r="FZ303" s="312"/>
      <c r="GA303" s="312"/>
      <c r="GB303" s="312"/>
      <c r="GC303" s="312"/>
      <c r="GD303" s="312"/>
      <c r="GE303" s="312"/>
      <c r="GF303" s="312"/>
      <c r="GG303" s="312"/>
      <c r="GH303" s="312"/>
      <c r="GI303" s="312"/>
      <c r="GJ303" s="312"/>
      <c r="GK303" s="312"/>
      <c r="GL303" s="312"/>
      <c r="GM303" s="312"/>
      <c r="GN303" s="312"/>
      <c r="GO303" s="312"/>
      <c r="GP303" s="312"/>
      <c r="GQ303" s="312"/>
      <c r="GR303" s="312"/>
      <c r="GS303" s="312"/>
      <c r="GT303" s="312"/>
      <c r="GU303" s="312"/>
      <c r="GV303" s="312"/>
      <c r="GW303" s="312"/>
      <c r="GX303" s="312"/>
      <c r="GY303" s="312"/>
    </row>
    <row r="304" spans="2:207" ht="15.75" x14ac:dyDescent="0.25">
      <c r="B304" s="316">
        <f t="shared" si="77"/>
        <v>274</v>
      </c>
      <c r="C304" s="330">
        <f>'סיכום לוועדה'!B304</f>
        <v>1001348163</v>
      </c>
      <c r="D304" s="330">
        <f>'סיכום לוועדה'!C304</f>
        <v>1001275645</v>
      </c>
      <c r="E304" s="330">
        <f>'סיכום לוועדה'!D304</f>
        <v>40000564</v>
      </c>
      <c r="F304" s="330">
        <f>'סיכום לוועדה'!E304</f>
        <v>20000201</v>
      </c>
      <c r="G304" s="330" t="str">
        <f>'סיכום לוועדה'!F304</f>
        <v>תל אביב -יפו</v>
      </c>
      <c r="H304" s="317" t="str">
        <f>'סיכום לוועדה'!G304</f>
        <v>עמותת הכוריאוגרפים (ע"ר)</v>
      </c>
      <c r="I304" s="318">
        <f>'סיכום לוועדה'!U304</f>
        <v>150000</v>
      </c>
      <c r="J304" s="319">
        <f>'סיכום לוועדה'!T304</f>
        <v>11943.617997294199</v>
      </c>
      <c r="K304" s="320">
        <f t="shared" si="78"/>
        <v>0</v>
      </c>
      <c r="L304" s="319">
        <f t="shared" si="79"/>
        <v>11943.617997294199</v>
      </c>
      <c r="M304" s="331">
        <f>'תחום תמיכה ב'!AF304</f>
        <v>6.732627937335263E-5</v>
      </c>
      <c r="N304" s="319">
        <f t="shared" si="76"/>
        <v>13090.488305821586</v>
      </c>
      <c r="O304" s="321">
        <f t="shared" si="80"/>
        <v>0</v>
      </c>
      <c r="P304" s="322">
        <f t="shared" si="81"/>
        <v>13090.488305821586</v>
      </c>
      <c r="Q304" s="322">
        <f t="shared" si="82"/>
        <v>13096.448750875614</v>
      </c>
      <c r="R304" s="321">
        <f t="shared" si="83"/>
        <v>0</v>
      </c>
      <c r="S304" s="322">
        <f t="shared" si="84"/>
        <v>13096.448750875614</v>
      </c>
      <c r="T304" s="322">
        <f t="shared" si="85"/>
        <v>13096.448750875586</v>
      </c>
      <c r="U304" s="321">
        <f t="shared" si="86"/>
        <v>0</v>
      </c>
      <c r="V304" s="322">
        <f t="shared" si="87"/>
        <v>13096.448750875586</v>
      </c>
      <c r="W304" s="322">
        <f t="shared" si="88"/>
        <v>13096.448750875592</v>
      </c>
      <c r="X304" s="321">
        <f t="shared" si="89"/>
        <v>0</v>
      </c>
      <c r="Y304" s="322">
        <f t="shared" si="90"/>
        <v>13096.448750875592</v>
      </c>
      <c r="Z304" s="322">
        <f t="shared" si="91"/>
        <v>13096.448750875588</v>
      </c>
      <c r="AA304" s="323">
        <f t="shared" si="92"/>
        <v>13096.448750875588</v>
      </c>
      <c r="AB304" s="323"/>
      <c r="AC304" s="323"/>
      <c r="AD304" s="323"/>
      <c r="AE304" s="323"/>
      <c r="AF304" s="324">
        <f t="shared" si="93"/>
        <v>7.5000527503847495E-5</v>
      </c>
      <c r="AG304" s="312"/>
      <c r="AH304" s="312"/>
      <c r="AI304" s="325">
        <f t="shared" si="94"/>
        <v>1</v>
      </c>
      <c r="AJ304" s="312"/>
      <c r="AK304" s="312"/>
      <c r="AL304" s="312"/>
      <c r="AM304" s="312"/>
      <c r="AN304" s="312"/>
      <c r="AO304" s="312"/>
      <c r="AP304" s="312"/>
      <c r="AQ304" s="312"/>
      <c r="AR304" s="312"/>
      <c r="AS304" s="312"/>
      <c r="AT304" s="312"/>
      <c r="AU304" s="312"/>
      <c r="AV304" s="312"/>
      <c r="AW304" s="312"/>
      <c r="AX304" s="312"/>
      <c r="AY304" s="312"/>
      <c r="AZ304" s="312"/>
      <c r="BA304" s="312"/>
      <c r="BB304" s="312"/>
      <c r="BC304" s="312"/>
      <c r="BD304" s="312"/>
      <c r="BE304" s="312"/>
      <c r="BF304" s="312"/>
      <c r="BG304" s="312"/>
      <c r="BH304" s="312"/>
      <c r="BI304" s="312"/>
      <c r="BJ304" s="312"/>
      <c r="BK304" s="312"/>
      <c r="BL304" s="312"/>
      <c r="BM304" s="312"/>
      <c r="BN304" s="312"/>
      <c r="BO304" s="312"/>
      <c r="BP304" s="312"/>
      <c r="BQ304" s="312"/>
      <c r="BR304" s="312"/>
      <c r="BS304" s="312"/>
      <c r="BT304" s="312"/>
      <c r="BU304" s="312"/>
      <c r="BV304" s="312"/>
      <c r="BW304" s="312"/>
      <c r="BX304" s="312"/>
      <c r="BY304" s="312"/>
      <c r="BZ304" s="312"/>
      <c r="CA304" s="312"/>
      <c r="CB304" s="312"/>
      <c r="CC304" s="312"/>
      <c r="CD304" s="312"/>
      <c r="CE304" s="312"/>
      <c r="CF304" s="312"/>
      <c r="CG304" s="312"/>
      <c r="CH304" s="312"/>
      <c r="CI304" s="312"/>
      <c r="CJ304" s="312"/>
      <c r="CK304" s="312"/>
      <c r="CL304" s="312"/>
      <c r="CM304" s="312"/>
      <c r="CN304" s="312"/>
      <c r="CO304" s="312"/>
      <c r="CP304" s="312"/>
      <c r="CQ304" s="312"/>
      <c r="CR304" s="312"/>
      <c r="CS304" s="312"/>
      <c r="CT304" s="312"/>
      <c r="CU304" s="312"/>
      <c r="CV304" s="312"/>
      <c r="CW304" s="312"/>
      <c r="CX304" s="312"/>
      <c r="CY304" s="312"/>
      <c r="CZ304" s="312"/>
      <c r="DA304" s="312"/>
      <c r="DB304" s="312"/>
      <c r="DC304" s="312"/>
      <c r="DD304" s="312"/>
      <c r="DE304" s="312"/>
      <c r="DF304" s="312"/>
      <c r="DG304" s="312"/>
      <c r="DH304" s="312"/>
      <c r="DI304" s="312"/>
      <c r="DJ304" s="312"/>
      <c r="DK304" s="312"/>
      <c r="DL304" s="312"/>
      <c r="DM304" s="312"/>
      <c r="DN304" s="312"/>
      <c r="DO304" s="312"/>
      <c r="DP304" s="312"/>
      <c r="DQ304" s="312"/>
      <c r="DR304" s="312"/>
      <c r="DS304" s="312"/>
      <c r="DT304" s="312"/>
      <c r="DU304" s="312"/>
      <c r="DV304" s="312"/>
      <c r="DW304" s="312"/>
      <c r="DX304" s="312"/>
      <c r="DY304" s="312"/>
      <c r="DZ304" s="312"/>
      <c r="EA304" s="312"/>
      <c r="EB304" s="312"/>
      <c r="EC304" s="312"/>
      <c r="ED304" s="312"/>
      <c r="EE304" s="312"/>
      <c r="EF304" s="312"/>
      <c r="EG304" s="312"/>
      <c r="EH304" s="312"/>
      <c r="EI304" s="312"/>
      <c r="EJ304" s="312"/>
      <c r="EK304" s="312"/>
      <c r="EL304" s="312"/>
      <c r="EM304" s="312"/>
      <c r="EN304" s="312"/>
      <c r="EO304" s="312"/>
      <c r="EP304" s="312"/>
      <c r="EQ304" s="312"/>
      <c r="ER304" s="312"/>
      <c r="ES304" s="312"/>
      <c r="ET304" s="312"/>
      <c r="EU304" s="312"/>
      <c r="EV304" s="312"/>
      <c r="EW304" s="312"/>
      <c r="EX304" s="312"/>
      <c r="EY304" s="312"/>
      <c r="EZ304" s="312"/>
      <c r="FA304" s="312"/>
      <c r="FB304" s="312"/>
      <c r="FC304" s="312"/>
      <c r="FD304" s="312"/>
      <c r="FE304" s="312"/>
      <c r="FF304" s="312"/>
      <c r="FG304" s="312"/>
      <c r="FH304" s="312"/>
      <c r="FI304" s="312"/>
      <c r="FJ304" s="312"/>
      <c r="FK304" s="312"/>
      <c r="FL304" s="312"/>
      <c r="FM304" s="312"/>
      <c r="FN304" s="312"/>
      <c r="FO304" s="312"/>
      <c r="FP304" s="312"/>
      <c r="FQ304" s="312"/>
      <c r="FR304" s="312"/>
      <c r="FS304" s="312"/>
      <c r="FT304" s="312"/>
      <c r="FU304" s="312"/>
      <c r="FV304" s="312"/>
      <c r="FW304" s="312"/>
      <c r="FX304" s="312"/>
      <c r="FY304" s="312"/>
      <c r="FZ304" s="312"/>
      <c r="GA304" s="312"/>
      <c r="GB304" s="312"/>
      <c r="GC304" s="312"/>
      <c r="GD304" s="312"/>
      <c r="GE304" s="312"/>
      <c r="GF304" s="312"/>
      <c r="GG304" s="312"/>
      <c r="GH304" s="312"/>
      <c r="GI304" s="312"/>
      <c r="GJ304" s="312"/>
      <c r="GK304" s="312"/>
      <c r="GL304" s="312"/>
      <c r="GM304" s="312"/>
      <c r="GN304" s="312"/>
      <c r="GO304" s="312"/>
      <c r="GP304" s="312"/>
      <c r="GQ304" s="312"/>
      <c r="GR304" s="312"/>
      <c r="GS304" s="312"/>
      <c r="GT304" s="312"/>
      <c r="GU304" s="312"/>
      <c r="GV304" s="312"/>
      <c r="GW304" s="312"/>
      <c r="GX304" s="312"/>
      <c r="GY304" s="312"/>
    </row>
    <row r="305" spans="2:207" ht="15.75" x14ac:dyDescent="0.25">
      <c r="B305" s="316">
        <f t="shared" si="77"/>
        <v>275</v>
      </c>
      <c r="C305" s="330">
        <f>'סיכום לוועדה'!B305</f>
        <v>1001348165</v>
      </c>
      <c r="D305" s="330">
        <f>'סיכום לוועדה'!C305</f>
        <v>1001273681</v>
      </c>
      <c r="E305" s="330">
        <f>'סיכום לוועדה'!D305</f>
        <v>40000564</v>
      </c>
      <c r="F305" s="330">
        <f>'סיכום לוועדה'!E305</f>
        <v>20000201</v>
      </c>
      <c r="G305" s="330" t="str">
        <f>'סיכום לוועדה'!F305</f>
        <v>תל אביב -יפו</v>
      </c>
      <c r="H305" s="317" t="str">
        <f>'סיכום לוועדה'!G305</f>
        <v>עמותת הכוריאוגרפים (ע"ר)</v>
      </c>
      <c r="I305" s="318">
        <f>'סיכום לוועדה'!U305</f>
        <v>150000</v>
      </c>
      <c r="J305" s="319">
        <f>'סיכום לוועדה'!T305</f>
        <v>20611.760481001693</v>
      </c>
      <c r="K305" s="320">
        <f t="shared" si="78"/>
        <v>0</v>
      </c>
      <c r="L305" s="319">
        <f t="shared" si="79"/>
        <v>20611.760481001693</v>
      </c>
      <c r="M305" s="331">
        <f>'תחום תמיכה ב'!AF305</f>
        <v>1.4899604725231012E-4</v>
      </c>
      <c r="N305" s="319">
        <f t="shared" si="76"/>
        <v>23149.835423982295</v>
      </c>
      <c r="O305" s="321">
        <f t="shared" si="80"/>
        <v>0</v>
      </c>
      <c r="P305" s="322">
        <f t="shared" si="81"/>
        <v>23149.835423982295</v>
      </c>
      <c r="Q305" s="322">
        <f t="shared" si="82"/>
        <v>23160.376155453181</v>
      </c>
      <c r="R305" s="321">
        <f t="shared" si="83"/>
        <v>0</v>
      </c>
      <c r="S305" s="322">
        <f t="shared" si="84"/>
        <v>23160.376155453181</v>
      </c>
      <c r="T305" s="322">
        <f t="shared" si="85"/>
        <v>23160.376155453134</v>
      </c>
      <c r="U305" s="321">
        <f t="shared" si="86"/>
        <v>0</v>
      </c>
      <c r="V305" s="322">
        <f t="shared" si="87"/>
        <v>23160.376155453134</v>
      </c>
      <c r="W305" s="322">
        <f t="shared" si="88"/>
        <v>23160.376155453141</v>
      </c>
      <c r="X305" s="321">
        <f t="shared" si="89"/>
        <v>0</v>
      </c>
      <c r="Y305" s="322">
        <f t="shared" si="90"/>
        <v>23160.376155453141</v>
      </c>
      <c r="Z305" s="322">
        <f t="shared" si="91"/>
        <v>23160.376155453137</v>
      </c>
      <c r="AA305" s="323">
        <f t="shared" si="92"/>
        <v>23160.376155453137</v>
      </c>
      <c r="AB305" s="323"/>
      <c r="AC305" s="323"/>
      <c r="AD305" s="323"/>
      <c r="AE305" s="323"/>
      <c r="AF305" s="324">
        <f t="shared" si="93"/>
        <v>1.3263446159252778E-4</v>
      </c>
      <c r="AG305" s="312"/>
      <c r="AH305" s="312"/>
      <c r="AI305" s="325">
        <f t="shared" si="94"/>
        <v>1</v>
      </c>
      <c r="AJ305" s="312"/>
      <c r="AK305" s="312"/>
      <c r="AL305" s="312"/>
      <c r="AM305" s="312"/>
      <c r="AN305" s="312"/>
      <c r="AO305" s="312"/>
      <c r="AP305" s="312"/>
      <c r="AQ305" s="312"/>
      <c r="AR305" s="312"/>
      <c r="AS305" s="312"/>
      <c r="AT305" s="312"/>
      <c r="AU305" s="312"/>
      <c r="AV305" s="312"/>
      <c r="AW305" s="312"/>
      <c r="AX305" s="312"/>
      <c r="AY305" s="312"/>
      <c r="AZ305" s="312"/>
      <c r="BA305" s="312"/>
      <c r="BB305" s="312"/>
      <c r="BC305" s="312"/>
      <c r="BD305" s="312"/>
      <c r="BE305" s="312"/>
      <c r="BF305" s="312"/>
      <c r="BG305" s="312"/>
      <c r="BH305" s="312"/>
      <c r="BI305" s="312"/>
      <c r="BJ305" s="312"/>
      <c r="BK305" s="312"/>
      <c r="BL305" s="312"/>
      <c r="BM305" s="312"/>
      <c r="BN305" s="312"/>
      <c r="BO305" s="312"/>
      <c r="BP305" s="312"/>
      <c r="BQ305" s="312"/>
      <c r="BR305" s="312"/>
      <c r="BS305" s="312"/>
      <c r="BT305" s="312"/>
      <c r="BU305" s="312"/>
      <c r="BV305" s="312"/>
      <c r="BW305" s="312"/>
      <c r="BX305" s="312"/>
      <c r="BY305" s="312"/>
      <c r="BZ305" s="312"/>
      <c r="CA305" s="312"/>
      <c r="CB305" s="312"/>
      <c r="CC305" s="312"/>
      <c r="CD305" s="312"/>
      <c r="CE305" s="312"/>
      <c r="CF305" s="312"/>
      <c r="CG305" s="312"/>
      <c r="CH305" s="312"/>
      <c r="CI305" s="312"/>
      <c r="CJ305" s="312"/>
      <c r="CK305" s="312"/>
      <c r="CL305" s="312"/>
      <c r="CM305" s="312"/>
      <c r="CN305" s="312"/>
      <c r="CO305" s="312"/>
      <c r="CP305" s="312"/>
      <c r="CQ305" s="312"/>
      <c r="CR305" s="312"/>
      <c r="CS305" s="312"/>
      <c r="CT305" s="312"/>
      <c r="CU305" s="312"/>
      <c r="CV305" s="312"/>
      <c r="CW305" s="312"/>
      <c r="CX305" s="312"/>
      <c r="CY305" s="312"/>
      <c r="CZ305" s="312"/>
      <c r="DA305" s="312"/>
      <c r="DB305" s="312"/>
      <c r="DC305" s="312"/>
      <c r="DD305" s="312"/>
      <c r="DE305" s="312"/>
      <c r="DF305" s="312"/>
      <c r="DG305" s="312"/>
      <c r="DH305" s="312"/>
      <c r="DI305" s="312"/>
      <c r="DJ305" s="312"/>
      <c r="DK305" s="312"/>
      <c r="DL305" s="312"/>
      <c r="DM305" s="312"/>
      <c r="DN305" s="312"/>
      <c r="DO305" s="312"/>
      <c r="DP305" s="312"/>
      <c r="DQ305" s="312"/>
      <c r="DR305" s="312"/>
      <c r="DS305" s="312"/>
      <c r="DT305" s="312"/>
      <c r="DU305" s="312"/>
      <c r="DV305" s="312"/>
      <c r="DW305" s="312"/>
      <c r="DX305" s="312"/>
      <c r="DY305" s="312"/>
      <c r="DZ305" s="312"/>
      <c r="EA305" s="312"/>
      <c r="EB305" s="312"/>
      <c r="EC305" s="312"/>
      <c r="ED305" s="312"/>
      <c r="EE305" s="312"/>
      <c r="EF305" s="312"/>
      <c r="EG305" s="312"/>
      <c r="EH305" s="312"/>
      <c r="EI305" s="312"/>
      <c r="EJ305" s="312"/>
      <c r="EK305" s="312"/>
      <c r="EL305" s="312"/>
      <c r="EM305" s="312"/>
      <c r="EN305" s="312"/>
      <c r="EO305" s="312"/>
      <c r="EP305" s="312"/>
      <c r="EQ305" s="312"/>
      <c r="ER305" s="312"/>
      <c r="ES305" s="312"/>
      <c r="ET305" s="312"/>
      <c r="EU305" s="312"/>
      <c r="EV305" s="312"/>
      <c r="EW305" s="312"/>
      <c r="EX305" s="312"/>
      <c r="EY305" s="312"/>
      <c r="EZ305" s="312"/>
      <c r="FA305" s="312"/>
      <c r="FB305" s="312"/>
      <c r="FC305" s="312"/>
      <c r="FD305" s="312"/>
      <c r="FE305" s="312"/>
      <c r="FF305" s="312"/>
      <c r="FG305" s="312"/>
      <c r="FH305" s="312"/>
      <c r="FI305" s="312"/>
      <c r="FJ305" s="312"/>
      <c r="FK305" s="312"/>
      <c r="FL305" s="312"/>
      <c r="FM305" s="312"/>
      <c r="FN305" s="312"/>
      <c r="FO305" s="312"/>
      <c r="FP305" s="312"/>
      <c r="FQ305" s="312"/>
      <c r="FR305" s="312"/>
      <c r="FS305" s="312"/>
      <c r="FT305" s="312"/>
      <c r="FU305" s="312"/>
      <c r="FV305" s="312"/>
      <c r="FW305" s="312"/>
      <c r="FX305" s="312"/>
      <c r="FY305" s="312"/>
      <c r="FZ305" s="312"/>
      <c r="GA305" s="312"/>
      <c r="GB305" s="312"/>
      <c r="GC305" s="312"/>
      <c r="GD305" s="312"/>
      <c r="GE305" s="312"/>
      <c r="GF305" s="312"/>
      <c r="GG305" s="312"/>
      <c r="GH305" s="312"/>
      <c r="GI305" s="312"/>
      <c r="GJ305" s="312"/>
      <c r="GK305" s="312"/>
      <c r="GL305" s="312"/>
      <c r="GM305" s="312"/>
      <c r="GN305" s="312"/>
      <c r="GO305" s="312"/>
      <c r="GP305" s="312"/>
      <c r="GQ305" s="312"/>
      <c r="GR305" s="312"/>
      <c r="GS305" s="312"/>
      <c r="GT305" s="312"/>
      <c r="GU305" s="312"/>
      <c r="GV305" s="312"/>
      <c r="GW305" s="312"/>
      <c r="GX305" s="312"/>
      <c r="GY305" s="312"/>
    </row>
    <row r="306" spans="2:207" ht="15.75" x14ac:dyDescent="0.25">
      <c r="B306" s="316">
        <f t="shared" si="77"/>
        <v>276</v>
      </c>
      <c r="C306" s="330">
        <f>'סיכום לוועדה'!B306</f>
        <v>1001348166</v>
      </c>
      <c r="D306" s="330">
        <f>'סיכום לוועדה'!C306</f>
        <v>1001273680</v>
      </c>
      <c r="E306" s="330">
        <f>'סיכום לוועדה'!D306</f>
        <v>40000564</v>
      </c>
      <c r="F306" s="330">
        <f>'סיכום לוועדה'!E306</f>
        <v>20000201</v>
      </c>
      <c r="G306" s="330" t="str">
        <f>'סיכום לוועדה'!F306</f>
        <v>תל אביב -יפו</v>
      </c>
      <c r="H306" s="317" t="str">
        <f>'סיכום לוועדה'!G306</f>
        <v>עמותת הכוריאוגרפים (ע"ר)</v>
      </c>
      <c r="I306" s="318">
        <f>'סיכום לוועדה'!U306</f>
        <v>150000</v>
      </c>
      <c r="J306" s="319">
        <f>'סיכום לוועדה'!T306</f>
        <v>13470.665062880813</v>
      </c>
      <c r="K306" s="320">
        <f t="shared" si="78"/>
        <v>0</v>
      </c>
      <c r="L306" s="319">
        <f t="shared" si="79"/>
        <v>13470.665062880813</v>
      </c>
      <c r="M306" s="331">
        <f>'תחום תמיכה ב'!AF306</f>
        <v>8.3703938389239287E-5</v>
      </c>
      <c r="N306" s="319">
        <f t="shared" si="76"/>
        <v>14896.520799139122</v>
      </c>
      <c r="O306" s="321">
        <f t="shared" si="80"/>
        <v>0</v>
      </c>
      <c r="P306" s="322">
        <f t="shared" si="81"/>
        <v>14896.520799139122</v>
      </c>
      <c r="Q306" s="322">
        <f t="shared" si="82"/>
        <v>14903.303578485862</v>
      </c>
      <c r="R306" s="321">
        <f t="shared" si="83"/>
        <v>0</v>
      </c>
      <c r="S306" s="322">
        <f t="shared" si="84"/>
        <v>14903.303578485862</v>
      </c>
      <c r="T306" s="322">
        <f t="shared" si="85"/>
        <v>14903.303578485831</v>
      </c>
      <c r="U306" s="321">
        <f t="shared" si="86"/>
        <v>0</v>
      </c>
      <c r="V306" s="322">
        <f t="shared" si="87"/>
        <v>14903.303578485831</v>
      </c>
      <c r="W306" s="322">
        <f t="shared" si="88"/>
        <v>14903.303578485835</v>
      </c>
      <c r="X306" s="321">
        <f t="shared" si="89"/>
        <v>0</v>
      </c>
      <c r="Y306" s="322">
        <f t="shared" si="90"/>
        <v>14903.303578485835</v>
      </c>
      <c r="Z306" s="322">
        <f t="shared" si="91"/>
        <v>14903.303578485831</v>
      </c>
      <c r="AA306" s="323">
        <f t="shared" si="92"/>
        <v>14903.303578485831</v>
      </c>
      <c r="AB306" s="323"/>
      <c r="AC306" s="323"/>
      <c r="AD306" s="323"/>
      <c r="AE306" s="323"/>
      <c r="AF306" s="324">
        <f t="shared" si="93"/>
        <v>8.534799404011607E-5</v>
      </c>
      <c r="AG306" s="312"/>
      <c r="AH306" s="312"/>
      <c r="AI306" s="325">
        <f t="shared" si="94"/>
        <v>1</v>
      </c>
      <c r="AJ306" s="312"/>
      <c r="AK306" s="312"/>
      <c r="AL306" s="312"/>
      <c r="AM306" s="312"/>
      <c r="AN306" s="312"/>
      <c r="AO306" s="312"/>
      <c r="AP306" s="312"/>
      <c r="AQ306" s="312"/>
      <c r="AR306" s="312"/>
      <c r="AS306" s="312"/>
      <c r="AT306" s="312"/>
      <c r="AU306" s="312"/>
      <c r="AV306" s="312"/>
      <c r="AW306" s="312"/>
      <c r="AX306" s="312"/>
      <c r="AY306" s="312"/>
      <c r="AZ306" s="312"/>
      <c r="BA306" s="312"/>
      <c r="BB306" s="312"/>
      <c r="BC306" s="312"/>
      <c r="BD306" s="312"/>
      <c r="BE306" s="312"/>
      <c r="BF306" s="312"/>
      <c r="BG306" s="312"/>
      <c r="BH306" s="312"/>
      <c r="BI306" s="312"/>
      <c r="BJ306" s="312"/>
      <c r="BK306" s="312"/>
      <c r="BL306" s="312"/>
      <c r="BM306" s="312"/>
      <c r="BN306" s="312"/>
      <c r="BO306" s="312"/>
      <c r="BP306" s="312"/>
      <c r="BQ306" s="312"/>
      <c r="BR306" s="312"/>
      <c r="BS306" s="312"/>
      <c r="BT306" s="312"/>
      <c r="BU306" s="312"/>
      <c r="BV306" s="312"/>
      <c r="BW306" s="312"/>
      <c r="BX306" s="312"/>
      <c r="BY306" s="312"/>
      <c r="BZ306" s="312"/>
      <c r="CA306" s="312"/>
      <c r="CB306" s="312"/>
      <c r="CC306" s="312"/>
      <c r="CD306" s="312"/>
      <c r="CE306" s="312"/>
      <c r="CF306" s="312"/>
      <c r="CG306" s="312"/>
      <c r="CH306" s="312"/>
      <c r="CI306" s="312"/>
      <c r="CJ306" s="312"/>
      <c r="CK306" s="312"/>
      <c r="CL306" s="312"/>
      <c r="CM306" s="312"/>
      <c r="CN306" s="312"/>
      <c r="CO306" s="312"/>
      <c r="CP306" s="312"/>
      <c r="CQ306" s="312"/>
      <c r="CR306" s="312"/>
      <c r="CS306" s="312"/>
      <c r="CT306" s="312"/>
      <c r="CU306" s="312"/>
      <c r="CV306" s="312"/>
      <c r="CW306" s="312"/>
      <c r="CX306" s="312"/>
      <c r="CY306" s="312"/>
      <c r="CZ306" s="312"/>
      <c r="DA306" s="312"/>
      <c r="DB306" s="312"/>
      <c r="DC306" s="312"/>
      <c r="DD306" s="312"/>
      <c r="DE306" s="312"/>
      <c r="DF306" s="312"/>
      <c r="DG306" s="312"/>
      <c r="DH306" s="312"/>
      <c r="DI306" s="312"/>
      <c r="DJ306" s="312"/>
      <c r="DK306" s="312"/>
      <c r="DL306" s="312"/>
      <c r="DM306" s="312"/>
      <c r="DN306" s="312"/>
      <c r="DO306" s="312"/>
      <c r="DP306" s="312"/>
      <c r="DQ306" s="312"/>
      <c r="DR306" s="312"/>
      <c r="DS306" s="312"/>
      <c r="DT306" s="312"/>
      <c r="DU306" s="312"/>
      <c r="DV306" s="312"/>
      <c r="DW306" s="312"/>
      <c r="DX306" s="312"/>
      <c r="DY306" s="312"/>
      <c r="DZ306" s="312"/>
      <c r="EA306" s="312"/>
      <c r="EB306" s="312"/>
      <c r="EC306" s="312"/>
      <c r="ED306" s="312"/>
      <c r="EE306" s="312"/>
      <c r="EF306" s="312"/>
      <c r="EG306" s="312"/>
      <c r="EH306" s="312"/>
      <c r="EI306" s="312"/>
      <c r="EJ306" s="312"/>
      <c r="EK306" s="312"/>
      <c r="EL306" s="312"/>
      <c r="EM306" s="312"/>
      <c r="EN306" s="312"/>
      <c r="EO306" s="312"/>
      <c r="EP306" s="312"/>
      <c r="EQ306" s="312"/>
      <c r="ER306" s="312"/>
      <c r="ES306" s="312"/>
      <c r="ET306" s="312"/>
      <c r="EU306" s="312"/>
      <c r="EV306" s="312"/>
      <c r="EW306" s="312"/>
      <c r="EX306" s="312"/>
      <c r="EY306" s="312"/>
      <c r="EZ306" s="312"/>
      <c r="FA306" s="312"/>
      <c r="FB306" s="312"/>
      <c r="FC306" s="312"/>
      <c r="FD306" s="312"/>
      <c r="FE306" s="312"/>
      <c r="FF306" s="312"/>
      <c r="FG306" s="312"/>
      <c r="FH306" s="312"/>
      <c r="FI306" s="312"/>
      <c r="FJ306" s="312"/>
      <c r="FK306" s="312"/>
      <c r="FL306" s="312"/>
      <c r="FM306" s="312"/>
      <c r="FN306" s="312"/>
      <c r="FO306" s="312"/>
      <c r="FP306" s="312"/>
      <c r="FQ306" s="312"/>
      <c r="FR306" s="312"/>
      <c r="FS306" s="312"/>
      <c r="FT306" s="312"/>
      <c r="FU306" s="312"/>
      <c r="FV306" s="312"/>
      <c r="FW306" s="312"/>
      <c r="FX306" s="312"/>
      <c r="FY306" s="312"/>
      <c r="FZ306" s="312"/>
      <c r="GA306" s="312"/>
      <c r="GB306" s="312"/>
      <c r="GC306" s="312"/>
      <c r="GD306" s="312"/>
      <c r="GE306" s="312"/>
      <c r="GF306" s="312"/>
      <c r="GG306" s="312"/>
      <c r="GH306" s="312"/>
      <c r="GI306" s="312"/>
      <c r="GJ306" s="312"/>
      <c r="GK306" s="312"/>
      <c r="GL306" s="312"/>
      <c r="GM306" s="312"/>
      <c r="GN306" s="312"/>
      <c r="GO306" s="312"/>
      <c r="GP306" s="312"/>
      <c r="GQ306" s="312"/>
      <c r="GR306" s="312"/>
      <c r="GS306" s="312"/>
      <c r="GT306" s="312"/>
      <c r="GU306" s="312"/>
      <c r="GV306" s="312"/>
      <c r="GW306" s="312"/>
      <c r="GX306" s="312"/>
      <c r="GY306" s="312"/>
    </row>
    <row r="307" spans="2:207" ht="15.75" x14ac:dyDescent="0.25">
      <c r="B307" s="316">
        <f t="shared" si="77"/>
        <v>277</v>
      </c>
      <c r="C307" s="330">
        <f>'סיכום לוועדה'!B307</f>
        <v>1001348167</v>
      </c>
      <c r="D307" s="330">
        <f>'סיכום לוועדה'!C307</f>
        <v>1001273659</v>
      </c>
      <c r="E307" s="330">
        <f>'סיכום לוועדה'!D307</f>
        <v>40000564</v>
      </c>
      <c r="F307" s="330">
        <f>'סיכום לוועדה'!E307</f>
        <v>20000201</v>
      </c>
      <c r="G307" s="330" t="str">
        <f>'סיכום לוועדה'!F307</f>
        <v>תל אביב -יפו</v>
      </c>
      <c r="H307" s="317" t="str">
        <f>'סיכום לוועדה'!G307</f>
        <v>עמותת הכוריאוגרפים (ע"ר)</v>
      </c>
      <c r="I307" s="318">
        <f>'סיכום לוועדה'!U307</f>
        <v>150000</v>
      </c>
      <c r="J307" s="319">
        <f>'סיכום לוועדה'!T307</f>
        <v>12103.229572894768</v>
      </c>
      <c r="K307" s="320">
        <f t="shared" si="78"/>
        <v>0</v>
      </c>
      <c r="L307" s="319">
        <f t="shared" si="79"/>
        <v>12103.229572894768</v>
      </c>
      <c r="M307" s="331">
        <f>'תחום תמיכה ב'!AF307</f>
        <v>8.1971547826565055E-5</v>
      </c>
      <c r="N307" s="319">
        <f t="shared" si="76"/>
        <v>13499.574881462779</v>
      </c>
      <c r="O307" s="321">
        <f t="shared" si="80"/>
        <v>0</v>
      </c>
      <c r="P307" s="322">
        <f t="shared" si="81"/>
        <v>13499.574881462779</v>
      </c>
      <c r="Q307" s="322">
        <f t="shared" si="82"/>
        <v>13505.721594438943</v>
      </c>
      <c r="R307" s="321">
        <f t="shared" si="83"/>
        <v>0</v>
      </c>
      <c r="S307" s="322">
        <f t="shared" si="84"/>
        <v>13505.721594438943</v>
      </c>
      <c r="T307" s="322">
        <f t="shared" si="85"/>
        <v>13505.721594438915</v>
      </c>
      <c r="U307" s="321">
        <f t="shared" si="86"/>
        <v>0</v>
      </c>
      <c r="V307" s="322">
        <f t="shared" si="87"/>
        <v>13505.721594438915</v>
      </c>
      <c r="W307" s="322">
        <f t="shared" si="88"/>
        <v>13505.721594438919</v>
      </c>
      <c r="X307" s="321">
        <f t="shared" si="89"/>
        <v>0</v>
      </c>
      <c r="Y307" s="322">
        <f t="shared" si="90"/>
        <v>13505.721594438919</v>
      </c>
      <c r="Z307" s="322">
        <f t="shared" si="91"/>
        <v>13505.721594438917</v>
      </c>
      <c r="AA307" s="323">
        <f t="shared" si="92"/>
        <v>13505.721594438917</v>
      </c>
      <c r="AB307" s="323"/>
      <c r="AC307" s="323"/>
      <c r="AD307" s="323"/>
      <c r="AE307" s="323"/>
      <c r="AF307" s="324">
        <f t="shared" si="93"/>
        <v>7.7344344499137696E-5</v>
      </c>
      <c r="AG307" s="312"/>
      <c r="AH307" s="312"/>
      <c r="AI307" s="325">
        <f t="shared" si="94"/>
        <v>1</v>
      </c>
      <c r="AJ307" s="312"/>
      <c r="AK307" s="312"/>
      <c r="AL307" s="312"/>
      <c r="AM307" s="312"/>
      <c r="AN307" s="312"/>
      <c r="AO307" s="312"/>
      <c r="AP307" s="312"/>
      <c r="AQ307" s="312"/>
      <c r="AR307" s="312"/>
      <c r="AS307" s="312"/>
      <c r="AT307" s="312"/>
      <c r="AU307" s="312"/>
      <c r="AV307" s="312"/>
      <c r="AW307" s="312"/>
      <c r="AX307" s="312"/>
      <c r="AY307" s="312"/>
      <c r="AZ307" s="312"/>
      <c r="BA307" s="312"/>
      <c r="BB307" s="312"/>
      <c r="BC307" s="312"/>
      <c r="BD307" s="312"/>
      <c r="BE307" s="312"/>
      <c r="BF307" s="312"/>
      <c r="BG307" s="312"/>
      <c r="BH307" s="312"/>
      <c r="BI307" s="312"/>
      <c r="BJ307" s="312"/>
      <c r="BK307" s="312"/>
      <c r="BL307" s="312"/>
      <c r="BM307" s="312"/>
      <c r="BN307" s="312"/>
      <c r="BO307" s="312"/>
      <c r="BP307" s="312"/>
      <c r="BQ307" s="312"/>
      <c r="BR307" s="312"/>
      <c r="BS307" s="312"/>
      <c r="BT307" s="312"/>
      <c r="BU307" s="312"/>
      <c r="BV307" s="312"/>
      <c r="BW307" s="312"/>
      <c r="BX307" s="312"/>
      <c r="BY307" s="312"/>
      <c r="BZ307" s="312"/>
      <c r="CA307" s="312"/>
      <c r="CB307" s="312"/>
      <c r="CC307" s="312"/>
      <c r="CD307" s="312"/>
      <c r="CE307" s="312"/>
      <c r="CF307" s="312"/>
      <c r="CG307" s="312"/>
      <c r="CH307" s="312"/>
      <c r="CI307" s="312"/>
      <c r="CJ307" s="312"/>
      <c r="CK307" s="312"/>
      <c r="CL307" s="312"/>
      <c r="CM307" s="312"/>
      <c r="CN307" s="312"/>
      <c r="CO307" s="312"/>
      <c r="CP307" s="312"/>
      <c r="CQ307" s="312"/>
      <c r="CR307" s="312"/>
      <c r="CS307" s="312"/>
      <c r="CT307" s="312"/>
      <c r="CU307" s="312"/>
      <c r="CV307" s="312"/>
      <c r="CW307" s="312"/>
      <c r="CX307" s="312"/>
      <c r="CY307" s="312"/>
      <c r="CZ307" s="312"/>
      <c r="DA307" s="312"/>
      <c r="DB307" s="312"/>
      <c r="DC307" s="312"/>
      <c r="DD307" s="312"/>
      <c r="DE307" s="312"/>
      <c r="DF307" s="312"/>
      <c r="DG307" s="312"/>
      <c r="DH307" s="312"/>
      <c r="DI307" s="312"/>
      <c r="DJ307" s="312"/>
      <c r="DK307" s="312"/>
      <c r="DL307" s="312"/>
      <c r="DM307" s="312"/>
      <c r="DN307" s="312"/>
      <c r="DO307" s="312"/>
      <c r="DP307" s="312"/>
      <c r="DQ307" s="312"/>
      <c r="DR307" s="312"/>
      <c r="DS307" s="312"/>
      <c r="DT307" s="312"/>
      <c r="DU307" s="312"/>
      <c r="DV307" s="312"/>
      <c r="DW307" s="312"/>
      <c r="DX307" s="312"/>
      <c r="DY307" s="312"/>
      <c r="DZ307" s="312"/>
      <c r="EA307" s="312"/>
      <c r="EB307" s="312"/>
      <c r="EC307" s="312"/>
      <c r="ED307" s="312"/>
      <c r="EE307" s="312"/>
      <c r="EF307" s="312"/>
      <c r="EG307" s="312"/>
      <c r="EH307" s="312"/>
      <c r="EI307" s="312"/>
      <c r="EJ307" s="312"/>
      <c r="EK307" s="312"/>
      <c r="EL307" s="312"/>
      <c r="EM307" s="312"/>
      <c r="EN307" s="312"/>
      <c r="EO307" s="312"/>
      <c r="EP307" s="312"/>
      <c r="EQ307" s="312"/>
      <c r="ER307" s="312"/>
      <c r="ES307" s="312"/>
      <c r="ET307" s="312"/>
      <c r="EU307" s="312"/>
      <c r="EV307" s="312"/>
      <c r="EW307" s="312"/>
      <c r="EX307" s="312"/>
      <c r="EY307" s="312"/>
      <c r="EZ307" s="312"/>
      <c r="FA307" s="312"/>
      <c r="FB307" s="312"/>
      <c r="FC307" s="312"/>
      <c r="FD307" s="312"/>
      <c r="FE307" s="312"/>
      <c r="FF307" s="312"/>
      <c r="FG307" s="312"/>
      <c r="FH307" s="312"/>
      <c r="FI307" s="312"/>
      <c r="FJ307" s="312"/>
      <c r="FK307" s="312"/>
      <c r="FL307" s="312"/>
      <c r="FM307" s="312"/>
      <c r="FN307" s="312"/>
      <c r="FO307" s="312"/>
      <c r="FP307" s="312"/>
      <c r="FQ307" s="312"/>
      <c r="FR307" s="312"/>
      <c r="FS307" s="312"/>
      <c r="FT307" s="312"/>
      <c r="FU307" s="312"/>
      <c r="FV307" s="312"/>
      <c r="FW307" s="312"/>
      <c r="FX307" s="312"/>
      <c r="FY307" s="312"/>
      <c r="FZ307" s="312"/>
      <c r="GA307" s="312"/>
      <c r="GB307" s="312"/>
      <c r="GC307" s="312"/>
      <c r="GD307" s="312"/>
      <c r="GE307" s="312"/>
      <c r="GF307" s="312"/>
      <c r="GG307" s="312"/>
      <c r="GH307" s="312"/>
      <c r="GI307" s="312"/>
      <c r="GJ307" s="312"/>
      <c r="GK307" s="312"/>
      <c r="GL307" s="312"/>
      <c r="GM307" s="312"/>
      <c r="GN307" s="312"/>
      <c r="GO307" s="312"/>
      <c r="GP307" s="312"/>
      <c r="GQ307" s="312"/>
      <c r="GR307" s="312"/>
      <c r="GS307" s="312"/>
      <c r="GT307" s="312"/>
      <c r="GU307" s="312"/>
      <c r="GV307" s="312"/>
      <c r="GW307" s="312"/>
      <c r="GX307" s="312"/>
      <c r="GY307" s="312"/>
    </row>
    <row r="308" spans="2:207" ht="15.75" x14ac:dyDescent="0.25">
      <c r="B308" s="316">
        <f t="shared" si="77"/>
        <v>278</v>
      </c>
      <c r="C308" s="330">
        <f>'סיכום לוועדה'!B308</f>
        <v>1001348168</v>
      </c>
      <c r="D308" s="330">
        <f>'סיכום לוועדה'!C308</f>
        <v>1001273658</v>
      </c>
      <c r="E308" s="330">
        <f>'סיכום לוועדה'!D308</f>
        <v>40000564</v>
      </c>
      <c r="F308" s="330">
        <f>'סיכום לוועדה'!E308</f>
        <v>20000201</v>
      </c>
      <c r="G308" s="330" t="str">
        <f>'סיכום לוועדה'!F308</f>
        <v>תל אביב -יפו</v>
      </c>
      <c r="H308" s="317" t="str">
        <f>'סיכום לוועדה'!G308</f>
        <v>עמותת הכוריאוגרפים (ע"ר)</v>
      </c>
      <c r="I308" s="318">
        <f>'סיכום לוועדה'!U308</f>
        <v>150000</v>
      </c>
      <c r="J308" s="319">
        <f>'סיכום לוועדה'!T308</f>
        <v>19973.939092074135</v>
      </c>
      <c r="K308" s="320">
        <f t="shared" si="78"/>
        <v>0</v>
      </c>
      <c r="L308" s="319">
        <f t="shared" si="79"/>
        <v>19973.939092074135</v>
      </c>
      <c r="M308" s="331">
        <f>'תחום תמיכה ב'!AF308</f>
        <v>1.3426705075016162E-4</v>
      </c>
      <c r="N308" s="319">
        <f t="shared" si="76"/>
        <v>22261.112768566458</v>
      </c>
      <c r="O308" s="321">
        <f t="shared" si="80"/>
        <v>0</v>
      </c>
      <c r="P308" s="322">
        <f t="shared" si="81"/>
        <v>22261.112768566458</v>
      </c>
      <c r="Q308" s="322">
        <f t="shared" si="82"/>
        <v>22271.248841140583</v>
      </c>
      <c r="R308" s="321">
        <f t="shared" si="83"/>
        <v>0</v>
      </c>
      <c r="S308" s="322">
        <f t="shared" si="84"/>
        <v>22271.248841140583</v>
      </c>
      <c r="T308" s="322">
        <f t="shared" si="85"/>
        <v>22271.248841140539</v>
      </c>
      <c r="U308" s="321">
        <f t="shared" si="86"/>
        <v>0</v>
      </c>
      <c r="V308" s="322">
        <f t="shared" si="87"/>
        <v>22271.248841140539</v>
      </c>
      <c r="W308" s="322">
        <f t="shared" si="88"/>
        <v>22271.24884114055</v>
      </c>
      <c r="X308" s="321">
        <f t="shared" si="89"/>
        <v>0</v>
      </c>
      <c r="Y308" s="322">
        <f t="shared" si="90"/>
        <v>22271.24884114055</v>
      </c>
      <c r="Z308" s="322">
        <f t="shared" si="91"/>
        <v>22271.248841140543</v>
      </c>
      <c r="AA308" s="323">
        <f t="shared" si="92"/>
        <v>22271.248841140543</v>
      </c>
      <c r="AB308" s="323"/>
      <c r="AC308" s="323"/>
      <c r="AD308" s="323"/>
      <c r="AE308" s="323"/>
      <c r="AF308" s="324">
        <f t="shared" si="93"/>
        <v>1.2754262189918609E-4</v>
      </c>
      <c r="AG308" s="312"/>
      <c r="AH308" s="312"/>
      <c r="AI308" s="325">
        <f t="shared" si="94"/>
        <v>1</v>
      </c>
      <c r="AJ308" s="312"/>
      <c r="AK308" s="312"/>
      <c r="AL308" s="312"/>
      <c r="AM308" s="312"/>
      <c r="AN308" s="312"/>
      <c r="AO308" s="312"/>
      <c r="AP308" s="312"/>
      <c r="AQ308" s="312"/>
      <c r="AR308" s="312"/>
      <c r="AS308" s="312"/>
      <c r="AT308" s="312"/>
      <c r="AU308" s="312"/>
      <c r="AV308" s="312"/>
      <c r="AW308" s="312"/>
      <c r="AX308" s="312"/>
      <c r="AY308" s="312"/>
      <c r="AZ308" s="312"/>
      <c r="BA308" s="312"/>
      <c r="BB308" s="312"/>
      <c r="BC308" s="312"/>
      <c r="BD308" s="312"/>
      <c r="BE308" s="312"/>
      <c r="BF308" s="312"/>
      <c r="BG308" s="312"/>
      <c r="BH308" s="312"/>
      <c r="BI308" s="312"/>
      <c r="BJ308" s="312"/>
      <c r="BK308" s="312"/>
      <c r="BL308" s="312"/>
      <c r="BM308" s="312"/>
      <c r="BN308" s="312"/>
      <c r="BO308" s="312"/>
      <c r="BP308" s="312"/>
      <c r="BQ308" s="312"/>
      <c r="BR308" s="312"/>
      <c r="BS308" s="312"/>
      <c r="BT308" s="312"/>
      <c r="BU308" s="312"/>
      <c r="BV308" s="312"/>
      <c r="BW308" s="312"/>
      <c r="BX308" s="312"/>
      <c r="BY308" s="312"/>
      <c r="BZ308" s="312"/>
      <c r="CA308" s="312"/>
      <c r="CB308" s="312"/>
      <c r="CC308" s="312"/>
      <c r="CD308" s="312"/>
      <c r="CE308" s="312"/>
      <c r="CF308" s="312"/>
      <c r="CG308" s="312"/>
      <c r="CH308" s="312"/>
      <c r="CI308" s="312"/>
      <c r="CJ308" s="312"/>
      <c r="CK308" s="312"/>
      <c r="CL308" s="312"/>
      <c r="CM308" s="312"/>
      <c r="CN308" s="312"/>
      <c r="CO308" s="312"/>
      <c r="CP308" s="312"/>
      <c r="CQ308" s="312"/>
      <c r="CR308" s="312"/>
      <c r="CS308" s="312"/>
      <c r="CT308" s="312"/>
      <c r="CU308" s="312"/>
      <c r="CV308" s="312"/>
      <c r="CW308" s="312"/>
      <c r="CX308" s="312"/>
      <c r="CY308" s="312"/>
      <c r="CZ308" s="312"/>
      <c r="DA308" s="312"/>
      <c r="DB308" s="312"/>
      <c r="DC308" s="312"/>
      <c r="DD308" s="312"/>
      <c r="DE308" s="312"/>
      <c r="DF308" s="312"/>
      <c r="DG308" s="312"/>
      <c r="DH308" s="312"/>
      <c r="DI308" s="312"/>
      <c r="DJ308" s="312"/>
      <c r="DK308" s="312"/>
      <c r="DL308" s="312"/>
      <c r="DM308" s="312"/>
      <c r="DN308" s="312"/>
      <c r="DO308" s="312"/>
      <c r="DP308" s="312"/>
      <c r="DQ308" s="312"/>
      <c r="DR308" s="312"/>
      <c r="DS308" s="312"/>
      <c r="DT308" s="312"/>
      <c r="DU308" s="312"/>
      <c r="DV308" s="312"/>
      <c r="DW308" s="312"/>
      <c r="DX308" s="312"/>
      <c r="DY308" s="312"/>
      <c r="DZ308" s="312"/>
      <c r="EA308" s="312"/>
      <c r="EB308" s="312"/>
      <c r="EC308" s="312"/>
      <c r="ED308" s="312"/>
      <c r="EE308" s="312"/>
      <c r="EF308" s="312"/>
      <c r="EG308" s="312"/>
      <c r="EH308" s="312"/>
      <c r="EI308" s="312"/>
      <c r="EJ308" s="312"/>
      <c r="EK308" s="312"/>
      <c r="EL308" s="312"/>
      <c r="EM308" s="312"/>
      <c r="EN308" s="312"/>
      <c r="EO308" s="312"/>
      <c r="EP308" s="312"/>
      <c r="EQ308" s="312"/>
      <c r="ER308" s="312"/>
      <c r="ES308" s="312"/>
      <c r="ET308" s="312"/>
      <c r="EU308" s="312"/>
      <c r="EV308" s="312"/>
      <c r="EW308" s="312"/>
      <c r="EX308" s="312"/>
      <c r="EY308" s="312"/>
      <c r="EZ308" s="312"/>
      <c r="FA308" s="312"/>
      <c r="FB308" s="312"/>
      <c r="FC308" s="312"/>
      <c r="FD308" s="312"/>
      <c r="FE308" s="312"/>
      <c r="FF308" s="312"/>
      <c r="FG308" s="312"/>
      <c r="FH308" s="312"/>
      <c r="FI308" s="312"/>
      <c r="FJ308" s="312"/>
      <c r="FK308" s="312"/>
      <c r="FL308" s="312"/>
      <c r="FM308" s="312"/>
      <c r="FN308" s="312"/>
      <c r="FO308" s="312"/>
      <c r="FP308" s="312"/>
      <c r="FQ308" s="312"/>
      <c r="FR308" s="312"/>
      <c r="FS308" s="312"/>
      <c r="FT308" s="312"/>
      <c r="FU308" s="312"/>
      <c r="FV308" s="312"/>
      <c r="FW308" s="312"/>
      <c r="FX308" s="312"/>
      <c r="FY308" s="312"/>
      <c r="FZ308" s="312"/>
      <c r="GA308" s="312"/>
      <c r="GB308" s="312"/>
      <c r="GC308" s="312"/>
      <c r="GD308" s="312"/>
      <c r="GE308" s="312"/>
      <c r="GF308" s="312"/>
      <c r="GG308" s="312"/>
      <c r="GH308" s="312"/>
      <c r="GI308" s="312"/>
      <c r="GJ308" s="312"/>
      <c r="GK308" s="312"/>
      <c r="GL308" s="312"/>
      <c r="GM308" s="312"/>
      <c r="GN308" s="312"/>
      <c r="GO308" s="312"/>
      <c r="GP308" s="312"/>
      <c r="GQ308" s="312"/>
      <c r="GR308" s="312"/>
      <c r="GS308" s="312"/>
      <c r="GT308" s="312"/>
      <c r="GU308" s="312"/>
      <c r="GV308" s="312"/>
      <c r="GW308" s="312"/>
      <c r="GX308" s="312"/>
      <c r="GY308" s="312"/>
    </row>
    <row r="309" spans="2:207" ht="15.75" x14ac:dyDescent="0.25">
      <c r="B309" s="316">
        <f t="shared" si="77"/>
        <v>279</v>
      </c>
      <c r="C309" s="330">
        <f>'סיכום לוועדה'!B309</f>
        <v>1001348169</v>
      </c>
      <c r="D309" s="330">
        <f>'סיכום לוועדה'!C309</f>
        <v>1001273657</v>
      </c>
      <c r="E309" s="330">
        <f>'סיכום לוועדה'!D309</f>
        <v>40000564</v>
      </c>
      <c r="F309" s="330">
        <f>'סיכום לוועדה'!E309</f>
        <v>20000201</v>
      </c>
      <c r="G309" s="330" t="str">
        <f>'סיכום לוועדה'!F309</f>
        <v>תל אביב -יפו</v>
      </c>
      <c r="H309" s="317" t="str">
        <f>'סיכום לוועדה'!G309</f>
        <v>עמותת הכוריאוגרפים (ע"ר)</v>
      </c>
      <c r="I309" s="318">
        <f>'סיכום לוועדה'!U309</f>
        <v>150000</v>
      </c>
      <c r="J309" s="319">
        <f>'סיכום לוועדה'!T309</f>
        <v>5528.1026000203674</v>
      </c>
      <c r="K309" s="320">
        <f t="shared" si="78"/>
        <v>0</v>
      </c>
      <c r="L309" s="319">
        <f t="shared" si="79"/>
        <v>5528.1026000203674</v>
      </c>
      <c r="M309" s="331">
        <f>'תחום תמיכה ב'!AF309</f>
        <v>2.729996913755223E-5</v>
      </c>
      <c r="N309" s="319">
        <f t="shared" si="76"/>
        <v>5993.1442497148073</v>
      </c>
      <c r="O309" s="321">
        <f t="shared" si="80"/>
        <v>0</v>
      </c>
      <c r="P309" s="322">
        <f t="shared" si="81"/>
        <v>5993.1442497148073</v>
      </c>
      <c r="Q309" s="322">
        <f t="shared" si="82"/>
        <v>5995.8730865745756</v>
      </c>
      <c r="R309" s="321">
        <f t="shared" si="83"/>
        <v>0</v>
      </c>
      <c r="S309" s="322">
        <f t="shared" si="84"/>
        <v>5995.8730865745756</v>
      </c>
      <c r="T309" s="322">
        <f t="shared" si="85"/>
        <v>5995.8730865745638</v>
      </c>
      <c r="U309" s="321">
        <f t="shared" si="86"/>
        <v>0</v>
      </c>
      <c r="V309" s="322">
        <f t="shared" si="87"/>
        <v>5995.8730865745638</v>
      </c>
      <c r="W309" s="322">
        <f t="shared" si="88"/>
        <v>5995.8730865745656</v>
      </c>
      <c r="X309" s="321">
        <f t="shared" si="89"/>
        <v>0</v>
      </c>
      <c r="Y309" s="322">
        <f t="shared" si="90"/>
        <v>5995.8730865745656</v>
      </c>
      <c r="Z309" s="322">
        <f t="shared" si="91"/>
        <v>5995.8730865745647</v>
      </c>
      <c r="AA309" s="323">
        <f t="shared" si="92"/>
        <v>5995.8730865745647</v>
      </c>
      <c r="AB309" s="323"/>
      <c r="AC309" s="323"/>
      <c r="AD309" s="323"/>
      <c r="AE309" s="323"/>
      <c r="AF309" s="324">
        <f t="shared" si="93"/>
        <v>3.4337067467174981E-5</v>
      </c>
      <c r="AG309" s="312"/>
      <c r="AH309" s="312"/>
      <c r="AI309" s="325">
        <f t="shared" si="94"/>
        <v>1</v>
      </c>
      <c r="AJ309" s="312"/>
      <c r="AK309" s="312"/>
      <c r="AL309" s="312"/>
      <c r="AM309" s="312"/>
      <c r="AN309" s="312"/>
      <c r="AO309" s="312"/>
      <c r="AP309" s="312"/>
      <c r="AQ309" s="312"/>
      <c r="AR309" s="312"/>
      <c r="AS309" s="312"/>
      <c r="AT309" s="312"/>
      <c r="AU309" s="312"/>
      <c r="AV309" s="312"/>
      <c r="AW309" s="312"/>
      <c r="AX309" s="312"/>
      <c r="AY309" s="312"/>
      <c r="AZ309" s="312"/>
      <c r="BA309" s="312"/>
      <c r="BB309" s="312"/>
      <c r="BC309" s="312"/>
      <c r="BD309" s="312"/>
      <c r="BE309" s="312"/>
      <c r="BF309" s="312"/>
      <c r="BG309" s="312"/>
      <c r="BH309" s="312"/>
      <c r="BI309" s="312"/>
      <c r="BJ309" s="312"/>
      <c r="BK309" s="312"/>
      <c r="BL309" s="312"/>
      <c r="BM309" s="312"/>
      <c r="BN309" s="312"/>
      <c r="BO309" s="312"/>
      <c r="BP309" s="312"/>
      <c r="BQ309" s="312"/>
      <c r="BR309" s="312"/>
      <c r="BS309" s="312"/>
      <c r="BT309" s="312"/>
      <c r="BU309" s="312"/>
      <c r="BV309" s="312"/>
      <c r="BW309" s="312"/>
      <c r="BX309" s="312"/>
      <c r="BY309" s="312"/>
      <c r="BZ309" s="312"/>
      <c r="CA309" s="312"/>
      <c r="CB309" s="312"/>
      <c r="CC309" s="312"/>
      <c r="CD309" s="312"/>
      <c r="CE309" s="312"/>
      <c r="CF309" s="312"/>
      <c r="CG309" s="312"/>
      <c r="CH309" s="312"/>
      <c r="CI309" s="312"/>
      <c r="CJ309" s="312"/>
      <c r="CK309" s="312"/>
      <c r="CL309" s="312"/>
      <c r="CM309" s="312"/>
      <c r="CN309" s="312"/>
      <c r="CO309" s="312"/>
      <c r="CP309" s="312"/>
      <c r="CQ309" s="312"/>
      <c r="CR309" s="312"/>
      <c r="CS309" s="312"/>
      <c r="CT309" s="312"/>
      <c r="CU309" s="312"/>
      <c r="CV309" s="312"/>
      <c r="CW309" s="312"/>
      <c r="CX309" s="312"/>
      <c r="CY309" s="312"/>
      <c r="CZ309" s="312"/>
      <c r="DA309" s="312"/>
      <c r="DB309" s="312"/>
      <c r="DC309" s="312"/>
      <c r="DD309" s="312"/>
      <c r="DE309" s="312"/>
      <c r="DF309" s="312"/>
      <c r="DG309" s="312"/>
      <c r="DH309" s="312"/>
      <c r="DI309" s="312"/>
      <c r="DJ309" s="312"/>
      <c r="DK309" s="312"/>
      <c r="DL309" s="312"/>
      <c r="DM309" s="312"/>
      <c r="DN309" s="312"/>
      <c r="DO309" s="312"/>
      <c r="DP309" s="312"/>
      <c r="DQ309" s="312"/>
      <c r="DR309" s="312"/>
      <c r="DS309" s="312"/>
      <c r="DT309" s="312"/>
      <c r="DU309" s="312"/>
      <c r="DV309" s="312"/>
      <c r="DW309" s="312"/>
      <c r="DX309" s="312"/>
      <c r="DY309" s="312"/>
      <c r="DZ309" s="312"/>
      <c r="EA309" s="312"/>
      <c r="EB309" s="312"/>
      <c r="EC309" s="312"/>
      <c r="ED309" s="312"/>
      <c r="EE309" s="312"/>
      <c r="EF309" s="312"/>
      <c r="EG309" s="312"/>
      <c r="EH309" s="312"/>
      <c r="EI309" s="312"/>
      <c r="EJ309" s="312"/>
      <c r="EK309" s="312"/>
      <c r="EL309" s="312"/>
      <c r="EM309" s="312"/>
      <c r="EN309" s="312"/>
      <c r="EO309" s="312"/>
      <c r="EP309" s="312"/>
      <c r="EQ309" s="312"/>
      <c r="ER309" s="312"/>
      <c r="ES309" s="312"/>
      <c r="ET309" s="312"/>
      <c r="EU309" s="312"/>
      <c r="EV309" s="312"/>
      <c r="EW309" s="312"/>
      <c r="EX309" s="312"/>
      <c r="EY309" s="312"/>
      <c r="EZ309" s="312"/>
      <c r="FA309" s="312"/>
      <c r="FB309" s="312"/>
      <c r="FC309" s="312"/>
      <c r="FD309" s="312"/>
      <c r="FE309" s="312"/>
      <c r="FF309" s="312"/>
      <c r="FG309" s="312"/>
      <c r="FH309" s="312"/>
      <c r="FI309" s="312"/>
      <c r="FJ309" s="312"/>
      <c r="FK309" s="312"/>
      <c r="FL309" s="312"/>
      <c r="FM309" s="312"/>
      <c r="FN309" s="312"/>
      <c r="FO309" s="312"/>
      <c r="FP309" s="312"/>
      <c r="FQ309" s="312"/>
      <c r="FR309" s="312"/>
      <c r="FS309" s="312"/>
      <c r="FT309" s="312"/>
      <c r="FU309" s="312"/>
      <c r="FV309" s="312"/>
      <c r="FW309" s="312"/>
      <c r="FX309" s="312"/>
      <c r="FY309" s="312"/>
      <c r="FZ309" s="312"/>
      <c r="GA309" s="312"/>
      <c r="GB309" s="312"/>
      <c r="GC309" s="312"/>
      <c r="GD309" s="312"/>
      <c r="GE309" s="312"/>
      <c r="GF309" s="312"/>
      <c r="GG309" s="312"/>
      <c r="GH309" s="312"/>
      <c r="GI309" s="312"/>
      <c r="GJ309" s="312"/>
      <c r="GK309" s="312"/>
      <c r="GL309" s="312"/>
      <c r="GM309" s="312"/>
      <c r="GN309" s="312"/>
      <c r="GO309" s="312"/>
      <c r="GP309" s="312"/>
      <c r="GQ309" s="312"/>
      <c r="GR309" s="312"/>
      <c r="GS309" s="312"/>
      <c r="GT309" s="312"/>
      <c r="GU309" s="312"/>
      <c r="GV309" s="312"/>
      <c r="GW309" s="312"/>
      <c r="GX309" s="312"/>
      <c r="GY309" s="312"/>
    </row>
    <row r="310" spans="2:207" ht="15.75" x14ac:dyDescent="0.25">
      <c r="B310" s="316">
        <f t="shared" si="77"/>
        <v>280</v>
      </c>
      <c r="C310" s="330">
        <f>'סיכום לוועדה'!B310</f>
        <v>1001348170</v>
      </c>
      <c r="D310" s="330">
        <f>'סיכום לוועדה'!C310</f>
        <v>1001273655</v>
      </c>
      <c r="E310" s="330">
        <f>'סיכום לוועדה'!D310</f>
        <v>40000564</v>
      </c>
      <c r="F310" s="330">
        <f>'סיכום לוועדה'!E310</f>
        <v>20000201</v>
      </c>
      <c r="G310" s="330" t="str">
        <f>'סיכום לוועדה'!F310</f>
        <v>תל אביב -יפו</v>
      </c>
      <c r="H310" s="317" t="str">
        <f>'סיכום לוועדה'!G310</f>
        <v>עמותת הכוריאוגרפים (ע"ר)</v>
      </c>
      <c r="I310" s="318">
        <f>'סיכום לוועדה'!U310</f>
        <v>150000</v>
      </c>
      <c r="J310" s="319">
        <f>'סיכום לוועדה'!T310</f>
        <v>11643.438428992882</v>
      </c>
      <c r="K310" s="320">
        <f t="shared" si="78"/>
        <v>0</v>
      </c>
      <c r="L310" s="319">
        <f t="shared" si="79"/>
        <v>11643.438428992882</v>
      </c>
      <c r="M310" s="331">
        <f>'תחום תמיכה ב'!AF310</f>
        <v>6.2670603845017304E-5</v>
      </c>
      <c r="N310" s="319">
        <f t="shared" si="76"/>
        <v>12711.001577236306</v>
      </c>
      <c r="O310" s="321">
        <f t="shared" si="80"/>
        <v>0</v>
      </c>
      <c r="P310" s="322">
        <f t="shared" si="81"/>
        <v>12711.001577236306</v>
      </c>
      <c r="Q310" s="322">
        <f t="shared" si="82"/>
        <v>12716.789231960316</v>
      </c>
      <c r="R310" s="321">
        <f t="shared" si="83"/>
        <v>0</v>
      </c>
      <c r="S310" s="322">
        <f t="shared" si="84"/>
        <v>12716.789231960316</v>
      </c>
      <c r="T310" s="322">
        <f t="shared" si="85"/>
        <v>12716.789231960289</v>
      </c>
      <c r="U310" s="321">
        <f t="shared" si="86"/>
        <v>0</v>
      </c>
      <c r="V310" s="322">
        <f t="shared" si="87"/>
        <v>12716.789231960289</v>
      </c>
      <c r="W310" s="322">
        <f t="shared" si="88"/>
        <v>12716.789231960294</v>
      </c>
      <c r="X310" s="321">
        <f t="shared" si="89"/>
        <v>0</v>
      </c>
      <c r="Y310" s="322">
        <f t="shared" si="90"/>
        <v>12716.789231960294</v>
      </c>
      <c r="Z310" s="322">
        <f t="shared" si="91"/>
        <v>12716.789231960292</v>
      </c>
      <c r="AA310" s="323">
        <f t="shared" si="92"/>
        <v>12716.789231960292</v>
      </c>
      <c r="AB310" s="323"/>
      <c r="AC310" s="323"/>
      <c r="AD310" s="323"/>
      <c r="AE310" s="323"/>
      <c r="AF310" s="324">
        <f t="shared" si="93"/>
        <v>7.2826299609541384E-5</v>
      </c>
      <c r="AG310" s="312"/>
      <c r="AH310" s="312"/>
      <c r="AI310" s="325">
        <f t="shared" si="94"/>
        <v>1</v>
      </c>
      <c r="AJ310" s="312"/>
      <c r="AK310" s="312"/>
      <c r="AL310" s="312"/>
      <c r="AM310" s="312"/>
      <c r="AN310" s="312"/>
      <c r="AO310" s="312"/>
      <c r="AP310" s="312"/>
      <c r="AQ310" s="312"/>
      <c r="AR310" s="312"/>
      <c r="AS310" s="312"/>
      <c r="AT310" s="312"/>
      <c r="AU310" s="312"/>
      <c r="AV310" s="312"/>
      <c r="AW310" s="312"/>
      <c r="AX310" s="312"/>
      <c r="AY310" s="312"/>
      <c r="AZ310" s="312"/>
      <c r="BA310" s="312"/>
      <c r="BB310" s="312"/>
      <c r="BC310" s="312"/>
      <c r="BD310" s="312"/>
      <c r="BE310" s="312"/>
      <c r="BF310" s="312"/>
      <c r="BG310" s="312"/>
      <c r="BH310" s="312"/>
      <c r="BI310" s="312"/>
      <c r="BJ310" s="312"/>
      <c r="BK310" s="312"/>
      <c r="BL310" s="312"/>
      <c r="BM310" s="312"/>
      <c r="BN310" s="312"/>
      <c r="BO310" s="312"/>
      <c r="BP310" s="312"/>
      <c r="BQ310" s="312"/>
      <c r="BR310" s="312"/>
      <c r="BS310" s="312"/>
      <c r="BT310" s="312"/>
      <c r="BU310" s="312"/>
      <c r="BV310" s="312"/>
      <c r="BW310" s="312"/>
      <c r="BX310" s="312"/>
      <c r="BY310" s="312"/>
      <c r="BZ310" s="312"/>
      <c r="CA310" s="312"/>
      <c r="CB310" s="312"/>
      <c r="CC310" s="312"/>
      <c r="CD310" s="312"/>
      <c r="CE310" s="312"/>
      <c r="CF310" s="312"/>
      <c r="CG310" s="312"/>
      <c r="CH310" s="312"/>
      <c r="CI310" s="312"/>
      <c r="CJ310" s="312"/>
      <c r="CK310" s="312"/>
      <c r="CL310" s="312"/>
      <c r="CM310" s="312"/>
      <c r="CN310" s="312"/>
      <c r="CO310" s="312"/>
      <c r="CP310" s="312"/>
      <c r="CQ310" s="312"/>
      <c r="CR310" s="312"/>
      <c r="CS310" s="312"/>
      <c r="CT310" s="312"/>
      <c r="CU310" s="312"/>
      <c r="CV310" s="312"/>
      <c r="CW310" s="312"/>
      <c r="CX310" s="312"/>
      <c r="CY310" s="312"/>
      <c r="CZ310" s="312"/>
      <c r="DA310" s="312"/>
      <c r="DB310" s="312"/>
      <c r="DC310" s="312"/>
      <c r="DD310" s="312"/>
      <c r="DE310" s="312"/>
      <c r="DF310" s="312"/>
      <c r="DG310" s="312"/>
      <c r="DH310" s="312"/>
      <c r="DI310" s="312"/>
      <c r="DJ310" s="312"/>
      <c r="DK310" s="312"/>
      <c r="DL310" s="312"/>
      <c r="DM310" s="312"/>
      <c r="DN310" s="312"/>
      <c r="DO310" s="312"/>
      <c r="DP310" s="312"/>
      <c r="DQ310" s="312"/>
      <c r="DR310" s="312"/>
      <c r="DS310" s="312"/>
      <c r="DT310" s="312"/>
      <c r="DU310" s="312"/>
      <c r="DV310" s="312"/>
      <c r="DW310" s="312"/>
      <c r="DX310" s="312"/>
      <c r="DY310" s="312"/>
      <c r="DZ310" s="312"/>
      <c r="EA310" s="312"/>
      <c r="EB310" s="312"/>
      <c r="EC310" s="312"/>
      <c r="ED310" s="312"/>
      <c r="EE310" s="312"/>
      <c r="EF310" s="312"/>
      <c r="EG310" s="312"/>
      <c r="EH310" s="312"/>
      <c r="EI310" s="312"/>
      <c r="EJ310" s="312"/>
      <c r="EK310" s="312"/>
      <c r="EL310" s="312"/>
      <c r="EM310" s="312"/>
      <c r="EN310" s="312"/>
      <c r="EO310" s="312"/>
      <c r="EP310" s="312"/>
      <c r="EQ310" s="312"/>
      <c r="ER310" s="312"/>
      <c r="ES310" s="312"/>
      <c r="ET310" s="312"/>
      <c r="EU310" s="312"/>
      <c r="EV310" s="312"/>
      <c r="EW310" s="312"/>
      <c r="EX310" s="312"/>
      <c r="EY310" s="312"/>
      <c r="EZ310" s="312"/>
      <c r="FA310" s="312"/>
      <c r="FB310" s="312"/>
      <c r="FC310" s="312"/>
      <c r="FD310" s="312"/>
      <c r="FE310" s="312"/>
      <c r="FF310" s="312"/>
      <c r="FG310" s="312"/>
      <c r="FH310" s="312"/>
      <c r="FI310" s="312"/>
      <c r="FJ310" s="312"/>
      <c r="FK310" s="312"/>
      <c r="FL310" s="312"/>
      <c r="FM310" s="312"/>
      <c r="FN310" s="312"/>
      <c r="FO310" s="312"/>
      <c r="FP310" s="312"/>
      <c r="FQ310" s="312"/>
      <c r="FR310" s="312"/>
      <c r="FS310" s="312"/>
      <c r="FT310" s="312"/>
      <c r="FU310" s="312"/>
      <c r="FV310" s="312"/>
      <c r="FW310" s="312"/>
      <c r="FX310" s="312"/>
      <c r="FY310" s="312"/>
      <c r="FZ310" s="312"/>
      <c r="GA310" s="312"/>
      <c r="GB310" s="312"/>
      <c r="GC310" s="312"/>
      <c r="GD310" s="312"/>
      <c r="GE310" s="312"/>
      <c r="GF310" s="312"/>
      <c r="GG310" s="312"/>
      <c r="GH310" s="312"/>
      <c r="GI310" s="312"/>
      <c r="GJ310" s="312"/>
      <c r="GK310" s="312"/>
      <c r="GL310" s="312"/>
      <c r="GM310" s="312"/>
      <c r="GN310" s="312"/>
      <c r="GO310" s="312"/>
      <c r="GP310" s="312"/>
      <c r="GQ310" s="312"/>
      <c r="GR310" s="312"/>
      <c r="GS310" s="312"/>
      <c r="GT310" s="312"/>
      <c r="GU310" s="312"/>
      <c r="GV310" s="312"/>
      <c r="GW310" s="312"/>
      <c r="GX310" s="312"/>
      <c r="GY310" s="312"/>
    </row>
    <row r="311" spans="2:207" ht="15.75" x14ac:dyDescent="0.25">
      <c r="B311" s="316">
        <f t="shared" si="77"/>
        <v>281</v>
      </c>
      <c r="C311" s="330">
        <f>'סיכום לוועדה'!B311</f>
        <v>1001348171</v>
      </c>
      <c r="D311" s="330">
        <f>'סיכום לוועדה'!C311</f>
        <v>1001273653</v>
      </c>
      <c r="E311" s="330">
        <f>'סיכום לוועדה'!D311</f>
        <v>40000564</v>
      </c>
      <c r="F311" s="330">
        <f>'סיכום לוועדה'!E311</f>
        <v>20000201</v>
      </c>
      <c r="G311" s="330" t="str">
        <f>'סיכום לוועדה'!F311</f>
        <v>תל אביב -יפו</v>
      </c>
      <c r="H311" s="317" t="str">
        <f>'סיכום לוועדה'!G311</f>
        <v>עמותת הכוריאוגרפים (ע"ר)</v>
      </c>
      <c r="I311" s="318">
        <f>'סיכום לוועדה'!U311</f>
        <v>150000</v>
      </c>
      <c r="J311" s="319">
        <f>'סיכום לוועדה'!T311</f>
        <v>15053.387735301814</v>
      </c>
      <c r="K311" s="320">
        <f t="shared" si="78"/>
        <v>0</v>
      </c>
      <c r="L311" s="319">
        <f t="shared" si="79"/>
        <v>15053.387735301814</v>
      </c>
      <c r="M311" s="331">
        <f>'תחום תמיכה ב'!AF311</f>
        <v>9.4244276914856104E-5</v>
      </c>
      <c r="N311" s="319">
        <f t="shared" si="76"/>
        <v>16658.792993817577</v>
      </c>
      <c r="O311" s="321">
        <f t="shared" si="80"/>
        <v>0</v>
      </c>
      <c r="P311" s="322">
        <f t="shared" si="81"/>
        <v>16658.792993817577</v>
      </c>
      <c r="Q311" s="322">
        <f t="shared" si="82"/>
        <v>16666.378182237317</v>
      </c>
      <c r="R311" s="321">
        <f t="shared" si="83"/>
        <v>0</v>
      </c>
      <c r="S311" s="322">
        <f t="shared" si="84"/>
        <v>16666.378182237317</v>
      </c>
      <c r="T311" s="322">
        <f t="shared" si="85"/>
        <v>16666.378182237284</v>
      </c>
      <c r="U311" s="321">
        <f t="shared" si="86"/>
        <v>0</v>
      </c>
      <c r="V311" s="322">
        <f t="shared" si="87"/>
        <v>16666.378182237284</v>
      </c>
      <c r="W311" s="322">
        <f t="shared" si="88"/>
        <v>16666.378182237288</v>
      </c>
      <c r="X311" s="321">
        <f t="shared" si="89"/>
        <v>0</v>
      </c>
      <c r="Y311" s="322">
        <f t="shared" si="90"/>
        <v>16666.378182237288</v>
      </c>
      <c r="Z311" s="322">
        <f t="shared" si="91"/>
        <v>16666.378182237284</v>
      </c>
      <c r="AA311" s="323">
        <f t="shared" si="92"/>
        <v>16666.378182237284</v>
      </c>
      <c r="AB311" s="323"/>
      <c r="AC311" s="323"/>
      <c r="AD311" s="323"/>
      <c r="AE311" s="323"/>
      <c r="AF311" s="324">
        <f t="shared" si="93"/>
        <v>9.5444740709792861E-5</v>
      </c>
      <c r="AG311" s="312"/>
      <c r="AH311" s="312"/>
      <c r="AI311" s="325">
        <f t="shared" si="94"/>
        <v>1</v>
      </c>
      <c r="AJ311" s="312"/>
      <c r="AK311" s="312"/>
      <c r="AL311" s="312"/>
      <c r="AM311" s="312"/>
      <c r="AN311" s="312"/>
      <c r="AO311" s="312"/>
      <c r="AP311" s="312"/>
      <c r="AQ311" s="312"/>
      <c r="AR311" s="312"/>
      <c r="AS311" s="312"/>
      <c r="AT311" s="312"/>
      <c r="AU311" s="312"/>
      <c r="AV311" s="312"/>
      <c r="AW311" s="312"/>
      <c r="AX311" s="312"/>
      <c r="AY311" s="312"/>
      <c r="AZ311" s="312"/>
      <c r="BA311" s="312"/>
      <c r="BB311" s="312"/>
      <c r="BC311" s="312"/>
      <c r="BD311" s="312"/>
      <c r="BE311" s="312"/>
      <c r="BF311" s="312"/>
      <c r="BG311" s="312"/>
      <c r="BH311" s="312"/>
      <c r="BI311" s="312"/>
      <c r="BJ311" s="312"/>
      <c r="BK311" s="312"/>
      <c r="BL311" s="312"/>
      <c r="BM311" s="312"/>
      <c r="BN311" s="312"/>
      <c r="BO311" s="312"/>
      <c r="BP311" s="312"/>
      <c r="BQ311" s="312"/>
      <c r="BR311" s="312"/>
      <c r="BS311" s="312"/>
      <c r="BT311" s="312"/>
      <c r="BU311" s="312"/>
      <c r="BV311" s="312"/>
      <c r="BW311" s="312"/>
      <c r="BX311" s="312"/>
      <c r="BY311" s="312"/>
      <c r="BZ311" s="312"/>
      <c r="CA311" s="312"/>
      <c r="CB311" s="312"/>
      <c r="CC311" s="312"/>
      <c r="CD311" s="312"/>
      <c r="CE311" s="312"/>
      <c r="CF311" s="312"/>
      <c r="CG311" s="312"/>
      <c r="CH311" s="312"/>
      <c r="CI311" s="312"/>
      <c r="CJ311" s="312"/>
      <c r="CK311" s="312"/>
      <c r="CL311" s="312"/>
      <c r="CM311" s="312"/>
      <c r="CN311" s="312"/>
      <c r="CO311" s="312"/>
      <c r="CP311" s="312"/>
      <c r="CQ311" s="312"/>
      <c r="CR311" s="312"/>
      <c r="CS311" s="312"/>
      <c r="CT311" s="312"/>
      <c r="CU311" s="312"/>
      <c r="CV311" s="312"/>
      <c r="CW311" s="312"/>
      <c r="CX311" s="312"/>
      <c r="CY311" s="312"/>
      <c r="CZ311" s="312"/>
      <c r="DA311" s="312"/>
      <c r="DB311" s="312"/>
      <c r="DC311" s="312"/>
      <c r="DD311" s="312"/>
      <c r="DE311" s="312"/>
      <c r="DF311" s="312"/>
      <c r="DG311" s="312"/>
      <c r="DH311" s="312"/>
      <c r="DI311" s="312"/>
      <c r="DJ311" s="312"/>
      <c r="DK311" s="312"/>
      <c r="DL311" s="312"/>
      <c r="DM311" s="312"/>
      <c r="DN311" s="312"/>
      <c r="DO311" s="312"/>
      <c r="DP311" s="312"/>
      <c r="DQ311" s="312"/>
      <c r="DR311" s="312"/>
      <c r="DS311" s="312"/>
      <c r="DT311" s="312"/>
      <c r="DU311" s="312"/>
      <c r="DV311" s="312"/>
      <c r="DW311" s="312"/>
      <c r="DX311" s="312"/>
      <c r="DY311" s="312"/>
      <c r="DZ311" s="312"/>
      <c r="EA311" s="312"/>
      <c r="EB311" s="312"/>
      <c r="EC311" s="312"/>
      <c r="ED311" s="312"/>
      <c r="EE311" s="312"/>
      <c r="EF311" s="312"/>
      <c r="EG311" s="312"/>
      <c r="EH311" s="312"/>
      <c r="EI311" s="312"/>
      <c r="EJ311" s="312"/>
      <c r="EK311" s="312"/>
      <c r="EL311" s="312"/>
      <c r="EM311" s="312"/>
      <c r="EN311" s="312"/>
      <c r="EO311" s="312"/>
      <c r="EP311" s="312"/>
      <c r="EQ311" s="312"/>
      <c r="ER311" s="312"/>
      <c r="ES311" s="312"/>
      <c r="ET311" s="312"/>
      <c r="EU311" s="312"/>
      <c r="EV311" s="312"/>
      <c r="EW311" s="312"/>
      <c r="EX311" s="312"/>
      <c r="EY311" s="312"/>
      <c r="EZ311" s="312"/>
      <c r="FA311" s="312"/>
      <c r="FB311" s="312"/>
      <c r="FC311" s="312"/>
      <c r="FD311" s="312"/>
      <c r="FE311" s="312"/>
      <c r="FF311" s="312"/>
      <c r="FG311" s="312"/>
      <c r="FH311" s="312"/>
      <c r="FI311" s="312"/>
      <c r="FJ311" s="312"/>
      <c r="FK311" s="312"/>
      <c r="FL311" s="312"/>
      <c r="FM311" s="312"/>
      <c r="FN311" s="312"/>
      <c r="FO311" s="312"/>
      <c r="FP311" s="312"/>
      <c r="FQ311" s="312"/>
      <c r="FR311" s="312"/>
      <c r="FS311" s="312"/>
      <c r="FT311" s="312"/>
      <c r="FU311" s="312"/>
      <c r="FV311" s="312"/>
      <c r="FW311" s="312"/>
      <c r="FX311" s="312"/>
      <c r="FY311" s="312"/>
      <c r="FZ311" s="312"/>
      <c r="GA311" s="312"/>
      <c r="GB311" s="312"/>
      <c r="GC311" s="312"/>
      <c r="GD311" s="312"/>
      <c r="GE311" s="312"/>
      <c r="GF311" s="312"/>
      <c r="GG311" s="312"/>
      <c r="GH311" s="312"/>
      <c r="GI311" s="312"/>
      <c r="GJ311" s="312"/>
      <c r="GK311" s="312"/>
      <c r="GL311" s="312"/>
      <c r="GM311" s="312"/>
      <c r="GN311" s="312"/>
      <c r="GO311" s="312"/>
      <c r="GP311" s="312"/>
      <c r="GQ311" s="312"/>
      <c r="GR311" s="312"/>
      <c r="GS311" s="312"/>
      <c r="GT311" s="312"/>
      <c r="GU311" s="312"/>
      <c r="GV311" s="312"/>
      <c r="GW311" s="312"/>
      <c r="GX311" s="312"/>
      <c r="GY311" s="312"/>
    </row>
    <row r="312" spans="2:207" ht="15.75" x14ac:dyDescent="0.25">
      <c r="B312" s="316">
        <f t="shared" si="77"/>
        <v>282</v>
      </c>
      <c r="C312" s="330">
        <f>'סיכום לוועדה'!B312</f>
        <v>1001348172</v>
      </c>
      <c r="D312" s="330">
        <f>'סיכום לוועדה'!C312</f>
        <v>1001273649</v>
      </c>
      <c r="E312" s="330">
        <f>'סיכום לוועדה'!D312</f>
        <v>40000564</v>
      </c>
      <c r="F312" s="330">
        <f>'סיכום לוועדה'!E312</f>
        <v>20000201</v>
      </c>
      <c r="G312" s="330" t="str">
        <f>'סיכום לוועדה'!F312</f>
        <v>תל אביב -יפו</v>
      </c>
      <c r="H312" s="317" t="str">
        <f>'סיכום לוועדה'!G312</f>
        <v>עמותת הכוריאוגרפים (ע"ר)</v>
      </c>
      <c r="I312" s="318">
        <f>'סיכום לוועדה'!U312</f>
        <v>150000</v>
      </c>
      <c r="J312" s="319">
        <f>'סיכום לוועדה'!T312</f>
        <v>13596.51636923542</v>
      </c>
      <c r="K312" s="320">
        <f t="shared" si="78"/>
        <v>0</v>
      </c>
      <c r="L312" s="319">
        <f t="shared" si="79"/>
        <v>13596.51636923542</v>
      </c>
      <c r="M312" s="331">
        <f>'תחום תמיכה ב'!AF312</f>
        <v>9.068159671515123E-5</v>
      </c>
      <c r="N312" s="319">
        <f t="shared" si="76"/>
        <v>15141.233109421484</v>
      </c>
      <c r="O312" s="321">
        <f t="shared" si="80"/>
        <v>0</v>
      </c>
      <c r="P312" s="322">
        <f t="shared" si="81"/>
        <v>15141.233109421484</v>
      </c>
      <c r="Q312" s="322">
        <f t="shared" si="82"/>
        <v>15148.127312746108</v>
      </c>
      <c r="R312" s="321">
        <f t="shared" si="83"/>
        <v>0</v>
      </c>
      <c r="S312" s="322">
        <f t="shared" si="84"/>
        <v>15148.127312746108</v>
      </c>
      <c r="T312" s="322">
        <f t="shared" si="85"/>
        <v>15148.127312746077</v>
      </c>
      <c r="U312" s="321">
        <f t="shared" si="86"/>
        <v>0</v>
      </c>
      <c r="V312" s="322">
        <f t="shared" si="87"/>
        <v>15148.127312746077</v>
      </c>
      <c r="W312" s="322">
        <f t="shared" si="88"/>
        <v>15148.127312746083</v>
      </c>
      <c r="X312" s="321">
        <f t="shared" si="89"/>
        <v>0</v>
      </c>
      <c r="Y312" s="322">
        <f t="shared" si="90"/>
        <v>15148.127312746083</v>
      </c>
      <c r="Z312" s="322">
        <f t="shared" si="91"/>
        <v>15148.127312746079</v>
      </c>
      <c r="AA312" s="323">
        <f t="shared" si="92"/>
        <v>15148.127312746079</v>
      </c>
      <c r="AB312" s="323"/>
      <c r="AC312" s="323"/>
      <c r="AD312" s="323"/>
      <c r="AE312" s="323"/>
      <c r="AF312" s="324">
        <f t="shared" si="93"/>
        <v>8.6750046578500017E-5</v>
      </c>
      <c r="AG312" s="312"/>
      <c r="AH312" s="312"/>
      <c r="AI312" s="325">
        <f t="shared" si="94"/>
        <v>1</v>
      </c>
      <c r="AJ312" s="312"/>
      <c r="AK312" s="312"/>
      <c r="AL312" s="312"/>
      <c r="AM312" s="312"/>
      <c r="AN312" s="312"/>
      <c r="AO312" s="312"/>
      <c r="AP312" s="312"/>
      <c r="AQ312" s="312"/>
      <c r="AR312" s="312"/>
      <c r="AS312" s="312"/>
      <c r="AT312" s="312"/>
      <c r="AU312" s="312"/>
      <c r="AV312" s="312"/>
      <c r="AW312" s="312"/>
      <c r="AX312" s="312"/>
      <c r="AY312" s="312"/>
      <c r="AZ312" s="312"/>
      <c r="BA312" s="312"/>
      <c r="BB312" s="312"/>
      <c r="BC312" s="312"/>
      <c r="BD312" s="312"/>
      <c r="BE312" s="312"/>
      <c r="BF312" s="312"/>
      <c r="BG312" s="312"/>
      <c r="BH312" s="312"/>
      <c r="BI312" s="312"/>
      <c r="BJ312" s="312"/>
      <c r="BK312" s="312"/>
      <c r="BL312" s="312"/>
      <c r="BM312" s="312"/>
      <c r="BN312" s="312"/>
      <c r="BO312" s="312"/>
      <c r="BP312" s="312"/>
      <c r="BQ312" s="312"/>
      <c r="BR312" s="312"/>
      <c r="BS312" s="312"/>
      <c r="BT312" s="312"/>
      <c r="BU312" s="312"/>
      <c r="BV312" s="312"/>
      <c r="BW312" s="312"/>
      <c r="BX312" s="312"/>
      <c r="BY312" s="312"/>
      <c r="BZ312" s="312"/>
      <c r="CA312" s="312"/>
      <c r="CB312" s="312"/>
      <c r="CC312" s="312"/>
      <c r="CD312" s="312"/>
      <c r="CE312" s="312"/>
      <c r="CF312" s="312"/>
      <c r="CG312" s="312"/>
      <c r="CH312" s="312"/>
      <c r="CI312" s="312"/>
      <c r="CJ312" s="312"/>
      <c r="CK312" s="312"/>
      <c r="CL312" s="312"/>
      <c r="CM312" s="312"/>
      <c r="CN312" s="312"/>
      <c r="CO312" s="312"/>
      <c r="CP312" s="312"/>
      <c r="CQ312" s="312"/>
      <c r="CR312" s="312"/>
      <c r="CS312" s="312"/>
      <c r="CT312" s="312"/>
      <c r="CU312" s="312"/>
      <c r="CV312" s="312"/>
      <c r="CW312" s="312"/>
      <c r="CX312" s="312"/>
      <c r="CY312" s="312"/>
      <c r="CZ312" s="312"/>
      <c r="DA312" s="312"/>
      <c r="DB312" s="312"/>
      <c r="DC312" s="312"/>
      <c r="DD312" s="312"/>
      <c r="DE312" s="312"/>
      <c r="DF312" s="312"/>
      <c r="DG312" s="312"/>
      <c r="DH312" s="312"/>
      <c r="DI312" s="312"/>
      <c r="DJ312" s="312"/>
      <c r="DK312" s="312"/>
      <c r="DL312" s="312"/>
      <c r="DM312" s="312"/>
      <c r="DN312" s="312"/>
      <c r="DO312" s="312"/>
      <c r="DP312" s="312"/>
      <c r="DQ312" s="312"/>
      <c r="DR312" s="312"/>
      <c r="DS312" s="312"/>
      <c r="DT312" s="312"/>
      <c r="DU312" s="312"/>
      <c r="DV312" s="312"/>
      <c r="DW312" s="312"/>
      <c r="DX312" s="312"/>
      <c r="DY312" s="312"/>
      <c r="DZ312" s="312"/>
      <c r="EA312" s="312"/>
      <c r="EB312" s="312"/>
      <c r="EC312" s="312"/>
      <c r="ED312" s="312"/>
      <c r="EE312" s="312"/>
      <c r="EF312" s="312"/>
      <c r="EG312" s="312"/>
      <c r="EH312" s="312"/>
      <c r="EI312" s="312"/>
      <c r="EJ312" s="312"/>
      <c r="EK312" s="312"/>
      <c r="EL312" s="312"/>
      <c r="EM312" s="312"/>
      <c r="EN312" s="312"/>
      <c r="EO312" s="312"/>
      <c r="EP312" s="312"/>
      <c r="EQ312" s="312"/>
      <c r="ER312" s="312"/>
      <c r="ES312" s="312"/>
      <c r="ET312" s="312"/>
      <c r="EU312" s="312"/>
      <c r="EV312" s="312"/>
      <c r="EW312" s="312"/>
      <c r="EX312" s="312"/>
      <c r="EY312" s="312"/>
      <c r="EZ312" s="312"/>
      <c r="FA312" s="312"/>
      <c r="FB312" s="312"/>
      <c r="FC312" s="312"/>
      <c r="FD312" s="312"/>
      <c r="FE312" s="312"/>
      <c r="FF312" s="312"/>
      <c r="FG312" s="312"/>
      <c r="FH312" s="312"/>
      <c r="FI312" s="312"/>
      <c r="FJ312" s="312"/>
      <c r="FK312" s="312"/>
      <c r="FL312" s="312"/>
      <c r="FM312" s="312"/>
      <c r="FN312" s="312"/>
      <c r="FO312" s="312"/>
      <c r="FP312" s="312"/>
      <c r="FQ312" s="312"/>
      <c r="FR312" s="312"/>
      <c r="FS312" s="312"/>
      <c r="FT312" s="312"/>
      <c r="FU312" s="312"/>
      <c r="FV312" s="312"/>
      <c r="FW312" s="312"/>
      <c r="FX312" s="312"/>
      <c r="FY312" s="312"/>
      <c r="FZ312" s="312"/>
      <c r="GA312" s="312"/>
      <c r="GB312" s="312"/>
      <c r="GC312" s="312"/>
      <c r="GD312" s="312"/>
      <c r="GE312" s="312"/>
      <c r="GF312" s="312"/>
      <c r="GG312" s="312"/>
      <c r="GH312" s="312"/>
      <c r="GI312" s="312"/>
      <c r="GJ312" s="312"/>
      <c r="GK312" s="312"/>
      <c r="GL312" s="312"/>
      <c r="GM312" s="312"/>
      <c r="GN312" s="312"/>
      <c r="GO312" s="312"/>
      <c r="GP312" s="312"/>
      <c r="GQ312" s="312"/>
      <c r="GR312" s="312"/>
      <c r="GS312" s="312"/>
      <c r="GT312" s="312"/>
      <c r="GU312" s="312"/>
      <c r="GV312" s="312"/>
      <c r="GW312" s="312"/>
      <c r="GX312" s="312"/>
      <c r="GY312" s="312"/>
    </row>
    <row r="313" spans="2:207" ht="15.75" x14ac:dyDescent="0.25">
      <c r="B313" s="316">
        <f t="shared" si="77"/>
        <v>283</v>
      </c>
      <c r="C313" s="330">
        <f>'סיכום לוועדה'!B313</f>
        <v>1001348173</v>
      </c>
      <c r="D313" s="330">
        <f>'סיכום לוועדה'!C313</f>
        <v>1001273634</v>
      </c>
      <c r="E313" s="330">
        <f>'סיכום לוועדה'!D313</f>
        <v>40000564</v>
      </c>
      <c r="F313" s="330">
        <f>'סיכום לוועדה'!E313</f>
        <v>20000201</v>
      </c>
      <c r="G313" s="330" t="str">
        <f>'סיכום לוועדה'!F313</f>
        <v>תל אביב -יפו</v>
      </c>
      <c r="H313" s="317" t="str">
        <f>'סיכום לוועדה'!G313</f>
        <v>עמותת הכוריאוגרפים (ע"ר)</v>
      </c>
      <c r="I313" s="318">
        <f>'סיכום לוועדה'!U313</f>
        <v>150000</v>
      </c>
      <c r="J313" s="319">
        <f>'סיכום לוועדה'!T313</f>
        <v>14562.830220414693</v>
      </c>
      <c r="K313" s="320">
        <f t="shared" si="78"/>
        <v>0</v>
      </c>
      <c r="L313" s="319">
        <f t="shared" si="79"/>
        <v>14562.830220414693</v>
      </c>
      <c r="M313" s="331">
        <f>'תחום תמיכה ב'!AF313</f>
        <v>8.7335892418542212E-5</v>
      </c>
      <c r="N313" s="319">
        <f t="shared" si="76"/>
        <v>16050.554520878743</v>
      </c>
      <c r="O313" s="321">
        <f t="shared" si="80"/>
        <v>0</v>
      </c>
      <c r="P313" s="322">
        <f t="shared" si="81"/>
        <v>16050.554520878743</v>
      </c>
      <c r="Q313" s="322">
        <f t="shared" si="82"/>
        <v>16057.862762257779</v>
      </c>
      <c r="R313" s="321">
        <f t="shared" si="83"/>
        <v>0</v>
      </c>
      <c r="S313" s="322">
        <f t="shared" si="84"/>
        <v>16057.862762257779</v>
      </c>
      <c r="T313" s="322">
        <f t="shared" si="85"/>
        <v>16057.862762257746</v>
      </c>
      <c r="U313" s="321">
        <f t="shared" si="86"/>
        <v>0</v>
      </c>
      <c r="V313" s="322">
        <f t="shared" si="87"/>
        <v>16057.862762257746</v>
      </c>
      <c r="W313" s="322">
        <f t="shared" si="88"/>
        <v>16057.862762257751</v>
      </c>
      <c r="X313" s="321">
        <f t="shared" si="89"/>
        <v>0</v>
      </c>
      <c r="Y313" s="322">
        <f t="shared" si="90"/>
        <v>16057.862762257751</v>
      </c>
      <c r="Z313" s="322">
        <f t="shared" si="91"/>
        <v>16057.862762257748</v>
      </c>
      <c r="AA313" s="323">
        <f t="shared" si="92"/>
        <v>16057.862762257748</v>
      </c>
      <c r="AB313" s="323"/>
      <c r="AC313" s="323"/>
      <c r="AD313" s="323"/>
      <c r="AE313" s="323"/>
      <c r="AF313" s="324">
        <f t="shared" si="93"/>
        <v>9.1959904601864056E-5</v>
      </c>
      <c r="AG313" s="312"/>
      <c r="AH313" s="312"/>
      <c r="AI313" s="325">
        <f t="shared" si="94"/>
        <v>1</v>
      </c>
      <c r="AJ313" s="312"/>
      <c r="AK313" s="312"/>
      <c r="AL313" s="312"/>
      <c r="AM313" s="312"/>
      <c r="AN313" s="312"/>
      <c r="AO313" s="312"/>
      <c r="AP313" s="312"/>
      <c r="AQ313" s="312"/>
      <c r="AR313" s="312"/>
      <c r="AS313" s="312"/>
      <c r="AT313" s="312"/>
      <c r="AU313" s="312"/>
      <c r="AV313" s="312"/>
      <c r="AW313" s="312"/>
      <c r="AX313" s="312"/>
      <c r="AY313" s="312"/>
      <c r="AZ313" s="312"/>
      <c r="BA313" s="312"/>
      <c r="BB313" s="312"/>
      <c r="BC313" s="312"/>
      <c r="BD313" s="312"/>
      <c r="BE313" s="312"/>
      <c r="BF313" s="312"/>
      <c r="BG313" s="312"/>
      <c r="BH313" s="312"/>
      <c r="BI313" s="312"/>
      <c r="BJ313" s="312"/>
      <c r="BK313" s="312"/>
      <c r="BL313" s="312"/>
      <c r="BM313" s="312"/>
      <c r="BN313" s="312"/>
      <c r="BO313" s="312"/>
      <c r="BP313" s="312"/>
      <c r="BQ313" s="312"/>
      <c r="BR313" s="312"/>
      <c r="BS313" s="312"/>
      <c r="BT313" s="312"/>
      <c r="BU313" s="312"/>
      <c r="BV313" s="312"/>
      <c r="BW313" s="312"/>
      <c r="BX313" s="312"/>
      <c r="BY313" s="312"/>
      <c r="BZ313" s="312"/>
      <c r="CA313" s="312"/>
      <c r="CB313" s="312"/>
      <c r="CC313" s="312"/>
      <c r="CD313" s="312"/>
      <c r="CE313" s="312"/>
      <c r="CF313" s="312"/>
      <c r="CG313" s="312"/>
      <c r="CH313" s="312"/>
      <c r="CI313" s="312"/>
      <c r="CJ313" s="312"/>
      <c r="CK313" s="312"/>
      <c r="CL313" s="312"/>
      <c r="CM313" s="312"/>
      <c r="CN313" s="312"/>
      <c r="CO313" s="312"/>
      <c r="CP313" s="312"/>
      <c r="CQ313" s="312"/>
      <c r="CR313" s="312"/>
      <c r="CS313" s="312"/>
      <c r="CT313" s="312"/>
      <c r="CU313" s="312"/>
      <c r="CV313" s="312"/>
      <c r="CW313" s="312"/>
      <c r="CX313" s="312"/>
      <c r="CY313" s="312"/>
      <c r="CZ313" s="312"/>
      <c r="DA313" s="312"/>
      <c r="DB313" s="312"/>
      <c r="DC313" s="312"/>
      <c r="DD313" s="312"/>
      <c r="DE313" s="312"/>
      <c r="DF313" s="312"/>
      <c r="DG313" s="312"/>
      <c r="DH313" s="312"/>
      <c r="DI313" s="312"/>
      <c r="DJ313" s="312"/>
      <c r="DK313" s="312"/>
      <c r="DL313" s="312"/>
      <c r="DM313" s="312"/>
      <c r="DN313" s="312"/>
      <c r="DO313" s="312"/>
      <c r="DP313" s="312"/>
      <c r="DQ313" s="312"/>
      <c r="DR313" s="312"/>
      <c r="DS313" s="312"/>
      <c r="DT313" s="312"/>
      <c r="DU313" s="312"/>
      <c r="DV313" s="312"/>
      <c r="DW313" s="312"/>
      <c r="DX313" s="312"/>
      <c r="DY313" s="312"/>
      <c r="DZ313" s="312"/>
      <c r="EA313" s="312"/>
      <c r="EB313" s="312"/>
      <c r="EC313" s="312"/>
      <c r="ED313" s="312"/>
      <c r="EE313" s="312"/>
      <c r="EF313" s="312"/>
      <c r="EG313" s="312"/>
      <c r="EH313" s="312"/>
      <c r="EI313" s="312"/>
      <c r="EJ313" s="312"/>
      <c r="EK313" s="312"/>
      <c r="EL313" s="312"/>
      <c r="EM313" s="312"/>
      <c r="EN313" s="312"/>
      <c r="EO313" s="312"/>
      <c r="EP313" s="312"/>
      <c r="EQ313" s="312"/>
      <c r="ER313" s="312"/>
      <c r="ES313" s="312"/>
      <c r="ET313" s="312"/>
      <c r="EU313" s="312"/>
      <c r="EV313" s="312"/>
      <c r="EW313" s="312"/>
      <c r="EX313" s="312"/>
      <c r="EY313" s="312"/>
      <c r="EZ313" s="312"/>
      <c r="FA313" s="312"/>
      <c r="FB313" s="312"/>
      <c r="FC313" s="312"/>
      <c r="FD313" s="312"/>
      <c r="FE313" s="312"/>
      <c r="FF313" s="312"/>
      <c r="FG313" s="312"/>
      <c r="FH313" s="312"/>
      <c r="FI313" s="312"/>
      <c r="FJ313" s="312"/>
      <c r="FK313" s="312"/>
      <c r="FL313" s="312"/>
      <c r="FM313" s="312"/>
      <c r="FN313" s="312"/>
      <c r="FO313" s="312"/>
      <c r="FP313" s="312"/>
      <c r="FQ313" s="312"/>
      <c r="FR313" s="312"/>
      <c r="FS313" s="312"/>
      <c r="FT313" s="312"/>
      <c r="FU313" s="312"/>
      <c r="FV313" s="312"/>
      <c r="FW313" s="312"/>
      <c r="FX313" s="312"/>
      <c r="FY313" s="312"/>
      <c r="FZ313" s="312"/>
      <c r="GA313" s="312"/>
      <c r="GB313" s="312"/>
      <c r="GC313" s="312"/>
      <c r="GD313" s="312"/>
      <c r="GE313" s="312"/>
      <c r="GF313" s="312"/>
      <c r="GG313" s="312"/>
      <c r="GH313" s="312"/>
      <c r="GI313" s="312"/>
      <c r="GJ313" s="312"/>
      <c r="GK313" s="312"/>
      <c r="GL313" s="312"/>
      <c r="GM313" s="312"/>
      <c r="GN313" s="312"/>
      <c r="GO313" s="312"/>
      <c r="GP313" s="312"/>
      <c r="GQ313" s="312"/>
      <c r="GR313" s="312"/>
      <c r="GS313" s="312"/>
      <c r="GT313" s="312"/>
      <c r="GU313" s="312"/>
      <c r="GV313" s="312"/>
      <c r="GW313" s="312"/>
      <c r="GX313" s="312"/>
      <c r="GY313" s="312"/>
    </row>
    <row r="314" spans="2:207" ht="15.75" x14ac:dyDescent="0.25">
      <c r="B314" s="316">
        <f t="shared" si="77"/>
        <v>284</v>
      </c>
      <c r="C314" s="330">
        <f>'סיכום לוועדה'!B314</f>
        <v>1001348174</v>
      </c>
      <c r="D314" s="330">
        <f>'סיכום לוועדה'!C314</f>
        <v>1001273636</v>
      </c>
      <c r="E314" s="330">
        <f>'סיכום לוועדה'!D314</f>
        <v>40000564</v>
      </c>
      <c r="F314" s="330">
        <f>'סיכום לוועדה'!E314</f>
        <v>20000201</v>
      </c>
      <c r="G314" s="330" t="str">
        <f>'סיכום לוועדה'!F314</f>
        <v>תל אביב -יפו</v>
      </c>
      <c r="H314" s="317" t="str">
        <f>'סיכום לוועדה'!G314</f>
        <v>עמותת הכוריאוגרפים (ע"ר)</v>
      </c>
      <c r="I314" s="318">
        <f>'סיכום לוועדה'!U314</f>
        <v>150000</v>
      </c>
      <c r="J314" s="319">
        <f>'סיכום לוועדה'!T314</f>
        <v>8550.4114789714113</v>
      </c>
      <c r="K314" s="320">
        <f t="shared" si="78"/>
        <v>0</v>
      </c>
      <c r="L314" s="319">
        <f t="shared" si="79"/>
        <v>8550.4114789714113</v>
      </c>
      <c r="M314" s="331">
        <f>'תחום תמיכה ב'!AF314</f>
        <v>4.393954583843182E-5</v>
      </c>
      <c r="N314" s="319">
        <f t="shared" si="76"/>
        <v>9298.9001963238934</v>
      </c>
      <c r="O314" s="321">
        <f t="shared" si="80"/>
        <v>0</v>
      </c>
      <c r="P314" s="322">
        <f t="shared" si="81"/>
        <v>9298.9001963238934</v>
      </c>
      <c r="Q314" s="322">
        <f t="shared" si="82"/>
        <v>9303.134231173337</v>
      </c>
      <c r="R314" s="321">
        <f t="shared" si="83"/>
        <v>0</v>
      </c>
      <c r="S314" s="322">
        <f t="shared" si="84"/>
        <v>9303.134231173337</v>
      </c>
      <c r="T314" s="322">
        <f t="shared" si="85"/>
        <v>9303.1342311733188</v>
      </c>
      <c r="U314" s="321">
        <f t="shared" si="86"/>
        <v>0</v>
      </c>
      <c r="V314" s="322">
        <f t="shared" si="87"/>
        <v>9303.1342311733188</v>
      </c>
      <c r="W314" s="322">
        <f t="shared" si="88"/>
        <v>9303.1342311733224</v>
      </c>
      <c r="X314" s="321">
        <f t="shared" si="89"/>
        <v>0</v>
      </c>
      <c r="Y314" s="322">
        <f t="shared" si="90"/>
        <v>9303.1342311733224</v>
      </c>
      <c r="Z314" s="322">
        <f t="shared" si="91"/>
        <v>9303.1342311733206</v>
      </c>
      <c r="AA314" s="323">
        <f t="shared" si="92"/>
        <v>9303.1342311733206</v>
      </c>
      <c r="AB314" s="323"/>
      <c r="AC314" s="323"/>
      <c r="AD314" s="323"/>
      <c r="AE314" s="323"/>
      <c r="AF314" s="324">
        <f t="shared" si="93"/>
        <v>5.3277036244688164E-5</v>
      </c>
      <c r="AG314" s="312"/>
      <c r="AH314" s="312"/>
      <c r="AI314" s="325">
        <f t="shared" si="94"/>
        <v>1</v>
      </c>
      <c r="AJ314" s="312"/>
      <c r="AK314" s="312"/>
      <c r="AL314" s="312"/>
      <c r="AM314" s="312"/>
      <c r="AN314" s="312"/>
      <c r="AO314" s="312"/>
      <c r="AP314" s="312"/>
      <c r="AQ314" s="312"/>
      <c r="AR314" s="312"/>
      <c r="AS314" s="312"/>
      <c r="AT314" s="312"/>
      <c r="AU314" s="312"/>
      <c r="AV314" s="312"/>
      <c r="AW314" s="312"/>
      <c r="AX314" s="312"/>
      <c r="AY314" s="312"/>
      <c r="AZ314" s="312"/>
      <c r="BA314" s="312"/>
      <c r="BB314" s="312"/>
      <c r="BC314" s="312"/>
      <c r="BD314" s="312"/>
      <c r="BE314" s="312"/>
      <c r="BF314" s="312"/>
      <c r="BG314" s="312"/>
      <c r="BH314" s="312"/>
      <c r="BI314" s="312"/>
      <c r="BJ314" s="312"/>
      <c r="BK314" s="312"/>
      <c r="BL314" s="312"/>
      <c r="BM314" s="312"/>
      <c r="BN314" s="312"/>
      <c r="BO314" s="312"/>
      <c r="BP314" s="312"/>
      <c r="BQ314" s="312"/>
      <c r="BR314" s="312"/>
      <c r="BS314" s="312"/>
      <c r="BT314" s="312"/>
      <c r="BU314" s="312"/>
      <c r="BV314" s="312"/>
      <c r="BW314" s="312"/>
      <c r="BX314" s="312"/>
      <c r="BY314" s="312"/>
      <c r="BZ314" s="312"/>
      <c r="CA314" s="312"/>
      <c r="CB314" s="312"/>
      <c r="CC314" s="312"/>
      <c r="CD314" s="312"/>
      <c r="CE314" s="312"/>
      <c r="CF314" s="312"/>
      <c r="CG314" s="312"/>
      <c r="CH314" s="312"/>
      <c r="CI314" s="312"/>
      <c r="CJ314" s="312"/>
      <c r="CK314" s="312"/>
      <c r="CL314" s="312"/>
      <c r="CM314" s="312"/>
      <c r="CN314" s="312"/>
      <c r="CO314" s="312"/>
      <c r="CP314" s="312"/>
      <c r="CQ314" s="312"/>
      <c r="CR314" s="312"/>
      <c r="CS314" s="312"/>
      <c r="CT314" s="312"/>
      <c r="CU314" s="312"/>
      <c r="CV314" s="312"/>
      <c r="CW314" s="312"/>
      <c r="CX314" s="312"/>
      <c r="CY314" s="312"/>
      <c r="CZ314" s="312"/>
      <c r="DA314" s="312"/>
      <c r="DB314" s="312"/>
      <c r="DC314" s="312"/>
      <c r="DD314" s="312"/>
      <c r="DE314" s="312"/>
      <c r="DF314" s="312"/>
      <c r="DG314" s="312"/>
      <c r="DH314" s="312"/>
      <c r="DI314" s="312"/>
      <c r="DJ314" s="312"/>
      <c r="DK314" s="312"/>
      <c r="DL314" s="312"/>
      <c r="DM314" s="312"/>
      <c r="DN314" s="312"/>
      <c r="DO314" s="312"/>
      <c r="DP314" s="312"/>
      <c r="DQ314" s="312"/>
      <c r="DR314" s="312"/>
      <c r="DS314" s="312"/>
      <c r="DT314" s="312"/>
      <c r="DU314" s="312"/>
      <c r="DV314" s="312"/>
      <c r="DW314" s="312"/>
      <c r="DX314" s="312"/>
      <c r="DY314" s="312"/>
      <c r="DZ314" s="312"/>
      <c r="EA314" s="312"/>
      <c r="EB314" s="312"/>
      <c r="EC314" s="312"/>
      <c r="ED314" s="312"/>
      <c r="EE314" s="312"/>
      <c r="EF314" s="312"/>
      <c r="EG314" s="312"/>
      <c r="EH314" s="312"/>
      <c r="EI314" s="312"/>
      <c r="EJ314" s="312"/>
      <c r="EK314" s="312"/>
      <c r="EL314" s="312"/>
      <c r="EM314" s="312"/>
      <c r="EN314" s="312"/>
      <c r="EO314" s="312"/>
      <c r="EP314" s="312"/>
      <c r="EQ314" s="312"/>
      <c r="ER314" s="312"/>
      <c r="ES314" s="312"/>
      <c r="ET314" s="312"/>
      <c r="EU314" s="312"/>
      <c r="EV314" s="312"/>
      <c r="EW314" s="312"/>
      <c r="EX314" s="312"/>
      <c r="EY314" s="312"/>
      <c r="EZ314" s="312"/>
      <c r="FA314" s="312"/>
      <c r="FB314" s="312"/>
      <c r="FC314" s="312"/>
      <c r="FD314" s="312"/>
      <c r="FE314" s="312"/>
      <c r="FF314" s="312"/>
      <c r="FG314" s="312"/>
      <c r="FH314" s="312"/>
      <c r="FI314" s="312"/>
      <c r="FJ314" s="312"/>
      <c r="FK314" s="312"/>
      <c r="FL314" s="312"/>
      <c r="FM314" s="312"/>
      <c r="FN314" s="312"/>
      <c r="FO314" s="312"/>
      <c r="FP314" s="312"/>
      <c r="FQ314" s="312"/>
      <c r="FR314" s="312"/>
      <c r="FS314" s="312"/>
      <c r="FT314" s="312"/>
      <c r="FU314" s="312"/>
      <c r="FV314" s="312"/>
      <c r="FW314" s="312"/>
      <c r="FX314" s="312"/>
      <c r="FY314" s="312"/>
      <c r="FZ314" s="312"/>
      <c r="GA314" s="312"/>
      <c r="GB314" s="312"/>
      <c r="GC314" s="312"/>
      <c r="GD314" s="312"/>
      <c r="GE314" s="312"/>
      <c r="GF314" s="312"/>
      <c r="GG314" s="312"/>
      <c r="GH314" s="312"/>
      <c r="GI314" s="312"/>
      <c r="GJ314" s="312"/>
      <c r="GK314" s="312"/>
      <c r="GL314" s="312"/>
      <c r="GM314" s="312"/>
      <c r="GN314" s="312"/>
      <c r="GO314" s="312"/>
      <c r="GP314" s="312"/>
      <c r="GQ314" s="312"/>
      <c r="GR314" s="312"/>
      <c r="GS314" s="312"/>
      <c r="GT314" s="312"/>
      <c r="GU314" s="312"/>
      <c r="GV314" s="312"/>
      <c r="GW314" s="312"/>
      <c r="GX314" s="312"/>
      <c r="GY314" s="312"/>
    </row>
    <row r="315" spans="2:207" ht="15.75" x14ac:dyDescent="0.25">
      <c r="B315" s="316">
        <f t="shared" si="77"/>
        <v>285</v>
      </c>
      <c r="C315" s="330">
        <f>'סיכום לוועדה'!B315</f>
        <v>1001348175</v>
      </c>
      <c r="D315" s="330">
        <f>'סיכום לוועדה'!C315</f>
        <v>1001273638</v>
      </c>
      <c r="E315" s="330">
        <f>'סיכום לוועדה'!D315</f>
        <v>40000564</v>
      </c>
      <c r="F315" s="330">
        <f>'סיכום לוועדה'!E315</f>
        <v>20000201</v>
      </c>
      <c r="G315" s="330" t="str">
        <f>'סיכום לוועדה'!F315</f>
        <v>תל אביב -יפו</v>
      </c>
      <c r="H315" s="317" t="str">
        <f>'סיכום לוועדה'!G315</f>
        <v>עמותת הכוריאוגרפים (ע"ר)</v>
      </c>
      <c r="I315" s="318">
        <f>'סיכום לוועדה'!U315</f>
        <v>150000</v>
      </c>
      <c r="J315" s="319">
        <f>'סיכום לוועדה'!T315</f>
        <v>24030.890049327099</v>
      </c>
      <c r="K315" s="320">
        <f t="shared" si="78"/>
        <v>0</v>
      </c>
      <c r="L315" s="319">
        <f t="shared" si="79"/>
        <v>24030.890049327099</v>
      </c>
      <c r="M315" s="331">
        <f>'תחום תמיכה ב'!AF315</f>
        <v>1.3475183171937735E-4</v>
      </c>
      <c r="N315" s="319">
        <f t="shared" si="76"/>
        <v>26326.321733018209</v>
      </c>
      <c r="O315" s="321">
        <f t="shared" si="80"/>
        <v>0</v>
      </c>
      <c r="P315" s="322">
        <f t="shared" si="81"/>
        <v>26326.321733018209</v>
      </c>
      <c r="Q315" s="322">
        <f t="shared" si="82"/>
        <v>26338.308802598691</v>
      </c>
      <c r="R315" s="321">
        <f t="shared" si="83"/>
        <v>0</v>
      </c>
      <c r="S315" s="322">
        <f t="shared" si="84"/>
        <v>26338.308802598691</v>
      </c>
      <c r="T315" s="322">
        <f t="shared" si="85"/>
        <v>26338.308802598636</v>
      </c>
      <c r="U315" s="321">
        <f t="shared" si="86"/>
        <v>0</v>
      </c>
      <c r="V315" s="322">
        <f t="shared" si="87"/>
        <v>26338.308802598636</v>
      </c>
      <c r="W315" s="322">
        <f t="shared" si="88"/>
        <v>26338.308802598647</v>
      </c>
      <c r="X315" s="321">
        <f t="shared" si="89"/>
        <v>0</v>
      </c>
      <c r="Y315" s="322">
        <f t="shared" si="90"/>
        <v>26338.308802598647</v>
      </c>
      <c r="Z315" s="322">
        <f t="shared" si="91"/>
        <v>26338.30880259864</v>
      </c>
      <c r="AA315" s="323">
        <f t="shared" si="92"/>
        <v>26338.30880259864</v>
      </c>
      <c r="AB315" s="323"/>
      <c r="AC315" s="323"/>
      <c r="AD315" s="323"/>
      <c r="AE315" s="323"/>
      <c r="AF315" s="324">
        <f t="shared" si="93"/>
        <v>1.5083379405596953E-4</v>
      </c>
      <c r="AG315" s="312"/>
      <c r="AH315" s="312"/>
      <c r="AI315" s="325">
        <f t="shared" si="94"/>
        <v>1</v>
      </c>
      <c r="AJ315" s="312"/>
      <c r="AK315" s="312"/>
      <c r="AL315" s="312"/>
      <c r="AM315" s="312"/>
      <c r="AN315" s="312"/>
      <c r="AO315" s="312"/>
      <c r="AP315" s="312"/>
      <c r="AQ315" s="312"/>
      <c r="AR315" s="312"/>
      <c r="AS315" s="312"/>
      <c r="AT315" s="312"/>
      <c r="AU315" s="312"/>
      <c r="AV315" s="312"/>
      <c r="AW315" s="312"/>
      <c r="AX315" s="312"/>
      <c r="AY315" s="312"/>
      <c r="AZ315" s="312"/>
      <c r="BA315" s="312"/>
      <c r="BB315" s="312"/>
      <c r="BC315" s="312"/>
      <c r="BD315" s="312"/>
      <c r="BE315" s="312"/>
      <c r="BF315" s="312"/>
      <c r="BG315" s="312"/>
      <c r="BH315" s="312"/>
      <c r="BI315" s="312"/>
      <c r="BJ315" s="312"/>
      <c r="BK315" s="312"/>
      <c r="BL315" s="312"/>
      <c r="BM315" s="312"/>
      <c r="BN315" s="312"/>
      <c r="BO315" s="312"/>
      <c r="BP315" s="312"/>
      <c r="BQ315" s="312"/>
      <c r="BR315" s="312"/>
      <c r="BS315" s="312"/>
      <c r="BT315" s="312"/>
      <c r="BU315" s="312"/>
      <c r="BV315" s="312"/>
      <c r="BW315" s="312"/>
      <c r="BX315" s="312"/>
      <c r="BY315" s="312"/>
      <c r="BZ315" s="312"/>
      <c r="CA315" s="312"/>
      <c r="CB315" s="312"/>
      <c r="CC315" s="312"/>
      <c r="CD315" s="312"/>
      <c r="CE315" s="312"/>
      <c r="CF315" s="312"/>
      <c r="CG315" s="312"/>
      <c r="CH315" s="312"/>
      <c r="CI315" s="312"/>
      <c r="CJ315" s="312"/>
      <c r="CK315" s="312"/>
      <c r="CL315" s="312"/>
      <c r="CM315" s="312"/>
      <c r="CN315" s="312"/>
      <c r="CO315" s="312"/>
      <c r="CP315" s="312"/>
      <c r="CQ315" s="312"/>
      <c r="CR315" s="312"/>
      <c r="CS315" s="312"/>
      <c r="CT315" s="312"/>
      <c r="CU315" s="312"/>
      <c r="CV315" s="312"/>
      <c r="CW315" s="312"/>
      <c r="CX315" s="312"/>
      <c r="CY315" s="312"/>
      <c r="CZ315" s="312"/>
      <c r="DA315" s="312"/>
      <c r="DB315" s="312"/>
      <c r="DC315" s="312"/>
      <c r="DD315" s="312"/>
      <c r="DE315" s="312"/>
      <c r="DF315" s="312"/>
      <c r="DG315" s="312"/>
      <c r="DH315" s="312"/>
      <c r="DI315" s="312"/>
      <c r="DJ315" s="312"/>
      <c r="DK315" s="312"/>
      <c r="DL315" s="312"/>
      <c r="DM315" s="312"/>
      <c r="DN315" s="312"/>
      <c r="DO315" s="312"/>
      <c r="DP315" s="312"/>
      <c r="DQ315" s="312"/>
      <c r="DR315" s="312"/>
      <c r="DS315" s="312"/>
      <c r="DT315" s="312"/>
      <c r="DU315" s="312"/>
      <c r="DV315" s="312"/>
      <c r="DW315" s="312"/>
      <c r="DX315" s="312"/>
      <c r="DY315" s="312"/>
      <c r="DZ315" s="312"/>
      <c r="EA315" s="312"/>
      <c r="EB315" s="312"/>
      <c r="EC315" s="312"/>
      <c r="ED315" s="312"/>
      <c r="EE315" s="312"/>
      <c r="EF315" s="312"/>
      <c r="EG315" s="312"/>
      <c r="EH315" s="312"/>
      <c r="EI315" s="312"/>
      <c r="EJ315" s="312"/>
      <c r="EK315" s="312"/>
      <c r="EL315" s="312"/>
      <c r="EM315" s="312"/>
      <c r="EN315" s="312"/>
      <c r="EO315" s="312"/>
      <c r="EP315" s="312"/>
      <c r="EQ315" s="312"/>
      <c r="ER315" s="312"/>
      <c r="ES315" s="312"/>
      <c r="ET315" s="312"/>
      <c r="EU315" s="312"/>
      <c r="EV315" s="312"/>
      <c r="EW315" s="312"/>
      <c r="EX315" s="312"/>
      <c r="EY315" s="312"/>
      <c r="EZ315" s="312"/>
      <c r="FA315" s="312"/>
      <c r="FB315" s="312"/>
      <c r="FC315" s="312"/>
      <c r="FD315" s="312"/>
      <c r="FE315" s="312"/>
      <c r="FF315" s="312"/>
      <c r="FG315" s="312"/>
      <c r="FH315" s="312"/>
      <c r="FI315" s="312"/>
      <c r="FJ315" s="312"/>
      <c r="FK315" s="312"/>
      <c r="FL315" s="312"/>
      <c r="FM315" s="312"/>
      <c r="FN315" s="312"/>
      <c r="FO315" s="312"/>
      <c r="FP315" s="312"/>
      <c r="FQ315" s="312"/>
      <c r="FR315" s="312"/>
      <c r="FS315" s="312"/>
      <c r="FT315" s="312"/>
      <c r="FU315" s="312"/>
      <c r="FV315" s="312"/>
      <c r="FW315" s="312"/>
      <c r="FX315" s="312"/>
      <c r="FY315" s="312"/>
      <c r="FZ315" s="312"/>
      <c r="GA315" s="312"/>
      <c r="GB315" s="312"/>
      <c r="GC315" s="312"/>
      <c r="GD315" s="312"/>
      <c r="GE315" s="312"/>
      <c r="GF315" s="312"/>
      <c r="GG315" s="312"/>
      <c r="GH315" s="312"/>
      <c r="GI315" s="312"/>
      <c r="GJ315" s="312"/>
      <c r="GK315" s="312"/>
      <c r="GL315" s="312"/>
      <c r="GM315" s="312"/>
      <c r="GN315" s="312"/>
      <c r="GO315" s="312"/>
      <c r="GP315" s="312"/>
      <c r="GQ315" s="312"/>
      <c r="GR315" s="312"/>
      <c r="GS315" s="312"/>
      <c r="GT315" s="312"/>
      <c r="GU315" s="312"/>
      <c r="GV315" s="312"/>
      <c r="GW315" s="312"/>
      <c r="GX315" s="312"/>
      <c r="GY315" s="312"/>
    </row>
    <row r="316" spans="2:207" ht="15.75" x14ac:dyDescent="0.25">
      <c r="B316" s="316">
        <f t="shared" si="77"/>
        <v>286</v>
      </c>
      <c r="C316" s="330">
        <f>'סיכום לוועדה'!B316</f>
        <v>1001348176</v>
      </c>
      <c r="D316" s="330">
        <f>'סיכום לוועדה'!C316</f>
        <v>1001273641</v>
      </c>
      <c r="E316" s="330">
        <f>'סיכום לוועדה'!D316</f>
        <v>40000564</v>
      </c>
      <c r="F316" s="330">
        <f>'סיכום לוועדה'!E316</f>
        <v>20000201</v>
      </c>
      <c r="G316" s="330" t="str">
        <f>'סיכום לוועדה'!F316</f>
        <v>תל אביב -יפו</v>
      </c>
      <c r="H316" s="317" t="str">
        <f>'סיכום לוועדה'!G316</f>
        <v>עמותת הכוריאוגרפים (ע"ר)</v>
      </c>
      <c r="I316" s="318">
        <f>'סיכום לוועדה'!U316</f>
        <v>150000</v>
      </c>
      <c r="J316" s="319">
        <f>'סיכום לוועדה'!T316</f>
        <v>29084.83189506847</v>
      </c>
      <c r="K316" s="320">
        <f t="shared" si="78"/>
        <v>0</v>
      </c>
      <c r="L316" s="319">
        <f t="shared" si="79"/>
        <v>29084.83189506847</v>
      </c>
      <c r="M316" s="331">
        <f>'תחום תמיכה ב'!AF316</f>
        <v>1.9814531938389343E-4</v>
      </c>
      <c r="N316" s="319">
        <f t="shared" si="76"/>
        <v>32460.140700043168</v>
      </c>
      <c r="O316" s="321">
        <f t="shared" si="80"/>
        <v>0</v>
      </c>
      <c r="P316" s="322">
        <f t="shared" si="81"/>
        <v>32460.140700043168</v>
      </c>
      <c r="Q316" s="322">
        <f t="shared" si="82"/>
        <v>32474.920659397518</v>
      </c>
      <c r="R316" s="321">
        <f t="shared" si="83"/>
        <v>0</v>
      </c>
      <c r="S316" s="322">
        <f t="shared" si="84"/>
        <v>32474.920659397518</v>
      </c>
      <c r="T316" s="322">
        <f t="shared" si="85"/>
        <v>32474.920659397452</v>
      </c>
      <c r="U316" s="321">
        <f t="shared" si="86"/>
        <v>0</v>
      </c>
      <c r="V316" s="322">
        <f t="shared" si="87"/>
        <v>32474.920659397452</v>
      </c>
      <c r="W316" s="322">
        <f t="shared" si="88"/>
        <v>32474.920659397463</v>
      </c>
      <c r="X316" s="321">
        <f t="shared" si="89"/>
        <v>0</v>
      </c>
      <c r="Y316" s="322">
        <f t="shared" si="90"/>
        <v>32474.920659397463</v>
      </c>
      <c r="Z316" s="322">
        <f t="shared" si="91"/>
        <v>32474.920659397456</v>
      </c>
      <c r="AA316" s="323">
        <f t="shared" si="92"/>
        <v>32474.920659397456</v>
      </c>
      <c r="AB316" s="323"/>
      <c r="AC316" s="323"/>
      <c r="AD316" s="323"/>
      <c r="AE316" s="323"/>
      <c r="AF316" s="324">
        <f t="shared" si="93"/>
        <v>1.8597684199982571E-4</v>
      </c>
      <c r="AG316" s="312"/>
      <c r="AH316" s="312"/>
      <c r="AI316" s="325">
        <f t="shared" si="94"/>
        <v>1</v>
      </c>
      <c r="AJ316" s="312"/>
      <c r="AK316" s="312"/>
      <c r="AL316" s="312"/>
      <c r="AM316" s="312"/>
      <c r="AN316" s="312"/>
      <c r="AO316" s="312"/>
      <c r="AP316" s="312"/>
      <c r="AQ316" s="312"/>
      <c r="AR316" s="312"/>
      <c r="AS316" s="312"/>
      <c r="AT316" s="312"/>
      <c r="AU316" s="312"/>
      <c r="AV316" s="312"/>
      <c r="AW316" s="312"/>
      <c r="AX316" s="312"/>
      <c r="AY316" s="312"/>
      <c r="AZ316" s="312"/>
      <c r="BA316" s="312"/>
      <c r="BB316" s="312"/>
      <c r="BC316" s="312"/>
      <c r="BD316" s="312"/>
      <c r="BE316" s="312"/>
      <c r="BF316" s="312"/>
      <c r="BG316" s="312"/>
      <c r="BH316" s="312"/>
      <c r="BI316" s="312"/>
      <c r="BJ316" s="312"/>
      <c r="BK316" s="312"/>
      <c r="BL316" s="312"/>
      <c r="BM316" s="312"/>
      <c r="BN316" s="312"/>
      <c r="BO316" s="312"/>
      <c r="BP316" s="312"/>
      <c r="BQ316" s="312"/>
      <c r="BR316" s="312"/>
      <c r="BS316" s="312"/>
      <c r="BT316" s="312"/>
      <c r="BU316" s="312"/>
      <c r="BV316" s="312"/>
      <c r="BW316" s="312"/>
      <c r="BX316" s="312"/>
      <c r="BY316" s="312"/>
      <c r="BZ316" s="312"/>
      <c r="CA316" s="312"/>
      <c r="CB316" s="312"/>
      <c r="CC316" s="312"/>
      <c r="CD316" s="312"/>
      <c r="CE316" s="312"/>
      <c r="CF316" s="312"/>
      <c r="CG316" s="312"/>
      <c r="CH316" s="312"/>
      <c r="CI316" s="312"/>
      <c r="CJ316" s="312"/>
      <c r="CK316" s="312"/>
      <c r="CL316" s="312"/>
      <c r="CM316" s="312"/>
      <c r="CN316" s="312"/>
      <c r="CO316" s="312"/>
      <c r="CP316" s="312"/>
      <c r="CQ316" s="312"/>
      <c r="CR316" s="312"/>
      <c r="CS316" s="312"/>
      <c r="CT316" s="312"/>
      <c r="CU316" s="312"/>
      <c r="CV316" s="312"/>
      <c r="CW316" s="312"/>
      <c r="CX316" s="312"/>
      <c r="CY316" s="312"/>
      <c r="CZ316" s="312"/>
      <c r="DA316" s="312"/>
      <c r="DB316" s="312"/>
      <c r="DC316" s="312"/>
      <c r="DD316" s="312"/>
      <c r="DE316" s="312"/>
      <c r="DF316" s="312"/>
      <c r="DG316" s="312"/>
      <c r="DH316" s="312"/>
      <c r="DI316" s="312"/>
      <c r="DJ316" s="312"/>
      <c r="DK316" s="312"/>
      <c r="DL316" s="312"/>
      <c r="DM316" s="312"/>
      <c r="DN316" s="312"/>
      <c r="DO316" s="312"/>
      <c r="DP316" s="312"/>
      <c r="DQ316" s="312"/>
      <c r="DR316" s="312"/>
      <c r="DS316" s="312"/>
      <c r="DT316" s="312"/>
      <c r="DU316" s="312"/>
      <c r="DV316" s="312"/>
      <c r="DW316" s="312"/>
      <c r="DX316" s="312"/>
      <c r="DY316" s="312"/>
      <c r="DZ316" s="312"/>
      <c r="EA316" s="312"/>
      <c r="EB316" s="312"/>
      <c r="EC316" s="312"/>
      <c r="ED316" s="312"/>
      <c r="EE316" s="312"/>
      <c r="EF316" s="312"/>
      <c r="EG316" s="312"/>
      <c r="EH316" s="312"/>
      <c r="EI316" s="312"/>
      <c r="EJ316" s="312"/>
      <c r="EK316" s="312"/>
      <c r="EL316" s="312"/>
      <c r="EM316" s="312"/>
      <c r="EN316" s="312"/>
      <c r="EO316" s="312"/>
      <c r="EP316" s="312"/>
      <c r="EQ316" s="312"/>
      <c r="ER316" s="312"/>
      <c r="ES316" s="312"/>
      <c r="ET316" s="312"/>
      <c r="EU316" s="312"/>
      <c r="EV316" s="312"/>
      <c r="EW316" s="312"/>
      <c r="EX316" s="312"/>
      <c r="EY316" s="312"/>
      <c r="EZ316" s="312"/>
      <c r="FA316" s="312"/>
      <c r="FB316" s="312"/>
      <c r="FC316" s="312"/>
      <c r="FD316" s="312"/>
      <c r="FE316" s="312"/>
      <c r="FF316" s="312"/>
      <c r="FG316" s="312"/>
      <c r="FH316" s="312"/>
      <c r="FI316" s="312"/>
      <c r="FJ316" s="312"/>
      <c r="FK316" s="312"/>
      <c r="FL316" s="312"/>
      <c r="FM316" s="312"/>
      <c r="FN316" s="312"/>
      <c r="FO316" s="312"/>
      <c r="FP316" s="312"/>
      <c r="FQ316" s="312"/>
      <c r="FR316" s="312"/>
      <c r="FS316" s="312"/>
      <c r="FT316" s="312"/>
      <c r="FU316" s="312"/>
      <c r="FV316" s="312"/>
      <c r="FW316" s="312"/>
      <c r="FX316" s="312"/>
      <c r="FY316" s="312"/>
      <c r="FZ316" s="312"/>
      <c r="GA316" s="312"/>
      <c r="GB316" s="312"/>
      <c r="GC316" s="312"/>
      <c r="GD316" s="312"/>
      <c r="GE316" s="312"/>
      <c r="GF316" s="312"/>
      <c r="GG316" s="312"/>
      <c r="GH316" s="312"/>
      <c r="GI316" s="312"/>
      <c r="GJ316" s="312"/>
      <c r="GK316" s="312"/>
      <c r="GL316" s="312"/>
      <c r="GM316" s="312"/>
      <c r="GN316" s="312"/>
      <c r="GO316" s="312"/>
      <c r="GP316" s="312"/>
      <c r="GQ316" s="312"/>
      <c r="GR316" s="312"/>
      <c r="GS316" s="312"/>
      <c r="GT316" s="312"/>
      <c r="GU316" s="312"/>
      <c r="GV316" s="312"/>
      <c r="GW316" s="312"/>
      <c r="GX316" s="312"/>
      <c r="GY316" s="312"/>
    </row>
    <row r="317" spans="2:207" ht="15.75" x14ac:dyDescent="0.25">
      <c r="B317" s="316">
        <f t="shared" si="77"/>
        <v>287</v>
      </c>
      <c r="C317" s="330">
        <f>'סיכום לוועדה'!B317</f>
        <v>1001348177</v>
      </c>
      <c r="D317" s="330">
        <f>'סיכום לוועדה'!C317</f>
        <v>1001273591</v>
      </c>
      <c r="E317" s="330">
        <f>'סיכום לוועדה'!D317</f>
        <v>40000564</v>
      </c>
      <c r="F317" s="330">
        <f>'סיכום לוועדה'!E317</f>
        <v>20000201</v>
      </c>
      <c r="G317" s="330" t="str">
        <f>'סיכום לוועדה'!F317</f>
        <v>תל אביב -יפו</v>
      </c>
      <c r="H317" s="317" t="str">
        <f>'סיכום לוועדה'!G317</f>
        <v>עמותת הכוריאוגרפים (ע"ר)</v>
      </c>
      <c r="I317" s="318">
        <f>'סיכום לוועדה'!U317</f>
        <v>150000</v>
      </c>
      <c r="J317" s="319">
        <f>'סיכום לוועדה'!T317</f>
        <v>9269.9119515963284</v>
      </c>
      <c r="K317" s="320">
        <f t="shared" si="78"/>
        <v>0</v>
      </c>
      <c r="L317" s="319">
        <f t="shared" si="79"/>
        <v>9269.9119515963284</v>
      </c>
      <c r="M317" s="331">
        <f>'תחום תמיכה ב'!AF317</f>
        <v>6.698121448776891E-5</v>
      </c>
      <c r="N317" s="319">
        <f t="shared" si="76"/>
        <v>10410.904248217001</v>
      </c>
      <c r="O317" s="321">
        <f t="shared" si="80"/>
        <v>0</v>
      </c>
      <c r="P317" s="322">
        <f t="shared" si="81"/>
        <v>10410.904248217001</v>
      </c>
      <c r="Q317" s="322">
        <f t="shared" si="82"/>
        <v>10415.644607880029</v>
      </c>
      <c r="R317" s="321">
        <f t="shared" si="83"/>
        <v>0</v>
      </c>
      <c r="S317" s="322">
        <f t="shared" si="84"/>
        <v>10415.644607880029</v>
      </c>
      <c r="T317" s="322">
        <f t="shared" si="85"/>
        <v>10415.644607880009</v>
      </c>
      <c r="U317" s="321">
        <f t="shared" si="86"/>
        <v>0</v>
      </c>
      <c r="V317" s="322">
        <f t="shared" si="87"/>
        <v>10415.644607880009</v>
      </c>
      <c r="W317" s="322">
        <f t="shared" si="88"/>
        <v>10415.644607880013</v>
      </c>
      <c r="X317" s="321">
        <f t="shared" si="89"/>
        <v>0</v>
      </c>
      <c r="Y317" s="322">
        <f t="shared" si="90"/>
        <v>10415.644607880013</v>
      </c>
      <c r="Z317" s="322">
        <f t="shared" si="91"/>
        <v>10415.644607880011</v>
      </c>
      <c r="AA317" s="323">
        <f t="shared" si="92"/>
        <v>10415.644607880011</v>
      </c>
      <c r="AB317" s="323"/>
      <c r="AC317" s="323"/>
      <c r="AD317" s="323"/>
      <c r="AE317" s="323"/>
      <c r="AF317" s="324">
        <f t="shared" si="93"/>
        <v>5.9648142389086845E-5</v>
      </c>
      <c r="AG317" s="312"/>
      <c r="AH317" s="312"/>
      <c r="AI317" s="325">
        <f t="shared" si="94"/>
        <v>1</v>
      </c>
      <c r="AJ317" s="312"/>
      <c r="AK317" s="312"/>
      <c r="AL317" s="312"/>
      <c r="AM317" s="312"/>
      <c r="AN317" s="312"/>
      <c r="AO317" s="312"/>
      <c r="AP317" s="312"/>
      <c r="AQ317" s="312"/>
      <c r="AR317" s="312"/>
      <c r="AS317" s="312"/>
      <c r="AT317" s="312"/>
      <c r="AU317" s="312"/>
      <c r="AV317" s="312"/>
      <c r="AW317" s="312"/>
      <c r="AX317" s="312"/>
      <c r="AY317" s="312"/>
      <c r="AZ317" s="312"/>
      <c r="BA317" s="312"/>
      <c r="BB317" s="312"/>
      <c r="BC317" s="312"/>
      <c r="BD317" s="312"/>
      <c r="BE317" s="312"/>
      <c r="BF317" s="312"/>
      <c r="BG317" s="312"/>
      <c r="BH317" s="312"/>
      <c r="BI317" s="312"/>
      <c r="BJ317" s="312"/>
      <c r="BK317" s="312"/>
      <c r="BL317" s="312"/>
      <c r="BM317" s="312"/>
      <c r="BN317" s="312"/>
      <c r="BO317" s="312"/>
      <c r="BP317" s="312"/>
      <c r="BQ317" s="312"/>
      <c r="BR317" s="312"/>
      <c r="BS317" s="312"/>
      <c r="BT317" s="312"/>
      <c r="BU317" s="312"/>
      <c r="BV317" s="312"/>
      <c r="BW317" s="312"/>
      <c r="BX317" s="312"/>
      <c r="BY317" s="312"/>
      <c r="BZ317" s="312"/>
      <c r="CA317" s="312"/>
      <c r="CB317" s="312"/>
      <c r="CC317" s="312"/>
      <c r="CD317" s="312"/>
      <c r="CE317" s="312"/>
      <c r="CF317" s="312"/>
      <c r="CG317" s="312"/>
      <c r="CH317" s="312"/>
      <c r="CI317" s="312"/>
      <c r="CJ317" s="312"/>
      <c r="CK317" s="312"/>
      <c r="CL317" s="312"/>
      <c r="CM317" s="312"/>
      <c r="CN317" s="312"/>
      <c r="CO317" s="312"/>
      <c r="CP317" s="312"/>
      <c r="CQ317" s="312"/>
      <c r="CR317" s="312"/>
      <c r="CS317" s="312"/>
      <c r="CT317" s="312"/>
      <c r="CU317" s="312"/>
      <c r="CV317" s="312"/>
      <c r="CW317" s="312"/>
      <c r="CX317" s="312"/>
      <c r="CY317" s="312"/>
      <c r="CZ317" s="312"/>
      <c r="DA317" s="312"/>
      <c r="DB317" s="312"/>
      <c r="DC317" s="312"/>
      <c r="DD317" s="312"/>
      <c r="DE317" s="312"/>
      <c r="DF317" s="312"/>
      <c r="DG317" s="312"/>
      <c r="DH317" s="312"/>
      <c r="DI317" s="312"/>
      <c r="DJ317" s="312"/>
      <c r="DK317" s="312"/>
      <c r="DL317" s="312"/>
      <c r="DM317" s="312"/>
      <c r="DN317" s="312"/>
      <c r="DO317" s="312"/>
      <c r="DP317" s="312"/>
      <c r="DQ317" s="312"/>
      <c r="DR317" s="312"/>
      <c r="DS317" s="312"/>
      <c r="DT317" s="312"/>
      <c r="DU317" s="312"/>
      <c r="DV317" s="312"/>
      <c r="DW317" s="312"/>
      <c r="DX317" s="312"/>
      <c r="DY317" s="312"/>
      <c r="DZ317" s="312"/>
      <c r="EA317" s="312"/>
      <c r="EB317" s="312"/>
      <c r="EC317" s="312"/>
      <c r="ED317" s="312"/>
      <c r="EE317" s="312"/>
      <c r="EF317" s="312"/>
      <c r="EG317" s="312"/>
      <c r="EH317" s="312"/>
      <c r="EI317" s="312"/>
      <c r="EJ317" s="312"/>
      <c r="EK317" s="312"/>
      <c r="EL317" s="312"/>
      <c r="EM317" s="312"/>
      <c r="EN317" s="312"/>
      <c r="EO317" s="312"/>
      <c r="EP317" s="312"/>
      <c r="EQ317" s="312"/>
      <c r="ER317" s="312"/>
      <c r="ES317" s="312"/>
      <c r="ET317" s="312"/>
      <c r="EU317" s="312"/>
      <c r="EV317" s="312"/>
      <c r="EW317" s="312"/>
      <c r="EX317" s="312"/>
      <c r="EY317" s="312"/>
      <c r="EZ317" s="312"/>
      <c r="FA317" s="312"/>
      <c r="FB317" s="312"/>
      <c r="FC317" s="312"/>
      <c r="FD317" s="312"/>
      <c r="FE317" s="312"/>
      <c r="FF317" s="312"/>
      <c r="FG317" s="312"/>
      <c r="FH317" s="312"/>
      <c r="FI317" s="312"/>
      <c r="FJ317" s="312"/>
      <c r="FK317" s="312"/>
      <c r="FL317" s="312"/>
      <c r="FM317" s="312"/>
      <c r="FN317" s="312"/>
      <c r="FO317" s="312"/>
      <c r="FP317" s="312"/>
      <c r="FQ317" s="312"/>
      <c r="FR317" s="312"/>
      <c r="FS317" s="312"/>
      <c r="FT317" s="312"/>
      <c r="FU317" s="312"/>
      <c r="FV317" s="312"/>
      <c r="FW317" s="312"/>
      <c r="FX317" s="312"/>
      <c r="FY317" s="312"/>
      <c r="FZ317" s="312"/>
      <c r="GA317" s="312"/>
      <c r="GB317" s="312"/>
      <c r="GC317" s="312"/>
      <c r="GD317" s="312"/>
      <c r="GE317" s="312"/>
      <c r="GF317" s="312"/>
      <c r="GG317" s="312"/>
      <c r="GH317" s="312"/>
      <c r="GI317" s="312"/>
      <c r="GJ317" s="312"/>
      <c r="GK317" s="312"/>
      <c r="GL317" s="312"/>
      <c r="GM317" s="312"/>
      <c r="GN317" s="312"/>
      <c r="GO317" s="312"/>
      <c r="GP317" s="312"/>
      <c r="GQ317" s="312"/>
      <c r="GR317" s="312"/>
      <c r="GS317" s="312"/>
      <c r="GT317" s="312"/>
      <c r="GU317" s="312"/>
      <c r="GV317" s="312"/>
      <c r="GW317" s="312"/>
      <c r="GX317" s="312"/>
      <c r="GY317" s="312"/>
    </row>
    <row r="318" spans="2:207" ht="15.75" x14ac:dyDescent="0.25">
      <c r="B318" s="316">
        <f t="shared" si="77"/>
        <v>288</v>
      </c>
      <c r="C318" s="330">
        <f>'סיכום לוועדה'!B318</f>
        <v>1001348178</v>
      </c>
      <c r="D318" s="330">
        <f>'סיכום לוועדה'!C318</f>
        <v>1001273593</v>
      </c>
      <c r="E318" s="330">
        <f>'סיכום לוועדה'!D318</f>
        <v>40000564</v>
      </c>
      <c r="F318" s="330">
        <f>'סיכום לוועדה'!E318</f>
        <v>20000201</v>
      </c>
      <c r="G318" s="330" t="str">
        <f>'סיכום לוועדה'!F318</f>
        <v>תל אביב -יפו</v>
      </c>
      <c r="H318" s="317" t="str">
        <f>'סיכום לוועדה'!G318</f>
        <v>עמותת הכוריאוגרפים (ע"ר)</v>
      </c>
      <c r="I318" s="318">
        <f>'סיכום לוועדה'!U318</f>
        <v>150000</v>
      </c>
      <c r="J318" s="319">
        <f>'סיכום לוועדה'!T318</f>
        <v>24678.760613608833</v>
      </c>
      <c r="K318" s="320">
        <f t="shared" si="78"/>
        <v>0</v>
      </c>
      <c r="L318" s="319">
        <f t="shared" si="79"/>
        <v>24678.760613608833</v>
      </c>
      <c r="M318" s="331">
        <f>'תחום תמיכה ב'!AF318</f>
        <v>1.5753193442358525E-4</v>
      </c>
      <c r="N318" s="319">
        <f t="shared" si="76"/>
        <v>27362.240228357914</v>
      </c>
      <c r="O318" s="321">
        <f t="shared" si="80"/>
        <v>0</v>
      </c>
      <c r="P318" s="322">
        <f t="shared" si="81"/>
        <v>27362.240228357914</v>
      </c>
      <c r="Q318" s="322">
        <f t="shared" si="82"/>
        <v>27374.698978988607</v>
      </c>
      <c r="R318" s="321">
        <f t="shared" si="83"/>
        <v>0</v>
      </c>
      <c r="S318" s="322">
        <f t="shared" si="84"/>
        <v>27374.698978988607</v>
      </c>
      <c r="T318" s="322">
        <f t="shared" si="85"/>
        <v>27374.698978988552</v>
      </c>
      <c r="U318" s="321">
        <f t="shared" si="86"/>
        <v>0</v>
      </c>
      <c r="V318" s="322">
        <f t="shared" si="87"/>
        <v>27374.698978988552</v>
      </c>
      <c r="W318" s="322">
        <f t="shared" si="88"/>
        <v>27374.698978988563</v>
      </c>
      <c r="X318" s="321">
        <f t="shared" si="89"/>
        <v>0</v>
      </c>
      <c r="Y318" s="322">
        <f t="shared" si="90"/>
        <v>27374.698978988563</v>
      </c>
      <c r="Z318" s="322">
        <f t="shared" si="91"/>
        <v>27374.698978988559</v>
      </c>
      <c r="AA318" s="323">
        <f t="shared" si="92"/>
        <v>27374.698978988559</v>
      </c>
      <c r="AB318" s="323"/>
      <c r="AC318" s="323"/>
      <c r="AD318" s="323"/>
      <c r="AE318" s="323"/>
      <c r="AF318" s="324">
        <f t="shared" si="93"/>
        <v>1.5676897628801183E-4</v>
      </c>
      <c r="AG318" s="312"/>
      <c r="AH318" s="312"/>
      <c r="AI318" s="325">
        <f t="shared" si="94"/>
        <v>1</v>
      </c>
      <c r="AJ318" s="312"/>
      <c r="AK318" s="312"/>
      <c r="AL318" s="312"/>
      <c r="AM318" s="312"/>
      <c r="AN318" s="312"/>
      <c r="AO318" s="312"/>
      <c r="AP318" s="312"/>
      <c r="AQ318" s="312"/>
      <c r="AR318" s="312"/>
      <c r="AS318" s="312"/>
      <c r="AT318" s="312"/>
      <c r="AU318" s="312"/>
      <c r="AV318" s="312"/>
      <c r="AW318" s="312"/>
      <c r="AX318" s="312"/>
      <c r="AY318" s="312"/>
      <c r="AZ318" s="312"/>
      <c r="BA318" s="312"/>
      <c r="BB318" s="312"/>
      <c r="BC318" s="312"/>
      <c r="BD318" s="312"/>
      <c r="BE318" s="312"/>
      <c r="BF318" s="312"/>
      <c r="BG318" s="312"/>
      <c r="BH318" s="312"/>
      <c r="BI318" s="312"/>
      <c r="BJ318" s="312"/>
      <c r="BK318" s="312"/>
      <c r="BL318" s="312"/>
      <c r="BM318" s="312"/>
      <c r="BN318" s="312"/>
      <c r="BO318" s="312"/>
      <c r="BP318" s="312"/>
      <c r="BQ318" s="312"/>
      <c r="BR318" s="312"/>
      <c r="BS318" s="312"/>
      <c r="BT318" s="312"/>
      <c r="BU318" s="312"/>
      <c r="BV318" s="312"/>
      <c r="BW318" s="312"/>
      <c r="BX318" s="312"/>
      <c r="BY318" s="312"/>
      <c r="BZ318" s="312"/>
      <c r="CA318" s="312"/>
      <c r="CB318" s="312"/>
      <c r="CC318" s="312"/>
      <c r="CD318" s="312"/>
      <c r="CE318" s="312"/>
      <c r="CF318" s="312"/>
      <c r="CG318" s="312"/>
      <c r="CH318" s="312"/>
      <c r="CI318" s="312"/>
      <c r="CJ318" s="312"/>
      <c r="CK318" s="312"/>
      <c r="CL318" s="312"/>
      <c r="CM318" s="312"/>
      <c r="CN318" s="312"/>
      <c r="CO318" s="312"/>
      <c r="CP318" s="312"/>
      <c r="CQ318" s="312"/>
      <c r="CR318" s="312"/>
      <c r="CS318" s="312"/>
      <c r="CT318" s="312"/>
      <c r="CU318" s="312"/>
      <c r="CV318" s="312"/>
      <c r="CW318" s="312"/>
      <c r="CX318" s="312"/>
      <c r="CY318" s="312"/>
      <c r="CZ318" s="312"/>
      <c r="DA318" s="312"/>
      <c r="DB318" s="312"/>
      <c r="DC318" s="312"/>
      <c r="DD318" s="312"/>
      <c r="DE318" s="312"/>
      <c r="DF318" s="312"/>
      <c r="DG318" s="312"/>
      <c r="DH318" s="312"/>
      <c r="DI318" s="312"/>
      <c r="DJ318" s="312"/>
      <c r="DK318" s="312"/>
      <c r="DL318" s="312"/>
      <c r="DM318" s="312"/>
      <c r="DN318" s="312"/>
      <c r="DO318" s="312"/>
      <c r="DP318" s="312"/>
      <c r="DQ318" s="312"/>
      <c r="DR318" s="312"/>
      <c r="DS318" s="312"/>
      <c r="DT318" s="312"/>
      <c r="DU318" s="312"/>
      <c r="DV318" s="312"/>
      <c r="DW318" s="312"/>
      <c r="DX318" s="312"/>
      <c r="DY318" s="312"/>
      <c r="DZ318" s="312"/>
      <c r="EA318" s="312"/>
      <c r="EB318" s="312"/>
      <c r="EC318" s="312"/>
      <c r="ED318" s="312"/>
      <c r="EE318" s="312"/>
      <c r="EF318" s="312"/>
      <c r="EG318" s="312"/>
      <c r="EH318" s="312"/>
      <c r="EI318" s="312"/>
      <c r="EJ318" s="312"/>
      <c r="EK318" s="312"/>
      <c r="EL318" s="312"/>
      <c r="EM318" s="312"/>
      <c r="EN318" s="312"/>
      <c r="EO318" s="312"/>
      <c r="EP318" s="312"/>
      <c r="EQ318" s="312"/>
      <c r="ER318" s="312"/>
      <c r="ES318" s="312"/>
      <c r="ET318" s="312"/>
      <c r="EU318" s="312"/>
      <c r="EV318" s="312"/>
      <c r="EW318" s="312"/>
      <c r="EX318" s="312"/>
      <c r="EY318" s="312"/>
      <c r="EZ318" s="312"/>
      <c r="FA318" s="312"/>
      <c r="FB318" s="312"/>
      <c r="FC318" s="312"/>
      <c r="FD318" s="312"/>
      <c r="FE318" s="312"/>
      <c r="FF318" s="312"/>
      <c r="FG318" s="312"/>
      <c r="FH318" s="312"/>
      <c r="FI318" s="312"/>
      <c r="FJ318" s="312"/>
      <c r="FK318" s="312"/>
      <c r="FL318" s="312"/>
      <c r="FM318" s="312"/>
      <c r="FN318" s="312"/>
      <c r="FO318" s="312"/>
      <c r="FP318" s="312"/>
      <c r="FQ318" s="312"/>
      <c r="FR318" s="312"/>
      <c r="FS318" s="312"/>
      <c r="FT318" s="312"/>
      <c r="FU318" s="312"/>
      <c r="FV318" s="312"/>
      <c r="FW318" s="312"/>
      <c r="FX318" s="312"/>
      <c r="FY318" s="312"/>
      <c r="FZ318" s="312"/>
      <c r="GA318" s="312"/>
      <c r="GB318" s="312"/>
      <c r="GC318" s="312"/>
      <c r="GD318" s="312"/>
      <c r="GE318" s="312"/>
      <c r="GF318" s="312"/>
      <c r="GG318" s="312"/>
      <c r="GH318" s="312"/>
      <c r="GI318" s="312"/>
      <c r="GJ318" s="312"/>
      <c r="GK318" s="312"/>
      <c r="GL318" s="312"/>
      <c r="GM318" s="312"/>
      <c r="GN318" s="312"/>
      <c r="GO318" s="312"/>
      <c r="GP318" s="312"/>
      <c r="GQ318" s="312"/>
      <c r="GR318" s="312"/>
      <c r="GS318" s="312"/>
      <c r="GT318" s="312"/>
      <c r="GU318" s="312"/>
      <c r="GV318" s="312"/>
      <c r="GW318" s="312"/>
      <c r="GX318" s="312"/>
      <c r="GY318" s="312"/>
    </row>
    <row r="319" spans="2:207" ht="15.75" x14ac:dyDescent="0.25">
      <c r="B319" s="316">
        <f t="shared" si="77"/>
        <v>289</v>
      </c>
      <c r="C319" s="330">
        <f>'סיכום לוועדה'!B319</f>
        <v>1001348197</v>
      </c>
      <c r="D319" s="330">
        <f>'סיכום לוועדה'!C319</f>
        <v>1001273523</v>
      </c>
      <c r="E319" s="330">
        <f>'סיכום לוועדה'!D319</f>
        <v>40000564</v>
      </c>
      <c r="F319" s="330">
        <f>'סיכום לוועדה'!E319</f>
        <v>20000201</v>
      </c>
      <c r="G319" s="330" t="str">
        <f>'סיכום לוועדה'!F319</f>
        <v>תל אביב -יפו</v>
      </c>
      <c r="H319" s="317" t="str">
        <f>'סיכום לוועדה'!G319</f>
        <v>עמותת הכוריאוגרפים (ע"ר)</v>
      </c>
      <c r="I319" s="318">
        <f>'סיכום לוועדה'!U319</f>
        <v>150000</v>
      </c>
      <c r="J319" s="319">
        <f>'סיכום לוועדה'!T319</f>
        <v>41775.773479263014</v>
      </c>
      <c r="K319" s="320">
        <f t="shared" si="78"/>
        <v>0</v>
      </c>
      <c r="L319" s="319">
        <f t="shared" si="79"/>
        <v>41775.773479263014</v>
      </c>
      <c r="M319" s="331">
        <f>'תחום תמיכה ב'!AF319</f>
        <v>2.9703414800066517E-4</v>
      </c>
      <c r="N319" s="319">
        <f t="shared" si="76"/>
        <v>46835.605214083691</v>
      </c>
      <c r="O319" s="321">
        <f t="shared" si="80"/>
        <v>0</v>
      </c>
      <c r="P319" s="322">
        <f t="shared" si="81"/>
        <v>46835.605214083691</v>
      </c>
      <c r="Q319" s="322">
        <f t="shared" si="82"/>
        <v>46856.930702096732</v>
      </c>
      <c r="R319" s="321">
        <f t="shared" si="83"/>
        <v>0</v>
      </c>
      <c r="S319" s="322">
        <f t="shared" si="84"/>
        <v>46856.930702096732</v>
      </c>
      <c r="T319" s="322">
        <f t="shared" si="85"/>
        <v>46856.930702096637</v>
      </c>
      <c r="U319" s="321">
        <f t="shared" si="86"/>
        <v>0</v>
      </c>
      <c r="V319" s="322">
        <f t="shared" si="87"/>
        <v>46856.930702096637</v>
      </c>
      <c r="W319" s="322">
        <f t="shared" si="88"/>
        <v>46856.930702096659</v>
      </c>
      <c r="X319" s="321">
        <f t="shared" si="89"/>
        <v>0</v>
      </c>
      <c r="Y319" s="322">
        <f t="shared" si="90"/>
        <v>46856.930702096659</v>
      </c>
      <c r="Z319" s="322">
        <f t="shared" si="91"/>
        <v>46856.930702096644</v>
      </c>
      <c r="AA319" s="323">
        <f t="shared" si="92"/>
        <v>46856.930702096644</v>
      </c>
      <c r="AB319" s="323"/>
      <c r="AC319" s="323"/>
      <c r="AD319" s="323"/>
      <c r="AE319" s="323"/>
      <c r="AF319" s="324">
        <f t="shared" si="93"/>
        <v>2.6833950078516668E-4</v>
      </c>
      <c r="AG319" s="312"/>
      <c r="AH319" s="312"/>
      <c r="AI319" s="325">
        <f t="shared" si="94"/>
        <v>1</v>
      </c>
      <c r="AJ319" s="312"/>
      <c r="AK319" s="312"/>
      <c r="AL319" s="312"/>
      <c r="AM319" s="312"/>
      <c r="AN319" s="312"/>
      <c r="AO319" s="312"/>
      <c r="AP319" s="312"/>
      <c r="AQ319" s="312"/>
      <c r="AR319" s="312"/>
      <c r="AS319" s="312"/>
      <c r="AT319" s="312"/>
      <c r="AU319" s="312"/>
      <c r="AV319" s="312"/>
      <c r="AW319" s="312"/>
      <c r="AX319" s="312"/>
      <c r="AY319" s="312"/>
      <c r="AZ319" s="312"/>
      <c r="BA319" s="312"/>
      <c r="BB319" s="312"/>
      <c r="BC319" s="312"/>
      <c r="BD319" s="312"/>
      <c r="BE319" s="312"/>
      <c r="BF319" s="312"/>
      <c r="BG319" s="312"/>
      <c r="BH319" s="312"/>
      <c r="BI319" s="312"/>
      <c r="BJ319" s="312"/>
      <c r="BK319" s="312"/>
      <c r="BL319" s="312"/>
      <c r="BM319" s="312"/>
      <c r="BN319" s="312"/>
      <c r="BO319" s="312"/>
      <c r="BP319" s="312"/>
      <c r="BQ319" s="312"/>
      <c r="BR319" s="312"/>
      <c r="BS319" s="312"/>
      <c r="BT319" s="312"/>
      <c r="BU319" s="312"/>
      <c r="BV319" s="312"/>
      <c r="BW319" s="312"/>
      <c r="BX319" s="312"/>
      <c r="BY319" s="312"/>
      <c r="BZ319" s="312"/>
      <c r="CA319" s="312"/>
      <c r="CB319" s="312"/>
      <c r="CC319" s="312"/>
      <c r="CD319" s="312"/>
      <c r="CE319" s="312"/>
      <c r="CF319" s="312"/>
      <c r="CG319" s="312"/>
      <c r="CH319" s="312"/>
      <c r="CI319" s="312"/>
      <c r="CJ319" s="312"/>
      <c r="CK319" s="312"/>
      <c r="CL319" s="312"/>
      <c r="CM319" s="312"/>
      <c r="CN319" s="312"/>
      <c r="CO319" s="312"/>
      <c r="CP319" s="312"/>
      <c r="CQ319" s="312"/>
      <c r="CR319" s="312"/>
      <c r="CS319" s="312"/>
      <c r="CT319" s="312"/>
      <c r="CU319" s="312"/>
      <c r="CV319" s="312"/>
      <c r="CW319" s="312"/>
      <c r="CX319" s="312"/>
      <c r="CY319" s="312"/>
      <c r="CZ319" s="312"/>
      <c r="DA319" s="312"/>
      <c r="DB319" s="312"/>
      <c r="DC319" s="312"/>
      <c r="DD319" s="312"/>
      <c r="DE319" s="312"/>
      <c r="DF319" s="312"/>
      <c r="DG319" s="312"/>
      <c r="DH319" s="312"/>
      <c r="DI319" s="312"/>
      <c r="DJ319" s="312"/>
      <c r="DK319" s="312"/>
      <c r="DL319" s="312"/>
      <c r="DM319" s="312"/>
      <c r="DN319" s="312"/>
      <c r="DO319" s="312"/>
      <c r="DP319" s="312"/>
      <c r="DQ319" s="312"/>
      <c r="DR319" s="312"/>
      <c r="DS319" s="312"/>
      <c r="DT319" s="312"/>
      <c r="DU319" s="312"/>
      <c r="DV319" s="312"/>
      <c r="DW319" s="312"/>
      <c r="DX319" s="312"/>
      <c r="DY319" s="312"/>
      <c r="DZ319" s="312"/>
      <c r="EA319" s="312"/>
      <c r="EB319" s="312"/>
      <c r="EC319" s="312"/>
      <c r="ED319" s="312"/>
      <c r="EE319" s="312"/>
      <c r="EF319" s="312"/>
      <c r="EG319" s="312"/>
      <c r="EH319" s="312"/>
      <c r="EI319" s="312"/>
      <c r="EJ319" s="312"/>
      <c r="EK319" s="312"/>
      <c r="EL319" s="312"/>
      <c r="EM319" s="312"/>
      <c r="EN319" s="312"/>
      <c r="EO319" s="312"/>
      <c r="EP319" s="312"/>
      <c r="EQ319" s="312"/>
      <c r="ER319" s="312"/>
      <c r="ES319" s="312"/>
      <c r="ET319" s="312"/>
      <c r="EU319" s="312"/>
      <c r="EV319" s="312"/>
      <c r="EW319" s="312"/>
      <c r="EX319" s="312"/>
      <c r="EY319" s="312"/>
      <c r="EZ319" s="312"/>
      <c r="FA319" s="312"/>
      <c r="FB319" s="312"/>
      <c r="FC319" s="312"/>
      <c r="FD319" s="312"/>
      <c r="FE319" s="312"/>
      <c r="FF319" s="312"/>
      <c r="FG319" s="312"/>
      <c r="FH319" s="312"/>
      <c r="FI319" s="312"/>
      <c r="FJ319" s="312"/>
      <c r="FK319" s="312"/>
      <c r="FL319" s="312"/>
      <c r="FM319" s="312"/>
      <c r="FN319" s="312"/>
      <c r="FO319" s="312"/>
      <c r="FP319" s="312"/>
      <c r="FQ319" s="312"/>
      <c r="FR319" s="312"/>
      <c r="FS319" s="312"/>
      <c r="FT319" s="312"/>
      <c r="FU319" s="312"/>
      <c r="FV319" s="312"/>
      <c r="FW319" s="312"/>
      <c r="FX319" s="312"/>
      <c r="FY319" s="312"/>
      <c r="FZ319" s="312"/>
      <c r="GA319" s="312"/>
      <c r="GB319" s="312"/>
      <c r="GC319" s="312"/>
      <c r="GD319" s="312"/>
      <c r="GE319" s="312"/>
      <c r="GF319" s="312"/>
      <c r="GG319" s="312"/>
      <c r="GH319" s="312"/>
      <c r="GI319" s="312"/>
      <c r="GJ319" s="312"/>
      <c r="GK319" s="312"/>
      <c r="GL319" s="312"/>
      <c r="GM319" s="312"/>
      <c r="GN319" s="312"/>
      <c r="GO319" s="312"/>
      <c r="GP319" s="312"/>
      <c r="GQ319" s="312"/>
      <c r="GR319" s="312"/>
      <c r="GS319" s="312"/>
      <c r="GT319" s="312"/>
      <c r="GU319" s="312"/>
      <c r="GV319" s="312"/>
      <c r="GW319" s="312"/>
      <c r="GX319" s="312"/>
      <c r="GY319" s="312"/>
    </row>
    <row r="320" spans="2:207" ht="15.75" x14ac:dyDescent="0.25">
      <c r="B320" s="316">
        <f t="shared" si="77"/>
        <v>290</v>
      </c>
      <c r="C320" s="330">
        <f>'סיכום לוועדה'!B320</f>
        <v>1001348198</v>
      </c>
      <c r="D320" s="330">
        <f>'סיכום לוועדה'!C320</f>
        <v>1001273524</v>
      </c>
      <c r="E320" s="330">
        <f>'סיכום לוועדה'!D320</f>
        <v>40000564</v>
      </c>
      <c r="F320" s="330">
        <f>'סיכום לוועדה'!E320</f>
        <v>20000201</v>
      </c>
      <c r="G320" s="330" t="str">
        <f>'סיכום לוועדה'!F320</f>
        <v>תל אביב -יפו</v>
      </c>
      <c r="H320" s="317" t="str">
        <f>'סיכום לוועדה'!G320</f>
        <v>עמותת הכוריאוגרפים (ע"ר)</v>
      </c>
      <c r="I320" s="318">
        <f>'סיכום לוועדה'!U320</f>
        <v>150000</v>
      </c>
      <c r="J320" s="319">
        <f>'סיכום לוועדה'!T320</f>
        <v>26713.978989999257</v>
      </c>
      <c r="K320" s="320">
        <f t="shared" si="78"/>
        <v>0</v>
      </c>
      <c r="L320" s="319">
        <f t="shared" si="79"/>
        <v>26713.978989999257</v>
      </c>
      <c r="M320" s="331">
        <f>'תחום תמיכה ב'!AF320</f>
        <v>1.7841666784680459E-4</v>
      </c>
      <c r="N320" s="319">
        <f t="shared" si="76"/>
        <v>29753.219845196149</v>
      </c>
      <c r="O320" s="321">
        <f t="shared" si="80"/>
        <v>0</v>
      </c>
      <c r="P320" s="322">
        <f t="shared" si="81"/>
        <v>29753.219845196149</v>
      </c>
      <c r="Q320" s="322">
        <f t="shared" si="82"/>
        <v>29766.767271993733</v>
      </c>
      <c r="R320" s="321">
        <f t="shared" si="83"/>
        <v>0</v>
      </c>
      <c r="S320" s="322">
        <f t="shared" si="84"/>
        <v>29766.767271993733</v>
      </c>
      <c r="T320" s="322">
        <f t="shared" si="85"/>
        <v>29766.767271993671</v>
      </c>
      <c r="U320" s="321">
        <f t="shared" si="86"/>
        <v>0</v>
      </c>
      <c r="V320" s="322">
        <f t="shared" si="87"/>
        <v>29766.767271993671</v>
      </c>
      <c r="W320" s="322">
        <f t="shared" si="88"/>
        <v>29766.767271993678</v>
      </c>
      <c r="X320" s="321">
        <f t="shared" si="89"/>
        <v>0</v>
      </c>
      <c r="Y320" s="322">
        <f t="shared" si="90"/>
        <v>29766.767271993678</v>
      </c>
      <c r="Z320" s="322">
        <f t="shared" si="91"/>
        <v>29766.767271993671</v>
      </c>
      <c r="AA320" s="323">
        <f t="shared" si="92"/>
        <v>29766.767271993671</v>
      </c>
      <c r="AB320" s="323"/>
      <c r="AC320" s="323"/>
      <c r="AD320" s="323"/>
      <c r="AE320" s="323"/>
      <c r="AF320" s="324">
        <f t="shared" si="93"/>
        <v>1.7046783368159473E-4</v>
      </c>
      <c r="AG320" s="312"/>
      <c r="AH320" s="312"/>
      <c r="AI320" s="325">
        <f t="shared" si="94"/>
        <v>1</v>
      </c>
      <c r="AJ320" s="312"/>
      <c r="AK320" s="312"/>
      <c r="AL320" s="312"/>
      <c r="AM320" s="312"/>
      <c r="AN320" s="312"/>
      <c r="AO320" s="312"/>
      <c r="AP320" s="312"/>
      <c r="AQ320" s="312"/>
      <c r="AR320" s="312"/>
      <c r="AS320" s="312"/>
      <c r="AT320" s="312"/>
      <c r="AU320" s="312"/>
      <c r="AV320" s="312"/>
      <c r="AW320" s="312"/>
      <c r="AX320" s="312"/>
      <c r="AY320" s="312"/>
      <c r="AZ320" s="312"/>
      <c r="BA320" s="312"/>
      <c r="BB320" s="312"/>
      <c r="BC320" s="312"/>
      <c r="BD320" s="312"/>
      <c r="BE320" s="312"/>
      <c r="BF320" s="312"/>
      <c r="BG320" s="312"/>
      <c r="BH320" s="312"/>
      <c r="BI320" s="312"/>
      <c r="BJ320" s="312"/>
      <c r="BK320" s="312"/>
      <c r="BL320" s="312"/>
      <c r="BM320" s="312"/>
      <c r="BN320" s="312"/>
      <c r="BO320" s="312"/>
      <c r="BP320" s="312"/>
      <c r="BQ320" s="312"/>
      <c r="BR320" s="312"/>
      <c r="BS320" s="312"/>
      <c r="BT320" s="312"/>
      <c r="BU320" s="312"/>
      <c r="BV320" s="312"/>
      <c r="BW320" s="312"/>
      <c r="BX320" s="312"/>
      <c r="BY320" s="312"/>
      <c r="BZ320" s="312"/>
      <c r="CA320" s="312"/>
      <c r="CB320" s="312"/>
      <c r="CC320" s="312"/>
      <c r="CD320" s="312"/>
      <c r="CE320" s="312"/>
      <c r="CF320" s="312"/>
      <c r="CG320" s="312"/>
      <c r="CH320" s="312"/>
      <c r="CI320" s="312"/>
      <c r="CJ320" s="312"/>
      <c r="CK320" s="312"/>
      <c r="CL320" s="312"/>
      <c r="CM320" s="312"/>
      <c r="CN320" s="312"/>
      <c r="CO320" s="312"/>
      <c r="CP320" s="312"/>
      <c r="CQ320" s="312"/>
      <c r="CR320" s="312"/>
      <c r="CS320" s="312"/>
      <c r="CT320" s="312"/>
      <c r="CU320" s="312"/>
      <c r="CV320" s="312"/>
      <c r="CW320" s="312"/>
      <c r="CX320" s="312"/>
      <c r="CY320" s="312"/>
      <c r="CZ320" s="312"/>
      <c r="DA320" s="312"/>
      <c r="DB320" s="312"/>
      <c r="DC320" s="312"/>
      <c r="DD320" s="312"/>
      <c r="DE320" s="312"/>
      <c r="DF320" s="312"/>
      <c r="DG320" s="312"/>
      <c r="DH320" s="312"/>
      <c r="DI320" s="312"/>
      <c r="DJ320" s="312"/>
      <c r="DK320" s="312"/>
      <c r="DL320" s="312"/>
      <c r="DM320" s="312"/>
      <c r="DN320" s="312"/>
      <c r="DO320" s="312"/>
      <c r="DP320" s="312"/>
      <c r="DQ320" s="312"/>
      <c r="DR320" s="312"/>
      <c r="DS320" s="312"/>
      <c r="DT320" s="312"/>
      <c r="DU320" s="312"/>
      <c r="DV320" s="312"/>
      <c r="DW320" s="312"/>
      <c r="DX320" s="312"/>
      <c r="DY320" s="312"/>
      <c r="DZ320" s="312"/>
      <c r="EA320" s="312"/>
      <c r="EB320" s="312"/>
      <c r="EC320" s="312"/>
      <c r="ED320" s="312"/>
      <c r="EE320" s="312"/>
      <c r="EF320" s="312"/>
      <c r="EG320" s="312"/>
      <c r="EH320" s="312"/>
      <c r="EI320" s="312"/>
      <c r="EJ320" s="312"/>
      <c r="EK320" s="312"/>
      <c r="EL320" s="312"/>
      <c r="EM320" s="312"/>
      <c r="EN320" s="312"/>
      <c r="EO320" s="312"/>
      <c r="EP320" s="312"/>
      <c r="EQ320" s="312"/>
      <c r="ER320" s="312"/>
      <c r="ES320" s="312"/>
      <c r="ET320" s="312"/>
      <c r="EU320" s="312"/>
      <c r="EV320" s="312"/>
      <c r="EW320" s="312"/>
      <c r="EX320" s="312"/>
      <c r="EY320" s="312"/>
      <c r="EZ320" s="312"/>
      <c r="FA320" s="312"/>
      <c r="FB320" s="312"/>
      <c r="FC320" s="312"/>
      <c r="FD320" s="312"/>
      <c r="FE320" s="312"/>
      <c r="FF320" s="312"/>
      <c r="FG320" s="312"/>
      <c r="FH320" s="312"/>
      <c r="FI320" s="312"/>
      <c r="FJ320" s="312"/>
      <c r="FK320" s="312"/>
      <c r="FL320" s="312"/>
      <c r="FM320" s="312"/>
      <c r="FN320" s="312"/>
      <c r="FO320" s="312"/>
      <c r="FP320" s="312"/>
      <c r="FQ320" s="312"/>
      <c r="FR320" s="312"/>
      <c r="FS320" s="312"/>
      <c r="FT320" s="312"/>
      <c r="FU320" s="312"/>
      <c r="FV320" s="312"/>
      <c r="FW320" s="312"/>
      <c r="FX320" s="312"/>
      <c r="FY320" s="312"/>
      <c r="FZ320" s="312"/>
      <c r="GA320" s="312"/>
      <c r="GB320" s="312"/>
      <c r="GC320" s="312"/>
      <c r="GD320" s="312"/>
      <c r="GE320" s="312"/>
      <c r="GF320" s="312"/>
      <c r="GG320" s="312"/>
      <c r="GH320" s="312"/>
      <c r="GI320" s="312"/>
      <c r="GJ320" s="312"/>
      <c r="GK320" s="312"/>
      <c r="GL320" s="312"/>
      <c r="GM320" s="312"/>
      <c r="GN320" s="312"/>
      <c r="GO320" s="312"/>
      <c r="GP320" s="312"/>
      <c r="GQ320" s="312"/>
      <c r="GR320" s="312"/>
      <c r="GS320" s="312"/>
      <c r="GT320" s="312"/>
      <c r="GU320" s="312"/>
      <c r="GV320" s="312"/>
      <c r="GW320" s="312"/>
      <c r="GX320" s="312"/>
      <c r="GY320" s="312"/>
    </row>
    <row r="321" spans="2:207" ht="15.75" x14ac:dyDescent="0.25">
      <c r="B321" s="316">
        <f t="shared" si="77"/>
        <v>291</v>
      </c>
      <c r="C321" s="330">
        <f>'סיכום לוועדה'!B321</f>
        <v>1001348199</v>
      </c>
      <c r="D321" s="330">
        <f>'סיכום לוועדה'!C321</f>
        <v>1001273525</v>
      </c>
      <c r="E321" s="330">
        <f>'סיכום לוועדה'!D321</f>
        <v>40000564</v>
      </c>
      <c r="F321" s="330">
        <f>'סיכום לוועדה'!E321</f>
        <v>20000201</v>
      </c>
      <c r="G321" s="330" t="str">
        <f>'סיכום לוועדה'!F321</f>
        <v>תל אביב -יפו</v>
      </c>
      <c r="H321" s="317" t="str">
        <f>'סיכום לוועדה'!G321</f>
        <v>עמותת הכוריאוגרפים (ע"ר)</v>
      </c>
      <c r="I321" s="318">
        <f>'סיכום לוועדה'!U321</f>
        <v>150000</v>
      </c>
      <c r="J321" s="319">
        <f>'סיכום לוועדה'!T321</f>
        <v>14349.835168315067</v>
      </c>
      <c r="K321" s="320">
        <f t="shared" si="78"/>
        <v>0</v>
      </c>
      <c r="L321" s="319">
        <f t="shared" si="79"/>
        <v>14349.835168315067</v>
      </c>
      <c r="M321" s="331">
        <f>'תחום תמיכה ב'!AF321</f>
        <v>8.141855333459418E-5</v>
      </c>
      <c r="N321" s="319">
        <f t="shared" si="76"/>
        <v>15736.7604856178</v>
      </c>
      <c r="O321" s="321">
        <f t="shared" si="80"/>
        <v>0</v>
      </c>
      <c r="P321" s="322">
        <f t="shared" si="81"/>
        <v>15736.7604856178</v>
      </c>
      <c r="Q321" s="322">
        <f t="shared" si="82"/>
        <v>15743.925848285075</v>
      </c>
      <c r="R321" s="321">
        <f t="shared" si="83"/>
        <v>0</v>
      </c>
      <c r="S321" s="322">
        <f t="shared" si="84"/>
        <v>15743.925848285075</v>
      </c>
      <c r="T321" s="322">
        <f t="shared" si="85"/>
        <v>15743.925848285044</v>
      </c>
      <c r="U321" s="321">
        <f t="shared" si="86"/>
        <v>0</v>
      </c>
      <c r="V321" s="322">
        <f t="shared" si="87"/>
        <v>15743.925848285044</v>
      </c>
      <c r="W321" s="322">
        <f t="shared" si="88"/>
        <v>15743.925848285051</v>
      </c>
      <c r="X321" s="321">
        <f t="shared" si="89"/>
        <v>0</v>
      </c>
      <c r="Y321" s="322">
        <f t="shared" si="90"/>
        <v>15743.925848285051</v>
      </c>
      <c r="Z321" s="322">
        <f t="shared" si="91"/>
        <v>15743.925848285047</v>
      </c>
      <c r="AA321" s="323">
        <f t="shared" si="92"/>
        <v>15743.925848285047</v>
      </c>
      <c r="AB321" s="323"/>
      <c r="AC321" s="323"/>
      <c r="AD321" s="323"/>
      <c r="AE321" s="323"/>
      <c r="AF321" s="324">
        <f t="shared" si="93"/>
        <v>9.0162055841580216E-5</v>
      </c>
      <c r="AG321" s="312"/>
      <c r="AH321" s="312"/>
      <c r="AI321" s="325">
        <f t="shared" si="94"/>
        <v>1</v>
      </c>
      <c r="AJ321" s="312"/>
      <c r="AK321" s="312"/>
      <c r="AL321" s="312"/>
      <c r="AM321" s="312"/>
      <c r="AN321" s="312"/>
      <c r="AO321" s="312"/>
      <c r="AP321" s="312"/>
      <c r="AQ321" s="312"/>
      <c r="AR321" s="312"/>
      <c r="AS321" s="312"/>
      <c r="AT321" s="312"/>
      <c r="AU321" s="312"/>
      <c r="AV321" s="312"/>
      <c r="AW321" s="312"/>
      <c r="AX321" s="312"/>
      <c r="AY321" s="312"/>
      <c r="AZ321" s="312"/>
      <c r="BA321" s="312"/>
      <c r="BB321" s="312"/>
      <c r="BC321" s="312"/>
      <c r="BD321" s="312"/>
      <c r="BE321" s="312"/>
      <c r="BF321" s="312"/>
      <c r="BG321" s="312"/>
      <c r="BH321" s="312"/>
      <c r="BI321" s="312"/>
      <c r="BJ321" s="312"/>
      <c r="BK321" s="312"/>
      <c r="BL321" s="312"/>
      <c r="BM321" s="312"/>
      <c r="BN321" s="312"/>
      <c r="BO321" s="312"/>
      <c r="BP321" s="312"/>
      <c r="BQ321" s="312"/>
      <c r="BR321" s="312"/>
      <c r="BS321" s="312"/>
      <c r="BT321" s="312"/>
      <c r="BU321" s="312"/>
      <c r="BV321" s="312"/>
      <c r="BW321" s="312"/>
      <c r="BX321" s="312"/>
      <c r="BY321" s="312"/>
      <c r="BZ321" s="312"/>
      <c r="CA321" s="312"/>
      <c r="CB321" s="312"/>
      <c r="CC321" s="312"/>
      <c r="CD321" s="312"/>
      <c r="CE321" s="312"/>
      <c r="CF321" s="312"/>
      <c r="CG321" s="312"/>
      <c r="CH321" s="312"/>
      <c r="CI321" s="312"/>
      <c r="CJ321" s="312"/>
      <c r="CK321" s="312"/>
      <c r="CL321" s="312"/>
      <c r="CM321" s="312"/>
      <c r="CN321" s="312"/>
      <c r="CO321" s="312"/>
      <c r="CP321" s="312"/>
      <c r="CQ321" s="312"/>
      <c r="CR321" s="312"/>
      <c r="CS321" s="312"/>
      <c r="CT321" s="312"/>
      <c r="CU321" s="312"/>
      <c r="CV321" s="312"/>
      <c r="CW321" s="312"/>
      <c r="CX321" s="312"/>
      <c r="CY321" s="312"/>
      <c r="CZ321" s="312"/>
      <c r="DA321" s="312"/>
      <c r="DB321" s="312"/>
      <c r="DC321" s="312"/>
      <c r="DD321" s="312"/>
      <c r="DE321" s="312"/>
      <c r="DF321" s="312"/>
      <c r="DG321" s="312"/>
      <c r="DH321" s="312"/>
      <c r="DI321" s="312"/>
      <c r="DJ321" s="312"/>
      <c r="DK321" s="312"/>
      <c r="DL321" s="312"/>
      <c r="DM321" s="312"/>
      <c r="DN321" s="312"/>
      <c r="DO321" s="312"/>
      <c r="DP321" s="312"/>
      <c r="DQ321" s="312"/>
      <c r="DR321" s="312"/>
      <c r="DS321" s="312"/>
      <c r="DT321" s="312"/>
      <c r="DU321" s="312"/>
      <c r="DV321" s="312"/>
      <c r="DW321" s="312"/>
      <c r="DX321" s="312"/>
      <c r="DY321" s="312"/>
      <c r="DZ321" s="312"/>
      <c r="EA321" s="312"/>
      <c r="EB321" s="312"/>
      <c r="EC321" s="312"/>
      <c r="ED321" s="312"/>
      <c r="EE321" s="312"/>
      <c r="EF321" s="312"/>
      <c r="EG321" s="312"/>
      <c r="EH321" s="312"/>
      <c r="EI321" s="312"/>
      <c r="EJ321" s="312"/>
      <c r="EK321" s="312"/>
      <c r="EL321" s="312"/>
      <c r="EM321" s="312"/>
      <c r="EN321" s="312"/>
      <c r="EO321" s="312"/>
      <c r="EP321" s="312"/>
      <c r="EQ321" s="312"/>
      <c r="ER321" s="312"/>
      <c r="ES321" s="312"/>
      <c r="ET321" s="312"/>
      <c r="EU321" s="312"/>
      <c r="EV321" s="312"/>
      <c r="EW321" s="312"/>
      <c r="EX321" s="312"/>
      <c r="EY321" s="312"/>
      <c r="EZ321" s="312"/>
      <c r="FA321" s="312"/>
      <c r="FB321" s="312"/>
      <c r="FC321" s="312"/>
      <c r="FD321" s="312"/>
      <c r="FE321" s="312"/>
      <c r="FF321" s="312"/>
      <c r="FG321" s="312"/>
      <c r="FH321" s="312"/>
      <c r="FI321" s="312"/>
      <c r="FJ321" s="312"/>
      <c r="FK321" s="312"/>
      <c r="FL321" s="312"/>
      <c r="FM321" s="312"/>
      <c r="FN321" s="312"/>
      <c r="FO321" s="312"/>
      <c r="FP321" s="312"/>
      <c r="FQ321" s="312"/>
      <c r="FR321" s="312"/>
      <c r="FS321" s="312"/>
      <c r="FT321" s="312"/>
      <c r="FU321" s="312"/>
      <c r="FV321" s="312"/>
      <c r="FW321" s="312"/>
      <c r="FX321" s="312"/>
      <c r="FY321" s="312"/>
      <c r="FZ321" s="312"/>
      <c r="GA321" s="312"/>
      <c r="GB321" s="312"/>
      <c r="GC321" s="312"/>
      <c r="GD321" s="312"/>
      <c r="GE321" s="312"/>
      <c r="GF321" s="312"/>
      <c r="GG321" s="312"/>
      <c r="GH321" s="312"/>
      <c r="GI321" s="312"/>
      <c r="GJ321" s="312"/>
      <c r="GK321" s="312"/>
      <c r="GL321" s="312"/>
      <c r="GM321" s="312"/>
      <c r="GN321" s="312"/>
      <c r="GO321" s="312"/>
      <c r="GP321" s="312"/>
      <c r="GQ321" s="312"/>
      <c r="GR321" s="312"/>
      <c r="GS321" s="312"/>
      <c r="GT321" s="312"/>
      <c r="GU321" s="312"/>
      <c r="GV321" s="312"/>
      <c r="GW321" s="312"/>
      <c r="GX321" s="312"/>
      <c r="GY321" s="312"/>
    </row>
    <row r="322" spans="2:207" ht="15.75" x14ac:dyDescent="0.25">
      <c r="B322" s="316">
        <f t="shared" si="77"/>
        <v>292</v>
      </c>
      <c r="C322" s="330">
        <f>'סיכום לוועדה'!B322</f>
        <v>1001348210</v>
      </c>
      <c r="D322" s="330">
        <f>'סיכום לוועדה'!C322</f>
        <v>1001273526</v>
      </c>
      <c r="E322" s="330">
        <f>'סיכום לוועדה'!D322</f>
        <v>40000564</v>
      </c>
      <c r="F322" s="330">
        <f>'סיכום לוועדה'!E322</f>
        <v>20000201</v>
      </c>
      <c r="G322" s="330" t="str">
        <f>'סיכום לוועדה'!F322</f>
        <v>תל אביב -יפו</v>
      </c>
      <c r="H322" s="317" t="str">
        <f>'סיכום לוועדה'!G322</f>
        <v>עמותת הכוריאוגרפים (ע"ר)</v>
      </c>
      <c r="I322" s="318">
        <f>'סיכום לוועדה'!U322</f>
        <v>150000</v>
      </c>
      <c r="J322" s="319">
        <f>'סיכום לוועדה'!T322</f>
        <v>18379.944617771711</v>
      </c>
      <c r="K322" s="320">
        <f t="shared" si="78"/>
        <v>0</v>
      </c>
      <c r="L322" s="319">
        <f t="shared" si="79"/>
        <v>18379.944617771711</v>
      </c>
      <c r="M322" s="331">
        <f>'תחום תמיכה ב'!AF322</f>
        <v>1.0443776548275797E-4</v>
      </c>
      <c r="N322" s="319">
        <f t="shared" si="76"/>
        <v>20158.990978805712</v>
      </c>
      <c r="O322" s="321">
        <f t="shared" si="80"/>
        <v>0</v>
      </c>
      <c r="P322" s="322">
        <f t="shared" si="81"/>
        <v>20158.990978805712</v>
      </c>
      <c r="Q322" s="322">
        <f t="shared" si="82"/>
        <v>20168.169899810546</v>
      </c>
      <c r="R322" s="321">
        <f t="shared" si="83"/>
        <v>0</v>
      </c>
      <c r="S322" s="322">
        <f t="shared" si="84"/>
        <v>20168.169899810546</v>
      </c>
      <c r="T322" s="322">
        <f t="shared" si="85"/>
        <v>20168.169899810502</v>
      </c>
      <c r="U322" s="321">
        <f t="shared" si="86"/>
        <v>0</v>
      </c>
      <c r="V322" s="322">
        <f t="shared" si="87"/>
        <v>20168.169899810502</v>
      </c>
      <c r="W322" s="322">
        <f t="shared" si="88"/>
        <v>20168.169899810506</v>
      </c>
      <c r="X322" s="321">
        <f t="shared" si="89"/>
        <v>0</v>
      </c>
      <c r="Y322" s="322">
        <f t="shared" si="90"/>
        <v>20168.169899810506</v>
      </c>
      <c r="Z322" s="322">
        <f t="shared" si="91"/>
        <v>20168.169899810502</v>
      </c>
      <c r="AA322" s="323">
        <f t="shared" si="92"/>
        <v>20168.169899810502</v>
      </c>
      <c r="AB322" s="323"/>
      <c r="AC322" s="323"/>
      <c r="AD322" s="323"/>
      <c r="AE322" s="323"/>
      <c r="AF322" s="324">
        <f t="shared" si="93"/>
        <v>1.1549874397606277E-4</v>
      </c>
      <c r="AG322" s="312"/>
      <c r="AH322" s="312"/>
      <c r="AI322" s="325">
        <f t="shared" si="94"/>
        <v>1</v>
      </c>
      <c r="AJ322" s="312"/>
      <c r="AK322" s="312"/>
      <c r="AL322" s="312"/>
      <c r="AM322" s="312"/>
      <c r="AN322" s="312"/>
      <c r="AO322" s="312"/>
      <c r="AP322" s="312"/>
      <c r="AQ322" s="312"/>
      <c r="AR322" s="312"/>
      <c r="AS322" s="312"/>
      <c r="AT322" s="312"/>
      <c r="AU322" s="312"/>
      <c r="AV322" s="312"/>
      <c r="AW322" s="312"/>
      <c r="AX322" s="312"/>
      <c r="AY322" s="312"/>
      <c r="AZ322" s="312"/>
      <c r="BA322" s="312"/>
      <c r="BB322" s="312"/>
      <c r="BC322" s="312"/>
      <c r="BD322" s="312"/>
      <c r="BE322" s="312"/>
      <c r="BF322" s="312"/>
      <c r="BG322" s="312"/>
      <c r="BH322" s="312"/>
      <c r="BI322" s="312"/>
      <c r="BJ322" s="312"/>
      <c r="BK322" s="312"/>
      <c r="BL322" s="312"/>
      <c r="BM322" s="312"/>
      <c r="BN322" s="312"/>
      <c r="BO322" s="312"/>
      <c r="BP322" s="312"/>
      <c r="BQ322" s="312"/>
      <c r="BR322" s="312"/>
      <c r="BS322" s="312"/>
      <c r="BT322" s="312"/>
      <c r="BU322" s="312"/>
      <c r="BV322" s="312"/>
      <c r="BW322" s="312"/>
      <c r="BX322" s="312"/>
      <c r="BY322" s="312"/>
      <c r="BZ322" s="312"/>
      <c r="CA322" s="312"/>
      <c r="CB322" s="312"/>
      <c r="CC322" s="312"/>
      <c r="CD322" s="312"/>
      <c r="CE322" s="312"/>
      <c r="CF322" s="312"/>
      <c r="CG322" s="312"/>
      <c r="CH322" s="312"/>
      <c r="CI322" s="312"/>
      <c r="CJ322" s="312"/>
      <c r="CK322" s="312"/>
      <c r="CL322" s="312"/>
      <c r="CM322" s="312"/>
      <c r="CN322" s="312"/>
      <c r="CO322" s="312"/>
      <c r="CP322" s="312"/>
      <c r="CQ322" s="312"/>
      <c r="CR322" s="312"/>
      <c r="CS322" s="312"/>
      <c r="CT322" s="312"/>
      <c r="CU322" s="312"/>
      <c r="CV322" s="312"/>
      <c r="CW322" s="312"/>
      <c r="CX322" s="312"/>
      <c r="CY322" s="312"/>
      <c r="CZ322" s="312"/>
      <c r="DA322" s="312"/>
      <c r="DB322" s="312"/>
      <c r="DC322" s="312"/>
      <c r="DD322" s="312"/>
      <c r="DE322" s="312"/>
      <c r="DF322" s="312"/>
      <c r="DG322" s="312"/>
      <c r="DH322" s="312"/>
      <c r="DI322" s="312"/>
      <c r="DJ322" s="312"/>
      <c r="DK322" s="312"/>
      <c r="DL322" s="312"/>
      <c r="DM322" s="312"/>
      <c r="DN322" s="312"/>
      <c r="DO322" s="312"/>
      <c r="DP322" s="312"/>
      <c r="DQ322" s="312"/>
      <c r="DR322" s="312"/>
      <c r="DS322" s="312"/>
      <c r="DT322" s="312"/>
      <c r="DU322" s="312"/>
      <c r="DV322" s="312"/>
      <c r="DW322" s="312"/>
      <c r="DX322" s="312"/>
      <c r="DY322" s="312"/>
      <c r="DZ322" s="312"/>
      <c r="EA322" s="312"/>
      <c r="EB322" s="312"/>
      <c r="EC322" s="312"/>
      <c r="ED322" s="312"/>
      <c r="EE322" s="312"/>
      <c r="EF322" s="312"/>
      <c r="EG322" s="312"/>
      <c r="EH322" s="312"/>
      <c r="EI322" s="312"/>
      <c r="EJ322" s="312"/>
      <c r="EK322" s="312"/>
      <c r="EL322" s="312"/>
      <c r="EM322" s="312"/>
      <c r="EN322" s="312"/>
      <c r="EO322" s="312"/>
      <c r="EP322" s="312"/>
      <c r="EQ322" s="312"/>
      <c r="ER322" s="312"/>
      <c r="ES322" s="312"/>
      <c r="ET322" s="312"/>
      <c r="EU322" s="312"/>
      <c r="EV322" s="312"/>
      <c r="EW322" s="312"/>
      <c r="EX322" s="312"/>
      <c r="EY322" s="312"/>
      <c r="EZ322" s="312"/>
      <c r="FA322" s="312"/>
      <c r="FB322" s="312"/>
      <c r="FC322" s="312"/>
      <c r="FD322" s="312"/>
      <c r="FE322" s="312"/>
      <c r="FF322" s="312"/>
      <c r="FG322" s="312"/>
      <c r="FH322" s="312"/>
      <c r="FI322" s="312"/>
      <c r="FJ322" s="312"/>
      <c r="FK322" s="312"/>
      <c r="FL322" s="312"/>
      <c r="FM322" s="312"/>
      <c r="FN322" s="312"/>
      <c r="FO322" s="312"/>
      <c r="FP322" s="312"/>
      <c r="FQ322" s="312"/>
      <c r="FR322" s="312"/>
      <c r="FS322" s="312"/>
      <c r="FT322" s="312"/>
      <c r="FU322" s="312"/>
      <c r="FV322" s="312"/>
      <c r="FW322" s="312"/>
      <c r="FX322" s="312"/>
      <c r="FY322" s="312"/>
      <c r="FZ322" s="312"/>
      <c r="GA322" s="312"/>
      <c r="GB322" s="312"/>
      <c r="GC322" s="312"/>
      <c r="GD322" s="312"/>
      <c r="GE322" s="312"/>
      <c r="GF322" s="312"/>
      <c r="GG322" s="312"/>
      <c r="GH322" s="312"/>
      <c r="GI322" s="312"/>
      <c r="GJ322" s="312"/>
      <c r="GK322" s="312"/>
      <c r="GL322" s="312"/>
      <c r="GM322" s="312"/>
      <c r="GN322" s="312"/>
      <c r="GO322" s="312"/>
      <c r="GP322" s="312"/>
      <c r="GQ322" s="312"/>
      <c r="GR322" s="312"/>
      <c r="GS322" s="312"/>
      <c r="GT322" s="312"/>
      <c r="GU322" s="312"/>
      <c r="GV322" s="312"/>
      <c r="GW322" s="312"/>
      <c r="GX322" s="312"/>
      <c r="GY322" s="312"/>
    </row>
    <row r="323" spans="2:207" ht="15.75" x14ac:dyDescent="0.25">
      <c r="B323" s="316">
        <f t="shared" si="77"/>
        <v>293</v>
      </c>
      <c r="C323" s="330">
        <f>'סיכום לוועדה'!B323</f>
        <v>1001348211</v>
      </c>
      <c r="D323" s="330">
        <f>'סיכום לוועדה'!C323</f>
        <v>1001273529</v>
      </c>
      <c r="E323" s="330">
        <f>'סיכום לוועדה'!D323</f>
        <v>40000564</v>
      </c>
      <c r="F323" s="330">
        <f>'סיכום לוועדה'!E323</f>
        <v>20000201</v>
      </c>
      <c r="G323" s="330" t="str">
        <f>'סיכום לוועדה'!F323</f>
        <v>תל אביב -יפו</v>
      </c>
      <c r="H323" s="317" t="str">
        <f>'סיכום לוועדה'!G323</f>
        <v>עמותת הכוריאוגרפים (ע"ר)</v>
      </c>
      <c r="I323" s="318">
        <f>'סיכום לוועדה'!U323</f>
        <v>150000</v>
      </c>
      <c r="J323" s="319">
        <f>'סיכום לוועדה'!T323</f>
        <v>37084.422386302293</v>
      </c>
      <c r="K323" s="320">
        <f t="shared" si="78"/>
        <v>0</v>
      </c>
      <c r="L323" s="319">
        <f t="shared" si="79"/>
        <v>37084.422386302293</v>
      </c>
      <c r="M323" s="331">
        <f>'תחום תמיכה ב'!AF323</f>
        <v>2.4129542401250895E-4</v>
      </c>
      <c r="N323" s="319">
        <f t="shared" si="76"/>
        <v>41194.772162930567</v>
      </c>
      <c r="O323" s="321">
        <f t="shared" si="80"/>
        <v>0</v>
      </c>
      <c r="P323" s="322">
        <f t="shared" si="81"/>
        <v>41194.772162930567</v>
      </c>
      <c r="Q323" s="322">
        <f t="shared" si="82"/>
        <v>41213.529230677326</v>
      </c>
      <c r="R323" s="321">
        <f t="shared" si="83"/>
        <v>0</v>
      </c>
      <c r="S323" s="322">
        <f t="shared" si="84"/>
        <v>41213.529230677326</v>
      </c>
      <c r="T323" s="322">
        <f t="shared" si="85"/>
        <v>41213.529230677246</v>
      </c>
      <c r="U323" s="321">
        <f t="shared" si="86"/>
        <v>0</v>
      </c>
      <c r="V323" s="322">
        <f t="shared" si="87"/>
        <v>41213.529230677246</v>
      </c>
      <c r="W323" s="322">
        <f t="shared" si="88"/>
        <v>41213.529230677261</v>
      </c>
      <c r="X323" s="321">
        <f t="shared" si="89"/>
        <v>0</v>
      </c>
      <c r="Y323" s="322">
        <f t="shared" si="90"/>
        <v>41213.529230677261</v>
      </c>
      <c r="Z323" s="322">
        <f t="shared" si="91"/>
        <v>41213.529230677254</v>
      </c>
      <c r="AA323" s="323">
        <f t="shared" si="92"/>
        <v>41213.529230677254</v>
      </c>
      <c r="AB323" s="323"/>
      <c r="AC323" s="323"/>
      <c r="AD323" s="323"/>
      <c r="AE323" s="323"/>
      <c r="AF323" s="324">
        <f t="shared" si="93"/>
        <v>2.3602096197179978E-4</v>
      </c>
      <c r="AG323" s="312"/>
      <c r="AH323" s="312"/>
      <c r="AI323" s="325">
        <f t="shared" si="94"/>
        <v>1</v>
      </c>
      <c r="AJ323" s="312"/>
      <c r="AK323" s="312"/>
      <c r="AL323" s="312"/>
      <c r="AM323" s="312"/>
      <c r="AN323" s="312"/>
      <c r="AO323" s="312"/>
      <c r="AP323" s="312"/>
      <c r="AQ323" s="312"/>
      <c r="AR323" s="312"/>
      <c r="AS323" s="312"/>
      <c r="AT323" s="312"/>
      <c r="AU323" s="312"/>
      <c r="AV323" s="312"/>
      <c r="AW323" s="312"/>
      <c r="AX323" s="312"/>
      <c r="AY323" s="312"/>
      <c r="AZ323" s="312"/>
      <c r="BA323" s="312"/>
      <c r="BB323" s="312"/>
      <c r="BC323" s="312"/>
      <c r="BD323" s="312"/>
      <c r="BE323" s="312"/>
      <c r="BF323" s="312"/>
      <c r="BG323" s="312"/>
      <c r="BH323" s="312"/>
      <c r="BI323" s="312"/>
      <c r="BJ323" s="312"/>
      <c r="BK323" s="312"/>
      <c r="BL323" s="312"/>
      <c r="BM323" s="312"/>
      <c r="BN323" s="312"/>
      <c r="BO323" s="312"/>
      <c r="BP323" s="312"/>
      <c r="BQ323" s="312"/>
      <c r="BR323" s="312"/>
      <c r="BS323" s="312"/>
      <c r="BT323" s="312"/>
      <c r="BU323" s="312"/>
      <c r="BV323" s="312"/>
      <c r="BW323" s="312"/>
      <c r="BX323" s="312"/>
      <c r="BY323" s="312"/>
      <c r="BZ323" s="312"/>
      <c r="CA323" s="312"/>
      <c r="CB323" s="312"/>
      <c r="CC323" s="312"/>
      <c r="CD323" s="312"/>
      <c r="CE323" s="312"/>
      <c r="CF323" s="312"/>
      <c r="CG323" s="312"/>
      <c r="CH323" s="312"/>
      <c r="CI323" s="312"/>
      <c r="CJ323" s="312"/>
      <c r="CK323" s="312"/>
      <c r="CL323" s="312"/>
      <c r="CM323" s="312"/>
      <c r="CN323" s="312"/>
      <c r="CO323" s="312"/>
      <c r="CP323" s="312"/>
      <c r="CQ323" s="312"/>
      <c r="CR323" s="312"/>
      <c r="CS323" s="312"/>
      <c r="CT323" s="312"/>
      <c r="CU323" s="312"/>
      <c r="CV323" s="312"/>
      <c r="CW323" s="312"/>
      <c r="CX323" s="312"/>
      <c r="CY323" s="312"/>
      <c r="CZ323" s="312"/>
      <c r="DA323" s="312"/>
      <c r="DB323" s="312"/>
      <c r="DC323" s="312"/>
      <c r="DD323" s="312"/>
      <c r="DE323" s="312"/>
      <c r="DF323" s="312"/>
      <c r="DG323" s="312"/>
      <c r="DH323" s="312"/>
      <c r="DI323" s="312"/>
      <c r="DJ323" s="312"/>
      <c r="DK323" s="312"/>
      <c r="DL323" s="312"/>
      <c r="DM323" s="312"/>
      <c r="DN323" s="312"/>
      <c r="DO323" s="312"/>
      <c r="DP323" s="312"/>
      <c r="DQ323" s="312"/>
      <c r="DR323" s="312"/>
      <c r="DS323" s="312"/>
      <c r="DT323" s="312"/>
      <c r="DU323" s="312"/>
      <c r="DV323" s="312"/>
      <c r="DW323" s="312"/>
      <c r="DX323" s="312"/>
      <c r="DY323" s="312"/>
      <c r="DZ323" s="312"/>
      <c r="EA323" s="312"/>
      <c r="EB323" s="312"/>
      <c r="EC323" s="312"/>
      <c r="ED323" s="312"/>
      <c r="EE323" s="312"/>
      <c r="EF323" s="312"/>
      <c r="EG323" s="312"/>
      <c r="EH323" s="312"/>
      <c r="EI323" s="312"/>
      <c r="EJ323" s="312"/>
      <c r="EK323" s="312"/>
      <c r="EL323" s="312"/>
      <c r="EM323" s="312"/>
      <c r="EN323" s="312"/>
      <c r="EO323" s="312"/>
      <c r="EP323" s="312"/>
      <c r="EQ323" s="312"/>
      <c r="ER323" s="312"/>
      <c r="ES323" s="312"/>
      <c r="ET323" s="312"/>
      <c r="EU323" s="312"/>
      <c r="EV323" s="312"/>
      <c r="EW323" s="312"/>
      <c r="EX323" s="312"/>
      <c r="EY323" s="312"/>
      <c r="EZ323" s="312"/>
      <c r="FA323" s="312"/>
      <c r="FB323" s="312"/>
      <c r="FC323" s="312"/>
      <c r="FD323" s="312"/>
      <c r="FE323" s="312"/>
      <c r="FF323" s="312"/>
      <c r="FG323" s="312"/>
      <c r="FH323" s="312"/>
      <c r="FI323" s="312"/>
      <c r="FJ323" s="312"/>
      <c r="FK323" s="312"/>
      <c r="FL323" s="312"/>
      <c r="FM323" s="312"/>
      <c r="FN323" s="312"/>
      <c r="FO323" s="312"/>
      <c r="FP323" s="312"/>
      <c r="FQ323" s="312"/>
      <c r="FR323" s="312"/>
      <c r="FS323" s="312"/>
      <c r="FT323" s="312"/>
      <c r="FU323" s="312"/>
      <c r="FV323" s="312"/>
      <c r="FW323" s="312"/>
      <c r="FX323" s="312"/>
      <c r="FY323" s="312"/>
      <c r="FZ323" s="312"/>
      <c r="GA323" s="312"/>
      <c r="GB323" s="312"/>
      <c r="GC323" s="312"/>
      <c r="GD323" s="312"/>
      <c r="GE323" s="312"/>
      <c r="GF323" s="312"/>
      <c r="GG323" s="312"/>
      <c r="GH323" s="312"/>
      <c r="GI323" s="312"/>
      <c r="GJ323" s="312"/>
      <c r="GK323" s="312"/>
      <c r="GL323" s="312"/>
      <c r="GM323" s="312"/>
      <c r="GN323" s="312"/>
      <c r="GO323" s="312"/>
      <c r="GP323" s="312"/>
      <c r="GQ323" s="312"/>
      <c r="GR323" s="312"/>
      <c r="GS323" s="312"/>
      <c r="GT323" s="312"/>
      <c r="GU323" s="312"/>
      <c r="GV323" s="312"/>
      <c r="GW323" s="312"/>
      <c r="GX323" s="312"/>
      <c r="GY323" s="312"/>
    </row>
    <row r="324" spans="2:207" ht="15.75" x14ac:dyDescent="0.25">
      <c r="B324" s="316">
        <f t="shared" si="77"/>
        <v>294</v>
      </c>
      <c r="C324" s="330">
        <f>'סיכום לוועדה'!B324</f>
        <v>1001348212</v>
      </c>
      <c r="D324" s="330">
        <f>'סיכום לוועדה'!C324</f>
        <v>1001273573</v>
      </c>
      <c r="E324" s="330">
        <f>'סיכום לוועדה'!D324</f>
        <v>40000564</v>
      </c>
      <c r="F324" s="330">
        <f>'סיכום לוועדה'!E324</f>
        <v>20000201</v>
      </c>
      <c r="G324" s="330" t="str">
        <f>'סיכום לוועדה'!F324</f>
        <v>תל אביב -יפו</v>
      </c>
      <c r="H324" s="317" t="str">
        <f>'סיכום לוועדה'!G324</f>
        <v>עמותת הכוריאוגרפים (ע"ר)</v>
      </c>
      <c r="I324" s="318">
        <f>'סיכום לוועדה'!U324</f>
        <v>150000</v>
      </c>
      <c r="J324" s="319">
        <f>'סיכום לוועדה'!T324</f>
        <v>51397.567643857146</v>
      </c>
      <c r="K324" s="320">
        <f t="shared" si="78"/>
        <v>0</v>
      </c>
      <c r="L324" s="319">
        <f t="shared" si="79"/>
        <v>51397.567643857146</v>
      </c>
      <c r="M324" s="331">
        <f>'תחום תמיכה ב'!AF324</f>
        <v>3.3602675202676617E-4</v>
      </c>
      <c r="N324" s="319">
        <f t="shared" si="76"/>
        <v>57121.619356759671</v>
      </c>
      <c r="O324" s="321">
        <f t="shared" si="80"/>
        <v>0</v>
      </c>
      <c r="P324" s="322">
        <f t="shared" si="81"/>
        <v>57121.619356759671</v>
      </c>
      <c r="Q324" s="322">
        <f t="shared" si="82"/>
        <v>57147.628338672257</v>
      </c>
      <c r="R324" s="321">
        <f t="shared" si="83"/>
        <v>0</v>
      </c>
      <c r="S324" s="322">
        <f t="shared" si="84"/>
        <v>57147.628338672257</v>
      </c>
      <c r="T324" s="322">
        <f t="shared" si="85"/>
        <v>57147.628338672141</v>
      </c>
      <c r="U324" s="321">
        <f t="shared" si="86"/>
        <v>0</v>
      </c>
      <c r="V324" s="322">
        <f t="shared" si="87"/>
        <v>57147.628338672141</v>
      </c>
      <c r="W324" s="322">
        <f t="shared" si="88"/>
        <v>57147.628338672162</v>
      </c>
      <c r="X324" s="321">
        <f t="shared" si="89"/>
        <v>0</v>
      </c>
      <c r="Y324" s="322">
        <f t="shared" si="90"/>
        <v>57147.628338672162</v>
      </c>
      <c r="Z324" s="322">
        <f t="shared" si="91"/>
        <v>57147.628338672155</v>
      </c>
      <c r="AA324" s="323">
        <f t="shared" si="92"/>
        <v>57147.628338672155</v>
      </c>
      <c r="AB324" s="323"/>
      <c r="AC324" s="323"/>
      <c r="AD324" s="323"/>
      <c r="AE324" s="323"/>
      <c r="AF324" s="324">
        <f t="shared" si="93"/>
        <v>3.2727209891213291E-4</v>
      </c>
      <c r="AG324" s="312"/>
      <c r="AH324" s="312"/>
      <c r="AI324" s="325">
        <f t="shared" si="94"/>
        <v>1</v>
      </c>
      <c r="AJ324" s="312"/>
      <c r="AK324" s="312"/>
      <c r="AL324" s="312"/>
      <c r="AM324" s="312"/>
      <c r="AN324" s="312"/>
      <c r="AO324" s="312"/>
      <c r="AP324" s="312"/>
      <c r="AQ324" s="312"/>
      <c r="AR324" s="312"/>
      <c r="AS324" s="312"/>
      <c r="AT324" s="312"/>
      <c r="AU324" s="312"/>
      <c r="AV324" s="312"/>
      <c r="AW324" s="312"/>
      <c r="AX324" s="312"/>
      <c r="AY324" s="312"/>
      <c r="AZ324" s="312"/>
      <c r="BA324" s="312"/>
      <c r="BB324" s="312"/>
      <c r="BC324" s="312"/>
      <c r="BD324" s="312"/>
      <c r="BE324" s="312"/>
      <c r="BF324" s="312"/>
      <c r="BG324" s="312"/>
      <c r="BH324" s="312"/>
      <c r="BI324" s="312"/>
      <c r="BJ324" s="312"/>
      <c r="BK324" s="312"/>
      <c r="BL324" s="312"/>
      <c r="BM324" s="312"/>
      <c r="BN324" s="312"/>
      <c r="BO324" s="312"/>
      <c r="BP324" s="312"/>
      <c r="BQ324" s="312"/>
      <c r="BR324" s="312"/>
      <c r="BS324" s="312"/>
      <c r="BT324" s="312"/>
      <c r="BU324" s="312"/>
      <c r="BV324" s="312"/>
      <c r="BW324" s="312"/>
      <c r="BX324" s="312"/>
      <c r="BY324" s="312"/>
      <c r="BZ324" s="312"/>
      <c r="CA324" s="312"/>
      <c r="CB324" s="312"/>
      <c r="CC324" s="312"/>
      <c r="CD324" s="312"/>
      <c r="CE324" s="312"/>
      <c r="CF324" s="312"/>
      <c r="CG324" s="312"/>
      <c r="CH324" s="312"/>
      <c r="CI324" s="312"/>
      <c r="CJ324" s="312"/>
      <c r="CK324" s="312"/>
      <c r="CL324" s="312"/>
      <c r="CM324" s="312"/>
      <c r="CN324" s="312"/>
      <c r="CO324" s="312"/>
      <c r="CP324" s="312"/>
      <c r="CQ324" s="312"/>
      <c r="CR324" s="312"/>
      <c r="CS324" s="312"/>
      <c r="CT324" s="312"/>
      <c r="CU324" s="312"/>
      <c r="CV324" s="312"/>
      <c r="CW324" s="312"/>
      <c r="CX324" s="312"/>
      <c r="CY324" s="312"/>
      <c r="CZ324" s="312"/>
      <c r="DA324" s="312"/>
      <c r="DB324" s="312"/>
      <c r="DC324" s="312"/>
      <c r="DD324" s="312"/>
      <c r="DE324" s="312"/>
      <c r="DF324" s="312"/>
      <c r="DG324" s="312"/>
      <c r="DH324" s="312"/>
      <c r="DI324" s="312"/>
      <c r="DJ324" s="312"/>
      <c r="DK324" s="312"/>
      <c r="DL324" s="312"/>
      <c r="DM324" s="312"/>
      <c r="DN324" s="312"/>
      <c r="DO324" s="312"/>
      <c r="DP324" s="312"/>
      <c r="DQ324" s="312"/>
      <c r="DR324" s="312"/>
      <c r="DS324" s="312"/>
      <c r="DT324" s="312"/>
      <c r="DU324" s="312"/>
      <c r="DV324" s="312"/>
      <c r="DW324" s="312"/>
      <c r="DX324" s="312"/>
      <c r="DY324" s="312"/>
      <c r="DZ324" s="312"/>
      <c r="EA324" s="312"/>
      <c r="EB324" s="312"/>
      <c r="EC324" s="312"/>
      <c r="ED324" s="312"/>
      <c r="EE324" s="312"/>
      <c r="EF324" s="312"/>
      <c r="EG324" s="312"/>
      <c r="EH324" s="312"/>
      <c r="EI324" s="312"/>
      <c r="EJ324" s="312"/>
      <c r="EK324" s="312"/>
      <c r="EL324" s="312"/>
      <c r="EM324" s="312"/>
      <c r="EN324" s="312"/>
      <c r="EO324" s="312"/>
      <c r="EP324" s="312"/>
      <c r="EQ324" s="312"/>
      <c r="ER324" s="312"/>
      <c r="ES324" s="312"/>
      <c r="ET324" s="312"/>
      <c r="EU324" s="312"/>
      <c r="EV324" s="312"/>
      <c r="EW324" s="312"/>
      <c r="EX324" s="312"/>
      <c r="EY324" s="312"/>
      <c r="EZ324" s="312"/>
      <c r="FA324" s="312"/>
      <c r="FB324" s="312"/>
      <c r="FC324" s="312"/>
      <c r="FD324" s="312"/>
      <c r="FE324" s="312"/>
      <c r="FF324" s="312"/>
      <c r="FG324" s="312"/>
      <c r="FH324" s="312"/>
      <c r="FI324" s="312"/>
      <c r="FJ324" s="312"/>
      <c r="FK324" s="312"/>
      <c r="FL324" s="312"/>
      <c r="FM324" s="312"/>
      <c r="FN324" s="312"/>
      <c r="FO324" s="312"/>
      <c r="FP324" s="312"/>
      <c r="FQ324" s="312"/>
      <c r="FR324" s="312"/>
      <c r="FS324" s="312"/>
      <c r="FT324" s="312"/>
      <c r="FU324" s="312"/>
      <c r="FV324" s="312"/>
      <c r="FW324" s="312"/>
      <c r="FX324" s="312"/>
      <c r="FY324" s="312"/>
      <c r="FZ324" s="312"/>
      <c r="GA324" s="312"/>
      <c r="GB324" s="312"/>
      <c r="GC324" s="312"/>
      <c r="GD324" s="312"/>
      <c r="GE324" s="312"/>
      <c r="GF324" s="312"/>
      <c r="GG324" s="312"/>
      <c r="GH324" s="312"/>
      <c r="GI324" s="312"/>
      <c r="GJ324" s="312"/>
      <c r="GK324" s="312"/>
      <c r="GL324" s="312"/>
      <c r="GM324" s="312"/>
      <c r="GN324" s="312"/>
      <c r="GO324" s="312"/>
      <c r="GP324" s="312"/>
      <c r="GQ324" s="312"/>
      <c r="GR324" s="312"/>
      <c r="GS324" s="312"/>
      <c r="GT324" s="312"/>
      <c r="GU324" s="312"/>
      <c r="GV324" s="312"/>
      <c r="GW324" s="312"/>
      <c r="GX324" s="312"/>
      <c r="GY324" s="312"/>
    </row>
    <row r="325" spans="2:207" ht="15.75" x14ac:dyDescent="0.25">
      <c r="B325" s="316">
        <f t="shared" si="77"/>
        <v>295</v>
      </c>
      <c r="C325" s="330">
        <f>'סיכום לוועדה'!B325</f>
        <v>1001348213</v>
      </c>
      <c r="D325" s="330">
        <f>'סיכום לוועדה'!C325</f>
        <v>1001273578</v>
      </c>
      <c r="E325" s="330">
        <f>'סיכום לוועדה'!D325</f>
        <v>40000564</v>
      </c>
      <c r="F325" s="330">
        <f>'סיכום לוועדה'!E325</f>
        <v>20000201</v>
      </c>
      <c r="G325" s="330" t="str">
        <f>'סיכום לוועדה'!F325</f>
        <v>תל אביב -יפו</v>
      </c>
      <c r="H325" s="317" t="str">
        <f>'סיכום לוועדה'!G325</f>
        <v>עמותת הכוריאוגרפים (ע"ר)</v>
      </c>
      <c r="I325" s="318">
        <f>'סיכום לוועדה'!U325</f>
        <v>150000</v>
      </c>
      <c r="J325" s="319">
        <f>'סיכום לוועדה'!T325</f>
        <v>9500.0733817066339</v>
      </c>
      <c r="K325" s="320">
        <f t="shared" si="78"/>
        <v>0</v>
      </c>
      <c r="L325" s="319">
        <f t="shared" si="79"/>
        <v>9500.0733817066339</v>
      </c>
      <c r="M325" s="331">
        <f>'תחום תמיכה ב'!AF325</f>
        <v>7.1548340128771353E-5</v>
      </c>
      <c r="N325" s="319">
        <f t="shared" si="76"/>
        <v>10718.864434499967</v>
      </c>
      <c r="O325" s="321">
        <f t="shared" si="80"/>
        <v>0</v>
      </c>
      <c r="P325" s="322">
        <f t="shared" si="81"/>
        <v>10718.864434499967</v>
      </c>
      <c r="Q325" s="322">
        <f t="shared" si="82"/>
        <v>10723.745016569239</v>
      </c>
      <c r="R325" s="321">
        <f t="shared" si="83"/>
        <v>0</v>
      </c>
      <c r="S325" s="322">
        <f t="shared" si="84"/>
        <v>10723.745016569239</v>
      </c>
      <c r="T325" s="322">
        <f t="shared" si="85"/>
        <v>10723.745016569217</v>
      </c>
      <c r="U325" s="321">
        <f t="shared" si="86"/>
        <v>0</v>
      </c>
      <c r="V325" s="322">
        <f t="shared" si="87"/>
        <v>10723.745016569217</v>
      </c>
      <c r="W325" s="322">
        <f t="shared" si="88"/>
        <v>10723.745016569221</v>
      </c>
      <c r="X325" s="321">
        <f t="shared" si="89"/>
        <v>0</v>
      </c>
      <c r="Y325" s="322">
        <f t="shared" si="90"/>
        <v>10723.745016569221</v>
      </c>
      <c r="Z325" s="322">
        <f t="shared" si="91"/>
        <v>10723.745016569217</v>
      </c>
      <c r="AA325" s="323">
        <f t="shared" si="92"/>
        <v>10723.745016569217</v>
      </c>
      <c r="AB325" s="323"/>
      <c r="AC325" s="323"/>
      <c r="AD325" s="323"/>
      <c r="AE325" s="323"/>
      <c r="AF325" s="324">
        <f t="shared" si="93"/>
        <v>6.1412566746819438E-5</v>
      </c>
      <c r="AG325" s="312"/>
      <c r="AH325" s="312"/>
      <c r="AI325" s="325">
        <f t="shared" si="94"/>
        <v>1</v>
      </c>
      <c r="AJ325" s="312"/>
      <c r="AK325" s="312"/>
      <c r="AL325" s="312"/>
      <c r="AM325" s="312"/>
      <c r="AN325" s="312"/>
      <c r="AO325" s="312"/>
      <c r="AP325" s="312"/>
      <c r="AQ325" s="312"/>
      <c r="AR325" s="312"/>
      <c r="AS325" s="312"/>
      <c r="AT325" s="312"/>
      <c r="AU325" s="312"/>
      <c r="AV325" s="312"/>
      <c r="AW325" s="312"/>
      <c r="AX325" s="312"/>
      <c r="AY325" s="312"/>
      <c r="AZ325" s="312"/>
      <c r="BA325" s="312"/>
      <c r="BB325" s="312"/>
      <c r="BC325" s="312"/>
      <c r="BD325" s="312"/>
      <c r="BE325" s="312"/>
      <c r="BF325" s="312"/>
      <c r="BG325" s="312"/>
      <c r="BH325" s="312"/>
      <c r="BI325" s="312"/>
      <c r="BJ325" s="312"/>
      <c r="BK325" s="312"/>
      <c r="BL325" s="312"/>
      <c r="BM325" s="312"/>
      <c r="BN325" s="312"/>
      <c r="BO325" s="312"/>
      <c r="BP325" s="312"/>
      <c r="BQ325" s="312"/>
      <c r="BR325" s="312"/>
      <c r="BS325" s="312"/>
      <c r="BT325" s="312"/>
      <c r="BU325" s="312"/>
      <c r="BV325" s="312"/>
      <c r="BW325" s="312"/>
      <c r="BX325" s="312"/>
      <c r="BY325" s="312"/>
      <c r="BZ325" s="312"/>
      <c r="CA325" s="312"/>
      <c r="CB325" s="312"/>
      <c r="CC325" s="312"/>
      <c r="CD325" s="312"/>
      <c r="CE325" s="312"/>
      <c r="CF325" s="312"/>
      <c r="CG325" s="312"/>
      <c r="CH325" s="312"/>
      <c r="CI325" s="312"/>
      <c r="CJ325" s="312"/>
      <c r="CK325" s="312"/>
      <c r="CL325" s="312"/>
      <c r="CM325" s="312"/>
      <c r="CN325" s="312"/>
      <c r="CO325" s="312"/>
      <c r="CP325" s="312"/>
      <c r="CQ325" s="312"/>
      <c r="CR325" s="312"/>
      <c r="CS325" s="312"/>
      <c r="CT325" s="312"/>
      <c r="CU325" s="312"/>
      <c r="CV325" s="312"/>
      <c r="CW325" s="312"/>
      <c r="CX325" s="312"/>
      <c r="CY325" s="312"/>
      <c r="CZ325" s="312"/>
      <c r="DA325" s="312"/>
      <c r="DB325" s="312"/>
      <c r="DC325" s="312"/>
      <c r="DD325" s="312"/>
      <c r="DE325" s="312"/>
      <c r="DF325" s="312"/>
      <c r="DG325" s="312"/>
      <c r="DH325" s="312"/>
      <c r="DI325" s="312"/>
      <c r="DJ325" s="312"/>
      <c r="DK325" s="312"/>
      <c r="DL325" s="312"/>
      <c r="DM325" s="312"/>
      <c r="DN325" s="312"/>
      <c r="DO325" s="312"/>
      <c r="DP325" s="312"/>
      <c r="DQ325" s="312"/>
      <c r="DR325" s="312"/>
      <c r="DS325" s="312"/>
      <c r="DT325" s="312"/>
      <c r="DU325" s="312"/>
      <c r="DV325" s="312"/>
      <c r="DW325" s="312"/>
      <c r="DX325" s="312"/>
      <c r="DY325" s="312"/>
      <c r="DZ325" s="312"/>
      <c r="EA325" s="312"/>
      <c r="EB325" s="312"/>
      <c r="EC325" s="312"/>
      <c r="ED325" s="312"/>
      <c r="EE325" s="312"/>
      <c r="EF325" s="312"/>
      <c r="EG325" s="312"/>
      <c r="EH325" s="312"/>
      <c r="EI325" s="312"/>
      <c r="EJ325" s="312"/>
      <c r="EK325" s="312"/>
      <c r="EL325" s="312"/>
      <c r="EM325" s="312"/>
      <c r="EN325" s="312"/>
      <c r="EO325" s="312"/>
      <c r="EP325" s="312"/>
      <c r="EQ325" s="312"/>
      <c r="ER325" s="312"/>
      <c r="ES325" s="312"/>
      <c r="ET325" s="312"/>
      <c r="EU325" s="312"/>
      <c r="EV325" s="312"/>
      <c r="EW325" s="312"/>
      <c r="EX325" s="312"/>
      <c r="EY325" s="312"/>
      <c r="EZ325" s="312"/>
      <c r="FA325" s="312"/>
      <c r="FB325" s="312"/>
      <c r="FC325" s="312"/>
      <c r="FD325" s="312"/>
      <c r="FE325" s="312"/>
      <c r="FF325" s="312"/>
      <c r="FG325" s="312"/>
      <c r="FH325" s="312"/>
      <c r="FI325" s="312"/>
      <c r="FJ325" s="312"/>
      <c r="FK325" s="312"/>
      <c r="FL325" s="312"/>
      <c r="FM325" s="312"/>
      <c r="FN325" s="312"/>
      <c r="FO325" s="312"/>
      <c r="FP325" s="312"/>
      <c r="FQ325" s="312"/>
      <c r="FR325" s="312"/>
      <c r="FS325" s="312"/>
      <c r="FT325" s="312"/>
      <c r="FU325" s="312"/>
      <c r="FV325" s="312"/>
      <c r="FW325" s="312"/>
      <c r="FX325" s="312"/>
      <c r="FY325" s="312"/>
      <c r="FZ325" s="312"/>
      <c r="GA325" s="312"/>
      <c r="GB325" s="312"/>
      <c r="GC325" s="312"/>
      <c r="GD325" s="312"/>
      <c r="GE325" s="312"/>
      <c r="GF325" s="312"/>
      <c r="GG325" s="312"/>
      <c r="GH325" s="312"/>
      <c r="GI325" s="312"/>
      <c r="GJ325" s="312"/>
      <c r="GK325" s="312"/>
      <c r="GL325" s="312"/>
      <c r="GM325" s="312"/>
      <c r="GN325" s="312"/>
      <c r="GO325" s="312"/>
      <c r="GP325" s="312"/>
      <c r="GQ325" s="312"/>
      <c r="GR325" s="312"/>
      <c r="GS325" s="312"/>
      <c r="GT325" s="312"/>
      <c r="GU325" s="312"/>
      <c r="GV325" s="312"/>
      <c r="GW325" s="312"/>
      <c r="GX325" s="312"/>
      <c r="GY325" s="312"/>
    </row>
    <row r="326" spans="2:207" ht="15.75" x14ac:dyDescent="0.25">
      <c r="B326" s="316">
        <f t="shared" si="77"/>
        <v>296</v>
      </c>
      <c r="C326" s="330">
        <f>'סיכום לוועדה'!B326</f>
        <v>1001348214</v>
      </c>
      <c r="D326" s="330">
        <f>'סיכום לוועדה'!C326</f>
        <v>1001273579</v>
      </c>
      <c r="E326" s="330">
        <f>'סיכום לוועדה'!D326</f>
        <v>40000564</v>
      </c>
      <c r="F326" s="330">
        <f>'סיכום לוועדה'!E326</f>
        <v>20000201</v>
      </c>
      <c r="G326" s="330" t="str">
        <f>'סיכום לוועדה'!F326</f>
        <v>תל אביב -יפו</v>
      </c>
      <c r="H326" s="317" t="str">
        <f>'סיכום לוועדה'!G326</f>
        <v>עמותת הכוריאוגרפים (ע"ר)</v>
      </c>
      <c r="I326" s="318">
        <f>'סיכום לוועדה'!U326</f>
        <v>150000</v>
      </c>
      <c r="J326" s="319">
        <f>'סיכום לוועדה'!T326</f>
        <v>5063.4248220549416</v>
      </c>
      <c r="K326" s="320">
        <f t="shared" si="78"/>
        <v>0</v>
      </c>
      <c r="L326" s="319">
        <f t="shared" si="79"/>
        <v>5063.4248220549416</v>
      </c>
      <c r="M326" s="331">
        <f>'תחום תמיכה ב'!AF326</f>
        <v>2.6759448921984116E-5</v>
      </c>
      <c r="N326" s="319">
        <f t="shared" si="76"/>
        <v>5519.2589736941836</v>
      </c>
      <c r="O326" s="321">
        <f t="shared" si="80"/>
        <v>0</v>
      </c>
      <c r="P326" s="322">
        <f t="shared" si="81"/>
        <v>5519.2589736941836</v>
      </c>
      <c r="Q326" s="322">
        <f t="shared" si="82"/>
        <v>5521.7720380721585</v>
      </c>
      <c r="R326" s="321">
        <f t="shared" si="83"/>
        <v>0</v>
      </c>
      <c r="S326" s="322">
        <f t="shared" si="84"/>
        <v>5521.7720380721585</v>
      </c>
      <c r="T326" s="322">
        <f t="shared" si="85"/>
        <v>5521.7720380721476</v>
      </c>
      <c r="U326" s="321">
        <f t="shared" si="86"/>
        <v>0</v>
      </c>
      <c r="V326" s="322">
        <f t="shared" si="87"/>
        <v>5521.7720380721476</v>
      </c>
      <c r="W326" s="322">
        <f t="shared" si="88"/>
        <v>5521.7720380721494</v>
      </c>
      <c r="X326" s="321">
        <f t="shared" si="89"/>
        <v>0</v>
      </c>
      <c r="Y326" s="322">
        <f t="shared" si="90"/>
        <v>5521.7720380721494</v>
      </c>
      <c r="Z326" s="322">
        <f t="shared" si="91"/>
        <v>5521.7720380721485</v>
      </c>
      <c r="AA326" s="323">
        <f t="shared" si="92"/>
        <v>5521.7720380721485</v>
      </c>
      <c r="AB326" s="323"/>
      <c r="AC326" s="323"/>
      <c r="AD326" s="323"/>
      <c r="AE326" s="323"/>
      <c r="AF326" s="324">
        <f t="shared" si="93"/>
        <v>3.1621993373105691E-5</v>
      </c>
      <c r="AG326" s="312"/>
      <c r="AH326" s="312"/>
      <c r="AI326" s="325">
        <f t="shared" si="94"/>
        <v>1</v>
      </c>
      <c r="AJ326" s="312"/>
      <c r="AK326" s="312"/>
      <c r="AL326" s="312"/>
      <c r="AM326" s="312"/>
      <c r="AN326" s="312"/>
      <c r="AO326" s="312"/>
      <c r="AP326" s="312"/>
      <c r="AQ326" s="312"/>
      <c r="AR326" s="312"/>
      <c r="AS326" s="312"/>
      <c r="AT326" s="312"/>
      <c r="AU326" s="312"/>
      <c r="AV326" s="312"/>
      <c r="AW326" s="312"/>
      <c r="AX326" s="312"/>
      <c r="AY326" s="312"/>
      <c r="AZ326" s="312"/>
      <c r="BA326" s="312"/>
      <c r="BB326" s="312"/>
      <c r="BC326" s="312"/>
      <c r="BD326" s="312"/>
      <c r="BE326" s="312"/>
      <c r="BF326" s="312"/>
      <c r="BG326" s="312"/>
      <c r="BH326" s="312"/>
      <c r="BI326" s="312"/>
      <c r="BJ326" s="312"/>
      <c r="BK326" s="312"/>
      <c r="BL326" s="312"/>
      <c r="BM326" s="312"/>
      <c r="BN326" s="312"/>
      <c r="BO326" s="312"/>
      <c r="BP326" s="312"/>
      <c r="BQ326" s="312"/>
      <c r="BR326" s="312"/>
      <c r="BS326" s="312"/>
      <c r="BT326" s="312"/>
      <c r="BU326" s="312"/>
      <c r="BV326" s="312"/>
      <c r="BW326" s="312"/>
      <c r="BX326" s="312"/>
      <c r="BY326" s="312"/>
      <c r="BZ326" s="312"/>
      <c r="CA326" s="312"/>
      <c r="CB326" s="312"/>
      <c r="CC326" s="312"/>
      <c r="CD326" s="312"/>
      <c r="CE326" s="312"/>
      <c r="CF326" s="312"/>
      <c r="CG326" s="312"/>
      <c r="CH326" s="312"/>
      <c r="CI326" s="312"/>
      <c r="CJ326" s="312"/>
      <c r="CK326" s="312"/>
      <c r="CL326" s="312"/>
      <c r="CM326" s="312"/>
      <c r="CN326" s="312"/>
      <c r="CO326" s="312"/>
      <c r="CP326" s="312"/>
      <c r="CQ326" s="312"/>
      <c r="CR326" s="312"/>
      <c r="CS326" s="312"/>
      <c r="CT326" s="312"/>
      <c r="CU326" s="312"/>
      <c r="CV326" s="312"/>
      <c r="CW326" s="312"/>
      <c r="CX326" s="312"/>
      <c r="CY326" s="312"/>
      <c r="CZ326" s="312"/>
      <c r="DA326" s="312"/>
      <c r="DB326" s="312"/>
      <c r="DC326" s="312"/>
      <c r="DD326" s="312"/>
      <c r="DE326" s="312"/>
      <c r="DF326" s="312"/>
      <c r="DG326" s="312"/>
      <c r="DH326" s="312"/>
      <c r="DI326" s="312"/>
      <c r="DJ326" s="312"/>
      <c r="DK326" s="312"/>
      <c r="DL326" s="312"/>
      <c r="DM326" s="312"/>
      <c r="DN326" s="312"/>
      <c r="DO326" s="312"/>
      <c r="DP326" s="312"/>
      <c r="DQ326" s="312"/>
      <c r="DR326" s="312"/>
      <c r="DS326" s="312"/>
      <c r="DT326" s="312"/>
      <c r="DU326" s="312"/>
      <c r="DV326" s="312"/>
      <c r="DW326" s="312"/>
      <c r="DX326" s="312"/>
      <c r="DY326" s="312"/>
      <c r="DZ326" s="312"/>
      <c r="EA326" s="312"/>
      <c r="EB326" s="312"/>
      <c r="EC326" s="312"/>
      <c r="ED326" s="312"/>
      <c r="EE326" s="312"/>
      <c r="EF326" s="312"/>
      <c r="EG326" s="312"/>
      <c r="EH326" s="312"/>
      <c r="EI326" s="312"/>
      <c r="EJ326" s="312"/>
      <c r="EK326" s="312"/>
      <c r="EL326" s="312"/>
      <c r="EM326" s="312"/>
      <c r="EN326" s="312"/>
      <c r="EO326" s="312"/>
      <c r="EP326" s="312"/>
      <c r="EQ326" s="312"/>
      <c r="ER326" s="312"/>
      <c r="ES326" s="312"/>
      <c r="ET326" s="312"/>
      <c r="EU326" s="312"/>
      <c r="EV326" s="312"/>
      <c r="EW326" s="312"/>
      <c r="EX326" s="312"/>
      <c r="EY326" s="312"/>
      <c r="EZ326" s="312"/>
      <c r="FA326" s="312"/>
      <c r="FB326" s="312"/>
      <c r="FC326" s="312"/>
      <c r="FD326" s="312"/>
      <c r="FE326" s="312"/>
      <c r="FF326" s="312"/>
      <c r="FG326" s="312"/>
      <c r="FH326" s="312"/>
      <c r="FI326" s="312"/>
      <c r="FJ326" s="312"/>
      <c r="FK326" s="312"/>
      <c r="FL326" s="312"/>
      <c r="FM326" s="312"/>
      <c r="FN326" s="312"/>
      <c r="FO326" s="312"/>
      <c r="FP326" s="312"/>
      <c r="FQ326" s="312"/>
      <c r="FR326" s="312"/>
      <c r="FS326" s="312"/>
      <c r="FT326" s="312"/>
      <c r="FU326" s="312"/>
      <c r="FV326" s="312"/>
      <c r="FW326" s="312"/>
      <c r="FX326" s="312"/>
      <c r="FY326" s="312"/>
      <c r="FZ326" s="312"/>
      <c r="GA326" s="312"/>
      <c r="GB326" s="312"/>
      <c r="GC326" s="312"/>
      <c r="GD326" s="312"/>
      <c r="GE326" s="312"/>
      <c r="GF326" s="312"/>
      <c r="GG326" s="312"/>
      <c r="GH326" s="312"/>
      <c r="GI326" s="312"/>
      <c r="GJ326" s="312"/>
      <c r="GK326" s="312"/>
      <c r="GL326" s="312"/>
      <c r="GM326" s="312"/>
      <c r="GN326" s="312"/>
      <c r="GO326" s="312"/>
      <c r="GP326" s="312"/>
      <c r="GQ326" s="312"/>
      <c r="GR326" s="312"/>
      <c r="GS326" s="312"/>
      <c r="GT326" s="312"/>
      <c r="GU326" s="312"/>
      <c r="GV326" s="312"/>
      <c r="GW326" s="312"/>
      <c r="GX326" s="312"/>
      <c r="GY326" s="312"/>
    </row>
    <row r="327" spans="2:207" ht="15.75" x14ac:dyDescent="0.25">
      <c r="B327" s="316">
        <f t="shared" si="77"/>
        <v>297</v>
      </c>
      <c r="C327" s="330">
        <f>'סיכום לוועדה'!B327</f>
        <v>1001348215</v>
      </c>
      <c r="D327" s="330">
        <f>'סיכום לוועדה'!C327</f>
        <v>1001275690</v>
      </c>
      <c r="E327" s="330">
        <f>'סיכום לוועדה'!D327</f>
        <v>40000564</v>
      </c>
      <c r="F327" s="330">
        <f>'סיכום לוועדה'!E327</f>
        <v>20000201</v>
      </c>
      <c r="G327" s="330" t="str">
        <f>'סיכום לוועדה'!F327</f>
        <v>תל אביב -יפו</v>
      </c>
      <c r="H327" s="317" t="str">
        <f>'סיכום לוועדה'!G327</f>
        <v>עמותת הכוריאוגרפים (ע"ר)</v>
      </c>
      <c r="I327" s="318">
        <f>'סיכום לוועדה'!U327</f>
        <v>150000</v>
      </c>
      <c r="J327" s="319">
        <f>'סיכום לוועדה'!T327</f>
        <v>10007.566562053726</v>
      </c>
      <c r="K327" s="320">
        <f t="shared" si="78"/>
        <v>0</v>
      </c>
      <c r="L327" s="319">
        <f t="shared" si="79"/>
        <v>10007.566562053726</v>
      </c>
      <c r="M327" s="331">
        <f>'תחום תמיכה ב'!AF327</f>
        <v>8.5186030762813189E-5</v>
      </c>
      <c r="N327" s="319">
        <f t="shared" si="76"/>
        <v>11458.669018516501</v>
      </c>
      <c r="O327" s="321">
        <f t="shared" si="80"/>
        <v>0</v>
      </c>
      <c r="P327" s="322">
        <f t="shared" si="81"/>
        <v>11458.669018516501</v>
      </c>
      <c r="Q327" s="322">
        <f t="shared" si="82"/>
        <v>11463.886453151599</v>
      </c>
      <c r="R327" s="321">
        <f t="shared" si="83"/>
        <v>0</v>
      </c>
      <c r="S327" s="322">
        <f t="shared" si="84"/>
        <v>11463.886453151599</v>
      </c>
      <c r="T327" s="322">
        <f t="shared" si="85"/>
        <v>11463.886453151576</v>
      </c>
      <c r="U327" s="321">
        <f t="shared" si="86"/>
        <v>0</v>
      </c>
      <c r="V327" s="322">
        <f t="shared" si="87"/>
        <v>11463.886453151576</v>
      </c>
      <c r="W327" s="322">
        <f t="shared" si="88"/>
        <v>11463.886453151581</v>
      </c>
      <c r="X327" s="321">
        <f t="shared" si="89"/>
        <v>0</v>
      </c>
      <c r="Y327" s="322">
        <f t="shared" si="90"/>
        <v>11463.886453151581</v>
      </c>
      <c r="Z327" s="322">
        <f t="shared" si="91"/>
        <v>11463.886453151577</v>
      </c>
      <c r="AA327" s="323">
        <f t="shared" si="92"/>
        <v>11463.886453151577</v>
      </c>
      <c r="AB327" s="323"/>
      <c r="AC327" s="323"/>
      <c r="AD327" s="323"/>
      <c r="AE327" s="323"/>
      <c r="AF327" s="324">
        <f t="shared" si="93"/>
        <v>6.5651196563732304E-5</v>
      </c>
      <c r="AG327" s="312"/>
      <c r="AH327" s="312"/>
      <c r="AI327" s="325">
        <f t="shared" si="94"/>
        <v>1</v>
      </c>
      <c r="AJ327" s="312"/>
      <c r="AK327" s="312"/>
      <c r="AL327" s="312"/>
      <c r="AM327" s="312"/>
      <c r="AN327" s="312"/>
      <c r="AO327" s="312"/>
      <c r="AP327" s="312"/>
      <c r="AQ327" s="312"/>
      <c r="AR327" s="312"/>
      <c r="AS327" s="312"/>
      <c r="AT327" s="312"/>
      <c r="AU327" s="312"/>
      <c r="AV327" s="312"/>
      <c r="AW327" s="312"/>
      <c r="AX327" s="312"/>
      <c r="AY327" s="312"/>
      <c r="AZ327" s="312"/>
      <c r="BA327" s="312"/>
      <c r="BB327" s="312"/>
      <c r="BC327" s="312"/>
      <c r="BD327" s="312"/>
      <c r="BE327" s="312"/>
      <c r="BF327" s="312"/>
      <c r="BG327" s="312"/>
      <c r="BH327" s="312"/>
      <c r="BI327" s="312"/>
      <c r="BJ327" s="312"/>
      <c r="BK327" s="312"/>
      <c r="BL327" s="312"/>
      <c r="BM327" s="312"/>
      <c r="BN327" s="312"/>
      <c r="BO327" s="312"/>
      <c r="BP327" s="312"/>
      <c r="BQ327" s="312"/>
      <c r="BR327" s="312"/>
      <c r="BS327" s="312"/>
      <c r="BT327" s="312"/>
      <c r="BU327" s="312"/>
      <c r="BV327" s="312"/>
      <c r="BW327" s="312"/>
      <c r="BX327" s="312"/>
      <c r="BY327" s="312"/>
      <c r="BZ327" s="312"/>
      <c r="CA327" s="312"/>
      <c r="CB327" s="312"/>
      <c r="CC327" s="312"/>
      <c r="CD327" s="312"/>
      <c r="CE327" s="312"/>
      <c r="CF327" s="312"/>
      <c r="CG327" s="312"/>
      <c r="CH327" s="312"/>
      <c r="CI327" s="312"/>
      <c r="CJ327" s="312"/>
      <c r="CK327" s="312"/>
      <c r="CL327" s="312"/>
      <c r="CM327" s="312"/>
      <c r="CN327" s="312"/>
      <c r="CO327" s="312"/>
      <c r="CP327" s="312"/>
      <c r="CQ327" s="312"/>
      <c r="CR327" s="312"/>
      <c r="CS327" s="312"/>
      <c r="CT327" s="312"/>
      <c r="CU327" s="312"/>
      <c r="CV327" s="312"/>
      <c r="CW327" s="312"/>
      <c r="CX327" s="312"/>
      <c r="CY327" s="312"/>
      <c r="CZ327" s="312"/>
      <c r="DA327" s="312"/>
      <c r="DB327" s="312"/>
      <c r="DC327" s="312"/>
      <c r="DD327" s="312"/>
      <c r="DE327" s="312"/>
      <c r="DF327" s="312"/>
      <c r="DG327" s="312"/>
      <c r="DH327" s="312"/>
      <c r="DI327" s="312"/>
      <c r="DJ327" s="312"/>
      <c r="DK327" s="312"/>
      <c r="DL327" s="312"/>
      <c r="DM327" s="312"/>
      <c r="DN327" s="312"/>
      <c r="DO327" s="312"/>
      <c r="DP327" s="312"/>
      <c r="DQ327" s="312"/>
      <c r="DR327" s="312"/>
      <c r="DS327" s="312"/>
      <c r="DT327" s="312"/>
      <c r="DU327" s="312"/>
      <c r="DV327" s="312"/>
      <c r="DW327" s="312"/>
      <c r="DX327" s="312"/>
      <c r="DY327" s="312"/>
      <c r="DZ327" s="312"/>
      <c r="EA327" s="312"/>
      <c r="EB327" s="312"/>
      <c r="EC327" s="312"/>
      <c r="ED327" s="312"/>
      <c r="EE327" s="312"/>
      <c r="EF327" s="312"/>
      <c r="EG327" s="312"/>
      <c r="EH327" s="312"/>
      <c r="EI327" s="312"/>
      <c r="EJ327" s="312"/>
      <c r="EK327" s="312"/>
      <c r="EL327" s="312"/>
      <c r="EM327" s="312"/>
      <c r="EN327" s="312"/>
      <c r="EO327" s="312"/>
      <c r="EP327" s="312"/>
      <c r="EQ327" s="312"/>
      <c r="ER327" s="312"/>
      <c r="ES327" s="312"/>
      <c r="ET327" s="312"/>
      <c r="EU327" s="312"/>
      <c r="EV327" s="312"/>
      <c r="EW327" s="312"/>
      <c r="EX327" s="312"/>
      <c r="EY327" s="312"/>
      <c r="EZ327" s="312"/>
      <c r="FA327" s="312"/>
      <c r="FB327" s="312"/>
      <c r="FC327" s="312"/>
      <c r="FD327" s="312"/>
      <c r="FE327" s="312"/>
      <c r="FF327" s="312"/>
      <c r="FG327" s="312"/>
      <c r="FH327" s="312"/>
      <c r="FI327" s="312"/>
      <c r="FJ327" s="312"/>
      <c r="FK327" s="312"/>
      <c r="FL327" s="312"/>
      <c r="FM327" s="312"/>
      <c r="FN327" s="312"/>
      <c r="FO327" s="312"/>
      <c r="FP327" s="312"/>
      <c r="FQ327" s="312"/>
      <c r="FR327" s="312"/>
      <c r="FS327" s="312"/>
      <c r="FT327" s="312"/>
      <c r="FU327" s="312"/>
      <c r="FV327" s="312"/>
      <c r="FW327" s="312"/>
      <c r="FX327" s="312"/>
      <c r="FY327" s="312"/>
      <c r="FZ327" s="312"/>
      <c r="GA327" s="312"/>
      <c r="GB327" s="312"/>
      <c r="GC327" s="312"/>
      <c r="GD327" s="312"/>
      <c r="GE327" s="312"/>
      <c r="GF327" s="312"/>
      <c r="GG327" s="312"/>
      <c r="GH327" s="312"/>
      <c r="GI327" s="312"/>
      <c r="GJ327" s="312"/>
      <c r="GK327" s="312"/>
      <c r="GL327" s="312"/>
      <c r="GM327" s="312"/>
      <c r="GN327" s="312"/>
      <c r="GO327" s="312"/>
      <c r="GP327" s="312"/>
      <c r="GQ327" s="312"/>
      <c r="GR327" s="312"/>
      <c r="GS327" s="312"/>
      <c r="GT327" s="312"/>
      <c r="GU327" s="312"/>
      <c r="GV327" s="312"/>
      <c r="GW327" s="312"/>
      <c r="GX327" s="312"/>
      <c r="GY327" s="312"/>
    </row>
    <row r="328" spans="2:207" ht="15.75" x14ac:dyDescent="0.25">
      <c r="B328" s="316">
        <f t="shared" si="77"/>
        <v>298</v>
      </c>
      <c r="C328" s="330">
        <f>'סיכום לוועדה'!B328</f>
        <v>1001348216</v>
      </c>
      <c r="D328" s="330">
        <f>'סיכום לוועדה'!C328</f>
        <v>1001273592</v>
      </c>
      <c r="E328" s="330">
        <f>'סיכום לוועדה'!D328</f>
        <v>40000564</v>
      </c>
      <c r="F328" s="330">
        <f>'סיכום לוועדה'!E328</f>
        <v>20000201</v>
      </c>
      <c r="G328" s="330" t="str">
        <f>'סיכום לוועדה'!F328</f>
        <v>תל אביב -יפו</v>
      </c>
      <c r="H328" s="317" t="str">
        <f>'סיכום לוועדה'!G328</f>
        <v>עמותת הכוריאוגרפים (ע"ר)</v>
      </c>
      <c r="I328" s="318">
        <f>'סיכום לוועדה'!U328</f>
        <v>150000</v>
      </c>
      <c r="J328" s="319">
        <f>'סיכום לוועדה'!T328</f>
        <v>6186.9087252252193</v>
      </c>
      <c r="K328" s="320">
        <f t="shared" si="78"/>
        <v>0</v>
      </c>
      <c r="L328" s="319">
        <f t="shared" si="79"/>
        <v>6186.9087252252193</v>
      </c>
      <c r="M328" s="331">
        <f>'תחום תמיכה ב'!AF328</f>
        <v>3.0764900941428624E-5</v>
      </c>
      <c r="N328" s="319">
        <f t="shared" si="76"/>
        <v>6710.9737970354363</v>
      </c>
      <c r="O328" s="321">
        <f t="shared" si="80"/>
        <v>0</v>
      </c>
      <c r="P328" s="322">
        <f t="shared" si="81"/>
        <v>6710.9737970354363</v>
      </c>
      <c r="Q328" s="322">
        <f t="shared" si="82"/>
        <v>6714.029480646449</v>
      </c>
      <c r="R328" s="321">
        <f t="shared" si="83"/>
        <v>0</v>
      </c>
      <c r="S328" s="322">
        <f t="shared" si="84"/>
        <v>6714.029480646449</v>
      </c>
      <c r="T328" s="322">
        <f t="shared" si="85"/>
        <v>6714.0294806464362</v>
      </c>
      <c r="U328" s="321">
        <f t="shared" si="86"/>
        <v>0</v>
      </c>
      <c r="V328" s="322">
        <f t="shared" si="87"/>
        <v>6714.0294806464362</v>
      </c>
      <c r="W328" s="322">
        <f t="shared" si="88"/>
        <v>6714.029480646439</v>
      </c>
      <c r="X328" s="321">
        <f t="shared" si="89"/>
        <v>0</v>
      </c>
      <c r="Y328" s="322">
        <f t="shared" si="90"/>
        <v>6714.029480646439</v>
      </c>
      <c r="Z328" s="322">
        <f t="shared" si="91"/>
        <v>6714.0294806464381</v>
      </c>
      <c r="AA328" s="323">
        <f t="shared" si="92"/>
        <v>6714.0294806464381</v>
      </c>
      <c r="AB328" s="323"/>
      <c r="AC328" s="323"/>
      <c r="AD328" s="323"/>
      <c r="AE328" s="323"/>
      <c r="AF328" s="324">
        <f t="shared" si="93"/>
        <v>3.8449793703900066E-5</v>
      </c>
      <c r="AG328" s="312"/>
      <c r="AH328" s="312"/>
      <c r="AI328" s="325">
        <f t="shared" si="94"/>
        <v>1</v>
      </c>
      <c r="AJ328" s="312"/>
      <c r="AK328" s="312"/>
      <c r="AL328" s="312"/>
      <c r="AM328" s="312"/>
      <c r="AN328" s="312"/>
      <c r="AO328" s="312"/>
      <c r="AP328" s="312"/>
      <c r="AQ328" s="312"/>
      <c r="AR328" s="312"/>
      <c r="AS328" s="312"/>
      <c r="AT328" s="312"/>
      <c r="AU328" s="312"/>
      <c r="AV328" s="312"/>
      <c r="AW328" s="312"/>
      <c r="AX328" s="312"/>
      <c r="AY328" s="312"/>
      <c r="AZ328" s="312"/>
      <c r="BA328" s="312"/>
      <c r="BB328" s="312"/>
      <c r="BC328" s="312"/>
      <c r="BD328" s="312"/>
      <c r="BE328" s="312"/>
      <c r="BF328" s="312"/>
      <c r="BG328" s="312"/>
      <c r="BH328" s="312"/>
      <c r="BI328" s="312"/>
      <c r="BJ328" s="312"/>
      <c r="BK328" s="312"/>
      <c r="BL328" s="312"/>
      <c r="BM328" s="312"/>
      <c r="BN328" s="312"/>
      <c r="BO328" s="312"/>
      <c r="BP328" s="312"/>
      <c r="BQ328" s="312"/>
      <c r="BR328" s="312"/>
      <c r="BS328" s="312"/>
      <c r="BT328" s="312"/>
      <c r="BU328" s="312"/>
      <c r="BV328" s="312"/>
      <c r="BW328" s="312"/>
      <c r="BX328" s="312"/>
      <c r="BY328" s="312"/>
      <c r="BZ328" s="312"/>
      <c r="CA328" s="312"/>
      <c r="CB328" s="312"/>
      <c r="CC328" s="312"/>
      <c r="CD328" s="312"/>
      <c r="CE328" s="312"/>
      <c r="CF328" s="312"/>
      <c r="CG328" s="312"/>
      <c r="CH328" s="312"/>
      <c r="CI328" s="312"/>
      <c r="CJ328" s="312"/>
      <c r="CK328" s="312"/>
      <c r="CL328" s="312"/>
      <c r="CM328" s="312"/>
      <c r="CN328" s="312"/>
      <c r="CO328" s="312"/>
      <c r="CP328" s="312"/>
      <c r="CQ328" s="312"/>
      <c r="CR328" s="312"/>
      <c r="CS328" s="312"/>
      <c r="CT328" s="312"/>
      <c r="CU328" s="312"/>
      <c r="CV328" s="312"/>
      <c r="CW328" s="312"/>
      <c r="CX328" s="312"/>
      <c r="CY328" s="312"/>
      <c r="CZ328" s="312"/>
      <c r="DA328" s="312"/>
      <c r="DB328" s="312"/>
      <c r="DC328" s="312"/>
      <c r="DD328" s="312"/>
      <c r="DE328" s="312"/>
      <c r="DF328" s="312"/>
      <c r="DG328" s="312"/>
      <c r="DH328" s="312"/>
      <c r="DI328" s="312"/>
      <c r="DJ328" s="312"/>
      <c r="DK328" s="312"/>
      <c r="DL328" s="312"/>
      <c r="DM328" s="312"/>
      <c r="DN328" s="312"/>
      <c r="DO328" s="312"/>
      <c r="DP328" s="312"/>
      <c r="DQ328" s="312"/>
      <c r="DR328" s="312"/>
      <c r="DS328" s="312"/>
      <c r="DT328" s="312"/>
      <c r="DU328" s="312"/>
      <c r="DV328" s="312"/>
      <c r="DW328" s="312"/>
      <c r="DX328" s="312"/>
      <c r="DY328" s="312"/>
      <c r="DZ328" s="312"/>
      <c r="EA328" s="312"/>
      <c r="EB328" s="312"/>
      <c r="EC328" s="312"/>
      <c r="ED328" s="312"/>
      <c r="EE328" s="312"/>
      <c r="EF328" s="312"/>
      <c r="EG328" s="312"/>
      <c r="EH328" s="312"/>
      <c r="EI328" s="312"/>
      <c r="EJ328" s="312"/>
      <c r="EK328" s="312"/>
      <c r="EL328" s="312"/>
      <c r="EM328" s="312"/>
      <c r="EN328" s="312"/>
      <c r="EO328" s="312"/>
      <c r="EP328" s="312"/>
      <c r="EQ328" s="312"/>
      <c r="ER328" s="312"/>
      <c r="ES328" s="312"/>
      <c r="ET328" s="312"/>
      <c r="EU328" s="312"/>
      <c r="EV328" s="312"/>
      <c r="EW328" s="312"/>
      <c r="EX328" s="312"/>
      <c r="EY328" s="312"/>
      <c r="EZ328" s="312"/>
      <c r="FA328" s="312"/>
      <c r="FB328" s="312"/>
      <c r="FC328" s="312"/>
      <c r="FD328" s="312"/>
      <c r="FE328" s="312"/>
      <c r="FF328" s="312"/>
      <c r="FG328" s="312"/>
      <c r="FH328" s="312"/>
      <c r="FI328" s="312"/>
      <c r="FJ328" s="312"/>
      <c r="FK328" s="312"/>
      <c r="FL328" s="312"/>
      <c r="FM328" s="312"/>
      <c r="FN328" s="312"/>
      <c r="FO328" s="312"/>
      <c r="FP328" s="312"/>
      <c r="FQ328" s="312"/>
      <c r="FR328" s="312"/>
      <c r="FS328" s="312"/>
      <c r="FT328" s="312"/>
      <c r="FU328" s="312"/>
      <c r="FV328" s="312"/>
      <c r="FW328" s="312"/>
      <c r="FX328" s="312"/>
      <c r="FY328" s="312"/>
      <c r="FZ328" s="312"/>
      <c r="GA328" s="312"/>
      <c r="GB328" s="312"/>
      <c r="GC328" s="312"/>
      <c r="GD328" s="312"/>
      <c r="GE328" s="312"/>
      <c r="GF328" s="312"/>
      <c r="GG328" s="312"/>
      <c r="GH328" s="312"/>
      <c r="GI328" s="312"/>
      <c r="GJ328" s="312"/>
      <c r="GK328" s="312"/>
      <c r="GL328" s="312"/>
      <c r="GM328" s="312"/>
      <c r="GN328" s="312"/>
      <c r="GO328" s="312"/>
      <c r="GP328" s="312"/>
      <c r="GQ328" s="312"/>
      <c r="GR328" s="312"/>
      <c r="GS328" s="312"/>
      <c r="GT328" s="312"/>
      <c r="GU328" s="312"/>
      <c r="GV328" s="312"/>
      <c r="GW328" s="312"/>
      <c r="GX328" s="312"/>
      <c r="GY328" s="312"/>
    </row>
    <row r="329" spans="2:207" ht="15.75" x14ac:dyDescent="0.25">
      <c r="B329" s="316">
        <f t="shared" si="77"/>
        <v>299</v>
      </c>
      <c r="C329" s="330">
        <f>'סיכום לוועדה'!B329</f>
        <v>1001348217</v>
      </c>
      <c r="D329" s="330">
        <f>'סיכום לוועדה'!C329</f>
        <v>1001272602</v>
      </c>
      <c r="E329" s="330">
        <f>'סיכום לוועדה'!D329</f>
        <v>40000564</v>
      </c>
      <c r="F329" s="330">
        <f>'סיכום לוועדה'!E329</f>
        <v>20000201</v>
      </c>
      <c r="G329" s="330" t="str">
        <f>'סיכום לוועדה'!F329</f>
        <v>תל אביב -יפו</v>
      </c>
      <c r="H329" s="317" t="str">
        <f>'סיכום לוועדה'!G329</f>
        <v>עמותת הכוריאוגרפים (ע"ר)</v>
      </c>
      <c r="I329" s="318">
        <f>'סיכום לוועדה'!U329</f>
        <v>150000</v>
      </c>
      <c r="J329" s="319">
        <f>'סיכום לוועדה'!T329</f>
        <v>45458.829646283106</v>
      </c>
      <c r="K329" s="320">
        <f t="shared" si="78"/>
        <v>0</v>
      </c>
      <c r="L329" s="319">
        <f t="shared" si="79"/>
        <v>45458.829646283106</v>
      </c>
      <c r="M329" s="331">
        <f>'תחום תמיכה ב'!AF329</f>
        <v>3.1015623694250377E-4</v>
      </c>
      <c r="N329" s="319">
        <f t="shared" si="76"/>
        <v>50742.189761601323</v>
      </c>
      <c r="O329" s="321">
        <f t="shared" si="80"/>
        <v>0</v>
      </c>
      <c r="P329" s="322">
        <f t="shared" si="81"/>
        <v>50742.189761601323</v>
      </c>
      <c r="Q329" s="322">
        <f t="shared" si="82"/>
        <v>50765.29402073432</v>
      </c>
      <c r="R329" s="321">
        <f t="shared" si="83"/>
        <v>0</v>
      </c>
      <c r="S329" s="322">
        <f t="shared" si="84"/>
        <v>50765.29402073432</v>
      </c>
      <c r="T329" s="322">
        <f t="shared" si="85"/>
        <v>50765.294020734218</v>
      </c>
      <c r="U329" s="321">
        <f t="shared" si="86"/>
        <v>0</v>
      </c>
      <c r="V329" s="322">
        <f t="shared" si="87"/>
        <v>50765.294020734218</v>
      </c>
      <c r="W329" s="322">
        <f t="shared" si="88"/>
        <v>50765.29402073424</v>
      </c>
      <c r="X329" s="321">
        <f t="shared" si="89"/>
        <v>0</v>
      </c>
      <c r="Y329" s="322">
        <f t="shared" si="90"/>
        <v>50765.29402073424</v>
      </c>
      <c r="Z329" s="322">
        <f t="shared" si="91"/>
        <v>50765.294020734225</v>
      </c>
      <c r="AA329" s="323">
        <f t="shared" si="92"/>
        <v>50765.294020734225</v>
      </c>
      <c r="AB329" s="323"/>
      <c r="AC329" s="323"/>
      <c r="AD329" s="323"/>
      <c r="AE329" s="323"/>
      <c r="AF329" s="324">
        <f t="shared" si="93"/>
        <v>2.9072185161557095E-4</v>
      </c>
      <c r="AG329" s="312"/>
      <c r="AH329" s="312"/>
      <c r="AI329" s="325">
        <f t="shared" si="94"/>
        <v>1</v>
      </c>
      <c r="AJ329" s="312"/>
      <c r="AK329" s="312"/>
      <c r="AL329" s="312"/>
      <c r="AM329" s="312"/>
      <c r="AN329" s="312"/>
      <c r="AO329" s="312"/>
      <c r="AP329" s="312"/>
      <c r="AQ329" s="312"/>
      <c r="AR329" s="312"/>
      <c r="AS329" s="312"/>
      <c r="AT329" s="312"/>
      <c r="AU329" s="312"/>
      <c r="AV329" s="312"/>
      <c r="AW329" s="312"/>
      <c r="AX329" s="312"/>
      <c r="AY329" s="312"/>
      <c r="AZ329" s="312"/>
      <c r="BA329" s="312"/>
      <c r="BB329" s="312"/>
      <c r="BC329" s="312"/>
      <c r="BD329" s="312"/>
      <c r="BE329" s="312"/>
      <c r="BF329" s="312"/>
      <c r="BG329" s="312"/>
      <c r="BH329" s="312"/>
      <c r="BI329" s="312"/>
      <c r="BJ329" s="312"/>
      <c r="BK329" s="312"/>
      <c r="BL329" s="312"/>
      <c r="BM329" s="312"/>
      <c r="BN329" s="312"/>
      <c r="BO329" s="312"/>
      <c r="BP329" s="312"/>
      <c r="BQ329" s="312"/>
      <c r="BR329" s="312"/>
      <c r="BS329" s="312"/>
      <c r="BT329" s="312"/>
      <c r="BU329" s="312"/>
      <c r="BV329" s="312"/>
      <c r="BW329" s="312"/>
      <c r="BX329" s="312"/>
      <c r="BY329" s="312"/>
      <c r="BZ329" s="312"/>
      <c r="CA329" s="312"/>
      <c r="CB329" s="312"/>
      <c r="CC329" s="312"/>
      <c r="CD329" s="312"/>
      <c r="CE329" s="312"/>
      <c r="CF329" s="312"/>
      <c r="CG329" s="312"/>
      <c r="CH329" s="312"/>
      <c r="CI329" s="312"/>
      <c r="CJ329" s="312"/>
      <c r="CK329" s="312"/>
      <c r="CL329" s="312"/>
      <c r="CM329" s="312"/>
      <c r="CN329" s="312"/>
      <c r="CO329" s="312"/>
      <c r="CP329" s="312"/>
      <c r="CQ329" s="312"/>
      <c r="CR329" s="312"/>
      <c r="CS329" s="312"/>
      <c r="CT329" s="312"/>
      <c r="CU329" s="312"/>
      <c r="CV329" s="312"/>
      <c r="CW329" s="312"/>
      <c r="CX329" s="312"/>
      <c r="CY329" s="312"/>
      <c r="CZ329" s="312"/>
      <c r="DA329" s="312"/>
      <c r="DB329" s="312"/>
      <c r="DC329" s="312"/>
      <c r="DD329" s="312"/>
      <c r="DE329" s="312"/>
      <c r="DF329" s="312"/>
      <c r="DG329" s="312"/>
      <c r="DH329" s="312"/>
      <c r="DI329" s="312"/>
      <c r="DJ329" s="312"/>
      <c r="DK329" s="312"/>
      <c r="DL329" s="312"/>
      <c r="DM329" s="312"/>
      <c r="DN329" s="312"/>
      <c r="DO329" s="312"/>
      <c r="DP329" s="312"/>
      <c r="DQ329" s="312"/>
      <c r="DR329" s="312"/>
      <c r="DS329" s="312"/>
      <c r="DT329" s="312"/>
      <c r="DU329" s="312"/>
      <c r="DV329" s="312"/>
      <c r="DW329" s="312"/>
      <c r="DX329" s="312"/>
      <c r="DY329" s="312"/>
      <c r="DZ329" s="312"/>
      <c r="EA329" s="312"/>
      <c r="EB329" s="312"/>
      <c r="EC329" s="312"/>
      <c r="ED329" s="312"/>
      <c r="EE329" s="312"/>
      <c r="EF329" s="312"/>
      <c r="EG329" s="312"/>
      <c r="EH329" s="312"/>
      <c r="EI329" s="312"/>
      <c r="EJ329" s="312"/>
      <c r="EK329" s="312"/>
      <c r="EL329" s="312"/>
      <c r="EM329" s="312"/>
      <c r="EN329" s="312"/>
      <c r="EO329" s="312"/>
      <c r="EP329" s="312"/>
      <c r="EQ329" s="312"/>
      <c r="ER329" s="312"/>
      <c r="ES329" s="312"/>
      <c r="ET329" s="312"/>
      <c r="EU329" s="312"/>
      <c r="EV329" s="312"/>
      <c r="EW329" s="312"/>
      <c r="EX329" s="312"/>
      <c r="EY329" s="312"/>
      <c r="EZ329" s="312"/>
      <c r="FA329" s="312"/>
      <c r="FB329" s="312"/>
      <c r="FC329" s="312"/>
      <c r="FD329" s="312"/>
      <c r="FE329" s="312"/>
      <c r="FF329" s="312"/>
      <c r="FG329" s="312"/>
      <c r="FH329" s="312"/>
      <c r="FI329" s="312"/>
      <c r="FJ329" s="312"/>
      <c r="FK329" s="312"/>
      <c r="FL329" s="312"/>
      <c r="FM329" s="312"/>
      <c r="FN329" s="312"/>
      <c r="FO329" s="312"/>
      <c r="FP329" s="312"/>
      <c r="FQ329" s="312"/>
      <c r="FR329" s="312"/>
      <c r="FS329" s="312"/>
      <c r="FT329" s="312"/>
      <c r="FU329" s="312"/>
      <c r="FV329" s="312"/>
      <c r="FW329" s="312"/>
      <c r="FX329" s="312"/>
      <c r="FY329" s="312"/>
      <c r="FZ329" s="312"/>
      <c r="GA329" s="312"/>
      <c r="GB329" s="312"/>
      <c r="GC329" s="312"/>
      <c r="GD329" s="312"/>
      <c r="GE329" s="312"/>
      <c r="GF329" s="312"/>
      <c r="GG329" s="312"/>
      <c r="GH329" s="312"/>
      <c r="GI329" s="312"/>
      <c r="GJ329" s="312"/>
      <c r="GK329" s="312"/>
      <c r="GL329" s="312"/>
      <c r="GM329" s="312"/>
      <c r="GN329" s="312"/>
      <c r="GO329" s="312"/>
      <c r="GP329" s="312"/>
      <c r="GQ329" s="312"/>
      <c r="GR329" s="312"/>
      <c r="GS329" s="312"/>
      <c r="GT329" s="312"/>
      <c r="GU329" s="312"/>
      <c r="GV329" s="312"/>
      <c r="GW329" s="312"/>
      <c r="GX329" s="312"/>
      <c r="GY329" s="312"/>
    </row>
    <row r="330" spans="2:207" ht="15.75" x14ac:dyDescent="0.25">
      <c r="B330" s="316">
        <f t="shared" si="77"/>
        <v>300</v>
      </c>
      <c r="C330" s="330">
        <f>'סיכום לוועדה'!B330</f>
        <v>1001348219</v>
      </c>
      <c r="D330" s="330">
        <f>'סיכום לוועדה'!C330</f>
        <v>1001272603</v>
      </c>
      <c r="E330" s="330">
        <f>'סיכום לוועדה'!D330</f>
        <v>40000564</v>
      </c>
      <c r="F330" s="330">
        <f>'סיכום לוועדה'!E330</f>
        <v>20000201</v>
      </c>
      <c r="G330" s="330" t="str">
        <f>'סיכום לוועדה'!F330</f>
        <v>תל אביב -יפו</v>
      </c>
      <c r="H330" s="317" t="str">
        <f>'סיכום לוועדה'!G330</f>
        <v>עמותת הכוריאוגרפים (ע"ר)</v>
      </c>
      <c r="I330" s="318">
        <f>'סיכום לוועדה'!U330</f>
        <v>150000</v>
      </c>
      <c r="J330" s="319">
        <f>'סיכום לוועדה'!T330</f>
        <v>16515.092738585328</v>
      </c>
      <c r="K330" s="320">
        <f t="shared" si="78"/>
        <v>0</v>
      </c>
      <c r="L330" s="319">
        <f t="shared" si="79"/>
        <v>16515.092738585328</v>
      </c>
      <c r="M330" s="331">
        <f>'תחום תמיכה ב'!AF330</f>
        <v>1.2830087912126133E-4</v>
      </c>
      <c r="N330" s="319">
        <f t="shared" si="76"/>
        <v>18700.635593347251</v>
      </c>
      <c r="O330" s="321">
        <f t="shared" si="80"/>
        <v>0</v>
      </c>
      <c r="P330" s="322">
        <f t="shared" si="81"/>
        <v>18700.635593347251</v>
      </c>
      <c r="Q330" s="322">
        <f t="shared" si="82"/>
        <v>18709.150486628962</v>
      </c>
      <c r="R330" s="321">
        <f t="shared" si="83"/>
        <v>0</v>
      </c>
      <c r="S330" s="322">
        <f t="shared" si="84"/>
        <v>18709.150486628962</v>
      </c>
      <c r="T330" s="322">
        <f t="shared" si="85"/>
        <v>18709.150486628925</v>
      </c>
      <c r="U330" s="321">
        <f t="shared" si="86"/>
        <v>0</v>
      </c>
      <c r="V330" s="322">
        <f t="shared" si="87"/>
        <v>18709.150486628925</v>
      </c>
      <c r="W330" s="322">
        <f t="shared" si="88"/>
        <v>18709.150486628932</v>
      </c>
      <c r="X330" s="321">
        <f t="shared" si="89"/>
        <v>0</v>
      </c>
      <c r="Y330" s="322">
        <f t="shared" si="90"/>
        <v>18709.150486628932</v>
      </c>
      <c r="Z330" s="322">
        <f t="shared" si="91"/>
        <v>18709.150486628929</v>
      </c>
      <c r="AA330" s="323">
        <f t="shared" si="92"/>
        <v>18709.150486628929</v>
      </c>
      <c r="AB330" s="323"/>
      <c r="AC330" s="323"/>
      <c r="AD330" s="323"/>
      <c r="AE330" s="323"/>
      <c r="AF330" s="324">
        <f t="shared" si="93"/>
        <v>1.071432555754644E-4</v>
      </c>
      <c r="AG330" s="312"/>
      <c r="AH330" s="312"/>
      <c r="AI330" s="325">
        <f t="shared" si="94"/>
        <v>1</v>
      </c>
      <c r="AJ330" s="312"/>
      <c r="AK330" s="312"/>
      <c r="AL330" s="312"/>
      <c r="AM330" s="312"/>
      <c r="AN330" s="312"/>
      <c r="AO330" s="312"/>
      <c r="AP330" s="312"/>
      <c r="AQ330" s="312"/>
      <c r="AR330" s="312"/>
      <c r="AS330" s="312"/>
      <c r="AT330" s="312"/>
      <c r="AU330" s="312"/>
      <c r="AV330" s="312"/>
      <c r="AW330" s="312"/>
      <c r="AX330" s="312"/>
      <c r="AY330" s="312"/>
      <c r="AZ330" s="312"/>
      <c r="BA330" s="312"/>
      <c r="BB330" s="312"/>
      <c r="BC330" s="312"/>
      <c r="BD330" s="312"/>
      <c r="BE330" s="312"/>
      <c r="BF330" s="312"/>
      <c r="BG330" s="312"/>
      <c r="BH330" s="312"/>
      <c r="BI330" s="312"/>
      <c r="BJ330" s="312"/>
      <c r="BK330" s="312"/>
      <c r="BL330" s="312"/>
      <c r="BM330" s="312"/>
      <c r="BN330" s="312"/>
      <c r="BO330" s="312"/>
      <c r="BP330" s="312"/>
      <c r="BQ330" s="312"/>
      <c r="BR330" s="312"/>
      <c r="BS330" s="312"/>
      <c r="BT330" s="312"/>
      <c r="BU330" s="312"/>
      <c r="BV330" s="312"/>
      <c r="BW330" s="312"/>
      <c r="BX330" s="312"/>
      <c r="BY330" s="312"/>
      <c r="BZ330" s="312"/>
      <c r="CA330" s="312"/>
      <c r="CB330" s="312"/>
      <c r="CC330" s="312"/>
      <c r="CD330" s="312"/>
      <c r="CE330" s="312"/>
      <c r="CF330" s="312"/>
      <c r="CG330" s="312"/>
      <c r="CH330" s="312"/>
      <c r="CI330" s="312"/>
      <c r="CJ330" s="312"/>
      <c r="CK330" s="312"/>
      <c r="CL330" s="312"/>
      <c r="CM330" s="312"/>
      <c r="CN330" s="312"/>
      <c r="CO330" s="312"/>
      <c r="CP330" s="312"/>
      <c r="CQ330" s="312"/>
      <c r="CR330" s="312"/>
      <c r="CS330" s="312"/>
      <c r="CT330" s="312"/>
      <c r="CU330" s="312"/>
      <c r="CV330" s="312"/>
      <c r="CW330" s="312"/>
      <c r="CX330" s="312"/>
      <c r="CY330" s="312"/>
      <c r="CZ330" s="312"/>
      <c r="DA330" s="312"/>
      <c r="DB330" s="312"/>
      <c r="DC330" s="312"/>
      <c r="DD330" s="312"/>
      <c r="DE330" s="312"/>
      <c r="DF330" s="312"/>
      <c r="DG330" s="312"/>
      <c r="DH330" s="312"/>
      <c r="DI330" s="312"/>
      <c r="DJ330" s="312"/>
      <c r="DK330" s="312"/>
      <c r="DL330" s="312"/>
      <c r="DM330" s="312"/>
      <c r="DN330" s="312"/>
      <c r="DO330" s="312"/>
      <c r="DP330" s="312"/>
      <c r="DQ330" s="312"/>
      <c r="DR330" s="312"/>
      <c r="DS330" s="312"/>
      <c r="DT330" s="312"/>
      <c r="DU330" s="312"/>
      <c r="DV330" s="312"/>
      <c r="DW330" s="312"/>
      <c r="DX330" s="312"/>
      <c r="DY330" s="312"/>
      <c r="DZ330" s="312"/>
      <c r="EA330" s="312"/>
      <c r="EB330" s="312"/>
      <c r="EC330" s="312"/>
      <c r="ED330" s="312"/>
      <c r="EE330" s="312"/>
      <c r="EF330" s="312"/>
      <c r="EG330" s="312"/>
      <c r="EH330" s="312"/>
      <c r="EI330" s="312"/>
      <c r="EJ330" s="312"/>
      <c r="EK330" s="312"/>
      <c r="EL330" s="312"/>
      <c r="EM330" s="312"/>
      <c r="EN330" s="312"/>
      <c r="EO330" s="312"/>
      <c r="EP330" s="312"/>
      <c r="EQ330" s="312"/>
      <c r="ER330" s="312"/>
      <c r="ES330" s="312"/>
      <c r="ET330" s="312"/>
      <c r="EU330" s="312"/>
      <c r="EV330" s="312"/>
      <c r="EW330" s="312"/>
      <c r="EX330" s="312"/>
      <c r="EY330" s="312"/>
      <c r="EZ330" s="312"/>
      <c r="FA330" s="312"/>
      <c r="FB330" s="312"/>
      <c r="FC330" s="312"/>
      <c r="FD330" s="312"/>
      <c r="FE330" s="312"/>
      <c r="FF330" s="312"/>
      <c r="FG330" s="312"/>
      <c r="FH330" s="312"/>
      <c r="FI330" s="312"/>
      <c r="FJ330" s="312"/>
      <c r="FK330" s="312"/>
      <c r="FL330" s="312"/>
      <c r="FM330" s="312"/>
      <c r="FN330" s="312"/>
      <c r="FO330" s="312"/>
      <c r="FP330" s="312"/>
      <c r="FQ330" s="312"/>
      <c r="FR330" s="312"/>
      <c r="FS330" s="312"/>
      <c r="FT330" s="312"/>
      <c r="FU330" s="312"/>
      <c r="FV330" s="312"/>
      <c r="FW330" s="312"/>
      <c r="FX330" s="312"/>
      <c r="FY330" s="312"/>
      <c r="FZ330" s="312"/>
      <c r="GA330" s="312"/>
      <c r="GB330" s="312"/>
      <c r="GC330" s="312"/>
      <c r="GD330" s="312"/>
      <c r="GE330" s="312"/>
      <c r="GF330" s="312"/>
      <c r="GG330" s="312"/>
      <c r="GH330" s="312"/>
      <c r="GI330" s="312"/>
      <c r="GJ330" s="312"/>
      <c r="GK330" s="312"/>
      <c r="GL330" s="312"/>
      <c r="GM330" s="312"/>
      <c r="GN330" s="312"/>
      <c r="GO330" s="312"/>
      <c r="GP330" s="312"/>
      <c r="GQ330" s="312"/>
      <c r="GR330" s="312"/>
      <c r="GS330" s="312"/>
      <c r="GT330" s="312"/>
      <c r="GU330" s="312"/>
      <c r="GV330" s="312"/>
      <c r="GW330" s="312"/>
      <c r="GX330" s="312"/>
      <c r="GY330" s="312"/>
    </row>
    <row r="331" spans="2:207" ht="15.75" x14ac:dyDescent="0.25">
      <c r="B331" s="316">
        <f t="shared" si="77"/>
        <v>301</v>
      </c>
      <c r="C331" s="330">
        <f>'סיכום לוועדה'!B331</f>
        <v>1001348220</v>
      </c>
      <c r="D331" s="330">
        <f>'סיכום לוועדה'!C331</f>
        <v>1001272604</v>
      </c>
      <c r="E331" s="330">
        <f>'סיכום לוועדה'!D331</f>
        <v>40000564</v>
      </c>
      <c r="F331" s="330">
        <f>'סיכום לוועדה'!E331</f>
        <v>20000201</v>
      </c>
      <c r="G331" s="330" t="str">
        <f>'סיכום לוועדה'!F331</f>
        <v>תל אביב -יפו</v>
      </c>
      <c r="H331" s="317" t="str">
        <f>'סיכום לוועדה'!G331</f>
        <v>עמותת הכוריאוגרפים (ע"ר)</v>
      </c>
      <c r="I331" s="318">
        <f>'סיכום לוועדה'!U331</f>
        <v>150000</v>
      </c>
      <c r="J331" s="319">
        <f>'סיכום לוועדה'!T331</f>
        <v>14195.550846549895</v>
      </c>
      <c r="K331" s="320">
        <f t="shared" si="78"/>
        <v>0</v>
      </c>
      <c r="L331" s="319">
        <f t="shared" si="79"/>
        <v>14195.550846549895</v>
      </c>
      <c r="M331" s="331">
        <f>'תחום תמיכה ב'!AF331</f>
        <v>8.9139530964594722E-5</v>
      </c>
      <c r="N331" s="319">
        <f t="shared" si="76"/>
        <v>15713.999249326389</v>
      </c>
      <c r="O331" s="321">
        <f t="shared" si="80"/>
        <v>0</v>
      </c>
      <c r="P331" s="322">
        <f t="shared" si="81"/>
        <v>15713.999249326389</v>
      </c>
      <c r="Q331" s="322">
        <f t="shared" si="82"/>
        <v>15721.154248201641</v>
      </c>
      <c r="R331" s="321">
        <f t="shared" si="83"/>
        <v>0</v>
      </c>
      <c r="S331" s="322">
        <f t="shared" si="84"/>
        <v>15721.154248201641</v>
      </c>
      <c r="T331" s="322">
        <f t="shared" si="85"/>
        <v>15721.15424820161</v>
      </c>
      <c r="U331" s="321">
        <f t="shared" si="86"/>
        <v>0</v>
      </c>
      <c r="V331" s="322">
        <f t="shared" si="87"/>
        <v>15721.15424820161</v>
      </c>
      <c r="W331" s="322">
        <f t="shared" si="88"/>
        <v>15721.154248201616</v>
      </c>
      <c r="X331" s="321">
        <f t="shared" si="89"/>
        <v>0</v>
      </c>
      <c r="Y331" s="322">
        <f t="shared" si="90"/>
        <v>15721.154248201616</v>
      </c>
      <c r="Z331" s="322">
        <f t="shared" si="91"/>
        <v>15721.154248201614</v>
      </c>
      <c r="AA331" s="323">
        <f t="shared" si="92"/>
        <v>15721.154248201614</v>
      </c>
      <c r="AB331" s="323"/>
      <c r="AC331" s="323"/>
      <c r="AD331" s="323"/>
      <c r="AE331" s="323"/>
      <c r="AF331" s="324">
        <f t="shared" si="93"/>
        <v>9.0031647816408501E-5</v>
      </c>
      <c r="AG331" s="312"/>
      <c r="AH331" s="312"/>
      <c r="AI331" s="325">
        <f t="shared" si="94"/>
        <v>1</v>
      </c>
      <c r="AJ331" s="312"/>
      <c r="AK331" s="312"/>
      <c r="AL331" s="312"/>
      <c r="AM331" s="312"/>
      <c r="AN331" s="312"/>
      <c r="AO331" s="312"/>
      <c r="AP331" s="312"/>
      <c r="AQ331" s="312"/>
      <c r="AR331" s="312"/>
      <c r="AS331" s="312"/>
      <c r="AT331" s="312"/>
      <c r="AU331" s="312"/>
      <c r="AV331" s="312"/>
      <c r="AW331" s="312"/>
      <c r="AX331" s="312"/>
      <c r="AY331" s="312"/>
      <c r="AZ331" s="312"/>
      <c r="BA331" s="312"/>
      <c r="BB331" s="312"/>
      <c r="BC331" s="312"/>
      <c r="BD331" s="312"/>
      <c r="BE331" s="312"/>
      <c r="BF331" s="312"/>
      <c r="BG331" s="312"/>
      <c r="BH331" s="312"/>
      <c r="BI331" s="312"/>
      <c r="BJ331" s="312"/>
      <c r="BK331" s="312"/>
      <c r="BL331" s="312"/>
      <c r="BM331" s="312"/>
      <c r="BN331" s="312"/>
      <c r="BO331" s="312"/>
      <c r="BP331" s="312"/>
      <c r="BQ331" s="312"/>
      <c r="BR331" s="312"/>
      <c r="BS331" s="312"/>
      <c r="BT331" s="312"/>
      <c r="BU331" s="312"/>
      <c r="BV331" s="312"/>
      <c r="BW331" s="312"/>
      <c r="BX331" s="312"/>
      <c r="BY331" s="312"/>
      <c r="BZ331" s="312"/>
      <c r="CA331" s="312"/>
      <c r="CB331" s="312"/>
      <c r="CC331" s="312"/>
      <c r="CD331" s="312"/>
      <c r="CE331" s="312"/>
      <c r="CF331" s="312"/>
      <c r="CG331" s="312"/>
      <c r="CH331" s="312"/>
      <c r="CI331" s="312"/>
      <c r="CJ331" s="312"/>
      <c r="CK331" s="312"/>
      <c r="CL331" s="312"/>
      <c r="CM331" s="312"/>
      <c r="CN331" s="312"/>
      <c r="CO331" s="312"/>
      <c r="CP331" s="312"/>
      <c r="CQ331" s="312"/>
      <c r="CR331" s="312"/>
      <c r="CS331" s="312"/>
      <c r="CT331" s="312"/>
      <c r="CU331" s="312"/>
      <c r="CV331" s="312"/>
      <c r="CW331" s="312"/>
      <c r="CX331" s="312"/>
      <c r="CY331" s="312"/>
      <c r="CZ331" s="312"/>
      <c r="DA331" s="312"/>
      <c r="DB331" s="312"/>
      <c r="DC331" s="312"/>
      <c r="DD331" s="312"/>
      <c r="DE331" s="312"/>
      <c r="DF331" s="312"/>
      <c r="DG331" s="312"/>
      <c r="DH331" s="312"/>
      <c r="DI331" s="312"/>
      <c r="DJ331" s="312"/>
      <c r="DK331" s="312"/>
      <c r="DL331" s="312"/>
      <c r="DM331" s="312"/>
      <c r="DN331" s="312"/>
      <c r="DO331" s="312"/>
      <c r="DP331" s="312"/>
      <c r="DQ331" s="312"/>
      <c r="DR331" s="312"/>
      <c r="DS331" s="312"/>
      <c r="DT331" s="312"/>
      <c r="DU331" s="312"/>
      <c r="DV331" s="312"/>
      <c r="DW331" s="312"/>
      <c r="DX331" s="312"/>
      <c r="DY331" s="312"/>
      <c r="DZ331" s="312"/>
      <c r="EA331" s="312"/>
      <c r="EB331" s="312"/>
      <c r="EC331" s="312"/>
      <c r="ED331" s="312"/>
      <c r="EE331" s="312"/>
      <c r="EF331" s="312"/>
      <c r="EG331" s="312"/>
      <c r="EH331" s="312"/>
      <c r="EI331" s="312"/>
      <c r="EJ331" s="312"/>
      <c r="EK331" s="312"/>
      <c r="EL331" s="312"/>
      <c r="EM331" s="312"/>
      <c r="EN331" s="312"/>
      <c r="EO331" s="312"/>
      <c r="EP331" s="312"/>
      <c r="EQ331" s="312"/>
      <c r="ER331" s="312"/>
      <c r="ES331" s="312"/>
      <c r="ET331" s="312"/>
      <c r="EU331" s="312"/>
      <c r="EV331" s="312"/>
      <c r="EW331" s="312"/>
      <c r="EX331" s="312"/>
      <c r="EY331" s="312"/>
      <c r="EZ331" s="312"/>
      <c r="FA331" s="312"/>
      <c r="FB331" s="312"/>
      <c r="FC331" s="312"/>
      <c r="FD331" s="312"/>
      <c r="FE331" s="312"/>
      <c r="FF331" s="312"/>
      <c r="FG331" s="312"/>
      <c r="FH331" s="312"/>
      <c r="FI331" s="312"/>
      <c r="FJ331" s="312"/>
      <c r="FK331" s="312"/>
      <c r="FL331" s="312"/>
      <c r="FM331" s="312"/>
      <c r="FN331" s="312"/>
      <c r="FO331" s="312"/>
      <c r="FP331" s="312"/>
      <c r="FQ331" s="312"/>
      <c r="FR331" s="312"/>
      <c r="FS331" s="312"/>
      <c r="FT331" s="312"/>
      <c r="FU331" s="312"/>
      <c r="FV331" s="312"/>
      <c r="FW331" s="312"/>
      <c r="FX331" s="312"/>
      <c r="FY331" s="312"/>
      <c r="FZ331" s="312"/>
      <c r="GA331" s="312"/>
      <c r="GB331" s="312"/>
      <c r="GC331" s="312"/>
      <c r="GD331" s="312"/>
      <c r="GE331" s="312"/>
      <c r="GF331" s="312"/>
      <c r="GG331" s="312"/>
      <c r="GH331" s="312"/>
      <c r="GI331" s="312"/>
      <c r="GJ331" s="312"/>
      <c r="GK331" s="312"/>
      <c r="GL331" s="312"/>
      <c r="GM331" s="312"/>
      <c r="GN331" s="312"/>
      <c r="GO331" s="312"/>
      <c r="GP331" s="312"/>
      <c r="GQ331" s="312"/>
      <c r="GR331" s="312"/>
      <c r="GS331" s="312"/>
      <c r="GT331" s="312"/>
      <c r="GU331" s="312"/>
      <c r="GV331" s="312"/>
      <c r="GW331" s="312"/>
      <c r="GX331" s="312"/>
      <c r="GY331" s="312"/>
    </row>
    <row r="332" spans="2:207" ht="15.75" x14ac:dyDescent="0.25">
      <c r="B332" s="316">
        <f t="shared" si="77"/>
        <v>302</v>
      </c>
      <c r="C332" s="330">
        <f>'סיכום לוועדה'!B332</f>
        <v>1001348222</v>
      </c>
      <c r="D332" s="330">
        <f>'סיכום לוועדה'!C332</f>
        <v>1001272607</v>
      </c>
      <c r="E332" s="330">
        <f>'סיכום לוועדה'!D332</f>
        <v>40000564</v>
      </c>
      <c r="F332" s="330">
        <f>'סיכום לוועדה'!E332</f>
        <v>20000201</v>
      </c>
      <c r="G332" s="330" t="str">
        <f>'סיכום לוועדה'!F332</f>
        <v>תל אביב -יפו</v>
      </c>
      <c r="H332" s="317" t="str">
        <f>'סיכום לוועדה'!G332</f>
        <v>עמותת הכוריאוגרפים (ע"ר)</v>
      </c>
      <c r="I332" s="318">
        <f>'סיכום לוועדה'!U332</f>
        <v>150000</v>
      </c>
      <c r="J332" s="319">
        <f>'סיכום לוועדה'!T332</f>
        <v>28187.093433968716</v>
      </c>
      <c r="K332" s="320">
        <f t="shared" si="78"/>
        <v>0</v>
      </c>
      <c r="L332" s="319">
        <f t="shared" si="79"/>
        <v>28187.093433968716</v>
      </c>
      <c r="M332" s="331">
        <f>'תחום תמיכה ב'!AF332</f>
        <v>2.3689679842860654E-4</v>
      </c>
      <c r="N332" s="319">
        <f t="shared" si="76"/>
        <v>32222.514770655554</v>
      </c>
      <c r="O332" s="321">
        <f t="shared" si="80"/>
        <v>0</v>
      </c>
      <c r="P332" s="322">
        <f t="shared" si="81"/>
        <v>32222.514770655554</v>
      </c>
      <c r="Q332" s="322">
        <f t="shared" si="82"/>
        <v>32237.1865326484</v>
      </c>
      <c r="R332" s="321">
        <f t="shared" si="83"/>
        <v>0</v>
      </c>
      <c r="S332" s="322">
        <f t="shared" si="84"/>
        <v>32237.1865326484</v>
      </c>
      <c r="T332" s="322">
        <f t="shared" si="85"/>
        <v>32237.186532648335</v>
      </c>
      <c r="U332" s="321">
        <f t="shared" si="86"/>
        <v>0</v>
      </c>
      <c r="V332" s="322">
        <f t="shared" si="87"/>
        <v>32237.186532648335</v>
      </c>
      <c r="W332" s="322">
        <f t="shared" si="88"/>
        <v>32237.186532648346</v>
      </c>
      <c r="X332" s="321">
        <f t="shared" si="89"/>
        <v>0</v>
      </c>
      <c r="Y332" s="322">
        <f t="shared" si="90"/>
        <v>32237.186532648346</v>
      </c>
      <c r="Z332" s="322">
        <f t="shared" si="91"/>
        <v>32237.186532648338</v>
      </c>
      <c r="AA332" s="323">
        <f t="shared" si="92"/>
        <v>32237.186532648338</v>
      </c>
      <c r="AB332" s="323"/>
      <c r="AC332" s="323"/>
      <c r="AD332" s="323"/>
      <c r="AE332" s="323"/>
      <c r="AF332" s="324">
        <f t="shared" si="93"/>
        <v>1.8461539010923908E-4</v>
      </c>
      <c r="AG332" s="312"/>
      <c r="AH332" s="312"/>
      <c r="AI332" s="325">
        <f t="shared" si="94"/>
        <v>1</v>
      </c>
      <c r="AJ332" s="312"/>
      <c r="AK332" s="312"/>
      <c r="AL332" s="312"/>
      <c r="AM332" s="312"/>
      <c r="AN332" s="312"/>
      <c r="AO332" s="312"/>
      <c r="AP332" s="312"/>
      <c r="AQ332" s="312"/>
      <c r="AR332" s="312"/>
      <c r="AS332" s="312"/>
      <c r="AT332" s="312"/>
      <c r="AU332" s="312"/>
      <c r="AV332" s="312"/>
      <c r="AW332" s="312"/>
      <c r="AX332" s="312"/>
      <c r="AY332" s="312"/>
      <c r="AZ332" s="312"/>
      <c r="BA332" s="312"/>
      <c r="BB332" s="312"/>
      <c r="BC332" s="312"/>
      <c r="BD332" s="312"/>
      <c r="BE332" s="312"/>
      <c r="BF332" s="312"/>
      <c r="BG332" s="312"/>
      <c r="BH332" s="312"/>
      <c r="BI332" s="312"/>
      <c r="BJ332" s="312"/>
      <c r="BK332" s="312"/>
      <c r="BL332" s="312"/>
      <c r="BM332" s="312"/>
      <c r="BN332" s="312"/>
      <c r="BO332" s="312"/>
      <c r="BP332" s="312"/>
      <c r="BQ332" s="312"/>
      <c r="BR332" s="312"/>
      <c r="BS332" s="312"/>
      <c r="BT332" s="312"/>
      <c r="BU332" s="312"/>
      <c r="BV332" s="312"/>
      <c r="BW332" s="312"/>
      <c r="BX332" s="312"/>
      <c r="BY332" s="312"/>
      <c r="BZ332" s="312"/>
      <c r="CA332" s="312"/>
      <c r="CB332" s="312"/>
      <c r="CC332" s="312"/>
      <c r="CD332" s="312"/>
      <c r="CE332" s="312"/>
      <c r="CF332" s="312"/>
      <c r="CG332" s="312"/>
      <c r="CH332" s="312"/>
      <c r="CI332" s="312"/>
      <c r="CJ332" s="312"/>
      <c r="CK332" s="312"/>
      <c r="CL332" s="312"/>
      <c r="CM332" s="312"/>
      <c r="CN332" s="312"/>
      <c r="CO332" s="312"/>
      <c r="CP332" s="312"/>
      <c r="CQ332" s="312"/>
      <c r="CR332" s="312"/>
      <c r="CS332" s="312"/>
      <c r="CT332" s="312"/>
      <c r="CU332" s="312"/>
      <c r="CV332" s="312"/>
      <c r="CW332" s="312"/>
      <c r="CX332" s="312"/>
      <c r="CY332" s="312"/>
      <c r="CZ332" s="312"/>
      <c r="DA332" s="312"/>
      <c r="DB332" s="312"/>
      <c r="DC332" s="312"/>
      <c r="DD332" s="312"/>
      <c r="DE332" s="312"/>
      <c r="DF332" s="312"/>
      <c r="DG332" s="312"/>
      <c r="DH332" s="312"/>
      <c r="DI332" s="312"/>
      <c r="DJ332" s="312"/>
      <c r="DK332" s="312"/>
      <c r="DL332" s="312"/>
      <c r="DM332" s="312"/>
      <c r="DN332" s="312"/>
      <c r="DO332" s="312"/>
      <c r="DP332" s="312"/>
      <c r="DQ332" s="312"/>
      <c r="DR332" s="312"/>
      <c r="DS332" s="312"/>
      <c r="DT332" s="312"/>
      <c r="DU332" s="312"/>
      <c r="DV332" s="312"/>
      <c r="DW332" s="312"/>
      <c r="DX332" s="312"/>
      <c r="DY332" s="312"/>
      <c r="DZ332" s="312"/>
      <c r="EA332" s="312"/>
      <c r="EB332" s="312"/>
      <c r="EC332" s="312"/>
      <c r="ED332" s="312"/>
      <c r="EE332" s="312"/>
      <c r="EF332" s="312"/>
      <c r="EG332" s="312"/>
      <c r="EH332" s="312"/>
      <c r="EI332" s="312"/>
      <c r="EJ332" s="312"/>
      <c r="EK332" s="312"/>
      <c r="EL332" s="312"/>
      <c r="EM332" s="312"/>
      <c r="EN332" s="312"/>
      <c r="EO332" s="312"/>
      <c r="EP332" s="312"/>
      <c r="EQ332" s="312"/>
      <c r="ER332" s="312"/>
      <c r="ES332" s="312"/>
      <c r="ET332" s="312"/>
      <c r="EU332" s="312"/>
      <c r="EV332" s="312"/>
      <c r="EW332" s="312"/>
      <c r="EX332" s="312"/>
      <c r="EY332" s="312"/>
      <c r="EZ332" s="312"/>
      <c r="FA332" s="312"/>
      <c r="FB332" s="312"/>
      <c r="FC332" s="312"/>
      <c r="FD332" s="312"/>
      <c r="FE332" s="312"/>
      <c r="FF332" s="312"/>
      <c r="FG332" s="312"/>
      <c r="FH332" s="312"/>
      <c r="FI332" s="312"/>
      <c r="FJ332" s="312"/>
      <c r="FK332" s="312"/>
      <c r="FL332" s="312"/>
      <c r="FM332" s="312"/>
      <c r="FN332" s="312"/>
      <c r="FO332" s="312"/>
      <c r="FP332" s="312"/>
      <c r="FQ332" s="312"/>
      <c r="FR332" s="312"/>
      <c r="FS332" s="312"/>
      <c r="FT332" s="312"/>
      <c r="FU332" s="312"/>
      <c r="FV332" s="312"/>
      <c r="FW332" s="312"/>
      <c r="FX332" s="312"/>
      <c r="FY332" s="312"/>
      <c r="FZ332" s="312"/>
      <c r="GA332" s="312"/>
      <c r="GB332" s="312"/>
      <c r="GC332" s="312"/>
      <c r="GD332" s="312"/>
      <c r="GE332" s="312"/>
      <c r="GF332" s="312"/>
      <c r="GG332" s="312"/>
      <c r="GH332" s="312"/>
      <c r="GI332" s="312"/>
      <c r="GJ332" s="312"/>
      <c r="GK332" s="312"/>
      <c r="GL332" s="312"/>
      <c r="GM332" s="312"/>
      <c r="GN332" s="312"/>
      <c r="GO332" s="312"/>
      <c r="GP332" s="312"/>
      <c r="GQ332" s="312"/>
      <c r="GR332" s="312"/>
      <c r="GS332" s="312"/>
      <c r="GT332" s="312"/>
      <c r="GU332" s="312"/>
      <c r="GV332" s="312"/>
      <c r="GW332" s="312"/>
      <c r="GX332" s="312"/>
      <c r="GY332" s="312"/>
    </row>
    <row r="333" spans="2:207" ht="15.75" x14ac:dyDescent="0.25">
      <c r="B333" s="316">
        <f t="shared" si="77"/>
        <v>303</v>
      </c>
      <c r="C333" s="330">
        <f>'סיכום לוועדה'!B333</f>
        <v>1001348223</v>
      </c>
      <c r="D333" s="330">
        <f>'סיכום לוועדה'!C333</f>
        <v>1001273498</v>
      </c>
      <c r="E333" s="330">
        <f>'סיכום לוועדה'!D333</f>
        <v>40000564</v>
      </c>
      <c r="F333" s="330">
        <f>'סיכום לוועדה'!E333</f>
        <v>20000201</v>
      </c>
      <c r="G333" s="330" t="str">
        <f>'סיכום לוועדה'!F333</f>
        <v>תל אביב -יפו</v>
      </c>
      <c r="H333" s="317" t="str">
        <f>'סיכום לוועדה'!G333</f>
        <v>עמותת הכוריאוגרפים (ע"ר)</v>
      </c>
      <c r="I333" s="318">
        <f>'סיכום לוועדה'!U333</f>
        <v>150000</v>
      </c>
      <c r="J333" s="319">
        <f>'סיכום לוועדה'!T333</f>
        <v>7079.6850779248662</v>
      </c>
      <c r="K333" s="320">
        <f t="shared" si="78"/>
        <v>0</v>
      </c>
      <c r="L333" s="319">
        <f t="shared" si="79"/>
        <v>7079.6850779248662</v>
      </c>
      <c r="M333" s="331">
        <f>'תחום תמיכה ב'!AF333</f>
        <v>4.5211162318379554E-5</v>
      </c>
      <c r="N333" s="319">
        <f t="shared" si="76"/>
        <v>7849.8351613629275</v>
      </c>
      <c r="O333" s="321">
        <f t="shared" si="80"/>
        <v>0</v>
      </c>
      <c r="P333" s="322">
        <f t="shared" si="81"/>
        <v>7849.8351613629275</v>
      </c>
      <c r="Q333" s="322">
        <f t="shared" si="82"/>
        <v>7853.4093986311946</v>
      </c>
      <c r="R333" s="321">
        <f t="shared" si="83"/>
        <v>0</v>
      </c>
      <c r="S333" s="322">
        <f t="shared" si="84"/>
        <v>7853.4093986311946</v>
      </c>
      <c r="T333" s="322">
        <f t="shared" si="85"/>
        <v>7853.4093986311791</v>
      </c>
      <c r="U333" s="321">
        <f t="shared" si="86"/>
        <v>0</v>
      </c>
      <c r="V333" s="322">
        <f t="shared" si="87"/>
        <v>7853.4093986311791</v>
      </c>
      <c r="W333" s="322">
        <f t="shared" si="88"/>
        <v>7853.4093986311827</v>
      </c>
      <c r="X333" s="321">
        <f t="shared" si="89"/>
        <v>0</v>
      </c>
      <c r="Y333" s="322">
        <f t="shared" si="90"/>
        <v>7853.4093986311827</v>
      </c>
      <c r="Z333" s="322">
        <f t="shared" si="91"/>
        <v>7853.4093986311818</v>
      </c>
      <c r="AA333" s="323">
        <f t="shared" si="92"/>
        <v>7853.4093986311818</v>
      </c>
      <c r="AB333" s="323"/>
      <c r="AC333" s="323"/>
      <c r="AD333" s="323"/>
      <c r="AE333" s="323"/>
      <c r="AF333" s="324">
        <f t="shared" si="93"/>
        <v>4.4974775895765863E-5</v>
      </c>
      <c r="AG333" s="312"/>
      <c r="AH333" s="312"/>
      <c r="AI333" s="325">
        <f t="shared" si="94"/>
        <v>1</v>
      </c>
      <c r="AJ333" s="312"/>
      <c r="AK333" s="312"/>
      <c r="AL333" s="312"/>
      <c r="AM333" s="312"/>
      <c r="AN333" s="312"/>
      <c r="AO333" s="312"/>
      <c r="AP333" s="312"/>
      <c r="AQ333" s="312"/>
      <c r="AR333" s="312"/>
      <c r="AS333" s="312"/>
      <c r="AT333" s="312"/>
      <c r="AU333" s="312"/>
      <c r="AV333" s="312"/>
      <c r="AW333" s="312"/>
      <c r="AX333" s="312"/>
      <c r="AY333" s="312"/>
      <c r="AZ333" s="312"/>
      <c r="BA333" s="312"/>
      <c r="BB333" s="312"/>
      <c r="BC333" s="312"/>
      <c r="BD333" s="312"/>
      <c r="BE333" s="312"/>
      <c r="BF333" s="312"/>
      <c r="BG333" s="312"/>
      <c r="BH333" s="312"/>
      <c r="BI333" s="312"/>
      <c r="BJ333" s="312"/>
      <c r="BK333" s="312"/>
      <c r="BL333" s="312"/>
      <c r="BM333" s="312"/>
      <c r="BN333" s="312"/>
      <c r="BO333" s="312"/>
      <c r="BP333" s="312"/>
      <c r="BQ333" s="312"/>
      <c r="BR333" s="312"/>
      <c r="BS333" s="312"/>
      <c r="BT333" s="312"/>
      <c r="BU333" s="312"/>
      <c r="BV333" s="312"/>
      <c r="BW333" s="312"/>
      <c r="BX333" s="312"/>
      <c r="BY333" s="312"/>
      <c r="BZ333" s="312"/>
      <c r="CA333" s="312"/>
      <c r="CB333" s="312"/>
      <c r="CC333" s="312"/>
      <c r="CD333" s="312"/>
      <c r="CE333" s="312"/>
      <c r="CF333" s="312"/>
      <c r="CG333" s="312"/>
      <c r="CH333" s="312"/>
      <c r="CI333" s="312"/>
      <c r="CJ333" s="312"/>
      <c r="CK333" s="312"/>
      <c r="CL333" s="312"/>
      <c r="CM333" s="312"/>
      <c r="CN333" s="312"/>
      <c r="CO333" s="312"/>
      <c r="CP333" s="312"/>
      <c r="CQ333" s="312"/>
      <c r="CR333" s="312"/>
      <c r="CS333" s="312"/>
      <c r="CT333" s="312"/>
      <c r="CU333" s="312"/>
      <c r="CV333" s="312"/>
      <c r="CW333" s="312"/>
      <c r="CX333" s="312"/>
      <c r="CY333" s="312"/>
      <c r="CZ333" s="312"/>
      <c r="DA333" s="312"/>
      <c r="DB333" s="312"/>
      <c r="DC333" s="312"/>
      <c r="DD333" s="312"/>
      <c r="DE333" s="312"/>
      <c r="DF333" s="312"/>
      <c r="DG333" s="312"/>
      <c r="DH333" s="312"/>
      <c r="DI333" s="312"/>
      <c r="DJ333" s="312"/>
      <c r="DK333" s="312"/>
      <c r="DL333" s="312"/>
      <c r="DM333" s="312"/>
      <c r="DN333" s="312"/>
      <c r="DO333" s="312"/>
      <c r="DP333" s="312"/>
      <c r="DQ333" s="312"/>
      <c r="DR333" s="312"/>
      <c r="DS333" s="312"/>
      <c r="DT333" s="312"/>
      <c r="DU333" s="312"/>
      <c r="DV333" s="312"/>
      <c r="DW333" s="312"/>
      <c r="DX333" s="312"/>
      <c r="DY333" s="312"/>
      <c r="DZ333" s="312"/>
      <c r="EA333" s="312"/>
      <c r="EB333" s="312"/>
      <c r="EC333" s="312"/>
      <c r="ED333" s="312"/>
      <c r="EE333" s="312"/>
      <c r="EF333" s="312"/>
      <c r="EG333" s="312"/>
      <c r="EH333" s="312"/>
      <c r="EI333" s="312"/>
      <c r="EJ333" s="312"/>
      <c r="EK333" s="312"/>
      <c r="EL333" s="312"/>
      <c r="EM333" s="312"/>
      <c r="EN333" s="312"/>
      <c r="EO333" s="312"/>
      <c r="EP333" s="312"/>
      <c r="EQ333" s="312"/>
      <c r="ER333" s="312"/>
      <c r="ES333" s="312"/>
      <c r="ET333" s="312"/>
      <c r="EU333" s="312"/>
      <c r="EV333" s="312"/>
      <c r="EW333" s="312"/>
      <c r="EX333" s="312"/>
      <c r="EY333" s="312"/>
      <c r="EZ333" s="312"/>
      <c r="FA333" s="312"/>
      <c r="FB333" s="312"/>
      <c r="FC333" s="312"/>
      <c r="FD333" s="312"/>
      <c r="FE333" s="312"/>
      <c r="FF333" s="312"/>
      <c r="FG333" s="312"/>
      <c r="FH333" s="312"/>
      <c r="FI333" s="312"/>
      <c r="FJ333" s="312"/>
      <c r="FK333" s="312"/>
      <c r="FL333" s="312"/>
      <c r="FM333" s="312"/>
      <c r="FN333" s="312"/>
      <c r="FO333" s="312"/>
      <c r="FP333" s="312"/>
      <c r="FQ333" s="312"/>
      <c r="FR333" s="312"/>
      <c r="FS333" s="312"/>
      <c r="FT333" s="312"/>
      <c r="FU333" s="312"/>
      <c r="FV333" s="312"/>
      <c r="FW333" s="312"/>
      <c r="FX333" s="312"/>
      <c r="FY333" s="312"/>
      <c r="FZ333" s="312"/>
      <c r="GA333" s="312"/>
      <c r="GB333" s="312"/>
      <c r="GC333" s="312"/>
      <c r="GD333" s="312"/>
      <c r="GE333" s="312"/>
      <c r="GF333" s="312"/>
      <c r="GG333" s="312"/>
      <c r="GH333" s="312"/>
      <c r="GI333" s="312"/>
      <c r="GJ333" s="312"/>
      <c r="GK333" s="312"/>
      <c r="GL333" s="312"/>
      <c r="GM333" s="312"/>
      <c r="GN333" s="312"/>
      <c r="GO333" s="312"/>
      <c r="GP333" s="312"/>
      <c r="GQ333" s="312"/>
      <c r="GR333" s="312"/>
      <c r="GS333" s="312"/>
      <c r="GT333" s="312"/>
      <c r="GU333" s="312"/>
      <c r="GV333" s="312"/>
      <c r="GW333" s="312"/>
      <c r="GX333" s="312"/>
      <c r="GY333" s="312"/>
    </row>
    <row r="334" spans="2:207" ht="15.75" x14ac:dyDescent="0.25">
      <c r="B334" s="316">
        <f t="shared" si="77"/>
        <v>304</v>
      </c>
      <c r="C334" s="330">
        <f>'סיכום לוועדה'!B334</f>
        <v>1001348230</v>
      </c>
      <c r="D334" s="330">
        <f>'סיכום לוועדה'!C334</f>
        <v>1001273594</v>
      </c>
      <c r="E334" s="330">
        <f>'סיכום לוועדה'!D334</f>
        <v>40000564</v>
      </c>
      <c r="F334" s="330">
        <f>'סיכום לוועדה'!E334</f>
        <v>20000201</v>
      </c>
      <c r="G334" s="330" t="str">
        <f>'סיכום לוועדה'!F334</f>
        <v>תל אביב -יפו</v>
      </c>
      <c r="H334" s="317" t="str">
        <f>'סיכום לוועדה'!G334</f>
        <v>עמותת הכוריאוגרפים (ע"ר)</v>
      </c>
      <c r="I334" s="318">
        <f>'סיכום לוועדה'!U334</f>
        <v>150000</v>
      </c>
      <c r="J334" s="319">
        <f>'סיכום לוועדה'!T334</f>
        <v>11701.686658305896</v>
      </c>
      <c r="K334" s="320">
        <f t="shared" si="78"/>
        <v>0</v>
      </c>
      <c r="L334" s="319">
        <f t="shared" si="79"/>
        <v>11701.686658305896</v>
      </c>
      <c r="M334" s="331">
        <f>'תחום תמיכה ב'!AF334</f>
        <v>8.8919240106768215E-5</v>
      </c>
      <c r="N334" s="319">
        <f t="shared" si="76"/>
        <v>13216.382513838837</v>
      </c>
      <c r="O334" s="321">
        <f t="shared" si="80"/>
        <v>0</v>
      </c>
      <c r="P334" s="322">
        <f t="shared" si="81"/>
        <v>13216.382513838837</v>
      </c>
      <c r="Q334" s="322">
        <f t="shared" si="82"/>
        <v>13222.400281850723</v>
      </c>
      <c r="R334" s="321">
        <f t="shared" si="83"/>
        <v>0</v>
      </c>
      <c r="S334" s="322">
        <f t="shared" si="84"/>
        <v>13222.400281850723</v>
      </c>
      <c r="T334" s="322">
        <f t="shared" si="85"/>
        <v>13222.400281850696</v>
      </c>
      <c r="U334" s="321">
        <f t="shared" si="86"/>
        <v>0</v>
      </c>
      <c r="V334" s="322">
        <f t="shared" si="87"/>
        <v>13222.400281850696</v>
      </c>
      <c r="W334" s="322">
        <f t="shared" si="88"/>
        <v>13222.400281850702</v>
      </c>
      <c r="X334" s="321">
        <f t="shared" si="89"/>
        <v>0</v>
      </c>
      <c r="Y334" s="322">
        <f t="shared" si="90"/>
        <v>13222.400281850702</v>
      </c>
      <c r="Z334" s="322">
        <f t="shared" si="91"/>
        <v>13222.4002818507</v>
      </c>
      <c r="AA334" s="323">
        <f t="shared" si="92"/>
        <v>13222.4002818507</v>
      </c>
      <c r="AB334" s="323"/>
      <c r="AC334" s="323"/>
      <c r="AD334" s="323"/>
      <c r="AE334" s="323"/>
      <c r="AF334" s="324">
        <f t="shared" si="93"/>
        <v>7.5721824661782698E-5</v>
      </c>
      <c r="AG334" s="312"/>
      <c r="AH334" s="312"/>
      <c r="AI334" s="325">
        <f t="shared" si="94"/>
        <v>1</v>
      </c>
      <c r="AJ334" s="312"/>
      <c r="AK334" s="312"/>
      <c r="AL334" s="312"/>
      <c r="AM334" s="312"/>
      <c r="AN334" s="312"/>
      <c r="AO334" s="312"/>
      <c r="AP334" s="312"/>
      <c r="AQ334" s="312"/>
      <c r="AR334" s="312"/>
      <c r="AS334" s="312"/>
      <c r="AT334" s="312"/>
      <c r="AU334" s="312"/>
      <c r="AV334" s="312"/>
      <c r="AW334" s="312"/>
      <c r="AX334" s="312"/>
      <c r="AY334" s="312"/>
      <c r="AZ334" s="312"/>
      <c r="BA334" s="312"/>
      <c r="BB334" s="312"/>
      <c r="BC334" s="312"/>
      <c r="BD334" s="312"/>
      <c r="BE334" s="312"/>
      <c r="BF334" s="312"/>
      <c r="BG334" s="312"/>
      <c r="BH334" s="312"/>
      <c r="BI334" s="312"/>
      <c r="BJ334" s="312"/>
      <c r="BK334" s="312"/>
      <c r="BL334" s="312"/>
      <c r="BM334" s="312"/>
      <c r="BN334" s="312"/>
      <c r="BO334" s="312"/>
      <c r="BP334" s="312"/>
      <c r="BQ334" s="312"/>
      <c r="BR334" s="312"/>
      <c r="BS334" s="312"/>
      <c r="BT334" s="312"/>
      <c r="BU334" s="312"/>
      <c r="BV334" s="312"/>
      <c r="BW334" s="312"/>
      <c r="BX334" s="312"/>
      <c r="BY334" s="312"/>
      <c r="BZ334" s="312"/>
      <c r="CA334" s="312"/>
      <c r="CB334" s="312"/>
      <c r="CC334" s="312"/>
      <c r="CD334" s="312"/>
      <c r="CE334" s="312"/>
      <c r="CF334" s="312"/>
      <c r="CG334" s="312"/>
      <c r="CH334" s="312"/>
      <c r="CI334" s="312"/>
      <c r="CJ334" s="312"/>
      <c r="CK334" s="312"/>
      <c r="CL334" s="312"/>
      <c r="CM334" s="312"/>
      <c r="CN334" s="312"/>
      <c r="CO334" s="312"/>
      <c r="CP334" s="312"/>
      <c r="CQ334" s="312"/>
      <c r="CR334" s="312"/>
      <c r="CS334" s="312"/>
      <c r="CT334" s="312"/>
      <c r="CU334" s="312"/>
      <c r="CV334" s="312"/>
      <c r="CW334" s="312"/>
      <c r="CX334" s="312"/>
      <c r="CY334" s="312"/>
      <c r="CZ334" s="312"/>
      <c r="DA334" s="312"/>
      <c r="DB334" s="312"/>
      <c r="DC334" s="312"/>
      <c r="DD334" s="312"/>
      <c r="DE334" s="312"/>
      <c r="DF334" s="312"/>
      <c r="DG334" s="312"/>
      <c r="DH334" s="312"/>
      <c r="DI334" s="312"/>
      <c r="DJ334" s="312"/>
      <c r="DK334" s="312"/>
      <c r="DL334" s="312"/>
      <c r="DM334" s="312"/>
      <c r="DN334" s="312"/>
      <c r="DO334" s="312"/>
      <c r="DP334" s="312"/>
      <c r="DQ334" s="312"/>
      <c r="DR334" s="312"/>
      <c r="DS334" s="312"/>
      <c r="DT334" s="312"/>
      <c r="DU334" s="312"/>
      <c r="DV334" s="312"/>
      <c r="DW334" s="312"/>
      <c r="DX334" s="312"/>
      <c r="DY334" s="312"/>
      <c r="DZ334" s="312"/>
      <c r="EA334" s="312"/>
      <c r="EB334" s="312"/>
      <c r="EC334" s="312"/>
      <c r="ED334" s="312"/>
      <c r="EE334" s="312"/>
      <c r="EF334" s="312"/>
      <c r="EG334" s="312"/>
      <c r="EH334" s="312"/>
      <c r="EI334" s="312"/>
      <c r="EJ334" s="312"/>
      <c r="EK334" s="312"/>
      <c r="EL334" s="312"/>
      <c r="EM334" s="312"/>
      <c r="EN334" s="312"/>
      <c r="EO334" s="312"/>
      <c r="EP334" s="312"/>
      <c r="EQ334" s="312"/>
      <c r="ER334" s="312"/>
      <c r="ES334" s="312"/>
      <c r="ET334" s="312"/>
      <c r="EU334" s="312"/>
      <c r="EV334" s="312"/>
      <c r="EW334" s="312"/>
      <c r="EX334" s="312"/>
      <c r="EY334" s="312"/>
      <c r="EZ334" s="312"/>
      <c r="FA334" s="312"/>
      <c r="FB334" s="312"/>
      <c r="FC334" s="312"/>
      <c r="FD334" s="312"/>
      <c r="FE334" s="312"/>
      <c r="FF334" s="312"/>
      <c r="FG334" s="312"/>
      <c r="FH334" s="312"/>
      <c r="FI334" s="312"/>
      <c r="FJ334" s="312"/>
      <c r="FK334" s="312"/>
      <c r="FL334" s="312"/>
      <c r="FM334" s="312"/>
      <c r="FN334" s="312"/>
      <c r="FO334" s="312"/>
      <c r="FP334" s="312"/>
      <c r="FQ334" s="312"/>
      <c r="FR334" s="312"/>
      <c r="FS334" s="312"/>
      <c r="FT334" s="312"/>
      <c r="FU334" s="312"/>
      <c r="FV334" s="312"/>
      <c r="FW334" s="312"/>
      <c r="FX334" s="312"/>
      <c r="FY334" s="312"/>
      <c r="FZ334" s="312"/>
      <c r="GA334" s="312"/>
      <c r="GB334" s="312"/>
      <c r="GC334" s="312"/>
      <c r="GD334" s="312"/>
      <c r="GE334" s="312"/>
      <c r="GF334" s="312"/>
      <c r="GG334" s="312"/>
      <c r="GH334" s="312"/>
      <c r="GI334" s="312"/>
      <c r="GJ334" s="312"/>
      <c r="GK334" s="312"/>
      <c r="GL334" s="312"/>
      <c r="GM334" s="312"/>
      <c r="GN334" s="312"/>
      <c r="GO334" s="312"/>
      <c r="GP334" s="312"/>
      <c r="GQ334" s="312"/>
      <c r="GR334" s="312"/>
      <c r="GS334" s="312"/>
      <c r="GT334" s="312"/>
      <c r="GU334" s="312"/>
      <c r="GV334" s="312"/>
      <c r="GW334" s="312"/>
      <c r="GX334" s="312"/>
      <c r="GY334" s="312"/>
    </row>
    <row r="335" spans="2:207" ht="15.75" x14ac:dyDescent="0.25">
      <c r="B335" s="316">
        <f t="shared" si="77"/>
        <v>305</v>
      </c>
      <c r="C335" s="330">
        <f>'סיכום לוועדה'!B335</f>
        <v>1001348231</v>
      </c>
      <c r="D335" s="330">
        <f>'סיכום לוועדה'!C335</f>
        <v>1001273598</v>
      </c>
      <c r="E335" s="330">
        <f>'סיכום לוועדה'!D335</f>
        <v>40000564</v>
      </c>
      <c r="F335" s="330">
        <f>'סיכום לוועדה'!E335</f>
        <v>20000201</v>
      </c>
      <c r="G335" s="330" t="str">
        <f>'סיכום לוועדה'!F335</f>
        <v>תל אביב -יפו</v>
      </c>
      <c r="H335" s="317" t="str">
        <f>'סיכום לוועדה'!G335</f>
        <v>עמותת הכוריאוגרפים (ע"ר)</v>
      </c>
      <c r="I335" s="318">
        <f>'סיכום לוועדה'!U335</f>
        <v>150000</v>
      </c>
      <c r="J335" s="319">
        <f>'סיכום לוועדה'!T335</f>
        <v>43888.272484066089</v>
      </c>
      <c r="K335" s="320">
        <f t="shared" si="78"/>
        <v>0</v>
      </c>
      <c r="L335" s="319">
        <f t="shared" si="79"/>
        <v>43888.272484066089</v>
      </c>
      <c r="M335" s="331">
        <f>'תחום תמיכה ב'!AF335</f>
        <v>3.0021730360608464E-4</v>
      </c>
      <c r="N335" s="319">
        <f t="shared" si="76"/>
        <v>49002.327720991103</v>
      </c>
      <c r="O335" s="321">
        <f t="shared" si="80"/>
        <v>0</v>
      </c>
      <c r="P335" s="322">
        <f t="shared" si="81"/>
        <v>49002.327720991103</v>
      </c>
      <c r="Q335" s="322">
        <f t="shared" si="82"/>
        <v>49024.639774986106</v>
      </c>
      <c r="R335" s="321">
        <f t="shared" si="83"/>
        <v>0</v>
      </c>
      <c r="S335" s="322">
        <f t="shared" si="84"/>
        <v>49024.639774986106</v>
      </c>
      <c r="T335" s="322">
        <f t="shared" si="85"/>
        <v>49024.639774986004</v>
      </c>
      <c r="U335" s="321">
        <f t="shared" si="86"/>
        <v>0</v>
      </c>
      <c r="V335" s="322">
        <f t="shared" si="87"/>
        <v>49024.639774986004</v>
      </c>
      <c r="W335" s="322">
        <f t="shared" si="88"/>
        <v>49024.639774986026</v>
      </c>
      <c r="X335" s="321">
        <f t="shared" si="89"/>
        <v>0</v>
      </c>
      <c r="Y335" s="322">
        <f t="shared" si="90"/>
        <v>49024.639774986026</v>
      </c>
      <c r="Z335" s="322">
        <f t="shared" si="91"/>
        <v>49024.639774986012</v>
      </c>
      <c r="AA335" s="323">
        <f t="shared" si="92"/>
        <v>49024.639774986012</v>
      </c>
      <c r="AB335" s="323"/>
      <c r="AC335" s="323"/>
      <c r="AD335" s="323"/>
      <c r="AE335" s="323"/>
      <c r="AF335" s="324">
        <f t="shared" si="93"/>
        <v>2.8075350148369264E-4</v>
      </c>
      <c r="AG335" s="312"/>
      <c r="AH335" s="312"/>
      <c r="AI335" s="325">
        <f t="shared" si="94"/>
        <v>1</v>
      </c>
      <c r="AJ335" s="312"/>
      <c r="AK335" s="312"/>
      <c r="AL335" s="312"/>
      <c r="AM335" s="312"/>
      <c r="AN335" s="312"/>
      <c r="AO335" s="312"/>
      <c r="AP335" s="312"/>
      <c r="AQ335" s="312"/>
      <c r="AR335" s="312"/>
      <c r="AS335" s="312"/>
      <c r="AT335" s="312"/>
      <c r="AU335" s="312"/>
      <c r="AV335" s="312"/>
      <c r="AW335" s="312"/>
      <c r="AX335" s="312"/>
      <c r="AY335" s="312"/>
      <c r="AZ335" s="312"/>
      <c r="BA335" s="312"/>
      <c r="BB335" s="312"/>
      <c r="BC335" s="312"/>
      <c r="BD335" s="312"/>
      <c r="BE335" s="312"/>
      <c r="BF335" s="312"/>
      <c r="BG335" s="312"/>
      <c r="BH335" s="312"/>
      <c r="BI335" s="312"/>
      <c r="BJ335" s="312"/>
      <c r="BK335" s="312"/>
      <c r="BL335" s="312"/>
      <c r="BM335" s="312"/>
      <c r="BN335" s="312"/>
      <c r="BO335" s="312"/>
      <c r="BP335" s="312"/>
      <c r="BQ335" s="312"/>
      <c r="BR335" s="312"/>
      <c r="BS335" s="312"/>
      <c r="BT335" s="312"/>
      <c r="BU335" s="312"/>
      <c r="BV335" s="312"/>
      <c r="BW335" s="312"/>
      <c r="BX335" s="312"/>
      <c r="BY335" s="312"/>
      <c r="BZ335" s="312"/>
      <c r="CA335" s="312"/>
      <c r="CB335" s="312"/>
      <c r="CC335" s="312"/>
      <c r="CD335" s="312"/>
      <c r="CE335" s="312"/>
      <c r="CF335" s="312"/>
      <c r="CG335" s="312"/>
      <c r="CH335" s="312"/>
      <c r="CI335" s="312"/>
      <c r="CJ335" s="312"/>
      <c r="CK335" s="312"/>
      <c r="CL335" s="312"/>
      <c r="CM335" s="312"/>
      <c r="CN335" s="312"/>
      <c r="CO335" s="312"/>
      <c r="CP335" s="312"/>
      <c r="CQ335" s="312"/>
      <c r="CR335" s="312"/>
      <c r="CS335" s="312"/>
      <c r="CT335" s="312"/>
      <c r="CU335" s="312"/>
      <c r="CV335" s="312"/>
      <c r="CW335" s="312"/>
      <c r="CX335" s="312"/>
      <c r="CY335" s="312"/>
      <c r="CZ335" s="312"/>
      <c r="DA335" s="312"/>
      <c r="DB335" s="312"/>
      <c r="DC335" s="312"/>
      <c r="DD335" s="312"/>
      <c r="DE335" s="312"/>
      <c r="DF335" s="312"/>
      <c r="DG335" s="312"/>
      <c r="DH335" s="312"/>
      <c r="DI335" s="312"/>
      <c r="DJ335" s="312"/>
      <c r="DK335" s="312"/>
      <c r="DL335" s="312"/>
      <c r="DM335" s="312"/>
      <c r="DN335" s="312"/>
      <c r="DO335" s="312"/>
      <c r="DP335" s="312"/>
      <c r="DQ335" s="312"/>
      <c r="DR335" s="312"/>
      <c r="DS335" s="312"/>
      <c r="DT335" s="312"/>
      <c r="DU335" s="312"/>
      <c r="DV335" s="312"/>
      <c r="DW335" s="312"/>
      <c r="DX335" s="312"/>
      <c r="DY335" s="312"/>
      <c r="DZ335" s="312"/>
      <c r="EA335" s="312"/>
      <c r="EB335" s="312"/>
      <c r="EC335" s="312"/>
      <c r="ED335" s="312"/>
      <c r="EE335" s="312"/>
      <c r="EF335" s="312"/>
      <c r="EG335" s="312"/>
      <c r="EH335" s="312"/>
      <c r="EI335" s="312"/>
      <c r="EJ335" s="312"/>
      <c r="EK335" s="312"/>
      <c r="EL335" s="312"/>
      <c r="EM335" s="312"/>
      <c r="EN335" s="312"/>
      <c r="EO335" s="312"/>
      <c r="EP335" s="312"/>
      <c r="EQ335" s="312"/>
      <c r="ER335" s="312"/>
      <c r="ES335" s="312"/>
      <c r="ET335" s="312"/>
      <c r="EU335" s="312"/>
      <c r="EV335" s="312"/>
      <c r="EW335" s="312"/>
      <c r="EX335" s="312"/>
      <c r="EY335" s="312"/>
      <c r="EZ335" s="312"/>
      <c r="FA335" s="312"/>
      <c r="FB335" s="312"/>
      <c r="FC335" s="312"/>
      <c r="FD335" s="312"/>
      <c r="FE335" s="312"/>
      <c r="FF335" s="312"/>
      <c r="FG335" s="312"/>
      <c r="FH335" s="312"/>
      <c r="FI335" s="312"/>
      <c r="FJ335" s="312"/>
      <c r="FK335" s="312"/>
      <c r="FL335" s="312"/>
      <c r="FM335" s="312"/>
      <c r="FN335" s="312"/>
      <c r="FO335" s="312"/>
      <c r="FP335" s="312"/>
      <c r="FQ335" s="312"/>
      <c r="FR335" s="312"/>
      <c r="FS335" s="312"/>
      <c r="FT335" s="312"/>
      <c r="FU335" s="312"/>
      <c r="FV335" s="312"/>
      <c r="FW335" s="312"/>
      <c r="FX335" s="312"/>
      <c r="FY335" s="312"/>
      <c r="FZ335" s="312"/>
      <c r="GA335" s="312"/>
      <c r="GB335" s="312"/>
      <c r="GC335" s="312"/>
      <c r="GD335" s="312"/>
      <c r="GE335" s="312"/>
      <c r="GF335" s="312"/>
      <c r="GG335" s="312"/>
      <c r="GH335" s="312"/>
      <c r="GI335" s="312"/>
      <c r="GJ335" s="312"/>
      <c r="GK335" s="312"/>
      <c r="GL335" s="312"/>
      <c r="GM335" s="312"/>
      <c r="GN335" s="312"/>
      <c r="GO335" s="312"/>
      <c r="GP335" s="312"/>
      <c r="GQ335" s="312"/>
      <c r="GR335" s="312"/>
      <c r="GS335" s="312"/>
      <c r="GT335" s="312"/>
      <c r="GU335" s="312"/>
      <c r="GV335" s="312"/>
      <c r="GW335" s="312"/>
      <c r="GX335" s="312"/>
      <c r="GY335" s="312"/>
    </row>
    <row r="336" spans="2:207" ht="15.75" x14ac:dyDescent="0.25">
      <c r="B336" s="316">
        <f t="shared" si="77"/>
        <v>306</v>
      </c>
      <c r="C336" s="330">
        <f>'סיכום לוועדה'!B336</f>
        <v>1001348232</v>
      </c>
      <c r="D336" s="330">
        <f>'סיכום לוועדה'!C336</f>
        <v>1001273521</v>
      </c>
      <c r="E336" s="330">
        <f>'סיכום לוועדה'!D336</f>
        <v>40000564</v>
      </c>
      <c r="F336" s="330">
        <f>'סיכום לוועדה'!E336</f>
        <v>20000201</v>
      </c>
      <c r="G336" s="330" t="str">
        <f>'סיכום לוועדה'!F336</f>
        <v>תל אביב -יפו</v>
      </c>
      <c r="H336" s="317" t="str">
        <f>'סיכום לוועדה'!G336</f>
        <v>עמותת הכוריאוגרפים (ע"ר)</v>
      </c>
      <c r="I336" s="318">
        <f>'סיכום לוועדה'!U336</f>
        <v>150000</v>
      </c>
      <c r="J336" s="319">
        <f>'סיכום לוועדה'!T336</f>
        <v>6987.7245470123125</v>
      </c>
      <c r="K336" s="320">
        <f t="shared" si="78"/>
        <v>0</v>
      </c>
      <c r="L336" s="319">
        <f t="shared" si="79"/>
        <v>6987.7245470123125</v>
      </c>
      <c r="M336" s="331">
        <f>'תחום תמיכה ב'!AF336</f>
        <v>3.8566469516915489E-5</v>
      </c>
      <c r="N336" s="319">
        <f t="shared" si="76"/>
        <v>7644.6855317178361</v>
      </c>
      <c r="O336" s="321">
        <f t="shared" si="80"/>
        <v>0</v>
      </c>
      <c r="P336" s="322">
        <f t="shared" si="81"/>
        <v>7644.6855317178361</v>
      </c>
      <c r="Q336" s="322">
        <f t="shared" si="82"/>
        <v>7648.1663589415894</v>
      </c>
      <c r="R336" s="321">
        <f t="shared" si="83"/>
        <v>0</v>
      </c>
      <c r="S336" s="322">
        <f t="shared" si="84"/>
        <v>7648.1663589415894</v>
      </c>
      <c r="T336" s="322">
        <f t="shared" si="85"/>
        <v>7648.1663589415739</v>
      </c>
      <c r="U336" s="321">
        <f t="shared" si="86"/>
        <v>0</v>
      </c>
      <c r="V336" s="322">
        <f t="shared" si="87"/>
        <v>7648.1663589415739</v>
      </c>
      <c r="W336" s="322">
        <f t="shared" si="88"/>
        <v>7648.1663589415775</v>
      </c>
      <c r="X336" s="321">
        <f t="shared" si="89"/>
        <v>0</v>
      </c>
      <c r="Y336" s="322">
        <f t="shared" si="90"/>
        <v>7648.1663589415775</v>
      </c>
      <c r="Z336" s="322">
        <f t="shared" si="91"/>
        <v>7648.1663589415757</v>
      </c>
      <c r="AA336" s="323">
        <f t="shared" si="92"/>
        <v>7648.1663589415757</v>
      </c>
      <c r="AB336" s="323"/>
      <c r="AC336" s="323"/>
      <c r="AD336" s="323"/>
      <c r="AE336" s="323"/>
      <c r="AF336" s="324">
        <f t="shared" si="93"/>
        <v>4.3799393428653593E-5</v>
      </c>
      <c r="AG336" s="312"/>
      <c r="AH336" s="312"/>
      <c r="AI336" s="325">
        <f t="shared" si="94"/>
        <v>1</v>
      </c>
      <c r="AJ336" s="312"/>
      <c r="AK336" s="312"/>
      <c r="AL336" s="312"/>
      <c r="AM336" s="312"/>
      <c r="AN336" s="312"/>
      <c r="AO336" s="312"/>
      <c r="AP336" s="312"/>
      <c r="AQ336" s="312"/>
      <c r="AR336" s="312"/>
      <c r="AS336" s="312"/>
      <c r="AT336" s="312"/>
      <c r="AU336" s="312"/>
      <c r="AV336" s="312"/>
      <c r="AW336" s="312"/>
      <c r="AX336" s="312"/>
      <c r="AY336" s="312"/>
      <c r="AZ336" s="312"/>
      <c r="BA336" s="312"/>
      <c r="BB336" s="312"/>
      <c r="BC336" s="312"/>
      <c r="BD336" s="312"/>
      <c r="BE336" s="312"/>
      <c r="BF336" s="312"/>
      <c r="BG336" s="312"/>
      <c r="BH336" s="312"/>
      <c r="BI336" s="312"/>
      <c r="BJ336" s="312"/>
      <c r="BK336" s="312"/>
      <c r="BL336" s="312"/>
      <c r="BM336" s="312"/>
      <c r="BN336" s="312"/>
      <c r="BO336" s="312"/>
      <c r="BP336" s="312"/>
      <c r="BQ336" s="312"/>
      <c r="BR336" s="312"/>
      <c r="BS336" s="312"/>
      <c r="BT336" s="312"/>
      <c r="BU336" s="312"/>
      <c r="BV336" s="312"/>
      <c r="BW336" s="312"/>
      <c r="BX336" s="312"/>
      <c r="BY336" s="312"/>
      <c r="BZ336" s="312"/>
      <c r="CA336" s="312"/>
      <c r="CB336" s="312"/>
      <c r="CC336" s="312"/>
      <c r="CD336" s="312"/>
      <c r="CE336" s="312"/>
      <c r="CF336" s="312"/>
      <c r="CG336" s="312"/>
      <c r="CH336" s="312"/>
      <c r="CI336" s="312"/>
      <c r="CJ336" s="312"/>
      <c r="CK336" s="312"/>
      <c r="CL336" s="312"/>
      <c r="CM336" s="312"/>
      <c r="CN336" s="312"/>
      <c r="CO336" s="312"/>
      <c r="CP336" s="312"/>
      <c r="CQ336" s="312"/>
      <c r="CR336" s="312"/>
      <c r="CS336" s="312"/>
      <c r="CT336" s="312"/>
      <c r="CU336" s="312"/>
      <c r="CV336" s="312"/>
      <c r="CW336" s="312"/>
      <c r="CX336" s="312"/>
      <c r="CY336" s="312"/>
      <c r="CZ336" s="312"/>
      <c r="DA336" s="312"/>
      <c r="DB336" s="312"/>
      <c r="DC336" s="312"/>
      <c r="DD336" s="312"/>
      <c r="DE336" s="312"/>
      <c r="DF336" s="312"/>
      <c r="DG336" s="312"/>
      <c r="DH336" s="312"/>
      <c r="DI336" s="312"/>
      <c r="DJ336" s="312"/>
      <c r="DK336" s="312"/>
      <c r="DL336" s="312"/>
      <c r="DM336" s="312"/>
      <c r="DN336" s="312"/>
      <c r="DO336" s="312"/>
      <c r="DP336" s="312"/>
      <c r="DQ336" s="312"/>
      <c r="DR336" s="312"/>
      <c r="DS336" s="312"/>
      <c r="DT336" s="312"/>
      <c r="DU336" s="312"/>
      <c r="DV336" s="312"/>
      <c r="DW336" s="312"/>
      <c r="DX336" s="312"/>
      <c r="DY336" s="312"/>
      <c r="DZ336" s="312"/>
      <c r="EA336" s="312"/>
      <c r="EB336" s="312"/>
      <c r="EC336" s="312"/>
      <c r="ED336" s="312"/>
      <c r="EE336" s="312"/>
      <c r="EF336" s="312"/>
      <c r="EG336" s="312"/>
      <c r="EH336" s="312"/>
      <c r="EI336" s="312"/>
      <c r="EJ336" s="312"/>
      <c r="EK336" s="312"/>
      <c r="EL336" s="312"/>
      <c r="EM336" s="312"/>
      <c r="EN336" s="312"/>
      <c r="EO336" s="312"/>
      <c r="EP336" s="312"/>
      <c r="EQ336" s="312"/>
      <c r="ER336" s="312"/>
      <c r="ES336" s="312"/>
      <c r="ET336" s="312"/>
      <c r="EU336" s="312"/>
      <c r="EV336" s="312"/>
      <c r="EW336" s="312"/>
      <c r="EX336" s="312"/>
      <c r="EY336" s="312"/>
      <c r="EZ336" s="312"/>
      <c r="FA336" s="312"/>
      <c r="FB336" s="312"/>
      <c r="FC336" s="312"/>
      <c r="FD336" s="312"/>
      <c r="FE336" s="312"/>
      <c r="FF336" s="312"/>
      <c r="FG336" s="312"/>
      <c r="FH336" s="312"/>
      <c r="FI336" s="312"/>
      <c r="FJ336" s="312"/>
      <c r="FK336" s="312"/>
      <c r="FL336" s="312"/>
      <c r="FM336" s="312"/>
      <c r="FN336" s="312"/>
      <c r="FO336" s="312"/>
      <c r="FP336" s="312"/>
      <c r="FQ336" s="312"/>
      <c r="FR336" s="312"/>
      <c r="FS336" s="312"/>
      <c r="FT336" s="312"/>
      <c r="FU336" s="312"/>
      <c r="FV336" s="312"/>
      <c r="FW336" s="312"/>
      <c r="FX336" s="312"/>
      <c r="FY336" s="312"/>
      <c r="FZ336" s="312"/>
      <c r="GA336" s="312"/>
      <c r="GB336" s="312"/>
      <c r="GC336" s="312"/>
      <c r="GD336" s="312"/>
      <c r="GE336" s="312"/>
      <c r="GF336" s="312"/>
      <c r="GG336" s="312"/>
      <c r="GH336" s="312"/>
      <c r="GI336" s="312"/>
      <c r="GJ336" s="312"/>
      <c r="GK336" s="312"/>
      <c r="GL336" s="312"/>
      <c r="GM336" s="312"/>
      <c r="GN336" s="312"/>
      <c r="GO336" s="312"/>
      <c r="GP336" s="312"/>
      <c r="GQ336" s="312"/>
      <c r="GR336" s="312"/>
      <c r="GS336" s="312"/>
      <c r="GT336" s="312"/>
      <c r="GU336" s="312"/>
      <c r="GV336" s="312"/>
      <c r="GW336" s="312"/>
      <c r="GX336" s="312"/>
      <c r="GY336" s="312"/>
    </row>
    <row r="337" spans="2:207" ht="15.75" x14ac:dyDescent="0.25">
      <c r="B337" s="316">
        <f t="shared" si="77"/>
        <v>307</v>
      </c>
      <c r="C337" s="330">
        <f>'סיכום לוועדה'!B337</f>
        <v>1001348233</v>
      </c>
      <c r="D337" s="330">
        <f>'סיכום לוועדה'!C337</f>
        <v>1001272589</v>
      </c>
      <c r="E337" s="330">
        <f>'סיכום לוועדה'!D337</f>
        <v>40000564</v>
      </c>
      <c r="F337" s="330">
        <f>'סיכום לוועדה'!E337</f>
        <v>20000201</v>
      </c>
      <c r="G337" s="330" t="str">
        <f>'סיכום לוועדה'!F337</f>
        <v>תל אביב -יפו</v>
      </c>
      <c r="H337" s="317" t="str">
        <f>'סיכום לוועדה'!G337</f>
        <v>עמותת הכוריאוגרפים (ע"ר)</v>
      </c>
      <c r="I337" s="318">
        <f>'סיכום לוועדה'!U337</f>
        <v>150000</v>
      </c>
      <c r="J337" s="319">
        <f>'סיכום לוועדה'!T337</f>
        <v>10597.199409843883</v>
      </c>
      <c r="K337" s="320">
        <f t="shared" si="78"/>
        <v>0</v>
      </c>
      <c r="L337" s="319">
        <f t="shared" si="79"/>
        <v>10597.199409843883</v>
      </c>
      <c r="M337" s="331">
        <f>'תחום תמיכה ב'!AF337</f>
        <v>7.3946051296216623E-5</v>
      </c>
      <c r="N337" s="319">
        <f t="shared" si="76"/>
        <v>11856.834302100233</v>
      </c>
      <c r="O337" s="321">
        <f t="shared" si="80"/>
        <v>0</v>
      </c>
      <c r="P337" s="322">
        <f t="shared" si="81"/>
        <v>11856.834302100233</v>
      </c>
      <c r="Q337" s="322">
        <f t="shared" si="82"/>
        <v>11862.233031904756</v>
      </c>
      <c r="R337" s="321">
        <f t="shared" si="83"/>
        <v>0</v>
      </c>
      <c r="S337" s="322">
        <f t="shared" si="84"/>
        <v>11862.233031904756</v>
      </c>
      <c r="T337" s="322">
        <f t="shared" si="85"/>
        <v>11862.233031904732</v>
      </c>
      <c r="U337" s="321">
        <f t="shared" si="86"/>
        <v>0</v>
      </c>
      <c r="V337" s="322">
        <f t="shared" si="87"/>
        <v>11862.233031904732</v>
      </c>
      <c r="W337" s="322">
        <f t="shared" si="88"/>
        <v>11862.233031904736</v>
      </c>
      <c r="X337" s="321">
        <f t="shared" si="89"/>
        <v>0</v>
      </c>
      <c r="Y337" s="322">
        <f t="shared" si="90"/>
        <v>11862.233031904736</v>
      </c>
      <c r="Z337" s="322">
        <f t="shared" si="91"/>
        <v>11862.233031904734</v>
      </c>
      <c r="AA337" s="323">
        <f t="shared" si="92"/>
        <v>11862.233031904734</v>
      </c>
      <c r="AB337" s="323"/>
      <c r="AC337" s="323"/>
      <c r="AD337" s="323"/>
      <c r="AE337" s="323"/>
      <c r="AF337" s="324">
        <f t="shared" si="93"/>
        <v>6.7932441205249513E-5</v>
      </c>
      <c r="AG337" s="312"/>
      <c r="AH337" s="312"/>
      <c r="AI337" s="325">
        <f t="shared" si="94"/>
        <v>1</v>
      </c>
      <c r="AJ337" s="312"/>
      <c r="AK337" s="312"/>
      <c r="AL337" s="312"/>
      <c r="AM337" s="312"/>
      <c r="AN337" s="312"/>
      <c r="AO337" s="312"/>
      <c r="AP337" s="312"/>
      <c r="AQ337" s="312"/>
      <c r="AR337" s="312"/>
      <c r="AS337" s="312"/>
      <c r="AT337" s="312"/>
      <c r="AU337" s="312"/>
      <c r="AV337" s="312"/>
      <c r="AW337" s="312"/>
      <c r="AX337" s="312"/>
      <c r="AY337" s="312"/>
      <c r="AZ337" s="312"/>
      <c r="BA337" s="312"/>
      <c r="BB337" s="312"/>
      <c r="BC337" s="312"/>
      <c r="BD337" s="312"/>
      <c r="BE337" s="312"/>
      <c r="BF337" s="312"/>
      <c r="BG337" s="312"/>
      <c r="BH337" s="312"/>
      <c r="BI337" s="312"/>
      <c r="BJ337" s="312"/>
      <c r="BK337" s="312"/>
      <c r="BL337" s="312"/>
      <c r="BM337" s="312"/>
      <c r="BN337" s="312"/>
      <c r="BO337" s="312"/>
      <c r="BP337" s="312"/>
      <c r="BQ337" s="312"/>
      <c r="BR337" s="312"/>
      <c r="BS337" s="312"/>
      <c r="BT337" s="312"/>
      <c r="BU337" s="312"/>
      <c r="BV337" s="312"/>
      <c r="BW337" s="312"/>
      <c r="BX337" s="312"/>
      <c r="BY337" s="312"/>
      <c r="BZ337" s="312"/>
      <c r="CA337" s="312"/>
      <c r="CB337" s="312"/>
      <c r="CC337" s="312"/>
      <c r="CD337" s="312"/>
      <c r="CE337" s="312"/>
      <c r="CF337" s="312"/>
      <c r="CG337" s="312"/>
      <c r="CH337" s="312"/>
      <c r="CI337" s="312"/>
      <c r="CJ337" s="312"/>
      <c r="CK337" s="312"/>
      <c r="CL337" s="312"/>
      <c r="CM337" s="312"/>
      <c r="CN337" s="312"/>
      <c r="CO337" s="312"/>
      <c r="CP337" s="312"/>
      <c r="CQ337" s="312"/>
      <c r="CR337" s="312"/>
      <c r="CS337" s="312"/>
      <c r="CT337" s="312"/>
      <c r="CU337" s="312"/>
      <c r="CV337" s="312"/>
      <c r="CW337" s="312"/>
      <c r="CX337" s="312"/>
      <c r="CY337" s="312"/>
      <c r="CZ337" s="312"/>
      <c r="DA337" s="312"/>
      <c r="DB337" s="312"/>
      <c r="DC337" s="312"/>
      <c r="DD337" s="312"/>
      <c r="DE337" s="312"/>
      <c r="DF337" s="312"/>
      <c r="DG337" s="312"/>
      <c r="DH337" s="312"/>
      <c r="DI337" s="312"/>
      <c r="DJ337" s="312"/>
      <c r="DK337" s="312"/>
      <c r="DL337" s="312"/>
      <c r="DM337" s="312"/>
      <c r="DN337" s="312"/>
      <c r="DO337" s="312"/>
      <c r="DP337" s="312"/>
      <c r="DQ337" s="312"/>
      <c r="DR337" s="312"/>
      <c r="DS337" s="312"/>
      <c r="DT337" s="312"/>
      <c r="DU337" s="312"/>
      <c r="DV337" s="312"/>
      <c r="DW337" s="312"/>
      <c r="DX337" s="312"/>
      <c r="DY337" s="312"/>
      <c r="DZ337" s="312"/>
      <c r="EA337" s="312"/>
      <c r="EB337" s="312"/>
      <c r="EC337" s="312"/>
      <c r="ED337" s="312"/>
      <c r="EE337" s="312"/>
      <c r="EF337" s="312"/>
      <c r="EG337" s="312"/>
      <c r="EH337" s="312"/>
      <c r="EI337" s="312"/>
      <c r="EJ337" s="312"/>
      <c r="EK337" s="312"/>
      <c r="EL337" s="312"/>
      <c r="EM337" s="312"/>
      <c r="EN337" s="312"/>
      <c r="EO337" s="312"/>
      <c r="EP337" s="312"/>
      <c r="EQ337" s="312"/>
      <c r="ER337" s="312"/>
      <c r="ES337" s="312"/>
      <c r="ET337" s="312"/>
      <c r="EU337" s="312"/>
      <c r="EV337" s="312"/>
      <c r="EW337" s="312"/>
      <c r="EX337" s="312"/>
      <c r="EY337" s="312"/>
      <c r="EZ337" s="312"/>
      <c r="FA337" s="312"/>
      <c r="FB337" s="312"/>
      <c r="FC337" s="312"/>
      <c r="FD337" s="312"/>
      <c r="FE337" s="312"/>
      <c r="FF337" s="312"/>
      <c r="FG337" s="312"/>
      <c r="FH337" s="312"/>
      <c r="FI337" s="312"/>
      <c r="FJ337" s="312"/>
      <c r="FK337" s="312"/>
      <c r="FL337" s="312"/>
      <c r="FM337" s="312"/>
      <c r="FN337" s="312"/>
      <c r="FO337" s="312"/>
      <c r="FP337" s="312"/>
      <c r="FQ337" s="312"/>
      <c r="FR337" s="312"/>
      <c r="FS337" s="312"/>
      <c r="FT337" s="312"/>
      <c r="FU337" s="312"/>
      <c r="FV337" s="312"/>
      <c r="FW337" s="312"/>
      <c r="FX337" s="312"/>
      <c r="FY337" s="312"/>
      <c r="FZ337" s="312"/>
      <c r="GA337" s="312"/>
      <c r="GB337" s="312"/>
      <c r="GC337" s="312"/>
      <c r="GD337" s="312"/>
      <c r="GE337" s="312"/>
      <c r="GF337" s="312"/>
      <c r="GG337" s="312"/>
      <c r="GH337" s="312"/>
      <c r="GI337" s="312"/>
      <c r="GJ337" s="312"/>
      <c r="GK337" s="312"/>
      <c r="GL337" s="312"/>
      <c r="GM337" s="312"/>
      <c r="GN337" s="312"/>
      <c r="GO337" s="312"/>
      <c r="GP337" s="312"/>
      <c r="GQ337" s="312"/>
      <c r="GR337" s="312"/>
      <c r="GS337" s="312"/>
      <c r="GT337" s="312"/>
      <c r="GU337" s="312"/>
      <c r="GV337" s="312"/>
      <c r="GW337" s="312"/>
      <c r="GX337" s="312"/>
      <c r="GY337" s="312"/>
    </row>
    <row r="338" spans="2:207" ht="15.75" x14ac:dyDescent="0.25">
      <c r="B338" s="316">
        <f t="shared" si="77"/>
        <v>308</v>
      </c>
      <c r="C338" s="330">
        <f>'סיכום לוועדה'!B338</f>
        <v>1001348234</v>
      </c>
      <c r="D338" s="330">
        <f>'סיכום לוועדה'!C338</f>
        <v>1001272587</v>
      </c>
      <c r="E338" s="330">
        <f>'סיכום לוועדה'!D338</f>
        <v>40000564</v>
      </c>
      <c r="F338" s="330">
        <f>'סיכום לוועדה'!E338</f>
        <v>20000201</v>
      </c>
      <c r="G338" s="330" t="str">
        <f>'סיכום לוועדה'!F338</f>
        <v>תל אביב -יפו</v>
      </c>
      <c r="H338" s="317" t="str">
        <f>'סיכום לוועדה'!G338</f>
        <v>עמותת הכוריאוגרפים (ע"ר)</v>
      </c>
      <c r="I338" s="318">
        <f>'סיכום לוועדה'!U338</f>
        <v>150000</v>
      </c>
      <c r="J338" s="319">
        <f>'סיכום לוועדה'!T338</f>
        <v>5272.5056808249155</v>
      </c>
      <c r="K338" s="320">
        <f t="shared" si="78"/>
        <v>0</v>
      </c>
      <c r="L338" s="319">
        <f t="shared" si="79"/>
        <v>5272.5056808249155</v>
      </c>
      <c r="M338" s="331">
        <f>'תחום תמיכה ב'!AF338</f>
        <v>2.5360756617049396E-5</v>
      </c>
      <c r="N338" s="319">
        <f t="shared" si="76"/>
        <v>5704.5137917230695</v>
      </c>
      <c r="O338" s="321">
        <f t="shared" si="80"/>
        <v>0</v>
      </c>
      <c r="P338" s="322">
        <f t="shared" si="81"/>
        <v>5704.5137917230695</v>
      </c>
      <c r="Q338" s="322">
        <f t="shared" si="82"/>
        <v>5707.1112075123938</v>
      </c>
      <c r="R338" s="321">
        <f t="shared" si="83"/>
        <v>0</v>
      </c>
      <c r="S338" s="322">
        <f t="shared" si="84"/>
        <v>5707.1112075123938</v>
      </c>
      <c r="T338" s="322">
        <f t="shared" si="85"/>
        <v>5707.111207512382</v>
      </c>
      <c r="U338" s="321">
        <f t="shared" si="86"/>
        <v>0</v>
      </c>
      <c r="V338" s="322">
        <f t="shared" si="87"/>
        <v>5707.111207512382</v>
      </c>
      <c r="W338" s="322">
        <f t="shared" si="88"/>
        <v>5707.1112075123838</v>
      </c>
      <c r="X338" s="321">
        <f t="shared" si="89"/>
        <v>0</v>
      </c>
      <c r="Y338" s="322">
        <f t="shared" si="90"/>
        <v>5707.1112075123838</v>
      </c>
      <c r="Z338" s="322">
        <f t="shared" si="91"/>
        <v>5707.1112075123829</v>
      </c>
      <c r="AA338" s="323">
        <f t="shared" si="92"/>
        <v>5707.1112075123829</v>
      </c>
      <c r="AB338" s="323"/>
      <c r="AC338" s="323"/>
      <c r="AD338" s="323"/>
      <c r="AE338" s="323"/>
      <c r="AF338" s="324">
        <f t="shared" si="93"/>
        <v>3.2683390683137024E-5</v>
      </c>
      <c r="AG338" s="312"/>
      <c r="AH338" s="312"/>
      <c r="AI338" s="325">
        <f t="shared" si="94"/>
        <v>1</v>
      </c>
      <c r="AJ338" s="312"/>
      <c r="AK338" s="312"/>
      <c r="AL338" s="312"/>
      <c r="AM338" s="312"/>
      <c r="AN338" s="312"/>
      <c r="AO338" s="312"/>
      <c r="AP338" s="312"/>
      <c r="AQ338" s="312"/>
      <c r="AR338" s="312"/>
      <c r="AS338" s="312"/>
      <c r="AT338" s="312"/>
      <c r="AU338" s="312"/>
      <c r="AV338" s="312"/>
      <c r="AW338" s="312"/>
      <c r="AX338" s="312"/>
      <c r="AY338" s="312"/>
      <c r="AZ338" s="312"/>
      <c r="BA338" s="312"/>
      <c r="BB338" s="312"/>
      <c r="BC338" s="312"/>
      <c r="BD338" s="312"/>
      <c r="BE338" s="312"/>
      <c r="BF338" s="312"/>
      <c r="BG338" s="312"/>
      <c r="BH338" s="312"/>
      <c r="BI338" s="312"/>
      <c r="BJ338" s="312"/>
      <c r="BK338" s="312"/>
      <c r="BL338" s="312"/>
      <c r="BM338" s="312"/>
      <c r="BN338" s="312"/>
      <c r="BO338" s="312"/>
      <c r="BP338" s="312"/>
      <c r="BQ338" s="312"/>
      <c r="BR338" s="312"/>
      <c r="BS338" s="312"/>
      <c r="BT338" s="312"/>
      <c r="BU338" s="312"/>
      <c r="BV338" s="312"/>
      <c r="BW338" s="312"/>
      <c r="BX338" s="312"/>
      <c r="BY338" s="312"/>
      <c r="BZ338" s="312"/>
      <c r="CA338" s="312"/>
      <c r="CB338" s="312"/>
      <c r="CC338" s="312"/>
      <c r="CD338" s="312"/>
      <c r="CE338" s="312"/>
      <c r="CF338" s="312"/>
      <c r="CG338" s="312"/>
      <c r="CH338" s="312"/>
      <c r="CI338" s="312"/>
      <c r="CJ338" s="312"/>
      <c r="CK338" s="312"/>
      <c r="CL338" s="312"/>
      <c r="CM338" s="312"/>
      <c r="CN338" s="312"/>
      <c r="CO338" s="312"/>
      <c r="CP338" s="312"/>
      <c r="CQ338" s="312"/>
      <c r="CR338" s="312"/>
      <c r="CS338" s="312"/>
      <c r="CT338" s="312"/>
      <c r="CU338" s="312"/>
      <c r="CV338" s="312"/>
      <c r="CW338" s="312"/>
      <c r="CX338" s="312"/>
      <c r="CY338" s="312"/>
      <c r="CZ338" s="312"/>
      <c r="DA338" s="312"/>
      <c r="DB338" s="312"/>
      <c r="DC338" s="312"/>
      <c r="DD338" s="312"/>
      <c r="DE338" s="312"/>
      <c r="DF338" s="312"/>
      <c r="DG338" s="312"/>
      <c r="DH338" s="312"/>
      <c r="DI338" s="312"/>
      <c r="DJ338" s="312"/>
      <c r="DK338" s="312"/>
      <c r="DL338" s="312"/>
      <c r="DM338" s="312"/>
      <c r="DN338" s="312"/>
      <c r="DO338" s="312"/>
      <c r="DP338" s="312"/>
      <c r="DQ338" s="312"/>
      <c r="DR338" s="312"/>
      <c r="DS338" s="312"/>
      <c r="DT338" s="312"/>
      <c r="DU338" s="312"/>
      <c r="DV338" s="312"/>
      <c r="DW338" s="312"/>
      <c r="DX338" s="312"/>
      <c r="DY338" s="312"/>
      <c r="DZ338" s="312"/>
      <c r="EA338" s="312"/>
      <c r="EB338" s="312"/>
      <c r="EC338" s="312"/>
      <c r="ED338" s="312"/>
      <c r="EE338" s="312"/>
      <c r="EF338" s="312"/>
      <c r="EG338" s="312"/>
      <c r="EH338" s="312"/>
      <c r="EI338" s="312"/>
      <c r="EJ338" s="312"/>
      <c r="EK338" s="312"/>
      <c r="EL338" s="312"/>
      <c r="EM338" s="312"/>
      <c r="EN338" s="312"/>
      <c r="EO338" s="312"/>
      <c r="EP338" s="312"/>
      <c r="EQ338" s="312"/>
      <c r="ER338" s="312"/>
      <c r="ES338" s="312"/>
      <c r="ET338" s="312"/>
      <c r="EU338" s="312"/>
      <c r="EV338" s="312"/>
      <c r="EW338" s="312"/>
      <c r="EX338" s="312"/>
      <c r="EY338" s="312"/>
      <c r="EZ338" s="312"/>
      <c r="FA338" s="312"/>
      <c r="FB338" s="312"/>
      <c r="FC338" s="312"/>
      <c r="FD338" s="312"/>
      <c r="FE338" s="312"/>
      <c r="FF338" s="312"/>
      <c r="FG338" s="312"/>
      <c r="FH338" s="312"/>
      <c r="FI338" s="312"/>
      <c r="FJ338" s="312"/>
      <c r="FK338" s="312"/>
      <c r="FL338" s="312"/>
      <c r="FM338" s="312"/>
      <c r="FN338" s="312"/>
      <c r="FO338" s="312"/>
      <c r="FP338" s="312"/>
      <c r="FQ338" s="312"/>
      <c r="FR338" s="312"/>
      <c r="FS338" s="312"/>
      <c r="FT338" s="312"/>
      <c r="FU338" s="312"/>
      <c r="FV338" s="312"/>
      <c r="FW338" s="312"/>
      <c r="FX338" s="312"/>
      <c r="FY338" s="312"/>
      <c r="FZ338" s="312"/>
      <c r="GA338" s="312"/>
      <c r="GB338" s="312"/>
      <c r="GC338" s="312"/>
      <c r="GD338" s="312"/>
      <c r="GE338" s="312"/>
      <c r="GF338" s="312"/>
      <c r="GG338" s="312"/>
      <c r="GH338" s="312"/>
      <c r="GI338" s="312"/>
      <c r="GJ338" s="312"/>
      <c r="GK338" s="312"/>
      <c r="GL338" s="312"/>
      <c r="GM338" s="312"/>
      <c r="GN338" s="312"/>
      <c r="GO338" s="312"/>
      <c r="GP338" s="312"/>
      <c r="GQ338" s="312"/>
      <c r="GR338" s="312"/>
      <c r="GS338" s="312"/>
      <c r="GT338" s="312"/>
      <c r="GU338" s="312"/>
      <c r="GV338" s="312"/>
      <c r="GW338" s="312"/>
      <c r="GX338" s="312"/>
      <c r="GY338" s="312"/>
    </row>
    <row r="339" spans="2:207" ht="15.75" x14ac:dyDescent="0.25">
      <c r="B339" s="316">
        <f t="shared" si="77"/>
        <v>309</v>
      </c>
      <c r="C339" s="330">
        <f>'סיכום לוועדה'!B339</f>
        <v>1001348235</v>
      </c>
      <c r="D339" s="330">
        <f>'סיכום לוועדה'!C339</f>
        <v>1001272585</v>
      </c>
      <c r="E339" s="330">
        <f>'סיכום לוועדה'!D339</f>
        <v>40000564</v>
      </c>
      <c r="F339" s="330">
        <f>'סיכום לוועדה'!E339</f>
        <v>20000201</v>
      </c>
      <c r="G339" s="330" t="str">
        <f>'סיכום לוועדה'!F339</f>
        <v>תל אביב -יפו</v>
      </c>
      <c r="H339" s="317" t="str">
        <f>'סיכום לוועדה'!G339</f>
        <v>עמותת הכוריאוגרפים (ע"ר)</v>
      </c>
      <c r="I339" s="318">
        <f>'סיכום לוועדה'!U339</f>
        <v>150000</v>
      </c>
      <c r="J339" s="319">
        <f>'סיכום לוועדה'!T339</f>
        <v>22025.189310239875</v>
      </c>
      <c r="K339" s="320">
        <f t="shared" si="78"/>
        <v>0</v>
      </c>
      <c r="L339" s="319">
        <f t="shared" si="79"/>
        <v>22025.189310239875</v>
      </c>
      <c r="M339" s="331">
        <f>'תחום תמיכה ב'!AF339</f>
        <v>8.0849094825960463E-5</v>
      </c>
      <c r="N339" s="319">
        <f t="shared" si="76"/>
        <v>23402.414179789233</v>
      </c>
      <c r="O339" s="321">
        <f t="shared" si="80"/>
        <v>0</v>
      </c>
      <c r="P339" s="322">
        <f t="shared" si="81"/>
        <v>23402.414179789233</v>
      </c>
      <c r="Q339" s="322">
        <f t="shared" si="82"/>
        <v>23413.06991703841</v>
      </c>
      <c r="R339" s="321">
        <f t="shared" si="83"/>
        <v>0</v>
      </c>
      <c r="S339" s="322">
        <f t="shared" si="84"/>
        <v>23413.06991703841</v>
      </c>
      <c r="T339" s="322">
        <f t="shared" si="85"/>
        <v>23413.069917038363</v>
      </c>
      <c r="U339" s="321">
        <f t="shared" si="86"/>
        <v>0</v>
      </c>
      <c r="V339" s="322">
        <f t="shared" si="87"/>
        <v>23413.069917038363</v>
      </c>
      <c r="W339" s="322">
        <f t="shared" si="88"/>
        <v>23413.06991703837</v>
      </c>
      <c r="X339" s="321">
        <f t="shared" si="89"/>
        <v>0</v>
      </c>
      <c r="Y339" s="322">
        <f t="shared" si="90"/>
        <v>23413.06991703837</v>
      </c>
      <c r="Z339" s="322">
        <f t="shared" si="91"/>
        <v>23413.069917038367</v>
      </c>
      <c r="AA339" s="323">
        <f t="shared" si="92"/>
        <v>23413.069917038367</v>
      </c>
      <c r="AB339" s="323"/>
      <c r="AC339" s="323"/>
      <c r="AD339" s="323"/>
      <c r="AE339" s="323"/>
      <c r="AF339" s="324">
        <f t="shared" si="93"/>
        <v>1.3408158407407505E-4</v>
      </c>
      <c r="AG339" s="312"/>
      <c r="AH339" s="312"/>
      <c r="AI339" s="325">
        <f t="shared" si="94"/>
        <v>1</v>
      </c>
      <c r="AJ339" s="312"/>
      <c r="AK339" s="312"/>
      <c r="AL339" s="312"/>
      <c r="AM339" s="312"/>
      <c r="AN339" s="312"/>
      <c r="AO339" s="312"/>
      <c r="AP339" s="312"/>
      <c r="AQ339" s="312"/>
      <c r="AR339" s="312"/>
      <c r="AS339" s="312"/>
      <c r="AT339" s="312"/>
      <c r="AU339" s="312"/>
      <c r="AV339" s="312"/>
      <c r="AW339" s="312"/>
      <c r="AX339" s="312"/>
      <c r="AY339" s="312"/>
      <c r="AZ339" s="312"/>
      <c r="BA339" s="312"/>
      <c r="BB339" s="312"/>
      <c r="BC339" s="312"/>
      <c r="BD339" s="312"/>
      <c r="BE339" s="312"/>
      <c r="BF339" s="312"/>
      <c r="BG339" s="312"/>
      <c r="BH339" s="312"/>
      <c r="BI339" s="312"/>
      <c r="BJ339" s="312"/>
      <c r="BK339" s="312"/>
      <c r="BL339" s="312"/>
      <c r="BM339" s="312"/>
      <c r="BN339" s="312"/>
      <c r="BO339" s="312"/>
      <c r="BP339" s="312"/>
      <c r="BQ339" s="312"/>
      <c r="BR339" s="312"/>
      <c r="BS339" s="312"/>
      <c r="BT339" s="312"/>
      <c r="BU339" s="312"/>
      <c r="BV339" s="312"/>
      <c r="BW339" s="312"/>
      <c r="BX339" s="312"/>
      <c r="BY339" s="312"/>
      <c r="BZ339" s="312"/>
      <c r="CA339" s="312"/>
      <c r="CB339" s="312"/>
      <c r="CC339" s="312"/>
      <c r="CD339" s="312"/>
      <c r="CE339" s="312"/>
      <c r="CF339" s="312"/>
      <c r="CG339" s="312"/>
      <c r="CH339" s="312"/>
      <c r="CI339" s="312"/>
      <c r="CJ339" s="312"/>
      <c r="CK339" s="312"/>
      <c r="CL339" s="312"/>
      <c r="CM339" s="312"/>
      <c r="CN339" s="312"/>
      <c r="CO339" s="312"/>
      <c r="CP339" s="312"/>
      <c r="CQ339" s="312"/>
      <c r="CR339" s="312"/>
      <c r="CS339" s="312"/>
      <c r="CT339" s="312"/>
      <c r="CU339" s="312"/>
      <c r="CV339" s="312"/>
      <c r="CW339" s="312"/>
      <c r="CX339" s="312"/>
      <c r="CY339" s="312"/>
      <c r="CZ339" s="312"/>
      <c r="DA339" s="312"/>
      <c r="DB339" s="312"/>
      <c r="DC339" s="312"/>
      <c r="DD339" s="312"/>
      <c r="DE339" s="312"/>
      <c r="DF339" s="312"/>
      <c r="DG339" s="312"/>
      <c r="DH339" s="312"/>
      <c r="DI339" s="312"/>
      <c r="DJ339" s="312"/>
      <c r="DK339" s="312"/>
      <c r="DL339" s="312"/>
      <c r="DM339" s="312"/>
      <c r="DN339" s="312"/>
      <c r="DO339" s="312"/>
      <c r="DP339" s="312"/>
      <c r="DQ339" s="312"/>
      <c r="DR339" s="312"/>
      <c r="DS339" s="312"/>
      <c r="DT339" s="312"/>
      <c r="DU339" s="312"/>
      <c r="DV339" s="312"/>
      <c r="DW339" s="312"/>
      <c r="DX339" s="312"/>
      <c r="DY339" s="312"/>
      <c r="DZ339" s="312"/>
      <c r="EA339" s="312"/>
      <c r="EB339" s="312"/>
      <c r="EC339" s="312"/>
      <c r="ED339" s="312"/>
      <c r="EE339" s="312"/>
      <c r="EF339" s="312"/>
      <c r="EG339" s="312"/>
      <c r="EH339" s="312"/>
      <c r="EI339" s="312"/>
      <c r="EJ339" s="312"/>
      <c r="EK339" s="312"/>
      <c r="EL339" s="312"/>
      <c r="EM339" s="312"/>
      <c r="EN339" s="312"/>
      <c r="EO339" s="312"/>
      <c r="EP339" s="312"/>
      <c r="EQ339" s="312"/>
      <c r="ER339" s="312"/>
      <c r="ES339" s="312"/>
      <c r="ET339" s="312"/>
      <c r="EU339" s="312"/>
      <c r="EV339" s="312"/>
      <c r="EW339" s="312"/>
      <c r="EX339" s="312"/>
      <c r="EY339" s="312"/>
      <c r="EZ339" s="312"/>
      <c r="FA339" s="312"/>
      <c r="FB339" s="312"/>
      <c r="FC339" s="312"/>
      <c r="FD339" s="312"/>
      <c r="FE339" s="312"/>
      <c r="FF339" s="312"/>
      <c r="FG339" s="312"/>
      <c r="FH339" s="312"/>
      <c r="FI339" s="312"/>
      <c r="FJ339" s="312"/>
      <c r="FK339" s="312"/>
      <c r="FL339" s="312"/>
      <c r="FM339" s="312"/>
      <c r="FN339" s="312"/>
      <c r="FO339" s="312"/>
      <c r="FP339" s="312"/>
      <c r="FQ339" s="312"/>
      <c r="FR339" s="312"/>
      <c r="FS339" s="312"/>
      <c r="FT339" s="312"/>
      <c r="FU339" s="312"/>
      <c r="FV339" s="312"/>
      <c r="FW339" s="312"/>
      <c r="FX339" s="312"/>
      <c r="FY339" s="312"/>
      <c r="FZ339" s="312"/>
      <c r="GA339" s="312"/>
      <c r="GB339" s="312"/>
      <c r="GC339" s="312"/>
      <c r="GD339" s="312"/>
      <c r="GE339" s="312"/>
      <c r="GF339" s="312"/>
      <c r="GG339" s="312"/>
      <c r="GH339" s="312"/>
      <c r="GI339" s="312"/>
      <c r="GJ339" s="312"/>
      <c r="GK339" s="312"/>
      <c r="GL339" s="312"/>
      <c r="GM339" s="312"/>
      <c r="GN339" s="312"/>
      <c r="GO339" s="312"/>
      <c r="GP339" s="312"/>
      <c r="GQ339" s="312"/>
      <c r="GR339" s="312"/>
      <c r="GS339" s="312"/>
      <c r="GT339" s="312"/>
      <c r="GU339" s="312"/>
      <c r="GV339" s="312"/>
      <c r="GW339" s="312"/>
      <c r="GX339" s="312"/>
      <c r="GY339" s="312"/>
    </row>
    <row r="340" spans="2:207" ht="15.75" x14ac:dyDescent="0.25">
      <c r="B340" s="316">
        <f t="shared" si="77"/>
        <v>310</v>
      </c>
      <c r="C340" s="330">
        <f>'סיכום לוועדה'!B340</f>
        <v>1001348236</v>
      </c>
      <c r="D340" s="330">
        <f>'סיכום לוועדה'!C340</f>
        <v>1001272586</v>
      </c>
      <c r="E340" s="330">
        <f>'סיכום לוועדה'!D340</f>
        <v>40000564</v>
      </c>
      <c r="F340" s="330">
        <f>'סיכום לוועדה'!E340</f>
        <v>20000201</v>
      </c>
      <c r="G340" s="330" t="str">
        <f>'סיכום לוועדה'!F340</f>
        <v>תל אביב -יפו</v>
      </c>
      <c r="H340" s="317" t="str">
        <f>'סיכום לוועדה'!G340</f>
        <v>עמותת הכוריאוגרפים (ע"ר)</v>
      </c>
      <c r="I340" s="318">
        <f>'סיכום לוועדה'!U340</f>
        <v>150000</v>
      </c>
      <c r="J340" s="319">
        <f>'סיכום לוועדה'!T340</f>
        <v>9083.1758938102394</v>
      </c>
      <c r="K340" s="320">
        <f t="shared" si="78"/>
        <v>0</v>
      </c>
      <c r="L340" s="319">
        <f t="shared" si="79"/>
        <v>9083.1758938102394</v>
      </c>
      <c r="M340" s="331">
        <f>'תחום תמיכה ב'!AF340</f>
        <v>7.1027361215522008E-5</v>
      </c>
      <c r="N340" s="319">
        <f t="shared" si="76"/>
        <v>10293.092325095658</v>
      </c>
      <c r="O340" s="321">
        <f t="shared" si="80"/>
        <v>0</v>
      </c>
      <c r="P340" s="322">
        <f t="shared" si="81"/>
        <v>10293.092325095658</v>
      </c>
      <c r="Q340" s="322">
        <f t="shared" si="82"/>
        <v>10297.779041878599</v>
      </c>
      <c r="R340" s="321">
        <f t="shared" si="83"/>
        <v>0</v>
      </c>
      <c r="S340" s="322">
        <f t="shared" si="84"/>
        <v>10297.779041878599</v>
      </c>
      <c r="T340" s="322">
        <f t="shared" si="85"/>
        <v>10297.779041878577</v>
      </c>
      <c r="U340" s="321">
        <f t="shared" si="86"/>
        <v>0</v>
      </c>
      <c r="V340" s="322">
        <f t="shared" si="87"/>
        <v>10297.779041878577</v>
      </c>
      <c r="W340" s="322">
        <f t="shared" si="88"/>
        <v>10297.779041878583</v>
      </c>
      <c r="X340" s="321">
        <f t="shared" si="89"/>
        <v>0</v>
      </c>
      <c r="Y340" s="322">
        <f t="shared" si="90"/>
        <v>10297.779041878583</v>
      </c>
      <c r="Z340" s="322">
        <f t="shared" si="91"/>
        <v>10297.779041878583</v>
      </c>
      <c r="AA340" s="323">
        <f t="shared" si="92"/>
        <v>10297.779041878583</v>
      </c>
      <c r="AB340" s="323"/>
      <c r="AC340" s="323"/>
      <c r="AD340" s="323"/>
      <c r="AE340" s="323"/>
      <c r="AF340" s="324">
        <f t="shared" si="93"/>
        <v>5.897315180249323E-5</v>
      </c>
      <c r="AG340" s="312"/>
      <c r="AH340" s="312"/>
      <c r="AI340" s="325">
        <f t="shared" si="94"/>
        <v>1</v>
      </c>
      <c r="AJ340" s="312"/>
      <c r="AK340" s="312"/>
      <c r="AL340" s="312"/>
      <c r="AM340" s="312"/>
      <c r="AN340" s="312"/>
      <c r="AO340" s="312"/>
      <c r="AP340" s="312"/>
      <c r="AQ340" s="312"/>
      <c r="AR340" s="312"/>
      <c r="AS340" s="312"/>
      <c r="AT340" s="312"/>
      <c r="AU340" s="312"/>
      <c r="AV340" s="312"/>
      <c r="AW340" s="312"/>
      <c r="AX340" s="312"/>
      <c r="AY340" s="312"/>
      <c r="AZ340" s="312"/>
      <c r="BA340" s="312"/>
      <c r="BB340" s="312"/>
      <c r="BC340" s="312"/>
      <c r="BD340" s="312"/>
      <c r="BE340" s="312"/>
      <c r="BF340" s="312"/>
      <c r="BG340" s="312"/>
      <c r="BH340" s="312"/>
      <c r="BI340" s="312"/>
      <c r="BJ340" s="312"/>
      <c r="BK340" s="312"/>
      <c r="BL340" s="312"/>
      <c r="BM340" s="312"/>
      <c r="BN340" s="312"/>
      <c r="BO340" s="312"/>
      <c r="BP340" s="312"/>
      <c r="BQ340" s="312"/>
      <c r="BR340" s="312"/>
      <c r="BS340" s="312"/>
      <c r="BT340" s="312"/>
      <c r="BU340" s="312"/>
      <c r="BV340" s="312"/>
      <c r="BW340" s="312"/>
      <c r="BX340" s="312"/>
      <c r="BY340" s="312"/>
      <c r="BZ340" s="312"/>
      <c r="CA340" s="312"/>
      <c r="CB340" s="312"/>
      <c r="CC340" s="312"/>
      <c r="CD340" s="312"/>
      <c r="CE340" s="312"/>
      <c r="CF340" s="312"/>
      <c r="CG340" s="312"/>
      <c r="CH340" s="312"/>
      <c r="CI340" s="312"/>
      <c r="CJ340" s="312"/>
      <c r="CK340" s="312"/>
      <c r="CL340" s="312"/>
      <c r="CM340" s="312"/>
      <c r="CN340" s="312"/>
      <c r="CO340" s="312"/>
      <c r="CP340" s="312"/>
      <c r="CQ340" s="312"/>
      <c r="CR340" s="312"/>
      <c r="CS340" s="312"/>
      <c r="CT340" s="312"/>
      <c r="CU340" s="312"/>
      <c r="CV340" s="312"/>
      <c r="CW340" s="312"/>
      <c r="CX340" s="312"/>
      <c r="CY340" s="312"/>
      <c r="CZ340" s="312"/>
      <c r="DA340" s="312"/>
      <c r="DB340" s="312"/>
      <c r="DC340" s="312"/>
      <c r="DD340" s="312"/>
      <c r="DE340" s="312"/>
      <c r="DF340" s="312"/>
      <c r="DG340" s="312"/>
      <c r="DH340" s="312"/>
      <c r="DI340" s="312"/>
      <c r="DJ340" s="312"/>
      <c r="DK340" s="312"/>
      <c r="DL340" s="312"/>
      <c r="DM340" s="312"/>
      <c r="DN340" s="312"/>
      <c r="DO340" s="312"/>
      <c r="DP340" s="312"/>
      <c r="DQ340" s="312"/>
      <c r="DR340" s="312"/>
      <c r="DS340" s="312"/>
      <c r="DT340" s="312"/>
      <c r="DU340" s="312"/>
      <c r="DV340" s="312"/>
      <c r="DW340" s="312"/>
      <c r="DX340" s="312"/>
      <c r="DY340" s="312"/>
      <c r="DZ340" s="312"/>
      <c r="EA340" s="312"/>
      <c r="EB340" s="312"/>
      <c r="EC340" s="312"/>
      <c r="ED340" s="312"/>
      <c r="EE340" s="312"/>
      <c r="EF340" s="312"/>
      <c r="EG340" s="312"/>
      <c r="EH340" s="312"/>
      <c r="EI340" s="312"/>
      <c r="EJ340" s="312"/>
      <c r="EK340" s="312"/>
      <c r="EL340" s="312"/>
      <c r="EM340" s="312"/>
      <c r="EN340" s="312"/>
      <c r="EO340" s="312"/>
      <c r="EP340" s="312"/>
      <c r="EQ340" s="312"/>
      <c r="ER340" s="312"/>
      <c r="ES340" s="312"/>
      <c r="ET340" s="312"/>
      <c r="EU340" s="312"/>
      <c r="EV340" s="312"/>
      <c r="EW340" s="312"/>
      <c r="EX340" s="312"/>
      <c r="EY340" s="312"/>
      <c r="EZ340" s="312"/>
      <c r="FA340" s="312"/>
      <c r="FB340" s="312"/>
      <c r="FC340" s="312"/>
      <c r="FD340" s="312"/>
      <c r="FE340" s="312"/>
      <c r="FF340" s="312"/>
      <c r="FG340" s="312"/>
      <c r="FH340" s="312"/>
      <c r="FI340" s="312"/>
      <c r="FJ340" s="312"/>
      <c r="FK340" s="312"/>
      <c r="FL340" s="312"/>
      <c r="FM340" s="312"/>
      <c r="FN340" s="312"/>
      <c r="FO340" s="312"/>
      <c r="FP340" s="312"/>
      <c r="FQ340" s="312"/>
      <c r="FR340" s="312"/>
      <c r="FS340" s="312"/>
      <c r="FT340" s="312"/>
      <c r="FU340" s="312"/>
      <c r="FV340" s="312"/>
      <c r="FW340" s="312"/>
      <c r="FX340" s="312"/>
      <c r="FY340" s="312"/>
      <c r="FZ340" s="312"/>
      <c r="GA340" s="312"/>
      <c r="GB340" s="312"/>
      <c r="GC340" s="312"/>
      <c r="GD340" s="312"/>
      <c r="GE340" s="312"/>
      <c r="GF340" s="312"/>
      <c r="GG340" s="312"/>
      <c r="GH340" s="312"/>
      <c r="GI340" s="312"/>
      <c r="GJ340" s="312"/>
      <c r="GK340" s="312"/>
      <c r="GL340" s="312"/>
      <c r="GM340" s="312"/>
      <c r="GN340" s="312"/>
      <c r="GO340" s="312"/>
      <c r="GP340" s="312"/>
      <c r="GQ340" s="312"/>
      <c r="GR340" s="312"/>
      <c r="GS340" s="312"/>
      <c r="GT340" s="312"/>
      <c r="GU340" s="312"/>
      <c r="GV340" s="312"/>
      <c r="GW340" s="312"/>
      <c r="GX340" s="312"/>
      <c r="GY340" s="312"/>
    </row>
    <row r="341" spans="2:207" ht="15.75" x14ac:dyDescent="0.25">
      <c r="B341" s="316">
        <f t="shared" si="77"/>
        <v>311</v>
      </c>
      <c r="C341" s="330">
        <f>'סיכום לוועדה'!B341</f>
        <v>1001348240</v>
      </c>
      <c r="D341" s="330">
        <f>'סיכום לוועדה'!C341</f>
        <v>1001270940</v>
      </c>
      <c r="E341" s="330">
        <f>'סיכום לוועדה'!D341</f>
        <v>40000564</v>
      </c>
      <c r="F341" s="330">
        <f>'סיכום לוועדה'!E341</f>
        <v>20000201</v>
      </c>
      <c r="G341" s="330" t="str">
        <f>'סיכום לוועדה'!F341</f>
        <v>תל אביב -יפו</v>
      </c>
      <c r="H341" s="317" t="str">
        <f>'סיכום לוועדה'!G341</f>
        <v>עמותת הכוריאוגרפים (ע"ר)</v>
      </c>
      <c r="I341" s="318">
        <f>'סיכום לוועדה'!U341</f>
        <v>150000</v>
      </c>
      <c r="J341" s="319">
        <f>'סיכום לוועדה'!T341</f>
        <v>5557.6336167332574</v>
      </c>
      <c r="K341" s="320">
        <f t="shared" si="78"/>
        <v>0</v>
      </c>
      <c r="L341" s="319">
        <f t="shared" si="79"/>
        <v>5557.6336167332574</v>
      </c>
      <c r="M341" s="331">
        <f>'תחום תמיכה ב'!AF341</f>
        <v>2.4849726812029217E-5</v>
      </c>
      <c r="N341" s="319">
        <f t="shared" si="76"/>
        <v>5980.9365843262231</v>
      </c>
      <c r="O341" s="321">
        <f t="shared" si="80"/>
        <v>0</v>
      </c>
      <c r="P341" s="322">
        <f t="shared" si="81"/>
        <v>5980.9365843262231</v>
      </c>
      <c r="Q341" s="322">
        <f t="shared" si="82"/>
        <v>5983.6598627135281</v>
      </c>
      <c r="R341" s="321">
        <f t="shared" si="83"/>
        <v>0</v>
      </c>
      <c r="S341" s="322">
        <f t="shared" si="84"/>
        <v>5983.6598627135281</v>
      </c>
      <c r="T341" s="322">
        <f t="shared" si="85"/>
        <v>5983.6598627135163</v>
      </c>
      <c r="U341" s="321">
        <f t="shared" si="86"/>
        <v>0</v>
      </c>
      <c r="V341" s="322">
        <f t="shared" si="87"/>
        <v>5983.6598627135163</v>
      </c>
      <c r="W341" s="322">
        <f t="shared" si="88"/>
        <v>5983.6598627135181</v>
      </c>
      <c r="X341" s="321">
        <f t="shared" si="89"/>
        <v>0</v>
      </c>
      <c r="Y341" s="322">
        <f t="shared" si="90"/>
        <v>5983.6598627135181</v>
      </c>
      <c r="Z341" s="322">
        <f t="shared" si="91"/>
        <v>5983.6598627135172</v>
      </c>
      <c r="AA341" s="323">
        <f t="shared" si="92"/>
        <v>5983.6598627135172</v>
      </c>
      <c r="AB341" s="323"/>
      <c r="AC341" s="323"/>
      <c r="AD341" s="323"/>
      <c r="AE341" s="323"/>
      <c r="AF341" s="324">
        <f t="shared" si="93"/>
        <v>3.4267124977456927E-5</v>
      </c>
      <c r="AG341" s="312"/>
      <c r="AH341" s="312"/>
      <c r="AI341" s="325">
        <f t="shared" si="94"/>
        <v>1</v>
      </c>
      <c r="AJ341" s="312"/>
      <c r="AK341" s="312"/>
      <c r="AL341" s="312"/>
      <c r="AM341" s="312"/>
      <c r="AN341" s="312"/>
      <c r="AO341" s="312"/>
      <c r="AP341" s="312"/>
      <c r="AQ341" s="312"/>
      <c r="AR341" s="312"/>
      <c r="AS341" s="312"/>
      <c r="AT341" s="312"/>
      <c r="AU341" s="312"/>
      <c r="AV341" s="312"/>
      <c r="AW341" s="312"/>
      <c r="AX341" s="312"/>
      <c r="AY341" s="312"/>
      <c r="AZ341" s="312"/>
      <c r="BA341" s="312"/>
      <c r="BB341" s="312"/>
      <c r="BC341" s="312"/>
      <c r="BD341" s="312"/>
      <c r="BE341" s="312"/>
      <c r="BF341" s="312"/>
      <c r="BG341" s="312"/>
      <c r="BH341" s="312"/>
      <c r="BI341" s="312"/>
      <c r="BJ341" s="312"/>
      <c r="BK341" s="312"/>
      <c r="BL341" s="312"/>
      <c r="BM341" s="312"/>
      <c r="BN341" s="312"/>
      <c r="BO341" s="312"/>
      <c r="BP341" s="312"/>
      <c r="BQ341" s="312"/>
      <c r="BR341" s="312"/>
      <c r="BS341" s="312"/>
      <c r="BT341" s="312"/>
      <c r="BU341" s="312"/>
      <c r="BV341" s="312"/>
      <c r="BW341" s="312"/>
      <c r="BX341" s="312"/>
      <c r="BY341" s="312"/>
      <c r="BZ341" s="312"/>
      <c r="CA341" s="312"/>
      <c r="CB341" s="312"/>
      <c r="CC341" s="312"/>
      <c r="CD341" s="312"/>
      <c r="CE341" s="312"/>
      <c r="CF341" s="312"/>
      <c r="CG341" s="312"/>
      <c r="CH341" s="312"/>
      <c r="CI341" s="312"/>
      <c r="CJ341" s="312"/>
      <c r="CK341" s="312"/>
      <c r="CL341" s="312"/>
      <c r="CM341" s="312"/>
      <c r="CN341" s="312"/>
      <c r="CO341" s="312"/>
      <c r="CP341" s="312"/>
      <c r="CQ341" s="312"/>
      <c r="CR341" s="312"/>
      <c r="CS341" s="312"/>
      <c r="CT341" s="312"/>
      <c r="CU341" s="312"/>
      <c r="CV341" s="312"/>
      <c r="CW341" s="312"/>
      <c r="CX341" s="312"/>
      <c r="CY341" s="312"/>
      <c r="CZ341" s="312"/>
      <c r="DA341" s="312"/>
      <c r="DB341" s="312"/>
      <c r="DC341" s="312"/>
      <c r="DD341" s="312"/>
      <c r="DE341" s="312"/>
      <c r="DF341" s="312"/>
      <c r="DG341" s="312"/>
      <c r="DH341" s="312"/>
      <c r="DI341" s="312"/>
      <c r="DJ341" s="312"/>
      <c r="DK341" s="312"/>
      <c r="DL341" s="312"/>
      <c r="DM341" s="312"/>
      <c r="DN341" s="312"/>
      <c r="DO341" s="312"/>
      <c r="DP341" s="312"/>
      <c r="DQ341" s="312"/>
      <c r="DR341" s="312"/>
      <c r="DS341" s="312"/>
      <c r="DT341" s="312"/>
      <c r="DU341" s="312"/>
      <c r="DV341" s="312"/>
      <c r="DW341" s="312"/>
      <c r="DX341" s="312"/>
      <c r="DY341" s="312"/>
      <c r="DZ341" s="312"/>
      <c r="EA341" s="312"/>
      <c r="EB341" s="312"/>
      <c r="EC341" s="312"/>
      <c r="ED341" s="312"/>
      <c r="EE341" s="312"/>
      <c r="EF341" s="312"/>
      <c r="EG341" s="312"/>
      <c r="EH341" s="312"/>
      <c r="EI341" s="312"/>
      <c r="EJ341" s="312"/>
      <c r="EK341" s="312"/>
      <c r="EL341" s="312"/>
      <c r="EM341" s="312"/>
      <c r="EN341" s="312"/>
      <c r="EO341" s="312"/>
      <c r="EP341" s="312"/>
      <c r="EQ341" s="312"/>
      <c r="ER341" s="312"/>
      <c r="ES341" s="312"/>
      <c r="ET341" s="312"/>
      <c r="EU341" s="312"/>
      <c r="EV341" s="312"/>
      <c r="EW341" s="312"/>
      <c r="EX341" s="312"/>
      <c r="EY341" s="312"/>
      <c r="EZ341" s="312"/>
      <c r="FA341" s="312"/>
      <c r="FB341" s="312"/>
      <c r="FC341" s="312"/>
      <c r="FD341" s="312"/>
      <c r="FE341" s="312"/>
      <c r="FF341" s="312"/>
      <c r="FG341" s="312"/>
      <c r="FH341" s="312"/>
      <c r="FI341" s="312"/>
      <c r="FJ341" s="312"/>
      <c r="FK341" s="312"/>
      <c r="FL341" s="312"/>
      <c r="FM341" s="312"/>
      <c r="FN341" s="312"/>
      <c r="FO341" s="312"/>
      <c r="FP341" s="312"/>
      <c r="FQ341" s="312"/>
      <c r="FR341" s="312"/>
      <c r="FS341" s="312"/>
      <c r="FT341" s="312"/>
      <c r="FU341" s="312"/>
      <c r="FV341" s="312"/>
      <c r="FW341" s="312"/>
      <c r="FX341" s="312"/>
      <c r="FY341" s="312"/>
      <c r="FZ341" s="312"/>
      <c r="GA341" s="312"/>
      <c r="GB341" s="312"/>
      <c r="GC341" s="312"/>
      <c r="GD341" s="312"/>
      <c r="GE341" s="312"/>
      <c r="GF341" s="312"/>
      <c r="GG341" s="312"/>
      <c r="GH341" s="312"/>
      <c r="GI341" s="312"/>
      <c r="GJ341" s="312"/>
      <c r="GK341" s="312"/>
      <c r="GL341" s="312"/>
      <c r="GM341" s="312"/>
      <c r="GN341" s="312"/>
      <c r="GO341" s="312"/>
      <c r="GP341" s="312"/>
      <c r="GQ341" s="312"/>
      <c r="GR341" s="312"/>
      <c r="GS341" s="312"/>
      <c r="GT341" s="312"/>
      <c r="GU341" s="312"/>
      <c r="GV341" s="312"/>
      <c r="GW341" s="312"/>
      <c r="GX341" s="312"/>
      <c r="GY341" s="312"/>
    </row>
    <row r="342" spans="2:207" ht="15.75" x14ac:dyDescent="0.25">
      <c r="B342" s="316">
        <f t="shared" si="77"/>
        <v>312</v>
      </c>
      <c r="C342" s="330">
        <f>'סיכום לוועדה'!B342</f>
        <v>1001348241</v>
      </c>
      <c r="D342" s="330">
        <f>'סיכום לוועדה'!C342</f>
        <v>1001272574</v>
      </c>
      <c r="E342" s="330">
        <f>'סיכום לוועדה'!D342</f>
        <v>40000564</v>
      </c>
      <c r="F342" s="330">
        <f>'סיכום לוועדה'!E342</f>
        <v>20000201</v>
      </c>
      <c r="G342" s="330" t="str">
        <f>'סיכום לוועדה'!F342</f>
        <v>תל אביב -יפו</v>
      </c>
      <c r="H342" s="317" t="str">
        <f>'סיכום לוועדה'!G342</f>
        <v>עמותת הכוריאוגרפים (ע"ר)</v>
      </c>
      <c r="I342" s="318">
        <f>'סיכום לוועדה'!U342</f>
        <v>150000</v>
      </c>
      <c r="J342" s="319">
        <f>'סיכום לוועדה'!T342</f>
        <v>31583.49143741298</v>
      </c>
      <c r="K342" s="320">
        <f t="shared" si="78"/>
        <v>0</v>
      </c>
      <c r="L342" s="319">
        <f t="shared" si="79"/>
        <v>31583.49143741298</v>
      </c>
      <c r="M342" s="331">
        <f>'תחום תמיכה ב'!AF342</f>
        <v>2.2083797080571716E-4</v>
      </c>
      <c r="N342" s="319">
        <f t="shared" si="76"/>
        <v>35345.35848353344</v>
      </c>
      <c r="O342" s="321">
        <f t="shared" si="80"/>
        <v>0</v>
      </c>
      <c r="P342" s="322">
        <f t="shared" si="81"/>
        <v>35345.35848353344</v>
      </c>
      <c r="Q342" s="322">
        <f t="shared" si="82"/>
        <v>35361.452158745109</v>
      </c>
      <c r="R342" s="321">
        <f t="shared" si="83"/>
        <v>0</v>
      </c>
      <c r="S342" s="322">
        <f t="shared" si="84"/>
        <v>35361.452158745109</v>
      </c>
      <c r="T342" s="322">
        <f t="shared" si="85"/>
        <v>35361.452158745036</v>
      </c>
      <c r="U342" s="321">
        <f t="shared" si="86"/>
        <v>0</v>
      </c>
      <c r="V342" s="322">
        <f t="shared" si="87"/>
        <v>35361.452158745036</v>
      </c>
      <c r="W342" s="322">
        <f t="shared" si="88"/>
        <v>35361.452158745051</v>
      </c>
      <c r="X342" s="321">
        <f t="shared" si="89"/>
        <v>0</v>
      </c>
      <c r="Y342" s="322">
        <f t="shared" si="90"/>
        <v>35361.452158745051</v>
      </c>
      <c r="Z342" s="322">
        <f t="shared" si="91"/>
        <v>35361.452158745044</v>
      </c>
      <c r="AA342" s="323">
        <f t="shared" si="92"/>
        <v>35361.452158745044</v>
      </c>
      <c r="AB342" s="323"/>
      <c r="AC342" s="323"/>
      <c r="AD342" s="323"/>
      <c r="AE342" s="323"/>
      <c r="AF342" s="324">
        <f t="shared" si="93"/>
        <v>2.0250738315840254E-4</v>
      </c>
      <c r="AG342" s="312"/>
      <c r="AH342" s="312"/>
      <c r="AI342" s="325">
        <f t="shared" si="94"/>
        <v>1</v>
      </c>
      <c r="AJ342" s="312"/>
      <c r="AK342" s="312"/>
      <c r="AL342" s="312"/>
      <c r="AM342" s="312"/>
      <c r="AN342" s="312"/>
      <c r="AO342" s="312"/>
      <c r="AP342" s="312"/>
      <c r="AQ342" s="312"/>
      <c r="AR342" s="312"/>
      <c r="AS342" s="312"/>
      <c r="AT342" s="312"/>
      <c r="AU342" s="312"/>
      <c r="AV342" s="312"/>
      <c r="AW342" s="312"/>
      <c r="AX342" s="312"/>
      <c r="AY342" s="312"/>
      <c r="AZ342" s="312"/>
      <c r="BA342" s="312"/>
      <c r="BB342" s="312"/>
      <c r="BC342" s="312"/>
      <c r="BD342" s="312"/>
      <c r="BE342" s="312"/>
      <c r="BF342" s="312"/>
      <c r="BG342" s="312"/>
      <c r="BH342" s="312"/>
      <c r="BI342" s="312"/>
      <c r="BJ342" s="312"/>
      <c r="BK342" s="312"/>
      <c r="BL342" s="312"/>
      <c r="BM342" s="312"/>
      <c r="BN342" s="312"/>
      <c r="BO342" s="312"/>
      <c r="BP342" s="312"/>
      <c r="BQ342" s="312"/>
      <c r="BR342" s="312"/>
      <c r="BS342" s="312"/>
      <c r="BT342" s="312"/>
      <c r="BU342" s="312"/>
      <c r="BV342" s="312"/>
      <c r="BW342" s="312"/>
      <c r="BX342" s="312"/>
      <c r="BY342" s="312"/>
      <c r="BZ342" s="312"/>
      <c r="CA342" s="312"/>
      <c r="CB342" s="312"/>
      <c r="CC342" s="312"/>
      <c r="CD342" s="312"/>
      <c r="CE342" s="312"/>
      <c r="CF342" s="312"/>
      <c r="CG342" s="312"/>
      <c r="CH342" s="312"/>
      <c r="CI342" s="312"/>
      <c r="CJ342" s="312"/>
      <c r="CK342" s="312"/>
      <c r="CL342" s="312"/>
      <c r="CM342" s="312"/>
      <c r="CN342" s="312"/>
      <c r="CO342" s="312"/>
      <c r="CP342" s="312"/>
      <c r="CQ342" s="312"/>
      <c r="CR342" s="312"/>
      <c r="CS342" s="312"/>
      <c r="CT342" s="312"/>
      <c r="CU342" s="312"/>
      <c r="CV342" s="312"/>
      <c r="CW342" s="312"/>
      <c r="CX342" s="312"/>
      <c r="CY342" s="312"/>
      <c r="CZ342" s="312"/>
      <c r="DA342" s="312"/>
      <c r="DB342" s="312"/>
      <c r="DC342" s="312"/>
      <c r="DD342" s="312"/>
      <c r="DE342" s="312"/>
      <c r="DF342" s="312"/>
      <c r="DG342" s="312"/>
      <c r="DH342" s="312"/>
      <c r="DI342" s="312"/>
      <c r="DJ342" s="312"/>
      <c r="DK342" s="312"/>
      <c r="DL342" s="312"/>
      <c r="DM342" s="312"/>
      <c r="DN342" s="312"/>
      <c r="DO342" s="312"/>
      <c r="DP342" s="312"/>
      <c r="DQ342" s="312"/>
      <c r="DR342" s="312"/>
      <c r="DS342" s="312"/>
      <c r="DT342" s="312"/>
      <c r="DU342" s="312"/>
      <c r="DV342" s="312"/>
      <c r="DW342" s="312"/>
      <c r="DX342" s="312"/>
      <c r="DY342" s="312"/>
      <c r="DZ342" s="312"/>
      <c r="EA342" s="312"/>
      <c r="EB342" s="312"/>
      <c r="EC342" s="312"/>
      <c r="ED342" s="312"/>
      <c r="EE342" s="312"/>
      <c r="EF342" s="312"/>
      <c r="EG342" s="312"/>
      <c r="EH342" s="312"/>
      <c r="EI342" s="312"/>
      <c r="EJ342" s="312"/>
      <c r="EK342" s="312"/>
      <c r="EL342" s="312"/>
      <c r="EM342" s="312"/>
      <c r="EN342" s="312"/>
      <c r="EO342" s="312"/>
      <c r="EP342" s="312"/>
      <c r="EQ342" s="312"/>
      <c r="ER342" s="312"/>
      <c r="ES342" s="312"/>
      <c r="ET342" s="312"/>
      <c r="EU342" s="312"/>
      <c r="EV342" s="312"/>
      <c r="EW342" s="312"/>
      <c r="EX342" s="312"/>
      <c r="EY342" s="312"/>
      <c r="EZ342" s="312"/>
      <c r="FA342" s="312"/>
      <c r="FB342" s="312"/>
      <c r="FC342" s="312"/>
      <c r="FD342" s="312"/>
      <c r="FE342" s="312"/>
      <c r="FF342" s="312"/>
      <c r="FG342" s="312"/>
      <c r="FH342" s="312"/>
      <c r="FI342" s="312"/>
      <c r="FJ342" s="312"/>
      <c r="FK342" s="312"/>
      <c r="FL342" s="312"/>
      <c r="FM342" s="312"/>
      <c r="FN342" s="312"/>
      <c r="FO342" s="312"/>
      <c r="FP342" s="312"/>
      <c r="FQ342" s="312"/>
      <c r="FR342" s="312"/>
      <c r="FS342" s="312"/>
      <c r="FT342" s="312"/>
      <c r="FU342" s="312"/>
      <c r="FV342" s="312"/>
      <c r="FW342" s="312"/>
      <c r="FX342" s="312"/>
      <c r="FY342" s="312"/>
      <c r="FZ342" s="312"/>
      <c r="GA342" s="312"/>
      <c r="GB342" s="312"/>
      <c r="GC342" s="312"/>
      <c r="GD342" s="312"/>
      <c r="GE342" s="312"/>
      <c r="GF342" s="312"/>
      <c r="GG342" s="312"/>
      <c r="GH342" s="312"/>
      <c r="GI342" s="312"/>
      <c r="GJ342" s="312"/>
      <c r="GK342" s="312"/>
      <c r="GL342" s="312"/>
      <c r="GM342" s="312"/>
      <c r="GN342" s="312"/>
      <c r="GO342" s="312"/>
      <c r="GP342" s="312"/>
      <c r="GQ342" s="312"/>
      <c r="GR342" s="312"/>
      <c r="GS342" s="312"/>
      <c r="GT342" s="312"/>
      <c r="GU342" s="312"/>
      <c r="GV342" s="312"/>
      <c r="GW342" s="312"/>
      <c r="GX342" s="312"/>
      <c r="GY342" s="312"/>
    </row>
    <row r="343" spans="2:207" ht="15.75" x14ac:dyDescent="0.25">
      <c r="B343" s="316">
        <f t="shared" si="77"/>
        <v>313</v>
      </c>
      <c r="C343" s="330">
        <f>'סיכום לוועדה'!B343</f>
        <v>1001348248</v>
      </c>
      <c r="D343" s="330">
        <f>'סיכום לוועדה'!C343</f>
        <v>1001272582</v>
      </c>
      <c r="E343" s="330">
        <f>'סיכום לוועדה'!D343</f>
        <v>40000564</v>
      </c>
      <c r="F343" s="330">
        <f>'סיכום לוועדה'!E343</f>
        <v>20000201</v>
      </c>
      <c r="G343" s="330" t="str">
        <f>'סיכום לוועדה'!F343</f>
        <v>תל אביב -יפו</v>
      </c>
      <c r="H343" s="317" t="str">
        <f>'סיכום לוועדה'!G343</f>
        <v>עמותת הכוריאוגרפים (ע"ר)</v>
      </c>
      <c r="I343" s="318">
        <f>'סיכום לוועדה'!U343</f>
        <v>150000</v>
      </c>
      <c r="J343" s="319">
        <f>'סיכום לוועדה'!T343</f>
        <v>68595.374307474354</v>
      </c>
      <c r="K343" s="320">
        <f t="shared" si="78"/>
        <v>0</v>
      </c>
      <c r="L343" s="319">
        <f t="shared" si="79"/>
        <v>68595.374307474354</v>
      </c>
      <c r="M343" s="331">
        <f>'תחום תמיכה ב'!AF343</f>
        <v>5.9733392440068449E-4</v>
      </c>
      <c r="N343" s="319">
        <f t="shared" si="76"/>
        <v>78770.66616301141</v>
      </c>
      <c r="O343" s="321">
        <f t="shared" si="80"/>
        <v>0</v>
      </c>
      <c r="P343" s="322">
        <f t="shared" si="81"/>
        <v>78770.66616301141</v>
      </c>
      <c r="Q343" s="322">
        <f t="shared" si="82"/>
        <v>78806.532527700416</v>
      </c>
      <c r="R343" s="321">
        <f t="shared" si="83"/>
        <v>0</v>
      </c>
      <c r="S343" s="322">
        <f t="shared" si="84"/>
        <v>78806.532527700416</v>
      </c>
      <c r="T343" s="322">
        <f t="shared" si="85"/>
        <v>78806.532527700256</v>
      </c>
      <c r="U343" s="321">
        <f t="shared" si="86"/>
        <v>0</v>
      </c>
      <c r="V343" s="322">
        <f t="shared" si="87"/>
        <v>78806.532527700256</v>
      </c>
      <c r="W343" s="322">
        <f t="shared" si="88"/>
        <v>78806.532527700285</v>
      </c>
      <c r="X343" s="321">
        <f t="shared" si="89"/>
        <v>0</v>
      </c>
      <c r="Y343" s="322">
        <f t="shared" si="90"/>
        <v>78806.532527700285</v>
      </c>
      <c r="Z343" s="322">
        <f t="shared" si="91"/>
        <v>78806.53252770027</v>
      </c>
      <c r="AA343" s="323">
        <f t="shared" si="92"/>
        <v>78806.53252770027</v>
      </c>
      <c r="AB343" s="323"/>
      <c r="AC343" s="323"/>
      <c r="AD343" s="323"/>
      <c r="AE343" s="323"/>
      <c r="AF343" s="324">
        <f t="shared" si="93"/>
        <v>4.5130795551973405E-4</v>
      </c>
      <c r="AG343" s="312"/>
      <c r="AH343" s="312"/>
      <c r="AI343" s="325">
        <f t="shared" si="94"/>
        <v>1</v>
      </c>
      <c r="AJ343" s="312"/>
      <c r="AK343" s="312"/>
      <c r="AL343" s="312"/>
      <c r="AM343" s="312"/>
      <c r="AN343" s="312"/>
      <c r="AO343" s="312"/>
      <c r="AP343" s="312"/>
      <c r="AQ343" s="312"/>
      <c r="AR343" s="312"/>
      <c r="AS343" s="312"/>
      <c r="AT343" s="312"/>
      <c r="AU343" s="312"/>
      <c r="AV343" s="312"/>
      <c r="AW343" s="312"/>
      <c r="AX343" s="312"/>
      <c r="AY343" s="312"/>
      <c r="AZ343" s="312"/>
      <c r="BA343" s="312"/>
      <c r="BB343" s="312"/>
      <c r="BC343" s="312"/>
      <c r="BD343" s="312"/>
      <c r="BE343" s="312"/>
      <c r="BF343" s="312"/>
      <c r="BG343" s="312"/>
      <c r="BH343" s="312"/>
      <c r="BI343" s="312"/>
      <c r="BJ343" s="312"/>
      <c r="BK343" s="312"/>
      <c r="BL343" s="312"/>
      <c r="BM343" s="312"/>
      <c r="BN343" s="312"/>
      <c r="BO343" s="312"/>
      <c r="BP343" s="312"/>
      <c r="BQ343" s="312"/>
      <c r="BR343" s="312"/>
      <c r="BS343" s="312"/>
      <c r="BT343" s="312"/>
      <c r="BU343" s="312"/>
      <c r="BV343" s="312"/>
      <c r="BW343" s="312"/>
      <c r="BX343" s="312"/>
      <c r="BY343" s="312"/>
      <c r="BZ343" s="312"/>
      <c r="CA343" s="312"/>
      <c r="CB343" s="312"/>
      <c r="CC343" s="312"/>
      <c r="CD343" s="312"/>
      <c r="CE343" s="312"/>
      <c r="CF343" s="312"/>
      <c r="CG343" s="312"/>
      <c r="CH343" s="312"/>
      <c r="CI343" s="312"/>
      <c r="CJ343" s="312"/>
      <c r="CK343" s="312"/>
      <c r="CL343" s="312"/>
      <c r="CM343" s="312"/>
      <c r="CN343" s="312"/>
      <c r="CO343" s="312"/>
      <c r="CP343" s="312"/>
      <c r="CQ343" s="312"/>
      <c r="CR343" s="312"/>
      <c r="CS343" s="312"/>
      <c r="CT343" s="312"/>
      <c r="CU343" s="312"/>
      <c r="CV343" s="312"/>
      <c r="CW343" s="312"/>
      <c r="CX343" s="312"/>
      <c r="CY343" s="312"/>
      <c r="CZ343" s="312"/>
      <c r="DA343" s="312"/>
      <c r="DB343" s="312"/>
      <c r="DC343" s="312"/>
      <c r="DD343" s="312"/>
      <c r="DE343" s="312"/>
      <c r="DF343" s="312"/>
      <c r="DG343" s="312"/>
      <c r="DH343" s="312"/>
      <c r="DI343" s="312"/>
      <c r="DJ343" s="312"/>
      <c r="DK343" s="312"/>
      <c r="DL343" s="312"/>
      <c r="DM343" s="312"/>
      <c r="DN343" s="312"/>
      <c r="DO343" s="312"/>
      <c r="DP343" s="312"/>
      <c r="DQ343" s="312"/>
      <c r="DR343" s="312"/>
      <c r="DS343" s="312"/>
      <c r="DT343" s="312"/>
      <c r="DU343" s="312"/>
      <c r="DV343" s="312"/>
      <c r="DW343" s="312"/>
      <c r="DX343" s="312"/>
      <c r="DY343" s="312"/>
      <c r="DZ343" s="312"/>
      <c r="EA343" s="312"/>
      <c r="EB343" s="312"/>
      <c r="EC343" s="312"/>
      <c r="ED343" s="312"/>
      <c r="EE343" s="312"/>
      <c r="EF343" s="312"/>
      <c r="EG343" s="312"/>
      <c r="EH343" s="312"/>
      <c r="EI343" s="312"/>
      <c r="EJ343" s="312"/>
      <c r="EK343" s="312"/>
      <c r="EL343" s="312"/>
      <c r="EM343" s="312"/>
      <c r="EN343" s="312"/>
      <c r="EO343" s="312"/>
      <c r="EP343" s="312"/>
      <c r="EQ343" s="312"/>
      <c r="ER343" s="312"/>
      <c r="ES343" s="312"/>
      <c r="ET343" s="312"/>
      <c r="EU343" s="312"/>
      <c r="EV343" s="312"/>
      <c r="EW343" s="312"/>
      <c r="EX343" s="312"/>
      <c r="EY343" s="312"/>
      <c r="EZ343" s="312"/>
      <c r="FA343" s="312"/>
      <c r="FB343" s="312"/>
      <c r="FC343" s="312"/>
      <c r="FD343" s="312"/>
      <c r="FE343" s="312"/>
      <c r="FF343" s="312"/>
      <c r="FG343" s="312"/>
      <c r="FH343" s="312"/>
      <c r="FI343" s="312"/>
      <c r="FJ343" s="312"/>
      <c r="FK343" s="312"/>
      <c r="FL343" s="312"/>
      <c r="FM343" s="312"/>
      <c r="FN343" s="312"/>
      <c r="FO343" s="312"/>
      <c r="FP343" s="312"/>
      <c r="FQ343" s="312"/>
      <c r="FR343" s="312"/>
      <c r="FS343" s="312"/>
      <c r="FT343" s="312"/>
      <c r="FU343" s="312"/>
      <c r="FV343" s="312"/>
      <c r="FW343" s="312"/>
      <c r="FX343" s="312"/>
      <c r="FY343" s="312"/>
      <c r="FZ343" s="312"/>
      <c r="GA343" s="312"/>
      <c r="GB343" s="312"/>
      <c r="GC343" s="312"/>
      <c r="GD343" s="312"/>
      <c r="GE343" s="312"/>
      <c r="GF343" s="312"/>
      <c r="GG343" s="312"/>
      <c r="GH343" s="312"/>
      <c r="GI343" s="312"/>
      <c r="GJ343" s="312"/>
      <c r="GK343" s="312"/>
      <c r="GL343" s="312"/>
      <c r="GM343" s="312"/>
      <c r="GN343" s="312"/>
      <c r="GO343" s="312"/>
      <c r="GP343" s="312"/>
      <c r="GQ343" s="312"/>
      <c r="GR343" s="312"/>
      <c r="GS343" s="312"/>
      <c r="GT343" s="312"/>
      <c r="GU343" s="312"/>
      <c r="GV343" s="312"/>
      <c r="GW343" s="312"/>
      <c r="GX343" s="312"/>
      <c r="GY343" s="312"/>
    </row>
    <row r="344" spans="2:207" ht="15.75" x14ac:dyDescent="0.25">
      <c r="B344" s="316">
        <f t="shared" si="77"/>
        <v>314</v>
      </c>
      <c r="C344" s="330">
        <f>'סיכום לוועדה'!B344</f>
        <v>1001348257</v>
      </c>
      <c r="D344" s="330">
        <f>'סיכום לוועדה'!C344</f>
        <v>1001272579</v>
      </c>
      <c r="E344" s="330">
        <f>'סיכום לוועדה'!D344</f>
        <v>40000564</v>
      </c>
      <c r="F344" s="330">
        <f>'סיכום לוועדה'!E344</f>
        <v>20000201</v>
      </c>
      <c r="G344" s="330" t="str">
        <f>'סיכום לוועדה'!F344</f>
        <v>תל אביב -יפו</v>
      </c>
      <c r="H344" s="317" t="str">
        <f>'סיכום לוועדה'!G344</f>
        <v>עמותת הכוריאוגרפים (ע"ר)</v>
      </c>
      <c r="I344" s="318">
        <f>'סיכום לוועדה'!U344</f>
        <v>150000</v>
      </c>
      <c r="J344" s="319">
        <f>'סיכום לוועדה'!T344</f>
        <v>22820.892038098078</v>
      </c>
      <c r="K344" s="320">
        <f t="shared" si="78"/>
        <v>0</v>
      </c>
      <c r="L344" s="319">
        <f t="shared" si="79"/>
        <v>22820.892038098078</v>
      </c>
      <c r="M344" s="331">
        <f>'תחום תמיכה ב'!AF344</f>
        <v>1.8153809154500657E-4</v>
      </c>
      <c r="N344" s="319">
        <f t="shared" si="76"/>
        <v>25913.304822489954</v>
      </c>
      <c r="O344" s="321">
        <f t="shared" si="80"/>
        <v>0</v>
      </c>
      <c r="P344" s="322">
        <f t="shared" si="81"/>
        <v>25913.304822489954</v>
      </c>
      <c r="Q344" s="322">
        <f t="shared" si="82"/>
        <v>25925.103834563022</v>
      </c>
      <c r="R344" s="321">
        <f t="shared" si="83"/>
        <v>0</v>
      </c>
      <c r="S344" s="322">
        <f t="shared" si="84"/>
        <v>25925.103834563022</v>
      </c>
      <c r="T344" s="322">
        <f t="shared" si="85"/>
        <v>25925.103834562968</v>
      </c>
      <c r="U344" s="321">
        <f t="shared" si="86"/>
        <v>0</v>
      </c>
      <c r="V344" s="322">
        <f t="shared" si="87"/>
        <v>25925.103834562968</v>
      </c>
      <c r="W344" s="322">
        <f t="shared" si="88"/>
        <v>25925.103834562979</v>
      </c>
      <c r="X344" s="321">
        <f t="shared" si="89"/>
        <v>0</v>
      </c>
      <c r="Y344" s="322">
        <f t="shared" si="90"/>
        <v>25925.103834562979</v>
      </c>
      <c r="Z344" s="322">
        <f t="shared" si="91"/>
        <v>25925.103834562971</v>
      </c>
      <c r="AA344" s="323">
        <f t="shared" si="92"/>
        <v>25925.103834562971</v>
      </c>
      <c r="AB344" s="323"/>
      <c r="AC344" s="323"/>
      <c r="AD344" s="323"/>
      <c r="AE344" s="323"/>
      <c r="AF344" s="324">
        <f t="shared" si="93"/>
        <v>1.4846745863486435E-4</v>
      </c>
      <c r="AG344" s="312"/>
      <c r="AH344" s="312"/>
      <c r="AI344" s="325">
        <f t="shared" si="94"/>
        <v>1</v>
      </c>
      <c r="AJ344" s="312"/>
      <c r="AK344" s="312"/>
      <c r="AL344" s="312"/>
      <c r="AM344" s="312"/>
      <c r="AN344" s="312"/>
      <c r="AO344" s="312"/>
      <c r="AP344" s="312"/>
      <c r="AQ344" s="312"/>
      <c r="AR344" s="312"/>
      <c r="AS344" s="312"/>
      <c r="AT344" s="312"/>
      <c r="AU344" s="312"/>
      <c r="AV344" s="312"/>
      <c r="AW344" s="312"/>
      <c r="AX344" s="312"/>
      <c r="AY344" s="312"/>
      <c r="AZ344" s="312"/>
      <c r="BA344" s="312"/>
      <c r="BB344" s="312"/>
      <c r="BC344" s="312"/>
      <c r="BD344" s="312"/>
      <c r="BE344" s="312"/>
      <c r="BF344" s="312"/>
      <c r="BG344" s="312"/>
      <c r="BH344" s="312"/>
      <c r="BI344" s="312"/>
      <c r="BJ344" s="312"/>
      <c r="BK344" s="312"/>
      <c r="BL344" s="312"/>
      <c r="BM344" s="312"/>
      <c r="BN344" s="312"/>
      <c r="BO344" s="312"/>
      <c r="BP344" s="312"/>
      <c r="BQ344" s="312"/>
      <c r="BR344" s="312"/>
      <c r="BS344" s="312"/>
      <c r="BT344" s="312"/>
      <c r="BU344" s="312"/>
      <c r="BV344" s="312"/>
      <c r="BW344" s="312"/>
      <c r="BX344" s="312"/>
      <c r="BY344" s="312"/>
      <c r="BZ344" s="312"/>
      <c r="CA344" s="312"/>
      <c r="CB344" s="312"/>
      <c r="CC344" s="312"/>
      <c r="CD344" s="312"/>
      <c r="CE344" s="312"/>
      <c r="CF344" s="312"/>
      <c r="CG344" s="312"/>
      <c r="CH344" s="312"/>
      <c r="CI344" s="312"/>
      <c r="CJ344" s="312"/>
      <c r="CK344" s="312"/>
      <c r="CL344" s="312"/>
      <c r="CM344" s="312"/>
      <c r="CN344" s="312"/>
      <c r="CO344" s="312"/>
      <c r="CP344" s="312"/>
      <c r="CQ344" s="312"/>
      <c r="CR344" s="312"/>
      <c r="CS344" s="312"/>
      <c r="CT344" s="312"/>
      <c r="CU344" s="312"/>
      <c r="CV344" s="312"/>
      <c r="CW344" s="312"/>
      <c r="CX344" s="312"/>
      <c r="CY344" s="312"/>
      <c r="CZ344" s="312"/>
      <c r="DA344" s="312"/>
      <c r="DB344" s="312"/>
      <c r="DC344" s="312"/>
      <c r="DD344" s="312"/>
      <c r="DE344" s="312"/>
      <c r="DF344" s="312"/>
      <c r="DG344" s="312"/>
      <c r="DH344" s="312"/>
      <c r="DI344" s="312"/>
      <c r="DJ344" s="312"/>
      <c r="DK344" s="312"/>
      <c r="DL344" s="312"/>
      <c r="DM344" s="312"/>
      <c r="DN344" s="312"/>
      <c r="DO344" s="312"/>
      <c r="DP344" s="312"/>
      <c r="DQ344" s="312"/>
      <c r="DR344" s="312"/>
      <c r="DS344" s="312"/>
      <c r="DT344" s="312"/>
      <c r="DU344" s="312"/>
      <c r="DV344" s="312"/>
      <c r="DW344" s="312"/>
      <c r="DX344" s="312"/>
      <c r="DY344" s="312"/>
      <c r="DZ344" s="312"/>
      <c r="EA344" s="312"/>
      <c r="EB344" s="312"/>
      <c r="EC344" s="312"/>
      <c r="ED344" s="312"/>
      <c r="EE344" s="312"/>
      <c r="EF344" s="312"/>
      <c r="EG344" s="312"/>
      <c r="EH344" s="312"/>
      <c r="EI344" s="312"/>
      <c r="EJ344" s="312"/>
      <c r="EK344" s="312"/>
      <c r="EL344" s="312"/>
      <c r="EM344" s="312"/>
      <c r="EN344" s="312"/>
      <c r="EO344" s="312"/>
      <c r="EP344" s="312"/>
      <c r="EQ344" s="312"/>
      <c r="ER344" s="312"/>
      <c r="ES344" s="312"/>
      <c r="ET344" s="312"/>
      <c r="EU344" s="312"/>
      <c r="EV344" s="312"/>
      <c r="EW344" s="312"/>
      <c r="EX344" s="312"/>
      <c r="EY344" s="312"/>
      <c r="EZ344" s="312"/>
      <c r="FA344" s="312"/>
      <c r="FB344" s="312"/>
      <c r="FC344" s="312"/>
      <c r="FD344" s="312"/>
      <c r="FE344" s="312"/>
      <c r="FF344" s="312"/>
      <c r="FG344" s="312"/>
      <c r="FH344" s="312"/>
      <c r="FI344" s="312"/>
      <c r="FJ344" s="312"/>
      <c r="FK344" s="312"/>
      <c r="FL344" s="312"/>
      <c r="FM344" s="312"/>
      <c r="FN344" s="312"/>
      <c r="FO344" s="312"/>
      <c r="FP344" s="312"/>
      <c r="FQ344" s="312"/>
      <c r="FR344" s="312"/>
      <c r="FS344" s="312"/>
      <c r="FT344" s="312"/>
      <c r="FU344" s="312"/>
      <c r="FV344" s="312"/>
      <c r="FW344" s="312"/>
      <c r="FX344" s="312"/>
      <c r="FY344" s="312"/>
      <c r="FZ344" s="312"/>
      <c r="GA344" s="312"/>
      <c r="GB344" s="312"/>
      <c r="GC344" s="312"/>
      <c r="GD344" s="312"/>
      <c r="GE344" s="312"/>
      <c r="GF344" s="312"/>
      <c r="GG344" s="312"/>
      <c r="GH344" s="312"/>
      <c r="GI344" s="312"/>
      <c r="GJ344" s="312"/>
      <c r="GK344" s="312"/>
      <c r="GL344" s="312"/>
      <c r="GM344" s="312"/>
      <c r="GN344" s="312"/>
      <c r="GO344" s="312"/>
      <c r="GP344" s="312"/>
      <c r="GQ344" s="312"/>
      <c r="GR344" s="312"/>
      <c r="GS344" s="312"/>
      <c r="GT344" s="312"/>
      <c r="GU344" s="312"/>
      <c r="GV344" s="312"/>
      <c r="GW344" s="312"/>
      <c r="GX344" s="312"/>
      <c r="GY344" s="312"/>
    </row>
    <row r="345" spans="2:207" ht="15.75" x14ac:dyDescent="0.25">
      <c r="B345" s="316">
        <f t="shared" si="77"/>
        <v>315</v>
      </c>
      <c r="C345" s="330">
        <f>'סיכום לוועדה'!B345</f>
        <v>1001349448</v>
      </c>
      <c r="D345" s="330">
        <f>'סיכום לוועדה'!C345</f>
        <v>1001272605</v>
      </c>
      <c r="E345" s="330">
        <f>'סיכום לוועדה'!D345</f>
        <v>40000564</v>
      </c>
      <c r="F345" s="330">
        <f>'סיכום לוועדה'!E345</f>
        <v>20000201</v>
      </c>
      <c r="G345" s="330" t="str">
        <f>'סיכום לוועדה'!F345</f>
        <v>תל אביב -יפו</v>
      </c>
      <c r="H345" s="317" t="str">
        <f>'סיכום לוועדה'!G345</f>
        <v>עמותת הכוריאוגרפים (ע"ר)</v>
      </c>
      <c r="I345" s="318">
        <f>'סיכום לוועדה'!U345</f>
        <v>150000</v>
      </c>
      <c r="J345" s="319">
        <f>'סיכום לוועדה'!T345</f>
        <v>10159.601030631093</v>
      </c>
      <c r="K345" s="320">
        <f t="shared" si="78"/>
        <v>0</v>
      </c>
      <c r="L345" s="319">
        <f t="shared" si="79"/>
        <v>10159.601030631093</v>
      </c>
      <c r="M345" s="331">
        <f>'תחום תמיכה ב'!AF345</f>
        <v>7.7875244701478138E-5</v>
      </c>
      <c r="N345" s="319">
        <f t="shared" si="76"/>
        <v>11486.1678147861</v>
      </c>
      <c r="O345" s="321">
        <f t="shared" si="80"/>
        <v>0</v>
      </c>
      <c r="P345" s="322">
        <f t="shared" si="81"/>
        <v>11486.1678147861</v>
      </c>
      <c r="Q345" s="322">
        <f t="shared" si="82"/>
        <v>11491.397770349402</v>
      </c>
      <c r="R345" s="321">
        <f t="shared" si="83"/>
        <v>0</v>
      </c>
      <c r="S345" s="322">
        <f t="shared" si="84"/>
        <v>11491.397770349402</v>
      </c>
      <c r="T345" s="322">
        <f t="shared" si="85"/>
        <v>11491.397770349378</v>
      </c>
      <c r="U345" s="321">
        <f t="shared" si="86"/>
        <v>0</v>
      </c>
      <c r="V345" s="322">
        <f t="shared" si="87"/>
        <v>11491.397770349378</v>
      </c>
      <c r="W345" s="322">
        <f t="shared" si="88"/>
        <v>11491.397770349382</v>
      </c>
      <c r="X345" s="321">
        <f t="shared" si="89"/>
        <v>0</v>
      </c>
      <c r="Y345" s="322">
        <f t="shared" si="90"/>
        <v>11491.397770349382</v>
      </c>
      <c r="Z345" s="322">
        <f t="shared" si="91"/>
        <v>11491.39777034938</v>
      </c>
      <c r="AA345" s="323">
        <f t="shared" si="92"/>
        <v>11491.39777034938</v>
      </c>
      <c r="AB345" s="323"/>
      <c r="AC345" s="323"/>
      <c r="AD345" s="323"/>
      <c r="AE345" s="323"/>
      <c r="AF345" s="324">
        <f t="shared" si="93"/>
        <v>6.5808747922990892E-5</v>
      </c>
      <c r="AG345" s="312"/>
      <c r="AH345" s="312"/>
      <c r="AI345" s="325">
        <f t="shared" si="94"/>
        <v>1</v>
      </c>
      <c r="AJ345" s="312"/>
      <c r="AK345" s="312"/>
      <c r="AL345" s="312"/>
      <c r="AM345" s="312"/>
      <c r="AN345" s="312"/>
      <c r="AO345" s="312"/>
      <c r="AP345" s="312"/>
      <c r="AQ345" s="312"/>
      <c r="AR345" s="312"/>
      <c r="AS345" s="312"/>
      <c r="AT345" s="312"/>
      <c r="AU345" s="312"/>
      <c r="AV345" s="312"/>
      <c r="AW345" s="312"/>
      <c r="AX345" s="312"/>
      <c r="AY345" s="312"/>
      <c r="AZ345" s="312"/>
      <c r="BA345" s="312"/>
      <c r="BB345" s="312"/>
      <c r="BC345" s="312"/>
      <c r="BD345" s="312"/>
      <c r="BE345" s="312"/>
      <c r="BF345" s="312"/>
      <c r="BG345" s="312"/>
      <c r="BH345" s="312"/>
      <c r="BI345" s="312"/>
      <c r="BJ345" s="312"/>
      <c r="BK345" s="312"/>
      <c r="BL345" s="312"/>
      <c r="BM345" s="312"/>
      <c r="BN345" s="312"/>
      <c r="BO345" s="312"/>
      <c r="BP345" s="312"/>
      <c r="BQ345" s="312"/>
      <c r="BR345" s="312"/>
      <c r="BS345" s="312"/>
      <c r="BT345" s="312"/>
      <c r="BU345" s="312"/>
      <c r="BV345" s="312"/>
      <c r="BW345" s="312"/>
      <c r="BX345" s="312"/>
      <c r="BY345" s="312"/>
      <c r="BZ345" s="312"/>
      <c r="CA345" s="312"/>
      <c r="CB345" s="312"/>
      <c r="CC345" s="312"/>
      <c r="CD345" s="312"/>
      <c r="CE345" s="312"/>
      <c r="CF345" s="312"/>
      <c r="CG345" s="312"/>
      <c r="CH345" s="312"/>
      <c r="CI345" s="312"/>
      <c r="CJ345" s="312"/>
      <c r="CK345" s="312"/>
      <c r="CL345" s="312"/>
      <c r="CM345" s="312"/>
      <c r="CN345" s="312"/>
      <c r="CO345" s="312"/>
      <c r="CP345" s="312"/>
      <c r="CQ345" s="312"/>
      <c r="CR345" s="312"/>
      <c r="CS345" s="312"/>
      <c r="CT345" s="312"/>
      <c r="CU345" s="312"/>
      <c r="CV345" s="312"/>
      <c r="CW345" s="312"/>
      <c r="CX345" s="312"/>
      <c r="CY345" s="312"/>
      <c r="CZ345" s="312"/>
      <c r="DA345" s="312"/>
      <c r="DB345" s="312"/>
      <c r="DC345" s="312"/>
      <c r="DD345" s="312"/>
      <c r="DE345" s="312"/>
      <c r="DF345" s="312"/>
      <c r="DG345" s="312"/>
      <c r="DH345" s="312"/>
      <c r="DI345" s="312"/>
      <c r="DJ345" s="312"/>
      <c r="DK345" s="312"/>
      <c r="DL345" s="312"/>
      <c r="DM345" s="312"/>
      <c r="DN345" s="312"/>
      <c r="DO345" s="312"/>
      <c r="DP345" s="312"/>
      <c r="DQ345" s="312"/>
      <c r="DR345" s="312"/>
      <c r="DS345" s="312"/>
      <c r="DT345" s="312"/>
      <c r="DU345" s="312"/>
      <c r="DV345" s="312"/>
      <c r="DW345" s="312"/>
      <c r="DX345" s="312"/>
      <c r="DY345" s="312"/>
      <c r="DZ345" s="312"/>
      <c r="EA345" s="312"/>
      <c r="EB345" s="312"/>
      <c r="EC345" s="312"/>
      <c r="ED345" s="312"/>
      <c r="EE345" s="312"/>
      <c r="EF345" s="312"/>
      <c r="EG345" s="312"/>
      <c r="EH345" s="312"/>
      <c r="EI345" s="312"/>
      <c r="EJ345" s="312"/>
      <c r="EK345" s="312"/>
      <c r="EL345" s="312"/>
      <c r="EM345" s="312"/>
      <c r="EN345" s="312"/>
      <c r="EO345" s="312"/>
      <c r="EP345" s="312"/>
      <c r="EQ345" s="312"/>
      <c r="ER345" s="312"/>
      <c r="ES345" s="312"/>
      <c r="ET345" s="312"/>
      <c r="EU345" s="312"/>
      <c r="EV345" s="312"/>
      <c r="EW345" s="312"/>
      <c r="EX345" s="312"/>
      <c r="EY345" s="312"/>
      <c r="EZ345" s="312"/>
      <c r="FA345" s="312"/>
      <c r="FB345" s="312"/>
      <c r="FC345" s="312"/>
      <c r="FD345" s="312"/>
      <c r="FE345" s="312"/>
      <c r="FF345" s="312"/>
      <c r="FG345" s="312"/>
      <c r="FH345" s="312"/>
      <c r="FI345" s="312"/>
      <c r="FJ345" s="312"/>
      <c r="FK345" s="312"/>
      <c r="FL345" s="312"/>
      <c r="FM345" s="312"/>
      <c r="FN345" s="312"/>
      <c r="FO345" s="312"/>
      <c r="FP345" s="312"/>
      <c r="FQ345" s="312"/>
      <c r="FR345" s="312"/>
      <c r="FS345" s="312"/>
      <c r="FT345" s="312"/>
      <c r="FU345" s="312"/>
      <c r="FV345" s="312"/>
      <c r="FW345" s="312"/>
      <c r="FX345" s="312"/>
      <c r="FY345" s="312"/>
      <c r="FZ345" s="312"/>
      <c r="GA345" s="312"/>
      <c r="GB345" s="312"/>
      <c r="GC345" s="312"/>
      <c r="GD345" s="312"/>
      <c r="GE345" s="312"/>
      <c r="GF345" s="312"/>
      <c r="GG345" s="312"/>
      <c r="GH345" s="312"/>
      <c r="GI345" s="312"/>
      <c r="GJ345" s="312"/>
      <c r="GK345" s="312"/>
      <c r="GL345" s="312"/>
      <c r="GM345" s="312"/>
      <c r="GN345" s="312"/>
      <c r="GO345" s="312"/>
      <c r="GP345" s="312"/>
      <c r="GQ345" s="312"/>
      <c r="GR345" s="312"/>
      <c r="GS345" s="312"/>
      <c r="GT345" s="312"/>
      <c r="GU345" s="312"/>
      <c r="GV345" s="312"/>
      <c r="GW345" s="312"/>
      <c r="GX345" s="312"/>
      <c r="GY345" s="312"/>
    </row>
    <row r="346" spans="2:207" ht="15.75" x14ac:dyDescent="0.25">
      <c r="B346" s="316">
        <f t="shared" si="77"/>
        <v>316</v>
      </c>
      <c r="C346" s="330">
        <f>'סיכום לוועדה'!B346</f>
        <v>1001349449</v>
      </c>
      <c r="D346" s="330">
        <f>'סיכום לוועדה'!C346</f>
        <v>1001273656</v>
      </c>
      <c r="E346" s="330">
        <f>'סיכום לוועדה'!D346</f>
        <v>40000564</v>
      </c>
      <c r="F346" s="330">
        <f>'סיכום לוועדה'!E346</f>
        <v>20000201</v>
      </c>
      <c r="G346" s="330" t="str">
        <f>'סיכום לוועדה'!F346</f>
        <v>תל אביב -יפו</v>
      </c>
      <c r="H346" s="317" t="str">
        <f>'סיכום לוועדה'!G346</f>
        <v>עמותת הכוריאוגרפים (ע"ר)</v>
      </c>
      <c r="I346" s="318">
        <f>'סיכום לוועדה'!U346</f>
        <v>150000</v>
      </c>
      <c r="J346" s="319">
        <f>'סיכום לוועדה'!T346</f>
        <v>11511.61122341995</v>
      </c>
      <c r="K346" s="320">
        <f t="shared" si="78"/>
        <v>0</v>
      </c>
      <c r="L346" s="319">
        <f t="shared" si="79"/>
        <v>11511.61122341995</v>
      </c>
      <c r="M346" s="331">
        <f>'תחום תמיכה ב'!AF346</f>
        <v>9.8422311414515378E-5</v>
      </c>
      <c r="N346" s="319">
        <f t="shared" si="76"/>
        <v>13188.187260423119</v>
      </c>
      <c r="O346" s="321">
        <f t="shared" si="80"/>
        <v>0</v>
      </c>
      <c r="P346" s="322">
        <f t="shared" si="81"/>
        <v>13188.187260423119</v>
      </c>
      <c r="Q346" s="322">
        <f t="shared" si="82"/>
        <v>13194.19219039147</v>
      </c>
      <c r="R346" s="321">
        <f t="shared" si="83"/>
        <v>0</v>
      </c>
      <c r="S346" s="322">
        <f t="shared" si="84"/>
        <v>13194.19219039147</v>
      </c>
      <c r="T346" s="322">
        <f t="shared" si="85"/>
        <v>13194.192190391444</v>
      </c>
      <c r="U346" s="321">
        <f t="shared" si="86"/>
        <v>0</v>
      </c>
      <c r="V346" s="322">
        <f t="shared" si="87"/>
        <v>13194.192190391444</v>
      </c>
      <c r="W346" s="322">
        <f t="shared" si="88"/>
        <v>13194.192190391448</v>
      </c>
      <c r="X346" s="321">
        <f t="shared" si="89"/>
        <v>0</v>
      </c>
      <c r="Y346" s="322">
        <f t="shared" si="90"/>
        <v>13194.192190391448</v>
      </c>
      <c r="Z346" s="322">
        <f t="shared" si="91"/>
        <v>13194.192190391446</v>
      </c>
      <c r="AA346" s="323">
        <f t="shared" si="92"/>
        <v>13194.192190391446</v>
      </c>
      <c r="AB346" s="323"/>
      <c r="AC346" s="323"/>
      <c r="AD346" s="323"/>
      <c r="AE346" s="323"/>
      <c r="AF346" s="324">
        <f t="shared" si="93"/>
        <v>7.5560283027133117E-5</v>
      </c>
      <c r="AG346" s="312"/>
      <c r="AH346" s="312"/>
      <c r="AI346" s="325">
        <f t="shared" si="94"/>
        <v>1</v>
      </c>
      <c r="AJ346" s="312"/>
      <c r="AK346" s="312"/>
      <c r="AL346" s="312"/>
      <c r="AM346" s="312"/>
      <c r="AN346" s="312"/>
      <c r="AO346" s="312"/>
      <c r="AP346" s="312"/>
      <c r="AQ346" s="312"/>
      <c r="AR346" s="312"/>
      <c r="AS346" s="312"/>
      <c r="AT346" s="312"/>
      <c r="AU346" s="312"/>
      <c r="AV346" s="312"/>
      <c r="AW346" s="312"/>
      <c r="AX346" s="312"/>
      <c r="AY346" s="312"/>
      <c r="AZ346" s="312"/>
      <c r="BA346" s="312"/>
      <c r="BB346" s="312"/>
      <c r="BC346" s="312"/>
      <c r="BD346" s="312"/>
      <c r="BE346" s="312"/>
      <c r="BF346" s="312"/>
      <c r="BG346" s="312"/>
      <c r="BH346" s="312"/>
      <c r="BI346" s="312"/>
      <c r="BJ346" s="312"/>
      <c r="BK346" s="312"/>
      <c r="BL346" s="312"/>
      <c r="BM346" s="312"/>
      <c r="BN346" s="312"/>
      <c r="BO346" s="312"/>
      <c r="BP346" s="312"/>
      <c r="BQ346" s="312"/>
      <c r="BR346" s="312"/>
      <c r="BS346" s="312"/>
      <c r="BT346" s="312"/>
      <c r="BU346" s="312"/>
      <c r="BV346" s="312"/>
      <c r="BW346" s="312"/>
      <c r="BX346" s="312"/>
      <c r="BY346" s="312"/>
      <c r="BZ346" s="312"/>
      <c r="CA346" s="312"/>
      <c r="CB346" s="312"/>
      <c r="CC346" s="312"/>
      <c r="CD346" s="312"/>
      <c r="CE346" s="312"/>
      <c r="CF346" s="312"/>
      <c r="CG346" s="312"/>
      <c r="CH346" s="312"/>
      <c r="CI346" s="312"/>
      <c r="CJ346" s="312"/>
      <c r="CK346" s="312"/>
      <c r="CL346" s="312"/>
      <c r="CM346" s="312"/>
      <c r="CN346" s="312"/>
      <c r="CO346" s="312"/>
      <c r="CP346" s="312"/>
      <c r="CQ346" s="312"/>
      <c r="CR346" s="312"/>
      <c r="CS346" s="312"/>
      <c r="CT346" s="312"/>
      <c r="CU346" s="312"/>
      <c r="CV346" s="312"/>
      <c r="CW346" s="312"/>
      <c r="CX346" s="312"/>
      <c r="CY346" s="312"/>
      <c r="CZ346" s="312"/>
      <c r="DA346" s="312"/>
      <c r="DB346" s="312"/>
      <c r="DC346" s="312"/>
      <c r="DD346" s="312"/>
      <c r="DE346" s="312"/>
      <c r="DF346" s="312"/>
      <c r="DG346" s="312"/>
      <c r="DH346" s="312"/>
      <c r="DI346" s="312"/>
      <c r="DJ346" s="312"/>
      <c r="DK346" s="312"/>
      <c r="DL346" s="312"/>
      <c r="DM346" s="312"/>
      <c r="DN346" s="312"/>
      <c r="DO346" s="312"/>
      <c r="DP346" s="312"/>
      <c r="DQ346" s="312"/>
      <c r="DR346" s="312"/>
      <c r="DS346" s="312"/>
      <c r="DT346" s="312"/>
      <c r="DU346" s="312"/>
      <c r="DV346" s="312"/>
      <c r="DW346" s="312"/>
      <c r="DX346" s="312"/>
      <c r="DY346" s="312"/>
      <c r="DZ346" s="312"/>
      <c r="EA346" s="312"/>
      <c r="EB346" s="312"/>
      <c r="EC346" s="312"/>
      <c r="ED346" s="312"/>
      <c r="EE346" s="312"/>
      <c r="EF346" s="312"/>
      <c r="EG346" s="312"/>
      <c r="EH346" s="312"/>
      <c r="EI346" s="312"/>
      <c r="EJ346" s="312"/>
      <c r="EK346" s="312"/>
      <c r="EL346" s="312"/>
      <c r="EM346" s="312"/>
      <c r="EN346" s="312"/>
      <c r="EO346" s="312"/>
      <c r="EP346" s="312"/>
      <c r="EQ346" s="312"/>
      <c r="ER346" s="312"/>
      <c r="ES346" s="312"/>
      <c r="ET346" s="312"/>
      <c r="EU346" s="312"/>
      <c r="EV346" s="312"/>
      <c r="EW346" s="312"/>
      <c r="EX346" s="312"/>
      <c r="EY346" s="312"/>
      <c r="EZ346" s="312"/>
      <c r="FA346" s="312"/>
      <c r="FB346" s="312"/>
      <c r="FC346" s="312"/>
      <c r="FD346" s="312"/>
      <c r="FE346" s="312"/>
      <c r="FF346" s="312"/>
      <c r="FG346" s="312"/>
      <c r="FH346" s="312"/>
      <c r="FI346" s="312"/>
      <c r="FJ346" s="312"/>
      <c r="FK346" s="312"/>
      <c r="FL346" s="312"/>
      <c r="FM346" s="312"/>
      <c r="FN346" s="312"/>
      <c r="FO346" s="312"/>
      <c r="FP346" s="312"/>
      <c r="FQ346" s="312"/>
      <c r="FR346" s="312"/>
      <c r="FS346" s="312"/>
      <c r="FT346" s="312"/>
      <c r="FU346" s="312"/>
      <c r="FV346" s="312"/>
      <c r="FW346" s="312"/>
      <c r="FX346" s="312"/>
      <c r="FY346" s="312"/>
      <c r="FZ346" s="312"/>
      <c r="GA346" s="312"/>
      <c r="GB346" s="312"/>
      <c r="GC346" s="312"/>
      <c r="GD346" s="312"/>
      <c r="GE346" s="312"/>
      <c r="GF346" s="312"/>
      <c r="GG346" s="312"/>
      <c r="GH346" s="312"/>
      <c r="GI346" s="312"/>
      <c r="GJ346" s="312"/>
      <c r="GK346" s="312"/>
      <c r="GL346" s="312"/>
      <c r="GM346" s="312"/>
      <c r="GN346" s="312"/>
      <c r="GO346" s="312"/>
      <c r="GP346" s="312"/>
      <c r="GQ346" s="312"/>
      <c r="GR346" s="312"/>
      <c r="GS346" s="312"/>
      <c r="GT346" s="312"/>
      <c r="GU346" s="312"/>
      <c r="GV346" s="312"/>
      <c r="GW346" s="312"/>
      <c r="GX346" s="312"/>
      <c r="GY346" s="312"/>
    </row>
    <row r="347" spans="2:207" ht="15.75" x14ac:dyDescent="0.25">
      <c r="B347" s="316">
        <f t="shared" si="77"/>
        <v>317</v>
      </c>
      <c r="C347" s="330">
        <f>'סיכום לוועדה'!B347</f>
        <v>1001349480</v>
      </c>
      <c r="D347" s="330">
        <f>'סיכום לוועדה'!C347</f>
        <v>1001272601</v>
      </c>
      <c r="E347" s="330">
        <f>'סיכום לוועדה'!D347</f>
        <v>40000564</v>
      </c>
      <c r="F347" s="330">
        <f>'סיכום לוועדה'!E347</f>
        <v>20000201</v>
      </c>
      <c r="G347" s="330" t="str">
        <f>'סיכום לוועדה'!F347</f>
        <v>תל אביב -יפו</v>
      </c>
      <c r="H347" s="317" t="str">
        <f>'סיכום לוועדה'!G347</f>
        <v>עמותת הכוריאוגרפים (ע"ר)</v>
      </c>
      <c r="I347" s="318">
        <f>'סיכום לוועדה'!U347</f>
        <v>150000</v>
      </c>
      <c r="J347" s="319">
        <f>'סיכום לוועדה'!T347</f>
        <v>9957.6031491579088</v>
      </c>
      <c r="K347" s="320">
        <f t="shared" si="78"/>
        <v>0</v>
      </c>
      <c r="L347" s="319">
        <f t="shared" si="79"/>
        <v>9957.6031491579088</v>
      </c>
      <c r="M347" s="331">
        <f>'תחום תמיכה ב'!AF347</f>
        <v>7.7630982456905489E-5</v>
      </c>
      <c r="N347" s="319">
        <f t="shared" si="76"/>
        <v>11280.009045196091</v>
      </c>
      <c r="O347" s="321">
        <f t="shared" si="80"/>
        <v>0</v>
      </c>
      <c r="P347" s="322">
        <f t="shared" si="81"/>
        <v>11280.009045196091</v>
      </c>
      <c r="Q347" s="322">
        <f t="shared" si="82"/>
        <v>11285.145131226813</v>
      </c>
      <c r="R347" s="321">
        <f t="shared" si="83"/>
        <v>0</v>
      </c>
      <c r="S347" s="322">
        <f t="shared" si="84"/>
        <v>11285.145131226813</v>
      </c>
      <c r="T347" s="322">
        <f t="shared" si="85"/>
        <v>11285.145131226791</v>
      </c>
      <c r="U347" s="321">
        <f t="shared" si="86"/>
        <v>0</v>
      </c>
      <c r="V347" s="322">
        <f t="shared" si="87"/>
        <v>11285.145131226791</v>
      </c>
      <c r="W347" s="322">
        <f t="shared" si="88"/>
        <v>11285.145131226795</v>
      </c>
      <c r="X347" s="321">
        <f t="shared" si="89"/>
        <v>0</v>
      </c>
      <c r="Y347" s="322">
        <f t="shared" si="90"/>
        <v>11285.145131226795</v>
      </c>
      <c r="Z347" s="322">
        <f t="shared" si="91"/>
        <v>11285.145131226793</v>
      </c>
      <c r="AA347" s="323">
        <f t="shared" si="92"/>
        <v>11285.145131226793</v>
      </c>
      <c r="AB347" s="323"/>
      <c r="AC347" s="323"/>
      <c r="AD347" s="323"/>
      <c r="AE347" s="323"/>
      <c r="AF347" s="324">
        <f t="shared" si="93"/>
        <v>6.4627583698435699E-5</v>
      </c>
      <c r="AG347" s="312"/>
      <c r="AH347" s="312"/>
      <c r="AI347" s="325">
        <f t="shared" si="94"/>
        <v>1</v>
      </c>
      <c r="AJ347" s="312"/>
      <c r="AK347" s="312"/>
      <c r="AL347" s="312"/>
      <c r="AM347" s="312"/>
      <c r="AN347" s="312"/>
      <c r="AO347" s="312"/>
      <c r="AP347" s="312"/>
      <c r="AQ347" s="312"/>
      <c r="AR347" s="312"/>
      <c r="AS347" s="312"/>
      <c r="AT347" s="312"/>
      <c r="AU347" s="312"/>
      <c r="AV347" s="312"/>
      <c r="AW347" s="312"/>
      <c r="AX347" s="312"/>
      <c r="AY347" s="312"/>
      <c r="AZ347" s="312"/>
      <c r="BA347" s="312"/>
      <c r="BB347" s="312"/>
      <c r="BC347" s="312"/>
      <c r="BD347" s="312"/>
      <c r="BE347" s="312"/>
      <c r="BF347" s="312"/>
      <c r="BG347" s="312"/>
      <c r="BH347" s="312"/>
      <c r="BI347" s="312"/>
      <c r="BJ347" s="312"/>
      <c r="BK347" s="312"/>
      <c r="BL347" s="312"/>
      <c r="BM347" s="312"/>
      <c r="BN347" s="312"/>
      <c r="BO347" s="312"/>
      <c r="BP347" s="312"/>
      <c r="BQ347" s="312"/>
      <c r="BR347" s="312"/>
      <c r="BS347" s="312"/>
      <c r="BT347" s="312"/>
      <c r="BU347" s="312"/>
      <c r="BV347" s="312"/>
      <c r="BW347" s="312"/>
      <c r="BX347" s="312"/>
      <c r="BY347" s="312"/>
      <c r="BZ347" s="312"/>
      <c r="CA347" s="312"/>
      <c r="CB347" s="312"/>
      <c r="CC347" s="312"/>
      <c r="CD347" s="312"/>
      <c r="CE347" s="312"/>
      <c r="CF347" s="312"/>
      <c r="CG347" s="312"/>
      <c r="CH347" s="312"/>
      <c r="CI347" s="312"/>
      <c r="CJ347" s="312"/>
      <c r="CK347" s="312"/>
      <c r="CL347" s="312"/>
      <c r="CM347" s="312"/>
      <c r="CN347" s="312"/>
      <c r="CO347" s="312"/>
      <c r="CP347" s="312"/>
      <c r="CQ347" s="312"/>
      <c r="CR347" s="312"/>
      <c r="CS347" s="312"/>
      <c r="CT347" s="312"/>
      <c r="CU347" s="312"/>
      <c r="CV347" s="312"/>
      <c r="CW347" s="312"/>
      <c r="CX347" s="312"/>
      <c r="CY347" s="312"/>
      <c r="CZ347" s="312"/>
      <c r="DA347" s="312"/>
      <c r="DB347" s="312"/>
      <c r="DC347" s="312"/>
      <c r="DD347" s="312"/>
      <c r="DE347" s="312"/>
      <c r="DF347" s="312"/>
      <c r="DG347" s="312"/>
      <c r="DH347" s="312"/>
      <c r="DI347" s="312"/>
      <c r="DJ347" s="312"/>
      <c r="DK347" s="312"/>
      <c r="DL347" s="312"/>
      <c r="DM347" s="312"/>
      <c r="DN347" s="312"/>
      <c r="DO347" s="312"/>
      <c r="DP347" s="312"/>
      <c r="DQ347" s="312"/>
      <c r="DR347" s="312"/>
      <c r="DS347" s="312"/>
      <c r="DT347" s="312"/>
      <c r="DU347" s="312"/>
      <c r="DV347" s="312"/>
      <c r="DW347" s="312"/>
      <c r="DX347" s="312"/>
      <c r="DY347" s="312"/>
      <c r="DZ347" s="312"/>
      <c r="EA347" s="312"/>
      <c r="EB347" s="312"/>
      <c r="EC347" s="312"/>
      <c r="ED347" s="312"/>
      <c r="EE347" s="312"/>
      <c r="EF347" s="312"/>
      <c r="EG347" s="312"/>
      <c r="EH347" s="312"/>
      <c r="EI347" s="312"/>
      <c r="EJ347" s="312"/>
      <c r="EK347" s="312"/>
      <c r="EL347" s="312"/>
      <c r="EM347" s="312"/>
      <c r="EN347" s="312"/>
      <c r="EO347" s="312"/>
      <c r="EP347" s="312"/>
      <c r="EQ347" s="312"/>
      <c r="ER347" s="312"/>
      <c r="ES347" s="312"/>
      <c r="ET347" s="312"/>
      <c r="EU347" s="312"/>
      <c r="EV347" s="312"/>
      <c r="EW347" s="312"/>
      <c r="EX347" s="312"/>
      <c r="EY347" s="312"/>
      <c r="EZ347" s="312"/>
      <c r="FA347" s="312"/>
      <c r="FB347" s="312"/>
      <c r="FC347" s="312"/>
      <c r="FD347" s="312"/>
      <c r="FE347" s="312"/>
      <c r="FF347" s="312"/>
      <c r="FG347" s="312"/>
      <c r="FH347" s="312"/>
      <c r="FI347" s="312"/>
      <c r="FJ347" s="312"/>
      <c r="FK347" s="312"/>
      <c r="FL347" s="312"/>
      <c r="FM347" s="312"/>
      <c r="FN347" s="312"/>
      <c r="FO347" s="312"/>
      <c r="FP347" s="312"/>
      <c r="FQ347" s="312"/>
      <c r="FR347" s="312"/>
      <c r="FS347" s="312"/>
      <c r="FT347" s="312"/>
      <c r="FU347" s="312"/>
      <c r="FV347" s="312"/>
      <c r="FW347" s="312"/>
      <c r="FX347" s="312"/>
      <c r="FY347" s="312"/>
      <c r="FZ347" s="312"/>
      <c r="GA347" s="312"/>
      <c r="GB347" s="312"/>
      <c r="GC347" s="312"/>
      <c r="GD347" s="312"/>
      <c r="GE347" s="312"/>
      <c r="GF347" s="312"/>
      <c r="GG347" s="312"/>
      <c r="GH347" s="312"/>
      <c r="GI347" s="312"/>
      <c r="GJ347" s="312"/>
      <c r="GK347" s="312"/>
      <c r="GL347" s="312"/>
      <c r="GM347" s="312"/>
      <c r="GN347" s="312"/>
      <c r="GO347" s="312"/>
      <c r="GP347" s="312"/>
      <c r="GQ347" s="312"/>
      <c r="GR347" s="312"/>
      <c r="GS347" s="312"/>
      <c r="GT347" s="312"/>
      <c r="GU347" s="312"/>
      <c r="GV347" s="312"/>
      <c r="GW347" s="312"/>
      <c r="GX347" s="312"/>
      <c r="GY347" s="312"/>
    </row>
    <row r="348" spans="2:207" ht="15.75" x14ac:dyDescent="0.25">
      <c r="B348" s="316">
        <f t="shared" si="77"/>
        <v>318</v>
      </c>
      <c r="C348" s="330">
        <f>'סיכום לוועדה'!B348</f>
        <v>1001349483</v>
      </c>
      <c r="D348" s="330">
        <f>'סיכום לוועדה'!C348</f>
        <v>1001276682</v>
      </c>
      <c r="E348" s="330">
        <f>'סיכום לוועדה'!D348</f>
        <v>40000564</v>
      </c>
      <c r="F348" s="330">
        <f>'סיכום לוועדה'!E348</f>
        <v>20000201</v>
      </c>
      <c r="G348" s="330" t="str">
        <f>'סיכום לוועדה'!F348</f>
        <v>תל אביב -יפו</v>
      </c>
      <c r="H348" s="317" t="str">
        <f>'סיכום לוועדה'!G348</f>
        <v>עמותת הכוריאוגרפים (ע"ר)</v>
      </c>
      <c r="I348" s="318">
        <f>'סיכום לוועדה'!U348</f>
        <v>150000</v>
      </c>
      <c r="J348" s="319">
        <f>'סיכום לוועדה'!T348</f>
        <v>15960.033684043736</v>
      </c>
      <c r="K348" s="320">
        <f t="shared" si="78"/>
        <v>0</v>
      </c>
      <c r="L348" s="319">
        <f t="shared" si="79"/>
        <v>15960.033684043736</v>
      </c>
      <c r="M348" s="331">
        <f>'תחום תמיכה ב'!AF348</f>
        <v>1.1841936104536805E-4</v>
      </c>
      <c r="N348" s="319">
        <f t="shared" si="76"/>
        <v>17977.249701352288</v>
      </c>
      <c r="O348" s="321">
        <f t="shared" si="80"/>
        <v>0</v>
      </c>
      <c r="P348" s="322">
        <f t="shared" si="81"/>
        <v>17977.249701352288</v>
      </c>
      <c r="Q348" s="322">
        <f t="shared" si="82"/>
        <v>17985.435217932278</v>
      </c>
      <c r="R348" s="321">
        <f t="shared" si="83"/>
        <v>0</v>
      </c>
      <c r="S348" s="322">
        <f t="shared" si="84"/>
        <v>17985.435217932278</v>
      </c>
      <c r="T348" s="322">
        <f t="shared" si="85"/>
        <v>17985.435217932241</v>
      </c>
      <c r="U348" s="321">
        <f t="shared" si="86"/>
        <v>0</v>
      </c>
      <c r="V348" s="322">
        <f t="shared" si="87"/>
        <v>17985.435217932241</v>
      </c>
      <c r="W348" s="322">
        <f t="shared" si="88"/>
        <v>17985.435217932249</v>
      </c>
      <c r="X348" s="321">
        <f t="shared" si="89"/>
        <v>0</v>
      </c>
      <c r="Y348" s="322">
        <f t="shared" si="90"/>
        <v>17985.435217932249</v>
      </c>
      <c r="Z348" s="322">
        <f t="shared" si="91"/>
        <v>17985.435217932245</v>
      </c>
      <c r="AA348" s="323">
        <f t="shared" si="92"/>
        <v>17985.435217932245</v>
      </c>
      <c r="AB348" s="323"/>
      <c r="AC348" s="323"/>
      <c r="AD348" s="323"/>
      <c r="AE348" s="323"/>
      <c r="AF348" s="324">
        <f t="shared" si="93"/>
        <v>1.0299869486688215E-4</v>
      </c>
      <c r="AG348" s="312"/>
      <c r="AH348" s="312"/>
      <c r="AI348" s="325">
        <f t="shared" si="94"/>
        <v>1</v>
      </c>
      <c r="AJ348" s="312"/>
      <c r="AK348" s="312"/>
      <c r="AL348" s="312"/>
      <c r="AM348" s="312"/>
      <c r="AN348" s="312"/>
      <c r="AO348" s="312"/>
      <c r="AP348" s="312"/>
      <c r="AQ348" s="312"/>
      <c r="AR348" s="312"/>
      <c r="AS348" s="312"/>
      <c r="AT348" s="312"/>
      <c r="AU348" s="312"/>
      <c r="AV348" s="312"/>
      <c r="AW348" s="312"/>
      <c r="AX348" s="312"/>
      <c r="AY348" s="312"/>
      <c r="AZ348" s="312"/>
      <c r="BA348" s="312"/>
      <c r="BB348" s="312"/>
      <c r="BC348" s="312"/>
      <c r="BD348" s="312"/>
      <c r="BE348" s="312"/>
      <c r="BF348" s="312"/>
      <c r="BG348" s="312"/>
      <c r="BH348" s="312"/>
      <c r="BI348" s="312"/>
      <c r="BJ348" s="312"/>
      <c r="BK348" s="312"/>
      <c r="BL348" s="312"/>
      <c r="BM348" s="312"/>
      <c r="BN348" s="312"/>
      <c r="BO348" s="312"/>
      <c r="BP348" s="312"/>
      <c r="BQ348" s="312"/>
      <c r="BR348" s="312"/>
      <c r="BS348" s="312"/>
      <c r="BT348" s="312"/>
      <c r="BU348" s="312"/>
      <c r="BV348" s="312"/>
      <c r="BW348" s="312"/>
      <c r="BX348" s="312"/>
      <c r="BY348" s="312"/>
      <c r="BZ348" s="312"/>
      <c r="CA348" s="312"/>
      <c r="CB348" s="312"/>
      <c r="CC348" s="312"/>
      <c r="CD348" s="312"/>
      <c r="CE348" s="312"/>
      <c r="CF348" s="312"/>
      <c r="CG348" s="312"/>
      <c r="CH348" s="312"/>
      <c r="CI348" s="312"/>
      <c r="CJ348" s="312"/>
      <c r="CK348" s="312"/>
      <c r="CL348" s="312"/>
      <c r="CM348" s="312"/>
      <c r="CN348" s="312"/>
      <c r="CO348" s="312"/>
      <c r="CP348" s="312"/>
      <c r="CQ348" s="312"/>
      <c r="CR348" s="312"/>
      <c r="CS348" s="312"/>
      <c r="CT348" s="312"/>
      <c r="CU348" s="312"/>
      <c r="CV348" s="312"/>
      <c r="CW348" s="312"/>
      <c r="CX348" s="312"/>
      <c r="CY348" s="312"/>
      <c r="CZ348" s="312"/>
      <c r="DA348" s="312"/>
      <c r="DB348" s="312"/>
      <c r="DC348" s="312"/>
      <c r="DD348" s="312"/>
      <c r="DE348" s="312"/>
      <c r="DF348" s="312"/>
      <c r="DG348" s="312"/>
      <c r="DH348" s="312"/>
      <c r="DI348" s="312"/>
      <c r="DJ348" s="312"/>
      <c r="DK348" s="312"/>
      <c r="DL348" s="312"/>
      <c r="DM348" s="312"/>
      <c r="DN348" s="312"/>
      <c r="DO348" s="312"/>
      <c r="DP348" s="312"/>
      <c r="DQ348" s="312"/>
      <c r="DR348" s="312"/>
      <c r="DS348" s="312"/>
      <c r="DT348" s="312"/>
      <c r="DU348" s="312"/>
      <c r="DV348" s="312"/>
      <c r="DW348" s="312"/>
      <c r="DX348" s="312"/>
      <c r="DY348" s="312"/>
      <c r="DZ348" s="312"/>
      <c r="EA348" s="312"/>
      <c r="EB348" s="312"/>
      <c r="EC348" s="312"/>
      <c r="ED348" s="312"/>
      <c r="EE348" s="312"/>
      <c r="EF348" s="312"/>
      <c r="EG348" s="312"/>
      <c r="EH348" s="312"/>
      <c r="EI348" s="312"/>
      <c r="EJ348" s="312"/>
      <c r="EK348" s="312"/>
      <c r="EL348" s="312"/>
      <c r="EM348" s="312"/>
      <c r="EN348" s="312"/>
      <c r="EO348" s="312"/>
      <c r="EP348" s="312"/>
      <c r="EQ348" s="312"/>
      <c r="ER348" s="312"/>
      <c r="ES348" s="312"/>
      <c r="ET348" s="312"/>
      <c r="EU348" s="312"/>
      <c r="EV348" s="312"/>
      <c r="EW348" s="312"/>
      <c r="EX348" s="312"/>
      <c r="EY348" s="312"/>
      <c r="EZ348" s="312"/>
      <c r="FA348" s="312"/>
      <c r="FB348" s="312"/>
      <c r="FC348" s="312"/>
      <c r="FD348" s="312"/>
      <c r="FE348" s="312"/>
      <c r="FF348" s="312"/>
      <c r="FG348" s="312"/>
      <c r="FH348" s="312"/>
      <c r="FI348" s="312"/>
      <c r="FJ348" s="312"/>
      <c r="FK348" s="312"/>
      <c r="FL348" s="312"/>
      <c r="FM348" s="312"/>
      <c r="FN348" s="312"/>
      <c r="FO348" s="312"/>
      <c r="FP348" s="312"/>
      <c r="FQ348" s="312"/>
      <c r="FR348" s="312"/>
      <c r="FS348" s="312"/>
      <c r="FT348" s="312"/>
      <c r="FU348" s="312"/>
      <c r="FV348" s="312"/>
      <c r="FW348" s="312"/>
      <c r="FX348" s="312"/>
      <c r="FY348" s="312"/>
      <c r="FZ348" s="312"/>
      <c r="GA348" s="312"/>
      <c r="GB348" s="312"/>
      <c r="GC348" s="312"/>
      <c r="GD348" s="312"/>
      <c r="GE348" s="312"/>
      <c r="GF348" s="312"/>
      <c r="GG348" s="312"/>
      <c r="GH348" s="312"/>
      <c r="GI348" s="312"/>
      <c r="GJ348" s="312"/>
      <c r="GK348" s="312"/>
      <c r="GL348" s="312"/>
      <c r="GM348" s="312"/>
      <c r="GN348" s="312"/>
      <c r="GO348" s="312"/>
      <c r="GP348" s="312"/>
      <c r="GQ348" s="312"/>
      <c r="GR348" s="312"/>
      <c r="GS348" s="312"/>
      <c r="GT348" s="312"/>
      <c r="GU348" s="312"/>
      <c r="GV348" s="312"/>
      <c r="GW348" s="312"/>
      <c r="GX348" s="312"/>
      <c r="GY348" s="312"/>
    </row>
    <row r="349" spans="2:207" ht="15.75" x14ac:dyDescent="0.25">
      <c r="B349" s="316">
        <f t="shared" si="77"/>
        <v>319</v>
      </c>
      <c r="C349" s="330">
        <f>'סיכום לוועדה'!B349</f>
        <v>1001349487</v>
      </c>
      <c r="D349" s="330">
        <f>'סיכום לוועדה'!C349</f>
        <v>1001263329</v>
      </c>
      <c r="E349" s="330">
        <f>'סיכום לוועדה'!D349</f>
        <v>40000567</v>
      </c>
      <c r="F349" s="330">
        <f>'סיכום לוועדה'!E349</f>
        <v>20000201</v>
      </c>
      <c r="G349" s="330" t="str">
        <f>'סיכום לוועדה'!F349</f>
        <v>תל אביב -יפו</v>
      </c>
      <c r="H349" s="317" t="str">
        <f>'סיכום לוועדה'!G349</f>
        <v>תיאטרון ארצי לילדים ונוער (ע"ר)</v>
      </c>
      <c r="I349" s="318">
        <f>'סיכום לוועדה'!U349</f>
        <v>1900000</v>
      </c>
      <c r="J349" s="319">
        <f>'סיכום לוועדה'!T349</f>
        <v>2354834.9999908675</v>
      </c>
      <c r="K349" s="320">
        <f t="shared" si="78"/>
        <v>1</v>
      </c>
      <c r="L349" s="319">
        <f t="shared" si="79"/>
        <v>1900000</v>
      </c>
      <c r="M349" s="331">
        <f>'תחום תמיכה ב'!AF349</f>
        <v>1.2505374549251963E-2</v>
      </c>
      <c r="N349" s="319">
        <f t="shared" si="76"/>
        <v>1900000</v>
      </c>
      <c r="O349" s="321">
        <f t="shared" si="80"/>
        <v>1</v>
      </c>
      <c r="P349" s="322">
        <f t="shared" si="81"/>
        <v>1900000</v>
      </c>
      <c r="Q349" s="322">
        <f t="shared" si="82"/>
        <v>1900000</v>
      </c>
      <c r="R349" s="321">
        <f t="shared" si="83"/>
        <v>1</v>
      </c>
      <c r="S349" s="322">
        <f t="shared" si="84"/>
        <v>1900000</v>
      </c>
      <c r="T349" s="322">
        <f t="shared" si="85"/>
        <v>1900000</v>
      </c>
      <c r="U349" s="321">
        <f t="shared" si="86"/>
        <v>1</v>
      </c>
      <c r="V349" s="322">
        <f t="shared" si="87"/>
        <v>1900000</v>
      </c>
      <c r="W349" s="322">
        <f t="shared" si="88"/>
        <v>1900000</v>
      </c>
      <c r="X349" s="321">
        <f t="shared" si="89"/>
        <v>1</v>
      </c>
      <c r="Y349" s="322">
        <f t="shared" si="90"/>
        <v>1900000</v>
      </c>
      <c r="Z349" s="322">
        <f t="shared" si="91"/>
        <v>1900000</v>
      </c>
      <c r="AA349" s="323">
        <f t="shared" si="92"/>
        <v>1900000</v>
      </c>
      <c r="AB349" s="323"/>
      <c r="AC349" s="323"/>
      <c r="AD349" s="323"/>
      <c r="AE349" s="323"/>
      <c r="AF349" s="324">
        <f t="shared" si="93"/>
        <v>1.088088877893582E-2</v>
      </c>
      <c r="AG349" s="312"/>
      <c r="AH349" s="312"/>
      <c r="AI349" s="325">
        <f t="shared" si="94"/>
        <v>1</v>
      </c>
      <c r="AJ349" s="312"/>
      <c r="AK349" s="312"/>
      <c r="AL349" s="312"/>
      <c r="AM349" s="312"/>
      <c r="AN349" s="312"/>
      <c r="AO349" s="312"/>
      <c r="AP349" s="312"/>
      <c r="AQ349" s="312"/>
      <c r="AR349" s="312"/>
      <c r="AS349" s="312"/>
      <c r="AT349" s="312"/>
      <c r="AU349" s="312"/>
      <c r="AV349" s="312"/>
      <c r="AW349" s="312"/>
      <c r="AX349" s="312"/>
      <c r="AY349" s="312"/>
      <c r="AZ349" s="312"/>
      <c r="BA349" s="312"/>
      <c r="BB349" s="312"/>
      <c r="BC349" s="312"/>
      <c r="BD349" s="312"/>
      <c r="BE349" s="312"/>
      <c r="BF349" s="312"/>
      <c r="BG349" s="312"/>
      <c r="BH349" s="312"/>
      <c r="BI349" s="312"/>
      <c r="BJ349" s="312"/>
      <c r="BK349" s="312"/>
      <c r="BL349" s="312"/>
      <c r="BM349" s="312"/>
      <c r="BN349" s="312"/>
      <c r="BO349" s="312"/>
      <c r="BP349" s="312"/>
      <c r="BQ349" s="312"/>
      <c r="BR349" s="312"/>
      <c r="BS349" s="312"/>
      <c r="BT349" s="312"/>
      <c r="BU349" s="312"/>
      <c r="BV349" s="312"/>
      <c r="BW349" s="312"/>
      <c r="BX349" s="312"/>
      <c r="BY349" s="312"/>
      <c r="BZ349" s="312"/>
      <c r="CA349" s="312"/>
      <c r="CB349" s="312"/>
      <c r="CC349" s="312"/>
      <c r="CD349" s="312"/>
      <c r="CE349" s="312"/>
      <c r="CF349" s="312"/>
      <c r="CG349" s="312"/>
      <c r="CH349" s="312"/>
      <c r="CI349" s="312"/>
      <c r="CJ349" s="312"/>
      <c r="CK349" s="312"/>
      <c r="CL349" s="312"/>
      <c r="CM349" s="312"/>
      <c r="CN349" s="312"/>
      <c r="CO349" s="312"/>
      <c r="CP349" s="312"/>
      <c r="CQ349" s="312"/>
      <c r="CR349" s="312"/>
      <c r="CS349" s="312"/>
      <c r="CT349" s="312"/>
      <c r="CU349" s="312"/>
      <c r="CV349" s="312"/>
      <c r="CW349" s="312"/>
      <c r="CX349" s="312"/>
      <c r="CY349" s="312"/>
      <c r="CZ349" s="312"/>
      <c r="DA349" s="312"/>
      <c r="DB349" s="312"/>
      <c r="DC349" s="312"/>
      <c r="DD349" s="312"/>
      <c r="DE349" s="312"/>
      <c r="DF349" s="312"/>
      <c r="DG349" s="312"/>
      <c r="DH349" s="312"/>
      <c r="DI349" s="312"/>
      <c r="DJ349" s="312"/>
      <c r="DK349" s="312"/>
      <c r="DL349" s="312"/>
      <c r="DM349" s="312"/>
      <c r="DN349" s="312"/>
      <c r="DO349" s="312"/>
      <c r="DP349" s="312"/>
      <c r="DQ349" s="312"/>
      <c r="DR349" s="312"/>
      <c r="DS349" s="312"/>
      <c r="DT349" s="312"/>
      <c r="DU349" s="312"/>
      <c r="DV349" s="312"/>
      <c r="DW349" s="312"/>
      <c r="DX349" s="312"/>
      <c r="DY349" s="312"/>
      <c r="DZ349" s="312"/>
      <c r="EA349" s="312"/>
      <c r="EB349" s="312"/>
      <c r="EC349" s="312"/>
      <c r="ED349" s="312"/>
      <c r="EE349" s="312"/>
      <c r="EF349" s="312"/>
      <c r="EG349" s="312"/>
      <c r="EH349" s="312"/>
      <c r="EI349" s="312"/>
      <c r="EJ349" s="312"/>
      <c r="EK349" s="312"/>
      <c r="EL349" s="312"/>
      <c r="EM349" s="312"/>
      <c r="EN349" s="312"/>
      <c r="EO349" s="312"/>
      <c r="EP349" s="312"/>
      <c r="EQ349" s="312"/>
      <c r="ER349" s="312"/>
      <c r="ES349" s="312"/>
      <c r="ET349" s="312"/>
      <c r="EU349" s="312"/>
      <c r="EV349" s="312"/>
      <c r="EW349" s="312"/>
      <c r="EX349" s="312"/>
      <c r="EY349" s="312"/>
      <c r="EZ349" s="312"/>
      <c r="FA349" s="312"/>
      <c r="FB349" s="312"/>
      <c r="FC349" s="312"/>
      <c r="FD349" s="312"/>
      <c r="FE349" s="312"/>
      <c r="FF349" s="312"/>
      <c r="FG349" s="312"/>
      <c r="FH349" s="312"/>
      <c r="FI349" s="312"/>
      <c r="FJ349" s="312"/>
      <c r="FK349" s="312"/>
      <c r="FL349" s="312"/>
      <c r="FM349" s="312"/>
      <c r="FN349" s="312"/>
      <c r="FO349" s="312"/>
      <c r="FP349" s="312"/>
      <c r="FQ349" s="312"/>
      <c r="FR349" s="312"/>
      <c r="FS349" s="312"/>
      <c r="FT349" s="312"/>
      <c r="FU349" s="312"/>
      <c r="FV349" s="312"/>
      <c r="FW349" s="312"/>
      <c r="FX349" s="312"/>
      <c r="FY349" s="312"/>
      <c r="FZ349" s="312"/>
      <c r="GA349" s="312"/>
      <c r="GB349" s="312"/>
      <c r="GC349" s="312"/>
      <c r="GD349" s="312"/>
      <c r="GE349" s="312"/>
      <c r="GF349" s="312"/>
      <c r="GG349" s="312"/>
      <c r="GH349" s="312"/>
      <c r="GI349" s="312"/>
      <c r="GJ349" s="312"/>
      <c r="GK349" s="312"/>
      <c r="GL349" s="312"/>
      <c r="GM349" s="312"/>
      <c r="GN349" s="312"/>
      <c r="GO349" s="312"/>
      <c r="GP349" s="312"/>
      <c r="GQ349" s="312"/>
      <c r="GR349" s="312"/>
      <c r="GS349" s="312"/>
      <c r="GT349" s="312"/>
      <c r="GU349" s="312"/>
      <c r="GV349" s="312"/>
      <c r="GW349" s="312"/>
      <c r="GX349" s="312"/>
      <c r="GY349" s="312"/>
    </row>
    <row r="350" spans="2:207" ht="15.75" x14ac:dyDescent="0.25">
      <c r="B350" s="316">
        <f t="shared" si="77"/>
        <v>320</v>
      </c>
      <c r="C350" s="330">
        <f>'סיכום לוועדה'!B350</f>
        <v>1001347578</v>
      </c>
      <c r="D350" s="330">
        <f>'סיכום לוועדה'!C350</f>
        <v>1001275925</v>
      </c>
      <c r="E350" s="330">
        <f>'סיכום לוועדה'!D350</f>
        <v>40000632</v>
      </c>
      <c r="F350" s="330">
        <f>'סיכום לוועדה'!E350</f>
        <v>20000201</v>
      </c>
      <c r="G350" s="330" t="str">
        <f>'סיכום לוועדה'!F350</f>
        <v>תל אביב -יפו</v>
      </c>
      <c r="H350" s="317" t="str">
        <f>'סיכום לוועדה'!G350</f>
        <v>האנסמבל הקולי הישראלי (1995) (ע"ר)</v>
      </c>
      <c r="I350" s="318">
        <f>'סיכום לוועדה'!U350</f>
        <v>650000</v>
      </c>
      <c r="J350" s="319">
        <f>'סיכום לוועדה'!T350</f>
        <v>111625.41359198082</v>
      </c>
      <c r="K350" s="320">
        <f t="shared" si="78"/>
        <v>0</v>
      </c>
      <c r="L350" s="319">
        <f t="shared" si="79"/>
        <v>111625.41359198082</v>
      </c>
      <c r="M350" s="331">
        <f>'תחום תמיכה ב'!AF350</f>
        <v>5.0259640192095855E-4</v>
      </c>
      <c r="N350" s="319">
        <f t="shared" si="76"/>
        <v>120186.89799154777</v>
      </c>
      <c r="O350" s="321">
        <f t="shared" si="80"/>
        <v>0</v>
      </c>
      <c r="P350" s="322">
        <f t="shared" si="81"/>
        <v>120186.89799154777</v>
      </c>
      <c r="Q350" s="322">
        <f t="shared" si="82"/>
        <v>120241.62226041818</v>
      </c>
      <c r="R350" s="321">
        <f t="shared" si="83"/>
        <v>0</v>
      </c>
      <c r="S350" s="322">
        <f t="shared" si="84"/>
        <v>120241.62226041818</v>
      </c>
      <c r="T350" s="322">
        <f t="shared" si="85"/>
        <v>120241.62226041793</v>
      </c>
      <c r="U350" s="321">
        <f t="shared" si="86"/>
        <v>0</v>
      </c>
      <c r="V350" s="322">
        <f t="shared" si="87"/>
        <v>120241.62226041793</v>
      </c>
      <c r="W350" s="322">
        <f t="shared" si="88"/>
        <v>120241.62226041798</v>
      </c>
      <c r="X350" s="321">
        <f t="shared" si="89"/>
        <v>0</v>
      </c>
      <c r="Y350" s="322">
        <f t="shared" si="90"/>
        <v>120241.62226041798</v>
      </c>
      <c r="Z350" s="322">
        <f t="shared" si="91"/>
        <v>120241.62226041795</v>
      </c>
      <c r="AA350" s="323">
        <f t="shared" si="92"/>
        <v>120241.62226041795</v>
      </c>
      <c r="AB350" s="323"/>
      <c r="AC350" s="323"/>
      <c r="AD350" s="323"/>
      <c r="AE350" s="323"/>
      <c r="AF350" s="324">
        <f t="shared" si="93"/>
        <v>6.8859774653390598E-4</v>
      </c>
      <c r="AG350" s="312"/>
      <c r="AH350" s="312"/>
      <c r="AI350" s="325">
        <f t="shared" si="94"/>
        <v>1</v>
      </c>
      <c r="AJ350" s="312"/>
      <c r="AK350" s="312"/>
      <c r="AL350" s="312"/>
      <c r="AM350" s="312"/>
      <c r="AN350" s="312"/>
      <c r="AO350" s="312"/>
      <c r="AP350" s="312"/>
      <c r="AQ350" s="312"/>
      <c r="AR350" s="312"/>
      <c r="AS350" s="312"/>
      <c r="AT350" s="312"/>
      <c r="AU350" s="312"/>
      <c r="AV350" s="312"/>
      <c r="AW350" s="312"/>
      <c r="AX350" s="312"/>
      <c r="AY350" s="312"/>
      <c r="AZ350" s="312"/>
      <c r="BA350" s="312"/>
      <c r="BB350" s="312"/>
      <c r="BC350" s="312"/>
      <c r="BD350" s="312"/>
      <c r="BE350" s="312"/>
      <c r="BF350" s="312"/>
      <c r="BG350" s="312"/>
      <c r="BH350" s="312"/>
      <c r="BI350" s="312"/>
      <c r="BJ350" s="312"/>
      <c r="BK350" s="312"/>
      <c r="BL350" s="312"/>
      <c r="BM350" s="312"/>
      <c r="BN350" s="312"/>
      <c r="BO350" s="312"/>
      <c r="BP350" s="312"/>
      <c r="BQ350" s="312"/>
      <c r="BR350" s="312"/>
      <c r="BS350" s="312"/>
      <c r="BT350" s="312"/>
      <c r="BU350" s="312"/>
      <c r="BV350" s="312"/>
      <c r="BW350" s="312"/>
      <c r="BX350" s="312"/>
      <c r="BY350" s="312"/>
      <c r="BZ350" s="312"/>
      <c r="CA350" s="312"/>
      <c r="CB350" s="312"/>
      <c r="CC350" s="312"/>
      <c r="CD350" s="312"/>
      <c r="CE350" s="312"/>
      <c r="CF350" s="312"/>
      <c r="CG350" s="312"/>
      <c r="CH350" s="312"/>
      <c r="CI350" s="312"/>
      <c r="CJ350" s="312"/>
      <c r="CK350" s="312"/>
      <c r="CL350" s="312"/>
      <c r="CM350" s="312"/>
      <c r="CN350" s="312"/>
      <c r="CO350" s="312"/>
      <c r="CP350" s="312"/>
      <c r="CQ350" s="312"/>
      <c r="CR350" s="312"/>
      <c r="CS350" s="312"/>
      <c r="CT350" s="312"/>
      <c r="CU350" s="312"/>
      <c r="CV350" s="312"/>
      <c r="CW350" s="312"/>
      <c r="CX350" s="312"/>
      <c r="CY350" s="312"/>
      <c r="CZ350" s="312"/>
      <c r="DA350" s="312"/>
      <c r="DB350" s="312"/>
      <c r="DC350" s="312"/>
      <c r="DD350" s="312"/>
      <c r="DE350" s="312"/>
      <c r="DF350" s="312"/>
      <c r="DG350" s="312"/>
      <c r="DH350" s="312"/>
      <c r="DI350" s="312"/>
      <c r="DJ350" s="312"/>
      <c r="DK350" s="312"/>
      <c r="DL350" s="312"/>
      <c r="DM350" s="312"/>
      <c r="DN350" s="312"/>
      <c r="DO350" s="312"/>
      <c r="DP350" s="312"/>
      <c r="DQ350" s="312"/>
      <c r="DR350" s="312"/>
      <c r="DS350" s="312"/>
      <c r="DT350" s="312"/>
      <c r="DU350" s="312"/>
      <c r="DV350" s="312"/>
      <c r="DW350" s="312"/>
      <c r="DX350" s="312"/>
      <c r="DY350" s="312"/>
      <c r="DZ350" s="312"/>
      <c r="EA350" s="312"/>
      <c r="EB350" s="312"/>
      <c r="EC350" s="312"/>
      <c r="ED350" s="312"/>
      <c r="EE350" s="312"/>
      <c r="EF350" s="312"/>
      <c r="EG350" s="312"/>
      <c r="EH350" s="312"/>
      <c r="EI350" s="312"/>
      <c r="EJ350" s="312"/>
      <c r="EK350" s="312"/>
      <c r="EL350" s="312"/>
      <c r="EM350" s="312"/>
      <c r="EN350" s="312"/>
      <c r="EO350" s="312"/>
      <c r="EP350" s="312"/>
      <c r="EQ350" s="312"/>
      <c r="ER350" s="312"/>
      <c r="ES350" s="312"/>
      <c r="ET350" s="312"/>
      <c r="EU350" s="312"/>
      <c r="EV350" s="312"/>
      <c r="EW350" s="312"/>
      <c r="EX350" s="312"/>
      <c r="EY350" s="312"/>
      <c r="EZ350" s="312"/>
      <c r="FA350" s="312"/>
      <c r="FB350" s="312"/>
      <c r="FC350" s="312"/>
      <c r="FD350" s="312"/>
      <c r="FE350" s="312"/>
      <c r="FF350" s="312"/>
      <c r="FG350" s="312"/>
      <c r="FH350" s="312"/>
      <c r="FI350" s="312"/>
      <c r="FJ350" s="312"/>
      <c r="FK350" s="312"/>
      <c r="FL350" s="312"/>
      <c r="FM350" s="312"/>
      <c r="FN350" s="312"/>
      <c r="FO350" s="312"/>
      <c r="FP350" s="312"/>
      <c r="FQ350" s="312"/>
      <c r="FR350" s="312"/>
      <c r="FS350" s="312"/>
      <c r="FT350" s="312"/>
      <c r="FU350" s="312"/>
      <c r="FV350" s="312"/>
      <c r="FW350" s="312"/>
      <c r="FX350" s="312"/>
      <c r="FY350" s="312"/>
      <c r="FZ350" s="312"/>
      <c r="GA350" s="312"/>
      <c r="GB350" s="312"/>
      <c r="GC350" s="312"/>
      <c r="GD350" s="312"/>
      <c r="GE350" s="312"/>
      <c r="GF350" s="312"/>
      <c r="GG350" s="312"/>
      <c r="GH350" s="312"/>
      <c r="GI350" s="312"/>
      <c r="GJ350" s="312"/>
      <c r="GK350" s="312"/>
      <c r="GL350" s="312"/>
      <c r="GM350" s="312"/>
      <c r="GN350" s="312"/>
      <c r="GO350" s="312"/>
      <c r="GP350" s="312"/>
      <c r="GQ350" s="312"/>
      <c r="GR350" s="312"/>
      <c r="GS350" s="312"/>
      <c r="GT350" s="312"/>
      <c r="GU350" s="312"/>
      <c r="GV350" s="312"/>
      <c r="GW350" s="312"/>
      <c r="GX350" s="312"/>
      <c r="GY350" s="312"/>
    </row>
    <row r="351" spans="2:207" ht="15.75" x14ac:dyDescent="0.25">
      <c r="B351" s="316">
        <f t="shared" si="77"/>
        <v>321</v>
      </c>
      <c r="C351" s="330">
        <f>'סיכום לוועדה'!B351</f>
        <v>1001349109</v>
      </c>
      <c r="D351" s="330">
        <f>'סיכום לוועדה'!C351</f>
        <v>1001289001</v>
      </c>
      <c r="E351" s="330">
        <f>'סיכום לוועדה'!D351</f>
        <v>40000632</v>
      </c>
      <c r="F351" s="330">
        <f>'סיכום לוועדה'!E351</f>
        <v>20000201</v>
      </c>
      <c r="G351" s="330" t="str">
        <f>'סיכום לוועדה'!F351</f>
        <v>תל אביב -יפו</v>
      </c>
      <c r="H351" s="317" t="str">
        <f>'סיכום לוועדה'!G351</f>
        <v>האנסמבל הקולי הישראלי (1995) (ע"ר)</v>
      </c>
      <c r="I351" s="318">
        <f>'סיכום לוועדה'!U351</f>
        <v>10000</v>
      </c>
      <c r="J351" s="319">
        <f>'סיכום לוועדה'!T351</f>
        <v>3048.6619035969279</v>
      </c>
      <c r="K351" s="320">
        <f t="shared" si="78"/>
        <v>0</v>
      </c>
      <c r="L351" s="319">
        <f t="shared" si="79"/>
        <v>3048.6619035969279</v>
      </c>
      <c r="M351" s="331">
        <f>'תחום תמיכה ב'!AF351</f>
        <v>1.7137902357952762E-5</v>
      </c>
      <c r="N351" s="319">
        <f t="shared" ref="N351:N414" si="95">IF($H351="","",IF(K351=1,L351,M351/SUMIF(K$31:K$500,0,M$31:M$500)*$I$2+J351))</f>
        <v>3340.5977056005186</v>
      </c>
      <c r="O351" s="321">
        <f t="shared" si="80"/>
        <v>0</v>
      </c>
      <c r="P351" s="322">
        <f t="shared" si="81"/>
        <v>3340.5977056005186</v>
      </c>
      <c r="Q351" s="322">
        <f t="shared" si="82"/>
        <v>3342.1187679632567</v>
      </c>
      <c r="R351" s="321">
        <f t="shared" si="83"/>
        <v>0</v>
      </c>
      <c r="S351" s="322">
        <f t="shared" si="84"/>
        <v>3342.1187679632567</v>
      </c>
      <c r="T351" s="322">
        <f t="shared" si="85"/>
        <v>3342.1187679632499</v>
      </c>
      <c r="U351" s="321">
        <f t="shared" si="86"/>
        <v>0</v>
      </c>
      <c r="V351" s="322">
        <f t="shared" si="87"/>
        <v>3342.1187679632499</v>
      </c>
      <c r="W351" s="322">
        <f t="shared" si="88"/>
        <v>3342.1187679632508</v>
      </c>
      <c r="X351" s="321">
        <f t="shared" si="89"/>
        <v>0</v>
      </c>
      <c r="Y351" s="322">
        <f t="shared" si="90"/>
        <v>3342.1187679632508</v>
      </c>
      <c r="Z351" s="322">
        <f t="shared" si="91"/>
        <v>3342.1187679632503</v>
      </c>
      <c r="AA351" s="323">
        <f t="shared" si="92"/>
        <v>3342.1187679632503</v>
      </c>
      <c r="AB351" s="323"/>
      <c r="AC351" s="323"/>
      <c r="AD351" s="323"/>
      <c r="AE351" s="323"/>
      <c r="AF351" s="324">
        <f t="shared" si="93"/>
        <v>1.9139590842211654E-5</v>
      </c>
      <c r="AG351" s="312"/>
      <c r="AH351" s="312"/>
      <c r="AI351" s="325">
        <f t="shared" si="94"/>
        <v>1</v>
      </c>
      <c r="AJ351" s="312"/>
      <c r="AK351" s="312"/>
      <c r="AL351" s="312"/>
      <c r="AM351" s="312"/>
      <c r="AN351" s="312"/>
      <c r="AO351" s="312"/>
      <c r="AP351" s="312"/>
      <c r="AQ351" s="312"/>
      <c r="AR351" s="312"/>
      <c r="AS351" s="312"/>
      <c r="AT351" s="312"/>
      <c r="AU351" s="312"/>
      <c r="AV351" s="312"/>
      <c r="AW351" s="312"/>
      <c r="AX351" s="312"/>
      <c r="AY351" s="312"/>
      <c r="AZ351" s="312"/>
      <c r="BA351" s="312"/>
      <c r="BB351" s="312"/>
      <c r="BC351" s="312"/>
      <c r="BD351" s="312"/>
      <c r="BE351" s="312"/>
      <c r="BF351" s="312"/>
      <c r="BG351" s="312"/>
      <c r="BH351" s="312"/>
      <c r="BI351" s="312"/>
      <c r="BJ351" s="312"/>
      <c r="BK351" s="312"/>
      <c r="BL351" s="312"/>
      <c r="BM351" s="312"/>
      <c r="BN351" s="312"/>
      <c r="BO351" s="312"/>
      <c r="BP351" s="312"/>
      <c r="BQ351" s="312"/>
      <c r="BR351" s="312"/>
      <c r="BS351" s="312"/>
      <c r="BT351" s="312"/>
      <c r="BU351" s="312"/>
      <c r="BV351" s="312"/>
      <c r="BW351" s="312"/>
      <c r="BX351" s="312"/>
      <c r="BY351" s="312"/>
      <c r="BZ351" s="312"/>
      <c r="CA351" s="312"/>
      <c r="CB351" s="312"/>
      <c r="CC351" s="312"/>
      <c r="CD351" s="312"/>
      <c r="CE351" s="312"/>
      <c r="CF351" s="312"/>
      <c r="CG351" s="312"/>
      <c r="CH351" s="312"/>
      <c r="CI351" s="312"/>
      <c r="CJ351" s="312"/>
      <c r="CK351" s="312"/>
      <c r="CL351" s="312"/>
      <c r="CM351" s="312"/>
      <c r="CN351" s="312"/>
      <c r="CO351" s="312"/>
      <c r="CP351" s="312"/>
      <c r="CQ351" s="312"/>
      <c r="CR351" s="312"/>
      <c r="CS351" s="312"/>
      <c r="CT351" s="312"/>
      <c r="CU351" s="312"/>
      <c r="CV351" s="312"/>
      <c r="CW351" s="312"/>
      <c r="CX351" s="312"/>
      <c r="CY351" s="312"/>
      <c r="CZ351" s="312"/>
      <c r="DA351" s="312"/>
      <c r="DB351" s="312"/>
      <c r="DC351" s="312"/>
      <c r="DD351" s="312"/>
      <c r="DE351" s="312"/>
      <c r="DF351" s="312"/>
      <c r="DG351" s="312"/>
      <c r="DH351" s="312"/>
      <c r="DI351" s="312"/>
      <c r="DJ351" s="312"/>
      <c r="DK351" s="312"/>
      <c r="DL351" s="312"/>
      <c r="DM351" s="312"/>
      <c r="DN351" s="312"/>
      <c r="DO351" s="312"/>
      <c r="DP351" s="312"/>
      <c r="DQ351" s="312"/>
      <c r="DR351" s="312"/>
      <c r="DS351" s="312"/>
      <c r="DT351" s="312"/>
      <c r="DU351" s="312"/>
      <c r="DV351" s="312"/>
      <c r="DW351" s="312"/>
      <c r="DX351" s="312"/>
      <c r="DY351" s="312"/>
      <c r="DZ351" s="312"/>
      <c r="EA351" s="312"/>
      <c r="EB351" s="312"/>
      <c r="EC351" s="312"/>
      <c r="ED351" s="312"/>
      <c r="EE351" s="312"/>
      <c r="EF351" s="312"/>
      <c r="EG351" s="312"/>
      <c r="EH351" s="312"/>
      <c r="EI351" s="312"/>
      <c r="EJ351" s="312"/>
      <c r="EK351" s="312"/>
      <c r="EL351" s="312"/>
      <c r="EM351" s="312"/>
      <c r="EN351" s="312"/>
      <c r="EO351" s="312"/>
      <c r="EP351" s="312"/>
      <c r="EQ351" s="312"/>
      <c r="ER351" s="312"/>
      <c r="ES351" s="312"/>
      <c r="ET351" s="312"/>
      <c r="EU351" s="312"/>
      <c r="EV351" s="312"/>
      <c r="EW351" s="312"/>
      <c r="EX351" s="312"/>
      <c r="EY351" s="312"/>
      <c r="EZ351" s="312"/>
      <c r="FA351" s="312"/>
      <c r="FB351" s="312"/>
      <c r="FC351" s="312"/>
      <c r="FD351" s="312"/>
      <c r="FE351" s="312"/>
      <c r="FF351" s="312"/>
      <c r="FG351" s="312"/>
      <c r="FH351" s="312"/>
      <c r="FI351" s="312"/>
      <c r="FJ351" s="312"/>
      <c r="FK351" s="312"/>
      <c r="FL351" s="312"/>
      <c r="FM351" s="312"/>
      <c r="FN351" s="312"/>
      <c r="FO351" s="312"/>
      <c r="FP351" s="312"/>
      <c r="FQ351" s="312"/>
      <c r="FR351" s="312"/>
      <c r="FS351" s="312"/>
      <c r="FT351" s="312"/>
      <c r="FU351" s="312"/>
      <c r="FV351" s="312"/>
      <c r="FW351" s="312"/>
      <c r="FX351" s="312"/>
      <c r="FY351" s="312"/>
      <c r="FZ351" s="312"/>
      <c r="GA351" s="312"/>
      <c r="GB351" s="312"/>
      <c r="GC351" s="312"/>
      <c r="GD351" s="312"/>
      <c r="GE351" s="312"/>
      <c r="GF351" s="312"/>
      <c r="GG351" s="312"/>
      <c r="GH351" s="312"/>
      <c r="GI351" s="312"/>
      <c r="GJ351" s="312"/>
      <c r="GK351" s="312"/>
      <c r="GL351" s="312"/>
      <c r="GM351" s="312"/>
      <c r="GN351" s="312"/>
      <c r="GO351" s="312"/>
      <c r="GP351" s="312"/>
      <c r="GQ351" s="312"/>
      <c r="GR351" s="312"/>
      <c r="GS351" s="312"/>
      <c r="GT351" s="312"/>
      <c r="GU351" s="312"/>
      <c r="GV351" s="312"/>
      <c r="GW351" s="312"/>
      <c r="GX351" s="312"/>
      <c r="GY351" s="312"/>
    </row>
    <row r="352" spans="2:207" ht="15.75" x14ac:dyDescent="0.25">
      <c r="B352" s="316">
        <f t="shared" ref="B352:B415" si="96">IF(H352="","",ROW()-30)</f>
        <v>322</v>
      </c>
      <c r="C352" s="330">
        <f>'סיכום לוועדה'!B352</f>
        <v>1001348981</v>
      </c>
      <c r="D352" s="330">
        <f>'סיכום לוועדה'!C352</f>
        <v>1001276716</v>
      </c>
      <c r="E352" s="330">
        <f>'סיכום לוועדה'!D352</f>
        <v>40000644</v>
      </c>
      <c r="F352" s="330">
        <f>'סיכום לוועדה'!E352</f>
        <v>20000201</v>
      </c>
      <c r="G352" s="330" t="str">
        <f>'סיכום לוועדה'!F352</f>
        <v>תל אביב -יפו</v>
      </c>
      <c r="H352" s="317" t="str">
        <f>'סיכום לוועדה'!G352</f>
        <v>תיאטרון השעה הישראלי (ע"ר)</v>
      </c>
      <c r="I352" s="318">
        <f>'סיכום לוועדה'!U352</f>
        <v>1300000</v>
      </c>
      <c r="J352" s="319">
        <f>'סיכום לוועדה'!T352</f>
        <v>4126815.5064949356</v>
      </c>
      <c r="K352" s="320">
        <f t="shared" ref="K352:K415" si="97">IF(H352="","",IF(J352&gt;$I352,1,0))</f>
        <v>1</v>
      </c>
      <c r="L352" s="319">
        <f t="shared" ref="L352:L415" si="98">IF($H352="","",MIN(I352:J352))</f>
        <v>1300000</v>
      </c>
      <c r="M352" s="331">
        <f>'תחום תמיכה ב'!AF352</f>
        <v>2.2691694699453781E-2</v>
      </c>
      <c r="N352" s="319">
        <f t="shared" si="95"/>
        <v>1300000</v>
      </c>
      <c r="O352" s="321">
        <f t="shared" ref="O352:O415" si="99">IF(OR(N352&gt;$I352,$K352=1),1,0)</f>
        <v>1</v>
      </c>
      <c r="P352" s="322">
        <f t="shared" ref="P352:P415" si="100">IF($H352="","",MIN(N352,$I352))</f>
        <v>1300000</v>
      </c>
      <c r="Q352" s="322">
        <f t="shared" ref="Q352:Q415" si="101">IFERROR(IF($H352="","",IF(O352=1,P352,P352/SUMIF(O$31:O$500,0,P$31:P$500)*($J$501-SUMIF(O$31:O$500,1,P$31:P$500)))),0)</f>
        <v>1300000</v>
      </c>
      <c r="R352" s="321">
        <f t="shared" ref="R352:R415" si="102">IF(OR(Q352&gt;$I352,$K352=1,$O352=1),1,0)</f>
        <v>1</v>
      </c>
      <c r="S352" s="322">
        <f t="shared" ref="S352:S415" si="103">IF($H352="","",MIN(Q352,$I352))</f>
        <v>1300000</v>
      </c>
      <c r="T352" s="322">
        <f t="shared" ref="T352:T415" si="104">IFERROR(IF($H352="","",IF(R352=1,S352,S352/SUMIF(R$31:R$500,0,S$31:S$500)*($J$501-SUMIF(R$31:R$500,1,S$31:S$500)))),0)</f>
        <v>1300000</v>
      </c>
      <c r="U352" s="321">
        <f t="shared" ref="U352:U415" si="105">IF(OR(T352&gt;$I352,$K352=1,$O352=1,$R352=1),1,0)</f>
        <v>1</v>
      </c>
      <c r="V352" s="322">
        <f t="shared" ref="V352:V415" si="106">IF($H352="","",MIN(T352,$I352))</f>
        <v>1300000</v>
      </c>
      <c r="W352" s="322">
        <f t="shared" ref="W352:W415" si="107">IFERROR(IF($H352="","",IF(U352=2,V352,IF(U352=1,V352,V352/SUMIF(U$31:U$500,0,V$31:V$500)*($J$501-SUMIF(U$31:U$500,1,V$31:V$500)-SUMIF(U$31:U$500,2,V$31:V$500))))),0)</f>
        <v>1300000</v>
      </c>
      <c r="X352" s="321">
        <f t="shared" ref="X352:X415" si="108">IF(OR(W352&gt;$I352,$K352=1,$O352=1,$R352=1,$U352=1),1,0)</f>
        <v>1</v>
      </c>
      <c r="Y352" s="322">
        <f t="shared" ref="Y352:Y415" si="109">IF($H352="","",MIN(W352,$I352))</f>
        <v>1300000</v>
      </c>
      <c r="Z352" s="322">
        <f t="shared" ref="Z352:Z415" si="110">IFERROR(IF($H352="","",IF(X352=2,Y352,IF(X352=1,Y352,Y352/SUMIF(X$31:X$500,0,Y$31:Y$500)*($J$501-SUMIF(X$31:X$500,1,Y$31:Y$500)-SUMIF(X$31:X$500,2,Y$31:Y$500))))),0)</f>
        <v>1300000</v>
      </c>
      <c r="AA352" s="323">
        <f t="shared" ref="AA352:AA415" si="111">IF($H352="","",IF(AI352=0,$AN$1,IFERROR(Z352,$AN$1)))</f>
        <v>1300000</v>
      </c>
      <c r="AB352" s="323"/>
      <c r="AC352" s="323"/>
      <c r="AD352" s="323"/>
      <c r="AE352" s="323"/>
      <c r="AF352" s="324">
        <f t="shared" ref="AF352:AF415" si="112">IF(H352="","",IFERROR(AA352/SUMIF($AA$31:$AA$500,"&lt;&gt;#DIV/0!"),$AN$1))</f>
        <v>7.4448186382192463E-3</v>
      </c>
      <c r="AG352" s="312"/>
      <c r="AH352" s="312"/>
      <c r="AI352" s="325">
        <f t="shared" ref="AI352:AI415" si="113">IF(H352="",0,IFERROR(IF(I352*1&gt;=0,1,0),0))</f>
        <v>1</v>
      </c>
      <c r="AJ352" s="312"/>
      <c r="AK352" s="312"/>
      <c r="AL352" s="312"/>
      <c r="AM352" s="312"/>
      <c r="AN352" s="312"/>
      <c r="AO352" s="312"/>
      <c r="AP352" s="312"/>
      <c r="AQ352" s="312"/>
      <c r="AR352" s="312"/>
      <c r="AS352" s="312"/>
      <c r="AT352" s="312"/>
      <c r="AU352" s="312"/>
      <c r="AV352" s="312"/>
      <c r="AW352" s="312"/>
      <c r="AX352" s="312"/>
      <c r="AY352" s="312"/>
      <c r="AZ352" s="312"/>
      <c r="BA352" s="312"/>
      <c r="BB352" s="312"/>
      <c r="BC352" s="312"/>
      <c r="BD352" s="312"/>
      <c r="BE352" s="312"/>
      <c r="BF352" s="312"/>
      <c r="BG352" s="312"/>
      <c r="BH352" s="312"/>
      <c r="BI352" s="312"/>
      <c r="BJ352" s="312"/>
      <c r="BK352" s="312"/>
      <c r="BL352" s="312"/>
      <c r="BM352" s="312"/>
      <c r="BN352" s="312"/>
      <c r="BO352" s="312"/>
      <c r="BP352" s="312"/>
      <c r="BQ352" s="312"/>
      <c r="BR352" s="312"/>
      <c r="BS352" s="312"/>
      <c r="BT352" s="312"/>
      <c r="BU352" s="312"/>
      <c r="BV352" s="312"/>
      <c r="BW352" s="312"/>
      <c r="BX352" s="312"/>
      <c r="BY352" s="312"/>
      <c r="BZ352" s="312"/>
      <c r="CA352" s="312"/>
      <c r="CB352" s="312"/>
      <c r="CC352" s="312"/>
      <c r="CD352" s="312"/>
      <c r="CE352" s="312"/>
      <c r="CF352" s="312"/>
      <c r="CG352" s="312"/>
      <c r="CH352" s="312"/>
      <c r="CI352" s="312"/>
      <c r="CJ352" s="312"/>
      <c r="CK352" s="312"/>
      <c r="CL352" s="312"/>
      <c r="CM352" s="312"/>
      <c r="CN352" s="312"/>
      <c r="CO352" s="312"/>
      <c r="CP352" s="312"/>
      <c r="CQ352" s="312"/>
      <c r="CR352" s="312"/>
      <c r="CS352" s="312"/>
      <c r="CT352" s="312"/>
      <c r="CU352" s="312"/>
      <c r="CV352" s="312"/>
      <c r="CW352" s="312"/>
      <c r="CX352" s="312"/>
      <c r="CY352" s="312"/>
      <c r="CZ352" s="312"/>
      <c r="DA352" s="312"/>
      <c r="DB352" s="312"/>
      <c r="DC352" s="312"/>
      <c r="DD352" s="312"/>
      <c r="DE352" s="312"/>
      <c r="DF352" s="312"/>
      <c r="DG352" s="312"/>
      <c r="DH352" s="312"/>
      <c r="DI352" s="312"/>
      <c r="DJ352" s="312"/>
      <c r="DK352" s="312"/>
      <c r="DL352" s="312"/>
      <c r="DM352" s="312"/>
      <c r="DN352" s="312"/>
      <c r="DO352" s="312"/>
      <c r="DP352" s="312"/>
      <c r="DQ352" s="312"/>
      <c r="DR352" s="312"/>
      <c r="DS352" s="312"/>
      <c r="DT352" s="312"/>
      <c r="DU352" s="312"/>
      <c r="DV352" s="312"/>
      <c r="DW352" s="312"/>
      <c r="DX352" s="312"/>
      <c r="DY352" s="312"/>
      <c r="DZ352" s="312"/>
      <c r="EA352" s="312"/>
      <c r="EB352" s="312"/>
      <c r="EC352" s="312"/>
      <c r="ED352" s="312"/>
      <c r="EE352" s="312"/>
      <c r="EF352" s="312"/>
      <c r="EG352" s="312"/>
      <c r="EH352" s="312"/>
      <c r="EI352" s="312"/>
      <c r="EJ352" s="312"/>
      <c r="EK352" s="312"/>
      <c r="EL352" s="312"/>
      <c r="EM352" s="312"/>
      <c r="EN352" s="312"/>
      <c r="EO352" s="312"/>
      <c r="EP352" s="312"/>
      <c r="EQ352" s="312"/>
      <c r="ER352" s="312"/>
      <c r="ES352" s="312"/>
      <c r="ET352" s="312"/>
      <c r="EU352" s="312"/>
      <c r="EV352" s="312"/>
      <c r="EW352" s="312"/>
      <c r="EX352" s="312"/>
      <c r="EY352" s="312"/>
      <c r="EZ352" s="312"/>
      <c r="FA352" s="312"/>
      <c r="FB352" s="312"/>
      <c r="FC352" s="312"/>
      <c r="FD352" s="312"/>
      <c r="FE352" s="312"/>
      <c r="FF352" s="312"/>
      <c r="FG352" s="312"/>
      <c r="FH352" s="312"/>
      <c r="FI352" s="312"/>
      <c r="FJ352" s="312"/>
      <c r="FK352" s="312"/>
      <c r="FL352" s="312"/>
      <c r="FM352" s="312"/>
      <c r="FN352" s="312"/>
      <c r="FO352" s="312"/>
      <c r="FP352" s="312"/>
      <c r="FQ352" s="312"/>
      <c r="FR352" s="312"/>
      <c r="FS352" s="312"/>
      <c r="FT352" s="312"/>
      <c r="FU352" s="312"/>
      <c r="FV352" s="312"/>
      <c r="FW352" s="312"/>
      <c r="FX352" s="312"/>
      <c r="FY352" s="312"/>
      <c r="FZ352" s="312"/>
      <c r="GA352" s="312"/>
      <c r="GB352" s="312"/>
      <c r="GC352" s="312"/>
      <c r="GD352" s="312"/>
      <c r="GE352" s="312"/>
      <c r="GF352" s="312"/>
      <c r="GG352" s="312"/>
      <c r="GH352" s="312"/>
      <c r="GI352" s="312"/>
      <c r="GJ352" s="312"/>
      <c r="GK352" s="312"/>
      <c r="GL352" s="312"/>
      <c r="GM352" s="312"/>
      <c r="GN352" s="312"/>
      <c r="GO352" s="312"/>
      <c r="GP352" s="312"/>
      <c r="GQ352" s="312"/>
      <c r="GR352" s="312"/>
      <c r="GS352" s="312"/>
      <c r="GT352" s="312"/>
      <c r="GU352" s="312"/>
      <c r="GV352" s="312"/>
      <c r="GW352" s="312"/>
      <c r="GX352" s="312"/>
      <c r="GY352" s="312"/>
    </row>
    <row r="353" spans="2:207" ht="15.75" x14ac:dyDescent="0.25">
      <c r="B353" s="316" t="str">
        <f t="shared" si="96"/>
        <v/>
      </c>
      <c r="C353" s="330" t="str">
        <f>'סיכום לוועדה'!B353</f>
        <v/>
      </c>
      <c r="D353" s="330" t="str">
        <f>'סיכום לוועדה'!C353</f>
        <v/>
      </c>
      <c r="E353" s="330" t="str">
        <f>'סיכום לוועדה'!D353</f>
        <v/>
      </c>
      <c r="F353" s="330" t="str">
        <f>'סיכום לוועדה'!E353</f>
        <v/>
      </c>
      <c r="G353" s="330" t="str">
        <f>'סיכום לוועדה'!F353</f>
        <v/>
      </c>
      <c r="H353" s="317" t="str">
        <f>'סיכום לוועדה'!G353</f>
        <v/>
      </c>
      <c r="I353" s="318" t="str">
        <f>'סיכום לוועדה'!U353</f>
        <v/>
      </c>
      <c r="J353" s="319" t="str">
        <f>'סיכום לוועדה'!T353</f>
        <v/>
      </c>
      <c r="K353" s="320" t="str">
        <f t="shared" si="97"/>
        <v/>
      </c>
      <c r="L353" s="319" t="str">
        <f t="shared" si="98"/>
        <v/>
      </c>
      <c r="M353" s="331" t="str">
        <f>'תחום תמיכה ב'!AF353</f>
        <v/>
      </c>
      <c r="N353" s="319" t="str">
        <f t="shared" si="95"/>
        <v/>
      </c>
      <c r="O353" s="321">
        <f t="shared" si="99"/>
        <v>0</v>
      </c>
      <c r="P353" s="322" t="str">
        <f t="shared" si="100"/>
        <v/>
      </c>
      <c r="Q353" s="322" t="str">
        <f t="shared" si="101"/>
        <v/>
      </c>
      <c r="R353" s="321">
        <f t="shared" si="102"/>
        <v>0</v>
      </c>
      <c r="S353" s="322" t="str">
        <f t="shared" si="103"/>
        <v/>
      </c>
      <c r="T353" s="322" t="str">
        <f t="shared" si="104"/>
        <v/>
      </c>
      <c r="U353" s="321">
        <f t="shared" si="105"/>
        <v>0</v>
      </c>
      <c r="V353" s="322" t="str">
        <f t="shared" si="106"/>
        <v/>
      </c>
      <c r="W353" s="322" t="str">
        <f t="shared" si="107"/>
        <v/>
      </c>
      <c r="X353" s="321">
        <f t="shared" si="108"/>
        <v>0</v>
      </c>
      <c r="Y353" s="322" t="str">
        <f t="shared" si="109"/>
        <v/>
      </c>
      <c r="Z353" s="322" t="str">
        <f t="shared" si="110"/>
        <v/>
      </c>
      <c r="AA353" s="323" t="str">
        <f t="shared" si="111"/>
        <v/>
      </c>
      <c r="AB353" s="323"/>
      <c r="AC353" s="323"/>
      <c r="AD353" s="323"/>
      <c r="AE353" s="323"/>
      <c r="AF353" s="324" t="str">
        <f t="shared" si="112"/>
        <v/>
      </c>
      <c r="AG353" s="312"/>
      <c r="AH353" s="312"/>
      <c r="AI353" s="325">
        <f t="shared" si="113"/>
        <v>0</v>
      </c>
      <c r="AJ353" s="312"/>
      <c r="AK353" s="312"/>
      <c r="AL353" s="312"/>
      <c r="AM353" s="312"/>
      <c r="AN353" s="312"/>
      <c r="AO353" s="312"/>
      <c r="AP353" s="312"/>
      <c r="AQ353" s="312"/>
      <c r="AR353" s="312"/>
      <c r="AS353" s="312"/>
      <c r="AT353" s="312"/>
      <c r="AU353" s="312"/>
      <c r="AV353" s="312"/>
      <c r="AW353" s="312"/>
      <c r="AX353" s="312"/>
      <c r="AY353" s="312"/>
      <c r="AZ353" s="312"/>
      <c r="BA353" s="312"/>
      <c r="BB353" s="312"/>
      <c r="BC353" s="312"/>
      <c r="BD353" s="312"/>
      <c r="BE353" s="312"/>
      <c r="BF353" s="312"/>
      <c r="BG353" s="312"/>
      <c r="BH353" s="312"/>
      <c r="BI353" s="312"/>
      <c r="BJ353" s="312"/>
      <c r="BK353" s="312"/>
      <c r="BL353" s="312"/>
      <c r="BM353" s="312"/>
      <c r="BN353" s="312"/>
      <c r="BO353" s="312"/>
      <c r="BP353" s="312"/>
      <c r="BQ353" s="312"/>
      <c r="BR353" s="312"/>
      <c r="BS353" s="312"/>
      <c r="BT353" s="312"/>
      <c r="BU353" s="312"/>
      <c r="BV353" s="312"/>
      <c r="BW353" s="312"/>
      <c r="BX353" s="312"/>
      <c r="BY353" s="312"/>
      <c r="BZ353" s="312"/>
      <c r="CA353" s="312"/>
      <c r="CB353" s="312"/>
      <c r="CC353" s="312"/>
      <c r="CD353" s="312"/>
      <c r="CE353" s="312"/>
      <c r="CF353" s="312"/>
      <c r="CG353" s="312"/>
      <c r="CH353" s="312"/>
      <c r="CI353" s="312"/>
      <c r="CJ353" s="312"/>
      <c r="CK353" s="312"/>
      <c r="CL353" s="312"/>
      <c r="CM353" s="312"/>
      <c r="CN353" s="312"/>
      <c r="CO353" s="312"/>
      <c r="CP353" s="312"/>
      <c r="CQ353" s="312"/>
      <c r="CR353" s="312"/>
      <c r="CS353" s="312"/>
      <c r="CT353" s="312"/>
      <c r="CU353" s="312"/>
      <c r="CV353" s="312"/>
      <c r="CW353" s="312"/>
      <c r="CX353" s="312"/>
      <c r="CY353" s="312"/>
      <c r="CZ353" s="312"/>
      <c r="DA353" s="312"/>
      <c r="DB353" s="312"/>
      <c r="DC353" s="312"/>
      <c r="DD353" s="312"/>
      <c r="DE353" s="312"/>
      <c r="DF353" s="312"/>
      <c r="DG353" s="312"/>
      <c r="DH353" s="312"/>
      <c r="DI353" s="312"/>
      <c r="DJ353" s="312"/>
      <c r="DK353" s="312"/>
      <c r="DL353" s="312"/>
      <c r="DM353" s="312"/>
      <c r="DN353" s="312"/>
      <c r="DO353" s="312"/>
      <c r="DP353" s="312"/>
      <c r="DQ353" s="312"/>
      <c r="DR353" s="312"/>
      <c r="DS353" s="312"/>
      <c r="DT353" s="312"/>
      <c r="DU353" s="312"/>
      <c r="DV353" s="312"/>
      <c r="DW353" s="312"/>
      <c r="DX353" s="312"/>
      <c r="DY353" s="312"/>
      <c r="DZ353" s="312"/>
      <c r="EA353" s="312"/>
      <c r="EB353" s="312"/>
      <c r="EC353" s="312"/>
      <c r="ED353" s="312"/>
      <c r="EE353" s="312"/>
      <c r="EF353" s="312"/>
      <c r="EG353" s="312"/>
      <c r="EH353" s="312"/>
      <c r="EI353" s="312"/>
      <c r="EJ353" s="312"/>
      <c r="EK353" s="312"/>
      <c r="EL353" s="312"/>
      <c r="EM353" s="312"/>
      <c r="EN353" s="312"/>
      <c r="EO353" s="312"/>
      <c r="EP353" s="312"/>
      <c r="EQ353" s="312"/>
      <c r="ER353" s="312"/>
      <c r="ES353" s="312"/>
      <c r="ET353" s="312"/>
      <c r="EU353" s="312"/>
      <c r="EV353" s="312"/>
      <c r="EW353" s="312"/>
      <c r="EX353" s="312"/>
      <c r="EY353" s="312"/>
      <c r="EZ353" s="312"/>
      <c r="FA353" s="312"/>
      <c r="FB353" s="312"/>
      <c r="FC353" s="312"/>
      <c r="FD353" s="312"/>
      <c r="FE353" s="312"/>
      <c r="FF353" s="312"/>
      <c r="FG353" s="312"/>
      <c r="FH353" s="312"/>
      <c r="FI353" s="312"/>
      <c r="FJ353" s="312"/>
      <c r="FK353" s="312"/>
      <c r="FL353" s="312"/>
      <c r="FM353" s="312"/>
      <c r="FN353" s="312"/>
      <c r="FO353" s="312"/>
      <c r="FP353" s="312"/>
      <c r="FQ353" s="312"/>
      <c r="FR353" s="312"/>
      <c r="FS353" s="312"/>
      <c r="FT353" s="312"/>
      <c r="FU353" s="312"/>
      <c r="FV353" s="312"/>
      <c r="FW353" s="312"/>
      <c r="FX353" s="312"/>
      <c r="FY353" s="312"/>
      <c r="FZ353" s="312"/>
      <c r="GA353" s="312"/>
      <c r="GB353" s="312"/>
      <c r="GC353" s="312"/>
      <c r="GD353" s="312"/>
      <c r="GE353" s="312"/>
      <c r="GF353" s="312"/>
      <c r="GG353" s="312"/>
      <c r="GH353" s="312"/>
      <c r="GI353" s="312"/>
      <c r="GJ353" s="312"/>
      <c r="GK353" s="312"/>
      <c r="GL353" s="312"/>
      <c r="GM353" s="312"/>
      <c r="GN353" s="312"/>
      <c r="GO353" s="312"/>
      <c r="GP353" s="312"/>
      <c r="GQ353" s="312"/>
      <c r="GR353" s="312"/>
      <c r="GS353" s="312"/>
      <c r="GT353" s="312"/>
      <c r="GU353" s="312"/>
      <c r="GV353" s="312"/>
      <c r="GW353" s="312"/>
      <c r="GX353" s="312"/>
      <c r="GY353" s="312"/>
    </row>
    <row r="354" spans="2:207" ht="15.75" x14ac:dyDescent="0.25">
      <c r="B354" s="316">
        <f t="shared" si="96"/>
        <v>324</v>
      </c>
      <c r="C354" s="330">
        <f>'סיכום לוועדה'!B354</f>
        <v>1001349067</v>
      </c>
      <c r="D354" s="330">
        <f>'סיכום לוועדה'!C354</f>
        <v>1001302269</v>
      </c>
      <c r="E354" s="330">
        <f>'סיכום לוועדה'!D354</f>
        <v>40000662</v>
      </c>
      <c r="F354" s="330">
        <f>'סיכום לוועדה'!E354</f>
        <v>20000095</v>
      </c>
      <c r="G354" s="330" t="str">
        <f>'סיכום לוועדה'!F354</f>
        <v>מטה יהודה</v>
      </c>
      <c r="H354" s="317" t="str">
        <f>'סיכום לוועדה'!G354</f>
        <v>תזמורת יד-חריף (ע"ר)</v>
      </c>
      <c r="I354" s="318">
        <f>'סיכום לוועדה'!U354</f>
        <v>550000</v>
      </c>
      <c r="J354" s="319">
        <f>'סיכום לוועדה'!T354</f>
        <v>71997.666737609223</v>
      </c>
      <c r="K354" s="320">
        <f t="shared" si="97"/>
        <v>0</v>
      </c>
      <c r="L354" s="319">
        <f t="shared" si="98"/>
        <v>71997.666737609223</v>
      </c>
      <c r="M354" s="331">
        <f>'תחום תמיכה ב'!AF354</f>
        <v>4.1297144162592511E-4</v>
      </c>
      <c r="N354" s="319">
        <f t="shared" si="95"/>
        <v>79032.433682683899</v>
      </c>
      <c r="O354" s="321">
        <f t="shared" si="99"/>
        <v>0</v>
      </c>
      <c r="P354" s="322">
        <f t="shared" si="100"/>
        <v>79032.433682683899</v>
      </c>
      <c r="Q354" s="322">
        <f t="shared" si="101"/>
        <v>79068.419237038077</v>
      </c>
      <c r="R354" s="321">
        <f t="shared" si="102"/>
        <v>0</v>
      </c>
      <c r="S354" s="322">
        <f t="shared" si="103"/>
        <v>79068.419237038077</v>
      </c>
      <c r="T354" s="322">
        <f t="shared" si="104"/>
        <v>79068.419237037917</v>
      </c>
      <c r="U354" s="321">
        <f t="shared" si="105"/>
        <v>0</v>
      </c>
      <c r="V354" s="322">
        <f t="shared" si="106"/>
        <v>79068.419237037917</v>
      </c>
      <c r="W354" s="322">
        <f t="shared" si="107"/>
        <v>79068.419237037946</v>
      </c>
      <c r="X354" s="321">
        <f t="shared" si="108"/>
        <v>0</v>
      </c>
      <c r="Y354" s="322">
        <f t="shared" si="109"/>
        <v>79068.419237037946</v>
      </c>
      <c r="Z354" s="322">
        <f t="shared" si="110"/>
        <v>79068.419237037931</v>
      </c>
      <c r="AA354" s="323">
        <f t="shared" si="111"/>
        <v>79068.419237037931</v>
      </c>
      <c r="AB354" s="323"/>
      <c r="AC354" s="323"/>
      <c r="AD354" s="323"/>
      <c r="AE354" s="323"/>
      <c r="AF354" s="324">
        <f t="shared" si="112"/>
        <v>4.5280772402341013E-4</v>
      </c>
      <c r="AG354" s="312"/>
      <c r="AH354" s="312"/>
      <c r="AI354" s="325">
        <f t="shared" si="113"/>
        <v>1</v>
      </c>
      <c r="AJ354" s="312"/>
      <c r="AK354" s="312"/>
      <c r="AL354" s="312"/>
      <c r="AM354" s="312"/>
      <c r="AN354" s="312"/>
      <c r="AO354" s="312"/>
      <c r="AP354" s="312"/>
      <c r="AQ354" s="312"/>
      <c r="AR354" s="312"/>
      <c r="AS354" s="312"/>
      <c r="AT354" s="312"/>
      <c r="AU354" s="312"/>
      <c r="AV354" s="312"/>
      <c r="AW354" s="312"/>
      <c r="AX354" s="312"/>
      <c r="AY354" s="312"/>
      <c r="AZ354" s="312"/>
      <c r="BA354" s="312"/>
      <c r="BB354" s="312"/>
      <c r="BC354" s="312"/>
      <c r="BD354" s="312"/>
      <c r="BE354" s="312"/>
      <c r="BF354" s="312"/>
      <c r="BG354" s="312"/>
      <c r="BH354" s="312"/>
      <c r="BI354" s="312"/>
      <c r="BJ354" s="312"/>
      <c r="BK354" s="312"/>
      <c r="BL354" s="312"/>
      <c r="BM354" s="312"/>
      <c r="BN354" s="312"/>
      <c r="BO354" s="312"/>
      <c r="BP354" s="312"/>
      <c r="BQ354" s="312"/>
      <c r="BR354" s="312"/>
      <c r="BS354" s="312"/>
      <c r="BT354" s="312"/>
      <c r="BU354" s="312"/>
      <c r="BV354" s="312"/>
      <c r="BW354" s="312"/>
      <c r="BX354" s="312"/>
      <c r="BY354" s="312"/>
      <c r="BZ354" s="312"/>
      <c r="CA354" s="312"/>
      <c r="CB354" s="312"/>
      <c r="CC354" s="312"/>
      <c r="CD354" s="312"/>
      <c r="CE354" s="312"/>
      <c r="CF354" s="312"/>
      <c r="CG354" s="312"/>
      <c r="CH354" s="312"/>
      <c r="CI354" s="312"/>
      <c r="CJ354" s="312"/>
      <c r="CK354" s="312"/>
      <c r="CL354" s="312"/>
      <c r="CM354" s="312"/>
      <c r="CN354" s="312"/>
      <c r="CO354" s="312"/>
      <c r="CP354" s="312"/>
      <c r="CQ354" s="312"/>
      <c r="CR354" s="312"/>
      <c r="CS354" s="312"/>
      <c r="CT354" s="312"/>
      <c r="CU354" s="312"/>
      <c r="CV354" s="312"/>
      <c r="CW354" s="312"/>
      <c r="CX354" s="312"/>
      <c r="CY354" s="312"/>
      <c r="CZ354" s="312"/>
      <c r="DA354" s="312"/>
      <c r="DB354" s="312"/>
      <c r="DC354" s="312"/>
      <c r="DD354" s="312"/>
      <c r="DE354" s="312"/>
      <c r="DF354" s="312"/>
      <c r="DG354" s="312"/>
      <c r="DH354" s="312"/>
      <c r="DI354" s="312"/>
      <c r="DJ354" s="312"/>
      <c r="DK354" s="312"/>
      <c r="DL354" s="312"/>
      <c r="DM354" s="312"/>
      <c r="DN354" s="312"/>
      <c r="DO354" s="312"/>
      <c r="DP354" s="312"/>
      <c r="DQ354" s="312"/>
      <c r="DR354" s="312"/>
      <c r="DS354" s="312"/>
      <c r="DT354" s="312"/>
      <c r="DU354" s="312"/>
      <c r="DV354" s="312"/>
      <c r="DW354" s="312"/>
      <c r="DX354" s="312"/>
      <c r="DY354" s="312"/>
      <c r="DZ354" s="312"/>
      <c r="EA354" s="312"/>
      <c r="EB354" s="312"/>
      <c r="EC354" s="312"/>
      <c r="ED354" s="312"/>
      <c r="EE354" s="312"/>
      <c r="EF354" s="312"/>
      <c r="EG354" s="312"/>
      <c r="EH354" s="312"/>
      <c r="EI354" s="312"/>
      <c r="EJ354" s="312"/>
      <c r="EK354" s="312"/>
      <c r="EL354" s="312"/>
      <c r="EM354" s="312"/>
      <c r="EN354" s="312"/>
      <c r="EO354" s="312"/>
      <c r="EP354" s="312"/>
      <c r="EQ354" s="312"/>
      <c r="ER354" s="312"/>
      <c r="ES354" s="312"/>
      <c r="ET354" s="312"/>
      <c r="EU354" s="312"/>
      <c r="EV354" s="312"/>
      <c r="EW354" s="312"/>
      <c r="EX354" s="312"/>
      <c r="EY354" s="312"/>
      <c r="EZ354" s="312"/>
      <c r="FA354" s="312"/>
      <c r="FB354" s="312"/>
      <c r="FC354" s="312"/>
      <c r="FD354" s="312"/>
      <c r="FE354" s="312"/>
      <c r="FF354" s="312"/>
      <c r="FG354" s="312"/>
      <c r="FH354" s="312"/>
      <c r="FI354" s="312"/>
      <c r="FJ354" s="312"/>
      <c r="FK354" s="312"/>
      <c r="FL354" s="312"/>
      <c r="FM354" s="312"/>
      <c r="FN354" s="312"/>
      <c r="FO354" s="312"/>
      <c r="FP354" s="312"/>
      <c r="FQ354" s="312"/>
      <c r="FR354" s="312"/>
      <c r="FS354" s="312"/>
      <c r="FT354" s="312"/>
      <c r="FU354" s="312"/>
      <c r="FV354" s="312"/>
      <c r="FW354" s="312"/>
      <c r="FX354" s="312"/>
      <c r="FY354" s="312"/>
      <c r="FZ354" s="312"/>
      <c r="GA354" s="312"/>
      <c r="GB354" s="312"/>
      <c r="GC354" s="312"/>
      <c r="GD354" s="312"/>
      <c r="GE354" s="312"/>
      <c r="GF354" s="312"/>
      <c r="GG354" s="312"/>
      <c r="GH354" s="312"/>
      <c r="GI354" s="312"/>
      <c r="GJ354" s="312"/>
      <c r="GK354" s="312"/>
      <c r="GL354" s="312"/>
      <c r="GM354" s="312"/>
      <c r="GN354" s="312"/>
      <c r="GO354" s="312"/>
      <c r="GP354" s="312"/>
      <c r="GQ354" s="312"/>
      <c r="GR354" s="312"/>
      <c r="GS354" s="312"/>
      <c r="GT354" s="312"/>
      <c r="GU354" s="312"/>
      <c r="GV354" s="312"/>
      <c r="GW354" s="312"/>
      <c r="GX354" s="312"/>
      <c r="GY354" s="312"/>
    </row>
    <row r="355" spans="2:207" ht="15.75" x14ac:dyDescent="0.25">
      <c r="B355" s="316">
        <f t="shared" si="96"/>
        <v>325</v>
      </c>
      <c r="C355" s="330">
        <f>'סיכום לוועדה'!B355</f>
        <v>1001347016</v>
      </c>
      <c r="D355" s="330">
        <f>'סיכום לוועדה'!C355</f>
        <v>1001288832</v>
      </c>
      <c r="E355" s="330">
        <f>'סיכום לוועדה'!D355</f>
        <v>40000665</v>
      </c>
      <c r="F355" s="330">
        <f>'סיכום לוועדה'!E355</f>
        <v>20000201</v>
      </c>
      <c r="G355" s="330" t="str">
        <f>'סיכום לוועדה'!F355</f>
        <v>תל אביב -יפו</v>
      </c>
      <c r="H355" s="317" t="str">
        <f>'סיכום לוועדה'!G355</f>
        <v>תיאטרון "אלסראיא" הערבי - יפו (ע"ר)</v>
      </c>
      <c r="I355" s="318">
        <f>'סיכום לוועדה'!U355</f>
        <v>300000</v>
      </c>
      <c r="J355" s="319">
        <f>'סיכום לוועדה'!T355</f>
        <v>49119.30133844768</v>
      </c>
      <c r="K355" s="320">
        <f t="shared" si="97"/>
        <v>0</v>
      </c>
      <c r="L355" s="319">
        <f t="shared" si="98"/>
        <v>49119.30133844768</v>
      </c>
      <c r="M355" s="331">
        <f>'תחום תמיכה ב'!AF355</f>
        <v>1.9992303693063177E-4</v>
      </c>
      <c r="N355" s="319">
        <f t="shared" si="95"/>
        <v>52524.89269416302</v>
      </c>
      <c r="O355" s="321">
        <f t="shared" si="99"/>
        <v>0</v>
      </c>
      <c r="P355" s="322">
        <f t="shared" si="100"/>
        <v>52524.89269416302</v>
      </c>
      <c r="Q355" s="322">
        <f t="shared" si="101"/>
        <v>52548.808665023564</v>
      </c>
      <c r="R355" s="321">
        <f t="shared" si="102"/>
        <v>0</v>
      </c>
      <c r="S355" s="322">
        <f t="shared" si="103"/>
        <v>52548.808665023564</v>
      </c>
      <c r="T355" s="322">
        <f t="shared" si="104"/>
        <v>52548.808665023455</v>
      </c>
      <c r="U355" s="321">
        <f t="shared" si="105"/>
        <v>0</v>
      </c>
      <c r="V355" s="322">
        <f t="shared" si="106"/>
        <v>52548.808665023455</v>
      </c>
      <c r="W355" s="322">
        <f t="shared" si="107"/>
        <v>52548.808665023469</v>
      </c>
      <c r="X355" s="321">
        <f t="shared" si="108"/>
        <v>0</v>
      </c>
      <c r="Y355" s="322">
        <f t="shared" si="109"/>
        <v>52548.808665023469</v>
      </c>
      <c r="Z355" s="322">
        <f t="shared" si="110"/>
        <v>52548.808665023462</v>
      </c>
      <c r="AA355" s="323">
        <f t="shared" si="111"/>
        <v>52548.808665023462</v>
      </c>
      <c r="AB355" s="323"/>
      <c r="AC355" s="323"/>
      <c r="AD355" s="323"/>
      <c r="AE355" s="323"/>
      <c r="AF355" s="324">
        <f t="shared" si="112"/>
        <v>3.0093565397352589E-4</v>
      </c>
      <c r="AG355" s="312"/>
      <c r="AH355" s="312"/>
      <c r="AI355" s="325">
        <f t="shared" si="113"/>
        <v>1</v>
      </c>
      <c r="AJ355" s="312"/>
      <c r="AK355" s="312"/>
      <c r="AL355" s="312"/>
      <c r="AM355" s="312"/>
      <c r="AN355" s="312"/>
      <c r="AO355" s="312"/>
      <c r="AP355" s="312"/>
      <c r="AQ355" s="312"/>
      <c r="AR355" s="312"/>
      <c r="AS355" s="312"/>
      <c r="AT355" s="312"/>
      <c r="AU355" s="312"/>
      <c r="AV355" s="312"/>
      <c r="AW355" s="312"/>
      <c r="AX355" s="312"/>
      <c r="AY355" s="312"/>
      <c r="AZ355" s="312"/>
      <c r="BA355" s="312"/>
      <c r="BB355" s="312"/>
      <c r="BC355" s="312"/>
      <c r="BD355" s="312"/>
      <c r="BE355" s="312"/>
      <c r="BF355" s="312"/>
      <c r="BG355" s="312"/>
      <c r="BH355" s="312"/>
      <c r="BI355" s="312"/>
      <c r="BJ355" s="312"/>
      <c r="BK355" s="312"/>
      <c r="BL355" s="312"/>
      <c r="BM355" s="312"/>
      <c r="BN355" s="312"/>
      <c r="BO355" s="312"/>
      <c r="BP355" s="312"/>
      <c r="BQ355" s="312"/>
      <c r="BR355" s="312"/>
      <c r="BS355" s="312"/>
      <c r="BT355" s="312"/>
      <c r="BU355" s="312"/>
      <c r="BV355" s="312"/>
      <c r="BW355" s="312"/>
      <c r="BX355" s="312"/>
      <c r="BY355" s="312"/>
      <c r="BZ355" s="312"/>
      <c r="CA355" s="312"/>
      <c r="CB355" s="312"/>
      <c r="CC355" s="312"/>
      <c r="CD355" s="312"/>
      <c r="CE355" s="312"/>
      <c r="CF355" s="312"/>
      <c r="CG355" s="312"/>
      <c r="CH355" s="312"/>
      <c r="CI355" s="312"/>
      <c r="CJ355" s="312"/>
      <c r="CK355" s="312"/>
      <c r="CL355" s="312"/>
      <c r="CM355" s="312"/>
      <c r="CN355" s="312"/>
      <c r="CO355" s="312"/>
      <c r="CP355" s="312"/>
      <c r="CQ355" s="312"/>
      <c r="CR355" s="312"/>
      <c r="CS355" s="312"/>
      <c r="CT355" s="312"/>
      <c r="CU355" s="312"/>
      <c r="CV355" s="312"/>
      <c r="CW355" s="312"/>
      <c r="CX355" s="312"/>
      <c r="CY355" s="312"/>
      <c r="CZ355" s="312"/>
      <c r="DA355" s="312"/>
      <c r="DB355" s="312"/>
      <c r="DC355" s="312"/>
      <c r="DD355" s="312"/>
      <c r="DE355" s="312"/>
      <c r="DF355" s="312"/>
      <c r="DG355" s="312"/>
      <c r="DH355" s="312"/>
      <c r="DI355" s="312"/>
      <c r="DJ355" s="312"/>
      <c r="DK355" s="312"/>
      <c r="DL355" s="312"/>
      <c r="DM355" s="312"/>
      <c r="DN355" s="312"/>
      <c r="DO355" s="312"/>
      <c r="DP355" s="312"/>
      <c r="DQ355" s="312"/>
      <c r="DR355" s="312"/>
      <c r="DS355" s="312"/>
      <c r="DT355" s="312"/>
      <c r="DU355" s="312"/>
      <c r="DV355" s="312"/>
      <c r="DW355" s="312"/>
      <c r="DX355" s="312"/>
      <c r="DY355" s="312"/>
      <c r="DZ355" s="312"/>
      <c r="EA355" s="312"/>
      <c r="EB355" s="312"/>
      <c r="EC355" s="312"/>
      <c r="ED355" s="312"/>
      <c r="EE355" s="312"/>
      <c r="EF355" s="312"/>
      <c r="EG355" s="312"/>
      <c r="EH355" s="312"/>
      <c r="EI355" s="312"/>
      <c r="EJ355" s="312"/>
      <c r="EK355" s="312"/>
      <c r="EL355" s="312"/>
      <c r="EM355" s="312"/>
      <c r="EN355" s="312"/>
      <c r="EO355" s="312"/>
      <c r="EP355" s="312"/>
      <c r="EQ355" s="312"/>
      <c r="ER355" s="312"/>
      <c r="ES355" s="312"/>
      <c r="ET355" s="312"/>
      <c r="EU355" s="312"/>
      <c r="EV355" s="312"/>
      <c r="EW355" s="312"/>
      <c r="EX355" s="312"/>
      <c r="EY355" s="312"/>
      <c r="EZ355" s="312"/>
      <c r="FA355" s="312"/>
      <c r="FB355" s="312"/>
      <c r="FC355" s="312"/>
      <c r="FD355" s="312"/>
      <c r="FE355" s="312"/>
      <c r="FF355" s="312"/>
      <c r="FG355" s="312"/>
      <c r="FH355" s="312"/>
      <c r="FI355" s="312"/>
      <c r="FJ355" s="312"/>
      <c r="FK355" s="312"/>
      <c r="FL355" s="312"/>
      <c r="FM355" s="312"/>
      <c r="FN355" s="312"/>
      <c r="FO355" s="312"/>
      <c r="FP355" s="312"/>
      <c r="FQ355" s="312"/>
      <c r="FR355" s="312"/>
      <c r="FS355" s="312"/>
      <c r="FT355" s="312"/>
      <c r="FU355" s="312"/>
      <c r="FV355" s="312"/>
      <c r="FW355" s="312"/>
      <c r="FX355" s="312"/>
      <c r="FY355" s="312"/>
      <c r="FZ355" s="312"/>
      <c r="GA355" s="312"/>
      <c r="GB355" s="312"/>
      <c r="GC355" s="312"/>
      <c r="GD355" s="312"/>
      <c r="GE355" s="312"/>
      <c r="GF355" s="312"/>
      <c r="GG355" s="312"/>
      <c r="GH355" s="312"/>
      <c r="GI355" s="312"/>
      <c r="GJ355" s="312"/>
      <c r="GK355" s="312"/>
      <c r="GL355" s="312"/>
      <c r="GM355" s="312"/>
      <c r="GN355" s="312"/>
      <c r="GO355" s="312"/>
      <c r="GP355" s="312"/>
      <c r="GQ355" s="312"/>
      <c r="GR355" s="312"/>
      <c r="GS355" s="312"/>
      <c r="GT355" s="312"/>
      <c r="GU355" s="312"/>
      <c r="GV355" s="312"/>
      <c r="GW355" s="312"/>
      <c r="GX355" s="312"/>
      <c r="GY355" s="312"/>
    </row>
    <row r="356" spans="2:207" ht="15.75" x14ac:dyDescent="0.25">
      <c r="B356" s="316">
        <f t="shared" si="96"/>
        <v>326</v>
      </c>
      <c r="C356" s="330">
        <f>'סיכום לוועדה'!B356</f>
        <v>1001349530</v>
      </c>
      <c r="D356" s="330">
        <f>'סיכום לוועדה'!C356</f>
        <v>1001263122</v>
      </c>
      <c r="E356" s="330">
        <f>'סיכום לוועדה'!D356</f>
        <v>40000667</v>
      </c>
      <c r="F356" s="330">
        <f>'סיכום לוועדה'!E356</f>
        <v>20000235</v>
      </c>
      <c r="G356" s="330" t="str">
        <f>'סיכום לוועדה'!F356</f>
        <v>סח'נין</v>
      </c>
      <c r="H356" s="317" t="str">
        <f>'סיכום לוועדה'!G356</f>
        <v>אלג'ואל אלבלדי (ע"ר)</v>
      </c>
      <c r="I356" s="318">
        <f>'סיכום לוועדה'!U356</f>
        <v>380000</v>
      </c>
      <c r="J356" s="319">
        <f>'סיכום לוועדה'!T356</f>
        <v>53873.304209730646</v>
      </c>
      <c r="K356" s="320">
        <f t="shared" si="97"/>
        <v>0</v>
      </c>
      <c r="L356" s="319">
        <f t="shared" si="98"/>
        <v>53873.304209730646</v>
      </c>
      <c r="M356" s="331">
        <f>'תחום תמיכה ב'!AF356</f>
        <v>2.7240256105924907E-4</v>
      </c>
      <c r="N356" s="319">
        <f t="shared" si="95"/>
        <v>58513.548883184587</v>
      </c>
      <c r="O356" s="321">
        <f t="shared" si="99"/>
        <v>0</v>
      </c>
      <c r="P356" s="322">
        <f t="shared" si="100"/>
        <v>58513.548883184587</v>
      </c>
      <c r="Q356" s="322">
        <f t="shared" si="101"/>
        <v>58540.191647372332</v>
      </c>
      <c r="R356" s="321">
        <f t="shared" si="102"/>
        <v>0</v>
      </c>
      <c r="S356" s="322">
        <f t="shared" si="103"/>
        <v>58540.191647372332</v>
      </c>
      <c r="T356" s="322">
        <f t="shared" si="104"/>
        <v>58540.191647372209</v>
      </c>
      <c r="U356" s="321">
        <f t="shared" si="105"/>
        <v>0</v>
      </c>
      <c r="V356" s="322">
        <f t="shared" si="106"/>
        <v>58540.191647372209</v>
      </c>
      <c r="W356" s="322">
        <f t="shared" si="107"/>
        <v>58540.19164737223</v>
      </c>
      <c r="X356" s="321">
        <f t="shared" si="108"/>
        <v>0</v>
      </c>
      <c r="Y356" s="322">
        <f t="shared" si="109"/>
        <v>58540.19164737223</v>
      </c>
      <c r="Z356" s="322">
        <f t="shared" si="110"/>
        <v>58540.191647372223</v>
      </c>
      <c r="AA356" s="323">
        <f t="shared" si="111"/>
        <v>58540.191647372223</v>
      </c>
      <c r="AB356" s="323"/>
      <c r="AC356" s="323"/>
      <c r="AD356" s="323"/>
      <c r="AE356" s="323"/>
      <c r="AF356" s="324">
        <f t="shared" si="112"/>
        <v>3.3524700758560255E-4</v>
      </c>
      <c r="AG356" s="312"/>
      <c r="AH356" s="312"/>
      <c r="AI356" s="325">
        <f t="shared" si="113"/>
        <v>1</v>
      </c>
      <c r="AJ356" s="312"/>
      <c r="AK356" s="312"/>
      <c r="AL356" s="312"/>
      <c r="AM356" s="312"/>
      <c r="AN356" s="312"/>
      <c r="AO356" s="312"/>
      <c r="AP356" s="312"/>
      <c r="AQ356" s="312"/>
      <c r="AR356" s="312"/>
      <c r="AS356" s="312"/>
      <c r="AT356" s="312"/>
      <c r="AU356" s="312"/>
      <c r="AV356" s="312"/>
      <c r="AW356" s="312"/>
      <c r="AX356" s="312"/>
      <c r="AY356" s="312"/>
      <c r="AZ356" s="312"/>
      <c r="BA356" s="312"/>
      <c r="BB356" s="312"/>
      <c r="BC356" s="312"/>
      <c r="BD356" s="312"/>
      <c r="BE356" s="312"/>
      <c r="BF356" s="312"/>
      <c r="BG356" s="312"/>
      <c r="BH356" s="312"/>
      <c r="BI356" s="312"/>
      <c r="BJ356" s="312"/>
      <c r="BK356" s="312"/>
      <c r="BL356" s="312"/>
      <c r="BM356" s="312"/>
      <c r="BN356" s="312"/>
      <c r="BO356" s="312"/>
      <c r="BP356" s="312"/>
      <c r="BQ356" s="312"/>
      <c r="BR356" s="312"/>
      <c r="BS356" s="312"/>
      <c r="BT356" s="312"/>
      <c r="BU356" s="312"/>
      <c r="BV356" s="312"/>
      <c r="BW356" s="312"/>
      <c r="BX356" s="312"/>
      <c r="BY356" s="312"/>
      <c r="BZ356" s="312"/>
      <c r="CA356" s="312"/>
      <c r="CB356" s="312"/>
      <c r="CC356" s="312"/>
      <c r="CD356" s="312"/>
      <c r="CE356" s="312"/>
      <c r="CF356" s="312"/>
      <c r="CG356" s="312"/>
      <c r="CH356" s="312"/>
      <c r="CI356" s="312"/>
      <c r="CJ356" s="312"/>
      <c r="CK356" s="312"/>
      <c r="CL356" s="312"/>
      <c r="CM356" s="312"/>
      <c r="CN356" s="312"/>
      <c r="CO356" s="312"/>
      <c r="CP356" s="312"/>
      <c r="CQ356" s="312"/>
      <c r="CR356" s="312"/>
      <c r="CS356" s="312"/>
      <c r="CT356" s="312"/>
      <c r="CU356" s="312"/>
      <c r="CV356" s="312"/>
      <c r="CW356" s="312"/>
      <c r="CX356" s="312"/>
      <c r="CY356" s="312"/>
      <c r="CZ356" s="312"/>
      <c r="DA356" s="312"/>
      <c r="DB356" s="312"/>
      <c r="DC356" s="312"/>
      <c r="DD356" s="312"/>
      <c r="DE356" s="312"/>
      <c r="DF356" s="312"/>
      <c r="DG356" s="312"/>
      <c r="DH356" s="312"/>
      <c r="DI356" s="312"/>
      <c r="DJ356" s="312"/>
      <c r="DK356" s="312"/>
      <c r="DL356" s="312"/>
      <c r="DM356" s="312"/>
      <c r="DN356" s="312"/>
      <c r="DO356" s="312"/>
      <c r="DP356" s="312"/>
      <c r="DQ356" s="312"/>
      <c r="DR356" s="312"/>
      <c r="DS356" s="312"/>
      <c r="DT356" s="312"/>
      <c r="DU356" s="312"/>
      <c r="DV356" s="312"/>
      <c r="DW356" s="312"/>
      <c r="DX356" s="312"/>
      <c r="DY356" s="312"/>
      <c r="DZ356" s="312"/>
      <c r="EA356" s="312"/>
      <c r="EB356" s="312"/>
      <c r="EC356" s="312"/>
      <c r="ED356" s="312"/>
      <c r="EE356" s="312"/>
      <c r="EF356" s="312"/>
      <c r="EG356" s="312"/>
      <c r="EH356" s="312"/>
      <c r="EI356" s="312"/>
      <c r="EJ356" s="312"/>
      <c r="EK356" s="312"/>
      <c r="EL356" s="312"/>
      <c r="EM356" s="312"/>
      <c r="EN356" s="312"/>
      <c r="EO356" s="312"/>
      <c r="EP356" s="312"/>
      <c r="EQ356" s="312"/>
      <c r="ER356" s="312"/>
      <c r="ES356" s="312"/>
      <c r="ET356" s="312"/>
      <c r="EU356" s="312"/>
      <c r="EV356" s="312"/>
      <c r="EW356" s="312"/>
      <c r="EX356" s="312"/>
      <c r="EY356" s="312"/>
      <c r="EZ356" s="312"/>
      <c r="FA356" s="312"/>
      <c r="FB356" s="312"/>
      <c r="FC356" s="312"/>
      <c r="FD356" s="312"/>
      <c r="FE356" s="312"/>
      <c r="FF356" s="312"/>
      <c r="FG356" s="312"/>
      <c r="FH356" s="312"/>
      <c r="FI356" s="312"/>
      <c r="FJ356" s="312"/>
      <c r="FK356" s="312"/>
      <c r="FL356" s="312"/>
      <c r="FM356" s="312"/>
      <c r="FN356" s="312"/>
      <c r="FO356" s="312"/>
      <c r="FP356" s="312"/>
      <c r="FQ356" s="312"/>
      <c r="FR356" s="312"/>
      <c r="FS356" s="312"/>
      <c r="FT356" s="312"/>
      <c r="FU356" s="312"/>
      <c r="FV356" s="312"/>
      <c r="FW356" s="312"/>
      <c r="FX356" s="312"/>
      <c r="FY356" s="312"/>
      <c r="FZ356" s="312"/>
      <c r="GA356" s="312"/>
      <c r="GB356" s="312"/>
      <c r="GC356" s="312"/>
      <c r="GD356" s="312"/>
      <c r="GE356" s="312"/>
      <c r="GF356" s="312"/>
      <c r="GG356" s="312"/>
      <c r="GH356" s="312"/>
      <c r="GI356" s="312"/>
      <c r="GJ356" s="312"/>
      <c r="GK356" s="312"/>
      <c r="GL356" s="312"/>
      <c r="GM356" s="312"/>
      <c r="GN356" s="312"/>
      <c r="GO356" s="312"/>
      <c r="GP356" s="312"/>
      <c r="GQ356" s="312"/>
      <c r="GR356" s="312"/>
      <c r="GS356" s="312"/>
      <c r="GT356" s="312"/>
      <c r="GU356" s="312"/>
      <c r="GV356" s="312"/>
      <c r="GW356" s="312"/>
      <c r="GX356" s="312"/>
      <c r="GY356" s="312"/>
    </row>
    <row r="357" spans="2:207" ht="15.75" x14ac:dyDescent="0.25">
      <c r="B357" s="316">
        <f t="shared" si="96"/>
        <v>327</v>
      </c>
      <c r="C357" s="330">
        <f>'סיכום לוועדה'!B357</f>
        <v>1001348825</v>
      </c>
      <c r="D357" s="330">
        <f>'סיכום לוועדה'!C357</f>
        <v>1001270277</v>
      </c>
      <c r="E357" s="330">
        <f>'סיכום לוועדה'!D357</f>
        <v>40000678</v>
      </c>
      <c r="F357" s="330">
        <f>'סיכום לוועדה'!E357</f>
        <v>20000201</v>
      </c>
      <c r="G357" s="330" t="str">
        <f>'סיכום לוועדה'!F357</f>
        <v>תל אביב -יפו</v>
      </c>
      <c r="H357" s="317" t="str">
        <f>'סיכום לוועדה'!G357</f>
        <v>תיאטרון מחול קליפה (ע"ר)</v>
      </c>
      <c r="I357" s="318">
        <f>'סיכום לוועדה'!U357</f>
        <v>1000000</v>
      </c>
      <c r="J357" s="319">
        <f>'סיכום לוועדה'!T357</f>
        <v>113881.44476909001</v>
      </c>
      <c r="K357" s="320">
        <f t="shared" si="97"/>
        <v>0</v>
      </c>
      <c r="L357" s="319">
        <f t="shared" si="98"/>
        <v>113881.44476909001</v>
      </c>
      <c r="M357" s="331">
        <f>'תחום תמיכה ב'!AF357</f>
        <v>4.2638376048597206E-4</v>
      </c>
      <c r="N357" s="319">
        <f t="shared" si="95"/>
        <v>121144.68401966355</v>
      </c>
      <c r="O357" s="321">
        <f t="shared" si="99"/>
        <v>0</v>
      </c>
      <c r="P357" s="322">
        <f t="shared" si="100"/>
        <v>121144.68401966355</v>
      </c>
      <c r="Q357" s="322">
        <f t="shared" si="101"/>
        <v>121199.84439380831</v>
      </c>
      <c r="R357" s="321">
        <f t="shared" si="102"/>
        <v>0</v>
      </c>
      <c r="S357" s="322">
        <f t="shared" si="103"/>
        <v>121199.84439380831</v>
      </c>
      <c r="T357" s="322">
        <f t="shared" si="104"/>
        <v>121199.84439380806</v>
      </c>
      <c r="U357" s="321">
        <f t="shared" si="105"/>
        <v>0</v>
      </c>
      <c r="V357" s="322">
        <f t="shared" si="106"/>
        <v>121199.84439380806</v>
      </c>
      <c r="W357" s="322">
        <f t="shared" si="107"/>
        <v>121199.8443938081</v>
      </c>
      <c r="X357" s="321">
        <f t="shared" si="108"/>
        <v>0</v>
      </c>
      <c r="Y357" s="322">
        <f t="shared" si="109"/>
        <v>121199.8443938081</v>
      </c>
      <c r="Z357" s="322">
        <f t="shared" si="110"/>
        <v>121199.84439380809</v>
      </c>
      <c r="AA357" s="323">
        <f t="shared" si="111"/>
        <v>121199.84439380809</v>
      </c>
      <c r="AB357" s="323"/>
      <c r="AC357" s="323"/>
      <c r="AD357" s="323"/>
      <c r="AE357" s="323"/>
      <c r="AF357" s="324">
        <f t="shared" si="112"/>
        <v>6.9408527730176531E-4</v>
      </c>
      <c r="AG357" s="312"/>
      <c r="AH357" s="312"/>
      <c r="AI357" s="325">
        <f t="shared" si="113"/>
        <v>1</v>
      </c>
      <c r="AJ357" s="312"/>
      <c r="AK357" s="312"/>
      <c r="AL357" s="312"/>
      <c r="AM357" s="312"/>
      <c r="AN357" s="312"/>
      <c r="AO357" s="312"/>
      <c r="AP357" s="312"/>
      <c r="AQ357" s="312"/>
      <c r="AR357" s="312"/>
      <c r="AS357" s="312"/>
      <c r="AT357" s="312"/>
      <c r="AU357" s="312"/>
      <c r="AV357" s="312"/>
      <c r="AW357" s="312"/>
      <c r="AX357" s="312"/>
      <c r="AY357" s="312"/>
      <c r="AZ357" s="312"/>
      <c r="BA357" s="312"/>
      <c r="BB357" s="312"/>
      <c r="BC357" s="312"/>
      <c r="BD357" s="312"/>
      <c r="BE357" s="312"/>
      <c r="BF357" s="312"/>
      <c r="BG357" s="312"/>
      <c r="BH357" s="312"/>
      <c r="BI357" s="312"/>
      <c r="BJ357" s="312"/>
      <c r="BK357" s="312"/>
      <c r="BL357" s="312"/>
      <c r="BM357" s="312"/>
      <c r="BN357" s="312"/>
      <c r="BO357" s="312"/>
      <c r="BP357" s="312"/>
      <c r="BQ357" s="312"/>
      <c r="BR357" s="312"/>
      <c r="BS357" s="312"/>
      <c r="BT357" s="312"/>
      <c r="BU357" s="312"/>
      <c r="BV357" s="312"/>
      <c r="BW357" s="312"/>
      <c r="BX357" s="312"/>
      <c r="BY357" s="312"/>
      <c r="BZ357" s="312"/>
      <c r="CA357" s="312"/>
      <c r="CB357" s="312"/>
      <c r="CC357" s="312"/>
      <c r="CD357" s="312"/>
      <c r="CE357" s="312"/>
      <c r="CF357" s="312"/>
      <c r="CG357" s="312"/>
      <c r="CH357" s="312"/>
      <c r="CI357" s="312"/>
      <c r="CJ357" s="312"/>
      <c r="CK357" s="312"/>
      <c r="CL357" s="312"/>
      <c r="CM357" s="312"/>
      <c r="CN357" s="312"/>
      <c r="CO357" s="312"/>
      <c r="CP357" s="312"/>
      <c r="CQ357" s="312"/>
      <c r="CR357" s="312"/>
      <c r="CS357" s="312"/>
      <c r="CT357" s="312"/>
      <c r="CU357" s="312"/>
      <c r="CV357" s="312"/>
      <c r="CW357" s="312"/>
      <c r="CX357" s="312"/>
      <c r="CY357" s="312"/>
      <c r="CZ357" s="312"/>
      <c r="DA357" s="312"/>
      <c r="DB357" s="312"/>
      <c r="DC357" s="312"/>
      <c r="DD357" s="312"/>
      <c r="DE357" s="312"/>
      <c r="DF357" s="312"/>
      <c r="DG357" s="312"/>
      <c r="DH357" s="312"/>
      <c r="DI357" s="312"/>
      <c r="DJ357" s="312"/>
      <c r="DK357" s="312"/>
      <c r="DL357" s="312"/>
      <c r="DM357" s="312"/>
      <c r="DN357" s="312"/>
      <c r="DO357" s="312"/>
      <c r="DP357" s="312"/>
      <c r="DQ357" s="312"/>
      <c r="DR357" s="312"/>
      <c r="DS357" s="312"/>
      <c r="DT357" s="312"/>
      <c r="DU357" s="312"/>
      <c r="DV357" s="312"/>
      <c r="DW357" s="312"/>
      <c r="DX357" s="312"/>
      <c r="DY357" s="312"/>
      <c r="DZ357" s="312"/>
      <c r="EA357" s="312"/>
      <c r="EB357" s="312"/>
      <c r="EC357" s="312"/>
      <c r="ED357" s="312"/>
      <c r="EE357" s="312"/>
      <c r="EF357" s="312"/>
      <c r="EG357" s="312"/>
      <c r="EH357" s="312"/>
      <c r="EI357" s="312"/>
      <c r="EJ357" s="312"/>
      <c r="EK357" s="312"/>
      <c r="EL357" s="312"/>
      <c r="EM357" s="312"/>
      <c r="EN357" s="312"/>
      <c r="EO357" s="312"/>
      <c r="EP357" s="312"/>
      <c r="EQ357" s="312"/>
      <c r="ER357" s="312"/>
      <c r="ES357" s="312"/>
      <c r="ET357" s="312"/>
      <c r="EU357" s="312"/>
      <c r="EV357" s="312"/>
      <c r="EW357" s="312"/>
      <c r="EX357" s="312"/>
      <c r="EY357" s="312"/>
      <c r="EZ357" s="312"/>
      <c r="FA357" s="312"/>
      <c r="FB357" s="312"/>
      <c r="FC357" s="312"/>
      <c r="FD357" s="312"/>
      <c r="FE357" s="312"/>
      <c r="FF357" s="312"/>
      <c r="FG357" s="312"/>
      <c r="FH357" s="312"/>
      <c r="FI357" s="312"/>
      <c r="FJ357" s="312"/>
      <c r="FK357" s="312"/>
      <c r="FL357" s="312"/>
      <c r="FM357" s="312"/>
      <c r="FN357" s="312"/>
      <c r="FO357" s="312"/>
      <c r="FP357" s="312"/>
      <c r="FQ357" s="312"/>
      <c r="FR357" s="312"/>
      <c r="FS357" s="312"/>
      <c r="FT357" s="312"/>
      <c r="FU357" s="312"/>
      <c r="FV357" s="312"/>
      <c r="FW357" s="312"/>
      <c r="FX357" s="312"/>
      <c r="FY357" s="312"/>
      <c r="FZ357" s="312"/>
      <c r="GA357" s="312"/>
      <c r="GB357" s="312"/>
      <c r="GC357" s="312"/>
      <c r="GD357" s="312"/>
      <c r="GE357" s="312"/>
      <c r="GF357" s="312"/>
      <c r="GG357" s="312"/>
      <c r="GH357" s="312"/>
      <c r="GI357" s="312"/>
      <c r="GJ357" s="312"/>
      <c r="GK357" s="312"/>
      <c r="GL357" s="312"/>
      <c r="GM357" s="312"/>
      <c r="GN357" s="312"/>
      <c r="GO357" s="312"/>
      <c r="GP357" s="312"/>
      <c r="GQ357" s="312"/>
      <c r="GR357" s="312"/>
      <c r="GS357" s="312"/>
      <c r="GT357" s="312"/>
      <c r="GU357" s="312"/>
      <c r="GV357" s="312"/>
      <c r="GW357" s="312"/>
      <c r="GX357" s="312"/>
      <c r="GY357" s="312"/>
    </row>
    <row r="358" spans="2:207" ht="15.75" x14ac:dyDescent="0.25">
      <c r="B358" s="316">
        <f t="shared" si="96"/>
        <v>328</v>
      </c>
      <c r="C358" s="330">
        <f>'סיכום לוועדה'!B358</f>
        <v>1001346996</v>
      </c>
      <c r="D358" s="330">
        <f>'סיכום לוועדה'!C358</f>
        <v>1001262285</v>
      </c>
      <c r="E358" s="330">
        <f>'סיכום לוועדה'!D358</f>
        <v>40000234</v>
      </c>
      <c r="F358" s="330">
        <f>'סיכום לוועדה'!E358</f>
        <v>20000159</v>
      </c>
      <c r="G358" s="330" t="str">
        <f>'סיכום לוועדה'!F358</f>
        <v>ירושלים</v>
      </c>
      <c r="H358" s="317" t="str">
        <f>'סיכום לוועדה'!G358</f>
        <v>עמותת ורטיגו למחול - ירושלים (ע"ר)</v>
      </c>
      <c r="I358" s="318">
        <f>'סיכום לוועדה'!U358</f>
        <v>9000000</v>
      </c>
      <c r="J358" s="319">
        <f>'סיכום לוועדה'!T358</f>
        <v>677565.19130486762</v>
      </c>
      <c r="K358" s="320">
        <f t="shared" si="97"/>
        <v>0</v>
      </c>
      <c r="L358" s="319">
        <f t="shared" si="98"/>
        <v>677565.19130486762</v>
      </c>
      <c r="M358" s="331">
        <f>'תחום תמיכה ב'!AF358</f>
        <v>3.6256278514184455E-3</v>
      </c>
      <c r="N358" s="319">
        <f t="shared" si="95"/>
        <v>739325.99215802632</v>
      </c>
      <c r="O358" s="321">
        <f t="shared" si="99"/>
        <v>0</v>
      </c>
      <c r="P358" s="322">
        <f t="shared" si="100"/>
        <v>739325.99215802632</v>
      </c>
      <c r="Q358" s="322">
        <f t="shared" si="101"/>
        <v>739662.62680834054</v>
      </c>
      <c r="R358" s="321">
        <f t="shared" si="102"/>
        <v>0</v>
      </c>
      <c r="S358" s="322">
        <f t="shared" si="103"/>
        <v>739662.62680834054</v>
      </c>
      <c r="T358" s="322">
        <f t="shared" si="104"/>
        <v>739662.62680833903</v>
      </c>
      <c r="U358" s="321">
        <f t="shared" si="105"/>
        <v>0</v>
      </c>
      <c r="V358" s="322">
        <f t="shared" si="106"/>
        <v>739662.62680833903</v>
      </c>
      <c r="W358" s="322">
        <f t="shared" si="107"/>
        <v>739662.62680833926</v>
      </c>
      <c r="X358" s="321">
        <f t="shared" si="108"/>
        <v>0</v>
      </c>
      <c r="Y358" s="322">
        <f t="shared" si="109"/>
        <v>739662.62680833926</v>
      </c>
      <c r="Z358" s="322">
        <f t="shared" si="110"/>
        <v>739662.62680833915</v>
      </c>
      <c r="AA358" s="323">
        <f t="shared" si="111"/>
        <v>739662.62680833915</v>
      </c>
      <c r="AB358" s="323"/>
      <c r="AC358" s="323"/>
      <c r="AD358" s="323"/>
      <c r="AE358" s="323"/>
      <c r="AF358" s="324">
        <f t="shared" si="112"/>
        <v>4.2358877769668691E-3</v>
      </c>
      <c r="AG358" s="312"/>
      <c r="AH358" s="312"/>
      <c r="AI358" s="325">
        <f t="shared" si="113"/>
        <v>1</v>
      </c>
      <c r="AJ358" s="312"/>
      <c r="AK358" s="312"/>
      <c r="AL358" s="312"/>
      <c r="AM358" s="312"/>
      <c r="AN358" s="312"/>
      <c r="AO358" s="312"/>
      <c r="AP358" s="312"/>
      <c r="AQ358" s="312"/>
      <c r="AR358" s="312"/>
      <c r="AS358" s="312"/>
      <c r="AT358" s="312"/>
      <c r="AU358" s="312"/>
      <c r="AV358" s="312"/>
      <c r="AW358" s="312"/>
      <c r="AX358" s="312"/>
      <c r="AY358" s="312"/>
      <c r="AZ358" s="312"/>
      <c r="BA358" s="312"/>
      <c r="BB358" s="312"/>
      <c r="BC358" s="312"/>
      <c r="BD358" s="312"/>
      <c r="BE358" s="312"/>
      <c r="BF358" s="312"/>
      <c r="BG358" s="312"/>
      <c r="BH358" s="312"/>
      <c r="BI358" s="312"/>
      <c r="BJ358" s="312"/>
      <c r="BK358" s="312"/>
      <c r="BL358" s="312"/>
      <c r="BM358" s="312"/>
      <c r="BN358" s="312"/>
      <c r="BO358" s="312"/>
      <c r="BP358" s="312"/>
      <c r="BQ358" s="312"/>
      <c r="BR358" s="312"/>
      <c r="BS358" s="312"/>
      <c r="BT358" s="312"/>
      <c r="BU358" s="312"/>
      <c r="BV358" s="312"/>
      <c r="BW358" s="312"/>
      <c r="BX358" s="312"/>
      <c r="BY358" s="312"/>
      <c r="BZ358" s="312"/>
      <c r="CA358" s="312"/>
      <c r="CB358" s="312"/>
      <c r="CC358" s="312"/>
      <c r="CD358" s="312"/>
      <c r="CE358" s="312"/>
      <c r="CF358" s="312"/>
      <c r="CG358" s="312"/>
      <c r="CH358" s="312"/>
      <c r="CI358" s="312"/>
      <c r="CJ358" s="312"/>
      <c r="CK358" s="312"/>
      <c r="CL358" s="312"/>
      <c r="CM358" s="312"/>
      <c r="CN358" s="312"/>
      <c r="CO358" s="312"/>
      <c r="CP358" s="312"/>
      <c r="CQ358" s="312"/>
      <c r="CR358" s="312"/>
      <c r="CS358" s="312"/>
      <c r="CT358" s="312"/>
      <c r="CU358" s="312"/>
      <c r="CV358" s="312"/>
      <c r="CW358" s="312"/>
      <c r="CX358" s="312"/>
      <c r="CY358" s="312"/>
      <c r="CZ358" s="312"/>
      <c r="DA358" s="312"/>
      <c r="DB358" s="312"/>
      <c r="DC358" s="312"/>
      <c r="DD358" s="312"/>
      <c r="DE358" s="312"/>
      <c r="DF358" s="312"/>
      <c r="DG358" s="312"/>
      <c r="DH358" s="312"/>
      <c r="DI358" s="312"/>
      <c r="DJ358" s="312"/>
      <c r="DK358" s="312"/>
      <c r="DL358" s="312"/>
      <c r="DM358" s="312"/>
      <c r="DN358" s="312"/>
      <c r="DO358" s="312"/>
      <c r="DP358" s="312"/>
      <c r="DQ358" s="312"/>
      <c r="DR358" s="312"/>
      <c r="DS358" s="312"/>
      <c r="DT358" s="312"/>
      <c r="DU358" s="312"/>
      <c r="DV358" s="312"/>
      <c r="DW358" s="312"/>
      <c r="DX358" s="312"/>
      <c r="DY358" s="312"/>
      <c r="DZ358" s="312"/>
      <c r="EA358" s="312"/>
      <c r="EB358" s="312"/>
      <c r="EC358" s="312"/>
      <c r="ED358" s="312"/>
      <c r="EE358" s="312"/>
      <c r="EF358" s="312"/>
      <c r="EG358" s="312"/>
      <c r="EH358" s="312"/>
      <c r="EI358" s="312"/>
      <c r="EJ358" s="312"/>
      <c r="EK358" s="312"/>
      <c r="EL358" s="312"/>
      <c r="EM358" s="312"/>
      <c r="EN358" s="312"/>
      <c r="EO358" s="312"/>
      <c r="EP358" s="312"/>
      <c r="EQ358" s="312"/>
      <c r="ER358" s="312"/>
      <c r="ES358" s="312"/>
      <c r="ET358" s="312"/>
      <c r="EU358" s="312"/>
      <c r="EV358" s="312"/>
      <c r="EW358" s="312"/>
      <c r="EX358" s="312"/>
      <c r="EY358" s="312"/>
      <c r="EZ358" s="312"/>
      <c r="FA358" s="312"/>
      <c r="FB358" s="312"/>
      <c r="FC358" s="312"/>
      <c r="FD358" s="312"/>
      <c r="FE358" s="312"/>
      <c r="FF358" s="312"/>
      <c r="FG358" s="312"/>
      <c r="FH358" s="312"/>
      <c r="FI358" s="312"/>
      <c r="FJ358" s="312"/>
      <c r="FK358" s="312"/>
      <c r="FL358" s="312"/>
      <c r="FM358" s="312"/>
      <c r="FN358" s="312"/>
      <c r="FO358" s="312"/>
      <c r="FP358" s="312"/>
      <c r="FQ358" s="312"/>
      <c r="FR358" s="312"/>
      <c r="FS358" s="312"/>
      <c r="FT358" s="312"/>
      <c r="FU358" s="312"/>
      <c r="FV358" s="312"/>
      <c r="FW358" s="312"/>
      <c r="FX358" s="312"/>
      <c r="FY358" s="312"/>
      <c r="FZ358" s="312"/>
      <c r="GA358" s="312"/>
      <c r="GB358" s="312"/>
      <c r="GC358" s="312"/>
      <c r="GD358" s="312"/>
      <c r="GE358" s="312"/>
      <c r="GF358" s="312"/>
      <c r="GG358" s="312"/>
      <c r="GH358" s="312"/>
      <c r="GI358" s="312"/>
      <c r="GJ358" s="312"/>
      <c r="GK358" s="312"/>
      <c r="GL358" s="312"/>
      <c r="GM358" s="312"/>
      <c r="GN358" s="312"/>
      <c r="GO358" s="312"/>
      <c r="GP358" s="312"/>
      <c r="GQ358" s="312"/>
      <c r="GR358" s="312"/>
      <c r="GS358" s="312"/>
      <c r="GT358" s="312"/>
      <c r="GU358" s="312"/>
      <c r="GV358" s="312"/>
      <c r="GW358" s="312"/>
      <c r="GX358" s="312"/>
      <c r="GY358" s="312"/>
    </row>
    <row r="359" spans="2:207" ht="15.75" x14ac:dyDescent="0.25">
      <c r="B359" s="316">
        <f t="shared" si="96"/>
        <v>329</v>
      </c>
      <c r="C359" s="330">
        <f>'סיכום לוועדה'!B359</f>
        <v>1001347696</v>
      </c>
      <c r="D359" s="330">
        <f>'סיכום לוועדה'!C359</f>
        <v>1001262291</v>
      </c>
      <c r="E359" s="330">
        <f>'סיכום לוועדה'!D359</f>
        <v>40000234</v>
      </c>
      <c r="F359" s="330">
        <f>'סיכום לוועדה'!E359</f>
        <v>20000159</v>
      </c>
      <c r="G359" s="330" t="str">
        <f>'סיכום לוועדה'!F359</f>
        <v>ירושלים</v>
      </c>
      <c r="H359" s="317" t="str">
        <f>'סיכום לוועדה'!G359</f>
        <v>עמותת ורטיגו למחול - ירושלים (ע"ר)</v>
      </c>
      <c r="I359" s="318">
        <f>'סיכום לוועדה'!U359</f>
        <v>2000000</v>
      </c>
      <c r="J359" s="319">
        <f>'סיכום לוועדה'!T359</f>
        <v>138197.71989642974</v>
      </c>
      <c r="K359" s="320">
        <f t="shared" si="97"/>
        <v>0</v>
      </c>
      <c r="L359" s="319">
        <f t="shared" si="98"/>
        <v>138197.71989642974</v>
      </c>
      <c r="M359" s="331">
        <f>'תחום תמיכה ב'!AF359</f>
        <v>8.1822983517691728E-4</v>
      </c>
      <c r="N359" s="319">
        <f t="shared" si="95"/>
        <v>152135.86577720568</v>
      </c>
      <c r="O359" s="321">
        <f t="shared" si="99"/>
        <v>0</v>
      </c>
      <c r="P359" s="322">
        <f t="shared" si="100"/>
        <v>152135.86577720568</v>
      </c>
      <c r="Q359" s="322">
        <f t="shared" si="101"/>
        <v>152205.1372549021</v>
      </c>
      <c r="R359" s="321">
        <f t="shared" si="102"/>
        <v>0</v>
      </c>
      <c r="S359" s="322">
        <f t="shared" si="103"/>
        <v>152205.1372549021</v>
      </c>
      <c r="T359" s="322">
        <f t="shared" si="104"/>
        <v>152205.13725490181</v>
      </c>
      <c r="U359" s="321">
        <f t="shared" si="105"/>
        <v>0</v>
      </c>
      <c r="V359" s="322">
        <f t="shared" si="106"/>
        <v>152205.13725490181</v>
      </c>
      <c r="W359" s="322">
        <f t="shared" si="107"/>
        <v>152205.13725490187</v>
      </c>
      <c r="X359" s="321">
        <f t="shared" si="108"/>
        <v>0</v>
      </c>
      <c r="Y359" s="322">
        <f t="shared" si="109"/>
        <v>152205.13725490187</v>
      </c>
      <c r="Z359" s="322">
        <f t="shared" si="110"/>
        <v>152205.13725490184</v>
      </c>
      <c r="AA359" s="323">
        <f t="shared" si="111"/>
        <v>152205.13725490184</v>
      </c>
      <c r="AB359" s="323"/>
      <c r="AC359" s="323"/>
      <c r="AD359" s="323"/>
      <c r="AE359" s="323"/>
      <c r="AF359" s="324">
        <f t="shared" si="112"/>
        <v>8.7164587897539366E-4</v>
      </c>
      <c r="AG359" s="312"/>
      <c r="AH359" s="312"/>
      <c r="AI359" s="325">
        <f t="shared" si="113"/>
        <v>1</v>
      </c>
      <c r="AJ359" s="312"/>
      <c r="AK359" s="312"/>
      <c r="AL359" s="312"/>
      <c r="AM359" s="312"/>
      <c r="AN359" s="312"/>
      <c r="AO359" s="312"/>
      <c r="AP359" s="312"/>
      <c r="AQ359" s="312"/>
      <c r="AR359" s="312"/>
      <c r="AS359" s="312"/>
      <c r="AT359" s="312"/>
      <c r="AU359" s="312"/>
      <c r="AV359" s="312"/>
      <c r="AW359" s="312"/>
      <c r="AX359" s="312"/>
      <c r="AY359" s="312"/>
      <c r="AZ359" s="312"/>
      <c r="BA359" s="312"/>
      <c r="BB359" s="312"/>
      <c r="BC359" s="312"/>
      <c r="BD359" s="312"/>
      <c r="BE359" s="312"/>
      <c r="BF359" s="312"/>
      <c r="BG359" s="312"/>
      <c r="BH359" s="312"/>
      <c r="BI359" s="312"/>
      <c r="BJ359" s="312"/>
      <c r="BK359" s="312"/>
      <c r="BL359" s="312"/>
      <c r="BM359" s="312"/>
      <c r="BN359" s="312"/>
      <c r="BO359" s="312"/>
      <c r="BP359" s="312"/>
      <c r="BQ359" s="312"/>
      <c r="BR359" s="312"/>
      <c r="BS359" s="312"/>
      <c r="BT359" s="312"/>
      <c r="BU359" s="312"/>
      <c r="BV359" s="312"/>
      <c r="BW359" s="312"/>
      <c r="BX359" s="312"/>
      <c r="BY359" s="312"/>
      <c r="BZ359" s="312"/>
      <c r="CA359" s="312"/>
      <c r="CB359" s="312"/>
      <c r="CC359" s="312"/>
      <c r="CD359" s="312"/>
      <c r="CE359" s="312"/>
      <c r="CF359" s="312"/>
      <c r="CG359" s="312"/>
      <c r="CH359" s="312"/>
      <c r="CI359" s="312"/>
      <c r="CJ359" s="312"/>
      <c r="CK359" s="312"/>
      <c r="CL359" s="312"/>
      <c r="CM359" s="312"/>
      <c r="CN359" s="312"/>
      <c r="CO359" s="312"/>
      <c r="CP359" s="312"/>
      <c r="CQ359" s="312"/>
      <c r="CR359" s="312"/>
      <c r="CS359" s="312"/>
      <c r="CT359" s="312"/>
      <c r="CU359" s="312"/>
      <c r="CV359" s="312"/>
      <c r="CW359" s="312"/>
      <c r="CX359" s="312"/>
      <c r="CY359" s="312"/>
      <c r="CZ359" s="312"/>
      <c r="DA359" s="312"/>
      <c r="DB359" s="312"/>
      <c r="DC359" s="312"/>
      <c r="DD359" s="312"/>
      <c r="DE359" s="312"/>
      <c r="DF359" s="312"/>
      <c r="DG359" s="312"/>
      <c r="DH359" s="312"/>
      <c r="DI359" s="312"/>
      <c r="DJ359" s="312"/>
      <c r="DK359" s="312"/>
      <c r="DL359" s="312"/>
      <c r="DM359" s="312"/>
      <c r="DN359" s="312"/>
      <c r="DO359" s="312"/>
      <c r="DP359" s="312"/>
      <c r="DQ359" s="312"/>
      <c r="DR359" s="312"/>
      <c r="DS359" s="312"/>
      <c r="DT359" s="312"/>
      <c r="DU359" s="312"/>
      <c r="DV359" s="312"/>
      <c r="DW359" s="312"/>
      <c r="DX359" s="312"/>
      <c r="DY359" s="312"/>
      <c r="DZ359" s="312"/>
      <c r="EA359" s="312"/>
      <c r="EB359" s="312"/>
      <c r="EC359" s="312"/>
      <c r="ED359" s="312"/>
      <c r="EE359" s="312"/>
      <c r="EF359" s="312"/>
      <c r="EG359" s="312"/>
      <c r="EH359" s="312"/>
      <c r="EI359" s="312"/>
      <c r="EJ359" s="312"/>
      <c r="EK359" s="312"/>
      <c r="EL359" s="312"/>
      <c r="EM359" s="312"/>
      <c r="EN359" s="312"/>
      <c r="EO359" s="312"/>
      <c r="EP359" s="312"/>
      <c r="EQ359" s="312"/>
      <c r="ER359" s="312"/>
      <c r="ES359" s="312"/>
      <c r="ET359" s="312"/>
      <c r="EU359" s="312"/>
      <c r="EV359" s="312"/>
      <c r="EW359" s="312"/>
      <c r="EX359" s="312"/>
      <c r="EY359" s="312"/>
      <c r="EZ359" s="312"/>
      <c r="FA359" s="312"/>
      <c r="FB359" s="312"/>
      <c r="FC359" s="312"/>
      <c r="FD359" s="312"/>
      <c r="FE359" s="312"/>
      <c r="FF359" s="312"/>
      <c r="FG359" s="312"/>
      <c r="FH359" s="312"/>
      <c r="FI359" s="312"/>
      <c r="FJ359" s="312"/>
      <c r="FK359" s="312"/>
      <c r="FL359" s="312"/>
      <c r="FM359" s="312"/>
      <c r="FN359" s="312"/>
      <c r="FO359" s="312"/>
      <c r="FP359" s="312"/>
      <c r="FQ359" s="312"/>
      <c r="FR359" s="312"/>
      <c r="FS359" s="312"/>
      <c r="FT359" s="312"/>
      <c r="FU359" s="312"/>
      <c r="FV359" s="312"/>
      <c r="FW359" s="312"/>
      <c r="FX359" s="312"/>
      <c r="FY359" s="312"/>
      <c r="FZ359" s="312"/>
      <c r="GA359" s="312"/>
      <c r="GB359" s="312"/>
      <c r="GC359" s="312"/>
      <c r="GD359" s="312"/>
      <c r="GE359" s="312"/>
      <c r="GF359" s="312"/>
      <c r="GG359" s="312"/>
      <c r="GH359" s="312"/>
      <c r="GI359" s="312"/>
      <c r="GJ359" s="312"/>
      <c r="GK359" s="312"/>
      <c r="GL359" s="312"/>
      <c r="GM359" s="312"/>
      <c r="GN359" s="312"/>
      <c r="GO359" s="312"/>
      <c r="GP359" s="312"/>
      <c r="GQ359" s="312"/>
      <c r="GR359" s="312"/>
      <c r="GS359" s="312"/>
      <c r="GT359" s="312"/>
      <c r="GU359" s="312"/>
      <c r="GV359" s="312"/>
      <c r="GW359" s="312"/>
      <c r="GX359" s="312"/>
      <c r="GY359" s="312"/>
    </row>
    <row r="360" spans="2:207" ht="15.75" x14ac:dyDescent="0.25">
      <c r="B360" s="316">
        <f t="shared" si="96"/>
        <v>330</v>
      </c>
      <c r="C360" s="330">
        <f>'סיכום לוועדה'!B360</f>
        <v>1001348126</v>
      </c>
      <c r="D360" s="330">
        <f>'סיכום לוועדה'!C360</f>
        <v>1001263224</v>
      </c>
      <c r="E360" s="330">
        <f>'סיכום לוועדה'!D360</f>
        <v>40000681</v>
      </c>
      <c r="F360" s="330">
        <f>'סיכום לוועדה'!E360</f>
        <v>20000201</v>
      </c>
      <c r="G360" s="330" t="str">
        <f>'סיכום לוועדה'!F360</f>
        <v>תל אביב -יפו</v>
      </c>
      <c r="H360" s="317" t="str">
        <f>'סיכום לוועדה'!G360</f>
        <v>דוקאביב - העמותה לקידום הסרט הדוקומ</v>
      </c>
      <c r="I360" s="318">
        <f>'סיכום לוועדה'!U360</f>
        <v>950000</v>
      </c>
      <c r="J360" s="319">
        <f>'סיכום לוועדה'!T360</f>
        <v>800515.20959942858</v>
      </c>
      <c r="K360" s="320">
        <f t="shared" si="97"/>
        <v>0</v>
      </c>
      <c r="L360" s="319">
        <f t="shared" si="98"/>
        <v>800515.20959942858</v>
      </c>
      <c r="M360" s="331">
        <f>'תחום תמיכה ב'!AF360</f>
        <v>4.5694944557334444E-3</v>
      </c>
      <c r="N360" s="319">
        <f t="shared" si="95"/>
        <v>878354.31737485994</v>
      </c>
      <c r="O360" s="321">
        <f t="shared" si="99"/>
        <v>0</v>
      </c>
      <c r="P360" s="322">
        <f t="shared" si="100"/>
        <v>878354.31737485994</v>
      </c>
      <c r="Q360" s="322">
        <f t="shared" si="101"/>
        <v>878754.25529347477</v>
      </c>
      <c r="R360" s="321">
        <f t="shared" si="102"/>
        <v>0</v>
      </c>
      <c r="S360" s="322">
        <f t="shared" si="103"/>
        <v>878754.25529347477</v>
      </c>
      <c r="T360" s="322">
        <f t="shared" si="104"/>
        <v>878754.2552934729</v>
      </c>
      <c r="U360" s="321">
        <f t="shared" si="105"/>
        <v>0</v>
      </c>
      <c r="V360" s="322">
        <f t="shared" si="106"/>
        <v>878754.2552934729</v>
      </c>
      <c r="W360" s="322">
        <f t="shared" si="107"/>
        <v>878754.25529347325</v>
      </c>
      <c r="X360" s="321">
        <f t="shared" si="108"/>
        <v>0</v>
      </c>
      <c r="Y360" s="322">
        <f t="shared" si="109"/>
        <v>878754.25529347325</v>
      </c>
      <c r="Z360" s="322">
        <f t="shared" si="110"/>
        <v>878754.25529347314</v>
      </c>
      <c r="AA360" s="323">
        <f t="shared" si="111"/>
        <v>878754.25529347314</v>
      </c>
      <c r="AB360" s="323"/>
      <c r="AC360" s="323"/>
      <c r="AD360" s="323"/>
      <c r="AE360" s="323"/>
      <c r="AF360" s="324">
        <f t="shared" si="112"/>
        <v>5.0324354294025552E-3</v>
      </c>
      <c r="AG360" s="312"/>
      <c r="AH360" s="312"/>
      <c r="AI360" s="325">
        <f t="shared" si="113"/>
        <v>1</v>
      </c>
      <c r="AJ360" s="312"/>
      <c r="AK360" s="312"/>
      <c r="AL360" s="312"/>
      <c r="AM360" s="312"/>
      <c r="AN360" s="312"/>
      <c r="AO360" s="312"/>
      <c r="AP360" s="312"/>
      <c r="AQ360" s="312"/>
      <c r="AR360" s="312"/>
      <c r="AS360" s="312"/>
      <c r="AT360" s="312"/>
      <c r="AU360" s="312"/>
      <c r="AV360" s="312"/>
      <c r="AW360" s="312"/>
      <c r="AX360" s="312"/>
      <c r="AY360" s="312"/>
      <c r="AZ360" s="312"/>
      <c r="BA360" s="312"/>
      <c r="BB360" s="312"/>
      <c r="BC360" s="312"/>
      <c r="BD360" s="312"/>
      <c r="BE360" s="312"/>
      <c r="BF360" s="312"/>
      <c r="BG360" s="312"/>
      <c r="BH360" s="312"/>
      <c r="BI360" s="312"/>
      <c r="BJ360" s="312"/>
      <c r="BK360" s="312"/>
      <c r="BL360" s="312"/>
      <c r="BM360" s="312"/>
      <c r="BN360" s="312"/>
      <c r="BO360" s="312"/>
      <c r="BP360" s="312"/>
      <c r="BQ360" s="312"/>
      <c r="BR360" s="312"/>
      <c r="BS360" s="312"/>
      <c r="BT360" s="312"/>
      <c r="BU360" s="312"/>
      <c r="BV360" s="312"/>
      <c r="BW360" s="312"/>
      <c r="BX360" s="312"/>
      <c r="BY360" s="312"/>
      <c r="BZ360" s="312"/>
      <c r="CA360" s="312"/>
      <c r="CB360" s="312"/>
      <c r="CC360" s="312"/>
      <c r="CD360" s="312"/>
      <c r="CE360" s="312"/>
      <c r="CF360" s="312"/>
      <c r="CG360" s="312"/>
      <c r="CH360" s="312"/>
      <c r="CI360" s="312"/>
      <c r="CJ360" s="312"/>
      <c r="CK360" s="312"/>
      <c r="CL360" s="312"/>
      <c r="CM360" s="312"/>
      <c r="CN360" s="312"/>
      <c r="CO360" s="312"/>
      <c r="CP360" s="312"/>
      <c r="CQ360" s="312"/>
      <c r="CR360" s="312"/>
      <c r="CS360" s="312"/>
      <c r="CT360" s="312"/>
      <c r="CU360" s="312"/>
      <c r="CV360" s="312"/>
      <c r="CW360" s="312"/>
      <c r="CX360" s="312"/>
      <c r="CY360" s="312"/>
      <c r="CZ360" s="312"/>
      <c r="DA360" s="312"/>
      <c r="DB360" s="312"/>
      <c r="DC360" s="312"/>
      <c r="DD360" s="312"/>
      <c r="DE360" s="312"/>
      <c r="DF360" s="312"/>
      <c r="DG360" s="312"/>
      <c r="DH360" s="312"/>
      <c r="DI360" s="312"/>
      <c r="DJ360" s="312"/>
      <c r="DK360" s="312"/>
      <c r="DL360" s="312"/>
      <c r="DM360" s="312"/>
      <c r="DN360" s="312"/>
      <c r="DO360" s="312"/>
      <c r="DP360" s="312"/>
      <c r="DQ360" s="312"/>
      <c r="DR360" s="312"/>
      <c r="DS360" s="312"/>
      <c r="DT360" s="312"/>
      <c r="DU360" s="312"/>
      <c r="DV360" s="312"/>
      <c r="DW360" s="312"/>
      <c r="DX360" s="312"/>
      <c r="DY360" s="312"/>
      <c r="DZ360" s="312"/>
      <c r="EA360" s="312"/>
      <c r="EB360" s="312"/>
      <c r="EC360" s="312"/>
      <c r="ED360" s="312"/>
      <c r="EE360" s="312"/>
      <c r="EF360" s="312"/>
      <c r="EG360" s="312"/>
      <c r="EH360" s="312"/>
      <c r="EI360" s="312"/>
      <c r="EJ360" s="312"/>
      <c r="EK360" s="312"/>
      <c r="EL360" s="312"/>
      <c r="EM360" s="312"/>
      <c r="EN360" s="312"/>
      <c r="EO360" s="312"/>
      <c r="EP360" s="312"/>
      <c r="EQ360" s="312"/>
      <c r="ER360" s="312"/>
      <c r="ES360" s="312"/>
      <c r="ET360" s="312"/>
      <c r="EU360" s="312"/>
      <c r="EV360" s="312"/>
      <c r="EW360" s="312"/>
      <c r="EX360" s="312"/>
      <c r="EY360" s="312"/>
      <c r="EZ360" s="312"/>
      <c r="FA360" s="312"/>
      <c r="FB360" s="312"/>
      <c r="FC360" s="312"/>
      <c r="FD360" s="312"/>
      <c r="FE360" s="312"/>
      <c r="FF360" s="312"/>
      <c r="FG360" s="312"/>
      <c r="FH360" s="312"/>
      <c r="FI360" s="312"/>
      <c r="FJ360" s="312"/>
      <c r="FK360" s="312"/>
      <c r="FL360" s="312"/>
      <c r="FM360" s="312"/>
      <c r="FN360" s="312"/>
      <c r="FO360" s="312"/>
      <c r="FP360" s="312"/>
      <c r="FQ360" s="312"/>
      <c r="FR360" s="312"/>
      <c r="FS360" s="312"/>
      <c r="FT360" s="312"/>
      <c r="FU360" s="312"/>
      <c r="FV360" s="312"/>
      <c r="FW360" s="312"/>
      <c r="FX360" s="312"/>
      <c r="FY360" s="312"/>
      <c r="FZ360" s="312"/>
      <c r="GA360" s="312"/>
      <c r="GB360" s="312"/>
      <c r="GC360" s="312"/>
      <c r="GD360" s="312"/>
      <c r="GE360" s="312"/>
      <c r="GF360" s="312"/>
      <c r="GG360" s="312"/>
      <c r="GH360" s="312"/>
      <c r="GI360" s="312"/>
      <c r="GJ360" s="312"/>
      <c r="GK360" s="312"/>
      <c r="GL360" s="312"/>
      <c r="GM360" s="312"/>
      <c r="GN360" s="312"/>
      <c r="GO360" s="312"/>
      <c r="GP360" s="312"/>
      <c r="GQ360" s="312"/>
      <c r="GR360" s="312"/>
      <c r="GS360" s="312"/>
      <c r="GT360" s="312"/>
      <c r="GU360" s="312"/>
      <c r="GV360" s="312"/>
      <c r="GW360" s="312"/>
      <c r="GX360" s="312"/>
      <c r="GY360" s="312"/>
    </row>
    <row r="361" spans="2:207" ht="15.75" x14ac:dyDescent="0.25">
      <c r="B361" s="316" t="str">
        <f t="shared" si="96"/>
        <v/>
      </c>
      <c r="C361" s="330" t="str">
        <f>'סיכום לוועדה'!B361</f>
        <v/>
      </c>
      <c r="D361" s="330" t="str">
        <f>'סיכום לוועדה'!C361</f>
        <v/>
      </c>
      <c r="E361" s="330" t="str">
        <f>'סיכום לוועדה'!D361</f>
        <v/>
      </c>
      <c r="F361" s="330" t="str">
        <f>'סיכום לוועדה'!E361</f>
        <v/>
      </c>
      <c r="G361" s="330" t="str">
        <f>'סיכום לוועדה'!F361</f>
        <v/>
      </c>
      <c r="H361" s="317" t="str">
        <f>'סיכום לוועדה'!G361</f>
        <v/>
      </c>
      <c r="I361" s="318" t="str">
        <f>'סיכום לוועדה'!U361</f>
        <v/>
      </c>
      <c r="J361" s="319" t="str">
        <f>'סיכום לוועדה'!T361</f>
        <v/>
      </c>
      <c r="K361" s="320" t="str">
        <f t="shared" si="97"/>
        <v/>
      </c>
      <c r="L361" s="319" t="str">
        <f t="shared" si="98"/>
        <v/>
      </c>
      <c r="M361" s="331" t="str">
        <f>'תחום תמיכה ב'!AF361</f>
        <v/>
      </c>
      <c r="N361" s="319" t="str">
        <f t="shared" si="95"/>
        <v/>
      </c>
      <c r="O361" s="321">
        <f t="shared" si="99"/>
        <v>0</v>
      </c>
      <c r="P361" s="322" t="str">
        <f t="shared" si="100"/>
        <v/>
      </c>
      <c r="Q361" s="322" t="str">
        <f t="shared" si="101"/>
        <v/>
      </c>
      <c r="R361" s="321">
        <f t="shared" si="102"/>
        <v>0</v>
      </c>
      <c r="S361" s="322" t="str">
        <f t="shared" si="103"/>
        <v/>
      </c>
      <c r="T361" s="322" t="str">
        <f t="shared" si="104"/>
        <v/>
      </c>
      <c r="U361" s="321">
        <f t="shared" si="105"/>
        <v>0</v>
      </c>
      <c r="V361" s="322" t="str">
        <f t="shared" si="106"/>
        <v/>
      </c>
      <c r="W361" s="322" t="str">
        <f t="shared" si="107"/>
        <v/>
      </c>
      <c r="X361" s="321">
        <f t="shared" si="108"/>
        <v>0</v>
      </c>
      <c r="Y361" s="322" t="str">
        <f t="shared" si="109"/>
        <v/>
      </c>
      <c r="Z361" s="322" t="str">
        <f t="shared" si="110"/>
        <v/>
      </c>
      <c r="AA361" s="323" t="str">
        <f t="shared" si="111"/>
        <v/>
      </c>
      <c r="AB361" s="323"/>
      <c r="AC361" s="323"/>
      <c r="AD361" s="323"/>
      <c r="AE361" s="323"/>
      <c r="AF361" s="324" t="str">
        <f t="shared" si="112"/>
        <v/>
      </c>
      <c r="AG361" s="312"/>
      <c r="AH361" s="312"/>
      <c r="AI361" s="325">
        <f t="shared" si="113"/>
        <v>0</v>
      </c>
      <c r="AJ361" s="312"/>
      <c r="AK361" s="312"/>
      <c r="AL361" s="312"/>
      <c r="AM361" s="312"/>
      <c r="AN361" s="312"/>
      <c r="AO361" s="312"/>
      <c r="AP361" s="312"/>
      <c r="AQ361" s="312"/>
      <c r="AR361" s="312"/>
      <c r="AS361" s="312"/>
      <c r="AT361" s="312"/>
      <c r="AU361" s="312"/>
      <c r="AV361" s="312"/>
      <c r="AW361" s="312"/>
      <c r="AX361" s="312"/>
      <c r="AY361" s="312"/>
      <c r="AZ361" s="312"/>
      <c r="BA361" s="312"/>
      <c r="BB361" s="312"/>
      <c r="BC361" s="312"/>
      <c r="BD361" s="312"/>
      <c r="BE361" s="312"/>
      <c r="BF361" s="312"/>
      <c r="BG361" s="312"/>
      <c r="BH361" s="312"/>
      <c r="BI361" s="312"/>
      <c r="BJ361" s="312"/>
      <c r="BK361" s="312"/>
      <c r="BL361" s="312"/>
      <c r="BM361" s="312"/>
      <c r="BN361" s="312"/>
      <c r="BO361" s="312"/>
      <c r="BP361" s="312"/>
      <c r="BQ361" s="312"/>
      <c r="BR361" s="312"/>
      <c r="BS361" s="312"/>
      <c r="BT361" s="312"/>
      <c r="BU361" s="312"/>
      <c r="BV361" s="312"/>
      <c r="BW361" s="312"/>
      <c r="BX361" s="312"/>
      <c r="BY361" s="312"/>
      <c r="BZ361" s="312"/>
      <c r="CA361" s="312"/>
      <c r="CB361" s="312"/>
      <c r="CC361" s="312"/>
      <c r="CD361" s="312"/>
      <c r="CE361" s="312"/>
      <c r="CF361" s="312"/>
      <c r="CG361" s="312"/>
      <c r="CH361" s="312"/>
      <c r="CI361" s="312"/>
      <c r="CJ361" s="312"/>
      <c r="CK361" s="312"/>
      <c r="CL361" s="312"/>
      <c r="CM361" s="312"/>
      <c r="CN361" s="312"/>
      <c r="CO361" s="312"/>
      <c r="CP361" s="312"/>
      <c r="CQ361" s="312"/>
      <c r="CR361" s="312"/>
      <c r="CS361" s="312"/>
      <c r="CT361" s="312"/>
      <c r="CU361" s="312"/>
      <c r="CV361" s="312"/>
      <c r="CW361" s="312"/>
      <c r="CX361" s="312"/>
      <c r="CY361" s="312"/>
      <c r="CZ361" s="312"/>
      <c r="DA361" s="312"/>
      <c r="DB361" s="312"/>
      <c r="DC361" s="312"/>
      <c r="DD361" s="312"/>
      <c r="DE361" s="312"/>
      <c r="DF361" s="312"/>
      <c r="DG361" s="312"/>
      <c r="DH361" s="312"/>
      <c r="DI361" s="312"/>
      <c r="DJ361" s="312"/>
      <c r="DK361" s="312"/>
      <c r="DL361" s="312"/>
      <c r="DM361" s="312"/>
      <c r="DN361" s="312"/>
      <c r="DO361" s="312"/>
      <c r="DP361" s="312"/>
      <c r="DQ361" s="312"/>
      <c r="DR361" s="312"/>
      <c r="DS361" s="312"/>
      <c r="DT361" s="312"/>
      <c r="DU361" s="312"/>
      <c r="DV361" s="312"/>
      <c r="DW361" s="312"/>
      <c r="DX361" s="312"/>
      <c r="DY361" s="312"/>
      <c r="DZ361" s="312"/>
      <c r="EA361" s="312"/>
      <c r="EB361" s="312"/>
      <c r="EC361" s="312"/>
      <c r="ED361" s="312"/>
      <c r="EE361" s="312"/>
      <c r="EF361" s="312"/>
      <c r="EG361" s="312"/>
      <c r="EH361" s="312"/>
      <c r="EI361" s="312"/>
      <c r="EJ361" s="312"/>
      <c r="EK361" s="312"/>
      <c r="EL361" s="312"/>
      <c r="EM361" s="312"/>
      <c r="EN361" s="312"/>
      <c r="EO361" s="312"/>
      <c r="EP361" s="312"/>
      <c r="EQ361" s="312"/>
      <c r="ER361" s="312"/>
      <c r="ES361" s="312"/>
      <c r="ET361" s="312"/>
      <c r="EU361" s="312"/>
      <c r="EV361" s="312"/>
      <c r="EW361" s="312"/>
      <c r="EX361" s="312"/>
      <c r="EY361" s="312"/>
      <c r="EZ361" s="312"/>
      <c r="FA361" s="312"/>
      <c r="FB361" s="312"/>
      <c r="FC361" s="312"/>
      <c r="FD361" s="312"/>
      <c r="FE361" s="312"/>
      <c r="FF361" s="312"/>
      <c r="FG361" s="312"/>
      <c r="FH361" s="312"/>
      <c r="FI361" s="312"/>
      <c r="FJ361" s="312"/>
      <c r="FK361" s="312"/>
      <c r="FL361" s="312"/>
      <c r="FM361" s="312"/>
      <c r="FN361" s="312"/>
      <c r="FO361" s="312"/>
      <c r="FP361" s="312"/>
      <c r="FQ361" s="312"/>
      <c r="FR361" s="312"/>
      <c r="FS361" s="312"/>
      <c r="FT361" s="312"/>
      <c r="FU361" s="312"/>
      <c r="FV361" s="312"/>
      <c r="FW361" s="312"/>
      <c r="FX361" s="312"/>
      <c r="FY361" s="312"/>
      <c r="FZ361" s="312"/>
      <c r="GA361" s="312"/>
      <c r="GB361" s="312"/>
      <c r="GC361" s="312"/>
      <c r="GD361" s="312"/>
      <c r="GE361" s="312"/>
      <c r="GF361" s="312"/>
      <c r="GG361" s="312"/>
      <c r="GH361" s="312"/>
      <c r="GI361" s="312"/>
      <c r="GJ361" s="312"/>
      <c r="GK361" s="312"/>
      <c r="GL361" s="312"/>
      <c r="GM361" s="312"/>
      <c r="GN361" s="312"/>
      <c r="GO361" s="312"/>
      <c r="GP361" s="312"/>
      <c r="GQ361" s="312"/>
      <c r="GR361" s="312"/>
      <c r="GS361" s="312"/>
      <c r="GT361" s="312"/>
      <c r="GU361" s="312"/>
      <c r="GV361" s="312"/>
      <c r="GW361" s="312"/>
      <c r="GX361" s="312"/>
      <c r="GY361" s="312"/>
    </row>
    <row r="362" spans="2:207" ht="15.75" x14ac:dyDescent="0.25">
      <c r="B362" s="316">
        <f t="shared" si="96"/>
        <v>332</v>
      </c>
      <c r="C362" s="330">
        <f>'סיכום לוועדה'!B362</f>
        <v>1001346979</v>
      </c>
      <c r="D362" s="330">
        <f>'סיכום לוועדה'!C362</f>
        <v>1001273202</v>
      </c>
      <c r="E362" s="330">
        <f>'סיכום לוועדה'!D362</f>
        <v>40000237</v>
      </c>
      <c r="F362" s="330">
        <f>'סיכום לוועדה'!E362</f>
        <v>20000248</v>
      </c>
      <c r="G362" s="330" t="str">
        <f>'סיכום לוועדה'!F362</f>
        <v>רחובות</v>
      </c>
      <c r="H362" s="317" t="str">
        <f>'סיכום לוועדה'!G362</f>
        <v>מועצה לשימור אתרי מורשת בישראל (ע"ר</v>
      </c>
      <c r="I362" s="318">
        <f>'סיכום לוועדה'!U362</f>
        <v>3000000</v>
      </c>
      <c r="J362" s="319">
        <f>'סיכום לוועדה'!T362</f>
        <v>976616.46412887843</v>
      </c>
      <c r="K362" s="320">
        <f t="shared" si="97"/>
        <v>0</v>
      </c>
      <c r="L362" s="319">
        <f t="shared" si="98"/>
        <v>976616.46412887843</v>
      </c>
      <c r="M362" s="331">
        <f>'תחום תמיכה ב'!AF362</f>
        <v>5.3375372700476473E-3</v>
      </c>
      <c r="N362" s="319">
        <f t="shared" si="95"/>
        <v>1067538.8063799611</v>
      </c>
      <c r="O362" s="321">
        <f t="shared" si="99"/>
        <v>0</v>
      </c>
      <c r="P362" s="322">
        <f t="shared" si="100"/>
        <v>1067538.8063799611</v>
      </c>
      <c r="Q362" s="322">
        <f t="shared" si="101"/>
        <v>1068024.8849929064</v>
      </c>
      <c r="R362" s="321">
        <f t="shared" si="102"/>
        <v>0</v>
      </c>
      <c r="S362" s="322">
        <f t="shared" si="103"/>
        <v>1068024.8849929064</v>
      </c>
      <c r="T362" s="322">
        <f t="shared" si="104"/>
        <v>1068024.884992904</v>
      </c>
      <c r="U362" s="321">
        <f t="shared" si="105"/>
        <v>0</v>
      </c>
      <c r="V362" s="322">
        <f t="shared" si="106"/>
        <v>1068024.884992904</v>
      </c>
      <c r="W362" s="322">
        <f t="shared" si="107"/>
        <v>1068024.8849929045</v>
      </c>
      <c r="X362" s="321">
        <f t="shared" si="108"/>
        <v>0</v>
      </c>
      <c r="Y362" s="322">
        <f t="shared" si="109"/>
        <v>1068024.8849929045</v>
      </c>
      <c r="Z362" s="322">
        <f t="shared" si="110"/>
        <v>1068024.8849929043</v>
      </c>
      <c r="AA362" s="323">
        <f t="shared" si="111"/>
        <v>1068024.8849929043</v>
      </c>
      <c r="AB362" s="323"/>
      <c r="AC362" s="323"/>
      <c r="AD362" s="323"/>
      <c r="AE362" s="323"/>
      <c r="AF362" s="324">
        <f t="shared" si="112"/>
        <v>6.116347361443954E-3</v>
      </c>
      <c r="AG362" s="312"/>
      <c r="AH362" s="312"/>
      <c r="AI362" s="325">
        <f t="shared" si="113"/>
        <v>1</v>
      </c>
      <c r="AJ362" s="312"/>
      <c r="AK362" s="312"/>
      <c r="AL362" s="312"/>
      <c r="AM362" s="312"/>
      <c r="AN362" s="312"/>
      <c r="AO362" s="312"/>
      <c r="AP362" s="312"/>
      <c r="AQ362" s="312"/>
      <c r="AR362" s="312"/>
      <c r="AS362" s="312"/>
      <c r="AT362" s="312"/>
      <c r="AU362" s="312"/>
      <c r="AV362" s="312"/>
      <c r="AW362" s="312"/>
      <c r="AX362" s="312"/>
      <c r="AY362" s="312"/>
      <c r="AZ362" s="312"/>
      <c r="BA362" s="312"/>
      <c r="BB362" s="312"/>
      <c r="BC362" s="312"/>
      <c r="BD362" s="312"/>
      <c r="BE362" s="312"/>
      <c r="BF362" s="312"/>
      <c r="BG362" s="312"/>
      <c r="BH362" s="312"/>
      <c r="BI362" s="312"/>
      <c r="BJ362" s="312"/>
      <c r="BK362" s="312"/>
      <c r="BL362" s="312"/>
      <c r="BM362" s="312"/>
      <c r="BN362" s="312"/>
      <c r="BO362" s="312"/>
      <c r="BP362" s="312"/>
      <c r="BQ362" s="312"/>
      <c r="BR362" s="312"/>
      <c r="BS362" s="312"/>
      <c r="BT362" s="312"/>
      <c r="BU362" s="312"/>
      <c r="BV362" s="312"/>
      <c r="BW362" s="312"/>
      <c r="BX362" s="312"/>
      <c r="BY362" s="312"/>
      <c r="BZ362" s="312"/>
      <c r="CA362" s="312"/>
      <c r="CB362" s="312"/>
      <c r="CC362" s="312"/>
      <c r="CD362" s="312"/>
      <c r="CE362" s="312"/>
      <c r="CF362" s="312"/>
      <c r="CG362" s="312"/>
      <c r="CH362" s="312"/>
      <c r="CI362" s="312"/>
      <c r="CJ362" s="312"/>
      <c r="CK362" s="312"/>
      <c r="CL362" s="312"/>
      <c r="CM362" s="312"/>
      <c r="CN362" s="312"/>
      <c r="CO362" s="312"/>
      <c r="CP362" s="312"/>
      <c r="CQ362" s="312"/>
      <c r="CR362" s="312"/>
      <c r="CS362" s="312"/>
      <c r="CT362" s="312"/>
      <c r="CU362" s="312"/>
      <c r="CV362" s="312"/>
      <c r="CW362" s="312"/>
      <c r="CX362" s="312"/>
      <c r="CY362" s="312"/>
      <c r="CZ362" s="312"/>
      <c r="DA362" s="312"/>
      <c r="DB362" s="312"/>
      <c r="DC362" s="312"/>
      <c r="DD362" s="312"/>
      <c r="DE362" s="312"/>
      <c r="DF362" s="312"/>
      <c r="DG362" s="312"/>
      <c r="DH362" s="312"/>
      <c r="DI362" s="312"/>
      <c r="DJ362" s="312"/>
      <c r="DK362" s="312"/>
      <c r="DL362" s="312"/>
      <c r="DM362" s="312"/>
      <c r="DN362" s="312"/>
      <c r="DO362" s="312"/>
      <c r="DP362" s="312"/>
      <c r="DQ362" s="312"/>
      <c r="DR362" s="312"/>
      <c r="DS362" s="312"/>
      <c r="DT362" s="312"/>
      <c r="DU362" s="312"/>
      <c r="DV362" s="312"/>
      <c r="DW362" s="312"/>
      <c r="DX362" s="312"/>
      <c r="DY362" s="312"/>
      <c r="DZ362" s="312"/>
      <c r="EA362" s="312"/>
      <c r="EB362" s="312"/>
      <c r="EC362" s="312"/>
      <c r="ED362" s="312"/>
      <c r="EE362" s="312"/>
      <c r="EF362" s="312"/>
      <c r="EG362" s="312"/>
      <c r="EH362" s="312"/>
      <c r="EI362" s="312"/>
      <c r="EJ362" s="312"/>
      <c r="EK362" s="312"/>
      <c r="EL362" s="312"/>
      <c r="EM362" s="312"/>
      <c r="EN362" s="312"/>
      <c r="EO362" s="312"/>
      <c r="EP362" s="312"/>
      <c r="EQ362" s="312"/>
      <c r="ER362" s="312"/>
      <c r="ES362" s="312"/>
      <c r="ET362" s="312"/>
      <c r="EU362" s="312"/>
      <c r="EV362" s="312"/>
      <c r="EW362" s="312"/>
      <c r="EX362" s="312"/>
      <c r="EY362" s="312"/>
      <c r="EZ362" s="312"/>
      <c r="FA362" s="312"/>
      <c r="FB362" s="312"/>
      <c r="FC362" s="312"/>
      <c r="FD362" s="312"/>
      <c r="FE362" s="312"/>
      <c r="FF362" s="312"/>
      <c r="FG362" s="312"/>
      <c r="FH362" s="312"/>
      <c r="FI362" s="312"/>
      <c r="FJ362" s="312"/>
      <c r="FK362" s="312"/>
      <c r="FL362" s="312"/>
      <c r="FM362" s="312"/>
      <c r="FN362" s="312"/>
      <c r="FO362" s="312"/>
      <c r="FP362" s="312"/>
      <c r="FQ362" s="312"/>
      <c r="FR362" s="312"/>
      <c r="FS362" s="312"/>
      <c r="FT362" s="312"/>
      <c r="FU362" s="312"/>
      <c r="FV362" s="312"/>
      <c r="FW362" s="312"/>
      <c r="FX362" s="312"/>
      <c r="FY362" s="312"/>
      <c r="FZ362" s="312"/>
      <c r="GA362" s="312"/>
      <c r="GB362" s="312"/>
      <c r="GC362" s="312"/>
      <c r="GD362" s="312"/>
      <c r="GE362" s="312"/>
      <c r="GF362" s="312"/>
      <c r="GG362" s="312"/>
      <c r="GH362" s="312"/>
      <c r="GI362" s="312"/>
      <c r="GJ362" s="312"/>
      <c r="GK362" s="312"/>
      <c r="GL362" s="312"/>
      <c r="GM362" s="312"/>
      <c r="GN362" s="312"/>
      <c r="GO362" s="312"/>
      <c r="GP362" s="312"/>
      <c r="GQ362" s="312"/>
      <c r="GR362" s="312"/>
      <c r="GS362" s="312"/>
      <c r="GT362" s="312"/>
      <c r="GU362" s="312"/>
      <c r="GV362" s="312"/>
      <c r="GW362" s="312"/>
      <c r="GX362" s="312"/>
      <c r="GY362" s="312"/>
    </row>
    <row r="363" spans="2:207" ht="15.75" x14ac:dyDescent="0.25">
      <c r="B363" s="316">
        <f t="shared" si="96"/>
        <v>333</v>
      </c>
      <c r="C363" s="330">
        <f>'סיכום לוועדה'!B363</f>
        <v>1001348103</v>
      </c>
      <c r="D363" s="330">
        <f>'סיכום לוועדה'!C363</f>
        <v>1001263126</v>
      </c>
      <c r="E363" s="330">
        <f>'סיכום לוועדה'!D363</f>
        <v>40000242</v>
      </c>
      <c r="F363" s="330">
        <f>'סיכום לוועדה'!E363</f>
        <v>20000159</v>
      </c>
      <c r="G363" s="330" t="str">
        <f>'סיכום לוועדה'!F363</f>
        <v>ירושלים</v>
      </c>
      <c r="H363" s="317" t="str">
        <f>'סיכום לוועדה'!G363</f>
        <v>הזירה הבין-תחומית (ע"ר)</v>
      </c>
      <c r="I363" s="318">
        <f>'סיכום לוועדה'!U363</f>
        <v>800000</v>
      </c>
      <c r="J363" s="319">
        <f>'סיכום לוועדה'!T363</f>
        <v>127351.89294332018</v>
      </c>
      <c r="K363" s="320">
        <f t="shared" si="97"/>
        <v>0</v>
      </c>
      <c r="L363" s="319">
        <f t="shared" si="98"/>
        <v>127351.89294332018</v>
      </c>
      <c r="M363" s="331">
        <f>'תחום תמיכה ב'!AF363</f>
        <v>6.3363131368751352E-4</v>
      </c>
      <c r="N363" s="319">
        <f t="shared" si="95"/>
        <v>138145.49310933548</v>
      </c>
      <c r="O363" s="321">
        <f t="shared" si="99"/>
        <v>0</v>
      </c>
      <c r="P363" s="322">
        <f t="shared" si="100"/>
        <v>138145.49310933548</v>
      </c>
      <c r="Q363" s="322">
        <f t="shared" si="101"/>
        <v>138208.39440086132</v>
      </c>
      <c r="R363" s="321">
        <f t="shared" si="102"/>
        <v>0</v>
      </c>
      <c r="S363" s="322">
        <f t="shared" si="103"/>
        <v>138208.39440086132</v>
      </c>
      <c r="T363" s="322">
        <f t="shared" si="104"/>
        <v>138208.39440086106</v>
      </c>
      <c r="U363" s="321">
        <f t="shared" si="105"/>
        <v>0</v>
      </c>
      <c r="V363" s="322">
        <f t="shared" si="106"/>
        <v>138208.39440086106</v>
      </c>
      <c r="W363" s="322">
        <f t="shared" si="107"/>
        <v>138208.39440086111</v>
      </c>
      <c r="X363" s="321">
        <f t="shared" si="108"/>
        <v>0</v>
      </c>
      <c r="Y363" s="322">
        <f t="shared" si="109"/>
        <v>138208.39440086111</v>
      </c>
      <c r="Z363" s="322">
        <f t="shared" si="110"/>
        <v>138208.39440086109</v>
      </c>
      <c r="AA363" s="323">
        <f t="shared" si="111"/>
        <v>138208.39440086109</v>
      </c>
      <c r="AB363" s="323"/>
      <c r="AC363" s="323"/>
      <c r="AD363" s="323"/>
      <c r="AE363" s="323"/>
      <c r="AF363" s="324">
        <f t="shared" si="112"/>
        <v>7.9148956199529778E-4</v>
      </c>
      <c r="AG363" s="312"/>
      <c r="AH363" s="312"/>
      <c r="AI363" s="325">
        <f t="shared" si="113"/>
        <v>1</v>
      </c>
      <c r="AJ363" s="312"/>
      <c r="AK363" s="312"/>
      <c r="AL363" s="312"/>
      <c r="AM363" s="312"/>
      <c r="AN363" s="312"/>
      <c r="AO363" s="312"/>
      <c r="AP363" s="312"/>
      <c r="AQ363" s="312"/>
      <c r="AR363" s="312"/>
      <c r="AS363" s="312"/>
      <c r="AT363" s="312"/>
      <c r="AU363" s="312"/>
      <c r="AV363" s="312"/>
      <c r="AW363" s="312"/>
      <c r="AX363" s="312"/>
      <c r="AY363" s="312"/>
      <c r="AZ363" s="312"/>
      <c r="BA363" s="312"/>
      <c r="BB363" s="312"/>
      <c r="BC363" s="312"/>
      <c r="BD363" s="312"/>
      <c r="BE363" s="312"/>
      <c r="BF363" s="312"/>
      <c r="BG363" s="312"/>
      <c r="BH363" s="312"/>
      <c r="BI363" s="312"/>
      <c r="BJ363" s="312"/>
      <c r="BK363" s="312"/>
      <c r="BL363" s="312"/>
      <c r="BM363" s="312"/>
      <c r="BN363" s="312"/>
      <c r="BO363" s="312"/>
      <c r="BP363" s="312"/>
      <c r="BQ363" s="312"/>
      <c r="BR363" s="312"/>
      <c r="BS363" s="312"/>
      <c r="BT363" s="312"/>
      <c r="BU363" s="312"/>
      <c r="BV363" s="312"/>
      <c r="BW363" s="312"/>
      <c r="BX363" s="312"/>
      <c r="BY363" s="312"/>
      <c r="BZ363" s="312"/>
      <c r="CA363" s="312"/>
      <c r="CB363" s="312"/>
      <c r="CC363" s="312"/>
      <c r="CD363" s="312"/>
      <c r="CE363" s="312"/>
      <c r="CF363" s="312"/>
      <c r="CG363" s="312"/>
      <c r="CH363" s="312"/>
      <c r="CI363" s="312"/>
      <c r="CJ363" s="312"/>
      <c r="CK363" s="312"/>
      <c r="CL363" s="312"/>
      <c r="CM363" s="312"/>
      <c r="CN363" s="312"/>
      <c r="CO363" s="312"/>
      <c r="CP363" s="312"/>
      <c r="CQ363" s="312"/>
      <c r="CR363" s="312"/>
      <c r="CS363" s="312"/>
      <c r="CT363" s="312"/>
      <c r="CU363" s="312"/>
      <c r="CV363" s="312"/>
      <c r="CW363" s="312"/>
      <c r="CX363" s="312"/>
      <c r="CY363" s="312"/>
      <c r="CZ363" s="312"/>
      <c r="DA363" s="312"/>
      <c r="DB363" s="312"/>
      <c r="DC363" s="312"/>
      <c r="DD363" s="312"/>
      <c r="DE363" s="312"/>
      <c r="DF363" s="312"/>
      <c r="DG363" s="312"/>
      <c r="DH363" s="312"/>
      <c r="DI363" s="312"/>
      <c r="DJ363" s="312"/>
      <c r="DK363" s="312"/>
      <c r="DL363" s="312"/>
      <c r="DM363" s="312"/>
      <c r="DN363" s="312"/>
      <c r="DO363" s="312"/>
      <c r="DP363" s="312"/>
      <c r="DQ363" s="312"/>
      <c r="DR363" s="312"/>
      <c r="DS363" s="312"/>
      <c r="DT363" s="312"/>
      <c r="DU363" s="312"/>
      <c r="DV363" s="312"/>
      <c r="DW363" s="312"/>
      <c r="DX363" s="312"/>
      <c r="DY363" s="312"/>
      <c r="DZ363" s="312"/>
      <c r="EA363" s="312"/>
      <c r="EB363" s="312"/>
      <c r="EC363" s="312"/>
      <c r="ED363" s="312"/>
      <c r="EE363" s="312"/>
      <c r="EF363" s="312"/>
      <c r="EG363" s="312"/>
      <c r="EH363" s="312"/>
      <c r="EI363" s="312"/>
      <c r="EJ363" s="312"/>
      <c r="EK363" s="312"/>
      <c r="EL363" s="312"/>
      <c r="EM363" s="312"/>
      <c r="EN363" s="312"/>
      <c r="EO363" s="312"/>
      <c r="EP363" s="312"/>
      <c r="EQ363" s="312"/>
      <c r="ER363" s="312"/>
      <c r="ES363" s="312"/>
      <c r="ET363" s="312"/>
      <c r="EU363" s="312"/>
      <c r="EV363" s="312"/>
      <c r="EW363" s="312"/>
      <c r="EX363" s="312"/>
      <c r="EY363" s="312"/>
      <c r="EZ363" s="312"/>
      <c r="FA363" s="312"/>
      <c r="FB363" s="312"/>
      <c r="FC363" s="312"/>
      <c r="FD363" s="312"/>
      <c r="FE363" s="312"/>
      <c r="FF363" s="312"/>
      <c r="FG363" s="312"/>
      <c r="FH363" s="312"/>
      <c r="FI363" s="312"/>
      <c r="FJ363" s="312"/>
      <c r="FK363" s="312"/>
      <c r="FL363" s="312"/>
      <c r="FM363" s="312"/>
      <c r="FN363" s="312"/>
      <c r="FO363" s="312"/>
      <c r="FP363" s="312"/>
      <c r="FQ363" s="312"/>
      <c r="FR363" s="312"/>
      <c r="FS363" s="312"/>
      <c r="FT363" s="312"/>
      <c r="FU363" s="312"/>
      <c r="FV363" s="312"/>
      <c r="FW363" s="312"/>
      <c r="FX363" s="312"/>
      <c r="FY363" s="312"/>
      <c r="FZ363" s="312"/>
      <c r="GA363" s="312"/>
      <c r="GB363" s="312"/>
      <c r="GC363" s="312"/>
      <c r="GD363" s="312"/>
      <c r="GE363" s="312"/>
      <c r="GF363" s="312"/>
      <c r="GG363" s="312"/>
      <c r="GH363" s="312"/>
      <c r="GI363" s="312"/>
      <c r="GJ363" s="312"/>
      <c r="GK363" s="312"/>
      <c r="GL363" s="312"/>
      <c r="GM363" s="312"/>
      <c r="GN363" s="312"/>
      <c r="GO363" s="312"/>
      <c r="GP363" s="312"/>
      <c r="GQ363" s="312"/>
      <c r="GR363" s="312"/>
      <c r="GS363" s="312"/>
      <c r="GT363" s="312"/>
      <c r="GU363" s="312"/>
      <c r="GV363" s="312"/>
      <c r="GW363" s="312"/>
      <c r="GX363" s="312"/>
      <c r="GY363" s="312"/>
    </row>
    <row r="364" spans="2:207" ht="15.75" x14ac:dyDescent="0.25">
      <c r="B364" s="316">
        <f t="shared" si="96"/>
        <v>334</v>
      </c>
      <c r="C364" s="330">
        <f>'סיכום לוועדה'!B364</f>
        <v>1001348542</v>
      </c>
      <c r="D364" s="330">
        <f>'סיכום לוועדה'!C364</f>
        <v>1001268714</v>
      </c>
      <c r="E364" s="330">
        <f>'סיכום לוועדה'!D364</f>
        <v>40000242</v>
      </c>
      <c r="F364" s="330">
        <f>'סיכום לוועדה'!E364</f>
        <v>20000159</v>
      </c>
      <c r="G364" s="330" t="str">
        <f>'סיכום לוועדה'!F364</f>
        <v>ירושלים</v>
      </c>
      <c r="H364" s="317" t="str">
        <f>'סיכום לוועדה'!G364</f>
        <v>הזירה הבין-תחומית (ע"ר)</v>
      </c>
      <c r="I364" s="318">
        <f>'סיכום לוועדה'!U364</f>
        <v>50000</v>
      </c>
      <c r="J364" s="319">
        <f>'סיכום לוועדה'!T364</f>
        <v>2926.625208375503</v>
      </c>
      <c r="K364" s="320">
        <f t="shared" si="97"/>
        <v>0</v>
      </c>
      <c r="L364" s="319">
        <f t="shared" si="98"/>
        <v>2926.625208375503</v>
      </c>
      <c r="M364" s="331">
        <f>'תחום תמיכה ב'!AF364</f>
        <v>1.1422287553865813E-5</v>
      </c>
      <c r="N364" s="319">
        <f t="shared" si="95"/>
        <v>3121.1983018676628</v>
      </c>
      <c r="O364" s="321">
        <f t="shared" si="99"/>
        <v>0</v>
      </c>
      <c r="P364" s="322">
        <f t="shared" si="100"/>
        <v>3121.1983018676628</v>
      </c>
      <c r="Q364" s="322">
        <f t="shared" si="101"/>
        <v>3122.6194658873987</v>
      </c>
      <c r="R364" s="321">
        <f t="shared" si="102"/>
        <v>0</v>
      </c>
      <c r="S364" s="322">
        <f t="shared" si="103"/>
        <v>3122.6194658873987</v>
      </c>
      <c r="T364" s="322">
        <f t="shared" si="104"/>
        <v>3122.6194658873924</v>
      </c>
      <c r="U364" s="321">
        <f t="shared" si="105"/>
        <v>0</v>
      </c>
      <c r="V364" s="322">
        <f t="shared" si="106"/>
        <v>3122.6194658873924</v>
      </c>
      <c r="W364" s="322">
        <f t="shared" si="107"/>
        <v>3122.6194658873933</v>
      </c>
      <c r="X364" s="321">
        <f t="shared" si="108"/>
        <v>0</v>
      </c>
      <c r="Y364" s="322">
        <f t="shared" si="109"/>
        <v>3122.6194658873933</v>
      </c>
      <c r="Z364" s="322">
        <f t="shared" si="110"/>
        <v>3122.6194658873928</v>
      </c>
      <c r="AA364" s="323">
        <f t="shared" si="111"/>
        <v>3122.6194658873928</v>
      </c>
      <c r="AB364" s="323"/>
      <c r="AC364" s="323"/>
      <c r="AD364" s="323"/>
      <c r="AE364" s="323"/>
      <c r="AF364" s="324">
        <f t="shared" si="112"/>
        <v>1.7882565845926683E-5</v>
      </c>
      <c r="AG364" s="312"/>
      <c r="AH364" s="312"/>
      <c r="AI364" s="325">
        <f t="shared" si="113"/>
        <v>1</v>
      </c>
      <c r="AJ364" s="312"/>
      <c r="AK364" s="312"/>
      <c r="AL364" s="312"/>
      <c r="AM364" s="312"/>
      <c r="AN364" s="312"/>
      <c r="AO364" s="312"/>
      <c r="AP364" s="312"/>
      <c r="AQ364" s="312"/>
      <c r="AR364" s="312"/>
      <c r="AS364" s="312"/>
      <c r="AT364" s="312"/>
      <c r="AU364" s="312"/>
      <c r="AV364" s="312"/>
      <c r="AW364" s="312"/>
      <c r="AX364" s="312"/>
      <c r="AY364" s="312"/>
      <c r="AZ364" s="312"/>
      <c r="BA364" s="312"/>
      <c r="BB364" s="312"/>
      <c r="BC364" s="312"/>
      <c r="BD364" s="312"/>
      <c r="BE364" s="312"/>
      <c r="BF364" s="312"/>
      <c r="BG364" s="312"/>
      <c r="BH364" s="312"/>
      <c r="BI364" s="312"/>
      <c r="BJ364" s="312"/>
      <c r="BK364" s="312"/>
      <c r="BL364" s="312"/>
      <c r="BM364" s="312"/>
      <c r="BN364" s="312"/>
      <c r="BO364" s="312"/>
      <c r="BP364" s="312"/>
      <c r="BQ364" s="312"/>
      <c r="BR364" s="312"/>
      <c r="BS364" s="312"/>
      <c r="BT364" s="312"/>
      <c r="BU364" s="312"/>
      <c r="BV364" s="312"/>
      <c r="BW364" s="312"/>
      <c r="BX364" s="312"/>
      <c r="BY364" s="312"/>
      <c r="BZ364" s="312"/>
      <c r="CA364" s="312"/>
      <c r="CB364" s="312"/>
      <c r="CC364" s="312"/>
      <c r="CD364" s="312"/>
      <c r="CE364" s="312"/>
      <c r="CF364" s="312"/>
      <c r="CG364" s="312"/>
      <c r="CH364" s="312"/>
      <c r="CI364" s="312"/>
      <c r="CJ364" s="312"/>
      <c r="CK364" s="312"/>
      <c r="CL364" s="312"/>
      <c r="CM364" s="312"/>
      <c r="CN364" s="312"/>
      <c r="CO364" s="312"/>
      <c r="CP364" s="312"/>
      <c r="CQ364" s="312"/>
      <c r="CR364" s="312"/>
      <c r="CS364" s="312"/>
      <c r="CT364" s="312"/>
      <c r="CU364" s="312"/>
      <c r="CV364" s="312"/>
      <c r="CW364" s="312"/>
      <c r="CX364" s="312"/>
      <c r="CY364" s="312"/>
      <c r="CZ364" s="312"/>
      <c r="DA364" s="312"/>
      <c r="DB364" s="312"/>
      <c r="DC364" s="312"/>
      <c r="DD364" s="312"/>
      <c r="DE364" s="312"/>
      <c r="DF364" s="312"/>
      <c r="DG364" s="312"/>
      <c r="DH364" s="312"/>
      <c r="DI364" s="312"/>
      <c r="DJ364" s="312"/>
      <c r="DK364" s="312"/>
      <c r="DL364" s="312"/>
      <c r="DM364" s="312"/>
      <c r="DN364" s="312"/>
      <c r="DO364" s="312"/>
      <c r="DP364" s="312"/>
      <c r="DQ364" s="312"/>
      <c r="DR364" s="312"/>
      <c r="DS364" s="312"/>
      <c r="DT364" s="312"/>
      <c r="DU364" s="312"/>
      <c r="DV364" s="312"/>
      <c r="DW364" s="312"/>
      <c r="DX364" s="312"/>
      <c r="DY364" s="312"/>
      <c r="DZ364" s="312"/>
      <c r="EA364" s="312"/>
      <c r="EB364" s="312"/>
      <c r="EC364" s="312"/>
      <c r="ED364" s="312"/>
      <c r="EE364" s="312"/>
      <c r="EF364" s="312"/>
      <c r="EG364" s="312"/>
      <c r="EH364" s="312"/>
      <c r="EI364" s="312"/>
      <c r="EJ364" s="312"/>
      <c r="EK364" s="312"/>
      <c r="EL364" s="312"/>
      <c r="EM364" s="312"/>
      <c r="EN364" s="312"/>
      <c r="EO364" s="312"/>
      <c r="EP364" s="312"/>
      <c r="EQ364" s="312"/>
      <c r="ER364" s="312"/>
      <c r="ES364" s="312"/>
      <c r="ET364" s="312"/>
      <c r="EU364" s="312"/>
      <c r="EV364" s="312"/>
      <c r="EW364" s="312"/>
      <c r="EX364" s="312"/>
      <c r="EY364" s="312"/>
      <c r="EZ364" s="312"/>
      <c r="FA364" s="312"/>
      <c r="FB364" s="312"/>
      <c r="FC364" s="312"/>
      <c r="FD364" s="312"/>
      <c r="FE364" s="312"/>
      <c r="FF364" s="312"/>
      <c r="FG364" s="312"/>
      <c r="FH364" s="312"/>
      <c r="FI364" s="312"/>
      <c r="FJ364" s="312"/>
      <c r="FK364" s="312"/>
      <c r="FL364" s="312"/>
      <c r="FM364" s="312"/>
      <c r="FN364" s="312"/>
      <c r="FO364" s="312"/>
      <c r="FP364" s="312"/>
      <c r="FQ364" s="312"/>
      <c r="FR364" s="312"/>
      <c r="FS364" s="312"/>
      <c r="FT364" s="312"/>
      <c r="FU364" s="312"/>
      <c r="FV364" s="312"/>
      <c r="FW364" s="312"/>
      <c r="FX364" s="312"/>
      <c r="FY364" s="312"/>
      <c r="FZ364" s="312"/>
      <c r="GA364" s="312"/>
      <c r="GB364" s="312"/>
      <c r="GC364" s="312"/>
      <c r="GD364" s="312"/>
      <c r="GE364" s="312"/>
      <c r="GF364" s="312"/>
      <c r="GG364" s="312"/>
      <c r="GH364" s="312"/>
      <c r="GI364" s="312"/>
      <c r="GJ364" s="312"/>
      <c r="GK364" s="312"/>
      <c r="GL364" s="312"/>
      <c r="GM364" s="312"/>
      <c r="GN364" s="312"/>
      <c r="GO364" s="312"/>
      <c r="GP364" s="312"/>
      <c r="GQ364" s="312"/>
      <c r="GR364" s="312"/>
      <c r="GS364" s="312"/>
      <c r="GT364" s="312"/>
      <c r="GU364" s="312"/>
      <c r="GV364" s="312"/>
      <c r="GW364" s="312"/>
      <c r="GX364" s="312"/>
      <c r="GY364" s="312"/>
    </row>
    <row r="365" spans="2:207" ht="15.75" x14ac:dyDescent="0.25">
      <c r="B365" s="316" t="str">
        <f t="shared" si="96"/>
        <v/>
      </c>
      <c r="C365" s="330" t="str">
        <f>'סיכום לוועדה'!B365</f>
        <v/>
      </c>
      <c r="D365" s="330" t="str">
        <f>'סיכום לוועדה'!C365</f>
        <v/>
      </c>
      <c r="E365" s="330" t="str">
        <f>'סיכום לוועדה'!D365</f>
        <v/>
      </c>
      <c r="F365" s="330" t="str">
        <f>'סיכום לוועדה'!E365</f>
        <v/>
      </c>
      <c r="G365" s="330" t="str">
        <f>'סיכום לוועדה'!F365</f>
        <v/>
      </c>
      <c r="H365" s="317" t="str">
        <f>'סיכום לוועדה'!G365</f>
        <v/>
      </c>
      <c r="I365" s="318" t="str">
        <f>'סיכום לוועדה'!U365</f>
        <v/>
      </c>
      <c r="J365" s="319" t="str">
        <f>'סיכום לוועדה'!T365</f>
        <v/>
      </c>
      <c r="K365" s="320" t="str">
        <f t="shared" si="97"/>
        <v/>
      </c>
      <c r="L365" s="319" t="str">
        <f t="shared" si="98"/>
        <v/>
      </c>
      <c r="M365" s="331" t="str">
        <f>'תחום תמיכה ב'!AF365</f>
        <v/>
      </c>
      <c r="N365" s="319" t="str">
        <f t="shared" si="95"/>
        <v/>
      </c>
      <c r="O365" s="321">
        <f t="shared" si="99"/>
        <v>0</v>
      </c>
      <c r="P365" s="322" t="str">
        <f t="shared" si="100"/>
        <v/>
      </c>
      <c r="Q365" s="322" t="str">
        <f t="shared" si="101"/>
        <v/>
      </c>
      <c r="R365" s="321">
        <f t="shared" si="102"/>
        <v>0</v>
      </c>
      <c r="S365" s="322" t="str">
        <f t="shared" si="103"/>
        <v/>
      </c>
      <c r="T365" s="322" t="str">
        <f t="shared" si="104"/>
        <v/>
      </c>
      <c r="U365" s="321">
        <f t="shared" si="105"/>
        <v>0</v>
      </c>
      <c r="V365" s="322" t="str">
        <f t="shared" si="106"/>
        <v/>
      </c>
      <c r="W365" s="322" t="str">
        <f t="shared" si="107"/>
        <v/>
      </c>
      <c r="X365" s="321">
        <f t="shared" si="108"/>
        <v>0</v>
      </c>
      <c r="Y365" s="322" t="str">
        <f t="shared" si="109"/>
        <v/>
      </c>
      <c r="Z365" s="322" t="str">
        <f t="shared" si="110"/>
        <v/>
      </c>
      <c r="AA365" s="323" t="str">
        <f t="shared" si="111"/>
        <v/>
      </c>
      <c r="AB365" s="323"/>
      <c r="AC365" s="323"/>
      <c r="AD365" s="323"/>
      <c r="AE365" s="323"/>
      <c r="AF365" s="324" t="str">
        <f t="shared" si="112"/>
        <v/>
      </c>
      <c r="AG365" s="312"/>
      <c r="AH365" s="312"/>
      <c r="AI365" s="325">
        <f t="shared" si="113"/>
        <v>0</v>
      </c>
      <c r="AJ365" s="312"/>
      <c r="AK365" s="312"/>
      <c r="AL365" s="312"/>
      <c r="AM365" s="312"/>
      <c r="AN365" s="312"/>
      <c r="AO365" s="312"/>
      <c r="AP365" s="312"/>
      <c r="AQ365" s="312"/>
      <c r="AR365" s="312"/>
      <c r="AS365" s="312"/>
      <c r="AT365" s="312"/>
      <c r="AU365" s="312"/>
      <c r="AV365" s="312"/>
      <c r="AW365" s="312"/>
      <c r="AX365" s="312"/>
      <c r="AY365" s="312"/>
      <c r="AZ365" s="312"/>
      <c r="BA365" s="312"/>
      <c r="BB365" s="312"/>
      <c r="BC365" s="312"/>
      <c r="BD365" s="312"/>
      <c r="BE365" s="312"/>
      <c r="BF365" s="312"/>
      <c r="BG365" s="312"/>
      <c r="BH365" s="312"/>
      <c r="BI365" s="312"/>
      <c r="BJ365" s="312"/>
      <c r="BK365" s="312"/>
      <c r="BL365" s="312"/>
      <c r="BM365" s="312"/>
      <c r="BN365" s="312"/>
      <c r="BO365" s="312"/>
      <c r="BP365" s="312"/>
      <c r="BQ365" s="312"/>
      <c r="BR365" s="312"/>
      <c r="BS365" s="312"/>
      <c r="BT365" s="312"/>
      <c r="BU365" s="312"/>
      <c r="BV365" s="312"/>
      <c r="BW365" s="312"/>
      <c r="BX365" s="312"/>
      <c r="BY365" s="312"/>
      <c r="BZ365" s="312"/>
      <c r="CA365" s="312"/>
      <c r="CB365" s="312"/>
      <c r="CC365" s="312"/>
      <c r="CD365" s="312"/>
      <c r="CE365" s="312"/>
      <c r="CF365" s="312"/>
      <c r="CG365" s="312"/>
      <c r="CH365" s="312"/>
      <c r="CI365" s="312"/>
      <c r="CJ365" s="312"/>
      <c r="CK365" s="312"/>
      <c r="CL365" s="312"/>
      <c r="CM365" s="312"/>
      <c r="CN365" s="312"/>
      <c r="CO365" s="312"/>
      <c r="CP365" s="312"/>
      <c r="CQ365" s="312"/>
      <c r="CR365" s="312"/>
      <c r="CS365" s="312"/>
      <c r="CT365" s="312"/>
      <c r="CU365" s="312"/>
      <c r="CV365" s="312"/>
      <c r="CW365" s="312"/>
      <c r="CX365" s="312"/>
      <c r="CY365" s="312"/>
      <c r="CZ365" s="312"/>
      <c r="DA365" s="312"/>
      <c r="DB365" s="312"/>
      <c r="DC365" s="312"/>
      <c r="DD365" s="312"/>
      <c r="DE365" s="312"/>
      <c r="DF365" s="312"/>
      <c r="DG365" s="312"/>
      <c r="DH365" s="312"/>
      <c r="DI365" s="312"/>
      <c r="DJ365" s="312"/>
      <c r="DK365" s="312"/>
      <c r="DL365" s="312"/>
      <c r="DM365" s="312"/>
      <c r="DN365" s="312"/>
      <c r="DO365" s="312"/>
      <c r="DP365" s="312"/>
      <c r="DQ365" s="312"/>
      <c r="DR365" s="312"/>
      <c r="DS365" s="312"/>
      <c r="DT365" s="312"/>
      <c r="DU365" s="312"/>
      <c r="DV365" s="312"/>
      <c r="DW365" s="312"/>
      <c r="DX365" s="312"/>
      <c r="DY365" s="312"/>
      <c r="DZ365" s="312"/>
      <c r="EA365" s="312"/>
      <c r="EB365" s="312"/>
      <c r="EC365" s="312"/>
      <c r="ED365" s="312"/>
      <c r="EE365" s="312"/>
      <c r="EF365" s="312"/>
      <c r="EG365" s="312"/>
      <c r="EH365" s="312"/>
      <c r="EI365" s="312"/>
      <c r="EJ365" s="312"/>
      <c r="EK365" s="312"/>
      <c r="EL365" s="312"/>
      <c r="EM365" s="312"/>
      <c r="EN365" s="312"/>
      <c r="EO365" s="312"/>
      <c r="EP365" s="312"/>
      <c r="EQ365" s="312"/>
      <c r="ER365" s="312"/>
      <c r="ES365" s="312"/>
      <c r="ET365" s="312"/>
      <c r="EU365" s="312"/>
      <c r="EV365" s="312"/>
      <c r="EW365" s="312"/>
      <c r="EX365" s="312"/>
      <c r="EY365" s="312"/>
      <c r="EZ365" s="312"/>
      <c r="FA365" s="312"/>
      <c r="FB365" s="312"/>
      <c r="FC365" s="312"/>
      <c r="FD365" s="312"/>
      <c r="FE365" s="312"/>
      <c r="FF365" s="312"/>
      <c r="FG365" s="312"/>
      <c r="FH365" s="312"/>
      <c r="FI365" s="312"/>
      <c r="FJ365" s="312"/>
      <c r="FK365" s="312"/>
      <c r="FL365" s="312"/>
      <c r="FM365" s="312"/>
      <c r="FN365" s="312"/>
      <c r="FO365" s="312"/>
      <c r="FP365" s="312"/>
      <c r="FQ365" s="312"/>
      <c r="FR365" s="312"/>
      <c r="FS365" s="312"/>
      <c r="FT365" s="312"/>
      <c r="FU365" s="312"/>
      <c r="FV365" s="312"/>
      <c r="FW365" s="312"/>
      <c r="FX365" s="312"/>
      <c r="FY365" s="312"/>
      <c r="FZ365" s="312"/>
      <c r="GA365" s="312"/>
      <c r="GB365" s="312"/>
      <c r="GC365" s="312"/>
      <c r="GD365" s="312"/>
      <c r="GE365" s="312"/>
      <c r="GF365" s="312"/>
      <c r="GG365" s="312"/>
      <c r="GH365" s="312"/>
      <c r="GI365" s="312"/>
      <c r="GJ365" s="312"/>
      <c r="GK365" s="312"/>
      <c r="GL365" s="312"/>
      <c r="GM365" s="312"/>
      <c r="GN365" s="312"/>
      <c r="GO365" s="312"/>
      <c r="GP365" s="312"/>
      <c r="GQ365" s="312"/>
      <c r="GR365" s="312"/>
      <c r="GS365" s="312"/>
      <c r="GT365" s="312"/>
      <c r="GU365" s="312"/>
      <c r="GV365" s="312"/>
      <c r="GW365" s="312"/>
      <c r="GX365" s="312"/>
      <c r="GY365" s="312"/>
    </row>
    <row r="366" spans="2:207" ht="15.75" x14ac:dyDescent="0.25">
      <c r="B366" s="316" t="str">
        <f t="shared" si="96"/>
        <v/>
      </c>
      <c r="C366" s="330" t="str">
        <f>'סיכום לוועדה'!B366</f>
        <v/>
      </c>
      <c r="D366" s="330" t="str">
        <f>'סיכום לוועדה'!C366</f>
        <v/>
      </c>
      <c r="E366" s="330" t="str">
        <f>'סיכום לוועדה'!D366</f>
        <v/>
      </c>
      <c r="F366" s="330" t="str">
        <f>'סיכום לוועדה'!E366</f>
        <v/>
      </c>
      <c r="G366" s="330" t="str">
        <f>'סיכום לוועדה'!F366</f>
        <v/>
      </c>
      <c r="H366" s="317" t="str">
        <f>'סיכום לוועדה'!G366</f>
        <v/>
      </c>
      <c r="I366" s="318" t="str">
        <f>'סיכום לוועדה'!U366</f>
        <v/>
      </c>
      <c r="J366" s="319" t="str">
        <f>'סיכום לוועדה'!T366</f>
        <v/>
      </c>
      <c r="K366" s="320" t="str">
        <f t="shared" si="97"/>
        <v/>
      </c>
      <c r="L366" s="319" t="str">
        <f t="shared" si="98"/>
        <v/>
      </c>
      <c r="M366" s="331" t="str">
        <f>'תחום תמיכה ב'!AF366</f>
        <v/>
      </c>
      <c r="N366" s="319" t="str">
        <f t="shared" si="95"/>
        <v/>
      </c>
      <c r="O366" s="321">
        <f t="shared" si="99"/>
        <v>0</v>
      </c>
      <c r="P366" s="322" t="str">
        <f t="shared" si="100"/>
        <v/>
      </c>
      <c r="Q366" s="322" t="str">
        <f t="shared" si="101"/>
        <v/>
      </c>
      <c r="R366" s="321">
        <f t="shared" si="102"/>
        <v>0</v>
      </c>
      <c r="S366" s="322" t="str">
        <f t="shared" si="103"/>
        <v/>
      </c>
      <c r="T366" s="322" t="str">
        <f t="shared" si="104"/>
        <v/>
      </c>
      <c r="U366" s="321">
        <f t="shared" si="105"/>
        <v>0</v>
      </c>
      <c r="V366" s="322" t="str">
        <f t="shared" si="106"/>
        <v/>
      </c>
      <c r="W366" s="322" t="str">
        <f t="shared" si="107"/>
        <v/>
      </c>
      <c r="X366" s="321">
        <f t="shared" si="108"/>
        <v>0</v>
      </c>
      <c r="Y366" s="322" t="str">
        <f t="shared" si="109"/>
        <v/>
      </c>
      <c r="Z366" s="322" t="str">
        <f t="shared" si="110"/>
        <v/>
      </c>
      <c r="AA366" s="323" t="str">
        <f t="shared" si="111"/>
        <v/>
      </c>
      <c r="AB366" s="323"/>
      <c r="AC366" s="323"/>
      <c r="AD366" s="323"/>
      <c r="AE366" s="323"/>
      <c r="AF366" s="324" t="str">
        <f t="shared" si="112"/>
        <v/>
      </c>
      <c r="AG366" s="312"/>
      <c r="AH366" s="312"/>
      <c r="AI366" s="325">
        <f t="shared" si="113"/>
        <v>0</v>
      </c>
      <c r="AJ366" s="312"/>
      <c r="AK366" s="312"/>
      <c r="AL366" s="312"/>
      <c r="AM366" s="312"/>
      <c r="AN366" s="312"/>
      <c r="AO366" s="312"/>
      <c r="AP366" s="312"/>
      <c r="AQ366" s="312"/>
      <c r="AR366" s="312"/>
      <c r="AS366" s="312"/>
      <c r="AT366" s="312"/>
      <c r="AU366" s="312"/>
      <c r="AV366" s="312"/>
      <c r="AW366" s="312"/>
      <c r="AX366" s="312"/>
      <c r="AY366" s="312"/>
      <c r="AZ366" s="312"/>
      <c r="BA366" s="312"/>
      <c r="BB366" s="312"/>
      <c r="BC366" s="312"/>
      <c r="BD366" s="312"/>
      <c r="BE366" s="312"/>
      <c r="BF366" s="312"/>
      <c r="BG366" s="312"/>
      <c r="BH366" s="312"/>
      <c r="BI366" s="312"/>
      <c r="BJ366" s="312"/>
      <c r="BK366" s="312"/>
      <c r="BL366" s="312"/>
      <c r="BM366" s="312"/>
      <c r="BN366" s="312"/>
      <c r="BO366" s="312"/>
      <c r="BP366" s="312"/>
      <c r="BQ366" s="312"/>
      <c r="BR366" s="312"/>
      <c r="BS366" s="312"/>
      <c r="BT366" s="312"/>
      <c r="BU366" s="312"/>
      <c r="BV366" s="312"/>
      <c r="BW366" s="312"/>
      <c r="BX366" s="312"/>
      <c r="BY366" s="312"/>
      <c r="BZ366" s="312"/>
      <c r="CA366" s="312"/>
      <c r="CB366" s="312"/>
      <c r="CC366" s="312"/>
      <c r="CD366" s="312"/>
      <c r="CE366" s="312"/>
      <c r="CF366" s="312"/>
      <c r="CG366" s="312"/>
      <c r="CH366" s="312"/>
      <c r="CI366" s="312"/>
      <c r="CJ366" s="312"/>
      <c r="CK366" s="312"/>
      <c r="CL366" s="312"/>
      <c r="CM366" s="312"/>
      <c r="CN366" s="312"/>
      <c r="CO366" s="312"/>
      <c r="CP366" s="312"/>
      <c r="CQ366" s="312"/>
      <c r="CR366" s="312"/>
      <c r="CS366" s="312"/>
      <c r="CT366" s="312"/>
      <c r="CU366" s="312"/>
      <c r="CV366" s="312"/>
      <c r="CW366" s="312"/>
      <c r="CX366" s="312"/>
      <c r="CY366" s="312"/>
      <c r="CZ366" s="312"/>
      <c r="DA366" s="312"/>
      <c r="DB366" s="312"/>
      <c r="DC366" s="312"/>
      <c r="DD366" s="312"/>
      <c r="DE366" s="312"/>
      <c r="DF366" s="312"/>
      <c r="DG366" s="312"/>
      <c r="DH366" s="312"/>
      <c r="DI366" s="312"/>
      <c r="DJ366" s="312"/>
      <c r="DK366" s="312"/>
      <c r="DL366" s="312"/>
      <c r="DM366" s="312"/>
      <c r="DN366" s="312"/>
      <c r="DO366" s="312"/>
      <c r="DP366" s="312"/>
      <c r="DQ366" s="312"/>
      <c r="DR366" s="312"/>
      <c r="DS366" s="312"/>
      <c r="DT366" s="312"/>
      <c r="DU366" s="312"/>
      <c r="DV366" s="312"/>
      <c r="DW366" s="312"/>
      <c r="DX366" s="312"/>
      <c r="DY366" s="312"/>
      <c r="DZ366" s="312"/>
      <c r="EA366" s="312"/>
      <c r="EB366" s="312"/>
      <c r="EC366" s="312"/>
      <c r="ED366" s="312"/>
      <c r="EE366" s="312"/>
      <c r="EF366" s="312"/>
      <c r="EG366" s="312"/>
      <c r="EH366" s="312"/>
      <c r="EI366" s="312"/>
      <c r="EJ366" s="312"/>
      <c r="EK366" s="312"/>
      <c r="EL366" s="312"/>
      <c r="EM366" s="312"/>
      <c r="EN366" s="312"/>
      <c r="EO366" s="312"/>
      <c r="EP366" s="312"/>
      <c r="EQ366" s="312"/>
      <c r="ER366" s="312"/>
      <c r="ES366" s="312"/>
      <c r="ET366" s="312"/>
      <c r="EU366" s="312"/>
      <c r="EV366" s="312"/>
      <c r="EW366" s="312"/>
      <c r="EX366" s="312"/>
      <c r="EY366" s="312"/>
      <c r="EZ366" s="312"/>
      <c r="FA366" s="312"/>
      <c r="FB366" s="312"/>
      <c r="FC366" s="312"/>
      <c r="FD366" s="312"/>
      <c r="FE366" s="312"/>
      <c r="FF366" s="312"/>
      <c r="FG366" s="312"/>
      <c r="FH366" s="312"/>
      <c r="FI366" s="312"/>
      <c r="FJ366" s="312"/>
      <c r="FK366" s="312"/>
      <c r="FL366" s="312"/>
      <c r="FM366" s="312"/>
      <c r="FN366" s="312"/>
      <c r="FO366" s="312"/>
      <c r="FP366" s="312"/>
      <c r="FQ366" s="312"/>
      <c r="FR366" s="312"/>
      <c r="FS366" s="312"/>
      <c r="FT366" s="312"/>
      <c r="FU366" s="312"/>
      <c r="FV366" s="312"/>
      <c r="FW366" s="312"/>
      <c r="FX366" s="312"/>
      <c r="FY366" s="312"/>
      <c r="FZ366" s="312"/>
      <c r="GA366" s="312"/>
      <c r="GB366" s="312"/>
      <c r="GC366" s="312"/>
      <c r="GD366" s="312"/>
      <c r="GE366" s="312"/>
      <c r="GF366" s="312"/>
      <c r="GG366" s="312"/>
      <c r="GH366" s="312"/>
      <c r="GI366" s="312"/>
      <c r="GJ366" s="312"/>
      <c r="GK366" s="312"/>
      <c r="GL366" s="312"/>
      <c r="GM366" s="312"/>
      <c r="GN366" s="312"/>
      <c r="GO366" s="312"/>
      <c r="GP366" s="312"/>
      <c r="GQ366" s="312"/>
      <c r="GR366" s="312"/>
      <c r="GS366" s="312"/>
      <c r="GT366" s="312"/>
      <c r="GU366" s="312"/>
      <c r="GV366" s="312"/>
      <c r="GW366" s="312"/>
      <c r="GX366" s="312"/>
      <c r="GY366" s="312"/>
    </row>
    <row r="367" spans="2:207" ht="15.75" x14ac:dyDescent="0.25">
      <c r="B367" s="316">
        <f t="shared" si="96"/>
        <v>337</v>
      </c>
      <c r="C367" s="330">
        <f>'סיכום לוועדה'!B367</f>
        <v>1001349557</v>
      </c>
      <c r="D367" s="330">
        <f>'סיכום לוועדה'!C367</f>
        <v>1001262290</v>
      </c>
      <c r="E367" s="330">
        <f>'סיכום לוועדה'!D367</f>
        <v>41099000</v>
      </c>
      <c r="F367" s="330">
        <f>'סיכום לוועדה'!E367</f>
        <v>20000159</v>
      </c>
      <c r="G367" s="330" t="str">
        <f>'סיכום לוועדה'!F367</f>
        <v>ירושלים</v>
      </c>
      <c r="H367" s="317" t="str">
        <f>'סיכום לוועדה'!G367</f>
        <v>בר-קיימא לתרבות, אמנות, מוסיקה ושלו</v>
      </c>
      <c r="I367" s="318">
        <f>'סיכום לוועדה'!U367</f>
        <v>463494</v>
      </c>
      <c r="J367" s="319">
        <f>'סיכום לוועדה'!T367</f>
        <v>45374.398001351801</v>
      </c>
      <c r="K367" s="320">
        <f t="shared" si="97"/>
        <v>0</v>
      </c>
      <c r="L367" s="319">
        <f t="shared" si="98"/>
        <v>45374.398001351801</v>
      </c>
      <c r="M367" s="331">
        <f>'תחום תמיכה ב'!AF367</f>
        <v>2.501194647792873E-4</v>
      </c>
      <c r="N367" s="319">
        <f t="shared" si="95"/>
        <v>49635.061005606003</v>
      </c>
      <c r="O367" s="321">
        <f t="shared" si="99"/>
        <v>0</v>
      </c>
      <c r="P367" s="322">
        <f t="shared" si="100"/>
        <v>49635.061005606003</v>
      </c>
      <c r="Q367" s="322">
        <f t="shared" si="101"/>
        <v>49657.661159776399</v>
      </c>
      <c r="R367" s="321">
        <f t="shared" si="102"/>
        <v>0</v>
      </c>
      <c r="S367" s="322">
        <f t="shared" si="103"/>
        <v>49657.661159776399</v>
      </c>
      <c r="T367" s="322">
        <f t="shared" si="104"/>
        <v>49657.661159776297</v>
      </c>
      <c r="U367" s="321">
        <f t="shared" si="105"/>
        <v>0</v>
      </c>
      <c r="V367" s="322">
        <f t="shared" si="106"/>
        <v>49657.661159776297</v>
      </c>
      <c r="W367" s="322">
        <f t="shared" si="107"/>
        <v>49657.661159776319</v>
      </c>
      <c r="X367" s="321">
        <f t="shared" si="108"/>
        <v>0</v>
      </c>
      <c r="Y367" s="322">
        <f t="shared" si="109"/>
        <v>49657.661159776319</v>
      </c>
      <c r="Z367" s="322">
        <f t="shared" si="110"/>
        <v>49657.661159776304</v>
      </c>
      <c r="AA367" s="323">
        <f t="shared" si="111"/>
        <v>49657.661159776304</v>
      </c>
      <c r="AB367" s="323"/>
      <c r="AC367" s="323"/>
      <c r="AD367" s="323"/>
      <c r="AE367" s="323"/>
      <c r="AF367" s="324">
        <f t="shared" si="112"/>
        <v>2.8437867794821428E-4</v>
      </c>
      <c r="AG367" s="312"/>
      <c r="AH367" s="312"/>
      <c r="AI367" s="325">
        <f t="shared" si="113"/>
        <v>1</v>
      </c>
      <c r="AJ367" s="312"/>
      <c r="AK367" s="312"/>
      <c r="AL367" s="312"/>
      <c r="AM367" s="312"/>
      <c r="AN367" s="312"/>
      <c r="AO367" s="312"/>
      <c r="AP367" s="312"/>
      <c r="AQ367" s="312"/>
      <c r="AR367" s="312"/>
      <c r="AS367" s="312"/>
      <c r="AT367" s="312"/>
      <c r="AU367" s="312"/>
      <c r="AV367" s="312"/>
      <c r="AW367" s="312"/>
      <c r="AX367" s="312"/>
      <c r="AY367" s="312"/>
      <c r="AZ367" s="312"/>
      <c r="BA367" s="312"/>
      <c r="BB367" s="312"/>
      <c r="BC367" s="312"/>
      <c r="BD367" s="312"/>
      <c r="BE367" s="312"/>
      <c r="BF367" s="312"/>
      <c r="BG367" s="312"/>
      <c r="BH367" s="312"/>
      <c r="BI367" s="312"/>
      <c r="BJ367" s="312"/>
      <c r="BK367" s="312"/>
      <c r="BL367" s="312"/>
      <c r="BM367" s="312"/>
      <c r="BN367" s="312"/>
      <c r="BO367" s="312"/>
      <c r="BP367" s="312"/>
      <c r="BQ367" s="312"/>
      <c r="BR367" s="312"/>
      <c r="BS367" s="312"/>
      <c r="BT367" s="312"/>
      <c r="BU367" s="312"/>
      <c r="BV367" s="312"/>
      <c r="BW367" s="312"/>
      <c r="BX367" s="312"/>
      <c r="BY367" s="312"/>
      <c r="BZ367" s="312"/>
      <c r="CA367" s="312"/>
      <c r="CB367" s="312"/>
      <c r="CC367" s="312"/>
      <c r="CD367" s="312"/>
      <c r="CE367" s="312"/>
      <c r="CF367" s="312"/>
      <c r="CG367" s="312"/>
      <c r="CH367" s="312"/>
      <c r="CI367" s="312"/>
      <c r="CJ367" s="312"/>
      <c r="CK367" s="312"/>
      <c r="CL367" s="312"/>
      <c r="CM367" s="312"/>
      <c r="CN367" s="312"/>
      <c r="CO367" s="312"/>
      <c r="CP367" s="312"/>
      <c r="CQ367" s="312"/>
      <c r="CR367" s="312"/>
      <c r="CS367" s="312"/>
      <c r="CT367" s="312"/>
      <c r="CU367" s="312"/>
      <c r="CV367" s="312"/>
      <c r="CW367" s="312"/>
      <c r="CX367" s="312"/>
      <c r="CY367" s="312"/>
      <c r="CZ367" s="312"/>
      <c r="DA367" s="312"/>
      <c r="DB367" s="312"/>
      <c r="DC367" s="312"/>
      <c r="DD367" s="312"/>
      <c r="DE367" s="312"/>
      <c r="DF367" s="312"/>
      <c r="DG367" s="312"/>
      <c r="DH367" s="312"/>
      <c r="DI367" s="312"/>
      <c r="DJ367" s="312"/>
      <c r="DK367" s="312"/>
      <c r="DL367" s="312"/>
      <c r="DM367" s="312"/>
      <c r="DN367" s="312"/>
      <c r="DO367" s="312"/>
      <c r="DP367" s="312"/>
      <c r="DQ367" s="312"/>
      <c r="DR367" s="312"/>
      <c r="DS367" s="312"/>
      <c r="DT367" s="312"/>
      <c r="DU367" s="312"/>
      <c r="DV367" s="312"/>
      <c r="DW367" s="312"/>
      <c r="DX367" s="312"/>
      <c r="DY367" s="312"/>
      <c r="DZ367" s="312"/>
      <c r="EA367" s="312"/>
      <c r="EB367" s="312"/>
      <c r="EC367" s="312"/>
      <c r="ED367" s="312"/>
      <c r="EE367" s="312"/>
      <c r="EF367" s="312"/>
      <c r="EG367" s="312"/>
      <c r="EH367" s="312"/>
      <c r="EI367" s="312"/>
      <c r="EJ367" s="312"/>
      <c r="EK367" s="312"/>
      <c r="EL367" s="312"/>
      <c r="EM367" s="312"/>
      <c r="EN367" s="312"/>
      <c r="EO367" s="312"/>
      <c r="EP367" s="312"/>
      <c r="EQ367" s="312"/>
      <c r="ER367" s="312"/>
      <c r="ES367" s="312"/>
      <c r="ET367" s="312"/>
      <c r="EU367" s="312"/>
      <c r="EV367" s="312"/>
      <c r="EW367" s="312"/>
      <c r="EX367" s="312"/>
      <c r="EY367" s="312"/>
      <c r="EZ367" s="312"/>
      <c r="FA367" s="312"/>
      <c r="FB367" s="312"/>
      <c r="FC367" s="312"/>
      <c r="FD367" s="312"/>
      <c r="FE367" s="312"/>
      <c r="FF367" s="312"/>
      <c r="FG367" s="312"/>
      <c r="FH367" s="312"/>
      <c r="FI367" s="312"/>
      <c r="FJ367" s="312"/>
      <c r="FK367" s="312"/>
      <c r="FL367" s="312"/>
      <c r="FM367" s="312"/>
      <c r="FN367" s="312"/>
      <c r="FO367" s="312"/>
      <c r="FP367" s="312"/>
      <c r="FQ367" s="312"/>
      <c r="FR367" s="312"/>
      <c r="FS367" s="312"/>
      <c r="FT367" s="312"/>
      <c r="FU367" s="312"/>
      <c r="FV367" s="312"/>
      <c r="FW367" s="312"/>
      <c r="FX367" s="312"/>
      <c r="FY367" s="312"/>
      <c r="FZ367" s="312"/>
      <c r="GA367" s="312"/>
      <c r="GB367" s="312"/>
      <c r="GC367" s="312"/>
      <c r="GD367" s="312"/>
      <c r="GE367" s="312"/>
      <c r="GF367" s="312"/>
      <c r="GG367" s="312"/>
      <c r="GH367" s="312"/>
      <c r="GI367" s="312"/>
      <c r="GJ367" s="312"/>
      <c r="GK367" s="312"/>
      <c r="GL367" s="312"/>
      <c r="GM367" s="312"/>
      <c r="GN367" s="312"/>
      <c r="GO367" s="312"/>
      <c r="GP367" s="312"/>
      <c r="GQ367" s="312"/>
      <c r="GR367" s="312"/>
      <c r="GS367" s="312"/>
      <c r="GT367" s="312"/>
      <c r="GU367" s="312"/>
      <c r="GV367" s="312"/>
      <c r="GW367" s="312"/>
      <c r="GX367" s="312"/>
      <c r="GY367" s="312"/>
    </row>
    <row r="368" spans="2:207" ht="15.75" x14ac:dyDescent="0.25">
      <c r="B368" s="316">
        <f t="shared" si="96"/>
        <v>338</v>
      </c>
      <c r="C368" s="330">
        <f>'סיכום לוועדה'!B368</f>
        <v>1001349558</v>
      </c>
      <c r="D368" s="330">
        <f>'סיכום לוועדה'!C368</f>
        <v>1001262294</v>
      </c>
      <c r="E368" s="330">
        <f>'סיכום לוועדה'!D368</f>
        <v>41099000</v>
      </c>
      <c r="F368" s="330">
        <f>'סיכום לוועדה'!E368</f>
        <v>20000159</v>
      </c>
      <c r="G368" s="330" t="str">
        <f>'סיכום לוועדה'!F368</f>
        <v>ירושלים</v>
      </c>
      <c r="H368" s="317" t="str">
        <f>'סיכום לוועדה'!G368</f>
        <v>בר-קיימא לתרבות, אמנות, מוסיקה ושלו</v>
      </c>
      <c r="I368" s="318">
        <f>'סיכום לוועדה'!U368</f>
        <v>356384</v>
      </c>
      <c r="J368" s="319">
        <f>'סיכום לוועדה'!T368</f>
        <v>39885.323981905734</v>
      </c>
      <c r="K368" s="320">
        <f t="shared" si="97"/>
        <v>0</v>
      </c>
      <c r="L368" s="319">
        <f t="shared" si="98"/>
        <v>39885.323981905734</v>
      </c>
      <c r="M368" s="331">
        <f>'תחום תמיכה ב'!AF368</f>
        <v>2.5146739667829092E-4</v>
      </c>
      <c r="N368" s="319">
        <f t="shared" si="95"/>
        <v>44168.948348161117</v>
      </c>
      <c r="O368" s="321">
        <f t="shared" si="99"/>
        <v>0</v>
      </c>
      <c r="P368" s="322">
        <f t="shared" si="100"/>
        <v>44168.948348161117</v>
      </c>
      <c r="Q368" s="322">
        <f t="shared" si="101"/>
        <v>44189.059636874947</v>
      </c>
      <c r="R368" s="321">
        <f t="shared" si="102"/>
        <v>0</v>
      </c>
      <c r="S368" s="322">
        <f t="shared" si="103"/>
        <v>44189.059636874947</v>
      </c>
      <c r="T368" s="322">
        <f t="shared" si="104"/>
        <v>44189.059636874859</v>
      </c>
      <c r="U368" s="321">
        <f t="shared" si="105"/>
        <v>0</v>
      </c>
      <c r="V368" s="322">
        <f t="shared" si="106"/>
        <v>44189.059636874859</v>
      </c>
      <c r="W368" s="322">
        <f t="shared" si="107"/>
        <v>44189.059636874874</v>
      </c>
      <c r="X368" s="321">
        <f t="shared" si="108"/>
        <v>0</v>
      </c>
      <c r="Y368" s="322">
        <f t="shared" si="109"/>
        <v>44189.059636874874</v>
      </c>
      <c r="Z368" s="322">
        <f t="shared" si="110"/>
        <v>44189.059636874867</v>
      </c>
      <c r="AA368" s="323">
        <f t="shared" si="111"/>
        <v>44189.059636874867</v>
      </c>
      <c r="AB368" s="323"/>
      <c r="AC368" s="323"/>
      <c r="AD368" s="323"/>
      <c r="AE368" s="323"/>
      <c r="AF368" s="324">
        <f t="shared" si="112"/>
        <v>2.530611806076829E-4</v>
      </c>
      <c r="AG368" s="312"/>
      <c r="AH368" s="312"/>
      <c r="AI368" s="325">
        <f t="shared" si="113"/>
        <v>1</v>
      </c>
      <c r="AJ368" s="312"/>
      <c r="AK368" s="312"/>
      <c r="AL368" s="312"/>
      <c r="AM368" s="312"/>
      <c r="AN368" s="312"/>
      <c r="AO368" s="312"/>
      <c r="AP368" s="312"/>
      <c r="AQ368" s="312"/>
      <c r="AR368" s="312"/>
      <c r="AS368" s="312"/>
      <c r="AT368" s="312"/>
      <c r="AU368" s="312"/>
      <c r="AV368" s="312"/>
      <c r="AW368" s="312"/>
      <c r="AX368" s="312"/>
      <c r="AY368" s="312"/>
      <c r="AZ368" s="312"/>
      <c r="BA368" s="312"/>
      <c r="BB368" s="312"/>
      <c r="BC368" s="312"/>
      <c r="BD368" s="312"/>
      <c r="BE368" s="312"/>
      <c r="BF368" s="312"/>
      <c r="BG368" s="312"/>
      <c r="BH368" s="312"/>
      <c r="BI368" s="312"/>
      <c r="BJ368" s="312"/>
      <c r="BK368" s="312"/>
      <c r="BL368" s="312"/>
      <c r="BM368" s="312"/>
      <c r="BN368" s="312"/>
      <c r="BO368" s="312"/>
      <c r="BP368" s="312"/>
      <c r="BQ368" s="312"/>
      <c r="BR368" s="312"/>
      <c r="BS368" s="312"/>
      <c r="BT368" s="312"/>
      <c r="BU368" s="312"/>
      <c r="BV368" s="312"/>
      <c r="BW368" s="312"/>
      <c r="BX368" s="312"/>
      <c r="BY368" s="312"/>
      <c r="BZ368" s="312"/>
      <c r="CA368" s="312"/>
      <c r="CB368" s="312"/>
      <c r="CC368" s="312"/>
      <c r="CD368" s="312"/>
      <c r="CE368" s="312"/>
      <c r="CF368" s="312"/>
      <c r="CG368" s="312"/>
      <c r="CH368" s="312"/>
      <c r="CI368" s="312"/>
      <c r="CJ368" s="312"/>
      <c r="CK368" s="312"/>
      <c r="CL368" s="312"/>
      <c r="CM368" s="312"/>
      <c r="CN368" s="312"/>
      <c r="CO368" s="312"/>
      <c r="CP368" s="312"/>
      <c r="CQ368" s="312"/>
      <c r="CR368" s="312"/>
      <c r="CS368" s="312"/>
      <c r="CT368" s="312"/>
      <c r="CU368" s="312"/>
      <c r="CV368" s="312"/>
      <c r="CW368" s="312"/>
      <c r="CX368" s="312"/>
      <c r="CY368" s="312"/>
      <c r="CZ368" s="312"/>
      <c r="DA368" s="312"/>
      <c r="DB368" s="312"/>
      <c r="DC368" s="312"/>
      <c r="DD368" s="312"/>
      <c r="DE368" s="312"/>
      <c r="DF368" s="312"/>
      <c r="DG368" s="312"/>
      <c r="DH368" s="312"/>
      <c r="DI368" s="312"/>
      <c r="DJ368" s="312"/>
      <c r="DK368" s="312"/>
      <c r="DL368" s="312"/>
      <c r="DM368" s="312"/>
      <c r="DN368" s="312"/>
      <c r="DO368" s="312"/>
      <c r="DP368" s="312"/>
      <c r="DQ368" s="312"/>
      <c r="DR368" s="312"/>
      <c r="DS368" s="312"/>
      <c r="DT368" s="312"/>
      <c r="DU368" s="312"/>
      <c r="DV368" s="312"/>
      <c r="DW368" s="312"/>
      <c r="DX368" s="312"/>
      <c r="DY368" s="312"/>
      <c r="DZ368" s="312"/>
      <c r="EA368" s="312"/>
      <c r="EB368" s="312"/>
      <c r="EC368" s="312"/>
      <c r="ED368" s="312"/>
      <c r="EE368" s="312"/>
      <c r="EF368" s="312"/>
      <c r="EG368" s="312"/>
      <c r="EH368" s="312"/>
      <c r="EI368" s="312"/>
      <c r="EJ368" s="312"/>
      <c r="EK368" s="312"/>
      <c r="EL368" s="312"/>
      <c r="EM368" s="312"/>
      <c r="EN368" s="312"/>
      <c r="EO368" s="312"/>
      <c r="EP368" s="312"/>
      <c r="EQ368" s="312"/>
      <c r="ER368" s="312"/>
      <c r="ES368" s="312"/>
      <c r="ET368" s="312"/>
      <c r="EU368" s="312"/>
      <c r="EV368" s="312"/>
      <c r="EW368" s="312"/>
      <c r="EX368" s="312"/>
      <c r="EY368" s="312"/>
      <c r="EZ368" s="312"/>
      <c r="FA368" s="312"/>
      <c r="FB368" s="312"/>
      <c r="FC368" s="312"/>
      <c r="FD368" s="312"/>
      <c r="FE368" s="312"/>
      <c r="FF368" s="312"/>
      <c r="FG368" s="312"/>
      <c r="FH368" s="312"/>
      <c r="FI368" s="312"/>
      <c r="FJ368" s="312"/>
      <c r="FK368" s="312"/>
      <c r="FL368" s="312"/>
      <c r="FM368" s="312"/>
      <c r="FN368" s="312"/>
      <c r="FO368" s="312"/>
      <c r="FP368" s="312"/>
      <c r="FQ368" s="312"/>
      <c r="FR368" s="312"/>
      <c r="FS368" s="312"/>
      <c r="FT368" s="312"/>
      <c r="FU368" s="312"/>
      <c r="FV368" s="312"/>
      <c r="FW368" s="312"/>
      <c r="FX368" s="312"/>
      <c r="FY368" s="312"/>
      <c r="FZ368" s="312"/>
      <c r="GA368" s="312"/>
      <c r="GB368" s="312"/>
      <c r="GC368" s="312"/>
      <c r="GD368" s="312"/>
      <c r="GE368" s="312"/>
      <c r="GF368" s="312"/>
      <c r="GG368" s="312"/>
      <c r="GH368" s="312"/>
      <c r="GI368" s="312"/>
      <c r="GJ368" s="312"/>
      <c r="GK368" s="312"/>
      <c r="GL368" s="312"/>
      <c r="GM368" s="312"/>
      <c r="GN368" s="312"/>
      <c r="GO368" s="312"/>
      <c r="GP368" s="312"/>
      <c r="GQ368" s="312"/>
      <c r="GR368" s="312"/>
      <c r="GS368" s="312"/>
      <c r="GT368" s="312"/>
      <c r="GU368" s="312"/>
      <c r="GV368" s="312"/>
      <c r="GW368" s="312"/>
      <c r="GX368" s="312"/>
      <c r="GY368" s="312"/>
    </row>
    <row r="369" spans="2:207" ht="15.75" x14ac:dyDescent="0.25">
      <c r="B369" s="316">
        <f t="shared" si="96"/>
        <v>339</v>
      </c>
      <c r="C369" s="330">
        <f>'סיכום לוועדה'!B369</f>
        <v>1001349559</v>
      </c>
      <c r="D369" s="330">
        <f>'סיכום לוועדה'!C369</f>
        <v>1001262292</v>
      </c>
      <c r="E369" s="330">
        <f>'סיכום לוועדה'!D369</f>
        <v>41099000</v>
      </c>
      <c r="F369" s="330">
        <f>'סיכום לוועדה'!E369</f>
        <v>20000159</v>
      </c>
      <c r="G369" s="330" t="str">
        <f>'סיכום לוועדה'!F369</f>
        <v>ירושלים</v>
      </c>
      <c r="H369" s="317" t="str">
        <f>'סיכום לוועדה'!G369</f>
        <v>בר-קיימא לתרבות, אמנות, מוסיקה ושלו</v>
      </c>
      <c r="I369" s="318">
        <f>'סיכום לוועדה'!U369</f>
        <v>1892853</v>
      </c>
      <c r="J369" s="319">
        <f>'סיכום לוועדה'!T369</f>
        <v>85773.175866887264</v>
      </c>
      <c r="K369" s="320">
        <f t="shared" si="97"/>
        <v>0</v>
      </c>
      <c r="L369" s="319">
        <f t="shared" si="98"/>
        <v>85773.175866887264</v>
      </c>
      <c r="M369" s="331">
        <f>'תחום תמיכה ב'!AF369</f>
        <v>6.1956691303954826E-4</v>
      </c>
      <c r="N369" s="319">
        <f t="shared" si="95"/>
        <v>96327.195832414494</v>
      </c>
      <c r="O369" s="321">
        <f t="shared" si="99"/>
        <v>0</v>
      </c>
      <c r="P369" s="322">
        <f t="shared" si="100"/>
        <v>96327.195832414494</v>
      </c>
      <c r="Q369" s="322">
        <f t="shared" si="101"/>
        <v>96371.056148741452</v>
      </c>
      <c r="R369" s="321">
        <f t="shared" si="102"/>
        <v>0</v>
      </c>
      <c r="S369" s="322">
        <f t="shared" si="103"/>
        <v>96371.056148741452</v>
      </c>
      <c r="T369" s="322">
        <f t="shared" si="104"/>
        <v>96371.056148741263</v>
      </c>
      <c r="U369" s="321">
        <f t="shared" si="105"/>
        <v>0</v>
      </c>
      <c r="V369" s="322">
        <f t="shared" si="106"/>
        <v>96371.056148741263</v>
      </c>
      <c r="W369" s="322">
        <f t="shared" si="107"/>
        <v>96371.056148741292</v>
      </c>
      <c r="X369" s="321">
        <f t="shared" si="108"/>
        <v>0</v>
      </c>
      <c r="Y369" s="322">
        <f t="shared" si="109"/>
        <v>96371.056148741292</v>
      </c>
      <c r="Z369" s="322">
        <f t="shared" si="110"/>
        <v>96371.056148741278</v>
      </c>
      <c r="AA369" s="323">
        <f t="shared" si="111"/>
        <v>96371.056148741278</v>
      </c>
      <c r="AB369" s="323"/>
      <c r="AC369" s="323"/>
      <c r="AD369" s="323"/>
      <c r="AE369" s="323"/>
      <c r="AF369" s="324">
        <f t="shared" si="112"/>
        <v>5.518961807700173E-4</v>
      </c>
      <c r="AG369" s="312"/>
      <c r="AH369" s="312"/>
      <c r="AI369" s="325">
        <f t="shared" si="113"/>
        <v>1</v>
      </c>
      <c r="AJ369" s="312"/>
      <c r="AK369" s="312"/>
      <c r="AL369" s="312"/>
      <c r="AM369" s="312"/>
      <c r="AN369" s="312"/>
      <c r="AO369" s="312"/>
      <c r="AP369" s="312"/>
      <c r="AQ369" s="312"/>
      <c r="AR369" s="312"/>
      <c r="AS369" s="312"/>
      <c r="AT369" s="312"/>
      <c r="AU369" s="312"/>
      <c r="AV369" s="312"/>
      <c r="AW369" s="312"/>
      <c r="AX369" s="312"/>
      <c r="AY369" s="312"/>
      <c r="AZ369" s="312"/>
      <c r="BA369" s="312"/>
      <c r="BB369" s="312"/>
      <c r="BC369" s="312"/>
      <c r="BD369" s="312"/>
      <c r="BE369" s="312"/>
      <c r="BF369" s="312"/>
      <c r="BG369" s="312"/>
      <c r="BH369" s="312"/>
      <c r="BI369" s="312"/>
      <c r="BJ369" s="312"/>
      <c r="BK369" s="312"/>
      <c r="BL369" s="312"/>
      <c r="BM369" s="312"/>
      <c r="BN369" s="312"/>
      <c r="BO369" s="312"/>
      <c r="BP369" s="312"/>
      <c r="BQ369" s="312"/>
      <c r="BR369" s="312"/>
      <c r="BS369" s="312"/>
      <c r="BT369" s="312"/>
      <c r="BU369" s="312"/>
      <c r="BV369" s="312"/>
      <c r="BW369" s="312"/>
      <c r="BX369" s="312"/>
      <c r="BY369" s="312"/>
      <c r="BZ369" s="312"/>
      <c r="CA369" s="312"/>
      <c r="CB369" s="312"/>
      <c r="CC369" s="312"/>
      <c r="CD369" s="312"/>
      <c r="CE369" s="312"/>
      <c r="CF369" s="312"/>
      <c r="CG369" s="312"/>
      <c r="CH369" s="312"/>
      <c r="CI369" s="312"/>
      <c r="CJ369" s="312"/>
      <c r="CK369" s="312"/>
      <c r="CL369" s="312"/>
      <c r="CM369" s="312"/>
      <c r="CN369" s="312"/>
      <c r="CO369" s="312"/>
      <c r="CP369" s="312"/>
      <c r="CQ369" s="312"/>
      <c r="CR369" s="312"/>
      <c r="CS369" s="312"/>
      <c r="CT369" s="312"/>
      <c r="CU369" s="312"/>
      <c r="CV369" s="312"/>
      <c r="CW369" s="312"/>
      <c r="CX369" s="312"/>
      <c r="CY369" s="312"/>
      <c r="CZ369" s="312"/>
      <c r="DA369" s="312"/>
      <c r="DB369" s="312"/>
      <c r="DC369" s="312"/>
      <c r="DD369" s="312"/>
      <c r="DE369" s="312"/>
      <c r="DF369" s="312"/>
      <c r="DG369" s="312"/>
      <c r="DH369" s="312"/>
      <c r="DI369" s="312"/>
      <c r="DJ369" s="312"/>
      <c r="DK369" s="312"/>
      <c r="DL369" s="312"/>
      <c r="DM369" s="312"/>
      <c r="DN369" s="312"/>
      <c r="DO369" s="312"/>
      <c r="DP369" s="312"/>
      <c r="DQ369" s="312"/>
      <c r="DR369" s="312"/>
      <c r="DS369" s="312"/>
      <c r="DT369" s="312"/>
      <c r="DU369" s="312"/>
      <c r="DV369" s="312"/>
      <c r="DW369" s="312"/>
      <c r="DX369" s="312"/>
      <c r="DY369" s="312"/>
      <c r="DZ369" s="312"/>
      <c r="EA369" s="312"/>
      <c r="EB369" s="312"/>
      <c r="EC369" s="312"/>
      <c r="ED369" s="312"/>
      <c r="EE369" s="312"/>
      <c r="EF369" s="312"/>
      <c r="EG369" s="312"/>
      <c r="EH369" s="312"/>
      <c r="EI369" s="312"/>
      <c r="EJ369" s="312"/>
      <c r="EK369" s="312"/>
      <c r="EL369" s="312"/>
      <c r="EM369" s="312"/>
      <c r="EN369" s="312"/>
      <c r="EO369" s="312"/>
      <c r="EP369" s="312"/>
      <c r="EQ369" s="312"/>
      <c r="ER369" s="312"/>
      <c r="ES369" s="312"/>
      <c r="ET369" s="312"/>
      <c r="EU369" s="312"/>
      <c r="EV369" s="312"/>
      <c r="EW369" s="312"/>
      <c r="EX369" s="312"/>
      <c r="EY369" s="312"/>
      <c r="EZ369" s="312"/>
      <c r="FA369" s="312"/>
      <c r="FB369" s="312"/>
      <c r="FC369" s="312"/>
      <c r="FD369" s="312"/>
      <c r="FE369" s="312"/>
      <c r="FF369" s="312"/>
      <c r="FG369" s="312"/>
      <c r="FH369" s="312"/>
      <c r="FI369" s="312"/>
      <c r="FJ369" s="312"/>
      <c r="FK369" s="312"/>
      <c r="FL369" s="312"/>
      <c r="FM369" s="312"/>
      <c r="FN369" s="312"/>
      <c r="FO369" s="312"/>
      <c r="FP369" s="312"/>
      <c r="FQ369" s="312"/>
      <c r="FR369" s="312"/>
      <c r="FS369" s="312"/>
      <c r="FT369" s="312"/>
      <c r="FU369" s="312"/>
      <c r="FV369" s="312"/>
      <c r="FW369" s="312"/>
      <c r="FX369" s="312"/>
      <c r="FY369" s="312"/>
      <c r="FZ369" s="312"/>
      <c r="GA369" s="312"/>
      <c r="GB369" s="312"/>
      <c r="GC369" s="312"/>
      <c r="GD369" s="312"/>
      <c r="GE369" s="312"/>
      <c r="GF369" s="312"/>
      <c r="GG369" s="312"/>
      <c r="GH369" s="312"/>
      <c r="GI369" s="312"/>
      <c r="GJ369" s="312"/>
      <c r="GK369" s="312"/>
      <c r="GL369" s="312"/>
      <c r="GM369" s="312"/>
      <c r="GN369" s="312"/>
      <c r="GO369" s="312"/>
      <c r="GP369" s="312"/>
      <c r="GQ369" s="312"/>
      <c r="GR369" s="312"/>
      <c r="GS369" s="312"/>
      <c r="GT369" s="312"/>
      <c r="GU369" s="312"/>
      <c r="GV369" s="312"/>
      <c r="GW369" s="312"/>
      <c r="GX369" s="312"/>
      <c r="GY369" s="312"/>
    </row>
    <row r="370" spans="2:207" ht="15.75" x14ac:dyDescent="0.25">
      <c r="B370" s="316">
        <f t="shared" si="96"/>
        <v>340</v>
      </c>
      <c r="C370" s="330">
        <f>'סיכום לוועדה'!B370</f>
        <v>1001349660</v>
      </c>
      <c r="D370" s="330">
        <f>'סיכום לוועדה'!C370</f>
        <v>1001262293</v>
      </c>
      <c r="E370" s="330">
        <f>'סיכום לוועדה'!D370</f>
        <v>41099000</v>
      </c>
      <c r="F370" s="330">
        <f>'סיכום לוועדה'!E370</f>
        <v>20000159</v>
      </c>
      <c r="G370" s="330" t="str">
        <f>'סיכום לוועדה'!F370</f>
        <v>ירושלים</v>
      </c>
      <c r="H370" s="317" t="str">
        <f>'סיכום לוועדה'!G370</f>
        <v>בר-קיימא לתרבות, אמנות, מוסיקה ושלו</v>
      </c>
      <c r="I370" s="318">
        <f>'סיכום לוועדה'!U370</f>
        <v>856695</v>
      </c>
      <c r="J370" s="319">
        <f>'סיכום לוועדה'!T370</f>
        <v>6786.7034922268285</v>
      </c>
      <c r="K370" s="320">
        <f t="shared" si="97"/>
        <v>0</v>
      </c>
      <c r="L370" s="319">
        <f t="shared" si="98"/>
        <v>6786.7034922268285</v>
      </c>
      <c r="M370" s="331">
        <f>'תחום תמיכה ב'!AF370</f>
        <v>5.035560118882181E-5</v>
      </c>
      <c r="N370" s="319">
        <f t="shared" si="95"/>
        <v>7644.4865809261246</v>
      </c>
      <c r="O370" s="321">
        <f t="shared" si="99"/>
        <v>0</v>
      </c>
      <c r="P370" s="322">
        <f t="shared" si="100"/>
        <v>7644.4865809261246</v>
      </c>
      <c r="Q370" s="322">
        <f t="shared" si="101"/>
        <v>7647.9673175623284</v>
      </c>
      <c r="R370" s="321">
        <f t="shared" si="102"/>
        <v>0</v>
      </c>
      <c r="S370" s="322">
        <f t="shared" si="103"/>
        <v>7647.9673175623284</v>
      </c>
      <c r="T370" s="322">
        <f t="shared" si="104"/>
        <v>7647.9673175623129</v>
      </c>
      <c r="U370" s="321">
        <f t="shared" si="105"/>
        <v>0</v>
      </c>
      <c r="V370" s="322">
        <f t="shared" si="106"/>
        <v>7647.9673175623129</v>
      </c>
      <c r="W370" s="322">
        <f t="shared" si="107"/>
        <v>7647.9673175623157</v>
      </c>
      <c r="X370" s="321">
        <f t="shared" si="108"/>
        <v>0</v>
      </c>
      <c r="Y370" s="322">
        <f t="shared" si="109"/>
        <v>7647.9673175623157</v>
      </c>
      <c r="Z370" s="322">
        <f t="shared" si="110"/>
        <v>7647.9673175623147</v>
      </c>
      <c r="AA370" s="323">
        <f t="shared" si="111"/>
        <v>7647.9673175623147</v>
      </c>
      <c r="AB370" s="323"/>
      <c r="AC370" s="323"/>
      <c r="AD370" s="323"/>
      <c r="AE370" s="323"/>
      <c r="AF370" s="324">
        <f t="shared" si="112"/>
        <v>4.3798253561753513E-5</v>
      </c>
      <c r="AG370" s="312"/>
      <c r="AH370" s="312"/>
      <c r="AI370" s="325">
        <f t="shared" si="113"/>
        <v>1</v>
      </c>
      <c r="AJ370" s="312"/>
      <c r="AK370" s="312"/>
      <c r="AL370" s="312"/>
      <c r="AM370" s="312"/>
      <c r="AN370" s="312"/>
      <c r="AO370" s="312"/>
      <c r="AP370" s="312"/>
      <c r="AQ370" s="312"/>
      <c r="AR370" s="312"/>
      <c r="AS370" s="312"/>
      <c r="AT370" s="312"/>
      <c r="AU370" s="312"/>
      <c r="AV370" s="312"/>
      <c r="AW370" s="312"/>
      <c r="AX370" s="312"/>
      <c r="AY370" s="312"/>
      <c r="AZ370" s="312"/>
      <c r="BA370" s="312"/>
      <c r="BB370" s="312"/>
      <c r="BC370" s="312"/>
      <c r="BD370" s="312"/>
      <c r="BE370" s="312"/>
      <c r="BF370" s="312"/>
      <c r="BG370" s="312"/>
      <c r="BH370" s="312"/>
      <c r="BI370" s="312"/>
      <c r="BJ370" s="312"/>
      <c r="BK370" s="312"/>
      <c r="BL370" s="312"/>
      <c r="BM370" s="312"/>
      <c r="BN370" s="312"/>
      <c r="BO370" s="312"/>
      <c r="BP370" s="312"/>
      <c r="BQ370" s="312"/>
      <c r="BR370" s="312"/>
      <c r="BS370" s="312"/>
      <c r="BT370" s="312"/>
      <c r="BU370" s="312"/>
      <c r="BV370" s="312"/>
      <c r="BW370" s="312"/>
      <c r="BX370" s="312"/>
      <c r="BY370" s="312"/>
      <c r="BZ370" s="312"/>
      <c r="CA370" s="312"/>
      <c r="CB370" s="312"/>
      <c r="CC370" s="312"/>
      <c r="CD370" s="312"/>
      <c r="CE370" s="312"/>
      <c r="CF370" s="312"/>
      <c r="CG370" s="312"/>
      <c r="CH370" s="312"/>
      <c r="CI370" s="312"/>
      <c r="CJ370" s="312"/>
      <c r="CK370" s="312"/>
      <c r="CL370" s="312"/>
      <c r="CM370" s="312"/>
      <c r="CN370" s="312"/>
      <c r="CO370" s="312"/>
      <c r="CP370" s="312"/>
      <c r="CQ370" s="312"/>
      <c r="CR370" s="312"/>
      <c r="CS370" s="312"/>
      <c r="CT370" s="312"/>
      <c r="CU370" s="312"/>
      <c r="CV370" s="312"/>
      <c r="CW370" s="312"/>
      <c r="CX370" s="312"/>
      <c r="CY370" s="312"/>
      <c r="CZ370" s="312"/>
      <c r="DA370" s="312"/>
      <c r="DB370" s="312"/>
      <c r="DC370" s="312"/>
      <c r="DD370" s="312"/>
      <c r="DE370" s="312"/>
      <c r="DF370" s="312"/>
      <c r="DG370" s="312"/>
      <c r="DH370" s="312"/>
      <c r="DI370" s="312"/>
      <c r="DJ370" s="312"/>
      <c r="DK370" s="312"/>
      <c r="DL370" s="312"/>
      <c r="DM370" s="312"/>
      <c r="DN370" s="312"/>
      <c r="DO370" s="312"/>
      <c r="DP370" s="312"/>
      <c r="DQ370" s="312"/>
      <c r="DR370" s="312"/>
      <c r="DS370" s="312"/>
      <c r="DT370" s="312"/>
      <c r="DU370" s="312"/>
      <c r="DV370" s="312"/>
      <c r="DW370" s="312"/>
      <c r="DX370" s="312"/>
      <c r="DY370" s="312"/>
      <c r="DZ370" s="312"/>
      <c r="EA370" s="312"/>
      <c r="EB370" s="312"/>
      <c r="EC370" s="312"/>
      <c r="ED370" s="312"/>
      <c r="EE370" s="312"/>
      <c r="EF370" s="312"/>
      <c r="EG370" s="312"/>
      <c r="EH370" s="312"/>
      <c r="EI370" s="312"/>
      <c r="EJ370" s="312"/>
      <c r="EK370" s="312"/>
      <c r="EL370" s="312"/>
      <c r="EM370" s="312"/>
      <c r="EN370" s="312"/>
      <c r="EO370" s="312"/>
      <c r="EP370" s="312"/>
      <c r="EQ370" s="312"/>
      <c r="ER370" s="312"/>
      <c r="ES370" s="312"/>
      <c r="ET370" s="312"/>
      <c r="EU370" s="312"/>
      <c r="EV370" s="312"/>
      <c r="EW370" s="312"/>
      <c r="EX370" s="312"/>
      <c r="EY370" s="312"/>
      <c r="EZ370" s="312"/>
      <c r="FA370" s="312"/>
      <c r="FB370" s="312"/>
      <c r="FC370" s="312"/>
      <c r="FD370" s="312"/>
      <c r="FE370" s="312"/>
      <c r="FF370" s="312"/>
      <c r="FG370" s="312"/>
      <c r="FH370" s="312"/>
      <c r="FI370" s="312"/>
      <c r="FJ370" s="312"/>
      <c r="FK370" s="312"/>
      <c r="FL370" s="312"/>
      <c r="FM370" s="312"/>
      <c r="FN370" s="312"/>
      <c r="FO370" s="312"/>
      <c r="FP370" s="312"/>
      <c r="FQ370" s="312"/>
      <c r="FR370" s="312"/>
      <c r="FS370" s="312"/>
      <c r="FT370" s="312"/>
      <c r="FU370" s="312"/>
      <c r="FV370" s="312"/>
      <c r="FW370" s="312"/>
      <c r="FX370" s="312"/>
      <c r="FY370" s="312"/>
      <c r="FZ370" s="312"/>
      <c r="GA370" s="312"/>
      <c r="GB370" s="312"/>
      <c r="GC370" s="312"/>
      <c r="GD370" s="312"/>
      <c r="GE370" s="312"/>
      <c r="GF370" s="312"/>
      <c r="GG370" s="312"/>
      <c r="GH370" s="312"/>
      <c r="GI370" s="312"/>
      <c r="GJ370" s="312"/>
      <c r="GK370" s="312"/>
      <c r="GL370" s="312"/>
      <c r="GM370" s="312"/>
      <c r="GN370" s="312"/>
      <c r="GO370" s="312"/>
      <c r="GP370" s="312"/>
      <c r="GQ370" s="312"/>
      <c r="GR370" s="312"/>
      <c r="GS370" s="312"/>
      <c r="GT370" s="312"/>
      <c r="GU370" s="312"/>
      <c r="GV370" s="312"/>
      <c r="GW370" s="312"/>
      <c r="GX370" s="312"/>
      <c r="GY370" s="312"/>
    </row>
    <row r="371" spans="2:207" ht="15.75" x14ac:dyDescent="0.25">
      <c r="B371" s="316">
        <f t="shared" si="96"/>
        <v>341</v>
      </c>
      <c r="C371" s="330">
        <f>'סיכום לוועדה'!B371</f>
        <v>1001346562</v>
      </c>
      <c r="D371" s="330">
        <f>'סיכום לוועדה'!C371</f>
        <v>1001268829</v>
      </c>
      <c r="E371" s="330">
        <f>'סיכום לוועדה'!D371</f>
        <v>40371504</v>
      </c>
      <c r="F371" s="330">
        <f>'סיכום לוועדה'!E371</f>
        <v>20000253</v>
      </c>
      <c r="G371" s="330" t="str">
        <f>'סיכום לוועדה'!F371</f>
        <v>טמרה</v>
      </c>
      <c r="H371" s="317" t="str">
        <f>'סיכום לוועדה'!G371</f>
        <v>סינמה דרמה (ע"ר)</v>
      </c>
      <c r="I371" s="318">
        <f>'סיכום לוועדה'!U371</f>
        <v>1200000</v>
      </c>
      <c r="J371" s="319">
        <f>'סיכום לוועדה'!T371</f>
        <v>71581.003967268087</v>
      </c>
      <c r="K371" s="320">
        <f t="shared" si="97"/>
        <v>0</v>
      </c>
      <c r="L371" s="319">
        <f t="shared" si="98"/>
        <v>71581.003967268087</v>
      </c>
      <c r="M371" s="331">
        <f>'תחום תמיכה ב'!AF371</f>
        <v>4.4229532752715475E-4</v>
      </c>
      <c r="N371" s="319">
        <f t="shared" si="95"/>
        <v>79115.28899627355</v>
      </c>
      <c r="O371" s="321">
        <f t="shared" si="99"/>
        <v>0</v>
      </c>
      <c r="P371" s="322">
        <f t="shared" si="100"/>
        <v>79115.28899627355</v>
      </c>
      <c r="Q371" s="322">
        <f t="shared" si="101"/>
        <v>79151.312276840268</v>
      </c>
      <c r="R371" s="321">
        <f t="shared" si="102"/>
        <v>0</v>
      </c>
      <c r="S371" s="322">
        <f t="shared" si="103"/>
        <v>79151.312276840268</v>
      </c>
      <c r="T371" s="322">
        <f t="shared" si="104"/>
        <v>79151.312276840108</v>
      </c>
      <c r="U371" s="321">
        <f t="shared" si="105"/>
        <v>0</v>
      </c>
      <c r="V371" s="322">
        <f t="shared" si="106"/>
        <v>79151.312276840108</v>
      </c>
      <c r="W371" s="322">
        <f t="shared" si="107"/>
        <v>79151.312276840137</v>
      </c>
      <c r="X371" s="321">
        <f t="shared" si="108"/>
        <v>0</v>
      </c>
      <c r="Y371" s="322">
        <f t="shared" si="109"/>
        <v>79151.312276840137</v>
      </c>
      <c r="Z371" s="322">
        <f t="shared" si="110"/>
        <v>79151.312276840123</v>
      </c>
      <c r="AA371" s="323">
        <f t="shared" si="111"/>
        <v>79151.312276840123</v>
      </c>
      <c r="AB371" s="323"/>
      <c r="AC371" s="323"/>
      <c r="AD371" s="323"/>
      <c r="AE371" s="323"/>
      <c r="AF371" s="324">
        <f t="shared" si="112"/>
        <v>4.5328243452163937E-4</v>
      </c>
      <c r="AG371" s="312"/>
      <c r="AH371" s="312"/>
      <c r="AI371" s="325">
        <f t="shared" si="113"/>
        <v>1</v>
      </c>
      <c r="AJ371" s="312"/>
      <c r="AK371" s="312"/>
      <c r="AL371" s="312"/>
      <c r="AM371" s="312"/>
      <c r="AN371" s="312"/>
      <c r="AO371" s="312"/>
      <c r="AP371" s="312"/>
      <c r="AQ371" s="312"/>
      <c r="AR371" s="312"/>
      <c r="AS371" s="312"/>
      <c r="AT371" s="312"/>
      <c r="AU371" s="312"/>
      <c r="AV371" s="312"/>
      <c r="AW371" s="312"/>
      <c r="AX371" s="312"/>
      <c r="AY371" s="312"/>
      <c r="AZ371" s="312"/>
      <c r="BA371" s="312"/>
      <c r="BB371" s="312"/>
      <c r="BC371" s="312"/>
      <c r="BD371" s="312"/>
      <c r="BE371" s="312"/>
      <c r="BF371" s="312"/>
      <c r="BG371" s="312"/>
      <c r="BH371" s="312"/>
      <c r="BI371" s="312"/>
      <c r="BJ371" s="312"/>
      <c r="BK371" s="312"/>
      <c r="BL371" s="312"/>
      <c r="BM371" s="312"/>
      <c r="BN371" s="312"/>
      <c r="BO371" s="312"/>
      <c r="BP371" s="312"/>
      <c r="BQ371" s="312"/>
      <c r="BR371" s="312"/>
      <c r="BS371" s="312"/>
      <c r="BT371" s="312"/>
      <c r="BU371" s="312"/>
      <c r="BV371" s="312"/>
      <c r="BW371" s="312"/>
      <c r="BX371" s="312"/>
      <c r="BY371" s="312"/>
      <c r="BZ371" s="312"/>
      <c r="CA371" s="312"/>
      <c r="CB371" s="312"/>
      <c r="CC371" s="312"/>
      <c r="CD371" s="312"/>
      <c r="CE371" s="312"/>
      <c r="CF371" s="312"/>
      <c r="CG371" s="312"/>
      <c r="CH371" s="312"/>
      <c r="CI371" s="312"/>
      <c r="CJ371" s="312"/>
      <c r="CK371" s="312"/>
      <c r="CL371" s="312"/>
      <c r="CM371" s="312"/>
      <c r="CN371" s="312"/>
      <c r="CO371" s="312"/>
      <c r="CP371" s="312"/>
      <c r="CQ371" s="312"/>
      <c r="CR371" s="312"/>
      <c r="CS371" s="312"/>
      <c r="CT371" s="312"/>
      <c r="CU371" s="312"/>
      <c r="CV371" s="312"/>
      <c r="CW371" s="312"/>
      <c r="CX371" s="312"/>
      <c r="CY371" s="312"/>
      <c r="CZ371" s="312"/>
      <c r="DA371" s="312"/>
      <c r="DB371" s="312"/>
      <c r="DC371" s="312"/>
      <c r="DD371" s="312"/>
      <c r="DE371" s="312"/>
      <c r="DF371" s="312"/>
      <c r="DG371" s="312"/>
      <c r="DH371" s="312"/>
      <c r="DI371" s="312"/>
      <c r="DJ371" s="312"/>
      <c r="DK371" s="312"/>
      <c r="DL371" s="312"/>
      <c r="DM371" s="312"/>
      <c r="DN371" s="312"/>
      <c r="DO371" s="312"/>
      <c r="DP371" s="312"/>
      <c r="DQ371" s="312"/>
      <c r="DR371" s="312"/>
      <c r="DS371" s="312"/>
      <c r="DT371" s="312"/>
      <c r="DU371" s="312"/>
      <c r="DV371" s="312"/>
      <c r="DW371" s="312"/>
      <c r="DX371" s="312"/>
      <c r="DY371" s="312"/>
      <c r="DZ371" s="312"/>
      <c r="EA371" s="312"/>
      <c r="EB371" s="312"/>
      <c r="EC371" s="312"/>
      <c r="ED371" s="312"/>
      <c r="EE371" s="312"/>
      <c r="EF371" s="312"/>
      <c r="EG371" s="312"/>
      <c r="EH371" s="312"/>
      <c r="EI371" s="312"/>
      <c r="EJ371" s="312"/>
      <c r="EK371" s="312"/>
      <c r="EL371" s="312"/>
      <c r="EM371" s="312"/>
      <c r="EN371" s="312"/>
      <c r="EO371" s="312"/>
      <c r="EP371" s="312"/>
      <c r="EQ371" s="312"/>
      <c r="ER371" s="312"/>
      <c r="ES371" s="312"/>
      <c r="ET371" s="312"/>
      <c r="EU371" s="312"/>
      <c r="EV371" s="312"/>
      <c r="EW371" s="312"/>
      <c r="EX371" s="312"/>
      <c r="EY371" s="312"/>
      <c r="EZ371" s="312"/>
      <c r="FA371" s="312"/>
      <c r="FB371" s="312"/>
      <c r="FC371" s="312"/>
      <c r="FD371" s="312"/>
      <c r="FE371" s="312"/>
      <c r="FF371" s="312"/>
      <c r="FG371" s="312"/>
      <c r="FH371" s="312"/>
      <c r="FI371" s="312"/>
      <c r="FJ371" s="312"/>
      <c r="FK371" s="312"/>
      <c r="FL371" s="312"/>
      <c r="FM371" s="312"/>
      <c r="FN371" s="312"/>
      <c r="FO371" s="312"/>
      <c r="FP371" s="312"/>
      <c r="FQ371" s="312"/>
      <c r="FR371" s="312"/>
      <c r="FS371" s="312"/>
      <c r="FT371" s="312"/>
      <c r="FU371" s="312"/>
      <c r="FV371" s="312"/>
      <c r="FW371" s="312"/>
      <c r="FX371" s="312"/>
      <c r="FY371" s="312"/>
      <c r="FZ371" s="312"/>
      <c r="GA371" s="312"/>
      <c r="GB371" s="312"/>
      <c r="GC371" s="312"/>
      <c r="GD371" s="312"/>
      <c r="GE371" s="312"/>
      <c r="GF371" s="312"/>
      <c r="GG371" s="312"/>
      <c r="GH371" s="312"/>
      <c r="GI371" s="312"/>
      <c r="GJ371" s="312"/>
      <c r="GK371" s="312"/>
      <c r="GL371" s="312"/>
      <c r="GM371" s="312"/>
      <c r="GN371" s="312"/>
      <c r="GO371" s="312"/>
      <c r="GP371" s="312"/>
      <c r="GQ371" s="312"/>
      <c r="GR371" s="312"/>
      <c r="GS371" s="312"/>
      <c r="GT371" s="312"/>
      <c r="GU371" s="312"/>
      <c r="GV371" s="312"/>
      <c r="GW371" s="312"/>
      <c r="GX371" s="312"/>
      <c r="GY371" s="312"/>
    </row>
    <row r="372" spans="2:207" ht="15.75" x14ac:dyDescent="0.25">
      <c r="B372" s="316">
        <f t="shared" si="96"/>
        <v>342</v>
      </c>
      <c r="C372" s="330">
        <f>'סיכום לוועדה'!B372</f>
        <v>1001349210</v>
      </c>
      <c r="D372" s="330">
        <f>'סיכום לוועדה'!C372</f>
        <v>1001288841</v>
      </c>
      <c r="E372" s="330">
        <f>'סיכום לוועדה'!D372</f>
        <v>40465932</v>
      </c>
      <c r="F372" s="330">
        <f>'סיכום לוועדה'!E372</f>
        <v>20000159</v>
      </c>
      <c r="G372" s="330" t="str">
        <f>'סיכום לוועדה'!F372</f>
        <v>ירושלים</v>
      </c>
      <c r="H372" s="317" t="str">
        <f>'סיכום לוועדה'!G372</f>
        <v>תיאטרון האינקובטור (ע"ר)</v>
      </c>
      <c r="I372" s="318">
        <f>'סיכום לוועדה'!U372</f>
        <v>800000</v>
      </c>
      <c r="J372" s="319">
        <f>'סיכום לוועדה'!T372</f>
        <v>383325.98277475743</v>
      </c>
      <c r="K372" s="320">
        <f t="shared" si="97"/>
        <v>0</v>
      </c>
      <c r="L372" s="319">
        <f t="shared" si="98"/>
        <v>383325.98277475743</v>
      </c>
      <c r="M372" s="331">
        <f>'תחום תמיכה ב'!AF372</f>
        <v>2.0069803410286387E-3</v>
      </c>
      <c r="N372" s="319">
        <f t="shared" si="95"/>
        <v>417513.91331759584</v>
      </c>
      <c r="O372" s="321">
        <f t="shared" si="99"/>
        <v>0</v>
      </c>
      <c r="P372" s="322">
        <f t="shared" si="100"/>
        <v>417513.91331759584</v>
      </c>
      <c r="Q372" s="322">
        <f t="shared" si="101"/>
        <v>417704.0184291458</v>
      </c>
      <c r="R372" s="321">
        <f t="shared" si="102"/>
        <v>0</v>
      </c>
      <c r="S372" s="322">
        <f t="shared" si="103"/>
        <v>417704.0184291458</v>
      </c>
      <c r="T372" s="322">
        <f t="shared" si="104"/>
        <v>417704.01842914498</v>
      </c>
      <c r="U372" s="321">
        <f t="shared" si="105"/>
        <v>0</v>
      </c>
      <c r="V372" s="322">
        <f t="shared" si="106"/>
        <v>417704.01842914498</v>
      </c>
      <c r="W372" s="322">
        <f t="shared" si="107"/>
        <v>417704.0184291451</v>
      </c>
      <c r="X372" s="321">
        <f t="shared" si="108"/>
        <v>0</v>
      </c>
      <c r="Y372" s="322">
        <f t="shared" si="109"/>
        <v>417704.0184291451</v>
      </c>
      <c r="Z372" s="322">
        <f t="shared" si="110"/>
        <v>417704.01842914504</v>
      </c>
      <c r="AA372" s="323">
        <f t="shared" si="111"/>
        <v>417704.01842914504</v>
      </c>
      <c r="AB372" s="323"/>
      <c r="AC372" s="323"/>
      <c r="AD372" s="323"/>
      <c r="AE372" s="323"/>
      <c r="AF372" s="324">
        <f t="shared" si="112"/>
        <v>2.3921005089695187E-3</v>
      </c>
      <c r="AG372" s="312"/>
      <c r="AH372" s="312"/>
      <c r="AI372" s="325">
        <f t="shared" si="113"/>
        <v>1</v>
      </c>
      <c r="AJ372" s="312"/>
      <c r="AK372" s="312"/>
      <c r="AL372" s="312"/>
      <c r="AM372" s="312"/>
      <c r="AN372" s="312"/>
      <c r="AO372" s="312"/>
      <c r="AP372" s="312"/>
      <c r="AQ372" s="312"/>
      <c r="AR372" s="312"/>
      <c r="AS372" s="312"/>
      <c r="AT372" s="312"/>
      <c r="AU372" s="312"/>
      <c r="AV372" s="312"/>
      <c r="AW372" s="312"/>
      <c r="AX372" s="312"/>
      <c r="AY372" s="312"/>
      <c r="AZ372" s="312"/>
      <c r="BA372" s="312"/>
      <c r="BB372" s="312"/>
      <c r="BC372" s="312"/>
      <c r="BD372" s="312"/>
      <c r="BE372" s="312"/>
      <c r="BF372" s="312"/>
      <c r="BG372" s="312"/>
      <c r="BH372" s="312"/>
      <c r="BI372" s="312"/>
      <c r="BJ372" s="312"/>
      <c r="BK372" s="312"/>
      <c r="BL372" s="312"/>
      <c r="BM372" s="312"/>
      <c r="BN372" s="312"/>
      <c r="BO372" s="312"/>
      <c r="BP372" s="312"/>
      <c r="BQ372" s="312"/>
      <c r="BR372" s="312"/>
      <c r="BS372" s="312"/>
      <c r="BT372" s="312"/>
      <c r="BU372" s="312"/>
      <c r="BV372" s="312"/>
      <c r="BW372" s="312"/>
      <c r="BX372" s="312"/>
      <c r="BY372" s="312"/>
      <c r="BZ372" s="312"/>
      <c r="CA372" s="312"/>
      <c r="CB372" s="312"/>
      <c r="CC372" s="312"/>
      <c r="CD372" s="312"/>
      <c r="CE372" s="312"/>
      <c r="CF372" s="312"/>
      <c r="CG372" s="312"/>
      <c r="CH372" s="312"/>
      <c r="CI372" s="312"/>
      <c r="CJ372" s="312"/>
      <c r="CK372" s="312"/>
      <c r="CL372" s="312"/>
      <c r="CM372" s="312"/>
      <c r="CN372" s="312"/>
      <c r="CO372" s="312"/>
      <c r="CP372" s="312"/>
      <c r="CQ372" s="312"/>
      <c r="CR372" s="312"/>
      <c r="CS372" s="312"/>
      <c r="CT372" s="312"/>
      <c r="CU372" s="312"/>
      <c r="CV372" s="312"/>
      <c r="CW372" s="312"/>
      <c r="CX372" s="312"/>
      <c r="CY372" s="312"/>
      <c r="CZ372" s="312"/>
      <c r="DA372" s="312"/>
      <c r="DB372" s="312"/>
      <c r="DC372" s="312"/>
      <c r="DD372" s="312"/>
      <c r="DE372" s="312"/>
      <c r="DF372" s="312"/>
      <c r="DG372" s="312"/>
      <c r="DH372" s="312"/>
      <c r="DI372" s="312"/>
      <c r="DJ372" s="312"/>
      <c r="DK372" s="312"/>
      <c r="DL372" s="312"/>
      <c r="DM372" s="312"/>
      <c r="DN372" s="312"/>
      <c r="DO372" s="312"/>
      <c r="DP372" s="312"/>
      <c r="DQ372" s="312"/>
      <c r="DR372" s="312"/>
      <c r="DS372" s="312"/>
      <c r="DT372" s="312"/>
      <c r="DU372" s="312"/>
      <c r="DV372" s="312"/>
      <c r="DW372" s="312"/>
      <c r="DX372" s="312"/>
      <c r="DY372" s="312"/>
      <c r="DZ372" s="312"/>
      <c r="EA372" s="312"/>
      <c r="EB372" s="312"/>
      <c r="EC372" s="312"/>
      <c r="ED372" s="312"/>
      <c r="EE372" s="312"/>
      <c r="EF372" s="312"/>
      <c r="EG372" s="312"/>
      <c r="EH372" s="312"/>
      <c r="EI372" s="312"/>
      <c r="EJ372" s="312"/>
      <c r="EK372" s="312"/>
      <c r="EL372" s="312"/>
      <c r="EM372" s="312"/>
      <c r="EN372" s="312"/>
      <c r="EO372" s="312"/>
      <c r="EP372" s="312"/>
      <c r="EQ372" s="312"/>
      <c r="ER372" s="312"/>
      <c r="ES372" s="312"/>
      <c r="ET372" s="312"/>
      <c r="EU372" s="312"/>
      <c r="EV372" s="312"/>
      <c r="EW372" s="312"/>
      <c r="EX372" s="312"/>
      <c r="EY372" s="312"/>
      <c r="EZ372" s="312"/>
      <c r="FA372" s="312"/>
      <c r="FB372" s="312"/>
      <c r="FC372" s="312"/>
      <c r="FD372" s="312"/>
      <c r="FE372" s="312"/>
      <c r="FF372" s="312"/>
      <c r="FG372" s="312"/>
      <c r="FH372" s="312"/>
      <c r="FI372" s="312"/>
      <c r="FJ372" s="312"/>
      <c r="FK372" s="312"/>
      <c r="FL372" s="312"/>
      <c r="FM372" s="312"/>
      <c r="FN372" s="312"/>
      <c r="FO372" s="312"/>
      <c r="FP372" s="312"/>
      <c r="FQ372" s="312"/>
      <c r="FR372" s="312"/>
      <c r="FS372" s="312"/>
      <c r="FT372" s="312"/>
      <c r="FU372" s="312"/>
      <c r="FV372" s="312"/>
      <c r="FW372" s="312"/>
      <c r="FX372" s="312"/>
      <c r="FY372" s="312"/>
      <c r="FZ372" s="312"/>
      <c r="GA372" s="312"/>
      <c r="GB372" s="312"/>
      <c r="GC372" s="312"/>
      <c r="GD372" s="312"/>
      <c r="GE372" s="312"/>
      <c r="GF372" s="312"/>
      <c r="GG372" s="312"/>
      <c r="GH372" s="312"/>
      <c r="GI372" s="312"/>
      <c r="GJ372" s="312"/>
      <c r="GK372" s="312"/>
      <c r="GL372" s="312"/>
      <c r="GM372" s="312"/>
      <c r="GN372" s="312"/>
      <c r="GO372" s="312"/>
      <c r="GP372" s="312"/>
      <c r="GQ372" s="312"/>
      <c r="GR372" s="312"/>
      <c r="GS372" s="312"/>
      <c r="GT372" s="312"/>
      <c r="GU372" s="312"/>
      <c r="GV372" s="312"/>
      <c r="GW372" s="312"/>
      <c r="GX372" s="312"/>
      <c r="GY372" s="312"/>
    </row>
    <row r="373" spans="2:207" ht="15.75" x14ac:dyDescent="0.25">
      <c r="B373" s="316">
        <f t="shared" si="96"/>
        <v>343</v>
      </c>
      <c r="C373" s="330">
        <f>'סיכום לוועדה'!B373</f>
        <v>1001349220</v>
      </c>
      <c r="D373" s="330">
        <f>'סיכום לוועדה'!C373</f>
        <v>1001280749</v>
      </c>
      <c r="E373" s="330">
        <f>'סיכום לוועדה'!D373</f>
        <v>40465932</v>
      </c>
      <c r="F373" s="330">
        <f>'סיכום לוועדה'!E373</f>
        <v>20000159</v>
      </c>
      <c r="G373" s="330" t="str">
        <f>'סיכום לוועדה'!F373</f>
        <v>ירושלים</v>
      </c>
      <c r="H373" s="317" t="str">
        <f>'סיכום לוועדה'!G373</f>
        <v>תיאטרון האינקובטור (ע"ר)</v>
      </c>
      <c r="I373" s="318">
        <f>'סיכום לוועדה'!U373</f>
        <v>500000</v>
      </c>
      <c r="J373" s="319">
        <f>'סיכום לוועדה'!T373</f>
        <v>358062.33253050142</v>
      </c>
      <c r="K373" s="320">
        <f t="shared" si="97"/>
        <v>0</v>
      </c>
      <c r="L373" s="319">
        <f t="shared" si="98"/>
        <v>358062.33253050142</v>
      </c>
      <c r="M373" s="331">
        <f>'תחום תמיכה ב'!AF373</f>
        <v>2.1911615271297917E-3</v>
      </c>
      <c r="N373" s="319">
        <f t="shared" si="95"/>
        <v>395387.69968345459</v>
      </c>
      <c r="O373" s="321">
        <f t="shared" si="99"/>
        <v>0</v>
      </c>
      <c r="P373" s="322">
        <f t="shared" si="100"/>
        <v>395387.69968345459</v>
      </c>
      <c r="Q373" s="322">
        <f t="shared" si="101"/>
        <v>395567.73014556913</v>
      </c>
      <c r="R373" s="321">
        <f t="shared" si="102"/>
        <v>0</v>
      </c>
      <c r="S373" s="322">
        <f t="shared" si="103"/>
        <v>395567.73014556913</v>
      </c>
      <c r="T373" s="322">
        <f t="shared" si="104"/>
        <v>395567.73014556832</v>
      </c>
      <c r="U373" s="321">
        <f t="shared" si="105"/>
        <v>0</v>
      </c>
      <c r="V373" s="322">
        <f t="shared" si="106"/>
        <v>395567.73014556832</v>
      </c>
      <c r="W373" s="322">
        <f t="shared" si="107"/>
        <v>395567.73014556849</v>
      </c>
      <c r="X373" s="321">
        <f t="shared" si="108"/>
        <v>0</v>
      </c>
      <c r="Y373" s="322">
        <f t="shared" si="109"/>
        <v>395567.73014556849</v>
      </c>
      <c r="Z373" s="322">
        <f t="shared" si="110"/>
        <v>395567.73014556844</v>
      </c>
      <c r="AA373" s="323">
        <f t="shared" si="111"/>
        <v>395567.73014556844</v>
      </c>
      <c r="AB373" s="323"/>
      <c r="AC373" s="323"/>
      <c r="AD373" s="323"/>
      <c r="AE373" s="323"/>
      <c r="AF373" s="324">
        <f t="shared" si="112"/>
        <v>2.2653307769736992E-3</v>
      </c>
      <c r="AG373" s="312"/>
      <c r="AH373" s="312"/>
      <c r="AI373" s="325">
        <f t="shared" si="113"/>
        <v>1</v>
      </c>
      <c r="AJ373" s="312"/>
      <c r="AK373" s="312"/>
      <c r="AL373" s="312"/>
      <c r="AM373" s="312"/>
      <c r="AN373" s="312"/>
      <c r="AO373" s="312"/>
      <c r="AP373" s="312"/>
      <c r="AQ373" s="312"/>
      <c r="AR373" s="312"/>
      <c r="AS373" s="312"/>
      <c r="AT373" s="312"/>
      <c r="AU373" s="312"/>
      <c r="AV373" s="312"/>
      <c r="AW373" s="312"/>
      <c r="AX373" s="312"/>
      <c r="AY373" s="312"/>
      <c r="AZ373" s="312"/>
      <c r="BA373" s="312"/>
      <c r="BB373" s="312"/>
      <c r="BC373" s="312"/>
      <c r="BD373" s="312"/>
      <c r="BE373" s="312"/>
      <c r="BF373" s="312"/>
      <c r="BG373" s="312"/>
      <c r="BH373" s="312"/>
      <c r="BI373" s="312"/>
      <c r="BJ373" s="312"/>
      <c r="BK373" s="312"/>
      <c r="BL373" s="312"/>
      <c r="BM373" s="312"/>
      <c r="BN373" s="312"/>
      <c r="BO373" s="312"/>
      <c r="BP373" s="312"/>
      <c r="BQ373" s="312"/>
      <c r="BR373" s="312"/>
      <c r="BS373" s="312"/>
      <c r="BT373" s="312"/>
      <c r="BU373" s="312"/>
      <c r="BV373" s="312"/>
      <c r="BW373" s="312"/>
      <c r="BX373" s="312"/>
      <c r="BY373" s="312"/>
      <c r="BZ373" s="312"/>
      <c r="CA373" s="312"/>
      <c r="CB373" s="312"/>
      <c r="CC373" s="312"/>
      <c r="CD373" s="312"/>
      <c r="CE373" s="312"/>
      <c r="CF373" s="312"/>
      <c r="CG373" s="312"/>
      <c r="CH373" s="312"/>
      <c r="CI373" s="312"/>
      <c r="CJ373" s="312"/>
      <c r="CK373" s="312"/>
      <c r="CL373" s="312"/>
      <c r="CM373" s="312"/>
      <c r="CN373" s="312"/>
      <c r="CO373" s="312"/>
      <c r="CP373" s="312"/>
      <c r="CQ373" s="312"/>
      <c r="CR373" s="312"/>
      <c r="CS373" s="312"/>
      <c r="CT373" s="312"/>
      <c r="CU373" s="312"/>
      <c r="CV373" s="312"/>
      <c r="CW373" s="312"/>
      <c r="CX373" s="312"/>
      <c r="CY373" s="312"/>
      <c r="CZ373" s="312"/>
      <c r="DA373" s="312"/>
      <c r="DB373" s="312"/>
      <c r="DC373" s="312"/>
      <c r="DD373" s="312"/>
      <c r="DE373" s="312"/>
      <c r="DF373" s="312"/>
      <c r="DG373" s="312"/>
      <c r="DH373" s="312"/>
      <c r="DI373" s="312"/>
      <c r="DJ373" s="312"/>
      <c r="DK373" s="312"/>
      <c r="DL373" s="312"/>
      <c r="DM373" s="312"/>
      <c r="DN373" s="312"/>
      <c r="DO373" s="312"/>
      <c r="DP373" s="312"/>
      <c r="DQ373" s="312"/>
      <c r="DR373" s="312"/>
      <c r="DS373" s="312"/>
      <c r="DT373" s="312"/>
      <c r="DU373" s="312"/>
      <c r="DV373" s="312"/>
      <c r="DW373" s="312"/>
      <c r="DX373" s="312"/>
      <c r="DY373" s="312"/>
      <c r="DZ373" s="312"/>
      <c r="EA373" s="312"/>
      <c r="EB373" s="312"/>
      <c r="EC373" s="312"/>
      <c r="ED373" s="312"/>
      <c r="EE373" s="312"/>
      <c r="EF373" s="312"/>
      <c r="EG373" s="312"/>
      <c r="EH373" s="312"/>
      <c r="EI373" s="312"/>
      <c r="EJ373" s="312"/>
      <c r="EK373" s="312"/>
      <c r="EL373" s="312"/>
      <c r="EM373" s="312"/>
      <c r="EN373" s="312"/>
      <c r="EO373" s="312"/>
      <c r="EP373" s="312"/>
      <c r="EQ373" s="312"/>
      <c r="ER373" s="312"/>
      <c r="ES373" s="312"/>
      <c r="ET373" s="312"/>
      <c r="EU373" s="312"/>
      <c r="EV373" s="312"/>
      <c r="EW373" s="312"/>
      <c r="EX373" s="312"/>
      <c r="EY373" s="312"/>
      <c r="EZ373" s="312"/>
      <c r="FA373" s="312"/>
      <c r="FB373" s="312"/>
      <c r="FC373" s="312"/>
      <c r="FD373" s="312"/>
      <c r="FE373" s="312"/>
      <c r="FF373" s="312"/>
      <c r="FG373" s="312"/>
      <c r="FH373" s="312"/>
      <c r="FI373" s="312"/>
      <c r="FJ373" s="312"/>
      <c r="FK373" s="312"/>
      <c r="FL373" s="312"/>
      <c r="FM373" s="312"/>
      <c r="FN373" s="312"/>
      <c r="FO373" s="312"/>
      <c r="FP373" s="312"/>
      <c r="FQ373" s="312"/>
      <c r="FR373" s="312"/>
      <c r="FS373" s="312"/>
      <c r="FT373" s="312"/>
      <c r="FU373" s="312"/>
      <c r="FV373" s="312"/>
      <c r="FW373" s="312"/>
      <c r="FX373" s="312"/>
      <c r="FY373" s="312"/>
      <c r="FZ373" s="312"/>
      <c r="GA373" s="312"/>
      <c r="GB373" s="312"/>
      <c r="GC373" s="312"/>
      <c r="GD373" s="312"/>
      <c r="GE373" s="312"/>
      <c r="GF373" s="312"/>
      <c r="GG373" s="312"/>
      <c r="GH373" s="312"/>
      <c r="GI373" s="312"/>
      <c r="GJ373" s="312"/>
      <c r="GK373" s="312"/>
      <c r="GL373" s="312"/>
      <c r="GM373" s="312"/>
      <c r="GN373" s="312"/>
      <c r="GO373" s="312"/>
      <c r="GP373" s="312"/>
      <c r="GQ373" s="312"/>
      <c r="GR373" s="312"/>
      <c r="GS373" s="312"/>
      <c r="GT373" s="312"/>
      <c r="GU373" s="312"/>
      <c r="GV373" s="312"/>
      <c r="GW373" s="312"/>
      <c r="GX373" s="312"/>
      <c r="GY373" s="312"/>
    </row>
    <row r="374" spans="2:207" ht="15.75" x14ac:dyDescent="0.25">
      <c r="B374" s="316">
        <f t="shared" si="96"/>
        <v>344</v>
      </c>
      <c r="C374" s="330">
        <f>'סיכום לוועדה'!B374</f>
        <v>1001350587</v>
      </c>
      <c r="D374" s="330">
        <f>'סיכום לוועדה'!C374</f>
        <v>1001302052</v>
      </c>
      <c r="E374" s="330">
        <f>'סיכום לוועדה'!D374</f>
        <v>40822203</v>
      </c>
      <c r="F374" s="330">
        <f>'סיכום לוועדה'!E374</f>
        <v>20000159</v>
      </c>
      <c r="G374" s="330" t="str">
        <f>'סיכום לוועדה'!F374</f>
        <v>ירושלים</v>
      </c>
      <c r="H374" s="317" t="str">
        <f>'סיכום לוועדה'!G374</f>
        <v>הערת שוליים (ע"ר)</v>
      </c>
      <c r="I374" s="318">
        <f>'סיכום לוועדה'!U374</f>
        <v>280000</v>
      </c>
      <c r="J374" s="319">
        <f>'סיכום לוועדה'!T374</f>
        <v>7123.3267919288428</v>
      </c>
      <c r="K374" s="320">
        <f t="shared" si="97"/>
        <v>0</v>
      </c>
      <c r="L374" s="319">
        <f t="shared" si="98"/>
        <v>7123.3267919288428</v>
      </c>
      <c r="M374" s="331">
        <f>'תחום תמיכה ב'!AF374</f>
        <v>3.2620469356402657E-5</v>
      </c>
      <c r="N374" s="319">
        <f t="shared" si="95"/>
        <v>7679.0005660226616</v>
      </c>
      <c r="O374" s="321">
        <f t="shared" si="99"/>
        <v>0</v>
      </c>
      <c r="P374" s="322">
        <f t="shared" si="100"/>
        <v>7679.0005660226616</v>
      </c>
      <c r="Q374" s="322">
        <f t="shared" si="101"/>
        <v>7682.4970177878167</v>
      </c>
      <c r="R374" s="321">
        <f t="shared" si="102"/>
        <v>0</v>
      </c>
      <c r="S374" s="322">
        <f t="shared" si="103"/>
        <v>7682.4970177878167</v>
      </c>
      <c r="T374" s="322">
        <f t="shared" si="104"/>
        <v>7682.4970177878013</v>
      </c>
      <c r="U374" s="321">
        <f t="shared" si="105"/>
        <v>0</v>
      </c>
      <c r="V374" s="322">
        <f t="shared" si="106"/>
        <v>7682.4970177878013</v>
      </c>
      <c r="W374" s="322">
        <f t="shared" si="107"/>
        <v>7682.497017787804</v>
      </c>
      <c r="X374" s="321">
        <f t="shared" si="108"/>
        <v>0</v>
      </c>
      <c r="Y374" s="322">
        <f t="shared" si="109"/>
        <v>7682.497017787804</v>
      </c>
      <c r="Z374" s="322">
        <f t="shared" si="110"/>
        <v>7682.4970177878022</v>
      </c>
      <c r="AA374" s="323">
        <f t="shared" si="111"/>
        <v>7682.4970177878022</v>
      </c>
      <c r="AB374" s="323"/>
      <c r="AC374" s="323"/>
      <c r="AD374" s="323"/>
      <c r="AE374" s="323"/>
      <c r="AF374" s="324">
        <f t="shared" si="112"/>
        <v>4.3995997681608004E-5</v>
      </c>
      <c r="AG374" s="312"/>
      <c r="AH374" s="312"/>
      <c r="AI374" s="325">
        <f t="shared" si="113"/>
        <v>1</v>
      </c>
      <c r="AJ374" s="312"/>
      <c r="AK374" s="312"/>
      <c r="AL374" s="312"/>
      <c r="AM374" s="312"/>
      <c r="AN374" s="312"/>
      <c r="AO374" s="312"/>
      <c r="AP374" s="312"/>
      <c r="AQ374" s="312"/>
      <c r="AR374" s="312"/>
      <c r="AS374" s="312"/>
      <c r="AT374" s="312"/>
      <c r="AU374" s="312"/>
      <c r="AV374" s="312"/>
      <c r="AW374" s="312"/>
      <c r="AX374" s="312"/>
      <c r="AY374" s="312"/>
      <c r="AZ374" s="312"/>
      <c r="BA374" s="312"/>
      <c r="BB374" s="312"/>
      <c r="BC374" s="312"/>
      <c r="BD374" s="312"/>
      <c r="BE374" s="312"/>
      <c r="BF374" s="312"/>
      <c r="BG374" s="312"/>
      <c r="BH374" s="312"/>
      <c r="BI374" s="312"/>
      <c r="BJ374" s="312"/>
      <c r="BK374" s="312"/>
      <c r="BL374" s="312"/>
      <c r="BM374" s="312"/>
      <c r="BN374" s="312"/>
      <c r="BO374" s="312"/>
      <c r="BP374" s="312"/>
      <c r="BQ374" s="312"/>
      <c r="BR374" s="312"/>
      <c r="BS374" s="312"/>
      <c r="BT374" s="312"/>
      <c r="BU374" s="312"/>
      <c r="BV374" s="312"/>
      <c r="BW374" s="312"/>
      <c r="BX374" s="312"/>
      <c r="BY374" s="312"/>
      <c r="BZ374" s="312"/>
      <c r="CA374" s="312"/>
      <c r="CB374" s="312"/>
      <c r="CC374" s="312"/>
      <c r="CD374" s="312"/>
      <c r="CE374" s="312"/>
      <c r="CF374" s="312"/>
      <c r="CG374" s="312"/>
      <c r="CH374" s="312"/>
      <c r="CI374" s="312"/>
      <c r="CJ374" s="312"/>
      <c r="CK374" s="312"/>
      <c r="CL374" s="312"/>
      <c r="CM374" s="312"/>
      <c r="CN374" s="312"/>
      <c r="CO374" s="312"/>
      <c r="CP374" s="312"/>
      <c r="CQ374" s="312"/>
      <c r="CR374" s="312"/>
      <c r="CS374" s="312"/>
      <c r="CT374" s="312"/>
      <c r="CU374" s="312"/>
      <c r="CV374" s="312"/>
      <c r="CW374" s="312"/>
      <c r="CX374" s="312"/>
      <c r="CY374" s="312"/>
      <c r="CZ374" s="312"/>
      <c r="DA374" s="312"/>
      <c r="DB374" s="312"/>
      <c r="DC374" s="312"/>
      <c r="DD374" s="312"/>
      <c r="DE374" s="312"/>
      <c r="DF374" s="312"/>
      <c r="DG374" s="312"/>
      <c r="DH374" s="312"/>
      <c r="DI374" s="312"/>
      <c r="DJ374" s="312"/>
      <c r="DK374" s="312"/>
      <c r="DL374" s="312"/>
      <c r="DM374" s="312"/>
      <c r="DN374" s="312"/>
      <c r="DO374" s="312"/>
      <c r="DP374" s="312"/>
      <c r="DQ374" s="312"/>
      <c r="DR374" s="312"/>
      <c r="DS374" s="312"/>
      <c r="DT374" s="312"/>
      <c r="DU374" s="312"/>
      <c r="DV374" s="312"/>
      <c r="DW374" s="312"/>
      <c r="DX374" s="312"/>
      <c r="DY374" s="312"/>
      <c r="DZ374" s="312"/>
      <c r="EA374" s="312"/>
      <c r="EB374" s="312"/>
      <c r="EC374" s="312"/>
      <c r="ED374" s="312"/>
      <c r="EE374" s="312"/>
      <c r="EF374" s="312"/>
      <c r="EG374" s="312"/>
      <c r="EH374" s="312"/>
      <c r="EI374" s="312"/>
      <c r="EJ374" s="312"/>
      <c r="EK374" s="312"/>
      <c r="EL374" s="312"/>
      <c r="EM374" s="312"/>
      <c r="EN374" s="312"/>
      <c r="EO374" s="312"/>
      <c r="EP374" s="312"/>
      <c r="EQ374" s="312"/>
      <c r="ER374" s="312"/>
      <c r="ES374" s="312"/>
      <c r="ET374" s="312"/>
      <c r="EU374" s="312"/>
      <c r="EV374" s="312"/>
      <c r="EW374" s="312"/>
      <c r="EX374" s="312"/>
      <c r="EY374" s="312"/>
      <c r="EZ374" s="312"/>
      <c r="FA374" s="312"/>
      <c r="FB374" s="312"/>
      <c r="FC374" s="312"/>
      <c r="FD374" s="312"/>
      <c r="FE374" s="312"/>
      <c r="FF374" s="312"/>
      <c r="FG374" s="312"/>
      <c r="FH374" s="312"/>
      <c r="FI374" s="312"/>
      <c r="FJ374" s="312"/>
      <c r="FK374" s="312"/>
      <c r="FL374" s="312"/>
      <c r="FM374" s="312"/>
      <c r="FN374" s="312"/>
      <c r="FO374" s="312"/>
      <c r="FP374" s="312"/>
      <c r="FQ374" s="312"/>
      <c r="FR374" s="312"/>
      <c r="FS374" s="312"/>
      <c r="FT374" s="312"/>
      <c r="FU374" s="312"/>
      <c r="FV374" s="312"/>
      <c r="FW374" s="312"/>
      <c r="FX374" s="312"/>
      <c r="FY374" s="312"/>
      <c r="FZ374" s="312"/>
      <c r="GA374" s="312"/>
      <c r="GB374" s="312"/>
      <c r="GC374" s="312"/>
      <c r="GD374" s="312"/>
      <c r="GE374" s="312"/>
      <c r="GF374" s="312"/>
      <c r="GG374" s="312"/>
      <c r="GH374" s="312"/>
      <c r="GI374" s="312"/>
      <c r="GJ374" s="312"/>
      <c r="GK374" s="312"/>
      <c r="GL374" s="312"/>
      <c r="GM374" s="312"/>
      <c r="GN374" s="312"/>
      <c r="GO374" s="312"/>
      <c r="GP374" s="312"/>
      <c r="GQ374" s="312"/>
      <c r="GR374" s="312"/>
      <c r="GS374" s="312"/>
      <c r="GT374" s="312"/>
      <c r="GU374" s="312"/>
      <c r="GV374" s="312"/>
      <c r="GW374" s="312"/>
      <c r="GX374" s="312"/>
      <c r="GY374" s="312"/>
    </row>
    <row r="375" spans="2:207" ht="15.75" x14ac:dyDescent="0.25">
      <c r="B375" s="316">
        <f t="shared" si="96"/>
        <v>345</v>
      </c>
      <c r="C375" s="330">
        <f>'סיכום לוועדה'!B375</f>
        <v>1001347740</v>
      </c>
      <c r="D375" s="330">
        <f>'סיכום לוועדה'!C375</f>
        <v>1001265444</v>
      </c>
      <c r="E375" s="330">
        <f>'סיכום לוועדה'!D375</f>
        <v>41376759</v>
      </c>
      <c r="F375" s="330">
        <f>'סיכום לוועדה'!E375</f>
        <v>20000159</v>
      </c>
      <c r="G375" s="330" t="str">
        <f>'סיכום לוועדה'!F375</f>
        <v>ירושלים</v>
      </c>
      <c r="H375" s="317" t="str">
        <f>'סיכום לוועדה'!G375</f>
        <v>בין שמיים לארץ (ע"ר)</v>
      </c>
      <c r="I375" s="318">
        <f>'סיכום לוועדה'!U375</f>
        <v>600000</v>
      </c>
      <c r="J375" s="319">
        <f>'סיכום לוועדה'!T375</f>
        <v>86990.80700078301</v>
      </c>
      <c r="K375" s="320">
        <f t="shared" si="97"/>
        <v>0</v>
      </c>
      <c r="L375" s="319">
        <f t="shared" si="98"/>
        <v>86990.80700078301</v>
      </c>
      <c r="M375" s="331">
        <f>'תחום תמיכה ב'!AF375</f>
        <v>5.0364337212343625E-4</v>
      </c>
      <c r="N375" s="319">
        <f t="shared" si="95"/>
        <v>95570.126026744139</v>
      </c>
      <c r="O375" s="321">
        <f t="shared" si="99"/>
        <v>0</v>
      </c>
      <c r="P375" s="322">
        <f t="shared" si="100"/>
        <v>95570.126026744139</v>
      </c>
      <c r="Q375" s="322">
        <f t="shared" si="101"/>
        <v>95613.641629193866</v>
      </c>
      <c r="R375" s="321">
        <f t="shared" si="102"/>
        <v>0</v>
      </c>
      <c r="S375" s="322">
        <f t="shared" si="103"/>
        <v>95613.641629193866</v>
      </c>
      <c r="T375" s="322">
        <f t="shared" si="104"/>
        <v>95613.641629193677</v>
      </c>
      <c r="U375" s="321">
        <f t="shared" si="105"/>
        <v>0</v>
      </c>
      <c r="V375" s="322">
        <f t="shared" si="106"/>
        <v>95613.641629193677</v>
      </c>
      <c r="W375" s="322">
        <f t="shared" si="107"/>
        <v>95613.641629193706</v>
      </c>
      <c r="X375" s="321">
        <f t="shared" si="108"/>
        <v>0</v>
      </c>
      <c r="Y375" s="322">
        <f t="shared" si="109"/>
        <v>95613.641629193706</v>
      </c>
      <c r="Z375" s="322">
        <f t="shared" si="110"/>
        <v>95613.641629193691</v>
      </c>
      <c r="AA375" s="323">
        <f t="shared" si="111"/>
        <v>95613.641629193691</v>
      </c>
      <c r="AB375" s="323"/>
      <c r="AC375" s="323"/>
      <c r="AD375" s="323"/>
      <c r="AE375" s="323"/>
      <c r="AF375" s="324">
        <f t="shared" si="112"/>
        <v>5.4755863174541289E-4</v>
      </c>
      <c r="AG375" s="312"/>
      <c r="AH375" s="312"/>
      <c r="AI375" s="325">
        <f t="shared" si="113"/>
        <v>1</v>
      </c>
      <c r="AJ375" s="312"/>
      <c r="AK375" s="312"/>
      <c r="AL375" s="312"/>
      <c r="AM375" s="312"/>
      <c r="AN375" s="312"/>
      <c r="AO375" s="312"/>
      <c r="AP375" s="312"/>
      <c r="AQ375" s="312"/>
      <c r="AR375" s="312"/>
      <c r="AS375" s="312"/>
      <c r="AT375" s="312"/>
      <c r="AU375" s="312"/>
      <c r="AV375" s="312"/>
      <c r="AW375" s="312"/>
      <c r="AX375" s="312"/>
      <c r="AY375" s="312"/>
      <c r="AZ375" s="312"/>
      <c r="BA375" s="312"/>
      <c r="BB375" s="312"/>
      <c r="BC375" s="312"/>
      <c r="BD375" s="312"/>
      <c r="BE375" s="312"/>
      <c r="BF375" s="312"/>
      <c r="BG375" s="312"/>
      <c r="BH375" s="312"/>
      <c r="BI375" s="312"/>
      <c r="BJ375" s="312"/>
      <c r="BK375" s="312"/>
      <c r="BL375" s="312"/>
      <c r="BM375" s="312"/>
      <c r="BN375" s="312"/>
      <c r="BO375" s="312"/>
      <c r="BP375" s="312"/>
      <c r="BQ375" s="312"/>
      <c r="BR375" s="312"/>
      <c r="BS375" s="312"/>
      <c r="BT375" s="312"/>
      <c r="BU375" s="312"/>
      <c r="BV375" s="312"/>
      <c r="BW375" s="312"/>
      <c r="BX375" s="312"/>
      <c r="BY375" s="312"/>
      <c r="BZ375" s="312"/>
      <c r="CA375" s="312"/>
      <c r="CB375" s="312"/>
      <c r="CC375" s="312"/>
      <c r="CD375" s="312"/>
      <c r="CE375" s="312"/>
      <c r="CF375" s="312"/>
      <c r="CG375" s="312"/>
      <c r="CH375" s="312"/>
      <c r="CI375" s="312"/>
      <c r="CJ375" s="312"/>
      <c r="CK375" s="312"/>
      <c r="CL375" s="312"/>
      <c r="CM375" s="312"/>
      <c r="CN375" s="312"/>
      <c r="CO375" s="312"/>
      <c r="CP375" s="312"/>
      <c r="CQ375" s="312"/>
      <c r="CR375" s="312"/>
      <c r="CS375" s="312"/>
      <c r="CT375" s="312"/>
      <c r="CU375" s="312"/>
      <c r="CV375" s="312"/>
      <c r="CW375" s="312"/>
      <c r="CX375" s="312"/>
      <c r="CY375" s="312"/>
      <c r="CZ375" s="312"/>
      <c r="DA375" s="312"/>
      <c r="DB375" s="312"/>
      <c r="DC375" s="312"/>
      <c r="DD375" s="312"/>
      <c r="DE375" s="312"/>
      <c r="DF375" s="312"/>
      <c r="DG375" s="312"/>
      <c r="DH375" s="312"/>
      <c r="DI375" s="312"/>
      <c r="DJ375" s="312"/>
      <c r="DK375" s="312"/>
      <c r="DL375" s="312"/>
      <c r="DM375" s="312"/>
      <c r="DN375" s="312"/>
      <c r="DO375" s="312"/>
      <c r="DP375" s="312"/>
      <c r="DQ375" s="312"/>
      <c r="DR375" s="312"/>
      <c r="DS375" s="312"/>
      <c r="DT375" s="312"/>
      <c r="DU375" s="312"/>
      <c r="DV375" s="312"/>
      <c r="DW375" s="312"/>
      <c r="DX375" s="312"/>
      <c r="DY375" s="312"/>
      <c r="DZ375" s="312"/>
      <c r="EA375" s="312"/>
      <c r="EB375" s="312"/>
      <c r="EC375" s="312"/>
      <c r="ED375" s="312"/>
      <c r="EE375" s="312"/>
      <c r="EF375" s="312"/>
      <c r="EG375" s="312"/>
      <c r="EH375" s="312"/>
      <c r="EI375" s="312"/>
      <c r="EJ375" s="312"/>
      <c r="EK375" s="312"/>
      <c r="EL375" s="312"/>
      <c r="EM375" s="312"/>
      <c r="EN375" s="312"/>
      <c r="EO375" s="312"/>
      <c r="EP375" s="312"/>
      <c r="EQ375" s="312"/>
      <c r="ER375" s="312"/>
      <c r="ES375" s="312"/>
      <c r="ET375" s="312"/>
      <c r="EU375" s="312"/>
      <c r="EV375" s="312"/>
      <c r="EW375" s="312"/>
      <c r="EX375" s="312"/>
      <c r="EY375" s="312"/>
      <c r="EZ375" s="312"/>
      <c r="FA375" s="312"/>
      <c r="FB375" s="312"/>
      <c r="FC375" s="312"/>
      <c r="FD375" s="312"/>
      <c r="FE375" s="312"/>
      <c r="FF375" s="312"/>
      <c r="FG375" s="312"/>
      <c r="FH375" s="312"/>
      <c r="FI375" s="312"/>
      <c r="FJ375" s="312"/>
      <c r="FK375" s="312"/>
      <c r="FL375" s="312"/>
      <c r="FM375" s="312"/>
      <c r="FN375" s="312"/>
      <c r="FO375" s="312"/>
      <c r="FP375" s="312"/>
      <c r="FQ375" s="312"/>
      <c r="FR375" s="312"/>
      <c r="FS375" s="312"/>
      <c r="FT375" s="312"/>
      <c r="FU375" s="312"/>
      <c r="FV375" s="312"/>
      <c r="FW375" s="312"/>
      <c r="FX375" s="312"/>
      <c r="FY375" s="312"/>
      <c r="FZ375" s="312"/>
      <c r="GA375" s="312"/>
      <c r="GB375" s="312"/>
      <c r="GC375" s="312"/>
      <c r="GD375" s="312"/>
      <c r="GE375" s="312"/>
      <c r="GF375" s="312"/>
      <c r="GG375" s="312"/>
      <c r="GH375" s="312"/>
      <c r="GI375" s="312"/>
      <c r="GJ375" s="312"/>
      <c r="GK375" s="312"/>
      <c r="GL375" s="312"/>
      <c r="GM375" s="312"/>
      <c r="GN375" s="312"/>
      <c r="GO375" s="312"/>
      <c r="GP375" s="312"/>
      <c r="GQ375" s="312"/>
      <c r="GR375" s="312"/>
      <c r="GS375" s="312"/>
      <c r="GT375" s="312"/>
      <c r="GU375" s="312"/>
      <c r="GV375" s="312"/>
      <c r="GW375" s="312"/>
      <c r="GX375" s="312"/>
      <c r="GY375" s="312"/>
    </row>
    <row r="376" spans="2:207" ht="15.75" x14ac:dyDescent="0.25">
      <c r="B376" s="316">
        <f t="shared" si="96"/>
        <v>346</v>
      </c>
      <c r="C376" s="330">
        <f>'סיכום לוועדה'!B376</f>
        <v>1001348720</v>
      </c>
      <c r="D376" s="330">
        <f>'סיכום לוועדה'!C376</f>
        <v>1001266717</v>
      </c>
      <c r="E376" s="330">
        <f>'סיכום לוועדה'!D376</f>
        <v>41376759</v>
      </c>
      <c r="F376" s="330">
        <f>'סיכום לוועדה'!E376</f>
        <v>20000159</v>
      </c>
      <c r="G376" s="330" t="str">
        <f>'סיכום לוועדה'!F376</f>
        <v>ירושלים</v>
      </c>
      <c r="H376" s="317" t="str">
        <f>'סיכום לוועדה'!G376</f>
        <v>בין שמיים לארץ (ע"ר)</v>
      </c>
      <c r="I376" s="318">
        <f>'סיכום לוועדה'!U376</f>
        <v>400000</v>
      </c>
      <c r="J376" s="319">
        <f>'סיכום לוועדה'!T376</f>
        <v>14602.603763369969</v>
      </c>
      <c r="K376" s="320">
        <f t="shared" si="97"/>
        <v>0</v>
      </c>
      <c r="L376" s="319">
        <f t="shared" si="98"/>
        <v>14602.603763369969</v>
      </c>
      <c r="M376" s="331">
        <f>'תחום תמיכה ב'!AF376</f>
        <v>6.8898465150090229E-5</v>
      </c>
      <c r="N376" s="319">
        <f t="shared" si="95"/>
        <v>15776.255489251946</v>
      </c>
      <c r="O376" s="321">
        <f t="shared" si="99"/>
        <v>0</v>
      </c>
      <c r="P376" s="322">
        <f t="shared" si="100"/>
        <v>15776.255489251946</v>
      </c>
      <c r="Q376" s="322">
        <f t="shared" si="101"/>
        <v>15783.438835037465</v>
      </c>
      <c r="R376" s="321">
        <f t="shared" si="102"/>
        <v>0</v>
      </c>
      <c r="S376" s="322">
        <f t="shared" si="103"/>
        <v>15783.438835037465</v>
      </c>
      <c r="T376" s="322">
        <f t="shared" si="104"/>
        <v>15783.438835037434</v>
      </c>
      <c r="U376" s="321">
        <f t="shared" si="105"/>
        <v>0</v>
      </c>
      <c r="V376" s="322">
        <f t="shared" si="106"/>
        <v>15783.438835037434</v>
      </c>
      <c r="W376" s="322">
        <f t="shared" si="107"/>
        <v>15783.438835037441</v>
      </c>
      <c r="X376" s="321">
        <f t="shared" si="108"/>
        <v>0</v>
      </c>
      <c r="Y376" s="322">
        <f t="shared" si="109"/>
        <v>15783.438835037441</v>
      </c>
      <c r="Z376" s="322">
        <f t="shared" si="110"/>
        <v>15783.438835037437</v>
      </c>
      <c r="AA376" s="323">
        <f t="shared" si="111"/>
        <v>15783.438835037437</v>
      </c>
      <c r="AB376" s="323"/>
      <c r="AC376" s="323"/>
      <c r="AD376" s="323"/>
      <c r="AE376" s="323"/>
      <c r="AF376" s="324">
        <f t="shared" si="112"/>
        <v>9.0388338164830911E-5</v>
      </c>
      <c r="AG376" s="312"/>
      <c r="AH376" s="312"/>
      <c r="AI376" s="325">
        <f t="shared" si="113"/>
        <v>1</v>
      </c>
      <c r="AJ376" s="312"/>
      <c r="AK376" s="312"/>
      <c r="AL376" s="312"/>
      <c r="AM376" s="312"/>
      <c r="AN376" s="312"/>
      <c r="AO376" s="312"/>
      <c r="AP376" s="312"/>
      <c r="AQ376" s="312"/>
      <c r="AR376" s="312"/>
      <c r="AS376" s="312"/>
      <c r="AT376" s="312"/>
      <c r="AU376" s="312"/>
      <c r="AV376" s="312"/>
      <c r="AW376" s="312"/>
      <c r="AX376" s="312"/>
      <c r="AY376" s="312"/>
      <c r="AZ376" s="312"/>
      <c r="BA376" s="312"/>
      <c r="BB376" s="312"/>
      <c r="BC376" s="312"/>
      <c r="BD376" s="312"/>
      <c r="BE376" s="312"/>
      <c r="BF376" s="312"/>
      <c r="BG376" s="312"/>
      <c r="BH376" s="312"/>
      <c r="BI376" s="312"/>
      <c r="BJ376" s="312"/>
      <c r="BK376" s="312"/>
      <c r="BL376" s="312"/>
      <c r="BM376" s="312"/>
      <c r="BN376" s="312"/>
      <c r="BO376" s="312"/>
      <c r="BP376" s="312"/>
      <c r="BQ376" s="312"/>
      <c r="BR376" s="312"/>
      <c r="BS376" s="312"/>
      <c r="BT376" s="312"/>
      <c r="BU376" s="312"/>
      <c r="BV376" s="312"/>
      <c r="BW376" s="312"/>
      <c r="BX376" s="312"/>
      <c r="BY376" s="312"/>
      <c r="BZ376" s="312"/>
      <c r="CA376" s="312"/>
      <c r="CB376" s="312"/>
      <c r="CC376" s="312"/>
      <c r="CD376" s="312"/>
      <c r="CE376" s="312"/>
      <c r="CF376" s="312"/>
      <c r="CG376" s="312"/>
      <c r="CH376" s="312"/>
      <c r="CI376" s="312"/>
      <c r="CJ376" s="312"/>
      <c r="CK376" s="312"/>
      <c r="CL376" s="312"/>
      <c r="CM376" s="312"/>
      <c r="CN376" s="312"/>
      <c r="CO376" s="312"/>
      <c r="CP376" s="312"/>
      <c r="CQ376" s="312"/>
      <c r="CR376" s="312"/>
      <c r="CS376" s="312"/>
      <c r="CT376" s="312"/>
      <c r="CU376" s="312"/>
      <c r="CV376" s="312"/>
      <c r="CW376" s="312"/>
      <c r="CX376" s="312"/>
      <c r="CY376" s="312"/>
      <c r="CZ376" s="312"/>
      <c r="DA376" s="312"/>
      <c r="DB376" s="312"/>
      <c r="DC376" s="312"/>
      <c r="DD376" s="312"/>
      <c r="DE376" s="312"/>
      <c r="DF376" s="312"/>
      <c r="DG376" s="312"/>
      <c r="DH376" s="312"/>
      <c r="DI376" s="312"/>
      <c r="DJ376" s="312"/>
      <c r="DK376" s="312"/>
      <c r="DL376" s="312"/>
      <c r="DM376" s="312"/>
      <c r="DN376" s="312"/>
      <c r="DO376" s="312"/>
      <c r="DP376" s="312"/>
      <c r="DQ376" s="312"/>
      <c r="DR376" s="312"/>
      <c r="DS376" s="312"/>
      <c r="DT376" s="312"/>
      <c r="DU376" s="312"/>
      <c r="DV376" s="312"/>
      <c r="DW376" s="312"/>
      <c r="DX376" s="312"/>
      <c r="DY376" s="312"/>
      <c r="DZ376" s="312"/>
      <c r="EA376" s="312"/>
      <c r="EB376" s="312"/>
      <c r="EC376" s="312"/>
      <c r="ED376" s="312"/>
      <c r="EE376" s="312"/>
      <c r="EF376" s="312"/>
      <c r="EG376" s="312"/>
      <c r="EH376" s="312"/>
      <c r="EI376" s="312"/>
      <c r="EJ376" s="312"/>
      <c r="EK376" s="312"/>
      <c r="EL376" s="312"/>
      <c r="EM376" s="312"/>
      <c r="EN376" s="312"/>
      <c r="EO376" s="312"/>
      <c r="EP376" s="312"/>
      <c r="EQ376" s="312"/>
      <c r="ER376" s="312"/>
      <c r="ES376" s="312"/>
      <c r="ET376" s="312"/>
      <c r="EU376" s="312"/>
      <c r="EV376" s="312"/>
      <c r="EW376" s="312"/>
      <c r="EX376" s="312"/>
      <c r="EY376" s="312"/>
      <c r="EZ376" s="312"/>
      <c r="FA376" s="312"/>
      <c r="FB376" s="312"/>
      <c r="FC376" s="312"/>
      <c r="FD376" s="312"/>
      <c r="FE376" s="312"/>
      <c r="FF376" s="312"/>
      <c r="FG376" s="312"/>
      <c r="FH376" s="312"/>
      <c r="FI376" s="312"/>
      <c r="FJ376" s="312"/>
      <c r="FK376" s="312"/>
      <c r="FL376" s="312"/>
      <c r="FM376" s="312"/>
      <c r="FN376" s="312"/>
      <c r="FO376" s="312"/>
      <c r="FP376" s="312"/>
      <c r="FQ376" s="312"/>
      <c r="FR376" s="312"/>
      <c r="FS376" s="312"/>
      <c r="FT376" s="312"/>
      <c r="FU376" s="312"/>
      <c r="FV376" s="312"/>
      <c r="FW376" s="312"/>
      <c r="FX376" s="312"/>
      <c r="FY376" s="312"/>
      <c r="FZ376" s="312"/>
      <c r="GA376" s="312"/>
      <c r="GB376" s="312"/>
      <c r="GC376" s="312"/>
      <c r="GD376" s="312"/>
      <c r="GE376" s="312"/>
      <c r="GF376" s="312"/>
      <c r="GG376" s="312"/>
      <c r="GH376" s="312"/>
      <c r="GI376" s="312"/>
      <c r="GJ376" s="312"/>
      <c r="GK376" s="312"/>
      <c r="GL376" s="312"/>
      <c r="GM376" s="312"/>
      <c r="GN376" s="312"/>
      <c r="GO376" s="312"/>
      <c r="GP376" s="312"/>
      <c r="GQ376" s="312"/>
      <c r="GR376" s="312"/>
      <c r="GS376" s="312"/>
      <c r="GT376" s="312"/>
      <c r="GU376" s="312"/>
      <c r="GV376" s="312"/>
      <c r="GW376" s="312"/>
      <c r="GX376" s="312"/>
      <c r="GY376" s="312"/>
    </row>
    <row r="377" spans="2:207" ht="15.75" x14ac:dyDescent="0.25">
      <c r="B377" s="316">
        <f t="shared" si="96"/>
        <v>347</v>
      </c>
      <c r="C377" s="330">
        <f>'סיכום לוועדה'!B377</f>
        <v>1001348726</v>
      </c>
      <c r="D377" s="330">
        <f>'סיכום לוועדה'!C377</f>
        <v>1001266714</v>
      </c>
      <c r="E377" s="330">
        <f>'סיכום לוועדה'!D377</f>
        <v>41376759</v>
      </c>
      <c r="F377" s="330">
        <f>'סיכום לוועדה'!E377</f>
        <v>20000159</v>
      </c>
      <c r="G377" s="330" t="str">
        <f>'סיכום לוועדה'!F377</f>
        <v>ירושלים</v>
      </c>
      <c r="H377" s="317" t="str">
        <f>'סיכום לוועדה'!G377</f>
        <v>בין שמיים לארץ (ע"ר)</v>
      </c>
      <c r="I377" s="318">
        <f>'סיכום לוועדה'!U377</f>
        <v>400000</v>
      </c>
      <c r="J377" s="319">
        <f>'סיכום לוועדה'!T377</f>
        <v>32314.71667999366</v>
      </c>
      <c r="K377" s="320">
        <f t="shared" si="97"/>
        <v>0</v>
      </c>
      <c r="L377" s="319">
        <f t="shared" si="98"/>
        <v>32314.71667999366</v>
      </c>
      <c r="M377" s="331">
        <f>'תחום תמיכה ב'!AF377</f>
        <v>1.8260982166691444E-4</v>
      </c>
      <c r="N377" s="319">
        <f t="shared" si="95"/>
        <v>35425.385863922405</v>
      </c>
      <c r="O377" s="321">
        <f t="shared" si="99"/>
        <v>0</v>
      </c>
      <c r="P377" s="322">
        <f t="shared" si="100"/>
        <v>35425.385863922405</v>
      </c>
      <c r="Q377" s="322">
        <f t="shared" si="101"/>
        <v>35441.515977713942</v>
      </c>
      <c r="R377" s="321">
        <f t="shared" si="102"/>
        <v>0</v>
      </c>
      <c r="S377" s="322">
        <f t="shared" si="103"/>
        <v>35441.515977713942</v>
      </c>
      <c r="T377" s="322">
        <f t="shared" si="104"/>
        <v>35441.515977713869</v>
      </c>
      <c r="U377" s="321">
        <f t="shared" si="105"/>
        <v>0</v>
      </c>
      <c r="V377" s="322">
        <f t="shared" si="106"/>
        <v>35441.515977713869</v>
      </c>
      <c r="W377" s="322">
        <f t="shared" si="107"/>
        <v>35441.515977713883</v>
      </c>
      <c r="X377" s="321">
        <f t="shared" si="108"/>
        <v>0</v>
      </c>
      <c r="Y377" s="322">
        <f t="shared" si="109"/>
        <v>35441.515977713883</v>
      </c>
      <c r="Z377" s="322">
        <f t="shared" si="110"/>
        <v>35441.515977713876</v>
      </c>
      <c r="AA377" s="323">
        <f t="shared" si="111"/>
        <v>35441.515977713876</v>
      </c>
      <c r="AB377" s="323"/>
      <c r="AC377" s="323"/>
      <c r="AD377" s="323"/>
      <c r="AE377" s="323"/>
      <c r="AF377" s="324">
        <f t="shared" si="112"/>
        <v>2.0296589132125342E-4</v>
      </c>
      <c r="AG377" s="312"/>
      <c r="AH377" s="312"/>
      <c r="AI377" s="325">
        <f t="shared" si="113"/>
        <v>1</v>
      </c>
      <c r="AJ377" s="312"/>
      <c r="AK377" s="312"/>
      <c r="AL377" s="312"/>
      <c r="AM377" s="312"/>
      <c r="AN377" s="312"/>
      <c r="AO377" s="312"/>
      <c r="AP377" s="312"/>
      <c r="AQ377" s="312"/>
      <c r="AR377" s="312"/>
      <c r="AS377" s="312"/>
      <c r="AT377" s="312"/>
      <c r="AU377" s="312"/>
      <c r="AV377" s="312"/>
      <c r="AW377" s="312"/>
      <c r="AX377" s="312"/>
      <c r="AY377" s="312"/>
      <c r="AZ377" s="312"/>
      <c r="BA377" s="312"/>
      <c r="BB377" s="312"/>
      <c r="BC377" s="312"/>
      <c r="BD377" s="312"/>
      <c r="BE377" s="312"/>
      <c r="BF377" s="312"/>
      <c r="BG377" s="312"/>
      <c r="BH377" s="312"/>
      <c r="BI377" s="312"/>
      <c r="BJ377" s="312"/>
      <c r="BK377" s="312"/>
      <c r="BL377" s="312"/>
      <c r="BM377" s="312"/>
      <c r="BN377" s="312"/>
      <c r="BO377" s="312"/>
      <c r="BP377" s="312"/>
      <c r="BQ377" s="312"/>
      <c r="BR377" s="312"/>
      <c r="BS377" s="312"/>
      <c r="BT377" s="312"/>
      <c r="BU377" s="312"/>
      <c r="BV377" s="312"/>
      <c r="BW377" s="312"/>
      <c r="BX377" s="312"/>
      <c r="BY377" s="312"/>
      <c r="BZ377" s="312"/>
      <c r="CA377" s="312"/>
      <c r="CB377" s="312"/>
      <c r="CC377" s="312"/>
      <c r="CD377" s="312"/>
      <c r="CE377" s="312"/>
      <c r="CF377" s="312"/>
      <c r="CG377" s="312"/>
      <c r="CH377" s="312"/>
      <c r="CI377" s="312"/>
      <c r="CJ377" s="312"/>
      <c r="CK377" s="312"/>
      <c r="CL377" s="312"/>
      <c r="CM377" s="312"/>
      <c r="CN377" s="312"/>
      <c r="CO377" s="312"/>
      <c r="CP377" s="312"/>
      <c r="CQ377" s="312"/>
      <c r="CR377" s="312"/>
      <c r="CS377" s="312"/>
      <c r="CT377" s="312"/>
      <c r="CU377" s="312"/>
      <c r="CV377" s="312"/>
      <c r="CW377" s="312"/>
      <c r="CX377" s="312"/>
      <c r="CY377" s="312"/>
      <c r="CZ377" s="312"/>
      <c r="DA377" s="312"/>
      <c r="DB377" s="312"/>
      <c r="DC377" s="312"/>
      <c r="DD377" s="312"/>
      <c r="DE377" s="312"/>
      <c r="DF377" s="312"/>
      <c r="DG377" s="312"/>
      <c r="DH377" s="312"/>
      <c r="DI377" s="312"/>
      <c r="DJ377" s="312"/>
      <c r="DK377" s="312"/>
      <c r="DL377" s="312"/>
      <c r="DM377" s="312"/>
      <c r="DN377" s="312"/>
      <c r="DO377" s="312"/>
      <c r="DP377" s="312"/>
      <c r="DQ377" s="312"/>
      <c r="DR377" s="312"/>
      <c r="DS377" s="312"/>
      <c r="DT377" s="312"/>
      <c r="DU377" s="312"/>
      <c r="DV377" s="312"/>
      <c r="DW377" s="312"/>
      <c r="DX377" s="312"/>
      <c r="DY377" s="312"/>
      <c r="DZ377" s="312"/>
      <c r="EA377" s="312"/>
      <c r="EB377" s="312"/>
      <c r="EC377" s="312"/>
      <c r="ED377" s="312"/>
      <c r="EE377" s="312"/>
      <c r="EF377" s="312"/>
      <c r="EG377" s="312"/>
      <c r="EH377" s="312"/>
      <c r="EI377" s="312"/>
      <c r="EJ377" s="312"/>
      <c r="EK377" s="312"/>
      <c r="EL377" s="312"/>
      <c r="EM377" s="312"/>
      <c r="EN377" s="312"/>
      <c r="EO377" s="312"/>
      <c r="EP377" s="312"/>
      <c r="EQ377" s="312"/>
      <c r="ER377" s="312"/>
      <c r="ES377" s="312"/>
      <c r="ET377" s="312"/>
      <c r="EU377" s="312"/>
      <c r="EV377" s="312"/>
      <c r="EW377" s="312"/>
      <c r="EX377" s="312"/>
      <c r="EY377" s="312"/>
      <c r="EZ377" s="312"/>
      <c r="FA377" s="312"/>
      <c r="FB377" s="312"/>
      <c r="FC377" s="312"/>
      <c r="FD377" s="312"/>
      <c r="FE377" s="312"/>
      <c r="FF377" s="312"/>
      <c r="FG377" s="312"/>
      <c r="FH377" s="312"/>
      <c r="FI377" s="312"/>
      <c r="FJ377" s="312"/>
      <c r="FK377" s="312"/>
      <c r="FL377" s="312"/>
      <c r="FM377" s="312"/>
      <c r="FN377" s="312"/>
      <c r="FO377" s="312"/>
      <c r="FP377" s="312"/>
      <c r="FQ377" s="312"/>
      <c r="FR377" s="312"/>
      <c r="FS377" s="312"/>
      <c r="FT377" s="312"/>
      <c r="FU377" s="312"/>
      <c r="FV377" s="312"/>
      <c r="FW377" s="312"/>
      <c r="FX377" s="312"/>
      <c r="FY377" s="312"/>
      <c r="FZ377" s="312"/>
      <c r="GA377" s="312"/>
      <c r="GB377" s="312"/>
      <c r="GC377" s="312"/>
      <c r="GD377" s="312"/>
      <c r="GE377" s="312"/>
      <c r="GF377" s="312"/>
      <c r="GG377" s="312"/>
      <c r="GH377" s="312"/>
      <c r="GI377" s="312"/>
      <c r="GJ377" s="312"/>
      <c r="GK377" s="312"/>
      <c r="GL377" s="312"/>
      <c r="GM377" s="312"/>
      <c r="GN377" s="312"/>
      <c r="GO377" s="312"/>
      <c r="GP377" s="312"/>
      <c r="GQ377" s="312"/>
      <c r="GR377" s="312"/>
      <c r="GS377" s="312"/>
      <c r="GT377" s="312"/>
      <c r="GU377" s="312"/>
      <c r="GV377" s="312"/>
      <c r="GW377" s="312"/>
      <c r="GX377" s="312"/>
      <c r="GY377" s="312"/>
    </row>
    <row r="378" spans="2:207" ht="15.75" x14ac:dyDescent="0.25">
      <c r="B378" s="316">
        <f t="shared" si="96"/>
        <v>348</v>
      </c>
      <c r="C378" s="330">
        <f>'סיכום לוועדה'!B378</f>
        <v>1001348730</v>
      </c>
      <c r="D378" s="330">
        <f>'סיכום לוועדה'!C378</f>
        <v>1001266783</v>
      </c>
      <c r="E378" s="330">
        <f>'סיכום לוועדה'!D378</f>
        <v>41376759</v>
      </c>
      <c r="F378" s="330">
        <f>'סיכום לוועדה'!E378</f>
        <v>20000159</v>
      </c>
      <c r="G378" s="330" t="str">
        <f>'סיכום לוועדה'!F378</f>
        <v>ירושלים</v>
      </c>
      <c r="H378" s="317" t="str">
        <f>'סיכום לוועדה'!G378</f>
        <v>בין שמיים לארץ (ע"ר)</v>
      </c>
      <c r="I378" s="318">
        <f>'סיכום לוועדה'!U378</f>
        <v>100000</v>
      </c>
      <c r="J378" s="319">
        <f>'סיכום לוועדה'!T378</f>
        <v>4428.8819153683435</v>
      </c>
      <c r="K378" s="320">
        <f t="shared" si="97"/>
        <v>0</v>
      </c>
      <c r="L378" s="319">
        <f t="shared" si="98"/>
        <v>4428.8819153683435</v>
      </c>
      <c r="M378" s="331">
        <f>'תחום תמיכה ב'!AF378</f>
        <v>2.6454661757021293E-5</v>
      </c>
      <c r="N378" s="319">
        <f t="shared" si="95"/>
        <v>4879.5241664129053</v>
      </c>
      <c r="O378" s="321">
        <f t="shared" si="99"/>
        <v>0</v>
      </c>
      <c r="P378" s="322">
        <f t="shared" si="100"/>
        <v>4879.5241664129053</v>
      </c>
      <c r="Q378" s="322">
        <f t="shared" si="101"/>
        <v>4881.7459426373089</v>
      </c>
      <c r="R378" s="321">
        <f t="shared" si="102"/>
        <v>0</v>
      </c>
      <c r="S378" s="322">
        <f t="shared" si="103"/>
        <v>4881.7459426373089</v>
      </c>
      <c r="T378" s="322">
        <f t="shared" si="104"/>
        <v>4881.7459426372989</v>
      </c>
      <c r="U378" s="321">
        <f t="shared" si="105"/>
        <v>0</v>
      </c>
      <c r="V378" s="322">
        <f t="shared" si="106"/>
        <v>4881.7459426372989</v>
      </c>
      <c r="W378" s="322">
        <f t="shared" si="107"/>
        <v>4881.7459426373007</v>
      </c>
      <c r="X378" s="321">
        <f t="shared" si="108"/>
        <v>0</v>
      </c>
      <c r="Y378" s="322">
        <f t="shared" si="109"/>
        <v>4881.7459426373007</v>
      </c>
      <c r="Z378" s="322">
        <f t="shared" si="110"/>
        <v>4881.7459426372998</v>
      </c>
      <c r="AA378" s="323">
        <f t="shared" si="111"/>
        <v>4881.7459426372998</v>
      </c>
      <c r="AB378" s="323"/>
      <c r="AC378" s="323"/>
      <c r="AD378" s="323"/>
      <c r="AE378" s="323"/>
      <c r="AF378" s="324">
        <f t="shared" si="112"/>
        <v>2.7956702446767194E-5</v>
      </c>
      <c r="AG378" s="312"/>
      <c r="AH378" s="312"/>
      <c r="AI378" s="325">
        <f t="shared" si="113"/>
        <v>1</v>
      </c>
      <c r="AJ378" s="312"/>
      <c r="AK378" s="312"/>
      <c r="AL378" s="312"/>
      <c r="AM378" s="312"/>
      <c r="AN378" s="312"/>
      <c r="AO378" s="312"/>
      <c r="AP378" s="312"/>
      <c r="AQ378" s="312"/>
      <c r="AR378" s="312"/>
      <c r="AS378" s="312"/>
      <c r="AT378" s="312"/>
      <c r="AU378" s="312"/>
      <c r="AV378" s="312"/>
      <c r="AW378" s="312"/>
      <c r="AX378" s="312"/>
      <c r="AY378" s="312"/>
      <c r="AZ378" s="312"/>
      <c r="BA378" s="312"/>
      <c r="BB378" s="312"/>
      <c r="BC378" s="312"/>
      <c r="BD378" s="312"/>
      <c r="BE378" s="312"/>
      <c r="BF378" s="312"/>
      <c r="BG378" s="312"/>
      <c r="BH378" s="312"/>
      <c r="BI378" s="312"/>
      <c r="BJ378" s="312"/>
      <c r="BK378" s="312"/>
      <c r="BL378" s="312"/>
      <c r="BM378" s="312"/>
      <c r="BN378" s="312"/>
      <c r="BO378" s="312"/>
      <c r="BP378" s="312"/>
      <c r="BQ378" s="312"/>
      <c r="BR378" s="312"/>
      <c r="BS378" s="312"/>
      <c r="BT378" s="312"/>
      <c r="BU378" s="312"/>
      <c r="BV378" s="312"/>
      <c r="BW378" s="312"/>
      <c r="BX378" s="312"/>
      <c r="BY378" s="312"/>
      <c r="BZ378" s="312"/>
      <c r="CA378" s="312"/>
      <c r="CB378" s="312"/>
      <c r="CC378" s="312"/>
      <c r="CD378" s="312"/>
      <c r="CE378" s="312"/>
      <c r="CF378" s="312"/>
      <c r="CG378" s="312"/>
      <c r="CH378" s="312"/>
      <c r="CI378" s="312"/>
      <c r="CJ378" s="312"/>
      <c r="CK378" s="312"/>
      <c r="CL378" s="312"/>
      <c r="CM378" s="312"/>
      <c r="CN378" s="312"/>
      <c r="CO378" s="312"/>
      <c r="CP378" s="312"/>
      <c r="CQ378" s="312"/>
      <c r="CR378" s="312"/>
      <c r="CS378" s="312"/>
      <c r="CT378" s="312"/>
      <c r="CU378" s="312"/>
      <c r="CV378" s="312"/>
      <c r="CW378" s="312"/>
      <c r="CX378" s="312"/>
      <c r="CY378" s="312"/>
      <c r="CZ378" s="312"/>
      <c r="DA378" s="312"/>
      <c r="DB378" s="312"/>
      <c r="DC378" s="312"/>
      <c r="DD378" s="312"/>
      <c r="DE378" s="312"/>
      <c r="DF378" s="312"/>
      <c r="DG378" s="312"/>
      <c r="DH378" s="312"/>
      <c r="DI378" s="312"/>
      <c r="DJ378" s="312"/>
      <c r="DK378" s="312"/>
      <c r="DL378" s="312"/>
      <c r="DM378" s="312"/>
      <c r="DN378" s="312"/>
      <c r="DO378" s="312"/>
      <c r="DP378" s="312"/>
      <c r="DQ378" s="312"/>
      <c r="DR378" s="312"/>
      <c r="DS378" s="312"/>
      <c r="DT378" s="312"/>
      <c r="DU378" s="312"/>
      <c r="DV378" s="312"/>
      <c r="DW378" s="312"/>
      <c r="DX378" s="312"/>
      <c r="DY378" s="312"/>
      <c r="DZ378" s="312"/>
      <c r="EA378" s="312"/>
      <c r="EB378" s="312"/>
      <c r="EC378" s="312"/>
      <c r="ED378" s="312"/>
      <c r="EE378" s="312"/>
      <c r="EF378" s="312"/>
      <c r="EG378" s="312"/>
      <c r="EH378" s="312"/>
      <c r="EI378" s="312"/>
      <c r="EJ378" s="312"/>
      <c r="EK378" s="312"/>
      <c r="EL378" s="312"/>
      <c r="EM378" s="312"/>
      <c r="EN378" s="312"/>
      <c r="EO378" s="312"/>
      <c r="EP378" s="312"/>
      <c r="EQ378" s="312"/>
      <c r="ER378" s="312"/>
      <c r="ES378" s="312"/>
      <c r="ET378" s="312"/>
      <c r="EU378" s="312"/>
      <c r="EV378" s="312"/>
      <c r="EW378" s="312"/>
      <c r="EX378" s="312"/>
      <c r="EY378" s="312"/>
      <c r="EZ378" s="312"/>
      <c r="FA378" s="312"/>
      <c r="FB378" s="312"/>
      <c r="FC378" s="312"/>
      <c r="FD378" s="312"/>
      <c r="FE378" s="312"/>
      <c r="FF378" s="312"/>
      <c r="FG378" s="312"/>
      <c r="FH378" s="312"/>
      <c r="FI378" s="312"/>
      <c r="FJ378" s="312"/>
      <c r="FK378" s="312"/>
      <c r="FL378" s="312"/>
      <c r="FM378" s="312"/>
      <c r="FN378" s="312"/>
      <c r="FO378" s="312"/>
      <c r="FP378" s="312"/>
      <c r="FQ378" s="312"/>
      <c r="FR378" s="312"/>
      <c r="FS378" s="312"/>
      <c r="FT378" s="312"/>
      <c r="FU378" s="312"/>
      <c r="FV378" s="312"/>
      <c r="FW378" s="312"/>
      <c r="FX378" s="312"/>
      <c r="FY378" s="312"/>
      <c r="FZ378" s="312"/>
      <c r="GA378" s="312"/>
      <c r="GB378" s="312"/>
      <c r="GC378" s="312"/>
      <c r="GD378" s="312"/>
      <c r="GE378" s="312"/>
      <c r="GF378" s="312"/>
      <c r="GG378" s="312"/>
      <c r="GH378" s="312"/>
      <c r="GI378" s="312"/>
      <c r="GJ378" s="312"/>
      <c r="GK378" s="312"/>
      <c r="GL378" s="312"/>
      <c r="GM378" s="312"/>
      <c r="GN378" s="312"/>
      <c r="GO378" s="312"/>
      <c r="GP378" s="312"/>
      <c r="GQ378" s="312"/>
      <c r="GR378" s="312"/>
      <c r="GS378" s="312"/>
      <c r="GT378" s="312"/>
      <c r="GU378" s="312"/>
      <c r="GV378" s="312"/>
      <c r="GW378" s="312"/>
      <c r="GX378" s="312"/>
      <c r="GY378" s="312"/>
    </row>
    <row r="379" spans="2:207" ht="15.75" x14ac:dyDescent="0.25">
      <c r="B379" s="316">
        <f t="shared" si="96"/>
        <v>349</v>
      </c>
      <c r="C379" s="330">
        <f>'סיכום לוועדה'!B379</f>
        <v>1001350095</v>
      </c>
      <c r="D379" s="330">
        <f>'סיכום לוועדה'!C379</f>
        <v>1001271678</v>
      </c>
      <c r="E379" s="330">
        <f>'סיכום לוועדה'!D379</f>
        <v>41556504</v>
      </c>
      <c r="F379" s="330">
        <f>'סיכום לוועדה'!E379</f>
        <v>20000254</v>
      </c>
      <c r="G379" s="330" t="str">
        <f>'סיכום לוועדה'!F379</f>
        <v>באר שבע</v>
      </c>
      <c r="H379" s="317" t="str">
        <f>'סיכום לוועדה'!G379</f>
        <v>תיאטרון לילדים ולנוער באר - שבע (ע"</v>
      </c>
      <c r="I379" s="318">
        <f>'סיכום לוועדה'!U379</f>
        <v>2000000</v>
      </c>
      <c r="J379" s="319">
        <f>'סיכום לוועדה'!T379</f>
        <v>701435.70282445103</v>
      </c>
      <c r="K379" s="320">
        <f t="shared" si="97"/>
        <v>0</v>
      </c>
      <c r="L379" s="319">
        <f t="shared" si="98"/>
        <v>701435.70282445103</v>
      </c>
      <c r="M379" s="331">
        <f>'תחום תמיכה ב'!AF379</f>
        <v>5.0809553175658355E-3</v>
      </c>
      <c r="N379" s="319">
        <f t="shared" si="95"/>
        <v>787987.29674747668</v>
      </c>
      <c r="O379" s="321">
        <f t="shared" si="99"/>
        <v>0</v>
      </c>
      <c r="P379" s="322">
        <f t="shared" si="100"/>
        <v>787987.29674747668</v>
      </c>
      <c r="Q379" s="322">
        <f t="shared" si="101"/>
        <v>788346.08817494742</v>
      </c>
      <c r="R379" s="321">
        <f t="shared" si="102"/>
        <v>0</v>
      </c>
      <c r="S379" s="322">
        <f t="shared" si="103"/>
        <v>788346.08817494742</v>
      </c>
      <c r="T379" s="322">
        <f t="shared" si="104"/>
        <v>788346.08817494579</v>
      </c>
      <c r="U379" s="321">
        <f t="shared" si="105"/>
        <v>0</v>
      </c>
      <c r="V379" s="322">
        <f t="shared" si="106"/>
        <v>788346.08817494579</v>
      </c>
      <c r="W379" s="322">
        <f t="shared" si="107"/>
        <v>788346.08817494602</v>
      </c>
      <c r="X379" s="321">
        <f t="shared" si="108"/>
        <v>0</v>
      </c>
      <c r="Y379" s="322">
        <f t="shared" si="109"/>
        <v>788346.08817494602</v>
      </c>
      <c r="Z379" s="322">
        <f t="shared" si="110"/>
        <v>788346.08817494591</v>
      </c>
      <c r="AA379" s="323">
        <f t="shared" si="111"/>
        <v>788346.08817494591</v>
      </c>
      <c r="AB379" s="323"/>
      <c r="AC379" s="323"/>
      <c r="AD379" s="323"/>
      <c r="AE379" s="323"/>
      <c r="AF379" s="324">
        <f t="shared" si="112"/>
        <v>4.5146874235477462E-3</v>
      </c>
      <c r="AG379" s="312"/>
      <c r="AH379" s="312"/>
      <c r="AI379" s="325">
        <f t="shared" si="113"/>
        <v>1</v>
      </c>
      <c r="AJ379" s="312"/>
      <c r="AK379" s="312"/>
      <c r="AL379" s="312"/>
      <c r="AM379" s="312"/>
      <c r="AN379" s="312"/>
      <c r="AO379" s="312"/>
      <c r="AP379" s="312"/>
      <c r="AQ379" s="312"/>
      <c r="AR379" s="312"/>
      <c r="AS379" s="312"/>
      <c r="AT379" s="312"/>
      <c r="AU379" s="312"/>
      <c r="AV379" s="312"/>
      <c r="AW379" s="312"/>
      <c r="AX379" s="312"/>
      <c r="AY379" s="312"/>
      <c r="AZ379" s="312"/>
      <c r="BA379" s="312"/>
      <c r="BB379" s="312"/>
      <c r="BC379" s="312"/>
      <c r="BD379" s="312"/>
      <c r="BE379" s="312"/>
      <c r="BF379" s="312"/>
      <c r="BG379" s="312"/>
      <c r="BH379" s="312"/>
      <c r="BI379" s="312"/>
      <c r="BJ379" s="312"/>
      <c r="BK379" s="312"/>
      <c r="BL379" s="312"/>
      <c r="BM379" s="312"/>
      <c r="BN379" s="312"/>
      <c r="BO379" s="312"/>
      <c r="BP379" s="312"/>
      <c r="BQ379" s="312"/>
      <c r="BR379" s="312"/>
      <c r="BS379" s="312"/>
      <c r="BT379" s="312"/>
      <c r="BU379" s="312"/>
      <c r="BV379" s="312"/>
      <c r="BW379" s="312"/>
      <c r="BX379" s="312"/>
      <c r="BY379" s="312"/>
      <c r="BZ379" s="312"/>
      <c r="CA379" s="312"/>
      <c r="CB379" s="312"/>
      <c r="CC379" s="312"/>
      <c r="CD379" s="312"/>
      <c r="CE379" s="312"/>
      <c r="CF379" s="312"/>
      <c r="CG379" s="312"/>
      <c r="CH379" s="312"/>
      <c r="CI379" s="312"/>
      <c r="CJ379" s="312"/>
      <c r="CK379" s="312"/>
      <c r="CL379" s="312"/>
      <c r="CM379" s="312"/>
      <c r="CN379" s="312"/>
      <c r="CO379" s="312"/>
      <c r="CP379" s="312"/>
      <c r="CQ379" s="312"/>
      <c r="CR379" s="312"/>
      <c r="CS379" s="312"/>
      <c r="CT379" s="312"/>
      <c r="CU379" s="312"/>
      <c r="CV379" s="312"/>
      <c r="CW379" s="312"/>
      <c r="CX379" s="312"/>
      <c r="CY379" s="312"/>
      <c r="CZ379" s="312"/>
      <c r="DA379" s="312"/>
      <c r="DB379" s="312"/>
      <c r="DC379" s="312"/>
      <c r="DD379" s="312"/>
      <c r="DE379" s="312"/>
      <c r="DF379" s="312"/>
      <c r="DG379" s="312"/>
      <c r="DH379" s="312"/>
      <c r="DI379" s="312"/>
      <c r="DJ379" s="312"/>
      <c r="DK379" s="312"/>
      <c r="DL379" s="312"/>
      <c r="DM379" s="312"/>
      <c r="DN379" s="312"/>
      <c r="DO379" s="312"/>
      <c r="DP379" s="312"/>
      <c r="DQ379" s="312"/>
      <c r="DR379" s="312"/>
      <c r="DS379" s="312"/>
      <c r="DT379" s="312"/>
      <c r="DU379" s="312"/>
      <c r="DV379" s="312"/>
      <c r="DW379" s="312"/>
      <c r="DX379" s="312"/>
      <c r="DY379" s="312"/>
      <c r="DZ379" s="312"/>
      <c r="EA379" s="312"/>
      <c r="EB379" s="312"/>
      <c r="EC379" s="312"/>
      <c r="ED379" s="312"/>
      <c r="EE379" s="312"/>
      <c r="EF379" s="312"/>
      <c r="EG379" s="312"/>
      <c r="EH379" s="312"/>
      <c r="EI379" s="312"/>
      <c r="EJ379" s="312"/>
      <c r="EK379" s="312"/>
      <c r="EL379" s="312"/>
      <c r="EM379" s="312"/>
      <c r="EN379" s="312"/>
      <c r="EO379" s="312"/>
      <c r="EP379" s="312"/>
      <c r="EQ379" s="312"/>
      <c r="ER379" s="312"/>
      <c r="ES379" s="312"/>
      <c r="ET379" s="312"/>
      <c r="EU379" s="312"/>
      <c r="EV379" s="312"/>
      <c r="EW379" s="312"/>
      <c r="EX379" s="312"/>
      <c r="EY379" s="312"/>
      <c r="EZ379" s="312"/>
      <c r="FA379" s="312"/>
      <c r="FB379" s="312"/>
      <c r="FC379" s="312"/>
      <c r="FD379" s="312"/>
      <c r="FE379" s="312"/>
      <c r="FF379" s="312"/>
      <c r="FG379" s="312"/>
      <c r="FH379" s="312"/>
      <c r="FI379" s="312"/>
      <c r="FJ379" s="312"/>
      <c r="FK379" s="312"/>
      <c r="FL379" s="312"/>
      <c r="FM379" s="312"/>
      <c r="FN379" s="312"/>
      <c r="FO379" s="312"/>
      <c r="FP379" s="312"/>
      <c r="FQ379" s="312"/>
      <c r="FR379" s="312"/>
      <c r="FS379" s="312"/>
      <c r="FT379" s="312"/>
      <c r="FU379" s="312"/>
      <c r="FV379" s="312"/>
      <c r="FW379" s="312"/>
      <c r="FX379" s="312"/>
      <c r="FY379" s="312"/>
      <c r="FZ379" s="312"/>
      <c r="GA379" s="312"/>
      <c r="GB379" s="312"/>
      <c r="GC379" s="312"/>
      <c r="GD379" s="312"/>
      <c r="GE379" s="312"/>
      <c r="GF379" s="312"/>
      <c r="GG379" s="312"/>
      <c r="GH379" s="312"/>
      <c r="GI379" s="312"/>
      <c r="GJ379" s="312"/>
      <c r="GK379" s="312"/>
      <c r="GL379" s="312"/>
      <c r="GM379" s="312"/>
      <c r="GN379" s="312"/>
      <c r="GO379" s="312"/>
      <c r="GP379" s="312"/>
      <c r="GQ379" s="312"/>
      <c r="GR379" s="312"/>
      <c r="GS379" s="312"/>
      <c r="GT379" s="312"/>
      <c r="GU379" s="312"/>
      <c r="GV379" s="312"/>
      <c r="GW379" s="312"/>
      <c r="GX379" s="312"/>
      <c r="GY379" s="312"/>
    </row>
    <row r="380" spans="2:207" ht="15.75" x14ac:dyDescent="0.25">
      <c r="B380" s="316">
        <f t="shared" si="96"/>
        <v>350</v>
      </c>
      <c r="C380" s="330">
        <f>'סיכום לוועדה'!B380</f>
        <v>1001350450</v>
      </c>
      <c r="D380" s="330">
        <f>'סיכום לוועדה'!C380</f>
        <v>1001288912</v>
      </c>
      <c r="E380" s="330">
        <f>'סיכום לוועדה'!D380</f>
        <v>41556986</v>
      </c>
      <c r="F380" s="330">
        <f>'סיכום לוועדה'!E380</f>
        <v>20000231</v>
      </c>
      <c r="G380" s="330" t="str">
        <f>'סיכום לוועדה'!F380</f>
        <v>נצרת</v>
      </c>
      <c r="H380" s="317" t="str">
        <f>'סיכום לוועדה'!G380</f>
        <v>עמותת אלמאוכב נצרת (ע"ר)</v>
      </c>
      <c r="I380" s="318">
        <f>'סיכום לוועדה'!U380</f>
        <v>540000</v>
      </c>
      <c r="J380" s="319">
        <f>'סיכום לוועדה'!T380</f>
        <v>158507.5308342881</v>
      </c>
      <c r="K380" s="320">
        <f t="shared" si="97"/>
        <v>0</v>
      </c>
      <c r="L380" s="319">
        <f t="shared" si="98"/>
        <v>158507.5308342881</v>
      </c>
      <c r="M380" s="331">
        <f>'תחום תמיכה ב'!AF380</f>
        <v>1.1991814785714703E-3</v>
      </c>
      <c r="N380" s="319">
        <f t="shared" si="95"/>
        <v>178935.00202548434</v>
      </c>
      <c r="O380" s="321">
        <f t="shared" si="99"/>
        <v>0</v>
      </c>
      <c r="P380" s="322">
        <f t="shared" si="100"/>
        <v>178935.00202548434</v>
      </c>
      <c r="Q380" s="322">
        <f t="shared" si="101"/>
        <v>179016.4758576974</v>
      </c>
      <c r="R380" s="321">
        <f t="shared" si="102"/>
        <v>0</v>
      </c>
      <c r="S380" s="322">
        <f t="shared" si="103"/>
        <v>179016.4758576974</v>
      </c>
      <c r="T380" s="322">
        <f t="shared" si="104"/>
        <v>179016.47585769705</v>
      </c>
      <c r="U380" s="321">
        <f t="shared" si="105"/>
        <v>0</v>
      </c>
      <c r="V380" s="322">
        <f t="shared" si="106"/>
        <v>179016.47585769705</v>
      </c>
      <c r="W380" s="322">
        <f t="shared" si="107"/>
        <v>179016.47585769711</v>
      </c>
      <c r="X380" s="321">
        <f t="shared" si="108"/>
        <v>0</v>
      </c>
      <c r="Y380" s="322">
        <f t="shared" si="109"/>
        <v>179016.47585769711</v>
      </c>
      <c r="Z380" s="322">
        <f t="shared" si="110"/>
        <v>179016.47585769708</v>
      </c>
      <c r="AA380" s="323">
        <f t="shared" si="111"/>
        <v>179016.47585769708</v>
      </c>
      <c r="AB380" s="323"/>
      <c r="AC380" s="323"/>
      <c r="AD380" s="323"/>
      <c r="AE380" s="323"/>
      <c r="AF380" s="324">
        <f t="shared" si="112"/>
        <v>1.0251886123182376E-3</v>
      </c>
      <c r="AG380" s="312"/>
      <c r="AH380" s="312"/>
      <c r="AI380" s="325">
        <f t="shared" si="113"/>
        <v>1</v>
      </c>
      <c r="AJ380" s="312"/>
      <c r="AK380" s="312"/>
      <c r="AL380" s="312"/>
      <c r="AM380" s="312"/>
      <c r="AN380" s="312"/>
      <c r="AO380" s="312"/>
      <c r="AP380" s="312"/>
      <c r="AQ380" s="312"/>
      <c r="AR380" s="312"/>
      <c r="AS380" s="312"/>
      <c r="AT380" s="312"/>
      <c r="AU380" s="312"/>
      <c r="AV380" s="312"/>
      <c r="AW380" s="312"/>
      <c r="AX380" s="312"/>
      <c r="AY380" s="312"/>
      <c r="AZ380" s="312"/>
      <c r="BA380" s="312"/>
      <c r="BB380" s="312"/>
      <c r="BC380" s="312"/>
      <c r="BD380" s="312"/>
      <c r="BE380" s="312"/>
      <c r="BF380" s="312"/>
      <c r="BG380" s="312"/>
      <c r="BH380" s="312"/>
      <c r="BI380" s="312"/>
      <c r="BJ380" s="312"/>
      <c r="BK380" s="312"/>
      <c r="BL380" s="312"/>
      <c r="BM380" s="312"/>
      <c r="BN380" s="312"/>
      <c r="BO380" s="312"/>
      <c r="BP380" s="312"/>
      <c r="BQ380" s="312"/>
      <c r="BR380" s="312"/>
      <c r="BS380" s="312"/>
      <c r="BT380" s="312"/>
      <c r="BU380" s="312"/>
      <c r="BV380" s="312"/>
      <c r="BW380" s="312"/>
      <c r="BX380" s="312"/>
      <c r="BY380" s="312"/>
      <c r="BZ380" s="312"/>
      <c r="CA380" s="312"/>
      <c r="CB380" s="312"/>
      <c r="CC380" s="312"/>
      <c r="CD380" s="312"/>
      <c r="CE380" s="312"/>
      <c r="CF380" s="312"/>
      <c r="CG380" s="312"/>
      <c r="CH380" s="312"/>
      <c r="CI380" s="312"/>
      <c r="CJ380" s="312"/>
      <c r="CK380" s="312"/>
      <c r="CL380" s="312"/>
      <c r="CM380" s="312"/>
      <c r="CN380" s="312"/>
      <c r="CO380" s="312"/>
      <c r="CP380" s="312"/>
      <c r="CQ380" s="312"/>
      <c r="CR380" s="312"/>
      <c r="CS380" s="312"/>
      <c r="CT380" s="312"/>
      <c r="CU380" s="312"/>
      <c r="CV380" s="312"/>
      <c r="CW380" s="312"/>
      <c r="CX380" s="312"/>
      <c r="CY380" s="312"/>
      <c r="CZ380" s="312"/>
      <c r="DA380" s="312"/>
      <c r="DB380" s="312"/>
      <c r="DC380" s="312"/>
      <c r="DD380" s="312"/>
      <c r="DE380" s="312"/>
      <c r="DF380" s="312"/>
      <c r="DG380" s="312"/>
      <c r="DH380" s="312"/>
      <c r="DI380" s="312"/>
      <c r="DJ380" s="312"/>
      <c r="DK380" s="312"/>
      <c r="DL380" s="312"/>
      <c r="DM380" s="312"/>
      <c r="DN380" s="312"/>
      <c r="DO380" s="312"/>
      <c r="DP380" s="312"/>
      <c r="DQ380" s="312"/>
      <c r="DR380" s="312"/>
      <c r="DS380" s="312"/>
      <c r="DT380" s="312"/>
      <c r="DU380" s="312"/>
      <c r="DV380" s="312"/>
      <c r="DW380" s="312"/>
      <c r="DX380" s="312"/>
      <c r="DY380" s="312"/>
      <c r="DZ380" s="312"/>
      <c r="EA380" s="312"/>
      <c r="EB380" s="312"/>
      <c r="EC380" s="312"/>
      <c r="ED380" s="312"/>
      <c r="EE380" s="312"/>
      <c r="EF380" s="312"/>
      <c r="EG380" s="312"/>
      <c r="EH380" s="312"/>
      <c r="EI380" s="312"/>
      <c r="EJ380" s="312"/>
      <c r="EK380" s="312"/>
      <c r="EL380" s="312"/>
      <c r="EM380" s="312"/>
      <c r="EN380" s="312"/>
      <c r="EO380" s="312"/>
      <c r="EP380" s="312"/>
      <c r="EQ380" s="312"/>
      <c r="ER380" s="312"/>
      <c r="ES380" s="312"/>
      <c r="ET380" s="312"/>
      <c r="EU380" s="312"/>
      <c r="EV380" s="312"/>
      <c r="EW380" s="312"/>
      <c r="EX380" s="312"/>
      <c r="EY380" s="312"/>
      <c r="EZ380" s="312"/>
      <c r="FA380" s="312"/>
      <c r="FB380" s="312"/>
      <c r="FC380" s="312"/>
      <c r="FD380" s="312"/>
      <c r="FE380" s="312"/>
      <c r="FF380" s="312"/>
      <c r="FG380" s="312"/>
      <c r="FH380" s="312"/>
      <c r="FI380" s="312"/>
      <c r="FJ380" s="312"/>
      <c r="FK380" s="312"/>
      <c r="FL380" s="312"/>
      <c r="FM380" s="312"/>
      <c r="FN380" s="312"/>
      <c r="FO380" s="312"/>
      <c r="FP380" s="312"/>
      <c r="FQ380" s="312"/>
      <c r="FR380" s="312"/>
      <c r="FS380" s="312"/>
      <c r="FT380" s="312"/>
      <c r="FU380" s="312"/>
      <c r="FV380" s="312"/>
      <c r="FW380" s="312"/>
      <c r="FX380" s="312"/>
      <c r="FY380" s="312"/>
      <c r="FZ380" s="312"/>
      <c r="GA380" s="312"/>
      <c r="GB380" s="312"/>
      <c r="GC380" s="312"/>
      <c r="GD380" s="312"/>
      <c r="GE380" s="312"/>
      <c r="GF380" s="312"/>
      <c r="GG380" s="312"/>
      <c r="GH380" s="312"/>
      <c r="GI380" s="312"/>
      <c r="GJ380" s="312"/>
      <c r="GK380" s="312"/>
      <c r="GL380" s="312"/>
      <c r="GM380" s="312"/>
      <c r="GN380" s="312"/>
      <c r="GO380" s="312"/>
      <c r="GP380" s="312"/>
      <c r="GQ380" s="312"/>
      <c r="GR380" s="312"/>
      <c r="GS380" s="312"/>
      <c r="GT380" s="312"/>
      <c r="GU380" s="312"/>
      <c r="GV380" s="312"/>
      <c r="GW380" s="312"/>
      <c r="GX380" s="312"/>
      <c r="GY380" s="312"/>
    </row>
    <row r="381" spans="2:207" ht="15.75" x14ac:dyDescent="0.25">
      <c r="B381" s="316">
        <f t="shared" si="96"/>
        <v>351</v>
      </c>
      <c r="C381" s="330">
        <f>'סיכום לוועדה'!B381</f>
        <v>1001346583</v>
      </c>
      <c r="D381" s="330">
        <f>'סיכום לוועדה'!C381</f>
        <v>1001280079</v>
      </c>
      <c r="E381" s="330">
        <f>'סיכום לוועדה'!D381</f>
        <v>41559386</v>
      </c>
      <c r="F381" s="330">
        <f>'סיכום לוועדה'!E381</f>
        <v>20000055</v>
      </c>
      <c r="G381" s="330" t="str">
        <f>'סיכום לוועדה'!F381</f>
        <v>מג'ד אל-כרום</v>
      </c>
      <c r="H381" s="317" t="str">
        <f>'סיכום לוועדה'!G381</f>
        <v>אלמדאין גרוב - מג'ד אלכרום (ע"ר)</v>
      </c>
      <c r="I381" s="318">
        <f>'סיכום לוועדה'!U381</f>
        <v>1400000</v>
      </c>
      <c r="J381" s="319">
        <f>'סיכום לוועדה'!T381</f>
        <v>33162.790953717165</v>
      </c>
      <c r="K381" s="320">
        <f t="shared" si="97"/>
        <v>0</v>
      </c>
      <c r="L381" s="319">
        <f t="shared" si="98"/>
        <v>33162.790953717165</v>
      </c>
      <c r="M381" s="331">
        <f>'תחום תמיכה ב'!AF381</f>
        <v>2.387347437094468E-4</v>
      </c>
      <c r="N381" s="319">
        <f t="shared" si="95"/>
        <v>37229.520791199131</v>
      </c>
      <c r="O381" s="321">
        <f t="shared" si="99"/>
        <v>0</v>
      </c>
      <c r="P381" s="322">
        <f t="shared" si="100"/>
        <v>37229.520791199131</v>
      </c>
      <c r="Q381" s="322">
        <f t="shared" si="101"/>
        <v>37246.472375271442</v>
      </c>
      <c r="R381" s="321">
        <f t="shared" si="102"/>
        <v>0</v>
      </c>
      <c r="S381" s="322">
        <f t="shared" si="103"/>
        <v>37246.472375271442</v>
      </c>
      <c r="T381" s="322">
        <f t="shared" si="104"/>
        <v>37246.472375271362</v>
      </c>
      <c r="U381" s="321">
        <f t="shared" si="105"/>
        <v>0</v>
      </c>
      <c r="V381" s="322">
        <f t="shared" si="106"/>
        <v>37246.472375271362</v>
      </c>
      <c r="W381" s="322">
        <f t="shared" si="107"/>
        <v>37246.472375271376</v>
      </c>
      <c r="X381" s="321">
        <f t="shared" si="108"/>
        <v>0</v>
      </c>
      <c r="Y381" s="322">
        <f t="shared" si="109"/>
        <v>37246.472375271376</v>
      </c>
      <c r="Z381" s="322">
        <f t="shared" si="110"/>
        <v>37246.472375271369</v>
      </c>
      <c r="AA381" s="323">
        <f t="shared" si="111"/>
        <v>37246.472375271369</v>
      </c>
      <c r="AB381" s="323"/>
      <c r="AC381" s="323"/>
      <c r="AD381" s="323"/>
      <c r="AE381" s="323"/>
      <c r="AF381" s="324">
        <f t="shared" si="112"/>
        <v>2.1330248595949119E-4</v>
      </c>
      <c r="AG381" s="312"/>
      <c r="AH381" s="312"/>
      <c r="AI381" s="325">
        <f t="shared" si="113"/>
        <v>1</v>
      </c>
      <c r="AJ381" s="312"/>
      <c r="AK381" s="312"/>
      <c r="AL381" s="312"/>
      <c r="AM381" s="312"/>
      <c r="AN381" s="312"/>
      <c r="AO381" s="312"/>
      <c r="AP381" s="312"/>
      <c r="AQ381" s="312"/>
      <c r="AR381" s="312"/>
      <c r="AS381" s="312"/>
      <c r="AT381" s="312"/>
      <c r="AU381" s="312"/>
      <c r="AV381" s="312"/>
      <c r="AW381" s="312"/>
      <c r="AX381" s="312"/>
      <c r="AY381" s="312"/>
      <c r="AZ381" s="312"/>
      <c r="BA381" s="312"/>
      <c r="BB381" s="312"/>
      <c r="BC381" s="312"/>
      <c r="BD381" s="312"/>
      <c r="BE381" s="312"/>
      <c r="BF381" s="312"/>
      <c r="BG381" s="312"/>
      <c r="BH381" s="312"/>
      <c r="BI381" s="312"/>
      <c r="BJ381" s="312"/>
      <c r="BK381" s="312"/>
      <c r="BL381" s="312"/>
      <c r="BM381" s="312"/>
      <c r="BN381" s="312"/>
      <c r="BO381" s="312"/>
      <c r="BP381" s="312"/>
      <c r="BQ381" s="312"/>
      <c r="BR381" s="312"/>
      <c r="BS381" s="312"/>
      <c r="BT381" s="312"/>
      <c r="BU381" s="312"/>
      <c r="BV381" s="312"/>
      <c r="BW381" s="312"/>
      <c r="BX381" s="312"/>
      <c r="BY381" s="312"/>
      <c r="BZ381" s="312"/>
      <c r="CA381" s="312"/>
      <c r="CB381" s="312"/>
      <c r="CC381" s="312"/>
      <c r="CD381" s="312"/>
      <c r="CE381" s="312"/>
      <c r="CF381" s="312"/>
      <c r="CG381" s="312"/>
      <c r="CH381" s="312"/>
      <c r="CI381" s="312"/>
      <c r="CJ381" s="312"/>
      <c r="CK381" s="312"/>
      <c r="CL381" s="312"/>
      <c r="CM381" s="312"/>
      <c r="CN381" s="312"/>
      <c r="CO381" s="312"/>
      <c r="CP381" s="312"/>
      <c r="CQ381" s="312"/>
      <c r="CR381" s="312"/>
      <c r="CS381" s="312"/>
      <c r="CT381" s="312"/>
      <c r="CU381" s="312"/>
      <c r="CV381" s="312"/>
      <c r="CW381" s="312"/>
      <c r="CX381" s="312"/>
      <c r="CY381" s="312"/>
      <c r="CZ381" s="312"/>
      <c r="DA381" s="312"/>
      <c r="DB381" s="312"/>
      <c r="DC381" s="312"/>
      <c r="DD381" s="312"/>
      <c r="DE381" s="312"/>
      <c r="DF381" s="312"/>
      <c r="DG381" s="312"/>
      <c r="DH381" s="312"/>
      <c r="DI381" s="312"/>
      <c r="DJ381" s="312"/>
      <c r="DK381" s="312"/>
      <c r="DL381" s="312"/>
      <c r="DM381" s="312"/>
      <c r="DN381" s="312"/>
      <c r="DO381" s="312"/>
      <c r="DP381" s="312"/>
      <c r="DQ381" s="312"/>
      <c r="DR381" s="312"/>
      <c r="DS381" s="312"/>
      <c r="DT381" s="312"/>
      <c r="DU381" s="312"/>
      <c r="DV381" s="312"/>
      <c r="DW381" s="312"/>
      <c r="DX381" s="312"/>
      <c r="DY381" s="312"/>
      <c r="DZ381" s="312"/>
      <c r="EA381" s="312"/>
      <c r="EB381" s="312"/>
      <c r="EC381" s="312"/>
      <c r="ED381" s="312"/>
      <c r="EE381" s="312"/>
      <c r="EF381" s="312"/>
      <c r="EG381" s="312"/>
      <c r="EH381" s="312"/>
      <c r="EI381" s="312"/>
      <c r="EJ381" s="312"/>
      <c r="EK381" s="312"/>
      <c r="EL381" s="312"/>
      <c r="EM381" s="312"/>
      <c r="EN381" s="312"/>
      <c r="EO381" s="312"/>
      <c r="EP381" s="312"/>
      <c r="EQ381" s="312"/>
      <c r="ER381" s="312"/>
      <c r="ES381" s="312"/>
      <c r="ET381" s="312"/>
      <c r="EU381" s="312"/>
      <c r="EV381" s="312"/>
      <c r="EW381" s="312"/>
      <c r="EX381" s="312"/>
      <c r="EY381" s="312"/>
      <c r="EZ381" s="312"/>
      <c r="FA381" s="312"/>
      <c r="FB381" s="312"/>
      <c r="FC381" s="312"/>
      <c r="FD381" s="312"/>
      <c r="FE381" s="312"/>
      <c r="FF381" s="312"/>
      <c r="FG381" s="312"/>
      <c r="FH381" s="312"/>
      <c r="FI381" s="312"/>
      <c r="FJ381" s="312"/>
      <c r="FK381" s="312"/>
      <c r="FL381" s="312"/>
      <c r="FM381" s="312"/>
      <c r="FN381" s="312"/>
      <c r="FO381" s="312"/>
      <c r="FP381" s="312"/>
      <c r="FQ381" s="312"/>
      <c r="FR381" s="312"/>
      <c r="FS381" s="312"/>
      <c r="FT381" s="312"/>
      <c r="FU381" s="312"/>
      <c r="FV381" s="312"/>
      <c r="FW381" s="312"/>
      <c r="FX381" s="312"/>
      <c r="FY381" s="312"/>
      <c r="FZ381" s="312"/>
      <c r="GA381" s="312"/>
      <c r="GB381" s="312"/>
      <c r="GC381" s="312"/>
      <c r="GD381" s="312"/>
      <c r="GE381" s="312"/>
      <c r="GF381" s="312"/>
      <c r="GG381" s="312"/>
      <c r="GH381" s="312"/>
      <c r="GI381" s="312"/>
      <c r="GJ381" s="312"/>
      <c r="GK381" s="312"/>
      <c r="GL381" s="312"/>
      <c r="GM381" s="312"/>
      <c r="GN381" s="312"/>
      <c r="GO381" s="312"/>
      <c r="GP381" s="312"/>
      <c r="GQ381" s="312"/>
      <c r="GR381" s="312"/>
      <c r="GS381" s="312"/>
      <c r="GT381" s="312"/>
      <c r="GU381" s="312"/>
      <c r="GV381" s="312"/>
      <c r="GW381" s="312"/>
      <c r="GX381" s="312"/>
      <c r="GY381" s="312"/>
    </row>
    <row r="382" spans="2:207" ht="15.75" x14ac:dyDescent="0.25">
      <c r="B382" s="316">
        <f t="shared" si="96"/>
        <v>352</v>
      </c>
      <c r="C382" s="330">
        <f>'סיכום לוועדה'!B382</f>
        <v>1001348419</v>
      </c>
      <c r="D382" s="330">
        <f>'סיכום לוועדה'!C382</f>
        <v>1001302056</v>
      </c>
      <c r="E382" s="330">
        <f>'סיכום לוועדה'!D382</f>
        <v>41559387</v>
      </c>
      <c r="F382" s="330">
        <f>'סיכום לוועדה'!E382</f>
        <v>20000055</v>
      </c>
      <c r="G382" s="330" t="str">
        <f>'סיכום לוועדה'!F382</f>
        <v>מג'ד אל-כרום</v>
      </c>
      <c r="H382" s="317" t="str">
        <f>'סיכום לוועדה'!G382</f>
        <v>עמותת אדים למוסיקה אומנות ותרבות (ע</v>
      </c>
      <c r="I382" s="318">
        <f>'סיכום לוועדה'!U382</f>
        <v>600000</v>
      </c>
      <c r="J382" s="319">
        <f>'סיכום לוועדה'!T382</f>
        <v>100604.31393170098</v>
      </c>
      <c r="K382" s="320">
        <f t="shared" si="97"/>
        <v>0</v>
      </c>
      <c r="L382" s="319">
        <f t="shared" si="98"/>
        <v>100604.31393170098</v>
      </c>
      <c r="M382" s="331">
        <f>'תחום תמיכה ב'!AF382</f>
        <v>7.5841035561187496E-4</v>
      </c>
      <c r="N382" s="319">
        <f t="shared" si="95"/>
        <v>113523.46417476666</v>
      </c>
      <c r="O382" s="321">
        <f t="shared" si="99"/>
        <v>0</v>
      </c>
      <c r="P382" s="322">
        <f t="shared" si="100"/>
        <v>113523.46417476666</v>
      </c>
      <c r="Q382" s="322">
        <f t="shared" si="101"/>
        <v>113575.15440623462</v>
      </c>
      <c r="R382" s="321">
        <f t="shared" si="102"/>
        <v>0</v>
      </c>
      <c r="S382" s="322">
        <f t="shared" si="103"/>
        <v>113575.15440623462</v>
      </c>
      <c r="T382" s="322">
        <f t="shared" si="104"/>
        <v>113575.1544062344</v>
      </c>
      <c r="U382" s="321">
        <f t="shared" si="105"/>
        <v>0</v>
      </c>
      <c r="V382" s="322">
        <f t="shared" si="106"/>
        <v>113575.1544062344</v>
      </c>
      <c r="W382" s="322">
        <f t="shared" si="107"/>
        <v>113575.15440623445</v>
      </c>
      <c r="X382" s="321">
        <f t="shared" si="108"/>
        <v>0</v>
      </c>
      <c r="Y382" s="322">
        <f t="shared" si="109"/>
        <v>113575.15440623445</v>
      </c>
      <c r="Z382" s="322">
        <f t="shared" si="110"/>
        <v>113575.15440623443</v>
      </c>
      <c r="AA382" s="323">
        <f t="shared" si="111"/>
        <v>113575.15440623443</v>
      </c>
      <c r="AB382" s="323"/>
      <c r="AC382" s="323"/>
      <c r="AD382" s="323"/>
      <c r="AE382" s="323"/>
      <c r="AF382" s="324">
        <f t="shared" si="112"/>
        <v>6.5042032797089444E-4</v>
      </c>
      <c r="AG382" s="312"/>
      <c r="AH382" s="312"/>
      <c r="AI382" s="325">
        <f t="shared" si="113"/>
        <v>1</v>
      </c>
      <c r="AJ382" s="312"/>
      <c r="AK382" s="312"/>
      <c r="AL382" s="312"/>
      <c r="AM382" s="312"/>
      <c r="AN382" s="312"/>
      <c r="AO382" s="312"/>
      <c r="AP382" s="312"/>
      <c r="AQ382" s="312"/>
      <c r="AR382" s="312"/>
      <c r="AS382" s="312"/>
      <c r="AT382" s="312"/>
      <c r="AU382" s="312"/>
      <c r="AV382" s="312"/>
      <c r="AW382" s="312"/>
      <c r="AX382" s="312"/>
      <c r="AY382" s="312"/>
      <c r="AZ382" s="312"/>
      <c r="BA382" s="312"/>
      <c r="BB382" s="312"/>
      <c r="BC382" s="312"/>
      <c r="BD382" s="312"/>
      <c r="BE382" s="312"/>
      <c r="BF382" s="312"/>
      <c r="BG382" s="312"/>
      <c r="BH382" s="312"/>
      <c r="BI382" s="312"/>
      <c r="BJ382" s="312"/>
      <c r="BK382" s="312"/>
      <c r="BL382" s="312"/>
      <c r="BM382" s="312"/>
      <c r="BN382" s="312"/>
      <c r="BO382" s="312"/>
      <c r="BP382" s="312"/>
      <c r="BQ382" s="312"/>
      <c r="BR382" s="312"/>
      <c r="BS382" s="312"/>
      <c r="BT382" s="312"/>
      <c r="BU382" s="312"/>
      <c r="BV382" s="312"/>
      <c r="BW382" s="312"/>
      <c r="BX382" s="312"/>
      <c r="BY382" s="312"/>
      <c r="BZ382" s="312"/>
      <c r="CA382" s="312"/>
      <c r="CB382" s="312"/>
      <c r="CC382" s="312"/>
      <c r="CD382" s="312"/>
      <c r="CE382" s="312"/>
      <c r="CF382" s="312"/>
      <c r="CG382" s="312"/>
      <c r="CH382" s="312"/>
      <c r="CI382" s="312"/>
      <c r="CJ382" s="312"/>
      <c r="CK382" s="312"/>
      <c r="CL382" s="312"/>
      <c r="CM382" s="312"/>
      <c r="CN382" s="312"/>
      <c r="CO382" s="312"/>
      <c r="CP382" s="312"/>
      <c r="CQ382" s="312"/>
      <c r="CR382" s="312"/>
      <c r="CS382" s="312"/>
      <c r="CT382" s="312"/>
      <c r="CU382" s="312"/>
      <c r="CV382" s="312"/>
      <c r="CW382" s="312"/>
      <c r="CX382" s="312"/>
      <c r="CY382" s="312"/>
      <c r="CZ382" s="312"/>
      <c r="DA382" s="312"/>
      <c r="DB382" s="312"/>
      <c r="DC382" s="312"/>
      <c r="DD382" s="312"/>
      <c r="DE382" s="312"/>
      <c r="DF382" s="312"/>
      <c r="DG382" s="312"/>
      <c r="DH382" s="312"/>
      <c r="DI382" s="312"/>
      <c r="DJ382" s="312"/>
      <c r="DK382" s="312"/>
      <c r="DL382" s="312"/>
      <c r="DM382" s="312"/>
      <c r="DN382" s="312"/>
      <c r="DO382" s="312"/>
      <c r="DP382" s="312"/>
      <c r="DQ382" s="312"/>
      <c r="DR382" s="312"/>
      <c r="DS382" s="312"/>
      <c r="DT382" s="312"/>
      <c r="DU382" s="312"/>
      <c r="DV382" s="312"/>
      <c r="DW382" s="312"/>
      <c r="DX382" s="312"/>
      <c r="DY382" s="312"/>
      <c r="DZ382" s="312"/>
      <c r="EA382" s="312"/>
      <c r="EB382" s="312"/>
      <c r="EC382" s="312"/>
      <c r="ED382" s="312"/>
      <c r="EE382" s="312"/>
      <c r="EF382" s="312"/>
      <c r="EG382" s="312"/>
      <c r="EH382" s="312"/>
      <c r="EI382" s="312"/>
      <c r="EJ382" s="312"/>
      <c r="EK382" s="312"/>
      <c r="EL382" s="312"/>
      <c r="EM382" s="312"/>
      <c r="EN382" s="312"/>
      <c r="EO382" s="312"/>
      <c r="EP382" s="312"/>
      <c r="EQ382" s="312"/>
      <c r="ER382" s="312"/>
      <c r="ES382" s="312"/>
      <c r="ET382" s="312"/>
      <c r="EU382" s="312"/>
      <c r="EV382" s="312"/>
      <c r="EW382" s="312"/>
      <c r="EX382" s="312"/>
      <c r="EY382" s="312"/>
      <c r="EZ382" s="312"/>
      <c r="FA382" s="312"/>
      <c r="FB382" s="312"/>
      <c r="FC382" s="312"/>
      <c r="FD382" s="312"/>
      <c r="FE382" s="312"/>
      <c r="FF382" s="312"/>
      <c r="FG382" s="312"/>
      <c r="FH382" s="312"/>
      <c r="FI382" s="312"/>
      <c r="FJ382" s="312"/>
      <c r="FK382" s="312"/>
      <c r="FL382" s="312"/>
      <c r="FM382" s="312"/>
      <c r="FN382" s="312"/>
      <c r="FO382" s="312"/>
      <c r="FP382" s="312"/>
      <c r="FQ382" s="312"/>
      <c r="FR382" s="312"/>
      <c r="FS382" s="312"/>
      <c r="FT382" s="312"/>
      <c r="FU382" s="312"/>
      <c r="FV382" s="312"/>
      <c r="FW382" s="312"/>
      <c r="FX382" s="312"/>
      <c r="FY382" s="312"/>
      <c r="FZ382" s="312"/>
      <c r="GA382" s="312"/>
      <c r="GB382" s="312"/>
      <c r="GC382" s="312"/>
      <c r="GD382" s="312"/>
      <c r="GE382" s="312"/>
      <c r="GF382" s="312"/>
      <c r="GG382" s="312"/>
      <c r="GH382" s="312"/>
      <c r="GI382" s="312"/>
      <c r="GJ382" s="312"/>
      <c r="GK382" s="312"/>
      <c r="GL382" s="312"/>
      <c r="GM382" s="312"/>
      <c r="GN382" s="312"/>
      <c r="GO382" s="312"/>
      <c r="GP382" s="312"/>
      <c r="GQ382" s="312"/>
      <c r="GR382" s="312"/>
      <c r="GS382" s="312"/>
      <c r="GT382" s="312"/>
      <c r="GU382" s="312"/>
      <c r="GV382" s="312"/>
      <c r="GW382" s="312"/>
      <c r="GX382" s="312"/>
      <c r="GY382" s="312"/>
    </row>
    <row r="383" spans="2:207" ht="15.75" x14ac:dyDescent="0.25">
      <c r="B383" s="316">
        <f t="shared" si="96"/>
        <v>353</v>
      </c>
      <c r="C383" s="330">
        <f>'סיכום לוועדה'!B383</f>
        <v>1001347369</v>
      </c>
      <c r="D383" s="330">
        <f>'סיכום לוועדה'!C383</f>
        <v>1001269042</v>
      </c>
      <c r="E383" s="330">
        <f>'סיכום לוועדה'!D383</f>
        <v>41604114</v>
      </c>
      <c r="F383" s="330">
        <f>'סיכום לוועדה'!E383</f>
        <v>20000201</v>
      </c>
      <c r="G383" s="330" t="str">
        <f>'סיכום לוועדה'!F383</f>
        <v>תל אביב -יפו</v>
      </c>
      <c r="H383" s="317" t="str">
        <f>'סיכום לוועדה'!G383</f>
        <v>העמותה לקונטאקט אימפרוביזציה בישראל</v>
      </c>
      <c r="I383" s="318">
        <f>'סיכום לוועדה'!U383</f>
        <v>30000</v>
      </c>
      <c r="J383" s="319">
        <f>'סיכום לוועדה'!T383</f>
        <v>77714.847781781747</v>
      </c>
      <c r="K383" s="320">
        <f t="shared" si="97"/>
        <v>1</v>
      </c>
      <c r="L383" s="319">
        <f t="shared" si="98"/>
        <v>30000</v>
      </c>
      <c r="M383" s="331">
        <f>'תחום תמיכה ב'!AF383</f>
        <v>5.5476909312442081E-4</v>
      </c>
      <c r="N383" s="319">
        <f t="shared" si="95"/>
        <v>30000</v>
      </c>
      <c r="O383" s="321">
        <f t="shared" si="99"/>
        <v>1</v>
      </c>
      <c r="P383" s="322">
        <f t="shared" si="100"/>
        <v>30000</v>
      </c>
      <c r="Q383" s="322">
        <f t="shared" si="101"/>
        <v>30000</v>
      </c>
      <c r="R383" s="321">
        <f t="shared" si="102"/>
        <v>1</v>
      </c>
      <c r="S383" s="322">
        <f t="shared" si="103"/>
        <v>30000</v>
      </c>
      <c r="T383" s="322">
        <f t="shared" si="104"/>
        <v>30000</v>
      </c>
      <c r="U383" s="321">
        <f t="shared" si="105"/>
        <v>1</v>
      </c>
      <c r="V383" s="322">
        <f t="shared" si="106"/>
        <v>30000</v>
      </c>
      <c r="W383" s="322">
        <f t="shared" si="107"/>
        <v>30000</v>
      </c>
      <c r="X383" s="321">
        <f t="shared" si="108"/>
        <v>1</v>
      </c>
      <c r="Y383" s="322">
        <f t="shared" si="109"/>
        <v>30000</v>
      </c>
      <c r="Z383" s="322">
        <f t="shared" si="110"/>
        <v>30000</v>
      </c>
      <c r="AA383" s="323">
        <f t="shared" si="111"/>
        <v>30000</v>
      </c>
      <c r="AB383" s="323"/>
      <c r="AC383" s="323"/>
      <c r="AD383" s="323"/>
      <c r="AE383" s="323"/>
      <c r="AF383" s="324">
        <f t="shared" si="112"/>
        <v>1.7180350703582876E-4</v>
      </c>
      <c r="AG383" s="312"/>
      <c r="AH383" s="312"/>
      <c r="AI383" s="325">
        <f t="shared" si="113"/>
        <v>1</v>
      </c>
      <c r="AJ383" s="312"/>
      <c r="AK383" s="312"/>
      <c r="AL383" s="312"/>
      <c r="AM383" s="312"/>
      <c r="AN383" s="312"/>
      <c r="AO383" s="312"/>
      <c r="AP383" s="312"/>
      <c r="AQ383" s="312"/>
      <c r="AR383" s="312"/>
      <c r="AS383" s="312"/>
      <c r="AT383" s="312"/>
      <c r="AU383" s="312"/>
      <c r="AV383" s="312"/>
      <c r="AW383" s="312"/>
      <c r="AX383" s="312"/>
      <c r="AY383" s="312"/>
      <c r="AZ383" s="312"/>
      <c r="BA383" s="312"/>
      <c r="BB383" s="312"/>
      <c r="BC383" s="312"/>
      <c r="BD383" s="312"/>
      <c r="BE383" s="312"/>
      <c r="BF383" s="312"/>
      <c r="BG383" s="312"/>
      <c r="BH383" s="312"/>
      <c r="BI383" s="312"/>
      <c r="BJ383" s="312"/>
      <c r="BK383" s="312"/>
      <c r="BL383" s="312"/>
      <c r="BM383" s="312"/>
      <c r="BN383" s="312"/>
      <c r="BO383" s="312"/>
      <c r="BP383" s="312"/>
      <c r="BQ383" s="312"/>
      <c r="BR383" s="312"/>
      <c r="BS383" s="312"/>
      <c r="BT383" s="312"/>
      <c r="BU383" s="312"/>
      <c r="BV383" s="312"/>
      <c r="BW383" s="312"/>
      <c r="BX383" s="312"/>
      <c r="BY383" s="312"/>
      <c r="BZ383" s="312"/>
      <c r="CA383" s="312"/>
      <c r="CB383" s="312"/>
      <c r="CC383" s="312"/>
      <c r="CD383" s="312"/>
      <c r="CE383" s="312"/>
      <c r="CF383" s="312"/>
      <c r="CG383" s="312"/>
      <c r="CH383" s="312"/>
      <c r="CI383" s="312"/>
      <c r="CJ383" s="312"/>
      <c r="CK383" s="312"/>
      <c r="CL383" s="312"/>
      <c r="CM383" s="312"/>
      <c r="CN383" s="312"/>
      <c r="CO383" s="312"/>
      <c r="CP383" s="312"/>
      <c r="CQ383" s="312"/>
      <c r="CR383" s="312"/>
      <c r="CS383" s="312"/>
      <c r="CT383" s="312"/>
      <c r="CU383" s="312"/>
      <c r="CV383" s="312"/>
      <c r="CW383" s="312"/>
      <c r="CX383" s="312"/>
      <c r="CY383" s="312"/>
      <c r="CZ383" s="312"/>
      <c r="DA383" s="312"/>
      <c r="DB383" s="312"/>
      <c r="DC383" s="312"/>
      <c r="DD383" s="312"/>
      <c r="DE383" s="312"/>
      <c r="DF383" s="312"/>
      <c r="DG383" s="312"/>
      <c r="DH383" s="312"/>
      <c r="DI383" s="312"/>
      <c r="DJ383" s="312"/>
      <c r="DK383" s="312"/>
      <c r="DL383" s="312"/>
      <c r="DM383" s="312"/>
      <c r="DN383" s="312"/>
      <c r="DO383" s="312"/>
      <c r="DP383" s="312"/>
      <c r="DQ383" s="312"/>
      <c r="DR383" s="312"/>
      <c r="DS383" s="312"/>
      <c r="DT383" s="312"/>
      <c r="DU383" s="312"/>
      <c r="DV383" s="312"/>
      <c r="DW383" s="312"/>
      <c r="DX383" s="312"/>
      <c r="DY383" s="312"/>
      <c r="DZ383" s="312"/>
      <c r="EA383" s="312"/>
      <c r="EB383" s="312"/>
      <c r="EC383" s="312"/>
      <c r="ED383" s="312"/>
      <c r="EE383" s="312"/>
      <c r="EF383" s="312"/>
      <c r="EG383" s="312"/>
      <c r="EH383" s="312"/>
      <c r="EI383" s="312"/>
      <c r="EJ383" s="312"/>
      <c r="EK383" s="312"/>
      <c r="EL383" s="312"/>
      <c r="EM383" s="312"/>
      <c r="EN383" s="312"/>
      <c r="EO383" s="312"/>
      <c r="EP383" s="312"/>
      <c r="EQ383" s="312"/>
      <c r="ER383" s="312"/>
      <c r="ES383" s="312"/>
      <c r="ET383" s="312"/>
      <c r="EU383" s="312"/>
      <c r="EV383" s="312"/>
      <c r="EW383" s="312"/>
      <c r="EX383" s="312"/>
      <c r="EY383" s="312"/>
      <c r="EZ383" s="312"/>
      <c r="FA383" s="312"/>
      <c r="FB383" s="312"/>
      <c r="FC383" s="312"/>
      <c r="FD383" s="312"/>
      <c r="FE383" s="312"/>
      <c r="FF383" s="312"/>
      <c r="FG383" s="312"/>
      <c r="FH383" s="312"/>
      <c r="FI383" s="312"/>
      <c r="FJ383" s="312"/>
      <c r="FK383" s="312"/>
      <c r="FL383" s="312"/>
      <c r="FM383" s="312"/>
      <c r="FN383" s="312"/>
      <c r="FO383" s="312"/>
      <c r="FP383" s="312"/>
      <c r="FQ383" s="312"/>
      <c r="FR383" s="312"/>
      <c r="FS383" s="312"/>
      <c r="FT383" s="312"/>
      <c r="FU383" s="312"/>
      <c r="FV383" s="312"/>
      <c r="FW383" s="312"/>
      <c r="FX383" s="312"/>
      <c r="FY383" s="312"/>
      <c r="FZ383" s="312"/>
      <c r="GA383" s="312"/>
      <c r="GB383" s="312"/>
      <c r="GC383" s="312"/>
      <c r="GD383" s="312"/>
      <c r="GE383" s="312"/>
      <c r="GF383" s="312"/>
      <c r="GG383" s="312"/>
      <c r="GH383" s="312"/>
      <c r="GI383" s="312"/>
      <c r="GJ383" s="312"/>
      <c r="GK383" s="312"/>
      <c r="GL383" s="312"/>
      <c r="GM383" s="312"/>
      <c r="GN383" s="312"/>
      <c r="GO383" s="312"/>
      <c r="GP383" s="312"/>
      <c r="GQ383" s="312"/>
      <c r="GR383" s="312"/>
      <c r="GS383" s="312"/>
      <c r="GT383" s="312"/>
      <c r="GU383" s="312"/>
      <c r="GV383" s="312"/>
      <c r="GW383" s="312"/>
      <c r="GX383" s="312"/>
      <c r="GY383" s="312"/>
    </row>
    <row r="384" spans="2:207" ht="15.75" x14ac:dyDescent="0.25">
      <c r="B384" s="316">
        <f t="shared" si="96"/>
        <v>354</v>
      </c>
      <c r="C384" s="330">
        <f>'סיכום לוועדה'!B384</f>
        <v>1001350655</v>
      </c>
      <c r="D384" s="330">
        <f>'סיכום לוועדה'!C384</f>
        <v>1001273979</v>
      </c>
      <c r="E384" s="330">
        <f>'סיכום לוועדה'!D384</f>
        <v>41626750</v>
      </c>
      <c r="F384" s="330">
        <f>'סיכום לוועדה'!E384</f>
        <v>20000250</v>
      </c>
      <c r="G384" s="330" t="str">
        <f>'סיכום לוועדה'!F384</f>
        <v>רמת גן</v>
      </c>
      <c r="H384" s="317" t="str">
        <f>'סיכום לוועדה'!G384</f>
        <v>להקת מחול רועי אסף (ע"ר)</v>
      </c>
      <c r="I384" s="318">
        <f>'סיכום לוועדה'!U384</f>
        <v>250000</v>
      </c>
      <c r="J384" s="319">
        <f>'סיכום לוועדה'!T384</f>
        <v>60805.726889794976</v>
      </c>
      <c r="K384" s="320">
        <f t="shared" si="97"/>
        <v>0</v>
      </c>
      <c r="L384" s="319">
        <f t="shared" si="98"/>
        <v>60805.726889794976</v>
      </c>
      <c r="M384" s="331">
        <f>'תחום תמיכה ב'!AF384</f>
        <v>3.9890974302042836E-4</v>
      </c>
      <c r="N384" s="319">
        <f t="shared" si="95"/>
        <v>67600.95966235621</v>
      </c>
      <c r="O384" s="321">
        <f t="shared" si="99"/>
        <v>0</v>
      </c>
      <c r="P384" s="322">
        <f t="shared" si="100"/>
        <v>67600.95966235621</v>
      </c>
      <c r="Q384" s="322">
        <f t="shared" si="101"/>
        <v>67631.740164676201</v>
      </c>
      <c r="R384" s="321">
        <f t="shared" si="102"/>
        <v>0</v>
      </c>
      <c r="S384" s="322">
        <f t="shared" si="103"/>
        <v>67631.740164676201</v>
      </c>
      <c r="T384" s="322">
        <f t="shared" si="104"/>
        <v>67631.74016467607</v>
      </c>
      <c r="U384" s="321">
        <f t="shared" si="105"/>
        <v>0</v>
      </c>
      <c r="V384" s="322">
        <f t="shared" si="106"/>
        <v>67631.74016467607</v>
      </c>
      <c r="W384" s="322">
        <f t="shared" si="107"/>
        <v>67631.740164676099</v>
      </c>
      <c r="X384" s="321">
        <f t="shared" si="108"/>
        <v>0</v>
      </c>
      <c r="Y384" s="322">
        <f t="shared" si="109"/>
        <v>67631.740164676099</v>
      </c>
      <c r="Z384" s="322">
        <f t="shared" si="110"/>
        <v>67631.740164676085</v>
      </c>
      <c r="AA384" s="323">
        <f t="shared" si="111"/>
        <v>67631.740164676085</v>
      </c>
      <c r="AB384" s="323"/>
      <c r="AC384" s="323"/>
      <c r="AD384" s="323"/>
      <c r="AE384" s="323"/>
      <c r="AF384" s="324">
        <f t="shared" si="112"/>
        <v>3.8731233824090898E-4</v>
      </c>
      <c r="AG384" s="312"/>
      <c r="AH384" s="312"/>
      <c r="AI384" s="325">
        <f t="shared" si="113"/>
        <v>1</v>
      </c>
      <c r="AJ384" s="312"/>
      <c r="AK384" s="312"/>
      <c r="AL384" s="312"/>
      <c r="AM384" s="312"/>
      <c r="AN384" s="312"/>
      <c r="AO384" s="312"/>
      <c r="AP384" s="312"/>
      <c r="AQ384" s="312"/>
      <c r="AR384" s="312"/>
      <c r="AS384" s="312"/>
      <c r="AT384" s="312"/>
      <c r="AU384" s="312"/>
      <c r="AV384" s="312"/>
      <c r="AW384" s="312"/>
      <c r="AX384" s="312"/>
      <c r="AY384" s="312"/>
      <c r="AZ384" s="312"/>
      <c r="BA384" s="312"/>
      <c r="BB384" s="312"/>
      <c r="BC384" s="312"/>
      <c r="BD384" s="312"/>
      <c r="BE384" s="312"/>
      <c r="BF384" s="312"/>
      <c r="BG384" s="312"/>
      <c r="BH384" s="312"/>
      <c r="BI384" s="312"/>
      <c r="BJ384" s="312"/>
      <c r="BK384" s="312"/>
      <c r="BL384" s="312"/>
      <c r="BM384" s="312"/>
      <c r="BN384" s="312"/>
      <c r="BO384" s="312"/>
      <c r="BP384" s="312"/>
      <c r="BQ384" s="312"/>
      <c r="BR384" s="312"/>
      <c r="BS384" s="312"/>
      <c r="BT384" s="312"/>
      <c r="BU384" s="312"/>
      <c r="BV384" s="312"/>
      <c r="BW384" s="312"/>
      <c r="BX384" s="312"/>
      <c r="BY384" s="312"/>
      <c r="BZ384" s="312"/>
      <c r="CA384" s="312"/>
      <c r="CB384" s="312"/>
      <c r="CC384" s="312"/>
      <c r="CD384" s="312"/>
      <c r="CE384" s="312"/>
      <c r="CF384" s="312"/>
      <c r="CG384" s="312"/>
      <c r="CH384" s="312"/>
      <c r="CI384" s="312"/>
      <c r="CJ384" s="312"/>
      <c r="CK384" s="312"/>
      <c r="CL384" s="312"/>
      <c r="CM384" s="312"/>
      <c r="CN384" s="312"/>
      <c r="CO384" s="312"/>
      <c r="CP384" s="312"/>
      <c r="CQ384" s="312"/>
      <c r="CR384" s="312"/>
      <c r="CS384" s="312"/>
      <c r="CT384" s="312"/>
      <c r="CU384" s="312"/>
      <c r="CV384" s="312"/>
      <c r="CW384" s="312"/>
      <c r="CX384" s="312"/>
      <c r="CY384" s="312"/>
      <c r="CZ384" s="312"/>
      <c r="DA384" s="312"/>
      <c r="DB384" s="312"/>
      <c r="DC384" s="312"/>
      <c r="DD384" s="312"/>
      <c r="DE384" s="312"/>
      <c r="DF384" s="312"/>
      <c r="DG384" s="312"/>
      <c r="DH384" s="312"/>
      <c r="DI384" s="312"/>
      <c r="DJ384" s="312"/>
      <c r="DK384" s="312"/>
      <c r="DL384" s="312"/>
      <c r="DM384" s="312"/>
      <c r="DN384" s="312"/>
      <c r="DO384" s="312"/>
      <c r="DP384" s="312"/>
      <c r="DQ384" s="312"/>
      <c r="DR384" s="312"/>
      <c r="DS384" s="312"/>
      <c r="DT384" s="312"/>
      <c r="DU384" s="312"/>
      <c r="DV384" s="312"/>
      <c r="DW384" s="312"/>
      <c r="DX384" s="312"/>
      <c r="DY384" s="312"/>
      <c r="DZ384" s="312"/>
      <c r="EA384" s="312"/>
      <c r="EB384" s="312"/>
      <c r="EC384" s="312"/>
      <c r="ED384" s="312"/>
      <c r="EE384" s="312"/>
      <c r="EF384" s="312"/>
      <c r="EG384" s="312"/>
      <c r="EH384" s="312"/>
      <c r="EI384" s="312"/>
      <c r="EJ384" s="312"/>
      <c r="EK384" s="312"/>
      <c r="EL384" s="312"/>
      <c r="EM384" s="312"/>
      <c r="EN384" s="312"/>
      <c r="EO384" s="312"/>
      <c r="EP384" s="312"/>
      <c r="EQ384" s="312"/>
      <c r="ER384" s="312"/>
      <c r="ES384" s="312"/>
      <c r="ET384" s="312"/>
      <c r="EU384" s="312"/>
      <c r="EV384" s="312"/>
      <c r="EW384" s="312"/>
      <c r="EX384" s="312"/>
      <c r="EY384" s="312"/>
      <c r="EZ384" s="312"/>
      <c r="FA384" s="312"/>
      <c r="FB384" s="312"/>
      <c r="FC384" s="312"/>
      <c r="FD384" s="312"/>
      <c r="FE384" s="312"/>
      <c r="FF384" s="312"/>
      <c r="FG384" s="312"/>
      <c r="FH384" s="312"/>
      <c r="FI384" s="312"/>
      <c r="FJ384" s="312"/>
      <c r="FK384" s="312"/>
      <c r="FL384" s="312"/>
      <c r="FM384" s="312"/>
      <c r="FN384" s="312"/>
      <c r="FO384" s="312"/>
      <c r="FP384" s="312"/>
      <c r="FQ384" s="312"/>
      <c r="FR384" s="312"/>
      <c r="FS384" s="312"/>
      <c r="FT384" s="312"/>
      <c r="FU384" s="312"/>
      <c r="FV384" s="312"/>
      <c r="FW384" s="312"/>
      <c r="FX384" s="312"/>
      <c r="FY384" s="312"/>
      <c r="FZ384" s="312"/>
      <c r="GA384" s="312"/>
      <c r="GB384" s="312"/>
      <c r="GC384" s="312"/>
      <c r="GD384" s="312"/>
      <c r="GE384" s="312"/>
      <c r="GF384" s="312"/>
      <c r="GG384" s="312"/>
      <c r="GH384" s="312"/>
      <c r="GI384" s="312"/>
      <c r="GJ384" s="312"/>
      <c r="GK384" s="312"/>
      <c r="GL384" s="312"/>
      <c r="GM384" s="312"/>
      <c r="GN384" s="312"/>
      <c r="GO384" s="312"/>
      <c r="GP384" s="312"/>
      <c r="GQ384" s="312"/>
      <c r="GR384" s="312"/>
      <c r="GS384" s="312"/>
      <c r="GT384" s="312"/>
      <c r="GU384" s="312"/>
      <c r="GV384" s="312"/>
      <c r="GW384" s="312"/>
      <c r="GX384" s="312"/>
      <c r="GY384" s="312"/>
    </row>
    <row r="385" spans="2:207" ht="15.75" x14ac:dyDescent="0.25">
      <c r="B385" s="316">
        <f t="shared" si="96"/>
        <v>355</v>
      </c>
      <c r="C385" s="330">
        <f>'סיכום לוועדה'!B385</f>
        <v>1001347018</v>
      </c>
      <c r="D385" s="330">
        <f>'סיכום לוועדה'!C385</f>
        <v>1001271538</v>
      </c>
      <c r="E385" s="330">
        <f>'סיכום לוועדה'!D385</f>
        <v>41627319</v>
      </c>
      <c r="F385" s="330">
        <f>'סיכום לוועדה'!E385</f>
        <v>20000159</v>
      </c>
      <c r="G385" s="330" t="str">
        <f>'סיכום לוועדה'!F385</f>
        <v>ירושלים</v>
      </c>
      <c r="H385" s="317" t="str">
        <f>'סיכום לוועדה'!G385</f>
        <v>ק.ט.מ.ו.ן - קבוצת מחול בירושלים (ע'</v>
      </c>
      <c r="I385" s="318">
        <f>'סיכום לוועדה'!U385</f>
        <v>50000</v>
      </c>
      <c r="J385" s="319">
        <f>'סיכום לוועדה'!T385</f>
        <v>35159.884265426852</v>
      </c>
      <c r="K385" s="320">
        <f t="shared" si="97"/>
        <v>0</v>
      </c>
      <c r="L385" s="319">
        <f t="shared" si="98"/>
        <v>35159.884265426852</v>
      </c>
      <c r="M385" s="331">
        <f>'תחום תמיכה ב'!AF385</f>
        <v>1.9534540225948295E-4</v>
      </c>
      <c r="N385" s="319">
        <f t="shared" si="95"/>
        <v>38487.497848770239</v>
      </c>
      <c r="O385" s="321">
        <f t="shared" si="99"/>
        <v>0</v>
      </c>
      <c r="P385" s="322">
        <f t="shared" si="100"/>
        <v>38487.497848770239</v>
      </c>
      <c r="Q385" s="322">
        <f t="shared" si="101"/>
        <v>38505.02222302086</v>
      </c>
      <c r="R385" s="321">
        <f t="shared" si="102"/>
        <v>0</v>
      </c>
      <c r="S385" s="322">
        <f t="shared" si="103"/>
        <v>38505.02222302086</v>
      </c>
      <c r="T385" s="322">
        <f t="shared" si="104"/>
        <v>38505.02222302078</v>
      </c>
      <c r="U385" s="321">
        <f t="shared" si="105"/>
        <v>0</v>
      </c>
      <c r="V385" s="322">
        <f t="shared" si="106"/>
        <v>38505.02222302078</v>
      </c>
      <c r="W385" s="322">
        <f t="shared" si="107"/>
        <v>38505.022223020795</v>
      </c>
      <c r="X385" s="321">
        <f t="shared" si="108"/>
        <v>0</v>
      </c>
      <c r="Y385" s="322">
        <f t="shared" si="109"/>
        <v>38505.022223020795</v>
      </c>
      <c r="Z385" s="322">
        <f t="shared" si="110"/>
        <v>38505.022223020787</v>
      </c>
      <c r="AA385" s="323">
        <f t="shared" si="111"/>
        <v>38505.022223020787</v>
      </c>
      <c r="AB385" s="323"/>
      <c r="AC385" s="323"/>
      <c r="AD385" s="323"/>
      <c r="AE385" s="323"/>
      <c r="AF385" s="324">
        <f t="shared" si="112"/>
        <v>2.2050992854691647E-4</v>
      </c>
      <c r="AG385" s="312"/>
      <c r="AH385" s="312"/>
      <c r="AI385" s="325">
        <f t="shared" si="113"/>
        <v>1</v>
      </c>
      <c r="AJ385" s="312"/>
      <c r="AK385" s="312"/>
      <c r="AL385" s="312"/>
      <c r="AM385" s="312"/>
      <c r="AN385" s="312"/>
      <c r="AO385" s="312"/>
      <c r="AP385" s="312"/>
      <c r="AQ385" s="312"/>
      <c r="AR385" s="312"/>
      <c r="AS385" s="312"/>
      <c r="AT385" s="312"/>
      <c r="AU385" s="312"/>
      <c r="AV385" s="312"/>
      <c r="AW385" s="312"/>
      <c r="AX385" s="312"/>
      <c r="AY385" s="312"/>
      <c r="AZ385" s="312"/>
      <c r="BA385" s="312"/>
      <c r="BB385" s="312"/>
      <c r="BC385" s="312"/>
      <c r="BD385" s="312"/>
      <c r="BE385" s="312"/>
      <c r="BF385" s="312"/>
      <c r="BG385" s="312"/>
      <c r="BH385" s="312"/>
      <c r="BI385" s="312"/>
      <c r="BJ385" s="312"/>
      <c r="BK385" s="312"/>
      <c r="BL385" s="312"/>
      <c r="BM385" s="312"/>
      <c r="BN385" s="312"/>
      <c r="BO385" s="312"/>
      <c r="BP385" s="312"/>
      <c r="BQ385" s="312"/>
      <c r="BR385" s="312"/>
      <c r="BS385" s="312"/>
      <c r="BT385" s="312"/>
      <c r="BU385" s="312"/>
      <c r="BV385" s="312"/>
      <c r="BW385" s="312"/>
      <c r="BX385" s="312"/>
      <c r="BY385" s="312"/>
      <c r="BZ385" s="312"/>
      <c r="CA385" s="312"/>
      <c r="CB385" s="312"/>
      <c r="CC385" s="312"/>
      <c r="CD385" s="312"/>
      <c r="CE385" s="312"/>
      <c r="CF385" s="312"/>
      <c r="CG385" s="312"/>
      <c r="CH385" s="312"/>
      <c r="CI385" s="312"/>
      <c r="CJ385" s="312"/>
      <c r="CK385" s="312"/>
      <c r="CL385" s="312"/>
      <c r="CM385" s="312"/>
      <c r="CN385" s="312"/>
      <c r="CO385" s="312"/>
      <c r="CP385" s="312"/>
      <c r="CQ385" s="312"/>
      <c r="CR385" s="312"/>
      <c r="CS385" s="312"/>
      <c r="CT385" s="312"/>
      <c r="CU385" s="312"/>
      <c r="CV385" s="312"/>
      <c r="CW385" s="312"/>
      <c r="CX385" s="312"/>
      <c r="CY385" s="312"/>
      <c r="CZ385" s="312"/>
      <c r="DA385" s="312"/>
      <c r="DB385" s="312"/>
      <c r="DC385" s="312"/>
      <c r="DD385" s="312"/>
      <c r="DE385" s="312"/>
      <c r="DF385" s="312"/>
      <c r="DG385" s="312"/>
      <c r="DH385" s="312"/>
      <c r="DI385" s="312"/>
      <c r="DJ385" s="312"/>
      <c r="DK385" s="312"/>
      <c r="DL385" s="312"/>
      <c r="DM385" s="312"/>
      <c r="DN385" s="312"/>
      <c r="DO385" s="312"/>
      <c r="DP385" s="312"/>
      <c r="DQ385" s="312"/>
      <c r="DR385" s="312"/>
      <c r="DS385" s="312"/>
      <c r="DT385" s="312"/>
      <c r="DU385" s="312"/>
      <c r="DV385" s="312"/>
      <c r="DW385" s="312"/>
      <c r="DX385" s="312"/>
      <c r="DY385" s="312"/>
      <c r="DZ385" s="312"/>
      <c r="EA385" s="312"/>
      <c r="EB385" s="312"/>
      <c r="EC385" s="312"/>
      <c r="ED385" s="312"/>
      <c r="EE385" s="312"/>
      <c r="EF385" s="312"/>
      <c r="EG385" s="312"/>
      <c r="EH385" s="312"/>
      <c r="EI385" s="312"/>
      <c r="EJ385" s="312"/>
      <c r="EK385" s="312"/>
      <c r="EL385" s="312"/>
      <c r="EM385" s="312"/>
      <c r="EN385" s="312"/>
      <c r="EO385" s="312"/>
      <c r="EP385" s="312"/>
      <c r="EQ385" s="312"/>
      <c r="ER385" s="312"/>
      <c r="ES385" s="312"/>
      <c r="ET385" s="312"/>
      <c r="EU385" s="312"/>
      <c r="EV385" s="312"/>
      <c r="EW385" s="312"/>
      <c r="EX385" s="312"/>
      <c r="EY385" s="312"/>
      <c r="EZ385" s="312"/>
      <c r="FA385" s="312"/>
      <c r="FB385" s="312"/>
      <c r="FC385" s="312"/>
      <c r="FD385" s="312"/>
      <c r="FE385" s="312"/>
      <c r="FF385" s="312"/>
      <c r="FG385" s="312"/>
      <c r="FH385" s="312"/>
      <c r="FI385" s="312"/>
      <c r="FJ385" s="312"/>
      <c r="FK385" s="312"/>
      <c r="FL385" s="312"/>
      <c r="FM385" s="312"/>
      <c r="FN385" s="312"/>
      <c r="FO385" s="312"/>
      <c r="FP385" s="312"/>
      <c r="FQ385" s="312"/>
      <c r="FR385" s="312"/>
      <c r="FS385" s="312"/>
      <c r="FT385" s="312"/>
      <c r="FU385" s="312"/>
      <c r="FV385" s="312"/>
      <c r="FW385" s="312"/>
      <c r="FX385" s="312"/>
      <c r="FY385" s="312"/>
      <c r="FZ385" s="312"/>
      <c r="GA385" s="312"/>
      <c r="GB385" s="312"/>
      <c r="GC385" s="312"/>
      <c r="GD385" s="312"/>
      <c r="GE385" s="312"/>
      <c r="GF385" s="312"/>
      <c r="GG385" s="312"/>
      <c r="GH385" s="312"/>
      <c r="GI385" s="312"/>
      <c r="GJ385" s="312"/>
      <c r="GK385" s="312"/>
      <c r="GL385" s="312"/>
      <c r="GM385" s="312"/>
      <c r="GN385" s="312"/>
      <c r="GO385" s="312"/>
      <c r="GP385" s="312"/>
      <c r="GQ385" s="312"/>
      <c r="GR385" s="312"/>
      <c r="GS385" s="312"/>
      <c r="GT385" s="312"/>
      <c r="GU385" s="312"/>
      <c r="GV385" s="312"/>
      <c r="GW385" s="312"/>
      <c r="GX385" s="312"/>
      <c r="GY385" s="312"/>
    </row>
    <row r="386" spans="2:207" ht="15.75" x14ac:dyDescent="0.25">
      <c r="B386" s="316">
        <f t="shared" si="96"/>
        <v>356</v>
      </c>
      <c r="C386" s="330">
        <f>'סיכום לוועדה'!B386</f>
        <v>1001348655</v>
      </c>
      <c r="D386" s="330">
        <f>'סיכום לוועדה'!C386</f>
        <v>1001266859</v>
      </c>
      <c r="E386" s="330">
        <f>'סיכום לוועדה'!D386</f>
        <v>41633210</v>
      </c>
      <c r="F386" s="330">
        <f>'סיכום לוועדה'!E386</f>
        <v>20000052</v>
      </c>
      <c r="G386" s="330" t="str">
        <f>'סיכום לוועדה'!F386</f>
        <v>כפר כנא</v>
      </c>
      <c r="H386" s="317" t="str">
        <f>'סיכום לוועדה'!G386</f>
        <v>סול (ע''ר)</v>
      </c>
      <c r="I386" s="318">
        <f>'סיכום לוועדה'!U386</f>
        <v>450000</v>
      </c>
      <c r="J386" s="319">
        <f>'סיכום לוועדה'!T386</f>
        <v>50731.9600021523</v>
      </c>
      <c r="K386" s="320">
        <f t="shared" si="97"/>
        <v>0</v>
      </c>
      <c r="L386" s="319">
        <f t="shared" si="98"/>
        <v>50731.9600021523</v>
      </c>
      <c r="M386" s="331">
        <f>'תחום תמיכה ב'!AF386</f>
        <v>3.6344513864824875E-4</v>
      </c>
      <c r="N386" s="319">
        <f t="shared" si="95"/>
        <v>56923.070548790834</v>
      </c>
      <c r="O386" s="321">
        <f t="shared" si="99"/>
        <v>0</v>
      </c>
      <c r="P386" s="322">
        <f t="shared" si="100"/>
        <v>56923.070548790834</v>
      </c>
      <c r="Q386" s="322">
        <f t="shared" si="101"/>
        <v>56948.989126187356</v>
      </c>
      <c r="R386" s="321">
        <f t="shared" si="102"/>
        <v>0</v>
      </c>
      <c r="S386" s="322">
        <f t="shared" si="103"/>
        <v>56948.989126187356</v>
      </c>
      <c r="T386" s="322">
        <f t="shared" si="104"/>
        <v>56948.98912618724</v>
      </c>
      <c r="U386" s="321">
        <f t="shared" si="105"/>
        <v>0</v>
      </c>
      <c r="V386" s="322">
        <f t="shared" si="106"/>
        <v>56948.98912618724</v>
      </c>
      <c r="W386" s="322">
        <f t="shared" si="107"/>
        <v>56948.989126187262</v>
      </c>
      <c r="X386" s="321">
        <f t="shared" si="108"/>
        <v>0</v>
      </c>
      <c r="Y386" s="322">
        <f t="shared" si="109"/>
        <v>56948.989126187262</v>
      </c>
      <c r="Z386" s="322">
        <f t="shared" si="110"/>
        <v>56948.989126187247</v>
      </c>
      <c r="AA386" s="323">
        <f t="shared" si="111"/>
        <v>56948.989126187247</v>
      </c>
      <c r="AB386" s="323"/>
      <c r="AC386" s="323"/>
      <c r="AD386" s="323"/>
      <c r="AE386" s="323"/>
      <c r="AF386" s="324">
        <f t="shared" si="112"/>
        <v>3.2613453513414154E-4</v>
      </c>
      <c r="AG386" s="312"/>
      <c r="AH386" s="312"/>
      <c r="AI386" s="325">
        <f t="shared" si="113"/>
        <v>1</v>
      </c>
      <c r="AJ386" s="312"/>
      <c r="AK386" s="312"/>
      <c r="AL386" s="312"/>
      <c r="AM386" s="312"/>
      <c r="AN386" s="312"/>
      <c r="AO386" s="312"/>
      <c r="AP386" s="312"/>
      <c r="AQ386" s="312"/>
      <c r="AR386" s="312"/>
      <c r="AS386" s="312"/>
      <c r="AT386" s="312"/>
      <c r="AU386" s="312"/>
      <c r="AV386" s="312"/>
      <c r="AW386" s="312"/>
      <c r="AX386" s="312"/>
      <c r="AY386" s="312"/>
      <c r="AZ386" s="312"/>
      <c r="BA386" s="312"/>
      <c r="BB386" s="312"/>
      <c r="BC386" s="312"/>
      <c r="BD386" s="312"/>
      <c r="BE386" s="312"/>
      <c r="BF386" s="312"/>
      <c r="BG386" s="312"/>
      <c r="BH386" s="312"/>
      <c r="BI386" s="312"/>
      <c r="BJ386" s="312"/>
      <c r="BK386" s="312"/>
      <c r="BL386" s="312"/>
      <c r="BM386" s="312"/>
      <c r="BN386" s="312"/>
      <c r="BO386" s="312"/>
      <c r="BP386" s="312"/>
      <c r="BQ386" s="312"/>
      <c r="BR386" s="312"/>
      <c r="BS386" s="312"/>
      <c r="BT386" s="312"/>
      <c r="BU386" s="312"/>
      <c r="BV386" s="312"/>
      <c r="BW386" s="312"/>
      <c r="BX386" s="312"/>
      <c r="BY386" s="312"/>
      <c r="BZ386" s="312"/>
      <c r="CA386" s="312"/>
      <c r="CB386" s="312"/>
      <c r="CC386" s="312"/>
      <c r="CD386" s="312"/>
      <c r="CE386" s="312"/>
      <c r="CF386" s="312"/>
      <c r="CG386" s="312"/>
      <c r="CH386" s="312"/>
      <c r="CI386" s="312"/>
      <c r="CJ386" s="312"/>
      <c r="CK386" s="312"/>
      <c r="CL386" s="312"/>
      <c r="CM386" s="312"/>
      <c r="CN386" s="312"/>
      <c r="CO386" s="312"/>
      <c r="CP386" s="312"/>
      <c r="CQ386" s="312"/>
      <c r="CR386" s="312"/>
      <c r="CS386" s="312"/>
      <c r="CT386" s="312"/>
      <c r="CU386" s="312"/>
      <c r="CV386" s="312"/>
      <c r="CW386" s="312"/>
      <c r="CX386" s="312"/>
      <c r="CY386" s="312"/>
      <c r="CZ386" s="312"/>
      <c r="DA386" s="312"/>
      <c r="DB386" s="312"/>
      <c r="DC386" s="312"/>
      <c r="DD386" s="312"/>
      <c r="DE386" s="312"/>
      <c r="DF386" s="312"/>
      <c r="DG386" s="312"/>
      <c r="DH386" s="312"/>
      <c r="DI386" s="312"/>
      <c r="DJ386" s="312"/>
      <c r="DK386" s="312"/>
      <c r="DL386" s="312"/>
      <c r="DM386" s="312"/>
      <c r="DN386" s="312"/>
      <c r="DO386" s="312"/>
      <c r="DP386" s="312"/>
      <c r="DQ386" s="312"/>
      <c r="DR386" s="312"/>
      <c r="DS386" s="312"/>
      <c r="DT386" s="312"/>
      <c r="DU386" s="312"/>
      <c r="DV386" s="312"/>
      <c r="DW386" s="312"/>
      <c r="DX386" s="312"/>
      <c r="DY386" s="312"/>
      <c r="DZ386" s="312"/>
      <c r="EA386" s="312"/>
      <c r="EB386" s="312"/>
      <c r="EC386" s="312"/>
      <c r="ED386" s="312"/>
      <c r="EE386" s="312"/>
      <c r="EF386" s="312"/>
      <c r="EG386" s="312"/>
      <c r="EH386" s="312"/>
      <c r="EI386" s="312"/>
      <c r="EJ386" s="312"/>
      <c r="EK386" s="312"/>
      <c r="EL386" s="312"/>
      <c r="EM386" s="312"/>
      <c r="EN386" s="312"/>
      <c r="EO386" s="312"/>
      <c r="EP386" s="312"/>
      <c r="EQ386" s="312"/>
      <c r="ER386" s="312"/>
      <c r="ES386" s="312"/>
      <c r="ET386" s="312"/>
      <c r="EU386" s="312"/>
      <c r="EV386" s="312"/>
      <c r="EW386" s="312"/>
      <c r="EX386" s="312"/>
      <c r="EY386" s="312"/>
      <c r="EZ386" s="312"/>
      <c r="FA386" s="312"/>
      <c r="FB386" s="312"/>
      <c r="FC386" s="312"/>
      <c r="FD386" s="312"/>
      <c r="FE386" s="312"/>
      <c r="FF386" s="312"/>
      <c r="FG386" s="312"/>
      <c r="FH386" s="312"/>
      <c r="FI386" s="312"/>
      <c r="FJ386" s="312"/>
      <c r="FK386" s="312"/>
      <c r="FL386" s="312"/>
      <c r="FM386" s="312"/>
      <c r="FN386" s="312"/>
      <c r="FO386" s="312"/>
      <c r="FP386" s="312"/>
      <c r="FQ386" s="312"/>
      <c r="FR386" s="312"/>
      <c r="FS386" s="312"/>
      <c r="FT386" s="312"/>
      <c r="FU386" s="312"/>
      <c r="FV386" s="312"/>
      <c r="FW386" s="312"/>
      <c r="FX386" s="312"/>
      <c r="FY386" s="312"/>
      <c r="FZ386" s="312"/>
      <c r="GA386" s="312"/>
      <c r="GB386" s="312"/>
      <c r="GC386" s="312"/>
      <c r="GD386" s="312"/>
      <c r="GE386" s="312"/>
      <c r="GF386" s="312"/>
      <c r="GG386" s="312"/>
      <c r="GH386" s="312"/>
      <c r="GI386" s="312"/>
      <c r="GJ386" s="312"/>
      <c r="GK386" s="312"/>
      <c r="GL386" s="312"/>
      <c r="GM386" s="312"/>
      <c r="GN386" s="312"/>
      <c r="GO386" s="312"/>
      <c r="GP386" s="312"/>
      <c r="GQ386" s="312"/>
      <c r="GR386" s="312"/>
      <c r="GS386" s="312"/>
      <c r="GT386" s="312"/>
      <c r="GU386" s="312"/>
      <c r="GV386" s="312"/>
      <c r="GW386" s="312"/>
      <c r="GX386" s="312"/>
      <c r="GY386" s="312"/>
    </row>
    <row r="387" spans="2:207" ht="15.75" x14ac:dyDescent="0.25">
      <c r="B387" s="316">
        <f t="shared" si="96"/>
        <v>357</v>
      </c>
      <c r="C387" s="330">
        <f>'סיכום לוועדה'!B387</f>
        <v>1001347153</v>
      </c>
      <c r="D387" s="330">
        <f>'סיכום לוועדה'!C387</f>
        <v>1001280237</v>
      </c>
      <c r="E387" s="330">
        <f>'סיכום לוועדה'!D387</f>
        <v>41634844</v>
      </c>
      <c r="F387" s="330">
        <f>'סיכום לוועדה'!E387</f>
        <v>20000201</v>
      </c>
      <c r="G387" s="330" t="str">
        <f>'סיכום לוועדה'!F387</f>
        <v>תל אביב -יפו</v>
      </c>
      <c r="H387" s="317" t="str">
        <f>'סיכום לוועדה'!G387</f>
        <v>האורקסטרה - תזמורת הג'אז הישראלית (</v>
      </c>
      <c r="I387" s="318">
        <f>'סיכום לוועדה'!U387</f>
        <v>600000</v>
      </c>
      <c r="J387" s="319">
        <f>'סיכום לוועדה'!T387</f>
        <v>10459.752826377495</v>
      </c>
      <c r="K387" s="320">
        <f t="shared" si="97"/>
        <v>0</v>
      </c>
      <c r="L387" s="319">
        <f t="shared" si="98"/>
        <v>10459.752826377495</v>
      </c>
      <c r="M387" s="331">
        <f>'תחום תמיכה ב'!AF387</f>
        <v>4.3846264864134457E-5</v>
      </c>
      <c r="N387" s="319">
        <f t="shared" si="95"/>
        <v>11206.652547861382</v>
      </c>
      <c r="O387" s="321">
        <f t="shared" si="99"/>
        <v>0</v>
      </c>
      <c r="P387" s="322">
        <f t="shared" si="100"/>
        <v>11206.652547861382</v>
      </c>
      <c r="Q387" s="322">
        <f t="shared" si="101"/>
        <v>11211.755232741474</v>
      </c>
      <c r="R387" s="321">
        <f t="shared" si="102"/>
        <v>0</v>
      </c>
      <c r="S387" s="322">
        <f t="shared" si="103"/>
        <v>11211.755232741474</v>
      </c>
      <c r="T387" s="322">
        <f t="shared" si="104"/>
        <v>11211.755232741451</v>
      </c>
      <c r="U387" s="321">
        <f t="shared" si="105"/>
        <v>0</v>
      </c>
      <c r="V387" s="322">
        <f t="shared" si="106"/>
        <v>11211.755232741451</v>
      </c>
      <c r="W387" s="322">
        <f t="shared" si="107"/>
        <v>11211.755232741456</v>
      </c>
      <c r="X387" s="321">
        <f t="shared" si="108"/>
        <v>0</v>
      </c>
      <c r="Y387" s="322">
        <f t="shared" si="109"/>
        <v>11211.755232741456</v>
      </c>
      <c r="Z387" s="322">
        <f t="shared" si="110"/>
        <v>11211.755232741454</v>
      </c>
      <c r="AA387" s="323">
        <f t="shared" si="111"/>
        <v>11211.755232741454</v>
      </c>
      <c r="AB387" s="323"/>
      <c r="AC387" s="323"/>
      <c r="AD387" s="323"/>
      <c r="AE387" s="323"/>
      <c r="AF387" s="324">
        <f t="shared" si="112"/>
        <v>6.4207295633742872E-5</v>
      </c>
      <c r="AG387" s="312"/>
      <c r="AH387" s="312"/>
      <c r="AI387" s="325">
        <f t="shared" si="113"/>
        <v>1</v>
      </c>
      <c r="AJ387" s="312"/>
      <c r="AK387" s="312"/>
      <c r="AL387" s="312"/>
      <c r="AM387" s="312"/>
      <c r="AN387" s="312"/>
      <c r="AO387" s="312"/>
      <c r="AP387" s="312"/>
      <c r="AQ387" s="312"/>
      <c r="AR387" s="312"/>
      <c r="AS387" s="312"/>
      <c r="AT387" s="312"/>
      <c r="AU387" s="312"/>
      <c r="AV387" s="312"/>
      <c r="AW387" s="312"/>
      <c r="AX387" s="312"/>
      <c r="AY387" s="312"/>
      <c r="AZ387" s="312"/>
      <c r="BA387" s="312"/>
      <c r="BB387" s="312"/>
      <c r="BC387" s="312"/>
      <c r="BD387" s="312"/>
      <c r="BE387" s="312"/>
      <c r="BF387" s="312"/>
      <c r="BG387" s="312"/>
      <c r="BH387" s="312"/>
      <c r="BI387" s="312"/>
      <c r="BJ387" s="312"/>
      <c r="BK387" s="312"/>
      <c r="BL387" s="312"/>
      <c r="BM387" s="312"/>
      <c r="BN387" s="312"/>
      <c r="BO387" s="312"/>
      <c r="BP387" s="312"/>
      <c r="BQ387" s="312"/>
      <c r="BR387" s="312"/>
      <c r="BS387" s="312"/>
      <c r="BT387" s="312"/>
      <c r="BU387" s="312"/>
      <c r="BV387" s="312"/>
      <c r="BW387" s="312"/>
      <c r="BX387" s="312"/>
      <c r="BY387" s="312"/>
      <c r="BZ387" s="312"/>
      <c r="CA387" s="312"/>
      <c r="CB387" s="312"/>
      <c r="CC387" s="312"/>
      <c r="CD387" s="312"/>
      <c r="CE387" s="312"/>
      <c r="CF387" s="312"/>
      <c r="CG387" s="312"/>
      <c r="CH387" s="312"/>
      <c r="CI387" s="312"/>
      <c r="CJ387" s="312"/>
      <c r="CK387" s="312"/>
      <c r="CL387" s="312"/>
      <c r="CM387" s="312"/>
      <c r="CN387" s="312"/>
      <c r="CO387" s="312"/>
      <c r="CP387" s="312"/>
      <c r="CQ387" s="312"/>
      <c r="CR387" s="312"/>
      <c r="CS387" s="312"/>
      <c r="CT387" s="312"/>
      <c r="CU387" s="312"/>
      <c r="CV387" s="312"/>
      <c r="CW387" s="312"/>
      <c r="CX387" s="312"/>
      <c r="CY387" s="312"/>
      <c r="CZ387" s="312"/>
      <c r="DA387" s="312"/>
      <c r="DB387" s="312"/>
      <c r="DC387" s="312"/>
      <c r="DD387" s="312"/>
      <c r="DE387" s="312"/>
      <c r="DF387" s="312"/>
      <c r="DG387" s="312"/>
      <c r="DH387" s="312"/>
      <c r="DI387" s="312"/>
      <c r="DJ387" s="312"/>
      <c r="DK387" s="312"/>
      <c r="DL387" s="312"/>
      <c r="DM387" s="312"/>
      <c r="DN387" s="312"/>
      <c r="DO387" s="312"/>
      <c r="DP387" s="312"/>
      <c r="DQ387" s="312"/>
      <c r="DR387" s="312"/>
      <c r="DS387" s="312"/>
      <c r="DT387" s="312"/>
      <c r="DU387" s="312"/>
      <c r="DV387" s="312"/>
      <c r="DW387" s="312"/>
      <c r="DX387" s="312"/>
      <c r="DY387" s="312"/>
      <c r="DZ387" s="312"/>
      <c r="EA387" s="312"/>
      <c r="EB387" s="312"/>
      <c r="EC387" s="312"/>
      <c r="ED387" s="312"/>
      <c r="EE387" s="312"/>
      <c r="EF387" s="312"/>
      <c r="EG387" s="312"/>
      <c r="EH387" s="312"/>
      <c r="EI387" s="312"/>
      <c r="EJ387" s="312"/>
      <c r="EK387" s="312"/>
      <c r="EL387" s="312"/>
      <c r="EM387" s="312"/>
      <c r="EN387" s="312"/>
      <c r="EO387" s="312"/>
      <c r="EP387" s="312"/>
      <c r="EQ387" s="312"/>
      <c r="ER387" s="312"/>
      <c r="ES387" s="312"/>
      <c r="ET387" s="312"/>
      <c r="EU387" s="312"/>
      <c r="EV387" s="312"/>
      <c r="EW387" s="312"/>
      <c r="EX387" s="312"/>
      <c r="EY387" s="312"/>
      <c r="EZ387" s="312"/>
      <c r="FA387" s="312"/>
      <c r="FB387" s="312"/>
      <c r="FC387" s="312"/>
      <c r="FD387" s="312"/>
      <c r="FE387" s="312"/>
      <c r="FF387" s="312"/>
      <c r="FG387" s="312"/>
      <c r="FH387" s="312"/>
      <c r="FI387" s="312"/>
      <c r="FJ387" s="312"/>
      <c r="FK387" s="312"/>
      <c r="FL387" s="312"/>
      <c r="FM387" s="312"/>
      <c r="FN387" s="312"/>
      <c r="FO387" s="312"/>
      <c r="FP387" s="312"/>
      <c r="FQ387" s="312"/>
      <c r="FR387" s="312"/>
      <c r="FS387" s="312"/>
      <c r="FT387" s="312"/>
      <c r="FU387" s="312"/>
      <c r="FV387" s="312"/>
      <c r="FW387" s="312"/>
      <c r="FX387" s="312"/>
      <c r="FY387" s="312"/>
      <c r="FZ387" s="312"/>
      <c r="GA387" s="312"/>
      <c r="GB387" s="312"/>
      <c r="GC387" s="312"/>
      <c r="GD387" s="312"/>
      <c r="GE387" s="312"/>
      <c r="GF387" s="312"/>
      <c r="GG387" s="312"/>
      <c r="GH387" s="312"/>
      <c r="GI387" s="312"/>
      <c r="GJ387" s="312"/>
      <c r="GK387" s="312"/>
      <c r="GL387" s="312"/>
      <c r="GM387" s="312"/>
      <c r="GN387" s="312"/>
      <c r="GO387" s="312"/>
      <c r="GP387" s="312"/>
      <c r="GQ387" s="312"/>
      <c r="GR387" s="312"/>
      <c r="GS387" s="312"/>
      <c r="GT387" s="312"/>
      <c r="GU387" s="312"/>
      <c r="GV387" s="312"/>
      <c r="GW387" s="312"/>
      <c r="GX387" s="312"/>
      <c r="GY387" s="312"/>
    </row>
    <row r="388" spans="2:207" ht="15.75" x14ac:dyDescent="0.25">
      <c r="B388" s="316">
        <f t="shared" si="96"/>
        <v>358</v>
      </c>
      <c r="C388" s="330">
        <f>'סיכום לוועדה'!B388</f>
        <v>1001350425</v>
      </c>
      <c r="D388" s="330">
        <f>'סיכום לוועדה'!C388</f>
        <v>1001302446</v>
      </c>
      <c r="E388" s="330">
        <f>'סיכום לוועדה'!D388</f>
        <v>40528079</v>
      </c>
      <c r="F388" s="330">
        <f>'סיכום לוועדה'!E388</f>
        <v>20000201</v>
      </c>
      <c r="G388" s="330" t="str">
        <f>'סיכום לוועדה'!F388</f>
        <v>תל אביב -יפו</v>
      </c>
      <c r="H388" s="317" t="str">
        <f>'סיכום לוועדה'!G388</f>
        <v>"קבוצת עבודה" - עמותה ליצירה וקידום</v>
      </c>
      <c r="I388" s="318">
        <f>'סיכום לוועדה'!U388</f>
        <v>704000</v>
      </c>
      <c r="J388" s="319">
        <f>'סיכום לוועדה'!T388</f>
        <v>13968.889693770321</v>
      </c>
      <c r="K388" s="320">
        <f t="shared" si="97"/>
        <v>0</v>
      </c>
      <c r="L388" s="319">
        <f t="shared" si="98"/>
        <v>13968.889693770321</v>
      </c>
      <c r="M388" s="331">
        <f>'תחום תמיכה ב'!AF388</f>
        <v>7.9389332493946297E-5</v>
      </c>
      <c r="N388" s="319">
        <f t="shared" si="95"/>
        <v>15321.248224474341</v>
      </c>
      <c r="O388" s="321">
        <f t="shared" si="99"/>
        <v>0</v>
      </c>
      <c r="P388" s="322">
        <f t="shared" si="100"/>
        <v>15321.248224474341</v>
      </c>
      <c r="Q388" s="322">
        <f t="shared" si="101"/>
        <v>15328.224393435165</v>
      </c>
      <c r="R388" s="321">
        <f t="shared" si="102"/>
        <v>0</v>
      </c>
      <c r="S388" s="322">
        <f t="shared" si="103"/>
        <v>15328.224393435165</v>
      </c>
      <c r="T388" s="322">
        <f t="shared" si="104"/>
        <v>15328.224393435134</v>
      </c>
      <c r="U388" s="321">
        <f t="shared" si="105"/>
        <v>0</v>
      </c>
      <c r="V388" s="322">
        <f t="shared" si="106"/>
        <v>15328.224393435134</v>
      </c>
      <c r="W388" s="322">
        <f t="shared" si="107"/>
        <v>15328.224393435141</v>
      </c>
      <c r="X388" s="321">
        <f t="shared" si="108"/>
        <v>0</v>
      </c>
      <c r="Y388" s="322">
        <f t="shared" si="109"/>
        <v>15328.224393435141</v>
      </c>
      <c r="Z388" s="322">
        <f t="shared" si="110"/>
        <v>15328.224393435137</v>
      </c>
      <c r="AA388" s="323">
        <f t="shared" si="111"/>
        <v>15328.224393435137</v>
      </c>
      <c r="AB388" s="323"/>
      <c r="AC388" s="323"/>
      <c r="AD388" s="323"/>
      <c r="AE388" s="323"/>
      <c r="AF388" s="324">
        <f t="shared" si="112"/>
        <v>8.7781423580809851E-5</v>
      </c>
      <c r="AG388" s="312"/>
      <c r="AH388" s="312"/>
      <c r="AI388" s="325">
        <f t="shared" si="113"/>
        <v>1</v>
      </c>
      <c r="AJ388" s="312"/>
      <c r="AK388" s="312"/>
      <c r="AL388" s="312"/>
      <c r="AM388" s="312"/>
      <c r="AN388" s="312"/>
      <c r="AO388" s="312"/>
      <c r="AP388" s="312"/>
      <c r="AQ388" s="312"/>
      <c r="AR388" s="312"/>
      <c r="AS388" s="312"/>
      <c r="AT388" s="312"/>
      <c r="AU388" s="312"/>
      <c r="AV388" s="312"/>
      <c r="AW388" s="312"/>
      <c r="AX388" s="312"/>
      <c r="AY388" s="312"/>
      <c r="AZ388" s="312"/>
      <c r="BA388" s="312"/>
      <c r="BB388" s="312"/>
      <c r="BC388" s="312"/>
      <c r="BD388" s="312"/>
      <c r="BE388" s="312"/>
      <c r="BF388" s="312"/>
      <c r="BG388" s="312"/>
      <c r="BH388" s="312"/>
      <c r="BI388" s="312"/>
      <c r="BJ388" s="312"/>
      <c r="BK388" s="312"/>
      <c r="BL388" s="312"/>
      <c r="BM388" s="312"/>
      <c r="BN388" s="312"/>
      <c r="BO388" s="312"/>
      <c r="BP388" s="312"/>
      <c r="BQ388" s="312"/>
      <c r="BR388" s="312"/>
      <c r="BS388" s="312"/>
      <c r="BT388" s="312"/>
      <c r="BU388" s="312"/>
      <c r="BV388" s="312"/>
      <c r="BW388" s="312"/>
      <c r="BX388" s="312"/>
      <c r="BY388" s="312"/>
      <c r="BZ388" s="312"/>
      <c r="CA388" s="312"/>
      <c r="CB388" s="312"/>
      <c r="CC388" s="312"/>
      <c r="CD388" s="312"/>
      <c r="CE388" s="312"/>
      <c r="CF388" s="312"/>
      <c r="CG388" s="312"/>
      <c r="CH388" s="312"/>
      <c r="CI388" s="312"/>
      <c r="CJ388" s="312"/>
      <c r="CK388" s="312"/>
      <c r="CL388" s="312"/>
      <c r="CM388" s="312"/>
      <c r="CN388" s="312"/>
      <c r="CO388" s="312"/>
      <c r="CP388" s="312"/>
      <c r="CQ388" s="312"/>
      <c r="CR388" s="312"/>
      <c r="CS388" s="312"/>
      <c r="CT388" s="312"/>
      <c r="CU388" s="312"/>
      <c r="CV388" s="312"/>
      <c r="CW388" s="312"/>
      <c r="CX388" s="312"/>
      <c r="CY388" s="312"/>
      <c r="CZ388" s="312"/>
      <c r="DA388" s="312"/>
      <c r="DB388" s="312"/>
      <c r="DC388" s="312"/>
      <c r="DD388" s="312"/>
      <c r="DE388" s="312"/>
      <c r="DF388" s="312"/>
      <c r="DG388" s="312"/>
      <c r="DH388" s="312"/>
      <c r="DI388" s="312"/>
      <c r="DJ388" s="312"/>
      <c r="DK388" s="312"/>
      <c r="DL388" s="312"/>
      <c r="DM388" s="312"/>
      <c r="DN388" s="312"/>
      <c r="DO388" s="312"/>
      <c r="DP388" s="312"/>
      <c r="DQ388" s="312"/>
      <c r="DR388" s="312"/>
      <c r="DS388" s="312"/>
      <c r="DT388" s="312"/>
      <c r="DU388" s="312"/>
      <c r="DV388" s="312"/>
      <c r="DW388" s="312"/>
      <c r="DX388" s="312"/>
      <c r="DY388" s="312"/>
      <c r="DZ388" s="312"/>
      <c r="EA388" s="312"/>
      <c r="EB388" s="312"/>
      <c r="EC388" s="312"/>
      <c r="ED388" s="312"/>
      <c r="EE388" s="312"/>
      <c r="EF388" s="312"/>
      <c r="EG388" s="312"/>
      <c r="EH388" s="312"/>
      <c r="EI388" s="312"/>
      <c r="EJ388" s="312"/>
      <c r="EK388" s="312"/>
      <c r="EL388" s="312"/>
      <c r="EM388" s="312"/>
      <c r="EN388" s="312"/>
      <c r="EO388" s="312"/>
      <c r="EP388" s="312"/>
      <c r="EQ388" s="312"/>
      <c r="ER388" s="312"/>
      <c r="ES388" s="312"/>
      <c r="ET388" s="312"/>
      <c r="EU388" s="312"/>
      <c r="EV388" s="312"/>
      <c r="EW388" s="312"/>
      <c r="EX388" s="312"/>
      <c r="EY388" s="312"/>
      <c r="EZ388" s="312"/>
      <c r="FA388" s="312"/>
      <c r="FB388" s="312"/>
      <c r="FC388" s="312"/>
      <c r="FD388" s="312"/>
      <c r="FE388" s="312"/>
      <c r="FF388" s="312"/>
      <c r="FG388" s="312"/>
      <c r="FH388" s="312"/>
      <c r="FI388" s="312"/>
      <c r="FJ388" s="312"/>
      <c r="FK388" s="312"/>
      <c r="FL388" s="312"/>
      <c r="FM388" s="312"/>
      <c r="FN388" s="312"/>
      <c r="FO388" s="312"/>
      <c r="FP388" s="312"/>
      <c r="FQ388" s="312"/>
      <c r="FR388" s="312"/>
      <c r="FS388" s="312"/>
      <c r="FT388" s="312"/>
      <c r="FU388" s="312"/>
      <c r="FV388" s="312"/>
      <c r="FW388" s="312"/>
      <c r="FX388" s="312"/>
      <c r="FY388" s="312"/>
      <c r="FZ388" s="312"/>
      <c r="GA388" s="312"/>
      <c r="GB388" s="312"/>
      <c r="GC388" s="312"/>
      <c r="GD388" s="312"/>
      <c r="GE388" s="312"/>
      <c r="GF388" s="312"/>
      <c r="GG388" s="312"/>
      <c r="GH388" s="312"/>
      <c r="GI388" s="312"/>
      <c r="GJ388" s="312"/>
      <c r="GK388" s="312"/>
      <c r="GL388" s="312"/>
      <c r="GM388" s="312"/>
      <c r="GN388" s="312"/>
      <c r="GO388" s="312"/>
      <c r="GP388" s="312"/>
      <c r="GQ388" s="312"/>
      <c r="GR388" s="312"/>
      <c r="GS388" s="312"/>
      <c r="GT388" s="312"/>
      <c r="GU388" s="312"/>
      <c r="GV388" s="312"/>
      <c r="GW388" s="312"/>
      <c r="GX388" s="312"/>
      <c r="GY388" s="312"/>
    </row>
    <row r="389" spans="2:207" ht="15.75" x14ac:dyDescent="0.25">
      <c r="B389" s="316">
        <f t="shared" si="96"/>
        <v>359</v>
      </c>
      <c r="C389" s="330">
        <f>'סיכום לוועדה'!B389</f>
        <v>1001350430</v>
      </c>
      <c r="D389" s="330">
        <f>'סיכום לוועדה'!C389</f>
        <v>1001302428</v>
      </c>
      <c r="E389" s="330">
        <f>'סיכום לוועדה'!D389</f>
        <v>40528079</v>
      </c>
      <c r="F389" s="330">
        <f>'סיכום לוועדה'!E389</f>
        <v>20000201</v>
      </c>
      <c r="G389" s="330" t="str">
        <f>'סיכום לוועדה'!F389</f>
        <v>תל אביב -יפו</v>
      </c>
      <c r="H389" s="317" t="str">
        <f>'סיכום לוועדה'!G389</f>
        <v>"קבוצת עבודה" - עמותה ליצירה וקידום</v>
      </c>
      <c r="I389" s="318">
        <f>'סיכום לוועדה'!U389</f>
        <v>270000</v>
      </c>
      <c r="J389" s="319">
        <f>'סיכום לוועדה'!T389</f>
        <v>1947.1391772873417</v>
      </c>
      <c r="K389" s="320">
        <f t="shared" si="97"/>
        <v>0</v>
      </c>
      <c r="L389" s="319">
        <f t="shared" si="98"/>
        <v>1947.1391772873417</v>
      </c>
      <c r="M389" s="331">
        <f>'תחום תמיכה ב'!AF389</f>
        <v>8.4464040241656757E-6</v>
      </c>
      <c r="N389" s="319">
        <f t="shared" si="95"/>
        <v>2091.0195473197286</v>
      </c>
      <c r="O389" s="321">
        <f t="shared" si="99"/>
        <v>0</v>
      </c>
      <c r="P389" s="322">
        <f t="shared" si="100"/>
        <v>2091.0195473197286</v>
      </c>
      <c r="Q389" s="322">
        <f t="shared" si="101"/>
        <v>2091.9716437448219</v>
      </c>
      <c r="R389" s="321">
        <f t="shared" si="102"/>
        <v>0</v>
      </c>
      <c r="S389" s="322">
        <f t="shared" si="103"/>
        <v>2091.9716437448219</v>
      </c>
      <c r="T389" s="322">
        <f t="shared" si="104"/>
        <v>2091.9716437448178</v>
      </c>
      <c r="U389" s="321">
        <f t="shared" si="105"/>
        <v>0</v>
      </c>
      <c r="V389" s="322">
        <f t="shared" si="106"/>
        <v>2091.9716437448178</v>
      </c>
      <c r="W389" s="322">
        <f t="shared" si="107"/>
        <v>2091.9716437448187</v>
      </c>
      <c r="X389" s="321">
        <f t="shared" si="108"/>
        <v>0</v>
      </c>
      <c r="Y389" s="322">
        <f t="shared" si="109"/>
        <v>2091.9716437448187</v>
      </c>
      <c r="Z389" s="322">
        <f t="shared" si="110"/>
        <v>2091.9716437448183</v>
      </c>
      <c r="AA389" s="323">
        <f t="shared" si="111"/>
        <v>2091.9716437448183</v>
      </c>
      <c r="AB389" s="323"/>
      <c r="AC389" s="323"/>
      <c r="AD389" s="323"/>
      <c r="AE389" s="323"/>
      <c r="AF389" s="324">
        <f t="shared" si="112"/>
        <v>1.1980268833828903E-5</v>
      </c>
      <c r="AG389" s="312"/>
      <c r="AH389" s="312"/>
      <c r="AI389" s="325">
        <f t="shared" si="113"/>
        <v>1</v>
      </c>
      <c r="AJ389" s="312"/>
      <c r="AK389" s="312"/>
      <c r="AL389" s="312"/>
      <c r="AM389" s="312"/>
      <c r="AN389" s="312"/>
      <c r="AO389" s="312"/>
      <c r="AP389" s="312"/>
      <c r="AQ389" s="312"/>
      <c r="AR389" s="312"/>
      <c r="AS389" s="312"/>
      <c r="AT389" s="312"/>
      <c r="AU389" s="312"/>
      <c r="AV389" s="312"/>
      <c r="AW389" s="312"/>
      <c r="AX389" s="312"/>
      <c r="AY389" s="312"/>
      <c r="AZ389" s="312"/>
      <c r="BA389" s="312"/>
      <c r="BB389" s="312"/>
      <c r="BC389" s="312"/>
      <c r="BD389" s="312"/>
      <c r="BE389" s="312"/>
      <c r="BF389" s="312"/>
      <c r="BG389" s="312"/>
      <c r="BH389" s="312"/>
      <c r="BI389" s="312"/>
      <c r="BJ389" s="312"/>
      <c r="BK389" s="312"/>
      <c r="BL389" s="312"/>
      <c r="BM389" s="312"/>
      <c r="BN389" s="312"/>
      <c r="BO389" s="312"/>
      <c r="BP389" s="312"/>
      <c r="BQ389" s="312"/>
      <c r="BR389" s="312"/>
      <c r="BS389" s="312"/>
      <c r="BT389" s="312"/>
      <c r="BU389" s="312"/>
      <c r="BV389" s="312"/>
      <c r="BW389" s="312"/>
      <c r="BX389" s="312"/>
      <c r="BY389" s="312"/>
      <c r="BZ389" s="312"/>
      <c r="CA389" s="312"/>
      <c r="CB389" s="312"/>
      <c r="CC389" s="312"/>
      <c r="CD389" s="312"/>
      <c r="CE389" s="312"/>
      <c r="CF389" s="312"/>
      <c r="CG389" s="312"/>
      <c r="CH389" s="312"/>
      <c r="CI389" s="312"/>
      <c r="CJ389" s="312"/>
      <c r="CK389" s="312"/>
      <c r="CL389" s="312"/>
      <c r="CM389" s="312"/>
      <c r="CN389" s="312"/>
      <c r="CO389" s="312"/>
      <c r="CP389" s="312"/>
      <c r="CQ389" s="312"/>
      <c r="CR389" s="312"/>
      <c r="CS389" s="312"/>
      <c r="CT389" s="312"/>
      <c r="CU389" s="312"/>
      <c r="CV389" s="312"/>
      <c r="CW389" s="312"/>
      <c r="CX389" s="312"/>
      <c r="CY389" s="312"/>
      <c r="CZ389" s="312"/>
      <c r="DA389" s="312"/>
      <c r="DB389" s="312"/>
      <c r="DC389" s="312"/>
      <c r="DD389" s="312"/>
      <c r="DE389" s="312"/>
      <c r="DF389" s="312"/>
      <c r="DG389" s="312"/>
      <c r="DH389" s="312"/>
      <c r="DI389" s="312"/>
      <c r="DJ389" s="312"/>
      <c r="DK389" s="312"/>
      <c r="DL389" s="312"/>
      <c r="DM389" s="312"/>
      <c r="DN389" s="312"/>
      <c r="DO389" s="312"/>
      <c r="DP389" s="312"/>
      <c r="DQ389" s="312"/>
      <c r="DR389" s="312"/>
      <c r="DS389" s="312"/>
      <c r="DT389" s="312"/>
      <c r="DU389" s="312"/>
      <c r="DV389" s="312"/>
      <c r="DW389" s="312"/>
      <c r="DX389" s="312"/>
      <c r="DY389" s="312"/>
      <c r="DZ389" s="312"/>
      <c r="EA389" s="312"/>
      <c r="EB389" s="312"/>
      <c r="EC389" s="312"/>
      <c r="ED389" s="312"/>
      <c r="EE389" s="312"/>
      <c r="EF389" s="312"/>
      <c r="EG389" s="312"/>
      <c r="EH389" s="312"/>
      <c r="EI389" s="312"/>
      <c r="EJ389" s="312"/>
      <c r="EK389" s="312"/>
      <c r="EL389" s="312"/>
      <c r="EM389" s="312"/>
      <c r="EN389" s="312"/>
      <c r="EO389" s="312"/>
      <c r="EP389" s="312"/>
      <c r="EQ389" s="312"/>
      <c r="ER389" s="312"/>
      <c r="ES389" s="312"/>
      <c r="ET389" s="312"/>
      <c r="EU389" s="312"/>
      <c r="EV389" s="312"/>
      <c r="EW389" s="312"/>
      <c r="EX389" s="312"/>
      <c r="EY389" s="312"/>
      <c r="EZ389" s="312"/>
      <c r="FA389" s="312"/>
      <c r="FB389" s="312"/>
      <c r="FC389" s="312"/>
      <c r="FD389" s="312"/>
      <c r="FE389" s="312"/>
      <c r="FF389" s="312"/>
      <c r="FG389" s="312"/>
      <c r="FH389" s="312"/>
      <c r="FI389" s="312"/>
      <c r="FJ389" s="312"/>
      <c r="FK389" s="312"/>
      <c r="FL389" s="312"/>
      <c r="FM389" s="312"/>
      <c r="FN389" s="312"/>
      <c r="FO389" s="312"/>
      <c r="FP389" s="312"/>
      <c r="FQ389" s="312"/>
      <c r="FR389" s="312"/>
      <c r="FS389" s="312"/>
      <c r="FT389" s="312"/>
      <c r="FU389" s="312"/>
      <c r="FV389" s="312"/>
      <c r="FW389" s="312"/>
      <c r="FX389" s="312"/>
      <c r="FY389" s="312"/>
      <c r="FZ389" s="312"/>
      <c r="GA389" s="312"/>
      <c r="GB389" s="312"/>
      <c r="GC389" s="312"/>
      <c r="GD389" s="312"/>
      <c r="GE389" s="312"/>
      <c r="GF389" s="312"/>
      <c r="GG389" s="312"/>
      <c r="GH389" s="312"/>
      <c r="GI389" s="312"/>
      <c r="GJ389" s="312"/>
      <c r="GK389" s="312"/>
      <c r="GL389" s="312"/>
      <c r="GM389" s="312"/>
      <c r="GN389" s="312"/>
      <c r="GO389" s="312"/>
      <c r="GP389" s="312"/>
      <c r="GQ389" s="312"/>
      <c r="GR389" s="312"/>
      <c r="GS389" s="312"/>
      <c r="GT389" s="312"/>
      <c r="GU389" s="312"/>
      <c r="GV389" s="312"/>
      <c r="GW389" s="312"/>
      <c r="GX389" s="312"/>
      <c r="GY389" s="312"/>
    </row>
    <row r="390" spans="2:207" ht="15.75" x14ac:dyDescent="0.25">
      <c r="B390" s="316">
        <f t="shared" si="96"/>
        <v>360</v>
      </c>
      <c r="C390" s="330">
        <f>'סיכום לוועדה'!B390</f>
        <v>1001351067</v>
      </c>
      <c r="D390" s="330">
        <f>'סיכום לוועדה'!C390</f>
        <v>1001268525</v>
      </c>
      <c r="E390" s="330">
        <f>'סיכום לוועדה'!D390</f>
        <v>40001704</v>
      </c>
      <c r="F390" s="330">
        <f>'סיכום לוועדה'!E390</f>
        <v>20000261</v>
      </c>
      <c r="G390" s="330" t="str">
        <f>'סיכום לוועדה'!F390</f>
        <v>הוד השרון</v>
      </c>
      <c r="H390" s="317" t="str">
        <f>'סיכום לוועדה'!G390</f>
        <v>מרכז ישראלי למקהלות ולחבורות זמר (ע</v>
      </c>
      <c r="I390" s="318">
        <f>'סיכום לוועדה'!U390</f>
        <v>70000</v>
      </c>
      <c r="J390" s="319">
        <f>'סיכום לוועדה'!T390</f>
        <v>26201.249247884793</v>
      </c>
      <c r="K390" s="320">
        <f t="shared" si="97"/>
        <v>0</v>
      </c>
      <c r="L390" s="319">
        <f t="shared" si="98"/>
        <v>26201.249247884793</v>
      </c>
      <c r="M390" s="331">
        <f>'תחום תמיכה ב'!AF390</f>
        <v>1.573137774072854E-4</v>
      </c>
      <c r="N390" s="319">
        <f t="shared" si="95"/>
        <v>28881.01266433924</v>
      </c>
      <c r="O390" s="321">
        <f t="shared" si="99"/>
        <v>0</v>
      </c>
      <c r="P390" s="322">
        <f t="shared" si="100"/>
        <v>28881.01266433924</v>
      </c>
      <c r="Q390" s="322">
        <f t="shared" si="101"/>
        <v>28894.162952171817</v>
      </c>
      <c r="R390" s="321">
        <f t="shared" si="102"/>
        <v>0</v>
      </c>
      <c r="S390" s="322">
        <f t="shared" si="103"/>
        <v>28894.162952171817</v>
      </c>
      <c r="T390" s="322">
        <f t="shared" si="104"/>
        <v>28894.162952171759</v>
      </c>
      <c r="U390" s="321">
        <f t="shared" si="105"/>
        <v>0</v>
      </c>
      <c r="V390" s="322">
        <f t="shared" si="106"/>
        <v>28894.162952171759</v>
      </c>
      <c r="W390" s="322">
        <f t="shared" si="107"/>
        <v>28894.16295217177</v>
      </c>
      <c r="X390" s="321">
        <f t="shared" si="108"/>
        <v>0</v>
      </c>
      <c r="Y390" s="322">
        <f t="shared" si="109"/>
        <v>28894.16295217177</v>
      </c>
      <c r="Z390" s="322">
        <f t="shared" si="110"/>
        <v>28894.162952171762</v>
      </c>
      <c r="AA390" s="323">
        <f t="shared" si="111"/>
        <v>28894.162952171762</v>
      </c>
      <c r="AB390" s="323"/>
      <c r="AC390" s="323"/>
      <c r="AD390" s="323"/>
      <c r="AE390" s="323"/>
      <c r="AF390" s="324">
        <f t="shared" si="112"/>
        <v>1.6547061760159413E-4</v>
      </c>
      <c r="AG390" s="312"/>
      <c r="AH390" s="312"/>
      <c r="AI390" s="325">
        <f t="shared" si="113"/>
        <v>1</v>
      </c>
      <c r="AJ390" s="312"/>
      <c r="AK390" s="312"/>
      <c r="AL390" s="312"/>
      <c r="AM390" s="312"/>
      <c r="AN390" s="312"/>
      <c r="AO390" s="312"/>
      <c r="AP390" s="312"/>
      <c r="AQ390" s="312"/>
      <c r="AR390" s="312"/>
      <c r="AS390" s="312"/>
      <c r="AT390" s="312"/>
      <c r="AU390" s="312"/>
      <c r="AV390" s="312"/>
      <c r="AW390" s="312"/>
      <c r="AX390" s="312"/>
      <c r="AY390" s="312"/>
      <c r="AZ390" s="312"/>
      <c r="BA390" s="312"/>
      <c r="BB390" s="312"/>
      <c r="BC390" s="312"/>
      <c r="BD390" s="312"/>
      <c r="BE390" s="312"/>
      <c r="BF390" s="312"/>
      <c r="BG390" s="312"/>
      <c r="BH390" s="312"/>
      <c r="BI390" s="312"/>
      <c r="BJ390" s="312"/>
      <c r="BK390" s="312"/>
      <c r="BL390" s="312"/>
      <c r="BM390" s="312"/>
      <c r="BN390" s="312"/>
      <c r="BO390" s="312"/>
      <c r="BP390" s="312"/>
      <c r="BQ390" s="312"/>
      <c r="BR390" s="312"/>
      <c r="BS390" s="312"/>
      <c r="BT390" s="312"/>
      <c r="BU390" s="312"/>
      <c r="BV390" s="312"/>
      <c r="BW390" s="312"/>
      <c r="BX390" s="312"/>
      <c r="BY390" s="312"/>
      <c r="BZ390" s="312"/>
      <c r="CA390" s="312"/>
      <c r="CB390" s="312"/>
      <c r="CC390" s="312"/>
      <c r="CD390" s="312"/>
      <c r="CE390" s="312"/>
      <c r="CF390" s="312"/>
      <c r="CG390" s="312"/>
      <c r="CH390" s="312"/>
      <c r="CI390" s="312"/>
      <c r="CJ390" s="312"/>
      <c r="CK390" s="312"/>
      <c r="CL390" s="312"/>
      <c r="CM390" s="312"/>
      <c r="CN390" s="312"/>
      <c r="CO390" s="312"/>
      <c r="CP390" s="312"/>
      <c r="CQ390" s="312"/>
      <c r="CR390" s="312"/>
      <c r="CS390" s="312"/>
      <c r="CT390" s="312"/>
      <c r="CU390" s="312"/>
      <c r="CV390" s="312"/>
      <c r="CW390" s="312"/>
      <c r="CX390" s="312"/>
      <c r="CY390" s="312"/>
      <c r="CZ390" s="312"/>
      <c r="DA390" s="312"/>
      <c r="DB390" s="312"/>
      <c r="DC390" s="312"/>
      <c r="DD390" s="312"/>
      <c r="DE390" s="312"/>
      <c r="DF390" s="312"/>
      <c r="DG390" s="312"/>
      <c r="DH390" s="312"/>
      <c r="DI390" s="312"/>
      <c r="DJ390" s="312"/>
      <c r="DK390" s="312"/>
      <c r="DL390" s="312"/>
      <c r="DM390" s="312"/>
      <c r="DN390" s="312"/>
      <c r="DO390" s="312"/>
      <c r="DP390" s="312"/>
      <c r="DQ390" s="312"/>
      <c r="DR390" s="312"/>
      <c r="DS390" s="312"/>
      <c r="DT390" s="312"/>
      <c r="DU390" s="312"/>
      <c r="DV390" s="312"/>
      <c r="DW390" s="312"/>
      <c r="DX390" s="312"/>
      <c r="DY390" s="312"/>
      <c r="DZ390" s="312"/>
      <c r="EA390" s="312"/>
      <c r="EB390" s="312"/>
      <c r="EC390" s="312"/>
      <c r="ED390" s="312"/>
      <c r="EE390" s="312"/>
      <c r="EF390" s="312"/>
      <c r="EG390" s="312"/>
      <c r="EH390" s="312"/>
      <c r="EI390" s="312"/>
      <c r="EJ390" s="312"/>
      <c r="EK390" s="312"/>
      <c r="EL390" s="312"/>
      <c r="EM390" s="312"/>
      <c r="EN390" s="312"/>
      <c r="EO390" s="312"/>
      <c r="EP390" s="312"/>
      <c r="EQ390" s="312"/>
      <c r="ER390" s="312"/>
      <c r="ES390" s="312"/>
      <c r="ET390" s="312"/>
      <c r="EU390" s="312"/>
      <c r="EV390" s="312"/>
      <c r="EW390" s="312"/>
      <c r="EX390" s="312"/>
      <c r="EY390" s="312"/>
      <c r="EZ390" s="312"/>
      <c r="FA390" s="312"/>
      <c r="FB390" s="312"/>
      <c r="FC390" s="312"/>
      <c r="FD390" s="312"/>
      <c r="FE390" s="312"/>
      <c r="FF390" s="312"/>
      <c r="FG390" s="312"/>
      <c r="FH390" s="312"/>
      <c r="FI390" s="312"/>
      <c r="FJ390" s="312"/>
      <c r="FK390" s="312"/>
      <c r="FL390" s="312"/>
      <c r="FM390" s="312"/>
      <c r="FN390" s="312"/>
      <c r="FO390" s="312"/>
      <c r="FP390" s="312"/>
      <c r="FQ390" s="312"/>
      <c r="FR390" s="312"/>
      <c r="FS390" s="312"/>
      <c r="FT390" s="312"/>
      <c r="FU390" s="312"/>
      <c r="FV390" s="312"/>
      <c r="FW390" s="312"/>
      <c r="FX390" s="312"/>
      <c r="FY390" s="312"/>
      <c r="FZ390" s="312"/>
      <c r="GA390" s="312"/>
      <c r="GB390" s="312"/>
      <c r="GC390" s="312"/>
      <c r="GD390" s="312"/>
      <c r="GE390" s="312"/>
      <c r="GF390" s="312"/>
      <c r="GG390" s="312"/>
      <c r="GH390" s="312"/>
      <c r="GI390" s="312"/>
      <c r="GJ390" s="312"/>
      <c r="GK390" s="312"/>
      <c r="GL390" s="312"/>
      <c r="GM390" s="312"/>
      <c r="GN390" s="312"/>
      <c r="GO390" s="312"/>
      <c r="GP390" s="312"/>
      <c r="GQ390" s="312"/>
      <c r="GR390" s="312"/>
      <c r="GS390" s="312"/>
      <c r="GT390" s="312"/>
      <c r="GU390" s="312"/>
      <c r="GV390" s="312"/>
      <c r="GW390" s="312"/>
      <c r="GX390" s="312"/>
      <c r="GY390" s="312"/>
    </row>
    <row r="391" spans="2:207" ht="15.75" x14ac:dyDescent="0.25">
      <c r="B391" s="316">
        <f t="shared" si="96"/>
        <v>361</v>
      </c>
      <c r="C391" s="330">
        <f>'סיכום לוועדה'!B391</f>
        <v>1001349845</v>
      </c>
      <c r="D391" s="330">
        <f>'סיכום לוועדה'!C391</f>
        <v>1001302427</v>
      </c>
      <c r="E391" s="330">
        <f>'סיכום לוועדה'!D391</f>
        <v>40000242</v>
      </c>
      <c r="F391" s="330">
        <f>'סיכום לוועדה'!E391</f>
        <v>20000159</v>
      </c>
      <c r="G391" s="330" t="str">
        <f>'סיכום לוועדה'!F391</f>
        <v>ירושלים</v>
      </c>
      <c r="H391" s="317" t="str">
        <f>'סיכום לוועדה'!G391</f>
        <v>הזירה הבין-תחומית (ע"ר)</v>
      </c>
      <c r="I391" s="318">
        <f>'סיכום לוועדה'!U391</f>
        <v>50000</v>
      </c>
      <c r="J391" s="319">
        <f>'סיכום לוועדה'!T391</f>
        <v>2545.6366936932814</v>
      </c>
      <c r="K391" s="320">
        <f t="shared" si="97"/>
        <v>0</v>
      </c>
      <c r="L391" s="319">
        <f t="shared" si="98"/>
        <v>2545.6366936932814</v>
      </c>
      <c r="M391" s="331">
        <f>'תחום תמיכה ב'!AF391</f>
        <v>9.5067298835280929E-6</v>
      </c>
      <c r="N391" s="319">
        <f t="shared" si="95"/>
        <v>2707.5791972162629</v>
      </c>
      <c r="O391" s="321">
        <f t="shared" si="99"/>
        <v>0</v>
      </c>
      <c r="P391" s="322">
        <f t="shared" si="100"/>
        <v>2707.5791972162629</v>
      </c>
      <c r="Q391" s="322">
        <f t="shared" si="101"/>
        <v>2708.8120295336989</v>
      </c>
      <c r="R391" s="321">
        <f t="shared" si="102"/>
        <v>0</v>
      </c>
      <c r="S391" s="322">
        <f t="shared" si="103"/>
        <v>2708.8120295336989</v>
      </c>
      <c r="T391" s="322">
        <f t="shared" si="104"/>
        <v>2708.8120295336935</v>
      </c>
      <c r="U391" s="321">
        <f t="shared" si="105"/>
        <v>0</v>
      </c>
      <c r="V391" s="322">
        <f t="shared" si="106"/>
        <v>2708.8120295336935</v>
      </c>
      <c r="W391" s="322">
        <f t="shared" si="107"/>
        <v>2708.8120295336948</v>
      </c>
      <c r="X391" s="321">
        <f t="shared" si="108"/>
        <v>0</v>
      </c>
      <c r="Y391" s="322">
        <f t="shared" si="109"/>
        <v>2708.8120295336948</v>
      </c>
      <c r="Z391" s="322">
        <f t="shared" si="110"/>
        <v>2708.8120295336939</v>
      </c>
      <c r="AA391" s="323">
        <f t="shared" si="111"/>
        <v>2708.8120295336939</v>
      </c>
      <c r="AB391" s="323"/>
      <c r="AC391" s="323"/>
      <c r="AD391" s="323"/>
      <c r="AE391" s="323"/>
      <c r="AF391" s="324">
        <f t="shared" si="112"/>
        <v>1.5512780219157653E-5</v>
      </c>
      <c r="AG391" s="312"/>
      <c r="AH391" s="312"/>
      <c r="AI391" s="325">
        <f t="shared" si="113"/>
        <v>1</v>
      </c>
      <c r="AJ391" s="312"/>
      <c r="AK391" s="312"/>
      <c r="AL391" s="312"/>
      <c r="AM391" s="312"/>
      <c r="AN391" s="312"/>
      <c r="AO391" s="312"/>
      <c r="AP391" s="312"/>
      <c r="AQ391" s="312"/>
      <c r="AR391" s="312"/>
      <c r="AS391" s="312"/>
      <c r="AT391" s="312"/>
      <c r="AU391" s="312"/>
      <c r="AV391" s="312"/>
      <c r="AW391" s="312"/>
      <c r="AX391" s="312"/>
      <c r="AY391" s="312"/>
      <c r="AZ391" s="312"/>
      <c r="BA391" s="312"/>
      <c r="BB391" s="312"/>
      <c r="BC391" s="312"/>
      <c r="BD391" s="312"/>
      <c r="BE391" s="312"/>
      <c r="BF391" s="312"/>
      <c r="BG391" s="312"/>
      <c r="BH391" s="312"/>
      <c r="BI391" s="312"/>
      <c r="BJ391" s="312"/>
      <c r="BK391" s="312"/>
      <c r="BL391" s="312"/>
      <c r="BM391" s="312"/>
      <c r="BN391" s="312"/>
      <c r="BO391" s="312"/>
      <c r="BP391" s="312"/>
      <c r="BQ391" s="312"/>
      <c r="BR391" s="312"/>
      <c r="BS391" s="312"/>
      <c r="BT391" s="312"/>
      <c r="BU391" s="312"/>
      <c r="BV391" s="312"/>
      <c r="BW391" s="312"/>
      <c r="BX391" s="312"/>
      <c r="BY391" s="312"/>
      <c r="BZ391" s="312"/>
      <c r="CA391" s="312"/>
      <c r="CB391" s="312"/>
      <c r="CC391" s="312"/>
      <c r="CD391" s="312"/>
      <c r="CE391" s="312"/>
      <c r="CF391" s="312"/>
      <c r="CG391" s="312"/>
      <c r="CH391" s="312"/>
      <c r="CI391" s="312"/>
      <c r="CJ391" s="312"/>
      <c r="CK391" s="312"/>
      <c r="CL391" s="312"/>
      <c r="CM391" s="312"/>
      <c r="CN391" s="312"/>
      <c r="CO391" s="312"/>
      <c r="CP391" s="312"/>
      <c r="CQ391" s="312"/>
      <c r="CR391" s="312"/>
      <c r="CS391" s="312"/>
      <c r="CT391" s="312"/>
      <c r="CU391" s="312"/>
      <c r="CV391" s="312"/>
      <c r="CW391" s="312"/>
      <c r="CX391" s="312"/>
      <c r="CY391" s="312"/>
      <c r="CZ391" s="312"/>
      <c r="DA391" s="312"/>
      <c r="DB391" s="312"/>
      <c r="DC391" s="312"/>
      <c r="DD391" s="312"/>
      <c r="DE391" s="312"/>
      <c r="DF391" s="312"/>
      <c r="DG391" s="312"/>
      <c r="DH391" s="312"/>
      <c r="DI391" s="312"/>
      <c r="DJ391" s="312"/>
      <c r="DK391" s="312"/>
      <c r="DL391" s="312"/>
      <c r="DM391" s="312"/>
      <c r="DN391" s="312"/>
      <c r="DO391" s="312"/>
      <c r="DP391" s="312"/>
      <c r="DQ391" s="312"/>
      <c r="DR391" s="312"/>
      <c r="DS391" s="312"/>
      <c r="DT391" s="312"/>
      <c r="DU391" s="312"/>
      <c r="DV391" s="312"/>
      <c r="DW391" s="312"/>
      <c r="DX391" s="312"/>
      <c r="DY391" s="312"/>
      <c r="DZ391" s="312"/>
      <c r="EA391" s="312"/>
      <c r="EB391" s="312"/>
      <c r="EC391" s="312"/>
      <c r="ED391" s="312"/>
      <c r="EE391" s="312"/>
      <c r="EF391" s="312"/>
      <c r="EG391" s="312"/>
      <c r="EH391" s="312"/>
      <c r="EI391" s="312"/>
      <c r="EJ391" s="312"/>
      <c r="EK391" s="312"/>
      <c r="EL391" s="312"/>
      <c r="EM391" s="312"/>
      <c r="EN391" s="312"/>
      <c r="EO391" s="312"/>
      <c r="EP391" s="312"/>
      <c r="EQ391" s="312"/>
      <c r="ER391" s="312"/>
      <c r="ES391" s="312"/>
      <c r="ET391" s="312"/>
      <c r="EU391" s="312"/>
      <c r="EV391" s="312"/>
      <c r="EW391" s="312"/>
      <c r="EX391" s="312"/>
      <c r="EY391" s="312"/>
      <c r="EZ391" s="312"/>
      <c r="FA391" s="312"/>
      <c r="FB391" s="312"/>
      <c r="FC391" s="312"/>
      <c r="FD391" s="312"/>
      <c r="FE391" s="312"/>
      <c r="FF391" s="312"/>
      <c r="FG391" s="312"/>
      <c r="FH391" s="312"/>
      <c r="FI391" s="312"/>
      <c r="FJ391" s="312"/>
      <c r="FK391" s="312"/>
      <c r="FL391" s="312"/>
      <c r="FM391" s="312"/>
      <c r="FN391" s="312"/>
      <c r="FO391" s="312"/>
      <c r="FP391" s="312"/>
      <c r="FQ391" s="312"/>
      <c r="FR391" s="312"/>
      <c r="FS391" s="312"/>
      <c r="FT391" s="312"/>
      <c r="FU391" s="312"/>
      <c r="FV391" s="312"/>
      <c r="FW391" s="312"/>
      <c r="FX391" s="312"/>
      <c r="FY391" s="312"/>
      <c r="FZ391" s="312"/>
      <c r="GA391" s="312"/>
      <c r="GB391" s="312"/>
      <c r="GC391" s="312"/>
      <c r="GD391" s="312"/>
      <c r="GE391" s="312"/>
      <c r="GF391" s="312"/>
      <c r="GG391" s="312"/>
      <c r="GH391" s="312"/>
      <c r="GI391" s="312"/>
      <c r="GJ391" s="312"/>
      <c r="GK391" s="312"/>
      <c r="GL391" s="312"/>
      <c r="GM391" s="312"/>
      <c r="GN391" s="312"/>
      <c r="GO391" s="312"/>
      <c r="GP391" s="312"/>
      <c r="GQ391" s="312"/>
      <c r="GR391" s="312"/>
      <c r="GS391" s="312"/>
      <c r="GT391" s="312"/>
      <c r="GU391" s="312"/>
      <c r="GV391" s="312"/>
      <c r="GW391" s="312"/>
      <c r="GX391" s="312"/>
      <c r="GY391" s="312"/>
    </row>
    <row r="392" spans="2:207" ht="15.75" x14ac:dyDescent="0.25">
      <c r="B392" s="316">
        <f t="shared" si="96"/>
        <v>362</v>
      </c>
      <c r="C392" s="330">
        <f>'סיכום לוועדה'!B392</f>
        <v>1001350439</v>
      </c>
      <c r="D392" s="330">
        <f>'סיכום לוועדה'!C392</f>
        <v>1001290693</v>
      </c>
      <c r="E392" s="330">
        <f>'סיכום לוועדה'!D392</f>
        <v>40822203</v>
      </c>
      <c r="F392" s="330">
        <f>'סיכום לוועדה'!E392</f>
        <v>20000159</v>
      </c>
      <c r="G392" s="330" t="str">
        <f>'סיכום לוועדה'!F392</f>
        <v>ירושלים</v>
      </c>
      <c r="H392" s="317" t="str">
        <f>'סיכום לוועדה'!G392</f>
        <v>הערת שוליים (ע"ר)</v>
      </c>
      <c r="I392" s="318">
        <f>'סיכום לוועדה'!U392</f>
        <v>300000</v>
      </c>
      <c r="J392" s="319">
        <f>'סיכום לוועדה'!T392</f>
        <v>62003.608254514693</v>
      </c>
      <c r="K392" s="320">
        <f t="shared" si="97"/>
        <v>0</v>
      </c>
      <c r="L392" s="319">
        <f t="shared" si="98"/>
        <v>62003.608254514693</v>
      </c>
      <c r="M392" s="331">
        <f>'תחום תמיכה ב'!AF392</f>
        <v>8.4820398762359454E-5</v>
      </c>
      <c r="N392" s="319">
        <f t="shared" si="95"/>
        <v>63448.482348307334</v>
      </c>
      <c r="O392" s="321">
        <f t="shared" si="99"/>
        <v>0</v>
      </c>
      <c r="P392" s="322">
        <f t="shared" si="100"/>
        <v>63448.482348307334</v>
      </c>
      <c r="Q392" s="322">
        <f t="shared" si="101"/>
        <v>63477.372118036583</v>
      </c>
      <c r="R392" s="321">
        <f t="shared" si="102"/>
        <v>0</v>
      </c>
      <c r="S392" s="322">
        <f t="shared" si="103"/>
        <v>63477.372118036583</v>
      </c>
      <c r="T392" s="322">
        <f t="shared" si="104"/>
        <v>63477.372118036452</v>
      </c>
      <c r="U392" s="321">
        <f t="shared" si="105"/>
        <v>0</v>
      </c>
      <c r="V392" s="322">
        <f t="shared" si="106"/>
        <v>63477.372118036452</v>
      </c>
      <c r="W392" s="322">
        <f t="shared" si="107"/>
        <v>63477.372118036481</v>
      </c>
      <c r="X392" s="321">
        <f t="shared" si="108"/>
        <v>0</v>
      </c>
      <c r="Y392" s="322">
        <f t="shared" si="109"/>
        <v>63477.372118036481</v>
      </c>
      <c r="Z392" s="322">
        <f t="shared" si="110"/>
        <v>63477.372118036474</v>
      </c>
      <c r="AA392" s="323">
        <f t="shared" si="111"/>
        <v>63477.372118036474</v>
      </c>
      <c r="AB392" s="323"/>
      <c r="AC392" s="323"/>
      <c r="AD392" s="323"/>
      <c r="AE392" s="323"/>
      <c r="AF392" s="324">
        <f t="shared" si="112"/>
        <v>3.6352117157656665E-4</v>
      </c>
      <c r="AG392" s="312"/>
      <c r="AH392" s="312"/>
      <c r="AI392" s="325">
        <f t="shared" si="113"/>
        <v>1</v>
      </c>
      <c r="AJ392" s="312"/>
      <c r="AK392" s="312"/>
      <c r="AL392" s="312"/>
      <c r="AM392" s="312"/>
      <c r="AN392" s="312"/>
      <c r="AO392" s="312"/>
      <c r="AP392" s="312"/>
      <c r="AQ392" s="312"/>
      <c r="AR392" s="312"/>
      <c r="AS392" s="312"/>
      <c r="AT392" s="312"/>
      <c r="AU392" s="312"/>
      <c r="AV392" s="312"/>
      <c r="AW392" s="312"/>
      <c r="AX392" s="312"/>
      <c r="AY392" s="312"/>
      <c r="AZ392" s="312"/>
      <c r="BA392" s="312"/>
      <c r="BB392" s="312"/>
      <c r="BC392" s="312"/>
      <c r="BD392" s="312"/>
      <c r="BE392" s="312"/>
      <c r="BF392" s="312"/>
      <c r="BG392" s="312"/>
      <c r="BH392" s="312"/>
      <c r="BI392" s="312"/>
      <c r="BJ392" s="312"/>
      <c r="BK392" s="312"/>
      <c r="BL392" s="312"/>
      <c r="BM392" s="312"/>
      <c r="BN392" s="312"/>
      <c r="BO392" s="312"/>
      <c r="BP392" s="312"/>
      <c r="BQ392" s="312"/>
      <c r="BR392" s="312"/>
      <c r="BS392" s="312"/>
      <c r="BT392" s="312"/>
      <c r="BU392" s="312"/>
      <c r="BV392" s="312"/>
      <c r="BW392" s="312"/>
      <c r="BX392" s="312"/>
      <c r="BY392" s="312"/>
      <c r="BZ392" s="312"/>
      <c r="CA392" s="312"/>
      <c r="CB392" s="312"/>
      <c r="CC392" s="312"/>
      <c r="CD392" s="312"/>
      <c r="CE392" s="312"/>
      <c r="CF392" s="312"/>
      <c r="CG392" s="312"/>
      <c r="CH392" s="312"/>
      <c r="CI392" s="312"/>
      <c r="CJ392" s="312"/>
      <c r="CK392" s="312"/>
      <c r="CL392" s="312"/>
      <c r="CM392" s="312"/>
      <c r="CN392" s="312"/>
      <c r="CO392" s="312"/>
      <c r="CP392" s="312"/>
      <c r="CQ392" s="312"/>
      <c r="CR392" s="312"/>
      <c r="CS392" s="312"/>
      <c r="CT392" s="312"/>
      <c r="CU392" s="312"/>
      <c r="CV392" s="312"/>
      <c r="CW392" s="312"/>
      <c r="CX392" s="312"/>
      <c r="CY392" s="312"/>
      <c r="CZ392" s="312"/>
      <c r="DA392" s="312"/>
      <c r="DB392" s="312"/>
      <c r="DC392" s="312"/>
      <c r="DD392" s="312"/>
      <c r="DE392" s="312"/>
      <c r="DF392" s="312"/>
      <c r="DG392" s="312"/>
      <c r="DH392" s="312"/>
      <c r="DI392" s="312"/>
      <c r="DJ392" s="312"/>
      <c r="DK392" s="312"/>
      <c r="DL392" s="312"/>
      <c r="DM392" s="312"/>
      <c r="DN392" s="312"/>
      <c r="DO392" s="312"/>
      <c r="DP392" s="312"/>
      <c r="DQ392" s="312"/>
      <c r="DR392" s="312"/>
      <c r="DS392" s="312"/>
      <c r="DT392" s="312"/>
      <c r="DU392" s="312"/>
      <c r="DV392" s="312"/>
      <c r="DW392" s="312"/>
      <c r="DX392" s="312"/>
      <c r="DY392" s="312"/>
      <c r="DZ392" s="312"/>
      <c r="EA392" s="312"/>
      <c r="EB392" s="312"/>
      <c r="EC392" s="312"/>
      <c r="ED392" s="312"/>
      <c r="EE392" s="312"/>
      <c r="EF392" s="312"/>
      <c r="EG392" s="312"/>
      <c r="EH392" s="312"/>
      <c r="EI392" s="312"/>
      <c r="EJ392" s="312"/>
      <c r="EK392" s="312"/>
      <c r="EL392" s="312"/>
      <c r="EM392" s="312"/>
      <c r="EN392" s="312"/>
      <c r="EO392" s="312"/>
      <c r="EP392" s="312"/>
      <c r="EQ392" s="312"/>
      <c r="ER392" s="312"/>
      <c r="ES392" s="312"/>
      <c r="ET392" s="312"/>
      <c r="EU392" s="312"/>
      <c r="EV392" s="312"/>
      <c r="EW392" s="312"/>
      <c r="EX392" s="312"/>
      <c r="EY392" s="312"/>
      <c r="EZ392" s="312"/>
      <c r="FA392" s="312"/>
      <c r="FB392" s="312"/>
      <c r="FC392" s="312"/>
      <c r="FD392" s="312"/>
      <c r="FE392" s="312"/>
      <c r="FF392" s="312"/>
      <c r="FG392" s="312"/>
      <c r="FH392" s="312"/>
      <c r="FI392" s="312"/>
      <c r="FJ392" s="312"/>
      <c r="FK392" s="312"/>
      <c r="FL392" s="312"/>
      <c r="FM392" s="312"/>
      <c r="FN392" s="312"/>
      <c r="FO392" s="312"/>
      <c r="FP392" s="312"/>
      <c r="FQ392" s="312"/>
      <c r="FR392" s="312"/>
      <c r="FS392" s="312"/>
      <c r="FT392" s="312"/>
      <c r="FU392" s="312"/>
      <c r="FV392" s="312"/>
      <c r="FW392" s="312"/>
      <c r="FX392" s="312"/>
      <c r="FY392" s="312"/>
      <c r="FZ392" s="312"/>
      <c r="GA392" s="312"/>
      <c r="GB392" s="312"/>
      <c r="GC392" s="312"/>
      <c r="GD392" s="312"/>
      <c r="GE392" s="312"/>
      <c r="GF392" s="312"/>
      <c r="GG392" s="312"/>
      <c r="GH392" s="312"/>
      <c r="GI392" s="312"/>
      <c r="GJ392" s="312"/>
      <c r="GK392" s="312"/>
      <c r="GL392" s="312"/>
      <c r="GM392" s="312"/>
      <c r="GN392" s="312"/>
      <c r="GO392" s="312"/>
      <c r="GP392" s="312"/>
      <c r="GQ392" s="312"/>
      <c r="GR392" s="312"/>
      <c r="GS392" s="312"/>
      <c r="GT392" s="312"/>
      <c r="GU392" s="312"/>
      <c r="GV392" s="312"/>
      <c r="GW392" s="312"/>
      <c r="GX392" s="312"/>
      <c r="GY392" s="312"/>
    </row>
    <row r="393" spans="2:207" ht="15.75" x14ac:dyDescent="0.25">
      <c r="B393" s="316">
        <f t="shared" si="96"/>
        <v>363</v>
      </c>
      <c r="C393" s="330">
        <f>'סיכום לוועדה'!B393</f>
        <v>1001349364</v>
      </c>
      <c r="D393" s="330">
        <f>'סיכום לוועדה'!C393</f>
        <v>1001264263</v>
      </c>
      <c r="E393" s="330">
        <f>'סיכום לוועדה'!D393</f>
        <v>40000712</v>
      </c>
      <c r="F393" s="330">
        <f>'סיכום לוועדה'!E393</f>
        <v>20000201</v>
      </c>
      <c r="G393" s="330" t="str">
        <f>'סיכום לוועדה'!F393</f>
        <v>תל אביב -יפו</v>
      </c>
      <c r="H393" s="317" t="str">
        <f>'סיכום לוועדה'!G393</f>
        <v>התיאטרון הקאמרי של תל אביב</v>
      </c>
      <c r="I393" s="318">
        <f>'סיכום לוועדה'!U393</f>
        <v>20000000</v>
      </c>
      <c r="J393" s="319">
        <f>'סיכום לוועדה'!T393</f>
        <v>11873947.931351377</v>
      </c>
      <c r="K393" s="320">
        <f t="shared" si="97"/>
        <v>0</v>
      </c>
      <c r="L393" s="319">
        <f t="shared" si="98"/>
        <v>11873947.931351377</v>
      </c>
      <c r="M393" s="331">
        <f>'תחום תמיכה ב'!AF393</f>
        <v>6.1775537188652155E-2</v>
      </c>
      <c r="N393" s="319">
        <f t="shared" si="95"/>
        <v>12926264.055967584</v>
      </c>
      <c r="O393" s="321">
        <f t="shared" si="99"/>
        <v>0</v>
      </c>
      <c r="P393" s="322">
        <f t="shared" si="100"/>
        <v>12926264.055967584</v>
      </c>
      <c r="Q393" s="322">
        <f t="shared" si="101"/>
        <v>12932149.725383382</v>
      </c>
      <c r="R393" s="321">
        <f t="shared" si="102"/>
        <v>0</v>
      </c>
      <c r="S393" s="322">
        <f t="shared" si="103"/>
        <v>12932149.725383382</v>
      </c>
      <c r="T393" s="322">
        <f t="shared" si="104"/>
        <v>12932149.725383356</v>
      </c>
      <c r="U393" s="321">
        <f t="shared" si="105"/>
        <v>0</v>
      </c>
      <c r="V393" s="322">
        <f t="shared" si="106"/>
        <v>12932149.725383356</v>
      </c>
      <c r="W393" s="322">
        <f t="shared" si="107"/>
        <v>12932149.72538336</v>
      </c>
      <c r="X393" s="321">
        <f t="shared" si="108"/>
        <v>0</v>
      </c>
      <c r="Y393" s="322">
        <f t="shared" si="109"/>
        <v>12932149.72538336</v>
      </c>
      <c r="Z393" s="322">
        <f t="shared" si="110"/>
        <v>12932149.725383358</v>
      </c>
      <c r="AA393" s="323">
        <f t="shared" si="111"/>
        <v>12932149.725383358</v>
      </c>
      <c r="AB393" s="323"/>
      <c r="AC393" s="323"/>
      <c r="AD393" s="323"/>
      <c r="AE393" s="323"/>
      <c r="AF393" s="324">
        <f t="shared" si="112"/>
        <v>7.4059622544443024E-2</v>
      </c>
      <c r="AG393" s="312"/>
      <c r="AH393" s="312"/>
      <c r="AI393" s="325">
        <f t="shared" si="113"/>
        <v>1</v>
      </c>
      <c r="AJ393" s="312"/>
      <c r="AK393" s="312"/>
      <c r="AL393" s="312"/>
      <c r="AM393" s="312"/>
      <c r="AN393" s="312"/>
      <c r="AO393" s="312"/>
      <c r="AP393" s="312"/>
      <c r="AQ393" s="312"/>
      <c r="AR393" s="312"/>
      <c r="AS393" s="312"/>
      <c r="AT393" s="312"/>
      <c r="AU393" s="312"/>
      <c r="AV393" s="312"/>
      <c r="AW393" s="312"/>
      <c r="AX393" s="312"/>
      <c r="AY393" s="312"/>
      <c r="AZ393" s="312"/>
      <c r="BA393" s="312"/>
      <c r="BB393" s="312"/>
      <c r="BC393" s="312"/>
      <c r="BD393" s="312"/>
      <c r="BE393" s="312"/>
      <c r="BF393" s="312"/>
      <c r="BG393" s="312"/>
      <c r="BH393" s="312"/>
      <c r="BI393" s="312"/>
      <c r="BJ393" s="312"/>
      <c r="BK393" s="312"/>
      <c r="BL393" s="312"/>
      <c r="BM393" s="312"/>
      <c r="BN393" s="312"/>
      <c r="BO393" s="312"/>
      <c r="BP393" s="312"/>
      <c r="BQ393" s="312"/>
      <c r="BR393" s="312"/>
      <c r="BS393" s="312"/>
      <c r="BT393" s="312"/>
      <c r="BU393" s="312"/>
      <c r="BV393" s="312"/>
      <c r="BW393" s="312"/>
      <c r="BX393" s="312"/>
      <c r="BY393" s="312"/>
      <c r="BZ393" s="312"/>
      <c r="CA393" s="312"/>
      <c r="CB393" s="312"/>
      <c r="CC393" s="312"/>
      <c r="CD393" s="312"/>
      <c r="CE393" s="312"/>
      <c r="CF393" s="312"/>
      <c r="CG393" s="312"/>
      <c r="CH393" s="312"/>
      <c r="CI393" s="312"/>
      <c r="CJ393" s="312"/>
      <c r="CK393" s="312"/>
      <c r="CL393" s="312"/>
      <c r="CM393" s="312"/>
      <c r="CN393" s="312"/>
      <c r="CO393" s="312"/>
      <c r="CP393" s="312"/>
      <c r="CQ393" s="312"/>
      <c r="CR393" s="312"/>
      <c r="CS393" s="312"/>
      <c r="CT393" s="312"/>
      <c r="CU393" s="312"/>
      <c r="CV393" s="312"/>
      <c r="CW393" s="312"/>
      <c r="CX393" s="312"/>
      <c r="CY393" s="312"/>
      <c r="CZ393" s="312"/>
      <c r="DA393" s="312"/>
      <c r="DB393" s="312"/>
      <c r="DC393" s="312"/>
      <c r="DD393" s="312"/>
      <c r="DE393" s="312"/>
      <c r="DF393" s="312"/>
      <c r="DG393" s="312"/>
      <c r="DH393" s="312"/>
      <c r="DI393" s="312"/>
      <c r="DJ393" s="312"/>
      <c r="DK393" s="312"/>
      <c r="DL393" s="312"/>
      <c r="DM393" s="312"/>
      <c r="DN393" s="312"/>
      <c r="DO393" s="312"/>
      <c r="DP393" s="312"/>
      <c r="DQ393" s="312"/>
      <c r="DR393" s="312"/>
      <c r="DS393" s="312"/>
      <c r="DT393" s="312"/>
      <c r="DU393" s="312"/>
      <c r="DV393" s="312"/>
      <c r="DW393" s="312"/>
      <c r="DX393" s="312"/>
      <c r="DY393" s="312"/>
      <c r="DZ393" s="312"/>
      <c r="EA393" s="312"/>
      <c r="EB393" s="312"/>
      <c r="EC393" s="312"/>
      <c r="ED393" s="312"/>
      <c r="EE393" s="312"/>
      <c r="EF393" s="312"/>
      <c r="EG393" s="312"/>
      <c r="EH393" s="312"/>
      <c r="EI393" s="312"/>
      <c r="EJ393" s="312"/>
      <c r="EK393" s="312"/>
      <c r="EL393" s="312"/>
      <c r="EM393" s="312"/>
      <c r="EN393" s="312"/>
      <c r="EO393" s="312"/>
      <c r="EP393" s="312"/>
      <c r="EQ393" s="312"/>
      <c r="ER393" s="312"/>
      <c r="ES393" s="312"/>
      <c r="ET393" s="312"/>
      <c r="EU393" s="312"/>
      <c r="EV393" s="312"/>
      <c r="EW393" s="312"/>
      <c r="EX393" s="312"/>
      <c r="EY393" s="312"/>
      <c r="EZ393" s="312"/>
      <c r="FA393" s="312"/>
      <c r="FB393" s="312"/>
      <c r="FC393" s="312"/>
      <c r="FD393" s="312"/>
      <c r="FE393" s="312"/>
      <c r="FF393" s="312"/>
      <c r="FG393" s="312"/>
      <c r="FH393" s="312"/>
      <c r="FI393" s="312"/>
      <c r="FJ393" s="312"/>
      <c r="FK393" s="312"/>
      <c r="FL393" s="312"/>
      <c r="FM393" s="312"/>
      <c r="FN393" s="312"/>
      <c r="FO393" s="312"/>
      <c r="FP393" s="312"/>
      <c r="FQ393" s="312"/>
      <c r="FR393" s="312"/>
      <c r="FS393" s="312"/>
      <c r="FT393" s="312"/>
      <c r="FU393" s="312"/>
      <c r="FV393" s="312"/>
      <c r="FW393" s="312"/>
      <c r="FX393" s="312"/>
      <c r="FY393" s="312"/>
      <c r="FZ393" s="312"/>
      <c r="GA393" s="312"/>
      <c r="GB393" s="312"/>
      <c r="GC393" s="312"/>
      <c r="GD393" s="312"/>
      <c r="GE393" s="312"/>
      <c r="GF393" s="312"/>
      <c r="GG393" s="312"/>
      <c r="GH393" s="312"/>
      <c r="GI393" s="312"/>
      <c r="GJ393" s="312"/>
      <c r="GK393" s="312"/>
      <c r="GL393" s="312"/>
      <c r="GM393" s="312"/>
      <c r="GN393" s="312"/>
      <c r="GO393" s="312"/>
      <c r="GP393" s="312"/>
      <c r="GQ393" s="312"/>
      <c r="GR393" s="312"/>
      <c r="GS393" s="312"/>
      <c r="GT393" s="312"/>
      <c r="GU393" s="312"/>
      <c r="GV393" s="312"/>
      <c r="GW393" s="312"/>
      <c r="GX393" s="312"/>
      <c r="GY393" s="312"/>
    </row>
    <row r="394" spans="2:207" ht="15.75" x14ac:dyDescent="0.25">
      <c r="B394" s="316">
        <f t="shared" si="96"/>
        <v>364</v>
      </c>
      <c r="C394" s="330">
        <f>'סיכום לוועדה'!B394</f>
        <v>1001349371</v>
      </c>
      <c r="D394" s="330">
        <f>'סיכום לוועדה'!C394</f>
        <v>1001264795</v>
      </c>
      <c r="E394" s="330">
        <f>'סיכום לוועדה'!D394</f>
        <v>40000712</v>
      </c>
      <c r="F394" s="330">
        <f>'סיכום לוועדה'!E394</f>
        <v>20000201</v>
      </c>
      <c r="G394" s="330" t="str">
        <f>'סיכום לוועדה'!F394</f>
        <v>תל אביב -יפו</v>
      </c>
      <c r="H394" s="317" t="str">
        <f>'סיכום לוועדה'!G394</f>
        <v>התיאטרון הקאמרי של תל אביב</v>
      </c>
      <c r="I394" s="318">
        <f>'סיכום לוועדה'!U394</f>
        <v>400000</v>
      </c>
      <c r="J394" s="319">
        <f>'סיכום לוועדה'!T394</f>
        <v>127808.21263663232</v>
      </c>
      <c r="K394" s="320">
        <f t="shared" si="97"/>
        <v>0</v>
      </c>
      <c r="L394" s="319">
        <f t="shared" si="98"/>
        <v>127808.21263663232</v>
      </c>
      <c r="M394" s="331">
        <f>'תחום תמיכה ב'!AF394</f>
        <v>6.334459715548001E-4</v>
      </c>
      <c r="N394" s="319">
        <f t="shared" si="95"/>
        <v>138598.65558987862</v>
      </c>
      <c r="O394" s="321">
        <f t="shared" si="99"/>
        <v>0</v>
      </c>
      <c r="P394" s="322">
        <f t="shared" si="100"/>
        <v>138598.65558987862</v>
      </c>
      <c r="Q394" s="322">
        <f t="shared" si="101"/>
        <v>138661.76321825015</v>
      </c>
      <c r="R394" s="321">
        <f t="shared" si="102"/>
        <v>0</v>
      </c>
      <c r="S394" s="322">
        <f t="shared" si="103"/>
        <v>138661.76321825015</v>
      </c>
      <c r="T394" s="322">
        <f t="shared" si="104"/>
        <v>138661.76321824986</v>
      </c>
      <c r="U394" s="321">
        <f t="shared" si="105"/>
        <v>0</v>
      </c>
      <c r="V394" s="322">
        <f t="shared" si="106"/>
        <v>138661.76321824986</v>
      </c>
      <c r="W394" s="322">
        <f t="shared" si="107"/>
        <v>138661.76321824992</v>
      </c>
      <c r="X394" s="321">
        <f t="shared" si="108"/>
        <v>0</v>
      </c>
      <c r="Y394" s="322">
        <f t="shared" si="109"/>
        <v>138661.76321824992</v>
      </c>
      <c r="Z394" s="322">
        <f t="shared" si="110"/>
        <v>138661.76321824989</v>
      </c>
      <c r="AA394" s="323">
        <f t="shared" si="111"/>
        <v>138661.76321824989</v>
      </c>
      <c r="AB394" s="323"/>
      <c r="AC394" s="323"/>
      <c r="AD394" s="323"/>
      <c r="AE394" s="323"/>
      <c r="AF394" s="324">
        <f t="shared" si="112"/>
        <v>7.9408590708890056E-4</v>
      </c>
      <c r="AG394" s="312"/>
      <c r="AH394" s="312"/>
      <c r="AI394" s="325">
        <f t="shared" si="113"/>
        <v>1</v>
      </c>
      <c r="AJ394" s="312"/>
      <c r="AK394" s="312"/>
      <c r="AL394" s="312"/>
      <c r="AM394" s="312"/>
      <c r="AN394" s="312"/>
      <c r="AO394" s="312"/>
      <c r="AP394" s="312"/>
      <c r="AQ394" s="312"/>
      <c r="AR394" s="312"/>
      <c r="AS394" s="312"/>
      <c r="AT394" s="312"/>
      <c r="AU394" s="312"/>
      <c r="AV394" s="312"/>
      <c r="AW394" s="312"/>
      <c r="AX394" s="312"/>
      <c r="AY394" s="312"/>
      <c r="AZ394" s="312"/>
      <c r="BA394" s="312"/>
      <c r="BB394" s="312"/>
      <c r="BC394" s="312"/>
      <c r="BD394" s="312"/>
      <c r="BE394" s="312"/>
      <c r="BF394" s="312"/>
      <c r="BG394" s="312"/>
      <c r="BH394" s="312"/>
      <c r="BI394" s="312"/>
      <c r="BJ394" s="312"/>
      <c r="BK394" s="312"/>
      <c r="BL394" s="312"/>
      <c r="BM394" s="312"/>
      <c r="BN394" s="312"/>
      <c r="BO394" s="312"/>
      <c r="BP394" s="312"/>
      <c r="BQ394" s="312"/>
      <c r="BR394" s="312"/>
      <c r="BS394" s="312"/>
      <c r="BT394" s="312"/>
      <c r="BU394" s="312"/>
      <c r="BV394" s="312"/>
      <c r="BW394" s="312"/>
      <c r="BX394" s="312"/>
      <c r="BY394" s="312"/>
      <c r="BZ394" s="312"/>
      <c r="CA394" s="312"/>
      <c r="CB394" s="312"/>
      <c r="CC394" s="312"/>
      <c r="CD394" s="312"/>
      <c r="CE394" s="312"/>
      <c r="CF394" s="312"/>
      <c r="CG394" s="312"/>
      <c r="CH394" s="312"/>
      <c r="CI394" s="312"/>
      <c r="CJ394" s="312"/>
      <c r="CK394" s="312"/>
      <c r="CL394" s="312"/>
      <c r="CM394" s="312"/>
      <c r="CN394" s="312"/>
      <c r="CO394" s="312"/>
      <c r="CP394" s="312"/>
      <c r="CQ394" s="312"/>
      <c r="CR394" s="312"/>
      <c r="CS394" s="312"/>
      <c r="CT394" s="312"/>
      <c r="CU394" s="312"/>
      <c r="CV394" s="312"/>
      <c r="CW394" s="312"/>
      <c r="CX394" s="312"/>
      <c r="CY394" s="312"/>
      <c r="CZ394" s="312"/>
      <c r="DA394" s="312"/>
      <c r="DB394" s="312"/>
      <c r="DC394" s="312"/>
      <c r="DD394" s="312"/>
      <c r="DE394" s="312"/>
      <c r="DF394" s="312"/>
      <c r="DG394" s="312"/>
      <c r="DH394" s="312"/>
      <c r="DI394" s="312"/>
      <c r="DJ394" s="312"/>
      <c r="DK394" s="312"/>
      <c r="DL394" s="312"/>
      <c r="DM394" s="312"/>
      <c r="DN394" s="312"/>
      <c r="DO394" s="312"/>
      <c r="DP394" s="312"/>
      <c r="DQ394" s="312"/>
      <c r="DR394" s="312"/>
      <c r="DS394" s="312"/>
      <c r="DT394" s="312"/>
      <c r="DU394" s="312"/>
      <c r="DV394" s="312"/>
      <c r="DW394" s="312"/>
      <c r="DX394" s="312"/>
      <c r="DY394" s="312"/>
      <c r="DZ394" s="312"/>
      <c r="EA394" s="312"/>
      <c r="EB394" s="312"/>
      <c r="EC394" s="312"/>
      <c r="ED394" s="312"/>
      <c r="EE394" s="312"/>
      <c r="EF394" s="312"/>
      <c r="EG394" s="312"/>
      <c r="EH394" s="312"/>
      <c r="EI394" s="312"/>
      <c r="EJ394" s="312"/>
      <c r="EK394" s="312"/>
      <c r="EL394" s="312"/>
      <c r="EM394" s="312"/>
      <c r="EN394" s="312"/>
      <c r="EO394" s="312"/>
      <c r="EP394" s="312"/>
      <c r="EQ394" s="312"/>
      <c r="ER394" s="312"/>
      <c r="ES394" s="312"/>
      <c r="ET394" s="312"/>
      <c r="EU394" s="312"/>
      <c r="EV394" s="312"/>
      <c r="EW394" s="312"/>
      <c r="EX394" s="312"/>
      <c r="EY394" s="312"/>
      <c r="EZ394" s="312"/>
      <c r="FA394" s="312"/>
      <c r="FB394" s="312"/>
      <c r="FC394" s="312"/>
      <c r="FD394" s="312"/>
      <c r="FE394" s="312"/>
      <c r="FF394" s="312"/>
      <c r="FG394" s="312"/>
      <c r="FH394" s="312"/>
      <c r="FI394" s="312"/>
      <c r="FJ394" s="312"/>
      <c r="FK394" s="312"/>
      <c r="FL394" s="312"/>
      <c r="FM394" s="312"/>
      <c r="FN394" s="312"/>
      <c r="FO394" s="312"/>
      <c r="FP394" s="312"/>
      <c r="FQ394" s="312"/>
      <c r="FR394" s="312"/>
      <c r="FS394" s="312"/>
      <c r="FT394" s="312"/>
      <c r="FU394" s="312"/>
      <c r="FV394" s="312"/>
      <c r="FW394" s="312"/>
      <c r="FX394" s="312"/>
      <c r="FY394" s="312"/>
      <c r="FZ394" s="312"/>
      <c r="GA394" s="312"/>
      <c r="GB394" s="312"/>
      <c r="GC394" s="312"/>
      <c r="GD394" s="312"/>
      <c r="GE394" s="312"/>
      <c r="GF394" s="312"/>
      <c r="GG394" s="312"/>
      <c r="GH394" s="312"/>
      <c r="GI394" s="312"/>
      <c r="GJ394" s="312"/>
      <c r="GK394" s="312"/>
      <c r="GL394" s="312"/>
      <c r="GM394" s="312"/>
      <c r="GN394" s="312"/>
      <c r="GO394" s="312"/>
      <c r="GP394" s="312"/>
      <c r="GQ394" s="312"/>
      <c r="GR394" s="312"/>
      <c r="GS394" s="312"/>
      <c r="GT394" s="312"/>
      <c r="GU394" s="312"/>
      <c r="GV394" s="312"/>
      <c r="GW394" s="312"/>
      <c r="GX394" s="312"/>
      <c r="GY394" s="312"/>
    </row>
    <row r="395" spans="2:207" ht="15.75" x14ac:dyDescent="0.25">
      <c r="B395" s="316" t="str">
        <f t="shared" si="96"/>
        <v/>
      </c>
      <c r="C395" s="330" t="str">
        <f>'סיכום לוועדה'!B395</f>
        <v/>
      </c>
      <c r="D395" s="330" t="str">
        <f>'סיכום לוועדה'!C395</f>
        <v/>
      </c>
      <c r="E395" s="330" t="str">
        <f>'סיכום לוועדה'!D395</f>
        <v/>
      </c>
      <c r="F395" s="330" t="str">
        <f>'סיכום לוועדה'!E395</f>
        <v/>
      </c>
      <c r="G395" s="330" t="str">
        <f>'סיכום לוועדה'!F395</f>
        <v/>
      </c>
      <c r="H395" s="317" t="str">
        <f>'סיכום לוועדה'!G395</f>
        <v/>
      </c>
      <c r="I395" s="318" t="str">
        <f>'סיכום לוועדה'!U395</f>
        <v/>
      </c>
      <c r="J395" s="319" t="str">
        <f>'סיכום לוועדה'!T395</f>
        <v/>
      </c>
      <c r="K395" s="320" t="str">
        <f t="shared" si="97"/>
        <v/>
      </c>
      <c r="L395" s="319" t="str">
        <f t="shared" si="98"/>
        <v/>
      </c>
      <c r="M395" s="331" t="str">
        <f>'תחום תמיכה ב'!AF395</f>
        <v/>
      </c>
      <c r="N395" s="319" t="str">
        <f t="shared" si="95"/>
        <v/>
      </c>
      <c r="O395" s="321">
        <f t="shared" si="99"/>
        <v>0</v>
      </c>
      <c r="P395" s="322" t="str">
        <f t="shared" si="100"/>
        <v/>
      </c>
      <c r="Q395" s="322" t="str">
        <f t="shared" si="101"/>
        <v/>
      </c>
      <c r="R395" s="321">
        <f t="shared" si="102"/>
        <v>0</v>
      </c>
      <c r="S395" s="322" t="str">
        <f t="shared" si="103"/>
        <v/>
      </c>
      <c r="T395" s="322" t="str">
        <f t="shared" si="104"/>
        <v/>
      </c>
      <c r="U395" s="321">
        <f t="shared" si="105"/>
        <v>0</v>
      </c>
      <c r="V395" s="322" t="str">
        <f t="shared" si="106"/>
        <v/>
      </c>
      <c r="W395" s="322" t="str">
        <f t="shared" si="107"/>
        <v/>
      </c>
      <c r="X395" s="321">
        <f t="shared" si="108"/>
        <v>0</v>
      </c>
      <c r="Y395" s="322" t="str">
        <f t="shared" si="109"/>
        <v/>
      </c>
      <c r="Z395" s="322" t="str">
        <f t="shared" si="110"/>
        <v/>
      </c>
      <c r="AA395" s="323" t="str">
        <f t="shared" si="111"/>
        <v/>
      </c>
      <c r="AB395" s="323"/>
      <c r="AC395" s="323"/>
      <c r="AD395" s="323"/>
      <c r="AE395" s="323"/>
      <c r="AF395" s="324" t="str">
        <f t="shared" si="112"/>
        <v/>
      </c>
      <c r="AG395" s="312"/>
      <c r="AH395" s="312"/>
      <c r="AI395" s="325">
        <f t="shared" si="113"/>
        <v>0</v>
      </c>
      <c r="AJ395" s="312"/>
      <c r="AK395" s="312"/>
      <c r="AL395" s="312"/>
      <c r="AM395" s="312"/>
      <c r="AN395" s="312"/>
      <c r="AO395" s="312"/>
      <c r="AP395" s="312"/>
      <c r="AQ395" s="312"/>
      <c r="AR395" s="312"/>
      <c r="AS395" s="312"/>
      <c r="AT395" s="312"/>
      <c r="AU395" s="312"/>
      <c r="AV395" s="312"/>
      <c r="AW395" s="312"/>
      <c r="AX395" s="312"/>
      <c r="AY395" s="312"/>
      <c r="AZ395" s="312"/>
      <c r="BA395" s="312"/>
      <c r="BB395" s="312"/>
      <c r="BC395" s="312"/>
      <c r="BD395" s="312"/>
      <c r="BE395" s="312"/>
      <c r="BF395" s="312"/>
      <c r="BG395" s="312"/>
      <c r="BH395" s="312"/>
      <c r="BI395" s="312"/>
      <c r="BJ395" s="312"/>
      <c r="BK395" s="312"/>
      <c r="BL395" s="312"/>
      <c r="BM395" s="312"/>
      <c r="BN395" s="312"/>
      <c r="BO395" s="312"/>
      <c r="BP395" s="312"/>
      <c r="BQ395" s="312"/>
      <c r="BR395" s="312"/>
      <c r="BS395" s="312"/>
      <c r="BT395" s="312"/>
      <c r="BU395" s="312"/>
      <c r="BV395" s="312"/>
      <c r="BW395" s="312"/>
      <c r="BX395" s="312"/>
      <c r="BY395" s="312"/>
      <c r="BZ395" s="312"/>
      <c r="CA395" s="312"/>
      <c r="CB395" s="312"/>
      <c r="CC395" s="312"/>
      <c r="CD395" s="312"/>
      <c r="CE395" s="312"/>
      <c r="CF395" s="312"/>
      <c r="CG395" s="312"/>
      <c r="CH395" s="312"/>
      <c r="CI395" s="312"/>
      <c r="CJ395" s="312"/>
      <c r="CK395" s="312"/>
      <c r="CL395" s="312"/>
      <c r="CM395" s="312"/>
      <c r="CN395" s="312"/>
      <c r="CO395" s="312"/>
      <c r="CP395" s="312"/>
      <c r="CQ395" s="312"/>
      <c r="CR395" s="312"/>
      <c r="CS395" s="312"/>
      <c r="CT395" s="312"/>
      <c r="CU395" s="312"/>
      <c r="CV395" s="312"/>
      <c r="CW395" s="312"/>
      <c r="CX395" s="312"/>
      <c r="CY395" s="312"/>
      <c r="CZ395" s="312"/>
      <c r="DA395" s="312"/>
      <c r="DB395" s="312"/>
      <c r="DC395" s="312"/>
      <c r="DD395" s="312"/>
      <c r="DE395" s="312"/>
      <c r="DF395" s="312"/>
      <c r="DG395" s="312"/>
      <c r="DH395" s="312"/>
      <c r="DI395" s="312"/>
      <c r="DJ395" s="312"/>
      <c r="DK395" s="312"/>
      <c r="DL395" s="312"/>
      <c r="DM395" s="312"/>
      <c r="DN395" s="312"/>
      <c r="DO395" s="312"/>
      <c r="DP395" s="312"/>
      <c r="DQ395" s="312"/>
      <c r="DR395" s="312"/>
      <c r="DS395" s="312"/>
      <c r="DT395" s="312"/>
      <c r="DU395" s="312"/>
      <c r="DV395" s="312"/>
      <c r="DW395" s="312"/>
      <c r="DX395" s="312"/>
      <c r="DY395" s="312"/>
      <c r="DZ395" s="312"/>
      <c r="EA395" s="312"/>
      <c r="EB395" s="312"/>
      <c r="EC395" s="312"/>
      <c r="ED395" s="312"/>
      <c r="EE395" s="312"/>
      <c r="EF395" s="312"/>
      <c r="EG395" s="312"/>
      <c r="EH395" s="312"/>
      <c r="EI395" s="312"/>
      <c r="EJ395" s="312"/>
      <c r="EK395" s="312"/>
      <c r="EL395" s="312"/>
      <c r="EM395" s="312"/>
      <c r="EN395" s="312"/>
      <c r="EO395" s="312"/>
      <c r="EP395" s="312"/>
      <c r="EQ395" s="312"/>
      <c r="ER395" s="312"/>
      <c r="ES395" s="312"/>
      <c r="ET395" s="312"/>
      <c r="EU395" s="312"/>
      <c r="EV395" s="312"/>
      <c r="EW395" s="312"/>
      <c r="EX395" s="312"/>
      <c r="EY395" s="312"/>
      <c r="EZ395" s="312"/>
      <c r="FA395" s="312"/>
      <c r="FB395" s="312"/>
      <c r="FC395" s="312"/>
      <c r="FD395" s="312"/>
      <c r="FE395" s="312"/>
      <c r="FF395" s="312"/>
      <c r="FG395" s="312"/>
      <c r="FH395" s="312"/>
      <c r="FI395" s="312"/>
      <c r="FJ395" s="312"/>
      <c r="FK395" s="312"/>
      <c r="FL395" s="312"/>
      <c r="FM395" s="312"/>
      <c r="FN395" s="312"/>
      <c r="FO395" s="312"/>
      <c r="FP395" s="312"/>
      <c r="FQ395" s="312"/>
      <c r="FR395" s="312"/>
      <c r="FS395" s="312"/>
      <c r="FT395" s="312"/>
      <c r="FU395" s="312"/>
      <c r="FV395" s="312"/>
      <c r="FW395" s="312"/>
      <c r="FX395" s="312"/>
      <c r="FY395" s="312"/>
      <c r="FZ395" s="312"/>
      <c r="GA395" s="312"/>
      <c r="GB395" s="312"/>
      <c r="GC395" s="312"/>
      <c r="GD395" s="312"/>
      <c r="GE395" s="312"/>
      <c r="GF395" s="312"/>
      <c r="GG395" s="312"/>
      <c r="GH395" s="312"/>
      <c r="GI395" s="312"/>
      <c r="GJ395" s="312"/>
      <c r="GK395" s="312"/>
      <c r="GL395" s="312"/>
      <c r="GM395" s="312"/>
      <c r="GN395" s="312"/>
      <c r="GO395" s="312"/>
      <c r="GP395" s="312"/>
      <c r="GQ395" s="312"/>
      <c r="GR395" s="312"/>
      <c r="GS395" s="312"/>
      <c r="GT395" s="312"/>
      <c r="GU395" s="312"/>
      <c r="GV395" s="312"/>
      <c r="GW395" s="312"/>
      <c r="GX395" s="312"/>
      <c r="GY395" s="312"/>
    </row>
    <row r="396" spans="2:207" ht="15.75" x14ac:dyDescent="0.25">
      <c r="B396" s="316">
        <f t="shared" si="96"/>
        <v>366</v>
      </c>
      <c r="C396" s="330">
        <f>'סיכום לוועדה'!B396</f>
        <v>1001350452</v>
      </c>
      <c r="D396" s="330">
        <f>'סיכום לוועדה'!C396</f>
        <v>1001302119</v>
      </c>
      <c r="E396" s="330">
        <f>'סיכום לוועדה'!D396</f>
        <v>41484947</v>
      </c>
      <c r="F396" s="330">
        <f>'סיכום לוועדה'!E396</f>
        <v>20000033</v>
      </c>
      <c r="G396" s="330" t="str">
        <f>'סיכום לוועדה'!F396</f>
        <v>אכסאל</v>
      </c>
      <c r="H396" s="317" t="str">
        <f>'סיכום לוועדה'!G396</f>
        <v>עמותת מוג'תמענא</v>
      </c>
      <c r="I396" s="318">
        <f>'סיכום לוועדה'!U396</f>
        <v>90000</v>
      </c>
      <c r="J396" s="319">
        <f>'סיכום לוועדה'!T396</f>
        <v>954.37139435059021</v>
      </c>
      <c r="K396" s="320">
        <f t="shared" si="97"/>
        <v>0</v>
      </c>
      <c r="L396" s="319">
        <f t="shared" si="98"/>
        <v>954.37139435059021</v>
      </c>
      <c r="M396" s="331">
        <f>'תחום תמיכה ב'!AF396</f>
        <v>4.0782389417659099E-6</v>
      </c>
      <c r="N396" s="319">
        <f t="shared" si="95"/>
        <v>1023.8422042174828</v>
      </c>
      <c r="O396" s="321">
        <f t="shared" si="99"/>
        <v>0</v>
      </c>
      <c r="P396" s="322">
        <f t="shared" si="100"/>
        <v>1023.8422042174828</v>
      </c>
      <c r="Q396" s="322">
        <f t="shared" si="101"/>
        <v>1024.3083866134077</v>
      </c>
      <c r="R396" s="321">
        <f t="shared" si="102"/>
        <v>0</v>
      </c>
      <c r="S396" s="322">
        <f t="shared" si="103"/>
        <v>1024.3083866134077</v>
      </c>
      <c r="T396" s="322">
        <f t="shared" si="104"/>
        <v>1024.3083866134057</v>
      </c>
      <c r="U396" s="321">
        <f t="shared" si="105"/>
        <v>0</v>
      </c>
      <c r="V396" s="322">
        <f t="shared" si="106"/>
        <v>1024.3083866134057</v>
      </c>
      <c r="W396" s="322">
        <f t="shared" si="107"/>
        <v>1024.3083866134059</v>
      </c>
      <c r="X396" s="321">
        <f t="shared" si="108"/>
        <v>0</v>
      </c>
      <c r="Y396" s="322">
        <f t="shared" si="109"/>
        <v>1024.3083866134059</v>
      </c>
      <c r="Z396" s="322">
        <f t="shared" si="110"/>
        <v>1024.3083866134057</v>
      </c>
      <c r="AA396" s="323">
        <f t="shared" si="111"/>
        <v>1024.3083866134057</v>
      </c>
      <c r="AB396" s="323"/>
      <c r="AC396" s="323"/>
      <c r="AD396" s="323"/>
      <c r="AE396" s="323"/>
      <c r="AF396" s="324">
        <f t="shared" si="112"/>
        <v>5.8659924368798211E-6</v>
      </c>
      <c r="AG396" s="312"/>
      <c r="AH396" s="312"/>
      <c r="AI396" s="325">
        <f t="shared" si="113"/>
        <v>1</v>
      </c>
      <c r="AJ396" s="312"/>
      <c r="AK396" s="312"/>
      <c r="AL396" s="312"/>
      <c r="AM396" s="312"/>
      <c r="AN396" s="312"/>
      <c r="AO396" s="312"/>
      <c r="AP396" s="312"/>
      <c r="AQ396" s="312"/>
      <c r="AR396" s="312"/>
      <c r="AS396" s="312"/>
      <c r="AT396" s="312"/>
      <c r="AU396" s="312"/>
      <c r="AV396" s="312"/>
      <c r="AW396" s="312"/>
      <c r="AX396" s="312"/>
      <c r="AY396" s="312"/>
      <c r="AZ396" s="312"/>
      <c r="BA396" s="312"/>
      <c r="BB396" s="312"/>
      <c r="BC396" s="312"/>
      <c r="BD396" s="312"/>
      <c r="BE396" s="312"/>
      <c r="BF396" s="312"/>
      <c r="BG396" s="312"/>
      <c r="BH396" s="312"/>
      <c r="BI396" s="312"/>
      <c r="BJ396" s="312"/>
      <c r="BK396" s="312"/>
      <c r="BL396" s="312"/>
      <c r="BM396" s="312"/>
      <c r="BN396" s="312"/>
      <c r="BO396" s="312"/>
      <c r="BP396" s="312"/>
      <c r="BQ396" s="312"/>
      <c r="BR396" s="312"/>
      <c r="BS396" s="312"/>
      <c r="BT396" s="312"/>
      <c r="BU396" s="312"/>
      <c r="BV396" s="312"/>
      <c r="BW396" s="312"/>
      <c r="BX396" s="312"/>
      <c r="BY396" s="312"/>
      <c r="BZ396" s="312"/>
      <c r="CA396" s="312"/>
      <c r="CB396" s="312"/>
      <c r="CC396" s="312"/>
      <c r="CD396" s="312"/>
      <c r="CE396" s="312"/>
      <c r="CF396" s="312"/>
      <c r="CG396" s="312"/>
      <c r="CH396" s="312"/>
      <c r="CI396" s="312"/>
      <c r="CJ396" s="312"/>
      <c r="CK396" s="312"/>
      <c r="CL396" s="312"/>
      <c r="CM396" s="312"/>
      <c r="CN396" s="312"/>
      <c r="CO396" s="312"/>
      <c r="CP396" s="312"/>
      <c r="CQ396" s="312"/>
      <c r="CR396" s="312"/>
      <c r="CS396" s="312"/>
      <c r="CT396" s="312"/>
      <c r="CU396" s="312"/>
      <c r="CV396" s="312"/>
      <c r="CW396" s="312"/>
      <c r="CX396" s="312"/>
      <c r="CY396" s="312"/>
      <c r="CZ396" s="312"/>
      <c r="DA396" s="312"/>
      <c r="DB396" s="312"/>
      <c r="DC396" s="312"/>
      <c r="DD396" s="312"/>
      <c r="DE396" s="312"/>
      <c r="DF396" s="312"/>
      <c r="DG396" s="312"/>
      <c r="DH396" s="312"/>
      <c r="DI396" s="312"/>
      <c r="DJ396" s="312"/>
      <c r="DK396" s="312"/>
      <c r="DL396" s="312"/>
      <c r="DM396" s="312"/>
      <c r="DN396" s="312"/>
      <c r="DO396" s="312"/>
      <c r="DP396" s="312"/>
      <c r="DQ396" s="312"/>
      <c r="DR396" s="312"/>
      <c r="DS396" s="312"/>
      <c r="DT396" s="312"/>
      <c r="DU396" s="312"/>
      <c r="DV396" s="312"/>
      <c r="DW396" s="312"/>
      <c r="DX396" s="312"/>
      <c r="DY396" s="312"/>
      <c r="DZ396" s="312"/>
      <c r="EA396" s="312"/>
      <c r="EB396" s="312"/>
      <c r="EC396" s="312"/>
      <c r="ED396" s="312"/>
      <c r="EE396" s="312"/>
      <c r="EF396" s="312"/>
      <c r="EG396" s="312"/>
      <c r="EH396" s="312"/>
      <c r="EI396" s="312"/>
      <c r="EJ396" s="312"/>
      <c r="EK396" s="312"/>
      <c r="EL396" s="312"/>
      <c r="EM396" s="312"/>
      <c r="EN396" s="312"/>
      <c r="EO396" s="312"/>
      <c r="EP396" s="312"/>
      <c r="EQ396" s="312"/>
      <c r="ER396" s="312"/>
      <c r="ES396" s="312"/>
      <c r="ET396" s="312"/>
      <c r="EU396" s="312"/>
      <c r="EV396" s="312"/>
      <c r="EW396" s="312"/>
      <c r="EX396" s="312"/>
      <c r="EY396" s="312"/>
      <c r="EZ396" s="312"/>
      <c r="FA396" s="312"/>
      <c r="FB396" s="312"/>
      <c r="FC396" s="312"/>
      <c r="FD396" s="312"/>
      <c r="FE396" s="312"/>
      <c r="FF396" s="312"/>
      <c r="FG396" s="312"/>
      <c r="FH396" s="312"/>
      <c r="FI396" s="312"/>
      <c r="FJ396" s="312"/>
      <c r="FK396" s="312"/>
      <c r="FL396" s="312"/>
      <c r="FM396" s="312"/>
      <c r="FN396" s="312"/>
      <c r="FO396" s="312"/>
      <c r="FP396" s="312"/>
      <c r="FQ396" s="312"/>
      <c r="FR396" s="312"/>
      <c r="FS396" s="312"/>
      <c r="FT396" s="312"/>
      <c r="FU396" s="312"/>
      <c r="FV396" s="312"/>
      <c r="FW396" s="312"/>
      <c r="FX396" s="312"/>
      <c r="FY396" s="312"/>
      <c r="FZ396" s="312"/>
      <c r="GA396" s="312"/>
      <c r="GB396" s="312"/>
      <c r="GC396" s="312"/>
      <c r="GD396" s="312"/>
      <c r="GE396" s="312"/>
      <c r="GF396" s="312"/>
      <c r="GG396" s="312"/>
      <c r="GH396" s="312"/>
      <c r="GI396" s="312"/>
      <c r="GJ396" s="312"/>
      <c r="GK396" s="312"/>
      <c r="GL396" s="312"/>
      <c r="GM396" s="312"/>
      <c r="GN396" s="312"/>
      <c r="GO396" s="312"/>
      <c r="GP396" s="312"/>
      <c r="GQ396" s="312"/>
      <c r="GR396" s="312"/>
      <c r="GS396" s="312"/>
      <c r="GT396" s="312"/>
      <c r="GU396" s="312"/>
      <c r="GV396" s="312"/>
      <c r="GW396" s="312"/>
      <c r="GX396" s="312"/>
      <c r="GY396" s="312"/>
    </row>
    <row r="397" spans="2:207" ht="15.75" x14ac:dyDescent="0.25">
      <c r="B397" s="316">
        <f t="shared" si="96"/>
        <v>367</v>
      </c>
      <c r="C397" s="330">
        <f>'סיכום לוועדה'!B397</f>
        <v>1001350453</v>
      </c>
      <c r="D397" s="330">
        <f>'סיכום לוועדה'!C397</f>
        <v>1001302118</v>
      </c>
      <c r="E397" s="330">
        <f>'סיכום לוועדה'!D397</f>
        <v>41484947</v>
      </c>
      <c r="F397" s="330">
        <f>'סיכום לוועדה'!E397</f>
        <v>20000033</v>
      </c>
      <c r="G397" s="330" t="str">
        <f>'סיכום לוועדה'!F397</f>
        <v>אכסאל</v>
      </c>
      <c r="H397" s="317" t="str">
        <f>'סיכום לוועדה'!G397</f>
        <v>עמותת מוג'תמענא</v>
      </c>
      <c r="I397" s="318">
        <f>'סיכום לוועדה'!U397</f>
        <v>90000</v>
      </c>
      <c r="J397" s="319">
        <f>'סיכום לוועדה'!T397</f>
        <v>1114.6354810189805</v>
      </c>
      <c r="K397" s="320">
        <f t="shared" si="97"/>
        <v>0</v>
      </c>
      <c r="L397" s="319">
        <f t="shared" si="98"/>
        <v>1114.6354810189805</v>
      </c>
      <c r="M397" s="331">
        <f>'תחום תמיכה ב'!AF397</f>
        <v>5.664674769871732E-6</v>
      </c>
      <c r="N397" s="319">
        <f t="shared" si="95"/>
        <v>1211.1304509103575</v>
      </c>
      <c r="O397" s="321">
        <f t="shared" si="99"/>
        <v>0</v>
      </c>
      <c r="P397" s="322">
        <f t="shared" si="100"/>
        <v>1211.1304509103575</v>
      </c>
      <c r="Q397" s="322">
        <f t="shared" si="101"/>
        <v>1211.6819105914071</v>
      </c>
      <c r="R397" s="321">
        <f t="shared" si="102"/>
        <v>0</v>
      </c>
      <c r="S397" s="322">
        <f t="shared" si="103"/>
        <v>1211.6819105914071</v>
      </c>
      <c r="T397" s="322">
        <f t="shared" si="104"/>
        <v>1211.6819105914046</v>
      </c>
      <c r="U397" s="321">
        <f t="shared" si="105"/>
        <v>0</v>
      </c>
      <c r="V397" s="322">
        <f t="shared" si="106"/>
        <v>1211.6819105914046</v>
      </c>
      <c r="W397" s="322">
        <f t="shared" si="107"/>
        <v>1211.6819105914051</v>
      </c>
      <c r="X397" s="321">
        <f t="shared" si="108"/>
        <v>0</v>
      </c>
      <c r="Y397" s="322">
        <f t="shared" si="109"/>
        <v>1211.6819105914051</v>
      </c>
      <c r="Z397" s="322">
        <f t="shared" si="110"/>
        <v>1211.6819105914049</v>
      </c>
      <c r="AA397" s="323">
        <f t="shared" si="111"/>
        <v>1211.6819105914049</v>
      </c>
      <c r="AB397" s="323"/>
      <c r="AC397" s="323"/>
      <c r="AD397" s="323"/>
      <c r="AE397" s="323"/>
      <c r="AF397" s="324">
        <f t="shared" si="112"/>
        <v>6.939040055049228E-6</v>
      </c>
      <c r="AG397" s="312"/>
      <c r="AH397" s="312"/>
      <c r="AI397" s="325">
        <f t="shared" si="113"/>
        <v>1</v>
      </c>
      <c r="AJ397" s="312"/>
      <c r="AK397" s="312"/>
      <c r="AL397" s="312"/>
      <c r="AM397" s="312"/>
      <c r="AN397" s="312"/>
      <c r="AO397" s="312"/>
      <c r="AP397" s="312"/>
      <c r="AQ397" s="312"/>
      <c r="AR397" s="312"/>
      <c r="AS397" s="312"/>
      <c r="AT397" s="312"/>
      <c r="AU397" s="312"/>
      <c r="AV397" s="312"/>
      <c r="AW397" s="312"/>
      <c r="AX397" s="312"/>
      <c r="AY397" s="312"/>
      <c r="AZ397" s="312"/>
      <c r="BA397" s="312"/>
      <c r="BB397" s="312"/>
      <c r="BC397" s="312"/>
      <c r="BD397" s="312"/>
      <c r="BE397" s="312"/>
      <c r="BF397" s="312"/>
      <c r="BG397" s="312"/>
      <c r="BH397" s="312"/>
      <c r="BI397" s="312"/>
      <c r="BJ397" s="312"/>
      <c r="BK397" s="312"/>
      <c r="BL397" s="312"/>
      <c r="BM397" s="312"/>
      <c r="BN397" s="312"/>
      <c r="BO397" s="312"/>
      <c r="BP397" s="312"/>
      <c r="BQ397" s="312"/>
      <c r="BR397" s="312"/>
      <c r="BS397" s="312"/>
      <c r="BT397" s="312"/>
      <c r="BU397" s="312"/>
      <c r="BV397" s="312"/>
      <c r="BW397" s="312"/>
      <c r="BX397" s="312"/>
      <c r="BY397" s="312"/>
      <c r="BZ397" s="312"/>
      <c r="CA397" s="312"/>
      <c r="CB397" s="312"/>
      <c r="CC397" s="312"/>
      <c r="CD397" s="312"/>
      <c r="CE397" s="312"/>
      <c r="CF397" s="312"/>
      <c r="CG397" s="312"/>
      <c r="CH397" s="312"/>
      <c r="CI397" s="312"/>
      <c r="CJ397" s="312"/>
      <c r="CK397" s="312"/>
      <c r="CL397" s="312"/>
      <c r="CM397" s="312"/>
      <c r="CN397" s="312"/>
      <c r="CO397" s="312"/>
      <c r="CP397" s="312"/>
      <c r="CQ397" s="312"/>
      <c r="CR397" s="312"/>
      <c r="CS397" s="312"/>
      <c r="CT397" s="312"/>
      <c r="CU397" s="312"/>
      <c r="CV397" s="312"/>
      <c r="CW397" s="312"/>
      <c r="CX397" s="312"/>
      <c r="CY397" s="312"/>
      <c r="CZ397" s="312"/>
      <c r="DA397" s="312"/>
      <c r="DB397" s="312"/>
      <c r="DC397" s="312"/>
      <c r="DD397" s="312"/>
      <c r="DE397" s="312"/>
      <c r="DF397" s="312"/>
      <c r="DG397" s="312"/>
      <c r="DH397" s="312"/>
      <c r="DI397" s="312"/>
      <c r="DJ397" s="312"/>
      <c r="DK397" s="312"/>
      <c r="DL397" s="312"/>
      <c r="DM397" s="312"/>
      <c r="DN397" s="312"/>
      <c r="DO397" s="312"/>
      <c r="DP397" s="312"/>
      <c r="DQ397" s="312"/>
      <c r="DR397" s="312"/>
      <c r="DS397" s="312"/>
      <c r="DT397" s="312"/>
      <c r="DU397" s="312"/>
      <c r="DV397" s="312"/>
      <c r="DW397" s="312"/>
      <c r="DX397" s="312"/>
      <c r="DY397" s="312"/>
      <c r="DZ397" s="312"/>
      <c r="EA397" s="312"/>
      <c r="EB397" s="312"/>
      <c r="EC397" s="312"/>
      <c r="ED397" s="312"/>
      <c r="EE397" s="312"/>
      <c r="EF397" s="312"/>
      <c r="EG397" s="312"/>
      <c r="EH397" s="312"/>
      <c r="EI397" s="312"/>
      <c r="EJ397" s="312"/>
      <c r="EK397" s="312"/>
      <c r="EL397" s="312"/>
      <c r="EM397" s="312"/>
      <c r="EN397" s="312"/>
      <c r="EO397" s="312"/>
      <c r="EP397" s="312"/>
      <c r="EQ397" s="312"/>
      <c r="ER397" s="312"/>
      <c r="ES397" s="312"/>
      <c r="ET397" s="312"/>
      <c r="EU397" s="312"/>
      <c r="EV397" s="312"/>
      <c r="EW397" s="312"/>
      <c r="EX397" s="312"/>
      <c r="EY397" s="312"/>
      <c r="EZ397" s="312"/>
      <c r="FA397" s="312"/>
      <c r="FB397" s="312"/>
      <c r="FC397" s="312"/>
      <c r="FD397" s="312"/>
      <c r="FE397" s="312"/>
      <c r="FF397" s="312"/>
      <c r="FG397" s="312"/>
      <c r="FH397" s="312"/>
      <c r="FI397" s="312"/>
      <c r="FJ397" s="312"/>
      <c r="FK397" s="312"/>
      <c r="FL397" s="312"/>
      <c r="FM397" s="312"/>
      <c r="FN397" s="312"/>
      <c r="FO397" s="312"/>
      <c r="FP397" s="312"/>
      <c r="FQ397" s="312"/>
      <c r="FR397" s="312"/>
      <c r="FS397" s="312"/>
      <c r="FT397" s="312"/>
      <c r="FU397" s="312"/>
      <c r="FV397" s="312"/>
      <c r="FW397" s="312"/>
      <c r="FX397" s="312"/>
      <c r="FY397" s="312"/>
      <c r="FZ397" s="312"/>
      <c r="GA397" s="312"/>
      <c r="GB397" s="312"/>
      <c r="GC397" s="312"/>
      <c r="GD397" s="312"/>
      <c r="GE397" s="312"/>
      <c r="GF397" s="312"/>
      <c r="GG397" s="312"/>
      <c r="GH397" s="312"/>
      <c r="GI397" s="312"/>
      <c r="GJ397" s="312"/>
      <c r="GK397" s="312"/>
      <c r="GL397" s="312"/>
      <c r="GM397" s="312"/>
      <c r="GN397" s="312"/>
      <c r="GO397" s="312"/>
      <c r="GP397" s="312"/>
      <c r="GQ397" s="312"/>
      <c r="GR397" s="312"/>
      <c r="GS397" s="312"/>
      <c r="GT397" s="312"/>
      <c r="GU397" s="312"/>
      <c r="GV397" s="312"/>
      <c r="GW397" s="312"/>
      <c r="GX397" s="312"/>
      <c r="GY397" s="312"/>
    </row>
    <row r="398" spans="2:207" ht="15.75" x14ac:dyDescent="0.25">
      <c r="B398" s="316">
        <f t="shared" si="96"/>
        <v>368</v>
      </c>
      <c r="C398" s="330">
        <f>'סיכום לוועדה'!B398</f>
        <v>1001350454</v>
      </c>
      <c r="D398" s="330">
        <f>'סיכום לוועדה'!C398</f>
        <v>1001302117</v>
      </c>
      <c r="E398" s="330">
        <f>'סיכום לוועדה'!D398</f>
        <v>41484947</v>
      </c>
      <c r="F398" s="330">
        <f>'סיכום לוועדה'!E398</f>
        <v>20000033</v>
      </c>
      <c r="G398" s="330" t="str">
        <f>'סיכום לוועדה'!F398</f>
        <v>אכסאל</v>
      </c>
      <c r="H398" s="317" t="str">
        <f>'סיכום לוועדה'!G398</f>
        <v>עמותת מוג'תמענא</v>
      </c>
      <c r="I398" s="318">
        <f>'סיכום לוועדה'!U398</f>
        <v>90000</v>
      </c>
      <c r="J398" s="319">
        <f>'סיכום לוועדה'!T398</f>
        <v>1820.1179858743403</v>
      </c>
      <c r="K398" s="320">
        <f t="shared" si="97"/>
        <v>0</v>
      </c>
      <c r="L398" s="319">
        <f t="shared" si="98"/>
        <v>1820.1179858743403</v>
      </c>
      <c r="M398" s="331">
        <f>'תחום תמיכה ב'!AF398</f>
        <v>9.2117713883478328E-6</v>
      </c>
      <c r="N398" s="319">
        <f t="shared" si="95"/>
        <v>1977.0360153952124</v>
      </c>
      <c r="O398" s="321">
        <f t="shared" si="99"/>
        <v>0</v>
      </c>
      <c r="P398" s="322">
        <f t="shared" si="100"/>
        <v>1977.0360153952124</v>
      </c>
      <c r="Q398" s="322">
        <f t="shared" si="101"/>
        <v>1977.9362121078407</v>
      </c>
      <c r="R398" s="321">
        <f t="shared" si="102"/>
        <v>0</v>
      </c>
      <c r="S398" s="322">
        <f t="shared" si="103"/>
        <v>1977.9362121078407</v>
      </c>
      <c r="T398" s="322">
        <f t="shared" si="104"/>
        <v>1977.9362121078366</v>
      </c>
      <c r="U398" s="321">
        <f t="shared" si="105"/>
        <v>0</v>
      </c>
      <c r="V398" s="322">
        <f t="shared" si="106"/>
        <v>1977.9362121078366</v>
      </c>
      <c r="W398" s="322">
        <f t="shared" si="107"/>
        <v>1977.9362121078373</v>
      </c>
      <c r="X398" s="321">
        <f t="shared" si="108"/>
        <v>0</v>
      </c>
      <c r="Y398" s="322">
        <f t="shared" si="109"/>
        <v>1977.9362121078373</v>
      </c>
      <c r="Z398" s="322">
        <f t="shared" si="110"/>
        <v>1977.9362121078368</v>
      </c>
      <c r="AA398" s="323">
        <f t="shared" si="111"/>
        <v>1977.9362121078368</v>
      </c>
      <c r="AB398" s="323"/>
      <c r="AC398" s="323"/>
      <c r="AD398" s="323"/>
      <c r="AE398" s="323"/>
      <c r="AF398" s="324">
        <f t="shared" si="112"/>
        <v>1.1327212597776308E-5</v>
      </c>
      <c r="AG398" s="312"/>
      <c r="AH398" s="312"/>
      <c r="AI398" s="325">
        <f t="shared" si="113"/>
        <v>1</v>
      </c>
      <c r="AJ398" s="312"/>
      <c r="AK398" s="312"/>
      <c r="AL398" s="312"/>
      <c r="AM398" s="312"/>
      <c r="AN398" s="312"/>
      <c r="AO398" s="312"/>
      <c r="AP398" s="312"/>
      <c r="AQ398" s="312"/>
      <c r="AR398" s="312"/>
      <c r="AS398" s="312"/>
      <c r="AT398" s="312"/>
      <c r="AU398" s="312"/>
      <c r="AV398" s="312"/>
      <c r="AW398" s="312"/>
      <c r="AX398" s="312"/>
      <c r="AY398" s="312"/>
      <c r="AZ398" s="312"/>
      <c r="BA398" s="312"/>
      <c r="BB398" s="312"/>
      <c r="BC398" s="312"/>
      <c r="BD398" s="312"/>
      <c r="BE398" s="312"/>
      <c r="BF398" s="312"/>
      <c r="BG398" s="312"/>
      <c r="BH398" s="312"/>
      <c r="BI398" s="312"/>
      <c r="BJ398" s="312"/>
      <c r="BK398" s="312"/>
      <c r="BL398" s="312"/>
      <c r="BM398" s="312"/>
      <c r="BN398" s="312"/>
      <c r="BO398" s="312"/>
      <c r="BP398" s="312"/>
      <c r="BQ398" s="312"/>
      <c r="BR398" s="312"/>
      <c r="BS398" s="312"/>
      <c r="BT398" s="312"/>
      <c r="BU398" s="312"/>
      <c r="BV398" s="312"/>
      <c r="BW398" s="312"/>
      <c r="BX398" s="312"/>
      <c r="BY398" s="312"/>
      <c r="BZ398" s="312"/>
      <c r="CA398" s="312"/>
      <c r="CB398" s="312"/>
      <c r="CC398" s="312"/>
      <c r="CD398" s="312"/>
      <c r="CE398" s="312"/>
      <c r="CF398" s="312"/>
      <c r="CG398" s="312"/>
      <c r="CH398" s="312"/>
      <c r="CI398" s="312"/>
      <c r="CJ398" s="312"/>
      <c r="CK398" s="312"/>
      <c r="CL398" s="312"/>
      <c r="CM398" s="312"/>
      <c r="CN398" s="312"/>
      <c r="CO398" s="312"/>
      <c r="CP398" s="312"/>
      <c r="CQ398" s="312"/>
      <c r="CR398" s="312"/>
      <c r="CS398" s="312"/>
      <c r="CT398" s="312"/>
      <c r="CU398" s="312"/>
      <c r="CV398" s="312"/>
      <c r="CW398" s="312"/>
      <c r="CX398" s="312"/>
      <c r="CY398" s="312"/>
      <c r="CZ398" s="312"/>
      <c r="DA398" s="312"/>
      <c r="DB398" s="312"/>
      <c r="DC398" s="312"/>
      <c r="DD398" s="312"/>
      <c r="DE398" s="312"/>
      <c r="DF398" s="312"/>
      <c r="DG398" s="312"/>
      <c r="DH398" s="312"/>
      <c r="DI398" s="312"/>
      <c r="DJ398" s="312"/>
      <c r="DK398" s="312"/>
      <c r="DL398" s="312"/>
      <c r="DM398" s="312"/>
      <c r="DN398" s="312"/>
      <c r="DO398" s="312"/>
      <c r="DP398" s="312"/>
      <c r="DQ398" s="312"/>
      <c r="DR398" s="312"/>
      <c r="DS398" s="312"/>
      <c r="DT398" s="312"/>
      <c r="DU398" s="312"/>
      <c r="DV398" s="312"/>
      <c r="DW398" s="312"/>
      <c r="DX398" s="312"/>
      <c r="DY398" s="312"/>
      <c r="DZ398" s="312"/>
      <c r="EA398" s="312"/>
      <c r="EB398" s="312"/>
      <c r="EC398" s="312"/>
      <c r="ED398" s="312"/>
      <c r="EE398" s="312"/>
      <c r="EF398" s="312"/>
      <c r="EG398" s="312"/>
      <c r="EH398" s="312"/>
      <c r="EI398" s="312"/>
      <c r="EJ398" s="312"/>
      <c r="EK398" s="312"/>
      <c r="EL398" s="312"/>
      <c r="EM398" s="312"/>
      <c r="EN398" s="312"/>
      <c r="EO398" s="312"/>
      <c r="EP398" s="312"/>
      <c r="EQ398" s="312"/>
      <c r="ER398" s="312"/>
      <c r="ES398" s="312"/>
      <c r="ET398" s="312"/>
      <c r="EU398" s="312"/>
      <c r="EV398" s="312"/>
      <c r="EW398" s="312"/>
      <c r="EX398" s="312"/>
      <c r="EY398" s="312"/>
      <c r="EZ398" s="312"/>
      <c r="FA398" s="312"/>
      <c r="FB398" s="312"/>
      <c r="FC398" s="312"/>
      <c r="FD398" s="312"/>
      <c r="FE398" s="312"/>
      <c r="FF398" s="312"/>
      <c r="FG398" s="312"/>
      <c r="FH398" s="312"/>
      <c r="FI398" s="312"/>
      <c r="FJ398" s="312"/>
      <c r="FK398" s="312"/>
      <c r="FL398" s="312"/>
      <c r="FM398" s="312"/>
      <c r="FN398" s="312"/>
      <c r="FO398" s="312"/>
      <c r="FP398" s="312"/>
      <c r="FQ398" s="312"/>
      <c r="FR398" s="312"/>
      <c r="FS398" s="312"/>
      <c r="FT398" s="312"/>
      <c r="FU398" s="312"/>
      <c r="FV398" s="312"/>
      <c r="FW398" s="312"/>
      <c r="FX398" s="312"/>
      <c r="FY398" s="312"/>
      <c r="FZ398" s="312"/>
      <c r="GA398" s="312"/>
      <c r="GB398" s="312"/>
      <c r="GC398" s="312"/>
      <c r="GD398" s="312"/>
      <c r="GE398" s="312"/>
      <c r="GF398" s="312"/>
      <c r="GG398" s="312"/>
      <c r="GH398" s="312"/>
      <c r="GI398" s="312"/>
      <c r="GJ398" s="312"/>
      <c r="GK398" s="312"/>
      <c r="GL398" s="312"/>
      <c r="GM398" s="312"/>
      <c r="GN398" s="312"/>
      <c r="GO398" s="312"/>
      <c r="GP398" s="312"/>
      <c r="GQ398" s="312"/>
      <c r="GR398" s="312"/>
      <c r="GS398" s="312"/>
      <c r="GT398" s="312"/>
      <c r="GU398" s="312"/>
      <c r="GV398" s="312"/>
      <c r="GW398" s="312"/>
      <c r="GX398" s="312"/>
      <c r="GY398" s="312"/>
    </row>
    <row r="399" spans="2:207" ht="15.75" x14ac:dyDescent="0.25">
      <c r="B399" s="316">
        <f t="shared" si="96"/>
        <v>369</v>
      </c>
      <c r="C399" s="330">
        <f>'סיכום לוועדה'!B399</f>
        <v>1001346210</v>
      </c>
      <c r="D399" s="330">
        <f>'סיכום לוועדה'!C399</f>
        <v>1001268507</v>
      </c>
      <c r="E399" s="330">
        <f>'סיכום לוועדה'!D399</f>
        <v>40383495</v>
      </c>
      <c r="F399" s="330">
        <f>'סיכום לוועדה'!E399</f>
        <v>20000035</v>
      </c>
      <c r="G399" s="330" t="str">
        <f>'סיכום לוועדה'!F399</f>
        <v>מגאר</v>
      </c>
      <c r="H399" s="317" t="str">
        <f>'סיכום לוועדה'!G399</f>
        <v>מראות-עמותה לקידום התיאטרון והקרקס</v>
      </c>
      <c r="I399" s="318">
        <f>'סיכום לוועדה'!U399</f>
        <v>80000</v>
      </c>
      <c r="J399" s="319">
        <f>'סיכום לוועדה'!T399</f>
        <v>21805.304150154767</v>
      </c>
      <c r="K399" s="320">
        <f t="shared" si="97"/>
        <v>0</v>
      </c>
      <c r="L399" s="319">
        <f t="shared" si="98"/>
        <v>21805.304150154767</v>
      </c>
      <c r="M399" s="331">
        <f>'תחום תמיכה ב'!AF399</f>
        <v>1.2749718032182303E-4</v>
      </c>
      <c r="N399" s="319">
        <f t="shared" si="95"/>
        <v>23977.156388137417</v>
      </c>
      <c r="O399" s="321">
        <f t="shared" si="99"/>
        <v>0</v>
      </c>
      <c r="P399" s="322">
        <f t="shared" si="100"/>
        <v>23977.156388137417</v>
      </c>
      <c r="Q399" s="322">
        <f t="shared" si="101"/>
        <v>23988.073820693371</v>
      </c>
      <c r="R399" s="321">
        <f t="shared" si="102"/>
        <v>0</v>
      </c>
      <c r="S399" s="322">
        <f t="shared" si="103"/>
        <v>23988.073820693371</v>
      </c>
      <c r="T399" s="322">
        <f t="shared" si="104"/>
        <v>23988.073820693324</v>
      </c>
      <c r="U399" s="321">
        <f t="shared" si="105"/>
        <v>0</v>
      </c>
      <c r="V399" s="322">
        <f t="shared" si="106"/>
        <v>23988.073820693324</v>
      </c>
      <c r="W399" s="322">
        <f t="shared" si="107"/>
        <v>23988.073820693331</v>
      </c>
      <c r="X399" s="321">
        <f t="shared" si="108"/>
        <v>0</v>
      </c>
      <c r="Y399" s="322">
        <f t="shared" si="109"/>
        <v>23988.073820693331</v>
      </c>
      <c r="Z399" s="322">
        <f t="shared" si="110"/>
        <v>23988.073820693327</v>
      </c>
      <c r="AA399" s="323">
        <f t="shared" si="111"/>
        <v>23988.073820693327</v>
      </c>
      <c r="AB399" s="323"/>
      <c r="AC399" s="323"/>
      <c r="AD399" s="323"/>
      <c r="AE399" s="323"/>
      <c r="AF399" s="324">
        <f t="shared" si="112"/>
        <v>1.3737450698098218E-4</v>
      </c>
      <c r="AG399" s="312"/>
      <c r="AH399" s="312"/>
      <c r="AI399" s="325">
        <f t="shared" si="113"/>
        <v>1</v>
      </c>
      <c r="AJ399" s="312"/>
      <c r="AK399" s="312"/>
      <c r="AL399" s="312"/>
      <c r="AM399" s="312"/>
      <c r="AN399" s="312"/>
      <c r="AO399" s="312"/>
      <c r="AP399" s="312"/>
      <c r="AQ399" s="312"/>
      <c r="AR399" s="312"/>
      <c r="AS399" s="312"/>
      <c r="AT399" s="312"/>
      <c r="AU399" s="312"/>
      <c r="AV399" s="312"/>
      <c r="AW399" s="312"/>
      <c r="AX399" s="312"/>
      <c r="AY399" s="312"/>
      <c r="AZ399" s="312"/>
      <c r="BA399" s="312"/>
      <c r="BB399" s="312"/>
      <c r="BC399" s="312"/>
      <c r="BD399" s="312"/>
      <c r="BE399" s="312"/>
      <c r="BF399" s="312"/>
      <c r="BG399" s="312"/>
      <c r="BH399" s="312"/>
      <c r="BI399" s="312"/>
      <c r="BJ399" s="312"/>
      <c r="BK399" s="312"/>
      <c r="BL399" s="312"/>
      <c r="BM399" s="312"/>
      <c r="BN399" s="312"/>
      <c r="BO399" s="312"/>
      <c r="BP399" s="312"/>
      <c r="BQ399" s="312"/>
      <c r="BR399" s="312"/>
      <c r="BS399" s="312"/>
      <c r="BT399" s="312"/>
      <c r="BU399" s="312"/>
      <c r="BV399" s="312"/>
      <c r="BW399" s="312"/>
      <c r="BX399" s="312"/>
      <c r="BY399" s="312"/>
      <c r="BZ399" s="312"/>
      <c r="CA399" s="312"/>
      <c r="CB399" s="312"/>
      <c r="CC399" s="312"/>
      <c r="CD399" s="312"/>
      <c r="CE399" s="312"/>
      <c r="CF399" s="312"/>
      <c r="CG399" s="312"/>
      <c r="CH399" s="312"/>
      <c r="CI399" s="312"/>
      <c r="CJ399" s="312"/>
      <c r="CK399" s="312"/>
      <c r="CL399" s="312"/>
      <c r="CM399" s="312"/>
      <c r="CN399" s="312"/>
      <c r="CO399" s="312"/>
      <c r="CP399" s="312"/>
      <c r="CQ399" s="312"/>
      <c r="CR399" s="312"/>
      <c r="CS399" s="312"/>
      <c r="CT399" s="312"/>
      <c r="CU399" s="312"/>
      <c r="CV399" s="312"/>
      <c r="CW399" s="312"/>
      <c r="CX399" s="312"/>
      <c r="CY399" s="312"/>
      <c r="CZ399" s="312"/>
      <c r="DA399" s="312"/>
      <c r="DB399" s="312"/>
      <c r="DC399" s="312"/>
      <c r="DD399" s="312"/>
      <c r="DE399" s="312"/>
      <c r="DF399" s="312"/>
      <c r="DG399" s="312"/>
      <c r="DH399" s="312"/>
      <c r="DI399" s="312"/>
      <c r="DJ399" s="312"/>
      <c r="DK399" s="312"/>
      <c r="DL399" s="312"/>
      <c r="DM399" s="312"/>
      <c r="DN399" s="312"/>
      <c r="DO399" s="312"/>
      <c r="DP399" s="312"/>
      <c r="DQ399" s="312"/>
      <c r="DR399" s="312"/>
      <c r="DS399" s="312"/>
      <c r="DT399" s="312"/>
      <c r="DU399" s="312"/>
      <c r="DV399" s="312"/>
      <c r="DW399" s="312"/>
      <c r="DX399" s="312"/>
      <c r="DY399" s="312"/>
      <c r="DZ399" s="312"/>
      <c r="EA399" s="312"/>
      <c r="EB399" s="312"/>
      <c r="EC399" s="312"/>
      <c r="ED399" s="312"/>
      <c r="EE399" s="312"/>
      <c r="EF399" s="312"/>
      <c r="EG399" s="312"/>
      <c r="EH399" s="312"/>
      <c r="EI399" s="312"/>
      <c r="EJ399" s="312"/>
      <c r="EK399" s="312"/>
      <c r="EL399" s="312"/>
      <c r="EM399" s="312"/>
      <c r="EN399" s="312"/>
      <c r="EO399" s="312"/>
      <c r="EP399" s="312"/>
      <c r="EQ399" s="312"/>
      <c r="ER399" s="312"/>
      <c r="ES399" s="312"/>
      <c r="ET399" s="312"/>
      <c r="EU399" s="312"/>
      <c r="EV399" s="312"/>
      <c r="EW399" s="312"/>
      <c r="EX399" s="312"/>
      <c r="EY399" s="312"/>
      <c r="EZ399" s="312"/>
      <c r="FA399" s="312"/>
      <c r="FB399" s="312"/>
      <c r="FC399" s="312"/>
      <c r="FD399" s="312"/>
      <c r="FE399" s="312"/>
      <c r="FF399" s="312"/>
      <c r="FG399" s="312"/>
      <c r="FH399" s="312"/>
      <c r="FI399" s="312"/>
      <c r="FJ399" s="312"/>
      <c r="FK399" s="312"/>
      <c r="FL399" s="312"/>
      <c r="FM399" s="312"/>
      <c r="FN399" s="312"/>
      <c r="FO399" s="312"/>
      <c r="FP399" s="312"/>
      <c r="FQ399" s="312"/>
      <c r="FR399" s="312"/>
      <c r="FS399" s="312"/>
      <c r="FT399" s="312"/>
      <c r="FU399" s="312"/>
      <c r="FV399" s="312"/>
      <c r="FW399" s="312"/>
      <c r="FX399" s="312"/>
      <c r="FY399" s="312"/>
      <c r="FZ399" s="312"/>
      <c r="GA399" s="312"/>
      <c r="GB399" s="312"/>
      <c r="GC399" s="312"/>
      <c r="GD399" s="312"/>
      <c r="GE399" s="312"/>
      <c r="GF399" s="312"/>
      <c r="GG399" s="312"/>
      <c r="GH399" s="312"/>
      <c r="GI399" s="312"/>
      <c r="GJ399" s="312"/>
      <c r="GK399" s="312"/>
      <c r="GL399" s="312"/>
      <c r="GM399" s="312"/>
      <c r="GN399" s="312"/>
      <c r="GO399" s="312"/>
      <c r="GP399" s="312"/>
      <c r="GQ399" s="312"/>
      <c r="GR399" s="312"/>
      <c r="GS399" s="312"/>
      <c r="GT399" s="312"/>
      <c r="GU399" s="312"/>
      <c r="GV399" s="312"/>
      <c r="GW399" s="312"/>
      <c r="GX399" s="312"/>
      <c r="GY399" s="312"/>
    </row>
    <row r="400" spans="2:207" ht="15.75" x14ac:dyDescent="0.25">
      <c r="B400" s="316">
        <f t="shared" si="96"/>
        <v>370</v>
      </c>
      <c r="C400" s="330">
        <f>'סיכום לוועדה'!B400</f>
        <v>1001348860</v>
      </c>
      <c r="D400" s="330">
        <f>'סיכום לוועדה'!C400</f>
        <v>1001274641</v>
      </c>
      <c r="E400" s="330">
        <f>'סיכום לוועדה'!D400</f>
        <v>40383495</v>
      </c>
      <c r="F400" s="330">
        <f>'סיכום לוועדה'!E400</f>
        <v>20000035</v>
      </c>
      <c r="G400" s="330" t="str">
        <f>'סיכום לוועדה'!F400</f>
        <v>מגאר</v>
      </c>
      <c r="H400" s="317" t="str">
        <f>'סיכום לוועדה'!G400</f>
        <v>מראות-עמותה לקידום התיאטרון והקרקס</v>
      </c>
      <c r="I400" s="318">
        <f>'סיכום לוועדה'!U400</f>
        <v>80000</v>
      </c>
      <c r="J400" s="319">
        <f>'סיכום לוועדה'!T400</f>
        <v>9205.6696351338251</v>
      </c>
      <c r="K400" s="320">
        <f t="shared" si="97"/>
        <v>0</v>
      </c>
      <c r="L400" s="319">
        <f t="shared" si="98"/>
        <v>9205.6696351338251</v>
      </c>
      <c r="M400" s="331">
        <f>'תחום תמיכה ב'!AF400</f>
        <v>4.3959625033319464E-5</v>
      </c>
      <c r="N400" s="319">
        <f t="shared" si="95"/>
        <v>9954.5003917709691</v>
      </c>
      <c r="O400" s="321">
        <f t="shared" si="99"/>
        <v>0</v>
      </c>
      <c r="P400" s="322">
        <f t="shared" si="100"/>
        <v>9954.5003917709691</v>
      </c>
      <c r="Q400" s="322">
        <f t="shared" si="101"/>
        <v>9959.0329387042311</v>
      </c>
      <c r="R400" s="321">
        <f t="shared" si="102"/>
        <v>0</v>
      </c>
      <c r="S400" s="322">
        <f t="shared" si="103"/>
        <v>9959.0329387042311</v>
      </c>
      <c r="T400" s="322">
        <f t="shared" si="104"/>
        <v>9959.0329387042111</v>
      </c>
      <c r="U400" s="321">
        <f t="shared" si="105"/>
        <v>0</v>
      </c>
      <c r="V400" s="322">
        <f t="shared" si="106"/>
        <v>9959.0329387042111</v>
      </c>
      <c r="W400" s="322">
        <f t="shared" si="107"/>
        <v>9959.0329387042148</v>
      </c>
      <c r="X400" s="321">
        <f t="shared" si="108"/>
        <v>0</v>
      </c>
      <c r="Y400" s="322">
        <f t="shared" si="109"/>
        <v>9959.0329387042148</v>
      </c>
      <c r="Z400" s="322">
        <f t="shared" si="110"/>
        <v>9959.0329387042111</v>
      </c>
      <c r="AA400" s="323">
        <f t="shared" si="111"/>
        <v>9959.0329387042111</v>
      </c>
      <c r="AB400" s="323"/>
      <c r="AC400" s="323"/>
      <c r="AD400" s="323"/>
      <c r="AE400" s="323"/>
      <c r="AF400" s="324">
        <f t="shared" si="112"/>
        <v>5.7033226185157309E-5</v>
      </c>
      <c r="AG400" s="312"/>
      <c r="AH400" s="312"/>
      <c r="AI400" s="325">
        <f t="shared" si="113"/>
        <v>1</v>
      </c>
      <c r="AJ400" s="312"/>
      <c r="AK400" s="312"/>
      <c r="AL400" s="312"/>
      <c r="AM400" s="312"/>
      <c r="AN400" s="312"/>
      <c r="AO400" s="312"/>
      <c r="AP400" s="312"/>
      <c r="AQ400" s="312"/>
      <c r="AR400" s="312"/>
      <c r="AS400" s="312"/>
      <c r="AT400" s="312"/>
      <c r="AU400" s="312"/>
      <c r="AV400" s="312"/>
      <c r="AW400" s="312"/>
      <c r="AX400" s="312"/>
      <c r="AY400" s="312"/>
      <c r="AZ400" s="312"/>
      <c r="BA400" s="312"/>
      <c r="BB400" s="312"/>
      <c r="BC400" s="312"/>
      <c r="BD400" s="312"/>
      <c r="BE400" s="312"/>
      <c r="BF400" s="312"/>
      <c r="BG400" s="312"/>
      <c r="BH400" s="312"/>
      <c r="BI400" s="312"/>
      <c r="BJ400" s="312"/>
      <c r="BK400" s="312"/>
      <c r="BL400" s="312"/>
      <c r="BM400" s="312"/>
      <c r="BN400" s="312"/>
      <c r="BO400" s="312"/>
      <c r="BP400" s="312"/>
      <c r="BQ400" s="312"/>
      <c r="BR400" s="312"/>
      <c r="BS400" s="312"/>
      <c r="BT400" s="312"/>
      <c r="BU400" s="312"/>
      <c r="BV400" s="312"/>
      <c r="BW400" s="312"/>
      <c r="BX400" s="312"/>
      <c r="BY400" s="312"/>
      <c r="BZ400" s="312"/>
      <c r="CA400" s="312"/>
      <c r="CB400" s="312"/>
      <c r="CC400" s="312"/>
      <c r="CD400" s="312"/>
      <c r="CE400" s="312"/>
      <c r="CF400" s="312"/>
      <c r="CG400" s="312"/>
      <c r="CH400" s="312"/>
      <c r="CI400" s="312"/>
      <c r="CJ400" s="312"/>
      <c r="CK400" s="312"/>
      <c r="CL400" s="312"/>
      <c r="CM400" s="312"/>
      <c r="CN400" s="312"/>
      <c r="CO400" s="312"/>
      <c r="CP400" s="312"/>
      <c r="CQ400" s="312"/>
      <c r="CR400" s="312"/>
      <c r="CS400" s="312"/>
      <c r="CT400" s="312"/>
      <c r="CU400" s="312"/>
      <c r="CV400" s="312"/>
      <c r="CW400" s="312"/>
      <c r="CX400" s="312"/>
      <c r="CY400" s="312"/>
      <c r="CZ400" s="312"/>
      <c r="DA400" s="312"/>
      <c r="DB400" s="312"/>
      <c r="DC400" s="312"/>
      <c r="DD400" s="312"/>
      <c r="DE400" s="312"/>
      <c r="DF400" s="312"/>
      <c r="DG400" s="312"/>
      <c r="DH400" s="312"/>
      <c r="DI400" s="312"/>
      <c r="DJ400" s="312"/>
      <c r="DK400" s="312"/>
      <c r="DL400" s="312"/>
      <c r="DM400" s="312"/>
      <c r="DN400" s="312"/>
      <c r="DO400" s="312"/>
      <c r="DP400" s="312"/>
      <c r="DQ400" s="312"/>
      <c r="DR400" s="312"/>
      <c r="DS400" s="312"/>
      <c r="DT400" s="312"/>
      <c r="DU400" s="312"/>
      <c r="DV400" s="312"/>
      <c r="DW400" s="312"/>
      <c r="DX400" s="312"/>
      <c r="DY400" s="312"/>
      <c r="DZ400" s="312"/>
      <c r="EA400" s="312"/>
      <c r="EB400" s="312"/>
      <c r="EC400" s="312"/>
      <c r="ED400" s="312"/>
      <c r="EE400" s="312"/>
      <c r="EF400" s="312"/>
      <c r="EG400" s="312"/>
      <c r="EH400" s="312"/>
      <c r="EI400" s="312"/>
      <c r="EJ400" s="312"/>
      <c r="EK400" s="312"/>
      <c r="EL400" s="312"/>
      <c r="EM400" s="312"/>
      <c r="EN400" s="312"/>
      <c r="EO400" s="312"/>
      <c r="EP400" s="312"/>
      <c r="EQ400" s="312"/>
      <c r="ER400" s="312"/>
      <c r="ES400" s="312"/>
      <c r="ET400" s="312"/>
      <c r="EU400" s="312"/>
      <c r="EV400" s="312"/>
      <c r="EW400" s="312"/>
      <c r="EX400" s="312"/>
      <c r="EY400" s="312"/>
      <c r="EZ400" s="312"/>
      <c r="FA400" s="312"/>
      <c r="FB400" s="312"/>
      <c r="FC400" s="312"/>
      <c r="FD400" s="312"/>
      <c r="FE400" s="312"/>
      <c r="FF400" s="312"/>
      <c r="FG400" s="312"/>
      <c r="FH400" s="312"/>
      <c r="FI400" s="312"/>
      <c r="FJ400" s="312"/>
      <c r="FK400" s="312"/>
      <c r="FL400" s="312"/>
      <c r="FM400" s="312"/>
      <c r="FN400" s="312"/>
      <c r="FO400" s="312"/>
      <c r="FP400" s="312"/>
      <c r="FQ400" s="312"/>
      <c r="FR400" s="312"/>
      <c r="FS400" s="312"/>
      <c r="FT400" s="312"/>
      <c r="FU400" s="312"/>
      <c r="FV400" s="312"/>
      <c r="FW400" s="312"/>
      <c r="FX400" s="312"/>
      <c r="FY400" s="312"/>
      <c r="FZ400" s="312"/>
      <c r="GA400" s="312"/>
      <c r="GB400" s="312"/>
      <c r="GC400" s="312"/>
      <c r="GD400" s="312"/>
      <c r="GE400" s="312"/>
      <c r="GF400" s="312"/>
      <c r="GG400" s="312"/>
      <c r="GH400" s="312"/>
      <c r="GI400" s="312"/>
      <c r="GJ400" s="312"/>
      <c r="GK400" s="312"/>
      <c r="GL400" s="312"/>
      <c r="GM400" s="312"/>
      <c r="GN400" s="312"/>
      <c r="GO400" s="312"/>
      <c r="GP400" s="312"/>
      <c r="GQ400" s="312"/>
      <c r="GR400" s="312"/>
      <c r="GS400" s="312"/>
      <c r="GT400" s="312"/>
      <c r="GU400" s="312"/>
      <c r="GV400" s="312"/>
      <c r="GW400" s="312"/>
      <c r="GX400" s="312"/>
      <c r="GY400" s="312"/>
    </row>
    <row r="401" spans="2:207" ht="15.75" x14ac:dyDescent="0.25">
      <c r="B401" s="316">
        <f t="shared" si="96"/>
        <v>371</v>
      </c>
      <c r="C401" s="330">
        <f>'סיכום לוועדה'!B401</f>
        <v>1001348861</v>
      </c>
      <c r="D401" s="330">
        <f>'סיכום לוועדה'!C401</f>
        <v>1001268570</v>
      </c>
      <c r="E401" s="330">
        <f>'סיכום לוועדה'!D401</f>
        <v>40383495</v>
      </c>
      <c r="F401" s="330">
        <f>'סיכום לוועדה'!E401</f>
        <v>20000035</v>
      </c>
      <c r="G401" s="330" t="str">
        <f>'סיכום לוועדה'!F401</f>
        <v>מגאר</v>
      </c>
      <c r="H401" s="317" t="str">
        <f>'סיכום לוועדה'!G401</f>
        <v>מראות-עמותה לקידום התיאטרון והקרקס</v>
      </c>
      <c r="I401" s="318">
        <f>'סיכום לוועדה'!U401</f>
        <v>50000</v>
      </c>
      <c r="J401" s="319">
        <f>'סיכום לוועדה'!T401</f>
        <v>4691.6572800247341</v>
      </c>
      <c r="K401" s="320">
        <f t="shared" si="97"/>
        <v>0</v>
      </c>
      <c r="L401" s="319">
        <f t="shared" si="98"/>
        <v>4691.6572800247341</v>
      </c>
      <c r="M401" s="331">
        <f>'תחום תמיכה ב'!AF401</f>
        <v>3.3786763619908264E-5</v>
      </c>
      <c r="N401" s="319">
        <f t="shared" si="95"/>
        <v>5267.1983076526876</v>
      </c>
      <c r="O401" s="321">
        <f t="shared" si="99"/>
        <v>0</v>
      </c>
      <c r="P401" s="322">
        <f t="shared" si="100"/>
        <v>5267.1983076526876</v>
      </c>
      <c r="Q401" s="322">
        <f t="shared" si="101"/>
        <v>5269.5966021523263</v>
      </c>
      <c r="R401" s="321">
        <f t="shared" si="102"/>
        <v>0</v>
      </c>
      <c r="S401" s="322">
        <f t="shared" si="103"/>
        <v>5269.5966021523263</v>
      </c>
      <c r="T401" s="322">
        <f t="shared" si="104"/>
        <v>5269.5966021523154</v>
      </c>
      <c r="U401" s="321">
        <f t="shared" si="105"/>
        <v>0</v>
      </c>
      <c r="V401" s="322">
        <f t="shared" si="106"/>
        <v>5269.5966021523154</v>
      </c>
      <c r="W401" s="322">
        <f t="shared" si="107"/>
        <v>5269.5966021523172</v>
      </c>
      <c r="X401" s="321">
        <f t="shared" si="108"/>
        <v>0</v>
      </c>
      <c r="Y401" s="322">
        <f t="shared" si="109"/>
        <v>5269.5966021523172</v>
      </c>
      <c r="Z401" s="322">
        <f t="shared" si="110"/>
        <v>5269.5966021523163</v>
      </c>
      <c r="AA401" s="323">
        <f t="shared" si="111"/>
        <v>5269.5966021523163</v>
      </c>
      <c r="AB401" s="323"/>
      <c r="AC401" s="323"/>
      <c r="AD401" s="323"/>
      <c r="AE401" s="323"/>
      <c r="AF401" s="324">
        <f t="shared" si="112"/>
        <v>3.0177839230461826E-5</v>
      </c>
      <c r="AG401" s="312"/>
      <c r="AH401" s="312"/>
      <c r="AI401" s="325">
        <f t="shared" si="113"/>
        <v>1</v>
      </c>
      <c r="AJ401" s="312"/>
      <c r="AK401" s="312"/>
      <c r="AL401" s="312"/>
      <c r="AM401" s="312"/>
      <c r="AN401" s="312"/>
      <c r="AO401" s="312"/>
      <c r="AP401" s="312"/>
      <c r="AQ401" s="312"/>
      <c r="AR401" s="312"/>
      <c r="AS401" s="312"/>
      <c r="AT401" s="312"/>
      <c r="AU401" s="312"/>
      <c r="AV401" s="312"/>
      <c r="AW401" s="312"/>
      <c r="AX401" s="312"/>
      <c r="AY401" s="312"/>
      <c r="AZ401" s="312"/>
      <c r="BA401" s="312"/>
      <c r="BB401" s="312"/>
      <c r="BC401" s="312"/>
      <c r="BD401" s="312"/>
      <c r="BE401" s="312"/>
      <c r="BF401" s="312"/>
      <c r="BG401" s="312"/>
      <c r="BH401" s="312"/>
      <c r="BI401" s="312"/>
      <c r="BJ401" s="312"/>
      <c r="BK401" s="312"/>
      <c r="BL401" s="312"/>
      <c r="BM401" s="312"/>
      <c r="BN401" s="312"/>
      <c r="BO401" s="312"/>
      <c r="BP401" s="312"/>
      <c r="BQ401" s="312"/>
      <c r="BR401" s="312"/>
      <c r="BS401" s="312"/>
      <c r="BT401" s="312"/>
      <c r="BU401" s="312"/>
      <c r="BV401" s="312"/>
      <c r="BW401" s="312"/>
      <c r="BX401" s="312"/>
      <c r="BY401" s="312"/>
      <c r="BZ401" s="312"/>
      <c r="CA401" s="312"/>
      <c r="CB401" s="312"/>
      <c r="CC401" s="312"/>
      <c r="CD401" s="312"/>
      <c r="CE401" s="312"/>
      <c r="CF401" s="312"/>
      <c r="CG401" s="312"/>
      <c r="CH401" s="312"/>
      <c r="CI401" s="312"/>
      <c r="CJ401" s="312"/>
      <c r="CK401" s="312"/>
      <c r="CL401" s="312"/>
      <c r="CM401" s="312"/>
      <c r="CN401" s="312"/>
      <c r="CO401" s="312"/>
      <c r="CP401" s="312"/>
      <c r="CQ401" s="312"/>
      <c r="CR401" s="312"/>
      <c r="CS401" s="312"/>
      <c r="CT401" s="312"/>
      <c r="CU401" s="312"/>
      <c r="CV401" s="312"/>
      <c r="CW401" s="312"/>
      <c r="CX401" s="312"/>
      <c r="CY401" s="312"/>
      <c r="CZ401" s="312"/>
      <c r="DA401" s="312"/>
      <c r="DB401" s="312"/>
      <c r="DC401" s="312"/>
      <c r="DD401" s="312"/>
      <c r="DE401" s="312"/>
      <c r="DF401" s="312"/>
      <c r="DG401" s="312"/>
      <c r="DH401" s="312"/>
      <c r="DI401" s="312"/>
      <c r="DJ401" s="312"/>
      <c r="DK401" s="312"/>
      <c r="DL401" s="312"/>
      <c r="DM401" s="312"/>
      <c r="DN401" s="312"/>
      <c r="DO401" s="312"/>
      <c r="DP401" s="312"/>
      <c r="DQ401" s="312"/>
      <c r="DR401" s="312"/>
      <c r="DS401" s="312"/>
      <c r="DT401" s="312"/>
      <c r="DU401" s="312"/>
      <c r="DV401" s="312"/>
      <c r="DW401" s="312"/>
      <c r="DX401" s="312"/>
      <c r="DY401" s="312"/>
      <c r="DZ401" s="312"/>
      <c r="EA401" s="312"/>
      <c r="EB401" s="312"/>
      <c r="EC401" s="312"/>
      <c r="ED401" s="312"/>
      <c r="EE401" s="312"/>
      <c r="EF401" s="312"/>
      <c r="EG401" s="312"/>
      <c r="EH401" s="312"/>
      <c r="EI401" s="312"/>
      <c r="EJ401" s="312"/>
      <c r="EK401" s="312"/>
      <c r="EL401" s="312"/>
      <c r="EM401" s="312"/>
      <c r="EN401" s="312"/>
      <c r="EO401" s="312"/>
      <c r="EP401" s="312"/>
      <c r="EQ401" s="312"/>
      <c r="ER401" s="312"/>
      <c r="ES401" s="312"/>
      <c r="ET401" s="312"/>
      <c r="EU401" s="312"/>
      <c r="EV401" s="312"/>
      <c r="EW401" s="312"/>
      <c r="EX401" s="312"/>
      <c r="EY401" s="312"/>
      <c r="EZ401" s="312"/>
      <c r="FA401" s="312"/>
      <c r="FB401" s="312"/>
      <c r="FC401" s="312"/>
      <c r="FD401" s="312"/>
      <c r="FE401" s="312"/>
      <c r="FF401" s="312"/>
      <c r="FG401" s="312"/>
      <c r="FH401" s="312"/>
      <c r="FI401" s="312"/>
      <c r="FJ401" s="312"/>
      <c r="FK401" s="312"/>
      <c r="FL401" s="312"/>
      <c r="FM401" s="312"/>
      <c r="FN401" s="312"/>
      <c r="FO401" s="312"/>
      <c r="FP401" s="312"/>
      <c r="FQ401" s="312"/>
      <c r="FR401" s="312"/>
      <c r="FS401" s="312"/>
      <c r="FT401" s="312"/>
      <c r="FU401" s="312"/>
      <c r="FV401" s="312"/>
      <c r="FW401" s="312"/>
      <c r="FX401" s="312"/>
      <c r="FY401" s="312"/>
      <c r="FZ401" s="312"/>
      <c r="GA401" s="312"/>
      <c r="GB401" s="312"/>
      <c r="GC401" s="312"/>
      <c r="GD401" s="312"/>
      <c r="GE401" s="312"/>
      <c r="GF401" s="312"/>
      <c r="GG401" s="312"/>
      <c r="GH401" s="312"/>
      <c r="GI401" s="312"/>
      <c r="GJ401" s="312"/>
      <c r="GK401" s="312"/>
      <c r="GL401" s="312"/>
      <c r="GM401" s="312"/>
      <c r="GN401" s="312"/>
      <c r="GO401" s="312"/>
      <c r="GP401" s="312"/>
      <c r="GQ401" s="312"/>
      <c r="GR401" s="312"/>
      <c r="GS401" s="312"/>
      <c r="GT401" s="312"/>
      <c r="GU401" s="312"/>
      <c r="GV401" s="312"/>
      <c r="GW401" s="312"/>
      <c r="GX401" s="312"/>
      <c r="GY401" s="312"/>
    </row>
    <row r="402" spans="2:207" ht="15.75" x14ac:dyDescent="0.25">
      <c r="B402" s="316">
        <f t="shared" si="96"/>
        <v>372</v>
      </c>
      <c r="C402" s="330">
        <f>'סיכום לוועדה'!B402</f>
        <v>1001349542</v>
      </c>
      <c r="D402" s="330">
        <f>'סיכום לוועדה'!C402</f>
        <v>1001268295</v>
      </c>
      <c r="E402" s="330">
        <f>'סיכום לוועדה'!D402</f>
        <v>41343408</v>
      </c>
      <c r="F402" s="330">
        <f>'סיכום לוועדה'!E402</f>
        <v>20000102</v>
      </c>
      <c r="G402" s="330" t="str">
        <f>'סיכום לוועדה'!F402</f>
        <v>מעלות-תרשיחא</v>
      </c>
      <c r="H402" s="317" t="str">
        <f>'סיכום לוועדה'!G402</f>
        <v>קול יוצר</v>
      </c>
      <c r="I402" s="318">
        <f>'סיכום לוועדה'!U402</f>
        <v>120000</v>
      </c>
      <c r="J402" s="319">
        <f>'סיכום לוועדה'!T402</f>
        <v>4843.5742314355684</v>
      </c>
      <c r="K402" s="320">
        <f t="shared" si="97"/>
        <v>0</v>
      </c>
      <c r="L402" s="319">
        <f t="shared" si="98"/>
        <v>4843.5742314355684</v>
      </c>
      <c r="M402" s="331">
        <f>'תחום תמיכה ב'!AF402</f>
        <v>2.9473691018689298E-5</v>
      </c>
      <c r="N402" s="319">
        <f t="shared" si="95"/>
        <v>5345.6441724254146</v>
      </c>
      <c r="O402" s="321">
        <f t="shared" si="99"/>
        <v>0</v>
      </c>
      <c r="P402" s="322">
        <f t="shared" si="100"/>
        <v>5345.6441724254146</v>
      </c>
      <c r="Q402" s="322">
        <f t="shared" si="101"/>
        <v>5348.0781853990911</v>
      </c>
      <c r="R402" s="321">
        <f t="shared" si="102"/>
        <v>0</v>
      </c>
      <c r="S402" s="322">
        <f t="shared" si="103"/>
        <v>5348.0781853990911</v>
      </c>
      <c r="T402" s="322">
        <f t="shared" si="104"/>
        <v>5348.0781853990802</v>
      </c>
      <c r="U402" s="321">
        <f t="shared" si="105"/>
        <v>0</v>
      </c>
      <c r="V402" s="322">
        <f t="shared" si="106"/>
        <v>5348.0781853990802</v>
      </c>
      <c r="W402" s="322">
        <f t="shared" si="107"/>
        <v>5348.078185399082</v>
      </c>
      <c r="X402" s="321">
        <f t="shared" si="108"/>
        <v>0</v>
      </c>
      <c r="Y402" s="322">
        <f t="shared" si="109"/>
        <v>5348.078185399082</v>
      </c>
      <c r="Z402" s="322">
        <f t="shared" si="110"/>
        <v>5348.0781853990811</v>
      </c>
      <c r="AA402" s="323">
        <f t="shared" si="111"/>
        <v>5348.0781853990811</v>
      </c>
      <c r="AB402" s="323"/>
      <c r="AC402" s="323"/>
      <c r="AD402" s="323"/>
      <c r="AE402" s="323"/>
      <c r="AF402" s="324">
        <f t="shared" si="112"/>
        <v>3.0627286271779112E-5</v>
      </c>
      <c r="AG402" s="312"/>
      <c r="AH402" s="312"/>
      <c r="AI402" s="325">
        <f t="shared" si="113"/>
        <v>1</v>
      </c>
      <c r="AJ402" s="312"/>
      <c r="AK402" s="312"/>
      <c r="AL402" s="312"/>
      <c r="AM402" s="312"/>
      <c r="AN402" s="312"/>
      <c r="AO402" s="312"/>
      <c r="AP402" s="312"/>
      <c r="AQ402" s="312"/>
      <c r="AR402" s="312"/>
      <c r="AS402" s="312"/>
      <c r="AT402" s="312"/>
      <c r="AU402" s="312"/>
      <c r="AV402" s="312"/>
      <c r="AW402" s="312"/>
      <c r="AX402" s="312"/>
      <c r="AY402" s="312"/>
      <c r="AZ402" s="312"/>
      <c r="BA402" s="312"/>
      <c r="BB402" s="312"/>
      <c r="BC402" s="312"/>
      <c r="BD402" s="312"/>
      <c r="BE402" s="312"/>
      <c r="BF402" s="312"/>
      <c r="BG402" s="312"/>
      <c r="BH402" s="312"/>
      <c r="BI402" s="312"/>
      <c r="BJ402" s="312"/>
      <c r="BK402" s="312"/>
      <c r="BL402" s="312"/>
      <c r="BM402" s="312"/>
      <c r="BN402" s="312"/>
      <c r="BO402" s="312"/>
      <c r="BP402" s="312"/>
      <c r="BQ402" s="312"/>
      <c r="BR402" s="312"/>
      <c r="BS402" s="312"/>
      <c r="BT402" s="312"/>
      <c r="BU402" s="312"/>
      <c r="BV402" s="312"/>
      <c r="BW402" s="312"/>
      <c r="BX402" s="312"/>
      <c r="BY402" s="312"/>
      <c r="BZ402" s="312"/>
      <c r="CA402" s="312"/>
      <c r="CB402" s="312"/>
      <c r="CC402" s="312"/>
      <c r="CD402" s="312"/>
      <c r="CE402" s="312"/>
      <c r="CF402" s="312"/>
      <c r="CG402" s="312"/>
      <c r="CH402" s="312"/>
      <c r="CI402" s="312"/>
      <c r="CJ402" s="312"/>
      <c r="CK402" s="312"/>
      <c r="CL402" s="312"/>
      <c r="CM402" s="312"/>
      <c r="CN402" s="312"/>
      <c r="CO402" s="312"/>
      <c r="CP402" s="312"/>
      <c r="CQ402" s="312"/>
      <c r="CR402" s="312"/>
      <c r="CS402" s="312"/>
      <c r="CT402" s="312"/>
      <c r="CU402" s="312"/>
      <c r="CV402" s="312"/>
      <c r="CW402" s="312"/>
      <c r="CX402" s="312"/>
      <c r="CY402" s="312"/>
      <c r="CZ402" s="312"/>
      <c r="DA402" s="312"/>
      <c r="DB402" s="312"/>
      <c r="DC402" s="312"/>
      <c r="DD402" s="312"/>
      <c r="DE402" s="312"/>
      <c r="DF402" s="312"/>
      <c r="DG402" s="312"/>
      <c r="DH402" s="312"/>
      <c r="DI402" s="312"/>
      <c r="DJ402" s="312"/>
      <c r="DK402" s="312"/>
      <c r="DL402" s="312"/>
      <c r="DM402" s="312"/>
      <c r="DN402" s="312"/>
      <c r="DO402" s="312"/>
      <c r="DP402" s="312"/>
      <c r="DQ402" s="312"/>
      <c r="DR402" s="312"/>
      <c r="DS402" s="312"/>
      <c r="DT402" s="312"/>
      <c r="DU402" s="312"/>
      <c r="DV402" s="312"/>
      <c r="DW402" s="312"/>
      <c r="DX402" s="312"/>
      <c r="DY402" s="312"/>
      <c r="DZ402" s="312"/>
      <c r="EA402" s="312"/>
      <c r="EB402" s="312"/>
      <c r="EC402" s="312"/>
      <c r="ED402" s="312"/>
      <c r="EE402" s="312"/>
      <c r="EF402" s="312"/>
      <c r="EG402" s="312"/>
      <c r="EH402" s="312"/>
      <c r="EI402" s="312"/>
      <c r="EJ402" s="312"/>
      <c r="EK402" s="312"/>
      <c r="EL402" s="312"/>
      <c r="EM402" s="312"/>
      <c r="EN402" s="312"/>
      <c r="EO402" s="312"/>
      <c r="EP402" s="312"/>
      <c r="EQ402" s="312"/>
      <c r="ER402" s="312"/>
      <c r="ES402" s="312"/>
      <c r="ET402" s="312"/>
      <c r="EU402" s="312"/>
      <c r="EV402" s="312"/>
      <c r="EW402" s="312"/>
      <c r="EX402" s="312"/>
      <c r="EY402" s="312"/>
      <c r="EZ402" s="312"/>
      <c r="FA402" s="312"/>
      <c r="FB402" s="312"/>
      <c r="FC402" s="312"/>
      <c r="FD402" s="312"/>
      <c r="FE402" s="312"/>
      <c r="FF402" s="312"/>
      <c r="FG402" s="312"/>
      <c r="FH402" s="312"/>
      <c r="FI402" s="312"/>
      <c r="FJ402" s="312"/>
      <c r="FK402" s="312"/>
      <c r="FL402" s="312"/>
      <c r="FM402" s="312"/>
      <c r="FN402" s="312"/>
      <c r="FO402" s="312"/>
      <c r="FP402" s="312"/>
      <c r="FQ402" s="312"/>
      <c r="FR402" s="312"/>
      <c r="FS402" s="312"/>
      <c r="FT402" s="312"/>
      <c r="FU402" s="312"/>
      <c r="FV402" s="312"/>
      <c r="FW402" s="312"/>
      <c r="FX402" s="312"/>
      <c r="FY402" s="312"/>
      <c r="FZ402" s="312"/>
      <c r="GA402" s="312"/>
      <c r="GB402" s="312"/>
      <c r="GC402" s="312"/>
      <c r="GD402" s="312"/>
      <c r="GE402" s="312"/>
      <c r="GF402" s="312"/>
      <c r="GG402" s="312"/>
      <c r="GH402" s="312"/>
      <c r="GI402" s="312"/>
      <c r="GJ402" s="312"/>
      <c r="GK402" s="312"/>
      <c r="GL402" s="312"/>
      <c r="GM402" s="312"/>
      <c r="GN402" s="312"/>
      <c r="GO402" s="312"/>
      <c r="GP402" s="312"/>
      <c r="GQ402" s="312"/>
      <c r="GR402" s="312"/>
      <c r="GS402" s="312"/>
      <c r="GT402" s="312"/>
      <c r="GU402" s="312"/>
      <c r="GV402" s="312"/>
      <c r="GW402" s="312"/>
      <c r="GX402" s="312"/>
      <c r="GY402" s="312"/>
    </row>
    <row r="403" spans="2:207" ht="15.75" x14ac:dyDescent="0.25">
      <c r="B403" s="316">
        <f t="shared" si="96"/>
        <v>373</v>
      </c>
      <c r="C403" s="330">
        <f>'סיכום לוועדה'!B403</f>
        <v>1001349543</v>
      </c>
      <c r="D403" s="330">
        <f>'סיכום לוועדה'!C403</f>
        <v>1001266976</v>
      </c>
      <c r="E403" s="330">
        <f>'סיכום לוועדה'!D403</f>
        <v>41343408</v>
      </c>
      <c r="F403" s="330">
        <f>'סיכום לוועדה'!E403</f>
        <v>20000102</v>
      </c>
      <c r="G403" s="330" t="str">
        <f>'סיכום לוועדה'!F403</f>
        <v>מעלות-תרשיחא</v>
      </c>
      <c r="H403" s="317" t="str">
        <f>'סיכום לוועדה'!G403</f>
        <v>קול יוצר</v>
      </c>
      <c r="I403" s="318">
        <f>'סיכום לוועדה'!U403</f>
        <v>120000</v>
      </c>
      <c r="J403" s="319">
        <f>'סיכום לוועדה'!T403</f>
        <v>6339.0494941774687</v>
      </c>
      <c r="K403" s="320">
        <f t="shared" si="97"/>
        <v>0</v>
      </c>
      <c r="L403" s="319">
        <f t="shared" si="98"/>
        <v>6339.0494941774687</v>
      </c>
      <c r="M403" s="331">
        <f>'תחום תמיכה ב'!AF403</f>
        <v>3.4910941183164949E-5</v>
      </c>
      <c r="N403" s="319">
        <f t="shared" si="95"/>
        <v>6933.7403379071284</v>
      </c>
      <c r="O403" s="321">
        <f t="shared" si="99"/>
        <v>0</v>
      </c>
      <c r="P403" s="322">
        <f t="shared" si="100"/>
        <v>6933.7403379071284</v>
      </c>
      <c r="Q403" s="322">
        <f t="shared" si="101"/>
        <v>6936.8974530076102</v>
      </c>
      <c r="R403" s="321">
        <f t="shared" si="102"/>
        <v>0</v>
      </c>
      <c r="S403" s="322">
        <f t="shared" si="103"/>
        <v>6936.8974530076102</v>
      </c>
      <c r="T403" s="322">
        <f t="shared" si="104"/>
        <v>6936.8974530075957</v>
      </c>
      <c r="U403" s="321">
        <f t="shared" si="105"/>
        <v>0</v>
      </c>
      <c r="V403" s="322">
        <f t="shared" si="106"/>
        <v>6936.8974530075957</v>
      </c>
      <c r="W403" s="322">
        <f t="shared" si="107"/>
        <v>6936.8974530075984</v>
      </c>
      <c r="X403" s="321">
        <f t="shared" si="108"/>
        <v>0</v>
      </c>
      <c r="Y403" s="322">
        <f t="shared" si="109"/>
        <v>6936.8974530075984</v>
      </c>
      <c r="Z403" s="322">
        <f t="shared" si="110"/>
        <v>6936.8974530075975</v>
      </c>
      <c r="AA403" s="323">
        <f t="shared" si="111"/>
        <v>6936.8974530075975</v>
      </c>
      <c r="AB403" s="323"/>
      <c r="AC403" s="323"/>
      <c r="AD403" s="323"/>
      <c r="AE403" s="323"/>
      <c r="AF403" s="324">
        <f t="shared" si="112"/>
        <v>3.9726110345820445E-5</v>
      </c>
      <c r="AG403" s="312"/>
      <c r="AH403" s="312"/>
      <c r="AI403" s="325">
        <f t="shared" si="113"/>
        <v>1</v>
      </c>
      <c r="AJ403" s="312"/>
      <c r="AK403" s="312"/>
      <c r="AL403" s="312"/>
      <c r="AM403" s="312"/>
      <c r="AN403" s="312"/>
      <c r="AO403" s="312"/>
      <c r="AP403" s="312"/>
      <c r="AQ403" s="312"/>
      <c r="AR403" s="312"/>
      <c r="AS403" s="312"/>
      <c r="AT403" s="312"/>
      <c r="AU403" s="312"/>
      <c r="AV403" s="312"/>
      <c r="AW403" s="312"/>
      <c r="AX403" s="312"/>
      <c r="AY403" s="312"/>
      <c r="AZ403" s="312"/>
      <c r="BA403" s="312"/>
      <c r="BB403" s="312"/>
      <c r="BC403" s="312"/>
      <c r="BD403" s="312"/>
      <c r="BE403" s="312"/>
      <c r="BF403" s="312"/>
      <c r="BG403" s="312"/>
      <c r="BH403" s="312"/>
      <c r="BI403" s="312"/>
      <c r="BJ403" s="312"/>
      <c r="BK403" s="312"/>
      <c r="BL403" s="312"/>
      <c r="BM403" s="312"/>
      <c r="BN403" s="312"/>
      <c r="BO403" s="312"/>
      <c r="BP403" s="312"/>
      <c r="BQ403" s="312"/>
      <c r="BR403" s="312"/>
      <c r="BS403" s="312"/>
      <c r="BT403" s="312"/>
      <c r="BU403" s="312"/>
      <c r="BV403" s="312"/>
      <c r="BW403" s="312"/>
      <c r="BX403" s="312"/>
      <c r="BY403" s="312"/>
      <c r="BZ403" s="312"/>
      <c r="CA403" s="312"/>
      <c r="CB403" s="312"/>
      <c r="CC403" s="312"/>
      <c r="CD403" s="312"/>
      <c r="CE403" s="312"/>
      <c r="CF403" s="312"/>
      <c r="CG403" s="312"/>
      <c r="CH403" s="312"/>
      <c r="CI403" s="312"/>
      <c r="CJ403" s="312"/>
      <c r="CK403" s="312"/>
      <c r="CL403" s="312"/>
      <c r="CM403" s="312"/>
      <c r="CN403" s="312"/>
      <c r="CO403" s="312"/>
      <c r="CP403" s="312"/>
      <c r="CQ403" s="312"/>
      <c r="CR403" s="312"/>
      <c r="CS403" s="312"/>
      <c r="CT403" s="312"/>
      <c r="CU403" s="312"/>
      <c r="CV403" s="312"/>
      <c r="CW403" s="312"/>
      <c r="CX403" s="312"/>
      <c r="CY403" s="312"/>
      <c r="CZ403" s="312"/>
      <c r="DA403" s="312"/>
      <c r="DB403" s="312"/>
      <c r="DC403" s="312"/>
      <c r="DD403" s="312"/>
      <c r="DE403" s="312"/>
      <c r="DF403" s="312"/>
      <c r="DG403" s="312"/>
      <c r="DH403" s="312"/>
      <c r="DI403" s="312"/>
      <c r="DJ403" s="312"/>
      <c r="DK403" s="312"/>
      <c r="DL403" s="312"/>
      <c r="DM403" s="312"/>
      <c r="DN403" s="312"/>
      <c r="DO403" s="312"/>
      <c r="DP403" s="312"/>
      <c r="DQ403" s="312"/>
      <c r="DR403" s="312"/>
      <c r="DS403" s="312"/>
      <c r="DT403" s="312"/>
      <c r="DU403" s="312"/>
      <c r="DV403" s="312"/>
      <c r="DW403" s="312"/>
      <c r="DX403" s="312"/>
      <c r="DY403" s="312"/>
      <c r="DZ403" s="312"/>
      <c r="EA403" s="312"/>
      <c r="EB403" s="312"/>
      <c r="EC403" s="312"/>
      <c r="ED403" s="312"/>
      <c r="EE403" s="312"/>
      <c r="EF403" s="312"/>
      <c r="EG403" s="312"/>
      <c r="EH403" s="312"/>
      <c r="EI403" s="312"/>
      <c r="EJ403" s="312"/>
      <c r="EK403" s="312"/>
      <c r="EL403" s="312"/>
      <c r="EM403" s="312"/>
      <c r="EN403" s="312"/>
      <c r="EO403" s="312"/>
      <c r="EP403" s="312"/>
      <c r="EQ403" s="312"/>
      <c r="ER403" s="312"/>
      <c r="ES403" s="312"/>
      <c r="ET403" s="312"/>
      <c r="EU403" s="312"/>
      <c r="EV403" s="312"/>
      <c r="EW403" s="312"/>
      <c r="EX403" s="312"/>
      <c r="EY403" s="312"/>
      <c r="EZ403" s="312"/>
      <c r="FA403" s="312"/>
      <c r="FB403" s="312"/>
      <c r="FC403" s="312"/>
      <c r="FD403" s="312"/>
      <c r="FE403" s="312"/>
      <c r="FF403" s="312"/>
      <c r="FG403" s="312"/>
      <c r="FH403" s="312"/>
      <c r="FI403" s="312"/>
      <c r="FJ403" s="312"/>
      <c r="FK403" s="312"/>
      <c r="FL403" s="312"/>
      <c r="FM403" s="312"/>
      <c r="FN403" s="312"/>
      <c r="FO403" s="312"/>
      <c r="FP403" s="312"/>
      <c r="FQ403" s="312"/>
      <c r="FR403" s="312"/>
      <c r="FS403" s="312"/>
      <c r="FT403" s="312"/>
      <c r="FU403" s="312"/>
      <c r="FV403" s="312"/>
      <c r="FW403" s="312"/>
      <c r="FX403" s="312"/>
      <c r="FY403" s="312"/>
      <c r="FZ403" s="312"/>
      <c r="GA403" s="312"/>
      <c r="GB403" s="312"/>
      <c r="GC403" s="312"/>
      <c r="GD403" s="312"/>
      <c r="GE403" s="312"/>
      <c r="GF403" s="312"/>
      <c r="GG403" s="312"/>
      <c r="GH403" s="312"/>
      <c r="GI403" s="312"/>
      <c r="GJ403" s="312"/>
      <c r="GK403" s="312"/>
      <c r="GL403" s="312"/>
      <c r="GM403" s="312"/>
      <c r="GN403" s="312"/>
      <c r="GO403" s="312"/>
      <c r="GP403" s="312"/>
      <c r="GQ403" s="312"/>
      <c r="GR403" s="312"/>
      <c r="GS403" s="312"/>
      <c r="GT403" s="312"/>
      <c r="GU403" s="312"/>
      <c r="GV403" s="312"/>
      <c r="GW403" s="312"/>
      <c r="GX403" s="312"/>
      <c r="GY403" s="312"/>
    </row>
    <row r="404" spans="2:207" ht="15.75" x14ac:dyDescent="0.25">
      <c r="B404" s="316">
        <f t="shared" si="96"/>
        <v>374</v>
      </c>
      <c r="C404" s="330">
        <f>'סיכום לוועדה'!B404</f>
        <v>1001349835</v>
      </c>
      <c r="D404" s="330">
        <f>'סיכום לוועדה'!C404</f>
        <v>1001272254</v>
      </c>
      <c r="E404" s="330">
        <f>'סיכום לוועדה'!D404</f>
        <v>40299606</v>
      </c>
      <c r="F404" s="330">
        <f>'סיכום לוועדה'!E404</f>
        <v>20000125</v>
      </c>
      <c r="G404" s="330" t="str">
        <f>'סיכום לוועדה'!F404</f>
        <v>חצור הגלילית</v>
      </c>
      <c r="H404" s="317" t="str">
        <f>'סיכום לוועדה'!G404</f>
        <v>אורות הגליל</v>
      </c>
      <c r="I404" s="318">
        <f>'סיכום לוועדה'!U404</f>
        <v>437670</v>
      </c>
      <c r="J404" s="319">
        <f>'סיכום לוועדה'!T404</f>
        <v>98872.99430413128</v>
      </c>
      <c r="K404" s="320">
        <f t="shared" si="97"/>
        <v>0</v>
      </c>
      <c r="L404" s="319">
        <f t="shared" si="98"/>
        <v>98872.99430413128</v>
      </c>
      <c r="M404" s="331">
        <f>'תחום תמיכה ב'!AF404</f>
        <v>6.2190235479558855E-4</v>
      </c>
      <c r="N404" s="319">
        <f t="shared" si="95"/>
        <v>109466.79738009068</v>
      </c>
      <c r="O404" s="321">
        <f t="shared" si="99"/>
        <v>0</v>
      </c>
      <c r="P404" s="322">
        <f t="shared" si="100"/>
        <v>109466.79738009068</v>
      </c>
      <c r="Q404" s="322">
        <f t="shared" si="101"/>
        <v>109516.64050402779</v>
      </c>
      <c r="R404" s="321">
        <f t="shared" si="102"/>
        <v>0</v>
      </c>
      <c r="S404" s="322">
        <f t="shared" si="103"/>
        <v>109516.64050402779</v>
      </c>
      <c r="T404" s="322">
        <f t="shared" si="104"/>
        <v>109516.64050402756</v>
      </c>
      <c r="U404" s="321">
        <f t="shared" si="105"/>
        <v>0</v>
      </c>
      <c r="V404" s="322">
        <f t="shared" si="106"/>
        <v>109516.64050402756</v>
      </c>
      <c r="W404" s="322">
        <f t="shared" si="107"/>
        <v>109516.6405040276</v>
      </c>
      <c r="X404" s="321">
        <f t="shared" si="108"/>
        <v>0</v>
      </c>
      <c r="Y404" s="322">
        <f t="shared" si="109"/>
        <v>109516.6405040276</v>
      </c>
      <c r="Z404" s="322">
        <f t="shared" si="110"/>
        <v>109516.64050402759</v>
      </c>
      <c r="AA404" s="323">
        <f t="shared" si="111"/>
        <v>109516.64050402759</v>
      </c>
      <c r="AB404" s="323"/>
      <c r="AC404" s="323"/>
      <c r="AD404" s="323"/>
      <c r="AE404" s="323"/>
      <c r="AF404" s="324">
        <f t="shared" si="112"/>
        <v>6.2717809724580108E-4</v>
      </c>
      <c r="AG404" s="312"/>
      <c r="AH404" s="312"/>
      <c r="AI404" s="325">
        <f t="shared" si="113"/>
        <v>1</v>
      </c>
      <c r="AJ404" s="312"/>
      <c r="AK404" s="312"/>
      <c r="AL404" s="312"/>
      <c r="AM404" s="312"/>
      <c r="AN404" s="312"/>
      <c r="AO404" s="312"/>
      <c r="AP404" s="312"/>
      <c r="AQ404" s="312"/>
      <c r="AR404" s="312"/>
      <c r="AS404" s="312"/>
      <c r="AT404" s="312"/>
      <c r="AU404" s="312"/>
      <c r="AV404" s="312"/>
      <c r="AW404" s="312"/>
      <c r="AX404" s="312"/>
      <c r="AY404" s="312"/>
      <c r="AZ404" s="312"/>
      <c r="BA404" s="312"/>
      <c r="BB404" s="312"/>
      <c r="BC404" s="312"/>
      <c r="BD404" s="312"/>
      <c r="BE404" s="312"/>
      <c r="BF404" s="312"/>
      <c r="BG404" s="312"/>
      <c r="BH404" s="312"/>
      <c r="BI404" s="312"/>
      <c r="BJ404" s="312"/>
      <c r="BK404" s="312"/>
      <c r="BL404" s="312"/>
      <c r="BM404" s="312"/>
      <c r="BN404" s="312"/>
      <c r="BO404" s="312"/>
      <c r="BP404" s="312"/>
      <c r="BQ404" s="312"/>
      <c r="BR404" s="312"/>
      <c r="BS404" s="312"/>
      <c r="BT404" s="312"/>
      <c r="BU404" s="312"/>
      <c r="BV404" s="312"/>
      <c r="BW404" s="312"/>
      <c r="BX404" s="312"/>
      <c r="BY404" s="312"/>
      <c r="BZ404" s="312"/>
      <c r="CA404" s="312"/>
      <c r="CB404" s="312"/>
      <c r="CC404" s="312"/>
      <c r="CD404" s="312"/>
      <c r="CE404" s="312"/>
      <c r="CF404" s="312"/>
      <c r="CG404" s="312"/>
      <c r="CH404" s="312"/>
      <c r="CI404" s="312"/>
      <c r="CJ404" s="312"/>
      <c r="CK404" s="312"/>
      <c r="CL404" s="312"/>
      <c r="CM404" s="312"/>
      <c r="CN404" s="312"/>
      <c r="CO404" s="312"/>
      <c r="CP404" s="312"/>
      <c r="CQ404" s="312"/>
      <c r="CR404" s="312"/>
      <c r="CS404" s="312"/>
      <c r="CT404" s="312"/>
      <c r="CU404" s="312"/>
      <c r="CV404" s="312"/>
      <c r="CW404" s="312"/>
      <c r="CX404" s="312"/>
      <c r="CY404" s="312"/>
      <c r="CZ404" s="312"/>
      <c r="DA404" s="312"/>
      <c r="DB404" s="312"/>
      <c r="DC404" s="312"/>
      <c r="DD404" s="312"/>
      <c r="DE404" s="312"/>
      <c r="DF404" s="312"/>
      <c r="DG404" s="312"/>
      <c r="DH404" s="312"/>
      <c r="DI404" s="312"/>
      <c r="DJ404" s="312"/>
      <c r="DK404" s="312"/>
      <c r="DL404" s="312"/>
      <c r="DM404" s="312"/>
      <c r="DN404" s="312"/>
      <c r="DO404" s="312"/>
      <c r="DP404" s="312"/>
      <c r="DQ404" s="312"/>
      <c r="DR404" s="312"/>
      <c r="DS404" s="312"/>
      <c r="DT404" s="312"/>
      <c r="DU404" s="312"/>
      <c r="DV404" s="312"/>
      <c r="DW404" s="312"/>
      <c r="DX404" s="312"/>
      <c r="DY404" s="312"/>
      <c r="DZ404" s="312"/>
      <c r="EA404" s="312"/>
      <c r="EB404" s="312"/>
      <c r="EC404" s="312"/>
      <c r="ED404" s="312"/>
      <c r="EE404" s="312"/>
      <c r="EF404" s="312"/>
      <c r="EG404" s="312"/>
      <c r="EH404" s="312"/>
      <c r="EI404" s="312"/>
      <c r="EJ404" s="312"/>
      <c r="EK404" s="312"/>
      <c r="EL404" s="312"/>
      <c r="EM404" s="312"/>
      <c r="EN404" s="312"/>
      <c r="EO404" s="312"/>
      <c r="EP404" s="312"/>
      <c r="EQ404" s="312"/>
      <c r="ER404" s="312"/>
      <c r="ES404" s="312"/>
      <c r="ET404" s="312"/>
      <c r="EU404" s="312"/>
      <c r="EV404" s="312"/>
      <c r="EW404" s="312"/>
      <c r="EX404" s="312"/>
      <c r="EY404" s="312"/>
      <c r="EZ404" s="312"/>
      <c r="FA404" s="312"/>
      <c r="FB404" s="312"/>
      <c r="FC404" s="312"/>
      <c r="FD404" s="312"/>
      <c r="FE404" s="312"/>
      <c r="FF404" s="312"/>
      <c r="FG404" s="312"/>
      <c r="FH404" s="312"/>
      <c r="FI404" s="312"/>
      <c r="FJ404" s="312"/>
      <c r="FK404" s="312"/>
      <c r="FL404" s="312"/>
      <c r="FM404" s="312"/>
      <c r="FN404" s="312"/>
      <c r="FO404" s="312"/>
      <c r="FP404" s="312"/>
      <c r="FQ404" s="312"/>
      <c r="FR404" s="312"/>
      <c r="FS404" s="312"/>
      <c r="FT404" s="312"/>
      <c r="FU404" s="312"/>
      <c r="FV404" s="312"/>
      <c r="FW404" s="312"/>
      <c r="FX404" s="312"/>
      <c r="FY404" s="312"/>
      <c r="FZ404" s="312"/>
      <c r="GA404" s="312"/>
      <c r="GB404" s="312"/>
      <c r="GC404" s="312"/>
      <c r="GD404" s="312"/>
      <c r="GE404" s="312"/>
      <c r="GF404" s="312"/>
      <c r="GG404" s="312"/>
      <c r="GH404" s="312"/>
      <c r="GI404" s="312"/>
      <c r="GJ404" s="312"/>
      <c r="GK404" s="312"/>
      <c r="GL404" s="312"/>
      <c r="GM404" s="312"/>
      <c r="GN404" s="312"/>
      <c r="GO404" s="312"/>
      <c r="GP404" s="312"/>
      <c r="GQ404" s="312"/>
      <c r="GR404" s="312"/>
      <c r="GS404" s="312"/>
      <c r="GT404" s="312"/>
      <c r="GU404" s="312"/>
      <c r="GV404" s="312"/>
      <c r="GW404" s="312"/>
      <c r="GX404" s="312"/>
      <c r="GY404" s="312"/>
    </row>
    <row r="405" spans="2:207" ht="15.75" x14ac:dyDescent="0.25">
      <c r="B405" s="316">
        <f t="shared" si="96"/>
        <v>375</v>
      </c>
      <c r="C405" s="330">
        <f>'סיכום לוועדה'!B405</f>
        <v>1001348945</v>
      </c>
      <c r="D405" s="330">
        <f>'סיכום לוועדה'!C405</f>
        <v>1001280733</v>
      </c>
      <c r="E405" s="330">
        <f>'סיכום לוועדה'!D405</f>
        <v>41349383</v>
      </c>
      <c r="F405" s="330">
        <f>'סיכום לוועדה'!E405</f>
        <v>20000231</v>
      </c>
      <c r="G405" s="330" t="str">
        <f>'סיכום לוועדה'!F405</f>
        <v>נצרת</v>
      </c>
      <c r="H405" s="317" t="str">
        <f>'סיכום לוועדה'!G405</f>
        <v>יאללא</v>
      </c>
      <c r="I405" s="318">
        <f>'סיכום לוועדה'!U405</f>
        <v>300000</v>
      </c>
      <c r="J405" s="319">
        <f>'סיכום לוועדה'!T405</f>
        <v>25500.680479089438</v>
      </c>
      <c r="K405" s="320">
        <f t="shared" si="97"/>
        <v>0</v>
      </c>
      <c r="L405" s="319">
        <f t="shared" si="98"/>
        <v>25500.680479089438</v>
      </c>
      <c r="M405" s="331">
        <f>'תחום תמיכה ב'!AF405</f>
        <v>1.5692172637768218E-4</v>
      </c>
      <c r="N405" s="319">
        <f t="shared" si="95"/>
        <v>28173.765497606786</v>
      </c>
      <c r="O405" s="321">
        <f t="shared" si="99"/>
        <v>0</v>
      </c>
      <c r="P405" s="322">
        <f t="shared" si="100"/>
        <v>28173.765497606786</v>
      </c>
      <c r="Q405" s="322">
        <f t="shared" si="101"/>
        <v>28186.593757125487</v>
      </c>
      <c r="R405" s="321">
        <f t="shared" si="102"/>
        <v>0</v>
      </c>
      <c r="S405" s="322">
        <f t="shared" si="103"/>
        <v>28186.593757125487</v>
      </c>
      <c r="T405" s="322">
        <f t="shared" si="104"/>
        <v>28186.593757125429</v>
      </c>
      <c r="U405" s="321">
        <f t="shared" si="105"/>
        <v>0</v>
      </c>
      <c r="V405" s="322">
        <f t="shared" si="106"/>
        <v>28186.593757125429</v>
      </c>
      <c r="W405" s="322">
        <f t="shared" si="107"/>
        <v>28186.593757125436</v>
      </c>
      <c r="X405" s="321">
        <f t="shared" si="108"/>
        <v>0</v>
      </c>
      <c r="Y405" s="322">
        <f t="shared" si="109"/>
        <v>28186.593757125436</v>
      </c>
      <c r="Z405" s="322">
        <f t="shared" si="110"/>
        <v>28186.593757125433</v>
      </c>
      <c r="AA405" s="323">
        <f t="shared" si="111"/>
        <v>28186.593757125433</v>
      </c>
      <c r="AB405" s="323"/>
      <c r="AC405" s="323"/>
      <c r="AD405" s="323"/>
      <c r="AE405" s="323"/>
      <c r="AF405" s="324">
        <f t="shared" si="112"/>
        <v>1.614185219622782E-4</v>
      </c>
      <c r="AG405" s="312"/>
      <c r="AH405" s="312"/>
      <c r="AI405" s="325">
        <f t="shared" si="113"/>
        <v>1</v>
      </c>
      <c r="AJ405" s="312"/>
      <c r="AK405" s="312"/>
      <c r="AL405" s="312"/>
      <c r="AM405" s="312"/>
      <c r="AN405" s="312"/>
      <c r="AO405" s="312"/>
      <c r="AP405" s="312"/>
      <c r="AQ405" s="312"/>
      <c r="AR405" s="312"/>
      <c r="AS405" s="312"/>
      <c r="AT405" s="312"/>
      <c r="AU405" s="312"/>
      <c r="AV405" s="312"/>
      <c r="AW405" s="312"/>
      <c r="AX405" s="312"/>
      <c r="AY405" s="312"/>
      <c r="AZ405" s="312"/>
      <c r="BA405" s="312"/>
      <c r="BB405" s="312"/>
      <c r="BC405" s="312"/>
      <c r="BD405" s="312"/>
      <c r="BE405" s="312"/>
      <c r="BF405" s="312"/>
      <c r="BG405" s="312"/>
      <c r="BH405" s="312"/>
      <c r="BI405" s="312"/>
      <c r="BJ405" s="312"/>
      <c r="BK405" s="312"/>
      <c r="BL405" s="312"/>
      <c r="BM405" s="312"/>
      <c r="BN405" s="312"/>
      <c r="BO405" s="312"/>
      <c r="BP405" s="312"/>
      <c r="BQ405" s="312"/>
      <c r="BR405" s="312"/>
      <c r="BS405" s="312"/>
      <c r="BT405" s="312"/>
      <c r="BU405" s="312"/>
      <c r="BV405" s="312"/>
      <c r="BW405" s="312"/>
      <c r="BX405" s="312"/>
      <c r="BY405" s="312"/>
      <c r="BZ405" s="312"/>
      <c r="CA405" s="312"/>
      <c r="CB405" s="312"/>
      <c r="CC405" s="312"/>
      <c r="CD405" s="312"/>
      <c r="CE405" s="312"/>
      <c r="CF405" s="312"/>
      <c r="CG405" s="312"/>
      <c r="CH405" s="312"/>
      <c r="CI405" s="312"/>
      <c r="CJ405" s="312"/>
      <c r="CK405" s="312"/>
      <c r="CL405" s="312"/>
      <c r="CM405" s="312"/>
      <c r="CN405" s="312"/>
      <c r="CO405" s="312"/>
      <c r="CP405" s="312"/>
      <c r="CQ405" s="312"/>
      <c r="CR405" s="312"/>
      <c r="CS405" s="312"/>
      <c r="CT405" s="312"/>
      <c r="CU405" s="312"/>
      <c r="CV405" s="312"/>
      <c r="CW405" s="312"/>
      <c r="CX405" s="312"/>
      <c r="CY405" s="312"/>
      <c r="CZ405" s="312"/>
      <c r="DA405" s="312"/>
      <c r="DB405" s="312"/>
      <c r="DC405" s="312"/>
      <c r="DD405" s="312"/>
      <c r="DE405" s="312"/>
      <c r="DF405" s="312"/>
      <c r="DG405" s="312"/>
      <c r="DH405" s="312"/>
      <c r="DI405" s="312"/>
      <c r="DJ405" s="312"/>
      <c r="DK405" s="312"/>
      <c r="DL405" s="312"/>
      <c r="DM405" s="312"/>
      <c r="DN405" s="312"/>
      <c r="DO405" s="312"/>
      <c r="DP405" s="312"/>
      <c r="DQ405" s="312"/>
      <c r="DR405" s="312"/>
      <c r="DS405" s="312"/>
      <c r="DT405" s="312"/>
      <c r="DU405" s="312"/>
      <c r="DV405" s="312"/>
      <c r="DW405" s="312"/>
      <c r="DX405" s="312"/>
      <c r="DY405" s="312"/>
      <c r="DZ405" s="312"/>
      <c r="EA405" s="312"/>
      <c r="EB405" s="312"/>
      <c r="EC405" s="312"/>
      <c r="ED405" s="312"/>
      <c r="EE405" s="312"/>
      <c r="EF405" s="312"/>
      <c r="EG405" s="312"/>
      <c r="EH405" s="312"/>
      <c r="EI405" s="312"/>
      <c r="EJ405" s="312"/>
      <c r="EK405" s="312"/>
      <c r="EL405" s="312"/>
      <c r="EM405" s="312"/>
      <c r="EN405" s="312"/>
      <c r="EO405" s="312"/>
      <c r="EP405" s="312"/>
      <c r="EQ405" s="312"/>
      <c r="ER405" s="312"/>
      <c r="ES405" s="312"/>
      <c r="ET405" s="312"/>
      <c r="EU405" s="312"/>
      <c r="EV405" s="312"/>
      <c r="EW405" s="312"/>
      <c r="EX405" s="312"/>
      <c r="EY405" s="312"/>
      <c r="EZ405" s="312"/>
      <c r="FA405" s="312"/>
      <c r="FB405" s="312"/>
      <c r="FC405" s="312"/>
      <c r="FD405" s="312"/>
      <c r="FE405" s="312"/>
      <c r="FF405" s="312"/>
      <c r="FG405" s="312"/>
      <c r="FH405" s="312"/>
      <c r="FI405" s="312"/>
      <c r="FJ405" s="312"/>
      <c r="FK405" s="312"/>
      <c r="FL405" s="312"/>
      <c r="FM405" s="312"/>
      <c r="FN405" s="312"/>
      <c r="FO405" s="312"/>
      <c r="FP405" s="312"/>
      <c r="FQ405" s="312"/>
      <c r="FR405" s="312"/>
      <c r="FS405" s="312"/>
      <c r="FT405" s="312"/>
      <c r="FU405" s="312"/>
      <c r="FV405" s="312"/>
      <c r="FW405" s="312"/>
      <c r="FX405" s="312"/>
      <c r="FY405" s="312"/>
      <c r="FZ405" s="312"/>
      <c r="GA405" s="312"/>
      <c r="GB405" s="312"/>
      <c r="GC405" s="312"/>
      <c r="GD405" s="312"/>
      <c r="GE405" s="312"/>
      <c r="GF405" s="312"/>
      <c r="GG405" s="312"/>
      <c r="GH405" s="312"/>
      <c r="GI405" s="312"/>
      <c r="GJ405" s="312"/>
      <c r="GK405" s="312"/>
      <c r="GL405" s="312"/>
      <c r="GM405" s="312"/>
      <c r="GN405" s="312"/>
      <c r="GO405" s="312"/>
      <c r="GP405" s="312"/>
      <c r="GQ405" s="312"/>
      <c r="GR405" s="312"/>
      <c r="GS405" s="312"/>
      <c r="GT405" s="312"/>
      <c r="GU405" s="312"/>
      <c r="GV405" s="312"/>
      <c r="GW405" s="312"/>
      <c r="GX405" s="312"/>
      <c r="GY405" s="312"/>
    </row>
    <row r="406" spans="2:207" ht="15.75" x14ac:dyDescent="0.25">
      <c r="B406" s="316">
        <f t="shared" si="96"/>
        <v>376</v>
      </c>
      <c r="C406" s="330">
        <f>'סיכום לוועדה'!B406</f>
        <v>1001348078</v>
      </c>
      <c r="D406" s="330">
        <f>'סיכום לוועדה'!C406</f>
        <v>1001302078</v>
      </c>
      <c r="E406" s="330">
        <f>'סיכום לוועדה'!D406</f>
        <v>40472081</v>
      </c>
      <c r="F406" s="330">
        <f>'סיכום לוועדה'!E406</f>
        <v>20000242</v>
      </c>
      <c r="G406" s="330" t="str">
        <f>'סיכום לוועדה'!F406</f>
        <v>פרדס חנה-כרכור</v>
      </c>
      <c r="H406" s="317" t="str">
        <f>'סיכום לוועדה'!G406</f>
        <v>הידית - מרכז ליצירה תיאטרונית אלטרנ</v>
      </c>
      <c r="I406" s="318">
        <f>'סיכום לוועדה'!U406</f>
        <v>300000</v>
      </c>
      <c r="J406" s="319">
        <f>'סיכום לוועדה'!T406</f>
        <v>32639.909890797586</v>
      </c>
      <c r="K406" s="320">
        <f t="shared" si="97"/>
        <v>0</v>
      </c>
      <c r="L406" s="319">
        <f t="shared" si="98"/>
        <v>32639.909890797586</v>
      </c>
      <c r="M406" s="331">
        <f>'תחום תמיכה ב'!AF406</f>
        <v>1.3559140631302997E-4</v>
      </c>
      <c r="N406" s="319">
        <f t="shared" si="95"/>
        <v>34949.64331791216</v>
      </c>
      <c r="O406" s="321">
        <f t="shared" si="99"/>
        <v>0</v>
      </c>
      <c r="P406" s="322">
        <f t="shared" si="100"/>
        <v>34949.64331791216</v>
      </c>
      <c r="Q406" s="322">
        <f t="shared" si="101"/>
        <v>34965.556813557829</v>
      </c>
      <c r="R406" s="321">
        <f t="shared" si="102"/>
        <v>0</v>
      </c>
      <c r="S406" s="322">
        <f t="shared" si="103"/>
        <v>34965.556813557829</v>
      </c>
      <c r="T406" s="322">
        <f t="shared" si="104"/>
        <v>34965.556813557763</v>
      </c>
      <c r="U406" s="321">
        <f t="shared" si="105"/>
        <v>0</v>
      </c>
      <c r="V406" s="322">
        <f t="shared" si="106"/>
        <v>34965.556813557763</v>
      </c>
      <c r="W406" s="322">
        <f t="shared" si="107"/>
        <v>34965.556813557778</v>
      </c>
      <c r="X406" s="321">
        <f t="shared" si="108"/>
        <v>0</v>
      </c>
      <c r="Y406" s="322">
        <f t="shared" si="109"/>
        <v>34965.556813557778</v>
      </c>
      <c r="Z406" s="322">
        <f t="shared" si="110"/>
        <v>34965.556813557771</v>
      </c>
      <c r="AA406" s="323">
        <f t="shared" si="111"/>
        <v>34965.556813557771</v>
      </c>
      <c r="AB406" s="323"/>
      <c r="AC406" s="323"/>
      <c r="AD406" s="323"/>
      <c r="AE406" s="323"/>
      <c r="AF406" s="324">
        <f t="shared" si="112"/>
        <v>2.002401762009914E-4</v>
      </c>
      <c r="AG406" s="312"/>
      <c r="AH406" s="312"/>
      <c r="AI406" s="325">
        <f t="shared" si="113"/>
        <v>1</v>
      </c>
      <c r="AJ406" s="312"/>
      <c r="AK406" s="312"/>
      <c r="AL406" s="312"/>
      <c r="AM406" s="312"/>
      <c r="AN406" s="312"/>
      <c r="AO406" s="312"/>
      <c r="AP406" s="312"/>
      <c r="AQ406" s="312"/>
      <c r="AR406" s="312"/>
      <c r="AS406" s="312"/>
      <c r="AT406" s="312"/>
      <c r="AU406" s="312"/>
      <c r="AV406" s="312"/>
      <c r="AW406" s="312"/>
      <c r="AX406" s="312"/>
      <c r="AY406" s="312"/>
      <c r="AZ406" s="312"/>
      <c r="BA406" s="312"/>
      <c r="BB406" s="312"/>
      <c r="BC406" s="312"/>
      <c r="BD406" s="312"/>
      <c r="BE406" s="312"/>
      <c r="BF406" s="312"/>
      <c r="BG406" s="312"/>
      <c r="BH406" s="312"/>
      <c r="BI406" s="312"/>
      <c r="BJ406" s="312"/>
      <c r="BK406" s="312"/>
      <c r="BL406" s="312"/>
      <c r="BM406" s="312"/>
      <c r="BN406" s="312"/>
      <c r="BO406" s="312"/>
      <c r="BP406" s="312"/>
      <c r="BQ406" s="312"/>
      <c r="BR406" s="312"/>
      <c r="BS406" s="312"/>
      <c r="BT406" s="312"/>
      <c r="BU406" s="312"/>
      <c r="BV406" s="312"/>
      <c r="BW406" s="312"/>
      <c r="BX406" s="312"/>
      <c r="BY406" s="312"/>
      <c r="BZ406" s="312"/>
      <c r="CA406" s="312"/>
      <c r="CB406" s="312"/>
      <c r="CC406" s="312"/>
      <c r="CD406" s="312"/>
      <c r="CE406" s="312"/>
      <c r="CF406" s="312"/>
      <c r="CG406" s="312"/>
      <c r="CH406" s="312"/>
      <c r="CI406" s="312"/>
      <c r="CJ406" s="312"/>
      <c r="CK406" s="312"/>
      <c r="CL406" s="312"/>
      <c r="CM406" s="312"/>
      <c r="CN406" s="312"/>
      <c r="CO406" s="312"/>
      <c r="CP406" s="312"/>
      <c r="CQ406" s="312"/>
      <c r="CR406" s="312"/>
      <c r="CS406" s="312"/>
      <c r="CT406" s="312"/>
      <c r="CU406" s="312"/>
      <c r="CV406" s="312"/>
      <c r="CW406" s="312"/>
      <c r="CX406" s="312"/>
      <c r="CY406" s="312"/>
      <c r="CZ406" s="312"/>
      <c r="DA406" s="312"/>
      <c r="DB406" s="312"/>
      <c r="DC406" s="312"/>
      <c r="DD406" s="312"/>
      <c r="DE406" s="312"/>
      <c r="DF406" s="312"/>
      <c r="DG406" s="312"/>
      <c r="DH406" s="312"/>
      <c r="DI406" s="312"/>
      <c r="DJ406" s="312"/>
      <c r="DK406" s="312"/>
      <c r="DL406" s="312"/>
      <c r="DM406" s="312"/>
      <c r="DN406" s="312"/>
      <c r="DO406" s="312"/>
      <c r="DP406" s="312"/>
      <c r="DQ406" s="312"/>
      <c r="DR406" s="312"/>
      <c r="DS406" s="312"/>
      <c r="DT406" s="312"/>
      <c r="DU406" s="312"/>
      <c r="DV406" s="312"/>
      <c r="DW406" s="312"/>
      <c r="DX406" s="312"/>
      <c r="DY406" s="312"/>
      <c r="DZ406" s="312"/>
      <c r="EA406" s="312"/>
      <c r="EB406" s="312"/>
      <c r="EC406" s="312"/>
      <c r="ED406" s="312"/>
      <c r="EE406" s="312"/>
      <c r="EF406" s="312"/>
      <c r="EG406" s="312"/>
      <c r="EH406" s="312"/>
      <c r="EI406" s="312"/>
      <c r="EJ406" s="312"/>
      <c r="EK406" s="312"/>
      <c r="EL406" s="312"/>
      <c r="EM406" s="312"/>
      <c r="EN406" s="312"/>
      <c r="EO406" s="312"/>
      <c r="EP406" s="312"/>
      <c r="EQ406" s="312"/>
      <c r="ER406" s="312"/>
      <c r="ES406" s="312"/>
      <c r="ET406" s="312"/>
      <c r="EU406" s="312"/>
      <c r="EV406" s="312"/>
      <c r="EW406" s="312"/>
      <c r="EX406" s="312"/>
      <c r="EY406" s="312"/>
      <c r="EZ406" s="312"/>
      <c r="FA406" s="312"/>
      <c r="FB406" s="312"/>
      <c r="FC406" s="312"/>
      <c r="FD406" s="312"/>
      <c r="FE406" s="312"/>
      <c r="FF406" s="312"/>
      <c r="FG406" s="312"/>
      <c r="FH406" s="312"/>
      <c r="FI406" s="312"/>
      <c r="FJ406" s="312"/>
      <c r="FK406" s="312"/>
      <c r="FL406" s="312"/>
      <c r="FM406" s="312"/>
      <c r="FN406" s="312"/>
      <c r="FO406" s="312"/>
      <c r="FP406" s="312"/>
      <c r="FQ406" s="312"/>
      <c r="FR406" s="312"/>
      <c r="FS406" s="312"/>
      <c r="FT406" s="312"/>
      <c r="FU406" s="312"/>
      <c r="FV406" s="312"/>
      <c r="FW406" s="312"/>
      <c r="FX406" s="312"/>
      <c r="FY406" s="312"/>
      <c r="FZ406" s="312"/>
      <c r="GA406" s="312"/>
      <c r="GB406" s="312"/>
      <c r="GC406" s="312"/>
      <c r="GD406" s="312"/>
      <c r="GE406" s="312"/>
      <c r="GF406" s="312"/>
      <c r="GG406" s="312"/>
      <c r="GH406" s="312"/>
      <c r="GI406" s="312"/>
      <c r="GJ406" s="312"/>
      <c r="GK406" s="312"/>
      <c r="GL406" s="312"/>
      <c r="GM406" s="312"/>
      <c r="GN406" s="312"/>
      <c r="GO406" s="312"/>
      <c r="GP406" s="312"/>
      <c r="GQ406" s="312"/>
      <c r="GR406" s="312"/>
      <c r="GS406" s="312"/>
      <c r="GT406" s="312"/>
      <c r="GU406" s="312"/>
      <c r="GV406" s="312"/>
      <c r="GW406" s="312"/>
      <c r="GX406" s="312"/>
      <c r="GY406" s="312"/>
    </row>
    <row r="407" spans="2:207" ht="15.75" x14ac:dyDescent="0.25">
      <c r="B407" s="316">
        <f t="shared" si="96"/>
        <v>377</v>
      </c>
      <c r="C407" s="330">
        <f>'סיכום לוועדה'!B407</f>
        <v>1001350994</v>
      </c>
      <c r="D407" s="330">
        <f>'סיכום לוועדה'!C407</f>
        <v>1001268790</v>
      </c>
      <c r="E407" s="330">
        <f>'סיכום לוועדה'!D407</f>
        <v>40000023</v>
      </c>
      <c r="F407" s="330">
        <f>'סיכום לוועדה'!E407</f>
        <v>20000201</v>
      </c>
      <c r="G407" s="330" t="str">
        <f>'סיכום לוועדה'!F407</f>
        <v>תל אביב -יפו</v>
      </c>
      <c r="H407" s="317" t="str">
        <f>'סיכום לוועדה'!G407</f>
        <v>קרן מוזיאון רובין</v>
      </c>
      <c r="I407" s="318">
        <f>'סיכום לוועדה'!U407</f>
        <v>400000</v>
      </c>
      <c r="J407" s="319">
        <f>'סיכום לוועדה'!T407</f>
        <v>145783.76330798387</v>
      </c>
      <c r="K407" s="320">
        <f t="shared" si="97"/>
        <v>0</v>
      </c>
      <c r="L407" s="319">
        <f t="shared" si="98"/>
        <v>145783.76330798387</v>
      </c>
      <c r="M407" s="331">
        <f>'תחום תמיכה ב'!AF407</f>
        <v>7.3454577315204821E-4</v>
      </c>
      <c r="N407" s="319">
        <f t="shared" si="95"/>
        <v>158296.39203666727</v>
      </c>
      <c r="O407" s="321">
        <f t="shared" si="99"/>
        <v>0</v>
      </c>
      <c r="P407" s="322">
        <f t="shared" si="100"/>
        <v>158296.39203666727</v>
      </c>
      <c r="Q407" s="322">
        <f t="shared" si="101"/>
        <v>158368.46856467318</v>
      </c>
      <c r="R407" s="321">
        <f t="shared" si="102"/>
        <v>0</v>
      </c>
      <c r="S407" s="322">
        <f t="shared" si="103"/>
        <v>158368.46856467318</v>
      </c>
      <c r="T407" s="322">
        <f t="shared" si="104"/>
        <v>158368.46856467286</v>
      </c>
      <c r="U407" s="321">
        <f t="shared" si="105"/>
        <v>0</v>
      </c>
      <c r="V407" s="322">
        <f t="shared" si="106"/>
        <v>158368.46856467286</v>
      </c>
      <c r="W407" s="322">
        <f t="shared" si="107"/>
        <v>158368.46856467292</v>
      </c>
      <c r="X407" s="321">
        <f t="shared" si="108"/>
        <v>0</v>
      </c>
      <c r="Y407" s="322">
        <f t="shared" si="109"/>
        <v>158368.46856467292</v>
      </c>
      <c r="Z407" s="322">
        <f t="shared" si="110"/>
        <v>158368.46856467289</v>
      </c>
      <c r="AA407" s="323">
        <f t="shared" si="111"/>
        <v>158368.46856467289</v>
      </c>
      <c r="AB407" s="323"/>
      <c r="AC407" s="323"/>
      <c r="AD407" s="323"/>
      <c r="AE407" s="323"/>
      <c r="AF407" s="324">
        <f t="shared" si="112"/>
        <v>9.0694194344347349E-4</v>
      </c>
      <c r="AG407" s="312"/>
      <c r="AH407" s="312"/>
      <c r="AI407" s="325">
        <f t="shared" si="113"/>
        <v>1</v>
      </c>
      <c r="AJ407" s="312"/>
      <c r="AK407" s="312"/>
      <c r="AL407" s="312"/>
      <c r="AM407" s="312"/>
      <c r="AN407" s="312"/>
      <c r="AO407" s="312"/>
      <c r="AP407" s="312"/>
      <c r="AQ407" s="312"/>
      <c r="AR407" s="312"/>
      <c r="AS407" s="312"/>
      <c r="AT407" s="312"/>
      <c r="AU407" s="312"/>
      <c r="AV407" s="312"/>
      <c r="AW407" s="312"/>
      <c r="AX407" s="312"/>
      <c r="AY407" s="312"/>
      <c r="AZ407" s="312"/>
      <c r="BA407" s="312"/>
      <c r="BB407" s="312"/>
      <c r="BC407" s="312"/>
      <c r="BD407" s="312"/>
      <c r="BE407" s="312"/>
      <c r="BF407" s="312"/>
      <c r="BG407" s="312"/>
      <c r="BH407" s="312"/>
      <c r="BI407" s="312"/>
      <c r="BJ407" s="312"/>
      <c r="BK407" s="312"/>
      <c r="BL407" s="312"/>
      <c r="BM407" s="312"/>
      <c r="BN407" s="312"/>
      <c r="BO407" s="312"/>
      <c r="BP407" s="312"/>
      <c r="BQ407" s="312"/>
      <c r="BR407" s="312"/>
      <c r="BS407" s="312"/>
      <c r="BT407" s="312"/>
      <c r="BU407" s="312"/>
      <c r="BV407" s="312"/>
      <c r="BW407" s="312"/>
      <c r="BX407" s="312"/>
      <c r="BY407" s="312"/>
      <c r="BZ407" s="312"/>
      <c r="CA407" s="312"/>
      <c r="CB407" s="312"/>
      <c r="CC407" s="312"/>
      <c r="CD407" s="312"/>
      <c r="CE407" s="312"/>
      <c r="CF407" s="312"/>
      <c r="CG407" s="312"/>
      <c r="CH407" s="312"/>
      <c r="CI407" s="312"/>
      <c r="CJ407" s="312"/>
      <c r="CK407" s="312"/>
      <c r="CL407" s="312"/>
      <c r="CM407" s="312"/>
      <c r="CN407" s="312"/>
      <c r="CO407" s="312"/>
      <c r="CP407" s="312"/>
      <c r="CQ407" s="312"/>
      <c r="CR407" s="312"/>
      <c r="CS407" s="312"/>
      <c r="CT407" s="312"/>
      <c r="CU407" s="312"/>
      <c r="CV407" s="312"/>
      <c r="CW407" s="312"/>
      <c r="CX407" s="312"/>
      <c r="CY407" s="312"/>
      <c r="CZ407" s="312"/>
      <c r="DA407" s="312"/>
      <c r="DB407" s="312"/>
      <c r="DC407" s="312"/>
      <c r="DD407" s="312"/>
      <c r="DE407" s="312"/>
      <c r="DF407" s="312"/>
      <c r="DG407" s="312"/>
      <c r="DH407" s="312"/>
      <c r="DI407" s="312"/>
      <c r="DJ407" s="312"/>
      <c r="DK407" s="312"/>
      <c r="DL407" s="312"/>
      <c r="DM407" s="312"/>
      <c r="DN407" s="312"/>
      <c r="DO407" s="312"/>
      <c r="DP407" s="312"/>
      <c r="DQ407" s="312"/>
      <c r="DR407" s="312"/>
      <c r="DS407" s="312"/>
      <c r="DT407" s="312"/>
      <c r="DU407" s="312"/>
      <c r="DV407" s="312"/>
      <c r="DW407" s="312"/>
      <c r="DX407" s="312"/>
      <c r="DY407" s="312"/>
      <c r="DZ407" s="312"/>
      <c r="EA407" s="312"/>
      <c r="EB407" s="312"/>
      <c r="EC407" s="312"/>
      <c r="ED407" s="312"/>
      <c r="EE407" s="312"/>
      <c r="EF407" s="312"/>
      <c r="EG407" s="312"/>
      <c r="EH407" s="312"/>
      <c r="EI407" s="312"/>
      <c r="EJ407" s="312"/>
      <c r="EK407" s="312"/>
      <c r="EL407" s="312"/>
      <c r="EM407" s="312"/>
      <c r="EN407" s="312"/>
      <c r="EO407" s="312"/>
      <c r="EP407" s="312"/>
      <c r="EQ407" s="312"/>
      <c r="ER407" s="312"/>
      <c r="ES407" s="312"/>
      <c r="ET407" s="312"/>
      <c r="EU407" s="312"/>
      <c r="EV407" s="312"/>
      <c r="EW407" s="312"/>
      <c r="EX407" s="312"/>
      <c r="EY407" s="312"/>
      <c r="EZ407" s="312"/>
      <c r="FA407" s="312"/>
      <c r="FB407" s="312"/>
      <c r="FC407" s="312"/>
      <c r="FD407" s="312"/>
      <c r="FE407" s="312"/>
      <c r="FF407" s="312"/>
      <c r="FG407" s="312"/>
      <c r="FH407" s="312"/>
      <c r="FI407" s="312"/>
      <c r="FJ407" s="312"/>
      <c r="FK407" s="312"/>
      <c r="FL407" s="312"/>
      <c r="FM407" s="312"/>
      <c r="FN407" s="312"/>
      <c r="FO407" s="312"/>
      <c r="FP407" s="312"/>
      <c r="FQ407" s="312"/>
      <c r="FR407" s="312"/>
      <c r="FS407" s="312"/>
      <c r="FT407" s="312"/>
      <c r="FU407" s="312"/>
      <c r="FV407" s="312"/>
      <c r="FW407" s="312"/>
      <c r="FX407" s="312"/>
      <c r="FY407" s="312"/>
      <c r="FZ407" s="312"/>
      <c r="GA407" s="312"/>
      <c r="GB407" s="312"/>
      <c r="GC407" s="312"/>
      <c r="GD407" s="312"/>
      <c r="GE407" s="312"/>
      <c r="GF407" s="312"/>
      <c r="GG407" s="312"/>
      <c r="GH407" s="312"/>
      <c r="GI407" s="312"/>
      <c r="GJ407" s="312"/>
      <c r="GK407" s="312"/>
      <c r="GL407" s="312"/>
      <c r="GM407" s="312"/>
      <c r="GN407" s="312"/>
      <c r="GO407" s="312"/>
      <c r="GP407" s="312"/>
      <c r="GQ407" s="312"/>
      <c r="GR407" s="312"/>
      <c r="GS407" s="312"/>
      <c r="GT407" s="312"/>
      <c r="GU407" s="312"/>
      <c r="GV407" s="312"/>
      <c r="GW407" s="312"/>
      <c r="GX407" s="312"/>
      <c r="GY407" s="312"/>
    </row>
    <row r="408" spans="2:207" ht="15.75" x14ac:dyDescent="0.25">
      <c r="B408" s="316" t="str">
        <f t="shared" si="96"/>
        <v/>
      </c>
      <c r="C408" s="330" t="str">
        <f>'סיכום לוועדה'!B408</f>
        <v/>
      </c>
      <c r="D408" s="330" t="str">
        <f>'סיכום לוועדה'!C408</f>
        <v/>
      </c>
      <c r="E408" s="330" t="str">
        <f>'סיכום לוועדה'!D408</f>
        <v/>
      </c>
      <c r="F408" s="330" t="str">
        <f>'סיכום לוועדה'!E408</f>
        <v/>
      </c>
      <c r="G408" s="330" t="str">
        <f>'סיכום לוועדה'!F408</f>
        <v/>
      </c>
      <c r="H408" s="317" t="str">
        <f>'סיכום לוועדה'!G408</f>
        <v/>
      </c>
      <c r="I408" s="318" t="str">
        <f>'סיכום לוועדה'!U408</f>
        <v/>
      </c>
      <c r="J408" s="319" t="str">
        <f>'סיכום לוועדה'!T408</f>
        <v/>
      </c>
      <c r="K408" s="320" t="str">
        <f t="shared" si="97"/>
        <v/>
      </c>
      <c r="L408" s="319" t="str">
        <f t="shared" si="98"/>
        <v/>
      </c>
      <c r="M408" s="331" t="str">
        <f>'תחום תמיכה ב'!AF408</f>
        <v/>
      </c>
      <c r="N408" s="319" t="str">
        <f t="shared" si="95"/>
        <v/>
      </c>
      <c r="O408" s="321">
        <f t="shared" si="99"/>
        <v>0</v>
      </c>
      <c r="P408" s="322" t="str">
        <f t="shared" si="100"/>
        <v/>
      </c>
      <c r="Q408" s="322" t="str">
        <f t="shared" si="101"/>
        <v/>
      </c>
      <c r="R408" s="321">
        <f t="shared" si="102"/>
        <v>0</v>
      </c>
      <c r="S408" s="322" t="str">
        <f t="shared" si="103"/>
        <v/>
      </c>
      <c r="T408" s="322" t="str">
        <f t="shared" si="104"/>
        <v/>
      </c>
      <c r="U408" s="321">
        <f t="shared" si="105"/>
        <v>0</v>
      </c>
      <c r="V408" s="322" t="str">
        <f t="shared" si="106"/>
        <v/>
      </c>
      <c r="W408" s="322" t="str">
        <f t="shared" si="107"/>
        <v/>
      </c>
      <c r="X408" s="321">
        <f t="shared" si="108"/>
        <v>0</v>
      </c>
      <c r="Y408" s="322" t="str">
        <f t="shared" si="109"/>
        <v/>
      </c>
      <c r="Z408" s="322" t="str">
        <f t="shared" si="110"/>
        <v/>
      </c>
      <c r="AA408" s="323" t="str">
        <f t="shared" si="111"/>
        <v/>
      </c>
      <c r="AB408" s="323"/>
      <c r="AC408" s="323"/>
      <c r="AD408" s="323"/>
      <c r="AE408" s="323"/>
      <c r="AF408" s="324" t="str">
        <f t="shared" si="112"/>
        <v/>
      </c>
      <c r="AG408" s="312"/>
      <c r="AH408" s="312"/>
      <c r="AI408" s="325">
        <f t="shared" si="113"/>
        <v>0</v>
      </c>
      <c r="AJ408" s="312"/>
      <c r="AK408" s="312"/>
      <c r="AL408" s="312"/>
      <c r="AM408" s="312"/>
      <c r="AN408" s="312"/>
      <c r="AO408" s="312"/>
      <c r="AP408" s="312"/>
      <c r="AQ408" s="312"/>
      <c r="AR408" s="312"/>
      <c r="AS408" s="312"/>
      <c r="AT408" s="312"/>
      <c r="AU408" s="312"/>
      <c r="AV408" s="312"/>
      <c r="AW408" s="312"/>
      <c r="AX408" s="312"/>
      <c r="AY408" s="312"/>
      <c r="AZ408" s="312"/>
      <c r="BA408" s="312"/>
      <c r="BB408" s="312"/>
      <c r="BC408" s="312"/>
      <c r="BD408" s="312"/>
      <c r="BE408" s="312"/>
      <c r="BF408" s="312"/>
      <c r="BG408" s="312"/>
      <c r="BH408" s="312"/>
      <c r="BI408" s="312"/>
      <c r="BJ408" s="312"/>
      <c r="BK408" s="312"/>
      <c r="BL408" s="312"/>
      <c r="BM408" s="312"/>
      <c r="BN408" s="312"/>
      <c r="BO408" s="312"/>
      <c r="BP408" s="312"/>
      <c r="BQ408" s="312"/>
      <c r="BR408" s="312"/>
      <c r="BS408" s="312"/>
      <c r="BT408" s="312"/>
      <c r="BU408" s="312"/>
      <c r="BV408" s="312"/>
      <c r="BW408" s="312"/>
      <c r="BX408" s="312"/>
      <c r="BY408" s="312"/>
      <c r="BZ408" s="312"/>
      <c r="CA408" s="312"/>
      <c r="CB408" s="312"/>
      <c r="CC408" s="312"/>
      <c r="CD408" s="312"/>
      <c r="CE408" s="312"/>
      <c r="CF408" s="312"/>
      <c r="CG408" s="312"/>
      <c r="CH408" s="312"/>
      <c r="CI408" s="312"/>
      <c r="CJ408" s="312"/>
      <c r="CK408" s="312"/>
      <c r="CL408" s="312"/>
      <c r="CM408" s="312"/>
      <c r="CN408" s="312"/>
      <c r="CO408" s="312"/>
      <c r="CP408" s="312"/>
      <c r="CQ408" s="312"/>
      <c r="CR408" s="312"/>
      <c r="CS408" s="312"/>
      <c r="CT408" s="312"/>
      <c r="CU408" s="312"/>
      <c r="CV408" s="312"/>
      <c r="CW408" s="312"/>
      <c r="CX408" s="312"/>
      <c r="CY408" s="312"/>
      <c r="CZ408" s="312"/>
      <c r="DA408" s="312"/>
      <c r="DB408" s="312"/>
      <c r="DC408" s="312"/>
      <c r="DD408" s="312"/>
      <c r="DE408" s="312"/>
      <c r="DF408" s="312"/>
      <c r="DG408" s="312"/>
      <c r="DH408" s="312"/>
      <c r="DI408" s="312"/>
      <c r="DJ408" s="312"/>
      <c r="DK408" s="312"/>
      <c r="DL408" s="312"/>
      <c r="DM408" s="312"/>
      <c r="DN408" s="312"/>
      <c r="DO408" s="312"/>
      <c r="DP408" s="312"/>
      <c r="DQ408" s="312"/>
      <c r="DR408" s="312"/>
      <c r="DS408" s="312"/>
      <c r="DT408" s="312"/>
      <c r="DU408" s="312"/>
      <c r="DV408" s="312"/>
      <c r="DW408" s="312"/>
      <c r="DX408" s="312"/>
      <c r="DY408" s="312"/>
      <c r="DZ408" s="312"/>
      <c r="EA408" s="312"/>
      <c r="EB408" s="312"/>
      <c r="EC408" s="312"/>
      <c r="ED408" s="312"/>
      <c r="EE408" s="312"/>
      <c r="EF408" s="312"/>
      <c r="EG408" s="312"/>
      <c r="EH408" s="312"/>
      <c r="EI408" s="312"/>
      <c r="EJ408" s="312"/>
      <c r="EK408" s="312"/>
      <c r="EL408" s="312"/>
      <c r="EM408" s="312"/>
      <c r="EN408" s="312"/>
      <c r="EO408" s="312"/>
      <c r="EP408" s="312"/>
      <c r="EQ408" s="312"/>
      <c r="ER408" s="312"/>
      <c r="ES408" s="312"/>
      <c r="ET408" s="312"/>
      <c r="EU408" s="312"/>
      <c r="EV408" s="312"/>
      <c r="EW408" s="312"/>
      <c r="EX408" s="312"/>
      <c r="EY408" s="312"/>
      <c r="EZ408" s="312"/>
      <c r="FA408" s="312"/>
      <c r="FB408" s="312"/>
      <c r="FC408" s="312"/>
      <c r="FD408" s="312"/>
      <c r="FE408" s="312"/>
      <c r="FF408" s="312"/>
      <c r="FG408" s="312"/>
      <c r="FH408" s="312"/>
      <c r="FI408" s="312"/>
      <c r="FJ408" s="312"/>
      <c r="FK408" s="312"/>
      <c r="FL408" s="312"/>
      <c r="FM408" s="312"/>
      <c r="FN408" s="312"/>
      <c r="FO408" s="312"/>
      <c r="FP408" s="312"/>
      <c r="FQ408" s="312"/>
      <c r="FR408" s="312"/>
      <c r="FS408" s="312"/>
      <c r="FT408" s="312"/>
      <c r="FU408" s="312"/>
      <c r="FV408" s="312"/>
      <c r="FW408" s="312"/>
      <c r="FX408" s="312"/>
      <c r="FY408" s="312"/>
      <c r="FZ408" s="312"/>
      <c r="GA408" s="312"/>
      <c r="GB408" s="312"/>
      <c r="GC408" s="312"/>
      <c r="GD408" s="312"/>
      <c r="GE408" s="312"/>
      <c r="GF408" s="312"/>
      <c r="GG408" s="312"/>
      <c r="GH408" s="312"/>
      <c r="GI408" s="312"/>
      <c r="GJ408" s="312"/>
      <c r="GK408" s="312"/>
      <c r="GL408" s="312"/>
      <c r="GM408" s="312"/>
      <c r="GN408" s="312"/>
      <c r="GO408" s="312"/>
      <c r="GP408" s="312"/>
      <c r="GQ408" s="312"/>
      <c r="GR408" s="312"/>
      <c r="GS408" s="312"/>
      <c r="GT408" s="312"/>
      <c r="GU408" s="312"/>
      <c r="GV408" s="312"/>
      <c r="GW408" s="312"/>
      <c r="GX408" s="312"/>
      <c r="GY408" s="312"/>
    </row>
    <row r="409" spans="2:207" ht="15.75" x14ac:dyDescent="0.25">
      <c r="B409" s="316" t="str">
        <f t="shared" si="96"/>
        <v/>
      </c>
      <c r="C409" s="330" t="str">
        <f>'סיכום לוועדה'!B409</f>
        <v/>
      </c>
      <c r="D409" s="330" t="str">
        <f>'סיכום לוועדה'!C409</f>
        <v/>
      </c>
      <c r="E409" s="330" t="str">
        <f>'סיכום לוועדה'!D409</f>
        <v/>
      </c>
      <c r="F409" s="330" t="str">
        <f>'סיכום לוועדה'!E409</f>
        <v/>
      </c>
      <c r="G409" s="330" t="str">
        <f>'סיכום לוועדה'!F409</f>
        <v/>
      </c>
      <c r="H409" s="317" t="str">
        <f>'סיכום לוועדה'!G409</f>
        <v/>
      </c>
      <c r="I409" s="318" t="str">
        <f>'סיכום לוועדה'!U409</f>
        <v/>
      </c>
      <c r="J409" s="319" t="str">
        <f>'סיכום לוועדה'!T409</f>
        <v/>
      </c>
      <c r="K409" s="320" t="str">
        <f t="shared" si="97"/>
        <v/>
      </c>
      <c r="L409" s="319" t="str">
        <f t="shared" si="98"/>
        <v/>
      </c>
      <c r="M409" s="331" t="str">
        <f>'תחום תמיכה ב'!AF409</f>
        <v/>
      </c>
      <c r="N409" s="319" t="str">
        <f t="shared" si="95"/>
        <v/>
      </c>
      <c r="O409" s="321">
        <f t="shared" si="99"/>
        <v>0</v>
      </c>
      <c r="P409" s="322" t="str">
        <f t="shared" si="100"/>
        <v/>
      </c>
      <c r="Q409" s="322" t="str">
        <f t="shared" si="101"/>
        <v/>
      </c>
      <c r="R409" s="321">
        <f t="shared" si="102"/>
        <v>0</v>
      </c>
      <c r="S409" s="322" t="str">
        <f t="shared" si="103"/>
        <v/>
      </c>
      <c r="T409" s="322" t="str">
        <f t="shared" si="104"/>
        <v/>
      </c>
      <c r="U409" s="321">
        <f t="shared" si="105"/>
        <v>0</v>
      </c>
      <c r="V409" s="322" t="str">
        <f t="shared" si="106"/>
        <v/>
      </c>
      <c r="W409" s="322" t="str">
        <f t="shared" si="107"/>
        <v/>
      </c>
      <c r="X409" s="321">
        <f t="shared" si="108"/>
        <v>0</v>
      </c>
      <c r="Y409" s="322" t="str">
        <f t="shared" si="109"/>
        <v/>
      </c>
      <c r="Z409" s="322" t="str">
        <f t="shared" si="110"/>
        <v/>
      </c>
      <c r="AA409" s="323" t="str">
        <f t="shared" si="111"/>
        <v/>
      </c>
      <c r="AB409" s="323"/>
      <c r="AC409" s="323"/>
      <c r="AD409" s="323"/>
      <c r="AE409" s="323"/>
      <c r="AF409" s="324" t="str">
        <f t="shared" si="112"/>
        <v/>
      </c>
      <c r="AG409" s="312"/>
      <c r="AH409" s="312"/>
      <c r="AI409" s="325">
        <f t="shared" si="113"/>
        <v>0</v>
      </c>
      <c r="AJ409" s="312"/>
      <c r="AK409" s="312"/>
      <c r="AL409" s="312"/>
      <c r="AM409" s="312"/>
      <c r="AN409" s="312"/>
      <c r="AO409" s="312"/>
      <c r="AP409" s="312"/>
      <c r="AQ409" s="312"/>
      <c r="AR409" s="312"/>
      <c r="AS409" s="312"/>
      <c r="AT409" s="312"/>
      <c r="AU409" s="312"/>
      <c r="AV409" s="312"/>
      <c r="AW409" s="312"/>
      <c r="AX409" s="312"/>
      <c r="AY409" s="312"/>
      <c r="AZ409" s="312"/>
      <c r="BA409" s="312"/>
      <c r="BB409" s="312"/>
      <c r="BC409" s="312"/>
      <c r="BD409" s="312"/>
      <c r="BE409" s="312"/>
      <c r="BF409" s="312"/>
      <c r="BG409" s="312"/>
      <c r="BH409" s="312"/>
      <c r="BI409" s="312"/>
      <c r="BJ409" s="312"/>
      <c r="BK409" s="312"/>
      <c r="BL409" s="312"/>
      <c r="BM409" s="312"/>
      <c r="BN409" s="312"/>
      <c r="BO409" s="312"/>
      <c r="BP409" s="312"/>
      <c r="BQ409" s="312"/>
      <c r="BR409" s="312"/>
      <c r="BS409" s="312"/>
      <c r="BT409" s="312"/>
      <c r="BU409" s="312"/>
      <c r="BV409" s="312"/>
      <c r="BW409" s="312"/>
      <c r="BX409" s="312"/>
      <c r="BY409" s="312"/>
      <c r="BZ409" s="312"/>
      <c r="CA409" s="312"/>
      <c r="CB409" s="312"/>
      <c r="CC409" s="312"/>
      <c r="CD409" s="312"/>
      <c r="CE409" s="312"/>
      <c r="CF409" s="312"/>
      <c r="CG409" s="312"/>
      <c r="CH409" s="312"/>
      <c r="CI409" s="312"/>
      <c r="CJ409" s="312"/>
      <c r="CK409" s="312"/>
      <c r="CL409" s="312"/>
      <c r="CM409" s="312"/>
      <c r="CN409" s="312"/>
      <c r="CO409" s="312"/>
      <c r="CP409" s="312"/>
      <c r="CQ409" s="312"/>
      <c r="CR409" s="312"/>
      <c r="CS409" s="312"/>
      <c r="CT409" s="312"/>
      <c r="CU409" s="312"/>
      <c r="CV409" s="312"/>
      <c r="CW409" s="312"/>
      <c r="CX409" s="312"/>
      <c r="CY409" s="312"/>
      <c r="CZ409" s="312"/>
      <c r="DA409" s="312"/>
      <c r="DB409" s="312"/>
      <c r="DC409" s="312"/>
      <c r="DD409" s="312"/>
      <c r="DE409" s="312"/>
      <c r="DF409" s="312"/>
      <c r="DG409" s="312"/>
      <c r="DH409" s="312"/>
      <c r="DI409" s="312"/>
      <c r="DJ409" s="312"/>
      <c r="DK409" s="312"/>
      <c r="DL409" s="312"/>
      <c r="DM409" s="312"/>
      <c r="DN409" s="312"/>
      <c r="DO409" s="312"/>
      <c r="DP409" s="312"/>
      <c r="DQ409" s="312"/>
      <c r="DR409" s="312"/>
      <c r="DS409" s="312"/>
      <c r="DT409" s="312"/>
      <c r="DU409" s="312"/>
      <c r="DV409" s="312"/>
      <c r="DW409" s="312"/>
      <c r="DX409" s="312"/>
      <c r="DY409" s="312"/>
      <c r="DZ409" s="312"/>
      <c r="EA409" s="312"/>
      <c r="EB409" s="312"/>
      <c r="EC409" s="312"/>
      <c r="ED409" s="312"/>
      <c r="EE409" s="312"/>
      <c r="EF409" s="312"/>
      <c r="EG409" s="312"/>
      <c r="EH409" s="312"/>
      <c r="EI409" s="312"/>
      <c r="EJ409" s="312"/>
      <c r="EK409" s="312"/>
      <c r="EL409" s="312"/>
      <c r="EM409" s="312"/>
      <c r="EN409" s="312"/>
      <c r="EO409" s="312"/>
      <c r="EP409" s="312"/>
      <c r="EQ409" s="312"/>
      <c r="ER409" s="312"/>
      <c r="ES409" s="312"/>
      <c r="ET409" s="312"/>
      <c r="EU409" s="312"/>
      <c r="EV409" s="312"/>
      <c r="EW409" s="312"/>
      <c r="EX409" s="312"/>
      <c r="EY409" s="312"/>
      <c r="EZ409" s="312"/>
      <c r="FA409" s="312"/>
      <c r="FB409" s="312"/>
      <c r="FC409" s="312"/>
      <c r="FD409" s="312"/>
      <c r="FE409" s="312"/>
      <c r="FF409" s="312"/>
      <c r="FG409" s="312"/>
      <c r="FH409" s="312"/>
      <c r="FI409" s="312"/>
      <c r="FJ409" s="312"/>
      <c r="FK409" s="312"/>
      <c r="FL409" s="312"/>
      <c r="FM409" s="312"/>
      <c r="FN409" s="312"/>
      <c r="FO409" s="312"/>
      <c r="FP409" s="312"/>
      <c r="FQ409" s="312"/>
      <c r="FR409" s="312"/>
      <c r="FS409" s="312"/>
      <c r="FT409" s="312"/>
      <c r="FU409" s="312"/>
      <c r="FV409" s="312"/>
      <c r="FW409" s="312"/>
      <c r="FX409" s="312"/>
      <c r="FY409" s="312"/>
      <c r="FZ409" s="312"/>
      <c r="GA409" s="312"/>
      <c r="GB409" s="312"/>
      <c r="GC409" s="312"/>
      <c r="GD409" s="312"/>
      <c r="GE409" s="312"/>
      <c r="GF409" s="312"/>
      <c r="GG409" s="312"/>
      <c r="GH409" s="312"/>
      <c r="GI409" s="312"/>
      <c r="GJ409" s="312"/>
      <c r="GK409" s="312"/>
      <c r="GL409" s="312"/>
      <c r="GM409" s="312"/>
      <c r="GN409" s="312"/>
      <c r="GO409" s="312"/>
      <c r="GP409" s="312"/>
      <c r="GQ409" s="312"/>
      <c r="GR409" s="312"/>
      <c r="GS409" s="312"/>
      <c r="GT409" s="312"/>
      <c r="GU409" s="312"/>
      <c r="GV409" s="312"/>
      <c r="GW409" s="312"/>
      <c r="GX409" s="312"/>
      <c r="GY409" s="312"/>
    </row>
    <row r="410" spans="2:207" ht="15.75" x14ac:dyDescent="0.25">
      <c r="B410" s="316" t="str">
        <f t="shared" si="96"/>
        <v/>
      </c>
      <c r="C410" s="330" t="str">
        <f>'סיכום לוועדה'!B410</f>
        <v/>
      </c>
      <c r="D410" s="330" t="str">
        <f>'סיכום לוועדה'!C410</f>
        <v/>
      </c>
      <c r="E410" s="330" t="str">
        <f>'סיכום לוועדה'!D410</f>
        <v/>
      </c>
      <c r="F410" s="330" t="str">
        <f>'סיכום לוועדה'!E410</f>
        <v/>
      </c>
      <c r="G410" s="330" t="str">
        <f>'סיכום לוועדה'!F410</f>
        <v/>
      </c>
      <c r="H410" s="317" t="str">
        <f>'סיכום לוועדה'!G410</f>
        <v/>
      </c>
      <c r="I410" s="318" t="str">
        <f>'סיכום לוועדה'!U410</f>
        <v/>
      </c>
      <c r="J410" s="319" t="str">
        <f>'סיכום לוועדה'!T410</f>
        <v/>
      </c>
      <c r="K410" s="320" t="str">
        <f t="shared" si="97"/>
        <v/>
      </c>
      <c r="L410" s="319" t="str">
        <f t="shared" si="98"/>
        <v/>
      </c>
      <c r="M410" s="331" t="str">
        <f>'תחום תמיכה ב'!AF410</f>
        <v/>
      </c>
      <c r="N410" s="319" t="str">
        <f t="shared" si="95"/>
        <v/>
      </c>
      <c r="O410" s="321">
        <f t="shared" si="99"/>
        <v>0</v>
      </c>
      <c r="P410" s="322" t="str">
        <f t="shared" si="100"/>
        <v/>
      </c>
      <c r="Q410" s="322" t="str">
        <f t="shared" si="101"/>
        <v/>
      </c>
      <c r="R410" s="321">
        <f t="shared" si="102"/>
        <v>0</v>
      </c>
      <c r="S410" s="322" t="str">
        <f t="shared" si="103"/>
        <v/>
      </c>
      <c r="T410" s="322" t="str">
        <f t="shared" si="104"/>
        <v/>
      </c>
      <c r="U410" s="321">
        <f t="shared" si="105"/>
        <v>0</v>
      </c>
      <c r="V410" s="322" t="str">
        <f t="shared" si="106"/>
        <v/>
      </c>
      <c r="W410" s="322" t="str">
        <f t="shared" si="107"/>
        <v/>
      </c>
      <c r="X410" s="321">
        <f t="shared" si="108"/>
        <v>0</v>
      </c>
      <c r="Y410" s="322" t="str">
        <f t="shared" si="109"/>
        <v/>
      </c>
      <c r="Z410" s="322" t="str">
        <f t="shared" si="110"/>
        <v/>
      </c>
      <c r="AA410" s="323" t="str">
        <f t="shared" si="111"/>
        <v/>
      </c>
      <c r="AB410" s="323"/>
      <c r="AC410" s="323"/>
      <c r="AD410" s="323"/>
      <c r="AE410" s="323"/>
      <c r="AF410" s="324" t="str">
        <f t="shared" si="112"/>
        <v/>
      </c>
      <c r="AG410" s="312"/>
      <c r="AH410" s="312"/>
      <c r="AI410" s="325">
        <f t="shared" si="113"/>
        <v>0</v>
      </c>
      <c r="AJ410" s="312"/>
      <c r="AK410" s="312"/>
      <c r="AL410" s="312"/>
      <c r="AM410" s="312"/>
      <c r="AN410" s="312"/>
      <c r="AO410" s="312"/>
      <c r="AP410" s="312"/>
      <c r="AQ410" s="312"/>
      <c r="AR410" s="312"/>
      <c r="AS410" s="312"/>
      <c r="AT410" s="312"/>
      <c r="AU410" s="312"/>
      <c r="AV410" s="312"/>
      <c r="AW410" s="312"/>
      <c r="AX410" s="312"/>
      <c r="AY410" s="312"/>
      <c r="AZ410" s="312"/>
      <c r="BA410" s="312"/>
      <c r="BB410" s="312"/>
      <c r="BC410" s="312"/>
      <c r="BD410" s="312"/>
      <c r="BE410" s="312"/>
      <c r="BF410" s="312"/>
      <c r="BG410" s="312"/>
      <c r="BH410" s="312"/>
      <c r="BI410" s="312"/>
      <c r="BJ410" s="312"/>
      <c r="BK410" s="312"/>
      <c r="BL410" s="312"/>
      <c r="BM410" s="312"/>
      <c r="BN410" s="312"/>
      <c r="BO410" s="312"/>
      <c r="BP410" s="312"/>
      <c r="BQ410" s="312"/>
      <c r="BR410" s="312"/>
      <c r="BS410" s="312"/>
      <c r="BT410" s="312"/>
      <c r="BU410" s="312"/>
      <c r="BV410" s="312"/>
      <c r="BW410" s="312"/>
      <c r="BX410" s="312"/>
      <c r="BY410" s="312"/>
      <c r="BZ410" s="312"/>
      <c r="CA410" s="312"/>
      <c r="CB410" s="312"/>
      <c r="CC410" s="312"/>
      <c r="CD410" s="312"/>
      <c r="CE410" s="312"/>
      <c r="CF410" s="312"/>
      <c r="CG410" s="312"/>
      <c r="CH410" s="312"/>
      <c r="CI410" s="312"/>
      <c r="CJ410" s="312"/>
      <c r="CK410" s="312"/>
      <c r="CL410" s="312"/>
      <c r="CM410" s="312"/>
      <c r="CN410" s="312"/>
      <c r="CO410" s="312"/>
      <c r="CP410" s="312"/>
      <c r="CQ410" s="312"/>
      <c r="CR410" s="312"/>
      <c r="CS410" s="312"/>
      <c r="CT410" s="312"/>
      <c r="CU410" s="312"/>
      <c r="CV410" s="312"/>
      <c r="CW410" s="312"/>
      <c r="CX410" s="312"/>
      <c r="CY410" s="312"/>
      <c r="CZ410" s="312"/>
      <c r="DA410" s="312"/>
      <c r="DB410" s="312"/>
      <c r="DC410" s="312"/>
      <c r="DD410" s="312"/>
      <c r="DE410" s="312"/>
      <c r="DF410" s="312"/>
      <c r="DG410" s="312"/>
      <c r="DH410" s="312"/>
      <c r="DI410" s="312"/>
      <c r="DJ410" s="312"/>
      <c r="DK410" s="312"/>
      <c r="DL410" s="312"/>
      <c r="DM410" s="312"/>
      <c r="DN410" s="312"/>
      <c r="DO410" s="312"/>
      <c r="DP410" s="312"/>
      <c r="DQ410" s="312"/>
      <c r="DR410" s="312"/>
      <c r="DS410" s="312"/>
      <c r="DT410" s="312"/>
      <c r="DU410" s="312"/>
      <c r="DV410" s="312"/>
      <c r="DW410" s="312"/>
      <c r="DX410" s="312"/>
      <c r="DY410" s="312"/>
      <c r="DZ410" s="312"/>
      <c r="EA410" s="312"/>
      <c r="EB410" s="312"/>
      <c r="EC410" s="312"/>
      <c r="ED410" s="312"/>
      <c r="EE410" s="312"/>
      <c r="EF410" s="312"/>
      <c r="EG410" s="312"/>
      <c r="EH410" s="312"/>
      <c r="EI410" s="312"/>
      <c r="EJ410" s="312"/>
      <c r="EK410" s="312"/>
      <c r="EL410" s="312"/>
      <c r="EM410" s="312"/>
      <c r="EN410" s="312"/>
      <c r="EO410" s="312"/>
      <c r="EP410" s="312"/>
      <c r="EQ410" s="312"/>
      <c r="ER410" s="312"/>
      <c r="ES410" s="312"/>
      <c r="ET410" s="312"/>
      <c r="EU410" s="312"/>
      <c r="EV410" s="312"/>
      <c r="EW410" s="312"/>
      <c r="EX410" s="312"/>
      <c r="EY410" s="312"/>
      <c r="EZ410" s="312"/>
      <c r="FA410" s="312"/>
      <c r="FB410" s="312"/>
      <c r="FC410" s="312"/>
      <c r="FD410" s="312"/>
      <c r="FE410" s="312"/>
      <c r="FF410" s="312"/>
      <c r="FG410" s="312"/>
      <c r="FH410" s="312"/>
      <c r="FI410" s="312"/>
      <c r="FJ410" s="312"/>
      <c r="FK410" s="312"/>
      <c r="FL410" s="312"/>
      <c r="FM410" s="312"/>
      <c r="FN410" s="312"/>
      <c r="FO410" s="312"/>
      <c r="FP410" s="312"/>
      <c r="FQ410" s="312"/>
      <c r="FR410" s="312"/>
      <c r="FS410" s="312"/>
      <c r="FT410" s="312"/>
      <c r="FU410" s="312"/>
      <c r="FV410" s="312"/>
      <c r="FW410" s="312"/>
      <c r="FX410" s="312"/>
      <c r="FY410" s="312"/>
      <c r="FZ410" s="312"/>
      <c r="GA410" s="312"/>
      <c r="GB410" s="312"/>
      <c r="GC410" s="312"/>
      <c r="GD410" s="312"/>
      <c r="GE410" s="312"/>
      <c r="GF410" s="312"/>
      <c r="GG410" s="312"/>
      <c r="GH410" s="312"/>
      <c r="GI410" s="312"/>
      <c r="GJ410" s="312"/>
      <c r="GK410" s="312"/>
      <c r="GL410" s="312"/>
      <c r="GM410" s="312"/>
      <c r="GN410" s="312"/>
      <c r="GO410" s="312"/>
      <c r="GP410" s="312"/>
      <c r="GQ410" s="312"/>
      <c r="GR410" s="312"/>
      <c r="GS410" s="312"/>
      <c r="GT410" s="312"/>
      <c r="GU410" s="312"/>
      <c r="GV410" s="312"/>
      <c r="GW410" s="312"/>
      <c r="GX410" s="312"/>
      <c r="GY410" s="312"/>
    </row>
    <row r="411" spans="2:207" ht="15.75" x14ac:dyDescent="0.25">
      <c r="B411" s="316" t="str">
        <f t="shared" si="96"/>
        <v/>
      </c>
      <c r="C411" s="330" t="str">
        <f>'סיכום לוועדה'!B411</f>
        <v/>
      </c>
      <c r="D411" s="330" t="str">
        <f>'סיכום לוועדה'!C411</f>
        <v/>
      </c>
      <c r="E411" s="330" t="str">
        <f>'סיכום לוועדה'!D411</f>
        <v/>
      </c>
      <c r="F411" s="330" t="str">
        <f>'סיכום לוועדה'!E411</f>
        <v/>
      </c>
      <c r="G411" s="330" t="str">
        <f>'סיכום לוועדה'!F411</f>
        <v/>
      </c>
      <c r="H411" s="317" t="str">
        <f>'סיכום לוועדה'!G411</f>
        <v/>
      </c>
      <c r="I411" s="318" t="str">
        <f>'סיכום לוועדה'!U411</f>
        <v/>
      </c>
      <c r="J411" s="319" t="str">
        <f>'סיכום לוועדה'!T411</f>
        <v/>
      </c>
      <c r="K411" s="320" t="str">
        <f t="shared" si="97"/>
        <v/>
      </c>
      <c r="L411" s="319" t="str">
        <f t="shared" si="98"/>
        <v/>
      </c>
      <c r="M411" s="331" t="str">
        <f>'תחום תמיכה ב'!AF411</f>
        <v/>
      </c>
      <c r="N411" s="319" t="str">
        <f t="shared" si="95"/>
        <v/>
      </c>
      <c r="O411" s="321">
        <f t="shared" si="99"/>
        <v>0</v>
      </c>
      <c r="P411" s="322" t="str">
        <f t="shared" si="100"/>
        <v/>
      </c>
      <c r="Q411" s="322" t="str">
        <f t="shared" si="101"/>
        <v/>
      </c>
      <c r="R411" s="321">
        <f t="shared" si="102"/>
        <v>0</v>
      </c>
      <c r="S411" s="322" t="str">
        <f t="shared" si="103"/>
        <v/>
      </c>
      <c r="T411" s="322" t="str">
        <f t="shared" si="104"/>
        <v/>
      </c>
      <c r="U411" s="321">
        <f t="shared" si="105"/>
        <v>0</v>
      </c>
      <c r="V411" s="322" t="str">
        <f t="shared" si="106"/>
        <v/>
      </c>
      <c r="W411" s="322" t="str">
        <f t="shared" si="107"/>
        <v/>
      </c>
      <c r="X411" s="321">
        <f t="shared" si="108"/>
        <v>0</v>
      </c>
      <c r="Y411" s="322" t="str">
        <f t="shared" si="109"/>
        <v/>
      </c>
      <c r="Z411" s="322" t="str">
        <f t="shared" si="110"/>
        <v/>
      </c>
      <c r="AA411" s="323" t="str">
        <f t="shared" si="111"/>
        <v/>
      </c>
      <c r="AB411" s="323"/>
      <c r="AC411" s="323"/>
      <c r="AD411" s="323"/>
      <c r="AE411" s="323"/>
      <c r="AF411" s="324" t="str">
        <f t="shared" si="112"/>
        <v/>
      </c>
      <c r="AG411" s="312"/>
      <c r="AH411" s="312"/>
      <c r="AI411" s="325">
        <f t="shared" si="113"/>
        <v>0</v>
      </c>
      <c r="AJ411" s="312"/>
      <c r="AK411" s="312"/>
      <c r="AL411" s="312"/>
      <c r="AM411" s="312"/>
      <c r="AN411" s="312"/>
      <c r="AO411" s="312"/>
      <c r="AP411" s="312"/>
      <c r="AQ411" s="312"/>
      <c r="AR411" s="312"/>
      <c r="AS411" s="312"/>
      <c r="AT411" s="312"/>
      <c r="AU411" s="312"/>
      <c r="AV411" s="312"/>
      <c r="AW411" s="312"/>
      <c r="AX411" s="312"/>
      <c r="AY411" s="312"/>
      <c r="AZ411" s="312"/>
      <c r="BA411" s="312"/>
      <c r="BB411" s="312"/>
      <c r="BC411" s="312"/>
      <c r="BD411" s="312"/>
      <c r="BE411" s="312"/>
      <c r="BF411" s="312"/>
      <c r="BG411" s="312"/>
      <c r="BH411" s="312"/>
      <c r="BI411" s="312"/>
      <c r="BJ411" s="312"/>
      <c r="BK411" s="312"/>
      <c r="BL411" s="312"/>
      <c r="BM411" s="312"/>
      <c r="BN411" s="312"/>
      <c r="BO411" s="312"/>
      <c r="BP411" s="312"/>
      <c r="BQ411" s="312"/>
      <c r="BR411" s="312"/>
      <c r="BS411" s="312"/>
      <c r="BT411" s="312"/>
      <c r="BU411" s="312"/>
      <c r="BV411" s="312"/>
      <c r="BW411" s="312"/>
      <c r="BX411" s="312"/>
      <c r="BY411" s="312"/>
      <c r="BZ411" s="312"/>
      <c r="CA411" s="312"/>
      <c r="CB411" s="312"/>
      <c r="CC411" s="312"/>
      <c r="CD411" s="312"/>
      <c r="CE411" s="312"/>
      <c r="CF411" s="312"/>
      <c r="CG411" s="312"/>
      <c r="CH411" s="312"/>
      <c r="CI411" s="312"/>
      <c r="CJ411" s="312"/>
      <c r="CK411" s="312"/>
      <c r="CL411" s="312"/>
      <c r="CM411" s="312"/>
      <c r="CN411" s="312"/>
      <c r="CO411" s="312"/>
      <c r="CP411" s="312"/>
      <c r="CQ411" s="312"/>
      <c r="CR411" s="312"/>
      <c r="CS411" s="312"/>
      <c r="CT411" s="312"/>
      <c r="CU411" s="312"/>
      <c r="CV411" s="312"/>
      <c r="CW411" s="312"/>
      <c r="CX411" s="312"/>
      <c r="CY411" s="312"/>
      <c r="CZ411" s="312"/>
      <c r="DA411" s="312"/>
      <c r="DB411" s="312"/>
      <c r="DC411" s="312"/>
      <c r="DD411" s="312"/>
      <c r="DE411" s="312"/>
      <c r="DF411" s="312"/>
      <c r="DG411" s="312"/>
      <c r="DH411" s="312"/>
      <c r="DI411" s="312"/>
      <c r="DJ411" s="312"/>
      <c r="DK411" s="312"/>
      <c r="DL411" s="312"/>
      <c r="DM411" s="312"/>
      <c r="DN411" s="312"/>
      <c r="DO411" s="312"/>
      <c r="DP411" s="312"/>
      <c r="DQ411" s="312"/>
      <c r="DR411" s="312"/>
      <c r="DS411" s="312"/>
      <c r="DT411" s="312"/>
      <c r="DU411" s="312"/>
      <c r="DV411" s="312"/>
      <c r="DW411" s="312"/>
      <c r="DX411" s="312"/>
      <c r="DY411" s="312"/>
      <c r="DZ411" s="312"/>
      <c r="EA411" s="312"/>
      <c r="EB411" s="312"/>
      <c r="EC411" s="312"/>
      <c r="ED411" s="312"/>
      <c r="EE411" s="312"/>
      <c r="EF411" s="312"/>
      <c r="EG411" s="312"/>
      <c r="EH411" s="312"/>
      <c r="EI411" s="312"/>
      <c r="EJ411" s="312"/>
      <c r="EK411" s="312"/>
      <c r="EL411" s="312"/>
      <c r="EM411" s="312"/>
      <c r="EN411" s="312"/>
      <c r="EO411" s="312"/>
      <c r="EP411" s="312"/>
      <c r="EQ411" s="312"/>
      <c r="ER411" s="312"/>
      <c r="ES411" s="312"/>
      <c r="ET411" s="312"/>
      <c r="EU411" s="312"/>
      <c r="EV411" s="312"/>
      <c r="EW411" s="312"/>
      <c r="EX411" s="312"/>
      <c r="EY411" s="312"/>
      <c r="EZ411" s="312"/>
      <c r="FA411" s="312"/>
      <c r="FB411" s="312"/>
      <c r="FC411" s="312"/>
      <c r="FD411" s="312"/>
      <c r="FE411" s="312"/>
      <c r="FF411" s="312"/>
      <c r="FG411" s="312"/>
      <c r="FH411" s="312"/>
      <c r="FI411" s="312"/>
      <c r="FJ411" s="312"/>
      <c r="FK411" s="312"/>
      <c r="FL411" s="312"/>
      <c r="FM411" s="312"/>
      <c r="FN411" s="312"/>
      <c r="FO411" s="312"/>
      <c r="FP411" s="312"/>
      <c r="FQ411" s="312"/>
      <c r="FR411" s="312"/>
      <c r="FS411" s="312"/>
      <c r="FT411" s="312"/>
      <c r="FU411" s="312"/>
      <c r="FV411" s="312"/>
      <c r="FW411" s="312"/>
      <c r="FX411" s="312"/>
      <c r="FY411" s="312"/>
      <c r="FZ411" s="312"/>
      <c r="GA411" s="312"/>
      <c r="GB411" s="312"/>
      <c r="GC411" s="312"/>
      <c r="GD411" s="312"/>
      <c r="GE411" s="312"/>
      <c r="GF411" s="312"/>
      <c r="GG411" s="312"/>
      <c r="GH411" s="312"/>
      <c r="GI411" s="312"/>
      <c r="GJ411" s="312"/>
      <c r="GK411" s="312"/>
      <c r="GL411" s="312"/>
      <c r="GM411" s="312"/>
      <c r="GN411" s="312"/>
      <c r="GO411" s="312"/>
      <c r="GP411" s="312"/>
      <c r="GQ411" s="312"/>
      <c r="GR411" s="312"/>
      <c r="GS411" s="312"/>
      <c r="GT411" s="312"/>
      <c r="GU411" s="312"/>
      <c r="GV411" s="312"/>
      <c r="GW411" s="312"/>
      <c r="GX411" s="312"/>
      <c r="GY411" s="312"/>
    </row>
    <row r="412" spans="2:207" ht="15.75" x14ac:dyDescent="0.25">
      <c r="B412" s="316" t="str">
        <f t="shared" si="96"/>
        <v/>
      </c>
      <c r="C412" s="330" t="str">
        <f>'סיכום לוועדה'!B412</f>
        <v/>
      </c>
      <c r="D412" s="330" t="str">
        <f>'סיכום לוועדה'!C412</f>
        <v/>
      </c>
      <c r="E412" s="330" t="str">
        <f>'סיכום לוועדה'!D412</f>
        <v/>
      </c>
      <c r="F412" s="330" t="str">
        <f>'סיכום לוועדה'!E412</f>
        <v/>
      </c>
      <c r="G412" s="330" t="str">
        <f>'סיכום לוועדה'!F412</f>
        <v/>
      </c>
      <c r="H412" s="317" t="str">
        <f>'סיכום לוועדה'!G412</f>
        <v/>
      </c>
      <c r="I412" s="318" t="str">
        <f>'סיכום לוועדה'!U412</f>
        <v/>
      </c>
      <c r="J412" s="319" t="str">
        <f>'סיכום לוועדה'!T412</f>
        <v/>
      </c>
      <c r="K412" s="320" t="str">
        <f t="shared" si="97"/>
        <v/>
      </c>
      <c r="L412" s="319" t="str">
        <f t="shared" si="98"/>
        <v/>
      </c>
      <c r="M412" s="331" t="str">
        <f>'תחום תמיכה ב'!AF412</f>
        <v/>
      </c>
      <c r="N412" s="319" t="str">
        <f t="shared" si="95"/>
        <v/>
      </c>
      <c r="O412" s="321">
        <f t="shared" si="99"/>
        <v>0</v>
      </c>
      <c r="P412" s="322" t="str">
        <f t="shared" si="100"/>
        <v/>
      </c>
      <c r="Q412" s="322" t="str">
        <f t="shared" si="101"/>
        <v/>
      </c>
      <c r="R412" s="321">
        <f t="shared" si="102"/>
        <v>0</v>
      </c>
      <c r="S412" s="322" t="str">
        <f t="shared" si="103"/>
        <v/>
      </c>
      <c r="T412" s="322" t="str">
        <f t="shared" si="104"/>
        <v/>
      </c>
      <c r="U412" s="321">
        <f t="shared" si="105"/>
        <v>0</v>
      </c>
      <c r="V412" s="322" t="str">
        <f t="shared" si="106"/>
        <v/>
      </c>
      <c r="W412" s="322" t="str">
        <f t="shared" si="107"/>
        <v/>
      </c>
      <c r="X412" s="321">
        <f t="shared" si="108"/>
        <v>0</v>
      </c>
      <c r="Y412" s="322" t="str">
        <f t="shared" si="109"/>
        <v/>
      </c>
      <c r="Z412" s="322" t="str">
        <f t="shared" si="110"/>
        <v/>
      </c>
      <c r="AA412" s="323" t="str">
        <f t="shared" si="111"/>
        <v/>
      </c>
      <c r="AB412" s="323"/>
      <c r="AC412" s="323"/>
      <c r="AD412" s="323"/>
      <c r="AE412" s="323"/>
      <c r="AF412" s="324" t="str">
        <f t="shared" si="112"/>
        <v/>
      </c>
      <c r="AG412" s="312"/>
      <c r="AH412" s="312"/>
      <c r="AI412" s="325">
        <f t="shared" si="113"/>
        <v>0</v>
      </c>
      <c r="AJ412" s="312"/>
      <c r="AK412" s="312"/>
      <c r="AL412" s="312"/>
      <c r="AM412" s="312"/>
      <c r="AN412" s="312"/>
      <c r="AO412" s="312"/>
      <c r="AP412" s="312"/>
      <c r="AQ412" s="312"/>
      <c r="AR412" s="312"/>
      <c r="AS412" s="312"/>
      <c r="AT412" s="312"/>
      <c r="AU412" s="312"/>
      <c r="AV412" s="312"/>
      <c r="AW412" s="312"/>
      <c r="AX412" s="312"/>
      <c r="AY412" s="312"/>
      <c r="AZ412" s="312"/>
      <c r="BA412" s="312"/>
      <c r="BB412" s="312"/>
      <c r="BC412" s="312"/>
      <c r="BD412" s="312"/>
      <c r="BE412" s="312"/>
      <c r="BF412" s="312"/>
      <c r="BG412" s="312"/>
      <c r="BH412" s="312"/>
      <c r="BI412" s="312"/>
      <c r="BJ412" s="312"/>
      <c r="BK412" s="312"/>
      <c r="BL412" s="312"/>
      <c r="BM412" s="312"/>
      <c r="BN412" s="312"/>
      <c r="BO412" s="312"/>
      <c r="BP412" s="312"/>
      <c r="BQ412" s="312"/>
      <c r="BR412" s="312"/>
      <c r="BS412" s="312"/>
      <c r="BT412" s="312"/>
      <c r="BU412" s="312"/>
      <c r="BV412" s="312"/>
      <c r="BW412" s="312"/>
      <c r="BX412" s="312"/>
      <c r="BY412" s="312"/>
      <c r="BZ412" s="312"/>
      <c r="CA412" s="312"/>
      <c r="CB412" s="312"/>
      <c r="CC412" s="312"/>
      <c r="CD412" s="312"/>
      <c r="CE412" s="312"/>
      <c r="CF412" s="312"/>
      <c r="CG412" s="312"/>
      <c r="CH412" s="312"/>
      <c r="CI412" s="312"/>
      <c r="CJ412" s="312"/>
      <c r="CK412" s="312"/>
      <c r="CL412" s="312"/>
      <c r="CM412" s="312"/>
      <c r="CN412" s="312"/>
      <c r="CO412" s="312"/>
      <c r="CP412" s="312"/>
      <c r="CQ412" s="312"/>
      <c r="CR412" s="312"/>
      <c r="CS412" s="312"/>
      <c r="CT412" s="312"/>
      <c r="CU412" s="312"/>
      <c r="CV412" s="312"/>
      <c r="CW412" s="312"/>
      <c r="CX412" s="312"/>
      <c r="CY412" s="312"/>
      <c r="CZ412" s="312"/>
      <c r="DA412" s="312"/>
      <c r="DB412" s="312"/>
      <c r="DC412" s="312"/>
      <c r="DD412" s="312"/>
      <c r="DE412" s="312"/>
      <c r="DF412" s="312"/>
      <c r="DG412" s="312"/>
      <c r="DH412" s="312"/>
      <c r="DI412" s="312"/>
      <c r="DJ412" s="312"/>
      <c r="DK412" s="312"/>
      <c r="DL412" s="312"/>
      <c r="DM412" s="312"/>
      <c r="DN412" s="312"/>
      <c r="DO412" s="312"/>
      <c r="DP412" s="312"/>
      <c r="DQ412" s="312"/>
      <c r="DR412" s="312"/>
      <c r="DS412" s="312"/>
      <c r="DT412" s="312"/>
      <c r="DU412" s="312"/>
      <c r="DV412" s="312"/>
      <c r="DW412" s="312"/>
      <c r="DX412" s="312"/>
      <c r="DY412" s="312"/>
      <c r="DZ412" s="312"/>
      <c r="EA412" s="312"/>
      <c r="EB412" s="312"/>
      <c r="EC412" s="312"/>
      <c r="ED412" s="312"/>
      <c r="EE412" s="312"/>
      <c r="EF412" s="312"/>
      <c r="EG412" s="312"/>
      <c r="EH412" s="312"/>
      <c r="EI412" s="312"/>
      <c r="EJ412" s="312"/>
      <c r="EK412" s="312"/>
      <c r="EL412" s="312"/>
      <c r="EM412" s="312"/>
      <c r="EN412" s="312"/>
      <c r="EO412" s="312"/>
      <c r="EP412" s="312"/>
      <c r="EQ412" s="312"/>
      <c r="ER412" s="312"/>
      <c r="ES412" s="312"/>
      <c r="ET412" s="312"/>
      <c r="EU412" s="312"/>
      <c r="EV412" s="312"/>
      <c r="EW412" s="312"/>
      <c r="EX412" s="312"/>
      <c r="EY412" s="312"/>
      <c r="EZ412" s="312"/>
      <c r="FA412" s="312"/>
      <c r="FB412" s="312"/>
      <c r="FC412" s="312"/>
      <c r="FD412" s="312"/>
      <c r="FE412" s="312"/>
      <c r="FF412" s="312"/>
      <c r="FG412" s="312"/>
      <c r="FH412" s="312"/>
      <c r="FI412" s="312"/>
      <c r="FJ412" s="312"/>
      <c r="FK412" s="312"/>
      <c r="FL412" s="312"/>
      <c r="FM412" s="312"/>
      <c r="FN412" s="312"/>
      <c r="FO412" s="312"/>
      <c r="FP412" s="312"/>
      <c r="FQ412" s="312"/>
      <c r="FR412" s="312"/>
      <c r="FS412" s="312"/>
      <c r="FT412" s="312"/>
      <c r="FU412" s="312"/>
      <c r="FV412" s="312"/>
      <c r="FW412" s="312"/>
      <c r="FX412" s="312"/>
      <c r="FY412" s="312"/>
      <c r="FZ412" s="312"/>
      <c r="GA412" s="312"/>
      <c r="GB412" s="312"/>
      <c r="GC412" s="312"/>
      <c r="GD412" s="312"/>
      <c r="GE412" s="312"/>
      <c r="GF412" s="312"/>
      <c r="GG412" s="312"/>
      <c r="GH412" s="312"/>
      <c r="GI412" s="312"/>
      <c r="GJ412" s="312"/>
      <c r="GK412" s="312"/>
      <c r="GL412" s="312"/>
      <c r="GM412" s="312"/>
      <c r="GN412" s="312"/>
      <c r="GO412" s="312"/>
      <c r="GP412" s="312"/>
      <c r="GQ412" s="312"/>
      <c r="GR412" s="312"/>
      <c r="GS412" s="312"/>
      <c r="GT412" s="312"/>
      <c r="GU412" s="312"/>
      <c r="GV412" s="312"/>
      <c r="GW412" s="312"/>
      <c r="GX412" s="312"/>
      <c r="GY412" s="312"/>
    </row>
    <row r="413" spans="2:207" ht="15.75" x14ac:dyDescent="0.25">
      <c r="B413" s="316" t="str">
        <f t="shared" si="96"/>
        <v/>
      </c>
      <c r="C413" s="330" t="str">
        <f>'סיכום לוועדה'!B413</f>
        <v/>
      </c>
      <c r="D413" s="330" t="str">
        <f>'סיכום לוועדה'!C413</f>
        <v/>
      </c>
      <c r="E413" s="330" t="str">
        <f>'סיכום לוועדה'!D413</f>
        <v/>
      </c>
      <c r="F413" s="330" t="str">
        <f>'סיכום לוועדה'!E413</f>
        <v/>
      </c>
      <c r="G413" s="330" t="str">
        <f>'סיכום לוועדה'!F413</f>
        <v/>
      </c>
      <c r="H413" s="317" t="str">
        <f>'סיכום לוועדה'!G413</f>
        <v/>
      </c>
      <c r="I413" s="318" t="str">
        <f>'סיכום לוועדה'!U413</f>
        <v/>
      </c>
      <c r="J413" s="319" t="str">
        <f>'סיכום לוועדה'!T413</f>
        <v/>
      </c>
      <c r="K413" s="320" t="str">
        <f t="shared" si="97"/>
        <v/>
      </c>
      <c r="L413" s="319" t="str">
        <f t="shared" si="98"/>
        <v/>
      </c>
      <c r="M413" s="331" t="str">
        <f>'תחום תמיכה ב'!AF413</f>
        <v/>
      </c>
      <c r="N413" s="319" t="str">
        <f t="shared" si="95"/>
        <v/>
      </c>
      <c r="O413" s="321">
        <f t="shared" si="99"/>
        <v>0</v>
      </c>
      <c r="P413" s="322" t="str">
        <f t="shared" si="100"/>
        <v/>
      </c>
      <c r="Q413" s="322" t="str">
        <f t="shared" si="101"/>
        <v/>
      </c>
      <c r="R413" s="321">
        <f t="shared" si="102"/>
        <v>0</v>
      </c>
      <c r="S413" s="322" t="str">
        <f t="shared" si="103"/>
        <v/>
      </c>
      <c r="T413" s="322" t="str">
        <f t="shared" si="104"/>
        <v/>
      </c>
      <c r="U413" s="321">
        <f t="shared" si="105"/>
        <v>0</v>
      </c>
      <c r="V413" s="322" t="str">
        <f t="shared" si="106"/>
        <v/>
      </c>
      <c r="W413" s="322" t="str">
        <f t="shared" si="107"/>
        <v/>
      </c>
      <c r="X413" s="321">
        <f t="shared" si="108"/>
        <v>0</v>
      </c>
      <c r="Y413" s="322" t="str">
        <f t="shared" si="109"/>
        <v/>
      </c>
      <c r="Z413" s="322" t="str">
        <f t="shared" si="110"/>
        <v/>
      </c>
      <c r="AA413" s="323" t="str">
        <f t="shared" si="111"/>
        <v/>
      </c>
      <c r="AB413" s="323"/>
      <c r="AC413" s="323"/>
      <c r="AD413" s="323"/>
      <c r="AE413" s="323"/>
      <c r="AF413" s="324" t="str">
        <f t="shared" si="112"/>
        <v/>
      </c>
      <c r="AG413" s="312"/>
      <c r="AH413" s="312"/>
      <c r="AI413" s="325">
        <f t="shared" si="113"/>
        <v>0</v>
      </c>
      <c r="AJ413" s="312"/>
      <c r="AK413" s="312"/>
      <c r="AL413" s="312"/>
      <c r="AM413" s="312"/>
      <c r="AN413" s="312"/>
      <c r="AO413" s="312"/>
      <c r="AP413" s="312"/>
      <c r="AQ413" s="312"/>
      <c r="AR413" s="312"/>
      <c r="AS413" s="312"/>
      <c r="AT413" s="312"/>
      <c r="AU413" s="312"/>
      <c r="AV413" s="312"/>
      <c r="AW413" s="312"/>
      <c r="AX413" s="312"/>
      <c r="AY413" s="312"/>
      <c r="AZ413" s="312"/>
      <c r="BA413" s="312"/>
      <c r="BB413" s="312"/>
      <c r="BC413" s="312"/>
      <c r="BD413" s="312"/>
      <c r="BE413" s="312"/>
      <c r="BF413" s="312"/>
      <c r="BG413" s="312"/>
      <c r="BH413" s="312"/>
      <c r="BI413" s="312"/>
      <c r="BJ413" s="312"/>
      <c r="BK413" s="312"/>
      <c r="BL413" s="312"/>
      <c r="BM413" s="312"/>
      <c r="BN413" s="312"/>
      <c r="BO413" s="312"/>
      <c r="BP413" s="312"/>
      <c r="BQ413" s="312"/>
      <c r="BR413" s="312"/>
      <c r="BS413" s="312"/>
      <c r="BT413" s="312"/>
      <c r="BU413" s="312"/>
      <c r="BV413" s="312"/>
      <c r="BW413" s="312"/>
      <c r="BX413" s="312"/>
      <c r="BY413" s="312"/>
      <c r="BZ413" s="312"/>
      <c r="CA413" s="312"/>
      <c r="CB413" s="312"/>
      <c r="CC413" s="312"/>
      <c r="CD413" s="312"/>
      <c r="CE413" s="312"/>
      <c r="CF413" s="312"/>
      <c r="CG413" s="312"/>
      <c r="CH413" s="312"/>
      <c r="CI413" s="312"/>
      <c r="CJ413" s="312"/>
      <c r="CK413" s="312"/>
      <c r="CL413" s="312"/>
      <c r="CM413" s="312"/>
      <c r="CN413" s="312"/>
      <c r="CO413" s="312"/>
      <c r="CP413" s="312"/>
      <c r="CQ413" s="312"/>
      <c r="CR413" s="312"/>
      <c r="CS413" s="312"/>
      <c r="CT413" s="312"/>
      <c r="CU413" s="312"/>
      <c r="CV413" s="312"/>
      <c r="CW413" s="312"/>
      <c r="CX413" s="312"/>
      <c r="CY413" s="312"/>
      <c r="CZ413" s="312"/>
      <c r="DA413" s="312"/>
      <c r="DB413" s="312"/>
      <c r="DC413" s="312"/>
      <c r="DD413" s="312"/>
      <c r="DE413" s="312"/>
      <c r="DF413" s="312"/>
      <c r="DG413" s="312"/>
      <c r="DH413" s="312"/>
      <c r="DI413" s="312"/>
      <c r="DJ413" s="312"/>
      <c r="DK413" s="312"/>
      <c r="DL413" s="312"/>
      <c r="DM413" s="312"/>
      <c r="DN413" s="312"/>
      <c r="DO413" s="312"/>
      <c r="DP413" s="312"/>
      <c r="DQ413" s="312"/>
      <c r="DR413" s="312"/>
      <c r="DS413" s="312"/>
      <c r="DT413" s="312"/>
      <c r="DU413" s="312"/>
      <c r="DV413" s="312"/>
      <c r="DW413" s="312"/>
      <c r="DX413" s="312"/>
      <c r="DY413" s="312"/>
      <c r="DZ413" s="312"/>
      <c r="EA413" s="312"/>
      <c r="EB413" s="312"/>
      <c r="EC413" s="312"/>
      <c r="ED413" s="312"/>
      <c r="EE413" s="312"/>
      <c r="EF413" s="312"/>
      <c r="EG413" s="312"/>
      <c r="EH413" s="312"/>
      <c r="EI413" s="312"/>
      <c r="EJ413" s="312"/>
      <c r="EK413" s="312"/>
      <c r="EL413" s="312"/>
      <c r="EM413" s="312"/>
      <c r="EN413" s="312"/>
      <c r="EO413" s="312"/>
      <c r="EP413" s="312"/>
      <c r="EQ413" s="312"/>
      <c r="ER413" s="312"/>
      <c r="ES413" s="312"/>
      <c r="ET413" s="312"/>
      <c r="EU413" s="312"/>
      <c r="EV413" s="312"/>
      <c r="EW413" s="312"/>
      <c r="EX413" s="312"/>
      <c r="EY413" s="312"/>
      <c r="EZ413" s="312"/>
      <c r="FA413" s="312"/>
      <c r="FB413" s="312"/>
      <c r="FC413" s="312"/>
      <c r="FD413" s="312"/>
      <c r="FE413" s="312"/>
      <c r="FF413" s="312"/>
      <c r="FG413" s="312"/>
      <c r="FH413" s="312"/>
      <c r="FI413" s="312"/>
      <c r="FJ413" s="312"/>
      <c r="FK413" s="312"/>
      <c r="FL413" s="312"/>
      <c r="FM413" s="312"/>
      <c r="FN413" s="312"/>
      <c r="FO413" s="312"/>
      <c r="FP413" s="312"/>
      <c r="FQ413" s="312"/>
      <c r="FR413" s="312"/>
      <c r="FS413" s="312"/>
      <c r="FT413" s="312"/>
      <c r="FU413" s="312"/>
      <c r="FV413" s="312"/>
      <c r="FW413" s="312"/>
      <c r="FX413" s="312"/>
      <c r="FY413" s="312"/>
      <c r="FZ413" s="312"/>
      <c r="GA413" s="312"/>
      <c r="GB413" s="312"/>
      <c r="GC413" s="312"/>
      <c r="GD413" s="312"/>
      <c r="GE413" s="312"/>
      <c r="GF413" s="312"/>
      <c r="GG413" s="312"/>
      <c r="GH413" s="312"/>
      <c r="GI413" s="312"/>
      <c r="GJ413" s="312"/>
      <c r="GK413" s="312"/>
      <c r="GL413" s="312"/>
      <c r="GM413" s="312"/>
      <c r="GN413" s="312"/>
      <c r="GO413" s="312"/>
      <c r="GP413" s="312"/>
      <c r="GQ413" s="312"/>
      <c r="GR413" s="312"/>
      <c r="GS413" s="312"/>
      <c r="GT413" s="312"/>
      <c r="GU413" s="312"/>
      <c r="GV413" s="312"/>
      <c r="GW413" s="312"/>
      <c r="GX413" s="312"/>
      <c r="GY413" s="312"/>
    </row>
    <row r="414" spans="2:207" ht="15.75" x14ac:dyDescent="0.25">
      <c r="B414" s="316" t="str">
        <f t="shared" si="96"/>
        <v/>
      </c>
      <c r="C414" s="330" t="str">
        <f>'סיכום לוועדה'!B414</f>
        <v/>
      </c>
      <c r="D414" s="330" t="str">
        <f>'סיכום לוועדה'!C414</f>
        <v/>
      </c>
      <c r="E414" s="330" t="str">
        <f>'סיכום לוועדה'!D414</f>
        <v/>
      </c>
      <c r="F414" s="330" t="str">
        <f>'סיכום לוועדה'!E414</f>
        <v/>
      </c>
      <c r="G414" s="330" t="str">
        <f>'סיכום לוועדה'!F414</f>
        <v/>
      </c>
      <c r="H414" s="317" t="str">
        <f>'סיכום לוועדה'!G414</f>
        <v/>
      </c>
      <c r="I414" s="318" t="str">
        <f>'סיכום לוועדה'!U414</f>
        <v/>
      </c>
      <c r="J414" s="319" t="str">
        <f>'סיכום לוועדה'!T414</f>
        <v/>
      </c>
      <c r="K414" s="320" t="str">
        <f t="shared" si="97"/>
        <v/>
      </c>
      <c r="L414" s="319" t="str">
        <f t="shared" si="98"/>
        <v/>
      </c>
      <c r="M414" s="331" t="str">
        <f>'תחום תמיכה ב'!AF414</f>
        <v/>
      </c>
      <c r="N414" s="319" t="str">
        <f t="shared" si="95"/>
        <v/>
      </c>
      <c r="O414" s="321">
        <f t="shared" si="99"/>
        <v>0</v>
      </c>
      <c r="P414" s="322" t="str">
        <f t="shared" si="100"/>
        <v/>
      </c>
      <c r="Q414" s="322" t="str">
        <f t="shared" si="101"/>
        <v/>
      </c>
      <c r="R414" s="321">
        <f t="shared" si="102"/>
        <v>0</v>
      </c>
      <c r="S414" s="322" t="str">
        <f t="shared" si="103"/>
        <v/>
      </c>
      <c r="T414" s="322" t="str">
        <f t="shared" si="104"/>
        <v/>
      </c>
      <c r="U414" s="321">
        <f t="shared" si="105"/>
        <v>0</v>
      </c>
      <c r="V414" s="322" t="str">
        <f t="shared" si="106"/>
        <v/>
      </c>
      <c r="W414" s="322" t="str">
        <f t="shared" si="107"/>
        <v/>
      </c>
      <c r="X414" s="321">
        <f t="shared" si="108"/>
        <v>0</v>
      </c>
      <c r="Y414" s="322" t="str">
        <f t="shared" si="109"/>
        <v/>
      </c>
      <c r="Z414" s="322" t="str">
        <f t="shared" si="110"/>
        <v/>
      </c>
      <c r="AA414" s="323" t="str">
        <f t="shared" si="111"/>
        <v/>
      </c>
      <c r="AB414" s="323"/>
      <c r="AC414" s="323"/>
      <c r="AD414" s="323"/>
      <c r="AE414" s="323"/>
      <c r="AF414" s="324" t="str">
        <f t="shared" si="112"/>
        <v/>
      </c>
      <c r="AG414" s="312"/>
      <c r="AH414" s="312"/>
      <c r="AI414" s="325">
        <f t="shared" si="113"/>
        <v>0</v>
      </c>
      <c r="AJ414" s="312"/>
      <c r="AK414" s="312"/>
      <c r="AL414" s="312"/>
      <c r="AM414" s="312"/>
      <c r="AN414" s="312"/>
      <c r="AO414" s="312"/>
      <c r="AP414" s="312"/>
      <c r="AQ414" s="312"/>
      <c r="AR414" s="312"/>
      <c r="AS414" s="312"/>
      <c r="AT414" s="312"/>
      <c r="AU414" s="312"/>
      <c r="AV414" s="312"/>
      <c r="AW414" s="312"/>
      <c r="AX414" s="312"/>
      <c r="AY414" s="312"/>
      <c r="AZ414" s="312"/>
      <c r="BA414" s="312"/>
      <c r="BB414" s="312"/>
      <c r="BC414" s="312"/>
      <c r="BD414" s="312"/>
      <c r="BE414" s="312"/>
      <c r="BF414" s="312"/>
      <c r="BG414" s="312"/>
      <c r="BH414" s="312"/>
      <c r="BI414" s="312"/>
      <c r="BJ414" s="312"/>
      <c r="BK414" s="312"/>
      <c r="BL414" s="312"/>
      <c r="BM414" s="312"/>
      <c r="BN414" s="312"/>
      <c r="BO414" s="312"/>
      <c r="BP414" s="312"/>
      <c r="BQ414" s="312"/>
      <c r="BR414" s="312"/>
      <c r="BS414" s="312"/>
      <c r="BT414" s="312"/>
      <c r="BU414" s="312"/>
      <c r="BV414" s="312"/>
      <c r="BW414" s="312"/>
      <c r="BX414" s="312"/>
      <c r="BY414" s="312"/>
      <c r="BZ414" s="312"/>
      <c r="CA414" s="312"/>
      <c r="CB414" s="312"/>
      <c r="CC414" s="312"/>
      <c r="CD414" s="312"/>
      <c r="CE414" s="312"/>
      <c r="CF414" s="312"/>
      <c r="CG414" s="312"/>
      <c r="CH414" s="312"/>
      <c r="CI414" s="312"/>
      <c r="CJ414" s="312"/>
      <c r="CK414" s="312"/>
      <c r="CL414" s="312"/>
      <c r="CM414" s="312"/>
      <c r="CN414" s="312"/>
      <c r="CO414" s="312"/>
      <c r="CP414" s="312"/>
      <c r="CQ414" s="312"/>
      <c r="CR414" s="312"/>
      <c r="CS414" s="312"/>
      <c r="CT414" s="312"/>
      <c r="CU414" s="312"/>
      <c r="CV414" s="312"/>
      <c r="CW414" s="312"/>
      <c r="CX414" s="312"/>
      <c r="CY414" s="312"/>
      <c r="CZ414" s="312"/>
      <c r="DA414" s="312"/>
      <c r="DB414" s="312"/>
      <c r="DC414" s="312"/>
      <c r="DD414" s="312"/>
      <c r="DE414" s="312"/>
      <c r="DF414" s="312"/>
      <c r="DG414" s="312"/>
      <c r="DH414" s="312"/>
      <c r="DI414" s="312"/>
      <c r="DJ414" s="312"/>
      <c r="DK414" s="312"/>
      <c r="DL414" s="312"/>
      <c r="DM414" s="312"/>
      <c r="DN414" s="312"/>
      <c r="DO414" s="312"/>
      <c r="DP414" s="312"/>
      <c r="DQ414" s="312"/>
      <c r="DR414" s="312"/>
      <c r="DS414" s="312"/>
      <c r="DT414" s="312"/>
      <c r="DU414" s="312"/>
      <c r="DV414" s="312"/>
      <c r="DW414" s="312"/>
      <c r="DX414" s="312"/>
      <c r="DY414" s="312"/>
      <c r="DZ414" s="312"/>
      <c r="EA414" s="312"/>
      <c r="EB414" s="312"/>
      <c r="EC414" s="312"/>
      <c r="ED414" s="312"/>
      <c r="EE414" s="312"/>
      <c r="EF414" s="312"/>
      <c r="EG414" s="312"/>
      <c r="EH414" s="312"/>
      <c r="EI414" s="312"/>
      <c r="EJ414" s="312"/>
      <c r="EK414" s="312"/>
      <c r="EL414" s="312"/>
      <c r="EM414" s="312"/>
      <c r="EN414" s="312"/>
      <c r="EO414" s="312"/>
      <c r="EP414" s="312"/>
      <c r="EQ414" s="312"/>
      <c r="ER414" s="312"/>
      <c r="ES414" s="312"/>
      <c r="ET414" s="312"/>
      <c r="EU414" s="312"/>
      <c r="EV414" s="312"/>
      <c r="EW414" s="312"/>
      <c r="EX414" s="312"/>
      <c r="EY414" s="312"/>
      <c r="EZ414" s="312"/>
      <c r="FA414" s="312"/>
      <c r="FB414" s="312"/>
      <c r="FC414" s="312"/>
      <c r="FD414" s="312"/>
      <c r="FE414" s="312"/>
      <c r="FF414" s="312"/>
      <c r="FG414" s="312"/>
      <c r="FH414" s="312"/>
      <c r="FI414" s="312"/>
      <c r="FJ414" s="312"/>
      <c r="FK414" s="312"/>
      <c r="FL414" s="312"/>
      <c r="FM414" s="312"/>
      <c r="FN414" s="312"/>
      <c r="FO414" s="312"/>
      <c r="FP414" s="312"/>
      <c r="FQ414" s="312"/>
      <c r="FR414" s="312"/>
      <c r="FS414" s="312"/>
      <c r="FT414" s="312"/>
      <c r="FU414" s="312"/>
      <c r="FV414" s="312"/>
      <c r="FW414" s="312"/>
      <c r="FX414" s="312"/>
      <c r="FY414" s="312"/>
      <c r="FZ414" s="312"/>
      <c r="GA414" s="312"/>
      <c r="GB414" s="312"/>
      <c r="GC414" s="312"/>
      <c r="GD414" s="312"/>
      <c r="GE414" s="312"/>
      <c r="GF414" s="312"/>
      <c r="GG414" s="312"/>
      <c r="GH414" s="312"/>
      <c r="GI414" s="312"/>
      <c r="GJ414" s="312"/>
      <c r="GK414" s="312"/>
      <c r="GL414" s="312"/>
      <c r="GM414" s="312"/>
      <c r="GN414" s="312"/>
      <c r="GO414" s="312"/>
      <c r="GP414" s="312"/>
      <c r="GQ414" s="312"/>
      <c r="GR414" s="312"/>
      <c r="GS414" s="312"/>
      <c r="GT414" s="312"/>
      <c r="GU414" s="312"/>
      <c r="GV414" s="312"/>
      <c r="GW414" s="312"/>
      <c r="GX414" s="312"/>
      <c r="GY414" s="312"/>
    </row>
    <row r="415" spans="2:207" ht="15.75" x14ac:dyDescent="0.25">
      <c r="B415" s="316" t="str">
        <f t="shared" si="96"/>
        <v/>
      </c>
      <c r="C415" s="330" t="str">
        <f>'סיכום לוועדה'!B415</f>
        <v/>
      </c>
      <c r="D415" s="330" t="str">
        <f>'סיכום לוועדה'!C415</f>
        <v/>
      </c>
      <c r="E415" s="330" t="str">
        <f>'סיכום לוועדה'!D415</f>
        <v/>
      </c>
      <c r="F415" s="330" t="str">
        <f>'סיכום לוועדה'!E415</f>
        <v/>
      </c>
      <c r="G415" s="330" t="str">
        <f>'סיכום לוועדה'!F415</f>
        <v/>
      </c>
      <c r="H415" s="317" t="str">
        <f>'סיכום לוועדה'!G415</f>
        <v/>
      </c>
      <c r="I415" s="318" t="str">
        <f>'סיכום לוועדה'!U415</f>
        <v/>
      </c>
      <c r="J415" s="319" t="str">
        <f>'סיכום לוועדה'!T415</f>
        <v/>
      </c>
      <c r="K415" s="320" t="str">
        <f t="shared" si="97"/>
        <v/>
      </c>
      <c r="L415" s="319" t="str">
        <f t="shared" si="98"/>
        <v/>
      </c>
      <c r="M415" s="331" t="str">
        <f>'תחום תמיכה ב'!AF415</f>
        <v/>
      </c>
      <c r="N415" s="319" t="str">
        <f t="shared" ref="N415:N478" si="114">IF($H415="","",IF(K415=1,L415,M415/SUMIF(K$31:K$500,0,M$31:M$500)*$I$2+J415))</f>
        <v/>
      </c>
      <c r="O415" s="321">
        <f t="shared" si="99"/>
        <v>0</v>
      </c>
      <c r="P415" s="322" t="str">
        <f t="shared" si="100"/>
        <v/>
      </c>
      <c r="Q415" s="322" t="str">
        <f t="shared" si="101"/>
        <v/>
      </c>
      <c r="R415" s="321">
        <f t="shared" si="102"/>
        <v>0</v>
      </c>
      <c r="S415" s="322" t="str">
        <f t="shared" si="103"/>
        <v/>
      </c>
      <c r="T415" s="322" t="str">
        <f t="shared" si="104"/>
        <v/>
      </c>
      <c r="U415" s="321">
        <f t="shared" si="105"/>
        <v>0</v>
      </c>
      <c r="V415" s="322" t="str">
        <f t="shared" si="106"/>
        <v/>
      </c>
      <c r="W415" s="322" t="str">
        <f t="shared" si="107"/>
        <v/>
      </c>
      <c r="X415" s="321">
        <f t="shared" si="108"/>
        <v>0</v>
      </c>
      <c r="Y415" s="322" t="str">
        <f t="shared" si="109"/>
        <v/>
      </c>
      <c r="Z415" s="322" t="str">
        <f t="shared" si="110"/>
        <v/>
      </c>
      <c r="AA415" s="323" t="str">
        <f t="shared" si="111"/>
        <v/>
      </c>
      <c r="AB415" s="323"/>
      <c r="AC415" s="323"/>
      <c r="AD415" s="323"/>
      <c r="AE415" s="323"/>
      <c r="AF415" s="324" t="str">
        <f t="shared" si="112"/>
        <v/>
      </c>
      <c r="AG415" s="312"/>
      <c r="AH415" s="312"/>
      <c r="AI415" s="325">
        <f t="shared" si="113"/>
        <v>0</v>
      </c>
      <c r="AJ415" s="312"/>
      <c r="AK415" s="312"/>
      <c r="AL415" s="312"/>
      <c r="AM415" s="312"/>
      <c r="AN415" s="312"/>
      <c r="AO415" s="312"/>
      <c r="AP415" s="312"/>
      <c r="AQ415" s="312"/>
      <c r="AR415" s="312"/>
      <c r="AS415" s="312"/>
      <c r="AT415" s="312"/>
      <c r="AU415" s="312"/>
      <c r="AV415" s="312"/>
      <c r="AW415" s="312"/>
      <c r="AX415" s="312"/>
      <c r="AY415" s="312"/>
      <c r="AZ415" s="312"/>
      <c r="BA415" s="312"/>
      <c r="BB415" s="312"/>
      <c r="BC415" s="312"/>
      <c r="BD415" s="312"/>
      <c r="BE415" s="312"/>
      <c r="BF415" s="312"/>
      <c r="BG415" s="312"/>
      <c r="BH415" s="312"/>
      <c r="BI415" s="312"/>
      <c r="BJ415" s="312"/>
      <c r="BK415" s="312"/>
      <c r="BL415" s="312"/>
      <c r="BM415" s="312"/>
      <c r="BN415" s="312"/>
      <c r="BO415" s="312"/>
      <c r="BP415" s="312"/>
      <c r="BQ415" s="312"/>
      <c r="BR415" s="312"/>
      <c r="BS415" s="312"/>
      <c r="BT415" s="312"/>
      <c r="BU415" s="312"/>
      <c r="BV415" s="312"/>
      <c r="BW415" s="312"/>
      <c r="BX415" s="312"/>
      <c r="BY415" s="312"/>
      <c r="BZ415" s="312"/>
      <c r="CA415" s="312"/>
      <c r="CB415" s="312"/>
      <c r="CC415" s="312"/>
      <c r="CD415" s="312"/>
      <c r="CE415" s="312"/>
      <c r="CF415" s="312"/>
      <c r="CG415" s="312"/>
      <c r="CH415" s="312"/>
      <c r="CI415" s="312"/>
      <c r="CJ415" s="312"/>
      <c r="CK415" s="312"/>
      <c r="CL415" s="312"/>
      <c r="CM415" s="312"/>
      <c r="CN415" s="312"/>
      <c r="CO415" s="312"/>
      <c r="CP415" s="312"/>
      <c r="CQ415" s="312"/>
      <c r="CR415" s="312"/>
      <c r="CS415" s="312"/>
      <c r="CT415" s="312"/>
      <c r="CU415" s="312"/>
      <c r="CV415" s="312"/>
      <c r="CW415" s="312"/>
      <c r="CX415" s="312"/>
      <c r="CY415" s="312"/>
      <c r="CZ415" s="312"/>
      <c r="DA415" s="312"/>
      <c r="DB415" s="312"/>
      <c r="DC415" s="312"/>
      <c r="DD415" s="312"/>
      <c r="DE415" s="312"/>
      <c r="DF415" s="312"/>
      <c r="DG415" s="312"/>
      <c r="DH415" s="312"/>
      <c r="DI415" s="312"/>
      <c r="DJ415" s="312"/>
      <c r="DK415" s="312"/>
      <c r="DL415" s="312"/>
      <c r="DM415" s="312"/>
      <c r="DN415" s="312"/>
      <c r="DO415" s="312"/>
      <c r="DP415" s="312"/>
      <c r="DQ415" s="312"/>
      <c r="DR415" s="312"/>
      <c r="DS415" s="312"/>
      <c r="DT415" s="312"/>
      <c r="DU415" s="312"/>
      <c r="DV415" s="312"/>
      <c r="DW415" s="312"/>
      <c r="DX415" s="312"/>
      <c r="DY415" s="312"/>
      <c r="DZ415" s="312"/>
      <c r="EA415" s="312"/>
      <c r="EB415" s="312"/>
      <c r="EC415" s="312"/>
      <c r="ED415" s="312"/>
      <c r="EE415" s="312"/>
      <c r="EF415" s="312"/>
      <c r="EG415" s="312"/>
      <c r="EH415" s="312"/>
      <c r="EI415" s="312"/>
      <c r="EJ415" s="312"/>
      <c r="EK415" s="312"/>
      <c r="EL415" s="312"/>
      <c r="EM415" s="312"/>
      <c r="EN415" s="312"/>
      <c r="EO415" s="312"/>
      <c r="EP415" s="312"/>
      <c r="EQ415" s="312"/>
      <c r="ER415" s="312"/>
      <c r="ES415" s="312"/>
      <c r="ET415" s="312"/>
      <c r="EU415" s="312"/>
      <c r="EV415" s="312"/>
      <c r="EW415" s="312"/>
      <c r="EX415" s="312"/>
      <c r="EY415" s="312"/>
      <c r="EZ415" s="312"/>
      <c r="FA415" s="312"/>
      <c r="FB415" s="312"/>
      <c r="FC415" s="312"/>
      <c r="FD415" s="312"/>
      <c r="FE415" s="312"/>
      <c r="FF415" s="312"/>
      <c r="FG415" s="312"/>
      <c r="FH415" s="312"/>
      <c r="FI415" s="312"/>
      <c r="FJ415" s="312"/>
      <c r="FK415" s="312"/>
      <c r="FL415" s="312"/>
      <c r="FM415" s="312"/>
      <c r="FN415" s="312"/>
      <c r="FO415" s="312"/>
      <c r="FP415" s="312"/>
      <c r="FQ415" s="312"/>
      <c r="FR415" s="312"/>
      <c r="FS415" s="312"/>
      <c r="FT415" s="312"/>
      <c r="FU415" s="312"/>
      <c r="FV415" s="312"/>
      <c r="FW415" s="312"/>
      <c r="FX415" s="312"/>
      <c r="FY415" s="312"/>
      <c r="FZ415" s="312"/>
      <c r="GA415" s="312"/>
      <c r="GB415" s="312"/>
      <c r="GC415" s="312"/>
      <c r="GD415" s="312"/>
      <c r="GE415" s="312"/>
      <c r="GF415" s="312"/>
      <c r="GG415" s="312"/>
      <c r="GH415" s="312"/>
      <c r="GI415" s="312"/>
      <c r="GJ415" s="312"/>
      <c r="GK415" s="312"/>
      <c r="GL415" s="312"/>
      <c r="GM415" s="312"/>
      <c r="GN415" s="312"/>
      <c r="GO415" s="312"/>
      <c r="GP415" s="312"/>
      <c r="GQ415" s="312"/>
      <c r="GR415" s="312"/>
      <c r="GS415" s="312"/>
      <c r="GT415" s="312"/>
      <c r="GU415" s="312"/>
      <c r="GV415" s="312"/>
      <c r="GW415" s="312"/>
      <c r="GX415" s="312"/>
      <c r="GY415" s="312"/>
    </row>
    <row r="416" spans="2:207" ht="15.75" x14ac:dyDescent="0.25">
      <c r="B416" s="316" t="str">
        <f t="shared" ref="B416:B479" si="115">IF(H416="","",ROW()-30)</f>
        <v/>
      </c>
      <c r="C416" s="330" t="str">
        <f>'סיכום לוועדה'!B416</f>
        <v/>
      </c>
      <c r="D416" s="330" t="str">
        <f>'סיכום לוועדה'!C416</f>
        <v/>
      </c>
      <c r="E416" s="330" t="str">
        <f>'סיכום לוועדה'!D416</f>
        <v/>
      </c>
      <c r="F416" s="330" t="str">
        <f>'סיכום לוועדה'!E416</f>
        <v/>
      </c>
      <c r="G416" s="330" t="str">
        <f>'סיכום לוועדה'!F416</f>
        <v/>
      </c>
      <c r="H416" s="317" t="str">
        <f>'סיכום לוועדה'!G416</f>
        <v/>
      </c>
      <c r="I416" s="318" t="str">
        <f>'סיכום לוועדה'!U416</f>
        <v/>
      </c>
      <c r="J416" s="319" t="str">
        <f>'סיכום לוועדה'!T416</f>
        <v/>
      </c>
      <c r="K416" s="320" t="str">
        <f t="shared" ref="K416:K479" si="116">IF(H416="","",IF(J416&gt;$I416,1,0))</f>
        <v/>
      </c>
      <c r="L416" s="319" t="str">
        <f t="shared" ref="L416:L479" si="117">IF($H416="","",MIN(I416:J416))</f>
        <v/>
      </c>
      <c r="M416" s="331" t="str">
        <f>'תחום תמיכה ב'!AF416</f>
        <v/>
      </c>
      <c r="N416" s="319" t="str">
        <f t="shared" si="114"/>
        <v/>
      </c>
      <c r="O416" s="321">
        <f t="shared" ref="O416:O479" si="118">IF(OR(N416&gt;$I416,$K416=1),1,0)</f>
        <v>0</v>
      </c>
      <c r="P416" s="322" t="str">
        <f t="shared" ref="P416:P479" si="119">IF($H416="","",MIN(N416,$I416))</f>
        <v/>
      </c>
      <c r="Q416" s="322" t="str">
        <f t="shared" ref="Q416:Q479" si="120">IFERROR(IF($H416="","",IF(O416=1,P416,P416/SUMIF(O$31:O$500,0,P$31:P$500)*($J$501-SUMIF(O$31:O$500,1,P$31:P$500)))),0)</f>
        <v/>
      </c>
      <c r="R416" s="321">
        <f t="shared" ref="R416:R479" si="121">IF(OR(Q416&gt;$I416,$K416=1,$O416=1),1,0)</f>
        <v>0</v>
      </c>
      <c r="S416" s="322" t="str">
        <f t="shared" ref="S416:S479" si="122">IF($H416="","",MIN(Q416,$I416))</f>
        <v/>
      </c>
      <c r="T416" s="322" t="str">
        <f t="shared" ref="T416:T479" si="123">IFERROR(IF($H416="","",IF(R416=1,S416,S416/SUMIF(R$31:R$500,0,S$31:S$500)*($J$501-SUMIF(R$31:R$500,1,S$31:S$500)))),0)</f>
        <v/>
      </c>
      <c r="U416" s="321">
        <f t="shared" ref="U416:U479" si="124">IF(OR(T416&gt;$I416,$K416=1,$O416=1,$R416=1),1,0)</f>
        <v>0</v>
      </c>
      <c r="V416" s="322" t="str">
        <f t="shared" ref="V416:V479" si="125">IF($H416="","",MIN(T416,$I416))</f>
        <v/>
      </c>
      <c r="W416" s="322" t="str">
        <f t="shared" ref="W416:W479" si="126">IFERROR(IF($H416="","",IF(U416=2,V416,IF(U416=1,V416,V416/SUMIF(U$31:U$500,0,V$31:V$500)*($J$501-SUMIF(U$31:U$500,1,V$31:V$500)-SUMIF(U$31:U$500,2,V$31:V$500))))),0)</f>
        <v/>
      </c>
      <c r="X416" s="321">
        <f t="shared" ref="X416:X479" si="127">IF(OR(W416&gt;$I416,$K416=1,$O416=1,$R416=1,$U416=1),1,0)</f>
        <v>0</v>
      </c>
      <c r="Y416" s="322" t="str">
        <f t="shared" ref="Y416:Y479" si="128">IF($H416="","",MIN(W416,$I416))</f>
        <v/>
      </c>
      <c r="Z416" s="322" t="str">
        <f t="shared" ref="Z416:Z479" si="129">IFERROR(IF($H416="","",IF(X416=2,Y416,IF(X416=1,Y416,Y416/SUMIF(X$31:X$500,0,Y$31:Y$500)*($J$501-SUMIF(X$31:X$500,1,Y$31:Y$500)-SUMIF(X$31:X$500,2,Y$31:Y$500))))),0)</f>
        <v/>
      </c>
      <c r="AA416" s="323" t="str">
        <f t="shared" ref="AA416:AA479" si="130">IF($H416="","",IF(AI416=0,$AN$1,IFERROR(Z416,$AN$1)))</f>
        <v/>
      </c>
      <c r="AB416" s="323"/>
      <c r="AC416" s="323"/>
      <c r="AD416" s="323"/>
      <c r="AE416" s="323"/>
      <c r="AF416" s="324" t="str">
        <f t="shared" ref="AF416:AF479" si="131">IF(H416="","",IFERROR(AA416/SUMIF($AA$31:$AA$500,"&lt;&gt;#DIV/0!"),$AN$1))</f>
        <v/>
      </c>
      <c r="AG416" s="312"/>
      <c r="AH416" s="312"/>
      <c r="AI416" s="325">
        <f t="shared" ref="AI416:AI479" si="132">IF(H416="",0,IFERROR(IF(I416*1&gt;=0,1,0),0))</f>
        <v>0</v>
      </c>
      <c r="AJ416" s="312"/>
      <c r="AK416" s="312"/>
      <c r="AL416" s="312"/>
      <c r="AM416" s="312"/>
      <c r="AN416" s="312"/>
      <c r="AO416" s="312"/>
      <c r="AP416" s="312"/>
      <c r="AQ416" s="312"/>
      <c r="AR416" s="312"/>
      <c r="AS416" s="312"/>
      <c r="AT416" s="312"/>
      <c r="AU416" s="312"/>
      <c r="AV416" s="312"/>
      <c r="AW416" s="312"/>
      <c r="AX416" s="312"/>
      <c r="AY416" s="312"/>
      <c r="AZ416" s="312"/>
      <c r="BA416" s="312"/>
      <c r="BB416" s="312"/>
      <c r="BC416" s="312"/>
      <c r="BD416" s="312"/>
      <c r="BE416" s="312"/>
      <c r="BF416" s="312"/>
      <c r="BG416" s="312"/>
      <c r="BH416" s="312"/>
      <c r="BI416" s="312"/>
      <c r="BJ416" s="312"/>
      <c r="BK416" s="312"/>
      <c r="BL416" s="312"/>
      <c r="BM416" s="312"/>
      <c r="BN416" s="312"/>
      <c r="BO416" s="312"/>
      <c r="BP416" s="312"/>
      <c r="BQ416" s="312"/>
      <c r="BR416" s="312"/>
      <c r="BS416" s="312"/>
      <c r="BT416" s="312"/>
      <c r="BU416" s="312"/>
      <c r="BV416" s="312"/>
      <c r="BW416" s="312"/>
      <c r="BX416" s="312"/>
      <c r="BY416" s="312"/>
      <c r="BZ416" s="312"/>
      <c r="CA416" s="312"/>
      <c r="CB416" s="312"/>
      <c r="CC416" s="312"/>
      <c r="CD416" s="312"/>
      <c r="CE416" s="312"/>
      <c r="CF416" s="312"/>
      <c r="CG416" s="312"/>
      <c r="CH416" s="312"/>
      <c r="CI416" s="312"/>
      <c r="CJ416" s="312"/>
      <c r="CK416" s="312"/>
      <c r="CL416" s="312"/>
      <c r="CM416" s="312"/>
      <c r="CN416" s="312"/>
      <c r="CO416" s="312"/>
      <c r="CP416" s="312"/>
      <c r="CQ416" s="312"/>
      <c r="CR416" s="312"/>
      <c r="CS416" s="312"/>
      <c r="CT416" s="312"/>
      <c r="CU416" s="312"/>
      <c r="CV416" s="312"/>
      <c r="CW416" s="312"/>
      <c r="CX416" s="312"/>
      <c r="CY416" s="312"/>
      <c r="CZ416" s="312"/>
      <c r="DA416" s="312"/>
      <c r="DB416" s="312"/>
      <c r="DC416" s="312"/>
      <c r="DD416" s="312"/>
      <c r="DE416" s="312"/>
      <c r="DF416" s="312"/>
      <c r="DG416" s="312"/>
      <c r="DH416" s="312"/>
      <c r="DI416" s="312"/>
      <c r="DJ416" s="312"/>
      <c r="DK416" s="312"/>
      <c r="DL416" s="312"/>
      <c r="DM416" s="312"/>
      <c r="DN416" s="312"/>
      <c r="DO416" s="312"/>
      <c r="DP416" s="312"/>
      <c r="DQ416" s="312"/>
      <c r="DR416" s="312"/>
      <c r="DS416" s="312"/>
      <c r="DT416" s="312"/>
      <c r="DU416" s="312"/>
      <c r="DV416" s="312"/>
      <c r="DW416" s="312"/>
      <c r="DX416" s="312"/>
      <c r="DY416" s="312"/>
      <c r="DZ416" s="312"/>
      <c r="EA416" s="312"/>
      <c r="EB416" s="312"/>
      <c r="EC416" s="312"/>
      <c r="ED416" s="312"/>
      <c r="EE416" s="312"/>
      <c r="EF416" s="312"/>
      <c r="EG416" s="312"/>
      <c r="EH416" s="312"/>
      <c r="EI416" s="312"/>
      <c r="EJ416" s="312"/>
      <c r="EK416" s="312"/>
      <c r="EL416" s="312"/>
      <c r="EM416" s="312"/>
      <c r="EN416" s="312"/>
      <c r="EO416" s="312"/>
      <c r="EP416" s="312"/>
      <c r="EQ416" s="312"/>
      <c r="ER416" s="312"/>
      <c r="ES416" s="312"/>
      <c r="ET416" s="312"/>
      <c r="EU416" s="312"/>
      <c r="EV416" s="312"/>
      <c r="EW416" s="312"/>
      <c r="EX416" s="312"/>
      <c r="EY416" s="312"/>
      <c r="EZ416" s="312"/>
      <c r="FA416" s="312"/>
      <c r="FB416" s="312"/>
      <c r="FC416" s="312"/>
      <c r="FD416" s="312"/>
      <c r="FE416" s="312"/>
      <c r="FF416" s="312"/>
      <c r="FG416" s="312"/>
      <c r="FH416" s="312"/>
      <c r="FI416" s="312"/>
      <c r="FJ416" s="312"/>
      <c r="FK416" s="312"/>
      <c r="FL416" s="312"/>
      <c r="FM416" s="312"/>
      <c r="FN416" s="312"/>
      <c r="FO416" s="312"/>
      <c r="FP416" s="312"/>
      <c r="FQ416" s="312"/>
      <c r="FR416" s="312"/>
      <c r="FS416" s="312"/>
      <c r="FT416" s="312"/>
      <c r="FU416" s="312"/>
      <c r="FV416" s="312"/>
      <c r="FW416" s="312"/>
      <c r="FX416" s="312"/>
      <c r="FY416" s="312"/>
      <c r="FZ416" s="312"/>
      <c r="GA416" s="312"/>
      <c r="GB416" s="312"/>
      <c r="GC416" s="312"/>
      <c r="GD416" s="312"/>
      <c r="GE416" s="312"/>
      <c r="GF416" s="312"/>
      <c r="GG416" s="312"/>
      <c r="GH416" s="312"/>
      <c r="GI416" s="312"/>
      <c r="GJ416" s="312"/>
      <c r="GK416" s="312"/>
      <c r="GL416" s="312"/>
      <c r="GM416" s="312"/>
      <c r="GN416" s="312"/>
      <c r="GO416" s="312"/>
      <c r="GP416" s="312"/>
      <c r="GQ416" s="312"/>
      <c r="GR416" s="312"/>
      <c r="GS416" s="312"/>
      <c r="GT416" s="312"/>
      <c r="GU416" s="312"/>
      <c r="GV416" s="312"/>
      <c r="GW416" s="312"/>
      <c r="GX416" s="312"/>
      <c r="GY416" s="312"/>
    </row>
    <row r="417" spans="2:207" ht="15.75" x14ac:dyDescent="0.25">
      <c r="B417" s="316" t="str">
        <f t="shared" si="115"/>
        <v/>
      </c>
      <c r="C417" s="330" t="str">
        <f>'סיכום לוועדה'!B417</f>
        <v/>
      </c>
      <c r="D417" s="330" t="str">
        <f>'סיכום לוועדה'!C417</f>
        <v/>
      </c>
      <c r="E417" s="330" t="str">
        <f>'סיכום לוועדה'!D417</f>
        <v/>
      </c>
      <c r="F417" s="330" t="str">
        <f>'סיכום לוועדה'!E417</f>
        <v/>
      </c>
      <c r="G417" s="330" t="str">
        <f>'סיכום לוועדה'!F417</f>
        <v/>
      </c>
      <c r="H417" s="317" t="str">
        <f>'סיכום לוועדה'!G417</f>
        <v/>
      </c>
      <c r="I417" s="318" t="str">
        <f>'סיכום לוועדה'!U417</f>
        <v/>
      </c>
      <c r="J417" s="319" t="str">
        <f>'סיכום לוועדה'!T417</f>
        <v/>
      </c>
      <c r="K417" s="320" t="str">
        <f t="shared" si="116"/>
        <v/>
      </c>
      <c r="L417" s="319" t="str">
        <f t="shared" si="117"/>
        <v/>
      </c>
      <c r="M417" s="331" t="str">
        <f>'תחום תמיכה ב'!AF417</f>
        <v/>
      </c>
      <c r="N417" s="319" t="str">
        <f t="shared" si="114"/>
        <v/>
      </c>
      <c r="O417" s="321">
        <f t="shared" si="118"/>
        <v>0</v>
      </c>
      <c r="P417" s="322" t="str">
        <f t="shared" si="119"/>
        <v/>
      </c>
      <c r="Q417" s="322" t="str">
        <f t="shared" si="120"/>
        <v/>
      </c>
      <c r="R417" s="321">
        <f t="shared" si="121"/>
        <v>0</v>
      </c>
      <c r="S417" s="322" t="str">
        <f t="shared" si="122"/>
        <v/>
      </c>
      <c r="T417" s="322" t="str">
        <f t="shared" si="123"/>
        <v/>
      </c>
      <c r="U417" s="321">
        <f t="shared" si="124"/>
        <v>0</v>
      </c>
      <c r="V417" s="322" t="str">
        <f t="shared" si="125"/>
        <v/>
      </c>
      <c r="W417" s="322" t="str">
        <f t="shared" si="126"/>
        <v/>
      </c>
      <c r="X417" s="321">
        <f t="shared" si="127"/>
        <v>0</v>
      </c>
      <c r="Y417" s="322" t="str">
        <f t="shared" si="128"/>
        <v/>
      </c>
      <c r="Z417" s="322" t="str">
        <f t="shared" si="129"/>
        <v/>
      </c>
      <c r="AA417" s="323" t="str">
        <f t="shared" si="130"/>
        <v/>
      </c>
      <c r="AB417" s="323"/>
      <c r="AC417" s="323"/>
      <c r="AD417" s="323"/>
      <c r="AE417" s="323"/>
      <c r="AF417" s="324" t="str">
        <f t="shared" si="131"/>
        <v/>
      </c>
      <c r="AG417" s="312"/>
      <c r="AH417" s="312"/>
      <c r="AI417" s="325">
        <f t="shared" si="132"/>
        <v>0</v>
      </c>
      <c r="AJ417" s="312"/>
      <c r="AK417" s="312"/>
      <c r="AL417" s="312"/>
      <c r="AM417" s="312"/>
      <c r="AN417" s="312"/>
      <c r="AO417" s="312"/>
      <c r="AP417" s="312"/>
      <c r="AQ417" s="312"/>
      <c r="AR417" s="312"/>
      <c r="AS417" s="312"/>
      <c r="AT417" s="312"/>
      <c r="AU417" s="312"/>
      <c r="AV417" s="312"/>
      <c r="AW417" s="312"/>
      <c r="AX417" s="312"/>
      <c r="AY417" s="312"/>
      <c r="AZ417" s="312"/>
      <c r="BA417" s="312"/>
      <c r="BB417" s="312"/>
      <c r="BC417" s="312"/>
      <c r="BD417" s="312"/>
      <c r="BE417" s="312"/>
      <c r="BF417" s="312"/>
      <c r="BG417" s="312"/>
      <c r="BH417" s="312"/>
      <c r="BI417" s="312"/>
      <c r="BJ417" s="312"/>
      <c r="BK417" s="312"/>
      <c r="BL417" s="312"/>
      <c r="BM417" s="312"/>
      <c r="BN417" s="312"/>
      <c r="BO417" s="312"/>
      <c r="BP417" s="312"/>
      <c r="BQ417" s="312"/>
      <c r="BR417" s="312"/>
      <c r="BS417" s="312"/>
      <c r="BT417" s="312"/>
      <c r="BU417" s="312"/>
      <c r="BV417" s="312"/>
      <c r="BW417" s="312"/>
      <c r="BX417" s="312"/>
      <c r="BY417" s="312"/>
      <c r="BZ417" s="312"/>
      <c r="CA417" s="312"/>
      <c r="CB417" s="312"/>
      <c r="CC417" s="312"/>
      <c r="CD417" s="312"/>
      <c r="CE417" s="312"/>
      <c r="CF417" s="312"/>
      <c r="CG417" s="312"/>
      <c r="CH417" s="312"/>
      <c r="CI417" s="312"/>
      <c r="CJ417" s="312"/>
      <c r="CK417" s="312"/>
      <c r="CL417" s="312"/>
      <c r="CM417" s="312"/>
      <c r="CN417" s="312"/>
      <c r="CO417" s="312"/>
      <c r="CP417" s="312"/>
      <c r="CQ417" s="312"/>
      <c r="CR417" s="312"/>
      <c r="CS417" s="312"/>
      <c r="CT417" s="312"/>
      <c r="CU417" s="312"/>
      <c r="CV417" s="312"/>
      <c r="CW417" s="312"/>
      <c r="CX417" s="312"/>
      <c r="CY417" s="312"/>
      <c r="CZ417" s="312"/>
      <c r="DA417" s="312"/>
      <c r="DB417" s="312"/>
      <c r="DC417" s="312"/>
      <c r="DD417" s="312"/>
      <c r="DE417" s="312"/>
      <c r="DF417" s="312"/>
      <c r="DG417" s="312"/>
      <c r="DH417" s="312"/>
      <c r="DI417" s="312"/>
      <c r="DJ417" s="312"/>
      <c r="DK417" s="312"/>
      <c r="DL417" s="312"/>
      <c r="DM417" s="312"/>
      <c r="DN417" s="312"/>
      <c r="DO417" s="312"/>
      <c r="DP417" s="312"/>
      <c r="DQ417" s="312"/>
      <c r="DR417" s="312"/>
      <c r="DS417" s="312"/>
      <c r="DT417" s="312"/>
      <c r="DU417" s="312"/>
      <c r="DV417" s="312"/>
      <c r="DW417" s="312"/>
      <c r="DX417" s="312"/>
      <c r="DY417" s="312"/>
      <c r="DZ417" s="312"/>
      <c r="EA417" s="312"/>
      <c r="EB417" s="312"/>
      <c r="EC417" s="312"/>
      <c r="ED417" s="312"/>
      <c r="EE417" s="312"/>
      <c r="EF417" s="312"/>
      <c r="EG417" s="312"/>
      <c r="EH417" s="312"/>
      <c r="EI417" s="312"/>
      <c r="EJ417" s="312"/>
      <c r="EK417" s="312"/>
      <c r="EL417" s="312"/>
      <c r="EM417" s="312"/>
      <c r="EN417" s="312"/>
      <c r="EO417" s="312"/>
      <c r="EP417" s="312"/>
      <c r="EQ417" s="312"/>
      <c r="ER417" s="312"/>
      <c r="ES417" s="312"/>
      <c r="ET417" s="312"/>
      <c r="EU417" s="312"/>
      <c r="EV417" s="312"/>
      <c r="EW417" s="312"/>
      <c r="EX417" s="312"/>
      <c r="EY417" s="312"/>
      <c r="EZ417" s="312"/>
      <c r="FA417" s="312"/>
      <c r="FB417" s="312"/>
      <c r="FC417" s="312"/>
      <c r="FD417" s="312"/>
      <c r="FE417" s="312"/>
      <c r="FF417" s="312"/>
      <c r="FG417" s="312"/>
      <c r="FH417" s="312"/>
      <c r="FI417" s="312"/>
      <c r="FJ417" s="312"/>
      <c r="FK417" s="312"/>
      <c r="FL417" s="312"/>
      <c r="FM417" s="312"/>
      <c r="FN417" s="312"/>
      <c r="FO417" s="312"/>
      <c r="FP417" s="312"/>
      <c r="FQ417" s="312"/>
      <c r="FR417" s="312"/>
      <c r="FS417" s="312"/>
      <c r="FT417" s="312"/>
      <c r="FU417" s="312"/>
      <c r="FV417" s="312"/>
      <c r="FW417" s="312"/>
      <c r="FX417" s="312"/>
      <c r="FY417" s="312"/>
      <c r="FZ417" s="312"/>
      <c r="GA417" s="312"/>
      <c r="GB417" s="312"/>
      <c r="GC417" s="312"/>
      <c r="GD417" s="312"/>
      <c r="GE417" s="312"/>
      <c r="GF417" s="312"/>
      <c r="GG417" s="312"/>
      <c r="GH417" s="312"/>
      <c r="GI417" s="312"/>
      <c r="GJ417" s="312"/>
      <c r="GK417" s="312"/>
      <c r="GL417" s="312"/>
      <c r="GM417" s="312"/>
      <c r="GN417" s="312"/>
      <c r="GO417" s="312"/>
      <c r="GP417" s="312"/>
      <c r="GQ417" s="312"/>
      <c r="GR417" s="312"/>
      <c r="GS417" s="312"/>
      <c r="GT417" s="312"/>
      <c r="GU417" s="312"/>
      <c r="GV417" s="312"/>
      <c r="GW417" s="312"/>
      <c r="GX417" s="312"/>
      <c r="GY417" s="312"/>
    </row>
    <row r="418" spans="2:207" ht="15.75" x14ac:dyDescent="0.25">
      <c r="B418" s="316" t="str">
        <f t="shared" si="115"/>
        <v/>
      </c>
      <c r="C418" s="330" t="str">
        <f>'סיכום לוועדה'!B418</f>
        <v/>
      </c>
      <c r="D418" s="330" t="str">
        <f>'סיכום לוועדה'!C418</f>
        <v/>
      </c>
      <c r="E418" s="330" t="str">
        <f>'סיכום לוועדה'!D418</f>
        <v/>
      </c>
      <c r="F418" s="330" t="str">
        <f>'סיכום לוועדה'!E418</f>
        <v/>
      </c>
      <c r="G418" s="330" t="str">
        <f>'סיכום לוועדה'!F418</f>
        <v/>
      </c>
      <c r="H418" s="317" t="str">
        <f>'סיכום לוועדה'!G418</f>
        <v/>
      </c>
      <c r="I418" s="318" t="str">
        <f>'סיכום לוועדה'!U418</f>
        <v/>
      </c>
      <c r="J418" s="319" t="str">
        <f>'סיכום לוועדה'!T418</f>
        <v/>
      </c>
      <c r="K418" s="320" t="str">
        <f t="shared" si="116"/>
        <v/>
      </c>
      <c r="L418" s="319" t="str">
        <f t="shared" si="117"/>
        <v/>
      </c>
      <c r="M418" s="331" t="str">
        <f>'תחום תמיכה ב'!AF418</f>
        <v/>
      </c>
      <c r="N418" s="319" t="str">
        <f t="shared" si="114"/>
        <v/>
      </c>
      <c r="O418" s="321">
        <f t="shared" si="118"/>
        <v>0</v>
      </c>
      <c r="P418" s="322" t="str">
        <f t="shared" si="119"/>
        <v/>
      </c>
      <c r="Q418" s="322" t="str">
        <f t="shared" si="120"/>
        <v/>
      </c>
      <c r="R418" s="321">
        <f t="shared" si="121"/>
        <v>0</v>
      </c>
      <c r="S418" s="322" t="str">
        <f t="shared" si="122"/>
        <v/>
      </c>
      <c r="T418" s="322" t="str">
        <f t="shared" si="123"/>
        <v/>
      </c>
      <c r="U418" s="321">
        <f t="shared" si="124"/>
        <v>0</v>
      </c>
      <c r="V418" s="322" t="str">
        <f t="shared" si="125"/>
        <v/>
      </c>
      <c r="W418" s="322" t="str">
        <f t="shared" si="126"/>
        <v/>
      </c>
      <c r="X418" s="321">
        <f t="shared" si="127"/>
        <v>0</v>
      </c>
      <c r="Y418" s="322" t="str">
        <f t="shared" si="128"/>
        <v/>
      </c>
      <c r="Z418" s="322" t="str">
        <f t="shared" si="129"/>
        <v/>
      </c>
      <c r="AA418" s="323" t="str">
        <f t="shared" si="130"/>
        <v/>
      </c>
      <c r="AB418" s="323"/>
      <c r="AC418" s="323"/>
      <c r="AD418" s="323"/>
      <c r="AE418" s="323"/>
      <c r="AF418" s="324" t="str">
        <f t="shared" si="131"/>
        <v/>
      </c>
      <c r="AG418" s="312"/>
      <c r="AH418" s="312"/>
      <c r="AI418" s="325">
        <f t="shared" si="132"/>
        <v>0</v>
      </c>
      <c r="AJ418" s="312"/>
      <c r="AK418" s="312"/>
      <c r="AL418" s="312"/>
      <c r="AM418" s="312"/>
      <c r="AN418" s="312"/>
      <c r="AO418" s="312"/>
      <c r="AP418" s="312"/>
      <c r="AQ418" s="312"/>
      <c r="AR418" s="312"/>
      <c r="AS418" s="312"/>
      <c r="AT418" s="312"/>
      <c r="AU418" s="312"/>
      <c r="AV418" s="312"/>
      <c r="AW418" s="312"/>
      <c r="AX418" s="312"/>
      <c r="AY418" s="312"/>
      <c r="AZ418" s="312"/>
      <c r="BA418" s="312"/>
      <c r="BB418" s="312"/>
      <c r="BC418" s="312"/>
      <c r="BD418" s="312"/>
      <c r="BE418" s="312"/>
      <c r="BF418" s="312"/>
      <c r="BG418" s="312"/>
      <c r="BH418" s="312"/>
      <c r="BI418" s="312"/>
      <c r="BJ418" s="312"/>
      <c r="BK418" s="312"/>
      <c r="BL418" s="312"/>
      <c r="BM418" s="312"/>
      <c r="BN418" s="312"/>
      <c r="BO418" s="312"/>
      <c r="BP418" s="312"/>
      <c r="BQ418" s="312"/>
      <c r="BR418" s="312"/>
      <c r="BS418" s="312"/>
      <c r="BT418" s="312"/>
      <c r="BU418" s="312"/>
      <c r="BV418" s="312"/>
      <c r="BW418" s="312"/>
      <c r="BX418" s="312"/>
      <c r="BY418" s="312"/>
      <c r="BZ418" s="312"/>
      <c r="CA418" s="312"/>
      <c r="CB418" s="312"/>
      <c r="CC418" s="312"/>
      <c r="CD418" s="312"/>
      <c r="CE418" s="312"/>
      <c r="CF418" s="312"/>
      <c r="CG418" s="312"/>
      <c r="CH418" s="312"/>
      <c r="CI418" s="312"/>
      <c r="CJ418" s="312"/>
      <c r="CK418" s="312"/>
      <c r="CL418" s="312"/>
      <c r="CM418" s="312"/>
      <c r="CN418" s="312"/>
      <c r="CO418" s="312"/>
      <c r="CP418" s="312"/>
      <c r="CQ418" s="312"/>
      <c r="CR418" s="312"/>
      <c r="CS418" s="312"/>
      <c r="CT418" s="312"/>
      <c r="CU418" s="312"/>
      <c r="CV418" s="312"/>
      <c r="CW418" s="312"/>
      <c r="CX418" s="312"/>
      <c r="CY418" s="312"/>
      <c r="CZ418" s="312"/>
      <c r="DA418" s="312"/>
      <c r="DB418" s="312"/>
      <c r="DC418" s="312"/>
      <c r="DD418" s="312"/>
      <c r="DE418" s="312"/>
      <c r="DF418" s="312"/>
      <c r="DG418" s="312"/>
      <c r="DH418" s="312"/>
      <c r="DI418" s="312"/>
      <c r="DJ418" s="312"/>
      <c r="DK418" s="312"/>
      <c r="DL418" s="312"/>
      <c r="DM418" s="312"/>
      <c r="DN418" s="312"/>
      <c r="DO418" s="312"/>
      <c r="DP418" s="312"/>
      <c r="DQ418" s="312"/>
      <c r="DR418" s="312"/>
      <c r="DS418" s="312"/>
      <c r="DT418" s="312"/>
      <c r="DU418" s="312"/>
      <c r="DV418" s="312"/>
      <c r="DW418" s="312"/>
      <c r="DX418" s="312"/>
      <c r="DY418" s="312"/>
      <c r="DZ418" s="312"/>
      <c r="EA418" s="312"/>
      <c r="EB418" s="312"/>
      <c r="EC418" s="312"/>
      <c r="ED418" s="312"/>
      <c r="EE418" s="312"/>
      <c r="EF418" s="312"/>
      <c r="EG418" s="312"/>
      <c r="EH418" s="312"/>
      <c r="EI418" s="312"/>
      <c r="EJ418" s="312"/>
      <c r="EK418" s="312"/>
      <c r="EL418" s="312"/>
      <c r="EM418" s="312"/>
      <c r="EN418" s="312"/>
      <c r="EO418" s="312"/>
      <c r="EP418" s="312"/>
      <c r="EQ418" s="312"/>
      <c r="ER418" s="312"/>
      <c r="ES418" s="312"/>
      <c r="ET418" s="312"/>
      <c r="EU418" s="312"/>
      <c r="EV418" s="312"/>
      <c r="EW418" s="312"/>
      <c r="EX418" s="312"/>
      <c r="EY418" s="312"/>
      <c r="EZ418" s="312"/>
      <c r="FA418" s="312"/>
      <c r="FB418" s="312"/>
      <c r="FC418" s="312"/>
      <c r="FD418" s="312"/>
      <c r="FE418" s="312"/>
      <c r="FF418" s="312"/>
      <c r="FG418" s="312"/>
      <c r="FH418" s="312"/>
      <c r="FI418" s="312"/>
      <c r="FJ418" s="312"/>
      <c r="FK418" s="312"/>
      <c r="FL418" s="312"/>
      <c r="FM418" s="312"/>
      <c r="FN418" s="312"/>
      <c r="FO418" s="312"/>
      <c r="FP418" s="312"/>
      <c r="FQ418" s="312"/>
      <c r="FR418" s="312"/>
      <c r="FS418" s="312"/>
      <c r="FT418" s="312"/>
      <c r="FU418" s="312"/>
      <c r="FV418" s="312"/>
      <c r="FW418" s="312"/>
      <c r="FX418" s="312"/>
      <c r="FY418" s="312"/>
      <c r="FZ418" s="312"/>
      <c r="GA418" s="312"/>
      <c r="GB418" s="312"/>
      <c r="GC418" s="312"/>
      <c r="GD418" s="312"/>
      <c r="GE418" s="312"/>
      <c r="GF418" s="312"/>
      <c r="GG418" s="312"/>
      <c r="GH418" s="312"/>
      <c r="GI418" s="312"/>
      <c r="GJ418" s="312"/>
      <c r="GK418" s="312"/>
      <c r="GL418" s="312"/>
      <c r="GM418" s="312"/>
      <c r="GN418" s="312"/>
      <c r="GO418" s="312"/>
      <c r="GP418" s="312"/>
      <c r="GQ418" s="312"/>
      <c r="GR418" s="312"/>
      <c r="GS418" s="312"/>
      <c r="GT418" s="312"/>
      <c r="GU418" s="312"/>
      <c r="GV418" s="312"/>
      <c r="GW418" s="312"/>
      <c r="GX418" s="312"/>
      <c r="GY418" s="312"/>
    </row>
    <row r="419" spans="2:207" ht="15.75" x14ac:dyDescent="0.25">
      <c r="B419" s="316" t="str">
        <f t="shared" si="115"/>
        <v/>
      </c>
      <c r="C419" s="330" t="str">
        <f>'סיכום לוועדה'!B419</f>
        <v/>
      </c>
      <c r="D419" s="330" t="str">
        <f>'סיכום לוועדה'!C419</f>
        <v/>
      </c>
      <c r="E419" s="330" t="str">
        <f>'סיכום לוועדה'!D419</f>
        <v/>
      </c>
      <c r="F419" s="330" t="str">
        <f>'סיכום לוועדה'!E419</f>
        <v/>
      </c>
      <c r="G419" s="330" t="str">
        <f>'סיכום לוועדה'!F419</f>
        <v/>
      </c>
      <c r="H419" s="317" t="str">
        <f>'סיכום לוועדה'!G419</f>
        <v/>
      </c>
      <c r="I419" s="318" t="str">
        <f>'סיכום לוועדה'!U419</f>
        <v/>
      </c>
      <c r="J419" s="319" t="str">
        <f>'סיכום לוועדה'!T419</f>
        <v/>
      </c>
      <c r="K419" s="320" t="str">
        <f t="shared" si="116"/>
        <v/>
      </c>
      <c r="L419" s="319" t="str">
        <f t="shared" si="117"/>
        <v/>
      </c>
      <c r="M419" s="331" t="str">
        <f>'תחום תמיכה ב'!AF419</f>
        <v/>
      </c>
      <c r="N419" s="319" t="str">
        <f t="shared" si="114"/>
        <v/>
      </c>
      <c r="O419" s="321">
        <f t="shared" si="118"/>
        <v>0</v>
      </c>
      <c r="P419" s="322" t="str">
        <f t="shared" si="119"/>
        <v/>
      </c>
      <c r="Q419" s="322" t="str">
        <f t="shared" si="120"/>
        <v/>
      </c>
      <c r="R419" s="321">
        <f t="shared" si="121"/>
        <v>0</v>
      </c>
      <c r="S419" s="322" t="str">
        <f t="shared" si="122"/>
        <v/>
      </c>
      <c r="T419" s="322" t="str">
        <f t="shared" si="123"/>
        <v/>
      </c>
      <c r="U419" s="321">
        <f t="shared" si="124"/>
        <v>0</v>
      </c>
      <c r="V419" s="322" t="str">
        <f t="shared" si="125"/>
        <v/>
      </c>
      <c r="W419" s="322" t="str">
        <f t="shared" si="126"/>
        <v/>
      </c>
      <c r="X419" s="321">
        <f t="shared" si="127"/>
        <v>0</v>
      </c>
      <c r="Y419" s="322" t="str">
        <f t="shared" si="128"/>
        <v/>
      </c>
      <c r="Z419" s="322" t="str">
        <f t="shared" si="129"/>
        <v/>
      </c>
      <c r="AA419" s="323" t="str">
        <f t="shared" si="130"/>
        <v/>
      </c>
      <c r="AB419" s="323"/>
      <c r="AC419" s="323"/>
      <c r="AD419" s="323"/>
      <c r="AE419" s="323"/>
      <c r="AF419" s="324" t="str">
        <f t="shared" si="131"/>
        <v/>
      </c>
      <c r="AG419" s="312"/>
      <c r="AH419" s="312"/>
      <c r="AI419" s="325">
        <f t="shared" si="132"/>
        <v>0</v>
      </c>
      <c r="AJ419" s="312"/>
      <c r="AK419" s="312"/>
      <c r="AL419" s="312"/>
      <c r="AM419" s="312"/>
      <c r="AN419" s="312"/>
      <c r="AO419" s="312"/>
      <c r="AP419" s="312"/>
      <c r="AQ419" s="312"/>
      <c r="AR419" s="312"/>
      <c r="AS419" s="312"/>
      <c r="AT419" s="312"/>
      <c r="AU419" s="312"/>
      <c r="AV419" s="312"/>
      <c r="AW419" s="312"/>
      <c r="AX419" s="312"/>
      <c r="AY419" s="312"/>
      <c r="AZ419" s="312"/>
      <c r="BA419" s="312"/>
      <c r="BB419" s="312"/>
      <c r="BC419" s="312"/>
      <c r="BD419" s="312"/>
      <c r="BE419" s="312"/>
      <c r="BF419" s="312"/>
      <c r="BG419" s="312"/>
      <c r="BH419" s="312"/>
      <c r="BI419" s="312"/>
      <c r="BJ419" s="312"/>
      <c r="BK419" s="312"/>
      <c r="BL419" s="312"/>
      <c r="BM419" s="312"/>
      <c r="BN419" s="312"/>
      <c r="BO419" s="312"/>
      <c r="BP419" s="312"/>
      <c r="BQ419" s="312"/>
      <c r="BR419" s="312"/>
      <c r="BS419" s="312"/>
      <c r="BT419" s="312"/>
      <c r="BU419" s="312"/>
      <c r="BV419" s="312"/>
      <c r="BW419" s="312"/>
      <c r="BX419" s="312"/>
      <c r="BY419" s="312"/>
      <c r="BZ419" s="312"/>
      <c r="CA419" s="312"/>
      <c r="CB419" s="312"/>
      <c r="CC419" s="312"/>
      <c r="CD419" s="312"/>
      <c r="CE419" s="312"/>
      <c r="CF419" s="312"/>
      <c r="CG419" s="312"/>
      <c r="CH419" s="312"/>
      <c r="CI419" s="312"/>
      <c r="CJ419" s="312"/>
      <c r="CK419" s="312"/>
      <c r="CL419" s="312"/>
      <c r="CM419" s="312"/>
      <c r="CN419" s="312"/>
      <c r="CO419" s="312"/>
      <c r="CP419" s="312"/>
      <c r="CQ419" s="312"/>
      <c r="CR419" s="312"/>
      <c r="CS419" s="312"/>
      <c r="CT419" s="312"/>
      <c r="CU419" s="312"/>
      <c r="CV419" s="312"/>
      <c r="CW419" s="312"/>
      <c r="CX419" s="312"/>
      <c r="CY419" s="312"/>
      <c r="CZ419" s="312"/>
      <c r="DA419" s="312"/>
      <c r="DB419" s="312"/>
      <c r="DC419" s="312"/>
      <c r="DD419" s="312"/>
      <c r="DE419" s="312"/>
      <c r="DF419" s="312"/>
      <c r="DG419" s="312"/>
      <c r="DH419" s="312"/>
      <c r="DI419" s="312"/>
      <c r="DJ419" s="312"/>
      <c r="DK419" s="312"/>
      <c r="DL419" s="312"/>
      <c r="DM419" s="312"/>
      <c r="DN419" s="312"/>
      <c r="DO419" s="312"/>
      <c r="DP419" s="312"/>
      <c r="DQ419" s="312"/>
      <c r="DR419" s="312"/>
      <c r="DS419" s="312"/>
      <c r="DT419" s="312"/>
      <c r="DU419" s="312"/>
      <c r="DV419" s="312"/>
      <c r="DW419" s="312"/>
      <c r="DX419" s="312"/>
      <c r="DY419" s="312"/>
      <c r="DZ419" s="312"/>
      <c r="EA419" s="312"/>
      <c r="EB419" s="312"/>
      <c r="EC419" s="312"/>
      <c r="ED419" s="312"/>
      <c r="EE419" s="312"/>
      <c r="EF419" s="312"/>
      <c r="EG419" s="312"/>
      <c r="EH419" s="312"/>
      <c r="EI419" s="312"/>
      <c r="EJ419" s="312"/>
      <c r="EK419" s="312"/>
      <c r="EL419" s="312"/>
      <c r="EM419" s="312"/>
      <c r="EN419" s="312"/>
      <c r="EO419" s="312"/>
      <c r="EP419" s="312"/>
      <c r="EQ419" s="312"/>
      <c r="ER419" s="312"/>
      <c r="ES419" s="312"/>
      <c r="ET419" s="312"/>
      <c r="EU419" s="312"/>
      <c r="EV419" s="312"/>
      <c r="EW419" s="312"/>
      <c r="EX419" s="312"/>
      <c r="EY419" s="312"/>
      <c r="EZ419" s="312"/>
      <c r="FA419" s="312"/>
      <c r="FB419" s="312"/>
      <c r="FC419" s="312"/>
      <c r="FD419" s="312"/>
      <c r="FE419" s="312"/>
      <c r="FF419" s="312"/>
      <c r="FG419" s="312"/>
      <c r="FH419" s="312"/>
      <c r="FI419" s="312"/>
      <c r="FJ419" s="312"/>
      <c r="FK419" s="312"/>
      <c r="FL419" s="312"/>
      <c r="FM419" s="312"/>
      <c r="FN419" s="312"/>
      <c r="FO419" s="312"/>
      <c r="FP419" s="312"/>
      <c r="FQ419" s="312"/>
      <c r="FR419" s="312"/>
      <c r="FS419" s="312"/>
      <c r="FT419" s="312"/>
      <c r="FU419" s="312"/>
      <c r="FV419" s="312"/>
      <c r="FW419" s="312"/>
      <c r="FX419" s="312"/>
      <c r="FY419" s="312"/>
      <c r="FZ419" s="312"/>
      <c r="GA419" s="312"/>
      <c r="GB419" s="312"/>
      <c r="GC419" s="312"/>
      <c r="GD419" s="312"/>
      <c r="GE419" s="312"/>
      <c r="GF419" s="312"/>
      <c r="GG419" s="312"/>
      <c r="GH419" s="312"/>
      <c r="GI419" s="312"/>
      <c r="GJ419" s="312"/>
      <c r="GK419" s="312"/>
      <c r="GL419" s="312"/>
      <c r="GM419" s="312"/>
      <c r="GN419" s="312"/>
      <c r="GO419" s="312"/>
      <c r="GP419" s="312"/>
      <c r="GQ419" s="312"/>
      <c r="GR419" s="312"/>
      <c r="GS419" s="312"/>
      <c r="GT419" s="312"/>
      <c r="GU419" s="312"/>
      <c r="GV419" s="312"/>
      <c r="GW419" s="312"/>
      <c r="GX419" s="312"/>
      <c r="GY419" s="312"/>
    </row>
    <row r="420" spans="2:207" ht="15.75" x14ac:dyDescent="0.25">
      <c r="B420" s="316" t="str">
        <f t="shared" si="115"/>
        <v/>
      </c>
      <c r="C420" s="330" t="str">
        <f>'סיכום לוועדה'!B420</f>
        <v/>
      </c>
      <c r="D420" s="330" t="str">
        <f>'סיכום לוועדה'!C420</f>
        <v/>
      </c>
      <c r="E420" s="330" t="str">
        <f>'סיכום לוועדה'!D420</f>
        <v/>
      </c>
      <c r="F420" s="330" t="str">
        <f>'סיכום לוועדה'!E420</f>
        <v/>
      </c>
      <c r="G420" s="330" t="str">
        <f>'סיכום לוועדה'!F420</f>
        <v/>
      </c>
      <c r="H420" s="317" t="str">
        <f>'סיכום לוועדה'!G420</f>
        <v/>
      </c>
      <c r="I420" s="318" t="str">
        <f>'סיכום לוועדה'!U420</f>
        <v/>
      </c>
      <c r="J420" s="319" t="str">
        <f>'סיכום לוועדה'!T420</f>
        <v/>
      </c>
      <c r="K420" s="320" t="str">
        <f t="shared" si="116"/>
        <v/>
      </c>
      <c r="L420" s="319" t="str">
        <f t="shared" si="117"/>
        <v/>
      </c>
      <c r="M420" s="331" t="str">
        <f>'תחום תמיכה ב'!AF420</f>
        <v/>
      </c>
      <c r="N420" s="319" t="str">
        <f t="shared" si="114"/>
        <v/>
      </c>
      <c r="O420" s="321">
        <f t="shared" si="118"/>
        <v>0</v>
      </c>
      <c r="P420" s="322" t="str">
        <f t="shared" si="119"/>
        <v/>
      </c>
      <c r="Q420" s="322" t="str">
        <f t="shared" si="120"/>
        <v/>
      </c>
      <c r="R420" s="321">
        <f t="shared" si="121"/>
        <v>0</v>
      </c>
      <c r="S420" s="322" t="str">
        <f t="shared" si="122"/>
        <v/>
      </c>
      <c r="T420" s="322" t="str">
        <f t="shared" si="123"/>
        <v/>
      </c>
      <c r="U420" s="321">
        <f t="shared" si="124"/>
        <v>0</v>
      </c>
      <c r="V420" s="322" t="str">
        <f t="shared" si="125"/>
        <v/>
      </c>
      <c r="W420" s="322" t="str">
        <f t="shared" si="126"/>
        <v/>
      </c>
      <c r="X420" s="321">
        <f t="shared" si="127"/>
        <v>0</v>
      </c>
      <c r="Y420" s="322" t="str">
        <f t="shared" si="128"/>
        <v/>
      </c>
      <c r="Z420" s="322" t="str">
        <f t="shared" si="129"/>
        <v/>
      </c>
      <c r="AA420" s="323" t="str">
        <f t="shared" si="130"/>
        <v/>
      </c>
      <c r="AB420" s="323"/>
      <c r="AC420" s="323"/>
      <c r="AD420" s="323"/>
      <c r="AE420" s="323"/>
      <c r="AF420" s="324" t="str">
        <f t="shared" si="131"/>
        <v/>
      </c>
      <c r="AG420" s="312"/>
      <c r="AH420" s="312"/>
      <c r="AI420" s="325">
        <f t="shared" si="132"/>
        <v>0</v>
      </c>
      <c r="AJ420" s="312"/>
      <c r="AK420" s="312"/>
      <c r="AL420" s="312"/>
      <c r="AM420" s="312"/>
      <c r="AN420" s="312"/>
      <c r="AO420" s="312"/>
      <c r="AP420" s="312"/>
      <c r="AQ420" s="312"/>
      <c r="AR420" s="312"/>
      <c r="AS420" s="312"/>
      <c r="AT420" s="312"/>
      <c r="AU420" s="312"/>
      <c r="AV420" s="312"/>
      <c r="AW420" s="312"/>
      <c r="AX420" s="312"/>
      <c r="AY420" s="312"/>
      <c r="AZ420" s="312"/>
      <c r="BA420" s="312"/>
      <c r="BB420" s="312"/>
      <c r="BC420" s="312"/>
      <c r="BD420" s="312"/>
      <c r="BE420" s="312"/>
      <c r="BF420" s="312"/>
      <c r="BG420" s="312"/>
      <c r="BH420" s="312"/>
      <c r="BI420" s="312"/>
      <c r="BJ420" s="312"/>
      <c r="BK420" s="312"/>
      <c r="BL420" s="312"/>
      <c r="BM420" s="312"/>
      <c r="BN420" s="312"/>
      <c r="BO420" s="312"/>
      <c r="BP420" s="312"/>
      <c r="BQ420" s="312"/>
      <c r="BR420" s="312"/>
      <c r="BS420" s="312"/>
      <c r="BT420" s="312"/>
      <c r="BU420" s="312"/>
      <c r="BV420" s="312"/>
      <c r="BW420" s="312"/>
      <c r="BX420" s="312"/>
      <c r="BY420" s="312"/>
      <c r="BZ420" s="312"/>
      <c r="CA420" s="312"/>
      <c r="CB420" s="312"/>
      <c r="CC420" s="312"/>
      <c r="CD420" s="312"/>
      <c r="CE420" s="312"/>
      <c r="CF420" s="312"/>
      <c r="CG420" s="312"/>
      <c r="CH420" s="312"/>
      <c r="CI420" s="312"/>
      <c r="CJ420" s="312"/>
      <c r="CK420" s="312"/>
      <c r="CL420" s="312"/>
      <c r="CM420" s="312"/>
      <c r="CN420" s="312"/>
      <c r="CO420" s="312"/>
      <c r="CP420" s="312"/>
      <c r="CQ420" s="312"/>
      <c r="CR420" s="312"/>
      <c r="CS420" s="312"/>
      <c r="CT420" s="312"/>
      <c r="CU420" s="312"/>
      <c r="CV420" s="312"/>
      <c r="CW420" s="312"/>
      <c r="CX420" s="312"/>
      <c r="CY420" s="312"/>
      <c r="CZ420" s="312"/>
      <c r="DA420" s="312"/>
      <c r="DB420" s="312"/>
      <c r="DC420" s="312"/>
      <c r="DD420" s="312"/>
      <c r="DE420" s="312"/>
      <c r="DF420" s="312"/>
      <c r="DG420" s="312"/>
      <c r="DH420" s="312"/>
      <c r="DI420" s="312"/>
      <c r="DJ420" s="312"/>
      <c r="DK420" s="312"/>
      <c r="DL420" s="312"/>
      <c r="DM420" s="312"/>
      <c r="DN420" s="312"/>
      <c r="DO420" s="312"/>
      <c r="DP420" s="312"/>
      <c r="DQ420" s="312"/>
      <c r="DR420" s="312"/>
      <c r="DS420" s="312"/>
      <c r="DT420" s="312"/>
      <c r="DU420" s="312"/>
      <c r="DV420" s="312"/>
      <c r="DW420" s="312"/>
      <c r="DX420" s="312"/>
      <c r="DY420" s="312"/>
      <c r="DZ420" s="312"/>
      <c r="EA420" s="312"/>
      <c r="EB420" s="312"/>
      <c r="EC420" s="312"/>
      <c r="ED420" s="312"/>
      <c r="EE420" s="312"/>
      <c r="EF420" s="312"/>
      <c r="EG420" s="312"/>
      <c r="EH420" s="312"/>
      <c r="EI420" s="312"/>
      <c r="EJ420" s="312"/>
      <c r="EK420" s="312"/>
      <c r="EL420" s="312"/>
      <c r="EM420" s="312"/>
      <c r="EN420" s="312"/>
      <c r="EO420" s="312"/>
      <c r="EP420" s="312"/>
      <c r="EQ420" s="312"/>
      <c r="ER420" s="312"/>
      <c r="ES420" s="312"/>
      <c r="ET420" s="312"/>
      <c r="EU420" s="312"/>
      <c r="EV420" s="312"/>
      <c r="EW420" s="312"/>
      <c r="EX420" s="312"/>
      <c r="EY420" s="312"/>
      <c r="EZ420" s="312"/>
      <c r="FA420" s="312"/>
      <c r="FB420" s="312"/>
      <c r="FC420" s="312"/>
      <c r="FD420" s="312"/>
      <c r="FE420" s="312"/>
      <c r="FF420" s="312"/>
      <c r="FG420" s="312"/>
      <c r="FH420" s="312"/>
      <c r="FI420" s="312"/>
      <c r="FJ420" s="312"/>
      <c r="FK420" s="312"/>
      <c r="FL420" s="312"/>
      <c r="FM420" s="312"/>
      <c r="FN420" s="312"/>
      <c r="FO420" s="312"/>
      <c r="FP420" s="312"/>
      <c r="FQ420" s="312"/>
      <c r="FR420" s="312"/>
      <c r="FS420" s="312"/>
      <c r="FT420" s="312"/>
      <c r="FU420" s="312"/>
      <c r="FV420" s="312"/>
      <c r="FW420" s="312"/>
      <c r="FX420" s="312"/>
      <c r="FY420" s="312"/>
      <c r="FZ420" s="312"/>
      <c r="GA420" s="312"/>
      <c r="GB420" s="312"/>
      <c r="GC420" s="312"/>
      <c r="GD420" s="312"/>
      <c r="GE420" s="312"/>
      <c r="GF420" s="312"/>
      <c r="GG420" s="312"/>
      <c r="GH420" s="312"/>
      <c r="GI420" s="312"/>
      <c r="GJ420" s="312"/>
      <c r="GK420" s="312"/>
      <c r="GL420" s="312"/>
      <c r="GM420" s="312"/>
      <c r="GN420" s="312"/>
      <c r="GO420" s="312"/>
      <c r="GP420" s="312"/>
      <c r="GQ420" s="312"/>
      <c r="GR420" s="312"/>
      <c r="GS420" s="312"/>
      <c r="GT420" s="312"/>
      <c r="GU420" s="312"/>
      <c r="GV420" s="312"/>
      <c r="GW420" s="312"/>
      <c r="GX420" s="312"/>
      <c r="GY420" s="312"/>
    </row>
    <row r="421" spans="2:207" ht="15.75" x14ac:dyDescent="0.25">
      <c r="B421" s="316" t="str">
        <f t="shared" si="115"/>
        <v/>
      </c>
      <c r="C421" s="330" t="str">
        <f>'סיכום לוועדה'!B421</f>
        <v/>
      </c>
      <c r="D421" s="330" t="str">
        <f>'סיכום לוועדה'!C421</f>
        <v/>
      </c>
      <c r="E421" s="330" t="str">
        <f>'סיכום לוועדה'!D421</f>
        <v/>
      </c>
      <c r="F421" s="330" t="str">
        <f>'סיכום לוועדה'!E421</f>
        <v/>
      </c>
      <c r="G421" s="330" t="str">
        <f>'סיכום לוועדה'!F421</f>
        <v/>
      </c>
      <c r="H421" s="317" t="str">
        <f>'סיכום לוועדה'!G421</f>
        <v/>
      </c>
      <c r="I421" s="318" t="str">
        <f>'סיכום לוועדה'!U421</f>
        <v/>
      </c>
      <c r="J421" s="319" t="str">
        <f>'סיכום לוועדה'!T421</f>
        <v/>
      </c>
      <c r="K421" s="320" t="str">
        <f t="shared" si="116"/>
        <v/>
      </c>
      <c r="L421" s="319" t="str">
        <f t="shared" si="117"/>
        <v/>
      </c>
      <c r="M421" s="331" t="str">
        <f>'תחום תמיכה ב'!AF421</f>
        <v/>
      </c>
      <c r="N421" s="319" t="str">
        <f t="shared" si="114"/>
        <v/>
      </c>
      <c r="O421" s="321">
        <f t="shared" si="118"/>
        <v>0</v>
      </c>
      <c r="P421" s="322" t="str">
        <f t="shared" si="119"/>
        <v/>
      </c>
      <c r="Q421" s="322" t="str">
        <f t="shared" si="120"/>
        <v/>
      </c>
      <c r="R421" s="321">
        <f t="shared" si="121"/>
        <v>0</v>
      </c>
      <c r="S421" s="322" t="str">
        <f t="shared" si="122"/>
        <v/>
      </c>
      <c r="T421" s="322" t="str">
        <f t="shared" si="123"/>
        <v/>
      </c>
      <c r="U421" s="321">
        <f t="shared" si="124"/>
        <v>0</v>
      </c>
      <c r="V421" s="322" t="str">
        <f t="shared" si="125"/>
        <v/>
      </c>
      <c r="W421" s="322" t="str">
        <f t="shared" si="126"/>
        <v/>
      </c>
      <c r="X421" s="321">
        <f t="shared" si="127"/>
        <v>0</v>
      </c>
      <c r="Y421" s="322" t="str">
        <f t="shared" si="128"/>
        <v/>
      </c>
      <c r="Z421" s="322" t="str">
        <f t="shared" si="129"/>
        <v/>
      </c>
      <c r="AA421" s="323" t="str">
        <f t="shared" si="130"/>
        <v/>
      </c>
      <c r="AB421" s="323"/>
      <c r="AC421" s="323"/>
      <c r="AD421" s="323"/>
      <c r="AE421" s="323"/>
      <c r="AF421" s="324" t="str">
        <f t="shared" si="131"/>
        <v/>
      </c>
      <c r="AG421" s="312"/>
      <c r="AH421" s="312"/>
      <c r="AI421" s="325">
        <f t="shared" si="132"/>
        <v>0</v>
      </c>
      <c r="AJ421" s="312"/>
      <c r="AK421" s="312"/>
      <c r="AL421" s="312"/>
      <c r="AM421" s="312"/>
      <c r="AN421" s="312"/>
      <c r="AO421" s="312"/>
      <c r="AP421" s="312"/>
      <c r="AQ421" s="312"/>
      <c r="AR421" s="312"/>
      <c r="AS421" s="312"/>
      <c r="AT421" s="312"/>
      <c r="AU421" s="312"/>
      <c r="AV421" s="312"/>
      <c r="AW421" s="312"/>
      <c r="AX421" s="312"/>
      <c r="AY421" s="312"/>
      <c r="AZ421" s="312"/>
      <c r="BA421" s="312"/>
      <c r="BB421" s="312"/>
      <c r="BC421" s="312"/>
      <c r="BD421" s="312"/>
      <c r="BE421" s="312"/>
      <c r="BF421" s="312"/>
      <c r="BG421" s="312"/>
      <c r="BH421" s="312"/>
      <c r="BI421" s="312"/>
      <c r="BJ421" s="312"/>
      <c r="BK421" s="312"/>
      <c r="BL421" s="312"/>
      <c r="BM421" s="312"/>
      <c r="BN421" s="312"/>
      <c r="BO421" s="312"/>
      <c r="BP421" s="312"/>
      <c r="BQ421" s="312"/>
      <c r="BR421" s="312"/>
      <c r="BS421" s="312"/>
      <c r="BT421" s="312"/>
      <c r="BU421" s="312"/>
      <c r="BV421" s="312"/>
      <c r="BW421" s="312"/>
      <c r="BX421" s="312"/>
      <c r="BY421" s="312"/>
      <c r="BZ421" s="312"/>
      <c r="CA421" s="312"/>
      <c r="CB421" s="312"/>
      <c r="CC421" s="312"/>
      <c r="CD421" s="312"/>
      <c r="CE421" s="312"/>
      <c r="CF421" s="312"/>
      <c r="CG421" s="312"/>
      <c r="CH421" s="312"/>
      <c r="CI421" s="312"/>
      <c r="CJ421" s="312"/>
      <c r="CK421" s="312"/>
      <c r="CL421" s="312"/>
      <c r="CM421" s="312"/>
      <c r="CN421" s="312"/>
      <c r="CO421" s="312"/>
      <c r="CP421" s="312"/>
      <c r="CQ421" s="312"/>
      <c r="CR421" s="312"/>
      <c r="CS421" s="312"/>
      <c r="CT421" s="312"/>
      <c r="CU421" s="312"/>
      <c r="CV421" s="312"/>
      <c r="CW421" s="312"/>
      <c r="CX421" s="312"/>
      <c r="CY421" s="312"/>
      <c r="CZ421" s="312"/>
      <c r="DA421" s="312"/>
      <c r="DB421" s="312"/>
      <c r="DC421" s="312"/>
      <c r="DD421" s="312"/>
      <c r="DE421" s="312"/>
      <c r="DF421" s="312"/>
      <c r="DG421" s="312"/>
      <c r="DH421" s="312"/>
      <c r="DI421" s="312"/>
      <c r="DJ421" s="312"/>
      <c r="DK421" s="312"/>
      <c r="DL421" s="312"/>
      <c r="DM421" s="312"/>
      <c r="DN421" s="312"/>
      <c r="DO421" s="312"/>
      <c r="DP421" s="312"/>
      <c r="DQ421" s="312"/>
      <c r="DR421" s="312"/>
      <c r="DS421" s="312"/>
      <c r="DT421" s="312"/>
      <c r="DU421" s="312"/>
      <c r="DV421" s="312"/>
      <c r="DW421" s="312"/>
      <c r="DX421" s="312"/>
      <c r="DY421" s="312"/>
      <c r="DZ421" s="312"/>
      <c r="EA421" s="312"/>
      <c r="EB421" s="312"/>
      <c r="EC421" s="312"/>
      <c r="ED421" s="312"/>
      <c r="EE421" s="312"/>
      <c r="EF421" s="312"/>
      <c r="EG421" s="312"/>
      <c r="EH421" s="312"/>
      <c r="EI421" s="312"/>
      <c r="EJ421" s="312"/>
      <c r="EK421" s="312"/>
      <c r="EL421" s="312"/>
      <c r="EM421" s="312"/>
      <c r="EN421" s="312"/>
      <c r="EO421" s="312"/>
      <c r="EP421" s="312"/>
      <c r="EQ421" s="312"/>
      <c r="ER421" s="312"/>
      <c r="ES421" s="312"/>
      <c r="ET421" s="312"/>
      <c r="EU421" s="312"/>
      <c r="EV421" s="312"/>
      <c r="EW421" s="312"/>
      <c r="EX421" s="312"/>
      <c r="EY421" s="312"/>
      <c r="EZ421" s="312"/>
      <c r="FA421" s="312"/>
      <c r="FB421" s="312"/>
      <c r="FC421" s="312"/>
      <c r="FD421" s="312"/>
      <c r="FE421" s="312"/>
      <c r="FF421" s="312"/>
      <c r="FG421" s="312"/>
      <c r="FH421" s="312"/>
      <c r="FI421" s="312"/>
      <c r="FJ421" s="312"/>
      <c r="FK421" s="312"/>
      <c r="FL421" s="312"/>
      <c r="FM421" s="312"/>
      <c r="FN421" s="312"/>
      <c r="FO421" s="312"/>
      <c r="FP421" s="312"/>
      <c r="FQ421" s="312"/>
      <c r="FR421" s="312"/>
      <c r="FS421" s="312"/>
      <c r="FT421" s="312"/>
      <c r="FU421" s="312"/>
      <c r="FV421" s="312"/>
      <c r="FW421" s="312"/>
      <c r="FX421" s="312"/>
      <c r="FY421" s="312"/>
      <c r="FZ421" s="312"/>
      <c r="GA421" s="312"/>
      <c r="GB421" s="312"/>
      <c r="GC421" s="312"/>
      <c r="GD421" s="312"/>
      <c r="GE421" s="312"/>
      <c r="GF421" s="312"/>
      <c r="GG421" s="312"/>
      <c r="GH421" s="312"/>
      <c r="GI421" s="312"/>
      <c r="GJ421" s="312"/>
      <c r="GK421" s="312"/>
      <c r="GL421" s="312"/>
      <c r="GM421" s="312"/>
      <c r="GN421" s="312"/>
      <c r="GO421" s="312"/>
      <c r="GP421" s="312"/>
      <c r="GQ421" s="312"/>
      <c r="GR421" s="312"/>
      <c r="GS421" s="312"/>
      <c r="GT421" s="312"/>
      <c r="GU421" s="312"/>
      <c r="GV421" s="312"/>
      <c r="GW421" s="312"/>
      <c r="GX421" s="312"/>
      <c r="GY421" s="312"/>
    </row>
    <row r="422" spans="2:207" ht="15.75" x14ac:dyDescent="0.25">
      <c r="B422" s="316" t="str">
        <f t="shared" si="115"/>
        <v/>
      </c>
      <c r="C422" s="330" t="str">
        <f>'סיכום לוועדה'!B422</f>
        <v/>
      </c>
      <c r="D422" s="330" t="str">
        <f>'סיכום לוועדה'!C422</f>
        <v/>
      </c>
      <c r="E422" s="330" t="str">
        <f>'סיכום לוועדה'!D422</f>
        <v/>
      </c>
      <c r="F422" s="330" t="str">
        <f>'סיכום לוועדה'!E422</f>
        <v/>
      </c>
      <c r="G422" s="330" t="str">
        <f>'סיכום לוועדה'!F422</f>
        <v/>
      </c>
      <c r="H422" s="317" t="str">
        <f>'סיכום לוועדה'!G422</f>
        <v/>
      </c>
      <c r="I422" s="318" t="str">
        <f>'סיכום לוועדה'!U422</f>
        <v/>
      </c>
      <c r="J422" s="319" t="str">
        <f>'סיכום לוועדה'!T422</f>
        <v/>
      </c>
      <c r="K422" s="320" t="str">
        <f t="shared" si="116"/>
        <v/>
      </c>
      <c r="L422" s="319" t="str">
        <f t="shared" si="117"/>
        <v/>
      </c>
      <c r="M422" s="331" t="str">
        <f>'תחום תמיכה ב'!AF422</f>
        <v/>
      </c>
      <c r="N422" s="319" t="str">
        <f t="shared" si="114"/>
        <v/>
      </c>
      <c r="O422" s="321">
        <f t="shared" si="118"/>
        <v>0</v>
      </c>
      <c r="P422" s="322" t="str">
        <f t="shared" si="119"/>
        <v/>
      </c>
      <c r="Q422" s="322" t="str">
        <f t="shared" si="120"/>
        <v/>
      </c>
      <c r="R422" s="321">
        <f t="shared" si="121"/>
        <v>0</v>
      </c>
      <c r="S422" s="322" t="str">
        <f t="shared" si="122"/>
        <v/>
      </c>
      <c r="T422" s="322" t="str">
        <f t="shared" si="123"/>
        <v/>
      </c>
      <c r="U422" s="321">
        <f t="shared" si="124"/>
        <v>0</v>
      </c>
      <c r="V422" s="322" t="str">
        <f t="shared" si="125"/>
        <v/>
      </c>
      <c r="W422" s="322" t="str">
        <f t="shared" si="126"/>
        <v/>
      </c>
      <c r="X422" s="321">
        <f t="shared" si="127"/>
        <v>0</v>
      </c>
      <c r="Y422" s="322" t="str">
        <f t="shared" si="128"/>
        <v/>
      </c>
      <c r="Z422" s="322" t="str">
        <f t="shared" si="129"/>
        <v/>
      </c>
      <c r="AA422" s="323" t="str">
        <f t="shared" si="130"/>
        <v/>
      </c>
      <c r="AB422" s="323"/>
      <c r="AC422" s="323"/>
      <c r="AD422" s="323"/>
      <c r="AE422" s="323"/>
      <c r="AF422" s="324" t="str">
        <f t="shared" si="131"/>
        <v/>
      </c>
      <c r="AG422" s="312"/>
      <c r="AH422" s="312"/>
      <c r="AI422" s="325">
        <f t="shared" si="132"/>
        <v>0</v>
      </c>
      <c r="AJ422" s="312"/>
      <c r="AK422" s="312"/>
      <c r="AL422" s="312"/>
      <c r="AM422" s="312"/>
      <c r="AN422" s="312"/>
      <c r="AO422" s="312"/>
      <c r="AP422" s="312"/>
      <c r="AQ422" s="312"/>
      <c r="AR422" s="312"/>
      <c r="AS422" s="312"/>
      <c r="AT422" s="312"/>
      <c r="AU422" s="312"/>
      <c r="AV422" s="312"/>
      <c r="AW422" s="312"/>
      <c r="AX422" s="312"/>
      <c r="AY422" s="312"/>
      <c r="AZ422" s="312"/>
      <c r="BA422" s="312"/>
      <c r="BB422" s="312"/>
      <c r="BC422" s="312"/>
      <c r="BD422" s="312"/>
      <c r="BE422" s="312"/>
      <c r="BF422" s="312"/>
      <c r="BG422" s="312"/>
      <c r="BH422" s="312"/>
      <c r="BI422" s="312"/>
      <c r="BJ422" s="312"/>
      <c r="BK422" s="312"/>
      <c r="BL422" s="312"/>
      <c r="BM422" s="312"/>
      <c r="BN422" s="312"/>
      <c r="BO422" s="312"/>
      <c r="BP422" s="312"/>
      <c r="BQ422" s="312"/>
      <c r="BR422" s="312"/>
      <c r="BS422" s="312"/>
      <c r="BT422" s="312"/>
      <c r="BU422" s="312"/>
      <c r="BV422" s="312"/>
      <c r="BW422" s="312"/>
      <c r="BX422" s="312"/>
      <c r="BY422" s="312"/>
      <c r="BZ422" s="312"/>
      <c r="CA422" s="312"/>
      <c r="CB422" s="312"/>
      <c r="CC422" s="312"/>
      <c r="CD422" s="312"/>
      <c r="CE422" s="312"/>
      <c r="CF422" s="312"/>
      <c r="CG422" s="312"/>
      <c r="CH422" s="312"/>
      <c r="CI422" s="312"/>
      <c r="CJ422" s="312"/>
      <c r="CK422" s="312"/>
      <c r="CL422" s="312"/>
      <c r="CM422" s="312"/>
      <c r="CN422" s="312"/>
      <c r="CO422" s="312"/>
      <c r="CP422" s="312"/>
      <c r="CQ422" s="312"/>
      <c r="CR422" s="312"/>
      <c r="CS422" s="312"/>
      <c r="CT422" s="312"/>
      <c r="CU422" s="312"/>
      <c r="CV422" s="312"/>
      <c r="CW422" s="312"/>
      <c r="CX422" s="312"/>
      <c r="CY422" s="312"/>
      <c r="CZ422" s="312"/>
      <c r="DA422" s="312"/>
      <c r="DB422" s="312"/>
      <c r="DC422" s="312"/>
      <c r="DD422" s="312"/>
      <c r="DE422" s="312"/>
      <c r="DF422" s="312"/>
      <c r="DG422" s="312"/>
      <c r="DH422" s="312"/>
      <c r="DI422" s="312"/>
      <c r="DJ422" s="312"/>
      <c r="DK422" s="312"/>
      <c r="DL422" s="312"/>
      <c r="DM422" s="312"/>
      <c r="DN422" s="312"/>
      <c r="DO422" s="312"/>
      <c r="DP422" s="312"/>
      <c r="DQ422" s="312"/>
      <c r="DR422" s="312"/>
      <c r="DS422" s="312"/>
      <c r="DT422" s="312"/>
      <c r="DU422" s="312"/>
      <c r="DV422" s="312"/>
      <c r="DW422" s="312"/>
      <c r="DX422" s="312"/>
      <c r="DY422" s="312"/>
      <c r="DZ422" s="312"/>
      <c r="EA422" s="312"/>
      <c r="EB422" s="312"/>
      <c r="EC422" s="312"/>
      <c r="ED422" s="312"/>
      <c r="EE422" s="312"/>
      <c r="EF422" s="312"/>
      <c r="EG422" s="312"/>
      <c r="EH422" s="312"/>
      <c r="EI422" s="312"/>
      <c r="EJ422" s="312"/>
      <c r="EK422" s="312"/>
      <c r="EL422" s="312"/>
      <c r="EM422" s="312"/>
      <c r="EN422" s="312"/>
      <c r="EO422" s="312"/>
      <c r="EP422" s="312"/>
      <c r="EQ422" s="312"/>
      <c r="ER422" s="312"/>
      <c r="ES422" s="312"/>
      <c r="ET422" s="312"/>
      <c r="EU422" s="312"/>
      <c r="EV422" s="312"/>
      <c r="EW422" s="312"/>
      <c r="EX422" s="312"/>
      <c r="EY422" s="312"/>
      <c r="EZ422" s="312"/>
      <c r="FA422" s="312"/>
      <c r="FB422" s="312"/>
      <c r="FC422" s="312"/>
      <c r="FD422" s="312"/>
      <c r="FE422" s="312"/>
      <c r="FF422" s="312"/>
      <c r="FG422" s="312"/>
      <c r="FH422" s="312"/>
      <c r="FI422" s="312"/>
      <c r="FJ422" s="312"/>
      <c r="FK422" s="312"/>
      <c r="FL422" s="312"/>
      <c r="FM422" s="312"/>
      <c r="FN422" s="312"/>
      <c r="FO422" s="312"/>
      <c r="FP422" s="312"/>
      <c r="FQ422" s="312"/>
      <c r="FR422" s="312"/>
      <c r="FS422" s="312"/>
      <c r="FT422" s="312"/>
      <c r="FU422" s="312"/>
      <c r="FV422" s="312"/>
      <c r="FW422" s="312"/>
      <c r="FX422" s="312"/>
      <c r="FY422" s="312"/>
      <c r="FZ422" s="312"/>
      <c r="GA422" s="312"/>
      <c r="GB422" s="312"/>
      <c r="GC422" s="312"/>
      <c r="GD422" s="312"/>
      <c r="GE422" s="312"/>
      <c r="GF422" s="312"/>
      <c r="GG422" s="312"/>
      <c r="GH422" s="312"/>
      <c r="GI422" s="312"/>
      <c r="GJ422" s="312"/>
      <c r="GK422" s="312"/>
      <c r="GL422" s="312"/>
      <c r="GM422" s="312"/>
      <c r="GN422" s="312"/>
      <c r="GO422" s="312"/>
      <c r="GP422" s="312"/>
      <c r="GQ422" s="312"/>
      <c r="GR422" s="312"/>
      <c r="GS422" s="312"/>
      <c r="GT422" s="312"/>
      <c r="GU422" s="312"/>
      <c r="GV422" s="312"/>
      <c r="GW422" s="312"/>
      <c r="GX422" s="312"/>
      <c r="GY422" s="312"/>
    </row>
    <row r="423" spans="2:207" ht="15.75" x14ac:dyDescent="0.25">
      <c r="B423" s="316" t="str">
        <f t="shared" si="115"/>
        <v/>
      </c>
      <c r="C423" s="330" t="str">
        <f>'סיכום לוועדה'!B423</f>
        <v/>
      </c>
      <c r="D423" s="330" t="str">
        <f>'סיכום לוועדה'!C423</f>
        <v/>
      </c>
      <c r="E423" s="330" t="str">
        <f>'סיכום לוועדה'!D423</f>
        <v/>
      </c>
      <c r="F423" s="330" t="str">
        <f>'סיכום לוועדה'!E423</f>
        <v/>
      </c>
      <c r="G423" s="330" t="str">
        <f>'סיכום לוועדה'!F423</f>
        <v/>
      </c>
      <c r="H423" s="317" t="str">
        <f>'סיכום לוועדה'!G423</f>
        <v/>
      </c>
      <c r="I423" s="318" t="str">
        <f>'סיכום לוועדה'!U423</f>
        <v/>
      </c>
      <c r="J423" s="319" t="str">
        <f>'סיכום לוועדה'!T423</f>
        <v/>
      </c>
      <c r="K423" s="320" t="str">
        <f t="shared" si="116"/>
        <v/>
      </c>
      <c r="L423" s="319" t="str">
        <f t="shared" si="117"/>
        <v/>
      </c>
      <c r="M423" s="331" t="str">
        <f>'תחום תמיכה ב'!AF423</f>
        <v/>
      </c>
      <c r="N423" s="319" t="str">
        <f t="shared" si="114"/>
        <v/>
      </c>
      <c r="O423" s="321">
        <f t="shared" si="118"/>
        <v>0</v>
      </c>
      <c r="P423" s="322" t="str">
        <f t="shared" si="119"/>
        <v/>
      </c>
      <c r="Q423" s="322" t="str">
        <f t="shared" si="120"/>
        <v/>
      </c>
      <c r="R423" s="321">
        <f t="shared" si="121"/>
        <v>0</v>
      </c>
      <c r="S423" s="322" t="str">
        <f t="shared" si="122"/>
        <v/>
      </c>
      <c r="T423" s="322" t="str">
        <f t="shared" si="123"/>
        <v/>
      </c>
      <c r="U423" s="321">
        <f t="shared" si="124"/>
        <v>0</v>
      </c>
      <c r="V423" s="322" t="str">
        <f t="shared" si="125"/>
        <v/>
      </c>
      <c r="W423" s="322" t="str">
        <f t="shared" si="126"/>
        <v/>
      </c>
      <c r="X423" s="321">
        <f t="shared" si="127"/>
        <v>0</v>
      </c>
      <c r="Y423" s="322" t="str">
        <f t="shared" si="128"/>
        <v/>
      </c>
      <c r="Z423" s="322" t="str">
        <f t="shared" si="129"/>
        <v/>
      </c>
      <c r="AA423" s="323" t="str">
        <f t="shared" si="130"/>
        <v/>
      </c>
      <c r="AB423" s="323"/>
      <c r="AC423" s="323"/>
      <c r="AD423" s="323"/>
      <c r="AE423" s="323"/>
      <c r="AF423" s="324" t="str">
        <f t="shared" si="131"/>
        <v/>
      </c>
      <c r="AG423" s="312"/>
      <c r="AH423" s="312"/>
      <c r="AI423" s="325">
        <f t="shared" si="132"/>
        <v>0</v>
      </c>
      <c r="AJ423" s="312"/>
      <c r="AK423" s="312"/>
      <c r="AL423" s="312"/>
      <c r="AM423" s="312"/>
      <c r="AN423" s="312"/>
      <c r="AO423" s="312"/>
      <c r="AP423" s="312"/>
      <c r="AQ423" s="312"/>
      <c r="AR423" s="312"/>
      <c r="AS423" s="312"/>
      <c r="AT423" s="312"/>
      <c r="AU423" s="312"/>
      <c r="AV423" s="312"/>
      <c r="AW423" s="312"/>
      <c r="AX423" s="312"/>
      <c r="AY423" s="312"/>
      <c r="AZ423" s="312"/>
      <c r="BA423" s="312"/>
      <c r="BB423" s="312"/>
      <c r="BC423" s="312"/>
      <c r="BD423" s="312"/>
      <c r="BE423" s="312"/>
      <c r="BF423" s="312"/>
      <c r="BG423" s="312"/>
      <c r="BH423" s="312"/>
      <c r="BI423" s="312"/>
      <c r="BJ423" s="312"/>
      <c r="BK423" s="312"/>
      <c r="BL423" s="312"/>
      <c r="BM423" s="312"/>
      <c r="BN423" s="312"/>
      <c r="BO423" s="312"/>
      <c r="BP423" s="312"/>
      <c r="BQ423" s="312"/>
      <c r="BR423" s="312"/>
      <c r="BS423" s="312"/>
      <c r="BT423" s="312"/>
      <c r="BU423" s="312"/>
      <c r="BV423" s="312"/>
      <c r="BW423" s="312"/>
      <c r="BX423" s="312"/>
      <c r="BY423" s="312"/>
      <c r="BZ423" s="312"/>
      <c r="CA423" s="312"/>
      <c r="CB423" s="312"/>
      <c r="CC423" s="312"/>
      <c r="CD423" s="312"/>
      <c r="CE423" s="312"/>
      <c r="CF423" s="312"/>
      <c r="CG423" s="312"/>
      <c r="CH423" s="312"/>
      <c r="CI423" s="312"/>
      <c r="CJ423" s="312"/>
      <c r="CK423" s="312"/>
      <c r="CL423" s="312"/>
      <c r="CM423" s="312"/>
      <c r="CN423" s="312"/>
      <c r="CO423" s="312"/>
      <c r="CP423" s="312"/>
      <c r="CQ423" s="312"/>
      <c r="CR423" s="312"/>
      <c r="CS423" s="312"/>
      <c r="CT423" s="312"/>
      <c r="CU423" s="312"/>
      <c r="CV423" s="312"/>
      <c r="CW423" s="312"/>
      <c r="CX423" s="312"/>
      <c r="CY423" s="312"/>
      <c r="CZ423" s="312"/>
      <c r="DA423" s="312"/>
      <c r="DB423" s="312"/>
      <c r="DC423" s="312"/>
      <c r="DD423" s="312"/>
      <c r="DE423" s="312"/>
      <c r="DF423" s="312"/>
      <c r="DG423" s="312"/>
      <c r="DH423" s="312"/>
      <c r="DI423" s="312"/>
      <c r="DJ423" s="312"/>
      <c r="DK423" s="312"/>
      <c r="DL423" s="312"/>
      <c r="DM423" s="312"/>
      <c r="DN423" s="312"/>
      <c r="DO423" s="312"/>
      <c r="DP423" s="312"/>
      <c r="DQ423" s="312"/>
      <c r="DR423" s="312"/>
      <c r="DS423" s="312"/>
      <c r="DT423" s="312"/>
      <c r="DU423" s="312"/>
      <c r="DV423" s="312"/>
      <c r="DW423" s="312"/>
      <c r="DX423" s="312"/>
      <c r="DY423" s="312"/>
      <c r="DZ423" s="312"/>
      <c r="EA423" s="312"/>
      <c r="EB423" s="312"/>
      <c r="EC423" s="312"/>
      <c r="ED423" s="312"/>
      <c r="EE423" s="312"/>
      <c r="EF423" s="312"/>
      <c r="EG423" s="312"/>
      <c r="EH423" s="312"/>
      <c r="EI423" s="312"/>
      <c r="EJ423" s="312"/>
      <c r="EK423" s="312"/>
      <c r="EL423" s="312"/>
      <c r="EM423" s="312"/>
      <c r="EN423" s="312"/>
      <c r="EO423" s="312"/>
      <c r="EP423" s="312"/>
      <c r="EQ423" s="312"/>
      <c r="ER423" s="312"/>
      <c r="ES423" s="312"/>
      <c r="ET423" s="312"/>
      <c r="EU423" s="312"/>
      <c r="EV423" s="312"/>
      <c r="EW423" s="312"/>
      <c r="EX423" s="312"/>
      <c r="EY423" s="312"/>
      <c r="EZ423" s="312"/>
      <c r="FA423" s="312"/>
      <c r="FB423" s="312"/>
      <c r="FC423" s="312"/>
      <c r="FD423" s="312"/>
      <c r="FE423" s="312"/>
      <c r="FF423" s="312"/>
      <c r="FG423" s="312"/>
      <c r="FH423" s="312"/>
      <c r="FI423" s="312"/>
      <c r="FJ423" s="312"/>
      <c r="FK423" s="312"/>
      <c r="FL423" s="312"/>
      <c r="FM423" s="312"/>
      <c r="FN423" s="312"/>
      <c r="FO423" s="312"/>
      <c r="FP423" s="312"/>
      <c r="FQ423" s="312"/>
      <c r="FR423" s="312"/>
      <c r="FS423" s="312"/>
      <c r="FT423" s="312"/>
      <c r="FU423" s="312"/>
      <c r="FV423" s="312"/>
      <c r="FW423" s="312"/>
      <c r="FX423" s="312"/>
      <c r="FY423" s="312"/>
      <c r="FZ423" s="312"/>
      <c r="GA423" s="312"/>
      <c r="GB423" s="312"/>
      <c r="GC423" s="312"/>
      <c r="GD423" s="312"/>
      <c r="GE423" s="312"/>
      <c r="GF423" s="312"/>
      <c r="GG423" s="312"/>
      <c r="GH423" s="312"/>
      <c r="GI423" s="312"/>
      <c r="GJ423" s="312"/>
      <c r="GK423" s="312"/>
      <c r="GL423" s="312"/>
      <c r="GM423" s="312"/>
      <c r="GN423" s="312"/>
      <c r="GO423" s="312"/>
      <c r="GP423" s="312"/>
      <c r="GQ423" s="312"/>
      <c r="GR423" s="312"/>
      <c r="GS423" s="312"/>
      <c r="GT423" s="312"/>
      <c r="GU423" s="312"/>
      <c r="GV423" s="312"/>
      <c r="GW423" s="312"/>
      <c r="GX423" s="312"/>
      <c r="GY423" s="312"/>
    </row>
    <row r="424" spans="2:207" ht="15.75" x14ac:dyDescent="0.25">
      <c r="B424" s="316" t="str">
        <f t="shared" si="115"/>
        <v/>
      </c>
      <c r="C424" s="330" t="str">
        <f>'סיכום לוועדה'!B424</f>
        <v/>
      </c>
      <c r="D424" s="330" t="str">
        <f>'סיכום לוועדה'!C424</f>
        <v/>
      </c>
      <c r="E424" s="330" t="str">
        <f>'סיכום לוועדה'!D424</f>
        <v/>
      </c>
      <c r="F424" s="330" t="str">
        <f>'סיכום לוועדה'!E424</f>
        <v/>
      </c>
      <c r="G424" s="330" t="str">
        <f>'סיכום לוועדה'!F424</f>
        <v/>
      </c>
      <c r="H424" s="317" t="str">
        <f>'סיכום לוועדה'!G424</f>
        <v/>
      </c>
      <c r="I424" s="318" t="str">
        <f>'סיכום לוועדה'!U424</f>
        <v/>
      </c>
      <c r="J424" s="319" t="str">
        <f>'סיכום לוועדה'!T424</f>
        <v/>
      </c>
      <c r="K424" s="320" t="str">
        <f t="shared" si="116"/>
        <v/>
      </c>
      <c r="L424" s="319" t="str">
        <f t="shared" si="117"/>
        <v/>
      </c>
      <c r="M424" s="331" t="str">
        <f>'תחום תמיכה ב'!AF424</f>
        <v/>
      </c>
      <c r="N424" s="319" t="str">
        <f t="shared" si="114"/>
        <v/>
      </c>
      <c r="O424" s="321">
        <f t="shared" si="118"/>
        <v>0</v>
      </c>
      <c r="P424" s="322" t="str">
        <f t="shared" si="119"/>
        <v/>
      </c>
      <c r="Q424" s="322" t="str">
        <f t="shared" si="120"/>
        <v/>
      </c>
      <c r="R424" s="321">
        <f t="shared" si="121"/>
        <v>0</v>
      </c>
      <c r="S424" s="322" t="str">
        <f t="shared" si="122"/>
        <v/>
      </c>
      <c r="T424" s="322" t="str">
        <f t="shared" si="123"/>
        <v/>
      </c>
      <c r="U424" s="321">
        <f t="shared" si="124"/>
        <v>0</v>
      </c>
      <c r="V424" s="322" t="str">
        <f t="shared" si="125"/>
        <v/>
      </c>
      <c r="W424" s="322" t="str">
        <f t="shared" si="126"/>
        <v/>
      </c>
      <c r="X424" s="321">
        <f t="shared" si="127"/>
        <v>0</v>
      </c>
      <c r="Y424" s="322" t="str">
        <f t="shared" si="128"/>
        <v/>
      </c>
      <c r="Z424" s="322" t="str">
        <f t="shared" si="129"/>
        <v/>
      </c>
      <c r="AA424" s="323" t="str">
        <f t="shared" si="130"/>
        <v/>
      </c>
      <c r="AB424" s="323"/>
      <c r="AC424" s="323"/>
      <c r="AD424" s="323"/>
      <c r="AE424" s="323"/>
      <c r="AF424" s="324" t="str">
        <f t="shared" si="131"/>
        <v/>
      </c>
      <c r="AG424" s="312"/>
      <c r="AH424" s="312"/>
      <c r="AI424" s="325">
        <f t="shared" si="132"/>
        <v>0</v>
      </c>
      <c r="AJ424" s="312"/>
      <c r="AK424" s="312"/>
      <c r="AL424" s="312"/>
      <c r="AM424" s="312"/>
      <c r="AN424" s="312"/>
      <c r="AO424" s="312"/>
      <c r="AP424" s="312"/>
      <c r="AQ424" s="312"/>
      <c r="AR424" s="312"/>
      <c r="AS424" s="312"/>
      <c r="AT424" s="312"/>
      <c r="AU424" s="312"/>
      <c r="AV424" s="312"/>
      <c r="AW424" s="312"/>
      <c r="AX424" s="312"/>
      <c r="AY424" s="312"/>
      <c r="AZ424" s="312"/>
      <c r="BA424" s="312"/>
      <c r="BB424" s="312"/>
      <c r="BC424" s="312"/>
      <c r="BD424" s="312"/>
      <c r="BE424" s="312"/>
      <c r="BF424" s="312"/>
      <c r="BG424" s="312"/>
      <c r="BH424" s="312"/>
      <c r="BI424" s="312"/>
      <c r="BJ424" s="312"/>
      <c r="BK424" s="312"/>
      <c r="BL424" s="312"/>
      <c r="BM424" s="312"/>
      <c r="BN424" s="312"/>
      <c r="BO424" s="312"/>
      <c r="BP424" s="312"/>
      <c r="BQ424" s="312"/>
      <c r="BR424" s="312"/>
      <c r="BS424" s="312"/>
      <c r="BT424" s="312"/>
      <c r="BU424" s="312"/>
      <c r="BV424" s="312"/>
      <c r="BW424" s="312"/>
      <c r="BX424" s="312"/>
      <c r="BY424" s="312"/>
      <c r="BZ424" s="312"/>
      <c r="CA424" s="312"/>
      <c r="CB424" s="312"/>
      <c r="CC424" s="312"/>
      <c r="CD424" s="312"/>
      <c r="CE424" s="312"/>
      <c r="CF424" s="312"/>
      <c r="CG424" s="312"/>
      <c r="CH424" s="312"/>
      <c r="CI424" s="312"/>
      <c r="CJ424" s="312"/>
      <c r="CK424" s="312"/>
      <c r="CL424" s="312"/>
      <c r="CM424" s="312"/>
      <c r="CN424" s="312"/>
      <c r="CO424" s="312"/>
      <c r="CP424" s="312"/>
      <c r="CQ424" s="312"/>
      <c r="CR424" s="312"/>
      <c r="CS424" s="312"/>
      <c r="CT424" s="312"/>
      <c r="CU424" s="312"/>
      <c r="CV424" s="312"/>
      <c r="CW424" s="312"/>
      <c r="CX424" s="312"/>
      <c r="CY424" s="312"/>
      <c r="CZ424" s="312"/>
      <c r="DA424" s="312"/>
      <c r="DB424" s="312"/>
      <c r="DC424" s="312"/>
      <c r="DD424" s="312"/>
      <c r="DE424" s="312"/>
      <c r="DF424" s="312"/>
      <c r="DG424" s="312"/>
      <c r="DH424" s="312"/>
      <c r="DI424" s="312"/>
      <c r="DJ424" s="312"/>
      <c r="DK424" s="312"/>
      <c r="DL424" s="312"/>
      <c r="DM424" s="312"/>
      <c r="DN424" s="312"/>
      <c r="DO424" s="312"/>
      <c r="DP424" s="312"/>
      <c r="DQ424" s="312"/>
      <c r="DR424" s="312"/>
      <c r="DS424" s="312"/>
      <c r="DT424" s="312"/>
      <c r="DU424" s="312"/>
      <c r="DV424" s="312"/>
      <c r="DW424" s="312"/>
      <c r="DX424" s="312"/>
      <c r="DY424" s="312"/>
      <c r="DZ424" s="312"/>
      <c r="EA424" s="312"/>
      <c r="EB424" s="312"/>
      <c r="EC424" s="312"/>
      <c r="ED424" s="312"/>
      <c r="EE424" s="312"/>
      <c r="EF424" s="312"/>
      <c r="EG424" s="312"/>
      <c r="EH424" s="312"/>
      <c r="EI424" s="312"/>
      <c r="EJ424" s="312"/>
      <c r="EK424" s="312"/>
      <c r="EL424" s="312"/>
      <c r="EM424" s="312"/>
      <c r="EN424" s="312"/>
      <c r="EO424" s="312"/>
      <c r="EP424" s="312"/>
      <c r="EQ424" s="312"/>
      <c r="ER424" s="312"/>
      <c r="ES424" s="312"/>
      <c r="ET424" s="312"/>
      <c r="EU424" s="312"/>
      <c r="EV424" s="312"/>
      <c r="EW424" s="312"/>
      <c r="EX424" s="312"/>
      <c r="EY424" s="312"/>
      <c r="EZ424" s="312"/>
      <c r="FA424" s="312"/>
      <c r="FB424" s="312"/>
      <c r="FC424" s="312"/>
      <c r="FD424" s="312"/>
      <c r="FE424" s="312"/>
      <c r="FF424" s="312"/>
      <c r="FG424" s="312"/>
      <c r="FH424" s="312"/>
      <c r="FI424" s="312"/>
      <c r="FJ424" s="312"/>
      <c r="FK424" s="312"/>
      <c r="FL424" s="312"/>
      <c r="FM424" s="312"/>
      <c r="FN424" s="312"/>
      <c r="FO424" s="312"/>
      <c r="FP424" s="312"/>
      <c r="FQ424" s="312"/>
      <c r="FR424" s="312"/>
      <c r="FS424" s="312"/>
      <c r="FT424" s="312"/>
      <c r="FU424" s="312"/>
      <c r="FV424" s="312"/>
      <c r="FW424" s="312"/>
      <c r="FX424" s="312"/>
      <c r="FY424" s="312"/>
      <c r="FZ424" s="312"/>
      <c r="GA424" s="312"/>
      <c r="GB424" s="312"/>
      <c r="GC424" s="312"/>
      <c r="GD424" s="312"/>
      <c r="GE424" s="312"/>
      <c r="GF424" s="312"/>
      <c r="GG424" s="312"/>
      <c r="GH424" s="312"/>
      <c r="GI424" s="312"/>
      <c r="GJ424" s="312"/>
      <c r="GK424" s="312"/>
      <c r="GL424" s="312"/>
      <c r="GM424" s="312"/>
      <c r="GN424" s="312"/>
      <c r="GO424" s="312"/>
      <c r="GP424" s="312"/>
      <c r="GQ424" s="312"/>
      <c r="GR424" s="312"/>
      <c r="GS424" s="312"/>
      <c r="GT424" s="312"/>
      <c r="GU424" s="312"/>
      <c r="GV424" s="312"/>
      <c r="GW424" s="312"/>
      <c r="GX424" s="312"/>
      <c r="GY424" s="312"/>
    </row>
    <row r="425" spans="2:207" ht="15.75" x14ac:dyDescent="0.25">
      <c r="B425" s="316" t="str">
        <f t="shared" si="115"/>
        <v/>
      </c>
      <c r="C425" s="330" t="str">
        <f>'סיכום לוועדה'!B425</f>
        <v/>
      </c>
      <c r="D425" s="330" t="str">
        <f>'סיכום לוועדה'!C425</f>
        <v/>
      </c>
      <c r="E425" s="330" t="str">
        <f>'סיכום לוועדה'!D425</f>
        <v/>
      </c>
      <c r="F425" s="330" t="str">
        <f>'סיכום לוועדה'!E425</f>
        <v/>
      </c>
      <c r="G425" s="330" t="str">
        <f>'סיכום לוועדה'!F425</f>
        <v/>
      </c>
      <c r="H425" s="317" t="str">
        <f>'סיכום לוועדה'!G425</f>
        <v/>
      </c>
      <c r="I425" s="318" t="str">
        <f>'סיכום לוועדה'!U425</f>
        <v/>
      </c>
      <c r="J425" s="319" t="str">
        <f>'סיכום לוועדה'!T425</f>
        <v/>
      </c>
      <c r="K425" s="320" t="str">
        <f t="shared" si="116"/>
        <v/>
      </c>
      <c r="L425" s="319" t="str">
        <f t="shared" si="117"/>
        <v/>
      </c>
      <c r="M425" s="331" t="str">
        <f>'תחום תמיכה ב'!AF425</f>
        <v/>
      </c>
      <c r="N425" s="319" t="str">
        <f t="shared" si="114"/>
        <v/>
      </c>
      <c r="O425" s="321">
        <f t="shared" si="118"/>
        <v>0</v>
      </c>
      <c r="P425" s="322" t="str">
        <f t="shared" si="119"/>
        <v/>
      </c>
      <c r="Q425" s="322" t="str">
        <f t="shared" si="120"/>
        <v/>
      </c>
      <c r="R425" s="321">
        <f t="shared" si="121"/>
        <v>0</v>
      </c>
      <c r="S425" s="322" t="str">
        <f t="shared" si="122"/>
        <v/>
      </c>
      <c r="T425" s="322" t="str">
        <f t="shared" si="123"/>
        <v/>
      </c>
      <c r="U425" s="321">
        <f t="shared" si="124"/>
        <v>0</v>
      </c>
      <c r="V425" s="322" t="str">
        <f t="shared" si="125"/>
        <v/>
      </c>
      <c r="W425" s="322" t="str">
        <f t="shared" si="126"/>
        <v/>
      </c>
      <c r="X425" s="321">
        <f t="shared" si="127"/>
        <v>0</v>
      </c>
      <c r="Y425" s="322" t="str">
        <f t="shared" si="128"/>
        <v/>
      </c>
      <c r="Z425" s="322" t="str">
        <f t="shared" si="129"/>
        <v/>
      </c>
      <c r="AA425" s="323" t="str">
        <f t="shared" si="130"/>
        <v/>
      </c>
      <c r="AB425" s="323"/>
      <c r="AC425" s="323"/>
      <c r="AD425" s="323"/>
      <c r="AE425" s="323"/>
      <c r="AF425" s="324" t="str">
        <f t="shared" si="131"/>
        <v/>
      </c>
      <c r="AG425" s="312"/>
      <c r="AH425" s="312"/>
      <c r="AI425" s="325">
        <f t="shared" si="132"/>
        <v>0</v>
      </c>
      <c r="AJ425" s="312"/>
      <c r="AK425" s="312"/>
      <c r="AL425" s="312"/>
      <c r="AM425" s="312"/>
      <c r="AN425" s="312"/>
      <c r="AO425" s="312"/>
      <c r="AP425" s="312"/>
      <c r="AQ425" s="312"/>
      <c r="AR425" s="312"/>
      <c r="AS425" s="312"/>
      <c r="AT425" s="312"/>
      <c r="AU425" s="312"/>
      <c r="AV425" s="312"/>
      <c r="AW425" s="312"/>
      <c r="AX425" s="312"/>
      <c r="AY425" s="312"/>
      <c r="AZ425" s="312"/>
      <c r="BA425" s="312"/>
      <c r="BB425" s="312"/>
      <c r="BC425" s="312"/>
      <c r="BD425" s="312"/>
      <c r="BE425" s="312"/>
      <c r="BF425" s="312"/>
      <c r="BG425" s="312"/>
      <c r="BH425" s="312"/>
      <c r="BI425" s="312"/>
      <c r="BJ425" s="312"/>
      <c r="BK425" s="312"/>
      <c r="BL425" s="312"/>
      <c r="BM425" s="312"/>
      <c r="BN425" s="312"/>
      <c r="BO425" s="312"/>
      <c r="BP425" s="312"/>
      <c r="BQ425" s="312"/>
      <c r="BR425" s="312"/>
      <c r="BS425" s="312"/>
      <c r="BT425" s="312"/>
      <c r="BU425" s="312"/>
      <c r="BV425" s="312"/>
      <c r="BW425" s="312"/>
      <c r="BX425" s="312"/>
      <c r="BY425" s="312"/>
      <c r="BZ425" s="312"/>
      <c r="CA425" s="312"/>
      <c r="CB425" s="312"/>
      <c r="CC425" s="312"/>
      <c r="CD425" s="312"/>
      <c r="CE425" s="312"/>
      <c r="CF425" s="312"/>
      <c r="CG425" s="312"/>
      <c r="CH425" s="312"/>
      <c r="CI425" s="312"/>
      <c r="CJ425" s="312"/>
      <c r="CK425" s="312"/>
      <c r="CL425" s="312"/>
      <c r="CM425" s="312"/>
      <c r="CN425" s="312"/>
      <c r="CO425" s="312"/>
      <c r="CP425" s="312"/>
      <c r="CQ425" s="312"/>
      <c r="CR425" s="312"/>
      <c r="CS425" s="312"/>
      <c r="CT425" s="312"/>
      <c r="CU425" s="312"/>
      <c r="CV425" s="312"/>
      <c r="CW425" s="312"/>
      <c r="CX425" s="312"/>
      <c r="CY425" s="312"/>
      <c r="CZ425" s="312"/>
      <c r="DA425" s="312"/>
      <c r="DB425" s="312"/>
      <c r="DC425" s="312"/>
      <c r="DD425" s="312"/>
      <c r="DE425" s="312"/>
      <c r="DF425" s="312"/>
      <c r="DG425" s="312"/>
      <c r="DH425" s="312"/>
      <c r="DI425" s="312"/>
      <c r="DJ425" s="312"/>
      <c r="DK425" s="312"/>
      <c r="DL425" s="312"/>
      <c r="DM425" s="312"/>
      <c r="DN425" s="312"/>
      <c r="DO425" s="312"/>
      <c r="DP425" s="312"/>
      <c r="DQ425" s="312"/>
      <c r="DR425" s="312"/>
      <c r="DS425" s="312"/>
      <c r="DT425" s="312"/>
      <c r="DU425" s="312"/>
      <c r="DV425" s="312"/>
      <c r="DW425" s="312"/>
      <c r="DX425" s="312"/>
      <c r="DY425" s="312"/>
      <c r="DZ425" s="312"/>
      <c r="EA425" s="312"/>
      <c r="EB425" s="312"/>
      <c r="EC425" s="312"/>
      <c r="ED425" s="312"/>
      <c r="EE425" s="312"/>
      <c r="EF425" s="312"/>
      <c r="EG425" s="312"/>
      <c r="EH425" s="312"/>
      <c r="EI425" s="312"/>
      <c r="EJ425" s="312"/>
      <c r="EK425" s="312"/>
      <c r="EL425" s="312"/>
      <c r="EM425" s="312"/>
      <c r="EN425" s="312"/>
      <c r="EO425" s="312"/>
      <c r="EP425" s="312"/>
      <c r="EQ425" s="312"/>
      <c r="ER425" s="312"/>
      <c r="ES425" s="312"/>
      <c r="ET425" s="312"/>
      <c r="EU425" s="312"/>
      <c r="EV425" s="312"/>
      <c r="EW425" s="312"/>
      <c r="EX425" s="312"/>
      <c r="EY425" s="312"/>
      <c r="EZ425" s="312"/>
      <c r="FA425" s="312"/>
      <c r="FB425" s="312"/>
      <c r="FC425" s="312"/>
      <c r="FD425" s="312"/>
      <c r="FE425" s="312"/>
      <c r="FF425" s="312"/>
      <c r="FG425" s="312"/>
      <c r="FH425" s="312"/>
      <c r="FI425" s="312"/>
      <c r="FJ425" s="312"/>
      <c r="FK425" s="312"/>
      <c r="FL425" s="312"/>
      <c r="FM425" s="312"/>
      <c r="FN425" s="312"/>
      <c r="FO425" s="312"/>
      <c r="FP425" s="312"/>
      <c r="FQ425" s="312"/>
      <c r="FR425" s="312"/>
      <c r="FS425" s="312"/>
      <c r="FT425" s="312"/>
      <c r="FU425" s="312"/>
      <c r="FV425" s="312"/>
      <c r="FW425" s="312"/>
      <c r="FX425" s="312"/>
      <c r="FY425" s="312"/>
      <c r="FZ425" s="312"/>
      <c r="GA425" s="312"/>
      <c r="GB425" s="312"/>
      <c r="GC425" s="312"/>
      <c r="GD425" s="312"/>
      <c r="GE425" s="312"/>
      <c r="GF425" s="312"/>
      <c r="GG425" s="312"/>
      <c r="GH425" s="312"/>
      <c r="GI425" s="312"/>
      <c r="GJ425" s="312"/>
      <c r="GK425" s="312"/>
      <c r="GL425" s="312"/>
      <c r="GM425" s="312"/>
      <c r="GN425" s="312"/>
      <c r="GO425" s="312"/>
      <c r="GP425" s="312"/>
      <c r="GQ425" s="312"/>
      <c r="GR425" s="312"/>
      <c r="GS425" s="312"/>
      <c r="GT425" s="312"/>
      <c r="GU425" s="312"/>
      <c r="GV425" s="312"/>
      <c r="GW425" s="312"/>
      <c r="GX425" s="312"/>
      <c r="GY425" s="312"/>
    </row>
    <row r="426" spans="2:207" ht="15.75" x14ac:dyDescent="0.25">
      <c r="B426" s="316" t="str">
        <f t="shared" si="115"/>
        <v/>
      </c>
      <c r="C426" s="330" t="str">
        <f>'סיכום לוועדה'!B426</f>
        <v/>
      </c>
      <c r="D426" s="330" t="str">
        <f>'סיכום לוועדה'!C426</f>
        <v/>
      </c>
      <c r="E426" s="330" t="str">
        <f>'סיכום לוועדה'!D426</f>
        <v/>
      </c>
      <c r="F426" s="330" t="str">
        <f>'סיכום לוועדה'!E426</f>
        <v/>
      </c>
      <c r="G426" s="330" t="str">
        <f>'סיכום לוועדה'!F426</f>
        <v/>
      </c>
      <c r="H426" s="317" t="str">
        <f>'סיכום לוועדה'!G426</f>
        <v/>
      </c>
      <c r="I426" s="318" t="str">
        <f>'סיכום לוועדה'!U426</f>
        <v/>
      </c>
      <c r="J426" s="319" t="str">
        <f>'סיכום לוועדה'!T426</f>
        <v/>
      </c>
      <c r="K426" s="320" t="str">
        <f t="shared" si="116"/>
        <v/>
      </c>
      <c r="L426" s="319" t="str">
        <f t="shared" si="117"/>
        <v/>
      </c>
      <c r="M426" s="331" t="str">
        <f>'תחום תמיכה ב'!AF426</f>
        <v/>
      </c>
      <c r="N426" s="319" t="str">
        <f t="shared" si="114"/>
        <v/>
      </c>
      <c r="O426" s="321">
        <f t="shared" si="118"/>
        <v>0</v>
      </c>
      <c r="P426" s="322" t="str">
        <f t="shared" si="119"/>
        <v/>
      </c>
      <c r="Q426" s="322" t="str">
        <f t="shared" si="120"/>
        <v/>
      </c>
      <c r="R426" s="321">
        <f t="shared" si="121"/>
        <v>0</v>
      </c>
      <c r="S426" s="322" t="str">
        <f t="shared" si="122"/>
        <v/>
      </c>
      <c r="T426" s="322" t="str">
        <f t="shared" si="123"/>
        <v/>
      </c>
      <c r="U426" s="321">
        <f t="shared" si="124"/>
        <v>0</v>
      </c>
      <c r="V426" s="322" t="str">
        <f t="shared" si="125"/>
        <v/>
      </c>
      <c r="W426" s="322" t="str">
        <f t="shared" si="126"/>
        <v/>
      </c>
      <c r="X426" s="321">
        <f t="shared" si="127"/>
        <v>0</v>
      </c>
      <c r="Y426" s="322" t="str">
        <f t="shared" si="128"/>
        <v/>
      </c>
      <c r="Z426" s="322" t="str">
        <f t="shared" si="129"/>
        <v/>
      </c>
      <c r="AA426" s="323" t="str">
        <f t="shared" si="130"/>
        <v/>
      </c>
      <c r="AB426" s="323"/>
      <c r="AC426" s="323"/>
      <c r="AD426" s="323"/>
      <c r="AE426" s="323"/>
      <c r="AF426" s="324" t="str">
        <f t="shared" si="131"/>
        <v/>
      </c>
      <c r="AG426" s="312"/>
      <c r="AH426" s="312"/>
      <c r="AI426" s="325">
        <f t="shared" si="132"/>
        <v>0</v>
      </c>
      <c r="AJ426" s="312"/>
      <c r="AK426" s="312"/>
      <c r="AL426" s="312"/>
      <c r="AM426" s="312"/>
      <c r="AN426" s="312"/>
      <c r="AO426" s="312"/>
      <c r="AP426" s="312"/>
      <c r="AQ426" s="312"/>
      <c r="AR426" s="312"/>
      <c r="AS426" s="312"/>
      <c r="AT426" s="312"/>
      <c r="AU426" s="312"/>
      <c r="AV426" s="312"/>
      <c r="AW426" s="312"/>
      <c r="AX426" s="312"/>
      <c r="AY426" s="312"/>
      <c r="AZ426" s="312"/>
      <c r="BA426" s="312"/>
      <c r="BB426" s="312"/>
      <c r="BC426" s="312"/>
      <c r="BD426" s="312"/>
      <c r="BE426" s="312"/>
      <c r="BF426" s="312"/>
      <c r="BG426" s="312"/>
      <c r="BH426" s="312"/>
      <c r="BI426" s="312"/>
      <c r="BJ426" s="312"/>
      <c r="BK426" s="312"/>
      <c r="BL426" s="312"/>
      <c r="BM426" s="312"/>
      <c r="BN426" s="312"/>
      <c r="BO426" s="312"/>
      <c r="BP426" s="312"/>
      <c r="BQ426" s="312"/>
      <c r="BR426" s="312"/>
      <c r="BS426" s="312"/>
      <c r="BT426" s="312"/>
      <c r="BU426" s="312"/>
      <c r="BV426" s="312"/>
      <c r="BW426" s="312"/>
      <c r="BX426" s="312"/>
      <c r="BY426" s="312"/>
      <c r="BZ426" s="312"/>
      <c r="CA426" s="312"/>
      <c r="CB426" s="312"/>
      <c r="CC426" s="312"/>
      <c r="CD426" s="312"/>
      <c r="CE426" s="312"/>
      <c r="CF426" s="312"/>
      <c r="CG426" s="312"/>
      <c r="CH426" s="312"/>
      <c r="CI426" s="312"/>
      <c r="CJ426" s="312"/>
      <c r="CK426" s="312"/>
      <c r="CL426" s="312"/>
      <c r="CM426" s="312"/>
      <c r="CN426" s="312"/>
      <c r="CO426" s="312"/>
      <c r="CP426" s="312"/>
      <c r="CQ426" s="312"/>
      <c r="CR426" s="312"/>
      <c r="CS426" s="312"/>
      <c r="CT426" s="312"/>
      <c r="CU426" s="312"/>
      <c r="CV426" s="312"/>
      <c r="CW426" s="312"/>
      <c r="CX426" s="312"/>
      <c r="CY426" s="312"/>
      <c r="CZ426" s="312"/>
      <c r="DA426" s="312"/>
      <c r="DB426" s="312"/>
      <c r="DC426" s="312"/>
      <c r="DD426" s="312"/>
      <c r="DE426" s="312"/>
      <c r="DF426" s="312"/>
      <c r="DG426" s="312"/>
      <c r="DH426" s="312"/>
      <c r="DI426" s="312"/>
      <c r="DJ426" s="312"/>
      <c r="DK426" s="312"/>
      <c r="DL426" s="312"/>
      <c r="DM426" s="312"/>
      <c r="DN426" s="312"/>
      <c r="DO426" s="312"/>
      <c r="DP426" s="312"/>
      <c r="DQ426" s="312"/>
      <c r="DR426" s="312"/>
      <c r="DS426" s="312"/>
      <c r="DT426" s="312"/>
      <c r="DU426" s="312"/>
      <c r="DV426" s="312"/>
      <c r="DW426" s="312"/>
      <c r="DX426" s="312"/>
      <c r="DY426" s="312"/>
      <c r="DZ426" s="312"/>
      <c r="EA426" s="312"/>
      <c r="EB426" s="312"/>
      <c r="EC426" s="312"/>
      <c r="ED426" s="312"/>
      <c r="EE426" s="312"/>
      <c r="EF426" s="312"/>
      <c r="EG426" s="312"/>
      <c r="EH426" s="312"/>
      <c r="EI426" s="312"/>
      <c r="EJ426" s="312"/>
      <c r="EK426" s="312"/>
      <c r="EL426" s="312"/>
      <c r="EM426" s="312"/>
      <c r="EN426" s="312"/>
      <c r="EO426" s="312"/>
      <c r="EP426" s="312"/>
      <c r="EQ426" s="312"/>
      <c r="ER426" s="312"/>
      <c r="ES426" s="312"/>
      <c r="ET426" s="312"/>
      <c r="EU426" s="312"/>
      <c r="EV426" s="312"/>
      <c r="EW426" s="312"/>
      <c r="EX426" s="312"/>
      <c r="EY426" s="312"/>
      <c r="EZ426" s="312"/>
      <c r="FA426" s="312"/>
      <c r="FB426" s="312"/>
      <c r="FC426" s="312"/>
      <c r="FD426" s="312"/>
      <c r="FE426" s="312"/>
      <c r="FF426" s="312"/>
      <c r="FG426" s="312"/>
      <c r="FH426" s="312"/>
      <c r="FI426" s="312"/>
      <c r="FJ426" s="312"/>
      <c r="FK426" s="312"/>
      <c r="FL426" s="312"/>
      <c r="FM426" s="312"/>
      <c r="FN426" s="312"/>
      <c r="FO426" s="312"/>
      <c r="FP426" s="312"/>
      <c r="FQ426" s="312"/>
      <c r="FR426" s="312"/>
      <c r="FS426" s="312"/>
      <c r="FT426" s="312"/>
      <c r="FU426" s="312"/>
      <c r="FV426" s="312"/>
      <c r="FW426" s="312"/>
      <c r="FX426" s="312"/>
      <c r="FY426" s="312"/>
      <c r="FZ426" s="312"/>
      <c r="GA426" s="312"/>
      <c r="GB426" s="312"/>
      <c r="GC426" s="312"/>
      <c r="GD426" s="312"/>
      <c r="GE426" s="312"/>
      <c r="GF426" s="312"/>
      <c r="GG426" s="312"/>
      <c r="GH426" s="312"/>
      <c r="GI426" s="312"/>
      <c r="GJ426" s="312"/>
      <c r="GK426" s="312"/>
      <c r="GL426" s="312"/>
      <c r="GM426" s="312"/>
      <c r="GN426" s="312"/>
      <c r="GO426" s="312"/>
      <c r="GP426" s="312"/>
      <c r="GQ426" s="312"/>
      <c r="GR426" s="312"/>
      <c r="GS426" s="312"/>
      <c r="GT426" s="312"/>
      <c r="GU426" s="312"/>
      <c r="GV426" s="312"/>
      <c r="GW426" s="312"/>
      <c r="GX426" s="312"/>
      <c r="GY426" s="312"/>
    </row>
    <row r="427" spans="2:207" ht="15.75" x14ac:dyDescent="0.25">
      <c r="B427" s="316" t="str">
        <f t="shared" si="115"/>
        <v/>
      </c>
      <c r="C427" s="330" t="str">
        <f>'סיכום לוועדה'!B427</f>
        <v/>
      </c>
      <c r="D427" s="330" t="str">
        <f>'סיכום לוועדה'!C427</f>
        <v/>
      </c>
      <c r="E427" s="330" t="str">
        <f>'סיכום לוועדה'!D427</f>
        <v/>
      </c>
      <c r="F427" s="330" t="str">
        <f>'סיכום לוועדה'!E427</f>
        <v/>
      </c>
      <c r="G427" s="330" t="str">
        <f>'סיכום לוועדה'!F427</f>
        <v/>
      </c>
      <c r="H427" s="317" t="str">
        <f>'סיכום לוועדה'!G427</f>
        <v/>
      </c>
      <c r="I427" s="318" t="str">
        <f>'סיכום לוועדה'!U427</f>
        <v/>
      </c>
      <c r="J427" s="319" t="str">
        <f>'סיכום לוועדה'!T427</f>
        <v/>
      </c>
      <c r="K427" s="320" t="str">
        <f t="shared" si="116"/>
        <v/>
      </c>
      <c r="L427" s="319" t="str">
        <f t="shared" si="117"/>
        <v/>
      </c>
      <c r="M427" s="331" t="str">
        <f>'תחום תמיכה ב'!AF427</f>
        <v/>
      </c>
      <c r="N427" s="319" t="str">
        <f t="shared" si="114"/>
        <v/>
      </c>
      <c r="O427" s="321">
        <f t="shared" si="118"/>
        <v>0</v>
      </c>
      <c r="P427" s="322" t="str">
        <f t="shared" si="119"/>
        <v/>
      </c>
      <c r="Q427" s="322" t="str">
        <f t="shared" si="120"/>
        <v/>
      </c>
      <c r="R427" s="321">
        <f t="shared" si="121"/>
        <v>0</v>
      </c>
      <c r="S427" s="322" t="str">
        <f t="shared" si="122"/>
        <v/>
      </c>
      <c r="T427" s="322" t="str">
        <f t="shared" si="123"/>
        <v/>
      </c>
      <c r="U427" s="321">
        <f t="shared" si="124"/>
        <v>0</v>
      </c>
      <c r="V427" s="322" t="str">
        <f t="shared" si="125"/>
        <v/>
      </c>
      <c r="W427" s="322" t="str">
        <f t="shared" si="126"/>
        <v/>
      </c>
      <c r="X427" s="321">
        <f t="shared" si="127"/>
        <v>0</v>
      </c>
      <c r="Y427" s="322" t="str">
        <f t="shared" si="128"/>
        <v/>
      </c>
      <c r="Z427" s="322" t="str">
        <f t="shared" si="129"/>
        <v/>
      </c>
      <c r="AA427" s="323" t="str">
        <f t="shared" si="130"/>
        <v/>
      </c>
      <c r="AB427" s="323"/>
      <c r="AC427" s="323"/>
      <c r="AD427" s="323"/>
      <c r="AE427" s="323"/>
      <c r="AF427" s="324" t="str">
        <f t="shared" si="131"/>
        <v/>
      </c>
      <c r="AG427" s="312"/>
      <c r="AH427" s="312"/>
      <c r="AI427" s="325">
        <f t="shared" si="132"/>
        <v>0</v>
      </c>
      <c r="AJ427" s="312"/>
      <c r="AK427" s="312"/>
      <c r="AL427" s="312"/>
      <c r="AM427" s="312"/>
      <c r="AN427" s="312"/>
      <c r="AO427" s="312"/>
      <c r="AP427" s="312"/>
      <c r="AQ427" s="312"/>
      <c r="AR427" s="312"/>
      <c r="AS427" s="312"/>
      <c r="AT427" s="312"/>
      <c r="AU427" s="312"/>
      <c r="AV427" s="312"/>
      <c r="AW427" s="312"/>
      <c r="AX427" s="312"/>
      <c r="AY427" s="312"/>
      <c r="AZ427" s="312"/>
      <c r="BA427" s="312"/>
      <c r="BB427" s="312"/>
      <c r="BC427" s="312"/>
      <c r="BD427" s="312"/>
      <c r="BE427" s="312"/>
      <c r="BF427" s="312"/>
      <c r="BG427" s="312"/>
      <c r="BH427" s="312"/>
      <c r="BI427" s="312"/>
      <c r="BJ427" s="312"/>
      <c r="BK427" s="312"/>
      <c r="BL427" s="312"/>
      <c r="BM427" s="312"/>
      <c r="BN427" s="312"/>
      <c r="BO427" s="312"/>
      <c r="BP427" s="312"/>
      <c r="BQ427" s="312"/>
      <c r="BR427" s="312"/>
      <c r="BS427" s="312"/>
      <c r="BT427" s="312"/>
      <c r="BU427" s="312"/>
      <c r="BV427" s="312"/>
      <c r="BW427" s="312"/>
      <c r="BX427" s="312"/>
      <c r="BY427" s="312"/>
      <c r="BZ427" s="312"/>
      <c r="CA427" s="312"/>
      <c r="CB427" s="312"/>
      <c r="CC427" s="312"/>
      <c r="CD427" s="312"/>
      <c r="CE427" s="312"/>
      <c r="CF427" s="312"/>
      <c r="CG427" s="312"/>
      <c r="CH427" s="312"/>
      <c r="CI427" s="312"/>
      <c r="CJ427" s="312"/>
      <c r="CK427" s="312"/>
      <c r="CL427" s="312"/>
      <c r="CM427" s="312"/>
      <c r="CN427" s="312"/>
      <c r="CO427" s="312"/>
      <c r="CP427" s="312"/>
      <c r="CQ427" s="312"/>
      <c r="CR427" s="312"/>
      <c r="CS427" s="312"/>
      <c r="CT427" s="312"/>
      <c r="CU427" s="312"/>
      <c r="CV427" s="312"/>
      <c r="CW427" s="312"/>
      <c r="CX427" s="312"/>
      <c r="CY427" s="312"/>
      <c r="CZ427" s="312"/>
      <c r="DA427" s="312"/>
      <c r="DB427" s="312"/>
      <c r="DC427" s="312"/>
      <c r="DD427" s="312"/>
      <c r="DE427" s="312"/>
      <c r="DF427" s="312"/>
      <c r="DG427" s="312"/>
      <c r="DH427" s="312"/>
      <c r="DI427" s="312"/>
      <c r="DJ427" s="312"/>
      <c r="DK427" s="312"/>
      <c r="DL427" s="312"/>
      <c r="DM427" s="312"/>
      <c r="DN427" s="312"/>
      <c r="DO427" s="312"/>
      <c r="DP427" s="312"/>
      <c r="DQ427" s="312"/>
      <c r="DR427" s="312"/>
      <c r="DS427" s="312"/>
      <c r="DT427" s="312"/>
      <c r="DU427" s="312"/>
      <c r="DV427" s="312"/>
      <c r="DW427" s="312"/>
      <c r="DX427" s="312"/>
      <c r="DY427" s="312"/>
      <c r="DZ427" s="312"/>
      <c r="EA427" s="312"/>
      <c r="EB427" s="312"/>
      <c r="EC427" s="312"/>
      <c r="ED427" s="312"/>
      <c r="EE427" s="312"/>
      <c r="EF427" s="312"/>
      <c r="EG427" s="312"/>
      <c r="EH427" s="312"/>
      <c r="EI427" s="312"/>
      <c r="EJ427" s="312"/>
      <c r="EK427" s="312"/>
      <c r="EL427" s="312"/>
      <c r="EM427" s="312"/>
      <c r="EN427" s="312"/>
      <c r="EO427" s="312"/>
      <c r="EP427" s="312"/>
      <c r="EQ427" s="312"/>
      <c r="ER427" s="312"/>
      <c r="ES427" s="312"/>
      <c r="ET427" s="312"/>
      <c r="EU427" s="312"/>
      <c r="EV427" s="312"/>
      <c r="EW427" s="312"/>
      <c r="EX427" s="312"/>
      <c r="EY427" s="312"/>
      <c r="EZ427" s="312"/>
      <c r="FA427" s="312"/>
      <c r="FB427" s="312"/>
      <c r="FC427" s="312"/>
      <c r="FD427" s="312"/>
      <c r="FE427" s="312"/>
      <c r="FF427" s="312"/>
      <c r="FG427" s="312"/>
      <c r="FH427" s="312"/>
      <c r="FI427" s="312"/>
      <c r="FJ427" s="312"/>
      <c r="FK427" s="312"/>
      <c r="FL427" s="312"/>
      <c r="FM427" s="312"/>
      <c r="FN427" s="312"/>
      <c r="FO427" s="312"/>
      <c r="FP427" s="312"/>
      <c r="FQ427" s="312"/>
      <c r="FR427" s="312"/>
      <c r="FS427" s="312"/>
      <c r="FT427" s="312"/>
      <c r="FU427" s="312"/>
      <c r="FV427" s="312"/>
      <c r="FW427" s="312"/>
      <c r="FX427" s="312"/>
      <c r="FY427" s="312"/>
      <c r="FZ427" s="312"/>
      <c r="GA427" s="312"/>
      <c r="GB427" s="312"/>
      <c r="GC427" s="312"/>
      <c r="GD427" s="312"/>
      <c r="GE427" s="312"/>
      <c r="GF427" s="312"/>
      <c r="GG427" s="312"/>
      <c r="GH427" s="312"/>
      <c r="GI427" s="312"/>
      <c r="GJ427" s="312"/>
      <c r="GK427" s="312"/>
      <c r="GL427" s="312"/>
      <c r="GM427" s="312"/>
      <c r="GN427" s="312"/>
      <c r="GO427" s="312"/>
      <c r="GP427" s="312"/>
      <c r="GQ427" s="312"/>
      <c r="GR427" s="312"/>
      <c r="GS427" s="312"/>
      <c r="GT427" s="312"/>
      <c r="GU427" s="312"/>
      <c r="GV427" s="312"/>
      <c r="GW427" s="312"/>
      <c r="GX427" s="312"/>
      <c r="GY427" s="312"/>
    </row>
    <row r="428" spans="2:207" ht="15.75" x14ac:dyDescent="0.25">
      <c r="B428" s="316" t="str">
        <f t="shared" si="115"/>
        <v/>
      </c>
      <c r="C428" s="330" t="str">
        <f>'סיכום לוועדה'!B428</f>
        <v/>
      </c>
      <c r="D428" s="330" t="str">
        <f>'סיכום לוועדה'!C428</f>
        <v/>
      </c>
      <c r="E428" s="330" t="str">
        <f>'סיכום לוועדה'!D428</f>
        <v/>
      </c>
      <c r="F428" s="330" t="str">
        <f>'סיכום לוועדה'!E428</f>
        <v/>
      </c>
      <c r="G428" s="330" t="str">
        <f>'סיכום לוועדה'!F428</f>
        <v/>
      </c>
      <c r="H428" s="317" t="str">
        <f>'סיכום לוועדה'!G428</f>
        <v/>
      </c>
      <c r="I428" s="318" t="str">
        <f>'סיכום לוועדה'!U428</f>
        <v/>
      </c>
      <c r="J428" s="319" t="str">
        <f>'סיכום לוועדה'!T428</f>
        <v/>
      </c>
      <c r="K428" s="320" t="str">
        <f t="shared" si="116"/>
        <v/>
      </c>
      <c r="L428" s="319" t="str">
        <f t="shared" si="117"/>
        <v/>
      </c>
      <c r="M428" s="331" t="str">
        <f>'תחום תמיכה ב'!AF428</f>
        <v/>
      </c>
      <c r="N428" s="319" t="str">
        <f t="shared" si="114"/>
        <v/>
      </c>
      <c r="O428" s="321">
        <f t="shared" si="118"/>
        <v>0</v>
      </c>
      <c r="P428" s="322" t="str">
        <f t="shared" si="119"/>
        <v/>
      </c>
      <c r="Q428" s="322" t="str">
        <f t="shared" si="120"/>
        <v/>
      </c>
      <c r="R428" s="321">
        <f t="shared" si="121"/>
        <v>0</v>
      </c>
      <c r="S428" s="322" t="str">
        <f t="shared" si="122"/>
        <v/>
      </c>
      <c r="T428" s="322" t="str">
        <f t="shared" si="123"/>
        <v/>
      </c>
      <c r="U428" s="321">
        <f t="shared" si="124"/>
        <v>0</v>
      </c>
      <c r="V428" s="322" t="str">
        <f t="shared" si="125"/>
        <v/>
      </c>
      <c r="W428" s="322" t="str">
        <f t="shared" si="126"/>
        <v/>
      </c>
      <c r="X428" s="321">
        <f t="shared" si="127"/>
        <v>0</v>
      </c>
      <c r="Y428" s="322" t="str">
        <f t="shared" si="128"/>
        <v/>
      </c>
      <c r="Z428" s="322" t="str">
        <f t="shared" si="129"/>
        <v/>
      </c>
      <c r="AA428" s="323" t="str">
        <f t="shared" si="130"/>
        <v/>
      </c>
      <c r="AB428" s="323"/>
      <c r="AC428" s="323"/>
      <c r="AD428" s="323"/>
      <c r="AE428" s="323"/>
      <c r="AF428" s="324" t="str">
        <f t="shared" si="131"/>
        <v/>
      </c>
      <c r="AG428" s="312"/>
      <c r="AH428" s="312"/>
      <c r="AI428" s="325">
        <f t="shared" si="132"/>
        <v>0</v>
      </c>
      <c r="AJ428" s="312"/>
      <c r="AK428" s="312"/>
      <c r="AL428" s="312"/>
      <c r="AM428" s="312"/>
      <c r="AN428" s="312"/>
      <c r="AO428" s="312"/>
      <c r="AP428" s="312"/>
      <c r="AQ428" s="312"/>
      <c r="AR428" s="312"/>
      <c r="AS428" s="312"/>
      <c r="AT428" s="312"/>
      <c r="AU428" s="312"/>
      <c r="AV428" s="312"/>
      <c r="AW428" s="312"/>
      <c r="AX428" s="312"/>
      <c r="AY428" s="312"/>
      <c r="AZ428" s="312"/>
      <c r="BA428" s="312"/>
      <c r="BB428" s="312"/>
      <c r="BC428" s="312"/>
      <c r="BD428" s="312"/>
      <c r="BE428" s="312"/>
      <c r="BF428" s="312"/>
      <c r="BG428" s="312"/>
      <c r="BH428" s="312"/>
      <c r="BI428" s="312"/>
      <c r="BJ428" s="312"/>
      <c r="BK428" s="312"/>
      <c r="BL428" s="312"/>
      <c r="BM428" s="312"/>
      <c r="BN428" s="312"/>
      <c r="BO428" s="312"/>
      <c r="BP428" s="312"/>
      <c r="BQ428" s="312"/>
      <c r="BR428" s="312"/>
      <c r="BS428" s="312"/>
      <c r="BT428" s="312"/>
      <c r="BU428" s="312"/>
      <c r="BV428" s="312"/>
      <c r="BW428" s="312"/>
      <c r="BX428" s="312"/>
      <c r="BY428" s="312"/>
      <c r="BZ428" s="312"/>
      <c r="CA428" s="312"/>
      <c r="CB428" s="312"/>
      <c r="CC428" s="312"/>
      <c r="CD428" s="312"/>
      <c r="CE428" s="312"/>
      <c r="CF428" s="312"/>
      <c r="CG428" s="312"/>
      <c r="CH428" s="312"/>
      <c r="CI428" s="312"/>
      <c r="CJ428" s="312"/>
      <c r="CK428" s="312"/>
      <c r="CL428" s="312"/>
      <c r="CM428" s="312"/>
      <c r="CN428" s="312"/>
      <c r="CO428" s="312"/>
      <c r="CP428" s="312"/>
      <c r="CQ428" s="312"/>
      <c r="CR428" s="312"/>
      <c r="CS428" s="312"/>
      <c r="CT428" s="312"/>
      <c r="CU428" s="312"/>
      <c r="CV428" s="312"/>
      <c r="CW428" s="312"/>
      <c r="CX428" s="312"/>
      <c r="CY428" s="312"/>
      <c r="CZ428" s="312"/>
      <c r="DA428" s="312"/>
      <c r="DB428" s="312"/>
      <c r="DC428" s="312"/>
      <c r="DD428" s="312"/>
      <c r="DE428" s="312"/>
      <c r="DF428" s="312"/>
      <c r="DG428" s="312"/>
      <c r="DH428" s="312"/>
      <c r="DI428" s="312"/>
      <c r="DJ428" s="312"/>
      <c r="DK428" s="312"/>
      <c r="DL428" s="312"/>
      <c r="DM428" s="312"/>
      <c r="DN428" s="312"/>
      <c r="DO428" s="312"/>
      <c r="DP428" s="312"/>
      <c r="DQ428" s="312"/>
      <c r="DR428" s="312"/>
      <c r="DS428" s="312"/>
      <c r="DT428" s="312"/>
      <c r="DU428" s="312"/>
      <c r="DV428" s="312"/>
      <c r="DW428" s="312"/>
      <c r="DX428" s="312"/>
      <c r="DY428" s="312"/>
      <c r="DZ428" s="312"/>
      <c r="EA428" s="312"/>
      <c r="EB428" s="312"/>
      <c r="EC428" s="312"/>
      <c r="ED428" s="312"/>
      <c r="EE428" s="312"/>
      <c r="EF428" s="312"/>
      <c r="EG428" s="312"/>
      <c r="EH428" s="312"/>
      <c r="EI428" s="312"/>
      <c r="EJ428" s="312"/>
      <c r="EK428" s="312"/>
      <c r="EL428" s="312"/>
      <c r="EM428" s="312"/>
      <c r="EN428" s="312"/>
      <c r="EO428" s="312"/>
      <c r="EP428" s="312"/>
      <c r="EQ428" s="312"/>
      <c r="ER428" s="312"/>
      <c r="ES428" s="312"/>
      <c r="ET428" s="312"/>
      <c r="EU428" s="312"/>
      <c r="EV428" s="312"/>
      <c r="EW428" s="312"/>
      <c r="EX428" s="312"/>
      <c r="EY428" s="312"/>
      <c r="EZ428" s="312"/>
      <c r="FA428" s="312"/>
      <c r="FB428" s="312"/>
      <c r="FC428" s="312"/>
      <c r="FD428" s="312"/>
      <c r="FE428" s="312"/>
      <c r="FF428" s="312"/>
      <c r="FG428" s="312"/>
      <c r="FH428" s="312"/>
      <c r="FI428" s="312"/>
      <c r="FJ428" s="312"/>
      <c r="FK428" s="312"/>
      <c r="FL428" s="312"/>
      <c r="FM428" s="312"/>
      <c r="FN428" s="312"/>
      <c r="FO428" s="312"/>
      <c r="FP428" s="312"/>
      <c r="FQ428" s="312"/>
      <c r="FR428" s="312"/>
      <c r="FS428" s="312"/>
      <c r="FT428" s="312"/>
      <c r="FU428" s="312"/>
      <c r="FV428" s="312"/>
      <c r="FW428" s="312"/>
      <c r="FX428" s="312"/>
      <c r="FY428" s="312"/>
      <c r="FZ428" s="312"/>
      <c r="GA428" s="312"/>
      <c r="GB428" s="312"/>
      <c r="GC428" s="312"/>
      <c r="GD428" s="312"/>
      <c r="GE428" s="312"/>
      <c r="GF428" s="312"/>
      <c r="GG428" s="312"/>
      <c r="GH428" s="312"/>
      <c r="GI428" s="312"/>
      <c r="GJ428" s="312"/>
      <c r="GK428" s="312"/>
      <c r="GL428" s="312"/>
      <c r="GM428" s="312"/>
      <c r="GN428" s="312"/>
      <c r="GO428" s="312"/>
      <c r="GP428" s="312"/>
      <c r="GQ428" s="312"/>
      <c r="GR428" s="312"/>
      <c r="GS428" s="312"/>
      <c r="GT428" s="312"/>
      <c r="GU428" s="312"/>
      <c r="GV428" s="312"/>
      <c r="GW428" s="312"/>
      <c r="GX428" s="312"/>
      <c r="GY428" s="312"/>
    </row>
    <row r="429" spans="2:207" ht="15.75" x14ac:dyDescent="0.25">
      <c r="B429" s="316" t="str">
        <f t="shared" si="115"/>
        <v/>
      </c>
      <c r="C429" s="330" t="str">
        <f>'סיכום לוועדה'!B429</f>
        <v/>
      </c>
      <c r="D429" s="330" t="str">
        <f>'סיכום לוועדה'!C429</f>
        <v/>
      </c>
      <c r="E429" s="330" t="str">
        <f>'סיכום לוועדה'!D429</f>
        <v/>
      </c>
      <c r="F429" s="330" t="str">
        <f>'סיכום לוועדה'!E429</f>
        <v/>
      </c>
      <c r="G429" s="330" t="str">
        <f>'סיכום לוועדה'!F429</f>
        <v/>
      </c>
      <c r="H429" s="317" t="str">
        <f>'סיכום לוועדה'!G429</f>
        <v/>
      </c>
      <c r="I429" s="318" t="str">
        <f>'סיכום לוועדה'!U429</f>
        <v/>
      </c>
      <c r="J429" s="319" t="str">
        <f>'סיכום לוועדה'!T429</f>
        <v/>
      </c>
      <c r="K429" s="320" t="str">
        <f t="shared" si="116"/>
        <v/>
      </c>
      <c r="L429" s="319" t="str">
        <f t="shared" si="117"/>
        <v/>
      </c>
      <c r="M429" s="331" t="str">
        <f>'תחום תמיכה ב'!AF429</f>
        <v/>
      </c>
      <c r="N429" s="319" t="str">
        <f t="shared" si="114"/>
        <v/>
      </c>
      <c r="O429" s="321">
        <f t="shared" si="118"/>
        <v>0</v>
      </c>
      <c r="P429" s="322" t="str">
        <f t="shared" si="119"/>
        <v/>
      </c>
      <c r="Q429" s="322" t="str">
        <f t="shared" si="120"/>
        <v/>
      </c>
      <c r="R429" s="321">
        <f t="shared" si="121"/>
        <v>0</v>
      </c>
      <c r="S429" s="322" t="str">
        <f t="shared" si="122"/>
        <v/>
      </c>
      <c r="T429" s="322" t="str">
        <f t="shared" si="123"/>
        <v/>
      </c>
      <c r="U429" s="321">
        <f t="shared" si="124"/>
        <v>0</v>
      </c>
      <c r="V429" s="322" t="str">
        <f t="shared" si="125"/>
        <v/>
      </c>
      <c r="W429" s="322" t="str">
        <f t="shared" si="126"/>
        <v/>
      </c>
      <c r="X429" s="321">
        <f t="shared" si="127"/>
        <v>0</v>
      </c>
      <c r="Y429" s="322" t="str">
        <f t="shared" si="128"/>
        <v/>
      </c>
      <c r="Z429" s="322" t="str">
        <f t="shared" si="129"/>
        <v/>
      </c>
      <c r="AA429" s="323" t="str">
        <f t="shared" si="130"/>
        <v/>
      </c>
      <c r="AB429" s="323"/>
      <c r="AC429" s="323"/>
      <c r="AD429" s="323"/>
      <c r="AE429" s="323"/>
      <c r="AF429" s="324" t="str">
        <f t="shared" si="131"/>
        <v/>
      </c>
      <c r="AG429" s="312"/>
      <c r="AH429" s="312"/>
      <c r="AI429" s="325">
        <f t="shared" si="132"/>
        <v>0</v>
      </c>
      <c r="AJ429" s="312"/>
      <c r="AK429" s="312"/>
      <c r="AL429" s="312"/>
      <c r="AM429" s="312"/>
      <c r="AN429" s="312"/>
      <c r="AO429" s="312"/>
      <c r="AP429" s="312"/>
      <c r="AQ429" s="312"/>
      <c r="AR429" s="312"/>
      <c r="AS429" s="312"/>
      <c r="AT429" s="312"/>
      <c r="AU429" s="312"/>
      <c r="AV429" s="312"/>
      <c r="AW429" s="312"/>
      <c r="AX429" s="312"/>
      <c r="AY429" s="312"/>
      <c r="AZ429" s="312"/>
      <c r="BA429" s="312"/>
      <c r="BB429" s="312"/>
      <c r="BC429" s="312"/>
      <c r="BD429" s="312"/>
      <c r="BE429" s="312"/>
      <c r="BF429" s="312"/>
      <c r="BG429" s="312"/>
      <c r="BH429" s="312"/>
      <c r="BI429" s="312"/>
      <c r="BJ429" s="312"/>
      <c r="BK429" s="312"/>
      <c r="BL429" s="312"/>
      <c r="BM429" s="312"/>
      <c r="BN429" s="312"/>
      <c r="BO429" s="312"/>
      <c r="BP429" s="312"/>
      <c r="BQ429" s="312"/>
      <c r="BR429" s="312"/>
      <c r="BS429" s="312"/>
      <c r="BT429" s="312"/>
      <c r="BU429" s="312"/>
      <c r="BV429" s="312"/>
      <c r="BW429" s="312"/>
      <c r="BX429" s="312"/>
      <c r="BY429" s="312"/>
      <c r="BZ429" s="312"/>
      <c r="CA429" s="312"/>
      <c r="CB429" s="312"/>
      <c r="CC429" s="312"/>
      <c r="CD429" s="312"/>
      <c r="CE429" s="312"/>
      <c r="CF429" s="312"/>
      <c r="CG429" s="312"/>
      <c r="CH429" s="312"/>
      <c r="CI429" s="312"/>
      <c r="CJ429" s="312"/>
      <c r="CK429" s="312"/>
      <c r="CL429" s="312"/>
      <c r="CM429" s="312"/>
      <c r="CN429" s="312"/>
      <c r="CO429" s="312"/>
      <c r="CP429" s="312"/>
      <c r="CQ429" s="312"/>
      <c r="CR429" s="312"/>
      <c r="CS429" s="312"/>
      <c r="CT429" s="312"/>
      <c r="CU429" s="312"/>
      <c r="CV429" s="312"/>
      <c r="CW429" s="312"/>
      <c r="CX429" s="312"/>
      <c r="CY429" s="312"/>
      <c r="CZ429" s="312"/>
      <c r="DA429" s="312"/>
      <c r="DB429" s="312"/>
      <c r="DC429" s="312"/>
      <c r="DD429" s="312"/>
      <c r="DE429" s="312"/>
      <c r="DF429" s="312"/>
      <c r="DG429" s="312"/>
      <c r="DH429" s="312"/>
      <c r="DI429" s="312"/>
      <c r="DJ429" s="312"/>
      <c r="DK429" s="312"/>
      <c r="DL429" s="312"/>
      <c r="DM429" s="312"/>
      <c r="DN429" s="312"/>
      <c r="DO429" s="312"/>
      <c r="DP429" s="312"/>
      <c r="DQ429" s="312"/>
      <c r="DR429" s="312"/>
      <c r="DS429" s="312"/>
      <c r="DT429" s="312"/>
      <c r="DU429" s="312"/>
      <c r="DV429" s="312"/>
      <c r="DW429" s="312"/>
      <c r="DX429" s="312"/>
      <c r="DY429" s="312"/>
      <c r="DZ429" s="312"/>
      <c r="EA429" s="312"/>
      <c r="EB429" s="312"/>
      <c r="EC429" s="312"/>
      <c r="ED429" s="312"/>
      <c r="EE429" s="312"/>
      <c r="EF429" s="312"/>
      <c r="EG429" s="312"/>
      <c r="EH429" s="312"/>
      <c r="EI429" s="312"/>
      <c r="EJ429" s="312"/>
      <c r="EK429" s="312"/>
      <c r="EL429" s="312"/>
      <c r="EM429" s="312"/>
      <c r="EN429" s="312"/>
      <c r="EO429" s="312"/>
      <c r="EP429" s="312"/>
      <c r="EQ429" s="312"/>
      <c r="ER429" s="312"/>
      <c r="ES429" s="312"/>
      <c r="ET429" s="312"/>
      <c r="EU429" s="312"/>
      <c r="EV429" s="312"/>
      <c r="EW429" s="312"/>
      <c r="EX429" s="312"/>
      <c r="EY429" s="312"/>
      <c r="EZ429" s="312"/>
      <c r="FA429" s="312"/>
      <c r="FB429" s="312"/>
      <c r="FC429" s="312"/>
      <c r="FD429" s="312"/>
      <c r="FE429" s="312"/>
      <c r="FF429" s="312"/>
      <c r="FG429" s="312"/>
      <c r="FH429" s="312"/>
      <c r="FI429" s="312"/>
      <c r="FJ429" s="312"/>
      <c r="FK429" s="312"/>
      <c r="FL429" s="312"/>
      <c r="FM429" s="312"/>
      <c r="FN429" s="312"/>
      <c r="FO429" s="312"/>
      <c r="FP429" s="312"/>
      <c r="FQ429" s="312"/>
      <c r="FR429" s="312"/>
      <c r="FS429" s="312"/>
      <c r="FT429" s="312"/>
      <c r="FU429" s="312"/>
      <c r="FV429" s="312"/>
      <c r="FW429" s="312"/>
      <c r="FX429" s="312"/>
      <c r="FY429" s="312"/>
      <c r="FZ429" s="312"/>
      <c r="GA429" s="312"/>
      <c r="GB429" s="312"/>
      <c r="GC429" s="312"/>
      <c r="GD429" s="312"/>
      <c r="GE429" s="312"/>
      <c r="GF429" s="312"/>
      <c r="GG429" s="312"/>
      <c r="GH429" s="312"/>
      <c r="GI429" s="312"/>
      <c r="GJ429" s="312"/>
      <c r="GK429" s="312"/>
      <c r="GL429" s="312"/>
      <c r="GM429" s="312"/>
      <c r="GN429" s="312"/>
      <c r="GO429" s="312"/>
      <c r="GP429" s="312"/>
      <c r="GQ429" s="312"/>
      <c r="GR429" s="312"/>
      <c r="GS429" s="312"/>
      <c r="GT429" s="312"/>
      <c r="GU429" s="312"/>
      <c r="GV429" s="312"/>
      <c r="GW429" s="312"/>
      <c r="GX429" s="312"/>
      <c r="GY429" s="312"/>
    </row>
    <row r="430" spans="2:207" ht="15.75" x14ac:dyDescent="0.25">
      <c r="B430" s="316" t="str">
        <f t="shared" si="115"/>
        <v/>
      </c>
      <c r="C430" s="330" t="str">
        <f>'סיכום לוועדה'!B430</f>
        <v/>
      </c>
      <c r="D430" s="330" t="str">
        <f>'סיכום לוועדה'!C430</f>
        <v/>
      </c>
      <c r="E430" s="330" t="str">
        <f>'סיכום לוועדה'!D430</f>
        <v/>
      </c>
      <c r="F430" s="330" t="str">
        <f>'סיכום לוועדה'!E430</f>
        <v/>
      </c>
      <c r="G430" s="330" t="str">
        <f>'סיכום לוועדה'!F430</f>
        <v/>
      </c>
      <c r="H430" s="317" t="str">
        <f>'סיכום לוועדה'!G430</f>
        <v/>
      </c>
      <c r="I430" s="318" t="str">
        <f>'סיכום לוועדה'!U430</f>
        <v/>
      </c>
      <c r="J430" s="319" t="str">
        <f>'סיכום לוועדה'!T430</f>
        <v/>
      </c>
      <c r="K430" s="320" t="str">
        <f t="shared" si="116"/>
        <v/>
      </c>
      <c r="L430" s="319" t="str">
        <f t="shared" si="117"/>
        <v/>
      </c>
      <c r="M430" s="331" t="str">
        <f>'תחום תמיכה ב'!AF430</f>
        <v/>
      </c>
      <c r="N430" s="319" t="str">
        <f t="shared" si="114"/>
        <v/>
      </c>
      <c r="O430" s="321">
        <f t="shared" si="118"/>
        <v>0</v>
      </c>
      <c r="P430" s="322" t="str">
        <f t="shared" si="119"/>
        <v/>
      </c>
      <c r="Q430" s="322" t="str">
        <f t="shared" si="120"/>
        <v/>
      </c>
      <c r="R430" s="321">
        <f t="shared" si="121"/>
        <v>0</v>
      </c>
      <c r="S430" s="322" t="str">
        <f t="shared" si="122"/>
        <v/>
      </c>
      <c r="T430" s="322" t="str">
        <f t="shared" si="123"/>
        <v/>
      </c>
      <c r="U430" s="321">
        <f t="shared" si="124"/>
        <v>0</v>
      </c>
      <c r="V430" s="322" t="str">
        <f t="shared" si="125"/>
        <v/>
      </c>
      <c r="W430" s="322" t="str">
        <f t="shared" si="126"/>
        <v/>
      </c>
      <c r="X430" s="321">
        <f t="shared" si="127"/>
        <v>0</v>
      </c>
      <c r="Y430" s="322" t="str">
        <f t="shared" si="128"/>
        <v/>
      </c>
      <c r="Z430" s="322" t="str">
        <f t="shared" si="129"/>
        <v/>
      </c>
      <c r="AA430" s="323" t="str">
        <f t="shared" si="130"/>
        <v/>
      </c>
      <c r="AB430" s="323"/>
      <c r="AC430" s="323"/>
      <c r="AD430" s="323"/>
      <c r="AE430" s="323"/>
      <c r="AF430" s="324" t="str">
        <f t="shared" si="131"/>
        <v/>
      </c>
      <c r="AG430" s="312"/>
      <c r="AH430" s="312"/>
      <c r="AI430" s="325">
        <f t="shared" si="132"/>
        <v>0</v>
      </c>
      <c r="AJ430" s="312"/>
      <c r="AK430" s="312"/>
      <c r="AL430" s="312"/>
      <c r="AM430" s="312"/>
      <c r="AN430" s="312"/>
      <c r="AO430" s="312"/>
      <c r="AP430" s="312"/>
      <c r="AQ430" s="312"/>
      <c r="AR430" s="312"/>
      <c r="AS430" s="312"/>
      <c r="AT430" s="312"/>
      <c r="AU430" s="312"/>
      <c r="AV430" s="312"/>
      <c r="AW430" s="312"/>
      <c r="AX430" s="312"/>
      <c r="AY430" s="312"/>
      <c r="AZ430" s="312"/>
      <c r="BA430" s="312"/>
      <c r="BB430" s="312"/>
      <c r="BC430" s="312"/>
      <c r="BD430" s="312"/>
      <c r="BE430" s="312"/>
      <c r="BF430" s="312"/>
      <c r="BG430" s="312"/>
      <c r="BH430" s="312"/>
      <c r="BI430" s="312"/>
      <c r="BJ430" s="312"/>
      <c r="BK430" s="312"/>
      <c r="BL430" s="312"/>
      <c r="BM430" s="312"/>
      <c r="BN430" s="312"/>
      <c r="BO430" s="312"/>
      <c r="BP430" s="312"/>
      <c r="BQ430" s="312"/>
      <c r="BR430" s="312"/>
      <c r="BS430" s="312"/>
      <c r="BT430" s="312"/>
      <c r="BU430" s="312"/>
      <c r="BV430" s="312"/>
      <c r="BW430" s="312"/>
      <c r="BX430" s="312"/>
      <c r="BY430" s="312"/>
      <c r="BZ430" s="312"/>
      <c r="CA430" s="312"/>
      <c r="CB430" s="312"/>
      <c r="CC430" s="312"/>
      <c r="CD430" s="312"/>
      <c r="CE430" s="312"/>
      <c r="CF430" s="312"/>
      <c r="CG430" s="312"/>
      <c r="CH430" s="312"/>
      <c r="CI430" s="312"/>
      <c r="CJ430" s="312"/>
      <c r="CK430" s="312"/>
      <c r="CL430" s="312"/>
      <c r="CM430" s="312"/>
      <c r="CN430" s="312"/>
      <c r="CO430" s="312"/>
      <c r="CP430" s="312"/>
      <c r="CQ430" s="312"/>
      <c r="CR430" s="312"/>
      <c r="CS430" s="312"/>
      <c r="CT430" s="312"/>
      <c r="CU430" s="312"/>
      <c r="CV430" s="312"/>
      <c r="CW430" s="312"/>
      <c r="CX430" s="312"/>
      <c r="CY430" s="312"/>
      <c r="CZ430" s="312"/>
      <c r="DA430" s="312"/>
      <c r="DB430" s="312"/>
      <c r="DC430" s="312"/>
      <c r="DD430" s="312"/>
      <c r="DE430" s="312"/>
      <c r="DF430" s="312"/>
      <c r="DG430" s="312"/>
      <c r="DH430" s="312"/>
      <c r="DI430" s="312"/>
      <c r="DJ430" s="312"/>
      <c r="DK430" s="312"/>
      <c r="DL430" s="312"/>
      <c r="DM430" s="312"/>
      <c r="DN430" s="312"/>
      <c r="DO430" s="312"/>
      <c r="DP430" s="312"/>
      <c r="DQ430" s="312"/>
      <c r="DR430" s="312"/>
      <c r="DS430" s="312"/>
      <c r="DT430" s="312"/>
      <c r="DU430" s="312"/>
      <c r="DV430" s="312"/>
      <c r="DW430" s="312"/>
      <c r="DX430" s="312"/>
      <c r="DY430" s="312"/>
      <c r="DZ430" s="312"/>
      <c r="EA430" s="312"/>
      <c r="EB430" s="312"/>
      <c r="EC430" s="312"/>
      <c r="ED430" s="312"/>
      <c r="EE430" s="312"/>
      <c r="EF430" s="312"/>
      <c r="EG430" s="312"/>
      <c r="EH430" s="312"/>
      <c r="EI430" s="312"/>
      <c r="EJ430" s="312"/>
      <c r="EK430" s="312"/>
      <c r="EL430" s="312"/>
      <c r="EM430" s="312"/>
      <c r="EN430" s="312"/>
      <c r="EO430" s="312"/>
      <c r="EP430" s="312"/>
      <c r="EQ430" s="312"/>
      <c r="ER430" s="312"/>
      <c r="ES430" s="312"/>
      <c r="ET430" s="312"/>
      <c r="EU430" s="312"/>
      <c r="EV430" s="312"/>
      <c r="EW430" s="312"/>
      <c r="EX430" s="312"/>
      <c r="EY430" s="312"/>
      <c r="EZ430" s="312"/>
      <c r="FA430" s="312"/>
      <c r="FB430" s="312"/>
      <c r="FC430" s="312"/>
      <c r="FD430" s="312"/>
      <c r="FE430" s="312"/>
      <c r="FF430" s="312"/>
      <c r="FG430" s="312"/>
      <c r="FH430" s="312"/>
      <c r="FI430" s="312"/>
      <c r="FJ430" s="312"/>
      <c r="FK430" s="312"/>
      <c r="FL430" s="312"/>
      <c r="FM430" s="312"/>
      <c r="FN430" s="312"/>
      <c r="FO430" s="312"/>
      <c r="FP430" s="312"/>
      <c r="FQ430" s="312"/>
      <c r="FR430" s="312"/>
      <c r="FS430" s="312"/>
      <c r="FT430" s="312"/>
      <c r="FU430" s="312"/>
      <c r="FV430" s="312"/>
      <c r="FW430" s="312"/>
      <c r="FX430" s="312"/>
      <c r="FY430" s="312"/>
      <c r="FZ430" s="312"/>
      <c r="GA430" s="312"/>
      <c r="GB430" s="312"/>
      <c r="GC430" s="312"/>
      <c r="GD430" s="312"/>
      <c r="GE430" s="312"/>
      <c r="GF430" s="312"/>
      <c r="GG430" s="312"/>
      <c r="GH430" s="312"/>
      <c r="GI430" s="312"/>
      <c r="GJ430" s="312"/>
      <c r="GK430" s="312"/>
      <c r="GL430" s="312"/>
      <c r="GM430" s="312"/>
      <c r="GN430" s="312"/>
      <c r="GO430" s="312"/>
      <c r="GP430" s="312"/>
      <c r="GQ430" s="312"/>
      <c r="GR430" s="312"/>
      <c r="GS430" s="312"/>
      <c r="GT430" s="312"/>
      <c r="GU430" s="312"/>
      <c r="GV430" s="312"/>
      <c r="GW430" s="312"/>
      <c r="GX430" s="312"/>
      <c r="GY430" s="312"/>
    </row>
    <row r="431" spans="2:207" ht="15.75" x14ac:dyDescent="0.25">
      <c r="B431" s="316" t="str">
        <f t="shared" si="115"/>
        <v/>
      </c>
      <c r="C431" s="330" t="str">
        <f>'סיכום לוועדה'!B431</f>
        <v/>
      </c>
      <c r="D431" s="330" t="str">
        <f>'סיכום לוועדה'!C431</f>
        <v/>
      </c>
      <c r="E431" s="330" t="str">
        <f>'סיכום לוועדה'!D431</f>
        <v/>
      </c>
      <c r="F431" s="330" t="str">
        <f>'סיכום לוועדה'!E431</f>
        <v/>
      </c>
      <c r="G431" s="330" t="str">
        <f>'סיכום לוועדה'!F431</f>
        <v/>
      </c>
      <c r="H431" s="317" t="str">
        <f>'סיכום לוועדה'!G431</f>
        <v/>
      </c>
      <c r="I431" s="318" t="str">
        <f>'סיכום לוועדה'!U431</f>
        <v/>
      </c>
      <c r="J431" s="319" t="str">
        <f>'סיכום לוועדה'!T431</f>
        <v/>
      </c>
      <c r="K431" s="320" t="str">
        <f t="shared" si="116"/>
        <v/>
      </c>
      <c r="L431" s="319" t="str">
        <f t="shared" si="117"/>
        <v/>
      </c>
      <c r="M431" s="331" t="str">
        <f>'תחום תמיכה ב'!AF431</f>
        <v/>
      </c>
      <c r="N431" s="319" t="str">
        <f t="shared" si="114"/>
        <v/>
      </c>
      <c r="O431" s="321">
        <f t="shared" si="118"/>
        <v>0</v>
      </c>
      <c r="P431" s="322" t="str">
        <f t="shared" si="119"/>
        <v/>
      </c>
      <c r="Q431" s="322" t="str">
        <f t="shared" si="120"/>
        <v/>
      </c>
      <c r="R431" s="321">
        <f t="shared" si="121"/>
        <v>0</v>
      </c>
      <c r="S431" s="322" t="str">
        <f t="shared" si="122"/>
        <v/>
      </c>
      <c r="T431" s="322" t="str">
        <f t="shared" si="123"/>
        <v/>
      </c>
      <c r="U431" s="321">
        <f t="shared" si="124"/>
        <v>0</v>
      </c>
      <c r="V431" s="322" t="str">
        <f t="shared" si="125"/>
        <v/>
      </c>
      <c r="W431" s="322" t="str">
        <f t="shared" si="126"/>
        <v/>
      </c>
      <c r="X431" s="321">
        <f t="shared" si="127"/>
        <v>0</v>
      </c>
      <c r="Y431" s="322" t="str">
        <f t="shared" si="128"/>
        <v/>
      </c>
      <c r="Z431" s="322" t="str">
        <f t="shared" si="129"/>
        <v/>
      </c>
      <c r="AA431" s="323" t="str">
        <f t="shared" si="130"/>
        <v/>
      </c>
      <c r="AB431" s="323"/>
      <c r="AC431" s="323"/>
      <c r="AD431" s="323"/>
      <c r="AE431" s="323"/>
      <c r="AF431" s="324" t="str">
        <f t="shared" si="131"/>
        <v/>
      </c>
      <c r="AG431" s="312"/>
      <c r="AH431" s="312"/>
      <c r="AI431" s="325">
        <f t="shared" si="132"/>
        <v>0</v>
      </c>
      <c r="AJ431" s="312"/>
      <c r="AK431" s="312"/>
      <c r="AL431" s="312"/>
      <c r="AM431" s="312"/>
      <c r="AN431" s="312"/>
      <c r="AO431" s="312"/>
      <c r="AP431" s="312"/>
      <c r="AQ431" s="312"/>
      <c r="AR431" s="312"/>
      <c r="AS431" s="312"/>
      <c r="AT431" s="312"/>
      <c r="AU431" s="312"/>
      <c r="AV431" s="312"/>
      <c r="AW431" s="312"/>
      <c r="AX431" s="312"/>
      <c r="AY431" s="312"/>
      <c r="AZ431" s="312"/>
      <c r="BA431" s="312"/>
      <c r="BB431" s="312"/>
      <c r="BC431" s="312"/>
      <c r="BD431" s="312"/>
      <c r="BE431" s="312"/>
      <c r="BF431" s="312"/>
      <c r="BG431" s="312"/>
      <c r="BH431" s="312"/>
      <c r="BI431" s="312"/>
      <c r="BJ431" s="312"/>
      <c r="BK431" s="312"/>
      <c r="BL431" s="312"/>
      <c r="BM431" s="312"/>
      <c r="BN431" s="312"/>
      <c r="BO431" s="312"/>
      <c r="BP431" s="312"/>
      <c r="BQ431" s="312"/>
      <c r="BR431" s="312"/>
      <c r="BS431" s="312"/>
      <c r="BT431" s="312"/>
      <c r="BU431" s="312"/>
      <c r="BV431" s="312"/>
      <c r="BW431" s="312"/>
      <c r="BX431" s="312"/>
      <c r="BY431" s="312"/>
      <c r="BZ431" s="312"/>
      <c r="CA431" s="312"/>
      <c r="CB431" s="312"/>
      <c r="CC431" s="312"/>
      <c r="CD431" s="312"/>
      <c r="CE431" s="312"/>
      <c r="CF431" s="312"/>
      <c r="CG431" s="312"/>
      <c r="CH431" s="312"/>
      <c r="CI431" s="312"/>
      <c r="CJ431" s="312"/>
      <c r="CK431" s="312"/>
      <c r="CL431" s="312"/>
      <c r="CM431" s="312"/>
      <c r="CN431" s="312"/>
      <c r="CO431" s="312"/>
      <c r="CP431" s="312"/>
      <c r="CQ431" s="312"/>
      <c r="CR431" s="312"/>
      <c r="CS431" s="312"/>
      <c r="CT431" s="312"/>
      <c r="CU431" s="312"/>
      <c r="CV431" s="312"/>
      <c r="CW431" s="312"/>
      <c r="CX431" s="312"/>
      <c r="CY431" s="312"/>
      <c r="CZ431" s="312"/>
      <c r="DA431" s="312"/>
      <c r="DB431" s="312"/>
      <c r="DC431" s="312"/>
      <c r="DD431" s="312"/>
      <c r="DE431" s="312"/>
      <c r="DF431" s="312"/>
      <c r="DG431" s="312"/>
      <c r="DH431" s="312"/>
      <c r="DI431" s="312"/>
      <c r="DJ431" s="312"/>
      <c r="DK431" s="312"/>
      <c r="DL431" s="312"/>
      <c r="DM431" s="312"/>
      <c r="DN431" s="312"/>
      <c r="DO431" s="312"/>
      <c r="DP431" s="312"/>
      <c r="DQ431" s="312"/>
      <c r="DR431" s="312"/>
      <c r="DS431" s="312"/>
      <c r="DT431" s="312"/>
      <c r="DU431" s="312"/>
      <c r="DV431" s="312"/>
      <c r="DW431" s="312"/>
      <c r="DX431" s="312"/>
      <c r="DY431" s="312"/>
      <c r="DZ431" s="312"/>
      <c r="EA431" s="312"/>
      <c r="EB431" s="312"/>
      <c r="EC431" s="312"/>
      <c r="ED431" s="312"/>
      <c r="EE431" s="312"/>
      <c r="EF431" s="312"/>
      <c r="EG431" s="312"/>
      <c r="EH431" s="312"/>
      <c r="EI431" s="312"/>
      <c r="EJ431" s="312"/>
      <c r="EK431" s="312"/>
      <c r="EL431" s="312"/>
      <c r="EM431" s="312"/>
      <c r="EN431" s="312"/>
      <c r="EO431" s="312"/>
      <c r="EP431" s="312"/>
      <c r="EQ431" s="312"/>
      <c r="ER431" s="312"/>
      <c r="ES431" s="312"/>
      <c r="ET431" s="312"/>
      <c r="EU431" s="312"/>
      <c r="EV431" s="312"/>
      <c r="EW431" s="312"/>
      <c r="EX431" s="312"/>
      <c r="EY431" s="312"/>
      <c r="EZ431" s="312"/>
      <c r="FA431" s="312"/>
      <c r="FB431" s="312"/>
      <c r="FC431" s="312"/>
      <c r="FD431" s="312"/>
      <c r="FE431" s="312"/>
      <c r="FF431" s="312"/>
      <c r="FG431" s="312"/>
      <c r="FH431" s="312"/>
      <c r="FI431" s="312"/>
      <c r="FJ431" s="312"/>
      <c r="FK431" s="312"/>
      <c r="FL431" s="312"/>
      <c r="FM431" s="312"/>
      <c r="FN431" s="312"/>
      <c r="FO431" s="312"/>
      <c r="FP431" s="312"/>
      <c r="FQ431" s="312"/>
      <c r="FR431" s="312"/>
      <c r="FS431" s="312"/>
      <c r="FT431" s="312"/>
      <c r="FU431" s="312"/>
      <c r="FV431" s="312"/>
      <c r="FW431" s="312"/>
      <c r="FX431" s="312"/>
      <c r="FY431" s="312"/>
      <c r="FZ431" s="312"/>
      <c r="GA431" s="312"/>
      <c r="GB431" s="312"/>
      <c r="GC431" s="312"/>
      <c r="GD431" s="312"/>
      <c r="GE431" s="312"/>
      <c r="GF431" s="312"/>
      <c r="GG431" s="312"/>
      <c r="GH431" s="312"/>
      <c r="GI431" s="312"/>
      <c r="GJ431" s="312"/>
      <c r="GK431" s="312"/>
      <c r="GL431" s="312"/>
      <c r="GM431" s="312"/>
      <c r="GN431" s="312"/>
      <c r="GO431" s="312"/>
      <c r="GP431" s="312"/>
      <c r="GQ431" s="312"/>
      <c r="GR431" s="312"/>
      <c r="GS431" s="312"/>
      <c r="GT431" s="312"/>
      <c r="GU431" s="312"/>
      <c r="GV431" s="312"/>
      <c r="GW431" s="312"/>
      <c r="GX431" s="312"/>
      <c r="GY431" s="312"/>
    </row>
    <row r="432" spans="2:207" ht="15.75" x14ac:dyDescent="0.25">
      <c r="B432" s="316" t="str">
        <f t="shared" si="115"/>
        <v/>
      </c>
      <c r="C432" s="330" t="str">
        <f>'סיכום לוועדה'!B432</f>
        <v/>
      </c>
      <c r="D432" s="330" t="str">
        <f>'סיכום לוועדה'!C432</f>
        <v/>
      </c>
      <c r="E432" s="330" t="str">
        <f>'סיכום לוועדה'!D432</f>
        <v/>
      </c>
      <c r="F432" s="330" t="str">
        <f>'סיכום לוועדה'!E432</f>
        <v/>
      </c>
      <c r="G432" s="330" t="str">
        <f>'סיכום לוועדה'!F432</f>
        <v/>
      </c>
      <c r="H432" s="317" t="str">
        <f>'סיכום לוועדה'!G432</f>
        <v/>
      </c>
      <c r="I432" s="318" t="str">
        <f>'סיכום לוועדה'!U432</f>
        <v/>
      </c>
      <c r="J432" s="319" t="str">
        <f>'סיכום לוועדה'!T432</f>
        <v/>
      </c>
      <c r="K432" s="320" t="str">
        <f t="shared" si="116"/>
        <v/>
      </c>
      <c r="L432" s="319" t="str">
        <f t="shared" si="117"/>
        <v/>
      </c>
      <c r="M432" s="331" t="str">
        <f>'תחום תמיכה ב'!AF432</f>
        <v/>
      </c>
      <c r="N432" s="319" t="str">
        <f t="shared" si="114"/>
        <v/>
      </c>
      <c r="O432" s="321">
        <f t="shared" si="118"/>
        <v>0</v>
      </c>
      <c r="P432" s="322" t="str">
        <f t="shared" si="119"/>
        <v/>
      </c>
      <c r="Q432" s="322" t="str">
        <f t="shared" si="120"/>
        <v/>
      </c>
      <c r="R432" s="321">
        <f t="shared" si="121"/>
        <v>0</v>
      </c>
      <c r="S432" s="322" t="str">
        <f t="shared" si="122"/>
        <v/>
      </c>
      <c r="T432" s="322" t="str">
        <f t="shared" si="123"/>
        <v/>
      </c>
      <c r="U432" s="321">
        <f t="shared" si="124"/>
        <v>0</v>
      </c>
      <c r="V432" s="322" t="str">
        <f t="shared" si="125"/>
        <v/>
      </c>
      <c r="W432" s="322" t="str">
        <f t="shared" si="126"/>
        <v/>
      </c>
      <c r="X432" s="321">
        <f t="shared" si="127"/>
        <v>0</v>
      </c>
      <c r="Y432" s="322" t="str">
        <f t="shared" si="128"/>
        <v/>
      </c>
      <c r="Z432" s="322" t="str">
        <f t="shared" si="129"/>
        <v/>
      </c>
      <c r="AA432" s="323" t="str">
        <f t="shared" si="130"/>
        <v/>
      </c>
      <c r="AB432" s="323"/>
      <c r="AC432" s="323"/>
      <c r="AD432" s="323"/>
      <c r="AE432" s="323"/>
      <c r="AF432" s="324" t="str">
        <f t="shared" si="131"/>
        <v/>
      </c>
      <c r="AG432" s="312"/>
      <c r="AH432" s="312"/>
      <c r="AI432" s="325">
        <f t="shared" si="132"/>
        <v>0</v>
      </c>
      <c r="AJ432" s="312"/>
      <c r="AK432" s="312"/>
      <c r="AL432" s="312"/>
      <c r="AM432" s="312"/>
      <c r="AN432" s="312"/>
      <c r="AO432" s="312"/>
      <c r="AP432" s="312"/>
      <c r="AQ432" s="312"/>
      <c r="AR432" s="312"/>
      <c r="AS432" s="312"/>
      <c r="AT432" s="312"/>
      <c r="AU432" s="312"/>
      <c r="AV432" s="312"/>
      <c r="AW432" s="312"/>
      <c r="AX432" s="312"/>
      <c r="AY432" s="312"/>
      <c r="AZ432" s="312"/>
      <c r="BA432" s="312"/>
      <c r="BB432" s="312"/>
      <c r="BC432" s="312"/>
      <c r="BD432" s="312"/>
      <c r="BE432" s="312"/>
      <c r="BF432" s="312"/>
      <c r="BG432" s="312"/>
      <c r="BH432" s="312"/>
      <c r="BI432" s="312"/>
      <c r="BJ432" s="312"/>
      <c r="BK432" s="312"/>
      <c r="BL432" s="312"/>
      <c r="BM432" s="312"/>
      <c r="BN432" s="312"/>
      <c r="BO432" s="312"/>
      <c r="BP432" s="312"/>
      <c r="BQ432" s="312"/>
      <c r="BR432" s="312"/>
      <c r="BS432" s="312"/>
      <c r="BT432" s="312"/>
      <c r="BU432" s="312"/>
      <c r="BV432" s="312"/>
      <c r="BW432" s="312"/>
      <c r="BX432" s="312"/>
      <c r="BY432" s="312"/>
      <c r="BZ432" s="312"/>
      <c r="CA432" s="312"/>
      <c r="CB432" s="312"/>
      <c r="CC432" s="312"/>
      <c r="CD432" s="312"/>
      <c r="CE432" s="312"/>
      <c r="CF432" s="312"/>
      <c r="CG432" s="312"/>
      <c r="CH432" s="312"/>
      <c r="CI432" s="312"/>
      <c r="CJ432" s="312"/>
      <c r="CK432" s="312"/>
      <c r="CL432" s="312"/>
      <c r="CM432" s="312"/>
      <c r="CN432" s="312"/>
      <c r="CO432" s="312"/>
      <c r="CP432" s="312"/>
      <c r="CQ432" s="312"/>
      <c r="CR432" s="312"/>
      <c r="CS432" s="312"/>
      <c r="CT432" s="312"/>
      <c r="CU432" s="312"/>
      <c r="CV432" s="312"/>
      <c r="CW432" s="312"/>
      <c r="CX432" s="312"/>
      <c r="CY432" s="312"/>
      <c r="CZ432" s="312"/>
      <c r="DA432" s="312"/>
      <c r="DB432" s="312"/>
      <c r="DC432" s="312"/>
      <c r="DD432" s="312"/>
      <c r="DE432" s="312"/>
      <c r="DF432" s="312"/>
      <c r="DG432" s="312"/>
      <c r="DH432" s="312"/>
      <c r="DI432" s="312"/>
      <c r="DJ432" s="312"/>
      <c r="DK432" s="312"/>
      <c r="DL432" s="312"/>
      <c r="DM432" s="312"/>
      <c r="DN432" s="312"/>
      <c r="DO432" s="312"/>
      <c r="DP432" s="312"/>
      <c r="DQ432" s="312"/>
      <c r="DR432" s="312"/>
      <c r="DS432" s="312"/>
      <c r="DT432" s="312"/>
      <c r="DU432" s="312"/>
      <c r="DV432" s="312"/>
      <c r="DW432" s="312"/>
      <c r="DX432" s="312"/>
      <c r="DY432" s="312"/>
      <c r="DZ432" s="312"/>
      <c r="EA432" s="312"/>
      <c r="EB432" s="312"/>
      <c r="EC432" s="312"/>
      <c r="ED432" s="312"/>
      <c r="EE432" s="312"/>
      <c r="EF432" s="312"/>
      <c r="EG432" s="312"/>
      <c r="EH432" s="312"/>
      <c r="EI432" s="312"/>
      <c r="EJ432" s="312"/>
      <c r="EK432" s="312"/>
      <c r="EL432" s="312"/>
      <c r="EM432" s="312"/>
      <c r="EN432" s="312"/>
      <c r="EO432" s="312"/>
      <c r="EP432" s="312"/>
      <c r="EQ432" s="312"/>
      <c r="ER432" s="312"/>
      <c r="ES432" s="312"/>
      <c r="ET432" s="312"/>
      <c r="EU432" s="312"/>
      <c r="EV432" s="312"/>
      <c r="EW432" s="312"/>
      <c r="EX432" s="312"/>
      <c r="EY432" s="312"/>
      <c r="EZ432" s="312"/>
      <c r="FA432" s="312"/>
      <c r="FB432" s="312"/>
      <c r="FC432" s="312"/>
      <c r="FD432" s="312"/>
      <c r="FE432" s="312"/>
      <c r="FF432" s="312"/>
      <c r="FG432" s="312"/>
      <c r="FH432" s="312"/>
      <c r="FI432" s="312"/>
      <c r="FJ432" s="312"/>
      <c r="FK432" s="312"/>
      <c r="FL432" s="312"/>
      <c r="FM432" s="312"/>
      <c r="FN432" s="312"/>
      <c r="FO432" s="312"/>
      <c r="FP432" s="312"/>
      <c r="FQ432" s="312"/>
      <c r="FR432" s="312"/>
      <c r="FS432" s="312"/>
      <c r="FT432" s="312"/>
      <c r="FU432" s="312"/>
      <c r="FV432" s="312"/>
      <c r="FW432" s="312"/>
      <c r="FX432" s="312"/>
      <c r="FY432" s="312"/>
      <c r="FZ432" s="312"/>
      <c r="GA432" s="312"/>
      <c r="GB432" s="312"/>
      <c r="GC432" s="312"/>
      <c r="GD432" s="312"/>
      <c r="GE432" s="312"/>
      <c r="GF432" s="312"/>
      <c r="GG432" s="312"/>
      <c r="GH432" s="312"/>
      <c r="GI432" s="312"/>
      <c r="GJ432" s="312"/>
      <c r="GK432" s="312"/>
      <c r="GL432" s="312"/>
      <c r="GM432" s="312"/>
      <c r="GN432" s="312"/>
      <c r="GO432" s="312"/>
      <c r="GP432" s="312"/>
      <c r="GQ432" s="312"/>
      <c r="GR432" s="312"/>
      <c r="GS432" s="312"/>
      <c r="GT432" s="312"/>
      <c r="GU432" s="312"/>
      <c r="GV432" s="312"/>
      <c r="GW432" s="312"/>
      <c r="GX432" s="312"/>
      <c r="GY432" s="312"/>
    </row>
    <row r="433" spans="2:207" ht="15.75" x14ac:dyDescent="0.25">
      <c r="B433" s="316" t="str">
        <f t="shared" si="115"/>
        <v/>
      </c>
      <c r="C433" s="330" t="str">
        <f>'סיכום לוועדה'!B433</f>
        <v/>
      </c>
      <c r="D433" s="330" t="str">
        <f>'סיכום לוועדה'!C433</f>
        <v/>
      </c>
      <c r="E433" s="330" t="str">
        <f>'סיכום לוועדה'!D433</f>
        <v/>
      </c>
      <c r="F433" s="330" t="str">
        <f>'סיכום לוועדה'!E433</f>
        <v/>
      </c>
      <c r="G433" s="330" t="str">
        <f>'סיכום לוועדה'!F433</f>
        <v/>
      </c>
      <c r="H433" s="317" t="str">
        <f>'סיכום לוועדה'!G433</f>
        <v/>
      </c>
      <c r="I433" s="318" t="str">
        <f>'סיכום לוועדה'!U433</f>
        <v/>
      </c>
      <c r="J433" s="319" t="str">
        <f>'סיכום לוועדה'!T433</f>
        <v/>
      </c>
      <c r="K433" s="320" t="str">
        <f t="shared" si="116"/>
        <v/>
      </c>
      <c r="L433" s="319" t="str">
        <f t="shared" si="117"/>
        <v/>
      </c>
      <c r="M433" s="331" t="str">
        <f>'תחום תמיכה ב'!AF433</f>
        <v/>
      </c>
      <c r="N433" s="319" t="str">
        <f t="shared" si="114"/>
        <v/>
      </c>
      <c r="O433" s="321">
        <f t="shared" si="118"/>
        <v>0</v>
      </c>
      <c r="P433" s="322" t="str">
        <f t="shared" si="119"/>
        <v/>
      </c>
      <c r="Q433" s="322" t="str">
        <f t="shared" si="120"/>
        <v/>
      </c>
      <c r="R433" s="321">
        <f t="shared" si="121"/>
        <v>0</v>
      </c>
      <c r="S433" s="322" t="str">
        <f t="shared" si="122"/>
        <v/>
      </c>
      <c r="T433" s="322" t="str">
        <f t="shared" si="123"/>
        <v/>
      </c>
      <c r="U433" s="321">
        <f t="shared" si="124"/>
        <v>0</v>
      </c>
      <c r="V433" s="322" t="str">
        <f t="shared" si="125"/>
        <v/>
      </c>
      <c r="W433" s="322" t="str">
        <f t="shared" si="126"/>
        <v/>
      </c>
      <c r="X433" s="321">
        <f t="shared" si="127"/>
        <v>0</v>
      </c>
      <c r="Y433" s="322" t="str">
        <f t="shared" si="128"/>
        <v/>
      </c>
      <c r="Z433" s="322" t="str">
        <f t="shared" si="129"/>
        <v/>
      </c>
      <c r="AA433" s="323" t="str">
        <f t="shared" si="130"/>
        <v/>
      </c>
      <c r="AB433" s="323"/>
      <c r="AC433" s="323"/>
      <c r="AD433" s="323"/>
      <c r="AE433" s="323"/>
      <c r="AF433" s="324" t="str">
        <f t="shared" si="131"/>
        <v/>
      </c>
      <c r="AG433" s="312"/>
      <c r="AH433" s="312"/>
      <c r="AI433" s="325">
        <f t="shared" si="132"/>
        <v>0</v>
      </c>
      <c r="AJ433" s="312"/>
      <c r="AK433" s="312"/>
      <c r="AL433" s="312"/>
      <c r="AM433" s="312"/>
      <c r="AN433" s="312"/>
      <c r="AO433" s="312"/>
      <c r="AP433" s="312"/>
      <c r="AQ433" s="312"/>
      <c r="AR433" s="312"/>
      <c r="AS433" s="312"/>
      <c r="AT433" s="312"/>
      <c r="AU433" s="312"/>
      <c r="AV433" s="312"/>
      <c r="AW433" s="312"/>
      <c r="AX433" s="312"/>
      <c r="AY433" s="312"/>
      <c r="AZ433" s="312"/>
      <c r="BA433" s="312"/>
      <c r="BB433" s="312"/>
      <c r="BC433" s="312"/>
      <c r="BD433" s="312"/>
      <c r="BE433" s="312"/>
      <c r="BF433" s="312"/>
      <c r="BG433" s="312"/>
      <c r="BH433" s="312"/>
      <c r="BI433" s="312"/>
      <c r="BJ433" s="312"/>
      <c r="BK433" s="312"/>
      <c r="BL433" s="312"/>
      <c r="BM433" s="312"/>
      <c r="BN433" s="312"/>
      <c r="BO433" s="312"/>
      <c r="BP433" s="312"/>
      <c r="BQ433" s="312"/>
      <c r="BR433" s="312"/>
      <c r="BS433" s="312"/>
      <c r="BT433" s="312"/>
      <c r="BU433" s="312"/>
      <c r="BV433" s="312"/>
      <c r="BW433" s="312"/>
      <c r="BX433" s="312"/>
      <c r="BY433" s="312"/>
      <c r="BZ433" s="312"/>
      <c r="CA433" s="312"/>
      <c r="CB433" s="312"/>
      <c r="CC433" s="312"/>
      <c r="CD433" s="312"/>
      <c r="CE433" s="312"/>
      <c r="CF433" s="312"/>
      <c r="CG433" s="312"/>
      <c r="CH433" s="312"/>
      <c r="CI433" s="312"/>
      <c r="CJ433" s="312"/>
      <c r="CK433" s="312"/>
      <c r="CL433" s="312"/>
      <c r="CM433" s="312"/>
      <c r="CN433" s="312"/>
      <c r="CO433" s="312"/>
      <c r="CP433" s="312"/>
      <c r="CQ433" s="312"/>
      <c r="CR433" s="312"/>
      <c r="CS433" s="312"/>
      <c r="CT433" s="312"/>
      <c r="CU433" s="312"/>
      <c r="CV433" s="312"/>
      <c r="CW433" s="312"/>
      <c r="CX433" s="312"/>
      <c r="CY433" s="312"/>
      <c r="CZ433" s="312"/>
      <c r="DA433" s="312"/>
      <c r="DB433" s="312"/>
      <c r="DC433" s="312"/>
      <c r="DD433" s="312"/>
      <c r="DE433" s="312"/>
      <c r="DF433" s="312"/>
      <c r="DG433" s="312"/>
      <c r="DH433" s="312"/>
      <c r="DI433" s="312"/>
      <c r="DJ433" s="312"/>
      <c r="DK433" s="312"/>
      <c r="DL433" s="312"/>
      <c r="DM433" s="312"/>
      <c r="DN433" s="312"/>
      <c r="DO433" s="312"/>
      <c r="DP433" s="312"/>
      <c r="DQ433" s="312"/>
      <c r="DR433" s="312"/>
      <c r="DS433" s="312"/>
      <c r="DT433" s="312"/>
      <c r="DU433" s="312"/>
      <c r="DV433" s="312"/>
      <c r="DW433" s="312"/>
      <c r="DX433" s="312"/>
      <c r="DY433" s="312"/>
      <c r="DZ433" s="312"/>
      <c r="EA433" s="312"/>
      <c r="EB433" s="312"/>
      <c r="EC433" s="312"/>
      <c r="ED433" s="312"/>
      <c r="EE433" s="312"/>
      <c r="EF433" s="312"/>
      <c r="EG433" s="312"/>
      <c r="EH433" s="312"/>
      <c r="EI433" s="312"/>
      <c r="EJ433" s="312"/>
      <c r="EK433" s="312"/>
      <c r="EL433" s="312"/>
      <c r="EM433" s="312"/>
      <c r="EN433" s="312"/>
      <c r="EO433" s="312"/>
      <c r="EP433" s="312"/>
      <c r="EQ433" s="312"/>
      <c r="ER433" s="312"/>
      <c r="ES433" s="312"/>
      <c r="ET433" s="312"/>
      <c r="EU433" s="312"/>
      <c r="EV433" s="312"/>
      <c r="EW433" s="312"/>
      <c r="EX433" s="312"/>
      <c r="EY433" s="312"/>
      <c r="EZ433" s="312"/>
      <c r="FA433" s="312"/>
      <c r="FB433" s="312"/>
      <c r="FC433" s="312"/>
      <c r="FD433" s="312"/>
      <c r="FE433" s="312"/>
      <c r="FF433" s="312"/>
      <c r="FG433" s="312"/>
      <c r="FH433" s="312"/>
      <c r="FI433" s="312"/>
      <c r="FJ433" s="312"/>
      <c r="FK433" s="312"/>
      <c r="FL433" s="312"/>
      <c r="FM433" s="312"/>
      <c r="FN433" s="312"/>
      <c r="FO433" s="312"/>
      <c r="FP433" s="312"/>
      <c r="FQ433" s="312"/>
      <c r="FR433" s="312"/>
      <c r="FS433" s="312"/>
      <c r="FT433" s="312"/>
      <c r="FU433" s="312"/>
      <c r="FV433" s="312"/>
      <c r="FW433" s="312"/>
      <c r="FX433" s="312"/>
      <c r="FY433" s="312"/>
      <c r="FZ433" s="312"/>
      <c r="GA433" s="312"/>
      <c r="GB433" s="312"/>
      <c r="GC433" s="312"/>
      <c r="GD433" s="312"/>
      <c r="GE433" s="312"/>
      <c r="GF433" s="312"/>
      <c r="GG433" s="312"/>
      <c r="GH433" s="312"/>
      <c r="GI433" s="312"/>
      <c r="GJ433" s="312"/>
      <c r="GK433" s="312"/>
      <c r="GL433" s="312"/>
      <c r="GM433" s="312"/>
      <c r="GN433" s="312"/>
      <c r="GO433" s="312"/>
      <c r="GP433" s="312"/>
      <c r="GQ433" s="312"/>
      <c r="GR433" s="312"/>
      <c r="GS433" s="312"/>
      <c r="GT433" s="312"/>
      <c r="GU433" s="312"/>
      <c r="GV433" s="312"/>
      <c r="GW433" s="312"/>
      <c r="GX433" s="312"/>
      <c r="GY433" s="312"/>
    </row>
    <row r="434" spans="2:207" ht="15.75" x14ac:dyDescent="0.25">
      <c r="B434" s="316" t="str">
        <f t="shared" si="115"/>
        <v/>
      </c>
      <c r="C434" s="330" t="str">
        <f>'סיכום לוועדה'!B434</f>
        <v/>
      </c>
      <c r="D434" s="330" t="str">
        <f>'סיכום לוועדה'!C434</f>
        <v/>
      </c>
      <c r="E434" s="330" t="str">
        <f>'סיכום לוועדה'!D434</f>
        <v/>
      </c>
      <c r="F434" s="330" t="str">
        <f>'סיכום לוועדה'!E434</f>
        <v/>
      </c>
      <c r="G434" s="330" t="str">
        <f>'סיכום לוועדה'!F434</f>
        <v/>
      </c>
      <c r="H434" s="317" t="str">
        <f>'סיכום לוועדה'!G434</f>
        <v/>
      </c>
      <c r="I434" s="318" t="str">
        <f>'סיכום לוועדה'!U434</f>
        <v/>
      </c>
      <c r="J434" s="319" t="str">
        <f>'סיכום לוועדה'!T434</f>
        <v/>
      </c>
      <c r="K434" s="320" t="str">
        <f t="shared" si="116"/>
        <v/>
      </c>
      <c r="L434" s="319" t="str">
        <f t="shared" si="117"/>
        <v/>
      </c>
      <c r="M434" s="331" t="str">
        <f>'תחום תמיכה ב'!AF434</f>
        <v/>
      </c>
      <c r="N434" s="319" t="str">
        <f t="shared" si="114"/>
        <v/>
      </c>
      <c r="O434" s="321">
        <f t="shared" si="118"/>
        <v>0</v>
      </c>
      <c r="P434" s="322" t="str">
        <f t="shared" si="119"/>
        <v/>
      </c>
      <c r="Q434" s="322" t="str">
        <f t="shared" si="120"/>
        <v/>
      </c>
      <c r="R434" s="321">
        <f t="shared" si="121"/>
        <v>0</v>
      </c>
      <c r="S434" s="322" t="str">
        <f t="shared" si="122"/>
        <v/>
      </c>
      <c r="T434" s="322" t="str">
        <f t="shared" si="123"/>
        <v/>
      </c>
      <c r="U434" s="321">
        <f t="shared" si="124"/>
        <v>0</v>
      </c>
      <c r="V434" s="322" t="str">
        <f t="shared" si="125"/>
        <v/>
      </c>
      <c r="W434" s="322" t="str">
        <f t="shared" si="126"/>
        <v/>
      </c>
      <c r="X434" s="321">
        <f t="shared" si="127"/>
        <v>0</v>
      </c>
      <c r="Y434" s="322" t="str">
        <f t="shared" si="128"/>
        <v/>
      </c>
      <c r="Z434" s="322" t="str">
        <f t="shared" si="129"/>
        <v/>
      </c>
      <c r="AA434" s="323" t="str">
        <f t="shared" si="130"/>
        <v/>
      </c>
      <c r="AB434" s="323"/>
      <c r="AC434" s="323"/>
      <c r="AD434" s="323"/>
      <c r="AE434" s="323"/>
      <c r="AF434" s="324" t="str">
        <f t="shared" si="131"/>
        <v/>
      </c>
      <c r="AG434" s="312"/>
      <c r="AH434" s="312"/>
      <c r="AI434" s="325">
        <f t="shared" si="132"/>
        <v>0</v>
      </c>
      <c r="AJ434" s="312"/>
      <c r="AK434" s="312"/>
      <c r="AL434" s="312"/>
      <c r="AM434" s="312"/>
      <c r="AN434" s="312"/>
      <c r="AO434" s="312"/>
      <c r="AP434" s="312"/>
      <c r="AQ434" s="312"/>
      <c r="AR434" s="312"/>
      <c r="AS434" s="312"/>
      <c r="AT434" s="312"/>
      <c r="AU434" s="312"/>
      <c r="AV434" s="312"/>
      <c r="AW434" s="312"/>
      <c r="AX434" s="312"/>
      <c r="AY434" s="312"/>
      <c r="AZ434" s="312"/>
      <c r="BA434" s="312"/>
      <c r="BB434" s="312"/>
      <c r="BC434" s="312"/>
      <c r="BD434" s="312"/>
      <c r="BE434" s="312"/>
      <c r="BF434" s="312"/>
      <c r="BG434" s="312"/>
      <c r="BH434" s="312"/>
      <c r="BI434" s="312"/>
      <c r="BJ434" s="312"/>
      <c r="BK434" s="312"/>
      <c r="BL434" s="312"/>
      <c r="BM434" s="312"/>
      <c r="BN434" s="312"/>
      <c r="BO434" s="312"/>
      <c r="BP434" s="312"/>
      <c r="BQ434" s="312"/>
      <c r="BR434" s="312"/>
      <c r="BS434" s="312"/>
      <c r="BT434" s="312"/>
      <c r="BU434" s="312"/>
      <c r="BV434" s="312"/>
      <c r="BW434" s="312"/>
      <c r="BX434" s="312"/>
      <c r="BY434" s="312"/>
      <c r="BZ434" s="312"/>
      <c r="CA434" s="312"/>
      <c r="CB434" s="312"/>
      <c r="CC434" s="312"/>
      <c r="CD434" s="312"/>
      <c r="CE434" s="312"/>
      <c r="CF434" s="312"/>
      <c r="CG434" s="312"/>
      <c r="CH434" s="312"/>
      <c r="CI434" s="312"/>
      <c r="CJ434" s="312"/>
      <c r="CK434" s="312"/>
      <c r="CL434" s="312"/>
      <c r="CM434" s="312"/>
      <c r="CN434" s="312"/>
      <c r="CO434" s="312"/>
      <c r="CP434" s="312"/>
      <c r="CQ434" s="312"/>
      <c r="CR434" s="312"/>
      <c r="CS434" s="312"/>
      <c r="CT434" s="312"/>
      <c r="CU434" s="312"/>
      <c r="CV434" s="312"/>
      <c r="CW434" s="312"/>
      <c r="CX434" s="312"/>
      <c r="CY434" s="312"/>
      <c r="CZ434" s="312"/>
      <c r="DA434" s="312"/>
      <c r="DB434" s="312"/>
      <c r="DC434" s="312"/>
      <c r="DD434" s="312"/>
      <c r="DE434" s="312"/>
      <c r="DF434" s="312"/>
      <c r="DG434" s="312"/>
      <c r="DH434" s="312"/>
      <c r="DI434" s="312"/>
      <c r="DJ434" s="312"/>
      <c r="DK434" s="312"/>
      <c r="DL434" s="312"/>
      <c r="DM434" s="312"/>
      <c r="DN434" s="312"/>
      <c r="DO434" s="312"/>
      <c r="DP434" s="312"/>
      <c r="DQ434" s="312"/>
      <c r="DR434" s="312"/>
      <c r="DS434" s="312"/>
      <c r="DT434" s="312"/>
      <c r="DU434" s="312"/>
      <c r="DV434" s="312"/>
      <c r="DW434" s="312"/>
      <c r="DX434" s="312"/>
      <c r="DY434" s="312"/>
      <c r="DZ434" s="312"/>
      <c r="EA434" s="312"/>
      <c r="EB434" s="312"/>
      <c r="EC434" s="312"/>
      <c r="ED434" s="312"/>
      <c r="EE434" s="312"/>
      <c r="EF434" s="312"/>
      <c r="EG434" s="312"/>
      <c r="EH434" s="312"/>
      <c r="EI434" s="312"/>
      <c r="EJ434" s="312"/>
      <c r="EK434" s="312"/>
      <c r="EL434" s="312"/>
      <c r="EM434" s="312"/>
      <c r="EN434" s="312"/>
      <c r="EO434" s="312"/>
      <c r="EP434" s="312"/>
      <c r="EQ434" s="312"/>
      <c r="ER434" s="312"/>
      <c r="ES434" s="312"/>
      <c r="ET434" s="312"/>
      <c r="EU434" s="312"/>
      <c r="EV434" s="312"/>
      <c r="EW434" s="312"/>
      <c r="EX434" s="312"/>
      <c r="EY434" s="312"/>
      <c r="EZ434" s="312"/>
      <c r="FA434" s="312"/>
      <c r="FB434" s="312"/>
      <c r="FC434" s="312"/>
      <c r="FD434" s="312"/>
      <c r="FE434" s="312"/>
      <c r="FF434" s="312"/>
      <c r="FG434" s="312"/>
      <c r="FH434" s="312"/>
      <c r="FI434" s="312"/>
      <c r="FJ434" s="312"/>
      <c r="FK434" s="312"/>
      <c r="FL434" s="312"/>
      <c r="FM434" s="312"/>
      <c r="FN434" s="312"/>
      <c r="FO434" s="312"/>
      <c r="FP434" s="312"/>
      <c r="FQ434" s="312"/>
      <c r="FR434" s="312"/>
      <c r="FS434" s="312"/>
      <c r="FT434" s="312"/>
      <c r="FU434" s="312"/>
      <c r="FV434" s="312"/>
      <c r="FW434" s="312"/>
      <c r="FX434" s="312"/>
      <c r="FY434" s="312"/>
      <c r="FZ434" s="312"/>
      <c r="GA434" s="312"/>
      <c r="GB434" s="312"/>
      <c r="GC434" s="312"/>
      <c r="GD434" s="312"/>
      <c r="GE434" s="312"/>
      <c r="GF434" s="312"/>
      <c r="GG434" s="312"/>
      <c r="GH434" s="312"/>
      <c r="GI434" s="312"/>
      <c r="GJ434" s="312"/>
      <c r="GK434" s="312"/>
      <c r="GL434" s="312"/>
      <c r="GM434" s="312"/>
      <c r="GN434" s="312"/>
      <c r="GO434" s="312"/>
      <c r="GP434" s="312"/>
      <c r="GQ434" s="312"/>
      <c r="GR434" s="312"/>
      <c r="GS434" s="312"/>
      <c r="GT434" s="312"/>
      <c r="GU434" s="312"/>
      <c r="GV434" s="312"/>
      <c r="GW434" s="312"/>
      <c r="GX434" s="312"/>
      <c r="GY434" s="312"/>
    </row>
    <row r="435" spans="2:207" ht="15.75" x14ac:dyDescent="0.25">
      <c r="B435" s="316" t="str">
        <f t="shared" si="115"/>
        <v/>
      </c>
      <c r="C435" s="330" t="str">
        <f>'סיכום לוועדה'!B435</f>
        <v/>
      </c>
      <c r="D435" s="330" t="str">
        <f>'סיכום לוועדה'!C435</f>
        <v/>
      </c>
      <c r="E435" s="330" t="str">
        <f>'סיכום לוועדה'!D435</f>
        <v/>
      </c>
      <c r="F435" s="330" t="str">
        <f>'סיכום לוועדה'!E435</f>
        <v/>
      </c>
      <c r="G435" s="330" t="str">
        <f>'סיכום לוועדה'!F435</f>
        <v/>
      </c>
      <c r="H435" s="317" t="str">
        <f>'סיכום לוועדה'!G435</f>
        <v/>
      </c>
      <c r="I435" s="318" t="str">
        <f>'סיכום לוועדה'!U435</f>
        <v/>
      </c>
      <c r="J435" s="319" t="str">
        <f>'סיכום לוועדה'!T435</f>
        <v/>
      </c>
      <c r="K435" s="320" t="str">
        <f t="shared" si="116"/>
        <v/>
      </c>
      <c r="L435" s="319" t="str">
        <f t="shared" si="117"/>
        <v/>
      </c>
      <c r="M435" s="331" t="str">
        <f>'תחום תמיכה ב'!AF435</f>
        <v/>
      </c>
      <c r="N435" s="319" t="str">
        <f t="shared" si="114"/>
        <v/>
      </c>
      <c r="O435" s="321">
        <f t="shared" si="118"/>
        <v>0</v>
      </c>
      <c r="P435" s="322" t="str">
        <f t="shared" si="119"/>
        <v/>
      </c>
      <c r="Q435" s="322" t="str">
        <f t="shared" si="120"/>
        <v/>
      </c>
      <c r="R435" s="321">
        <f t="shared" si="121"/>
        <v>0</v>
      </c>
      <c r="S435" s="322" t="str">
        <f t="shared" si="122"/>
        <v/>
      </c>
      <c r="T435" s="322" t="str">
        <f t="shared" si="123"/>
        <v/>
      </c>
      <c r="U435" s="321">
        <f t="shared" si="124"/>
        <v>0</v>
      </c>
      <c r="V435" s="322" t="str">
        <f t="shared" si="125"/>
        <v/>
      </c>
      <c r="W435" s="322" t="str">
        <f t="shared" si="126"/>
        <v/>
      </c>
      <c r="X435" s="321">
        <f t="shared" si="127"/>
        <v>0</v>
      </c>
      <c r="Y435" s="322" t="str">
        <f t="shared" si="128"/>
        <v/>
      </c>
      <c r="Z435" s="322" t="str">
        <f t="shared" si="129"/>
        <v/>
      </c>
      <c r="AA435" s="323" t="str">
        <f t="shared" si="130"/>
        <v/>
      </c>
      <c r="AB435" s="323"/>
      <c r="AC435" s="323"/>
      <c r="AD435" s="323"/>
      <c r="AE435" s="323"/>
      <c r="AF435" s="324" t="str">
        <f t="shared" si="131"/>
        <v/>
      </c>
      <c r="AG435" s="312"/>
      <c r="AH435" s="312"/>
      <c r="AI435" s="325">
        <f t="shared" si="132"/>
        <v>0</v>
      </c>
      <c r="AJ435" s="312"/>
      <c r="AK435" s="312"/>
      <c r="AL435" s="312"/>
      <c r="AM435" s="312"/>
      <c r="AN435" s="312"/>
      <c r="AO435" s="312"/>
      <c r="AP435" s="312"/>
      <c r="AQ435" s="312"/>
      <c r="AR435" s="312"/>
      <c r="AS435" s="312"/>
      <c r="AT435" s="312"/>
      <c r="AU435" s="312"/>
      <c r="AV435" s="312"/>
      <c r="AW435" s="312"/>
      <c r="AX435" s="312"/>
      <c r="AY435" s="312"/>
      <c r="AZ435" s="312"/>
      <c r="BA435" s="312"/>
      <c r="BB435" s="312"/>
      <c r="BC435" s="312"/>
      <c r="BD435" s="312"/>
      <c r="BE435" s="312"/>
      <c r="BF435" s="312"/>
      <c r="BG435" s="312"/>
      <c r="BH435" s="312"/>
      <c r="BI435" s="312"/>
      <c r="BJ435" s="312"/>
      <c r="BK435" s="312"/>
      <c r="BL435" s="312"/>
      <c r="BM435" s="312"/>
      <c r="BN435" s="312"/>
      <c r="BO435" s="312"/>
      <c r="BP435" s="312"/>
      <c r="BQ435" s="312"/>
      <c r="BR435" s="312"/>
      <c r="BS435" s="312"/>
      <c r="BT435" s="312"/>
      <c r="BU435" s="312"/>
      <c r="BV435" s="312"/>
      <c r="BW435" s="312"/>
      <c r="BX435" s="312"/>
      <c r="BY435" s="312"/>
      <c r="BZ435" s="312"/>
      <c r="CA435" s="312"/>
      <c r="CB435" s="312"/>
      <c r="CC435" s="312"/>
      <c r="CD435" s="312"/>
      <c r="CE435" s="312"/>
      <c r="CF435" s="312"/>
      <c r="CG435" s="312"/>
      <c r="CH435" s="312"/>
      <c r="CI435" s="312"/>
      <c r="CJ435" s="312"/>
      <c r="CK435" s="312"/>
      <c r="CL435" s="312"/>
      <c r="CM435" s="312"/>
      <c r="CN435" s="312"/>
      <c r="CO435" s="312"/>
      <c r="CP435" s="312"/>
      <c r="CQ435" s="312"/>
      <c r="CR435" s="312"/>
      <c r="CS435" s="312"/>
      <c r="CT435" s="312"/>
      <c r="CU435" s="312"/>
      <c r="CV435" s="312"/>
      <c r="CW435" s="312"/>
      <c r="CX435" s="312"/>
      <c r="CY435" s="312"/>
      <c r="CZ435" s="312"/>
      <c r="DA435" s="312"/>
      <c r="DB435" s="312"/>
      <c r="DC435" s="312"/>
      <c r="DD435" s="312"/>
      <c r="DE435" s="312"/>
      <c r="DF435" s="312"/>
      <c r="DG435" s="312"/>
      <c r="DH435" s="312"/>
      <c r="DI435" s="312"/>
      <c r="DJ435" s="312"/>
      <c r="DK435" s="312"/>
      <c r="DL435" s="312"/>
      <c r="DM435" s="312"/>
      <c r="DN435" s="312"/>
      <c r="DO435" s="312"/>
      <c r="DP435" s="312"/>
      <c r="DQ435" s="312"/>
      <c r="DR435" s="312"/>
      <c r="DS435" s="312"/>
      <c r="DT435" s="312"/>
      <c r="DU435" s="312"/>
      <c r="DV435" s="312"/>
      <c r="DW435" s="312"/>
      <c r="DX435" s="312"/>
      <c r="DY435" s="312"/>
      <c r="DZ435" s="312"/>
      <c r="EA435" s="312"/>
      <c r="EB435" s="312"/>
      <c r="EC435" s="312"/>
      <c r="ED435" s="312"/>
      <c r="EE435" s="312"/>
      <c r="EF435" s="312"/>
      <c r="EG435" s="312"/>
      <c r="EH435" s="312"/>
      <c r="EI435" s="312"/>
      <c r="EJ435" s="312"/>
      <c r="EK435" s="312"/>
      <c r="EL435" s="312"/>
      <c r="EM435" s="312"/>
      <c r="EN435" s="312"/>
      <c r="EO435" s="312"/>
      <c r="EP435" s="312"/>
      <c r="EQ435" s="312"/>
      <c r="ER435" s="312"/>
      <c r="ES435" s="312"/>
      <c r="ET435" s="312"/>
      <c r="EU435" s="312"/>
      <c r="EV435" s="312"/>
      <c r="EW435" s="312"/>
      <c r="EX435" s="312"/>
      <c r="EY435" s="312"/>
      <c r="EZ435" s="312"/>
      <c r="FA435" s="312"/>
      <c r="FB435" s="312"/>
      <c r="FC435" s="312"/>
      <c r="FD435" s="312"/>
      <c r="FE435" s="312"/>
      <c r="FF435" s="312"/>
      <c r="FG435" s="312"/>
      <c r="FH435" s="312"/>
      <c r="FI435" s="312"/>
      <c r="FJ435" s="312"/>
      <c r="FK435" s="312"/>
      <c r="FL435" s="312"/>
      <c r="FM435" s="312"/>
      <c r="FN435" s="312"/>
      <c r="FO435" s="312"/>
      <c r="FP435" s="312"/>
      <c r="FQ435" s="312"/>
      <c r="FR435" s="312"/>
      <c r="FS435" s="312"/>
      <c r="FT435" s="312"/>
      <c r="FU435" s="312"/>
      <c r="FV435" s="312"/>
      <c r="FW435" s="312"/>
      <c r="FX435" s="312"/>
      <c r="FY435" s="312"/>
      <c r="FZ435" s="312"/>
      <c r="GA435" s="312"/>
      <c r="GB435" s="312"/>
      <c r="GC435" s="312"/>
      <c r="GD435" s="312"/>
      <c r="GE435" s="312"/>
      <c r="GF435" s="312"/>
      <c r="GG435" s="312"/>
      <c r="GH435" s="312"/>
      <c r="GI435" s="312"/>
      <c r="GJ435" s="312"/>
      <c r="GK435" s="312"/>
      <c r="GL435" s="312"/>
      <c r="GM435" s="312"/>
      <c r="GN435" s="312"/>
      <c r="GO435" s="312"/>
      <c r="GP435" s="312"/>
      <c r="GQ435" s="312"/>
      <c r="GR435" s="312"/>
      <c r="GS435" s="312"/>
      <c r="GT435" s="312"/>
      <c r="GU435" s="312"/>
      <c r="GV435" s="312"/>
      <c r="GW435" s="312"/>
      <c r="GX435" s="312"/>
      <c r="GY435" s="312"/>
    </row>
    <row r="436" spans="2:207" ht="15.75" x14ac:dyDescent="0.25">
      <c r="B436" s="316" t="str">
        <f t="shared" si="115"/>
        <v/>
      </c>
      <c r="C436" s="330" t="str">
        <f>'סיכום לוועדה'!B436</f>
        <v/>
      </c>
      <c r="D436" s="330" t="str">
        <f>'סיכום לוועדה'!C436</f>
        <v/>
      </c>
      <c r="E436" s="330" t="str">
        <f>'סיכום לוועדה'!D436</f>
        <v/>
      </c>
      <c r="F436" s="330" t="str">
        <f>'סיכום לוועדה'!E436</f>
        <v/>
      </c>
      <c r="G436" s="330" t="str">
        <f>'סיכום לוועדה'!F436</f>
        <v/>
      </c>
      <c r="H436" s="317" t="str">
        <f>'סיכום לוועדה'!G436</f>
        <v/>
      </c>
      <c r="I436" s="318" t="str">
        <f>'סיכום לוועדה'!U436</f>
        <v/>
      </c>
      <c r="J436" s="319" t="str">
        <f>'סיכום לוועדה'!T436</f>
        <v/>
      </c>
      <c r="K436" s="320" t="str">
        <f t="shared" si="116"/>
        <v/>
      </c>
      <c r="L436" s="319" t="str">
        <f t="shared" si="117"/>
        <v/>
      </c>
      <c r="M436" s="331" t="str">
        <f>'תחום תמיכה ב'!AF436</f>
        <v/>
      </c>
      <c r="N436" s="319" t="str">
        <f t="shared" si="114"/>
        <v/>
      </c>
      <c r="O436" s="321">
        <f t="shared" si="118"/>
        <v>0</v>
      </c>
      <c r="P436" s="322" t="str">
        <f t="shared" si="119"/>
        <v/>
      </c>
      <c r="Q436" s="322" t="str">
        <f t="shared" si="120"/>
        <v/>
      </c>
      <c r="R436" s="321">
        <f t="shared" si="121"/>
        <v>0</v>
      </c>
      <c r="S436" s="322" t="str">
        <f t="shared" si="122"/>
        <v/>
      </c>
      <c r="T436" s="322" t="str">
        <f t="shared" si="123"/>
        <v/>
      </c>
      <c r="U436" s="321">
        <f t="shared" si="124"/>
        <v>0</v>
      </c>
      <c r="V436" s="322" t="str">
        <f t="shared" si="125"/>
        <v/>
      </c>
      <c r="W436" s="322" t="str">
        <f t="shared" si="126"/>
        <v/>
      </c>
      <c r="X436" s="321">
        <f t="shared" si="127"/>
        <v>0</v>
      </c>
      <c r="Y436" s="322" t="str">
        <f t="shared" si="128"/>
        <v/>
      </c>
      <c r="Z436" s="322" t="str">
        <f t="shared" si="129"/>
        <v/>
      </c>
      <c r="AA436" s="323" t="str">
        <f t="shared" si="130"/>
        <v/>
      </c>
      <c r="AB436" s="323"/>
      <c r="AC436" s="323"/>
      <c r="AD436" s="323"/>
      <c r="AE436" s="323"/>
      <c r="AF436" s="324" t="str">
        <f t="shared" si="131"/>
        <v/>
      </c>
      <c r="AG436" s="312"/>
      <c r="AH436" s="312"/>
      <c r="AI436" s="325">
        <f t="shared" si="132"/>
        <v>0</v>
      </c>
      <c r="AJ436" s="312"/>
      <c r="AK436" s="312"/>
      <c r="AL436" s="312"/>
      <c r="AM436" s="312"/>
      <c r="AN436" s="312"/>
      <c r="AO436" s="312"/>
      <c r="AP436" s="312"/>
      <c r="AQ436" s="312"/>
      <c r="AR436" s="312"/>
      <c r="AS436" s="312"/>
      <c r="AT436" s="312"/>
      <c r="AU436" s="312"/>
      <c r="AV436" s="312"/>
      <c r="AW436" s="312"/>
      <c r="AX436" s="312"/>
      <c r="AY436" s="312"/>
      <c r="AZ436" s="312"/>
      <c r="BA436" s="312"/>
      <c r="BB436" s="312"/>
      <c r="BC436" s="312"/>
      <c r="BD436" s="312"/>
      <c r="BE436" s="312"/>
      <c r="BF436" s="312"/>
      <c r="BG436" s="312"/>
      <c r="BH436" s="312"/>
      <c r="BI436" s="312"/>
      <c r="BJ436" s="312"/>
      <c r="BK436" s="312"/>
      <c r="BL436" s="312"/>
      <c r="BM436" s="312"/>
      <c r="BN436" s="312"/>
      <c r="BO436" s="312"/>
      <c r="BP436" s="312"/>
      <c r="BQ436" s="312"/>
      <c r="BR436" s="312"/>
      <c r="BS436" s="312"/>
      <c r="BT436" s="312"/>
      <c r="BU436" s="312"/>
      <c r="BV436" s="312"/>
      <c r="BW436" s="312"/>
      <c r="BX436" s="312"/>
      <c r="BY436" s="312"/>
      <c r="BZ436" s="312"/>
      <c r="CA436" s="312"/>
      <c r="CB436" s="312"/>
      <c r="CC436" s="312"/>
      <c r="CD436" s="312"/>
      <c r="CE436" s="312"/>
      <c r="CF436" s="312"/>
      <c r="CG436" s="312"/>
      <c r="CH436" s="312"/>
      <c r="CI436" s="312"/>
      <c r="CJ436" s="312"/>
      <c r="CK436" s="312"/>
      <c r="CL436" s="312"/>
      <c r="CM436" s="312"/>
      <c r="CN436" s="312"/>
      <c r="CO436" s="312"/>
      <c r="CP436" s="312"/>
      <c r="CQ436" s="312"/>
      <c r="CR436" s="312"/>
      <c r="CS436" s="312"/>
      <c r="CT436" s="312"/>
      <c r="CU436" s="312"/>
      <c r="CV436" s="312"/>
      <c r="CW436" s="312"/>
      <c r="CX436" s="312"/>
      <c r="CY436" s="312"/>
      <c r="CZ436" s="312"/>
      <c r="DA436" s="312"/>
      <c r="DB436" s="312"/>
      <c r="DC436" s="312"/>
      <c r="DD436" s="312"/>
      <c r="DE436" s="312"/>
      <c r="DF436" s="312"/>
      <c r="DG436" s="312"/>
      <c r="DH436" s="312"/>
      <c r="DI436" s="312"/>
      <c r="DJ436" s="312"/>
      <c r="DK436" s="312"/>
      <c r="DL436" s="312"/>
      <c r="DM436" s="312"/>
      <c r="DN436" s="312"/>
      <c r="DO436" s="312"/>
      <c r="DP436" s="312"/>
      <c r="DQ436" s="312"/>
      <c r="DR436" s="312"/>
      <c r="DS436" s="312"/>
      <c r="DT436" s="312"/>
      <c r="DU436" s="312"/>
      <c r="DV436" s="312"/>
      <c r="DW436" s="312"/>
      <c r="DX436" s="312"/>
      <c r="DY436" s="312"/>
      <c r="DZ436" s="312"/>
      <c r="EA436" s="312"/>
      <c r="EB436" s="312"/>
      <c r="EC436" s="312"/>
      <c r="ED436" s="312"/>
      <c r="EE436" s="312"/>
      <c r="EF436" s="312"/>
      <c r="EG436" s="312"/>
      <c r="EH436" s="312"/>
      <c r="EI436" s="312"/>
      <c r="EJ436" s="312"/>
      <c r="EK436" s="312"/>
      <c r="EL436" s="312"/>
      <c r="EM436" s="312"/>
      <c r="EN436" s="312"/>
      <c r="EO436" s="312"/>
      <c r="EP436" s="312"/>
      <c r="EQ436" s="312"/>
      <c r="ER436" s="312"/>
      <c r="ES436" s="312"/>
      <c r="ET436" s="312"/>
      <c r="EU436" s="312"/>
      <c r="EV436" s="312"/>
      <c r="EW436" s="312"/>
      <c r="EX436" s="312"/>
      <c r="EY436" s="312"/>
      <c r="EZ436" s="312"/>
      <c r="FA436" s="312"/>
      <c r="FB436" s="312"/>
      <c r="FC436" s="312"/>
      <c r="FD436" s="312"/>
      <c r="FE436" s="312"/>
      <c r="FF436" s="312"/>
      <c r="FG436" s="312"/>
      <c r="FH436" s="312"/>
      <c r="FI436" s="312"/>
      <c r="FJ436" s="312"/>
      <c r="FK436" s="312"/>
      <c r="FL436" s="312"/>
      <c r="FM436" s="312"/>
      <c r="FN436" s="312"/>
      <c r="FO436" s="312"/>
      <c r="FP436" s="312"/>
      <c r="FQ436" s="312"/>
      <c r="FR436" s="312"/>
      <c r="FS436" s="312"/>
      <c r="FT436" s="312"/>
      <c r="FU436" s="312"/>
      <c r="FV436" s="312"/>
      <c r="FW436" s="312"/>
      <c r="FX436" s="312"/>
      <c r="FY436" s="312"/>
      <c r="FZ436" s="312"/>
      <c r="GA436" s="312"/>
      <c r="GB436" s="312"/>
      <c r="GC436" s="312"/>
      <c r="GD436" s="312"/>
      <c r="GE436" s="312"/>
      <c r="GF436" s="312"/>
      <c r="GG436" s="312"/>
      <c r="GH436" s="312"/>
      <c r="GI436" s="312"/>
      <c r="GJ436" s="312"/>
      <c r="GK436" s="312"/>
      <c r="GL436" s="312"/>
      <c r="GM436" s="312"/>
      <c r="GN436" s="312"/>
      <c r="GO436" s="312"/>
      <c r="GP436" s="312"/>
      <c r="GQ436" s="312"/>
      <c r="GR436" s="312"/>
      <c r="GS436" s="312"/>
      <c r="GT436" s="312"/>
      <c r="GU436" s="312"/>
      <c r="GV436" s="312"/>
      <c r="GW436" s="312"/>
      <c r="GX436" s="312"/>
      <c r="GY436" s="312"/>
    </row>
    <row r="437" spans="2:207" ht="15.75" x14ac:dyDescent="0.25">
      <c r="B437" s="316" t="str">
        <f t="shared" si="115"/>
        <v/>
      </c>
      <c r="C437" s="330" t="str">
        <f>'סיכום לוועדה'!B437</f>
        <v/>
      </c>
      <c r="D437" s="330" t="str">
        <f>'סיכום לוועדה'!C437</f>
        <v/>
      </c>
      <c r="E437" s="330" t="str">
        <f>'סיכום לוועדה'!D437</f>
        <v/>
      </c>
      <c r="F437" s="330" t="str">
        <f>'סיכום לוועדה'!E437</f>
        <v/>
      </c>
      <c r="G437" s="330" t="str">
        <f>'סיכום לוועדה'!F437</f>
        <v/>
      </c>
      <c r="H437" s="317" t="str">
        <f>'סיכום לוועדה'!G437</f>
        <v/>
      </c>
      <c r="I437" s="318" t="str">
        <f>'סיכום לוועדה'!U437</f>
        <v/>
      </c>
      <c r="J437" s="319" t="str">
        <f>'סיכום לוועדה'!T437</f>
        <v/>
      </c>
      <c r="K437" s="320" t="str">
        <f t="shared" si="116"/>
        <v/>
      </c>
      <c r="L437" s="319" t="str">
        <f t="shared" si="117"/>
        <v/>
      </c>
      <c r="M437" s="331" t="str">
        <f>'תחום תמיכה ב'!AF437</f>
        <v/>
      </c>
      <c r="N437" s="319" t="str">
        <f t="shared" si="114"/>
        <v/>
      </c>
      <c r="O437" s="321">
        <f t="shared" si="118"/>
        <v>0</v>
      </c>
      <c r="P437" s="322" t="str">
        <f t="shared" si="119"/>
        <v/>
      </c>
      <c r="Q437" s="322" t="str">
        <f t="shared" si="120"/>
        <v/>
      </c>
      <c r="R437" s="321">
        <f t="shared" si="121"/>
        <v>0</v>
      </c>
      <c r="S437" s="322" t="str">
        <f t="shared" si="122"/>
        <v/>
      </c>
      <c r="T437" s="322" t="str">
        <f t="shared" si="123"/>
        <v/>
      </c>
      <c r="U437" s="321">
        <f t="shared" si="124"/>
        <v>0</v>
      </c>
      <c r="V437" s="322" t="str">
        <f t="shared" si="125"/>
        <v/>
      </c>
      <c r="W437" s="322" t="str">
        <f t="shared" si="126"/>
        <v/>
      </c>
      <c r="X437" s="321">
        <f t="shared" si="127"/>
        <v>0</v>
      </c>
      <c r="Y437" s="322" t="str">
        <f t="shared" si="128"/>
        <v/>
      </c>
      <c r="Z437" s="322" t="str">
        <f t="shared" si="129"/>
        <v/>
      </c>
      <c r="AA437" s="323" t="str">
        <f t="shared" si="130"/>
        <v/>
      </c>
      <c r="AB437" s="323"/>
      <c r="AC437" s="323"/>
      <c r="AD437" s="323"/>
      <c r="AE437" s="323"/>
      <c r="AF437" s="324" t="str">
        <f t="shared" si="131"/>
        <v/>
      </c>
      <c r="AG437" s="312"/>
      <c r="AH437" s="312"/>
      <c r="AI437" s="325">
        <f t="shared" si="132"/>
        <v>0</v>
      </c>
      <c r="AJ437" s="312"/>
      <c r="AK437" s="312"/>
      <c r="AL437" s="312"/>
      <c r="AM437" s="312"/>
      <c r="AN437" s="312"/>
      <c r="AO437" s="312"/>
      <c r="AP437" s="312"/>
      <c r="AQ437" s="312"/>
      <c r="AR437" s="312"/>
      <c r="AS437" s="312"/>
      <c r="AT437" s="312"/>
      <c r="AU437" s="312"/>
      <c r="AV437" s="312"/>
      <c r="AW437" s="312"/>
      <c r="AX437" s="312"/>
      <c r="AY437" s="312"/>
      <c r="AZ437" s="312"/>
      <c r="BA437" s="312"/>
      <c r="BB437" s="312"/>
      <c r="BC437" s="312"/>
      <c r="BD437" s="312"/>
      <c r="BE437" s="312"/>
      <c r="BF437" s="312"/>
      <c r="BG437" s="312"/>
      <c r="BH437" s="312"/>
      <c r="BI437" s="312"/>
      <c r="BJ437" s="312"/>
      <c r="BK437" s="312"/>
      <c r="BL437" s="312"/>
      <c r="BM437" s="312"/>
      <c r="BN437" s="312"/>
      <c r="BO437" s="312"/>
      <c r="BP437" s="312"/>
      <c r="BQ437" s="312"/>
      <c r="BR437" s="312"/>
      <c r="BS437" s="312"/>
      <c r="BT437" s="312"/>
      <c r="BU437" s="312"/>
      <c r="BV437" s="312"/>
      <c r="BW437" s="312"/>
      <c r="BX437" s="312"/>
      <c r="BY437" s="312"/>
      <c r="BZ437" s="312"/>
      <c r="CA437" s="312"/>
      <c r="CB437" s="312"/>
      <c r="CC437" s="312"/>
      <c r="CD437" s="312"/>
      <c r="CE437" s="312"/>
      <c r="CF437" s="312"/>
      <c r="CG437" s="312"/>
      <c r="CH437" s="312"/>
      <c r="CI437" s="312"/>
      <c r="CJ437" s="312"/>
      <c r="CK437" s="312"/>
      <c r="CL437" s="312"/>
      <c r="CM437" s="312"/>
      <c r="CN437" s="312"/>
      <c r="CO437" s="312"/>
      <c r="CP437" s="312"/>
      <c r="CQ437" s="312"/>
      <c r="CR437" s="312"/>
      <c r="CS437" s="312"/>
      <c r="CT437" s="312"/>
      <c r="CU437" s="312"/>
      <c r="CV437" s="312"/>
      <c r="CW437" s="312"/>
      <c r="CX437" s="312"/>
      <c r="CY437" s="312"/>
      <c r="CZ437" s="312"/>
      <c r="DA437" s="312"/>
      <c r="DB437" s="312"/>
      <c r="DC437" s="312"/>
      <c r="DD437" s="312"/>
      <c r="DE437" s="312"/>
      <c r="DF437" s="312"/>
      <c r="DG437" s="312"/>
      <c r="DH437" s="312"/>
      <c r="DI437" s="312"/>
      <c r="DJ437" s="312"/>
      <c r="DK437" s="312"/>
      <c r="DL437" s="312"/>
      <c r="DM437" s="312"/>
      <c r="DN437" s="312"/>
      <c r="DO437" s="312"/>
      <c r="DP437" s="312"/>
      <c r="DQ437" s="312"/>
      <c r="DR437" s="312"/>
      <c r="DS437" s="312"/>
      <c r="DT437" s="312"/>
      <c r="DU437" s="312"/>
      <c r="DV437" s="312"/>
      <c r="DW437" s="312"/>
      <c r="DX437" s="312"/>
      <c r="DY437" s="312"/>
      <c r="DZ437" s="312"/>
      <c r="EA437" s="312"/>
      <c r="EB437" s="312"/>
      <c r="EC437" s="312"/>
      <c r="ED437" s="312"/>
      <c r="EE437" s="312"/>
      <c r="EF437" s="312"/>
      <c r="EG437" s="312"/>
      <c r="EH437" s="312"/>
      <c r="EI437" s="312"/>
      <c r="EJ437" s="312"/>
      <c r="EK437" s="312"/>
      <c r="EL437" s="312"/>
      <c r="EM437" s="312"/>
      <c r="EN437" s="312"/>
      <c r="EO437" s="312"/>
      <c r="EP437" s="312"/>
      <c r="EQ437" s="312"/>
      <c r="ER437" s="312"/>
      <c r="ES437" s="312"/>
      <c r="ET437" s="312"/>
      <c r="EU437" s="312"/>
      <c r="EV437" s="312"/>
      <c r="EW437" s="312"/>
      <c r="EX437" s="312"/>
      <c r="EY437" s="312"/>
      <c r="EZ437" s="312"/>
      <c r="FA437" s="312"/>
      <c r="FB437" s="312"/>
      <c r="FC437" s="312"/>
      <c r="FD437" s="312"/>
      <c r="FE437" s="312"/>
      <c r="FF437" s="312"/>
      <c r="FG437" s="312"/>
      <c r="FH437" s="312"/>
      <c r="FI437" s="312"/>
      <c r="FJ437" s="312"/>
      <c r="FK437" s="312"/>
      <c r="FL437" s="312"/>
      <c r="FM437" s="312"/>
      <c r="FN437" s="312"/>
      <c r="FO437" s="312"/>
      <c r="FP437" s="312"/>
      <c r="FQ437" s="312"/>
      <c r="FR437" s="312"/>
      <c r="FS437" s="312"/>
      <c r="FT437" s="312"/>
      <c r="FU437" s="312"/>
      <c r="FV437" s="312"/>
      <c r="FW437" s="312"/>
      <c r="FX437" s="312"/>
      <c r="FY437" s="312"/>
      <c r="FZ437" s="312"/>
      <c r="GA437" s="312"/>
      <c r="GB437" s="312"/>
      <c r="GC437" s="312"/>
      <c r="GD437" s="312"/>
      <c r="GE437" s="312"/>
      <c r="GF437" s="312"/>
      <c r="GG437" s="312"/>
      <c r="GH437" s="312"/>
      <c r="GI437" s="312"/>
      <c r="GJ437" s="312"/>
      <c r="GK437" s="312"/>
      <c r="GL437" s="312"/>
      <c r="GM437" s="312"/>
      <c r="GN437" s="312"/>
      <c r="GO437" s="312"/>
      <c r="GP437" s="312"/>
      <c r="GQ437" s="312"/>
      <c r="GR437" s="312"/>
      <c r="GS437" s="312"/>
      <c r="GT437" s="312"/>
      <c r="GU437" s="312"/>
      <c r="GV437" s="312"/>
      <c r="GW437" s="312"/>
      <c r="GX437" s="312"/>
      <c r="GY437" s="312"/>
    </row>
    <row r="438" spans="2:207" ht="15.75" x14ac:dyDescent="0.25">
      <c r="B438" s="316" t="str">
        <f t="shared" si="115"/>
        <v/>
      </c>
      <c r="C438" s="330" t="str">
        <f>'סיכום לוועדה'!B438</f>
        <v/>
      </c>
      <c r="D438" s="330" t="str">
        <f>'סיכום לוועדה'!C438</f>
        <v/>
      </c>
      <c r="E438" s="330" t="str">
        <f>'סיכום לוועדה'!D438</f>
        <v/>
      </c>
      <c r="F438" s="330" t="str">
        <f>'סיכום לוועדה'!E438</f>
        <v/>
      </c>
      <c r="G438" s="330" t="str">
        <f>'סיכום לוועדה'!F438</f>
        <v/>
      </c>
      <c r="H438" s="317" t="str">
        <f>'סיכום לוועדה'!G438</f>
        <v/>
      </c>
      <c r="I438" s="318" t="str">
        <f>'סיכום לוועדה'!U438</f>
        <v/>
      </c>
      <c r="J438" s="319" t="str">
        <f>'סיכום לוועדה'!T438</f>
        <v/>
      </c>
      <c r="K438" s="320" t="str">
        <f t="shared" si="116"/>
        <v/>
      </c>
      <c r="L438" s="319" t="str">
        <f t="shared" si="117"/>
        <v/>
      </c>
      <c r="M438" s="331" t="str">
        <f>'תחום תמיכה ב'!AF438</f>
        <v/>
      </c>
      <c r="N438" s="319" t="str">
        <f t="shared" si="114"/>
        <v/>
      </c>
      <c r="O438" s="321">
        <f t="shared" si="118"/>
        <v>0</v>
      </c>
      <c r="P438" s="322" t="str">
        <f t="shared" si="119"/>
        <v/>
      </c>
      <c r="Q438" s="322" t="str">
        <f t="shared" si="120"/>
        <v/>
      </c>
      <c r="R438" s="321">
        <f t="shared" si="121"/>
        <v>0</v>
      </c>
      <c r="S438" s="322" t="str">
        <f t="shared" si="122"/>
        <v/>
      </c>
      <c r="T438" s="322" t="str">
        <f t="shared" si="123"/>
        <v/>
      </c>
      <c r="U438" s="321">
        <f t="shared" si="124"/>
        <v>0</v>
      </c>
      <c r="V438" s="322" t="str">
        <f t="shared" si="125"/>
        <v/>
      </c>
      <c r="W438" s="322" t="str">
        <f t="shared" si="126"/>
        <v/>
      </c>
      <c r="X438" s="321">
        <f t="shared" si="127"/>
        <v>0</v>
      </c>
      <c r="Y438" s="322" t="str">
        <f t="shared" si="128"/>
        <v/>
      </c>
      <c r="Z438" s="322" t="str">
        <f t="shared" si="129"/>
        <v/>
      </c>
      <c r="AA438" s="323" t="str">
        <f t="shared" si="130"/>
        <v/>
      </c>
      <c r="AB438" s="323"/>
      <c r="AC438" s="323"/>
      <c r="AD438" s="323"/>
      <c r="AE438" s="323"/>
      <c r="AF438" s="324" t="str">
        <f t="shared" si="131"/>
        <v/>
      </c>
      <c r="AG438" s="312"/>
      <c r="AH438" s="312"/>
      <c r="AI438" s="325">
        <f t="shared" si="132"/>
        <v>0</v>
      </c>
      <c r="AJ438" s="312"/>
      <c r="AK438" s="312"/>
      <c r="AL438" s="312"/>
      <c r="AM438" s="312"/>
      <c r="AN438" s="312"/>
      <c r="AO438" s="312"/>
      <c r="AP438" s="312"/>
      <c r="AQ438" s="312"/>
      <c r="AR438" s="312"/>
      <c r="AS438" s="312"/>
      <c r="AT438" s="312"/>
      <c r="AU438" s="312"/>
      <c r="AV438" s="312"/>
      <c r="AW438" s="312"/>
      <c r="AX438" s="312"/>
      <c r="AY438" s="312"/>
      <c r="AZ438" s="312"/>
      <c r="BA438" s="312"/>
      <c r="BB438" s="312"/>
      <c r="BC438" s="312"/>
      <c r="BD438" s="312"/>
      <c r="BE438" s="312"/>
      <c r="BF438" s="312"/>
      <c r="BG438" s="312"/>
      <c r="BH438" s="312"/>
      <c r="BI438" s="312"/>
      <c r="BJ438" s="312"/>
      <c r="BK438" s="312"/>
      <c r="BL438" s="312"/>
      <c r="BM438" s="312"/>
      <c r="BN438" s="312"/>
      <c r="BO438" s="312"/>
      <c r="BP438" s="312"/>
      <c r="BQ438" s="312"/>
      <c r="BR438" s="312"/>
      <c r="BS438" s="312"/>
      <c r="BT438" s="312"/>
      <c r="BU438" s="312"/>
      <c r="BV438" s="312"/>
      <c r="BW438" s="312"/>
      <c r="BX438" s="312"/>
      <c r="BY438" s="312"/>
      <c r="BZ438" s="312"/>
      <c r="CA438" s="312"/>
      <c r="CB438" s="312"/>
      <c r="CC438" s="312"/>
      <c r="CD438" s="312"/>
      <c r="CE438" s="312"/>
      <c r="CF438" s="312"/>
      <c r="CG438" s="312"/>
      <c r="CH438" s="312"/>
      <c r="CI438" s="312"/>
      <c r="CJ438" s="312"/>
      <c r="CK438" s="312"/>
      <c r="CL438" s="312"/>
      <c r="CM438" s="312"/>
      <c r="CN438" s="312"/>
      <c r="CO438" s="312"/>
      <c r="CP438" s="312"/>
      <c r="CQ438" s="312"/>
      <c r="CR438" s="312"/>
      <c r="CS438" s="312"/>
      <c r="CT438" s="312"/>
      <c r="CU438" s="312"/>
      <c r="CV438" s="312"/>
      <c r="CW438" s="312"/>
      <c r="CX438" s="312"/>
      <c r="CY438" s="312"/>
      <c r="CZ438" s="312"/>
      <c r="DA438" s="312"/>
      <c r="DB438" s="312"/>
      <c r="DC438" s="312"/>
      <c r="DD438" s="312"/>
      <c r="DE438" s="312"/>
      <c r="DF438" s="312"/>
      <c r="DG438" s="312"/>
      <c r="DH438" s="312"/>
      <c r="DI438" s="312"/>
      <c r="DJ438" s="312"/>
      <c r="DK438" s="312"/>
      <c r="DL438" s="312"/>
      <c r="DM438" s="312"/>
      <c r="DN438" s="312"/>
      <c r="DO438" s="312"/>
      <c r="DP438" s="312"/>
      <c r="DQ438" s="312"/>
      <c r="DR438" s="312"/>
      <c r="DS438" s="312"/>
      <c r="DT438" s="312"/>
      <c r="DU438" s="312"/>
      <c r="DV438" s="312"/>
      <c r="DW438" s="312"/>
      <c r="DX438" s="312"/>
      <c r="DY438" s="312"/>
      <c r="DZ438" s="312"/>
      <c r="EA438" s="312"/>
      <c r="EB438" s="312"/>
      <c r="EC438" s="312"/>
      <c r="ED438" s="312"/>
      <c r="EE438" s="312"/>
      <c r="EF438" s="312"/>
      <c r="EG438" s="312"/>
      <c r="EH438" s="312"/>
      <c r="EI438" s="312"/>
      <c r="EJ438" s="312"/>
      <c r="EK438" s="312"/>
      <c r="EL438" s="312"/>
      <c r="EM438" s="312"/>
      <c r="EN438" s="312"/>
      <c r="EO438" s="312"/>
      <c r="EP438" s="312"/>
      <c r="EQ438" s="312"/>
      <c r="ER438" s="312"/>
      <c r="ES438" s="312"/>
      <c r="ET438" s="312"/>
      <c r="EU438" s="312"/>
      <c r="EV438" s="312"/>
      <c r="EW438" s="312"/>
      <c r="EX438" s="312"/>
      <c r="EY438" s="312"/>
      <c r="EZ438" s="312"/>
      <c r="FA438" s="312"/>
      <c r="FB438" s="312"/>
      <c r="FC438" s="312"/>
      <c r="FD438" s="312"/>
      <c r="FE438" s="312"/>
      <c r="FF438" s="312"/>
      <c r="FG438" s="312"/>
      <c r="FH438" s="312"/>
      <c r="FI438" s="312"/>
      <c r="FJ438" s="312"/>
      <c r="FK438" s="312"/>
      <c r="FL438" s="312"/>
      <c r="FM438" s="312"/>
      <c r="FN438" s="312"/>
      <c r="FO438" s="312"/>
      <c r="FP438" s="312"/>
      <c r="FQ438" s="312"/>
      <c r="FR438" s="312"/>
      <c r="FS438" s="312"/>
      <c r="FT438" s="312"/>
      <c r="FU438" s="312"/>
      <c r="FV438" s="312"/>
      <c r="FW438" s="312"/>
      <c r="FX438" s="312"/>
      <c r="FY438" s="312"/>
      <c r="FZ438" s="312"/>
      <c r="GA438" s="312"/>
      <c r="GB438" s="312"/>
      <c r="GC438" s="312"/>
      <c r="GD438" s="312"/>
      <c r="GE438" s="312"/>
      <c r="GF438" s="312"/>
      <c r="GG438" s="312"/>
      <c r="GH438" s="312"/>
      <c r="GI438" s="312"/>
      <c r="GJ438" s="312"/>
      <c r="GK438" s="312"/>
      <c r="GL438" s="312"/>
      <c r="GM438" s="312"/>
      <c r="GN438" s="312"/>
      <c r="GO438" s="312"/>
      <c r="GP438" s="312"/>
      <c r="GQ438" s="312"/>
      <c r="GR438" s="312"/>
      <c r="GS438" s="312"/>
      <c r="GT438" s="312"/>
      <c r="GU438" s="312"/>
      <c r="GV438" s="312"/>
      <c r="GW438" s="312"/>
      <c r="GX438" s="312"/>
      <c r="GY438" s="312"/>
    </row>
    <row r="439" spans="2:207" ht="15.75" x14ac:dyDescent="0.25">
      <c r="B439" s="316" t="str">
        <f t="shared" si="115"/>
        <v/>
      </c>
      <c r="C439" s="330" t="str">
        <f>'סיכום לוועדה'!B439</f>
        <v/>
      </c>
      <c r="D439" s="330" t="str">
        <f>'סיכום לוועדה'!C439</f>
        <v/>
      </c>
      <c r="E439" s="330" t="str">
        <f>'סיכום לוועדה'!D439</f>
        <v/>
      </c>
      <c r="F439" s="330" t="str">
        <f>'סיכום לוועדה'!E439</f>
        <v/>
      </c>
      <c r="G439" s="330" t="str">
        <f>'סיכום לוועדה'!F439</f>
        <v/>
      </c>
      <c r="H439" s="317" t="str">
        <f>'סיכום לוועדה'!G439</f>
        <v/>
      </c>
      <c r="I439" s="318" t="str">
        <f>'סיכום לוועדה'!U439</f>
        <v/>
      </c>
      <c r="J439" s="319" t="str">
        <f>'סיכום לוועדה'!T439</f>
        <v/>
      </c>
      <c r="K439" s="320" t="str">
        <f t="shared" si="116"/>
        <v/>
      </c>
      <c r="L439" s="319" t="str">
        <f t="shared" si="117"/>
        <v/>
      </c>
      <c r="M439" s="331" t="str">
        <f>'תחום תמיכה ב'!AF439</f>
        <v/>
      </c>
      <c r="N439" s="319" t="str">
        <f t="shared" si="114"/>
        <v/>
      </c>
      <c r="O439" s="321">
        <f t="shared" si="118"/>
        <v>0</v>
      </c>
      <c r="P439" s="322" t="str">
        <f t="shared" si="119"/>
        <v/>
      </c>
      <c r="Q439" s="322" t="str">
        <f t="shared" si="120"/>
        <v/>
      </c>
      <c r="R439" s="321">
        <f t="shared" si="121"/>
        <v>0</v>
      </c>
      <c r="S439" s="322" t="str">
        <f t="shared" si="122"/>
        <v/>
      </c>
      <c r="T439" s="322" t="str">
        <f t="shared" si="123"/>
        <v/>
      </c>
      <c r="U439" s="321">
        <f t="shared" si="124"/>
        <v>0</v>
      </c>
      <c r="V439" s="322" t="str">
        <f t="shared" si="125"/>
        <v/>
      </c>
      <c r="W439" s="322" t="str">
        <f t="shared" si="126"/>
        <v/>
      </c>
      <c r="X439" s="321">
        <f t="shared" si="127"/>
        <v>0</v>
      </c>
      <c r="Y439" s="322" t="str">
        <f t="shared" si="128"/>
        <v/>
      </c>
      <c r="Z439" s="322" t="str">
        <f t="shared" si="129"/>
        <v/>
      </c>
      <c r="AA439" s="323" t="str">
        <f t="shared" si="130"/>
        <v/>
      </c>
      <c r="AB439" s="323"/>
      <c r="AC439" s="323"/>
      <c r="AD439" s="323"/>
      <c r="AE439" s="323"/>
      <c r="AF439" s="324" t="str">
        <f t="shared" si="131"/>
        <v/>
      </c>
      <c r="AG439" s="312"/>
      <c r="AH439" s="312"/>
      <c r="AI439" s="325">
        <f t="shared" si="132"/>
        <v>0</v>
      </c>
      <c r="AJ439" s="312"/>
      <c r="AK439" s="312"/>
      <c r="AL439" s="312"/>
      <c r="AM439" s="312"/>
      <c r="AN439" s="312"/>
      <c r="AO439" s="312"/>
      <c r="AP439" s="312"/>
      <c r="AQ439" s="312"/>
      <c r="AR439" s="312"/>
      <c r="AS439" s="312"/>
      <c r="AT439" s="312"/>
      <c r="AU439" s="312"/>
      <c r="AV439" s="312"/>
      <c r="AW439" s="312"/>
      <c r="AX439" s="312"/>
      <c r="AY439" s="312"/>
      <c r="AZ439" s="312"/>
      <c r="BA439" s="312"/>
      <c r="BB439" s="312"/>
      <c r="BC439" s="312"/>
      <c r="BD439" s="312"/>
      <c r="BE439" s="312"/>
      <c r="BF439" s="312"/>
      <c r="BG439" s="312"/>
      <c r="BH439" s="312"/>
      <c r="BI439" s="312"/>
      <c r="BJ439" s="312"/>
      <c r="BK439" s="312"/>
      <c r="BL439" s="312"/>
      <c r="BM439" s="312"/>
      <c r="BN439" s="312"/>
      <c r="BO439" s="312"/>
      <c r="BP439" s="312"/>
      <c r="BQ439" s="312"/>
      <c r="BR439" s="312"/>
      <c r="BS439" s="312"/>
      <c r="BT439" s="312"/>
      <c r="BU439" s="312"/>
      <c r="BV439" s="312"/>
      <c r="BW439" s="312"/>
      <c r="BX439" s="312"/>
      <c r="BY439" s="312"/>
      <c r="BZ439" s="312"/>
      <c r="CA439" s="312"/>
      <c r="CB439" s="312"/>
      <c r="CC439" s="312"/>
      <c r="CD439" s="312"/>
      <c r="CE439" s="312"/>
      <c r="CF439" s="312"/>
      <c r="CG439" s="312"/>
      <c r="CH439" s="312"/>
      <c r="CI439" s="312"/>
      <c r="CJ439" s="312"/>
      <c r="CK439" s="312"/>
      <c r="CL439" s="312"/>
      <c r="CM439" s="312"/>
      <c r="CN439" s="312"/>
      <c r="CO439" s="312"/>
      <c r="CP439" s="312"/>
      <c r="CQ439" s="312"/>
      <c r="CR439" s="312"/>
      <c r="CS439" s="312"/>
      <c r="CT439" s="312"/>
      <c r="CU439" s="312"/>
      <c r="CV439" s="312"/>
      <c r="CW439" s="312"/>
      <c r="CX439" s="312"/>
      <c r="CY439" s="312"/>
      <c r="CZ439" s="312"/>
      <c r="DA439" s="312"/>
      <c r="DB439" s="312"/>
      <c r="DC439" s="312"/>
      <c r="DD439" s="312"/>
      <c r="DE439" s="312"/>
      <c r="DF439" s="312"/>
      <c r="DG439" s="312"/>
      <c r="DH439" s="312"/>
      <c r="DI439" s="312"/>
      <c r="DJ439" s="312"/>
      <c r="DK439" s="312"/>
      <c r="DL439" s="312"/>
      <c r="DM439" s="312"/>
      <c r="DN439" s="312"/>
      <c r="DO439" s="312"/>
      <c r="DP439" s="312"/>
      <c r="DQ439" s="312"/>
      <c r="DR439" s="312"/>
      <c r="DS439" s="312"/>
      <c r="DT439" s="312"/>
      <c r="DU439" s="312"/>
      <c r="DV439" s="312"/>
      <c r="DW439" s="312"/>
      <c r="DX439" s="312"/>
      <c r="DY439" s="312"/>
      <c r="DZ439" s="312"/>
      <c r="EA439" s="312"/>
      <c r="EB439" s="312"/>
      <c r="EC439" s="312"/>
      <c r="ED439" s="312"/>
      <c r="EE439" s="312"/>
      <c r="EF439" s="312"/>
      <c r="EG439" s="312"/>
      <c r="EH439" s="312"/>
      <c r="EI439" s="312"/>
      <c r="EJ439" s="312"/>
      <c r="EK439" s="312"/>
      <c r="EL439" s="312"/>
      <c r="EM439" s="312"/>
      <c r="EN439" s="312"/>
      <c r="EO439" s="312"/>
      <c r="EP439" s="312"/>
      <c r="EQ439" s="312"/>
      <c r="ER439" s="312"/>
      <c r="ES439" s="312"/>
      <c r="ET439" s="312"/>
      <c r="EU439" s="312"/>
      <c r="EV439" s="312"/>
      <c r="EW439" s="312"/>
      <c r="EX439" s="312"/>
      <c r="EY439" s="312"/>
      <c r="EZ439" s="312"/>
      <c r="FA439" s="312"/>
      <c r="FB439" s="312"/>
      <c r="FC439" s="312"/>
      <c r="FD439" s="312"/>
      <c r="FE439" s="312"/>
      <c r="FF439" s="312"/>
      <c r="FG439" s="312"/>
      <c r="FH439" s="312"/>
      <c r="FI439" s="312"/>
      <c r="FJ439" s="312"/>
      <c r="FK439" s="312"/>
      <c r="FL439" s="312"/>
      <c r="FM439" s="312"/>
      <c r="FN439" s="312"/>
      <c r="FO439" s="312"/>
      <c r="FP439" s="312"/>
      <c r="FQ439" s="312"/>
      <c r="FR439" s="312"/>
      <c r="FS439" s="312"/>
      <c r="FT439" s="312"/>
      <c r="FU439" s="312"/>
      <c r="FV439" s="312"/>
      <c r="FW439" s="312"/>
      <c r="FX439" s="312"/>
      <c r="FY439" s="312"/>
      <c r="FZ439" s="312"/>
      <c r="GA439" s="312"/>
      <c r="GB439" s="312"/>
      <c r="GC439" s="312"/>
      <c r="GD439" s="312"/>
      <c r="GE439" s="312"/>
      <c r="GF439" s="312"/>
      <c r="GG439" s="312"/>
      <c r="GH439" s="312"/>
      <c r="GI439" s="312"/>
      <c r="GJ439" s="312"/>
      <c r="GK439" s="312"/>
      <c r="GL439" s="312"/>
      <c r="GM439" s="312"/>
      <c r="GN439" s="312"/>
      <c r="GO439" s="312"/>
      <c r="GP439" s="312"/>
      <c r="GQ439" s="312"/>
      <c r="GR439" s="312"/>
      <c r="GS439" s="312"/>
      <c r="GT439" s="312"/>
      <c r="GU439" s="312"/>
      <c r="GV439" s="312"/>
      <c r="GW439" s="312"/>
      <c r="GX439" s="312"/>
      <c r="GY439" s="312"/>
    </row>
    <row r="440" spans="2:207" ht="15.75" x14ac:dyDescent="0.25">
      <c r="B440" s="316" t="str">
        <f t="shared" si="115"/>
        <v/>
      </c>
      <c r="C440" s="330" t="str">
        <f>'סיכום לוועדה'!B440</f>
        <v/>
      </c>
      <c r="D440" s="330" t="str">
        <f>'סיכום לוועדה'!C440</f>
        <v/>
      </c>
      <c r="E440" s="330" t="str">
        <f>'סיכום לוועדה'!D440</f>
        <v/>
      </c>
      <c r="F440" s="330" t="str">
        <f>'סיכום לוועדה'!E440</f>
        <v/>
      </c>
      <c r="G440" s="330" t="str">
        <f>'סיכום לוועדה'!F440</f>
        <v/>
      </c>
      <c r="H440" s="317" t="str">
        <f>'סיכום לוועדה'!G440</f>
        <v/>
      </c>
      <c r="I440" s="318" t="str">
        <f>'סיכום לוועדה'!U440</f>
        <v/>
      </c>
      <c r="J440" s="319" t="str">
        <f>'סיכום לוועדה'!T440</f>
        <v/>
      </c>
      <c r="K440" s="320" t="str">
        <f t="shared" si="116"/>
        <v/>
      </c>
      <c r="L440" s="319" t="str">
        <f t="shared" si="117"/>
        <v/>
      </c>
      <c r="M440" s="331" t="str">
        <f>'תחום תמיכה ב'!AF440</f>
        <v/>
      </c>
      <c r="N440" s="319" t="str">
        <f t="shared" si="114"/>
        <v/>
      </c>
      <c r="O440" s="321">
        <f t="shared" si="118"/>
        <v>0</v>
      </c>
      <c r="P440" s="322" t="str">
        <f t="shared" si="119"/>
        <v/>
      </c>
      <c r="Q440" s="322" t="str">
        <f t="shared" si="120"/>
        <v/>
      </c>
      <c r="R440" s="321">
        <f t="shared" si="121"/>
        <v>0</v>
      </c>
      <c r="S440" s="322" t="str">
        <f t="shared" si="122"/>
        <v/>
      </c>
      <c r="T440" s="322" t="str">
        <f t="shared" si="123"/>
        <v/>
      </c>
      <c r="U440" s="321">
        <f t="shared" si="124"/>
        <v>0</v>
      </c>
      <c r="V440" s="322" t="str">
        <f t="shared" si="125"/>
        <v/>
      </c>
      <c r="W440" s="322" t="str">
        <f t="shared" si="126"/>
        <v/>
      </c>
      <c r="X440" s="321">
        <f t="shared" si="127"/>
        <v>0</v>
      </c>
      <c r="Y440" s="322" t="str">
        <f t="shared" si="128"/>
        <v/>
      </c>
      <c r="Z440" s="322" t="str">
        <f t="shared" si="129"/>
        <v/>
      </c>
      <c r="AA440" s="323" t="str">
        <f t="shared" si="130"/>
        <v/>
      </c>
      <c r="AB440" s="323"/>
      <c r="AC440" s="323"/>
      <c r="AD440" s="323"/>
      <c r="AE440" s="323"/>
      <c r="AF440" s="324" t="str">
        <f t="shared" si="131"/>
        <v/>
      </c>
      <c r="AG440" s="312"/>
      <c r="AH440" s="312"/>
      <c r="AI440" s="325">
        <f t="shared" si="132"/>
        <v>0</v>
      </c>
      <c r="AJ440" s="312"/>
      <c r="AK440" s="312"/>
      <c r="AL440" s="312"/>
      <c r="AM440" s="312"/>
      <c r="AN440" s="312"/>
      <c r="AO440" s="312"/>
      <c r="AP440" s="312"/>
      <c r="AQ440" s="312"/>
      <c r="AR440" s="312"/>
      <c r="AS440" s="312"/>
      <c r="AT440" s="312"/>
      <c r="AU440" s="312"/>
      <c r="AV440" s="312"/>
      <c r="AW440" s="312"/>
      <c r="AX440" s="312"/>
      <c r="AY440" s="312"/>
      <c r="AZ440" s="312"/>
      <c r="BA440" s="312"/>
      <c r="BB440" s="312"/>
      <c r="BC440" s="312"/>
      <c r="BD440" s="312"/>
      <c r="BE440" s="312"/>
      <c r="BF440" s="312"/>
      <c r="BG440" s="312"/>
      <c r="BH440" s="312"/>
      <c r="BI440" s="312"/>
      <c r="BJ440" s="312"/>
      <c r="BK440" s="312"/>
      <c r="BL440" s="312"/>
      <c r="BM440" s="312"/>
      <c r="BN440" s="312"/>
      <c r="BO440" s="312"/>
      <c r="BP440" s="312"/>
      <c r="BQ440" s="312"/>
      <c r="BR440" s="312"/>
      <c r="BS440" s="312"/>
      <c r="BT440" s="312"/>
      <c r="BU440" s="312"/>
      <c r="BV440" s="312"/>
      <c r="BW440" s="312"/>
      <c r="BX440" s="312"/>
      <c r="BY440" s="312"/>
      <c r="BZ440" s="312"/>
      <c r="CA440" s="312"/>
      <c r="CB440" s="312"/>
      <c r="CC440" s="312"/>
      <c r="CD440" s="312"/>
      <c r="CE440" s="312"/>
      <c r="CF440" s="312"/>
      <c r="CG440" s="312"/>
      <c r="CH440" s="312"/>
      <c r="CI440" s="312"/>
      <c r="CJ440" s="312"/>
      <c r="CK440" s="312"/>
      <c r="CL440" s="312"/>
      <c r="CM440" s="312"/>
      <c r="CN440" s="312"/>
      <c r="CO440" s="312"/>
      <c r="CP440" s="312"/>
      <c r="CQ440" s="312"/>
      <c r="CR440" s="312"/>
      <c r="CS440" s="312"/>
      <c r="CT440" s="312"/>
      <c r="CU440" s="312"/>
      <c r="CV440" s="312"/>
      <c r="CW440" s="312"/>
      <c r="CX440" s="312"/>
      <c r="CY440" s="312"/>
      <c r="CZ440" s="312"/>
      <c r="DA440" s="312"/>
      <c r="DB440" s="312"/>
      <c r="DC440" s="312"/>
      <c r="DD440" s="312"/>
      <c r="DE440" s="312"/>
      <c r="DF440" s="312"/>
      <c r="DG440" s="312"/>
      <c r="DH440" s="312"/>
      <c r="DI440" s="312"/>
      <c r="DJ440" s="312"/>
      <c r="DK440" s="312"/>
      <c r="DL440" s="312"/>
      <c r="DM440" s="312"/>
      <c r="DN440" s="312"/>
      <c r="DO440" s="312"/>
      <c r="DP440" s="312"/>
      <c r="DQ440" s="312"/>
      <c r="DR440" s="312"/>
      <c r="DS440" s="312"/>
      <c r="DT440" s="312"/>
      <c r="DU440" s="312"/>
      <c r="DV440" s="312"/>
      <c r="DW440" s="312"/>
      <c r="DX440" s="312"/>
      <c r="DY440" s="312"/>
      <c r="DZ440" s="312"/>
      <c r="EA440" s="312"/>
      <c r="EB440" s="312"/>
      <c r="EC440" s="312"/>
      <c r="ED440" s="312"/>
      <c r="EE440" s="312"/>
      <c r="EF440" s="312"/>
      <c r="EG440" s="312"/>
      <c r="EH440" s="312"/>
      <c r="EI440" s="312"/>
      <c r="EJ440" s="312"/>
      <c r="EK440" s="312"/>
      <c r="EL440" s="312"/>
      <c r="EM440" s="312"/>
      <c r="EN440" s="312"/>
      <c r="EO440" s="312"/>
      <c r="EP440" s="312"/>
      <c r="EQ440" s="312"/>
      <c r="ER440" s="312"/>
      <c r="ES440" s="312"/>
      <c r="ET440" s="312"/>
      <c r="EU440" s="312"/>
      <c r="EV440" s="312"/>
      <c r="EW440" s="312"/>
      <c r="EX440" s="312"/>
      <c r="EY440" s="312"/>
      <c r="EZ440" s="312"/>
      <c r="FA440" s="312"/>
      <c r="FB440" s="312"/>
      <c r="FC440" s="312"/>
      <c r="FD440" s="312"/>
      <c r="FE440" s="312"/>
      <c r="FF440" s="312"/>
      <c r="FG440" s="312"/>
      <c r="FH440" s="312"/>
      <c r="FI440" s="312"/>
      <c r="FJ440" s="312"/>
      <c r="FK440" s="312"/>
      <c r="FL440" s="312"/>
      <c r="FM440" s="312"/>
      <c r="FN440" s="312"/>
      <c r="FO440" s="312"/>
      <c r="FP440" s="312"/>
      <c r="FQ440" s="312"/>
      <c r="FR440" s="312"/>
      <c r="FS440" s="312"/>
      <c r="FT440" s="312"/>
      <c r="FU440" s="312"/>
      <c r="FV440" s="312"/>
      <c r="FW440" s="312"/>
      <c r="FX440" s="312"/>
      <c r="FY440" s="312"/>
      <c r="FZ440" s="312"/>
      <c r="GA440" s="312"/>
      <c r="GB440" s="312"/>
      <c r="GC440" s="312"/>
      <c r="GD440" s="312"/>
      <c r="GE440" s="312"/>
      <c r="GF440" s="312"/>
      <c r="GG440" s="312"/>
      <c r="GH440" s="312"/>
      <c r="GI440" s="312"/>
      <c r="GJ440" s="312"/>
      <c r="GK440" s="312"/>
      <c r="GL440" s="312"/>
      <c r="GM440" s="312"/>
      <c r="GN440" s="312"/>
      <c r="GO440" s="312"/>
      <c r="GP440" s="312"/>
      <c r="GQ440" s="312"/>
      <c r="GR440" s="312"/>
      <c r="GS440" s="312"/>
      <c r="GT440" s="312"/>
      <c r="GU440" s="312"/>
      <c r="GV440" s="312"/>
      <c r="GW440" s="312"/>
      <c r="GX440" s="312"/>
      <c r="GY440" s="312"/>
    </row>
    <row r="441" spans="2:207" ht="15.75" x14ac:dyDescent="0.25">
      <c r="B441" s="316" t="str">
        <f t="shared" si="115"/>
        <v/>
      </c>
      <c r="C441" s="330" t="str">
        <f>'סיכום לוועדה'!B441</f>
        <v/>
      </c>
      <c r="D441" s="330" t="str">
        <f>'סיכום לוועדה'!C441</f>
        <v/>
      </c>
      <c r="E441" s="330" t="str">
        <f>'סיכום לוועדה'!D441</f>
        <v/>
      </c>
      <c r="F441" s="330" t="str">
        <f>'סיכום לוועדה'!E441</f>
        <v/>
      </c>
      <c r="G441" s="330" t="str">
        <f>'סיכום לוועדה'!F441</f>
        <v/>
      </c>
      <c r="H441" s="317" t="str">
        <f>'סיכום לוועדה'!G441</f>
        <v/>
      </c>
      <c r="I441" s="318" t="str">
        <f>'סיכום לוועדה'!U441</f>
        <v/>
      </c>
      <c r="J441" s="319" t="str">
        <f>'סיכום לוועדה'!T441</f>
        <v/>
      </c>
      <c r="K441" s="320" t="str">
        <f t="shared" si="116"/>
        <v/>
      </c>
      <c r="L441" s="319" t="str">
        <f t="shared" si="117"/>
        <v/>
      </c>
      <c r="M441" s="331" t="str">
        <f>'תחום תמיכה ב'!AF441</f>
        <v/>
      </c>
      <c r="N441" s="319" t="str">
        <f t="shared" si="114"/>
        <v/>
      </c>
      <c r="O441" s="321">
        <f t="shared" si="118"/>
        <v>0</v>
      </c>
      <c r="P441" s="322" t="str">
        <f t="shared" si="119"/>
        <v/>
      </c>
      <c r="Q441" s="322" t="str">
        <f t="shared" si="120"/>
        <v/>
      </c>
      <c r="R441" s="321">
        <f t="shared" si="121"/>
        <v>0</v>
      </c>
      <c r="S441" s="322" t="str">
        <f t="shared" si="122"/>
        <v/>
      </c>
      <c r="T441" s="322" t="str">
        <f t="shared" si="123"/>
        <v/>
      </c>
      <c r="U441" s="321">
        <f t="shared" si="124"/>
        <v>0</v>
      </c>
      <c r="V441" s="322" t="str">
        <f t="shared" si="125"/>
        <v/>
      </c>
      <c r="W441" s="322" t="str">
        <f t="shared" si="126"/>
        <v/>
      </c>
      <c r="X441" s="321">
        <f t="shared" si="127"/>
        <v>0</v>
      </c>
      <c r="Y441" s="322" t="str">
        <f t="shared" si="128"/>
        <v/>
      </c>
      <c r="Z441" s="322" t="str">
        <f t="shared" si="129"/>
        <v/>
      </c>
      <c r="AA441" s="323" t="str">
        <f t="shared" si="130"/>
        <v/>
      </c>
      <c r="AB441" s="323"/>
      <c r="AC441" s="323"/>
      <c r="AD441" s="323"/>
      <c r="AE441" s="323"/>
      <c r="AF441" s="324" t="str">
        <f t="shared" si="131"/>
        <v/>
      </c>
      <c r="AG441" s="312"/>
      <c r="AH441" s="312"/>
      <c r="AI441" s="325">
        <f t="shared" si="132"/>
        <v>0</v>
      </c>
      <c r="AJ441" s="312"/>
      <c r="AK441" s="312"/>
      <c r="AL441" s="312"/>
      <c r="AM441" s="312"/>
      <c r="AN441" s="312"/>
      <c r="AO441" s="312"/>
      <c r="AP441" s="312"/>
      <c r="AQ441" s="312"/>
      <c r="AR441" s="312"/>
      <c r="AS441" s="312"/>
      <c r="AT441" s="312"/>
      <c r="AU441" s="312"/>
      <c r="AV441" s="312"/>
      <c r="AW441" s="312"/>
      <c r="AX441" s="312"/>
      <c r="AY441" s="312"/>
      <c r="AZ441" s="312"/>
      <c r="BA441" s="312"/>
      <c r="BB441" s="312"/>
      <c r="BC441" s="312"/>
      <c r="BD441" s="312"/>
      <c r="BE441" s="312"/>
      <c r="BF441" s="312"/>
      <c r="BG441" s="312"/>
      <c r="BH441" s="312"/>
      <c r="BI441" s="312"/>
      <c r="BJ441" s="312"/>
      <c r="BK441" s="312"/>
      <c r="BL441" s="312"/>
      <c r="BM441" s="312"/>
      <c r="BN441" s="312"/>
      <c r="BO441" s="312"/>
      <c r="BP441" s="312"/>
      <c r="BQ441" s="312"/>
      <c r="BR441" s="312"/>
      <c r="BS441" s="312"/>
      <c r="BT441" s="312"/>
      <c r="BU441" s="312"/>
      <c r="BV441" s="312"/>
      <c r="BW441" s="312"/>
      <c r="BX441" s="312"/>
      <c r="BY441" s="312"/>
      <c r="BZ441" s="312"/>
      <c r="CA441" s="312"/>
      <c r="CB441" s="312"/>
      <c r="CC441" s="312"/>
      <c r="CD441" s="312"/>
      <c r="CE441" s="312"/>
      <c r="CF441" s="312"/>
      <c r="CG441" s="312"/>
      <c r="CH441" s="312"/>
      <c r="CI441" s="312"/>
      <c r="CJ441" s="312"/>
      <c r="CK441" s="312"/>
      <c r="CL441" s="312"/>
      <c r="CM441" s="312"/>
      <c r="CN441" s="312"/>
      <c r="CO441" s="312"/>
      <c r="CP441" s="312"/>
      <c r="CQ441" s="312"/>
      <c r="CR441" s="312"/>
      <c r="CS441" s="312"/>
      <c r="CT441" s="312"/>
      <c r="CU441" s="312"/>
      <c r="CV441" s="312"/>
      <c r="CW441" s="312"/>
      <c r="CX441" s="312"/>
      <c r="CY441" s="312"/>
      <c r="CZ441" s="312"/>
      <c r="DA441" s="312"/>
      <c r="DB441" s="312"/>
      <c r="DC441" s="312"/>
      <c r="DD441" s="312"/>
      <c r="DE441" s="312"/>
      <c r="DF441" s="312"/>
      <c r="DG441" s="312"/>
      <c r="DH441" s="312"/>
      <c r="DI441" s="312"/>
      <c r="DJ441" s="312"/>
      <c r="DK441" s="312"/>
      <c r="DL441" s="312"/>
      <c r="DM441" s="312"/>
      <c r="DN441" s="312"/>
      <c r="DO441" s="312"/>
      <c r="DP441" s="312"/>
      <c r="DQ441" s="312"/>
      <c r="DR441" s="312"/>
      <c r="DS441" s="312"/>
      <c r="DT441" s="312"/>
      <c r="DU441" s="312"/>
      <c r="DV441" s="312"/>
      <c r="DW441" s="312"/>
      <c r="DX441" s="312"/>
      <c r="DY441" s="312"/>
      <c r="DZ441" s="312"/>
      <c r="EA441" s="312"/>
      <c r="EB441" s="312"/>
      <c r="EC441" s="312"/>
      <c r="ED441" s="312"/>
      <c r="EE441" s="312"/>
      <c r="EF441" s="312"/>
      <c r="EG441" s="312"/>
      <c r="EH441" s="312"/>
      <c r="EI441" s="312"/>
      <c r="EJ441" s="312"/>
      <c r="EK441" s="312"/>
      <c r="EL441" s="312"/>
      <c r="EM441" s="312"/>
      <c r="EN441" s="312"/>
      <c r="EO441" s="312"/>
      <c r="EP441" s="312"/>
      <c r="EQ441" s="312"/>
      <c r="ER441" s="312"/>
      <c r="ES441" s="312"/>
      <c r="ET441" s="312"/>
      <c r="EU441" s="312"/>
      <c r="EV441" s="312"/>
      <c r="EW441" s="312"/>
      <c r="EX441" s="312"/>
      <c r="EY441" s="312"/>
      <c r="EZ441" s="312"/>
      <c r="FA441" s="312"/>
      <c r="FB441" s="312"/>
      <c r="FC441" s="312"/>
      <c r="FD441" s="312"/>
      <c r="FE441" s="312"/>
      <c r="FF441" s="312"/>
      <c r="FG441" s="312"/>
      <c r="FH441" s="312"/>
      <c r="FI441" s="312"/>
      <c r="FJ441" s="312"/>
      <c r="FK441" s="312"/>
      <c r="FL441" s="312"/>
      <c r="FM441" s="312"/>
      <c r="FN441" s="312"/>
      <c r="FO441" s="312"/>
      <c r="FP441" s="312"/>
      <c r="FQ441" s="312"/>
      <c r="FR441" s="312"/>
      <c r="FS441" s="312"/>
      <c r="FT441" s="312"/>
      <c r="FU441" s="312"/>
      <c r="FV441" s="312"/>
      <c r="FW441" s="312"/>
      <c r="FX441" s="312"/>
      <c r="FY441" s="312"/>
      <c r="FZ441" s="312"/>
      <c r="GA441" s="312"/>
      <c r="GB441" s="312"/>
      <c r="GC441" s="312"/>
      <c r="GD441" s="312"/>
      <c r="GE441" s="312"/>
      <c r="GF441" s="312"/>
      <c r="GG441" s="312"/>
      <c r="GH441" s="312"/>
      <c r="GI441" s="312"/>
      <c r="GJ441" s="312"/>
      <c r="GK441" s="312"/>
      <c r="GL441" s="312"/>
      <c r="GM441" s="312"/>
      <c r="GN441" s="312"/>
      <c r="GO441" s="312"/>
      <c r="GP441" s="312"/>
      <c r="GQ441" s="312"/>
      <c r="GR441" s="312"/>
      <c r="GS441" s="312"/>
      <c r="GT441" s="312"/>
      <c r="GU441" s="312"/>
      <c r="GV441" s="312"/>
      <c r="GW441" s="312"/>
      <c r="GX441" s="312"/>
      <c r="GY441" s="312"/>
    </row>
    <row r="442" spans="2:207" ht="15.75" x14ac:dyDescent="0.25">
      <c r="B442" s="316" t="str">
        <f t="shared" si="115"/>
        <v/>
      </c>
      <c r="C442" s="330" t="str">
        <f>'סיכום לוועדה'!B442</f>
        <v/>
      </c>
      <c r="D442" s="330" t="str">
        <f>'סיכום לוועדה'!C442</f>
        <v/>
      </c>
      <c r="E442" s="330" t="str">
        <f>'סיכום לוועדה'!D442</f>
        <v/>
      </c>
      <c r="F442" s="330" t="str">
        <f>'סיכום לוועדה'!E442</f>
        <v/>
      </c>
      <c r="G442" s="330" t="str">
        <f>'סיכום לוועדה'!F442</f>
        <v/>
      </c>
      <c r="H442" s="317" t="str">
        <f>'סיכום לוועדה'!G442</f>
        <v/>
      </c>
      <c r="I442" s="318" t="str">
        <f>'סיכום לוועדה'!U442</f>
        <v/>
      </c>
      <c r="J442" s="319" t="str">
        <f>'סיכום לוועדה'!T442</f>
        <v/>
      </c>
      <c r="K442" s="320" t="str">
        <f t="shared" si="116"/>
        <v/>
      </c>
      <c r="L442" s="319" t="str">
        <f t="shared" si="117"/>
        <v/>
      </c>
      <c r="M442" s="331" t="str">
        <f>'תחום תמיכה ב'!AF442</f>
        <v/>
      </c>
      <c r="N442" s="319" t="str">
        <f t="shared" si="114"/>
        <v/>
      </c>
      <c r="O442" s="321">
        <f t="shared" si="118"/>
        <v>0</v>
      </c>
      <c r="P442" s="322" t="str">
        <f t="shared" si="119"/>
        <v/>
      </c>
      <c r="Q442" s="322" t="str">
        <f t="shared" si="120"/>
        <v/>
      </c>
      <c r="R442" s="321">
        <f t="shared" si="121"/>
        <v>0</v>
      </c>
      <c r="S442" s="322" t="str">
        <f t="shared" si="122"/>
        <v/>
      </c>
      <c r="T442" s="322" t="str">
        <f t="shared" si="123"/>
        <v/>
      </c>
      <c r="U442" s="321">
        <f t="shared" si="124"/>
        <v>0</v>
      </c>
      <c r="V442" s="322" t="str">
        <f t="shared" si="125"/>
        <v/>
      </c>
      <c r="W442" s="322" t="str">
        <f t="shared" si="126"/>
        <v/>
      </c>
      <c r="X442" s="321">
        <f t="shared" si="127"/>
        <v>0</v>
      </c>
      <c r="Y442" s="322" t="str">
        <f t="shared" si="128"/>
        <v/>
      </c>
      <c r="Z442" s="322" t="str">
        <f t="shared" si="129"/>
        <v/>
      </c>
      <c r="AA442" s="323" t="str">
        <f t="shared" si="130"/>
        <v/>
      </c>
      <c r="AB442" s="323"/>
      <c r="AC442" s="323"/>
      <c r="AD442" s="323"/>
      <c r="AE442" s="323"/>
      <c r="AF442" s="324" t="str">
        <f t="shared" si="131"/>
        <v/>
      </c>
      <c r="AG442" s="312"/>
      <c r="AH442" s="312"/>
      <c r="AI442" s="325">
        <f t="shared" si="132"/>
        <v>0</v>
      </c>
      <c r="AJ442" s="312"/>
      <c r="AK442" s="312"/>
      <c r="AL442" s="312"/>
      <c r="AM442" s="312"/>
      <c r="AN442" s="312"/>
      <c r="AO442" s="312"/>
      <c r="AP442" s="312"/>
      <c r="AQ442" s="312"/>
      <c r="AR442" s="312"/>
      <c r="AS442" s="312"/>
      <c r="AT442" s="312"/>
      <c r="AU442" s="312"/>
      <c r="AV442" s="312"/>
      <c r="AW442" s="312"/>
      <c r="AX442" s="312"/>
      <c r="AY442" s="312"/>
      <c r="AZ442" s="312"/>
      <c r="BA442" s="312"/>
      <c r="BB442" s="312"/>
      <c r="BC442" s="312"/>
      <c r="BD442" s="312"/>
      <c r="BE442" s="312"/>
      <c r="BF442" s="312"/>
      <c r="BG442" s="312"/>
      <c r="BH442" s="312"/>
      <c r="BI442" s="312"/>
      <c r="BJ442" s="312"/>
      <c r="BK442" s="312"/>
      <c r="BL442" s="312"/>
      <c r="BM442" s="312"/>
      <c r="BN442" s="312"/>
      <c r="BO442" s="312"/>
      <c r="BP442" s="312"/>
      <c r="BQ442" s="312"/>
      <c r="BR442" s="312"/>
      <c r="BS442" s="312"/>
      <c r="BT442" s="312"/>
      <c r="BU442" s="312"/>
      <c r="BV442" s="312"/>
      <c r="BW442" s="312"/>
      <c r="BX442" s="312"/>
      <c r="BY442" s="312"/>
      <c r="BZ442" s="312"/>
      <c r="CA442" s="312"/>
      <c r="CB442" s="312"/>
      <c r="CC442" s="312"/>
      <c r="CD442" s="312"/>
      <c r="CE442" s="312"/>
      <c r="CF442" s="312"/>
      <c r="CG442" s="312"/>
      <c r="CH442" s="312"/>
      <c r="CI442" s="312"/>
      <c r="CJ442" s="312"/>
      <c r="CK442" s="312"/>
      <c r="CL442" s="312"/>
      <c r="CM442" s="312"/>
      <c r="CN442" s="312"/>
      <c r="CO442" s="312"/>
      <c r="CP442" s="312"/>
      <c r="CQ442" s="312"/>
      <c r="CR442" s="312"/>
      <c r="CS442" s="312"/>
      <c r="CT442" s="312"/>
      <c r="CU442" s="312"/>
      <c r="CV442" s="312"/>
      <c r="CW442" s="312"/>
      <c r="CX442" s="312"/>
      <c r="CY442" s="312"/>
      <c r="CZ442" s="312"/>
      <c r="DA442" s="312"/>
      <c r="DB442" s="312"/>
      <c r="DC442" s="312"/>
      <c r="DD442" s="312"/>
      <c r="DE442" s="312"/>
      <c r="DF442" s="312"/>
      <c r="DG442" s="312"/>
      <c r="DH442" s="312"/>
      <c r="DI442" s="312"/>
      <c r="DJ442" s="312"/>
      <c r="DK442" s="312"/>
      <c r="DL442" s="312"/>
      <c r="DM442" s="312"/>
      <c r="DN442" s="312"/>
      <c r="DO442" s="312"/>
      <c r="DP442" s="312"/>
      <c r="DQ442" s="312"/>
      <c r="DR442" s="312"/>
      <c r="DS442" s="312"/>
      <c r="DT442" s="312"/>
      <c r="DU442" s="312"/>
      <c r="DV442" s="312"/>
      <c r="DW442" s="312"/>
      <c r="DX442" s="312"/>
      <c r="DY442" s="312"/>
      <c r="DZ442" s="312"/>
      <c r="EA442" s="312"/>
      <c r="EB442" s="312"/>
      <c r="EC442" s="312"/>
      <c r="ED442" s="312"/>
      <c r="EE442" s="312"/>
      <c r="EF442" s="312"/>
      <c r="EG442" s="312"/>
      <c r="EH442" s="312"/>
      <c r="EI442" s="312"/>
      <c r="EJ442" s="312"/>
      <c r="EK442" s="312"/>
      <c r="EL442" s="312"/>
      <c r="EM442" s="312"/>
      <c r="EN442" s="312"/>
      <c r="EO442" s="312"/>
      <c r="EP442" s="312"/>
      <c r="EQ442" s="312"/>
      <c r="ER442" s="312"/>
      <c r="ES442" s="312"/>
      <c r="ET442" s="312"/>
      <c r="EU442" s="312"/>
      <c r="EV442" s="312"/>
      <c r="EW442" s="312"/>
      <c r="EX442" s="312"/>
      <c r="EY442" s="312"/>
      <c r="EZ442" s="312"/>
      <c r="FA442" s="312"/>
      <c r="FB442" s="312"/>
      <c r="FC442" s="312"/>
      <c r="FD442" s="312"/>
      <c r="FE442" s="312"/>
      <c r="FF442" s="312"/>
      <c r="FG442" s="312"/>
      <c r="FH442" s="312"/>
      <c r="FI442" s="312"/>
      <c r="FJ442" s="312"/>
      <c r="FK442" s="312"/>
      <c r="FL442" s="312"/>
      <c r="FM442" s="312"/>
      <c r="FN442" s="312"/>
      <c r="FO442" s="312"/>
      <c r="FP442" s="312"/>
      <c r="FQ442" s="312"/>
      <c r="FR442" s="312"/>
      <c r="FS442" s="312"/>
      <c r="FT442" s="312"/>
      <c r="FU442" s="312"/>
      <c r="FV442" s="312"/>
      <c r="FW442" s="312"/>
      <c r="FX442" s="312"/>
      <c r="FY442" s="312"/>
      <c r="FZ442" s="312"/>
      <c r="GA442" s="312"/>
      <c r="GB442" s="312"/>
      <c r="GC442" s="312"/>
      <c r="GD442" s="312"/>
      <c r="GE442" s="312"/>
      <c r="GF442" s="312"/>
      <c r="GG442" s="312"/>
      <c r="GH442" s="312"/>
      <c r="GI442" s="312"/>
      <c r="GJ442" s="312"/>
      <c r="GK442" s="312"/>
      <c r="GL442" s="312"/>
      <c r="GM442" s="312"/>
      <c r="GN442" s="312"/>
      <c r="GO442" s="312"/>
      <c r="GP442" s="312"/>
      <c r="GQ442" s="312"/>
      <c r="GR442" s="312"/>
      <c r="GS442" s="312"/>
      <c r="GT442" s="312"/>
      <c r="GU442" s="312"/>
      <c r="GV442" s="312"/>
      <c r="GW442" s="312"/>
      <c r="GX442" s="312"/>
      <c r="GY442" s="312"/>
    </row>
    <row r="443" spans="2:207" ht="15.75" x14ac:dyDescent="0.25">
      <c r="B443" s="316" t="str">
        <f t="shared" si="115"/>
        <v/>
      </c>
      <c r="C443" s="330" t="str">
        <f>'סיכום לוועדה'!B443</f>
        <v/>
      </c>
      <c r="D443" s="330" t="str">
        <f>'סיכום לוועדה'!C443</f>
        <v/>
      </c>
      <c r="E443" s="330" t="str">
        <f>'סיכום לוועדה'!D443</f>
        <v/>
      </c>
      <c r="F443" s="330" t="str">
        <f>'סיכום לוועדה'!E443</f>
        <v/>
      </c>
      <c r="G443" s="330" t="str">
        <f>'סיכום לוועדה'!F443</f>
        <v/>
      </c>
      <c r="H443" s="317" t="str">
        <f>'סיכום לוועדה'!G443</f>
        <v/>
      </c>
      <c r="I443" s="318" t="str">
        <f>'סיכום לוועדה'!U443</f>
        <v/>
      </c>
      <c r="J443" s="319" t="str">
        <f>'סיכום לוועדה'!T443</f>
        <v/>
      </c>
      <c r="K443" s="320" t="str">
        <f t="shared" si="116"/>
        <v/>
      </c>
      <c r="L443" s="319" t="str">
        <f t="shared" si="117"/>
        <v/>
      </c>
      <c r="M443" s="331" t="str">
        <f>'תחום תמיכה ב'!AF443</f>
        <v/>
      </c>
      <c r="N443" s="319" t="str">
        <f t="shared" si="114"/>
        <v/>
      </c>
      <c r="O443" s="321">
        <f t="shared" si="118"/>
        <v>0</v>
      </c>
      <c r="P443" s="322" t="str">
        <f t="shared" si="119"/>
        <v/>
      </c>
      <c r="Q443" s="322" t="str">
        <f t="shared" si="120"/>
        <v/>
      </c>
      <c r="R443" s="321">
        <f t="shared" si="121"/>
        <v>0</v>
      </c>
      <c r="S443" s="322" t="str">
        <f t="shared" si="122"/>
        <v/>
      </c>
      <c r="T443" s="322" t="str">
        <f t="shared" si="123"/>
        <v/>
      </c>
      <c r="U443" s="321">
        <f t="shared" si="124"/>
        <v>0</v>
      </c>
      <c r="V443" s="322" t="str">
        <f t="shared" si="125"/>
        <v/>
      </c>
      <c r="W443" s="322" t="str">
        <f t="shared" si="126"/>
        <v/>
      </c>
      <c r="X443" s="321">
        <f t="shared" si="127"/>
        <v>0</v>
      </c>
      <c r="Y443" s="322" t="str">
        <f t="shared" si="128"/>
        <v/>
      </c>
      <c r="Z443" s="322" t="str">
        <f t="shared" si="129"/>
        <v/>
      </c>
      <c r="AA443" s="323" t="str">
        <f t="shared" si="130"/>
        <v/>
      </c>
      <c r="AB443" s="323"/>
      <c r="AC443" s="323"/>
      <c r="AD443" s="323"/>
      <c r="AE443" s="323"/>
      <c r="AF443" s="324" t="str">
        <f t="shared" si="131"/>
        <v/>
      </c>
      <c r="AG443" s="312"/>
      <c r="AH443" s="312"/>
      <c r="AI443" s="325">
        <f t="shared" si="132"/>
        <v>0</v>
      </c>
      <c r="AJ443" s="312"/>
      <c r="AK443" s="312"/>
      <c r="AL443" s="312"/>
      <c r="AM443" s="312"/>
      <c r="AN443" s="312"/>
      <c r="AO443" s="312"/>
      <c r="AP443" s="312"/>
      <c r="AQ443" s="312"/>
      <c r="AR443" s="312"/>
      <c r="AS443" s="312"/>
      <c r="AT443" s="312"/>
      <c r="AU443" s="312"/>
      <c r="AV443" s="312"/>
      <c r="AW443" s="312"/>
      <c r="AX443" s="312"/>
      <c r="AY443" s="312"/>
      <c r="AZ443" s="312"/>
      <c r="BA443" s="312"/>
      <c r="BB443" s="312"/>
      <c r="BC443" s="312"/>
      <c r="BD443" s="312"/>
      <c r="BE443" s="312"/>
      <c r="BF443" s="312"/>
      <c r="BG443" s="312"/>
      <c r="BH443" s="312"/>
      <c r="BI443" s="312"/>
      <c r="BJ443" s="312"/>
      <c r="BK443" s="312"/>
      <c r="BL443" s="312"/>
      <c r="BM443" s="312"/>
      <c r="BN443" s="312"/>
      <c r="BO443" s="312"/>
      <c r="BP443" s="312"/>
      <c r="BQ443" s="312"/>
      <c r="BR443" s="312"/>
      <c r="BS443" s="312"/>
      <c r="BT443" s="312"/>
      <c r="BU443" s="312"/>
      <c r="BV443" s="312"/>
      <c r="BW443" s="312"/>
      <c r="BX443" s="312"/>
      <c r="BY443" s="312"/>
      <c r="BZ443" s="312"/>
      <c r="CA443" s="312"/>
      <c r="CB443" s="312"/>
      <c r="CC443" s="312"/>
      <c r="CD443" s="312"/>
      <c r="CE443" s="312"/>
      <c r="CF443" s="312"/>
      <c r="CG443" s="312"/>
      <c r="CH443" s="312"/>
      <c r="CI443" s="312"/>
      <c r="CJ443" s="312"/>
      <c r="CK443" s="312"/>
      <c r="CL443" s="312"/>
      <c r="CM443" s="312"/>
      <c r="CN443" s="312"/>
      <c r="CO443" s="312"/>
      <c r="CP443" s="312"/>
      <c r="CQ443" s="312"/>
      <c r="CR443" s="312"/>
      <c r="CS443" s="312"/>
      <c r="CT443" s="312"/>
      <c r="CU443" s="312"/>
      <c r="CV443" s="312"/>
      <c r="CW443" s="312"/>
      <c r="CX443" s="312"/>
      <c r="CY443" s="312"/>
      <c r="CZ443" s="312"/>
      <c r="DA443" s="312"/>
      <c r="DB443" s="312"/>
      <c r="DC443" s="312"/>
      <c r="DD443" s="312"/>
      <c r="DE443" s="312"/>
      <c r="DF443" s="312"/>
      <c r="DG443" s="312"/>
      <c r="DH443" s="312"/>
      <c r="DI443" s="312"/>
      <c r="DJ443" s="312"/>
      <c r="DK443" s="312"/>
      <c r="DL443" s="312"/>
      <c r="DM443" s="312"/>
      <c r="DN443" s="312"/>
      <c r="DO443" s="312"/>
      <c r="DP443" s="312"/>
      <c r="DQ443" s="312"/>
      <c r="DR443" s="312"/>
      <c r="DS443" s="312"/>
      <c r="DT443" s="312"/>
      <c r="DU443" s="312"/>
      <c r="DV443" s="312"/>
      <c r="DW443" s="312"/>
      <c r="DX443" s="312"/>
      <c r="DY443" s="312"/>
      <c r="DZ443" s="312"/>
      <c r="EA443" s="312"/>
      <c r="EB443" s="312"/>
      <c r="EC443" s="312"/>
      <c r="ED443" s="312"/>
      <c r="EE443" s="312"/>
      <c r="EF443" s="312"/>
      <c r="EG443" s="312"/>
      <c r="EH443" s="312"/>
      <c r="EI443" s="312"/>
      <c r="EJ443" s="312"/>
      <c r="EK443" s="312"/>
      <c r="EL443" s="312"/>
      <c r="EM443" s="312"/>
      <c r="EN443" s="312"/>
      <c r="EO443" s="312"/>
      <c r="EP443" s="312"/>
      <c r="EQ443" s="312"/>
      <c r="ER443" s="312"/>
      <c r="ES443" s="312"/>
      <c r="ET443" s="312"/>
      <c r="EU443" s="312"/>
      <c r="EV443" s="312"/>
      <c r="EW443" s="312"/>
      <c r="EX443" s="312"/>
      <c r="EY443" s="312"/>
      <c r="EZ443" s="312"/>
      <c r="FA443" s="312"/>
      <c r="FB443" s="312"/>
      <c r="FC443" s="312"/>
      <c r="FD443" s="312"/>
      <c r="FE443" s="312"/>
      <c r="FF443" s="312"/>
      <c r="FG443" s="312"/>
      <c r="FH443" s="312"/>
      <c r="FI443" s="312"/>
      <c r="FJ443" s="312"/>
      <c r="FK443" s="312"/>
      <c r="FL443" s="312"/>
      <c r="FM443" s="312"/>
      <c r="FN443" s="312"/>
      <c r="FO443" s="312"/>
      <c r="FP443" s="312"/>
      <c r="FQ443" s="312"/>
      <c r="FR443" s="312"/>
      <c r="FS443" s="312"/>
      <c r="FT443" s="312"/>
      <c r="FU443" s="312"/>
      <c r="FV443" s="312"/>
      <c r="FW443" s="312"/>
      <c r="FX443" s="312"/>
      <c r="FY443" s="312"/>
      <c r="FZ443" s="312"/>
      <c r="GA443" s="312"/>
      <c r="GB443" s="312"/>
      <c r="GC443" s="312"/>
      <c r="GD443" s="312"/>
      <c r="GE443" s="312"/>
      <c r="GF443" s="312"/>
      <c r="GG443" s="312"/>
      <c r="GH443" s="312"/>
      <c r="GI443" s="312"/>
      <c r="GJ443" s="312"/>
      <c r="GK443" s="312"/>
      <c r="GL443" s="312"/>
      <c r="GM443" s="312"/>
      <c r="GN443" s="312"/>
      <c r="GO443" s="312"/>
      <c r="GP443" s="312"/>
      <c r="GQ443" s="312"/>
      <c r="GR443" s="312"/>
      <c r="GS443" s="312"/>
      <c r="GT443" s="312"/>
      <c r="GU443" s="312"/>
      <c r="GV443" s="312"/>
      <c r="GW443" s="312"/>
      <c r="GX443" s="312"/>
      <c r="GY443" s="312"/>
    </row>
    <row r="444" spans="2:207" ht="15.75" x14ac:dyDescent="0.25">
      <c r="B444" s="316" t="str">
        <f t="shared" si="115"/>
        <v/>
      </c>
      <c r="C444" s="330" t="str">
        <f>'סיכום לוועדה'!B444</f>
        <v/>
      </c>
      <c r="D444" s="330" t="str">
        <f>'סיכום לוועדה'!C444</f>
        <v/>
      </c>
      <c r="E444" s="330" t="str">
        <f>'סיכום לוועדה'!D444</f>
        <v/>
      </c>
      <c r="F444" s="330" t="str">
        <f>'סיכום לוועדה'!E444</f>
        <v/>
      </c>
      <c r="G444" s="330" t="str">
        <f>'סיכום לוועדה'!F444</f>
        <v/>
      </c>
      <c r="H444" s="317" t="str">
        <f>'סיכום לוועדה'!G444</f>
        <v/>
      </c>
      <c r="I444" s="318" t="str">
        <f>'סיכום לוועדה'!U444</f>
        <v/>
      </c>
      <c r="J444" s="319" t="str">
        <f>'סיכום לוועדה'!T444</f>
        <v/>
      </c>
      <c r="K444" s="320" t="str">
        <f t="shared" si="116"/>
        <v/>
      </c>
      <c r="L444" s="319" t="str">
        <f t="shared" si="117"/>
        <v/>
      </c>
      <c r="M444" s="331" t="str">
        <f>'תחום תמיכה ב'!AF444</f>
        <v/>
      </c>
      <c r="N444" s="319" t="str">
        <f t="shared" si="114"/>
        <v/>
      </c>
      <c r="O444" s="321">
        <f t="shared" si="118"/>
        <v>0</v>
      </c>
      <c r="P444" s="322" t="str">
        <f t="shared" si="119"/>
        <v/>
      </c>
      <c r="Q444" s="322" t="str">
        <f t="shared" si="120"/>
        <v/>
      </c>
      <c r="R444" s="321">
        <f t="shared" si="121"/>
        <v>0</v>
      </c>
      <c r="S444" s="322" t="str">
        <f t="shared" si="122"/>
        <v/>
      </c>
      <c r="T444" s="322" t="str">
        <f t="shared" si="123"/>
        <v/>
      </c>
      <c r="U444" s="321">
        <f t="shared" si="124"/>
        <v>0</v>
      </c>
      <c r="V444" s="322" t="str">
        <f t="shared" si="125"/>
        <v/>
      </c>
      <c r="W444" s="322" t="str">
        <f t="shared" si="126"/>
        <v/>
      </c>
      <c r="X444" s="321">
        <f t="shared" si="127"/>
        <v>0</v>
      </c>
      <c r="Y444" s="322" t="str">
        <f t="shared" si="128"/>
        <v/>
      </c>
      <c r="Z444" s="322" t="str">
        <f t="shared" si="129"/>
        <v/>
      </c>
      <c r="AA444" s="323" t="str">
        <f t="shared" si="130"/>
        <v/>
      </c>
      <c r="AB444" s="323"/>
      <c r="AC444" s="323"/>
      <c r="AD444" s="323"/>
      <c r="AE444" s="323"/>
      <c r="AF444" s="324" t="str">
        <f t="shared" si="131"/>
        <v/>
      </c>
      <c r="AG444" s="312"/>
      <c r="AH444" s="312"/>
      <c r="AI444" s="325">
        <f t="shared" si="132"/>
        <v>0</v>
      </c>
      <c r="AJ444" s="312"/>
      <c r="AK444" s="312"/>
      <c r="AL444" s="312"/>
      <c r="AM444" s="312"/>
      <c r="AN444" s="312"/>
      <c r="AO444" s="312"/>
      <c r="AP444" s="312"/>
      <c r="AQ444" s="312"/>
      <c r="AR444" s="312"/>
      <c r="AS444" s="312"/>
      <c r="AT444" s="312"/>
      <c r="AU444" s="312"/>
      <c r="AV444" s="312"/>
      <c r="AW444" s="312"/>
      <c r="AX444" s="312"/>
      <c r="AY444" s="312"/>
      <c r="AZ444" s="312"/>
      <c r="BA444" s="312"/>
      <c r="BB444" s="312"/>
      <c r="BC444" s="312"/>
      <c r="BD444" s="312"/>
      <c r="BE444" s="312"/>
      <c r="BF444" s="312"/>
      <c r="BG444" s="312"/>
      <c r="BH444" s="312"/>
      <c r="BI444" s="312"/>
      <c r="BJ444" s="312"/>
      <c r="BK444" s="312"/>
      <c r="BL444" s="312"/>
      <c r="BM444" s="312"/>
      <c r="BN444" s="312"/>
      <c r="BO444" s="312"/>
      <c r="BP444" s="312"/>
      <c r="BQ444" s="312"/>
      <c r="BR444" s="312"/>
      <c r="BS444" s="312"/>
      <c r="BT444" s="312"/>
      <c r="BU444" s="312"/>
      <c r="BV444" s="312"/>
      <c r="BW444" s="312"/>
      <c r="BX444" s="312"/>
      <c r="BY444" s="312"/>
      <c r="BZ444" s="312"/>
      <c r="CA444" s="312"/>
      <c r="CB444" s="312"/>
      <c r="CC444" s="312"/>
      <c r="CD444" s="312"/>
      <c r="CE444" s="312"/>
      <c r="CF444" s="312"/>
      <c r="CG444" s="312"/>
      <c r="CH444" s="312"/>
      <c r="CI444" s="312"/>
      <c r="CJ444" s="312"/>
      <c r="CK444" s="312"/>
      <c r="CL444" s="312"/>
      <c r="CM444" s="312"/>
      <c r="CN444" s="312"/>
      <c r="CO444" s="312"/>
      <c r="CP444" s="312"/>
      <c r="CQ444" s="312"/>
      <c r="CR444" s="312"/>
      <c r="CS444" s="312"/>
      <c r="CT444" s="312"/>
      <c r="CU444" s="312"/>
      <c r="CV444" s="312"/>
      <c r="CW444" s="312"/>
      <c r="CX444" s="312"/>
      <c r="CY444" s="312"/>
      <c r="CZ444" s="312"/>
      <c r="DA444" s="312"/>
      <c r="DB444" s="312"/>
      <c r="DC444" s="312"/>
      <c r="DD444" s="312"/>
      <c r="DE444" s="312"/>
      <c r="DF444" s="312"/>
      <c r="DG444" s="312"/>
      <c r="DH444" s="312"/>
      <c r="DI444" s="312"/>
      <c r="DJ444" s="312"/>
      <c r="DK444" s="312"/>
      <c r="DL444" s="312"/>
      <c r="DM444" s="312"/>
      <c r="DN444" s="312"/>
      <c r="DO444" s="312"/>
      <c r="DP444" s="312"/>
      <c r="DQ444" s="312"/>
      <c r="DR444" s="312"/>
      <c r="DS444" s="312"/>
      <c r="DT444" s="312"/>
      <c r="DU444" s="312"/>
      <c r="DV444" s="312"/>
      <c r="DW444" s="312"/>
      <c r="DX444" s="312"/>
      <c r="DY444" s="312"/>
      <c r="DZ444" s="312"/>
      <c r="EA444" s="312"/>
      <c r="EB444" s="312"/>
      <c r="EC444" s="312"/>
      <c r="ED444" s="312"/>
      <c r="EE444" s="312"/>
      <c r="EF444" s="312"/>
      <c r="EG444" s="312"/>
      <c r="EH444" s="312"/>
      <c r="EI444" s="312"/>
      <c r="EJ444" s="312"/>
      <c r="EK444" s="312"/>
      <c r="EL444" s="312"/>
      <c r="EM444" s="312"/>
      <c r="EN444" s="312"/>
      <c r="EO444" s="312"/>
      <c r="EP444" s="312"/>
      <c r="EQ444" s="312"/>
      <c r="ER444" s="312"/>
      <c r="ES444" s="312"/>
      <c r="ET444" s="312"/>
      <c r="EU444" s="312"/>
      <c r="EV444" s="312"/>
      <c r="EW444" s="312"/>
      <c r="EX444" s="312"/>
      <c r="EY444" s="312"/>
      <c r="EZ444" s="312"/>
      <c r="FA444" s="312"/>
      <c r="FB444" s="312"/>
      <c r="FC444" s="312"/>
      <c r="FD444" s="312"/>
      <c r="FE444" s="312"/>
      <c r="FF444" s="312"/>
      <c r="FG444" s="312"/>
      <c r="FH444" s="312"/>
      <c r="FI444" s="312"/>
      <c r="FJ444" s="312"/>
      <c r="FK444" s="312"/>
      <c r="FL444" s="312"/>
      <c r="FM444" s="312"/>
      <c r="FN444" s="312"/>
      <c r="FO444" s="312"/>
      <c r="FP444" s="312"/>
      <c r="FQ444" s="312"/>
      <c r="FR444" s="312"/>
      <c r="FS444" s="312"/>
      <c r="FT444" s="312"/>
      <c r="FU444" s="312"/>
      <c r="FV444" s="312"/>
      <c r="FW444" s="312"/>
      <c r="FX444" s="312"/>
      <c r="FY444" s="312"/>
      <c r="FZ444" s="312"/>
      <c r="GA444" s="312"/>
      <c r="GB444" s="312"/>
      <c r="GC444" s="312"/>
      <c r="GD444" s="312"/>
      <c r="GE444" s="312"/>
      <c r="GF444" s="312"/>
      <c r="GG444" s="312"/>
      <c r="GH444" s="312"/>
      <c r="GI444" s="312"/>
      <c r="GJ444" s="312"/>
      <c r="GK444" s="312"/>
      <c r="GL444" s="312"/>
      <c r="GM444" s="312"/>
      <c r="GN444" s="312"/>
      <c r="GO444" s="312"/>
      <c r="GP444" s="312"/>
      <c r="GQ444" s="312"/>
      <c r="GR444" s="312"/>
      <c r="GS444" s="312"/>
      <c r="GT444" s="312"/>
      <c r="GU444" s="312"/>
      <c r="GV444" s="312"/>
      <c r="GW444" s="312"/>
      <c r="GX444" s="312"/>
      <c r="GY444" s="312"/>
    </row>
    <row r="445" spans="2:207" ht="15.75" x14ac:dyDescent="0.25">
      <c r="B445" s="316" t="str">
        <f t="shared" si="115"/>
        <v/>
      </c>
      <c r="C445" s="330" t="str">
        <f>'סיכום לוועדה'!B445</f>
        <v/>
      </c>
      <c r="D445" s="330" t="str">
        <f>'סיכום לוועדה'!C445</f>
        <v/>
      </c>
      <c r="E445" s="330" t="str">
        <f>'סיכום לוועדה'!D445</f>
        <v/>
      </c>
      <c r="F445" s="330" t="str">
        <f>'סיכום לוועדה'!E445</f>
        <v/>
      </c>
      <c r="G445" s="330" t="str">
        <f>'סיכום לוועדה'!F445</f>
        <v/>
      </c>
      <c r="H445" s="317" t="str">
        <f>'סיכום לוועדה'!G445</f>
        <v/>
      </c>
      <c r="I445" s="318" t="str">
        <f>'סיכום לוועדה'!U445</f>
        <v/>
      </c>
      <c r="J445" s="319" t="str">
        <f>'סיכום לוועדה'!T445</f>
        <v/>
      </c>
      <c r="K445" s="320" t="str">
        <f t="shared" si="116"/>
        <v/>
      </c>
      <c r="L445" s="319" t="str">
        <f t="shared" si="117"/>
        <v/>
      </c>
      <c r="M445" s="331" t="str">
        <f>'תחום תמיכה ב'!AF445</f>
        <v/>
      </c>
      <c r="N445" s="319" t="str">
        <f t="shared" si="114"/>
        <v/>
      </c>
      <c r="O445" s="321">
        <f t="shared" si="118"/>
        <v>0</v>
      </c>
      <c r="P445" s="322" t="str">
        <f t="shared" si="119"/>
        <v/>
      </c>
      <c r="Q445" s="322" t="str">
        <f t="shared" si="120"/>
        <v/>
      </c>
      <c r="R445" s="321">
        <f t="shared" si="121"/>
        <v>0</v>
      </c>
      <c r="S445" s="322" t="str">
        <f t="shared" si="122"/>
        <v/>
      </c>
      <c r="T445" s="322" t="str">
        <f t="shared" si="123"/>
        <v/>
      </c>
      <c r="U445" s="321">
        <f t="shared" si="124"/>
        <v>0</v>
      </c>
      <c r="V445" s="322" t="str">
        <f t="shared" si="125"/>
        <v/>
      </c>
      <c r="W445" s="322" t="str">
        <f t="shared" si="126"/>
        <v/>
      </c>
      <c r="X445" s="321">
        <f t="shared" si="127"/>
        <v>0</v>
      </c>
      <c r="Y445" s="322" t="str">
        <f t="shared" si="128"/>
        <v/>
      </c>
      <c r="Z445" s="322" t="str">
        <f t="shared" si="129"/>
        <v/>
      </c>
      <c r="AA445" s="323" t="str">
        <f t="shared" si="130"/>
        <v/>
      </c>
      <c r="AB445" s="323"/>
      <c r="AC445" s="323"/>
      <c r="AD445" s="323"/>
      <c r="AE445" s="323"/>
      <c r="AF445" s="324" t="str">
        <f t="shared" si="131"/>
        <v/>
      </c>
      <c r="AG445" s="312"/>
      <c r="AH445" s="312"/>
      <c r="AI445" s="325">
        <f t="shared" si="132"/>
        <v>0</v>
      </c>
      <c r="AJ445" s="312"/>
      <c r="AK445" s="312"/>
      <c r="AL445" s="312"/>
      <c r="AM445" s="312"/>
      <c r="AN445" s="312"/>
      <c r="AO445" s="312"/>
      <c r="AP445" s="312"/>
      <c r="AQ445" s="312"/>
      <c r="AR445" s="312"/>
      <c r="AS445" s="312"/>
      <c r="AT445" s="312"/>
      <c r="AU445" s="312"/>
      <c r="AV445" s="312"/>
      <c r="AW445" s="312"/>
      <c r="AX445" s="312"/>
      <c r="AY445" s="312"/>
      <c r="AZ445" s="312"/>
      <c r="BA445" s="312"/>
      <c r="BB445" s="312"/>
      <c r="BC445" s="312"/>
      <c r="BD445" s="312"/>
      <c r="BE445" s="312"/>
      <c r="BF445" s="312"/>
      <c r="BG445" s="312"/>
      <c r="BH445" s="312"/>
      <c r="BI445" s="312"/>
      <c r="BJ445" s="312"/>
      <c r="BK445" s="312"/>
      <c r="BL445" s="312"/>
      <c r="BM445" s="312"/>
      <c r="BN445" s="312"/>
      <c r="BO445" s="312"/>
      <c r="BP445" s="312"/>
      <c r="BQ445" s="312"/>
      <c r="BR445" s="312"/>
      <c r="BS445" s="312"/>
      <c r="BT445" s="312"/>
      <c r="BU445" s="312"/>
      <c r="BV445" s="312"/>
      <c r="BW445" s="312"/>
      <c r="BX445" s="312"/>
      <c r="BY445" s="312"/>
      <c r="BZ445" s="312"/>
      <c r="CA445" s="312"/>
      <c r="CB445" s="312"/>
      <c r="CC445" s="312"/>
      <c r="CD445" s="312"/>
      <c r="CE445" s="312"/>
      <c r="CF445" s="312"/>
      <c r="CG445" s="312"/>
      <c r="CH445" s="312"/>
      <c r="CI445" s="312"/>
      <c r="CJ445" s="312"/>
      <c r="CK445" s="312"/>
      <c r="CL445" s="312"/>
      <c r="CM445" s="312"/>
      <c r="CN445" s="312"/>
      <c r="CO445" s="312"/>
      <c r="CP445" s="312"/>
      <c r="CQ445" s="312"/>
      <c r="CR445" s="312"/>
      <c r="CS445" s="312"/>
      <c r="CT445" s="312"/>
      <c r="CU445" s="312"/>
      <c r="CV445" s="312"/>
      <c r="CW445" s="312"/>
      <c r="CX445" s="312"/>
      <c r="CY445" s="312"/>
      <c r="CZ445" s="312"/>
      <c r="DA445" s="312"/>
      <c r="DB445" s="312"/>
      <c r="DC445" s="312"/>
      <c r="DD445" s="312"/>
      <c r="DE445" s="312"/>
      <c r="DF445" s="312"/>
      <c r="DG445" s="312"/>
      <c r="DH445" s="312"/>
      <c r="DI445" s="312"/>
      <c r="DJ445" s="312"/>
      <c r="DK445" s="312"/>
      <c r="DL445" s="312"/>
      <c r="DM445" s="312"/>
      <c r="DN445" s="312"/>
      <c r="DO445" s="312"/>
      <c r="DP445" s="312"/>
      <c r="DQ445" s="312"/>
      <c r="DR445" s="312"/>
      <c r="DS445" s="312"/>
      <c r="DT445" s="312"/>
      <c r="DU445" s="312"/>
      <c r="DV445" s="312"/>
      <c r="DW445" s="312"/>
      <c r="DX445" s="312"/>
      <c r="DY445" s="312"/>
      <c r="DZ445" s="312"/>
      <c r="EA445" s="312"/>
      <c r="EB445" s="312"/>
      <c r="EC445" s="312"/>
      <c r="ED445" s="312"/>
      <c r="EE445" s="312"/>
      <c r="EF445" s="312"/>
      <c r="EG445" s="312"/>
      <c r="EH445" s="312"/>
      <c r="EI445" s="312"/>
      <c r="EJ445" s="312"/>
      <c r="EK445" s="312"/>
      <c r="EL445" s="312"/>
      <c r="EM445" s="312"/>
      <c r="EN445" s="312"/>
      <c r="EO445" s="312"/>
      <c r="EP445" s="312"/>
      <c r="EQ445" s="312"/>
      <c r="ER445" s="312"/>
      <c r="ES445" s="312"/>
      <c r="ET445" s="312"/>
      <c r="EU445" s="312"/>
      <c r="EV445" s="312"/>
      <c r="EW445" s="312"/>
      <c r="EX445" s="312"/>
      <c r="EY445" s="312"/>
      <c r="EZ445" s="312"/>
      <c r="FA445" s="312"/>
      <c r="FB445" s="312"/>
      <c r="FC445" s="312"/>
      <c r="FD445" s="312"/>
      <c r="FE445" s="312"/>
      <c r="FF445" s="312"/>
      <c r="FG445" s="312"/>
      <c r="FH445" s="312"/>
      <c r="FI445" s="312"/>
      <c r="FJ445" s="312"/>
      <c r="FK445" s="312"/>
      <c r="FL445" s="312"/>
      <c r="FM445" s="312"/>
      <c r="FN445" s="312"/>
      <c r="FO445" s="312"/>
      <c r="FP445" s="312"/>
      <c r="FQ445" s="312"/>
      <c r="FR445" s="312"/>
      <c r="FS445" s="312"/>
      <c r="FT445" s="312"/>
      <c r="FU445" s="312"/>
      <c r="FV445" s="312"/>
      <c r="FW445" s="312"/>
      <c r="FX445" s="312"/>
      <c r="FY445" s="312"/>
      <c r="FZ445" s="312"/>
      <c r="GA445" s="312"/>
      <c r="GB445" s="312"/>
      <c r="GC445" s="312"/>
      <c r="GD445" s="312"/>
      <c r="GE445" s="312"/>
      <c r="GF445" s="312"/>
      <c r="GG445" s="312"/>
      <c r="GH445" s="312"/>
      <c r="GI445" s="312"/>
      <c r="GJ445" s="312"/>
      <c r="GK445" s="312"/>
      <c r="GL445" s="312"/>
      <c r="GM445" s="312"/>
      <c r="GN445" s="312"/>
      <c r="GO445" s="312"/>
      <c r="GP445" s="312"/>
      <c r="GQ445" s="312"/>
      <c r="GR445" s="312"/>
      <c r="GS445" s="312"/>
      <c r="GT445" s="312"/>
      <c r="GU445" s="312"/>
      <c r="GV445" s="312"/>
      <c r="GW445" s="312"/>
      <c r="GX445" s="312"/>
      <c r="GY445" s="312"/>
    </row>
    <row r="446" spans="2:207" ht="15.75" x14ac:dyDescent="0.25">
      <c r="B446" s="316" t="str">
        <f t="shared" si="115"/>
        <v/>
      </c>
      <c r="C446" s="330" t="str">
        <f>'סיכום לוועדה'!B446</f>
        <v/>
      </c>
      <c r="D446" s="330" t="str">
        <f>'סיכום לוועדה'!C446</f>
        <v/>
      </c>
      <c r="E446" s="330" t="str">
        <f>'סיכום לוועדה'!D446</f>
        <v/>
      </c>
      <c r="F446" s="330" t="str">
        <f>'סיכום לוועדה'!E446</f>
        <v/>
      </c>
      <c r="G446" s="330" t="str">
        <f>'סיכום לוועדה'!F446</f>
        <v/>
      </c>
      <c r="H446" s="317" t="str">
        <f>'סיכום לוועדה'!G446</f>
        <v/>
      </c>
      <c r="I446" s="318" t="str">
        <f>'סיכום לוועדה'!U446</f>
        <v/>
      </c>
      <c r="J446" s="319" t="str">
        <f>'סיכום לוועדה'!T446</f>
        <v/>
      </c>
      <c r="K446" s="320" t="str">
        <f t="shared" si="116"/>
        <v/>
      </c>
      <c r="L446" s="319" t="str">
        <f t="shared" si="117"/>
        <v/>
      </c>
      <c r="M446" s="331" t="str">
        <f>'תחום תמיכה ב'!AF446</f>
        <v/>
      </c>
      <c r="N446" s="319" t="str">
        <f t="shared" si="114"/>
        <v/>
      </c>
      <c r="O446" s="321">
        <f t="shared" si="118"/>
        <v>0</v>
      </c>
      <c r="P446" s="322" t="str">
        <f t="shared" si="119"/>
        <v/>
      </c>
      <c r="Q446" s="322" t="str">
        <f t="shared" si="120"/>
        <v/>
      </c>
      <c r="R446" s="321">
        <f t="shared" si="121"/>
        <v>0</v>
      </c>
      <c r="S446" s="322" t="str">
        <f t="shared" si="122"/>
        <v/>
      </c>
      <c r="T446" s="322" t="str">
        <f t="shared" si="123"/>
        <v/>
      </c>
      <c r="U446" s="321">
        <f t="shared" si="124"/>
        <v>0</v>
      </c>
      <c r="V446" s="322" t="str">
        <f t="shared" si="125"/>
        <v/>
      </c>
      <c r="W446" s="322" t="str">
        <f t="shared" si="126"/>
        <v/>
      </c>
      <c r="X446" s="321">
        <f t="shared" si="127"/>
        <v>0</v>
      </c>
      <c r="Y446" s="322" t="str">
        <f t="shared" si="128"/>
        <v/>
      </c>
      <c r="Z446" s="322" t="str">
        <f t="shared" si="129"/>
        <v/>
      </c>
      <c r="AA446" s="323" t="str">
        <f t="shared" si="130"/>
        <v/>
      </c>
      <c r="AB446" s="323"/>
      <c r="AC446" s="323"/>
      <c r="AD446" s="323"/>
      <c r="AE446" s="323"/>
      <c r="AF446" s="324" t="str">
        <f t="shared" si="131"/>
        <v/>
      </c>
      <c r="AG446" s="312"/>
      <c r="AH446" s="312"/>
      <c r="AI446" s="325">
        <f t="shared" si="132"/>
        <v>0</v>
      </c>
      <c r="AJ446" s="312"/>
      <c r="AK446" s="312"/>
      <c r="AL446" s="312"/>
      <c r="AM446" s="312"/>
      <c r="AN446" s="312"/>
      <c r="AO446" s="312"/>
      <c r="AP446" s="312"/>
      <c r="AQ446" s="312"/>
      <c r="AR446" s="312"/>
      <c r="AS446" s="312"/>
      <c r="AT446" s="312"/>
      <c r="AU446" s="312"/>
      <c r="AV446" s="312"/>
      <c r="AW446" s="312"/>
      <c r="AX446" s="312"/>
      <c r="AY446" s="312"/>
      <c r="AZ446" s="312"/>
      <c r="BA446" s="312"/>
      <c r="BB446" s="312"/>
      <c r="BC446" s="312"/>
      <c r="BD446" s="312"/>
      <c r="BE446" s="312"/>
      <c r="BF446" s="312"/>
      <c r="BG446" s="312"/>
      <c r="BH446" s="312"/>
      <c r="BI446" s="312"/>
      <c r="BJ446" s="312"/>
      <c r="BK446" s="312"/>
      <c r="BL446" s="312"/>
      <c r="BM446" s="312"/>
      <c r="BN446" s="312"/>
      <c r="BO446" s="312"/>
      <c r="BP446" s="312"/>
      <c r="BQ446" s="312"/>
      <c r="BR446" s="312"/>
      <c r="BS446" s="312"/>
      <c r="BT446" s="312"/>
      <c r="BU446" s="312"/>
      <c r="BV446" s="312"/>
      <c r="BW446" s="312"/>
      <c r="BX446" s="312"/>
      <c r="BY446" s="312"/>
      <c r="BZ446" s="312"/>
      <c r="CA446" s="312"/>
      <c r="CB446" s="312"/>
      <c r="CC446" s="312"/>
      <c r="CD446" s="312"/>
      <c r="CE446" s="312"/>
      <c r="CF446" s="312"/>
      <c r="CG446" s="312"/>
      <c r="CH446" s="312"/>
      <c r="CI446" s="312"/>
      <c r="CJ446" s="312"/>
      <c r="CK446" s="312"/>
      <c r="CL446" s="312"/>
      <c r="CM446" s="312"/>
      <c r="CN446" s="312"/>
      <c r="CO446" s="312"/>
      <c r="CP446" s="312"/>
      <c r="CQ446" s="312"/>
      <c r="CR446" s="312"/>
      <c r="CS446" s="312"/>
      <c r="CT446" s="312"/>
      <c r="CU446" s="312"/>
      <c r="CV446" s="312"/>
      <c r="CW446" s="312"/>
      <c r="CX446" s="312"/>
      <c r="CY446" s="312"/>
      <c r="CZ446" s="312"/>
      <c r="DA446" s="312"/>
      <c r="DB446" s="312"/>
      <c r="DC446" s="312"/>
      <c r="DD446" s="312"/>
      <c r="DE446" s="312"/>
      <c r="DF446" s="312"/>
      <c r="DG446" s="312"/>
      <c r="DH446" s="312"/>
      <c r="DI446" s="312"/>
      <c r="DJ446" s="312"/>
      <c r="DK446" s="312"/>
      <c r="DL446" s="312"/>
      <c r="DM446" s="312"/>
      <c r="DN446" s="312"/>
      <c r="DO446" s="312"/>
      <c r="DP446" s="312"/>
      <c r="DQ446" s="312"/>
      <c r="DR446" s="312"/>
      <c r="DS446" s="312"/>
      <c r="DT446" s="312"/>
      <c r="DU446" s="312"/>
      <c r="DV446" s="312"/>
      <c r="DW446" s="312"/>
      <c r="DX446" s="312"/>
      <c r="DY446" s="312"/>
      <c r="DZ446" s="312"/>
      <c r="EA446" s="312"/>
      <c r="EB446" s="312"/>
      <c r="EC446" s="312"/>
      <c r="ED446" s="312"/>
      <c r="EE446" s="312"/>
      <c r="EF446" s="312"/>
      <c r="EG446" s="312"/>
      <c r="EH446" s="312"/>
      <c r="EI446" s="312"/>
      <c r="EJ446" s="312"/>
      <c r="EK446" s="312"/>
      <c r="EL446" s="312"/>
      <c r="EM446" s="312"/>
      <c r="EN446" s="312"/>
      <c r="EO446" s="312"/>
      <c r="EP446" s="312"/>
      <c r="EQ446" s="312"/>
      <c r="ER446" s="312"/>
      <c r="ES446" s="312"/>
      <c r="ET446" s="312"/>
      <c r="EU446" s="312"/>
      <c r="EV446" s="312"/>
      <c r="EW446" s="312"/>
      <c r="EX446" s="312"/>
      <c r="EY446" s="312"/>
      <c r="EZ446" s="312"/>
      <c r="FA446" s="312"/>
      <c r="FB446" s="312"/>
      <c r="FC446" s="312"/>
      <c r="FD446" s="312"/>
      <c r="FE446" s="312"/>
      <c r="FF446" s="312"/>
      <c r="FG446" s="312"/>
      <c r="FH446" s="312"/>
      <c r="FI446" s="312"/>
      <c r="FJ446" s="312"/>
      <c r="FK446" s="312"/>
      <c r="FL446" s="312"/>
      <c r="FM446" s="312"/>
      <c r="FN446" s="312"/>
      <c r="FO446" s="312"/>
      <c r="FP446" s="312"/>
      <c r="FQ446" s="312"/>
      <c r="FR446" s="312"/>
      <c r="FS446" s="312"/>
      <c r="FT446" s="312"/>
      <c r="FU446" s="312"/>
      <c r="FV446" s="312"/>
      <c r="FW446" s="312"/>
      <c r="FX446" s="312"/>
      <c r="FY446" s="312"/>
      <c r="FZ446" s="312"/>
      <c r="GA446" s="312"/>
      <c r="GB446" s="312"/>
      <c r="GC446" s="312"/>
      <c r="GD446" s="312"/>
      <c r="GE446" s="312"/>
      <c r="GF446" s="312"/>
      <c r="GG446" s="312"/>
      <c r="GH446" s="312"/>
      <c r="GI446" s="312"/>
      <c r="GJ446" s="312"/>
      <c r="GK446" s="312"/>
      <c r="GL446" s="312"/>
      <c r="GM446" s="312"/>
      <c r="GN446" s="312"/>
      <c r="GO446" s="312"/>
      <c r="GP446" s="312"/>
      <c r="GQ446" s="312"/>
      <c r="GR446" s="312"/>
      <c r="GS446" s="312"/>
      <c r="GT446" s="312"/>
      <c r="GU446" s="312"/>
      <c r="GV446" s="312"/>
      <c r="GW446" s="312"/>
      <c r="GX446" s="312"/>
      <c r="GY446" s="312"/>
    </row>
    <row r="447" spans="2:207" ht="15.75" x14ac:dyDescent="0.25">
      <c r="B447" s="316" t="str">
        <f t="shared" si="115"/>
        <v/>
      </c>
      <c r="C447" s="330" t="str">
        <f>'סיכום לוועדה'!B447</f>
        <v/>
      </c>
      <c r="D447" s="330" t="str">
        <f>'סיכום לוועדה'!C447</f>
        <v/>
      </c>
      <c r="E447" s="330" t="str">
        <f>'סיכום לוועדה'!D447</f>
        <v/>
      </c>
      <c r="F447" s="330" t="str">
        <f>'סיכום לוועדה'!E447</f>
        <v/>
      </c>
      <c r="G447" s="330" t="str">
        <f>'סיכום לוועדה'!F447</f>
        <v/>
      </c>
      <c r="H447" s="317" t="str">
        <f>'סיכום לוועדה'!G447</f>
        <v/>
      </c>
      <c r="I447" s="318" t="str">
        <f>'סיכום לוועדה'!U447</f>
        <v/>
      </c>
      <c r="J447" s="319" t="str">
        <f>'סיכום לוועדה'!T447</f>
        <v/>
      </c>
      <c r="K447" s="320" t="str">
        <f t="shared" si="116"/>
        <v/>
      </c>
      <c r="L447" s="319" t="str">
        <f t="shared" si="117"/>
        <v/>
      </c>
      <c r="M447" s="331" t="str">
        <f>'תחום תמיכה ב'!AF447</f>
        <v/>
      </c>
      <c r="N447" s="319" t="str">
        <f t="shared" si="114"/>
        <v/>
      </c>
      <c r="O447" s="321">
        <f t="shared" si="118"/>
        <v>0</v>
      </c>
      <c r="P447" s="322" t="str">
        <f t="shared" si="119"/>
        <v/>
      </c>
      <c r="Q447" s="322" t="str">
        <f t="shared" si="120"/>
        <v/>
      </c>
      <c r="R447" s="321">
        <f t="shared" si="121"/>
        <v>0</v>
      </c>
      <c r="S447" s="322" t="str">
        <f t="shared" si="122"/>
        <v/>
      </c>
      <c r="T447" s="322" t="str">
        <f t="shared" si="123"/>
        <v/>
      </c>
      <c r="U447" s="321">
        <f t="shared" si="124"/>
        <v>0</v>
      </c>
      <c r="V447" s="322" t="str">
        <f t="shared" si="125"/>
        <v/>
      </c>
      <c r="W447" s="322" t="str">
        <f t="shared" si="126"/>
        <v/>
      </c>
      <c r="X447" s="321">
        <f t="shared" si="127"/>
        <v>0</v>
      </c>
      <c r="Y447" s="322" t="str">
        <f t="shared" si="128"/>
        <v/>
      </c>
      <c r="Z447" s="322" t="str">
        <f t="shared" si="129"/>
        <v/>
      </c>
      <c r="AA447" s="323" t="str">
        <f t="shared" si="130"/>
        <v/>
      </c>
      <c r="AB447" s="323"/>
      <c r="AC447" s="323"/>
      <c r="AD447" s="323"/>
      <c r="AE447" s="323"/>
      <c r="AF447" s="324" t="str">
        <f t="shared" si="131"/>
        <v/>
      </c>
      <c r="AG447" s="312"/>
      <c r="AH447" s="312"/>
      <c r="AI447" s="325">
        <f t="shared" si="132"/>
        <v>0</v>
      </c>
      <c r="AJ447" s="312"/>
      <c r="AK447" s="312"/>
      <c r="AL447" s="312"/>
      <c r="AM447" s="312"/>
      <c r="AN447" s="312"/>
      <c r="AO447" s="312"/>
      <c r="AP447" s="312"/>
      <c r="AQ447" s="312"/>
      <c r="AR447" s="312"/>
      <c r="AS447" s="312"/>
      <c r="AT447" s="312"/>
      <c r="AU447" s="312"/>
      <c r="AV447" s="312"/>
      <c r="AW447" s="312"/>
      <c r="AX447" s="312"/>
      <c r="AY447" s="312"/>
      <c r="AZ447" s="312"/>
      <c r="BA447" s="312"/>
      <c r="BB447" s="312"/>
      <c r="BC447" s="312"/>
      <c r="BD447" s="312"/>
      <c r="BE447" s="312"/>
      <c r="BF447" s="312"/>
      <c r="BG447" s="312"/>
      <c r="BH447" s="312"/>
      <c r="BI447" s="312"/>
      <c r="BJ447" s="312"/>
      <c r="BK447" s="312"/>
      <c r="BL447" s="312"/>
      <c r="BM447" s="312"/>
      <c r="BN447" s="312"/>
      <c r="BO447" s="312"/>
      <c r="BP447" s="312"/>
      <c r="BQ447" s="312"/>
      <c r="BR447" s="312"/>
      <c r="BS447" s="312"/>
      <c r="BT447" s="312"/>
      <c r="BU447" s="312"/>
      <c r="BV447" s="312"/>
      <c r="BW447" s="312"/>
      <c r="BX447" s="312"/>
      <c r="BY447" s="312"/>
      <c r="BZ447" s="312"/>
      <c r="CA447" s="312"/>
      <c r="CB447" s="312"/>
      <c r="CC447" s="312"/>
      <c r="CD447" s="312"/>
      <c r="CE447" s="312"/>
      <c r="CF447" s="312"/>
      <c r="CG447" s="312"/>
      <c r="CH447" s="312"/>
      <c r="CI447" s="312"/>
      <c r="CJ447" s="312"/>
      <c r="CK447" s="312"/>
      <c r="CL447" s="312"/>
      <c r="CM447" s="312"/>
      <c r="CN447" s="312"/>
      <c r="CO447" s="312"/>
      <c r="CP447" s="312"/>
      <c r="CQ447" s="312"/>
      <c r="CR447" s="312"/>
      <c r="CS447" s="312"/>
      <c r="CT447" s="312"/>
      <c r="CU447" s="312"/>
      <c r="CV447" s="312"/>
      <c r="CW447" s="312"/>
      <c r="CX447" s="312"/>
      <c r="CY447" s="312"/>
      <c r="CZ447" s="312"/>
      <c r="DA447" s="312"/>
      <c r="DB447" s="312"/>
      <c r="DC447" s="312"/>
      <c r="DD447" s="312"/>
      <c r="DE447" s="312"/>
      <c r="DF447" s="312"/>
      <c r="DG447" s="312"/>
      <c r="DH447" s="312"/>
      <c r="DI447" s="312"/>
      <c r="DJ447" s="312"/>
      <c r="DK447" s="312"/>
      <c r="DL447" s="312"/>
      <c r="DM447" s="312"/>
      <c r="DN447" s="312"/>
      <c r="DO447" s="312"/>
      <c r="DP447" s="312"/>
      <c r="DQ447" s="312"/>
      <c r="DR447" s="312"/>
      <c r="DS447" s="312"/>
      <c r="DT447" s="312"/>
      <c r="DU447" s="312"/>
      <c r="DV447" s="312"/>
      <c r="DW447" s="312"/>
      <c r="DX447" s="312"/>
      <c r="DY447" s="312"/>
      <c r="DZ447" s="312"/>
      <c r="EA447" s="312"/>
      <c r="EB447" s="312"/>
      <c r="EC447" s="312"/>
      <c r="ED447" s="312"/>
      <c r="EE447" s="312"/>
      <c r="EF447" s="312"/>
      <c r="EG447" s="312"/>
      <c r="EH447" s="312"/>
      <c r="EI447" s="312"/>
      <c r="EJ447" s="312"/>
      <c r="EK447" s="312"/>
      <c r="EL447" s="312"/>
      <c r="EM447" s="312"/>
      <c r="EN447" s="312"/>
      <c r="EO447" s="312"/>
      <c r="EP447" s="312"/>
      <c r="EQ447" s="312"/>
      <c r="ER447" s="312"/>
      <c r="ES447" s="312"/>
      <c r="ET447" s="312"/>
      <c r="EU447" s="312"/>
      <c r="EV447" s="312"/>
      <c r="EW447" s="312"/>
      <c r="EX447" s="312"/>
      <c r="EY447" s="312"/>
      <c r="EZ447" s="312"/>
      <c r="FA447" s="312"/>
      <c r="FB447" s="312"/>
      <c r="FC447" s="312"/>
      <c r="FD447" s="312"/>
      <c r="FE447" s="312"/>
      <c r="FF447" s="312"/>
      <c r="FG447" s="312"/>
      <c r="FH447" s="312"/>
      <c r="FI447" s="312"/>
      <c r="FJ447" s="312"/>
      <c r="FK447" s="312"/>
      <c r="FL447" s="312"/>
      <c r="FM447" s="312"/>
      <c r="FN447" s="312"/>
      <c r="FO447" s="312"/>
      <c r="FP447" s="312"/>
      <c r="FQ447" s="312"/>
      <c r="FR447" s="312"/>
      <c r="FS447" s="312"/>
      <c r="FT447" s="312"/>
      <c r="FU447" s="312"/>
      <c r="FV447" s="312"/>
      <c r="FW447" s="312"/>
      <c r="FX447" s="312"/>
      <c r="FY447" s="312"/>
      <c r="FZ447" s="312"/>
      <c r="GA447" s="312"/>
      <c r="GB447" s="312"/>
      <c r="GC447" s="312"/>
      <c r="GD447" s="312"/>
      <c r="GE447" s="312"/>
      <c r="GF447" s="312"/>
      <c r="GG447" s="312"/>
      <c r="GH447" s="312"/>
      <c r="GI447" s="312"/>
      <c r="GJ447" s="312"/>
      <c r="GK447" s="312"/>
      <c r="GL447" s="312"/>
      <c r="GM447" s="312"/>
      <c r="GN447" s="312"/>
      <c r="GO447" s="312"/>
      <c r="GP447" s="312"/>
      <c r="GQ447" s="312"/>
      <c r="GR447" s="312"/>
      <c r="GS447" s="312"/>
      <c r="GT447" s="312"/>
      <c r="GU447" s="312"/>
      <c r="GV447" s="312"/>
      <c r="GW447" s="312"/>
      <c r="GX447" s="312"/>
      <c r="GY447" s="312"/>
    </row>
    <row r="448" spans="2:207" ht="15.75" x14ac:dyDescent="0.25">
      <c r="B448" s="316" t="str">
        <f t="shared" si="115"/>
        <v/>
      </c>
      <c r="C448" s="330" t="str">
        <f>'סיכום לוועדה'!B448</f>
        <v/>
      </c>
      <c r="D448" s="330" t="str">
        <f>'סיכום לוועדה'!C448</f>
        <v/>
      </c>
      <c r="E448" s="330" t="str">
        <f>'סיכום לוועדה'!D448</f>
        <v/>
      </c>
      <c r="F448" s="330" t="str">
        <f>'סיכום לוועדה'!E448</f>
        <v/>
      </c>
      <c r="G448" s="330" t="str">
        <f>'סיכום לוועדה'!F448</f>
        <v/>
      </c>
      <c r="H448" s="317" t="str">
        <f>'סיכום לוועדה'!G448</f>
        <v/>
      </c>
      <c r="I448" s="318" t="str">
        <f>'סיכום לוועדה'!U448</f>
        <v/>
      </c>
      <c r="J448" s="319" t="str">
        <f>'סיכום לוועדה'!T448</f>
        <v/>
      </c>
      <c r="K448" s="320" t="str">
        <f t="shared" si="116"/>
        <v/>
      </c>
      <c r="L448" s="319" t="str">
        <f t="shared" si="117"/>
        <v/>
      </c>
      <c r="M448" s="331" t="str">
        <f>'תחום תמיכה ב'!AF448</f>
        <v/>
      </c>
      <c r="N448" s="319" t="str">
        <f t="shared" si="114"/>
        <v/>
      </c>
      <c r="O448" s="321">
        <f t="shared" si="118"/>
        <v>0</v>
      </c>
      <c r="P448" s="322" t="str">
        <f t="shared" si="119"/>
        <v/>
      </c>
      <c r="Q448" s="322" t="str">
        <f t="shared" si="120"/>
        <v/>
      </c>
      <c r="R448" s="321">
        <f t="shared" si="121"/>
        <v>0</v>
      </c>
      <c r="S448" s="322" t="str">
        <f t="shared" si="122"/>
        <v/>
      </c>
      <c r="T448" s="322" t="str">
        <f t="shared" si="123"/>
        <v/>
      </c>
      <c r="U448" s="321">
        <f t="shared" si="124"/>
        <v>0</v>
      </c>
      <c r="V448" s="322" t="str">
        <f t="shared" si="125"/>
        <v/>
      </c>
      <c r="W448" s="322" t="str">
        <f t="shared" si="126"/>
        <v/>
      </c>
      <c r="X448" s="321">
        <f t="shared" si="127"/>
        <v>0</v>
      </c>
      <c r="Y448" s="322" t="str">
        <f t="shared" si="128"/>
        <v/>
      </c>
      <c r="Z448" s="322" t="str">
        <f t="shared" si="129"/>
        <v/>
      </c>
      <c r="AA448" s="323" t="str">
        <f t="shared" si="130"/>
        <v/>
      </c>
      <c r="AB448" s="323"/>
      <c r="AC448" s="323"/>
      <c r="AD448" s="323"/>
      <c r="AE448" s="323"/>
      <c r="AF448" s="324" t="str">
        <f t="shared" si="131"/>
        <v/>
      </c>
      <c r="AG448" s="312"/>
      <c r="AH448" s="312"/>
      <c r="AI448" s="325">
        <f t="shared" si="132"/>
        <v>0</v>
      </c>
      <c r="AJ448" s="312"/>
      <c r="AK448" s="312"/>
      <c r="AL448" s="312"/>
      <c r="AM448" s="312"/>
      <c r="AN448" s="312"/>
      <c r="AO448" s="312"/>
      <c r="AP448" s="312"/>
      <c r="AQ448" s="312"/>
      <c r="AR448" s="312"/>
      <c r="AS448" s="312"/>
      <c r="AT448" s="312"/>
      <c r="AU448" s="312"/>
      <c r="AV448" s="312"/>
      <c r="AW448" s="312"/>
      <c r="AX448" s="312"/>
      <c r="AY448" s="312"/>
      <c r="AZ448" s="312"/>
      <c r="BA448" s="312"/>
      <c r="BB448" s="312"/>
      <c r="BC448" s="312"/>
      <c r="BD448" s="312"/>
      <c r="BE448" s="312"/>
      <c r="BF448" s="312"/>
      <c r="BG448" s="312"/>
      <c r="BH448" s="312"/>
      <c r="BI448" s="312"/>
      <c r="BJ448" s="312"/>
      <c r="BK448" s="312"/>
      <c r="BL448" s="312"/>
      <c r="BM448" s="312"/>
      <c r="BN448" s="312"/>
      <c r="BO448" s="312"/>
      <c r="BP448" s="312"/>
      <c r="BQ448" s="312"/>
      <c r="BR448" s="312"/>
      <c r="BS448" s="312"/>
      <c r="BT448" s="312"/>
      <c r="BU448" s="312"/>
      <c r="BV448" s="312"/>
      <c r="BW448" s="312"/>
      <c r="BX448" s="312"/>
      <c r="BY448" s="312"/>
      <c r="BZ448" s="312"/>
      <c r="CA448" s="312"/>
      <c r="CB448" s="312"/>
      <c r="CC448" s="312"/>
      <c r="CD448" s="312"/>
      <c r="CE448" s="312"/>
      <c r="CF448" s="312"/>
      <c r="CG448" s="312"/>
      <c r="CH448" s="312"/>
      <c r="CI448" s="312"/>
      <c r="CJ448" s="312"/>
      <c r="CK448" s="312"/>
      <c r="CL448" s="312"/>
      <c r="CM448" s="312"/>
      <c r="CN448" s="312"/>
      <c r="CO448" s="312"/>
      <c r="CP448" s="312"/>
      <c r="CQ448" s="312"/>
      <c r="CR448" s="312"/>
      <c r="CS448" s="312"/>
      <c r="CT448" s="312"/>
      <c r="CU448" s="312"/>
      <c r="CV448" s="312"/>
      <c r="CW448" s="312"/>
      <c r="CX448" s="312"/>
      <c r="CY448" s="312"/>
      <c r="CZ448" s="312"/>
      <c r="DA448" s="312"/>
      <c r="DB448" s="312"/>
      <c r="DC448" s="312"/>
      <c r="DD448" s="312"/>
      <c r="DE448" s="312"/>
      <c r="DF448" s="312"/>
      <c r="DG448" s="312"/>
      <c r="DH448" s="312"/>
      <c r="DI448" s="312"/>
      <c r="DJ448" s="312"/>
      <c r="DK448" s="312"/>
      <c r="DL448" s="312"/>
      <c r="DM448" s="312"/>
      <c r="DN448" s="312"/>
      <c r="DO448" s="312"/>
      <c r="DP448" s="312"/>
      <c r="DQ448" s="312"/>
      <c r="DR448" s="312"/>
      <c r="DS448" s="312"/>
      <c r="DT448" s="312"/>
      <c r="DU448" s="312"/>
      <c r="DV448" s="312"/>
      <c r="DW448" s="312"/>
      <c r="DX448" s="312"/>
      <c r="DY448" s="312"/>
      <c r="DZ448" s="312"/>
      <c r="EA448" s="312"/>
      <c r="EB448" s="312"/>
      <c r="EC448" s="312"/>
      <c r="ED448" s="312"/>
      <c r="EE448" s="312"/>
      <c r="EF448" s="312"/>
      <c r="EG448" s="312"/>
      <c r="EH448" s="312"/>
      <c r="EI448" s="312"/>
      <c r="EJ448" s="312"/>
      <c r="EK448" s="312"/>
      <c r="EL448" s="312"/>
      <c r="EM448" s="312"/>
      <c r="EN448" s="312"/>
      <c r="EO448" s="312"/>
      <c r="EP448" s="312"/>
      <c r="EQ448" s="312"/>
      <c r="ER448" s="312"/>
      <c r="ES448" s="312"/>
      <c r="ET448" s="312"/>
      <c r="EU448" s="312"/>
      <c r="EV448" s="312"/>
      <c r="EW448" s="312"/>
      <c r="EX448" s="312"/>
      <c r="EY448" s="312"/>
      <c r="EZ448" s="312"/>
      <c r="FA448" s="312"/>
      <c r="FB448" s="312"/>
      <c r="FC448" s="312"/>
      <c r="FD448" s="312"/>
      <c r="FE448" s="312"/>
      <c r="FF448" s="312"/>
      <c r="FG448" s="312"/>
      <c r="FH448" s="312"/>
      <c r="FI448" s="312"/>
      <c r="FJ448" s="312"/>
      <c r="FK448" s="312"/>
      <c r="FL448" s="312"/>
      <c r="FM448" s="312"/>
      <c r="FN448" s="312"/>
      <c r="FO448" s="312"/>
      <c r="FP448" s="312"/>
      <c r="FQ448" s="312"/>
      <c r="FR448" s="312"/>
      <c r="FS448" s="312"/>
      <c r="FT448" s="312"/>
      <c r="FU448" s="312"/>
      <c r="FV448" s="312"/>
      <c r="FW448" s="312"/>
      <c r="FX448" s="312"/>
      <c r="FY448" s="312"/>
      <c r="FZ448" s="312"/>
      <c r="GA448" s="312"/>
      <c r="GB448" s="312"/>
      <c r="GC448" s="312"/>
      <c r="GD448" s="312"/>
      <c r="GE448" s="312"/>
      <c r="GF448" s="312"/>
      <c r="GG448" s="312"/>
      <c r="GH448" s="312"/>
      <c r="GI448" s="312"/>
      <c r="GJ448" s="312"/>
      <c r="GK448" s="312"/>
      <c r="GL448" s="312"/>
      <c r="GM448" s="312"/>
      <c r="GN448" s="312"/>
      <c r="GO448" s="312"/>
      <c r="GP448" s="312"/>
      <c r="GQ448" s="312"/>
      <c r="GR448" s="312"/>
      <c r="GS448" s="312"/>
      <c r="GT448" s="312"/>
      <c r="GU448" s="312"/>
      <c r="GV448" s="312"/>
      <c r="GW448" s="312"/>
      <c r="GX448" s="312"/>
      <c r="GY448" s="312"/>
    </row>
    <row r="449" spans="2:207" ht="15.75" x14ac:dyDescent="0.25">
      <c r="B449" s="316" t="str">
        <f t="shared" si="115"/>
        <v/>
      </c>
      <c r="C449" s="330" t="str">
        <f>'סיכום לוועדה'!B449</f>
        <v/>
      </c>
      <c r="D449" s="330" t="str">
        <f>'סיכום לוועדה'!C449</f>
        <v/>
      </c>
      <c r="E449" s="330" t="str">
        <f>'סיכום לוועדה'!D449</f>
        <v/>
      </c>
      <c r="F449" s="330" t="str">
        <f>'סיכום לוועדה'!E449</f>
        <v/>
      </c>
      <c r="G449" s="330" t="str">
        <f>'סיכום לוועדה'!F449</f>
        <v/>
      </c>
      <c r="H449" s="317" t="str">
        <f>'סיכום לוועדה'!G449</f>
        <v/>
      </c>
      <c r="I449" s="318" t="str">
        <f>'סיכום לוועדה'!U449</f>
        <v/>
      </c>
      <c r="J449" s="319" t="str">
        <f>'סיכום לוועדה'!T449</f>
        <v/>
      </c>
      <c r="K449" s="320" t="str">
        <f t="shared" si="116"/>
        <v/>
      </c>
      <c r="L449" s="319" t="str">
        <f t="shared" si="117"/>
        <v/>
      </c>
      <c r="M449" s="331" t="str">
        <f>'תחום תמיכה ב'!AF449</f>
        <v/>
      </c>
      <c r="N449" s="319" t="str">
        <f t="shared" si="114"/>
        <v/>
      </c>
      <c r="O449" s="321">
        <f t="shared" si="118"/>
        <v>0</v>
      </c>
      <c r="P449" s="322" t="str">
        <f t="shared" si="119"/>
        <v/>
      </c>
      <c r="Q449" s="322" t="str">
        <f t="shared" si="120"/>
        <v/>
      </c>
      <c r="R449" s="321">
        <f t="shared" si="121"/>
        <v>0</v>
      </c>
      <c r="S449" s="322" t="str">
        <f t="shared" si="122"/>
        <v/>
      </c>
      <c r="T449" s="322" t="str">
        <f t="shared" si="123"/>
        <v/>
      </c>
      <c r="U449" s="321">
        <f t="shared" si="124"/>
        <v>0</v>
      </c>
      <c r="V449" s="322" t="str">
        <f t="shared" si="125"/>
        <v/>
      </c>
      <c r="W449" s="322" t="str">
        <f t="shared" si="126"/>
        <v/>
      </c>
      <c r="X449" s="321">
        <f t="shared" si="127"/>
        <v>0</v>
      </c>
      <c r="Y449" s="322" t="str">
        <f t="shared" si="128"/>
        <v/>
      </c>
      <c r="Z449" s="322" t="str">
        <f t="shared" si="129"/>
        <v/>
      </c>
      <c r="AA449" s="323" t="str">
        <f t="shared" si="130"/>
        <v/>
      </c>
      <c r="AB449" s="323"/>
      <c r="AC449" s="323"/>
      <c r="AD449" s="323"/>
      <c r="AE449" s="323"/>
      <c r="AF449" s="324" t="str">
        <f t="shared" si="131"/>
        <v/>
      </c>
      <c r="AG449" s="312"/>
      <c r="AH449" s="312"/>
      <c r="AI449" s="325">
        <f t="shared" si="132"/>
        <v>0</v>
      </c>
      <c r="AJ449" s="312"/>
      <c r="AK449" s="312"/>
      <c r="AL449" s="312"/>
      <c r="AM449" s="312"/>
      <c r="AN449" s="312"/>
      <c r="AO449" s="312"/>
      <c r="AP449" s="312"/>
      <c r="AQ449" s="312"/>
      <c r="AR449" s="312"/>
      <c r="AS449" s="312"/>
      <c r="AT449" s="312"/>
      <c r="AU449" s="312"/>
      <c r="AV449" s="312"/>
      <c r="AW449" s="312"/>
      <c r="AX449" s="312"/>
      <c r="AY449" s="312"/>
      <c r="AZ449" s="312"/>
      <c r="BA449" s="312"/>
      <c r="BB449" s="312"/>
      <c r="BC449" s="312"/>
      <c r="BD449" s="312"/>
      <c r="BE449" s="312"/>
      <c r="BF449" s="312"/>
      <c r="BG449" s="312"/>
      <c r="BH449" s="312"/>
      <c r="BI449" s="312"/>
      <c r="BJ449" s="312"/>
      <c r="BK449" s="312"/>
      <c r="BL449" s="312"/>
      <c r="BM449" s="312"/>
      <c r="BN449" s="312"/>
      <c r="BO449" s="312"/>
      <c r="BP449" s="312"/>
      <c r="BQ449" s="312"/>
      <c r="BR449" s="312"/>
      <c r="BS449" s="312"/>
      <c r="BT449" s="312"/>
      <c r="BU449" s="312"/>
      <c r="BV449" s="312"/>
      <c r="BW449" s="312"/>
      <c r="BX449" s="312"/>
      <c r="BY449" s="312"/>
      <c r="BZ449" s="312"/>
      <c r="CA449" s="312"/>
      <c r="CB449" s="312"/>
      <c r="CC449" s="312"/>
      <c r="CD449" s="312"/>
      <c r="CE449" s="312"/>
      <c r="CF449" s="312"/>
      <c r="CG449" s="312"/>
      <c r="CH449" s="312"/>
      <c r="CI449" s="312"/>
      <c r="CJ449" s="312"/>
      <c r="CK449" s="312"/>
      <c r="CL449" s="312"/>
      <c r="CM449" s="312"/>
      <c r="CN449" s="312"/>
      <c r="CO449" s="312"/>
      <c r="CP449" s="312"/>
      <c r="CQ449" s="312"/>
      <c r="CR449" s="312"/>
      <c r="CS449" s="312"/>
      <c r="CT449" s="312"/>
      <c r="CU449" s="312"/>
      <c r="CV449" s="312"/>
      <c r="CW449" s="312"/>
      <c r="CX449" s="312"/>
      <c r="CY449" s="312"/>
      <c r="CZ449" s="312"/>
      <c r="DA449" s="312"/>
      <c r="DB449" s="312"/>
      <c r="DC449" s="312"/>
      <c r="DD449" s="312"/>
      <c r="DE449" s="312"/>
      <c r="DF449" s="312"/>
      <c r="DG449" s="312"/>
      <c r="DH449" s="312"/>
      <c r="DI449" s="312"/>
      <c r="DJ449" s="312"/>
      <c r="DK449" s="312"/>
      <c r="DL449" s="312"/>
      <c r="DM449" s="312"/>
      <c r="DN449" s="312"/>
      <c r="DO449" s="312"/>
      <c r="DP449" s="312"/>
      <c r="DQ449" s="312"/>
      <c r="DR449" s="312"/>
      <c r="DS449" s="312"/>
      <c r="DT449" s="312"/>
      <c r="DU449" s="312"/>
      <c r="DV449" s="312"/>
      <c r="DW449" s="312"/>
      <c r="DX449" s="312"/>
      <c r="DY449" s="312"/>
      <c r="DZ449" s="312"/>
      <c r="EA449" s="312"/>
      <c r="EB449" s="312"/>
      <c r="EC449" s="312"/>
      <c r="ED449" s="312"/>
      <c r="EE449" s="312"/>
      <c r="EF449" s="312"/>
      <c r="EG449" s="312"/>
      <c r="EH449" s="312"/>
      <c r="EI449" s="312"/>
      <c r="EJ449" s="312"/>
      <c r="EK449" s="312"/>
      <c r="EL449" s="312"/>
      <c r="EM449" s="312"/>
      <c r="EN449" s="312"/>
      <c r="EO449" s="312"/>
      <c r="EP449" s="312"/>
      <c r="EQ449" s="312"/>
      <c r="ER449" s="312"/>
      <c r="ES449" s="312"/>
      <c r="ET449" s="312"/>
      <c r="EU449" s="312"/>
      <c r="EV449" s="312"/>
      <c r="EW449" s="312"/>
      <c r="EX449" s="312"/>
      <c r="EY449" s="312"/>
      <c r="EZ449" s="312"/>
      <c r="FA449" s="312"/>
      <c r="FB449" s="312"/>
      <c r="FC449" s="312"/>
      <c r="FD449" s="312"/>
      <c r="FE449" s="312"/>
      <c r="FF449" s="312"/>
      <c r="FG449" s="312"/>
      <c r="FH449" s="312"/>
      <c r="FI449" s="312"/>
      <c r="FJ449" s="312"/>
      <c r="FK449" s="312"/>
      <c r="FL449" s="312"/>
      <c r="FM449" s="312"/>
      <c r="FN449" s="312"/>
      <c r="FO449" s="312"/>
      <c r="FP449" s="312"/>
      <c r="FQ449" s="312"/>
      <c r="FR449" s="312"/>
      <c r="FS449" s="312"/>
      <c r="FT449" s="312"/>
      <c r="FU449" s="312"/>
      <c r="FV449" s="312"/>
      <c r="FW449" s="312"/>
      <c r="FX449" s="312"/>
      <c r="FY449" s="312"/>
      <c r="FZ449" s="312"/>
      <c r="GA449" s="312"/>
      <c r="GB449" s="312"/>
      <c r="GC449" s="312"/>
      <c r="GD449" s="312"/>
      <c r="GE449" s="312"/>
      <c r="GF449" s="312"/>
      <c r="GG449" s="312"/>
      <c r="GH449" s="312"/>
      <c r="GI449" s="312"/>
      <c r="GJ449" s="312"/>
      <c r="GK449" s="312"/>
      <c r="GL449" s="312"/>
      <c r="GM449" s="312"/>
      <c r="GN449" s="312"/>
      <c r="GO449" s="312"/>
      <c r="GP449" s="312"/>
      <c r="GQ449" s="312"/>
      <c r="GR449" s="312"/>
      <c r="GS449" s="312"/>
      <c r="GT449" s="312"/>
      <c r="GU449" s="312"/>
      <c r="GV449" s="312"/>
      <c r="GW449" s="312"/>
      <c r="GX449" s="312"/>
      <c r="GY449" s="312"/>
    </row>
    <row r="450" spans="2:207" ht="15.75" x14ac:dyDescent="0.25">
      <c r="B450" s="316" t="str">
        <f t="shared" si="115"/>
        <v/>
      </c>
      <c r="C450" s="330" t="str">
        <f>'סיכום לוועדה'!B450</f>
        <v/>
      </c>
      <c r="D450" s="330" t="str">
        <f>'סיכום לוועדה'!C450</f>
        <v/>
      </c>
      <c r="E450" s="330" t="str">
        <f>'סיכום לוועדה'!D450</f>
        <v/>
      </c>
      <c r="F450" s="330" t="str">
        <f>'סיכום לוועדה'!E450</f>
        <v/>
      </c>
      <c r="G450" s="330" t="str">
        <f>'סיכום לוועדה'!F450</f>
        <v/>
      </c>
      <c r="H450" s="317" t="str">
        <f>'סיכום לוועדה'!G450</f>
        <v/>
      </c>
      <c r="I450" s="318" t="str">
        <f>'סיכום לוועדה'!U450</f>
        <v/>
      </c>
      <c r="J450" s="319" t="str">
        <f>'סיכום לוועדה'!T450</f>
        <v/>
      </c>
      <c r="K450" s="320" t="str">
        <f t="shared" si="116"/>
        <v/>
      </c>
      <c r="L450" s="319" t="str">
        <f t="shared" si="117"/>
        <v/>
      </c>
      <c r="M450" s="331" t="str">
        <f>'תחום תמיכה ב'!AF450</f>
        <v/>
      </c>
      <c r="N450" s="319" t="str">
        <f t="shared" si="114"/>
        <v/>
      </c>
      <c r="O450" s="321">
        <f t="shared" si="118"/>
        <v>0</v>
      </c>
      <c r="P450" s="322" t="str">
        <f t="shared" si="119"/>
        <v/>
      </c>
      <c r="Q450" s="322" t="str">
        <f t="shared" si="120"/>
        <v/>
      </c>
      <c r="R450" s="321">
        <f t="shared" si="121"/>
        <v>0</v>
      </c>
      <c r="S450" s="322" t="str">
        <f t="shared" si="122"/>
        <v/>
      </c>
      <c r="T450" s="322" t="str">
        <f t="shared" si="123"/>
        <v/>
      </c>
      <c r="U450" s="321">
        <f t="shared" si="124"/>
        <v>0</v>
      </c>
      <c r="V450" s="322" t="str">
        <f t="shared" si="125"/>
        <v/>
      </c>
      <c r="W450" s="322" t="str">
        <f t="shared" si="126"/>
        <v/>
      </c>
      <c r="X450" s="321">
        <f t="shared" si="127"/>
        <v>0</v>
      </c>
      <c r="Y450" s="322" t="str">
        <f t="shared" si="128"/>
        <v/>
      </c>
      <c r="Z450" s="322" t="str">
        <f t="shared" si="129"/>
        <v/>
      </c>
      <c r="AA450" s="323" t="str">
        <f t="shared" si="130"/>
        <v/>
      </c>
      <c r="AB450" s="323"/>
      <c r="AC450" s="323"/>
      <c r="AD450" s="323"/>
      <c r="AE450" s="323"/>
      <c r="AF450" s="324" t="str">
        <f t="shared" si="131"/>
        <v/>
      </c>
      <c r="AG450" s="312"/>
      <c r="AH450" s="312"/>
      <c r="AI450" s="325">
        <f t="shared" si="132"/>
        <v>0</v>
      </c>
      <c r="AJ450" s="312"/>
      <c r="AK450" s="312"/>
      <c r="AL450" s="312"/>
      <c r="AM450" s="312"/>
      <c r="AN450" s="312"/>
      <c r="AO450" s="312"/>
      <c r="AP450" s="312"/>
      <c r="AQ450" s="312"/>
      <c r="AR450" s="312"/>
      <c r="AS450" s="312"/>
      <c r="AT450" s="312"/>
      <c r="AU450" s="312"/>
      <c r="AV450" s="312"/>
      <c r="AW450" s="312"/>
      <c r="AX450" s="312"/>
      <c r="AY450" s="312"/>
      <c r="AZ450" s="312"/>
      <c r="BA450" s="312"/>
      <c r="BB450" s="312"/>
      <c r="BC450" s="312"/>
      <c r="BD450" s="312"/>
      <c r="BE450" s="312"/>
      <c r="BF450" s="312"/>
      <c r="BG450" s="312"/>
      <c r="BH450" s="312"/>
      <c r="BI450" s="312"/>
      <c r="BJ450" s="312"/>
      <c r="BK450" s="312"/>
      <c r="BL450" s="312"/>
      <c r="BM450" s="312"/>
      <c r="BN450" s="312"/>
      <c r="BO450" s="312"/>
      <c r="BP450" s="312"/>
      <c r="BQ450" s="312"/>
      <c r="BR450" s="312"/>
      <c r="BS450" s="312"/>
      <c r="BT450" s="312"/>
      <c r="BU450" s="312"/>
      <c r="BV450" s="312"/>
      <c r="BW450" s="312"/>
      <c r="BX450" s="312"/>
      <c r="BY450" s="312"/>
      <c r="BZ450" s="312"/>
      <c r="CA450" s="312"/>
      <c r="CB450" s="312"/>
      <c r="CC450" s="312"/>
      <c r="CD450" s="312"/>
      <c r="CE450" s="312"/>
      <c r="CF450" s="312"/>
      <c r="CG450" s="312"/>
      <c r="CH450" s="312"/>
      <c r="CI450" s="312"/>
      <c r="CJ450" s="312"/>
      <c r="CK450" s="312"/>
      <c r="CL450" s="312"/>
      <c r="CM450" s="312"/>
      <c r="CN450" s="312"/>
      <c r="CO450" s="312"/>
      <c r="CP450" s="312"/>
      <c r="CQ450" s="312"/>
      <c r="CR450" s="312"/>
      <c r="CS450" s="312"/>
      <c r="CT450" s="312"/>
      <c r="CU450" s="312"/>
      <c r="CV450" s="312"/>
      <c r="CW450" s="312"/>
      <c r="CX450" s="312"/>
      <c r="CY450" s="312"/>
      <c r="CZ450" s="312"/>
      <c r="DA450" s="312"/>
      <c r="DB450" s="312"/>
      <c r="DC450" s="312"/>
      <c r="DD450" s="312"/>
      <c r="DE450" s="312"/>
      <c r="DF450" s="312"/>
      <c r="DG450" s="312"/>
      <c r="DH450" s="312"/>
      <c r="DI450" s="312"/>
      <c r="DJ450" s="312"/>
      <c r="DK450" s="312"/>
      <c r="DL450" s="312"/>
      <c r="DM450" s="312"/>
      <c r="DN450" s="312"/>
      <c r="DO450" s="312"/>
      <c r="DP450" s="312"/>
      <c r="DQ450" s="312"/>
      <c r="DR450" s="312"/>
      <c r="DS450" s="312"/>
      <c r="DT450" s="312"/>
      <c r="DU450" s="312"/>
      <c r="DV450" s="312"/>
      <c r="DW450" s="312"/>
      <c r="DX450" s="312"/>
      <c r="DY450" s="312"/>
      <c r="DZ450" s="312"/>
      <c r="EA450" s="312"/>
      <c r="EB450" s="312"/>
      <c r="EC450" s="312"/>
      <c r="ED450" s="312"/>
      <c r="EE450" s="312"/>
      <c r="EF450" s="312"/>
      <c r="EG450" s="312"/>
      <c r="EH450" s="312"/>
      <c r="EI450" s="312"/>
      <c r="EJ450" s="312"/>
      <c r="EK450" s="312"/>
      <c r="EL450" s="312"/>
      <c r="EM450" s="312"/>
      <c r="EN450" s="312"/>
      <c r="EO450" s="312"/>
      <c r="EP450" s="312"/>
      <c r="EQ450" s="312"/>
      <c r="ER450" s="312"/>
      <c r="ES450" s="312"/>
      <c r="ET450" s="312"/>
      <c r="EU450" s="312"/>
      <c r="EV450" s="312"/>
      <c r="EW450" s="312"/>
      <c r="EX450" s="312"/>
      <c r="EY450" s="312"/>
      <c r="EZ450" s="312"/>
      <c r="FA450" s="312"/>
      <c r="FB450" s="312"/>
      <c r="FC450" s="312"/>
      <c r="FD450" s="312"/>
      <c r="FE450" s="312"/>
      <c r="FF450" s="312"/>
      <c r="FG450" s="312"/>
      <c r="FH450" s="312"/>
      <c r="FI450" s="312"/>
      <c r="FJ450" s="312"/>
      <c r="FK450" s="312"/>
      <c r="FL450" s="312"/>
      <c r="FM450" s="312"/>
      <c r="FN450" s="312"/>
      <c r="FO450" s="312"/>
      <c r="FP450" s="312"/>
      <c r="FQ450" s="312"/>
      <c r="FR450" s="312"/>
      <c r="FS450" s="312"/>
      <c r="FT450" s="312"/>
      <c r="FU450" s="312"/>
      <c r="FV450" s="312"/>
      <c r="FW450" s="312"/>
      <c r="FX450" s="312"/>
      <c r="FY450" s="312"/>
      <c r="FZ450" s="312"/>
      <c r="GA450" s="312"/>
      <c r="GB450" s="312"/>
      <c r="GC450" s="312"/>
      <c r="GD450" s="312"/>
      <c r="GE450" s="312"/>
      <c r="GF450" s="312"/>
      <c r="GG450" s="312"/>
      <c r="GH450" s="312"/>
      <c r="GI450" s="312"/>
      <c r="GJ450" s="312"/>
      <c r="GK450" s="312"/>
      <c r="GL450" s="312"/>
      <c r="GM450" s="312"/>
      <c r="GN450" s="312"/>
      <c r="GO450" s="312"/>
      <c r="GP450" s="312"/>
      <c r="GQ450" s="312"/>
      <c r="GR450" s="312"/>
      <c r="GS450" s="312"/>
      <c r="GT450" s="312"/>
      <c r="GU450" s="312"/>
      <c r="GV450" s="312"/>
      <c r="GW450" s="312"/>
      <c r="GX450" s="312"/>
      <c r="GY450" s="312"/>
    </row>
    <row r="451" spans="2:207" ht="15.75" x14ac:dyDescent="0.25">
      <c r="B451" s="316" t="str">
        <f t="shared" si="115"/>
        <v/>
      </c>
      <c r="C451" s="330" t="str">
        <f>'סיכום לוועדה'!B451</f>
        <v/>
      </c>
      <c r="D451" s="330" t="str">
        <f>'סיכום לוועדה'!C451</f>
        <v/>
      </c>
      <c r="E451" s="330" t="str">
        <f>'סיכום לוועדה'!D451</f>
        <v/>
      </c>
      <c r="F451" s="330" t="str">
        <f>'סיכום לוועדה'!E451</f>
        <v/>
      </c>
      <c r="G451" s="330" t="str">
        <f>'סיכום לוועדה'!F451</f>
        <v/>
      </c>
      <c r="H451" s="317" t="str">
        <f>'סיכום לוועדה'!G451</f>
        <v/>
      </c>
      <c r="I451" s="318" t="str">
        <f>'סיכום לוועדה'!U451</f>
        <v/>
      </c>
      <c r="J451" s="319" t="str">
        <f>'סיכום לוועדה'!T451</f>
        <v/>
      </c>
      <c r="K451" s="320" t="str">
        <f t="shared" si="116"/>
        <v/>
      </c>
      <c r="L451" s="319" t="str">
        <f t="shared" si="117"/>
        <v/>
      </c>
      <c r="M451" s="331" t="str">
        <f>'תחום תמיכה ב'!AF451</f>
        <v/>
      </c>
      <c r="N451" s="319" t="str">
        <f t="shared" si="114"/>
        <v/>
      </c>
      <c r="O451" s="321">
        <f t="shared" si="118"/>
        <v>0</v>
      </c>
      <c r="P451" s="322" t="str">
        <f t="shared" si="119"/>
        <v/>
      </c>
      <c r="Q451" s="322" t="str">
        <f t="shared" si="120"/>
        <v/>
      </c>
      <c r="R451" s="321">
        <f t="shared" si="121"/>
        <v>0</v>
      </c>
      <c r="S451" s="322" t="str">
        <f t="shared" si="122"/>
        <v/>
      </c>
      <c r="T451" s="322" t="str">
        <f t="shared" si="123"/>
        <v/>
      </c>
      <c r="U451" s="321">
        <f t="shared" si="124"/>
        <v>0</v>
      </c>
      <c r="V451" s="322" t="str">
        <f t="shared" si="125"/>
        <v/>
      </c>
      <c r="W451" s="322" t="str">
        <f t="shared" si="126"/>
        <v/>
      </c>
      <c r="X451" s="321">
        <f t="shared" si="127"/>
        <v>0</v>
      </c>
      <c r="Y451" s="322" t="str">
        <f t="shared" si="128"/>
        <v/>
      </c>
      <c r="Z451" s="322" t="str">
        <f t="shared" si="129"/>
        <v/>
      </c>
      <c r="AA451" s="323" t="str">
        <f t="shared" si="130"/>
        <v/>
      </c>
      <c r="AB451" s="323"/>
      <c r="AC451" s="323"/>
      <c r="AD451" s="323"/>
      <c r="AE451" s="323"/>
      <c r="AF451" s="324" t="str">
        <f t="shared" si="131"/>
        <v/>
      </c>
      <c r="AG451" s="312"/>
      <c r="AH451" s="312"/>
      <c r="AI451" s="325">
        <f t="shared" si="132"/>
        <v>0</v>
      </c>
      <c r="AJ451" s="312"/>
      <c r="AK451" s="312"/>
      <c r="AL451" s="312"/>
      <c r="AM451" s="312"/>
      <c r="AN451" s="312"/>
      <c r="AO451" s="312"/>
      <c r="AP451" s="312"/>
      <c r="AQ451" s="312"/>
      <c r="AR451" s="312"/>
      <c r="AS451" s="312"/>
      <c r="AT451" s="312"/>
      <c r="AU451" s="312"/>
      <c r="AV451" s="312"/>
      <c r="AW451" s="312"/>
      <c r="AX451" s="312"/>
      <c r="AY451" s="312"/>
      <c r="AZ451" s="312"/>
      <c r="BA451" s="312"/>
      <c r="BB451" s="312"/>
      <c r="BC451" s="312"/>
      <c r="BD451" s="312"/>
      <c r="BE451" s="312"/>
      <c r="BF451" s="312"/>
      <c r="BG451" s="312"/>
      <c r="BH451" s="312"/>
      <c r="BI451" s="312"/>
      <c r="BJ451" s="312"/>
      <c r="BK451" s="312"/>
      <c r="BL451" s="312"/>
      <c r="BM451" s="312"/>
      <c r="BN451" s="312"/>
      <c r="BO451" s="312"/>
      <c r="BP451" s="312"/>
      <c r="BQ451" s="312"/>
      <c r="BR451" s="312"/>
      <c r="BS451" s="312"/>
      <c r="BT451" s="312"/>
      <c r="BU451" s="312"/>
      <c r="BV451" s="312"/>
      <c r="BW451" s="312"/>
      <c r="BX451" s="312"/>
      <c r="BY451" s="312"/>
      <c r="BZ451" s="312"/>
      <c r="CA451" s="312"/>
      <c r="CB451" s="312"/>
      <c r="CC451" s="312"/>
      <c r="CD451" s="312"/>
      <c r="CE451" s="312"/>
      <c r="CF451" s="312"/>
      <c r="CG451" s="312"/>
      <c r="CH451" s="312"/>
      <c r="CI451" s="312"/>
      <c r="CJ451" s="312"/>
      <c r="CK451" s="312"/>
      <c r="CL451" s="312"/>
      <c r="CM451" s="312"/>
      <c r="CN451" s="312"/>
      <c r="CO451" s="312"/>
      <c r="CP451" s="312"/>
      <c r="CQ451" s="312"/>
      <c r="CR451" s="312"/>
      <c r="CS451" s="312"/>
      <c r="CT451" s="312"/>
      <c r="CU451" s="312"/>
      <c r="CV451" s="312"/>
      <c r="CW451" s="312"/>
      <c r="CX451" s="312"/>
      <c r="CY451" s="312"/>
      <c r="CZ451" s="312"/>
      <c r="DA451" s="312"/>
      <c r="DB451" s="312"/>
      <c r="DC451" s="312"/>
      <c r="DD451" s="312"/>
      <c r="DE451" s="312"/>
      <c r="DF451" s="312"/>
      <c r="DG451" s="312"/>
      <c r="DH451" s="312"/>
      <c r="DI451" s="312"/>
      <c r="DJ451" s="312"/>
      <c r="DK451" s="312"/>
      <c r="DL451" s="312"/>
      <c r="DM451" s="312"/>
      <c r="DN451" s="312"/>
      <c r="DO451" s="312"/>
      <c r="DP451" s="312"/>
      <c r="DQ451" s="312"/>
      <c r="DR451" s="312"/>
      <c r="DS451" s="312"/>
      <c r="DT451" s="312"/>
      <c r="DU451" s="312"/>
      <c r="DV451" s="312"/>
      <c r="DW451" s="312"/>
      <c r="DX451" s="312"/>
      <c r="DY451" s="312"/>
      <c r="DZ451" s="312"/>
      <c r="EA451" s="312"/>
      <c r="EB451" s="312"/>
      <c r="EC451" s="312"/>
      <c r="ED451" s="312"/>
      <c r="EE451" s="312"/>
      <c r="EF451" s="312"/>
      <c r="EG451" s="312"/>
      <c r="EH451" s="312"/>
      <c r="EI451" s="312"/>
      <c r="EJ451" s="312"/>
      <c r="EK451" s="312"/>
      <c r="EL451" s="312"/>
      <c r="EM451" s="312"/>
      <c r="EN451" s="312"/>
      <c r="EO451" s="312"/>
      <c r="EP451" s="312"/>
      <c r="EQ451" s="312"/>
      <c r="ER451" s="312"/>
      <c r="ES451" s="312"/>
      <c r="ET451" s="312"/>
      <c r="EU451" s="312"/>
      <c r="EV451" s="312"/>
      <c r="EW451" s="312"/>
      <c r="EX451" s="312"/>
      <c r="EY451" s="312"/>
      <c r="EZ451" s="312"/>
      <c r="FA451" s="312"/>
      <c r="FB451" s="312"/>
      <c r="FC451" s="312"/>
      <c r="FD451" s="312"/>
      <c r="FE451" s="312"/>
      <c r="FF451" s="312"/>
      <c r="FG451" s="312"/>
      <c r="FH451" s="312"/>
      <c r="FI451" s="312"/>
      <c r="FJ451" s="312"/>
      <c r="FK451" s="312"/>
      <c r="FL451" s="312"/>
      <c r="FM451" s="312"/>
      <c r="FN451" s="312"/>
      <c r="FO451" s="312"/>
      <c r="FP451" s="312"/>
      <c r="FQ451" s="312"/>
      <c r="FR451" s="312"/>
      <c r="FS451" s="312"/>
      <c r="FT451" s="312"/>
      <c r="FU451" s="312"/>
      <c r="FV451" s="312"/>
      <c r="FW451" s="312"/>
      <c r="FX451" s="312"/>
      <c r="FY451" s="312"/>
      <c r="FZ451" s="312"/>
      <c r="GA451" s="312"/>
      <c r="GB451" s="312"/>
      <c r="GC451" s="312"/>
      <c r="GD451" s="312"/>
      <c r="GE451" s="312"/>
      <c r="GF451" s="312"/>
      <c r="GG451" s="312"/>
      <c r="GH451" s="312"/>
      <c r="GI451" s="312"/>
      <c r="GJ451" s="312"/>
      <c r="GK451" s="312"/>
      <c r="GL451" s="312"/>
      <c r="GM451" s="312"/>
      <c r="GN451" s="312"/>
      <c r="GO451" s="312"/>
      <c r="GP451" s="312"/>
      <c r="GQ451" s="312"/>
      <c r="GR451" s="312"/>
      <c r="GS451" s="312"/>
      <c r="GT451" s="312"/>
      <c r="GU451" s="312"/>
      <c r="GV451" s="312"/>
      <c r="GW451" s="312"/>
      <c r="GX451" s="312"/>
      <c r="GY451" s="312"/>
    </row>
    <row r="452" spans="2:207" ht="15.75" x14ac:dyDescent="0.25">
      <c r="B452" s="316" t="str">
        <f t="shared" si="115"/>
        <v/>
      </c>
      <c r="C452" s="330" t="str">
        <f>'סיכום לוועדה'!B452</f>
        <v/>
      </c>
      <c r="D452" s="330" t="str">
        <f>'סיכום לוועדה'!C452</f>
        <v/>
      </c>
      <c r="E452" s="330" t="str">
        <f>'סיכום לוועדה'!D452</f>
        <v/>
      </c>
      <c r="F452" s="330" t="str">
        <f>'סיכום לוועדה'!E452</f>
        <v/>
      </c>
      <c r="G452" s="330" t="str">
        <f>'סיכום לוועדה'!F452</f>
        <v/>
      </c>
      <c r="H452" s="317" t="str">
        <f>'סיכום לוועדה'!G452</f>
        <v/>
      </c>
      <c r="I452" s="318" t="str">
        <f>'סיכום לוועדה'!U452</f>
        <v/>
      </c>
      <c r="J452" s="319" t="str">
        <f>'סיכום לוועדה'!T452</f>
        <v/>
      </c>
      <c r="K452" s="320" t="str">
        <f t="shared" si="116"/>
        <v/>
      </c>
      <c r="L452" s="319" t="str">
        <f t="shared" si="117"/>
        <v/>
      </c>
      <c r="M452" s="331" t="str">
        <f>'תחום תמיכה ב'!AF452</f>
        <v/>
      </c>
      <c r="N452" s="319" t="str">
        <f t="shared" si="114"/>
        <v/>
      </c>
      <c r="O452" s="321">
        <f t="shared" si="118"/>
        <v>0</v>
      </c>
      <c r="P452" s="322" t="str">
        <f t="shared" si="119"/>
        <v/>
      </c>
      <c r="Q452" s="322" t="str">
        <f t="shared" si="120"/>
        <v/>
      </c>
      <c r="R452" s="321">
        <f t="shared" si="121"/>
        <v>0</v>
      </c>
      <c r="S452" s="322" t="str">
        <f t="shared" si="122"/>
        <v/>
      </c>
      <c r="T452" s="322" t="str">
        <f t="shared" si="123"/>
        <v/>
      </c>
      <c r="U452" s="321">
        <f t="shared" si="124"/>
        <v>0</v>
      </c>
      <c r="V452" s="322" t="str">
        <f t="shared" si="125"/>
        <v/>
      </c>
      <c r="W452" s="322" t="str">
        <f t="shared" si="126"/>
        <v/>
      </c>
      <c r="X452" s="321">
        <f t="shared" si="127"/>
        <v>0</v>
      </c>
      <c r="Y452" s="322" t="str">
        <f t="shared" si="128"/>
        <v/>
      </c>
      <c r="Z452" s="322" t="str">
        <f t="shared" si="129"/>
        <v/>
      </c>
      <c r="AA452" s="323" t="str">
        <f t="shared" si="130"/>
        <v/>
      </c>
      <c r="AB452" s="323"/>
      <c r="AC452" s="323"/>
      <c r="AD452" s="323"/>
      <c r="AE452" s="323"/>
      <c r="AF452" s="324" t="str">
        <f t="shared" si="131"/>
        <v/>
      </c>
      <c r="AG452" s="312"/>
      <c r="AH452" s="312"/>
      <c r="AI452" s="325">
        <f t="shared" si="132"/>
        <v>0</v>
      </c>
      <c r="AJ452" s="312"/>
      <c r="AK452" s="312"/>
      <c r="AL452" s="312"/>
      <c r="AM452" s="312"/>
      <c r="AN452" s="312"/>
      <c r="AO452" s="312"/>
      <c r="AP452" s="312"/>
      <c r="AQ452" s="312"/>
      <c r="AR452" s="312"/>
      <c r="AS452" s="312"/>
      <c r="AT452" s="312"/>
      <c r="AU452" s="312"/>
      <c r="AV452" s="312"/>
      <c r="AW452" s="312"/>
      <c r="AX452" s="312"/>
      <c r="AY452" s="312"/>
      <c r="AZ452" s="312"/>
      <c r="BA452" s="312"/>
      <c r="BB452" s="312"/>
      <c r="BC452" s="312"/>
      <c r="BD452" s="312"/>
      <c r="BE452" s="312"/>
      <c r="BF452" s="312"/>
      <c r="BG452" s="312"/>
      <c r="BH452" s="312"/>
      <c r="BI452" s="312"/>
      <c r="BJ452" s="312"/>
      <c r="BK452" s="312"/>
      <c r="BL452" s="312"/>
      <c r="BM452" s="312"/>
      <c r="BN452" s="312"/>
      <c r="BO452" s="312"/>
      <c r="BP452" s="312"/>
      <c r="BQ452" s="312"/>
      <c r="BR452" s="312"/>
      <c r="BS452" s="312"/>
      <c r="BT452" s="312"/>
      <c r="BU452" s="312"/>
      <c r="BV452" s="312"/>
      <c r="BW452" s="312"/>
      <c r="BX452" s="312"/>
      <c r="BY452" s="312"/>
      <c r="BZ452" s="312"/>
      <c r="CA452" s="312"/>
      <c r="CB452" s="312"/>
      <c r="CC452" s="312"/>
      <c r="CD452" s="312"/>
      <c r="CE452" s="312"/>
      <c r="CF452" s="312"/>
      <c r="CG452" s="312"/>
      <c r="CH452" s="312"/>
      <c r="CI452" s="312"/>
      <c r="CJ452" s="312"/>
      <c r="CK452" s="312"/>
      <c r="CL452" s="312"/>
      <c r="CM452" s="312"/>
      <c r="CN452" s="312"/>
      <c r="CO452" s="312"/>
      <c r="CP452" s="312"/>
      <c r="CQ452" s="312"/>
      <c r="CR452" s="312"/>
      <c r="CS452" s="312"/>
      <c r="CT452" s="312"/>
      <c r="CU452" s="312"/>
      <c r="CV452" s="312"/>
      <c r="CW452" s="312"/>
      <c r="CX452" s="312"/>
      <c r="CY452" s="312"/>
      <c r="CZ452" s="312"/>
      <c r="DA452" s="312"/>
      <c r="DB452" s="312"/>
      <c r="DC452" s="312"/>
      <c r="DD452" s="312"/>
      <c r="DE452" s="312"/>
      <c r="DF452" s="312"/>
      <c r="DG452" s="312"/>
      <c r="DH452" s="312"/>
      <c r="DI452" s="312"/>
      <c r="DJ452" s="312"/>
      <c r="DK452" s="312"/>
      <c r="DL452" s="312"/>
      <c r="DM452" s="312"/>
      <c r="DN452" s="312"/>
      <c r="DO452" s="312"/>
      <c r="DP452" s="312"/>
      <c r="DQ452" s="312"/>
      <c r="DR452" s="312"/>
      <c r="DS452" s="312"/>
      <c r="DT452" s="312"/>
      <c r="DU452" s="312"/>
      <c r="DV452" s="312"/>
      <c r="DW452" s="312"/>
      <c r="DX452" s="312"/>
      <c r="DY452" s="312"/>
      <c r="DZ452" s="312"/>
      <c r="EA452" s="312"/>
      <c r="EB452" s="312"/>
      <c r="EC452" s="312"/>
      <c r="ED452" s="312"/>
      <c r="EE452" s="312"/>
      <c r="EF452" s="312"/>
      <c r="EG452" s="312"/>
      <c r="EH452" s="312"/>
      <c r="EI452" s="312"/>
      <c r="EJ452" s="312"/>
      <c r="EK452" s="312"/>
      <c r="EL452" s="312"/>
      <c r="EM452" s="312"/>
      <c r="EN452" s="312"/>
      <c r="EO452" s="312"/>
      <c r="EP452" s="312"/>
      <c r="EQ452" s="312"/>
      <c r="ER452" s="312"/>
      <c r="ES452" s="312"/>
      <c r="ET452" s="312"/>
      <c r="EU452" s="312"/>
      <c r="EV452" s="312"/>
      <c r="EW452" s="312"/>
      <c r="EX452" s="312"/>
      <c r="EY452" s="312"/>
      <c r="EZ452" s="312"/>
      <c r="FA452" s="312"/>
      <c r="FB452" s="312"/>
      <c r="FC452" s="312"/>
      <c r="FD452" s="312"/>
      <c r="FE452" s="312"/>
      <c r="FF452" s="312"/>
      <c r="FG452" s="312"/>
      <c r="FH452" s="312"/>
      <c r="FI452" s="312"/>
      <c r="FJ452" s="312"/>
      <c r="FK452" s="312"/>
      <c r="FL452" s="312"/>
      <c r="FM452" s="312"/>
      <c r="FN452" s="312"/>
      <c r="FO452" s="312"/>
      <c r="FP452" s="312"/>
      <c r="FQ452" s="312"/>
      <c r="FR452" s="312"/>
      <c r="FS452" s="312"/>
      <c r="FT452" s="312"/>
      <c r="FU452" s="312"/>
      <c r="FV452" s="312"/>
      <c r="FW452" s="312"/>
      <c r="FX452" s="312"/>
      <c r="FY452" s="312"/>
      <c r="FZ452" s="312"/>
      <c r="GA452" s="312"/>
      <c r="GB452" s="312"/>
      <c r="GC452" s="312"/>
      <c r="GD452" s="312"/>
      <c r="GE452" s="312"/>
      <c r="GF452" s="312"/>
      <c r="GG452" s="312"/>
      <c r="GH452" s="312"/>
      <c r="GI452" s="312"/>
      <c r="GJ452" s="312"/>
      <c r="GK452" s="312"/>
      <c r="GL452" s="312"/>
      <c r="GM452" s="312"/>
      <c r="GN452" s="312"/>
      <c r="GO452" s="312"/>
      <c r="GP452" s="312"/>
      <c r="GQ452" s="312"/>
      <c r="GR452" s="312"/>
      <c r="GS452" s="312"/>
      <c r="GT452" s="312"/>
      <c r="GU452" s="312"/>
      <c r="GV452" s="312"/>
      <c r="GW452" s="312"/>
      <c r="GX452" s="312"/>
      <c r="GY452" s="312"/>
    </row>
    <row r="453" spans="2:207" ht="15.75" x14ac:dyDescent="0.25">
      <c r="B453" s="316" t="str">
        <f t="shared" si="115"/>
        <v/>
      </c>
      <c r="C453" s="330" t="str">
        <f>'סיכום לוועדה'!B453</f>
        <v/>
      </c>
      <c r="D453" s="330" t="str">
        <f>'סיכום לוועדה'!C453</f>
        <v/>
      </c>
      <c r="E453" s="330" t="str">
        <f>'סיכום לוועדה'!D453</f>
        <v/>
      </c>
      <c r="F453" s="330" t="str">
        <f>'סיכום לוועדה'!E453</f>
        <v/>
      </c>
      <c r="G453" s="330" t="str">
        <f>'סיכום לוועדה'!F453</f>
        <v/>
      </c>
      <c r="H453" s="317" t="str">
        <f>'סיכום לוועדה'!G453</f>
        <v/>
      </c>
      <c r="I453" s="318" t="str">
        <f>'סיכום לוועדה'!U453</f>
        <v/>
      </c>
      <c r="J453" s="319" t="str">
        <f>'סיכום לוועדה'!T453</f>
        <v/>
      </c>
      <c r="K453" s="320" t="str">
        <f t="shared" si="116"/>
        <v/>
      </c>
      <c r="L453" s="319" t="str">
        <f t="shared" si="117"/>
        <v/>
      </c>
      <c r="M453" s="331" t="str">
        <f>'תחום תמיכה ב'!AF453</f>
        <v/>
      </c>
      <c r="N453" s="319" t="str">
        <f t="shared" si="114"/>
        <v/>
      </c>
      <c r="O453" s="321">
        <f t="shared" si="118"/>
        <v>0</v>
      </c>
      <c r="P453" s="322" t="str">
        <f t="shared" si="119"/>
        <v/>
      </c>
      <c r="Q453" s="322" t="str">
        <f t="shared" si="120"/>
        <v/>
      </c>
      <c r="R453" s="321">
        <f t="shared" si="121"/>
        <v>0</v>
      </c>
      <c r="S453" s="322" t="str">
        <f t="shared" si="122"/>
        <v/>
      </c>
      <c r="T453" s="322" t="str">
        <f t="shared" si="123"/>
        <v/>
      </c>
      <c r="U453" s="321">
        <f t="shared" si="124"/>
        <v>0</v>
      </c>
      <c r="V453" s="322" t="str">
        <f t="shared" si="125"/>
        <v/>
      </c>
      <c r="W453" s="322" t="str">
        <f t="shared" si="126"/>
        <v/>
      </c>
      <c r="X453" s="321">
        <f t="shared" si="127"/>
        <v>0</v>
      </c>
      <c r="Y453" s="322" t="str">
        <f t="shared" si="128"/>
        <v/>
      </c>
      <c r="Z453" s="322" t="str">
        <f t="shared" si="129"/>
        <v/>
      </c>
      <c r="AA453" s="323" t="str">
        <f t="shared" si="130"/>
        <v/>
      </c>
      <c r="AB453" s="323"/>
      <c r="AC453" s="323"/>
      <c r="AD453" s="323"/>
      <c r="AE453" s="323"/>
      <c r="AF453" s="324" t="str">
        <f t="shared" si="131"/>
        <v/>
      </c>
      <c r="AG453" s="312"/>
      <c r="AH453" s="312"/>
      <c r="AI453" s="325">
        <f t="shared" si="132"/>
        <v>0</v>
      </c>
      <c r="AJ453" s="312"/>
      <c r="AK453" s="312"/>
      <c r="AL453" s="312"/>
      <c r="AM453" s="312"/>
      <c r="AN453" s="312"/>
      <c r="AO453" s="312"/>
      <c r="AP453" s="312"/>
      <c r="AQ453" s="312"/>
      <c r="AR453" s="312"/>
      <c r="AS453" s="312"/>
      <c r="AT453" s="312"/>
      <c r="AU453" s="312"/>
      <c r="AV453" s="312"/>
      <c r="AW453" s="312"/>
      <c r="AX453" s="312"/>
      <c r="AY453" s="312"/>
      <c r="AZ453" s="312"/>
      <c r="BA453" s="312"/>
      <c r="BB453" s="312"/>
      <c r="BC453" s="312"/>
      <c r="BD453" s="312"/>
      <c r="BE453" s="312"/>
      <c r="BF453" s="312"/>
      <c r="BG453" s="312"/>
      <c r="BH453" s="312"/>
      <c r="BI453" s="312"/>
      <c r="BJ453" s="312"/>
      <c r="BK453" s="312"/>
      <c r="BL453" s="312"/>
      <c r="BM453" s="312"/>
      <c r="BN453" s="312"/>
      <c r="BO453" s="312"/>
      <c r="BP453" s="312"/>
      <c r="BQ453" s="312"/>
      <c r="BR453" s="312"/>
      <c r="BS453" s="312"/>
      <c r="BT453" s="312"/>
      <c r="BU453" s="312"/>
      <c r="BV453" s="312"/>
      <c r="BW453" s="312"/>
      <c r="BX453" s="312"/>
      <c r="BY453" s="312"/>
      <c r="BZ453" s="312"/>
      <c r="CA453" s="312"/>
      <c r="CB453" s="312"/>
      <c r="CC453" s="312"/>
      <c r="CD453" s="312"/>
      <c r="CE453" s="312"/>
      <c r="CF453" s="312"/>
      <c r="CG453" s="312"/>
      <c r="CH453" s="312"/>
      <c r="CI453" s="312"/>
      <c r="CJ453" s="312"/>
      <c r="CK453" s="312"/>
      <c r="CL453" s="312"/>
      <c r="CM453" s="312"/>
      <c r="CN453" s="312"/>
      <c r="CO453" s="312"/>
      <c r="CP453" s="312"/>
      <c r="CQ453" s="312"/>
      <c r="CR453" s="312"/>
      <c r="CS453" s="312"/>
      <c r="CT453" s="312"/>
      <c r="CU453" s="312"/>
      <c r="CV453" s="312"/>
      <c r="CW453" s="312"/>
      <c r="CX453" s="312"/>
      <c r="CY453" s="312"/>
      <c r="CZ453" s="312"/>
      <c r="DA453" s="312"/>
      <c r="DB453" s="312"/>
      <c r="DC453" s="312"/>
      <c r="DD453" s="312"/>
      <c r="DE453" s="312"/>
      <c r="DF453" s="312"/>
      <c r="DG453" s="312"/>
      <c r="DH453" s="312"/>
      <c r="DI453" s="312"/>
      <c r="DJ453" s="312"/>
      <c r="DK453" s="312"/>
      <c r="DL453" s="312"/>
      <c r="DM453" s="312"/>
      <c r="DN453" s="312"/>
      <c r="DO453" s="312"/>
      <c r="DP453" s="312"/>
      <c r="DQ453" s="312"/>
      <c r="DR453" s="312"/>
      <c r="DS453" s="312"/>
      <c r="DT453" s="312"/>
      <c r="DU453" s="312"/>
      <c r="DV453" s="312"/>
      <c r="DW453" s="312"/>
      <c r="DX453" s="312"/>
      <c r="DY453" s="312"/>
      <c r="DZ453" s="312"/>
      <c r="EA453" s="312"/>
      <c r="EB453" s="312"/>
      <c r="EC453" s="312"/>
      <c r="ED453" s="312"/>
      <c r="EE453" s="312"/>
      <c r="EF453" s="312"/>
      <c r="EG453" s="312"/>
      <c r="EH453" s="312"/>
      <c r="EI453" s="312"/>
      <c r="EJ453" s="312"/>
      <c r="EK453" s="312"/>
      <c r="EL453" s="312"/>
      <c r="EM453" s="312"/>
      <c r="EN453" s="312"/>
      <c r="EO453" s="312"/>
      <c r="EP453" s="312"/>
      <c r="EQ453" s="312"/>
      <c r="ER453" s="312"/>
      <c r="ES453" s="312"/>
      <c r="ET453" s="312"/>
      <c r="EU453" s="312"/>
      <c r="EV453" s="312"/>
      <c r="EW453" s="312"/>
      <c r="EX453" s="312"/>
      <c r="EY453" s="312"/>
      <c r="EZ453" s="312"/>
      <c r="FA453" s="312"/>
      <c r="FB453" s="312"/>
      <c r="FC453" s="312"/>
      <c r="FD453" s="312"/>
      <c r="FE453" s="312"/>
      <c r="FF453" s="312"/>
      <c r="FG453" s="312"/>
      <c r="FH453" s="312"/>
      <c r="FI453" s="312"/>
      <c r="FJ453" s="312"/>
      <c r="FK453" s="312"/>
      <c r="FL453" s="312"/>
      <c r="FM453" s="312"/>
      <c r="FN453" s="312"/>
      <c r="FO453" s="312"/>
      <c r="FP453" s="312"/>
      <c r="FQ453" s="312"/>
      <c r="FR453" s="312"/>
      <c r="FS453" s="312"/>
      <c r="FT453" s="312"/>
      <c r="FU453" s="312"/>
      <c r="FV453" s="312"/>
      <c r="FW453" s="312"/>
      <c r="FX453" s="312"/>
      <c r="FY453" s="312"/>
      <c r="FZ453" s="312"/>
      <c r="GA453" s="312"/>
      <c r="GB453" s="312"/>
      <c r="GC453" s="312"/>
      <c r="GD453" s="312"/>
      <c r="GE453" s="312"/>
      <c r="GF453" s="312"/>
      <c r="GG453" s="312"/>
      <c r="GH453" s="312"/>
      <c r="GI453" s="312"/>
      <c r="GJ453" s="312"/>
      <c r="GK453" s="312"/>
      <c r="GL453" s="312"/>
      <c r="GM453" s="312"/>
      <c r="GN453" s="312"/>
      <c r="GO453" s="312"/>
      <c r="GP453" s="312"/>
      <c r="GQ453" s="312"/>
      <c r="GR453" s="312"/>
      <c r="GS453" s="312"/>
      <c r="GT453" s="312"/>
      <c r="GU453" s="312"/>
      <c r="GV453" s="312"/>
      <c r="GW453" s="312"/>
      <c r="GX453" s="312"/>
      <c r="GY453" s="312"/>
    </row>
    <row r="454" spans="2:207" ht="15.75" x14ac:dyDescent="0.25">
      <c r="B454" s="316" t="str">
        <f t="shared" si="115"/>
        <v/>
      </c>
      <c r="C454" s="330" t="str">
        <f>'סיכום לוועדה'!B454</f>
        <v/>
      </c>
      <c r="D454" s="330" t="str">
        <f>'סיכום לוועדה'!C454</f>
        <v/>
      </c>
      <c r="E454" s="330" t="str">
        <f>'סיכום לוועדה'!D454</f>
        <v/>
      </c>
      <c r="F454" s="330" t="str">
        <f>'סיכום לוועדה'!E454</f>
        <v/>
      </c>
      <c r="G454" s="330" t="str">
        <f>'סיכום לוועדה'!F454</f>
        <v/>
      </c>
      <c r="H454" s="317" t="str">
        <f>'סיכום לוועדה'!G454</f>
        <v/>
      </c>
      <c r="I454" s="318" t="str">
        <f>'סיכום לוועדה'!U454</f>
        <v/>
      </c>
      <c r="J454" s="319" t="str">
        <f>'סיכום לוועדה'!T454</f>
        <v/>
      </c>
      <c r="K454" s="320" t="str">
        <f t="shared" si="116"/>
        <v/>
      </c>
      <c r="L454" s="319" t="str">
        <f t="shared" si="117"/>
        <v/>
      </c>
      <c r="M454" s="331" t="str">
        <f>'תחום תמיכה ב'!AF454</f>
        <v/>
      </c>
      <c r="N454" s="319" t="str">
        <f t="shared" si="114"/>
        <v/>
      </c>
      <c r="O454" s="321">
        <f t="shared" si="118"/>
        <v>0</v>
      </c>
      <c r="P454" s="322" t="str">
        <f t="shared" si="119"/>
        <v/>
      </c>
      <c r="Q454" s="322" t="str">
        <f t="shared" si="120"/>
        <v/>
      </c>
      <c r="R454" s="321">
        <f t="shared" si="121"/>
        <v>0</v>
      </c>
      <c r="S454" s="322" t="str">
        <f t="shared" si="122"/>
        <v/>
      </c>
      <c r="T454" s="322" t="str">
        <f t="shared" si="123"/>
        <v/>
      </c>
      <c r="U454" s="321">
        <f t="shared" si="124"/>
        <v>0</v>
      </c>
      <c r="V454" s="322" t="str">
        <f t="shared" si="125"/>
        <v/>
      </c>
      <c r="W454" s="322" t="str">
        <f t="shared" si="126"/>
        <v/>
      </c>
      <c r="X454" s="321">
        <f t="shared" si="127"/>
        <v>0</v>
      </c>
      <c r="Y454" s="322" t="str">
        <f t="shared" si="128"/>
        <v/>
      </c>
      <c r="Z454" s="322" t="str">
        <f t="shared" si="129"/>
        <v/>
      </c>
      <c r="AA454" s="323" t="str">
        <f t="shared" si="130"/>
        <v/>
      </c>
      <c r="AB454" s="323"/>
      <c r="AC454" s="323"/>
      <c r="AD454" s="323"/>
      <c r="AE454" s="323"/>
      <c r="AF454" s="324" t="str">
        <f t="shared" si="131"/>
        <v/>
      </c>
      <c r="AG454" s="312"/>
      <c r="AH454" s="312"/>
      <c r="AI454" s="325">
        <f t="shared" si="132"/>
        <v>0</v>
      </c>
      <c r="AJ454" s="312"/>
      <c r="AK454" s="312"/>
      <c r="AL454" s="312"/>
      <c r="AM454" s="312"/>
      <c r="AN454" s="312"/>
      <c r="AO454" s="312"/>
      <c r="AP454" s="312"/>
      <c r="AQ454" s="312"/>
      <c r="AR454" s="312"/>
      <c r="AS454" s="312"/>
      <c r="AT454" s="312"/>
      <c r="AU454" s="312"/>
      <c r="AV454" s="312"/>
      <c r="AW454" s="312"/>
      <c r="AX454" s="312"/>
      <c r="AY454" s="312"/>
      <c r="AZ454" s="312"/>
      <c r="BA454" s="312"/>
      <c r="BB454" s="312"/>
      <c r="BC454" s="312"/>
      <c r="BD454" s="312"/>
      <c r="BE454" s="312"/>
      <c r="BF454" s="312"/>
      <c r="BG454" s="312"/>
      <c r="BH454" s="312"/>
      <c r="BI454" s="312"/>
      <c r="BJ454" s="312"/>
      <c r="BK454" s="312"/>
      <c r="BL454" s="312"/>
      <c r="BM454" s="312"/>
      <c r="BN454" s="312"/>
      <c r="BO454" s="312"/>
      <c r="BP454" s="312"/>
      <c r="BQ454" s="312"/>
      <c r="BR454" s="312"/>
      <c r="BS454" s="312"/>
      <c r="BT454" s="312"/>
      <c r="BU454" s="312"/>
      <c r="BV454" s="312"/>
      <c r="BW454" s="312"/>
      <c r="BX454" s="312"/>
      <c r="BY454" s="312"/>
      <c r="BZ454" s="312"/>
      <c r="CA454" s="312"/>
      <c r="CB454" s="312"/>
      <c r="CC454" s="312"/>
      <c r="CD454" s="312"/>
      <c r="CE454" s="312"/>
      <c r="CF454" s="312"/>
      <c r="CG454" s="312"/>
      <c r="CH454" s="312"/>
      <c r="CI454" s="312"/>
      <c r="CJ454" s="312"/>
      <c r="CK454" s="312"/>
      <c r="CL454" s="312"/>
      <c r="CM454" s="312"/>
      <c r="CN454" s="312"/>
      <c r="CO454" s="312"/>
      <c r="CP454" s="312"/>
      <c r="CQ454" s="312"/>
      <c r="CR454" s="312"/>
      <c r="CS454" s="312"/>
      <c r="CT454" s="312"/>
      <c r="CU454" s="312"/>
      <c r="CV454" s="312"/>
      <c r="CW454" s="312"/>
      <c r="CX454" s="312"/>
      <c r="CY454" s="312"/>
      <c r="CZ454" s="312"/>
      <c r="DA454" s="312"/>
      <c r="DB454" s="312"/>
      <c r="DC454" s="312"/>
      <c r="DD454" s="312"/>
      <c r="DE454" s="312"/>
      <c r="DF454" s="312"/>
      <c r="DG454" s="312"/>
      <c r="DH454" s="312"/>
      <c r="DI454" s="312"/>
      <c r="DJ454" s="312"/>
      <c r="DK454" s="312"/>
      <c r="DL454" s="312"/>
      <c r="DM454" s="312"/>
      <c r="DN454" s="312"/>
      <c r="DO454" s="312"/>
      <c r="DP454" s="312"/>
      <c r="DQ454" s="312"/>
      <c r="DR454" s="312"/>
      <c r="DS454" s="312"/>
      <c r="DT454" s="312"/>
      <c r="DU454" s="312"/>
      <c r="DV454" s="312"/>
      <c r="DW454" s="312"/>
      <c r="DX454" s="312"/>
      <c r="DY454" s="312"/>
      <c r="DZ454" s="312"/>
      <c r="EA454" s="312"/>
      <c r="EB454" s="312"/>
      <c r="EC454" s="312"/>
      <c r="ED454" s="312"/>
      <c r="EE454" s="312"/>
      <c r="EF454" s="312"/>
      <c r="EG454" s="312"/>
      <c r="EH454" s="312"/>
      <c r="EI454" s="312"/>
      <c r="EJ454" s="312"/>
      <c r="EK454" s="312"/>
      <c r="EL454" s="312"/>
      <c r="EM454" s="312"/>
      <c r="EN454" s="312"/>
      <c r="EO454" s="312"/>
      <c r="EP454" s="312"/>
      <c r="EQ454" s="312"/>
      <c r="ER454" s="312"/>
      <c r="ES454" s="312"/>
      <c r="ET454" s="312"/>
      <c r="EU454" s="312"/>
      <c r="EV454" s="312"/>
      <c r="EW454" s="312"/>
      <c r="EX454" s="312"/>
      <c r="EY454" s="312"/>
      <c r="EZ454" s="312"/>
      <c r="FA454" s="312"/>
      <c r="FB454" s="312"/>
      <c r="FC454" s="312"/>
      <c r="FD454" s="312"/>
      <c r="FE454" s="312"/>
      <c r="FF454" s="312"/>
      <c r="FG454" s="312"/>
      <c r="FH454" s="312"/>
      <c r="FI454" s="312"/>
      <c r="FJ454" s="312"/>
      <c r="FK454" s="312"/>
      <c r="FL454" s="312"/>
      <c r="FM454" s="312"/>
      <c r="FN454" s="312"/>
      <c r="FO454" s="312"/>
      <c r="FP454" s="312"/>
      <c r="FQ454" s="312"/>
      <c r="FR454" s="312"/>
      <c r="FS454" s="312"/>
      <c r="FT454" s="312"/>
      <c r="FU454" s="312"/>
      <c r="FV454" s="312"/>
      <c r="FW454" s="312"/>
      <c r="FX454" s="312"/>
      <c r="FY454" s="312"/>
      <c r="FZ454" s="312"/>
      <c r="GA454" s="312"/>
      <c r="GB454" s="312"/>
      <c r="GC454" s="312"/>
      <c r="GD454" s="312"/>
      <c r="GE454" s="312"/>
      <c r="GF454" s="312"/>
      <c r="GG454" s="312"/>
      <c r="GH454" s="312"/>
      <c r="GI454" s="312"/>
      <c r="GJ454" s="312"/>
      <c r="GK454" s="312"/>
      <c r="GL454" s="312"/>
      <c r="GM454" s="312"/>
      <c r="GN454" s="312"/>
      <c r="GO454" s="312"/>
      <c r="GP454" s="312"/>
      <c r="GQ454" s="312"/>
      <c r="GR454" s="312"/>
      <c r="GS454" s="312"/>
      <c r="GT454" s="312"/>
      <c r="GU454" s="312"/>
      <c r="GV454" s="312"/>
      <c r="GW454" s="312"/>
      <c r="GX454" s="312"/>
      <c r="GY454" s="312"/>
    </row>
    <row r="455" spans="2:207" ht="15.75" x14ac:dyDescent="0.25">
      <c r="B455" s="316" t="str">
        <f t="shared" si="115"/>
        <v/>
      </c>
      <c r="C455" s="330" t="str">
        <f>'סיכום לוועדה'!B455</f>
        <v/>
      </c>
      <c r="D455" s="330" t="str">
        <f>'סיכום לוועדה'!C455</f>
        <v/>
      </c>
      <c r="E455" s="330" t="str">
        <f>'סיכום לוועדה'!D455</f>
        <v/>
      </c>
      <c r="F455" s="330" t="str">
        <f>'סיכום לוועדה'!E455</f>
        <v/>
      </c>
      <c r="G455" s="330" t="str">
        <f>'סיכום לוועדה'!F455</f>
        <v/>
      </c>
      <c r="H455" s="317" t="str">
        <f>'סיכום לוועדה'!G455</f>
        <v/>
      </c>
      <c r="I455" s="318" t="str">
        <f>'סיכום לוועדה'!U455</f>
        <v/>
      </c>
      <c r="J455" s="319" t="str">
        <f>'סיכום לוועדה'!T455</f>
        <v/>
      </c>
      <c r="K455" s="320" t="str">
        <f t="shared" si="116"/>
        <v/>
      </c>
      <c r="L455" s="319" t="str">
        <f t="shared" si="117"/>
        <v/>
      </c>
      <c r="M455" s="331" t="str">
        <f>'תחום תמיכה ב'!AF455</f>
        <v/>
      </c>
      <c r="N455" s="319" t="str">
        <f t="shared" si="114"/>
        <v/>
      </c>
      <c r="O455" s="321">
        <f t="shared" si="118"/>
        <v>0</v>
      </c>
      <c r="P455" s="322" t="str">
        <f t="shared" si="119"/>
        <v/>
      </c>
      <c r="Q455" s="322" t="str">
        <f t="shared" si="120"/>
        <v/>
      </c>
      <c r="R455" s="321">
        <f t="shared" si="121"/>
        <v>0</v>
      </c>
      <c r="S455" s="322" t="str">
        <f t="shared" si="122"/>
        <v/>
      </c>
      <c r="T455" s="322" t="str">
        <f t="shared" si="123"/>
        <v/>
      </c>
      <c r="U455" s="321">
        <f t="shared" si="124"/>
        <v>0</v>
      </c>
      <c r="V455" s="322" t="str">
        <f t="shared" si="125"/>
        <v/>
      </c>
      <c r="W455" s="322" t="str">
        <f t="shared" si="126"/>
        <v/>
      </c>
      <c r="X455" s="321">
        <f t="shared" si="127"/>
        <v>0</v>
      </c>
      <c r="Y455" s="322" t="str">
        <f t="shared" si="128"/>
        <v/>
      </c>
      <c r="Z455" s="322" t="str">
        <f t="shared" si="129"/>
        <v/>
      </c>
      <c r="AA455" s="323" t="str">
        <f t="shared" si="130"/>
        <v/>
      </c>
      <c r="AB455" s="323"/>
      <c r="AC455" s="323"/>
      <c r="AD455" s="323"/>
      <c r="AE455" s="323"/>
      <c r="AF455" s="324" t="str">
        <f t="shared" si="131"/>
        <v/>
      </c>
      <c r="AG455" s="312"/>
      <c r="AH455" s="312"/>
      <c r="AI455" s="325">
        <f t="shared" si="132"/>
        <v>0</v>
      </c>
      <c r="AJ455" s="312"/>
      <c r="AK455" s="312"/>
      <c r="AL455" s="312"/>
      <c r="AM455" s="312"/>
      <c r="AN455" s="312"/>
      <c r="AO455" s="312"/>
      <c r="AP455" s="312"/>
      <c r="AQ455" s="312"/>
      <c r="AR455" s="312"/>
      <c r="AS455" s="312"/>
      <c r="AT455" s="312"/>
      <c r="AU455" s="312"/>
      <c r="AV455" s="312"/>
      <c r="AW455" s="312"/>
      <c r="AX455" s="312"/>
      <c r="AY455" s="312"/>
      <c r="AZ455" s="312"/>
      <c r="BA455" s="312"/>
      <c r="BB455" s="312"/>
      <c r="BC455" s="312"/>
      <c r="BD455" s="312"/>
      <c r="BE455" s="312"/>
      <c r="BF455" s="312"/>
      <c r="BG455" s="312"/>
      <c r="BH455" s="312"/>
      <c r="BI455" s="312"/>
      <c r="BJ455" s="312"/>
      <c r="BK455" s="312"/>
      <c r="BL455" s="312"/>
      <c r="BM455" s="312"/>
      <c r="BN455" s="312"/>
      <c r="BO455" s="312"/>
      <c r="BP455" s="312"/>
      <c r="BQ455" s="312"/>
      <c r="BR455" s="312"/>
      <c r="BS455" s="312"/>
      <c r="BT455" s="312"/>
      <c r="BU455" s="312"/>
      <c r="BV455" s="312"/>
      <c r="BW455" s="312"/>
      <c r="BX455" s="312"/>
      <c r="BY455" s="312"/>
      <c r="BZ455" s="312"/>
      <c r="CA455" s="312"/>
      <c r="CB455" s="312"/>
      <c r="CC455" s="312"/>
      <c r="CD455" s="312"/>
      <c r="CE455" s="312"/>
      <c r="CF455" s="312"/>
      <c r="CG455" s="312"/>
      <c r="CH455" s="312"/>
      <c r="CI455" s="312"/>
      <c r="CJ455" s="312"/>
      <c r="CK455" s="312"/>
      <c r="CL455" s="312"/>
      <c r="CM455" s="312"/>
      <c r="CN455" s="312"/>
      <c r="CO455" s="312"/>
      <c r="CP455" s="312"/>
      <c r="CQ455" s="312"/>
      <c r="CR455" s="312"/>
      <c r="CS455" s="312"/>
      <c r="CT455" s="312"/>
      <c r="CU455" s="312"/>
      <c r="CV455" s="312"/>
      <c r="CW455" s="312"/>
      <c r="CX455" s="312"/>
      <c r="CY455" s="312"/>
      <c r="CZ455" s="312"/>
      <c r="DA455" s="312"/>
      <c r="DB455" s="312"/>
      <c r="DC455" s="312"/>
      <c r="DD455" s="312"/>
      <c r="DE455" s="312"/>
      <c r="DF455" s="312"/>
      <c r="DG455" s="312"/>
      <c r="DH455" s="312"/>
      <c r="DI455" s="312"/>
      <c r="DJ455" s="312"/>
      <c r="DK455" s="312"/>
      <c r="DL455" s="312"/>
      <c r="DM455" s="312"/>
      <c r="DN455" s="312"/>
      <c r="DO455" s="312"/>
      <c r="DP455" s="312"/>
      <c r="DQ455" s="312"/>
      <c r="DR455" s="312"/>
      <c r="DS455" s="312"/>
      <c r="DT455" s="312"/>
      <c r="DU455" s="312"/>
      <c r="DV455" s="312"/>
      <c r="DW455" s="312"/>
      <c r="DX455" s="312"/>
      <c r="DY455" s="312"/>
      <c r="DZ455" s="312"/>
      <c r="EA455" s="312"/>
      <c r="EB455" s="312"/>
      <c r="EC455" s="312"/>
      <c r="ED455" s="312"/>
      <c r="EE455" s="312"/>
      <c r="EF455" s="312"/>
      <c r="EG455" s="312"/>
      <c r="EH455" s="312"/>
      <c r="EI455" s="312"/>
      <c r="EJ455" s="312"/>
      <c r="EK455" s="312"/>
      <c r="EL455" s="312"/>
      <c r="EM455" s="312"/>
      <c r="EN455" s="312"/>
      <c r="EO455" s="312"/>
      <c r="EP455" s="312"/>
      <c r="EQ455" s="312"/>
      <c r="ER455" s="312"/>
      <c r="ES455" s="312"/>
      <c r="ET455" s="312"/>
      <c r="EU455" s="312"/>
      <c r="EV455" s="312"/>
      <c r="EW455" s="312"/>
      <c r="EX455" s="312"/>
      <c r="EY455" s="312"/>
      <c r="EZ455" s="312"/>
      <c r="FA455" s="312"/>
      <c r="FB455" s="312"/>
      <c r="FC455" s="312"/>
      <c r="FD455" s="312"/>
      <c r="FE455" s="312"/>
      <c r="FF455" s="312"/>
      <c r="FG455" s="312"/>
      <c r="FH455" s="312"/>
      <c r="FI455" s="312"/>
      <c r="FJ455" s="312"/>
      <c r="FK455" s="312"/>
      <c r="FL455" s="312"/>
      <c r="FM455" s="312"/>
      <c r="FN455" s="312"/>
      <c r="FO455" s="312"/>
      <c r="FP455" s="312"/>
      <c r="FQ455" s="312"/>
      <c r="FR455" s="312"/>
      <c r="FS455" s="312"/>
      <c r="FT455" s="312"/>
      <c r="FU455" s="312"/>
      <c r="FV455" s="312"/>
      <c r="FW455" s="312"/>
      <c r="FX455" s="312"/>
      <c r="FY455" s="312"/>
      <c r="FZ455" s="312"/>
      <c r="GA455" s="312"/>
      <c r="GB455" s="312"/>
      <c r="GC455" s="312"/>
      <c r="GD455" s="312"/>
      <c r="GE455" s="312"/>
      <c r="GF455" s="312"/>
      <c r="GG455" s="312"/>
      <c r="GH455" s="312"/>
      <c r="GI455" s="312"/>
      <c r="GJ455" s="312"/>
      <c r="GK455" s="312"/>
      <c r="GL455" s="312"/>
      <c r="GM455" s="312"/>
      <c r="GN455" s="312"/>
      <c r="GO455" s="312"/>
      <c r="GP455" s="312"/>
      <c r="GQ455" s="312"/>
      <c r="GR455" s="312"/>
      <c r="GS455" s="312"/>
      <c r="GT455" s="312"/>
      <c r="GU455" s="312"/>
      <c r="GV455" s="312"/>
      <c r="GW455" s="312"/>
      <c r="GX455" s="312"/>
      <c r="GY455" s="312"/>
    </row>
    <row r="456" spans="2:207" ht="15.75" x14ac:dyDescent="0.25">
      <c r="B456" s="316" t="str">
        <f t="shared" si="115"/>
        <v/>
      </c>
      <c r="C456" s="330" t="str">
        <f>'סיכום לוועדה'!B456</f>
        <v/>
      </c>
      <c r="D456" s="330" t="str">
        <f>'סיכום לוועדה'!C456</f>
        <v/>
      </c>
      <c r="E456" s="330" t="str">
        <f>'סיכום לוועדה'!D456</f>
        <v/>
      </c>
      <c r="F456" s="330" t="str">
        <f>'סיכום לוועדה'!E456</f>
        <v/>
      </c>
      <c r="G456" s="330" t="str">
        <f>'סיכום לוועדה'!F456</f>
        <v/>
      </c>
      <c r="H456" s="317" t="str">
        <f>'סיכום לוועדה'!G456</f>
        <v/>
      </c>
      <c r="I456" s="318" t="str">
        <f>'סיכום לוועדה'!U456</f>
        <v/>
      </c>
      <c r="J456" s="319" t="str">
        <f>'סיכום לוועדה'!T456</f>
        <v/>
      </c>
      <c r="K456" s="320" t="str">
        <f t="shared" si="116"/>
        <v/>
      </c>
      <c r="L456" s="319" t="str">
        <f t="shared" si="117"/>
        <v/>
      </c>
      <c r="M456" s="331" t="str">
        <f>'תחום תמיכה ב'!AF456</f>
        <v/>
      </c>
      <c r="N456" s="319" t="str">
        <f t="shared" si="114"/>
        <v/>
      </c>
      <c r="O456" s="321">
        <f t="shared" si="118"/>
        <v>0</v>
      </c>
      <c r="P456" s="322" t="str">
        <f t="shared" si="119"/>
        <v/>
      </c>
      <c r="Q456" s="322" t="str">
        <f t="shared" si="120"/>
        <v/>
      </c>
      <c r="R456" s="321">
        <f t="shared" si="121"/>
        <v>0</v>
      </c>
      <c r="S456" s="322" t="str">
        <f t="shared" si="122"/>
        <v/>
      </c>
      <c r="T456" s="322" t="str">
        <f t="shared" si="123"/>
        <v/>
      </c>
      <c r="U456" s="321">
        <f t="shared" si="124"/>
        <v>0</v>
      </c>
      <c r="V456" s="322" t="str">
        <f t="shared" si="125"/>
        <v/>
      </c>
      <c r="W456" s="322" t="str">
        <f t="shared" si="126"/>
        <v/>
      </c>
      <c r="X456" s="321">
        <f t="shared" si="127"/>
        <v>0</v>
      </c>
      <c r="Y456" s="322" t="str">
        <f t="shared" si="128"/>
        <v/>
      </c>
      <c r="Z456" s="322" t="str">
        <f t="shared" si="129"/>
        <v/>
      </c>
      <c r="AA456" s="323" t="str">
        <f t="shared" si="130"/>
        <v/>
      </c>
      <c r="AB456" s="323"/>
      <c r="AC456" s="323"/>
      <c r="AD456" s="323"/>
      <c r="AE456" s="323"/>
      <c r="AF456" s="324" t="str">
        <f t="shared" si="131"/>
        <v/>
      </c>
      <c r="AG456" s="312"/>
      <c r="AH456" s="312"/>
      <c r="AI456" s="325">
        <f t="shared" si="132"/>
        <v>0</v>
      </c>
      <c r="AJ456" s="312"/>
      <c r="AK456" s="312"/>
      <c r="AL456" s="312"/>
      <c r="AM456" s="312"/>
      <c r="AN456" s="312"/>
      <c r="AO456" s="312"/>
      <c r="AP456" s="312"/>
      <c r="AQ456" s="312"/>
      <c r="AR456" s="312"/>
      <c r="AS456" s="312"/>
      <c r="AT456" s="312"/>
      <c r="AU456" s="312"/>
      <c r="AV456" s="312"/>
      <c r="AW456" s="312"/>
      <c r="AX456" s="312"/>
      <c r="AY456" s="312"/>
      <c r="AZ456" s="312"/>
      <c r="BA456" s="312"/>
      <c r="BB456" s="312"/>
      <c r="BC456" s="312"/>
      <c r="BD456" s="312"/>
      <c r="BE456" s="312"/>
      <c r="BF456" s="312"/>
      <c r="BG456" s="312"/>
      <c r="BH456" s="312"/>
      <c r="BI456" s="312"/>
      <c r="BJ456" s="312"/>
      <c r="BK456" s="312"/>
      <c r="BL456" s="312"/>
      <c r="BM456" s="312"/>
      <c r="BN456" s="312"/>
      <c r="BO456" s="312"/>
      <c r="BP456" s="312"/>
      <c r="BQ456" s="312"/>
      <c r="BR456" s="312"/>
      <c r="BS456" s="312"/>
      <c r="BT456" s="312"/>
      <c r="BU456" s="312"/>
      <c r="BV456" s="312"/>
      <c r="BW456" s="312"/>
      <c r="BX456" s="312"/>
      <c r="BY456" s="312"/>
      <c r="BZ456" s="312"/>
      <c r="CA456" s="312"/>
      <c r="CB456" s="312"/>
      <c r="CC456" s="312"/>
      <c r="CD456" s="312"/>
      <c r="CE456" s="312"/>
      <c r="CF456" s="312"/>
      <c r="CG456" s="312"/>
      <c r="CH456" s="312"/>
      <c r="CI456" s="312"/>
      <c r="CJ456" s="312"/>
      <c r="CK456" s="312"/>
      <c r="CL456" s="312"/>
      <c r="CM456" s="312"/>
      <c r="CN456" s="312"/>
      <c r="CO456" s="312"/>
      <c r="CP456" s="312"/>
      <c r="CQ456" s="312"/>
      <c r="CR456" s="312"/>
      <c r="CS456" s="312"/>
      <c r="CT456" s="312"/>
      <c r="CU456" s="312"/>
      <c r="CV456" s="312"/>
      <c r="CW456" s="312"/>
      <c r="CX456" s="312"/>
      <c r="CY456" s="312"/>
      <c r="CZ456" s="312"/>
      <c r="DA456" s="312"/>
      <c r="DB456" s="312"/>
      <c r="DC456" s="312"/>
      <c r="DD456" s="312"/>
      <c r="DE456" s="312"/>
      <c r="DF456" s="312"/>
      <c r="DG456" s="312"/>
      <c r="DH456" s="312"/>
      <c r="DI456" s="312"/>
      <c r="DJ456" s="312"/>
      <c r="DK456" s="312"/>
      <c r="DL456" s="312"/>
      <c r="DM456" s="312"/>
      <c r="DN456" s="312"/>
      <c r="DO456" s="312"/>
      <c r="DP456" s="312"/>
      <c r="DQ456" s="312"/>
      <c r="DR456" s="312"/>
      <c r="DS456" s="312"/>
      <c r="DT456" s="312"/>
      <c r="DU456" s="312"/>
      <c r="DV456" s="312"/>
      <c r="DW456" s="312"/>
      <c r="DX456" s="312"/>
      <c r="DY456" s="312"/>
      <c r="DZ456" s="312"/>
      <c r="EA456" s="312"/>
      <c r="EB456" s="312"/>
      <c r="EC456" s="312"/>
      <c r="ED456" s="312"/>
      <c r="EE456" s="312"/>
      <c r="EF456" s="312"/>
      <c r="EG456" s="312"/>
      <c r="EH456" s="312"/>
      <c r="EI456" s="312"/>
      <c r="EJ456" s="312"/>
      <c r="EK456" s="312"/>
      <c r="EL456" s="312"/>
      <c r="EM456" s="312"/>
      <c r="EN456" s="312"/>
      <c r="EO456" s="312"/>
      <c r="EP456" s="312"/>
      <c r="EQ456" s="312"/>
      <c r="ER456" s="312"/>
      <c r="ES456" s="312"/>
      <c r="ET456" s="312"/>
      <c r="EU456" s="312"/>
      <c r="EV456" s="312"/>
      <c r="EW456" s="312"/>
      <c r="EX456" s="312"/>
      <c r="EY456" s="312"/>
      <c r="EZ456" s="312"/>
      <c r="FA456" s="312"/>
      <c r="FB456" s="312"/>
      <c r="FC456" s="312"/>
      <c r="FD456" s="312"/>
      <c r="FE456" s="312"/>
      <c r="FF456" s="312"/>
      <c r="FG456" s="312"/>
      <c r="FH456" s="312"/>
      <c r="FI456" s="312"/>
      <c r="FJ456" s="312"/>
      <c r="FK456" s="312"/>
      <c r="FL456" s="312"/>
      <c r="FM456" s="312"/>
      <c r="FN456" s="312"/>
      <c r="FO456" s="312"/>
      <c r="FP456" s="312"/>
      <c r="FQ456" s="312"/>
      <c r="FR456" s="312"/>
      <c r="FS456" s="312"/>
      <c r="FT456" s="312"/>
      <c r="FU456" s="312"/>
      <c r="FV456" s="312"/>
      <c r="FW456" s="312"/>
      <c r="FX456" s="312"/>
      <c r="FY456" s="312"/>
      <c r="FZ456" s="312"/>
      <c r="GA456" s="312"/>
      <c r="GB456" s="312"/>
      <c r="GC456" s="312"/>
      <c r="GD456" s="312"/>
      <c r="GE456" s="312"/>
      <c r="GF456" s="312"/>
      <c r="GG456" s="312"/>
      <c r="GH456" s="312"/>
      <c r="GI456" s="312"/>
      <c r="GJ456" s="312"/>
      <c r="GK456" s="312"/>
      <c r="GL456" s="312"/>
      <c r="GM456" s="312"/>
      <c r="GN456" s="312"/>
      <c r="GO456" s="312"/>
      <c r="GP456" s="312"/>
      <c r="GQ456" s="312"/>
      <c r="GR456" s="312"/>
      <c r="GS456" s="312"/>
      <c r="GT456" s="312"/>
      <c r="GU456" s="312"/>
      <c r="GV456" s="312"/>
      <c r="GW456" s="312"/>
      <c r="GX456" s="312"/>
      <c r="GY456" s="312"/>
    </row>
    <row r="457" spans="2:207" ht="15.75" x14ac:dyDescent="0.25">
      <c r="B457" s="316" t="str">
        <f t="shared" si="115"/>
        <v/>
      </c>
      <c r="C457" s="330" t="str">
        <f>'סיכום לוועדה'!B457</f>
        <v/>
      </c>
      <c r="D457" s="330" t="str">
        <f>'סיכום לוועדה'!C457</f>
        <v/>
      </c>
      <c r="E457" s="330" t="str">
        <f>'סיכום לוועדה'!D457</f>
        <v/>
      </c>
      <c r="F457" s="330" t="str">
        <f>'סיכום לוועדה'!E457</f>
        <v/>
      </c>
      <c r="G457" s="330" t="str">
        <f>'סיכום לוועדה'!F457</f>
        <v/>
      </c>
      <c r="H457" s="317" t="str">
        <f>'סיכום לוועדה'!G457</f>
        <v/>
      </c>
      <c r="I457" s="318" t="str">
        <f>'סיכום לוועדה'!U457</f>
        <v/>
      </c>
      <c r="J457" s="319" t="str">
        <f>'סיכום לוועדה'!T457</f>
        <v/>
      </c>
      <c r="K457" s="320" t="str">
        <f t="shared" si="116"/>
        <v/>
      </c>
      <c r="L457" s="319" t="str">
        <f t="shared" si="117"/>
        <v/>
      </c>
      <c r="M457" s="331" t="str">
        <f>'תחום תמיכה ב'!AF457</f>
        <v/>
      </c>
      <c r="N457" s="319" t="str">
        <f t="shared" si="114"/>
        <v/>
      </c>
      <c r="O457" s="321">
        <f t="shared" si="118"/>
        <v>0</v>
      </c>
      <c r="P457" s="322" t="str">
        <f t="shared" si="119"/>
        <v/>
      </c>
      <c r="Q457" s="322" t="str">
        <f t="shared" si="120"/>
        <v/>
      </c>
      <c r="R457" s="321">
        <f t="shared" si="121"/>
        <v>0</v>
      </c>
      <c r="S457" s="322" t="str">
        <f t="shared" si="122"/>
        <v/>
      </c>
      <c r="T457" s="322" t="str">
        <f t="shared" si="123"/>
        <v/>
      </c>
      <c r="U457" s="321">
        <f t="shared" si="124"/>
        <v>0</v>
      </c>
      <c r="V457" s="322" t="str">
        <f t="shared" si="125"/>
        <v/>
      </c>
      <c r="W457" s="322" t="str">
        <f t="shared" si="126"/>
        <v/>
      </c>
      <c r="X457" s="321">
        <f t="shared" si="127"/>
        <v>0</v>
      </c>
      <c r="Y457" s="322" t="str">
        <f t="shared" si="128"/>
        <v/>
      </c>
      <c r="Z457" s="322" t="str">
        <f t="shared" si="129"/>
        <v/>
      </c>
      <c r="AA457" s="323" t="str">
        <f t="shared" si="130"/>
        <v/>
      </c>
      <c r="AB457" s="323"/>
      <c r="AC457" s="323"/>
      <c r="AD457" s="323"/>
      <c r="AE457" s="323"/>
      <c r="AF457" s="324" t="str">
        <f t="shared" si="131"/>
        <v/>
      </c>
      <c r="AG457" s="312"/>
      <c r="AH457" s="312"/>
      <c r="AI457" s="325">
        <f t="shared" si="132"/>
        <v>0</v>
      </c>
      <c r="AJ457" s="312"/>
      <c r="AK457" s="312"/>
      <c r="AL457" s="312"/>
      <c r="AM457" s="312"/>
      <c r="AN457" s="312"/>
      <c r="AO457" s="312"/>
      <c r="AP457" s="312"/>
      <c r="AQ457" s="312"/>
      <c r="AR457" s="312"/>
      <c r="AS457" s="312"/>
      <c r="AT457" s="312"/>
      <c r="AU457" s="312"/>
      <c r="AV457" s="312"/>
      <c r="AW457" s="312"/>
      <c r="AX457" s="312"/>
      <c r="AY457" s="312"/>
      <c r="AZ457" s="312"/>
      <c r="BA457" s="312"/>
      <c r="BB457" s="312"/>
      <c r="BC457" s="312"/>
      <c r="BD457" s="312"/>
      <c r="BE457" s="312"/>
      <c r="BF457" s="312"/>
      <c r="BG457" s="312"/>
      <c r="BH457" s="312"/>
      <c r="BI457" s="312"/>
      <c r="BJ457" s="312"/>
      <c r="BK457" s="312"/>
      <c r="BL457" s="312"/>
      <c r="BM457" s="312"/>
      <c r="BN457" s="312"/>
      <c r="BO457" s="312"/>
      <c r="BP457" s="312"/>
      <c r="BQ457" s="312"/>
      <c r="BR457" s="312"/>
      <c r="BS457" s="312"/>
      <c r="BT457" s="312"/>
      <c r="BU457" s="312"/>
      <c r="BV457" s="312"/>
      <c r="BW457" s="312"/>
      <c r="BX457" s="312"/>
      <c r="BY457" s="312"/>
      <c r="BZ457" s="312"/>
      <c r="CA457" s="312"/>
      <c r="CB457" s="312"/>
      <c r="CC457" s="312"/>
      <c r="CD457" s="312"/>
      <c r="CE457" s="312"/>
      <c r="CF457" s="312"/>
      <c r="CG457" s="312"/>
      <c r="CH457" s="312"/>
      <c r="CI457" s="312"/>
      <c r="CJ457" s="312"/>
      <c r="CK457" s="312"/>
      <c r="CL457" s="312"/>
      <c r="CM457" s="312"/>
      <c r="CN457" s="312"/>
      <c r="CO457" s="312"/>
      <c r="CP457" s="312"/>
      <c r="CQ457" s="312"/>
      <c r="CR457" s="312"/>
      <c r="CS457" s="312"/>
      <c r="CT457" s="312"/>
      <c r="CU457" s="312"/>
      <c r="CV457" s="312"/>
      <c r="CW457" s="312"/>
      <c r="CX457" s="312"/>
      <c r="CY457" s="312"/>
      <c r="CZ457" s="312"/>
      <c r="DA457" s="312"/>
      <c r="DB457" s="312"/>
      <c r="DC457" s="312"/>
      <c r="DD457" s="312"/>
      <c r="DE457" s="312"/>
      <c r="DF457" s="312"/>
      <c r="DG457" s="312"/>
      <c r="DH457" s="312"/>
      <c r="DI457" s="312"/>
      <c r="DJ457" s="312"/>
      <c r="DK457" s="312"/>
      <c r="DL457" s="312"/>
      <c r="DM457" s="312"/>
      <c r="DN457" s="312"/>
      <c r="DO457" s="312"/>
      <c r="DP457" s="312"/>
      <c r="DQ457" s="312"/>
      <c r="DR457" s="312"/>
      <c r="DS457" s="312"/>
      <c r="DT457" s="312"/>
      <c r="DU457" s="312"/>
      <c r="DV457" s="312"/>
      <c r="DW457" s="312"/>
      <c r="DX457" s="312"/>
      <c r="DY457" s="312"/>
      <c r="DZ457" s="312"/>
      <c r="EA457" s="312"/>
      <c r="EB457" s="312"/>
      <c r="EC457" s="312"/>
      <c r="ED457" s="312"/>
      <c r="EE457" s="312"/>
      <c r="EF457" s="312"/>
      <c r="EG457" s="312"/>
      <c r="EH457" s="312"/>
      <c r="EI457" s="312"/>
      <c r="EJ457" s="312"/>
      <c r="EK457" s="312"/>
      <c r="EL457" s="312"/>
      <c r="EM457" s="312"/>
      <c r="EN457" s="312"/>
      <c r="EO457" s="312"/>
      <c r="EP457" s="312"/>
      <c r="EQ457" s="312"/>
      <c r="ER457" s="312"/>
      <c r="ES457" s="312"/>
      <c r="ET457" s="312"/>
      <c r="EU457" s="312"/>
      <c r="EV457" s="312"/>
      <c r="EW457" s="312"/>
      <c r="EX457" s="312"/>
      <c r="EY457" s="312"/>
      <c r="EZ457" s="312"/>
      <c r="FA457" s="312"/>
      <c r="FB457" s="312"/>
      <c r="FC457" s="312"/>
      <c r="FD457" s="312"/>
      <c r="FE457" s="312"/>
      <c r="FF457" s="312"/>
      <c r="FG457" s="312"/>
      <c r="FH457" s="312"/>
      <c r="FI457" s="312"/>
      <c r="FJ457" s="312"/>
      <c r="FK457" s="312"/>
      <c r="FL457" s="312"/>
      <c r="FM457" s="312"/>
      <c r="FN457" s="312"/>
      <c r="FO457" s="312"/>
      <c r="FP457" s="312"/>
      <c r="FQ457" s="312"/>
      <c r="FR457" s="312"/>
      <c r="FS457" s="312"/>
      <c r="FT457" s="312"/>
      <c r="FU457" s="312"/>
      <c r="FV457" s="312"/>
      <c r="FW457" s="312"/>
      <c r="FX457" s="312"/>
      <c r="FY457" s="312"/>
      <c r="FZ457" s="312"/>
      <c r="GA457" s="312"/>
      <c r="GB457" s="312"/>
      <c r="GC457" s="312"/>
      <c r="GD457" s="312"/>
      <c r="GE457" s="312"/>
      <c r="GF457" s="312"/>
      <c r="GG457" s="312"/>
      <c r="GH457" s="312"/>
      <c r="GI457" s="312"/>
      <c r="GJ457" s="312"/>
      <c r="GK457" s="312"/>
      <c r="GL457" s="312"/>
      <c r="GM457" s="312"/>
      <c r="GN457" s="312"/>
      <c r="GO457" s="312"/>
      <c r="GP457" s="312"/>
      <c r="GQ457" s="312"/>
      <c r="GR457" s="312"/>
      <c r="GS457" s="312"/>
      <c r="GT457" s="312"/>
      <c r="GU457" s="312"/>
      <c r="GV457" s="312"/>
      <c r="GW457" s="312"/>
      <c r="GX457" s="312"/>
      <c r="GY457" s="312"/>
    </row>
    <row r="458" spans="2:207" ht="15.75" x14ac:dyDescent="0.25">
      <c r="B458" s="316" t="str">
        <f t="shared" si="115"/>
        <v/>
      </c>
      <c r="C458" s="330" t="str">
        <f>'סיכום לוועדה'!B458</f>
        <v/>
      </c>
      <c r="D458" s="330" t="str">
        <f>'סיכום לוועדה'!C458</f>
        <v/>
      </c>
      <c r="E458" s="330" t="str">
        <f>'סיכום לוועדה'!D458</f>
        <v/>
      </c>
      <c r="F458" s="330" t="str">
        <f>'סיכום לוועדה'!E458</f>
        <v/>
      </c>
      <c r="G458" s="330" t="str">
        <f>'סיכום לוועדה'!F458</f>
        <v/>
      </c>
      <c r="H458" s="317" t="str">
        <f>'סיכום לוועדה'!G458</f>
        <v/>
      </c>
      <c r="I458" s="318" t="str">
        <f>'סיכום לוועדה'!U458</f>
        <v/>
      </c>
      <c r="J458" s="319" t="str">
        <f>'סיכום לוועדה'!T458</f>
        <v/>
      </c>
      <c r="K458" s="320" t="str">
        <f t="shared" si="116"/>
        <v/>
      </c>
      <c r="L458" s="319" t="str">
        <f t="shared" si="117"/>
        <v/>
      </c>
      <c r="M458" s="331" t="str">
        <f>'תחום תמיכה ב'!AF458</f>
        <v/>
      </c>
      <c r="N458" s="319" t="str">
        <f t="shared" si="114"/>
        <v/>
      </c>
      <c r="O458" s="321">
        <f t="shared" si="118"/>
        <v>0</v>
      </c>
      <c r="P458" s="322" t="str">
        <f t="shared" si="119"/>
        <v/>
      </c>
      <c r="Q458" s="322" t="str">
        <f t="shared" si="120"/>
        <v/>
      </c>
      <c r="R458" s="321">
        <f t="shared" si="121"/>
        <v>0</v>
      </c>
      <c r="S458" s="322" t="str">
        <f t="shared" si="122"/>
        <v/>
      </c>
      <c r="T458" s="322" t="str">
        <f t="shared" si="123"/>
        <v/>
      </c>
      <c r="U458" s="321">
        <f t="shared" si="124"/>
        <v>0</v>
      </c>
      <c r="V458" s="322" t="str">
        <f t="shared" si="125"/>
        <v/>
      </c>
      <c r="W458" s="322" t="str">
        <f t="shared" si="126"/>
        <v/>
      </c>
      <c r="X458" s="321">
        <f t="shared" si="127"/>
        <v>0</v>
      </c>
      <c r="Y458" s="322" t="str">
        <f t="shared" si="128"/>
        <v/>
      </c>
      <c r="Z458" s="322" t="str">
        <f t="shared" si="129"/>
        <v/>
      </c>
      <c r="AA458" s="323" t="str">
        <f t="shared" si="130"/>
        <v/>
      </c>
      <c r="AB458" s="323"/>
      <c r="AC458" s="323"/>
      <c r="AD458" s="323"/>
      <c r="AE458" s="323"/>
      <c r="AF458" s="324" t="str">
        <f t="shared" si="131"/>
        <v/>
      </c>
      <c r="AG458" s="312"/>
      <c r="AH458" s="312"/>
      <c r="AI458" s="325">
        <f t="shared" si="132"/>
        <v>0</v>
      </c>
      <c r="AJ458" s="312"/>
      <c r="AK458" s="312"/>
      <c r="AL458" s="312"/>
      <c r="AM458" s="312"/>
      <c r="AN458" s="312"/>
      <c r="AO458" s="312"/>
      <c r="AP458" s="312"/>
      <c r="AQ458" s="312"/>
      <c r="AR458" s="312"/>
      <c r="AS458" s="312"/>
      <c r="AT458" s="312"/>
      <c r="AU458" s="312"/>
      <c r="AV458" s="312"/>
      <c r="AW458" s="312"/>
      <c r="AX458" s="312"/>
      <c r="AY458" s="312"/>
      <c r="AZ458" s="312"/>
      <c r="BA458" s="312"/>
      <c r="BB458" s="312"/>
      <c r="BC458" s="312"/>
      <c r="BD458" s="312"/>
      <c r="BE458" s="312"/>
      <c r="BF458" s="312"/>
      <c r="BG458" s="312"/>
      <c r="BH458" s="312"/>
      <c r="BI458" s="312"/>
      <c r="BJ458" s="312"/>
      <c r="BK458" s="312"/>
      <c r="BL458" s="312"/>
      <c r="BM458" s="312"/>
      <c r="BN458" s="312"/>
      <c r="BO458" s="312"/>
      <c r="BP458" s="312"/>
      <c r="BQ458" s="312"/>
      <c r="BR458" s="312"/>
      <c r="BS458" s="312"/>
      <c r="BT458" s="312"/>
      <c r="BU458" s="312"/>
      <c r="BV458" s="312"/>
      <c r="BW458" s="312"/>
      <c r="BX458" s="312"/>
      <c r="BY458" s="312"/>
      <c r="BZ458" s="312"/>
      <c r="CA458" s="312"/>
      <c r="CB458" s="312"/>
      <c r="CC458" s="312"/>
      <c r="CD458" s="312"/>
      <c r="CE458" s="312"/>
      <c r="CF458" s="312"/>
      <c r="CG458" s="312"/>
      <c r="CH458" s="312"/>
      <c r="CI458" s="312"/>
      <c r="CJ458" s="312"/>
      <c r="CK458" s="312"/>
      <c r="CL458" s="312"/>
      <c r="CM458" s="312"/>
      <c r="CN458" s="312"/>
      <c r="CO458" s="312"/>
      <c r="CP458" s="312"/>
      <c r="CQ458" s="312"/>
      <c r="CR458" s="312"/>
      <c r="CS458" s="312"/>
      <c r="CT458" s="312"/>
      <c r="CU458" s="312"/>
      <c r="CV458" s="312"/>
      <c r="CW458" s="312"/>
      <c r="CX458" s="312"/>
      <c r="CY458" s="312"/>
      <c r="CZ458" s="312"/>
      <c r="DA458" s="312"/>
      <c r="DB458" s="312"/>
      <c r="DC458" s="312"/>
      <c r="DD458" s="312"/>
      <c r="DE458" s="312"/>
      <c r="DF458" s="312"/>
      <c r="DG458" s="312"/>
      <c r="DH458" s="312"/>
      <c r="DI458" s="312"/>
      <c r="DJ458" s="312"/>
      <c r="DK458" s="312"/>
      <c r="DL458" s="312"/>
      <c r="DM458" s="312"/>
      <c r="DN458" s="312"/>
      <c r="DO458" s="312"/>
      <c r="DP458" s="312"/>
      <c r="DQ458" s="312"/>
      <c r="DR458" s="312"/>
      <c r="DS458" s="312"/>
      <c r="DT458" s="312"/>
      <c r="DU458" s="312"/>
      <c r="DV458" s="312"/>
      <c r="DW458" s="312"/>
      <c r="DX458" s="312"/>
      <c r="DY458" s="312"/>
      <c r="DZ458" s="312"/>
      <c r="EA458" s="312"/>
      <c r="EB458" s="312"/>
      <c r="EC458" s="312"/>
      <c r="ED458" s="312"/>
      <c r="EE458" s="312"/>
      <c r="EF458" s="312"/>
      <c r="EG458" s="312"/>
      <c r="EH458" s="312"/>
      <c r="EI458" s="312"/>
      <c r="EJ458" s="312"/>
      <c r="EK458" s="312"/>
      <c r="EL458" s="312"/>
      <c r="EM458" s="312"/>
      <c r="EN458" s="312"/>
      <c r="EO458" s="312"/>
      <c r="EP458" s="312"/>
      <c r="EQ458" s="312"/>
      <c r="ER458" s="312"/>
      <c r="ES458" s="312"/>
      <c r="ET458" s="312"/>
      <c r="EU458" s="312"/>
      <c r="EV458" s="312"/>
      <c r="EW458" s="312"/>
      <c r="EX458" s="312"/>
      <c r="EY458" s="312"/>
      <c r="EZ458" s="312"/>
      <c r="FA458" s="312"/>
      <c r="FB458" s="312"/>
      <c r="FC458" s="312"/>
      <c r="FD458" s="312"/>
      <c r="FE458" s="312"/>
      <c r="FF458" s="312"/>
      <c r="FG458" s="312"/>
      <c r="FH458" s="312"/>
      <c r="FI458" s="312"/>
      <c r="FJ458" s="312"/>
      <c r="FK458" s="312"/>
      <c r="FL458" s="312"/>
      <c r="FM458" s="312"/>
      <c r="FN458" s="312"/>
      <c r="FO458" s="312"/>
      <c r="FP458" s="312"/>
      <c r="FQ458" s="312"/>
      <c r="FR458" s="312"/>
      <c r="FS458" s="312"/>
      <c r="FT458" s="312"/>
      <c r="FU458" s="312"/>
      <c r="FV458" s="312"/>
      <c r="FW458" s="312"/>
      <c r="FX458" s="312"/>
      <c r="FY458" s="312"/>
      <c r="FZ458" s="312"/>
      <c r="GA458" s="312"/>
      <c r="GB458" s="312"/>
      <c r="GC458" s="312"/>
      <c r="GD458" s="312"/>
      <c r="GE458" s="312"/>
      <c r="GF458" s="312"/>
      <c r="GG458" s="312"/>
      <c r="GH458" s="312"/>
      <c r="GI458" s="312"/>
      <c r="GJ458" s="312"/>
      <c r="GK458" s="312"/>
      <c r="GL458" s="312"/>
      <c r="GM458" s="312"/>
      <c r="GN458" s="312"/>
      <c r="GO458" s="312"/>
      <c r="GP458" s="312"/>
      <c r="GQ458" s="312"/>
      <c r="GR458" s="312"/>
      <c r="GS458" s="312"/>
      <c r="GT458" s="312"/>
      <c r="GU458" s="312"/>
      <c r="GV458" s="312"/>
      <c r="GW458" s="312"/>
      <c r="GX458" s="312"/>
      <c r="GY458" s="312"/>
    </row>
    <row r="459" spans="2:207" ht="15.75" x14ac:dyDescent="0.25">
      <c r="B459" s="316" t="str">
        <f t="shared" si="115"/>
        <v/>
      </c>
      <c r="C459" s="330" t="str">
        <f>'סיכום לוועדה'!B459</f>
        <v/>
      </c>
      <c r="D459" s="330" t="str">
        <f>'סיכום לוועדה'!C459</f>
        <v/>
      </c>
      <c r="E459" s="330" t="str">
        <f>'סיכום לוועדה'!D459</f>
        <v/>
      </c>
      <c r="F459" s="330" t="str">
        <f>'סיכום לוועדה'!E459</f>
        <v/>
      </c>
      <c r="G459" s="330" t="str">
        <f>'סיכום לוועדה'!F459</f>
        <v/>
      </c>
      <c r="H459" s="317" t="str">
        <f>'סיכום לוועדה'!G459</f>
        <v/>
      </c>
      <c r="I459" s="318" t="str">
        <f>'סיכום לוועדה'!U459</f>
        <v/>
      </c>
      <c r="J459" s="319" t="str">
        <f>'סיכום לוועדה'!T459</f>
        <v/>
      </c>
      <c r="K459" s="320" t="str">
        <f t="shared" si="116"/>
        <v/>
      </c>
      <c r="L459" s="319" t="str">
        <f t="shared" si="117"/>
        <v/>
      </c>
      <c r="M459" s="331" t="str">
        <f>'תחום תמיכה ב'!AF459</f>
        <v/>
      </c>
      <c r="N459" s="319" t="str">
        <f t="shared" si="114"/>
        <v/>
      </c>
      <c r="O459" s="321">
        <f t="shared" si="118"/>
        <v>0</v>
      </c>
      <c r="P459" s="322" t="str">
        <f t="shared" si="119"/>
        <v/>
      </c>
      <c r="Q459" s="322" t="str">
        <f t="shared" si="120"/>
        <v/>
      </c>
      <c r="R459" s="321">
        <f t="shared" si="121"/>
        <v>0</v>
      </c>
      <c r="S459" s="322" t="str">
        <f t="shared" si="122"/>
        <v/>
      </c>
      <c r="T459" s="322" t="str">
        <f t="shared" si="123"/>
        <v/>
      </c>
      <c r="U459" s="321">
        <f t="shared" si="124"/>
        <v>0</v>
      </c>
      <c r="V459" s="322" t="str">
        <f t="shared" si="125"/>
        <v/>
      </c>
      <c r="W459" s="322" t="str">
        <f t="shared" si="126"/>
        <v/>
      </c>
      <c r="X459" s="321">
        <f t="shared" si="127"/>
        <v>0</v>
      </c>
      <c r="Y459" s="322" t="str">
        <f t="shared" si="128"/>
        <v/>
      </c>
      <c r="Z459" s="322" t="str">
        <f t="shared" si="129"/>
        <v/>
      </c>
      <c r="AA459" s="323" t="str">
        <f t="shared" si="130"/>
        <v/>
      </c>
      <c r="AB459" s="323"/>
      <c r="AC459" s="323"/>
      <c r="AD459" s="323"/>
      <c r="AE459" s="323"/>
      <c r="AF459" s="324" t="str">
        <f t="shared" si="131"/>
        <v/>
      </c>
      <c r="AG459" s="312"/>
      <c r="AH459" s="312"/>
      <c r="AI459" s="325">
        <f t="shared" si="132"/>
        <v>0</v>
      </c>
      <c r="AJ459" s="312"/>
      <c r="AK459" s="312"/>
      <c r="AL459" s="312"/>
      <c r="AM459" s="312"/>
      <c r="AN459" s="312"/>
      <c r="AO459" s="312"/>
      <c r="AP459" s="312"/>
      <c r="AQ459" s="312"/>
      <c r="AR459" s="312"/>
      <c r="AS459" s="312"/>
      <c r="AT459" s="312"/>
      <c r="AU459" s="312"/>
      <c r="AV459" s="312"/>
      <c r="AW459" s="312"/>
      <c r="AX459" s="312"/>
      <c r="AY459" s="312"/>
      <c r="AZ459" s="312"/>
      <c r="BA459" s="312"/>
      <c r="BB459" s="312"/>
      <c r="BC459" s="312"/>
      <c r="BD459" s="312"/>
      <c r="BE459" s="312"/>
      <c r="BF459" s="312"/>
      <c r="BG459" s="312"/>
      <c r="BH459" s="312"/>
      <c r="BI459" s="312"/>
      <c r="BJ459" s="312"/>
      <c r="BK459" s="312"/>
      <c r="BL459" s="312"/>
      <c r="BM459" s="312"/>
      <c r="BN459" s="312"/>
      <c r="BO459" s="312"/>
      <c r="BP459" s="312"/>
      <c r="BQ459" s="312"/>
      <c r="BR459" s="312"/>
      <c r="BS459" s="312"/>
      <c r="BT459" s="312"/>
      <c r="BU459" s="312"/>
      <c r="BV459" s="312"/>
      <c r="BW459" s="312"/>
      <c r="BX459" s="312"/>
      <c r="BY459" s="312"/>
      <c r="BZ459" s="312"/>
      <c r="CA459" s="312"/>
      <c r="CB459" s="312"/>
      <c r="CC459" s="312"/>
      <c r="CD459" s="312"/>
      <c r="CE459" s="312"/>
      <c r="CF459" s="312"/>
      <c r="CG459" s="312"/>
      <c r="CH459" s="312"/>
      <c r="CI459" s="312"/>
      <c r="CJ459" s="312"/>
      <c r="CK459" s="312"/>
      <c r="CL459" s="312"/>
      <c r="CM459" s="312"/>
      <c r="CN459" s="312"/>
      <c r="CO459" s="312"/>
      <c r="CP459" s="312"/>
      <c r="CQ459" s="312"/>
      <c r="CR459" s="312"/>
      <c r="CS459" s="312"/>
      <c r="CT459" s="312"/>
      <c r="CU459" s="312"/>
      <c r="CV459" s="312"/>
      <c r="CW459" s="312"/>
      <c r="CX459" s="312"/>
      <c r="CY459" s="312"/>
      <c r="CZ459" s="312"/>
      <c r="DA459" s="312"/>
      <c r="DB459" s="312"/>
      <c r="DC459" s="312"/>
      <c r="DD459" s="312"/>
      <c r="DE459" s="312"/>
      <c r="DF459" s="312"/>
      <c r="DG459" s="312"/>
      <c r="DH459" s="312"/>
      <c r="DI459" s="312"/>
      <c r="DJ459" s="312"/>
      <c r="DK459" s="312"/>
      <c r="DL459" s="312"/>
      <c r="DM459" s="312"/>
      <c r="DN459" s="312"/>
      <c r="DO459" s="312"/>
      <c r="DP459" s="312"/>
      <c r="DQ459" s="312"/>
      <c r="DR459" s="312"/>
      <c r="DS459" s="312"/>
      <c r="DT459" s="312"/>
      <c r="DU459" s="312"/>
      <c r="DV459" s="312"/>
      <c r="DW459" s="312"/>
      <c r="DX459" s="312"/>
      <c r="DY459" s="312"/>
      <c r="DZ459" s="312"/>
      <c r="EA459" s="312"/>
      <c r="EB459" s="312"/>
      <c r="EC459" s="312"/>
      <c r="ED459" s="312"/>
      <c r="EE459" s="312"/>
      <c r="EF459" s="312"/>
      <c r="EG459" s="312"/>
      <c r="EH459" s="312"/>
      <c r="EI459" s="312"/>
      <c r="EJ459" s="312"/>
      <c r="EK459" s="312"/>
      <c r="EL459" s="312"/>
      <c r="EM459" s="312"/>
      <c r="EN459" s="312"/>
      <c r="EO459" s="312"/>
      <c r="EP459" s="312"/>
      <c r="EQ459" s="312"/>
      <c r="ER459" s="312"/>
      <c r="ES459" s="312"/>
      <c r="ET459" s="312"/>
      <c r="EU459" s="312"/>
      <c r="EV459" s="312"/>
      <c r="EW459" s="312"/>
      <c r="EX459" s="312"/>
      <c r="EY459" s="312"/>
      <c r="EZ459" s="312"/>
      <c r="FA459" s="312"/>
      <c r="FB459" s="312"/>
      <c r="FC459" s="312"/>
      <c r="FD459" s="312"/>
      <c r="FE459" s="312"/>
      <c r="FF459" s="312"/>
      <c r="FG459" s="312"/>
      <c r="FH459" s="312"/>
      <c r="FI459" s="312"/>
      <c r="FJ459" s="312"/>
      <c r="FK459" s="312"/>
      <c r="FL459" s="312"/>
      <c r="FM459" s="312"/>
      <c r="FN459" s="312"/>
      <c r="FO459" s="312"/>
      <c r="FP459" s="312"/>
      <c r="FQ459" s="312"/>
      <c r="FR459" s="312"/>
      <c r="FS459" s="312"/>
      <c r="FT459" s="312"/>
      <c r="FU459" s="312"/>
      <c r="FV459" s="312"/>
      <c r="FW459" s="312"/>
      <c r="FX459" s="312"/>
      <c r="FY459" s="312"/>
      <c r="FZ459" s="312"/>
      <c r="GA459" s="312"/>
      <c r="GB459" s="312"/>
      <c r="GC459" s="312"/>
      <c r="GD459" s="312"/>
      <c r="GE459" s="312"/>
      <c r="GF459" s="312"/>
      <c r="GG459" s="312"/>
      <c r="GH459" s="312"/>
      <c r="GI459" s="312"/>
      <c r="GJ459" s="312"/>
      <c r="GK459" s="312"/>
      <c r="GL459" s="312"/>
      <c r="GM459" s="312"/>
      <c r="GN459" s="312"/>
      <c r="GO459" s="312"/>
      <c r="GP459" s="312"/>
      <c r="GQ459" s="312"/>
      <c r="GR459" s="312"/>
      <c r="GS459" s="312"/>
      <c r="GT459" s="312"/>
      <c r="GU459" s="312"/>
      <c r="GV459" s="312"/>
      <c r="GW459" s="312"/>
      <c r="GX459" s="312"/>
      <c r="GY459" s="312"/>
    </row>
    <row r="460" spans="2:207" ht="15.75" x14ac:dyDescent="0.25">
      <c r="B460" s="316" t="str">
        <f t="shared" si="115"/>
        <v/>
      </c>
      <c r="C460" s="330" t="str">
        <f>'סיכום לוועדה'!B460</f>
        <v/>
      </c>
      <c r="D460" s="330" t="str">
        <f>'סיכום לוועדה'!C460</f>
        <v/>
      </c>
      <c r="E460" s="330" t="str">
        <f>'סיכום לוועדה'!D460</f>
        <v/>
      </c>
      <c r="F460" s="330" t="str">
        <f>'סיכום לוועדה'!E460</f>
        <v/>
      </c>
      <c r="G460" s="330" t="str">
        <f>'סיכום לוועדה'!F460</f>
        <v/>
      </c>
      <c r="H460" s="317" t="str">
        <f>'סיכום לוועדה'!G460</f>
        <v/>
      </c>
      <c r="I460" s="318" t="str">
        <f>'סיכום לוועדה'!U460</f>
        <v/>
      </c>
      <c r="J460" s="319" t="str">
        <f>'סיכום לוועדה'!T460</f>
        <v/>
      </c>
      <c r="K460" s="320" t="str">
        <f t="shared" si="116"/>
        <v/>
      </c>
      <c r="L460" s="319" t="str">
        <f t="shared" si="117"/>
        <v/>
      </c>
      <c r="M460" s="331" t="str">
        <f>'תחום תמיכה ב'!AF460</f>
        <v/>
      </c>
      <c r="N460" s="319" t="str">
        <f t="shared" si="114"/>
        <v/>
      </c>
      <c r="O460" s="321">
        <f t="shared" si="118"/>
        <v>0</v>
      </c>
      <c r="P460" s="322" t="str">
        <f t="shared" si="119"/>
        <v/>
      </c>
      <c r="Q460" s="322" t="str">
        <f t="shared" si="120"/>
        <v/>
      </c>
      <c r="R460" s="321">
        <f t="shared" si="121"/>
        <v>0</v>
      </c>
      <c r="S460" s="322" t="str">
        <f t="shared" si="122"/>
        <v/>
      </c>
      <c r="T460" s="322" t="str">
        <f t="shared" si="123"/>
        <v/>
      </c>
      <c r="U460" s="321">
        <f t="shared" si="124"/>
        <v>0</v>
      </c>
      <c r="V460" s="322" t="str">
        <f t="shared" si="125"/>
        <v/>
      </c>
      <c r="W460" s="322" t="str">
        <f t="shared" si="126"/>
        <v/>
      </c>
      <c r="X460" s="321">
        <f t="shared" si="127"/>
        <v>0</v>
      </c>
      <c r="Y460" s="322" t="str">
        <f t="shared" si="128"/>
        <v/>
      </c>
      <c r="Z460" s="322" t="str">
        <f t="shared" si="129"/>
        <v/>
      </c>
      <c r="AA460" s="323" t="str">
        <f t="shared" si="130"/>
        <v/>
      </c>
      <c r="AB460" s="323"/>
      <c r="AC460" s="323"/>
      <c r="AD460" s="323"/>
      <c r="AE460" s="323"/>
      <c r="AF460" s="324" t="str">
        <f t="shared" si="131"/>
        <v/>
      </c>
      <c r="AG460" s="312"/>
      <c r="AH460" s="312"/>
      <c r="AI460" s="325">
        <f t="shared" si="132"/>
        <v>0</v>
      </c>
      <c r="AJ460" s="312"/>
      <c r="AK460" s="312"/>
      <c r="AL460" s="312"/>
      <c r="AM460" s="312"/>
      <c r="AN460" s="312"/>
      <c r="AO460" s="312"/>
      <c r="AP460" s="312"/>
      <c r="AQ460" s="312"/>
      <c r="AR460" s="312"/>
      <c r="AS460" s="312"/>
      <c r="AT460" s="312"/>
      <c r="AU460" s="312"/>
      <c r="AV460" s="312"/>
      <c r="AW460" s="312"/>
      <c r="AX460" s="312"/>
      <c r="AY460" s="312"/>
      <c r="AZ460" s="312"/>
      <c r="BA460" s="312"/>
      <c r="BB460" s="312"/>
      <c r="BC460" s="312"/>
      <c r="BD460" s="312"/>
      <c r="BE460" s="312"/>
      <c r="BF460" s="312"/>
      <c r="BG460" s="312"/>
      <c r="BH460" s="312"/>
      <c r="BI460" s="312"/>
      <c r="BJ460" s="312"/>
      <c r="BK460" s="312"/>
      <c r="BL460" s="312"/>
      <c r="BM460" s="312"/>
      <c r="BN460" s="312"/>
      <c r="BO460" s="312"/>
      <c r="BP460" s="312"/>
      <c r="BQ460" s="312"/>
      <c r="BR460" s="312"/>
      <c r="BS460" s="312"/>
      <c r="BT460" s="312"/>
      <c r="BU460" s="312"/>
      <c r="BV460" s="312"/>
      <c r="BW460" s="312"/>
      <c r="BX460" s="312"/>
      <c r="BY460" s="312"/>
      <c r="BZ460" s="312"/>
      <c r="CA460" s="312"/>
      <c r="CB460" s="312"/>
      <c r="CC460" s="312"/>
      <c r="CD460" s="312"/>
      <c r="CE460" s="312"/>
      <c r="CF460" s="312"/>
      <c r="CG460" s="312"/>
      <c r="CH460" s="312"/>
      <c r="CI460" s="312"/>
      <c r="CJ460" s="312"/>
      <c r="CK460" s="312"/>
      <c r="CL460" s="312"/>
      <c r="CM460" s="312"/>
      <c r="CN460" s="312"/>
      <c r="CO460" s="312"/>
      <c r="CP460" s="312"/>
      <c r="CQ460" s="312"/>
      <c r="CR460" s="312"/>
      <c r="CS460" s="312"/>
      <c r="CT460" s="312"/>
      <c r="CU460" s="312"/>
      <c r="CV460" s="312"/>
      <c r="CW460" s="312"/>
      <c r="CX460" s="312"/>
      <c r="CY460" s="312"/>
      <c r="CZ460" s="312"/>
      <c r="DA460" s="312"/>
      <c r="DB460" s="312"/>
      <c r="DC460" s="312"/>
      <c r="DD460" s="312"/>
      <c r="DE460" s="312"/>
      <c r="DF460" s="312"/>
      <c r="DG460" s="312"/>
      <c r="DH460" s="312"/>
      <c r="DI460" s="312"/>
      <c r="DJ460" s="312"/>
      <c r="DK460" s="312"/>
      <c r="DL460" s="312"/>
      <c r="DM460" s="312"/>
      <c r="DN460" s="312"/>
      <c r="DO460" s="312"/>
      <c r="DP460" s="312"/>
      <c r="DQ460" s="312"/>
      <c r="DR460" s="312"/>
      <c r="DS460" s="312"/>
      <c r="DT460" s="312"/>
      <c r="DU460" s="312"/>
      <c r="DV460" s="312"/>
      <c r="DW460" s="312"/>
      <c r="DX460" s="312"/>
      <c r="DY460" s="312"/>
      <c r="DZ460" s="312"/>
      <c r="EA460" s="312"/>
      <c r="EB460" s="312"/>
      <c r="EC460" s="312"/>
      <c r="ED460" s="312"/>
      <c r="EE460" s="312"/>
      <c r="EF460" s="312"/>
      <c r="EG460" s="312"/>
      <c r="EH460" s="312"/>
      <c r="EI460" s="312"/>
      <c r="EJ460" s="312"/>
      <c r="EK460" s="312"/>
      <c r="EL460" s="312"/>
      <c r="EM460" s="312"/>
      <c r="EN460" s="312"/>
      <c r="EO460" s="312"/>
      <c r="EP460" s="312"/>
      <c r="EQ460" s="312"/>
      <c r="ER460" s="312"/>
      <c r="ES460" s="312"/>
      <c r="ET460" s="312"/>
      <c r="EU460" s="312"/>
      <c r="EV460" s="312"/>
      <c r="EW460" s="312"/>
      <c r="EX460" s="312"/>
      <c r="EY460" s="312"/>
      <c r="EZ460" s="312"/>
      <c r="FA460" s="312"/>
      <c r="FB460" s="312"/>
      <c r="FC460" s="312"/>
      <c r="FD460" s="312"/>
      <c r="FE460" s="312"/>
      <c r="FF460" s="312"/>
      <c r="FG460" s="312"/>
      <c r="FH460" s="312"/>
      <c r="FI460" s="312"/>
      <c r="FJ460" s="312"/>
      <c r="FK460" s="312"/>
      <c r="FL460" s="312"/>
      <c r="FM460" s="312"/>
      <c r="FN460" s="312"/>
      <c r="FO460" s="312"/>
      <c r="FP460" s="312"/>
      <c r="FQ460" s="312"/>
      <c r="FR460" s="312"/>
      <c r="FS460" s="312"/>
      <c r="FT460" s="312"/>
      <c r="FU460" s="312"/>
      <c r="FV460" s="312"/>
      <c r="FW460" s="312"/>
      <c r="FX460" s="312"/>
      <c r="FY460" s="312"/>
      <c r="FZ460" s="312"/>
      <c r="GA460" s="312"/>
      <c r="GB460" s="312"/>
      <c r="GC460" s="312"/>
      <c r="GD460" s="312"/>
      <c r="GE460" s="312"/>
      <c r="GF460" s="312"/>
      <c r="GG460" s="312"/>
      <c r="GH460" s="312"/>
      <c r="GI460" s="312"/>
      <c r="GJ460" s="312"/>
      <c r="GK460" s="312"/>
      <c r="GL460" s="312"/>
      <c r="GM460" s="312"/>
      <c r="GN460" s="312"/>
      <c r="GO460" s="312"/>
      <c r="GP460" s="312"/>
      <c r="GQ460" s="312"/>
      <c r="GR460" s="312"/>
      <c r="GS460" s="312"/>
      <c r="GT460" s="312"/>
      <c r="GU460" s="312"/>
      <c r="GV460" s="312"/>
      <c r="GW460" s="312"/>
      <c r="GX460" s="312"/>
      <c r="GY460" s="312"/>
    </row>
    <row r="461" spans="2:207" ht="15.75" x14ac:dyDescent="0.25">
      <c r="B461" s="316" t="str">
        <f t="shared" si="115"/>
        <v/>
      </c>
      <c r="C461" s="330" t="str">
        <f>'סיכום לוועדה'!B461</f>
        <v/>
      </c>
      <c r="D461" s="330" t="str">
        <f>'סיכום לוועדה'!C461</f>
        <v/>
      </c>
      <c r="E461" s="330" t="str">
        <f>'סיכום לוועדה'!D461</f>
        <v/>
      </c>
      <c r="F461" s="330" t="str">
        <f>'סיכום לוועדה'!E461</f>
        <v/>
      </c>
      <c r="G461" s="330" t="str">
        <f>'סיכום לוועדה'!F461</f>
        <v/>
      </c>
      <c r="H461" s="317" t="str">
        <f>'סיכום לוועדה'!G461</f>
        <v/>
      </c>
      <c r="I461" s="318" t="str">
        <f>'סיכום לוועדה'!U461</f>
        <v/>
      </c>
      <c r="J461" s="319" t="str">
        <f>'סיכום לוועדה'!T461</f>
        <v/>
      </c>
      <c r="K461" s="320" t="str">
        <f t="shared" si="116"/>
        <v/>
      </c>
      <c r="L461" s="319" t="str">
        <f t="shared" si="117"/>
        <v/>
      </c>
      <c r="M461" s="331" t="str">
        <f>'תחום תמיכה ב'!AF461</f>
        <v/>
      </c>
      <c r="N461" s="319" t="str">
        <f t="shared" si="114"/>
        <v/>
      </c>
      <c r="O461" s="321">
        <f t="shared" si="118"/>
        <v>0</v>
      </c>
      <c r="P461" s="322" t="str">
        <f t="shared" si="119"/>
        <v/>
      </c>
      <c r="Q461" s="322" t="str">
        <f t="shared" si="120"/>
        <v/>
      </c>
      <c r="R461" s="321">
        <f t="shared" si="121"/>
        <v>0</v>
      </c>
      <c r="S461" s="322" t="str">
        <f t="shared" si="122"/>
        <v/>
      </c>
      <c r="T461" s="322" t="str">
        <f t="shared" si="123"/>
        <v/>
      </c>
      <c r="U461" s="321">
        <f t="shared" si="124"/>
        <v>0</v>
      </c>
      <c r="V461" s="322" t="str">
        <f t="shared" si="125"/>
        <v/>
      </c>
      <c r="W461" s="322" t="str">
        <f t="shared" si="126"/>
        <v/>
      </c>
      <c r="X461" s="321">
        <f t="shared" si="127"/>
        <v>0</v>
      </c>
      <c r="Y461" s="322" t="str">
        <f t="shared" si="128"/>
        <v/>
      </c>
      <c r="Z461" s="322" t="str">
        <f t="shared" si="129"/>
        <v/>
      </c>
      <c r="AA461" s="323" t="str">
        <f t="shared" si="130"/>
        <v/>
      </c>
      <c r="AB461" s="323"/>
      <c r="AC461" s="323"/>
      <c r="AD461" s="323"/>
      <c r="AE461" s="323"/>
      <c r="AF461" s="324" t="str">
        <f t="shared" si="131"/>
        <v/>
      </c>
      <c r="AG461" s="312"/>
      <c r="AH461" s="312"/>
      <c r="AI461" s="325">
        <f t="shared" si="132"/>
        <v>0</v>
      </c>
      <c r="AJ461" s="312"/>
      <c r="AK461" s="312"/>
      <c r="AL461" s="312"/>
      <c r="AM461" s="312"/>
      <c r="AN461" s="312"/>
      <c r="AO461" s="312"/>
      <c r="AP461" s="312"/>
      <c r="AQ461" s="312"/>
      <c r="AR461" s="312"/>
      <c r="AS461" s="312"/>
      <c r="AT461" s="312"/>
      <c r="AU461" s="312"/>
      <c r="AV461" s="312"/>
      <c r="AW461" s="312"/>
      <c r="AX461" s="312"/>
      <c r="AY461" s="312"/>
      <c r="AZ461" s="312"/>
      <c r="BA461" s="312"/>
      <c r="BB461" s="312"/>
      <c r="BC461" s="312"/>
      <c r="BD461" s="312"/>
      <c r="BE461" s="312"/>
      <c r="BF461" s="312"/>
      <c r="BG461" s="312"/>
      <c r="BH461" s="312"/>
      <c r="BI461" s="312"/>
      <c r="BJ461" s="312"/>
      <c r="BK461" s="312"/>
      <c r="BL461" s="312"/>
      <c r="BM461" s="312"/>
      <c r="BN461" s="312"/>
      <c r="BO461" s="312"/>
      <c r="BP461" s="312"/>
      <c r="BQ461" s="312"/>
      <c r="BR461" s="312"/>
      <c r="BS461" s="312"/>
      <c r="BT461" s="312"/>
      <c r="BU461" s="312"/>
      <c r="BV461" s="312"/>
      <c r="BW461" s="312"/>
      <c r="BX461" s="312"/>
      <c r="BY461" s="312"/>
      <c r="BZ461" s="312"/>
      <c r="CA461" s="312"/>
      <c r="CB461" s="312"/>
      <c r="CC461" s="312"/>
      <c r="CD461" s="312"/>
      <c r="CE461" s="312"/>
      <c r="CF461" s="312"/>
      <c r="CG461" s="312"/>
      <c r="CH461" s="312"/>
      <c r="CI461" s="312"/>
      <c r="CJ461" s="312"/>
      <c r="CK461" s="312"/>
      <c r="CL461" s="312"/>
      <c r="CM461" s="312"/>
      <c r="CN461" s="312"/>
      <c r="CO461" s="312"/>
      <c r="CP461" s="312"/>
      <c r="CQ461" s="312"/>
      <c r="CR461" s="312"/>
      <c r="CS461" s="312"/>
      <c r="CT461" s="312"/>
      <c r="CU461" s="312"/>
      <c r="CV461" s="312"/>
      <c r="CW461" s="312"/>
      <c r="CX461" s="312"/>
      <c r="CY461" s="312"/>
      <c r="CZ461" s="312"/>
      <c r="DA461" s="312"/>
      <c r="DB461" s="312"/>
      <c r="DC461" s="312"/>
      <c r="DD461" s="312"/>
      <c r="DE461" s="312"/>
      <c r="DF461" s="312"/>
      <c r="DG461" s="312"/>
      <c r="DH461" s="312"/>
      <c r="DI461" s="312"/>
      <c r="DJ461" s="312"/>
      <c r="DK461" s="312"/>
      <c r="DL461" s="312"/>
      <c r="DM461" s="312"/>
      <c r="DN461" s="312"/>
      <c r="DO461" s="312"/>
      <c r="DP461" s="312"/>
      <c r="DQ461" s="312"/>
      <c r="DR461" s="312"/>
      <c r="DS461" s="312"/>
      <c r="DT461" s="312"/>
      <c r="DU461" s="312"/>
      <c r="DV461" s="312"/>
      <c r="DW461" s="312"/>
      <c r="DX461" s="312"/>
      <c r="DY461" s="312"/>
      <c r="DZ461" s="312"/>
      <c r="EA461" s="312"/>
      <c r="EB461" s="312"/>
      <c r="EC461" s="312"/>
      <c r="ED461" s="312"/>
      <c r="EE461" s="312"/>
      <c r="EF461" s="312"/>
      <c r="EG461" s="312"/>
      <c r="EH461" s="312"/>
      <c r="EI461" s="312"/>
      <c r="EJ461" s="312"/>
      <c r="EK461" s="312"/>
      <c r="EL461" s="312"/>
      <c r="EM461" s="312"/>
      <c r="EN461" s="312"/>
      <c r="EO461" s="312"/>
      <c r="EP461" s="312"/>
      <c r="EQ461" s="312"/>
      <c r="ER461" s="312"/>
      <c r="ES461" s="312"/>
      <c r="ET461" s="312"/>
      <c r="EU461" s="312"/>
      <c r="EV461" s="312"/>
      <c r="EW461" s="312"/>
      <c r="EX461" s="312"/>
      <c r="EY461" s="312"/>
      <c r="EZ461" s="312"/>
      <c r="FA461" s="312"/>
      <c r="FB461" s="312"/>
      <c r="FC461" s="312"/>
      <c r="FD461" s="312"/>
      <c r="FE461" s="312"/>
      <c r="FF461" s="312"/>
      <c r="FG461" s="312"/>
      <c r="FH461" s="312"/>
      <c r="FI461" s="312"/>
      <c r="FJ461" s="312"/>
      <c r="FK461" s="312"/>
      <c r="FL461" s="312"/>
      <c r="FM461" s="312"/>
      <c r="FN461" s="312"/>
      <c r="FO461" s="312"/>
      <c r="FP461" s="312"/>
      <c r="FQ461" s="312"/>
      <c r="FR461" s="312"/>
      <c r="FS461" s="312"/>
      <c r="FT461" s="312"/>
      <c r="FU461" s="312"/>
      <c r="FV461" s="312"/>
      <c r="FW461" s="312"/>
      <c r="FX461" s="312"/>
      <c r="FY461" s="312"/>
      <c r="FZ461" s="312"/>
      <c r="GA461" s="312"/>
      <c r="GB461" s="312"/>
      <c r="GC461" s="312"/>
      <c r="GD461" s="312"/>
      <c r="GE461" s="312"/>
      <c r="GF461" s="312"/>
      <c r="GG461" s="312"/>
      <c r="GH461" s="312"/>
      <c r="GI461" s="312"/>
      <c r="GJ461" s="312"/>
      <c r="GK461" s="312"/>
      <c r="GL461" s="312"/>
      <c r="GM461" s="312"/>
      <c r="GN461" s="312"/>
      <c r="GO461" s="312"/>
      <c r="GP461" s="312"/>
      <c r="GQ461" s="312"/>
      <c r="GR461" s="312"/>
      <c r="GS461" s="312"/>
      <c r="GT461" s="312"/>
      <c r="GU461" s="312"/>
      <c r="GV461" s="312"/>
      <c r="GW461" s="312"/>
      <c r="GX461" s="312"/>
      <c r="GY461" s="312"/>
    </row>
    <row r="462" spans="2:207" ht="15.75" x14ac:dyDescent="0.25">
      <c r="B462" s="316" t="str">
        <f t="shared" si="115"/>
        <v/>
      </c>
      <c r="C462" s="330" t="str">
        <f>'סיכום לוועדה'!B462</f>
        <v/>
      </c>
      <c r="D462" s="330" t="str">
        <f>'סיכום לוועדה'!C462</f>
        <v/>
      </c>
      <c r="E462" s="330" t="str">
        <f>'סיכום לוועדה'!D462</f>
        <v/>
      </c>
      <c r="F462" s="330" t="str">
        <f>'סיכום לוועדה'!E462</f>
        <v/>
      </c>
      <c r="G462" s="330" t="str">
        <f>'סיכום לוועדה'!F462</f>
        <v/>
      </c>
      <c r="H462" s="317" t="str">
        <f>'סיכום לוועדה'!G462</f>
        <v/>
      </c>
      <c r="I462" s="318" t="str">
        <f>'סיכום לוועדה'!U462</f>
        <v/>
      </c>
      <c r="J462" s="319" t="str">
        <f>'סיכום לוועדה'!T462</f>
        <v/>
      </c>
      <c r="K462" s="320" t="str">
        <f t="shared" si="116"/>
        <v/>
      </c>
      <c r="L462" s="319" t="str">
        <f t="shared" si="117"/>
        <v/>
      </c>
      <c r="M462" s="331" t="str">
        <f>'תחום תמיכה ב'!AF462</f>
        <v/>
      </c>
      <c r="N462" s="319" t="str">
        <f t="shared" si="114"/>
        <v/>
      </c>
      <c r="O462" s="321">
        <f t="shared" si="118"/>
        <v>0</v>
      </c>
      <c r="P462" s="322" t="str">
        <f t="shared" si="119"/>
        <v/>
      </c>
      <c r="Q462" s="322" t="str">
        <f t="shared" si="120"/>
        <v/>
      </c>
      <c r="R462" s="321">
        <f t="shared" si="121"/>
        <v>0</v>
      </c>
      <c r="S462" s="322" t="str">
        <f t="shared" si="122"/>
        <v/>
      </c>
      <c r="T462" s="322" t="str">
        <f t="shared" si="123"/>
        <v/>
      </c>
      <c r="U462" s="321">
        <f t="shared" si="124"/>
        <v>0</v>
      </c>
      <c r="V462" s="322" t="str">
        <f t="shared" si="125"/>
        <v/>
      </c>
      <c r="W462" s="322" t="str">
        <f t="shared" si="126"/>
        <v/>
      </c>
      <c r="X462" s="321">
        <f t="shared" si="127"/>
        <v>0</v>
      </c>
      <c r="Y462" s="322" t="str">
        <f t="shared" si="128"/>
        <v/>
      </c>
      <c r="Z462" s="322" t="str">
        <f t="shared" si="129"/>
        <v/>
      </c>
      <c r="AA462" s="323" t="str">
        <f t="shared" si="130"/>
        <v/>
      </c>
      <c r="AB462" s="323"/>
      <c r="AC462" s="323"/>
      <c r="AD462" s="323"/>
      <c r="AE462" s="323"/>
      <c r="AF462" s="324" t="str">
        <f t="shared" si="131"/>
        <v/>
      </c>
      <c r="AG462" s="312"/>
      <c r="AH462" s="312"/>
      <c r="AI462" s="325">
        <f t="shared" si="132"/>
        <v>0</v>
      </c>
      <c r="AJ462" s="312"/>
      <c r="AK462" s="312"/>
      <c r="AL462" s="312"/>
      <c r="AM462" s="312"/>
      <c r="AN462" s="312"/>
      <c r="AO462" s="312"/>
      <c r="AP462" s="312"/>
      <c r="AQ462" s="312"/>
      <c r="AR462" s="312"/>
      <c r="AS462" s="312"/>
      <c r="AT462" s="312"/>
      <c r="AU462" s="312"/>
      <c r="AV462" s="312"/>
      <c r="AW462" s="312"/>
      <c r="AX462" s="312"/>
      <c r="AY462" s="312"/>
      <c r="AZ462" s="312"/>
      <c r="BA462" s="312"/>
      <c r="BB462" s="312"/>
      <c r="BC462" s="312"/>
      <c r="BD462" s="312"/>
      <c r="BE462" s="312"/>
      <c r="BF462" s="312"/>
      <c r="BG462" s="312"/>
      <c r="BH462" s="312"/>
      <c r="BI462" s="312"/>
      <c r="BJ462" s="312"/>
      <c r="BK462" s="312"/>
      <c r="BL462" s="312"/>
      <c r="BM462" s="312"/>
      <c r="BN462" s="312"/>
      <c r="BO462" s="312"/>
      <c r="BP462" s="312"/>
      <c r="BQ462" s="312"/>
      <c r="BR462" s="312"/>
      <c r="BS462" s="312"/>
      <c r="BT462" s="312"/>
      <c r="BU462" s="312"/>
      <c r="BV462" s="312"/>
      <c r="BW462" s="312"/>
      <c r="BX462" s="312"/>
      <c r="BY462" s="312"/>
      <c r="BZ462" s="312"/>
      <c r="CA462" s="312"/>
      <c r="CB462" s="312"/>
      <c r="CC462" s="312"/>
      <c r="CD462" s="312"/>
      <c r="CE462" s="312"/>
      <c r="CF462" s="312"/>
      <c r="CG462" s="312"/>
      <c r="CH462" s="312"/>
      <c r="CI462" s="312"/>
      <c r="CJ462" s="312"/>
      <c r="CK462" s="312"/>
      <c r="CL462" s="312"/>
      <c r="CM462" s="312"/>
      <c r="CN462" s="312"/>
      <c r="CO462" s="312"/>
      <c r="CP462" s="312"/>
      <c r="CQ462" s="312"/>
      <c r="CR462" s="312"/>
      <c r="CS462" s="312"/>
      <c r="CT462" s="312"/>
      <c r="CU462" s="312"/>
      <c r="CV462" s="312"/>
      <c r="CW462" s="312"/>
      <c r="CX462" s="312"/>
      <c r="CY462" s="312"/>
      <c r="CZ462" s="312"/>
      <c r="DA462" s="312"/>
      <c r="DB462" s="312"/>
      <c r="DC462" s="312"/>
      <c r="DD462" s="312"/>
      <c r="DE462" s="312"/>
      <c r="DF462" s="312"/>
      <c r="DG462" s="312"/>
      <c r="DH462" s="312"/>
      <c r="DI462" s="312"/>
      <c r="DJ462" s="312"/>
      <c r="DK462" s="312"/>
      <c r="DL462" s="312"/>
      <c r="DM462" s="312"/>
      <c r="DN462" s="312"/>
      <c r="DO462" s="312"/>
      <c r="DP462" s="312"/>
      <c r="DQ462" s="312"/>
      <c r="DR462" s="312"/>
      <c r="DS462" s="312"/>
      <c r="DT462" s="312"/>
      <c r="DU462" s="312"/>
      <c r="DV462" s="312"/>
      <c r="DW462" s="312"/>
      <c r="DX462" s="312"/>
      <c r="DY462" s="312"/>
      <c r="DZ462" s="312"/>
      <c r="EA462" s="312"/>
      <c r="EB462" s="312"/>
      <c r="EC462" s="312"/>
      <c r="ED462" s="312"/>
      <c r="EE462" s="312"/>
      <c r="EF462" s="312"/>
      <c r="EG462" s="312"/>
      <c r="EH462" s="312"/>
      <c r="EI462" s="312"/>
      <c r="EJ462" s="312"/>
      <c r="EK462" s="312"/>
      <c r="EL462" s="312"/>
      <c r="EM462" s="312"/>
      <c r="EN462" s="312"/>
      <c r="EO462" s="312"/>
      <c r="EP462" s="312"/>
      <c r="EQ462" s="312"/>
      <c r="ER462" s="312"/>
      <c r="ES462" s="312"/>
      <c r="ET462" s="312"/>
      <c r="EU462" s="312"/>
      <c r="EV462" s="312"/>
      <c r="EW462" s="312"/>
      <c r="EX462" s="312"/>
      <c r="EY462" s="312"/>
      <c r="EZ462" s="312"/>
      <c r="FA462" s="312"/>
      <c r="FB462" s="312"/>
      <c r="FC462" s="312"/>
      <c r="FD462" s="312"/>
      <c r="FE462" s="312"/>
      <c r="FF462" s="312"/>
      <c r="FG462" s="312"/>
      <c r="FH462" s="312"/>
      <c r="FI462" s="312"/>
      <c r="FJ462" s="312"/>
      <c r="FK462" s="312"/>
      <c r="FL462" s="312"/>
      <c r="FM462" s="312"/>
      <c r="FN462" s="312"/>
      <c r="FO462" s="312"/>
      <c r="FP462" s="312"/>
      <c r="FQ462" s="312"/>
      <c r="FR462" s="312"/>
      <c r="FS462" s="312"/>
      <c r="FT462" s="312"/>
      <c r="FU462" s="312"/>
      <c r="FV462" s="312"/>
      <c r="FW462" s="312"/>
      <c r="FX462" s="312"/>
      <c r="FY462" s="312"/>
      <c r="FZ462" s="312"/>
      <c r="GA462" s="312"/>
      <c r="GB462" s="312"/>
      <c r="GC462" s="312"/>
      <c r="GD462" s="312"/>
      <c r="GE462" s="312"/>
      <c r="GF462" s="312"/>
      <c r="GG462" s="312"/>
      <c r="GH462" s="312"/>
      <c r="GI462" s="312"/>
      <c r="GJ462" s="312"/>
      <c r="GK462" s="312"/>
      <c r="GL462" s="312"/>
      <c r="GM462" s="312"/>
      <c r="GN462" s="312"/>
      <c r="GO462" s="312"/>
      <c r="GP462" s="312"/>
      <c r="GQ462" s="312"/>
      <c r="GR462" s="312"/>
      <c r="GS462" s="312"/>
      <c r="GT462" s="312"/>
      <c r="GU462" s="312"/>
      <c r="GV462" s="312"/>
      <c r="GW462" s="312"/>
      <c r="GX462" s="312"/>
      <c r="GY462" s="312"/>
    </row>
    <row r="463" spans="2:207" ht="15.75" x14ac:dyDescent="0.25">
      <c r="B463" s="316" t="str">
        <f t="shared" si="115"/>
        <v/>
      </c>
      <c r="C463" s="330" t="str">
        <f>'סיכום לוועדה'!B463</f>
        <v/>
      </c>
      <c r="D463" s="330" t="str">
        <f>'סיכום לוועדה'!C463</f>
        <v/>
      </c>
      <c r="E463" s="330" t="str">
        <f>'סיכום לוועדה'!D463</f>
        <v/>
      </c>
      <c r="F463" s="330" t="str">
        <f>'סיכום לוועדה'!E463</f>
        <v/>
      </c>
      <c r="G463" s="330" t="str">
        <f>'סיכום לוועדה'!F463</f>
        <v/>
      </c>
      <c r="H463" s="317" t="str">
        <f>'סיכום לוועדה'!G463</f>
        <v/>
      </c>
      <c r="I463" s="318" t="str">
        <f>'סיכום לוועדה'!U463</f>
        <v/>
      </c>
      <c r="J463" s="319" t="str">
        <f>'סיכום לוועדה'!T463</f>
        <v/>
      </c>
      <c r="K463" s="320" t="str">
        <f t="shared" si="116"/>
        <v/>
      </c>
      <c r="L463" s="319" t="str">
        <f t="shared" si="117"/>
        <v/>
      </c>
      <c r="M463" s="331" t="str">
        <f>'תחום תמיכה ב'!AF463</f>
        <v/>
      </c>
      <c r="N463" s="319" t="str">
        <f t="shared" si="114"/>
        <v/>
      </c>
      <c r="O463" s="321">
        <f t="shared" si="118"/>
        <v>0</v>
      </c>
      <c r="P463" s="322" t="str">
        <f t="shared" si="119"/>
        <v/>
      </c>
      <c r="Q463" s="322" t="str">
        <f t="shared" si="120"/>
        <v/>
      </c>
      <c r="R463" s="321">
        <f t="shared" si="121"/>
        <v>0</v>
      </c>
      <c r="S463" s="322" t="str">
        <f t="shared" si="122"/>
        <v/>
      </c>
      <c r="T463" s="322" t="str">
        <f t="shared" si="123"/>
        <v/>
      </c>
      <c r="U463" s="321">
        <f t="shared" si="124"/>
        <v>0</v>
      </c>
      <c r="V463" s="322" t="str">
        <f t="shared" si="125"/>
        <v/>
      </c>
      <c r="W463" s="322" t="str">
        <f t="shared" si="126"/>
        <v/>
      </c>
      <c r="X463" s="321">
        <f t="shared" si="127"/>
        <v>0</v>
      </c>
      <c r="Y463" s="322" t="str">
        <f t="shared" si="128"/>
        <v/>
      </c>
      <c r="Z463" s="322" t="str">
        <f t="shared" si="129"/>
        <v/>
      </c>
      <c r="AA463" s="323" t="str">
        <f t="shared" si="130"/>
        <v/>
      </c>
      <c r="AB463" s="323"/>
      <c r="AC463" s="323"/>
      <c r="AD463" s="323"/>
      <c r="AE463" s="323"/>
      <c r="AF463" s="324" t="str">
        <f t="shared" si="131"/>
        <v/>
      </c>
      <c r="AG463" s="312"/>
      <c r="AH463" s="312"/>
      <c r="AI463" s="325">
        <f t="shared" si="132"/>
        <v>0</v>
      </c>
      <c r="AJ463" s="312"/>
      <c r="AK463" s="312"/>
      <c r="AL463" s="312"/>
      <c r="AM463" s="312"/>
      <c r="AN463" s="312"/>
      <c r="AO463" s="312"/>
      <c r="AP463" s="312"/>
      <c r="AQ463" s="312"/>
      <c r="AR463" s="312"/>
      <c r="AS463" s="312"/>
      <c r="AT463" s="312"/>
      <c r="AU463" s="312"/>
      <c r="AV463" s="312"/>
      <c r="AW463" s="312"/>
      <c r="AX463" s="312"/>
      <c r="AY463" s="312"/>
      <c r="AZ463" s="312"/>
      <c r="BA463" s="312"/>
      <c r="BB463" s="312"/>
      <c r="BC463" s="312"/>
      <c r="BD463" s="312"/>
      <c r="BE463" s="312"/>
      <c r="BF463" s="312"/>
      <c r="BG463" s="312"/>
      <c r="BH463" s="312"/>
      <c r="BI463" s="312"/>
      <c r="BJ463" s="312"/>
      <c r="BK463" s="312"/>
      <c r="BL463" s="312"/>
      <c r="BM463" s="312"/>
      <c r="BN463" s="312"/>
      <c r="BO463" s="312"/>
      <c r="BP463" s="312"/>
      <c r="BQ463" s="312"/>
      <c r="BR463" s="312"/>
      <c r="BS463" s="312"/>
      <c r="BT463" s="312"/>
      <c r="BU463" s="312"/>
      <c r="BV463" s="312"/>
      <c r="BW463" s="312"/>
      <c r="BX463" s="312"/>
      <c r="BY463" s="312"/>
      <c r="BZ463" s="312"/>
      <c r="CA463" s="312"/>
      <c r="CB463" s="312"/>
      <c r="CC463" s="312"/>
      <c r="CD463" s="312"/>
      <c r="CE463" s="312"/>
      <c r="CF463" s="312"/>
      <c r="CG463" s="312"/>
      <c r="CH463" s="312"/>
      <c r="CI463" s="312"/>
      <c r="CJ463" s="312"/>
      <c r="CK463" s="312"/>
      <c r="CL463" s="312"/>
      <c r="CM463" s="312"/>
      <c r="CN463" s="312"/>
      <c r="CO463" s="312"/>
      <c r="CP463" s="312"/>
      <c r="CQ463" s="312"/>
      <c r="CR463" s="312"/>
      <c r="CS463" s="312"/>
      <c r="CT463" s="312"/>
      <c r="CU463" s="312"/>
      <c r="CV463" s="312"/>
      <c r="CW463" s="312"/>
      <c r="CX463" s="312"/>
      <c r="CY463" s="312"/>
      <c r="CZ463" s="312"/>
      <c r="DA463" s="312"/>
      <c r="DB463" s="312"/>
      <c r="DC463" s="312"/>
      <c r="DD463" s="312"/>
      <c r="DE463" s="312"/>
      <c r="DF463" s="312"/>
      <c r="DG463" s="312"/>
      <c r="DH463" s="312"/>
      <c r="DI463" s="312"/>
      <c r="DJ463" s="312"/>
      <c r="DK463" s="312"/>
      <c r="DL463" s="312"/>
      <c r="DM463" s="312"/>
      <c r="DN463" s="312"/>
      <c r="DO463" s="312"/>
      <c r="DP463" s="312"/>
      <c r="DQ463" s="312"/>
      <c r="DR463" s="312"/>
      <c r="DS463" s="312"/>
      <c r="DT463" s="312"/>
      <c r="DU463" s="312"/>
      <c r="DV463" s="312"/>
      <c r="DW463" s="312"/>
      <c r="DX463" s="312"/>
      <c r="DY463" s="312"/>
      <c r="DZ463" s="312"/>
      <c r="EA463" s="312"/>
      <c r="EB463" s="312"/>
      <c r="EC463" s="312"/>
      <c r="ED463" s="312"/>
      <c r="EE463" s="312"/>
      <c r="EF463" s="312"/>
      <c r="EG463" s="312"/>
      <c r="EH463" s="312"/>
      <c r="EI463" s="312"/>
      <c r="EJ463" s="312"/>
      <c r="EK463" s="312"/>
      <c r="EL463" s="312"/>
      <c r="EM463" s="312"/>
      <c r="EN463" s="312"/>
      <c r="EO463" s="312"/>
      <c r="EP463" s="312"/>
      <c r="EQ463" s="312"/>
      <c r="ER463" s="312"/>
      <c r="ES463" s="312"/>
      <c r="ET463" s="312"/>
      <c r="EU463" s="312"/>
      <c r="EV463" s="312"/>
      <c r="EW463" s="312"/>
      <c r="EX463" s="312"/>
      <c r="EY463" s="312"/>
      <c r="EZ463" s="312"/>
      <c r="FA463" s="312"/>
      <c r="FB463" s="312"/>
      <c r="FC463" s="312"/>
      <c r="FD463" s="312"/>
      <c r="FE463" s="312"/>
      <c r="FF463" s="312"/>
      <c r="FG463" s="312"/>
      <c r="FH463" s="312"/>
      <c r="FI463" s="312"/>
      <c r="FJ463" s="312"/>
      <c r="FK463" s="312"/>
      <c r="FL463" s="312"/>
      <c r="FM463" s="312"/>
      <c r="FN463" s="312"/>
      <c r="FO463" s="312"/>
      <c r="FP463" s="312"/>
      <c r="FQ463" s="312"/>
      <c r="FR463" s="312"/>
      <c r="FS463" s="312"/>
      <c r="FT463" s="312"/>
      <c r="FU463" s="312"/>
      <c r="FV463" s="312"/>
      <c r="FW463" s="312"/>
      <c r="FX463" s="312"/>
      <c r="FY463" s="312"/>
      <c r="FZ463" s="312"/>
      <c r="GA463" s="312"/>
      <c r="GB463" s="312"/>
      <c r="GC463" s="312"/>
      <c r="GD463" s="312"/>
      <c r="GE463" s="312"/>
      <c r="GF463" s="312"/>
      <c r="GG463" s="312"/>
      <c r="GH463" s="312"/>
      <c r="GI463" s="312"/>
      <c r="GJ463" s="312"/>
      <c r="GK463" s="312"/>
      <c r="GL463" s="312"/>
      <c r="GM463" s="312"/>
      <c r="GN463" s="312"/>
      <c r="GO463" s="312"/>
      <c r="GP463" s="312"/>
      <c r="GQ463" s="312"/>
      <c r="GR463" s="312"/>
      <c r="GS463" s="312"/>
      <c r="GT463" s="312"/>
      <c r="GU463" s="312"/>
      <c r="GV463" s="312"/>
      <c r="GW463" s="312"/>
      <c r="GX463" s="312"/>
      <c r="GY463" s="312"/>
    </row>
    <row r="464" spans="2:207" ht="15.75" x14ac:dyDescent="0.25">
      <c r="B464" s="316" t="str">
        <f t="shared" si="115"/>
        <v/>
      </c>
      <c r="C464" s="330" t="str">
        <f>'סיכום לוועדה'!B464</f>
        <v/>
      </c>
      <c r="D464" s="330" t="str">
        <f>'סיכום לוועדה'!C464</f>
        <v/>
      </c>
      <c r="E464" s="330" t="str">
        <f>'סיכום לוועדה'!D464</f>
        <v/>
      </c>
      <c r="F464" s="330" t="str">
        <f>'סיכום לוועדה'!E464</f>
        <v/>
      </c>
      <c r="G464" s="330" t="str">
        <f>'סיכום לוועדה'!F464</f>
        <v/>
      </c>
      <c r="H464" s="317" t="str">
        <f>'סיכום לוועדה'!G464</f>
        <v/>
      </c>
      <c r="I464" s="318" t="str">
        <f>'סיכום לוועדה'!U464</f>
        <v/>
      </c>
      <c r="J464" s="319" t="str">
        <f>'סיכום לוועדה'!T464</f>
        <v/>
      </c>
      <c r="K464" s="320" t="str">
        <f t="shared" si="116"/>
        <v/>
      </c>
      <c r="L464" s="319" t="str">
        <f t="shared" si="117"/>
        <v/>
      </c>
      <c r="M464" s="331" t="str">
        <f>'תחום תמיכה ב'!AF464</f>
        <v/>
      </c>
      <c r="N464" s="319" t="str">
        <f t="shared" si="114"/>
        <v/>
      </c>
      <c r="O464" s="321">
        <f t="shared" si="118"/>
        <v>0</v>
      </c>
      <c r="P464" s="322" t="str">
        <f t="shared" si="119"/>
        <v/>
      </c>
      <c r="Q464" s="322" t="str">
        <f t="shared" si="120"/>
        <v/>
      </c>
      <c r="R464" s="321">
        <f t="shared" si="121"/>
        <v>0</v>
      </c>
      <c r="S464" s="322" t="str">
        <f t="shared" si="122"/>
        <v/>
      </c>
      <c r="T464" s="322" t="str">
        <f t="shared" si="123"/>
        <v/>
      </c>
      <c r="U464" s="321">
        <f t="shared" si="124"/>
        <v>0</v>
      </c>
      <c r="V464" s="322" t="str">
        <f t="shared" si="125"/>
        <v/>
      </c>
      <c r="W464" s="322" t="str">
        <f t="shared" si="126"/>
        <v/>
      </c>
      <c r="X464" s="321">
        <f t="shared" si="127"/>
        <v>0</v>
      </c>
      <c r="Y464" s="322" t="str">
        <f t="shared" si="128"/>
        <v/>
      </c>
      <c r="Z464" s="322" t="str">
        <f t="shared" si="129"/>
        <v/>
      </c>
      <c r="AA464" s="323" t="str">
        <f t="shared" si="130"/>
        <v/>
      </c>
      <c r="AB464" s="323"/>
      <c r="AC464" s="323"/>
      <c r="AD464" s="323"/>
      <c r="AE464" s="323"/>
      <c r="AF464" s="324" t="str">
        <f t="shared" si="131"/>
        <v/>
      </c>
      <c r="AG464" s="312"/>
      <c r="AH464" s="312"/>
      <c r="AI464" s="325">
        <f t="shared" si="132"/>
        <v>0</v>
      </c>
      <c r="AJ464" s="312"/>
      <c r="AK464" s="312"/>
      <c r="AL464" s="312"/>
      <c r="AM464" s="312"/>
      <c r="AN464" s="312"/>
      <c r="AO464" s="312"/>
      <c r="AP464" s="312"/>
      <c r="AQ464" s="312"/>
      <c r="AR464" s="312"/>
      <c r="AS464" s="312"/>
      <c r="AT464" s="312"/>
      <c r="AU464" s="312"/>
      <c r="AV464" s="312"/>
      <c r="AW464" s="312"/>
      <c r="AX464" s="312"/>
      <c r="AY464" s="312"/>
      <c r="AZ464" s="312"/>
      <c r="BA464" s="312"/>
      <c r="BB464" s="312"/>
      <c r="BC464" s="312"/>
      <c r="BD464" s="312"/>
      <c r="BE464" s="312"/>
      <c r="BF464" s="312"/>
      <c r="BG464" s="312"/>
      <c r="BH464" s="312"/>
      <c r="BI464" s="312"/>
      <c r="BJ464" s="312"/>
      <c r="BK464" s="312"/>
      <c r="BL464" s="312"/>
      <c r="BM464" s="312"/>
      <c r="BN464" s="312"/>
      <c r="BO464" s="312"/>
      <c r="BP464" s="312"/>
      <c r="BQ464" s="312"/>
      <c r="BR464" s="312"/>
      <c r="BS464" s="312"/>
      <c r="BT464" s="312"/>
      <c r="BU464" s="312"/>
      <c r="BV464" s="312"/>
      <c r="BW464" s="312"/>
      <c r="BX464" s="312"/>
      <c r="BY464" s="312"/>
      <c r="BZ464" s="312"/>
      <c r="CA464" s="312"/>
      <c r="CB464" s="312"/>
      <c r="CC464" s="312"/>
      <c r="CD464" s="312"/>
      <c r="CE464" s="312"/>
      <c r="CF464" s="312"/>
      <c r="CG464" s="312"/>
      <c r="CH464" s="312"/>
      <c r="CI464" s="312"/>
      <c r="CJ464" s="312"/>
      <c r="CK464" s="312"/>
      <c r="CL464" s="312"/>
      <c r="CM464" s="312"/>
      <c r="CN464" s="312"/>
      <c r="CO464" s="312"/>
      <c r="CP464" s="312"/>
      <c r="CQ464" s="312"/>
      <c r="CR464" s="312"/>
      <c r="CS464" s="312"/>
      <c r="CT464" s="312"/>
      <c r="CU464" s="312"/>
      <c r="CV464" s="312"/>
      <c r="CW464" s="312"/>
      <c r="CX464" s="312"/>
      <c r="CY464" s="312"/>
      <c r="CZ464" s="312"/>
      <c r="DA464" s="312"/>
      <c r="DB464" s="312"/>
      <c r="DC464" s="312"/>
      <c r="DD464" s="312"/>
      <c r="DE464" s="312"/>
      <c r="DF464" s="312"/>
      <c r="DG464" s="312"/>
      <c r="DH464" s="312"/>
      <c r="DI464" s="312"/>
      <c r="DJ464" s="312"/>
      <c r="DK464" s="312"/>
      <c r="DL464" s="312"/>
      <c r="DM464" s="312"/>
      <c r="DN464" s="312"/>
      <c r="DO464" s="312"/>
      <c r="DP464" s="312"/>
      <c r="DQ464" s="312"/>
      <c r="DR464" s="312"/>
      <c r="DS464" s="312"/>
      <c r="DT464" s="312"/>
      <c r="DU464" s="312"/>
      <c r="DV464" s="312"/>
      <c r="DW464" s="312"/>
      <c r="DX464" s="312"/>
      <c r="DY464" s="312"/>
      <c r="DZ464" s="312"/>
      <c r="EA464" s="312"/>
      <c r="EB464" s="312"/>
      <c r="EC464" s="312"/>
      <c r="ED464" s="312"/>
      <c r="EE464" s="312"/>
      <c r="EF464" s="312"/>
      <c r="EG464" s="312"/>
      <c r="EH464" s="312"/>
      <c r="EI464" s="312"/>
      <c r="EJ464" s="312"/>
      <c r="EK464" s="312"/>
      <c r="EL464" s="312"/>
      <c r="EM464" s="312"/>
      <c r="EN464" s="312"/>
      <c r="EO464" s="312"/>
      <c r="EP464" s="312"/>
      <c r="EQ464" s="312"/>
      <c r="ER464" s="312"/>
      <c r="ES464" s="312"/>
      <c r="ET464" s="312"/>
      <c r="EU464" s="312"/>
      <c r="EV464" s="312"/>
      <c r="EW464" s="312"/>
      <c r="EX464" s="312"/>
      <c r="EY464" s="312"/>
      <c r="EZ464" s="312"/>
      <c r="FA464" s="312"/>
      <c r="FB464" s="312"/>
      <c r="FC464" s="312"/>
      <c r="FD464" s="312"/>
      <c r="FE464" s="312"/>
      <c r="FF464" s="312"/>
      <c r="FG464" s="312"/>
      <c r="FH464" s="312"/>
      <c r="FI464" s="312"/>
      <c r="FJ464" s="312"/>
      <c r="FK464" s="312"/>
      <c r="FL464" s="312"/>
      <c r="FM464" s="312"/>
      <c r="FN464" s="312"/>
      <c r="FO464" s="312"/>
      <c r="FP464" s="312"/>
      <c r="FQ464" s="312"/>
      <c r="FR464" s="312"/>
      <c r="FS464" s="312"/>
      <c r="FT464" s="312"/>
      <c r="FU464" s="312"/>
      <c r="FV464" s="312"/>
      <c r="FW464" s="312"/>
      <c r="FX464" s="312"/>
      <c r="FY464" s="312"/>
      <c r="FZ464" s="312"/>
      <c r="GA464" s="312"/>
      <c r="GB464" s="312"/>
      <c r="GC464" s="312"/>
      <c r="GD464" s="312"/>
      <c r="GE464" s="312"/>
      <c r="GF464" s="312"/>
      <c r="GG464" s="312"/>
      <c r="GH464" s="312"/>
      <c r="GI464" s="312"/>
      <c r="GJ464" s="312"/>
      <c r="GK464" s="312"/>
      <c r="GL464" s="312"/>
      <c r="GM464" s="312"/>
      <c r="GN464" s="312"/>
      <c r="GO464" s="312"/>
      <c r="GP464" s="312"/>
      <c r="GQ464" s="312"/>
      <c r="GR464" s="312"/>
      <c r="GS464" s="312"/>
      <c r="GT464" s="312"/>
      <c r="GU464" s="312"/>
      <c r="GV464" s="312"/>
      <c r="GW464" s="312"/>
      <c r="GX464" s="312"/>
      <c r="GY464" s="312"/>
    </row>
    <row r="465" spans="2:207" ht="15.75" x14ac:dyDescent="0.25">
      <c r="B465" s="316" t="str">
        <f t="shared" si="115"/>
        <v/>
      </c>
      <c r="C465" s="330" t="str">
        <f>'סיכום לוועדה'!B465</f>
        <v/>
      </c>
      <c r="D465" s="330" t="str">
        <f>'סיכום לוועדה'!C465</f>
        <v/>
      </c>
      <c r="E465" s="330" t="str">
        <f>'סיכום לוועדה'!D465</f>
        <v/>
      </c>
      <c r="F465" s="330" t="str">
        <f>'סיכום לוועדה'!E465</f>
        <v/>
      </c>
      <c r="G465" s="330" t="str">
        <f>'סיכום לוועדה'!F465</f>
        <v/>
      </c>
      <c r="H465" s="317" t="str">
        <f>'סיכום לוועדה'!G465</f>
        <v/>
      </c>
      <c r="I465" s="318" t="str">
        <f>'סיכום לוועדה'!U465</f>
        <v/>
      </c>
      <c r="J465" s="319" t="str">
        <f>'סיכום לוועדה'!T465</f>
        <v/>
      </c>
      <c r="K465" s="320" t="str">
        <f t="shared" si="116"/>
        <v/>
      </c>
      <c r="L465" s="319" t="str">
        <f t="shared" si="117"/>
        <v/>
      </c>
      <c r="M465" s="331" t="str">
        <f>'תחום תמיכה ב'!AF465</f>
        <v/>
      </c>
      <c r="N465" s="319" t="str">
        <f t="shared" si="114"/>
        <v/>
      </c>
      <c r="O465" s="321">
        <f t="shared" si="118"/>
        <v>0</v>
      </c>
      <c r="P465" s="322" t="str">
        <f t="shared" si="119"/>
        <v/>
      </c>
      <c r="Q465" s="322" t="str">
        <f t="shared" si="120"/>
        <v/>
      </c>
      <c r="R465" s="321">
        <f t="shared" si="121"/>
        <v>0</v>
      </c>
      <c r="S465" s="322" t="str">
        <f t="shared" si="122"/>
        <v/>
      </c>
      <c r="T465" s="322" t="str">
        <f t="shared" si="123"/>
        <v/>
      </c>
      <c r="U465" s="321">
        <f t="shared" si="124"/>
        <v>0</v>
      </c>
      <c r="V465" s="322" t="str">
        <f t="shared" si="125"/>
        <v/>
      </c>
      <c r="W465" s="322" t="str">
        <f t="shared" si="126"/>
        <v/>
      </c>
      <c r="X465" s="321">
        <f t="shared" si="127"/>
        <v>0</v>
      </c>
      <c r="Y465" s="322" t="str">
        <f t="shared" si="128"/>
        <v/>
      </c>
      <c r="Z465" s="322" t="str">
        <f t="shared" si="129"/>
        <v/>
      </c>
      <c r="AA465" s="323" t="str">
        <f t="shared" si="130"/>
        <v/>
      </c>
      <c r="AB465" s="323"/>
      <c r="AC465" s="323"/>
      <c r="AD465" s="323"/>
      <c r="AE465" s="323"/>
      <c r="AF465" s="324" t="str">
        <f t="shared" si="131"/>
        <v/>
      </c>
      <c r="AG465" s="312"/>
      <c r="AH465" s="312"/>
      <c r="AI465" s="325">
        <f t="shared" si="132"/>
        <v>0</v>
      </c>
      <c r="AJ465" s="312"/>
      <c r="AK465" s="312"/>
      <c r="AL465" s="312"/>
      <c r="AM465" s="312"/>
      <c r="AN465" s="312"/>
      <c r="AO465" s="312"/>
      <c r="AP465" s="312"/>
      <c r="AQ465" s="312"/>
      <c r="AR465" s="312"/>
      <c r="AS465" s="312"/>
      <c r="AT465" s="312"/>
      <c r="AU465" s="312"/>
      <c r="AV465" s="312"/>
      <c r="AW465" s="312"/>
      <c r="AX465" s="312"/>
      <c r="AY465" s="312"/>
      <c r="AZ465" s="312"/>
      <c r="BA465" s="312"/>
      <c r="BB465" s="312"/>
      <c r="BC465" s="312"/>
      <c r="BD465" s="312"/>
      <c r="BE465" s="312"/>
      <c r="BF465" s="312"/>
      <c r="BG465" s="312"/>
      <c r="BH465" s="312"/>
      <c r="BI465" s="312"/>
      <c r="BJ465" s="312"/>
      <c r="BK465" s="312"/>
      <c r="BL465" s="312"/>
      <c r="BM465" s="312"/>
      <c r="BN465" s="312"/>
      <c r="BO465" s="312"/>
      <c r="BP465" s="312"/>
      <c r="BQ465" s="312"/>
      <c r="BR465" s="312"/>
      <c r="BS465" s="312"/>
      <c r="BT465" s="312"/>
      <c r="BU465" s="312"/>
      <c r="BV465" s="312"/>
      <c r="BW465" s="312"/>
      <c r="BX465" s="312"/>
      <c r="BY465" s="312"/>
      <c r="BZ465" s="312"/>
      <c r="CA465" s="312"/>
      <c r="CB465" s="312"/>
      <c r="CC465" s="312"/>
      <c r="CD465" s="312"/>
      <c r="CE465" s="312"/>
      <c r="CF465" s="312"/>
      <c r="CG465" s="312"/>
      <c r="CH465" s="312"/>
      <c r="CI465" s="312"/>
      <c r="CJ465" s="312"/>
      <c r="CK465" s="312"/>
      <c r="CL465" s="312"/>
      <c r="CM465" s="312"/>
      <c r="CN465" s="312"/>
      <c r="CO465" s="312"/>
      <c r="CP465" s="312"/>
      <c r="CQ465" s="312"/>
      <c r="CR465" s="312"/>
      <c r="CS465" s="312"/>
      <c r="CT465" s="312"/>
      <c r="CU465" s="312"/>
      <c r="CV465" s="312"/>
      <c r="CW465" s="312"/>
      <c r="CX465" s="312"/>
      <c r="CY465" s="312"/>
      <c r="CZ465" s="312"/>
      <c r="DA465" s="312"/>
      <c r="DB465" s="312"/>
      <c r="DC465" s="312"/>
      <c r="DD465" s="312"/>
      <c r="DE465" s="312"/>
      <c r="DF465" s="312"/>
      <c r="DG465" s="312"/>
      <c r="DH465" s="312"/>
      <c r="DI465" s="312"/>
      <c r="DJ465" s="312"/>
      <c r="DK465" s="312"/>
      <c r="DL465" s="312"/>
      <c r="DM465" s="312"/>
      <c r="DN465" s="312"/>
      <c r="DO465" s="312"/>
      <c r="DP465" s="312"/>
      <c r="DQ465" s="312"/>
      <c r="DR465" s="312"/>
      <c r="DS465" s="312"/>
      <c r="DT465" s="312"/>
      <c r="DU465" s="312"/>
      <c r="DV465" s="312"/>
      <c r="DW465" s="312"/>
      <c r="DX465" s="312"/>
      <c r="DY465" s="312"/>
      <c r="DZ465" s="312"/>
      <c r="EA465" s="312"/>
      <c r="EB465" s="312"/>
      <c r="EC465" s="312"/>
      <c r="ED465" s="312"/>
      <c r="EE465" s="312"/>
      <c r="EF465" s="312"/>
      <c r="EG465" s="312"/>
      <c r="EH465" s="312"/>
      <c r="EI465" s="312"/>
      <c r="EJ465" s="312"/>
      <c r="EK465" s="312"/>
      <c r="EL465" s="312"/>
      <c r="EM465" s="312"/>
      <c r="EN465" s="312"/>
      <c r="EO465" s="312"/>
      <c r="EP465" s="312"/>
      <c r="EQ465" s="312"/>
      <c r="ER465" s="312"/>
      <c r="ES465" s="312"/>
      <c r="ET465" s="312"/>
      <c r="EU465" s="312"/>
      <c r="EV465" s="312"/>
      <c r="EW465" s="312"/>
      <c r="EX465" s="312"/>
      <c r="EY465" s="312"/>
      <c r="EZ465" s="312"/>
      <c r="FA465" s="312"/>
      <c r="FB465" s="312"/>
      <c r="FC465" s="312"/>
      <c r="FD465" s="312"/>
      <c r="FE465" s="312"/>
      <c r="FF465" s="312"/>
      <c r="FG465" s="312"/>
      <c r="FH465" s="312"/>
      <c r="FI465" s="312"/>
      <c r="FJ465" s="312"/>
      <c r="FK465" s="312"/>
      <c r="FL465" s="312"/>
      <c r="FM465" s="312"/>
      <c r="FN465" s="312"/>
      <c r="FO465" s="312"/>
      <c r="FP465" s="312"/>
      <c r="FQ465" s="312"/>
      <c r="FR465" s="312"/>
      <c r="FS465" s="312"/>
      <c r="FT465" s="312"/>
      <c r="FU465" s="312"/>
      <c r="FV465" s="312"/>
      <c r="FW465" s="312"/>
      <c r="FX465" s="312"/>
      <c r="FY465" s="312"/>
      <c r="FZ465" s="312"/>
      <c r="GA465" s="312"/>
      <c r="GB465" s="312"/>
      <c r="GC465" s="312"/>
      <c r="GD465" s="312"/>
      <c r="GE465" s="312"/>
      <c r="GF465" s="312"/>
      <c r="GG465" s="312"/>
      <c r="GH465" s="312"/>
      <c r="GI465" s="312"/>
      <c r="GJ465" s="312"/>
      <c r="GK465" s="312"/>
      <c r="GL465" s="312"/>
      <c r="GM465" s="312"/>
      <c r="GN465" s="312"/>
      <c r="GO465" s="312"/>
      <c r="GP465" s="312"/>
      <c r="GQ465" s="312"/>
      <c r="GR465" s="312"/>
      <c r="GS465" s="312"/>
      <c r="GT465" s="312"/>
      <c r="GU465" s="312"/>
      <c r="GV465" s="312"/>
      <c r="GW465" s="312"/>
      <c r="GX465" s="312"/>
      <c r="GY465" s="312"/>
    </row>
    <row r="466" spans="2:207" ht="15.75" x14ac:dyDescent="0.25">
      <c r="B466" s="316" t="str">
        <f t="shared" si="115"/>
        <v/>
      </c>
      <c r="C466" s="330" t="str">
        <f>'סיכום לוועדה'!B466</f>
        <v/>
      </c>
      <c r="D466" s="330" t="str">
        <f>'סיכום לוועדה'!C466</f>
        <v/>
      </c>
      <c r="E466" s="330" t="str">
        <f>'סיכום לוועדה'!D466</f>
        <v/>
      </c>
      <c r="F466" s="330" t="str">
        <f>'סיכום לוועדה'!E466</f>
        <v/>
      </c>
      <c r="G466" s="330" t="str">
        <f>'סיכום לוועדה'!F466</f>
        <v/>
      </c>
      <c r="H466" s="317" t="str">
        <f>'סיכום לוועדה'!G466</f>
        <v/>
      </c>
      <c r="I466" s="318" t="str">
        <f>'סיכום לוועדה'!U466</f>
        <v/>
      </c>
      <c r="J466" s="319" t="str">
        <f>'סיכום לוועדה'!T466</f>
        <v/>
      </c>
      <c r="K466" s="320" t="str">
        <f t="shared" si="116"/>
        <v/>
      </c>
      <c r="L466" s="319" t="str">
        <f t="shared" si="117"/>
        <v/>
      </c>
      <c r="M466" s="331" t="str">
        <f>'תחום תמיכה ב'!AF466</f>
        <v/>
      </c>
      <c r="N466" s="319" t="str">
        <f t="shared" si="114"/>
        <v/>
      </c>
      <c r="O466" s="321">
        <f t="shared" si="118"/>
        <v>0</v>
      </c>
      <c r="P466" s="322" t="str">
        <f t="shared" si="119"/>
        <v/>
      </c>
      <c r="Q466" s="322" t="str">
        <f t="shared" si="120"/>
        <v/>
      </c>
      <c r="R466" s="321">
        <f t="shared" si="121"/>
        <v>0</v>
      </c>
      <c r="S466" s="322" t="str">
        <f t="shared" si="122"/>
        <v/>
      </c>
      <c r="T466" s="322" t="str">
        <f t="shared" si="123"/>
        <v/>
      </c>
      <c r="U466" s="321">
        <f t="shared" si="124"/>
        <v>0</v>
      </c>
      <c r="V466" s="322" t="str">
        <f t="shared" si="125"/>
        <v/>
      </c>
      <c r="W466" s="322" t="str">
        <f t="shared" si="126"/>
        <v/>
      </c>
      <c r="X466" s="321">
        <f t="shared" si="127"/>
        <v>0</v>
      </c>
      <c r="Y466" s="322" t="str">
        <f t="shared" si="128"/>
        <v/>
      </c>
      <c r="Z466" s="322" t="str">
        <f t="shared" si="129"/>
        <v/>
      </c>
      <c r="AA466" s="323" t="str">
        <f t="shared" si="130"/>
        <v/>
      </c>
      <c r="AB466" s="323"/>
      <c r="AC466" s="323"/>
      <c r="AD466" s="323"/>
      <c r="AE466" s="323"/>
      <c r="AF466" s="324" t="str">
        <f t="shared" si="131"/>
        <v/>
      </c>
      <c r="AG466" s="312"/>
      <c r="AH466" s="312"/>
      <c r="AI466" s="325">
        <f t="shared" si="132"/>
        <v>0</v>
      </c>
      <c r="AJ466" s="312"/>
      <c r="AK466" s="312"/>
      <c r="AL466" s="312"/>
      <c r="AM466" s="312"/>
      <c r="AN466" s="312"/>
      <c r="AO466" s="312"/>
      <c r="AP466" s="312"/>
      <c r="AQ466" s="312"/>
      <c r="AR466" s="312"/>
      <c r="AS466" s="312"/>
      <c r="AT466" s="312"/>
      <c r="AU466" s="312"/>
      <c r="AV466" s="312"/>
      <c r="AW466" s="312"/>
      <c r="AX466" s="312"/>
      <c r="AY466" s="312"/>
      <c r="AZ466" s="312"/>
      <c r="BA466" s="312"/>
      <c r="BB466" s="312"/>
      <c r="BC466" s="312"/>
      <c r="BD466" s="312"/>
      <c r="BE466" s="312"/>
      <c r="BF466" s="312"/>
      <c r="BG466" s="312"/>
      <c r="BH466" s="312"/>
      <c r="BI466" s="312"/>
      <c r="BJ466" s="312"/>
      <c r="BK466" s="312"/>
      <c r="BL466" s="312"/>
      <c r="BM466" s="312"/>
      <c r="BN466" s="312"/>
      <c r="BO466" s="312"/>
      <c r="BP466" s="312"/>
      <c r="BQ466" s="312"/>
      <c r="BR466" s="312"/>
      <c r="BS466" s="312"/>
      <c r="BT466" s="312"/>
      <c r="BU466" s="312"/>
      <c r="BV466" s="312"/>
      <c r="BW466" s="312"/>
      <c r="BX466" s="312"/>
      <c r="BY466" s="312"/>
      <c r="BZ466" s="312"/>
      <c r="CA466" s="312"/>
      <c r="CB466" s="312"/>
      <c r="CC466" s="312"/>
      <c r="CD466" s="312"/>
      <c r="CE466" s="312"/>
      <c r="CF466" s="312"/>
      <c r="CG466" s="312"/>
      <c r="CH466" s="312"/>
      <c r="CI466" s="312"/>
      <c r="CJ466" s="312"/>
      <c r="CK466" s="312"/>
      <c r="CL466" s="312"/>
      <c r="CM466" s="312"/>
      <c r="CN466" s="312"/>
      <c r="CO466" s="312"/>
      <c r="CP466" s="312"/>
      <c r="CQ466" s="312"/>
      <c r="CR466" s="312"/>
      <c r="CS466" s="312"/>
      <c r="CT466" s="312"/>
      <c r="CU466" s="312"/>
      <c r="CV466" s="312"/>
      <c r="CW466" s="312"/>
      <c r="CX466" s="312"/>
      <c r="CY466" s="312"/>
      <c r="CZ466" s="312"/>
      <c r="DA466" s="312"/>
      <c r="DB466" s="312"/>
      <c r="DC466" s="312"/>
      <c r="DD466" s="312"/>
      <c r="DE466" s="312"/>
      <c r="DF466" s="312"/>
      <c r="DG466" s="312"/>
      <c r="DH466" s="312"/>
      <c r="DI466" s="312"/>
      <c r="DJ466" s="312"/>
      <c r="DK466" s="312"/>
      <c r="DL466" s="312"/>
      <c r="DM466" s="312"/>
      <c r="DN466" s="312"/>
      <c r="DO466" s="312"/>
      <c r="DP466" s="312"/>
      <c r="DQ466" s="312"/>
      <c r="DR466" s="312"/>
      <c r="DS466" s="312"/>
      <c r="DT466" s="312"/>
      <c r="DU466" s="312"/>
      <c r="DV466" s="312"/>
      <c r="DW466" s="312"/>
      <c r="DX466" s="312"/>
      <c r="DY466" s="312"/>
      <c r="DZ466" s="312"/>
      <c r="EA466" s="312"/>
      <c r="EB466" s="312"/>
      <c r="EC466" s="312"/>
      <c r="ED466" s="312"/>
      <c r="EE466" s="312"/>
      <c r="EF466" s="312"/>
      <c r="EG466" s="312"/>
      <c r="EH466" s="312"/>
      <c r="EI466" s="312"/>
      <c r="EJ466" s="312"/>
      <c r="EK466" s="312"/>
      <c r="EL466" s="312"/>
      <c r="EM466" s="312"/>
      <c r="EN466" s="312"/>
      <c r="EO466" s="312"/>
      <c r="EP466" s="312"/>
      <c r="EQ466" s="312"/>
      <c r="ER466" s="312"/>
      <c r="ES466" s="312"/>
      <c r="ET466" s="312"/>
      <c r="EU466" s="312"/>
      <c r="EV466" s="312"/>
      <c r="EW466" s="312"/>
      <c r="EX466" s="312"/>
      <c r="EY466" s="312"/>
      <c r="EZ466" s="312"/>
      <c r="FA466" s="312"/>
      <c r="FB466" s="312"/>
      <c r="FC466" s="312"/>
      <c r="FD466" s="312"/>
      <c r="FE466" s="312"/>
      <c r="FF466" s="312"/>
      <c r="FG466" s="312"/>
      <c r="FH466" s="312"/>
      <c r="FI466" s="312"/>
      <c r="FJ466" s="312"/>
      <c r="FK466" s="312"/>
      <c r="FL466" s="312"/>
      <c r="FM466" s="312"/>
      <c r="FN466" s="312"/>
      <c r="FO466" s="312"/>
      <c r="FP466" s="312"/>
      <c r="FQ466" s="312"/>
      <c r="FR466" s="312"/>
      <c r="FS466" s="312"/>
      <c r="FT466" s="312"/>
      <c r="FU466" s="312"/>
      <c r="FV466" s="312"/>
      <c r="FW466" s="312"/>
      <c r="FX466" s="312"/>
      <c r="FY466" s="312"/>
      <c r="FZ466" s="312"/>
      <c r="GA466" s="312"/>
      <c r="GB466" s="312"/>
      <c r="GC466" s="312"/>
      <c r="GD466" s="312"/>
      <c r="GE466" s="312"/>
      <c r="GF466" s="312"/>
      <c r="GG466" s="312"/>
      <c r="GH466" s="312"/>
      <c r="GI466" s="312"/>
      <c r="GJ466" s="312"/>
      <c r="GK466" s="312"/>
      <c r="GL466" s="312"/>
      <c r="GM466" s="312"/>
      <c r="GN466" s="312"/>
      <c r="GO466" s="312"/>
      <c r="GP466" s="312"/>
      <c r="GQ466" s="312"/>
      <c r="GR466" s="312"/>
      <c r="GS466" s="312"/>
      <c r="GT466" s="312"/>
      <c r="GU466" s="312"/>
      <c r="GV466" s="312"/>
      <c r="GW466" s="312"/>
      <c r="GX466" s="312"/>
      <c r="GY466" s="312"/>
    </row>
    <row r="467" spans="2:207" ht="15.75" x14ac:dyDescent="0.25">
      <c r="B467" s="316" t="str">
        <f t="shared" si="115"/>
        <v/>
      </c>
      <c r="C467" s="330" t="str">
        <f>'סיכום לוועדה'!B467</f>
        <v/>
      </c>
      <c r="D467" s="330" t="str">
        <f>'סיכום לוועדה'!C467</f>
        <v/>
      </c>
      <c r="E467" s="330" t="str">
        <f>'סיכום לוועדה'!D467</f>
        <v/>
      </c>
      <c r="F467" s="330" t="str">
        <f>'סיכום לוועדה'!E467</f>
        <v/>
      </c>
      <c r="G467" s="330" t="str">
        <f>'סיכום לוועדה'!F467</f>
        <v/>
      </c>
      <c r="H467" s="317" t="str">
        <f>'סיכום לוועדה'!G467</f>
        <v/>
      </c>
      <c r="I467" s="318" t="str">
        <f>'סיכום לוועדה'!U467</f>
        <v/>
      </c>
      <c r="J467" s="319" t="str">
        <f>'סיכום לוועדה'!T467</f>
        <v/>
      </c>
      <c r="K467" s="320" t="str">
        <f t="shared" si="116"/>
        <v/>
      </c>
      <c r="L467" s="319" t="str">
        <f t="shared" si="117"/>
        <v/>
      </c>
      <c r="M467" s="331" t="str">
        <f>'תחום תמיכה ב'!AF467</f>
        <v/>
      </c>
      <c r="N467" s="319" t="str">
        <f t="shared" si="114"/>
        <v/>
      </c>
      <c r="O467" s="321">
        <f t="shared" si="118"/>
        <v>0</v>
      </c>
      <c r="P467" s="322" t="str">
        <f t="shared" si="119"/>
        <v/>
      </c>
      <c r="Q467" s="322" t="str">
        <f t="shared" si="120"/>
        <v/>
      </c>
      <c r="R467" s="321">
        <f t="shared" si="121"/>
        <v>0</v>
      </c>
      <c r="S467" s="322" t="str">
        <f t="shared" si="122"/>
        <v/>
      </c>
      <c r="T467" s="322" t="str">
        <f t="shared" si="123"/>
        <v/>
      </c>
      <c r="U467" s="321">
        <f t="shared" si="124"/>
        <v>0</v>
      </c>
      <c r="V467" s="322" t="str">
        <f t="shared" si="125"/>
        <v/>
      </c>
      <c r="W467" s="322" t="str">
        <f t="shared" si="126"/>
        <v/>
      </c>
      <c r="X467" s="321">
        <f t="shared" si="127"/>
        <v>0</v>
      </c>
      <c r="Y467" s="322" t="str">
        <f t="shared" si="128"/>
        <v/>
      </c>
      <c r="Z467" s="322" t="str">
        <f t="shared" si="129"/>
        <v/>
      </c>
      <c r="AA467" s="323" t="str">
        <f t="shared" si="130"/>
        <v/>
      </c>
      <c r="AB467" s="323"/>
      <c r="AC467" s="323"/>
      <c r="AD467" s="323"/>
      <c r="AE467" s="323"/>
      <c r="AF467" s="324" t="str">
        <f t="shared" si="131"/>
        <v/>
      </c>
      <c r="AG467" s="312"/>
      <c r="AH467" s="312"/>
      <c r="AI467" s="325">
        <f t="shared" si="132"/>
        <v>0</v>
      </c>
      <c r="AJ467" s="312"/>
      <c r="AK467" s="312"/>
      <c r="AL467" s="312"/>
      <c r="AM467" s="312"/>
      <c r="AN467" s="312"/>
      <c r="AO467" s="312"/>
      <c r="AP467" s="312"/>
      <c r="AQ467" s="312"/>
      <c r="AR467" s="312"/>
      <c r="AS467" s="312"/>
      <c r="AT467" s="312"/>
      <c r="AU467" s="312"/>
      <c r="AV467" s="312"/>
      <c r="AW467" s="312"/>
      <c r="AX467" s="312"/>
      <c r="AY467" s="312"/>
      <c r="AZ467" s="312"/>
      <c r="BA467" s="312"/>
      <c r="BB467" s="312"/>
      <c r="BC467" s="312"/>
      <c r="BD467" s="312"/>
      <c r="BE467" s="312"/>
      <c r="BF467" s="312"/>
      <c r="BG467" s="312"/>
      <c r="BH467" s="312"/>
      <c r="BI467" s="312"/>
      <c r="BJ467" s="312"/>
      <c r="BK467" s="312"/>
      <c r="BL467" s="312"/>
      <c r="BM467" s="312"/>
      <c r="BN467" s="312"/>
      <c r="BO467" s="312"/>
      <c r="BP467" s="312"/>
      <c r="BQ467" s="312"/>
      <c r="BR467" s="312"/>
      <c r="BS467" s="312"/>
      <c r="BT467" s="312"/>
      <c r="BU467" s="312"/>
      <c r="BV467" s="312"/>
      <c r="BW467" s="312"/>
      <c r="BX467" s="312"/>
      <c r="BY467" s="312"/>
      <c r="BZ467" s="312"/>
      <c r="CA467" s="312"/>
      <c r="CB467" s="312"/>
      <c r="CC467" s="312"/>
      <c r="CD467" s="312"/>
      <c r="CE467" s="312"/>
      <c r="CF467" s="312"/>
      <c r="CG467" s="312"/>
      <c r="CH467" s="312"/>
      <c r="CI467" s="312"/>
      <c r="CJ467" s="312"/>
      <c r="CK467" s="312"/>
      <c r="CL467" s="312"/>
      <c r="CM467" s="312"/>
      <c r="CN467" s="312"/>
      <c r="CO467" s="312"/>
      <c r="CP467" s="312"/>
      <c r="CQ467" s="312"/>
      <c r="CR467" s="312"/>
      <c r="CS467" s="312"/>
      <c r="CT467" s="312"/>
      <c r="CU467" s="312"/>
      <c r="CV467" s="312"/>
      <c r="CW467" s="312"/>
      <c r="CX467" s="312"/>
      <c r="CY467" s="312"/>
      <c r="CZ467" s="312"/>
      <c r="DA467" s="312"/>
      <c r="DB467" s="312"/>
      <c r="DC467" s="312"/>
      <c r="DD467" s="312"/>
      <c r="DE467" s="312"/>
      <c r="DF467" s="312"/>
      <c r="DG467" s="312"/>
      <c r="DH467" s="312"/>
      <c r="DI467" s="312"/>
      <c r="DJ467" s="312"/>
      <c r="DK467" s="312"/>
      <c r="DL467" s="312"/>
      <c r="DM467" s="312"/>
      <c r="DN467" s="312"/>
      <c r="DO467" s="312"/>
      <c r="DP467" s="312"/>
      <c r="DQ467" s="312"/>
      <c r="DR467" s="312"/>
      <c r="DS467" s="312"/>
      <c r="DT467" s="312"/>
      <c r="DU467" s="312"/>
      <c r="DV467" s="312"/>
      <c r="DW467" s="312"/>
      <c r="DX467" s="312"/>
      <c r="DY467" s="312"/>
      <c r="DZ467" s="312"/>
      <c r="EA467" s="312"/>
      <c r="EB467" s="312"/>
      <c r="EC467" s="312"/>
      <c r="ED467" s="312"/>
      <c r="EE467" s="312"/>
      <c r="EF467" s="312"/>
      <c r="EG467" s="312"/>
      <c r="EH467" s="312"/>
      <c r="EI467" s="312"/>
      <c r="EJ467" s="312"/>
      <c r="EK467" s="312"/>
      <c r="EL467" s="312"/>
      <c r="EM467" s="312"/>
      <c r="EN467" s="312"/>
      <c r="EO467" s="312"/>
      <c r="EP467" s="312"/>
      <c r="EQ467" s="312"/>
      <c r="ER467" s="312"/>
      <c r="ES467" s="312"/>
      <c r="ET467" s="312"/>
      <c r="EU467" s="312"/>
      <c r="EV467" s="312"/>
      <c r="EW467" s="312"/>
      <c r="EX467" s="312"/>
      <c r="EY467" s="312"/>
      <c r="EZ467" s="312"/>
      <c r="FA467" s="312"/>
      <c r="FB467" s="312"/>
      <c r="FC467" s="312"/>
      <c r="FD467" s="312"/>
      <c r="FE467" s="312"/>
      <c r="FF467" s="312"/>
      <c r="FG467" s="312"/>
      <c r="FH467" s="312"/>
      <c r="FI467" s="312"/>
      <c r="FJ467" s="312"/>
      <c r="FK467" s="312"/>
      <c r="FL467" s="312"/>
      <c r="FM467" s="312"/>
      <c r="FN467" s="312"/>
      <c r="FO467" s="312"/>
      <c r="FP467" s="312"/>
      <c r="FQ467" s="312"/>
      <c r="FR467" s="312"/>
      <c r="FS467" s="312"/>
      <c r="FT467" s="312"/>
      <c r="FU467" s="312"/>
      <c r="FV467" s="312"/>
      <c r="FW467" s="312"/>
      <c r="FX467" s="312"/>
      <c r="FY467" s="312"/>
      <c r="FZ467" s="312"/>
      <c r="GA467" s="312"/>
      <c r="GB467" s="312"/>
      <c r="GC467" s="312"/>
      <c r="GD467" s="312"/>
      <c r="GE467" s="312"/>
      <c r="GF467" s="312"/>
      <c r="GG467" s="312"/>
      <c r="GH467" s="312"/>
      <c r="GI467" s="312"/>
      <c r="GJ467" s="312"/>
      <c r="GK467" s="312"/>
      <c r="GL467" s="312"/>
      <c r="GM467" s="312"/>
      <c r="GN467" s="312"/>
      <c r="GO467" s="312"/>
      <c r="GP467" s="312"/>
      <c r="GQ467" s="312"/>
      <c r="GR467" s="312"/>
      <c r="GS467" s="312"/>
      <c r="GT467" s="312"/>
      <c r="GU467" s="312"/>
      <c r="GV467" s="312"/>
      <c r="GW467" s="312"/>
      <c r="GX467" s="312"/>
      <c r="GY467" s="312"/>
    </row>
    <row r="468" spans="2:207" ht="15.75" x14ac:dyDescent="0.25">
      <c r="B468" s="316" t="str">
        <f t="shared" si="115"/>
        <v/>
      </c>
      <c r="C468" s="330" t="str">
        <f>'סיכום לוועדה'!B468</f>
        <v/>
      </c>
      <c r="D468" s="330" t="str">
        <f>'סיכום לוועדה'!C468</f>
        <v/>
      </c>
      <c r="E468" s="330" t="str">
        <f>'סיכום לוועדה'!D468</f>
        <v/>
      </c>
      <c r="F468" s="330" t="str">
        <f>'סיכום לוועדה'!E468</f>
        <v/>
      </c>
      <c r="G468" s="330" t="str">
        <f>'סיכום לוועדה'!F468</f>
        <v/>
      </c>
      <c r="H468" s="317" t="str">
        <f>'סיכום לוועדה'!G468</f>
        <v/>
      </c>
      <c r="I468" s="318" t="str">
        <f>'סיכום לוועדה'!U468</f>
        <v/>
      </c>
      <c r="J468" s="319" t="str">
        <f>'סיכום לוועדה'!T468</f>
        <v/>
      </c>
      <c r="K468" s="320" t="str">
        <f t="shared" si="116"/>
        <v/>
      </c>
      <c r="L468" s="319" t="str">
        <f t="shared" si="117"/>
        <v/>
      </c>
      <c r="M468" s="331" t="str">
        <f>'תחום תמיכה ב'!AF468</f>
        <v/>
      </c>
      <c r="N468" s="319" t="str">
        <f t="shared" si="114"/>
        <v/>
      </c>
      <c r="O468" s="321">
        <f t="shared" si="118"/>
        <v>0</v>
      </c>
      <c r="P468" s="322" t="str">
        <f t="shared" si="119"/>
        <v/>
      </c>
      <c r="Q468" s="322" t="str">
        <f t="shared" si="120"/>
        <v/>
      </c>
      <c r="R468" s="321">
        <f t="shared" si="121"/>
        <v>0</v>
      </c>
      <c r="S468" s="322" t="str">
        <f t="shared" si="122"/>
        <v/>
      </c>
      <c r="T468" s="322" t="str">
        <f t="shared" si="123"/>
        <v/>
      </c>
      <c r="U468" s="321">
        <f t="shared" si="124"/>
        <v>0</v>
      </c>
      <c r="V468" s="322" t="str">
        <f t="shared" si="125"/>
        <v/>
      </c>
      <c r="W468" s="322" t="str">
        <f t="shared" si="126"/>
        <v/>
      </c>
      <c r="X468" s="321">
        <f t="shared" si="127"/>
        <v>0</v>
      </c>
      <c r="Y468" s="322" t="str">
        <f t="shared" si="128"/>
        <v/>
      </c>
      <c r="Z468" s="322" t="str">
        <f t="shared" si="129"/>
        <v/>
      </c>
      <c r="AA468" s="323" t="str">
        <f t="shared" si="130"/>
        <v/>
      </c>
      <c r="AB468" s="323"/>
      <c r="AC468" s="323"/>
      <c r="AD468" s="323"/>
      <c r="AE468" s="323"/>
      <c r="AF468" s="324" t="str">
        <f t="shared" si="131"/>
        <v/>
      </c>
      <c r="AG468" s="312"/>
      <c r="AH468" s="312"/>
      <c r="AI468" s="325">
        <f t="shared" si="132"/>
        <v>0</v>
      </c>
      <c r="AJ468" s="312"/>
      <c r="AK468" s="312"/>
      <c r="AL468" s="312"/>
      <c r="AM468" s="312"/>
      <c r="AN468" s="312"/>
      <c r="AO468" s="312"/>
      <c r="AP468" s="312"/>
      <c r="AQ468" s="312"/>
      <c r="AR468" s="312"/>
      <c r="AS468" s="312"/>
      <c r="AT468" s="312"/>
      <c r="AU468" s="312"/>
      <c r="AV468" s="312"/>
      <c r="AW468" s="312"/>
      <c r="AX468" s="312"/>
      <c r="AY468" s="312"/>
      <c r="AZ468" s="312"/>
      <c r="BA468" s="312"/>
      <c r="BB468" s="312"/>
      <c r="BC468" s="312"/>
      <c r="BD468" s="312"/>
      <c r="BE468" s="312"/>
      <c r="BF468" s="312"/>
      <c r="BG468" s="312"/>
      <c r="BH468" s="312"/>
      <c r="BI468" s="312"/>
      <c r="BJ468" s="312"/>
      <c r="BK468" s="312"/>
      <c r="BL468" s="312"/>
      <c r="BM468" s="312"/>
      <c r="BN468" s="312"/>
      <c r="BO468" s="312"/>
      <c r="BP468" s="312"/>
      <c r="BQ468" s="312"/>
      <c r="BR468" s="312"/>
      <c r="BS468" s="312"/>
      <c r="BT468" s="312"/>
      <c r="BU468" s="312"/>
      <c r="BV468" s="312"/>
      <c r="BW468" s="312"/>
      <c r="BX468" s="312"/>
      <c r="BY468" s="312"/>
      <c r="BZ468" s="312"/>
      <c r="CA468" s="312"/>
      <c r="CB468" s="312"/>
      <c r="CC468" s="312"/>
      <c r="CD468" s="312"/>
      <c r="CE468" s="312"/>
      <c r="CF468" s="312"/>
      <c r="CG468" s="312"/>
      <c r="CH468" s="312"/>
      <c r="CI468" s="312"/>
      <c r="CJ468" s="312"/>
      <c r="CK468" s="312"/>
      <c r="CL468" s="312"/>
      <c r="CM468" s="312"/>
      <c r="CN468" s="312"/>
      <c r="CO468" s="312"/>
      <c r="CP468" s="312"/>
      <c r="CQ468" s="312"/>
      <c r="CR468" s="312"/>
      <c r="CS468" s="312"/>
      <c r="CT468" s="312"/>
      <c r="CU468" s="312"/>
      <c r="CV468" s="312"/>
      <c r="CW468" s="312"/>
      <c r="CX468" s="312"/>
      <c r="CY468" s="312"/>
      <c r="CZ468" s="312"/>
      <c r="DA468" s="312"/>
      <c r="DB468" s="312"/>
      <c r="DC468" s="312"/>
      <c r="DD468" s="312"/>
      <c r="DE468" s="312"/>
      <c r="DF468" s="312"/>
      <c r="DG468" s="312"/>
      <c r="DH468" s="312"/>
      <c r="DI468" s="312"/>
      <c r="DJ468" s="312"/>
      <c r="DK468" s="312"/>
      <c r="DL468" s="312"/>
      <c r="DM468" s="312"/>
      <c r="DN468" s="312"/>
      <c r="DO468" s="312"/>
      <c r="DP468" s="312"/>
      <c r="DQ468" s="312"/>
      <c r="DR468" s="312"/>
      <c r="DS468" s="312"/>
      <c r="DT468" s="312"/>
      <c r="DU468" s="312"/>
      <c r="DV468" s="312"/>
      <c r="DW468" s="312"/>
      <c r="DX468" s="312"/>
      <c r="DY468" s="312"/>
      <c r="DZ468" s="312"/>
      <c r="EA468" s="312"/>
      <c r="EB468" s="312"/>
      <c r="EC468" s="312"/>
      <c r="ED468" s="312"/>
      <c r="EE468" s="312"/>
      <c r="EF468" s="312"/>
      <c r="EG468" s="312"/>
      <c r="EH468" s="312"/>
      <c r="EI468" s="312"/>
      <c r="EJ468" s="312"/>
      <c r="EK468" s="312"/>
      <c r="EL468" s="312"/>
      <c r="EM468" s="312"/>
      <c r="EN468" s="312"/>
      <c r="EO468" s="312"/>
      <c r="EP468" s="312"/>
      <c r="EQ468" s="312"/>
      <c r="ER468" s="312"/>
      <c r="ES468" s="312"/>
      <c r="ET468" s="312"/>
      <c r="EU468" s="312"/>
      <c r="EV468" s="312"/>
      <c r="EW468" s="312"/>
      <c r="EX468" s="312"/>
      <c r="EY468" s="312"/>
      <c r="EZ468" s="312"/>
      <c r="FA468" s="312"/>
      <c r="FB468" s="312"/>
      <c r="FC468" s="312"/>
      <c r="FD468" s="312"/>
      <c r="FE468" s="312"/>
      <c r="FF468" s="312"/>
      <c r="FG468" s="312"/>
      <c r="FH468" s="312"/>
      <c r="FI468" s="312"/>
      <c r="FJ468" s="312"/>
      <c r="FK468" s="312"/>
      <c r="FL468" s="312"/>
      <c r="FM468" s="312"/>
      <c r="FN468" s="312"/>
      <c r="FO468" s="312"/>
      <c r="FP468" s="312"/>
      <c r="FQ468" s="312"/>
      <c r="FR468" s="312"/>
      <c r="FS468" s="312"/>
      <c r="FT468" s="312"/>
      <c r="FU468" s="312"/>
      <c r="FV468" s="312"/>
      <c r="FW468" s="312"/>
      <c r="FX468" s="312"/>
      <c r="FY468" s="312"/>
      <c r="FZ468" s="312"/>
      <c r="GA468" s="312"/>
      <c r="GB468" s="312"/>
      <c r="GC468" s="312"/>
      <c r="GD468" s="312"/>
      <c r="GE468" s="312"/>
      <c r="GF468" s="312"/>
      <c r="GG468" s="312"/>
      <c r="GH468" s="312"/>
      <c r="GI468" s="312"/>
      <c r="GJ468" s="312"/>
      <c r="GK468" s="312"/>
      <c r="GL468" s="312"/>
      <c r="GM468" s="312"/>
      <c r="GN468" s="312"/>
      <c r="GO468" s="312"/>
      <c r="GP468" s="312"/>
      <c r="GQ468" s="312"/>
      <c r="GR468" s="312"/>
      <c r="GS468" s="312"/>
      <c r="GT468" s="312"/>
      <c r="GU468" s="312"/>
      <c r="GV468" s="312"/>
      <c r="GW468" s="312"/>
      <c r="GX468" s="312"/>
      <c r="GY468" s="312"/>
    </row>
    <row r="469" spans="2:207" ht="15.75" x14ac:dyDescent="0.25">
      <c r="B469" s="316" t="str">
        <f t="shared" si="115"/>
        <v/>
      </c>
      <c r="C469" s="330" t="str">
        <f>'סיכום לוועדה'!B469</f>
        <v/>
      </c>
      <c r="D469" s="330" t="str">
        <f>'סיכום לוועדה'!C469</f>
        <v/>
      </c>
      <c r="E469" s="330" t="str">
        <f>'סיכום לוועדה'!D469</f>
        <v/>
      </c>
      <c r="F469" s="330" t="str">
        <f>'סיכום לוועדה'!E469</f>
        <v/>
      </c>
      <c r="G469" s="330" t="str">
        <f>'סיכום לוועדה'!F469</f>
        <v/>
      </c>
      <c r="H469" s="317" t="str">
        <f>'סיכום לוועדה'!G469</f>
        <v/>
      </c>
      <c r="I469" s="318" t="str">
        <f>'סיכום לוועדה'!U469</f>
        <v/>
      </c>
      <c r="J469" s="319" t="str">
        <f>'סיכום לוועדה'!T469</f>
        <v/>
      </c>
      <c r="K469" s="320" t="str">
        <f t="shared" si="116"/>
        <v/>
      </c>
      <c r="L469" s="319" t="str">
        <f t="shared" si="117"/>
        <v/>
      </c>
      <c r="M469" s="331" t="str">
        <f>'תחום תמיכה ב'!AF469</f>
        <v/>
      </c>
      <c r="N469" s="319" t="str">
        <f t="shared" si="114"/>
        <v/>
      </c>
      <c r="O469" s="321">
        <f t="shared" si="118"/>
        <v>0</v>
      </c>
      <c r="P469" s="322" t="str">
        <f t="shared" si="119"/>
        <v/>
      </c>
      <c r="Q469" s="322" t="str">
        <f t="shared" si="120"/>
        <v/>
      </c>
      <c r="R469" s="321">
        <f t="shared" si="121"/>
        <v>0</v>
      </c>
      <c r="S469" s="322" t="str">
        <f t="shared" si="122"/>
        <v/>
      </c>
      <c r="T469" s="322" t="str">
        <f t="shared" si="123"/>
        <v/>
      </c>
      <c r="U469" s="321">
        <f t="shared" si="124"/>
        <v>0</v>
      </c>
      <c r="V469" s="322" t="str">
        <f t="shared" si="125"/>
        <v/>
      </c>
      <c r="W469" s="322" t="str">
        <f t="shared" si="126"/>
        <v/>
      </c>
      <c r="X469" s="321">
        <f t="shared" si="127"/>
        <v>0</v>
      </c>
      <c r="Y469" s="322" t="str">
        <f t="shared" si="128"/>
        <v/>
      </c>
      <c r="Z469" s="322" t="str">
        <f t="shared" si="129"/>
        <v/>
      </c>
      <c r="AA469" s="323" t="str">
        <f t="shared" si="130"/>
        <v/>
      </c>
      <c r="AB469" s="323"/>
      <c r="AC469" s="323"/>
      <c r="AD469" s="323"/>
      <c r="AE469" s="323"/>
      <c r="AF469" s="324" t="str">
        <f t="shared" si="131"/>
        <v/>
      </c>
      <c r="AG469" s="312"/>
      <c r="AH469" s="312"/>
      <c r="AI469" s="325">
        <f t="shared" si="132"/>
        <v>0</v>
      </c>
      <c r="AJ469" s="312"/>
      <c r="AK469" s="312"/>
      <c r="AL469" s="312"/>
      <c r="AM469" s="312"/>
      <c r="AN469" s="312"/>
      <c r="AO469" s="312"/>
      <c r="AP469" s="312"/>
      <c r="AQ469" s="312"/>
      <c r="AR469" s="312"/>
      <c r="AS469" s="312"/>
      <c r="AT469" s="312"/>
      <c r="AU469" s="312"/>
      <c r="AV469" s="312"/>
      <c r="AW469" s="312"/>
      <c r="AX469" s="312"/>
      <c r="AY469" s="312"/>
      <c r="AZ469" s="312"/>
      <c r="BA469" s="312"/>
      <c r="BB469" s="312"/>
      <c r="BC469" s="312"/>
      <c r="BD469" s="312"/>
      <c r="BE469" s="312"/>
      <c r="BF469" s="312"/>
      <c r="BG469" s="312"/>
      <c r="BH469" s="312"/>
      <c r="BI469" s="312"/>
      <c r="BJ469" s="312"/>
      <c r="BK469" s="312"/>
      <c r="BL469" s="312"/>
      <c r="BM469" s="312"/>
      <c r="BN469" s="312"/>
      <c r="BO469" s="312"/>
      <c r="BP469" s="312"/>
      <c r="BQ469" s="312"/>
      <c r="BR469" s="312"/>
      <c r="BS469" s="312"/>
      <c r="BT469" s="312"/>
      <c r="BU469" s="312"/>
      <c r="BV469" s="312"/>
      <c r="BW469" s="312"/>
      <c r="BX469" s="312"/>
      <c r="BY469" s="312"/>
      <c r="BZ469" s="312"/>
      <c r="CA469" s="312"/>
      <c r="CB469" s="312"/>
      <c r="CC469" s="312"/>
      <c r="CD469" s="312"/>
      <c r="CE469" s="312"/>
      <c r="CF469" s="312"/>
      <c r="CG469" s="312"/>
      <c r="CH469" s="312"/>
      <c r="CI469" s="312"/>
      <c r="CJ469" s="312"/>
      <c r="CK469" s="312"/>
      <c r="CL469" s="312"/>
      <c r="CM469" s="312"/>
      <c r="CN469" s="312"/>
      <c r="CO469" s="312"/>
      <c r="CP469" s="312"/>
      <c r="CQ469" s="312"/>
      <c r="CR469" s="312"/>
      <c r="CS469" s="312"/>
      <c r="CT469" s="312"/>
      <c r="CU469" s="312"/>
      <c r="CV469" s="312"/>
      <c r="CW469" s="312"/>
      <c r="CX469" s="312"/>
      <c r="CY469" s="312"/>
      <c r="CZ469" s="312"/>
      <c r="DA469" s="312"/>
      <c r="DB469" s="312"/>
      <c r="DC469" s="312"/>
      <c r="DD469" s="312"/>
      <c r="DE469" s="312"/>
      <c r="DF469" s="312"/>
      <c r="DG469" s="312"/>
      <c r="DH469" s="312"/>
      <c r="DI469" s="312"/>
      <c r="DJ469" s="312"/>
      <c r="DK469" s="312"/>
      <c r="DL469" s="312"/>
      <c r="DM469" s="312"/>
      <c r="DN469" s="312"/>
      <c r="DO469" s="312"/>
      <c r="DP469" s="312"/>
      <c r="DQ469" s="312"/>
      <c r="DR469" s="312"/>
      <c r="DS469" s="312"/>
      <c r="DT469" s="312"/>
      <c r="DU469" s="312"/>
      <c r="DV469" s="312"/>
      <c r="DW469" s="312"/>
      <c r="DX469" s="312"/>
      <c r="DY469" s="312"/>
      <c r="DZ469" s="312"/>
      <c r="EA469" s="312"/>
      <c r="EB469" s="312"/>
      <c r="EC469" s="312"/>
      <c r="ED469" s="312"/>
      <c r="EE469" s="312"/>
      <c r="EF469" s="312"/>
      <c r="EG469" s="312"/>
      <c r="EH469" s="312"/>
      <c r="EI469" s="312"/>
      <c r="EJ469" s="312"/>
      <c r="EK469" s="312"/>
      <c r="EL469" s="312"/>
      <c r="EM469" s="312"/>
      <c r="EN469" s="312"/>
      <c r="EO469" s="312"/>
      <c r="EP469" s="312"/>
      <c r="EQ469" s="312"/>
      <c r="ER469" s="312"/>
      <c r="ES469" s="312"/>
      <c r="ET469" s="312"/>
      <c r="EU469" s="312"/>
      <c r="EV469" s="312"/>
      <c r="EW469" s="312"/>
      <c r="EX469" s="312"/>
      <c r="EY469" s="312"/>
      <c r="EZ469" s="312"/>
      <c r="FA469" s="312"/>
      <c r="FB469" s="312"/>
      <c r="FC469" s="312"/>
      <c r="FD469" s="312"/>
      <c r="FE469" s="312"/>
      <c r="FF469" s="312"/>
      <c r="FG469" s="312"/>
      <c r="FH469" s="312"/>
      <c r="FI469" s="312"/>
      <c r="FJ469" s="312"/>
      <c r="FK469" s="312"/>
      <c r="FL469" s="312"/>
      <c r="FM469" s="312"/>
      <c r="FN469" s="312"/>
      <c r="FO469" s="312"/>
      <c r="FP469" s="312"/>
      <c r="FQ469" s="312"/>
      <c r="FR469" s="312"/>
      <c r="FS469" s="312"/>
      <c r="FT469" s="312"/>
      <c r="FU469" s="312"/>
      <c r="FV469" s="312"/>
      <c r="FW469" s="312"/>
      <c r="FX469" s="312"/>
      <c r="FY469" s="312"/>
      <c r="FZ469" s="312"/>
      <c r="GA469" s="312"/>
      <c r="GB469" s="312"/>
      <c r="GC469" s="312"/>
      <c r="GD469" s="312"/>
      <c r="GE469" s="312"/>
      <c r="GF469" s="312"/>
      <c r="GG469" s="312"/>
      <c r="GH469" s="312"/>
      <c r="GI469" s="312"/>
      <c r="GJ469" s="312"/>
      <c r="GK469" s="312"/>
      <c r="GL469" s="312"/>
      <c r="GM469" s="312"/>
      <c r="GN469" s="312"/>
      <c r="GO469" s="312"/>
      <c r="GP469" s="312"/>
      <c r="GQ469" s="312"/>
      <c r="GR469" s="312"/>
      <c r="GS469" s="312"/>
      <c r="GT469" s="312"/>
      <c r="GU469" s="312"/>
      <c r="GV469" s="312"/>
      <c r="GW469" s="312"/>
      <c r="GX469" s="312"/>
      <c r="GY469" s="312"/>
    </row>
    <row r="470" spans="2:207" ht="15.75" x14ac:dyDescent="0.25">
      <c r="B470" s="316" t="str">
        <f t="shared" si="115"/>
        <v/>
      </c>
      <c r="C470" s="330" t="str">
        <f>'סיכום לוועדה'!B470</f>
        <v/>
      </c>
      <c r="D470" s="330" t="str">
        <f>'סיכום לוועדה'!C470</f>
        <v/>
      </c>
      <c r="E470" s="330" t="str">
        <f>'סיכום לוועדה'!D470</f>
        <v/>
      </c>
      <c r="F470" s="330" t="str">
        <f>'סיכום לוועדה'!E470</f>
        <v/>
      </c>
      <c r="G470" s="330" t="str">
        <f>'סיכום לוועדה'!F470</f>
        <v/>
      </c>
      <c r="H470" s="317" t="str">
        <f>'סיכום לוועדה'!G470</f>
        <v/>
      </c>
      <c r="I470" s="318" t="str">
        <f>'סיכום לוועדה'!U470</f>
        <v/>
      </c>
      <c r="J470" s="319" t="str">
        <f>'סיכום לוועדה'!T470</f>
        <v/>
      </c>
      <c r="K470" s="320" t="str">
        <f t="shared" si="116"/>
        <v/>
      </c>
      <c r="L470" s="319" t="str">
        <f t="shared" si="117"/>
        <v/>
      </c>
      <c r="M470" s="331" t="str">
        <f>'תחום תמיכה ב'!AF470</f>
        <v/>
      </c>
      <c r="N470" s="319" t="str">
        <f t="shared" si="114"/>
        <v/>
      </c>
      <c r="O470" s="321">
        <f t="shared" si="118"/>
        <v>0</v>
      </c>
      <c r="P470" s="322" t="str">
        <f t="shared" si="119"/>
        <v/>
      </c>
      <c r="Q470" s="322" t="str">
        <f t="shared" si="120"/>
        <v/>
      </c>
      <c r="R470" s="321">
        <f t="shared" si="121"/>
        <v>0</v>
      </c>
      <c r="S470" s="322" t="str">
        <f t="shared" si="122"/>
        <v/>
      </c>
      <c r="T470" s="322" t="str">
        <f t="shared" si="123"/>
        <v/>
      </c>
      <c r="U470" s="321">
        <f t="shared" si="124"/>
        <v>0</v>
      </c>
      <c r="V470" s="322" t="str">
        <f t="shared" si="125"/>
        <v/>
      </c>
      <c r="W470" s="322" t="str">
        <f t="shared" si="126"/>
        <v/>
      </c>
      <c r="X470" s="321">
        <f t="shared" si="127"/>
        <v>0</v>
      </c>
      <c r="Y470" s="322" t="str">
        <f t="shared" si="128"/>
        <v/>
      </c>
      <c r="Z470" s="322" t="str">
        <f t="shared" si="129"/>
        <v/>
      </c>
      <c r="AA470" s="323" t="str">
        <f t="shared" si="130"/>
        <v/>
      </c>
      <c r="AB470" s="323"/>
      <c r="AC470" s="323"/>
      <c r="AD470" s="323"/>
      <c r="AE470" s="323"/>
      <c r="AF470" s="324" t="str">
        <f t="shared" si="131"/>
        <v/>
      </c>
      <c r="AG470" s="312"/>
      <c r="AH470" s="312"/>
      <c r="AI470" s="325">
        <f t="shared" si="132"/>
        <v>0</v>
      </c>
      <c r="AJ470" s="312"/>
      <c r="AK470" s="312"/>
      <c r="AL470" s="312"/>
      <c r="AM470" s="312"/>
      <c r="AN470" s="312"/>
      <c r="AO470" s="312"/>
      <c r="AP470" s="312"/>
      <c r="AQ470" s="312"/>
      <c r="AR470" s="312"/>
      <c r="AS470" s="312"/>
      <c r="AT470" s="312"/>
      <c r="AU470" s="312"/>
      <c r="AV470" s="312"/>
      <c r="AW470" s="312"/>
      <c r="AX470" s="312"/>
      <c r="AY470" s="312"/>
      <c r="AZ470" s="312"/>
      <c r="BA470" s="312"/>
      <c r="BB470" s="312"/>
      <c r="BC470" s="312"/>
      <c r="BD470" s="312"/>
      <c r="BE470" s="312"/>
      <c r="BF470" s="312"/>
      <c r="BG470" s="312"/>
      <c r="BH470" s="312"/>
      <c r="BI470" s="312"/>
      <c r="BJ470" s="312"/>
      <c r="BK470" s="312"/>
      <c r="BL470" s="312"/>
      <c r="BM470" s="312"/>
      <c r="BN470" s="312"/>
      <c r="BO470" s="312"/>
      <c r="BP470" s="312"/>
      <c r="BQ470" s="312"/>
      <c r="BR470" s="312"/>
      <c r="BS470" s="312"/>
      <c r="BT470" s="312"/>
      <c r="BU470" s="312"/>
      <c r="BV470" s="312"/>
      <c r="BW470" s="312"/>
      <c r="BX470" s="312"/>
      <c r="BY470" s="312"/>
      <c r="BZ470" s="312"/>
      <c r="CA470" s="312"/>
      <c r="CB470" s="312"/>
      <c r="CC470" s="312"/>
      <c r="CD470" s="312"/>
      <c r="CE470" s="312"/>
      <c r="CF470" s="312"/>
      <c r="CG470" s="312"/>
      <c r="CH470" s="312"/>
      <c r="CI470" s="312"/>
      <c r="CJ470" s="312"/>
      <c r="CK470" s="312"/>
      <c r="CL470" s="312"/>
      <c r="CM470" s="312"/>
      <c r="CN470" s="312"/>
      <c r="CO470" s="312"/>
      <c r="CP470" s="312"/>
      <c r="CQ470" s="312"/>
      <c r="CR470" s="312"/>
      <c r="CS470" s="312"/>
      <c r="CT470" s="312"/>
      <c r="CU470" s="312"/>
      <c r="CV470" s="312"/>
      <c r="CW470" s="312"/>
      <c r="CX470" s="312"/>
      <c r="CY470" s="312"/>
      <c r="CZ470" s="312"/>
      <c r="DA470" s="312"/>
      <c r="DB470" s="312"/>
      <c r="DC470" s="312"/>
      <c r="DD470" s="312"/>
      <c r="DE470" s="312"/>
      <c r="DF470" s="312"/>
      <c r="DG470" s="312"/>
      <c r="DH470" s="312"/>
      <c r="DI470" s="312"/>
      <c r="DJ470" s="312"/>
      <c r="DK470" s="312"/>
      <c r="DL470" s="312"/>
      <c r="DM470" s="312"/>
      <c r="DN470" s="312"/>
      <c r="DO470" s="312"/>
      <c r="DP470" s="312"/>
      <c r="DQ470" s="312"/>
      <c r="DR470" s="312"/>
      <c r="DS470" s="312"/>
      <c r="DT470" s="312"/>
      <c r="DU470" s="312"/>
      <c r="DV470" s="312"/>
      <c r="DW470" s="312"/>
      <c r="DX470" s="312"/>
      <c r="DY470" s="312"/>
      <c r="DZ470" s="312"/>
      <c r="EA470" s="312"/>
      <c r="EB470" s="312"/>
      <c r="EC470" s="312"/>
      <c r="ED470" s="312"/>
      <c r="EE470" s="312"/>
      <c r="EF470" s="312"/>
      <c r="EG470" s="312"/>
      <c r="EH470" s="312"/>
      <c r="EI470" s="312"/>
      <c r="EJ470" s="312"/>
      <c r="EK470" s="312"/>
      <c r="EL470" s="312"/>
      <c r="EM470" s="312"/>
      <c r="EN470" s="312"/>
      <c r="EO470" s="312"/>
      <c r="EP470" s="312"/>
      <c r="EQ470" s="312"/>
      <c r="ER470" s="312"/>
      <c r="ES470" s="312"/>
      <c r="ET470" s="312"/>
      <c r="EU470" s="312"/>
      <c r="EV470" s="312"/>
      <c r="EW470" s="312"/>
      <c r="EX470" s="312"/>
      <c r="EY470" s="312"/>
      <c r="EZ470" s="312"/>
      <c r="FA470" s="312"/>
      <c r="FB470" s="312"/>
      <c r="FC470" s="312"/>
      <c r="FD470" s="312"/>
      <c r="FE470" s="312"/>
      <c r="FF470" s="312"/>
      <c r="FG470" s="312"/>
      <c r="FH470" s="312"/>
      <c r="FI470" s="312"/>
      <c r="FJ470" s="312"/>
      <c r="FK470" s="312"/>
      <c r="FL470" s="312"/>
      <c r="FM470" s="312"/>
      <c r="FN470" s="312"/>
      <c r="FO470" s="312"/>
      <c r="FP470" s="312"/>
      <c r="FQ470" s="312"/>
      <c r="FR470" s="312"/>
      <c r="FS470" s="312"/>
      <c r="FT470" s="312"/>
      <c r="FU470" s="312"/>
      <c r="FV470" s="312"/>
      <c r="FW470" s="312"/>
      <c r="FX470" s="312"/>
      <c r="FY470" s="312"/>
      <c r="FZ470" s="312"/>
      <c r="GA470" s="312"/>
      <c r="GB470" s="312"/>
      <c r="GC470" s="312"/>
      <c r="GD470" s="312"/>
      <c r="GE470" s="312"/>
      <c r="GF470" s="312"/>
      <c r="GG470" s="312"/>
      <c r="GH470" s="312"/>
      <c r="GI470" s="312"/>
      <c r="GJ470" s="312"/>
      <c r="GK470" s="312"/>
      <c r="GL470" s="312"/>
      <c r="GM470" s="312"/>
      <c r="GN470" s="312"/>
      <c r="GO470" s="312"/>
      <c r="GP470" s="312"/>
      <c r="GQ470" s="312"/>
      <c r="GR470" s="312"/>
      <c r="GS470" s="312"/>
      <c r="GT470" s="312"/>
      <c r="GU470" s="312"/>
      <c r="GV470" s="312"/>
      <c r="GW470" s="312"/>
      <c r="GX470" s="312"/>
      <c r="GY470" s="312"/>
    </row>
    <row r="471" spans="2:207" ht="15.75" x14ac:dyDescent="0.25">
      <c r="B471" s="316" t="str">
        <f t="shared" si="115"/>
        <v/>
      </c>
      <c r="C471" s="330" t="str">
        <f>'סיכום לוועדה'!B471</f>
        <v/>
      </c>
      <c r="D471" s="330" t="str">
        <f>'סיכום לוועדה'!C471</f>
        <v/>
      </c>
      <c r="E471" s="330" t="str">
        <f>'סיכום לוועדה'!D471</f>
        <v/>
      </c>
      <c r="F471" s="330" t="str">
        <f>'סיכום לוועדה'!E471</f>
        <v/>
      </c>
      <c r="G471" s="330" t="str">
        <f>'סיכום לוועדה'!F471</f>
        <v/>
      </c>
      <c r="H471" s="317" t="str">
        <f>'סיכום לוועדה'!G471</f>
        <v/>
      </c>
      <c r="I471" s="318" t="str">
        <f>'סיכום לוועדה'!U471</f>
        <v/>
      </c>
      <c r="J471" s="319" t="str">
        <f>'סיכום לוועדה'!T471</f>
        <v/>
      </c>
      <c r="K471" s="320" t="str">
        <f t="shared" si="116"/>
        <v/>
      </c>
      <c r="L471" s="319" t="str">
        <f t="shared" si="117"/>
        <v/>
      </c>
      <c r="M471" s="331" t="str">
        <f>'תחום תמיכה ב'!AF471</f>
        <v/>
      </c>
      <c r="N471" s="319" t="str">
        <f t="shared" si="114"/>
        <v/>
      </c>
      <c r="O471" s="321">
        <f t="shared" si="118"/>
        <v>0</v>
      </c>
      <c r="P471" s="322" t="str">
        <f t="shared" si="119"/>
        <v/>
      </c>
      <c r="Q471" s="322" t="str">
        <f t="shared" si="120"/>
        <v/>
      </c>
      <c r="R471" s="321">
        <f t="shared" si="121"/>
        <v>0</v>
      </c>
      <c r="S471" s="322" t="str">
        <f t="shared" si="122"/>
        <v/>
      </c>
      <c r="T471" s="322" t="str">
        <f t="shared" si="123"/>
        <v/>
      </c>
      <c r="U471" s="321">
        <f t="shared" si="124"/>
        <v>0</v>
      </c>
      <c r="V471" s="322" t="str">
        <f t="shared" si="125"/>
        <v/>
      </c>
      <c r="W471" s="322" t="str">
        <f t="shared" si="126"/>
        <v/>
      </c>
      <c r="X471" s="321">
        <f t="shared" si="127"/>
        <v>0</v>
      </c>
      <c r="Y471" s="322" t="str">
        <f t="shared" si="128"/>
        <v/>
      </c>
      <c r="Z471" s="322" t="str">
        <f t="shared" si="129"/>
        <v/>
      </c>
      <c r="AA471" s="323" t="str">
        <f t="shared" si="130"/>
        <v/>
      </c>
      <c r="AB471" s="323"/>
      <c r="AC471" s="323"/>
      <c r="AD471" s="323"/>
      <c r="AE471" s="323"/>
      <c r="AF471" s="324" t="str">
        <f t="shared" si="131"/>
        <v/>
      </c>
      <c r="AG471" s="312"/>
      <c r="AH471" s="312"/>
      <c r="AI471" s="325">
        <f t="shared" si="132"/>
        <v>0</v>
      </c>
      <c r="AJ471" s="312"/>
      <c r="AK471" s="312"/>
      <c r="AL471" s="312"/>
      <c r="AM471" s="312"/>
      <c r="AN471" s="312"/>
      <c r="AO471" s="312"/>
      <c r="AP471" s="312"/>
      <c r="AQ471" s="312"/>
      <c r="AR471" s="312"/>
      <c r="AS471" s="312"/>
      <c r="AT471" s="312"/>
      <c r="AU471" s="312"/>
      <c r="AV471" s="312"/>
      <c r="AW471" s="312"/>
      <c r="AX471" s="312"/>
      <c r="AY471" s="312"/>
      <c r="AZ471" s="312"/>
      <c r="BA471" s="312"/>
      <c r="BB471" s="312"/>
      <c r="BC471" s="312"/>
      <c r="BD471" s="312"/>
      <c r="BE471" s="312"/>
      <c r="BF471" s="312"/>
      <c r="BG471" s="312"/>
      <c r="BH471" s="312"/>
      <c r="BI471" s="312"/>
      <c r="BJ471" s="312"/>
      <c r="BK471" s="312"/>
      <c r="BL471" s="312"/>
      <c r="BM471" s="312"/>
      <c r="BN471" s="312"/>
      <c r="BO471" s="312"/>
      <c r="BP471" s="312"/>
      <c r="BQ471" s="312"/>
      <c r="BR471" s="312"/>
      <c r="BS471" s="312"/>
      <c r="BT471" s="312"/>
      <c r="BU471" s="312"/>
      <c r="BV471" s="312"/>
      <c r="BW471" s="312"/>
      <c r="BX471" s="312"/>
      <c r="BY471" s="312"/>
      <c r="BZ471" s="312"/>
      <c r="CA471" s="312"/>
      <c r="CB471" s="312"/>
      <c r="CC471" s="312"/>
      <c r="CD471" s="312"/>
      <c r="CE471" s="312"/>
      <c r="CF471" s="312"/>
      <c r="CG471" s="312"/>
      <c r="CH471" s="312"/>
      <c r="CI471" s="312"/>
      <c r="CJ471" s="312"/>
      <c r="CK471" s="312"/>
      <c r="CL471" s="312"/>
      <c r="CM471" s="312"/>
      <c r="CN471" s="312"/>
      <c r="CO471" s="312"/>
      <c r="CP471" s="312"/>
      <c r="CQ471" s="312"/>
      <c r="CR471" s="312"/>
      <c r="CS471" s="312"/>
      <c r="CT471" s="312"/>
      <c r="CU471" s="312"/>
      <c r="CV471" s="312"/>
      <c r="CW471" s="312"/>
      <c r="CX471" s="312"/>
      <c r="CY471" s="312"/>
      <c r="CZ471" s="312"/>
      <c r="DA471" s="312"/>
      <c r="DB471" s="312"/>
      <c r="DC471" s="312"/>
      <c r="DD471" s="312"/>
      <c r="DE471" s="312"/>
      <c r="DF471" s="312"/>
      <c r="DG471" s="312"/>
      <c r="DH471" s="312"/>
      <c r="DI471" s="312"/>
      <c r="DJ471" s="312"/>
      <c r="DK471" s="312"/>
      <c r="DL471" s="312"/>
      <c r="DM471" s="312"/>
      <c r="DN471" s="312"/>
      <c r="DO471" s="312"/>
      <c r="DP471" s="312"/>
      <c r="DQ471" s="312"/>
      <c r="DR471" s="312"/>
      <c r="DS471" s="312"/>
      <c r="DT471" s="312"/>
      <c r="DU471" s="312"/>
      <c r="DV471" s="312"/>
      <c r="DW471" s="312"/>
      <c r="DX471" s="312"/>
      <c r="DY471" s="312"/>
      <c r="DZ471" s="312"/>
      <c r="EA471" s="312"/>
      <c r="EB471" s="312"/>
      <c r="EC471" s="312"/>
      <c r="ED471" s="312"/>
      <c r="EE471" s="312"/>
      <c r="EF471" s="312"/>
      <c r="EG471" s="312"/>
      <c r="EH471" s="312"/>
      <c r="EI471" s="312"/>
      <c r="EJ471" s="312"/>
      <c r="EK471" s="312"/>
      <c r="EL471" s="312"/>
      <c r="EM471" s="312"/>
      <c r="EN471" s="312"/>
      <c r="EO471" s="312"/>
      <c r="EP471" s="312"/>
      <c r="EQ471" s="312"/>
      <c r="ER471" s="312"/>
      <c r="ES471" s="312"/>
      <c r="ET471" s="312"/>
      <c r="EU471" s="312"/>
      <c r="EV471" s="312"/>
      <c r="EW471" s="312"/>
      <c r="EX471" s="312"/>
      <c r="EY471" s="312"/>
      <c r="EZ471" s="312"/>
      <c r="FA471" s="312"/>
      <c r="FB471" s="312"/>
      <c r="FC471" s="312"/>
      <c r="FD471" s="312"/>
      <c r="FE471" s="312"/>
      <c r="FF471" s="312"/>
      <c r="FG471" s="312"/>
      <c r="FH471" s="312"/>
      <c r="FI471" s="312"/>
      <c r="FJ471" s="312"/>
      <c r="FK471" s="312"/>
      <c r="FL471" s="312"/>
      <c r="FM471" s="312"/>
      <c r="FN471" s="312"/>
      <c r="FO471" s="312"/>
      <c r="FP471" s="312"/>
      <c r="FQ471" s="312"/>
      <c r="FR471" s="312"/>
      <c r="FS471" s="312"/>
      <c r="FT471" s="312"/>
      <c r="FU471" s="312"/>
      <c r="FV471" s="312"/>
      <c r="FW471" s="312"/>
      <c r="FX471" s="312"/>
      <c r="FY471" s="312"/>
      <c r="FZ471" s="312"/>
      <c r="GA471" s="312"/>
      <c r="GB471" s="312"/>
      <c r="GC471" s="312"/>
      <c r="GD471" s="312"/>
      <c r="GE471" s="312"/>
      <c r="GF471" s="312"/>
      <c r="GG471" s="312"/>
      <c r="GH471" s="312"/>
      <c r="GI471" s="312"/>
      <c r="GJ471" s="312"/>
      <c r="GK471" s="312"/>
      <c r="GL471" s="312"/>
      <c r="GM471" s="312"/>
      <c r="GN471" s="312"/>
      <c r="GO471" s="312"/>
      <c r="GP471" s="312"/>
      <c r="GQ471" s="312"/>
      <c r="GR471" s="312"/>
      <c r="GS471" s="312"/>
      <c r="GT471" s="312"/>
      <c r="GU471" s="312"/>
      <c r="GV471" s="312"/>
      <c r="GW471" s="312"/>
      <c r="GX471" s="312"/>
      <c r="GY471" s="312"/>
    </row>
    <row r="472" spans="2:207" ht="15.75" x14ac:dyDescent="0.25">
      <c r="B472" s="316" t="str">
        <f t="shared" si="115"/>
        <v/>
      </c>
      <c r="C472" s="330" t="str">
        <f>'סיכום לוועדה'!B472</f>
        <v/>
      </c>
      <c r="D472" s="330" t="str">
        <f>'סיכום לוועדה'!C472</f>
        <v/>
      </c>
      <c r="E472" s="330" t="str">
        <f>'סיכום לוועדה'!D472</f>
        <v/>
      </c>
      <c r="F472" s="330" t="str">
        <f>'סיכום לוועדה'!E472</f>
        <v/>
      </c>
      <c r="G472" s="330" t="str">
        <f>'סיכום לוועדה'!F472</f>
        <v/>
      </c>
      <c r="H472" s="317" t="str">
        <f>'סיכום לוועדה'!G472</f>
        <v/>
      </c>
      <c r="I472" s="318" t="str">
        <f>'סיכום לוועדה'!U472</f>
        <v/>
      </c>
      <c r="J472" s="319" t="str">
        <f>'סיכום לוועדה'!T472</f>
        <v/>
      </c>
      <c r="K472" s="320" t="str">
        <f t="shared" si="116"/>
        <v/>
      </c>
      <c r="L472" s="319" t="str">
        <f t="shared" si="117"/>
        <v/>
      </c>
      <c r="M472" s="331" t="str">
        <f>'תחום תמיכה ב'!AF472</f>
        <v/>
      </c>
      <c r="N472" s="319" t="str">
        <f t="shared" si="114"/>
        <v/>
      </c>
      <c r="O472" s="321">
        <f t="shared" si="118"/>
        <v>0</v>
      </c>
      <c r="P472" s="322" t="str">
        <f t="shared" si="119"/>
        <v/>
      </c>
      <c r="Q472" s="322" t="str">
        <f t="shared" si="120"/>
        <v/>
      </c>
      <c r="R472" s="321">
        <f t="shared" si="121"/>
        <v>0</v>
      </c>
      <c r="S472" s="322" t="str">
        <f t="shared" si="122"/>
        <v/>
      </c>
      <c r="T472" s="322" t="str">
        <f t="shared" si="123"/>
        <v/>
      </c>
      <c r="U472" s="321">
        <f t="shared" si="124"/>
        <v>0</v>
      </c>
      <c r="V472" s="322" t="str">
        <f t="shared" si="125"/>
        <v/>
      </c>
      <c r="W472" s="322" t="str">
        <f t="shared" si="126"/>
        <v/>
      </c>
      <c r="X472" s="321">
        <f t="shared" si="127"/>
        <v>0</v>
      </c>
      <c r="Y472" s="322" t="str">
        <f t="shared" si="128"/>
        <v/>
      </c>
      <c r="Z472" s="322" t="str">
        <f t="shared" si="129"/>
        <v/>
      </c>
      <c r="AA472" s="323" t="str">
        <f t="shared" si="130"/>
        <v/>
      </c>
      <c r="AB472" s="323"/>
      <c r="AC472" s="323"/>
      <c r="AD472" s="323"/>
      <c r="AE472" s="323"/>
      <c r="AF472" s="324" t="str">
        <f t="shared" si="131"/>
        <v/>
      </c>
      <c r="AG472" s="312"/>
      <c r="AH472" s="312"/>
      <c r="AI472" s="325">
        <f t="shared" si="132"/>
        <v>0</v>
      </c>
      <c r="AJ472" s="312"/>
      <c r="AK472" s="312"/>
      <c r="AL472" s="312"/>
      <c r="AM472" s="312"/>
      <c r="AN472" s="312"/>
      <c r="AO472" s="312"/>
      <c r="AP472" s="312"/>
      <c r="AQ472" s="312"/>
      <c r="AR472" s="312"/>
      <c r="AS472" s="312"/>
      <c r="AT472" s="312"/>
      <c r="AU472" s="312"/>
      <c r="AV472" s="312"/>
      <c r="AW472" s="312"/>
      <c r="AX472" s="312"/>
      <c r="AY472" s="312"/>
      <c r="AZ472" s="312"/>
      <c r="BA472" s="312"/>
      <c r="BB472" s="312"/>
      <c r="BC472" s="312"/>
      <c r="BD472" s="312"/>
      <c r="BE472" s="312"/>
      <c r="BF472" s="312"/>
      <c r="BG472" s="312"/>
      <c r="BH472" s="312"/>
      <c r="BI472" s="312"/>
      <c r="BJ472" s="312"/>
      <c r="BK472" s="312"/>
      <c r="BL472" s="312"/>
      <c r="BM472" s="312"/>
      <c r="BN472" s="312"/>
      <c r="BO472" s="312"/>
      <c r="BP472" s="312"/>
      <c r="BQ472" s="312"/>
      <c r="BR472" s="312"/>
      <c r="BS472" s="312"/>
      <c r="BT472" s="312"/>
      <c r="BU472" s="312"/>
      <c r="BV472" s="312"/>
      <c r="BW472" s="312"/>
      <c r="BX472" s="312"/>
      <c r="BY472" s="312"/>
      <c r="BZ472" s="312"/>
      <c r="CA472" s="312"/>
      <c r="CB472" s="312"/>
      <c r="CC472" s="312"/>
      <c r="CD472" s="312"/>
      <c r="CE472" s="312"/>
      <c r="CF472" s="312"/>
      <c r="CG472" s="312"/>
      <c r="CH472" s="312"/>
      <c r="CI472" s="312"/>
      <c r="CJ472" s="312"/>
      <c r="CK472" s="312"/>
      <c r="CL472" s="312"/>
      <c r="CM472" s="312"/>
      <c r="CN472" s="312"/>
      <c r="CO472" s="312"/>
      <c r="CP472" s="312"/>
      <c r="CQ472" s="312"/>
      <c r="CR472" s="312"/>
      <c r="CS472" s="312"/>
      <c r="CT472" s="312"/>
      <c r="CU472" s="312"/>
      <c r="CV472" s="312"/>
      <c r="CW472" s="312"/>
      <c r="CX472" s="312"/>
      <c r="CY472" s="312"/>
      <c r="CZ472" s="312"/>
      <c r="DA472" s="312"/>
      <c r="DB472" s="312"/>
      <c r="DC472" s="312"/>
      <c r="DD472" s="312"/>
      <c r="DE472" s="312"/>
      <c r="DF472" s="312"/>
      <c r="DG472" s="312"/>
      <c r="DH472" s="312"/>
      <c r="DI472" s="312"/>
      <c r="DJ472" s="312"/>
      <c r="DK472" s="312"/>
      <c r="DL472" s="312"/>
      <c r="DM472" s="312"/>
      <c r="DN472" s="312"/>
      <c r="DO472" s="312"/>
      <c r="DP472" s="312"/>
      <c r="DQ472" s="312"/>
      <c r="DR472" s="312"/>
      <c r="DS472" s="312"/>
      <c r="DT472" s="312"/>
      <c r="DU472" s="312"/>
      <c r="DV472" s="312"/>
      <c r="DW472" s="312"/>
      <c r="DX472" s="312"/>
      <c r="DY472" s="312"/>
      <c r="DZ472" s="312"/>
      <c r="EA472" s="312"/>
      <c r="EB472" s="312"/>
      <c r="EC472" s="312"/>
      <c r="ED472" s="312"/>
      <c r="EE472" s="312"/>
      <c r="EF472" s="312"/>
      <c r="EG472" s="312"/>
      <c r="EH472" s="312"/>
      <c r="EI472" s="312"/>
      <c r="EJ472" s="312"/>
      <c r="EK472" s="312"/>
      <c r="EL472" s="312"/>
      <c r="EM472" s="312"/>
      <c r="EN472" s="312"/>
      <c r="EO472" s="312"/>
      <c r="EP472" s="312"/>
      <c r="EQ472" s="312"/>
      <c r="ER472" s="312"/>
      <c r="ES472" s="312"/>
      <c r="ET472" s="312"/>
      <c r="EU472" s="312"/>
      <c r="EV472" s="312"/>
      <c r="EW472" s="312"/>
      <c r="EX472" s="312"/>
      <c r="EY472" s="312"/>
      <c r="EZ472" s="312"/>
      <c r="FA472" s="312"/>
      <c r="FB472" s="312"/>
      <c r="FC472" s="312"/>
      <c r="FD472" s="312"/>
      <c r="FE472" s="312"/>
      <c r="FF472" s="312"/>
      <c r="FG472" s="312"/>
      <c r="FH472" s="312"/>
      <c r="FI472" s="312"/>
      <c r="FJ472" s="312"/>
      <c r="FK472" s="312"/>
      <c r="FL472" s="312"/>
      <c r="FM472" s="312"/>
      <c r="FN472" s="312"/>
      <c r="FO472" s="312"/>
      <c r="FP472" s="312"/>
      <c r="FQ472" s="312"/>
      <c r="FR472" s="312"/>
      <c r="FS472" s="312"/>
      <c r="FT472" s="312"/>
      <c r="FU472" s="312"/>
      <c r="FV472" s="312"/>
      <c r="FW472" s="312"/>
      <c r="FX472" s="312"/>
      <c r="FY472" s="312"/>
      <c r="FZ472" s="312"/>
      <c r="GA472" s="312"/>
      <c r="GB472" s="312"/>
      <c r="GC472" s="312"/>
      <c r="GD472" s="312"/>
      <c r="GE472" s="312"/>
      <c r="GF472" s="312"/>
      <c r="GG472" s="312"/>
      <c r="GH472" s="312"/>
      <c r="GI472" s="312"/>
      <c r="GJ472" s="312"/>
      <c r="GK472" s="312"/>
      <c r="GL472" s="312"/>
      <c r="GM472" s="312"/>
      <c r="GN472" s="312"/>
      <c r="GO472" s="312"/>
      <c r="GP472" s="312"/>
      <c r="GQ472" s="312"/>
      <c r="GR472" s="312"/>
      <c r="GS472" s="312"/>
      <c r="GT472" s="312"/>
      <c r="GU472" s="312"/>
      <c r="GV472" s="312"/>
      <c r="GW472" s="312"/>
      <c r="GX472" s="312"/>
      <c r="GY472" s="312"/>
    </row>
    <row r="473" spans="2:207" ht="15.75" x14ac:dyDescent="0.25">
      <c r="B473" s="316" t="str">
        <f t="shared" si="115"/>
        <v/>
      </c>
      <c r="C473" s="330" t="str">
        <f>'סיכום לוועדה'!B473</f>
        <v/>
      </c>
      <c r="D473" s="330" t="str">
        <f>'סיכום לוועדה'!C473</f>
        <v/>
      </c>
      <c r="E473" s="330" t="str">
        <f>'סיכום לוועדה'!D473</f>
        <v/>
      </c>
      <c r="F473" s="330" t="str">
        <f>'סיכום לוועדה'!E473</f>
        <v/>
      </c>
      <c r="G473" s="330" t="str">
        <f>'סיכום לוועדה'!F473</f>
        <v/>
      </c>
      <c r="H473" s="317" t="str">
        <f>'סיכום לוועדה'!G473</f>
        <v/>
      </c>
      <c r="I473" s="318" t="str">
        <f>'סיכום לוועדה'!U473</f>
        <v/>
      </c>
      <c r="J473" s="319" t="str">
        <f>'סיכום לוועדה'!T473</f>
        <v/>
      </c>
      <c r="K473" s="320" t="str">
        <f t="shared" si="116"/>
        <v/>
      </c>
      <c r="L473" s="319" t="str">
        <f t="shared" si="117"/>
        <v/>
      </c>
      <c r="M473" s="331" t="str">
        <f>'תחום תמיכה ב'!AF473</f>
        <v/>
      </c>
      <c r="N473" s="319" t="str">
        <f t="shared" si="114"/>
        <v/>
      </c>
      <c r="O473" s="321">
        <f t="shared" si="118"/>
        <v>0</v>
      </c>
      <c r="P473" s="322" t="str">
        <f t="shared" si="119"/>
        <v/>
      </c>
      <c r="Q473" s="322" t="str">
        <f t="shared" si="120"/>
        <v/>
      </c>
      <c r="R473" s="321">
        <f t="shared" si="121"/>
        <v>0</v>
      </c>
      <c r="S473" s="322" t="str">
        <f t="shared" si="122"/>
        <v/>
      </c>
      <c r="T473" s="322" t="str">
        <f t="shared" si="123"/>
        <v/>
      </c>
      <c r="U473" s="321">
        <f t="shared" si="124"/>
        <v>0</v>
      </c>
      <c r="V473" s="322" t="str">
        <f t="shared" si="125"/>
        <v/>
      </c>
      <c r="W473" s="322" t="str">
        <f t="shared" si="126"/>
        <v/>
      </c>
      <c r="X473" s="321">
        <f t="shared" si="127"/>
        <v>0</v>
      </c>
      <c r="Y473" s="322" t="str">
        <f t="shared" si="128"/>
        <v/>
      </c>
      <c r="Z473" s="322" t="str">
        <f t="shared" si="129"/>
        <v/>
      </c>
      <c r="AA473" s="323" t="str">
        <f t="shared" si="130"/>
        <v/>
      </c>
      <c r="AB473" s="323"/>
      <c r="AC473" s="323"/>
      <c r="AD473" s="323"/>
      <c r="AE473" s="323"/>
      <c r="AF473" s="324" t="str">
        <f t="shared" si="131"/>
        <v/>
      </c>
      <c r="AG473" s="312"/>
      <c r="AH473" s="312"/>
      <c r="AI473" s="325">
        <f t="shared" si="132"/>
        <v>0</v>
      </c>
      <c r="AJ473" s="312"/>
      <c r="AK473" s="312"/>
      <c r="AL473" s="312"/>
      <c r="AM473" s="312"/>
      <c r="AN473" s="312"/>
      <c r="AO473" s="312"/>
      <c r="AP473" s="312"/>
      <c r="AQ473" s="312"/>
      <c r="AR473" s="312"/>
      <c r="AS473" s="312"/>
      <c r="AT473" s="312"/>
      <c r="AU473" s="312"/>
      <c r="AV473" s="312"/>
      <c r="AW473" s="312"/>
      <c r="AX473" s="312"/>
      <c r="AY473" s="312"/>
      <c r="AZ473" s="312"/>
      <c r="BA473" s="312"/>
      <c r="BB473" s="312"/>
      <c r="BC473" s="312"/>
      <c r="BD473" s="312"/>
      <c r="BE473" s="312"/>
      <c r="BF473" s="312"/>
      <c r="BG473" s="312"/>
      <c r="BH473" s="312"/>
      <c r="BI473" s="312"/>
      <c r="BJ473" s="312"/>
      <c r="BK473" s="312"/>
      <c r="BL473" s="312"/>
      <c r="BM473" s="312"/>
      <c r="BN473" s="312"/>
      <c r="BO473" s="312"/>
      <c r="BP473" s="312"/>
      <c r="BQ473" s="312"/>
      <c r="BR473" s="312"/>
      <c r="BS473" s="312"/>
      <c r="BT473" s="312"/>
      <c r="BU473" s="312"/>
      <c r="BV473" s="312"/>
      <c r="BW473" s="312"/>
      <c r="BX473" s="312"/>
      <c r="BY473" s="312"/>
      <c r="BZ473" s="312"/>
      <c r="CA473" s="312"/>
      <c r="CB473" s="312"/>
      <c r="CC473" s="312"/>
      <c r="CD473" s="312"/>
      <c r="CE473" s="312"/>
      <c r="CF473" s="312"/>
      <c r="CG473" s="312"/>
      <c r="CH473" s="312"/>
      <c r="CI473" s="312"/>
      <c r="CJ473" s="312"/>
      <c r="CK473" s="312"/>
      <c r="CL473" s="312"/>
      <c r="CM473" s="312"/>
      <c r="CN473" s="312"/>
      <c r="CO473" s="312"/>
      <c r="CP473" s="312"/>
      <c r="CQ473" s="312"/>
      <c r="CR473" s="312"/>
      <c r="CS473" s="312"/>
      <c r="CT473" s="312"/>
      <c r="CU473" s="312"/>
      <c r="CV473" s="312"/>
      <c r="CW473" s="312"/>
      <c r="CX473" s="312"/>
      <c r="CY473" s="312"/>
      <c r="CZ473" s="312"/>
      <c r="DA473" s="312"/>
      <c r="DB473" s="312"/>
      <c r="DC473" s="312"/>
      <c r="DD473" s="312"/>
      <c r="DE473" s="312"/>
      <c r="DF473" s="312"/>
      <c r="DG473" s="312"/>
      <c r="DH473" s="312"/>
      <c r="DI473" s="312"/>
      <c r="DJ473" s="312"/>
      <c r="DK473" s="312"/>
      <c r="DL473" s="312"/>
      <c r="DM473" s="312"/>
      <c r="DN473" s="312"/>
      <c r="DO473" s="312"/>
      <c r="DP473" s="312"/>
      <c r="DQ473" s="312"/>
      <c r="DR473" s="312"/>
      <c r="DS473" s="312"/>
      <c r="DT473" s="312"/>
      <c r="DU473" s="312"/>
      <c r="DV473" s="312"/>
      <c r="DW473" s="312"/>
      <c r="DX473" s="312"/>
      <c r="DY473" s="312"/>
      <c r="DZ473" s="312"/>
      <c r="EA473" s="312"/>
      <c r="EB473" s="312"/>
      <c r="EC473" s="312"/>
      <c r="ED473" s="312"/>
      <c r="EE473" s="312"/>
      <c r="EF473" s="312"/>
      <c r="EG473" s="312"/>
      <c r="EH473" s="312"/>
      <c r="EI473" s="312"/>
      <c r="EJ473" s="312"/>
      <c r="EK473" s="312"/>
      <c r="EL473" s="312"/>
      <c r="EM473" s="312"/>
      <c r="EN473" s="312"/>
      <c r="EO473" s="312"/>
      <c r="EP473" s="312"/>
      <c r="EQ473" s="312"/>
      <c r="ER473" s="312"/>
      <c r="ES473" s="312"/>
      <c r="ET473" s="312"/>
      <c r="EU473" s="312"/>
      <c r="EV473" s="312"/>
      <c r="EW473" s="312"/>
      <c r="EX473" s="312"/>
      <c r="EY473" s="312"/>
      <c r="EZ473" s="312"/>
      <c r="FA473" s="312"/>
      <c r="FB473" s="312"/>
      <c r="FC473" s="312"/>
      <c r="FD473" s="312"/>
      <c r="FE473" s="312"/>
      <c r="FF473" s="312"/>
      <c r="FG473" s="312"/>
      <c r="FH473" s="312"/>
      <c r="FI473" s="312"/>
      <c r="FJ473" s="312"/>
      <c r="FK473" s="312"/>
      <c r="FL473" s="312"/>
      <c r="FM473" s="312"/>
      <c r="FN473" s="312"/>
      <c r="FO473" s="312"/>
      <c r="FP473" s="312"/>
      <c r="FQ473" s="312"/>
      <c r="FR473" s="312"/>
      <c r="FS473" s="312"/>
      <c r="FT473" s="312"/>
      <c r="FU473" s="312"/>
      <c r="FV473" s="312"/>
      <c r="FW473" s="312"/>
      <c r="FX473" s="312"/>
      <c r="FY473" s="312"/>
      <c r="FZ473" s="312"/>
      <c r="GA473" s="312"/>
      <c r="GB473" s="312"/>
      <c r="GC473" s="312"/>
      <c r="GD473" s="312"/>
      <c r="GE473" s="312"/>
      <c r="GF473" s="312"/>
      <c r="GG473" s="312"/>
      <c r="GH473" s="312"/>
      <c r="GI473" s="312"/>
      <c r="GJ473" s="312"/>
      <c r="GK473" s="312"/>
      <c r="GL473" s="312"/>
      <c r="GM473" s="312"/>
      <c r="GN473" s="312"/>
      <c r="GO473" s="312"/>
      <c r="GP473" s="312"/>
      <c r="GQ473" s="312"/>
      <c r="GR473" s="312"/>
      <c r="GS473" s="312"/>
      <c r="GT473" s="312"/>
      <c r="GU473" s="312"/>
      <c r="GV473" s="312"/>
      <c r="GW473" s="312"/>
      <c r="GX473" s="312"/>
      <c r="GY473" s="312"/>
    </row>
    <row r="474" spans="2:207" ht="15.75" x14ac:dyDescent="0.25">
      <c r="B474" s="316" t="str">
        <f t="shared" si="115"/>
        <v/>
      </c>
      <c r="C474" s="330" t="str">
        <f>'סיכום לוועדה'!B474</f>
        <v/>
      </c>
      <c r="D474" s="330" t="str">
        <f>'סיכום לוועדה'!C474</f>
        <v/>
      </c>
      <c r="E474" s="330" t="str">
        <f>'סיכום לוועדה'!D474</f>
        <v/>
      </c>
      <c r="F474" s="330" t="str">
        <f>'סיכום לוועדה'!E474</f>
        <v/>
      </c>
      <c r="G474" s="330" t="str">
        <f>'סיכום לוועדה'!F474</f>
        <v/>
      </c>
      <c r="H474" s="317" t="str">
        <f>'סיכום לוועדה'!G474</f>
        <v/>
      </c>
      <c r="I474" s="318" t="str">
        <f>'סיכום לוועדה'!U474</f>
        <v/>
      </c>
      <c r="J474" s="319" t="str">
        <f>'סיכום לוועדה'!T474</f>
        <v/>
      </c>
      <c r="K474" s="320" t="str">
        <f t="shared" si="116"/>
        <v/>
      </c>
      <c r="L474" s="319" t="str">
        <f t="shared" si="117"/>
        <v/>
      </c>
      <c r="M474" s="331" t="str">
        <f>'תחום תמיכה ב'!AF474</f>
        <v/>
      </c>
      <c r="N474" s="319" t="str">
        <f t="shared" si="114"/>
        <v/>
      </c>
      <c r="O474" s="321">
        <f t="shared" si="118"/>
        <v>0</v>
      </c>
      <c r="P474" s="322" t="str">
        <f t="shared" si="119"/>
        <v/>
      </c>
      <c r="Q474" s="322" t="str">
        <f t="shared" si="120"/>
        <v/>
      </c>
      <c r="R474" s="321">
        <f t="shared" si="121"/>
        <v>0</v>
      </c>
      <c r="S474" s="322" t="str">
        <f t="shared" si="122"/>
        <v/>
      </c>
      <c r="T474" s="322" t="str">
        <f t="shared" si="123"/>
        <v/>
      </c>
      <c r="U474" s="321">
        <f t="shared" si="124"/>
        <v>0</v>
      </c>
      <c r="V474" s="322" t="str">
        <f t="shared" si="125"/>
        <v/>
      </c>
      <c r="W474" s="322" t="str">
        <f t="shared" si="126"/>
        <v/>
      </c>
      <c r="X474" s="321">
        <f t="shared" si="127"/>
        <v>0</v>
      </c>
      <c r="Y474" s="322" t="str">
        <f t="shared" si="128"/>
        <v/>
      </c>
      <c r="Z474" s="322" t="str">
        <f t="shared" si="129"/>
        <v/>
      </c>
      <c r="AA474" s="323" t="str">
        <f t="shared" si="130"/>
        <v/>
      </c>
      <c r="AB474" s="323"/>
      <c r="AC474" s="323"/>
      <c r="AD474" s="323"/>
      <c r="AE474" s="323"/>
      <c r="AF474" s="324" t="str">
        <f t="shared" si="131"/>
        <v/>
      </c>
      <c r="AG474" s="312"/>
      <c r="AH474" s="312"/>
      <c r="AI474" s="325">
        <f t="shared" si="132"/>
        <v>0</v>
      </c>
      <c r="AJ474" s="312"/>
      <c r="AK474" s="312"/>
      <c r="AL474" s="312"/>
      <c r="AM474" s="312"/>
      <c r="AN474" s="312"/>
      <c r="AO474" s="312"/>
      <c r="AP474" s="312"/>
      <c r="AQ474" s="312"/>
      <c r="AR474" s="312"/>
      <c r="AS474" s="312"/>
      <c r="AT474" s="312"/>
      <c r="AU474" s="312"/>
      <c r="AV474" s="312"/>
      <c r="AW474" s="312"/>
      <c r="AX474" s="312"/>
      <c r="AY474" s="312"/>
      <c r="AZ474" s="312"/>
      <c r="BA474" s="312"/>
      <c r="BB474" s="312"/>
      <c r="BC474" s="312"/>
      <c r="BD474" s="312"/>
      <c r="BE474" s="312"/>
      <c r="BF474" s="312"/>
      <c r="BG474" s="312"/>
      <c r="BH474" s="312"/>
      <c r="BI474" s="312"/>
      <c r="BJ474" s="312"/>
      <c r="BK474" s="312"/>
      <c r="BL474" s="312"/>
      <c r="BM474" s="312"/>
      <c r="BN474" s="312"/>
      <c r="BO474" s="312"/>
      <c r="BP474" s="312"/>
      <c r="BQ474" s="312"/>
      <c r="BR474" s="312"/>
      <c r="BS474" s="312"/>
      <c r="BT474" s="312"/>
      <c r="BU474" s="312"/>
      <c r="BV474" s="312"/>
      <c r="BW474" s="312"/>
      <c r="BX474" s="312"/>
      <c r="BY474" s="312"/>
      <c r="BZ474" s="312"/>
      <c r="CA474" s="312"/>
      <c r="CB474" s="312"/>
      <c r="CC474" s="312"/>
      <c r="CD474" s="312"/>
      <c r="CE474" s="312"/>
      <c r="CF474" s="312"/>
      <c r="CG474" s="312"/>
      <c r="CH474" s="312"/>
      <c r="CI474" s="312"/>
      <c r="CJ474" s="312"/>
      <c r="CK474" s="312"/>
      <c r="CL474" s="312"/>
      <c r="CM474" s="312"/>
      <c r="CN474" s="312"/>
      <c r="CO474" s="312"/>
      <c r="CP474" s="312"/>
      <c r="CQ474" s="312"/>
      <c r="CR474" s="312"/>
      <c r="CS474" s="312"/>
      <c r="CT474" s="312"/>
      <c r="CU474" s="312"/>
      <c r="CV474" s="312"/>
      <c r="CW474" s="312"/>
      <c r="CX474" s="312"/>
      <c r="CY474" s="312"/>
      <c r="CZ474" s="312"/>
      <c r="DA474" s="312"/>
      <c r="DB474" s="312"/>
      <c r="DC474" s="312"/>
      <c r="DD474" s="312"/>
      <c r="DE474" s="312"/>
      <c r="DF474" s="312"/>
      <c r="DG474" s="312"/>
      <c r="DH474" s="312"/>
      <c r="DI474" s="312"/>
      <c r="DJ474" s="312"/>
      <c r="DK474" s="312"/>
      <c r="DL474" s="312"/>
      <c r="DM474" s="312"/>
      <c r="DN474" s="312"/>
      <c r="DO474" s="312"/>
      <c r="DP474" s="312"/>
      <c r="DQ474" s="312"/>
      <c r="DR474" s="312"/>
      <c r="DS474" s="312"/>
      <c r="DT474" s="312"/>
      <c r="DU474" s="312"/>
      <c r="DV474" s="312"/>
      <c r="DW474" s="312"/>
      <c r="DX474" s="312"/>
      <c r="DY474" s="312"/>
      <c r="DZ474" s="312"/>
      <c r="EA474" s="312"/>
      <c r="EB474" s="312"/>
      <c r="EC474" s="312"/>
      <c r="ED474" s="312"/>
      <c r="EE474" s="312"/>
      <c r="EF474" s="312"/>
      <c r="EG474" s="312"/>
      <c r="EH474" s="312"/>
      <c r="EI474" s="312"/>
      <c r="EJ474" s="312"/>
      <c r="EK474" s="312"/>
      <c r="EL474" s="312"/>
      <c r="EM474" s="312"/>
      <c r="EN474" s="312"/>
      <c r="EO474" s="312"/>
      <c r="EP474" s="312"/>
      <c r="EQ474" s="312"/>
      <c r="ER474" s="312"/>
      <c r="ES474" s="312"/>
      <c r="ET474" s="312"/>
      <c r="EU474" s="312"/>
      <c r="EV474" s="312"/>
      <c r="EW474" s="312"/>
      <c r="EX474" s="312"/>
      <c r="EY474" s="312"/>
      <c r="EZ474" s="312"/>
      <c r="FA474" s="312"/>
      <c r="FB474" s="312"/>
      <c r="FC474" s="312"/>
      <c r="FD474" s="312"/>
      <c r="FE474" s="312"/>
      <c r="FF474" s="312"/>
      <c r="FG474" s="312"/>
      <c r="FH474" s="312"/>
      <c r="FI474" s="312"/>
      <c r="FJ474" s="312"/>
      <c r="FK474" s="312"/>
      <c r="FL474" s="312"/>
      <c r="FM474" s="312"/>
      <c r="FN474" s="312"/>
      <c r="FO474" s="312"/>
      <c r="FP474" s="312"/>
      <c r="FQ474" s="312"/>
      <c r="FR474" s="312"/>
      <c r="FS474" s="312"/>
      <c r="FT474" s="312"/>
      <c r="FU474" s="312"/>
      <c r="FV474" s="312"/>
      <c r="FW474" s="312"/>
      <c r="FX474" s="312"/>
      <c r="FY474" s="312"/>
      <c r="FZ474" s="312"/>
      <c r="GA474" s="312"/>
      <c r="GB474" s="312"/>
      <c r="GC474" s="312"/>
      <c r="GD474" s="312"/>
      <c r="GE474" s="312"/>
      <c r="GF474" s="312"/>
      <c r="GG474" s="312"/>
      <c r="GH474" s="312"/>
      <c r="GI474" s="312"/>
      <c r="GJ474" s="312"/>
      <c r="GK474" s="312"/>
      <c r="GL474" s="312"/>
      <c r="GM474" s="312"/>
      <c r="GN474" s="312"/>
      <c r="GO474" s="312"/>
      <c r="GP474" s="312"/>
      <c r="GQ474" s="312"/>
      <c r="GR474" s="312"/>
      <c r="GS474" s="312"/>
      <c r="GT474" s="312"/>
      <c r="GU474" s="312"/>
      <c r="GV474" s="312"/>
      <c r="GW474" s="312"/>
      <c r="GX474" s="312"/>
      <c r="GY474" s="312"/>
    </row>
    <row r="475" spans="2:207" ht="15.75" x14ac:dyDescent="0.25">
      <c r="B475" s="316" t="str">
        <f t="shared" si="115"/>
        <v/>
      </c>
      <c r="C475" s="330" t="str">
        <f>'סיכום לוועדה'!B475</f>
        <v/>
      </c>
      <c r="D475" s="330" t="str">
        <f>'סיכום לוועדה'!C475</f>
        <v/>
      </c>
      <c r="E475" s="330" t="str">
        <f>'סיכום לוועדה'!D475</f>
        <v/>
      </c>
      <c r="F475" s="330" t="str">
        <f>'סיכום לוועדה'!E475</f>
        <v/>
      </c>
      <c r="G475" s="330" t="str">
        <f>'סיכום לוועדה'!F475</f>
        <v/>
      </c>
      <c r="H475" s="317" t="str">
        <f>'סיכום לוועדה'!G475</f>
        <v/>
      </c>
      <c r="I475" s="318" t="str">
        <f>'סיכום לוועדה'!U475</f>
        <v/>
      </c>
      <c r="J475" s="319" t="str">
        <f>'סיכום לוועדה'!T475</f>
        <v/>
      </c>
      <c r="K475" s="320" t="str">
        <f t="shared" si="116"/>
        <v/>
      </c>
      <c r="L475" s="319" t="str">
        <f t="shared" si="117"/>
        <v/>
      </c>
      <c r="M475" s="331" t="str">
        <f>'תחום תמיכה ב'!AF475</f>
        <v/>
      </c>
      <c r="N475" s="319" t="str">
        <f t="shared" si="114"/>
        <v/>
      </c>
      <c r="O475" s="321">
        <f t="shared" si="118"/>
        <v>0</v>
      </c>
      <c r="P475" s="322" t="str">
        <f t="shared" si="119"/>
        <v/>
      </c>
      <c r="Q475" s="322" t="str">
        <f t="shared" si="120"/>
        <v/>
      </c>
      <c r="R475" s="321">
        <f t="shared" si="121"/>
        <v>0</v>
      </c>
      <c r="S475" s="322" t="str">
        <f t="shared" si="122"/>
        <v/>
      </c>
      <c r="T475" s="322" t="str">
        <f t="shared" si="123"/>
        <v/>
      </c>
      <c r="U475" s="321">
        <f t="shared" si="124"/>
        <v>0</v>
      </c>
      <c r="V475" s="322" t="str">
        <f t="shared" si="125"/>
        <v/>
      </c>
      <c r="W475" s="322" t="str">
        <f t="shared" si="126"/>
        <v/>
      </c>
      <c r="X475" s="321">
        <f t="shared" si="127"/>
        <v>0</v>
      </c>
      <c r="Y475" s="322" t="str">
        <f t="shared" si="128"/>
        <v/>
      </c>
      <c r="Z475" s="322" t="str">
        <f t="shared" si="129"/>
        <v/>
      </c>
      <c r="AA475" s="323" t="str">
        <f t="shared" si="130"/>
        <v/>
      </c>
      <c r="AB475" s="323"/>
      <c r="AC475" s="323"/>
      <c r="AD475" s="323"/>
      <c r="AE475" s="323"/>
      <c r="AF475" s="324" t="str">
        <f t="shared" si="131"/>
        <v/>
      </c>
      <c r="AG475" s="312"/>
      <c r="AH475" s="312"/>
      <c r="AI475" s="325">
        <f t="shared" si="132"/>
        <v>0</v>
      </c>
      <c r="AJ475" s="312"/>
      <c r="AK475" s="312"/>
      <c r="AL475" s="312"/>
      <c r="AM475" s="312"/>
      <c r="AN475" s="312"/>
      <c r="AO475" s="312"/>
      <c r="AP475" s="312"/>
      <c r="AQ475" s="312"/>
      <c r="AR475" s="312"/>
      <c r="AS475" s="312"/>
      <c r="AT475" s="312"/>
      <c r="AU475" s="312"/>
      <c r="AV475" s="312"/>
      <c r="AW475" s="312"/>
      <c r="AX475" s="312"/>
      <c r="AY475" s="312"/>
      <c r="AZ475" s="312"/>
      <c r="BA475" s="312"/>
      <c r="BB475" s="312"/>
      <c r="BC475" s="312"/>
      <c r="BD475" s="312"/>
      <c r="BE475" s="312"/>
      <c r="BF475" s="312"/>
      <c r="BG475" s="312"/>
      <c r="BH475" s="312"/>
      <c r="BI475" s="312"/>
      <c r="BJ475" s="312"/>
      <c r="BK475" s="312"/>
      <c r="BL475" s="312"/>
      <c r="BM475" s="312"/>
      <c r="BN475" s="312"/>
      <c r="BO475" s="312"/>
      <c r="BP475" s="312"/>
      <c r="BQ475" s="312"/>
      <c r="BR475" s="312"/>
      <c r="BS475" s="312"/>
      <c r="BT475" s="312"/>
      <c r="BU475" s="312"/>
      <c r="BV475" s="312"/>
      <c r="BW475" s="312"/>
      <c r="BX475" s="312"/>
      <c r="BY475" s="312"/>
      <c r="BZ475" s="312"/>
      <c r="CA475" s="312"/>
      <c r="CB475" s="312"/>
      <c r="CC475" s="312"/>
      <c r="CD475" s="312"/>
      <c r="CE475" s="312"/>
      <c r="CF475" s="312"/>
      <c r="CG475" s="312"/>
      <c r="CH475" s="312"/>
      <c r="CI475" s="312"/>
      <c r="CJ475" s="312"/>
      <c r="CK475" s="312"/>
      <c r="CL475" s="312"/>
      <c r="CM475" s="312"/>
      <c r="CN475" s="312"/>
      <c r="CO475" s="312"/>
      <c r="CP475" s="312"/>
      <c r="CQ475" s="312"/>
      <c r="CR475" s="312"/>
      <c r="CS475" s="312"/>
      <c r="CT475" s="312"/>
      <c r="CU475" s="312"/>
      <c r="CV475" s="312"/>
      <c r="CW475" s="312"/>
      <c r="CX475" s="312"/>
      <c r="CY475" s="312"/>
      <c r="CZ475" s="312"/>
      <c r="DA475" s="312"/>
      <c r="DB475" s="312"/>
      <c r="DC475" s="312"/>
      <c r="DD475" s="312"/>
      <c r="DE475" s="312"/>
      <c r="DF475" s="312"/>
      <c r="DG475" s="312"/>
      <c r="DH475" s="312"/>
      <c r="DI475" s="312"/>
      <c r="DJ475" s="312"/>
      <c r="DK475" s="312"/>
      <c r="DL475" s="312"/>
      <c r="DM475" s="312"/>
      <c r="DN475" s="312"/>
      <c r="DO475" s="312"/>
      <c r="DP475" s="312"/>
      <c r="DQ475" s="312"/>
      <c r="DR475" s="312"/>
      <c r="DS475" s="312"/>
      <c r="DT475" s="312"/>
      <c r="DU475" s="312"/>
      <c r="DV475" s="312"/>
      <c r="DW475" s="312"/>
      <c r="DX475" s="312"/>
      <c r="DY475" s="312"/>
      <c r="DZ475" s="312"/>
      <c r="EA475" s="312"/>
      <c r="EB475" s="312"/>
      <c r="EC475" s="312"/>
      <c r="ED475" s="312"/>
      <c r="EE475" s="312"/>
      <c r="EF475" s="312"/>
      <c r="EG475" s="312"/>
      <c r="EH475" s="312"/>
      <c r="EI475" s="312"/>
      <c r="EJ475" s="312"/>
      <c r="EK475" s="312"/>
      <c r="EL475" s="312"/>
      <c r="EM475" s="312"/>
      <c r="EN475" s="312"/>
      <c r="EO475" s="312"/>
      <c r="EP475" s="312"/>
      <c r="EQ475" s="312"/>
      <c r="ER475" s="312"/>
      <c r="ES475" s="312"/>
      <c r="ET475" s="312"/>
      <c r="EU475" s="312"/>
      <c r="EV475" s="312"/>
      <c r="EW475" s="312"/>
      <c r="EX475" s="312"/>
      <c r="EY475" s="312"/>
      <c r="EZ475" s="312"/>
      <c r="FA475" s="312"/>
      <c r="FB475" s="312"/>
      <c r="FC475" s="312"/>
      <c r="FD475" s="312"/>
      <c r="FE475" s="312"/>
      <c r="FF475" s="312"/>
      <c r="FG475" s="312"/>
      <c r="FH475" s="312"/>
      <c r="FI475" s="312"/>
      <c r="FJ475" s="312"/>
      <c r="FK475" s="312"/>
      <c r="FL475" s="312"/>
      <c r="FM475" s="312"/>
      <c r="FN475" s="312"/>
      <c r="FO475" s="312"/>
      <c r="FP475" s="312"/>
      <c r="FQ475" s="312"/>
      <c r="FR475" s="312"/>
      <c r="FS475" s="312"/>
      <c r="FT475" s="312"/>
      <c r="FU475" s="312"/>
      <c r="FV475" s="312"/>
      <c r="FW475" s="312"/>
      <c r="FX475" s="312"/>
      <c r="FY475" s="312"/>
      <c r="FZ475" s="312"/>
      <c r="GA475" s="312"/>
      <c r="GB475" s="312"/>
      <c r="GC475" s="312"/>
      <c r="GD475" s="312"/>
      <c r="GE475" s="312"/>
      <c r="GF475" s="312"/>
      <c r="GG475" s="312"/>
      <c r="GH475" s="312"/>
      <c r="GI475" s="312"/>
      <c r="GJ475" s="312"/>
      <c r="GK475" s="312"/>
      <c r="GL475" s="312"/>
      <c r="GM475" s="312"/>
      <c r="GN475" s="312"/>
      <c r="GO475" s="312"/>
      <c r="GP475" s="312"/>
      <c r="GQ475" s="312"/>
      <c r="GR475" s="312"/>
      <c r="GS475" s="312"/>
      <c r="GT475" s="312"/>
      <c r="GU475" s="312"/>
      <c r="GV475" s="312"/>
      <c r="GW475" s="312"/>
      <c r="GX475" s="312"/>
      <c r="GY475" s="312"/>
    </row>
    <row r="476" spans="2:207" ht="15.75" x14ac:dyDescent="0.25">
      <c r="B476" s="316" t="str">
        <f t="shared" si="115"/>
        <v/>
      </c>
      <c r="C476" s="330" t="str">
        <f>'סיכום לוועדה'!B476</f>
        <v/>
      </c>
      <c r="D476" s="330" t="str">
        <f>'סיכום לוועדה'!C476</f>
        <v/>
      </c>
      <c r="E476" s="330" t="str">
        <f>'סיכום לוועדה'!D476</f>
        <v/>
      </c>
      <c r="F476" s="330" t="str">
        <f>'סיכום לוועדה'!E476</f>
        <v/>
      </c>
      <c r="G476" s="330" t="str">
        <f>'סיכום לוועדה'!F476</f>
        <v/>
      </c>
      <c r="H476" s="317" t="str">
        <f>'סיכום לוועדה'!G476</f>
        <v/>
      </c>
      <c r="I476" s="318" t="str">
        <f>'סיכום לוועדה'!U476</f>
        <v/>
      </c>
      <c r="J476" s="319" t="str">
        <f>'סיכום לוועדה'!T476</f>
        <v/>
      </c>
      <c r="K476" s="320" t="str">
        <f t="shared" si="116"/>
        <v/>
      </c>
      <c r="L476" s="319" t="str">
        <f t="shared" si="117"/>
        <v/>
      </c>
      <c r="M476" s="331" t="str">
        <f>'תחום תמיכה ב'!AF476</f>
        <v/>
      </c>
      <c r="N476" s="319" t="str">
        <f t="shared" si="114"/>
        <v/>
      </c>
      <c r="O476" s="321">
        <f t="shared" si="118"/>
        <v>0</v>
      </c>
      <c r="P476" s="322" t="str">
        <f t="shared" si="119"/>
        <v/>
      </c>
      <c r="Q476" s="322" t="str">
        <f t="shared" si="120"/>
        <v/>
      </c>
      <c r="R476" s="321">
        <f t="shared" si="121"/>
        <v>0</v>
      </c>
      <c r="S476" s="322" t="str">
        <f t="shared" si="122"/>
        <v/>
      </c>
      <c r="T476" s="322" t="str">
        <f t="shared" si="123"/>
        <v/>
      </c>
      <c r="U476" s="321">
        <f t="shared" si="124"/>
        <v>0</v>
      </c>
      <c r="V476" s="322" t="str">
        <f t="shared" si="125"/>
        <v/>
      </c>
      <c r="W476" s="322" t="str">
        <f t="shared" si="126"/>
        <v/>
      </c>
      <c r="X476" s="321">
        <f t="shared" si="127"/>
        <v>0</v>
      </c>
      <c r="Y476" s="322" t="str">
        <f t="shared" si="128"/>
        <v/>
      </c>
      <c r="Z476" s="322" t="str">
        <f t="shared" si="129"/>
        <v/>
      </c>
      <c r="AA476" s="323" t="str">
        <f t="shared" si="130"/>
        <v/>
      </c>
      <c r="AB476" s="323"/>
      <c r="AC476" s="323"/>
      <c r="AD476" s="323"/>
      <c r="AE476" s="323"/>
      <c r="AF476" s="324" t="str">
        <f t="shared" si="131"/>
        <v/>
      </c>
      <c r="AG476" s="312"/>
      <c r="AH476" s="312"/>
      <c r="AI476" s="325">
        <f t="shared" si="132"/>
        <v>0</v>
      </c>
      <c r="AJ476" s="312"/>
      <c r="AK476" s="312"/>
      <c r="AL476" s="312"/>
      <c r="AM476" s="312"/>
      <c r="AN476" s="312"/>
      <c r="AO476" s="312"/>
      <c r="AP476" s="312"/>
      <c r="AQ476" s="312"/>
      <c r="AR476" s="312"/>
      <c r="AS476" s="312"/>
      <c r="AT476" s="312"/>
      <c r="AU476" s="312"/>
      <c r="AV476" s="312"/>
      <c r="AW476" s="312"/>
      <c r="AX476" s="312"/>
      <c r="AY476" s="312"/>
      <c r="AZ476" s="312"/>
      <c r="BA476" s="312"/>
      <c r="BB476" s="312"/>
      <c r="BC476" s="312"/>
      <c r="BD476" s="312"/>
      <c r="BE476" s="312"/>
      <c r="BF476" s="312"/>
      <c r="BG476" s="312"/>
      <c r="BH476" s="312"/>
      <c r="BI476" s="312"/>
      <c r="BJ476" s="312"/>
      <c r="BK476" s="312"/>
      <c r="BL476" s="312"/>
      <c r="BM476" s="312"/>
      <c r="BN476" s="312"/>
      <c r="BO476" s="312"/>
      <c r="BP476" s="312"/>
      <c r="BQ476" s="312"/>
      <c r="BR476" s="312"/>
      <c r="BS476" s="312"/>
      <c r="BT476" s="312"/>
      <c r="BU476" s="312"/>
      <c r="BV476" s="312"/>
      <c r="BW476" s="312"/>
      <c r="BX476" s="312"/>
      <c r="BY476" s="312"/>
      <c r="BZ476" s="312"/>
      <c r="CA476" s="312"/>
      <c r="CB476" s="312"/>
      <c r="CC476" s="312"/>
      <c r="CD476" s="312"/>
      <c r="CE476" s="312"/>
      <c r="CF476" s="312"/>
      <c r="CG476" s="312"/>
      <c r="CH476" s="312"/>
      <c r="CI476" s="312"/>
      <c r="CJ476" s="312"/>
      <c r="CK476" s="312"/>
      <c r="CL476" s="312"/>
      <c r="CM476" s="312"/>
      <c r="CN476" s="312"/>
      <c r="CO476" s="312"/>
      <c r="CP476" s="312"/>
      <c r="CQ476" s="312"/>
      <c r="CR476" s="312"/>
      <c r="CS476" s="312"/>
      <c r="CT476" s="312"/>
      <c r="CU476" s="312"/>
      <c r="CV476" s="312"/>
      <c r="CW476" s="312"/>
      <c r="CX476" s="312"/>
      <c r="CY476" s="312"/>
      <c r="CZ476" s="312"/>
      <c r="DA476" s="312"/>
      <c r="DB476" s="312"/>
      <c r="DC476" s="312"/>
      <c r="DD476" s="312"/>
      <c r="DE476" s="312"/>
      <c r="DF476" s="312"/>
      <c r="DG476" s="312"/>
      <c r="DH476" s="312"/>
      <c r="DI476" s="312"/>
      <c r="DJ476" s="312"/>
      <c r="DK476" s="312"/>
      <c r="DL476" s="312"/>
      <c r="DM476" s="312"/>
      <c r="DN476" s="312"/>
      <c r="DO476" s="312"/>
      <c r="DP476" s="312"/>
      <c r="DQ476" s="312"/>
      <c r="DR476" s="312"/>
      <c r="DS476" s="312"/>
      <c r="DT476" s="312"/>
      <c r="DU476" s="312"/>
      <c r="DV476" s="312"/>
      <c r="DW476" s="312"/>
      <c r="DX476" s="312"/>
      <c r="DY476" s="312"/>
      <c r="DZ476" s="312"/>
      <c r="EA476" s="312"/>
      <c r="EB476" s="312"/>
      <c r="EC476" s="312"/>
      <c r="ED476" s="312"/>
      <c r="EE476" s="312"/>
      <c r="EF476" s="312"/>
      <c r="EG476" s="312"/>
      <c r="EH476" s="312"/>
      <c r="EI476" s="312"/>
      <c r="EJ476" s="312"/>
      <c r="EK476" s="312"/>
      <c r="EL476" s="312"/>
      <c r="EM476" s="312"/>
      <c r="EN476" s="312"/>
      <c r="EO476" s="312"/>
      <c r="EP476" s="312"/>
      <c r="EQ476" s="312"/>
      <c r="ER476" s="312"/>
      <c r="ES476" s="312"/>
      <c r="ET476" s="312"/>
      <c r="EU476" s="312"/>
      <c r="EV476" s="312"/>
      <c r="EW476" s="312"/>
      <c r="EX476" s="312"/>
      <c r="EY476" s="312"/>
      <c r="EZ476" s="312"/>
      <c r="FA476" s="312"/>
      <c r="FB476" s="312"/>
      <c r="FC476" s="312"/>
      <c r="FD476" s="312"/>
      <c r="FE476" s="312"/>
      <c r="FF476" s="312"/>
      <c r="FG476" s="312"/>
      <c r="FH476" s="312"/>
      <c r="FI476" s="312"/>
      <c r="FJ476" s="312"/>
      <c r="FK476" s="312"/>
      <c r="FL476" s="312"/>
      <c r="FM476" s="312"/>
      <c r="FN476" s="312"/>
      <c r="FO476" s="312"/>
      <c r="FP476" s="312"/>
      <c r="FQ476" s="312"/>
      <c r="FR476" s="312"/>
      <c r="FS476" s="312"/>
      <c r="FT476" s="312"/>
      <c r="FU476" s="312"/>
      <c r="FV476" s="312"/>
      <c r="FW476" s="312"/>
      <c r="FX476" s="312"/>
      <c r="FY476" s="312"/>
      <c r="FZ476" s="312"/>
      <c r="GA476" s="312"/>
      <c r="GB476" s="312"/>
      <c r="GC476" s="312"/>
      <c r="GD476" s="312"/>
      <c r="GE476" s="312"/>
      <c r="GF476" s="312"/>
      <c r="GG476" s="312"/>
      <c r="GH476" s="312"/>
      <c r="GI476" s="312"/>
      <c r="GJ476" s="312"/>
      <c r="GK476" s="312"/>
      <c r="GL476" s="312"/>
      <c r="GM476" s="312"/>
      <c r="GN476" s="312"/>
      <c r="GO476" s="312"/>
      <c r="GP476" s="312"/>
      <c r="GQ476" s="312"/>
      <c r="GR476" s="312"/>
      <c r="GS476" s="312"/>
      <c r="GT476" s="312"/>
      <c r="GU476" s="312"/>
      <c r="GV476" s="312"/>
      <c r="GW476" s="312"/>
      <c r="GX476" s="312"/>
      <c r="GY476" s="312"/>
    </row>
    <row r="477" spans="2:207" ht="15.75" x14ac:dyDescent="0.25">
      <c r="B477" s="316" t="str">
        <f t="shared" si="115"/>
        <v/>
      </c>
      <c r="C477" s="330" t="str">
        <f>'סיכום לוועדה'!B477</f>
        <v/>
      </c>
      <c r="D477" s="330" t="str">
        <f>'סיכום לוועדה'!C477</f>
        <v/>
      </c>
      <c r="E477" s="330" t="str">
        <f>'סיכום לוועדה'!D477</f>
        <v/>
      </c>
      <c r="F477" s="330" t="str">
        <f>'סיכום לוועדה'!E477</f>
        <v/>
      </c>
      <c r="G477" s="330" t="str">
        <f>'סיכום לוועדה'!F477</f>
        <v/>
      </c>
      <c r="H477" s="317" t="str">
        <f>'סיכום לוועדה'!G477</f>
        <v/>
      </c>
      <c r="I477" s="318" t="str">
        <f>'סיכום לוועדה'!U477</f>
        <v/>
      </c>
      <c r="J477" s="319" t="str">
        <f>'סיכום לוועדה'!T477</f>
        <v/>
      </c>
      <c r="K477" s="320" t="str">
        <f t="shared" si="116"/>
        <v/>
      </c>
      <c r="L477" s="319" t="str">
        <f t="shared" si="117"/>
        <v/>
      </c>
      <c r="M477" s="331" t="str">
        <f>'תחום תמיכה ב'!AF477</f>
        <v/>
      </c>
      <c r="N477" s="319" t="str">
        <f t="shared" si="114"/>
        <v/>
      </c>
      <c r="O477" s="321">
        <f t="shared" si="118"/>
        <v>0</v>
      </c>
      <c r="P477" s="322" t="str">
        <f t="shared" si="119"/>
        <v/>
      </c>
      <c r="Q477" s="322" t="str">
        <f t="shared" si="120"/>
        <v/>
      </c>
      <c r="R477" s="321">
        <f t="shared" si="121"/>
        <v>0</v>
      </c>
      <c r="S477" s="322" t="str">
        <f t="shared" si="122"/>
        <v/>
      </c>
      <c r="T477" s="322" t="str">
        <f t="shared" si="123"/>
        <v/>
      </c>
      <c r="U477" s="321">
        <f t="shared" si="124"/>
        <v>0</v>
      </c>
      <c r="V477" s="322" t="str">
        <f t="shared" si="125"/>
        <v/>
      </c>
      <c r="W477" s="322" t="str">
        <f t="shared" si="126"/>
        <v/>
      </c>
      <c r="X477" s="321">
        <f t="shared" si="127"/>
        <v>0</v>
      </c>
      <c r="Y477" s="322" t="str">
        <f t="shared" si="128"/>
        <v/>
      </c>
      <c r="Z477" s="322" t="str">
        <f t="shared" si="129"/>
        <v/>
      </c>
      <c r="AA477" s="323" t="str">
        <f t="shared" si="130"/>
        <v/>
      </c>
      <c r="AB477" s="323"/>
      <c r="AC477" s="323"/>
      <c r="AD477" s="323"/>
      <c r="AE477" s="323"/>
      <c r="AF477" s="324" t="str">
        <f t="shared" si="131"/>
        <v/>
      </c>
      <c r="AG477" s="312"/>
      <c r="AH477" s="312"/>
      <c r="AI477" s="325">
        <f t="shared" si="132"/>
        <v>0</v>
      </c>
      <c r="AJ477" s="312"/>
      <c r="AK477" s="312"/>
      <c r="AL477" s="312"/>
      <c r="AM477" s="312"/>
      <c r="AN477" s="312"/>
      <c r="AO477" s="312"/>
      <c r="AP477" s="312"/>
      <c r="AQ477" s="312"/>
      <c r="AR477" s="312"/>
      <c r="AS477" s="312"/>
      <c r="AT477" s="312"/>
      <c r="AU477" s="312"/>
      <c r="AV477" s="312"/>
      <c r="AW477" s="312"/>
      <c r="AX477" s="312"/>
      <c r="AY477" s="312"/>
      <c r="AZ477" s="312"/>
      <c r="BA477" s="312"/>
      <c r="BB477" s="312"/>
      <c r="BC477" s="312"/>
      <c r="BD477" s="312"/>
      <c r="BE477" s="312"/>
      <c r="BF477" s="312"/>
      <c r="BG477" s="312"/>
      <c r="BH477" s="312"/>
      <c r="BI477" s="312"/>
      <c r="BJ477" s="312"/>
      <c r="BK477" s="312"/>
      <c r="BL477" s="312"/>
      <c r="BM477" s="312"/>
      <c r="BN477" s="312"/>
      <c r="BO477" s="312"/>
      <c r="BP477" s="312"/>
      <c r="BQ477" s="312"/>
      <c r="BR477" s="312"/>
      <c r="BS477" s="312"/>
      <c r="BT477" s="312"/>
      <c r="BU477" s="312"/>
      <c r="BV477" s="312"/>
      <c r="BW477" s="312"/>
      <c r="BX477" s="312"/>
      <c r="BY477" s="312"/>
      <c r="BZ477" s="312"/>
      <c r="CA477" s="312"/>
      <c r="CB477" s="312"/>
      <c r="CC477" s="312"/>
      <c r="CD477" s="312"/>
      <c r="CE477" s="312"/>
      <c r="CF477" s="312"/>
      <c r="CG477" s="312"/>
      <c r="CH477" s="312"/>
      <c r="CI477" s="312"/>
      <c r="CJ477" s="312"/>
      <c r="CK477" s="312"/>
      <c r="CL477" s="312"/>
      <c r="CM477" s="312"/>
      <c r="CN477" s="312"/>
      <c r="CO477" s="312"/>
      <c r="CP477" s="312"/>
      <c r="CQ477" s="312"/>
      <c r="CR477" s="312"/>
      <c r="CS477" s="312"/>
      <c r="CT477" s="312"/>
      <c r="CU477" s="312"/>
      <c r="CV477" s="312"/>
      <c r="CW477" s="312"/>
      <c r="CX477" s="312"/>
      <c r="CY477" s="312"/>
      <c r="CZ477" s="312"/>
      <c r="DA477" s="312"/>
      <c r="DB477" s="312"/>
      <c r="DC477" s="312"/>
      <c r="DD477" s="312"/>
      <c r="DE477" s="312"/>
      <c r="DF477" s="312"/>
      <c r="DG477" s="312"/>
      <c r="DH477" s="312"/>
      <c r="DI477" s="312"/>
      <c r="DJ477" s="312"/>
      <c r="DK477" s="312"/>
      <c r="DL477" s="312"/>
      <c r="DM477" s="312"/>
      <c r="DN477" s="312"/>
      <c r="DO477" s="312"/>
      <c r="DP477" s="312"/>
      <c r="DQ477" s="312"/>
      <c r="DR477" s="312"/>
      <c r="DS477" s="312"/>
      <c r="DT477" s="312"/>
      <c r="DU477" s="312"/>
      <c r="DV477" s="312"/>
      <c r="DW477" s="312"/>
      <c r="DX477" s="312"/>
      <c r="DY477" s="312"/>
      <c r="DZ477" s="312"/>
      <c r="EA477" s="312"/>
      <c r="EB477" s="312"/>
      <c r="EC477" s="312"/>
      <c r="ED477" s="312"/>
      <c r="EE477" s="312"/>
      <c r="EF477" s="312"/>
      <c r="EG477" s="312"/>
      <c r="EH477" s="312"/>
      <c r="EI477" s="312"/>
      <c r="EJ477" s="312"/>
      <c r="EK477" s="312"/>
      <c r="EL477" s="312"/>
      <c r="EM477" s="312"/>
      <c r="EN477" s="312"/>
      <c r="EO477" s="312"/>
      <c r="EP477" s="312"/>
      <c r="EQ477" s="312"/>
      <c r="ER477" s="312"/>
      <c r="ES477" s="312"/>
      <c r="ET477" s="312"/>
      <c r="EU477" s="312"/>
      <c r="EV477" s="312"/>
      <c r="EW477" s="312"/>
      <c r="EX477" s="312"/>
      <c r="EY477" s="312"/>
      <c r="EZ477" s="312"/>
      <c r="FA477" s="312"/>
      <c r="FB477" s="312"/>
      <c r="FC477" s="312"/>
      <c r="FD477" s="312"/>
      <c r="FE477" s="312"/>
      <c r="FF477" s="312"/>
      <c r="FG477" s="312"/>
      <c r="FH477" s="312"/>
      <c r="FI477" s="312"/>
      <c r="FJ477" s="312"/>
      <c r="FK477" s="312"/>
      <c r="FL477" s="312"/>
      <c r="FM477" s="312"/>
      <c r="FN477" s="312"/>
      <c r="FO477" s="312"/>
      <c r="FP477" s="312"/>
      <c r="FQ477" s="312"/>
      <c r="FR477" s="312"/>
      <c r="FS477" s="312"/>
      <c r="FT477" s="312"/>
      <c r="FU477" s="312"/>
      <c r="FV477" s="312"/>
      <c r="FW477" s="312"/>
      <c r="FX477" s="312"/>
      <c r="FY477" s="312"/>
      <c r="FZ477" s="312"/>
      <c r="GA477" s="312"/>
      <c r="GB477" s="312"/>
      <c r="GC477" s="312"/>
      <c r="GD477" s="312"/>
      <c r="GE477" s="312"/>
      <c r="GF477" s="312"/>
      <c r="GG477" s="312"/>
      <c r="GH477" s="312"/>
      <c r="GI477" s="312"/>
      <c r="GJ477" s="312"/>
      <c r="GK477" s="312"/>
      <c r="GL477" s="312"/>
      <c r="GM477" s="312"/>
      <c r="GN477" s="312"/>
      <c r="GO477" s="312"/>
      <c r="GP477" s="312"/>
      <c r="GQ477" s="312"/>
      <c r="GR477" s="312"/>
      <c r="GS477" s="312"/>
      <c r="GT477" s="312"/>
      <c r="GU477" s="312"/>
      <c r="GV477" s="312"/>
      <c r="GW477" s="312"/>
      <c r="GX477" s="312"/>
      <c r="GY477" s="312"/>
    </row>
    <row r="478" spans="2:207" ht="15.75" x14ac:dyDescent="0.25">
      <c r="B478" s="316" t="str">
        <f t="shared" si="115"/>
        <v/>
      </c>
      <c r="C478" s="330" t="str">
        <f>'סיכום לוועדה'!B478</f>
        <v/>
      </c>
      <c r="D478" s="330" t="str">
        <f>'סיכום לוועדה'!C478</f>
        <v/>
      </c>
      <c r="E478" s="330" t="str">
        <f>'סיכום לוועדה'!D478</f>
        <v/>
      </c>
      <c r="F478" s="330" t="str">
        <f>'סיכום לוועדה'!E478</f>
        <v/>
      </c>
      <c r="G478" s="330" t="str">
        <f>'סיכום לוועדה'!F478</f>
        <v/>
      </c>
      <c r="H478" s="317" t="str">
        <f>'סיכום לוועדה'!G478</f>
        <v/>
      </c>
      <c r="I478" s="318" t="str">
        <f>'סיכום לוועדה'!U478</f>
        <v/>
      </c>
      <c r="J478" s="319" t="str">
        <f>'סיכום לוועדה'!T478</f>
        <v/>
      </c>
      <c r="K478" s="320" t="str">
        <f t="shared" si="116"/>
        <v/>
      </c>
      <c r="L478" s="319" t="str">
        <f t="shared" si="117"/>
        <v/>
      </c>
      <c r="M478" s="331" t="str">
        <f>'תחום תמיכה ב'!AF478</f>
        <v/>
      </c>
      <c r="N478" s="319" t="str">
        <f t="shared" si="114"/>
        <v/>
      </c>
      <c r="O478" s="321">
        <f t="shared" si="118"/>
        <v>0</v>
      </c>
      <c r="P478" s="322" t="str">
        <f t="shared" si="119"/>
        <v/>
      </c>
      <c r="Q478" s="322" t="str">
        <f t="shared" si="120"/>
        <v/>
      </c>
      <c r="R478" s="321">
        <f t="shared" si="121"/>
        <v>0</v>
      </c>
      <c r="S478" s="322" t="str">
        <f t="shared" si="122"/>
        <v/>
      </c>
      <c r="T478" s="322" t="str">
        <f t="shared" si="123"/>
        <v/>
      </c>
      <c r="U478" s="321">
        <f t="shared" si="124"/>
        <v>0</v>
      </c>
      <c r="V478" s="322" t="str">
        <f t="shared" si="125"/>
        <v/>
      </c>
      <c r="W478" s="322" t="str">
        <f t="shared" si="126"/>
        <v/>
      </c>
      <c r="X478" s="321">
        <f t="shared" si="127"/>
        <v>0</v>
      </c>
      <c r="Y478" s="322" t="str">
        <f t="shared" si="128"/>
        <v/>
      </c>
      <c r="Z478" s="322" t="str">
        <f t="shared" si="129"/>
        <v/>
      </c>
      <c r="AA478" s="323" t="str">
        <f t="shared" si="130"/>
        <v/>
      </c>
      <c r="AB478" s="323"/>
      <c r="AC478" s="323"/>
      <c r="AD478" s="323"/>
      <c r="AE478" s="323"/>
      <c r="AF478" s="324" t="str">
        <f t="shared" si="131"/>
        <v/>
      </c>
      <c r="AG478" s="312"/>
      <c r="AH478" s="312"/>
      <c r="AI478" s="325">
        <f t="shared" si="132"/>
        <v>0</v>
      </c>
      <c r="AJ478" s="312"/>
      <c r="AK478" s="312"/>
      <c r="AL478" s="312"/>
      <c r="AM478" s="312"/>
      <c r="AN478" s="312"/>
      <c r="AO478" s="312"/>
      <c r="AP478" s="312"/>
      <c r="AQ478" s="312"/>
      <c r="AR478" s="312"/>
      <c r="AS478" s="312"/>
      <c r="AT478" s="312"/>
      <c r="AU478" s="312"/>
      <c r="AV478" s="312"/>
      <c r="AW478" s="312"/>
      <c r="AX478" s="312"/>
      <c r="AY478" s="312"/>
      <c r="AZ478" s="312"/>
      <c r="BA478" s="312"/>
      <c r="BB478" s="312"/>
      <c r="BC478" s="312"/>
      <c r="BD478" s="312"/>
      <c r="BE478" s="312"/>
      <c r="BF478" s="312"/>
      <c r="BG478" s="312"/>
      <c r="BH478" s="312"/>
      <c r="BI478" s="312"/>
      <c r="BJ478" s="312"/>
      <c r="BK478" s="312"/>
      <c r="BL478" s="312"/>
      <c r="BM478" s="312"/>
      <c r="BN478" s="312"/>
      <c r="BO478" s="312"/>
      <c r="BP478" s="312"/>
      <c r="BQ478" s="312"/>
      <c r="BR478" s="312"/>
      <c r="BS478" s="312"/>
      <c r="BT478" s="312"/>
      <c r="BU478" s="312"/>
      <c r="BV478" s="312"/>
      <c r="BW478" s="312"/>
      <c r="BX478" s="312"/>
      <c r="BY478" s="312"/>
      <c r="BZ478" s="312"/>
      <c r="CA478" s="312"/>
      <c r="CB478" s="312"/>
      <c r="CC478" s="312"/>
      <c r="CD478" s="312"/>
      <c r="CE478" s="312"/>
      <c r="CF478" s="312"/>
      <c r="CG478" s="312"/>
      <c r="CH478" s="312"/>
      <c r="CI478" s="312"/>
      <c r="CJ478" s="312"/>
      <c r="CK478" s="312"/>
      <c r="CL478" s="312"/>
      <c r="CM478" s="312"/>
      <c r="CN478" s="312"/>
      <c r="CO478" s="312"/>
      <c r="CP478" s="312"/>
      <c r="CQ478" s="312"/>
      <c r="CR478" s="312"/>
      <c r="CS478" s="312"/>
      <c r="CT478" s="312"/>
      <c r="CU478" s="312"/>
      <c r="CV478" s="312"/>
      <c r="CW478" s="312"/>
      <c r="CX478" s="312"/>
      <c r="CY478" s="312"/>
      <c r="CZ478" s="312"/>
      <c r="DA478" s="312"/>
      <c r="DB478" s="312"/>
      <c r="DC478" s="312"/>
      <c r="DD478" s="312"/>
      <c r="DE478" s="312"/>
      <c r="DF478" s="312"/>
      <c r="DG478" s="312"/>
      <c r="DH478" s="312"/>
      <c r="DI478" s="312"/>
      <c r="DJ478" s="312"/>
      <c r="DK478" s="312"/>
      <c r="DL478" s="312"/>
      <c r="DM478" s="312"/>
      <c r="DN478" s="312"/>
      <c r="DO478" s="312"/>
      <c r="DP478" s="312"/>
      <c r="DQ478" s="312"/>
      <c r="DR478" s="312"/>
      <c r="DS478" s="312"/>
      <c r="DT478" s="312"/>
      <c r="DU478" s="312"/>
      <c r="DV478" s="312"/>
      <c r="DW478" s="312"/>
      <c r="DX478" s="312"/>
      <c r="DY478" s="312"/>
      <c r="DZ478" s="312"/>
      <c r="EA478" s="312"/>
      <c r="EB478" s="312"/>
      <c r="EC478" s="312"/>
      <c r="ED478" s="312"/>
      <c r="EE478" s="312"/>
      <c r="EF478" s="312"/>
      <c r="EG478" s="312"/>
      <c r="EH478" s="312"/>
      <c r="EI478" s="312"/>
      <c r="EJ478" s="312"/>
      <c r="EK478" s="312"/>
      <c r="EL478" s="312"/>
      <c r="EM478" s="312"/>
      <c r="EN478" s="312"/>
      <c r="EO478" s="312"/>
      <c r="EP478" s="312"/>
      <c r="EQ478" s="312"/>
      <c r="ER478" s="312"/>
      <c r="ES478" s="312"/>
      <c r="ET478" s="312"/>
      <c r="EU478" s="312"/>
      <c r="EV478" s="312"/>
      <c r="EW478" s="312"/>
      <c r="EX478" s="312"/>
      <c r="EY478" s="312"/>
      <c r="EZ478" s="312"/>
      <c r="FA478" s="312"/>
      <c r="FB478" s="312"/>
      <c r="FC478" s="312"/>
      <c r="FD478" s="312"/>
      <c r="FE478" s="312"/>
      <c r="FF478" s="312"/>
      <c r="FG478" s="312"/>
      <c r="FH478" s="312"/>
      <c r="FI478" s="312"/>
      <c r="FJ478" s="312"/>
      <c r="FK478" s="312"/>
      <c r="FL478" s="312"/>
      <c r="FM478" s="312"/>
      <c r="FN478" s="312"/>
      <c r="FO478" s="312"/>
      <c r="FP478" s="312"/>
      <c r="FQ478" s="312"/>
      <c r="FR478" s="312"/>
      <c r="FS478" s="312"/>
      <c r="FT478" s="312"/>
      <c r="FU478" s="312"/>
      <c r="FV478" s="312"/>
      <c r="FW478" s="312"/>
      <c r="FX478" s="312"/>
      <c r="FY478" s="312"/>
      <c r="FZ478" s="312"/>
      <c r="GA478" s="312"/>
      <c r="GB478" s="312"/>
      <c r="GC478" s="312"/>
      <c r="GD478" s="312"/>
      <c r="GE478" s="312"/>
      <c r="GF478" s="312"/>
      <c r="GG478" s="312"/>
      <c r="GH478" s="312"/>
      <c r="GI478" s="312"/>
      <c r="GJ478" s="312"/>
      <c r="GK478" s="312"/>
      <c r="GL478" s="312"/>
      <c r="GM478" s="312"/>
      <c r="GN478" s="312"/>
      <c r="GO478" s="312"/>
      <c r="GP478" s="312"/>
      <c r="GQ478" s="312"/>
      <c r="GR478" s="312"/>
      <c r="GS478" s="312"/>
      <c r="GT478" s="312"/>
      <c r="GU478" s="312"/>
      <c r="GV478" s="312"/>
      <c r="GW478" s="312"/>
      <c r="GX478" s="312"/>
      <c r="GY478" s="312"/>
    </row>
    <row r="479" spans="2:207" ht="15.75" x14ac:dyDescent="0.25">
      <c r="B479" s="316" t="str">
        <f t="shared" si="115"/>
        <v/>
      </c>
      <c r="C479" s="330" t="str">
        <f>'סיכום לוועדה'!B479</f>
        <v/>
      </c>
      <c r="D479" s="330" t="str">
        <f>'סיכום לוועדה'!C479</f>
        <v/>
      </c>
      <c r="E479" s="330" t="str">
        <f>'סיכום לוועדה'!D479</f>
        <v/>
      </c>
      <c r="F479" s="330" t="str">
        <f>'סיכום לוועדה'!E479</f>
        <v/>
      </c>
      <c r="G479" s="330" t="str">
        <f>'סיכום לוועדה'!F479</f>
        <v/>
      </c>
      <c r="H479" s="317" t="str">
        <f>'סיכום לוועדה'!G479</f>
        <v/>
      </c>
      <c r="I479" s="318" t="str">
        <f>'סיכום לוועדה'!U479</f>
        <v/>
      </c>
      <c r="J479" s="319" t="str">
        <f>'סיכום לוועדה'!T479</f>
        <v/>
      </c>
      <c r="K479" s="320" t="str">
        <f t="shared" si="116"/>
        <v/>
      </c>
      <c r="L479" s="319" t="str">
        <f t="shared" si="117"/>
        <v/>
      </c>
      <c r="M479" s="331" t="str">
        <f>'תחום תמיכה ב'!AF479</f>
        <v/>
      </c>
      <c r="N479" s="319" t="str">
        <f t="shared" ref="N479:N500" si="133">IF($H479="","",IF(K479=1,L479,M479/SUMIF(K$31:K$500,0,M$31:M$500)*$I$2+J479))</f>
        <v/>
      </c>
      <c r="O479" s="321">
        <f t="shared" si="118"/>
        <v>0</v>
      </c>
      <c r="P479" s="322" t="str">
        <f t="shared" si="119"/>
        <v/>
      </c>
      <c r="Q479" s="322" t="str">
        <f t="shared" si="120"/>
        <v/>
      </c>
      <c r="R479" s="321">
        <f t="shared" si="121"/>
        <v>0</v>
      </c>
      <c r="S479" s="322" t="str">
        <f t="shared" si="122"/>
        <v/>
      </c>
      <c r="T479" s="322" t="str">
        <f t="shared" si="123"/>
        <v/>
      </c>
      <c r="U479" s="321">
        <f t="shared" si="124"/>
        <v>0</v>
      </c>
      <c r="V479" s="322" t="str">
        <f t="shared" si="125"/>
        <v/>
      </c>
      <c r="W479" s="322" t="str">
        <f t="shared" si="126"/>
        <v/>
      </c>
      <c r="X479" s="321">
        <f t="shared" si="127"/>
        <v>0</v>
      </c>
      <c r="Y479" s="322" t="str">
        <f t="shared" si="128"/>
        <v/>
      </c>
      <c r="Z479" s="322" t="str">
        <f t="shared" si="129"/>
        <v/>
      </c>
      <c r="AA479" s="323" t="str">
        <f t="shared" si="130"/>
        <v/>
      </c>
      <c r="AB479" s="323"/>
      <c r="AC479" s="323"/>
      <c r="AD479" s="323"/>
      <c r="AE479" s="323"/>
      <c r="AF479" s="324" t="str">
        <f t="shared" si="131"/>
        <v/>
      </c>
      <c r="AG479" s="312"/>
      <c r="AH479" s="312"/>
      <c r="AI479" s="325">
        <f t="shared" si="132"/>
        <v>0</v>
      </c>
      <c r="AJ479" s="312"/>
      <c r="AK479" s="312"/>
      <c r="AL479" s="312"/>
      <c r="AM479" s="312"/>
      <c r="AN479" s="312"/>
      <c r="AO479" s="312"/>
      <c r="AP479" s="312"/>
      <c r="AQ479" s="312"/>
      <c r="AR479" s="312"/>
      <c r="AS479" s="312"/>
      <c r="AT479" s="312"/>
      <c r="AU479" s="312"/>
      <c r="AV479" s="312"/>
      <c r="AW479" s="312"/>
      <c r="AX479" s="312"/>
      <c r="AY479" s="312"/>
      <c r="AZ479" s="312"/>
      <c r="BA479" s="312"/>
      <c r="BB479" s="312"/>
      <c r="BC479" s="312"/>
      <c r="BD479" s="312"/>
      <c r="BE479" s="312"/>
      <c r="BF479" s="312"/>
      <c r="BG479" s="312"/>
      <c r="BH479" s="312"/>
      <c r="BI479" s="312"/>
      <c r="BJ479" s="312"/>
      <c r="BK479" s="312"/>
      <c r="BL479" s="312"/>
      <c r="BM479" s="312"/>
      <c r="BN479" s="312"/>
      <c r="BO479" s="312"/>
      <c r="BP479" s="312"/>
      <c r="BQ479" s="312"/>
      <c r="BR479" s="312"/>
      <c r="BS479" s="312"/>
      <c r="BT479" s="312"/>
      <c r="BU479" s="312"/>
      <c r="BV479" s="312"/>
      <c r="BW479" s="312"/>
      <c r="BX479" s="312"/>
      <c r="BY479" s="312"/>
      <c r="BZ479" s="312"/>
      <c r="CA479" s="312"/>
      <c r="CB479" s="312"/>
      <c r="CC479" s="312"/>
      <c r="CD479" s="312"/>
      <c r="CE479" s="312"/>
      <c r="CF479" s="312"/>
      <c r="CG479" s="312"/>
      <c r="CH479" s="312"/>
      <c r="CI479" s="312"/>
      <c r="CJ479" s="312"/>
      <c r="CK479" s="312"/>
      <c r="CL479" s="312"/>
      <c r="CM479" s="312"/>
      <c r="CN479" s="312"/>
      <c r="CO479" s="312"/>
      <c r="CP479" s="312"/>
      <c r="CQ479" s="312"/>
      <c r="CR479" s="312"/>
      <c r="CS479" s="312"/>
      <c r="CT479" s="312"/>
      <c r="CU479" s="312"/>
      <c r="CV479" s="312"/>
      <c r="CW479" s="312"/>
      <c r="CX479" s="312"/>
      <c r="CY479" s="312"/>
      <c r="CZ479" s="312"/>
      <c r="DA479" s="312"/>
      <c r="DB479" s="312"/>
      <c r="DC479" s="312"/>
      <c r="DD479" s="312"/>
      <c r="DE479" s="312"/>
      <c r="DF479" s="312"/>
      <c r="DG479" s="312"/>
      <c r="DH479" s="312"/>
      <c r="DI479" s="312"/>
      <c r="DJ479" s="312"/>
      <c r="DK479" s="312"/>
      <c r="DL479" s="312"/>
      <c r="DM479" s="312"/>
      <c r="DN479" s="312"/>
      <c r="DO479" s="312"/>
      <c r="DP479" s="312"/>
      <c r="DQ479" s="312"/>
      <c r="DR479" s="312"/>
      <c r="DS479" s="312"/>
      <c r="DT479" s="312"/>
      <c r="DU479" s="312"/>
      <c r="DV479" s="312"/>
      <c r="DW479" s="312"/>
      <c r="DX479" s="312"/>
      <c r="DY479" s="312"/>
      <c r="DZ479" s="312"/>
      <c r="EA479" s="312"/>
      <c r="EB479" s="312"/>
      <c r="EC479" s="312"/>
      <c r="ED479" s="312"/>
      <c r="EE479" s="312"/>
      <c r="EF479" s="312"/>
      <c r="EG479" s="312"/>
      <c r="EH479" s="312"/>
      <c r="EI479" s="312"/>
      <c r="EJ479" s="312"/>
      <c r="EK479" s="312"/>
      <c r="EL479" s="312"/>
      <c r="EM479" s="312"/>
      <c r="EN479" s="312"/>
      <c r="EO479" s="312"/>
      <c r="EP479" s="312"/>
      <c r="EQ479" s="312"/>
      <c r="ER479" s="312"/>
      <c r="ES479" s="312"/>
      <c r="ET479" s="312"/>
      <c r="EU479" s="312"/>
      <c r="EV479" s="312"/>
      <c r="EW479" s="312"/>
      <c r="EX479" s="312"/>
      <c r="EY479" s="312"/>
      <c r="EZ479" s="312"/>
      <c r="FA479" s="312"/>
      <c r="FB479" s="312"/>
      <c r="FC479" s="312"/>
      <c r="FD479" s="312"/>
      <c r="FE479" s="312"/>
      <c r="FF479" s="312"/>
      <c r="FG479" s="312"/>
      <c r="FH479" s="312"/>
      <c r="FI479" s="312"/>
      <c r="FJ479" s="312"/>
      <c r="FK479" s="312"/>
      <c r="FL479" s="312"/>
      <c r="FM479" s="312"/>
      <c r="FN479" s="312"/>
      <c r="FO479" s="312"/>
      <c r="FP479" s="312"/>
      <c r="FQ479" s="312"/>
      <c r="FR479" s="312"/>
      <c r="FS479" s="312"/>
      <c r="FT479" s="312"/>
      <c r="FU479" s="312"/>
      <c r="FV479" s="312"/>
      <c r="FW479" s="312"/>
      <c r="FX479" s="312"/>
      <c r="FY479" s="312"/>
      <c r="FZ479" s="312"/>
      <c r="GA479" s="312"/>
      <c r="GB479" s="312"/>
      <c r="GC479" s="312"/>
      <c r="GD479" s="312"/>
      <c r="GE479" s="312"/>
      <c r="GF479" s="312"/>
      <c r="GG479" s="312"/>
      <c r="GH479" s="312"/>
      <c r="GI479" s="312"/>
      <c r="GJ479" s="312"/>
      <c r="GK479" s="312"/>
      <c r="GL479" s="312"/>
      <c r="GM479" s="312"/>
      <c r="GN479" s="312"/>
      <c r="GO479" s="312"/>
      <c r="GP479" s="312"/>
      <c r="GQ479" s="312"/>
      <c r="GR479" s="312"/>
      <c r="GS479" s="312"/>
      <c r="GT479" s="312"/>
      <c r="GU479" s="312"/>
      <c r="GV479" s="312"/>
      <c r="GW479" s="312"/>
      <c r="GX479" s="312"/>
      <c r="GY479" s="312"/>
    </row>
    <row r="480" spans="2:207" ht="15.75" x14ac:dyDescent="0.25">
      <c r="B480" s="316" t="str">
        <f t="shared" ref="B480:B500" si="134">IF(H480="","",ROW()-30)</f>
        <v/>
      </c>
      <c r="C480" s="330" t="str">
        <f>'סיכום לוועדה'!B480</f>
        <v/>
      </c>
      <c r="D480" s="330" t="str">
        <f>'סיכום לוועדה'!C480</f>
        <v/>
      </c>
      <c r="E480" s="330" t="str">
        <f>'סיכום לוועדה'!D480</f>
        <v/>
      </c>
      <c r="F480" s="330" t="str">
        <f>'סיכום לוועדה'!E480</f>
        <v/>
      </c>
      <c r="G480" s="330" t="str">
        <f>'סיכום לוועדה'!F480</f>
        <v/>
      </c>
      <c r="H480" s="317" t="str">
        <f>'סיכום לוועדה'!G480</f>
        <v/>
      </c>
      <c r="I480" s="318" t="str">
        <f>'סיכום לוועדה'!U480</f>
        <v/>
      </c>
      <c r="J480" s="319" t="str">
        <f>'סיכום לוועדה'!T480</f>
        <v/>
      </c>
      <c r="K480" s="320" t="str">
        <f t="shared" ref="K480:K500" si="135">IF(H480="","",IF(J480&gt;$I480,1,0))</f>
        <v/>
      </c>
      <c r="L480" s="319" t="str">
        <f t="shared" ref="L480:L500" si="136">IF($H480="","",MIN(I480:J480))</f>
        <v/>
      </c>
      <c r="M480" s="331" t="str">
        <f>'תחום תמיכה ב'!AF480</f>
        <v/>
      </c>
      <c r="N480" s="319" t="str">
        <f t="shared" si="133"/>
        <v/>
      </c>
      <c r="O480" s="321">
        <f t="shared" ref="O480:O500" si="137">IF(OR(N480&gt;$I480,$K480=1),1,0)</f>
        <v>0</v>
      </c>
      <c r="P480" s="322" t="str">
        <f t="shared" ref="P480:P500" si="138">IF($H480="","",MIN(N480,$I480))</f>
        <v/>
      </c>
      <c r="Q480" s="322" t="str">
        <f t="shared" ref="Q480:Q500" si="139">IFERROR(IF($H480="","",IF(O480=1,P480,P480/SUMIF(O$31:O$500,0,P$31:P$500)*($J$501-SUMIF(O$31:O$500,1,P$31:P$500)))),0)</f>
        <v/>
      </c>
      <c r="R480" s="321">
        <f t="shared" ref="R480:R500" si="140">IF(OR(Q480&gt;$I480,$K480=1,$O480=1),1,0)</f>
        <v>0</v>
      </c>
      <c r="S480" s="322" t="str">
        <f t="shared" ref="S480:S500" si="141">IF($H480="","",MIN(Q480,$I480))</f>
        <v/>
      </c>
      <c r="T480" s="322" t="str">
        <f t="shared" ref="T480:T500" si="142">IFERROR(IF($H480="","",IF(R480=1,S480,S480/SUMIF(R$31:R$500,0,S$31:S$500)*($J$501-SUMIF(R$31:R$500,1,S$31:S$500)))),0)</f>
        <v/>
      </c>
      <c r="U480" s="321">
        <f t="shared" ref="U480:U500" si="143">IF(OR(T480&gt;$I480,$K480=1,$O480=1,$R480=1),1,0)</f>
        <v>0</v>
      </c>
      <c r="V480" s="322" t="str">
        <f t="shared" ref="V480:V500" si="144">IF($H480="","",MIN(T480,$I480))</f>
        <v/>
      </c>
      <c r="W480" s="322" t="str">
        <f t="shared" ref="W480:W500" si="145">IFERROR(IF($H480="","",IF(U480=2,V480,IF(U480=1,V480,V480/SUMIF(U$31:U$500,0,V$31:V$500)*($J$501-SUMIF(U$31:U$500,1,V$31:V$500)-SUMIF(U$31:U$500,2,V$31:V$500))))),0)</f>
        <v/>
      </c>
      <c r="X480" s="321">
        <f t="shared" ref="X480:X500" si="146">IF(OR(W480&gt;$I480,$K480=1,$O480=1,$R480=1,$U480=1),1,0)</f>
        <v>0</v>
      </c>
      <c r="Y480" s="322" t="str">
        <f t="shared" ref="Y480:Y500" si="147">IF($H480="","",MIN(W480,$I480))</f>
        <v/>
      </c>
      <c r="Z480" s="322" t="str">
        <f t="shared" ref="Z480:Z500" si="148">IFERROR(IF($H480="","",IF(X480=2,Y480,IF(X480=1,Y480,Y480/SUMIF(X$31:X$500,0,Y$31:Y$500)*($J$501-SUMIF(X$31:X$500,1,Y$31:Y$500)-SUMIF(X$31:X$500,2,Y$31:Y$500))))),0)</f>
        <v/>
      </c>
      <c r="AA480" s="323" t="str">
        <f t="shared" ref="AA480:AA500" si="149">IF($H480="","",IF(AI480=0,$AN$1,IFERROR(Z480,$AN$1)))</f>
        <v/>
      </c>
      <c r="AB480" s="323"/>
      <c r="AC480" s="323"/>
      <c r="AD480" s="323"/>
      <c r="AE480" s="323"/>
      <c r="AF480" s="324" t="str">
        <f t="shared" ref="AF480:AF500" si="150">IF(H480="","",IFERROR(AA480/SUMIF($AA$31:$AA$500,"&lt;&gt;#DIV/0!"),$AN$1))</f>
        <v/>
      </c>
      <c r="AG480" s="312"/>
      <c r="AH480" s="312"/>
      <c r="AI480" s="325">
        <f t="shared" ref="AI480:AI500" si="151">IF(H480="",0,IFERROR(IF(I480*1&gt;=0,1,0),0))</f>
        <v>0</v>
      </c>
      <c r="AJ480" s="312"/>
      <c r="AK480" s="312"/>
      <c r="AL480" s="312"/>
      <c r="AM480" s="312"/>
      <c r="AN480" s="312"/>
      <c r="AO480" s="312"/>
      <c r="AP480" s="312"/>
      <c r="AQ480" s="312"/>
      <c r="AR480" s="312"/>
      <c r="AS480" s="312"/>
      <c r="AT480" s="312"/>
      <c r="AU480" s="312"/>
      <c r="AV480" s="312"/>
      <c r="AW480" s="312"/>
      <c r="AX480" s="312"/>
      <c r="AY480" s="312"/>
      <c r="AZ480" s="312"/>
      <c r="BA480" s="312"/>
      <c r="BB480" s="312"/>
      <c r="BC480" s="312"/>
      <c r="BD480" s="312"/>
      <c r="BE480" s="312"/>
      <c r="BF480" s="312"/>
      <c r="BG480" s="312"/>
      <c r="BH480" s="312"/>
      <c r="BI480" s="312"/>
      <c r="BJ480" s="312"/>
      <c r="BK480" s="312"/>
      <c r="BL480" s="312"/>
      <c r="BM480" s="312"/>
      <c r="BN480" s="312"/>
      <c r="BO480" s="312"/>
      <c r="BP480" s="312"/>
      <c r="BQ480" s="312"/>
      <c r="BR480" s="312"/>
      <c r="BS480" s="312"/>
      <c r="BT480" s="312"/>
      <c r="BU480" s="312"/>
      <c r="BV480" s="312"/>
      <c r="BW480" s="312"/>
      <c r="BX480" s="312"/>
      <c r="BY480" s="312"/>
      <c r="BZ480" s="312"/>
      <c r="CA480" s="312"/>
      <c r="CB480" s="312"/>
      <c r="CC480" s="312"/>
      <c r="CD480" s="312"/>
      <c r="CE480" s="312"/>
      <c r="CF480" s="312"/>
      <c r="CG480" s="312"/>
      <c r="CH480" s="312"/>
      <c r="CI480" s="312"/>
      <c r="CJ480" s="312"/>
      <c r="CK480" s="312"/>
      <c r="CL480" s="312"/>
      <c r="CM480" s="312"/>
      <c r="CN480" s="312"/>
      <c r="CO480" s="312"/>
      <c r="CP480" s="312"/>
      <c r="CQ480" s="312"/>
      <c r="CR480" s="312"/>
      <c r="CS480" s="312"/>
      <c r="CT480" s="312"/>
      <c r="CU480" s="312"/>
      <c r="CV480" s="312"/>
      <c r="CW480" s="312"/>
      <c r="CX480" s="312"/>
      <c r="CY480" s="312"/>
      <c r="CZ480" s="312"/>
      <c r="DA480" s="312"/>
      <c r="DB480" s="312"/>
      <c r="DC480" s="312"/>
      <c r="DD480" s="312"/>
      <c r="DE480" s="312"/>
      <c r="DF480" s="312"/>
      <c r="DG480" s="312"/>
      <c r="DH480" s="312"/>
      <c r="DI480" s="312"/>
      <c r="DJ480" s="312"/>
      <c r="DK480" s="312"/>
      <c r="DL480" s="312"/>
      <c r="DM480" s="312"/>
      <c r="DN480" s="312"/>
      <c r="DO480" s="312"/>
      <c r="DP480" s="312"/>
      <c r="DQ480" s="312"/>
      <c r="DR480" s="312"/>
      <c r="DS480" s="312"/>
      <c r="DT480" s="312"/>
      <c r="DU480" s="312"/>
      <c r="DV480" s="312"/>
      <c r="DW480" s="312"/>
      <c r="DX480" s="312"/>
      <c r="DY480" s="312"/>
      <c r="DZ480" s="312"/>
      <c r="EA480" s="312"/>
      <c r="EB480" s="312"/>
      <c r="EC480" s="312"/>
      <c r="ED480" s="312"/>
      <c r="EE480" s="312"/>
      <c r="EF480" s="312"/>
      <c r="EG480" s="312"/>
      <c r="EH480" s="312"/>
      <c r="EI480" s="312"/>
      <c r="EJ480" s="312"/>
      <c r="EK480" s="312"/>
      <c r="EL480" s="312"/>
      <c r="EM480" s="312"/>
      <c r="EN480" s="312"/>
      <c r="EO480" s="312"/>
      <c r="EP480" s="312"/>
      <c r="EQ480" s="312"/>
      <c r="ER480" s="312"/>
      <c r="ES480" s="312"/>
      <c r="ET480" s="312"/>
      <c r="EU480" s="312"/>
      <c r="EV480" s="312"/>
      <c r="EW480" s="312"/>
      <c r="EX480" s="312"/>
      <c r="EY480" s="312"/>
      <c r="EZ480" s="312"/>
      <c r="FA480" s="312"/>
      <c r="FB480" s="312"/>
      <c r="FC480" s="312"/>
      <c r="FD480" s="312"/>
      <c r="FE480" s="312"/>
      <c r="FF480" s="312"/>
      <c r="FG480" s="312"/>
      <c r="FH480" s="312"/>
      <c r="FI480" s="312"/>
      <c r="FJ480" s="312"/>
      <c r="FK480" s="312"/>
      <c r="FL480" s="312"/>
      <c r="FM480" s="312"/>
      <c r="FN480" s="312"/>
      <c r="FO480" s="312"/>
      <c r="FP480" s="312"/>
      <c r="FQ480" s="312"/>
      <c r="FR480" s="312"/>
      <c r="FS480" s="312"/>
      <c r="FT480" s="312"/>
      <c r="FU480" s="312"/>
      <c r="FV480" s="312"/>
      <c r="FW480" s="312"/>
      <c r="FX480" s="312"/>
      <c r="FY480" s="312"/>
      <c r="FZ480" s="312"/>
      <c r="GA480" s="312"/>
      <c r="GB480" s="312"/>
      <c r="GC480" s="312"/>
      <c r="GD480" s="312"/>
      <c r="GE480" s="312"/>
      <c r="GF480" s="312"/>
      <c r="GG480" s="312"/>
      <c r="GH480" s="312"/>
      <c r="GI480" s="312"/>
      <c r="GJ480" s="312"/>
      <c r="GK480" s="312"/>
      <c r="GL480" s="312"/>
      <c r="GM480" s="312"/>
      <c r="GN480" s="312"/>
      <c r="GO480" s="312"/>
      <c r="GP480" s="312"/>
      <c r="GQ480" s="312"/>
      <c r="GR480" s="312"/>
      <c r="GS480" s="312"/>
      <c r="GT480" s="312"/>
      <c r="GU480" s="312"/>
      <c r="GV480" s="312"/>
      <c r="GW480" s="312"/>
      <c r="GX480" s="312"/>
      <c r="GY480" s="312"/>
    </row>
    <row r="481" spans="2:207" ht="15.75" x14ac:dyDescent="0.25">
      <c r="B481" s="316" t="str">
        <f t="shared" si="134"/>
        <v/>
      </c>
      <c r="C481" s="330" t="str">
        <f>'סיכום לוועדה'!B481</f>
        <v/>
      </c>
      <c r="D481" s="330" t="str">
        <f>'סיכום לוועדה'!C481</f>
        <v/>
      </c>
      <c r="E481" s="330" t="str">
        <f>'סיכום לוועדה'!D481</f>
        <v/>
      </c>
      <c r="F481" s="330" t="str">
        <f>'סיכום לוועדה'!E481</f>
        <v/>
      </c>
      <c r="G481" s="330" t="str">
        <f>'סיכום לוועדה'!F481</f>
        <v/>
      </c>
      <c r="H481" s="317" t="str">
        <f>'סיכום לוועדה'!G481</f>
        <v/>
      </c>
      <c r="I481" s="318" t="str">
        <f>'סיכום לוועדה'!U481</f>
        <v/>
      </c>
      <c r="J481" s="319" t="str">
        <f>'סיכום לוועדה'!T481</f>
        <v/>
      </c>
      <c r="K481" s="320" t="str">
        <f t="shared" si="135"/>
        <v/>
      </c>
      <c r="L481" s="319" t="str">
        <f t="shared" si="136"/>
        <v/>
      </c>
      <c r="M481" s="331" t="str">
        <f>'תחום תמיכה ב'!AF481</f>
        <v/>
      </c>
      <c r="N481" s="319" t="str">
        <f t="shared" si="133"/>
        <v/>
      </c>
      <c r="O481" s="321">
        <f t="shared" si="137"/>
        <v>0</v>
      </c>
      <c r="P481" s="322" t="str">
        <f t="shared" si="138"/>
        <v/>
      </c>
      <c r="Q481" s="322" t="str">
        <f t="shared" si="139"/>
        <v/>
      </c>
      <c r="R481" s="321">
        <f t="shared" si="140"/>
        <v>0</v>
      </c>
      <c r="S481" s="322" t="str">
        <f t="shared" si="141"/>
        <v/>
      </c>
      <c r="T481" s="322" t="str">
        <f t="shared" si="142"/>
        <v/>
      </c>
      <c r="U481" s="321">
        <f t="shared" si="143"/>
        <v>0</v>
      </c>
      <c r="V481" s="322" t="str">
        <f t="shared" si="144"/>
        <v/>
      </c>
      <c r="W481" s="322" t="str">
        <f t="shared" si="145"/>
        <v/>
      </c>
      <c r="X481" s="321">
        <f t="shared" si="146"/>
        <v>0</v>
      </c>
      <c r="Y481" s="322" t="str">
        <f t="shared" si="147"/>
        <v/>
      </c>
      <c r="Z481" s="322" t="str">
        <f t="shared" si="148"/>
        <v/>
      </c>
      <c r="AA481" s="323" t="str">
        <f t="shared" si="149"/>
        <v/>
      </c>
      <c r="AB481" s="323"/>
      <c r="AC481" s="323"/>
      <c r="AD481" s="323"/>
      <c r="AE481" s="323"/>
      <c r="AF481" s="324" t="str">
        <f t="shared" si="150"/>
        <v/>
      </c>
      <c r="AG481" s="312"/>
      <c r="AH481" s="312"/>
      <c r="AI481" s="325">
        <f t="shared" si="151"/>
        <v>0</v>
      </c>
      <c r="AJ481" s="312"/>
      <c r="AK481" s="312"/>
      <c r="AL481" s="312"/>
      <c r="AM481" s="312"/>
      <c r="AN481" s="312"/>
      <c r="AO481" s="312"/>
      <c r="AP481" s="312"/>
      <c r="AQ481" s="312"/>
      <c r="AR481" s="312"/>
      <c r="AS481" s="312"/>
      <c r="AT481" s="312"/>
      <c r="AU481" s="312"/>
      <c r="AV481" s="312"/>
      <c r="AW481" s="312"/>
      <c r="AX481" s="312"/>
      <c r="AY481" s="312"/>
      <c r="AZ481" s="312"/>
      <c r="BA481" s="312"/>
      <c r="BB481" s="312"/>
      <c r="BC481" s="312"/>
      <c r="BD481" s="312"/>
      <c r="BE481" s="312"/>
      <c r="BF481" s="312"/>
      <c r="BG481" s="312"/>
      <c r="BH481" s="312"/>
      <c r="BI481" s="312"/>
      <c r="BJ481" s="312"/>
      <c r="BK481" s="312"/>
      <c r="BL481" s="312"/>
      <c r="BM481" s="312"/>
      <c r="BN481" s="312"/>
      <c r="BO481" s="312"/>
      <c r="BP481" s="312"/>
      <c r="BQ481" s="312"/>
      <c r="BR481" s="312"/>
      <c r="BS481" s="312"/>
      <c r="BT481" s="312"/>
      <c r="BU481" s="312"/>
      <c r="BV481" s="312"/>
      <c r="BW481" s="312"/>
      <c r="BX481" s="312"/>
      <c r="BY481" s="312"/>
      <c r="BZ481" s="312"/>
      <c r="CA481" s="312"/>
      <c r="CB481" s="312"/>
      <c r="CC481" s="312"/>
      <c r="CD481" s="312"/>
      <c r="CE481" s="312"/>
      <c r="CF481" s="312"/>
      <c r="CG481" s="312"/>
      <c r="CH481" s="312"/>
      <c r="CI481" s="312"/>
      <c r="CJ481" s="312"/>
      <c r="CK481" s="312"/>
      <c r="CL481" s="312"/>
      <c r="CM481" s="312"/>
      <c r="CN481" s="312"/>
      <c r="CO481" s="312"/>
      <c r="CP481" s="312"/>
      <c r="CQ481" s="312"/>
      <c r="CR481" s="312"/>
      <c r="CS481" s="312"/>
      <c r="CT481" s="312"/>
      <c r="CU481" s="312"/>
      <c r="CV481" s="312"/>
      <c r="CW481" s="312"/>
      <c r="CX481" s="312"/>
      <c r="CY481" s="312"/>
      <c r="CZ481" s="312"/>
      <c r="DA481" s="312"/>
      <c r="DB481" s="312"/>
      <c r="DC481" s="312"/>
      <c r="DD481" s="312"/>
      <c r="DE481" s="312"/>
      <c r="DF481" s="312"/>
      <c r="DG481" s="312"/>
      <c r="DH481" s="312"/>
      <c r="DI481" s="312"/>
      <c r="DJ481" s="312"/>
      <c r="DK481" s="312"/>
      <c r="DL481" s="312"/>
      <c r="DM481" s="312"/>
      <c r="DN481" s="312"/>
      <c r="DO481" s="312"/>
      <c r="DP481" s="312"/>
      <c r="DQ481" s="312"/>
      <c r="DR481" s="312"/>
      <c r="DS481" s="312"/>
      <c r="DT481" s="312"/>
      <c r="DU481" s="312"/>
      <c r="DV481" s="312"/>
      <c r="DW481" s="312"/>
      <c r="DX481" s="312"/>
      <c r="DY481" s="312"/>
      <c r="DZ481" s="312"/>
      <c r="EA481" s="312"/>
      <c r="EB481" s="312"/>
      <c r="EC481" s="312"/>
      <c r="ED481" s="312"/>
      <c r="EE481" s="312"/>
      <c r="EF481" s="312"/>
      <c r="EG481" s="312"/>
      <c r="EH481" s="312"/>
      <c r="EI481" s="312"/>
      <c r="EJ481" s="312"/>
      <c r="EK481" s="312"/>
      <c r="EL481" s="312"/>
      <c r="EM481" s="312"/>
      <c r="EN481" s="312"/>
      <c r="EO481" s="312"/>
      <c r="EP481" s="312"/>
      <c r="EQ481" s="312"/>
      <c r="ER481" s="312"/>
      <c r="ES481" s="312"/>
      <c r="ET481" s="312"/>
      <c r="EU481" s="312"/>
      <c r="EV481" s="312"/>
      <c r="EW481" s="312"/>
      <c r="EX481" s="312"/>
      <c r="EY481" s="312"/>
      <c r="EZ481" s="312"/>
      <c r="FA481" s="312"/>
      <c r="FB481" s="312"/>
      <c r="FC481" s="312"/>
      <c r="FD481" s="312"/>
      <c r="FE481" s="312"/>
      <c r="FF481" s="312"/>
      <c r="FG481" s="312"/>
      <c r="FH481" s="312"/>
      <c r="FI481" s="312"/>
      <c r="FJ481" s="312"/>
      <c r="FK481" s="312"/>
      <c r="FL481" s="312"/>
      <c r="FM481" s="312"/>
      <c r="FN481" s="312"/>
      <c r="FO481" s="312"/>
      <c r="FP481" s="312"/>
      <c r="FQ481" s="312"/>
      <c r="FR481" s="312"/>
      <c r="FS481" s="312"/>
      <c r="FT481" s="312"/>
      <c r="FU481" s="312"/>
      <c r="FV481" s="312"/>
      <c r="FW481" s="312"/>
      <c r="FX481" s="312"/>
      <c r="FY481" s="312"/>
      <c r="FZ481" s="312"/>
      <c r="GA481" s="312"/>
      <c r="GB481" s="312"/>
      <c r="GC481" s="312"/>
      <c r="GD481" s="312"/>
      <c r="GE481" s="312"/>
      <c r="GF481" s="312"/>
      <c r="GG481" s="312"/>
      <c r="GH481" s="312"/>
      <c r="GI481" s="312"/>
      <c r="GJ481" s="312"/>
      <c r="GK481" s="312"/>
      <c r="GL481" s="312"/>
      <c r="GM481" s="312"/>
      <c r="GN481" s="312"/>
      <c r="GO481" s="312"/>
      <c r="GP481" s="312"/>
      <c r="GQ481" s="312"/>
      <c r="GR481" s="312"/>
      <c r="GS481" s="312"/>
      <c r="GT481" s="312"/>
      <c r="GU481" s="312"/>
      <c r="GV481" s="312"/>
      <c r="GW481" s="312"/>
      <c r="GX481" s="312"/>
      <c r="GY481" s="312"/>
    </row>
    <row r="482" spans="2:207" ht="15.75" x14ac:dyDescent="0.25">
      <c r="B482" s="316" t="str">
        <f t="shared" si="134"/>
        <v/>
      </c>
      <c r="C482" s="330" t="str">
        <f>'סיכום לוועדה'!B482</f>
        <v/>
      </c>
      <c r="D482" s="330" t="str">
        <f>'סיכום לוועדה'!C482</f>
        <v/>
      </c>
      <c r="E482" s="330" t="str">
        <f>'סיכום לוועדה'!D482</f>
        <v/>
      </c>
      <c r="F482" s="330" t="str">
        <f>'סיכום לוועדה'!E482</f>
        <v/>
      </c>
      <c r="G482" s="330" t="str">
        <f>'סיכום לוועדה'!F482</f>
        <v/>
      </c>
      <c r="H482" s="317" t="str">
        <f>'סיכום לוועדה'!G482</f>
        <v/>
      </c>
      <c r="I482" s="318" t="str">
        <f>'סיכום לוועדה'!U482</f>
        <v/>
      </c>
      <c r="J482" s="319" t="str">
        <f>'סיכום לוועדה'!T482</f>
        <v/>
      </c>
      <c r="K482" s="320" t="str">
        <f t="shared" si="135"/>
        <v/>
      </c>
      <c r="L482" s="319" t="str">
        <f t="shared" si="136"/>
        <v/>
      </c>
      <c r="M482" s="331" t="str">
        <f>'תחום תמיכה ב'!AF482</f>
        <v/>
      </c>
      <c r="N482" s="319" t="str">
        <f t="shared" si="133"/>
        <v/>
      </c>
      <c r="O482" s="321">
        <f t="shared" si="137"/>
        <v>0</v>
      </c>
      <c r="P482" s="322" t="str">
        <f t="shared" si="138"/>
        <v/>
      </c>
      <c r="Q482" s="322" t="str">
        <f t="shared" si="139"/>
        <v/>
      </c>
      <c r="R482" s="321">
        <f t="shared" si="140"/>
        <v>0</v>
      </c>
      <c r="S482" s="322" t="str">
        <f t="shared" si="141"/>
        <v/>
      </c>
      <c r="T482" s="322" t="str">
        <f t="shared" si="142"/>
        <v/>
      </c>
      <c r="U482" s="321">
        <f t="shared" si="143"/>
        <v>0</v>
      </c>
      <c r="V482" s="322" t="str">
        <f t="shared" si="144"/>
        <v/>
      </c>
      <c r="W482" s="322" t="str">
        <f t="shared" si="145"/>
        <v/>
      </c>
      <c r="X482" s="321">
        <f t="shared" si="146"/>
        <v>0</v>
      </c>
      <c r="Y482" s="322" t="str">
        <f t="shared" si="147"/>
        <v/>
      </c>
      <c r="Z482" s="322" t="str">
        <f t="shared" si="148"/>
        <v/>
      </c>
      <c r="AA482" s="323" t="str">
        <f t="shared" si="149"/>
        <v/>
      </c>
      <c r="AB482" s="323"/>
      <c r="AC482" s="323"/>
      <c r="AD482" s="323"/>
      <c r="AE482" s="323"/>
      <c r="AF482" s="324" t="str">
        <f t="shared" si="150"/>
        <v/>
      </c>
      <c r="AG482" s="312"/>
      <c r="AH482" s="312"/>
      <c r="AI482" s="325">
        <f t="shared" si="151"/>
        <v>0</v>
      </c>
      <c r="AJ482" s="312"/>
      <c r="AK482" s="312"/>
      <c r="AL482" s="312"/>
      <c r="AM482" s="312"/>
      <c r="AN482" s="312"/>
      <c r="AO482" s="312"/>
      <c r="AP482" s="312"/>
      <c r="AQ482" s="312"/>
      <c r="AR482" s="312"/>
      <c r="AS482" s="312"/>
      <c r="AT482" s="312"/>
      <c r="AU482" s="312"/>
      <c r="AV482" s="312"/>
      <c r="AW482" s="312"/>
      <c r="AX482" s="312"/>
      <c r="AY482" s="312"/>
      <c r="AZ482" s="312"/>
      <c r="BA482" s="312"/>
      <c r="BB482" s="312"/>
      <c r="BC482" s="312"/>
      <c r="BD482" s="312"/>
      <c r="BE482" s="312"/>
      <c r="BF482" s="312"/>
      <c r="BG482" s="312"/>
      <c r="BH482" s="312"/>
      <c r="BI482" s="312"/>
      <c r="BJ482" s="312"/>
      <c r="BK482" s="312"/>
      <c r="BL482" s="312"/>
      <c r="BM482" s="312"/>
      <c r="BN482" s="312"/>
      <c r="BO482" s="312"/>
      <c r="BP482" s="312"/>
      <c r="BQ482" s="312"/>
      <c r="BR482" s="312"/>
      <c r="BS482" s="312"/>
      <c r="BT482" s="312"/>
      <c r="BU482" s="312"/>
      <c r="BV482" s="312"/>
      <c r="BW482" s="312"/>
      <c r="BX482" s="312"/>
      <c r="BY482" s="312"/>
      <c r="BZ482" s="312"/>
      <c r="CA482" s="312"/>
      <c r="CB482" s="312"/>
      <c r="CC482" s="312"/>
      <c r="CD482" s="312"/>
      <c r="CE482" s="312"/>
      <c r="CF482" s="312"/>
      <c r="CG482" s="312"/>
      <c r="CH482" s="312"/>
      <c r="CI482" s="312"/>
      <c r="CJ482" s="312"/>
      <c r="CK482" s="312"/>
      <c r="CL482" s="312"/>
      <c r="CM482" s="312"/>
      <c r="CN482" s="312"/>
      <c r="CO482" s="312"/>
      <c r="CP482" s="312"/>
      <c r="CQ482" s="312"/>
      <c r="CR482" s="312"/>
      <c r="CS482" s="312"/>
      <c r="CT482" s="312"/>
      <c r="CU482" s="312"/>
      <c r="CV482" s="312"/>
      <c r="CW482" s="312"/>
      <c r="CX482" s="312"/>
      <c r="CY482" s="312"/>
      <c r="CZ482" s="312"/>
      <c r="DA482" s="312"/>
      <c r="DB482" s="312"/>
      <c r="DC482" s="312"/>
      <c r="DD482" s="312"/>
      <c r="DE482" s="312"/>
      <c r="DF482" s="312"/>
      <c r="DG482" s="312"/>
      <c r="DH482" s="312"/>
      <c r="DI482" s="312"/>
      <c r="DJ482" s="312"/>
      <c r="DK482" s="312"/>
      <c r="DL482" s="312"/>
      <c r="DM482" s="312"/>
      <c r="DN482" s="312"/>
      <c r="DO482" s="312"/>
      <c r="DP482" s="312"/>
      <c r="DQ482" s="312"/>
      <c r="DR482" s="312"/>
      <c r="DS482" s="312"/>
      <c r="DT482" s="312"/>
      <c r="DU482" s="312"/>
      <c r="DV482" s="312"/>
      <c r="DW482" s="312"/>
      <c r="DX482" s="312"/>
      <c r="DY482" s="312"/>
      <c r="DZ482" s="312"/>
      <c r="EA482" s="312"/>
      <c r="EB482" s="312"/>
      <c r="EC482" s="312"/>
      <c r="ED482" s="312"/>
      <c r="EE482" s="312"/>
      <c r="EF482" s="312"/>
      <c r="EG482" s="312"/>
      <c r="EH482" s="312"/>
      <c r="EI482" s="312"/>
      <c r="EJ482" s="312"/>
      <c r="EK482" s="312"/>
      <c r="EL482" s="312"/>
      <c r="EM482" s="312"/>
      <c r="EN482" s="312"/>
      <c r="EO482" s="312"/>
      <c r="EP482" s="312"/>
      <c r="EQ482" s="312"/>
      <c r="ER482" s="312"/>
      <c r="ES482" s="312"/>
      <c r="ET482" s="312"/>
      <c r="EU482" s="312"/>
      <c r="EV482" s="312"/>
      <c r="EW482" s="312"/>
      <c r="EX482" s="312"/>
      <c r="EY482" s="312"/>
      <c r="EZ482" s="312"/>
      <c r="FA482" s="312"/>
      <c r="FB482" s="312"/>
      <c r="FC482" s="312"/>
      <c r="FD482" s="312"/>
      <c r="FE482" s="312"/>
      <c r="FF482" s="312"/>
      <c r="FG482" s="312"/>
      <c r="FH482" s="312"/>
      <c r="FI482" s="312"/>
      <c r="FJ482" s="312"/>
      <c r="FK482" s="312"/>
      <c r="FL482" s="312"/>
      <c r="FM482" s="312"/>
      <c r="FN482" s="312"/>
      <c r="FO482" s="312"/>
      <c r="FP482" s="312"/>
      <c r="FQ482" s="312"/>
      <c r="FR482" s="312"/>
      <c r="FS482" s="312"/>
      <c r="FT482" s="312"/>
      <c r="FU482" s="312"/>
      <c r="FV482" s="312"/>
      <c r="FW482" s="312"/>
      <c r="FX482" s="312"/>
      <c r="FY482" s="312"/>
      <c r="FZ482" s="312"/>
      <c r="GA482" s="312"/>
      <c r="GB482" s="312"/>
      <c r="GC482" s="312"/>
      <c r="GD482" s="312"/>
      <c r="GE482" s="312"/>
      <c r="GF482" s="312"/>
      <c r="GG482" s="312"/>
      <c r="GH482" s="312"/>
      <c r="GI482" s="312"/>
      <c r="GJ482" s="312"/>
      <c r="GK482" s="312"/>
      <c r="GL482" s="312"/>
      <c r="GM482" s="312"/>
      <c r="GN482" s="312"/>
      <c r="GO482" s="312"/>
      <c r="GP482" s="312"/>
      <c r="GQ482" s="312"/>
      <c r="GR482" s="312"/>
      <c r="GS482" s="312"/>
      <c r="GT482" s="312"/>
      <c r="GU482" s="312"/>
      <c r="GV482" s="312"/>
      <c r="GW482" s="312"/>
      <c r="GX482" s="312"/>
      <c r="GY482" s="312"/>
    </row>
    <row r="483" spans="2:207" ht="15.75" x14ac:dyDescent="0.25">
      <c r="B483" s="316" t="str">
        <f t="shared" si="134"/>
        <v/>
      </c>
      <c r="C483" s="330" t="str">
        <f>'סיכום לוועדה'!B483</f>
        <v/>
      </c>
      <c r="D483" s="330" t="str">
        <f>'סיכום לוועדה'!C483</f>
        <v/>
      </c>
      <c r="E483" s="330" t="str">
        <f>'סיכום לוועדה'!D483</f>
        <v/>
      </c>
      <c r="F483" s="330" t="str">
        <f>'סיכום לוועדה'!E483</f>
        <v/>
      </c>
      <c r="G483" s="330" t="str">
        <f>'סיכום לוועדה'!F483</f>
        <v/>
      </c>
      <c r="H483" s="317" t="str">
        <f>'סיכום לוועדה'!G483</f>
        <v/>
      </c>
      <c r="I483" s="318" t="str">
        <f>'סיכום לוועדה'!U483</f>
        <v/>
      </c>
      <c r="J483" s="319" t="str">
        <f>'סיכום לוועדה'!T483</f>
        <v/>
      </c>
      <c r="K483" s="320" t="str">
        <f t="shared" si="135"/>
        <v/>
      </c>
      <c r="L483" s="319" t="str">
        <f t="shared" si="136"/>
        <v/>
      </c>
      <c r="M483" s="331" t="str">
        <f>'תחום תמיכה ב'!AF483</f>
        <v/>
      </c>
      <c r="N483" s="319" t="str">
        <f t="shared" si="133"/>
        <v/>
      </c>
      <c r="O483" s="321">
        <f t="shared" si="137"/>
        <v>0</v>
      </c>
      <c r="P483" s="322" t="str">
        <f t="shared" si="138"/>
        <v/>
      </c>
      <c r="Q483" s="322" t="str">
        <f t="shared" si="139"/>
        <v/>
      </c>
      <c r="R483" s="321">
        <f t="shared" si="140"/>
        <v>0</v>
      </c>
      <c r="S483" s="322" t="str">
        <f t="shared" si="141"/>
        <v/>
      </c>
      <c r="T483" s="322" t="str">
        <f t="shared" si="142"/>
        <v/>
      </c>
      <c r="U483" s="321">
        <f t="shared" si="143"/>
        <v>0</v>
      </c>
      <c r="V483" s="322" t="str">
        <f t="shared" si="144"/>
        <v/>
      </c>
      <c r="W483" s="322" t="str">
        <f t="shared" si="145"/>
        <v/>
      </c>
      <c r="X483" s="321">
        <f t="shared" si="146"/>
        <v>0</v>
      </c>
      <c r="Y483" s="322" t="str">
        <f t="shared" si="147"/>
        <v/>
      </c>
      <c r="Z483" s="322" t="str">
        <f t="shared" si="148"/>
        <v/>
      </c>
      <c r="AA483" s="323" t="str">
        <f t="shared" si="149"/>
        <v/>
      </c>
      <c r="AB483" s="323"/>
      <c r="AC483" s="323"/>
      <c r="AD483" s="323"/>
      <c r="AE483" s="323"/>
      <c r="AF483" s="324" t="str">
        <f t="shared" si="150"/>
        <v/>
      </c>
      <c r="AG483" s="312"/>
      <c r="AH483" s="312"/>
      <c r="AI483" s="325">
        <f t="shared" si="151"/>
        <v>0</v>
      </c>
      <c r="AJ483" s="312"/>
      <c r="AK483" s="312"/>
      <c r="AL483" s="312"/>
      <c r="AM483" s="312"/>
      <c r="AN483" s="312"/>
      <c r="AO483" s="312"/>
      <c r="AP483" s="312"/>
      <c r="AQ483" s="312"/>
      <c r="AR483" s="312"/>
      <c r="AS483" s="312"/>
      <c r="AT483" s="312"/>
      <c r="AU483" s="312"/>
      <c r="AV483" s="312"/>
      <c r="AW483" s="312"/>
      <c r="AX483" s="312"/>
      <c r="AY483" s="312"/>
      <c r="AZ483" s="312"/>
      <c r="BA483" s="312"/>
      <c r="BB483" s="312"/>
      <c r="BC483" s="312"/>
      <c r="BD483" s="312"/>
      <c r="BE483" s="312"/>
      <c r="BF483" s="312"/>
      <c r="BG483" s="312"/>
      <c r="BH483" s="312"/>
      <c r="BI483" s="312"/>
      <c r="BJ483" s="312"/>
      <c r="BK483" s="312"/>
      <c r="BL483" s="312"/>
      <c r="BM483" s="312"/>
      <c r="BN483" s="312"/>
      <c r="BO483" s="312"/>
      <c r="BP483" s="312"/>
      <c r="BQ483" s="312"/>
      <c r="BR483" s="312"/>
      <c r="BS483" s="312"/>
      <c r="BT483" s="312"/>
      <c r="BU483" s="312"/>
      <c r="BV483" s="312"/>
      <c r="BW483" s="312"/>
      <c r="BX483" s="312"/>
      <c r="BY483" s="312"/>
      <c r="BZ483" s="312"/>
      <c r="CA483" s="312"/>
      <c r="CB483" s="312"/>
      <c r="CC483" s="312"/>
      <c r="CD483" s="312"/>
      <c r="CE483" s="312"/>
      <c r="CF483" s="312"/>
      <c r="CG483" s="312"/>
      <c r="CH483" s="312"/>
      <c r="CI483" s="312"/>
      <c r="CJ483" s="312"/>
      <c r="CK483" s="312"/>
      <c r="CL483" s="312"/>
      <c r="CM483" s="312"/>
      <c r="CN483" s="312"/>
      <c r="CO483" s="312"/>
      <c r="CP483" s="312"/>
      <c r="CQ483" s="312"/>
      <c r="CR483" s="312"/>
      <c r="CS483" s="312"/>
      <c r="CT483" s="312"/>
      <c r="CU483" s="312"/>
      <c r="CV483" s="312"/>
      <c r="CW483" s="312"/>
      <c r="CX483" s="312"/>
      <c r="CY483" s="312"/>
      <c r="CZ483" s="312"/>
      <c r="DA483" s="312"/>
      <c r="DB483" s="312"/>
      <c r="DC483" s="312"/>
      <c r="DD483" s="312"/>
      <c r="DE483" s="312"/>
      <c r="DF483" s="312"/>
      <c r="DG483" s="312"/>
      <c r="DH483" s="312"/>
      <c r="DI483" s="312"/>
      <c r="DJ483" s="312"/>
      <c r="DK483" s="312"/>
      <c r="DL483" s="312"/>
      <c r="DM483" s="312"/>
      <c r="DN483" s="312"/>
      <c r="DO483" s="312"/>
      <c r="DP483" s="312"/>
      <c r="DQ483" s="312"/>
      <c r="DR483" s="312"/>
      <c r="DS483" s="312"/>
      <c r="DT483" s="312"/>
      <c r="DU483" s="312"/>
      <c r="DV483" s="312"/>
      <c r="DW483" s="312"/>
      <c r="DX483" s="312"/>
      <c r="DY483" s="312"/>
      <c r="DZ483" s="312"/>
      <c r="EA483" s="312"/>
      <c r="EB483" s="312"/>
      <c r="EC483" s="312"/>
      <c r="ED483" s="312"/>
      <c r="EE483" s="312"/>
      <c r="EF483" s="312"/>
      <c r="EG483" s="312"/>
      <c r="EH483" s="312"/>
      <c r="EI483" s="312"/>
      <c r="EJ483" s="312"/>
      <c r="EK483" s="312"/>
      <c r="EL483" s="312"/>
      <c r="EM483" s="312"/>
      <c r="EN483" s="312"/>
      <c r="EO483" s="312"/>
      <c r="EP483" s="312"/>
      <c r="EQ483" s="312"/>
      <c r="ER483" s="312"/>
      <c r="ES483" s="312"/>
      <c r="ET483" s="312"/>
      <c r="EU483" s="312"/>
      <c r="EV483" s="312"/>
      <c r="EW483" s="312"/>
      <c r="EX483" s="312"/>
      <c r="EY483" s="312"/>
      <c r="EZ483" s="312"/>
      <c r="FA483" s="312"/>
      <c r="FB483" s="312"/>
      <c r="FC483" s="312"/>
      <c r="FD483" s="312"/>
      <c r="FE483" s="312"/>
      <c r="FF483" s="312"/>
      <c r="FG483" s="312"/>
      <c r="FH483" s="312"/>
      <c r="FI483" s="312"/>
      <c r="FJ483" s="312"/>
      <c r="FK483" s="312"/>
      <c r="FL483" s="312"/>
      <c r="FM483" s="312"/>
      <c r="FN483" s="312"/>
      <c r="FO483" s="312"/>
      <c r="FP483" s="312"/>
      <c r="FQ483" s="312"/>
      <c r="FR483" s="312"/>
      <c r="FS483" s="312"/>
      <c r="FT483" s="312"/>
      <c r="FU483" s="312"/>
      <c r="FV483" s="312"/>
      <c r="FW483" s="312"/>
      <c r="FX483" s="312"/>
      <c r="FY483" s="312"/>
      <c r="FZ483" s="312"/>
      <c r="GA483" s="312"/>
      <c r="GB483" s="312"/>
      <c r="GC483" s="312"/>
      <c r="GD483" s="312"/>
      <c r="GE483" s="312"/>
      <c r="GF483" s="312"/>
      <c r="GG483" s="312"/>
      <c r="GH483" s="312"/>
      <c r="GI483" s="312"/>
      <c r="GJ483" s="312"/>
      <c r="GK483" s="312"/>
      <c r="GL483" s="312"/>
      <c r="GM483" s="312"/>
      <c r="GN483" s="312"/>
      <c r="GO483" s="312"/>
      <c r="GP483" s="312"/>
      <c r="GQ483" s="312"/>
      <c r="GR483" s="312"/>
      <c r="GS483" s="312"/>
      <c r="GT483" s="312"/>
      <c r="GU483" s="312"/>
      <c r="GV483" s="312"/>
      <c r="GW483" s="312"/>
      <c r="GX483" s="312"/>
      <c r="GY483" s="312"/>
    </row>
    <row r="484" spans="2:207" ht="15.75" x14ac:dyDescent="0.25">
      <c r="B484" s="316" t="str">
        <f t="shared" si="134"/>
        <v/>
      </c>
      <c r="C484" s="330" t="str">
        <f>'סיכום לוועדה'!B484</f>
        <v/>
      </c>
      <c r="D484" s="330" t="str">
        <f>'סיכום לוועדה'!C484</f>
        <v/>
      </c>
      <c r="E484" s="330" t="str">
        <f>'סיכום לוועדה'!D484</f>
        <v/>
      </c>
      <c r="F484" s="330" t="str">
        <f>'סיכום לוועדה'!E484</f>
        <v/>
      </c>
      <c r="G484" s="330" t="str">
        <f>'סיכום לוועדה'!F484</f>
        <v/>
      </c>
      <c r="H484" s="317" t="str">
        <f>'סיכום לוועדה'!G484</f>
        <v/>
      </c>
      <c r="I484" s="318" t="str">
        <f>'סיכום לוועדה'!U484</f>
        <v/>
      </c>
      <c r="J484" s="319" t="str">
        <f>'סיכום לוועדה'!T484</f>
        <v/>
      </c>
      <c r="K484" s="320" t="str">
        <f t="shared" si="135"/>
        <v/>
      </c>
      <c r="L484" s="319" t="str">
        <f t="shared" si="136"/>
        <v/>
      </c>
      <c r="M484" s="331" t="str">
        <f>'תחום תמיכה ב'!AF484</f>
        <v/>
      </c>
      <c r="N484" s="319" t="str">
        <f t="shared" si="133"/>
        <v/>
      </c>
      <c r="O484" s="321">
        <f t="shared" si="137"/>
        <v>0</v>
      </c>
      <c r="P484" s="322" t="str">
        <f t="shared" si="138"/>
        <v/>
      </c>
      <c r="Q484" s="322" t="str">
        <f t="shared" si="139"/>
        <v/>
      </c>
      <c r="R484" s="321">
        <f t="shared" si="140"/>
        <v>0</v>
      </c>
      <c r="S484" s="322" t="str">
        <f t="shared" si="141"/>
        <v/>
      </c>
      <c r="T484" s="322" t="str">
        <f t="shared" si="142"/>
        <v/>
      </c>
      <c r="U484" s="321">
        <f t="shared" si="143"/>
        <v>0</v>
      </c>
      <c r="V484" s="322" t="str">
        <f t="shared" si="144"/>
        <v/>
      </c>
      <c r="W484" s="322" t="str">
        <f t="shared" si="145"/>
        <v/>
      </c>
      <c r="X484" s="321">
        <f t="shared" si="146"/>
        <v>0</v>
      </c>
      <c r="Y484" s="322" t="str">
        <f t="shared" si="147"/>
        <v/>
      </c>
      <c r="Z484" s="322" t="str">
        <f t="shared" si="148"/>
        <v/>
      </c>
      <c r="AA484" s="323" t="str">
        <f t="shared" si="149"/>
        <v/>
      </c>
      <c r="AB484" s="323"/>
      <c r="AC484" s="323"/>
      <c r="AD484" s="323"/>
      <c r="AE484" s="323"/>
      <c r="AF484" s="324" t="str">
        <f t="shared" si="150"/>
        <v/>
      </c>
      <c r="AG484" s="312"/>
      <c r="AH484" s="312"/>
      <c r="AI484" s="325">
        <f t="shared" si="151"/>
        <v>0</v>
      </c>
      <c r="AJ484" s="312"/>
      <c r="AK484" s="312"/>
      <c r="AL484" s="312"/>
      <c r="AM484" s="312"/>
      <c r="AN484" s="312"/>
      <c r="AO484" s="312"/>
      <c r="AP484" s="312"/>
      <c r="AQ484" s="312"/>
      <c r="AR484" s="312"/>
      <c r="AS484" s="312"/>
      <c r="AT484" s="312"/>
      <c r="AU484" s="312"/>
      <c r="AV484" s="312"/>
      <c r="AW484" s="312"/>
      <c r="AX484" s="312"/>
      <c r="AY484" s="312"/>
      <c r="AZ484" s="312"/>
      <c r="BA484" s="312"/>
      <c r="BB484" s="312"/>
      <c r="BC484" s="312"/>
      <c r="BD484" s="312"/>
      <c r="BE484" s="312"/>
      <c r="BF484" s="312"/>
      <c r="BG484" s="312"/>
      <c r="BH484" s="312"/>
      <c r="BI484" s="312"/>
      <c r="BJ484" s="312"/>
      <c r="BK484" s="312"/>
      <c r="BL484" s="312"/>
      <c r="BM484" s="312"/>
      <c r="BN484" s="312"/>
      <c r="BO484" s="312"/>
      <c r="BP484" s="312"/>
      <c r="BQ484" s="312"/>
      <c r="BR484" s="312"/>
      <c r="BS484" s="312"/>
      <c r="BT484" s="312"/>
      <c r="BU484" s="312"/>
      <c r="BV484" s="312"/>
      <c r="BW484" s="312"/>
      <c r="BX484" s="312"/>
      <c r="BY484" s="312"/>
      <c r="BZ484" s="312"/>
      <c r="CA484" s="312"/>
      <c r="CB484" s="312"/>
      <c r="CC484" s="312"/>
      <c r="CD484" s="312"/>
      <c r="CE484" s="312"/>
      <c r="CF484" s="312"/>
      <c r="CG484" s="312"/>
      <c r="CH484" s="312"/>
      <c r="CI484" s="312"/>
      <c r="CJ484" s="312"/>
      <c r="CK484" s="312"/>
      <c r="CL484" s="312"/>
      <c r="CM484" s="312"/>
      <c r="CN484" s="312"/>
      <c r="CO484" s="312"/>
      <c r="CP484" s="312"/>
      <c r="CQ484" s="312"/>
      <c r="CR484" s="312"/>
      <c r="CS484" s="312"/>
      <c r="CT484" s="312"/>
      <c r="CU484" s="312"/>
      <c r="CV484" s="312"/>
      <c r="CW484" s="312"/>
      <c r="CX484" s="312"/>
      <c r="CY484" s="312"/>
      <c r="CZ484" s="312"/>
      <c r="DA484" s="312"/>
      <c r="DB484" s="312"/>
      <c r="DC484" s="312"/>
      <c r="DD484" s="312"/>
      <c r="DE484" s="312"/>
      <c r="DF484" s="312"/>
      <c r="DG484" s="312"/>
      <c r="DH484" s="312"/>
      <c r="DI484" s="312"/>
      <c r="DJ484" s="312"/>
      <c r="DK484" s="312"/>
      <c r="DL484" s="312"/>
      <c r="DM484" s="312"/>
      <c r="DN484" s="312"/>
      <c r="DO484" s="312"/>
      <c r="DP484" s="312"/>
      <c r="DQ484" s="312"/>
      <c r="DR484" s="312"/>
      <c r="DS484" s="312"/>
      <c r="DT484" s="312"/>
      <c r="DU484" s="312"/>
      <c r="DV484" s="312"/>
      <c r="DW484" s="312"/>
      <c r="DX484" s="312"/>
      <c r="DY484" s="312"/>
      <c r="DZ484" s="312"/>
      <c r="EA484" s="312"/>
      <c r="EB484" s="312"/>
      <c r="EC484" s="312"/>
      <c r="ED484" s="312"/>
      <c r="EE484" s="312"/>
      <c r="EF484" s="312"/>
      <c r="EG484" s="312"/>
      <c r="EH484" s="312"/>
      <c r="EI484" s="312"/>
      <c r="EJ484" s="312"/>
      <c r="EK484" s="312"/>
      <c r="EL484" s="312"/>
      <c r="EM484" s="312"/>
      <c r="EN484" s="312"/>
      <c r="EO484" s="312"/>
      <c r="EP484" s="312"/>
      <c r="EQ484" s="312"/>
      <c r="ER484" s="312"/>
      <c r="ES484" s="312"/>
      <c r="ET484" s="312"/>
      <c r="EU484" s="312"/>
      <c r="EV484" s="312"/>
      <c r="EW484" s="312"/>
      <c r="EX484" s="312"/>
      <c r="EY484" s="312"/>
      <c r="EZ484" s="312"/>
      <c r="FA484" s="312"/>
      <c r="FB484" s="312"/>
      <c r="FC484" s="312"/>
      <c r="FD484" s="312"/>
      <c r="FE484" s="312"/>
      <c r="FF484" s="312"/>
      <c r="FG484" s="312"/>
      <c r="FH484" s="312"/>
      <c r="FI484" s="312"/>
      <c r="FJ484" s="312"/>
      <c r="FK484" s="312"/>
      <c r="FL484" s="312"/>
      <c r="FM484" s="312"/>
      <c r="FN484" s="312"/>
      <c r="FO484" s="312"/>
      <c r="FP484" s="312"/>
      <c r="FQ484" s="312"/>
      <c r="FR484" s="312"/>
      <c r="FS484" s="312"/>
      <c r="FT484" s="312"/>
      <c r="FU484" s="312"/>
      <c r="FV484" s="312"/>
      <c r="FW484" s="312"/>
      <c r="FX484" s="312"/>
      <c r="FY484" s="312"/>
      <c r="FZ484" s="312"/>
      <c r="GA484" s="312"/>
      <c r="GB484" s="312"/>
      <c r="GC484" s="312"/>
      <c r="GD484" s="312"/>
      <c r="GE484" s="312"/>
      <c r="GF484" s="312"/>
      <c r="GG484" s="312"/>
      <c r="GH484" s="312"/>
      <c r="GI484" s="312"/>
      <c r="GJ484" s="312"/>
      <c r="GK484" s="312"/>
      <c r="GL484" s="312"/>
      <c r="GM484" s="312"/>
      <c r="GN484" s="312"/>
      <c r="GO484" s="312"/>
      <c r="GP484" s="312"/>
      <c r="GQ484" s="312"/>
      <c r="GR484" s="312"/>
      <c r="GS484" s="312"/>
      <c r="GT484" s="312"/>
      <c r="GU484" s="312"/>
      <c r="GV484" s="312"/>
      <c r="GW484" s="312"/>
      <c r="GX484" s="312"/>
      <c r="GY484" s="312"/>
    </row>
    <row r="485" spans="2:207" ht="15.75" x14ac:dyDescent="0.25">
      <c r="B485" s="316" t="str">
        <f t="shared" si="134"/>
        <v/>
      </c>
      <c r="C485" s="330" t="str">
        <f>'סיכום לוועדה'!B485</f>
        <v/>
      </c>
      <c r="D485" s="330" t="str">
        <f>'סיכום לוועדה'!C485</f>
        <v/>
      </c>
      <c r="E485" s="330" t="str">
        <f>'סיכום לוועדה'!D485</f>
        <v/>
      </c>
      <c r="F485" s="330" t="str">
        <f>'סיכום לוועדה'!E485</f>
        <v/>
      </c>
      <c r="G485" s="330" t="str">
        <f>'סיכום לוועדה'!F485</f>
        <v/>
      </c>
      <c r="H485" s="317" t="str">
        <f>'סיכום לוועדה'!G485</f>
        <v/>
      </c>
      <c r="I485" s="318" t="str">
        <f>'סיכום לוועדה'!U485</f>
        <v/>
      </c>
      <c r="J485" s="319" t="str">
        <f>'סיכום לוועדה'!T485</f>
        <v/>
      </c>
      <c r="K485" s="320" t="str">
        <f t="shared" si="135"/>
        <v/>
      </c>
      <c r="L485" s="319" t="str">
        <f t="shared" si="136"/>
        <v/>
      </c>
      <c r="M485" s="331" t="str">
        <f>'תחום תמיכה ב'!AF485</f>
        <v/>
      </c>
      <c r="N485" s="319" t="str">
        <f t="shared" si="133"/>
        <v/>
      </c>
      <c r="O485" s="321">
        <f t="shared" si="137"/>
        <v>0</v>
      </c>
      <c r="P485" s="322" t="str">
        <f t="shared" si="138"/>
        <v/>
      </c>
      <c r="Q485" s="322" t="str">
        <f t="shared" si="139"/>
        <v/>
      </c>
      <c r="R485" s="321">
        <f t="shared" si="140"/>
        <v>0</v>
      </c>
      <c r="S485" s="322" t="str">
        <f t="shared" si="141"/>
        <v/>
      </c>
      <c r="T485" s="322" t="str">
        <f t="shared" si="142"/>
        <v/>
      </c>
      <c r="U485" s="321">
        <f t="shared" si="143"/>
        <v>0</v>
      </c>
      <c r="V485" s="322" t="str">
        <f t="shared" si="144"/>
        <v/>
      </c>
      <c r="W485" s="322" t="str">
        <f t="shared" si="145"/>
        <v/>
      </c>
      <c r="X485" s="321">
        <f t="shared" si="146"/>
        <v>0</v>
      </c>
      <c r="Y485" s="322" t="str">
        <f t="shared" si="147"/>
        <v/>
      </c>
      <c r="Z485" s="322" t="str">
        <f t="shared" si="148"/>
        <v/>
      </c>
      <c r="AA485" s="323" t="str">
        <f t="shared" si="149"/>
        <v/>
      </c>
      <c r="AB485" s="323"/>
      <c r="AC485" s="323"/>
      <c r="AD485" s="323"/>
      <c r="AE485" s="323"/>
      <c r="AF485" s="324" t="str">
        <f t="shared" si="150"/>
        <v/>
      </c>
      <c r="AG485" s="312"/>
      <c r="AH485" s="312"/>
      <c r="AI485" s="325">
        <f t="shared" si="151"/>
        <v>0</v>
      </c>
      <c r="AJ485" s="312"/>
      <c r="AK485" s="312"/>
      <c r="AL485" s="312"/>
      <c r="AM485" s="312"/>
      <c r="AN485" s="312"/>
      <c r="AO485" s="312"/>
      <c r="AP485" s="312"/>
      <c r="AQ485" s="312"/>
      <c r="AR485" s="312"/>
      <c r="AS485" s="312"/>
      <c r="AT485" s="312"/>
      <c r="AU485" s="312"/>
      <c r="AV485" s="312"/>
      <c r="AW485" s="312"/>
      <c r="AX485" s="312"/>
      <c r="AY485" s="312"/>
      <c r="AZ485" s="312"/>
      <c r="BA485" s="312"/>
      <c r="BB485" s="312"/>
      <c r="BC485" s="312"/>
      <c r="BD485" s="312"/>
      <c r="BE485" s="312"/>
      <c r="BF485" s="312"/>
      <c r="BG485" s="312"/>
      <c r="BH485" s="312"/>
      <c r="BI485" s="312"/>
      <c r="BJ485" s="312"/>
      <c r="BK485" s="312"/>
      <c r="BL485" s="312"/>
      <c r="BM485" s="312"/>
      <c r="BN485" s="312"/>
      <c r="BO485" s="312"/>
      <c r="BP485" s="312"/>
      <c r="BQ485" s="312"/>
      <c r="BR485" s="312"/>
      <c r="BS485" s="312"/>
      <c r="BT485" s="312"/>
      <c r="BU485" s="312"/>
      <c r="BV485" s="312"/>
      <c r="BW485" s="312"/>
      <c r="BX485" s="312"/>
      <c r="BY485" s="312"/>
      <c r="BZ485" s="312"/>
      <c r="CA485" s="312"/>
      <c r="CB485" s="312"/>
      <c r="CC485" s="312"/>
      <c r="CD485" s="312"/>
      <c r="CE485" s="312"/>
      <c r="CF485" s="312"/>
      <c r="CG485" s="312"/>
      <c r="CH485" s="312"/>
      <c r="CI485" s="312"/>
      <c r="CJ485" s="312"/>
      <c r="CK485" s="312"/>
      <c r="CL485" s="312"/>
      <c r="CM485" s="312"/>
      <c r="CN485" s="312"/>
      <c r="CO485" s="312"/>
      <c r="CP485" s="312"/>
      <c r="CQ485" s="312"/>
      <c r="CR485" s="312"/>
      <c r="CS485" s="312"/>
      <c r="CT485" s="312"/>
      <c r="CU485" s="312"/>
      <c r="CV485" s="312"/>
      <c r="CW485" s="312"/>
      <c r="CX485" s="312"/>
      <c r="CY485" s="312"/>
      <c r="CZ485" s="312"/>
      <c r="DA485" s="312"/>
      <c r="DB485" s="312"/>
      <c r="DC485" s="312"/>
      <c r="DD485" s="312"/>
      <c r="DE485" s="312"/>
      <c r="DF485" s="312"/>
      <c r="DG485" s="312"/>
      <c r="DH485" s="312"/>
      <c r="DI485" s="312"/>
      <c r="DJ485" s="312"/>
      <c r="DK485" s="312"/>
      <c r="DL485" s="312"/>
      <c r="DM485" s="312"/>
      <c r="DN485" s="312"/>
      <c r="DO485" s="312"/>
      <c r="DP485" s="312"/>
      <c r="DQ485" s="312"/>
      <c r="DR485" s="312"/>
      <c r="DS485" s="312"/>
      <c r="DT485" s="312"/>
      <c r="DU485" s="312"/>
      <c r="DV485" s="312"/>
      <c r="DW485" s="312"/>
      <c r="DX485" s="312"/>
      <c r="DY485" s="312"/>
      <c r="DZ485" s="312"/>
      <c r="EA485" s="312"/>
      <c r="EB485" s="312"/>
      <c r="EC485" s="312"/>
      <c r="ED485" s="312"/>
      <c r="EE485" s="312"/>
      <c r="EF485" s="312"/>
      <c r="EG485" s="312"/>
      <c r="EH485" s="312"/>
      <c r="EI485" s="312"/>
      <c r="EJ485" s="312"/>
      <c r="EK485" s="312"/>
      <c r="EL485" s="312"/>
      <c r="EM485" s="312"/>
      <c r="EN485" s="312"/>
      <c r="EO485" s="312"/>
      <c r="EP485" s="312"/>
      <c r="EQ485" s="312"/>
      <c r="ER485" s="312"/>
      <c r="ES485" s="312"/>
      <c r="ET485" s="312"/>
      <c r="EU485" s="312"/>
      <c r="EV485" s="312"/>
      <c r="EW485" s="312"/>
      <c r="EX485" s="312"/>
      <c r="EY485" s="312"/>
      <c r="EZ485" s="312"/>
      <c r="FA485" s="312"/>
      <c r="FB485" s="312"/>
      <c r="FC485" s="312"/>
      <c r="FD485" s="312"/>
      <c r="FE485" s="312"/>
      <c r="FF485" s="312"/>
      <c r="FG485" s="312"/>
      <c r="FH485" s="312"/>
      <c r="FI485" s="312"/>
      <c r="FJ485" s="312"/>
      <c r="FK485" s="312"/>
      <c r="FL485" s="312"/>
      <c r="FM485" s="312"/>
      <c r="FN485" s="312"/>
      <c r="FO485" s="312"/>
      <c r="FP485" s="312"/>
      <c r="FQ485" s="312"/>
      <c r="FR485" s="312"/>
      <c r="FS485" s="312"/>
      <c r="FT485" s="312"/>
      <c r="FU485" s="312"/>
      <c r="FV485" s="312"/>
      <c r="FW485" s="312"/>
      <c r="FX485" s="312"/>
      <c r="FY485" s="312"/>
      <c r="FZ485" s="312"/>
      <c r="GA485" s="312"/>
      <c r="GB485" s="312"/>
      <c r="GC485" s="312"/>
      <c r="GD485" s="312"/>
      <c r="GE485" s="312"/>
      <c r="GF485" s="312"/>
      <c r="GG485" s="312"/>
      <c r="GH485" s="312"/>
      <c r="GI485" s="312"/>
      <c r="GJ485" s="312"/>
      <c r="GK485" s="312"/>
      <c r="GL485" s="312"/>
      <c r="GM485" s="312"/>
      <c r="GN485" s="312"/>
      <c r="GO485" s="312"/>
      <c r="GP485" s="312"/>
      <c r="GQ485" s="312"/>
      <c r="GR485" s="312"/>
      <c r="GS485" s="312"/>
      <c r="GT485" s="312"/>
      <c r="GU485" s="312"/>
      <c r="GV485" s="312"/>
      <c r="GW485" s="312"/>
      <c r="GX485" s="312"/>
      <c r="GY485" s="312"/>
    </row>
    <row r="486" spans="2:207" ht="15.75" x14ac:dyDescent="0.25">
      <c r="B486" s="316" t="str">
        <f t="shared" si="134"/>
        <v/>
      </c>
      <c r="C486" s="330" t="str">
        <f>'סיכום לוועדה'!B486</f>
        <v/>
      </c>
      <c r="D486" s="330" t="str">
        <f>'סיכום לוועדה'!C486</f>
        <v/>
      </c>
      <c r="E486" s="330" t="str">
        <f>'סיכום לוועדה'!D486</f>
        <v/>
      </c>
      <c r="F486" s="330" t="str">
        <f>'סיכום לוועדה'!E486</f>
        <v/>
      </c>
      <c r="G486" s="330" t="str">
        <f>'סיכום לוועדה'!F486</f>
        <v/>
      </c>
      <c r="H486" s="317" t="str">
        <f>'סיכום לוועדה'!G486</f>
        <v/>
      </c>
      <c r="I486" s="318" t="str">
        <f>'סיכום לוועדה'!U486</f>
        <v/>
      </c>
      <c r="J486" s="319" t="str">
        <f>'סיכום לוועדה'!T486</f>
        <v/>
      </c>
      <c r="K486" s="320" t="str">
        <f t="shared" si="135"/>
        <v/>
      </c>
      <c r="L486" s="319" t="str">
        <f t="shared" si="136"/>
        <v/>
      </c>
      <c r="M486" s="331" t="str">
        <f>'תחום תמיכה ב'!AF486</f>
        <v/>
      </c>
      <c r="N486" s="319" t="str">
        <f t="shared" si="133"/>
        <v/>
      </c>
      <c r="O486" s="321">
        <f t="shared" si="137"/>
        <v>0</v>
      </c>
      <c r="P486" s="322" t="str">
        <f t="shared" si="138"/>
        <v/>
      </c>
      <c r="Q486" s="322" t="str">
        <f t="shared" si="139"/>
        <v/>
      </c>
      <c r="R486" s="321">
        <f t="shared" si="140"/>
        <v>0</v>
      </c>
      <c r="S486" s="322" t="str">
        <f t="shared" si="141"/>
        <v/>
      </c>
      <c r="T486" s="322" t="str">
        <f t="shared" si="142"/>
        <v/>
      </c>
      <c r="U486" s="321">
        <f t="shared" si="143"/>
        <v>0</v>
      </c>
      <c r="V486" s="322" t="str">
        <f t="shared" si="144"/>
        <v/>
      </c>
      <c r="W486" s="322" t="str">
        <f t="shared" si="145"/>
        <v/>
      </c>
      <c r="X486" s="321">
        <f t="shared" si="146"/>
        <v>0</v>
      </c>
      <c r="Y486" s="322" t="str">
        <f t="shared" si="147"/>
        <v/>
      </c>
      <c r="Z486" s="322" t="str">
        <f t="shared" si="148"/>
        <v/>
      </c>
      <c r="AA486" s="323" t="str">
        <f t="shared" si="149"/>
        <v/>
      </c>
      <c r="AB486" s="323"/>
      <c r="AC486" s="323"/>
      <c r="AD486" s="323"/>
      <c r="AE486" s="323"/>
      <c r="AF486" s="324" t="str">
        <f t="shared" si="150"/>
        <v/>
      </c>
      <c r="AG486" s="312"/>
      <c r="AH486" s="312"/>
      <c r="AI486" s="325">
        <f t="shared" si="151"/>
        <v>0</v>
      </c>
      <c r="AJ486" s="312"/>
      <c r="AK486" s="312"/>
      <c r="AL486" s="312"/>
      <c r="AM486" s="312"/>
      <c r="AN486" s="312"/>
      <c r="AO486" s="312"/>
      <c r="AP486" s="312"/>
      <c r="AQ486" s="312"/>
      <c r="AR486" s="312"/>
      <c r="AS486" s="312"/>
      <c r="AT486" s="312"/>
      <c r="AU486" s="312"/>
      <c r="AV486" s="312"/>
      <c r="AW486" s="312"/>
      <c r="AX486" s="312"/>
      <c r="AY486" s="312"/>
      <c r="AZ486" s="312"/>
      <c r="BA486" s="312"/>
      <c r="BB486" s="312"/>
      <c r="BC486" s="312"/>
      <c r="BD486" s="312"/>
      <c r="BE486" s="312"/>
      <c r="BF486" s="312"/>
      <c r="BG486" s="312"/>
      <c r="BH486" s="312"/>
      <c r="BI486" s="312"/>
      <c r="BJ486" s="312"/>
      <c r="BK486" s="312"/>
      <c r="BL486" s="312"/>
      <c r="BM486" s="312"/>
      <c r="BN486" s="312"/>
      <c r="BO486" s="312"/>
      <c r="BP486" s="312"/>
      <c r="BQ486" s="312"/>
      <c r="BR486" s="312"/>
      <c r="BS486" s="312"/>
      <c r="BT486" s="312"/>
      <c r="BU486" s="312"/>
      <c r="BV486" s="312"/>
      <c r="BW486" s="312"/>
      <c r="BX486" s="312"/>
      <c r="BY486" s="312"/>
      <c r="BZ486" s="312"/>
      <c r="CA486" s="312"/>
      <c r="CB486" s="312"/>
      <c r="CC486" s="312"/>
      <c r="CD486" s="312"/>
      <c r="CE486" s="312"/>
      <c r="CF486" s="312"/>
      <c r="CG486" s="312"/>
      <c r="CH486" s="312"/>
      <c r="CI486" s="312"/>
      <c r="CJ486" s="312"/>
      <c r="CK486" s="312"/>
      <c r="CL486" s="312"/>
      <c r="CM486" s="312"/>
      <c r="CN486" s="312"/>
      <c r="CO486" s="312"/>
      <c r="CP486" s="312"/>
      <c r="CQ486" s="312"/>
      <c r="CR486" s="312"/>
      <c r="CS486" s="312"/>
      <c r="CT486" s="312"/>
      <c r="CU486" s="312"/>
      <c r="CV486" s="312"/>
      <c r="CW486" s="312"/>
      <c r="CX486" s="312"/>
      <c r="CY486" s="312"/>
      <c r="CZ486" s="312"/>
      <c r="DA486" s="312"/>
      <c r="DB486" s="312"/>
      <c r="DC486" s="312"/>
      <c r="DD486" s="312"/>
      <c r="DE486" s="312"/>
      <c r="DF486" s="312"/>
      <c r="DG486" s="312"/>
      <c r="DH486" s="312"/>
      <c r="DI486" s="312"/>
      <c r="DJ486" s="312"/>
      <c r="DK486" s="312"/>
      <c r="DL486" s="312"/>
      <c r="DM486" s="312"/>
      <c r="DN486" s="312"/>
      <c r="DO486" s="312"/>
      <c r="DP486" s="312"/>
      <c r="DQ486" s="312"/>
      <c r="DR486" s="312"/>
      <c r="DS486" s="312"/>
      <c r="DT486" s="312"/>
      <c r="DU486" s="312"/>
      <c r="DV486" s="312"/>
      <c r="DW486" s="312"/>
      <c r="DX486" s="312"/>
      <c r="DY486" s="312"/>
      <c r="DZ486" s="312"/>
      <c r="EA486" s="312"/>
      <c r="EB486" s="312"/>
      <c r="EC486" s="312"/>
      <c r="ED486" s="312"/>
      <c r="EE486" s="312"/>
      <c r="EF486" s="312"/>
      <c r="EG486" s="312"/>
      <c r="EH486" s="312"/>
      <c r="EI486" s="312"/>
      <c r="EJ486" s="312"/>
      <c r="EK486" s="312"/>
      <c r="EL486" s="312"/>
      <c r="EM486" s="312"/>
      <c r="EN486" s="312"/>
      <c r="EO486" s="312"/>
      <c r="EP486" s="312"/>
      <c r="EQ486" s="312"/>
      <c r="ER486" s="312"/>
      <c r="ES486" s="312"/>
      <c r="ET486" s="312"/>
      <c r="EU486" s="312"/>
      <c r="EV486" s="312"/>
      <c r="EW486" s="312"/>
      <c r="EX486" s="312"/>
      <c r="EY486" s="312"/>
      <c r="EZ486" s="312"/>
      <c r="FA486" s="312"/>
      <c r="FB486" s="312"/>
      <c r="FC486" s="312"/>
      <c r="FD486" s="312"/>
      <c r="FE486" s="312"/>
      <c r="FF486" s="312"/>
      <c r="FG486" s="312"/>
      <c r="FH486" s="312"/>
      <c r="FI486" s="312"/>
      <c r="FJ486" s="312"/>
      <c r="FK486" s="312"/>
      <c r="FL486" s="312"/>
      <c r="FM486" s="312"/>
      <c r="FN486" s="312"/>
      <c r="FO486" s="312"/>
      <c r="FP486" s="312"/>
      <c r="FQ486" s="312"/>
      <c r="FR486" s="312"/>
      <c r="FS486" s="312"/>
      <c r="FT486" s="312"/>
      <c r="FU486" s="312"/>
      <c r="FV486" s="312"/>
      <c r="FW486" s="312"/>
      <c r="FX486" s="312"/>
      <c r="FY486" s="312"/>
      <c r="FZ486" s="312"/>
      <c r="GA486" s="312"/>
      <c r="GB486" s="312"/>
      <c r="GC486" s="312"/>
      <c r="GD486" s="312"/>
      <c r="GE486" s="312"/>
      <c r="GF486" s="312"/>
      <c r="GG486" s="312"/>
      <c r="GH486" s="312"/>
      <c r="GI486" s="312"/>
      <c r="GJ486" s="312"/>
      <c r="GK486" s="312"/>
      <c r="GL486" s="312"/>
      <c r="GM486" s="312"/>
      <c r="GN486" s="312"/>
      <c r="GO486" s="312"/>
      <c r="GP486" s="312"/>
      <c r="GQ486" s="312"/>
      <c r="GR486" s="312"/>
      <c r="GS486" s="312"/>
      <c r="GT486" s="312"/>
      <c r="GU486" s="312"/>
      <c r="GV486" s="312"/>
      <c r="GW486" s="312"/>
      <c r="GX486" s="312"/>
      <c r="GY486" s="312"/>
    </row>
    <row r="487" spans="2:207" ht="15.75" x14ac:dyDescent="0.25">
      <c r="B487" s="316" t="str">
        <f t="shared" si="134"/>
        <v/>
      </c>
      <c r="C487" s="330" t="str">
        <f>'סיכום לוועדה'!B487</f>
        <v/>
      </c>
      <c r="D487" s="330" t="str">
        <f>'סיכום לוועדה'!C487</f>
        <v/>
      </c>
      <c r="E487" s="330" t="str">
        <f>'סיכום לוועדה'!D487</f>
        <v/>
      </c>
      <c r="F487" s="330" t="str">
        <f>'סיכום לוועדה'!E487</f>
        <v/>
      </c>
      <c r="G487" s="330" t="str">
        <f>'סיכום לוועדה'!F487</f>
        <v/>
      </c>
      <c r="H487" s="317" t="str">
        <f>'סיכום לוועדה'!G487</f>
        <v/>
      </c>
      <c r="I487" s="318" t="str">
        <f>'סיכום לוועדה'!U487</f>
        <v/>
      </c>
      <c r="J487" s="319" t="str">
        <f>'סיכום לוועדה'!T487</f>
        <v/>
      </c>
      <c r="K487" s="320" t="str">
        <f t="shared" si="135"/>
        <v/>
      </c>
      <c r="L487" s="319" t="str">
        <f t="shared" si="136"/>
        <v/>
      </c>
      <c r="M487" s="331" t="str">
        <f>'תחום תמיכה ב'!AF487</f>
        <v/>
      </c>
      <c r="N487" s="319" t="str">
        <f t="shared" si="133"/>
        <v/>
      </c>
      <c r="O487" s="321">
        <f t="shared" si="137"/>
        <v>0</v>
      </c>
      <c r="P487" s="322" t="str">
        <f t="shared" si="138"/>
        <v/>
      </c>
      <c r="Q487" s="322" t="str">
        <f t="shared" si="139"/>
        <v/>
      </c>
      <c r="R487" s="321">
        <f t="shared" si="140"/>
        <v>0</v>
      </c>
      <c r="S487" s="322" t="str">
        <f t="shared" si="141"/>
        <v/>
      </c>
      <c r="T487" s="322" t="str">
        <f t="shared" si="142"/>
        <v/>
      </c>
      <c r="U487" s="321">
        <f t="shared" si="143"/>
        <v>0</v>
      </c>
      <c r="V487" s="322" t="str">
        <f t="shared" si="144"/>
        <v/>
      </c>
      <c r="W487" s="322" t="str">
        <f t="shared" si="145"/>
        <v/>
      </c>
      <c r="X487" s="321">
        <f t="shared" si="146"/>
        <v>0</v>
      </c>
      <c r="Y487" s="322" t="str">
        <f t="shared" si="147"/>
        <v/>
      </c>
      <c r="Z487" s="322" t="str">
        <f t="shared" si="148"/>
        <v/>
      </c>
      <c r="AA487" s="323" t="str">
        <f t="shared" si="149"/>
        <v/>
      </c>
      <c r="AB487" s="323"/>
      <c r="AC487" s="323"/>
      <c r="AD487" s="323"/>
      <c r="AE487" s="323"/>
      <c r="AF487" s="324" t="str">
        <f t="shared" si="150"/>
        <v/>
      </c>
      <c r="AG487" s="312"/>
      <c r="AH487" s="312"/>
      <c r="AI487" s="325">
        <f t="shared" si="151"/>
        <v>0</v>
      </c>
      <c r="AJ487" s="312"/>
      <c r="AK487" s="312"/>
      <c r="AL487" s="312"/>
      <c r="AM487" s="312"/>
      <c r="AN487" s="312"/>
      <c r="AO487" s="312"/>
      <c r="AP487" s="312"/>
      <c r="AQ487" s="312"/>
      <c r="AR487" s="312"/>
      <c r="AS487" s="312"/>
      <c r="AT487" s="312"/>
      <c r="AU487" s="312"/>
      <c r="AV487" s="312"/>
      <c r="AW487" s="312"/>
      <c r="AX487" s="312"/>
      <c r="AY487" s="312"/>
      <c r="AZ487" s="312"/>
      <c r="BA487" s="312"/>
      <c r="BB487" s="312"/>
      <c r="BC487" s="312"/>
      <c r="BD487" s="312"/>
      <c r="BE487" s="312"/>
      <c r="BF487" s="312"/>
      <c r="BG487" s="312"/>
      <c r="BH487" s="312"/>
      <c r="BI487" s="312"/>
      <c r="BJ487" s="312"/>
      <c r="BK487" s="312"/>
      <c r="BL487" s="312"/>
      <c r="BM487" s="312"/>
      <c r="BN487" s="312"/>
      <c r="BO487" s="312"/>
      <c r="BP487" s="312"/>
      <c r="BQ487" s="312"/>
      <c r="BR487" s="312"/>
      <c r="BS487" s="312"/>
      <c r="BT487" s="312"/>
      <c r="BU487" s="312"/>
      <c r="BV487" s="312"/>
      <c r="BW487" s="312"/>
      <c r="BX487" s="312"/>
      <c r="BY487" s="312"/>
      <c r="BZ487" s="312"/>
      <c r="CA487" s="312"/>
      <c r="CB487" s="312"/>
      <c r="CC487" s="312"/>
      <c r="CD487" s="312"/>
      <c r="CE487" s="312"/>
      <c r="CF487" s="312"/>
      <c r="CG487" s="312"/>
      <c r="CH487" s="312"/>
      <c r="CI487" s="312"/>
      <c r="CJ487" s="312"/>
      <c r="CK487" s="312"/>
      <c r="CL487" s="312"/>
      <c r="CM487" s="312"/>
      <c r="CN487" s="312"/>
      <c r="CO487" s="312"/>
      <c r="CP487" s="312"/>
      <c r="CQ487" s="312"/>
      <c r="CR487" s="312"/>
      <c r="CS487" s="312"/>
      <c r="CT487" s="312"/>
      <c r="CU487" s="312"/>
      <c r="CV487" s="312"/>
      <c r="CW487" s="312"/>
      <c r="CX487" s="312"/>
      <c r="CY487" s="312"/>
      <c r="CZ487" s="312"/>
      <c r="DA487" s="312"/>
      <c r="DB487" s="312"/>
      <c r="DC487" s="312"/>
      <c r="DD487" s="312"/>
      <c r="DE487" s="312"/>
      <c r="DF487" s="312"/>
      <c r="DG487" s="312"/>
      <c r="DH487" s="312"/>
      <c r="DI487" s="312"/>
      <c r="DJ487" s="312"/>
      <c r="DK487" s="312"/>
      <c r="DL487" s="312"/>
      <c r="DM487" s="312"/>
      <c r="DN487" s="312"/>
      <c r="DO487" s="312"/>
      <c r="DP487" s="312"/>
      <c r="DQ487" s="312"/>
      <c r="DR487" s="312"/>
      <c r="DS487" s="312"/>
      <c r="DT487" s="312"/>
      <c r="DU487" s="312"/>
      <c r="DV487" s="312"/>
      <c r="DW487" s="312"/>
      <c r="DX487" s="312"/>
      <c r="DY487" s="312"/>
      <c r="DZ487" s="312"/>
      <c r="EA487" s="312"/>
      <c r="EB487" s="312"/>
      <c r="EC487" s="312"/>
      <c r="ED487" s="312"/>
      <c r="EE487" s="312"/>
      <c r="EF487" s="312"/>
      <c r="EG487" s="312"/>
      <c r="EH487" s="312"/>
      <c r="EI487" s="312"/>
      <c r="EJ487" s="312"/>
      <c r="EK487" s="312"/>
      <c r="EL487" s="312"/>
      <c r="EM487" s="312"/>
      <c r="EN487" s="312"/>
      <c r="EO487" s="312"/>
      <c r="EP487" s="312"/>
      <c r="EQ487" s="312"/>
      <c r="ER487" s="312"/>
      <c r="ES487" s="312"/>
      <c r="ET487" s="312"/>
      <c r="EU487" s="312"/>
      <c r="EV487" s="312"/>
      <c r="EW487" s="312"/>
      <c r="EX487" s="312"/>
      <c r="EY487" s="312"/>
      <c r="EZ487" s="312"/>
      <c r="FA487" s="312"/>
      <c r="FB487" s="312"/>
      <c r="FC487" s="312"/>
      <c r="FD487" s="312"/>
      <c r="FE487" s="312"/>
      <c r="FF487" s="312"/>
      <c r="FG487" s="312"/>
      <c r="FH487" s="312"/>
      <c r="FI487" s="312"/>
      <c r="FJ487" s="312"/>
      <c r="FK487" s="312"/>
      <c r="FL487" s="312"/>
      <c r="FM487" s="312"/>
      <c r="FN487" s="312"/>
      <c r="FO487" s="312"/>
      <c r="FP487" s="312"/>
      <c r="FQ487" s="312"/>
      <c r="FR487" s="312"/>
      <c r="FS487" s="312"/>
      <c r="FT487" s="312"/>
      <c r="FU487" s="312"/>
      <c r="FV487" s="312"/>
      <c r="FW487" s="312"/>
      <c r="FX487" s="312"/>
      <c r="FY487" s="312"/>
      <c r="FZ487" s="312"/>
      <c r="GA487" s="312"/>
      <c r="GB487" s="312"/>
      <c r="GC487" s="312"/>
      <c r="GD487" s="312"/>
      <c r="GE487" s="312"/>
      <c r="GF487" s="312"/>
      <c r="GG487" s="312"/>
      <c r="GH487" s="312"/>
      <c r="GI487" s="312"/>
      <c r="GJ487" s="312"/>
      <c r="GK487" s="312"/>
      <c r="GL487" s="312"/>
      <c r="GM487" s="312"/>
      <c r="GN487" s="312"/>
      <c r="GO487" s="312"/>
      <c r="GP487" s="312"/>
      <c r="GQ487" s="312"/>
      <c r="GR487" s="312"/>
      <c r="GS487" s="312"/>
      <c r="GT487" s="312"/>
      <c r="GU487" s="312"/>
      <c r="GV487" s="312"/>
      <c r="GW487" s="312"/>
      <c r="GX487" s="312"/>
      <c r="GY487" s="312"/>
    </row>
    <row r="488" spans="2:207" ht="15.75" x14ac:dyDescent="0.25">
      <c r="B488" s="316" t="str">
        <f t="shared" si="134"/>
        <v/>
      </c>
      <c r="C488" s="330" t="str">
        <f>'סיכום לוועדה'!B488</f>
        <v/>
      </c>
      <c r="D488" s="330" t="str">
        <f>'סיכום לוועדה'!C488</f>
        <v/>
      </c>
      <c r="E488" s="330" t="str">
        <f>'סיכום לוועדה'!D488</f>
        <v/>
      </c>
      <c r="F488" s="330" t="str">
        <f>'סיכום לוועדה'!E488</f>
        <v/>
      </c>
      <c r="G488" s="330" t="str">
        <f>'סיכום לוועדה'!F488</f>
        <v/>
      </c>
      <c r="H488" s="317" t="str">
        <f>'סיכום לוועדה'!G488</f>
        <v/>
      </c>
      <c r="I488" s="318" t="str">
        <f>'סיכום לוועדה'!U488</f>
        <v/>
      </c>
      <c r="J488" s="319" t="str">
        <f>'סיכום לוועדה'!T488</f>
        <v/>
      </c>
      <c r="K488" s="320" t="str">
        <f t="shared" si="135"/>
        <v/>
      </c>
      <c r="L488" s="319" t="str">
        <f t="shared" si="136"/>
        <v/>
      </c>
      <c r="M488" s="331" t="str">
        <f>'תחום תמיכה ב'!AF488</f>
        <v/>
      </c>
      <c r="N488" s="319" t="str">
        <f t="shared" si="133"/>
        <v/>
      </c>
      <c r="O488" s="321">
        <f t="shared" si="137"/>
        <v>0</v>
      </c>
      <c r="P488" s="322" t="str">
        <f t="shared" si="138"/>
        <v/>
      </c>
      <c r="Q488" s="322" t="str">
        <f t="shared" si="139"/>
        <v/>
      </c>
      <c r="R488" s="321">
        <f t="shared" si="140"/>
        <v>0</v>
      </c>
      <c r="S488" s="322" t="str">
        <f t="shared" si="141"/>
        <v/>
      </c>
      <c r="T488" s="322" t="str">
        <f t="shared" si="142"/>
        <v/>
      </c>
      <c r="U488" s="321">
        <f t="shared" si="143"/>
        <v>0</v>
      </c>
      <c r="V488" s="322" t="str">
        <f t="shared" si="144"/>
        <v/>
      </c>
      <c r="W488" s="322" t="str">
        <f t="shared" si="145"/>
        <v/>
      </c>
      <c r="X488" s="321">
        <f t="shared" si="146"/>
        <v>0</v>
      </c>
      <c r="Y488" s="322" t="str">
        <f t="shared" si="147"/>
        <v/>
      </c>
      <c r="Z488" s="322" t="str">
        <f t="shared" si="148"/>
        <v/>
      </c>
      <c r="AA488" s="323" t="str">
        <f t="shared" si="149"/>
        <v/>
      </c>
      <c r="AB488" s="323"/>
      <c r="AC488" s="323"/>
      <c r="AD488" s="323"/>
      <c r="AE488" s="323"/>
      <c r="AF488" s="324" t="str">
        <f t="shared" si="150"/>
        <v/>
      </c>
      <c r="AG488" s="312"/>
      <c r="AH488" s="312"/>
      <c r="AI488" s="325">
        <f t="shared" si="151"/>
        <v>0</v>
      </c>
      <c r="AJ488" s="312"/>
      <c r="AK488" s="312"/>
      <c r="AL488" s="312"/>
      <c r="AM488" s="312"/>
      <c r="AN488" s="312"/>
      <c r="AO488" s="312"/>
      <c r="AP488" s="312"/>
      <c r="AQ488" s="312"/>
      <c r="AR488" s="312"/>
      <c r="AS488" s="312"/>
      <c r="AT488" s="312"/>
      <c r="AU488" s="312"/>
      <c r="AV488" s="312"/>
      <c r="AW488" s="312"/>
      <c r="AX488" s="312"/>
      <c r="AY488" s="312"/>
      <c r="AZ488" s="312"/>
      <c r="BA488" s="312"/>
      <c r="BB488" s="312"/>
      <c r="BC488" s="312"/>
      <c r="BD488" s="312"/>
      <c r="BE488" s="312"/>
      <c r="BF488" s="312"/>
      <c r="BG488" s="312"/>
      <c r="BH488" s="312"/>
      <c r="BI488" s="312"/>
      <c r="BJ488" s="312"/>
      <c r="BK488" s="312"/>
      <c r="BL488" s="312"/>
      <c r="BM488" s="312"/>
      <c r="BN488" s="312"/>
      <c r="BO488" s="312"/>
      <c r="BP488" s="312"/>
      <c r="BQ488" s="312"/>
      <c r="BR488" s="312"/>
      <c r="BS488" s="312"/>
      <c r="BT488" s="312"/>
      <c r="BU488" s="312"/>
      <c r="BV488" s="312"/>
      <c r="BW488" s="312"/>
      <c r="BX488" s="312"/>
      <c r="BY488" s="312"/>
      <c r="BZ488" s="312"/>
      <c r="CA488" s="312"/>
      <c r="CB488" s="312"/>
      <c r="CC488" s="312"/>
      <c r="CD488" s="312"/>
      <c r="CE488" s="312"/>
      <c r="CF488" s="312"/>
      <c r="CG488" s="312"/>
      <c r="CH488" s="312"/>
      <c r="CI488" s="312"/>
      <c r="CJ488" s="312"/>
      <c r="CK488" s="312"/>
      <c r="CL488" s="312"/>
      <c r="CM488" s="312"/>
      <c r="CN488" s="312"/>
      <c r="CO488" s="312"/>
      <c r="CP488" s="312"/>
      <c r="CQ488" s="312"/>
      <c r="CR488" s="312"/>
      <c r="CS488" s="312"/>
      <c r="CT488" s="312"/>
      <c r="CU488" s="312"/>
      <c r="CV488" s="312"/>
      <c r="CW488" s="312"/>
      <c r="CX488" s="312"/>
      <c r="CY488" s="312"/>
      <c r="CZ488" s="312"/>
      <c r="DA488" s="312"/>
      <c r="DB488" s="312"/>
      <c r="DC488" s="312"/>
      <c r="DD488" s="312"/>
      <c r="DE488" s="312"/>
      <c r="DF488" s="312"/>
      <c r="DG488" s="312"/>
      <c r="DH488" s="312"/>
      <c r="DI488" s="312"/>
      <c r="DJ488" s="312"/>
      <c r="DK488" s="312"/>
      <c r="DL488" s="312"/>
      <c r="DM488" s="312"/>
      <c r="DN488" s="312"/>
      <c r="DO488" s="312"/>
      <c r="DP488" s="312"/>
      <c r="DQ488" s="312"/>
      <c r="DR488" s="312"/>
      <c r="DS488" s="312"/>
      <c r="DT488" s="312"/>
      <c r="DU488" s="312"/>
      <c r="DV488" s="312"/>
      <c r="DW488" s="312"/>
      <c r="DX488" s="312"/>
      <c r="DY488" s="312"/>
      <c r="DZ488" s="312"/>
      <c r="EA488" s="312"/>
      <c r="EB488" s="312"/>
      <c r="EC488" s="312"/>
      <c r="ED488" s="312"/>
      <c r="EE488" s="312"/>
      <c r="EF488" s="312"/>
      <c r="EG488" s="312"/>
      <c r="EH488" s="312"/>
      <c r="EI488" s="312"/>
      <c r="EJ488" s="312"/>
      <c r="EK488" s="312"/>
      <c r="EL488" s="312"/>
      <c r="EM488" s="312"/>
      <c r="EN488" s="312"/>
      <c r="EO488" s="312"/>
      <c r="EP488" s="312"/>
      <c r="EQ488" s="312"/>
      <c r="ER488" s="312"/>
      <c r="ES488" s="312"/>
      <c r="ET488" s="312"/>
      <c r="EU488" s="312"/>
      <c r="EV488" s="312"/>
      <c r="EW488" s="312"/>
      <c r="EX488" s="312"/>
      <c r="EY488" s="312"/>
      <c r="EZ488" s="312"/>
      <c r="FA488" s="312"/>
      <c r="FB488" s="312"/>
      <c r="FC488" s="312"/>
      <c r="FD488" s="312"/>
      <c r="FE488" s="312"/>
      <c r="FF488" s="312"/>
      <c r="FG488" s="312"/>
      <c r="FH488" s="312"/>
      <c r="FI488" s="312"/>
      <c r="FJ488" s="312"/>
      <c r="FK488" s="312"/>
      <c r="FL488" s="312"/>
      <c r="FM488" s="312"/>
      <c r="FN488" s="312"/>
      <c r="FO488" s="312"/>
      <c r="FP488" s="312"/>
      <c r="FQ488" s="312"/>
      <c r="FR488" s="312"/>
      <c r="FS488" s="312"/>
      <c r="FT488" s="312"/>
      <c r="FU488" s="312"/>
      <c r="FV488" s="312"/>
      <c r="FW488" s="312"/>
      <c r="FX488" s="312"/>
      <c r="FY488" s="312"/>
      <c r="FZ488" s="312"/>
      <c r="GA488" s="312"/>
      <c r="GB488" s="312"/>
      <c r="GC488" s="312"/>
      <c r="GD488" s="312"/>
      <c r="GE488" s="312"/>
      <c r="GF488" s="312"/>
      <c r="GG488" s="312"/>
      <c r="GH488" s="312"/>
      <c r="GI488" s="312"/>
      <c r="GJ488" s="312"/>
      <c r="GK488" s="312"/>
      <c r="GL488" s="312"/>
      <c r="GM488" s="312"/>
      <c r="GN488" s="312"/>
      <c r="GO488" s="312"/>
      <c r="GP488" s="312"/>
      <c r="GQ488" s="312"/>
      <c r="GR488" s="312"/>
      <c r="GS488" s="312"/>
      <c r="GT488" s="312"/>
      <c r="GU488" s="312"/>
      <c r="GV488" s="312"/>
      <c r="GW488" s="312"/>
      <c r="GX488" s="312"/>
      <c r="GY488" s="312"/>
    </row>
    <row r="489" spans="2:207" ht="15.75" x14ac:dyDescent="0.25">
      <c r="B489" s="316" t="str">
        <f t="shared" si="134"/>
        <v/>
      </c>
      <c r="C489" s="330" t="str">
        <f>'סיכום לוועדה'!B489</f>
        <v/>
      </c>
      <c r="D489" s="330" t="str">
        <f>'סיכום לוועדה'!C489</f>
        <v/>
      </c>
      <c r="E489" s="330" t="str">
        <f>'סיכום לוועדה'!D489</f>
        <v/>
      </c>
      <c r="F489" s="330" t="str">
        <f>'סיכום לוועדה'!E489</f>
        <v/>
      </c>
      <c r="G489" s="330" t="str">
        <f>'סיכום לוועדה'!F489</f>
        <v/>
      </c>
      <c r="H489" s="317" t="str">
        <f>'סיכום לוועדה'!G489</f>
        <v/>
      </c>
      <c r="I489" s="318" t="str">
        <f>'סיכום לוועדה'!U489</f>
        <v/>
      </c>
      <c r="J489" s="319" t="str">
        <f>'סיכום לוועדה'!T489</f>
        <v/>
      </c>
      <c r="K489" s="320" t="str">
        <f t="shared" si="135"/>
        <v/>
      </c>
      <c r="L489" s="319" t="str">
        <f t="shared" si="136"/>
        <v/>
      </c>
      <c r="M489" s="331" t="str">
        <f>'תחום תמיכה ב'!AF489</f>
        <v/>
      </c>
      <c r="N489" s="319" t="str">
        <f t="shared" si="133"/>
        <v/>
      </c>
      <c r="O489" s="321">
        <f t="shared" si="137"/>
        <v>0</v>
      </c>
      <c r="P489" s="322" t="str">
        <f t="shared" si="138"/>
        <v/>
      </c>
      <c r="Q489" s="322" t="str">
        <f t="shared" si="139"/>
        <v/>
      </c>
      <c r="R489" s="321">
        <f t="shared" si="140"/>
        <v>0</v>
      </c>
      <c r="S489" s="322" t="str">
        <f t="shared" si="141"/>
        <v/>
      </c>
      <c r="T489" s="322" t="str">
        <f t="shared" si="142"/>
        <v/>
      </c>
      <c r="U489" s="321">
        <f t="shared" si="143"/>
        <v>0</v>
      </c>
      <c r="V489" s="322" t="str">
        <f t="shared" si="144"/>
        <v/>
      </c>
      <c r="W489" s="322" t="str">
        <f t="shared" si="145"/>
        <v/>
      </c>
      <c r="X489" s="321">
        <f t="shared" si="146"/>
        <v>0</v>
      </c>
      <c r="Y489" s="322" t="str">
        <f t="shared" si="147"/>
        <v/>
      </c>
      <c r="Z489" s="322" t="str">
        <f t="shared" si="148"/>
        <v/>
      </c>
      <c r="AA489" s="323" t="str">
        <f t="shared" si="149"/>
        <v/>
      </c>
      <c r="AB489" s="323"/>
      <c r="AC489" s="323"/>
      <c r="AD489" s="323"/>
      <c r="AE489" s="323"/>
      <c r="AF489" s="324" t="str">
        <f t="shared" si="150"/>
        <v/>
      </c>
      <c r="AG489" s="312"/>
      <c r="AH489" s="312"/>
      <c r="AI489" s="325">
        <f t="shared" si="151"/>
        <v>0</v>
      </c>
      <c r="AJ489" s="312"/>
      <c r="AK489" s="312"/>
      <c r="AL489" s="312"/>
      <c r="AM489" s="312"/>
      <c r="AN489" s="312"/>
      <c r="AO489" s="312"/>
      <c r="AP489" s="312"/>
      <c r="AQ489" s="312"/>
      <c r="AR489" s="312"/>
      <c r="AS489" s="312"/>
      <c r="AT489" s="312"/>
      <c r="AU489" s="312"/>
      <c r="AV489" s="312"/>
      <c r="AW489" s="312"/>
      <c r="AX489" s="312"/>
      <c r="AY489" s="312"/>
      <c r="AZ489" s="312"/>
      <c r="BA489" s="312"/>
      <c r="BB489" s="312"/>
      <c r="BC489" s="312"/>
      <c r="BD489" s="312"/>
      <c r="BE489" s="312"/>
      <c r="BF489" s="312"/>
      <c r="BG489" s="312"/>
      <c r="BH489" s="312"/>
      <c r="BI489" s="312"/>
      <c r="BJ489" s="312"/>
      <c r="BK489" s="312"/>
      <c r="BL489" s="312"/>
      <c r="BM489" s="312"/>
      <c r="BN489" s="312"/>
      <c r="BO489" s="312"/>
      <c r="BP489" s="312"/>
      <c r="BQ489" s="312"/>
      <c r="BR489" s="312"/>
      <c r="BS489" s="312"/>
      <c r="BT489" s="312"/>
      <c r="BU489" s="312"/>
      <c r="BV489" s="312"/>
      <c r="BW489" s="312"/>
      <c r="BX489" s="312"/>
      <c r="BY489" s="312"/>
      <c r="BZ489" s="312"/>
      <c r="CA489" s="312"/>
      <c r="CB489" s="312"/>
      <c r="CC489" s="312"/>
      <c r="CD489" s="312"/>
      <c r="CE489" s="312"/>
      <c r="CF489" s="312"/>
      <c r="CG489" s="312"/>
      <c r="CH489" s="312"/>
      <c r="CI489" s="312"/>
      <c r="CJ489" s="312"/>
      <c r="CK489" s="312"/>
      <c r="CL489" s="312"/>
      <c r="CM489" s="312"/>
      <c r="CN489" s="312"/>
      <c r="CO489" s="312"/>
      <c r="CP489" s="312"/>
      <c r="CQ489" s="312"/>
      <c r="CR489" s="312"/>
      <c r="CS489" s="312"/>
      <c r="CT489" s="312"/>
      <c r="CU489" s="312"/>
      <c r="CV489" s="312"/>
      <c r="CW489" s="312"/>
      <c r="CX489" s="312"/>
      <c r="CY489" s="312"/>
      <c r="CZ489" s="312"/>
      <c r="DA489" s="312"/>
      <c r="DB489" s="312"/>
      <c r="DC489" s="312"/>
      <c r="DD489" s="312"/>
      <c r="DE489" s="312"/>
      <c r="DF489" s="312"/>
      <c r="DG489" s="312"/>
      <c r="DH489" s="312"/>
      <c r="DI489" s="312"/>
      <c r="DJ489" s="312"/>
      <c r="DK489" s="312"/>
      <c r="DL489" s="312"/>
      <c r="DM489" s="312"/>
      <c r="DN489" s="312"/>
      <c r="DO489" s="312"/>
      <c r="DP489" s="312"/>
      <c r="DQ489" s="312"/>
      <c r="DR489" s="312"/>
      <c r="DS489" s="312"/>
      <c r="DT489" s="312"/>
      <c r="DU489" s="312"/>
      <c r="DV489" s="312"/>
      <c r="DW489" s="312"/>
      <c r="DX489" s="312"/>
      <c r="DY489" s="312"/>
      <c r="DZ489" s="312"/>
      <c r="EA489" s="312"/>
      <c r="EB489" s="312"/>
      <c r="EC489" s="312"/>
      <c r="ED489" s="312"/>
      <c r="EE489" s="312"/>
      <c r="EF489" s="312"/>
      <c r="EG489" s="312"/>
      <c r="EH489" s="312"/>
      <c r="EI489" s="312"/>
      <c r="EJ489" s="312"/>
      <c r="EK489" s="312"/>
      <c r="EL489" s="312"/>
      <c r="EM489" s="312"/>
      <c r="EN489" s="312"/>
      <c r="EO489" s="312"/>
      <c r="EP489" s="312"/>
      <c r="EQ489" s="312"/>
      <c r="ER489" s="312"/>
      <c r="ES489" s="312"/>
      <c r="ET489" s="312"/>
      <c r="EU489" s="312"/>
      <c r="EV489" s="312"/>
      <c r="EW489" s="312"/>
      <c r="EX489" s="312"/>
      <c r="EY489" s="312"/>
      <c r="EZ489" s="312"/>
      <c r="FA489" s="312"/>
      <c r="FB489" s="312"/>
      <c r="FC489" s="312"/>
      <c r="FD489" s="312"/>
      <c r="FE489" s="312"/>
      <c r="FF489" s="312"/>
      <c r="FG489" s="312"/>
      <c r="FH489" s="312"/>
      <c r="FI489" s="312"/>
      <c r="FJ489" s="312"/>
      <c r="FK489" s="312"/>
      <c r="FL489" s="312"/>
      <c r="FM489" s="312"/>
      <c r="FN489" s="312"/>
      <c r="FO489" s="312"/>
      <c r="FP489" s="312"/>
      <c r="FQ489" s="312"/>
      <c r="FR489" s="312"/>
      <c r="FS489" s="312"/>
      <c r="FT489" s="312"/>
      <c r="FU489" s="312"/>
      <c r="FV489" s="312"/>
      <c r="FW489" s="312"/>
      <c r="FX489" s="312"/>
      <c r="FY489" s="312"/>
      <c r="FZ489" s="312"/>
      <c r="GA489" s="312"/>
      <c r="GB489" s="312"/>
      <c r="GC489" s="312"/>
      <c r="GD489" s="312"/>
      <c r="GE489" s="312"/>
      <c r="GF489" s="312"/>
      <c r="GG489" s="312"/>
      <c r="GH489" s="312"/>
      <c r="GI489" s="312"/>
      <c r="GJ489" s="312"/>
      <c r="GK489" s="312"/>
      <c r="GL489" s="312"/>
      <c r="GM489" s="312"/>
      <c r="GN489" s="312"/>
      <c r="GO489" s="312"/>
      <c r="GP489" s="312"/>
      <c r="GQ489" s="312"/>
      <c r="GR489" s="312"/>
      <c r="GS489" s="312"/>
      <c r="GT489" s="312"/>
      <c r="GU489" s="312"/>
      <c r="GV489" s="312"/>
      <c r="GW489" s="312"/>
      <c r="GX489" s="312"/>
      <c r="GY489" s="312"/>
    </row>
    <row r="490" spans="2:207" ht="15.75" x14ac:dyDescent="0.25">
      <c r="B490" s="316" t="str">
        <f t="shared" si="134"/>
        <v/>
      </c>
      <c r="C490" s="330" t="str">
        <f>'סיכום לוועדה'!B490</f>
        <v/>
      </c>
      <c r="D490" s="330" t="str">
        <f>'סיכום לוועדה'!C490</f>
        <v/>
      </c>
      <c r="E490" s="330" t="str">
        <f>'סיכום לוועדה'!D490</f>
        <v/>
      </c>
      <c r="F490" s="330" t="str">
        <f>'סיכום לוועדה'!E490</f>
        <v/>
      </c>
      <c r="G490" s="330" t="str">
        <f>'סיכום לוועדה'!F490</f>
        <v/>
      </c>
      <c r="H490" s="317" t="str">
        <f>'סיכום לוועדה'!G490</f>
        <v/>
      </c>
      <c r="I490" s="318" t="str">
        <f>'סיכום לוועדה'!U490</f>
        <v/>
      </c>
      <c r="J490" s="319" t="str">
        <f>'סיכום לוועדה'!T490</f>
        <v/>
      </c>
      <c r="K490" s="320" t="str">
        <f t="shared" si="135"/>
        <v/>
      </c>
      <c r="L490" s="319" t="str">
        <f t="shared" si="136"/>
        <v/>
      </c>
      <c r="M490" s="331" t="str">
        <f>'תחום תמיכה ב'!AF490</f>
        <v/>
      </c>
      <c r="N490" s="319" t="str">
        <f t="shared" si="133"/>
        <v/>
      </c>
      <c r="O490" s="321">
        <f t="shared" si="137"/>
        <v>0</v>
      </c>
      <c r="P490" s="322" t="str">
        <f t="shared" si="138"/>
        <v/>
      </c>
      <c r="Q490" s="322" t="str">
        <f t="shared" si="139"/>
        <v/>
      </c>
      <c r="R490" s="321">
        <f t="shared" si="140"/>
        <v>0</v>
      </c>
      <c r="S490" s="322" t="str">
        <f t="shared" si="141"/>
        <v/>
      </c>
      <c r="T490" s="322" t="str">
        <f t="shared" si="142"/>
        <v/>
      </c>
      <c r="U490" s="321">
        <f t="shared" si="143"/>
        <v>0</v>
      </c>
      <c r="V490" s="322" t="str">
        <f t="shared" si="144"/>
        <v/>
      </c>
      <c r="W490" s="322" t="str">
        <f t="shared" si="145"/>
        <v/>
      </c>
      <c r="X490" s="321">
        <f t="shared" si="146"/>
        <v>0</v>
      </c>
      <c r="Y490" s="322" t="str">
        <f t="shared" si="147"/>
        <v/>
      </c>
      <c r="Z490" s="322" t="str">
        <f t="shared" si="148"/>
        <v/>
      </c>
      <c r="AA490" s="323" t="str">
        <f t="shared" si="149"/>
        <v/>
      </c>
      <c r="AB490" s="323"/>
      <c r="AC490" s="323"/>
      <c r="AD490" s="323"/>
      <c r="AE490" s="323"/>
      <c r="AF490" s="324" t="str">
        <f t="shared" si="150"/>
        <v/>
      </c>
      <c r="AG490" s="312"/>
      <c r="AH490" s="312"/>
      <c r="AI490" s="325">
        <f t="shared" si="151"/>
        <v>0</v>
      </c>
      <c r="AJ490" s="312"/>
      <c r="AK490" s="312"/>
      <c r="AL490" s="312"/>
      <c r="AM490" s="312"/>
      <c r="AN490" s="312"/>
      <c r="AO490" s="312"/>
      <c r="AP490" s="312"/>
      <c r="AQ490" s="312"/>
      <c r="AR490" s="312"/>
      <c r="AS490" s="312"/>
      <c r="AT490" s="312"/>
      <c r="AU490" s="312"/>
      <c r="AV490" s="312"/>
      <c r="AW490" s="312"/>
      <c r="AX490" s="312"/>
      <c r="AY490" s="312"/>
      <c r="AZ490" s="312"/>
      <c r="BA490" s="312"/>
      <c r="BB490" s="312"/>
      <c r="BC490" s="312"/>
      <c r="BD490" s="312"/>
      <c r="BE490" s="312"/>
      <c r="BF490" s="312"/>
      <c r="BG490" s="312"/>
      <c r="BH490" s="312"/>
      <c r="BI490" s="312"/>
      <c r="BJ490" s="312"/>
      <c r="BK490" s="312"/>
      <c r="BL490" s="312"/>
      <c r="BM490" s="312"/>
      <c r="BN490" s="312"/>
      <c r="BO490" s="312"/>
      <c r="BP490" s="312"/>
      <c r="BQ490" s="312"/>
      <c r="BR490" s="312"/>
      <c r="BS490" s="312"/>
      <c r="BT490" s="312"/>
      <c r="BU490" s="312"/>
      <c r="BV490" s="312"/>
      <c r="BW490" s="312"/>
      <c r="BX490" s="312"/>
      <c r="BY490" s="312"/>
      <c r="BZ490" s="312"/>
      <c r="CA490" s="312"/>
      <c r="CB490" s="312"/>
      <c r="CC490" s="312"/>
      <c r="CD490" s="312"/>
      <c r="CE490" s="312"/>
      <c r="CF490" s="312"/>
      <c r="CG490" s="312"/>
      <c r="CH490" s="312"/>
      <c r="CI490" s="312"/>
      <c r="CJ490" s="312"/>
      <c r="CK490" s="312"/>
      <c r="CL490" s="312"/>
      <c r="CM490" s="312"/>
      <c r="CN490" s="312"/>
      <c r="CO490" s="312"/>
      <c r="CP490" s="312"/>
      <c r="CQ490" s="312"/>
      <c r="CR490" s="312"/>
      <c r="CS490" s="312"/>
      <c r="CT490" s="312"/>
      <c r="CU490" s="312"/>
      <c r="CV490" s="312"/>
      <c r="CW490" s="312"/>
      <c r="CX490" s="312"/>
      <c r="CY490" s="312"/>
      <c r="CZ490" s="312"/>
      <c r="DA490" s="312"/>
      <c r="DB490" s="312"/>
      <c r="DC490" s="312"/>
      <c r="DD490" s="312"/>
      <c r="DE490" s="312"/>
      <c r="DF490" s="312"/>
      <c r="DG490" s="312"/>
      <c r="DH490" s="312"/>
      <c r="DI490" s="312"/>
      <c r="DJ490" s="312"/>
      <c r="DK490" s="312"/>
      <c r="DL490" s="312"/>
      <c r="DM490" s="312"/>
      <c r="DN490" s="312"/>
      <c r="DO490" s="312"/>
      <c r="DP490" s="312"/>
      <c r="DQ490" s="312"/>
      <c r="DR490" s="312"/>
      <c r="DS490" s="312"/>
      <c r="DT490" s="312"/>
      <c r="DU490" s="312"/>
      <c r="DV490" s="312"/>
      <c r="DW490" s="312"/>
      <c r="DX490" s="312"/>
      <c r="DY490" s="312"/>
      <c r="DZ490" s="312"/>
      <c r="EA490" s="312"/>
      <c r="EB490" s="312"/>
      <c r="EC490" s="312"/>
      <c r="ED490" s="312"/>
      <c r="EE490" s="312"/>
      <c r="EF490" s="312"/>
      <c r="EG490" s="312"/>
      <c r="EH490" s="312"/>
      <c r="EI490" s="312"/>
      <c r="EJ490" s="312"/>
      <c r="EK490" s="312"/>
      <c r="EL490" s="312"/>
      <c r="EM490" s="312"/>
      <c r="EN490" s="312"/>
      <c r="EO490" s="312"/>
      <c r="EP490" s="312"/>
      <c r="EQ490" s="312"/>
      <c r="ER490" s="312"/>
      <c r="ES490" s="312"/>
      <c r="ET490" s="312"/>
      <c r="EU490" s="312"/>
      <c r="EV490" s="312"/>
      <c r="EW490" s="312"/>
      <c r="EX490" s="312"/>
      <c r="EY490" s="312"/>
      <c r="EZ490" s="312"/>
      <c r="FA490" s="312"/>
      <c r="FB490" s="312"/>
      <c r="FC490" s="312"/>
      <c r="FD490" s="312"/>
      <c r="FE490" s="312"/>
      <c r="FF490" s="312"/>
      <c r="FG490" s="312"/>
      <c r="FH490" s="312"/>
      <c r="FI490" s="312"/>
      <c r="FJ490" s="312"/>
      <c r="FK490" s="312"/>
      <c r="FL490" s="312"/>
      <c r="FM490" s="312"/>
      <c r="FN490" s="312"/>
      <c r="FO490" s="312"/>
      <c r="FP490" s="312"/>
      <c r="FQ490" s="312"/>
      <c r="FR490" s="312"/>
      <c r="FS490" s="312"/>
      <c r="FT490" s="312"/>
      <c r="FU490" s="312"/>
      <c r="FV490" s="312"/>
      <c r="FW490" s="312"/>
      <c r="FX490" s="312"/>
      <c r="FY490" s="312"/>
      <c r="FZ490" s="312"/>
      <c r="GA490" s="312"/>
      <c r="GB490" s="312"/>
      <c r="GC490" s="312"/>
      <c r="GD490" s="312"/>
      <c r="GE490" s="312"/>
      <c r="GF490" s="312"/>
      <c r="GG490" s="312"/>
      <c r="GH490" s="312"/>
      <c r="GI490" s="312"/>
      <c r="GJ490" s="312"/>
      <c r="GK490" s="312"/>
      <c r="GL490" s="312"/>
      <c r="GM490" s="312"/>
      <c r="GN490" s="312"/>
      <c r="GO490" s="312"/>
      <c r="GP490" s="312"/>
      <c r="GQ490" s="312"/>
      <c r="GR490" s="312"/>
      <c r="GS490" s="312"/>
      <c r="GT490" s="312"/>
      <c r="GU490" s="312"/>
      <c r="GV490" s="312"/>
      <c r="GW490" s="312"/>
      <c r="GX490" s="312"/>
      <c r="GY490" s="312"/>
    </row>
    <row r="491" spans="2:207" ht="15.75" x14ac:dyDescent="0.25">
      <c r="B491" s="316" t="str">
        <f t="shared" si="134"/>
        <v/>
      </c>
      <c r="C491" s="330" t="str">
        <f>'סיכום לוועדה'!B491</f>
        <v/>
      </c>
      <c r="D491" s="330" t="str">
        <f>'סיכום לוועדה'!C491</f>
        <v/>
      </c>
      <c r="E491" s="330" t="str">
        <f>'סיכום לוועדה'!D491</f>
        <v/>
      </c>
      <c r="F491" s="330" t="str">
        <f>'סיכום לוועדה'!E491</f>
        <v/>
      </c>
      <c r="G491" s="330" t="str">
        <f>'סיכום לוועדה'!F491</f>
        <v/>
      </c>
      <c r="H491" s="317" t="str">
        <f>'סיכום לוועדה'!G491</f>
        <v/>
      </c>
      <c r="I491" s="318" t="str">
        <f>'סיכום לוועדה'!U491</f>
        <v/>
      </c>
      <c r="J491" s="319" t="str">
        <f>'סיכום לוועדה'!T491</f>
        <v/>
      </c>
      <c r="K491" s="320" t="str">
        <f t="shared" si="135"/>
        <v/>
      </c>
      <c r="L491" s="319" t="str">
        <f t="shared" si="136"/>
        <v/>
      </c>
      <c r="M491" s="331" t="str">
        <f>'תחום תמיכה ב'!AF491</f>
        <v/>
      </c>
      <c r="N491" s="319" t="str">
        <f t="shared" si="133"/>
        <v/>
      </c>
      <c r="O491" s="321">
        <f t="shared" si="137"/>
        <v>0</v>
      </c>
      <c r="P491" s="322" t="str">
        <f t="shared" si="138"/>
        <v/>
      </c>
      <c r="Q491" s="322" t="str">
        <f t="shared" si="139"/>
        <v/>
      </c>
      <c r="R491" s="321">
        <f t="shared" si="140"/>
        <v>0</v>
      </c>
      <c r="S491" s="322" t="str">
        <f t="shared" si="141"/>
        <v/>
      </c>
      <c r="T491" s="322" t="str">
        <f t="shared" si="142"/>
        <v/>
      </c>
      <c r="U491" s="321">
        <f t="shared" si="143"/>
        <v>0</v>
      </c>
      <c r="V491" s="322" t="str">
        <f t="shared" si="144"/>
        <v/>
      </c>
      <c r="W491" s="322" t="str">
        <f t="shared" si="145"/>
        <v/>
      </c>
      <c r="X491" s="321">
        <f t="shared" si="146"/>
        <v>0</v>
      </c>
      <c r="Y491" s="322" t="str">
        <f t="shared" si="147"/>
        <v/>
      </c>
      <c r="Z491" s="322" t="str">
        <f t="shared" si="148"/>
        <v/>
      </c>
      <c r="AA491" s="323" t="str">
        <f t="shared" si="149"/>
        <v/>
      </c>
      <c r="AB491" s="323"/>
      <c r="AC491" s="323"/>
      <c r="AD491" s="323"/>
      <c r="AE491" s="323"/>
      <c r="AF491" s="324" t="str">
        <f t="shared" si="150"/>
        <v/>
      </c>
      <c r="AG491" s="312"/>
      <c r="AH491" s="312"/>
      <c r="AI491" s="325">
        <f t="shared" si="151"/>
        <v>0</v>
      </c>
      <c r="AJ491" s="312"/>
      <c r="AK491" s="312"/>
      <c r="AL491" s="312"/>
      <c r="AM491" s="312"/>
      <c r="AN491" s="312"/>
      <c r="AO491" s="312"/>
      <c r="AP491" s="312"/>
      <c r="AQ491" s="312"/>
      <c r="AR491" s="312"/>
      <c r="AS491" s="312"/>
      <c r="AT491" s="312"/>
      <c r="AU491" s="312"/>
      <c r="AV491" s="312"/>
      <c r="AW491" s="312"/>
      <c r="AX491" s="312"/>
      <c r="AY491" s="312"/>
      <c r="AZ491" s="312"/>
      <c r="BA491" s="312"/>
      <c r="BB491" s="312"/>
      <c r="BC491" s="312"/>
      <c r="BD491" s="312"/>
      <c r="BE491" s="312"/>
      <c r="BF491" s="312"/>
      <c r="BG491" s="312"/>
      <c r="BH491" s="312"/>
      <c r="BI491" s="312"/>
      <c r="BJ491" s="312"/>
      <c r="BK491" s="312"/>
      <c r="BL491" s="312"/>
      <c r="BM491" s="312"/>
      <c r="BN491" s="312"/>
      <c r="BO491" s="312"/>
      <c r="BP491" s="312"/>
      <c r="BQ491" s="312"/>
      <c r="BR491" s="312"/>
      <c r="BS491" s="312"/>
      <c r="BT491" s="312"/>
      <c r="BU491" s="312"/>
      <c r="BV491" s="312"/>
      <c r="BW491" s="312"/>
      <c r="BX491" s="312"/>
      <c r="BY491" s="312"/>
      <c r="BZ491" s="312"/>
      <c r="CA491" s="312"/>
      <c r="CB491" s="312"/>
      <c r="CC491" s="312"/>
      <c r="CD491" s="312"/>
      <c r="CE491" s="312"/>
      <c r="CF491" s="312"/>
      <c r="CG491" s="312"/>
      <c r="CH491" s="312"/>
      <c r="CI491" s="312"/>
      <c r="CJ491" s="312"/>
      <c r="CK491" s="312"/>
      <c r="CL491" s="312"/>
      <c r="CM491" s="312"/>
      <c r="CN491" s="312"/>
      <c r="CO491" s="312"/>
      <c r="CP491" s="312"/>
      <c r="CQ491" s="312"/>
      <c r="CR491" s="312"/>
      <c r="CS491" s="312"/>
      <c r="CT491" s="312"/>
      <c r="CU491" s="312"/>
      <c r="CV491" s="312"/>
      <c r="CW491" s="312"/>
      <c r="CX491" s="312"/>
      <c r="CY491" s="312"/>
      <c r="CZ491" s="312"/>
      <c r="DA491" s="312"/>
      <c r="DB491" s="312"/>
      <c r="DC491" s="312"/>
      <c r="DD491" s="312"/>
      <c r="DE491" s="312"/>
      <c r="DF491" s="312"/>
      <c r="DG491" s="312"/>
      <c r="DH491" s="312"/>
      <c r="DI491" s="312"/>
      <c r="DJ491" s="312"/>
      <c r="DK491" s="312"/>
      <c r="DL491" s="312"/>
      <c r="DM491" s="312"/>
      <c r="DN491" s="312"/>
      <c r="DO491" s="312"/>
      <c r="DP491" s="312"/>
      <c r="DQ491" s="312"/>
      <c r="DR491" s="312"/>
      <c r="DS491" s="312"/>
      <c r="DT491" s="312"/>
      <c r="DU491" s="312"/>
      <c r="DV491" s="312"/>
      <c r="DW491" s="312"/>
      <c r="DX491" s="312"/>
      <c r="DY491" s="312"/>
      <c r="DZ491" s="312"/>
      <c r="EA491" s="312"/>
      <c r="EB491" s="312"/>
      <c r="EC491" s="312"/>
      <c r="ED491" s="312"/>
      <c r="EE491" s="312"/>
      <c r="EF491" s="312"/>
      <c r="EG491" s="312"/>
      <c r="EH491" s="312"/>
      <c r="EI491" s="312"/>
      <c r="EJ491" s="312"/>
      <c r="EK491" s="312"/>
      <c r="EL491" s="312"/>
      <c r="EM491" s="312"/>
      <c r="EN491" s="312"/>
      <c r="EO491" s="312"/>
      <c r="EP491" s="312"/>
      <c r="EQ491" s="312"/>
      <c r="ER491" s="312"/>
      <c r="ES491" s="312"/>
      <c r="ET491" s="312"/>
      <c r="EU491" s="312"/>
      <c r="EV491" s="312"/>
      <c r="EW491" s="312"/>
      <c r="EX491" s="312"/>
      <c r="EY491" s="312"/>
      <c r="EZ491" s="312"/>
      <c r="FA491" s="312"/>
      <c r="FB491" s="312"/>
      <c r="FC491" s="312"/>
      <c r="FD491" s="312"/>
      <c r="FE491" s="312"/>
      <c r="FF491" s="312"/>
      <c r="FG491" s="312"/>
      <c r="FH491" s="312"/>
      <c r="FI491" s="312"/>
      <c r="FJ491" s="312"/>
      <c r="FK491" s="312"/>
      <c r="FL491" s="312"/>
      <c r="FM491" s="312"/>
      <c r="FN491" s="312"/>
      <c r="FO491" s="312"/>
      <c r="FP491" s="312"/>
      <c r="FQ491" s="312"/>
      <c r="FR491" s="312"/>
      <c r="FS491" s="312"/>
      <c r="FT491" s="312"/>
      <c r="FU491" s="312"/>
      <c r="FV491" s="312"/>
      <c r="FW491" s="312"/>
      <c r="FX491" s="312"/>
      <c r="FY491" s="312"/>
      <c r="FZ491" s="312"/>
      <c r="GA491" s="312"/>
      <c r="GB491" s="312"/>
      <c r="GC491" s="312"/>
      <c r="GD491" s="312"/>
      <c r="GE491" s="312"/>
      <c r="GF491" s="312"/>
      <c r="GG491" s="312"/>
      <c r="GH491" s="312"/>
      <c r="GI491" s="312"/>
      <c r="GJ491" s="312"/>
      <c r="GK491" s="312"/>
      <c r="GL491" s="312"/>
      <c r="GM491" s="312"/>
      <c r="GN491" s="312"/>
      <c r="GO491" s="312"/>
      <c r="GP491" s="312"/>
      <c r="GQ491" s="312"/>
      <c r="GR491" s="312"/>
      <c r="GS491" s="312"/>
      <c r="GT491" s="312"/>
      <c r="GU491" s="312"/>
      <c r="GV491" s="312"/>
      <c r="GW491" s="312"/>
      <c r="GX491" s="312"/>
      <c r="GY491" s="312"/>
    </row>
    <row r="492" spans="2:207" ht="15.75" x14ac:dyDescent="0.25">
      <c r="B492" s="316" t="str">
        <f t="shared" si="134"/>
        <v/>
      </c>
      <c r="C492" s="330" t="str">
        <f>'סיכום לוועדה'!B492</f>
        <v/>
      </c>
      <c r="D492" s="330" t="str">
        <f>'סיכום לוועדה'!C492</f>
        <v/>
      </c>
      <c r="E492" s="330" t="str">
        <f>'סיכום לוועדה'!D492</f>
        <v/>
      </c>
      <c r="F492" s="330" t="str">
        <f>'סיכום לוועדה'!E492</f>
        <v/>
      </c>
      <c r="G492" s="330" t="str">
        <f>'סיכום לוועדה'!F492</f>
        <v/>
      </c>
      <c r="H492" s="317" t="str">
        <f>'סיכום לוועדה'!G492</f>
        <v/>
      </c>
      <c r="I492" s="318" t="str">
        <f>'סיכום לוועדה'!U492</f>
        <v/>
      </c>
      <c r="J492" s="319" t="str">
        <f>'סיכום לוועדה'!T492</f>
        <v/>
      </c>
      <c r="K492" s="320" t="str">
        <f t="shared" si="135"/>
        <v/>
      </c>
      <c r="L492" s="319" t="str">
        <f t="shared" si="136"/>
        <v/>
      </c>
      <c r="M492" s="331" t="str">
        <f>'תחום תמיכה ב'!AF492</f>
        <v/>
      </c>
      <c r="N492" s="319" t="str">
        <f t="shared" si="133"/>
        <v/>
      </c>
      <c r="O492" s="321">
        <f t="shared" si="137"/>
        <v>0</v>
      </c>
      <c r="P492" s="322" t="str">
        <f t="shared" si="138"/>
        <v/>
      </c>
      <c r="Q492" s="322" t="str">
        <f t="shared" si="139"/>
        <v/>
      </c>
      <c r="R492" s="321">
        <f t="shared" si="140"/>
        <v>0</v>
      </c>
      <c r="S492" s="322" t="str">
        <f t="shared" si="141"/>
        <v/>
      </c>
      <c r="T492" s="322" t="str">
        <f t="shared" si="142"/>
        <v/>
      </c>
      <c r="U492" s="321">
        <f t="shared" si="143"/>
        <v>0</v>
      </c>
      <c r="V492" s="322" t="str">
        <f t="shared" si="144"/>
        <v/>
      </c>
      <c r="W492" s="322" t="str">
        <f t="shared" si="145"/>
        <v/>
      </c>
      <c r="X492" s="321">
        <f t="shared" si="146"/>
        <v>0</v>
      </c>
      <c r="Y492" s="322" t="str">
        <f t="shared" si="147"/>
        <v/>
      </c>
      <c r="Z492" s="322" t="str">
        <f t="shared" si="148"/>
        <v/>
      </c>
      <c r="AA492" s="323" t="str">
        <f t="shared" si="149"/>
        <v/>
      </c>
      <c r="AB492" s="323"/>
      <c r="AC492" s="323"/>
      <c r="AD492" s="323"/>
      <c r="AE492" s="323"/>
      <c r="AF492" s="324" t="str">
        <f t="shared" si="150"/>
        <v/>
      </c>
      <c r="AG492" s="312"/>
      <c r="AH492" s="312"/>
      <c r="AI492" s="325">
        <f t="shared" si="151"/>
        <v>0</v>
      </c>
      <c r="AJ492" s="312"/>
      <c r="AK492" s="312"/>
      <c r="AL492" s="312"/>
      <c r="AM492" s="312"/>
      <c r="AN492" s="312"/>
      <c r="AO492" s="312"/>
      <c r="AP492" s="312"/>
      <c r="AQ492" s="312"/>
      <c r="AR492" s="312"/>
      <c r="AS492" s="312"/>
      <c r="AT492" s="312"/>
      <c r="AU492" s="312"/>
      <c r="AV492" s="312"/>
      <c r="AW492" s="312"/>
      <c r="AX492" s="312"/>
      <c r="AY492" s="312"/>
      <c r="AZ492" s="312"/>
      <c r="BA492" s="312"/>
      <c r="BB492" s="312"/>
      <c r="BC492" s="312"/>
      <c r="BD492" s="312"/>
      <c r="BE492" s="312"/>
      <c r="BF492" s="312"/>
      <c r="BG492" s="312"/>
      <c r="BH492" s="312"/>
      <c r="BI492" s="312"/>
      <c r="BJ492" s="312"/>
      <c r="BK492" s="312"/>
      <c r="BL492" s="312"/>
      <c r="BM492" s="312"/>
      <c r="BN492" s="312"/>
      <c r="BO492" s="312"/>
      <c r="BP492" s="312"/>
      <c r="BQ492" s="312"/>
      <c r="BR492" s="312"/>
      <c r="BS492" s="312"/>
      <c r="BT492" s="312"/>
      <c r="BU492" s="312"/>
      <c r="BV492" s="312"/>
      <c r="BW492" s="312"/>
      <c r="BX492" s="312"/>
      <c r="BY492" s="312"/>
      <c r="BZ492" s="312"/>
      <c r="CA492" s="312"/>
      <c r="CB492" s="312"/>
      <c r="CC492" s="312"/>
      <c r="CD492" s="312"/>
      <c r="CE492" s="312"/>
      <c r="CF492" s="312"/>
      <c r="CG492" s="312"/>
      <c r="CH492" s="312"/>
      <c r="CI492" s="312"/>
      <c r="CJ492" s="312"/>
      <c r="CK492" s="312"/>
      <c r="CL492" s="312"/>
      <c r="CM492" s="312"/>
      <c r="CN492" s="312"/>
      <c r="CO492" s="312"/>
      <c r="CP492" s="312"/>
      <c r="CQ492" s="312"/>
      <c r="CR492" s="312"/>
      <c r="CS492" s="312"/>
      <c r="CT492" s="312"/>
      <c r="CU492" s="312"/>
      <c r="CV492" s="312"/>
      <c r="CW492" s="312"/>
      <c r="CX492" s="312"/>
      <c r="CY492" s="312"/>
      <c r="CZ492" s="312"/>
      <c r="DA492" s="312"/>
      <c r="DB492" s="312"/>
      <c r="DC492" s="312"/>
      <c r="DD492" s="312"/>
      <c r="DE492" s="312"/>
      <c r="DF492" s="312"/>
      <c r="DG492" s="312"/>
      <c r="DH492" s="312"/>
      <c r="DI492" s="312"/>
      <c r="DJ492" s="312"/>
      <c r="DK492" s="312"/>
      <c r="DL492" s="312"/>
      <c r="DM492" s="312"/>
      <c r="DN492" s="312"/>
      <c r="DO492" s="312"/>
      <c r="DP492" s="312"/>
      <c r="DQ492" s="312"/>
      <c r="DR492" s="312"/>
      <c r="DS492" s="312"/>
      <c r="DT492" s="312"/>
      <c r="DU492" s="312"/>
      <c r="DV492" s="312"/>
      <c r="DW492" s="312"/>
      <c r="DX492" s="312"/>
      <c r="DY492" s="312"/>
      <c r="DZ492" s="312"/>
      <c r="EA492" s="312"/>
      <c r="EB492" s="312"/>
      <c r="EC492" s="312"/>
      <c r="ED492" s="312"/>
      <c r="EE492" s="312"/>
      <c r="EF492" s="312"/>
      <c r="EG492" s="312"/>
      <c r="EH492" s="312"/>
      <c r="EI492" s="312"/>
      <c r="EJ492" s="312"/>
      <c r="EK492" s="312"/>
      <c r="EL492" s="312"/>
      <c r="EM492" s="312"/>
      <c r="EN492" s="312"/>
      <c r="EO492" s="312"/>
      <c r="EP492" s="312"/>
      <c r="EQ492" s="312"/>
      <c r="ER492" s="312"/>
      <c r="ES492" s="312"/>
      <c r="ET492" s="312"/>
      <c r="EU492" s="312"/>
      <c r="EV492" s="312"/>
      <c r="EW492" s="312"/>
      <c r="EX492" s="312"/>
      <c r="EY492" s="312"/>
      <c r="EZ492" s="312"/>
      <c r="FA492" s="312"/>
      <c r="FB492" s="312"/>
      <c r="FC492" s="312"/>
      <c r="FD492" s="312"/>
      <c r="FE492" s="312"/>
      <c r="FF492" s="312"/>
      <c r="FG492" s="312"/>
      <c r="FH492" s="312"/>
      <c r="FI492" s="312"/>
      <c r="FJ492" s="312"/>
      <c r="FK492" s="312"/>
      <c r="FL492" s="312"/>
      <c r="FM492" s="312"/>
      <c r="FN492" s="312"/>
      <c r="FO492" s="312"/>
      <c r="FP492" s="312"/>
      <c r="FQ492" s="312"/>
      <c r="FR492" s="312"/>
      <c r="FS492" s="312"/>
      <c r="FT492" s="312"/>
      <c r="FU492" s="312"/>
      <c r="FV492" s="312"/>
      <c r="FW492" s="312"/>
      <c r="FX492" s="312"/>
      <c r="FY492" s="312"/>
      <c r="FZ492" s="312"/>
      <c r="GA492" s="312"/>
      <c r="GB492" s="312"/>
      <c r="GC492" s="312"/>
      <c r="GD492" s="312"/>
      <c r="GE492" s="312"/>
      <c r="GF492" s="312"/>
      <c r="GG492" s="312"/>
      <c r="GH492" s="312"/>
      <c r="GI492" s="312"/>
      <c r="GJ492" s="312"/>
      <c r="GK492" s="312"/>
      <c r="GL492" s="312"/>
      <c r="GM492" s="312"/>
      <c r="GN492" s="312"/>
      <c r="GO492" s="312"/>
      <c r="GP492" s="312"/>
      <c r="GQ492" s="312"/>
      <c r="GR492" s="312"/>
      <c r="GS492" s="312"/>
      <c r="GT492" s="312"/>
      <c r="GU492" s="312"/>
      <c r="GV492" s="312"/>
      <c r="GW492" s="312"/>
      <c r="GX492" s="312"/>
      <c r="GY492" s="312"/>
    </row>
    <row r="493" spans="2:207" ht="15.75" x14ac:dyDescent="0.25">
      <c r="B493" s="316" t="str">
        <f t="shared" si="134"/>
        <v/>
      </c>
      <c r="C493" s="330" t="str">
        <f>'סיכום לוועדה'!B493</f>
        <v/>
      </c>
      <c r="D493" s="330" t="str">
        <f>'סיכום לוועדה'!C493</f>
        <v/>
      </c>
      <c r="E493" s="330" t="str">
        <f>'סיכום לוועדה'!D493</f>
        <v/>
      </c>
      <c r="F493" s="330" t="str">
        <f>'סיכום לוועדה'!E493</f>
        <v/>
      </c>
      <c r="G493" s="330" t="str">
        <f>'סיכום לוועדה'!F493</f>
        <v/>
      </c>
      <c r="H493" s="317" t="str">
        <f>'סיכום לוועדה'!G493</f>
        <v/>
      </c>
      <c r="I493" s="318" t="str">
        <f>'סיכום לוועדה'!U493</f>
        <v/>
      </c>
      <c r="J493" s="319" t="str">
        <f>'סיכום לוועדה'!T493</f>
        <v/>
      </c>
      <c r="K493" s="320" t="str">
        <f t="shared" si="135"/>
        <v/>
      </c>
      <c r="L493" s="319" t="str">
        <f t="shared" si="136"/>
        <v/>
      </c>
      <c r="M493" s="331" t="str">
        <f>'תחום תמיכה ב'!AF493</f>
        <v/>
      </c>
      <c r="N493" s="319" t="str">
        <f t="shared" si="133"/>
        <v/>
      </c>
      <c r="O493" s="321">
        <f t="shared" si="137"/>
        <v>0</v>
      </c>
      <c r="P493" s="322" t="str">
        <f t="shared" si="138"/>
        <v/>
      </c>
      <c r="Q493" s="322" t="str">
        <f t="shared" si="139"/>
        <v/>
      </c>
      <c r="R493" s="321">
        <f t="shared" si="140"/>
        <v>0</v>
      </c>
      <c r="S493" s="322" t="str">
        <f t="shared" si="141"/>
        <v/>
      </c>
      <c r="T493" s="322" t="str">
        <f t="shared" si="142"/>
        <v/>
      </c>
      <c r="U493" s="321">
        <f t="shared" si="143"/>
        <v>0</v>
      </c>
      <c r="V493" s="322" t="str">
        <f t="shared" si="144"/>
        <v/>
      </c>
      <c r="W493" s="322" t="str">
        <f t="shared" si="145"/>
        <v/>
      </c>
      <c r="X493" s="321">
        <f t="shared" si="146"/>
        <v>0</v>
      </c>
      <c r="Y493" s="322" t="str">
        <f t="shared" si="147"/>
        <v/>
      </c>
      <c r="Z493" s="322" t="str">
        <f t="shared" si="148"/>
        <v/>
      </c>
      <c r="AA493" s="323" t="str">
        <f t="shared" si="149"/>
        <v/>
      </c>
      <c r="AB493" s="323"/>
      <c r="AC493" s="323"/>
      <c r="AD493" s="323"/>
      <c r="AE493" s="323"/>
      <c r="AF493" s="324" t="str">
        <f t="shared" si="150"/>
        <v/>
      </c>
      <c r="AG493" s="312"/>
      <c r="AH493" s="312"/>
      <c r="AI493" s="325">
        <f t="shared" si="151"/>
        <v>0</v>
      </c>
      <c r="AJ493" s="312"/>
      <c r="AK493" s="312"/>
      <c r="AL493" s="312"/>
      <c r="AM493" s="312"/>
      <c r="AN493" s="312"/>
      <c r="AO493" s="312"/>
      <c r="AP493" s="312"/>
      <c r="AQ493" s="312"/>
      <c r="AR493" s="312"/>
      <c r="AS493" s="312"/>
      <c r="AT493" s="312"/>
      <c r="AU493" s="312"/>
      <c r="AV493" s="312"/>
      <c r="AW493" s="312"/>
      <c r="AX493" s="312"/>
      <c r="AY493" s="312"/>
      <c r="AZ493" s="312"/>
      <c r="BA493" s="312"/>
      <c r="BB493" s="312"/>
      <c r="BC493" s="312"/>
      <c r="BD493" s="312"/>
      <c r="BE493" s="312"/>
      <c r="BF493" s="312"/>
      <c r="BG493" s="312"/>
      <c r="BH493" s="312"/>
      <c r="BI493" s="312"/>
      <c r="BJ493" s="312"/>
      <c r="BK493" s="312"/>
      <c r="BL493" s="312"/>
      <c r="BM493" s="312"/>
      <c r="BN493" s="312"/>
      <c r="BO493" s="312"/>
      <c r="BP493" s="312"/>
      <c r="BQ493" s="312"/>
      <c r="BR493" s="312"/>
      <c r="BS493" s="312"/>
      <c r="BT493" s="312"/>
      <c r="BU493" s="312"/>
      <c r="BV493" s="312"/>
      <c r="BW493" s="312"/>
      <c r="BX493" s="312"/>
      <c r="BY493" s="312"/>
      <c r="BZ493" s="312"/>
      <c r="CA493" s="312"/>
      <c r="CB493" s="312"/>
      <c r="CC493" s="312"/>
      <c r="CD493" s="312"/>
      <c r="CE493" s="312"/>
      <c r="CF493" s="312"/>
      <c r="CG493" s="312"/>
      <c r="CH493" s="312"/>
      <c r="CI493" s="312"/>
      <c r="CJ493" s="312"/>
      <c r="CK493" s="312"/>
      <c r="CL493" s="312"/>
      <c r="CM493" s="312"/>
      <c r="CN493" s="312"/>
      <c r="CO493" s="312"/>
      <c r="CP493" s="312"/>
      <c r="CQ493" s="312"/>
      <c r="CR493" s="312"/>
      <c r="CS493" s="312"/>
      <c r="CT493" s="312"/>
      <c r="CU493" s="312"/>
      <c r="CV493" s="312"/>
      <c r="CW493" s="312"/>
      <c r="CX493" s="312"/>
      <c r="CY493" s="312"/>
      <c r="CZ493" s="312"/>
      <c r="DA493" s="312"/>
      <c r="DB493" s="312"/>
      <c r="DC493" s="312"/>
      <c r="DD493" s="312"/>
      <c r="DE493" s="312"/>
      <c r="DF493" s="312"/>
      <c r="DG493" s="312"/>
      <c r="DH493" s="312"/>
      <c r="DI493" s="312"/>
      <c r="DJ493" s="312"/>
      <c r="DK493" s="312"/>
      <c r="DL493" s="312"/>
      <c r="DM493" s="312"/>
      <c r="DN493" s="312"/>
      <c r="DO493" s="312"/>
      <c r="DP493" s="312"/>
      <c r="DQ493" s="312"/>
      <c r="DR493" s="312"/>
      <c r="DS493" s="312"/>
      <c r="DT493" s="312"/>
      <c r="DU493" s="312"/>
      <c r="DV493" s="312"/>
      <c r="DW493" s="312"/>
      <c r="DX493" s="312"/>
      <c r="DY493" s="312"/>
      <c r="DZ493" s="312"/>
      <c r="EA493" s="312"/>
      <c r="EB493" s="312"/>
      <c r="EC493" s="312"/>
      <c r="ED493" s="312"/>
      <c r="EE493" s="312"/>
      <c r="EF493" s="312"/>
      <c r="EG493" s="312"/>
      <c r="EH493" s="312"/>
      <c r="EI493" s="312"/>
      <c r="EJ493" s="312"/>
      <c r="EK493" s="312"/>
      <c r="EL493" s="312"/>
      <c r="EM493" s="312"/>
      <c r="EN493" s="312"/>
      <c r="EO493" s="312"/>
      <c r="EP493" s="312"/>
      <c r="EQ493" s="312"/>
      <c r="ER493" s="312"/>
      <c r="ES493" s="312"/>
      <c r="ET493" s="312"/>
      <c r="EU493" s="312"/>
      <c r="EV493" s="312"/>
      <c r="EW493" s="312"/>
      <c r="EX493" s="312"/>
      <c r="EY493" s="312"/>
      <c r="EZ493" s="312"/>
      <c r="FA493" s="312"/>
      <c r="FB493" s="312"/>
      <c r="FC493" s="312"/>
      <c r="FD493" s="312"/>
      <c r="FE493" s="312"/>
      <c r="FF493" s="312"/>
      <c r="FG493" s="312"/>
      <c r="FH493" s="312"/>
      <c r="FI493" s="312"/>
      <c r="FJ493" s="312"/>
      <c r="FK493" s="312"/>
      <c r="FL493" s="312"/>
      <c r="FM493" s="312"/>
      <c r="FN493" s="312"/>
      <c r="FO493" s="312"/>
      <c r="FP493" s="312"/>
      <c r="FQ493" s="312"/>
      <c r="FR493" s="312"/>
      <c r="FS493" s="312"/>
      <c r="FT493" s="312"/>
      <c r="FU493" s="312"/>
      <c r="FV493" s="312"/>
      <c r="FW493" s="312"/>
      <c r="FX493" s="312"/>
      <c r="FY493" s="312"/>
      <c r="FZ493" s="312"/>
      <c r="GA493" s="312"/>
      <c r="GB493" s="312"/>
      <c r="GC493" s="312"/>
      <c r="GD493" s="312"/>
      <c r="GE493" s="312"/>
      <c r="GF493" s="312"/>
      <c r="GG493" s="312"/>
      <c r="GH493" s="312"/>
      <c r="GI493" s="312"/>
      <c r="GJ493" s="312"/>
      <c r="GK493" s="312"/>
      <c r="GL493" s="312"/>
      <c r="GM493" s="312"/>
      <c r="GN493" s="312"/>
      <c r="GO493" s="312"/>
      <c r="GP493" s="312"/>
      <c r="GQ493" s="312"/>
      <c r="GR493" s="312"/>
      <c r="GS493" s="312"/>
      <c r="GT493" s="312"/>
      <c r="GU493" s="312"/>
      <c r="GV493" s="312"/>
      <c r="GW493" s="312"/>
      <c r="GX493" s="312"/>
      <c r="GY493" s="312"/>
    </row>
    <row r="494" spans="2:207" ht="15.75" x14ac:dyDescent="0.25">
      <c r="B494" s="316" t="str">
        <f t="shared" si="134"/>
        <v/>
      </c>
      <c r="C494" s="330" t="str">
        <f>'סיכום לוועדה'!B494</f>
        <v/>
      </c>
      <c r="D494" s="330" t="str">
        <f>'סיכום לוועדה'!C494</f>
        <v/>
      </c>
      <c r="E494" s="330" t="str">
        <f>'סיכום לוועדה'!D494</f>
        <v/>
      </c>
      <c r="F494" s="330" t="str">
        <f>'סיכום לוועדה'!E494</f>
        <v/>
      </c>
      <c r="G494" s="330" t="str">
        <f>'סיכום לוועדה'!F494</f>
        <v/>
      </c>
      <c r="H494" s="317" t="str">
        <f>'סיכום לוועדה'!G494</f>
        <v/>
      </c>
      <c r="I494" s="318" t="str">
        <f>'סיכום לוועדה'!U494</f>
        <v/>
      </c>
      <c r="J494" s="319" t="str">
        <f>'סיכום לוועדה'!T494</f>
        <v/>
      </c>
      <c r="K494" s="320" t="str">
        <f t="shared" si="135"/>
        <v/>
      </c>
      <c r="L494" s="319" t="str">
        <f t="shared" si="136"/>
        <v/>
      </c>
      <c r="M494" s="331" t="str">
        <f>'תחום תמיכה ב'!AF494</f>
        <v/>
      </c>
      <c r="N494" s="319" t="str">
        <f t="shared" si="133"/>
        <v/>
      </c>
      <c r="O494" s="321">
        <f t="shared" si="137"/>
        <v>0</v>
      </c>
      <c r="P494" s="322" t="str">
        <f t="shared" si="138"/>
        <v/>
      </c>
      <c r="Q494" s="322" t="str">
        <f t="shared" si="139"/>
        <v/>
      </c>
      <c r="R494" s="321">
        <f t="shared" si="140"/>
        <v>0</v>
      </c>
      <c r="S494" s="322" t="str">
        <f t="shared" si="141"/>
        <v/>
      </c>
      <c r="T494" s="322" t="str">
        <f t="shared" si="142"/>
        <v/>
      </c>
      <c r="U494" s="321">
        <f t="shared" si="143"/>
        <v>0</v>
      </c>
      <c r="V494" s="322" t="str">
        <f t="shared" si="144"/>
        <v/>
      </c>
      <c r="W494" s="322" t="str">
        <f t="shared" si="145"/>
        <v/>
      </c>
      <c r="X494" s="321">
        <f t="shared" si="146"/>
        <v>0</v>
      </c>
      <c r="Y494" s="322" t="str">
        <f t="shared" si="147"/>
        <v/>
      </c>
      <c r="Z494" s="322" t="str">
        <f t="shared" si="148"/>
        <v/>
      </c>
      <c r="AA494" s="323" t="str">
        <f t="shared" si="149"/>
        <v/>
      </c>
      <c r="AB494" s="323"/>
      <c r="AC494" s="323"/>
      <c r="AD494" s="323"/>
      <c r="AE494" s="323"/>
      <c r="AF494" s="324" t="str">
        <f t="shared" si="150"/>
        <v/>
      </c>
      <c r="AG494" s="312"/>
      <c r="AH494" s="312"/>
      <c r="AI494" s="325">
        <f t="shared" si="151"/>
        <v>0</v>
      </c>
      <c r="AJ494" s="312"/>
      <c r="AK494" s="312"/>
      <c r="AL494" s="312"/>
      <c r="AM494" s="312"/>
      <c r="AN494" s="312"/>
      <c r="AO494" s="312"/>
      <c r="AP494" s="312"/>
      <c r="AQ494" s="312"/>
      <c r="AR494" s="312"/>
      <c r="AS494" s="312"/>
      <c r="AT494" s="312"/>
      <c r="AU494" s="312"/>
      <c r="AV494" s="312"/>
      <c r="AW494" s="312"/>
      <c r="AX494" s="312"/>
      <c r="AY494" s="312"/>
      <c r="AZ494" s="312"/>
      <c r="BA494" s="312"/>
      <c r="BB494" s="312"/>
      <c r="BC494" s="312"/>
      <c r="BD494" s="312"/>
      <c r="BE494" s="312"/>
      <c r="BF494" s="312"/>
      <c r="BG494" s="312"/>
      <c r="BH494" s="312"/>
      <c r="BI494" s="312"/>
      <c r="BJ494" s="312"/>
      <c r="BK494" s="312"/>
      <c r="BL494" s="312"/>
      <c r="BM494" s="312"/>
      <c r="BN494" s="312"/>
      <c r="BO494" s="312"/>
      <c r="BP494" s="312"/>
      <c r="BQ494" s="312"/>
      <c r="BR494" s="312"/>
      <c r="BS494" s="312"/>
      <c r="BT494" s="312"/>
      <c r="BU494" s="312"/>
      <c r="BV494" s="312"/>
      <c r="BW494" s="312"/>
      <c r="BX494" s="312"/>
      <c r="BY494" s="312"/>
      <c r="BZ494" s="312"/>
      <c r="CA494" s="312"/>
      <c r="CB494" s="312"/>
      <c r="CC494" s="312"/>
      <c r="CD494" s="312"/>
      <c r="CE494" s="312"/>
      <c r="CF494" s="312"/>
      <c r="CG494" s="312"/>
      <c r="CH494" s="312"/>
      <c r="CI494" s="312"/>
      <c r="CJ494" s="312"/>
      <c r="CK494" s="312"/>
      <c r="CL494" s="312"/>
      <c r="CM494" s="312"/>
      <c r="CN494" s="312"/>
      <c r="CO494" s="312"/>
      <c r="CP494" s="312"/>
      <c r="CQ494" s="312"/>
      <c r="CR494" s="312"/>
      <c r="CS494" s="312"/>
      <c r="CT494" s="312"/>
      <c r="CU494" s="312"/>
      <c r="CV494" s="312"/>
      <c r="CW494" s="312"/>
      <c r="CX494" s="312"/>
      <c r="CY494" s="312"/>
      <c r="CZ494" s="312"/>
      <c r="DA494" s="312"/>
      <c r="DB494" s="312"/>
      <c r="DC494" s="312"/>
      <c r="DD494" s="312"/>
      <c r="DE494" s="312"/>
      <c r="DF494" s="312"/>
      <c r="DG494" s="312"/>
      <c r="DH494" s="312"/>
      <c r="DI494" s="312"/>
      <c r="DJ494" s="312"/>
      <c r="DK494" s="312"/>
      <c r="DL494" s="312"/>
      <c r="DM494" s="312"/>
      <c r="DN494" s="312"/>
      <c r="DO494" s="312"/>
      <c r="DP494" s="312"/>
      <c r="DQ494" s="312"/>
      <c r="DR494" s="312"/>
      <c r="DS494" s="312"/>
      <c r="DT494" s="312"/>
      <c r="DU494" s="312"/>
      <c r="DV494" s="312"/>
      <c r="DW494" s="312"/>
      <c r="DX494" s="312"/>
      <c r="DY494" s="312"/>
      <c r="DZ494" s="312"/>
      <c r="EA494" s="312"/>
      <c r="EB494" s="312"/>
      <c r="EC494" s="312"/>
      <c r="ED494" s="312"/>
      <c r="EE494" s="312"/>
      <c r="EF494" s="312"/>
      <c r="EG494" s="312"/>
      <c r="EH494" s="312"/>
      <c r="EI494" s="312"/>
      <c r="EJ494" s="312"/>
      <c r="EK494" s="312"/>
      <c r="EL494" s="312"/>
      <c r="EM494" s="312"/>
      <c r="EN494" s="312"/>
      <c r="EO494" s="312"/>
      <c r="EP494" s="312"/>
      <c r="EQ494" s="312"/>
      <c r="ER494" s="312"/>
      <c r="ES494" s="312"/>
      <c r="ET494" s="312"/>
      <c r="EU494" s="312"/>
      <c r="EV494" s="312"/>
      <c r="EW494" s="312"/>
      <c r="EX494" s="312"/>
      <c r="EY494" s="312"/>
      <c r="EZ494" s="312"/>
      <c r="FA494" s="312"/>
      <c r="FB494" s="312"/>
      <c r="FC494" s="312"/>
      <c r="FD494" s="312"/>
      <c r="FE494" s="312"/>
      <c r="FF494" s="312"/>
      <c r="FG494" s="312"/>
      <c r="FH494" s="312"/>
      <c r="FI494" s="312"/>
      <c r="FJ494" s="312"/>
      <c r="FK494" s="312"/>
      <c r="FL494" s="312"/>
      <c r="FM494" s="312"/>
      <c r="FN494" s="312"/>
      <c r="FO494" s="312"/>
      <c r="FP494" s="312"/>
      <c r="FQ494" s="312"/>
      <c r="FR494" s="312"/>
      <c r="FS494" s="312"/>
      <c r="FT494" s="312"/>
      <c r="FU494" s="312"/>
      <c r="FV494" s="312"/>
      <c r="FW494" s="312"/>
      <c r="FX494" s="312"/>
      <c r="FY494" s="312"/>
      <c r="FZ494" s="312"/>
      <c r="GA494" s="312"/>
      <c r="GB494" s="312"/>
      <c r="GC494" s="312"/>
      <c r="GD494" s="312"/>
      <c r="GE494" s="312"/>
      <c r="GF494" s="312"/>
      <c r="GG494" s="312"/>
      <c r="GH494" s="312"/>
      <c r="GI494" s="312"/>
      <c r="GJ494" s="312"/>
      <c r="GK494" s="312"/>
      <c r="GL494" s="312"/>
      <c r="GM494" s="312"/>
      <c r="GN494" s="312"/>
      <c r="GO494" s="312"/>
      <c r="GP494" s="312"/>
      <c r="GQ494" s="312"/>
      <c r="GR494" s="312"/>
      <c r="GS494" s="312"/>
      <c r="GT494" s="312"/>
      <c r="GU494" s="312"/>
      <c r="GV494" s="312"/>
      <c r="GW494" s="312"/>
      <c r="GX494" s="312"/>
      <c r="GY494" s="312"/>
    </row>
    <row r="495" spans="2:207" ht="15.75" x14ac:dyDescent="0.25">
      <c r="B495" s="316" t="str">
        <f t="shared" si="134"/>
        <v/>
      </c>
      <c r="C495" s="330" t="str">
        <f>'סיכום לוועדה'!B495</f>
        <v/>
      </c>
      <c r="D495" s="330" t="str">
        <f>'סיכום לוועדה'!C495</f>
        <v/>
      </c>
      <c r="E495" s="330" t="str">
        <f>'סיכום לוועדה'!D495</f>
        <v/>
      </c>
      <c r="F495" s="330" t="str">
        <f>'סיכום לוועדה'!E495</f>
        <v/>
      </c>
      <c r="G495" s="330" t="str">
        <f>'סיכום לוועדה'!F495</f>
        <v/>
      </c>
      <c r="H495" s="317" t="str">
        <f>'סיכום לוועדה'!G495</f>
        <v/>
      </c>
      <c r="I495" s="318" t="str">
        <f>'סיכום לוועדה'!U495</f>
        <v/>
      </c>
      <c r="J495" s="319" t="str">
        <f>'סיכום לוועדה'!T495</f>
        <v/>
      </c>
      <c r="K495" s="320" t="str">
        <f t="shared" si="135"/>
        <v/>
      </c>
      <c r="L495" s="319" t="str">
        <f t="shared" si="136"/>
        <v/>
      </c>
      <c r="M495" s="331" t="str">
        <f>'תחום תמיכה ב'!AF495</f>
        <v/>
      </c>
      <c r="N495" s="319" t="str">
        <f t="shared" si="133"/>
        <v/>
      </c>
      <c r="O495" s="321">
        <f t="shared" si="137"/>
        <v>0</v>
      </c>
      <c r="P495" s="322" t="str">
        <f t="shared" si="138"/>
        <v/>
      </c>
      <c r="Q495" s="322" t="str">
        <f t="shared" si="139"/>
        <v/>
      </c>
      <c r="R495" s="321">
        <f t="shared" si="140"/>
        <v>0</v>
      </c>
      <c r="S495" s="322" t="str">
        <f t="shared" si="141"/>
        <v/>
      </c>
      <c r="T495" s="322" t="str">
        <f t="shared" si="142"/>
        <v/>
      </c>
      <c r="U495" s="321">
        <f t="shared" si="143"/>
        <v>0</v>
      </c>
      <c r="V495" s="322" t="str">
        <f t="shared" si="144"/>
        <v/>
      </c>
      <c r="W495" s="322" t="str">
        <f t="shared" si="145"/>
        <v/>
      </c>
      <c r="X495" s="321">
        <f t="shared" si="146"/>
        <v>0</v>
      </c>
      <c r="Y495" s="322" t="str">
        <f t="shared" si="147"/>
        <v/>
      </c>
      <c r="Z495" s="322" t="str">
        <f t="shared" si="148"/>
        <v/>
      </c>
      <c r="AA495" s="323" t="str">
        <f t="shared" si="149"/>
        <v/>
      </c>
      <c r="AB495" s="323"/>
      <c r="AC495" s="323"/>
      <c r="AD495" s="323"/>
      <c r="AE495" s="323"/>
      <c r="AF495" s="324" t="str">
        <f t="shared" si="150"/>
        <v/>
      </c>
      <c r="AG495" s="312"/>
      <c r="AH495" s="312"/>
      <c r="AI495" s="325">
        <f t="shared" si="151"/>
        <v>0</v>
      </c>
      <c r="AJ495" s="312"/>
      <c r="AK495" s="312"/>
      <c r="AL495" s="312"/>
      <c r="AM495" s="312"/>
      <c r="AN495" s="312"/>
      <c r="AO495" s="312"/>
      <c r="AP495" s="312"/>
      <c r="AQ495" s="312"/>
      <c r="AR495" s="312"/>
      <c r="AS495" s="312"/>
      <c r="AT495" s="312"/>
      <c r="AU495" s="312"/>
      <c r="AV495" s="312"/>
      <c r="AW495" s="312"/>
      <c r="AX495" s="312"/>
      <c r="AY495" s="312"/>
      <c r="AZ495" s="312"/>
      <c r="BA495" s="312"/>
      <c r="BB495" s="312"/>
      <c r="BC495" s="312"/>
      <c r="BD495" s="312"/>
      <c r="BE495" s="312"/>
      <c r="BF495" s="312"/>
      <c r="BG495" s="312"/>
      <c r="BH495" s="312"/>
      <c r="BI495" s="312"/>
      <c r="BJ495" s="312"/>
      <c r="BK495" s="312"/>
      <c r="BL495" s="312"/>
      <c r="BM495" s="312"/>
      <c r="BN495" s="312"/>
      <c r="BO495" s="312"/>
      <c r="BP495" s="312"/>
      <c r="BQ495" s="312"/>
      <c r="BR495" s="312"/>
      <c r="BS495" s="312"/>
      <c r="BT495" s="312"/>
      <c r="BU495" s="312"/>
      <c r="BV495" s="312"/>
      <c r="BW495" s="312"/>
      <c r="BX495" s="312"/>
      <c r="BY495" s="312"/>
      <c r="BZ495" s="312"/>
      <c r="CA495" s="312"/>
      <c r="CB495" s="312"/>
      <c r="CC495" s="312"/>
      <c r="CD495" s="312"/>
      <c r="CE495" s="312"/>
      <c r="CF495" s="312"/>
      <c r="CG495" s="312"/>
      <c r="CH495" s="312"/>
      <c r="CI495" s="312"/>
      <c r="CJ495" s="312"/>
      <c r="CK495" s="312"/>
      <c r="CL495" s="312"/>
      <c r="CM495" s="312"/>
      <c r="CN495" s="312"/>
      <c r="CO495" s="312"/>
      <c r="CP495" s="312"/>
      <c r="CQ495" s="312"/>
      <c r="CR495" s="312"/>
      <c r="CS495" s="312"/>
      <c r="CT495" s="312"/>
      <c r="CU495" s="312"/>
      <c r="CV495" s="312"/>
      <c r="CW495" s="312"/>
      <c r="CX495" s="312"/>
      <c r="CY495" s="312"/>
      <c r="CZ495" s="312"/>
      <c r="DA495" s="312"/>
      <c r="DB495" s="312"/>
      <c r="DC495" s="312"/>
      <c r="DD495" s="312"/>
      <c r="DE495" s="312"/>
      <c r="DF495" s="312"/>
      <c r="DG495" s="312"/>
      <c r="DH495" s="312"/>
      <c r="DI495" s="312"/>
      <c r="DJ495" s="312"/>
      <c r="DK495" s="312"/>
      <c r="DL495" s="312"/>
      <c r="DM495" s="312"/>
      <c r="DN495" s="312"/>
      <c r="DO495" s="312"/>
      <c r="DP495" s="312"/>
      <c r="DQ495" s="312"/>
      <c r="DR495" s="312"/>
      <c r="DS495" s="312"/>
      <c r="DT495" s="312"/>
      <c r="DU495" s="312"/>
      <c r="DV495" s="312"/>
      <c r="DW495" s="312"/>
      <c r="DX495" s="312"/>
      <c r="DY495" s="312"/>
      <c r="DZ495" s="312"/>
      <c r="EA495" s="312"/>
      <c r="EB495" s="312"/>
      <c r="EC495" s="312"/>
      <c r="ED495" s="312"/>
      <c r="EE495" s="312"/>
      <c r="EF495" s="312"/>
      <c r="EG495" s="312"/>
      <c r="EH495" s="312"/>
      <c r="EI495" s="312"/>
      <c r="EJ495" s="312"/>
      <c r="EK495" s="312"/>
      <c r="EL495" s="312"/>
      <c r="EM495" s="312"/>
      <c r="EN495" s="312"/>
      <c r="EO495" s="312"/>
      <c r="EP495" s="312"/>
      <c r="EQ495" s="312"/>
      <c r="ER495" s="312"/>
      <c r="ES495" s="312"/>
      <c r="ET495" s="312"/>
      <c r="EU495" s="312"/>
      <c r="EV495" s="312"/>
      <c r="EW495" s="312"/>
      <c r="EX495" s="312"/>
      <c r="EY495" s="312"/>
      <c r="EZ495" s="312"/>
      <c r="FA495" s="312"/>
      <c r="FB495" s="312"/>
      <c r="FC495" s="312"/>
      <c r="FD495" s="312"/>
      <c r="FE495" s="312"/>
      <c r="FF495" s="312"/>
      <c r="FG495" s="312"/>
      <c r="FH495" s="312"/>
      <c r="FI495" s="312"/>
      <c r="FJ495" s="312"/>
      <c r="FK495" s="312"/>
      <c r="FL495" s="312"/>
      <c r="FM495" s="312"/>
      <c r="FN495" s="312"/>
      <c r="FO495" s="312"/>
      <c r="FP495" s="312"/>
      <c r="FQ495" s="312"/>
      <c r="FR495" s="312"/>
      <c r="FS495" s="312"/>
      <c r="FT495" s="312"/>
      <c r="FU495" s="312"/>
      <c r="FV495" s="312"/>
      <c r="FW495" s="312"/>
      <c r="FX495" s="312"/>
      <c r="FY495" s="312"/>
      <c r="FZ495" s="312"/>
      <c r="GA495" s="312"/>
      <c r="GB495" s="312"/>
      <c r="GC495" s="312"/>
      <c r="GD495" s="312"/>
      <c r="GE495" s="312"/>
      <c r="GF495" s="312"/>
      <c r="GG495" s="312"/>
      <c r="GH495" s="312"/>
      <c r="GI495" s="312"/>
      <c r="GJ495" s="312"/>
      <c r="GK495" s="312"/>
      <c r="GL495" s="312"/>
      <c r="GM495" s="312"/>
      <c r="GN495" s="312"/>
      <c r="GO495" s="312"/>
      <c r="GP495" s="312"/>
      <c r="GQ495" s="312"/>
      <c r="GR495" s="312"/>
      <c r="GS495" s="312"/>
      <c r="GT495" s="312"/>
      <c r="GU495" s="312"/>
      <c r="GV495" s="312"/>
      <c r="GW495" s="312"/>
      <c r="GX495" s="312"/>
      <c r="GY495" s="312"/>
    </row>
    <row r="496" spans="2:207" ht="15.75" x14ac:dyDescent="0.25">
      <c r="B496" s="316" t="str">
        <f t="shared" si="134"/>
        <v/>
      </c>
      <c r="C496" s="330" t="str">
        <f>'סיכום לוועדה'!B496</f>
        <v/>
      </c>
      <c r="D496" s="330" t="str">
        <f>'סיכום לוועדה'!C496</f>
        <v/>
      </c>
      <c r="E496" s="330" t="str">
        <f>'סיכום לוועדה'!D496</f>
        <v/>
      </c>
      <c r="F496" s="330" t="str">
        <f>'סיכום לוועדה'!E496</f>
        <v/>
      </c>
      <c r="G496" s="330" t="str">
        <f>'סיכום לוועדה'!F496</f>
        <v/>
      </c>
      <c r="H496" s="317" t="str">
        <f>'סיכום לוועדה'!G496</f>
        <v/>
      </c>
      <c r="I496" s="318" t="str">
        <f>'סיכום לוועדה'!U496</f>
        <v/>
      </c>
      <c r="J496" s="319" t="str">
        <f>'סיכום לוועדה'!T496</f>
        <v/>
      </c>
      <c r="K496" s="320" t="str">
        <f t="shared" si="135"/>
        <v/>
      </c>
      <c r="L496" s="319" t="str">
        <f t="shared" si="136"/>
        <v/>
      </c>
      <c r="M496" s="331" t="str">
        <f>'תחום תמיכה ב'!AF496</f>
        <v/>
      </c>
      <c r="N496" s="319" t="str">
        <f t="shared" si="133"/>
        <v/>
      </c>
      <c r="O496" s="321">
        <f t="shared" si="137"/>
        <v>0</v>
      </c>
      <c r="P496" s="322" t="str">
        <f t="shared" si="138"/>
        <v/>
      </c>
      <c r="Q496" s="322" t="str">
        <f t="shared" si="139"/>
        <v/>
      </c>
      <c r="R496" s="321">
        <f t="shared" si="140"/>
        <v>0</v>
      </c>
      <c r="S496" s="322" t="str">
        <f t="shared" si="141"/>
        <v/>
      </c>
      <c r="T496" s="322" t="str">
        <f t="shared" si="142"/>
        <v/>
      </c>
      <c r="U496" s="321">
        <f t="shared" si="143"/>
        <v>0</v>
      </c>
      <c r="V496" s="322" t="str">
        <f t="shared" si="144"/>
        <v/>
      </c>
      <c r="W496" s="322" t="str">
        <f t="shared" si="145"/>
        <v/>
      </c>
      <c r="X496" s="321">
        <f t="shared" si="146"/>
        <v>0</v>
      </c>
      <c r="Y496" s="322" t="str">
        <f t="shared" si="147"/>
        <v/>
      </c>
      <c r="Z496" s="322" t="str">
        <f t="shared" si="148"/>
        <v/>
      </c>
      <c r="AA496" s="323" t="str">
        <f t="shared" si="149"/>
        <v/>
      </c>
      <c r="AB496" s="323"/>
      <c r="AC496" s="323"/>
      <c r="AD496" s="323"/>
      <c r="AE496" s="323"/>
      <c r="AF496" s="324" t="str">
        <f t="shared" si="150"/>
        <v/>
      </c>
      <c r="AG496" s="312"/>
      <c r="AH496" s="312"/>
      <c r="AI496" s="325">
        <f t="shared" si="151"/>
        <v>0</v>
      </c>
      <c r="AJ496" s="312"/>
      <c r="AK496" s="312"/>
      <c r="AL496" s="312"/>
      <c r="AM496" s="312"/>
      <c r="AN496" s="312"/>
      <c r="AO496" s="312"/>
      <c r="AP496" s="312"/>
      <c r="AQ496" s="312"/>
      <c r="AR496" s="312"/>
      <c r="AS496" s="312"/>
      <c r="AT496" s="312"/>
      <c r="AU496" s="312"/>
      <c r="AV496" s="312"/>
      <c r="AW496" s="312"/>
      <c r="AX496" s="312"/>
      <c r="AY496" s="312"/>
      <c r="AZ496" s="312"/>
      <c r="BA496" s="312"/>
      <c r="BB496" s="312"/>
      <c r="BC496" s="312"/>
      <c r="BD496" s="312"/>
      <c r="BE496" s="312"/>
      <c r="BF496" s="312"/>
      <c r="BG496" s="312"/>
      <c r="BH496" s="312"/>
      <c r="BI496" s="312"/>
      <c r="BJ496" s="312"/>
      <c r="BK496" s="312"/>
      <c r="BL496" s="312"/>
      <c r="BM496" s="312"/>
      <c r="BN496" s="312"/>
      <c r="BO496" s="312"/>
      <c r="BP496" s="312"/>
      <c r="BQ496" s="312"/>
      <c r="BR496" s="312"/>
      <c r="BS496" s="312"/>
      <c r="BT496" s="312"/>
      <c r="BU496" s="312"/>
      <c r="BV496" s="312"/>
      <c r="BW496" s="312"/>
      <c r="BX496" s="312"/>
      <c r="BY496" s="312"/>
      <c r="BZ496" s="312"/>
      <c r="CA496" s="312"/>
      <c r="CB496" s="312"/>
      <c r="CC496" s="312"/>
      <c r="CD496" s="312"/>
      <c r="CE496" s="312"/>
      <c r="CF496" s="312"/>
      <c r="CG496" s="312"/>
      <c r="CH496" s="312"/>
      <c r="CI496" s="312"/>
      <c r="CJ496" s="312"/>
      <c r="CK496" s="312"/>
      <c r="CL496" s="312"/>
      <c r="CM496" s="312"/>
      <c r="CN496" s="312"/>
      <c r="CO496" s="312"/>
      <c r="CP496" s="312"/>
      <c r="CQ496" s="312"/>
      <c r="CR496" s="312"/>
      <c r="CS496" s="312"/>
      <c r="CT496" s="312"/>
      <c r="CU496" s="312"/>
      <c r="CV496" s="312"/>
      <c r="CW496" s="312"/>
      <c r="CX496" s="312"/>
      <c r="CY496" s="312"/>
      <c r="CZ496" s="312"/>
      <c r="DA496" s="312"/>
      <c r="DB496" s="312"/>
      <c r="DC496" s="312"/>
      <c r="DD496" s="312"/>
      <c r="DE496" s="312"/>
      <c r="DF496" s="312"/>
      <c r="DG496" s="312"/>
      <c r="DH496" s="312"/>
      <c r="DI496" s="312"/>
      <c r="DJ496" s="312"/>
      <c r="DK496" s="312"/>
      <c r="DL496" s="312"/>
      <c r="DM496" s="312"/>
      <c r="DN496" s="312"/>
      <c r="DO496" s="312"/>
      <c r="DP496" s="312"/>
      <c r="DQ496" s="312"/>
      <c r="DR496" s="312"/>
      <c r="DS496" s="312"/>
      <c r="DT496" s="312"/>
      <c r="DU496" s="312"/>
      <c r="DV496" s="312"/>
      <c r="DW496" s="312"/>
      <c r="DX496" s="312"/>
      <c r="DY496" s="312"/>
      <c r="DZ496" s="312"/>
      <c r="EA496" s="312"/>
      <c r="EB496" s="312"/>
      <c r="EC496" s="312"/>
      <c r="ED496" s="312"/>
      <c r="EE496" s="312"/>
      <c r="EF496" s="312"/>
      <c r="EG496" s="312"/>
      <c r="EH496" s="312"/>
      <c r="EI496" s="312"/>
      <c r="EJ496" s="312"/>
      <c r="EK496" s="312"/>
      <c r="EL496" s="312"/>
      <c r="EM496" s="312"/>
      <c r="EN496" s="312"/>
      <c r="EO496" s="312"/>
      <c r="EP496" s="312"/>
      <c r="EQ496" s="312"/>
      <c r="ER496" s="312"/>
      <c r="ES496" s="312"/>
      <c r="ET496" s="312"/>
      <c r="EU496" s="312"/>
      <c r="EV496" s="312"/>
      <c r="EW496" s="312"/>
      <c r="EX496" s="312"/>
      <c r="EY496" s="312"/>
      <c r="EZ496" s="312"/>
      <c r="FA496" s="312"/>
      <c r="FB496" s="312"/>
      <c r="FC496" s="312"/>
      <c r="FD496" s="312"/>
      <c r="FE496" s="312"/>
      <c r="FF496" s="312"/>
      <c r="FG496" s="312"/>
      <c r="FH496" s="312"/>
      <c r="FI496" s="312"/>
      <c r="FJ496" s="312"/>
      <c r="FK496" s="312"/>
      <c r="FL496" s="312"/>
      <c r="FM496" s="312"/>
      <c r="FN496" s="312"/>
      <c r="FO496" s="312"/>
      <c r="FP496" s="312"/>
      <c r="FQ496" s="312"/>
      <c r="FR496" s="312"/>
      <c r="FS496" s="312"/>
      <c r="FT496" s="312"/>
      <c r="FU496" s="312"/>
      <c r="FV496" s="312"/>
      <c r="FW496" s="312"/>
      <c r="FX496" s="312"/>
      <c r="FY496" s="312"/>
      <c r="FZ496" s="312"/>
      <c r="GA496" s="312"/>
      <c r="GB496" s="312"/>
      <c r="GC496" s="312"/>
      <c r="GD496" s="312"/>
      <c r="GE496" s="312"/>
      <c r="GF496" s="312"/>
      <c r="GG496" s="312"/>
      <c r="GH496" s="312"/>
      <c r="GI496" s="312"/>
      <c r="GJ496" s="312"/>
      <c r="GK496" s="312"/>
      <c r="GL496" s="312"/>
      <c r="GM496" s="312"/>
      <c r="GN496" s="312"/>
      <c r="GO496" s="312"/>
      <c r="GP496" s="312"/>
      <c r="GQ496" s="312"/>
      <c r="GR496" s="312"/>
      <c r="GS496" s="312"/>
      <c r="GT496" s="312"/>
      <c r="GU496" s="312"/>
      <c r="GV496" s="312"/>
      <c r="GW496" s="312"/>
      <c r="GX496" s="312"/>
      <c r="GY496" s="312"/>
    </row>
    <row r="497" spans="2:207" ht="15.75" x14ac:dyDescent="0.25">
      <c r="B497" s="316" t="str">
        <f t="shared" si="134"/>
        <v/>
      </c>
      <c r="C497" s="330" t="str">
        <f>'סיכום לוועדה'!B497</f>
        <v/>
      </c>
      <c r="D497" s="330" t="str">
        <f>'סיכום לוועדה'!C497</f>
        <v/>
      </c>
      <c r="E497" s="330" t="str">
        <f>'סיכום לוועדה'!D497</f>
        <v/>
      </c>
      <c r="F497" s="330" t="str">
        <f>'סיכום לוועדה'!E497</f>
        <v/>
      </c>
      <c r="G497" s="330" t="str">
        <f>'סיכום לוועדה'!F497</f>
        <v/>
      </c>
      <c r="H497" s="317" t="str">
        <f>'סיכום לוועדה'!G497</f>
        <v/>
      </c>
      <c r="I497" s="318" t="str">
        <f>'סיכום לוועדה'!U497</f>
        <v/>
      </c>
      <c r="J497" s="319" t="str">
        <f>'סיכום לוועדה'!T497</f>
        <v/>
      </c>
      <c r="K497" s="320" t="str">
        <f t="shared" si="135"/>
        <v/>
      </c>
      <c r="L497" s="319" t="str">
        <f t="shared" si="136"/>
        <v/>
      </c>
      <c r="M497" s="331" t="str">
        <f>'תחום תמיכה ב'!AF497</f>
        <v/>
      </c>
      <c r="N497" s="319" t="str">
        <f t="shared" si="133"/>
        <v/>
      </c>
      <c r="O497" s="321">
        <f t="shared" si="137"/>
        <v>0</v>
      </c>
      <c r="P497" s="322" t="str">
        <f t="shared" si="138"/>
        <v/>
      </c>
      <c r="Q497" s="322" t="str">
        <f t="shared" si="139"/>
        <v/>
      </c>
      <c r="R497" s="321">
        <f t="shared" si="140"/>
        <v>0</v>
      </c>
      <c r="S497" s="322" t="str">
        <f t="shared" si="141"/>
        <v/>
      </c>
      <c r="T497" s="322" t="str">
        <f t="shared" si="142"/>
        <v/>
      </c>
      <c r="U497" s="321">
        <f t="shared" si="143"/>
        <v>0</v>
      </c>
      <c r="V497" s="322" t="str">
        <f t="shared" si="144"/>
        <v/>
      </c>
      <c r="W497" s="322" t="str">
        <f t="shared" si="145"/>
        <v/>
      </c>
      <c r="X497" s="321">
        <f t="shared" si="146"/>
        <v>0</v>
      </c>
      <c r="Y497" s="322" t="str">
        <f t="shared" si="147"/>
        <v/>
      </c>
      <c r="Z497" s="322" t="str">
        <f t="shared" si="148"/>
        <v/>
      </c>
      <c r="AA497" s="323" t="str">
        <f t="shared" si="149"/>
        <v/>
      </c>
      <c r="AB497" s="323"/>
      <c r="AC497" s="323"/>
      <c r="AD497" s="323"/>
      <c r="AE497" s="323"/>
      <c r="AF497" s="324" t="str">
        <f t="shared" si="150"/>
        <v/>
      </c>
      <c r="AG497" s="312"/>
      <c r="AH497" s="312"/>
      <c r="AI497" s="325">
        <f t="shared" si="151"/>
        <v>0</v>
      </c>
      <c r="AJ497" s="312"/>
      <c r="AK497" s="312"/>
      <c r="AL497" s="312"/>
      <c r="AM497" s="312"/>
      <c r="AN497" s="312"/>
      <c r="AO497" s="312"/>
      <c r="AP497" s="312"/>
      <c r="AQ497" s="312"/>
      <c r="AR497" s="312"/>
      <c r="AS497" s="312"/>
      <c r="AT497" s="312"/>
      <c r="AU497" s="312"/>
      <c r="AV497" s="312"/>
      <c r="AW497" s="312"/>
      <c r="AX497" s="312"/>
      <c r="AY497" s="312"/>
      <c r="AZ497" s="312"/>
      <c r="BA497" s="312"/>
      <c r="BB497" s="312"/>
      <c r="BC497" s="312"/>
      <c r="BD497" s="312"/>
      <c r="BE497" s="312"/>
      <c r="BF497" s="312"/>
      <c r="BG497" s="312"/>
      <c r="BH497" s="312"/>
      <c r="BI497" s="312"/>
      <c r="BJ497" s="312"/>
      <c r="BK497" s="312"/>
      <c r="BL497" s="312"/>
      <c r="BM497" s="312"/>
      <c r="BN497" s="312"/>
      <c r="BO497" s="312"/>
      <c r="BP497" s="312"/>
      <c r="BQ497" s="312"/>
      <c r="BR497" s="312"/>
      <c r="BS497" s="312"/>
      <c r="BT497" s="312"/>
      <c r="BU497" s="312"/>
      <c r="BV497" s="312"/>
      <c r="BW497" s="312"/>
      <c r="BX497" s="312"/>
      <c r="BY497" s="312"/>
      <c r="BZ497" s="312"/>
      <c r="CA497" s="312"/>
      <c r="CB497" s="312"/>
      <c r="CC497" s="312"/>
      <c r="CD497" s="312"/>
      <c r="CE497" s="312"/>
      <c r="CF497" s="312"/>
      <c r="CG497" s="312"/>
      <c r="CH497" s="312"/>
      <c r="CI497" s="312"/>
      <c r="CJ497" s="312"/>
      <c r="CK497" s="312"/>
      <c r="CL497" s="312"/>
      <c r="CM497" s="312"/>
      <c r="CN497" s="312"/>
      <c r="CO497" s="312"/>
      <c r="CP497" s="312"/>
      <c r="CQ497" s="312"/>
      <c r="CR497" s="312"/>
      <c r="CS497" s="312"/>
      <c r="CT497" s="312"/>
      <c r="CU497" s="312"/>
      <c r="CV497" s="312"/>
      <c r="CW497" s="312"/>
      <c r="CX497" s="312"/>
      <c r="CY497" s="312"/>
      <c r="CZ497" s="312"/>
      <c r="DA497" s="312"/>
      <c r="DB497" s="312"/>
      <c r="DC497" s="312"/>
      <c r="DD497" s="312"/>
      <c r="DE497" s="312"/>
      <c r="DF497" s="312"/>
      <c r="DG497" s="312"/>
      <c r="DH497" s="312"/>
      <c r="DI497" s="312"/>
      <c r="DJ497" s="312"/>
      <c r="DK497" s="312"/>
      <c r="DL497" s="312"/>
      <c r="DM497" s="312"/>
      <c r="DN497" s="312"/>
      <c r="DO497" s="312"/>
      <c r="DP497" s="312"/>
      <c r="DQ497" s="312"/>
      <c r="DR497" s="312"/>
      <c r="DS497" s="312"/>
      <c r="DT497" s="312"/>
      <c r="DU497" s="312"/>
      <c r="DV497" s="312"/>
      <c r="DW497" s="312"/>
      <c r="DX497" s="312"/>
      <c r="DY497" s="312"/>
      <c r="DZ497" s="312"/>
      <c r="EA497" s="312"/>
      <c r="EB497" s="312"/>
      <c r="EC497" s="312"/>
      <c r="ED497" s="312"/>
      <c r="EE497" s="312"/>
      <c r="EF497" s="312"/>
      <c r="EG497" s="312"/>
      <c r="EH497" s="312"/>
      <c r="EI497" s="312"/>
      <c r="EJ497" s="312"/>
      <c r="EK497" s="312"/>
      <c r="EL497" s="312"/>
      <c r="EM497" s="312"/>
      <c r="EN497" s="312"/>
      <c r="EO497" s="312"/>
      <c r="EP497" s="312"/>
      <c r="EQ497" s="312"/>
      <c r="ER497" s="312"/>
      <c r="ES497" s="312"/>
      <c r="ET497" s="312"/>
      <c r="EU497" s="312"/>
      <c r="EV497" s="312"/>
      <c r="EW497" s="312"/>
      <c r="EX497" s="312"/>
      <c r="EY497" s="312"/>
      <c r="EZ497" s="312"/>
      <c r="FA497" s="312"/>
      <c r="FB497" s="312"/>
      <c r="FC497" s="312"/>
      <c r="FD497" s="312"/>
      <c r="FE497" s="312"/>
      <c r="FF497" s="312"/>
      <c r="FG497" s="312"/>
      <c r="FH497" s="312"/>
      <c r="FI497" s="312"/>
      <c r="FJ497" s="312"/>
      <c r="FK497" s="312"/>
      <c r="FL497" s="312"/>
      <c r="FM497" s="312"/>
      <c r="FN497" s="312"/>
      <c r="FO497" s="312"/>
      <c r="FP497" s="312"/>
      <c r="FQ497" s="312"/>
      <c r="FR497" s="312"/>
      <c r="FS497" s="312"/>
      <c r="FT497" s="312"/>
      <c r="FU497" s="312"/>
      <c r="FV497" s="312"/>
      <c r="FW497" s="312"/>
      <c r="FX497" s="312"/>
      <c r="FY497" s="312"/>
      <c r="FZ497" s="312"/>
      <c r="GA497" s="312"/>
      <c r="GB497" s="312"/>
      <c r="GC497" s="312"/>
      <c r="GD497" s="312"/>
      <c r="GE497" s="312"/>
      <c r="GF497" s="312"/>
      <c r="GG497" s="312"/>
      <c r="GH497" s="312"/>
      <c r="GI497" s="312"/>
      <c r="GJ497" s="312"/>
      <c r="GK497" s="312"/>
      <c r="GL497" s="312"/>
      <c r="GM497" s="312"/>
      <c r="GN497" s="312"/>
      <c r="GO497" s="312"/>
      <c r="GP497" s="312"/>
      <c r="GQ497" s="312"/>
      <c r="GR497" s="312"/>
      <c r="GS497" s="312"/>
      <c r="GT497" s="312"/>
      <c r="GU497" s="312"/>
      <c r="GV497" s="312"/>
      <c r="GW497" s="312"/>
      <c r="GX497" s="312"/>
      <c r="GY497" s="312"/>
    </row>
    <row r="498" spans="2:207" ht="15.75" x14ac:dyDescent="0.25">
      <c r="B498" s="316" t="str">
        <f t="shared" si="134"/>
        <v/>
      </c>
      <c r="C498" s="330" t="str">
        <f>'סיכום לוועדה'!B498</f>
        <v/>
      </c>
      <c r="D498" s="330" t="str">
        <f>'סיכום לוועדה'!C498</f>
        <v/>
      </c>
      <c r="E498" s="330" t="str">
        <f>'סיכום לוועדה'!D498</f>
        <v/>
      </c>
      <c r="F498" s="330" t="str">
        <f>'סיכום לוועדה'!E498</f>
        <v/>
      </c>
      <c r="G498" s="330" t="str">
        <f>'סיכום לוועדה'!F498</f>
        <v/>
      </c>
      <c r="H498" s="317" t="str">
        <f>'סיכום לוועדה'!G498</f>
        <v/>
      </c>
      <c r="I498" s="318" t="str">
        <f>'סיכום לוועדה'!U498</f>
        <v/>
      </c>
      <c r="J498" s="319" t="str">
        <f>'סיכום לוועדה'!T498</f>
        <v/>
      </c>
      <c r="K498" s="320" t="str">
        <f t="shared" si="135"/>
        <v/>
      </c>
      <c r="L498" s="319" t="str">
        <f t="shared" si="136"/>
        <v/>
      </c>
      <c r="M498" s="331" t="str">
        <f>'תחום תמיכה ב'!AF498</f>
        <v/>
      </c>
      <c r="N498" s="319" t="str">
        <f t="shared" si="133"/>
        <v/>
      </c>
      <c r="O498" s="321">
        <f t="shared" si="137"/>
        <v>0</v>
      </c>
      <c r="P498" s="322" t="str">
        <f t="shared" si="138"/>
        <v/>
      </c>
      <c r="Q498" s="322" t="str">
        <f t="shared" si="139"/>
        <v/>
      </c>
      <c r="R498" s="321">
        <f t="shared" si="140"/>
        <v>0</v>
      </c>
      <c r="S498" s="322" t="str">
        <f t="shared" si="141"/>
        <v/>
      </c>
      <c r="T498" s="322" t="str">
        <f t="shared" si="142"/>
        <v/>
      </c>
      <c r="U498" s="321">
        <f t="shared" si="143"/>
        <v>0</v>
      </c>
      <c r="V498" s="322" t="str">
        <f t="shared" si="144"/>
        <v/>
      </c>
      <c r="W498" s="322" t="str">
        <f t="shared" si="145"/>
        <v/>
      </c>
      <c r="X498" s="321">
        <f t="shared" si="146"/>
        <v>0</v>
      </c>
      <c r="Y498" s="322" t="str">
        <f t="shared" si="147"/>
        <v/>
      </c>
      <c r="Z498" s="322" t="str">
        <f t="shared" si="148"/>
        <v/>
      </c>
      <c r="AA498" s="323" t="str">
        <f t="shared" si="149"/>
        <v/>
      </c>
      <c r="AB498" s="323"/>
      <c r="AC498" s="323"/>
      <c r="AD498" s="323"/>
      <c r="AE498" s="323"/>
      <c r="AF498" s="324" t="str">
        <f t="shared" si="150"/>
        <v/>
      </c>
      <c r="AG498" s="312"/>
      <c r="AH498" s="312"/>
      <c r="AI498" s="325">
        <f t="shared" si="151"/>
        <v>0</v>
      </c>
      <c r="AJ498" s="312"/>
      <c r="AK498" s="312"/>
      <c r="AL498" s="312"/>
      <c r="AM498" s="312"/>
      <c r="AN498" s="312"/>
      <c r="AO498" s="312"/>
      <c r="AP498" s="312"/>
      <c r="AQ498" s="312"/>
      <c r="AR498" s="312"/>
      <c r="AS498" s="312"/>
      <c r="AT498" s="312"/>
      <c r="AU498" s="312"/>
      <c r="AV498" s="312"/>
      <c r="AW498" s="312"/>
      <c r="AX498" s="312"/>
      <c r="AY498" s="312"/>
      <c r="AZ498" s="312"/>
      <c r="BA498" s="312"/>
      <c r="BB498" s="312"/>
      <c r="BC498" s="312"/>
      <c r="BD498" s="312"/>
      <c r="BE498" s="312"/>
      <c r="BF498" s="312"/>
      <c r="BG498" s="312"/>
      <c r="BH498" s="312"/>
      <c r="BI498" s="312"/>
      <c r="BJ498" s="312"/>
      <c r="BK498" s="312"/>
      <c r="BL498" s="312"/>
      <c r="BM498" s="312"/>
      <c r="BN498" s="312"/>
      <c r="BO498" s="312"/>
      <c r="BP498" s="312"/>
      <c r="BQ498" s="312"/>
      <c r="BR498" s="312"/>
      <c r="BS498" s="312"/>
      <c r="BT498" s="312"/>
      <c r="BU498" s="312"/>
      <c r="BV498" s="312"/>
      <c r="BW498" s="312"/>
      <c r="BX498" s="312"/>
      <c r="BY498" s="312"/>
      <c r="BZ498" s="312"/>
      <c r="CA498" s="312"/>
      <c r="CB498" s="312"/>
      <c r="CC498" s="312"/>
      <c r="CD498" s="312"/>
      <c r="CE498" s="312"/>
      <c r="CF498" s="312"/>
      <c r="CG498" s="312"/>
      <c r="CH498" s="312"/>
      <c r="CI498" s="312"/>
      <c r="CJ498" s="312"/>
      <c r="CK498" s="312"/>
      <c r="CL498" s="312"/>
      <c r="CM498" s="312"/>
      <c r="CN498" s="312"/>
      <c r="CO498" s="312"/>
      <c r="CP498" s="312"/>
      <c r="CQ498" s="312"/>
      <c r="CR498" s="312"/>
      <c r="CS498" s="312"/>
      <c r="CT498" s="312"/>
      <c r="CU498" s="312"/>
      <c r="CV498" s="312"/>
      <c r="CW498" s="312"/>
      <c r="CX498" s="312"/>
      <c r="CY498" s="312"/>
      <c r="CZ498" s="312"/>
      <c r="DA498" s="312"/>
      <c r="DB498" s="312"/>
      <c r="DC498" s="312"/>
      <c r="DD498" s="312"/>
      <c r="DE498" s="312"/>
      <c r="DF498" s="312"/>
      <c r="DG498" s="312"/>
      <c r="DH498" s="312"/>
      <c r="DI498" s="312"/>
      <c r="DJ498" s="312"/>
      <c r="DK498" s="312"/>
      <c r="DL498" s="312"/>
      <c r="DM498" s="312"/>
      <c r="DN498" s="312"/>
      <c r="DO498" s="312"/>
      <c r="DP498" s="312"/>
      <c r="DQ498" s="312"/>
      <c r="DR498" s="312"/>
      <c r="DS498" s="312"/>
      <c r="DT498" s="312"/>
      <c r="DU498" s="312"/>
      <c r="DV498" s="312"/>
      <c r="DW498" s="312"/>
      <c r="DX498" s="312"/>
      <c r="DY498" s="312"/>
      <c r="DZ498" s="312"/>
      <c r="EA498" s="312"/>
      <c r="EB498" s="312"/>
      <c r="EC498" s="312"/>
      <c r="ED498" s="312"/>
      <c r="EE498" s="312"/>
      <c r="EF498" s="312"/>
      <c r="EG498" s="312"/>
      <c r="EH498" s="312"/>
      <c r="EI498" s="312"/>
      <c r="EJ498" s="312"/>
      <c r="EK498" s="312"/>
      <c r="EL498" s="312"/>
      <c r="EM498" s="312"/>
      <c r="EN498" s="312"/>
      <c r="EO498" s="312"/>
      <c r="EP498" s="312"/>
      <c r="EQ498" s="312"/>
      <c r="ER498" s="312"/>
      <c r="ES498" s="312"/>
      <c r="ET498" s="312"/>
      <c r="EU498" s="312"/>
      <c r="EV498" s="312"/>
      <c r="EW498" s="312"/>
      <c r="EX498" s="312"/>
      <c r="EY498" s="312"/>
      <c r="EZ498" s="312"/>
      <c r="FA498" s="312"/>
      <c r="FB498" s="312"/>
      <c r="FC498" s="312"/>
      <c r="FD498" s="312"/>
      <c r="FE498" s="312"/>
      <c r="FF498" s="312"/>
      <c r="FG498" s="312"/>
      <c r="FH498" s="312"/>
      <c r="FI498" s="312"/>
      <c r="FJ498" s="312"/>
      <c r="FK498" s="312"/>
      <c r="FL498" s="312"/>
      <c r="FM498" s="312"/>
      <c r="FN498" s="312"/>
      <c r="FO498" s="312"/>
      <c r="FP498" s="312"/>
      <c r="FQ498" s="312"/>
      <c r="FR498" s="312"/>
      <c r="FS498" s="312"/>
      <c r="FT498" s="312"/>
      <c r="FU498" s="312"/>
      <c r="FV498" s="312"/>
      <c r="FW498" s="312"/>
      <c r="FX498" s="312"/>
      <c r="FY498" s="312"/>
      <c r="FZ498" s="312"/>
      <c r="GA498" s="312"/>
      <c r="GB498" s="312"/>
      <c r="GC498" s="312"/>
      <c r="GD498" s="312"/>
      <c r="GE498" s="312"/>
      <c r="GF498" s="312"/>
      <c r="GG498" s="312"/>
      <c r="GH498" s="312"/>
      <c r="GI498" s="312"/>
      <c r="GJ498" s="312"/>
      <c r="GK498" s="312"/>
      <c r="GL498" s="312"/>
      <c r="GM498" s="312"/>
      <c r="GN498" s="312"/>
      <c r="GO498" s="312"/>
      <c r="GP498" s="312"/>
      <c r="GQ498" s="312"/>
      <c r="GR498" s="312"/>
      <c r="GS498" s="312"/>
      <c r="GT498" s="312"/>
      <c r="GU498" s="312"/>
      <c r="GV498" s="312"/>
      <c r="GW498" s="312"/>
      <c r="GX498" s="312"/>
      <c r="GY498" s="312"/>
    </row>
    <row r="499" spans="2:207" ht="15.75" x14ac:dyDescent="0.25">
      <c r="B499" s="316" t="str">
        <f t="shared" si="134"/>
        <v/>
      </c>
      <c r="C499" s="330" t="str">
        <f>'סיכום לוועדה'!B499</f>
        <v/>
      </c>
      <c r="D499" s="330" t="str">
        <f>'סיכום לוועדה'!C499</f>
        <v/>
      </c>
      <c r="E499" s="330" t="str">
        <f>'סיכום לוועדה'!D499</f>
        <v/>
      </c>
      <c r="F499" s="330" t="str">
        <f>'סיכום לוועדה'!E499</f>
        <v/>
      </c>
      <c r="G499" s="330" t="str">
        <f>'סיכום לוועדה'!F499</f>
        <v/>
      </c>
      <c r="H499" s="317" t="str">
        <f>'סיכום לוועדה'!G499</f>
        <v/>
      </c>
      <c r="I499" s="318" t="str">
        <f>'סיכום לוועדה'!U499</f>
        <v/>
      </c>
      <c r="J499" s="319" t="str">
        <f>'סיכום לוועדה'!T499</f>
        <v/>
      </c>
      <c r="K499" s="320" t="str">
        <f t="shared" si="135"/>
        <v/>
      </c>
      <c r="L499" s="319" t="str">
        <f t="shared" si="136"/>
        <v/>
      </c>
      <c r="M499" s="331" t="str">
        <f>'תחום תמיכה ב'!AF499</f>
        <v/>
      </c>
      <c r="N499" s="319" t="str">
        <f t="shared" si="133"/>
        <v/>
      </c>
      <c r="O499" s="321">
        <f t="shared" si="137"/>
        <v>0</v>
      </c>
      <c r="P499" s="322" t="str">
        <f t="shared" si="138"/>
        <v/>
      </c>
      <c r="Q499" s="322" t="str">
        <f t="shared" si="139"/>
        <v/>
      </c>
      <c r="R499" s="321">
        <f t="shared" si="140"/>
        <v>0</v>
      </c>
      <c r="S499" s="322" t="str">
        <f t="shared" si="141"/>
        <v/>
      </c>
      <c r="T499" s="322" t="str">
        <f t="shared" si="142"/>
        <v/>
      </c>
      <c r="U499" s="321">
        <f t="shared" si="143"/>
        <v>0</v>
      </c>
      <c r="V499" s="322" t="str">
        <f t="shared" si="144"/>
        <v/>
      </c>
      <c r="W499" s="322" t="str">
        <f t="shared" si="145"/>
        <v/>
      </c>
      <c r="X499" s="321">
        <f t="shared" si="146"/>
        <v>0</v>
      </c>
      <c r="Y499" s="322" t="str">
        <f t="shared" si="147"/>
        <v/>
      </c>
      <c r="Z499" s="322" t="str">
        <f t="shared" si="148"/>
        <v/>
      </c>
      <c r="AA499" s="323" t="str">
        <f t="shared" si="149"/>
        <v/>
      </c>
      <c r="AB499" s="323"/>
      <c r="AC499" s="323"/>
      <c r="AD499" s="323"/>
      <c r="AE499" s="323"/>
      <c r="AF499" s="324" t="str">
        <f t="shared" si="150"/>
        <v/>
      </c>
      <c r="AG499" s="312"/>
      <c r="AH499" s="312"/>
      <c r="AI499" s="325">
        <f t="shared" si="151"/>
        <v>0</v>
      </c>
      <c r="AJ499" s="312"/>
      <c r="AK499" s="312"/>
      <c r="AL499" s="312"/>
      <c r="AM499" s="312"/>
      <c r="AN499" s="312"/>
      <c r="AO499" s="312"/>
      <c r="AP499" s="312"/>
      <c r="AQ499" s="312"/>
      <c r="AR499" s="312"/>
      <c r="AS499" s="312"/>
      <c r="AT499" s="312"/>
      <c r="AU499" s="312"/>
      <c r="AV499" s="312"/>
      <c r="AW499" s="312"/>
      <c r="AX499" s="312"/>
      <c r="AY499" s="312"/>
      <c r="AZ499" s="312"/>
      <c r="BA499" s="312"/>
      <c r="BB499" s="312"/>
      <c r="BC499" s="312"/>
      <c r="BD499" s="312"/>
      <c r="BE499" s="312"/>
      <c r="BF499" s="312"/>
      <c r="BG499" s="312"/>
      <c r="BH499" s="312"/>
      <c r="BI499" s="312"/>
      <c r="BJ499" s="312"/>
      <c r="BK499" s="312"/>
      <c r="BL499" s="312"/>
      <c r="BM499" s="312"/>
      <c r="BN499" s="312"/>
      <c r="BO499" s="312"/>
      <c r="BP499" s="312"/>
      <c r="BQ499" s="312"/>
      <c r="BR499" s="312"/>
      <c r="BS499" s="312"/>
      <c r="BT499" s="312"/>
      <c r="BU499" s="312"/>
      <c r="BV499" s="312"/>
      <c r="BW499" s="312"/>
      <c r="BX499" s="312"/>
      <c r="BY499" s="312"/>
      <c r="BZ499" s="312"/>
      <c r="CA499" s="312"/>
      <c r="CB499" s="312"/>
      <c r="CC499" s="312"/>
      <c r="CD499" s="312"/>
      <c r="CE499" s="312"/>
      <c r="CF499" s="312"/>
      <c r="CG499" s="312"/>
      <c r="CH499" s="312"/>
      <c r="CI499" s="312"/>
      <c r="CJ499" s="312"/>
      <c r="CK499" s="312"/>
      <c r="CL499" s="312"/>
      <c r="CM499" s="312"/>
      <c r="CN499" s="312"/>
      <c r="CO499" s="312"/>
      <c r="CP499" s="312"/>
      <c r="CQ499" s="312"/>
      <c r="CR499" s="312"/>
      <c r="CS499" s="312"/>
      <c r="CT499" s="312"/>
      <c r="CU499" s="312"/>
      <c r="CV499" s="312"/>
      <c r="CW499" s="312"/>
      <c r="CX499" s="312"/>
      <c r="CY499" s="312"/>
      <c r="CZ499" s="312"/>
      <c r="DA499" s="312"/>
      <c r="DB499" s="312"/>
      <c r="DC499" s="312"/>
      <c r="DD499" s="312"/>
      <c r="DE499" s="312"/>
      <c r="DF499" s="312"/>
      <c r="DG499" s="312"/>
      <c r="DH499" s="312"/>
      <c r="DI499" s="312"/>
      <c r="DJ499" s="312"/>
      <c r="DK499" s="312"/>
      <c r="DL499" s="312"/>
      <c r="DM499" s="312"/>
      <c r="DN499" s="312"/>
      <c r="DO499" s="312"/>
      <c r="DP499" s="312"/>
      <c r="DQ499" s="312"/>
      <c r="DR499" s="312"/>
      <c r="DS499" s="312"/>
      <c r="DT499" s="312"/>
      <c r="DU499" s="312"/>
      <c r="DV499" s="312"/>
      <c r="DW499" s="312"/>
      <c r="DX499" s="312"/>
      <c r="DY499" s="312"/>
      <c r="DZ499" s="312"/>
      <c r="EA499" s="312"/>
      <c r="EB499" s="312"/>
      <c r="EC499" s="312"/>
      <c r="ED499" s="312"/>
      <c r="EE499" s="312"/>
      <c r="EF499" s="312"/>
      <c r="EG499" s="312"/>
      <c r="EH499" s="312"/>
      <c r="EI499" s="312"/>
      <c r="EJ499" s="312"/>
      <c r="EK499" s="312"/>
      <c r="EL499" s="312"/>
      <c r="EM499" s="312"/>
      <c r="EN499" s="312"/>
      <c r="EO499" s="312"/>
      <c r="EP499" s="312"/>
      <c r="EQ499" s="312"/>
      <c r="ER499" s="312"/>
      <c r="ES499" s="312"/>
      <c r="ET499" s="312"/>
      <c r="EU499" s="312"/>
      <c r="EV499" s="312"/>
      <c r="EW499" s="312"/>
      <c r="EX499" s="312"/>
      <c r="EY499" s="312"/>
      <c r="EZ499" s="312"/>
      <c r="FA499" s="312"/>
      <c r="FB499" s="312"/>
      <c r="FC499" s="312"/>
      <c r="FD499" s="312"/>
      <c r="FE499" s="312"/>
      <c r="FF499" s="312"/>
      <c r="FG499" s="312"/>
      <c r="FH499" s="312"/>
      <c r="FI499" s="312"/>
      <c r="FJ499" s="312"/>
      <c r="FK499" s="312"/>
      <c r="FL499" s="312"/>
      <c r="FM499" s="312"/>
      <c r="FN499" s="312"/>
      <c r="FO499" s="312"/>
      <c r="FP499" s="312"/>
      <c r="FQ499" s="312"/>
      <c r="FR499" s="312"/>
      <c r="FS499" s="312"/>
      <c r="FT499" s="312"/>
      <c r="FU499" s="312"/>
      <c r="FV499" s="312"/>
      <c r="FW499" s="312"/>
      <c r="FX499" s="312"/>
      <c r="FY499" s="312"/>
      <c r="FZ499" s="312"/>
      <c r="GA499" s="312"/>
      <c r="GB499" s="312"/>
      <c r="GC499" s="312"/>
      <c r="GD499" s="312"/>
      <c r="GE499" s="312"/>
      <c r="GF499" s="312"/>
      <c r="GG499" s="312"/>
      <c r="GH499" s="312"/>
      <c r="GI499" s="312"/>
      <c r="GJ499" s="312"/>
      <c r="GK499" s="312"/>
      <c r="GL499" s="312"/>
      <c r="GM499" s="312"/>
      <c r="GN499" s="312"/>
      <c r="GO499" s="312"/>
      <c r="GP499" s="312"/>
      <c r="GQ499" s="312"/>
      <c r="GR499" s="312"/>
      <c r="GS499" s="312"/>
      <c r="GT499" s="312"/>
      <c r="GU499" s="312"/>
      <c r="GV499" s="312"/>
      <c r="GW499" s="312"/>
      <c r="GX499" s="312"/>
      <c r="GY499" s="312"/>
    </row>
    <row r="500" spans="2:207" ht="16.5" thickBot="1" x14ac:dyDescent="0.3">
      <c r="B500" s="316" t="str">
        <f t="shared" si="134"/>
        <v/>
      </c>
      <c r="C500" s="330" t="str">
        <f>'סיכום לוועדה'!B500</f>
        <v/>
      </c>
      <c r="D500" s="330" t="str">
        <f>'סיכום לוועדה'!C500</f>
        <v/>
      </c>
      <c r="E500" s="330" t="str">
        <f>'סיכום לוועדה'!D500</f>
        <v/>
      </c>
      <c r="F500" s="330" t="str">
        <f>'סיכום לוועדה'!E500</f>
        <v/>
      </c>
      <c r="G500" s="330" t="str">
        <f>'סיכום לוועדה'!F500</f>
        <v/>
      </c>
      <c r="H500" s="317" t="str">
        <f>'סיכום לוועדה'!G500</f>
        <v/>
      </c>
      <c r="I500" s="318" t="str">
        <f>'סיכום לוועדה'!U500</f>
        <v/>
      </c>
      <c r="J500" s="319" t="str">
        <f>'סיכום לוועדה'!T500</f>
        <v/>
      </c>
      <c r="K500" s="320" t="str">
        <f t="shared" si="135"/>
        <v/>
      </c>
      <c r="L500" s="319" t="str">
        <f t="shared" si="136"/>
        <v/>
      </c>
      <c r="M500" s="331" t="str">
        <f>'תחום תמיכה ב'!AF500</f>
        <v/>
      </c>
      <c r="N500" s="319" t="str">
        <f t="shared" si="133"/>
        <v/>
      </c>
      <c r="O500" s="321">
        <f t="shared" si="137"/>
        <v>0</v>
      </c>
      <c r="P500" s="322" t="str">
        <f t="shared" si="138"/>
        <v/>
      </c>
      <c r="Q500" s="322" t="str">
        <f t="shared" si="139"/>
        <v/>
      </c>
      <c r="R500" s="321">
        <f t="shared" si="140"/>
        <v>0</v>
      </c>
      <c r="S500" s="322" t="str">
        <f t="shared" si="141"/>
        <v/>
      </c>
      <c r="T500" s="322" t="str">
        <f t="shared" si="142"/>
        <v/>
      </c>
      <c r="U500" s="321">
        <f t="shared" si="143"/>
        <v>0</v>
      </c>
      <c r="V500" s="322" t="str">
        <f t="shared" si="144"/>
        <v/>
      </c>
      <c r="W500" s="322" t="str">
        <f t="shared" si="145"/>
        <v/>
      </c>
      <c r="X500" s="321">
        <f t="shared" si="146"/>
        <v>0</v>
      </c>
      <c r="Y500" s="322" t="str">
        <f t="shared" si="147"/>
        <v/>
      </c>
      <c r="Z500" s="322" t="str">
        <f t="shared" si="148"/>
        <v/>
      </c>
      <c r="AA500" s="323" t="str">
        <f t="shared" si="149"/>
        <v/>
      </c>
      <c r="AB500" s="323"/>
      <c r="AC500" s="323"/>
      <c r="AD500" s="323"/>
      <c r="AE500" s="323"/>
      <c r="AF500" s="324" t="str">
        <f t="shared" si="150"/>
        <v/>
      </c>
      <c r="AG500" s="312"/>
      <c r="AH500" s="312"/>
      <c r="AI500" s="325">
        <f t="shared" si="151"/>
        <v>0</v>
      </c>
      <c r="AJ500" s="312"/>
      <c r="AK500" s="312"/>
      <c r="AL500" s="312"/>
      <c r="AM500" s="312"/>
      <c r="AN500" s="312"/>
      <c r="AO500" s="312"/>
      <c r="AP500" s="312"/>
      <c r="AQ500" s="312"/>
      <c r="AR500" s="312"/>
      <c r="AS500" s="312"/>
      <c r="AT500" s="312"/>
      <c r="AU500" s="312"/>
      <c r="AV500" s="312"/>
      <c r="AW500" s="312"/>
      <c r="AX500" s="312"/>
      <c r="AY500" s="312"/>
      <c r="AZ500" s="312"/>
      <c r="BA500" s="312"/>
      <c r="BB500" s="312"/>
      <c r="BC500" s="312"/>
      <c r="BD500" s="312"/>
      <c r="BE500" s="312"/>
      <c r="BF500" s="312"/>
      <c r="BG500" s="312"/>
      <c r="BH500" s="312"/>
      <c r="BI500" s="312"/>
      <c r="BJ500" s="312"/>
      <c r="BK500" s="312"/>
      <c r="BL500" s="312"/>
      <c r="BM500" s="312"/>
      <c r="BN500" s="312"/>
      <c r="BO500" s="312"/>
      <c r="BP500" s="312"/>
      <c r="BQ500" s="312"/>
      <c r="BR500" s="312"/>
      <c r="BS500" s="312"/>
      <c r="BT500" s="312"/>
      <c r="BU500" s="312"/>
      <c r="BV500" s="312"/>
      <c r="BW500" s="312"/>
      <c r="BX500" s="312"/>
      <c r="BY500" s="312"/>
      <c r="BZ500" s="312"/>
      <c r="CA500" s="312"/>
      <c r="CB500" s="312"/>
      <c r="CC500" s="312"/>
      <c r="CD500" s="312"/>
      <c r="CE500" s="312"/>
      <c r="CF500" s="312"/>
      <c r="CG500" s="312"/>
      <c r="CH500" s="312"/>
      <c r="CI500" s="312"/>
      <c r="CJ500" s="312"/>
      <c r="CK500" s="312"/>
      <c r="CL500" s="312"/>
      <c r="CM500" s="312"/>
      <c r="CN500" s="312"/>
      <c r="CO500" s="312"/>
      <c r="CP500" s="312"/>
      <c r="CQ500" s="312"/>
      <c r="CR500" s="312"/>
      <c r="CS500" s="312"/>
      <c r="CT500" s="312"/>
      <c r="CU500" s="312"/>
      <c r="CV500" s="312"/>
      <c r="CW500" s="312"/>
      <c r="CX500" s="312"/>
      <c r="CY500" s="312"/>
      <c r="CZ500" s="312"/>
      <c r="DA500" s="312"/>
      <c r="DB500" s="312"/>
      <c r="DC500" s="312"/>
      <c r="DD500" s="312"/>
      <c r="DE500" s="312"/>
      <c r="DF500" s="312"/>
      <c r="DG500" s="312"/>
      <c r="DH500" s="312"/>
      <c r="DI500" s="312"/>
      <c r="DJ500" s="312"/>
      <c r="DK500" s="312"/>
      <c r="DL500" s="312"/>
      <c r="DM500" s="312"/>
      <c r="DN500" s="312"/>
      <c r="DO500" s="312"/>
      <c r="DP500" s="312"/>
      <c r="DQ500" s="312"/>
      <c r="DR500" s="312"/>
      <c r="DS500" s="312"/>
      <c r="DT500" s="312"/>
      <c r="DU500" s="312"/>
      <c r="DV500" s="312"/>
      <c r="DW500" s="312"/>
      <c r="DX500" s="312"/>
      <c r="DY500" s="312"/>
      <c r="DZ500" s="312"/>
      <c r="EA500" s="312"/>
      <c r="EB500" s="312"/>
      <c r="EC500" s="312"/>
      <c r="ED500" s="312"/>
      <c r="EE500" s="312"/>
      <c r="EF500" s="312"/>
      <c r="EG500" s="312"/>
      <c r="EH500" s="312"/>
      <c r="EI500" s="312"/>
      <c r="EJ500" s="312"/>
      <c r="EK500" s="312"/>
      <c r="EL500" s="312"/>
      <c r="EM500" s="312"/>
      <c r="EN500" s="312"/>
      <c r="EO500" s="312"/>
      <c r="EP500" s="312"/>
      <c r="EQ500" s="312"/>
      <c r="ER500" s="312"/>
      <c r="ES500" s="312"/>
      <c r="ET500" s="312"/>
      <c r="EU500" s="312"/>
      <c r="EV500" s="312"/>
      <c r="EW500" s="312"/>
      <c r="EX500" s="312"/>
      <c r="EY500" s="312"/>
      <c r="EZ500" s="312"/>
      <c r="FA500" s="312"/>
      <c r="FB500" s="312"/>
      <c r="FC500" s="312"/>
      <c r="FD500" s="312"/>
      <c r="FE500" s="312"/>
      <c r="FF500" s="312"/>
      <c r="FG500" s="312"/>
      <c r="FH500" s="312"/>
      <c r="FI500" s="312"/>
      <c r="FJ500" s="312"/>
      <c r="FK500" s="312"/>
      <c r="FL500" s="312"/>
      <c r="FM500" s="312"/>
      <c r="FN500" s="312"/>
      <c r="FO500" s="312"/>
      <c r="FP500" s="312"/>
      <c r="FQ500" s="312"/>
      <c r="FR500" s="312"/>
      <c r="FS500" s="312"/>
      <c r="FT500" s="312"/>
      <c r="FU500" s="312"/>
      <c r="FV500" s="312"/>
      <c r="FW500" s="312"/>
      <c r="FX500" s="312"/>
      <c r="FY500" s="312"/>
      <c r="FZ500" s="312"/>
      <c r="GA500" s="312"/>
      <c r="GB500" s="312"/>
      <c r="GC500" s="312"/>
      <c r="GD500" s="312"/>
      <c r="GE500" s="312"/>
      <c r="GF500" s="312"/>
      <c r="GG500" s="312"/>
      <c r="GH500" s="312"/>
      <c r="GI500" s="312"/>
      <c r="GJ500" s="312"/>
      <c r="GK500" s="312"/>
      <c r="GL500" s="312"/>
      <c r="GM500" s="312"/>
      <c r="GN500" s="312"/>
      <c r="GO500" s="312"/>
      <c r="GP500" s="312"/>
      <c r="GQ500" s="312"/>
      <c r="GR500" s="312"/>
      <c r="GS500" s="312"/>
      <c r="GT500" s="312"/>
      <c r="GU500" s="312"/>
      <c r="GV500" s="312"/>
      <c r="GW500" s="312"/>
      <c r="GX500" s="312"/>
      <c r="GY500" s="312"/>
    </row>
    <row r="501" spans="2:207" ht="18.75" thickBot="1" x14ac:dyDescent="0.3">
      <c r="B501" s="429" t="s">
        <v>0</v>
      </c>
      <c r="C501" s="430"/>
      <c r="D501" s="430"/>
      <c r="E501" s="430"/>
      <c r="F501" s="430"/>
      <c r="G501" s="430"/>
      <c r="H501" s="431"/>
      <c r="I501" s="326">
        <f>SUM(I31:I500)</f>
        <v>415289085</v>
      </c>
      <c r="J501" s="326">
        <f>SUM(J31:J500)</f>
        <v>174618088.52216071</v>
      </c>
      <c r="K501" s="326"/>
      <c r="L501" s="326">
        <f t="shared" ref="L501:AA501" si="152">SUM(L31:L500)</f>
        <v>160052446.14793533</v>
      </c>
      <c r="M501" s="332">
        <f t="shared" si="152"/>
        <v>0.99999999999999956</v>
      </c>
      <c r="N501" s="326">
        <f t="shared" si="152"/>
        <v>174618088.52216065</v>
      </c>
      <c r="O501" s="326">
        <f t="shared" si="152"/>
        <v>21</v>
      </c>
      <c r="P501" s="326">
        <f t="shared" si="152"/>
        <v>174544158.57045484</v>
      </c>
      <c r="Q501" s="326">
        <f t="shared" si="152"/>
        <v>174618088.5221611</v>
      </c>
      <c r="R501" s="326">
        <f t="shared" si="152"/>
        <v>21</v>
      </c>
      <c r="S501" s="326">
        <f t="shared" si="152"/>
        <v>174618088.5221611</v>
      </c>
      <c r="T501" s="326">
        <f t="shared" si="152"/>
        <v>174618088.52216065</v>
      </c>
      <c r="U501" s="326">
        <f t="shared" si="152"/>
        <v>21</v>
      </c>
      <c r="V501" s="326">
        <f t="shared" si="152"/>
        <v>174618088.52216065</v>
      </c>
      <c r="W501" s="326">
        <f t="shared" si="152"/>
        <v>174618088.52216074</v>
      </c>
      <c r="X501" s="326">
        <f t="shared" si="152"/>
        <v>21</v>
      </c>
      <c r="Y501" s="326">
        <f t="shared" si="152"/>
        <v>174618088.52216074</v>
      </c>
      <c r="Z501" s="326">
        <f t="shared" si="152"/>
        <v>174618088.52216068</v>
      </c>
      <c r="AA501" s="326">
        <f t="shared" si="152"/>
        <v>174618088.52216068</v>
      </c>
      <c r="AB501" s="326"/>
      <c r="AC501" s="326"/>
      <c r="AD501" s="326"/>
      <c r="AE501" s="326"/>
      <c r="AF501" s="327">
        <f>SUM(AF31:AF500)</f>
        <v>1.0000000000000007</v>
      </c>
    </row>
  </sheetData>
  <sheetProtection password="CCB7" sheet="1" objects="1" scenarios="1" formatColumns="0" formatRows="0"/>
  <mergeCells count="13">
    <mergeCell ref="AI29:AI30"/>
    <mergeCell ref="B501:H501"/>
    <mergeCell ref="M29:M30"/>
    <mergeCell ref="K2:AA2"/>
    <mergeCell ref="B28:AF28"/>
    <mergeCell ref="B29:B30"/>
    <mergeCell ref="H29:H30"/>
    <mergeCell ref="J29:J30"/>
    <mergeCell ref="K29:K30"/>
    <mergeCell ref="L29:L30"/>
    <mergeCell ref="N29:N30"/>
    <mergeCell ref="AA29:AA30"/>
    <mergeCell ref="AF29:AF30"/>
  </mergeCells>
  <conditionalFormatting sqref="I1">
    <cfRule type="containsBlanks" dxfId="17" priority="6">
      <formula>LEN(TRIM(I1))=0</formula>
    </cfRule>
  </conditionalFormatting>
  <conditionalFormatting sqref="I2">
    <cfRule type="containsBlanks" dxfId="16" priority="5">
      <formula>LEN(TRIM(I2))=0</formula>
    </cfRule>
  </conditionalFormatting>
  <conditionalFormatting sqref="B31:AF500">
    <cfRule type="expression" dxfId="15" priority="1752" stopIfTrue="1">
      <formula>AND($H31="",B31&lt;&gt;"")</formula>
    </cfRule>
    <cfRule type="expression" dxfId="14" priority="1753">
      <formula>$H31=""</formula>
    </cfRule>
    <cfRule type="expression" dxfId="13" priority="1754">
      <formula>B$30&lt;&gt;""</formula>
    </cfRule>
  </conditionalFormatting>
  <dataValidations count="1">
    <dataValidation type="decimal" operator="greaterThanOrEqual" allowBlank="1" showInputMessage="1" showErrorMessage="1" error="יש להזין מספר שאינו שלילי" sqref="I31:I500">
      <formula1>0</formula1>
    </dataValidation>
  </dataValidations>
  <printOptions horizontalCentered="1"/>
  <pageMargins left="0.51181102362204722" right="0.51181102362204722" top="0.74803149606299213" bottom="0.74803149606299213" header="0.31496062992125984" footer="0.31496062992125984"/>
  <pageSetup paperSize="9" scale="44" orientation="portrait" horizontalDpi="1200" verticalDpi="1200" r:id="rId1"/>
  <headerFooter>
    <oddHeader>&amp;C&amp;"-,מודגש"&amp;Uמבחנים לתמיכה של משרד התרבות והספורט</oddHeader>
    <oddFooter>&amp;Lא. חפץ ושות'
יעוץ כלכלי&amp;C&amp;P</oddFooter>
  </headerFooter>
  <extLst>
    <ext xmlns:x14="http://schemas.microsoft.com/office/spreadsheetml/2009/9/main" uri="{78C0D931-6437-407d-A8EE-F0AAD7539E65}">
      <x14:conditionalFormattings>
        <x14:conditionalFormatting xmlns:xm="http://schemas.microsoft.com/office/excel/2006/main">
          <x14:cfRule type="containsText" priority="1758" operator="containsText" id="{93F93624-A206-4776-B19E-FB941B99FB4A}">
            <xm:f>NOT(ISERROR(SEARCH($AN$1,B31)))</xm:f>
            <xm:f>$AN$1</xm:f>
            <x14:dxf>
              <fill>
                <patternFill>
                  <bgColor rgb="FFFF0000"/>
                </patternFill>
              </fill>
            </x14:dxf>
          </x14:cfRule>
          <xm:sqref>B31:AF500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39997558519241921"/>
    <pageSetUpPr fitToPage="1"/>
  </sheetPr>
  <dimension ref="A1:T501"/>
  <sheetViews>
    <sheetView rightToLeft="1" view="pageBreakPreview" zoomScale="70" zoomScaleNormal="100" zoomScaleSheetLayoutView="70" workbookViewId="0">
      <pane ySplit="4" topLeftCell="A5" activePane="bottomLeft" state="frozen"/>
      <selection pane="bottomLeft" activeCell="R5" sqref="R5"/>
    </sheetView>
  </sheetViews>
  <sheetFormatPr defaultRowHeight="15" x14ac:dyDescent="0.25"/>
  <cols>
    <col min="1" max="1" width="5" customWidth="1"/>
    <col min="2" max="2" width="13.125" style="9" customWidth="1"/>
    <col min="3" max="3" width="10.125" style="9" customWidth="1"/>
    <col min="4" max="4" width="9.375" style="9" customWidth="1"/>
    <col min="5" max="7" width="18" style="12" customWidth="1"/>
    <col min="8" max="11" width="16.125" style="12" customWidth="1"/>
    <col min="12" max="12" width="11.25" style="12" customWidth="1"/>
    <col min="13" max="13" width="13.625" style="18" hidden="1" customWidth="1"/>
    <col min="14" max="14" width="139.75" style="22" hidden="1" customWidth="1"/>
    <col min="15" max="15" width="12.75" style="22" customWidth="1"/>
    <col min="16" max="16" width="9" style="9" customWidth="1"/>
    <col min="17" max="17" width="12.25" style="9" bestFit="1" customWidth="1"/>
  </cols>
  <sheetData>
    <row r="1" spans="1:17" ht="14.25" x14ac:dyDescent="0.2">
      <c r="A1" s="426" t="s">
        <v>458</v>
      </c>
      <c r="B1" s="426"/>
      <c r="C1" s="426"/>
      <c r="D1" s="426"/>
      <c r="E1" s="426"/>
      <c r="F1" s="426"/>
      <c r="G1" s="426"/>
      <c r="H1" s="426"/>
      <c r="I1" s="426"/>
      <c r="J1" s="426"/>
      <c r="K1" s="426"/>
      <c r="L1" s="426"/>
      <c r="M1" s="426"/>
      <c r="N1" s="426"/>
      <c r="O1" s="426"/>
      <c r="P1" s="426"/>
      <c r="Q1" s="426"/>
    </row>
    <row r="2" spans="1:17" ht="14.25" x14ac:dyDescent="0.2">
      <c r="A2" s="426"/>
      <c r="B2" s="426"/>
      <c r="C2" s="426"/>
      <c r="D2" s="426"/>
      <c r="E2" s="426"/>
      <c r="F2" s="426"/>
      <c r="G2" s="426"/>
      <c r="H2" s="426"/>
      <c r="I2" s="426"/>
      <c r="J2" s="426"/>
      <c r="K2" s="426"/>
      <c r="L2" s="426"/>
      <c r="M2" s="426"/>
      <c r="N2" s="426"/>
      <c r="O2" s="426"/>
      <c r="P2" s="426"/>
      <c r="Q2" s="426"/>
    </row>
    <row r="3" spans="1:17" ht="15.75" thickBot="1" x14ac:dyDescent="0.3">
      <c r="N3" s="18"/>
      <c r="O3" s="18"/>
    </row>
    <row r="4" spans="1:17" ht="45.75" thickBot="1" x14ac:dyDescent="0.25">
      <c r="A4" s="238" t="s">
        <v>266</v>
      </c>
      <c r="B4" s="236" t="str">
        <f>'סיכום לוועדה'!E30</f>
        <v>מס' מרכבה - רשות</v>
      </c>
      <c r="C4" s="236" t="str">
        <f>'סיכום לוועדה'!F30</f>
        <v>שם הרשות</v>
      </c>
      <c r="D4" s="236" t="str">
        <f>'סיכום לוועדה'!G30</f>
        <v>שם המוסד</v>
      </c>
      <c r="E4" s="236" t="str">
        <f>'סיכום לוועדה'!H30</f>
        <v>סוג פעילות</v>
      </c>
      <c r="F4" s="236"/>
      <c r="G4" s="236"/>
      <c r="H4" s="236"/>
      <c r="I4" s="236"/>
      <c r="J4" s="236"/>
      <c r="K4" s="236"/>
      <c r="L4" s="236"/>
      <c r="M4" s="236"/>
      <c r="N4" s="236"/>
      <c r="O4" s="236"/>
      <c r="P4" s="239" t="s">
        <v>267</v>
      </c>
      <c r="Q4" s="239" t="s">
        <v>303</v>
      </c>
    </row>
    <row r="5" spans="1:17" s="14" customFormat="1" ht="29.25" x14ac:dyDescent="0.25">
      <c r="A5" s="240">
        <f>'סיכום לוועדה'!A31</f>
        <v>1</v>
      </c>
      <c r="B5" s="241">
        <f>'סיכום לוועדה'!E31</f>
        <v>20000159</v>
      </c>
      <c r="C5" s="241" t="str">
        <f>'סיכום לוועדה'!F31</f>
        <v>ירושלים</v>
      </c>
      <c r="D5" s="241" t="str">
        <f>'סיכום לוועדה'!G31</f>
        <v>בית עגנון בירושלים</v>
      </c>
      <c r="E5" s="242" t="str">
        <f>'סיכום לוועדה'!H31</f>
        <v>מרכזי פרינג'</v>
      </c>
      <c r="F5" s="242"/>
      <c r="G5" s="242"/>
      <c r="H5" s="75"/>
      <c r="I5" s="243"/>
      <c r="J5" s="75"/>
      <c r="K5" s="77"/>
      <c r="L5" s="75"/>
      <c r="M5" s="78"/>
      <c r="N5" s="244"/>
      <c r="O5" s="79"/>
      <c r="P5" s="76" t="str">
        <f>IF(IFERROR(VLOOKUP(B5,'בקשות שאושרו'!$B$2:$I$466,1,0),"")="","",1)</f>
        <v/>
      </c>
      <c r="Q5" s="245" t="str">
        <f>IFERROR(VLOOKUP(B5,'בקשות שאושרו'!$B$2:$K$466,COLUMN('בקשות שאושרו'!$J$1)-COLUMN('בקשות שאושרו'!$B$1)+1,0),"")</f>
        <v/>
      </c>
    </row>
    <row r="6" spans="1:17" ht="57.75" x14ac:dyDescent="0.25">
      <c r="A6" s="240">
        <f>'סיכום לוועדה'!A32</f>
        <v>2</v>
      </c>
      <c r="B6" s="241">
        <f>'סיכום לוועדה'!E32</f>
        <v>20000254</v>
      </c>
      <c r="C6" s="241" t="str">
        <f>'סיכום לוועדה'!F32</f>
        <v>באר שבע</v>
      </c>
      <c r="D6" s="241" t="str">
        <f>'סיכום לוועדה'!G32</f>
        <v>עמותת הסינפונייטה הישראלית באר שבע</v>
      </c>
      <c r="E6" s="242" t="str">
        <f>'סיכום לוועדה'!H32</f>
        <v>מוסיקה-גופים כליים</v>
      </c>
      <c r="F6" s="242"/>
      <c r="G6" s="242"/>
      <c r="H6" s="75"/>
      <c r="I6" s="243"/>
      <c r="J6" s="75"/>
      <c r="K6" s="77"/>
      <c r="L6" s="75"/>
      <c r="M6" s="78"/>
      <c r="N6" s="244"/>
      <c r="O6" s="79"/>
      <c r="P6" s="76" t="str">
        <f>IF(IFERROR(VLOOKUP(B6,'בקשות שאושרו'!$B$2:$I$466,1,0),"")="","",1)</f>
        <v/>
      </c>
      <c r="Q6" s="245" t="str">
        <f>IFERROR(VLOOKUP(B6,'בקשות שאושרו'!$B$2:$K$466,COLUMN('בקשות שאושרו'!$J$1)-COLUMN('בקשות שאושרו'!$B$1)+1,0),"")</f>
        <v/>
      </c>
    </row>
    <row r="7" spans="1:17" ht="57.75" x14ac:dyDescent="0.25">
      <c r="A7" s="240">
        <f>'סיכום לוועדה'!A33</f>
        <v>3</v>
      </c>
      <c r="B7" s="241">
        <f>'סיכום לוועדה'!E33</f>
        <v>20000250</v>
      </c>
      <c r="C7" s="241" t="str">
        <f>'סיכום לוועדה'!F33</f>
        <v>רמת גן</v>
      </c>
      <c r="D7" s="241" t="str">
        <f>'סיכום לוועדה'!G33</f>
        <v>בית צבי ביה"ס לאומנויות הבמה</v>
      </c>
      <c r="E7" s="242" t="str">
        <f>'סיכום לוועדה'!H33</f>
        <v>בתי ספר למשחק</v>
      </c>
      <c r="F7" s="242"/>
      <c r="G7" s="242"/>
      <c r="H7" s="75"/>
      <c r="I7" s="243"/>
      <c r="J7" s="75"/>
      <c r="K7" s="77"/>
      <c r="L7" s="75"/>
      <c r="M7" s="78"/>
      <c r="N7" s="244"/>
      <c r="O7" s="79"/>
      <c r="P7" s="76" t="str">
        <f>IF(IFERROR(VLOOKUP(B7,'בקשות שאושרו'!$B$2:$I$466,1,0),"")="","",1)</f>
        <v/>
      </c>
      <c r="Q7" s="245" t="str">
        <f>IFERROR(VLOOKUP(B7,'בקשות שאושרו'!$B$2:$K$466,COLUMN('בקשות שאושרו'!$J$1)-COLUMN('בקשות שאושרו'!$B$1)+1,0),"")</f>
        <v/>
      </c>
    </row>
    <row r="8" spans="1:17" ht="43.5" x14ac:dyDescent="0.25">
      <c r="A8" s="240">
        <f>'סיכום לוועדה'!A34</f>
        <v>4</v>
      </c>
      <c r="B8" s="241">
        <f>'סיכום לוועדה'!E34</f>
        <v>20000161</v>
      </c>
      <c r="C8" s="241" t="str">
        <f>'סיכום לוועדה'!F34</f>
        <v>מנשה</v>
      </c>
      <c r="D8" s="241" t="str">
        <f>'סיכום לוועדה'!G34</f>
        <v>מוזיאון חצר ראשונים עין שמר</v>
      </c>
      <c r="E8" s="242" t="str">
        <f>'סיכום לוועדה'!H34</f>
        <v>מוזיאונים</v>
      </c>
      <c r="F8" s="242"/>
      <c r="G8" s="242"/>
      <c r="H8" s="75"/>
      <c r="I8" s="243"/>
      <c r="J8" s="75"/>
      <c r="K8" s="77"/>
      <c r="L8" s="75"/>
      <c r="M8" s="78"/>
      <c r="N8" s="244"/>
      <c r="O8" s="79"/>
      <c r="P8" s="76" t="str">
        <f>IF(IFERROR(VLOOKUP(B8,'בקשות שאושרו'!$B$2:$I$466,1,0),"")="","",1)</f>
        <v/>
      </c>
      <c r="Q8" s="245" t="str">
        <f>IFERROR(VLOOKUP(B8,'בקשות שאושרו'!$B$2:$K$466,COLUMN('בקשות שאושרו'!$J$1)-COLUMN('בקשות שאושרו'!$B$1)+1,0),"")</f>
        <v/>
      </c>
    </row>
    <row r="9" spans="1:17" ht="29.25" x14ac:dyDescent="0.25">
      <c r="A9" s="240">
        <f>'סיכום לוועדה'!A35</f>
        <v>5</v>
      </c>
      <c r="B9" s="241">
        <f>'סיכום לוועדה'!E35</f>
        <v>20000201</v>
      </c>
      <c r="C9" s="241" t="str">
        <f>'סיכום לוועדה'!F35</f>
        <v>תל אביב -יפו</v>
      </c>
      <c r="D9" s="241" t="str">
        <f>'סיכום לוועדה'!G35</f>
        <v>תיאטרון היידישפיל</v>
      </c>
      <c r="E9" s="242" t="str">
        <f>'סיכום לוועדה'!H35</f>
        <v>תיאטרון</v>
      </c>
      <c r="F9" s="242"/>
      <c r="G9" s="242"/>
      <c r="H9" s="75"/>
      <c r="I9" s="243"/>
      <c r="J9" s="75"/>
      <c r="K9" s="77"/>
      <c r="L9" s="75"/>
      <c r="M9" s="78"/>
      <c r="N9" s="244"/>
      <c r="O9" s="79"/>
      <c r="P9" s="76" t="str">
        <f>IF(IFERROR(VLOOKUP(B9,'בקשות שאושרו'!$B$2:$I$466,1,0),"")="","",1)</f>
        <v/>
      </c>
      <c r="Q9" s="245" t="str">
        <f>IFERROR(VLOOKUP(B9,'בקשות שאושרו'!$B$2:$K$466,COLUMN('בקשות שאושרו'!$J$1)-COLUMN('בקשות שאושרו'!$B$1)+1,0),"")</f>
        <v/>
      </c>
    </row>
    <row r="10" spans="1:17" ht="57.75" x14ac:dyDescent="0.25">
      <c r="A10" s="240">
        <f>'סיכום לוועדה'!A36</f>
        <v>6</v>
      </c>
      <c r="B10" s="241">
        <f>'סיכום לוועדה'!E36</f>
        <v>20000201</v>
      </c>
      <c r="C10" s="241" t="str">
        <f>'סיכום לוועדה'!F36</f>
        <v>תל אביב -יפו</v>
      </c>
      <c r="D10" s="241" t="str">
        <f>'סיכום לוועדה'!G36</f>
        <v>תיאטרון אורנה פורת לילדים</v>
      </c>
      <c r="E10" s="242" t="str">
        <f>'סיכום לוועדה'!H36</f>
        <v>מחול</v>
      </c>
      <c r="F10" s="242"/>
      <c r="G10" s="242"/>
      <c r="H10" s="75"/>
      <c r="I10" s="243"/>
      <c r="J10" s="75"/>
      <c r="K10" s="77"/>
      <c r="L10" s="75"/>
      <c r="M10" s="78"/>
      <c r="N10" s="244"/>
      <c r="O10" s="79"/>
      <c r="P10" s="76" t="str">
        <f>IF(IFERROR(VLOOKUP(B10,'בקשות שאושרו'!$B$2:$I$466,1,0),"")="","",1)</f>
        <v/>
      </c>
      <c r="Q10" s="245" t="str">
        <f>IFERROR(VLOOKUP(B10,'בקשות שאושרו'!$B$2:$K$466,COLUMN('בקשות שאושרו'!$J$1)-COLUMN('בקשות שאושרו'!$B$1)+1,0),"")</f>
        <v/>
      </c>
    </row>
    <row r="11" spans="1:17" ht="72" x14ac:dyDescent="0.25">
      <c r="A11" s="240">
        <f>'סיכום לוועדה'!A37</f>
        <v>7</v>
      </c>
      <c r="B11" s="241">
        <f>'סיכום לוועדה'!E37</f>
        <v>20000135</v>
      </c>
      <c r="C11" s="241" t="str">
        <f>'סיכום לוועדה'!F37</f>
        <v>הגלבוע</v>
      </c>
      <c r="D11" s="241" t="str">
        <f>'סיכום לוועדה'!G37</f>
        <v>משכן לאמנות עין חרוד ע"ש חיים אתר בע"מ</v>
      </c>
      <c r="E11" s="242" t="str">
        <f>'סיכום לוועדה'!H37</f>
        <v>מוזיאונים</v>
      </c>
      <c r="F11" s="242"/>
      <c r="G11" s="242"/>
      <c r="H11" s="75"/>
      <c r="I11" s="243"/>
      <c r="J11" s="75"/>
      <c r="K11" s="77"/>
      <c r="L11" s="75"/>
      <c r="M11" s="78"/>
      <c r="N11" s="244"/>
      <c r="O11" s="79"/>
      <c r="P11" s="76" t="str">
        <f>IF(IFERROR(VLOOKUP(B11,'בקשות שאושרו'!$B$2:$I$466,1,0),"")="","",1)</f>
        <v/>
      </c>
      <c r="Q11" s="245" t="str">
        <f>IFERROR(VLOOKUP(B11,'בקשות שאושרו'!$B$2:$K$466,COLUMN('בקשות שאושרו'!$J$1)-COLUMN('בקשות שאושרו'!$B$1)+1,0),"")</f>
        <v/>
      </c>
    </row>
    <row r="12" spans="1:17" ht="57.75" x14ac:dyDescent="0.25">
      <c r="A12" s="240">
        <f>'סיכום לוועדה'!A38</f>
        <v>8</v>
      </c>
      <c r="B12" s="241">
        <f>'סיכום לוועדה'!E38</f>
        <v>20000159</v>
      </c>
      <c r="C12" s="241" t="str">
        <f>'סיכום לוועדה'!F38</f>
        <v>ירושלים</v>
      </c>
      <c r="D12" s="241" t="str">
        <f>'סיכום לוועדה'!G38</f>
        <v>תיאטרון ירושלים לאומנויות הבמה</v>
      </c>
      <c r="E12" s="242" t="str">
        <f>'סיכום לוועדה'!H38</f>
        <v>סינמטקים ופסטיבלים</v>
      </c>
      <c r="F12" s="242"/>
      <c r="G12" s="242"/>
      <c r="H12" s="75"/>
      <c r="I12" s="243"/>
      <c r="J12" s="75"/>
      <c r="K12" s="77"/>
      <c r="L12" s="75"/>
      <c r="M12" s="78"/>
      <c r="N12" s="244"/>
      <c r="O12" s="79"/>
      <c r="P12" s="76" t="str">
        <f>IF(IFERROR(VLOOKUP(B12,'בקשות שאושרו'!$B$2:$I$466,1,0),"")="","",1)</f>
        <v/>
      </c>
      <c r="Q12" s="245" t="str">
        <f>IFERROR(VLOOKUP(B12,'בקשות שאושרו'!$B$2:$K$466,COLUMN('בקשות שאושרו'!$J$1)-COLUMN('בקשות שאושרו'!$B$1)+1,0),"")</f>
        <v/>
      </c>
    </row>
    <row r="13" spans="1:17" ht="57.75" x14ac:dyDescent="0.25">
      <c r="A13" s="240">
        <f>'סיכום לוועדה'!A39</f>
        <v>9</v>
      </c>
      <c r="B13" s="241">
        <f>'סיכום לוועדה'!E39</f>
        <v>20000159</v>
      </c>
      <c r="C13" s="241" t="str">
        <f>'סיכום לוועדה'!F39</f>
        <v>ירושלים</v>
      </c>
      <c r="D13" s="241" t="str">
        <f>'סיכום לוועדה'!G39</f>
        <v>תיאטרון ירושלים לאומנויות הבמה</v>
      </c>
      <c r="E13" s="242" t="str">
        <f>'סיכום לוועדה'!H39</f>
        <v>סינמטקים ופסטיבלים</v>
      </c>
      <c r="F13" s="242"/>
      <c r="G13" s="242"/>
      <c r="H13" s="75"/>
      <c r="I13" s="243"/>
      <c r="J13" s="75"/>
      <c r="K13" s="77"/>
      <c r="L13" s="75"/>
      <c r="M13" s="78"/>
      <c r="N13" s="244"/>
      <c r="O13" s="79"/>
      <c r="P13" s="76" t="str">
        <f>IF(IFERROR(VLOOKUP(B13,'בקשות שאושרו'!$B$2:$I$466,1,0),"")="","",1)</f>
        <v/>
      </c>
      <c r="Q13" s="245" t="str">
        <f>IFERROR(VLOOKUP(B13,'בקשות שאושרו'!$B$2:$K$466,COLUMN('בקשות שאושרו'!$J$1)-COLUMN('בקשות שאושרו'!$B$1)+1,0),"")</f>
        <v/>
      </c>
    </row>
    <row r="14" spans="1:17" ht="29.25" x14ac:dyDescent="0.25">
      <c r="A14" s="240">
        <f>'סיכום לוועדה'!A40</f>
        <v>10</v>
      </c>
      <c r="B14" s="241">
        <f>'סיכום לוועדה'!E40</f>
        <v>20000201</v>
      </c>
      <c r="C14" s="241" t="str">
        <f>'סיכום לוועדה'!F40</f>
        <v>תל אביב -יפו</v>
      </c>
      <c r="D14" s="241" t="str">
        <f>'סיכום לוועדה'!G40</f>
        <v>מוזיאון ת"א לאומנות</v>
      </c>
      <c r="E14" s="242" t="str">
        <f>'סיכום לוועדה'!H40</f>
        <v>מוזיאונים</v>
      </c>
      <c r="F14" s="242"/>
      <c r="G14" s="242"/>
      <c r="H14" s="75"/>
      <c r="I14" s="243"/>
      <c r="J14" s="75"/>
      <c r="K14" s="77"/>
      <c r="L14" s="75"/>
      <c r="M14" s="78"/>
      <c r="N14" s="244"/>
      <c r="O14" s="79"/>
      <c r="P14" s="76" t="str">
        <f>IF(IFERROR(VLOOKUP(B14,'בקשות שאושרו'!$B$2:$I$466,1,0),"")="","",1)</f>
        <v/>
      </c>
      <c r="Q14" s="245" t="str">
        <f>IFERROR(VLOOKUP(B14,'בקשות שאושרו'!$B$2:$K$466,COLUMN('בקשות שאושרו'!$J$1)-COLUMN('בקשות שאושרו'!$B$1)+1,0),"")</f>
        <v/>
      </c>
    </row>
    <row r="15" spans="1:17" ht="29.25" x14ac:dyDescent="0.25">
      <c r="A15" s="240">
        <f>'סיכום לוועדה'!A41</f>
        <v>11</v>
      </c>
      <c r="B15" s="241">
        <f>'סיכום לוועדה'!E41</f>
        <v>20000159</v>
      </c>
      <c r="C15" s="241" t="str">
        <f>'סיכום לוועדה'!F41</f>
        <v>ירושלים</v>
      </c>
      <c r="D15" s="241" t="str">
        <f>'סיכום לוועדה'!G41</f>
        <v>הורה ירושלים</v>
      </c>
      <c r="E15" s="242" t="str">
        <f>'סיכום לוועדה'!H41</f>
        <v>מחול</v>
      </c>
      <c r="F15" s="242"/>
      <c r="G15" s="242"/>
      <c r="H15" s="75"/>
      <c r="I15" s="243"/>
      <c r="J15" s="75"/>
      <c r="K15" s="77"/>
      <c r="L15" s="75"/>
      <c r="M15" s="78"/>
      <c r="N15" s="244"/>
      <c r="O15" s="79"/>
      <c r="P15" s="76" t="str">
        <f>IF(IFERROR(VLOOKUP(B15,'בקשות שאושרו'!$B$2:$I$466,1,0),"")="","",1)</f>
        <v/>
      </c>
      <c r="Q15" s="245" t="str">
        <f>IFERROR(VLOOKUP(B15,'בקשות שאושרו'!$B$2:$K$466,COLUMN('בקשות שאושרו'!$J$1)-COLUMN('בקשות שאושרו'!$B$1)+1,0),"")</f>
        <v/>
      </c>
    </row>
    <row r="16" spans="1:17" ht="29.25" x14ac:dyDescent="0.25">
      <c r="A16" s="240">
        <f>'סיכום לוועדה'!A42</f>
        <v>12</v>
      </c>
      <c r="B16" s="241">
        <f>'סיכום לוועדה'!E42</f>
        <v>20000208</v>
      </c>
      <c r="C16" s="241" t="str">
        <f>'סיכום לוועדה'!F42</f>
        <v>חוף אשקלון</v>
      </c>
      <c r="D16" s="241" t="str">
        <f>'סיכום לוועדה'!G42</f>
        <v>מוזיאון יד מרדכי</v>
      </c>
      <c r="E16" s="242" t="str">
        <f>'סיכום לוועדה'!H42</f>
        <v>מוזיאונים</v>
      </c>
      <c r="F16" s="242"/>
      <c r="G16" s="242"/>
      <c r="H16" s="75"/>
      <c r="I16" s="243"/>
      <c r="J16" s="75"/>
      <c r="K16" s="77"/>
      <c r="L16" s="75"/>
      <c r="M16" s="78"/>
      <c r="N16" s="244"/>
      <c r="O16" s="79"/>
      <c r="P16" s="76" t="str">
        <f>IF(IFERROR(VLOOKUP(B16,'בקשות שאושרו'!$B$2:$I$466,1,0),"")="","",1)</f>
        <v/>
      </c>
      <c r="Q16" s="245" t="str">
        <f>IFERROR(VLOOKUP(B16,'בקשות שאושרו'!$B$2:$K$466,COLUMN('בקשות שאושרו'!$J$1)-COLUMN('בקשות שאושרו'!$B$1)+1,0),"")</f>
        <v/>
      </c>
    </row>
    <row r="17" spans="1:17" ht="29.25" x14ac:dyDescent="0.25">
      <c r="A17" s="240">
        <f>'סיכום לוועדה'!A43</f>
        <v>13</v>
      </c>
      <c r="B17" s="241">
        <f>'סיכום לוועדה'!E43</f>
        <v>20000132</v>
      </c>
      <c r="C17" s="241" t="str">
        <f>'סיכום לוועדה'!F43</f>
        <v>עמק הירדן</v>
      </c>
      <c r="D17" s="241" t="str">
        <f>'סיכום לוועדה'!G43</f>
        <v>בית יגאל אלון</v>
      </c>
      <c r="E17" s="242" t="str">
        <f>'סיכום לוועדה'!H43</f>
        <v>מוזיאונים</v>
      </c>
      <c r="F17" s="242"/>
      <c r="G17" s="242"/>
      <c r="H17" s="75"/>
      <c r="I17" s="243"/>
      <c r="J17" s="75"/>
      <c r="K17" s="77"/>
      <c r="L17" s="75"/>
      <c r="M17" s="78"/>
      <c r="N17" s="244"/>
      <c r="O17" s="79"/>
      <c r="P17" s="76" t="str">
        <f>IF(IFERROR(VLOOKUP(B17,'בקשות שאושרו'!$B$2:$I$466,1,0),"")="","",1)</f>
        <v/>
      </c>
      <c r="Q17" s="245" t="str">
        <f>IFERROR(VLOOKUP(B17,'בקשות שאושרו'!$B$2:$K$466,COLUMN('בקשות שאושרו'!$J$1)-COLUMN('בקשות שאושרו'!$B$1)+1,0),"")</f>
        <v/>
      </c>
    </row>
    <row r="18" spans="1:17" x14ac:dyDescent="0.25">
      <c r="A18" s="240">
        <f>'סיכום לוועדה'!A44</f>
        <v>14</v>
      </c>
      <c r="B18" s="241">
        <f>'סיכום לוועדה'!E44</f>
        <v>20000159</v>
      </c>
      <c r="C18" s="241" t="str">
        <f>'סיכום לוועדה'!F44</f>
        <v>ירושלים</v>
      </c>
      <c r="D18" s="241" t="str">
        <f>'סיכום לוועדה'!G44</f>
        <v>הקם בע"מ</v>
      </c>
      <c r="E18" s="242" t="str">
        <f>'סיכום לוועדה'!H44</f>
        <v>סינמטקים ופסטיבלים</v>
      </c>
      <c r="F18" s="242"/>
      <c r="G18" s="242"/>
      <c r="H18" s="75"/>
      <c r="I18" s="243"/>
      <c r="J18" s="75"/>
      <c r="K18" s="77"/>
      <c r="L18" s="75"/>
      <c r="M18" s="78"/>
      <c r="N18" s="244"/>
      <c r="O18" s="79"/>
      <c r="P18" s="76" t="str">
        <f>IF(IFERROR(VLOOKUP(B18,'בקשות שאושרו'!$B$2:$I$466,1,0),"")="","",1)</f>
        <v/>
      </c>
      <c r="Q18" s="245" t="str">
        <f>IFERROR(VLOOKUP(B18,'בקשות שאושרו'!$B$2:$K$466,COLUMN('בקשות שאושרו'!$J$1)-COLUMN('בקשות שאושרו'!$B$1)+1,0),"")</f>
        <v/>
      </c>
    </row>
    <row r="19" spans="1:17" ht="57.75" x14ac:dyDescent="0.25">
      <c r="A19" s="240">
        <f>'סיכום לוועדה'!A45</f>
        <v>15</v>
      </c>
      <c r="B19" s="241">
        <f>'סיכום לוועדה'!E45</f>
        <v>20000182</v>
      </c>
      <c r="C19" s="241" t="str">
        <f>'סיכום לוועדה'!F45</f>
        <v>חיפה</v>
      </c>
      <c r="D19" s="241" t="str">
        <f>'סיכום לוועדה'!G45</f>
        <v>בית גפן - מרכז תרבות ערבי יהודי</v>
      </c>
      <c r="E19" s="242" t="str">
        <f>'סיכום לוועדה'!H45</f>
        <v>תיאטרון</v>
      </c>
      <c r="F19" s="242"/>
      <c r="G19" s="242"/>
      <c r="H19" s="75"/>
      <c r="I19" s="243"/>
      <c r="J19" s="75"/>
      <c r="K19" s="77"/>
      <c r="L19" s="75"/>
      <c r="M19" s="78"/>
      <c r="N19" s="244"/>
      <c r="O19" s="79"/>
      <c r="P19" s="76" t="str">
        <f>IF(IFERROR(VLOOKUP(B19,'בקשות שאושרו'!$B$2:$I$466,1,0),"")="","",1)</f>
        <v/>
      </c>
      <c r="Q19" s="245" t="str">
        <f>IFERROR(VLOOKUP(B19,'בקשות שאושרו'!$B$2:$K$466,COLUMN('בקשות שאושרו'!$J$1)-COLUMN('בקשות שאושרו'!$B$1)+1,0),"")</f>
        <v/>
      </c>
    </row>
    <row r="20" spans="1:17" ht="29.25" x14ac:dyDescent="0.25">
      <c r="A20" s="240">
        <f>'סיכום לוועדה'!A46</f>
        <v>16</v>
      </c>
      <c r="B20" s="241">
        <f>'סיכום לוועדה'!E46</f>
        <v>20000159</v>
      </c>
      <c r="C20" s="241" t="str">
        <f>'סיכום לוועדה'!F46</f>
        <v>ירושלים</v>
      </c>
      <c r="D20" s="241" t="str">
        <f>'סיכום לוועדה'!G46</f>
        <v>מוזיאון ישראל</v>
      </c>
      <c r="E20" s="242" t="str">
        <f>'סיכום לוועדה'!H46</f>
        <v>מוזיאונים</v>
      </c>
      <c r="F20" s="242"/>
      <c r="G20" s="242"/>
      <c r="H20" s="75"/>
      <c r="I20" s="243"/>
      <c r="J20" s="75"/>
      <c r="K20" s="77"/>
      <c r="L20" s="75"/>
      <c r="M20" s="78"/>
      <c r="N20" s="244"/>
      <c r="O20" s="79"/>
      <c r="P20" s="76" t="str">
        <f>IF(IFERROR(VLOOKUP(B20,'בקשות שאושרו'!$B$2:$I$466,1,0),"")="","",1)</f>
        <v/>
      </c>
      <c r="Q20" s="245" t="str">
        <f>IFERROR(VLOOKUP(B20,'בקשות שאושרו'!$B$2:$K$466,COLUMN('בקשות שאושרו'!$J$1)-COLUMN('בקשות שאושרו'!$B$1)+1,0),"")</f>
        <v/>
      </c>
    </row>
    <row r="21" spans="1:17" ht="43.5" x14ac:dyDescent="0.25">
      <c r="A21" s="240">
        <f>'סיכום לוועדה'!A47</f>
        <v>17</v>
      </c>
      <c r="B21" s="241">
        <f>'סיכום לוועדה'!E47</f>
        <v>20000184</v>
      </c>
      <c r="C21" s="241" t="str">
        <f>'סיכום לוועדה'!F47</f>
        <v>קצרין</v>
      </c>
      <c r="D21" s="241" t="str">
        <f>'סיכום לוועדה'!G47</f>
        <v>מוזיאון עתיקות הגולן</v>
      </c>
      <c r="E21" s="242" t="str">
        <f>'סיכום לוועדה'!H47</f>
        <v>מוזיאונים</v>
      </c>
      <c r="F21" s="242"/>
      <c r="G21" s="242"/>
      <c r="H21" s="75"/>
      <c r="I21" s="243"/>
      <c r="J21" s="75"/>
      <c r="K21" s="77"/>
      <c r="L21" s="75"/>
      <c r="M21" s="78"/>
      <c r="N21" s="244"/>
      <c r="O21" s="79"/>
      <c r="P21" s="76" t="str">
        <f>IF(IFERROR(VLOOKUP(B21,'בקשות שאושרו'!$B$2:$I$466,1,0),"")="","",1)</f>
        <v/>
      </c>
      <c r="Q21" s="245" t="str">
        <f>IFERROR(VLOOKUP(B21,'בקשות שאושרו'!$B$2:$K$466,COLUMN('בקשות שאושרו'!$J$1)-COLUMN('בקשות שאושרו'!$B$1)+1,0),"")</f>
        <v/>
      </c>
    </row>
    <row r="22" spans="1:17" ht="43.5" x14ac:dyDescent="0.25">
      <c r="A22" s="240">
        <f>'סיכום לוועדה'!A48</f>
        <v>18</v>
      </c>
      <c r="B22" s="241">
        <f>'סיכום לוועדה'!E48</f>
        <v>20000201</v>
      </c>
      <c r="C22" s="241" t="str">
        <f>'סיכום לוועדה'!F48</f>
        <v>תל אביב -יפו</v>
      </c>
      <c r="D22" s="241" t="str">
        <f>'סיכום לוועדה'!G48</f>
        <v>האופרה הישראלית ת"א</v>
      </c>
      <c r="E22" s="242" t="str">
        <f>'סיכום לוועדה'!H48</f>
        <v>אופרה</v>
      </c>
      <c r="F22" s="242"/>
      <c r="G22" s="242"/>
      <c r="H22" s="75"/>
      <c r="I22" s="243"/>
      <c r="J22" s="75"/>
      <c r="K22" s="77"/>
      <c r="L22" s="75"/>
      <c r="M22" s="78"/>
      <c r="N22" s="244"/>
      <c r="O22" s="79"/>
      <c r="P22" s="76" t="str">
        <f>IF(IFERROR(VLOOKUP(B22,'בקשות שאושרו'!$B$2:$I$466,1,0),"")="","",1)</f>
        <v/>
      </c>
      <c r="Q22" s="245" t="str">
        <f>IFERROR(VLOOKUP(B22,'בקשות שאושרו'!$B$2:$K$466,COLUMN('בקשות שאושרו'!$J$1)-COLUMN('בקשות שאושרו'!$B$1)+1,0),"")</f>
        <v/>
      </c>
    </row>
    <row r="23" spans="1:17" ht="29.25" x14ac:dyDescent="0.25">
      <c r="A23" s="240">
        <f>'סיכום לוועדה'!A49</f>
        <v>19</v>
      </c>
      <c r="B23" s="241">
        <f>'סיכום לוועדה'!E49</f>
        <v>20000201</v>
      </c>
      <c r="C23" s="241" t="str">
        <f>'סיכום לוועדה'!F49</f>
        <v>תל אביב -יפו</v>
      </c>
      <c r="D23" s="241" t="str">
        <f>'סיכום לוועדה'!G49</f>
        <v>תיאטרון תמונע</v>
      </c>
      <c r="E23" s="242" t="str">
        <f>'סיכום לוועדה'!H49</f>
        <v>מרכזי פרינג'</v>
      </c>
      <c r="F23" s="242"/>
      <c r="G23" s="242"/>
      <c r="H23" s="75"/>
      <c r="I23" s="243"/>
      <c r="J23" s="75"/>
      <c r="K23" s="77"/>
      <c r="L23" s="75"/>
      <c r="M23" s="78"/>
      <c r="N23" s="244"/>
      <c r="O23" s="79"/>
      <c r="P23" s="76" t="str">
        <f>IF(IFERROR(VLOOKUP(B23,'בקשות שאושרו'!$B$2:$I$466,1,0),"")="","",1)</f>
        <v/>
      </c>
      <c r="Q23" s="245" t="str">
        <f>IFERROR(VLOOKUP(B23,'בקשות שאושרו'!$B$2:$K$466,COLUMN('בקשות שאושרו'!$J$1)-COLUMN('בקשות שאושרו'!$B$1)+1,0),"")</f>
        <v/>
      </c>
    </row>
    <row r="24" spans="1:17" ht="57.75" x14ac:dyDescent="0.25">
      <c r="A24" s="240">
        <f>'סיכום לוועדה'!A50</f>
        <v>20</v>
      </c>
      <c r="B24" s="241">
        <f>'סיכום לוועדה'!E50</f>
        <v>20000201</v>
      </c>
      <c r="C24" s="241" t="str">
        <f>'סיכום לוועדה'!F50</f>
        <v>תל אביב -יפו</v>
      </c>
      <c r="D24" s="241" t="str">
        <f>'סיכום לוועדה'!G50</f>
        <v>אנחנו כאן אגודה לתרבות פולקלור</v>
      </c>
      <c r="E24" s="242" t="str">
        <f>'סיכום לוועדה'!H50</f>
        <v>מחול</v>
      </c>
      <c r="F24" s="242"/>
      <c r="G24" s="242"/>
      <c r="H24" s="75"/>
      <c r="I24" s="243"/>
      <c r="J24" s="75"/>
      <c r="K24" s="77"/>
      <c r="L24" s="75"/>
      <c r="M24" s="78"/>
      <c r="N24" s="244"/>
      <c r="O24" s="79"/>
      <c r="P24" s="76" t="str">
        <f>IF(IFERROR(VLOOKUP(B24,'בקשות שאושרו'!$B$2:$I$466,1,0),"")="","",1)</f>
        <v/>
      </c>
      <c r="Q24" s="245" t="str">
        <f>IFERROR(VLOOKUP(B24,'בקשות שאושרו'!$B$2:$K$466,COLUMN('בקשות שאושרו'!$J$1)-COLUMN('בקשות שאושרו'!$B$1)+1,0),"")</f>
        <v/>
      </c>
    </row>
    <row r="25" spans="1:17" ht="43.5" x14ac:dyDescent="0.25">
      <c r="A25" s="240">
        <f>'סיכום לוועדה'!A51</f>
        <v>21</v>
      </c>
      <c r="B25" s="241">
        <f>'סיכום לוועדה'!E51</f>
        <v>20000201</v>
      </c>
      <c r="C25" s="241" t="str">
        <f>'סיכום לוועדה'!F51</f>
        <v>תל אביב -יפו</v>
      </c>
      <c r="D25" s="241" t="str">
        <f>'סיכום לוועדה'!G51</f>
        <v>להקת המחול בת שבע</v>
      </c>
      <c r="E25" s="242" t="str">
        <f>'סיכום לוועדה'!H51</f>
        <v>מחול</v>
      </c>
      <c r="F25" s="242"/>
      <c r="G25" s="242"/>
      <c r="H25" s="75"/>
      <c r="I25" s="243"/>
      <c r="J25" s="75"/>
      <c r="K25" s="77"/>
      <c r="L25" s="75"/>
      <c r="M25" s="78"/>
      <c r="N25" s="244"/>
      <c r="O25" s="79"/>
      <c r="P25" s="76" t="str">
        <f>IF(IFERROR(VLOOKUP(B25,'בקשות שאושרו'!$B$2:$I$466,1,0),"")="","",1)</f>
        <v/>
      </c>
      <c r="Q25" s="245" t="str">
        <f>IFERROR(VLOOKUP(B25,'בקשות שאושרו'!$B$2:$K$466,COLUMN('בקשות שאושרו'!$J$1)-COLUMN('בקשות שאושרו'!$B$1)+1,0),"")</f>
        <v/>
      </c>
    </row>
    <row r="26" spans="1:17" ht="43.5" x14ac:dyDescent="0.25">
      <c r="A26" s="240">
        <f>'סיכום לוועדה'!A52</f>
        <v>22</v>
      </c>
      <c r="B26" s="241">
        <f>'סיכום לוועדה'!E52</f>
        <v>20000233</v>
      </c>
      <c r="C26" s="241" t="str">
        <f>'סיכום לוועדה'!F52</f>
        <v>נתניה</v>
      </c>
      <c r="D26" s="241" t="str">
        <f>'סיכום לוועדה'!G52</f>
        <v>היכל התרבות נתניה</v>
      </c>
      <c r="E26" s="242" t="str">
        <f>'סיכום לוועדה'!H52</f>
        <v>קבוצות מוסיקה</v>
      </c>
      <c r="F26" s="242"/>
      <c r="G26" s="242"/>
      <c r="H26" s="75"/>
      <c r="I26" s="243"/>
      <c r="J26" s="75"/>
      <c r="K26" s="77"/>
      <c r="L26" s="75"/>
      <c r="M26" s="78"/>
      <c r="N26" s="244"/>
      <c r="O26" s="79"/>
      <c r="P26" s="76" t="str">
        <f>IF(IFERROR(VLOOKUP(B26,'בקשות שאושרו'!$B$2:$I$466,1,0),"")="","",1)</f>
        <v/>
      </c>
      <c r="Q26" s="245" t="str">
        <f>IFERROR(VLOOKUP(B26,'בקשות שאושרו'!$B$2:$K$466,COLUMN('בקשות שאושרו'!$J$1)-COLUMN('בקשות שאושרו'!$B$1)+1,0),"")</f>
        <v/>
      </c>
    </row>
    <row r="27" spans="1:17" ht="43.5" x14ac:dyDescent="0.25">
      <c r="A27" s="240">
        <f>'סיכום לוועדה'!A53</f>
        <v>23</v>
      </c>
      <c r="B27" s="241">
        <f>'סיכום לוועדה'!E53</f>
        <v>20000201</v>
      </c>
      <c r="C27" s="241" t="str">
        <f>'סיכום לוועדה'!F53</f>
        <v>תל אביב -יפו</v>
      </c>
      <c r="D27" s="241" t="str">
        <f>'סיכום לוועדה'!G53</f>
        <v>התזמורת הקאמרית הישראלית</v>
      </c>
      <c r="E27" s="242" t="str">
        <f>'סיכום לוועדה'!H53</f>
        <v>מוסיקה-גופים כליים</v>
      </c>
      <c r="F27" s="242"/>
      <c r="G27" s="242"/>
      <c r="H27" s="75"/>
      <c r="I27" s="243"/>
      <c r="J27" s="75"/>
      <c r="K27" s="77"/>
      <c r="L27" s="75"/>
      <c r="M27" s="78"/>
      <c r="N27" s="244"/>
      <c r="O27" s="79"/>
      <c r="P27" s="76" t="str">
        <f>IF(IFERROR(VLOOKUP(B27,'בקשות שאושרו'!$B$2:$I$466,1,0),"")="","",1)</f>
        <v/>
      </c>
      <c r="Q27" s="245" t="str">
        <f>IFERROR(VLOOKUP(B27,'בקשות שאושרו'!$B$2:$K$466,COLUMN('בקשות שאושרו'!$J$1)-COLUMN('בקשות שאושרו'!$B$1)+1,0),"")</f>
        <v/>
      </c>
    </row>
    <row r="28" spans="1:17" ht="29.25" x14ac:dyDescent="0.25">
      <c r="A28" s="240">
        <f>'סיכום לוועדה'!A54</f>
        <v>24</v>
      </c>
      <c r="B28" s="241">
        <f>'סיכום לוועדה'!E54</f>
        <v>20000201</v>
      </c>
      <c r="C28" s="241" t="str">
        <f>'סיכום לוועדה'!F54</f>
        <v>תל אביב -יפו</v>
      </c>
      <c r="D28" s="241" t="str">
        <f>'סיכום לוועדה'!G54</f>
        <v>תיאטרון הנפש</v>
      </c>
      <c r="E28" s="242" t="str">
        <f>'סיכום לוועדה'!H54</f>
        <v>תיאטרון</v>
      </c>
      <c r="F28" s="242"/>
      <c r="G28" s="242"/>
      <c r="H28" s="75"/>
      <c r="I28" s="243"/>
      <c r="J28" s="75"/>
      <c r="K28" s="77"/>
      <c r="L28" s="75"/>
      <c r="M28" s="78"/>
      <c r="N28" s="244"/>
      <c r="O28" s="79"/>
      <c r="P28" s="76" t="str">
        <f>IF(IFERROR(VLOOKUP(B28,'בקשות שאושרו'!$B$2:$I$466,1,0),"")="","",1)</f>
        <v/>
      </c>
      <c r="Q28" s="245" t="str">
        <f>IFERROR(VLOOKUP(B28,'בקשות שאושרו'!$B$2:$K$466,COLUMN('בקשות שאושרו'!$J$1)-COLUMN('בקשות שאושרו'!$B$1)+1,0),"")</f>
        <v/>
      </c>
    </row>
    <row r="29" spans="1:17" ht="29.25" x14ac:dyDescent="0.25">
      <c r="A29" s="240">
        <f>'סיכום לוועדה'!A55</f>
        <v>25</v>
      </c>
      <c r="B29" s="241">
        <f>'סיכום לוועדה'!E55</f>
        <v>20000201</v>
      </c>
      <c r="C29" s="241" t="str">
        <f>'סיכום לוועדה'!F55</f>
        <v>תל אביב -יפו</v>
      </c>
      <c r="D29" s="241" t="str">
        <f>'סיכום לוועדה'!G55</f>
        <v>תיאטרון הנפש</v>
      </c>
      <c r="E29" s="242" t="str">
        <f>'סיכום לוועדה'!H55</f>
        <v>סינמטקים ופסטיבלים</v>
      </c>
      <c r="F29" s="242"/>
      <c r="G29" s="242"/>
      <c r="H29" s="75"/>
      <c r="I29" s="243"/>
      <c r="J29" s="75"/>
      <c r="K29" s="77"/>
      <c r="L29" s="75"/>
      <c r="M29" s="78"/>
      <c r="N29" s="244"/>
      <c r="O29" s="79"/>
      <c r="P29" s="76" t="str">
        <f>IF(IFERROR(VLOOKUP(B29,'בקשות שאושרו'!$B$2:$I$466,1,0),"")="","",1)</f>
        <v/>
      </c>
      <c r="Q29" s="245" t="str">
        <f>IFERROR(VLOOKUP(B29,'בקשות שאושרו'!$B$2:$K$466,COLUMN('בקשות שאושרו'!$J$1)-COLUMN('בקשות שאושרו'!$B$1)+1,0),"")</f>
        <v/>
      </c>
    </row>
    <row r="30" spans="1:17" ht="29.25" x14ac:dyDescent="0.25">
      <c r="A30" s="240">
        <f>'סיכום לוועדה'!A56</f>
        <v>26</v>
      </c>
      <c r="B30" s="241">
        <f>'סיכום לוועדה'!E56</f>
        <v>20000159</v>
      </c>
      <c r="C30" s="241" t="str">
        <f>'סיכום לוועדה'!F56</f>
        <v>ירושלים</v>
      </c>
      <c r="D30" s="241" t="str">
        <f>'סיכום לוועדה'!G56</f>
        <v>תיאטרון הקרון</v>
      </c>
      <c r="E30" s="242" t="str">
        <f>'סיכום לוועדה'!H56</f>
        <v>תיאטרון</v>
      </c>
      <c r="F30" s="242"/>
      <c r="G30" s="242"/>
      <c r="H30" s="75"/>
      <c r="I30" s="243"/>
      <c r="J30" s="75"/>
      <c r="K30" s="77"/>
      <c r="L30" s="75"/>
      <c r="M30" s="78"/>
      <c r="N30" s="244"/>
      <c r="O30" s="79"/>
      <c r="P30" s="76" t="str">
        <f>IF(IFERROR(VLOOKUP(B30,'בקשות שאושרו'!$B$2:$I$466,1,0),"")="","",1)</f>
        <v/>
      </c>
      <c r="Q30" s="245" t="str">
        <f>IFERROR(VLOOKUP(B30,'בקשות שאושרו'!$B$2:$K$466,COLUMN('בקשות שאושרו'!$J$1)-COLUMN('בקשות שאושרו'!$B$1)+1,0),"")</f>
        <v/>
      </c>
    </row>
    <row r="31" spans="1:17" ht="29.25" x14ac:dyDescent="0.25">
      <c r="A31" s="240">
        <f>'סיכום לוועדה'!A57</f>
        <v>27</v>
      </c>
      <c r="B31" s="241">
        <f>'סיכום לוועדה'!E57</f>
        <v>20000159</v>
      </c>
      <c r="C31" s="241" t="str">
        <f>'סיכום לוועדה'!F57</f>
        <v>ירושלים</v>
      </c>
      <c r="D31" s="241" t="str">
        <f>'סיכום לוועדה'!G57</f>
        <v>מוזיאון חצר הישוב הישן</v>
      </c>
      <c r="E31" s="242" t="str">
        <f>'סיכום לוועדה'!H57</f>
        <v>מוזיאונים</v>
      </c>
      <c r="F31" s="242"/>
      <c r="G31" s="242"/>
      <c r="H31" s="75"/>
      <c r="I31" s="243"/>
      <c r="J31" s="75"/>
      <c r="K31" s="77"/>
      <c r="L31" s="75"/>
      <c r="M31" s="78"/>
      <c r="N31" s="244"/>
      <c r="O31" s="79"/>
      <c r="P31" s="76" t="str">
        <f>IF(IFERROR(VLOOKUP(B31,'בקשות שאושרו'!$B$2:$I$466,1,0),"")="","",1)</f>
        <v/>
      </c>
      <c r="Q31" s="245" t="str">
        <f>IFERROR(VLOOKUP(B31,'בקשות שאושרו'!$B$2:$K$466,COLUMN('בקשות שאושרו'!$J$1)-COLUMN('בקשות שאושרו'!$B$1)+1,0),"")</f>
        <v/>
      </c>
    </row>
    <row r="32" spans="1:17" ht="29.25" x14ac:dyDescent="0.25">
      <c r="A32" s="240">
        <f>'סיכום לוועדה'!A58</f>
        <v>28</v>
      </c>
      <c r="B32" s="241">
        <f>'סיכום לוועדה'!E58</f>
        <v>20000201</v>
      </c>
      <c r="C32" s="241" t="str">
        <f>'סיכום לוועדה'!F58</f>
        <v>תל אביב -יפו</v>
      </c>
      <c r="D32" s="241" t="str">
        <f>'סיכום לוועדה'!G58</f>
        <v>הבלט הישראלי</v>
      </c>
      <c r="E32" s="242" t="str">
        <f>'סיכום לוועדה'!H58</f>
        <v>מחול</v>
      </c>
      <c r="F32" s="242"/>
      <c r="G32" s="242"/>
      <c r="H32" s="75"/>
      <c r="I32" s="243"/>
      <c r="J32" s="75"/>
      <c r="K32" s="77"/>
      <c r="L32" s="75"/>
      <c r="M32" s="78"/>
      <c r="N32" s="244"/>
      <c r="O32" s="79"/>
      <c r="P32" s="76" t="str">
        <f>IF(IFERROR(VLOOKUP(B32,'בקשות שאושרו'!$B$2:$I$466,1,0),"")="","",1)</f>
        <v/>
      </c>
      <c r="Q32" s="245" t="str">
        <f>IFERROR(VLOOKUP(B32,'בקשות שאושרו'!$B$2:$K$466,COLUMN('בקשות שאושרו'!$J$1)-COLUMN('בקשות שאושרו'!$B$1)+1,0),"")</f>
        <v/>
      </c>
    </row>
    <row r="33" spans="1:17" x14ac:dyDescent="0.25">
      <c r="A33" s="240">
        <f>'סיכום לוועדה'!A59</f>
        <v>29</v>
      </c>
      <c r="B33" s="241">
        <f>'סיכום לוועדה'!E59</f>
        <v>20000201</v>
      </c>
      <c r="C33" s="241" t="str">
        <f>'סיכום לוועדה'!F59</f>
        <v>תל אביב -יפו</v>
      </c>
      <c r="D33" s="241" t="str">
        <f>'סיכום לוועדה'!G59</f>
        <v>סינמטק</v>
      </c>
      <c r="E33" s="242" t="str">
        <f>'סיכום לוועדה'!H59</f>
        <v>סינמטקים ופסטיבלים</v>
      </c>
      <c r="F33" s="242"/>
      <c r="G33" s="242"/>
      <c r="H33" s="75"/>
      <c r="I33" s="243"/>
      <c r="J33" s="75"/>
      <c r="K33" s="77"/>
      <c r="L33" s="75"/>
      <c r="M33" s="78"/>
      <c r="N33" s="244"/>
      <c r="O33" s="79"/>
      <c r="P33" s="76" t="str">
        <f>IF(IFERROR(VLOOKUP(B33,'בקשות שאושרו'!$B$2:$I$466,1,0),"")="","",1)</f>
        <v/>
      </c>
      <c r="Q33" s="245" t="str">
        <f>IFERROR(VLOOKUP(B33,'בקשות שאושרו'!$B$2:$K$466,COLUMN('בקשות שאושרו'!$J$1)-COLUMN('בקשות שאושרו'!$B$1)+1,0),"")</f>
        <v/>
      </c>
    </row>
    <row r="34" spans="1:17" x14ac:dyDescent="0.25">
      <c r="A34" s="240">
        <f>'סיכום לוועדה'!A60</f>
        <v>30</v>
      </c>
      <c r="B34" s="241">
        <f>'סיכום לוועדה'!E60</f>
        <v>20000201</v>
      </c>
      <c r="C34" s="241" t="str">
        <f>'סיכום לוועדה'!F60</f>
        <v>תל אביב -יפו</v>
      </c>
      <c r="D34" s="241" t="str">
        <f>'סיכום לוועדה'!G60</f>
        <v>סינמטק</v>
      </c>
      <c r="E34" s="242" t="str">
        <f>'סיכום לוועדה'!H60</f>
        <v>סינמטקים ופסטיבלים</v>
      </c>
      <c r="F34" s="242"/>
      <c r="G34" s="242"/>
      <c r="H34" s="75"/>
      <c r="I34" s="243"/>
      <c r="J34" s="75"/>
      <c r="K34" s="77"/>
      <c r="L34" s="75"/>
      <c r="M34" s="78"/>
      <c r="N34" s="244"/>
      <c r="O34" s="79"/>
      <c r="P34" s="76" t="str">
        <f>IF(IFERROR(VLOOKUP(B34,'בקשות שאושרו'!$B$2:$I$466,1,0),"")="","",1)</f>
        <v/>
      </c>
      <c r="Q34" s="245" t="str">
        <f>IFERROR(VLOOKUP(B34,'בקשות שאושרו'!$B$2:$K$466,COLUMN('בקשות שאושרו'!$J$1)-COLUMN('בקשות שאושרו'!$B$1)+1,0),"")</f>
        <v/>
      </c>
    </row>
    <row r="35" spans="1:17" x14ac:dyDescent="0.25">
      <c r="A35" s="240">
        <f>'סיכום לוועדה'!A61</f>
        <v>31</v>
      </c>
      <c r="B35" s="241">
        <f>'סיכום לוועדה'!E61</f>
        <v>20000201</v>
      </c>
      <c r="C35" s="241" t="str">
        <f>'סיכום לוועדה'!F61</f>
        <v>תל אביב -יפו</v>
      </c>
      <c r="D35" s="241" t="str">
        <f>'סיכום לוועדה'!G61</f>
        <v>סינמטק</v>
      </c>
      <c r="E35" s="242" t="str">
        <f>'סיכום לוועדה'!H61</f>
        <v>סינמטקים ופסטיבלים</v>
      </c>
      <c r="F35" s="242"/>
      <c r="G35" s="242"/>
      <c r="H35" s="75"/>
      <c r="I35" s="243"/>
      <c r="J35" s="75"/>
      <c r="K35" s="77"/>
      <c r="L35" s="75"/>
      <c r="M35" s="78"/>
      <c r="N35" s="244"/>
      <c r="O35" s="79"/>
      <c r="P35" s="76" t="str">
        <f>IF(IFERROR(VLOOKUP(B35,'בקשות שאושרו'!$B$2:$I$466,1,0),"")="","",1)</f>
        <v/>
      </c>
      <c r="Q35" s="245" t="str">
        <f>IFERROR(VLOOKUP(B35,'בקשות שאושרו'!$B$2:$K$466,COLUMN('בקשות שאושרו'!$J$1)-COLUMN('בקשות שאושרו'!$B$1)+1,0),"")</f>
        <v/>
      </c>
    </row>
    <row r="36" spans="1:17" x14ac:dyDescent="0.25">
      <c r="A36" s="240">
        <f>'סיכום לוועדה'!A62</f>
        <v>32</v>
      </c>
      <c r="B36" s="241">
        <f>'סיכום לוועדה'!E62</f>
        <v>20000201</v>
      </c>
      <c r="C36" s="241" t="str">
        <f>'סיכום לוועדה'!F62</f>
        <v>תל אביב -יפו</v>
      </c>
      <c r="D36" s="241" t="str">
        <f>'סיכום לוועדה'!G62</f>
        <v>סינמטק</v>
      </c>
      <c r="E36" s="242" t="str">
        <f>'סיכום לוועדה'!H62</f>
        <v>סינמטקים ופסטיבלים</v>
      </c>
      <c r="F36" s="242"/>
      <c r="G36" s="242"/>
      <c r="H36" s="75"/>
      <c r="I36" s="243"/>
      <c r="J36" s="75"/>
      <c r="K36" s="77"/>
      <c r="L36" s="75"/>
      <c r="M36" s="78"/>
      <c r="N36" s="244"/>
      <c r="O36" s="79"/>
      <c r="P36" s="76" t="str">
        <f>IF(IFERROR(VLOOKUP(B36,'בקשות שאושרו'!$B$2:$I$466,1,0),"")="","",1)</f>
        <v/>
      </c>
      <c r="Q36" s="245" t="str">
        <f>IFERROR(VLOOKUP(B36,'בקשות שאושרו'!$B$2:$K$466,COLUMN('בקשות שאושרו'!$J$1)-COLUMN('בקשות שאושרו'!$B$1)+1,0),"")</f>
        <v/>
      </c>
    </row>
    <row r="37" spans="1:17" ht="29.25" x14ac:dyDescent="0.25">
      <c r="A37" s="240">
        <f>'סיכום לוועדה'!A63</f>
        <v>33</v>
      </c>
      <c r="B37" s="241">
        <f>'סיכום לוועדה'!E63</f>
        <v>20000182</v>
      </c>
      <c r="C37" s="241" t="str">
        <f>'סיכום לוועדה'!F63</f>
        <v>חיפה</v>
      </c>
      <c r="D37" s="241" t="str">
        <f>'סיכום לוועדה'!G63</f>
        <v>מוזיאוני חיפה</v>
      </c>
      <c r="E37" s="242" t="str">
        <f>'סיכום לוועדה'!H63</f>
        <v>מוזיאונים</v>
      </c>
      <c r="F37" s="242"/>
      <c r="G37" s="242"/>
      <c r="H37" s="75"/>
      <c r="I37" s="243"/>
      <c r="J37" s="75"/>
      <c r="K37" s="77"/>
      <c r="L37" s="75"/>
      <c r="M37" s="78"/>
      <c r="N37" s="244"/>
      <c r="O37" s="79"/>
      <c r="P37" s="76" t="str">
        <f>IF(IFERROR(VLOOKUP(B37,'בקשות שאושרו'!$B$2:$I$466,1,0),"")="","",1)</f>
        <v/>
      </c>
      <c r="Q37" s="245" t="str">
        <f>IFERROR(VLOOKUP(B37,'בקשות שאושרו'!$B$2:$K$466,COLUMN('בקשות שאושרו'!$J$1)-COLUMN('בקשות שאושרו'!$B$1)+1,0),"")</f>
        <v/>
      </c>
    </row>
    <row r="38" spans="1:17" x14ac:dyDescent="0.25">
      <c r="A38" s="240">
        <f>'סיכום לוועדה'!A64</f>
        <v>34</v>
      </c>
      <c r="B38" s="241">
        <f>'סיכום לוועדה'!E64</f>
        <v>20000159</v>
      </c>
      <c r="C38" s="241" t="str">
        <f>'סיכום לוועדה'!F64</f>
        <v>ירושלים</v>
      </c>
      <c r="D38" s="241" t="str">
        <f>'סיכום לוועדה'!G64</f>
        <v>רננות</v>
      </c>
      <c r="E38" s="242" t="str">
        <f>'סיכום לוועדה'!H64</f>
        <v>חזנות</v>
      </c>
      <c r="F38" s="242"/>
      <c r="G38" s="242"/>
      <c r="H38" s="75"/>
      <c r="I38" s="243"/>
      <c r="J38" s="75"/>
      <c r="K38" s="77"/>
      <c r="L38" s="75"/>
      <c r="M38" s="78"/>
      <c r="N38" s="244"/>
      <c r="O38" s="79"/>
      <c r="P38" s="76" t="str">
        <f>IF(IFERROR(VLOOKUP(B38,'בקשות שאושרו'!$B$2:$I$466,1,0),"")="","",1)</f>
        <v/>
      </c>
      <c r="Q38" s="245" t="str">
        <f>IFERROR(VLOOKUP(B38,'בקשות שאושרו'!$B$2:$K$466,COLUMN('בקשות שאושרו'!$J$1)-COLUMN('בקשות שאושרו'!$B$1)+1,0),"")</f>
        <v/>
      </c>
    </row>
    <row r="39" spans="1:17" x14ac:dyDescent="0.25">
      <c r="A39" s="240">
        <f>'סיכום לוועדה'!A65</f>
        <v>35</v>
      </c>
      <c r="B39" s="241">
        <f>'סיכום לוועדה'!E65</f>
        <v>20000159</v>
      </c>
      <c r="C39" s="241" t="str">
        <f>'סיכום לוועדה'!F65</f>
        <v>ירושלים</v>
      </c>
      <c r="D39" s="241" t="str">
        <f>'סיכום לוועדה'!G65</f>
        <v>רננות</v>
      </c>
      <c r="E39" s="242" t="str">
        <f>'סיכום לוועדה'!H65</f>
        <v>קבוצות מוסיקה</v>
      </c>
      <c r="F39" s="242"/>
      <c r="G39" s="242"/>
      <c r="H39" s="75"/>
      <c r="I39" s="243"/>
      <c r="J39" s="75"/>
      <c r="K39" s="77"/>
      <c r="L39" s="75"/>
      <c r="M39" s="78"/>
      <c r="N39" s="244"/>
      <c r="O39" s="79"/>
      <c r="P39" s="76" t="str">
        <f>IF(IFERROR(VLOOKUP(B39,'בקשות שאושרו'!$B$2:$I$466,1,0),"")="","",1)</f>
        <v/>
      </c>
      <c r="Q39" s="245" t="str">
        <f>IFERROR(VLOOKUP(B39,'בקשות שאושרו'!$B$2:$K$466,COLUMN('בקשות שאושרו'!$J$1)-COLUMN('בקשות שאושרו'!$B$1)+1,0),"")</f>
        <v/>
      </c>
    </row>
    <row r="40" spans="1:17" ht="29.25" x14ac:dyDescent="0.25">
      <c r="A40" s="240">
        <f>'סיכום לוועדה'!A66</f>
        <v>36</v>
      </c>
      <c r="B40" s="241">
        <f>'סיכום לוועדה'!E66</f>
        <v>20000139</v>
      </c>
      <c r="C40" s="241" t="str">
        <f>'סיכום לוועדה'!F66</f>
        <v>מטה אשר</v>
      </c>
      <c r="D40" s="241" t="str">
        <f>'סיכום לוועדה'!G66</f>
        <v>בית לוחמי הגטאות</v>
      </c>
      <c r="E40" s="242" t="str">
        <f>'סיכום לוועדה'!H66</f>
        <v>מוזיאונים</v>
      </c>
      <c r="F40" s="242"/>
      <c r="G40" s="242"/>
      <c r="H40" s="75"/>
      <c r="I40" s="243"/>
      <c r="J40" s="75"/>
      <c r="K40" s="77"/>
      <c r="L40" s="75"/>
      <c r="M40" s="78"/>
      <c r="N40" s="244"/>
      <c r="O40" s="79"/>
      <c r="P40" s="76" t="str">
        <f>IF(IFERROR(VLOOKUP(B40,'בקשות שאושרו'!$B$2:$I$466,1,0),"")="","",1)</f>
        <v/>
      </c>
      <c r="Q40" s="245" t="str">
        <f>IFERROR(VLOOKUP(B40,'בקשות שאושרו'!$B$2:$K$466,COLUMN('בקשות שאושרו'!$J$1)-COLUMN('בקשות שאושרו'!$B$1)+1,0),"")</f>
        <v/>
      </c>
    </row>
    <row r="41" spans="1:17" ht="29.25" x14ac:dyDescent="0.25">
      <c r="A41" s="240">
        <f>'סיכום לוועדה'!A67</f>
        <v>37</v>
      </c>
      <c r="B41" s="241">
        <f>'סיכום לוועדה'!E67</f>
        <v>20000201</v>
      </c>
      <c r="C41" s="241" t="str">
        <f>'סיכום לוועדה'!F67</f>
        <v>תל אביב -יפו</v>
      </c>
      <c r="D41" s="241" t="str">
        <f>'סיכום לוועדה'!G67</f>
        <v>מרכז סוזן דלל</v>
      </c>
      <c r="E41" s="242" t="str">
        <f>'סיכום לוועדה'!H67</f>
        <v>מחול</v>
      </c>
      <c r="F41" s="242"/>
      <c r="G41" s="242"/>
      <c r="H41" s="75"/>
      <c r="I41" s="243"/>
      <c r="J41" s="75"/>
      <c r="K41" s="77"/>
      <c r="L41" s="75"/>
      <c r="M41" s="78"/>
      <c r="N41" s="244"/>
      <c r="O41" s="79"/>
      <c r="P41" s="76" t="str">
        <f>IF(IFERROR(VLOOKUP(B41,'בקשות שאושרו'!$B$2:$I$466,1,0),"")="","",1)</f>
        <v/>
      </c>
      <c r="Q41" s="245" t="str">
        <f>IFERROR(VLOOKUP(B41,'בקשות שאושרו'!$B$2:$K$466,COLUMN('בקשות שאושרו'!$J$1)-COLUMN('בקשות שאושרו'!$B$1)+1,0),"")</f>
        <v/>
      </c>
    </row>
    <row r="42" spans="1:17" ht="29.25" x14ac:dyDescent="0.25">
      <c r="A42" s="240">
        <f>'סיכום לוועדה'!A68</f>
        <v>38</v>
      </c>
      <c r="B42" s="241">
        <f>'סיכום לוועדה'!E68</f>
        <v>20000201</v>
      </c>
      <c r="C42" s="241" t="str">
        <f>'סיכום לוועדה'!F68</f>
        <v>תל אביב -יפו</v>
      </c>
      <c r="D42" s="241" t="str">
        <f>'סיכום לוועדה'!G68</f>
        <v>מרכז סוזן דלל</v>
      </c>
      <c r="E42" s="242" t="str">
        <f>'סיכום לוועדה'!H68</f>
        <v>מחול</v>
      </c>
      <c r="F42" s="242"/>
      <c r="G42" s="242"/>
      <c r="H42" s="75"/>
      <c r="I42" s="243"/>
      <c r="J42" s="75"/>
      <c r="K42" s="77"/>
      <c r="L42" s="75"/>
      <c r="M42" s="78"/>
      <c r="N42" s="244"/>
      <c r="O42" s="79"/>
      <c r="P42" s="76" t="str">
        <f>IF(IFERROR(VLOOKUP(B42,'בקשות שאושרו'!$B$2:$I$466,1,0),"")="","",1)</f>
        <v/>
      </c>
      <c r="Q42" s="245" t="str">
        <f>IFERROR(VLOOKUP(B42,'בקשות שאושרו'!$B$2:$K$466,COLUMN('בקשות שאושרו'!$J$1)-COLUMN('בקשות שאושרו'!$B$1)+1,0),"")</f>
        <v/>
      </c>
    </row>
    <row r="43" spans="1:17" x14ac:dyDescent="0.25">
      <c r="A43" s="240">
        <f>'סיכום לוועדה'!A69</f>
        <v>39</v>
      </c>
      <c r="B43" s="241">
        <f>'סיכום לוועדה'!E69</f>
        <v>20000201</v>
      </c>
      <c r="C43" s="241" t="str">
        <f>'סיכום לוועדה'!F69</f>
        <v>תל אביב -יפו</v>
      </c>
      <c r="D43" s="241" t="str">
        <f>'סיכום לוועדה'!G69</f>
        <v>תיאטרון יפו</v>
      </c>
      <c r="E43" s="242" t="str">
        <f>'סיכום לוועדה'!H69</f>
        <v>תיאטרון</v>
      </c>
      <c r="F43" s="242"/>
      <c r="G43" s="242"/>
      <c r="H43" s="75"/>
      <c r="I43" s="243"/>
      <c r="J43" s="75"/>
      <c r="K43" s="77"/>
      <c r="L43" s="75"/>
      <c r="M43" s="78"/>
      <c r="N43" s="244"/>
      <c r="O43" s="79"/>
      <c r="P43" s="76" t="str">
        <f>IF(IFERROR(VLOOKUP(B43,'בקשות שאושרו'!$B$2:$I$466,1,0),"")="","",1)</f>
        <v/>
      </c>
      <c r="Q43" s="245" t="str">
        <f>IFERROR(VLOOKUP(B43,'בקשות שאושרו'!$B$2:$K$466,COLUMN('בקשות שאושרו'!$J$1)-COLUMN('בקשות שאושרו'!$B$1)+1,0),"")</f>
        <v/>
      </c>
    </row>
    <row r="44" spans="1:17" x14ac:dyDescent="0.25">
      <c r="A44" s="240">
        <f>'סיכום לוועדה'!A70</f>
        <v>40</v>
      </c>
      <c r="B44" s="241">
        <f>'סיכום לוועדה'!E70</f>
        <v>20000201</v>
      </c>
      <c r="C44" s="241" t="str">
        <f>'סיכום לוועדה'!F70</f>
        <v>תל אביב -יפו</v>
      </c>
      <c r="D44" s="241" t="str">
        <f>'סיכום לוועדה'!G70</f>
        <v>תיאטרון יפו</v>
      </c>
      <c r="E44" s="242" t="str">
        <f>'סיכום לוועדה'!H70</f>
        <v>סינמטקים ופסטיבלים</v>
      </c>
      <c r="F44" s="242"/>
      <c r="G44" s="242"/>
      <c r="H44" s="75"/>
      <c r="I44" s="243"/>
      <c r="J44" s="75"/>
      <c r="K44" s="77"/>
      <c r="L44" s="75"/>
      <c r="M44" s="78"/>
      <c r="N44" s="244"/>
      <c r="O44" s="79"/>
      <c r="P44" s="76" t="str">
        <f>IF(IFERROR(VLOOKUP(B44,'בקשות שאושרו'!$B$2:$I$466,1,0),"")="","",1)</f>
        <v/>
      </c>
      <c r="Q44" s="245" t="str">
        <f>IFERROR(VLOOKUP(B44,'בקשות שאושרו'!$B$2:$K$466,COLUMN('בקשות שאושרו'!$J$1)-COLUMN('בקשות שאושרו'!$B$1)+1,0),"")</f>
        <v/>
      </c>
    </row>
    <row r="45" spans="1:17" ht="57.75" x14ac:dyDescent="0.25">
      <c r="A45" s="240">
        <f>'סיכום לוועדה'!A71</f>
        <v>41</v>
      </c>
      <c r="B45" s="241">
        <f>'סיכום לוועדה'!E71</f>
        <v>20000250</v>
      </c>
      <c r="C45" s="241" t="str">
        <f>'סיכום לוועדה'!F71</f>
        <v>רמת גן</v>
      </c>
      <c r="D45" s="241" t="str">
        <f>'סיכום לוועדה'!G71</f>
        <v>אגודת שוחרי מוזאון האדם והחי</v>
      </c>
      <c r="E45" s="242" t="str">
        <f>'סיכום לוועדה'!H71</f>
        <v>מוזיאונים</v>
      </c>
      <c r="F45" s="242"/>
      <c r="G45" s="242"/>
      <c r="H45" s="75"/>
      <c r="I45" s="243"/>
      <c r="J45" s="75"/>
      <c r="K45" s="77"/>
      <c r="L45" s="75"/>
      <c r="M45" s="78"/>
      <c r="N45" s="244"/>
      <c r="O45" s="79"/>
      <c r="P45" s="76" t="str">
        <f>IF(IFERROR(VLOOKUP(B45,'בקשות שאושרו'!$B$2:$I$466,1,0),"")="","",1)</f>
        <v/>
      </c>
      <c r="Q45" s="245" t="str">
        <f>IFERROR(VLOOKUP(B45,'בקשות שאושרו'!$B$2:$K$466,COLUMN('בקשות שאושרו'!$J$1)-COLUMN('בקשות שאושרו'!$B$1)+1,0),"")</f>
        <v/>
      </c>
    </row>
    <row r="46" spans="1:17" ht="29.25" x14ac:dyDescent="0.25">
      <c r="A46" s="240">
        <f>'סיכום לוועדה'!A72</f>
        <v>42</v>
      </c>
      <c r="B46" s="241">
        <f>'סיכום לוועדה'!E72</f>
        <v>20000136</v>
      </c>
      <c r="C46" s="241" t="str">
        <f>'סיכום לוועדה'!F72</f>
        <v>עמק יזרעאל</v>
      </c>
      <c r="D46" s="241" t="str">
        <f>'סיכום לוועדה'!G72</f>
        <v>מוזיאון העמק</v>
      </c>
      <c r="E46" s="242" t="str">
        <f>'סיכום לוועדה'!H72</f>
        <v>מוזיאונים</v>
      </c>
      <c r="F46" s="242"/>
      <c r="G46" s="242"/>
      <c r="H46" s="75"/>
      <c r="I46" s="243"/>
      <c r="J46" s="75"/>
      <c r="K46" s="77"/>
      <c r="L46" s="75"/>
      <c r="M46" s="78"/>
      <c r="N46" s="244"/>
      <c r="O46" s="79"/>
      <c r="P46" s="76" t="str">
        <f>IF(IFERROR(VLOOKUP(B46,'בקשות שאושרו'!$B$2:$I$466,1,0),"")="","",1)</f>
        <v/>
      </c>
      <c r="Q46" s="245" t="str">
        <f>IFERROR(VLOOKUP(B46,'בקשות שאושרו'!$B$2:$K$466,COLUMN('בקשות שאושרו'!$J$1)-COLUMN('בקשות שאושרו'!$B$1)+1,0),"")</f>
        <v/>
      </c>
    </row>
    <row r="47" spans="1:17" ht="72" x14ac:dyDescent="0.25">
      <c r="A47" s="240">
        <f>'סיכום לוועדה'!A73</f>
        <v>43</v>
      </c>
      <c r="B47" s="241">
        <f>'סיכום לוועדה'!E73</f>
        <v>20000227</v>
      </c>
      <c r="C47" s="241" t="str">
        <f>'סיכום לוועדה'!F73</f>
        <v>כפר סבא</v>
      </c>
      <c r="D47" s="241" t="str">
        <f>'סיכום לוועדה'!G73</f>
        <v>מרכז קהילתי בכפר סבא ע"ש שושנה ופנחס ספיר</v>
      </c>
      <c r="E47" s="242" t="str">
        <f>'סיכום לוועדה'!H73</f>
        <v>מוזיאונים</v>
      </c>
      <c r="F47" s="242"/>
      <c r="G47" s="242"/>
      <c r="H47" s="75"/>
      <c r="I47" s="243"/>
      <c r="J47" s="75"/>
      <c r="K47" s="77"/>
      <c r="L47" s="75"/>
      <c r="M47" s="78"/>
      <c r="N47" s="244"/>
      <c r="O47" s="79"/>
      <c r="P47" s="76" t="str">
        <f>IF(IFERROR(VLOOKUP(B47,'בקשות שאושרו'!$B$2:$I$466,1,0),"")="","",1)</f>
        <v/>
      </c>
      <c r="Q47" s="245" t="str">
        <f>IFERROR(VLOOKUP(B47,'בקשות שאושרו'!$B$2:$K$466,COLUMN('בקשות שאושרו'!$J$1)-COLUMN('בקשות שאושרו'!$B$1)+1,0),"")</f>
        <v/>
      </c>
    </row>
    <row r="48" spans="1:17" x14ac:dyDescent="0.25">
      <c r="A48" s="240">
        <f>'סיכום לוועדה'!A74</f>
        <v>44</v>
      </c>
      <c r="B48" s="241">
        <f>'סיכום לוועדה'!E74</f>
        <v>20000139</v>
      </c>
      <c r="C48" s="241" t="str">
        <f>'סיכום לוועדה'!F74</f>
        <v>מטה אשר</v>
      </c>
      <c r="D48" s="241" t="str">
        <f>'סיכום לוועדה'!G74</f>
        <v>קשת איילון</v>
      </c>
      <c r="E48" s="242" t="str">
        <f>'סיכום לוועדה'!H74</f>
        <v>מוסיקה-גופים כליים</v>
      </c>
      <c r="F48" s="242"/>
      <c r="G48" s="242"/>
      <c r="H48" s="75"/>
      <c r="I48" s="243"/>
      <c r="J48" s="75"/>
      <c r="K48" s="77"/>
      <c r="L48" s="75"/>
      <c r="M48" s="78"/>
      <c r="N48" s="244"/>
      <c r="O48" s="79"/>
      <c r="P48" s="76" t="str">
        <f>IF(IFERROR(VLOOKUP(B48,'בקשות שאושרו'!$B$2:$I$466,1,0),"")="","",1)</f>
        <v/>
      </c>
      <c r="Q48" s="245" t="str">
        <f>IFERROR(VLOOKUP(B48,'בקשות שאושרו'!$B$2:$K$466,COLUMN('בקשות שאושרו'!$J$1)-COLUMN('בקשות שאושרו'!$B$1)+1,0),"")</f>
        <v/>
      </c>
    </row>
    <row r="49" spans="1:17" x14ac:dyDescent="0.25">
      <c r="A49" s="240" t="str">
        <f>'סיכום לוועדה'!A75</f>
        <v/>
      </c>
      <c r="B49" s="241" t="str">
        <f>'סיכום לוועדה'!E75</f>
        <v/>
      </c>
      <c r="C49" s="241" t="str">
        <f>'סיכום לוועדה'!F75</f>
        <v/>
      </c>
      <c r="D49" s="241" t="str">
        <f>'סיכום לוועדה'!G75</f>
        <v/>
      </c>
      <c r="E49" s="242" t="str">
        <f>'סיכום לוועדה'!H75</f>
        <v/>
      </c>
      <c r="F49" s="242"/>
      <c r="G49" s="242"/>
      <c r="H49" s="75"/>
      <c r="I49" s="243"/>
      <c r="J49" s="75"/>
      <c r="K49" s="77"/>
      <c r="L49" s="75"/>
      <c r="M49" s="78"/>
      <c r="N49" s="244"/>
      <c r="O49" s="79"/>
      <c r="P49" s="76" t="str">
        <f>IF(IFERROR(VLOOKUP(B49,'בקשות שאושרו'!$B$2:$I$466,1,0),"")="","",1)</f>
        <v/>
      </c>
      <c r="Q49" s="245" t="str">
        <f>IFERROR(VLOOKUP(B49,'בקשות שאושרו'!$B$2:$K$466,COLUMN('בקשות שאושרו'!$J$1)-COLUMN('בקשות שאושרו'!$B$1)+1,0),"")</f>
        <v/>
      </c>
    </row>
    <row r="50" spans="1:17" ht="57.75" x14ac:dyDescent="0.25">
      <c r="A50" s="240">
        <f>'סיכום לוועדה'!A76</f>
        <v>46</v>
      </c>
      <c r="B50" s="241">
        <f>'סיכום לוועדה'!E76</f>
        <v>20000062</v>
      </c>
      <c r="C50" s="241" t="str">
        <f>'סיכום לוועדה'!F76</f>
        <v>עיילבון</v>
      </c>
      <c r="D50" s="241" t="str">
        <f>'סיכום לוועדה'!G76</f>
        <v>ג'בינה- לקידום התיאטרון הערבי</v>
      </c>
      <c r="E50" s="242" t="str">
        <f>'סיכום לוועדה'!H76</f>
        <v>תיאטרון</v>
      </c>
      <c r="F50" s="242"/>
      <c r="G50" s="242"/>
      <c r="H50" s="75"/>
      <c r="I50" s="243"/>
      <c r="J50" s="75"/>
      <c r="K50" s="77"/>
      <c r="L50" s="75"/>
      <c r="M50" s="78"/>
      <c r="N50" s="244"/>
      <c r="O50" s="79"/>
      <c r="P50" s="76" t="str">
        <f>IF(IFERROR(VLOOKUP(B50,'בקשות שאושרו'!$B$2:$I$466,1,0),"")="","",1)</f>
        <v/>
      </c>
      <c r="Q50" s="245" t="str">
        <f>IFERROR(VLOOKUP(B50,'בקשות שאושרו'!$B$2:$K$466,COLUMN('בקשות שאושרו'!$J$1)-COLUMN('בקשות שאושרו'!$B$1)+1,0),"")</f>
        <v/>
      </c>
    </row>
    <row r="51" spans="1:17" ht="57.75" x14ac:dyDescent="0.25">
      <c r="A51" s="240">
        <f>'סיכום לוועדה'!A77</f>
        <v>47</v>
      </c>
      <c r="B51" s="241">
        <f>'סיכום לוועדה'!E77</f>
        <v>20000014</v>
      </c>
      <c r="C51" s="241" t="str">
        <f>'סיכום לוועדה'!F77</f>
        <v>אשדוד</v>
      </c>
      <c r="D51" s="241" t="str">
        <f>'סיכום לוועדה'!G77</f>
        <v>החברה העירונית לתרבות ופנאי אשדוד</v>
      </c>
      <c r="E51" s="242" t="str">
        <f>'סיכום לוועדה'!H77</f>
        <v>תיאטרון</v>
      </c>
      <c r="F51" s="242"/>
      <c r="G51" s="242"/>
      <c r="H51" s="75"/>
      <c r="I51" s="243"/>
      <c r="J51" s="75"/>
      <c r="K51" s="77"/>
      <c r="L51" s="75"/>
      <c r="M51" s="78"/>
      <c r="N51" s="244"/>
      <c r="O51" s="79"/>
      <c r="P51" s="76" t="str">
        <f>IF(IFERROR(VLOOKUP(B51,'בקשות שאושרו'!$B$2:$I$466,1,0),"")="","",1)</f>
        <v/>
      </c>
      <c r="Q51" s="245" t="str">
        <f>IFERROR(VLOOKUP(B51,'בקשות שאושרו'!$B$2:$K$466,COLUMN('בקשות שאושרו'!$J$1)-COLUMN('בקשות שאושרו'!$B$1)+1,0),"")</f>
        <v/>
      </c>
    </row>
    <row r="52" spans="1:17" ht="43.5" x14ac:dyDescent="0.25">
      <c r="A52" s="240">
        <f>'סיכום לוועדה'!A78</f>
        <v>48</v>
      </c>
      <c r="B52" s="241">
        <f>'סיכום לוועדה'!E78</f>
        <v>20000257</v>
      </c>
      <c r="C52" s="241" t="str">
        <f>'סיכום לוועדה'!F78</f>
        <v>זכרון יעקב</v>
      </c>
      <c r="D52" s="241" t="str">
        <f>'סיכום לוועדה'!G78</f>
        <v>בית אהרונסון, מוזיאון נילי</v>
      </c>
      <c r="E52" s="242" t="str">
        <f>'סיכום לוועדה'!H78</f>
        <v>מוזיאונים</v>
      </c>
      <c r="F52" s="242"/>
      <c r="G52" s="242"/>
      <c r="H52" s="75"/>
      <c r="I52" s="243"/>
      <c r="J52" s="75"/>
      <c r="K52" s="77"/>
      <c r="L52" s="75"/>
      <c r="M52" s="78"/>
      <c r="N52" s="244"/>
      <c r="O52" s="79"/>
      <c r="P52" s="76" t="str">
        <f>IF(IFERROR(VLOOKUP(B52,'בקשות שאושרו'!$B$2:$I$466,1,0),"")="","",1)</f>
        <v/>
      </c>
      <c r="Q52" s="245" t="str">
        <f>IFERROR(VLOOKUP(B52,'בקשות שאושרו'!$B$2:$K$466,COLUMN('בקשות שאושרו'!$J$1)-COLUMN('בקשות שאושרו'!$B$1)+1,0),"")</f>
        <v/>
      </c>
    </row>
    <row r="53" spans="1:17" ht="29.25" x14ac:dyDescent="0.25">
      <c r="A53" s="240">
        <f>'סיכום לוועדה'!A79</f>
        <v>49</v>
      </c>
      <c r="B53" s="241">
        <f>'סיכום לוועדה'!E79</f>
        <v>20000127</v>
      </c>
      <c r="C53" s="241" t="str">
        <f>'סיכום לוועדה'!F79</f>
        <v>הגליל העליון</v>
      </c>
      <c r="D53" s="241" t="str">
        <f>'סיכום לוועדה'!G79</f>
        <v>מכון בר דוד לאמנות</v>
      </c>
      <c r="E53" s="242" t="str">
        <f>'סיכום לוועדה'!H79</f>
        <v>מוזיאונים</v>
      </c>
      <c r="F53" s="242"/>
      <c r="G53" s="242"/>
      <c r="H53" s="75"/>
      <c r="I53" s="243"/>
      <c r="J53" s="75"/>
      <c r="K53" s="77"/>
      <c r="L53" s="75"/>
      <c r="M53" s="78"/>
      <c r="N53" s="244"/>
      <c r="O53" s="79"/>
      <c r="P53" s="76" t="str">
        <f>IF(IFERROR(VLOOKUP(B53,'בקשות שאושרו'!$B$2:$I$466,1,0),"")="","",1)</f>
        <v/>
      </c>
      <c r="Q53" s="245" t="str">
        <f>IFERROR(VLOOKUP(B53,'בקשות שאושרו'!$B$2:$K$466,COLUMN('בקשות שאושרו'!$J$1)-COLUMN('בקשות שאושרו'!$B$1)+1,0),"")</f>
        <v/>
      </c>
    </row>
    <row r="54" spans="1:17" ht="57.75" x14ac:dyDescent="0.25">
      <c r="A54" s="240">
        <f>'סיכום לוועדה'!A80</f>
        <v>50</v>
      </c>
      <c r="B54" s="241">
        <f>'סיכום לוועדה'!E80</f>
        <v>20000182</v>
      </c>
      <c r="C54" s="241" t="str">
        <f>'סיכום לוועדה'!F80</f>
        <v>חיפה</v>
      </c>
      <c r="D54" s="241" t="str">
        <f>'סיכום לוועדה'!G80</f>
        <v>מדעטק- המוזיאון הלאומי למדע</v>
      </c>
      <c r="E54" s="242" t="str">
        <f>'סיכום לוועדה'!H80</f>
        <v>מוזיאונים</v>
      </c>
      <c r="F54" s="242"/>
      <c r="G54" s="242"/>
      <c r="H54" s="75"/>
      <c r="I54" s="243"/>
      <c r="J54" s="75"/>
      <c r="K54" s="77"/>
      <c r="L54" s="75"/>
      <c r="M54" s="78"/>
      <c r="N54" s="244"/>
      <c r="O54" s="79"/>
      <c r="P54" s="76" t="str">
        <f>IF(IFERROR(VLOOKUP(B54,'בקשות שאושרו'!$B$2:$I$466,1,0),"")="","",1)</f>
        <v/>
      </c>
      <c r="Q54" s="245" t="str">
        <f>IFERROR(VLOOKUP(B54,'בקשות שאושרו'!$B$2:$K$466,COLUMN('בקשות שאושרו'!$J$1)-COLUMN('בקשות שאושרו'!$B$1)+1,0),"")</f>
        <v/>
      </c>
    </row>
    <row r="55" spans="1:17" ht="57.75" x14ac:dyDescent="0.25">
      <c r="A55" s="240">
        <f>'סיכום לוועדה'!A81</f>
        <v>51</v>
      </c>
      <c r="B55" s="241">
        <f>'סיכום לוועדה'!E81</f>
        <v>20000159</v>
      </c>
      <c r="C55" s="241" t="str">
        <f>'סיכום לוועדה'!F81</f>
        <v>ירושלים</v>
      </c>
      <c r="D55" s="241" t="str">
        <f>'סיכום לוועדה'!G81</f>
        <v>מוזיאון המדע ע"ש בלומפילד ירושלים</v>
      </c>
      <c r="E55" s="242" t="str">
        <f>'סיכום לוועדה'!H81</f>
        <v>מוזיאונים</v>
      </c>
      <c r="F55" s="242"/>
      <c r="G55" s="242"/>
      <c r="H55" s="75"/>
      <c r="I55" s="243"/>
      <c r="J55" s="75"/>
      <c r="K55" s="77"/>
      <c r="L55" s="75"/>
      <c r="M55" s="78"/>
      <c r="N55" s="244"/>
      <c r="O55" s="79"/>
      <c r="P55" s="76" t="str">
        <f>IF(IFERROR(VLOOKUP(B55,'בקשות שאושרו'!$B$2:$I$466,1,0),"")="","",1)</f>
        <v/>
      </c>
      <c r="Q55" s="245" t="str">
        <f>IFERROR(VLOOKUP(B55,'בקשות שאושרו'!$B$2:$K$466,COLUMN('בקשות שאושרו'!$J$1)-COLUMN('בקשות שאושרו'!$B$1)+1,0),"")</f>
        <v/>
      </c>
    </row>
    <row r="56" spans="1:17" ht="86.25" x14ac:dyDescent="0.25">
      <c r="A56" s="240">
        <f>'סיכום לוועדה'!A82</f>
        <v>52</v>
      </c>
      <c r="B56" s="241">
        <f>'סיכום לוועדה'!E82</f>
        <v>20000224</v>
      </c>
      <c r="C56" s="241" t="str">
        <f>'סיכום לוועדה'!F82</f>
        <v>חולון</v>
      </c>
      <c r="D56" s="241" t="str">
        <f>'סיכום לוועדה'!G82</f>
        <v>החברה לפיתוח תיאטרון מוזיקה אומנות ומחול חולון</v>
      </c>
      <c r="E56" s="242" t="str">
        <f>'סיכום לוועדה'!H82</f>
        <v>תיאטרון</v>
      </c>
      <c r="F56" s="242"/>
      <c r="G56" s="242"/>
      <c r="H56" s="75"/>
      <c r="I56" s="243"/>
      <c r="J56" s="75"/>
      <c r="K56" s="77"/>
      <c r="L56" s="75"/>
      <c r="M56" s="78"/>
      <c r="N56" s="244"/>
      <c r="O56" s="79"/>
      <c r="P56" s="76" t="str">
        <f>IF(IFERROR(VLOOKUP(B56,'בקשות שאושרו'!$B$2:$I$466,1,0),"")="","",1)</f>
        <v/>
      </c>
      <c r="Q56" s="245" t="str">
        <f>IFERROR(VLOOKUP(B56,'בקשות שאושרו'!$B$2:$K$466,COLUMN('בקשות שאושרו'!$J$1)-COLUMN('בקשות שאושרו'!$B$1)+1,0),"")</f>
        <v/>
      </c>
    </row>
    <row r="57" spans="1:17" ht="86.25" x14ac:dyDescent="0.25">
      <c r="A57" s="240">
        <f>'סיכום לוועדה'!A83</f>
        <v>53</v>
      </c>
      <c r="B57" s="241">
        <f>'סיכום לוועדה'!E83</f>
        <v>20000224</v>
      </c>
      <c r="C57" s="241" t="str">
        <f>'סיכום לוועדה'!F83</f>
        <v>חולון</v>
      </c>
      <c r="D57" s="241" t="str">
        <f>'סיכום לוועדה'!G83</f>
        <v>החברה לפיתוח תיאטרון מוזיקה אומנות ומחול חולון</v>
      </c>
      <c r="E57" s="242" t="str">
        <f>'סיכום לוועדה'!H83</f>
        <v>מוזיאונים</v>
      </c>
      <c r="F57" s="242"/>
      <c r="G57" s="242"/>
      <c r="H57" s="75"/>
      <c r="I57" s="243"/>
      <c r="J57" s="75"/>
      <c r="K57" s="77"/>
      <c r="L57" s="75"/>
      <c r="M57" s="78"/>
      <c r="N57" s="244"/>
      <c r="O57" s="79"/>
      <c r="P57" s="76" t="str">
        <f>IF(IFERROR(VLOOKUP(B57,'בקשות שאושרו'!$B$2:$I$466,1,0),"")="","",1)</f>
        <v/>
      </c>
      <c r="Q57" s="245" t="str">
        <f>IFERROR(VLOOKUP(B57,'בקשות שאושרו'!$B$2:$K$466,COLUMN('בקשות שאושרו'!$J$1)-COLUMN('בקשות שאושרו'!$B$1)+1,0),"")</f>
        <v/>
      </c>
    </row>
    <row r="58" spans="1:17" ht="86.25" x14ac:dyDescent="0.25">
      <c r="A58" s="240">
        <f>'סיכום לוועדה'!A84</f>
        <v>54</v>
      </c>
      <c r="B58" s="241">
        <f>'סיכום לוועדה'!E84</f>
        <v>20000224</v>
      </c>
      <c r="C58" s="241" t="str">
        <f>'סיכום לוועדה'!F84</f>
        <v>חולון</v>
      </c>
      <c r="D58" s="241" t="str">
        <f>'סיכום לוועדה'!G84</f>
        <v>החברה לפיתוח תיאטרון מוזיקה אומנות ומחול חולון</v>
      </c>
      <c r="E58" s="242" t="str">
        <f>'סיכום לוועדה'!H84</f>
        <v>ספרות</v>
      </c>
      <c r="F58" s="242"/>
      <c r="G58" s="242"/>
      <c r="H58" s="75"/>
      <c r="I58" s="243"/>
      <c r="J58" s="75"/>
      <c r="K58" s="77"/>
      <c r="L58" s="75"/>
      <c r="M58" s="78"/>
      <c r="N58" s="244"/>
      <c r="O58" s="79"/>
      <c r="P58" s="76" t="str">
        <f>IF(IFERROR(VLOOKUP(B58,'בקשות שאושרו'!$B$2:$I$466,1,0),"")="","",1)</f>
        <v/>
      </c>
      <c r="Q58" s="245" t="str">
        <f>IFERROR(VLOOKUP(B58,'בקשות שאושרו'!$B$2:$K$466,COLUMN('בקשות שאושרו'!$J$1)-COLUMN('בקשות שאושרו'!$B$1)+1,0),"")</f>
        <v/>
      </c>
    </row>
    <row r="59" spans="1:17" ht="86.25" x14ac:dyDescent="0.25">
      <c r="A59" s="240">
        <f>'סיכום לוועדה'!A85</f>
        <v>55</v>
      </c>
      <c r="B59" s="241">
        <f>'סיכום לוועדה'!E85</f>
        <v>20000224</v>
      </c>
      <c r="C59" s="241" t="str">
        <f>'סיכום לוועדה'!F85</f>
        <v>חולון</v>
      </c>
      <c r="D59" s="241" t="str">
        <f>'סיכום לוועדה'!G85</f>
        <v>החברה לפיתוח תיאטרון מוזיקה אומנות ומחול חולון</v>
      </c>
      <c r="E59" s="242" t="str">
        <f>'סיכום לוועדה'!H85</f>
        <v>מוזיאונים</v>
      </c>
      <c r="F59" s="242"/>
      <c r="G59" s="242"/>
      <c r="H59" s="75"/>
      <c r="I59" s="243"/>
      <c r="J59" s="75"/>
      <c r="K59" s="77"/>
      <c r="L59" s="75"/>
      <c r="M59" s="78"/>
      <c r="N59" s="244"/>
      <c r="O59" s="79"/>
      <c r="P59" s="76" t="str">
        <f>IF(IFERROR(VLOOKUP(B59,'בקשות שאושרו'!$B$2:$I$466,1,0),"")="","",1)</f>
        <v/>
      </c>
      <c r="Q59" s="245" t="str">
        <f>IFERROR(VLOOKUP(B59,'בקשות שאושרו'!$B$2:$K$466,COLUMN('בקשות שאושרו'!$J$1)-COLUMN('בקשות שאושרו'!$B$1)+1,0),"")</f>
        <v/>
      </c>
    </row>
    <row r="60" spans="1:17" ht="86.25" x14ac:dyDescent="0.25">
      <c r="A60" s="240">
        <f>'סיכום לוועדה'!A86</f>
        <v>56</v>
      </c>
      <c r="B60" s="241">
        <f>'סיכום לוועדה'!E86</f>
        <v>20000224</v>
      </c>
      <c r="C60" s="241" t="str">
        <f>'סיכום לוועדה'!F86</f>
        <v>חולון</v>
      </c>
      <c r="D60" s="241" t="str">
        <f>'סיכום לוועדה'!G86</f>
        <v>החברה לפיתוח תיאטרון מוזיקה אומנות ומחול חולון</v>
      </c>
      <c r="E60" s="242" t="str">
        <f>'סיכום לוועדה'!H86</f>
        <v>סינמטקים ופסטיבלים</v>
      </c>
      <c r="F60" s="242"/>
      <c r="G60" s="242"/>
      <c r="H60" s="75"/>
      <c r="I60" s="243"/>
      <c r="J60" s="75"/>
      <c r="K60" s="77"/>
      <c r="L60" s="75"/>
      <c r="M60" s="78"/>
      <c r="N60" s="244"/>
      <c r="O60" s="79"/>
      <c r="P60" s="76" t="str">
        <f>IF(IFERROR(VLOOKUP(B60,'בקשות שאושרו'!$B$2:$I$466,1,0),"")="","",1)</f>
        <v/>
      </c>
      <c r="Q60" s="245" t="str">
        <f>IFERROR(VLOOKUP(B60,'בקשות שאושרו'!$B$2:$K$466,COLUMN('בקשות שאושרו'!$J$1)-COLUMN('בקשות שאושרו'!$B$1)+1,0),"")</f>
        <v/>
      </c>
    </row>
    <row r="61" spans="1:17" ht="29.25" x14ac:dyDescent="0.25">
      <c r="A61" s="240">
        <f>'סיכום לוועדה'!A87</f>
        <v>57</v>
      </c>
      <c r="B61" s="241">
        <f>'סיכום לוועדה'!E87</f>
        <v>20000254</v>
      </c>
      <c r="C61" s="241" t="str">
        <f>'סיכום לוועדה'!F87</f>
        <v>באר שבע</v>
      </c>
      <c r="D61" s="241" t="str">
        <f>'סיכום לוועדה'!G87</f>
        <v>תיאטרון באר שבע</v>
      </c>
      <c r="E61" s="242" t="str">
        <f>'סיכום לוועדה'!H87</f>
        <v>תיאטרון</v>
      </c>
      <c r="F61" s="242"/>
      <c r="G61" s="242"/>
      <c r="H61" s="75"/>
      <c r="I61" s="243"/>
      <c r="J61" s="75"/>
      <c r="K61" s="77"/>
      <c r="L61" s="75"/>
      <c r="M61" s="78"/>
      <c r="N61" s="244"/>
      <c r="O61" s="79"/>
      <c r="P61" s="76" t="str">
        <f>IF(IFERROR(VLOOKUP(B61,'בקשות שאושרו'!$B$2:$I$466,1,0),"")="","",1)</f>
        <v/>
      </c>
      <c r="Q61" s="245" t="str">
        <f>IFERROR(VLOOKUP(B61,'בקשות שאושרו'!$B$2:$K$466,COLUMN('בקשות שאושרו'!$J$1)-COLUMN('בקשות שאושרו'!$B$1)+1,0),"")</f>
        <v/>
      </c>
    </row>
    <row r="62" spans="1:17" ht="43.5" x14ac:dyDescent="0.25">
      <c r="A62" s="240">
        <f>'סיכום לוועדה'!A88</f>
        <v>58</v>
      </c>
      <c r="B62" s="241">
        <f>'סיכום לוועדה'!E88</f>
        <v>20000159</v>
      </c>
      <c r="C62" s="241" t="str">
        <f>'סיכום לוועדה'!F88</f>
        <v>ירושלים</v>
      </c>
      <c r="D62" s="241" t="str">
        <f>'סיכום לוועדה'!G88</f>
        <v>הקאמרטה הישראלית ירושלים</v>
      </c>
      <c r="E62" s="242" t="str">
        <f>'סיכום לוועדה'!H88</f>
        <v>מוסיקה-גופים כליים</v>
      </c>
      <c r="F62" s="242"/>
      <c r="G62" s="242"/>
      <c r="H62" s="75"/>
      <c r="I62" s="243"/>
      <c r="J62" s="75"/>
      <c r="K62" s="77"/>
      <c r="L62" s="75"/>
      <c r="M62" s="78"/>
      <c r="N62" s="244"/>
      <c r="O62" s="79"/>
      <c r="P62" s="76" t="str">
        <f>IF(IFERROR(VLOOKUP(B62,'בקשות שאושרו'!$B$2:$I$466,1,0),"")="","",1)</f>
        <v/>
      </c>
      <c r="Q62" s="245" t="str">
        <f>IFERROR(VLOOKUP(B62,'בקשות שאושרו'!$B$2:$K$466,COLUMN('בקשות שאושרו'!$J$1)-COLUMN('בקשות שאושרו'!$B$1)+1,0),"")</f>
        <v/>
      </c>
    </row>
    <row r="63" spans="1:17" ht="29.25" x14ac:dyDescent="0.25">
      <c r="A63" s="240">
        <f>'סיכום לוועדה'!A89</f>
        <v>59</v>
      </c>
      <c r="B63" s="241">
        <f>'סיכום לוועדה'!E89</f>
        <v>20000201</v>
      </c>
      <c r="C63" s="241" t="str">
        <f>'סיכום לוועדה'!F89</f>
        <v>תל אביב -יפו</v>
      </c>
      <c r="D63" s="241" t="str">
        <f>'סיכום לוועדה'!G89</f>
        <v>מוזיאון ארץ ישראל ת"א</v>
      </c>
      <c r="E63" s="242" t="str">
        <f>'סיכום לוועדה'!H89</f>
        <v>מוזיאונים</v>
      </c>
      <c r="F63" s="242"/>
      <c r="G63" s="242"/>
      <c r="H63" s="75"/>
      <c r="I63" s="243"/>
      <c r="J63" s="75"/>
      <c r="K63" s="77"/>
      <c r="L63" s="75"/>
      <c r="M63" s="78"/>
      <c r="N63" s="244"/>
      <c r="O63" s="79"/>
      <c r="P63" s="76" t="str">
        <f>IF(IFERROR(VLOOKUP(B63,'בקשות שאושרו'!$B$2:$I$466,1,0),"")="","",1)</f>
        <v/>
      </c>
      <c r="Q63" s="245" t="str">
        <f>IFERROR(VLOOKUP(B63,'בקשות שאושרו'!$B$2:$K$466,COLUMN('בקשות שאושרו'!$J$1)-COLUMN('בקשות שאושרו'!$B$1)+1,0),"")</f>
        <v/>
      </c>
    </row>
    <row r="64" spans="1:17" ht="43.5" x14ac:dyDescent="0.25">
      <c r="A64" s="240">
        <f>'סיכום לוועדה'!A90</f>
        <v>60</v>
      </c>
      <c r="B64" s="241">
        <f>'סיכום לוועדה'!E90</f>
        <v>20000201</v>
      </c>
      <c r="C64" s="241" t="str">
        <f>'סיכום לוועדה'!F90</f>
        <v>תל אביב -יפו</v>
      </c>
      <c r="D64" s="241" t="str">
        <f>'סיכום לוועדה'!G90</f>
        <v>המקהלה הקאמרית תל אביב</v>
      </c>
      <c r="E64" s="242" t="str">
        <f>'סיכום לוועדה'!H90</f>
        <v>מקהלות</v>
      </c>
      <c r="F64" s="242"/>
      <c r="G64" s="242"/>
      <c r="H64" s="75"/>
      <c r="I64" s="243"/>
      <c r="J64" s="75"/>
      <c r="K64" s="77"/>
      <c r="L64" s="75"/>
      <c r="M64" s="78"/>
      <c r="N64" s="244"/>
      <c r="O64" s="79"/>
      <c r="P64" s="76" t="str">
        <f>IF(IFERROR(VLOOKUP(B64,'בקשות שאושרו'!$B$2:$I$466,1,0),"")="","",1)</f>
        <v/>
      </c>
      <c r="Q64" s="245" t="str">
        <f>IFERROR(VLOOKUP(B64,'בקשות שאושרו'!$B$2:$K$466,COLUMN('בקשות שאושרו'!$J$1)-COLUMN('בקשות שאושרו'!$B$1)+1,0),"")</f>
        <v/>
      </c>
    </row>
    <row r="65" spans="1:17" ht="43.5" x14ac:dyDescent="0.25">
      <c r="A65" s="240">
        <f>'סיכום לוועדה'!A91</f>
        <v>61</v>
      </c>
      <c r="B65" s="241">
        <f>'סיכום לוועדה'!E91</f>
        <v>20000015</v>
      </c>
      <c r="C65" s="241" t="str">
        <f>'סיכום לוועדה'!F91</f>
        <v>מצפה רמון</v>
      </c>
      <c r="D65" s="241" t="str">
        <f>'סיכום לוועדה'!G91</f>
        <v>מרכז תרבות מצפה רמון</v>
      </c>
      <c r="E65" s="242" t="str">
        <f>'סיכום לוועדה'!H91</f>
        <v>סינמטקים ופסטיבלים</v>
      </c>
      <c r="F65" s="242"/>
      <c r="G65" s="242"/>
      <c r="H65" s="75"/>
      <c r="I65" s="243"/>
      <c r="J65" s="75"/>
      <c r="K65" s="77"/>
      <c r="L65" s="75"/>
      <c r="M65" s="78"/>
      <c r="N65" s="244"/>
      <c r="O65" s="79"/>
      <c r="P65" s="76" t="str">
        <f>IF(IFERROR(VLOOKUP(B65,'בקשות שאושרו'!$B$2:$I$466,1,0),"")="","",1)</f>
        <v/>
      </c>
      <c r="Q65" s="245" t="str">
        <f>IFERROR(VLOOKUP(B65,'בקשות שאושרו'!$B$2:$K$466,COLUMN('בקשות שאושרו'!$J$1)-COLUMN('בקשות שאושרו'!$B$1)+1,0),"")</f>
        <v/>
      </c>
    </row>
    <row r="66" spans="1:17" ht="43.5" x14ac:dyDescent="0.25">
      <c r="A66" s="240">
        <f>'סיכום לוועדה'!A92</f>
        <v>62</v>
      </c>
      <c r="B66" s="241">
        <f>'סיכום לוועדה'!E92</f>
        <v>20000162</v>
      </c>
      <c r="C66" s="241" t="str">
        <f>'סיכום לוועדה'!F92</f>
        <v>חוף הכרמל</v>
      </c>
      <c r="D66" s="241" t="str">
        <f>'סיכום לוועדה'!G92</f>
        <v>מוזיאון ינקו דאדא עין הוד</v>
      </c>
      <c r="E66" s="242" t="str">
        <f>'סיכום לוועדה'!H92</f>
        <v>מוזיאונים</v>
      </c>
      <c r="F66" s="242"/>
      <c r="G66" s="242"/>
      <c r="H66" s="75"/>
      <c r="I66" s="243"/>
      <c r="J66" s="75"/>
      <c r="K66" s="77"/>
      <c r="L66" s="75"/>
      <c r="M66" s="78"/>
      <c r="N66" s="244"/>
      <c r="O66" s="79"/>
      <c r="P66" s="76" t="str">
        <f>IF(IFERROR(VLOOKUP(B66,'בקשות שאושרו'!$B$2:$I$466,1,0),"")="","",1)</f>
        <v/>
      </c>
      <c r="Q66" s="245" t="str">
        <f>IFERROR(VLOOKUP(B66,'בקשות שאושרו'!$B$2:$K$466,COLUMN('בקשות שאושרו'!$J$1)-COLUMN('בקשות שאושרו'!$B$1)+1,0),"")</f>
        <v/>
      </c>
    </row>
    <row r="67" spans="1:17" ht="72" x14ac:dyDescent="0.25">
      <c r="A67" s="240">
        <f>'סיכום לוועדה'!A93</f>
        <v>63</v>
      </c>
      <c r="B67" s="241">
        <f>'סיכום לוועדה'!E93</f>
        <v>20000102</v>
      </c>
      <c r="C67" s="241" t="str">
        <f>'סיכום לוועדה'!F93</f>
        <v>מעלות-תרשיחא</v>
      </c>
      <c r="D67" s="241" t="str">
        <f>'סיכום לוועדה'!G93</f>
        <v>בית האומנות לחינוך ולתרבות - תרשיחא</v>
      </c>
      <c r="E67" s="242" t="str">
        <f>'סיכום לוועדה'!H93</f>
        <v>תרבות ערבית</v>
      </c>
      <c r="F67" s="242"/>
      <c r="G67" s="242"/>
      <c r="H67" s="75"/>
      <c r="I67" s="243"/>
      <c r="J67" s="75"/>
      <c r="K67" s="77"/>
      <c r="L67" s="75"/>
      <c r="M67" s="78"/>
      <c r="N67" s="244"/>
      <c r="O67" s="79"/>
      <c r="P67" s="76" t="str">
        <f>IF(IFERROR(VLOOKUP(B67,'בקשות שאושרו'!$B$2:$I$466,1,0),"")="","",1)</f>
        <v/>
      </c>
      <c r="Q67" s="245" t="str">
        <f>IFERROR(VLOOKUP(B67,'בקשות שאושרו'!$B$2:$K$466,COLUMN('בקשות שאושרו'!$J$1)-COLUMN('בקשות שאושרו'!$B$1)+1,0),"")</f>
        <v/>
      </c>
    </row>
    <row r="68" spans="1:17" ht="43.5" x14ac:dyDescent="0.25">
      <c r="A68" s="240">
        <f>'סיכום לוועדה'!A94</f>
        <v>64</v>
      </c>
      <c r="B68" s="241">
        <f>'סיכום לוועדה'!E94</f>
        <v>20000005</v>
      </c>
      <c r="C68" s="241" t="str">
        <f>'סיכום לוועדה'!F94</f>
        <v>אליכין</v>
      </c>
      <c r="D68" s="241" t="str">
        <f>'סיכום לוועדה'!G94</f>
        <v>מכון רימון לידיעת הארץ</v>
      </c>
      <c r="E68" s="242" t="str">
        <f>'סיכום לוועדה'!H94</f>
        <v>מוזיאונים</v>
      </c>
      <c r="F68" s="242"/>
      <c r="G68" s="242"/>
      <c r="H68" s="75"/>
      <c r="I68" s="243"/>
      <c r="J68" s="75"/>
      <c r="K68" s="77"/>
      <c r="L68" s="75"/>
      <c r="M68" s="78"/>
      <c r="N68" s="244"/>
      <c r="O68" s="79"/>
      <c r="P68" s="76" t="str">
        <f>IF(IFERROR(VLOOKUP(B68,'בקשות שאושרו'!$B$2:$I$466,1,0),"")="","",1)</f>
        <v/>
      </c>
      <c r="Q68" s="245" t="str">
        <f>IFERROR(VLOOKUP(B68,'בקשות שאושרו'!$B$2:$K$466,COLUMN('בקשות שאושרו'!$J$1)-COLUMN('בקשות שאושרו'!$B$1)+1,0),"")</f>
        <v/>
      </c>
    </row>
    <row r="69" spans="1:17" ht="43.5" x14ac:dyDescent="0.25">
      <c r="A69" s="240">
        <f>'סיכום לוועדה'!A95</f>
        <v>65</v>
      </c>
      <c r="B69" s="241">
        <f>'סיכום לוועדה'!E95</f>
        <v>20000159</v>
      </c>
      <c r="C69" s="241" t="str">
        <f>'סיכום לוועדה'!F95</f>
        <v>ירושלים</v>
      </c>
      <c r="D69" s="241" t="str">
        <f>'סיכום לוועדה'!G95</f>
        <v xml:space="preserve">תזמורת הבארוק ירושלים </v>
      </c>
      <c r="E69" s="242" t="str">
        <f>'סיכום לוועדה'!H95</f>
        <v>מוסיקה-גופים כליים</v>
      </c>
      <c r="F69" s="242"/>
      <c r="G69" s="242"/>
      <c r="H69" s="75"/>
      <c r="I69" s="243"/>
      <c r="J69" s="75"/>
      <c r="K69" s="77"/>
      <c r="L69" s="75"/>
      <c r="M69" s="78"/>
      <c r="N69" s="244"/>
      <c r="O69" s="79"/>
      <c r="P69" s="76" t="str">
        <f>IF(IFERROR(VLOOKUP(B69,'בקשות שאושרו'!$B$2:$I$466,1,0),"")="","",1)</f>
        <v/>
      </c>
      <c r="Q69" s="245" t="str">
        <f>IFERROR(VLOOKUP(B69,'בקשות שאושרו'!$B$2:$K$466,COLUMN('בקשות שאושרו'!$J$1)-COLUMN('בקשות שאושרו'!$B$1)+1,0),"")</f>
        <v/>
      </c>
    </row>
    <row r="70" spans="1:17" ht="72" x14ac:dyDescent="0.25">
      <c r="A70" s="240">
        <f>'סיכום לוועדה'!A96</f>
        <v>66</v>
      </c>
      <c r="B70" s="241">
        <f>'סיכום לוועדה'!E96</f>
        <v>20000096</v>
      </c>
      <c r="C70" s="241" t="str">
        <f>'סיכום לוועדה'!F96</f>
        <v>שדרות</v>
      </c>
      <c r="D70" s="241" t="str">
        <f>'סיכום לוועדה'!G96</f>
        <v>מרכז התנועה שדרות אדמה (ע''ר)</v>
      </c>
      <c r="E70" s="242" t="str">
        <f>'סיכום לוועדה'!H96</f>
        <v>מחול</v>
      </c>
      <c r="F70" s="242"/>
      <c r="G70" s="242"/>
      <c r="H70" s="75"/>
      <c r="I70" s="243"/>
      <c r="J70" s="75"/>
      <c r="K70" s="77"/>
      <c r="L70" s="75"/>
      <c r="M70" s="78"/>
      <c r="N70" s="244"/>
      <c r="O70" s="79"/>
      <c r="P70" s="76" t="str">
        <f>IF(IFERROR(VLOOKUP(B70,'בקשות שאושרו'!$B$2:$I$466,1,0),"")="","",1)</f>
        <v/>
      </c>
      <c r="Q70" s="245" t="str">
        <f>IFERROR(VLOOKUP(B70,'בקשות שאושרו'!$B$2:$K$466,COLUMN('בקשות שאושרו'!$J$1)-COLUMN('בקשות שאושרו'!$B$1)+1,0),"")</f>
        <v/>
      </c>
    </row>
    <row r="71" spans="1:17" ht="43.5" x14ac:dyDescent="0.25">
      <c r="A71" s="240">
        <f>'סיכום לוועדה'!A97</f>
        <v>67</v>
      </c>
      <c r="B71" s="241">
        <f>'סיכום לוועדה'!E97</f>
        <v>20000231</v>
      </c>
      <c r="C71" s="241" t="str">
        <f>'סיכום לוועדה'!F97</f>
        <v>נצרת</v>
      </c>
      <c r="D71" s="241" t="str">
        <f>'סיכום לוועדה'!G97</f>
        <v>אלערביא לתרבות ואמנות</v>
      </c>
      <c r="E71" s="242" t="str">
        <f>'סיכום לוועדה'!H97</f>
        <v>תרבות ערבית</v>
      </c>
      <c r="F71" s="242"/>
      <c r="G71" s="242"/>
      <c r="H71" s="75"/>
      <c r="I71" s="243"/>
      <c r="J71" s="75"/>
      <c r="K71" s="77"/>
      <c r="L71" s="75"/>
      <c r="M71" s="78"/>
      <c r="N71" s="244"/>
      <c r="O71" s="79"/>
      <c r="P71" s="76" t="str">
        <f>IF(IFERROR(VLOOKUP(B71,'בקשות שאושרו'!$B$2:$I$466,1,0),"")="","",1)</f>
        <v/>
      </c>
      <c r="Q71" s="245" t="str">
        <f>IFERROR(VLOOKUP(B71,'בקשות שאושרו'!$B$2:$K$466,COLUMN('בקשות שאושרו'!$J$1)-COLUMN('בקשות שאושרו'!$B$1)+1,0),"")</f>
        <v/>
      </c>
    </row>
    <row r="72" spans="1:17" ht="43.5" x14ac:dyDescent="0.25">
      <c r="A72" s="240">
        <f>'סיכום לוועדה'!A98</f>
        <v>68</v>
      </c>
      <c r="B72" s="241">
        <f>'סיכום לוועדה'!E98</f>
        <v>20000231</v>
      </c>
      <c r="C72" s="241" t="str">
        <f>'סיכום לוועדה'!F98</f>
        <v>נצרת</v>
      </c>
      <c r="D72" s="241" t="str">
        <f>'סיכום לוועדה'!G98</f>
        <v>אלערביא לתרבות ואמנות</v>
      </c>
      <c r="E72" s="242" t="str">
        <f>'סיכום לוועדה'!H98</f>
        <v>תרבות ערבית</v>
      </c>
      <c r="F72" s="242"/>
      <c r="G72" s="242"/>
      <c r="H72" s="75"/>
      <c r="I72" s="243"/>
      <c r="J72" s="75"/>
      <c r="K72" s="77"/>
      <c r="L72" s="75"/>
      <c r="M72" s="78"/>
      <c r="N72" s="244"/>
      <c r="O72" s="79"/>
      <c r="P72" s="76" t="str">
        <f>IF(IFERROR(VLOOKUP(B72,'בקשות שאושרו'!$B$2:$I$466,1,0),"")="","",1)</f>
        <v/>
      </c>
      <c r="Q72" s="245" t="str">
        <f>IFERROR(VLOOKUP(B72,'בקשות שאושרו'!$B$2:$K$466,COLUMN('בקשות שאושרו'!$J$1)-COLUMN('בקשות שאושרו'!$B$1)+1,0),"")</f>
        <v/>
      </c>
    </row>
    <row r="73" spans="1:17" ht="29.25" x14ac:dyDescent="0.25">
      <c r="A73" s="240">
        <f>'סיכום לוועדה'!A99</f>
        <v>69</v>
      </c>
      <c r="B73" s="241">
        <f>'סיכום לוועדה'!E99</f>
        <v>20000111</v>
      </c>
      <c r="C73" s="241" t="str">
        <f>'סיכום לוועדה'!F99</f>
        <v>מיתר</v>
      </c>
      <c r="D73" s="241" t="str">
        <f>'סיכום לוועדה'!G99</f>
        <v>נוה הבדואים</v>
      </c>
      <c r="E73" s="242" t="str">
        <f>'סיכום לוועדה'!H99</f>
        <v>תרבות ערבית</v>
      </c>
      <c r="F73" s="242"/>
      <c r="G73" s="242"/>
      <c r="H73" s="75"/>
      <c r="I73" s="243"/>
      <c r="J73" s="75"/>
      <c r="K73" s="77"/>
      <c r="L73" s="75"/>
      <c r="M73" s="78"/>
      <c r="N73" s="244"/>
      <c r="O73" s="79"/>
      <c r="P73" s="76" t="str">
        <f>IF(IFERROR(VLOOKUP(B73,'בקשות שאושרו'!$B$2:$I$466,1,0),"")="","",1)</f>
        <v/>
      </c>
      <c r="Q73" s="245" t="str">
        <f>IFERROR(VLOOKUP(B73,'בקשות שאושרו'!$B$2:$K$466,COLUMN('בקשות שאושרו'!$J$1)-COLUMN('בקשות שאושרו'!$B$1)+1,0),"")</f>
        <v/>
      </c>
    </row>
    <row r="74" spans="1:17" ht="43.5" x14ac:dyDescent="0.25">
      <c r="A74" s="240">
        <f>'סיכום לוועדה'!A100</f>
        <v>70</v>
      </c>
      <c r="B74" s="241">
        <f>'סיכום לוועדה'!E100</f>
        <v>20000132</v>
      </c>
      <c r="C74" s="241" t="str">
        <f>'סיכום לוועדה'!F100</f>
        <v>עמק הירדן</v>
      </c>
      <c r="D74" s="241" t="str">
        <f>'סיכום לוועדה'!G100</f>
        <v>מרכז תרבות והנצחה</v>
      </c>
      <c r="E74" s="242" t="str">
        <f>'סיכום לוועדה'!H100</f>
        <v>מוזיאונים</v>
      </c>
      <c r="F74" s="242"/>
      <c r="G74" s="242"/>
      <c r="H74" s="75"/>
      <c r="I74" s="243"/>
      <c r="J74" s="75"/>
      <c r="K74" s="77"/>
      <c r="L74" s="75"/>
      <c r="M74" s="78"/>
      <c r="N74" s="244"/>
      <c r="O74" s="79"/>
      <c r="P74" s="76" t="str">
        <f>IF(IFERROR(VLOOKUP(B74,'בקשות שאושרו'!$B$2:$I$466,1,0),"")="","",1)</f>
        <v/>
      </c>
      <c r="Q74" s="245" t="str">
        <f>IFERROR(VLOOKUP(B74,'בקשות שאושרו'!$B$2:$K$466,COLUMN('בקשות שאושרו'!$J$1)-COLUMN('בקשות שאושרו'!$B$1)+1,0),"")</f>
        <v/>
      </c>
    </row>
    <row r="75" spans="1:17" ht="29.25" x14ac:dyDescent="0.25">
      <c r="A75" s="240">
        <f>'סיכום לוועדה'!A101</f>
        <v>71</v>
      </c>
      <c r="B75" s="241">
        <f>'סיכום לוועדה'!E101</f>
        <v>20000159</v>
      </c>
      <c r="C75" s="241" t="str">
        <f>'סיכום לוועדה'!F101</f>
        <v>ירושלים</v>
      </c>
      <c r="D75" s="241" t="str">
        <f>'סיכום לוועדה'!G101</f>
        <v>סינמטק ירושלים</v>
      </c>
      <c r="E75" s="242" t="str">
        <f>'סיכום לוועדה'!H101</f>
        <v>סינמטקים ופסטיבלים</v>
      </c>
      <c r="F75" s="242"/>
      <c r="G75" s="242"/>
      <c r="H75" s="75"/>
      <c r="I75" s="243"/>
      <c r="J75" s="75"/>
      <c r="K75" s="77"/>
      <c r="L75" s="75"/>
      <c r="M75" s="78"/>
      <c r="N75" s="244"/>
      <c r="O75" s="79"/>
      <c r="P75" s="76" t="str">
        <f>IF(IFERROR(VLOOKUP(B75,'בקשות שאושרו'!$B$2:$I$466,1,0),"")="","",1)</f>
        <v/>
      </c>
      <c r="Q75" s="245" t="str">
        <f>IFERROR(VLOOKUP(B75,'בקשות שאושרו'!$B$2:$K$466,COLUMN('בקשות שאושרו'!$J$1)-COLUMN('בקשות שאושרו'!$B$1)+1,0),"")</f>
        <v/>
      </c>
    </row>
    <row r="76" spans="1:17" ht="29.25" x14ac:dyDescent="0.25">
      <c r="A76" s="240">
        <f>'סיכום לוועדה'!A102</f>
        <v>72</v>
      </c>
      <c r="B76" s="241">
        <f>'סיכום לוועדה'!E102</f>
        <v>20000159</v>
      </c>
      <c r="C76" s="241" t="str">
        <f>'סיכום לוועדה'!F102</f>
        <v>ירושלים</v>
      </c>
      <c r="D76" s="241" t="str">
        <f>'סיכום לוועדה'!G102</f>
        <v>סינמטק ירושלים</v>
      </c>
      <c r="E76" s="242" t="str">
        <f>'סיכום לוועדה'!H102</f>
        <v>סינמטקים ופסטיבלים</v>
      </c>
      <c r="F76" s="242"/>
      <c r="G76" s="242"/>
      <c r="H76" s="75"/>
      <c r="I76" s="243"/>
      <c r="J76" s="75"/>
      <c r="K76" s="77"/>
      <c r="L76" s="75"/>
      <c r="M76" s="78"/>
      <c r="N76" s="244"/>
      <c r="O76" s="79"/>
      <c r="P76" s="76" t="str">
        <f>IF(IFERROR(VLOOKUP(B76,'בקשות שאושרו'!$B$2:$I$466,1,0),"")="","",1)</f>
        <v/>
      </c>
      <c r="Q76" s="245" t="str">
        <f>IFERROR(VLOOKUP(B76,'בקשות שאושרו'!$B$2:$K$466,COLUMN('בקשות שאושרו'!$J$1)-COLUMN('בקשות שאושרו'!$B$1)+1,0),"")</f>
        <v/>
      </c>
    </row>
    <row r="77" spans="1:17" ht="29.25" x14ac:dyDescent="0.25">
      <c r="A77" s="240">
        <f>'סיכום לוועדה'!A103</f>
        <v>73</v>
      </c>
      <c r="B77" s="241">
        <f>'סיכום לוועדה'!E103</f>
        <v>20000201</v>
      </c>
      <c r="C77" s="241" t="str">
        <f>'סיכום לוועדה'!F103</f>
        <v>תל אביב -יפו</v>
      </c>
      <c r="D77" s="241" t="str">
        <f>'סיכום לוועדה'!G103</f>
        <v>תיאטרון בית ליסין</v>
      </c>
      <c r="E77" s="242" t="str">
        <f>'סיכום לוועדה'!H103</f>
        <v>תיאטרון</v>
      </c>
      <c r="F77" s="242"/>
      <c r="G77" s="242"/>
      <c r="H77" s="75"/>
      <c r="I77" s="243"/>
      <c r="J77" s="75"/>
      <c r="K77" s="77"/>
      <c r="L77" s="75"/>
      <c r="M77" s="78"/>
      <c r="N77" s="244"/>
      <c r="O77" s="79"/>
      <c r="P77" s="76" t="str">
        <f>IF(IFERROR(VLOOKUP(B77,'בקשות שאושרו'!$B$2:$I$466,1,0),"")="","",1)</f>
        <v/>
      </c>
      <c r="Q77" s="245" t="str">
        <f>IFERROR(VLOOKUP(B77,'בקשות שאושרו'!$B$2:$K$466,COLUMN('בקשות שאושרו'!$J$1)-COLUMN('בקשות שאושרו'!$B$1)+1,0),"")</f>
        <v/>
      </c>
    </row>
    <row r="78" spans="1:17" ht="72" x14ac:dyDescent="0.25">
      <c r="A78" s="240">
        <f>'סיכום לוועדה'!A104</f>
        <v>74</v>
      </c>
      <c r="B78" s="241">
        <f>'סיכום לוועדה'!E104</f>
        <v>20000185</v>
      </c>
      <c r="C78" s="241" t="str">
        <f>'סיכום לוועדה'!F104</f>
        <v>עמק חפר</v>
      </c>
      <c r="D78" s="241" t="str">
        <f>'סיכום לוועדה'!G104</f>
        <v>עמותת מקהלות מורן והבית לשירה בישרא</v>
      </c>
      <c r="E78" s="242" t="str">
        <f>'סיכום לוועדה'!H104</f>
        <v>מקהלות</v>
      </c>
      <c r="F78" s="242"/>
      <c r="G78" s="242"/>
      <c r="H78" s="75"/>
      <c r="I78" s="243"/>
      <c r="J78" s="75"/>
      <c r="K78" s="77"/>
      <c r="L78" s="75"/>
      <c r="M78" s="78"/>
      <c r="N78" s="244"/>
      <c r="O78" s="79"/>
      <c r="P78" s="76" t="str">
        <f>IF(IFERROR(VLOOKUP(B78,'בקשות שאושרו'!$B$2:$I$466,1,0),"")="","",1)</f>
        <v/>
      </c>
      <c r="Q78" s="245" t="str">
        <f>IFERROR(VLOOKUP(B78,'בקשות שאושרו'!$B$2:$K$466,COLUMN('בקשות שאושרו'!$J$1)-COLUMN('בקשות שאושרו'!$B$1)+1,0),"")</f>
        <v/>
      </c>
    </row>
    <row r="79" spans="1:17" ht="57.75" x14ac:dyDescent="0.25">
      <c r="A79" s="240">
        <f>'סיכום לוועדה'!A105</f>
        <v>75</v>
      </c>
      <c r="B79" s="241">
        <f>'סיכום לוועדה'!E105</f>
        <v>20000247</v>
      </c>
      <c r="C79" s="241" t="str">
        <f>'סיכום לוועדה'!F105</f>
        <v>ראשון לציון</v>
      </c>
      <c r="D79" s="241" t="str">
        <f>'סיכום לוועדה'!G105</f>
        <v>עמותת התזמורת הסימפונית ראשון לציון</v>
      </c>
      <c r="E79" s="242" t="str">
        <f>'סיכום לוועדה'!H105</f>
        <v>מוסיקה-גופים כליים</v>
      </c>
      <c r="F79" s="242"/>
      <c r="G79" s="242"/>
      <c r="H79" s="75"/>
      <c r="I79" s="243"/>
      <c r="J79" s="75"/>
      <c r="K79" s="77"/>
      <c r="L79" s="75"/>
      <c r="M79" s="78"/>
      <c r="N79" s="244"/>
      <c r="O79" s="79"/>
      <c r="P79" s="76" t="str">
        <f>IF(IFERROR(VLOOKUP(B79,'בקשות שאושרו'!$B$2:$I$466,1,0),"")="","",1)</f>
        <v/>
      </c>
      <c r="Q79" s="245" t="str">
        <f>IFERROR(VLOOKUP(B79,'בקשות שאושרו'!$B$2:$K$466,COLUMN('בקשות שאושרו'!$J$1)-COLUMN('בקשות שאושרו'!$B$1)+1,0),"")</f>
        <v/>
      </c>
    </row>
    <row r="80" spans="1:17" ht="57.75" x14ac:dyDescent="0.25">
      <c r="A80" s="240">
        <f>'סיכום לוועדה'!A106</f>
        <v>76</v>
      </c>
      <c r="B80" s="241">
        <f>'סיכום לוועדה'!E106</f>
        <v>20000135</v>
      </c>
      <c r="C80" s="241" t="str">
        <f>'סיכום לוועדה'!F106</f>
        <v>הגלבוע</v>
      </c>
      <c r="D80" s="241" t="str">
        <f>'סיכום לוועדה'!G106</f>
        <v>בית חיים שטורמן - מוזיאון ומכון ליד</v>
      </c>
      <c r="E80" s="242" t="str">
        <f>'סיכום לוועדה'!H106</f>
        <v>מוזיאונים</v>
      </c>
      <c r="F80" s="242"/>
      <c r="G80" s="242"/>
      <c r="H80" s="75"/>
      <c r="I80" s="243"/>
      <c r="J80" s="75"/>
      <c r="K80" s="77"/>
      <c r="L80" s="75"/>
      <c r="M80" s="78"/>
      <c r="N80" s="244"/>
      <c r="O80" s="79"/>
      <c r="P80" s="76" t="str">
        <f>IF(IFERROR(VLOOKUP(B80,'בקשות שאושרו'!$B$2:$I$466,1,0),"")="","",1)</f>
        <v/>
      </c>
      <c r="Q80" s="245" t="str">
        <f>IFERROR(VLOOKUP(B80,'בקשות שאושרו'!$B$2:$K$466,COLUMN('בקשות שאושרו'!$J$1)-COLUMN('בקשות שאושרו'!$B$1)+1,0),"")</f>
        <v/>
      </c>
    </row>
    <row r="81" spans="1:17" ht="29.25" x14ac:dyDescent="0.25">
      <c r="A81" s="240">
        <f>'סיכום לוועדה'!A107</f>
        <v>77</v>
      </c>
      <c r="B81" s="241">
        <f>'סיכום לוועדה'!E107</f>
        <v>20000096</v>
      </c>
      <c r="C81" s="241" t="str">
        <f>'סיכום לוועדה'!F107</f>
        <v>שדרות</v>
      </c>
      <c r="D81" s="241" t="str">
        <f>'סיכום לוועדה'!G107</f>
        <v>סינמטק שדרות</v>
      </c>
      <c r="E81" s="242" t="str">
        <f>'סיכום לוועדה'!H107</f>
        <v>סינמטקים ופסטיבלים</v>
      </c>
      <c r="F81" s="242"/>
      <c r="G81" s="242"/>
      <c r="H81" s="75"/>
      <c r="I81" s="243"/>
      <c r="J81" s="75"/>
      <c r="K81" s="77"/>
      <c r="L81" s="75"/>
      <c r="M81" s="78"/>
      <c r="N81" s="244"/>
      <c r="O81" s="79"/>
      <c r="P81" s="76" t="str">
        <f>IF(IFERROR(VLOOKUP(B81,'בקשות שאושרו'!$B$2:$I$466,1,0),"")="","",1)</f>
        <v/>
      </c>
      <c r="Q81" s="245" t="str">
        <f>IFERROR(VLOOKUP(B81,'בקשות שאושרו'!$B$2:$K$466,COLUMN('בקשות שאושרו'!$J$1)-COLUMN('בקשות שאושרו'!$B$1)+1,0),"")</f>
        <v/>
      </c>
    </row>
    <row r="82" spans="1:17" x14ac:dyDescent="0.25">
      <c r="A82" s="240">
        <f>'סיכום לוועדה'!A108</f>
        <v>78</v>
      </c>
      <c r="B82" s="241">
        <f>'סיכום לוועדה'!E108</f>
        <v>20000244</v>
      </c>
      <c r="C82" s="241" t="str">
        <f>'סיכום לוועדה'!F108</f>
        <v>צפת</v>
      </c>
      <c r="D82" s="241" t="str">
        <f>'סיכום לוועדה'!G108</f>
        <v>בית המאירי</v>
      </c>
      <c r="E82" s="242" t="str">
        <f>'סיכום לוועדה'!H108</f>
        <v>מוזיאונים</v>
      </c>
      <c r="F82" s="242"/>
      <c r="G82" s="242"/>
      <c r="H82" s="75"/>
      <c r="I82" s="243"/>
      <c r="J82" s="75"/>
      <c r="K82" s="77"/>
      <c r="L82" s="75"/>
      <c r="M82" s="78"/>
      <c r="N82" s="244"/>
      <c r="O82" s="79"/>
      <c r="P82" s="76" t="str">
        <f>IF(IFERROR(VLOOKUP(B82,'בקשות שאושרו'!$B$2:$I$466,1,0),"")="","",1)</f>
        <v/>
      </c>
      <c r="Q82" s="245" t="str">
        <f>IFERROR(VLOOKUP(B82,'בקשות שאושרו'!$B$2:$K$466,COLUMN('בקשות שאושרו'!$J$1)-COLUMN('בקשות שאושרו'!$B$1)+1,0),"")</f>
        <v/>
      </c>
    </row>
    <row r="83" spans="1:17" ht="43.5" x14ac:dyDescent="0.25">
      <c r="A83" s="240">
        <f>'סיכום לוועדה'!A109</f>
        <v>79</v>
      </c>
      <c r="B83" s="241">
        <f>'סיכום לוועדה'!E109</f>
        <v>20000159</v>
      </c>
      <c r="C83" s="241" t="str">
        <f>'סיכום לוועדה'!F109</f>
        <v>ירושלים</v>
      </c>
      <c r="D83" s="241" t="str">
        <f>'סיכום לוועדה'!G109</f>
        <v>התזמורת הסימפונית ירושלים</v>
      </c>
      <c r="E83" s="242" t="str">
        <f>'סיכום לוועדה'!H109</f>
        <v>מוסיקה-גופים כליים</v>
      </c>
      <c r="F83" s="242"/>
      <c r="G83" s="242"/>
      <c r="H83" s="75"/>
      <c r="I83" s="243"/>
      <c r="J83" s="75"/>
      <c r="K83" s="77"/>
      <c r="L83" s="75"/>
      <c r="M83" s="78"/>
      <c r="N83" s="244"/>
      <c r="O83" s="79"/>
      <c r="P83" s="76" t="str">
        <f>IF(IFERROR(VLOOKUP(B83,'בקשות שאושרו'!$B$2:$I$466,1,0),"")="","",1)</f>
        <v/>
      </c>
      <c r="Q83" s="245" t="str">
        <f>IFERROR(VLOOKUP(B83,'בקשות שאושרו'!$B$2:$K$466,COLUMN('בקשות שאושרו'!$J$1)-COLUMN('בקשות שאושרו'!$B$1)+1,0),"")</f>
        <v/>
      </c>
    </row>
    <row r="84" spans="1:17" ht="29.25" x14ac:dyDescent="0.25">
      <c r="A84" s="240">
        <f>'סיכום לוועדה'!A110</f>
        <v>80</v>
      </c>
      <c r="B84" s="241">
        <f>'סיכום לוועדה'!E110</f>
        <v>20000201</v>
      </c>
      <c r="C84" s="241" t="str">
        <f>'סיכום לוועדה'!F110</f>
        <v>תל אביב -יפו</v>
      </c>
      <c r="D84" s="241" t="str">
        <f>'סיכום לוועדה'!G110</f>
        <v>אנסמבל סולני ת"א</v>
      </c>
      <c r="E84" s="242" t="str">
        <f>'סיכום לוועדה'!H110</f>
        <v>קבוצות מוסיקה</v>
      </c>
      <c r="F84" s="242"/>
      <c r="G84" s="242"/>
      <c r="H84" s="75"/>
      <c r="I84" s="243"/>
      <c r="J84" s="75"/>
      <c r="K84" s="77"/>
      <c r="L84" s="75"/>
      <c r="M84" s="78"/>
      <c r="N84" s="244"/>
      <c r="O84" s="79"/>
      <c r="P84" s="76" t="str">
        <f>IF(IFERROR(VLOOKUP(B84,'בקשות שאושרו'!$B$2:$I$466,1,0),"")="","",1)</f>
        <v/>
      </c>
      <c r="Q84" s="245" t="str">
        <f>IFERROR(VLOOKUP(B84,'בקשות שאושרו'!$B$2:$K$466,COLUMN('בקשות שאושרו'!$J$1)-COLUMN('בקשות שאושרו'!$B$1)+1,0),"")</f>
        <v/>
      </c>
    </row>
    <row r="85" spans="1:17" x14ac:dyDescent="0.25">
      <c r="A85" s="240">
        <f>'סיכום לוועדה'!A111</f>
        <v>81</v>
      </c>
      <c r="B85" s="241">
        <f>'סיכום לוועדה'!E111</f>
        <v>20000201</v>
      </c>
      <c r="C85" s="241" t="str">
        <f>'סיכום לוועדה'!F111</f>
        <v>תל אביב -יפו</v>
      </c>
      <c r="D85" s="241" t="str">
        <f>'סיכום לוועדה'!G111</f>
        <v>אורתו-דה</v>
      </c>
      <c r="E85" s="242" t="str">
        <f>'סיכום לוועדה'!H111</f>
        <v>קבוצות תיאטרון</v>
      </c>
      <c r="F85" s="242"/>
      <c r="G85" s="242"/>
      <c r="H85" s="75"/>
      <c r="I85" s="243"/>
      <c r="J85" s="75"/>
      <c r="K85" s="77"/>
      <c r="L85" s="75"/>
      <c r="M85" s="78"/>
      <c r="N85" s="244"/>
      <c r="O85" s="79"/>
      <c r="P85" s="76" t="str">
        <f>IF(IFERROR(VLOOKUP(B85,'בקשות שאושרו'!$B$2:$I$466,1,0),"")="","",1)</f>
        <v/>
      </c>
      <c r="Q85" s="245" t="str">
        <f>IFERROR(VLOOKUP(B85,'בקשות שאושרו'!$B$2:$K$466,COLUMN('בקשות שאושרו'!$J$1)-COLUMN('בקשות שאושרו'!$B$1)+1,0),"")</f>
        <v/>
      </c>
    </row>
    <row r="86" spans="1:17" ht="72" x14ac:dyDescent="0.25">
      <c r="A86" s="240">
        <f>'סיכום לוועדה'!A112</f>
        <v>82</v>
      </c>
      <c r="B86" s="241">
        <f>'סיכום לוועדה'!E112</f>
        <v>20000201</v>
      </c>
      <c r="C86" s="241" t="str">
        <f>'סיכום לוועדה'!F112</f>
        <v>תל אביב -יפו</v>
      </c>
      <c r="D86" s="241" t="str">
        <f>'סיכום לוועדה'!G112</f>
        <v>העמותה לקידום תרבות הפלמנקו בישראל</v>
      </c>
      <c r="E86" s="242" t="str">
        <f>'סיכום לוועדה'!H112</f>
        <v>מחול</v>
      </c>
      <c r="F86" s="242"/>
      <c r="G86" s="242"/>
      <c r="H86" s="75"/>
      <c r="I86" s="243"/>
      <c r="J86" s="75"/>
      <c r="K86" s="77"/>
      <c r="L86" s="75"/>
      <c r="M86" s="78"/>
      <c r="N86" s="244"/>
      <c r="O86" s="79"/>
      <c r="P86" s="76" t="str">
        <f>IF(IFERROR(VLOOKUP(B86,'בקשות שאושרו'!$B$2:$I$466,1,0),"")="","",1)</f>
        <v/>
      </c>
      <c r="Q86" s="245" t="str">
        <f>IFERROR(VLOOKUP(B86,'בקשות שאושרו'!$B$2:$K$466,COLUMN('בקשות שאושרו'!$J$1)-COLUMN('בקשות שאושרו'!$B$1)+1,0),"")</f>
        <v/>
      </c>
    </row>
    <row r="87" spans="1:17" ht="57.75" x14ac:dyDescent="0.25">
      <c r="A87" s="240">
        <f>'סיכום לוועדה'!A113</f>
        <v>83</v>
      </c>
      <c r="B87" s="241">
        <f>'סיכום לוועדה'!E113</f>
        <v>20000201</v>
      </c>
      <c r="C87" s="241" t="str">
        <f>'סיכום לוועדה'!F113</f>
        <v>תל אביב -יפו</v>
      </c>
      <c r="D87" s="241" t="str">
        <f>'סיכום לוועדה'!G113</f>
        <v>מרכז פליציה בלומנטל למוזיקה</v>
      </c>
      <c r="E87" s="242" t="str">
        <f>'סיכום לוועדה'!H113</f>
        <v>אופרה</v>
      </c>
      <c r="F87" s="242"/>
      <c r="G87" s="242"/>
      <c r="H87" s="75"/>
      <c r="I87" s="243"/>
      <c r="J87" s="75"/>
      <c r="K87" s="77"/>
      <c r="L87" s="75"/>
      <c r="M87" s="78"/>
      <c r="N87" s="244"/>
      <c r="O87" s="79"/>
      <c r="P87" s="76" t="str">
        <f>IF(IFERROR(VLOOKUP(B87,'בקשות שאושרו'!$B$2:$I$466,1,0),"")="","",1)</f>
        <v/>
      </c>
      <c r="Q87" s="245" t="str">
        <f>IFERROR(VLOOKUP(B87,'בקשות שאושרו'!$B$2:$K$466,COLUMN('בקשות שאושרו'!$J$1)-COLUMN('בקשות שאושרו'!$B$1)+1,0),"")</f>
        <v/>
      </c>
    </row>
    <row r="88" spans="1:17" ht="57.75" x14ac:dyDescent="0.25">
      <c r="A88" s="240">
        <f>'סיכום לוועדה'!A114</f>
        <v>84</v>
      </c>
      <c r="B88" s="241">
        <f>'סיכום לוועדה'!E114</f>
        <v>20000201</v>
      </c>
      <c r="C88" s="241" t="str">
        <f>'סיכום לוועדה'!F114</f>
        <v>תל אביב -יפו</v>
      </c>
      <c r="D88" s="241" t="str">
        <f>'סיכום לוועדה'!G114</f>
        <v>מרכז פליציה בלומנטל למוזיקה</v>
      </c>
      <c r="E88" s="242" t="str">
        <f>'סיכום לוועדה'!H114</f>
        <v>קבוצות מוסיקה</v>
      </c>
      <c r="F88" s="242"/>
      <c r="G88" s="242"/>
      <c r="H88" s="75"/>
      <c r="I88" s="243"/>
      <c r="J88" s="75"/>
      <c r="K88" s="77"/>
      <c r="L88" s="75"/>
      <c r="M88" s="78"/>
      <c r="N88" s="244"/>
      <c r="O88" s="79"/>
      <c r="P88" s="76" t="str">
        <f>IF(IFERROR(VLOOKUP(B88,'בקשות שאושרו'!$B$2:$I$466,1,0),"")="","",1)</f>
        <v/>
      </c>
      <c r="Q88" s="245" t="str">
        <f>IFERROR(VLOOKUP(B88,'בקשות שאושרו'!$B$2:$K$466,COLUMN('בקשות שאושרו'!$J$1)-COLUMN('בקשות שאושרו'!$B$1)+1,0),"")</f>
        <v/>
      </c>
    </row>
    <row r="89" spans="1:17" ht="57.75" x14ac:dyDescent="0.25">
      <c r="A89" s="240">
        <f>'סיכום לוועדה'!A115</f>
        <v>85</v>
      </c>
      <c r="B89" s="241">
        <f>'סיכום לוועדה'!E115</f>
        <v>20000201</v>
      </c>
      <c r="C89" s="241" t="str">
        <f>'סיכום לוועדה'!F115</f>
        <v>תל אביב -יפו</v>
      </c>
      <c r="D89" s="241" t="str">
        <f>'סיכום לוועדה'!G115</f>
        <v>מרכז פליציה בלומנטל למוזיקה</v>
      </c>
      <c r="E89" s="242" t="str">
        <f>'סיכום לוועדה'!H115</f>
        <v>סינמטקים ופסטיבלים</v>
      </c>
      <c r="F89" s="242"/>
      <c r="G89" s="242"/>
      <c r="H89" s="75"/>
      <c r="I89" s="243"/>
      <c r="J89" s="75"/>
      <c r="K89" s="77"/>
      <c r="L89" s="75"/>
      <c r="M89" s="78"/>
      <c r="N89" s="244"/>
      <c r="O89" s="79"/>
      <c r="P89" s="76" t="str">
        <f>IF(IFERROR(VLOOKUP(B89,'בקשות שאושרו'!$B$2:$I$466,1,0),"")="","",1)</f>
        <v/>
      </c>
      <c r="Q89" s="245" t="str">
        <f>IFERROR(VLOOKUP(B89,'בקשות שאושרו'!$B$2:$K$466,COLUMN('בקשות שאושרו'!$J$1)-COLUMN('בקשות שאושרו'!$B$1)+1,0),"")</f>
        <v/>
      </c>
    </row>
    <row r="90" spans="1:17" ht="57.75" x14ac:dyDescent="0.25">
      <c r="A90" s="240">
        <f>'סיכום לוועדה'!A116</f>
        <v>86</v>
      </c>
      <c r="B90" s="241">
        <f>'סיכום לוועדה'!E116</f>
        <v>20000201</v>
      </c>
      <c r="C90" s="241" t="str">
        <f>'סיכום לוועדה'!F116</f>
        <v>תל אביב -יפו</v>
      </c>
      <c r="D90" s="241" t="str">
        <f>'סיכום לוועדה'!G116</f>
        <v>מרכז פליציה בלומנטל למוזיקה</v>
      </c>
      <c r="E90" s="242" t="str">
        <f>'סיכום לוועדה'!H116</f>
        <v>מוסיקה-גופים כליים</v>
      </c>
      <c r="F90" s="242"/>
      <c r="G90" s="242"/>
      <c r="H90" s="75"/>
      <c r="I90" s="243"/>
      <c r="J90" s="75"/>
      <c r="K90" s="77"/>
      <c r="L90" s="75"/>
      <c r="M90" s="78"/>
      <c r="N90" s="244"/>
      <c r="O90" s="79"/>
      <c r="P90" s="76" t="str">
        <f>IF(IFERROR(VLOOKUP(B90,'בקשות שאושרו'!$B$2:$I$466,1,0),"")="","",1)</f>
        <v/>
      </c>
      <c r="Q90" s="245" t="str">
        <f>IFERROR(VLOOKUP(B90,'בקשות שאושרו'!$B$2:$K$466,COLUMN('בקשות שאושרו'!$J$1)-COLUMN('בקשות שאושרו'!$B$1)+1,0),"")</f>
        <v/>
      </c>
    </row>
    <row r="91" spans="1:17" ht="57.75" x14ac:dyDescent="0.25">
      <c r="A91" s="240">
        <f>'סיכום לוועדה'!A117</f>
        <v>87</v>
      </c>
      <c r="B91" s="241">
        <f>'סיכום לוועדה'!E117</f>
        <v>20000201</v>
      </c>
      <c r="C91" s="241" t="str">
        <f>'סיכום לוועדה'!F117</f>
        <v>תל אביב -יפו</v>
      </c>
      <c r="D91" s="241" t="str">
        <f>'סיכום לוועדה'!G117</f>
        <v>מרכז פליציה בלומנטל למוזיקה</v>
      </c>
      <c r="E91" s="242" t="str">
        <f>'סיכום לוועדה'!H117</f>
        <v>קבוצות מוסיקה</v>
      </c>
      <c r="F91" s="242"/>
      <c r="G91" s="242"/>
      <c r="H91" s="75"/>
      <c r="I91" s="243"/>
      <c r="J91" s="75"/>
      <c r="K91" s="77"/>
      <c r="L91" s="75"/>
      <c r="M91" s="78"/>
      <c r="N91" s="244"/>
      <c r="O91" s="79"/>
      <c r="P91" s="76" t="str">
        <f>IF(IFERROR(VLOOKUP(B91,'בקשות שאושרו'!$B$2:$I$466,1,0),"")="","",1)</f>
        <v/>
      </c>
      <c r="Q91" s="245" t="str">
        <f>IFERROR(VLOOKUP(B91,'בקשות שאושרו'!$B$2:$K$466,COLUMN('בקשות שאושרו'!$J$1)-COLUMN('בקשות שאושרו'!$B$1)+1,0),"")</f>
        <v/>
      </c>
    </row>
    <row r="92" spans="1:17" ht="57.75" x14ac:dyDescent="0.25">
      <c r="A92" s="240">
        <f>'סיכום לוועדה'!A118</f>
        <v>88</v>
      </c>
      <c r="B92" s="241">
        <f>'סיכום לוועדה'!E118</f>
        <v>20000201</v>
      </c>
      <c r="C92" s="241" t="str">
        <f>'סיכום לוועדה'!F118</f>
        <v>תל אביב -יפו</v>
      </c>
      <c r="D92" s="241" t="str">
        <f>'סיכום לוועדה'!G118</f>
        <v>מרכז פליציה בלומנטל למוזיקה</v>
      </c>
      <c r="E92" s="242" t="str">
        <f>'סיכום לוועדה'!H118</f>
        <v>קבוצות מוסיקה</v>
      </c>
      <c r="F92" s="242"/>
      <c r="G92" s="242"/>
      <c r="H92" s="75"/>
      <c r="I92" s="243"/>
      <c r="J92" s="75"/>
      <c r="K92" s="77"/>
      <c r="L92" s="75"/>
      <c r="M92" s="78"/>
      <c r="N92" s="244"/>
      <c r="O92" s="79"/>
      <c r="P92" s="76" t="str">
        <f>IF(IFERROR(VLOOKUP(B92,'בקשות שאושרו'!$B$2:$I$466,1,0),"")="","",1)</f>
        <v/>
      </c>
      <c r="Q92" s="245" t="str">
        <f>IFERROR(VLOOKUP(B92,'בקשות שאושרו'!$B$2:$K$466,COLUMN('בקשות שאושרו'!$J$1)-COLUMN('בקשות שאושרו'!$B$1)+1,0),"")</f>
        <v/>
      </c>
    </row>
    <row r="93" spans="1:17" ht="57.75" x14ac:dyDescent="0.25">
      <c r="A93" s="240">
        <f>'סיכום לוועדה'!A119</f>
        <v>89</v>
      </c>
      <c r="B93" s="241">
        <f>'סיכום לוועדה'!E119</f>
        <v>20000201</v>
      </c>
      <c r="C93" s="241" t="str">
        <f>'סיכום לוועדה'!F119</f>
        <v>תל אביב -יפו</v>
      </c>
      <c r="D93" s="241" t="str">
        <f>'סיכום לוועדה'!G119</f>
        <v>מרכז פליציה בלומנטל למוזיקה</v>
      </c>
      <c r="E93" s="242" t="str">
        <f>'סיכום לוועדה'!H119</f>
        <v>מוסיקה-גופים כליים</v>
      </c>
      <c r="F93" s="242"/>
      <c r="G93" s="242"/>
      <c r="H93" s="75"/>
      <c r="I93" s="243"/>
      <c r="J93" s="75"/>
      <c r="K93" s="77"/>
      <c r="L93" s="75"/>
      <c r="M93" s="78"/>
      <c r="N93" s="244"/>
      <c r="O93" s="79"/>
      <c r="P93" s="76" t="str">
        <f>IF(IFERROR(VLOOKUP(B93,'בקשות שאושרו'!$B$2:$I$466,1,0),"")="","",1)</f>
        <v/>
      </c>
      <c r="Q93" s="245" t="str">
        <f>IFERROR(VLOOKUP(B93,'בקשות שאושרו'!$B$2:$K$466,COLUMN('בקשות שאושרו'!$J$1)-COLUMN('בקשות שאושרו'!$B$1)+1,0),"")</f>
        <v/>
      </c>
    </row>
    <row r="94" spans="1:17" ht="57.75" x14ac:dyDescent="0.25">
      <c r="A94" s="240">
        <f>'סיכום לוועדה'!A120</f>
        <v>90</v>
      </c>
      <c r="B94" s="241">
        <f>'סיכום לוועדה'!E120</f>
        <v>20000201</v>
      </c>
      <c r="C94" s="241" t="str">
        <f>'סיכום לוועדה'!F120</f>
        <v>תל אביב -יפו</v>
      </c>
      <c r="D94" s="241" t="str">
        <f>'סיכום לוועדה'!G120</f>
        <v>מרכז פליציה בלומנטל למוזיקה</v>
      </c>
      <c r="E94" s="242" t="str">
        <f>'סיכום לוועדה'!H120</f>
        <v>קבוצות מוסיקה</v>
      </c>
      <c r="F94" s="242"/>
      <c r="G94" s="242"/>
      <c r="H94" s="75"/>
      <c r="I94" s="243"/>
      <c r="J94" s="75"/>
      <c r="K94" s="77"/>
      <c r="L94" s="75"/>
      <c r="M94" s="78"/>
      <c r="N94" s="244"/>
      <c r="O94" s="79"/>
      <c r="P94" s="76" t="str">
        <f>IF(IFERROR(VLOOKUP(B94,'בקשות שאושרו'!$B$2:$I$466,1,0),"")="","",1)</f>
        <v/>
      </c>
      <c r="Q94" s="245" t="str">
        <f>IFERROR(VLOOKUP(B94,'בקשות שאושרו'!$B$2:$K$466,COLUMN('בקשות שאושרו'!$J$1)-COLUMN('בקשות שאושרו'!$B$1)+1,0),"")</f>
        <v/>
      </c>
    </row>
    <row r="95" spans="1:17" ht="57.75" x14ac:dyDescent="0.25">
      <c r="A95" s="240">
        <f>'סיכום לוועדה'!A121</f>
        <v>91</v>
      </c>
      <c r="B95" s="241">
        <f>'סיכום לוועדה'!E121</f>
        <v>20000201</v>
      </c>
      <c r="C95" s="241" t="str">
        <f>'סיכום לוועדה'!F121</f>
        <v>תל אביב -יפו</v>
      </c>
      <c r="D95" s="241" t="str">
        <f>'סיכום לוועדה'!G121</f>
        <v>מרכז פליציה בלומנטל למוזיקה</v>
      </c>
      <c r="E95" s="242" t="str">
        <f>'סיכום לוועדה'!H121</f>
        <v>קבוצות מוסיקה</v>
      </c>
      <c r="F95" s="242"/>
      <c r="G95" s="242"/>
      <c r="H95" s="75"/>
      <c r="I95" s="243"/>
      <c r="J95" s="75"/>
      <c r="K95" s="77"/>
      <c r="L95" s="75"/>
      <c r="M95" s="78"/>
      <c r="N95" s="244"/>
      <c r="O95" s="79"/>
      <c r="P95" s="76" t="str">
        <f>IF(IFERROR(VLOOKUP(B95,'בקשות שאושרו'!$B$2:$I$466,1,0),"")="","",1)</f>
        <v/>
      </c>
      <c r="Q95" s="245" t="str">
        <f>IFERROR(VLOOKUP(B95,'בקשות שאושרו'!$B$2:$K$466,COLUMN('בקשות שאושרו'!$J$1)-COLUMN('בקשות שאושרו'!$B$1)+1,0),"")</f>
        <v/>
      </c>
    </row>
    <row r="96" spans="1:17" ht="57.75" x14ac:dyDescent="0.25">
      <c r="A96" s="240">
        <f>'סיכום לוועדה'!A122</f>
        <v>92</v>
      </c>
      <c r="B96" s="241">
        <f>'סיכום לוועדה'!E122</f>
        <v>20000201</v>
      </c>
      <c r="C96" s="241" t="str">
        <f>'סיכום לוועדה'!F122</f>
        <v>תל אביב -יפו</v>
      </c>
      <c r="D96" s="241" t="str">
        <f>'סיכום לוועדה'!G122</f>
        <v>מרכז פליציה בלומנטל למוזיקה</v>
      </c>
      <c r="E96" s="242" t="str">
        <f>'סיכום לוועדה'!H122</f>
        <v>מוסיקה-גופים כליים</v>
      </c>
      <c r="F96" s="242"/>
      <c r="G96" s="242"/>
      <c r="H96" s="75"/>
      <c r="I96" s="243"/>
      <c r="J96" s="75"/>
      <c r="K96" s="77"/>
      <c r="L96" s="75"/>
      <c r="M96" s="78"/>
      <c r="N96" s="244"/>
      <c r="O96" s="79"/>
      <c r="P96" s="76" t="str">
        <f>IF(IFERROR(VLOOKUP(B96,'בקשות שאושרו'!$B$2:$I$466,1,0),"")="","",1)</f>
        <v/>
      </c>
      <c r="Q96" s="245" t="str">
        <f>IFERROR(VLOOKUP(B96,'בקשות שאושרו'!$B$2:$K$466,COLUMN('בקשות שאושרו'!$J$1)-COLUMN('בקשות שאושרו'!$B$1)+1,0),"")</f>
        <v/>
      </c>
    </row>
    <row r="97" spans="1:17" ht="57.75" x14ac:dyDescent="0.25">
      <c r="A97" s="240">
        <f>'סיכום לוועדה'!A123</f>
        <v>93</v>
      </c>
      <c r="B97" s="241">
        <f>'סיכום לוועדה'!E123</f>
        <v>20000201</v>
      </c>
      <c r="C97" s="241" t="str">
        <f>'סיכום לוועדה'!F123</f>
        <v>תל אביב -יפו</v>
      </c>
      <c r="D97" s="241" t="str">
        <f>'סיכום לוועדה'!G123</f>
        <v>מרכז פליציה בלומנטל למוזיקה</v>
      </c>
      <c r="E97" s="242" t="str">
        <f>'סיכום לוועדה'!H123</f>
        <v>סינמטקים ופסטיבלים</v>
      </c>
      <c r="F97" s="242"/>
      <c r="G97" s="242"/>
      <c r="H97" s="75"/>
      <c r="I97" s="243"/>
      <c r="J97" s="75"/>
      <c r="K97" s="77"/>
      <c r="L97" s="75"/>
      <c r="M97" s="78"/>
      <c r="N97" s="244"/>
      <c r="O97" s="79"/>
      <c r="P97" s="76" t="str">
        <f>IF(IFERROR(VLOOKUP(B97,'בקשות שאושרו'!$B$2:$I$466,1,0),"")="","",1)</f>
        <v/>
      </c>
      <c r="Q97" s="245" t="str">
        <f>IFERROR(VLOOKUP(B97,'בקשות שאושרו'!$B$2:$K$466,COLUMN('בקשות שאושרו'!$J$1)-COLUMN('בקשות שאושרו'!$B$1)+1,0),"")</f>
        <v/>
      </c>
    </row>
    <row r="98" spans="1:17" ht="57.75" x14ac:dyDescent="0.25">
      <c r="A98" s="240">
        <f>'סיכום לוועדה'!A124</f>
        <v>94</v>
      </c>
      <c r="B98" s="241">
        <f>'סיכום לוועדה'!E124</f>
        <v>20000201</v>
      </c>
      <c r="C98" s="241" t="str">
        <f>'סיכום לוועדה'!F124</f>
        <v>תל אביב -יפו</v>
      </c>
      <c r="D98" s="241" t="str">
        <f>'סיכום לוועדה'!G124</f>
        <v>מרכז פליציה בלומנטל למוזיקה</v>
      </c>
      <c r="E98" s="242" t="str">
        <f>'סיכום לוועדה'!H124</f>
        <v>אופרה</v>
      </c>
      <c r="F98" s="242"/>
      <c r="G98" s="242"/>
      <c r="H98" s="75"/>
      <c r="I98" s="243"/>
      <c r="J98" s="75"/>
      <c r="K98" s="77"/>
      <c r="L98" s="75"/>
      <c r="M98" s="78"/>
      <c r="N98" s="244"/>
      <c r="O98" s="79"/>
      <c r="P98" s="76" t="str">
        <f>IF(IFERROR(VLOOKUP(B98,'בקשות שאושרו'!$B$2:$I$466,1,0),"")="","",1)</f>
        <v/>
      </c>
      <c r="Q98" s="245" t="str">
        <f>IFERROR(VLOOKUP(B98,'בקשות שאושרו'!$B$2:$K$466,COLUMN('בקשות שאושרו'!$J$1)-COLUMN('בקשות שאושרו'!$B$1)+1,0),"")</f>
        <v/>
      </c>
    </row>
    <row r="99" spans="1:17" ht="57.75" x14ac:dyDescent="0.25">
      <c r="A99" s="240">
        <f>'סיכום לוועדה'!A125</f>
        <v>95</v>
      </c>
      <c r="B99" s="241">
        <f>'סיכום לוועדה'!E125</f>
        <v>20000201</v>
      </c>
      <c r="C99" s="241" t="str">
        <f>'סיכום לוועדה'!F125</f>
        <v>תל אביב -יפו</v>
      </c>
      <c r="D99" s="241" t="str">
        <f>'סיכום לוועדה'!G125</f>
        <v>מרכז פליציה בלומנטל למוזיקה</v>
      </c>
      <c r="E99" s="242" t="str">
        <f>'סיכום לוועדה'!H125</f>
        <v>מקהלות</v>
      </c>
      <c r="F99" s="242"/>
      <c r="G99" s="242"/>
      <c r="H99" s="75"/>
      <c r="I99" s="243"/>
      <c r="J99" s="75"/>
      <c r="K99" s="77"/>
      <c r="L99" s="75"/>
      <c r="M99" s="78"/>
      <c r="N99" s="244"/>
      <c r="O99" s="79"/>
      <c r="P99" s="76" t="str">
        <f>IF(IFERROR(VLOOKUP(B99,'בקשות שאושרו'!$B$2:$I$466,1,0),"")="","",1)</f>
        <v/>
      </c>
      <c r="Q99" s="245" t="str">
        <f>IFERROR(VLOOKUP(B99,'בקשות שאושרו'!$B$2:$K$466,COLUMN('בקשות שאושרו'!$J$1)-COLUMN('בקשות שאושרו'!$B$1)+1,0),"")</f>
        <v/>
      </c>
    </row>
    <row r="100" spans="1:17" ht="29.25" x14ac:dyDescent="0.25">
      <c r="A100" s="240">
        <f>'סיכום לוועדה'!A126</f>
        <v>96</v>
      </c>
      <c r="B100" s="241">
        <f>'סיכום לוועדה'!E126</f>
        <v>20000201</v>
      </c>
      <c r="C100" s="241" t="str">
        <f>'סיכום לוועדה'!F126</f>
        <v>תל אביב -יפו</v>
      </c>
      <c r="D100" s="241" t="str">
        <f>'סיכום לוועדה'!G126</f>
        <v>תיאטרון "מלנקי"</v>
      </c>
      <c r="E100" s="242" t="str">
        <f>'סיכום לוועדה'!H126</f>
        <v>קבוצות תיאטרון</v>
      </c>
      <c r="F100" s="242"/>
      <c r="G100" s="242"/>
      <c r="H100" s="75"/>
      <c r="I100" s="243"/>
      <c r="J100" s="75"/>
      <c r="K100" s="77"/>
      <c r="L100" s="75"/>
      <c r="M100" s="78"/>
      <c r="N100" s="244"/>
      <c r="O100" s="79"/>
      <c r="P100" s="76" t="str">
        <f>IF(IFERROR(VLOOKUP(B100,'בקשות שאושרו'!$B$2:$I$466,1,0),"")="","",1)</f>
        <v/>
      </c>
      <c r="Q100" s="245" t="str">
        <f>IFERROR(VLOOKUP(B100,'בקשות שאושרו'!$B$2:$K$466,COLUMN('בקשות שאושרו'!$J$1)-COLUMN('בקשות שאושרו'!$B$1)+1,0),"")</f>
        <v/>
      </c>
    </row>
    <row r="101" spans="1:17" ht="29.25" x14ac:dyDescent="0.25">
      <c r="A101" s="240">
        <f>'סיכום לוועדה'!A127</f>
        <v>97</v>
      </c>
      <c r="B101" s="241">
        <f>'סיכום לוועדה'!E127</f>
        <v>20000248</v>
      </c>
      <c r="C101" s="241" t="str">
        <f>'סיכום לוועדה'!F127</f>
        <v>רחובות</v>
      </c>
      <c r="D101" s="241" t="str">
        <f>'סיכום לוועדה'!G127</f>
        <v>מכון דוידסון לחינוך מדעי</v>
      </c>
      <c r="E101" s="242" t="str">
        <f>'סיכום לוועדה'!H127</f>
        <v>מוזיאונים</v>
      </c>
      <c r="F101" s="242"/>
      <c r="G101" s="242"/>
      <c r="H101" s="75"/>
      <c r="I101" s="243"/>
      <c r="J101" s="75"/>
      <c r="K101" s="77"/>
      <c r="L101" s="75"/>
      <c r="M101" s="78"/>
      <c r="N101" s="244"/>
      <c r="O101" s="79"/>
      <c r="P101" s="76" t="str">
        <f>IF(IFERROR(VLOOKUP(B101,'בקשות שאושרו'!$B$2:$I$466,1,0),"")="","",1)</f>
        <v/>
      </c>
      <c r="Q101" s="245" t="str">
        <f>IFERROR(VLOOKUP(B101,'בקשות שאושרו'!$B$2:$K$466,COLUMN('בקשות שאושרו'!$J$1)-COLUMN('בקשות שאושרו'!$B$1)+1,0),"")</f>
        <v/>
      </c>
    </row>
    <row r="102" spans="1:17" ht="57.75" x14ac:dyDescent="0.25">
      <c r="A102" s="240">
        <f>'סיכום לוועדה'!A128</f>
        <v>98</v>
      </c>
      <c r="B102" s="241">
        <f>'סיכום לוועדה'!E128</f>
        <v>20000158</v>
      </c>
      <c r="C102" s="241" t="str">
        <f>'סיכום לוועדה'!F128</f>
        <v>גולן</v>
      </c>
      <c r="D102" s="241" t="str">
        <f>'סיכום לוועדה'!G128</f>
        <v>תל-חי כיתות אומן בינ"ל לפסנתר</v>
      </c>
      <c r="E102" s="242" t="str">
        <f>'סיכום לוועדה'!H128</f>
        <v>מרכזי מוסיקה</v>
      </c>
      <c r="F102" s="242"/>
      <c r="G102" s="242"/>
      <c r="H102" s="75"/>
      <c r="I102" s="243"/>
      <c r="J102" s="75"/>
      <c r="K102" s="77"/>
      <c r="L102" s="75"/>
      <c r="M102" s="78"/>
      <c r="N102" s="244"/>
      <c r="O102" s="79"/>
      <c r="P102" s="76" t="str">
        <f>IF(IFERROR(VLOOKUP(B102,'בקשות שאושרו'!$B$2:$I$466,1,0),"")="","",1)</f>
        <v/>
      </c>
      <c r="Q102" s="245" t="str">
        <f>IFERROR(VLOOKUP(B102,'בקשות שאושרו'!$B$2:$K$466,COLUMN('בקשות שאושרו'!$J$1)-COLUMN('בקשות שאושרו'!$B$1)+1,0),"")</f>
        <v/>
      </c>
    </row>
    <row r="103" spans="1:17" ht="43.5" x14ac:dyDescent="0.25">
      <c r="A103" s="240">
        <f>'סיכום לוועדה'!A129</f>
        <v>99</v>
      </c>
      <c r="B103" s="241">
        <f>'סיכום לוועדה'!E129</f>
        <v>20000159</v>
      </c>
      <c r="C103" s="241" t="str">
        <f>'סיכום לוועדה'!F129</f>
        <v>ירושלים</v>
      </c>
      <c r="D103" s="241" t="str">
        <f>'סיכום לוועדה'!G129</f>
        <v>המרכז למוסיקה ירושלים</v>
      </c>
      <c r="E103" s="242" t="str">
        <f>'סיכום לוועדה'!H129</f>
        <v>מרכזי מוסיקה</v>
      </c>
      <c r="F103" s="242"/>
      <c r="G103" s="242"/>
      <c r="H103" s="75"/>
      <c r="I103" s="243"/>
      <c r="J103" s="75"/>
      <c r="K103" s="77"/>
      <c r="L103" s="75"/>
      <c r="M103" s="78"/>
      <c r="N103" s="244"/>
      <c r="O103" s="79"/>
      <c r="P103" s="76" t="str">
        <f>IF(IFERROR(VLOOKUP(B103,'בקשות שאושרו'!$B$2:$I$466,1,0),"")="","",1)</f>
        <v/>
      </c>
      <c r="Q103" s="245" t="str">
        <f>IFERROR(VLOOKUP(B103,'בקשות שאושרו'!$B$2:$K$466,COLUMN('בקשות שאושרו'!$J$1)-COLUMN('בקשות שאושרו'!$B$1)+1,0),"")</f>
        <v/>
      </c>
    </row>
    <row r="104" spans="1:17" ht="43.5" x14ac:dyDescent="0.25">
      <c r="A104" s="240">
        <f>'סיכום לוועדה'!A130</f>
        <v>100</v>
      </c>
      <c r="B104" s="241">
        <f>'סיכום לוועדה'!E130</f>
        <v>20000159</v>
      </c>
      <c r="C104" s="241" t="str">
        <f>'סיכום לוועדה'!F130</f>
        <v>ירושלים</v>
      </c>
      <c r="D104" s="241" t="str">
        <f>'סיכום לוועדה'!G130</f>
        <v>תאטרון "פסיק" ירושלים</v>
      </c>
      <c r="E104" s="242" t="str">
        <f>'סיכום לוועדה'!H130</f>
        <v>תיאטרון</v>
      </c>
      <c r="F104" s="242"/>
      <c r="G104" s="242"/>
      <c r="H104" s="75"/>
      <c r="I104" s="243"/>
      <c r="J104" s="75"/>
      <c r="K104" s="77"/>
      <c r="L104" s="75"/>
      <c r="M104" s="78"/>
      <c r="N104" s="244"/>
      <c r="O104" s="79"/>
      <c r="P104" s="76" t="str">
        <f>IF(IFERROR(VLOOKUP(B104,'בקשות שאושרו'!$B$2:$I$466,1,0),"")="","",1)</f>
        <v/>
      </c>
      <c r="Q104" s="245" t="str">
        <f>IFERROR(VLOOKUP(B104,'בקשות שאושרו'!$B$2:$K$466,COLUMN('בקשות שאושרו'!$J$1)-COLUMN('בקשות שאושרו'!$B$1)+1,0),"")</f>
        <v/>
      </c>
    </row>
    <row r="105" spans="1:17" ht="43.5" x14ac:dyDescent="0.25">
      <c r="A105" s="240">
        <f>'סיכום לוועדה'!A131</f>
        <v>101</v>
      </c>
      <c r="B105" s="241">
        <f>'סיכום לוועדה'!E131</f>
        <v>20000159</v>
      </c>
      <c r="C105" s="241" t="str">
        <f>'סיכום לוועדה'!F131</f>
        <v>ירושלים</v>
      </c>
      <c r="D105" s="241" t="str">
        <f>'סיכום לוועדה'!G131</f>
        <v>תאטרון "פסיק" ירושלים</v>
      </c>
      <c r="E105" s="242" t="str">
        <f>'סיכום לוועדה'!H131</f>
        <v>תיאטרון</v>
      </c>
      <c r="F105" s="242"/>
      <c r="G105" s="242"/>
      <c r="H105" s="75"/>
      <c r="I105" s="243"/>
      <c r="J105" s="75"/>
      <c r="K105" s="77"/>
      <c r="L105" s="75"/>
      <c r="M105" s="78"/>
      <c r="N105" s="244"/>
      <c r="O105" s="79"/>
      <c r="P105" s="76" t="str">
        <f>IF(IFERROR(VLOOKUP(B105,'בקשות שאושרו'!$B$2:$I$466,1,0),"")="","",1)</f>
        <v/>
      </c>
      <c r="Q105" s="245" t="str">
        <f>IFERROR(VLOOKUP(B105,'בקשות שאושרו'!$B$2:$K$466,COLUMN('בקשות שאושרו'!$J$1)-COLUMN('בקשות שאושרו'!$B$1)+1,0),"")</f>
        <v/>
      </c>
    </row>
    <row r="106" spans="1:17" ht="43.5" x14ac:dyDescent="0.25">
      <c r="A106" s="240">
        <f>'סיכום לוועדה'!A132</f>
        <v>102</v>
      </c>
      <c r="B106" s="241">
        <f>'סיכום לוועדה'!E132</f>
        <v>20000159</v>
      </c>
      <c r="C106" s="241" t="str">
        <f>'סיכום לוועדה'!F132</f>
        <v>ירושלים</v>
      </c>
      <c r="D106" s="241" t="str">
        <f>'סיכום לוועדה'!G132</f>
        <v>תאטרון "פסיק" ירושלים</v>
      </c>
      <c r="E106" s="242" t="str">
        <f>'סיכום לוועדה'!H132</f>
        <v>תיאטרון</v>
      </c>
      <c r="F106" s="242"/>
      <c r="G106" s="242"/>
      <c r="H106" s="75"/>
      <c r="I106" s="243"/>
      <c r="J106" s="75"/>
      <c r="K106" s="77"/>
      <c r="L106" s="75"/>
      <c r="M106" s="78"/>
      <c r="N106" s="244"/>
      <c r="O106" s="79"/>
      <c r="P106" s="76" t="str">
        <f>IF(IFERROR(VLOOKUP(B106,'בקשות שאושרו'!$B$2:$I$466,1,0),"")="","",1)</f>
        <v/>
      </c>
      <c r="Q106" s="245" t="str">
        <f>IFERROR(VLOOKUP(B106,'בקשות שאושרו'!$B$2:$K$466,COLUMN('בקשות שאושרו'!$J$1)-COLUMN('בקשות שאושרו'!$B$1)+1,0),"")</f>
        <v/>
      </c>
    </row>
    <row r="107" spans="1:17" ht="43.5" x14ac:dyDescent="0.25">
      <c r="A107" s="240">
        <f>'סיכום לוועדה'!A133</f>
        <v>103</v>
      </c>
      <c r="B107" s="241">
        <f>'סיכום לוועדה'!E133</f>
        <v>20000159</v>
      </c>
      <c r="C107" s="241" t="str">
        <f>'סיכום לוועדה'!F133</f>
        <v>ירושלים</v>
      </c>
      <c r="D107" s="241" t="str">
        <f>'סיכום לוועדה'!G133</f>
        <v>תאטרון "פסיק" ירושלים</v>
      </c>
      <c r="E107" s="242" t="str">
        <f>'סיכום לוועדה'!H133</f>
        <v>תיאטרון</v>
      </c>
      <c r="F107" s="242"/>
      <c r="G107" s="242"/>
      <c r="H107" s="75"/>
      <c r="I107" s="243"/>
      <c r="J107" s="75"/>
      <c r="K107" s="77"/>
      <c r="L107" s="75"/>
      <c r="M107" s="78"/>
      <c r="N107" s="244"/>
      <c r="O107" s="79"/>
      <c r="P107" s="76" t="str">
        <f>IF(IFERROR(VLOOKUP(B107,'בקשות שאושרו'!$B$2:$I$466,1,0),"")="","",1)</f>
        <v/>
      </c>
      <c r="Q107" s="245" t="str">
        <f>IFERROR(VLOOKUP(B107,'בקשות שאושרו'!$B$2:$K$466,COLUMN('בקשות שאושרו'!$J$1)-COLUMN('בקשות שאושרו'!$B$1)+1,0),"")</f>
        <v/>
      </c>
    </row>
    <row r="108" spans="1:17" ht="43.5" x14ac:dyDescent="0.25">
      <c r="A108" s="240">
        <f>'סיכום לוועדה'!A134</f>
        <v>104</v>
      </c>
      <c r="B108" s="241">
        <f>'סיכום לוועדה'!E134</f>
        <v>20000159</v>
      </c>
      <c r="C108" s="241" t="str">
        <f>'סיכום לוועדה'!F134</f>
        <v>ירושלים</v>
      </c>
      <c r="D108" s="241" t="str">
        <f>'סיכום לוועדה'!G134</f>
        <v>תאטרון "פסיק" ירושלים</v>
      </c>
      <c r="E108" s="242" t="str">
        <f>'סיכום לוועדה'!H134</f>
        <v>תיאטרון</v>
      </c>
      <c r="F108" s="242"/>
      <c r="G108" s="242"/>
      <c r="H108" s="75"/>
      <c r="I108" s="243"/>
      <c r="J108" s="75"/>
      <c r="K108" s="77"/>
      <c r="L108" s="75"/>
      <c r="M108" s="78"/>
      <c r="N108" s="244"/>
      <c r="O108" s="79"/>
      <c r="P108" s="76" t="str">
        <f>IF(IFERROR(VLOOKUP(B108,'בקשות שאושרו'!$B$2:$I$466,1,0),"")="","",1)</f>
        <v/>
      </c>
      <c r="Q108" s="245" t="str">
        <f>IFERROR(VLOOKUP(B108,'בקשות שאושרו'!$B$2:$K$466,COLUMN('בקשות שאושרו'!$J$1)-COLUMN('בקשות שאושרו'!$B$1)+1,0),"")</f>
        <v/>
      </c>
    </row>
    <row r="109" spans="1:17" ht="43.5" x14ac:dyDescent="0.25">
      <c r="A109" s="240">
        <f>'סיכום לוועדה'!A135</f>
        <v>105</v>
      </c>
      <c r="B109" s="241">
        <f>'סיכום לוועדה'!E135</f>
        <v>20000159</v>
      </c>
      <c r="C109" s="241" t="str">
        <f>'סיכום לוועדה'!F135</f>
        <v>ירושלים</v>
      </c>
      <c r="D109" s="241" t="str">
        <f>'סיכום לוועדה'!G135</f>
        <v>תאטרון "פסיק" ירושלים</v>
      </c>
      <c r="E109" s="242" t="str">
        <f>'סיכום לוועדה'!H135</f>
        <v>תיאטרון</v>
      </c>
      <c r="F109" s="242"/>
      <c r="G109" s="242"/>
      <c r="H109" s="75"/>
      <c r="I109" s="243"/>
      <c r="J109" s="75"/>
      <c r="K109" s="77"/>
      <c r="L109" s="75"/>
      <c r="M109" s="78"/>
      <c r="N109" s="244"/>
      <c r="O109" s="79"/>
      <c r="P109" s="76" t="str">
        <f>IF(IFERROR(VLOOKUP(B109,'בקשות שאושרו'!$B$2:$I$466,1,0),"")="","",1)</f>
        <v/>
      </c>
      <c r="Q109" s="245" t="str">
        <f>IFERROR(VLOOKUP(B109,'בקשות שאושרו'!$B$2:$K$466,COLUMN('בקשות שאושרו'!$J$1)-COLUMN('בקשות שאושרו'!$B$1)+1,0),"")</f>
        <v/>
      </c>
    </row>
    <row r="110" spans="1:17" ht="43.5" x14ac:dyDescent="0.25">
      <c r="A110" s="240">
        <f>'סיכום לוועדה'!A136</f>
        <v>106</v>
      </c>
      <c r="B110" s="241">
        <f>'סיכום לוועדה'!E136</f>
        <v>20000159</v>
      </c>
      <c r="C110" s="241" t="str">
        <f>'סיכום לוועדה'!F136</f>
        <v>ירושלים</v>
      </c>
      <c r="D110" s="241" t="str">
        <f>'סיכום לוועדה'!G136</f>
        <v>תאטרון "פסיק" ירושלים</v>
      </c>
      <c r="E110" s="242" t="str">
        <f>'סיכום לוועדה'!H136</f>
        <v>תיאטרון</v>
      </c>
      <c r="F110" s="242"/>
      <c r="G110" s="242"/>
      <c r="H110" s="75"/>
      <c r="I110" s="243"/>
      <c r="J110" s="75"/>
      <c r="K110" s="77"/>
      <c r="L110" s="75"/>
      <c r="M110" s="78"/>
      <c r="N110" s="244"/>
      <c r="O110" s="79"/>
      <c r="P110" s="76" t="str">
        <f>IF(IFERROR(VLOOKUP(B110,'בקשות שאושרו'!$B$2:$I$466,1,0),"")="","",1)</f>
        <v/>
      </c>
      <c r="Q110" s="245" t="str">
        <f>IFERROR(VLOOKUP(B110,'בקשות שאושרו'!$B$2:$K$466,COLUMN('בקשות שאושרו'!$J$1)-COLUMN('בקשות שאושרו'!$B$1)+1,0),"")</f>
        <v/>
      </c>
    </row>
    <row r="111" spans="1:17" ht="43.5" x14ac:dyDescent="0.25">
      <c r="A111" s="240">
        <f>'סיכום לוועדה'!A137</f>
        <v>107</v>
      </c>
      <c r="B111" s="241">
        <f>'סיכום לוועדה'!E137</f>
        <v>20000159</v>
      </c>
      <c r="C111" s="241" t="str">
        <f>'סיכום לוועדה'!F137</f>
        <v>ירושלים</v>
      </c>
      <c r="D111" s="241" t="str">
        <f>'סיכום לוועדה'!G137</f>
        <v>תאטרון "פסיק" ירושלים</v>
      </c>
      <c r="E111" s="242" t="str">
        <f>'סיכום לוועדה'!H137</f>
        <v>תיאטרון</v>
      </c>
      <c r="F111" s="242"/>
      <c r="G111" s="242"/>
      <c r="H111" s="75"/>
      <c r="I111" s="243"/>
      <c r="J111" s="75"/>
      <c r="K111" s="77"/>
      <c r="L111" s="75"/>
      <c r="M111" s="78"/>
      <c r="N111" s="244"/>
      <c r="O111" s="79"/>
      <c r="P111" s="76" t="str">
        <f>IF(IFERROR(VLOOKUP(B111,'בקשות שאושרו'!$B$2:$I$466,1,0),"")="","",1)</f>
        <v/>
      </c>
      <c r="Q111" s="245" t="str">
        <f>IFERROR(VLOOKUP(B111,'בקשות שאושרו'!$B$2:$K$466,COLUMN('בקשות שאושרו'!$J$1)-COLUMN('בקשות שאושרו'!$B$1)+1,0),"")</f>
        <v/>
      </c>
    </row>
    <row r="112" spans="1:17" ht="86.25" x14ac:dyDescent="0.25">
      <c r="A112" s="240">
        <f>'סיכום לוועדה'!A138</f>
        <v>108</v>
      </c>
      <c r="B112" s="241">
        <f>'סיכום לוועדה'!E138</f>
        <v>20000055</v>
      </c>
      <c r="C112" s="241" t="str">
        <f>'סיכום לוועדה'!F138</f>
        <v>מג'ד אל-כרום</v>
      </c>
      <c r="D112" s="241" t="str">
        <f>'סיכום לוועדה'!G138</f>
        <v>עמותת האומנים לקידום תיאטרון מגד אל כרום</v>
      </c>
      <c r="E112" s="242" t="str">
        <f>'סיכום לוועדה'!H138</f>
        <v>תיאטרון</v>
      </c>
      <c r="F112" s="242"/>
      <c r="G112" s="242"/>
      <c r="H112" s="75"/>
      <c r="I112" s="243"/>
      <c r="J112" s="75"/>
      <c r="K112" s="77"/>
      <c r="L112" s="75"/>
      <c r="M112" s="78"/>
      <c r="N112" s="244"/>
      <c r="O112" s="79"/>
      <c r="P112" s="76" t="str">
        <f>IF(IFERROR(VLOOKUP(B112,'בקשות שאושרו'!$B$2:$I$466,1,0),"")="","",1)</f>
        <v/>
      </c>
      <c r="Q112" s="245" t="str">
        <f>IFERROR(VLOOKUP(B112,'בקשות שאושרו'!$B$2:$K$466,COLUMN('בקשות שאושרו'!$J$1)-COLUMN('בקשות שאושרו'!$B$1)+1,0),"")</f>
        <v/>
      </c>
    </row>
    <row r="113" spans="1:17" ht="72" x14ac:dyDescent="0.25">
      <c r="A113" s="240">
        <f>'סיכום לוועדה'!A139</f>
        <v>109</v>
      </c>
      <c r="B113" s="241">
        <f>'סיכום לוועדה'!E139</f>
        <v>20000096</v>
      </c>
      <c r="C113" s="241" t="str">
        <f>'סיכום לוועדה'!F139</f>
        <v>שדרות</v>
      </c>
      <c r="D113" s="241" t="str">
        <f>'סיכום לוועדה'!G139</f>
        <v>מרכז התנועה שדרות אדמה (ע''ר)</v>
      </c>
      <c r="E113" s="242" t="str">
        <f>'סיכום לוועדה'!H139</f>
        <v>מרכזי מחול</v>
      </c>
      <c r="F113" s="242"/>
      <c r="G113" s="242"/>
      <c r="H113" s="75"/>
      <c r="I113" s="243"/>
      <c r="J113" s="75"/>
      <c r="K113" s="77"/>
      <c r="L113" s="75"/>
      <c r="M113" s="78"/>
      <c r="N113" s="244"/>
      <c r="O113" s="79"/>
      <c r="P113" s="76" t="str">
        <f>IF(IFERROR(VLOOKUP(B113,'בקשות שאושרו'!$B$2:$I$466,1,0),"")="","",1)</f>
        <v/>
      </c>
      <c r="Q113" s="245" t="str">
        <f>IFERROR(VLOOKUP(B113,'בקשות שאושרו'!$B$2:$K$466,COLUMN('בקשות שאושרו'!$J$1)-COLUMN('בקשות שאושרו'!$B$1)+1,0),"")</f>
        <v/>
      </c>
    </row>
    <row r="114" spans="1:17" ht="43.5" x14ac:dyDescent="0.25">
      <c r="A114" s="240">
        <f>'סיכום לוועדה'!A140</f>
        <v>110</v>
      </c>
      <c r="B114" s="241">
        <f>'סיכום לוועדה'!E140</f>
        <v>20000235</v>
      </c>
      <c r="C114" s="241" t="str">
        <f>'סיכום לוועדה'!F140</f>
        <v>סח'נין</v>
      </c>
      <c r="D114" s="241" t="str">
        <f>'סיכום לוועדה'!G140</f>
        <v>אמנות למען השלום</v>
      </c>
      <c r="E114" s="242" t="str">
        <f>'סיכום לוועדה'!H140</f>
        <v>תיאטרון</v>
      </c>
      <c r="F114" s="242"/>
      <c r="G114" s="242"/>
      <c r="H114" s="75"/>
      <c r="I114" s="243"/>
      <c r="J114" s="75"/>
      <c r="K114" s="77"/>
      <c r="L114" s="75"/>
      <c r="M114" s="78"/>
      <c r="N114" s="244"/>
      <c r="O114" s="79"/>
      <c r="P114" s="76" t="str">
        <f>IF(IFERROR(VLOOKUP(B114,'בקשות שאושרו'!$B$2:$I$466,1,0),"")="","",1)</f>
        <v/>
      </c>
      <c r="Q114" s="245" t="str">
        <f>IFERROR(VLOOKUP(B114,'בקשות שאושרו'!$B$2:$K$466,COLUMN('בקשות שאושרו'!$J$1)-COLUMN('בקשות שאושרו'!$B$1)+1,0),"")</f>
        <v/>
      </c>
    </row>
    <row r="115" spans="1:17" x14ac:dyDescent="0.25">
      <c r="A115" s="240">
        <f>'סיכום לוועדה'!A141</f>
        <v>111</v>
      </c>
      <c r="B115" s="241">
        <f>'סיכום לוועדה'!E141</f>
        <v>20000162</v>
      </c>
      <c r="C115" s="241" t="str">
        <f>'סיכום לוועדה'!F141</f>
        <v>חוף הכרמל</v>
      </c>
      <c r="D115" s="241" t="str">
        <f>'סיכום לוועדה'!G141</f>
        <v>המזגגה</v>
      </c>
      <c r="E115" s="242" t="str">
        <f>'סיכום לוועדה'!H141</f>
        <v>מוזיאונים</v>
      </c>
      <c r="F115" s="242"/>
      <c r="G115" s="242"/>
      <c r="H115" s="75"/>
      <c r="I115" s="243"/>
      <c r="J115" s="75"/>
      <c r="K115" s="77"/>
      <c r="L115" s="75"/>
      <c r="M115" s="78"/>
      <c r="N115" s="244"/>
      <c r="O115" s="79"/>
      <c r="P115" s="76" t="str">
        <f>IF(IFERROR(VLOOKUP(B115,'בקשות שאושרו'!$B$2:$I$466,1,0),"")="","",1)</f>
        <v/>
      </c>
      <c r="Q115" s="245" t="str">
        <f>IFERROR(VLOOKUP(B115,'בקשות שאושרו'!$B$2:$K$466,COLUMN('בקשות שאושרו'!$J$1)-COLUMN('בקשות שאושרו'!$B$1)+1,0),"")</f>
        <v/>
      </c>
    </row>
    <row r="116" spans="1:17" ht="43.5" x14ac:dyDescent="0.25">
      <c r="A116" s="240">
        <f>'סיכום לוועדה'!A142</f>
        <v>112</v>
      </c>
      <c r="B116" s="241">
        <f>'סיכום לוועדה'!E142</f>
        <v>20000238</v>
      </c>
      <c r="C116" s="241" t="str">
        <f>'סיכום לוועדה'!F142</f>
        <v>עכו</v>
      </c>
      <c r="D116" s="241" t="str">
        <f>'סיכום לוועדה'!G142</f>
        <v>המרכז לתיאטרון של עכו</v>
      </c>
      <c r="E116" s="242" t="str">
        <f>'סיכום לוועדה'!H142</f>
        <v>תיאטרון</v>
      </c>
      <c r="F116" s="242"/>
      <c r="G116" s="242"/>
      <c r="H116" s="75"/>
      <c r="I116" s="243"/>
      <c r="J116" s="75"/>
      <c r="K116" s="77"/>
      <c r="L116" s="75"/>
      <c r="M116" s="78"/>
      <c r="N116" s="244"/>
      <c r="O116" s="79"/>
      <c r="P116" s="76" t="str">
        <f>IF(IFERROR(VLOOKUP(B116,'בקשות שאושרו'!$B$2:$I$466,1,0),"")="","",1)</f>
        <v/>
      </c>
      <c r="Q116" s="245" t="str">
        <f>IFERROR(VLOOKUP(B116,'בקשות שאושרו'!$B$2:$K$466,COLUMN('בקשות שאושרו'!$J$1)-COLUMN('בקשות שאושרו'!$B$1)+1,0),"")</f>
        <v/>
      </c>
    </row>
    <row r="117" spans="1:17" ht="57.75" x14ac:dyDescent="0.25">
      <c r="A117" s="240">
        <f>'סיכום לוועדה'!A143</f>
        <v>113</v>
      </c>
      <c r="B117" s="241">
        <f>'סיכום לוועדה'!E143</f>
        <v>20000254</v>
      </c>
      <c r="C117" s="241" t="str">
        <f>'סיכום לוועדה'!F143</f>
        <v>באר שבע</v>
      </c>
      <c r="D117" s="241" t="str">
        <f>'סיכום לוועדה'!G143</f>
        <v>בת-דור באר-שבע - מרכז עירוני לאמנות</v>
      </c>
      <c r="E117" s="242" t="str">
        <f>'סיכום לוועדה'!H143</f>
        <v>מחול</v>
      </c>
      <c r="F117" s="242"/>
      <c r="G117" s="242"/>
      <c r="H117" s="75"/>
      <c r="I117" s="243"/>
      <c r="J117" s="75"/>
      <c r="K117" s="77"/>
      <c r="L117" s="75"/>
      <c r="M117" s="78"/>
      <c r="N117" s="244"/>
      <c r="O117" s="79"/>
      <c r="P117" s="76" t="str">
        <f>IF(IFERROR(VLOOKUP(B117,'בקשות שאושרו'!$B$2:$I$466,1,0),"")="","",1)</f>
        <v/>
      </c>
      <c r="Q117" s="245" t="str">
        <f>IFERROR(VLOOKUP(B117,'בקשות שאושרו'!$B$2:$K$466,COLUMN('בקשות שאושרו'!$J$1)-COLUMN('בקשות שאושרו'!$B$1)+1,0),"")</f>
        <v/>
      </c>
    </row>
    <row r="118" spans="1:17" ht="72" x14ac:dyDescent="0.25">
      <c r="A118" s="240">
        <f>'סיכום לוועדה'!A144</f>
        <v>114</v>
      </c>
      <c r="B118" s="241">
        <f>'סיכום לוועדה'!E144</f>
        <v>20000159</v>
      </c>
      <c r="C118" s="241" t="str">
        <f>'סיכום לוועדה'!F144</f>
        <v>ירושלים</v>
      </c>
      <c r="D118" s="241" t="str">
        <f>'סיכום לוועדה'!G144</f>
        <v>צוללת צהובה - המקום למוסיקה בירושלים</v>
      </c>
      <c r="E118" s="242" t="str">
        <f>'סיכום לוועדה'!H144</f>
        <v>מרכזי מוסיקה</v>
      </c>
      <c r="F118" s="242"/>
      <c r="G118" s="242"/>
      <c r="H118" s="75"/>
      <c r="I118" s="243"/>
      <c r="J118" s="75"/>
      <c r="K118" s="77"/>
      <c r="L118" s="75"/>
      <c r="M118" s="78"/>
      <c r="N118" s="244"/>
      <c r="O118" s="79"/>
      <c r="P118" s="76" t="str">
        <f>IF(IFERROR(VLOOKUP(B118,'בקשות שאושרו'!$B$2:$I$466,1,0),"")="","",1)</f>
        <v/>
      </c>
      <c r="Q118" s="245" t="str">
        <f>IFERROR(VLOOKUP(B118,'בקשות שאושרו'!$B$2:$K$466,COLUMN('בקשות שאושרו'!$J$1)-COLUMN('בקשות שאושרו'!$B$1)+1,0),"")</f>
        <v/>
      </c>
    </row>
    <row r="119" spans="1:17" ht="57.75" x14ac:dyDescent="0.25">
      <c r="A119" s="240">
        <f>'סיכום לוועדה'!A145</f>
        <v>115</v>
      </c>
      <c r="B119" s="241">
        <f>'סיכום לוועדה'!E145</f>
        <v>20000201</v>
      </c>
      <c r="C119" s="241" t="str">
        <f>'סיכום לוועדה'!F145</f>
        <v>תל אביב -יפו</v>
      </c>
      <c r="D119" s="241" t="str">
        <f>'סיכום לוועדה'!G145</f>
        <v>תאטרון מחול אבשלום פולק</v>
      </c>
      <c r="E119" s="242" t="str">
        <f>'סיכום לוועדה'!H145</f>
        <v>תיאטרון</v>
      </c>
      <c r="F119" s="242"/>
      <c r="G119" s="242"/>
      <c r="H119" s="75"/>
      <c r="I119" s="243"/>
      <c r="J119" s="75"/>
      <c r="K119" s="77"/>
      <c r="L119" s="75"/>
      <c r="M119" s="78"/>
      <c r="N119" s="244"/>
      <c r="O119" s="79"/>
      <c r="P119" s="76" t="str">
        <f>IF(IFERROR(VLOOKUP(B119,'בקשות שאושרו'!$B$2:$I$466,1,0),"")="","",1)</f>
        <v/>
      </c>
      <c r="Q119" s="245" t="str">
        <f>IFERROR(VLOOKUP(B119,'בקשות שאושרו'!$B$2:$K$466,COLUMN('בקשות שאושרו'!$J$1)-COLUMN('בקשות שאושרו'!$B$1)+1,0),"")</f>
        <v/>
      </c>
    </row>
    <row r="120" spans="1:17" ht="29.25" x14ac:dyDescent="0.25">
      <c r="A120" s="240">
        <f>'סיכום לוועדה'!A146</f>
        <v>116</v>
      </c>
      <c r="B120" s="241">
        <f>'סיכום לוועדה'!E146</f>
        <v>20000201</v>
      </c>
      <c r="C120" s="241" t="str">
        <f>'סיכום לוועדה'!F146</f>
        <v>תל אביב -יפו</v>
      </c>
      <c r="D120" s="241" t="str">
        <f>'סיכום לוועדה'!G146</f>
        <v>מוזיאון נחום גוטמן</v>
      </c>
      <c r="E120" s="242" t="str">
        <f>'סיכום לוועדה'!H146</f>
        <v>מוזיאונים</v>
      </c>
      <c r="F120" s="242"/>
      <c r="G120" s="242"/>
      <c r="H120" s="75"/>
      <c r="I120" s="243"/>
      <c r="J120" s="75"/>
      <c r="K120" s="77"/>
      <c r="L120" s="75"/>
      <c r="M120" s="78"/>
      <c r="N120" s="244"/>
      <c r="O120" s="79"/>
      <c r="P120" s="76" t="str">
        <f>IF(IFERROR(VLOOKUP(B120,'בקשות שאושרו'!$B$2:$I$466,1,0),"")="","",1)</f>
        <v/>
      </c>
      <c r="Q120" s="245" t="str">
        <f>IFERROR(VLOOKUP(B120,'בקשות שאושרו'!$B$2:$K$466,COLUMN('בקשות שאושרו'!$J$1)-COLUMN('בקשות שאושרו'!$B$1)+1,0),"")</f>
        <v/>
      </c>
    </row>
    <row r="121" spans="1:17" ht="43.5" x14ac:dyDescent="0.25">
      <c r="A121" s="240">
        <f>'סיכום לוועדה'!A147</f>
        <v>117</v>
      </c>
      <c r="B121" s="241">
        <f>'סיכום לוועדה'!E147</f>
        <v>20000253</v>
      </c>
      <c r="C121" s="241" t="str">
        <f>'סיכום לוועדה'!F147</f>
        <v>טמרה</v>
      </c>
      <c r="D121" s="241" t="str">
        <f>'סיכום לוועדה'!G147</f>
        <v>אלאג'יאל טמרה (ע"ר)</v>
      </c>
      <c r="E121" s="242" t="str">
        <f>'סיכום לוועדה'!H147</f>
        <v>תיאטרון</v>
      </c>
      <c r="F121" s="242"/>
      <c r="G121" s="242"/>
      <c r="H121" s="75"/>
      <c r="I121" s="243"/>
      <c r="J121" s="75"/>
      <c r="K121" s="77"/>
      <c r="L121" s="75"/>
      <c r="M121" s="78"/>
      <c r="N121" s="244"/>
      <c r="O121" s="79"/>
      <c r="P121" s="76" t="str">
        <f>IF(IFERROR(VLOOKUP(B121,'בקשות שאושרו'!$B$2:$I$466,1,0),"")="","",1)</f>
        <v/>
      </c>
      <c r="Q121" s="245" t="str">
        <f>IFERROR(VLOOKUP(B121,'בקשות שאושרו'!$B$2:$K$466,COLUMN('בקשות שאושרו'!$J$1)-COLUMN('בקשות שאושרו'!$B$1)+1,0),"")</f>
        <v/>
      </c>
    </row>
    <row r="122" spans="1:17" ht="29.25" x14ac:dyDescent="0.25">
      <c r="A122" s="240">
        <f>'סיכום לוועדה'!A148</f>
        <v>118</v>
      </c>
      <c r="B122" s="241">
        <f>'סיכום לוועדה'!E148</f>
        <v>20000186</v>
      </c>
      <c r="C122" s="241" t="str">
        <f>'סיכום לוועדה'!F148</f>
        <v>לב השרון</v>
      </c>
      <c r="D122" s="241" t="str">
        <f>'סיכום לוועדה'!G148</f>
        <v>איסמבל קולות נשים</v>
      </c>
      <c r="E122" s="242" t="str">
        <f>'סיכום לוועדה'!H148</f>
        <v>מקהלות</v>
      </c>
      <c r="F122" s="242"/>
      <c r="G122" s="242"/>
      <c r="H122" s="75"/>
      <c r="I122" s="243"/>
      <c r="J122" s="75"/>
      <c r="K122" s="77"/>
      <c r="L122" s="75"/>
      <c r="M122" s="78"/>
      <c r="N122" s="244"/>
      <c r="O122" s="79"/>
      <c r="P122" s="76" t="str">
        <f>IF(IFERROR(VLOOKUP(B122,'בקשות שאושרו'!$B$2:$I$466,1,0),"")="","",1)</f>
        <v/>
      </c>
      <c r="Q122" s="245" t="str">
        <f>IFERROR(VLOOKUP(B122,'בקשות שאושרו'!$B$2:$K$466,COLUMN('בקשות שאושרו'!$J$1)-COLUMN('בקשות שאושרו'!$B$1)+1,0),"")</f>
        <v/>
      </c>
    </row>
    <row r="123" spans="1:17" ht="29.25" x14ac:dyDescent="0.25">
      <c r="A123" s="240">
        <f>'סיכום לוועדה'!A149</f>
        <v>119</v>
      </c>
      <c r="B123" s="241">
        <f>'סיכום לוועדה'!E149</f>
        <v>20000201</v>
      </c>
      <c r="C123" s="241" t="str">
        <f>'סיכום לוועדה'!F149</f>
        <v>תל אביב -יפו</v>
      </c>
      <c r="D123" s="241" t="str">
        <f>'סיכום לוועדה'!G149</f>
        <v>תיאטרון מחול ענבל</v>
      </c>
      <c r="E123" s="242" t="str">
        <f>'סיכום לוועדה'!H149</f>
        <v>מחול</v>
      </c>
      <c r="F123" s="242"/>
      <c r="G123" s="242"/>
      <c r="H123" s="75"/>
      <c r="I123" s="243"/>
      <c r="J123" s="75"/>
      <c r="K123" s="77"/>
      <c r="L123" s="75"/>
      <c r="M123" s="78"/>
      <c r="N123" s="244"/>
      <c r="O123" s="79"/>
      <c r="P123" s="76" t="str">
        <f>IF(IFERROR(VLOOKUP(B123,'בקשות שאושרו'!$B$2:$I$466,1,0),"")="","",1)</f>
        <v/>
      </c>
      <c r="Q123" s="245" t="str">
        <f>IFERROR(VLOOKUP(B123,'בקשות שאושרו'!$B$2:$K$466,COLUMN('בקשות שאושרו'!$J$1)-COLUMN('בקשות שאושרו'!$B$1)+1,0),"")</f>
        <v/>
      </c>
    </row>
    <row r="124" spans="1:17" ht="57.75" x14ac:dyDescent="0.25">
      <c r="A124" s="240">
        <f>'סיכום לוועדה'!A150</f>
        <v>120</v>
      </c>
      <c r="B124" s="241">
        <f>'סיכום לוועדה'!E150</f>
        <v>20000254</v>
      </c>
      <c r="C124" s="241" t="str">
        <f>'סיכום לוועדה'!F150</f>
        <v>באר שבע</v>
      </c>
      <c r="D124" s="241" t="str">
        <f>'סיכום לוועדה'!G150</f>
        <v>בת-דור באר-שבע - מרכז עירוני לאמנות</v>
      </c>
      <c r="E124" s="242" t="str">
        <f>'סיכום לוועדה'!H150</f>
        <v>מרכזי מחול</v>
      </c>
      <c r="F124" s="242"/>
      <c r="G124" s="242"/>
      <c r="H124" s="75"/>
      <c r="I124" s="243"/>
      <c r="J124" s="75"/>
      <c r="K124" s="77"/>
      <c r="L124" s="75"/>
      <c r="M124" s="78"/>
      <c r="N124" s="244"/>
      <c r="O124" s="79"/>
      <c r="P124" s="76" t="str">
        <f>IF(IFERROR(VLOOKUP(B124,'בקשות שאושרו'!$B$2:$I$466,1,0),"")="","",1)</f>
        <v/>
      </c>
      <c r="Q124" s="245" t="str">
        <f>IFERROR(VLOOKUP(B124,'בקשות שאושרו'!$B$2:$K$466,COLUMN('בקשות שאושרו'!$J$1)-COLUMN('בקשות שאושרו'!$B$1)+1,0),"")</f>
        <v/>
      </c>
    </row>
    <row r="125" spans="1:17" x14ac:dyDescent="0.25">
      <c r="A125" s="240">
        <f>'סיכום לוועדה'!A151</f>
        <v>121</v>
      </c>
      <c r="B125" s="241">
        <f>'סיכום לוועדה'!E151</f>
        <v>20000201</v>
      </c>
      <c r="C125" s="241" t="str">
        <f>'סיכום לוועדה'!F151</f>
        <v>תל אביב -יפו</v>
      </c>
      <c r="D125" s="241" t="str">
        <f>'סיכום לוועדה'!G151</f>
        <v>נא לגעת</v>
      </c>
      <c r="E125" s="242" t="str">
        <f>'סיכום לוועדה'!H151</f>
        <v>תיאטרון</v>
      </c>
      <c r="F125" s="242"/>
      <c r="G125" s="242"/>
      <c r="H125" s="75"/>
      <c r="I125" s="243"/>
      <c r="J125" s="75"/>
      <c r="K125" s="77"/>
      <c r="L125" s="75"/>
      <c r="M125" s="78"/>
      <c r="N125" s="244"/>
      <c r="O125" s="79"/>
      <c r="P125" s="76" t="str">
        <f>IF(IFERROR(VLOOKUP(B125,'בקשות שאושרו'!$B$2:$I$466,1,0),"")="","",1)</f>
        <v/>
      </c>
      <c r="Q125" s="245" t="str">
        <f>IFERROR(VLOOKUP(B125,'בקשות שאושרו'!$B$2:$K$466,COLUMN('בקשות שאושרו'!$J$1)-COLUMN('בקשות שאושרו'!$B$1)+1,0),"")</f>
        <v/>
      </c>
    </row>
    <row r="126" spans="1:17" ht="43.5" x14ac:dyDescent="0.25">
      <c r="A126" s="240">
        <f>'סיכום לוועדה'!A152</f>
        <v>122</v>
      </c>
      <c r="B126" s="241">
        <f>'סיכום לוועדה'!E152</f>
        <v>20000159</v>
      </c>
      <c r="C126" s="241" t="str">
        <f>'סיכום לוועדה'!F152</f>
        <v>ירושלים</v>
      </c>
      <c r="D126" s="241" t="str">
        <f>'סיכום לוועדה'!G152</f>
        <v>קרן אהבת קדומים תזמורת י-ם</v>
      </c>
      <c r="E126" s="242" t="str">
        <f>'סיכום לוועדה'!H152</f>
        <v>מוסיקה-גופים כליים</v>
      </c>
      <c r="F126" s="242"/>
      <c r="G126" s="242"/>
      <c r="H126" s="75"/>
      <c r="I126" s="243"/>
      <c r="J126" s="75"/>
      <c r="K126" s="77"/>
      <c r="L126" s="75"/>
      <c r="M126" s="78"/>
      <c r="N126" s="244"/>
      <c r="O126" s="79"/>
      <c r="P126" s="76" t="str">
        <f>IF(IFERROR(VLOOKUP(B126,'בקשות שאושרו'!$B$2:$I$466,1,0),"")="","",1)</f>
        <v/>
      </c>
      <c r="Q126" s="245" t="str">
        <f>IFERROR(VLOOKUP(B126,'בקשות שאושרו'!$B$2:$K$466,COLUMN('בקשות שאושרו'!$J$1)-COLUMN('בקשות שאושרו'!$B$1)+1,0),"")</f>
        <v/>
      </c>
    </row>
    <row r="127" spans="1:17" x14ac:dyDescent="0.25">
      <c r="A127" s="240">
        <f>'סיכום לוועדה'!A153</f>
        <v>123</v>
      </c>
      <c r="B127" s="241">
        <f>'סיכום לוועדה'!E153</f>
        <v>20000159</v>
      </c>
      <c r="C127" s="241" t="str">
        <f>'סיכום לוועדה'!F153</f>
        <v>ירושלים</v>
      </c>
      <c r="D127" s="241" t="str">
        <f>'סיכום לוועדה'!G153</f>
        <v>אביבים</v>
      </c>
      <c r="E127" s="242" t="str">
        <f>'סיכום לוועדה'!H153</f>
        <v>תרבות חרדית</v>
      </c>
      <c r="F127" s="242"/>
      <c r="G127" s="242"/>
      <c r="H127" s="75"/>
      <c r="I127" s="243"/>
      <c r="J127" s="75"/>
      <c r="K127" s="77"/>
      <c r="L127" s="75"/>
      <c r="M127" s="78"/>
      <c r="N127" s="244"/>
      <c r="O127" s="79"/>
      <c r="P127" s="76" t="str">
        <f>IF(IFERROR(VLOOKUP(B127,'בקשות שאושרו'!$B$2:$I$466,1,0),"")="","",1)</f>
        <v/>
      </c>
      <c r="Q127" s="245" t="str">
        <f>IFERROR(VLOOKUP(B127,'בקשות שאושרו'!$B$2:$K$466,COLUMN('בקשות שאושרו'!$J$1)-COLUMN('בקשות שאושרו'!$B$1)+1,0),"")</f>
        <v/>
      </c>
    </row>
    <row r="128" spans="1:17" x14ac:dyDescent="0.25">
      <c r="A128" s="240">
        <f>'סיכום לוועדה'!A154</f>
        <v>124</v>
      </c>
      <c r="B128" s="241">
        <f>'סיכום לוועדה'!E154</f>
        <v>20000072</v>
      </c>
      <c r="C128" s="241" t="str">
        <f>'סיכום לוועדה'!F154</f>
        <v>ראמה</v>
      </c>
      <c r="D128" s="241" t="str">
        <f>'סיכום לוועדה'!G154</f>
        <v>סיראג'</v>
      </c>
      <c r="E128" s="242" t="str">
        <f>'סיכום לוועדה'!H154</f>
        <v>תרבות ערבית</v>
      </c>
      <c r="F128" s="242"/>
      <c r="G128" s="242"/>
      <c r="H128" s="75"/>
      <c r="I128" s="243"/>
      <c r="J128" s="75"/>
      <c r="K128" s="77"/>
      <c r="L128" s="75"/>
      <c r="M128" s="78"/>
      <c r="N128" s="244"/>
      <c r="O128" s="79"/>
      <c r="P128" s="76" t="str">
        <f>IF(IFERROR(VLOOKUP(B128,'בקשות שאושרו'!$B$2:$I$466,1,0),"")="","",1)</f>
        <v/>
      </c>
      <c r="Q128" s="245" t="str">
        <f>IFERROR(VLOOKUP(B128,'בקשות שאושרו'!$B$2:$K$466,COLUMN('בקשות שאושרו'!$J$1)-COLUMN('בקשות שאושרו'!$B$1)+1,0),"")</f>
        <v/>
      </c>
    </row>
    <row r="129" spans="1:17" ht="29.25" x14ac:dyDescent="0.25">
      <c r="A129" s="240">
        <f>'סיכום לוועדה'!A155</f>
        <v>125</v>
      </c>
      <c r="B129" s="241">
        <f>'סיכום לוועדה'!E155</f>
        <v>20000231</v>
      </c>
      <c r="C129" s="241" t="str">
        <f>'סיכום לוועדה'!F155</f>
        <v>נצרת</v>
      </c>
      <c r="D129" s="241" t="str">
        <f>'סיכום לוועדה'!G155</f>
        <v>נצרת עלא אלעהד</v>
      </c>
      <c r="E129" s="242" t="str">
        <f>'סיכום לוועדה'!H155</f>
        <v>תרבות ערבית</v>
      </c>
      <c r="F129" s="242"/>
      <c r="G129" s="242"/>
      <c r="H129" s="75"/>
      <c r="I129" s="243"/>
      <c r="J129" s="75"/>
      <c r="K129" s="77"/>
      <c r="L129" s="75"/>
      <c r="M129" s="78"/>
      <c r="N129" s="244"/>
      <c r="O129" s="79"/>
      <c r="P129" s="76" t="str">
        <f>IF(IFERROR(VLOOKUP(B129,'בקשות שאושרו'!$B$2:$I$466,1,0),"")="","",1)</f>
        <v/>
      </c>
      <c r="Q129" s="245" t="str">
        <f>IFERROR(VLOOKUP(B129,'בקשות שאושרו'!$B$2:$K$466,COLUMN('בקשות שאושרו'!$J$1)-COLUMN('בקשות שאושרו'!$B$1)+1,0),"")</f>
        <v/>
      </c>
    </row>
    <row r="130" spans="1:17" ht="43.5" x14ac:dyDescent="0.25">
      <c r="A130" s="240">
        <f>'סיכום לוועדה'!A156</f>
        <v>126</v>
      </c>
      <c r="B130" s="241">
        <f>'סיכום לוועדה'!E156</f>
        <v>20000201</v>
      </c>
      <c r="C130" s="241" t="str">
        <f>'סיכום לוועדה'!F156</f>
        <v>תל אביב -יפו</v>
      </c>
      <c r="D130" s="241" t="str">
        <f>'סיכום לוועדה'!G156</f>
        <v>אלמז אמנות בישראל</v>
      </c>
      <c r="E130" s="242" t="str">
        <f>'סיכום לוועדה'!H156</f>
        <v>אחר</v>
      </c>
      <c r="F130" s="242"/>
      <c r="G130" s="242"/>
      <c r="H130" s="75"/>
      <c r="I130" s="243"/>
      <c r="J130" s="75"/>
      <c r="K130" s="77"/>
      <c r="L130" s="75"/>
      <c r="M130" s="78"/>
      <c r="N130" s="244"/>
      <c r="O130" s="79"/>
      <c r="P130" s="76" t="str">
        <f>IF(IFERROR(VLOOKUP(B130,'בקשות שאושרו'!$B$2:$I$466,1,0),"")="","",1)</f>
        <v/>
      </c>
      <c r="Q130" s="245" t="str">
        <f>IFERROR(VLOOKUP(B130,'בקשות שאושרו'!$B$2:$K$466,COLUMN('בקשות שאושרו'!$J$1)-COLUMN('בקשות שאושרו'!$B$1)+1,0),"")</f>
        <v/>
      </c>
    </row>
    <row r="131" spans="1:17" x14ac:dyDescent="0.25">
      <c r="A131" s="240">
        <f>'סיכום לוועדה'!A157</f>
        <v>127</v>
      </c>
      <c r="B131" s="241">
        <f>'סיכום לוועדה'!E157</f>
        <v>20000027</v>
      </c>
      <c r="C131" s="241" t="str">
        <f>'סיכום לוועדה'!F157</f>
        <v>כפר שמריהו</v>
      </c>
      <c r="D131" s="241" t="str">
        <f>'סיכום לוועדה'!G157</f>
        <v>בארוקדה</v>
      </c>
      <c r="E131" s="242" t="str">
        <f>'סיכום לוועדה'!H157</f>
        <v>מוסיקה-גופים כליים</v>
      </c>
      <c r="F131" s="242"/>
      <c r="G131" s="242"/>
      <c r="H131" s="75"/>
      <c r="I131" s="243"/>
      <c r="J131" s="75"/>
      <c r="K131" s="77"/>
      <c r="L131" s="75"/>
      <c r="M131" s="78"/>
      <c r="N131" s="244"/>
      <c r="O131" s="79"/>
      <c r="P131" s="76" t="str">
        <f>IF(IFERROR(VLOOKUP(B131,'בקשות שאושרו'!$B$2:$I$466,1,0),"")="","",1)</f>
        <v/>
      </c>
      <c r="Q131" s="245" t="str">
        <f>IFERROR(VLOOKUP(B131,'בקשות שאושרו'!$B$2:$K$466,COLUMN('בקשות שאושרו'!$J$1)-COLUMN('בקשות שאושרו'!$B$1)+1,0),"")</f>
        <v/>
      </c>
    </row>
    <row r="132" spans="1:17" ht="57.75" x14ac:dyDescent="0.25">
      <c r="A132" s="240">
        <f>'סיכום לוועדה'!A158</f>
        <v>128</v>
      </c>
      <c r="B132" s="241">
        <f>'סיכום לוועדה'!E158</f>
        <v>20000201</v>
      </c>
      <c r="C132" s="241" t="str">
        <f>'סיכום לוועדה'!F158</f>
        <v>תל אביב -יפו</v>
      </c>
      <c r="D132" s="241" t="str">
        <f>'סיכום לוועדה'!G158</f>
        <v>תמיד - תרבות מוסיקלית יהודית</v>
      </c>
      <c r="E132" s="242" t="str">
        <f>'סיכום לוועדה'!H158</f>
        <v>אחר</v>
      </c>
      <c r="F132" s="242"/>
      <c r="G132" s="242"/>
      <c r="H132" s="75"/>
      <c r="I132" s="243"/>
      <c r="J132" s="75"/>
      <c r="K132" s="77"/>
      <c r="L132" s="75"/>
      <c r="M132" s="78"/>
      <c r="N132" s="244"/>
      <c r="O132" s="79"/>
      <c r="P132" s="76" t="str">
        <f>IF(IFERROR(VLOOKUP(B132,'בקשות שאושרו'!$B$2:$I$466,1,0),"")="","",1)</f>
        <v/>
      </c>
      <c r="Q132" s="245" t="str">
        <f>IFERROR(VLOOKUP(B132,'בקשות שאושרו'!$B$2:$K$466,COLUMN('בקשות שאושרו'!$J$1)-COLUMN('בקשות שאושרו'!$B$1)+1,0),"")</f>
        <v/>
      </c>
    </row>
    <row r="133" spans="1:17" x14ac:dyDescent="0.25">
      <c r="A133" s="240">
        <f>'סיכום לוועדה'!A159</f>
        <v>129</v>
      </c>
      <c r="B133" s="241">
        <f>'סיכום לוועדה'!E159</f>
        <v>20000041</v>
      </c>
      <c r="C133" s="241" t="str">
        <f>'סיכום לוועדה'!F159</f>
        <v>דייר אל-אסד</v>
      </c>
      <c r="D133" s="241" t="str">
        <f>'סיכום לוועדה'!G159</f>
        <v>אל אסדי</v>
      </c>
      <c r="E133" s="242" t="str">
        <f>'סיכום לוועדה'!H159</f>
        <v>אחר</v>
      </c>
      <c r="F133" s="242"/>
      <c r="G133" s="242"/>
      <c r="H133" s="75"/>
      <c r="I133" s="243"/>
      <c r="J133" s="75"/>
      <c r="K133" s="77"/>
      <c r="L133" s="75"/>
      <c r="M133" s="78"/>
      <c r="N133" s="244"/>
      <c r="O133" s="79"/>
      <c r="P133" s="76" t="str">
        <f>IF(IFERROR(VLOOKUP(B133,'בקשות שאושרו'!$B$2:$I$466,1,0),"")="","",1)</f>
        <v/>
      </c>
      <c r="Q133" s="245" t="str">
        <f>IFERROR(VLOOKUP(B133,'בקשות שאושרו'!$B$2:$K$466,COLUMN('בקשות שאושרו'!$J$1)-COLUMN('בקשות שאושרו'!$B$1)+1,0),"")</f>
        <v/>
      </c>
    </row>
    <row r="134" spans="1:17" ht="43.5" x14ac:dyDescent="0.25">
      <c r="A134" s="240">
        <f>'סיכום לוועדה'!A160</f>
        <v>130</v>
      </c>
      <c r="B134" s="241">
        <f>'סיכום לוועדה'!E160</f>
        <v>20000201</v>
      </c>
      <c r="C134" s="241" t="str">
        <f>'סיכום לוועדה'!F160</f>
        <v>תל אביב -יפו</v>
      </c>
      <c r="D134" s="241" t="str">
        <f>'סיכום לוועדה'!G160</f>
        <v>גלרית תיאטרון החנות</v>
      </c>
      <c r="E134" s="242" t="str">
        <f>'סיכום לוועדה'!H160</f>
        <v>קבוצות תיאטרון</v>
      </c>
      <c r="F134" s="242"/>
      <c r="G134" s="242"/>
      <c r="H134" s="75"/>
      <c r="I134" s="243"/>
      <c r="J134" s="75"/>
      <c r="K134" s="77"/>
      <c r="L134" s="75"/>
      <c r="M134" s="78"/>
      <c r="N134" s="244"/>
      <c r="O134" s="79"/>
      <c r="P134" s="76" t="str">
        <f>IF(IFERROR(VLOOKUP(B134,'בקשות שאושרו'!$B$2:$I$466,1,0),"")="","",1)</f>
        <v/>
      </c>
      <c r="Q134" s="245" t="str">
        <f>IFERROR(VLOOKUP(B134,'בקשות שאושרו'!$B$2:$K$466,COLUMN('בקשות שאושרו'!$J$1)-COLUMN('בקשות שאושרו'!$B$1)+1,0),"")</f>
        <v/>
      </c>
    </row>
    <row r="135" spans="1:17" ht="29.25" x14ac:dyDescent="0.25">
      <c r="A135" s="240">
        <f>'סיכום לוועדה'!A161</f>
        <v>131</v>
      </c>
      <c r="B135" s="241">
        <f>'סיכום לוועדה'!E161</f>
        <v>20000201</v>
      </c>
      <c r="C135" s="241" t="str">
        <f>'סיכום לוועדה'!F161</f>
        <v>תל אביב -יפו</v>
      </c>
      <c r="D135" s="241" t="str">
        <f>'סיכום לוועדה'!G161</f>
        <v>קידום נתיב אמן</v>
      </c>
      <c r="E135" s="242" t="str">
        <f>'סיכום לוועדה'!H161</f>
        <v>מרכזי פרינג'</v>
      </c>
      <c r="F135" s="242"/>
      <c r="G135" s="242"/>
      <c r="H135" s="75"/>
      <c r="I135" s="243"/>
      <c r="J135" s="75"/>
      <c r="K135" s="77"/>
      <c r="L135" s="75"/>
      <c r="M135" s="78"/>
      <c r="N135" s="244"/>
      <c r="O135" s="79"/>
      <c r="P135" s="76" t="str">
        <f>IF(IFERROR(VLOOKUP(B135,'בקשות שאושרו'!$B$2:$I$466,1,0),"")="","",1)</f>
        <v/>
      </c>
      <c r="Q135" s="245" t="str">
        <f>IFERROR(VLOOKUP(B135,'בקשות שאושרו'!$B$2:$K$466,COLUMN('בקשות שאושרו'!$J$1)-COLUMN('בקשות שאושרו'!$B$1)+1,0),"")</f>
        <v/>
      </c>
    </row>
    <row r="136" spans="1:17" ht="29.25" x14ac:dyDescent="0.25">
      <c r="A136" s="240">
        <f>'סיכום לוועדה'!A162</f>
        <v>132</v>
      </c>
      <c r="B136" s="241">
        <f>'סיכום לוועדה'!E162</f>
        <v>20000182</v>
      </c>
      <c r="C136" s="241" t="str">
        <f>'סיכום לוועדה'!F162</f>
        <v>חיפה</v>
      </c>
      <c r="D136" s="241" t="str">
        <f>'סיכום לוועדה'!G162</f>
        <v>תיאטרון אלמג'ד</v>
      </c>
      <c r="E136" s="242" t="str">
        <f>'סיכום לוועדה'!H162</f>
        <v>תיאטרון</v>
      </c>
      <c r="F136" s="242"/>
      <c r="G136" s="242"/>
      <c r="H136" s="75"/>
      <c r="I136" s="243"/>
      <c r="J136" s="75"/>
      <c r="K136" s="77"/>
      <c r="L136" s="75"/>
      <c r="M136" s="78"/>
      <c r="N136" s="244"/>
      <c r="O136" s="79"/>
      <c r="P136" s="76" t="str">
        <f>IF(IFERROR(VLOOKUP(B136,'בקשות שאושרו'!$B$2:$I$466,1,0),"")="","",1)</f>
        <v/>
      </c>
      <c r="Q136" s="245" t="str">
        <f>IFERROR(VLOOKUP(B136,'בקשות שאושרו'!$B$2:$K$466,COLUMN('בקשות שאושרו'!$J$1)-COLUMN('בקשות שאושרו'!$B$1)+1,0),"")</f>
        <v/>
      </c>
    </row>
    <row r="137" spans="1:17" ht="29.25" x14ac:dyDescent="0.25">
      <c r="A137" s="240">
        <f>'סיכום לוועדה'!A163</f>
        <v>133</v>
      </c>
      <c r="B137" s="241">
        <f>'סיכום לוועדה'!E163</f>
        <v>20000231</v>
      </c>
      <c r="C137" s="241" t="str">
        <f>'סיכום לוועדה'!F163</f>
        <v>נצרת</v>
      </c>
      <c r="D137" s="241" t="str">
        <f>'סיכום לוועדה'!G163</f>
        <v>להקת מחול ביסאן</v>
      </c>
      <c r="E137" s="242" t="str">
        <f>'סיכום לוועדה'!H163</f>
        <v>מחול</v>
      </c>
      <c r="F137" s="242"/>
      <c r="G137" s="242"/>
      <c r="H137" s="75"/>
      <c r="I137" s="243"/>
      <c r="J137" s="75"/>
      <c r="K137" s="77"/>
      <c r="L137" s="75"/>
      <c r="M137" s="78"/>
      <c r="N137" s="244"/>
      <c r="O137" s="79"/>
      <c r="P137" s="76" t="str">
        <f>IF(IFERROR(VLOOKUP(B137,'בקשות שאושרו'!$B$2:$I$466,1,0),"")="","",1)</f>
        <v/>
      </c>
      <c r="Q137" s="245" t="str">
        <f>IFERROR(VLOOKUP(B137,'בקשות שאושרו'!$B$2:$K$466,COLUMN('בקשות שאושרו'!$J$1)-COLUMN('בקשות שאושרו'!$B$1)+1,0),"")</f>
        <v/>
      </c>
    </row>
    <row r="138" spans="1:17" ht="86.25" x14ac:dyDescent="0.25">
      <c r="A138" s="240">
        <f>'סיכום לוועדה'!A164</f>
        <v>134</v>
      </c>
      <c r="B138" s="241">
        <f>'סיכום לוועדה'!E164</f>
        <v>20000182</v>
      </c>
      <c r="C138" s="241" t="str">
        <f>'סיכום לוועדה'!F164</f>
        <v>חיפה</v>
      </c>
      <c r="D138" s="241" t="str">
        <f>'סיכום לוועדה'!G164</f>
        <v>התאטרון העברי - עמותה לטיפוח תרבות עברית</v>
      </c>
      <c r="E138" s="242" t="str">
        <f>'סיכום לוועדה'!H164</f>
        <v>תיאטרון</v>
      </c>
      <c r="F138" s="242"/>
      <c r="G138" s="242"/>
      <c r="H138" s="75"/>
      <c r="I138" s="243"/>
      <c r="J138" s="75"/>
      <c r="K138" s="77"/>
      <c r="L138" s="75"/>
      <c r="M138" s="78"/>
      <c r="N138" s="244"/>
      <c r="O138" s="79"/>
      <c r="P138" s="76" t="str">
        <f>IF(IFERROR(VLOOKUP(B138,'בקשות שאושרו'!$B$2:$I$466,1,0),"")="","",1)</f>
        <v/>
      </c>
      <c r="Q138" s="245" t="str">
        <f>IFERROR(VLOOKUP(B138,'בקשות שאושרו'!$B$2:$K$466,COLUMN('בקשות שאושרו'!$J$1)-COLUMN('בקשות שאושרו'!$B$1)+1,0),"")</f>
        <v/>
      </c>
    </row>
    <row r="139" spans="1:17" ht="29.25" x14ac:dyDescent="0.25">
      <c r="A139" s="240">
        <f>'סיכום לוועדה'!A165</f>
        <v>135</v>
      </c>
      <c r="B139" s="241">
        <f>'סיכום לוועדה'!E165</f>
        <v>20000201</v>
      </c>
      <c r="C139" s="241" t="str">
        <f>'סיכום לוועדה'!F165</f>
        <v>תל אביב -יפו</v>
      </c>
      <c r="D139" s="241" t="str">
        <f>'סיכום לוועדה'!G165</f>
        <v>עמותת רננה רז</v>
      </c>
      <c r="E139" s="242" t="str">
        <f>'סיכום לוועדה'!H165</f>
        <v>מחול</v>
      </c>
      <c r="F139" s="242"/>
      <c r="G139" s="242"/>
      <c r="H139" s="75"/>
      <c r="I139" s="243"/>
      <c r="J139" s="75"/>
      <c r="K139" s="77"/>
      <c r="L139" s="75"/>
      <c r="M139" s="78"/>
      <c r="N139" s="244"/>
      <c r="O139" s="79"/>
      <c r="P139" s="76" t="str">
        <f>IF(IFERROR(VLOOKUP(B139,'בקשות שאושרו'!$B$2:$I$466,1,0),"")="","",1)</f>
        <v/>
      </c>
      <c r="Q139" s="245" t="str">
        <f>IFERROR(VLOOKUP(B139,'בקשות שאושרו'!$B$2:$K$466,COLUMN('בקשות שאושרו'!$J$1)-COLUMN('בקשות שאושרו'!$B$1)+1,0),"")</f>
        <v/>
      </c>
    </row>
    <row r="140" spans="1:17" ht="29.25" x14ac:dyDescent="0.25">
      <c r="A140" s="240">
        <f>'סיכום לוועדה'!A166</f>
        <v>136</v>
      </c>
      <c r="B140" s="241">
        <f>'סיכום לוועדה'!E166</f>
        <v>20000159</v>
      </c>
      <c r="C140" s="241" t="str">
        <f>'סיכום לוועדה'!F166</f>
        <v>ירושלים</v>
      </c>
      <c r="D140" s="241" t="str">
        <f>'סיכום לוועדה'!G166</f>
        <v>בלט ירושלים</v>
      </c>
      <c r="E140" s="242" t="str">
        <f>'סיכום לוועדה'!H166</f>
        <v>מחול</v>
      </c>
      <c r="F140" s="242"/>
      <c r="G140" s="242"/>
      <c r="H140" s="75"/>
      <c r="I140" s="243"/>
      <c r="J140" s="75"/>
      <c r="K140" s="77"/>
      <c r="L140" s="75"/>
      <c r="M140" s="78"/>
      <c r="N140" s="244"/>
      <c r="O140" s="79"/>
      <c r="P140" s="76" t="str">
        <f>IF(IFERROR(VLOOKUP(B140,'בקשות שאושרו'!$B$2:$I$466,1,0),"")="","",1)</f>
        <v/>
      </c>
      <c r="Q140" s="245" t="str">
        <f>IFERROR(VLOOKUP(B140,'בקשות שאושרו'!$B$2:$K$466,COLUMN('בקשות שאושרו'!$J$1)-COLUMN('בקשות שאושרו'!$B$1)+1,0),"")</f>
        <v/>
      </c>
    </row>
    <row r="141" spans="1:17" ht="43.5" x14ac:dyDescent="0.25">
      <c r="A141" s="240">
        <f>'סיכום לוועדה'!A167</f>
        <v>137</v>
      </c>
      <c r="B141" s="241">
        <f>'סיכום לוועדה'!E167</f>
        <v>20000228</v>
      </c>
      <c r="C141" s="241" t="str">
        <f>'סיכום לוועדה'!F167</f>
        <v>לוד</v>
      </c>
      <c r="D141" s="241" t="str">
        <f>'סיכום לוועדה'!G167</f>
        <v>מכון הברמן למחקרי ספרות</v>
      </c>
      <c r="E141" s="242" t="str">
        <f>'סיכום לוועדה'!H167</f>
        <v>אחר</v>
      </c>
      <c r="F141" s="242"/>
      <c r="G141" s="242"/>
      <c r="H141" s="75"/>
      <c r="I141" s="243"/>
      <c r="J141" s="75"/>
      <c r="K141" s="77"/>
      <c r="L141" s="75"/>
      <c r="M141" s="78"/>
      <c r="N141" s="244"/>
      <c r="O141" s="79"/>
      <c r="P141" s="76" t="str">
        <f>IF(IFERROR(VLOOKUP(B141,'בקשות שאושרו'!$B$2:$I$466,1,0),"")="","",1)</f>
        <v/>
      </c>
      <c r="Q141" s="245" t="str">
        <f>IFERROR(VLOOKUP(B141,'בקשות שאושרו'!$B$2:$K$466,COLUMN('בקשות שאושרו'!$J$1)-COLUMN('בקשות שאושרו'!$B$1)+1,0),"")</f>
        <v/>
      </c>
    </row>
    <row r="142" spans="1:17" ht="57.75" x14ac:dyDescent="0.25">
      <c r="A142" s="240">
        <f>'סיכום לוועדה'!A168</f>
        <v>138</v>
      </c>
      <c r="B142" s="241">
        <f>'סיכום לוועדה'!E168</f>
        <v>20000233</v>
      </c>
      <c r="C142" s="241" t="str">
        <f>'סיכום לוועדה'!F168</f>
        <v>נתניה</v>
      </c>
      <c r="D142" s="241" t="str">
        <f>'סיכום לוועדה'!G168</f>
        <v>תזמורת נתניה הקאמרית הקיבוצית</v>
      </c>
      <c r="E142" s="242" t="str">
        <f>'סיכום לוועדה'!H168</f>
        <v>מוסיקה-גופים כליים</v>
      </c>
      <c r="F142" s="242"/>
      <c r="G142" s="242"/>
      <c r="H142" s="75"/>
      <c r="I142" s="243"/>
      <c r="J142" s="75"/>
      <c r="K142" s="77"/>
      <c r="L142" s="75"/>
      <c r="M142" s="78"/>
      <c r="N142" s="244"/>
      <c r="O142" s="79"/>
      <c r="P142" s="76" t="str">
        <f>IF(IFERROR(VLOOKUP(B142,'בקשות שאושרו'!$B$2:$I$466,1,0),"")="","",1)</f>
        <v/>
      </c>
      <c r="Q142" s="245" t="str">
        <f>IFERROR(VLOOKUP(B142,'בקשות שאושרו'!$B$2:$K$466,COLUMN('בקשות שאושרו'!$J$1)-COLUMN('בקשות שאושרו'!$B$1)+1,0),"")</f>
        <v/>
      </c>
    </row>
    <row r="143" spans="1:17" ht="57.75" x14ac:dyDescent="0.25">
      <c r="A143" s="240">
        <f>'סיכום לוועדה'!A169</f>
        <v>139</v>
      </c>
      <c r="B143" s="241">
        <f>'סיכום לוועדה'!E169</f>
        <v>20000201</v>
      </c>
      <c r="C143" s="241" t="str">
        <f>'סיכום לוועדה'!F169</f>
        <v>תל אביב -יפו</v>
      </c>
      <c r="D143" s="241" t="str">
        <f>'סיכום לוועדה'!G169</f>
        <v>עמותה למחול ואמניות ניב שינפלד</v>
      </c>
      <c r="E143" s="242" t="str">
        <f>'סיכום לוועדה'!H169</f>
        <v>מחול</v>
      </c>
      <c r="F143" s="242"/>
      <c r="G143" s="242"/>
      <c r="H143" s="75"/>
      <c r="I143" s="243"/>
      <c r="J143" s="75"/>
      <c r="K143" s="77"/>
      <c r="L143" s="75"/>
      <c r="M143" s="78"/>
      <c r="N143" s="244"/>
      <c r="O143" s="79"/>
      <c r="P143" s="76" t="str">
        <f>IF(IFERROR(VLOOKUP(B143,'בקשות שאושרו'!$B$2:$I$466,1,0),"")="","",1)</f>
        <v/>
      </c>
      <c r="Q143" s="245" t="str">
        <f>IFERROR(VLOOKUP(B143,'בקשות שאושרו'!$B$2:$K$466,COLUMN('בקשות שאושרו'!$J$1)-COLUMN('בקשות שאושרו'!$B$1)+1,0),"")</f>
        <v/>
      </c>
    </row>
    <row r="144" spans="1:17" ht="57.75" x14ac:dyDescent="0.25">
      <c r="A144" s="240">
        <f>'סיכום לוועדה'!A170</f>
        <v>140</v>
      </c>
      <c r="B144" s="241">
        <f>'סיכום לוועדה'!E170</f>
        <v>20000201</v>
      </c>
      <c r="C144" s="241" t="str">
        <f>'סיכום לוועדה'!F170</f>
        <v>תל אביב -יפו</v>
      </c>
      <c r="D144" s="241" t="str">
        <f>'סיכום לוועדה'!G170</f>
        <v>תאטרון מחול יוסי ברג ועודד גרף</v>
      </c>
      <c r="E144" s="242" t="str">
        <f>'סיכום לוועדה'!H170</f>
        <v>אחר</v>
      </c>
      <c r="F144" s="242"/>
      <c r="G144" s="242"/>
      <c r="H144" s="75"/>
      <c r="I144" s="243"/>
      <c r="J144" s="75"/>
      <c r="K144" s="77"/>
      <c r="L144" s="75"/>
      <c r="M144" s="78"/>
      <c r="N144" s="244"/>
      <c r="O144" s="79"/>
      <c r="P144" s="76" t="str">
        <f>IF(IFERROR(VLOOKUP(B144,'בקשות שאושרו'!$B$2:$I$466,1,0),"")="","",1)</f>
        <v/>
      </c>
      <c r="Q144" s="245" t="str">
        <f>IFERROR(VLOOKUP(B144,'בקשות שאושרו'!$B$2:$K$466,COLUMN('בקשות שאושרו'!$J$1)-COLUMN('בקשות שאושרו'!$B$1)+1,0),"")</f>
        <v/>
      </c>
    </row>
    <row r="145" spans="1:17" ht="57.75" x14ac:dyDescent="0.25">
      <c r="A145" s="240">
        <f>'סיכום לוועדה'!A171</f>
        <v>141</v>
      </c>
      <c r="B145" s="241">
        <f>'סיכום לוועדה'!E171</f>
        <v>20000071</v>
      </c>
      <c r="C145" s="241" t="str">
        <f>'סיכום לוועדה'!F171</f>
        <v>ריינה</v>
      </c>
      <c r="D145" s="241" t="str">
        <f>'סיכום לוועדה'!G171</f>
        <v>מרכז על-קלעה לאומנויות הבמה</v>
      </c>
      <c r="E145" s="242" t="str">
        <f>'סיכום לוועדה'!H171</f>
        <v>אחר</v>
      </c>
      <c r="F145" s="242"/>
      <c r="G145" s="242"/>
      <c r="H145" s="75"/>
      <c r="I145" s="243"/>
      <c r="J145" s="75"/>
      <c r="K145" s="77"/>
      <c r="L145" s="75"/>
      <c r="M145" s="78"/>
      <c r="N145" s="244"/>
      <c r="O145" s="79"/>
      <c r="P145" s="76" t="str">
        <f>IF(IFERROR(VLOOKUP(B145,'בקשות שאושרו'!$B$2:$I$466,1,0),"")="","",1)</f>
        <v/>
      </c>
      <c r="Q145" s="245" t="str">
        <f>IFERROR(VLOOKUP(B145,'בקשות שאושרו'!$B$2:$K$466,COLUMN('בקשות שאושרו'!$J$1)-COLUMN('בקשות שאושרו'!$B$1)+1,0),"")</f>
        <v/>
      </c>
    </row>
    <row r="146" spans="1:17" ht="43.5" x14ac:dyDescent="0.25">
      <c r="A146" s="240">
        <f>'סיכום לוועדה'!A172</f>
        <v>142</v>
      </c>
      <c r="B146" s="241">
        <f>'סיכום לוועדה'!E172</f>
        <v>20000201</v>
      </c>
      <c r="C146" s="241" t="str">
        <f>'סיכום לוועדה'!F172</f>
        <v>תל אביב -יפו</v>
      </c>
      <c r="D146" s="241" t="str">
        <f>'סיכום לוועדה'!G172</f>
        <v>פלטפורמא - תיאטרון אקטיביסטי</v>
      </c>
      <c r="E146" s="242" t="str">
        <f>'סיכום לוועדה'!H172</f>
        <v>תיאטרון</v>
      </c>
      <c r="F146" s="242"/>
      <c r="G146" s="242"/>
      <c r="H146" s="75"/>
      <c r="I146" s="243"/>
      <c r="J146" s="75"/>
      <c r="K146" s="77"/>
      <c r="L146" s="75"/>
      <c r="M146" s="78"/>
      <c r="N146" s="244"/>
      <c r="O146" s="79"/>
      <c r="P146" s="76" t="str">
        <f>IF(IFERROR(VLOOKUP(B146,'בקשות שאושרו'!$B$2:$I$466,1,0),"")="","",1)</f>
        <v/>
      </c>
      <c r="Q146" s="245" t="str">
        <f>IFERROR(VLOOKUP(B146,'בקשות שאושרו'!$B$2:$K$466,COLUMN('בקשות שאושרו'!$J$1)-COLUMN('בקשות שאושרו'!$B$1)+1,0),"")</f>
        <v/>
      </c>
    </row>
    <row r="147" spans="1:17" x14ac:dyDescent="0.25">
      <c r="A147" s="240">
        <f>'סיכום לוועדה'!A173</f>
        <v>143</v>
      </c>
      <c r="B147" s="241">
        <f>'סיכום לוועדה'!E173</f>
        <v>20000201</v>
      </c>
      <c r="C147" s="241" t="str">
        <f>'סיכום לוועדה'!F173</f>
        <v>תל אביב -יפו</v>
      </c>
      <c r="D147" s="241" t="str">
        <f>'סיכום לוועדה'!G173</f>
        <v>גליא</v>
      </c>
      <c r="E147" s="242" t="str">
        <f>'סיכום לוועדה'!H173</f>
        <v>מוסיקה-גופים כליים</v>
      </c>
      <c r="F147" s="242"/>
      <c r="G147" s="242"/>
      <c r="H147" s="75"/>
      <c r="I147" s="243"/>
      <c r="J147" s="75"/>
      <c r="K147" s="77"/>
      <c r="L147" s="75"/>
      <c r="M147" s="78"/>
      <c r="N147" s="244"/>
      <c r="O147" s="79"/>
      <c r="P147" s="76" t="str">
        <f>IF(IFERROR(VLOOKUP(B147,'בקשות שאושרו'!$B$2:$I$466,1,0),"")="","",1)</f>
        <v/>
      </c>
      <c r="Q147" s="245" t="str">
        <f>IFERROR(VLOOKUP(B147,'בקשות שאושרו'!$B$2:$K$466,COLUMN('בקשות שאושרו'!$J$1)-COLUMN('בקשות שאושרו'!$B$1)+1,0),"")</f>
        <v/>
      </c>
    </row>
    <row r="148" spans="1:17" ht="29.25" x14ac:dyDescent="0.25">
      <c r="A148" s="240">
        <f>'סיכום לוועדה'!A174</f>
        <v>144</v>
      </c>
      <c r="B148" s="241">
        <f>'סיכום לוועדה'!E174</f>
        <v>20000201</v>
      </c>
      <c r="C148" s="241" t="str">
        <f>'סיכום לוועדה'!F174</f>
        <v>תל אביב -יפו</v>
      </c>
      <c r="D148" s="241" t="str">
        <f>'סיכום לוועדה'!G174</f>
        <v>אלמינא - בית ליוצרים</v>
      </c>
      <c r="E148" s="242" t="str">
        <f>'סיכום לוועדה'!H174</f>
        <v>תרבות ערבית</v>
      </c>
      <c r="F148" s="242"/>
      <c r="G148" s="242"/>
      <c r="H148" s="75"/>
      <c r="I148" s="243"/>
      <c r="J148" s="75"/>
      <c r="K148" s="77"/>
      <c r="L148" s="75"/>
      <c r="M148" s="78"/>
      <c r="N148" s="244"/>
      <c r="O148" s="79"/>
      <c r="P148" s="76" t="str">
        <f>IF(IFERROR(VLOOKUP(B148,'בקשות שאושרו'!$B$2:$I$466,1,0),"")="","",1)</f>
        <v/>
      </c>
      <c r="Q148" s="245" t="str">
        <f>IFERROR(VLOOKUP(B148,'בקשות שאושרו'!$B$2:$K$466,COLUMN('בקשות שאושרו'!$J$1)-COLUMN('בקשות שאושרו'!$B$1)+1,0),"")</f>
        <v/>
      </c>
    </row>
    <row r="149" spans="1:17" ht="43.5" x14ac:dyDescent="0.25">
      <c r="A149" s="240">
        <f>'סיכום לוועדה'!A175</f>
        <v>145</v>
      </c>
      <c r="B149" s="241">
        <f>'סיכום לוועדה'!E175</f>
        <v>20000159</v>
      </c>
      <c r="C149" s="241" t="str">
        <f>'סיכום לוועדה'!F175</f>
        <v>ירושלים</v>
      </c>
      <c r="D149" s="241" t="str">
        <f>'סיכום לוועדה'!G175</f>
        <v>מוזיאון יהדות איטליה</v>
      </c>
      <c r="E149" s="242" t="str">
        <f>'סיכום לוועדה'!H175</f>
        <v>מוזיאונים</v>
      </c>
      <c r="F149" s="242"/>
      <c r="G149" s="242"/>
      <c r="H149" s="75"/>
      <c r="I149" s="243"/>
      <c r="J149" s="75"/>
      <c r="K149" s="77"/>
      <c r="L149" s="75"/>
      <c r="M149" s="78"/>
      <c r="N149" s="244"/>
      <c r="O149" s="79"/>
      <c r="P149" s="76" t="str">
        <f>IF(IFERROR(VLOOKUP(B149,'בקשות שאושרו'!$B$2:$I$466,1,0),"")="","",1)</f>
        <v/>
      </c>
      <c r="Q149" s="245" t="str">
        <f>IFERROR(VLOOKUP(B149,'בקשות שאושרו'!$B$2:$K$466,COLUMN('בקשות שאושרו'!$J$1)-COLUMN('בקשות שאושרו'!$B$1)+1,0),"")</f>
        <v/>
      </c>
    </row>
    <row r="150" spans="1:17" ht="29.25" x14ac:dyDescent="0.25">
      <c r="A150" s="240">
        <f>'סיכום לוועדה'!A176</f>
        <v>146</v>
      </c>
      <c r="B150" s="241">
        <f>'סיכום לוועדה'!E176</f>
        <v>20000201</v>
      </c>
      <c r="C150" s="241" t="str">
        <f>'סיכום לוועדה'!F176</f>
        <v>תל אביב -יפו</v>
      </c>
      <c r="D150" s="241" t="str">
        <f>'סיכום לוועדה'!G176</f>
        <v>תאטרון השחר</v>
      </c>
      <c r="E150" s="242" t="str">
        <f>'סיכום לוועדה'!H176</f>
        <v>תיאטרון</v>
      </c>
      <c r="F150" s="242"/>
      <c r="G150" s="242"/>
      <c r="H150" s="75"/>
      <c r="I150" s="243"/>
      <c r="J150" s="75"/>
      <c r="K150" s="77"/>
      <c r="L150" s="75"/>
      <c r="M150" s="78"/>
      <c r="N150" s="244"/>
      <c r="O150" s="79"/>
      <c r="P150" s="76" t="str">
        <f>IF(IFERROR(VLOOKUP(B150,'בקשות שאושרו'!$B$2:$I$466,1,0),"")="","",1)</f>
        <v/>
      </c>
      <c r="Q150" s="245" t="str">
        <f>IFERROR(VLOOKUP(B150,'בקשות שאושרו'!$B$2:$K$466,COLUMN('בקשות שאושרו'!$J$1)-COLUMN('בקשות שאושרו'!$B$1)+1,0),"")</f>
        <v/>
      </c>
    </row>
    <row r="151" spans="1:17" ht="29.25" x14ac:dyDescent="0.25">
      <c r="A151" s="240">
        <f>'סיכום לוועדה'!A177</f>
        <v>147</v>
      </c>
      <c r="B151" s="241">
        <f>'סיכום לוועדה'!E177</f>
        <v>20000159</v>
      </c>
      <c r="C151" s="241" t="str">
        <f>'סיכום לוועדה'!F177</f>
        <v>ירושלים</v>
      </c>
      <c r="D151" s="241" t="str">
        <f>'סיכום לוועדה'!G177</f>
        <v>פלמנרו נטורל</v>
      </c>
      <c r="E151" s="242" t="str">
        <f>'סיכום לוועדה'!H177</f>
        <v>מחול</v>
      </c>
      <c r="F151" s="242"/>
      <c r="G151" s="242"/>
      <c r="H151" s="75"/>
      <c r="I151" s="243"/>
      <c r="J151" s="75"/>
      <c r="K151" s="77"/>
      <c r="L151" s="75"/>
      <c r="M151" s="78"/>
      <c r="N151" s="244"/>
      <c r="O151" s="79"/>
      <c r="P151" s="76" t="str">
        <f>IF(IFERROR(VLOOKUP(B151,'בקשות שאושרו'!$B$2:$I$466,1,0),"")="","",1)</f>
        <v/>
      </c>
      <c r="Q151" s="245" t="str">
        <f>IFERROR(VLOOKUP(B151,'בקשות שאושרו'!$B$2:$K$466,COLUMN('בקשות שאושרו'!$J$1)-COLUMN('בקשות שאושרו'!$B$1)+1,0),"")</f>
        <v/>
      </c>
    </row>
    <row r="152" spans="1:17" ht="29.25" x14ac:dyDescent="0.25">
      <c r="A152" s="240">
        <f>'סיכום לוועדה'!A178</f>
        <v>148</v>
      </c>
      <c r="B152" s="241">
        <f>'סיכום לוועדה'!E178</f>
        <v>20000041</v>
      </c>
      <c r="C152" s="241" t="str">
        <f>'סיכום לוועדה'!F178</f>
        <v>דייר אל-אסד</v>
      </c>
      <c r="D152" s="241" t="str">
        <f>'סיכום לוועדה'!G178</f>
        <v>אג'יאל דיר אל אסד</v>
      </c>
      <c r="E152" s="242" t="str">
        <f>'סיכום לוועדה'!H178</f>
        <v>אחר</v>
      </c>
      <c r="F152" s="242"/>
      <c r="G152" s="242"/>
      <c r="H152" s="75"/>
      <c r="I152" s="243"/>
      <c r="J152" s="75"/>
      <c r="K152" s="77"/>
      <c r="L152" s="75"/>
      <c r="M152" s="78"/>
      <c r="N152" s="244"/>
      <c r="O152" s="79"/>
      <c r="P152" s="76" t="str">
        <f>IF(IFERROR(VLOOKUP(B152,'בקשות שאושרו'!$B$2:$I$466,1,0),"")="","",1)</f>
        <v/>
      </c>
      <c r="Q152" s="245" t="str">
        <f>IFERROR(VLOOKUP(B152,'בקשות שאושרו'!$B$2:$K$466,COLUMN('בקשות שאושרו'!$J$1)-COLUMN('בקשות שאושרו'!$B$1)+1,0),"")</f>
        <v/>
      </c>
    </row>
    <row r="153" spans="1:17" ht="29.25" x14ac:dyDescent="0.25">
      <c r="A153" s="240">
        <f>'סיכום לוועדה'!A179</f>
        <v>149</v>
      </c>
      <c r="B153" s="241">
        <f>'סיכום לוועדה'!E179</f>
        <v>20000041</v>
      </c>
      <c r="C153" s="241" t="str">
        <f>'סיכום לוועדה'!F179</f>
        <v>דייר אל-אסד</v>
      </c>
      <c r="D153" s="241" t="str">
        <f>'סיכום לוועדה'!G179</f>
        <v>אג'יאל דיר אל אסד</v>
      </c>
      <c r="E153" s="242" t="str">
        <f>'סיכום לוועדה'!H179</f>
        <v>קבוצות מוסיקה</v>
      </c>
      <c r="F153" s="242"/>
      <c r="G153" s="242"/>
      <c r="H153" s="75"/>
      <c r="I153" s="243"/>
      <c r="J153" s="75"/>
      <c r="K153" s="77"/>
      <c r="L153" s="75"/>
      <c r="M153" s="78"/>
      <c r="N153" s="244"/>
      <c r="O153" s="79"/>
      <c r="P153" s="76" t="str">
        <f>IF(IFERROR(VLOOKUP(B153,'בקשות שאושרו'!$B$2:$I$466,1,0),"")="","",1)</f>
        <v/>
      </c>
      <c r="Q153" s="245" t="str">
        <f>IFERROR(VLOOKUP(B153,'בקשות שאושרו'!$B$2:$K$466,COLUMN('בקשות שאושרו'!$J$1)-COLUMN('בקשות שאושרו'!$B$1)+1,0),"")</f>
        <v/>
      </c>
    </row>
    <row r="154" spans="1:17" ht="43.5" x14ac:dyDescent="0.25">
      <c r="A154" s="240">
        <f>'סיכום לוועדה'!A180</f>
        <v>150</v>
      </c>
      <c r="B154" s="241">
        <f>'סיכום לוועדה'!E180</f>
        <v>20000231</v>
      </c>
      <c r="C154" s="241" t="str">
        <f>'סיכום לוועדה'!F180</f>
        <v>נצרת</v>
      </c>
      <c r="D154" s="241" t="str">
        <f>'סיכום לוועדה'!G180</f>
        <v>אלמדינה לתרבות ואומנות</v>
      </c>
      <c r="E154" s="242" t="str">
        <f>'סיכום לוועדה'!H180</f>
        <v>אחר</v>
      </c>
      <c r="F154" s="242"/>
      <c r="G154" s="242"/>
      <c r="H154" s="75"/>
      <c r="I154" s="243"/>
      <c r="J154" s="75"/>
      <c r="K154" s="77"/>
      <c r="L154" s="75"/>
      <c r="M154" s="78"/>
      <c r="N154" s="244"/>
      <c r="O154" s="79"/>
      <c r="P154" s="76" t="str">
        <f>IF(IFERROR(VLOOKUP(B154,'בקשות שאושרו'!$B$2:$I$466,1,0),"")="","",1)</f>
        <v/>
      </c>
      <c r="Q154" s="245" t="str">
        <f>IFERROR(VLOOKUP(B154,'בקשות שאושרו'!$B$2:$K$466,COLUMN('בקשות שאושרו'!$J$1)-COLUMN('בקשות שאושרו'!$B$1)+1,0),"")</f>
        <v/>
      </c>
    </row>
    <row r="155" spans="1:17" ht="43.5" x14ac:dyDescent="0.25">
      <c r="A155" s="240">
        <f>'סיכום לוועדה'!A181</f>
        <v>151</v>
      </c>
      <c r="B155" s="241">
        <f>'סיכום לוועדה'!E181</f>
        <v>20000189</v>
      </c>
      <c r="C155" s="241" t="str">
        <f>'סיכום לוועדה'!F181</f>
        <v>מסעדה</v>
      </c>
      <c r="D155" s="241" t="str">
        <f>'סיכום לוועדה'!G181</f>
        <v>גולן הייטז ארטיסטיק פרודקשין</v>
      </c>
      <c r="E155" s="242" t="str">
        <f>'סיכום לוועדה'!H181</f>
        <v>תיאטרון</v>
      </c>
      <c r="F155" s="242"/>
      <c r="G155" s="242"/>
      <c r="H155" s="75"/>
      <c r="I155" s="243"/>
      <c r="J155" s="75"/>
      <c r="K155" s="77"/>
      <c r="L155" s="75"/>
      <c r="M155" s="78"/>
      <c r="N155" s="244"/>
      <c r="O155" s="79"/>
      <c r="P155" s="76" t="str">
        <f>IF(IFERROR(VLOOKUP(B155,'בקשות שאושרו'!$B$2:$I$466,1,0),"")="","",1)</f>
        <v/>
      </c>
      <c r="Q155" s="245" t="str">
        <f>IFERROR(VLOOKUP(B155,'בקשות שאושרו'!$B$2:$K$466,COLUMN('בקשות שאושרו'!$J$1)-COLUMN('בקשות שאושרו'!$B$1)+1,0),"")</f>
        <v/>
      </c>
    </row>
    <row r="156" spans="1:17" ht="72" x14ac:dyDescent="0.25">
      <c r="A156" s="240">
        <f>'סיכום לוועדה'!A182</f>
        <v>152</v>
      </c>
      <c r="B156" s="241">
        <f>'סיכום לוועדה'!E182</f>
        <v>20000055</v>
      </c>
      <c r="C156" s="241" t="str">
        <f>'סיכום לוועדה'!F182</f>
        <v>מג'ד אל-כרום</v>
      </c>
      <c r="D156" s="241" t="str">
        <f>'סיכום לוועדה'!G182</f>
        <v>כנארי עמותה לקידום המוסיקה והשירה</v>
      </c>
      <c r="E156" s="242" t="str">
        <f>'סיכום לוועדה'!H182</f>
        <v>אחר</v>
      </c>
      <c r="F156" s="242"/>
      <c r="G156" s="242"/>
      <c r="H156" s="75"/>
      <c r="I156" s="243"/>
      <c r="J156" s="75"/>
      <c r="K156" s="77"/>
      <c r="L156" s="75"/>
      <c r="M156" s="78"/>
      <c r="N156" s="244"/>
      <c r="O156" s="79"/>
      <c r="P156" s="76" t="str">
        <f>IF(IFERROR(VLOOKUP(B156,'בקשות שאושרו'!$B$2:$I$466,1,0),"")="","",1)</f>
        <v/>
      </c>
      <c r="Q156" s="245" t="str">
        <f>IFERROR(VLOOKUP(B156,'בקשות שאושרו'!$B$2:$K$466,COLUMN('בקשות שאושרו'!$J$1)-COLUMN('בקשות שאושרו'!$B$1)+1,0),"")</f>
        <v/>
      </c>
    </row>
    <row r="157" spans="1:17" ht="72" x14ac:dyDescent="0.25">
      <c r="A157" s="240">
        <f>'סיכום לוועדה'!A183</f>
        <v>153</v>
      </c>
      <c r="B157" s="241">
        <f>'סיכום לוועדה'!E183</f>
        <v>20000185</v>
      </c>
      <c r="C157" s="241" t="str">
        <f>'סיכום לוועדה'!F183</f>
        <v>עמק חפר</v>
      </c>
      <c r="D157" s="241" t="str">
        <f>'סיכום לוועדה'!G183</f>
        <v>עמותת מקהלות מורן והבית לשירה בישרא</v>
      </c>
      <c r="E157" s="242" t="str">
        <f>'סיכום לוועדה'!H183</f>
        <v>מקהלות</v>
      </c>
      <c r="F157" s="242"/>
      <c r="G157" s="242"/>
      <c r="H157" s="75"/>
      <c r="I157" s="243"/>
      <c r="J157" s="75"/>
      <c r="K157" s="77"/>
      <c r="L157" s="75"/>
      <c r="M157" s="78"/>
      <c r="N157" s="244"/>
      <c r="O157" s="79"/>
      <c r="P157" s="76" t="str">
        <f>IF(IFERROR(VLOOKUP(B157,'בקשות שאושרו'!$B$2:$I$466,1,0),"")="","",1)</f>
        <v/>
      </c>
      <c r="Q157" s="245" t="str">
        <f>IFERROR(VLOOKUP(B157,'בקשות שאושרו'!$B$2:$K$466,COLUMN('בקשות שאושרו'!$J$1)-COLUMN('בקשות שאושרו'!$B$1)+1,0),"")</f>
        <v/>
      </c>
    </row>
    <row r="158" spans="1:17" ht="43.5" x14ac:dyDescent="0.25">
      <c r="A158" s="240">
        <f>'סיכום לוועדה'!A184</f>
        <v>154</v>
      </c>
      <c r="B158" s="241">
        <f>'סיכום לוועדה'!E184</f>
        <v>20000095</v>
      </c>
      <c r="C158" s="241" t="str">
        <f>'סיכום לוועדה'!F184</f>
        <v>מטה יהודה</v>
      </c>
      <c r="D158" s="241" t="str">
        <f>'סיכום לוועדה'!G184</f>
        <v>סינמטק ראש פינה (ע"ר)</v>
      </c>
      <c r="E158" s="242" t="str">
        <f>'סיכום לוועדה'!H184</f>
        <v>סינמטקים ופסטיבלים</v>
      </c>
      <c r="F158" s="242"/>
      <c r="G158" s="242"/>
      <c r="H158" s="75"/>
      <c r="I158" s="243"/>
      <c r="J158" s="75"/>
      <c r="K158" s="77"/>
      <c r="L158" s="75"/>
      <c r="M158" s="78"/>
      <c r="N158" s="244"/>
      <c r="O158" s="79"/>
      <c r="P158" s="76" t="str">
        <f>IF(IFERROR(VLOOKUP(B158,'בקשות שאושרו'!$B$2:$I$466,1,0),"")="","",1)</f>
        <v/>
      </c>
      <c r="Q158" s="245" t="str">
        <f>IFERROR(VLOOKUP(B158,'בקשות שאושרו'!$B$2:$K$466,COLUMN('בקשות שאושרו'!$J$1)-COLUMN('בקשות שאושרו'!$B$1)+1,0),"")</f>
        <v/>
      </c>
    </row>
    <row r="159" spans="1:17" ht="57.75" x14ac:dyDescent="0.25">
      <c r="A159" s="240">
        <f>'סיכום לוועדה'!A185</f>
        <v>155</v>
      </c>
      <c r="B159" s="241">
        <f>'סיכום לוועדה'!E185</f>
        <v>20000139</v>
      </c>
      <c r="C159" s="241" t="str">
        <f>'סיכום לוועדה'!F185</f>
        <v>מטה אשר</v>
      </c>
      <c r="D159" s="241" t="str">
        <f>'סיכום לוועדה'!G185</f>
        <v>להקת המחול הקיבוצית (ע"ר)</v>
      </c>
      <c r="E159" s="242" t="str">
        <f>'סיכום לוועדה'!H185</f>
        <v>מחול</v>
      </c>
      <c r="F159" s="242"/>
      <c r="G159" s="242"/>
      <c r="H159" s="75"/>
      <c r="I159" s="243"/>
      <c r="J159" s="75"/>
      <c r="K159" s="77"/>
      <c r="L159" s="75"/>
      <c r="M159" s="78"/>
      <c r="N159" s="244"/>
      <c r="O159" s="79"/>
      <c r="P159" s="76" t="str">
        <f>IF(IFERROR(VLOOKUP(B159,'בקשות שאושרו'!$B$2:$I$466,1,0),"")="","",1)</f>
        <v/>
      </c>
      <c r="Q159" s="245" t="str">
        <f>IFERROR(VLOOKUP(B159,'בקשות שאושרו'!$B$2:$K$466,COLUMN('בקשות שאושרו'!$J$1)-COLUMN('בקשות שאושרו'!$B$1)+1,0),"")</f>
        <v/>
      </c>
    </row>
    <row r="160" spans="1:17" ht="29.25" x14ac:dyDescent="0.25">
      <c r="A160" s="240">
        <f>'סיכום לוועדה'!A186</f>
        <v>156</v>
      </c>
      <c r="B160" s="241">
        <f>'סיכום לוועדה'!E186</f>
        <v>20000159</v>
      </c>
      <c r="C160" s="241" t="str">
        <f>'סיכום לוועדה'!F186</f>
        <v>ירושלים</v>
      </c>
      <c r="D160" s="241" t="str">
        <f>'סיכום לוועדה'!G186</f>
        <v>סדנאות האמנים</v>
      </c>
      <c r="E160" s="242" t="str">
        <f>'סיכום לוועדה'!H186</f>
        <v>אחר</v>
      </c>
      <c r="F160" s="242"/>
      <c r="G160" s="242"/>
      <c r="H160" s="75"/>
      <c r="I160" s="243"/>
      <c r="J160" s="75"/>
      <c r="K160" s="77"/>
      <c r="L160" s="75"/>
      <c r="M160" s="78"/>
      <c r="N160" s="244"/>
      <c r="O160" s="79"/>
      <c r="P160" s="76" t="str">
        <f>IF(IFERROR(VLOOKUP(B160,'בקשות שאושרו'!$B$2:$I$466,1,0),"")="","",1)</f>
        <v/>
      </c>
      <c r="Q160" s="245" t="str">
        <f>IFERROR(VLOOKUP(B160,'בקשות שאושרו'!$B$2:$K$466,COLUMN('בקשות שאושרו'!$J$1)-COLUMN('בקשות שאושרו'!$B$1)+1,0),"")</f>
        <v/>
      </c>
    </row>
    <row r="161" spans="1:17" ht="57.75" x14ac:dyDescent="0.25">
      <c r="A161" s="240">
        <f>'סיכום לוועדה'!A187</f>
        <v>157</v>
      </c>
      <c r="B161" s="241">
        <f>'סיכום לוועדה'!E187</f>
        <v>20000122</v>
      </c>
      <c r="C161" s="241" t="str">
        <f>'סיכום לוועדה'!F187</f>
        <v>אלעד</v>
      </c>
      <c r="D161" s="241" t="str">
        <f>'סיכום לוועדה'!G187</f>
        <v>ארגון אמנים משמחי לב (ע"ר)</v>
      </c>
      <c r="E161" s="242" t="str">
        <f>'סיכום לוועדה'!H187</f>
        <v>תיאטרון</v>
      </c>
      <c r="F161" s="242"/>
      <c r="G161" s="242"/>
      <c r="H161" s="75"/>
      <c r="I161" s="243"/>
      <c r="J161" s="75"/>
      <c r="K161" s="77"/>
      <c r="L161" s="75"/>
      <c r="M161" s="78"/>
      <c r="N161" s="244"/>
      <c r="O161" s="79"/>
      <c r="P161" s="76" t="str">
        <f>IF(IFERROR(VLOOKUP(B161,'בקשות שאושרו'!$B$2:$I$466,1,0),"")="","",1)</f>
        <v/>
      </c>
      <c r="Q161" s="245" t="str">
        <f>IFERROR(VLOOKUP(B161,'בקשות שאושרו'!$B$2:$K$466,COLUMN('בקשות שאושרו'!$J$1)-COLUMN('בקשות שאושרו'!$B$1)+1,0),"")</f>
        <v/>
      </c>
    </row>
    <row r="162" spans="1:17" ht="57.75" x14ac:dyDescent="0.25">
      <c r="A162" s="240">
        <f>'סיכום לוועדה'!A188</f>
        <v>158</v>
      </c>
      <c r="B162" s="241">
        <f>'סיכום לוועדה'!E188</f>
        <v>20000254</v>
      </c>
      <c r="C162" s="241" t="str">
        <f>'סיכום לוועדה'!F188</f>
        <v>באר שבע</v>
      </c>
      <c r="D162" s="241" t="str">
        <f>'סיכום לוועדה'!G188</f>
        <v>תיאטרון הפרינג' באר שבע (ע"ר)</v>
      </c>
      <c r="E162" s="242" t="str">
        <f>'סיכום לוועדה'!H188</f>
        <v>אחר</v>
      </c>
      <c r="F162" s="242"/>
      <c r="G162" s="242"/>
      <c r="H162" s="75"/>
      <c r="I162" s="243"/>
      <c r="J162" s="75"/>
      <c r="K162" s="77"/>
      <c r="L162" s="75"/>
      <c r="M162" s="78"/>
      <c r="N162" s="244"/>
      <c r="O162" s="79"/>
      <c r="P162" s="76" t="str">
        <f>IF(IFERROR(VLOOKUP(B162,'בקשות שאושרו'!$B$2:$I$466,1,0),"")="","",1)</f>
        <v/>
      </c>
      <c r="Q162" s="245" t="str">
        <f>IFERROR(VLOOKUP(B162,'בקשות שאושרו'!$B$2:$K$466,COLUMN('בקשות שאושרו'!$J$1)-COLUMN('בקשות שאושרו'!$B$1)+1,0),"")</f>
        <v/>
      </c>
    </row>
    <row r="163" spans="1:17" ht="57.75" x14ac:dyDescent="0.25">
      <c r="A163" s="240">
        <f>'סיכום לוועדה'!A189</f>
        <v>159</v>
      </c>
      <c r="B163" s="241">
        <f>'סיכום לוועדה'!E189</f>
        <v>20000254</v>
      </c>
      <c r="C163" s="241" t="str">
        <f>'סיכום לוועדה'!F189</f>
        <v>באר שבע</v>
      </c>
      <c r="D163" s="241" t="str">
        <f>'סיכום לוועדה'!G189</f>
        <v>תיאטרון הפרינג' באר שבע (ע"ר)</v>
      </c>
      <c r="E163" s="242" t="str">
        <f>'סיכום לוועדה'!H189</f>
        <v>אחר</v>
      </c>
      <c r="F163" s="242"/>
      <c r="G163" s="242"/>
      <c r="H163" s="75"/>
      <c r="I163" s="243"/>
      <c r="J163" s="75"/>
      <c r="K163" s="77"/>
      <c r="L163" s="75"/>
      <c r="M163" s="78"/>
      <c r="N163" s="244"/>
      <c r="O163" s="79"/>
      <c r="P163" s="76" t="str">
        <f>IF(IFERROR(VLOOKUP(B163,'בקשות שאושרו'!$B$2:$I$466,1,0),"")="","",1)</f>
        <v/>
      </c>
      <c r="Q163" s="245" t="str">
        <f>IFERROR(VLOOKUP(B163,'בקשות שאושרו'!$B$2:$K$466,COLUMN('בקשות שאושרו'!$J$1)-COLUMN('בקשות שאושרו'!$B$1)+1,0),"")</f>
        <v/>
      </c>
    </row>
    <row r="164" spans="1:17" ht="57.75" x14ac:dyDescent="0.25">
      <c r="A164" s="240">
        <f>'סיכום לוועדה'!A190</f>
        <v>160</v>
      </c>
      <c r="B164" s="241">
        <f>'סיכום לוועדה'!E190</f>
        <v>20000254</v>
      </c>
      <c r="C164" s="241" t="str">
        <f>'סיכום לוועדה'!F190</f>
        <v>באר שבע</v>
      </c>
      <c r="D164" s="241" t="str">
        <f>'סיכום לוועדה'!G190</f>
        <v>תיאטרון הפרינג' באר שבע (ע"ר)</v>
      </c>
      <c r="E164" s="242" t="str">
        <f>'סיכום לוועדה'!H190</f>
        <v>אחר</v>
      </c>
      <c r="F164" s="242"/>
      <c r="G164" s="242"/>
      <c r="H164" s="75"/>
      <c r="I164" s="243"/>
      <c r="J164" s="75"/>
      <c r="K164" s="77"/>
      <c r="L164" s="75"/>
      <c r="M164" s="78"/>
      <c r="N164" s="244"/>
      <c r="O164" s="79"/>
      <c r="P164" s="76" t="str">
        <f>IF(IFERROR(VLOOKUP(B164,'בקשות שאושרו'!$B$2:$I$466,1,0),"")="","",1)</f>
        <v/>
      </c>
      <c r="Q164" s="245" t="str">
        <f>IFERROR(VLOOKUP(B164,'בקשות שאושרו'!$B$2:$K$466,COLUMN('בקשות שאושרו'!$J$1)-COLUMN('בקשות שאושרו'!$B$1)+1,0),"")</f>
        <v/>
      </c>
    </row>
    <row r="165" spans="1:17" ht="43.5" x14ac:dyDescent="0.25">
      <c r="A165" s="240">
        <f>'סיכום לוועדה'!A191</f>
        <v>161</v>
      </c>
      <c r="B165" s="241">
        <f>'סיכום לוועדה'!E191</f>
        <v>20000159</v>
      </c>
      <c r="C165" s="241" t="str">
        <f>'סיכום לוועדה'!F191</f>
        <v>ירושלים</v>
      </c>
      <c r="D165" s="241" t="str">
        <f>'סיכום לוועדה'!G191</f>
        <v>קהילות שרות פיוט וניגון (ע"ר)</v>
      </c>
      <c r="E165" s="242" t="str">
        <f>'סיכום לוועדה'!H191</f>
        <v>חזנות</v>
      </c>
      <c r="F165" s="242"/>
      <c r="G165" s="242"/>
      <c r="H165" s="75"/>
      <c r="I165" s="243"/>
      <c r="J165" s="75"/>
      <c r="K165" s="77"/>
      <c r="L165" s="75"/>
      <c r="M165" s="78"/>
      <c r="N165" s="244"/>
      <c r="O165" s="79"/>
      <c r="P165" s="76" t="str">
        <f>IF(IFERROR(VLOOKUP(B165,'בקשות שאושרו'!$B$2:$I$466,1,0),"")="","",1)</f>
        <v/>
      </c>
      <c r="Q165" s="245" t="str">
        <f>IFERROR(VLOOKUP(B165,'בקשות שאושרו'!$B$2:$K$466,COLUMN('בקשות שאושרו'!$J$1)-COLUMN('בקשות שאושרו'!$B$1)+1,0),"")</f>
        <v/>
      </c>
    </row>
    <row r="166" spans="1:17" ht="57.75" x14ac:dyDescent="0.25">
      <c r="A166" s="240">
        <f>'סיכום לוועדה'!A192</f>
        <v>162</v>
      </c>
      <c r="B166" s="241">
        <f>'סיכום לוועדה'!E192</f>
        <v>20000201</v>
      </c>
      <c r="C166" s="241" t="str">
        <f>'סיכום לוועדה'!F192</f>
        <v>תל אביב -יפו</v>
      </c>
      <c r="D166" s="241" t="str">
        <f>'סיכום לוועדה'!G192</f>
        <v>המקהלה הישראלית ע"ש גארי ברתיני (ע"</v>
      </c>
      <c r="E166" s="242" t="str">
        <f>'סיכום לוועדה'!H192</f>
        <v>מוסיקה-גופים כליים</v>
      </c>
      <c r="F166" s="242"/>
      <c r="G166" s="242"/>
      <c r="H166" s="75"/>
      <c r="I166" s="243"/>
      <c r="J166" s="75"/>
      <c r="K166" s="77"/>
      <c r="L166" s="75"/>
      <c r="M166" s="78"/>
      <c r="N166" s="244"/>
      <c r="O166" s="79"/>
      <c r="P166" s="76" t="str">
        <f>IF(IFERROR(VLOOKUP(B166,'בקשות שאושרו'!$B$2:$I$466,1,0),"")="","",1)</f>
        <v/>
      </c>
      <c r="Q166" s="245" t="str">
        <f>IFERROR(VLOOKUP(B166,'בקשות שאושרו'!$B$2:$K$466,COLUMN('בקשות שאושרו'!$J$1)-COLUMN('בקשות שאושרו'!$B$1)+1,0),"")</f>
        <v/>
      </c>
    </row>
    <row r="167" spans="1:17" ht="43.5" x14ac:dyDescent="0.25">
      <c r="A167" s="240">
        <f>'סיכום לוועדה'!A193</f>
        <v>163</v>
      </c>
      <c r="B167" s="241">
        <f>'סיכום לוועדה'!E193</f>
        <v>20000201</v>
      </c>
      <c r="C167" s="241" t="str">
        <f>'סיכום לוועדה'!F193</f>
        <v>תל אביב -יפו</v>
      </c>
      <c r="D167" s="241" t="str">
        <f>'סיכום לוועדה'!G193</f>
        <v>תיאטרון הקיבוץ (ע"ר)</v>
      </c>
      <c r="E167" s="242" t="str">
        <f>'סיכום לוועדה'!H193</f>
        <v>תיאטרון</v>
      </c>
      <c r="F167" s="242"/>
      <c r="G167" s="242"/>
      <c r="H167" s="75"/>
      <c r="I167" s="243"/>
      <c r="J167" s="75"/>
      <c r="K167" s="77"/>
      <c r="L167" s="75"/>
      <c r="M167" s="78"/>
      <c r="N167" s="244"/>
      <c r="O167" s="79"/>
      <c r="P167" s="76" t="str">
        <f>IF(IFERROR(VLOOKUP(B167,'בקשות שאושרו'!$B$2:$I$466,1,0),"")="","",1)</f>
        <v/>
      </c>
      <c r="Q167" s="245" t="str">
        <f>IFERROR(VLOOKUP(B167,'בקשות שאושרו'!$B$2:$K$466,COLUMN('בקשות שאושרו'!$J$1)-COLUMN('בקשות שאושרו'!$B$1)+1,0),"")</f>
        <v/>
      </c>
    </row>
    <row r="168" spans="1:17" ht="29.25" x14ac:dyDescent="0.25">
      <c r="A168" s="240">
        <f>'סיכום לוועדה'!A194</f>
        <v>164</v>
      </c>
      <c r="B168" s="241">
        <f>'סיכום לוועדה'!E194</f>
        <v>20000231</v>
      </c>
      <c r="C168" s="241" t="str">
        <f>'סיכום לוועדה'!F194</f>
        <v>נצרת</v>
      </c>
      <c r="D168" s="241" t="str">
        <f>'סיכום לוועדה'!G194</f>
        <v>אלחנין נצרת (ע"ר)</v>
      </c>
      <c r="E168" s="242" t="str">
        <f>'סיכום לוועדה'!H194</f>
        <v>תיאטרון</v>
      </c>
      <c r="F168" s="242"/>
      <c r="G168" s="242"/>
      <c r="H168" s="75"/>
      <c r="I168" s="243"/>
      <c r="J168" s="75"/>
      <c r="K168" s="77"/>
      <c r="L168" s="75"/>
      <c r="M168" s="78"/>
      <c r="N168" s="244"/>
      <c r="O168" s="79"/>
      <c r="P168" s="76" t="str">
        <f>IF(IFERROR(VLOOKUP(B168,'בקשות שאושרו'!$B$2:$I$466,1,0),"")="","",1)</f>
        <v/>
      </c>
      <c r="Q168" s="245" t="str">
        <f>IFERROR(VLOOKUP(B168,'בקשות שאושרו'!$B$2:$K$466,COLUMN('בקשות שאושרו'!$J$1)-COLUMN('בקשות שאושרו'!$B$1)+1,0),"")</f>
        <v/>
      </c>
    </row>
    <row r="169" spans="1:17" ht="72" x14ac:dyDescent="0.25">
      <c r="A169" s="240">
        <f>'סיכום לוועדה'!A195</f>
        <v>165</v>
      </c>
      <c r="B169" s="241">
        <f>'סיכום לוועדה'!E195</f>
        <v>20000201</v>
      </c>
      <c r="C169" s="241" t="str">
        <f>'סיכום לוועדה'!F195</f>
        <v>תל אביב -יפו</v>
      </c>
      <c r="D169" s="241" t="str">
        <f>'סיכום לוועדה'!G195</f>
        <v>אדם יוצר - טיפוח הביטוי האמנותי (ע"</v>
      </c>
      <c r="E169" s="242" t="str">
        <f>'סיכום לוועדה'!H195</f>
        <v>תיאטרון</v>
      </c>
      <c r="F169" s="242"/>
      <c r="G169" s="242"/>
      <c r="H169" s="75"/>
      <c r="I169" s="243"/>
      <c r="J169" s="75"/>
      <c r="K169" s="77"/>
      <c r="L169" s="75"/>
      <c r="M169" s="78"/>
      <c r="N169" s="244"/>
      <c r="O169" s="79"/>
      <c r="P169" s="76" t="str">
        <f>IF(IFERROR(VLOOKUP(B169,'בקשות שאושרו'!$B$2:$I$466,1,0),"")="","",1)</f>
        <v/>
      </c>
      <c r="Q169" s="245" t="str">
        <f>IFERROR(VLOOKUP(B169,'בקשות שאושרו'!$B$2:$K$466,COLUMN('בקשות שאושרו'!$J$1)-COLUMN('בקשות שאושרו'!$B$1)+1,0),"")</f>
        <v/>
      </c>
    </row>
    <row r="170" spans="1:17" ht="72" x14ac:dyDescent="0.25">
      <c r="A170" s="240">
        <f>'סיכום לוועדה'!A196</f>
        <v>166</v>
      </c>
      <c r="B170" s="241">
        <f>'סיכום לוועדה'!E196</f>
        <v>20000254</v>
      </c>
      <c r="C170" s="241" t="str">
        <f>'סיכום לוועדה'!F196</f>
        <v>באר שבע</v>
      </c>
      <c r="D170" s="241" t="str">
        <f>'סיכום לוועדה'!G196</f>
        <v>חברת בית יציב ב.ש בע"מ - חברה לתועל</v>
      </c>
      <c r="E170" s="242" t="str">
        <f>'סיכום לוועדה'!H196</f>
        <v>מוזיאונים</v>
      </c>
      <c r="F170" s="242"/>
      <c r="G170" s="242"/>
      <c r="H170" s="75"/>
      <c r="I170" s="243"/>
      <c r="J170" s="75"/>
      <c r="K170" s="77"/>
      <c r="L170" s="75"/>
      <c r="M170" s="78"/>
      <c r="N170" s="244"/>
      <c r="O170" s="79"/>
      <c r="P170" s="76" t="str">
        <f>IF(IFERROR(VLOOKUP(B170,'בקשות שאושרו'!$B$2:$I$466,1,0),"")="","",1)</f>
        <v/>
      </c>
      <c r="Q170" s="245" t="str">
        <f>IFERROR(VLOOKUP(B170,'בקשות שאושרו'!$B$2:$K$466,COLUMN('בקשות שאושרו'!$J$1)-COLUMN('בקשות שאושרו'!$B$1)+1,0),"")</f>
        <v/>
      </c>
    </row>
    <row r="171" spans="1:17" ht="57.75" x14ac:dyDescent="0.25">
      <c r="A171" s="240">
        <f>'סיכום לוועדה'!A197</f>
        <v>167</v>
      </c>
      <c r="B171" s="241">
        <f>'סיכום לוועדה'!E197</f>
        <v>20000244</v>
      </c>
      <c r="C171" s="241" t="str">
        <f>'סיכום לוועדה'!F197</f>
        <v>צפת</v>
      </c>
      <c r="D171" s="241" t="str">
        <f>'סיכום לוועדה'!G197</f>
        <v>עמותת כליזמרים - כיתת אומן בצפת (ע"</v>
      </c>
      <c r="E171" s="242" t="str">
        <f>'סיכום לוועדה'!H197</f>
        <v>אחר</v>
      </c>
      <c r="F171" s="242"/>
      <c r="G171" s="242"/>
      <c r="H171" s="75"/>
      <c r="I171" s="243"/>
      <c r="J171" s="75"/>
      <c r="K171" s="77"/>
      <c r="L171" s="75"/>
      <c r="M171" s="78"/>
      <c r="N171" s="244"/>
      <c r="O171" s="79"/>
      <c r="P171" s="76" t="str">
        <f>IF(IFERROR(VLOOKUP(B171,'בקשות שאושרו'!$B$2:$I$466,1,0),"")="","",1)</f>
        <v/>
      </c>
      <c r="Q171" s="245" t="str">
        <f>IFERROR(VLOOKUP(B171,'בקשות שאושרו'!$B$2:$K$466,COLUMN('בקשות שאושרו'!$J$1)-COLUMN('בקשות שאושרו'!$B$1)+1,0),"")</f>
        <v/>
      </c>
    </row>
    <row r="172" spans="1:17" ht="43.5" x14ac:dyDescent="0.25">
      <c r="A172" s="240">
        <f>'סיכום לוועדה'!A198</f>
        <v>168</v>
      </c>
      <c r="B172" s="241">
        <f>'סיכום לוועדה'!E198</f>
        <v>20000201</v>
      </c>
      <c r="C172" s="241" t="str">
        <f>'סיכום לוועדה'!F198</f>
        <v>תל אביב -יפו</v>
      </c>
      <c r="D172" s="241" t="str">
        <f>'סיכום לוועדה'!G198</f>
        <v>תזמורת המהפכה (ע"ר)</v>
      </c>
      <c r="E172" s="242" t="str">
        <f>'סיכום לוועדה'!H198</f>
        <v>מרכזי מוסיקה</v>
      </c>
      <c r="F172" s="242"/>
      <c r="G172" s="242"/>
      <c r="H172" s="75"/>
      <c r="I172" s="243"/>
      <c r="J172" s="75"/>
      <c r="K172" s="77"/>
      <c r="L172" s="75"/>
      <c r="M172" s="78"/>
      <c r="N172" s="244"/>
      <c r="O172" s="79"/>
      <c r="P172" s="76" t="str">
        <f>IF(IFERROR(VLOOKUP(B172,'בקשות שאושרו'!$B$2:$I$466,1,0),"")="","",1)</f>
        <v/>
      </c>
      <c r="Q172" s="245" t="str">
        <f>IFERROR(VLOOKUP(B172,'בקשות שאושרו'!$B$2:$K$466,COLUMN('בקשות שאושרו'!$J$1)-COLUMN('בקשות שאושרו'!$B$1)+1,0),"")</f>
        <v/>
      </c>
    </row>
    <row r="173" spans="1:17" ht="29.25" x14ac:dyDescent="0.25">
      <c r="A173" s="240">
        <f>'סיכום לוועדה'!A199</f>
        <v>169</v>
      </c>
      <c r="B173" s="241">
        <f>'סיכום לוועדה'!E199</f>
        <v>20000159</v>
      </c>
      <c r="C173" s="241" t="str">
        <f>'סיכום לוועדה'!F199</f>
        <v>ירושלים</v>
      </c>
      <c r="D173" s="241" t="str">
        <f>'סיכום לוועדה'!G199</f>
        <v>להקת קולבן דאנס</v>
      </c>
      <c r="E173" s="242" t="str">
        <f>'סיכום לוועדה'!H199</f>
        <v>מחול</v>
      </c>
      <c r="F173" s="242"/>
      <c r="G173" s="242"/>
      <c r="H173" s="75"/>
      <c r="I173" s="243"/>
      <c r="J173" s="75"/>
      <c r="K173" s="77"/>
      <c r="L173" s="75"/>
      <c r="M173" s="78"/>
      <c r="N173" s="244"/>
      <c r="O173" s="79"/>
      <c r="P173" s="76" t="str">
        <f>IF(IFERROR(VLOOKUP(B173,'בקשות שאושרו'!$B$2:$I$466,1,0),"")="","",1)</f>
        <v/>
      </c>
      <c r="Q173" s="245" t="str">
        <f>IFERROR(VLOOKUP(B173,'בקשות שאושרו'!$B$2:$K$466,COLUMN('בקשות שאושרו'!$J$1)-COLUMN('בקשות שאושרו'!$B$1)+1,0),"")</f>
        <v/>
      </c>
    </row>
    <row r="174" spans="1:17" ht="43.5" x14ac:dyDescent="0.25">
      <c r="A174" s="240">
        <f>'סיכום לוועדה'!A200</f>
        <v>170</v>
      </c>
      <c r="B174" s="241">
        <f>'סיכום לוועדה'!E200</f>
        <v>20000154</v>
      </c>
      <c r="C174" s="241" t="str">
        <f>'סיכום לוועדה'!F200</f>
        <v>אום אל-פחם</v>
      </c>
      <c r="D174" s="241" t="str">
        <f>'סיכום לוועדה'!G200</f>
        <v>אלמיאדין תאטרון א.א. פחם</v>
      </c>
      <c r="E174" s="242" t="str">
        <f>'סיכום לוועדה'!H200</f>
        <v>תיאטרון</v>
      </c>
      <c r="F174" s="242"/>
      <c r="G174" s="242"/>
      <c r="H174" s="75"/>
      <c r="I174" s="243"/>
      <c r="J174" s="75"/>
      <c r="K174" s="77"/>
      <c r="L174" s="75"/>
      <c r="M174" s="78"/>
      <c r="N174" s="244"/>
      <c r="O174" s="79"/>
      <c r="P174" s="76" t="str">
        <f>IF(IFERROR(VLOOKUP(B174,'בקשות שאושרו'!$B$2:$I$466,1,0),"")="","",1)</f>
        <v/>
      </c>
      <c r="Q174" s="245" t="str">
        <f>IFERROR(VLOOKUP(B174,'בקשות שאושרו'!$B$2:$K$466,COLUMN('בקשות שאושרו'!$J$1)-COLUMN('בקשות שאושרו'!$B$1)+1,0),"")</f>
        <v/>
      </c>
    </row>
    <row r="175" spans="1:17" ht="72" x14ac:dyDescent="0.25">
      <c r="A175" s="240">
        <f>'סיכום לוועדה'!A201</f>
        <v>171</v>
      </c>
      <c r="B175" s="241">
        <f>'סיכום לוועדה'!E201</f>
        <v>20000222</v>
      </c>
      <c r="C175" s="241" t="str">
        <f>'סיכום לוועדה'!F201</f>
        <v>הרצלייה</v>
      </c>
      <c r="D175" s="241" t="str">
        <f>'סיכום לוועדה'!G201</f>
        <v>שיא - עמותה לפיתוח התרבות והאומנות</v>
      </c>
      <c r="E175" s="242" t="str">
        <f>'סיכום לוועדה'!H201</f>
        <v>תיאטרון</v>
      </c>
      <c r="F175" s="242"/>
      <c r="G175" s="242"/>
      <c r="H175" s="75"/>
      <c r="I175" s="243"/>
      <c r="J175" s="75"/>
      <c r="K175" s="77"/>
      <c r="L175" s="75"/>
      <c r="M175" s="78"/>
      <c r="N175" s="244"/>
      <c r="O175" s="79"/>
      <c r="P175" s="76" t="str">
        <f>IF(IFERROR(VLOOKUP(B175,'בקשות שאושרו'!$B$2:$I$466,1,0),"")="","",1)</f>
        <v/>
      </c>
      <c r="Q175" s="245" t="str">
        <f>IFERROR(VLOOKUP(B175,'בקשות שאושרו'!$B$2:$K$466,COLUMN('בקשות שאושרו'!$J$1)-COLUMN('בקשות שאושרו'!$B$1)+1,0),"")</f>
        <v/>
      </c>
    </row>
    <row r="176" spans="1:17" ht="43.5" x14ac:dyDescent="0.25">
      <c r="A176" s="240">
        <f>'סיכום לוועדה'!A202</f>
        <v>172</v>
      </c>
      <c r="B176" s="241">
        <f>'סיכום לוועדה'!E202</f>
        <v>20000254</v>
      </c>
      <c r="C176" s="241" t="str">
        <f>'סיכום לוועדה'!F202</f>
        <v>באר שבע</v>
      </c>
      <c r="D176" s="241" t="str">
        <f>'סיכום לוועדה'!G202</f>
        <v>החוג לאופרה קלה בנגב</v>
      </c>
      <c r="E176" s="242" t="str">
        <f>'סיכום לוועדה'!H202</f>
        <v>אופרה</v>
      </c>
      <c r="F176" s="242"/>
      <c r="G176" s="242"/>
      <c r="H176" s="75"/>
      <c r="I176" s="243"/>
      <c r="J176" s="75"/>
      <c r="K176" s="77"/>
      <c r="L176" s="75"/>
      <c r="M176" s="78"/>
      <c r="N176" s="244"/>
      <c r="O176" s="79"/>
      <c r="P176" s="76" t="str">
        <f>IF(IFERROR(VLOOKUP(B176,'בקשות שאושרו'!$B$2:$I$466,1,0),"")="","",1)</f>
        <v/>
      </c>
      <c r="Q176" s="245" t="str">
        <f>IFERROR(VLOOKUP(B176,'בקשות שאושרו'!$B$2:$K$466,COLUMN('בקשות שאושרו'!$J$1)-COLUMN('בקשות שאושרו'!$B$1)+1,0),"")</f>
        <v/>
      </c>
    </row>
    <row r="177" spans="1:17" x14ac:dyDescent="0.25">
      <c r="A177" s="240">
        <f>'סיכום לוועדה'!A203</f>
        <v>173</v>
      </c>
      <c r="B177" s="241">
        <f>'סיכום לוועדה'!E203</f>
        <v>20000159</v>
      </c>
      <c r="C177" s="241" t="str">
        <f>'סיכום לוועדה'!F203</f>
        <v>ירושלים</v>
      </c>
      <c r="D177" s="241" t="str">
        <f>'סיכום לוועדה'!G203</f>
        <v>אספקלריה</v>
      </c>
      <c r="E177" s="242" t="str">
        <f>'סיכום לוועדה'!H203</f>
        <v>תיאטרון</v>
      </c>
      <c r="F177" s="242"/>
      <c r="G177" s="242"/>
      <c r="H177" s="75"/>
      <c r="I177" s="243"/>
      <c r="J177" s="75"/>
      <c r="K177" s="77"/>
      <c r="L177" s="75"/>
      <c r="M177" s="78"/>
      <c r="N177" s="244"/>
      <c r="O177" s="79"/>
      <c r="P177" s="76" t="str">
        <f>IF(IFERROR(VLOOKUP(B177,'בקשות שאושרו'!$B$2:$I$466,1,0),"")="","",1)</f>
        <v/>
      </c>
      <c r="Q177" s="245" t="str">
        <f>IFERROR(VLOOKUP(B177,'בקשות שאושרו'!$B$2:$K$466,COLUMN('בקשות שאושרו'!$J$1)-COLUMN('בקשות שאושרו'!$B$1)+1,0),"")</f>
        <v/>
      </c>
    </row>
    <row r="178" spans="1:17" ht="29.25" x14ac:dyDescent="0.25">
      <c r="A178" s="240">
        <f>'סיכום לוועדה'!A204</f>
        <v>174</v>
      </c>
      <c r="B178" s="241">
        <f>'סיכום לוועדה'!E204</f>
        <v>20000159</v>
      </c>
      <c r="C178" s="241" t="str">
        <f>'סיכום לוועדה'!F204</f>
        <v>ירושלים</v>
      </c>
      <c r="D178" s="241" t="str">
        <f>'סיכום לוועדה'!G204</f>
        <v>האיל המרקד</v>
      </c>
      <c r="E178" s="242" t="str">
        <f>'סיכום לוועדה'!H204</f>
        <v>תיאטרון</v>
      </c>
      <c r="F178" s="242"/>
      <c r="G178" s="242"/>
      <c r="H178" s="75"/>
      <c r="I178" s="243"/>
      <c r="J178" s="75"/>
      <c r="K178" s="77"/>
      <c r="L178" s="75"/>
      <c r="M178" s="78"/>
      <c r="N178" s="244"/>
      <c r="O178" s="79"/>
      <c r="P178" s="76" t="str">
        <f>IF(IFERROR(VLOOKUP(B178,'בקשות שאושרו'!$B$2:$I$466,1,0),"")="","",1)</f>
        <v/>
      </c>
      <c r="Q178" s="245" t="str">
        <f>IFERROR(VLOOKUP(B178,'בקשות שאושרו'!$B$2:$K$466,COLUMN('בקשות שאושרו'!$J$1)-COLUMN('בקשות שאושרו'!$B$1)+1,0),"")</f>
        <v/>
      </c>
    </row>
    <row r="179" spans="1:17" x14ac:dyDescent="0.25">
      <c r="A179" s="240">
        <f>'סיכום לוועדה'!A205</f>
        <v>175</v>
      </c>
      <c r="B179" s="241">
        <f>'סיכום לוועדה'!E205</f>
        <v>20000159</v>
      </c>
      <c r="C179" s="241" t="str">
        <f>'סיכום לוועדה'!F205</f>
        <v>ירושלים</v>
      </c>
      <c r="D179" s="241" t="str">
        <f>'סיכום לוועדה'!G205</f>
        <v>במת חוצות</v>
      </c>
      <c r="E179" s="242" t="str">
        <f>'סיכום לוועדה'!H205</f>
        <v>קבוצות תיאטרון</v>
      </c>
      <c r="F179" s="242"/>
      <c r="G179" s="242"/>
      <c r="H179" s="75"/>
      <c r="I179" s="243"/>
      <c r="J179" s="75"/>
      <c r="K179" s="77"/>
      <c r="L179" s="75"/>
      <c r="M179" s="78"/>
      <c r="N179" s="244"/>
      <c r="O179" s="79"/>
      <c r="P179" s="76" t="str">
        <f>IF(IFERROR(VLOOKUP(B179,'בקשות שאושרו'!$B$2:$I$466,1,0),"")="","",1)</f>
        <v/>
      </c>
      <c r="Q179" s="245" t="str">
        <f>IFERROR(VLOOKUP(B179,'בקשות שאושרו'!$B$2:$K$466,COLUMN('בקשות שאושרו'!$J$1)-COLUMN('בקשות שאושרו'!$B$1)+1,0),"")</f>
        <v/>
      </c>
    </row>
    <row r="180" spans="1:17" ht="29.25" x14ac:dyDescent="0.25">
      <c r="A180" s="240">
        <f>'סיכום לוועדה'!A206</f>
        <v>176</v>
      </c>
      <c r="B180" s="241">
        <f>'סיכום לוועדה'!E206</f>
        <v>20000201</v>
      </c>
      <c r="C180" s="241" t="str">
        <f>'סיכום לוועדה'!F206</f>
        <v>תל אביב -יפו</v>
      </c>
      <c r="D180" s="241" t="str">
        <f>'סיכום לוועדה'!G206</f>
        <v>להקת יסמין גודר</v>
      </c>
      <c r="E180" s="242" t="str">
        <f>'סיכום לוועדה'!H206</f>
        <v>מחול</v>
      </c>
      <c r="F180" s="242"/>
      <c r="G180" s="242"/>
      <c r="H180" s="75"/>
      <c r="I180" s="243"/>
      <c r="J180" s="75"/>
      <c r="K180" s="77"/>
      <c r="L180" s="75"/>
      <c r="M180" s="78"/>
      <c r="N180" s="244"/>
      <c r="O180" s="79"/>
      <c r="P180" s="76" t="str">
        <f>IF(IFERROR(VLOOKUP(B180,'בקשות שאושרו'!$B$2:$I$466,1,0),"")="","",1)</f>
        <v/>
      </c>
      <c r="Q180" s="245" t="str">
        <f>IFERROR(VLOOKUP(B180,'בקשות שאושרו'!$B$2:$K$466,COLUMN('בקשות שאושרו'!$J$1)-COLUMN('בקשות שאושרו'!$B$1)+1,0),"")</f>
        <v/>
      </c>
    </row>
    <row r="181" spans="1:17" ht="29.25" x14ac:dyDescent="0.25">
      <c r="A181" s="240">
        <f>'סיכום לוועדה'!A207</f>
        <v>177</v>
      </c>
      <c r="B181" s="241">
        <f>'סיכום לוועדה'!E207</f>
        <v>20000201</v>
      </c>
      <c r="C181" s="241" t="str">
        <f>'סיכום לוועדה'!F207</f>
        <v>תל אביב -יפו</v>
      </c>
      <c r="D181" s="241" t="str">
        <f>'סיכום לוועדה'!G207</f>
        <v>זמרי קולגיום</v>
      </c>
      <c r="E181" s="242" t="str">
        <f>'סיכום לוועדה'!H207</f>
        <v>אחר</v>
      </c>
      <c r="F181" s="242"/>
      <c r="G181" s="242"/>
      <c r="H181" s="75"/>
      <c r="I181" s="243"/>
      <c r="J181" s="75"/>
      <c r="K181" s="77"/>
      <c r="L181" s="75"/>
      <c r="M181" s="78"/>
      <c r="N181" s="244"/>
      <c r="O181" s="79"/>
      <c r="P181" s="76" t="str">
        <f>IF(IFERROR(VLOOKUP(B181,'בקשות שאושרו'!$B$2:$I$466,1,0),"")="","",1)</f>
        <v/>
      </c>
      <c r="Q181" s="245" t="str">
        <f>IFERROR(VLOOKUP(B181,'בקשות שאושרו'!$B$2:$K$466,COLUMN('בקשות שאושרו'!$J$1)-COLUMN('בקשות שאושרו'!$B$1)+1,0),"")</f>
        <v/>
      </c>
    </row>
    <row r="182" spans="1:17" ht="43.5" x14ac:dyDescent="0.25">
      <c r="A182" s="240">
        <f>'סיכום לוועדה'!A208</f>
        <v>178</v>
      </c>
      <c r="B182" s="241">
        <f>'סיכום לוועדה'!E208</f>
        <v>20000231</v>
      </c>
      <c r="C182" s="241" t="str">
        <f>'סיכום לוועדה'!F208</f>
        <v>נצרת</v>
      </c>
      <c r="D182" s="241" t="str">
        <f>'סיכום לוועדה'!G208</f>
        <v>תיאטרון אנסמבל פרינג' נצרת</v>
      </c>
      <c r="E182" s="242" t="str">
        <f>'סיכום לוועדה'!H208</f>
        <v>מרכזי פרינג'</v>
      </c>
      <c r="F182" s="242"/>
      <c r="G182" s="242"/>
      <c r="H182" s="75"/>
      <c r="I182" s="243"/>
      <c r="J182" s="75"/>
      <c r="K182" s="77"/>
      <c r="L182" s="75"/>
      <c r="M182" s="78"/>
      <c r="N182" s="244"/>
      <c r="O182" s="79"/>
      <c r="P182" s="76" t="str">
        <f>IF(IFERROR(VLOOKUP(B182,'בקשות שאושרו'!$B$2:$I$466,1,0),"")="","",1)</f>
        <v/>
      </c>
      <c r="Q182" s="245" t="str">
        <f>IFERROR(VLOOKUP(B182,'בקשות שאושרו'!$B$2:$K$466,COLUMN('בקשות שאושרו'!$J$1)-COLUMN('בקשות שאושרו'!$B$1)+1,0),"")</f>
        <v/>
      </c>
    </row>
    <row r="183" spans="1:17" ht="43.5" x14ac:dyDescent="0.25">
      <c r="A183" s="240">
        <f>'סיכום לוועדה'!A209</f>
        <v>179</v>
      </c>
      <c r="B183" s="241">
        <f>'סיכום לוועדה'!E209</f>
        <v>20000057</v>
      </c>
      <c r="C183" s="241" t="str">
        <f>'סיכום לוועדה'!F209</f>
        <v>מעיליא</v>
      </c>
      <c r="D183" s="241" t="str">
        <f>'סיכום לוועדה'!G209</f>
        <v>"ביאת" למוסיקה ושירה (ע"ר)</v>
      </c>
      <c r="E183" s="242" t="str">
        <f>'סיכום לוועדה'!H209</f>
        <v>אחר</v>
      </c>
      <c r="F183" s="242"/>
      <c r="G183" s="242"/>
      <c r="H183" s="75"/>
      <c r="I183" s="243"/>
      <c r="J183" s="75"/>
      <c r="K183" s="77"/>
      <c r="L183" s="75"/>
      <c r="M183" s="78"/>
      <c r="N183" s="244"/>
      <c r="O183" s="79"/>
      <c r="P183" s="76" t="str">
        <f>IF(IFERROR(VLOOKUP(B183,'בקשות שאושרו'!$B$2:$I$466,1,0),"")="","",1)</f>
        <v/>
      </c>
      <c r="Q183" s="245" t="str">
        <f>IFERROR(VLOOKUP(B183,'בקשות שאושרו'!$B$2:$K$466,COLUMN('בקשות שאושרו'!$J$1)-COLUMN('בקשות שאושרו'!$B$1)+1,0),"")</f>
        <v/>
      </c>
    </row>
    <row r="184" spans="1:17" ht="57.75" x14ac:dyDescent="0.25">
      <c r="A184" s="240">
        <f>'סיכום לוועדה'!A210</f>
        <v>180</v>
      </c>
      <c r="B184" s="241">
        <f>'סיכום לוועדה'!E210</f>
        <v>20000065</v>
      </c>
      <c r="C184" s="241" t="str">
        <f>'סיכום לוועדה'!F210</f>
        <v>עספיא</v>
      </c>
      <c r="D184" s="241" t="str">
        <f>'סיכום לוועדה'!G210</f>
        <v>התאחדות מוסיקאים ואמנים ערבים</v>
      </c>
      <c r="E184" s="242" t="str">
        <f>'סיכום לוועדה'!H210</f>
        <v>אחר</v>
      </c>
      <c r="F184" s="242"/>
      <c r="G184" s="242"/>
      <c r="H184" s="75"/>
      <c r="I184" s="243"/>
      <c r="J184" s="75"/>
      <c r="K184" s="77"/>
      <c r="L184" s="75"/>
      <c r="M184" s="78"/>
      <c r="N184" s="244"/>
      <c r="O184" s="79"/>
      <c r="P184" s="76" t="str">
        <f>IF(IFERROR(VLOOKUP(B184,'בקשות שאושרו'!$B$2:$I$466,1,0),"")="","",1)</f>
        <v/>
      </c>
      <c r="Q184" s="245" t="str">
        <f>IFERROR(VLOOKUP(B184,'בקשות שאושרו'!$B$2:$K$466,COLUMN('בקשות שאושרו'!$J$1)-COLUMN('בקשות שאושרו'!$B$1)+1,0),"")</f>
        <v/>
      </c>
    </row>
    <row r="185" spans="1:17" ht="72" x14ac:dyDescent="0.25">
      <c r="A185" s="240">
        <f>'סיכום לוועדה'!A211</f>
        <v>181</v>
      </c>
      <c r="B185" s="241">
        <f>'סיכום לוועדה'!E211</f>
        <v>20000201</v>
      </c>
      <c r="C185" s="241" t="str">
        <f>'סיכום לוועדה'!F211</f>
        <v>תל אביב -יפו</v>
      </c>
      <c r="D185" s="241" t="str">
        <f>'סיכום לוועדה'!G211</f>
        <v>העמותה לקידום סרטי תרבות ואמנות (ע"</v>
      </c>
      <c r="E185" s="242" t="str">
        <f>'סיכום לוועדה'!H211</f>
        <v>סינמטקים ופסטיבלים</v>
      </c>
      <c r="F185" s="242"/>
      <c r="G185" s="242"/>
      <c r="H185" s="75"/>
      <c r="I185" s="243"/>
      <c r="J185" s="75"/>
      <c r="K185" s="77"/>
      <c r="L185" s="75"/>
      <c r="M185" s="78"/>
      <c r="N185" s="244"/>
      <c r="O185" s="79"/>
      <c r="P185" s="76" t="str">
        <f>IF(IFERROR(VLOOKUP(B185,'בקשות שאושרו'!$B$2:$I$466,1,0),"")="","",1)</f>
        <v/>
      </c>
      <c r="Q185" s="245" t="str">
        <f>IFERROR(VLOOKUP(B185,'בקשות שאושרו'!$B$2:$K$466,COLUMN('בקשות שאושרו'!$J$1)-COLUMN('בקשות שאושרו'!$B$1)+1,0),"")</f>
        <v/>
      </c>
    </row>
    <row r="186" spans="1:17" ht="43.5" x14ac:dyDescent="0.25">
      <c r="A186" s="240">
        <f>'סיכום לוועדה'!A212</f>
        <v>182</v>
      </c>
      <c r="B186" s="241">
        <f>'סיכום לוועדה'!E212</f>
        <v>20000211</v>
      </c>
      <c r="C186" s="241" t="str">
        <f>'סיכום לוועדה'!F212</f>
        <v>בת ים</v>
      </c>
      <c r="D186" s="241" t="str">
        <f>'סיכום לוועדה'!G212</f>
        <v>כלים גוף לעבודה כוריאוגרפית</v>
      </c>
      <c r="E186" s="242" t="str">
        <f>'סיכום לוועדה'!H212</f>
        <v>מרכזי מחול</v>
      </c>
      <c r="F186" s="242"/>
      <c r="G186" s="242"/>
      <c r="H186" s="75"/>
      <c r="I186" s="243"/>
      <c r="J186" s="75"/>
      <c r="K186" s="77"/>
      <c r="L186" s="75"/>
      <c r="M186" s="78"/>
      <c r="N186" s="244"/>
      <c r="O186" s="79"/>
      <c r="P186" s="76" t="str">
        <f>IF(IFERROR(VLOOKUP(B186,'בקשות שאושרו'!$B$2:$I$466,1,0),"")="","",1)</f>
        <v/>
      </c>
      <c r="Q186" s="245" t="str">
        <f>IFERROR(VLOOKUP(B186,'בקשות שאושרו'!$B$2:$K$466,COLUMN('בקשות שאושרו'!$J$1)-COLUMN('בקשות שאושרו'!$B$1)+1,0),"")</f>
        <v/>
      </c>
    </row>
    <row r="187" spans="1:17" ht="29.25" x14ac:dyDescent="0.25">
      <c r="A187" s="240">
        <f>'סיכום לוועדה'!A213</f>
        <v>183</v>
      </c>
      <c r="B187" s="241">
        <f>'סיכום לוועדה'!E213</f>
        <v>20000182</v>
      </c>
      <c r="C187" s="241" t="str">
        <f>'סיכום לוועדה'!F213</f>
        <v>חיפה</v>
      </c>
      <c r="D187" s="241" t="str">
        <f>'סיכום לוועדה'!G213</f>
        <v>סרד לחינוך ספרותי</v>
      </c>
      <c r="E187" s="242" t="str">
        <f>'סיכום לוועדה'!H213</f>
        <v>תרבות ערבית</v>
      </c>
      <c r="F187" s="242"/>
      <c r="G187" s="242"/>
      <c r="H187" s="75"/>
      <c r="I187" s="243"/>
      <c r="J187" s="75"/>
      <c r="K187" s="77"/>
      <c r="L187" s="75"/>
      <c r="M187" s="78"/>
      <c r="N187" s="244"/>
      <c r="O187" s="79"/>
      <c r="P187" s="76" t="str">
        <f>IF(IFERROR(VLOOKUP(B187,'בקשות שאושרו'!$B$2:$I$466,1,0),"")="","",1)</f>
        <v/>
      </c>
      <c r="Q187" s="245" t="str">
        <f>IFERROR(VLOOKUP(B187,'בקשות שאושרו'!$B$2:$K$466,COLUMN('בקשות שאושרו'!$J$1)-COLUMN('בקשות שאושרו'!$B$1)+1,0),"")</f>
        <v/>
      </c>
    </row>
    <row r="188" spans="1:17" x14ac:dyDescent="0.25">
      <c r="A188" s="240">
        <f>'סיכום לוועדה'!A214</f>
        <v>184</v>
      </c>
      <c r="B188" s="241">
        <f>'סיכום לוועדה'!E214</f>
        <v>20000061</v>
      </c>
      <c r="C188" s="241" t="str">
        <f>'סיכום לוועדה'!F214</f>
        <v>אעבלין</v>
      </c>
      <c r="D188" s="241" t="str">
        <f>'סיכום לוועדה'!G214</f>
        <v>אלכרואן</v>
      </c>
      <c r="E188" s="242" t="str">
        <f>'סיכום לוועדה'!H214</f>
        <v>תרבות ערבית</v>
      </c>
      <c r="F188" s="242"/>
      <c r="G188" s="242"/>
      <c r="H188" s="75"/>
      <c r="I188" s="243"/>
      <c r="J188" s="75"/>
      <c r="K188" s="77"/>
      <c r="L188" s="75"/>
      <c r="M188" s="78"/>
      <c r="N188" s="244"/>
      <c r="O188" s="79"/>
      <c r="P188" s="76" t="str">
        <f>IF(IFERROR(VLOOKUP(B188,'בקשות שאושרו'!$B$2:$I$466,1,0),"")="","",1)</f>
        <v/>
      </c>
      <c r="Q188" s="245" t="str">
        <f>IFERROR(VLOOKUP(B188,'בקשות שאושרו'!$B$2:$K$466,COLUMN('בקשות שאושרו'!$J$1)-COLUMN('בקשות שאושרו'!$B$1)+1,0),"")</f>
        <v/>
      </c>
    </row>
    <row r="189" spans="1:17" x14ac:dyDescent="0.25">
      <c r="A189" s="240">
        <f>'סיכום לוועדה'!A215</f>
        <v>185</v>
      </c>
      <c r="B189" s="241">
        <f>'סיכום לוועדה'!E215</f>
        <v>20000159</v>
      </c>
      <c r="C189" s="241" t="str">
        <f>'סיכום לוועדה'!F215</f>
        <v>ירושלים</v>
      </c>
      <c r="D189" s="241" t="str">
        <f>'סיכום לוועדה'!G215</f>
        <v>מרכז החאן</v>
      </c>
      <c r="E189" s="242" t="str">
        <f>'סיכום לוועדה'!H215</f>
        <v>תיאטרון</v>
      </c>
      <c r="F189" s="242"/>
      <c r="G189" s="242"/>
      <c r="H189" s="75"/>
      <c r="I189" s="243"/>
      <c r="J189" s="75"/>
      <c r="K189" s="77"/>
      <c r="L189" s="75"/>
      <c r="M189" s="78"/>
      <c r="N189" s="244"/>
      <c r="O189" s="79"/>
      <c r="P189" s="76" t="str">
        <f>IF(IFERROR(VLOOKUP(B189,'בקשות שאושרו'!$B$2:$I$466,1,0),"")="","",1)</f>
        <v/>
      </c>
      <c r="Q189" s="245" t="str">
        <f>IFERROR(VLOOKUP(B189,'בקשות שאושרו'!$B$2:$K$466,COLUMN('בקשות שאושרו'!$J$1)-COLUMN('בקשות שאושרו'!$B$1)+1,0),"")</f>
        <v/>
      </c>
    </row>
    <row r="190" spans="1:17" ht="72" x14ac:dyDescent="0.25">
      <c r="A190" s="240">
        <f>'סיכום לוועדה'!A216</f>
        <v>186</v>
      </c>
      <c r="B190" s="241">
        <f>'סיכום לוועדה'!E216</f>
        <v>20000154</v>
      </c>
      <c r="C190" s="241" t="str">
        <f>'סיכום לוועדה'!F216</f>
        <v>אום אל-פחם</v>
      </c>
      <c r="D190" s="241" t="str">
        <f>'סיכום לוועדה'!G216</f>
        <v>אבדאע - עמותה לקידום האמנויות במגזר</v>
      </c>
      <c r="E190" s="242" t="str">
        <f>'סיכום לוועדה'!H216</f>
        <v>תרבות ערבית</v>
      </c>
      <c r="F190" s="242"/>
      <c r="G190" s="242"/>
      <c r="H190" s="75"/>
      <c r="I190" s="243"/>
      <c r="J190" s="75"/>
      <c r="K190" s="77"/>
      <c r="L190" s="75"/>
      <c r="M190" s="78"/>
      <c r="N190" s="244"/>
      <c r="O190" s="79"/>
      <c r="P190" s="76" t="str">
        <f>IF(IFERROR(VLOOKUP(B190,'בקשות שאושרו'!$B$2:$I$466,1,0),"")="","",1)</f>
        <v/>
      </c>
      <c r="Q190" s="245" t="str">
        <f>IFERROR(VLOOKUP(B190,'בקשות שאושרו'!$B$2:$K$466,COLUMN('בקשות שאושרו'!$J$1)-COLUMN('בקשות שאושרו'!$B$1)+1,0),"")</f>
        <v/>
      </c>
    </row>
    <row r="191" spans="1:17" ht="29.25" x14ac:dyDescent="0.25">
      <c r="A191" s="240">
        <f>'סיכום לוועדה'!A217</f>
        <v>187</v>
      </c>
      <c r="B191" s="241">
        <f>'סיכום לוועדה'!E217</f>
        <v>20000159</v>
      </c>
      <c r="C191" s="241" t="str">
        <f>'סיכום לוועדה'!F217</f>
        <v>ירושלים</v>
      </c>
      <c r="D191" s="241" t="str">
        <f>'סיכום לוועדה'!G217</f>
        <v>נהר אפרסמון</v>
      </c>
      <c r="E191" s="242" t="str">
        <f>'סיכום לוועדה'!H217</f>
        <v>תרבות חרדית</v>
      </c>
      <c r="F191" s="242"/>
      <c r="G191" s="242"/>
      <c r="H191" s="75"/>
      <c r="I191" s="243"/>
      <c r="J191" s="75"/>
      <c r="K191" s="77"/>
      <c r="L191" s="75"/>
      <c r="M191" s="78"/>
      <c r="N191" s="244"/>
      <c r="O191" s="79"/>
      <c r="P191" s="76" t="str">
        <f>IF(IFERROR(VLOOKUP(B191,'בקשות שאושרו'!$B$2:$I$466,1,0),"")="","",1)</f>
        <v/>
      </c>
      <c r="Q191" s="245" t="str">
        <f>IFERROR(VLOOKUP(B191,'בקשות שאושרו'!$B$2:$K$466,COLUMN('בקשות שאושרו'!$J$1)-COLUMN('בקשות שאושרו'!$B$1)+1,0),"")</f>
        <v/>
      </c>
    </row>
    <row r="192" spans="1:17" ht="29.25" x14ac:dyDescent="0.25">
      <c r="A192" s="240">
        <f>'סיכום לוועדה'!A218</f>
        <v>188</v>
      </c>
      <c r="B192" s="241">
        <f>'סיכום לוועדה'!E218</f>
        <v>20000159</v>
      </c>
      <c r="C192" s="241" t="str">
        <f>'סיכום לוועדה'!F218</f>
        <v>ירושלים</v>
      </c>
      <c r="D192" s="241" t="str">
        <f>'סיכום לוועדה'!G218</f>
        <v>נהר אפרסמון</v>
      </c>
      <c r="E192" s="242" t="str">
        <f>'סיכום לוועדה'!H218</f>
        <v>אחר</v>
      </c>
      <c r="F192" s="242"/>
      <c r="G192" s="242"/>
      <c r="H192" s="75"/>
      <c r="I192" s="243"/>
      <c r="J192" s="75"/>
      <c r="K192" s="77"/>
      <c r="L192" s="75"/>
      <c r="M192" s="78"/>
      <c r="N192" s="244"/>
      <c r="O192" s="79"/>
      <c r="P192" s="76" t="str">
        <f>IF(IFERROR(VLOOKUP(B192,'בקשות שאושרו'!$B$2:$I$466,1,0),"")="","",1)</f>
        <v/>
      </c>
      <c r="Q192" s="245" t="str">
        <f>IFERROR(VLOOKUP(B192,'בקשות שאושרו'!$B$2:$K$466,COLUMN('בקשות שאושרו'!$J$1)-COLUMN('בקשות שאושרו'!$B$1)+1,0),"")</f>
        <v/>
      </c>
    </row>
    <row r="193" spans="1:17" x14ac:dyDescent="0.25">
      <c r="A193" s="240">
        <f>'סיכום לוועדה'!A219</f>
        <v>189</v>
      </c>
      <c r="B193" s="241">
        <f>'סיכום לוועדה'!E219</f>
        <v>20000231</v>
      </c>
      <c r="C193" s="241" t="str">
        <f>'סיכום לוועדה'!F219</f>
        <v>נצרת</v>
      </c>
      <c r="D193" s="241" t="str">
        <f>'סיכום לוועדה'!G219</f>
        <v>אורפיאוס</v>
      </c>
      <c r="E193" s="242" t="str">
        <f>'סיכום לוועדה'!H219</f>
        <v>מוסיקה-גופים כליים</v>
      </c>
      <c r="F193" s="242"/>
      <c r="G193" s="242"/>
      <c r="H193" s="75"/>
      <c r="I193" s="243"/>
      <c r="J193" s="75"/>
      <c r="K193" s="77"/>
      <c r="L193" s="75"/>
      <c r="M193" s="78"/>
      <c r="N193" s="244"/>
      <c r="O193" s="79"/>
      <c r="P193" s="76" t="str">
        <f>IF(IFERROR(VLOOKUP(B193,'בקשות שאושרו'!$B$2:$I$466,1,0),"")="","",1)</f>
        <v/>
      </c>
      <c r="Q193" s="245" t="str">
        <f>IFERROR(VLOOKUP(B193,'בקשות שאושרו'!$B$2:$K$466,COLUMN('בקשות שאושרו'!$J$1)-COLUMN('בקשות שאושרו'!$B$1)+1,0),"")</f>
        <v/>
      </c>
    </row>
    <row r="194" spans="1:17" ht="29.25" x14ac:dyDescent="0.25">
      <c r="A194" s="240">
        <f>'סיכום לוועדה'!A220</f>
        <v>190</v>
      </c>
      <c r="B194" s="241">
        <f>'סיכום לוועדה'!E220</f>
        <v>20000194</v>
      </c>
      <c r="C194" s="241" t="str">
        <f>'סיכום לוועדה'!F220</f>
        <v>גן רווה</v>
      </c>
      <c r="D194" s="241" t="str">
        <f>'סיכום לוועדה'!G220</f>
        <v>מוזיאון בית מרים</v>
      </c>
      <c r="E194" s="242" t="str">
        <f>'סיכום לוועדה'!H220</f>
        <v>מוזיאונים</v>
      </c>
      <c r="F194" s="242"/>
      <c r="G194" s="242"/>
      <c r="H194" s="75"/>
      <c r="I194" s="243"/>
      <c r="J194" s="75"/>
      <c r="K194" s="77"/>
      <c r="L194" s="75"/>
      <c r="M194" s="78"/>
      <c r="N194" s="244"/>
      <c r="O194" s="79"/>
      <c r="P194" s="76" t="str">
        <f>IF(IFERROR(VLOOKUP(B194,'בקשות שאושרו'!$B$2:$I$466,1,0),"")="","",1)</f>
        <v/>
      </c>
      <c r="Q194" s="245" t="str">
        <f>IFERROR(VLOOKUP(B194,'בקשות שאושרו'!$B$2:$K$466,COLUMN('בקשות שאושרו'!$J$1)-COLUMN('בקשות שאושרו'!$B$1)+1,0),"")</f>
        <v/>
      </c>
    </row>
    <row r="195" spans="1:17" ht="86.25" x14ac:dyDescent="0.25">
      <c r="A195" s="240">
        <f>'סיכום לוועדה'!A221</f>
        <v>191</v>
      </c>
      <c r="B195" s="241">
        <f>'סיכום לוועדה'!E221</f>
        <v>20000137</v>
      </c>
      <c r="C195" s="241" t="str">
        <f>'סיכום לוועדה'!F221</f>
        <v>מגידו</v>
      </c>
      <c r="D195" s="241" t="str">
        <f>'סיכום לוועדה'!G221</f>
        <v>וילפריד ישראל לאמנות וידיעת המזרח בע"מ</v>
      </c>
      <c r="E195" s="242" t="str">
        <f>'סיכום לוועדה'!H221</f>
        <v>מוזיאונים</v>
      </c>
      <c r="F195" s="242"/>
      <c r="G195" s="242"/>
      <c r="H195" s="75"/>
      <c r="I195" s="243"/>
      <c r="J195" s="75"/>
      <c r="K195" s="77"/>
      <c r="L195" s="75"/>
      <c r="M195" s="78"/>
      <c r="N195" s="244"/>
      <c r="O195" s="79"/>
      <c r="P195" s="76" t="str">
        <f>IF(IFERROR(VLOOKUP(B195,'בקשות שאושרו'!$B$2:$I$466,1,0),"")="","",1)</f>
        <v/>
      </c>
      <c r="Q195" s="245" t="str">
        <f>IFERROR(VLOOKUP(B195,'בקשות שאושרו'!$B$2:$K$466,COLUMN('בקשות שאושרו'!$J$1)-COLUMN('בקשות שאושרו'!$B$1)+1,0),"")</f>
        <v/>
      </c>
    </row>
    <row r="196" spans="1:17" ht="57.75" x14ac:dyDescent="0.25">
      <c r="A196" s="240">
        <f>'סיכום לוועדה'!A222</f>
        <v>192</v>
      </c>
      <c r="B196" s="241">
        <f>'סיכום לוועדה'!E222</f>
        <v>20000201</v>
      </c>
      <c r="C196" s="241" t="str">
        <f>'סיכום לוועדה'!F222</f>
        <v>תל אביב -יפו</v>
      </c>
      <c r="D196" s="241" t="str">
        <f>'סיכום לוועדה'!G222</f>
        <v>עמותת אמנים יוצרים בישראל</v>
      </c>
      <c r="E196" s="242" t="str">
        <f>'סיכום לוועדה'!H222</f>
        <v>חללי תצוגה</v>
      </c>
      <c r="F196" s="242"/>
      <c r="G196" s="242"/>
      <c r="H196" s="75"/>
      <c r="I196" s="243"/>
      <c r="J196" s="75"/>
      <c r="K196" s="77"/>
      <c r="L196" s="75"/>
      <c r="M196" s="78"/>
      <c r="N196" s="244"/>
      <c r="O196" s="79"/>
      <c r="P196" s="76" t="str">
        <f>IF(IFERROR(VLOOKUP(B196,'בקשות שאושרו'!$B$2:$I$466,1,0),"")="","",1)</f>
        <v/>
      </c>
      <c r="Q196" s="245" t="str">
        <f>IFERROR(VLOOKUP(B196,'בקשות שאושרו'!$B$2:$K$466,COLUMN('בקשות שאושרו'!$J$1)-COLUMN('בקשות שאושרו'!$B$1)+1,0),"")</f>
        <v/>
      </c>
    </row>
    <row r="197" spans="1:17" x14ac:dyDescent="0.25">
      <c r="A197" s="240" t="str">
        <f>'סיכום לוועדה'!A223</f>
        <v/>
      </c>
      <c r="B197" s="241" t="str">
        <f>'סיכום לוועדה'!E223</f>
        <v/>
      </c>
      <c r="C197" s="241" t="str">
        <f>'סיכום לוועדה'!F223</f>
        <v/>
      </c>
      <c r="D197" s="241" t="str">
        <f>'סיכום לוועדה'!G223</f>
        <v/>
      </c>
      <c r="E197" s="242" t="str">
        <f>'סיכום לוועדה'!H223</f>
        <v/>
      </c>
      <c r="F197" s="242"/>
      <c r="G197" s="242"/>
      <c r="H197" s="75"/>
      <c r="I197" s="243"/>
      <c r="J197" s="75"/>
      <c r="K197" s="77"/>
      <c r="L197" s="75"/>
      <c r="M197" s="78"/>
      <c r="N197" s="244"/>
      <c r="O197" s="79"/>
      <c r="P197" s="76" t="str">
        <f>IF(IFERROR(VLOOKUP(B197,'בקשות שאושרו'!$B$2:$I$466,1,0),"")="","",1)</f>
        <v/>
      </c>
      <c r="Q197" s="245" t="str">
        <f>IFERROR(VLOOKUP(B197,'בקשות שאושרו'!$B$2:$K$466,COLUMN('בקשות שאושרו'!$J$1)-COLUMN('בקשות שאושרו'!$B$1)+1,0),"")</f>
        <v/>
      </c>
    </row>
    <row r="198" spans="1:17" ht="43.5" x14ac:dyDescent="0.25">
      <c r="A198" s="240">
        <f>'סיכום לוועדה'!A224</f>
        <v>194</v>
      </c>
      <c r="B198" s="241">
        <f>'סיכום לוועדה'!E224</f>
        <v>20000228</v>
      </c>
      <c r="C198" s="241" t="str">
        <f>'סיכום לוועדה'!F224</f>
        <v>לוד</v>
      </c>
      <c r="D198" s="241" t="str">
        <f>'סיכום לוועדה'!G224</f>
        <v>המרכז לתאטרון לוד</v>
      </c>
      <c r="E198" s="242" t="str">
        <f>'סיכום לוועדה'!H224</f>
        <v>מרכזי פרינג'</v>
      </c>
      <c r="F198" s="242"/>
      <c r="G198" s="242"/>
      <c r="H198" s="75"/>
      <c r="I198" s="243"/>
      <c r="J198" s="75"/>
      <c r="K198" s="77"/>
      <c r="L198" s="75"/>
      <c r="M198" s="78"/>
      <c r="N198" s="244"/>
      <c r="O198" s="79"/>
      <c r="P198" s="76" t="str">
        <f>IF(IFERROR(VLOOKUP(B198,'בקשות שאושרו'!$B$2:$I$466,1,0),"")="","",1)</f>
        <v/>
      </c>
      <c r="Q198" s="245" t="str">
        <f>IFERROR(VLOOKUP(B198,'בקשות שאושרו'!$B$2:$K$466,COLUMN('בקשות שאושרו'!$J$1)-COLUMN('בקשות שאושרו'!$B$1)+1,0),"")</f>
        <v/>
      </c>
    </row>
    <row r="199" spans="1:17" ht="72" x14ac:dyDescent="0.25">
      <c r="A199" s="240">
        <f>'סיכום לוועדה'!A225</f>
        <v>195</v>
      </c>
      <c r="B199" s="241">
        <f>'סיכום לוועדה'!E225</f>
        <v>20000201</v>
      </c>
      <c r="C199" s="241" t="str">
        <f>'סיכום לוועדה'!F225</f>
        <v>תל אביב -יפו</v>
      </c>
      <c r="D199" s="241" t="str">
        <f>'סיכום לוועדה'!G225</f>
        <v>א.מ.א. - אומנות מקורית אלטרנטיבית</v>
      </c>
      <c r="E199" s="242" t="str">
        <f>'סיכום לוועדה'!H225</f>
        <v>מרכזי מוסיקה</v>
      </c>
      <c r="F199" s="242"/>
      <c r="G199" s="242"/>
      <c r="H199" s="75"/>
      <c r="I199" s="243"/>
      <c r="J199" s="75"/>
      <c r="K199" s="77"/>
      <c r="L199" s="75"/>
      <c r="M199" s="78"/>
      <c r="N199" s="244"/>
      <c r="O199" s="79"/>
      <c r="P199" s="76" t="str">
        <f>IF(IFERROR(VLOOKUP(B199,'בקשות שאושרו'!$B$2:$I$466,1,0),"")="","",1)</f>
        <v/>
      </c>
      <c r="Q199" s="245" t="str">
        <f>IFERROR(VLOOKUP(B199,'בקשות שאושרו'!$B$2:$K$466,COLUMN('בקשות שאושרו'!$J$1)-COLUMN('בקשות שאושרו'!$B$1)+1,0),"")</f>
        <v/>
      </c>
    </row>
    <row r="200" spans="1:17" ht="43.5" x14ac:dyDescent="0.25">
      <c r="A200" s="240">
        <f>'סיכום לוועדה'!A226</f>
        <v>196</v>
      </c>
      <c r="B200" s="241">
        <f>'סיכום לוועדה'!E226</f>
        <v>20000231</v>
      </c>
      <c r="C200" s="241" t="str">
        <f>'סיכום לוועדה'!F226</f>
        <v>נצרת</v>
      </c>
      <c r="D200" s="241" t="str">
        <f>'סיכום לוועדה'!G226</f>
        <v>האגודה הנצרתית לאומנות</v>
      </c>
      <c r="E200" s="242" t="str">
        <f>'סיכום לוועדה'!H226</f>
        <v>תרבות ערבית</v>
      </c>
      <c r="F200" s="242"/>
      <c r="G200" s="242"/>
      <c r="H200" s="75"/>
      <c r="I200" s="243"/>
      <c r="J200" s="75"/>
      <c r="K200" s="77"/>
      <c r="L200" s="75"/>
      <c r="M200" s="78"/>
      <c r="N200" s="244"/>
      <c r="O200" s="79"/>
      <c r="P200" s="76" t="str">
        <f>IF(IFERROR(VLOOKUP(B200,'בקשות שאושרו'!$B$2:$I$466,1,0),"")="","",1)</f>
        <v/>
      </c>
      <c r="Q200" s="245" t="str">
        <f>IFERROR(VLOOKUP(B200,'בקשות שאושרו'!$B$2:$K$466,COLUMN('בקשות שאושרו'!$J$1)-COLUMN('בקשות שאושרו'!$B$1)+1,0),"")</f>
        <v/>
      </c>
    </row>
    <row r="201" spans="1:17" ht="57.75" x14ac:dyDescent="0.25">
      <c r="A201" s="240">
        <f>'סיכום לוועדה'!A227</f>
        <v>197</v>
      </c>
      <c r="B201" s="241">
        <f>'סיכום לוועדה'!E227</f>
        <v>20000256</v>
      </c>
      <c r="C201" s="241" t="str">
        <f>'סיכום לוועדה'!F227</f>
        <v>בית שאן</v>
      </c>
      <c r="D201" s="241" t="str">
        <f>'סיכום לוועדה'!G227</f>
        <v>העמותה לקידום התיאטרון בבית שאן</v>
      </c>
      <c r="E201" s="242" t="str">
        <f>'סיכום לוועדה'!H227</f>
        <v>תיאטרון</v>
      </c>
      <c r="F201" s="242"/>
      <c r="G201" s="242"/>
      <c r="H201" s="75"/>
      <c r="I201" s="243"/>
      <c r="J201" s="75"/>
      <c r="K201" s="77"/>
      <c r="L201" s="75"/>
      <c r="M201" s="78"/>
      <c r="N201" s="244"/>
      <c r="O201" s="79"/>
      <c r="P201" s="76" t="str">
        <f>IF(IFERROR(VLOOKUP(B201,'בקשות שאושרו'!$B$2:$I$466,1,0),"")="","",1)</f>
        <v/>
      </c>
      <c r="Q201" s="245" t="str">
        <f>IFERROR(VLOOKUP(B201,'בקשות שאושרו'!$B$2:$K$466,COLUMN('בקשות שאושרו'!$J$1)-COLUMN('בקשות שאושרו'!$B$1)+1,0),"")</f>
        <v/>
      </c>
    </row>
    <row r="202" spans="1:17" ht="57.75" x14ac:dyDescent="0.25">
      <c r="A202" s="240">
        <f>'סיכום לוועדה'!A228</f>
        <v>198</v>
      </c>
      <c r="B202" s="241">
        <f>'סיכום לוועדה'!E228</f>
        <v>20000052</v>
      </c>
      <c r="C202" s="241" t="str">
        <f>'סיכום לוועדה'!F228</f>
        <v>כפר כנא</v>
      </c>
      <c r="D202" s="241" t="str">
        <f>'סיכום לוועדה'!G228</f>
        <v>עמותת אלפאראבי המוסיקלית כפר קנא</v>
      </c>
      <c r="E202" s="242" t="str">
        <f>'סיכום לוועדה'!H228</f>
        <v>תרבות ערבית</v>
      </c>
      <c r="F202" s="242"/>
      <c r="G202" s="242"/>
      <c r="H202" s="75"/>
      <c r="I202" s="243"/>
      <c r="J202" s="75"/>
      <c r="K202" s="77"/>
      <c r="L202" s="75"/>
      <c r="M202" s="78"/>
      <c r="N202" s="244"/>
      <c r="O202" s="79"/>
      <c r="P202" s="76" t="str">
        <f>IF(IFERROR(VLOOKUP(B202,'בקשות שאושרו'!$B$2:$I$466,1,0),"")="","",1)</f>
        <v/>
      </c>
      <c r="Q202" s="245" t="str">
        <f>IFERROR(VLOOKUP(B202,'בקשות שאושרו'!$B$2:$K$466,COLUMN('בקשות שאושרו'!$J$1)-COLUMN('בקשות שאושרו'!$B$1)+1,0),"")</f>
        <v/>
      </c>
    </row>
    <row r="203" spans="1:17" ht="29.25" x14ac:dyDescent="0.25">
      <c r="A203" s="240">
        <f>'סיכום לוועדה'!A229</f>
        <v>199</v>
      </c>
      <c r="B203" s="241">
        <f>'סיכום לוועדה'!E229</f>
        <v>20000130</v>
      </c>
      <c r="C203" s="241" t="str">
        <f>'סיכום לוועדה'!F229</f>
        <v>דימונה</v>
      </c>
      <c r="D203" s="241" t="str">
        <f>'סיכום לוועדה'!G229</f>
        <v>מעבדתרבות דימונה</v>
      </c>
      <c r="E203" s="242" t="str">
        <f>'סיכום לוועדה'!H229</f>
        <v>קבוצות תיאטרון</v>
      </c>
      <c r="F203" s="242"/>
      <c r="G203" s="242"/>
      <c r="H203" s="75"/>
      <c r="I203" s="243"/>
      <c r="J203" s="75"/>
      <c r="K203" s="77"/>
      <c r="L203" s="75"/>
      <c r="M203" s="78"/>
      <c r="N203" s="244"/>
      <c r="O203" s="79"/>
      <c r="P203" s="76" t="str">
        <f>IF(IFERROR(VLOOKUP(B203,'בקשות שאושרו'!$B$2:$I$466,1,0),"")="","",1)</f>
        <v/>
      </c>
      <c r="Q203" s="245" t="str">
        <f>IFERROR(VLOOKUP(B203,'בקשות שאושרו'!$B$2:$K$466,COLUMN('בקשות שאושרו'!$J$1)-COLUMN('בקשות שאושרו'!$B$1)+1,0),"")</f>
        <v/>
      </c>
    </row>
    <row r="204" spans="1:17" ht="57.75" x14ac:dyDescent="0.25">
      <c r="A204" s="240">
        <f>'סיכום לוועדה'!A230</f>
        <v>200</v>
      </c>
      <c r="B204" s="241">
        <f>'סיכום לוועדה'!E230</f>
        <v>20000052</v>
      </c>
      <c r="C204" s="241" t="str">
        <f>'סיכום לוועדה'!F230</f>
        <v>כפר כנא</v>
      </c>
      <c r="D204" s="241" t="str">
        <f>'סיכום לוועדה'!G230</f>
        <v>עמותת אנג'אם לקודום המוסיקה</v>
      </c>
      <c r="E204" s="242" t="str">
        <f>'סיכום לוועדה'!H230</f>
        <v>תרבות ערבית</v>
      </c>
      <c r="F204" s="242"/>
      <c r="G204" s="242"/>
      <c r="H204" s="75"/>
      <c r="I204" s="243"/>
      <c r="J204" s="75"/>
      <c r="K204" s="77"/>
      <c r="L204" s="75"/>
      <c r="M204" s="78"/>
      <c r="N204" s="244"/>
      <c r="O204" s="79"/>
      <c r="P204" s="76" t="str">
        <f>IF(IFERROR(VLOOKUP(B204,'בקשות שאושרו'!$B$2:$I$466,1,0),"")="","",1)</f>
        <v/>
      </c>
      <c r="Q204" s="245" t="str">
        <f>IFERROR(VLOOKUP(B204,'בקשות שאושרו'!$B$2:$K$466,COLUMN('בקשות שאושרו'!$J$1)-COLUMN('בקשות שאושרו'!$B$1)+1,0),"")</f>
        <v/>
      </c>
    </row>
    <row r="205" spans="1:17" x14ac:dyDescent="0.25">
      <c r="A205" s="240">
        <f>'סיכום לוועדה'!A231</f>
        <v>201</v>
      </c>
      <c r="B205" s="241">
        <f>'סיכום לוועדה'!E231</f>
        <v>20000231</v>
      </c>
      <c r="C205" s="241" t="str">
        <f>'סיכום לוועדה'!F231</f>
        <v>נצרת</v>
      </c>
      <c r="D205" s="241" t="str">
        <f>'סיכום לוועדה'!G231</f>
        <v>עוד זיריאב</v>
      </c>
      <c r="E205" s="242" t="str">
        <f>'סיכום לוועדה'!H231</f>
        <v>תרבות ערבית</v>
      </c>
      <c r="F205" s="242"/>
      <c r="G205" s="242"/>
      <c r="H205" s="75"/>
      <c r="I205" s="243"/>
      <c r="J205" s="75"/>
      <c r="K205" s="77"/>
      <c r="L205" s="75"/>
      <c r="M205" s="78"/>
      <c r="N205" s="244"/>
      <c r="O205" s="79"/>
      <c r="P205" s="76" t="str">
        <f>IF(IFERROR(VLOOKUP(B205,'בקשות שאושרו'!$B$2:$I$466,1,0),"")="","",1)</f>
        <v/>
      </c>
      <c r="Q205" s="245" t="str">
        <f>IFERROR(VLOOKUP(B205,'בקשות שאושרו'!$B$2:$K$466,COLUMN('בקשות שאושרו'!$J$1)-COLUMN('בקשות שאושרו'!$B$1)+1,0),"")</f>
        <v/>
      </c>
    </row>
    <row r="206" spans="1:17" ht="72" x14ac:dyDescent="0.25">
      <c r="A206" s="240">
        <f>'סיכום לוועדה'!A232</f>
        <v>202</v>
      </c>
      <c r="B206" s="241">
        <f>'סיכום לוועדה'!E232</f>
        <v>20000159</v>
      </c>
      <c r="C206" s="241" t="str">
        <f>'סיכום לוועדה'!F232</f>
        <v>ירושלים</v>
      </c>
      <c r="D206" s="241" t="str">
        <f>'סיכום לוועדה'!G232</f>
        <v>חיבה - התנועה למורשת ישראל (ע"ר)</v>
      </c>
      <c r="E206" s="242" t="str">
        <f>'סיכום לוועדה'!H232</f>
        <v>קבוצות מוסיקה</v>
      </c>
      <c r="F206" s="242"/>
      <c r="G206" s="242"/>
      <c r="H206" s="75"/>
      <c r="I206" s="243"/>
      <c r="J206" s="75"/>
      <c r="K206" s="77"/>
      <c r="L206" s="75"/>
      <c r="M206" s="78"/>
      <c r="N206" s="244"/>
      <c r="O206" s="79"/>
      <c r="P206" s="76" t="str">
        <f>IF(IFERROR(VLOOKUP(B206,'בקשות שאושרו'!$B$2:$I$466,1,0),"")="","",1)</f>
        <v/>
      </c>
      <c r="Q206" s="245" t="str">
        <f>IFERROR(VLOOKUP(B206,'בקשות שאושרו'!$B$2:$K$466,COLUMN('בקשות שאושרו'!$J$1)-COLUMN('בקשות שאושרו'!$B$1)+1,0),"")</f>
        <v/>
      </c>
    </row>
    <row r="207" spans="1:17" ht="72" x14ac:dyDescent="0.25">
      <c r="A207" s="240">
        <f>'סיכום לוועדה'!A233</f>
        <v>203</v>
      </c>
      <c r="B207" s="241">
        <f>'סיכום לוועדה'!E233</f>
        <v>20000159</v>
      </c>
      <c r="C207" s="241" t="str">
        <f>'סיכום לוועדה'!F233</f>
        <v>ירושלים</v>
      </c>
      <c r="D207" s="241" t="str">
        <f>'סיכום לוועדה'!G233</f>
        <v>חיבה - התנועה למורשת ישראל (ע"ר)</v>
      </c>
      <c r="E207" s="242" t="str">
        <f>'סיכום לוועדה'!H233</f>
        <v>אחר</v>
      </c>
      <c r="F207" s="242"/>
      <c r="G207" s="242"/>
      <c r="H207" s="75"/>
      <c r="I207" s="243"/>
      <c r="J207" s="75"/>
      <c r="K207" s="77"/>
      <c r="L207" s="75"/>
      <c r="M207" s="78"/>
      <c r="N207" s="244"/>
      <c r="O207" s="79"/>
      <c r="P207" s="76" t="str">
        <f>IF(IFERROR(VLOOKUP(B207,'בקשות שאושרו'!$B$2:$I$466,1,0),"")="","",1)</f>
        <v/>
      </c>
      <c r="Q207" s="245" t="str">
        <f>IFERROR(VLOOKUP(B207,'בקשות שאושרו'!$B$2:$K$466,COLUMN('בקשות שאושרו'!$J$1)-COLUMN('בקשות שאושרו'!$B$1)+1,0),"")</f>
        <v/>
      </c>
    </row>
    <row r="208" spans="1:17" ht="72" x14ac:dyDescent="0.25">
      <c r="A208" s="240">
        <f>'סיכום לוועדה'!A234</f>
        <v>204</v>
      </c>
      <c r="B208" s="241">
        <f>'סיכום לוועדה'!E234</f>
        <v>20000253</v>
      </c>
      <c r="C208" s="241" t="str">
        <f>'סיכום לוועדה'!F234</f>
        <v>טמרה</v>
      </c>
      <c r="D208" s="241" t="str">
        <f>'סיכום לוועדה'!G234</f>
        <v>באב אל חארה- התיאטרון הכפרי לתרבות</v>
      </c>
      <c r="E208" s="242" t="str">
        <f>'סיכום לוועדה'!H234</f>
        <v>אחר</v>
      </c>
      <c r="F208" s="242"/>
      <c r="G208" s="242"/>
      <c r="H208" s="75"/>
      <c r="I208" s="243"/>
      <c r="J208" s="75"/>
      <c r="K208" s="77"/>
      <c r="L208" s="75"/>
      <c r="M208" s="78"/>
      <c r="N208" s="244"/>
      <c r="O208" s="79"/>
      <c r="P208" s="76" t="str">
        <f>IF(IFERROR(VLOOKUP(B208,'בקשות שאושרו'!$B$2:$I$466,1,0),"")="","",1)</f>
        <v/>
      </c>
      <c r="Q208" s="245" t="str">
        <f>IFERROR(VLOOKUP(B208,'בקשות שאושרו'!$B$2:$K$466,COLUMN('בקשות שאושרו'!$J$1)-COLUMN('בקשות שאושרו'!$B$1)+1,0),"")</f>
        <v/>
      </c>
    </row>
    <row r="209" spans="1:17" ht="86.25" x14ac:dyDescent="0.25">
      <c r="A209" s="240">
        <f>'סיכום לוועדה'!A235</f>
        <v>205</v>
      </c>
      <c r="B209" s="241">
        <f>'סיכום לוועדה'!E235</f>
        <v>20000159</v>
      </c>
      <c r="C209" s="241" t="str">
        <f>'סיכום לוועדה'!F235</f>
        <v>ירושלים</v>
      </c>
      <c r="D209" s="241" t="str">
        <f>'סיכום לוועדה'!G235</f>
        <v>להקת הפלמנקו רמנגאר בע"מ חברה לתועל</v>
      </c>
      <c r="E209" s="242" t="str">
        <f>'סיכום לוועדה'!H235</f>
        <v>אחר</v>
      </c>
      <c r="F209" s="242"/>
      <c r="G209" s="242"/>
      <c r="H209" s="75"/>
      <c r="I209" s="243"/>
      <c r="J209" s="75"/>
      <c r="K209" s="77"/>
      <c r="L209" s="75"/>
      <c r="M209" s="78"/>
      <c r="N209" s="244"/>
      <c r="O209" s="79"/>
      <c r="P209" s="76" t="str">
        <f>IF(IFERROR(VLOOKUP(B209,'בקשות שאושרו'!$B$2:$I$466,1,0),"")="","",1)</f>
        <v/>
      </c>
      <c r="Q209" s="245" t="str">
        <f>IFERROR(VLOOKUP(B209,'בקשות שאושרו'!$B$2:$K$466,COLUMN('בקשות שאושרו'!$J$1)-COLUMN('בקשות שאושרו'!$B$1)+1,0),"")</f>
        <v/>
      </c>
    </row>
    <row r="210" spans="1:17" ht="57.75" x14ac:dyDescent="0.25">
      <c r="A210" s="240">
        <f>'סיכום לוועדה'!A236</f>
        <v>206</v>
      </c>
      <c r="B210" s="241">
        <f>'סיכום לוועדה'!E236</f>
        <v>20000182</v>
      </c>
      <c r="C210" s="241" t="str">
        <f>'סיכום לוועדה'!F236</f>
        <v>חיפה</v>
      </c>
      <c r="D210" s="241" t="str">
        <f>'סיכום לוועדה'!G236</f>
        <v>בית 9 - בית ספר ובית יוצר לתיאטרון</v>
      </c>
      <c r="E210" s="242" t="str">
        <f>'סיכום לוועדה'!H236</f>
        <v>בתי ספר לבובות</v>
      </c>
      <c r="F210" s="242"/>
      <c r="G210" s="242"/>
      <c r="H210" s="75"/>
      <c r="I210" s="243"/>
      <c r="J210" s="75"/>
      <c r="K210" s="77"/>
      <c r="L210" s="75"/>
      <c r="M210" s="78"/>
      <c r="N210" s="244"/>
      <c r="O210" s="79"/>
      <c r="P210" s="76" t="str">
        <f>IF(IFERROR(VLOOKUP(B210,'בקשות שאושרו'!$B$2:$I$466,1,0),"")="","",1)</f>
        <v/>
      </c>
      <c r="Q210" s="245" t="str">
        <f>IFERROR(VLOOKUP(B210,'בקשות שאושרו'!$B$2:$K$466,COLUMN('בקשות שאושרו'!$J$1)-COLUMN('בקשות שאושרו'!$B$1)+1,0),"")</f>
        <v/>
      </c>
    </row>
    <row r="211" spans="1:17" ht="57.75" x14ac:dyDescent="0.25">
      <c r="A211" s="240">
        <f>'סיכום לוועדה'!A237</f>
        <v>207</v>
      </c>
      <c r="B211" s="241">
        <f>'סיכום לוועדה'!E237</f>
        <v>20000201</v>
      </c>
      <c r="C211" s="241" t="str">
        <f>'סיכום לוועדה'!F237</f>
        <v>תל אביב -יפו</v>
      </c>
      <c r="D211" s="241" t="str">
        <f>'סיכום לוועדה'!G237</f>
        <v>התיאטרון הלאומי הבימה בע"מ(חל"צ)</v>
      </c>
      <c r="E211" s="242" t="str">
        <f>'סיכום לוועדה'!H237</f>
        <v>תיאטרון</v>
      </c>
      <c r="F211" s="242"/>
      <c r="G211" s="242"/>
      <c r="H211" s="75"/>
      <c r="I211" s="243"/>
      <c r="J211" s="75"/>
      <c r="K211" s="77"/>
      <c r="L211" s="75"/>
      <c r="M211" s="78"/>
      <c r="N211" s="244"/>
      <c r="O211" s="79"/>
      <c r="P211" s="76" t="str">
        <f>IF(IFERROR(VLOOKUP(B211,'בקשות שאושרו'!$B$2:$I$466,1,0),"")="","",1)</f>
        <v/>
      </c>
      <c r="Q211" s="245" t="str">
        <f>IFERROR(VLOOKUP(B211,'בקשות שאושרו'!$B$2:$K$466,COLUMN('בקשות שאושרו'!$J$1)-COLUMN('בקשות שאושרו'!$B$1)+1,0),"")</f>
        <v/>
      </c>
    </row>
    <row r="212" spans="1:17" ht="29.25" x14ac:dyDescent="0.25">
      <c r="A212" s="240">
        <f>'סיכום לוועדה'!A238</f>
        <v>208</v>
      </c>
      <c r="B212" s="241">
        <f>'סיכום לוועדה'!E238</f>
        <v>20000254</v>
      </c>
      <c r="C212" s="241" t="str">
        <f>'סיכום לוועדה'!F238</f>
        <v>באר שבע</v>
      </c>
      <c r="D212" s="241" t="str">
        <f>'סיכום לוועדה'!G238</f>
        <v>סאנאם (ע"ר)</v>
      </c>
      <c r="E212" s="242" t="str">
        <f>'סיכום לוועדה'!H238</f>
        <v>אחר</v>
      </c>
      <c r="F212" s="242"/>
      <c r="G212" s="242"/>
      <c r="H212" s="75"/>
      <c r="I212" s="243"/>
      <c r="J212" s="75"/>
      <c r="K212" s="77"/>
      <c r="L212" s="75"/>
      <c r="M212" s="78"/>
      <c r="N212" s="244"/>
      <c r="O212" s="79"/>
      <c r="P212" s="76" t="str">
        <f>IF(IFERROR(VLOOKUP(B212,'בקשות שאושרו'!$B$2:$I$466,1,0),"")="","",1)</f>
        <v/>
      </c>
      <c r="Q212" s="245" t="str">
        <f>IFERROR(VLOOKUP(B212,'בקשות שאושרו'!$B$2:$K$466,COLUMN('בקשות שאושרו'!$J$1)-COLUMN('בקשות שאושרו'!$B$1)+1,0),"")</f>
        <v/>
      </c>
    </row>
    <row r="213" spans="1:17" ht="43.5" x14ac:dyDescent="0.25">
      <c r="A213" s="240">
        <f>'סיכום לוועדה'!A239</f>
        <v>209</v>
      </c>
      <c r="B213" s="241">
        <f>'סיכום לוועדה'!E239</f>
        <v>20000159</v>
      </c>
      <c r="C213" s="241" t="str">
        <f>'סיכום לוועדה'!F239</f>
        <v>ירושלים</v>
      </c>
      <c r="D213" s="241" t="str">
        <f>'סיכום לוועדה'!G239</f>
        <v>תיאטרון נקודה טובה (ע"ר)</v>
      </c>
      <c r="E213" s="242" t="str">
        <f>'סיכום לוועדה'!H239</f>
        <v>תיאטרון</v>
      </c>
      <c r="F213" s="242"/>
      <c r="G213" s="242"/>
      <c r="H213" s="75"/>
      <c r="I213" s="243"/>
      <c r="J213" s="75"/>
      <c r="K213" s="77"/>
      <c r="L213" s="75"/>
      <c r="M213" s="78"/>
      <c r="N213" s="244"/>
      <c r="O213" s="79"/>
      <c r="P213" s="76" t="str">
        <f>IF(IFERROR(VLOOKUP(B213,'בקשות שאושרו'!$B$2:$I$466,1,0),"")="","",1)</f>
        <v/>
      </c>
      <c r="Q213" s="245" t="str">
        <f>IFERROR(VLOOKUP(B213,'בקשות שאושרו'!$B$2:$K$466,COLUMN('בקשות שאושרו'!$J$1)-COLUMN('בקשות שאושרו'!$B$1)+1,0),"")</f>
        <v/>
      </c>
    </row>
    <row r="214" spans="1:17" ht="57.75" x14ac:dyDescent="0.25">
      <c r="A214" s="240">
        <f>'סיכום לוועדה'!A240</f>
        <v>210</v>
      </c>
      <c r="B214" s="241">
        <f>'סיכום לוועדה'!E240</f>
        <v>20000201</v>
      </c>
      <c r="C214" s="241" t="str">
        <f>'סיכום לוועדה'!F240</f>
        <v>תל אביב -יפו</v>
      </c>
      <c r="D214" s="241" t="str">
        <f>'סיכום לוועדה'!G240</f>
        <v>עלילה מקומית, עמותה רשומה</v>
      </c>
      <c r="E214" s="242" t="str">
        <f>'סיכום לוועדה'!H240</f>
        <v>תיאטרון</v>
      </c>
      <c r="F214" s="242"/>
      <c r="G214" s="242"/>
      <c r="H214" s="75"/>
      <c r="I214" s="243"/>
      <c r="J214" s="75"/>
      <c r="K214" s="77"/>
      <c r="L214" s="75"/>
      <c r="M214" s="78"/>
      <c r="N214" s="244"/>
      <c r="O214" s="79"/>
      <c r="P214" s="76" t="str">
        <f>IF(IFERROR(VLOOKUP(B214,'בקשות שאושרו'!$B$2:$I$466,1,0),"")="","",1)</f>
        <v/>
      </c>
      <c r="Q214" s="245" t="str">
        <f>IFERROR(VLOOKUP(B214,'בקשות שאושרו'!$B$2:$K$466,COLUMN('בקשות שאושרו'!$J$1)-COLUMN('בקשות שאושרו'!$B$1)+1,0),"")</f>
        <v/>
      </c>
    </row>
    <row r="215" spans="1:17" ht="57.75" x14ac:dyDescent="0.25">
      <c r="A215" s="240">
        <f>'סיכום לוועדה'!A241</f>
        <v>211</v>
      </c>
      <c r="B215" s="241">
        <f>'סיכום לוועדה'!E241</f>
        <v>20000159</v>
      </c>
      <c r="C215" s="241" t="str">
        <f>'סיכום לוועדה'!F241</f>
        <v>ירושלים</v>
      </c>
      <c r="D215" s="241" t="str">
        <f>'סיכום לוועדה'!G241</f>
        <v>עמותת תיאטרון קומקום (ע"ר)</v>
      </c>
      <c r="E215" s="242" t="str">
        <f>'סיכום לוועדה'!H241</f>
        <v>תיאטרון</v>
      </c>
      <c r="F215" s="242"/>
      <c r="G215" s="242"/>
      <c r="H215" s="75"/>
      <c r="I215" s="243"/>
      <c r="J215" s="75"/>
      <c r="K215" s="77"/>
      <c r="L215" s="75"/>
      <c r="M215" s="78"/>
      <c r="N215" s="244"/>
      <c r="O215" s="79"/>
      <c r="P215" s="76" t="str">
        <f>IF(IFERROR(VLOOKUP(B215,'בקשות שאושרו'!$B$2:$I$466,1,0),"")="","",1)</f>
        <v/>
      </c>
      <c r="Q215" s="245" t="str">
        <f>IFERROR(VLOOKUP(B215,'בקשות שאושרו'!$B$2:$K$466,COLUMN('בקשות שאושרו'!$J$1)-COLUMN('בקשות שאושרו'!$B$1)+1,0),"")</f>
        <v/>
      </c>
    </row>
    <row r="216" spans="1:17" ht="29.25" x14ac:dyDescent="0.25">
      <c r="A216" s="240">
        <f>'סיכום לוועדה'!A242</f>
        <v>212</v>
      </c>
      <c r="B216" s="241">
        <f>'סיכום לוועדה'!E242</f>
        <v>20000159</v>
      </c>
      <c r="C216" s="241" t="str">
        <f>'סיכום לוועדה'!F242</f>
        <v>ירושלים</v>
      </c>
      <c r="D216" s="241" t="str">
        <f>'סיכום לוועדה'!G242</f>
        <v>כביש אחד (ע"ר)</v>
      </c>
      <c r="E216" s="242" t="str">
        <f>'סיכום לוועדה'!H242</f>
        <v>ספרות</v>
      </c>
      <c r="F216" s="242"/>
      <c r="G216" s="242"/>
      <c r="H216" s="75"/>
      <c r="I216" s="243"/>
      <c r="J216" s="75"/>
      <c r="K216" s="77"/>
      <c r="L216" s="75"/>
      <c r="M216" s="78"/>
      <c r="N216" s="244"/>
      <c r="O216" s="79"/>
      <c r="P216" s="76" t="str">
        <f>IF(IFERROR(VLOOKUP(B216,'בקשות שאושרו'!$B$2:$I$466,1,0),"")="","",1)</f>
        <v/>
      </c>
      <c r="Q216" s="245" t="str">
        <f>IFERROR(VLOOKUP(B216,'בקשות שאושרו'!$B$2:$K$466,COLUMN('בקשות שאושרו'!$J$1)-COLUMN('בקשות שאושרו'!$B$1)+1,0),"")</f>
        <v/>
      </c>
    </row>
    <row r="217" spans="1:17" ht="29.25" x14ac:dyDescent="0.25">
      <c r="A217" s="240">
        <f>'סיכום לוועדה'!A243</f>
        <v>213</v>
      </c>
      <c r="B217" s="241">
        <f>'סיכום לוועדה'!E243</f>
        <v>20000159</v>
      </c>
      <c r="C217" s="241" t="str">
        <f>'סיכום לוועדה'!F243</f>
        <v>ירושלים</v>
      </c>
      <c r="D217" s="241" t="str">
        <f>'סיכום לוועדה'!G243</f>
        <v>כביש אחד (ע"ר)</v>
      </c>
      <c r="E217" s="242" t="str">
        <f>'סיכום לוועדה'!H243</f>
        <v>אחר</v>
      </c>
      <c r="F217" s="242"/>
      <c r="G217" s="242"/>
      <c r="H217" s="75"/>
      <c r="I217" s="243"/>
      <c r="J217" s="75"/>
      <c r="K217" s="77"/>
      <c r="L217" s="75"/>
      <c r="M217" s="78"/>
      <c r="N217" s="244"/>
      <c r="O217" s="79"/>
      <c r="P217" s="76" t="str">
        <f>IF(IFERROR(VLOOKUP(B217,'בקשות שאושרו'!$B$2:$I$466,1,0),"")="","",1)</f>
        <v/>
      </c>
      <c r="Q217" s="245" t="str">
        <f>IFERROR(VLOOKUP(B217,'בקשות שאושרו'!$B$2:$K$466,COLUMN('בקשות שאושרו'!$J$1)-COLUMN('בקשות שאושרו'!$B$1)+1,0),"")</f>
        <v/>
      </c>
    </row>
    <row r="218" spans="1:17" ht="57.75" x14ac:dyDescent="0.25">
      <c r="A218" s="240">
        <f>'סיכום לוועדה'!A244</f>
        <v>214</v>
      </c>
      <c r="B218" s="241">
        <f>'סיכום לוועדה'!E244</f>
        <v>20000065</v>
      </c>
      <c r="C218" s="241" t="str">
        <f>'סיכום לוועדה'!F244</f>
        <v>עספיא</v>
      </c>
      <c r="D218" s="241" t="str">
        <f>'סיכום לוועדה'!G244</f>
        <v>לוגוס לתרבויות ומורשת עמים (ע"ר)</v>
      </c>
      <c r="E218" s="242" t="str">
        <f>'סיכום לוועדה'!H244</f>
        <v>אחר</v>
      </c>
      <c r="F218" s="242"/>
      <c r="G218" s="242"/>
      <c r="H218" s="75"/>
      <c r="I218" s="243"/>
      <c r="J218" s="75"/>
      <c r="K218" s="77"/>
      <c r="L218" s="75"/>
      <c r="M218" s="78"/>
      <c r="N218" s="244"/>
      <c r="O218" s="79"/>
      <c r="P218" s="76" t="str">
        <f>IF(IFERROR(VLOOKUP(B218,'בקשות שאושרו'!$B$2:$I$466,1,0),"")="","",1)</f>
        <v/>
      </c>
      <c r="Q218" s="245" t="str">
        <f>IFERROR(VLOOKUP(B218,'בקשות שאושרו'!$B$2:$K$466,COLUMN('בקשות שאושרו'!$J$1)-COLUMN('בקשות שאושרו'!$B$1)+1,0),"")</f>
        <v/>
      </c>
    </row>
    <row r="219" spans="1:17" ht="57.75" x14ac:dyDescent="0.25">
      <c r="A219" s="240">
        <f>'סיכום לוועדה'!A245</f>
        <v>215</v>
      </c>
      <c r="B219" s="241">
        <f>'סיכום לוועדה'!E245</f>
        <v>20000065</v>
      </c>
      <c r="C219" s="241" t="str">
        <f>'סיכום לוועדה'!F245</f>
        <v>עספיא</v>
      </c>
      <c r="D219" s="241" t="str">
        <f>'סיכום לוועדה'!G245</f>
        <v>לוגוס לתרבויות ומורשת עמים (ע"ר)</v>
      </c>
      <c r="E219" s="242" t="str">
        <f>'סיכום לוועדה'!H245</f>
        <v>אחר</v>
      </c>
      <c r="F219" s="242"/>
      <c r="G219" s="242"/>
      <c r="H219" s="75"/>
      <c r="I219" s="243"/>
      <c r="J219" s="75"/>
      <c r="K219" s="77"/>
      <c r="L219" s="75"/>
      <c r="M219" s="78"/>
      <c r="N219" s="244"/>
      <c r="O219" s="79"/>
      <c r="P219" s="76" t="str">
        <f>IF(IFERROR(VLOOKUP(B219,'בקשות שאושרו'!$B$2:$I$466,1,0),"")="","",1)</f>
        <v/>
      </c>
      <c r="Q219" s="245" t="str">
        <f>IFERROR(VLOOKUP(B219,'בקשות שאושרו'!$B$2:$K$466,COLUMN('בקשות שאושרו'!$J$1)-COLUMN('בקשות שאושרו'!$B$1)+1,0),"")</f>
        <v/>
      </c>
    </row>
    <row r="220" spans="1:17" ht="72" x14ac:dyDescent="0.25">
      <c r="A220" s="240">
        <f>'סיכום לוועדה'!A246</f>
        <v>216</v>
      </c>
      <c r="B220" s="241">
        <f>'סיכום לוועדה'!E246</f>
        <v>20000201</v>
      </c>
      <c r="C220" s="241" t="str">
        <f>'סיכום לוועדה'!F246</f>
        <v>תל אביב -יפו</v>
      </c>
      <c r="D220" s="241" t="str">
        <f>'סיכום לוועדה'!G246</f>
        <v>העמותה ליצירה פנטסטית וספקולטיבית ב</v>
      </c>
      <c r="E220" s="242" t="str">
        <f>'סיכום לוועדה'!H246</f>
        <v>ספרות</v>
      </c>
      <c r="F220" s="242"/>
      <c r="G220" s="242"/>
      <c r="H220" s="75"/>
      <c r="I220" s="243"/>
      <c r="J220" s="75"/>
      <c r="K220" s="77"/>
      <c r="L220" s="75"/>
      <c r="M220" s="78"/>
      <c r="N220" s="244"/>
      <c r="O220" s="79"/>
      <c r="P220" s="76" t="str">
        <f>IF(IFERROR(VLOOKUP(B220,'בקשות שאושרו'!$B$2:$I$466,1,0),"")="","",1)</f>
        <v/>
      </c>
      <c r="Q220" s="245" t="str">
        <f>IFERROR(VLOOKUP(B220,'בקשות שאושרו'!$B$2:$K$466,COLUMN('בקשות שאושרו'!$J$1)-COLUMN('בקשות שאושרו'!$B$1)+1,0),"")</f>
        <v/>
      </c>
    </row>
    <row r="221" spans="1:17" ht="72" x14ac:dyDescent="0.25">
      <c r="A221" s="240">
        <f>'סיכום לוועדה'!A247</f>
        <v>217</v>
      </c>
      <c r="B221" s="241">
        <f>'סיכום לוועדה'!E247</f>
        <v>20000201</v>
      </c>
      <c r="C221" s="241" t="str">
        <f>'סיכום לוועדה'!F247</f>
        <v>תל אביב -יפו</v>
      </c>
      <c r="D221" s="241" t="str">
        <f>'סיכום לוועדה'!G247</f>
        <v>העמותה ליצירה פנטסטית וספקולטיבית ב</v>
      </c>
      <c r="E221" s="242" t="str">
        <f>'סיכום לוועדה'!H247</f>
        <v>סינמטקים ופסטיבלים</v>
      </c>
      <c r="F221" s="242"/>
      <c r="G221" s="242"/>
      <c r="H221" s="75"/>
      <c r="I221" s="243"/>
      <c r="J221" s="75"/>
      <c r="K221" s="77"/>
      <c r="L221" s="75"/>
      <c r="M221" s="78"/>
      <c r="N221" s="244"/>
      <c r="O221" s="79"/>
      <c r="P221" s="76" t="str">
        <f>IF(IFERROR(VLOOKUP(B221,'בקשות שאושרו'!$B$2:$I$466,1,0),"")="","",1)</f>
        <v/>
      </c>
      <c r="Q221" s="245" t="str">
        <f>IFERROR(VLOOKUP(B221,'בקשות שאושרו'!$B$2:$K$466,COLUMN('בקשות שאושרו'!$J$1)-COLUMN('בקשות שאושרו'!$B$1)+1,0),"")</f>
        <v/>
      </c>
    </row>
    <row r="222" spans="1:17" ht="57.75" x14ac:dyDescent="0.25">
      <c r="A222" s="240">
        <f>'סיכום לוועדה'!A248</f>
        <v>218</v>
      </c>
      <c r="B222" s="241">
        <f>'סיכום לוועדה'!E248</f>
        <v>20000159</v>
      </c>
      <c r="C222" s="241" t="str">
        <f>'סיכום לוועדה'!F248</f>
        <v>ירושלים</v>
      </c>
      <c r="D222" s="241" t="str">
        <f>'סיכום לוועדה'!G248</f>
        <v>התיאטרון החברתי משו משו (ע"ר)</v>
      </c>
      <c r="E222" s="242" t="str">
        <f>'סיכום לוועדה'!H248</f>
        <v>אחר</v>
      </c>
      <c r="F222" s="242"/>
      <c r="G222" s="242"/>
      <c r="H222" s="75"/>
      <c r="I222" s="243"/>
      <c r="J222" s="75"/>
      <c r="K222" s="77"/>
      <c r="L222" s="75"/>
      <c r="M222" s="78"/>
      <c r="N222" s="244"/>
      <c r="O222" s="79"/>
      <c r="P222" s="76" t="str">
        <f>IF(IFERROR(VLOOKUP(B222,'בקשות שאושרו'!$B$2:$I$466,1,0),"")="","",1)</f>
        <v/>
      </c>
      <c r="Q222" s="245" t="str">
        <f>IFERROR(VLOOKUP(B222,'בקשות שאושרו'!$B$2:$K$466,COLUMN('בקשות שאושרו'!$J$1)-COLUMN('בקשות שאושרו'!$B$1)+1,0),"")</f>
        <v/>
      </c>
    </row>
    <row r="223" spans="1:17" ht="29.25" x14ac:dyDescent="0.25">
      <c r="A223" s="240">
        <f>'סיכום לוועדה'!A249</f>
        <v>219</v>
      </c>
      <c r="B223" s="241">
        <f>'סיכום לוועדה'!E249</f>
        <v>20000253</v>
      </c>
      <c r="C223" s="241" t="str">
        <f>'סיכום לוועדה'!F249</f>
        <v>טמרה</v>
      </c>
      <c r="D223" s="241" t="str">
        <f>'סיכום לוועדה'!G249</f>
        <v>תיאטרון אלעין (ע"ר)</v>
      </c>
      <c r="E223" s="242" t="str">
        <f>'סיכום לוועדה'!H249</f>
        <v>תיאטרון</v>
      </c>
      <c r="F223" s="242"/>
      <c r="G223" s="242"/>
      <c r="H223" s="75"/>
      <c r="I223" s="243"/>
      <c r="J223" s="75"/>
      <c r="K223" s="77"/>
      <c r="L223" s="75"/>
      <c r="M223" s="78"/>
      <c r="N223" s="244"/>
      <c r="O223" s="79"/>
      <c r="P223" s="76" t="str">
        <f>IF(IFERROR(VLOOKUP(B223,'בקשות שאושרו'!$B$2:$I$466,1,0),"")="","",1)</f>
        <v/>
      </c>
      <c r="Q223" s="245" t="str">
        <f>IFERROR(VLOOKUP(B223,'בקשות שאושרו'!$B$2:$K$466,COLUMN('בקשות שאושרו'!$J$1)-COLUMN('בקשות שאושרו'!$B$1)+1,0),"")</f>
        <v/>
      </c>
    </row>
    <row r="224" spans="1:17" ht="57.75" x14ac:dyDescent="0.25">
      <c r="A224" s="240">
        <f>'סיכום לוועדה'!A250</f>
        <v>220</v>
      </c>
      <c r="B224" s="241">
        <f>'סיכום לוועדה'!E250</f>
        <v>20000201</v>
      </c>
      <c r="C224" s="241" t="str">
        <f>'סיכום לוועדה'!F250</f>
        <v>תל אביב -יפו</v>
      </c>
      <c r="D224" s="241" t="str">
        <f>'סיכום לוועדה'!G250</f>
        <v>להקת המחול פרסקו (ע"ר)</v>
      </c>
      <c r="E224" s="242" t="str">
        <f>'סיכום לוועדה'!H250</f>
        <v>מחול</v>
      </c>
      <c r="F224" s="242"/>
      <c r="G224" s="242"/>
      <c r="H224" s="75"/>
      <c r="I224" s="243"/>
      <c r="J224" s="75"/>
      <c r="K224" s="77"/>
      <c r="L224" s="75"/>
      <c r="M224" s="78"/>
      <c r="N224" s="244"/>
      <c r="O224" s="79"/>
      <c r="P224" s="76" t="str">
        <f>IF(IFERROR(VLOOKUP(B224,'בקשות שאושרו'!$B$2:$I$466,1,0),"")="","",1)</f>
        <v/>
      </c>
      <c r="Q224" s="245" t="str">
        <f>IFERROR(VLOOKUP(B224,'בקשות שאושרו'!$B$2:$K$466,COLUMN('בקשות שאושרו'!$J$1)-COLUMN('בקשות שאושרו'!$B$1)+1,0),"")</f>
        <v/>
      </c>
    </row>
    <row r="225" spans="1:17" ht="57.75" x14ac:dyDescent="0.25">
      <c r="A225" s="240">
        <f>'סיכום לוועדה'!A251</f>
        <v>221</v>
      </c>
      <c r="B225" s="241">
        <f>'סיכום לוועדה'!E251</f>
        <v>20000201</v>
      </c>
      <c r="C225" s="241" t="str">
        <f>'סיכום לוועדה'!F251</f>
        <v>תל אביב -יפו</v>
      </c>
      <c r="D225" s="241" t="str">
        <f>'סיכום לוועדה'!G251</f>
        <v>להקת המחול פרסקו (ע"ר)</v>
      </c>
      <c r="E225" s="242" t="str">
        <f>'סיכום לוועדה'!H251</f>
        <v>מחול</v>
      </c>
      <c r="F225" s="242"/>
      <c r="G225" s="242"/>
      <c r="H225" s="75"/>
      <c r="I225" s="243"/>
      <c r="J225" s="75"/>
      <c r="K225" s="77"/>
      <c r="L225" s="75"/>
      <c r="M225" s="78"/>
      <c r="N225" s="244"/>
      <c r="O225" s="79"/>
      <c r="P225" s="76" t="str">
        <f>IF(IFERROR(VLOOKUP(B225,'בקשות שאושרו'!$B$2:$I$466,1,0),"")="","",1)</f>
        <v/>
      </c>
      <c r="Q225" s="245" t="str">
        <f>IFERROR(VLOOKUP(B225,'בקשות שאושרו'!$B$2:$K$466,COLUMN('בקשות שאושרו'!$J$1)-COLUMN('בקשות שאושרו'!$B$1)+1,0),"")</f>
        <v/>
      </c>
    </row>
    <row r="226" spans="1:17" ht="72" x14ac:dyDescent="0.25">
      <c r="A226" s="240">
        <f>'סיכום לוועדה'!A252</f>
        <v>222</v>
      </c>
      <c r="B226" s="241">
        <f>'סיכום לוועדה'!E252</f>
        <v>20000147</v>
      </c>
      <c r="C226" s="241" t="str">
        <f>'סיכום לוועדה'!F252</f>
        <v>אילת</v>
      </c>
      <c r="D226" s="241" t="str">
        <f>'סיכום לוועדה'!G252</f>
        <v>אלעד - תיאטרון אילת והערבה (ע''ר)</v>
      </c>
      <c r="E226" s="242" t="str">
        <f>'סיכום לוועדה'!H252</f>
        <v>תיאטרון</v>
      </c>
      <c r="F226" s="242"/>
      <c r="G226" s="242"/>
      <c r="H226" s="75"/>
      <c r="I226" s="243"/>
      <c r="J226" s="75"/>
      <c r="K226" s="77"/>
      <c r="L226" s="75"/>
      <c r="M226" s="78"/>
      <c r="N226" s="244"/>
      <c r="O226" s="79"/>
      <c r="P226" s="76" t="str">
        <f>IF(IFERROR(VLOOKUP(B226,'בקשות שאושרו'!$B$2:$I$466,1,0),"")="","",1)</f>
        <v/>
      </c>
      <c r="Q226" s="245" t="str">
        <f>IFERROR(VLOOKUP(B226,'בקשות שאושרו'!$B$2:$K$466,COLUMN('בקשות שאושרו'!$J$1)-COLUMN('בקשות שאושרו'!$B$1)+1,0),"")</f>
        <v/>
      </c>
    </row>
    <row r="227" spans="1:17" ht="43.5" x14ac:dyDescent="0.25">
      <c r="A227" s="240">
        <f>'סיכום לוועדה'!A253</f>
        <v>223</v>
      </c>
      <c r="B227" s="241">
        <f>'סיכום לוועדה'!E253</f>
        <v>20000201</v>
      </c>
      <c r="C227" s="241" t="str">
        <f>'סיכום לוועדה'!F253</f>
        <v>תל אביב -יפו</v>
      </c>
      <c r="D227" s="241" t="str">
        <f>'סיכום לוועדה'!G253</f>
        <v>עמותת תיאטרון גלבוע</v>
      </c>
      <c r="E227" s="242" t="str">
        <f>'סיכום לוועדה'!H253</f>
        <v>אחר</v>
      </c>
      <c r="F227" s="242"/>
      <c r="G227" s="242"/>
      <c r="H227" s="75"/>
      <c r="I227" s="243"/>
      <c r="J227" s="75"/>
      <c r="K227" s="77"/>
      <c r="L227" s="75"/>
      <c r="M227" s="78"/>
      <c r="N227" s="244"/>
      <c r="O227" s="79"/>
      <c r="P227" s="76" t="str">
        <f>IF(IFERROR(VLOOKUP(B227,'בקשות שאושרו'!$B$2:$I$466,1,0),"")="","",1)</f>
        <v/>
      </c>
      <c r="Q227" s="245" t="str">
        <f>IFERROR(VLOOKUP(B227,'בקשות שאושרו'!$B$2:$K$466,COLUMN('בקשות שאושרו'!$J$1)-COLUMN('בקשות שאושרו'!$B$1)+1,0),"")</f>
        <v/>
      </c>
    </row>
    <row r="228" spans="1:17" ht="43.5" x14ac:dyDescent="0.25">
      <c r="A228" s="240">
        <f>'סיכום לוועדה'!A254</f>
        <v>224</v>
      </c>
      <c r="B228" s="241">
        <f>'סיכום לוועדה'!E254</f>
        <v>20000127</v>
      </c>
      <c r="C228" s="241" t="str">
        <f>'סיכום לוועדה'!F254</f>
        <v>הגליל העליון</v>
      </c>
      <c r="D228" s="241" t="str">
        <f>'סיכום לוועדה'!G254</f>
        <v>מוזיאון האדם הקדמון</v>
      </c>
      <c r="E228" s="242" t="str">
        <f>'סיכום לוועדה'!H254</f>
        <v>מוזיאונים</v>
      </c>
      <c r="F228" s="242"/>
      <c r="G228" s="242"/>
      <c r="H228" s="75"/>
      <c r="I228" s="243"/>
      <c r="J228" s="75"/>
      <c r="K228" s="77"/>
      <c r="L228" s="75"/>
      <c r="M228" s="78"/>
      <c r="N228" s="244"/>
      <c r="O228" s="79"/>
      <c r="P228" s="76" t="str">
        <f>IF(IFERROR(VLOOKUP(B228,'בקשות שאושרו'!$B$2:$I$466,1,0),"")="","",1)</f>
        <v/>
      </c>
      <c r="Q228" s="245" t="str">
        <f>IFERROR(VLOOKUP(B228,'בקשות שאושרו'!$B$2:$K$466,COLUMN('בקשות שאושרו'!$J$1)-COLUMN('בקשות שאושרו'!$B$1)+1,0),"")</f>
        <v/>
      </c>
    </row>
    <row r="229" spans="1:17" ht="57.75" x14ac:dyDescent="0.25">
      <c r="A229" s="240">
        <f>'סיכום לוועדה'!A255</f>
        <v>225</v>
      </c>
      <c r="B229" s="241">
        <f>'סיכום לוועדה'!E255</f>
        <v>20000201</v>
      </c>
      <c r="C229" s="241" t="str">
        <f>'סיכום לוועדה'!F255</f>
        <v>תל אביב -יפו</v>
      </c>
      <c r="D229" s="241" t="str">
        <f>'סיכום לוועדה'!G255</f>
        <v>התזמורת הפילהרמונית הישראלית</v>
      </c>
      <c r="E229" s="242" t="str">
        <f>'סיכום לוועדה'!H255</f>
        <v>מוסיקה-גופים כליים</v>
      </c>
      <c r="F229" s="242"/>
      <c r="G229" s="242"/>
      <c r="H229" s="75"/>
      <c r="I229" s="243"/>
      <c r="J229" s="75"/>
      <c r="K229" s="77"/>
      <c r="L229" s="75"/>
      <c r="M229" s="78"/>
      <c r="N229" s="244"/>
      <c r="O229" s="79"/>
      <c r="P229" s="76" t="str">
        <f>IF(IFERROR(VLOOKUP(B229,'בקשות שאושרו'!$B$2:$I$466,1,0),"")="","",1)</f>
        <v/>
      </c>
      <c r="Q229" s="245" t="str">
        <f>IFERROR(VLOOKUP(B229,'בקשות שאושרו'!$B$2:$K$466,COLUMN('בקשות שאושרו'!$J$1)-COLUMN('בקשות שאושרו'!$B$1)+1,0),"")</f>
        <v/>
      </c>
    </row>
    <row r="230" spans="1:17" ht="57.75" x14ac:dyDescent="0.25">
      <c r="A230" s="240">
        <f>'סיכום לוועדה'!A256</f>
        <v>226</v>
      </c>
      <c r="B230" s="241">
        <f>'סיכום לוועדה'!E256</f>
        <v>20000159</v>
      </c>
      <c r="C230" s="241" t="str">
        <f>'סיכום לוועדה'!F256</f>
        <v>ירושלים</v>
      </c>
      <c r="D230" s="241" t="str">
        <f>'סיכום לוועדה'!G256</f>
        <v>מגדל דוד- מוזיאון לתולדות י-ם</v>
      </c>
      <c r="E230" s="242" t="str">
        <f>'סיכום לוועדה'!H256</f>
        <v>מוזיאונים</v>
      </c>
      <c r="F230" s="242"/>
      <c r="G230" s="242"/>
      <c r="H230" s="75"/>
      <c r="I230" s="243"/>
      <c r="J230" s="75"/>
      <c r="K230" s="77"/>
      <c r="L230" s="75"/>
      <c r="M230" s="78"/>
      <c r="N230" s="244"/>
      <c r="O230" s="79"/>
      <c r="P230" s="76" t="str">
        <f>IF(IFERROR(VLOOKUP(B230,'בקשות שאושרו'!$B$2:$I$466,1,0),"")="","",1)</f>
        <v/>
      </c>
      <c r="Q230" s="245" t="str">
        <f>IFERROR(VLOOKUP(B230,'בקשות שאושרו'!$B$2:$K$466,COLUMN('בקשות שאושרו'!$J$1)-COLUMN('בקשות שאושרו'!$B$1)+1,0),"")</f>
        <v/>
      </c>
    </row>
    <row r="231" spans="1:17" ht="43.5" x14ac:dyDescent="0.25">
      <c r="A231" s="240">
        <f>'סיכום לוועדה'!A257</f>
        <v>227</v>
      </c>
      <c r="B231" s="241">
        <f>'סיכום לוועדה'!E257</f>
        <v>20000159</v>
      </c>
      <c r="C231" s="241" t="str">
        <f>'סיכום לוועדה'!F257</f>
        <v>ירושלים</v>
      </c>
      <c r="D231" s="241" t="str">
        <f>'סיכום לוועדה'!G257</f>
        <v>מרכז עדן תמיר למוסיקה</v>
      </c>
      <c r="E231" s="242" t="str">
        <f>'סיכום לוועדה'!H257</f>
        <v>מרכזי מוסיקה</v>
      </c>
      <c r="F231" s="242"/>
      <c r="G231" s="242"/>
      <c r="H231" s="75"/>
      <c r="I231" s="243"/>
      <c r="J231" s="75"/>
      <c r="K231" s="77"/>
      <c r="L231" s="75"/>
      <c r="M231" s="78"/>
      <c r="N231" s="244"/>
      <c r="O231" s="79"/>
      <c r="P231" s="76" t="str">
        <f>IF(IFERROR(VLOOKUP(B231,'בקשות שאושרו'!$B$2:$I$466,1,0),"")="","",1)</f>
        <v/>
      </c>
      <c r="Q231" s="245" t="str">
        <f>IFERROR(VLOOKUP(B231,'בקשות שאושרו'!$B$2:$K$466,COLUMN('בקשות שאושרו'!$J$1)-COLUMN('בקשות שאושרו'!$B$1)+1,0),"")</f>
        <v/>
      </c>
    </row>
    <row r="232" spans="1:17" ht="57.75" x14ac:dyDescent="0.25">
      <c r="A232" s="240">
        <f>'סיכום לוועדה'!A258</f>
        <v>228</v>
      </c>
      <c r="B232" s="241">
        <f>'סיכום לוועדה'!E258</f>
        <v>20000102</v>
      </c>
      <c r="C232" s="241" t="str">
        <f>'סיכום לוועדה'!F258</f>
        <v>מעלות-תרשיחא</v>
      </c>
      <c r="D232" s="241" t="str">
        <f>'סיכום לוועדה'!G258</f>
        <v>"קתרין" לקידום המוסיקה, מחול ואומנו</v>
      </c>
      <c r="E232" s="242" t="str">
        <f>'סיכום לוועדה'!H258</f>
        <v>אחר</v>
      </c>
      <c r="F232" s="242"/>
      <c r="G232" s="242"/>
      <c r="H232" s="75"/>
      <c r="I232" s="243"/>
      <c r="J232" s="75"/>
      <c r="K232" s="77"/>
      <c r="L232" s="75"/>
      <c r="M232" s="78"/>
      <c r="N232" s="244"/>
      <c r="O232" s="79"/>
      <c r="P232" s="76" t="str">
        <f>IF(IFERROR(VLOOKUP(B232,'בקשות שאושרו'!$B$2:$I$466,1,0),"")="","",1)</f>
        <v/>
      </c>
      <c r="Q232" s="245" t="str">
        <f>IFERROR(VLOOKUP(B232,'בקשות שאושרו'!$B$2:$K$466,COLUMN('בקשות שאושרו'!$J$1)-COLUMN('בקשות שאושרו'!$B$1)+1,0),"")</f>
        <v/>
      </c>
    </row>
    <row r="233" spans="1:17" ht="43.5" x14ac:dyDescent="0.25">
      <c r="A233" s="240">
        <f>'סיכום לוועדה'!A259</f>
        <v>229</v>
      </c>
      <c r="B233" s="241">
        <f>'סיכום לוועדה'!E259</f>
        <v>20000150</v>
      </c>
      <c r="C233" s="241" t="str">
        <f>'סיכום לוועדה'!F259</f>
        <v>קריית גת</v>
      </c>
      <c r="D233" s="241" t="str">
        <f>'סיכום לוועדה'!G259</f>
        <v>מוזיקה פורטת גבולות</v>
      </c>
      <c r="E233" s="242" t="str">
        <f>'סיכום לוועדה'!H259</f>
        <v>תרבות בקהילה</v>
      </c>
      <c r="F233" s="242"/>
      <c r="G233" s="242"/>
      <c r="H233" s="75"/>
      <c r="I233" s="243"/>
      <c r="J233" s="75"/>
      <c r="K233" s="77"/>
      <c r="L233" s="75"/>
      <c r="M233" s="78"/>
      <c r="N233" s="244"/>
      <c r="O233" s="79"/>
      <c r="P233" s="76" t="str">
        <f>IF(IFERROR(VLOOKUP(B233,'בקשות שאושרו'!$B$2:$I$466,1,0),"")="","",1)</f>
        <v/>
      </c>
      <c r="Q233" s="245" t="str">
        <f>IFERROR(VLOOKUP(B233,'בקשות שאושרו'!$B$2:$K$466,COLUMN('בקשות שאושרו'!$J$1)-COLUMN('בקשות שאושרו'!$B$1)+1,0),"")</f>
        <v/>
      </c>
    </row>
    <row r="234" spans="1:17" ht="43.5" x14ac:dyDescent="0.25">
      <c r="A234" s="240">
        <f>'סיכום לוועדה'!A260</f>
        <v>230</v>
      </c>
      <c r="B234" s="241">
        <f>'סיכום לוועדה'!E260</f>
        <v>20000035</v>
      </c>
      <c r="C234" s="241" t="str">
        <f>'סיכום לוועדה'!F260</f>
        <v>מגאר</v>
      </c>
      <c r="D234" s="241" t="str">
        <f>'סיכום לוועדה'!G260</f>
        <v>תיאטרון הגליל הקהילתי</v>
      </c>
      <c r="E234" s="242" t="str">
        <f>'סיכום לוועדה'!H260</f>
        <v>תיאטרון</v>
      </c>
      <c r="F234" s="242"/>
      <c r="G234" s="242"/>
      <c r="H234" s="75"/>
      <c r="I234" s="243"/>
      <c r="J234" s="75"/>
      <c r="K234" s="77"/>
      <c r="L234" s="75"/>
      <c r="M234" s="78"/>
      <c r="N234" s="244"/>
      <c r="O234" s="79"/>
      <c r="P234" s="76" t="str">
        <f>IF(IFERROR(VLOOKUP(B234,'בקשות שאושרו'!$B$2:$I$466,1,0),"")="","",1)</f>
        <v/>
      </c>
      <c r="Q234" s="245" t="str">
        <f>IFERROR(VLOOKUP(B234,'בקשות שאושרו'!$B$2:$K$466,COLUMN('בקשות שאושרו'!$J$1)-COLUMN('בקשות שאושרו'!$B$1)+1,0),"")</f>
        <v/>
      </c>
    </row>
    <row r="235" spans="1:17" ht="57.75" x14ac:dyDescent="0.25">
      <c r="A235" s="240">
        <f>'סיכום לוועדה'!A261</f>
        <v>231</v>
      </c>
      <c r="B235" s="241">
        <f>'סיכום לוועדה'!E261</f>
        <v>20000159</v>
      </c>
      <c r="C235" s="241" t="str">
        <f>'סיכום לוועדה'!F261</f>
        <v>ירושלים</v>
      </c>
      <c r="D235" s="241" t="str">
        <f>'סיכום לוועדה'!G261</f>
        <v>מחול שלם - בית עכשווי למחול (ע"ר)</v>
      </c>
      <c r="E235" s="242" t="str">
        <f>'סיכום לוועדה'!H261</f>
        <v>מרכזי מחול</v>
      </c>
      <c r="F235" s="242"/>
      <c r="G235" s="242"/>
      <c r="H235" s="75"/>
      <c r="I235" s="243"/>
      <c r="J235" s="75"/>
      <c r="K235" s="77"/>
      <c r="L235" s="75"/>
      <c r="M235" s="78"/>
      <c r="N235" s="244"/>
      <c r="O235" s="79"/>
      <c r="P235" s="76" t="str">
        <f>IF(IFERROR(VLOOKUP(B235,'בקשות שאושרו'!$B$2:$I$466,1,0),"")="","",1)</f>
        <v/>
      </c>
      <c r="Q235" s="245" t="str">
        <f>IFERROR(VLOOKUP(B235,'בקשות שאושרו'!$B$2:$K$466,COLUMN('בקשות שאושרו'!$J$1)-COLUMN('בקשות שאושרו'!$B$1)+1,0),"")</f>
        <v/>
      </c>
    </row>
    <row r="236" spans="1:17" ht="57.75" x14ac:dyDescent="0.25">
      <c r="A236" s="240">
        <f>'סיכום לוועדה'!A262</f>
        <v>232</v>
      </c>
      <c r="B236" s="241">
        <f>'סיכום לוועדה'!E262</f>
        <v>20000159</v>
      </c>
      <c r="C236" s="241" t="str">
        <f>'סיכום לוועדה'!F262</f>
        <v>ירושלים</v>
      </c>
      <c r="D236" s="241" t="str">
        <f>'סיכום לוועדה'!G262</f>
        <v>מחול שלם - בית עכשווי למחול (ע"ר)</v>
      </c>
      <c r="E236" s="242" t="str">
        <f>'סיכום לוועדה'!H262</f>
        <v>מחול</v>
      </c>
      <c r="F236" s="242"/>
      <c r="G236" s="242"/>
      <c r="H236" s="75"/>
      <c r="I236" s="243"/>
      <c r="J236" s="75"/>
      <c r="K236" s="77"/>
      <c r="L236" s="75"/>
      <c r="M236" s="78"/>
      <c r="N236" s="244"/>
      <c r="O236" s="79"/>
      <c r="P236" s="76" t="str">
        <f>IF(IFERROR(VLOOKUP(B236,'בקשות שאושרו'!$B$2:$I$466,1,0),"")="","",1)</f>
        <v/>
      </c>
      <c r="Q236" s="245" t="str">
        <f>IFERROR(VLOOKUP(B236,'בקשות שאושרו'!$B$2:$K$466,COLUMN('בקשות שאושרו'!$J$1)-COLUMN('בקשות שאושרו'!$B$1)+1,0),"")</f>
        <v/>
      </c>
    </row>
    <row r="237" spans="1:17" ht="43.5" x14ac:dyDescent="0.25">
      <c r="A237" s="240">
        <f>'סיכום לוועדה'!A263</f>
        <v>233</v>
      </c>
      <c r="B237" s="241">
        <f>'סיכום לוועדה'!E263</f>
        <v>20000254</v>
      </c>
      <c r="C237" s="241" t="str">
        <f>'סיכום לוועדה'!F263</f>
        <v>באר שבע</v>
      </c>
      <c r="D237" s="241" t="str">
        <f>'סיכום לוועדה'!G263</f>
        <v>עמותת הבית למחול</v>
      </c>
      <c r="E237" s="242" t="str">
        <f>'סיכום לוועדה'!H263</f>
        <v>מחול</v>
      </c>
      <c r="F237" s="242"/>
      <c r="G237" s="242"/>
      <c r="H237" s="75"/>
      <c r="I237" s="243"/>
      <c r="J237" s="75"/>
      <c r="K237" s="77"/>
      <c r="L237" s="75"/>
      <c r="M237" s="78"/>
      <c r="N237" s="244"/>
      <c r="O237" s="79"/>
      <c r="P237" s="76" t="str">
        <f>IF(IFERROR(VLOOKUP(B237,'בקשות שאושרו'!$B$2:$I$466,1,0),"")="","",1)</f>
        <v/>
      </c>
      <c r="Q237" s="245" t="str">
        <f>IFERROR(VLOOKUP(B237,'בקשות שאושרו'!$B$2:$K$466,COLUMN('בקשות שאושרו'!$J$1)-COLUMN('בקשות שאושרו'!$B$1)+1,0),"")</f>
        <v/>
      </c>
    </row>
    <row r="238" spans="1:17" ht="72" x14ac:dyDescent="0.25">
      <c r="A238" s="240">
        <f>'סיכום לוועדה'!A264</f>
        <v>234</v>
      </c>
      <c r="B238" s="241">
        <f>'סיכום לוועדה'!E264</f>
        <v>20000182</v>
      </c>
      <c r="C238" s="241" t="str">
        <f>'סיכום לוועדה'!F264</f>
        <v>חיפה</v>
      </c>
      <c r="D238" s="241" t="str">
        <f>'סיכום לוועדה'!G264</f>
        <v>אתו"ס - החברה לאומנות תרבות וספורט</v>
      </c>
      <c r="E238" s="242" t="str">
        <f>'סיכום לוועדה'!H264</f>
        <v>אחר</v>
      </c>
      <c r="F238" s="242"/>
      <c r="G238" s="242"/>
      <c r="H238" s="75"/>
      <c r="I238" s="243"/>
      <c r="J238" s="75"/>
      <c r="K238" s="77"/>
      <c r="L238" s="75"/>
      <c r="M238" s="78"/>
      <c r="N238" s="244"/>
      <c r="O238" s="79"/>
      <c r="P238" s="76" t="str">
        <f>IF(IFERROR(VLOOKUP(B238,'בקשות שאושרו'!$B$2:$I$466,1,0),"")="","",1)</f>
        <v/>
      </c>
      <c r="Q238" s="245" t="str">
        <f>IFERROR(VLOOKUP(B238,'בקשות שאושרו'!$B$2:$K$466,COLUMN('בקשות שאושרו'!$J$1)-COLUMN('בקשות שאושרו'!$B$1)+1,0),"")</f>
        <v/>
      </c>
    </row>
    <row r="239" spans="1:17" ht="72" x14ac:dyDescent="0.25">
      <c r="A239" s="240">
        <f>'סיכום לוועדה'!A265</f>
        <v>235</v>
      </c>
      <c r="B239" s="241">
        <f>'סיכום לוועדה'!E265</f>
        <v>20000182</v>
      </c>
      <c r="C239" s="241" t="str">
        <f>'סיכום לוועדה'!F265</f>
        <v>חיפה</v>
      </c>
      <c r="D239" s="241" t="str">
        <f>'סיכום לוועדה'!G265</f>
        <v>אתו"ס - החברה לאומנות תרבות וספורט</v>
      </c>
      <c r="E239" s="242" t="str">
        <f>'סיכום לוועדה'!H265</f>
        <v>סינמטקים ופסטיבלים</v>
      </c>
      <c r="F239" s="242"/>
      <c r="G239" s="242"/>
      <c r="H239" s="75"/>
      <c r="I239" s="243"/>
      <c r="J239" s="75"/>
      <c r="K239" s="77"/>
      <c r="L239" s="75"/>
      <c r="M239" s="78"/>
      <c r="N239" s="244"/>
      <c r="O239" s="79"/>
      <c r="P239" s="76" t="str">
        <f>IF(IFERROR(VLOOKUP(B239,'בקשות שאושרו'!$B$2:$I$466,1,0),"")="","",1)</f>
        <v/>
      </c>
      <c r="Q239" s="245" t="str">
        <f>IFERROR(VLOOKUP(B239,'בקשות שאושרו'!$B$2:$K$466,COLUMN('בקשות שאושרו'!$J$1)-COLUMN('בקשות שאושרו'!$B$1)+1,0),"")</f>
        <v/>
      </c>
    </row>
    <row r="240" spans="1:17" ht="72" x14ac:dyDescent="0.25">
      <c r="A240" s="240">
        <f>'סיכום לוועדה'!A266</f>
        <v>236</v>
      </c>
      <c r="B240" s="241">
        <f>'סיכום לוועדה'!E266</f>
        <v>20000182</v>
      </c>
      <c r="C240" s="241" t="str">
        <f>'סיכום לוועדה'!F266</f>
        <v>חיפה</v>
      </c>
      <c r="D240" s="241" t="str">
        <f>'סיכום לוועדה'!G266</f>
        <v>אתו"ס - החברה לאומנות תרבות וספורט</v>
      </c>
      <c r="E240" s="242" t="str">
        <f>'סיכום לוועדה'!H266</f>
        <v>סינמטקים ופסטיבלים</v>
      </c>
      <c r="F240" s="242"/>
      <c r="G240" s="242"/>
      <c r="H240" s="75"/>
      <c r="I240" s="243"/>
      <c r="J240" s="75"/>
      <c r="K240" s="77"/>
      <c r="L240" s="75"/>
      <c r="M240" s="78"/>
      <c r="N240" s="244"/>
      <c r="O240" s="79"/>
      <c r="P240" s="76" t="str">
        <f>IF(IFERROR(VLOOKUP(B240,'בקשות שאושרו'!$B$2:$I$466,1,0),"")="","",1)</f>
        <v/>
      </c>
      <c r="Q240" s="245" t="str">
        <f>IFERROR(VLOOKUP(B240,'בקשות שאושרו'!$B$2:$K$466,COLUMN('בקשות שאושרו'!$J$1)-COLUMN('בקשות שאושרו'!$B$1)+1,0),"")</f>
        <v/>
      </c>
    </row>
    <row r="241" spans="1:17" ht="57.75" x14ac:dyDescent="0.25">
      <c r="A241" s="240">
        <f>'סיכום לוועדה'!A267</f>
        <v>237</v>
      </c>
      <c r="B241" s="241">
        <f>'סיכום לוועדה'!E267</f>
        <v>20000182</v>
      </c>
      <c r="C241" s="241" t="str">
        <f>'סיכום לוועדה'!F267</f>
        <v>חיפה</v>
      </c>
      <c r="D241" s="241" t="str">
        <f>'סיכום לוועדה'!G267</f>
        <v>תיאטרון עירוני חיפה בע"מ (חל"צ)</v>
      </c>
      <c r="E241" s="242" t="str">
        <f>'סיכום לוועדה'!H267</f>
        <v>תיאטרון</v>
      </c>
      <c r="F241" s="242"/>
      <c r="G241" s="242"/>
      <c r="H241" s="75"/>
      <c r="I241" s="243"/>
      <c r="J241" s="75"/>
      <c r="K241" s="77"/>
      <c r="L241" s="75"/>
      <c r="M241" s="78"/>
      <c r="N241" s="244"/>
      <c r="O241" s="79"/>
      <c r="P241" s="76" t="str">
        <f>IF(IFERROR(VLOOKUP(B241,'בקשות שאושרו'!$B$2:$I$466,1,0),"")="","",1)</f>
        <v/>
      </c>
      <c r="Q241" s="245" t="str">
        <f>IFERROR(VLOOKUP(B241,'בקשות שאושרו'!$B$2:$K$466,COLUMN('בקשות שאושרו'!$J$1)-COLUMN('בקשות שאושרו'!$B$1)+1,0),"")</f>
        <v/>
      </c>
    </row>
    <row r="242" spans="1:17" ht="57.75" x14ac:dyDescent="0.25">
      <c r="A242" s="240">
        <f>'סיכום לוועדה'!A268</f>
        <v>238</v>
      </c>
      <c r="B242" s="241">
        <f>'סיכום לוועדה'!E268</f>
        <v>20000182</v>
      </c>
      <c r="C242" s="241" t="str">
        <f>'סיכום לוועדה'!F268</f>
        <v>חיפה</v>
      </c>
      <c r="D242" s="241" t="str">
        <f>'סיכום לוועדה'!G268</f>
        <v>תיאטרון עירוני חיפה בע"מ (חל"צ)</v>
      </c>
      <c r="E242" s="242" t="str">
        <f>'סיכום לוועדה'!H268</f>
        <v>סינמטקים ופסטיבלים</v>
      </c>
      <c r="F242" s="242"/>
      <c r="G242" s="242"/>
      <c r="H242" s="75"/>
      <c r="I242" s="243"/>
      <c r="J242" s="75"/>
      <c r="K242" s="77"/>
      <c r="L242" s="75"/>
      <c r="M242" s="78"/>
      <c r="N242" s="244"/>
      <c r="O242" s="79"/>
      <c r="P242" s="76" t="str">
        <f>IF(IFERROR(VLOOKUP(B242,'בקשות שאושרו'!$B$2:$I$466,1,0),"")="","",1)</f>
        <v/>
      </c>
      <c r="Q242" s="245" t="str">
        <f>IFERROR(VLOOKUP(B242,'בקשות שאושרו'!$B$2:$K$466,COLUMN('בקשות שאושרו'!$J$1)-COLUMN('בקשות שאושרו'!$B$1)+1,0),"")</f>
        <v/>
      </c>
    </row>
    <row r="243" spans="1:17" ht="72" x14ac:dyDescent="0.25">
      <c r="A243" s="240">
        <f>'סיכום לוועדה'!A269</f>
        <v>239</v>
      </c>
      <c r="B243" s="241">
        <f>'סיכום לוועדה'!E269</f>
        <v>20000201</v>
      </c>
      <c r="C243" s="241" t="str">
        <f>'סיכום לוועדה'!F269</f>
        <v>תל אביב -יפו</v>
      </c>
      <c r="D243" s="241" t="str">
        <f>'סיכום לוועדה'!G269</f>
        <v>צוותא לתרבות מתקדמת בע"מ (חל"צ)</v>
      </c>
      <c r="E243" s="242" t="str">
        <f>'סיכום לוועדה'!H269</f>
        <v>ספרות</v>
      </c>
      <c r="F243" s="242"/>
      <c r="G243" s="242"/>
      <c r="H243" s="75"/>
      <c r="I243" s="243"/>
      <c r="J243" s="75"/>
      <c r="K243" s="77"/>
      <c r="L243" s="75"/>
      <c r="M243" s="78"/>
      <c r="N243" s="244"/>
      <c r="O243" s="79"/>
      <c r="P243" s="76" t="str">
        <f>IF(IFERROR(VLOOKUP(B243,'בקשות שאושרו'!$B$2:$I$466,1,0),"")="","",1)</f>
        <v/>
      </c>
      <c r="Q243" s="245" t="str">
        <f>IFERROR(VLOOKUP(B243,'בקשות שאושרו'!$B$2:$K$466,COLUMN('בקשות שאושרו'!$J$1)-COLUMN('בקשות שאושרו'!$B$1)+1,0),"")</f>
        <v/>
      </c>
    </row>
    <row r="244" spans="1:17" ht="72" x14ac:dyDescent="0.25">
      <c r="A244" s="240">
        <f>'סיכום לוועדה'!A270</f>
        <v>240</v>
      </c>
      <c r="B244" s="241">
        <f>'סיכום לוועדה'!E270</f>
        <v>20000201</v>
      </c>
      <c r="C244" s="241" t="str">
        <f>'סיכום לוועדה'!F270</f>
        <v>תל אביב -יפו</v>
      </c>
      <c r="D244" s="241" t="str">
        <f>'סיכום לוועדה'!G270</f>
        <v>צוותא לתרבות מתקדמת בע"מ (חל"צ)</v>
      </c>
      <c r="E244" s="242" t="str">
        <f>'סיכום לוועדה'!H270</f>
        <v>מרכזי פרינג'</v>
      </c>
      <c r="F244" s="242"/>
      <c r="G244" s="242"/>
      <c r="H244" s="75"/>
      <c r="I244" s="243"/>
      <c r="J244" s="75"/>
      <c r="K244" s="77"/>
      <c r="L244" s="75"/>
      <c r="M244" s="78"/>
      <c r="N244" s="244"/>
      <c r="O244" s="79"/>
      <c r="P244" s="76" t="str">
        <f>IF(IFERROR(VLOOKUP(B244,'בקשות שאושרו'!$B$2:$I$466,1,0),"")="","",1)</f>
        <v/>
      </c>
      <c r="Q244" s="245" t="str">
        <f>IFERROR(VLOOKUP(B244,'בקשות שאושרו'!$B$2:$K$466,COLUMN('בקשות שאושרו'!$J$1)-COLUMN('בקשות שאושרו'!$B$1)+1,0),"")</f>
        <v/>
      </c>
    </row>
    <row r="245" spans="1:17" ht="72" x14ac:dyDescent="0.25">
      <c r="A245" s="240">
        <f>'סיכום לוועדה'!A271</f>
        <v>241</v>
      </c>
      <c r="B245" s="241">
        <f>'סיכום לוועדה'!E271</f>
        <v>20000201</v>
      </c>
      <c r="C245" s="241" t="str">
        <f>'סיכום לוועדה'!F271</f>
        <v>תל אביב -יפו</v>
      </c>
      <c r="D245" s="241" t="str">
        <f>'סיכום לוועדה'!G271</f>
        <v>צוותא לתרבות מתקדמת בע"מ (חל"צ)</v>
      </c>
      <c r="E245" s="242" t="str">
        <f>'סיכום לוועדה'!H271</f>
        <v>אחר</v>
      </c>
      <c r="F245" s="242"/>
      <c r="G245" s="242"/>
      <c r="H245" s="75"/>
      <c r="I245" s="243"/>
      <c r="J245" s="75"/>
      <c r="K245" s="77"/>
      <c r="L245" s="75"/>
      <c r="M245" s="78"/>
      <c r="N245" s="244"/>
      <c r="O245" s="79"/>
      <c r="P245" s="76" t="str">
        <f>IF(IFERROR(VLOOKUP(B245,'בקשות שאושרו'!$B$2:$I$466,1,0),"")="","",1)</f>
        <v/>
      </c>
      <c r="Q245" s="245" t="str">
        <f>IFERROR(VLOOKUP(B245,'בקשות שאושרו'!$B$2:$K$466,COLUMN('בקשות שאושרו'!$J$1)-COLUMN('בקשות שאושרו'!$B$1)+1,0),"")</f>
        <v/>
      </c>
    </row>
    <row r="246" spans="1:17" ht="72" x14ac:dyDescent="0.25">
      <c r="A246" s="240">
        <f>'סיכום לוועדה'!A272</f>
        <v>242</v>
      </c>
      <c r="B246" s="241">
        <f>'סיכום לוועדה'!E272</f>
        <v>20000201</v>
      </c>
      <c r="C246" s="241" t="str">
        <f>'סיכום לוועדה'!F272</f>
        <v>תל אביב -יפו</v>
      </c>
      <c r="D246" s="241" t="str">
        <f>'סיכום לוועדה'!G272</f>
        <v>צוותא לתרבות מתקדמת בע"מ (חל"צ)</v>
      </c>
      <c r="E246" s="242" t="str">
        <f>'סיכום לוועדה'!H272</f>
        <v>סינמטקים ופסטיבלים</v>
      </c>
      <c r="F246" s="242"/>
      <c r="G246" s="242"/>
      <c r="H246" s="75"/>
      <c r="I246" s="243"/>
      <c r="J246" s="75"/>
      <c r="K246" s="77"/>
      <c r="L246" s="75"/>
      <c r="M246" s="78"/>
      <c r="N246" s="244"/>
      <c r="O246" s="79"/>
      <c r="P246" s="76" t="str">
        <f>IF(IFERROR(VLOOKUP(B246,'בקשות שאושרו'!$B$2:$I$466,1,0),"")="","",1)</f>
        <v/>
      </c>
      <c r="Q246" s="245" t="str">
        <f>IFERROR(VLOOKUP(B246,'בקשות שאושרו'!$B$2:$K$466,COLUMN('בקשות שאושרו'!$J$1)-COLUMN('בקשות שאושרו'!$B$1)+1,0),"")</f>
        <v/>
      </c>
    </row>
    <row r="247" spans="1:17" ht="72" x14ac:dyDescent="0.25">
      <c r="A247" s="240">
        <f>'סיכום לוועדה'!A273</f>
        <v>243</v>
      </c>
      <c r="B247" s="241">
        <f>'סיכום לוועדה'!E273</f>
        <v>20000201</v>
      </c>
      <c r="C247" s="241" t="str">
        <f>'סיכום לוועדה'!F273</f>
        <v>תל אביב -יפו</v>
      </c>
      <c r="D247" s="241" t="str">
        <f>'סיכום לוועדה'!G273</f>
        <v>צוותא לתרבות מתקדמת בע"מ (חל"צ)</v>
      </c>
      <c r="E247" s="242" t="str">
        <f>'סיכום לוועדה'!H273</f>
        <v>סינמטקים ופסטיבלים</v>
      </c>
      <c r="F247" s="242"/>
      <c r="G247" s="242"/>
      <c r="H247" s="75"/>
      <c r="I247" s="243"/>
      <c r="J247" s="75"/>
      <c r="K247" s="77"/>
      <c r="L247" s="75"/>
      <c r="M247" s="78"/>
      <c r="N247" s="244"/>
      <c r="O247" s="79"/>
      <c r="P247" s="76" t="str">
        <f>IF(IFERROR(VLOOKUP(B247,'בקשות שאושרו'!$B$2:$I$466,1,0),"")="","",1)</f>
        <v/>
      </c>
      <c r="Q247" s="245" t="str">
        <f>IFERROR(VLOOKUP(B247,'בקשות שאושרו'!$B$2:$K$466,COLUMN('בקשות שאושרו'!$J$1)-COLUMN('בקשות שאושרו'!$B$1)+1,0),"")</f>
        <v/>
      </c>
    </row>
    <row r="248" spans="1:17" ht="43.5" x14ac:dyDescent="0.25">
      <c r="A248" s="240">
        <f>'סיכום לוועדה'!A274</f>
        <v>244</v>
      </c>
      <c r="B248" s="241">
        <f>'סיכום לוועדה'!E274</f>
        <v>20000159</v>
      </c>
      <c r="C248" s="241" t="str">
        <f>'סיכום לוועדה'!F274</f>
        <v>ירושלים</v>
      </c>
      <c r="D248" s="241" t="str">
        <f>'סיכום לוועדה'!G274</f>
        <v>פסטיבל ישראל ירושלים</v>
      </c>
      <c r="E248" s="242" t="str">
        <f>'סיכום לוועדה'!H274</f>
        <v>סינמטקים ופסטיבלים</v>
      </c>
      <c r="F248" s="242"/>
      <c r="G248" s="242"/>
      <c r="H248" s="75"/>
      <c r="I248" s="243"/>
      <c r="J248" s="75"/>
      <c r="K248" s="77"/>
      <c r="L248" s="75"/>
      <c r="M248" s="78"/>
      <c r="N248" s="244"/>
      <c r="O248" s="79"/>
      <c r="P248" s="76" t="str">
        <f>IF(IFERROR(VLOOKUP(B248,'בקשות שאושרו'!$B$2:$I$466,1,0),"")="","",1)</f>
        <v/>
      </c>
      <c r="Q248" s="245" t="str">
        <f>IFERROR(VLOOKUP(B248,'בקשות שאושרו'!$B$2:$K$466,COLUMN('בקשות שאושרו'!$J$1)-COLUMN('בקשות שאושרו'!$B$1)+1,0),"")</f>
        <v/>
      </c>
    </row>
    <row r="249" spans="1:17" x14ac:dyDescent="0.25">
      <c r="A249" s="240">
        <f>'סיכום לוועדה'!A275</f>
        <v>245</v>
      </c>
      <c r="B249" s="241" t="str">
        <f>'סיכום לוועדה'!E275</f>
        <v/>
      </c>
      <c r="C249" s="241" t="str">
        <f>'סיכום לוועדה'!F275</f>
        <v/>
      </c>
      <c r="D249" s="241" t="str">
        <f>'סיכום לוועדה'!G275</f>
        <v/>
      </c>
      <c r="E249" s="242" t="str">
        <f>'סיכום לוועדה'!H275</f>
        <v/>
      </c>
      <c r="F249" s="242"/>
      <c r="G249" s="242"/>
      <c r="H249" s="75"/>
      <c r="I249" s="243"/>
      <c r="J249" s="75"/>
      <c r="K249" s="77"/>
      <c r="L249" s="75"/>
      <c r="M249" s="78"/>
      <c r="N249" s="244"/>
      <c r="O249" s="79"/>
      <c r="P249" s="76" t="str">
        <f>IF(IFERROR(VLOOKUP(B249,'בקשות שאושרו'!$B$2:$I$466,1,0),"")="","",1)</f>
        <v/>
      </c>
      <c r="Q249" s="245" t="str">
        <f>IFERROR(VLOOKUP(B249,'בקשות שאושרו'!$B$2:$K$466,COLUMN('בקשות שאושרו'!$J$1)-COLUMN('בקשות שאושרו'!$B$1)+1,0),"")</f>
        <v/>
      </c>
    </row>
    <row r="250" spans="1:17" ht="29.25" x14ac:dyDescent="0.25">
      <c r="A250" s="240">
        <f>'סיכום לוועדה'!A276</f>
        <v>246</v>
      </c>
      <c r="B250" s="241">
        <f>'סיכום לוועדה'!E276</f>
        <v>20000201</v>
      </c>
      <c r="C250" s="241" t="str">
        <f>'סיכום לוועדה'!F276</f>
        <v>תל אביב -יפו</v>
      </c>
      <c r="D250" s="241" t="str">
        <f>'סיכום לוועדה'!G276</f>
        <v>תיאטרון "גשר"</v>
      </c>
      <c r="E250" s="242" t="str">
        <f>'סיכום לוועדה'!H276</f>
        <v>תיאטרון</v>
      </c>
      <c r="F250" s="242"/>
      <c r="G250" s="242"/>
      <c r="H250" s="75"/>
      <c r="I250" s="243"/>
      <c r="J250" s="75"/>
      <c r="K250" s="77"/>
      <c r="L250" s="75"/>
      <c r="M250" s="78"/>
      <c r="N250" s="244"/>
      <c r="O250" s="79"/>
      <c r="P250" s="76" t="str">
        <f>IF(IFERROR(VLOOKUP(B250,'בקשות שאושרו'!$B$2:$I$466,1,0),"")="","",1)</f>
        <v/>
      </c>
      <c r="Q250" s="245" t="str">
        <f>IFERROR(VLOOKUP(B250,'בקשות שאושרו'!$B$2:$K$466,COLUMN('בקשות שאושרו'!$J$1)-COLUMN('בקשות שאושרו'!$B$1)+1,0),"")</f>
        <v/>
      </c>
    </row>
    <row r="251" spans="1:17" ht="29.25" x14ac:dyDescent="0.25">
      <c r="A251" s="240">
        <f>'סיכום לוועדה'!A277</f>
        <v>247</v>
      </c>
      <c r="B251" s="241">
        <f>'סיכום לוועדה'!E277</f>
        <v>20000201</v>
      </c>
      <c r="C251" s="241" t="str">
        <f>'סיכום לוועדה'!F277</f>
        <v>תל אביב -יפו</v>
      </c>
      <c r="D251" s="241" t="str">
        <f>'סיכום לוועדה'!G277</f>
        <v>תיאטרון "גשר"</v>
      </c>
      <c r="E251" s="242" t="str">
        <f>'סיכום לוועדה'!H277</f>
        <v>סינמטקים ופסטיבלים</v>
      </c>
      <c r="F251" s="242"/>
      <c r="G251" s="242"/>
      <c r="H251" s="75"/>
      <c r="I251" s="243"/>
      <c r="J251" s="75"/>
      <c r="K251" s="77"/>
      <c r="L251" s="75"/>
      <c r="M251" s="78"/>
      <c r="N251" s="244"/>
      <c r="O251" s="79"/>
      <c r="P251" s="76" t="str">
        <f>IF(IFERROR(VLOOKUP(B251,'בקשות שאושרו'!$B$2:$I$466,1,0),"")="","",1)</f>
        <v/>
      </c>
      <c r="Q251" s="245" t="str">
        <f>IFERROR(VLOOKUP(B251,'בקשות שאושרו'!$B$2:$K$466,COLUMN('בקשות שאושרו'!$J$1)-COLUMN('בקשות שאושרו'!$B$1)+1,0),"")</f>
        <v/>
      </c>
    </row>
    <row r="252" spans="1:17" ht="57.75" x14ac:dyDescent="0.25">
      <c r="A252" s="240">
        <f>'סיכום לוועדה'!A278</f>
        <v>248</v>
      </c>
      <c r="B252" s="241">
        <f>'סיכום לוועדה'!E278</f>
        <v>20000251</v>
      </c>
      <c r="C252" s="241" t="str">
        <f>'סיכום לוועדה'!F278</f>
        <v>רעננה</v>
      </c>
      <c r="D252" s="241" t="str">
        <f>'סיכום לוועדה'!G278</f>
        <v>עמותת תזמורת סימפונט רעננה</v>
      </c>
      <c r="E252" s="242" t="str">
        <f>'סיכום לוועדה'!H278</f>
        <v>אחר</v>
      </c>
      <c r="F252" s="242"/>
      <c r="G252" s="242"/>
      <c r="H252" s="75"/>
      <c r="I252" s="243"/>
      <c r="J252" s="75"/>
      <c r="K252" s="77"/>
      <c r="L252" s="75"/>
      <c r="M252" s="78"/>
      <c r="N252" s="244"/>
      <c r="O252" s="79"/>
      <c r="P252" s="76" t="str">
        <f>IF(IFERROR(VLOOKUP(B252,'בקשות שאושרו'!$B$2:$I$466,1,0),"")="","",1)</f>
        <v/>
      </c>
      <c r="Q252" s="245" t="str">
        <f>IFERROR(VLOOKUP(B252,'בקשות שאושרו'!$B$2:$K$466,COLUMN('בקשות שאושרו'!$J$1)-COLUMN('בקשות שאושרו'!$B$1)+1,0),"")</f>
        <v/>
      </c>
    </row>
    <row r="253" spans="1:17" ht="72" x14ac:dyDescent="0.25">
      <c r="A253" s="240">
        <f>'סיכום לוועדה'!A279</f>
        <v>249</v>
      </c>
      <c r="B253" s="241">
        <f>'סיכום לוועדה'!E279</f>
        <v>20000201</v>
      </c>
      <c r="C253" s="241" t="str">
        <f>'סיכום לוועדה'!F279</f>
        <v>תל אביב -יפו</v>
      </c>
      <c r="D253" s="241" t="str">
        <f>'סיכום לוועדה'!G279</f>
        <v>פרויקטים במחול - שליד תיאטרון מחול</v>
      </c>
      <c r="E253" s="242" t="str">
        <f>'סיכום לוועדה'!H279</f>
        <v>מחול</v>
      </c>
      <c r="F253" s="242"/>
      <c r="G253" s="242"/>
      <c r="H253" s="75"/>
      <c r="I253" s="243"/>
      <c r="J253" s="75"/>
      <c r="K253" s="77"/>
      <c r="L253" s="75"/>
      <c r="M253" s="78"/>
      <c r="N253" s="244"/>
      <c r="O253" s="79"/>
      <c r="P253" s="76" t="str">
        <f>IF(IFERROR(VLOOKUP(B253,'בקשות שאושרו'!$B$2:$I$466,1,0),"")="","",1)</f>
        <v/>
      </c>
      <c r="Q253" s="245" t="str">
        <f>IFERROR(VLOOKUP(B253,'בקשות שאושרו'!$B$2:$K$466,COLUMN('בקשות שאושרו'!$J$1)-COLUMN('בקשות שאושרו'!$B$1)+1,0),"")</f>
        <v/>
      </c>
    </row>
    <row r="254" spans="1:17" ht="29.25" x14ac:dyDescent="0.25">
      <c r="A254" s="240">
        <f>'סיכום לוועדה'!A280</f>
        <v>250</v>
      </c>
      <c r="B254" s="241">
        <f>'סיכום לוועדה'!E280</f>
        <v>20000201</v>
      </c>
      <c r="C254" s="241" t="str">
        <f>'סיכום לוועדה'!F280</f>
        <v>תל אביב -יפו</v>
      </c>
      <c r="D254" s="241" t="str">
        <f>'סיכום לוועדה'!G280</f>
        <v>אנסמבל עתים</v>
      </c>
      <c r="E254" s="242" t="str">
        <f>'סיכום לוועדה'!H280</f>
        <v>תיאטרון</v>
      </c>
      <c r="F254" s="242"/>
      <c r="G254" s="242"/>
      <c r="H254" s="75"/>
      <c r="I254" s="243"/>
      <c r="J254" s="75"/>
      <c r="K254" s="77"/>
      <c r="L254" s="75"/>
      <c r="M254" s="78"/>
      <c r="N254" s="244"/>
      <c r="O254" s="79"/>
      <c r="P254" s="76" t="str">
        <f>IF(IFERROR(VLOOKUP(B254,'בקשות שאושרו'!$B$2:$I$466,1,0),"")="","",1)</f>
        <v/>
      </c>
      <c r="Q254" s="245" t="str">
        <f>IFERROR(VLOOKUP(B254,'בקשות שאושרו'!$B$2:$K$466,COLUMN('בקשות שאושרו'!$J$1)-COLUMN('בקשות שאושרו'!$B$1)+1,0),"")</f>
        <v/>
      </c>
    </row>
    <row r="255" spans="1:17" x14ac:dyDescent="0.25">
      <c r="A255" s="240">
        <f>'סיכום לוועדה'!A281</f>
        <v>251</v>
      </c>
      <c r="B255" s="241">
        <f>'סיכום לוועדה'!E281</f>
        <v>20000201</v>
      </c>
      <c r="C255" s="241" t="str">
        <f>'סיכום לוועדה'!F281</f>
        <v>תל אביב -יפו</v>
      </c>
      <c r="D255" s="241" t="str">
        <f>'סיכום לוועדה'!G281</f>
        <v>מקשב</v>
      </c>
      <c r="E255" s="242" t="str">
        <f>'סיכום לוועדה'!H281</f>
        <v>מרכזי מוסיקה</v>
      </c>
      <c r="F255" s="242"/>
      <c r="G255" s="242"/>
      <c r="H255" s="75"/>
      <c r="I255" s="243"/>
      <c r="J255" s="75"/>
      <c r="K255" s="77"/>
      <c r="L255" s="75"/>
      <c r="M255" s="78"/>
      <c r="N255" s="244"/>
      <c r="O255" s="79"/>
      <c r="P255" s="76" t="str">
        <f>IF(IFERROR(VLOOKUP(B255,'בקשות שאושרו'!$B$2:$I$466,1,0),"")="","",1)</f>
        <v/>
      </c>
      <c r="Q255" s="245" t="str">
        <f>IFERROR(VLOOKUP(B255,'בקשות שאושרו'!$B$2:$K$466,COLUMN('בקשות שאושרו'!$J$1)-COLUMN('בקשות שאושרו'!$B$1)+1,0),"")</f>
        <v/>
      </c>
    </row>
    <row r="256" spans="1:17" ht="43.5" x14ac:dyDescent="0.25">
      <c r="A256" s="240">
        <f>'סיכום לוועדה'!A282</f>
        <v>252</v>
      </c>
      <c r="B256" s="241">
        <f>'סיכום לוועדה'!E282</f>
        <v>20000201</v>
      </c>
      <c r="C256" s="241" t="str">
        <f>'סיכום לוועדה'!F282</f>
        <v>תל אביב -יפו</v>
      </c>
      <c r="D256" s="241" t="str">
        <f>'סיכום לוועדה'!G282</f>
        <v>עמותת הכוריאוגרפים (ע"ר)</v>
      </c>
      <c r="E256" s="242" t="str">
        <f>'סיכום לוועדה'!H282</f>
        <v>יוצרים עצמאיים במחול</v>
      </c>
      <c r="F256" s="242"/>
      <c r="G256" s="242"/>
      <c r="H256" s="75"/>
      <c r="I256" s="243"/>
      <c r="J256" s="75"/>
      <c r="K256" s="77"/>
      <c r="L256" s="75"/>
      <c r="M256" s="78"/>
      <c r="N256" s="244"/>
      <c r="O256" s="79"/>
      <c r="P256" s="76" t="str">
        <f>IF(IFERROR(VLOOKUP(B256,'בקשות שאושרו'!$B$2:$I$466,1,0),"")="","",1)</f>
        <v/>
      </c>
      <c r="Q256" s="245" t="str">
        <f>IFERROR(VLOOKUP(B256,'בקשות שאושרו'!$B$2:$K$466,COLUMN('בקשות שאושרו'!$J$1)-COLUMN('בקשות שאושרו'!$B$1)+1,0),"")</f>
        <v/>
      </c>
    </row>
    <row r="257" spans="1:17" ht="43.5" x14ac:dyDescent="0.25">
      <c r="A257" s="240">
        <f>'סיכום לוועדה'!A283</f>
        <v>253</v>
      </c>
      <c r="B257" s="241">
        <f>'סיכום לוועדה'!E283</f>
        <v>20000201</v>
      </c>
      <c r="C257" s="241" t="str">
        <f>'סיכום לוועדה'!F283</f>
        <v>תל אביב -יפו</v>
      </c>
      <c r="D257" s="241" t="str">
        <f>'סיכום לוועדה'!G283</f>
        <v>עמותת הכוריאוגרפים (ע"ר)</v>
      </c>
      <c r="E257" s="242" t="str">
        <f>'סיכום לוועדה'!H283</f>
        <v>יוצרים עצמאיים במחול</v>
      </c>
      <c r="F257" s="242"/>
      <c r="G257" s="242"/>
      <c r="H257" s="75"/>
      <c r="I257" s="243"/>
      <c r="J257" s="75"/>
      <c r="K257" s="77"/>
      <c r="L257" s="75"/>
      <c r="M257" s="78"/>
      <c r="N257" s="244"/>
      <c r="O257" s="79"/>
      <c r="P257" s="76" t="str">
        <f>IF(IFERROR(VLOOKUP(B257,'בקשות שאושרו'!$B$2:$I$466,1,0),"")="","",1)</f>
        <v/>
      </c>
      <c r="Q257" s="245" t="str">
        <f>IFERROR(VLOOKUP(B257,'בקשות שאושרו'!$B$2:$K$466,COLUMN('בקשות שאושרו'!$J$1)-COLUMN('בקשות שאושרו'!$B$1)+1,0),"")</f>
        <v/>
      </c>
    </row>
    <row r="258" spans="1:17" ht="43.5" x14ac:dyDescent="0.25">
      <c r="A258" s="240">
        <f>'סיכום לוועדה'!A284</f>
        <v>254</v>
      </c>
      <c r="B258" s="241">
        <f>'סיכום לוועדה'!E284</f>
        <v>20000201</v>
      </c>
      <c r="C258" s="241" t="str">
        <f>'סיכום לוועדה'!F284</f>
        <v>תל אביב -יפו</v>
      </c>
      <c r="D258" s="241" t="str">
        <f>'סיכום לוועדה'!G284</f>
        <v>עמותת הכוריאוגרפים (ע"ר)</v>
      </c>
      <c r="E258" s="242" t="str">
        <f>'סיכום לוועדה'!H284</f>
        <v>יוצרים עצמאיים במחול</v>
      </c>
      <c r="F258" s="242"/>
      <c r="G258" s="242"/>
      <c r="H258" s="75"/>
      <c r="I258" s="243"/>
      <c r="J258" s="75"/>
      <c r="K258" s="77"/>
      <c r="L258" s="75"/>
      <c r="M258" s="78"/>
      <c r="N258" s="244"/>
      <c r="O258" s="79"/>
      <c r="P258" s="76" t="str">
        <f>IF(IFERROR(VLOOKUP(B258,'בקשות שאושרו'!$B$2:$I$466,1,0),"")="","",1)</f>
        <v/>
      </c>
      <c r="Q258" s="245" t="str">
        <f>IFERROR(VLOOKUP(B258,'בקשות שאושרו'!$B$2:$K$466,COLUMN('בקשות שאושרו'!$J$1)-COLUMN('בקשות שאושרו'!$B$1)+1,0),"")</f>
        <v/>
      </c>
    </row>
    <row r="259" spans="1:17" ht="43.5" x14ac:dyDescent="0.25">
      <c r="A259" s="240">
        <f>'סיכום לוועדה'!A285</f>
        <v>255</v>
      </c>
      <c r="B259" s="241">
        <f>'סיכום לוועדה'!E285</f>
        <v>20000201</v>
      </c>
      <c r="C259" s="241" t="str">
        <f>'סיכום לוועדה'!F285</f>
        <v>תל אביב -יפו</v>
      </c>
      <c r="D259" s="241" t="str">
        <f>'סיכום לוועדה'!G285</f>
        <v>עמותת הכוריאוגרפים (ע"ר)</v>
      </c>
      <c r="E259" s="242" t="str">
        <f>'סיכום לוועדה'!H285</f>
        <v>יוצרים עצמאיים במחול</v>
      </c>
      <c r="F259" s="242"/>
      <c r="G259" s="242"/>
      <c r="H259" s="75"/>
      <c r="I259" s="243"/>
      <c r="J259" s="75"/>
      <c r="K259" s="77"/>
      <c r="L259" s="75"/>
      <c r="M259" s="78"/>
      <c r="N259" s="244"/>
      <c r="O259" s="79"/>
      <c r="P259" s="76" t="str">
        <f>IF(IFERROR(VLOOKUP(B259,'בקשות שאושרו'!$B$2:$I$466,1,0),"")="","",1)</f>
        <v/>
      </c>
      <c r="Q259" s="245" t="str">
        <f>IFERROR(VLOOKUP(B259,'בקשות שאושרו'!$B$2:$K$466,COLUMN('בקשות שאושרו'!$J$1)-COLUMN('בקשות שאושרו'!$B$1)+1,0),"")</f>
        <v/>
      </c>
    </row>
    <row r="260" spans="1:17" ht="43.5" x14ac:dyDescent="0.25">
      <c r="A260" s="240">
        <f>'סיכום לוועדה'!A286</f>
        <v>256</v>
      </c>
      <c r="B260" s="241">
        <f>'סיכום לוועדה'!E286</f>
        <v>20000201</v>
      </c>
      <c r="C260" s="241" t="str">
        <f>'סיכום לוועדה'!F286</f>
        <v>תל אביב -יפו</v>
      </c>
      <c r="D260" s="241" t="str">
        <f>'סיכום לוועדה'!G286</f>
        <v>עמותת הכוריאוגרפים (ע"ר)</v>
      </c>
      <c r="E260" s="242" t="str">
        <f>'סיכום לוועדה'!H286</f>
        <v>יוצרים עצמאיים במחול</v>
      </c>
      <c r="F260" s="242"/>
      <c r="G260" s="242"/>
      <c r="H260" s="75"/>
      <c r="I260" s="243"/>
      <c r="J260" s="75"/>
      <c r="K260" s="77"/>
      <c r="L260" s="75"/>
      <c r="M260" s="78"/>
      <c r="N260" s="244"/>
      <c r="O260" s="79"/>
      <c r="P260" s="76" t="str">
        <f>IF(IFERROR(VLOOKUP(B260,'בקשות שאושרו'!$B$2:$I$466,1,0),"")="","",1)</f>
        <v/>
      </c>
      <c r="Q260" s="245" t="str">
        <f>IFERROR(VLOOKUP(B260,'בקשות שאושרו'!$B$2:$K$466,COLUMN('בקשות שאושרו'!$J$1)-COLUMN('בקשות שאושרו'!$B$1)+1,0),"")</f>
        <v/>
      </c>
    </row>
    <row r="261" spans="1:17" ht="43.5" x14ac:dyDescent="0.25">
      <c r="A261" s="240">
        <f>'סיכום לוועדה'!A287</f>
        <v>257</v>
      </c>
      <c r="B261" s="241">
        <f>'סיכום לוועדה'!E287</f>
        <v>20000201</v>
      </c>
      <c r="C261" s="241" t="str">
        <f>'סיכום לוועדה'!F287</f>
        <v>תל אביב -יפו</v>
      </c>
      <c r="D261" s="241" t="str">
        <f>'סיכום לוועדה'!G287</f>
        <v>עמותת הכוריאוגרפים (ע"ר)</v>
      </c>
      <c r="E261" s="242" t="str">
        <f>'סיכום לוועדה'!H287</f>
        <v>יוצרים עצמאיים במחול</v>
      </c>
      <c r="F261" s="242"/>
      <c r="G261" s="242"/>
      <c r="H261" s="75"/>
      <c r="I261" s="243"/>
      <c r="J261" s="75"/>
      <c r="K261" s="77"/>
      <c r="L261" s="75"/>
      <c r="M261" s="78"/>
      <c r="N261" s="244"/>
      <c r="O261" s="79"/>
      <c r="P261" s="76" t="str">
        <f>IF(IFERROR(VLOOKUP(B261,'בקשות שאושרו'!$B$2:$I$466,1,0),"")="","",1)</f>
        <v/>
      </c>
      <c r="Q261" s="245" t="str">
        <f>IFERROR(VLOOKUP(B261,'בקשות שאושרו'!$B$2:$K$466,COLUMN('בקשות שאושרו'!$J$1)-COLUMN('בקשות שאושרו'!$B$1)+1,0),"")</f>
        <v/>
      </c>
    </row>
    <row r="262" spans="1:17" ht="43.5" x14ac:dyDescent="0.25">
      <c r="A262" s="240">
        <f>'סיכום לוועדה'!A288</f>
        <v>258</v>
      </c>
      <c r="B262" s="241">
        <f>'סיכום לוועדה'!E288</f>
        <v>20000201</v>
      </c>
      <c r="C262" s="241" t="str">
        <f>'סיכום לוועדה'!F288</f>
        <v>תל אביב -יפו</v>
      </c>
      <c r="D262" s="241" t="str">
        <f>'סיכום לוועדה'!G288</f>
        <v>עמותת הכוריאוגרפים (ע"ר)</v>
      </c>
      <c r="E262" s="242" t="str">
        <f>'סיכום לוועדה'!H288</f>
        <v>יוצרים עצמאיים במחול</v>
      </c>
      <c r="F262" s="242"/>
      <c r="G262" s="242"/>
      <c r="H262" s="75"/>
      <c r="I262" s="243"/>
      <c r="J262" s="75"/>
      <c r="K262" s="77"/>
      <c r="L262" s="75"/>
      <c r="M262" s="78"/>
      <c r="N262" s="244"/>
      <c r="O262" s="79"/>
      <c r="P262" s="76" t="str">
        <f>IF(IFERROR(VLOOKUP(B262,'בקשות שאושרו'!$B$2:$I$466,1,0),"")="","",1)</f>
        <v/>
      </c>
      <c r="Q262" s="245" t="str">
        <f>IFERROR(VLOOKUP(B262,'בקשות שאושרו'!$B$2:$K$466,COLUMN('בקשות שאושרו'!$J$1)-COLUMN('בקשות שאושרו'!$B$1)+1,0),"")</f>
        <v/>
      </c>
    </row>
    <row r="263" spans="1:17" ht="43.5" x14ac:dyDescent="0.25">
      <c r="A263" s="240">
        <f>'סיכום לוועדה'!A289</f>
        <v>259</v>
      </c>
      <c r="B263" s="241">
        <f>'סיכום לוועדה'!E289</f>
        <v>20000201</v>
      </c>
      <c r="C263" s="241" t="str">
        <f>'סיכום לוועדה'!F289</f>
        <v>תל אביב -יפו</v>
      </c>
      <c r="D263" s="241" t="str">
        <f>'סיכום לוועדה'!G289</f>
        <v>עמותת הכוריאוגרפים (ע"ר)</v>
      </c>
      <c r="E263" s="242" t="str">
        <f>'סיכום לוועדה'!H289</f>
        <v>יוצרים עצמאיים במחול</v>
      </c>
      <c r="F263" s="242"/>
      <c r="G263" s="242"/>
      <c r="H263" s="75"/>
      <c r="I263" s="243"/>
      <c r="J263" s="75"/>
      <c r="K263" s="77"/>
      <c r="L263" s="75"/>
      <c r="M263" s="78"/>
      <c r="N263" s="244"/>
      <c r="O263" s="79"/>
      <c r="P263" s="76" t="str">
        <f>IF(IFERROR(VLOOKUP(B263,'בקשות שאושרו'!$B$2:$I$466,1,0),"")="","",1)</f>
        <v/>
      </c>
      <c r="Q263" s="245" t="str">
        <f>IFERROR(VLOOKUP(B263,'בקשות שאושרו'!$B$2:$K$466,COLUMN('בקשות שאושרו'!$J$1)-COLUMN('בקשות שאושרו'!$B$1)+1,0),"")</f>
        <v/>
      </c>
    </row>
    <row r="264" spans="1:17" ht="43.5" x14ac:dyDescent="0.25">
      <c r="A264" s="240">
        <f>'סיכום לוועדה'!A290</f>
        <v>260</v>
      </c>
      <c r="B264" s="241">
        <f>'סיכום לוועדה'!E290</f>
        <v>20000201</v>
      </c>
      <c r="C264" s="241" t="str">
        <f>'סיכום לוועדה'!F290</f>
        <v>תל אביב -יפו</v>
      </c>
      <c r="D264" s="241" t="str">
        <f>'סיכום לוועדה'!G290</f>
        <v>עמותת הכוריאוגרפים (ע"ר)</v>
      </c>
      <c r="E264" s="242" t="str">
        <f>'סיכום לוועדה'!H290</f>
        <v>יוצרים עצמאיים במחול</v>
      </c>
      <c r="F264" s="242"/>
      <c r="G264" s="242"/>
      <c r="H264" s="75"/>
      <c r="I264" s="243"/>
      <c r="J264" s="75"/>
      <c r="K264" s="77"/>
      <c r="L264" s="75"/>
      <c r="M264" s="78"/>
      <c r="N264" s="244"/>
      <c r="O264" s="79"/>
      <c r="P264" s="76" t="str">
        <f>IF(IFERROR(VLOOKUP(B264,'בקשות שאושרו'!$B$2:$I$466,1,0),"")="","",1)</f>
        <v/>
      </c>
      <c r="Q264" s="245" t="str">
        <f>IFERROR(VLOOKUP(B264,'בקשות שאושרו'!$B$2:$K$466,COLUMN('בקשות שאושרו'!$J$1)-COLUMN('בקשות שאושרו'!$B$1)+1,0),"")</f>
        <v/>
      </c>
    </row>
    <row r="265" spans="1:17" ht="43.5" x14ac:dyDescent="0.25">
      <c r="A265" s="240">
        <f>'סיכום לוועדה'!A291</f>
        <v>261</v>
      </c>
      <c r="B265" s="241">
        <f>'סיכום לוועדה'!E291</f>
        <v>20000201</v>
      </c>
      <c r="C265" s="241" t="str">
        <f>'סיכום לוועדה'!F291</f>
        <v>תל אביב -יפו</v>
      </c>
      <c r="D265" s="241" t="str">
        <f>'סיכום לוועדה'!G291</f>
        <v>עמותת הכוריאוגרפים (ע"ר)</v>
      </c>
      <c r="E265" s="242" t="str">
        <f>'סיכום לוועדה'!H291</f>
        <v>יוצרים עצמאיים במחול</v>
      </c>
      <c r="F265" s="242"/>
      <c r="G265" s="242"/>
      <c r="H265" s="75"/>
      <c r="I265" s="243"/>
      <c r="J265" s="75"/>
      <c r="K265" s="77"/>
      <c r="L265" s="75"/>
      <c r="M265" s="78"/>
      <c r="N265" s="244"/>
      <c r="O265" s="79"/>
      <c r="P265" s="76" t="str">
        <f>IF(IFERROR(VLOOKUP(B265,'בקשות שאושרו'!$B$2:$I$466,1,0),"")="","",1)</f>
        <v/>
      </c>
      <c r="Q265" s="245" t="str">
        <f>IFERROR(VLOOKUP(B265,'בקשות שאושרו'!$B$2:$K$466,COLUMN('בקשות שאושרו'!$J$1)-COLUMN('בקשות שאושרו'!$B$1)+1,0),"")</f>
        <v/>
      </c>
    </row>
    <row r="266" spans="1:17" ht="43.5" x14ac:dyDescent="0.25">
      <c r="A266" s="240">
        <f>'סיכום לוועדה'!A292</f>
        <v>262</v>
      </c>
      <c r="B266" s="241">
        <f>'סיכום לוועדה'!E292</f>
        <v>20000201</v>
      </c>
      <c r="C266" s="241" t="str">
        <f>'סיכום לוועדה'!F292</f>
        <v>תל אביב -יפו</v>
      </c>
      <c r="D266" s="241" t="str">
        <f>'סיכום לוועדה'!G292</f>
        <v>עמותת הכוריאוגרפים (ע"ר)</v>
      </c>
      <c r="E266" s="242" t="str">
        <f>'סיכום לוועדה'!H292</f>
        <v>יוצרים עצמאיים במחול</v>
      </c>
      <c r="F266" s="242"/>
      <c r="G266" s="242"/>
      <c r="H266" s="75"/>
      <c r="I266" s="243"/>
      <c r="J266" s="75"/>
      <c r="K266" s="77"/>
      <c r="L266" s="75"/>
      <c r="M266" s="78"/>
      <c r="N266" s="244"/>
      <c r="O266" s="79"/>
      <c r="P266" s="76" t="str">
        <f>IF(IFERROR(VLOOKUP(B266,'בקשות שאושרו'!$B$2:$I$466,1,0),"")="","",1)</f>
        <v/>
      </c>
      <c r="Q266" s="245" t="str">
        <f>IFERROR(VLOOKUP(B266,'בקשות שאושרו'!$B$2:$K$466,COLUMN('בקשות שאושרו'!$J$1)-COLUMN('בקשות שאושרו'!$B$1)+1,0),"")</f>
        <v/>
      </c>
    </row>
    <row r="267" spans="1:17" ht="43.5" x14ac:dyDescent="0.25">
      <c r="A267" s="240">
        <f>'סיכום לוועדה'!A293</f>
        <v>263</v>
      </c>
      <c r="B267" s="241">
        <f>'סיכום לוועדה'!E293</f>
        <v>20000201</v>
      </c>
      <c r="C267" s="241" t="str">
        <f>'סיכום לוועדה'!F293</f>
        <v>תל אביב -יפו</v>
      </c>
      <c r="D267" s="241" t="str">
        <f>'סיכום לוועדה'!G293</f>
        <v>עמותת הכוריאוגרפים (ע"ר)</v>
      </c>
      <c r="E267" s="242" t="str">
        <f>'סיכום לוועדה'!H293</f>
        <v>יוצרים עצמאיים במחול</v>
      </c>
      <c r="F267" s="242"/>
      <c r="G267" s="242"/>
      <c r="H267" s="75"/>
      <c r="I267" s="243"/>
      <c r="J267" s="75"/>
      <c r="K267" s="77"/>
      <c r="L267" s="75"/>
      <c r="M267" s="78"/>
      <c r="N267" s="244"/>
      <c r="O267" s="79"/>
      <c r="P267" s="76" t="str">
        <f>IF(IFERROR(VLOOKUP(B267,'בקשות שאושרו'!$B$2:$I$466,1,0),"")="","",1)</f>
        <v/>
      </c>
      <c r="Q267" s="245" t="str">
        <f>IFERROR(VLOOKUP(B267,'בקשות שאושרו'!$B$2:$K$466,COLUMN('בקשות שאושרו'!$J$1)-COLUMN('בקשות שאושרו'!$B$1)+1,0),"")</f>
        <v/>
      </c>
    </row>
    <row r="268" spans="1:17" ht="43.5" x14ac:dyDescent="0.25">
      <c r="A268" s="240">
        <f>'סיכום לוועדה'!A294</f>
        <v>264</v>
      </c>
      <c r="B268" s="241">
        <f>'סיכום לוועדה'!E294</f>
        <v>20000201</v>
      </c>
      <c r="C268" s="241" t="str">
        <f>'סיכום לוועדה'!F294</f>
        <v>תל אביב -יפו</v>
      </c>
      <c r="D268" s="241" t="str">
        <f>'סיכום לוועדה'!G294</f>
        <v>עמותת הכוריאוגרפים (ע"ר)</v>
      </c>
      <c r="E268" s="242" t="str">
        <f>'סיכום לוועדה'!H294</f>
        <v>יוצרים עצמאיים במחול</v>
      </c>
      <c r="F268" s="242"/>
      <c r="G268" s="242"/>
      <c r="H268" s="75"/>
      <c r="I268" s="243"/>
      <c r="J268" s="75"/>
      <c r="K268" s="77"/>
      <c r="L268" s="75"/>
      <c r="M268" s="78"/>
      <c r="N268" s="244"/>
      <c r="O268" s="79"/>
      <c r="P268" s="76" t="str">
        <f>IF(IFERROR(VLOOKUP(B268,'בקשות שאושרו'!$B$2:$I$466,1,0),"")="","",1)</f>
        <v/>
      </c>
      <c r="Q268" s="245" t="str">
        <f>IFERROR(VLOOKUP(B268,'בקשות שאושרו'!$B$2:$K$466,COLUMN('בקשות שאושרו'!$J$1)-COLUMN('בקשות שאושרו'!$B$1)+1,0),"")</f>
        <v/>
      </c>
    </row>
    <row r="269" spans="1:17" ht="43.5" x14ac:dyDescent="0.25">
      <c r="A269" s="240">
        <f>'סיכום לוועדה'!A295</f>
        <v>265</v>
      </c>
      <c r="B269" s="241">
        <f>'סיכום לוועדה'!E295</f>
        <v>20000201</v>
      </c>
      <c r="C269" s="241" t="str">
        <f>'סיכום לוועדה'!F295</f>
        <v>תל אביב -יפו</v>
      </c>
      <c r="D269" s="241" t="str">
        <f>'סיכום לוועדה'!G295</f>
        <v>עמותת הכוריאוגרפים (ע"ר)</v>
      </c>
      <c r="E269" s="242" t="str">
        <f>'סיכום לוועדה'!H295</f>
        <v>יוצרים עצמאיים במחול</v>
      </c>
      <c r="F269" s="242"/>
      <c r="G269" s="242"/>
      <c r="H269" s="75"/>
      <c r="I269" s="243"/>
      <c r="J269" s="75"/>
      <c r="K269" s="77"/>
      <c r="L269" s="75"/>
      <c r="M269" s="78"/>
      <c r="N269" s="244"/>
      <c r="O269" s="79"/>
      <c r="P269" s="76" t="str">
        <f>IF(IFERROR(VLOOKUP(B269,'בקשות שאושרו'!$B$2:$I$466,1,0),"")="","",1)</f>
        <v/>
      </c>
      <c r="Q269" s="245" t="str">
        <f>IFERROR(VLOOKUP(B269,'בקשות שאושרו'!$B$2:$K$466,COLUMN('בקשות שאושרו'!$J$1)-COLUMN('בקשות שאושרו'!$B$1)+1,0),"")</f>
        <v/>
      </c>
    </row>
    <row r="270" spans="1:17" ht="43.5" x14ac:dyDescent="0.25">
      <c r="A270" s="240">
        <f>'סיכום לוועדה'!A296</f>
        <v>266</v>
      </c>
      <c r="B270" s="241">
        <f>'סיכום לוועדה'!E296</f>
        <v>20000201</v>
      </c>
      <c r="C270" s="241" t="str">
        <f>'סיכום לוועדה'!F296</f>
        <v>תל אביב -יפו</v>
      </c>
      <c r="D270" s="241" t="str">
        <f>'סיכום לוועדה'!G296</f>
        <v>עמותת הכוריאוגרפים (ע"ר)</v>
      </c>
      <c r="E270" s="242" t="str">
        <f>'סיכום לוועדה'!H296</f>
        <v>יוצרים עצמאיים במחול</v>
      </c>
      <c r="F270" s="242"/>
      <c r="G270" s="242"/>
      <c r="H270" s="75"/>
      <c r="I270" s="243"/>
      <c r="J270" s="75"/>
      <c r="K270" s="77"/>
      <c r="L270" s="75"/>
      <c r="M270" s="78"/>
      <c r="N270" s="244"/>
      <c r="O270" s="79"/>
      <c r="P270" s="76" t="str">
        <f>IF(IFERROR(VLOOKUP(B270,'בקשות שאושרו'!$B$2:$I$466,1,0),"")="","",1)</f>
        <v/>
      </c>
      <c r="Q270" s="245" t="str">
        <f>IFERROR(VLOOKUP(B270,'בקשות שאושרו'!$B$2:$K$466,COLUMN('בקשות שאושרו'!$J$1)-COLUMN('בקשות שאושרו'!$B$1)+1,0),"")</f>
        <v/>
      </c>
    </row>
    <row r="271" spans="1:17" ht="43.5" x14ac:dyDescent="0.25">
      <c r="A271" s="240">
        <f>'סיכום לוועדה'!A297</f>
        <v>267</v>
      </c>
      <c r="B271" s="241">
        <f>'סיכום לוועדה'!E297</f>
        <v>20000201</v>
      </c>
      <c r="C271" s="241" t="str">
        <f>'סיכום לוועדה'!F297</f>
        <v>תל אביב -יפו</v>
      </c>
      <c r="D271" s="241" t="str">
        <f>'סיכום לוועדה'!G297</f>
        <v>עמותת הכוריאוגרפים (ע"ר)</v>
      </c>
      <c r="E271" s="242" t="str">
        <f>'סיכום לוועדה'!H297</f>
        <v>יוצרים עצמאיים במחול</v>
      </c>
      <c r="F271" s="242"/>
      <c r="G271" s="242"/>
      <c r="H271" s="75"/>
      <c r="I271" s="243"/>
      <c r="J271" s="75"/>
      <c r="K271" s="77"/>
      <c r="L271" s="75"/>
      <c r="M271" s="78"/>
      <c r="N271" s="244"/>
      <c r="O271" s="79"/>
      <c r="P271" s="76" t="str">
        <f>IF(IFERROR(VLOOKUP(B271,'בקשות שאושרו'!$B$2:$I$466,1,0),"")="","",1)</f>
        <v/>
      </c>
      <c r="Q271" s="245" t="str">
        <f>IFERROR(VLOOKUP(B271,'בקשות שאושרו'!$B$2:$K$466,COLUMN('בקשות שאושרו'!$J$1)-COLUMN('בקשות שאושרו'!$B$1)+1,0),"")</f>
        <v/>
      </c>
    </row>
    <row r="272" spans="1:17" ht="43.5" x14ac:dyDescent="0.25">
      <c r="A272" s="240">
        <f>'סיכום לוועדה'!A298</f>
        <v>268</v>
      </c>
      <c r="B272" s="241">
        <f>'סיכום לוועדה'!E298</f>
        <v>20000201</v>
      </c>
      <c r="C272" s="241" t="str">
        <f>'סיכום לוועדה'!F298</f>
        <v>תל אביב -יפו</v>
      </c>
      <c r="D272" s="241" t="str">
        <f>'סיכום לוועדה'!G298</f>
        <v>עמותת הכוריאוגרפים (ע"ר)</v>
      </c>
      <c r="E272" s="242" t="str">
        <f>'סיכום לוועדה'!H298</f>
        <v>יוצרים עצמאיים במחול</v>
      </c>
      <c r="F272" s="242"/>
      <c r="G272" s="242"/>
      <c r="H272" s="75"/>
      <c r="I272" s="243"/>
      <c r="J272" s="75"/>
      <c r="K272" s="77"/>
      <c r="L272" s="75"/>
      <c r="M272" s="78"/>
      <c r="N272" s="244"/>
      <c r="O272" s="79"/>
      <c r="P272" s="76" t="str">
        <f>IF(IFERROR(VLOOKUP(B272,'בקשות שאושרו'!$B$2:$I$466,1,0),"")="","",1)</f>
        <v/>
      </c>
      <c r="Q272" s="245" t="str">
        <f>IFERROR(VLOOKUP(B272,'בקשות שאושרו'!$B$2:$K$466,COLUMN('בקשות שאושרו'!$J$1)-COLUMN('בקשות שאושרו'!$B$1)+1,0),"")</f>
        <v/>
      </c>
    </row>
    <row r="273" spans="1:17" ht="43.5" x14ac:dyDescent="0.25">
      <c r="A273" s="240">
        <f>'סיכום לוועדה'!A299</f>
        <v>269</v>
      </c>
      <c r="B273" s="241">
        <f>'סיכום לוועדה'!E299</f>
        <v>20000201</v>
      </c>
      <c r="C273" s="241" t="str">
        <f>'סיכום לוועדה'!F299</f>
        <v>תל אביב -יפו</v>
      </c>
      <c r="D273" s="241" t="str">
        <f>'סיכום לוועדה'!G299</f>
        <v>עמותת הכוריאוגרפים (ע"ר)</v>
      </c>
      <c r="E273" s="242" t="str">
        <f>'סיכום לוועדה'!H299</f>
        <v>יוצרים עצמאיים במחול</v>
      </c>
      <c r="F273" s="242"/>
      <c r="G273" s="242"/>
      <c r="H273" s="75"/>
      <c r="I273" s="243"/>
      <c r="J273" s="75"/>
      <c r="K273" s="77"/>
      <c r="L273" s="75"/>
      <c r="M273" s="78"/>
      <c r="N273" s="244"/>
      <c r="O273" s="79"/>
      <c r="P273" s="76" t="str">
        <f>IF(IFERROR(VLOOKUP(B273,'בקשות שאושרו'!$B$2:$I$466,1,0),"")="","",1)</f>
        <v/>
      </c>
      <c r="Q273" s="245" t="str">
        <f>IFERROR(VLOOKUP(B273,'בקשות שאושרו'!$B$2:$K$466,COLUMN('בקשות שאושרו'!$J$1)-COLUMN('בקשות שאושרו'!$B$1)+1,0),"")</f>
        <v/>
      </c>
    </row>
    <row r="274" spans="1:17" ht="43.5" x14ac:dyDescent="0.25">
      <c r="A274" s="240">
        <f>'סיכום לוועדה'!A300</f>
        <v>270</v>
      </c>
      <c r="B274" s="241">
        <f>'סיכום לוועדה'!E300</f>
        <v>20000201</v>
      </c>
      <c r="C274" s="241" t="str">
        <f>'סיכום לוועדה'!F300</f>
        <v>תל אביב -יפו</v>
      </c>
      <c r="D274" s="241" t="str">
        <f>'סיכום לוועדה'!G300</f>
        <v>עמותת הכוריאוגרפים (ע"ר)</v>
      </c>
      <c r="E274" s="242" t="str">
        <f>'סיכום לוועדה'!H300</f>
        <v>יוצרים עצמאיים במחול</v>
      </c>
      <c r="F274" s="242"/>
      <c r="G274" s="242"/>
      <c r="H274" s="75"/>
      <c r="I274" s="243"/>
      <c r="J274" s="75"/>
      <c r="K274" s="77"/>
      <c r="L274" s="75"/>
      <c r="M274" s="78"/>
      <c r="N274" s="244"/>
      <c r="O274" s="79"/>
      <c r="P274" s="76" t="str">
        <f>IF(IFERROR(VLOOKUP(B274,'בקשות שאושרו'!$B$2:$I$466,1,0),"")="","",1)</f>
        <v/>
      </c>
      <c r="Q274" s="245" t="str">
        <f>IFERROR(VLOOKUP(B274,'בקשות שאושרו'!$B$2:$K$466,COLUMN('בקשות שאושרו'!$J$1)-COLUMN('בקשות שאושרו'!$B$1)+1,0),"")</f>
        <v/>
      </c>
    </row>
    <row r="275" spans="1:17" x14ac:dyDescent="0.25">
      <c r="A275" s="240">
        <f>'סיכום לוועדה'!A301</f>
        <v>271</v>
      </c>
      <c r="B275" s="241" t="str">
        <f>'סיכום לוועדה'!E301</f>
        <v/>
      </c>
      <c r="C275" s="241" t="str">
        <f>'סיכום לוועדה'!F301</f>
        <v/>
      </c>
      <c r="D275" s="241" t="str">
        <f>'סיכום לוועדה'!G301</f>
        <v/>
      </c>
      <c r="E275" s="242" t="str">
        <f>'סיכום לוועדה'!H301</f>
        <v/>
      </c>
      <c r="F275" s="242"/>
      <c r="G275" s="242"/>
      <c r="H275" s="75"/>
      <c r="I275" s="243"/>
      <c r="J275" s="75"/>
      <c r="K275" s="77"/>
      <c r="L275" s="75"/>
      <c r="M275" s="78"/>
      <c r="N275" s="244"/>
      <c r="O275" s="79"/>
      <c r="P275" s="76" t="str">
        <f>IF(IFERROR(VLOOKUP(B275,'בקשות שאושרו'!$B$2:$I$466,1,0),"")="","",1)</f>
        <v/>
      </c>
      <c r="Q275" s="245" t="str">
        <f>IFERROR(VLOOKUP(B275,'בקשות שאושרו'!$B$2:$K$466,COLUMN('בקשות שאושרו'!$J$1)-COLUMN('בקשות שאושרו'!$B$1)+1,0),"")</f>
        <v/>
      </c>
    </row>
    <row r="276" spans="1:17" ht="43.5" x14ac:dyDescent="0.25">
      <c r="A276" s="240">
        <f>'סיכום לוועדה'!A302</f>
        <v>272</v>
      </c>
      <c r="B276" s="241">
        <f>'סיכום לוועדה'!E302</f>
        <v>20000201</v>
      </c>
      <c r="C276" s="241" t="str">
        <f>'סיכום לוועדה'!F302</f>
        <v>תל אביב -יפו</v>
      </c>
      <c r="D276" s="241" t="str">
        <f>'סיכום לוועדה'!G302</f>
        <v>עמותת הכוריאוגרפים (ע"ר)</v>
      </c>
      <c r="E276" s="242" t="str">
        <f>'סיכום לוועדה'!H302</f>
        <v>יוצרים עצמאיים במחול</v>
      </c>
      <c r="F276" s="242"/>
      <c r="G276" s="242"/>
      <c r="H276" s="75"/>
      <c r="I276" s="243"/>
      <c r="J276" s="75"/>
      <c r="K276" s="77"/>
      <c r="L276" s="75"/>
      <c r="M276" s="78"/>
      <c r="N276" s="244"/>
      <c r="O276" s="79"/>
      <c r="P276" s="76" t="str">
        <f>IF(IFERROR(VLOOKUP(B276,'בקשות שאושרו'!$B$2:$I$466,1,0),"")="","",1)</f>
        <v/>
      </c>
      <c r="Q276" s="245" t="str">
        <f>IFERROR(VLOOKUP(B276,'בקשות שאושרו'!$B$2:$K$466,COLUMN('בקשות שאושרו'!$J$1)-COLUMN('בקשות שאושרו'!$B$1)+1,0),"")</f>
        <v/>
      </c>
    </row>
    <row r="277" spans="1:17" ht="43.5" x14ac:dyDescent="0.25">
      <c r="A277" s="240">
        <f>'סיכום לוועדה'!A303</f>
        <v>273</v>
      </c>
      <c r="B277" s="241">
        <f>'סיכום לוועדה'!E303</f>
        <v>20000201</v>
      </c>
      <c r="C277" s="241" t="str">
        <f>'סיכום לוועדה'!F303</f>
        <v>תל אביב -יפו</v>
      </c>
      <c r="D277" s="241" t="str">
        <f>'סיכום לוועדה'!G303</f>
        <v>עמותת הכוריאוגרפים (ע"ר)</v>
      </c>
      <c r="E277" s="242" t="str">
        <f>'סיכום לוועדה'!H303</f>
        <v>יוצרים עצמאיים במחול</v>
      </c>
      <c r="F277" s="242"/>
      <c r="G277" s="242"/>
      <c r="H277" s="75"/>
      <c r="I277" s="243"/>
      <c r="J277" s="75"/>
      <c r="K277" s="77"/>
      <c r="L277" s="75"/>
      <c r="M277" s="78"/>
      <c r="N277" s="244"/>
      <c r="O277" s="79"/>
      <c r="P277" s="76" t="str">
        <f>IF(IFERROR(VLOOKUP(B277,'בקשות שאושרו'!$B$2:$I$466,1,0),"")="","",1)</f>
        <v/>
      </c>
      <c r="Q277" s="245" t="str">
        <f>IFERROR(VLOOKUP(B277,'בקשות שאושרו'!$B$2:$K$466,COLUMN('בקשות שאושרו'!$J$1)-COLUMN('בקשות שאושרו'!$B$1)+1,0),"")</f>
        <v/>
      </c>
    </row>
    <row r="278" spans="1:17" ht="43.5" x14ac:dyDescent="0.25">
      <c r="A278" s="240">
        <f>'סיכום לוועדה'!A304</f>
        <v>274</v>
      </c>
      <c r="B278" s="241">
        <f>'סיכום לוועדה'!E304</f>
        <v>20000201</v>
      </c>
      <c r="C278" s="241" t="str">
        <f>'סיכום לוועדה'!F304</f>
        <v>תל אביב -יפו</v>
      </c>
      <c r="D278" s="241" t="str">
        <f>'סיכום לוועדה'!G304</f>
        <v>עמותת הכוריאוגרפים (ע"ר)</v>
      </c>
      <c r="E278" s="242" t="str">
        <f>'סיכום לוועדה'!H304</f>
        <v>יוצרים עצמאיים במחול</v>
      </c>
      <c r="F278" s="242"/>
      <c r="G278" s="242"/>
      <c r="H278" s="75"/>
      <c r="I278" s="243"/>
      <c r="J278" s="75"/>
      <c r="K278" s="77"/>
      <c r="L278" s="75"/>
      <c r="M278" s="78"/>
      <c r="N278" s="244"/>
      <c r="O278" s="79"/>
      <c r="P278" s="76" t="str">
        <f>IF(IFERROR(VLOOKUP(B278,'בקשות שאושרו'!$B$2:$I$466,1,0),"")="","",1)</f>
        <v/>
      </c>
      <c r="Q278" s="245" t="str">
        <f>IFERROR(VLOOKUP(B278,'בקשות שאושרו'!$B$2:$K$466,COLUMN('בקשות שאושרו'!$J$1)-COLUMN('בקשות שאושרו'!$B$1)+1,0),"")</f>
        <v/>
      </c>
    </row>
    <row r="279" spans="1:17" ht="43.5" x14ac:dyDescent="0.25">
      <c r="A279" s="240">
        <f>'סיכום לוועדה'!A305</f>
        <v>275</v>
      </c>
      <c r="B279" s="241">
        <f>'סיכום לוועדה'!E305</f>
        <v>20000201</v>
      </c>
      <c r="C279" s="241" t="str">
        <f>'סיכום לוועדה'!F305</f>
        <v>תל אביב -יפו</v>
      </c>
      <c r="D279" s="241" t="str">
        <f>'סיכום לוועדה'!G305</f>
        <v>עמותת הכוריאוגרפים (ע"ר)</v>
      </c>
      <c r="E279" s="242" t="str">
        <f>'סיכום לוועדה'!H305</f>
        <v>יוצרים עצמאיים במחול</v>
      </c>
      <c r="F279" s="242"/>
      <c r="G279" s="242"/>
      <c r="H279" s="75"/>
      <c r="I279" s="243"/>
      <c r="J279" s="75"/>
      <c r="K279" s="77"/>
      <c r="L279" s="75"/>
      <c r="M279" s="78"/>
      <c r="N279" s="244"/>
      <c r="O279" s="79"/>
      <c r="P279" s="76" t="str">
        <f>IF(IFERROR(VLOOKUP(B279,'בקשות שאושרו'!$B$2:$I$466,1,0),"")="","",1)</f>
        <v/>
      </c>
      <c r="Q279" s="245" t="str">
        <f>IFERROR(VLOOKUP(B279,'בקשות שאושרו'!$B$2:$K$466,COLUMN('בקשות שאושרו'!$J$1)-COLUMN('בקשות שאושרו'!$B$1)+1,0),"")</f>
        <v/>
      </c>
    </row>
    <row r="280" spans="1:17" ht="43.5" x14ac:dyDescent="0.25">
      <c r="A280" s="240">
        <f>'סיכום לוועדה'!A306</f>
        <v>276</v>
      </c>
      <c r="B280" s="241">
        <f>'סיכום לוועדה'!E306</f>
        <v>20000201</v>
      </c>
      <c r="C280" s="241" t="str">
        <f>'סיכום לוועדה'!F306</f>
        <v>תל אביב -יפו</v>
      </c>
      <c r="D280" s="241" t="str">
        <f>'סיכום לוועדה'!G306</f>
        <v>עמותת הכוריאוגרפים (ע"ר)</v>
      </c>
      <c r="E280" s="242" t="str">
        <f>'סיכום לוועדה'!H306</f>
        <v>יוצרים עצמאיים במחול</v>
      </c>
      <c r="F280" s="242"/>
      <c r="G280" s="242"/>
      <c r="H280" s="75"/>
      <c r="I280" s="243"/>
      <c r="J280" s="75"/>
      <c r="K280" s="77"/>
      <c r="L280" s="75"/>
      <c r="M280" s="78"/>
      <c r="N280" s="244"/>
      <c r="O280" s="79"/>
      <c r="P280" s="76" t="str">
        <f>IF(IFERROR(VLOOKUP(B280,'בקשות שאושרו'!$B$2:$I$466,1,0),"")="","",1)</f>
        <v/>
      </c>
      <c r="Q280" s="245" t="str">
        <f>IFERROR(VLOOKUP(B280,'בקשות שאושרו'!$B$2:$K$466,COLUMN('בקשות שאושרו'!$J$1)-COLUMN('בקשות שאושרו'!$B$1)+1,0),"")</f>
        <v/>
      </c>
    </row>
    <row r="281" spans="1:17" ht="43.5" x14ac:dyDescent="0.25">
      <c r="A281" s="240">
        <f>'סיכום לוועדה'!A307</f>
        <v>277</v>
      </c>
      <c r="B281" s="241">
        <f>'סיכום לוועדה'!E307</f>
        <v>20000201</v>
      </c>
      <c r="C281" s="241" t="str">
        <f>'סיכום לוועדה'!F307</f>
        <v>תל אביב -יפו</v>
      </c>
      <c r="D281" s="241" t="str">
        <f>'סיכום לוועדה'!G307</f>
        <v>עמותת הכוריאוגרפים (ע"ר)</v>
      </c>
      <c r="E281" s="242" t="str">
        <f>'סיכום לוועדה'!H307</f>
        <v>יוצרים עצמאיים במחול</v>
      </c>
      <c r="F281" s="242"/>
      <c r="G281" s="242"/>
      <c r="H281" s="75"/>
      <c r="I281" s="243"/>
      <c r="J281" s="75"/>
      <c r="K281" s="77"/>
      <c r="L281" s="75"/>
      <c r="M281" s="78"/>
      <c r="N281" s="244"/>
      <c r="O281" s="79"/>
      <c r="P281" s="76" t="str">
        <f>IF(IFERROR(VLOOKUP(B281,'בקשות שאושרו'!$B$2:$I$466,1,0),"")="","",1)</f>
        <v/>
      </c>
      <c r="Q281" s="245" t="str">
        <f>IFERROR(VLOOKUP(B281,'בקשות שאושרו'!$B$2:$K$466,COLUMN('בקשות שאושרו'!$J$1)-COLUMN('בקשות שאושרו'!$B$1)+1,0),"")</f>
        <v/>
      </c>
    </row>
    <row r="282" spans="1:17" ht="43.5" x14ac:dyDescent="0.25">
      <c r="A282" s="240">
        <f>'סיכום לוועדה'!A308</f>
        <v>278</v>
      </c>
      <c r="B282" s="241">
        <f>'סיכום לוועדה'!E308</f>
        <v>20000201</v>
      </c>
      <c r="C282" s="241" t="str">
        <f>'סיכום לוועדה'!F308</f>
        <v>תל אביב -יפו</v>
      </c>
      <c r="D282" s="241" t="str">
        <f>'סיכום לוועדה'!G308</f>
        <v>עמותת הכוריאוגרפים (ע"ר)</v>
      </c>
      <c r="E282" s="242" t="str">
        <f>'סיכום לוועדה'!H308</f>
        <v>יוצרים עצמאיים במחול</v>
      </c>
      <c r="F282" s="242"/>
      <c r="G282" s="242"/>
      <c r="H282" s="75"/>
      <c r="I282" s="243"/>
      <c r="J282" s="75"/>
      <c r="K282" s="77"/>
      <c r="L282" s="75"/>
      <c r="M282" s="78"/>
      <c r="N282" s="244"/>
      <c r="O282" s="79"/>
      <c r="P282" s="76" t="str">
        <f>IF(IFERROR(VLOOKUP(B282,'בקשות שאושרו'!$B$2:$I$466,1,0),"")="","",1)</f>
        <v/>
      </c>
      <c r="Q282" s="245" t="str">
        <f>IFERROR(VLOOKUP(B282,'בקשות שאושרו'!$B$2:$K$466,COLUMN('בקשות שאושרו'!$J$1)-COLUMN('בקשות שאושרו'!$B$1)+1,0),"")</f>
        <v/>
      </c>
    </row>
    <row r="283" spans="1:17" ht="43.5" x14ac:dyDescent="0.25">
      <c r="A283" s="240">
        <f>'סיכום לוועדה'!A309</f>
        <v>279</v>
      </c>
      <c r="B283" s="241">
        <f>'סיכום לוועדה'!E309</f>
        <v>20000201</v>
      </c>
      <c r="C283" s="241" t="str">
        <f>'סיכום לוועדה'!F309</f>
        <v>תל אביב -יפו</v>
      </c>
      <c r="D283" s="241" t="str">
        <f>'סיכום לוועדה'!G309</f>
        <v>עמותת הכוריאוגרפים (ע"ר)</v>
      </c>
      <c r="E283" s="242" t="str">
        <f>'סיכום לוועדה'!H309</f>
        <v>יוצרים עצמאיים במחול</v>
      </c>
      <c r="F283" s="242"/>
      <c r="G283" s="242"/>
      <c r="H283" s="75"/>
      <c r="I283" s="243"/>
      <c r="J283" s="75"/>
      <c r="K283" s="77"/>
      <c r="L283" s="75"/>
      <c r="M283" s="78"/>
      <c r="N283" s="244"/>
      <c r="O283" s="79"/>
      <c r="P283" s="76" t="str">
        <f>IF(IFERROR(VLOOKUP(B283,'בקשות שאושרו'!$B$2:$I$466,1,0),"")="","",1)</f>
        <v/>
      </c>
      <c r="Q283" s="245" t="str">
        <f>IFERROR(VLOOKUP(B283,'בקשות שאושרו'!$B$2:$K$466,COLUMN('בקשות שאושרו'!$J$1)-COLUMN('בקשות שאושרו'!$B$1)+1,0),"")</f>
        <v/>
      </c>
    </row>
    <row r="284" spans="1:17" ht="43.5" x14ac:dyDescent="0.25">
      <c r="A284" s="240">
        <f>'סיכום לוועדה'!A310</f>
        <v>280</v>
      </c>
      <c r="B284" s="241">
        <f>'סיכום לוועדה'!E310</f>
        <v>20000201</v>
      </c>
      <c r="C284" s="241" t="str">
        <f>'סיכום לוועדה'!F310</f>
        <v>תל אביב -יפו</v>
      </c>
      <c r="D284" s="241" t="str">
        <f>'סיכום לוועדה'!G310</f>
        <v>עמותת הכוריאוגרפים (ע"ר)</v>
      </c>
      <c r="E284" s="242" t="str">
        <f>'סיכום לוועדה'!H310</f>
        <v>יוצרים עצמאיים במחול</v>
      </c>
      <c r="F284" s="242"/>
      <c r="G284" s="242"/>
      <c r="H284" s="75"/>
      <c r="I284" s="243"/>
      <c r="J284" s="75"/>
      <c r="K284" s="77"/>
      <c r="L284" s="75"/>
      <c r="M284" s="78"/>
      <c r="N284" s="244"/>
      <c r="O284" s="79"/>
      <c r="P284" s="76" t="str">
        <f>IF(IFERROR(VLOOKUP(B284,'בקשות שאושרו'!$B$2:$I$466,1,0),"")="","",1)</f>
        <v/>
      </c>
      <c r="Q284" s="245" t="str">
        <f>IFERROR(VLOOKUP(B284,'בקשות שאושרו'!$B$2:$K$466,COLUMN('בקשות שאושרו'!$J$1)-COLUMN('בקשות שאושרו'!$B$1)+1,0),"")</f>
        <v/>
      </c>
    </row>
    <row r="285" spans="1:17" ht="43.5" x14ac:dyDescent="0.25">
      <c r="A285" s="240">
        <f>'סיכום לוועדה'!A311</f>
        <v>281</v>
      </c>
      <c r="B285" s="241">
        <f>'סיכום לוועדה'!E311</f>
        <v>20000201</v>
      </c>
      <c r="C285" s="241" t="str">
        <f>'סיכום לוועדה'!F311</f>
        <v>תל אביב -יפו</v>
      </c>
      <c r="D285" s="241" t="str">
        <f>'סיכום לוועדה'!G311</f>
        <v>עמותת הכוריאוגרפים (ע"ר)</v>
      </c>
      <c r="E285" s="242" t="str">
        <f>'סיכום לוועדה'!H311</f>
        <v>יוצרים עצמאיים במחול</v>
      </c>
      <c r="F285" s="242"/>
      <c r="G285" s="242"/>
      <c r="H285" s="75"/>
      <c r="I285" s="243"/>
      <c r="J285" s="75"/>
      <c r="K285" s="77"/>
      <c r="L285" s="75"/>
      <c r="M285" s="78"/>
      <c r="N285" s="244"/>
      <c r="O285" s="79"/>
      <c r="P285" s="76" t="str">
        <f>IF(IFERROR(VLOOKUP(B285,'בקשות שאושרו'!$B$2:$I$466,1,0),"")="","",1)</f>
        <v/>
      </c>
      <c r="Q285" s="245" t="str">
        <f>IFERROR(VLOOKUP(B285,'בקשות שאושרו'!$B$2:$K$466,COLUMN('בקשות שאושרו'!$J$1)-COLUMN('בקשות שאושרו'!$B$1)+1,0),"")</f>
        <v/>
      </c>
    </row>
    <row r="286" spans="1:17" ht="43.5" x14ac:dyDescent="0.25">
      <c r="A286" s="240">
        <f>'סיכום לוועדה'!A312</f>
        <v>282</v>
      </c>
      <c r="B286" s="241">
        <f>'סיכום לוועדה'!E312</f>
        <v>20000201</v>
      </c>
      <c r="C286" s="241" t="str">
        <f>'סיכום לוועדה'!F312</f>
        <v>תל אביב -יפו</v>
      </c>
      <c r="D286" s="241" t="str">
        <f>'סיכום לוועדה'!G312</f>
        <v>עמותת הכוריאוגרפים (ע"ר)</v>
      </c>
      <c r="E286" s="242" t="str">
        <f>'סיכום לוועדה'!H312</f>
        <v>יוצרים עצמאיים במחול</v>
      </c>
      <c r="F286" s="242"/>
      <c r="G286" s="242"/>
      <c r="H286" s="75"/>
      <c r="I286" s="243"/>
      <c r="J286" s="75"/>
      <c r="K286" s="77"/>
      <c r="L286" s="75"/>
      <c r="M286" s="78"/>
      <c r="N286" s="244"/>
      <c r="O286" s="79"/>
      <c r="P286" s="76" t="str">
        <f>IF(IFERROR(VLOOKUP(B286,'בקשות שאושרו'!$B$2:$I$466,1,0),"")="","",1)</f>
        <v/>
      </c>
      <c r="Q286" s="245" t="str">
        <f>IFERROR(VLOOKUP(B286,'בקשות שאושרו'!$B$2:$K$466,COLUMN('בקשות שאושרו'!$J$1)-COLUMN('בקשות שאושרו'!$B$1)+1,0),"")</f>
        <v/>
      </c>
    </row>
    <row r="287" spans="1:17" ht="43.5" x14ac:dyDescent="0.25">
      <c r="A287" s="240">
        <f>'סיכום לוועדה'!A313</f>
        <v>283</v>
      </c>
      <c r="B287" s="241">
        <f>'סיכום לוועדה'!E313</f>
        <v>20000201</v>
      </c>
      <c r="C287" s="241" t="str">
        <f>'סיכום לוועדה'!F313</f>
        <v>תל אביב -יפו</v>
      </c>
      <c r="D287" s="241" t="str">
        <f>'סיכום לוועדה'!G313</f>
        <v>עמותת הכוריאוגרפים (ע"ר)</v>
      </c>
      <c r="E287" s="242" t="str">
        <f>'סיכום לוועדה'!H313</f>
        <v>יוצרים עצמאיים במחול</v>
      </c>
      <c r="F287" s="242"/>
      <c r="G287" s="242"/>
      <c r="H287" s="75"/>
      <c r="I287" s="243"/>
      <c r="J287" s="75"/>
      <c r="K287" s="77"/>
      <c r="L287" s="75"/>
      <c r="M287" s="78"/>
      <c r="N287" s="244"/>
      <c r="O287" s="79"/>
      <c r="P287" s="76" t="str">
        <f>IF(IFERROR(VLOOKUP(B287,'בקשות שאושרו'!$B$2:$I$466,1,0),"")="","",1)</f>
        <v/>
      </c>
      <c r="Q287" s="245" t="str">
        <f>IFERROR(VLOOKUP(B287,'בקשות שאושרו'!$B$2:$K$466,COLUMN('בקשות שאושרו'!$J$1)-COLUMN('בקשות שאושרו'!$B$1)+1,0),"")</f>
        <v/>
      </c>
    </row>
    <row r="288" spans="1:17" ht="43.5" x14ac:dyDescent="0.25">
      <c r="A288" s="240">
        <f>'סיכום לוועדה'!A314</f>
        <v>284</v>
      </c>
      <c r="B288" s="241">
        <f>'סיכום לוועדה'!E314</f>
        <v>20000201</v>
      </c>
      <c r="C288" s="241" t="str">
        <f>'סיכום לוועדה'!F314</f>
        <v>תל אביב -יפו</v>
      </c>
      <c r="D288" s="241" t="str">
        <f>'סיכום לוועדה'!G314</f>
        <v>עמותת הכוריאוגרפים (ע"ר)</v>
      </c>
      <c r="E288" s="242" t="str">
        <f>'סיכום לוועדה'!H314</f>
        <v>יוצרים עצמאיים במחול</v>
      </c>
      <c r="F288" s="242"/>
      <c r="G288" s="242"/>
      <c r="H288" s="75"/>
      <c r="I288" s="243"/>
      <c r="J288" s="75"/>
      <c r="K288" s="77"/>
      <c r="L288" s="75"/>
      <c r="M288" s="78"/>
      <c r="N288" s="244"/>
      <c r="O288" s="79"/>
      <c r="P288" s="76" t="str">
        <f>IF(IFERROR(VLOOKUP(B288,'בקשות שאושרו'!$B$2:$I$466,1,0),"")="","",1)</f>
        <v/>
      </c>
      <c r="Q288" s="245" t="str">
        <f>IFERROR(VLOOKUP(B288,'בקשות שאושרו'!$B$2:$K$466,COLUMN('בקשות שאושרו'!$J$1)-COLUMN('בקשות שאושרו'!$B$1)+1,0),"")</f>
        <v/>
      </c>
    </row>
    <row r="289" spans="1:20" ht="43.5" x14ac:dyDescent="0.25">
      <c r="A289" s="240">
        <f>'סיכום לוועדה'!A315</f>
        <v>285</v>
      </c>
      <c r="B289" s="241">
        <f>'סיכום לוועדה'!E315</f>
        <v>20000201</v>
      </c>
      <c r="C289" s="241" t="str">
        <f>'סיכום לוועדה'!F315</f>
        <v>תל אביב -יפו</v>
      </c>
      <c r="D289" s="241" t="str">
        <f>'סיכום לוועדה'!G315</f>
        <v>עמותת הכוריאוגרפים (ע"ר)</v>
      </c>
      <c r="E289" s="242" t="str">
        <f>'סיכום לוועדה'!H315</f>
        <v>יוצרים עצמאיים במחול</v>
      </c>
      <c r="F289" s="242"/>
      <c r="G289" s="242"/>
      <c r="H289" s="75"/>
      <c r="I289" s="243"/>
      <c r="J289" s="75"/>
      <c r="K289" s="77"/>
      <c r="L289" s="75"/>
      <c r="M289" s="78"/>
      <c r="N289" s="244"/>
      <c r="O289" s="79"/>
      <c r="P289" s="76" t="str">
        <f>IF(IFERROR(VLOOKUP(B289,'בקשות שאושרו'!$B$2:$I$466,1,0),"")="","",1)</f>
        <v/>
      </c>
      <c r="Q289" s="245" t="str">
        <f>IFERROR(VLOOKUP(B289,'בקשות שאושרו'!$B$2:$K$466,COLUMN('בקשות שאושרו'!$J$1)-COLUMN('בקשות שאושרו'!$B$1)+1,0),"")</f>
        <v/>
      </c>
    </row>
    <row r="290" spans="1:20" ht="43.5" x14ac:dyDescent="0.25">
      <c r="A290" s="240">
        <f>'סיכום לוועדה'!A316</f>
        <v>286</v>
      </c>
      <c r="B290" s="241">
        <f>'סיכום לוועדה'!E316</f>
        <v>20000201</v>
      </c>
      <c r="C290" s="241" t="str">
        <f>'סיכום לוועדה'!F316</f>
        <v>תל אביב -יפו</v>
      </c>
      <c r="D290" s="241" t="str">
        <f>'סיכום לוועדה'!G316</f>
        <v>עמותת הכוריאוגרפים (ע"ר)</v>
      </c>
      <c r="E290" s="242" t="str">
        <f>'סיכום לוועדה'!H316</f>
        <v>יוצרים עצמאיים במחול</v>
      </c>
      <c r="F290" s="242"/>
      <c r="G290" s="242"/>
      <c r="H290" s="75"/>
      <c r="I290" s="243"/>
      <c r="J290" s="75"/>
      <c r="K290" s="77"/>
      <c r="L290" s="75"/>
      <c r="M290" s="78"/>
      <c r="N290" s="244"/>
      <c r="O290" s="79"/>
      <c r="P290" s="76" t="str">
        <f>IF(IFERROR(VLOOKUP(B290,'בקשות שאושרו'!$B$2:$I$466,1,0),"")="","",1)</f>
        <v/>
      </c>
      <c r="Q290" s="245" t="str">
        <f>IFERROR(VLOOKUP(B290,'בקשות שאושרו'!$B$2:$K$466,COLUMN('בקשות שאושרו'!$J$1)-COLUMN('בקשות שאושרו'!$B$1)+1,0),"")</f>
        <v/>
      </c>
    </row>
    <row r="291" spans="1:20" ht="43.5" x14ac:dyDescent="0.25">
      <c r="A291" s="240">
        <f>'סיכום לוועדה'!A317</f>
        <v>287</v>
      </c>
      <c r="B291" s="241">
        <f>'סיכום לוועדה'!E317</f>
        <v>20000201</v>
      </c>
      <c r="C291" s="241" t="str">
        <f>'סיכום לוועדה'!F317</f>
        <v>תל אביב -יפו</v>
      </c>
      <c r="D291" s="241" t="str">
        <f>'סיכום לוועדה'!G317</f>
        <v>עמותת הכוריאוגרפים (ע"ר)</v>
      </c>
      <c r="E291" s="242" t="str">
        <f>'סיכום לוועדה'!H317</f>
        <v>יוצרים עצמאיים במחול</v>
      </c>
      <c r="F291" s="242"/>
      <c r="G291" s="242"/>
      <c r="H291" s="75"/>
      <c r="I291" s="243"/>
      <c r="J291" s="75"/>
      <c r="K291" s="77"/>
      <c r="L291" s="75"/>
      <c r="M291" s="78"/>
      <c r="N291" s="244"/>
      <c r="O291" s="79"/>
      <c r="P291" s="76" t="str">
        <f>IF(IFERROR(VLOOKUP(B291,'בקשות שאושרו'!$B$2:$I$466,1,0),"")="","",1)</f>
        <v/>
      </c>
      <c r="Q291" s="245" t="str">
        <f>IFERROR(VLOOKUP(B291,'בקשות שאושרו'!$B$2:$K$466,COLUMN('בקשות שאושרו'!$J$1)-COLUMN('בקשות שאושרו'!$B$1)+1,0),"")</f>
        <v/>
      </c>
    </row>
    <row r="292" spans="1:20" ht="43.5" x14ac:dyDescent="0.25">
      <c r="A292" s="240">
        <f>'סיכום לוועדה'!A318</f>
        <v>288</v>
      </c>
      <c r="B292" s="241">
        <f>'סיכום לוועדה'!E318</f>
        <v>20000201</v>
      </c>
      <c r="C292" s="241" t="str">
        <f>'סיכום לוועדה'!F318</f>
        <v>תל אביב -יפו</v>
      </c>
      <c r="D292" s="241" t="str">
        <f>'סיכום לוועדה'!G318</f>
        <v>עמותת הכוריאוגרפים (ע"ר)</v>
      </c>
      <c r="E292" s="242" t="str">
        <f>'סיכום לוועדה'!H318</f>
        <v>יוצרים עצמאיים במחול</v>
      </c>
      <c r="F292" s="242"/>
      <c r="G292" s="242"/>
      <c r="H292" s="75"/>
      <c r="I292" s="243"/>
      <c r="J292" s="75"/>
      <c r="K292" s="77"/>
      <c r="L292" s="75"/>
      <c r="M292" s="78"/>
      <c r="N292" s="244"/>
      <c r="O292" s="79"/>
      <c r="P292" s="76" t="str">
        <f>IF(IFERROR(VLOOKUP(B292,'בקשות שאושרו'!$B$2:$I$466,1,0),"")="","",1)</f>
        <v/>
      </c>
      <c r="Q292" s="245" t="str">
        <f>IFERROR(VLOOKUP(B292,'בקשות שאושרו'!$B$2:$K$466,COLUMN('בקשות שאושרו'!$J$1)-COLUMN('בקשות שאושרו'!$B$1)+1,0),"")</f>
        <v/>
      </c>
    </row>
    <row r="293" spans="1:20" ht="43.5" x14ac:dyDescent="0.25">
      <c r="A293" s="240">
        <f>'סיכום לוועדה'!A319</f>
        <v>289</v>
      </c>
      <c r="B293" s="241">
        <f>'סיכום לוועדה'!E319</f>
        <v>20000201</v>
      </c>
      <c r="C293" s="241" t="str">
        <f>'סיכום לוועדה'!F319</f>
        <v>תל אביב -יפו</v>
      </c>
      <c r="D293" s="241" t="str">
        <f>'סיכום לוועדה'!G319</f>
        <v>עמותת הכוריאוגרפים (ע"ר)</v>
      </c>
      <c r="E293" s="242" t="str">
        <f>'סיכום לוועדה'!H319</f>
        <v>יוצרים עצמאיים במחול</v>
      </c>
      <c r="F293" s="242"/>
      <c r="G293" s="242"/>
      <c r="H293" s="75"/>
      <c r="I293" s="243"/>
      <c r="J293" s="75"/>
      <c r="K293" s="77"/>
      <c r="L293" s="75"/>
      <c r="M293" s="78"/>
      <c r="N293" s="244"/>
      <c r="O293" s="79"/>
      <c r="P293" s="76" t="str">
        <f>IF(IFERROR(VLOOKUP(B293,'בקשות שאושרו'!$B$2:$I$466,1,0),"")="","",1)</f>
        <v/>
      </c>
      <c r="Q293" s="245" t="str">
        <f>IFERROR(VLOOKUP(B293,'בקשות שאושרו'!$B$2:$K$466,COLUMN('בקשות שאושרו'!$J$1)-COLUMN('בקשות שאושרו'!$B$1)+1,0),"")</f>
        <v/>
      </c>
    </row>
    <row r="294" spans="1:20" ht="43.5" x14ac:dyDescent="0.25">
      <c r="A294" s="240">
        <f>'סיכום לוועדה'!A320</f>
        <v>290</v>
      </c>
      <c r="B294" s="241">
        <f>'סיכום לוועדה'!E320</f>
        <v>20000201</v>
      </c>
      <c r="C294" s="241" t="str">
        <f>'סיכום לוועדה'!F320</f>
        <v>תל אביב -יפו</v>
      </c>
      <c r="D294" s="241" t="str">
        <f>'סיכום לוועדה'!G320</f>
        <v>עמותת הכוריאוגרפים (ע"ר)</v>
      </c>
      <c r="E294" s="242" t="str">
        <f>'סיכום לוועדה'!H320</f>
        <v>יוצרים עצמאיים במחול</v>
      </c>
      <c r="F294" s="242"/>
      <c r="G294" s="242"/>
      <c r="H294" s="75"/>
      <c r="I294" s="243"/>
      <c r="J294" s="75"/>
      <c r="K294" s="77"/>
      <c r="L294" s="75"/>
      <c r="M294" s="78"/>
      <c r="N294" s="244"/>
      <c r="O294" s="79"/>
      <c r="P294" s="76" t="str">
        <f>IF(IFERROR(VLOOKUP(B294,'בקשות שאושרו'!$B$2:$I$466,1,0),"")="","",1)</f>
        <v/>
      </c>
      <c r="Q294" s="245" t="str">
        <f>IFERROR(VLOOKUP(B294,'בקשות שאושרו'!$B$2:$K$466,COLUMN('בקשות שאושרו'!$J$1)-COLUMN('בקשות שאושרו'!$B$1)+1,0),"")</f>
        <v/>
      </c>
    </row>
    <row r="295" spans="1:20" ht="43.5" x14ac:dyDescent="0.25">
      <c r="A295" s="240">
        <f>'סיכום לוועדה'!A321</f>
        <v>291</v>
      </c>
      <c r="B295" s="241">
        <f>'סיכום לוועדה'!E321</f>
        <v>20000201</v>
      </c>
      <c r="C295" s="241" t="str">
        <f>'סיכום לוועדה'!F321</f>
        <v>תל אביב -יפו</v>
      </c>
      <c r="D295" s="241" t="str">
        <f>'סיכום לוועדה'!G321</f>
        <v>עמותת הכוריאוגרפים (ע"ר)</v>
      </c>
      <c r="E295" s="242" t="str">
        <f>'סיכום לוועדה'!H321</f>
        <v>יוצרים עצמאיים במחול</v>
      </c>
      <c r="F295" s="242"/>
      <c r="G295" s="242"/>
      <c r="H295" s="75"/>
      <c r="I295" s="243"/>
      <c r="J295" s="75"/>
      <c r="K295" s="77"/>
      <c r="L295" s="75"/>
      <c r="M295" s="78"/>
      <c r="N295" s="244"/>
      <c r="O295" s="79"/>
      <c r="P295" s="76" t="str">
        <f>IF(IFERROR(VLOOKUP(B295,'בקשות שאושרו'!$B$2:$I$466,1,0),"")="","",1)</f>
        <v/>
      </c>
      <c r="Q295" s="245" t="str">
        <f>IFERROR(VLOOKUP(B295,'בקשות שאושרו'!$B$2:$K$466,COLUMN('בקשות שאושרו'!$J$1)-COLUMN('בקשות שאושרו'!$B$1)+1,0),"")</f>
        <v/>
      </c>
    </row>
    <row r="296" spans="1:20" ht="43.5" x14ac:dyDescent="0.25">
      <c r="A296" s="240">
        <f>'סיכום לוועדה'!A322</f>
        <v>292</v>
      </c>
      <c r="B296" s="241">
        <f>'סיכום לוועדה'!E322</f>
        <v>20000201</v>
      </c>
      <c r="C296" s="241" t="str">
        <f>'סיכום לוועדה'!F322</f>
        <v>תל אביב -יפו</v>
      </c>
      <c r="D296" s="241" t="str">
        <f>'סיכום לוועדה'!G322</f>
        <v>עמותת הכוריאוגרפים (ע"ר)</v>
      </c>
      <c r="E296" s="242" t="str">
        <f>'סיכום לוועדה'!H322</f>
        <v>יוצרים עצמאיים במחול</v>
      </c>
      <c r="F296" s="242"/>
      <c r="G296" s="242"/>
      <c r="H296" s="75"/>
      <c r="I296" s="243"/>
      <c r="J296" s="75"/>
      <c r="K296" s="77"/>
      <c r="L296" s="75"/>
      <c r="M296" s="78"/>
      <c r="N296" s="244"/>
      <c r="O296" s="79"/>
      <c r="P296" s="76" t="str">
        <f>IF(IFERROR(VLOOKUP(B296,'בקשות שאושרו'!$B$2:$I$466,1,0),"")="","",1)</f>
        <v/>
      </c>
      <c r="Q296" s="245" t="str">
        <f>IFERROR(VLOOKUP(B296,'בקשות שאושרו'!$B$2:$K$466,COLUMN('בקשות שאושרו'!$J$1)-COLUMN('בקשות שאושרו'!$B$1)+1,0),"")</f>
        <v/>
      </c>
    </row>
    <row r="297" spans="1:20" ht="43.5" x14ac:dyDescent="0.25">
      <c r="A297" s="240">
        <f>'סיכום לוועדה'!A323</f>
        <v>293</v>
      </c>
      <c r="B297" s="241">
        <f>'סיכום לוועדה'!E323</f>
        <v>20000201</v>
      </c>
      <c r="C297" s="241" t="str">
        <f>'סיכום לוועדה'!F323</f>
        <v>תל אביב -יפו</v>
      </c>
      <c r="D297" s="241" t="str">
        <f>'סיכום לוועדה'!G323</f>
        <v>עמותת הכוריאוגרפים (ע"ר)</v>
      </c>
      <c r="E297" s="242" t="str">
        <f>'סיכום לוועדה'!H323</f>
        <v>יוצרים עצמאיים במחול</v>
      </c>
      <c r="F297" s="242"/>
      <c r="G297" s="242"/>
      <c r="H297" s="75"/>
      <c r="I297" s="243"/>
      <c r="J297" s="75"/>
      <c r="K297" s="77"/>
      <c r="L297" s="75"/>
      <c r="M297" s="78"/>
      <c r="N297" s="244"/>
      <c r="O297" s="79"/>
      <c r="P297" s="76" t="str">
        <f>IF(IFERROR(VLOOKUP(B297,'בקשות שאושרו'!$B$2:$I$466,1,0),"")="","",1)</f>
        <v/>
      </c>
      <c r="Q297" s="245" t="str">
        <f>IFERROR(VLOOKUP(B297,'בקשות שאושרו'!$B$2:$K$466,COLUMN('בקשות שאושרו'!$J$1)-COLUMN('בקשות שאושרו'!$B$1)+1,0),"")</f>
        <v/>
      </c>
    </row>
    <row r="298" spans="1:20" ht="43.5" x14ac:dyDescent="0.25">
      <c r="A298" s="240">
        <f>'סיכום לוועדה'!A324</f>
        <v>294</v>
      </c>
      <c r="B298" s="241">
        <f>'סיכום לוועדה'!E324</f>
        <v>20000201</v>
      </c>
      <c r="C298" s="241" t="str">
        <f>'סיכום לוועדה'!F324</f>
        <v>תל אביב -יפו</v>
      </c>
      <c r="D298" s="241" t="str">
        <f>'סיכום לוועדה'!G324</f>
        <v>עמותת הכוריאוגרפים (ע"ר)</v>
      </c>
      <c r="E298" s="242" t="str">
        <f>'סיכום לוועדה'!H324</f>
        <v>יוצרים עצמאיים במחול</v>
      </c>
      <c r="F298" s="242"/>
      <c r="G298" s="242"/>
      <c r="H298" s="75"/>
      <c r="I298" s="243"/>
      <c r="J298" s="75"/>
      <c r="K298" s="77"/>
      <c r="L298" s="75"/>
      <c r="M298" s="78"/>
      <c r="N298" s="244"/>
      <c r="O298" s="79"/>
      <c r="P298" s="76" t="str">
        <f>IF(IFERROR(VLOOKUP(B298,'בקשות שאושרו'!$B$2:$I$466,1,0),"")="","",1)</f>
        <v/>
      </c>
      <c r="Q298" s="245" t="str">
        <f>IFERROR(VLOOKUP(B298,'בקשות שאושרו'!$B$2:$K$466,COLUMN('בקשות שאושרו'!$J$1)-COLUMN('בקשות שאושרו'!$B$1)+1,0),"")</f>
        <v/>
      </c>
    </row>
    <row r="299" spans="1:20" ht="43.5" x14ac:dyDescent="0.25">
      <c r="A299" s="240">
        <f>'סיכום לוועדה'!A325</f>
        <v>295</v>
      </c>
      <c r="B299" s="241">
        <f>'סיכום לוועדה'!E325</f>
        <v>20000201</v>
      </c>
      <c r="C299" s="241" t="str">
        <f>'סיכום לוועדה'!F325</f>
        <v>תל אביב -יפו</v>
      </c>
      <c r="D299" s="241" t="str">
        <f>'סיכום לוועדה'!G325</f>
        <v>עמותת הכוריאוגרפים (ע"ר)</v>
      </c>
      <c r="E299" s="242" t="str">
        <f>'סיכום לוועדה'!H325</f>
        <v>יוצרים עצמאיים במחול</v>
      </c>
      <c r="F299" s="242"/>
      <c r="G299" s="242"/>
      <c r="H299" s="75"/>
      <c r="I299" s="243"/>
      <c r="J299" s="75"/>
      <c r="K299" s="77"/>
      <c r="L299" s="75"/>
      <c r="M299" s="78"/>
      <c r="N299" s="244"/>
      <c r="O299" s="79"/>
      <c r="P299" s="76" t="str">
        <f>IF(IFERROR(VLOOKUP(B299,'בקשות שאושרו'!$B$2:$I$466,1,0),"")="","",1)</f>
        <v/>
      </c>
      <c r="Q299" s="245" t="str">
        <f>IFERROR(VLOOKUP(B299,'בקשות שאושרו'!$B$2:$K$466,COLUMN('בקשות שאושרו'!$J$1)-COLUMN('בקשות שאושרו'!$B$1)+1,0),"")</f>
        <v/>
      </c>
    </row>
    <row r="300" spans="1:20" ht="43.5" x14ac:dyDescent="0.25">
      <c r="A300" s="240">
        <f>'סיכום לוועדה'!A326</f>
        <v>296</v>
      </c>
      <c r="B300" s="241">
        <f>'סיכום לוועדה'!E326</f>
        <v>20000201</v>
      </c>
      <c r="C300" s="241" t="str">
        <f>'סיכום לוועדה'!F326</f>
        <v>תל אביב -יפו</v>
      </c>
      <c r="D300" s="241" t="str">
        <f>'סיכום לוועדה'!G326</f>
        <v>עמותת הכוריאוגרפים (ע"ר)</v>
      </c>
      <c r="E300" s="242" t="str">
        <f>'סיכום לוועדה'!H326</f>
        <v>יוצרים עצמאיים במחול</v>
      </c>
      <c r="F300" s="242"/>
      <c r="G300" s="242"/>
      <c r="H300" s="75"/>
      <c r="I300" s="243"/>
      <c r="J300" s="75"/>
      <c r="K300" s="77"/>
      <c r="L300" s="75"/>
      <c r="M300" s="78"/>
      <c r="N300" s="244"/>
      <c r="O300" s="79"/>
      <c r="P300" s="76" t="str">
        <f>IF(IFERROR(VLOOKUP(B300,'בקשות שאושרו'!$B$2:$I$466,1,0),"")="","",1)</f>
        <v/>
      </c>
      <c r="Q300" s="245" t="str">
        <f>IFERROR(VLOOKUP(B300,'בקשות שאושרו'!$B$2:$K$466,COLUMN('בקשות שאושרו'!$J$1)-COLUMN('בקשות שאושרו'!$B$1)+1,0),"")</f>
        <v/>
      </c>
    </row>
    <row r="301" spans="1:20" ht="43.5" x14ac:dyDescent="0.25">
      <c r="A301" s="240">
        <f>'סיכום לוועדה'!A327</f>
        <v>297</v>
      </c>
      <c r="B301" s="241">
        <f>'סיכום לוועדה'!E327</f>
        <v>20000201</v>
      </c>
      <c r="C301" s="241" t="str">
        <f>'סיכום לוועדה'!F327</f>
        <v>תל אביב -יפו</v>
      </c>
      <c r="D301" s="241" t="str">
        <f>'סיכום לוועדה'!G327</f>
        <v>עמותת הכוריאוגרפים (ע"ר)</v>
      </c>
      <c r="E301" s="242" t="str">
        <f>'סיכום לוועדה'!H327</f>
        <v>יוצרים עצמאיים במחול</v>
      </c>
      <c r="F301" s="242"/>
      <c r="G301" s="242"/>
      <c r="H301" s="75"/>
      <c r="I301" s="243"/>
      <c r="J301" s="75"/>
      <c r="K301" s="77"/>
      <c r="L301" s="75"/>
      <c r="M301" s="78"/>
      <c r="N301" s="244"/>
      <c r="O301" s="79"/>
      <c r="P301" s="76" t="str">
        <f>IF(IFERROR(VLOOKUP(B301,'בקשות שאושרו'!$B$2:$I$466,1,0),"")="","",1)</f>
        <v/>
      </c>
      <c r="Q301" s="245" t="str">
        <f>IFERROR(VLOOKUP(B301,'בקשות שאושרו'!$B$2:$K$466,COLUMN('בקשות שאושרו'!$J$1)-COLUMN('בקשות שאושרו'!$B$1)+1,0),"")</f>
        <v/>
      </c>
    </row>
    <row r="302" spans="1:20" ht="43.5" x14ac:dyDescent="0.25">
      <c r="A302" s="240">
        <f>'סיכום לוועדה'!A328</f>
        <v>298</v>
      </c>
      <c r="B302" s="241">
        <f>'סיכום לוועדה'!E328</f>
        <v>20000201</v>
      </c>
      <c r="C302" s="241" t="str">
        <f>'סיכום לוועדה'!F328</f>
        <v>תל אביב -יפו</v>
      </c>
      <c r="D302" s="241" t="str">
        <f>'סיכום לוועדה'!G328</f>
        <v>עמותת הכוריאוגרפים (ע"ר)</v>
      </c>
      <c r="E302" s="242" t="str">
        <f>'סיכום לוועדה'!H328</f>
        <v>יוצרים עצמאיים במחול</v>
      </c>
      <c r="F302" s="242"/>
      <c r="G302" s="242"/>
      <c r="H302" s="75"/>
      <c r="I302" s="243"/>
      <c r="J302" s="75"/>
      <c r="K302" s="77"/>
      <c r="L302" s="75"/>
      <c r="M302" s="78"/>
      <c r="N302" s="244"/>
      <c r="O302" s="79"/>
      <c r="P302" s="76" t="str">
        <f>IF(IFERROR(VLOOKUP(B302,'בקשות שאושרו'!$B$2:$I$466,1,0),"")="","",1)</f>
        <v/>
      </c>
      <c r="Q302" s="245" t="str">
        <f>IFERROR(VLOOKUP(B302,'בקשות שאושרו'!$B$2:$K$466,COLUMN('בקשות שאושרו'!$J$1)-COLUMN('בקשות שאושרו'!$B$1)+1,0),"")</f>
        <v/>
      </c>
      <c r="R302" s="174"/>
      <c r="S302" s="174"/>
      <c r="T302" s="174"/>
    </row>
    <row r="303" spans="1:20" ht="43.5" x14ac:dyDescent="0.25">
      <c r="A303" s="240">
        <f>'סיכום לוועדה'!A329</f>
        <v>299</v>
      </c>
      <c r="B303" s="241">
        <f>'סיכום לוועדה'!E329</f>
        <v>20000201</v>
      </c>
      <c r="C303" s="241" t="str">
        <f>'סיכום לוועדה'!F329</f>
        <v>תל אביב -יפו</v>
      </c>
      <c r="D303" s="241" t="str">
        <f>'סיכום לוועדה'!G329</f>
        <v>עמותת הכוריאוגרפים (ע"ר)</v>
      </c>
      <c r="E303" s="242" t="str">
        <f>'סיכום לוועדה'!H329</f>
        <v>יוצרים עצמאיים במחול</v>
      </c>
      <c r="F303" s="242"/>
      <c r="G303" s="242"/>
      <c r="H303" s="75"/>
      <c r="I303" s="243"/>
      <c r="J303" s="75"/>
      <c r="K303" s="77"/>
      <c r="L303" s="75"/>
      <c r="M303" s="78"/>
      <c r="N303" s="244"/>
      <c r="O303" s="79"/>
      <c r="P303" s="76" t="str">
        <f>IF(IFERROR(VLOOKUP(B303,'בקשות שאושרו'!$B$2:$I$466,1,0),"")="","",1)</f>
        <v/>
      </c>
      <c r="Q303" s="245" t="str">
        <f>IFERROR(VLOOKUP(B303,'בקשות שאושרו'!$B$2:$K$466,COLUMN('בקשות שאושרו'!$J$1)-COLUMN('בקשות שאושרו'!$B$1)+1,0),"")</f>
        <v/>
      </c>
      <c r="R303" s="174"/>
      <c r="S303" s="174"/>
      <c r="T303" s="174"/>
    </row>
    <row r="304" spans="1:20" s="174" customFormat="1" ht="43.5" x14ac:dyDescent="0.25">
      <c r="A304" s="240">
        <f>'סיכום לוועדה'!A330</f>
        <v>300</v>
      </c>
      <c r="B304" s="241">
        <f>'סיכום לוועדה'!E330</f>
        <v>20000201</v>
      </c>
      <c r="C304" s="241" t="str">
        <f>'סיכום לוועדה'!F330</f>
        <v>תל אביב -יפו</v>
      </c>
      <c r="D304" s="241" t="str">
        <f>'סיכום לוועדה'!G330</f>
        <v>עמותת הכוריאוגרפים (ע"ר)</v>
      </c>
      <c r="E304" s="242" t="str">
        <f>'סיכום לוועדה'!H330</f>
        <v>יוצרים עצמאיים במחול</v>
      </c>
      <c r="F304" s="242"/>
      <c r="G304" s="242"/>
      <c r="H304" s="75"/>
      <c r="I304" s="243"/>
      <c r="J304" s="75"/>
      <c r="K304" s="77"/>
      <c r="L304" s="75"/>
      <c r="M304" s="78"/>
      <c r="N304" s="244"/>
      <c r="O304" s="79"/>
      <c r="P304" s="76" t="str">
        <f>IF(IFERROR(VLOOKUP(B304,'בקשות שאושרו'!$B$2:$I$466,1,0),"")="","",1)</f>
        <v/>
      </c>
      <c r="Q304" s="245" t="str">
        <f>IFERROR(VLOOKUP(B304,'בקשות שאושרו'!$B$2:$K$466,COLUMN('בקשות שאושרו'!$J$1)-COLUMN('בקשות שאושרו'!$B$1)+1,0),"")</f>
        <v/>
      </c>
    </row>
    <row r="305" spans="1:17" s="174" customFormat="1" ht="43.5" x14ac:dyDescent="0.25">
      <c r="A305" s="240">
        <f>'סיכום לוועדה'!A331</f>
        <v>301</v>
      </c>
      <c r="B305" s="241">
        <f>'סיכום לוועדה'!E331</f>
        <v>20000201</v>
      </c>
      <c r="C305" s="241" t="str">
        <f>'סיכום לוועדה'!F331</f>
        <v>תל אביב -יפו</v>
      </c>
      <c r="D305" s="241" t="str">
        <f>'סיכום לוועדה'!G331</f>
        <v>עמותת הכוריאוגרפים (ע"ר)</v>
      </c>
      <c r="E305" s="242" t="str">
        <f>'סיכום לוועדה'!H331</f>
        <v>יוצרים עצמאיים במחול</v>
      </c>
      <c r="F305" s="242"/>
      <c r="G305" s="242"/>
      <c r="H305" s="75"/>
      <c r="I305" s="243"/>
      <c r="J305" s="75"/>
      <c r="K305" s="77"/>
      <c r="L305" s="75"/>
      <c r="M305" s="78"/>
      <c r="N305" s="244"/>
      <c r="O305" s="79"/>
      <c r="P305" s="76" t="str">
        <f>IF(IFERROR(VLOOKUP(B305,'בקשות שאושרו'!$B$2:$I$466,1,0),"")="","",1)</f>
        <v/>
      </c>
      <c r="Q305" s="245" t="str">
        <f>IFERROR(VLOOKUP(B305,'בקשות שאושרו'!$B$2:$K$466,COLUMN('בקשות שאושרו'!$J$1)-COLUMN('בקשות שאושרו'!$B$1)+1,0),"")</f>
        <v/>
      </c>
    </row>
    <row r="306" spans="1:17" s="174" customFormat="1" ht="43.5" x14ac:dyDescent="0.25">
      <c r="A306" s="240">
        <f>'סיכום לוועדה'!A332</f>
        <v>302</v>
      </c>
      <c r="B306" s="241">
        <f>'סיכום לוועדה'!E332</f>
        <v>20000201</v>
      </c>
      <c r="C306" s="241" t="str">
        <f>'סיכום לוועדה'!F332</f>
        <v>תל אביב -יפו</v>
      </c>
      <c r="D306" s="241" t="str">
        <f>'סיכום לוועדה'!G332</f>
        <v>עמותת הכוריאוגרפים (ע"ר)</v>
      </c>
      <c r="E306" s="242" t="str">
        <f>'סיכום לוועדה'!H332</f>
        <v>יוצרים עצמאיים במחול</v>
      </c>
      <c r="F306" s="242"/>
      <c r="G306" s="242"/>
      <c r="H306" s="75"/>
      <c r="I306" s="243"/>
      <c r="J306" s="75"/>
      <c r="K306" s="77"/>
      <c r="L306" s="75"/>
      <c r="M306" s="78"/>
      <c r="N306" s="244"/>
      <c r="O306" s="79"/>
      <c r="P306" s="76" t="str">
        <f>IF(IFERROR(VLOOKUP(B306,'בקשות שאושרו'!$B$2:$I$466,1,0),"")="","",1)</f>
        <v/>
      </c>
      <c r="Q306" s="245" t="str">
        <f>IFERROR(VLOOKUP(B306,'בקשות שאושרו'!$B$2:$K$466,COLUMN('בקשות שאושרו'!$J$1)-COLUMN('בקשות שאושרו'!$B$1)+1,0),"")</f>
        <v/>
      </c>
    </row>
    <row r="307" spans="1:17" s="174" customFormat="1" ht="43.5" x14ac:dyDescent="0.25">
      <c r="A307" s="240">
        <f>'סיכום לוועדה'!A333</f>
        <v>303</v>
      </c>
      <c r="B307" s="241">
        <f>'סיכום לוועדה'!E333</f>
        <v>20000201</v>
      </c>
      <c r="C307" s="241" t="str">
        <f>'סיכום לוועדה'!F333</f>
        <v>תל אביב -יפו</v>
      </c>
      <c r="D307" s="241" t="str">
        <f>'סיכום לוועדה'!G333</f>
        <v>עמותת הכוריאוגרפים (ע"ר)</v>
      </c>
      <c r="E307" s="242" t="str">
        <f>'סיכום לוועדה'!H333</f>
        <v>יוצרים עצמאיים במחול</v>
      </c>
      <c r="F307" s="242"/>
      <c r="G307" s="242"/>
      <c r="H307" s="75"/>
      <c r="I307" s="243"/>
      <c r="J307" s="75"/>
      <c r="K307" s="77"/>
      <c r="L307" s="75"/>
      <c r="M307" s="78"/>
      <c r="N307" s="244"/>
      <c r="O307" s="79"/>
      <c r="P307" s="76" t="str">
        <f>IF(IFERROR(VLOOKUP(B307,'בקשות שאושרו'!$B$2:$I$466,1,0),"")="","",1)</f>
        <v/>
      </c>
      <c r="Q307" s="245" t="str">
        <f>IFERROR(VLOOKUP(B307,'בקשות שאושרו'!$B$2:$K$466,COLUMN('בקשות שאושרו'!$J$1)-COLUMN('בקשות שאושרו'!$B$1)+1,0),"")</f>
        <v/>
      </c>
    </row>
    <row r="308" spans="1:17" s="174" customFormat="1" ht="43.5" x14ac:dyDescent="0.25">
      <c r="A308" s="240">
        <f>'סיכום לוועדה'!A334</f>
        <v>304</v>
      </c>
      <c r="B308" s="241">
        <f>'סיכום לוועדה'!E334</f>
        <v>20000201</v>
      </c>
      <c r="C308" s="241" t="str">
        <f>'סיכום לוועדה'!F334</f>
        <v>תל אביב -יפו</v>
      </c>
      <c r="D308" s="241" t="str">
        <f>'סיכום לוועדה'!G334</f>
        <v>עמותת הכוריאוגרפים (ע"ר)</v>
      </c>
      <c r="E308" s="242" t="str">
        <f>'סיכום לוועדה'!H334</f>
        <v>יוצרים עצמאיים במחול</v>
      </c>
      <c r="F308" s="242"/>
      <c r="G308" s="242"/>
      <c r="H308" s="75"/>
      <c r="I308" s="243"/>
      <c r="J308" s="75"/>
      <c r="K308" s="77"/>
      <c r="L308" s="75"/>
      <c r="M308" s="78"/>
      <c r="N308" s="244"/>
      <c r="O308" s="79"/>
      <c r="P308" s="76" t="str">
        <f>IF(IFERROR(VLOOKUP(B308,'בקשות שאושרו'!$B$2:$I$466,1,0),"")="","",1)</f>
        <v/>
      </c>
      <c r="Q308" s="245" t="str">
        <f>IFERROR(VLOOKUP(B308,'בקשות שאושרו'!$B$2:$K$466,COLUMN('בקשות שאושרו'!$J$1)-COLUMN('בקשות שאושרו'!$B$1)+1,0),"")</f>
        <v/>
      </c>
    </row>
    <row r="309" spans="1:17" s="174" customFormat="1" ht="43.5" x14ac:dyDescent="0.25">
      <c r="A309" s="240">
        <f>'סיכום לוועדה'!A335</f>
        <v>305</v>
      </c>
      <c r="B309" s="241">
        <f>'סיכום לוועדה'!E335</f>
        <v>20000201</v>
      </c>
      <c r="C309" s="241" t="str">
        <f>'סיכום לוועדה'!F335</f>
        <v>תל אביב -יפו</v>
      </c>
      <c r="D309" s="241" t="str">
        <f>'סיכום לוועדה'!G335</f>
        <v>עמותת הכוריאוגרפים (ע"ר)</v>
      </c>
      <c r="E309" s="242" t="str">
        <f>'סיכום לוועדה'!H335</f>
        <v>יוצרים עצמאיים במחול</v>
      </c>
      <c r="F309" s="242"/>
      <c r="G309" s="242"/>
      <c r="H309" s="75"/>
      <c r="I309" s="243"/>
      <c r="J309" s="75"/>
      <c r="K309" s="77"/>
      <c r="L309" s="75"/>
      <c r="M309" s="78"/>
      <c r="N309" s="244"/>
      <c r="O309" s="79"/>
      <c r="P309" s="76" t="str">
        <f>IF(IFERROR(VLOOKUP(B309,'בקשות שאושרו'!$B$2:$I$466,1,0),"")="","",1)</f>
        <v/>
      </c>
      <c r="Q309" s="245" t="str">
        <f>IFERROR(VLOOKUP(B309,'בקשות שאושרו'!$B$2:$K$466,COLUMN('בקשות שאושרו'!$J$1)-COLUMN('בקשות שאושרו'!$B$1)+1,0),"")</f>
        <v/>
      </c>
    </row>
    <row r="310" spans="1:17" s="174" customFormat="1" ht="43.5" x14ac:dyDescent="0.25">
      <c r="A310" s="240">
        <f>'סיכום לוועדה'!A336</f>
        <v>306</v>
      </c>
      <c r="B310" s="241">
        <f>'סיכום לוועדה'!E336</f>
        <v>20000201</v>
      </c>
      <c r="C310" s="241" t="str">
        <f>'סיכום לוועדה'!F336</f>
        <v>תל אביב -יפו</v>
      </c>
      <c r="D310" s="241" t="str">
        <f>'סיכום לוועדה'!G336</f>
        <v>עמותת הכוריאוגרפים (ע"ר)</v>
      </c>
      <c r="E310" s="242" t="str">
        <f>'סיכום לוועדה'!H336</f>
        <v>יוצרים עצמאיים במחול</v>
      </c>
      <c r="F310" s="242"/>
      <c r="G310" s="242"/>
      <c r="H310" s="75"/>
      <c r="I310" s="243"/>
      <c r="J310" s="75"/>
      <c r="K310" s="77"/>
      <c r="L310" s="75"/>
      <c r="M310" s="78"/>
      <c r="N310" s="244"/>
      <c r="O310" s="79"/>
      <c r="P310" s="76" t="str">
        <f>IF(IFERROR(VLOOKUP(B310,'בקשות שאושרו'!$B$2:$I$466,1,0),"")="","",1)</f>
        <v/>
      </c>
      <c r="Q310" s="245" t="str">
        <f>IFERROR(VLOOKUP(B310,'בקשות שאושרו'!$B$2:$K$466,COLUMN('בקשות שאושרו'!$J$1)-COLUMN('בקשות שאושרו'!$B$1)+1,0),"")</f>
        <v/>
      </c>
    </row>
    <row r="311" spans="1:17" s="174" customFormat="1" ht="43.5" x14ac:dyDescent="0.25">
      <c r="A311" s="240">
        <f>'סיכום לוועדה'!A337</f>
        <v>307</v>
      </c>
      <c r="B311" s="241">
        <f>'סיכום לוועדה'!E337</f>
        <v>20000201</v>
      </c>
      <c r="C311" s="241" t="str">
        <f>'סיכום לוועדה'!F337</f>
        <v>תל אביב -יפו</v>
      </c>
      <c r="D311" s="241" t="str">
        <f>'סיכום לוועדה'!G337</f>
        <v>עמותת הכוריאוגרפים (ע"ר)</v>
      </c>
      <c r="E311" s="242" t="str">
        <f>'סיכום לוועדה'!H337</f>
        <v>יוצרים עצמאיים במחול</v>
      </c>
      <c r="F311" s="242"/>
      <c r="G311" s="242"/>
      <c r="H311" s="75"/>
      <c r="I311" s="243"/>
      <c r="J311" s="75"/>
      <c r="K311" s="77"/>
      <c r="L311" s="75"/>
      <c r="M311" s="78"/>
      <c r="N311" s="244"/>
      <c r="O311" s="79"/>
      <c r="P311" s="76" t="str">
        <f>IF(IFERROR(VLOOKUP(B311,'בקשות שאושרו'!$B$2:$I$466,1,0),"")="","",1)</f>
        <v/>
      </c>
      <c r="Q311" s="245" t="str">
        <f>IFERROR(VLOOKUP(B311,'בקשות שאושרו'!$B$2:$K$466,COLUMN('בקשות שאושרו'!$J$1)-COLUMN('בקשות שאושרו'!$B$1)+1,0),"")</f>
        <v/>
      </c>
    </row>
    <row r="312" spans="1:17" s="174" customFormat="1" ht="43.5" x14ac:dyDescent="0.25">
      <c r="A312" s="240">
        <f>'סיכום לוועדה'!A338</f>
        <v>308</v>
      </c>
      <c r="B312" s="241">
        <f>'סיכום לוועדה'!E338</f>
        <v>20000201</v>
      </c>
      <c r="C312" s="241" t="str">
        <f>'סיכום לוועדה'!F338</f>
        <v>תל אביב -יפו</v>
      </c>
      <c r="D312" s="241" t="str">
        <f>'סיכום לוועדה'!G338</f>
        <v>עמותת הכוריאוגרפים (ע"ר)</v>
      </c>
      <c r="E312" s="242" t="str">
        <f>'סיכום לוועדה'!H338</f>
        <v>יוצרים עצמאיים במחול</v>
      </c>
      <c r="F312" s="242"/>
      <c r="G312" s="242"/>
      <c r="H312" s="75"/>
      <c r="I312" s="243"/>
      <c r="J312" s="75"/>
      <c r="K312" s="77"/>
      <c r="L312" s="75"/>
      <c r="M312" s="78"/>
      <c r="N312" s="244"/>
      <c r="O312" s="79"/>
      <c r="P312" s="76" t="str">
        <f>IF(IFERROR(VLOOKUP(B312,'בקשות שאושרו'!$B$2:$I$466,1,0),"")="","",1)</f>
        <v/>
      </c>
      <c r="Q312" s="245" t="str">
        <f>IFERROR(VLOOKUP(B312,'בקשות שאושרו'!$B$2:$K$466,COLUMN('בקשות שאושרו'!$J$1)-COLUMN('בקשות שאושרו'!$B$1)+1,0),"")</f>
        <v/>
      </c>
    </row>
    <row r="313" spans="1:17" s="174" customFormat="1" ht="43.5" x14ac:dyDescent="0.25">
      <c r="A313" s="240">
        <f>'סיכום לוועדה'!A339</f>
        <v>309</v>
      </c>
      <c r="B313" s="241">
        <f>'סיכום לוועדה'!E339</f>
        <v>20000201</v>
      </c>
      <c r="C313" s="241" t="str">
        <f>'סיכום לוועדה'!F339</f>
        <v>תל אביב -יפו</v>
      </c>
      <c r="D313" s="241" t="str">
        <f>'סיכום לוועדה'!G339</f>
        <v>עמותת הכוריאוגרפים (ע"ר)</v>
      </c>
      <c r="E313" s="242" t="str">
        <f>'סיכום לוועדה'!H339</f>
        <v>יוצרים עצמאיים במחול</v>
      </c>
      <c r="F313" s="242"/>
      <c r="G313" s="242"/>
      <c r="H313" s="75"/>
      <c r="I313" s="243"/>
      <c r="J313" s="75"/>
      <c r="K313" s="77"/>
      <c r="L313" s="75"/>
      <c r="M313" s="78"/>
      <c r="N313" s="244"/>
      <c r="O313" s="79"/>
      <c r="P313" s="76" t="str">
        <f>IF(IFERROR(VLOOKUP(B313,'בקשות שאושרו'!$B$2:$I$466,1,0),"")="","",1)</f>
        <v/>
      </c>
      <c r="Q313" s="245" t="str">
        <f>IFERROR(VLOOKUP(B313,'בקשות שאושרו'!$B$2:$K$466,COLUMN('בקשות שאושרו'!$J$1)-COLUMN('בקשות שאושרו'!$B$1)+1,0),"")</f>
        <v/>
      </c>
    </row>
    <row r="314" spans="1:17" s="174" customFormat="1" ht="43.5" x14ac:dyDescent="0.25">
      <c r="A314" s="240">
        <f>'סיכום לוועדה'!A340</f>
        <v>310</v>
      </c>
      <c r="B314" s="241">
        <f>'סיכום לוועדה'!E340</f>
        <v>20000201</v>
      </c>
      <c r="C314" s="241" t="str">
        <f>'סיכום לוועדה'!F340</f>
        <v>תל אביב -יפו</v>
      </c>
      <c r="D314" s="241" t="str">
        <f>'סיכום לוועדה'!G340</f>
        <v>עמותת הכוריאוגרפים (ע"ר)</v>
      </c>
      <c r="E314" s="242" t="str">
        <f>'סיכום לוועדה'!H340</f>
        <v>יוצרים עצמאיים במחול</v>
      </c>
      <c r="F314" s="242"/>
      <c r="G314" s="242"/>
      <c r="H314" s="75"/>
      <c r="I314" s="243"/>
      <c r="J314" s="75"/>
      <c r="K314" s="77"/>
      <c r="L314" s="75"/>
      <c r="M314" s="78"/>
      <c r="N314" s="244"/>
      <c r="O314" s="79"/>
      <c r="P314" s="76" t="str">
        <f>IF(IFERROR(VLOOKUP(B314,'בקשות שאושרו'!$B$2:$I$466,1,0),"")="","",1)</f>
        <v/>
      </c>
      <c r="Q314" s="245" t="str">
        <f>IFERROR(VLOOKUP(B314,'בקשות שאושרו'!$B$2:$K$466,COLUMN('בקשות שאושרו'!$J$1)-COLUMN('בקשות שאושרו'!$B$1)+1,0),"")</f>
        <v/>
      </c>
    </row>
    <row r="315" spans="1:17" s="174" customFormat="1" ht="43.5" x14ac:dyDescent="0.25">
      <c r="A315" s="240">
        <f>'סיכום לוועדה'!A341</f>
        <v>311</v>
      </c>
      <c r="B315" s="241">
        <f>'סיכום לוועדה'!E341</f>
        <v>20000201</v>
      </c>
      <c r="C315" s="241" t="str">
        <f>'סיכום לוועדה'!F341</f>
        <v>תל אביב -יפו</v>
      </c>
      <c r="D315" s="241" t="str">
        <f>'סיכום לוועדה'!G341</f>
        <v>עמותת הכוריאוגרפים (ע"ר)</v>
      </c>
      <c r="E315" s="242" t="str">
        <f>'סיכום לוועדה'!H341</f>
        <v>יוצרים עצמאיים במחול</v>
      </c>
      <c r="F315" s="242"/>
      <c r="G315" s="242"/>
      <c r="H315" s="75"/>
      <c r="I315" s="243"/>
      <c r="J315" s="75"/>
      <c r="K315" s="77"/>
      <c r="L315" s="75"/>
      <c r="M315" s="78"/>
      <c r="N315" s="244"/>
      <c r="O315" s="79"/>
      <c r="P315" s="76" t="str">
        <f>IF(IFERROR(VLOOKUP(B315,'בקשות שאושרו'!$B$2:$I$466,1,0),"")="","",1)</f>
        <v/>
      </c>
      <c r="Q315" s="245" t="str">
        <f>IFERROR(VLOOKUP(B315,'בקשות שאושרו'!$B$2:$K$466,COLUMN('בקשות שאושרו'!$J$1)-COLUMN('בקשות שאושרו'!$B$1)+1,0),"")</f>
        <v/>
      </c>
    </row>
    <row r="316" spans="1:17" s="174" customFormat="1" ht="43.5" x14ac:dyDescent="0.25">
      <c r="A316" s="240">
        <f>'סיכום לוועדה'!A342</f>
        <v>312</v>
      </c>
      <c r="B316" s="241">
        <f>'סיכום לוועדה'!E342</f>
        <v>20000201</v>
      </c>
      <c r="C316" s="241" t="str">
        <f>'סיכום לוועדה'!F342</f>
        <v>תל אביב -יפו</v>
      </c>
      <c r="D316" s="241" t="str">
        <f>'סיכום לוועדה'!G342</f>
        <v>עמותת הכוריאוגרפים (ע"ר)</v>
      </c>
      <c r="E316" s="242" t="str">
        <f>'סיכום לוועדה'!H342</f>
        <v>יוצרים עצמאיים במחול</v>
      </c>
      <c r="F316" s="242"/>
      <c r="G316" s="242"/>
      <c r="H316" s="75"/>
      <c r="I316" s="243"/>
      <c r="J316" s="75"/>
      <c r="K316" s="77"/>
      <c r="L316" s="75"/>
      <c r="M316" s="78"/>
      <c r="N316" s="244"/>
      <c r="O316" s="79"/>
      <c r="P316" s="76" t="str">
        <f>IF(IFERROR(VLOOKUP(B316,'בקשות שאושרו'!$B$2:$I$466,1,0),"")="","",1)</f>
        <v/>
      </c>
      <c r="Q316" s="245" t="str">
        <f>IFERROR(VLOOKUP(B316,'בקשות שאושרו'!$B$2:$K$466,COLUMN('בקשות שאושרו'!$J$1)-COLUMN('בקשות שאושרו'!$B$1)+1,0),"")</f>
        <v/>
      </c>
    </row>
    <row r="317" spans="1:17" s="174" customFormat="1" ht="43.5" x14ac:dyDescent="0.25">
      <c r="A317" s="240">
        <f>'סיכום לוועדה'!A343</f>
        <v>313</v>
      </c>
      <c r="B317" s="241">
        <f>'סיכום לוועדה'!E343</f>
        <v>20000201</v>
      </c>
      <c r="C317" s="241" t="str">
        <f>'סיכום לוועדה'!F343</f>
        <v>תל אביב -יפו</v>
      </c>
      <c r="D317" s="241" t="str">
        <f>'סיכום לוועדה'!G343</f>
        <v>עמותת הכוריאוגרפים (ע"ר)</v>
      </c>
      <c r="E317" s="242" t="str">
        <f>'סיכום לוועדה'!H343</f>
        <v>יוצרים עצמאיים במחול</v>
      </c>
      <c r="F317" s="242"/>
      <c r="G317" s="242"/>
      <c r="H317" s="75"/>
      <c r="I317" s="243"/>
      <c r="J317" s="75"/>
      <c r="K317" s="77"/>
      <c r="L317" s="75"/>
      <c r="M317" s="78"/>
      <c r="N317" s="244"/>
      <c r="O317" s="79"/>
      <c r="P317" s="76" t="str">
        <f>IF(IFERROR(VLOOKUP(B317,'בקשות שאושרו'!$B$2:$I$466,1,0),"")="","",1)</f>
        <v/>
      </c>
      <c r="Q317" s="245" t="str">
        <f>IFERROR(VLOOKUP(B317,'בקשות שאושרו'!$B$2:$K$466,COLUMN('בקשות שאושרו'!$J$1)-COLUMN('בקשות שאושרו'!$B$1)+1,0),"")</f>
        <v/>
      </c>
    </row>
    <row r="318" spans="1:17" s="174" customFormat="1" ht="43.5" x14ac:dyDescent="0.25">
      <c r="A318" s="240">
        <f>'סיכום לוועדה'!A344</f>
        <v>314</v>
      </c>
      <c r="B318" s="241">
        <f>'סיכום לוועדה'!E344</f>
        <v>20000201</v>
      </c>
      <c r="C318" s="241" t="str">
        <f>'סיכום לוועדה'!F344</f>
        <v>תל אביב -יפו</v>
      </c>
      <c r="D318" s="241" t="str">
        <f>'סיכום לוועדה'!G344</f>
        <v>עמותת הכוריאוגרפים (ע"ר)</v>
      </c>
      <c r="E318" s="242" t="str">
        <f>'סיכום לוועדה'!H344</f>
        <v>יוצרים עצמאיים במחול</v>
      </c>
      <c r="F318" s="242"/>
      <c r="G318" s="242"/>
      <c r="H318" s="75"/>
      <c r="I318" s="243"/>
      <c r="J318" s="75"/>
      <c r="K318" s="77"/>
      <c r="L318" s="75"/>
      <c r="M318" s="78"/>
      <c r="N318" s="244"/>
      <c r="O318" s="79"/>
      <c r="P318" s="76" t="str">
        <f>IF(IFERROR(VLOOKUP(B318,'בקשות שאושרו'!$B$2:$I$466,1,0),"")="","",1)</f>
        <v/>
      </c>
      <c r="Q318" s="245" t="str">
        <f>IFERROR(VLOOKUP(B318,'בקשות שאושרו'!$B$2:$K$466,COLUMN('בקשות שאושרו'!$J$1)-COLUMN('בקשות שאושרו'!$B$1)+1,0),"")</f>
        <v/>
      </c>
    </row>
    <row r="319" spans="1:17" s="174" customFormat="1" ht="43.5" x14ac:dyDescent="0.25">
      <c r="A319" s="240">
        <f>'סיכום לוועדה'!A345</f>
        <v>315</v>
      </c>
      <c r="B319" s="241">
        <f>'סיכום לוועדה'!E345</f>
        <v>20000201</v>
      </c>
      <c r="C319" s="241" t="str">
        <f>'סיכום לוועדה'!F345</f>
        <v>תל אביב -יפו</v>
      </c>
      <c r="D319" s="241" t="str">
        <f>'סיכום לוועדה'!G345</f>
        <v>עמותת הכוריאוגרפים (ע"ר)</v>
      </c>
      <c r="E319" s="242" t="str">
        <f>'סיכום לוועדה'!H345</f>
        <v>יוצרים עצמאיים במחול</v>
      </c>
      <c r="F319" s="242"/>
      <c r="G319" s="242"/>
      <c r="H319" s="75"/>
      <c r="I319" s="243"/>
      <c r="J319" s="75"/>
      <c r="K319" s="77"/>
      <c r="L319" s="75"/>
      <c r="M319" s="78"/>
      <c r="N319" s="244"/>
      <c r="O319" s="79"/>
      <c r="P319" s="76" t="str">
        <f>IF(IFERROR(VLOOKUP(B319,'בקשות שאושרו'!$B$2:$I$466,1,0),"")="","",1)</f>
        <v/>
      </c>
      <c r="Q319" s="245" t="str">
        <f>IFERROR(VLOOKUP(B319,'בקשות שאושרו'!$B$2:$K$466,COLUMN('בקשות שאושרו'!$J$1)-COLUMN('בקשות שאושרו'!$B$1)+1,0),"")</f>
        <v/>
      </c>
    </row>
    <row r="320" spans="1:17" s="174" customFormat="1" ht="43.5" x14ac:dyDescent="0.25">
      <c r="A320" s="240">
        <f>'סיכום לוועדה'!A346</f>
        <v>316</v>
      </c>
      <c r="B320" s="241">
        <f>'סיכום לוועדה'!E346</f>
        <v>20000201</v>
      </c>
      <c r="C320" s="241" t="str">
        <f>'סיכום לוועדה'!F346</f>
        <v>תל אביב -יפו</v>
      </c>
      <c r="D320" s="241" t="str">
        <f>'סיכום לוועדה'!G346</f>
        <v>עמותת הכוריאוגרפים (ע"ר)</v>
      </c>
      <c r="E320" s="242" t="str">
        <f>'סיכום לוועדה'!H346</f>
        <v>יוצרים עצמאיים במחול</v>
      </c>
      <c r="F320" s="242"/>
      <c r="G320" s="242"/>
      <c r="H320" s="75"/>
      <c r="I320" s="243"/>
      <c r="J320" s="75"/>
      <c r="K320" s="77"/>
      <c r="L320" s="75"/>
      <c r="M320" s="78"/>
      <c r="N320" s="244"/>
      <c r="O320" s="79"/>
      <c r="P320" s="76" t="str">
        <f>IF(IFERROR(VLOOKUP(B320,'בקשות שאושרו'!$B$2:$I$466,1,0),"")="","",1)</f>
        <v/>
      </c>
      <c r="Q320" s="245" t="str">
        <f>IFERROR(VLOOKUP(B320,'בקשות שאושרו'!$B$2:$K$466,COLUMN('בקשות שאושרו'!$J$1)-COLUMN('בקשות שאושרו'!$B$1)+1,0),"")</f>
        <v/>
      </c>
    </row>
    <row r="321" spans="1:17" s="174" customFormat="1" ht="43.5" x14ac:dyDescent="0.25">
      <c r="A321" s="240">
        <f>'סיכום לוועדה'!A347</f>
        <v>317</v>
      </c>
      <c r="B321" s="241">
        <f>'סיכום לוועדה'!E347</f>
        <v>20000201</v>
      </c>
      <c r="C321" s="241" t="str">
        <f>'סיכום לוועדה'!F347</f>
        <v>תל אביב -יפו</v>
      </c>
      <c r="D321" s="241" t="str">
        <f>'סיכום לוועדה'!G347</f>
        <v>עמותת הכוריאוגרפים (ע"ר)</v>
      </c>
      <c r="E321" s="242" t="str">
        <f>'סיכום לוועדה'!H347</f>
        <v>יוצרים עצמאיים במחול</v>
      </c>
      <c r="F321" s="242"/>
      <c r="G321" s="242"/>
      <c r="H321" s="75"/>
      <c r="I321" s="243"/>
      <c r="J321" s="75"/>
      <c r="K321" s="77"/>
      <c r="L321" s="75"/>
      <c r="M321" s="78"/>
      <c r="N321" s="244"/>
      <c r="O321" s="79"/>
      <c r="P321" s="76" t="str">
        <f>IF(IFERROR(VLOOKUP(B321,'בקשות שאושרו'!$B$2:$I$466,1,0),"")="","",1)</f>
        <v/>
      </c>
      <c r="Q321" s="245" t="str">
        <f>IFERROR(VLOOKUP(B321,'בקשות שאושרו'!$B$2:$K$466,COLUMN('בקשות שאושרו'!$J$1)-COLUMN('בקשות שאושרו'!$B$1)+1,0),"")</f>
        <v/>
      </c>
    </row>
    <row r="322" spans="1:17" s="174" customFormat="1" ht="43.5" x14ac:dyDescent="0.25">
      <c r="A322" s="240">
        <f>'סיכום לוועדה'!A348</f>
        <v>318</v>
      </c>
      <c r="B322" s="241">
        <f>'סיכום לוועדה'!E348</f>
        <v>20000201</v>
      </c>
      <c r="C322" s="241" t="str">
        <f>'סיכום לוועדה'!F348</f>
        <v>תל אביב -יפו</v>
      </c>
      <c r="D322" s="241" t="str">
        <f>'סיכום לוועדה'!G348</f>
        <v>עמותת הכוריאוגרפים (ע"ר)</v>
      </c>
      <c r="E322" s="242" t="str">
        <f>'סיכום לוועדה'!H348</f>
        <v>יוצרים עצמאיים במחול</v>
      </c>
      <c r="F322" s="242"/>
      <c r="G322" s="242"/>
      <c r="H322" s="75"/>
      <c r="I322" s="243"/>
      <c r="J322" s="75"/>
      <c r="K322" s="77"/>
      <c r="L322" s="75"/>
      <c r="M322" s="78"/>
      <c r="N322" s="244"/>
      <c r="O322" s="79"/>
      <c r="P322" s="76" t="str">
        <f>IF(IFERROR(VLOOKUP(B322,'בקשות שאושרו'!$B$2:$I$466,1,0),"")="","",1)</f>
        <v/>
      </c>
      <c r="Q322" s="245" t="str">
        <f>IFERROR(VLOOKUP(B322,'בקשות שאושרו'!$B$2:$K$466,COLUMN('בקשות שאושרו'!$J$1)-COLUMN('בקשות שאושרו'!$B$1)+1,0),"")</f>
        <v/>
      </c>
    </row>
    <row r="323" spans="1:17" s="174" customFormat="1" ht="57.75" x14ac:dyDescent="0.25">
      <c r="A323" s="240">
        <f>'סיכום לוועדה'!A349</f>
        <v>319</v>
      </c>
      <c r="B323" s="241">
        <f>'סיכום לוועדה'!E349</f>
        <v>20000201</v>
      </c>
      <c r="C323" s="241" t="str">
        <f>'סיכום לוועדה'!F349</f>
        <v>תל אביב -יפו</v>
      </c>
      <c r="D323" s="241" t="str">
        <f>'סיכום לוועדה'!G349</f>
        <v>תיאטרון ארצי לילדים ונוער (ע"ר)</v>
      </c>
      <c r="E323" s="242" t="str">
        <f>'סיכום לוועדה'!H349</f>
        <v>תיאטרון</v>
      </c>
      <c r="F323" s="242"/>
      <c r="G323" s="242"/>
      <c r="H323" s="75"/>
      <c r="I323" s="243"/>
      <c r="J323" s="75"/>
      <c r="K323" s="77"/>
      <c r="L323" s="75"/>
      <c r="M323" s="78"/>
      <c r="N323" s="244"/>
      <c r="O323" s="79"/>
      <c r="P323" s="76" t="str">
        <f>IF(IFERROR(VLOOKUP(B323,'בקשות שאושרו'!$B$2:$I$466,1,0),"")="","",1)</f>
        <v/>
      </c>
      <c r="Q323" s="245" t="str">
        <f>IFERROR(VLOOKUP(B323,'בקשות שאושרו'!$B$2:$K$466,COLUMN('בקשות שאושרו'!$J$1)-COLUMN('בקשות שאושרו'!$B$1)+1,0),"")</f>
        <v/>
      </c>
    </row>
    <row r="324" spans="1:17" s="174" customFormat="1" ht="72" x14ac:dyDescent="0.25">
      <c r="A324" s="240">
        <f>'סיכום לוועדה'!A350</f>
        <v>320</v>
      </c>
      <c r="B324" s="241">
        <f>'סיכום לוועדה'!E350</f>
        <v>20000201</v>
      </c>
      <c r="C324" s="241" t="str">
        <f>'סיכום לוועדה'!F350</f>
        <v>תל אביב -יפו</v>
      </c>
      <c r="D324" s="241" t="str">
        <f>'סיכום לוועדה'!G350</f>
        <v>האנסמבל הקולי הישראלי (1995) (ע"ר)</v>
      </c>
      <c r="E324" s="242" t="str">
        <f>'סיכום לוועדה'!H350</f>
        <v>אחר</v>
      </c>
      <c r="F324" s="242"/>
      <c r="G324" s="242"/>
      <c r="H324" s="75"/>
      <c r="I324" s="243"/>
      <c r="J324" s="75"/>
      <c r="K324" s="77"/>
      <c r="L324" s="75"/>
      <c r="M324" s="78"/>
      <c r="N324" s="244"/>
      <c r="O324" s="79"/>
      <c r="P324" s="76" t="str">
        <f>IF(IFERROR(VLOOKUP(B324,'בקשות שאושרו'!$B$2:$I$466,1,0),"")="","",1)</f>
        <v/>
      </c>
      <c r="Q324" s="245" t="str">
        <f>IFERROR(VLOOKUP(B324,'בקשות שאושרו'!$B$2:$K$466,COLUMN('בקשות שאושרו'!$J$1)-COLUMN('בקשות שאושרו'!$B$1)+1,0),"")</f>
        <v/>
      </c>
    </row>
    <row r="325" spans="1:17" s="174" customFormat="1" ht="72" x14ac:dyDescent="0.25">
      <c r="A325" s="240">
        <f>'סיכום לוועדה'!A351</f>
        <v>321</v>
      </c>
      <c r="B325" s="241">
        <f>'סיכום לוועדה'!E351</f>
        <v>20000201</v>
      </c>
      <c r="C325" s="241" t="str">
        <f>'סיכום לוועדה'!F351</f>
        <v>תל אביב -יפו</v>
      </c>
      <c r="D325" s="241" t="str">
        <f>'סיכום לוועדה'!G351</f>
        <v>האנסמבל הקולי הישראלי (1995) (ע"ר)</v>
      </c>
      <c r="E325" s="242" t="str">
        <f>'סיכום לוועדה'!H351</f>
        <v>מקהלות</v>
      </c>
      <c r="F325" s="242"/>
      <c r="G325" s="242"/>
      <c r="H325" s="75"/>
      <c r="I325" s="243"/>
      <c r="J325" s="75"/>
      <c r="K325" s="77"/>
      <c r="L325" s="75"/>
      <c r="M325" s="78"/>
      <c r="N325" s="244"/>
      <c r="O325" s="79"/>
      <c r="P325" s="76" t="str">
        <f>IF(IFERROR(VLOOKUP(B325,'בקשות שאושרו'!$B$2:$I$466,1,0),"")="","",1)</f>
        <v/>
      </c>
      <c r="Q325" s="245" t="str">
        <f>IFERROR(VLOOKUP(B325,'בקשות שאושרו'!$B$2:$K$466,COLUMN('בקשות שאושרו'!$J$1)-COLUMN('בקשות שאושרו'!$B$1)+1,0),"")</f>
        <v/>
      </c>
    </row>
    <row r="326" spans="1:17" s="174" customFormat="1" ht="57.75" x14ac:dyDescent="0.25">
      <c r="A326" s="240">
        <f>'סיכום לוועדה'!A352</f>
        <v>322</v>
      </c>
      <c r="B326" s="241">
        <f>'סיכום לוועדה'!E352</f>
        <v>20000201</v>
      </c>
      <c r="C326" s="241" t="str">
        <f>'סיכום לוועדה'!F352</f>
        <v>תל אביב -יפו</v>
      </c>
      <c r="D326" s="241" t="str">
        <f>'סיכום לוועדה'!G352</f>
        <v>תיאטרון השעה הישראלי (ע"ר)</v>
      </c>
      <c r="E326" s="242" t="str">
        <f>'סיכום לוועדה'!H352</f>
        <v>תיאטרון</v>
      </c>
      <c r="F326" s="242"/>
      <c r="G326" s="242"/>
      <c r="H326" s="75"/>
      <c r="I326" s="243"/>
      <c r="J326" s="75"/>
      <c r="K326" s="77"/>
      <c r="L326" s="75"/>
      <c r="M326" s="78"/>
      <c r="N326" s="244"/>
      <c r="O326" s="79"/>
      <c r="P326" s="76" t="str">
        <f>IF(IFERROR(VLOOKUP(B326,'בקשות שאושרו'!$B$2:$I$466,1,0),"")="","",1)</f>
        <v/>
      </c>
      <c r="Q326" s="245" t="str">
        <f>IFERROR(VLOOKUP(B326,'בקשות שאושרו'!$B$2:$K$466,COLUMN('בקשות שאושרו'!$J$1)-COLUMN('בקשות שאושרו'!$B$1)+1,0),"")</f>
        <v/>
      </c>
    </row>
    <row r="327" spans="1:17" s="174" customFormat="1" x14ac:dyDescent="0.25">
      <c r="A327" s="240">
        <f>'סיכום לוועדה'!A353</f>
        <v>323</v>
      </c>
      <c r="B327" s="241" t="str">
        <f>'סיכום לוועדה'!E353</f>
        <v/>
      </c>
      <c r="C327" s="241" t="str">
        <f>'סיכום לוועדה'!F353</f>
        <v/>
      </c>
      <c r="D327" s="241" t="str">
        <f>'סיכום לוועדה'!G353</f>
        <v/>
      </c>
      <c r="E327" s="242" t="str">
        <f>'סיכום לוועדה'!H353</f>
        <v/>
      </c>
      <c r="F327" s="242"/>
      <c r="G327" s="242"/>
      <c r="H327" s="75"/>
      <c r="I327" s="243"/>
      <c r="J327" s="75"/>
      <c r="K327" s="77"/>
      <c r="L327" s="75"/>
      <c r="M327" s="78"/>
      <c r="N327" s="244"/>
      <c r="O327" s="79"/>
      <c r="P327" s="76" t="str">
        <f>IF(IFERROR(VLOOKUP(B327,'בקשות שאושרו'!$B$2:$I$466,1,0),"")="","",1)</f>
        <v/>
      </c>
      <c r="Q327" s="245" t="str">
        <f>IFERROR(VLOOKUP(B327,'בקשות שאושרו'!$B$2:$K$466,COLUMN('בקשות שאושרו'!$J$1)-COLUMN('בקשות שאושרו'!$B$1)+1,0),"")</f>
        <v/>
      </c>
    </row>
    <row r="328" spans="1:17" s="174" customFormat="1" ht="29.25" x14ac:dyDescent="0.25">
      <c r="A328" s="240">
        <f>'סיכום לוועדה'!A354</f>
        <v>324</v>
      </c>
      <c r="B328" s="241">
        <f>'סיכום לוועדה'!E354</f>
        <v>20000095</v>
      </c>
      <c r="C328" s="241" t="str">
        <f>'סיכום לוועדה'!F354</f>
        <v>מטה יהודה</v>
      </c>
      <c r="D328" s="241" t="str">
        <f>'סיכום לוועדה'!G354</f>
        <v>תזמורת יד-חריף (ע"ר)</v>
      </c>
      <c r="E328" s="242" t="str">
        <f>'סיכום לוועדה'!H354</f>
        <v>אחר</v>
      </c>
      <c r="F328" s="242"/>
      <c r="G328" s="242"/>
      <c r="H328" s="75"/>
      <c r="I328" s="243"/>
      <c r="J328" s="75"/>
      <c r="K328" s="77"/>
      <c r="L328" s="75"/>
      <c r="M328" s="78"/>
      <c r="N328" s="244"/>
      <c r="O328" s="79"/>
      <c r="P328" s="76" t="str">
        <f>IF(IFERROR(VLOOKUP(B328,'בקשות שאושרו'!$B$2:$I$466,1,0),"")="","",1)</f>
        <v/>
      </c>
      <c r="Q328" s="245" t="str">
        <f>IFERROR(VLOOKUP(B328,'בקשות שאושרו'!$B$2:$K$466,COLUMN('בקשות שאושרו'!$J$1)-COLUMN('בקשות שאושרו'!$B$1)+1,0),"")</f>
        <v/>
      </c>
    </row>
    <row r="329" spans="1:17" s="174" customFormat="1" ht="57.75" x14ac:dyDescent="0.25">
      <c r="A329" s="240">
        <f>'סיכום לוועדה'!A355</f>
        <v>325</v>
      </c>
      <c r="B329" s="241">
        <f>'סיכום לוועדה'!E355</f>
        <v>20000201</v>
      </c>
      <c r="C329" s="241" t="str">
        <f>'סיכום לוועדה'!F355</f>
        <v>תל אביב -יפו</v>
      </c>
      <c r="D329" s="241" t="str">
        <f>'סיכום לוועדה'!G355</f>
        <v>תיאטרון "אלסראיא" הערבי - יפו (ע"ר)</v>
      </c>
      <c r="E329" s="242" t="str">
        <f>'סיכום לוועדה'!H355</f>
        <v>תיאטרון</v>
      </c>
      <c r="F329" s="242"/>
      <c r="G329" s="242"/>
      <c r="H329" s="75"/>
      <c r="I329" s="243"/>
      <c r="J329" s="75"/>
      <c r="K329" s="77"/>
      <c r="L329" s="75"/>
      <c r="M329" s="78"/>
      <c r="N329" s="244"/>
      <c r="O329" s="79"/>
      <c r="P329" s="76" t="str">
        <f>IF(IFERROR(VLOOKUP(B329,'בקשות שאושרו'!$B$2:$I$466,1,0),"")="","",1)</f>
        <v/>
      </c>
      <c r="Q329" s="245" t="str">
        <f>IFERROR(VLOOKUP(B329,'בקשות שאושרו'!$B$2:$K$466,COLUMN('בקשות שאושרו'!$J$1)-COLUMN('בקשות שאושרו'!$B$1)+1,0),"")</f>
        <v/>
      </c>
    </row>
    <row r="330" spans="1:17" s="174" customFormat="1" ht="43.5" x14ac:dyDescent="0.25">
      <c r="A330" s="240">
        <f>'סיכום לוועדה'!A356</f>
        <v>326</v>
      </c>
      <c r="B330" s="241">
        <f>'סיכום לוועדה'!E356</f>
        <v>20000235</v>
      </c>
      <c r="C330" s="241" t="str">
        <f>'סיכום לוועדה'!F356</f>
        <v>סח'נין</v>
      </c>
      <c r="D330" s="241" t="str">
        <f>'סיכום לוועדה'!G356</f>
        <v>אלג'ואל אלבלדי (ע"ר)</v>
      </c>
      <c r="E330" s="242" t="str">
        <f>'סיכום לוועדה'!H356</f>
        <v>תיאטרון</v>
      </c>
      <c r="F330" s="242"/>
      <c r="G330" s="242"/>
      <c r="H330" s="75"/>
      <c r="I330" s="243"/>
      <c r="J330" s="75"/>
      <c r="K330" s="77"/>
      <c r="L330" s="75"/>
      <c r="M330" s="78"/>
      <c r="N330" s="244"/>
      <c r="O330" s="79"/>
      <c r="P330" s="76" t="str">
        <f>IF(IFERROR(VLOOKUP(B330,'בקשות שאושרו'!$B$2:$I$466,1,0),"")="","",1)</f>
        <v/>
      </c>
      <c r="Q330" s="245" t="str">
        <f>IFERROR(VLOOKUP(B330,'בקשות שאושרו'!$B$2:$K$466,COLUMN('בקשות שאושרו'!$J$1)-COLUMN('בקשות שאושרו'!$B$1)+1,0),"")</f>
        <v/>
      </c>
    </row>
    <row r="331" spans="1:17" s="174" customFormat="1" ht="57.75" x14ac:dyDescent="0.25">
      <c r="A331" s="240">
        <f>'סיכום לוועדה'!A357</f>
        <v>327</v>
      </c>
      <c r="B331" s="241">
        <f>'סיכום לוועדה'!E357</f>
        <v>20000201</v>
      </c>
      <c r="C331" s="241" t="str">
        <f>'סיכום לוועדה'!F357</f>
        <v>תל אביב -יפו</v>
      </c>
      <c r="D331" s="241" t="str">
        <f>'סיכום לוועדה'!G357</f>
        <v>תיאטרון מחול קליפה (ע"ר)</v>
      </c>
      <c r="E331" s="242" t="str">
        <f>'סיכום לוועדה'!H357</f>
        <v>תיאטרון</v>
      </c>
      <c r="F331" s="242"/>
      <c r="G331" s="242"/>
      <c r="H331" s="75"/>
      <c r="I331" s="243"/>
      <c r="J331" s="75"/>
      <c r="K331" s="77"/>
      <c r="L331" s="75"/>
      <c r="M331" s="78"/>
      <c r="N331" s="244"/>
      <c r="O331" s="79"/>
      <c r="P331" s="76" t="str">
        <f>IF(IFERROR(VLOOKUP(B331,'בקשות שאושרו'!$B$2:$I$466,1,0),"")="","",1)</f>
        <v/>
      </c>
      <c r="Q331" s="245" t="str">
        <f>IFERROR(VLOOKUP(B331,'בקשות שאושרו'!$B$2:$K$466,COLUMN('בקשות שאושרו'!$J$1)-COLUMN('בקשות שאושרו'!$B$1)+1,0),"")</f>
        <v/>
      </c>
    </row>
    <row r="332" spans="1:17" s="174" customFormat="1" ht="72" x14ac:dyDescent="0.25">
      <c r="A332" s="240">
        <f>'סיכום לוועדה'!A358</f>
        <v>328</v>
      </c>
      <c r="B332" s="241">
        <f>'סיכום לוועדה'!E358</f>
        <v>20000159</v>
      </c>
      <c r="C332" s="241" t="str">
        <f>'סיכום לוועדה'!F358</f>
        <v>ירושלים</v>
      </c>
      <c r="D332" s="241" t="str">
        <f>'סיכום לוועדה'!G358</f>
        <v>עמותת ורטיגו למחול - ירושלים (ע"ר)</v>
      </c>
      <c r="E332" s="242" t="str">
        <f>'סיכום לוועדה'!H358</f>
        <v>מחול</v>
      </c>
      <c r="F332" s="242"/>
      <c r="G332" s="242"/>
      <c r="H332" s="75"/>
      <c r="I332" s="243"/>
      <c r="J332" s="75"/>
      <c r="K332" s="77"/>
      <c r="L332" s="75"/>
      <c r="M332" s="78"/>
      <c r="N332" s="244"/>
      <c r="O332" s="79"/>
      <c r="P332" s="76" t="str">
        <f>IF(IFERROR(VLOOKUP(B332,'בקשות שאושרו'!$B$2:$I$466,1,0),"")="","",1)</f>
        <v/>
      </c>
      <c r="Q332" s="245" t="str">
        <f>IFERROR(VLOOKUP(B332,'בקשות שאושרו'!$B$2:$K$466,COLUMN('בקשות שאושרו'!$J$1)-COLUMN('בקשות שאושרו'!$B$1)+1,0),"")</f>
        <v/>
      </c>
    </row>
    <row r="333" spans="1:17" s="174" customFormat="1" ht="72" x14ac:dyDescent="0.25">
      <c r="A333" s="240">
        <f>'סיכום לוועדה'!A359</f>
        <v>329</v>
      </c>
      <c r="B333" s="241">
        <f>'סיכום לוועדה'!E359</f>
        <v>20000159</v>
      </c>
      <c r="C333" s="241" t="str">
        <f>'סיכום לוועדה'!F359</f>
        <v>ירושלים</v>
      </c>
      <c r="D333" s="241" t="str">
        <f>'סיכום לוועדה'!G359</f>
        <v>עמותת ורטיגו למחול - ירושלים (ע"ר)</v>
      </c>
      <c r="E333" s="242" t="str">
        <f>'סיכום לוועדה'!H359</f>
        <v>מחול</v>
      </c>
      <c r="F333" s="242"/>
      <c r="G333" s="242"/>
      <c r="H333" s="75"/>
      <c r="I333" s="243"/>
      <c r="J333" s="75"/>
      <c r="K333" s="77"/>
      <c r="L333" s="75"/>
      <c r="M333" s="78"/>
      <c r="N333" s="244"/>
      <c r="O333" s="79"/>
      <c r="P333" s="76" t="str">
        <f>IF(IFERROR(VLOOKUP(B333,'בקשות שאושרו'!$B$2:$I$466,1,0),"")="","",1)</f>
        <v/>
      </c>
      <c r="Q333" s="245" t="str">
        <f>IFERROR(VLOOKUP(B333,'בקשות שאושרו'!$B$2:$K$466,COLUMN('בקשות שאושרו'!$J$1)-COLUMN('בקשות שאושרו'!$B$1)+1,0),"")</f>
        <v/>
      </c>
    </row>
    <row r="334" spans="1:17" s="174" customFormat="1" ht="72" x14ac:dyDescent="0.25">
      <c r="A334" s="240">
        <f>'סיכום לוועדה'!A360</f>
        <v>330</v>
      </c>
      <c r="B334" s="241">
        <f>'סיכום לוועדה'!E360</f>
        <v>20000201</v>
      </c>
      <c r="C334" s="241" t="str">
        <f>'סיכום לוועדה'!F360</f>
        <v>תל אביב -יפו</v>
      </c>
      <c r="D334" s="241" t="str">
        <f>'סיכום לוועדה'!G360</f>
        <v>דוקאביב - העמותה לקידום הסרט הדוקומ</v>
      </c>
      <c r="E334" s="242" t="str">
        <f>'סיכום לוועדה'!H360</f>
        <v>סינמטקים ופסטיבלים</v>
      </c>
      <c r="F334" s="242"/>
      <c r="G334" s="242"/>
      <c r="H334" s="75"/>
      <c r="I334" s="243"/>
      <c r="J334" s="75"/>
      <c r="K334" s="77"/>
      <c r="L334" s="75"/>
      <c r="M334" s="78"/>
      <c r="N334" s="244"/>
      <c r="O334" s="79"/>
      <c r="P334" s="76" t="str">
        <f>IF(IFERROR(VLOOKUP(B334,'בקשות שאושרו'!$B$2:$I$466,1,0),"")="","",1)</f>
        <v/>
      </c>
      <c r="Q334" s="245" t="str">
        <f>IFERROR(VLOOKUP(B334,'בקשות שאושרו'!$B$2:$K$466,COLUMN('בקשות שאושרו'!$J$1)-COLUMN('בקשות שאושרו'!$B$1)+1,0),"")</f>
        <v/>
      </c>
    </row>
    <row r="335" spans="1:17" s="174" customFormat="1" x14ac:dyDescent="0.25">
      <c r="A335" s="240">
        <f>'סיכום לוועדה'!A361</f>
        <v>331</v>
      </c>
      <c r="B335" s="241" t="str">
        <f>'סיכום לוועדה'!E361</f>
        <v/>
      </c>
      <c r="C335" s="241" t="str">
        <f>'סיכום לוועדה'!F361</f>
        <v/>
      </c>
      <c r="D335" s="241" t="str">
        <f>'סיכום לוועדה'!G361</f>
        <v/>
      </c>
      <c r="E335" s="242" t="str">
        <f>'סיכום לוועדה'!H361</f>
        <v/>
      </c>
      <c r="F335" s="242"/>
      <c r="G335" s="242"/>
      <c r="H335" s="75"/>
      <c r="I335" s="243"/>
      <c r="J335" s="75"/>
      <c r="K335" s="77"/>
      <c r="L335" s="75"/>
      <c r="M335" s="78"/>
      <c r="N335" s="244"/>
      <c r="O335" s="79"/>
      <c r="P335" s="76" t="str">
        <f>IF(IFERROR(VLOOKUP(B335,'בקשות שאושרו'!$B$2:$I$466,1,0),"")="","",1)</f>
        <v/>
      </c>
      <c r="Q335" s="245" t="str">
        <f>IFERROR(VLOOKUP(B335,'בקשות שאושרו'!$B$2:$K$466,COLUMN('בקשות שאושרו'!$J$1)-COLUMN('בקשות שאושרו'!$B$1)+1,0),"")</f>
        <v/>
      </c>
    </row>
    <row r="336" spans="1:17" s="174" customFormat="1" ht="86.25" x14ac:dyDescent="0.25">
      <c r="A336" s="240">
        <f>'סיכום לוועדה'!A362</f>
        <v>332</v>
      </c>
      <c r="B336" s="241">
        <f>'סיכום לוועדה'!E362</f>
        <v>20000248</v>
      </c>
      <c r="C336" s="241" t="str">
        <f>'סיכום לוועדה'!F362</f>
        <v>רחובות</v>
      </c>
      <c r="D336" s="241" t="str">
        <f>'סיכום לוועדה'!G362</f>
        <v>מועצה לשימור אתרי מורשת בישראל (ע"ר</v>
      </c>
      <c r="E336" s="242" t="str">
        <f>'סיכום לוועדה'!H362</f>
        <v>מועצה לשימור אתרים</v>
      </c>
      <c r="F336" s="242"/>
      <c r="G336" s="242"/>
      <c r="H336" s="75"/>
      <c r="I336" s="243"/>
      <c r="J336" s="75"/>
      <c r="K336" s="77"/>
      <c r="L336" s="75"/>
      <c r="M336" s="78"/>
      <c r="N336" s="244"/>
      <c r="O336" s="79"/>
      <c r="P336" s="76" t="str">
        <f>IF(IFERROR(VLOOKUP(B336,'בקשות שאושרו'!$B$2:$I$466,1,0),"")="","",1)</f>
        <v/>
      </c>
      <c r="Q336" s="245" t="str">
        <f>IFERROR(VLOOKUP(B336,'בקשות שאושרו'!$B$2:$K$466,COLUMN('בקשות שאושרו'!$J$1)-COLUMN('בקשות שאושרו'!$B$1)+1,0),"")</f>
        <v/>
      </c>
    </row>
    <row r="337" spans="1:17" s="174" customFormat="1" ht="43.5" x14ac:dyDescent="0.25">
      <c r="A337" s="240">
        <f>'סיכום לוועדה'!A363</f>
        <v>333</v>
      </c>
      <c r="B337" s="241">
        <f>'סיכום לוועדה'!E363</f>
        <v>20000159</v>
      </c>
      <c r="C337" s="241" t="str">
        <f>'סיכום לוועדה'!F363</f>
        <v>ירושלים</v>
      </c>
      <c r="D337" s="241" t="str">
        <f>'סיכום לוועדה'!G363</f>
        <v>הזירה הבין-תחומית (ע"ר)</v>
      </c>
      <c r="E337" s="242" t="str">
        <f>'סיכום לוועדה'!H363</f>
        <v>תיאטרון</v>
      </c>
      <c r="F337" s="242"/>
      <c r="G337" s="242"/>
      <c r="H337" s="75"/>
      <c r="I337" s="243"/>
      <c r="J337" s="75"/>
      <c r="K337" s="77"/>
      <c r="L337" s="75"/>
      <c r="M337" s="78"/>
      <c r="N337" s="244"/>
      <c r="O337" s="79"/>
      <c r="P337" s="76" t="str">
        <f>IF(IFERROR(VLOOKUP(B337,'בקשות שאושרו'!$B$2:$I$466,1,0),"")="","",1)</f>
        <v/>
      </c>
      <c r="Q337" s="245" t="str">
        <f>IFERROR(VLOOKUP(B337,'בקשות שאושרו'!$B$2:$K$466,COLUMN('בקשות שאושרו'!$J$1)-COLUMN('בקשות שאושרו'!$B$1)+1,0),"")</f>
        <v/>
      </c>
    </row>
    <row r="338" spans="1:17" s="174" customFormat="1" ht="43.5" x14ac:dyDescent="0.25">
      <c r="A338" s="240">
        <f>'סיכום לוועדה'!A364</f>
        <v>334</v>
      </c>
      <c r="B338" s="241">
        <f>'סיכום לוועדה'!E364</f>
        <v>20000159</v>
      </c>
      <c r="C338" s="241" t="str">
        <f>'סיכום לוועדה'!F364</f>
        <v>ירושלים</v>
      </c>
      <c r="D338" s="241" t="str">
        <f>'סיכום לוועדה'!G364</f>
        <v>הזירה הבין-תחומית (ע"ר)</v>
      </c>
      <c r="E338" s="242" t="str">
        <f>'סיכום לוועדה'!H364</f>
        <v>אחר</v>
      </c>
      <c r="F338" s="242"/>
      <c r="G338" s="242"/>
      <c r="H338" s="75"/>
      <c r="I338" s="243"/>
      <c r="J338" s="75"/>
      <c r="K338" s="77"/>
      <c r="L338" s="75"/>
      <c r="M338" s="78"/>
      <c r="N338" s="244"/>
      <c r="O338" s="79"/>
      <c r="P338" s="76" t="str">
        <f>IF(IFERROR(VLOOKUP(B338,'בקשות שאושרו'!$B$2:$I$466,1,0),"")="","",1)</f>
        <v/>
      </c>
      <c r="Q338" s="245" t="str">
        <f>IFERROR(VLOOKUP(B338,'בקשות שאושרו'!$B$2:$K$466,COLUMN('בקשות שאושרו'!$J$1)-COLUMN('בקשות שאושרו'!$B$1)+1,0),"")</f>
        <v/>
      </c>
    </row>
    <row r="339" spans="1:17" s="174" customFormat="1" x14ac:dyDescent="0.25">
      <c r="A339" s="240">
        <f>'סיכום לוועדה'!A365</f>
        <v>335</v>
      </c>
      <c r="B339" s="241" t="str">
        <f>'סיכום לוועדה'!E365</f>
        <v/>
      </c>
      <c r="C339" s="241" t="str">
        <f>'סיכום לוועדה'!F365</f>
        <v/>
      </c>
      <c r="D339" s="241" t="str">
        <f>'סיכום לוועדה'!G365</f>
        <v/>
      </c>
      <c r="E339" s="242" t="str">
        <f>'סיכום לוועדה'!H365</f>
        <v/>
      </c>
      <c r="F339" s="242"/>
      <c r="G339" s="242"/>
      <c r="H339" s="75"/>
      <c r="I339" s="243"/>
      <c r="J339" s="75"/>
      <c r="K339" s="77"/>
      <c r="L339" s="75"/>
      <c r="M339" s="78"/>
      <c r="N339" s="244"/>
      <c r="O339" s="79"/>
      <c r="P339" s="76" t="str">
        <f>IF(IFERROR(VLOOKUP(B339,'בקשות שאושרו'!$B$2:$I$466,1,0),"")="","",1)</f>
        <v/>
      </c>
      <c r="Q339" s="245" t="str">
        <f>IFERROR(VLOOKUP(B339,'בקשות שאושרו'!$B$2:$K$466,COLUMN('בקשות שאושרו'!$J$1)-COLUMN('בקשות שאושרו'!$B$1)+1,0),"")</f>
        <v/>
      </c>
    </row>
    <row r="340" spans="1:17" s="174" customFormat="1" x14ac:dyDescent="0.25">
      <c r="A340" s="240">
        <f>'סיכום לוועדה'!A366</f>
        <v>336</v>
      </c>
      <c r="B340" s="241" t="str">
        <f>'סיכום לוועדה'!E366</f>
        <v/>
      </c>
      <c r="C340" s="241" t="str">
        <f>'סיכום לוועדה'!F366</f>
        <v/>
      </c>
      <c r="D340" s="241" t="str">
        <f>'סיכום לוועדה'!G366</f>
        <v/>
      </c>
      <c r="E340" s="242" t="str">
        <f>'סיכום לוועדה'!H366</f>
        <v/>
      </c>
      <c r="F340" s="242"/>
      <c r="G340" s="242"/>
      <c r="H340" s="75"/>
      <c r="I340" s="243"/>
      <c r="J340" s="75"/>
      <c r="K340" s="77"/>
      <c r="L340" s="75"/>
      <c r="M340" s="78"/>
      <c r="N340" s="244"/>
      <c r="O340" s="79"/>
      <c r="P340" s="76" t="str">
        <f>IF(IFERROR(VLOOKUP(B340,'בקשות שאושרו'!$B$2:$I$466,1,0),"")="","",1)</f>
        <v/>
      </c>
      <c r="Q340" s="245" t="str">
        <f>IFERROR(VLOOKUP(B340,'בקשות שאושרו'!$B$2:$K$466,COLUMN('בקשות שאושרו'!$J$1)-COLUMN('בקשות שאושרו'!$B$1)+1,0),"")</f>
        <v/>
      </c>
    </row>
    <row r="341" spans="1:17" s="174" customFormat="1" ht="57.75" x14ac:dyDescent="0.25">
      <c r="A341" s="240">
        <f>'סיכום לוועדה'!A367</f>
        <v>337</v>
      </c>
      <c r="B341" s="241">
        <f>'סיכום לוועדה'!E367</f>
        <v>20000159</v>
      </c>
      <c r="C341" s="241" t="str">
        <f>'סיכום לוועדה'!F367</f>
        <v>ירושלים</v>
      </c>
      <c r="D341" s="241" t="str">
        <f>'סיכום לוועדה'!G367</f>
        <v>בר-קיימא לתרבות, אמנות, מוסיקה ושלו</v>
      </c>
      <c r="E341" s="242" t="str">
        <f>'סיכום לוועדה'!H367</f>
        <v>אחר</v>
      </c>
      <c r="F341" s="242"/>
      <c r="G341" s="242"/>
      <c r="H341" s="75"/>
      <c r="I341" s="243"/>
      <c r="J341" s="75"/>
      <c r="K341" s="77"/>
      <c r="L341" s="75"/>
      <c r="M341" s="78"/>
      <c r="N341" s="244"/>
      <c r="O341" s="79"/>
      <c r="P341" s="76" t="str">
        <f>IF(IFERROR(VLOOKUP(B341,'בקשות שאושרו'!$B$2:$I$466,1,0),"")="","",1)</f>
        <v/>
      </c>
      <c r="Q341" s="245" t="str">
        <f>IFERROR(VLOOKUP(B341,'בקשות שאושרו'!$B$2:$K$466,COLUMN('בקשות שאושרו'!$J$1)-COLUMN('בקשות שאושרו'!$B$1)+1,0),"")</f>
        <v/>
      </c>
    </row>
    <row r="342" spans="1:17" s="174" customFormat="1" ht="57.75" x14ac:dyDescent="0.25">
      <c r="A342" s="240">
        <f>'סיכום לוועדה'!A368</f>
        <v>338</v>
      </c>
      <c r="B342" s="241">
        <f>'סיכום לוועדה'!E368</f>
        <v>20000159</v>
      </c>
      <c r="C342" s="241" t="str">
        <f>'סיכום לוועדה'!F368</f>
        <v>ירושלים</v>
      </c>
      <c r="D342" s="241" t="str">
        <f>'סיכום לוועדה'!G368</f>
        <v>בר-קיימא לתרבות, אמנות, מוסיקה ושלו</v>
      </c>
      <c r="E342" s="242" t="str">
        <f>'סיכום לוועדה'!H368</f>
        <v>אחר</v>
      </c>
      <c r="F342" s="242"/>
      <c r="G342" s="242"/>
      <c r="H342" s="75"/>
      <c r="I342" s="243"/>
      <c r="J342" s="75"/>
      <c r="K342" s="77"/>
      <c r="L342" s="75"/>
      <c r="M342" s="78"/>
      <c r="N342" s="244"/>
      <c r="O342" s="79"/>
      <c r="P342" s="76" t="str">
        <f>IF(IFERROR(VLOOKUP(B342,'בקשות שאושרו'!$B$2:$I$466,1,0),"")="","",1)</f>
        <v/>
      </c>
      <c r="Q342" s="245" t="str">
        <f>IFERROR(VLOOKUP(B342,'בקשות שאושרו'!$B$2:$K$466,COLUMN('בקשות שאושרו'!$J$1)-COLUMN('בקשות שאושרו'!$B$1)+1,0),"")</f>
        <v/>
      </c>
    </row>
    <row r="343" spans="1:17" s="174" customFormat="1" ht="57.75" x14ac:dyDescent="0.25">
      <c r="A343" s="240">
        <f>'סיכום לוועדה'!A369</f>
        <v>339</v>
      </c>
      <c r="B343" s="241">
        <f>'סיכום לוועדה'!E369</f>
        <v>20000159</v>
      </c>
      <c r="C343" s="241" t="str">
        <f>'סיכום לוועדה'!F369</f>
        <v>ירושלים</v>
      </c>
      <c r="D343" s="241" t="str">
        <f>'סיכום לוועדה'!G369</f>
        <v>בר-קיימא לתרבות, אמנות, מוסיקה ושלו</v>
      </c>
      <c r="E343" s="242" t="str">
        <f>'סיכום לוועדה'!H369</f>
        <v>סינמטקים ופסטיבלים</v>
      </c>
      <c r="F343" s="242"/>
      <c r="G343" s="242"/>
      <c r="H343" s="75"/>
      <c r="I343" s="243"/>
      <c r="J343" s="75"/>
      <c r="K343" s="77"/>
      <c r="L343" s="75"/>
      <c r="M343" s="78"/>
      <c r="N343" s="244"/>
      <c r="O343" s="79"/>
      <c r="P343" s="76" t="str">
        <f>IF(IFERROR(VLOOKUP(B343,'בקשות שאושרו'!$B$2:$I$466,1,0),"")="","",1)</f>
        <v/>
      </c>
      <c r="Q343" s="245" t="str">
        <f>IFERROR(VLOOKUP(B343,'בקשות שאושרו'!$B$2:$K$466,COLUMN('בקשות שאושרו'!$J$1)-COLUMN('בקשות שאושרו'!$B$1)+1,0),"")</f>
        <v/>
      </c>
    </row>
    <row r="344" spans="1:17" s="174" customFormat="1" ht="57.75" x14ac:dyDescent="0.25">
      <c r="A344" s="240">
        <f>'סיכום לוועדה'!A370</f>
        <v>340</v>
      </c>
      <c r="B344" s="241">
        <f>'סיכום לוועדה'!E370</f>
        <v>20000159</v>
      </c>
      <c r="C344" s="241" t="str">
        <f>'סיכום לוועדה'!F370</f>
        <v>ירושלים</v>
      </c>
      <c r="D344" s="241" t="str">
        <f>'סיכום לוועדה'!G370</f>
        <v>בר-קיימא לתרבות, אמנות, מוסיקה ושלו</v>
      </c>
      <c r="E344" s="242" t="str">
        <f>'סיכום לוועדה'!H370</f>
        <v>סינמטקים ופסטיבלים</v>
      </c>
      <c r="F344" s="242"/>
      <c r="G344" s="242"/>
      <c r="H344" s="75"/>
      <c r="I344" s="243"/>
      <c r="J344" s="75"/>
      <c r="K344" s="77"/>
      <c r="L344" s="75"/>
      <c r="M344" s="78"/>
      <c r="N344" s="244"/>
      <c r="O344" s="79"/>
      <c r="P344" s="76" t="str">
        <f>IF(IFERROR(VLOOKUP(B344,'בקשות שאושרו'!$B$2:$I$466,1,0),"")="","",1)</f>
        <v/>
      </c>
      <c r="Q344" s="245" t="str">
        <f>IFERROR(VLOOKUP(B344,'בקשות שאושרו'!$B$2:$K$466,COLUMN('בקשות שאושרו'!$J$1)-COLUMN('בקשות שאושרו'!$B$1)+1,0),"")</f>
        <v/>
      </c>
    </row>
    <row r="345" spans="1:17" s="174" customFormat="1" ht="43.5" x14ac:dyDescent="0.25">
      <c r="A345" s="240">
        <f>'סיכום לוועדה'!A371</f>
        <v>341</v>
      </c>
      <c r="B345" s="241">
        <f>'סיכום לוועדה'!E371</f>
        <v>20000253</v>
      </c>
      <c r="C345" s="241" t="str">
        <f>'סיכום לוועדה'!F371</f>
        <v>טמרה</v>
      </c>
      <c r="D345" s="241" t="str">
        <f>'סיכום לוועדה'!G371</f>
        <v>סינמה דרמה (ע"ר)</v>
      </c>
      <c r="E345" s="242" t="str">
        <f>'סיכום לוועדה'!H371</f>
        <v>תיאטרון</v>
      </c>
      <c r="F345" s="242"/>
      <c r="G345" s="242"/>
      <c r="H345" s="75"/>
      <c r="I345" s="243"/>
      <c r="J345" s="75"/>
      <c r="K345" s="77"/>
      <c r="L345" s="75"/>
      <c r="M345" s="78"/>
      <c r="N345" s="244"/>
      <c r="O345" s="79"/>
      <c r="P345" s="76" t="str">
        <f>IF(IFERROR(VLOOKUP(B345,'בקשות שאושרו'!$B$2:$I$466,1,0),"")="","",1)</f>
        <v/>
      </c>
      <c r="Q345" s="245" t="str">
        <f>IFERROR(VLOOKUP(B345,'בקשות שאושרו'!$B$2:$K$466,COLUMN('בקשות שאושרו'!$J$1)-COLUMN('בקשות שאושרו'!$B$1)+1,0),"")</f>
        <v/>
      </c>
    </row>
    <row r="346" spans="1:17" s="174" customFormat="1" ht="43.5" x14ac:dyDescent="0.25">
      <c r="A346" s="240">
        <f>'סיכום לוועדה'!A372</f>
        <v>342</v>
      </c>
      <c r="B346" s="241">
        <f>'סיכום לוועדה'!E372</f>
        <v>20000159</v>
      </c>
      <c r="C346" s="241" t="str">
        <f>'סיכום לוועדה'!F372</f>
        <v>ירושלים</v>
      </c>
      <c r="D346" s="241" t="str">
        <f>'סיכום לוועדה'!G372</f>
        <v>תיאטרון האינקובטור (ע"ר)</v>
      </c>
      <c r="E346" s="242" t="str">
        <f>'סיכום לוועדה'!H372</f>
        <v>תיאטרון</v>
      </c>
      <c r="F346" s="242"/>
      <c r="G346" s="242"/>
      <c r="H346" s="75"/>
      <c r="I346" s="243"/>
      <c r="J346" s="75"/>
      <c r="K346" s="77"/>
      <c r="L346" s="75"/>
      <c r="M346" s="78"/>
      <c r="N346" s="244"/>
      <c r="O346" s="79"/>
      <c r="P346" s="76" t="str">
        <f>IF(IFERROR(VLOOKUP(B346,'בקשות שאושרו'!$B$2:$I$466,1,0),"")="","",1)</f>
        <v/>
      </c>
      <c r="Q346" s="245" t="str">
        <f>IFERROR(VLOOKUP(B346,'בקשות שאושרו'!$B$2:$K$466,COLUMN('בקשות שאושרו'!$J$1)-COLUMN('בקשות שאושרו'!$B$1)+1,0),"")</f>
        <v/>
      </c>
    </row>
    <row r="347" spans="1:17" s="174" customFormat="1" ht="43.5" x14ac:dyDescent="0.25">
      <c r="A347" s="240">
        <f>'סיכום לוועדה'!A373</f>
        <v>343</v>
      </c>
      <c r="B347" s="241">
        <f>'סיכום לוועדה'!E373</f>
        <v>20000159</v>
      </c>
      <c r="C347" s="241" t="str">
        <f>'סיכום לוועדה'!F373</f>
        <v>ירושלים</v>
      </c>
      <c r="D347" s="241" t="str">
        <f>'סיכום לוועדה'!G373</f>
        <v>תיאטרון האינקובטור (ע"ר)</v>
      </c>
      <c r="E347" s="242" t="str">
        <f>'סיכום לוועדה'!H373</f>
        <v>ספרות</v>
      </c>
      <c r="F347" s="242"/>
      <c r="G347" s="242"/>
      <c r="H347" s="75"/>
      <c r="I347" s="243"/>
      <c r="J347" s="75"/>
      <c r="K347" s="77"/>
      <c r="L347" s="75"/>
      <c r="M347" s="78"/>
      <c r="N347" s="244"/>
      <c r="O347" s="79"/>
      <c r="P347" s="76" t="str">
        <f>IF(IFERROR(VLOOKUP(B347,'בקשות שאושרו'!$B$2:$I$466,1,0),"")="","",1)</f>
        <v/>
      </c>
      <c r="Q347" s="245" t="str">
        <f>IFERROR(VLOOKUP(B347,'בקשות שאושרו'!$B$2:$K$466,COLUMN('בקשות שאושרו'!$J$1)-COLUMN('בקשות שאושרו'!$B$1)+1,0),"")</f>
        <v/>
      </c>
    </row>
    <row r="348" spans="1:17" s="174" customFormat="1" ht="43.5" x14ac:dyDescent="0.25">
      <c r="A348" s="240">
        <f>'סיכום לוועדה'!A374</f>
        <v>344</v>
      </c>
      <c r="B348" s="241">
        <f>'סיכום לוועדה'!E374</f>
        <v>20000159</v>
      </c>
      <c r="C348" s="241" t="str">
        <f>'סיכום לוועדה'!F374</f>
        <v>ירושלים</v>
      </c>
      <c r="D348" s="241" t="str">
        <f>'סיכום לוועדה'!G374</f>
        <v>הערת שוליים (ע"ר)</v>
      </c>
      <c r="E348" s="242" t="str">
        <f>'סיכום לוועדה'!H374</f>
        <v>מקהלות</v>
      </c>
      <c r="F348" s="242"/>
      <c r="G348" s="242"/>
      <c r="H348" s="75"/>
      <c r="I348" s="243"/>
      <c r="J348" s="75"/>
      <c r="K348" s="77"/>
      <c r="L348" s="75"/>
      <c r="M348" s="78"/>
      <c r="N348" s="244"/>
      <c r="O348" s="79"/>
      <c r="P348" s="76" t="str">
        <f>IF(IFERROR(VLOOKUP(B348,'בקשות שאושרו'!$B$2:$I$466,1,0),"")="","",1)</f>
        <v/>
      </c>
      <c r="Q348" s="245" t="str">
        <f>IFERROR(VLOOKUP(B348,'בקשות שאושרו'!$B$2:$K$466,COLUMN('בקשות שאושרו'!$J$1)-COLUMN('בקשות שאושרו'!$B$1)+1,0),"")</f>
        <v/>
      </c>
    </row>
    <row r="349" spans="1:17" s="174" customFormat="1" ht="29.25" x14ac:dyDescent="0.25">
      <c r="A349" s="240">
        <f>'סיכום לוועדה'!A375</f>
        <v>345</v>
      </c>
      <c r="B349" s="241">
        <f>'סיכום לוועדה'!E375</f>
        <v>20000159</v>
      </c>
      <c r="C349" s="241" t="str">
        <f>'סיכום לוועדה'!F375</f>
        <v>ירושלים</v>
      </c>
      <c r="D349" s="241" t="str">
        <f>'סיכום לוועדה'!G375</f>
        <v>בין שמיים לארץ (ע"ר)</v>
      </c>
      <c r="E349" s="242" t="str">
        <f>'סיכום לוועדה'!H375</f>
        <v>מחול</v>
      </c>
      <c r="F349" s="242"/>
      <c r="G349" s="242"/>
      <c r="H349" s="75"/>
      <c r="I349" s="243"/>
      <c r="J349" s="75"/>
      <c r="K349" s="77"/>
      <c r="L349" s="75"/>
      <c r="M349" s="78"/>
      <c r="N349" s="244"/>
      <c r="O349" s="79"/>
      <c r="P349" s="76" t="str">
        <f>IF(IFERROR(VLOOKUP(B349,'בקשות שאושרו'!$B$2:$I$466,1,0),"")="","",1)</f>
        <v/>
      </c>
      <c r="Q349" s="245" t="str">
        <f>IFERROR(VLOOKUP(B349,'בקשות שאושרו'!$B$2:$K$466,COLUMN('בקשות שאושרו'!$J$1)-COLUMN('בקשות שאושרו'!$B$1)+1,0),"")</f>
        <v/>
      </c>
    </row>
    <row r="350" spans="1:17" s="174" customFormat="1" ht="29.25" x14ac:dyDescent="0.25">
      <c r="A350" s="240">
        <f>'סיכום לוועדה'!A376</f>
        <v>346</v>
      </c>
      <c r="B350" s="241">
        <f>'סיכום לוועדה'!E376</f>
        <v>20000159</v>
      </c>
      <c r="C350" s="241" t="str">
        <f>'סיכום לוועדה'!F376</f>
        <v>ירושלים</v>
      </c>
      <c r="D350" s="241" t="str">
        <f>'סיכום לוועדה'!G376</f>
        <v>בין שמיים לארץ (ע"ר)</v>
      </c>
      <c r="E350" s="242" t="str">
        <f>'סיכום לוועדה'!H376</f>
        <v>יוצרים עצמאיים במחול</v>
      </c>
      <c r="F350" s="242"/>
      <c r="G350" s="242"/>
      <c r="H350" s="75"/>
      <c r="I350" s="243"/>
      <c r="J350" s="75"/>
      <c r="K350" s="77"/>
      <c r="L350" s="75"/>
      <c r="M350" s="78"/>
      <c r="N350" s="244"/>
      <c r="O350" s="79"/>
      <c r="P350" s="76" t="str">
        <f>IF(IFERROR(VLOOKUP(B350,'בקשות שאושרו'!$B$2:$I$466,1,0),"")="","",1)</f>
        <v/>
      </c>
      <c r="Q350" s="245" t="str">
        <f>IFERROR(VLOOKUP(B350,'בקשות שאושרו'!$B$2:$K$466,COLUMN('בקשות שאושרו'!$J$1)-COLUMN('בקשות שאושרו'!$B$1)+1,0),"")</f>
        <v/>
      </c>
    </row>
    <row r="351" spans="1:17" s="174" customFormat="1" ht="29.25" x14ac:dyDescent="0.25">
      <c r="A351" s="240">
        <f>'סיכום לוועדה'!A377</f>
        <v>347</v>
      </c>
      <c r="B351" s="241">
        <f>'סיכום לוועדה'!E377</f>
        <v>20000159</v>
      </c>
      <c r="C351" s="241" t="str">
        <f>'סיכום לוועדה'!F377</f>
        <v>ירושלים</v>
      </c>
      <c r="D351" s="241" t="str">
        <f>'סיכום לוועדה'!G377</f>
        <v>בין שמיים לארץ (ע"ר)</v>
      </c>
      <c r="E351" s="242" t="str">
        <f>'סיכום לוועדה'!H377</f>
        <v>סינמטקים ופסטיבלים</v>
      </c>
      <c r="F351" s="242"/>
      <c r="G351" s="242"/>
      <c r="H351" s="75"/>
      <c r="I351" s="243"/>
      <c r="J351" s="75"/>
      <c r="K351" s="77"/>
      <c r="L351" s="75"/>
      <c r="M351" s="78"/>
      <c r="N351" s="244"/>
      <c r="O351" s="79"/>
      <c r="P351" s="76" t="str">
        <f>IF(IFERROR(VLOOKUP(B351,'בקשות שאושרו'!$B$2:$I$466,1,0),"")="","",1)</f>
        <v/>
      </c>
      <c r="Q351" s="245" t="str">
        <f>IFERROR(VLOOKUP(B351,'בקשות שאושרו'!$B$2:$K$466,COLUMN('בקשות שאושרו'!$J$1)-COLUMN('בקשות שאושרו'!$B$1)+1,0),"")</f>
        <v/>
      </c>
    </row>
    <row r="352" spans="1:17" s="174" customFormat="1" ht="29.25" x14ac:dyDescent="0.25">
      <c r="A352" s="240">
        <f>'סיכום לוועדה'!A378</f>
        <v>348</v>
      </c>
      <c r="B352" s="241">
        <f>'סיכום לוועדה'!E378</f>
        <v>20000159</v>
      </c>
      <c r="C352" s="241" t="str">
        <f>'סיכום לוועדה'!F378</f>
        <v>ירושלים</v>
      </c>
      <c r="D352" s="241" t="str">
        <f>'סיכום לוועדה'!G378</f>
        <v>בין שמיים לארץ (ע"ר)</v>
      </c>
      <c r="E352" s="242" t="str">
        <f>'סיכום לוועדה'!H378</f>
        <v>אחר</v>
      </c>
      <c r="F352" s="242"/>
      <c r="G352" s="242"/>
      <c r="H352" s="75"/>
      <c r="I352" s="243"/>
      <c r="J352" s="75"/>
      <c r="K352" s="77"/>
      <c r="L352" s="75"/>
      <c r="M352" s="78"/>
      <c r="N352" s="244"/>
      <c r="O352" s="79"/>
      <c r="P352" s="76" t="str">
        <f>IF(IFERROR(VLOOKUP(B352,'בקשות שאושרו'!$B$2:$I$466,1,0),"")="","",1)</f>
        <v/>
      </c>
      <c r="Q352" s="245" t="str">
        <f>IFERROR(VLOOKUP(B352,'בקשות שאושרו'!$B$2:$K$466,COLUMN('בקשות שאושרו'!$J$1)-COLUMN('בקשות שאושרו'!$B$1)+1,0),"")</f>
        <v/>
      </c>
    </row>
    <row r="353" spans="1:17" s="174" customFormat="1" ht="57.75" x14ac:dyDescent="0.25">
      <c r="A353" s="240">
        <f>'סיכום לוועדה'!A379</f>
        <v>349</v>
      </c>
      <c r="B353" s="241">
        <f>'סיכום לוועדה'!E379</f>
        <v>20000254</v>
      </c>
      <c r="C353" s="241" t="str">
        <f>'סיכום לוועדה'!F379</f>
        <v>באר שבע</v>
      </c>
      <c r="D353" s="241" t="str">
        <f>'סיכום לוועדה'!G379</f>
        <v>תיאטרון לילדים ולנוער באר - שבע (ע"</v>
      </c>
      <c r="E353" s="242" t="str">
        <f>'סיכום לוועדה'!H379</f>
        <v>תיאטרון</v>
      </c>
      <c r="F353" s="242"/>
      <c r="G353" s="242"/>
      <c r="H353" s="75"/>
      <c r="I353" s="243"/>
      <c r="J353" s="75"/>
      <c r="K353" s="77"/>
      <c r="L353" s="75"/>
      <c r="M353" s="78"/>
      <c r="N353" s="244"/>
      <c r="O353" s="79"/>
      <c r="P353" s="76" t="str">
        <f>IF(IFERROR(VLOOKUP(B353,'בקשות שאושרו'!$B$2:$I$466,1,0),"")="","",1)</f>
        <v/>
      </c>
      <c r="Q353" s="245" t="str">
        <f>IFERROR(VLOOKUP(B353,'בקשות שאושרו'!$B$2:$K$466,COLUMN('בקשות שאושרו'!$J$1)-COLUMN('בקשות שאושרו'!$B$1)+1,0),"")</f>
        <v/>
      </c>
    </row>
    <row r="354" spans="1:17" s="174" customFormat="1" ht="43.5" x14ac:dyDescent="0.25">
      <c r="A354" s="240">
        <f>'סיכום לוועדה'!A380</f>
        <v>350</v>
      </c>
      <c r="B354" s="241">
        <f>'סיכום לוועדה'!E380</f>
        <v>20000231</v>
      </c>
      <c r="C354" s="241" t="str">
        <f>'סיכום לוועדה'!F380</f>
        <v>נצרת</v>
      </c>
      <c r="D354" s="241" t="str">
        <f>'סיכום לוועדה'!G380</f>
        <v>עמותת אלמאוכב נצרת (ע"ר)</v>
      </c>
      <c r="E354" s="242" t="str">
        <f>'סיכום לוועדה'!H380</f>
        <v>סינמטקים ופסטיבלים</v>
      </c>
      <c r="F354" s="242"/>
      <c r="G354" s="242"/>
      <c r="H354" s="75"/>
      <c r="I354" s="243"/>
      <c r="J354" s="75"/>
      <c r="K354" s="77"/>
      <c r="L354" s="75"/>
      <c r="M354" s="78"/>
      <c r="N354" s="244"/>
      <c r="O354" s="79"/>
      <c r="P354" s="76" t="str">
        <f>IF(IFERROR(VLOOKUP(B354,'בקשות שאושרו'!$B$2:$I$466,1,0),"")="","",1)</f>
        <v/>
      </c>
      <c r="Q354" s="245" t="str">
        <f>IFERROR(VLOOKUP(B354,'בקשות שאושרו'!$B$2:$K$466,COLUMN('בקשות שאושרו'!$J$1)-COLUMN('בקשות שאושרו'!$B$1)+1,0),"")</f>
        <v/>
      </c>
    </row>
    <row r="355" spans="1:17" s="174" customFormat="1" ht="57.75" x14ac:dyDescent="0.25">
      <c r="A355" s="240">
        <f>'סיכום לוועדה'!A381</f>
        <v>351</v>
      </c>
      <c r="B355" s="241">
        <f>'סיכום לוועדה'!E381</f>
        <v>20000055</v>
      </c>
      <c r="C355" s="241" t="str">
        <f>'סיכום לוועדה'!F381</f>
        <v>מג'ד אל-כרום</v>
      </c>
      <c r="D355" s="241" t="str">
        <f>'סיכום לוועדה'!G381</f>
        <v>אלמדאין גרוב - מג'ד אלכרום (ע"ר)</v>
      </c>
      <c r="E355" s="242" t="str">
        <f>'סיכום לוועדה'!H381</f>
        <v>תיאטרון</v>
      </c>
      <c r="F355" s="242"/>
      <c r="G355" s="242"/>
      <c r="H355" s="75"/>
      <c r="I355" s="243"/>
      <c r="J355" s="75"/>
      <c r="K355" s="77"/>
      <c r="L355" s="75"/>
      <c r="M355" s="78"/>
      <c r="N355" s="244"/>
      <c r="O355" s="79"/>
      <c r="P355" s="76" t="str">
        <f>IF(IFERROR(VLOOKUP(B355,'בקשות שאושרו'!$B$2:$I$466,1,0),"")="","",1)</f>
        <v/>
      </c>
      <c r="Q355" s="245" t="str">
        <f>IFERROR(VLOOKUP(B355,'בקשות שאושרו'!$B$2:$K$466,COLUMN('בקשות שאושרו'!$J$1)-COLUMN('בקשות שאושרו'!$B$1)+1,0),"")</f>
        <v/>
      </c>
    </row>
    <row r="356" spans="1:17" s="174" customFormat="1" ht="72" x14ac:dyDescent="0.25">
      <c r="A356" s="240">
        <f>'סיכום לוועדה'!A382</f>
        <v>352</v>
      </c>
      <c r="B356" s="241">
        <f>'סיכום לוועדה'!E382</f>
        <v>20000055</v>
      </c>
      <c r="C356" s="241" t="str">
        <f>'סיכום לוועדה'!F382</f>
        <v>מג'ד אל-כרום</v>
      </c>
      <c r="D356" s="241" t="str">
        <f>'סיכום לוועדה'!G382</f>
        <v>עמותת אדים למוסיקה אומנות ותרבות (ע</v>
      </c>
      <c r="E356" s="242" t="str">
        <f>'סיכום לוועדה'!H382</f>
        <v>אחר</v>
      </c>
      <c r="F356" s="242"/>
      <c r="G356" s="242"/>
      <c r="H356" s="75"/>
      <c r="I356" s="243"/>
      <c r="J356" s="75"/>
      <c r="K356" s="77"/>
      <c r="L356" s="75"/>
      <c r="M356" s="78"/>
      <c r="N356" s="244"/>
      <c r="O356" s="79"/>
      <c r="P356" s="76" t="str">
        <f>IF(IFERROR(VLOOKUP(B356,'בקשות שאושרו'!$B$2:$I$466,1,0),"")="","",1)</f>
        <v/>
      </c>
      <c r="Q356" s="245" t="str">
        <f>IFERROR(VLOOKUP(B356,'בקשות שאושרו'!$B$2:$K$466,COLUMN('בקשות שאושרו'!$J$1)-COLUMN('בקשות שאושרו'!$B$1)+1,0),"")</f>
        <v/>
      </c>
    </row>
    <row r="357" spans="1:17" s="174" customFormat="1" ht="57.75" x14ac:dyDescent="0.25">
      <c r="A357" s="240">
        <f>'סיכום לוועדה'!A383</f>
        <v>353</v>
      </c>
      <c r="B357" s="241">
        <f>'סיכום לוועדה'!E383</f>
        <v>20000201</v>
      </c>
      <c r="C357" s="241" t="str">
        <f>'סיכום לוועדה'!F383</f>
        <v>תל אביב -יפו</v>
      </c>
      <c r="D357" s="241" t="str">
        <f>'סיכום לוועדה'!G383</f>
        <v>העמותה לקונטאקט אימפרוביזציה בישראל</v>
      </c>
      <c r="E357" s="242" t="str">
        <f>'סיכום לוועדה'!H383</f>
        <v>אחר</v>
      </c>
      <c r="F357" s="242"/>
      <c r="G357" s="242"/>
      <c r="H357" s="75"/>
      <c r="I357" s="243"/>
      <c r="J357" s="75"/>
      <c r="K357" s="77"/>
      <c r="L357" s="75"/>
      <c r="M357" s="78"/>
      <c r="N357" s="244"/>
      <c r="O357" s="79"/>
      <c r="P357" s="76" t="str">
        <f>IF(IFERROR(VLOOKUP(B357,'בקשות שאושרו'!$B$2:$I$466,1,0),"")="","",1)</f>
        <v/>
      </c>
      <c r="Q357" s="245" t="str">
        <f>IFERROR(VLOOKUP(B357,'בקשות שאושרו'!$B$2:$K$466,COLUMN('בקשות שאושרו'!$J$1)-COLUMN('בקשות שאושרו'!$B$1)+1,0),"")</f>
        <v/>
      </c>
    </row>
    <row r="358" spans="1:17" s="174" customFormat="1" ht="43.5" x14ac:dyDescent="0.25">
      <c r="A358" s="240">
        <f>'סיכום לוועדה'!A384</f>
        <v>354</v>
      </c>
      <c r="B358" s="241">
        <f>'סיכום לוועדה'!E384</f>
        <v>20000250</v>
      </c>
      <c r="C358" s="241" t="str">
        <f>'סיכום לוועדה'!F384</f>
        <v>רמת גן</v>
      </c>
      <c r="D358" s="241" t="str">
        <f>'סיכום לוועדה'!G384</f>
        <v>להקת מחול רועי אסף (ע"ר)</v>
      </c>
      <c r="E358" s="242" t="str">
        <f>'סיכום לוועדה'!H384</f>
        <v>מחול</v>
      </c>
      <c r="F358" s="242"/>
      <c r="G358" s="242"/>
      <c r="H358" s="75"/>
      <c r="I358" s="243"/>
      <c r="J358" s="75"/>
      <c r="K358" s="77"/>
      <c r="L358" s="75"/>
      <c r="M358" s="78"/>
      <c r="N358" s="244"/>
      <c r="O358" s="79"/>
      <c r="P358" s="76" t="str">
        <f>IF(IFERROR(VLOOKUP(B358,'בקשות שאושרו'!$B$2:$I$466,1,0),"")="","",1)</f>
        <v/>
      </c>
      <c r="Q358" s="245" t="str">
        <f>IFERROR(VLOOKUP(B358,'בקשות שאושרו'!$B$2:$K$466,COLUMN('בקשות שאושרו'!$J$1)-COLUMN('בקשות שאושרו'!$B$1)+1,0),"")</f>
        <v/>
      </c>
    </row>
    <row r="359" spans="1:17" s="174" customFormat="1" ht="72" x14ac:dyDescent="0.25">
      <c r="A359" s="240">
        <f>'סיכום לוועדה'!A385</f>
        <v>355</v>
      </c>
      <c r="B359" s="241">
        <f>'סיכום לוועדה'!E385</f>
        <v>20000159</v>
      </c>
      <c r="C359" s="241" t="str">
        <f>'סיכום לוועדה'!F385</f>
        <v>ירושלים</v>
      </c>
      <c r="D359" s="241" t="str">
        <f>'סיכום לוועדה'!G385</f>
        <v>ק.ט.מ.ו.ן - קבוצת מחול בירושלים (ע'</v>
      </c>
      <c r="E359" s="242" t="str">
        <f>'סיכום לוועדה'!H385</f>
        <v>מחול</v>
      </c>
      <c r="F359" s="242"/>
      <c r="G359" s="242"/>
      <c r="H359" s="75"/>
      <c r="I359" s="243"/>
      <c r="J359" s="75"/>
      <c r="K359" s="77"/>
      <c r="L359" s="75"/>
      <c r="M359" s="78"/>
      <c r="N359" s="244"/>
      <c r="O359" s="79"/>
      <c r="P359" s="76" t="str">
        <f>IF(IFERROR(VLOOKUP(B359,'בקשות שאושרו'!$B$2:$I$466,1,0),"")="","",1)</f>
        <v/>
      </c>
      <c r="Q359" s="245" t="str">
        <f>IFERROR(VLOOKUP(B359,'בקשות שאושרו'!$B$2:$K$466,COLUMN('בקשות שאושרו'!$J$1)-COLUMN('בקשות שאושרו'!$B$1)+1,0),"")</f>
        <v/>
      </c>
    </row>
    <row r="360" spans="1:17" s="174" customFormat="1" x14ac:dyDescent="0.25">
      <c r="A360" s="240">
        <f>'סיכום לוועדה'!A386</f>
        <v>356</v>
      </c>
      <c r="B360" s="241">
        <f>'סיכום לוועדה'!E386</f>
        <v>20000052</v>
      </c>
      <c r="C360" s="241" t="str">
        <f>'סיכום לוועדה'!F386</f>
        <v>כפר כנא</v>
      </c>
      <c r="D360" s="241" t="str">
        <f>'סיכום לוועדה'!G386</f>
        <v>סול (ע''ר)</v>
      </c>
      <c r="E360" s="242" t="str">
        <f>'סיכום לוועדה'!H386</f>
        <v>אחר</v>
      </c>
      <c r="F360" s="242"/>
      <c r="G360" s="242"/>
      <c r="H360" s="75"/>
      <c r="I360" s="243"/>
      <c r="J360" s="75"/>
      <c r="K360" s="77"/>
      <c r="L360" s="75"/>
      <c r="M360" s="78"/>
      <c r="N360" s="244"/>
      <c r="O360" s="79"/>
      <c r="P360" s="76" t="str">
        <f>IF(IFERROR(VLOOKUP(B360,'בקשות שאושרו'!$B$2:$I$466,1,0),"")="","",1)</f>
        <v/>
      </c>
      <c r="Q360" s="245" t="str">
        <f>IFERROR(VLOOKUP(B360,'בקשות שאושרו'!$B$2:$K$466,COLUMN('בקשות שאושרו'!$J$1)-COLUMN('בקשות שאושרו'!$B$1)+1,0),"")</f>
        <v/>
      </c>
    </row>
    <row r="361" spans="1:17" s="174" customFormat="1" ht="72" x14ac:dyDescent="0.25">
      <c r="A361" s="240">
        <f>'סיכום לוועדה'!A387</f>
        <v>357</v>
      </c>
      <c r="B361" s="241">
        <f>'סיכום לוועדה'!E387</f>
        <v>20000201</v>
      </c>
      <c r="C361" s="241" t="str">
        <f>'סיכום לוועדה'!F387</f>
        <v>תל אביב -יפו</v>
      </c>
      <c r="D361" s="241" t="str">
        <f>'סיכום לוועדה'!G387</f>
        <v>האורקסטרה - תזמורת הג'אז הישראלית (</v>
      </c>
      <c r="E361" s="242" t="str">
        <f>'סיכום לוועדה'!H387</f>
        <v>אחר</v>
      </c>
      <c r="F361" s="242"/>
      <c r="G361" s="242"/>
      <c r="H361" s="75"/>
      <c r="I361" s="243"/>
      <c r="J361" s="75"/>
      <c r="K361" s="77"/>
      <c r="L361" s="75"/>
      <c r="M361" s="78"/>
      <c r="N361" s="244"/>
      <c r="O361" s="79"/>
      <c r="P361" s="76" t="str">
        <f>IF(IFERROR(VLOOKUP(B361,'בקשות שאושרו'!$B$2:$I$466,1,0),"")="","",1)</f>
        <v/>
      </c>
      <c r="Q361" s="245" t="str">
        <f>IFERROR(VLOOKUP(B361,'בקשות שאושרו'!$B$2:$K$466,COLUMN('בקשות שאושרו'!$J$1)-COLUMN('בקשות שאושרו'!$B$1)+1,0),"")</f>
        <v/>
      </c>
    </row>
    <row r="362" spans="1:17" s="174" customFormat="1" ht="72" x14ac:dyDescent="0.25">
      <c r="A362" s="240">
        <f>'סיכום לוועדה'!A388</f>
        <v>358</v>
      </c>
      <c r="B362" s="241">
        <f>'סיכום לוועדה'!E388</f>
        <v>20000201</v>
      </c>
      <c r="C362" s="241" t="str">
        <f>'סיכום לוועדה'!F388</f>
        <v>תל אביב -יפו</v>
      </c>
      <c r="D362" s="241" t="str">
        <f>'סיכום לוועדה'!G388</f>
        <v>"קבוצת עבודה" - עמותה ליצירה וקידום</v>
      </c>
      <c r="E362" s="242" t="str">
        <f>'סיכום לוועדה'!H388</f>
        <v>קבוצות תיאטרון</v>
      </c>
      <c r="F362" s="242"/>
      <c r="G362" s="242"/>
      <c r="H362" s="75"/>
      <c r="I362" s="243"/>
      <c r="J362" s="75"/>
      <c r="K362" s="77"/>
      <c r="L362" s="75"/>
      <c r="M362" s="78"/>
      <c r="N362" s="244"/>
      <c r="O362" s="79"/>
      <c r="P362" s="76" t="str">
        <f>IF(IFERROR(VLOOKUP(B362,'בקשות שאושרו'!$B$2:$I$466,1,0),"")="","",1)</f>
        <v/>
      </c>
      <c r="Q362" s="245" t="str">
        <f>IFERROR(VLOOKUP(B362,'בקשות שאושרו'!$B$2:$K$466,COLUMN('בקשות שאושרו'!$J$1)-COLUMN('בקשות שאושרו'!$B$1)+1,0),"")</f>
        <v/>
      </c>
    </row>
    <row r="363" spans="1:17" s="174" customFormat="1" ht="72" x14ac:dyDescent="0.25">
      <c r="A363" s="240">
        <f>'סיכום לוועדה'!A389</f>
        <v>359</v>
      </c>
      <c r="B363" s="241">
        <f>'סיכום לוועדה'!E389</f>
        <v>20000201</v>
      </c>
      <c r="C363" s="241" t="str">
        <f>'סיכום לוועדה'!F389</f>
        <v>תל אביב -יפו</v>
      </c>
      <c r="D363" s="241" t="str">
        <f>'סיכום לוועדה'!G389</f>
        <v>"קבוצת עבודה" - עמותה ליצירה וקידום</v>
      </c>
      <c r="E363" s="242" t="str">
        <f>'סיכום לוועדה'!H389</f>
        <v>אחר</v>
      </c>
      <c r="F363" s="242"/>
      <c r="G363" s="242"/>
      <c r="H363" s="75"/>
      <c r="I363" s="243"/>
      <c r="J363" s="75"/>
      <c r="K363" s="77"/>
      <c r="L363" s="75"/>
      <c r="M363" s="78"/>
      <c r="N363" s="244"/>
      <c r="O363" s="79"/>
      <c r="P363" s="76" t="str">
        <f>IF(IFERROR(VLOOKUP(B363,'בקשות שאושרו'!$B$2:$I$466,1,0),"")="","",1)</f>
        <v/>
      </c>
      <c r="Q363" s="245" t="str">
        <f>IFERROR(VLOOKUP(B363,'בקשות שאושרו'!$B$2:$K$466,COLUMN('בקשות שאושרו'!$J$1)-COLUMN('בקשות שאושרו'!$B$1)+1,0),"")</f>
        <v/>
      </c>
    </row>
    <row r="364" spans="1:17" s="174" customFormat="1" ht="72" x14ac:dyDescent="0.25">
      <c r="A364" s="240">
        <f>'סיכום לוועדה'!A390</f>
        <v>360</v>
      </c>
      <c r="B364" s="241">
        <f>'סיכום לוועדה'!E390</f>
        <v>20000261</v>
      </c>
      <c r="C364" s="241" t="str">
        <f>'סיכום לוועדה'!F390</f>
        <v>הוד השרון</v>
      </c>
      <c r="D364" s="241" t="str">
        <f>'סיכום לוועדה'!G390</f>
        <v>מרכז ישראלי למקהלות ולחבורות זמר (ע</v>
      </c>
      <c r="E364" s="242" t="str">
        <f>'סיכום לוועדה'!H390</f>
        <v>אחר</v>
      </c>
      <c r="F364" s="242"/>
      <c r="G364" s="242"/>
      <c r="H364" s="75"/>
      <c r="I364" s="243"/>
      <c r="J364" s="75"/>
      <c r="K364" s="77"/>
      <c r="L364" s="75"/>
      <c r="M364" s="78"/>
      <c r="N364" s="244"/>
      <c r="O364" s="79"/>
      <c r="P364" s="76" t="str">
        <f>IF(IFERROR(VLOOKUP(B364,'בקשות שאושרו'!$B$2:$I$466,1,0),"")="","",1)</f>
        <v/>
      </c>
      <c r="Q364" s="245" t="str">
        <f>IFERROR(VLOOKUP(B364,'בקשות שאושרו'!$B$2:$K$466,COLUMN('בקשות שאושרו'!$J$1)-COLUMN('בקשות שאושרו'!$B$1)+1,0),"")</f>
        <v/>
      </c>
    </row>
    <row r="365" spans="1:17" s="174" customFormat="1" ht="43.5" x14ac:dyDescent="0.25">
      <c r="A365" s="240">
        <f>'סיכום לוועדה'!A391</f>
        <v>361</v>
      </c>
      <c r="B365" s="241">
        <f>'סיכום לוועדה'!E391</f>
        <v>20000159</v>
      </c>
      <c r="C365" s="241" t="str">
        <f>'סיכום לוועדה'!F391</f>
        <v>ירושלים</v>
      </c>
      <c r="D365" s="241" t="str">
        <f>'סיכום לוועדה'!G391</f>
        <v>הזירה הבין-תחומית (ע"ר)</v>
      </c>
      <c r="E365" s="242" t="str">
        <f>'סיכום לוועדה'!H391</f>
        <v>ספרות</v>
      </c>
      <c r="F365" s="242"/>
      <c r="G365" s="242"/>
      <c r="H365" s="75"/>
      <c r="I365" s="243"/>
      <c r="J365" s="75"/>
      <c r="K365" s="77"/>
      <c r="L365" s="75"/>
      <c r="M365" s="78"/>
      <c r="N365" s="244"/>
      <c r="O365" s="79"/>
      <c r="P365" s="76" t="str">
        <f>IF(IFERROR(VLOOKUP(B365,'בקשות שאושרו'!$B$2:$I$466,1,0),"")="","",1)</f>
        <v/>
      </c>
      <c r="Q365" s="245" t="str">
        <f>IFERROR(VLOOKUP(B365,'בקשות שאושרו'!$B$2:$K$466,COLUMN('בקשות שאושרו'!$J$1)-COLUMN('בקשות שאושרו'!$B$1)+1,0),"")</f>
        <v/>
      </c>
    </row>
    <row r="366" spans="1:17" s="174" customFormat="1" ht="43.5" x14ac:dyDescent="0.25">
      <c r="A366" s="240">
        <f>'סיכום לוועדה'!A392</f>
        <v>362</v>
      </c>
      <c r="B366" s="241">
        <f>'סיכום לוועדה'!E392</f>
        <v>20000159</v>
      </c>
      <c r="C366" s="241" t="str">
        <f>'סיכום לוועדה'!F392</f>
        <v>ירושלים</v>
      </c>
      <c r="D366" s="241" t="str">
        <f>'סיכום לוועדה'!G392</f>
        <v>הערת שוליים (ע"ר)</v>
      </c>
      <c r="E366" s="242" t="str">
        <f>'סיכום לוועדה'!H392</f>
        <v>אחר</v>
      </c>
      <c r="F366" s="242"/>
      <c r="G366" s="242"/>
      <c r="H366" s="75"/>
      <c r="I366" s="243"/>
      <c r="J366" s="75"/>
      <c r="K366" s="77"/>
      <c r="L366" s="75"/>
      <c r="M366" s="78"/>
      <c r="N366" s="244"/>
      <c r="O366" s="79"/>
      <c r="P366" s="76" t="str">
        <f>IF(IFERROR(VLOOKUP(B366,'בקשות שאושרו'!$B$2:$I$466,1,0),"")="","",1)</f>
        <v/>
      </c>
      <c r="Q366" s="245" t="str">
        <f>IFERROR(VLOOKUP(B366,'בקשות שאושרו'!$B$2:$K$466,COLUMN('בקשות שאושרו'!$J$1)-COLUMN('בקשות שאושרו'!$B$1)+1,0),"")</f>
        <v/>
      </c>
    </row>
    <row r="367" spans="1:17" s="174" customFormat="1" ht="57.75" x14ac:dyDescent="0.25">
      <c r="A367" s="240">
        <f>'סיכום לוועדה'!A393</f>
        <v>363</v>
      </c>
      <c r="B367" s="241">
        <f>'סיכום לוועדה'!E393</f>
        <v>20000201</v>
      </c>
      <c r="C367" s="241" t="str">
        <f>'סיכום לוועדה'!F393</f>
        <v>תל אביב -יפו</v>
      </c>
      <c r="D367" s="241" t="str">
        <f>'סיכום לוועדה'!G393</f>
        <v>התיאטרון הקאמרי של תל אביב</v>
      </c>
      <c r="E367" s="242" t="str">
        <f>'סיכום לוועדה'!H393</f>
        <v>תיאטרון</v>
      </c>
      <c r="F367" s="242"/>
      <c r="G367" s="242"/>
      <c r="H367" s="75"/>
      <c r="I367" s="243"/>
      <c r="J367" s="75"/>
      <c r="K367" s="77"/>
      <c r="L367" s="75"/>
      <c r="M367" s="78"/>
      <c r="N367" s="244"/>
      <c r="O367" s="79"/>
      <c r="P367" s="76" t="str">
        <f>IF(IFERROR(VLOOKUP(B367,'בקשות שאושרו'!$B$2:$I$466,1,0),"")="","",1)</f>
        <v/>
      </c>
      <c r="Q367" s="245" t="str">
        <f>IFERROR(VLOOKUP(B367,'בקשות שאושרו'!$B$2:$K$466,COLUMN('בקשות שאושרו'!$J$1)-COLUMN('בקשות שאושרו'!$B$1)+1,0),"")</f>
        <v/>
      </c>
    </row>
    <row r="368" spans="1:17" s="174" customFormat="1" ht="57.75" x14ac:dyDescent="0.25">
      <c r="A368" s="240">
        <f>'סיכום לוועדה'!A394</f>
        <v>364</v>
      </c>
      <c r="B368" s="241">
        <f>'סיכום לוועדה'!E394</f>
        <v>20000201</v>
      </c>
      <c r="C368" s="241" t="str">
        <f>'סיכום לוועדה'!F394</f>
        <v>תל אביב -יפו</v>
      </c>
      <c r="D368" s="241" t="str">
        <f>'סיכום לוועדה'!G394</f>
        <v>התיאטרון הקאמרי של תל אביב</v>
      </c>
      <c r="E368" s="242" t="str">
        <f>'סיכום לוועדה'!H394</f>
        <v>סינמטקים ופסטיבלים</v>
      </c>
      <c r="F368" s="242"/>
      <c r="G368" s="242"/>
      <c r="H368" s="75"/>
      <c r="I368" s="243"/>
      <c r="J368" s="75"/>
      <c r="K368" s="77"/>
      <c r="L368" s="75"/>
      <c r="M368" s="78"/>
      <c r="N368" s="244"/>
      <c r="O368" s="79"/>
      <c r="P368" s="76" t="str">
        <f>IF(IFERROR(VLOOKUP(B368,'בקשות שאושרו'!$B$2:$I$466,1,0),"")="","",1)</f>
        <v/>
      </c>
      <c r="Q368" s="245" t="str">
        <f>IFERROR(VLOOKUP(B368,'בקשות שאושרו'!$B$2:$K$466,COLUMN('בקשות שאושרו'!$J$1)-COLUMN('בקשות שאושרו'!$B$1)+1,0),"")</f>
        <v/>
      </c>
    </row>
    <row r="369" spans="1:17" s="174" customFormat="1" x14ac:dyDescent="0.25">
      <c r="A369" s="240">
        <f>'סיכום לוועדה'!A395</f>
        <v>365</v>
      </c>
      <c r="B369" s="241" t="str">
        <f>'סיכום לוועדה'!E395</f>
        <v/>
      </c>
      <c r="C369" s="241" t="str">
        <f>'סיכום לוועדה'!F395</f>
        <v/>
      </c>
      <c r="D369" s="241" t="str">
        <f>'סיכום לוועדה'!G395</f>
        <v/>
      </c>
      <c r="E369" s="242" t="str">
        <f>'סיכום לוועדה'!H395</f>
        <v/>
      </c>
      <c r="F369" s="242"/>
      <c r="G369" s="242"/>
      <c r="H369" s="75"/>
      <c r="I369" s="243"/>
      <c r="J369" s="75"/>
      <c r="K369" s="77"/>
      <c r="L369" s="75"/>
      <c r="M369" s="78"/>
      <c r="N369" s="244"/>
      <c r="O369" s="79"/>
      <c r="P369" s="76" t="str">
        <f>IF(IFERROR(VLOOKUP(B369,'בקשות שאושרו'!$B$2:$I$466,1,0),"")="","",1)</f>
        <v/>
      </c>
      <c r="Q369" s="245" t="str">
        <f>IFERROR(VLOOKUP(B369,'בקשות שאושרו'!$B$2:$K$466,COLUMN('בקשות שאושרו'!$J$1)-COLUMN('בקשות שאושרו'!$B$1)+1,0),"")</f>
        <v/>
      </c>
    </row>
    <row r="370" spans="1:17" s="174" customFormat="1" ht="29.25" x14ac:dyDescent="0.25">
      <c r="A370" s="240">
        <f>'סיכום לוועדה'!A396</f>
        <v>366</v>
      </c>
      <c r="B370" s="241">
        <f>'סיכום לוועדה'!E396</f>
        <v>20000033</v>
      </c>
      <c r="C370" s="241" t="str">
        <f>'סיכום לוועדה'!F396</f>
        <v>אכסאל</v>
      </c>
      <c r="D370" s="241" t="str">
        <f>'סיכום לוועדה'!G396</f>
        <v>עמותת מוג'תמענא</v>
      </c>
      <c r="E370" s="242" t="str">
        <f>'סיכום לוועדה'!H396</f>
        <v>מחול</v>
      </c>
      <c r="F370" s="242"/>
      <c r="G370" s="242"/>
      <c r="H370" s="75"/>
      <c r="I370" s="243"/>
      <c r="J370" s="75"/>
      <c r="K370" s="77"/>
      <c r="L370" s="75"/>
      <c r="M370" s="78"/>
      <c r="N370" s="244"/>
      <c r="O370" s="79"/>
      <c r="P370" s="76" t="str">
        <f>IF(IFERROR(VLOOKUP(B370,'בקשות שאושרו'!$B$2:$I$466,1,0),"")="","",1)</f>
        <v/>
      </c>
      <c r="Q370" s="245" t="str">
        <f>IFERROR(VLOOKUP(B370,'בקשות שאושרו'!$B$2:$K$466,COLUMN('בקשות שאושרו'!$J$1)-COLUMN('בקשות שאושרו'!$B$1)+1,0),"")</f>
        <v/>
      </c>
    </row>
    <row r="371" spans="1:17" s="174" customFormat="1" ht="29.25" x14ac:dyDescent="0.25">
      <c r="A371" s="240">
        <f>'סיכום לוועדה'!A397</f>
        <v>367</v>
      </c>
      <c r="B371" s="241">
        <f>'סיכום לוועדה'!E397</f>
        <v>20000033</v>
      </c>
      <c r="C371" s="241" t="str">
        <f>'סיכום לוועדה'!F397</f>
        <v>אכסאל</v>
      </c>
      <c r="D371" s="241" t="str">
        <f>'סיכום לוועדה'!G397</f>
        <v>עמותת מוג'תמענא</v>
      </c>
      <c r="E371" s="242" t="str">
        <f>'סיכום לוועדה'!H397</f>
        <v>קבוצות מוסיקה</v>
      </c>
      <c r="F371" s="242"/>
      <c r="G371" s="242"/>
      <c r="H371" s="75"/>
      <c r="I371" s="243"/>
      <c r="J371" s="75"/>
      <c r="K371" s="77"/>
      <c r="L371" s="75"/>
      <c r="M371" s="78"/>
      <c r="N371" s="244"/>
      <c r="O371" s="79"/>
      <c r="P371" s="76" t="str">
        <f>IF(IFERROR(VLOOKUP(B371,'בקשות שאושרו'!$B$2:$I$466,1,0),"")="","",1)</f>
        <v/>
      </c>
      <c r="Q371" s="245" t="str">
        <f>IFERROR(VLOOKUP(B371,'בקשות שאושרו'!$B$2:$K$466,COLUMN('בקשות שאושרו'!$J$1)-COLUMN('בקשות שאושרו'!$B$1)+1,0),"")</f>
        <v/>
      </c>
    </row>
    <row r="372" spans="1:17" s="174" customFormat="1" ht="29.25" x14ac:dyDescent="0.25">
      <c r="A372" s="240">
        <f>'סיכום לוועדה'!A398</f>
        <v>368</v>
      </c>
      <c r="B372" s="241">
        <f>'סיכום לוועדה'!E398</f>
        <v>20000033</v>
      </c>
      <c r="C372" s="241" t="str">
        <f>'סיכום לוועדה'!F398</f>
        <v>אכסאל</v>
      </c>
      <c r="D372" s="241" t="str">
        <f>'סיכום לוועדה'!G398</f>
        <v>עמותת מוג'תמענא</v>
      </c>
      <c r="E372" s="242" t="str">
        <f>'סיכום לוועדה'!H398</f>
        <v>חללי תצוגה</v>
      </c>
      <c r="F372" s="242"/>
      <c r="G372" s="242"/>
      <c r="H372" s="75"/>
      <c r="I372" s="243"/>
      <c r="J372" s="75"/>
      <c r="K372" s="77"/>
      <c r="L372" s="75"/>
      <c r="M372" s="78"/>
      <c r="N372" s="244"/>
      <c r="O372" s="79"/>
      <c r="P372" s="76" t="str">
        <f>IF(IFERROR(VLOOKUP(B372,'בקשות שאושרו'!$B$2:$I$466,1,0),"")="","",1)</f>
        <v/>
      </c>
      <c r="Q372" s="245" t="str">
        <f>IFERROR(VLOOKUP(B372,'בקשות שאושרו'!$B$2:$K$466,COLUMN('בקשות שאושרו'!$J$1)-COLUMN('בקשות שאושרו'!$B$1)+1,0),"")</f>
        <v/>
      </c>
    </row>
    <row r="373" spans="1:17" s="174" customFormat="1" ht="72" x14ac:dyDescent="0.25">
      <c r="A373" s="240">
        <f>'סיכום לוועדה'!A399</f>
        <v>369</v>
      </c>
      <c r="B373" s="241">
        <f>'סיכום לוועדה'!E399</f>
        <v>20000035</v>
      </c>
      <c r="C373" s="241" t="str">
        <f>'סיכום לוועדה'!F399</f>
        <v>מגאר</v>
      </c>
      <c r="D373" s="241" t="str">
        <f>'סיכום לוועדה'!G399</f>
        <v>מראות-עמותה לקידום התיאטרון והקרקס</v>
      </c>
      <c r="E373" s="242" t="str">
        <f>'סיכום לוועדה'!H399</f>
        <v>תיאטרון</v>
      </c>
      <c r="F373" s="242"/>
      <c r="G373" s="242"/>
      <c r="H373" s="75"/>
      <c r="I373" s="243"/>
      <c r="J373" s="75"/>
      <c r="K373" s="77"/>
      <c r="L373" s="75"/>
      <c r="M373" s="78"/>
      <c r="N373" s="244"/>
      <c r="O373" s="79"/>
      <c r="P373" s="76" t="str">
        <f>IF(IFERROR(VLOOKUP(B373,'בקשות שאושרו'!$B$2:$I$466,1,0),"")="","",1)</f>
        <v/>
      </c>
      <c r="Q373" s="245" t="str">
        <f>IFERROR(VLOOKUP(B373,'בקשות שאושרו'!$B$2:$K$466,COLUMN('בקשות שאושרו'!$J$1)-COLUMN('בקשות שאושרו'!$B$1)+1,0),"")</f>
        <v/>
      </c>
    </row>
    <row r="374" spans="1:17" s="174" customFormat="1" ht="72" x14ac:dyDescent="0.25">
      <c r="A374" s="240">
        <f>'סיכום לוועדה'!A400</f>
        <v>370</v>
      </c>
      <c r="B374" s="241">
        <f>'סיכום לוועדה'!E400</f>
        <v>20000035</v>
      </c>
      <c r="C374" s="241" t="str">
        <f>'סיכום לוועדה'!F400</f>
        <v>מגאר</v>
      </c>
      <c r="D374" s="241" t="str">
        <f>'סיכום לוועדה'!G400</f>
        <v>מראות-עמותה לקידום התיאטרון והקרקס</v>
      </c>
      <c r="E374" s="242" t="str">
        <f>'סיכום לוועדה'!H400</f>
        <v>אחר</v>
      </c>
      <c r="F374" s="242"/>
      <c r="G374" s="242"/>
      <c r="H374" s="75"/>
      <c r="I374" s="243"/>
      <c r="J374" s="75"/>
      <c r="K374" s="77"/>
      <c r="L374" s="75"/>
      <c r="M374" s="78"/>
      <c r="N374" s="244"/>
      <c r="O374" s="79"/>
      <c r="P374" s="76" t="str">
        <f>IF(IFERROR(VLOOKUP(B374,'בקשות שאושרו'!$B$2:$I$466,1,0),"")="","",1)</f>
        <v/>
      </c>
      <c r="Q374" s="245" t="str">
        <f>IFERROR(VLOOKUP(B374,'בקשות שאושרו'!$B$2:$K$466,COLUMN('בקשות שאושרו'!$J$1)-COLUMN('בקשות שאושרו'!$B$1)+1,0),"")</f>
        <v/>
      </c>
    </row>
    <row r="375" spans="1:17" s="174" customFormat="1" ht="72" x14ac:dyDescent="0.25">
      <c r="A375" s="240">
        <f>'סיכום לוועדה'!A401</f>
        <v>371</v>
      </c>
      <c r="B375" s="241">
        <f>'סיכום לוועדה'!E401</f>
        <v>20000035</v>
      </c>
      <c r="C375" s="241" t="str">
        <f>'סיכום לוועדה'!F401</f>
        <v>מגאר</v>
      </c>
      <c r="D375" s="241" t="str">
        <f>'סיכום לוועדה'!G401</f>
        <v>מראות-עמותה לקידום התיאטרון והקרקס</v>
      </c>
      <c r="E375" s="242" t="str">
        <f>'סיכום לוועדה'!H401</f>
        <v>אחר</v>
      </c>
      <c r="F375" s="242"/>
      <c r="G375" s="242"/>
      <c r="H375" s="75"/>
      <c r="I375" s="243"/>
      <c r="J375" s="75"/>
      <c r="K375" s="77"/>
      <c r="L375" s="75"/>
      <c r="M375" s="78"/>
      <c r="N375" s="244"/>
      <c r="O375" s="79"/>
      <c r="P375" s="76" t="str">
        <f>IF(IFERROR(VLOOKUP(B375,'בקשות שאושרו'!$B$2:$I$466,1,0),"")="","",1)</f>
        <v/>
      </c>
      <c r="Q375" s="245" t="str">
        <f>IFERROR(VLOOKUP(B375,'בקשות שאושרו'!$B$2:$K$466,COLUMN('בקשות שאושרו'!$J$1)-COLUMN('בקשות שאושרו'!$B$1)+1,0),"")</f>
        <v/>
      </c>
    </row>
    <row r="376" spans="1:17" s="174" customFormat="1" ht="29.25" x14ac:dyDescent="0.25">
      <c r="A376" s="240">
        <f>'סיכום לוועדה'!A402</f>
        <v>372</v>
      </c>
      <c r="B376" s="241">
        <f>'סיכום לוועדה'!E402</f>
        <v>20000102</v>
      </c>
      <c r="C376" s="241" t="str">
        <f>'סיכום לוועדה'!F402</f>
        <v>מעלות-תרשיחא</v>
      </c>
      <c r="D376" s="241" t="str">
        <f>'סיכום לוועדה'!G402</f>
        <v>קול יוצר</v>
      </c>
      <c r="E376" s="242" t="str">
        <f>'סיכום לוועדה'!H402</f>
        <v>אחר</v>
      </c>
      <c r="F376" s="242"/>
      <c r="G376" s="242"/>
      <c r="H376" s="75"/>
      <c r="I376" s="243"/>
      <c r="J376" s="75"/>
      <c r="K376" s="77"/>
      <c r="L376" s="75"/>
      <c r="M376" s="78"/>
      <c r="N376" s="244"/>
      <c r="O376" s="79"/>
      <c r="P376" s="76" t="str">
        <f>IF(IFERROR(VLOOKUP(B376,'בקשות שאושרו'!$B$2:$I$466,1,0),"")="","",1)</f>
        <v/>
      </c>
      <c r="Q376" s="245" t="str">
        <f>IFERROR(VLOOKUP(B376,'בקשות שאושרו'!$B$2:$K$466,COLUMN('בקשות שאושרו'!$J$1)-COLUMN('בקשות שאושרו'!$B$1)+1,0),"")</f>
        <v/>
      </c>
    </row>
    <row r="377" spans="1:17" s="174" customFormat="1" ht="29.25" x14ac:dyDescent="0.25">
      <c r="A377" s="240">
        <f>'סיכום לוועדה'!A403</f>
        <v>373</v>
      </c>
      <c r="B377" s="241">
        <f>'סיכום לוועדה'!E403</f>
        <v>20000102</v>
      </c>
      <c r="C377" s="241" t="str">
        <f>'סיכום לוועדה'!F403</f>
        <v>מעלות-תרשיחא</v>
      </c>
      <c r="D377" s="241" t="str">
        <f>'סיכום לוועדה'!G403</f>
        <v>קול יוצר</v>
      </c>
      <c r="E377" s="242" t="str">
        <f>'סיכום לוועדה'!H403</f>
        <v>אחר</v>
      </c>
      <c r="F377" s="242"/>
      <c r="G377" s="242"/>
      <c r="H377" s="75"/>
      <c r="I377" s="243"/>
      <c r="J377" s="75"/>
      <c r="K377" s="77"/>
      <c r="L377" s="75"/>
      <c r="M377" s="78"/>
      <c r="N377" s="244"/>
      <c r="O377" s="79"/>
      <c r="P377" s="76" t="str">
        <f>IF(IFERROR(VLOOKUP(B377,'בקשות שאושרו'!$B$2:$I$466,1,0),"")="","",1)</f>
        <v/>
      </c>
      <c r="Q377" s="245" t="str">
        <f>IFERROR(VLOOKUP(B377,'בקשות שאושרו'!$B$2:$K$466,COLUMN('בקשות שאושרו'!$J$1)-COLUMN('בקשות שאושרו'!$B$1)+1,0),"")</f>
        <v/>
      </c>
    </row>
    <row r="378" spans="1:17" s="174" customFormat="1" ht="29.25" x14ac:dyDescent="0.25">
      <c r="A378" s="240">
        <f>'סיכום לוועדה'!A404</f>
        <v>374</v>
      </c>
      <c r="B378" s="241">
        <f>'סיכום לוועדה'!E404</f>
        <v>20000125</v>
      </c>
      <c r="C378" s="241" t="str">
        <f>'סיכום לוועדה'!F404</f>
        <v>חצור הגלילית</v>
      </c>
      <c r="D378" s="241" t="str">
        <f>'סיכום לוועדה'!G404</f>
        <v>אורות הגליל</v>
      </c>
      <c r="E378" s="242" t="str">
        <f>'סיכום לוועדה'!H404</f>
        <v>אחר</v>
      </c>
      <c r="F378" s="242"/>
      <c r="G378" s="242"/>
      <c r="H378" s="75"/>
      <c r="I378" s="243"/>
      <c r="J378" s="75"/>
      <c r="K378" s="77"/>
      <c r="L378" s="75"/>
      <c r="M378" s="78"/>
      <c r="N378" s="244"/>
      <c r="O378" s="79"/>
      <c r="P378" s="76" t="str">
        <f>IF(IFERROR(VLOOKUP(B378,'בקשות שאושרו'!$B$2:$I$466,1,0),"")="","",1)</f>
        <v/>
      </c>
      <c r="Q378" s="245" t="str">
        <f>IFERROR(VLOOKUP(B378,'בקשות שאושרו'!$B$2:$K$466,COLUMN('בקשות שאושרו'!$J$1)-COLUMN('בקשות שאושרו'!$B$1)+1,0),"")</f>
        <v/>
      </c>
    </row>
    <row r="379" spans="1:17" s="174" customFormat="1" x14ac:dyDescent="0.25">
      <c r="A379" s="240">
        <f>'סיכום לוועדה'!A405</f>
        <v>375</v>
      </c>
      <c r="B379" s="241">
        <f>'סיכום לוועדה'!E405</f>
        <v>20000231</v>
      </c>
      <c r="C379" s="241" t="str">
        <f>'סיכום לוועדה'!F405</f>
        <v>נצרת</v>
      </c>
      <c r="D379" s="241" t="str">
        <f>'סיכום לוועדה'!G405</f>
        <v>יאללא</v>
      </c>
      <c r="E379" s="242" t="str">
        <f>'סיכום לוועדה'!H405</f>
        <v>תיאטרון</v>
      </c>
      <c r="F379" s="242"/>
      <c r="G379" s="242"/>
      <c r="H379" s="75"/>
      <c r="I379" s="243"/>
      <c r="J379" s="75"/>
      <c r="K379" s="77"/>
      <c r="L379" s="75"/>
      <c r="M379" s="78"/>
      <c r="N379" s="244"/>
      <c r="O379" s="79"/>
      <c r="P379" s="76" t="str">
        <f>IF(IFERROR(VLOOKUP(B379,'בקשות שאושרו'!$B$2:$I$466,1,0),"")="","",1)</f>
        <v/>
      </c>
      <c r="Q379" s="245" t="str">
        <f>IFERROR(VLOOKUP(B379,'בקשות שאושרו'!$B$2:$K$466,COLUMN('בקשות שאושרו'!$J$1)-COLUMN('בקשות שאושרו'!$B$1)+1,0),"")</f>
        <v/>
      </c>
    </row>
    <row r="380" spans="1:17" s="174" customFormat="1" ht="72" x14ac:dyDescent="0.25">
      <c r="A380" s="240">
        <f>'סיכום לוועדה'!A406</f>
        <v>376</v>
      </c>
      <c r="B380" s="241">
        <f>'סיכום לוועדה'!E406</f>
        <v>20000242</v>
      </c>
      <c r="C380" s="241" t="str">
        <f>'סיכום לוועדה'!F406</f>
        <v>פרדס חנה-כרכור</v>
      </c>
      <c r="D380" s="241" t="str">
        <f>'סיכום לוועדה'!G406</f>
        <v>הידית - מרכז ליצירה תיאטרונית אלטרנ</v>
      </c>
      <c r="E380" s="242" t="str">
        <f>'סיכום לוועדה'!H406</f>
        <v>תיאטרון</v>
      </c>
      <c r="F380" s="242"/>
      <c r="G380" s="242"/>
      <c r="H380" s="75"/>
      <c r="I380" s="243"/>
      <c r="J380" s="75"/>
      <c r="K380" s="77"/>
      <c r="L380" s="75"/>
      <c r="M380" s="78"/>
      <c r="N380" s="244"/>
      <c r="O380" s="79"/>
      <c r="P380" s="76" t="str">
        <f>IF(IFERROR(VLOOKUP(B380,'בקשות שאושרו'!$B$2:$I$466,1,0),"")="","",1)</f>
        <v/>
      </c>
      <c r="Q380" s="245" t="str">
        <f>IFERROR(VLOOKUP(B380,'בקשות שאושרו'!$B$2:$K$466,COLUMN('בקשות שאושרו'!$J$1)-COLUMN('בקשות שאושרו'!$B$1)+1,0),"")</f>
        <v/>
      </c>
    </row>
    <row r="381" spans="1:17" s="174" customFormat="1" ht="29.25" x14ac:dyDescent="0.25">
      <c r="A381" s="240">
        <f>'סיכום לוועדה'!A407</f>
        <v>377</v>
      </c>
      <c r="B381" s="241">
        <f>'סיכום לוועדה'!E407</f>
        <v>20000201</v>
      </c>
      <c r="C381" s="241" t="str">
        <f>'סיכום לוועדה'!F407</f>
        <v>תל אביב -יפו</v>
      </c>
      <c r="D381" s="241" t="str">
        <f>'סיכום לוועדה'!G407</f>
        <v>קרן מוזיאון רובין</v>
      </c>
      <c r="E381" s="242" t="str">
        <f>'סיכום לוועדה'!H407</f>
        <v>מוזיאונים</v>
      </c>
      <c r="F381" s="242"/>
      <c r="G381" s="242"/>
      <c r="H381" s="75"/>
      <c r="I381" s="243"/>
      <c r="J381" s="75"/>
      <c r="K381" s="77"/>
      <c r="L381" s="75"/>
      <c r="M381" s="78"/>
      <c r="N381" s="244"/>
      <c r="O381" s="79"/>
      <c r="P381" s="76" t="str">
        <f>IF(IFERROR(VLOOKUP(B381,'בקשות שאושרו'!$B$2:$I$466,1,0),"")="","",1)</f>
        <v/>
      </c>
      <c r="Q381" s="245" t="str">
        <f>IFERROR(VLOOKUP(B381,'בקשות שאושרו'!$B$2:$K$466,COLUMN('בקשות שאושרו'!$J$1)-COLUMN('בקשות שאושרו'!$B$1)+1,0),"")</f>
        <v/>
      </c>
    </row>
    <row r="382" spans="1:17" s="174" customFormat="1" x14ac:dyDescent="0.25">
      <c r="A382" s="240" t="str">
        <f>'סיכום לוועדה'!A408</f>
        <v/>
      </c>
      <c r="B382" s="241" t="str">
        <f>'סיכום לוועדה'!E408</f>
        <v/>
      </c>
      <c r="C382" s="241" t="str">
        <f>'סיכום לוועדה'!F408</f>
        <v/>
      </c>
      <c r="D382" s="241" t="str">
        <f>'סיכום לוועדה'!G408</f>
        <v/>
      </c>
      <c r="E382" s="242" t="str">
        <f>'סיכום לוועדה'!H408</f>
        <v/>
      </c>
      <c r="F382" s="242"/>
      <c r="G382" s="242"/>
      <c r="H382" s="75"/>
      <c r="I382" s="243"/>
      <c r="J382" s="75"/>
      <c r="K382" s="77"/>
      <c r="L382" s="75"/>
      <c r="M382" s="78"/>
      <c r="N382" s="244"/>
      <c r="O382" s="79"/>
      <c r="P382" s="76" t="str">
        <f>IF(IFERROR(VLOOKUP(B382,'בקשות שאושרו'!$B$2:$I$466,1,0),"")="","",1)</f>
        <v/>
      </c>
      <c r="Q382" s="245" t="str">
        <f>IFERROR(VLOOKUP(B382,'בקשות שאושרו'!$B$2:$K$466,COLUMN('בקשות שאושרו'!$J$1)-COLUMN('בקשות שאושרו'!$B$1)+1,0),"")</f>
        <v/>
      </c>
    </row>
    <row r="383" spans="1:17" s="174" customFormat="1" x14ac:dyDescent="0.25">
      <c r="A383" s="240" t="str">
        <f>'סיכום לוועדה'!A409</f>
        <v/>
      </c>
      <c r="B383" s="241" t="str">
        <f>'סיכום לוועדה'!E409</f>
        <v/>
      </c>
      <c r="C383" s="241" t="str">
        <f>'סיכום לוועדה'!F409</f>
        <v/>
      </c>
      <c r="D383" s="241" t="str">
        <f>'סיכום לוועדה'!G409</f>
        <v/>
      </c>
      <c r="E383" s="242" t="str">
        <f>'סיכום לוועדה'!H409</f>
        <v/>
      </c>
      <c r="F383" s="242"/>
      <c r="G383" s="242"/>
      <c r="H383" s="75"/>
      <c r="I383" s="243"/>
      <c r="J383" s="75"/>
      <c r="K383" s="77"/>
      <c r="L383" s="75"/>
      <c r="M383" s="78"/>
      <c r="N383" s="244"/>
      <c r="O383" s="79"/>
      <c r="P383" s="76" t="str">
        <f>IF(IFERROR(VLOOKUP(B383,'בקשות שאושרו'!$B$2:$I$466,1,0),"")="","",1)</f>
        <v/>
      </c>
      <c r="Q383" s="245" t="str">
        <f>IFERROR(VLOOKUP(B383,'בקשות שאושרו'!$B$2:$K$466,COLUMN('בקשות שאושרו'!$J$1)-COLUMN('בקשות שאושרו'!$B$1)+1,0),"")</f>
        <v/>
      </c>
    </row>
    <row r="384" spans="1:17" s="174" customFormat="1" x14ac:dyDescent="0.25">
      <c r="A384" s="240" t="str">
        <f>'סיכום לוועדה'!A410</f>
        <v/>
      </c>
      <c r="B384" s="241" t="str">
        <f>'סיכום לוועדה'!E410</f>
        <v/>
      </c>
      <c r="C384" s="241" t="str">
        <f>'סיכום לוועדה'!F410</f>
        <v/>
      </c>
      <c r="D384" s="241" t="str">
        <f>'סיכום לוועדה'!G410</f>
        <v/>
      </c>
      <c r="E384" s="242" t="str">
        <f>'סיכום לוועדה'!H410</f>
        <v/>
      </c>
      <c r="F384" s="242"/>
      <c r="G384" s="242"/>
      <c r="H384" s="75"/>
      <c r="I384" s="243"/>
      <c r="J384" s="75"/>
      <c r="K384" s="77"/>
      <c r="L384" s="75"/>
      <c r="M384" s="78"/>
      <c r="N384" s="244"/>
      <c r="O384" s="79"/>
      <c r="P384" s="76" t="str">
        <f>IF(IFERROR(VLOOKUP(B384,'בקשות שאושרו'!$B$2:$I$466,1,0),"")="","",1)</f>
        <v/>
      </c>
      <c r="Q384" s="245" t="str">
        <f>IFERROR(VLOOKUP(B384,'בקשות שאושרו'!$B$2:$K$466,COLUMN('בקשות שאושרו'!$J$1)-COLUMN('בקשות שאושרו'!$B$1)+1,0),"")</f>
        <v/>
      </c>
    </row>
    <row r="385" spans="1:17" s="174" customFormat="1" x14ac:dyDescent="0.25">
      <c r="A385" s="240" t="str">
        <f>'סיכום לוועדה'!A411</f>
        <v/>
      </c>
      <c r="B385" s="241" t="str">
        <f>'סיכום לוועדה'!E411</f>
        <v/>
      </c>
      <c r="C385" s="241" t="str">
        <f>'סיכום לוועדה'!F411</f>
        <v/>
      </c>
      <c r="D385" s="241" t="str">
        <f>'סיכום לוועדה'!G411</f>
        <v/>
      </c>
      <c r="E385" s="242" t="str">
        <f>'סיכום לוועדה'!H411</f>
        <v/>
      </c>
      <c r="F385" s="242"/>
      <c r="G385" s="242"/>
      <c r="H385" s="75"/>
      <c r="I385" s="243"/>
      <c r="J385" s="75"/>
      <c r="K385" s="77"/>
      <c r="L385" s="75"/>
      <c r="M385" s="78"/>
      <c r="N385" s="244"/>
      <c r="O385" s="79"/>
      <c r="P385" s="76" t="str">
        <f>IF(IFERROR(VLOOKUP(B385,'בקשות שאושרו'!$B$2:$I$466,1,0),"")="","",1)</f>
        <v/>
      </c>
      <c r="Q385" s="245" t="str">
        <f>IFERROR(VLOOKUP(B385,'בקשות שאושרו'!$B$2:$K$466,COLUMN('בקשות שאושרו'!$J$1)-COLUMN('בקשות שאושרו'!$B$1)+1,0),"")</f>
        <v/>
      </c>
    </row>
    <row r="386" spans="1:17" s="174" customFormat="1" x14ac:dyDescent="0.25">
      <c r="A386" s="240" t="str">
        <f>'סיכום לוועדה'!A412</f>
        <v/>
      </c>
      <c r="B386" s="241" t="str">
        <f>'סיכום לוועדה'!E412</f>
        <v/>
      </c>
      <c r="C386" s="241" t="str">
        <f>'סיכום לוועדה'!F412</f>
        <v/>
      </c>
      <c r="D386" s="241" t="str">
        <f>'סיכום לוועדה'!G412</f>
        <v/>
      </c>
      <c r="E386" s="242" t="str">
        <f>'סיכום לוועדה'!H412</f>
        <v/>
      </c>
      <c r="F386" s="242"/>
      <c r="G386" s="242"/>
      <c r="H386" s="75"/>
      <c r="I386" s="243"/>
      <c r="J386" s="75"/>
      <c r="K386" s="77"/>
      <c r="L386" s="75"/>
      <c r="M386" s="78"/>
      <c r="N386" s="244"/>
      <c r="O386" s="79"/>
      <c r="P386" s="76" t="str">
        <f>IF(IFERROR(VLOOKUP(B386,'בקשות שאושרו'!$B$2:$I$466,1,0),"")="","",1)</f>
        <v/>
      </c>
      <c r="Q386" s="245" t="str">
        <f>IFERROR(VLOOKUP(B386,'בקשות שאושרו'!$B$2:$K$466,COLUMN('בקשות שאושרו'!$J$1)-COLUMN('בקשות שאושרו'!$B$1)+1,0),"")</f>
        <v/>
      </c>
    </row>
    <row r="387" spans="1:17" s="174" customFormat="1" x14ac:dyDescent="0.25">
      <c r="A387" s="240" t="str">
        <f>'סיכום לוועדה'!A413</f>
        <v/>
      </c>
      <c r="B387" s="241" t="str">
        <f>'סיכום לוועדה'!E413</f>
        <v/>
      </c>
      <c r="C387" s="241" t="str">
        <f>'סיכום לוועדה'!F413</f>
        <v/>
      </c>
      <c r="D387" s="241" t="str">
        <f>'סיכום לוועדה'!G413</f>
        <v/>
      </c>
      <c r="E387" s="242" t="str">
        <f>'סיכום לוועדה'!H413</f>
        <v/>
      </c>
      <c r="F387" s="242"/>
      <c r="G387" s="242"/>
      <c r="H387" s="75"/>
      <c r="I387" s="243"/>
      <c r="J387" s="75"/>
      <c r="K387" s="77"/>
      <c r="L387" s="75"/>
      <c r="M387" s="78"/>
      <c r="N387" s="244"/>
      <c r="O387" s="79"/>
      <c r="P387" s="76" t="str">
        <f>IF(IFERROR(VLOOKUP(B387,'בקשות שאושרו'!$B$2:$I$466,1,0),"")="","",1)</f>
        <v/>
      </c>
      <c r="Q387" s="245" t="str">
        <f>IFERROR(VLOOKUP(B387,'בקשות שאושרו'!$B$2:$K$466,COLUMN('בקשות שאושרו'!$J$1)-COLUMN('בקשות שאושרו'!$B$1)+1,0),"")</f>
        <v/>
      </c>
    </row>
    <row r="388" spans="1:17" s="174" customFormat="1" x14ac:dyDescent="0.25">
      <c r="A388" s="240" t="str">
        <f>'סיכום לוועדה'!A414</f>
        <v/>
      </c>
      <c r="B388" s="241" t="str">
        <f>'סיכום לוועדה'!E414</f>
        <v/>
      </c>
      <c r="C388" s="241" t="str">
        <f>'סיכום לוועדה'!F414</f>
        <v/>
      </c>
      <c r="D388" s="241" t="str">
        <f>'סיכום לוועדה'!G414</f>
        <v/>
      </c>
      <c r="E388" s="242" t="str">
        <f>'סיכום לוועדה'!H414</f>
        <v/>
      </c>
      <c r="F388" s="242"/>
      <c r="G388" s="242"/>
      <c r="H388" s="75"/>
      <c r="I388" s="243"/>
      <c r="J388" s="75"/>
      <c r="K388" s="77"/>
      <c r="L388" s="75"/>
      <c r="M388" s="78"/>
      <c r="N388" s="244"/>
      <c r="O388" s="79"/>
      <c r="P388" s="76" t="str">
        <f>IF(IFERROR(VLOOKUP(B388,'בקשות שאושרו'!$B$2:$I$466,1,0),"")="","",1)</f>
        <v/>
      </c>
      <c r="Q388" s="245" t="str">
        <f>IFERROR(VLOOKUP(B388,'בקשות שאושרו'!$B$2:$K$466,COLUMN('בקשות שאושרו'!$J$1)-COLUMN('בקשות שאושרו'!$B$1)+1,0),"")</f>
        <v/>
      </c>
    </row>
    <row r="389" spans="1:17" s="174" customFormat="1" x14ac:dyDescent="0.25">
      <c r="A389" s="240" t="str">
        <f>'סיכום לוועדה'!A415</f>
        <v/>
      </c>
      <c r="B389" s="241" t="str">
        <f>'סיכום לוועדה'!E415</f>
        <v/>
      </c>
      <c r="C389" s="241" t="str">
        <f>'סיכום לוועדה'!F415</f>
        <v/>
      </c>
      <c r="D389" s="241" t="str">
        <f>'סיכום לוועדה'!G415</f>
        <v/>
      </c>
      <c r="E389" s="242" t="str">
        <f>'סיכום לוועדה'!H415</f>
        <v/>
      </c>
      <c r="F389" s="242"/>
      <c r="G389" s="242"/>
      <c r="H389" s="75"/>
      <c r="I389" s="243"/>
      <c r="J389" s="75"/>
      <c r="K389" s="77"/>
      <c r="L389" s="75"/>
      <c r="M389" s="78"/>
      <c r="N389" s="244"/>
      <c r="O389" s="79"/>
      <c r="P389" s="76" t="str">
        <f>IF(IFERROR(VLOOKUP(B389,'בקשות שאושרו'!$B$2:$I$466,1,0),"")="","",1)</f>
        <v/>
      </c>
      <c r="Q389" s="245" t="str">
        <f>IFERROR(VLOOKUP(B389,'בקשות שאושרו'!$B$2:$K$466,COLUMN('בקשות שאושרו'!$J$1)-COLUMN('בקשות שאושרו'!$B$1)+1,0),"")</f>
        <v/>
      </c>
    </row>
    <row r="390" spans="1:17" s="174" customFormat="1" x14ac:dyDescent="0.25">
      <c r="A390" s="240" t="str">
        <f>'סיכום לוועדה'!A416</f>
        <v/>
      </c>
      <c r="B390" s="241" t="str">
        <f>'סיכום לוועדה'!E416</f>
        <v/>
      </c>
      <c r="C390" s="241" t="str">
        <f>'סיכום לוועדה'!F416</f>
        <v/>
      </c>
      <c r="D390" s="241" t="str">
        <f>'סיכום לוועדה'!G416</f>
        <v/>
      </c>
      <c r="E390" s="242" t="str">
        <f>'סיכום לוועדה'!H416</f>
        <v/>
      </c>
      <c r="F390" s="242"/>
      <c r="G390" s="242"/>
      <c r="H390" s="75"/>
      <c r="I390" s="243"/>
      <c r="J390" s="75"/>
      <c r="K390" s="77"/>
      <c r="L390" s="75"/>
      <c r="M390" s="78"/>
      <c r="N390" s="244"/>
      <c r="O390" s="79"/>
      <c r="P390" s="76" t="str">
        <f>IF(IFERROR(VLOOKUP(B390,'בקשות שאושרו'!$B$2:$I$466,1,0),"")="","",1)</f>
        <v/>
      </c>
      <c r="Q390" s="245" t="str">
        <f>IFERROR(VLOOKUP(B390,'בקשות שאושרו'!$B$2:$K$466,COLUMN('בקשות שאושרו'!$J$1)-COLUMN('בקשות שאושרו'!$B$1)+1,0),"")</f>
        <v/>
      </c>
    </row>
    <row r="391" spans="1:17" s="174" customFormat="1" x14ac:dyDescent="0.25">
      <c r="A391" s="240" t="str">
        <f>'סיכום לוועדה'!A417</f>
        <v/>
      </c>
      <c r="B391" s="241" t="str">
        <f>'סיכום לוועדה'!E417</f>
        <v/>
      </c>
      <c r="C391" s="241" t="str">
        <f>'סיכום לוועדה'!F417</f>
        <v/>
      </c>
      <c r="D391" s="241" t="str">
        <f>'סיכום לוועדה'!G417</f>
        <v/>
      </c>
      <c r="E391" s="242" t="str">
        <f>'סיכום לוועדה'!H417</f>
        <v/>
      </c>
      <c r="F391" s="242"/>
      <c r="G391" s="242"/>
      <c r="H391" s="75"/>
      <c r="I391" s="243"/>
      <c r="J391" s="75"/>
      <c r="K391" s="77"/>
      <c r="L391" s="75"/>
      <c r="M391" s="78"/>
      <c r="N391" s="244"/>
      <c r="O391" s="79"/>
      <c r="P391" s="76" t="str">
        <f>IF(IFERROR(VLOOKUP(B391,'בקשות שאושרו'!$B$2:$I$466,1,0),"")="","",1)</f>
        <v/>
      </c>
      <c r="Q391" s="245" t="str">
        <f>IFERROR(VLOOKUP(B391,'בקשות שאושרו'!$B$2:$K$466,COLUMN('בקשות שאושרו'!$J$1)-COLUMN('בקשות שאושרו'!$B$1)+1,0),"")</f>
        <v/>
      </c>
    </row>
    <row r="392" spans="1:17" s="174" customFormat="1" x14ac:dyDescent="0.25">
      <c r="A392" s="240" t="str">
        <f>'סיכום לוועדה'!A418</f>
        <v/>
      </c>
      <c r="B392" s="241" t="str">
        <f>'סיכום לוועדה'!E418</f>
        <v/>
      </c>
      <c r="C392" s="241" t="str">
        <f>'סיכום לוועדה'!F418</f>
        <v/>
      </c>
      <c r="D392" s="241" t="str">
        <f>'סיכום לוועדה'!G418</f>
        <v/>
      </c>
      <c r="E392" s="242" t="str">
        <f>'סיכום לוועדה'!H418</f>
        <v/>
      </c>
      <c r="F392" s="242"/>
      <c r="G392" s="242"/>
      <c r="H392" s="75"/>
      <c r="I392" s="243"/>
      <c r="J392" s="75"/>
      <c r="K392" s="77"/>
      <c r="L392" s="75"/>
      <c r="M392" s="78"/>
      <c r="N392" s="244"/>
      <c r="O392" s="79"/>
      <c r="P392" s="76" t="str">
        <f>IF(IFERROR(VLOOKUP(B392,'בקשות שאושרו'!$B$2:$I$466,1,0),"")="","",1)</f>
        <v/>
      </c>
      <c r="Q392" s="245" t="str">
        <f>IFERROR(VLOOKUP(B392,'בקשות שאושרו'!$B$2:$K$466,COLUMN('בקשות שאושרו'!$J$1)-COLUMN('בקשות שאושרו'!$B$1)+1,0),"")</f>
        <v/>
      </c>
    </row>
    <row r="393" spans="1:17" s="174" customFormat="1" x14ac:dyDescent="0.25">
      <c r="A393" s="240" t="str">
        <f>'סיכום לוועדה'!A419</f>
        <v/>
      </c>
      <c r="B393" s="241" t="str">
        <f>'סיכום לוועדה'!E419</f>
        <v/>
      </c>
      <c r="C393" s="241" t="str">
        <f>'סיכום לוועדה'!F419</f>
        <v/>
      </c>
      <c r="D393" s="241" t="str">
        <f>'סיכום לוועדה'!G419</f>
        <v/>
      </c>
      <c r="E393" s="242" t="str">
        <f>'סיכום לוועדה'!H419</f>
        <v/>
      </c>
      <c r="F393" s="242"/>
      <c r="G393" s="242"/>
      <c r="H393" s="75"/>
      <c r="I393" s="243"/>
      <c r="J393" s="75"/>
      <c r="K393" s="77"/>
      <c r="L393" s="75"/>
      <c r="M393" s="78"/>
      <c r="N393" s="244"/>
      <c r="O393" s="79"/>
      <c r="P393" s="76" t="str">
        <f>IF(IFERROR(VLOOKUP(B393,'בקשות שאושרו'!$B$2:$I$466,1,0),"")="","",1)</f>
        <v/>
      </c>
      <c r="Q393" s="245" t="str">
        <f>IFERROR(VLOOKUP(B393,'בקשות שאושרו'!$B$2:$K$466,COLUMN('בקשות שאושרו'!$J$1)-COLUMN('בקשות שאושרו'!$B$1)+1,0),"")</f>
        <v/>
      </c>
    </row>
    <row r="394" spans="1:17" s="174" customFormat="1" x14ac:dyDescent="0.25">
      <c r="A394" s="240" t="str">
        <f>'סיכום לוועדה'!A420</f>
        <v/>
      </c>
      <c r="B394" s="241" t="str">
        <f>'סיכום לוועדה'!E420</f>
        <v/>
      </c>
      <c r="C394" s="241" t="str">
        <f>'סיכום לוועדה'!F420</f>
        <v/>
      </c>
      <c r="D394" s="241" t="str">
        <f>'סיכום לוועדה'!G420</f>
        <v/>
      </c>
      <c r="E394" s="242" t="str">
        <f>'סיכום לוועדה'!H420</f>
        <v/>
      </c>
      <c r="F394" s="242"/>
      <c r="G394" s="242"/>
      <c r="H394" s="75"/>
      <c r="I394" s="243"/>
      <c r="J394" s="75"/>
      <c r="K394" s="77"/>
      <c r="L394" s="75"/>
      <c r="M394" s="78"/>
      <c r="N394" s="244"/>
      <c r="O394" s="79"/>
      <c r="P394" s="76" t="str">
        <f>IF(IFERROR(VLOOKUP(B394,'בקשות שאושרו'!$B$2:$I$466,1,0),"")="","",1)</f>
        <v/>
      </c>
      <c r="Q394" s="245" t="str">
        <f>IFERROR(VLOOKUP(B394,'בקשות שאושרו'!$B$2:$K$466,COLUMN('בקשות שאושרו'!$J$1)-COLUMN('בקשות שאושרו'!$B$1)+1,0),"")</f>
        <v/>
      </c>
    </row>
    <row r="395" spans="1:17" s="174" customFormat="1" x14ac:dyDescent="0.25">
      <c r="A395" s="240" t="str">
        <f>'סיכום לוועדה'!A421</f>
        <v/>
      </c>
      <c r="B395" s="241" t="str">
        <f>'סיכום לוועדה'!E421</f>
        <v/>
      </c>
      <c r="C395" s="241" t="str">
        <f>'סיכום לוועדה'!F421</f>
        <v/>
      </c>
      <c r="D395" s="241" t="str">
        <f>'סיכום לוועדה'!G421</f>
        <v/>
      </c>
      <c r="E395" s="242" t="str">
        <f>'סיכום לוועדה'!H421</f>
        <v/>
      </c>
      <c r="F395" s="242"/>
      <c r="G395" s="242"/>
      <c r="H395" s="75"/>
      <c r="I395" s="243"/>
      <c r="J395" s="75"/>
      <c r="K395" s="77"/>
      <c r="L395" s="75"/>
      <c r="M395" s="78"/>
      <c r="N395" s="244"/>
      <c r="O395" s="79"/>
      <c r="P395" s="76" t="str">
        <f>IF(IFERROR(VLOOKUP(B395,'בקשות שאושרו'!$B$2:$I$466,1,0),"")="","",1)</f>
        <v/>
      </c>
      <c r="Q395" s="245" t="str">
        <f>IFERROR(VLOOKUP(B395,'בקשות שאושרו'!$B$2:$K$466,COLUMN('בקשות שאושרו'!$J$1)-COLUMN('בקשות שאושרו'!$B$1)+1,0),"")</f>
        <v/>
      </c>
    </row>
    <row r="396" spans="1:17" s="174" customFormat="1" x14ac:dyDescent="0.25">
      <c r="A396" s="240" t="str">
        <f>'סיכום לוועדה'!A422</f>
        <v/>
      </c>
      <c r="B396" s="241" t="str">
        <f>'סיכום לוועדה'!E422</f>
        <v/>
      </c>
      <c r="C396" s="241" t="str">
        <f>'סיכום לוועדה'!F422</f>
        <v/>
      </c>
      <c r="D396" s="241" t="str">
        <f>'סיכום לוועדה'!G422</f>
        <v/>
      </c>
      <c r="E396" s="242" t="str">
        <f>'סיכום לוועדה'!H422</f>
        <v/>
      </c>
      <c r="F396" s="242"/>
      <c r="G396" s="242"/>
      <c r="H396" s="75"/>
      <c r="I396" s="243"/>
      <c r="J396" s="75"/>
      <c r="K396" s="77"/>
      <c r="L396" s="75"/>
      <c r="M396" s="78"/>
      <c r="N396" s="244"/>
      <c r="O396" s="79"/>
      <c r="P396" s="76" t="str">
        <f>IF(IFERROR(VLOOKUP(B396,'בקשות שאושרו'!$B$2:$I$466,1,0),"")="","",1)</f>
        <v/>
      </c>
      <c r="Q396" s="245" t="str">
        <f>IFERROR(VLOOKUP(B396,'בקשות שאושרו'!$B$2:$K$466,COLUMN('בקשות שאושרו'!$J$1)-COLUMN('בקשות שאושרו'!$B$1)+1,0),"")</f>
        <v/>
      </c>
    </row>
    <row r="397" spans="1:17" s="174" customFormat="1" x14ac:dyDescent="0.25">
      <c r="A397" s="240" t="str">
        <f>'סיכום לוועדה'!A423</f>
        <v/>
      </c>
      <c r="B397" s="241" t="str">
        <f>'סיכום לוועדה'!E423</f>
        <v/>
      </c>
      <c r="C397" s="241" t="str">
        <f>'סיכום לוועדה'!F423</f>
        <v/>
      </c>
      <c r="D397" s="241" t="str">
        <f>'סיכום לוועדה'!G423</f>
        <v/>
      </c>
      <c r="E397" s="242" t="str">
        <f>'סיכום לוועדה'!H423</f>
        <v/>
      </c>
      <c r="F397" s="242"/>
      <c r="G397" s="242"/>
      <c r="H397" s="75"/>
      <c r="I397" s="243"/>
      <c r="J397" s="75"/>
      <c r="K397" s="77"/>
      <c r="L397" s="75"/>
      <c r="M397" s="78"/>
      <c r="N397" s="244"/>
      <c r="O397" s="79"/>
      <c r="P397" s="76" t="str">
        <f>IF(IFERROR(VLOOKUP(B397,'בקשות שאושרו'!$B$2:$I$466,1,0),"")="","",1)</f>
        <v/>
      </c>
      <c r="Q397" s="245" t="str">
        <f>IFERROR(VLOOKUP(B397,'בקשות שאושרו'!$B$2:$K$466,COLUMN('בקשות שאושרו'!$J$1)-COLUMN('בקשות שאושרו'!$B$1)+1,0),"")</f>
        <v/>
      </c>
    </row>
    <row r="398" spans="1:17" s="174" customFormat="1" x14ac:dyDescent="0.25">
      <c r="A398" s="240" t="str">
        <f>'סיכום לוועדה'!A424</f>
        <v/>
      </c>
      <c r="B398" s="241" t="str">
        <f>'סיכום לוועדה'!E424</f>
        <v/>
      </c>
      <c r="C398" s="241" t="str">
        <f>'סיכום לוועדה'!F424</f>
        <v/>
      </c>
      <c r="D398" s="241" t="str">
        <f>'סיכום לוועדה'!G424</f>
        <v/>
      </c>
      <c r="E398" s="242" t="str">
        <f>'סיכום לוועדה'!H424</f>
        <v/>
      </c>
      <c r="F398" s="242"/>
      <c r="G398" s="242"/>
      <c r="H398" s="75"/>
      <c r="I398" s="243"/>
      <c r="J398" s="75"/>
      <c r="K398" s="77"/>
      <c r="L398" s="75"/>
      <c r="M398" s="78"/>
      <c r="N398" s="244"/>
      <c r="O398" s="79"/>
      <c r="P398" s="76" t="str">
        <f>IF(IFERROR(VLOOKUP(B398,'בקשות שאושרו'!$B$2:$I$466,1,0),"")="","",1)</f>
        <v/>
      </c>
      <c r="Q398" s="245" t="str">
        <f>IFERROR(VLOOKUP(B398,'בקשות שאושרו'!$B$2:$K$466,COLUMN('בקשות שאושרו'!$J$1)-COLUMN('בקשות שאושרו'!$B$1)+1,0),"")</f>
        <v/>
      </c>
    </row>
    <row r="399" spans="1:17" s="174" customFormat="1" x14ac:dyDescent="0.25">
      <c r="A399" s="240" t="str">
        <f>'סיכום לוועדה'!A425</f>
        <v/>
      </c>
      <c r="B399" s="241" t="str">
        <f>'סיכום לוועדה'!E425</f>
        <v/>
      </c>
      <c r="C399" s="241" t="str">
        <f>'סיכום לוועדה'!F425</f>
        <v/>
      </c>
      <c r="D399" s="241" t="str">
        <f>'סיכום לוועדה'!G425</f>
        <v/>
      </c>
      <c r="E399" s="242" t="str">
        <f>'סיכום לוועדה'!H425</f>
        <v/>
      </c>
      <c r="F399" s="242"/>
      <c r="G399" s="242"/>
      <c r="H399" s="75"/>
      <c r="I399" s="243"/>
      <c r="J399" s="75"/>
      <c r="K399" s="77"/>
      <c r="L399" s="75"/>
      <c r="M399" s="78"/>
      <c r="N399" s="244"/>
      <c r="O399" s="79"/>
      <c r="P399" s="76" t="str">
        <f>IF(IFERROR(VLOOKUP(B399,'בקשות שאושרו'!$B$2:$I$466,1,0),"")="","",1)</f>
        <v/>
      </c>
      <c r="Q399" s="245" t="str">
        <f>IFERROR(VLOOKUP(B399,'בקשות שאושרו'!$B$2:$K$466,COLUMN('בקשות שאושרו'!$J$1)-COLUMN('בקשות שאושרו'!$B$1)+1,0),"")</f>
        <v/>
      </c>
    </row>
    <row r="400" spans="1:17" s="174" customFormat="1" x14ac:dyDescent="0.25">
      <c r="A400" s="240" t="str">
        <f>'סיכום לוועדה'!A426</f>
        <v/>
      </c>
      <c r="B400" s="241" t="str">
        <f>'סיכום לוועדה'!E426</f>
        <v/>
      </c>
      <c r="C400" s="241" t="str">
        <f>'סיכום לוועדה'!F426</f>
        <v/>
      </c>
      <c r="D400" s="241" t="str">
        <f>'סיכום לוועדה'!G426</f>
        <v/>
      </c>
      <c r="E400" s="242" t="str">
        <f>'סיכום לוועדה'!H426</f>
        <v/>
      </c>
      <c r="F400" s="242"/>
      <c r="G400" s="242"/>
      <c r="H400" s="75"/>
      <c r="I400" s="243"/>
      <c r="J400" s="75"/>
      <c r="K400" s="77"/>
      <c r="L400" s="75"/>
      <c r="M400" s="78"/>
      <c r="N400" s="244"/>
      <c r="O400" s="79"/>
      <c r="P400" s="76" t="str">
        <f>IF(IFERROR(VLOOKUP(B400,'בקשות שאושרו'!$B$2:$I$466,1,0),"")="","",1)</f>
        <v/>
      </c>
      <c r="Q400" s="245" t="str">
        <f>IFERROR(VLOOKUP(B400,'בקשות שאושרו'!$B$2:$K$466,COLUMN('בקשות שאושרו'!$J$1)-COLUMN('בקשות שאושרו'!$B$1)+1,0),"")</f>
        <v/>
      </c>
    </row>
    <row r="401" spans="1:17" s="174" customFormat="1" x14ac:dyDescent="0.25">
      <c r="A401" s="240" t="str">
        <f>'סיכום לוועדה'!A427</f>
        <v/>
      </c>
      <c r="B401" s="241" t="str">
        <f>'סיכום לוועדה'!E427</f>
        <v/>
      </c>
      <c r="C401" s="241" t="str">
        <f>'סיכום לוועדה'!F427</f>
        <v/>
      </c>
      <c r="D401" s="241" t="str">
        <f>'סיכום לוועדה'!G427</f>
        <v/>
      </c>
      <c r="E401" s="242" t="str">
        <f>'סיכום לוועדה'!H427</f>
        <v/>
      </c>
      <c r="F401" s="242"/>
      <c r="G401" s="242"/>
      <c r="H401" s="75"/>
      <c r="I401" s="243"/>
      <c r="J401" s="75"/>
      <c r="K401" s="77"/>
      <c r="L401" s="75"/>
      <c r="M401" s="78"/>
      <c r="N401" s="244"/>
      <c r="O401" s="79"/>
      <c r="P401" s="76" t="str">
        <f>IF(IFERROR(VLOOKUP(B401,'בקשות שאושרו'!$B$2:$I$466,1,0),"")="","",1)</f>
        <v/>
      </c>
      <c r="Q401" s="245" t="str">
        <f>IFERROR(VLOOKUP(B401,'בקשות שאושרו'!$B$2:$K$466,COLUMN('בקשות שאושרו'!$J$1)-COLUMN('בקשות שאושרו'!$B$1)+1,0),"")</f>
        <v/>
      </c>
    </row>
    <row r="402" spans="1:17" s="174" customFormat="1" x14ac:dyDescent="0.25">
      <c r="A402" s="240" t="str">
        <f>'סיכום לוועדה'!A428</f>
        <v/>
      </c>
      <c r="B402" s="241" t="str">
        <f>'סיכום לוועדה'!E428</f>
        <v/>
      </c>
      <c r="C402" s="241" t="str">
        <f>'סיכום לוועדה'!F428</f>
        <v/>
      </c>
      <c r="D402" s="241" t="str">
        <f>'סיכום לוועדה'!G428</f>
        <v/>
      </c>
      <c r="E402" s="242" t="str">
        <f>'סיכום לוועדה'!H428</f>
        <v/>
      </c>
      <c r="F402" s="242"/>
      <c r="G402" s="242"/>
      <c r="H402" s="75"/>
      <c r="I402" s="243"/>
      <c r="J402" s="75"/>
      <c r="K402" s="77"/>
      <c r="L402" s="75"/>
      <c r="M402" s="78"/>
      <c r="N402" s="244"/>
      <c r="O402" s="79"/>
      <c r="P402" s="76" t="str">
        <f>IF(IFERROR(VLOOKUP(B402,'בקשות שאושרו'!$B$2:$I$466,1,0),"")="","",1)</f>
        <v/>
      </c>
      <c r="Q402" s="245" t="str">
        <f>IFERROR(VLOOKUP(B402,'בקשות שאושרו'!$B$2:$K$466,COLUMN('בקשות שאושרו'!$J$1)-COLUMN('בקשות שאושרו'!$B$1)+1,0),"")</f>
        <v/>
      </c>
    </row>
    <row r="403" spans="1:17" s="174" customFormat="1" x14ac:dyDescent="0.25">
      <c r="A403" s="240" t="str">
        <f>'סיכום לוועדה'!A429</f>
        <v/>
      </c>
      <c r="B403" s="241" t="str">
        <f>'סיכום לוועדה'!E429</f>
        <v/>
      </c>
      <c r="C403" s="241" t="str">
        <f>'סיכום לוועדה'!F429</f>
        <v/>
      </c>
      <c r="D403" s="241" t="str">
        <f>'סיכום לוועדה'!G429</f>
        <v/>
      </c>
      <c r="E403" s="242" t="str">
        <f>'סיכום לוועדה'!H429</f>
        <v/>
      </c>
      <c r="F403" s="242"/>
      <c r="G403" s="242"/>
      <c r="H403" s="75"/>
      <c r="I403" s="243"/>
      <c r="J403" s="75"/>
      <c r="K403" s="77"/>
      <c r="L403" s="75"/>
      <c r="M403" s="78"/>
      <c r="N403" s="244"/>
      <c r="O403" s="79"/>
      <c r="P403" s="76" t="str">
        <f>IF(IFERROR(VLOOKUP(B403,'בקשות שאושרו'!$B$2:$I$466,1,0),"")="","",1)</f>
        <v/>
      </c>
      <c r="Q403" s="245" t="str">
        <f>IFERROR(VLOOKUP(B403,'בקשות שאושרו'!$B$2:$K$466,COLUMN('בקשות שאושרו'!$J$1)-COLUMN('בקשות שאושרו'!$B$1)+1,0),"")</f>
        <v/>
      </c>
    </row>
    <row r="404" spans="1:17" s="174" customFormat="1" x14ac:dyDescent="0.25">
      <c r="A404" s="240" t="str">
        <f>'סיכום לוועדה'!A430</f>
        <v/>
      </c>
      <c r="B404" s="241" t="str">
        <f>'סיכום לוועדה'!E430</f>
        <v/>
      </c>
      <c r="C404" s="241" t="str">
        <f>'סיכום לוועדה'!F430</f>
        <v/>
      </c>
      <c r="D404" s="241" t="str">
        <f>'סיכום לוועדה'!G430</f>
        <v/>
      </c>
      <c r="E404" s="242" t="str">
        <f>'סיכום לוועדה'!H430</f>
        <v/>
      </c>
      <c r="F404" s="242"/>
      <c r="G404" s="242"/>
      <c r="H404" s="75"/>
      <c r="I404" s="243"/>
      <c r="J404" s="75"/>
      <c r="K404" s="77"/>
      <c r="L404" s="75"/>
      <c r="M404" s="78"/>
      <c r="N404" s="244"/>
      <c r="O404" s="79"/>
      <c r="P404" s="76" t="str">
        <f>IF(IFERROR(VLOOKUP(B404,'בקשות שאושרו'!$B$2:$I$466,1,0),"")="","",1)</f>
        <v/>
      </c>
      <c r="Q404" s="245" t="str">
        <f>IFERROR(VLOOKUP(B404,'בקשות שאושרו'!$B$2:$K$466,COLUMN('בקשות שאושרו'!$J$1)-COLUMN('בקשות שאושרו'!$B$1)+1,0),"")</f>
        <v/>
      </c>
    </row>
    <row r="405" spans="1:17" s="174" customFormat="1" x14ac:dyDescent="0.25">
      <c r="A405" s="240" t="str">
        <f>'סיכום לוועדה'!A431</f>
        <v/>
      </c>
      <c r="B405" s="241" t="str">
        <f>'סיכום לוועדה'!E431</f>
        <v/>
      </c>
      <c r="C405" s="241" t="str">
        <f>'סיכום לוועדה'!F431</f>
        <v/>
      </c>
      <c r="D405" s="241" t="str">
        <f>'סיכום לוועדה'!G431</f>
        <v/>
      </c>
      <c r="E405" s="242" t="str">
        <f>'סיכום לוועדה'!H431</f>
        <v/>
      </c>
      <c r="F405" s="242"/>
      <c r="G405" s="242"/>
      <c r="H405" s="75"/>
      <c r="I405" s="243"/>
      <c r="J405" s="75"/>
      <c r="K405" s="77"/>
      <c r="L405" s="75"/>
      <c r="M405" s="78"/>
      <c r="N405" s="244"/>
      <c r="O405" s="79"/>
      <c r="P405" s="76" t="str">
        <f>IF(IFERROR(VLOOKUP(B405,'בקשות שאושרו'!$B$2:$I$466,1,0),"")="","",1)</f>
        <v/>
      </c>
      <c r="Q405" s="245" t="str">
        <f>IFERROR(VLOOKUP(B405,'בקשות שאושרו'!$B$2:$K$466,COLUMN('בקשות שאושרו'!$J$1)-COLUMN('בקשות שאושרו'!$B$1)+1,0),"")</f>
        <v/>
      </c>
    </row>
    <row r="406" spans="1:17" s="174" customFormat="1" x14ac:dyDescent="0.25">
      <c r="A406" s="240" t="str">
        <f>'סיכום לוועדה'!A432</f>
        <v/>
      </c>
      <c r="B406" s="241" t="str">
        <f>'סיכום לוועדה'!E432</f>
        <v/>
      </c>
      <c r="C406" s="241" t="str">
        <f>'סיכום לוועדה'!F432</f>
        <v/>
      </c>
      <c r="D406" s="241" t="str">
        <f>'סיכום לוועדה'!G432</f>
        <v/>
      </c>
      <c r="E406" s="242" t="str">
        <f>'סיכום לוועדה'!H432</f>
        <v/>
      </c>
      <c r="F406" s="242"/>
      <c r="G406" s="242"/>
      <c r="H406" s="75"/>
      <c r="I406" s="243"/>
      <c r="J406" s="75"/>
      <c r="K406" s="77"/>
      <c r="L406" s="75"/>
      <c r="M406" s="78"/>
      <c r="N406" s="244"/>
      <c r="O406" s="79"/>
      <c r="P406" s="76" t="str">
        <f>IF(IFERROR(VLOOKUP(B406,'בקשות שאושרו'!$B$2:$I$466,1,0),"")="","",1)</f>
        <v/>
      </c>
      <c r="Q406" s="245" t="str">
        <f>IFERROR(VLOOKUP(B406,'בקשות שאושרו'!$B$2:$K$466,COLUMN('בקשות שאושרו'!$J$1)-COLUMN('בקשות שאושרו'!$B$1)+1,0),"")</f>
        <v/>
      </c>
    </row>
    <row r="407" spans="1:17" s="174" customFormat="1" x14ac:dyDescent="0.25">
      <c r="A407" s="240" t="str">
        <f>'סיכום לוועדה'!A433</f>
        <v/>
      </c>
      <c r="B407" s="241" t="str">
        <f>'סיכום לוועדה'!E433</f>
        <v/>
      </c>
      <c r="C407" s="241" t="str">
        <f>'סיכום לוועדה'!F433</f>
        <v/>
      </c>
      <c r="D407" s="241" t="str">
        <f>'סיכום לוועדה'!G433</f>
        <v/>
      </c>
      <c r="E407" s="242" t="str">
        <f>'סיכום לוועדה'!H433</f>
        <v/>
      </c>
      <c r="F407" s="242"/>
      <c r="G407" s="242"/>
      <c r="H407" s="75"/>
      <c r="I407" s="243"/>
      <c r="J407" s="75"/>
      <c r="K407" s="77"/>
      <c r="L407" s="75"/>
      <c r="M407" s="78"/>
      <c r="N407" s="244"/>
      <c r="O407" s="79"/>
      <c r="P407" s="76" t="str">
        <f>IF(IFERROR(VLOOKUP(B407,'בקשות שאושרו'!$B$2:$I$466,1,0),"")="","",1)</f>
        <v/>
      </c>
      <c r="Q407" s="245" t="str">
        <f>IFERROR(VLOOKUP(B407,'בקשות שאושרו'!$B$2:$K$466,COLUMN('בקשות שאושרו'!$J$1)-COLUMN('בקשות שאושרו'!$B$1)+1,0),"")</f>
        <v/>
      </c>
    </row>
    <row r="408" spans="1:17" s="174" customFormat="1" x14ac:dyDescent="0.25">
      <c r="A408" s="240" t="str">
        <f>'סיכום לוועדה'!A434</f>
        <v/>
      </c>
      <c r="B408" s="241" t="str">
        <f>'סיכום לוועדה'!E434</f>
        <v/>
      </c>
      <c r="C408" s="241" t="str">
        <f>'סיכום לוועדה'!F434</f>
        <v/>
      </c>
      <c r="D408" s="241" t="str">
        <f>'סיכום לוועדה'!G434</f>
        <v/>
      </c>
      <c r="E408" s="242" t="str">
        <f>'סיכום לוועדה'!H434</f>
        <v/>
      </c>
      <c r="F408" s="242"/>
      <c r="G408" s="242"/>
      <c r="H408" s="75"/>
      <c r="I408" s="243"/>
      <c r="J408" s="75"/>
      <c r="K408" s="77"/>
      <c r="L408" s="75"/>
      <c r="M408" s="78"/>
      <c r="N408" s="244"/>
      <c r="O408" s="79"/>
      <c r="P408" s="76" t="str">
        <f>IF(IFERROR(VLOOKUP(B408,'בקשות שאושרו'!$B$2:$I$466,1,0),"")="","",1)</f>
        <v/>
      </c>
      <c r="Q408" s="245" t="str">
        <f>IFERROR(VLOOKUP(B408,'בקשות שאושרו'!$B$2:$K$466,COLUMN('בקשות שאושרו'!$J$1)-COLUMN('בקשות שאושרו'!$B$1)+1,0),"")</f>
        <v/>
      </c>
    </row>
    <row r="409" spans="1:17" s="174" customFormat="1" x14ac:dyDescent="0.25">
      <c r="A409" s="240" t="str">
        <f>'סיכום לוועדה'!A435</f>
        <v/>
      </c>
      <c r="B409" s="241" t="str">
        <f>'סיכום לוועדה'!E435</f>
        <v/>
      </c>
      <c r="C409" s="241" t="str">
        <f>'סיכום לוועדה'!F435</f>
        <v/>
      </c>
      <c r="D409" s="241" t="str">
        <f>'סיכום לוועדה'!G435</f>
        <v/>
      </c>
      <c r="E409" s="242" t="str">
        <f>'סיכום לוועדה'!H435</f>
        <v/>
      </c>
      <c r="F409" s="242"/>
      <c r="G409" s="242"/>
      <c r="H409" s="75"/>
      <c r="I409" s="243"/>
      <c r="J409" s="75"/>
      <c r="K409" s="77"/>
      <c r="L409" s="75"/>
      <c r="M409" s="78"/>
      <c r="N409" s="244"/>
      <c r="O409" s="79"/>
      <c r="P409" s="76" t="str">
        <f>IF(IFERROR(VLOOKUP(B409,'בקשות שאושרו'!$B$2:$I$466,1,0),"")="","",1)</f>
        <v/>
      </c>
      <c r="Q409" s="245" t="str">
        <f>IFERROR(VLOOKUP(B409,'בקשות שאושרו'!$B$2:$K$466,COLUMN('בקשות שאושרו'!$J$1)-COLUMN('בקשות שאושרו'!$B$1)+1,0),"")</f>
        <v/>
      </c>
    </row>
    <row r="410" spans="1:17" s="174" customFormat="1" x14ac:dyDescent="0.25">
      <c r="A410" s="240" t="str">
        <f>'סיכום לוועדה'!A436</f>
        <v/>
      </c>
      <c r="B410" s="241" t="str">
        <f>'סיכום לוועדה'!E436</f>
        <v/>
      </c>
      <c r="C410" s="241" t="str">
        <f>'סיכום לוועדה'!F436</f>
        <v/>
      </c>
      <c r="D410" s="241" t="str">
        <f>'סיכום לוועדה'!G436</f>
        <v/>
      </c>
      <c r="E410" s="242" t="str">
        <f>'סיכום לוועדה'!H436</f>
        <v/>
      </c>
      <c r="F410" s="242"/>
      <c r="G410" s="242"/>
      <c r="H410" s="75"/>
      <c r="I410" s="243"/>
      <c r="J410" s="75"/>
      <c r="K410" s="77"/>
      <c r="L410" s="75"/>
      <c r="M410" s="78"/>
      <c r="N410" s="244"/>
      <c r="O410" s="79"/>
      <c r="P410" s="76" t="str">
        <f>IF(IFERROR(VLOOKUP(B410,'בקשות שאושרו'!$B$2:$I$466,1,0),"")="","",1)</f>
        <v/>
      </c>
      <c r="Q410" s="245" t="str">
        <f>IFERROR(VLOOKUP(B410,'בקשות שאושרו'!$B$2:$K$466,COLUMN('בקשות שאושרו'!$J$1)-COLUMN('בקשות שאושרו'!$B$1)+1,0),"")</f>
        <v/>
      </c>
    </row>
    <row r="411" spans="1:17" s="174" customFormat="1" x14ac:dyDescent="0.25">
      <c r="A411" s="240" t="str">
        <f>'סיכום לוועדה'!A437</f>
        <v/>
      </c>
      <c r="B411" s="241" t="str">
        <f>'סיכום לוועדה'!E437</f>
        <v/>
      </c>
      <c r="C411" s="241" t="str">
        <f>'סיכום לוועדה'!F437</f>
        <v/>
      </c>
      <c r="D411" s="241" t="str">
        <f>'סיכום לוועדה'!G437</f>
        <v/>
      </c>
      <c r="E411" s="242" t="str">
        <f>'סיכום לוועדה'!H437</f>
        <v/>
      </c>
      <c r="F411" s="242"/>
      <c r="G411" s="242"/>
      <c r="H411" s="75"/>
      <c r="I411" s="243"/>
      <c r="J411" s="75"/>
      <c r="K411" s="77"/>
      <c r="L411" s="75"/>
      <c r="M411" s="78"/>
      <c r="N411" s="244"/>
      <c r="O411" s="79"/>
      <c r="P411" s="76" t="str">
        <f>IF(IFERROR(VLOOKUP(B411,'בקשות שאושרו'!$B$2:$I$466,1,0),"")="","",1)</f>
        <v/>
      </c>
      <c r="Q411" s="245" t="str">
        <f>IFERROR(VLOOKUP(B411,'בקשות שאושרו'!$B$2:$K$466,COLUMN('בקשות שאושרו'!$J$1)-COLUMN('בקשות שאושרו'!$B$1)+1,0),"")</f>
        <v/>
      </c>
    </row>
    <row r="412" spans="1:17" s="174" customFormat="1" x14ac:dyDescent="0.25">
      <c r="A412" s="240" t="str">
        <f>'סיכום לוועדה'!A438</f>
        <v/>
      </c>
      <c r="B412" s="241" t="str">
        <f>'סיכום לוועדה'!E438</f>
        <v/>
      </c>
      <c r="C412" s="241" t="str">
        <f>'סיכום לוועדה'!F438</f>
        <v/>
      </c>
      <c r="D412" s="241" t="str">
        <f>'סיכום לוועדה'!G438</f>
        <v/>
      </c>
      <c r="E412" s="242" t="str">
        <f>'סיכום לוועדה'!H438</f>
        <v/>
      </c>
      <c r="F412" s="242"/>
      <c r="G412" s="242"/>
      <c r="H412" s="75"/>
      <c r="I412" s="243"/>
      <c r="J412" s="75"/>
      <c r="K412" s="77"/>
      <c r="L412" s="75"/>
      <c r="M412" s="78"/>
      <c r="N412" s="244"/>
      <c r="O412" s="79"/>
      <c r="P412" s="76" t="str">
        <f>IF(IFERROR(VLOOKUP(B412,'בקשות שאושרו'!$B$2:$I$466,1,0),"")="","",1)</f>
        <v/>
      </c>
      <c r="Q412" s="245" t="str">
        <f>IFERROR(VLOOKUP(B412,'בקשות שאושרו'!$B$2:$K$466,COLUMN('בקשות שאושרו'!$J$1)-COLUMN('בקשות שאושרו'!$B$1)+1,0),"")</f>
        <v/>
      </c>
    </row>
    <row r="413" spans="1:17" s="174" customFormat="1" x14ac:dyDescent="0.25">
      <c r="A413" s="240" t="str">
        <f>'סיכום לוועדה'!A439</f>
        <v/>
      </c>
      <c r="B413" s="241" t="str">
        <f>'סיכום לוועדה'!E439</f>
        <v/>
      </c>
      <c r="C413" s="241" t="str">
        <f>'סיכום לוועדה'!F439</f>
        <v/>
      </c>
      <c r="D413" s="241" t="str">
        <f>'סיכום לוועדה'!G439</f>
        <v/>
      </c>
      <c r="E413" s="242" t="str">
        <f>'סיכום לוועדה'!H439</f>
        <v/>
      </c>
      <c r="F413" s="242"/>
      <c r="G413" s="242"/>
      <c r="H413" s="75"/>
      <c r="I413" s="243"/>
      <c r="J413" s="75"/>
      <c r="K413" s="77"/>
      <c r="L413" s="75"/>
      <c r="M413" s="78"/>
      <c r="N413" s="244"/>
      <c r="O413" s="79"/>
      <c r="P413" s="76" t="str">
        <f>IF(IFERROR(VLOOKUP(B413,'בקשות שאושרו'!$B$2:$I$466,1,0),"")="","",1)</f>
        <v/>
      </c>
      <c r="Q413" s="245" t="str">
        <f>IFERROR(VLOOKUP(B413,'בקשות שאושרו'!$B$2:$K$466,COLUMN('בקשות שאושרו'!$J$1)-COLUMN('בקשות שאושרו'!$B$1)+1,0),"")</f>
        <v/>
      </c>
    </row>
    <row r="414" spans="1:17" s="174" customFormat="1" x14ac:dyDescent="0.25">
      <c r="A414" s="240" t="str">
        <f>'סיכום לוועדה'!A440</f>
        <v/>
      </c>
      <c r="B414" s="241" t="str">
        <f>'סיכום לוועדה'!E440</f>
        <v/>
      </c>
      <c r="C414" s="241" t="str">
        <f>'סיכום לוועדה'!F440</f>
        <v/>
      </c>
      <c r="D414" s="241" t="str">
        <f>'סיכום לוועדה'!G440</f>
        <v/>
      </c>
      <c r="E414" s="242" t="str">
        <f>'סיכום לוועדה'!H440</f>
        <v/>
      </c>
      <c r="F414" s="242"/>
      <c r="G414" s="242"/>
      <c r="H414" s="75"/>
      <c r="I414" s="243"/>
      <c r="J414" s="75"/>
      <c r="K414" s="77"/>
      <c r="L414" s="75"/>
      <c r="M414" s="78"/>
      <c r="N414" s="244"/>
      <c r="O414" s="79"/>
      <c r="P414" s="76" t="str">
        <f>IF(IFERROR(VLOOKUP(B414,'בקשות שאושרו'!$B$2:$I$466,1,0),"")="","",1)</f>
        <v/>
      </c>
      <c r="Q414" s="245" t="str">
        <f>IFERROR(VLOOKUP(B414,'בקשות שאושרו'!$B$2:$K$466,COLUMN('בקשות שאושרו'!$J$1)-COLUMN('בקשות שאושרו'!$B$1)+1,0),"")</f>
        <v/>
      </c>
    </row>
    <row r="415" spans="1:17" s="174" customFormat="1" x14ac:dyDescent="0.25">
      <c r="A415" s="240" t="str">
        <f>'סיכום לוועדה'!A441</f>
        <v/>
      </c>
      <c r="B415" s="241" t="str">
        <f>'סיכום לוועדה'!E441</f>
        <v/>
      </c>
      <c r="C415" s="241" t="str">
        <f>'סיכום לוועדה'!F441</f>
        <v/>
      </c>
      <c r="D415" s="241" t="str">
        <f>'סיכום לוועדה'!G441</f>
        <v/>
      </c>
      <c r="E415" s="242" t="str">
        <f>'סיכום לוועדה'!H441</f>
        <v/>
      </c>
      <c r="F415" s="242"/>
      <c r="G415" s="242"/>
      <c r="H415" s="75"/>
      <c r="I415" s="243"/>
      <c r="J415" s="75"/>
      <c r="K415" s="77"/>
      <c r="L415" s="75"/>
      <c r="M415" s="78"/>
      <c r="N415" s="244"/>
      <c r="O415" s="79"/>
      <c r="P415" s="76" t="str">
        <f>IF(IFERROR(VLOOKUP(B415,'בקשות שאושרו'!$B$2:$I$466,1,0),"")="","",1)</f>
        <v/>
      </c>
      <c r="Q415" s="245" t="str">
        <f>IFERROR(VLOOKUP(B415,'בקשות שאושרו'!$B$2:$K$466,COLUMN('בקשות שאושרו'!$J$1)-COLUMN('בקשות שאושרו'!$B$1)+1,0),"")</f>
        <v/>
      </c>
    </row>
    <row r="416" spans="1:17" s="174" customFormat="1" x14ac:dyDescent="0.25">
      <c r="A416" s="240" t="str">
        <f>'סיכום לוועדה'!A442</f>
        <v/>
      </c>
      <c r="B416" s="241" t="str">
        <f>'סיכום לוועדה'!E442</f>
        <v/>
      </c>
      <c r="C416" s="241" t="str">
        <f>'סיכום לוועדה'!F442</f>
        <v/>
      </c>
      <c r="D416" s="241" t="str">
        <f>'סיכום לוועדה'!G442</f>
        <v/>
      </c>
      <c r="E416" s="242" t="str">
        <f>'סיכום לוועדה'!H442</f>
        <v/>
      </c>
      <c r="F416" s="242"/>
      <c r="G416" s="242"/>
      <c r="H416" s="75"/>
      <c r="I416" s="243"/>
      <c r="J416" s="75"/>
      <c r="K416" s="77"/>
      <c r="L416" s="75"/>
      <c r="M416" s="78"/>
      <c r="N416" s="244"/>
      <c r="O416" s="79"/>
      <c r="P416" s="76" t="str">
        <f>IF(IFERROR(VLOOKUP(B416,'בקשות שאושרו'!$B$2:$I$466,1,0),"")="","",1)</f>
        <v/>
      </c>
      <c r="Q416" s="245" t="str">
        <f>IFERROR(VLOOKUP(B416,'בקשות שאושרו'!$B$2:$K$466,COLUMN('בקשות שאושרו'!$J$1)-COLUMN('בקשות שאושרו'!$B$1)+1,0),"")</f>
        <v/>
      </c>
    </row>
    <row r="417" spans="1:17" s="174" customFormat="1" x14ac:dyDescent="0.25">
      <c r="A417" s="240" t="str">
        <f>'סיכום לוועדה'!A443</f>
        <v/>
      </c>
      <c r="B417" s="241" t="str">
        <f>'סיכום לוועדה'!E443</f>
        <v/>
      </c>
      <c r="C417" s="241" t="str">
        <f>'סיכום לוועדה'!F443</f>
        <v/>
      </c>
      <c r="D417" s="241" t="str">
        <f>'סיכום לוועדה'!G443</f>
        <v/>
      </c>
      <c r="E417" s="242" t="str">
        <f>'סיכום לוועדה'!H443</f>
        <v/>
      </c>
      <c r="F417" s="242"/>
      <c r="G417" s="242"/>
      <c r="H417" s="75"/>
      <c r="I417" s="243"/>
      <c r="J417" s="75"/>
      <c r="K417" s="77"/>
      <c r="L417" s="75"/>
      <c r="M417" s="78"/>
      <c r="N417" s="244"/>
      <c r="O417" s="79"/>
      <c r="P417" s="76" t="str">
        <f>IF(IFERROR(VLOOKUP(B417,'בקשות שאושרו'!$B$2:$I$466,1,0),"")="","",1)</f>
        <v/>
      </c>
      <c r="Q417" s="245" t="str">
        <f>IFERROR(VLOOKUP(B417,'בקשות שאושרו'!$B$2:$K$466,COLUMN('בקשות שאושרו'!$J$1)-COLUMN('בקשות שאושרו'!$B$1)+1,0),"")</f>
        <v/>
      </c>
    </row>
    <row r="418" spans="1:17" s="174" customFormat="1" x14ac:dyDescent="0.25">
      <c r="A418" s="240" t="str">
        <f>'סיכום לוועדה'!A444</f>
        <v/>
      </c>
      <c r="B418" s="241" t="str">
        <f>'סיכום לוועדה'!E444</f>
        <v/>
      </c>
      <c r="C418" s="241" t="str">
        <f>'סיכום לוועדה'!F444</f>
        <v/>
      </c>
      <c r="D418" s="241" t="str">
        <f>'סיכום לוועדה'!G444</f>
        <v/>
      </c>
      <c r="E418" s="242" t="str">
        <f>'סיכום לוועדה'!H444</f>
        <v/>
      </c>
      <c r="F418" s="242"/>
      <c r="G418" s="242"/>
      <c r="H418" s="75"/>
      <c r="I418" s="243"/>
      <c r="J418" s="75"/>
      <c r="K418" s="77"/>
      <c r="L418" s="75"/>
      <c r="M418" s="78"/>
      <c r="N418" s="244"/>
      <c r="O418" s="79"/>
      <c r="P418" s="76" t="str">
        <f>IF(IFERROR(VLOOKUP(B418,'בקשות שאושרו'!$B$2:$I$466,1,0),"")="","",1)</f>
        <v/>
      </c>
      <c r="Q418" s="245" t="str">
        <f>IFERROR(VLOOKUP(B418,'בקשות שאושרו'!$B$2:$K$466,COLUMN('בקשות שאושרו'!$J$1)-COLUMN('בקשות שאושרו'!$B$1)+1,0),"")</f>
        <v/>
      </c>
    </row>
    <row r="419" spans="1:17" s="174" customFormat="1" x14ac:dyDescent="0.25">
      <c r="A419" s="240" t="str">
        <f>'סיכום לוועדה'!A445</f>
        <v/>
      </c>
      <c r="B419" s="241" t="str">
        <f>'סיכום לוועדה'!E445</f>
        <v/>
      </c>
      <c r="C419" s="241" t="str">
        <f>'סיכום לוועדה'!F445</f>
        <v/>
      </c>
      <c r="D419" s="241" t="str">
        <f>'סיכום לוועדה'!G445</f>
        <v/>
      </c>
      <c r="E419" s="242" t="str">
        <f>'סיכום לוועדה'!H445</f>
        <v/>
      </c>
      <c r="F419" s="242"/>
      <c r="G419" s="242"/>
      <c r="H419" s="75"/>
      <c r="I419" s="243"/>
      <c r="J419" s="75"/>
      <c r="K419" s="77"/>
      <c r="L419" s="75"/>
      <c r="M419" s="78"/>
      <c r="N419" s="244"/>
      <c r="O419" s="79"/>
      <c r="P419" s="76" t="str">
        <f>IF(IFERROR(VLOOKUP(B419,'בקשות שאושרו'!$B$2:$I$466,1,0),"")="","",1)</f>
        <v/>
      </c>
      <c r="Q419" s="245" t="str">
        <f>IFERROR(VLOOKUP(B419,'בקשות שאושרו'!$B$2:$K$466,COLUMN('בקשות שאושרו'!$J$1)-COLUMN('בקשות שאושרו'!$B$1)+1,0),"")</f>
        <v/>
      </c>
    </row>
    <row r="420" spans="1:17" s="174" customFormat="1" x14ac:dyDescent="0.25">
      <c r="A420" s="240" t="str">
        <f>'סיכום לוועדה'!A446</f>
        <v/>
      </c>
      <c r="B420" s="241" t="str">
        <f>'סיכום לוועדה'!E446</f>
        <v/>
      </c>
      <c r="C420" s="241" t="str">
        <f>'סיכום לוועדה'!F446</f>
        <v/>
      </c>
      <c r="D420" s="241" t="str">
        <f>'סיכום לוועדה'!G446</f>
        <v/>
      </c>
      <c r="E420" s="242" t="str">
        <f>'סיכום לוועדה'!H446</f>
        <v/>
      </c>
      <c r="F420" s="242"/>
      <c r="G420" s="242"/>
      <c r="H420" s="75"/>
      <c r="I420" s="243"/>
      <c r="J420" s="75"/>
      <c r="K420" s="77"/>
      <c r="L420" s="75"/>
      <c r="M420" s="78"/>
      <c r="N420" s="244"/>
      <c r="O420" s="79"/>
      <c r="P420" s="76" t="str">
        <f>IF(IFERROR(VLOOKUP(B420,'בקשות שאושרו'!$B$2:$I$466,1,0),"")="","",1)</f>
        <v/>
      </c>
      <c r="Q420" s="245" t="str">
        <f>IFERROR(VLOOKUP(B420,'בקשות שאושרו'!$B$2:$K$466,COLUMN('בקשות שאושרו'!$J$1)-COLUMN('בקשות שאושרו'!$B$1)+1,0),"")</f>
        <v/>
      </c>
    </row>
    <row r="421" spans="1:17" s="174" customFormat="1" x14ac:dyDescent="0.25">
      <c r="A421" s="240" t="str">
        <f>'סיכום לוועדה'!A447</f>
        <v/>
      </c>
      <c r="B421" s="241" t="str">
        <f>'סיכום לוועדה'!E447</f>
        <v/>
      </c>
      <c r="C421" s="241" t="str">
        <f>'סיכום לוועדה'!F447</f>
        <v/>
      </c>
      <c r="D421" s="241" t="str">
        <f>'סיכום לוועדה'!G447</f>
        <v/>
      </c>
      <c r="E421" s="242" t="str">
        <f>'סיכום לוועדה'!H447</f>
        <v/>
      </c>
      <c r="F421" s="242"/>
      <c r="G421" s="242"/>
      <c r="H421" s="75"/>
      <c r="I421" s="243"/>
      <c r="J421" s="75"/>
      <c r="K421" s="77"/>
      <c r="L421" s="75"/>
      <c r="M421" s="78"/>
      <c r="N421" s="244"/>
      <c r="O421" s="79"/>
      <c r="P421" s="76" t="str">
        <f>IF(IFERROR(VLOOKUP(B421,'בקשות שאושרו'!$B$2:$I$466,1,0),"")="","",1)</f>
        <v/>
      </c>
      <c r="Q421" s="245" t="str">
        <f>IFERROR(VLOOKUP(B421,'בקשות שאושרו'!$B$2:$K$466,COLUMN('בקשות שאושרו'!$J$1)-COLUMN('בקשות שאושרו'!$B$1)+1,0),"")</f>
        <v/>
      </c>
    </row>
    <row r="422" spans="1:17" s="174" customFormat="1" x14ac:dyDescent="0.25">
      <c r="A422" s="240" t="str">
        <f>'סיכום לוועדה'!A448</f>
        <v/>
      </c>
      <c r="B422" s="241" t="str">
        <f>'סיכום לוועדה'!E448</f>
        <v/>
      </c>
      <c r="C422" s="241" t="str">
        <f>'סיכום לוועדה'!F448</f>
        <v/>
      </c>
      <c r="D422" s="241" t="str">
        <f>'סיכום לוועדה'!G448</f>
        <v/>
      </c>
      <c r="E422" s="242" t="str">
        <f>'סיכום לוועדה'!H448</f>
        <v/>
      </c>
      <c r="F422" s="242"/>
      <c r="G422" s="242"/>
      <c r="H422" s="75"/>
      <c r="I422" s="243"/>
      <c r="J422" s="75"/>
      <c r="K422" s="77"/>
      <c r="L422" s="75"/>
      <c r="M422" s="78"/>
      <c r="N422" s="244"/>
      <c r="O422" s="79"/>
      <c r="P422" s="76" t="str">
        <f>IF(IFERROR(VLOOKUP(B422,'בקשות שאושרו'!$B$2:$I$466,1,0),"")="","",1)</f>
        <v/>
      </c>
      <c r="Q422" s="245" t="str">
        <f>IFERROR(VLOOKUP(B422,'בקשות שאושרו'!$B$2:$K$466,COLUMN('בקשות שאושרו'!$J$1)-COLUMN('בקשות שאושרו'!$B$1)+1,0),"")</f>
        <v/>
      </c>
    </row>
    <row r="423" spans="1:17" s="174" customFormat="1" x14ac:dyDescent="0.25">
      <c r="A423" s="240" t="str">
        <f>'סיכום לוועדה'!A449</f>
        <v/>
      </c>
      <c r="B423" s="241" t="str">
        <f>'סיכום לוועדה'!E449</f>
        <v/>
      </c>
      <c r="C423" s="241" t="str">
        <f>'סיכום לוועדה'!F449</f>
        <v/>
      </c>
      <c r="D423" s="241" t="str">
        <f>'סיכום לוועדה'!G449</f>
        <v/>
      </c>
      <c r="E423" s="242" t="str">
        <f>'סיכום לוועדה'!H449</f>
        <v/>
      </c>
      <c r="F423" s="242"/>
      <c r="G423" s="242"/>
      <c r="H423" s="75"/>
      <c r="I423" s="243"/>
      <c r="J423" s="75"/>
      <c r="K423" s="77"/>
      <c r="L423" s="75"/>
      <c r="M423" s="78"/>
      <c r="N423" s="244"/>
      <c r="O423" s="79"/>
      <c r="P423" s="76" t="str">
        <f>IF(IFERROR(VLOOKUP(B423,'בקשות שאושרו'!$B$2:$I$466,1,0),"")="","",1)</f>
        <v/>
      </c>
      <c r="Q423" s="245" t="str">
        <f>IFERROR(VLOOKUP(B423,'בקשות שאושרו'!$B$2:$K$466,COLUMN('בקשות שאושרו'!$J$1)-COLUMN('בקשות שאושרו'!$B$1)+1,0),"")</f>
        <v/>
      </c>
    </row>
    <row r="424" spans="1:17" s="174" customFormat="1" x14ac:dyDescent="0.25">
      <c r="A424" s="240" t="str">
        <f>'סיכום לוועדה'!A450</f>
        <v/>
      </c>
      <c r="B424" s="241" t="str">
        <f>'סיכום לוועדה'!E450</f>
        <v/>
      </c>
      <c r="C424" s="241" t="str">
        <f>'סיכום לוועדה'!F450</f>
        <v/>
      </c>
      <c r="D424" s="241" t="str">
        <f>'סיכום לוועדה'!G450</f>
        <v/>
      </c>
      <c r="E424" s="242" t="str">
        <f>'סיכום לוועדה'!H450</f>
        <v/>
      </c>
      <c r="F424" s="242"/>
      <c r="G424" s="242"/>
      <c r="H424" s="75"/>
      <c r="I424" s="243"/>
      <c r="J424" s="75"/>
      <c r="K424" s="77"/>
      <c r="L424" s="75"/>
      <c r="M424" s="78"/>
      <c r="N424" s="244"/>
      <c r="O424" s="79"/>
      <c r="P424" s="76" t="str">
        <f>IF(IFERROR(VLOOKUP(B424,'בקשות שאושרו'!$B$2:$I$466,1,0),"")="","",1)</f>
        <v/>
      </c>
      <c r="Q424" s="245" t="str">
        <f>IFERROR(VLOOKUP(B424,'בקשות שאושרו'!$B$2:$K$466,COLUMN('בקשות שאושרו'!$J$1)-COLUMN('בקשות שאושרו'!$B$1)+1,0),"")</f>
        <v/>
      </c>
    </row>
    <row r="425" spans="1:17" s="174" customFormat="1" x14ac:dyDescent="0.25">
      <c r="A425" s="240" t="str">
        <f>'סיכום לוועדה'!A451</f>
        <v/>
      </c>
      <c r="B425" s="241" t="str">
        <f>'סיכום לוועדה'!E451</f>
        <v/>
      </c>
      <c r="C425" s="241" t="str">
        <f>'סיכום לוועדה'!F451</f>
        <v/>
      </c>
      <c r="D425" s="241" t="str">
        <f>'סיכום לוועדה'!G451</f>
        <v/>
      </c>
      <c r="E425" s="242" t="str">
        <f>'סיכום לוועדה'!H451</f>
        <v/>
      </c>
      <c r="F425" s="242"/>
      <c r="G425" s="242"/>
      <c r="H425" s="75"/>
      <c r="I425" s="243"/>
      <c r="J425" s="75"/>
      <c r="K425" s="77"/>
      <c r="L425" s="75"/>
      <c r="M425" s="78"/>
      <c r="N425" s="244"/>
      <c r="O425" s="79"/>
      <c r="P425" s="76" t="str">
        <f>IF(IFERROR(VLOOKUP(B425,'בקשות שאושרו'!$B$2:$I$466,1,0),"")="","",1)</f>
        <v/>
      </c>
      <c r="Q425" s="245" t="str">
        <f>IFERROR(VLOOKUP(B425,'בקשות שאושרו'!$B$2:$K$466,COLUMN('בקשות שאושרו'!$J$1)-COLUMN('בקשות שאושרו'!$B$1)+1,0),"")</f>
        <v/>
      </c>
    </row>
    <row r="426" spans="1:17" s="174" customFormat="1" x14ac:dyDescent="0.25">
      <c r="A426" s="240" t="str">
        <f>'סיכום לוועדה'!A452</f>
        <v/>
      </c>
      <c r="B426" s="241" t="str">
        <f>'סיכום לוועדה'!E452</f>
        <v/>
      </c>
      <c r="C426" s="241" t="str">
        <f>'סיכום לוועדה'!F452</f>
        <v/>
      </c>
      <c r="D426" s="241" t="str">
        <f>'סיכום לוועדה'!G452</f>
        <v/>
      </c>
      <c r="E426" s="242" t="str">
        <f>'סיכום לוועדה'!H452</f>
        <v/>
      </c>
      <c r="F426" s="242"/>
      <c r="G426" s="242"/>
      <c r="H426" s="75"/>
      <c r="I426" s="243"/>
      <c r="J426" s="75"/>
      <c r="K426" s="77"/>
      <c r="L426" s="75"/>
      <c r="M426" s="78"/>
      <c r="N426" s="244"/>
      <c r="O426" s="79"/>
      <c r="P426" s="76" t="str">
        <f>IF(IFERROR(VLOOKUP(B426,'בקשות שאושרו'!$B$2:$I$466,1,0),"")="","",1)</f>
        <v/>
      </c>
      <c r="Q426" s="245" t="str">
        <f>IFERROR(VLOOKUP(B426,'בקשות שאושרו'!$B$2:$K$466,COLUMN('בקשות שאושרו'!$J$1)-COLUMN('בקשות שאושרו'!$B$1)+1,0),"")</f>
        <v/>
      </c>
    </row>
    <row r="427" spans="1:17" s="174" customFormat="1" x14ac:dyDescent="0.25">
      <c r="A427" s="240" t="str">
        <f>'סיכום לוועדה'!A453</f>
        <v/>
      </c>
      <c r="B427" s="241" t="str">
        <f>'סיכום לוועדה'!E453</f>
        <v/>
      </c>
      <c r="C427" s="241" t="str">
        <f>'סיכום לוועדה'!F453</f>
        <v/>
      </c>
      <c r="D427" s="241" t="str">
        <f>'סיכום לוועדה'!G453</f>
        <v/>
      </c>
      <c r="E427" s="242" t="str">
        <f>'סיכום לוועדה'!H453</f>
        <v/>
      </c>
      <c r="F427" s="242"/>
      <c r="G427" s="242"/>
      <c r="H427" s="75"/>
      <c r="I427" s="243"/>
      <c r="J427" s="75"/>
      <c r="K427" s="77"/>
      <c r="L427" s="75"/>
      <c r="M427" s="78"/>
      <c r="N427" s="244"/>
      <c r="O427" s="79"/>
      <c r="P427" s="76" t="str">
        <f>IF(IFERROR(VLOOKUP(B427,'בקשות שאושרו'!$B$2:$I$466,1,0),"")="","",1)</f>
        <v/>
      </c>
      <c r="Q427" s="245" t="str">
        <f>IFERROR(VLOOKUP(B427,'בקשות שאושרו'!$B$2:$K$466,COLUMN('בקשות שאושרו'!$J$1)-COLUMN('בקשות שאושרו'!$B$1)+1,0),"")</f>
        <v/>
      </c>
    </row>
    <row r="428" spans="1:17" s="174" customFormat="1" x14ac:dyDescent="0.25">
      <c r="A428" s="240" t="str">
        <f>'סיכום לוועדה'!A454</f>
        <v/>
      </c>
      <c r="B428" s="241" t="str">
        <f>'סיכום לוועדה'!E454</f>
        <v/>
      </c>
      <c r="C428" s="241" t="str">
        <f>'סיכום לוועדה'!F454</f>
        <v/>
      </c>
      <c r="D428" s="241" t="str">
        <f>'סיכום לוועדה'!G454</f>
        <v/>
      </c>
      <c r="E428" s="242" t="str">
        <f>'סיכום לוועדה'!H454</f>
        <v/>
      </c>
      <c r="F428" s="242"/>
      <c r="G428" s="242"/>
      <c r="H428" s="75"/>
      <c r="I428" s="243"/>
      <c r="J428" s="75"/>
      <c r="K428" s="77"/>
      <c r="L428" s="75"/>
      <c r="M428" s="78"/>
      <c r="N428" s="244"/>
      <c r="O428" s="79"/>
      <c r="P428" s="76" t="str">
        <f>IF(IFERROR(VLOOKUP(B428,'בקשות שאושרו'!$B$2:$I$466,1,0),"")="","",1)</f>
        <v/>
      </c>
      <c r="Q428" s="245" t="str">
        <f>IFERROR(VLOOKUP(B428,'בקשות שאושרו'!$B$2:$K$466,COLUMN('בקשות שאושרו'!$J$1)-COLUMN('בקשות שאושרו'!$B$1)+1,0),"")</f>
        <v/>
      </c>
    </row>
    <row r="429" spans="1:17" s="174" customFormat="1" x14ac:dyDescent="0.25">
      <c r="A429" s="240" t="str">
        <f>'סיכום לוועדה'!A455</f>
        <v/>
      </c>
      <c r="B429" s="241" t="str">
        <f>'סיכום לוועדה'!E455</f>
        <v/>
      </c>
      <c r="C429" s="241" t="str">
        <f>'סיכום לוועדה'!F455</f>
        <v/>
      </c>
      <c r="D429" s="241" t="str">
        <f>'סיכום לוועדה'!G455</f>
        <v/>
      </c>
      <c r="E429" s="242" t="str">
        <f>'סיכום לוועדה'!H455</f>
        <v/>
      </c>
      <c r="F429" s="242"/>
      <c r="G429" s="242"/>
      <c r="H429" s="75"/>
      <c r="I429" s="243"/>
      <c r="J429" s="75"/>
      <c r="K429" s="77"/>
      <c r="L429" s="75"/>
      <c r="M429" s="78"/>
      <c r="N429" s="244"/>
      <c r="O429" s="79"/>
      <c r="P429" s="76" t="str">
        <f>IF(IFERROR(VLOOKUP(B429,'בקשות שאושרו'!$B$2:$I$466,1,0),"")="","",1)</f>
        <v/>
      </c>
      <c r="Q429" s="245" t="str">
        <f>IFERROR(VLOOKUP(B429,'בקשות שאושרו'!$B$2:$K$466,COLUMN('בקשות שאושרו'!$J$1)-COLUMN('בקשות שאושרו'!$B$1)+1,0),"")</f>
        <v/>
      </c>
    </row>
    <row r="430" spans="1:17" s="174" customFormat="1" x14ac:dyDescent="0.25">
      <c r="A430" s="240" t="str">
        <f>'סיכום לוועדה'!A456</f>
        <v/>
      </c>
      <c r="B430" s="241" t="str">
        <f>'סיכום לוועדה'!E456</f>
        <v/>
      </c>
      <c r="C430" s="241" t="str">
        <f>'סיכום לוועדה'!F456</f>
        <v/>
      </c>
      <c r="D430" s="241" t="str">
        <f>'סיכום לוועדה'!G456</f>
        <v/>
      </c>
      <c r="E430" s="242" t="str">
        <f>'סיכום לוועדה'!H456</f>
        <v/>
      </c>
      <c r="F430" s="242"/>
      <c r="G430" s="242"/>
      <c r="H430" s="75"/>
      <c r="I430" s="243"/>
      <c r="J430" s="75"/>
      <c r="K430" s="77"/>
      <c r="L430" s="75"/>
      <c r="M430" s="78"/>
      <c r="N430" s="244"/>
      <c r="O430" s="79"/>
      <c r="P430" s="76" t="str">
        <f>IF(IFERROR(VLOOKUP(B430,'בקשות שאושרו'!$B$2:$I$466,1,0),"")="","",1)</f>
        <v/>
      </c>
      <c r="Q430" s="245" t="str">
        <f>IFERROR(VLOOKUP(B430,'בקשות שאושרו'!$B$2:$K$466,COLUMN('בקשות שאושרו'!$J$1)-COLUMN('בקשות שאושרו'!$B$1)+1,0),"")</f>
        <v/>
      </c>
    </row>
    <row r="431" spans="1:17" s="174" customFormat="1" x14ac:dyDescent="0.25">
      <c r="A431" s="240" t="str">
        <f>'סיכום לוועדה'!A457</f>
        <v/>
      </c>
      <c r="B431" s="241" t="str">
        <f>'סיכום לוועדה'!E457</f>
        <v/>
      </c>
      <c r="C431" s="241" t="str">
        <f>'סיכום לוועדה'!F457</f>
        <v/>
      </c>
      <c r="D431" s="241" t="str">
        <f>'סיכום לוועדה'!G457</f>
        <v/>
      </c>
      <c r="E431" s="242" t="str">
        <f>'סיכום לוועדה'!H457</f>
        <v/>
      </c>
      <c r="F431" s="242"/>
      <c r="G431" s="242"/>
      <c r="H431" s="75"/>
      <c r="I431" s="243"/>
      <c r="J431" s="75"/>
      <c r="K431" s="77"/>
      <c r="L431" s="75"/>
      <c r="M431" s="78"/>
      <c r="N431" s="244"/>
      <c r="O431" s="79"/>
      <c r="P431" s="76" t="str">
        <f>IF(IFERROR(VLOOKUP(B431,'בקשות שאושרו'!$B$2:$I$466,1,0),"")="","",1)</f>
        <v/>
      </c>
      <c r="Q431" s="245" t="str">
        <f>IFERROR(VLOOKUP(B431,'בקשות שאושרו'!$B$2:$K$466,COLUMN('בקשות שאושרו'!$J$1)-COLUMN('בקשות שאושרו'!$B$1)+1,0),"")</f>
        <v/>
      </c>
    </row>
    <row r="432" spans="1:17" s="174" customFormat="1" x14ac:dyDescent="0.25">
      <c r="A432" s="240" t="str">
        <f>'סיכום לוועדה'!A458</f>
        <v/>
      </c>
      <c r="B432" s="241" t="str">
        <f>'סיכום לוועדה'!E458</f>
        <v/>
      </c>
      <c r="C432" s="241" t="str">
        <f>'סיכום לוועדה'!F458</f>
        <v/>
      </c>
      <c r="D432" s="241" t="str">
        <f>'סיכום לוועדה'!G458</f>
        <v/>
      </c>
      <c r="E432" s="242" t="str">
        <f>'סיכום לוועדה'!H458</f>
        <v/>
      </c>
      <c r="F432" s="242"/>
      <c r="G432" s="242"/>
      <c r="H432" s="75"/>
      <c r="I432" s="243"/>
      <c r="J432" s="75"/>
      <c r="K432" s="77"/>
      <c r="L432" s="75"/>
      <c r="M432" s="78"/>
      <c r="N432" s="244"/>
      <c r="O432" s="79"/>
      <c r="P432" s="76" t="str">
        <f>IF(IFERROR(VLOOKUP(B432,'בקשות שאושרו'!$B$2:$I$466,1,0),"")="","",1)</f>
        <v/>
      </c>
      <c r="Q432" s="245" t="str">
        <f>IFERROR(VLOOKUP(B432,'בקשות שאושרו'!$B$2:$K$466,COLUMN('בקשות שאושרו'!$J$1)-COLUMN('בקשות שאושרו'!$B$1)+1,0),"")</f>
        <v/>
      </c>
    </row>
    <row r="433" spans="1:17" s="174" customFormat="1" x14ac:dyDescent="0.25">
      <c r="A433" s="240" t="str">
        <f>'סיכום לוועדה'!A459</f>
        <v/>
      </c>
      <c r="B433" s="241" t="str">
        <f>'סיכום לוועדה'!E459</f>
        <v/>
      </c>
      <c r="C433" s="241" t="str">
        <f>'סיכום לוועדה'!F459</f>
        <v/>
      </c>
      <c r="D433" s="241" t="str">
        <f>'סיכום לוועדה'!G459</f>
        <v/>
      </c>
      <c r="E433" s="242" t="str">
        <f>'סיכום לוועדה'!H459</f>
        <v/>
      </c>
      <c r="F433" s="242"/>
      <c r="G433" s="242"/>
      <c r="H433" s="75"/>
      <c r="I433" s="243"/>
      <c r="J433" s="75"/>
      <c r="K433" s="77"/>
      <c r="L433" s="75"/>
      <c r="M433" s="78"/>
      <c r="N433" s="244"/>
      <c r="O433" s="79"/>
      <c r="P433" s="76" t="str">
        <f>IF(IFERROR(VLOOKUP(B433,'בקשות שאושרו'!$B$2:$I$466,1,0),"")="","",1)</f>
        <v/>
      </c>
      <c r="Q433" s="245" t="str">
        <f>IFERROR(VLOOKUP(B433,'בקשות שאושרו'!$B$2:$K$466,COLUMN('בקשות שאושרו'!$J$1)-COLUMN('בקשות שאושרו'!$B$1)+1,0),"")</f>
        <v/>
      </c>
    </row>
    <row r="434" spans="1:17" s="174" customFormat="1" x14ac:dyDescent="0.25">
      <c r="A434" s="240" t="str">
        <f>'סיכום לוועדה'!A460</f>
        <v/>
      </c>
      <c r="B434" s="241" t="str">
        <f>'סיכום לוועדה'!E460</f>
        <v/>
      </c>
      <c r="C434" s="241" t="str">
        <f>'סיכום לוועדה'!F460</f>
        <v/>
      </c>
      <c r="D434" s="241" t="str">
        <f>'סיכום לוועדה'!G460</f>
        <v/>
      </c>
      <c r="E434" s="242" t="str">
        <f>'סיכום לוועדה'!H460</f>
        <v/>
      </c>
      <c r="F434" s="242"/>
      <c r="G434" s="242"/>
      <c r="H434" s="75"/>
      <c r="I434" s="243"/>
      <c r="J434" s="75"/>
      <c r="K434" s="77"/>
      <c r="L434" s="75"/>
      <c r="M434" s="78"/>
      <c r="N434" s="244"/>
      <c r="O434" s="79"/>
      <c r="P434" s="76" t="str">
        <f>IF(IFERROR(VLOOKUP(B434,'בקשות שאושרו'!$B$2:$I$466,1,0),"")="","",1)</f>
        <v/>
      </c>
      <c r="Q434" s="245" t="str">
        <f>IFERROR(VLOOKUP(B434,'בקשות שאושרו'!$B$2:$K$466,COLUMN('בקשות שאושרו'!$J$1)-COLUMN('בקשות שאושרו'!$B$1)+1,0),"")</f>
        <v/>
      </c>
    </row>
    <row r="435" spans="1:17" s="174" customFormat="1" x14ac:dyDescent="0.25">
      <c r="A435" s="240" t="str">
        <f>'סיכום לוועדה'!A461</f>
        <v/>
      </c>
      <c r="B435" s="241" t="str">
        <f>'סיכום לוועדה'!E461</f>
        <v/>
      </c>
      <c r="C435" s="241" t="str">
        <f>'סיכום לוועדה'!F461</f>
        <v/>
      </c>
      <c r="D435" s="241" t="str">
        <f>'סיכום לוועדה'!G461</f>
        <v/>
      </c>
      <c r="E435" s="242" t="str">
        <f>'סיכום לוועדה'!H461</f>
        <v/>
      </c>
      <c r="F435" s="242"/>
      <c r="G435" s="242"/>
      <c r="H435" s="75"/>
      <c r="I435" s="243"/>
      <c r="J435" s="75"/>
      <c r="K435" s="77"/>
      <c r="L435" s="75"/>
      <c r="M435" s="78"/>
      <c r="N435" s="244"/>
      <c r="O435" s="79"/>
      <c r="P435" s="76" t="str">
        <f>IF(IFERROR(VLOOKUP(B435,'בקשות שאושרו'!$B$2:$I$466,1,0),"")="","",1)</f>
        <v/>
      </c>
      <c r="Q435" s="245" t="str">
        <f>IFERROR(VLOOKUP(B435,'בקשות שאושרו'!$B$2:$K$466,COLUMN('בקשות שאושרו'!$J$1)-COLUMN('בקשות שאושרו'!$B$1)+1,0),"")</f>
        <v/>
      </c>
    </row>
    <row r="436" spans="1:17" s="174" customFormat="1" x14ac:dyDescent="0.25">
      <c r="A436" s="240" t="str">
        <f>'סיכום לוועדה'!A462</f>
        <v/>
      </c>
      <c r="B436" s="241" t="str">
        <f>'סיכום לוועדה'!E462</f>
        <v/>
      </c>
      <c r="C436" s="241" t="str">
        <f>'סיכום לוועדה'!F462</f>
        <v/>
      </c>
      <c r="D436" s="241" t="str">
        <f>'סיכום לוועדה'!G462</f>
        <v/>
      </c>
      <c r="E436" s="242" t="str">
        <f>'סיכום לוועדה'!H462</f>
        <v/>
      </c>
      <c r="F436" s="242"/>
      <c r="G436" s="242"/>
      <c r="H436" s="75"/>
      <c r="I436" s="243"/>
      <c r="J436" s="75"/>
      <c r="K436" s="77"/>
      <c r="L436" s="75"/>
      <c r="M436" s="78"/>
      <c r="N436" s="244"/>
      <c r="O436" s="79"/>
      <c r="P436" s="76" t="str">
        <f>IF(IFERROR(VLOOKUP(B436,'בקשות שאושרו'!$B$2:$I$466,1,0),"")="","",1)</f>
        <v/>
      </c>
      <c r="Q436" s="245" t="str">
        <f>IFERROR(VLOOKUP(B436,'בקשות שאושרו'!$B$2:$K$466,COLUMN('בקשות שאושרו'!$J$1)-COLUMN('בקשות שאושרו'!$B$1)+1,0),"")</f>
        <v/>
      </c>
    </row>
    <row r="437" spans="1:17" s="174" customFormat="1" x14ac:dyDescent="0.25">
      <c r="A437" s="240" t="str">
        <f>'סיכום לוועדה'!A463</f>
        <v/>
      </c>
      <c r="B437" s="241" t="str">
        <f>'סיכום לוועדה'!E463</f>
        <v/>
      </c>
      <c r="C437" s="241" t="str">
        <f>'סיכום לוועדה'!F463</f>
        <v/>
      </c>
      <c r="D437" s="241" t="str">
        <f>'סיכום לוועדה'!G463</f>
        <v/>
      </c>
      <c r="E437" s="242" t="str">
        <f>'סיכום לוועדה'!H463</f>
        <v/>
      </c>
      <c r="F437" s="242"/>
      <c r="G437" s="242"/>
      <c r="H437" s="75"/>
      <c r="I437" s="243"/>
      <c r="J437" s="75"/>
      <c r="K437" s="77"/>
      <c r="L437" s="75"/>
      <c r="M437" s="78"/>
      <c r="N437" s="244"/>
      <c r="O437" s="79"/>
      <c r="P437" s="76" t="str">
        <f>IF(IFERROR(VLOOKUP(B437,'בקשות שאושרו'!$B$2:$I$466,1,0),"")="","",1)</f>
        <v/>
      </c>
      <c r="Q437" s="245" t="str">
        <f>IFERROR(VLOOKUP(B437,'בקשות שאושרו'!$B$2:$K$466,COLUMN('בקשות שאושרו'!$J$1)-COLUMN('בקשות שאושרו'!$B$1)+1,0),"")</f>
        <v/>
      </c>
    </row>
    <row r="438" spans="1:17" s="174" customFormat="1" x14ac:dyDescent="0.25">
      <c r="A438" s="240" t="str">
        <f>'סיכום לוועדה'!A464</f>
        <v/>
      </c>
      <c r="B438" s="241" t="str">
        <f>'סיכום לוועדה'!E464</f>
        <v/>
      </c>
      <c r="C438" s="241" t="str">
        <f>'סיכום לוועדה'!F464</f>
        <v/>
      </c>
      <c r="D438" s="241" t="str">
        <f>'סיכום לוועדה'!G464</f>
        <v/>
      </c>
      <c r="E438" s="242" t="str">
        <f>'סיכום לוועדה'!H464</f>
        <v/>
      </c>
      <c r="F438" s="242"/>
      <c r="G438" s="242"/>
      <c r="H438" s="75"/>
      <c r="I438" s="243"/>
      <c r="J438" s="75"/>
      <c r="K438" s="77"/>
      <c r="L438" s="75"/>
      <c r="M438" s="78"/>
      <c r="N438" s="244"/>
      <c r="O438" s="79"/>
      <c r="P438" s="76" t="str">
        <f>IF(IFERROR(VLOOKUP(B438,'בקשות שאושרו'!$B$2:$I$466,1,0),"")="","",1)</f>
        <v/>
      </c>
      <c r="Q438" s="245" t="str">
        <f>IFERROR(VLOOKUP(B438,'בקשות שאושרו'!$B$2:$K$466,COLUMN('בקשות שאושרו'!$J$1)-COLUMN('בקשות שאושרו'!$B$1)+1,0),"")</f>
        <v/>
      </c>
    </row>
    <row r="439" spans="1:17" s="174" customFormat="1" x14ac:dyDescent="0.25">
      <c r="A439" s="240" t="str">
        <f>'סיכום לוועדה'!A465</f>
        <v/>
      </c>
      <c r="B439" s="241" t="str">
        <f>'סיכום לוועדה'!E465</f>
        <v/>
      </c>
      <c r="C439" s="241" t="str">
        <f>'סיכום לוועדה'!F465</f>
        <v/>
      </c>
      <c r="D439" s="241" t="str">
        <f>'סיכום לוועדה'!G465</f>
        <v/>
      </c>
      <c r="E439" s="242" t="str">
        <f>'סיכום לוועדה'!H465</f>
        <v/>
      </c>
      <c r="F439" s="242"/>
      <c r="G439" s="242"/>
      <c r="H439" s="75"/>
      <c r="I439" s="243"/>
      <c r="J439" s="75"/>
      <c r="K439" s="77"/>
      <c r="L439" s="75"/>
      <c r="M439" s="78"/>
      <c r="N439" s="244"/>
      <c r="O439" s="79"/>
      <c r="P439" s="76" t="str">
        <f>IF(IFERROR(VLOOKUP(B439,'בקשות שאושרו'!$B$2:$I$466,1,0),"")="","",1)</f>
        <v/>
      </c>
      <c r="Q439" s="245" t="str">
        <f>IFERROR(VLOOKUP(B439,'בקשות שאושרו'!$B$2:$K$466,COLUMN('בקשות שאושרו'!$J$1)-COLUMN('בקשות שאושרו'!$B$1)+1,0),"")</f>
        <v/>
      </c>
    </row>
    <row r="440" spans="1:17" s="174" customFormat="1" x14ac:dyDescent="0.25">
      <c r="A440" s="240" t="str">
        <f>'סיכום לוועדה'!A466</f>
        <v/>
      </c>
      <c r="B440" s="241" t="str">
        <f>'סיכום לוועדה'!E466</f>
        <v/>
      </c>
      <c r="C440" s="241" t="str">
        <f>'סיכום לוועדה'!F466</f>
        <v/>
      </c>
      <c r="D440" s="241" t="str">
        <f>'סיכום לוועדה'!G466</f>
        <v/>
      </c>
      <c r="E440" s="242" t="str">
        <f>'סיכום לוועדה'!H466</f>
        <v/>
      </c>
      <c r="F440" s="242"/>
      <c r="G440" s="242"/>
      <c r="H440" s="75"/>
      <c r="I440" s="243"/>
      <c r="J440" s="75"/>
      <c r="K440" s="77"/>
      <c r="L440" s="75"/>
      <c r="M440" s="78"/>
      <c r="N440" s="244"/>
      <c r="O440" s="79"/>
      <c r="P440" s="76" t="str">
        <f>IF(IFERROR(VLOOKUP(B440,'בקשות שאושרו'!$B$2:$I$466,1,0),"")="","",1)</f>
        <v/>
      </c>
      <c r="Q440" s="245" t="str">
        <f>IFERROR(VLOOKUP(B440,'בקשות שאושרו'!$B$2:$K$466,COLUMN('בקשות שאושרו'!$J$1)-COLUMN('בקשות שאושרו'!$B$1)+1,0),"")</f>
        <v/>
      </c>
    </row>
    <row r="441" spans="1:17" s="174" customFormat="1" x14ac:dyDescent="0.25">
      <c r="A441" s="240" t="str">
        <f>'סיכום לוועדה'!A467</f>
        <v/>
      </c>
      <c r="B441" s="241" t="str">
        <f>'סיכום לוועדה'!E467</f>
        <v/>
      </c>
      <c r="C441" s="241" t="str">
        <f>'סיכום לוועדה'!F467</f>
        <v/>
      </c>
      <c r="D441" s="241" t="str">
        <f>'סיכום לוועדה'!G467</f>
        <v/>
      </c>
      <c r="E441" s="242" t="str">
        <f>'סיכום לוועדה'!H467</f>
        <v/>
      </c>
      <c r="F441" s="242"/>
      <c r="G441" s="242"/>
      <c r="H441" s="75"/>
      <c r="I441" s="243"/>
      <c r="J441" s="75"/>
      <c r="K441" s="77"/>
      <c r="L441" s="75"/>
      <c r="M441" s="78"/>
      <c r="N441" s="244"/>
      <c r="O441" s="79"/>
      <c r="P441" s="76" t="str">
        <f>IF(IFERROR(VLOOKUP(B441,'בקשות שאושרו'!$B$2:$I$466,1,0),"")="","",1)</f>
        <v/>
      </c>
      <c r="Q441" s="245" t="str">
        <f>IFERROR(VLOOKUP(B441,'בקשות שאושרו'!$B$2:$K$466,COLUMN('בקשות שאושרו'!$J$1)-COLUMN('בקשות שאושרו'!$B$1)+1,0),"")</f>
        <v/>
      </c>
    </row>
    <row r="442" spans="1:17" s="174" customFormat="1" x14ac:dyDescent="0.25">
      <c r="A442" s="240" t="str">
        <f>'סיכום לוועדה'!A468</f>
        <v/>
      </c>
      <c r="B442" s="241" t="str">
        <f>'סיכום לוועדה'!E468</f>
        <v/>
      </c>
      <c r="C442" s="241" t="str">
        <f>'סיכום לוועדה'!F468</f>
        <v/>
      </c>
      <c r="D442" s="241" t="str">
        <f>'סיכום לוועדה'!G468</f>
        <v/>
      </c>
      <c r="E442" s="242" t="str">
        <f>'סיכום לוועדה'!H468</f>
        <v/>
      </c>
      <c r="F442" s="242"/>
      <c r="G442" s="242"/>
      <c r="H442" s="75"/>
      <c r="I442" s="243"/>
      <c r="J442" s="75"/>
      <c r="K442" s="77"/>
      <c r="L442" s="75"/>
      <c r="M442" s="78"/>
      <c r="N442" s="244"/>
      <c r="O442" s="79"/>
      <c r="P442" s="76" t="str">
        <f>IF(IFERROR(VLOOKUP(B442,'בקשות שאושרו'!$B$2:$I$466,1,0),"")="","",1)</f>
        <v/>
      </c>
      <c r="Q442" s="245" t="str">
        <f>IFERROR(VLOOKUP(B442,'בקשות שאושרו'!$B$2:$K$466,COLUMN('בקשות שאושרו'!$J$1)-COLUMN('בקשות שאושרו'!$B$1)+1,0),"")</f>
        <v/>
      </c>
    </row>
    <row r="443" spans="1:17" s="174" customFormat="1" x14ac:dyDescent="0.25">
      <c r="A443" s="240" t="str">
        <f>'סיכום לוועדה'!A469</f>
        <v/>
      </c>
      <c r="B443" s="241" t="str">
        <f>'סיכום לוועדה'!E469</f>
        <v/>
      </c>
      <c r="C443" s="241" t="str">
        <f>'סיכום לוועדה'!F469</f>
        <v/>
      </c>
      <c r="D443" s="241" t="str">
        <f>'סיכום לוועדה'!G469</f>
        <v/>
      </c>
      <c r="E443" s="242" t="str">
        <f>'סיכום לוועדה'!H469</f>
        <v/>
      </c>
      <c r="F443" s="242"/>
      <c r="G443" s="242"/>
      <c r="H443" s="75"/>
      <c r="I443" s="243"/>
      <c r="J443" s="75"/>
      <c r="K443" s="77"/>
      <c r="L443" s="75"/>
      <c r="M443" s="78"/>
      <c r="N443" s="244"/>
      <c r="O443" s="79"/>
      <c r="P443" s="76" t="str">
        <f>IF(IFERROR(VLOOKUP(B443,'בקשות שאושרו'!$B$2:$I$466,1,0),"")="","",1)</f>
        <v/>
      </c>
      <c r="Q443" s="245" t="str">
        <f>IFERROR(VLOOKUP(B443,'בקשות שאושרו'!$B$2:$K$466,COLUMN('בקשות שאושרו'!$J$1)-COLUMN('בקשות שאושרו'!$B$1)+1,0),"")</f>
        <v/>
      </c>
    </row>
    <row r="444" spans="1:17" s="174" customFormat="1" x14ac:dyDescent="0.25">
      <c r="A444" s="240" t="str">
        <f>'סיכום לוועדה'!A470</f>
        <v/>
      </c>
      <c r="B444" s="241" t="str">
        <f>'סיכום לוועדה'!E470</f>
        <v/>
      </c>
      <c r="C444" s="241" t="str">
        <f>'סיכום לוועדה'!F470</f>
        <v/>
      </c>
      <c r="D444" s="241" t="str">
        <f>'סיכום לוועדה'!G470</f>
        <v/>
      </c>
      <c r="E444" s="242" t="str">
        <f>'סיכום לוועדה'!H470</f>
        <v/>
      </c>
      <c r="F444" s="242"/>
      <c r="G444" s="242"/>
      <c r="H444" s="75"/>
      <c r="I444" s="243"/>
      <c r="J444" s="75"/>
      <c r="K444" s="77"/>
      <c r="L444" s="75"/>
      <c r="M444" s="78"/>
      <c r="N444" s="244"/>
      <c r="O444" s="79"/>
      <c r="P444" s="76" t="str">
        <f>IF(IFERROR(VLOOKUP(B444,'בקשות שאושרו'!$B$2:$I$466,1,0),"")="","",1)</f>
        <v/>
      </c>
      <c r="Q444" s="245" t="str">
        <f>IFERROR(VLOOKUP(B444,'בקשות שאושרו'!$B$2:$K$466,COLUMN('בקשות שאושרו'!$J$1)-COLUMN('בקשות שאושרו'!$B$1)+1,0),"")</f>
        <v/>
      </c>
    </row>
    <row r="445" spans="1:17" s="174" customFormat="1" x14ac:dyDescent="0.25">
      <c r="A445" s="240" t="str">
        <f>'סיכום לוועדה'!A471</f>
        <v/>
      </c>
      <c r="B445" s="241" t="str">
        <f>'סיכום לוועדה'!E471</f>
        <v/>
      </c>
      <c r="C445" s="241" t="str">
        <f>'סיכום לוועדה'!F471</f>
        <v/>
      </c>
      <c r="D445" s="241" t="str">
        <f>'סיכום לוועדה'!G471</f>
        <v/>
      </c>
      <c r="E445" s="242" t="str">
        <f>'סיכום לוועדה'!H471</f>
        <v/>
      </c>
      <c r="F445" s="242"/>
      <c r="G445" s="242"/>
      <c r="H445" s="75"/>
      <c r="I445" s="243"/>
      <c r="J445" s="75"/>
      <c r="K445" s="77"/>
      <c r="L445" s="75"/>
      <c r="M445" s="78"/>
      <c r="N445" s="244"/>
      <c r="O445" s="79"/>
      <c r="P445" s="76" t="str">
        <f>IF(IFERROR(VLOOKUP(B445,'בקשות שאושרו'!$B$2:$I$466,1,0),"")="","",1)</f>
        <v/>
      </c>
      <c r="Q445" s="245" t="str">
        <f>IFERROR(VLOOKUP(B445,'בקשות שאושרו'!$B$2:$K$466,COLUMN('בקשות שאושרו'!$J$1)-COLUMN('בקשות שאושרו'!$B$1)+1,0),"")</f>
        <v/>
      </c>
    </row>
    <row r="446" spans="1:17" s="174" customFormat="1" x14ac:dyDescent="0.25">
      <c r="A446" s="240" t="str">
        <f>'סיכום לוועדה'!A472</f>
        <v/>
      </c>
      <c r="B446" s="241" t="str">
        <f>'סיכום לוועדה'!E472</f>
        <v/>
      </c>
      <c r="C446" s="241" t="str">
        <f>'סיכום לוועדה'!F472</f>
        <v/>
      </c>
      <c r="D446" s="241" t="str">
        <f>'סיכום לוועדה'!G472</f>
        <v/>
      </c>
      <c r="E446" s="242" t="str">
        <f>'סיכום לוועדה'!H472</f>
        <v/>
      </c>
      <c r="F446" s="242"/>
      <c r="G446" s="242"/>
      <c r="H446" s="75"/>
      <c r="I446" s="243"/>
      <c r="J446" s="75"/>
      <c r="K446" s="77"/>
      <c r="L446" s="75"/>
      <c r="M446" s="78"/>
      <c r="N446" s="244"/>
      <c r="O446" s="79"/>
      <c r="P446" s="76" t="str">
        <f>IF(IFERROR(VLOOKUP(B446,'בקשות שאושרו'!$B$2:$I$466,1,0),"")="","",1)</f>
        <v/>
      </c>
      <c r="Q446" s="245" t="str">
        <f>IFERROR(VLOOKUP(B446,'בקשות שאושרו'!$B$2:$K$466,COLUMN('בקשות שאושרו'!$J$1)-COLUMN('בקשות שאושרו'!$B$1)+1,0),"")</f>
        <v/>
      </c>
    </row>
    <row r="447" spans="1:17" s="174" customFormat="1" x14ac:dyDescent="0.25">
      <c r="A447" s="240" t="str">
        <f>'סיכום לוועדה'!A473</f>
        <v/>
      </c>
      <c r="B447" s="241" t="str">
        <f>'סיכום לוועדה'!E473</f>
        <v/>
      </c>
      <c r="C447" s="241" t="str">
        <f>'סיכום לוועדה'!F473</f>
        <v/>
      </c>
      <c r="D447" s="241" t="str">
        <f>'סיכום לוועדה'!G473</f>
        <v/>
      </c>
      <c r="E447" s="242" t="str">
        <f>'סיכום לוועדה'!H473</f>
        <v/>
      </c>
      <c r="F447" s="242"/>
      <c r="G447" s="242"/>
      <c r="H447" s="75"/>
      <c r="I447" s="243"/>
      <c r="J447" s="75"/>
      <c r="K447" s="77"/>
      <c r="L447" s="75"/>
      <c r="M447" s="78"/>
      <c r="N447" s="244"/>
      <c r="O447" s="79"/>
      <c r="P447" s="76" t="str">
        <f>IF(IFERROR(VLOOKUP(B447,'בקשות שאושרו'!$B$2:$I$466,1,0),"")="","",1)</f>
        <v/>
      </c>
      <c r="Q447" s="245" t="str">
        <f>IFERROR(VLOOKUP(B447,'בקשות שאושרו'!$B$2:$K$466,COLUMN('בקשות שאושרו'!$J$1)-COLUMN('בקשות שאושרו'!$B$1)+1,0),"")</f>
        <v/>
      </c>
    </row>
    <row r="448" spans="1:17" s="174" customFormat="1" x14ac:dyDescent="0.25">
      <c r="A448" s="240" t="str">
        <f>'סיכום לוועדה'!A474</f>
        <v/>
      </c>
      <c r="B448" s="241" t="str">
        <f>'סיכום לוועדה'!E474</f>
        <v/>
      </c>
      <c r="C448" s="241" t="str">
        <f>'סיכום לוועדה'!F474</f>
        <v/>
      </c>
      <c r="D448" s="241" t="str">
        <f>'סיכום לוועדה'!G474</f>
        <v/>
      </c>
      <c r="E448" s="242" t="str">
        <f>'סיכום לוועדה'!H474</f>
        <v/>
      </c>
      <c r="F448" s="242"/>
      <c r="G448" s="242"/>
      <c r="H448" s="75"/>
      <c r="I448" s="243"/>
      <c r="J448" s="75"/>
      <c r="K448" s="77"/>
      <c r="L448" s="75"/>
      <c r="M448" s="78"/>
      <c r="N448" s="244"/>
      <c r="O448" s="79"/>
      <c r="P448" s="76" t="str">
        <f>IF(IFERROR(VLOOKUP(B448,'בקשות שאושרו'!$B$2:$I$466,1,0),"")="","",1)</f>
        <v/>
      </c>
      <c r="Q448" s="245" t="str">
        <f>IFERROR(VLOOKUP(B448,'בקשות שאושרו'!$B$2:$K$466,COLUMN('בקשות שאושרו'!$J$1)-COLUMN('בקשות שאושרו'!$B$1)+1,0),"")</f>
        <v/>
      </c>
    </row>
    <row r="449" spans="1:17" s="174" customFormat="1" x14ac:dyDescent="0.25">
      <c r="A449" s="240" t="str">
        <f>'סיכום לוועדה'!A475</f>
        <v/>
      </c>
      <c r="B449" s="241" t="str">
        <f>'סיכום לוועדה'!E475</f>
        <v/>
      </c>
      <c r="C449" s="241" t="str">
        <f>'סיכום לוועדה'!F475</f>
        <v/>
      </c>
      <c r="D449" s="241" t="str">
        <f>'סיכום לוועדה'!G475</f>
        <v/>
      </c>
      <c r="E449" s="242" t="str">
        <f>'סיכום לוועדה'!H475</f>
        <v/>
      </c>
      <c r="F449" s="242"/>
      <c r="G449" s="242"/>
      <c r="H449" s="75"/>
      <c r="I449" s="243"/>
      <c r="J449" s="75"/>
      <c r="K449" s="77"/>
      <c r="L449" s="75"/>
      <c r="M449" s="78"/>
      <c r="N449" s="244"/>
      <c r="O449" s="79"/>
      <c r="P449" s="76" t="str">
        <f>IF(IFERROR(VLOOKUP(B449,'בקשות שאושרו'!$B$2:$I$466,1,0),"")="","",1)</f>
        <v/>
      </c>
      <c r="Q449" s="245" t="str">
        <f>IFERROR(VLOOKUP(B449,'בקשות שאושרו'!$B$2:$K$466,COLUMN('בקשות שאושרו'!$J$1)-COLUMN('בקשות שאושרו'!$B$1)+1,0),"")</f>
        <v/>
      </c>
    </row>
    <row r="450" spans="1:17" s="174" customFormat="1" x14ac:dyDescent="0.25">
      <c r="A450" s="240" t="str">
        <f>'סיכום לוועדה'!A476</f>
        <v/>
      </c>
      <c r="B450" s="241" t="str">
        <f>'סיכום לוועדה'!E476</f>
        <v/>
      </c>
      <c r="C450" s="241" t="str">
        <f>'סיכום לוועדה'!F476</f>
        <v/>
      </c>
      <c r="D450" s="241" t="str">
        <f>'סיכום לוועדה'!G476</f>
        <v/>
      </c>
      <c r="E450" s="242" t="str">
        <f>'סיכום לוועדה'!H476</f>
        <v/>
      </c>
      <c r="F450" s="242"/>
      <c r="G450" s="242"/>
      <c r="H450" s="75"/>
      <c r="I450" s="243"/>
      <c r="J450" s="75"/>
      <c r="K450" s="77"/>
      <c r="L450" s="75"/>
      <c r="M450" s="78"/>
      <c r="N450" s="244"/>
      <c r="O450" s="79"/>
      <c r="P450" s="76" t="str">
        <f>IF(IFERROR(VLOOKUP(B450,'בקשות שאושרו'!$B$2:$I$466,1,0),"")="","",1)</f>
        <v/>
      </c>
      <c r="Q450" s="245" t="str">
        <f>IFERROR(VLOOKUP(B450,'בקשות שאושרו'!$B$2:$K$466,COLUMN('בקשות שאושרו'!$J$1)-COLUMN('בקשות שאושרו'!$B$1)+1,0),"")</f>
        <v/>
      </c>
    </row>
    <row r="451" spans="1:17" s="174" customFormat="1" x14ac:dyDescent="0.25">
      <c r="A451" s="240" t="str">
        <f>'סיכום לוועדה'!A477</f>
        <v/>
      </c>
      <c r="B451" s="241" t="str">
        <f>'סיכום לוועדה'!E477</f>
        <v/>
      </c>
      <c r="C451" s="241" t="str">
        <f>'סיכום לוועדה'!F477</f>
        <v/>
      </c>
      <c r="D451" s="241" t="str">
        <f>'סיכום לוועדה'!G477</f>
        <v/>
      </c>
      <c r="E451" s="242" t="str">
        <f>'סיכום לוועדה'!H477</f>
        <v/>
      </c>
      <c r="F451" s="242"/>
      <c r="G451" s="242"/>
      <c r="H451" s="75"/>
      <c r="I451" s="243"/>
      <c r="J451" s="75"/>
      <c r="K451" s="77"/>
      <c r="L451" s="75"/>
      <c r="M451" s="78"/>
      <c r="N451" s="244"/>
      <c r="O451" s="79"/>
      <c r="P451" s="76" t="str">
        <f>IF(IFERROR(VLOOKUP(B451,'בקשות שאושרו'!$B$2:$I$466,1,0),"")="","",1)</f>
        <v/>
      </c>
      <c r="Q451" s="245" t="str">
        <f>IFERROR(VLOOKUP(B451,'בקשות שאושרו'!$B$2:$K$466,COLUMN('בקשות שאושרו'!$J$1)-COLUMN('בקשות שאושרו'!$B$1)+1,0),"")</f>
        <v/>
      </c>
    </row>
    <row r="452" spans="1:17" s="174" customFormat="1" x14ac:dyDescent="0.25">
      <c r="A452" s="240" t="str">
        <f>'סיכום לוועדה'!A478</f>
        <v/>
      </c>
      <c r="B452" s="241" t="str">
        <f>'סיכום לוועדה'!E478</f>
        <v/>
      </c>
      <c r="C452" s="241" t="str">
        <f>'סיכום לוועדה'!F478</f>
        <v/>
      </c>
      <c r="D452" s="241" t="str">
        <f>'סיכום לוועדה'!G478</f>
        <v/>
      </c>
      <c r="E452" s="242" t="str">
        <f>'סיכום לוועדה'!H478</f>
        <v/>
      </c>
      <c r="F452" s="242"/>
      <c r="G452" s="242"/>
      <c r="H452" s="75"/>
      <c r="I452" s="243"/>
      <c r="J452" s="75"/>
      <c r="K452" s="77"/>
      <c r="L452" s="75"/>
      <c r="M452" s="78"/>
      <c r="N452" s="244"/>
      <c r="O452" s="79"/>
      <c r="P452" s="76" t="str">
        <f>IF(IFERROR(VLOOKUP(B452,'בקשות שאושרו'!$B$2:$I$466,1,0),"")="","",1)</f>
        <v/>
      </c>
      <c r="Q452" s="245" t="str">
        <f>IFERROR(VLOOKUP(B452,'בקשות שאושרו'!$B$2:$K$466,COLUMN('בקשות שאושרו'!$J$1)-COLUMN('בקשות שאושרו'!$B$1)+1,0),"")</f>
        <v/>
      </c>
    </row>
    <row r="453" spans="1:17" s="174" customFormat="1" x14ac:dyDescent="0.25">
      <c r="A453" s="240" t="str">
        <f>'סיכום לוועדה'!A479</f>
        <v/>
      </c>
      <c r="B453" s="241" t="str">
        <f>'סיכום לוועדה'!E479</f>
        <v/>
      </c>
      <c r="C453" s="241" t="str">
        <f>'סיכום לוועדה'!F479</f>
        <v/>
      </c>
      <c r="D453" s="241" t="str">
        <f>'סיכום לוועדה'!G479</f>
        <v/>
      </c>
      <c r="E453" s="242" t="str">
        <f>'סיכום לוועדה'!H479</f>
        <v/>
      </c>
      <c r="F453" s="242"/>
      <c r="G453" s="242"/>
      <c r="H453" s="75"/>
      <c r="I453" s="243"/>
      <c r="J453" s="75"/>
      <c r="K453" s="77"/>
      <c r="L453" s="75"/>
      <c r="M453" s="78"/>
      <c r="N453" s="244"/>
      <c r="O453" s="79"/>
      <c r="P453" s="76" t="str">
        <f>IF(IFERROR(VLOOKUP(B453,'בקשות שאושרו'!$B$2:$I$466,1,0),"")="","",1)</f>
        <v/>
      </c>
      <c r="Q453" s="245" t="str">
        <f>IFERROR(VLOOKUP(B453,'בקשות שאושרו'!$B$2:$K$466,COLUMN('בקשות שאושרו'!$J$1)-COLUMN('בקשות שאושרו'!$B$1)+1,0),"")</f>
        <v/>
      </c>
    </row>
    <row r="454" spans="1:17" s="174" customFormat="1" x14ac:dyDescent="0.25">
      <c r="A454" s="240" t="str">
        <f>'סיכום לוועדה'!A480</f>
        <v/>
      </c>
      <c r="B454" s="241" t="str">
        <f>'סיכום לוועדה'!E480</f>
        <v/>
      </c>
      <c r="C454" s="241" t="str">
        <f>'סיכום לוועדה'!F480</f>
        <v/>
      </c>
      <c r="D454" s="241" t="str">
        <f>'סיכום לוועדה'!G480</f>
        <v/>
      </c>
      <c r="E454" s="242" t="str">
        <f>'סיכום לוועדה'!H480</f>
        <v/>
      </c>
      <c r="F454" s="242"/>
      <c r="G454" s="242"/>
      <c r="H454" s="75"/>
      <c r="I454" s="243"/>
      <c r="J454" s="75"/>
      <c r="K454" s="77"/>
      <c r="L454" s="75"/>
      <c r="M454" s="78"/>
      <c r="N454" s="244"/>
      <c r="O454" s="79"/>
      <c r="P454" s="76" t="str">
        <f>IF(IFERROR(VLOOKUP(B454,'בקשות שאושרו'!$B$2:$I$466,1,0),"")="","",1)</f>
        <v/>
      </c>
      <c r="Q454" s="245" t="str">
        <f>IFERROR(VLOOKUP(B454,'בקשות שאושרו'!$B$2:$K$466,COLUMN('בקשות שאושרו'!$J$1)-COLUMN('בקשות שאושרו'!$B$1)+1,0),"")</f>
        <v/>
      </c>
    </row>
    <row r="455" spans="1:17" s="174" customFormat="1" x14ac:dyDescent="0.25">
      <c r="A455" s="240" t="str">
        <f>'סיכום לוועדה'!A481</f>
        <v/>
      </c>
      <c r="B455" s="241" t="str">
        <f>'סיכום לוועדה'!E481</f>
        <v/>
      </c>
      <c r="C455" s="241" t="str">
        <f>'סיכום לוועדה'!F481</f>
        <v/>
      </c>
      <c r="D455" s="241" t="str">
        <f>'סיכום לוועדה'!G481</f>
        <v/>
      </c>
      <c r="E455" s="242" t="str">
        <f>'סיכום לוועדה'!H481</f>
        <v/>
      </c>
      <c r="F455" s="242"/>
      <c r="G455" s="242"/>
      <c r="H455" s="75"/>
      <c r="I455" s="243"/>
      <c r="J455" s="75"/>
      <c r="K455" s="77"/>
      <c r="L455" s="75"/>
      <c r="M455" s="78"/>
      <c r="N455" s="244"/>
      <c r="O455" s="79"/>
      <c r="P455" s="76" t="str">
        <f>IF(IFERROR(VLOOKUP(B455,'בקשות שאושרו'!$B$2:$I$466,1,0),"")="","",1)</f>
        <v/>
      </c>
      <c r="Q455" s="245" t="str">
        <f>IFERROR(VLOOKUP(B455,'בקשות שאושרו'!$B$2:$K$466,COLUMN('בקשות שאושרו'!$J$1)-COLUMN('בקשות שאושרו'!$B$1)+1,0),"")</f>
        <v/>
      </c>
    </row>
    <row r="456" spans="1:17" s="174" customFormat="1" x14ac:dyDescent="0.25">
      <c r="A456" s="240" t="str">
        <f>'סיכום לוועדה'!A482</f>
        <v/>
      </c>
      <c r="B456" s="241" t="str">
        <f>'סיכום לוועדה'!E482</f>
        <v/>
      </c>
      <c r="C456" s="241" t="str">
        <f>'סיכום לוועדה'!F482</f>
        <v/>
      </c>
      <c r="D456" s="241" t="str">
        <f>'סיכום לוועדה'!G482</f>
        <v/>
      </c>
      <c r="E456" s="242" t="str">
        <f>'סיכום לוועדה'!H482</f>
        <v/>
      </c>
      <c r="F456" s="242"/>
      <c r="G456" s="242"/>
      <c r="H456" s="75"/>
      <c r="I456" s="243"/>
      <c r="J456" s="75"/>
      <c r="K456" s="77"/>
      <c r="L456" s="75"/>
      <c r="M456" s="78"/>
      <c r="N456" s="244"/>
      <c r="O456" s="79"/>
      <c r="P456" s="76" t="str">
        <f>IF(IFERROR(VLOOKUP(B456,'בקשות שאושרו'!$B$2:$I$466,1,0),"")="","",1)</f>
        <v/>
      </c>
      <c r="Q456" s="245" t="str">
        <f>IFERROR(VLOOKUP(B456,'בקשות שאושרו'!$B$2:$K$466,COLUMN('בקשות שאושרו'!$J$1)-COLUMN('בקשות שאושרו'!$B$1)+1,0),"")</f>
        <v/>
      </c>
    </row>
    <row r="457" spans="1:17" s="174" customFormat="1" x14ac:dyDescent="0.25">
      <c r="A457" s="240" t="str">
        <f>'סיכום לוועדה'!A483</f>
        <v/>
      </c>
      <c r="B457" s="241" t="str">
        <f>'סיכום לוועדה'!E483</f>
        <v/>
      </c>
      <c r="C457" s="241" t="str">
        <f>'סיכום לוועדה'!F483</f>
        <v/>
      </c>
      <c r="D457" s="241" t="str">
        <f>'סיכום לוועדה'!G483</f>
        <v/>
      </c>
      <c r="E457" s="242" t="str">
        <f>'סיכום לוועדה'!H483</f>
        <v/>
      </c>
      <c r="F457" s="242"/>
      <c r="G457" s="242"/>
      <c r="H457" s="75"/>
      <c r="I457" s="243"/>
      <c r="J457" s="75"/>
      <c r="K457" s="77"/>
      <c r="L457" s="75"/>
      <c r="M457" s="78"/>
      <c r="N457" s="244"/>
      <c r="O457" s="79"/>
      <c r="P457" s="76" t="str">
        <f>IF(IFERROR(VLOOKUP(B457,'בקשות שאושרו'!$B$2:$I$466,1,0),"")="","",1)</f>
        <v/>
      </c>
      <c r="Q457" s="245" t="str">
        <f>IFERROR(VLOOKUP(B457,'בקשות שאושרו'!$B$2:$K$466,COLUMN('בקשות שאושרו'!$J$1)-COLUMN('בקשות שאושרו'!$B$1)+1,0),"")</f>
        <v/>
      </c>
    </row>
    <row r="458" spans="1:17" s="174" customFormat="1" x14ac:dyDescent="0.25">
      <c r="A458" s="240" t="str">
        <f>'סיכום לוועדה'!A484</f>
        <v/>
      </c>
      <c r="B458" s="241" t="str">
        <f>'סיכום לוועדה'!E484</f>
        <v/>
      </c>
      <c r="C458" s="241" t="str">
        <f>'סיכום לוועדה'!F484</f>
        <v/>
      </c>
      <c r="D458" s="241" t="str">
        <f>'סיכום לוועדה'!G484</f>
        <v/>
      </c>
      <c r="E458" s="242" t="str">
        <f>'סיכום לוועדה'!H484</f>
        <v/>
      </c>
      <c r="F458" s="242"/>
      <c r="G458" s="242"/>
      <c r="H458" s="75"/>
      <c r="I458" s="243"/>
      <c r="J458" s="75"/>
      <c r="K458" s="77"/>
      <c r="L458" s="75"/>
      <c r="M458" s="78"/>
      <c r="N458" s="244"/>
      <c r="O458" s="79"/>
      <c r="P458" s="76" t="str">
        <f>IF(IFERROR(VLOOKUP(B458,'בקשות שאושרו'!$B$2:$I$466,1,0),"")="","",1)</f>
        <v/>
      </c>
      <c r="Q458" s="245" t="str">
        <f>IFERROR(VLOOKUP(B458,'בקשות שאושרו'!$B$2:$K$466,COLUMN('בקשות שאושרו'!$J$1)-COLUMN('בקשות שאושרו'!$B$1)+1,0),"")</f>
        <v/>
      </c>
    </row>
    <row r="459" spans="1:17" s="174" customFormat="1" x14ac:dyDescent="0.25">
      <c r="A459" s="240" t="str">
        <f>'סיכום לוועדה'!A485</f>
        <v/>
      </c>
      <c r="B459" s="241" t="str">
        <f>'סיכום לוועדה'!E485</f>
        <v/>
      </c>
      <c r="C459" s="241" t="str">
        <f>'סיכום לוועדה'!F485</f>
        <v/>
      </c>
      <c r="D459" s="241" t="str">
        <f>'סיכום לוועדה'!G485</f>
        <v/>
      </c>
      <c r="E459" s="242" t="str">
        <f>'סיכום לוועדה'!H485</f>
        <v/>
      </c>
      <c r="F459" s="242"/>
      <c r="G459" s="242"/>
      <c r="H459" s="75"/>
      <c r="I459" s="243"/>
      <c r="J459" s="75"/>
      <c r="K459" s="77"/>
      <c r="L459" s="75"/>
      <c r="M459" s="78"/>
      <c r="N459" s="244"/>
      <c r="O459" s="79"/>
      <c r="P459" s="76" t="str">
        <f>IF(IFERROR(VLOOKUP(B459,'בקשות שאושרו'!$B$2:$I$466,1,0),"")="","",1)</f>
        <v/>
      </c>
      <c r="Q459" s="245" t="str">
        <f>IFERROR(VLOOKUP(B459,'בקשות שאושרו'!$B$2:$K$466,COLUMN('בקשות שאושרו'!$J$1)-COLUMN('בקשות שאושרו'!$B$1)+1,0),"")</f>
        <v/>
      </c>
    </row>
    <row r="460" spans="1:17" s="174" customFormat="1" x14ac:dyDescent="0.25">
      <c r="A460" s="240" t="str">
        <f>'סיכום לוועדה'!A486</f>
        <v/>
      </c>
      <c r="B460" s="241" t="str">
        <f>'סיכום לוועדה'!E486</f>
        <v/>
      </c>
      <c r="C460" s="241" t="str">
        <f>'סיכום לוועדה'!F486</f>
        <v/>
      </c>
      <c r="D460" s="241" t="str">
        <f>'סיכום לוועדה'!G486</f>
        <v/>
      </c>
      <c r="E460" s="242" t="str">
        <f>'סיכום לוועדה'!H486</f>
        <v/>
      </c>
      <c r="F460" s="242"/>
      <c r="G460" s="242"/>
      <c r="H460" s="75"/>
      <c r="I460" s="243"/>
      <c r="J460" s="75"/>
      <c r="K460" s="77"/>
      <c r="L460" s="75"/>
      <c r="M460" s="78"/>
      <c r="N460" s="244"/>
      <c r="O460" s="79"/>
      <c r="P460" s="76" t="str">
        <f>IF(IFERROR(VLOOKUP(B460,'בקשות שאושרו'!$B$2:$I$466,1,0),"")="","",1)</f>
        <v/>
      </c>
      <c r="Q460" s="245" t="str">
        <f>IFERROR(VLOOKUP(B460,'בקשות שאושרו'!$B$2:$K$466,COLUMN('בקשות שאושרו'!$J$1)-COLUMN('בקשות שאושרו'!$B$1)+1,0),"")</f>
        <v/>
      </c>
    </row>
    <row r="461" spans="1:17" s="174" customFormat="1" x14ac:dyDescent="0.25">
      <c r="A461" s="240" t="str">
        <f>'סיכום לוועדה'!A487</f>
        <v/>
      </c>
      <c r="B461" s="241" t="str">
        <f>'סיכום לוועדה'!E487</f>
        <v/>
      </c>
      <c r="C461" s="241" t="str">
        <f>'סיכום לוועדה'!F487</f>
        <v/>
      </c>
      <c r="D461" s="241" t="str">
        <f>'סיכום לוועדה'!G487</f>
        <v/>
      </c>
      <c r="E461" s="242" t="str">
        <f>'סיכום לוועדה'!H487</f>
        <v/>
      </c>
      <c r="F461" s="242"/>
      <c r="G461" s="242"/>
      <c r="H461" s="75"/>
      <c r="I461" s="243"/>
      <c r="J461" s="75"/>
      <c r="K461" s="77"/>
      <c r="L461" s="75"/>
      <c r="M461" s="78"/>
      <c r="N461" s="244"/>
      <c r="O461" s="79"/>
      <c r="P461" s="76" t="str">
        <f>IF(IFERROR(VLOOKUP(B461,'בקשות שאושרו'!$B$2:$I$466,1,0),"")="","",1)</f>
        <v/>
      </c>
      <c r="Q461" s="245" t="str">
        <f>IFERROR(VLOOKUP(B461,'בקשות שאושרו'!$B$2:$K$466,COLUMN('בקשות שאושרו'!$J$1)-COLUMN('בקשות שאושרו'!$B$1)+1,0),"")</f>
        <v/>
      </c>
    </row>
    <row r="462" spans="1:17" s="174" customFormat="1" x14ac:dyDescent="0.25">
      <c r="A462" s="240" t="str">
        <f>'סיכום לוועדה'!A488</f>
        <v/>
      </c>
      <c r="B462" s="241" t="str">
        <f>'סיכום לוועדה'!E488</f>
        <v/>
      </c>
      <c r="C462" s="241" t="str">
        <f>'סיכום לוועדה'!F488</f>
        <v/>
      </c>
      <c r="D462" s="241" t="str">
        <f>'סיכום לוועדה'!G488</f>
        <v/>
      </c>
      <c r="E462" s="242" t="str">
        <f>'סיכום לוועדה'!H488</f>
        <v/>
      </c>
      <c r="F462" s="242"/>
      <c r="G462" s="242"/>
      <c r="H462" s="75"/>
      <c r="I462" s="243"/>
      <c r="J462" s="75"/>
      <c r="K462" s="77"/>
      <c r="L462" s="75"/>
      <c r="M462" s="78"/>
      <c r="N462" s="244"/>
      <c r="O462" s="79"/>
      <c r="P462" s="76" t="str">
        <f>IF(IFERROR(VLOOKUP(B462,'בקשות שאושרו'!$B$2:$I$466,1,0),"")="","",1)</f>
        <v/>
      </c>
      <c r="Q462" s="245" t="str">
        <f>IFERROR(VLOOKUP(B462,'בקשות שאושרו'!$B$2:$K$466,COLUMN('בקשות שאושרו'!$J$1)-COLUMN('בקשות שאושרו'!$B$1)+1,0),"")</f>
        <v/>
      </c>
    </row>
    <row r="463" spans="1:17" s="174" customFormat="1" x14ac:dyDescent="0.25">
      <c r="A463" s="240" t="str">
        <f>'סיכום לוועדה'!A489</f>
        <v/>
      </c>
      <c r="B463" s="241" t="str">
        <f>'סיכום לוועדה'!E489</f>
        <v/>
      </c>
      <c r="C463" s="241" t="str">
        <f>'סיכום לוועדה'!F489</f>
        <v/>
      </c>
      <c r="D463" s="241" t="str">
        <f>'סיכום לוועדה'!G489</f>
        <v/>
      </c>
      <c r="E463" s="242" t="str">
        <f>'סיכום לוועדה'!H489</f>
        <v/>
      </c>
      <c r="F463" s="242"/>
      <c r="G463" s="242"/>
      <c r="H463" s="75"/>
      <c r="I463" s="243"/>
      <c r="J463" s="75"/>
      <c r="K463" s="77"/>
      <c r="L463" s="75"/>
      <c r="M463" s="78"/>
      <c r="N463" s="244"/>
      <c r="O463" s="79"/>
      <c r="P463" s="76" t="str">
        <f>IF(IFERROR(VLOOKUP(B463,'בקשות שאושרו'!$B$2:$I$466,1,0),"")="","",1)</f>
        <v/>
      </c>
      <c r="Q463" s="245" t="str">
        <f>IFERROR(VLOOKUP(B463,'בקשות שאושרו'!$B$2:$K$466,COLUMN('בקשות שאושרו'!$J$1)-COLUMN('בקשות שאושרו'!$B$1)+1,0),"")</f>
        <v/>
      </c>
    </row>
    <row r="464" spans="1:17" s="174" customFormat="1" x14ac:dyDescent="0.25">
      <c r="A464" s="240" t="str">
        <f>'סיכום לוועדה'!A490</f>
        <v/>
      </c>
      <c r="B464" s="241" t="str">
        <f>'סיכום לוועדה'!E490</f>
        <v/>
      </c>
      <c r="C464" s="241" t="str">
        <f>'סיכום לוועדה'!F490</f>
        <v/>
      </c>
      <c r="D464" s="241" t="str">
        <f>'סיכום לוועדה'!G490</f>
        <v/>
      </c>
      <c r="E464" s="242" t="str">
        <f>'סיכום לוועדה'!H490</f>
        <v/>
      </c>
      <c r="F464" s="242"/>
      <c r="G464" s="242"/>
      <c r="H464" s="75"/>
      <c r="I464" s="243"/>
      <c r="J464" s="75"/>
      <c r="K464" s="77"/>
      <c r="L464" s="75"/>
      <c r="M464" s="78"/>
      <c r="N464" s="244"/>
      <c r="O464" s="79"/>
      <c r="P464" s="76" t="str">
        <f>IF(IFERROR(VLOOKUP(B464,'בקשות שאושרו'!$B$2:$I$466,1,0),"")="","",1)</f>
        <v/>
      </c>
      <c r="Q464" s="245" t="str">
        <f>IFERROR(VLOOKUP(B464,'בקשות שאושרו'!$B$2:$K$466,COLUMN('בקשות שאושרו'!$J$1)-COLUMN('בקשות שאושרו'!$B$1)+1,0),"")</f>
        <v/>
      </c>
    </row>
    <row r="465" spans="1:17" s="174" customFormat="1" x14ac:dyDescent="0.25">
      <c r="A465" s="240" t="str">
        <f>'סיכום לוועדה'!A491</f>
        <v/>
      </c>
      <c r="B465" s="241" t="str">
        <f>'סיכום לוועדה'!E491</f>
        <v/>
      </c>
      <c r="C465" s="241" t="str">
        <f>'סיכום לוועדה'!F491</f>
        <v/>
      </c>
      <c r="D465" s="241" t="str">
        <f>'סיכום לוועדה'!G491</f>
        <v/>
      </c>
      <c r="E465" s="242" t="str">
        <f>'סיכום לוועדה'!H491</f>
        <v/>
      </c>
      <c r="F465" s="242"/>
      <c r="G465" s="242"/>
      <c r="H465" s="75"/>
      <c r="I465" s="243"/>
      <c r="J465" s="75"/>
      <c r="K465" s="77"/>
      <c r="L465" s="75"/>
      <c r="M465" s="78"/>
      <c r="N465" s="244"/>
      <c r="O465" s="79"/>
      <c r="P465" s="76" t="str">
        <f>IF(IFERROR(VLOOKUP(B465,'בקשות שאושרו'!$B$2:$I$466,1,0),"")="","",1)</f>
        <v/>
      </c>
      <c r="Q465" s="245" t="str">
        <f>IFERROR(VLOOKUP(B465,'בקשות שאושרו'!$B$2:$K$466,COLUMN('בקשות שאושרו'!$J$1)-COLUMN('בקשות שאושרו'!$B$1)+1,0),"")</f>
        <v/>
      </c>
    </row>
    <row r="466" spans="1:17" s="174" customFormat="1" x14ac:dyDescent="0.25">
      <c r="A466" s="240" t="str">
        <f>'סיכום לוועדה'!A492</f>
        <v/>
      </c>
      <c r="B466" s="241" t="str">
        <f>'סיכום לוועדה'!E492</f>
        <v/>
      </c>
      <c r="C466" s="241" t="str">
        <f>'סיכום לוועדה'!F492</f>
        <v/>
      </c>
      <c r="D466" s="241" t="str">
        <f>'סיכום לוועדה'!G492</f>
        <v/>
      </c>
      <c r="E466" s="242" t="str">
        <f>'סיכום לוועדה'!H492</f>
        <v/>
      </c>
      <c r="F466" s="242"/>
      <c r="G466" s="242"/>
      <c r="H466" s="75"/>
      <c r="I466" s="243"/>
      <c r="J466" s="75"/>
      <c r="K466" s="77"/>
      <c r="L466" s="75"/>
      <c r="M466" s="78"/>
      <c r="N466" s="244"/>
      <c r="O466" s="79"/>
      <c r="P466" s="76" t="str">
        <f>IF(IFERROR(VLOOKUP(B466,'בקשות שאושרו'!$B$2:$I$466,1,0),"")="","",1)</f>
        <v/>
      </c>
      <c r="Q466" s="245" t="str">
        <f>IFERROR(VLOOKUP(B466,'בקשות שאושרו'!$B$2:$K$466,COLUMN('בקשות שאושרו'!$J$1)-COLUMN('בקשות שאושרו'!$B$1)+1,0),"")</f>
        <v/>
      </c>
    </row>
    <row r="467" spans="1:17" s="174" customFormat="1" x14ac:dyDescent="0.25">
      <c r="A467" s="240" t="str">
        <f>'סיכום לוועדה'!A493</f>
        <v/>
      </c>
      <c r="B467" s="241" t="str">
        <f>'סיכום לוועדה'!E493</f>
        <v/>
      </c>
      <c r="C467" s="241" t="str">
        <f>'סיכום לוועדה'!F493</f>
        <v/>
      </c>
      <c r="D467" s="241" t="str">
        <f>'סיכום לוועדה'!G493</f>
        <v/>
      </c>
      <c r="E467" s="242" t="str">
        <f>'סיכום לוועדה'!H493</f>
        <v/>
      </c>
      <c r="F467" s="242"/>
      <c r="G467" s="242"/>
      <c r="H467" s="75"/>
      <c r="I467" s="243"/>
      <c r="J467" s="75"/>
      <c r="K467" s="77"/>
      <c r="L467" s="75"/>
      <c r="M467" s="78"/>
      <c r="N467" s="244"/>
      <c r="O467" s="79"/>
      <c r="P467" s="76" t="str">
        <f>IF(IFERROR(VLOOKUP(B467,'בקשות שאושרו'!$B$2:$I$466,1,0),"")="","",1)</f>
        <v/>
      </c>
      <c r="Q467" s="245" t="str">
        <f>IFERROR(VLOOKUP(B467,'בקשות שאושרו'!$B$2:$K$466,COLUMN('בקשות שאושרו'!$J$1)-COLUMN('בקשות שאושרו'!$B$1)+1,0),"")</f>
        <v/>
      </c>
    </row>
    <row r="468" spans="1:17" s="174" customFormat="1" x14ac:dyDescent="0.25">
      <c r="A468" s="240" t="str">
        <f>'סיכום לוועדה'!A494</f>
        <v/>
      </c>
      <c r="B468" s="241" t="str">
        <f>'סיכום לוועדה'!E494</f>
        <v/>
      </c>
      <c r="C468" s="241" t="str">
        <f>'סיכום לוועדה'!F494</f>
        <v/>
      </c>
      <c r="D468" s="241" t="str">
        <f>'סיכום לוועדה'!G494</f>
        <v/>
      </c>
      <c r="E468" s="242" t="str">
        <f>'סיכום לוועדה'!H494</f>
        <v/>
      </c>
      <c r="F468" s="242"/>
      <c r="G468" s="242"/>
      <c r="H468" s="75"/>
      <c r="I468" s="243"/>
      <c r="J468" s="75"/>
      <c r="K468" s="77"/>
      <c r="L468" s="75"/>
      <c r="M468" s="78"/>
      <c r="N468" s="244"/>
      <c r="O468" s="79"/>
      <c r="P468" s="76" t="str">
        <f>IF(IFERROR(VLOOKUP(B468,'בקשות שאושרו'!$B$2:$I$466,1,0),"")="","",1)</f>
        <v/>
      </c>
      <c r="Q468" s="245" t="str">
        <f>IFERROR(VLOOKUP(B468,'בקשות שאושרו'!$B$2:$K$466,COLUMN('בקשות שאושרו'!$J$1)-COLUMN('בקשות שאושרו'!$B$1)+1,0),"")</f>
        <v/>
      </c>
    </row>
    <row r="469" spans="1:17" s="174" customFormat="1" x14ac:dyDescent="0.25">
      <c r="A469" s="240" t="str">
        <f>'סיכום לוועדה'!A495</f>
        <v/>
      </c>
      <c r="B469" s="241" t="str">
        <f>'סיכום לוועדה'!E495</f>
        <v/>
      </c>
      <c r="C469" s="241" t="str">
        <f>'סיכום לוועדה'!F495</f>
        <v/>
      </c>
      <c r="D469" s="241" t="str">
        <f>'סיכום לוועדה'!G495</f>
        <v/>
      </c>
      <c r="E469" s="242" t="str">
        <f>'סיכום לוועדה'!H495</f>
        <v/>
      </c>
      <c r="F469" s="242"/>
      <c r="G469" s="242"/>
      <c r="H469" s="75"/>
      <c r="I469" s="243"/>
      <c r="J469" s="75"/>
      <c r="K469" s="77"/>
      <c r="L469" s="75"/>
      <c r="M469" s="78"/>
      <c r="N469" s="244"/>
      <c r="O469" s="79"/>
      <c r="P469" s="76" t="str">
        <f>IF(IFERROR(VLOOKUP(B469,'בקשות שאושרו'!$B$2:$I$466,1,0),"")="","",1)</f>
        <v/>
      </c>
      <c r="Q469" s="245" t="str">
        <f>IFERROR(VLOOKUP(B469,'בקשות שאושרו'!$B$2:$K$466,COLUMN('בקשות שאושרו'!$J$1)-COLUMN('בקשות שאושרו'!$B$1)+1,0),"")</f>
        <v/>
      </c>
    </row>
    <row r="470" spans="1:17" s="174" customFormat="1" x14ac:dyDescent="0.25">
      <c r="A470" s="240" t="str">
        <f>'סיכום לוועדה'!A496</f>
        <v/>
      </c>
      <c r="B470" s="241" t="str">
        <f>'סיכום לוועדה'!E496</f>
        <v/>
      </c>
      <c r="C470" s="241" t="str">
        <f>'סיכום לוועדה'!F496</f>
        <v/>
      </c>
      <c r="D470" s="241" t="str">
        <f>'סיכום לוועדה'!G496</f>
        <v/>
      </c>
      <c r="E470" s="242" t="str">
        <f>'סיכום לוועדה'!H496</f>
        <v/>
      </c>
      <c r="F470" s="242"/>
      <c r="G470" s="242"/>
      <c r="H470" s="75"/>
      <c r="I470" s="243"/>
      <c r="J470" s="75"/>
      <c r="K470" s="77"/>
      <c r="L470" s="75"/>
      <c r="M470" s="78"/>
      <c r="N470" s="244"/>
      <c r="O470" s="79"/>
      <c r="P470" s="76" t="str">
        <f>IF(IFERROR(VLOOKUP(B470,'בקשות שאושרו'!$B$2:$I$466,1,0),"")="","",1)</f>
        <v/>
      </c>
      <c r="Q470" s="245" t="str">
        <f>IFERROR(VLOOKUP(B470,'בקשות שאושרו'!$B$2:$K$466,COLUMN('בקשות שאושרו'!$J$1)-COLUMN('בקשות שאושרו'!$B$1)+1,0),"")</f>
        <v/>
      </c>
    </row>
    <row r="471" spans="1:17" s="174" customFormat="1" x14ac:dyDescent="0.25">
      <c r="A471" s="240" t="str">
        <f>'סיכום לוועדה'!A497</f>
        <v/>
      </c>
      <c r="B471" s="241" t="str">
        <f>'סיכום לוועדה'!E497</f>
        <v/>
      </c>
      <c r="C471" s="241" t="str">
        <f>'סיכום לוועדה'!F497</f>
        <v/>
      </c>
      <c r="D471" s="241" t="str">
        <f>'סיכום לוועדה'!G497</f>
        <v/>
      </c>
      <c r="E471" s="242" t="str">
        <f>'סיכום לוועדה'!H497</f>
        <v/>
      </c>
      <c r="F471" s="242"/>
      <c r="G471" s="242"/>
      <c r="H471" s="75"/>
      <c r="I471" s="243"/>
      <c r="J471" s="75"/>
      <c r="K471" s="77"/>
      <c r="L471" s="75"/>
      <c r="M471" s="78"/>
      <c r="N471" s="244"/>
      <c r="O471" s="79"/>
      <c r="P471" s="76" t="str">
        <f>IF(IFERROR(VLOOKUP(B471,'בקשות שאושרו'!$B$2:$I$466,1,0),"")="","",1)</f>
        <v/>
      </c>
      <c r="Q471" s="245" t="str">
        <f>IFERROR(VLOOKUP(B471,'בקשות שאושרו'!$B$2:$K$466,COLUMN('בקשות שאושרו'!$J$1)-COLUMN('בקשות שאושרו'!$B$1)+1,0),"")</f>
        <v/>
      </c>
    </row>
    <row r="472" spans="1:17" s="174" customFormat="1" x14ac:dyDescent="0.25">
      <c r="A472" s="240" t="str">
        <f>'סיכום לוועדה'!A498</f>
        <v/>
      </c>
      <c r="B472" s="241" t="str">
        <f>'סיכום לוועדה'!E498</f>
        <v/>
      </c>
      <c r="C472" s="241" t="str">
        <f>'סיכום לוועדה'!F498</f>
        <v/>
      </c>
      <c r="D472" s="241" t="str">
        <f>'סיכום לוועדה'!G498</f>
        <v/>
      </c>
      <c r="E472" s="242" t="str">
        <f>'סיכום לוועדה'!H498</f>
        <v/>
      </c>
      <c r="F472" s="242"/>
      <c r="G472" s="242"/>
      <c r="H472" s="75"/>
      <c r="I472" s="243"/>
      <c r="J472" s="75"/>
      <c r="K472" s="77"/>
      <c r="L472" s="75"/>
      <c r="M472" s="78"/>
      <c r="N472" s="244"/>
      <c r="O472" s="79"/>
      <c r="P472" s="76" t="str">
        <f>IF(IFERROR(VLOOKUP(B472,'בקשות שאושרו'!$B$2:$I$466,1,0),"")="","",1)</f>
        <v/>
      </c>
      <c r="Q472" s="245" t="str">
        <f>IFERROR(VLOOKUP(B472,'בקשות שאושרו'!$B$2:$K$466,COLUMN('בקשות שאושרו'!$J$1)-COLUMN('בקשות שאושרו'!$B$1)+1,0),"")</f>
        <v/>
      </c>
    </row>
    <row r="473" spans="1:17" s="174" customFormat="1" x14ac:dyDescent="0.25">
      <c r="A473" s="240" t="str">
        <f>'סיכום לוועדה'!A499</f>
        <v/>
      </c>
      <c r="B473" s="241" t="str">
        <f>'סיכום לוועדה'!E499</f>
        <v/>
      </c>
      <c r="C473" s="241" t="str">
        <f>'סיכום לוועדה'!F499</f>
        <v/>
      </c>
      <c r="D473" s="241" t="str">
        <f>'סיכום לוועדה'!G499</f>
        <v/>
      </c>
      <c r="E473" s="242" t="str">
        <f>'סיכום לוועדה'!H499</f>
        <v/>
      </c>
      <c r="F473" s="242"/>
      <c r="G473" s="242"/>
      <c r="H473" s="75"/>
      <c r="I473" s="243"/>
      <c r="J473" s="75"/>
      <c r="K473" s="77"/>
      <c r="L473" s="75"/>
      <c r="M473" s="78"/>
      <c r="N473" s="244"/>
      <c r="O473" s="79"/>
      <c r="P473" s="76" t="str">
        <f>IF(IFERROR(VLOOKUP(B473,'בקשות שאושרו'!$B$2:$I$466,1,0),"")="","",1)</f>
        <v/>
      </c>
      <c r="Q473" s="245" t="str">
        <f>IFERROR(VLOOKUP(B473,'בקשות שאושרו'!$B$2:$K$466,COLUMN('בקשות שאושרו'!$J$1)-COLUMN('בקשות שאושרו'!$B$1)+1,0),"")</f>
        <v/>
      </c>
    </row>
    <row r="474" spans="1:17" s="174" customFormat="1" x14ac:dyDescent="0.25">
      <c r="A474" s="240" t="str">
        <f>'סיכום לוועדה'!A500</f>
        <v/>
      </c>
      <c r="B474" s="241" t="str">
        <f>'סיכום לוועדה'!E500</f>
        <v/>
      </c>
      <c r="C474" s="241" t="str">
        <f>'סיכום לוועדה'!F500</f>
        <v/>
      </c>
      <c r="D474" s="241" t="str">
        <f>'סיכום לוועדה'!G500</f>
        <v/>
      </c>
      <c r="E474" s="242" t="str">
        <f>'סיכום לוועדה'!H500</f>
        <v/>
      </c>
      <c r="F474" s="242"/>
      <c r="G474" s="242"/>
      <c r="H474" s="75"/>
      <c r="I474" s="243"/>
      <c r="J474" s="75"/>
      <c r="K474" s="77"/>
      <c r="L474" s="75"/>
      <c r="M474" s="78"/>
      <c r="N474" s="244"/>
      <c r="O474" s="79"/>
      <c r="P474" s="76" t="str">
        <f>IF(IFERROR(VLOOKUP(B474,'בקשות שאושרו'!$B$2:$I$466,1,0),"")="","",1)</f>
        <v/>
      </c>
      <c r="Q474" s="245" t="str">
        <f>IFERROR(VLOOKUP(B474,'בקשות שאושרו'!$B$2:$K$466,COLUMN('בקשות שאושרו'!$J$1)-COLUMN('בקשות שאושרו'!$B$1)+1,0),"")</f>
        <v/>
      </c>
    </row>
    <row r="475" spans="1:17" s="174" customFormat="1" x14ac:dyDescent="0.25">
      <c r="A475" s="240">
        <f>'סיכום לוועדה'!A501</f>
        <v>0</v>
      </c>
      <c r="B475" s="241" t="str">
        <f>'סיכום לוועדה'!E501</f>
        <v/>
      </c>
      <c r="C475" s="241">
        <f>'סיכום לוועדה'!F501</f>
        <v>0</v>
      </c>
      <c r="D475" s="241">
        <f>'סיכום לוועדה'!G501</f>
        <v>0</v>
      </c>
      <c r="E475" s="242">
        <f>'סיכום לוועדה'!H501</f>
        <v>0</v>
      </c>
      <c r="F475" s="242"/>
      <c r="G475" s="242"/>
      <c r="H475" s="75"/>
      <c r="I475" s="243"/>
      <c r="J475" s="75"/>
      <c r="K475" s="77"/>
      <c r="L475" s="75"/>
      <c r="M475" s="78"/>
      <c r="N475" s="244"/>
      <c r="O475" s="79"/>
      <c r="P475" s="76" t="str">
        <f>IF(IFERROR(VLOOKUP(B475,'בקשות שאושרו'!$B$2:$I$466,1,0),"")="","",1)</f>
        <v/>
      </c>
      <c r="Q475" s="245" t="str">
        <f>IFERROR(VLOOKUP(B475,'בקשות שאושרו'!$B$2:$K$466,COLUMN('בקשות שאושרו'!$J$1)-COLUMN('בקשות שאושרו'!$B$1)+1,0),"")</f>
        <v/>
      </c>
    </row>
    <row r="476" spans="1:17" s="174" customFormat="1" x14ac:dyDescent="0.25">
      <c r="A476" s="240">
        <f>'סיכום לוועדה'!A502</f>
        <v>0</v>
      </c>
      <c r="B476" s="241">
        <f>'סיכום לוועדה'!E502</f>
        <v>0</v>
      </c>
      <c r="C476" s="241">
        <f>'סיכום לוועדה'!F502</f>
        <v>0</v>
      </c>
      <c r="D476" s="241">
        <f>'סיכום לוועדה'!G502</f>
        <v>0</v>
      </c>
      <c r="E476" s="242">
        <f>'סיכום לוועדה'!H502</f>
        <v>0</v>
      </c>
      <c r="F476" s="242"/>
      <c r="G476" s="242"/>
      <c r="H476" s="75"/>
      <c r="I476" s="243"/>
      <c r="J476" s="75"/>
      <c r="K476" s="77"/>
      <c r="L476" s="75"/>
      <c r="M476" s="78"/>
      <c r="N476" s="244"/>
      <c r="O476" s="79"/>
      <c r="P476" s="76" t="str">
        <f>IF(IFERROR(VLOOKUP(B476,'בקשות שאושרו'!$B$2:$I$466,1,0),"")="","",1)</f>
        <v/>
      </c>
      <c r="Q476" s="245" t="str">
        <f>IFERROR(VLOOKUP(B476,'בקשות שאושרו'!$B$2:$K$466,COLUMN('בקשות שאושרו'!$J$1)-COLUMN('בקשות שאושרו'!$B$1)+1,0),"")</f>
        <v/>
      </c>
    </row>
    <row r="477" spans="1:17" s="174" customFormat="1" x14ac:dyDescent="0.25">
      <c r="A477" s="240">
        <f>'סיכום לוועדה'!A503</f>
        <v>0</v>
      </c>
      <c r="B477" s="241">
        <f>'סיכום לוועדה'!E503</f>
        <v>0</v>
      </c>
      <c r="C477" s="241">
        <f>'סיכום לוועדה'!F503</f>
        <v>0</v>
      </c>
      <c r="D477" s="241">
        <f>'סיכום לוועדה'!G503</f>
        <v>0</v>
      </c>
      <c r="E477" s="242">
        <f>'סיכום לוועדה'!H503</f>
        <v>0</v>
      </c>
      <c r="F477" s="242"/>
      <c r="G477" s="242"/>
      <c r="H477" s="75"/>
      <c r="I477" s="243"/>
      <c r="J477" s="75"/>
      <c r="K477" s="77"/>
      <c r="L477" s="75"/>
      <c r="M477" s="78"/>
      <c r="N477" s="244"/>
      <c r="O477" s="79"/>
      <c r="P477" s="76" t="str">
        <f>IF(IFERROR(VLOOKUP(B477,'בקשות שאושרו'!$B$2:$I$466,1,0),"")="","",1)</f>
        <v/>
      </c>
      <c r="Q477" s="245" t="str">
        <f>IFERROR(VLOOKUP(B477,'בקשות שאושרו'!$B$2:$K$466,COLUMN('בקשות שאושרו'!$J$1)-COLUMN('בקשות שאושרו'!$B$1)+1,0),"")</f>
        <v/>
      </c>
    </row>
    <row r="478" spans="1:17" s="174" customFormat="1" x14ac:dyDescent="0.25">
      <c r="A478" s="240">
        <f>'סיכום לוועדה'!A504</f>
        <v>0</v>
      </c>
      <c r="B478" s="241">
        <f>'סיכום לוועדה'!E504</f>
        <v>0</v>
      </c>
      <c r="C478" s="241">
        <f>'סיכום לוועדה'!F504</f>
        <v>0</v>
      </c>
      <c r="D478" s="241">
        <f>'סיכום לוועדה'!G504</f>
        <v>0</v>
      </c>
      <c r="E478" s="242">
        <f>'סיכום לוועדה'!H504</f>
        <v>0</v>
      </c>
      <c r="F478" s="242"/>
      <c r="G478" s="242"/>
      <c r="H478" s="75"/>
      <c r="I478" s="243"/>
      <c r="J478" s="75"/>
      <c r="K478" s="77"/>
      <c r="L478" s="75"/>
      <c r="M478" s="78"/>
      <c r="N478" s="244"/>
      <c r="O478" s="79"/>
      <c r="P478" s="76" t="str">
        <f>IF(IFERROR(VLOOKUP(B478,'בקשות שאושרו'!$B$2:$I$466,1,0),"")="","",1)</f>
        <v/>
      </c>
      <c r="Q478" s="245" t="str">
        <f>IFERROR(VLOOKUP(B478,'בקשות שאושרו'!$B$2:$K$466,COLUMN('בקשות שאושרו'!$J$1)-COLUMN('בקשות שאושרו'!$B$1)+1,0),"")</f>
        <v/>
      </c>
    </row>
    <row r="479" spans="1:17" s="174" customFormat="1" x14ac:dyDescent="0.25">
      <c r="A479" s="240">
        <f>'סיכום לוועדה'!A505</f>
        <v>0</v>
      </c>
      <c r="B479" s="241">
        <f>'סיכום לוועדה'!E505</f>
        <v>0</v>
      </c>
      <c r="C479" s="241">
        <f>'סיכום לוועדה'!F505</f>
        <v>0</v>
      </c>
      <c r="D479" s="241">
        <f>'סיכום לוועדה'!G505</f>
        <v>0</v>
      </c>
      <c r="E479" s="242">
        <f>'סיכום לוועדה'!H505</f>
        <v>0</v>
      </c>
      <c r="F479" s="242"/>
      <c r="G479" s="242"/>
      <c r="H479" s="75"/>
      <c r="I479" s="243"/>
      <c r="J479" s="75"/>
      <c r="K479" s="77"/>
      <c r="L479" s="75"/>
      <c r="M479" s="78"/>
      <c r="N479" s="244"/>
      <c r="O479" s="79"/>
      <c r="P479" s="76" t="str">
        <f>IF(IFERROR(VLOOKUP(B479,'בקשות שאושרו'!$B$2:$I$466,1,0),"")="","",1)</f>
        <v/>
      </c>
      <c r="Q479" s="245" t="str">
        <f>IFERROR(VLOOKUP(B479,'בקשות שאושרו'!$B$2:$K$466,COLUMN('בקשות שאושרו'!$J$1)-COLUMN('בקשות שאושרו'!$B$1)+1,0),"")</f>
        <v/>
      </c>
    </row>
    <row r="480" spans="1:17" s="174" customFormat="1" x14ac:dyDescent="0.25">
      <c r="A480" s="240">
        <f>'סיכום לוועדה'!A506</f>
        <v>0</v>
      </c>
      <c r="B480" s="241">
        <f>'סיכום לוועדה'!E506</f>
        <v>0</v>
      </c>
      <c r="C480" s="241">
        <f>'סיכום לוועדה'!F506</f>
        <v>0</v>
      </c>
      <c r="D480" s="241">
        <f>'סיכום לוועדה'!G506</f>
        <v>0</v>
      </c>
      <c r="E480" s="242">
        <f>'סיכום לוועדה'!H506</f>
        <v>0</v>
      </c>
      <c r="F480" s="242"/>
      <c r="G480" s="242"/>
      <c r="H480" s="75"/>
      <c r="I480" s="243"/>
      <c r="J480" s="75"/>
      <c r="K480" s="77"/>
      <c r="L480" s="75"/>
      <c r="M480" s="78"/>
      <c r="N480" s="244"/>
      <c r="O480" s="79"/>
      <c r="P480" s="76" t="str">
        <f>IF(IFERROR(VLOOKUP(B480,'בקשות שאושרו'!$B$2:$I$466,1,0),"")="","",1)</f>
        <v/>
      </c>
      <c r="Q480" s="245" t="str">
        <f>IFERROR(VLOOKUP(B480,'בקשות שאושרו'!$B$2:$K$466,COLUMN('בקשות שאושרו'!$J$1)-COLUMN('בקשות שאושרו'!$B$1)+1,0),"")</f>
        <v/>
      </c>
    </row>
    <row r="481" spans="1:17" s="174" customFormat="1" x14ac:dyDescent="0.25">
      <c r="A481" s="240">
        <f>'סיכום לוועדה'!A507</f>
        <v>0</v>
      </c>
      <c r="B481" s="241">
        <f>'סיכום לוועדה'!E507</f>
        <v>0</v>
      </c>
      <c r="C481" s="241">
        <f>'סיכום לוועדה'!F507</f>
        <v>0</v>
      </c>
      <c r="D481" s="241">
        <f>'סיכום לוועדה'!G507</f>
        <v>0</v>
      </c>
      <c r="E481" s="242">
        <f>'סיכום לוועדה'!H507</f>
        <v>0</v>
      </c>
      <c r="F481" s="242"/>
      <c r="G481" s="242"/>
      <c r="H481" s="75"/>
      <c r="I481" s="243"/>
      <c r="J481" s="75"/>
      <c r="K481" s="77"/>
      <c r="L481" s="75"/>
      <c r="M481" s="78"/>
      <c r="N481" s="244"/>
      <c r="O481" s="79"/>
      <c r="P481" s="76" t="str">
        <f>IF(IFERROR(VLOOKUP(B481,'בקשות שאושרו'!$B$2:$I$466,1,0),"")="","",1)</f>
        <v/>
      </c>
      <c r="Q481" s="245" t="str">
        <f>IFERROR(VLOOKUP(B481,'בקשות שאושרו'!$B$2:$K$466,COLUMN('בקשות שאושרו'!$J$1)-COLUMN('בקשות שאושרו'!$B$1)+1,0),"")</f>
        <v/>
      </c>
    </row>
    <row r="482" spans="1:17" s="174" customFormat="1" x14ac:dyDescent="0.25">
      <c r="A482" s="240">
        <f>'סיכום לוועדה'!A508</f>
        <v>0</v>
      </c>
      <c r="B482" s="241">
        <f>'סיכום לוועדה'!E508</f>
        <v>0</v>
      </c>
      <c r="C482" s="241">
        <f>'סיכום לוועדה'!F508</f>
        <v>0</v>
      </c>
      <c r="D482" s="241">
        <f>'סיכום לוועדה'!G508</f>
        <v>0</v>
      </c>
      <c r="E482" s="242">
        <f>'סיכום לוועדה'!H508</f>
        <v>0</v>
      </c>
      <c r="F482" s="242"/>
      <c r="G482" s="242"/>
      <c r="H482" s="75"/>
      <c r="I482" s="243"/>
      <c r="J482" s="75"/>
      <c r="K482" s="77"/>
      <c r="L482" s="75"/>
      <c r="M482" s="78"/>
      <c r="N482" s="244"/>
      <c r="O482" s="79"/>
      <c r="P482" s="76" t="str">
        <f>IF(IFERROR(VLOOKUP(B482,'בקשות שאושרו'!$B$2:$I$466,1,0),"")="","",1)</f>
        <v/>
      </c>
      <c r="Q482" s="245" t="str">
        <f>IFERROR(VLOOKUP(B482,'בקשות שאושרו'!$B$2:$K$466,COLUMN('בקשות שאושרו'!$J$1)-COLUMN('בקשות שאושרו'!$B$1)+1,0),"")</f>
        <v/>
      </c>
    </row>
    <row r="483" spans="1:17" s="174" customFormat="1" x14ac:dyDescent="0.25">
      <c r="A483" s="240">
        <f>'סיכום לוועדה'!A509</f>
        <v>0</v>
      </c>
      <c r="B483" s="241">
        <f>'סיכום לוועדה'!E509</f>
        <v>0</v>
      </c>
      <c r="C483" s="241">
        <f>'סיכום לוועדה'!F509</f>
        <v>0</v>
      </c>
      <c r="D483" s="241">
        <f>'סיכום לוועדה'!G509</f>
        <v>0</v>
      </c>
      <c r="E483" s="242">
        <f>'סיכום לוועדה'!H509</f>
        <v>0</v>
      </c>
      <c r="F483" s="242"/>
      <c r="G483" s="242"/>
      <c r="H483" s="75"/>
      <c r="I483" s="243"/>
      <c r="J483" s="75"/>
      <c r="K483" s="77"/>
      <c r="L483" s="75"/>
      <c r="M483" s="78"/>
      <c r="N483" s="244"/>
      <c r="O483" s="79"/>
      <c r="P483" s="76" t="str">
        <f>IF(IFERROR(VLOOKUP(B483,'בקשות שאושרו'!$B$2:$I$466,1,0),"")="","",1)</f>
        <v/>
      </c>
      <c r="Q483" s="245" t="str">
        <f>IFERROR(VLOOKUP(B483,'בקשות שאושרו'!$B$2:$K$466,COLUMN('בקשות שאושרו'!$J$1)-COLUMN('בקשות שאושרו'!$B$1)+1,0),"")</f>
        <v/>
      </c>
    </row>
    <row r="484" spans="1:17" s="174" customFormat="1" x14ac:dyDescent="0.25">
      <c r="A484" s="240">
        <f>'סיכום לוועדה'!A510</f>
        <v>0</v>
      </c>
      <c r="B484" s="241">
        <f>'סיכום לוועדה'!E510</f>
        <v>0</v>
      </c>
      <c r="C484" s="241">
        <f>'סיכום לוועדה'!F510</f>
        <v>0</v>
      </c>
      <c r="D484" s="241">
        <f>'סיכום לוועדה'!G510</f>
        <v>0</v>
      </c>
      <c r="E484" s="242">
        <f>'סיכום לוועדה'!H510</f>
        <v>0</v>
      </c>
      <c r="F484" s="242"/>
      <c r="G484" s="242"/>
      <c r="H484" s="75"/>
      <c r="I484" s="243"/>
      <c r="J484" s="75"/>
      <c r="K484" s="77"/>
      <c r="L484" s="75"/>
      <c r="M484" s="78"/>
      <c r="N484" s="244"/>
      <c r="O484" s="79"/>
      <c r="P484" s="76" t="str">
        <f>IF(IFERROR(VLOOKUP(B484,'בקשות שאושרו'!$B$2:$I$466,1,0),"")="","",1)</f>
        <v/>
      </c>
      <c r="Q484" s="245" t="str">
        <f>IFERROR(VLOOKUP(B484,'בקשות שאושרו'!$B$2:$K$466,COLUMN('בקשות שאושרו'!$J$1)-COLUMN('בקשות שאושרו'!$B$1)+1,0),"")</f>
        <v/>
      </c>
    </row>
    <row r="485" spans="1:17" s="174" customFormat="1" x14ac:dyDescent="0.25">
      <c r="A485" s="240">
        <f>'סיכום לוועדה'!A511</f>
        <v>0</v>
      </c>
      <c r="B485" s="241">
        <f>'סיכום לוועדה'!E511</f>
        <v>0</v>
      </c>
      <c r="C485" s="241">
        <f>'סיכום לוועדה'!F511</f>
        <v>0</v>
      </c>
      <c r="D485" s="241">
        <f>'סיכום לוועדה'!G511</f>
        <v>0</v>
      </c>
      <c r="E485" s="242">
        <f>'סיכום לוועדה'!H511</f>
        <v>0</v>
      </c>
      <c r="F485" s="242"/>
      <c r="G485" s="242"/>
      <c r="H485" s="75"/>
      <c r="I485" s="243"/>
      <c r="J485" s="75"/>
      <c r="K485" s="77"/>
      <c r="L485" s="75"/>
      <c r="M485" s="78"/>
      <c r="N485" s="244"/>
      <c r="O485" s="79"/>
      <c r="P485" s="76" t="str">
        <f>IF(IFERROR(VLOOKUP(B485,'בקשות שאושרו'!$B$2:$I$466,1,0),"")="","",1)</f>
        <v/>
      </c>
      <c r="Q485" s="245" t="str">
        <f>IFERROR(VLOOKUP(B485,'בקשות שאושרו'!$B$2:$K$466,COLUMN('בקשות שאושרו'!$J$1)-COLUMN('בקשות שאושרו'!$B$1)+1,0),"")</f>
        <v/>
      </c>
    </row>
    <row r="486" spans="1:17" s="174" customFormat="1" x14ac:dyDescent="0.25">
      <c r="A486" s="240">
        <f>'סיכום לוועדה'!A512</f>
        <v>0</v>
      </c>
      <c r="B486" s="241">
        <f>'סיכום לוועדה'!E512</f>
        <v>0</v>
      </c>
      <c r="C486" s="241">
        <f>'סיכום לוועדה'!F512</f>
        <v>0</v>
      </c>
      <c r="D486" s="241">
        <f>'סיכום לוועדה'!G512</f>
        <v>0</v>
      </c>
      <c r="E486" s="242">
        <f>'סיכום לוועדה'!H512</f>
        <v>0</v>
      </c>
      <c r="F486" s="242"/>
      <c r="G486" s="242"/>
      <c r="H486" s="75"/>
      <c r="I486" s="243"/>
      <c r="J486" s="75"/>
      <c r="K486" s="77"/>
      <c r="L486" s="75"/>
      <c r="M486" s="78"/>
      <c r="N486" s="244"/>
      <c r="O486" s="79"/>
      <c r="P486" s="76" t="str">
        <f>IF(IFERROR(VLOOKUP(B486,'בקשות שאושרו'!$B$2:$I$466,1,0),"")="","",1)</f>
        <v/>
      </c>
      <c r="Q486" s="245" t="str">
        <f>IFERROR(VLOOKUP(B486,'בקשות שאושרו'!$B$2:$K$466,COLUMN('בקשות שאושרו'!$J$1)-COLUMN('בקשות שאושרו'!$B$1)+1,0),"")</f>
        <v/>
      </c>
    </row>
    <row r="487" spans="1:17" s="174" customFormat="1" x14ac:dyDescent="0.25">
      <c r="A487" s="240">
        <f>'סיכום לוועדה'!A513</f>
        <v>0</v>
      </c>
      <c r="B487" s="241">
        <f>'סיכום לוועדה'!E513</f>
        <v>0</v>
      </c>
      <c r="C487" s="241">
        <f>'סיכום לוועדה'!F513</f>
        <v>0</v>
      </c>
      <c r="D487" s="241">
        <f>'סיכום לוועדה'!G513</f>
        <v>0</v>
      </c>
      <c r="E487" s="242">
        <f>'סיכום לוועדה'!H513</f>
        <v>0</v>
      </c>
      <c r="F487" s="242"/>
      <c r="G487" s="242"/>
      <c r="H487" s="75"/>
      <c r="I487" s="243"/>
      <c r="J487" s="75"/>
      <c r="K487" s="77"/>
      <c r="L487" s="75"/>
      <c r="M487" s="78"/>
      <c r="N487" s="244"/>
      <c r="O487" s="79"/>
      <c r="P487" s="76" t="str">
        <f>IF(IFERROR(VLOOKUP(B487,'בקשות שאושרו'!$B$2:$I$466,1,0),"")="","",1)</f>
        <v/>
      </c>
      <c r="Q487" s="245" t="str">
        <f>IFERROR(VLOOKUP(B487,'בקשות שאושרו'!$B$2:$K$466,COLUMN('בקשות שאושרו'!$J$1)-COLUMN('בקשות שאושרו'!$B$1)+1,0),"")</f>
        <v/>
      </c>
    </row>
    <row r="488" spans="1:17" s="174" customFormat="1" x14ac:dyDescent="0.25">
      <c r="A488" s="240">
        <f>'סיכום לוועדה'!A514</f>
        <v>0</v>
      </c>
      <c r="B488" s="241">
        <f>'סיכום לוועדה'!E514</f>
        <v>0</v>
      </c>
      <c r="C488" s="241">
        <f>'סיכום לוועדה'!F514</f>
        <v>0</v>
      </c>
      <c r="D488" s="241">
        <f>'סיכום לוועדה'!G514</f>
        <v>0</v>
      </c>
      <c r="E488" s="242">
        <f>'סיכום לוועדה'!H514</f>
        <v>0</v>
      </c>
      <c r="F488" s="242"/>
      <c r="G488" s="242"/>
      <c r="H488" s="75"/>
      <c r="I488" s="243"/>
      <c r="J488" s="75"/>
      <c r="K488" s="77"/>
      <c r="L488" s="75"/>
      <c r="M488" s="78"/>
      <c r="N488" s="244"/>
      <c r="O488" s="79"/>
      <c r="P488" s="76" t="str">
        <f>IF(IFERROR(VLOOKUP(B488,'בקשות שאושרו'!$B$2:$I$466,1,0),"")="","",1)</f>
        <v/>
      </c>
      <c r="Q488" s="245" t="str">
        <f>IFERROR(VLOOKUP(B488,'בקשות שאושרו'!$B$2:$K$466,COLUMN('בקשות שאושרו'!$J$1)-COLUMN('בקשות שאושרו'!$B$1)+1,0),"")</f>
        <v/>
      </c>
    </row>
    <row r="489" spans="1:17" s="174" customFormat="1" x14ac:dyDescent="0.25">
      <c r="A489" s="240">
        <f>'סיכום לוועדה'!A515</f>
        <v>0</v>
      </c>
      <c r="B489" s="241">
        <f>'סיכום לוועדה'!E515</f>
        <v>0</v>
      </c>
      <c r="C489" s="241">
        <f>'סיכום לוועדה'!F515</f>
        <v>0</v>
      </c>
      <c r="D489" s="241">
        <f>'סיכום לוועדה'!G515</f>
        <v>0</v>
      </c>
      <c r="E489" s="242">
        <f>'סיכום לוועדה'!H515</f>
        <v>0</v>
      </c>
      <c r="F489" s="242"/>
      <c r="G489" s="242"/>
      <c r="H489" s="75"/>
      <c r="I489" s="243"/>
      <c r="J489" s="75"/>
      <c r="K489" s="77"/>
      <c r="L489" s="75"/>
      <c r="M489" s="78"/>
      <c r="N489" s="244"/>
      <c r="O489" s="79"/>
      <c r="P489" s="76" t="str">
        <f>IF(IFERROR(VLOOKUP(B489,'בקשות שאושרו'!$B$2:$I$466,1,0),"")="","",1)</f>
        <v/>
      </c>
      <c r="Q489" s="245" t="str">
        <f>IFERROR(VLOOKUP(B489,'בקשות שאושרו'!$B$2:$K$466,COLUMN('בקשות שאושרו'!$J$1)-COLUMN('בקשות שאושרו'!$B$1)+1,0),"")</f>
        <v/>
      </c>
    </row>
    <row r="490" spans="1:17" s="174" customFormat="1" x14ac:dyDescent="0.25">
      <c r="A490" s="240">
        <f>'סיכום לוועדה'!A516</f>
        <v>0</v>
      </c>
      <c r="B490" s="241">
        <f>'סיכום לוועדה'!E516</f>
        <v>0</v>
      </c>
      <c r="C490" s="241">
        <f>'סיכום לוועדה'!F516</f>
        <v>0</v>
      </c>
      <c r="D490" s="241">
        <f>'סיכום לוועדה'!G516</f>
        <v>0</v>
      </c>
      <c r="E490" s="242">
        <f>'סיכום לוועדה'!H516</f>
        <v>0</v>
      </c>
      <c r="F490" s="242"/>
      <c r="G490" s="242"/>
      <c r="H490" s="75"/>
      <c r="I490" s="243"/>
      <c r="J490" s="75"/>
      <c r="K490" s="77"/>
      <c r="L490" s="75"/>
      <c r="M490" s="78"/>
      <c r="N490" s="244"/>
      <c r="O490" s="79"/>
      <c r="P490" s="76" t="str">
        <f>IF(IFERROR(VLOOKUP(B490,'בקשות שאושרו'!$B$2:$I$466,1,0),"")="","",1)</f>
        <v/>
      </c>
      <c r="Q490" s="245" t="str">
        <f>IFERROR(VLOOKUP(B490,'בקשות שאושרו'!$B$2:$K$466,COLUMN('בקשות שאושרו'!$J$1)-COLUMN('בקשות שאושרו'!$B$1)+1,0),"")</f>
        <v/>
      </c>
    </row>
    <row r="491" spans="1:17" s="174" customFormat="1" x14ac:dyDescent="0.25">
      <c r="A491" s="240">
        <f>'סיכום לוועדה'!A517</f>
        <v>0</v>
      </c>
      <c r="B491" s="241">
        <f>'סיכום לוועדה'!E517</f>
        <v>0</v>
      </c>
      <c r="C491" s="241">
        <f>'סיכום לוועדה'!F517</f>
        <v>0</v>
      </c>
      <c r="D491" s="241">
        <f>'סיכום לוועדה'!G517</f>
        <v>0</v>
      </c>
      <c r="E491" s="242">
        <f>'סיכום לוועדה'!H517</f>
        <v>0</v>
      </c>
      <c r="F491" s="242"/>
      <c r="G491" s="242"/>
      <c r="H491" s="75"/>
      <c r="I491" s="243"/>
      <c r="J491" s="75"/>
      <c r="K491" s="77"/>
      <c r="L491" s="75"/>
      <c r="M491" s="78"/>
      <c r="N491" s="244"/>
      <c r="O491" s="79"/>
      <c r="P491" s="76" t="str">
        <f>IF(IFERROR(VLOOKUP(B491,'בקשות שאושרו'!$B$2:$I$466,1,0),"")="","",1)</f>
        <v/>
      </c>
      <c r="Q491" s="245" t="str">
        <f>IFERROR(VLOOKUP(B491,'בקשות שאושרו'!$B$2:$K$466,COLUMN('בקשות שאושרו'!$J$1)-COLUMN('בקשות שאושרו'!$B$1)+1,0),"")</f>
        <v/>
      </c>
    </row>
    <row r="492" spans="1:17" s="174" customFormat="1" x14ac:dyDescent="0.25">
      <c r="A492" s="240">
        <f>'סיכום לוועדה'!A518</f>
        <v>0</v>
      </c>
      <c r="B492" s="241">
        <f>'סיכום לוועדה'!E518</f>
        <v>0</v>
      </c>
      <c r="C492" s="241">
        <f>'סיכום לוועדה'!F518</f>
        <v>0</v>
      </c>
      <c r="D492" s="241">
        <f>'סיכום לוועדה'!G518</f>
        <v>0</v>
      </c>
      <c r="E492" s="242">
        <f>'סיכום לוועדה'!H518</f>
        <v>0</v>
      </c>
      <c r="F492" s="242"/>
      <c r="G492" s="242"/>
      <c r="H492" s="75"/>
      <c r="I492" s="243"/>
      <c r="J492" s="75"/>
      <c r="K492" s="77"/>
      <c r="L492" s="75"/>
      <c r="M492" s="78"/>
      <c r="N492" s="244"/>
      <c r="O492" s="79"/>
      <c r="P492" s="76" t="str">
        <f>IF(IFERROR(VLOOKUP(B492,'בקשות שאושרו'!$B$2:$I$466,1,0),"")="","",1)</f>
        <v/>
      </c>
      <c r="Q492" s="245" t="str">
        <f>IFERROR(VLOOKUP(B492,'בקשות שאושרו'!$B$2:$K$466,COLUMN('בקשות שאושרו'!$J$1)-COLUMN('בקשות שאושרו'!$B$1)+1,0),"")</f>
        <v/>
      </c>
    </row>
    <row r="493" spans="1:17" s="174" customFormat="1" x14ac:dyDescent="0.25">
      <c r="A493" s="240">
        <f>'סיכום לוועדה'!A519</f>
        <v>0</v>
      </c>
      <c r="B493" s="241">
        <f>'סיכום לוועדה'!E519</f>
        <v>0</v>
      </c>
      <c r="C493" s="241">
        <f>'סיכום לוועדה'!F519</f>
        <v>0</v>
      </c>
      <c r="D493" s="241">
        <f>'סיכום לוועדה'!G519</f>
        <v>0</v>
      </c>
      <c r="E493" s="242">
        <f>'סיכום לוועדה'!H519</f>
        <v>0</v>
      </c>
      <c r="F493" s="242"/>
      <c r="G493" s="242"/>
      <c r="H493" s="75"/>
      <c r="I493" s="243"/>
      <c r="J493" s="75"/>
      <c r="K493" s="77"/>
      <c r="L493" s="75"/>
      <c r="M493" s="78"/>
      <c r="N493" s="244"/>
      <c r="O493" s="79"/>
      <c r="P493" s="76" t="str">
        <f>IF(IFERROR(VLOOKUP(B493,'בקשות שאושרו'!$B$2:$I$466,1,0),"")="","",1)</f>
        <v/>
      </c>
      <c r="Q493" s="245" t="str">
        <f>IFERROR(VLOOKUP(B493,'בקשות שאושרו'!$B$2:$K$466,COLUMN('בקשות שאושרו'!$J$1)-COLUMN('בקשות שאושרו'!$B$1)+1,0),"")</f>
        <v/>
      </c>
    </row>
    <row r="494" spans="1:17" s="174" customFormat="1" x14ac:dyDescent="0.25">
      <c r="A494" s="240">
        <f>'סיכום לוועדה'!A520</f>
        <v>0</v>
      </c>
      <c r="B494" s="241">
        <f>'סיכום לוועדה'!E520</f>
        <v>0</v>
      </c>
      <c r="C494" s="241">
        <f>'סיכום לוועדה'!F520</f>
        <v>0</v>
      </c>
      <c r="D494" s="241">
        <f>'סיכום לוועדה'!G520</f>
        <v>0</v>
      </c>
      <c r="E494" s="242">
        <f>'סיכום לוועדה'!H520</f>
        <v>0</v>
      </c>
      <c r="F494" s="242"/>
      <c r="G494" s="242"/>
      <c r="H494" s="75"/>
      <c r="I494" s="243"/>
      <c r="J494" s="75"/>
      <c r="K494" s="77"/>
      <c r="L494" s="75"/>
      <c r="M494" s="78"/>
      <c r="N494" s="244"/>
      <c r="O494" s="79"/>
      <c r="P494" s="76" t="str">
        <f>IF(IFERROR(VLOOKUP(B494,'בקשות שאושרו'!$B$2:$I$466,1,0),"")="","",1)</f>
        <v/>
      </c>
      <c r="Q494" s="245" t="str">
        <f>IFERROR(VLOOKUP(B494,'בקשות שאושרו'!$B$2:$K$466,COLUMN('בקשות שאושרו'!$J$1)-COLUMN('בקשות שאושרו'!$B$1)+1,0),"")</f>
        <v/>
      </c>
    </row>
    <row r="495" spans="1:17" s="174" customFormat="1" x14ac:dyDescent="0.25">
      <c r="A495" s="240">
        <f>'סיכום לוועדה'!A521</f>
        <v>0</v>
      </c>
      <c r="B495" s="241">
        <f>'סיכום לוועדה'!E521</f>
        <v>0</v>
      </c>
      <c r="C495" s="241">
        <f>'סיכום לוועדה'!F521</f>
        <v>0</v>
      </c>
      <c r="D495" s="241">
        <f>'סיכום לוועדה'!G521</f>
        <v>0</v>
      </c>
      <c r="E495" s="242">
        <f>'סיכום לוועדה'!H521</f>
        <v>0</v>
      </c>
      <c r="F495" s="242"/>
      <c r="G495" s="242"/>
      <c r="H495" s="75"/>
      <c r="I495" s="243"/>
      <c r="J495" s="75"/>
      <c r="K495" s="77"/>
      <c r="L495" s="75"/>
      <c r="M495" s="78"/>
      <c r="N495" s="244"/>
      <c r="O495" s="79"/>
      <c r="P495" s="76" t="str">
        <f>IF(IFERROR(VLOOKUP(B495,'בקשות שאושרו'!$B$2:$I$466,1,0),"")="","",1)</f>
        <v/>
      </c>
      <c r="Q495" s="245" t="str">
        <f>IFERROR(VLOOKUP(B495,'בקשות שאושרו'!$B$2:$K$466,COLUMN('בקשות שאושרו'!$J$1)-COLUMN('בקשות שאושרו'!$B$1)+1,0),"")</f>
        <v/>
      </c>
    </row>
    <row r="496" spans="1:17" s="174" customFormat="1" x14ac:dyDescent="0.25">
      <c r="A496" s="240">
        <f>'סיכום לוועדה'!A522</f>
        <v>0</v>
      </c>
      <c r="B496" s="241">
        <f>'סיכום לוועדה'!E522</f>
        <v>0</v>
      </c>
      <c r="C496" s="241">
        <f>'סיכום לוועדה'!F522</f>
        <v>0</v>
      </c>
      <c r="D496" s="241">
        <f>'סיכום לוועדה'!G522</f>
        <v>0</v>
      </c>
      <c r="E496" s="242">
        <f>'סיכום לוועדה'!H522</f>
        <v>0</v>
      </c>
      <c r="F496" s="242"/>
      <c r="G496" s="242"/>
      <c r="H496" s="75"/>
      <c r="I496" s="243"/>
      <c r="J496" s="75"/>
      <c r="K496" s="77"/>
      <c r="L496" s="75"/>
      <c r="M496" s="78"/>
      <c r="N496" s="244"/>
      <c r="O496" s="79"/>
      <c r="P496" s="76" t="str">
        <f>IF(IFERROR(VLOOKUP(B496,'בקשות שאושרו'!$B$2:$I$466,1,0),"")="","",1)</f>
        <v/>
      </c>
      <c r="Q496" s="245" t="str">
        <f>IFERROR(VLOOKUP(B496,'בקשות שאושרו'!$B$2:$K$466,COLUMN('בקשות שאושרו'!$J$1)-COLUMN('בקשות שאושרו'!$B$1)+1,0),"")</f>
        <v/>
      </c>
    </row>
    <row r="497" spans="1:20" s="174" customFormat="1" x14ac:dyDescent="0.25">
      <c r="A497" s="240">
        <f>'סיכום לוועדה'!A523</f>
        <v>0</v>
      </c>
      <c r="B497" s="241">
        <f>'סיכום לוועדה'!E523</f>
        <v>0</v>
      </c>
      <c r="C497" s="241">
        <f>'סיכום לוועדה'!F523</f>
        <v>0</v>
      </c>
      <c r="D497" s="241">
        <f>'סיכום לוועדה'!G523</f>
        <v>0</v>
      </c>
      <c r="E497" s="242">
        <f>'סיכום לוועדה'!H523</f>
        <v>0</v>
      </c>
      <c r="F497" s="242"/>
      <c r="G497" s="242"/>
      <c r="H497" s="75"/>
      <c r="I497" s="243"/>
      <c r="J497" s="75"/>
      <c r="K497" s="77"/>
      <c r="L497" s="75"/>
      <c r="M497" s="78"/>
      <c r="N497" s="244"/>
      <c r="O497" s="79"/>
      <c r="P497" s="76" t="str">
        <f>IF(IFERROR(VLOOKUP(B497,'בקשות שאושרו'!$B$2:$I$466,1,0),"")="","",1)</f>
        <v/>
      </c>
      <c r="Q497" s="245" t="str">
        <f>IFERROR(VLOOKUP(B497,'בקשות שאושרו'!$B$2:$K$466,COLUMN('בקשות שאושרו'!$J$1)-COLUMN('בקשות שאושרו'!$B$1)+1,0),"")</f>
        <v/>
      </c>
    </row>
    <row r="498" spans="1:20" s="174" customFormat="1" x14ac:dyDescent="0.25">
      <c r="A498" s="240">
        <f>'סיכום לוועדה'!A524</f>
        <v>0</v>
      </c>
      <c r="B498" s="241">
        <f>'סיכום לוועדה'!E524</f>
        <v>0</v>
      </c>
      <c r="C498" s="241">
        <f>'סיכום לוועדה'!F524</f>
        <v>0</v>
      </c>
      <c r="D498" s="241">
        <f>'סיכום לוועדה'!G524</f>
        <v>0</v>
      </c>
      <c r="E498" s="242">
        <f>'סיכום לוועדה'!H524</f>
        <v>0</v>
      </c>
      <c r="F498" s="242"/>
      <c r="G498" s="242"/>
      <c r="H498" s="75"/>
      <c r="I498" s="243"/>
      <c r="J498" s="75"/>
      <c r="K498" s="77"/>
      <c r="L498" s="75"/>
      <c r="M498" s="78"/>
      <c r="N498" s="244"/>
      <c r="O498" s="79"/>
      <c r="P498" s="76" t="str">
        <f>IF(IFERROR(VLOOKUP(B498,'בקשות שאושרו'!$B$2:$I$466,1,0),"")="","",1)</f>
        <v/>
      </c>
      <c r="Q498" s="245" t="str">
        <f>IFERROR(VLOOKUP(B498,'בקשות שאושרו'!$B$2:$K$466,COLUMN('בקשות שאושרו'!$J$1)-COLUMN('בקשות שאושרו'!$B$1)+1,0),"")</f>
        <v/>
      </c>
    </row>
    <row r="499" spans="1:20" s="174" customFormat="1" x14ac:dyDescent="0.25">
      <c r="A499" s="240">
        <f>'סיכום לוועדה'!A525</f>
        <v>0</v>
      </c>
      <c r="B499" s="241">
        <f>'סיכום לוועדה'!E525</f>
        <v>0</v>
      </c>
      <c r="C499" s="241">
        <f>'סיכום לוועדה'!F525</f>
        <v>0</v>
      </c>
      <c r="D499" s="241">
        <f>'סיכום לוועדה'!G525</f>
        <v>0</v>
      </c>
      <c r="E499" s="242">
        <f>'סיכום לוועדה'!H525</f>
        <v>0</v>
      </c>
      <c r="F499" s="242"/>
      <c r="G499" s="242"/>
      <c r="H499" s="75"/>
      <c r="I499" s="243"/>
      <c r="J499" s="75"/>
      <c r="K499" s="77"/>
      <c r="L499" s="75"/>
      <c r="M499" s="78"/>
      <c r="N499" s="244"/>
      <c r="O499" s="79"/>
      <c r="P499" s="76" t="str">
        <f>IF(IFERROR(VLOOKUP(B499,'בקשות שאושרו'!$B$2:$I$466,1,0),"")="","",1)</f>
        <v/>
      </c>
      <c r="Q499" s="245" t="str">
        <f>IFERROR(VLOOKUP(B499,'בקשות שאושרו'!$B$2:$K$466,COLUMN('בקשות שאושרו'!$J$1)-COLUMN('בקשות שאושרו'!$B$1)+1,0),"")</f>
        <v/>
      </c>
    </row>
    <row r="500" spans="1:20" ht="15.75" thickBot="1" x14ac:dyDescent="0.3">
      <c r="A500" s="240">
        <f>'סיכום לוועדה'!A526</f>
        <v>0</v>
      </c>
      <c r="B500" s="241">
        <f>'סיכום לוועדה'!E526</f>
        <v>0</v>
      </c>
      <c r="C500" s="241">
        <f>'סיכום לוועדה'!F526</f>
        <v>0</v>
      </c>
      <c r="D500" s="241">
        <f>'סיכום לוועדה'!G526</f>
        <v>0</v>
      </c>
      <c r="E500" s="242">
        <f>'סיכום לוועדה'!H526</f>
        <v>0</v>
      </c>
      <c r="F500" s="242"/>
      <c r="G500" s="242"/>
      <c r="H500" s="75"/>
      <c r="I500" s="243"/>
      <c r="J500" s="75"/>
      <c r="K500" s="77"/>
      <c r="L500" s="75"/>
      <c r="M500" s="78"/>
      <c r="N500" s="244"/>
      <c r="O500" s="79"/>
      <c r="P500" s="76" t="str">
        <f>IF(IFERROR(VLOOKUP(B500,'בקשות שאושרו'!$B$2:$I$466,1,0),"")="","",1)</f>
        <v/>
      </c>
      <c r="Q500" s="245" t="str">
        <f>IFERROR(VLOOKUP(B500,'בקשות שאושרו'!$B$2:$K$466,COLUMN('בקשות שאושרו'!$J$1)-COLUMN('בקשות שאושרו'!$B$1)+1,0),"")</f>
        <v/>
      </c>
      <c r="R500" s="174"/>
      <c r="S500" s="174"/>
      <c r="T500" s="174"/>
    </row>
    <row r="501" spans="1:20" ht="15.75" thickBot="1" x14ac:dyDescent="0.3">
      <c r="A501" s="246" t="s">
        <v>0</v>
      </c>
      <c r="B501" s="247"/>
      <c r="C501" s="248"/>
      <c r="D501" s="249"/>
      <c r="E501" s="250"/>
      <c r="F501" s="250"/>
      <c r="G501" s="250"/>
      <c r="H501" s="251">
        <f>SUM(H5:H500)</f>
        <v>0</v>
      </c>
      <c r="I501" s="250"/>
      <c r="J501" s="251"/>
      <c r="K501" s="251">
        <f>SUM(K5:K500)</f>
        <v>0</v>
      </c>
      <c r="L501" s="251">
        <f>SUM(L5:L500)</f>
        <v>0</v>
      </c>
      <c r="M501" s="251">
        <f>SUM(M5:M500)</f>
        <v>0</v>
      </c>
      <c r="N501" s="252"/>
      <c r="O501" s="251">
        <f>SUM(O5:O500)</f>
        <v>0</v>
      </c>
      <c r="P501" s="251">
        <f>SUM(P5:P500)</f>
        <v>0</v>
      </c>
      <c r="Q501" s="253"/>
    </row>
  </sheetData>
  <sheetProtection formatColumns="0" formatRows="0" autoFilter="0"/>
  <autoFilter ref="A4:Q501"/>
  <customSheetViews>
    <customSheetView guid="{6D219446-F28D-45D5-B49F-7CFEDCEF42B5}" showPageBreaks="1" fitToPage="1" printArea="1" filter="1" showAutoFilter="1" hiddenColumns="1" view="pageBreakPreview">
      <pane ySplit="4" topLeftCell="A5" activePane="bottomLeft" state="frozen"/>
      <selection pane="bottomLeft" activeCell="T20" sqref="T20"/>
      <pageMargins left="0.31496062992125984" right="0.31496062992125984" top="0.74803149606299213" bottom="0.74803149606299213" header="0.31496062992125984" footer="0.31496062992125984"/>
      <pageSetup paperSize="9" scale="20" orientation="portrait" r:id="rId1"/>
      <headerFooter>
        <oddHeader>&amp;L&amp;D</oddHeader>
        <oddFooter>&amp;Lא חפץ ייעוץ כלכלי&amp;C&amp;P</oddFooter>
      </headerFooter>
      <autoFilter ref="A4:M305">
        <filterColumn colId="6">
          <filters>
            <filter val="1"/>
          </filters>
        </filterColumn>
      </autoFilter>
    </customSheetView>
    <customSheetView guid="{82A1F10D-6026-46B8-AE8B-529469938F0C}" showPageBreaks="1" fitToPage="1" printArea="1" filter="1" showAutoFilter="1" hiddenColumns="1" view="pageBreakPreview">
      <pane ySplit="4" topLeftCell="A5" activePane="bottomLeft" state="frozen"/>
      <selection pane="bottomLeft" activeCell="H255" sqref="H255"/>
      <pageMargins left="0.31496062992125984" right="0.31496062992125984" top="0.74803149606299213" bottom="0.74803149606299213" header="0.31496062992125984" footer="0.31496062992125984"/>
      <pageSetup paperSize="9" scale="21" orientation="portrait" r:id="rId2"/>
      <headerFooter>
        <oddHeader>&amp;L&amp;D</oddHeader>
        <oddFooter>&amp;Lא חפץ ייעוץ כלכלי&amp;C&amp;P</oddFooter>
      </headerFooter>
      <autoFilter ref="A4:M305">
        <filterColumn colId="6">
          <filters>
            <filter val="1"/>
          </filters>
        </filterColumn>
      </autoFilter>
    </customSheetView>
    <customSheetView guid="{469C741C-1099-4615-BDAA-CB5CEB586B7F}" showPageBreaks="1" fitToPage="1" printArea="1" filter="1" showAutoFilter="1" hiddenColumns="1" view="pageBreakPreview">
      <pane ySplit="4" topLeftCell="A65" activePane="bottomLeft" state="frozen"/>
      <selection pane="bottomLeft" activeCell="G71" sqref="G71"/>
      <pageMargins left="0.31496062992125984" right="0.31496062992125984" top="0.74803149606299213" bottom="0.74803149606299213" header="0.31496062992125984" footer="0.31496062992125984"/>
      <pageSetup paperSize="9" scale="22" orientation="portrait" r:id="rId3"/>
      <headerFooter>
        <oddHeader>&amp;L&amp;D</oddHeader>
        <oddFooter>&amp;Lא חפץ ייעוץ כלכלי&amp;C&amp;P</oddFooter>
      </headerFooter>
      <autoFilter ref="A4:M305">
        <filterColumn colId="6">
          <filters>
            <filter val="1"/>
          </filters>
        </filterColumn>
      </autoFilter>
    </customSheetView>
    <customSheetView guid="{E5C54765-25B5-4899-A8B4-DC3948A535C4}" scale="85" showPageBreaks="1" printArea="1" hiddenColumns="1" view="pageBreakPreview">
      <pane ySplit="4" topLeftCell="A5" activePane="bottomLeft" state="frozen"/>
      <selection pane="bottomLeft" activeCell="I12" sqref="I12"/>
      <pageMargins left="0.31496062992125984" right="0.31496062992125984" top="0.74803149606299213" bottom="0.74803149606299213" header="0.31496062992125984" footer="0.31496062992125984"/>
      <pageSetup paperSize="9" scale="83" orientation="portrait" r:id="rId4"/>
      <headerFooter>
        <oddHeader>&amp;L&amp;D</oddHeader>
        <oddFooter>&amp;Lא חפץ ייעוץ כלכלי&amp;C&amp;P</oddFooter>
      </headerFooter>
    </customSheetView>
    <customSheetView guid="{1FEE78FD-9218-4F4F-A3E9-FCAC81CA362B}" showPageBreaks="1" fitToPage="1" printArea="1" filter="1" showAutoFilter="1" hiddenColumns="1" view="pageBreakPreview">
      <pane ySplit="4" topLeftCell="A163" activePane="bottomLeft" state="frozen"/>
      <selection pane="bottomLeft" activeCell="G187" sqref="G187"/>
      <pageMargins left="0.31496062992125984" right="0.31496062992125984" top="0.74803149606299213" bottom="0.74803149606299213" header="0.31496062992125984" footer="0.31496062992125984"/>
      <pageSetup paperSize="9" scale="21" orientation="portrait" r:id="rId5"/>
      <headerFooter>
        <oddHeader>&amp;L&amp;D</oddHeader>
        <oddFooter>&amp;Lא חפץ ייעוץ כלכלי&amp;C&amp;P</oddFooter>
      </headerFooter>
      <autoFilter ref="A4:M305">
        <filterColumn colId="6">
          <filters>
            <filter val="1"/>
          </filters>
        </filterColumn>
      </autoFilter>
    </customSheetView>
  </customSheetViews>
  <mergeCells count="2">
    <mergeCell ref="A1:P2"/>
    <mergeCell ref="Q1:Q2"/>
  </mergeCells>
  <conditionalFormatting sqref="N5 N6:O500">
    <cfRule type="expression" dxfId="11" priority="9">
      <formula>N5="לא זכאי לתמיכה"</formula>
    </cfRule>
    <cfRule type="expression" dxfId="10" priority="10">
      <formula>N5="זכאי לתמיכה"</formula>
    </cfRule>
  </conditionalFormatting>
  <conditionalFormatting sqref="P5:P500">
    <cfRule type="expression" dxfId="9" priority="3">
      <formula>OR(P5=0,P5="ממתין להשלמות")</formula>
    </cfRule>
    <cfRule type="expression" dxfId="8" priority="4">
      <formula>P5=1</formula>
    </cfRule>
  </conditionalFormatting>
  <conditionalFormatting sqref="Q5:Q500">
    <cfRule type="expression" dxfId="7" priority="1">
      <formula>OR(Q5=0,Q5="ממתין להשלמות")</formula>
    </cfRule>
    <cfRule type="expression" dxfId="6" priority="2">
      <formula>Q5=1</formula>
    </cfRule>
  </conditionalFormatting>
  <pageMargins left="0.31496062992125984" right="0.31496062992125984" top="0.74803149606299213" bottom="0.74803149606299213" header="0.31496062992125984" footer="0.31496062992125984"/>
  <pageSetup paperSize="9" scale="10" orientation="portrait" r:id="rId6"/>
  <headerFooter>
    <oddHeader>&amp;L&amp;D</oddHeader>
    <oddFooter>&amp;Lא חפץ ייעוץ כלכלי&amp;C&amp;P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Q644"/>
  <sheetViews>
    <sheetView rightToLeft="1" workbookViewId="0">
      <pane ySplit="1" topLeftCell="A2" activePane="bottomLeft" state="frozen"/>
      <selection pane="bottomLeft" activeCell="E23" sqref="E23"/>
    </sheetView>
  </sheetViews>
  <sheetFormatPr defaultColWidth="9" defaultRowHeight="14.25" x14ac:dyDescent="0.2"/>
  <cols>
    <col min="1" max="1" width="9" style="60"/>
    <col min="2" max="2" width="13.875" style="66" customWidth="1"/>
    <col min="3" max="3" width="15.25" style="60" customWidth="1"/>
    <col min="4" max="4" width="10.25" style="66" customWidth="1"/>
    <col min="5" max="5" width="35.875" style="66" bestFit="1" customWidth="1"/>
    <col min="6" max="6" width="10.25" style="60" customWidth="1"/>
    <col min="7" max="8" width="9" style="60"/>
    <col min="9" max="9" width="12.125" style="60" bestFit="1" customWidth="1"/>
    <col min="10" max="10" width="9.875" style="60" bestFit="1" customWidth="1"/>
    <col min="11" max="11" width="12.25" style="60" bestFit="1" customWidth="1"/>
    <col min="12" max="16384" width="9" style="60"/>
  </cols>
  <sheetData>
    <row r="1" spans="1:17" ht="75.75" thickBot="1" x14ac:dyDescent="0.3">
      <c r="A1" s="67" t="s">
        <v>266</v>
      </c>
      <c r="B1" s="68" t="s">
        <v>263</v>
      </c>
      <c r="C1" s="69" t="s">
        <v>256</v>
      </c>
      <c r="D1" s="68" t="s">
        <v>264</v>
      </c>
      <c r="E1" s="68" t="s">
        <v>265</v>
      </c>
      <c r="F1" s="69" t="s">
        <v>269</v>
      </c>
      <c r="G1" s="69" t="s">
        <v>304</v>
      </c>
      <c r="H1" s="69" t="s">
        <v>305</v>
      </c>
      <c r="I1" s="69" t="s">
        <v>306</v>
      </c>
      <c r="J1" s="70" t="s">
        <v>303</v>
      </c>
      <c r="K1" s="71" t="s">
        <v>307</v>
      </c>
      <c r="N1" s="446" t="s">
        <v>308</v>
      </c>
      <c r="O1" s="447"/>
      <c r="P1" s="447"/>
      <c r="Q1" s="448"/>
    </row>
    <row r="2" spans="1:17" x14ac:dyDescent="0.2">
      <c r="B2" s="60"/>
      <c r="D2" s="60"/>
      <c r="E2" s="60"/>
      <c r="N2" s="449"/>
      <c r="O2" s="450"/>
      <c r="P2" s="450"/>
      <c r="Q2" s="451"/>
    </row>
    <row r="3" spans="1:17" x14ac:dyDescent="0.2">
      <c r="B3" s="60"/>
      <c r="D3" s="60"/>
      <c r="E3" s="60"/>
      <c r="N3" s="449"/>
      <c r="O3" s="450"/>
      <c r="P3" s="450"/>
      <c r="Q3" s="451"/>
    </row>
    <row r="4" spans="1:17" x14ac:dyDescent="0.2">
      <c r="B4" s="60"/>
      <c r="D4" s="60"/>
      <c r="E4" s="60"/>
      <c r="N4" s="449"/>
      <c r="O4" s="450"/>
      <c r="P4" s="450"/>
      <c r="Q4" s="451"/>
    </row>
    <row r="5" spans="1:17" x14ac:dyDescent="0.2">
      <c r="B5" s="60"/>
      <c r="D5" s="60"/>
      <c r="E5" s="60"/>
      <c r="N5" s="449"/>
      <c r="O5" s="450"/>
      <c r="P5" s="450"/>
      <c r="Q5" s="451"/>
    </row>
    <row r="6" spans="1:17" x14ac:dyDescent="0.2">
      <c r="B6" s="60"/>
      <c r="D6" s="60"/>
      <c r="E6" s="60"/>
      <c r="N6" s="449"/>
      <c r="O6" s="450"/>
      <c r="P6" s="450"/>
      <c r="Q6" s="451"/>
    </row>
    <row r="7" spans="1:17" x14ac:dyDescent="0.2">
      <c r="B7" s="60"/>
      <c r="D7" s="60"/>
      <c r="E7" s="60"/>
      <c r="N7" s="449"/>
      <c r="O7" s="450"/>
      <c r="P7" s="450"/>
      <c r="Q7" s="451"/>
    </row>
    <row r="8" spans="1:17" x14ac:dyDescent="0.2">
      <c r="B8" s="60"/>
      <c r="D8" s="60"/>
      <c r="E8" s="60"/>
      <c r="N8" s="449"/>
      <c r="O8" s="450"/>
      <c r="P8" s="450"/>
      <c r="Q8" s="451"/>
    </row>
    <row r="9" spans="1:17" x14ac:dyDescent="0.2">
      <c r="B9" s="60"/>
      <c r="D9" s="60"/>
      <c r="E9" s="60"/>
      <c r="N9" s="449"/>
      <c r="O9" s="450"/>
      <c r="P9" s="450"/>
      <c r="Q9" s="451"/>
    </row>
    <row r="10" spans="1:17" x14ac:dyDescent="0.2">
      <c r="B10" s="60"/>
      <c r="D10" s="60"/>
      <c r="E10" s="60"/>
      <c r="N10" s="449"/>
      <c r="O10" s="450"/>
      <c r="P10" s="450"/>
      <c r="Q10" s="451"/>
    </row>
    <row r="11" spans="1:17" x14ac:dyDescent="0.2">
      <c r="B11" s="60"/>
      <c r="D11" s="60"/>
      <c r="E11" s="60"/>
      <c r="N11" s="449"/>
      <c r="O11" s="450"/>
      <c r="P11" s="450"/>
      <c r="Q11" s="451"/>
    </row>
    <row r="12" spans="1:17" ht="15" thickBot="1" x14ac:dyDescent="0.25">
      <c r="B12" s="60"/>
      <c r="D12" s="60"/>
      <c r="E12" s="60"/>
      <c r="N12" s="452"/>
      <c r="O12" s="453"/>
      <c r="P12" s="453"/>
      <c r="Q12" s="454"/>
    </row>
    <row r="13" spans="1:17" x14ac:dyDescent="0.2">
      <c r="B13" s="60"/>
      <c r="D13" s="60"/>
      <c r="E13" s="60"/>
    </row>
    <row r="14" spans="1:17" x14ac:dyDescent="0.2">
      <c r="B14" s="60"/>
      <c r="D14" s="60"/>
      <c r="E14" s="60"/>
    </row>
    <row r="15" spans="1:17" x14ac:dyDescent="0.2">
      <c r="B15" s="60"/>
      <c r="D15" s="60"/>
      <c r="E15" s="60"/>
    </row>
    <row r="16" spans="1:17" x14ac:dyDescent="0.2">
      <c r="B16" s="60"/>
      <c r="D16" s="60"/>
      <c r="E16" s="60"/>
    </row>
    <row r="17" spans="2:5" x14ac:dyDescent="0.2">
      <c r="B17" s="60"/>
      <c r="D17" s="60"/>
      <c r="E17" s="60"/>
    </row>
    <row r="18" spans="2:5" x14ac:dyDescent="0.2">
      <c r="B18" s="60"/>
      <c r="D18" s="60"/>
      <c r="E18" s="60"/>
    </row>
    <row r="19" spans="2:5" x14ac:dyDescent="0.2">
      <c r="B19" s="60"/>
      <c r="D19" s="60"/>
      <c r="E19" s="60"/>
    </row>
    <row r="20" spans="2:5" x14ac:dyDescent="0.2">
      <c r="B20" s="60"/>
      <c r="D20" s="60"/>
      <c r="E20" s="60"/>
    </row>
    <row r="21" spans="2:5" x14ac:dyDescent="0.2">
      <c r="B21" s="60"/>
      <c r="D21" s="60"/>
      <c r="E21" s="60"/>
    </row>
    <row r="22" spans="2:5" x14ac:dyDescent="0.2">
      <c r="B22" s="60"/>
      <c r="D22" s="60"/>
      <c r="E22" s="60"/>
    </row>
    <row r="23" spans="2:5" x14ac:dyDescent="0.2">
      <c r="B23" s="60"/>
      <c r="D23" s="60"/>
      <c r="E23" s="60"/>
    </row>
    <row r="24" spans="2:5" x14ac:dyDescent="0.2">
      <c r="B24" s="60"/>
      <c r="D24" s="60"/>
      <c r="E24" s="60"/>
    </row>
    <row r="25" spans="2:5" x14ac:dyDescent="0.2">
      <c r="B25" s="60"/>
      <c r="D25" s="60"/>
      <c r="E25" s="60"/>
    </row>
    <row r="26" spans="2:5" x14ac:dyDescent="0.2">
      <c r="B26" s="60"/>
      <c r="D26" s="60"/>
      <c r="E26" s="60"/>
    </row>
    <row r="27" spans="2:5" x14ac:dyDescent="0.2">
      <c r="B27" s="60"/>
      <c r="D27" s="60"/>
      <c r="E27" s="60"/>
    </row>
    <row r="28" spans="2:5" x14ac:dyDescent="0.2">
      <c r="B28" s="60"/>
      <c r="D28" s="60"/>
      <c r="E28" s="60"/>
    </row>
    <row r="29" spans="2:5" x14ac:dyDescent="0.2">
      <c r="B29" s="60"/>
      <c r="D29" s="60"/>
      <c r="E29" s="60"/>
    </row>
    <row r="30" spans="2:5" x14ac:dyDescent="0.2">
      <c r="B30" s="60"/>
      <c r="D30" s="60"/>
      <c r="E30" s="60"/>
    </row>
    <row r="31" spans="2:5" x14ac:dyDescent="0.2">
      <c r="B31" s="60"/>
      <c r="D31" s="60"/>
      <c r="E31" s="60"/>
    </row>
    <row r="32" spans="2:5" x14ac:dyDescent="0.2">
      <c r="B32" s="60"/>
      <c r="D32" s="60"/>
      <c r="E32" s="60"/>
    </row>
    <row r="33" spans="2:5" x14ac:dyDescent="0.2">
      <c r="B33" s="60"/>
      <c r="D33" s="60"/>
      <c r="E33" s="60"/>
    </row>
    <row r="34" spans="2:5" x14ac:dyDescent="0.2">
      <c r="B34" s="60"/>
      <c r="D34" s="60"/>
      <c r="E34" s="60"/>
    </row>
    <row r="35" spans="2:5" x14ac:dyDescent="0.2">
      <c r="B35" s="60"/>
      <c r="D35" s="60"/>
      <c r="E35" s="60"/>
    </row>
    <row r="36" spans="2:5" x14ac:dyDescent="0.2">
      <c r="B36" s="60"/>
      <c r="D36" s="60"/>
      <c r="E36" s="60"/>
    </row>
    <row r="37" spans="2:5" x14ac:dyDescent="0.2">
      <c r="B37" s="60"/>
      <c r="D37" s="60"/>
      <c r="E37" s="60"/>
    </row>
    <row r="38" spans="2:5" x14ac:dyDescent="0.2">
      <c r="B38" s="60"/>
      <c r="D38" s="60"/>
      <c r="E38" s="60"/>
    </row>
    <row r="39" spans="2:5" x14ac:dyDescent="0.2">
      <c r="B39" s="60"/>
      <c r="D39" s="60"/>
      <c r="E39" s="60"/>
    </row>
    <row r="40" spans="2:5" x14ac:dyDescent="0.2">
      <c r="B40" s="60"/>
      <c r="D40" s="60"/>
      <c r="E40" s="60"/>
    </row>
    <row r="41" spans="2:5" x14ac:dyDescent="0.2">
      <c r="B41" s="60"/>
      <c r="D41" s="60"/>
      <c r="E41" s="60"/>
    </row>
    <row r="42" spans="2:5" x14ac:dyDescent="0.2">
      <c r="B42" s="60"/>
      <c r="D42" s="60"/>
      <c r="E42" s="60"/>
    </row>
    <row r="43" spans="2:5" x14ac:dyDescent="0.2">
      <c r="B43" s="60"/>
      <c r="D43" s="60"/>
      <c r="E43" s="60"/>
    </row>
    <row r="44" spans="2:5" x14ac:dyDescent="0.2">
      <c r="B44" s="60"/>
      <c r="D44" s="60"/>
      <c r="E44" s="60"/>
    </row>
    <row r="45" spans="2:5" x14ac:dyDescent="0.2">
      <c r="B45" s="60"/>
      <c r="D45" s="60"/>
      <c r="E45" s="60"/>
    </row>
    <row r="46" spans="2:5" x14ac:dyDescent="0.2">
      <c r="B46" s="60"/>
      <c r="D46" s="60"/>
      <c r="E46" s="60"/>
    </row>
    <row r="47" spans="2:5" x14ac:dyDescent="0.2">
      <c r="B47" s="60"/>
      <c r="D47" s="60"/>
      <c r="E47" s="60"/>
    </row>
    <row r="48" spans="2:5" x14ac:dyDescent="0.2">
      <c r="B48" s="60"/>
      <c r="D48" s="60"/>
      <c r="E48" s="60"/>
    </row>
    <row r="49" spans="2:5" x14ac:dyDescent="0.2">
      <c r="B49" s="60"/>
      <c r="D49" s="60"/>
      <c r="E49" s="60"/>
    </row>
    <row r="50" spans="2:5" x14ac:dyDescent="0.2">
      <c r="B50" s="60"/>
      <c r="D50" s="60"/>
      <c r="E50" s="60"/>
    </row>
    <row r="51" spans="2:5" x14ac:dyDescent="0.2">
      <c r="B51" s="60"/>
      <c r="D51" s="60"/>
      <c r="E51" s="60"/>
    </row>
    <row r="52" spans="2:5" x14ac:dyDescent="0.2">
      <c r="B52" s="60"/>
      <c r="D52" s="60"/>
      <c r="E52" s="60"/>
    </row>
    <row r="53" spans="2:5" x14ac:dyDescent="0.2">
      <c r="B53" s="60"/>
      <c r="D53" s="60"/>
      <c r="E53" s="60"/>
    </row>
    <row r="54" spans="2:5" x14ac:dyDescent="0.2">
      <c r="B54" s="60"/>
      <c r="D54" s="60"/>
      <c r="E54" s="60"/>
    </row>
    <row r="55" spans="2:5" x14ac:dyDescent="0.2">
      <c r="B55" s="60"/>
      <c r="D55" s="60"/>
      <c r="E55" s="60"/>
    </row>
    <row r="56" spans="2:5" x14ac:dyDescent="0.2">
      <c r="B56" s="60"/>
      <c r="D56" s="60"/>
      <c r="E56" s="60"/>
    </row>
    <row r="57" spans="2:5" x14ac:dyDescent="0.2">
      <c r="B57" s="60"/>
      <c r="D57" s="60"/>
      <c r="E57" s="60"/>
    </row>
    <row r="58" spans="2:5" x14ac:dyDescent="0.2">
      <c r="B58" s="60"/>
      <c r="D58" s="60"/>
      <c r="E58" s="60"/>
    </row>
    <row r="59" spans="2:5" x14ac:dyDescent="0.2">
      <c r="B59" s="60"/>
      <c r="D59" s="60"/>
      <c r="E59" s="60"/>
    </row>
    <row r="60" spans="2:5" x14ac:dyDescent="0.2">
      <c r="B60" s="60"/>
      <c r="D60" s="60"/>
      <c r="E60" s="60"/>
    </row>
    <row r="61" spans="2:5" x14ac:dyDescent="0.2">
      <c r="B61" s="60"/>
      <c r="D61" s="60"/>
      <c r="E61" s="60"/>
    </row>
    <row r="62" spans="2:5" x14ac:dyDescent="0.2">
      <c r="B62" s="60"/>
      <c r="D62" s="60"/>
      <c r="E62" s="60"/>
    </row>
    <row r="63" spans="2:5" x14ac:dyDescent="0.2">
      <c r="B63" s="60"/>
      <c r="D63" s="60"/>
      <c r="E63" s="60"/>
    </row>
    <row r="64" spans="2:5" x14ac:dyDescent="0.2">
      <c r="B64" s="60"/>
      <c r="D64" s="60"/>
      <c r="E64" s="60"/>
    </row>
    <row r="65" spans="2:5" x14ac:dyDescent="0.2">
      <c r="B65" s="60"/>
      <c r="D65" s="60"/>
      <c r="E65" s="60"/>
    </row>
    <row r="66" spans="2:5" x14ac:dyDescent="0.2">
      <c r="B66" s="60"/>
      <c r="D66" s="60"/>
      <c r="E66" s="60"/>
    </row>
    <row r="67" spans="2:5" x14ac:dyDescent="0.2">
      <c r="B67" s="60"/>
      <c r="D67" s="60"/>
      <c r="E67" s="60"/>
    </row>
    <row r="68" spans="2:5" x14ac:dyDescent="0.2">
      <c r="B68" s="60"/>
      <c r="D68" s="60"/>
      <c r="E68" s="60"/>
    </row>
    <row r="69" spans="2:5" x14ac:dyDescent="0.2">
      <c r="B69" s="60"/>
      <c r="D69" s="60"/>
      <c r="E69" s="60"/>
    </row>
    <row r="70" spans="2:5" x14ac:dyDescent="0.2">
      <c r="B70" s="60"/>
      <c r="D70" s="60"/>
      <c r="E70" s="60"/>
    </row>
    <row r="71" spans="2:5" x14ac:dyDescent="0.2">
      <c r="B71" s="60"/>
      <c r="D71" s="60"/>
      <c r="E71" s="60"/>
    </row>
    <row r="72" spans="2:5" x14ac:dyDescent="0.2">
      <c r="B72" s="60"/>
      <c r="D72" s="60"/>
      <c r="E72" s="60"/>
    </row>
    <row r="73" spans="2:5" x14ac:dyDescent="0.2">
      <c r="B73" s="60"/>
      <c r="D73" s="60"/>
      <c r="E73" s="60"/>
    </row>
    <row r="74" spans="2:5" x14ac:dyDescent="0.2">
      <c r="B74" s="60"/>
      <c r="D74" s="60"/>
      <c r="E74" s="60"/>
    </row>
    <row r="75" spans="2:5" x14ac:dyDescent="0.2">
      <c r="B75" s="60"/>
      <c r="D75" s="60"/>
      <c r="E75" s="60"/>
    </row>
    <row r="76" spans="2:5" x14ac:dyDescent="0.2">
      <c r="B76" s="60"/>
      <c r="D76" s="60"/>
      <c r="E76" s="60"/>
    </row>
    <row r="77" spans="2:5" x14ac:dyDescent="0.2">
      <c r="B77" s="60"/>
      <c r="D77" s="60"/>
      <c r="E77" s="60"/>
    </row>
    <row r="78" spans="2:5" x14ac:dyDescent="0.2">
      <c r="B78" s="60"/>
      <c r="D78" s="60"/>
      <c r="E78" s="60"/>
    </row>
    <row r="79" spans="2:5" x14ac:dyDescent="0.2">
      <c r="B79" s="60"/>
      <c r="D79" s="60"/>
      <c r="E79" s="60"/>
    </row>
    <row r="80" spans="2:5" x14ac:dyDescent="0.2">
      <c r="B80" s="60"/>
      <c r="D80" s="60"/>
      <c r="E80" s="60"/>
    </row>
    <row r="81" spans="1:13" x14ac:dyDescent="0.2">
      <c r="B81" s="60"/>
      <c r="D81" s="60"/>
      <c r="E81" s="60"/>
    </row>
    <row r="82" spans="1:13" x14ac:dyDescent="0.2">
      <c r="B82" s="60"/>
      <c r="D82" s="60"/>
      <c r="E82" s="60"/>
    </row>
    <row r="83" spans="1:13" x14ac:dyDescent="0.2">
      <c r="B83" s="60"/>
      <c r="D83" s="60"/>
      <c r="E83" s="60"/>
    </row>
    <row r="84" spans="1:13" x14ac:dyDescent="0.2">
      <c r="B84" s="60"/>
      <c r="D84" s="60"/>
      <c r="E84" s="60"/>
    </row>
    <row r="85" spans="1:13" x14ac:dyDescent="0.2">
      <c r="B85" s="60"/>
      <c r="D85" s="60"/>
      <c r="E85" s="60"/>
    </row>
    <row r="86" spans="1:13" x14ac:dyDescent="0.2">
      <c r="B86" s="60"/>
      <c r="D86" s="60"/>
      <c r="E86" s="60"/>
    </row>
    <row r="87" spans="1:13" x14ac:dyDescent="0.2">
      <c r="B87" s="60"/>
      <c r="D87" s="60"/>
      <c r="E87" s="60"/>
    </row>
    <row r="88" spans="1:13" x14ac:dyDescent="0.2">
      <c r="B88" s="60"/>
      <c r="D88" s="60"/>
      <c r="E88" s="60"/>
    </row>
    <row r="89" spans="1:13" x14ac:dyDescent="0.2">
      <c r="B89" s="60"/>
      <c r="D89" s="60"/>
      <c r="E89" s="60"/>
    </row>
    <row r="90" spans="1:13" x14ac:dyDescent="0.2">
      <c r="B90" s="60"/>
      <c r="D90" s="60"/>
      <c r="E90" s="60"/>
    </row>
    <row r="91" spans="1:13" x14ac:dyDescent="0.2">
      <c r="B91" s="60"/>
      <c r="D91" s="60"/>
      <c r="E91" s="60"/>
    </row>
    <row r="92" spans="1:13" s="61" customFormat="1" x14ac:dyDescent="0.2">
      <c r="A92" s="60"/>
      <c r="B92" s="60"/>
      <c r="C92" s="60"/>
      <c r="D92" s="60"/>
      <c r="E92" s="60"/>
      <c r="F92" s="60"/>
      <c r="G92" s="60"/>
      <c r="H92" s="60"/>
      <c r="I92" s="60"/>
      <c r="J92" s="60"/>
      <c r="K92" s="60"/>
      <c r="L92" s="60"/>
      <c r="M92" s="60"/>
    </row>
    <row r="93" spans="1:13" x14ac:dyDescent="0.2">
      <c r="B93" s="60"/>
      <c r="D93" s="60"/>
      <c r="E93" s="60"/>
    </row>
    <row r="94" spans="1:13" x14ac:dyDescent="0.2">
      <c r="B94" s="60"/>
      <c r="D94" s="60"/>
      <c r="E94" s="60"/>
    </row>
    <row r="95" spans="1:13" x14ac:dyDescent="0.2">
      <c r="B95" s="60"/>
      <c r="D95" s="60"/>
      <c r="E95" s="60"/>
    </row>
    <row r="96" spans="1:13" x14ac:dyDescent="0.2">
      <c r="B96" s="60"/>
      <c r="D96" s="60"/>
      <c r="E96" s="60"/>
    </row>
    <row r="97" spans="1:10" x14ac:dyDescent="0.2">
      <c r="B97" s="60"/>
      <c r="D97" s="60"/>
      <c r="E97" s="60"/>
    </row>
    <row r="98" spans="1:10" x14ac:dyDescent="0.2">
      <c r="B98" s="60"/>
      <c r="D98" s="60"/>
      <c r="E98" s="60"/>
    </row>
    <row r="99" spans="1:10" x14ac:dyDescent="0.2">
      <c r="B99" s="60"/>
      <c r="D99" s="60"/>
      <c r="E99" s="60"/>
    </row>
    <row r="100" spans="1:10" x14ac:dyDescent="0.2">
      <c r="B100" s="60"/>
      <c r="D100" s="60"/>
      <c r="E100" s="60"/>
    </row>
    <row r="101" spans="1:10" x14ac:dyDescent="0.2">
      <c r="B101" s="60"/>
      <c r="D101" s="60"/>
      <c r="E101" s="60"/>
    </row>
    <row r="102" spans="1:10" x14ac:dyDescent="0.2">
      <c r="B102" s="60"/>
      <c r="D102" s="60"/>
      <c r="E102" s="60"/>
    </row>
    <row r="103" spans="1:10" x14ac:dyDescent="0.2">
      <c r="B103" s="60"/>
      <c r="D103" s="60"/>
      <c r="E103" s="60"/>
    </row>
    <row r="104" spans="1:10" x14ac:dyDescent="0.2">
      <c r="B104" s="60"/>
      <c r="D104" s="60"/>
      <c r="E104" s="60"/>
    </row>
    <row r="105" spans="1:10" x14ac:dyDescent="0.2">
      <c r="B105" s="60"/>
      <c r="D105" s="60"/>
      <c r="E105" s="60"/>
    </row>
    <row r="106" spans="1:10" x14ac:dyDescent="0.2">
      <c r="B106" s="60"/>
      <c r="D106" s="60"/>
      <c r="E106" s="60"/>
    </row>
    <row r="107" spans="1:10" x14ac:dyDescent="0.2">
      <c r="B107" s="60"/>
      <c r="D107" s="60"/>
      <c r="E107" s="60"/>
    </row>
    <row r="108" spans="1:10" x14ac:dyDescent="0.2">
      <c r="B108" s="60"/>
      <c r="D108" s="60"/>
      <c r="E108" s="60"/>
    </row>
    <row r="109" spans="1:10" ht="15" x14ac:dyDescent="0.25">
      <c r="A109" s="80"/>
      <c r="B109" s="73"/>
      <c r="C109" s="73"/>
      <c r="D109" s="73"/>
      <c r="E109" s="74"/>
      <c r="F109" s="75"/>
      <c r="G109" s="76"/>
      <c r="H109" s="77"/>
      <c r="I109" s="78"/>
      <c r="J109" s="79"/>
    </row>
    <row r="110" spans="1:10" ht="15" x14ac:dyDescent="0.25">
      <c r="A110" s="80"/>
      <c r="B110" s="73"/>
      <c r="C110" s="73"/>
      <c r="D110" s="73"/>
      <c r="E110" s="74"/>
      <c r="F110" s="75"/>
      <c r="G110" s="76"/>
      <c r="H110" s="77"/>
      <c r="I110" s="78"/>
      <c r="J110" s="79"/>
    </row>
    <row r="111" spans="1:10" ht="15" x14ac:dyDescent="0.25">
      <c r="A111" s="80"/>
      <c r="B111" s="73"/>
      <c r="C111" s="73"/>
      <c r="D111" s="73"/>
      <c r="E111" s="74"/>
      <c r="F111" s="75"/>
      <c r="G111" s="76"/>
      <c r="H111" s="77"/>
      <c r="I111" s="78"/>
      <c r="J111" s="79"/>
    </row>
    <row r="112" spans="1:10" ht="15" x14ac:dyDescent="0.25">
      <c r="A112" s="80"/>
      <c r="B112" s="73"/>
      <c r="C112" s="73"/>
      <c r="D112" s="73"/>
      <c r="E112" s="74"/>
      <c r="F112" s="75"/>
      <c r="G112" s="76"/>
      <c r="H112" s="77"/>
      <c r="I112" s="78"/>
      <c r="J112" s="79"/>
    </row>
    <row r="113" spans="1:12" ht="15" x14ac:dyDescent="0.25">
      <c r="A113" s="80"/>
      <c r="B113" s="73"/>
      <c r="C113" s="73"/>
      <c r="D113" s="73"/>
      <c r="E113" s="74"/>
      <c r="F113" s="75"/>
      <c r="G113" s="76"/>
      <c r="H113" s="77"/>
      <c r="I113" s="78"/>
      <c r="J113" s="79"/>
    </row>
    <row r="114" spans="1:12" ht="15" x14ac:dyDescent="0.25">
      <c r="A114" s="80"/>
      <c r="B114" s="73"/>
      <c r="C114" s="73"/>
      <c r="D114" s="73"/>
      <c r="E114" s="74"/>
      <c r="F114" s="75"/>
      <c r="G114" s="76"/>
      <c r="H114" s="77"/>
      <c r="I114" s="78"/>
      <c r="J114" s="79"/>
    </row>
    <row r="115" spans="1:12" ht="15" x14ac:dyDescent="0.25">
      <c r="A115" s="80"/>
      <c r="B115" s="73"/>
      <c r="C115" s="73"/>
      <c r="D115" s="73"/>
      <c r="E115" s="74"/>
      <c r="F115" s="75"/>
      <c r="G115" s="76"/>
      <c r="H115" s="77"/>
      <c r="I115" s="78"/>
      <c r="J115" s="79"/>
    </row>
    <row r="116" spans="1:12" ht="15" x14ac:dyDescent="0.25">
      <c r="A116" s="80"/>
      <c r="B116" s="73"/>
      <c r="C116" s="73"/>
      <c r="D116" s="73"/>
      <c r="E116" s="74"/>
      <c r="F116" s="75"/>
      <c r="G116" s="76"/>
      <c r="H116" s="77"/>
      <c r="I116" s="78"/>
      <c r="J116" s="79"/>
    </row>
    <row r="117" spans="1:12" ht="15" x14ac:dyDescent="0.25">
      <c r="A117" s="80"/>
      <c r="B117" s="73"/>
      <c r="C117" s="73"/>
      <c r="D117" s="73"/>
      <c r="E117" s="74"/>
      <c r="F117" s="75"/>
      <c r="G117" s="76"/>
      <c r="H117" s="77"/>
      <c r="I117" s="78"/>
      <c r="J117" s="79"/>
    </row>
    <row r="118" spans="1:12" ht="15" x14ac:dyDescent="0.25">
      <c r="A118" s="80"/>
      <c r="B118" s="73"/>
      <c r="C118" s="73"/>
      <c r="D118" s="73"/>
      <c r="E118" s="74"/>
      <c r="F118" s="75"/>
      <c r="G118" s="76"/>
      <c r="H118" s="77"/>
      <c r="I118" s="78"/>
      <c r="J118" s="79"/>
    </row>
    <row r="119" spans="1:12" ht="15" x14ac:dyDescent="0.25">
      <c r="A119" s="80"/>
      <c r="B119" s="73"/>
      <c r="C119" s="73"/>
      <c r="D119" s="73"/>
      <c r="E119" s="74"/>
      <c r="F119" s="75"/>
      <c r="G119" s="76"/>
      <c r="H119" s="77"/>
      <c r="I119" s="78"/>
      <c r="J119" s="79"/>
    </row>
    <row r="120" spans="1:12" ht="15" x14ac:dyDescent="0.25">
      <c r="A120" s="80"/>
      <c r="B120" s="73"/>
      <c r="C120" s="73"/>
      <c r="D120" s="73"/>
      <c r="E120" s="74"/>
      <c r="F120" s="75"/>
      <c r="G120" s="76"/>
      <c r="H120" s="77"/>
      <c r="I120" s="78"/>
      <c r="J120" s="79"/>
    </row>
    <row r="121" spans="1:12" x14ac:dyDescent="0.2">
      <c r="B121" s="60"/>
      <c r="D121" s="60"/>
      <c r="E121" s="60"/>
      <c r="K121" s="60" t="s">
        <v>250</v>
      </c>
      <c r="L121" s="60" t="s">
        <v>250</v>
      </c>
    </row>
    <row r="122" spans="1:12" x14ac:dyDescent="0.2">
      <c r="B122" s="60"/>
      <c r="D122" s="60"/>
      <c r="E122" s="60"/>
      <c r="K122" s="60" t="s">
        <v>250</v>
      </c>
      <c r="L122" s="60" t="s">
        <v>250</v>
      </c>
    </row>
    <row r="123" spans="1:12" x14ac:dyDescent="0.2">
      <c r="B123" s="60"/>
      <c r="D123" s="60"/>
      <c r="E123" s="60"/>
      <c r="K123" s="60" t="s">
        <v>250</v>
      </c>
      <c r="L123" s="60" t="s">
        <v>250</v>
      </c>
    </row>
    <row r="124" spans="1:12" x14ac:dyDescent="0.2">
      <c r="B124" s="60"/>
      <c r="D124" s="60"/>
      <c r="E124" s="60"/>
      <c r="K124" s="60" t="s">
        <v>250</v>
      </c>
      <c r="L124" s="60" t="s">
        <v>250</v>
      </c>
    </row>
    <row r="125" spans="1:12" x14ac:dyDescent="0.2">
      <c r="B125" s="60"/>
      <c r="D125" s="60"/>
      <c r="E125" s="60"/>
      <c r="K125" s="60" t="s">
        <v>250</v>
      </c>
      <c r="L125" s="60" t="s">
        <v>250</v>
      </c>
    </row>
    <row r="126" spans="1:12" x14ac:dyDescent="0.2">
      <c r="B126" s="60"/>
      <c r="D126" s="60"/>
      <c r="E126" s="60"/>
      <c r="K126" s="60" t="s">
        <v>250</v>
      </c>
      <c r="L126" s="60" t="s">
        <v>250</v>
      </c>
    </row>
    <row r="127" spans="1:12" x14ac:dyDescent="0.2">
      <c r="B127" s="60"/>
      <c r="D127" s="60"/>
      <c r="E127" s="60"/>
      <c r="K127" s="60" t="s">
        <v>250</v>
      </c>
      <c r="L127" s="60" t="s">
        <v>250</v>
      </c>
    </row>
    <row r="128" spans="1:12" x14ac:dyDescent="0.2">
      <c r="B128" s="60"/>
      <c r="D128" s="60"/>
      <c r="E128" s="60"/>
      <c r="K128" s="60" t="s">
        <v>250</v>
      </c>
      <c r="L128" s="60" t="s">
        <v>250</v>
      </c>
    </row>
    <row r="129" spans="2:12" x14ac:dyDescent="0.2">
      <c r="B129" s="60"/>
      <c r="D129" s="60"/>
      <c r="E129" s="60"/>
      <c r="K129" s="60" t="s">
        <v>250</v>
      </c>
      <c r="L129" s="60" t="s">
        <v>250</v>
      </c>
    </row>
    <row r="130" spans="2:12" x14ac:dyDescent="0.2">
      <c r="B130" s="60"/>
      <c r="D130" s="60"/>
      <c r="E130" s="60"/>
      <c r="K130" s="60" t="s">
        <v>250</v>
      </c>
      <c r="L130" s="60" t="s">
        <v>250</v>
      </c>
    </row>
    <row r="131" spans="2:12" x14ac:dyDescent="0.2">
      <c r="B131" s="60"/>
      <c r="D131" s="60"/>
      <c r="E131" s="60"/>
      <c r="K131" s="60" t="s">
        <v>250</v>
      </c>
      <c r="L131" s="60" t="s">
        <v>250</v>
      </c>
    </row>
    <row r="132" spans="2:12" x14ac:dyDescent="0.2">
      <c r="B132" s="60"/>
      <c r="D132" s="60"/>
      <c r="E132" s="60"/>
      <c r="K132" s="60" t="s">
        <v>250</v>
      </c>
      <c r="L132" s="60" t="s">
        <v>250</v>
      </c>
    </row>
    <row r="133" spans="2:12" x14ac:dyDescent="0.2">
      <c r="B133" s="60"/>
      <c r="D133" s="60"/>
      <c r="E133" s="60"/>
      <c r="K133" s="60" t="s">
        <v>250</v>
      </c>
      <c r="L133" s="60" t="s">
        <v>250</v>
      </c>
    </row>
    <row r="134" spans="2:12" x14ac:dyDescent="0.2">
      <c r="B134" s="60"/>
      <c r="D134" s="60"/>
      <c r="E134" s="60"/>
      <c r="K134" s="60" t="s">
        <v>250</v>
      </c>
      <c r="L134" s="60" t="s">
        <v>250</v>
      </c>
    </row>
    <row r="135" spans="2:12" x14ac:dyDescent="0.2">
      <c r="B135" s="60"/>
      <c r="D135" s="60"/>
      <c r="E135" s="60"/>
      <c r="K135" s="60" t="s">
        <v>250</v>
      </c>
      <c r="L135" s="60" t="s">
        <v>250</v>
      </c>
    </row>
    <row r="136" spans="2:12" x14ac:dyDescent="0.2">
      <c r="B136" s="60"/>
      <c r="D136" s="60"/>
      <c r="E136" s="60"/>
      <c r="K136" s="60" t="s">
        <v>250</v>
      </c>
      <c r="L136" s="60" t="s">
        <v>250</v>
      </c>
    </row>
    <row r="137" spans="2:12" x14ac:dyDescent="0.2">
      <c r="B137" s="60"/>
      <c r="D137" s="60"/>
      <c r="E137" s="60"/>
      <c r="K137" s="60" t="s">
        <v>250</v>
      </c>
      <c r="L137" s="60" t="s">
        <v>250</v>
      </c>
    </row>
    <row r="138" spans="2:12" x14ac:dyDescent="0.2">
      <c r="B138" s="60"/>
      <c r="D138" s="60"/>
      <c r="E138" s="60"/>
      <c r="K138" s="60" t="s">
        <v>250</v>
      </c>
      <c r="L138" s="60" t="s">
        <v>250</v>
      </c>
    </row>
    <row r="139" spans="2:12" x14ac:dyDescent="0.2">
      <c r="B139" s="60"/>
      <c r="D139" s="60"/>
      <c r="E139" s="60"/>
      <c r="K139" s="60" t="s">
        <v>250</v>
      </c>
      <c r="L139" s="60" t="s">
        <v>250</v>
      </c>
    </row>
    <row r="140" spans="2:12" x14ac:dyDescent="0.2">
      <c r="B140" s="60"/>
      <c r="D140" s="60"/>
      <c r="E140" s="60"/>
      <c r="K140" s="60" t="s">
        <v>250</v>
      </c>
      <c r="L140" s="60" t="s">
        <v>250</v>
      </c>
    </row>
    <row r="141" spans="2:12" x14ac:dyDescent="0.2">
      <c r="B141" s="60"/>
      <c r="D141" s="60"/>
      <c r="E141" s="60"/>
      <c r="K141" s="60" t="s">
        <v>250</v>
      </c>
      <c r="L141" s="60" t="s">
        <v>250</v>
      </c>
    </row>
    <row r="142" spans="2:12" x14ac:dyDescent="0.2">
      <c r="B142" s="60"/>
      <c r="D142" s="60"/>
      <c r="E142" s="60"/>
      <c r="K142" s="60" t="s">
        <v>250</v>
      </c>
      <c r="L142" s="60" t="s">
        <v>250</v>
      </c>
    </row>
    <row r="143" spans="2:12" x14ac:dyDescent="0.2">
      <c r="B143" s="60"/>
      <c r="D143" s="60"/>
      <c r="E143" s="60"/>
      <c r="K143" s="60" t="s">
        <v>250</v>
      </c>
      <c r="L143" s="60" t="s">
        <v>250</v>
      </c>
    </row>
    <row r="144" spans="2:12" x14ac:dyDescent="0.2">
      <c r="B144" s="60"/>
      <c r="D144" s="60"/>
      <c r="E144" s="60"/>
      <c r="K144" s="60" t="s">
        <v>250</v>
      </c>
      <c r="L144" s="60" t="s">
        <v>250</v>
      </c>
    </row>
    <row r="145" spans="1:12" x14ac:dyDescent="0.2">
      <c r="B145" s="60"/>
      <c r="D145" s="60"/>
      <c r="E145" s="60"/>
      <c r="K145" s="60" t="s">
        <v>250</v>
      </c>
      <c r="L145" s="60" t="s">
        <v>250</v>
      </c>
    </row>
    <row r="146" spans="1:12" x14ac:dyDescent="0.2">
      <c r="B146" s="60"/>
      <c r="D146" s="60"/>
      <c r="E146" s="60"/>
      <c r="K146" s="60" t="s">
        <v>250</v>
      </c>
      <c r="L146" s="60" t="s">
        <v>250</v>
      </c>
    </row>
    <row r="147" spans="1:12" x14ac:dyDescent="0.2">
      <c r="B147" s="60"/>
      <c r="D147" s="60"/>
      <c r="E147" s="60"/>
      <c r="K147" s="60" t="s">
        <v>250</v>
      </c>
      <c r="L147" s="60" t="s">
        <v>250</v>
      </c>
    </row>
    <row r="148" spans="1:12" x14ac:dyDescent="0.2">
      <c r="B148" s="60"/>
      <c r="D148" s="60"/>
      <c r="E148" s="60"/>
      <c r="K148" s="60" t="s">
        <v>250</v>
      </c>
      <c r="L148" s="60" t="s">
        <v>250</v>
      </c>
    </row>
    <row r="149" spans="1:12" x14ac:dyDescent="0.2">
      <c r="B149" s="60"/>
      <c r="D149" s="60"/>
      <c r="E149" s="60"/>
      <c r="K149" s="60" t="s">
        <v>250</v>
      </c>
      <c r="L149" s="60" t="s">
        <v>250</v>
      </c>
    </row>
    <row r="150" spans="1:12" x14ac:dyDescent="0.2">
      <c r="B150" s="60"/>
      <c r="D150" s="60"/>
      <c r="E150" s="60"/>
      <c r="K150" s="60" t="s">
        <v>250</v>
      </c>
      <c r="L150" s="60" t="s">
        <v>250</v>
      </c>
    </row>
    <row r="151" spans="1:12" x14ac:dyDescent="0.2">
      <c r="B151" s="60"/>
      <c r="D151" s="60"/>
      <c r="E151" s="60"/>
      <c r="K151" s="60" t="s">
        <v>250</v>
      </c>
      <c r="L151" s="60" t="s">
        <v>250</v>
      </c>
    </row>
    <row r="152" spans="1:12" x14ac:dyDescent="0.2">
      <c r="B152" s="60"/>
      <c r="D152" s="60"/>
      <c r="E152" s="60"/>
      <c r="K152" s="60" t="s">
        <v>250</v>
      </c>
      <c r="L152" s="60" t="s">
        <v>250</v>
      </c>
    </row>
    <row r="153" spans="1:12" x14ac:dyDescent="0.2">
      <c r="B153" s="60"/>
      <c r="D153" s="60"/>
      <c r="E153" s="60"/>
      <c r="K153" s="60" t="s">
        <v>250</v>
      </c>
      <c r="L153" s="60" t="s">
        <v>250</v>
      </c>
    </row>
    <row r="154" spans="1:12" x14ac:dyDescent="0.2">
      <c r="B154" s="60"/>
      <c r="D154" s="60"/>
      <c r="E154" s="60"/>
      <c r="K154" s="60" t="s">
        <v>250</v>
      </c>
      <c r="L154" s="60" t="s">
        <v>250</v>
      </c>
    </row>
    <row r="155" spans="1:12" x14ac:dyDescent="0.2">
      <c r="B155" s="60"/>
      <c r="D155" s="60"/>
      <c r="E155" s="60"/>
      <c r="K155" s="60" t="s">
        <v>250</v>
      </c>
      <c r="L155" s="60" t="s">
        <v>250</v>
      </c>
    </row>
    <row r="156" spans="1:12" x14ac:dyDescent="0.2">
      <c r="B156" s="60"/>
      <c r="D156" s="60"/>
      <c r="E156" s="60"/>
      <c r="K156" s="60" t="s">
        <v>250</v>
      </c>
      <c r="L156" s="60" t="s">
        <v>250</v>
      </c>
    </row>
    <row r="157" spans="1:12" x14ac:dyDescent="0.2">
      <c r="B157" s="60"/>
      <c r="D157" s="60"/>
      <c r="E157" s="60"/>
      <c r="K157" s="60" t="s">
        <v>250</v>
      </c>
      <c r="L157" s="60" t="s">
        <v>250</v>
      </c>
    </row>
    <row r="158" spans="1:12" x14ac:dyDescent="0.2">
      <c r="B158" s="60"/>
      <c r="D158" s="60"/>
      <c r="E158" s="60"/>
      <c r="K158" s="60" t="s">
        <v>250</v>
      </c>
      <c r="L158" s="60" t="s">
        <v>250</v>
      </c>
    </row>
    <row r="159" spans="1:12" x14ac:dyDescent="0.2">
      <c r="B159" s="60"/>
      <c r="D159" s="60"/>
      <c r="E159" s="60"/>
      <c r="K159" s="60" t="s">
        <v>250</v>
      </c>
      <c r="L159" s="60" t="s">
        <v>250</v>
      </c>
    </row>
    <row r="160" spans="1:12" ht="15" x14ac:dyDescent="0.25">
      <c r="A160" s="80"/>
      <c r="B160" s="73"/>
      <c r="C160" s="73"/>
      <c r="D160" s="73"/>
      <c r="E160" s="74"/>
      <c r="F160" s="77"/>
      <c r="G160" s="76"/>
      <c r="H160" s="75"/>
      <c r="I160" s="78"/>
    </row>
    <row r="161" spans="1:9" ht="15" x14ac:dyDescent="0.25">
      <c r="A161" s="80"/>
      <c r="B161" s="73"/>
      <c r="C161" s="73"/>
      <c r="D161" s="73"/>
      <c r="E161" s="74"/>
      <c r="F161" s="77"/>
      <c r="G161" s="76"/>
      <c r="H161" s="75"/>
      <c r="I161" s="78"/>
    </row>
    <row r="162" spans="1:9" ht="15" x14ac:dyDescent="0.25">
      <c r="A162" s="80"/>
      <c r="B162" s="73"/>
      <c r="C162" s="73"/>
      <c r="D162" s="73"/>
      <c r="E162" s="74"/>
      <c r="F162" s="77"/>
      <c r="G162" s="76"/>
      <c r="H162" s="75"/>
      <c r="I162" s="78"/>
    </row>
    <row r="163" spans="1:9" ht="15" x14ac:dyDescent="0.25">
      <c r="A163" s="80"/>
      <c r="B163" s="73"/>
      <c r="C163" s="73"/>
      <c r="D163" s="73"/>
      <c r="E163" s="74"/>
      <c r="F163" s="77"/>
      <c r="G163" s="76"/>
      <c r="H163" s="75"/>
      <c r="I163" s="78"/>
    </row>
    <row r="164" spans="1:9" ht="15" x14ac:dyDescent="0.25">
      <c r="A164" s="80"/>
      <c r="B164" s="73"/>
      <c r="C164" s="73"/>
      <c r="D164" s="73"/>
      <c r="E164" s="74"/>
      <c r="F164" s="77"/>
      <c r="G164" s="76"/>
      <c r="H164" s="75"/>
      <c r="I164" s="78"/>
    </row>
    <row r="165" spans="1:9" ht="15" x14ac:dyDescent="0.25">
      <c r="A165" s="80"/>
      <c r="B165" s="73"/>
      <c r="C165" s="73"/>
      <c r="D165" s="73"/>
      <c r="E165" s="74"/>
      <c r="F165" s="77"/>
      <c r="G165" s="76"/>
      <c r="H165" s="75"/>
      <c r="I165" s="78"/>
    </row>
    <row r="166" spans="1:9" ht="15" x14ac:dyDescent="0.25">
      <c r="A166" s="80"/>
      <c r="B166" s="73"/>
      <c r="C166" s="73"/>
      <c r="D166" s="73"/>
      <c r="E166" s="74"/>
      <c r="F166" s="77"/>
      <c r="G166" s="76"/>
      <c r="H166" s="75"/>
      <c r="I166" s="78"/>
    </row>
    <row r="167" spans="1:9" ht="15" x14ac:dyDescent="0.25">
      <c r="A167" s="80"/>
      <c r="B167" s="73"/>
      <c r="C167" s="73"/>
      <c r="D167" s="73"/>
      <c r="E167" s="74"/>
      <c r="F167" s="77"/>
      <c r="G167" s="76"/>
      <c r="H167" s="75"/>
      <c r="I167" s="78"/>
    </row>
    <row r="168" spans="1:9" ht="15" x14ac:dyDescent="0.25">
      <c r="A168" s="80"/>
      <c r="B168" s="73"/>
      <c r="C168" s="73"/>
      <c r="D168" s="73"/>
      <c r="E168" s="74"/>
      <c r="F168" s="77"/>
      <c r="G168" s="76"/>
      <c r="H168" s="75"/>
      <c r="I168" s="78"/>
    </row>
    <row r="169" spans="1:9" ht="15" x14ac:dyDescent="0.25">
      <c r="A169" s="80"/>
      <c r="B169" s="73"/>
      <c r="C169" s="73"/>
      <c r="D169" s="73"/>
      <c r="E169" s="74"/>
      <c r="F169" s="77"/>
      <c r="G169" s="76"/>
      <c r="H169" s="75"/>
      <c r="I169" s="78"/>
    </row>
    <row r="170" spans="1:9" ht="15" x14ac:dyDescent="0.25">
      <c r="A170" s="80"/>
      <c r="B170" s="73"/>
      <c r="C170" s="73"/>
      <c r="D170" s="73"/>
      <c r="E170" s="74"/>
      <c r="F170" s="77"/>
      <c r="G170" s="76"/>
      <c r="H170" s="75"/>
      <c r="I170" s="78"/>
    </row>
    <row r="171" spans="1:9" x14ac:dyDescent="0.2">
      <c r="B171" s="60"/>
      <c r="D171" s="60"/>
      <c r="E171" s="60"/>
    </row>
    <row r="172" spans="1:9" x14ac:dyDescent="0.2">
      <c r="B172" s="60"/>
      <c r="D172" s="60"/>
      <c r="E172" s="60"/>
    </row>
    <row r="173" spans="1:9" x14ac:dyDescent="0.2">
      <c r="B173" s="60"/>
      <c r="D173" s="60"/>
      <c r="E173" s="60"/>
    </row>
    <row r="174" spans="1:9" x14ac:dyDescent="0.2">
      <c r="B174" s="60"/>
      <c r="D174" s="60"/>
      <c r="E174" s="60"/>
    </row>
    <row r="175" spans="1:9" x14ac:dyDescent="0.2">
      <c r="B175" s="60"/>
      <c r="D175" s="60"/>
      <c r="E175" s="60"/>
    </row>
    <row r="176" spans="1:9" x14ac:dyDescent="0.2">
      <c r="B176" s="60"/>
      <c r="D176" s="60"/>
      <c r="E176" s="60"/>
    </row>
    <row r="177" s="60" customFormat="1" x14ac:dyDescent="0.2"/>
    <row r="178" s="60" customFormat="1" x14ac:dyDescent="0.2"/>
    <row r="179" s="60" customFormat="1" x14ac:dyDescent="0.2"/>
    <row r="180" s="60" customFormat="1" x14ac:dyDescent="0.2"/>
    <row r="181" s="60" customFormat="1" x14ac:dyDescent="0.2"/>
    <row r="182" s="60" customFormat="1" x14ac:dyDescent="0.2"/>
    <row r="183" s="60" customFormat="1" x14ac:dyDescent="0.2"/>
    <row r="184" s="60" customFormat="1" x14ac:dyDescent="0.2"/>
    <row r="185" s="60" customFormat="1" x14ac:dyDescent="0.2"/>
    <row r="186" s="60" customFormat="1" x14ac:dyDescent="0.2"/>
    <row r="187" s="60" customFormat="1" x14ac:dyDescent="0.2"/>
    <row r="188" s="60" customFormat="1" x14ac:dyDescent="0.2"/>
    <row r="189" s="60" customFormat="1" x14ac:dyDescent="0.2"/>
    <row r="190" s="60" customFormat="1" x14ac:dyDescent="0.2"/>
    <row r="191" s="60" customFormat="1" x14ac:dyDescent="0.2"/>
    <row r="192" s="60" customFormat="1" x14ac:dyDescent="0.2"/>
    <row r="193" s="60" customFormat="1" x14ac:dyDescent="0.2"/>
    <row r="194" s="60" customFormat="1" x14ac:dyDescent="0.2"/>
    <row r="195" s="60" customFormat="1" x14ac:dyDescent="0.2"/>
    <row r="196" s="60" customFormat="1" x14ac:dyDescent="0.2"/>
    <row r="197" s="60" customFormat="1" x14ac:dyDescent="0.2"/>
    <row r="198" s="60" customFormat="1" x14ac:dyDescent="0.2"/>
    <row r="199" s="60" customFormat="1" x14ac:dyDescent="0.2"/>
    <row r="200" s="60" customFormat="1" x14ac:dyDescent="0.2"/>
    <row r="201" s="60" customFormat="1" x14ac:dyDescent="0.2"/>
    <row r="202" s="60" customFormat="1" x14ac:dyDescent="0.2"/>
    <row r="203" s="60" customFormat="1" x14ac:dyDescent="0.2"/>
    <row r="204" s="60" customFormat="1" x14ac:dyDescent="0.2"/>
    <row r="205" s="60" customFormat="1" x14ac:dyDescent="0.2"/>
    <row r="206" s="60" customFormat="1" x14ac:dyDescent="0.2"/>
    <row r="207" s="60" customFormat="1" x14ac:dyDescent="0.2"/>
    <row r="208" s="60" customFormat="1" x14ac:dyDescent="0.2"/>
    <row r="209" s="60" customFormat="1" x14ac:dyDescent="0.2"/>
    <row r="210" s="60" customFormat="1" x14ac:dyDescent="0.2"/>
    <row r="211" s="60" customFormat="1" x14ac:dyDescent="0.2"/>
    <row r="212" s="60" customFormat="1" x14ac:dyDescent="0.2"/>
    <row r="213" s="60" customFormat="1" x14ac:dyDescent="0.2"/>
    <row r="214" s="60" customFormat="1" x14ac:dyDescent="0.2"/>
    <row r="215" s="60" customFormat="1" x14ac:dyDescent="0.2"/>
    <row r="216" s="60" customFormat="1" x14ac:dyDescent="0.2"/>
    <row r="217" s="60" customFormat="1" x14ac:dyDescent="0.2"/>
    <row r="218" s="60" customFormat="1" x14ac:dyDescent="0.2"/>
    <row r="219" s="60" customFormat="1" x14ac:dyDescent="0.2"/>
    <row r="220" s="60" customFormat="1" x14ac:dyDescent="0.2"/>
    <row r="221" s="60" customFormat="1" x14ac:dyDescent="0.2"/>
    <row r="222" s="60" customFormat="1" x14ac:dyDescent="0.2"/>
    <row r="223" s="60" customFormat="1" x14ac:dyDescent="0.2"/>
    <row r="224" s="60" customFormat="1" x14ac:dyDescent="0.2"/>
    <row r="225" s="60" customFormat="1" x14ac:dyDescent="0.2"/>
    <row r="226" s="60" customFormat="1" x14ac:dyDescent="0.2"/>
    <row r="227" s="60" customFormat="1" x14ac:dyDescent="0.2"/>
    <row r="228" s="60" customFormat="1" x14ac:dyDescent="0.2"/>
    <row r="229" s="60" customFormat="1" x14ac:dyDescent="0.2"/>
    <row r="230" s="60" customFormat="1" x14ac:dyDescent="0.2"/>
    <row r="231" s="60" customFormat="1" x14ac:dyDescent="0.2"/>
    <row r="232" s="60" customFormat="1" x14ac:dyDescent="0.2"/>
    <row r="233" s="60" customFormat="1" x14ac:dyDescent="0.2"/>
    <row r="234" s="60" customFormat="1" x14ac:dyDescent="0.2"/>
    <row r="235" s="60" customFormat="1" x14ac:dyDescent="0.2"/>
    <row r="236" s="60" customFormat="1" x14ac:dyDescent="0.2"/>
    <row r="237" s="60" customFormat="1" x14ac:dyDescent="0.2"/>
    <row r="238" s="60" customFormat="1" x14ac:dyDescent="0.2"/>
    <row r="239" s="60" customFormat="1" x14ac:dyDescent="0.2"/>
    <row r="240" s="60" customFormat="1" x14ac:dyDescent="0.2"/>
    <row r="241" s="60" customFormat="1" x14ac:dyDescent="0.2"/>
    <row r="242" s="60" customFormat="1" x14ac:dyDescent="0.2"/>
    <row r="243" s="60" customFormat="1" x14ac:dyDescent="0.2"/>
    <row r="244" s="60" customFormat="1" x14ac:dyDescent="0.2"/>
    <row r="245" s="60" customFormat="1" x14ac:dyDescent="0.2"/>
    <row r="246" s="60" customFormat="1" x14ac:dyDescent="0.2"/>
    <row r="247" s="60" customFormat="1" x14ac:dyDescent="0.2"/>
    <row r="248" s="60" customFormat="1" x14ac:dyDescent="0.2"/>
    <row r="249" s="60" customFormat="1" x14ac:dyDescent="0.2"/>
    <row r="250" s="60" customFormat="1" x14ac:dyDescent="0.2"/>
    <row r="251" s="60" customFormat="1" x14ac:dyDescent="0.2"/>
    <row r="252" s="60" customFormat="1" x14ac:dyDescent="0.2"/>
    <row r="253" s="60" customFormat="1" x14ac:dyDescent="0.2"/>
    <row r="254" s="60" customFormat="1" x14ac:dyDescent="0.2"/>
    <row r="255" s="60" customFormat="1" x14ac:dyDescent="0.2"/>
    <row r="256" s="60" customFormat="1" x14ac:dyDescent="0.2"/>
    <row r="257" s="60" customFormat="1" x14ac:dyDescent="0.2"/>
    <row r="258" s="60" customFormat="1" x14ac:dyDescent="0.2"/>
    <row r="259" s="60" customFormat="1" x14ac:dyDescent="0.2"/>
    <row r="260" s="60" customFormat="1" x14ac:dyDescent="0.2"/>
    <row r="261" s="60" customFormat="1" x14ac:dyDescent="0.2"/>
    <row r="262" s="60" customFormat="1" x14ac:dyDescent="0.2"/>
    <row r="263" s="60" customFormat="1" x14ac:dyDescent="0.2"/>
    <row r="264" s="60" customFormat="1" x14ac:dyDescent="0.2"/>
    <row r="265" s="60" customFormat="1" x14ac:dyDescent="0.2"/>
    <row r="266" s="60" customFormat="1" x14ac:dyDescent="0.2"/>
    <row r="267" s="60" customFormat="1" x14ac:dyDescent="0.2"/>
    <row r="268" s="60" customFormat="1" x14ac:dyDescent="0.2"/>
    <row r="269" s="60" customFormat="1" x14ac:dyDescent="0.2"/>
    <row r="270" s="60" customFormat="1" x14ac:dyDescent="0.2"/>
    <row r="271" s="60" customFormat="1" x14ac:dyDescent="0.2"/>
    <row r="272" s="60" customFormat="1" x14ac:dyDescent="0.2"/>
    <row r="273" s="60" customFormat="1" x14ac:dyDescent="0.2"/>
    <row r="274" s="60" customFormat="1" x14ac:dyDescent="0.2"/>
    <row r="275" s="60" customFormat="1" x14ac:dyDescent="0.2"/>
    <row r="276" s="60" customFormat="1" x14ac:dyDescent="0.2"/>
    <row r="277" s="60" customFormat="1" x14ac:dyDescent="0.2"/>
    <row r="278" s="60" customFormat="1" x14ac:dyDescent="0.2"/>
    <row r="279" s="60" customFormat="1" x14ac:dyDescent="0.2"/>
    <row r="280" s="60" customFormat="1" x14ac:dyDescent="0.2"/>
    <row r="281" s="60" customFormat="1" x14ac:dyDescent="0.2"/>
    <row r="282" s="60" customFormat="1" x14ac:dyDescent="0.2"/>
    <row r="283" s="60" customFormat="1" x14ac:dyDescent="0.2"/>
    <row r="284" s="60" customFormat="1" x14ac:dyDescent="0.2"/>
    <row r="285" s="60" customFormat="1" x14ac:dyDescent="0.2"/>
    <row r="286" s="60" customFormat="1" x14ac:dyDescent="0.2"/>
    <row r="287" s="60" customFormat="1" x14ac:dyDescent="0.2"/>
    <row r="288" s="60" customFormat="1" x14ac:dyDescent="0.2"/>
    <row r="289" s="60" customFormat="1" x14ac:dyDescent="0.2"/>
    <row r="290" s="60" customFormat="1" x14ac:dyDescent="0.2"/>
    <row r="291" s="60" customFormat="1" x14ac:dyDescent="0.2"/>
    <row r="292" s="60" customFormat="1" x14ac:dyDescent="0.2"/>
    <row r="293" s="60" customFormat="1" x14ac:dyDescent="0.2"/>
    <row r="294" s="60" customFormat="1" x14ac:dyDescent="0.2"/>
    <row r="295" s="60" customFormat="1" x14ac:dyDescent="0.2"/>
    <row r="296" s="60" customFormat="1" x14ac:dyDescent="0.2"/>
    <row r="297" s="60" customFormat="1" x14ac:dyDescent="0.2"/>
    <row r="298" s="60" customFormat="1" x14ac:dyDescent="0.2"/>
    <row r="299" s="60" customFormat="1" x14ac:dyDescent="0.2"/>
    <row r="300" s="60" customFormat="1" x14ac:dyDescent="0.2"/>
    <row r="301" s="60" customFormat="1" x14ac:dyDescent="0.2"/>
    <row r="302" s="60" customFormat="1" x14ac:dyDescent="0.2"/>
    <row r="303" s="60" customFormat="1" x14ac:dyDescent="0.2"/>
    <row r="304" s="60" customFormat="1" x14ac:dyDescent="0.2"/>
    <row r="305" s="60" customFormat="1" x14ac:dyDescent="0.2"/>
    <row r="306" s="60" customFormat="1" x14ac:dyDescent="0.2"/>
    <row r="307" s="60" customFormat="1" x14ac:dyDescent="0.2"/>
    <row r="308" s="60" customFormat="1" x14ac:dyDescent="0.2"/>
    <row r="309" s="60" customFormat="1" x14ac:dyDescent="0.2"/>
    <row r="310" s="60" customFormat="1" x14ac:dyDescent="0.2"/>
    <row r="311" s="60" customFormat="1" x14ac:dyDescent="0.2"/>
    <row r="312" s="60" customFormat="1" x14ac:dyDescent="0.2"/>
    <row r="313" s="60" customFormat="1" x14ac:dyDescent="0.2"/>
    <row r="314" s="60" customFormat="1" x14ac:dyDescent="0.2"/>
    <row r="315" s="60" customFormat="1" x14ac:dyDescent="0.2"/>
    <row r="316" s="60" customFormat="1" x14ac:dyDescent="0.2"/>
    <row r="317" s="60" customFormat="1" x14ac:dyDescent="0.2"/>
    <row r="318" s="60" customFormat="1" x14ac:dyDescent="0.2"/>
    <row r="319" s="60" customFormat="1" x14ac:dyDescent="0.2"/>
    <row r="320" s="60" customFormat="1" x14ac:dyDescent="0.2"/>
    <row r="321" s="60" customFormat="1" x14ac:dyDescent="0.2"/>
    <row r="322" s="60" customFormat="1" x14ac:dyDescent="0.2"/>
    <row r="323" s="60" customFormat="1" x14ac:dyDescent="0.2"/>
    <row r="324" s="60" customFormat="1" x14ac:dyDescent="0.2"/>
    <row r="325" s="60" customFormat="1" x14ac:dyDescent="0.2"/>
    <row r="326" s="60" customFormat="1" x14ac:dyDescent="0.2"/>
    <row r="327" s="60" customFormat="1" x14ac:dyDescent="0.2"/>
    <row r="328" s="60" customFormat="1" x14ac:dyDescent="0.2"/>
    <row r="329" s="60" customFormat="1" x14ac:dyDescent="0.2"/>
    <row r="330" s="60" customFormat="1" x14ac:dyDescent="0.2"/>
    <row r="331" s="60" customFormat="1" x14ac:dyDescent="0.2"/>
    <row r="332" s="60" customFormat="1" x14ac:dyDescent="0.2"/>
    <row r="333" s="60" customFormat="1" x14ac:dyDescent="0.2"/>
    <row r="334" s="60" customFormat="1" x14ac:dyDescent="0.2"/>
    <row r="335" s="60" customFormat="1" x14ac:dyDescent="0.2"/>
    <row r="336" s="60" customFormat="1" x14ac:dyDescent="0.2"/>
    <row r="337" s="60" customFormat="1" x14ac:dyDescent="0.2"/>
    <row r="338" s="60" customFormat="1" x14ac:dyDescent="0.2"/>
    <row r="339" s="60" customFormat="1" x14ac:dyDescent="0.2"/>
    <row r="340" s="60" customFormat="1" x14ac:dyDescent="0.2"/>
    <row r="341" s="60" customFormat="1" x14ac:dyDescent="0.2"/>
    <row r="342" s="60" customFormat="1" x14ac:dyDescent="0.2"/>
    <row r="343" s="60" customFormat="1" x14ac:dyDescent="0.2"/>
    <row r="344" s="60" customFormat="1" x14ac:dyDescent="0.2"/>
    <row r="345" s="60" customFormat="1" x14ac:dyDescent="0.2"/>
    <row r="346" s="60" customFormat="1" x14ac:dyDescent="0.2"/>
    <row r="347" s="60" customFormat="1" x14ac:dyDescent="0.2"/>
    <row r="348" s="60" customFormat="1" x14ac:dyDescent="0.2"/>
    <row r="349" s="60" customFormat="1" x14ac:dyDescent="0.2"/>
    <row r="350" s="60" customFormat="1" x14ac:dyDescent="0.2"/>
    <row r="351" s="60" customFormat="1" x14ac:dyDescent="0.2"/>
    <row r="352" s="60" customFormat="1" x14ac:dyDescent="0.2"/>
    <row r="353" s="60" customFormat="1" x14ac:dyDescent="0.2"/>
    <row r="354" s="60" customFormat="1" x14ac:dyDescent="0.2"/>
    <row r="355" s="60" customFormat="1" x14ac:dyDescent="0.2"/>
    <row r="356" s="60" customFormat="1" x14ac:dyDescent="0.2"/>
    <row r="357" s="60" customFormat="1" x14ac:dyDescent="0.2"/>
    <row r="358" s="60" customFormat="1" x14ac:dyDescent="0.2"/>
    <row r="359" s="60" customFormat="1" x14ac:dyDescent="0.2"/>
    <row r="360" s="60" customFormat="1" x14ac:dyDescent="0.2"/>
    <row r="361" s="60" customFormat="1" x14ac:dyDescent="0.2"/>
    <row r="362" s="60" customFormat="1" x14ac:dyDescent="0.2"/>
    <row r="363" s="60" customFormat="1" x14ac:dyDescent="0.2"/>
    <row r="364" s="60" customFormat="1" x14ac:dyDescent="0.2"/>
    <row r="365" s="60" customFormat="1" x14ac:dyDescent="0.2"/>
    <row r="366" s="60" customFormat="1" x14ac:dyDescent="0.2"/>
    <row r="367" s="60" customFormat="1" x14ac:dyDescent="0.2"/>
    <row r="368" s="60" customFormat="1" x14ac:dyDescent="0.2"/>
    <row r="369" s="60" customFormat="1" x14ac:dyDescent="0.2"/>
    <row r="370" s="60" customFormat="1" x14ac:dyDescent="0.2"/>
    <row r="371" s="60" customFormat="1" x14ac:dyDescent="0.2"/>
    <row r="372" s="60" customFormat="1" x14ac:dyDescent="0.2"/>
    <row r="373" s="60" customFormat="1" x14ac:dyDescent="0.2"/>
    <row r="374" s="60" customFormat="1" x14ac:dyDescent="0.2"/>
    <row r="375" s="60" customFormat="1" x14ac:dyDescent="0.2"/>
    <row r="376" s="60" customFormat="1" x14ac:dyDescent="0.2"/>
    <row r="377" s="60" customFormat="1" x14ac:dyDescent="0.2"/>
    <row r="378" s="60" customFormat="1" x14ac:dyDescent="0.2"/>
    <row r="379" s="60" customFormat="1" x14ac:dyDescent="0.2"/>
    <row r="380" s="60" customFormat="1" x14ac:dyDescent="0.2"/>
    <row r="381" s="60" customFormat="1" x14ac:dyDescent="0.2"/>
    <row r="382" s="60" customFormat="1" x14ac:dyDescent="0.2"/>
    <row r="383" s="60" customFormat="1" x14ac:dyDescent="0.2"/>
    <row r="384" s="60" customFormat="1" x14ac:dyDescent="0.2"/>
    <row r="385" s="60" customFormat="1" x14ac:dyDescent="0.2"/>
    <row r="386" s="60" customFormat="1" x14ac:dyDescent="0.2"/>
    <row r="387" s="60" customFormat="1" x14ac:dyDescent="0.2"/>
    <row r="388" s="60" customFormat="1" x14ac:dyDescent="0.2"/>
    <row r="389" s="60" customFormat="1" x14ac:dyDescent="0.2"/>
    <row r="390" s="60" customFormat="1" x14ac:dyDescent="0.2"/>
    <row r="391" s="60" customFormat="1" x14ac:dyDescent="0.2"/>
    <row r="392" s="60" customFormat="1" x14ac:dyDescent="0.2"/>
    <row r="393" s="60" customFormat="1" x14ac:dyDescent="0.2"/>
    <row r="394" s="60" customFormat="1" x14ac:dyDescent="0.2"/>
    <row r="395" s="60" customFormat="1" x14ac:dyDescent="0.2"/>
    <row r="396" s="60" customFormat="1" x14ac:dyDescent="0.2"/>
    <row r="397" s="60" customFormat="1" x14ac:dyDescent="0.2"/>
    <row r="398" s="60" customFormat="1" x14ac:dyDescent="0.2"/>
    <row r="399" s="60" customFormat="1" x14ac:dyDescent="0.2"/>
    <row r="400" s="60" customFormat="1" x14ac:dyDescent="0.2"/>
    <row r="401" s="60" customFormat="1" x14ac:dyDescent="0.2"/>
    <row r="402" s="60" customFormat="1" x14ac:dyDescent="0.2"/>
    <row r="403" s="60" customFormat="1" x14ac:dyDescent="0.2"/>
    <row r="404" s="60" customFormat="1" x14ac:dyDescent="0.2"/>
    <row r="405" s="60" customFormat="1" x14ac:dyDescent="0.2"/>
    <row r="406" s="60" customFormat="1" x14ac:dyDescent="0.2"/>
    <row r="407" s="60" customFormat="1" x14ac:dyDescent="0.2"/>
    <row r="408" s="60" customFormat="1" x14ac:dyDescent="0.2"/>
    <row r="409" s="60" customFormat="1" x14ac:dyDescent="0.2"/>
    <row r="410" s="60" customFormat="1" x14ac:dyDescent="0.2"/>
    <row r="411" s="60" customFormat="1" x14ac:dyDescent="0.2"/>
    <row r="412" s="60" customFormat="1" x14ac:dyDescent="0.2"/>
    <row r="413" s="60" customFormat="1" x14ac:dyDescent="0.2"/>
    <row r="414" s="60" customFormat="1" x14ac:dyDescent="0.2"/>
    <row r="415" s="60" customFormat="1" x14ac:dyDescent="0.2"/>
    <row r="416" s="60" customFormat="1" x14ac:dyDescent="0.2"/>
    <row r="417" s="60" customFormat="1" x14ac:dyDescent="0.2"/>
    <row r="418" s="60" customFormat="1" x14ac:dyDescent="0.2"/>
    <row r="419" s="60" customFormat="1" x14ac:dyDescent="0.2"/>
    <row r="420" s="60" customFormat="1" x14ac:dyDescent="0.2"/>
    <row r="421" s="60" customFormat="1" x14ac:dyDescent="0.2"/>
    <row r="422" s="60" customFormat="1" x14ac:dyDescent="0.2"/>
    <row r="423" s="60" customFormat="1" x14ac:dyDescent="0.2"/>
    <row r="424" s="60" customFormat="1" x14ac:dyDescent="0.2"/>
    <row r="425" s="60" customFormat="1" x14ac:dyDescent="0.2"/>
    <row r="426" s="60" customFormat="1" x14ac:dyDescent="0.2"/>
    <row r="427" s="60" customFormat="1" x14ac:dyDescent="0.2"/>
    <row r="428" s="60" customFormat="1" x14ac:dyDescent="0.2"/>
    <row r="429" s="60" customFormat="1" x14ac:dyDescent="0.2"/>
    <row r="430" s="60" customFormat="1" x14ac:dyDescent="0.2"/>
    <row r="431" s="60" customFormat="1" x14ac:dyDescent="0.2"/>
    <row r="432" s="60" customFormat="1" x14ac:dyDescent="0.2"/>
    <row r="433" s="60" customFormat="1" x14ac:dyDescent="0.2"/>
    <row r="434" s="60" customFormat="1" x14ac:dyDescent="0.2"/>
    <row r="435" s="60" customFormat="1" x14ac:dyDescent="0.2"/>
    <row r="436" s="60" customFormat="1" x14ac:dyDescent="0.2"/>
    <row r="437" s="60" customFormat="1" x14ac:dyDescent="0.2"/>
    <row r="438" s="60" customFormat="1" x14ac:dyDescent="0.2"/>
    <row r="439" s="60" customFormat="1" x14ac:dyDescent="0.2"/>
    <row r="440" s="60" customFormat="1" x14ac:dyDescent="0.2"/>
    <row r="441" s="60" customFormat="1" x14ac:dyDescent="0.2"/>
    <row r="442" s="60" customFormat="1" x14ac:dyDescent="0.2"/>
    <row r="443" s="60" customFormat="1" x14ac:dyDescent="0.2"/>
    <row r="444" s="60" customFormat="1" x14ac:dyDescent="0.2"/>
    <row r="445" s="60" customFormat="1" x14ac:dyDescent="0.2"/>
    <row r="446" s="60" customFormat="1" x14ac:dyDescent="0.2"/>
    <row r="447" s="60" customFormat="1" x14ac:dyDescent="0.2"/>
    <row r="448" s="60" customFormat="1" x14ac:dyDescent="0.2"/>
    <row r="449" s="60" customFormat="1" x14ac:dyDescent="0.2"/>
    <row r="450" s="60" customFormat="1" x14ac:dyDescent="0.2"/>
    <row r="451" s="60" customFormat="1" x14ac:dyDescent="0.2"/>
    <row r="452" s="60" customFormat="1" x14ac:dyDescent="0.2"/>
    <row r="453" s="60" customFormat="1" x14ac:dyDescent="0.2"/>
    <row r="454" s="60" customFormat="1" x14ac:dyDescent="0.2"/>
    <row r="455" s="60" customFormat="1" x14ac:dyDescent="0.2"/>
    <row r="456" s="60" customFormat="1" x14ac:dyDescent="0.2"/>
    <row r="457" s="60" customFormat="1" x14ac:dyDescent="0.2"/>
    <row r="458" s="60" customFormat="1" x14ac:dyDescent="0.2"/>
    <row r="459" s="60" customFormat="1" x14ac:dyDescent="0.2"/>
    <row r="460" s="60" customFormat="1" x14ac:dyDescent="0.2"/>
    <row r="461" s="60" customFormat="1" x14ac:dyDescent="0.2"/>
    <row r="462" s="60" customFormat="1" x14ac:dyDescent="0.2"/>
    <row r="463" s="60" customFormat="1" x14ac:dyDescent="0.2"/>
    <row r="464" s="60" customFormat="1" x14ac:dyDescent="0.2"/>
    <row r="465" s="60" customFormat="1" x14ac:dyDescent="0.2"/>
    <row r="466" s="60" customFormat="1" x14ac:dyDescent="0.2"/>
    <row r="467" s="60" customFormat="1" x14ac:dyDescent="0.2"/>
    <row r="468" s="60" customFormat="1" x14ac:dyDescent="0.2"/>
    <row r="469" s="60" customFormat="1" x14ac:dyDescent="0.2"/>
    <row r="470" s="60" customFormat="1" x14ac:dyDescent="0.2"/>
    <row r="471" s="60" customFormat="1" x14ac:dyDescent="0.2"/>
    <row r="472" s="60" customFormat="1" x14ac:dyDescent="0.2"/>
    <row r="473" s="60" customFormat="1" x14ac:dyDescent="0.2"/>
    <row r="474" s="60" customFormat="1" x14ac:dyDescent="0.2"/>
    <row r="475" s="60" customFormat="1" x14ac:dyDescent="0.2"/>
    <row r="476" s="60" customFormat="1" x14ac:dyDescent="0.2"/>
    <row r="477" s="60" customFormat="1" x14ac:dyDescent="0.2"/>
    <row r="478" s="60" customFormat="1" x14ac:dyDescent="0.2"/>
    <row r="479" s="60" customFormat="1" x14ac:dyDescent="0.2"/>
    <row r="480" s="60" customFormat="1" x14ac:dyDescent="0.2"/>
    <row r="481" s="60" customFormat="1" x14ac:dyDescent="0.2"/>
    <row r="482" s="60" customFormat="1" x14ac:dyDescent="0.2"/>
    <row r="483" s="60" customFormat="1" x14ac:dyDescent="0.2"/>
    <row r="484" s="60" customFormat="1" x14ac:dyDescent="0.2"/>
    <row r="485" s="60" customFormat="1" x14ac:dyDescent="0.2"/>
    <row r="486" s="60" customFormat="1" x14ac:dyDescent="0.2"/>
    <row r="487" s="60" customFormat="1" x14ac:dyDescent="0.2"/>
    <row r="488" s="60" customFormat="1" x14ac:dyDescent="0.2"/>
    <row r="489" s="60" customFormat="1" x14ac:dyDescent="0.2"/>
    <row r="490" s="60" customFormat="1" x14ac:dyDescent="0.2"/>
    <row r="491" s="60" customFormat="1" x14ac:dyDescent="0.2"/>
    <row r="492" s="60" customFormat="1" x14ac:dyDescent="0.2"/>
    <row r="493" s="60" customFormat="1" x14ac:dyDescent="0.2"/>
    <row r="494" s="60" customFormat="1" x14ac:dyDescent="0.2"/>
    <row r="495" s="60" customFormat="1" x14ac:dyDescent="0.2"/>
    <row r="496" s="60" customFormat="1" x14ac:dyDescent="0.2"/>
    <row r="497" s="60" customFormat="1" x14ac:dyDescent="0.2"/>
    <row r="498" s="60" customFormat="1" x14ac:dyDescent="0.2"/>
    <row r="499" s="60" customFormat="1" x14ac:dyDescent="0.2"/>
    <row r="500" s="60" customFormat="1" x14ac:dyDescent="0.2"/>
    <row r="501" s="60" customFormat="1" x14ac:dyDescent="0.2"/>
    <row r="502" s="60" customFormat="1" x14ac:dyDescent="0.2"/>
    <row r="503" s="60" customFormat="1" x14ac:dyDescent="0.2"/>
    <row r="504" s="60" customFormat="1" x14ac:dyDescent="0.2"/>
    <row r="505" s="60" customFormat="1" x14ac:dyDescent="0.2"/>
    <row r="506" s="60" customFormat="1" x14ac:dyDescent="0.2"/>
    <row r="507" s="60" customFormat="1" x14ac:dyDescent="0.2"/>
    <row r="508" s="60" customFormat="1" x14ac:dyDescent="0.2"/>
    <row r="509" s="60" customFormat="1" x14ac:dyDescent="0.2"/>
    <row r="510" s="60" customFormat="1" x14ac:dyDescent="0.2"/>
    <row r="511" s="60" customFormat="1" x14ac:dyDescent="0.2"/>
    <row r="512" s="60" customFormat="1" x14ac:dyDescent="0.2"/>
    <row r="513" s="60" customFormat="1" x14ac:dyDescent="0.2"/>
    <row r="514" s="60" customFormat="1" x14ac:dyDescent="0.2"/>
    <row r="515" s="60" customFormat="1" x14ac:dyDescent="0.2"/>
    <row r="516" s="60" customFormat="1" x14ac:dyDescent="0.2"/>
    <row r="517" s="60" customFormat="1" x14ac:dyDescent="0.2"/>
    <row r="518" s="60" customFormat="1" x14ac:dyDescent="0.2"/>
    <row r="519" s="60" customFormat="1" x14ac:dyDescent="0.2"/>
    <row r="520" s="60" customFormat="1" x14ac:dyDescent="0.2"/>
    <row r="521" s="60" customFormat="1" x14ac:dyDescent="0.2"/>
    <row r="522" s="60" customFormat="1" x14ac:dyDescent="0.2"/>
    <row r="523" s="60" customFormat="1" x14ac:dyDescent="0.2"/>
    <row r="524" s="60" customFormat="1" x14ac:dyDescent="0.2"/>
    <row r="525" s="60" customFormat="1" x14ac:dyDescent="0.2"/>
    <row r="526" s="60" customFormat="1" x14ac:dyDescent="0.2"/>
    <row r="527" s="60" customFormat="1" x14ac:dyDescent="0.2"/>
    <row r="528" s="60" customFormat="1" x14ac:dyDescent="0.2"/>
    <row r="529" s="60" customFormat="1" x14ac:dyDescent="0.2"/>
    <row r="530" s="60" customFormat="1" x14ac:dyDescent="0.2"/>
    <row r="531" s="60" customFormat="1" x14ac:dyDescent="0.2"/>
    <row r="532" s="60" customFormat="1" x14ac:dyDescent="0.2"/>
    <row r="533" s="60" customFormat="1" x14ac:dyDescent="0.2"/>
    <row r="534" s="60" customFormat="1" x14ac:dyDescent="0.2"/>
    <row r="535" s="60" customFormat="1" x14ac:dyDescent="0.2"/>
    <row r="536" s="60" customFormat="1" x14ac:dyDescent="0.2"/>
    <row r="537" s="60" customFormat="1" x14ac:dyDescent="0.2"/>
    <row r="538" s="60" customFormat="1" x14ac:dyDescent="0.2"/>
    <row r="539" s="60" customFormat="1" x14ac:dyDescent="0.2"/>
    <row r="540" s="60" customFormat="1" x14ac:dyDescent="0.2"/>
    <row r="541" s="60" customFormat="1" x14ac:dyDescent="0.2"/>
    <row r="542" s="60" customFormat="1" x14ac:dyDescent="0.2"/>
    <row r="543" s="60" customFormat="1" x14ac:dyDescent="0.2"/>
    <row r="544" s="60" customFormat="1" x14ac:dyDescent="0.2"/>
    <row r="545" s="60" customFormat="1" x14ac:dyDescent="0.2"/>
    <row r="546" s="60" customFormat="1" x14ac:dyDescent="0.2"/>
    <row r="547" s="60" customFormat="1" x14ac:dyDescent="0.2"/>
    <row r="548" s="60" customFormat="1" x14ac:dyDescent="0.2"/>
    <row r="549" s="60" customFormat="1" x14ac:dyDescent="0.2"/>
    <row r="550" s="60" customFormat="1" x14ac:dyDescent="0.2"/>
    <row r="551" s="60" customFormat="1" x14ac:dyDescent="0.2"/>
    <row r="552" s="60" customFormat="1" x14ac:dyDescent="0.2"/>
    <row r="553" s="60" customFormat="1" x14ac:dyDescent="0.2"/>
    <row r="554" s="60" customFormat="1" x14ac:dyDescent="0.2"/>
    <row r="555" s="60" customFormat="1" x14ac:dyDescent="0.2"/>
    <row r="556" s="60" customFormat="1" x14ac:dyDescent="0.2"/>
    <row r="557" s="60" customFormat="1" x14ac:dyDescent="0.2"/>
    <row r="558" s="60" customFormat="1" x14ac:dyDescent="0.2"/>
    <row r="559" s="60" customFormat="1" x14ac:dyDescent="0.2"/>
    <row r="560" s="60" customFormat="1" x14ac:dyDescent="0.2"/>
    <row r="561" s="60" customFormat="1" x14ac:dyDescent="0.2"/>
    <row r="562" s="60" customFormat="1" x14ac:dyDescent="0.2"/>
    <row r="563" s="60" customFormat="1" x14ac:dyDescent="0.2"/>
    <row r="564" s="60" customFormat="1" x14ac:dyDescent="0.2"/>
    <row r="565" s="60" customFormat="1" x14ac:dyDescent="0.2"/>
    <row r="566" s="60" customFormat="1" x14ac:dyDescent="0.2"/>
    <row r="567" s="60" customFormat="1" x14ac:dyDescent="0.2"/>
    <row r="568" s="60" customFormat="1" x14ac:dyDescent="0.2"/>
    <row r="569" s="60" customFormat="1" x14ac:dyDescent="0.2"/>
    <row r="570" s="60" customFormat="1" x14ac:dyDescent="0.2"/>
    <row r="571" s="60" customFormat="1" x14ac:dyDescent="0.2"/>
    <row r="572" s="60" customFormat="1" x14ac:dyDescent="0.2"/>
    <row r="573" s="60" customFormat="1" x14ac:dyDescent="0.2"/>
    <row r="574" s="60" customFormat="1" x14ac:dyDescent="0.2"/>
    <row r="575" s="60" customFormat="1" x14ac:dyDescent="0.2"/>
    <row r="576" s="60" customFormat="1" x14ac:dyDescent="0.2"/>
    <row r="577" s="60" customFormat="1" x14ac:dyDescent="0.2"/>
    <row r="578" s="60" customFormat="1" x14ac:dyDescent="0.2"/>
    <row r="579" s="60" customFormat="1" x14ac:dyDescent="0.2"/>
    <row r="580" s="60" customFormat="1" x14ac:dyDescent="0.2"/>
    <row r="581" s="60" customFormat="1" x14ac:dyDescent="0.2"/>
    <row r="582" s="60" customFormat="1" x14ac:dyDescent="0.2"/>
    <row r="583" s="60" customFormat="1" x14ac:dyDescent="0.2"/>
    <row r="584" s="60" customFormat="1" x14ac:dyDescent="0.2"/>
    <row r="585" s="60" customFormat="1" x14ac:dyDescent="0.2"/>
    <row r="586" s="60" customFormat="1" x14ac:dyDescent="0.2"/>
    <row r="587" s="60" customFormat="1" x14ac:dyDescent="0.2"/>
    <row r="588" s="60" customFormat="1" x14ac:dyDescent="0.2"/>
    <row r="589" s="60" customFormat="1" x14ac:dyDescent="0.2"/>
    <row r="590" s="60" customFormat="1" x14ac:dyDescent="0.2"/>
    <row r="591" s="60" customFormat="1" x14ac:dyDescent="0.2"/>
    <row r="592" s="60" customFormat="1" x14ac:dyDescent="0.2"/>
    <row r="593" s="60" customFormat="1" x14ac:dyDescent="0.2"/>
    <row r="594" s="60" customFormat="1" x14ac:dyDescent="0.2"/>
    <row r="595" s="60" customFormat="1" x14ac:dyDescent="0.2"/>
    <row r="596" s="60" customFormat="1" x14ac:dyDescent="0.2"/>
    <row r="597" s="60" customFormat="1" x14ac:dyDescent="0.2"/>
    <row r="598" s="60" customFormat="1" x14ac:dyDescent="0.2"/>
    <row r="599" s="60" customFormat="1" x14ac:dyDescent="0.2"/>
    <row r="600" s="60" customFormat="1" x14ac:dyDescent="0.2"/>
    <row r="601" s="60" customFormat="1" x14ac:dyDescent="0.2"/>
    <row r="602" s="60" customFormat="1" x14ac:dyDescent="0.2"/>
    <row r="603" s="60" customFormat="1" x14ac:dyDescent="0.2"/>
    <row r="604" s="60" customFormat="1" x14ac:dyDescent="0.2"/>
    <row r="605" s="60" customFormat="1" x14ac:dyDescent="0.2"/>
    <row r="606" s="60" customFormat="1" x14ac:dyDescent="0.2"/>
    <row r="607" s="60" customFormat="1" x14ac:dyDescent="0.2"/>
    <row r="608" s="60" customFormat="1" x14ac:dyDescent="0.2"/>
    <row r="609" s="60" customFormat="1" x14ac:dyDescent="0.2"/>
    <row r="610" s="60" customFormat="1" x14ac:dyDescent="0.2"/>
    <row r="611" s="60" customFormat="1" x14ac:dyDescent="0.2"/>
    <row r="612" s="60" customFormat="1" x14ac:dyDescent="0.2"/>
    <row r="613" s="60" customFormat="1" x14ac:dyDescent="0.2"/>
    <row r="614" s="60" customFormat="1" x14ac:dyDescent="0.2"/>
    <row r="615" s="60" customFormat="1" x14ac:dyDescent="0.2"/>
    <row r="616" s="60" customFormat="1" x14ac:dyDescent="0.2"/>
    <row r="617" s="60" customFormat="1" x14ac:dyDescent="0.2"/>
    <row r="618" s="60" customFormat="1" x14ac:dyDescent="0.2"/>
    <row r="619" s="60" customFormat="1" x14ac:dyDescent="0.2"/>
    <row r="620" s="60" customFormat="1" x14ac:dyDescent="0.2"/>
    <row r="621" s="60" customFormat="1" x14ac:dyDescent="0.2"/>
    <row r="622" s="60" customFormat="1" x14ac:dyDescent="0.2"/>
    <row r="623" s="60" customFormat="1" x14ac:dyDescent="0.2"/>
    <row r="624" s="60" customFormat="1" x14ac:dyDescent="0.2"/>
    <row r="625" s="60" customFormat="1" x14ac:dyDescent="0.2"/>
    <row r="626" s="60" customFormat="1" x14ac:dyDescent="0.2"/>
    <row r="627" s="60" customFormat="1" x14ac:dyDescent="0.2"/>
    <row r="628" s="60" customFormat="1" x14ac:dyDescent="0.2"/>
    <row r="629" s="60" customFormat="1" x14ac:dyDescent="0.2"/>
    <row r="630" s="60" customFormat="1" x14ac:dyDescent="0.2"/>
    <row r="631" s="60" customFormat="1" x14ac:dyDescent="0.2"/>
    <row r="632" s="60" customFormat="1" x14ac:dyDescent="0.2"/>
    <row r="633" s="60" customFormat="1" x14ac:dyDescent="0.2"/>
    <row r="634" s="60" customFormat="1" x14ac:dyDescent="0.2"/>
    <row r="635" s="60" customFormat="1" x14ac:dyDescent="0.2"/>
    <row r="636" s="60" customFormat="1" x14ac:dyDescent="0.2"/>
    <row r="637" s="60" customFormat="1" x14ac:dyDescent="0.2"/>
    <row r="638" s="60" customFormat="1" x14ac:dyDescent="0.2"/>
    <row r="639" s="60" customFormat="1" x14ac:dyDescent="0.2"/>
    <row r="640" s="60" customFormat="1" x14ac:dyDescent="0.2"/>
    <row r="641" spans="2:5" x14ac:dyDescent="0.2">
      <c r="B641" s="60"/>
      <c r="D641" s="60"/>
      <c r="E641" s="60"/>
    </row>
    <row r="642" spans="2:5" x14ac:dyDescent="0.2">
      <c r="B642" s="60"/>
      <c r="D642" s="60"/>
      <c r="E642" s="60"/>
    </row>
    <row r="643" spans="2:5" x14ac:dyDescent="0.2">
      <c r="B643" s="60"/>
      <c r="D643" s="60"/>
      <c r="E643" s="60"/>
    </row>
    <row r="644" spans="2:5" x14ac:dyDescent="0.2">
      <c r="B644" s="60"/>
      <c r="D644" s="60"/>
      <c r="E644" s="60"/>
    </row>
  </sheetData>
  <sheetProtection formatColumns="0" formatRows="0" autoFilter="0"/>
  <autoFilter ref="A1:Q1">
    <filterColumn colId="13" showButton="0"/>
    <filterColumn colId="14" showButton="0"/>
    <filterColumn colId="15" showButton="0"/>
  </autoFilter>
  <customSheetViews>
    <customSheetView guid="{6D219446-F28D-45D5-B49F-7CFEDCEF42B5}" fitToPage="1" showAutoFilter="1">
      <pane ySplit="1" topLeftCell="A2" activePane="bottomLeft" state="frozen"/>
      <selection pane="bottomLeft" activeCell="E23" sqref="E23"/>
      <pageMargins left="0.7" right="0.7" top="0.75" bottom="0.75" header="0.3" footer="0.3"/>
      <pageSetup paperSize="9" scale="59" fitToHeight="0" orientation="landscape" r:id="rId1"/>
      <autoFilter ref="A1:Q1">
        <filterColumn colId="13" showButton="0"/>
        <filterColumn colId="14" showButton="0"/>
        <filterColumn colId="15" showButton="0"/>
      </autoFilter>
    </customSheetView>
    <customSheetView guid="{82A1F10D-6026-46B8-AE8B-529469938F0C}" fitToPage="1" showAutoFilter="1">
      <pane ySplit="1" topLeftCell="A2" activePane="bottomLeft" state="frozen"/>
      <selection pane="bottomLeft" activeCell="E23" sqref="E23"/>
      <pageMargins left="0.7" right="0.7" top="0.75" bottom="0.75" header="0.3" footer="0.3"/>
      <pageSetup paperSize="9" scale="59" fitToHeight="0" orientation="landscape" r:id="rId2"/>
      <autoFilter ref="A1:Q1">
        <filterColumn colId="13" showButton="0"/>
        <filterColumn colId="14" showButton="0"/>
        <filterColumn colId="15" showButton="0"/>
      </autoFilter>
    </customSheetView>
    <customSheetView guid="{469C741C-1099-4615-BDAA-CB5CEB586B7F}" fitToPage="1" showAutoFilter="1">
      <pane ySplit="1" topLeftCell="A2" activePane="bottomLeft" state="frozen"/>
      <selection pane="bottomLeft" activeCell="E23" sqref="E23"/>
      <pageMargins left="0.7" right="0.7" top="0.75" bottom="0.75" header="0.3" footer="0.3"/>
      <pageSetup paperSize="9" scale="59" fitToHeight="0" orientation="landscape" r:id="rId3"/>
      <autoFilter ref="A1:Q1">
        <filterColumn colId="13" showButton="0"/>
        <filterColumn colId="14" showButton="0"/>
        <filterColumn colId="15" showButton="0"/>
      </autoFilter>
    </customSheetView>
    <customSheetView guid="{1FEE78FD-9218-4F4F-A3E9-FCAC81CA362B}" fitToPage="1" showAutoFilter="1">
      <pane ySplit="1" topLeftCell="A2" activePane="bottomLeft" state="frozen"/>
      <selection pane="bottomLeft" activeCell="E23" sqref="E23"/>
      <pageMargins left="0.7" right="0.7" top="0.75" bottom="0.75" header="0.3" footer="0.3"/>
      <pageSetup paperSize="9" scale="59" fitToHeight="0" orientation="landscape" r:id="rId4"/>
      <autoFilter ref="A1:Q1">
        <filterColumn colId="13" showButton="0"/>
        <filterColumn colId="14" showButton="0"/>
        <filterColumn colId="15" showButton="0"/>
      </autoFilter>
    </customSheetView>
  </customSheetViews>
  <mergeCells count="1">
    <mergeCell ref="N1:Q12"/>
  </mergeCells>
  <conditionalFormatting sqref="G109:G120">
    <cfRule type="expression" dxfId="5" priority="5">
      <formula>OR(G109=0,G109="ממתין להשלמות")</formula>
    </cfRule>
    <cfRule type="expression" dxfId="4" priority="6">
      <formula>G109=1</formula>
    </cfRule>
  </conditionalFormatting>
  <conditionalFormatting sqref="J109:J120">
    <cfRule type="expression" dxfId="3" priority="3">
      <formula>J109="לא זכאי לתמיכה"</formula>
    </cfRule>
    <cfRule type="expression" dxfId="2" priority="4">
      <formula>J109="זכאי לתמיכה"</formula>
    </cfRule>
  </conditionalFormatting>
  <conditionalFormatting sqref="G160:G170">
    <cfRule type="expression" dxfId="1" priority="1">
      <formula>OR(G160=0,G160="ממתין להשלמות")</formula>
    </cfRule>
    <cfRule type="expression" dxfId="0" priority="2">
      <formula>G160=1</formula>
    </cfRule>
  </conditionalFormatting>
  <pageMargins left="0.7" right="0.7" top="0.75" bottom="0.75" header="0.3" footer="0.3"/>
  <pageSetup paperSize="9" scale="59" fitToHeight="0" orientation="landscape"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tint="-0.249977111117893"/>
  </sheetPr>
  <dimension ref="A1:H45"/>
  <sheetViews>
    <sheetView rightToLeft="1" view="pageBreakPreview" topLeftCell="B1" zoomScaleNormal="100" zoomScaleSheetLayoutView="100" workbookViewId="0">
      <selection activeCell="C6" sqref="C6"/>
    </sheetView>
  </sheetViews>
  <sheetFormatPr defaultColWidth="9" defaultRowHeight="15" x14ac:dyDescent="0.2"/>
  <cols>
    <col min="1" max="1" width="2.125" style="24" hidden="1" customWidth="1"/>
    <col min="2" max="2" width="17.875" style="24" customWidth="1"/>
    <col min="3" max="3" width="18.75" style="24" customWidth="1"/>
    <col min="4" max="4" width="36" style="24" customWidth="1"/>
    <col min="5" max="5" width="19.25" style="24" customWidth="1"/>
    <col min="6" max="6" width="18.125" style="24" customWidth="1"/>
    <col min="7" max="7" width="21.125" style="24" customWidth="1"/>
    <col min="8" max="8" width="20.625" style="41" customWidth="1"/>
    <col min="9" max="10" width="9" style="24"/>
    <col min="11" max="11" width="9.25" style="24" customWidth="1"/>
    <col min="12" max="16384" width="9" style="24"/>
  </cols>
  <sheetData>
    <row r="1" spans="1:8" ht="15.75" thickBot="1" x14ac:dyDescent="0.25">
      <c r="H1" s="24"/>
    </row>
    <row r="2" spans="1:8" ht="30.75" thickBot="1" x14ac:dyDescent="0.25">
      <c r="B2" s="365" t="s">
        <v>278</v>
      </c>
      <c r="C2" s="366"/>
      <c r="D2" s="366"/>
      <c r="E2" s="366"/>
      <c r="F2" s="366"/>
      <c r="G2" s="366"/>
      <c r="H2" s="367"/>
    </row>
    <row r="3" spans="1:8" ht="15.75" customHeight="1" x14ac:dyDescent="0.2">
      <c r="H3" s="24"/>
    </row>
    <row r="4" spans="1:8" ht="15.75" customHeight="1" x14ac:dyDescent="0.25">
      <c r="B4" s="25" t="s">
        <v>279</v>
      </c>
      <c r="C4" s="26">
        <v>44046</v>
      </c>
      <c r="D4" s="27"/>
      <c r="E4" s="27"/>
      <c r="F4" s="27"/>
      <c r="G4" s="27"/>
      <c r="H4" s="27"/>
    </row>
    <row r="5" spans="1:8" ht="15.75" customHeight="1" x14ac:dyDescent="0.25">
      <c r="B5" s="25" t="s">
        <v>280</v>
      </c>
      <c r="C5" s="26">
        <v>44117</v>
      </c>
      <c r="D5" s="27"/>
      <c r="E5" s="27"/>
      <c r="F5" s="27"/>
      <c r="G5" s="27"/>
      <c r="H5" s="27"/>
    </row>
    <row r="6" spans="1:8" ht="15.75" customHeight="1" thickBot="1" x14ac:dyDescent="0.3">
      <c r="A6" s="27"/>
      <c r="B6" s="27"/>
      <c r="C6" s="27"/>
      <c r="D6" s="27"/>
      <c r="E6" s="27"/>
      <c r="F6" s="27"/>
      <c r="G6" s="27"/>
      <c r="H6" s="27"/>
    </row>
    <row r="7" spans="1:8" ht="42" customHeight="1" thickBot="1" x14ac:dyDescent="0.25">
      <c r="B7" s="368" t="s">
        <v>431</v>
      </c>
      <c r="C7" s="369"/>
      <c r="D7" s="369"/>
      <c r="E7" s="369"/>
      <c r="F7" s="369"/>
      <c r="G7" s="369"/>
      <c r="H7" s="370"/>
    </row>
    <row r="8" spans="1:8" ht="20.25" x14ac:dyDescent="0.3">
      <c r="B8" s="56" t="s">
        <v>460</v>
      </c>
      <c r="C8" s="57"/>
      <c r="D8" s="57"/>
      <c r="E8" s="57"/>
      <c r="F8" s="57"/>
      <c r="G8" s="57"/>
      <c r="H8" s="58"/>
    </row>
    <row r="9" spans="1:8" ht="20.25" x14ac:dyDescent="0.3">
      <c r="B9" s="270" t="s">
        <v>521</v>
      </c>
      <c r="C9" s="271"/>
      <c r="D9" s="271"/>
      <c r="E9" s="271"/>
      <c r="F9" s="271"/>
      <c r="G9" s="271"/>
      <c r="H9" s="271"/>
    </row>
    <row r="10" spans="1:8" ht="20.25" x14ac:dyDescent="0.3">
      <c r="B10" s="59" t="s">
        <v>461</v>
      </c>
      <c r="C10" s="57"/>
      <c r="D10" s="57"/>
      <c r="E10" s="57"/>
      <c r="F10" s="57"/>
      <c r="G10" s="57"/>
      <c r="H10" s="57"/>
    </row>
    <row r="11" spans="1:8" ht="15.75" customHeight="1" x14ac:dyDescent="0.2">
      <c r="H11" s="24"/>
    </row>
    <row r="12" spans="1:8" ht="15.75" customHeight="1" x14ac:dyDescent="0.25">
      <c r="B12" s="28" t="s">
        <v>281</v>
      </c>
      <c r="C12" s="29"/>
      <c r="H12" s="24"/>
    </row>
    <row r="13" spans="1:8" ht="15.75" customHeight="1" x14ac:dyDescent="0.2">
      <c r="H13" s="24"/>
    </row>
    <row r="14" spans="1:8" ht="23.25" x14ac:dyDescent="0.35">
      <c r="B14" s="371" t="s">
        <v>282</v>
      </c>
      <c r="C14" s="371"/>
      <c r="D14" s="371"/>
      <c r="E14" s="371"/>
      <c r="F14" s="371"/>
      <c r="G14" s="371"/>
      <c r="H14" s="371"/>
    </row>
    <row r="15" spans="1:8" ht="18" x14ac:dyDescent="0.25">
      <c r="B15" s="30" t="s">
        <v>283</v>
      </c>
      <c r="C15" s="30" t="s">
        <v>284</v>
      </c>
      <c r="D15" s="372" t="s">
        <v>285</v>
      </c>
      <c r="E15" s="373"/>
      <c r="F15" s="373"/>
      <c r="G15" s="373"/>
      <c r="H15" s="374"/>
    </row>
    <row r="16" spans="1:8" ht="27.75" customHeight="1" x14ac:dyDescent="0.2">
      <c r="B16" s="31" t="s">
        <v>286</v>
      </c>
      <c r="C16" s="32" t="s">
        <v>287</v>
      </c>
      <c r="D16" s="375" t="s">
        <v>357</v>
      </c>
      <c r="E16" s="376"/>
      <c r="F16" s="376"/>
      <c r="G16" s="376"/>
      <c r="H16" s="377"/>
    </row>
    <row r="17" spans="2:8" x14ac:dyDescent="0.2">
      <c r="B17" s="47" t="s">
        <v>288</v>
      </c>
      <c r="C17" s="32" t="s">
        <v>289</v>
      </c>
      <c r="D17" s="362" t="s">
        <v>290</v>
      </c>
      <c r="E17" s="363"/>
      <c r="F17" s="363"/>
      <c r="G17" s="363"/>
      <c r="H17" s="364"/>
    </row>
    <row r="18" spans="2:8" x14ac:dyDescent="0.2">
      <c r="B18" s="33" t="s">
        <v>291</v>
      </c>
      <c r="C18" s="32" t="s">
        <v>292</v>
      </c>
      <c r="D18" s="362" t="s">
        <v>293</v>
      </c>
      <c r="E18" s="363"/>
      <c r="F18" s="363"/>
      <c r="G18" s="363"/>
      <c r="H18" s="364"/>
    </row>
    <row r="19" spans="2:8" x14ac:dyDescent="0.2">
      <c r="B19" s="34"/>
      <c r="C19" s="34"/>
      <c r="D19" s="35"/>
      <c r="E19" s="35"/>
      <c r="F19" s="35"/>
      <c r="G19" s="35"/>
      <c r="H19" s="35"/>
    </row>
    <row r="20" spans="2:8" hidden="1" x14ac:dyDescent="0.2">
      <c r="B20" s="378" t="s">
        <v>294</v>
      </c>
      <c r="C20" s="378"/>
      <c r="D20" s="378"/>
      <c r="E20" s="378"/>
      <c r="F20" s="378"/>
      <c r="G20" s="378"/>
      <c r="H20" s="378"/>
    </row>
    <row r="21" spans="2:8" ht="63" hidden="1" customHeight="1" x14ac:dyDescent="0.2">
      <c r="B21" s="379"/>
      <c r="C21" s="379"/>
      <c r="D21" s="379"/>
      <c r="E21" s="379"/>
      <c r="F21" s="379"/>
      <c r="G21" s="379"/>
      <c r="H21" s="379"/>
    </row>
    <row r="22" spans="2:8" ht="23.25" x14ac:dyDescent="0.2">
      <c r="B22" s="36"/>
      <c r="C22" s="36"/>
      <c r="D22" s="36"/>
      <c r="E22" s="36"/>
      <c r="F22" s="36"/>
      <c r="G22" s="36"/>
      <c r="H22" s="36"/>
    </row>
    <row r="23" spans="2:8" ht="23.25" x14ac:dyDescent="0.2">
      <c r="B23" s="36"/>
      <c r="C23" s="36"/>
      <c r="D23" s="36"/>
      <c r="E23" s="36"/>
      <c r="F23" s="36"/>
      <c r="G23" s="36"/>
      <c r="H23" s="36"/>
    </row>
    <row r="24" spans="2:8" ht="23.25" x14ac:dyDescent="0.2">
      <c r="B24" s="36"/>
      <c r="C24" s="36"/>
      <c r="D24" s="36"/>
      <c r="E24" s="36"/>
      <c r="F24" s="36"/>
      <c r="G24" s="36"/>
      <c r="H24" s="36"/>
    </row>
    <row r="25" spans="2:8" ht="23.25" x14ac:dyDescent="0.2">
      <c r="B25" s="36"/>
      <c r="C25" s="36"/>
      <c r="D25" s="36"/>
      <c r="E25" s="36"/>
      <c r="F25" s="36"/>
      <c r="G25" s="36"/>
      <c r="H25" s="36"/>
    </row>
    <row r="26" spans="2:8" ht="23.25" x14ac:dyDescent="0.2">
      <c r="B26" s="36"/>
      <c r="C26" s="36"/>
      <c r="D26" s="36"/>
      <c r="E26" s="36"/>
      <c r="F26" s="36"/>
      <c r="G26" s="36"/>
      <c r="H26" s="36"/>
    </row>
    <row r="27" spans="2:8" ht="23.25" x14ac:dyDescent="0.2">
      <c r="B27" s="36"/>
      <c r="C27" s="36"/>
      <c r="D27" s="36"/>
      <c r="E27" s="36"/>
      <c r="F27" s="36"/>
      <c r="G27" s="36"/>
      <c r="H27" s="36"/>
    </row>
    <row r="28" spans="2:8" ht="23.25" x14ac:dyDescent="0.2">
      <c r="B28" s="36"/>
      <c r="C28" s="36"/>
      <c r="D28" s="36"/>
      <c r="E28" s="36"/>
      <c r="F28" s="36"/>
      <c r="G28" s="36"/>
      <c r="H28" s="36"/>
    </row>
    <row r="29" spans="2:8" ht="23.25" x14ac:dyDescent="0.2">
      <c r="B29" s="36"/>
      <c r="C29" s="36"/>
      <c r="D29" s="36"/>
      <c r="E29" s="36"/>
      <c r="F29" s="36"/>
      <c r="G29" s="36"/>
      <c r="H29" s="36"/>
    </row>
    <row r="30" spans="2:8" ht="23.25" x14ac:dyDescent="0.2">
      <c r="B30" s="36"/>
      <c r="C30" s="36"/>
      <c r="D30" s="36"/>
      <c r="E30" s="36"/>
      <c r="F30" s="36"/>
      <c r="G30" s="36"/>
      <c r="H30" s="36"/>
    </row>
    <row r="31" spans="2:8" ht="23.25" x14ac:dyDescent="0.2">
      <c r="B31" s="36"/>
      <c r="C31" s="36"/>
      <c r="D31" s="36"/>
      <c r="E31" s="36"/>
      <c r="F31" s="36"/>
      <c r="G31" s="36"/>
      <c r="H31" s="36"/>
    </row>
    <row r="32" spans="2:8" ht="23.25" x14ac:dyDescent="0.2">
      <c r="B32" s="36"/>
      <c r="C32" s="36"/>
      <c r="D32" s="36"/>
      <c r="E32" s="36"/>
      <c r="F32" s="36"/>
      <c r="G32" s="36"/>
      <c r="H32" s="36"/>
    </row>
    <row r="33" spans="2:8" ht="23.25" x14ac:dyDescent="0.2">
      <c r="B33" s="36"/>
      <c r="C33" s="36"/>
      <c r="D33" s="36"/>
      <c r="E33" s="36"/>
      <c r="F33" s="36"/>
      <c r="G33" s="36"/>
      <c r="H33" s="36"/>
    </row>
    <row r="34" spans="2:8" ht="23.25" x14ac:dyDescent="0.2">
      <c r="B34" s="36"/>
      <c r="C34" s="36"/>
      <c r="D34" s="36"/>
      <c r="E34" s="36"/>
      <c r="F34" s="36"/>
      <c r="G34" s="36"/>
      <c r="H34" s="36"/>
    </row>
    <row r="35" spans="2:8" ht="24" hidden="1" thickBot="1" x14ac:dyDescent="0.25">
      <c r="B35" s="36"/>
      <c r="C35" s="36"/>
      <c r="D35" s="36"/>
      <c r="E35" s="36"/>
      <c r="F35" s="36"/>
      <c r="G35" s="36"/>
      <c r="H35" s="36"/>
    </row>
    <row r="36" spans="2:8" ht="18" hidden="1" x14ac:dyDescent="0.2">
      <c r="B36" s="380" t="s">
        <v>295</v>
      </c>
      <c r="C36" s="381"/>
      <c r="D36" s="381"/>
      <c r="E36" s="381"/>
      <c r="F36" s="381"/>
      <c r="G36" s="381"/>
      <c r="H36" s="382"/>
    </row>
    <row r="37" spans="2:8" ht="15.75" hidden="1" x14ac:dyDescent="0.25">
      <c r="B37" s="37" t="s">
        <v>296</v>
      </c>
      <c r="C37" s="37" t="s">
        <v>297</v>
      </c>
      <c r="D37" s="37" t="s">
        <v>298</v>
      </c>
      <c r="E37" s="383" t="s">
        <v>299</v>
      </c>
      <c r="F37" s="384"/>
      <c r="G37" s="384"/>
      <c r="H37" s="385"/>
    </row>
    <row r="38" spans="2:8" ht="49.5" hidden="1" customHeight="1" x14ac:dyDescent="0.2">
      <c r="B38" s="38">
        <v>1</v>
      </c>
      <c r="C38" s="39">
        <v>42855</v>
      </c>
      <c r="D38" s="39" t="s">
        <v>301</v>
      </c>
      <c r="E38" s="386" t="s">
        <v>302</v>
      </c>
      <c r="F38" s="387"/>
      <c r="G38" s="387"/>
      <c r="H38" s="388"/>
    </row>
    <row r="39" spans="2:8" hidden="1" x14ac:dyDescent="0.2">
      <c r="C39" s="40"/>
      <c r="H39" s="24"/>
    </row>
    <row r="40" spans="2:8" x14ac:dyDescent="0.2">
      <c r="H40" s="24"/>
    </row>
    <row r="41" spans="2:8" x14ac:dyDescent="0.2">
      <c r="H41" s="24"/>
    </row>
    <row r="42" spans="2:8" x14ac:dyDescent="0.2">
      <c r="H42" s="24"/>
    </row>
    <row r="43" spans="2:8" x14ac:dyDescent="0.2">
      <c r="H43" s="24"/>
    </row>
    <row r="44" spans="2:8" x14ac:dyDescent="0.2">
      <c r="H44" s="24"/>
    </row>
    <row r="45" spans="2:8" x14ac:dyDescent="0.2">
      <c r="H45" s="24"/>
    </row>
  </sheetData>
  <sheetProtection password="CCB7" sheet="1" objects="1" scenarios="1" formatColumns="0" formatRows="0" autoFilter="0"/>
  <customSheetViews>
    <customSheetView guid="{6D219446-F28D-45D5-B49F-7CFEDCEF42B5}" showPageBreaks="1" printArea="1" hiddenRows="1" hiddenColumns="1" view="pageBreakPreview" topLeftCell="B1">
      <selection activeCell="L7" sqref="L7"/>
      <pageMargins left="0.51181102362204722" right="0.51181102362204722" top="0.74803149606299213" bottom="0.74803149606299213" header="0.31496062992125984" footer="0.31496062992125984"/>
      <printOptions horizontalCentered="1"/>
      <pageSetup paperSize="9" scale="49" fitToHeight="2" orientation="portrait" r:id="rId1"/>
      <headerFooter>
        <oddHeader>&amp;C&amp;Uמבחנים לתמיכה של משרד התרבות והספורט</oddHeader>
        <oddFooter>&amp;Lא. חפץ ושות'
יעוץ כלכלי&amp;C&amp;P</oddFooter>
      </headerFooter>
    </customSheetView>
    <customSheetView guid="{82A1F10D-6026-46B8-AE8B-529469938F0C}" showPageBreaks="1" printArea="1" hiddenRows="1" hiddenColumns="1" view="pageBreakPreview" topLeftCell="B1">
      <selection activeCell="L7" sqref="L7"/>
      <pageMargins left="0.51181102362204722" right="0.51181102362204722" top="0.74803149606299213" bottom="0.74803149606299213" header="0.31496062992125984" footer="0.31496062992125984"/>
      <printOptions horizontalCentered="1"/>
      <pageSetup paperSize="9" scale="49" fitToHeight="2" orientation="portrait" r:id="rId2"/>
      <headerFooter>
        <oddHeader>&amp;C&amp;Uמבחנים לתמיכה של משרד התרבות והספורט</oddHeader>
        <oddFooter>&amp;Lא. חפץ ושות'
יעוץ כלכלי&amp;C&amp;P</oddFooter>
      </headerFooter>
    </customSheetView>
    <customSheetView guid="{469C741C-1099-4615-BDAA-CB5CEB586B7F}" showPageBreaks="1" printArea="1" hiddenRows="1" hiddenColumns="1" view="pageBreakPreview" topLeftCell="B1">
      <selection activeCell="L7" sqref="L7"/>
      <pageMargins left="0.51181102362204722" right="0.51181102362204722" top="0.74803149606299213" bottom="0.74803149606299213" header="0.31496062992125984" footer="0.31496062992125984"/>
      <printOptions horizontalCentered="1"/>
      <pageSetup paperSize="9" scale="49" fitToHeight="2" orientation="portrait" r:id="rId3"/>
      <headerFooter>
        <oddHeader>&amp;C&amp;Uמבחנים לתמיכה של משרד התרבות והספורט</oddHeader>
        <oddFooter>&amp;Lא. חפץ ושות'
יעוץ כלכלי&amp;C&amp;P</oddFooter>
      </headerFooter>
    </customSheetView>
    <customSheetView guid="{E5C54765-25B5-4899-A8B4-DC3948A535C4}" showPageBreaks="1" printArea="1" hiddenRows="1" hiddenColumns="1" view="pageBreakPreview" topLeftCell="B1">
      <selection activeCell="I9" sqref="I9"/>
      <pageMargins left="0.51181102362204722" right="0.51181102362204722" top="0.74803149606299213" bottom="0.74803149606299213" header="0.31496062992125984" footer="0.31496062992125984"/>
      <printOptions horizontalCentered="1"/>
      <pageSetup paperSize="9" scale="49" fitToHeight="2" orientation="portrait" r:id="rId4"/>
      <headerFooter>
        <oddHeader>&amp;C&amp;Uמבחנים לתמיכה של משרד התרבות והספורט</oddHeader>
        <oddFooter>&amp;Lא. חפץ ושות'
יעוץ כלכלי&amp;C&amp;P</oddFooter>
      </headerFooter>
    </customSheetView>
    <customSheetView guid="{1FEE78FD-9218-4F4F-A3E9-FCAC81CA362B}" showPageBreaks="1" printArea="1" hiddenRows="1" hiddenColumns="1" view="pageBreakPreview" topLeftCell="B1">
      <selection activeCell="L7" sqref="L7"/>
      <pageMargins left="0.51181102362204722" right="0.51181102362204722" top="0.74803149606299213" bottom="0.74803149606299213" header="0.31496062992125984" footer="0.31496062992125984"/>
      <printOptions horizontalCentered="1"/>
      <pageSetup paperSize="9" scale="49" fitToHeight="2" orientation="portrait" r:id="rId5"/>
      <headerFooter>
        <oddHeader>&amp;C&amp;Uמבחנים לתמיכה של משרד התרבות והספורט</oddHeader>
        <oddFooter>&amp;Lא. חפץ ושות'
יעוץ כלכלי&amp;C&amp;P</oddFooter>
      </headerFooter>
    </customSheetView>
  </customSheetViews>
  <mergeCells count="11">
    <mergeCell ref="D18:H18"/>
    <mergeCell ref="B20:H21"/>
    <mergeCell ref="B36:H36"/>
    <mergeCell ref="E37:H37"/>
    <mergeCell ref="E38:H38"/>
    <mergeCell ref="D17:H17"/>
    <mergeCell ref="B2:H2"/>
    <mergeCell ref="B7:H7"/>
    <mergeCell ref="B14:H14"/>
    <mergeCell ref="D15:H15"/>
    <mergeCell ref="D16:H16"/>
  </mergeCells>
  <printOptions horizontalCentered="1"/>
  <pageMargins left="0.51181102362204722" right="0.51181102362204722" top="0.74803149606299213" bottom="0.74803149606299213" header="0.31496062992125984" footer="0.31496062992125984"/>
  <pageSetup paperSize="9" scale="49" fitToHeight="2" orientation="portrait" r:id="rId6"/>
  <headerFooter>
    <oddHeader>&amp;C&amp;Uמבחנים לתמיכה של משרד התרבות והספורט</oddHeader>
    <oddFooter>&amp;Lא. חפץ ושות'
יעוץ כלכלי&amp;C&amp;P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2" tint="-0.499984740745262"/>
  </sheetPr>
  <dimension ref="A1:H300"/>
  <sheetViews>
    <sheetView rightToLeft="1" view="pageBreakPreview" topLeftCell="B1" zoomScale="90" zoomScaleNormal="100" zoomScaleSheetLayoutView="90" workbookViewId="0">
      <selection activeCell="D52" sqref="D52"/>
    </sheetView>
  </sheetViews>
  <sheetFormatPr defaultColWidth="9" defaultRowHeight="15" x14ac:dyDescent="0.2"/>
  <cols>
    <col min="1" max="1" width="2.125" style="24" hidden="1" customWidth="1"/>
    <col min="2" max="2" width="44" style="24" bestFit="1" customWidth="1"/>
    <col min="3" max="3" width="18.75" style="24" customWidth="1"/>
    <col min="4" max="4" width="20.625" style="24" customWidth="1"/>
    <col min="5" max="5" width="32.875" style="24" customWidth="1"/>
    <col min="6" max="6" width="27.875" style="24" customWidth="1"/>
    <col min="7" max="7" width="14.75" style="24" customWidth="1"/>
    <col min="8" max="8" width="9.375" style="42" customWidth="1"/>
    <col min="9" max="10" width="9" style="24"/>
    <col min="11" max="11" width="28.75" style="24" customWidth="1"/>
    <col min="12" max="16384" width="9" style="24"/>
  </cols>
  <sheetData>
    <row r="1" spans="2:8" ht="15.75" thickBot="1" x14ac:dyDescent="0.25"/>
    <row r="2" spans="2:8" ht="28.5" customHeight="1" thickBot="1" x14ac:dyDescent="0.25">
      <c r="B2" s="365" t="s">
        <v>459</v>
      </c>
      <c r="C2" s="366"/>
      <c r="D2" s="366"/>
      <c r="E2" s="366"/>
      <c r="F2" s="366"/>
      <c r="G2" s="366"/>
      <c r="H2" s="367"/>
    </row>
    <row r="3" spans="2:8" ht="15.75" thickBot="1" x14ac:dyDescent="0.25"/>
    <row r="4" spans="2:8" ht="18" x14ac:dyDescent="0.2">
      <c r="B4" s="43" t="s">
        <v>300</v>
      </c>
      <c r="C4" s="44">
        <v>2020</v>
      </c>
    </row>
    <row r="5" spans="2:8" ht="18" x14ac:dyDescent="0.2">
      <c r="B5" s="220" t="s">
        <v>407</v>
      </c>
      <c r="C5" s="234">
        <v>50000000</v>
      </c>
    </row>
    <row r="6" spans="2:8" ht="18" x14ac:dyDescent="0.2">
      <c r="B6" s="220" t="s">
        <v>408</v>
      </c>
      <c r="C6" s="234">
        <f>C8-C5-C7</f>
        <v>100000000</v>
      </c>
    </row>
    <row r="7" spans="2:8" ht="18" x14ac:dyDescent="0.2">
      <c r="B7" s="220" t="s">
        <v>409</v>
      </c>
      <c r="C7" s="234">
        <v>25000000</v>
      </c>
    </row>
    <row r="8" spans="2:8" ht="18.75" thickBot="1" x14ac:dyDescent="0.25">
      <c r="B8" s="45" t="s">
        <v>410</v>
      </c>
      <c r="C8" s="46">
        <v>175000000</v>
      </c>
    </row>
    <row r="10" spans="2:8" hidden="1" x14ac:dyDescent="0.2"/>
    <row r="11" spans="2:8" ht="29.45" hidden="1" customHeight="1" x14ac:dyDescent="0.2"/>
    <row r="12" spans="2:8" hidden="1" x14ac:dyDescent="0.2"/>
    <row r="13" spans="2:8" hidden="1" x14ac:dyDescent="0.2"/>
    <row r="14" spans="2:8" hidden="1" x14ac:dyDescent="0.2"/>
    <row r="15" spans="2:8" hidden="1" x14ac:dyDescent="0.2"/>
    <row r="16" spans="2:8" hidden="1" x14ac:dyDescent="0.2"/>
    <row r="17" spans="2:8" hidden="1" x14ac:dyDescent="0.2"/>
    <row r="18" spans="2:8" ht="16.5" thickBot="1" x14ac:dyDescent="0.3">
      <c r="B18" s="191"/>
      <c r="C18" s="192"/>
    </row>
    <row r="19" spans="2:8" ht="15.75" x14ac:dyDescent="0.2">
      <c r="B19" s="389" t="s">
        <v>400</v>
      </c>
      <c r="C19" s="390"/>
    </row>
    <row r="20" spans="2:8" ht="47.25" x14ac:dyDescent="0.2">
      <c r="B20" s="235" t="s">
        <v>471</v>
      </c>
      <c r="C20" s="203">
        <v>0.25</v>
      </c>
    </row>
    <row r="21" spans="2:8" ht="47.25" x14ac:dyDescent="0.2">
      <c r="B21" s="202" t="s">
        <v>368</v>
      </c>
      <c r="C21" s="203">
        <v>0.2</v>
      </c>
    </row>
    <row r="22" spans="2:8" ht="31.5" x14ac:dyDescent="0.2">
      <c r="B22" s="235" t="s">
        <v>473</v>
      </c>
      <c r="C22" s="203">
        <v>0.15</v>
      </c>
    </row>
    <row r="23" spans="2:8" ht="15.75" thickBot="1" x14ac:dyDescent="0.25"/>
    <row r="24" spans="2:8" ht="15.75" x14ac:dyDescent="0.2">
      <c r="B24" s="389" t="s">
        <v>401</v>
      </c>
      <c r="C24" s="390"/>
      <c r="H24" s="24"/>
    </row>
    <row r="25" spans="2:8" ht="15.75" x14ac:dyDescent="0.2">
      <c r="B25" s="215" t="s">
        <v>402</v>
      </c>
      <c r="C25" s="203">
        <v>0.3</v>
      </c>
      <c r="H25" s="24"/>
    </row>
    <row r="26" spans="2:8" ht="15.75" x14ac:dyDescent="0.2">
      <c r="B26" s="215" t="s">
        <v>403</v>
      </c>
      <c r="C26" s="123">
        <f>90/366</f>
        <v>0.24590163934426229</v>
      </c>
      <c r="H26" s="24"/>
    </row>
    <row r="27" spans="2:8" ht="16.5" thickBot="1" x14ac:dyDescent="0.25">
      <c r="B27" s="215" t="s">
        <v>455</v>
      </c>
      <c r="C27" s="203">
        <v>0.1</v>
      </c>
      <c r="H27" s="24"/>
    </row>
    <row r="28" spans="2:8" ht="15.75" x14ac:dyDescent="0.2">
      <c r="E28" s="389" t="s">
        <v>456</v>
      </c>
      <c r="F28" s="390"/>
    </row>
    <row r="29" spans="2:8" hidden="1" x14ac:dyDescent="0.2"/>
    <row r="30" spans="2:8" hidden="1" x14ac:dyDescent="0.2"/>
    <row r="31" spans="2:8" hidden="1" x14ac:dyDescent="0.2"/>
    <row r="32" spans="2:8" hidden="1" x14ac:dyDescent="0.2"/>
    <row r="33" spans="5:6" hidden="1" x14ac:dyDescent="0.2"/>
    <row r="34" spans="5:6" hidden="1" x14ac:dyDescent="0.2"/>
    <row r="35" spans="5:6" ht="15" hidden="1" customHeight="1" x14ac:dyDescent="0.2"/>
    <row r="36" spans="5:6" hidden="1" x14ac:dyDescent="0.2"/>
    <row r="37" spans="5:6" hidden="1" x14ac:dyDescent="0.2"/>
    <row r="38" spans="5:6" hidden="1" x14ac:dyDescent="0.2"/>
    <row r="39" spans="5:6" hidden="1" x14ac:dyDescent="0.2"/>
    <row r="40" spans="5:6" ht="15.75" hidden="1" customHeight="1" x14ac:dyDescent="0.2"/>
    <row r="41" spans="5:6" ht="15.75" hidden="1" customHeight="1" x14ac:dyDescent="0.2"/>
    <row r="42" spans="5:6" ht="15.75" hidden="1" customHeight="1" x14ac:dyDescent="0.2"/>
    <row r="43" spans="5:6" ht="15.75" hidden="1" customHeight="1" x14ac:dyDescent="0.2"/>
    <row r="44" spans="5:6" ht="15.75" hidden="1" customHeight="1" x14ac:dyDescent="0.2"/>
    <row r="45" spans="5:6" ht="15.75" hidden="1" customHeight="1" x14ac:dyDescent="0.2"/>
    <row r="46" spans="5:6" ht="15.75" hidden="1" customHeight="1" x14ac:dyDescent="0.25">
      <c r="E46" s="1"/>
    </row>
    <row r="47" spans="5:6" ht="15.75" hidden="1" customHeight="1" x14ac:dyDescent="0.2"/>
    <row r="48" spans="5:6" ht="47.25" x14ac:dyDescent="0.2">
      <c r="E48" s="215" t="s">
        <v>416</v>
      </c>
      <c r="F48" s="215" t="s">
        <v>417</v>
      </c>
    </row>
    <row r="49" spans="2:6" ht="15.75" customHeight="1" x14ac:dyDescent="0.2">
      <c r="E49" s="223">
        <v>0</v>
      </c>
      <c r="F49" s="196">
        <v>1.5</v>
      </c>
    </row>
    <row r="50" spans="2:6" ht="15.75" customHeight="1" x14ac:dyDescent="0.2">
      <c r="E50" s="223">
        <v>0.05</v>
      </c>
      <c r="F50" s="196">
        <v>1.7</v>
      </c>
    </row>
    <row r="51" spans="2:6" ht="15.75" customHeight="1" x14ac:dyDescent="0.2">
      <c r="E51" s="223">
        <v>0.1</v>
      </c>
      <c r="F51" s="196">
        <v>1.9</v>
      </c>
    </row>
    <row r="52" spans="2:6" ht="15.75" customHeight="1" x14ac:dyDescent="0.2">
      <c r="E52" s="223">
        <v>0.15</v>
      </c>
      <c r="F52" s="196">
        <v>2.1</v>
      </c>
    </row>
    <row r="53" spans="2:6" ht="15.75" customHeight="1" x14ac:dyDescent="0.2">
      <c r="E53" s="223">
        <v>0.2</v>
      </c>
      <c r="F53" s="196">
        <v>2.2999999999999998</v>
      </c>
    </row>
    <row r="54" spans="2:6" ht="15.75" customHeight="1" x14ac:dyDescent="0.2">
      <c r="E54" s="223">
        <v>0.25</v>
      </c>
      <c r="F54" s="196">
        <v>4</v>
      </c>
    </row>
    <row r="55" spans="2:6" ht="15.75" hidden="1" customHeight="1" x14ac:dyDescent="0.2">
      <c r="E55" s="2"/>
      <c r="F55" s="48"/>
    </row>
    <row r="56" spans="2:6" ht="15.75" customHeight="1" x14ac:dyDescent="0.2"/>
    <row r="57" spans="2:6" ht="15.6" customHeight="1" thickBot="1" x14ac:dyDescent="0.25"/>
    <row r="58" spans="2:6" ht="15.75" x14ac:dyDescent="0.2">
      <c r="B58" s="389" t="s">
        <v>423</v>
      </c>
      <c r="C58" s="390"/>
    </row>
    <row r="59" spans="2:6" ht="15.75" x14ac:dyDescent="0.2">
      <c r="B59" s="215" t="s">
        <v>402</v>
      </c>
      <c r="C59" s="203">
        <v>0.3</v>
      </c>
    </row>
    <row r="60" spans="2:6" ht="16.5" customHeight="1" x14ac:dyDescent="0.2">
      <c r="B60" s="215"/>
      <c r="C60" s="123"/>
    </row>
    <row r="61" spans="2:6" ht="15" customHeight="1" x14ac:dyDescent="0.2">
      <c r="B61" s="119"/>
      <c r="C61" s="50"/>
    </row>
    <row r="62" spans="2:6" ht="15.75" thickBot="1" x14ac:dyDescent="0.25"/>
    <row r="63" spans="2:6" ht="15.75" x14ac:dyDescent="0.2">
      <c r="B63" s="389" t="s">
        <v>432</v>
      </c>
      <c r="C63" s="390"/>
    </row>
    <row r="64" spans="2:6" ht="31.5" x14ac:dyDescent="0.2">
      <c r="B64" s="215" t="s">
        <v>433</v>
      </c>
      <c r="C64" s="196">
        <v>1</v>
      </c>
    </row>
    <row r="65" spans="2:3" ht="15.75" x14ac:dyDescent="0.2">
      <c r="B65" s="215"/>
      <c r="C65" s="123"/>
    </row>
    <row r="66" spans="2:3" ht="15.75" x14ac:dyDescent="0.2">
      <c r="B66" s="119"/>
      <c r="C66" s="50"/>
    </row>
    <row r="89" ht="45" customHeight="1" x14ac:dyDescent="0.2"/>
    <row r="90" ht="16.5" customHeight="1" x14ac:dyDescent="0.2"/>
    <row r="99" ht="18.75" customHeight="1" x14ac:dyDescent="0.2"/>
    <row r="119" ht="42.75" customHeight="1" x14ac:dyDescent="0.2"/>
    <row r="149" ht="35.25" customHeight="1" x14ac:dyDescent="0.2"/>
    <row r="179" ht="48.75" customHeight="1" x14ac:dyDescent="0.2"/>
    <row r="209" ht="54.75" customHeight="1" x14ac:dyDescent="0.2"/>
    <row r="239" ht="48" customHeight="1" x14ac:dyDescent="0.2"/>
    <row r="269" ht="55.5" customHeight="1" x14ac:dyDescent="0.2"/>
    <row r="270" ht="18.75" customHeight="1" x14ac:dyDescent="0.2"/>
    <row r="299" ht="42.75" customHeight="1" x14ac:dyDescent="0.2"/>
    <row r="300" ht="19.5" customHeight="1" x14ac:dyDescent="0.2"/>
  </sheetData>
  <sheetProtection password="CCB7" sheet="1" objects="1" scenarios="1" formatColumns="0" formatRows="0" autoFilter="0"/>
  <customSheetViews>
    <customSheetView guid="{6D219446-F28D-45D5-B49F-7CFEDCEF42B5}" scale="90" showPageBreaks="1" printArea="1" hiddenRows="1" hiddenColumns="1" view="pageBreakPreview" topLeftCell="B1">
      <selection activeCell="F49" sqref="F49"/>
      <pageMargins left="0.51181102362204722" right="0.51181102362204722" top="0.74803149606299213" bottom="0.74803149606299213" header="0.31496062992125984" footer="0.31496062992125984"/>
      <printOptions horizontalCentered="1"/>
      <pageSetup paperSize="9" scale="49" fitToHeight="2" orientation="portrait" r:id="rId1"/>
      <headerFooter>
        <oddHeader>&amp;C&amp;Uמבחנים לתמיכה של משרד התרבות והספורט</oddHeader>
        <oddFooter>&amp;Lא. חפץ ושות'
יעוץ כלכלי&amp;C&amp;P</oddFooter>
      </headerFooter>
    </customSheetView>
    <customSheetView guid="{82A1F10D-6026-46B8-AE8B-529469938F0C}" scale="90" showPageBreaks="1" printArea="1" hiddenRows="1" hiddenColumns="1" view="pageBreakPreview" topLeftCell="B1">
      <selection activeCell="F49" sqref="F49"/>
      <pageMargins left="0.51181102362204722" right="0.51181102362204722" top="0.74803149606299213" bottom="0.74803149606299213" header="0.31496062992125984" footer="0.31496062992125984"/>
      <printOptions horizontalCentered="1"/>
      <pageSetup paperSize="9" scale="49" fitToHeight="2" orientation="portrait" r:id="rId2"/>
      <headerFooter>
        <oddHeader>&amp;C&amp;Uמבחנים לתמיכה של משרד התרבות והספורט</oddHeader>
        <oddFooter>&amp;Lא. חפץ ושות'
יעוץ כלכלי&amp;C&amp;P</oddFooter>
      </headerFooter>
    </customSheetView>
    <customSheetView guid="{469C741C-1099-4615-BDAA-CB5CEB586B7F}" scale="90" showPageBreaks="1" printArea="1" hiddenRows="1" hiddenColumns="1" view="pageBreakPreview" topLeftCell="B1">
      <selection activeCell="F49" sqref="F49"/>
      <pageMargins left="0.51181102362204722" right="0.51181102362204722" top="0.74803149606299213" bottom="0.74803149606299213" header="0.31496062992125984" footer="0.31496062992125984"/>
      <printOptions horizontalCentered="1"/>
      <pageSetup paperSize="9" scale="49" fitToHeight="2" orientation="portrait" r:id="rId3"/>
      <headerFooter>
        <oddHeader>&amp;C&amp;Uמבחנים לתמיכה של משרד התרבות והספורט</oddHeader>
        <oddFooter>&amp;Lא. חפץ ושות'
יעוץ כלכלי&amp;C&amp;P</oddFooter>
      </headerFooter>
    </customSheetView>
    <customSheetView guid="{E5C54765-25B5-4899-A8B4-DC3948A535C4}" scale="90" showPageBreaks="1" printArea="1" hiddenRows="1" hiddenColumns="1" view="pageBreakPreview" topLeftCell="B1">
      <selection activeCell="B1" sqref="B1"/>
      <pageMargins left="0.51181102362204722" right="0.51181102362204722" top="0.74803149606299213" bottom="0.74803149606299213" header="0.31496062992125984" footer="0.31496062992125984"/>
      <printOptions horizontalCentered="1"/>
      <pageSetup paperSize="9" scale="49" fitToHeight="2" orientation="portrait" r:id="rId4"/>
      <headerFooter>
        <oddHeader>&amp;C&amp;Uמבחנים לתמיכה של משרד התרבות והספורט</oddHeader>
        <oddFooter>&amp;Lא. חפץ ושות'
יעוץ כלכלי&amp;C&amp;P</oddFooter>
      </headerFooter>
    </customSheetView>
    <customSheetView guid="{1FEE78FD-9218-4F4F-A3E9-FCAC81CA362B}" scale="90" showPageBreaks="1" printArea="1" hiddenRows="1" hiddenColumns="1" view="pageBreakPreview" topLeftCell="B1">
      <selection activeCell="F49" sqref="F49"/>
      <pageMargins left="0.51181102362204722" right="0.51181102362204722" top="0.74803149606299213" bottom="0.74803149606299213" header="0.31496062992125984" footer="0.31496062992125984"/>
      <printOptions horizontalCentered="1"/>
      <pageSetup paperSize="9" scale="49" fitToHeight="2" orientation="portrait" r:id="rId5"/>
      <headerFooter>
        <oddHeader>&amp;C&amp;Uמבחנים לתמיכה של משרד התרבות והספורט</oddHeader>
        <oddFooter>&amp;Lא. חפץ ושות'
יעוץ כלכלי&amp;C&amp;P</oddFooter>
      </headerFooter>
    </customSheetView>
  </customSheetViews>
  <mergeCells count="6">
    <mergeCell ref="B58:C58"/>
    <mergeCell ref="B63:C63"/>
    <mergeCell ref="B2:H2"/>
    <mergeCell ref="B19:C19"/>
    <mergeCell ref="B24:C24"/>
    <mergeCell ref="E28:F28"/>
  </mergeCells>
  <conditionalFormatting sqref="C4:C5">
    <cfRule type="containsBlanks" dxfId="1175" priority="3">
      <formula>LEN(TRIM(C4))=0</formula>
    </cfRule>
  </conditionalFormatting>
  <conditionalFormatting sqref="C6:C7">
    <cfRule type="containsBlanks" dxfId="1174" priority="2">
      <formula>LEN(TRIM(C6))=0</formula>
    </cfRule>
  </conditionalFormatting>
  <conditionalFormatting sqref="C8">
    <cfRule type="containsBlanks" dxfId="1173" priority="1">
      <formula>LEN(TRIM(C8))=0</formula>
    </cfRule>
  </conditionalFormatting>
  <printOptions horizontalCentered="1"/>
  <pageMargins left="0.51181102362204722" right="0.51181102362204722" top="0.74803149606299213" bottom="0.74803149606299213" header="0.31496062992125984" footer="0.31496062992125984"/>
  <pageSetup paperSize="9" scale="49" fitToHeight="2" orientation="portrait" r:id="rId6"/>
  <headerFooter>
    <oddHeader>&amp;C&amp;Uמבחנים לתמיכה של משרד התרבות והספורט</oddHeader>
    <oddFooter>&amp;Lא. חפץ ושות'
יעוץ כלכלי&amp;C&amp;P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CC"/>
  </sheetPr>
  <dimension ref="A1:R301"/>
  <sheetViews>
    <sheetView rightToLeft="1" view="pageBreakPreview" zoomScaleNormal="100" zoomScaleSheetLayoutView="100" workbookViewId="0">
      <pane ySplit="1" topLeftCell="A182" activePane="bottomLeft" state="frozen"/>
      <selection pane="bottomLeft" activeCell="B195" sqref="B195"/>
    </sheetView>
  </sheetViews>
  <sheetFormatPr defaultColWidth="9" defaultRowHeight="14.25" x14ac:dyDescent="0.2"/>
  <cols>
    <col min="1" max="1" width="12" style="98" customWidth="1"/>
    <col min="2" max="2" width="15.125" style="100" customWidth="1"/>
    <col min="3" max="3" width="15.125" style="99" customWidth="1"/>
    <col min="4" max="4" width="18.375" style="100" customWidth="1"/>
    <col min="5" max="5" width="13" style="100" hidden="1" customWidth="1"/>
    <col min="6" max="6" width="11.125" style="101" hidden="1" customWidth="1"/>
    <col min="7" max="7" width="22.75" style="101" hidden="1" customWidth="1"/>
    <col min="8" max="8" width="17.125" style="101" hidden="1" customWidth="1"/>
    <col min="9" max="9" width="13.375" style="99" hidden="1" customWidth="1"/>
    <col min="10" max="10" width="11.25" style="98" hidden="1" customWidth="1"/>
    <col min="11" max="17" width="9" style="98" hidden="1" customWidth="1"/>
    <col min="18" max="18" width="9.625" style="98" customWidth="1"/>
    <col min="19" max="20" width="9" style="98" customWidth="1"/>
    <col min="21" max="16384" width="9" style="98"/>
  </cols>
  <sheetData>
    <row r="1" spans="1:18" s="85" customFormat="1" ht="36.75" thickBot="1" x14ac:dyDescent="0.25">
      <c r="A1" s="81" t="s">
        <v>1</v>
      </c>
      <c r="B1" s="82" t="s">
        <v>257</v>
      </c>
      <c r="C1" s="81" t="s">
        <v>253</v>
      </c>
      <c r="D1" s="82" t="s">
        <v>218</v>
      </c>
      <c r="E1" s="82"/>
      <c r="F1" s="82"/>
      <c r="G1" s="82"/>
      <c r="H1" s="82"/>
      <c r="I1" s="83"/>
      <c r="J1" s="83"/>
      <c r="K1" s="84" t="s">
        <v>273</v>
      </c>
      <c r="N1" s="85" t="s">
        <v>274</v>
      </c>
    </row>
    <row r="2" spans="1:18" s="85" customFormat="1" ht="15.75" x14ac:dyDescent="0.2">
      <c r="A2" s="86">
        <v>1</v>
      </c>
      <c r="B2" s="87">
        <v>472</v>
      </c>
      <c r="C2" s="87">
        <v>20000031</v>
      </c>
      <c r="D2" s="87" t="s">
        <v>2</v>
      </c>
      <c r="E2" s="89"/>
      <c r="F2" s="90"/>
      <c r="G2" s="91"/>
      <c r="H2" s="91"/>
      <c r="I2" s="92"/>
      <c r="J2" s="92"/>
      <c r="K2" s="85" t="b">
        <f>AND(G2&gt;0,G2&lt;=10)</f>
        <v>0</v>
      </c>
      <c r="L2" s="85" t="b">
        <f>AND(H2&gt;0,H2&lt;=10)</f>
        <v>0</v>
      </c>
      <c r="M2" s="85" t="b">
        <f>OR(I2=0,I2=1)</f>
        <v>1</v>
      </c>
      <c r="N2" s="85" t="b">
        <f t="shared" ref="N2:N65" si="0">OR(H2&lt;=6,AND(I2=1,H2&lt;=7),AND(G2&lt;=2,H2&lt;=7))</f>
        <v>1</v>
      </c>
      <c r="Q2" s="85" t="s">
        <v>309</v>
      </c>
      <c r="R2" s="254"/>
    </row>
    <row r="3" spans="1:18" s="85" customFormat="1" ht="15.75" x14ac:dyDescent="0.2">
      <c r="A3" s="93">
        <f t="shared" ref="A3:A66" si="1">IF(D3="","",A2+1)</f>
        <v>2</v>
      </c>
      <c r="B3" s="87">
        <v>473</v>
      </c>
      <c r="C3" s="87">
        <v>20000032</v>
      </c>
      <c r="D3" s="87" t="s">
        <v>3</v>
      </c>
      <c r="E3" s="89"/>
      <c r="F3" s="90"/>
      <c r="G3" s="91"/>
      <c r="H3" s="91"/>
      <c r="I3" s="92"/>
      <c r="J3" s="92"/>
      <c r="K3" s="85" t="b">
        <f t="shared" ref="K3:K66" si="2">AND(G3&gt;0,G3&lt;=10)</f>
        <v>0</v>
      </c>
      <c r="L3" s="85" t="b">
        <f t="shared" ref="L3:L66" si="3">AND(H3&gt;0,H3&lt;=10)</f>
        <v>0</v>
      </c>
      <c r="M3" s="85" t="b">
        <f t="shared" ref="M3:M66" si="4">OR(I3=0,I3=1)</f>
        <v>1</v>
      </c>
      <c r="N3" s="85" t="b">
        <f t="shared" si="0"/>
        <v>1</v>
      </c>
      <c r="Q3" s="94" t="s">
        <v>310</v>
      </c>
    </row>
    <row r="4" spans="1:18" s="85" customFormat="1" ht="15.75" x14ac:dyDescent="0.2">
      <c r="A4" s="93">
        <f t="shared" si="1"/>
        <v>3</v>
      </c>
      <c r="B4" s="87">
        <v>182</v>
      </c>
      <c r="C4" s="87">
        <v>20000021</v>
      </c>
      <c r="D4" s="87" t="s">
        <v>4</v>
      </c>
      <c r="E4" s="89"/>
      <c r="F4" s="90"/>
      <c r="G4" s="91"/>
      <c r="H4" s="91"/>
      <c r="I4" s="92"/>
      <c r="J4" s="92"/>
      <c r="K4" s="85" t="b">
        <f t="shared" si="2"/>
        <v>0</v>
      </c>
      <c r="L4" s="85" t="b">
        <f t="shared" si="3"/>
        <v>0</v>
      </c>
      <c r="M4" s="85" t="b">
        <f t="shared" si="4"/>
        <v>1</v>
      </c>
      <c r="N4" s="85" t="b">
        <f t="shared" si="0"/>
        <v>1</v>
      </c>
      <c r="Q4" s="94" t="s">
        <v>311</v>
      </c>
    </row>
    <row r="5" spans="1:18" s="85" customFormat="1" ht="15.75" x14ac:dyDescent="0.2">
      <c r="A5" s="93">
        <f t="shared" si="1"/>
        <v>4</v>
      </c>
      <c r="B5" s="87">
        <v>2710</v>
      </c>
      <c r="C5" s="87">
        <v>20000154</v>
      </c>
      <c r="D5" s="87" t="s">
        <v>219</v>
      </c>
      <c r="E5" s="89"/>
      <c r="F5" s="90"/>
      <c r="G5" s="91"/>
      <c r="H5" s="91"/>
      <c r="I5" s="92"/>
      <c r="J5" s="92"/>
      <c r="K5" s="85" t="b">
        <f t="shared" si="2"/>
        <v>0</v>
      </c>
      <c r="L5" s="85" t="b">
        <f t="shared" si="3"/>
        <v>0</v>
      </c>
      <c r="M5" s="85" t="b">
        <f t="shared" si="4"/>
        <v>1</v>
      </c>
      <c r="N5" s="85" t="b">
        <f t="shared" si="0"/>
        <v>1</v>
      </c>
      <c r="Q5" s="94" t="s">
        <v>312</v>
      </c>
    </row>
    <row r="6" spans="1:18" s="85" customFormat="1" ht="15.75" x14ac:dyDescent="0.2">
      <c r="A6" s="93">
        <f t="shared" si="1"/>
        <v>5</v>
      </c>
      <c r="B6" s="87">
        <v>31</v>
      </c>
      <c r="C6" s="87">
        <v>20000004</v>
      </c>
      <c r="D6" s="87" t="s">
        <v>5</v>
      </c>
      <c r="E6" s="89"/>
      <c r="F6" s="90"/>
      <c r="G6" s="91"/>
      <c r="H6" s="91"/>
      <c r="I6" s="92"/>
      <c r="J6" s="92"/>
      <c r="K6" s="85" t="b">
        <f t="shared" si="2"/>
        <v>0</v>
      </c>
      <c r="L6" s="85" t="b">
        <f t="shared" si="3"/>
        <v>0</v>
      </c>
      <c r="M6" s="85" t="b">
        <f t="shared" si="4"/>
        <v>1</v>
      </c>
      <c r="N6" s="85" t="b">
        <f t="shared" si="0"/>
        <v>1</v>
      </c>
    </row>
    <row r="7" spans="1:18" s="85" customFormat="1" ht="15.75" x14ac:dyDescent="0.2">
      <c r="A7" s="93">
        <f t="shared" si="1"/>
        <v>6</v>
      </c>
      <c r="B7" s="87">
        <v>2400</v>
      </c>
      <c r="C7" s="87">
        <v>20000138</v>
      </c>
      <c r="D7" s="87" t="s">
        <v>6</v>
      </c>
      <c r="E7" s="89"/>
      <c r="F7" s="90"/>
      <c r="G7" s="91"/>
      <c r="H7" s="91"/>
      <c r="I7" s="92"/>
      <c r="J7" s="92"/>
      <c r="K7" s="85" t="b">
        <f t="shared" si="2"/>
        <v>0</v>
      </c>
      <c r="L7" s="85" t="b">
        <f t="shared" si="3"/>
        <v>0</v>
      </c>
      <c r="M7" s="85" t="b">
        <f t="shared" si="4"/>
        <v>1</v>
      </c>
      <c r="N7" s="85" t="b">
        <f t="shared" si="0"/>
        <v>1</v>
      </c>
    </row>
    <row r="8" spans="1:18" s="85" customFormat="1" ht="15.75" x14ac:dyDescent="0.2">
      <c r="A8" s="93">
        <f t="shared" si="1"/>
        <v>7</v>
      </c>
      <c r="B8" s="87">
        <v>1020</v>
      </c>
      <c r="C8" s="87">
        <v>20000094</v>
      </c>
      <c r="D8" s="87" t="s">
        <v>7</v>
      </c>
      <c r="E8" s="89"/>
      <c r="F8" s="90"/>
      <c r="G8" s="91"/>
      <c r="H8" s="91"/>
      <c r="I8" s="92"/>
      <c r="J8" s="92"/>
      <c r="K8" s="85" t="b">
        <f t="shared" si="2"/>
        <v>0</v>
      </c>
      <c r="L8" s="85" t="b">
        <f t="shared" si="3"/>
        <v>0</v>
      </c>
      <c r="M8" s="85" t="b">
        <f t="shared" si="4"/>
        <v>1</v>
      </c>
      <c r="N8" s="85" t="b">
        <f t="shared" si="0"/>
        <v>1</v>
      </c>
    </row>
    <row r="9" spans="1:18" s="85" customFormat="1" ht="15.75" x14ac:dyDescent="0.2">
      <c r="A9" s="93">
        <f t="shared" si="1"/>
        <v>8</v>
      </c>
      <c r="B9" s="87">
        <v>3760</v>
      </c>
      <c r="C9" s="87">
        <v>20000178</v>
      </c>
      <c r="D9" s="87" t="s">
        <v>8</v>
      </c>
      <c r="E9" s="89"/>
      <c r="F9" s="90"/>
      <c r="G9" s="91"/>
      <c r="H9" s="91"/>
      <c r="I9" s="92"/>
      <c r="J9" s="92"/>
      <c r="K9" s="85" t="b">
        <f t="shared" si="2"/>
        <v>0</v>
      </c>
      <c r="L9" s="85" t="b">
        <f t="shared" si="3"/>
        <v>0</v>
      </c>
      <c r="M9" s="85" t="b">
        <f t="shared" si="4"/>
        <v>1</v>
      </c>
      <c r="N9" s="85" t="b">
        <f t="shared" si="0"/>
        <v>1</v>
      </c>
    </row>
    <row r="10" spans="1:18" s="85" customFormat="1" ht="15.75" x14ac:dyDescent="0.2">
      <c r="A10" s="93">
        <f t="shared" si="1"/>
        <v>9</v>
      </c>
      <c r="B10" s="87">
        <v>565</v>
      </c>
      <c r="C10" s="87">
        <v>20000073</v>
      </c>
      <c r="D10" s="87" t="s">
        <v>9</v>
      </c>
      <c r="E10" s="89"/>
      <c r="F10" s="90"/>
      <c r="G10" s="91"/>
      <c r="H10" s="91"/>
      <c r="I10" s="92"/>
      <c r="J10" s="92"/>
      <c r="K10" s="85" t="b">
        <f t="shared" si="2"/>
        <v>0</v>
      </c>
      <c r="L10" s="85" t="b">
        <f t="shared" si="3"/>
        <v>0</v>
      </c>
      <c r="M10" s="85" t="b">
        <f t="shared" si="4"/>
        <v>1</v>
      </c>
      <c r="N10" s="85" t="b">
        <f t="shared" si="0"/>
        <v>1</v>
      </c>
    </row>
    <row r="11" spans="1:18" s="85" customFormat="1" ht="15.75" x14ac:dyDescent="0.2">
      <c r="A11" s="93">
        <f t="shared" si="1"/>
        <v>10</v>
      </c>
      <c r="B11" s="87">
        <v>2600</v>
      </c>
      <c r="C11" s="87">
        <v>20000147</v>
      </c>
      <c r="D11" s="87" t="s">
        <v>10</v>
      </c>
      <c r="E11" s="89"/>
      <c r="F11" s="90"/>
      <c r="G11" s="91"/>
      <c r="H11" s="91"/>
      <c r="I11" s="92"/>
      <c r="J11" s="92"/>
      <c r="K11" s="85" t="b">
        <f t="shared" si="2"/>
        <v>0</v>
      </c>
      <c r="L11" s="85" t="b">
        <f t="shared" si="3"/>
        <v>0</v>
      </c>
      <c r="M11" s="85" t="b">
        <f t="shared" si="4"/>
        <v>1</v>
      </c>
      <c r="N11" s="85" t="b">
        <f t="shared" si="0"/>
        <v>1</v>
      </c>
    </row>
    <row r="12" spans="1:18" s="85" customFormat="1" ht="15.75" x14ac:dyDescent="0.2">
      <c r="A12" s="93">
        <f t="shared" si="1"/>
        <v>11</v>
      </c>
      <c r="B12" s="87">
        <v>478</v>
      </c>
      <c r="C12" s="87">
        <v>20000033</v>
      </c>
      <c r="D12" s="87" t="s">
        <v>11</v>
      </c>
      <c r="E12" s="89"/>
      <c r="F12" s="90"/>
      <c r="G12" s="91"/>
      <c r="H12" s="91"/>
      <c r="I12" s="92"/>
      <c r="J12" s="92"/>
      <c r="K12" s="85" t="b">
        <f t="shared" si="2"/>
        <v>0</v>
      </c>
      <c r="L12" s="85" t="b">
        <f t="shared" si="3"/>
        <v>0</v>
      </c>
      <c r="M12" s="85" t="b">
        <f t="shared" si="4"/>
        <v>1</v>
      </c>
      <c r="N12" s="85" t="b">
        <f t="shared" si="0"/>
        <v>1</v>
      </c>
    </row>
    <row r="13" spans="1:18" s="85" customFormat="1" ht="15.75" x14ac:dyDescent="0.2">
      <c r="A13" s="93">
        <f t="shared" si="1"/>
        <v>12</v>
      </c>
      <c r="B13" s="87">
        <v>65</v>
      </c>
      <c r="C13" s="87">
        <v>20000145</v>
      </c>
      <c r="D13" s="87" t="s">
        <v>244</v>
      </c>
      <c r="E13" s="89"/>
      <c r="F13" s="90"/>
      <c r="G13" s="91"/>
      <c r="H13" s="91"/>
      <c r="I13" s="92"/>
      <c r="J13" s="92"/>
      <c r="K13" s="85" t="b">
        <f t="shared" si="2"/>
        <v>0</v>
      </c>
      <c r="L13" s="85" t="b">
        <f t="shared" si="3"/>
        <v>0</v>
      </c>
      <c r="M13" s="85" t="b">
        <f t="shared" si="4"/>
        <v>1</v>
      </c>
      <c r="N13" s="85" t="b">
        <f t="shared" si="0"/>
        <v>1</v>
      </c>
    </row>
    <row r="14" spans="1:18" s="85" customFormat="1" ht="15.75" x14ac:dyDescent="0.2">
      <c r="A14" s="93">
        <f t="shared" si="1"/>
        <v>13</v>
      </c>
      <c r="B14" s="87">
        <v>69</v>
      </c>
      <c r="C14" s="87">
        <v>20000862</v>
      </c>
      <c r="D14" s="87" t="s">
        <v>243</v>
      </c>
      <c r="E14" s="89"/>
      <c r="F14" s="90"/>
      <c r="G14" s="91"/>
      <c r="H14" s="91"/>
      <c r="I14" s="92"/>
      <c r="J14" s="92"/>
      <c r="K14" s="85" t="b">
        <f t="shared" si="2"/>
        <v>0</v>
      </c>
      <c r="L14" s="85" t="b">
        <f t="shared" si="3"/>
        <v>0</v>
      </c>
      <c r="M14" s="85" t="b">
        <f t="shared" si="4"/>
        <v>1</v>
      </c>
      <c r="N14" s="85" t="b">
        <f t="shared" si="0"/>
        <v>1</v>
      </c>
    </row>
    <row r="15" spans="1:18" s="85" customFormat="1" ht="15.75" x14ac:dyDescent="0.2">
      <c r="A15" s="93">
        <f t="shared" si="1"/>
        <v>14</v>
      </c>
      <c r="B15" s="87">
        <v>45</v>
      </c>
      <c r="C15" s="87">
        <v>20000163</v>
      </c>
      <c r="D15" s="87" t="s">
        <v>175</v>
      </c>
      <c r="E15" s="89"/>
      <c r="F15" s="90"/>
      <c r="G15" s="91"/>
      <c r="H15" s="91"/>
      <c r="I15" s="92"/>
      <c r="J15" s="92"/>
      <c r="K15" s="85" t="b">
        <f t="shared" si="2"/>
        <v>0</v>
      </c>
      <c r="L15" s="85" t="b">
        <f t="shared" si="3"/>
        <v>0</v>
      </c>
      <c r="M15" s="85" t="b">
        <f t="shared" si="4"/>
        <v>1</v>
      </c>
      <c r="N15" s="85" t="b">
        <f t="shared" si="0"/>
        <v>1</v>
      </c>
    </row>
    <row r="16" spans="1:18" s="85" customFormat="1" ht="15.75" x14ac:dyDescent="0.2">
      <c r="A16" s="93">
        <f t="shared" si="1"/>
        <v>15</v>
      </c>
      <c r="B16" s="87">
        <v>41</v>
      </c>
      <c r="C16" s="87">
        <v>20000005</v>
      </c>
      <c r="D16" s="87" t="s">
        <v>12</v>
      </c>
      <c r="E16" s="89"/>
      <c r="F16" s="90"/>
      <c r="G16" s="91"/>
      <c r="H16" s="91"/>
      <c r="I16" s="92"/>
      <c r="J16" s="92"/>
      <c r="K16" s="85" t="b">
        <f t="shared" si="2"/>
        <v>0</v>
      </c>
      <c r="L16" s="85" t="b">
        <f t="shared" si="3"/>
        <v>0</v>
      </c>
      <c r="M16" s="85" t="b">
        <f t="shared" si="4"/>
        <v>1</v>
      </c>
      <c r="N16" s="85" t="b">
        <f t="shared" si="0"/>
        <v>1</v>
      </c>
    </row>
    <row r="17" spans="1:15" s="85" customFormat="1" ht="15.75" x14ac:dyDescent="0.2">
      <c r="A17" s="93">
        <f t="shared" si="1"/>
        <v>16</v>
      </c>
      <c r="B17" s="87">
        <v>1309</v>
      </c>
      <c r="C17" s="87">
        <v>20000122</v>
      </c>
      <c r="D17" s="87" t="s">
        <v>13</v>
      </c>
      <c r="E17" s="89"/>
      <c r="F17" s="90"/>
      <c r="G17" s="91"/>
      <c r="H17" s="91"/>
      <c r="I17" s="92"/>
      <c r="J17" s="92"/>
      <c r="K17" s="85" t="b">
        <f t="shared" si="2"/>
        <v>0</v>
      </c>
      <c r="L17" s="85" t="b">
        <f t="shared" si="3"/>
        <v>0</v>
      </c>
      <c r="M17" s="85" t="b">
        <f t="shared" si="4"/>
        <v>1</v>
      </c>
      <c r="N17" s="85" t="b">
        <f t="shared" si="0"/>
        <v>1</v>
      </c>
    </row>
    <row r="18" spans="1:15" s="85" customFormat="1" ht="15.75" x14ac:dyDescent="0.2">
      <c r="A18" s="93">
        <f t="shared" si="1"/>
        <v>17</v>
      </c>
      <c r="B18" s="87">
        <v>3750</v>
      </c>
      <c r="C18" s="87">
        <v>20000177</v>
      </c>
      <c r="D18" s="87" t="s">
        <v>14</v>
      </c>
      <c r="E18" s="89"/>
      <c r="F18" s="90"/>
      <c r="G18" s="91"/>
      <c r="H18" s="91"/>
      <c r="I18" s="92"/>
      <c r="J18" s="92"/>
      <c r="K18" s="85" t="b">
        <f t="shared" si="2"/>
        <v>0</v>
      </c>
      <c r="L18" s="85" t="b">
        <f t="shared" si="3"/>
        <v>0</v>
      </c>
      <c r="M18" s="85" t="b">
        <f t="shared" si="4"/>
        <v>1</v>
      </c>
      <c r="N18" s="85" t="b">
        <f t="shared" si="0"/>
        <v>1</v>
      </c>
    </row>
    <row r="19" spans="1:15" s="85" customFormat="1" ht="15.75" x14ac:dyDescent="0.2">
      <c r="A19" s="93">
        <f t="shared" si="1"/>
        <v>18</v>
      </c>
      <c r="B19" s="87">
        <v>3560</v>
      </c>
      <c r="C19" s="87">
        <v>20000166</v>
      </c>
      <c r="D19" s="87" t="s">
        <v>15</v>
      </c>
      <c r="E19" s="89"/>
      <c r="F19" s="90"/>
      <c r="G19" s="91"/>
      <c r="H19" s="91"/>
      <c r="I19" s="92"/>
      <c r="J19" s="92"/>
      <c r="K19" s="85" t="b">
        <f t="shared" si="2"/>
        <v>0</v>
      </c>
      <c r="L19" s="85" t="b">
        <f t="shared" si="3"/>
        <v>0</v>
      </c>
      <c r="M19" s="85" t="b">
        <f t="shared" si="4"/>
        <v>1</v>
      </c>
      <c r="N19" s="85" t="b">
        <f t="shared" si="0"/>
        <v>1</v>
      </c>
    </row>
    <row r="20" spans="1:15" s="85" customFormat="1" ht="15.75" x14ac:dyDescent="0.2">
      <c r="A20" s="93">
        <f t="shared" si="1"/>
        <v>19</v>
      </c>
      <c r="B20" s="87">
        <v>529</v>
      </c>
      <c r="C20" s="87">
        <v>20000061</v>
      </c>
      <c r="D20" s="87" t="s">
        <v>16</v>
      </c>
      <c r="E20" s="89"/>
      <c r="F20" s="90"/>
      <c r="G20" s="91"/>
      <c r="H20" s="91"/>
      <c r="I20" s="92"/>
      <c r="J20" s="92"/>
      <c r="K20" s="85" t="b">
        <f t="shared" si="2"/>
        <v>0</v>
      </c>
      <c r="L20" s="85" t="b">
        <f t="shared" si="3"/>
        <v>0</v>
      </c>
      <c r="M20" s="85" t="b">
        <f t="shared" si="4"/>
        <v>1</v>
      </c>
      <c r="N20" s="85" t="b">
        <f t="shared" si="0"/>
        <v>1</v>
      </c>
    </row>
    <row r="21" spans="1:15" s="85" customFormat="1" ht="15.75" x14ac:dyDescent="0.2">
      <c r="A21" s="93">
        <f t="shared" si="1"/>
        <v>20</v>
      </c>
      <c r="B21" s="87">
        <v>3650</v>
      </c>
      <c r="C21" s="87">
        <v>20000173</v>
      </c>
      <c r="D21" s="87" t="s">
        <v>225</v>
      </c>
      <c r="E21" s="89"/>
      <c r="F21" s="90"/>
      <c r="G21" s="91"/>
      <c r="H21" s="91"/>
      <c r="I21" s="92"/>
      <c r="J21" s="92"/>
      <c r="K21" s="85" t="b">
        <f t="shared" si="2"/>
        <v>0</v>
      </c>
      <c r="L21" s="85" t="b">
        <f t="shared" si="3"/>
        <v>0</v>
      </c>
      <c r="M21" s="85" t="b">
        <f t="shared" si="4"/>
        <v>1</v>
      </c>
      <c r="N21" s="85" t="b">
        <f t="shared" si="0"/>
        <v>1</v>
      </c>
    </row>
    <row r="22" spans="1:15" s="85" customFormat="1" ht="15.75" x14ac:dyDescent="0.2">
      <c r="A22" s="93">
        <f t="shared" si="1"/>
        <v>21</v>
      </c>
      <c r="B22" s="87">
        <v>3570</v>
      </c>
      <c r="C22" s="87">
        <v>20000167</v>
      </c>
      <c r="D22" s="87" t="s">
        <v>17</v>
      </c>
      <c r="E22" s="89"/>
      <c r="F22" s="90"/>
      <c r="G22" s="91"/>
      <c r="H22" s="91"/>
      <c r="I22" s="92"/>
      <c r="J22" s="92"/>
      <c r="K22" s="85" t="b">
        <f t="shared" si="2"/>
        <v>0</v>
      </c>
      <c r="L22" s="85" t="b">
        <f t="shared" si="3"/>
        <v>0</v>
      </c>
      <c r="M22" s="85" t="b">
        <f t="shared" si="4"/>
        <v>1</v>
      </c>
      <c r="N22" s="85" t="b">
        <f t="shared" si="0"/>
        <v>1</v>
      </c>
    </row>
    <row r="23" spans="1:15" s="85" customFormat="1" ht="15.75" x14ac:dyDescent="0.2">
      <c r="A23" s="93">
        <f t="shared" si="1"/>
        <v>22</v>
      </c>
      <c r="B23" s="87">
        <v>70</v>
      </c>
      <c r="C23" s="87">
        <v>20000014</v>
      </c>
      <c r="D23" s="87" t="s">
        <v>18</v>
      </c>
      <c r="E23" s="89"/>
      <c r="F23" s="90"/>
      <c r="G23" s="91"/>
      <c r="H23" s="91"/>
      <c r="I23" s="92"/>
      <c r="J23" s="92"/>
      <c r="K23" s="85" t="b">
        <f t="shared" si="2"/>
        <v>0</v>
      </c>
      <c r="L23" s="85" t="b">
        <f t="shared" si="3"/>
        <v>0</v>
      </c>
      <c r="M23" s="85" t="b">
        <f t="shared" si="4"/>
        <v>1</v>
      </c>
      <c r="N23" s="85" t="b">
        <f t="shared" si="0"/>
        <v>1</v>
      </c>
    </row>
    <row r="24" spans="1:15" s="85" customFormat="1" ht="15.75" x14ac:dyDescent="0.2">
      <c r="A24" s="93">
        <f t="shared" si="1"/>
        <v>23</v>
      </c>
      <c r="B24" s="87">
        <v>38</v>
      </c>
      <c r="C24" s="87">
        <v>20000212</v>
      </c>
      <c r="D24" s="87" t="s">
        <v>193</v>
      </c>
      <c r="E24" s="89"/>
      <c r="F24" s="90"/>
      <c r="G24" s="91"/>
      <c r="H24" s="91"/>
      <c r="I24" s="92"/>
      <c r="J24" s="92"/>
      <c r="K24" s="85" t="b">
        <f t="shared" si="2"/>
        <v>0</v>
      </c>
      <c r="L24" s="85" t="b">
        <f t="shared" si="3"/>
        <v>0</v>
      </c>
      <c r="M24" s="85" t="b">
        <f t="shared" si="4"/>
        <v>1</v>
      </c>
      <c r="N24" s="85" t="b">
        <f t="shared" si="0"/>
        <v>1</v>
      </c>
    </row>
    <row r="25" spans="1:15" s="85" customFormat="1" ht="15.75" x14ac:dyDescent="0.2">
      <c r="A25" s="93">
        <f t="shared" si="1"/>
        <v>24</v>
      </c>
      <c r="B25" s="87">
        <v>7100</v>
      </c>
      <c r="C25" s="87">
        <v>20000229</v>
      </c>
      <c r="D25" s="87" t="s">
        <v>19</v>
      </c>
      <c r="E25" s="89"/>
      <c r="F25" s="90"/>
      <c r="G25" s="91"/>
      <c r="H25" s="91"/>
      <c r="I25" s="92"/>
      <c r="J25" s="92"/>
      <c r="K25" s="85" t="b">
        <f t="shared" si="2"/>
        <v>0</v>
      </c>
      <c r="L25" s="85" t="b">
        <f t="shared" si="3"/>
        <v>0</v>
      </c>
      <c r="M25" s="85" t="b">
        <f t="shared" si="4"/>
        <v>1</v>
      </c>
      <c r="N25" s="85" t="b">
        <f t="shared" si="0"/>
        <v>1</v>
      </c>
    </row>
    <row r="26" spans="1:15" s="85" customFormat="1" ht="15.75" x14ac:dyDescent="0.2">
      <c r="A26" s="93">
        <f t="shared" si="1"/>
        <v>25</v>
      </c>
      <c r="B26" s="87">
        <v>6000</v>
      </c>
      <c r="C26" s="87">
        <v>20000203</v>
      </c>
      <c r="D26" s="87" t="s">
        <v>220</v>
      </c>
      <c r="E26" s="89"/>
      <c r="F26" s="90"/>
      <c r="G26" s="91"/>
      <c r="H26" s="91"/>
      <c r="I26" s="92"/>
      <c r="J26" s="92"/>
      <c r="K26" s="85" t="b">
        <f t="shared" si="2"/>
        <v>0</v>
      </c>
      <c r="L26" s="85" t="b">
        <f t="shared" si="3"/>
        <v>0</v>
      </c>
      <c r="M26" s="85" t="b">
        <f t="shared" si="4"/>
        <v>1</v>
      </c>
      <c r="N26" s="85" t="b">
        <f t="shared" si="0"/>
        <v>1</v>
      </c>
    </row>
    <row r="27" spans="1:15" s="85" customFormat="1" ht="15.75" x14ac:dyDescent="0.2">
      <c r="A27" s="93">
        <f t="shared" si="1"/>
        <v>26</v>
      </c>
      <c r="B27" s="87">
        <v>33</v>
      </c>
      <c r="C27" s="87">
        <v>20000205</v>
      </c>
      <c r="D27" s="87" t="s">
        <v>204</v>
      </c>
      <c r="E27" s="89"/>
      <c r="F27" s="90"/>
      <c r="G27" s="91"/>
      <c r="H27" s="91"/>
      <c r="I27" s="92"/>
      <c r="J27" s="92"/>
      <c r="K27" s="85" t="b">
        <f t="shared" si="2"/>
        <v>0</v>
      </c>
      <c r="L27" s="85" t="b">
        <f t="shared" si="3"/>
        <v>0</v>
      </c>
      <c r="M27" s="85" t="b">
        <f t="shared" si="4"/>
        <v>1</v>
      </c>
      <c r="N27" s="85" t="b">
        <f t="shared" si="0"/>
        <v>1</v>
      </c>
      <c r="O27" s="87"/>
    </row>
    <row r="28" spans="1:15" s="85" customFormat="1" ht="15.75" x14ac:dyDescent="0.2">
      <c r="A28" s="93">
        <f t="shared" si="1"/>
        <v>27</v>
      </c>
      <c r="B28" s="87">
        <v>2530</v>
      </c>
      <c r="C28" s="87">
        <v>20000142</v>
      </c>
      <c r="D28" s="87" t="s">
        <v>20</v>
      </c>
      <c r="E28" s="89"/>
      <c r="F28" s="90"/>
      <c r="G28" s="91"/>
      <c r="H28" s="91"/>
      <c r="I28" s="92"/>
      <c r="J28" s="92"/>
      <c r="K28" s="85" t="b">
        <f t="shared" si="2"/>
        <v>0</v>
      </c>
      <c r="L28" s="85" t="b">
        <f t="shared" si="3"/>
        <v>0</v>
      </c>
      <c r="M28" s="85" t="b">
        <f t="shared" si="4"/>
        <v>1</v>
      </c>
      <c r="N28" s="85" t="b">
        <f t="shared" si="0"/>
        <v>1</v>
      </c>
    </row>
    <row r="29" spans="1:15" s="85" customFormat="1" ht="15.75" x14ac:dyDescent="0.2">
      <c r="A29" s="93">
        <f t="shared" si="1"/>
        <v>28</v>
      </c>
      <c r="B29" s="87">
        <v>9000</v>
      </c>
      <c r="C29" s="87">
        <v>20000254</v>
      </c>
      <c r="D29" s="87" t="s">
        <v>21</v>
      </c>
      <c r="E29" s="89"/>
      <c r="F29" s="90"/>
      <c r="G29" s="91"/>
      <c r="H29" s="91"/>
      <c r="I29" s="92"/>
      <c r="J29" s="92"/>
      <c r="K29" s="85" t="b">
        <f t="shared" si="2"/>
        <v>0</v>
      </c>
      <c r="L29" s="85" t="b">
        <f t="shared" si="3"/>
        <v>0</v>
      </c>
      <c r="M29" s="85" t="b">
        <f t="shared" si="4"/>
        <v>1</v>
      </c>
      <c r="N29" s="85" t="b">
        <f t="shared" si="0"/>
        <v>1</v>
      </c>
    </row>
    <row r="30" spans="1:15" s="85" customFormat="1" ht="15.75" x14ac:dyDescent="0.2">
      <c r="A30" s="93">
        <f t="shared" si="1"/>
        <v>29</v>
      </c>
      <c r="B30" s="87">
        <v>66</v>
      </c>
      <c r="C30" s="87">
        <v>20000146</v>
      </c>
      <c r="D30" s="87" t="s">
        <v>245</v>
      </c>
      <c r="E30" s="89"/>
      <c r="F30" s="90"/>
      <c r="G30" s="91"/>
      <c r="H30" s="91"/>
      <c r="I30" s="92"/>
      <c r="J30" s="92"/>
      <c r="K30" s="85" t="b">
        <f t="shared" si="2"/>
        <v>0</v>
      </c>
      <c r="L30" s="85" t="b">
        <f t="shared" si="3"/>
        <v>0</v>
      </c>
      <c r="M30" s="85" t="b">
        <f t="shared" si="4"/>
        <v>1</v>
      </c>
      <c r="N30" s="85" t="b">
        <f t="shared" si="0"/>
        <v>1</v>
      </c>
    </row>
    <row r="31" spans="1:15" s="85" customFormat="1" ht="15.75" x14ac:dyDescent="0.2">
      <c r="A31" s="93">
        <f t="shared" si="1"/>
        <v>30</v>
      </c>
      <c r="B31" s="87">
        <v>482</v>
      </c>
      <c r="C31" s="87">
        <v>20000036</v>
      </c>
      <c r="D31" s="87" t="s">
        <v>226</v>
      </c>
      <c r="E31" s="89"/>
      <c r="F31" s="90"/>
      <c r="G31" s="91"/>
      <c r="H31" s="91"/>
      <c r="I31" s="92"/>
      <c r="J31" s="92"/>
      <c r="K31" s="85" t="b">
        <f t="shared" si="2"/>
        <v>0</v>
      </c>
      <c r="L31" s="85" t="b">
        <f t="shared" si="3"/>
        <v>0</v>
      </c>
      <c r="M31" s="85" t="b">
        <f t="shared" si="4"/>
        <v>1</v>
      </c>
      <c r="N31" s="85" t="b">
        <f t="shared" si="0"/>
        <v>1</v>
      </c>
    </row>
    <row r="32" spans="1:15" s="85" customFormat="1" ht="15.75" x14ac:dyDescent="0.2">
      <c r="A32" s="93">
        <f t="shared" si="1"/>
        <v>31</v>
      </c>
      <c r="B32" s="87">
        <v>4001</v>
      </c>
      <c r="C32" s="87">
        <v>20000183</v>
      </c>
      <c r="D32" s="87" t="s">
        <v>22</v>
      </c>
      <c r="E32" s="89"/>
      <c r="F32" s="90"/>
      <c r="G32" s="91"/>
      <c r="H32" s="91"/>
      <c r="I32" s="92"/>
      <c r="J32" s="92"/>
      <c r="K32" s="85" t="b">
        <f t="shared" si="2"/>
        <v>0</v>
      </c>
      <c r="L32" s="85" t="b">
        <f t="shared" si="3"/>
        <v>0</v>
      </c>
      <c r="M32" s="85" t="b">
        <f t="shared" si="4"/>
        <v>1</v>
      </c>
      <c r="N32" s="85" t="b">
        <f t="shared" si="0"/>
        <v>1</v>
      </c>
    </row>
    <row r="33" spans="1:14" s="85" customFormat="1" ht="15.75" x14ac:dyDescent="0.2">
      <c r="A33" s="93">
        <f t="shared" si="1"/>
        <v>32</v>
      </c>
      <c r="B33" s="87">
        <v>998</v>
      </c>
      <c r="C33" s="87">
        <v>20000092</v>
      </c>
      <c r="D33" s="87" t="s">
        <v>227</v>
      </c>
      <c r="E33" s="89"/>
      <c r="F33" s="90"/>
      <c r="G33" s="91"/>
      <c r="H33" s="91"/>
      <c r="I33" s="92"/>
      <c r="J33" s="92"/>
      <c r="K33" s="85" t="b">
        <f t="shared" si="2"/>
        <v>0</v>
      </c>
      <c r="L33" s="85" t="b">
        <f t="shared" si="3"/>
        <v>0</v>
      </c>
      <c r="M33" s="85" t="b">
        <f t="shared" si="4"/>
        <v>1</v>
      </c>
      <c r="N33" s="85" t="b">
        <f t="shared" si="0"/>
        <v>1</v>
      </c>
    </row>
    <row r="34" spans="1:14" s="85" customFormat="1" ht="15.75" x14ac:dyDescent="0.2">
      <c r="A34" s="93">
        <f t="shared" si="1"/>
        <v>33</v>
      </c>
      <c r="B34" s="87">
        <v>3574</v>
      </c>
      <c r="C34" s="87">
        <v>20000168</v>
      </c>
      <c r="D34" s="87" t="s">
        <v>23</v>
      </c>
      <c r="E34" s="89"/>
      <c r="F34" s="90"/>
      <c r="G34" s="91"/>
      <c r="H34" s="91"/>
      <c r="I34" s="92"/>
      <c r="J34" s="92"/>
      <c r="K34" s="85" t="b">
        <f t="shared" si="2"/>
        <v>0</v>
      </c>
      <c r="L34" s="85" t="b">
        <f t="shared" si="3"/>
        <v>0</v>
      </c>
      <c r="M34" s="85" t="b">
        <f t="shared" si="4"/>
        <v>1</v>
      </c>
      <c r="N34" s="85" t="b">
        <f t="shared" si="0"/>
        <v>1</v>
      </c>
    </row>
    <row r="35" spans="1:14" s="85" customFormat="1" ht="15.75" x14ac:dyDescent="0.2">
      <c r="A35" s="93">
        <f t="shared" si="1"/>
        <v>34</v>
      </c>
      <c r="B35" s="87">
        <v>3652</v>
      </c>
      <c r="C35" s="87">
        <v>20000174</v>
      </c>
      <c r="D35" s="87" t="s">
        <v>24</v>
      </c>
      <c r="E35" s="89"/>
      <c r="F35" s="90"/>
      <c r="G35" s="91"/>
      <c r="H35" s="91"/>
      <c r="I35" s="92"/>
      <c r="J35" s="92"/>
      <c r="K35" s="85" t="b">
        <f t="shared" si="2"/>
        <v>0</v>
      </c>
      <c r="L35" s="85" t="b">
        <f t="shared" si="3"/>
        <v>0</v>
      </c>
      <c r="M35" s="85" t="b">
        <f t="shared" si="4"/>
        <v>1</v>
      </c>
      <c r="N35" s="85" t="b">
        <f t="shared" si="0"/>
        <v>1</v>
      </c>
    </row>
    <row r="36" spans="1:14" s="85" customFormat="1" ht="15.75" x14ac:dyDescent="0.2">
      <c r="A36" s="93">
        <f t="shared" si="1"/>
        <v>35</v>
      </c>
      <c r="B36" s="87">
        <v>480</v>
      </c>
      <c r="C36" s="87">
        <v>20000034</v>
      </c>
      <c r="D36" s="87" t="s">
        <v>25</v>
      </c>
      <c r="E36" s="89"/>
      <c r="F36" s="90"/>
      <c r="G36" s="91"/>
      <c r="H36" s="91"/>
      <c r="I36" s="92"/>
      <c r="J36" s="92"/>
      <c r="K36" s="85" t="b">
        <f t="shared" si="2"/>
        <v>0</v>
      </c>
      <c r="L36" s="85" t="b">
        <f t="shared" si="3"/>
        <v>0</v>
      </c>
      <c r="M36" s="85" t="b">
        <f t="shared" si="4"/>
        <v>1</v>
      </c>
      <c r="N36" s="85" t="b">
        <f t="shared" si="0"/>
        <v>1</v>
      </c>
    </row>
    <row r="37" spans="1:14" s="85" customFormat="1" ht="15.75" x14ac:dyDescent="0.2">
      <c r="A37" s="93">
        <f t="shared" si="1"/>
        <v>36</v>
      </c>
      <c r="B37" s="87">
        <v>466</v>
      </c>
      <c r="C37" s="87">
        <v>20000029</v>
      </c>
      <c r="D37" s="87" t="s">
        <v>26</v>
      </c>
      <c r="E37" s="89"/>
      <c r="F37" s="90"/>
      <c r="G37" s="91"/>
      <c r="H37" s="91"/>
      <c r="I37" s="92"/>
      <c r="J37" s="92"/>
      <c r="K37" s="85" t="b">
        <f t="shared" si="2"/>
        <v>0</v>
      </c>
      <c r="L37" s="85" t="b">
        <f t="shared" si="3"/>
        <v>0</v>
      </c>
      <c r="M37" s="85" t="b">
        <f t="shared" si="4"/>
        <v>1</v>
      </c>
      <c r="N37" s="85" t="b">
        <f t="shared" si="0"/>
        <v>1</v>
      </c>
    </row>
    <row r="38" spans="1:14" s="85" customFormat="1" ht="15.75" x14ac:dyDescent="0.2">
      <c r="A38" s="93">
        <f t="shared" si="1"/>
        <v>37</v>
      </c>
      <c r="B38" s="87">
        <v>9200</v>
      </c>
      <c r="C38" s="87">
        <v>20000256</v>
      </c>
      <c r="D38" s="87" t="s">
        <v>27</v>
      </c>
      <c r="E38" s="89"/>
      <c r="F38" s="90"/>
      <c r="G38" s="91"/>
      <c r="H38" s="91"/>
      <c r="I38" s="92"/>
      <c r="J38" s="92"/>
      <c r="K38" s="85" t="b">
        <f t="shared" si="2"/>
        <v>0</v>
      </c>
      <c r="L38" s="85" t="b">
        <f t="shared" si="3"/>
        <v>0</v>
      </c>
      <c r="M38" s="85" t="b">
        <f t="shared" si="4"/>
        <v>1</v>
      </c>
      <c r="N38" s="85" t="b">
        <f t="shared" si="0"/>
        <v>1</v>
      </c>
    </row>
    <row r="39" spans="1:14" s="85" customFormat="1" ht="15.75" x14ac:dyDescent="0.2">
      <c r="A39" s="93">
        <f t="shared" si="1"/>
        <v>38</v>
      </c>
      <c r="B39" s="87">
        <v>2610</v>
      </c>
      <c r="C39" s="87">
        <v>20000148</v>
      </c>
      <c r="D39" s="87" t="s">
        <v>28</v>
      </c>
      <c r="E39" s="89"/>
      <c r="F39" s="90"/>
      <c r="G39" s="91"/>
      <c r="H39" s="91"/>
      <c r="I39" s="92"/>
      <c r="J39" s="92"/>
      <c r="K39" s="85" t="b">
        <f t="shared" si="2"/>
        <v>0</v>
      </c>
      <c r="L39" s="85" t="b">
        <f t="shared" si="3"/>
        <v>0</v>
      </c>
      <c r="M39" s="85" t="b">
        <f t="shared" si="4"/>
        <v>1</v>
      </c>
      <c r="N39" s="85" t="b">
        <f t="shared" si="0"/>
        <v>1</v>
      </c>
    </row>
    <row r="40" spans="1:14" s="85" customFormat="1" ht="15.75" x14ac:dyDescent="0.2">
      <c r="A40" s="93">
        <f t="shared" si="1"/>
        <v>39</v>
      </c>
      <c r="B40" s="87">
        <v>3780</v>
      </c>
      <c r="C40" s="87">
        <v>20000180</v>
      </c>
      <c r="D40" s="87" t="s">
        <v>29</v>
      </c>
      <c r="E40" s="89"/>
      <c r="F40" s="90"/>
      <c r="G40" s="91"/>
      <c r="H40" s="91"/>
      <c r="I40" s="92"/>
      <c r="J40" s="92"/>
      <c r="K40" s="85" t="b">
        <f t="shared" si="2"/>
        <v>0</v>
      </c>
      <c r="L40" s="85" t="b">
        <f t="shared" si="3"/>
        <v>0</v>
      </c>
      <c r="M40" s="85" t="b">
        <f t="shared" si="4"/>
        <v>1</v>
      </c>
      <c r="N40" s="85" t="b">
        <f t="shared" si="0"/>
        <v>1</v>
      </c>
    </row>
    <row r="41" spans="1:14" s="85" customFormat="1" ht="15.75" x14ac:dyDescent="0.2">
      <c r="A41" s="93">
        <f t="shared" si="1"/>
        <v>40</v>
      </c>
      <c r="B41" s="87">
        <v>6100</v>
      </c>
      <c r="C41" s="87">
        <v>20000204</v>
      </c>
      <c r="D41" s="87" t="s">
        <v>30</v>
      </c>
      <c r="E41" s="89"/>
      <c r="F41" s="90"/>
      <c r="G41" s="91"/>
      <c r="H41" s="91"/>
      <c r="I41" s="92"/>
      <c r="J41" s="92"/>
      <c r="K41" s="85" t="b">
        <f t="shared" si="2"/>
        <v>0</v>
      </c>
      <c r="L41" s="85" t="b">
        <f t="shared" si="3"/>
        <v>0</v>
      </c>
      <c r="M41" s="85" t="b">
        <f t="shared" si="4"/>
        <v>1</v>
      </c>
      <c r="N41" s="85" t="b">
        <f t="shared" si="0"/>
        <v>1</v>
      </c>
    </row>
    <row r="42" spans="1:14" s="85" customFormat="1" ht="15.75" x14ac:dyDescent="0.2">
      <c r="A42" s="93">
        <f t="shared" si="1"/>
        <v>41</v>
      </c>
      <c r="B42" s="87">
        <v>1066</v>
      </c>
      <c r="C42" s="87">
        <v>20000103</v>
      </c>
      <c r="D42" s="87" t="s">
        <v>31</v>
      </c>
      <c r="E42" s="89"/>
      <c r="F42" s="90"/>
      <c r="G42" s="91"/>
      <c r="H42" s="91"/>
      <c r="I42" s="92"/>
      <c r="J42" s="92"/>
      <c r="K42" s="85" t="b">
        <f t="shared" si="2"/>
        <v>0</v>
      </c>
      <c r="L42" s="85" t="b">
        <f t="shared" si="3"/>
        <v>0</v>
      </c>
      <c r="M42" s="85" t="b">
        <f t="shared" si="4"/>
        <v>1</v>
      </c>
      <c r="N42" s="85" t="b">
        <f t="shared" si="0"/>
        <v>1</v>
      </c>
    </row>
    <row r="43" spans="1:14" s="85" customFormat="1" ht="15.75" x14ac:dyDescent="0.2">
      <c r="A43" s="93">
        <f t="shared" si="1"/>
        <v>42</v>
      </c>
      <c r="B43" s="87">
        <v>41</v>
      </c>
      <c r="C43" s="87">
        <v>20000214</v>
      </c>
      <c r="D43" s="87" t="s">
        <v>184</v>
      </c>
      <c r="E43" s="89"/>
      <c r="F43" s="90"/>
      <c r="G43" s="91"/>
      <c r="H43" s="91"/>
      <c r="I43" s="92"/>
      <c r="J43" s="92"/>
      <c r="K43" s="85" t="b">
        <f t="shared" si="2"/>
        <v>0</v>
      </c>
      <c r="L43" s="85" t="b">
        <f t="shared" si="3"/>
        <v>0</v>
      </c>
      <c r="M43" s="85" t="b">
        <f t="shared" si="4"/>
        <v>1</v>
      </c>
      <c r="N43" s="85" t="b">
        <f t="shared" si="0"/>
        <v>1</v>
      </c>
    </row>
    <row r="44" spans="1:14" s="85" customFormat="1" ht="15.75" x14ac:dyDescent="0.2">
      <c r="A44" s="93">
        <f t="shared" si="1"/>
        <v>43</v>
      </c>
      <c r="B44" s="87">
        <v>9800</v>
      </c>
      <c r="C44" s="87">
        <v>20000457</v>
      </c>
      <c r="D44" s="87" t="s">
        <v>490</v>
      </c>
      <c r="E44" s="89"/>
      <c r="F44" s="90"/>
      <c r="G44" s="91"/>
      <c r="H44" s="91"/>
      <c r="I44" s="92"/>
      <c r="J44" s="92"/>
      <c r="K44" s="85" t="b">
        <f t="shared" si="2"/>
        <v>0</v>
      </c>
      <c r="L44" s="85" t="b">
        <f t="shared" si="3"/>
        <v>0</v>
      </c>
      <c r="M44" s="85" t="b">
        <f t="shared" si="4"/>
        <v>1</v>
      </c>
      <c r="N44" s="85" t="b">
        <f t="shared" si="0"/>
        <v>1</v>
      </c>
    </row>
    <row r="45" spans="1:14" s="85" customFormat="1" ht="15.75" x14ac:dyDescent="0.2">
      <c r="A45" s="93">
        <f t="shared" si="1"/>
        <v>44</v>
      </c>
      <c r="B45" s="87">
        <v>1326</v>
      </c>
      <c r="C45" s="87">
        <v>20000123</v>
      </c>
      <c r="D45" s="87" t="s">
        <v>32</v>
      </c>
      <c r="E45" s="89"/>
      <c r="F45" s="90"/>
      <c r="G45" s="91"/>
      <c r="H45" s="91"/>
      <c r="I45" s="92"/>
      <c r="J45" s="92"/>
      <c r="K45" s="85" t="b">
        <f t="shared" si="2"/>
        <v>0</v>
      </c>
      <c r="L45" s="85" t="b">
        <f t="shared" si="3"/>
        <v>0</v>
      </c>
      <c r="M45" s="85" t="b">
        <f t="shared" si="4"/>
        <v>1</v>
      </c>
      <c r="N45" s="85" t="b">
        <f t="shared" si="0"/>
        <v>1</v>
      </c>
    </row>
    <row r="46" spans="1:14" s="85" customFormat="1" ht="15.75" x14ac:dyDescent="0.2">
      <c r="A46" s="93">
        <f t="shared" si="1"/>
        <v>45</v>
      </c>
      <c r="B46" s="87">
        <v>944</v>
      </c>
      <c r="C46" s="87">
        <v>20000089</v>
      </c>
      <c r="D46" s="87" t="s">
        <v>33</v>
      </c>
      <c r="E46" s="89"/>
      <c r="F46" s="90"/>
      <c r="G46" s="91"/>
      <c r="H46" s="91"/>
      <c r="I46" s="92"/>
      <c r="J46" s="92"/>
      <c r="K46" s="85" t="b">
        <f t="shared" si="2"/>
        <v>0</v>
      </c>
      <c r="L46" s="85" t="b">
        <f t="shared" si="3"/>
        <v>0</v>
      </c>
      <c r="M46" s="85" t="b">
        <f t="shared" si="4"/>
        <v>1</v>
      </c>
      <c r="N46" s="85" t="b">
        <f t="shared" si="0"/>
        <v>1</v>
      </c>
    </row>
    <row r="47" spans="1:14" s="85" customFormat="1" ht="15.75" x14ac:dyDescent="0.2">
      <c r="A47" s="93">
        <f t="shared" si="1"/>
        <v>46</v>
      </c>
      <c r="B47" s="87">
        <v>483</v>
      </c>
      <c r="C47" s="87">
        <v>20000037</v>
      </c>
      <c r="D47" s="87" t="s">
        <v>228</v>
      </c>
      <c r="E47" s="89"/>
      <c r="F47" s="90"/>
      <c r="G47" s="91"/>
      <c r="H47" s="91"/>
      <c r="I47" s="92"/>
      <c r="J47" s="92"/>
      <c r="K47" s="85" t="b">
        <f t="shared" si="2"/>
        <v>0</v>
      </c>
      <c r="L47" s="85" t="b">
        <f t="shared" si="3"/>
        <v>0</v>
      </c>
      <c r="M47" s="85" t="b">
        <f t="shared" si="4"/>
        <v>1</v>
      </c>
      <c r="N47" s="85" t="b">
        <f t="shared" si="0"/>
        <v>1</v>
      </c>
    </row>
    <row r="48" spans="1:14" s="85" customFormat="1" ht="15.75" x14ac:dyDescent="0.2">
      <c r="A48" s="93">
        <f t="shared" si="1"/>
        <v>47</v>
      </c>
      <c r="B48" s="87">
        <v>28</v>
      </c>
      <c r="C48" s="87">
        <v>20000195</v>
      </c>
      <c r="D48" s="87" t="s">
        <v>183</v>
      </c>
      <c r="E48" s="89"/>
      <c r="F48" s="90"/>
      <c r="G48" s="91"/>
      <c r="H48" s="91"/>
      <c r="I48" s="92"/>
      <c r="J48" s="92"/>
      <c r="K48" s="85" t="b">
        <f t="shared" si="2"/>
        <v>0</v>
      </c>
      <c r="L48" s="85" t="b">
        <f t="shared" si="3"/>
        <v>0</v>
      </c>
      <c r="M48" s="85" t="b">
        <f t="shared" si="4"/>
        <v>1</v>
      </c>
      <c r="N48" s="85" t="b">
        <f t="shared" si="0"/>
        <v>1</v>
      </c>
    </row>
    <row r="49" spans="1:14" s="85" customFormat="1" ht="15.75" x14ac:dyDescent="0.2">
      <c r="A49" s="93">
        <f t="shared" si="1"/>
        <v>48</v>
      </c>
      <c r="B49" s="87">
        <v>6200</v>
      </c>
      <c r="C49" s="87">
        <v>20000211</v>
      </c>
      <c r="D49" s="87" t="s">
        <v>34</v>
      </c>
      <c r="E49" s="89"/>
      <c r="F49" s="90"/>
      <c r="G49" s="91"/>
      <c r="H49" s="91"/>
      <c r="I49" s="92"/>
      <c r="J49" s="92"/>
      <c r="K49" s="85" t="b">
        <f t="shared" si="2"/>
        <v>0</v>
      </c>
      <c r="L49" s="85" t="b">
        <f t="shared" si="3"/>
        <v>0</v>
      </c>
      <c r="M49" s="85" t="b">
        <f t="shared" si="4"/>
        <v>1</v>
      </c>
      <c r="N49" s="85" t="b">
        <f t="shared" si="0"/>
        <v>1</v>
      </c>
    </row>
    <row r="50" spans="1:14" s="85" customFormat="1" ht="15.75" x14ac:dyDescent="0.2">
      <c r="A50" s="93">
        <f t="shared" si="1"/>
        <v>49</v>
      </c>
      <c r="B50" s="87">
        <v>1292</v>
      </c>
      <c r="C50" s="87">
        <v>20000116</v>
      </c>
      <c r="D50" s="87" t="s">
        <v>229</v>
      </c>
      <c r="E50" s="89"/>
      <c r="F50" s="90"/>
      <c r="G50" s="91"/>
      <c r="H50" s="91"/>
      <c r="I50" s="92"/>
      <c r="J50" s="92"/>
      <c r="K50" s="85" t="b">
        <f t="shared" si="2"/>
        <v>0</v>
      </c>
      <c r="L50" s="85" t="b">
        <f t="shared" si="3"/>
        <v>0</v>
      </c>
      <c r="M50" s="85" t="b">
        <f t="shared" si="4"/>
        <v>1</v>
      </c>
      <c r="N50" s="85" t="b">
        <f t="shared" si="0"/>
        <v>1</v>
      </c>
    </row>
    <row r="51" spans="1:14" s="85" customFormat="1" ht="15.75" x14ac:dyDescent="0.2">
      <c r="A51" s="93">
        <f t="shared" si="1"/>
        <v>50</v>
      </c>
      <c r="B51" s="87">
        <v>485</v>
      </c>
      <c r="C51" s="87">
        <v>20000038</v>
      </c>
      <c r="D51" s="87" t="s">
        <v>35</v>
      </c>
      <c r="E51" s="89"/>
      <c r="F51" s="90"/>
      <c r="G51" s="91"/>
      <c r="H51" s="91"/>
      <c r="I51" s="92"/>
      <c r="J51" s="92"/>
      <c r="K51" s="85" t="b">
        <f t="shared" si="2"/>
        <v>0</v>
      </c>
      <c r="L51" s="85" t="b">
        <f t="shared" si="3"/>
        <v>0</v>
      </c>
      <c r="M51" s="85" t="b">
        <f t="shared" si="4"/>
        <v>1</v>
      </c>
      <c r="N51" s="85" t="b">
        <f t="shared" si="0"/>
        <v>1</v>
      </c>
    </row>
    <row r="52" spans="1:14" s="85" customFormat="1" ht="15.75" x14ac:dyDescent="0.2">
      <c r="A52" s="93">
        <f t="shared" si="1"/>
        <v>51</v>
      </c>
      <c r="B52" s="87">
        <v>627</v>
      </c>
      <c r="C52" s="87">
        <v>20000075</v>
      </c>
      <c r="D52" s="87" t="s">
        <v>36</v>
      </c>
      <c r="E52" s="89"/>
      <c r="F52" s="90"/>
      <c r="G52" s="91"/>
      <c r="H52" s="91"/>
      <c r="I52" s="92"/>
      <c r="J52" s="92"/>
      <c r="K52" s="85" t="b">
        <f t="shared" si="2"/>
        <v>0</v>
      </c>
      <c r="L52" s="85" t="b">
        <f t="shared" si="3"/>
        <v>0</v>
      </c>
      <c r="M52" s="85" t="b">
        <f t="shared" si="4"/>
        <v>1</v>
      </c>
      <c r="N52" s="85" t="b">
        <f t="shared" si="0"/>
        <v>1</v>
      </c>
    </row>
    <row r="53" spans="1:14" s="85" customFormat="1" ht="15.75" x14ac:dyDescent="0.2">
      <c r="A53" s="93">
        <f t="shared" si="1"/>
        <v>52</v>
      </c>
      <c r="B53" s="87">
        <v>541</v>
      </c>
      <c r="C53" s="87">
        <v>20000070</v>
      </c>
      <c r="D53" s="87" t="s">
        <v>37</v>
      </c>
      <c r="E53" s="89"/>
      <c r="F53" s="90"/>
      <c r="G53" s="91"/>
      <c r="H53" s="91"/>
      <c r="I53" s="92"/>
      <c r="J53" s="92"/>
      <c r="K53" s="85" t="b">
        <f t="shared" si="2"/>
        <v>0</v>
      </c>
      <c r="L53" s="85" t="b">
        <f t="shared" si="3"/>
        <v>0</v>
      </c>
      <c r="M53" s="85" t="b">
        <f t="shared" si="4"/>
        <v>1</v>
      </c>
      <c r="N53" s="85" t="b">
        <f t="shared" si="0"/>
        <v>1</v>
      </c>
    </row>
    <row r="54" spans="1:14" s="85" customFormat="1" ht="15.75" x14ac:dyDescent="0.2">
      <c r="A54" s="93">
        <f t="shared" si="1"/>
        <v>53</v>
      </c>
      <c r="B54" s="87">
        <v>487</v>
      </c>
      <c r="C54" s="87">
        <v>20000039</v>
      </c>
      <c r="D54" s="87" t="s">
        <v>38</v>
      </c>
      <c r="E54" s="89"/>
      <c r="F54" s="90"/>
      <c r="G54" s="91"/>
      <c r="H54" s="91"/>
      <c r="I54" s="92"/>
      <c r="J54" s="92"/>
      <c r="K54" s="85" t="b">
        <f t="shared" si="2"/>
        <v>0</v>
      </c>
      <c r="L54" s="85" t="b">
        <f t="shared" si="3"/>
        <v>0</v>
      </c>
      <c r="M54" s="85" t="b">
        <f t="shared" si="4"/>
        <v>1</v>
      </c>
      <c r="N54" s="85" t="b">
        <f t="shared" si="0"/>
        <v>1</v>
      </c>
    </row>
    <row r="55" spans="1:14" s="85" customFormat="1" ht="15.75" x14ac:dyDescent="0.2">
      <c r="A55" s="93">
        <f t="shared" si="1"/>
        <v>54</v>
      </c>
      <c r="B55" s="87">
        <v>628</v>
      </c>
      <c r="C55" s="87">
        <v>20000076</v>
      </c>
      <c r="D55" s="87" t="s">
        <v>230</v>
      </c>
      <c r="E55" s="89"/>
      <c r="F55" s="90"/>
      <c r="G55" s="91"/>
      <c r="H55" s="91"/>
      <c r="I55" s="92"/>
      <c r="J55" s="92"/>
      <c r="K55" s="85" t="b">
        <f t="shared" si="2"/>
        <v>0</v>
      </c>
      <c r="L55" s="85" t="b">
        <f t="shared" si="3"/>
        <v>0</v>
      </c>
      <c r="M55" s="85" t="b">
        <f t="shared" si="4"/>
        <v>1</v>
      </c>
      <c r="N55" s="85" t="b">
        <f t="shared" si="0"/>
        <v>1</v>
      </c>
    </row>
    <row r="56" spans="1:14" s="85" customFormat="1" ht="15.75" x14ac:dyDescent="0.2">
      <c r="A56" s="93">
        <f t="shared" si="1"/>
        <v>55</v>
      </c>
      <c r="B56" s="87">
        <v>3730</v>
      </c>
      <c r="C56" s="87">
        <v>20000176</v>
      </c>
      <c r="D56" s="87" t="s">
        <v>39</v>
      </c>
      <c r="E56" s="89"/>
      <c r="F56" s="90"/>
      <c r="G56" s="91"/>
      <c r="H56" s="91"/>
      <c r="I56" s="92"/>
      <c r="J56" s="92"/>
      <c r="K56" s="85" t="b">
        <f t="shared" si="2"/>
        <v>0</v>
      </c>
      <c r="L56" s="85" t="b">
        <f t="shared" si="3"/>
        <v>0</v>
      </c>
      <c r="M56" s="85" t="b">
        <f t="shared" si="4"/>
        <v>1</v>
      </c>
      <c r="N56" s="85" t="b">
        <f t="shared" si="0"/>
        <v>1</v>
      </c>
    </row>
    <row r="57" spans="1:14" s="85" customFormat="1" ht="15.75" x14ac:dyDescent="0.2">
      <c r="A57" s="93">
        <f t="shared" si="1"/>
        <v>56</v>
      </c>
      <c r="B57" s="87">
        <v>681</v>
      </c>
      <c r="C57" s="87">
        <v>20000083</v>
      </c>
      <c r="D57" s="87" t="s">
        <v>40</v>
      </c>
      <c r="E57" s="89"/>
      <c r="F57" s="90"/>
      <c r="G57" s="91"/>
      <c r="H57" s="91"/>
      <c r="I57" s="92"/>
      <c r="J57" s="92"/>
      <c r="K57" s="85" t="b">
        <f t="shared" si="2"/>
        <v>0</v>
      </c>
      <c r="L57" s="85" t="b">
        <f t="shared" si="3"/>
        <v>0</v>
      </c>
      <c r="M57" s="85" t="b">
        <f t="shared" si="4"/>
        <v>1</v>
      </c>
      <c r="N57" s="85" t="b">
        <f t="shared" si="0"/>
        <v>1</v>
      </c>
    </row>
    <row r="58" spans="1:14" s="85" customFormat="1" ht="15.75" x14ac:dyDescent="0.2">
      <c r="A58" s="93">
        <f t="shared" si="1"/>
        <v>57</v>
      </c>
      <c r="B58" s="87">
        <v>6300</v>
      </c>
      <c r="C58" s="87">
        <v>20000221</v>
      </c>
      <c r="D58" s="87" t="s">
        <v>41</v>
      </c>
      <c r="E58" s="89"/>
      <c r="F58" s="90"/>
      <c r="G58" s="91"/>
      <c r="H58" s="91"/>
      <c r="I58" s="92"/>
      <c r="J58" s="92"/>
      <c r="K58" s="85" t="b">
        <f t="shared" si="2"/>
        <v>0</v>
      </c>
      <c r="L58" s="85" t="b">
        <f t="shared" si="3"/>
        <v>0</v>
      </c>
      <c r="M58" s="85" t="b">
        <f t="shared" si="4"/>
        <v>1</v>
      </c>
      <c r="N58" s="85" t="b">
        <f t="shared" si="0"/>
        <v>1</v>
      </c>
    </row>
    <row r="59" spans="1:14" s="85" customFormat="1" ht="15.75" x14ac:dyDescent="0.2">
      <c r="A59" s="93">
        <f t="shared" si="1"/>
        <v>58</v>
      </c>
      <c r="B59" s="87">
        <v>2550</v>
      </c>
      <c r="C59" s="87">
        <v>20000143</v>
      </c>
      <c r="D59" s="87" t="s">
        <v>42</v>
      </c>
      <c r="E59" s="89"/>
      <c r="F59" s="90"/>
      <c r="G59" s="91"/>
      <c r="H59" s="91"/>
      <c r="I59" s="92"/>
      <c r="J59" s="92"/>
      <c r="K59" s="85" t="b">
        <f t="shared" si="2"/>
        <v>0</v>
      </c>
      <c r="L59" s="85" t="b">
        <f t="shared" si="3"/>
        <v>0</v>
      </c>
      <c r="M59" s="85" t="b">
        <f t="shared" si="4"/>
        <v>1</v>
      </c>
      <c r="N59" s="85" t="b">
        <f t="shared" si="0"/>
        <v>1</v>
      </c>
    </row>
    <row r="60" spans="1:14" s="85" customFormat="1" ht="15.75" x14ac:dyDescent="0.2">
      <c r="A60" s="93">
        <f t="shared" si="1"/>
        <v>59</v>
      </c>
      <c r="B60" s="87">
        <v>32</v>
      </c>
      <c r="C60" s="87">
        <v>20000198</v>
      </c>
      <c r="D60" s="87" t="s">
        <v>246</v>
      </c>
      <c r="E60" s="89"/>
      <c r="F60" s="90"/>
      <c r="G60" s="91"/>
      <c r="H60" s="91"/>
      <c r="I60" s="92"/>
      <c r="J60" s="92"/>
      <c r="K60" s="85" t="b">
        <f t="shared" si="2"/>
        <v>0</v>
      </c>
      <c r="L60" s="85" t="b">
        <f t="shared" si="3"/>
        <v>0</v>
      </c>
      <c r="M60" s="85" t="b">
        <f t="shared" si="4"/>
        <v>1</v>
      </c>
      <c r="N60" s="85" t="b">
        <f t="shared" si="0"/>
        <v>1</v>
      </c>
    </row>
    <row r="61" spans="1:14" s="85" customFormat="1" ht="15.75" x14ac:dyDescent="0.2">
      <c r="A61" s="93">
        <f t="shared" si="1"/>
        <v>60</v>
      </c>
      <c r="B61" s="87">
        <v>71</v>
      </c>
      <c r="C61" s="87">
        <v>20000158</v>
      </c>
      <c r="D61" s="87" t="s">
        <v>197</v>
      </c>
      <c r="E61" s="89"/>
      <c r="F61" s="90"/>
      <c r="G61" s="91"/>
      <c r="H61" s="91"/>
      <c r="I61" s="92"/>
      <c r="J61" s="92"/>
      <c r="K61" s="85" t="b">
        <f t="shared" si="2"/>
        <v>0</v>
      </c>
      <c r="L61" s="85" t="b">
        <f t="shared" si="3"/>
        <v>0</v>
      </c>
      <c r="M61" s="85" t="b">
        <f t="shared" si="4"/>
        <v>1</v>
      </c>
      <c r="N61" s="85" t="b">
        <f t="shared" si="0"/>
        <v>1</v>
      </c>
    </row>
    <row r="62" spans="1:14" s="85" customFormat="1" ht="15.75" x14ac:dyDescent="0.2">
      <c r="A62" s="93">
        <f t="shared" si="1"/>
        <v>61</v>
      </c>
      <c r="B62" s="87">
        <v>76</v>
      </c>
      <c r="C62" s="87">
        <v>20000239</v>
      </c>
      <c r="D62" s="87" t="s">
        <v>203</v>
      </c>
      <c r="E62" s="89"/>
      <c r="F62" s="90"/>
      <c r="G62" s="91"/>
      <c r="H62" s="91"/>
      <c r="I62" s="92"/>
      <c r="J62" s="92"/>
      <c r="K62" s="85" t="b">
        <f t="shared" si="2"/>
        <v>0</v>
      </c>
      <c r="L62" s="85" t="b">
        <f t="shared" si="3"/>
        <v>0</v>
      </c>
      <c r="M62" s="85" t="b">
        <f t="shared" si="4"/>
        <v>1</v>
      </c>
      <c r="N62" s="85" t="b">
        <f t="shared" si="0"/>
        <v>1</v>
      </c>
    </row>
    <row r="63" spans="1:14" s="85" customFormat="1" ht="15.75" x14ac:dyDescent="0.2">
      <c r="A63" s="93">
        <f t="shared" si="1"/>
        <v>62</v>
      </c>
      <c r="B63" s="87">
        <v>30</v>
      </c>
      <c r="C63" s="87">
        <v>20000192</v>
      </c>
      <c r="D63" s="87" t="s">
        <v>207</v>
      </c>
      <c r="E63" s="89"/>
      <c r="F63" s="90"/>
      <c r="G63" s="91"/>
      <c r="H63" s="91"/>
      <c r="I63" s="92"/>
      <c r="J63" s="92"/>
      <c r="K63" s="85" t="b">
        <f t="shared" si="2"/>
        <v>0</v>
      </c>
      <c r="L63" s="85" t="b">
        <f t="shared" si="3"/>
        <v>0</v>
      </c>
      <c r="M63" s="85" t="b">
        <f t="shared" si="4"/>
        <v>1</v>
      </c>
      <c r="N63" s="85" t="b">
        <f t="shared" si="0"/>
        <v>1</v>
      </c>
    </row>
    <row r="64" spans="1:14" s="85" customFormat="1" ht="15.75" x14ac:dyDescent="0.2">
      <c r="A64" s="93">
        <f t="shared" si="1"/>
        <v>63</v>
      </c>
      <c r="B64" s="87">
        <v>166</v>
      </c>
      <c r="C64" s="87">
        <v>20000018</v>
      </c>
      <c r="D64" s="87" t="s">
        <v>43</v>
      </c>
      <c r="E64" s="89"/>
      <c r="F64" s="90"/>
      <c r="G64" s="91"/>
      <c r="H64" s="91"/>
      <c r="I64" s="92"/>
      <c r="J64" s="92"/>
      <c r="K64" s="85" t="b">
        <f t="shared" si="2"/>
        <v>0</v>
      </c>
      <c r="L64" s="85" t="b">
        <f t="shared" si="3"/>
        <v>0</v>
      </c>
      <c r="M64" s="85" t="b">
        <f t="shared" si="4"/>
        <v>1</v>
      </c>
      <c r="N64" s="85" t="b">
        <f t="shared" si="0"/>
        <v>1</v>
      </c>
    </row>
    <row r="65" spans="1:14" s="85" customFormat="1" ht="15.75" x14ac:dyDescent="0.2">
      <c r="A65" s="93">
        <f t="shared" si="1"/>
        <v>64</v>
      </c>
      <c r="B65" s="87">
        <v>27</v>
      </c>
      <c r="C65" s="87">
        <v>20000194</v>
      </c>
      <c r="D65" s="87" t="s">
        <v>247</v>
      </c>
      <c r="E65" s="89"/>
      <c r="F65" s="90"/>
      <c r="G65" s="91"/>
      <c r="H65" s="91"/>
      <c r="I65" s="92"/>
      <c r="J65" s="92"/>
      <c r="K65" s="85" t="b">
        <f t="shared" si="2"/>
        <v>0</v>
      </c>
      <c r="L65" s="85" t="b">
        <f t="shared" si="3"/>
        <v>0</v>
      </c>
      <c r="M65" s="85" t="b">
        <f t="shared" si="4"/>
        <v>1</v>
      </c>
      <c r="N65" s="85" t="b">
        <f t="shared" si="0"/>
        <v>1</v>
      </c>
    </row>
    <row r="66" spans="1:14" s="85" customFormat="1" ht="15.75" x14ac:dyDescent="0.2">
      <c r="A66" s="93">
        <f t="shared" si="1"/>
        <v>65</v>
      </c>
      <c r="B66" s="87">
        <v>229</v>
      </c>
      <c r="C66" s="87">
        <v>20000024</v>
      </c>
      <c r="D66" s="87" t="s">
        <v>44</v>
      </c>
      <c r="E66" s="89"/>
      <c r="F66" s="90"/>
      <c r="G66" s="91"/>
      <c r="H66" s="91"/>
      <c r="I66" s="92"/>
      <c r="J66" s="92"/>
      <c r="K66" s="85" t="b">
        <f t="shared" si="2"/>
        <v>0</v>
      </c>
      <c r="L66" s="85" t="b">
        <f t="shared" si="3"/>
        <v>0</v>
      </c>
      <c r="M66" s="85" t="b">
        <f t="shared" si="4"/>
        <v>1</v>
      </c>
      <c r="N66" s="85" t="b">
        <f t="shared" ref="N66:N129" si="5">OR(H66&lt;=6,AND(I66=1,H66&lt;=7),AND(G66&lt;=2,H66&lt;=7))</f>
        <v>1</v>
      </c>
    </row>
    <row r="67" spans="1:14" s="85" customFormat="1" ht="15.75" x14ac:dyDescent="0.2">
      <c r="A67" s="93">
        <f t="shared" ref="A67:A130" si="6">IF(D67="","",A66+1)</f>
        <v>66</v>
      </c>
      <c r="B67" s="87">
        <v>494</v>
      </c>
      <c r="C67" s="87">
        <v>20000043</v>
      </c>
      <c r="D67" s="87" t="s">
        <v>254</v>
      </c>
      <c r="E67" s="89"/>
      <c r="F67" s="90"/>
      <c r="G67" s="91"/>
      <c r="H67" s="91"/>
      <c r="I67" s="92"/>
      <c r="J67" s="92"/>
      <c r="K67" s="85" t="b">
        <f t="shared" ref="K67:K130" si="7">AND(G67&gt;0,G67&lt;=10)</f>
        <v>0</v>
      </c>
      <c r="L67" s="85" t="b">
        <f t="shared" ref="L67:L130" si="8">AND(H67&gt;0,H67&lt;=10)</f>
        <v>0</v>
      </c>
      <c r="M67" s="85" t="b">
        <f t="shared" ref="M67:M130" si="9">OR(I67=0,I67=1)</f>
        <v>1</v>
      </c>
      <c r="N67" s="85" t="b">
        <f t="shared" si="5"/>
        <v>1</v>
      </c>
    </row>
    <row r="68" spans="1:14" s="85" customFormat="1" ht="15.75" x14ac:dyDescent="0.2">
      <c r="A68" s="93">
        <f t="shared" si="6"/>
        <v>67</v>
      </c>
      <c r="B68" s="87">
        <v>489</v>
      </c>
      <c r="C68" s="87">
        <v>20000040</v>
      </c>
      <c r="D68" s="87" t="s">
        <v>45</v>
      </c>
      <c r="E68" s="89"/>
      <c r="F68" s="90"/>
      <c r="G68" s="91"/>
      <c r="H68" s="91"/>
      <c r="I68" s="92"/>
      <c r="J68" s="92"/>
      <c r="K68" s="85" t="b">
        <f t="shared" si="7"/>
        <v>0</v>
      </c>
      <c r="L68" s="85" t="b">
        <f t="shared" si="8"/>
        <v>0</v>
      </c>
      <c r="M68" s="85" t="b">
        <f t="shared" si="9"/>
        <v>1</v>
      </c>
      <c r="N68" s="85" t="b">
        <f t="shared" si="5"/>
        <v>1</v>
      </c>
    </row>
    <row r="69" spans="1:14" s="85" customFormat="1" ht="15.75" x14ac:dyDescent="0.2">
      <c r="A69" s="93">
        <f t="shared" si="6"/>
        <v>68</v>
      </c>
      <c r="B69" s="87">
        <v>490</v>
      </c>
      <c r="C69" s="87">
        <v>20000041</v>
      </c>
      <c r="D69" s="87" t="s">
        <v>231</v>
      </c>
      <c r="E69" s="89"/>
      <c r="F69" s="90"/>
      <c r="G69" s="91"/>
      <c r="H69" s="91"/>
      <c r="I69" s="92"/>
      <c r="J69" s="92"/>
      <c r="K69" s="85" t="b">
        <f t="shared" si="7"/>
        <v>0</v>
      </c>
      <c r="L69" s="85" t="b">
        <f t="shared" si="8"/>
        <v>0</v>
      </c>
      <c r="M69" s="85" t="b">
        <f t="shared" si="9"/>
        <v>1</v>
      </c>
      <c r="N69" s="85" t="b">
        <f t="shared" si="5"/>
        <v>1</v>
      </c>
    </row>
    <row r="70" spans="1:14" s="85" customFormat="1" ht="15.75" x14ac:dyDescent="0.2">
      <c r="A70" s="93">
        <f t="shared" si="6"/>
        <v>69</v>
      </c>
      <c r="B70" s="87">
        <v>492</v>
      </c>
      <c r="C70" s="87">
        <v>20000042</v>
      </c>
      <c r="D70" s="87" t="s">
        <v>46</v>
      </c>
      <c r="E70" s="89"/>
      <c r="F70" s="90"/>
      <c r="G70" s="91"/>
      <c r="H70" s="91"/>
      <c r="I70" s="92"/>
      <c r="J70" s="92"/>
      <c r="K70" s="85" t="b">
        <f t="shared" si="7"/>
        <v>0</v>
      </c>
      <c r="L70" s="85" t="b">
        <f t="shared" si="8"/>
        <v>0</v>
      </c>
      <c r="M70" s="85" t="b">
        <f t="shared" si="9"/>
        <v>1</v>
      </c>
      <c r="N70" s="85" t="b">
        <f t="shared" si="5"/>
        <v>1</v>
      </c>
    </row>
    <row r="71" spans="1:14" s="85" customFormat="1" ht="15.75" x14ac:dyDescent="0.2">
      <c r="A71" s="93">
        <f t="shared" si="6"/>
        <v>70</v>
      </c>
      <c r="B71" s="87">
        <v>2200</v>
      </c>
      <c r="C71" s="87">
        <v>20000130</v>
      </c>
      <c r="D71" s="87" t="s">
        <v>47</v>
      </c>
      <c r="E71" s="89"/>
      <c r="F71" s="90"/>
      <c r="G71" s="91"/>
      <c r="H71" s="91"/>
      <c r="I71" s="92"/>
      <c r="J71" s="92"/>
      <c r="K71" s="85" t="b">
        <f t="shared" si="7"/>
        <v>0</v>
      </c>
      <c r="L71" s="85" t="b">
        <f t="shared" si="8"/>
        <v>0</v>
      </c>
      <c r="M71" s="85" t="b">
        <f t="shared" si="9"/>
        <v>1</v>
      </c>
      <c r="N71" s="85" t="b">
        <f t="shared" si="5"/>
        <v>1</v>
      </c>
    </row>
    <row r="72" spans="1:14" s="85" customFormat="1" ht="15.75" x14ac:dyDescent="0.2">
      <c r="A72" s="93">
        <f t="shared" si="6"/>
        <v>71</v>
      </c>
      <c r="B72" s="87">
        <v>20</v>
      </c>
      <c r="C72" s="87">
        <v>20000190</v>
      </c>
      <c r="D72" s="87" t="s">
        <v>212</v>
      </c>
      <c r="E72" s="89"/>
      <c r="F72" s="90"/>
      <c r="G72" s="91"/>
      <c r="H72" s="91"/>
      <c r="I72" s="92"/>
      <c r="J72" s="92"/>
      <c r="K72" s="85" t="b">
        <f t="shared" si="7"/>
        <v>0</v>
      </c>
      <c r="L72" s="85" t="b">
        <f t="shared" si="8"/>
        <v>0</v>
      </c>
      <c r="M72" s="85" t="b">
        <f t="shared" si="9"/>
        <v>1</v>
      </c>
      <c r="N72" s="85" t="b">
        <f t="shared" si="5"/>
        <v>1</v>
      </c>
    </row>
    <row r="73" spans="1:14" s="85" customFormat="1" ht="15.75" x14ac:dyDescent="0.2">
      <c r="A73" s="93">
        <f t="shared" si="6"/>
        <v>72</v>
      </c>
      <c r="B73" s="87">
        <v>8</v>
      </c>
      <c r="C73" s="87">
        <v>20000135</v>
      </c>
      <c r="D73" s="87" t="s">
        <v>211</v>
      </c>
      <c r="E73" s="89"/>
      <c r="F73" s="90"/>
      <c r="G73" s="91"/>
      <c r="H73" s="91"/>
      <c r="I73" s="92"/>
      <c r="J73" s="92"/>
      <c r="K73" s="85" t="b">
        <f t="shared" si="7"/>
        <v>0</v>
      </c>
      <c r="L73" s="85" t="b">
        <f t="shared" si="8"/>
        <v>0</v>
      </c>
      <c r="M73" s="85" t="b">
        <f t="shared" si="9"/>
        <v>1</v>
      </c>
      <c r="N73" s="85" t="b">
        <f t="shared" si="5"/>
        <v>1</v>
      </c>
    </row>
    <row r="74" spans="1:14" s="85" customFormat="1" ht="15.75" x14ac:dyDescent="0.2">
      <c r="A74" s="93">
        <f t="shared" si="6"/>
        <v>73</v>
      </c>
      <c r="B74" s="87">
        <v>1</v>
      </c>
      <c r="C74" s="87">
        <v>20000127</v>
      </c>
      <c r="D74" s="87" t="s">
        <v>201</v>
      </c>
      <c r="E74" s="89"/>
      <c r="F74" s="90"/>
      <c r="G74" s="91"/>
      <c r="H74" s="91"/>
      <c r="I74" s="92"/>
      <c r="J74" s="92"/>
      <c r="K74" s="85" t="b">
        <f t="shared" si="7"/>
        <v>0</v>
      </c>
      <c r="L74" s="85" t="b">
        <f t="shared" si="8"/>
        <v>0</v>
      </c>
      <c r="M74" s="85" t="b">
        <f t="shared" si="9"/>
        <v>1</v>
      </c>
      <c r="N74" s="85" t="b">
        <f t="shared" si="5"/>
        <v>1</v>
      </c>
    </row>
    <row r="75" spans="1:14" s="85" customFormat="1" ht="15.75" x14ac:dyDescent="0.2">
      <c r="A75" s="93">
        <f t="shared" si="6"/>
        <v>74</v>
      </c>
      <c r="B75" s="87">
        <v>3</v>
      </c>
      <c r="C75" s="87">
        <v>20000131</v>
      </c>
      <c r="D75" s="87" t="s">
        <v>189</v>
      </c>
      <c r="E75" s="89"/>
      <c r="F75" s="90"/>
      <c r="G75" s="91"/>
      <c r="H75" s="91"/>
      <c r="I75" s="92"/>
      <c r="J75" s="92"/>
      <c r="K75" s="85" t="b">
        <f t="shared" si="7"/>
        <v>0</v>
      </c>
      <c r="L75" s="85" t="b">
        <f t="shared" si="8"/>
        <v>0</v>
      </c>
      <c r="M75" s="85" t="b">
        <f t="shared" si="9"/>
        <v>1</v>
      </c>
      <c r="N75" s="85" t="b">
        <f t="shared" si="5"/>
        <v>1</v>
      </c>
    </row>
    <row r="76" spans="1:14" s="85" customFormat="1" ht="15.75" x14ac:dyDescent="0.2">
      <c r="A76" s="93">
        <f t="shared" si="6"/>
        <v>75</v>
      </c>
      <c r="B76" s="87">
        <v>9700</v>
      </c>
      <c r="C76" s="87">
        <v>20000261</v>
      </c>
      <c r="D76" s="87" t="s">
        <v>48</v>
      </c>
      <c r="E76" s="89"/>
      <c r="F76" s="90"/>
      <c r="G76" s="91"/>
      <c r="H76" s="91"/>
      <c r="I76" s="92"/>
      <c r="J76" s="92"/>
      <c r="K76" s="85" t="b">
        <f t="shared" si="7"/>
        <v>0</v>
      </c>
      <c r="L76" s="85" t="b">
        <f t="shared" si="8"/>
        <v>0</v>
      </c>
      <c r="M76" s="85" t="b">
        <f t="shared" si="9"/>
        <v>1</v>
      </c>
      <c r="N76" s="85" t="b">
        <f t="shared" si="5"/>
        <v>1</v>
      </c>
    </row>
    <row r="77" spans="1:14" s="85" customFormat="1" ht="15.75" x14ac:dyDescent="0.2">
      <c r="A77" s="93">
        <f t="shared" si="6"/>
        <v>76</v>
      </c>
      <c r="B77" s="87">
        <v>54</v>
      </c>
      <c r="C77" s="87">
        <v>20000220</v>
      </c>
      <c r="D77" s="87" t="s">
        <v>248</v>
      </c>
      <c r="E77" s="89"/>
      <c r="F77" s="90"/>
      <c r="G77" s="91"/>
      <c r="H77" s="91"/>
      <c r="I77" s="92"/>
      <c r="J77" s="92"/>
      <c r="K77" s="85" t="b">
        <f t="shared" si="7"/>
        <v>0</v>
      </c>
      <c r="L77" s="85" t="b">
        <f t="shared" si="8"/>
        <v>0</v>
      </c>
      <c r="M77" s="85" t="b">
        <f t="shared" si="9"/>
        <v>1</v>
      </c>
      <c r="N77" s="85" t="b">
        <f t="shared" si="5"/>
        <v>1</v>
      </c>
    </row>
    <row r="78" spans="1:14" s="85" customFormat="1" ht="15.75" x14ac:dyDescent="0.2">
      <c r="A78" s="93">
        <f t="shared" si="6"/>
        <v>77</v>
      </c>
      <c r="B78" s="87">
        <v>3769</v>
      </c>
      <c r="C78" s="87">
        <v>20000179</v>
      </c>
      <c r="D78" s="87" t="s">
        <v>49</v>
      </c>
      <c r="E78" s="89"/>
      <c r="F78" s="90"/>
      <c r="G78" s="91"/>
      <c r="H78" s="91"/>
      <c r="I78" s="92"/>
      <c r="J78" s="92"/>
      <c r="K78" s="85" t="b">
        <f t="shared" si="7"/>
        <v>0</v>
      </c>
      <c r="L78" s="85" t="b">
        <f t="shared" si="8"/>
        <v>0</v>
      </c>
      <c r="M78" s="85" t="b">
        <f t="shared" si="9"/>
        <v>1</v>
      </c>
      <c r="N78" s="85" t="b">
        <f t="shared" si="5"/>
        <v>1</v>
      </c>
    </row>
    <row r="79" spans="1:14" s="85" customFormat="1" ht="15.75" x14ac:dyDescent="0.2">
      <c r="A79" s="93">
        <f t="shared" si="6"/>
        <v>78</v>
      </c>
      <c r="B79" s="87">
        <v>78</v>
      </c>
      <c r="C79" s="87">
        <v>20000241</v>
      </c>
      <c r="D79" s="87" t="s">
        <v>179</v>
      </c>
      <c r="E79" s="89"/>
      <c r="F79" s="90"/>
      <c r="G79" s="91"/>
      <c r="H79" s="91"/>
      <c r="I79" s="92"/>
      <c r="J79" s="92"/>
      <c r="K79" s="85" t="b">
        <f t="shared" si="7"/>
        <v>0</v>
      </c>
      <c r="L79" s="85" t="b">
        <f t="shared" si="8"/>
        <v>0</v>
      </c>
      <c r="M79" s="85" t="b">
        <f t="shared" si="9"/>
        <v>1</v>
      </c>
      <c r="N79" s="85" t="b">
        <f t="shared" si="5"/>
        <v>1</v>
      </c>
    </row>
    <row r="80" spans="1:14" s="85" customFormat="1" ht="15.75" x14ac:dyDescent="0.2">
      <c r="A80" s="93">
        <f t="shared" si="6"/>
        <v>79</v>
      </c>
      <c r="B80" s="87">
        <v>6400</v>
      </c>
      <c r="C80" s="87">
        <v>20000222</v>
      </c>
      <c r="D80" s="87" t="s">
        <v>221</v>
      </c>
      <c r="E80" s="89"/>
      <c r="F80" s="90"/>
      <c r="G80" s="91"/>
      <c r="H80" s="91"/>
      <c r="I80" s="92"/>
      <c r="J80" s="92"/>
      <c r="K80" s="85" t="b">
        <f t="shared" si="7"/>
        <v>0</v>
      </c>
      <c r="L80" s="85" t="b">
        <f t="shared" si="8"/>
        <v>0</v>
      </c>
      <c r="M80" s="85" t="b">
        <f t="shared" si="9"/>
        <v>1</v>
      </c>
      <c r="N80" s="85" t="b">
        <f t="shared" si="5"/>
        <v>1</v>
      </c>
    </row>
    <row r="81" spans="1:14" s="85" customFormat="1" ht="15.75" x14ac:dyDescent="0.2">
      <c r="A81" s="93">
        <f t="shared" si="6"/>
        <v>80</v>
      </c>
      <c r="B81" s="87">
        <v>12</v>
      </c>
      <c r="C81" s="87">
        <v>20000160</v>
      </c>
      <c r="D81" s="87" t="s">
        <v>195</v>
      </c>
      <c r="E81" s="89"/>
      <c r="F81" s="90"/>
      <c r="G81" s="91"/>
      <c r="H81" s="91"/>
      <c r="I81" s="92"/>
      <c r="J81" s="92"/>
      <c r="K81" s="85" t="b">
        <f t="shared" si="7"/>
        <v>0</v>
      </c>
      <c r="L81" s="85" t="b">
        <f t="shared" si="8"/>
        <v>0</v>
      </c>
      <c r="M81" s="85" t="b">
        <f t="shared" si="9"/>
        <v>1</v>
      </c>
      <c r="N81" s="85" t="b">
        <f t="shared" si="5"/>
        <v>1</v>
      </c>
    </row>
    <row r="82" spans="1:14" s="85" customFormat="1" ht="15.75" x14ac:dyDescent="0.2">
      <c r="A82" s="93">
        <f t="shared" si="6"/>
        <v>81</v>
      </c>
      <c r="B82" s="87">
        <v>9300</v>
      </c>
      <c r="C82" s="87">
        <v>20000257</v>
      </c>
      <c r="D82" s="87" t="s">
        <v>50</v>
      </c>
      <c r="E82" s="89"/>
      <c r="F82" s="90"/>
      <c r="G82" s="91"/>
      <c r="H82" s="91"/>
      <c r="I82" s="92"/>
      <c r="J82" s="92"/>
      <c r="K82" s="85" t="b">
        <f t="shared" si="7"/>
        <v>0</v>
      </c>
      <c r="L82" s="85" t="b">
        <f t="shared" si="8"/>
        <v>0</v>
      </c>
      <c r="M82" s="85" t="b">
        <f t="shared" si="9"/>
        <v>1</v>
      </c>
      <c r="N82" s="85" t="b">
        <f t="shared" si="5"/>
        <v>1</v>
      </c>
    </row>
    <row r="83" spans="1:14" s="85" customFormat="1" ht="15.75" x14ac:dyDescent="0.2">
      <c r="A83" s="93">
        <f t="shared" si="6"/>
        <v>82</v>
      </c>
      <c r="B83" s="87">
        <v>1290</v>
      </c>
      <c r="C83" s="87">
        <v>20000115</v>
      </c>
      <c r="D83" s="87" t="s">
        <v>51</v>
      </c>
      <c r="E83" s="89"/>
      <c r="F83" s="90"/>
      <c r="G83" s="91"/>
      <c r="H83" s="91"/>
      <c r="I83" s="92"/>
      <c r="J83" s="92"/>
      <c r="K83" s="85" t="b">
        <f t="shared" si="7"/>
        <v>0</v>
      </c>
      <c r="L83" s="85" t="b">
        <f t="shared" si="8"/>
        <v>0</v>
      </c>
      <c r="M83" s="85" t="b">
        <f t="shared" si="9"/>
        <v>1</v>
      </c>
      <c r="N83" s="85" t="b">
        <f t="shared" si="5"/>
        <v>1</v>
      </c>
    </row>
    <row r="84" spans="1:14" s="85" customFormat="1" ht="15.75" x14ac:dyDescent="0.2">
      <c r="A84" s="93">
        <f t="shared" si="6"/>
        <v>83</v>
      </c>
      <c r="B84" s="87">
        <v>975</v>
      </c>
      <c r="C84" s="87">
        <v>20000296</v>
      </c>
      <c r="D84" s="87" t="s">
        <v>52</v>
      </c>
      <c r="E84" s="89"/>
      <c r="F84" s="90"/>
      <c r="G84" s="91"/>
      <c r="H84" s="91"/>
      <c r="I84" s="92"/>
      <c r="J84" s="92"/>
      <c r="K84" s="85" t="b">
        <f t="shared" si="7"/>
        <v>0</v>
      </c>
      <c r="L84" s="85" t="b">
        <f t="shared" si="8"/>
        <v>0</v>
      </c>
      <c r="M84" s="85" t="b">
        <f t="shared" si="9"/>
        <v>1</v>
      </c>
      <c r="N84" s="85" t="b">
        <f t="shared" si="5"/>
        <v>1</v>
      </c>
    </row>
    <row r="85" spans="1:14" s="85" customFormat="1" ht="15.75" x14ac:dyDescent="0.2">
      <c r="A85" s="93">
        <f t="shared" si="6"/>
        <v>84</v>
      </c>
      <c r="B85" s="87">
        <v>53</v>
      </c>
      <c r="C85" s="87">
        <v>20000219</v>
      </c>
      <c r="D85" s="87" t="s">
        <v>176</v>
      </c>
      <c r="E85" s="89"/>
      <c r="F85" s="90"/>
      <c r="G85" s="91"/>
      <c r="H85" s="91"/>
      <c r="I85" s="92"/>
      <c r="J85" s="92"/>
      <c r="K85" s="85" t="b">
        <f t="shared" si="7"/>
        <v>0</v>
      </c>
      <c r="L85" s="85" t="b">
        <f t="shared" si="8"/>
        <v>0</v>
      </c>
      <c r="M85" s="85" t="b">
        <f t="shared" si="9"/>
        <v>1</v>
      </c>
      <c r="N85" s="85" t="b">
        <f t="shared" si="5"/>
        <v>1</v>
      </c>
    </row>
    <row r="86" spans="1:14" s="85" customFormat="1" ht="15.75" x14ac:dyDescent="0.2">
      <c r="A86" s="93">
        <f t="shared" si="6"/>
        <v>85</v>
      </c>
      <c r="B86" s="87">
        <v>29</v>
      </c>
      <c r="C86" s="87">
        <v>20000196</v>
      </c>
      <c r="D86" s="87" t="s">
        <v>178</v>
      </c>
      <c r="E86" s="89"/>
      <c r="F86" s="90"/>
      <c r="G86" s="91"/>
      <c r="H86" s="91"/>
      <c r="I86" s="92"/>
      <c r="J86" s="92"/>
      <c r="K86" s="85" t="b">
        <f t="shared" si="7"/>
        <v>0</v>
      </c>
      <c r="L86" s="85" t="b">
        <f t="shared" si="8"/>
        <v>0</v>
      </c>
      <c r="M86" s="85" t="b">
        <f t="shared" si="9"/>
        <v>1</v>
      </c>
      <c r="N86" s="85" t="b">
        <f t="shared" si="5"/>
        <v>1</v>
      </c>
    </row>
    <row r="87" spans="1:14" s="85" customFormat="1" ht="15.75" x14ac:dyDescent="0.2">
      <c r="A87" s="93">
        <f t="shared" si="6"/>
        <v>86</v>
      </c>
      <c r="B87" s="87">
        <v>25</v>
      </c>
      <c r="C87" s="87">
        <v>20000191</v>
      </c>
      <c r="D87" s="87" t="s">
        <v>205</v>
      </c>
      <c r="E87" s="89"/>
      <c r="F87" s="90"/>
      <c r="G87" s="91"/>
      <c r="H87" s="91"/>
      <c r="I87" s="92"/>
      <c r="J87" s="92"/>
      <c r="K87" s="85" t="b">
        <f t="shared" si="7"/>
        <v>0</v>
      </c>
      <c r="L87" s="85" t="b">
        <f t="shared" si="8"/>
        <v>0</v>
      </c>
      <c r="M87" s="85" t="b">
        <f t="shared" si="9"/>
        <v>1</v>
      </c>
      <c r="N87" s="85" t="b">
        <f t="shared" si="5"/>
        <v>1</v>
      </c>
    </row>
    <row r="88" spans="1:14" s="85" customFormat="1" ht="15.75" x14ac:dyDescent="0.2">
      <c r="A88" s="93">
        <f t="shared" si="6"/>
        <v>87</v>
      </c>
      <c r="B88" s="87">
        <v>6500</v>
      </c>
      <c r="C88" s="87">
        <v>20000223</v>
      </c>
      <c r="D88" s="87" t="s">
        <v>53</v>
      </c>
      <c r="E88" s="89"/>
      <c r="F88" s="90"/>
      <c r="G88" s="91"/>
      <c r="H88" s="91"/>
      <c r="I88" s="92"/>
      <c r="J88" s="92"/>
      <c r="K88" s="85" t="b">
        <f t="shared" si="7"/>
        <v>0</v>
      </c>
      <c r="L88" s="85" t="b">
        <f t="shared" si="8"/>
        <v>0</v>
      </c>
      <c r="M88" s="85" t="b">
        <f t="shared" si="9"/>
        <v>1</v>
      </c>
      <c r="N88" s="85" t="b">
        <f t="shared" si="5"/>
        <v>1</v>
      </c>
    </row>
    <row r="89" spans="1:14" s="85" customFormat="1" ht="15.75" x14ac:dyDescent="0.2">
      <c r="A89" s="93">
        <f t="shared" si="6"/>
        <v>88</v>
      </c>
      <c r="B89" s="87">
        <v>6600</v>
      </c>
      <c r="C89" s="87">
        <v>20000224</v>
      </c>
      <c r="D89" s="87" t="s">
        <v>54</v>
      </c>
      <c r="E89" s="89"/>
      <c r="F89" s="90"/>
      <c r="G89" s="91"/>
      <c r="H89" s="91"/>
      <c r="I89" s="92"/>
      <c r="J89" s="92"/>
      <c r="K89" s="85" t="b">
        <f t="shared" si="7"/>
        <v>0</v>
      </c>
      <c r="L89" s="85" t="b">
        <f t="shared" si="8"/>
        <v>0</v>
      </c>
      <c r="M89" s="85" t="b">
        <f t="shared" si="9"/>
        <v>1</v>
      </c>
      <c r="N89" s="85" t="b">
        <f t="shared" si="5"/>
        <v>1</v>
      </c>
    </row>
    <row r="90" spans="1:14" s="85" customFormat="1" ht="15.75" x14ac:dyDescent="0.2">
      <c r="A90" s="93">
        <f t="shared" si="6"/>
        <v>89</v>
      </c>
      <c r="B90" s="87">
        <v>36</v>
      </c>
      <c r="C90" s="87">
        <v>20000208</v>
      </c>
      <c r="D90" s="87" t="s">
        <v>200</v>
      </c>
      <c r="E90" s="89"/>
      <c r="F90" s="90"/>
      <c r="G90" s="91"/>
      <c r="H90" s="91"/>
      <c r="I90" s="92"/>
      <c r="J90" s="92"/>
      <c r="K90" s="85" t="b">
        <f t="shared" si="7"/>
        <v>0</v>
      </c>
      <c r="L90" s="85" t="b">
        <f t="shared" si="8"/>
        <v>0</v>
      </c>
      <c r="M90" s="85" t="b">
        <f t="shared" si="9"/>
        <v>1</v>
      </c>
      <c r="N90" s="85" t="b">
        <f t="shared" si="5"/>
        <v>1</v>
      </c>
    </row>
    <row r="91" spans="1:14" s="85" customFormat="1" ht="15.75" x14ac:dyDescent="0.2">
      <c r="A91" s="93">
        <f t="shared" si="6"/>
        <v>90</v>
      </c>
      <c r="B91" s="87">
        <v>15</v>
      </c>
      <c r="C91" s="87">
        <v>20000162</v>
      </c>
      <c r="D91" s="87" t="s">
        <v>210</v>
      </c>
      <c r="E91" s="89"/>
      <c r="F91" s="90"/>
      <c r="G91" s="91"/>
      <c r="H91" s="91"/>
      <c r="I91" s="92"/>
      <c r="J91" s="92"/>
      <c r="K91" s="85" t="b">
        <f t="shared" si="7"/>
        <v>0</v>
      </c>
      <c r="L91" s="85" t="b">
        <f t="shared" si="8"/>
        <v>0</v>
      </c>
      <c r="M91" s="85" t="b">
        <f t="shared" si="9"/>
        <v>1</v>
      </c>
      <c r="N91" s="85" t="b">
        <f t="shared" si="5"/>
        <v>1</v>
      </c>
    </row>
    <row r="92" spans="1:14" s="85" customFormat="1" ht="15.75" x14ac:dyDescent="0.2">
      <c r="A92" s="93">
        <f t="shared" si="6"/>
        <v>91</v>
      </c>
      <c r="B92" s="87">
        <v>19</v>
      </c>
      <c r="C92" s="87">
        <v>20000187</v>
      </c>
      <c r="D92" s="87" t="s">
        <v>196</v>
      </c>
      <c r="E92" s="89"/>
      <c r="F92" s="90"/>
      <c r="G92" s="91"/>
      <c r="H92" s="91"/>
      <c r="I92" s="92"/>
      <c r="J92" s="92"/>
      <c r="K92" s="85" t="b">
        <f t="shared" si="7"/>
        <v>0</v>
      </c>
      <c r="L92" s="85" t="b">
        <f t="shared" si="8"/>
        <v>0</v>
      </c>
      <c r="M92" s="85" t="b">
        <f t="shared" si="9"/>
        <v>1</v>
      </c>
      <c r="N92" s="85" t="b">
        <f t="shared" si="5"/>
        <v>1</v>
      </c>
    </row>
    <row r="93" spans="1:14" s="85" customFormat="1" ht="15.75" x14ac:dyDescent="0.2">
      <c r="A93" s="93">
        <f t="shared" si="6"/>
        <v>92</v>
      </c>
      <c r="B93" s="87">
        <v>1303</v>
      </c>
      <c r="C93" s="87">
        <v>20000119</v>
      </c>
      <c r="D93" s="87" t="s">
        <v>55</v>
      </c>
      <c r="E93" s="89"/>
      <c r="F93" s="90"/>
      <c r="G93" s="91"/>
      <c r="H93" s="91"/>
      <c r="I93" s="92"/>
      <c r="J93" s="92"/>
      <c r="K93" s="85" t="b">
        <f t="shared" si="7"/>
        <v>0</v>
      </c>
      <c r="L93" s="85" t="b">
        <f t="shared" si="8"/>
        <v>0</v>
      </c>
      <c r="M93" s="85" t="b">
        <f t="shared" si="9"/>
        <v>1</v>
      </c>
      <c r="N93" s="85" t="b">
        <f t="shared" si="5"/>
        <v>1</v>
      </c>
    </row>
    <row r="94" spans="1:14" s="85" customFormat="1" ht="15.75" x14ac:dyDescent="0.2">
      <c r="A94" s="93">
        <f t="shared" si="6"/>
        <v>93</v>
      </c>
      <c r="B94" s="87">
        <v>496</v>
      </c>
      <c r="C94" s="87">
        <v>20000044</v>
      </c>
      <c r="D94" s="87" t="s">
        <v>56</v>
      </c>
      <c r="E94" s="89"/>
      <c r="F94" s="90"/>
      <c r="G94" s="91"/>
      <c r="H94" s="91"/>
      <c r="I94" s="92"/>
      <c r="J94" s="92"/>
      <c r="K94" s="85" t="b">
        <f t="shared" si="7"/>
        <v>0</v>
      </c>
      <c r="L94" s="85" t="b">
        <f t="shared" si="8"/>
        <v>0</v>
      </c>
      <c r="M94" s="85" t="b">
        <f t="shared" si="9"/>
        <v>1</v>
      </c>
      <c r="N94" s="85" t="b">
        <f t="shared" si="5"/>
        <v>1</v>
      </c>
    </row>
    <row r="95" spans="1:14" s="85" customFormat="1" ht="15.75" x14ac:dyDescent="0.2">
      <c r="A95" s="93">
        <f t="shared" si="6"/>
        <v>94</v>
      </c>
      <c r="B95" s="87">
        <v>4000</v>
      </c>
      <c r="C95" s="87">
        <v>20000182</v>
      </c>
      <c r="D95" s="87" t="s">
        <v>57</v>
      </c>
      <c r="E95" s="89"/>
      <c r="F95" s="90"/>
      <c r="G95" s="91"/>
      <c r="H95" s="91"/>
      <c r="I95" s="92"/>
      <c r="J95" s="92"/>
      <c r="K95" s="85" t="b">
        <f t="shared" si="7"/>
        <v>0</v>
      </c>
      <c r="L95" s="85" t="b">
        <f t="shared" si="8"/>
        <v>0</v>
      </c>
      <c r="M95" s="85" t="b">
        <f t="shared" si="9"/>
        <v>1</v>
      </c>
      <c r="N95" s="85" t="b">
        <f t="shared" si="5"/>
        <v>1</v>
      </c>
    </row>
    <row r="96" spans="1:14" s="85" customFormat="1" ht="15.75" x14ac:dyDescent="0.2">
      <c r="A96" s="93">
        <f t="shared" si="6"/>
        <v>95</v>
      </c>
      <c r="B96" s="87">
        <v>2034</v>
      </c>
      <c r="C96" s="87">
        <v>20000125</v>
      </c>
      <c r="D96" s="87" t="s">
        <v>58</v>
      </c>
      <c r="E96" s="89"/>
      <c r="F96" s="90"/>
      <c r="G96" s="91"/>
      <c r="H96" s="91"/>
      <c r="I96" s="92"/>
      <c r="J96" s="92"/>
      <c r="K96" s="85" t="b">
        <f t="shared" si="7"/>
        <v>0</v>
      </c>
      <c r="L96" s="85" t="b">
        <f t="shared" si="8"/>
        <v>0</v>
      </c>
      <c r="M96" s="85" t="b">
        <f t="shared" si="9"/>
        <v>1</v>
      </c>
      <c r="N96" s="85" t="b">
        <f t="shared" si="5"/>
        <v>1</v>
      </c>
    </row>
    <row r="97" spans="1:14" s="85" customFormat="1" ht="15.75" x14ac:dyDescent="0.2">
      <c r="A97" s="93">
        <f t="shared" si="6"/>
        <v>96</v>
      </c>
      <c r="B97" s="87">
        <v>1247</v>
      </c>
      <c r="C97" s="87">
        <v>20000109</v>
      </c>
      <c r="D97" s="87" t="s">
        <v>255</v>
      </c>
      <c r="E97" s="89"/>
      <c r="F97" s="90"/>
      <c r="G97" s="91"/>
      <c r="H97" s="91"/>
      <c r="I97" s="92"/>
      <c r="J97" s="92"/>
      <c r="K97" s="85" t="b">
        <f t="shared" si="7"/>
        <v>0</v>
      </c>
      <c r="L97" s="85" t="b">
        <f t="shared" si="8"/>
        <v>0</v>
      </c>
      <c r="M97" s="85" t="b">
        <f t="shared" si="9"/>
        <v>1</v>
      </c>
      <c r="N97" s="85" t="b">
        <f t="shared" si="5"/>
        <v>1</v>
      </c>
    </row>
    <row r="98" spans="1:14" s="85" customFormat="1" ht="15.75" x14ac:dyDescent="0.2">
      <c r="A98" s="93">
        <f t="shared" si="6"/>
        <v>97</v>
      </c>
      <c r="B98" s="87">
        <v>6700</v>
      </c>
      <c r="C98" s="87">
        <v>20000225</v>
      </c>
      <c r="D98" s="87" t="s">
        <v>59</v>
      </c>
      <c r="E98" s="89"/>
      <c r="F98" s="90"/>
      <c r="G98" s="91"/>
      <c r="H98" s="91"/>
      <c r="I98" s="92"/>
      <c r="J98" s="92"/>
      <c r="K98" s="85" t="b">
        <f t="shared" si="7"/>
        <v>0</v>
      </c>
      <c r="L98" s="85" t="b">
        <f t="shared" si="8"/>
        <v>0</v>
      </c>
      <c r="M98" s="85" t="b">
        <f t="shared" si="9"/>
        <v>1</v>
      </c>
      <c r="N98" s="85" t="b">
        <f t="shared" si="5"/>
        <v>1</v>
      </c>
    </row>
    <row r="99" spans="1:14" s="85" customFormat="1" ht="15.75" x14ac:dyDescent="0.2">
      <c r="A99" s="93">
        <f t="shared" si="6"/>
        <v>98</v>
      </c>
      <c r="B99" s="87">
        <v>962</v>
      </c>
      <c r="C99" s="87">
        <v>20000090</v>
      </c>
      <c r="D99" s="87" t="s">
        <v>232</v>
      </c>
      <c r="E99" s="89"/>
      <c r="F99" s="90"/>
      <c r="G99" s="91"/>
      <c r="H99" s="91"/>
      <c r="I99" s="92"/>
      <c r="J99" s="92"/>
      <c r="K99" s="85" t="b">
        <f t="shared" si="7"/>
        <v>0</v>
      </c>
      <c r="L99" s="85" t="b">
        <f t="shared" si="8"/>
        <v>0</v>
      </c>
      <c r="M99" s="85" t="b">
        <f t="shared" si="9"/>
        <v>1</v>
      </c>
      <c r="N99" s="85" t="b">
        <f t="shared" si="5"/>
        <v>1</v>
      </c>
    </row>
    <row r="100" spans="1:14" s="85" customFormat="1" ht="15.75" x14ac:dyDescent="0.2">
      <c r="A100" s="93">
        <f t="shared" si="6"/>
        <v>99</v>
      </c>
      <c r="B100" s="87">
        <v>498</v>
      </c>
      <c r="C100" s="87">
        <v>20000045</v>
      </c>
      <c r="D100" s="87" t="s">
        <v>60</v>
      </c>
      <c r="E100" s="89"/>
      <c r="F100" s="90"/>
      <c r="G100" s="91"/>
      <c r="H100" s="91"/>
      <c r="I100" s="92"/>
      <c r="J100" s="92"/>
      <c r="K100" s="85" t="b">
        <f t="shared" si="7"/>
        <v>0</v>
      </c>
      <c r="L100" s="85" t="b">
        <f t="shared" si="8"/>
        <v>0</v>
      </c>
      <c r="M100" s="85" t="b">
        <f t="shared" si="9"/>
        <v>1</v>
      </c>
      <c r="N100" s="85" t="b">
        <f t="shared" si="5"/>
        <v>1</v>
      </c>
    </row>
    <row r="101" spans="1:14" s="85" customFormat="1" ht="15.75" x14ac:dyDescent="0.2">
      <c r="A101" s="93">
        <f t="shared" si="6"/>
        <v>100</v>
      </c>
      <c r="B101" s="87">
        <v>2730</v>
      </c>
      <c r="C101" s="87">
        <v>20000156</v>
      </c>
      <c r="D101" s="87" t="s">
        <v>61</v>
      </c>
      <c r="E101" s="89"/>
      <c r="F101" s="90"/>
      <c r="G101" s="91"/>
      <c r="H101" s="91"/>
      <c r="I101" s="92"/>
      <c r="J101" s="92"/>
      <c r="K101" s="85" t="b">
        <f t="shared" si="7"/>
        <v>0</v>
      </c>
      <c r="L101" s="85" t="b">
        <f t="shared" si="8"/>
        <v>0</v>
      </c>
      <c r="M101" s="85" t="b">
        <f t="shared" si="9"/>
        <v>1</v>
      </c>
      <c r="N101" s="85" t="b">
        <f t="shared" si="5"/>
        <v>1</v>
      </c>
    </row>
    <row r="102" spans="1:14" s="85" customFormat="1" ht="15.75" x14ac:dyDescent="0.2">
      <c r="A102" s="93">
        <f t="shared" si="6"/>
        <v>101</v>
      </c>
      <c r="B102" s="87">
        <v>2720</v>
      </c>
      <c r="C102" s="87">
        <v>20000155</v>
      </c>
      <c r="D102" s="87" t="s">
        <v>62</v>
      </c>
      <c r="E102" s="89"/>
      <c r="F102" s="90"/>
      <c r="G102" s="91"/>
      <c r="H102" s="91"/>
      <c r="I102" s="92"/>
      <c r="J102" s="92"/>
      <c r="K102" s="85" t="b">
        <f t="shared" si="7"/>
        <v>0</v>
      </c>
      <c r="L102" s="85" t="b">
        <f t="shared" si="8"/>
        <v>0</v>
      </c>
      <c r="M102" s="85" t="b">
        <f t="shared" si="9"/>
        <v>1</v>
      </c>
      <c r="N102" s="85" t="b">
        <f t="shared" si="5"/>
        <v>1</v>
      </c>
    </row>
    <row r="103" spans="1:14" s="85" customFormat="1" ht="15.75" x14ac:dyDescent="0.2">
      <c r="A103" s="93">
        <f t="shared" si="6"/>
        <v>102</v>
      </c>
      <c r="B103" s="87">
        <v>2100</v>
      </c>
      <c r="C103" s="87">
        <v>20000126</v>
      </c>
      <c r="D103" s="87" t="s">
        <v>222</v>
      </c>
      <c r="E103" s="89"/>
      <c r="F103" s="90"/>
      <c r="G103" s="91"/>
      <c r="H103" s="91"/>
      <c r="I103" s="92"/>
      <c r="J103" s="92"/>
      <c r="K103" s="85" t="b">
        <f t="shared" si="7"/>
        <v>0</v>
      </c>
      <c r="L103" s="85" t="b">
        <f t="shared" si="8"/>
        <v>0</v>
      </c>
      <c r="M103" s="85" t="b">
        <f t="shared" si="9"/>
        <v>1</v>
      </c>
      <c r="N103" s="85" t="b">
        <f t="shared" si="5"/>
        <v>1</v>
      </c>
    </row>
    <row r="104" spans="1:14" s="85" customFormat="1" ht="15.75" x14ac:dyDescent="0.2">
      <c r="A104" s="93">
        <f t="shared" si="6"/>
        <v>103</v>
      </c>
      <c r="B104" s="87">
        <v>8900</v>
      </c>
      <c r="C104" s="87">
        <v>20000253</v>
      </c>
      <c r="D104" s="87" t="s">
        <v>63</v>
      </c>
      <c r="E104" s="89"/>
      <c r="F104" s="90"/>
      <c r="G104" s="91"/>
      <c r="H104" s="91"/>
      <c r="I104" s="92"/>
      <c r="J104" s="92"/>
      <c r="K104" s="85" t="b">
        <f t="shared" si="7"/>
        <v>0</v>
      </c>
      <c r="L104" s="85" t="b">
        <f t="shared" si="8"/>
        <v>0</v>
      </c>
      <c r="M104" s="85" t="b">
        <f t="shared" si="9"/>
        <v>1</v>
      </c>
      <c r="N104" s="85" t="b">
        <f t="shared" si="5"/>
        <v>1</v>
      </c>
    </row>
    <row r="105" spans="1:14" s="85" customFormat="1" ht="15.75" x14ac:dyDescent="0.2">
      <c r="A105" s="93">
        <f t="shared" si="6"/>
        <v>104</v>
      </c>
      <c r="B105" s="87">
        <v>1295</v>
      </c>
      <c r="C105" s="87">
        <v>20000117</v>
      </c>
      <c r="D105" s="87" t="s">
        <v>233</v>
      </c>
      <c r="E105" s="89"/>
      <c r="F105" s="90"/>
      <c r="G105" s="91"/>
      <c r="H105" s="91"/>
      <c r="I105" s="92"/>
      <c r="J105" s="92"/>
      <c r="K105" s="85" t="b">
        <f t="shared" si="7"/>
        <v>0</v>
      </c>
      <c r="L105" s="85" t="b">
        <f t="shared" si="8"/>
        <v>0</v>
      </c>
      <c r="M105" s="85" t="b">
        <f t="shared" si="9"/>
        <v>1</v>
      </c>
      <c r="N105" s="85" t="b">
        <f t="shared" si="5"/>
        <v>1</v>
      </c>
    </row>
    <row r="106" spans="1:14" s="85" customFormat="1" ht="15.75" x14ac:dyDescent="0.2">
      <c r="A106" s="93">
        <f t="shared" si="6"/>
        <v>105</v>
      </c>
      <c r="B106" s="87">
        <v>46</v>
      </c>
      <c r="C106" s="87">
        <v>20000007</v>
      </c>
      <c r="D106" s="87" t="s">
        <v>64</v>
      </c>
      <c r="E106" s="89"/>
      <c r="F106" s="90"/>
      <c r="G106" s="91"/>
      <c r="H106" s="91"/>
      <c r="I106" s="92"/>
      <c r="J106" s="92"/>
      <c r="K106" s="85" t="b">
        <f t="shared" si="7"/>
        <v>0</v>
      </c>
      <c r="L106" s="85" t="b">
        <f t="shared" si="8"/>
        <v>0</v>
      </c>
      <c r="M106" s="85" t="b">
        <f t="shared" si="9"/>
        <v>1</v>
      </c>
      <c r="N106" s="85" t="b">
        <f t="shared" si="5"/>
        <v>1</v>
      </c>
    </row>
    <row r="107" spans="1:14" s="85" customFormat="1" ht="15.75" x14ac:dyDescent="0.2">
      <c r="A107" s="93">
        <f t="shared" si="6"/>
        <v>106</v>
      </c>
      <c r="B107" s="87">
        <v>2660</v>
      </c>
      <c r="C107" s="87">
        <v>20000153</v>
      </c>
      <c r="D107" s="87" t="s">
        <v>65</v>
      </c>
      <c r="E107" s="89"/>
      <c r="F107" s="90"/>
      <c r="G107" s="91"/>
      <c r="H107" s="91"/>
      <c r="I107" s="92"/>
      <c r="J107" s="92"/>
      <c r="K107" s="85" t="b">
        <f t="shared" si="7"/>
        <v>0</v>
      </c>
      <c r="L107" s="85" t="b">
        <f t="shared" si="8"/>
        <v>0</v>
      </c>
      <c r="M107" s="85" t="b">
        <f t="shared" si="9"/>
        <v>1</v>
      </c>
      <c r="N107" s="85" t="b">
        <f t="shared" si="5"/>
        <v>1</v>
      </c>
    </row>
    <row r="108" spans="1:14" s="85" customFormat="1" ht="15.75" x14ac:dyDescent="0.2">
      <c r="A108" s="93">
        <f t="shared" si="6"/>
        <v>107</v>
      </c>
      <c r="B108" s="87">
        <v>9400</v>
      </c>
      <c r="C108" s="87">
        <v>20000459</v>
      </c>
      <c r="D108" s="87" t="s">
        <v>66</v>
      </c>
      <c r="E108" s="89"/>
      <c r="F108" s="90"/>
      <c r="G108" s="91"/>
      <c r="H108" s="91"/>
      <c r="I108" s="92"/>
      <c r="J108" s="92"/>
      <c r="K108" s="85" t="b">
        <f t="shared" si="7"/>
        <v>0</v>
      </c>
      <c r="L108" s="85" t="b">
        <f t="shared" si="8"/>
        <v>0</v>
      </c>
      <c r="M108" s="85" t="b">
        <f t="shared" si="9"/>
        <v>1</v>
      </c>
      <c r="N108" s="85" t="b">
        <f t="shared" si="5"/>
        <v>1</v>
      </c>
    </row>
    <row r="109" spans="1:14" s="85" customFormat="1" ht="15.75" x14ac:dyDescent="0.2">
      <c r="A109" s="93">
        <f t="shared" si="6"/>
        <v>108</v>
      </c>
      <c r="B109" s="87">
        <v>35</v>
      </c>
      <c r="C109" s="87">
        <v>20000207</v>
      </c>
      <c r="D109" s="87" t="s">
        <v>182</v>
      </c>
      <c r="E109" s="89"/>
      <c r="F109" s="90"/>
      <c r="G109" s="91"/>
      <c r="H109" s="91"/>
      <c r="I109" s="92"/>
      <c r="J109" s="92"/>
      <c r="K109" s="85" t="b">
        <f t="shared" si="7"/>
        <v>0</v>
      </c>
      <c r="L109" s="85" t="b">
        <f t="shared" si="8"/>
        <v>0</v>
      </c>
      <c r="M109" s="85" t="b">
        <f t="shared" si="9"/>
        <v>1</v>
      </c>
      <c r="N109" s="85" t="b">
        <f t="shared" si="5"/>
        <v>1</v>
      </c>
    </row>
    <row r="110" spans="1:14" s="85" customFormat="1" ht="15.75" x14ac:dyDescent="0.2">
      <c r="A110" s="93">
        <f t="shared" si="6"/>
        <v>109</v>
      </c>
      <c r="B110" s="87">
        <v>29</v>
      </c>
      <c r="C110" s="87">
        <v>20000003</v>
      </c>
      <c r="D110" s="87" t="s">
        <v>67</v>
      </c>
      <c r="E110" s="89"/>
      <c r="F110" s="90"/>
      <c r="G110" s="91"/>
      <c r="H110" s="91"/>
      <c r="I110" s="92"/>
      <c r="J110" s="92"/>
      <c r="K110" s="85" t="b">
        <f t="shared" si="7"/>
        <v>0</v>
      </c>
      <c r="L110" s="85" t="b">
        <f t="shared" si="8"/>
        <v>0</v>
      </c>
      <c r="M110" s="85" t="b">
        <f t="shared" si="9"/>
        <v>1</v>
      </c>
      <c r="N110" s="85" t="b">
        <f t="shared" si="5"/>
        <v>1</v>
      </c>
    </row>
    <row r="111" spans="1:14" s="85" customFormat="1" ht="15.75" x14ac:dyDescent="0.2">
      <c r="A111" s="93">
        <f t="shared" si="6"/>
        <v>110</v>
      </c>
      <c r="B111" s="87">
        <v>499</v>
      </c>
      <c r="C111" s="87">
        <v>20000046</v>
      </c>
      <c r="D111" s="87" t="s">
        <v>68</v>
      </c>
      <c r="E111" s="89"/>
      <c r="F111" s="90"/>
      <c r="G111" s="91"/>
      <c r="H111" s="91"/>
      <c r="I111" s="92"/>
      <c r="J111" s="92"/>
      <c r="K111" s="85" t="b">
        <f t="shared" si="7"/>
        <v>0</v>
      </c>
      <c r="L111" s="85" t="b">
        <f t="shared" si="8"/>
        <v>0</v>
      </c>
      <c r="M111" s="85" t="b">
        <f t="shared" si="9"/>
        <v>1</v>
      </c>
      <c r="N111" s="85" t="b">
        <f t="shared" si="5"/>
        <v>1</v>
      </c>
    </row>
    <row r="112" spans="1:14" s="85" customFormat="1" ht="15.75" x14ac:dyDescent="0.2">
      <c r="A112" s="93">
        <f t="shared" si="6"/>
        <v>111</v>
      </c>
      <c r="B112" s="87">
        <v>240</v>
      </c>
      <c r="C112" s="87">
        <v>20000025</v>
      </c>
      <c r="D112" s="87" t="s">
        <v>69</v>
      </c>
      <c r="E112" s="89"/>
      <c r="F112" s="90"/>
      <c r="G112" s="91"/>
      <c r="H112" s="91"/>
      <c r="I112" s="92"/>
      <c r="J112" s="92"/>
      <c r="K112" s="85" t="b">
        <f t="shared" si="7"/>
        <v>0</v>
      </c>
      <c r="L112" s="85" t="b">
        <f t="shared" si="8"/>
        <v>0</v>
      </c>
      <c r="M112" s="85" t="b">
        <f t="shared" si="9"/>
        <v>1</v>
      </c>
      <c r="N112" s="85" t="b">
        <f t="shared" si="5"/>
        <v>1</v>
      </c>
    </row>
    <row r="113" spans="1:14" s="85" customFormat="1" ht="15.75" x14ac:dyDescent="0.2">
      <c r="A113" s="93">
        <f t="shared" si="6"/>
        <v>112</v>
      </c>
      <c r="B113" s="87">
        <v>831</v>
      </c>
      <c r="C113" s="87">
        <v>20000085</v>
      </c>
      <c r="D113" s="87" t="s">
        <v>70</v>
      </c>
      <c r="E113" s="89"/>
      <c r="F113" s="90"/>
      <c r="G113" s="91"/>
      <c r="H113" s="91"/>
      <c r="I113" s="92"/>
      <c r="J113" s="92"/>
      <c r="K113" s="85" t="b">
        <f t="shared" si="7"/>
        <v>0</v>
      </c>
      <c r="L113" s="85" t="b">
        <f t="shared" si="8"/>
        <v>0</v>
      </c>
      <c r="M113" s="85" t="b">
        <f t="shared" si="9"/>
        <v>1</v>
      </c>
      <c r="N113" s="85" t="b">
        <f t="shared" si="5"/>
        <v>1</v>
      </c>
    </row>
    <row r="114" spans="1:14" s="85" customFormat="1" ht="15.75" x14ac:dyDescent="0.2">
      <c r="A114" s="93">
        <f t="shared" si="6"/>
        <v>113</v>
      </c>
      <c r="B114" s="87">
        <v>3000</v>
      </c>
      <c r="C114" s="87">
        <v>20000159</v>
      </c>
      <c r="D114" s="87" t="s">
        <v>71</v>
      </c>
      <c r="E114" s="89"/>
      <c r="F114" s="90"/>
      <c r="G114" s="91"/>
      <c r="H114" s="91"/>
      <c r="I114" s="92"/>
      <c r="J114" s="92"/>
      <c r="K114" s="85" t="b">
        <f t="shared" si="7"/>
        <v>0</v>
      </c>
      <c r="L114" s="85" t="b">
        <f t="shared" si="8"/>
        <v>0</v>
      </c>
      <c r="M114" s="85" t="b">
        <f t="shared" si="9"/>
        <v>1</v>
      </c>
      <c r="N114" s="85" t="b">
        <f t="shared" si="5"/>
        <v>1</v>
      </c>
    </row>
    <row r="115" spans="1:14" s="85" customFormat="1" ht="15.75" x14ac:dyDescent="0.2">
      <c r="A115" s="93">
        <f t="shared" si="6"/>
        <v>114</v>
      </c>
      <c r="B115" s="87">
        <v>502</v>
      </c>
      <c r="C115" s="87">
        <v>20000047</v>
      </c>
      <c r="D115" s="87" t="s">
        <v>72</v>
      </c>
      <c r="E115" s="89"/>
      <c r="F115" s="90"/>
      <c r="G115" s="91"/>
      <c r="H115" s="91"/>
      <c r="I115" s="92"/>
      <c r="J115" s="92"/>
      <c r="K115" s="85" t="b">
        <f t="shared" si="7"/>
        <v>0</v>
      </c>
      <c r="L115" s="85" t="b">
        <f t="shared" si="8"/>
        <v>0</v>
      </c>
      <c r="M115" s="85" t="b">
        <f t="shared" si="9"/>
        <v>1</v>
      </c>
      <c r="N115" s="85" t="b">
        <f t="shared" si="5"/>
        <v>1</v>
      </c>
    </row>
    <row r="116" spans="1:14" s="85" customFormat="1" ht="15.75" x14ac:dyDescent="0.2">
      <c r="A116" s="93">
        <f t="shared" si="6"/>
        <v>115</v>
      </c>
      <c r="B116" s="87">
        <v>504</v>
      </c>
      <c r="C116" s="87">
        <v>20000048</v>
      </c>
      <c r="D116" s="87" t="s">
        <v>73</v>
      </c>
      <c r="E116" s="89"/>
      <c r="F116" s="90"/>
      <c r="G116" s="91"/>
      <c r="H116" s="91"/>
      <c r="I116" s="92"/>
      <c r="J116" s="92"/>
      <c r="K116" s="85" t="b">
        <f t="shared" si="7"/>
        <v>0</v>
      </c>
      <c r="L116" s="85" t="b">
        <f t="shared" si="8"/>
        <v>0</v>
      </c>
      <c r="M116" s="85" t="b">
        <f t="shared" si="9"/>
        <v>1</v>
      </c>
      <c r="N116" s="85" t="b">
        <f t="shared" si="5"/>
        <v>1</v>
      </c>
    </row>
    <row r="117" spans="1:14" s="85" customFormat="1" ht="15.75" x14ac:dyDescent="0.2">
      <c r="A117" s="93">
        <f t="shared" si="6"/>
        <v>116</v>
      </c>
      <c r="B117" s="87">
        <v>505</v>
      </c>
      <c r="C117" s="87">
        <v>20000049</v>
      </c>
      <c r="D117" s="87" t="s">
        <v>234</v>
      </c>
      <c r="E117" s="89"/>
      <c r="F117" s="90"/>
      <c r="G117" s="91"/>
      <c r="H117" s="91"/>
      <c r="I117" s="92"/>
      <c r="J117" s="92"/>
      <c r="K117" s="85" t="b">
        <f t="shared" si="7"/>
        <v>0</v>
      </c>
      <c r="L117" s="85" t="b">
        <f t="shared" si="8"/>
        <v>0</v>
      </c>
      <c r="M117" s="85" t="b">
        <f t="shared" si="9"/>
        <v>1</v>
      </c>
      <c r="N117" s="85" t="b">
        <f t="shared" si="5"/>
        <v>1</v>
      </c>
    </row>
    <row r="118" spans="1:14" s="85" customFormat="1" ht="15.75" x14ac:dyDescent="0.2">
      <c r="A118" s="93">
        <f t="shared" si="6"/>
        <v>117</v>
      </c>
      <c r="B118" s="87">
        <v>1224</v>
      </c>
      <c r="C118" s="87">
        <v>20000108</v>
      </c>
      <c r="D118" s="87" t="s">
        <v>74</v>
      </c>
      <c r="E118" s="89"/>
      <c r="F118" s="90"/>
      <c r="G118" s="91"/>
      <c r="H118" s="91"/>
      <c r="I118" s="92"/>
      <c r="J118" s="92"/>
      <c r="K118" s="85" t="b">
        <f t="shared" si="7"/>
        <v>0</v>
      </c>
      <c r="L118" s="85" t="b">
        <f t="shared" si="8"/>
        <v>0</v>
      </c>
      <c r="M118" s="85" t="b">
        <f t="shared" si="9"/>
        <v>1</v>
      </c>
      <c r="N118" s="85" t="b">
        <f t="shared" si="5"/>
        <v>1</v>
      </c>
    </row>
    <row r="119" spans="1:14" s="85" customFormat="1" ht="15.75" x14ac:dyDescent="0.2">
      <c r="A119" s="93">
        <f t="shared" si="6"/>
        <v>118</v>
      </c>
      <c r="B119" s="87">
        <v>1059</v>
      </c>
      <c r="C119" s="87">
        <v>20000099</v>
      </c>
      <c r="D119" s="87" t="s">
        <v>75</v>
      </c>
      <c r="E119" s="89"/>
      <c r="F119" s="90"/>
      <c r="G119" s="91"/>
      <c r="H119" s="91"/>
      <c r="I119" s="92"/>
      <c r="J119" s="92"/>
      <c r="K119" s="85" t="b">
        <f t="shared" si="7"/>
        <v>0</v>
      </c>
      <c r="L119" s="85" t="b">
        <f t="shared" si="8"/>
        <v>0</v>
      </c>
      <c r="M119" s="85" t="b">
        <f t="shared" si="9"/>
        <v>1</v>
      </c>
      <c r="N119" s="85" t="b">
        <f t="shared" si="5"/>
        <v>1</v>
      </c>
    </row>
    <row r="120" spans="1:14" s="85" customFormat="1" ht="15.75" x14ac:dyDescent="0.2">
      <c r="A120" s="93">
        <f t="shared" si="6"/>
        <v>119</v>
      </c>
      <c r="B120" s="87">
        <v>1296</v>
      </c>
      <c r="C120" s="87">
        <v>20000118</v>
      </c>
      <c r="D120" s="87" t="s">
        <v>76</v>
      </c>
      <c r="E120" s="89"/>
      <c r="F120" s="90"/>
      <c r="G120" s="91"/>
      <c r="H120" s="91"/>
      <c r="I120" s="92"/>
      <c r="J120" s="92"/>
      <c r="K120" s="85" t="b">
        <f t="shared" si="7"/>
        <v>0</v>
      </c>
      <c r="L120" s="85" t="b">
        <f t="shared" si="8"/>
        <v>0</v>
      </c>
      <c r="M120" s="85" t="b">
        <f t="shared" si="9"/>
        <v>1</v>
      </c>
      <c r="N120" s="85" t="b">
        <f t="shared" si="5"/>
        <v>1</v>
      </c>
    </row>
    <row r="121" spans="1:14" s="85" customFormat="1" ht="30" x14ac:dyDescent="0.2">
      <c r="A121" s="93">
        <f t="shared" si="6"/>
        <v>120</v>
      </c>
      <c r="B121" s="87">
        <v>978</v>
      </c>
      <c r="C121" s="87">
        <v>20000091</v>
      </c>
      <c r="D121" s="87" t="s">
        <v>235</v>
      </c>
      <c r="E121" s="89"/>
      <c r="F121" s="90"/>
      <c r="G121" s="91"/>
      <c r="H121" s="91"/>
      <c r="I121" s="92"/>
      <c r="J121" s="92"/>
      <c r="K121" s="85" t="b">
        <f t="shared" si="7"/>
        <v>0</v>
      </c>
      <c r="L121" s="85" t="b">
        <f t="shared" si="8"/>
        <v>0</v>
      </c>
      <c r="M121" s="85" t="b">
        <f t="shared" si="9"/>
        <v>1</v>
      </c>
      <c r="N121" s="85" t="b">
        <f t="shared" si="5"/>
        <v>1</v>
      </c>
    </row>
    <row r="122" spans="1:14" s="85" customFormat="1" ht="15.75" x14ac:dyDescent="0.2">
      <c r="A122" s="93">
        <f t="shared" si="6"/>
        <v>121</v>
      </c>
      <c r="B122" s="87">
        <v>633</v>
      </c>
      <c r="C122" s="87">
        <v>20000077</v>
      </c>
      <c r="D122" s="87" t="s">
        <v>77</v>
      </c>
      <c r="E122" s="89"/>
      <c r="F122" s="90"/>
      <c r="G122" s="91"/>
      <c r="H122" s="91"/>
      <c r="I122" s="92"/>
      <c r="J122" s="92"/>
      <c r="K122" s="85" t="b">
        <f t="shared" si="7"/>
        <v>0</v>
      </c>
      <c r="L122" s="85" t="b">
        <f t="shared" si="8"/>
        <v>0</v>
      </c>
      <c r="M122" s="85" t="b">
        <f t="shared" si="9"/>
        <v>1</v>
      </c>
      <c r="N122" s="85" t="b">
        <f t="shared" si="5"/>
        <v>1</v>
      </c>
    </row>
    <row r="123" spans="1:14" s="85" customFormat="1" ht="15.75" x14ac:dyDescent="0.2">
      <c r="A123" s="93">
        <f t="shared" si="6"/>
        <v>122</v>
      </c>
      <c r="B123" s="87">
        <v>1263</v>
      </c>
      <c r="C123" s="87">
        <v>20000110</v>
      </c>
      <c r="D123" s="87" t="s">
        <v>78</v>
      </c>
      <c r="E123" s="89"/>
      <c r="F123" s="90"/>
      <c r="G123" s="91"/>
      <c r="H123" s="91"/>
      <c r="I123" s="92"/>
      <c r="J123" s="92"/>
      <c r="K123" s="85" t="b">
        <f t="shared" si="7"/>
        <v>0</v>
      </c>
      <c r="L123" s="85" t="b">
        <f t="shared" si="8"/>
        <v>0</v>
      </c>
      <c r="M123" s="85" t="b">
        <f t="shared" si="9"/>
        <v>1</v>
      </c>
      <c r="N123" s="85" t="b">
        <f t="shared" si="5"/>
        <v>1</v>
      </c>
    </row>
    <row r="124" spans="1:14" s="85" customFormat="1" ht="15.75" x14ac:dyDescent="0.2">
      <c r="A124" s="93">
        <f t="shared" si="6"/>
        <v>123</v>
      </c>
      <c r="B124" s="87">
        <v>507</v>
      </c>
      <c r="C124" s="87">
        <v>20000050</v>
      </c>
      <c r="D124" s="87" t="s">
        <v>79</v>
      </c>
      <c r="E124" s="89"/>
      <c r="F124" s="90"/>
      <c r="G124" s="91"/>
      <c r="H124" s="91"/>
      <c r="I124" s="92"/>
      <c r="J124" s="92"/>
      <c r="K124" s="85" t="b">
        <f t="shared" si="7"/>
        <v>0</v>
      </c>
      <c r="L124" s="85" t="b">
        <f t="shared" si="8"/>
        <v>0</v>
      </c>
      <c r="M124" s="85" t="b">
        <f t="shared" si="9"/>
        <v>1</v>
      </c>
      <c r="N124" s="85" t="b">
        <f t="shared" si="5"/>
        <v>1</v>
      </c>
    </row>
    <row r="125" spans="1:14" s="85" customFormat="1" ht="15.75" x14ac:dyDescent="0.2">
      <c r="A125" s="93">
        <f t="shared" si="6"/>
        <v>124</v>
      </c>
      <c r="B125" s="87">
        <v>168</v>
      </c>
      <c r="C125" s="87">
        <v>20000019</v>
      </c>
      <c r="D125" s="87" t="s">
        <v>80</v>
      </c>
      <c r="E125" s="89"/>
      <c r="F125" s="90"/>
      <c r="G125" s="91"/>
      <c r="H125" s="91"/>
      <c r="I125" s="92"/>
      <c r="J125" s="92"/>
      <c r="K125" s="85" t="b">
        <f t="shared" si="7"/>
        <v>0</v>
      </c>
      <c r="L125" s="85" t="b">
        <f t="shared" si="8"/>
        <v>0</v>
      </c>
      <c r="M125" s="85" t="b">
        <f t="shared" si="9"/>
        <v>1</v>
      </c>
      <c r="N125" s="85" t="b">
        <f t="shared" si="5"/>
        <v>1</v>
      </c>
    </row>
    <row r="126" spans="1:14" s="85" customFormat="1" ht="15.75" x14ac:dyDescent="0.2">
      <c r="A126" s="93">
        <f t="shared" si="6"/>
        <v>125</v>
      </c>
      <c r="B126" s="87">
        <v>508</v>
      </c>
      <c r="C126" s="87">
        <v>20000051</v>
      </c>
      <c r="D126" s="87" t="s">
        <v>81</v>
      </c>
      <c r="E126" s="89"/>
      <c r="F126" s="90"/>
      <c r="G126" s="91"/>
      <c r="H126" s="91"/>
      <c r="I126" s="92"/>
      <c r="J126" s="92"/>
      <c r="K126" s="85" t="b">
        <f t="shared" si="7"/>
        <v>0</v>
      </c>
      <c r="L126" s="85" t="b">
        <f t="shared" si="8"/>
        <v>0</v>
      </c>
      <c r="M126" s="85" t="b">
        <f t="shared" si="9"/>
        <v>1</v>
      </c>
      <c r="N126" s="85" t="b">
        <f t="shared" si="5"/>
        <v>1</v>
      </c>
    </row>
    <row r="127" spans="1:14" s="85" customFormat="1" ht="15.75" x14ac:dyDescent="0.2">
      <c r="A127" s="93">
        <f t="shared" si="6"/>
        <v>126</v>
      </c>
      <c r="B127" s="87">
        <v>509</v>
      </c>
      <c r="C127" s="87">
        <v>20000052</v>
      </c>
      <c r="D127" s="87" t="s">
        <v>82</v>
      </c>
      <c r="E127" s="89"/>
      <c r="F127" s="90"/>
      <c r="G127" s="91"/>
      <c r="H127" s="91"/>
      <c r="I127" s="92"/>
      <c r="J127" s="92"/>
      <c r="K127" s="85" t="b">
        <f t="shared" si="7"/>
        <v>0</v>
      </c>
      <c r="L127" s="85" t="b">
        <f t="shared" si="8"/>
        <v>0</v>
      </c>
      <c r="M127" s="85" t="b">
        <f t="shared" si="9"/>
        <v>1</v>
      </c>
      <c r="N127" s="85" t="b">
        <f t="shared" si="5"/>
        <v>1</v>
      </c>
    </row>
    <row r="128" spans="1:14" s="85" customFormat="1" ht="15.75" x14ac:dyDescent="0.2">
      <c r="A128" s="93">
        <f t="shared" si="6"/>
        <v>127</v>
      </c>
      <c r="B128" s="87">
        <v>510</v>
      </c>
      <c r="C128" s="87">
        <v>20000053</v>
      </c>
      <c r="D128" s="87" t="s">
        <v>83</v>
      </c>
      <c r="E128" s="89"/>
      <c r="F128" s="90"/>
      <c r="G128" s="91"/>
      <c r="H128" s="91"/>
      <c r="I128" s="92"/>
      <c r="J128" s="92"/>
      <c r="K128" s="85" t="b">
        <f t="shared" si="7"/>
        <v>0</v>
      </c>
      <c r="L128" s="85" t="b">
        <f t="shared" si="8"/>
        <v>0</v>
      </c>
      <c r="M128" s="85" t="b">
        <f t="shared" si="9"/>
        <v>1</v>
      </c>
      <c r="N128" s="85" t="b">
        <f t="shared" si="5"/>
        <v>1</v>
      </c>
    </row>
    <row r="129" spans="1:14" s="85" customFormat="1" ht="15.75" x14ac:dyDescent="0.2">
      <c r="A129" s="93">
        <f t="shared" si="6"/>
        <v>128</v>
      </c>
      <c r="B129" s="87">
        <v>6900</v>
      </c>
      <c r="C129" s="87">
        <v>20000227</v>
      </c>
      <c r="D129" s="87" t="s">
        <v>84</v>
      </c>
      <c r="E129" s="89"/>
      <c r="F129" s="90"/>
      <c r="G129" s="91"/>
      <c r="H129" s="91"/>
      <c r="I129" s="92"/>
      <c r="J129" s="92"/>
      <c r="K129" s="85" t="b">
        <f t="shared" si="7"/>
        <v>0</v>
      </c>
      <c r="L129" s="85" t="b">
        <f t="shared" si="8"/>
        <v>0</v>
      </c>
      <c r="M129" s="85" t="b">
        <f t="shared" si="9"/>
        <v>1</v>
      </c>
      <c r="N129" s="85" t="b">
        <f t="shared" si="5"/>
        <v>1</v>
      </c>
    </row>
    <row r="130" spans="1:14" s="85" customFormat="1" ht="15.75" x14ac:dyDescent="0.2">
      <c r="A130" s="93">
        <f t="shared" si="6"/>
        <v>129</v>
      </c>
      <c r="B130" s="87">
        <v>634</v>
      </c>
      <c r="C130" s="87">
        <v>20000078</v>
      </c>
      <c r="D130" s="87" t="s">
        <v>85</v>
      </c>
      <c r="E130" s="89"/>
      <c r="F130" s="90"/>
      <c r="G130" s="91"/>
      <c r="H130" s="91"/>
      <c r="I130" s="92"/>
      <c r="J130" s="92"/>
      <c r="K130" s="85" t="b">
        <f t="shared" si="7"/>
        <v>0</v>
      </c>
      <c r="L130" s="85" t="b">
        <f t="shared" si="8"/>
        <v>0</v>
      </c>
      <c r="M130" s="85" t="b">
        <f t="shared" si="9"/>
        <v>1</v>
      </c>
      <c r="N130" s="85" t="b">
        <f t="shared" ref="N130:N193" si="10">OR(H130&lt;=6,AND(I130=1,H130&lt;=7),AND(G130&lt;=2,H130&lt;=7))</f>
        <v>1</v>
      </c>
    </row>
    <row r="131" spans="1:14" s="85" customFormat="1" ht="15.75" x14ac:dyDescent="0.2">
      <c r="A131" s="93">
        <f t="shared" ref="A131:A194" si="11">IF(D131="","",A130+1)</f>
        <v>130</v>
      </c>
      <c r="B131" s="87">
        <v>654</v>
      </c>
      <c r="C131" s="87">
        <v>20000081</v>
      </c>
      <c r="D131" s="87" t="s">
        <v>86</v>
      </c>
      <c r="E131" s="89"/>
      <c r="F131" s="90"/>
      <c r="G131" s="91"/>
      <c r="H131" s="91"/>
      <c r="I131" s="92"/>
      <c r="J131" s="92"/>
      <c r="K131" s="85" t="b">
        <f t="shared" ref="K131:K194" si="12">AND(G131&gt;0,G131&lt;=10)</f>
        <v>0</v>
      </c>
      <c r="L131" s="85" t="b">
        <f t="shared" ref="L131:L194" si="13">AND(H131&gt;0,H131&lt;=10)</f>
        <v>0</v>
      </c>
      <c r="M131" s="85" t="b">
        <f t="shared" ref="M131:M194" si="14">OR(I131=0,I131=1)</f>
        <v>1</v>
      </c>
      <c r="N131" s="85" t="b">
        <f t="shared" si="10"/>
        <v>1</v>
      </c>
    </row>
    <row r="132" spans="1:14" s="85" customFormat="1" ht="15.75" x14ac:dyDescent="0.2">
      <c r="A132" s="93">
        <f t="shared" si="11"/>
        <v>131</v>
      </c>
      <c r="B132" s="87">
        <v>267</v>
      </c>
      <c r="C132" s="87">
        <v>20000027</v>
      </c>
      <c r="D132" s="87" t="s">
        <v>87</v>
      </c>
      <c r="E132" s="89"/>
      <c r="F132" s="90"/>
      <c r="G132" s="91"/>
      <c r="H132" s="91"/>
      <c r="I132" s="92"/>
      <c r="J132" s="92"/>
      <c r="K132" s="85" t="b">
        <f t="shared" si="12"/>
        <v>0</v>
      </c>
      <c r="L132" s="85" t="b">
        <f t="shared" si="13"/>
        <v>0</v>
      </c>
      <c r="M132" s="85" t="b">
        <f t="shared" si="14"/>
        <v>1</v>
      </c>
      <c r="N132" s="85" t="b">
        <f t="shared" si="10"/>
        <v>1</v>
      </c>
    </row>
    <row r="133" spans="1:14" s="85" customFormat="1" ht="15.75" x14ac:dyDescent="0.2">
      <c r="A133" s="93">
        <f t="shared" si="11"/>
        <v>132</v>
      </c>
      <c r="B133" s="87">
        <v>47</v>
      </c>
      <c r="C133" s="87">
        <v>20000008</v>
      </c>
      <c r="D133" s="87" t="s">
        <v>88</v>
      </c>
      <c r="E133" s="89"/>
      <c r="F133" s="90"/>
      <c r="G133" s="91"/>
      <c r="H133" s="91"/>
      <c r="I133" s="92"/>
      <c r="J133" s="92"/>
      <c r="K133" s="85" t="b">
        <f t="shared" si="12"/>
        <v>0</v>
      </c>
      <c r="L133" s="85" t="b">
        <f t="shared" si="13"/>
        <v>0</v>
      </c>
      <c r="M133" s="85" t="b">
        <f t="shared" si="14"/>
        <v>1</v>
      </c>
      <c r="N133" s="85" t="b">
        <f t="shared" si="10"/>
        <v>1</v>
      </c>
    </row>
    <row r="134" spans="1:14" s="85" customFormat="1" ht="15.75" x14ac:dyDescent="0.2">
      <c r="A134" s="93">
        <f t="shared" si="11"/>
        <v>133</v>
      </c>
      <c r="B134" s="87">
        <v>1139</v>
      </c>
      <c r="C134" s="87">
        <v>20000105</v>
      </c>
      <c r="D134" s="87" t="s">
        <v>89</v>
      </c>
      <c r="E134" s="89"/>
      <c r="F134" s="90"/>
      <c r="G134" s="91"/>
      <c r="H134" s="91"/>
      <c r="I134" s="92"/>
      <c r="J134" s="92"/>
      <c r="K134" s="85" t="b">
        <f t="shared" si="12"/>
        <v>0</v>
      </c>
      <c r="L134" s="85" t="b">
        <f t="shared" si="13"/>
        <v>0</v>
      </c>
      <c r="M134" s="85" t="b">
        <f t="shared" si="14"/>
        <v>1</v>
      </c>
      <c r="N134" s="85" t="b">
        <f t="shared" si="10"/>
        <v>1</v>
      </c>
    </row>
    <row r="135" spans="1:14" s="85" customFormat="1" ht="15.75" x14ac:dyDescent="0.2">
      <c r="A135" s="93">
        <f t="shared" si="11"/>
        <v>134</v>
      </c>
      <c r="B135" s="87">
        <v>18</v>
      </c>
      <c r="C135" s="87">
        <v>20000186</v>
      </c>
      <c r="D135" s="87" t="s">
        <v>206</v>
      </c>
      <c r="E135" s="89"/>
      <c r="F135" s="90"/>
      <c r="G135" s="91"/>
      <c r="H135" s="91"/>
      <c r="I135" s="92"/>
      <c r="J135" s="92"/>
      <c r="K135" s="85" t="b">
        <f t="shared" si="12"/>
        <v>0</v>
      </c>
      <c r="L135" s="85" t="b">
        <f t="shared" si="13"/>
        <v>0</v>
      </c>
      <c r="M135" s="85" t="b">
        <f t="shared" si="14"/>
        <v>1</v>
      </c>
      <c r="N135" s="85" t="b">
        <f t="shared" si="10"/>
        <v>1</v>
      </c>
    </row>
    <row r="136" spans="1:14" s="85" customFormat="1" ht="15.75" x14ac:dyDescent="0.2">
      <c r="A136" s="93">
        <f t="shared" si="11"/>
        <v>135</v>
      </c>
      <c r="B136" s="87">
        <v>1271</v>
      </c>
      <c r="C136" s="87">
        <v>20000112</v>
      </c>
      <c r="D136" s="87" t="s">
        <v>90</v>
      </c>
      <c r="E136" s="89"/>
      <c r="F136" s="90"/>
      <c r="G136" s="91"/>
      <c r="H136" s="91"/>
      <c r="I136" s="92"/>
      <c r="J136" s="92"/>
      <c r="K136" s="85" t="b">
        <f t="shared" si="12"/>
        <v>0</v>
      </c>
      <c r="L136" s="85" t="b">
        <f t="shared" si="13"/>
        <v>0</v>
      </c>
      <c r="M136" s="85" t="b">
        <f t="shared" si="14"/>
        <v>1</v>
      </c>
      <c r="N136" s="85" t="b">
        <f t="shared" si="10"/>
        <v>1</v>
      </c>
    </row>
    <row r="137" spans="1:14" s="85" customFormat="1" ht="15.75" x14ac:dyDescent="0.2">
      <c r="A137" s="93">
        <f t="shared" si="11"/>
        <v>136</v>
      </c>
      <c r="B137" s="87">
        <v>7000</v>
      </c>
      <c r="C137" s="87">
        <v>20000228</v>
      </c>
      <c r="D137" s="87" t="s">
        <v>91</v>
      </c>
      <c r="E137" s="89"/>
      <c r="F137" s="90"/>
      <c r="G137" s="91"/>
      <c r="H137" s="91"/>
      <c r="I137" s="92"/>
      <c r="J137" s="92"/>
      <c r="K137" s="85" t="b">
        <f t="shared" si="12"/>
        <v>0</v>
      </c>
      <c r="L137" s="85" t="b">
        <f t="shared" si="13"/>
        <v>0</v>
      </c>
      <c r="M137" s="85" t="b">
        <f t="shared" si="14"/>
        <v>1</v>
      </c>
      <c r="N137" s="85" t="b">
        <f t="shared" si="10"/>
        <v>1</v>
      </c>
    </row>
    <row r="138" spans="1:14" s="85" customFormat="1" ht="15.75" x14ac:dyDescent="0.2">
      <c r="A138" s="93">
        <f t="shared" si="11"/>
        <v>137</v>
      </c>
      <c r="B138" s="87">
        <v>50</v>
      </c>
      <c r="C138" s="87">
        <v>20000210</v>
      </c>
      <c r="D138" s="87" t="s">
        <v>186</v>
      </c>
      <c r="E138" s="89"/>
      <c r="F138" s="90"/>
      <c r="G138" s="91"/>
      <c r="H138" s="91"/>
      <c r="I138" s="92"/>
      <c r="J138" s="92"/>
      <c r="K138" s="85" t="b">
        <f t="shared" si="12"/>
        <v>0</v>
      </c>
      <c r="L138" s="85" t="b">
        <f t="shared" si="13"/>
        <v>0</v>
      </c>
      <c r="M138" s="85" t="b">
        <f t="shared" si="14"/>
        <v>1</v>
      </c>
      <c r="N138" s="85" t="b">
        <f t="shared" si="10"/>
        <v>1</v>
      </c>
    </row>
    <row r="139" spans="1:14" s="85" customFormat="1" ht="15.75" x14ac:dyDescent="0.2">
      <c r="A139" s="93">
        <f t="shared" si="11"/>
        <v>138</v>
      </c>
      <c r="B139" s="87">
        <v>1060</v>
      </c>
      <c r="C139" s="87">
        <v>20000297</v>
      </c>
      <c r="D139" s="87" t="s">
        <v>92</v>
      </c>
      <c r="E139" s="89"/>
      <c r="F139" s="90"/>
      <c r="G139" s="91"/>
      <c r="H139" s="91"/>
      <c r="I139" s="92"/>
      <c r="J139" s="92"/>
      <c r="K139" s="85" t="b">
        <f t="shared" si="12"/>
        <v>0</v>
      </c>
      <c r="L139" s="85" t="b">
        <f t="shared" si="13"/>
        <v>0</v>
      </c>
      <c r="M139" s="85" t="b">
        <f t="shared" si="14"/>
        <v>1</v>
      </c>
      <c r="N139" s="85" t="b">
        <f t="shared" si="10"/>
        <v>1</v>
      </c>
    </row>
    <row r="140" spans="1:14" s="85" customFormat="1" ht="15.75" x14ac:dyDescent="0.2">
      <c r="A140" s="93">
        <f t="shared" si="11"/>
        <v>139</v>
      </c>
      <c r="B140" s="87">
        <v>55</v>
      </c>
      <c r="C140" s="87">
        <v>20000129</v>
      </c>
      <c r="D140" s="87" t="s">
        <v>249</v>
      </c>
      <c r="E140" s="89"/>
      <c r="F140" s="90"/>
      <c r="G140" s="91"/>
      <c r="H140" s="91"/>
      <c r="I140" s="92"/>
      <c r="J140" s="92"/>
      <c r="K140" s="85" t="b">
        <f t="shared" si="12"/>
        <v>0</v>
      </c>
      <c r="L140" s="85" t="b">
        <f t="shared" si="13"/>
        <v>0</v>
      </c>
      <c r="M140" s="85" t="b">
        <f t="shared" si="14"/>
        <v>1</v>
      </c>
      <c r="N140" s="85" t="b">
        <f t="shared" si="10"/>
        <v>1</v>
      </c>
    </row>
    <row r="141" spans="1:14" s="85" customFormat="1" ht="15.75" x14ac:dyDescent="0.2">
      <c r="A141" s="93">
        <f t="shared" si="11"/>
        <v>140</v>
      </c>
      <c r="B141" s="87">
        <v>1015</v>
      </c>
      <c r="C141" s="87">
        <v>20000093</v>
      </c>
      <c r="D141" s="87" t="s">
        <v>93</v>
      </c>
      <c r="E141" s="89"/>
      <c r="F141" s="90"/>
      <c r="G141" s="91"/>
      <c r="H141" s="91"/>
      <c r="I141" s="92"/>
      <c r="J141" s="92"/>
      <c r="K141" s="85" t="b">
        <f t="shared" si="12"/>
        <v>0</v>
      </c>
      <c r="L141" s="85" t="b">
        <f t="shared" si="13"/>
        <v>0</v>
      </c>
      <c r="M141" s="85" t="b">
        <f t="shared" si="14"/>
        <v>1</v>
      </c>
      <c r="N141" s="85" t="b">
        <f t="shared" si="10"/>
        <v>1</v>
      </c>
    </row>
    <row r="142" spans="1:14" s="85" customFormat="1" ht="15.75" x14ac:dyDescent="0.2">
      <c r="A142" s="93">
        <f t="shared" si="11"/>
        <v>141</v>
      </c>
      <c r="B142" s="87">
        <v>516</v>
      </c>
      <c r="C142" s="87">
        <v>20000055</v>
      </c>
      <c r="D142" s="87" t="s">
        <v>236</v>
      </c>
      <c r="E142" s="89"/>
      <c r="F142" s="90"/>
      <c r="G142" s="91"/>
      <c r="H142" s="91"/>
      <c r="I142" s="92"/>
      <c r="J142" s="92"/>
      <c r="K142" s="85" t="b">
        <f t="shared" si="12"/>
        <v>0</v>
      </c>
      <c r="L142" s="85" t="b">
        <f t="shared" si="13"/>
        <v>0</v>
      </c>
      <c r="M142" s="85" t="b">
        <f t="shared" si="14"/>
        <v>1</v>
      </c>
      <c r="N142" s="85" t="b">
        <f t="shared" si="10"/>
        <v>1</v>
      </c>
    </row>
    <row r="143" spans="1:14" s="85" customFormat="1" ht="15.75" x14ac:dyDescent="0.2">
      <c r="A143" s="93">
        <f t="shared" si="11"/>
        <v>142</v>
      </c>
      <c r="B143" s="87">
        <v>4201</v>
      </c>
      <c r="C143" s="87">
        <v>20000188</v>
      </c>
      <c r="D143" s="87" t="s">
        <v>94</v>
      </c>
      <c r="E143" s="89"/>
      <c r="F143" s="90"/>
      <c r="G143" s="91"/>
      <c r="H143" s="91"/>
      <c r="I143" s="92"/>
      <c r="J143" s="92"/>
      <c r="K143" s="85" t="b">
        <f t="shared" si="12"/>
        <v>0</v>
      </c>
      <c r="L143" s="85" t="b">
        <f t="shared" si="13"/>
        <v>0</v>
      </c>
      <c r="M143" s="85" t="b">
        <f t="shared" si="14"/>
        <v>1</v>
      </c>
      <c r="N143" s="85" t="b">
        <f t="shared" si="10"/>
        <v>1</v>
      </c>
    </row>
    <row r="144" spans="1:14" s="85" customFormat="1" ht="15.75" x14ac:dyDescent="0.2">
      <c r="A144" s="93">
        <f t="shared" si="11"/>
        <v>143</v>
      </c>
      <c r="B144" s="87">
        <v>481</v>
      </c>
      <c r="C144" s="87">
        <v>20000035</v>
      </c>
      <c r="D144" s="87" t="s">
        <v>95</v>
      </c>
      <c r="E144" s="89"/>
      <c r="F144" s="90"/>
      <c r="G144" s="91"/>
      <c r="H144" s="91"/>
      <c r="I144" s="92"/>
      <c r="J144" s="92"/>
      <c r="K144" s="85" t="b">
        <f t="shared" si="12"/>
        <v>0</v>
      </c>
      <c r="L144" s="85" t="b">
        <f t="shared" si="13"/>
        <v>0</v>
      </c>
      <c r="M144" s="85" t="b">
        <f t="shared" si="14"/>
        <v>1</v>
      </c>
      <c r="N144" s="85" t="b">
        <f t="shared" si="10"/>
        <v>1</v>
      </c>
    </row>
    <row r="145" spans="1:14" s="85" customFormat="1" ht="15.75" x14ac:dyDescent="0.2">
      <c r="A145" s="93">
        <f t="shared" si="11"/>
        <v>144</v>
      </c>
      <c r="B145" s="87">
        <v>65</v>
      </c>
      <c r="C145" s="87">
        <v>20000013</v>
      </c>
      <c r="D145" s="87" t="s">
        <v>96</v>
      </c>
      <c r="E145" s="89"/>
      <c r="F145" s="90"/>
      <c r="G145" s="91"/>
      <c r="H145" s="91"/>
      <c r="I145" s="92"/>
      <c r="J145" s="92"/>
      <c r="K145" s="85" t="b">
        <f t="shared" si="12"/>
        <v>0</v>
      </c>
      <c r="L145" s="85" t="b">
        <f t="shared" si="13"/>
        <v>0</v>
      </c>
      <c r="M145" s="85" t="b">
        <f t="shared" si="14"/>
        <v>1</v>
      </c>
      <c r="N145" s="85" t="b">
        <f t="shared" si="10"/>
        <v>1</v>
      </c>
    </row>
    <row r="146" spans="1:14" s="85" customFormat="1" ht="15.75" x14ac:dyDescent="0.2">
      <c r="A146" s="93">
        <f t="shared" si="11"/>
        <v>145</v>
      </c>
      <c r="B146" s="87">
        <v>874</v>
      </c>
      <c r="C146" s="87">
        <v>20000086</v>
      </c>
      <c r="D146" s="87" t="s">
        <v>97</v>
      </c>
      <c r="E146" s="89"/>
      <c r="F146" s="90"/>
      <c r="G146" s="91"/>
      <c r="H146" s="91"/>
      <c r="I146" s="92"/>
      <c r="J146" s="92"/>
      <c r="K146" s="85" t="b">
        <f t="shared" si="12"/>
        <v>0</v>
      </c>
      <c r="L146" s="85" t="b">
        <f t="shared" si="13"/>
        <v>0</v>
      </c>
      <c r="M146" s="85" t="b">
        <f t="shared" si="14"/>
        <v>1</v>
      </c>
      <c r="N146" s="85" t="b">
        <f t="shared" si="10"/>
        <v>1</v>
      </c>
    </row>
    <row r="147" spans="1:14" s="85" customFormat="1" ht="15.75" x14ac:dyDescent="0.2">
      <c r="A147" s="93">
        <f t="shared" si="11"/>
        <v>146</v>
      </c>
      <c r="B147" s="87">
        <v>13</v>
      </c>
      <c r="C147" s="87">
        <v>20000137</v>
      </c>
      <c r="D147" s="87" t="s">
        <v>190</v>
      </c>
      <c r="E147" s="89"/>
      <c r="F147" s="90"/>
      <c r="G147" s="91"/>
      <c r="H147" s="91"/>
      <c r="I147" s="92"/>
      <c r="J147" s="92"/>
      <c r="K147" s="85" t="b">
        <f t="shared" si="12"/>
        <v>0</v>
      </c>
      <c r="L147" s="85" t="b">
        <f t="shared" si="13"/>
        <v>0</v>
      </c>
      <c r="M147" s="85" t="b">
        <f t="shared" si="14"/>
        <v>1</v>
      </c>
      <c r="N147" s="85" t="b">
        <f t="shared" si="10"/>
        <v>1</v>
      </c>
    </row>
    <row r="148" spans="1:14" s="85" customFormat="1" ht="15.75" x14ac:dyDescent="0.2">
      <c r="A148" s="93">
        <f t="shared" si="11"/>
        <v>147</v>
      </c>
      <c r="B148" s="87">
        <v>74</v>
      </c>
      <c r="C148" s="87">
        <v>20000236</v>
      </c>
      <c r="D148" s="87" t="s">
        <v>173</v>
      </c>
      <c r="E148" s="89"/>
      <c r="F148" s="90"/>
      <c r="G148" s="91"/>
      <c r="H148" s="91"/>
      <c r="I148" s="92"/>
      <c r="J148" s="92"/>
      <c r="K148" s="85" t="b">
        <f t="shared" si="12"/>
        <v>0</v>
      </c>
      <c r="L148" s="85" t="b">
        <f t="shared" si="13"/>
        <v>0</v>
      </c>
      <c r="M148" s="85" t="b">
        <f t="shared" si="14"/>
        <v>1</v>
      </c>
      <c r="N148" s="85" t="b">
        <f t="shared" si="10"/>
        <v>1</v>
      </c>
    </row>
    <row r="149" spans="1:14" s="85" customFormat="1" ht="15.75" x14ac:dyDescent="0.2">
      <c r="A149" s="93">
        <f t="shared" si="11"/>
        <v>148</v>
      </c>
      <c r="B149" s="87">
        <v>1200</v>
      </c>
      <c r="C149" s="87">
        <v>20000401</v>
      </c>
      <c r="D149" s="87" t="s">
        <v>491</v>
      </c>
      <c r="E149" s="89"/>
      <c r="F149" s="90"/>
      <c r="G149" s="91"/>
      <c r="H149" s="91"/>
      <c r="I149" s="92"/>
      <c r="J149" s="92"/>
      <c r="K149" s="85" t="b">
        <f t="shared" si="12"/>
        <v>0</v>
      </c>
      <c r="L149" s="85" t="b">
        <f t="shared" si="13"/>
        <v>0</v>
      </c>
      <c r="M149" s="85" t="b">
        <f t="shared" si="14"/>
        <v>1</v>
      </c>
      <c r="N149" s="85" t="b">
        <f t="shared" si="10"/>
        <v>1</v>
      </c>
    </row>
    <row r="150" spans="1:14" s="85" customFormat="1" ht="15.75" x14ac:dyDescent="0.2">
      <c r="A150" s="93">
        <f t="shared" si="11"/>
        <v>149</v>
      </c>
      <c r="B150" s="87">
        <v>3797</v>
      </c>
      <c r="C150" s="87">
        <v>20000181</v>
      </c>
      <c r="D150" s="87" t="s">
        <v>98</v>
      </c>
      <c r="E150" s="89"/>
      <c r="F150" s="90"/>
      <c r="G150" s="91"/>
      <c r="H150" s="91"/>
      <c r="I150" s="92"/>
      <c r="J150" s="92"/>
      <c r="K150" s="85" t="b">
        <f t="shared" si="12"/>
        <v>0</v>
      </c>
      <c r="L150" s="85" t="b">
        <f t="shared" si="13"/>
        <v>0</v>
      </c>
      <c r="M150" s="85" t="b">
        <f t="shared" si="14"/>
        <v>1</v>
      </c>
      <c r="N150" s="85" t="b">
        <f t="shared" si="10"/>
        <v>1</v>
      </c>
    </row>
    <row r="151" spans="1:14" s="85" customFormat="1" ht="15.75" x14ac:dyDescent="0.2">
      <c r="A151" s="93">
        <f t="shared" si="11"/>
        <v>150</v>
      </c>
      <c r="B151" s="87">
        <v>28</v>
      </c>
      <c r="C151" s="87">
        <v>20000002</v>
      </c>
      <c r="D151" s="87" t="s">
        <v>99</v>
      </c>
      <c r="E151" s="89"/>
      <c r="F151" s="90"/>
      <c r="G151" s="91"/>
      <c r="H151" s="91"/>
      <c r="I151" s="92"/>
      <c r="J151" s="92"/>
      <c r="K151" s="85" t="b">
        <f t="shared" si="12"/>
        <v>0</v>
      </c>
      <c r="L151" s="85" t="b">
        <f t="shared" si="13"/>
        <v>0</v>
      </c>
      <c r="M151" s="85" t="b">
        <f t="shared" si="14"/>
        <v>1</v>
      </c>
      <c r="N151" s="85" t="b">
        <f t="shared" si="10"/>
        <v>1</v>
      </c>
    </row>
    <row r="152" spans="1:14" s="85" customFormat="1" ht="15.75" x14ac:dyDescent="0.2">
      <c r="A152" s="93">
        <f t="shared" si="11"/>
        <v>151</v>
      </c>
      <c r="B152" s="87">
        <v>517</v>
      </c>
      <c r="C152" s="87">
        <v>20000056</v>
      </c>
      <c r="D152" s="87" t="s">
        <v>100</v>
      </c>
      <c r="E152" s="89"/>
      <c r="F152" s="90"/>
      <c r="G152" s="91"/>
      <c r="H152" s="91"/>
      <c r="I152" s="92"/>
      <c r="J152" s="92"/>
      <c r="K152" s="85" t="b">
        <f t="shared" si="12"/>
        <v>0</v>
      </c>
      <c r="L152" s="85" t="b">
        <f t="shared" si="13"/>
        <v>0</v>
      </c>
      <c r="M152" s="85" t="b">
        <f t="shared" si="14"/>
        <v>1</v>
      </c>
      <c r="N152" s="85" t="b">
        <f t="shared" si="10"/>
        <v>1</v>
      </c>
    </row>
    <row r="153" spans="1:14" s="85" customFormat="1" ht="15.75" x14ac:dyDescent="0.2">
      <c r="A153" s="93">
        <f t="shared" si="11"/>
        <v>152</v>
      </c>
      <c r="B153" s="87">
        <v>4</v>
      </c>
      <c r="C153" s="87">
        <v>20000139</v>
      </c>
      <c r="D153" s="87" t="s">
        <v>208</v>
      </c>
      <c r="E153" s="89"/>
      <c r="F153" s="90"/>
      <c r="G153" s="91"/>
      <c r="H153" s="91"/>
      <c r="I153" s="92"/>
      <c r="J153" s="92"/>
      <c r="K153" s="85" t="b">
        <f t="shared" si="12"/>
        <v>0</v>
      </c>
      <c r="L153" s="85" t="b">
        <f t="shared" si="13"/>
        <v>0</v>
      </c>
      <c r="M153" s="85" t="b">
        <f t="shared" si="14"/>
        <v>1</v>
      </c>
      <c r="N153" s="85" t="b">
        <f t="shared" si="10"/>
        <v>1</v>
      </c>
    </row>
    <row r="154" spans="1:14" s="85" customFormat="1" ht="15.75" x14ac:dyDescent="0.2">
      <c r="A154" s="93">
        <f t="shared" si="11"/>
        <v>153</v>
      </c>
      <c r="B154" s="87">
        <v>73</v>
      </c>
      <c r="C154" s="87">
        <v>20000234</v>
      </c>
      <c r="D154" s="87" t="s">
        <v>217</v>
      </c>
      <c r="E154" s="89"/>
      <c r="F154" s="90"/>
      <c r="G154" s="91"/>
      <c r="H154" s="91"/>
      <c r="I154" s="92"/>
      <c r="J154" s="92"/>
      <c r="K154" s="85" t="b">
        <f t="shared" si="12"/>
        <v>0</v>
      </c>
      <c r="L154" s="85" t="b">
        <f t="shared" si="13"/>
        <v>0</v>
      </c>
      <c r="M154" s="85" t="b">
        <f t="shared" si="14"/>
        <v>1</v>
      </c>
      <c r="N154" s="85" t="b">
        <f t="shared" si="10"/>
        <v>1</v>
      </c>
    </row>
    <row r="155" spans="1:14" s="85" customFormat="1" ht="15.75" x14ac:dyDescent="0.2">
      <c r="A155" s="93">
        <f t="shared" si="11"/>
        <v>154</v>
      </c>
      <c r="B155" s="87">
        <v>26</v>
      </c>
      <c r="C155" s="87">
        <v>20000095</v>
      </c>
      <c r="D155" s="87" t="s">
        <v>216</v>
      </c>
      <c r="E155" s="89"/>
      <c r="F155" s="90"/>
      <c r="G155" s="91"/>
      <c r="H155" s="91"/>
      <c r="I155" s="92"/>
      <c r="J155" s="92"/>
      <c r="K155" s="85" t="b">
        <f t="shared" si="12"/>
        <v>0</v>
      </c>
      <c r="L155" s="85" t="b">
        <f t="shared" si="13"/>
        <v>0</v>
      </c>
      <c r="M155" s="85" t="b">
        <f t="shared" si="14"/>
        <v>1</v>
      </c>
      <c r="N155" s="85" t="b">
        <f t="shared" si="10"/>
        <v>1</v>
      </c>
    </row>
    <row r="156" spans="1:14" s="85" customFormat="1" ht="15.75" x14ac:dyDescent="0.2">
      <c r="A156" s="93">
        <f t="shared" si="11"/>
        <v>155</v>
      </c>
      <c r="B156" s="87">
        <v>43</v>
      </c>
      <c r="C156" s="87">
        <v>20000006</v>
      </c>
      <c r="D156" s="87" t="s">
        <v>101</v>
      </c>
      <c r="E156" s="89"/>
      <c r="F156" s="90"/>
      <c r="G156" s="91"/>
      <c r="H156" s="91"/>
      <c r="I156" s="92"/>
      <c r="J156" s="92"/>
      <c r="K156" s="85" t="b">
        <f t="shared" si="12"/>
        <v>0</v>
      </c>
      <c r="L156" s="85" t="b">
        <f t="shared" si="13"/>
        <v>0</v>
      </c>
      <c r="M156" s="85" t="b">
        <f t="shared" si="14"/>
        <v>1</v>
      </c>
      <c r="N156" s="85" t="b">
        <f t="shared" si="10"/>
        <v>1</v>
      </c>
    </row>
    <row r="157" spans="1:14" s="85" customFormat="1" ht="15.75" x14ac:dyDescent="0.2">
      <c r="A157" s="93">
        <f t="shared" si="11"/>
        <v>156</v>
      </c>
      <c r="B157" s="87">
        <v>1268</v>
      </c>
      <c r="C157" s="87">
        <v>20000111</v>
      </c>
      <c r="D157" s="87" t="s">
        <v>102</v>
      </c>
      <c r="E157" s="89"/>
      <c r="F157" s="90"/>
      <c r="G157" s="91"/>
      <c r="H157" s="91"/>
      <c r="I157" s="92"/>
      <c r="J157" s="92"/>
      <c r="K157" s="85" t="b">
        <f t="shared" si="12"/>
        <v>0</v>
      </c>
      <c r="L157" s="85" t="b">
        <f t="shared" si="13"/>
        <v>0</v>
      </c>
      <c r="M157" s="85" t="b">
        <f t="shared" si="14"/>
        <v>1</v>
      </c>
      <c r="N157" s="85" t="b">
        <f t="shared" si="10"/>
        <v>1</v>
      </c>
    </row>
    <row r="158" spans="1:14" s="85" customFormat="1" ht="15.75" x14ac:dyDescent="0.2">
      <c r="A158" s="93">
        <f t="shared" si="11"/>
        <v>157</v>
      </c>
      <c r="B158" s="87">
        <v>14</v>
      </c>
      <c r="C158" s="87">
        <v>20000161</v>
      </c>
      <c r="D158" s="87" t="s">
        <v>202</v>
      </c>
      <c r="E158" s="89"/>
      <c r="F158" s="90"/>
      <c r="G158" s="91"/>
      <c r="H158" s="91"/>
      <c r="I158" s="92"/>
      <c r="J158" s="92"/>
      <c r="K158" s="85" t="b">
        <f t="shared" si="12"/>
        <v>0</v>
      </c>
      <c r="L158" s="85" t="b">
        <f t="shared" si="13"/>
        <v>0</v>
      </c>
      <c r="M158" s="85" t="b">
        <f t="shared" si="14"/>
        <v>1</v>
      </c>
      <c r="N158" s="85" t="b">
        <f t="shared" si="10"/>
        <v>1</v>
      </c>
    </row>
    <row r="159" spans="1:14" s="85" customFormat="1" ht="15.75" x14ac:dyDescent="0.2">
      <c r="A159" s="93">
        <f t="shared" si="11"/>
        <v>158</v>
      </c>
      <c r="B159" s="87">
        <v>4203</v>
      </c>
      <c r="C159" s="87">
        <v>20000189</v>
      </c>
      <c r="D159" s="87" t="s">
        <v>103</v>
      </c>
      <c r="E159" s="89"/>
      <c r="F159" s="90"/>
      <c r="G159" s="91"/>
      <c r="H159" s="91"/>
      <c r="I159" s="92"/>
      <c r="J159" s="92"/>
      <c r="K159" s="85" t="b">
        <f t="shared" si="12"/>
        <v>0</v>
      </c>
      <c r="L159" s="85" t="b">
        <f t="shared" si="13"/>
        <v>0</v>
      </c>
      <c r="M159" s="85" t="b">
        <f t="shared" si="14"/>
        <v>1</v>
      </c>
      <c r="N159" s="85" t="b">
        <f t="shared" si="10"/>
        <v>1</v>
      </c>
    </row>
    <row r="160" spans="1:14" s="85" customFormat="1" ht="15.75" x14ac:dyDescent="0.2">
      <c r="A160" s="93">
        <f t="shared" si="11"/>
        <v>159</v>
      </c>
      <c r="B160" s="87">
        <v>518</v>
      </c>
      <c r="C160" s="87">
        <v>20000057</v>
      </c>
      <c r="D160" s="87" t="s">
        <v>104</v>
      </c>
      <c r="E160" s="89"/>
      <c r="F160" s="90"/>
      <c r="G160" s="91"/>
      <c r="H160" s="91"/>
      <c r="I160" s="92"/>
      <c r="J160" s="92"/>
      <c r="K160" s="85" t="b">
        <f t="shared" si="12"/>
        <v>0</v>
      </c>
      <c r="L160" s="85" t="b">
        <f t="shared" si="13"/>
        <v>0</v>
      </c>
      <c r="M160" s="85" t="b">
        <f t="shared" si="14"/>
        <v>1</v>
      </c>
      <c r="N160" s="85" t="b">
        <f t="shared" si="10"/>
        <v>1</v>
      </c>
    </row>
    <row r="161" spans="1:14" s="85" customFormat="1" ht="15.75" x14ac:dyDescent="0.2">
      <c r="A161" s="93">
        <f t="shared" si="11"/>
        <v>160</v>
      </c>
      <c r="B161" s="87">
        <v>3616</v>
      </c>
      <c r="C161" s="87">
        <v>20000171</v>
      </c>
      <c r="D161" s="87" t="s">
        <v>105</v>
      </c>
      <c r="E161" s="89"/>
      <c r="F161" s="90"/>
      <c r="G161" s="91"/>
      <c r="H161" s="91"/>
      <c r="I161" s="92"/>
      <c r="J161" s="92"/>
      <c r="K161" s="85" t="b">
        <f t="shared" si="12"/>
        <v>0</v>
      </c>
      <c r="L161" s="85" t="b">
        <f t="shared" si="13"/>
        <v>0</v>
      </c>
      <c r="M161" s="85" t="b">
        <f t="shared" si="14"/>
        <v>1</v>
      </c>
      <c r="N161" s="85" t="b">
        <f t="shared" si="10"/>
        <v>1</v>
      </c>
    </row>
    <row r="162" spans="1:14" s="85" customFormat="1" ht="15.75" x14ac:dyDescent="0.2">
      <c r="A162" s="93">
        <f t="shared" si="11"/>
        <v>161</v>
      </c>
      <c r="B162" s="87">
        <v>3608</v>
      </c>
      <c r="C162" s="87">
        <v>20000169</v>
      </c>
      <c r="D162" s="87" t="s">
        <v>106</v>
      </c>
      <c r="E162" s="89"/>
      <c r="F162" s="90"/>
      <c r="G162" s="91"/>
      <c r="H162" s="91"/>
      <c r="I162" s="92"/>
      <c r="J162" s="92"/>
      <c r="K162" s="85" t="b">
        <f t="shared" si="12"/>
        <v>0</v>
      </c>
      <c r="L162" s="85" t="b">
        <f t="shared" si="13"/>
        <v>0</v>
      </c>
      <c r="M162" s="85" t="b">
        <f t="shared" si="14"/>
        <v>1</v>
      </c>
      <c r="N162" s="85" t="b">
        <f t="shared" si="10"/>
        <v>1</v>
      </c>
    </row>
    <row r="163" spans="1:14" s="85" customFormat="1" ht="15.75" x14ac:dyDescent="0.2">
      <c r="A163" s="93">
        <f t="shared" si="11"/>
        <v>162</v>
      </c>
      <c r="B163" s="87">
        <v>52</v>
      </c>
      <c r="C163" s="87">
        <v>20000218</v>
      </c>
      <c r="D163" s="87" t="s">
        <v>187</v>
      </c>
      <c r="E163" s="89"/>
      <c r="F163" s="90"/>
      <c r="G163" s="91"/>
      <c r="H163" s="91"/>
      <c r="I163" s="92"/>
      <c r="J163" s="92"/>
      <c r="K163" s="85" t="b">
        <f t="shared" si="12"/>
        <v>0</v>
      </c>
      <c r="L163" s="85" t="b">
        <f t="shared" si="13"/>
        <v>0</v>
      </c>
      <c r="M163" s="85" t="b">
        <f t="shared" si="14"/>
        <v>1</v>
      </c>
      <c r="N163" s="85" t="b">
        <f t="shared" si="10"/>
        <v>1</v>
      </c>
    </row>
    <row r="164" spans="1:14" s="85" customFormat="1" ht="15.75" x14ac:dyDescent="0.2">
      <c r="A164" s="93">
        <f t="shared" si="11"/>
        <v>163</v>
      </c>
      <c r="B164" s="87">
        <v>1327</v>
      </c>
      <c r="C164" s="87">
        <v>20000124</v>
      </c>
      <c r="D164" s="87" t="s">
        <v>107</v>
      </c>
      <c r="E164" s="89"/>
      <c r="F164" s="90"/>
      <c r="G164" s="91"/>
      <c r="H164" s="91"/>
      <c r="I164" s="92"/>
      <c r="J164" s="92"/>
      <c r="K164" s="85" t="b">
        <f t="shared" si="12"/>
        <v>0</v>
      </c>
      <c r="L164" s="85" t="b">
        <f t="shared" si="13"/>
        <v>0</v>
      </c>
      <c r="M164" s="85" t="b">
        <f t="shared" si="14"/>
        <v>1</v>
      </c>
      <c r="N164" s="85" t="b">
        <f t="shared" si="10"/>
        <v>1</v>
      </c>
    </row>
    <row r="165" spans="1:14" s="85" customFormat="1" ht="15.75" x14ac:dyDescent="0.2">
      <c r="A165" s="93">
        <f t="shared" si="11"/>
        <v>164</v>
      </c>
      <c r="B165" s="87">
        <v>1063</v>
      </c>
      <c r="C165" s="87">
        <v>20000102</v>
      </c>
      <c r="D165" s="87" t="s">
        <v>223</v>
      </c>
      <c r="E165" s="89"/>
      <c r="F165" s="90"/>
      <c r="G165" s="91"/>
      <c r="H165" s="91"/>
      <c r="I165" s="92"/>
      <c r="J165" s="92"/>
      <c r="K165" s="85" t="b">
        <f t="shared" si="12"/>
        <v>0</v>
      </c>
      <c r="L165" s="85" t="b">
        <f t="shared" si="13"/>
        <v>0</v>
      </c>
      <c r="M165" s="85" t="b">
        <f t="shared" si="14"/>
        <v>1</v>
      </c>
      <c r="N165" s="85" t="b">
        <f t="shared" si="10"/>
        <v>1</v>
      </c>
    </row>
    <row r="166" spans="1:14" s="85" customFormat="1" ht="15.75" x14ac:dyDescent="0.2">
      <c r="A166" s="93">
        <f t="shared" si="11"/>
        <v>165</v>
      </c>
      <c r="B166" s="87">
        <v>99</v>
      </c>
      <c r="C166" s="87">
        <v>20000015</v>
      </c>
      <c r="D166" s="87" t="s">
        <v>108</v>
      </c>
      <c r="E166" s="89"/>
      <c r="F166" s="90"/>
      <c r="G166" s="91"/>
      <c r="H166" s="91"/>
      <c r="I166" s="92"/>
      <c r="J166" s="92"/>
      <c r="K166" s="85" t="b">
        <f t="shared" si="12"/>
        <v>0</v>
      </c>
      <c r="L166" s="85" t="b">
        <f t="shared" si="13"/>
        <v>0</v>
      </c>
      <c r="M166" s="85" t="b">
        <f t="shared" si="14"/>
        <v>1</v>
      </c>
      <c r="N166" s="85" t="b">
        <f t="shared" si="10"/>
        <v>1</v>
      </c>
    </row>
    <row r="167" spans="1:14" s="85" customFormat="1" ht="15.75" x14ac:dyDescent="0.2">
      <c r="A167" s="93">
        <f t="shared" si="11"/>
        <v>166</v>
      </c>
      <c r="B167" s="87">
        <v>2</v>
      </c>
      <c r="C167" s="87">
        <v>20000128</v>
      </c>
      <c r="D167" s="87" t="s">
        <v>198</v>
      </c>
      <c r="E167" s="89"/>
      <c r="F167" s="90"/>
      <c r="G167" s="91"/>
      <c r="H167" s="91"/>
      <c r="I167" s="92"/>
      <c r="J167" s="92"/>
      <c r="K167" s="85" t="b">
        <f t="shared" si="12"/>
        <v>0</v>
      </c>
      <c r="L167" s="85" t="b">
        <f t="shared" si="13"/>
        <v>0</v>
      </c>
      <c r="M167" s="85" t="b">
        <f t="shared" si="14"/>
        <v>1</v>
      </c>
      <c r="N167" s="85" t="b">
        <f t="shared" si="10"/>
        <v>1</v>
      </c>
    </row>
    <row r="168" spans="1:14" s="85" customFormat="1" ht="15.75" x14ac:dyDescent="0.2">
      <c r="A168" s="93">
        <f t="shared" si="11"/>
        <v>167</v>
      </c>
      <c r="B168" s="87">
        <v>42</v>
      </c>
      <c r="C168" s="87">
        <v>20000215</v>
      </c>
      <c r="D168" s="87" t="s">
        <v>191</v>
      </c>
      <c r="E168" s="89"/>
      <c r="F168" s="90"/>
      <c r="G168" s="91"/>
      <c r="H168" s="91"/>
      <c r="I168" s="92"/>
      <c r="J168" s="92"/>
      <c r="K168" s="85" t="b">
        <f t="shared" si="12"/>
        <v>0</v>
      </c>
      <c r="L168" s="85" t="b">
        <f t="shared" si="13"/>
        <v>0</v>
      </c>
      <c r="M168" s="85" t="b">
        <f t="shared" si="14"/>
        <v>1</v>
      </c>
      <c r="N168" s="85" t="b">
        <f t="shared" si="10"/>
        <v>1</v>
      </c>
    </row>
    <row r="169" spans="1:14" s="85" customFormat="1" ht="15.75" x14ac:dyDescent="0.2">
      <c r="A169" s="93">
        <f t="shared" si="11"/>
        <v>168</v>
      </c>
      <c r="B169" s="87">
        <v>56</v>
      </c>
      <c r="C169" s="87">
        <v>20000140</v>
      </c>
      <c r="D169" s="87" t="s">
        <v>209</v>
      </c>
      <c r="E169" s="89"/>
      <c r="F169" s="90"/>
      <c r="G169" s="91"/>
      <c r="H169" s="91"/>
      <c r="I169" s="92"/>
      <c r="J169" s="92"/>
      <c r="K169" s="85" t="b">
        <f t="shared" si="12"/>
        <v>0</v>
      </c>
      <c r="L169" s="85" t="b">
        <f t="shared" si="13"/>
        <v>0</v>
      </c>
      <c r="M169" s="85" t="b">
        <f t="shared" si="14"/>
        <v>1</v>
      </c>
      <c r="N169" s="85" t="b">
        <f t="shared" si="10"/>
        <v>1</v>
      </c>
    </row>
    <row r="170" spans="1:14" s="85" customFormat="1" ht="15.75" x14ac:dyDescent="0.2">
      <c r="A170" s="93">
        <f t="shared" si="11"/>
        <v>169</v>
      </c>
      <c r="B170" s="87">
        <v>520</v>
      </c>
      <c r="C170" s="87">
        <v>20000058</v>
      </c>
      <c r="D170" s="87" t="s">
        <v>109</v>
      </c>
      <c r="E170" s="89"/>
      <c r="F170" s="90"/>
      <c r="G170" s="91"/>
      <c r="H170" s="91"/>
      <c r="I170" s="92"/>
      <c r="J170" s="92"/>
      <c r="K170" s="85" t="b">
        <f t="shared" si="12"/>
        <v>0</v>
      </c>
      <c r="L170" s="85" t="b">
        <f t="shared" si="13"/>
        <v>0</v>
      </c>
      <c r="M170" s="85" t="b">
        <f t="shared" si="14"/>
        <v>1</v>
      </c>
      <c r="N170" s="85" t="b">
        <f t="shared" si="10"/>
        <v>1</v>
      </c>
    </row>
    <row r="171" spans="1:14" s="85" customFormat="1" ht="15.75" x14ac:dyDescent="0.2">
      <c r="A171" s="93">
        <f t="shared" si="11"/>
        <v>170</v>
      </c>
      <c r="B171" s="87">
        <v>9100</v>
      </c>
      <c r="C171" s="87">
        <v>20000255</v>
      </c>
      <c r="D171" s="87" t="s">
        <v>110</v>
      </c>
      <c r="E171" s="89"/>
      <c r="F171" s="90"/>
      <c r="G171" s="91"/>
      <c r="H171" s="91"/>
      <c r="I171" s="92"/>
      <c r="J171" s="92"/>
      <c r="K171" s="85" t="b">
        <f t="shared" si="12"/>
        <v>0</v>
      </c>
      <c r="L171" s="85" t="b">
        <f t="shared" si="13"/>
        <v>0</v>
      </c>
      <c r="M171" s="85" t="b">
        <f t="shared" si="14"/>
        <v>1</v>
      </c>
      <c r="N171" s="85" t="b">
        <f t="shared" si="10"/>
        <v>1</v>
      </c>
    </row>
    <row r="172" spans="1:14" s="85" customFormat="1" ht="15.75" x14ac:dyDescent="0.2">
      <c r="A172" s="93">
        <f t="shared" si="11"/>
        <v>171</v>
      </c>
      <c r="B172" s="87">
        <v>68</v>
      </c>
      <c r="C172" s="87">
        <v>20000861</v>
      </c>
      <c r="D172" s="87" t="s">
        <v>177</v>
      </c>
      <c r="E172" s="89"/>
      <c r="F172" s="90"/>
      <c r="G172" s="91"/>
      <c r="H172" s="91"/>
      <c r="I172" s="92"/>
      <c r="J172" s="92"/>
      <c r="K172" s="85" t="b">
        <f t="shared" si="12"/>
        <v>0</v>
      </c>
      <c r="L172" s="85" t="b">
        <f t="shared" si="13"/>
        <v>0</v>
      </c>
      <c r="M172" s="85" t="b">
        <f t="shared" si="14"/>
        <v>1</v>
      </c>
      <c r="N172" s="85" t="b">
        <f t="shared" si="10"/>
        <v>1</v>
      </c>
    </row>
    <row r="173" spans="1:14" s="85" customFormat="1" ht="15.75" x14ac:dyDescent="0.2">
      <c r="A173" s="93">
        <f t="shared" si="11"/>
        <v>172</v>
      </c>
      <c r="B173" s="87">
        <v>31</v>
      </c>
      <c r="C173" s="87">
        <v>20000197</v>
      </c>
      <c r="D173" s="87" t="s">
        <v>181</v>
      </c>
      <c r="E173" s="89"/>
      <c r="F173" s="90"/>
      <c r="G173" s="91"/>
      <c r="H173" s="91"/>
      <c r="I173" s="92"/>
      <c r="J173" s="92"/>
      <c r="K173" s="85" t="b">
        <f t="shared" si="12"/>
        <v>0</v>
      </c>
      <c r="L173" s="85" t="b">
        <f t="shared" si="13"/>
        <v>0</v>
      </c>
      <c r="M173" s="85" t="b">
        <f t="shared" si="14"/>
        <v>1</v>
      </c>
      <c r="N173" s="85" t="b">
        <f t="shared" si="10"/>
        <v>1</v>
      </c>
    </row>
    <row r="174" spans="1:14" s="85" customFormat="1" ht="15.75" x14ac:dyDescent="0.2">
      <c r="A174" s="93">
        <f t="shared" si="11"/>
        <v>173</v>
      </c>
      <c r="B174" s="87">
        <v>522</v>
      </c>
      <c r="C174" s="87">
        <v>20000059</v>
      </c>
      <c r="D174" s="87" t="s">
        <v>111</v>
      </c>
      <c r="E174" s="89"/>
      <c r="F174" s="90"/>
      <c r="G174" s="91"/>
      <c r="H174" s="91"/>
      <c r="I174" s="92"/>
      <c r="J174" s="92"/>
      <c r="K174" s="85" t="b">
        <f t="shared" si="12"/>
        <v>0</v>
      </c>
      <c r="L174" s="85" t="b">
        <f t="shared" si="13"/>
        <v>0</v>
      </c>
      <c r="M174" s="85" t="b">
        <f t="shared" si="14"/>
        <v>1</v>
      </c>
      <c r="N174" s="85" t="b">
        <f t="shared" si="10"/>
        <v>1</v>
      </c>
    </row>
    <row r="175" spans="1:14" s="85" customFormat="1" ht="15.75" x14ac:dyDescent="0.2">
      <c r="A175" s="93">
        <f t="shared" si="11"/>
        <v>174</v>
      </c>
      <c r="B175" s="87">
        <v>7200</v>
      </c>
      <c r="C175" s="87">
        <v>20000230</v>
      </c>
      <c r="D175" s="87" t="s">
        <v>112</v>
      </c>
      <c r="E175" s="89"/>
      <c r="F175" s="90"/>
      <c r="G175" s="91"/>
      <c r="H175" s="91"/>
      <c r="I175" s="92"/>
      <c r="J175" s="92"/>
      <c r="K175" s="85" t="b">
        <f t="shared" si="12"/>
        <v>0</v>
      </c>
      <c r="L175" s="85" t="b">
        <f t="shared" si="13"/>
        <v>0</v>
      </c>
      <c r="M175" s="85" t="b">
        <f t="shared" si="14"/>
        <v>1</v>
      </c>
      <c r="N175" s="85" t="b">
        <f t="shared" si="10"/>
        <v>1</v>
      </c>
    </row>
    <row r="176" spans="1:14" s="85" customFormat="1" ht="15.75" x14ac:dyDescent="0.2">
      <c r="A176" s="93">
        <f t="shared" si="11"/>
        <v>175</v>
      </c>
      <c r="B176" s="87">
        <v>7300</v>
      </c>
      <c r="C176" s="87">
        <v>20000231</v>
      </c>
      <c r="D176" s="87" t="s">
        <v>113</v>
      </c>
      <c r="E176" s="89"/>
      <c r="F176" s="90"/>
      <c r="G176" s="91"/>
      <c r="H176" s="91"/>
      <c r="I176" s="92"/>
      <c r="J176" s="92"/>
      <c r="K176" s="85" t="b">
        <f t="shared" si="12"/>
        <v>0</v>
      </c>
      <c r="L176" s="85" t="b">
        <f t="shared" si="13"/>
        <v>0</v>
      </c>
      <c r="M176" s="85" t="b">
        <f t="shared" si="14"/>
        <v>1</v>
      </c>
      <c r="N176" s="85" t="b">
        <f t="shared" si="10"/>
        <v>1</v>
      </c>
    </row>
    <row r="177" spans="1:14" s="85" customFormat="1" ht="15.75" x14ac:dyDescent="0.2">
      <c r="A177" s="93">
        <f t="shared" si="11"/>
        <v>176</v>
      </c>
      <c r="B177" s="87">
        <v>1061</v>
      </c>
      <c r="C177" s="87">
        <v>20000100</v>
      </c>
      <c r="D177" s="87" t="s">
        <v>114</v>
      </c>
      <c r="E177" s="89"/>
      <c r="F177" s="90"/>
      <c r="G177" s="91"/>
      <c r="H177" s="91"/>
      <c r="I177" s="92"/>
      <c r="J177" s="92"/>
      <c r="K177" s="85" t="b">
        <f t="shared" si="12"/>
        <v>0</v>
      </c>
      <c r="L177" s="85" t="b">
        <f t="shared" si="13"/>
        <v>0</v>
      </c>
      <c r="M177" s="85" t="b">
        <f t="shared" si="14"/>
        <v>1</v>
      </c>
      <c r="N177" s="85" t="b">
        <f t="shared" si="10"/>
        <v>1</v>
      </c>
    </row>
    <row r="178" spans="1:14" s="85" customFormat="1" ht="15.75" x14ac:dyDescent="0.2">
      <c r="A178" s="93">
        <f t="shared" si="11"/>
        <v>177</v>
      </c>
      <c r="B178" s="87">
        <v>2500</v>
      </c>
      <c r="C178" s="87">
        <v>20000141</v>
      </c>
      <c r="D178" s="87" t="s">
        <v>115</v>
      </c>
      <c r="E178" s="89"/>
      <c r="F178" s="90"/>
      <c r="G178" s="91"/>
      <c r="H178" s="91"/>
      <c r="I178" s="92"/>
      <c r="J178" s="92"/>
      <c r="K178" s="85" t="b">
        <f t="shared" si="12"/>
        <v>0</v>
      </c>
      <c r="L178" s="85" t="b">
        <f t="shared" si="13"/>
        <v>0</v>
      </c>
      <c r="M178" s="85" t="b">
        <f t="shared" si="14"/>
        <v>1</v>
      </c>
      <c r="N178" s="85" t="b">
        <f t="shared" si="10"/>
        <v>1</v>
      </c>
    </row>
    <row r="179" spans="1:14" s="85" customFormat="1" ht="15.75" x14ac:dyDescent="0.2">
      <c r="A179" s="93">
        <f t="shared" si="11"/>
        <v>178</v>
      </c>
      <c r="B179" s="87">
        <v>246</v>
      </c>
      <c r="C179" s="87">
        <v>20000026</v>
      </c>
      <c r="D179" s="87" t="s">
        <v>116</v>
      </c>
      <c r="E179" s="89"/>
      <c r="F179" s="90"/>
      <c r="G179" s="91"/>
      <c r="H179" s="91"/>
      <c r="I179" s="92"/>
      <c r="J179" s="92"/>
      <c r="K179" s="85" t="b">
        <f t="shared" si="12"/>
        <v>0</v>
      </c>
      <c r="L179" s="85" t="b">
        <f t="shared" si="13"/>
        <v>0</v>
      </c>
      <c r="M179" s="85" t="b">
        <f t="shared" si="14"/>
        <v>1</v>
      </c>
      <c r="N179" s="85" t="b">
        <f t="shared" si="10"/>
        <v>1</v>
      </c>
    </row>
    <row r="180" spans="1:14" s="85" customFormat="1" ht="15.75" x14ac:dyDescent="0.2">
      <c r="A180" s="93">
        <f t="shared" si="11"/>
        <v>179</v>
      </c>
      <c r="B180" s="87">
        <v>7400</v>
      </c>
      <c r="C180" s="87">
        <v>20000233</v>
      </c>
      <c r="D180" s="87" t="s">
        <v>117</v>
      </c>
      <c r="E180" s="89"/>
      <c r="F180" s="90"/>
      <c r="G180" s="91"/>
      <c r="H180" s="91"/>
      <c r="I180" s="92"/>
      <c r="J180" s="92"/>
      <c r="K180" s="85" t="b">
        <f t="shared" si="12"/>
        <v>0</v>
      </c>
      <c r="L180" s="85" t="b">
        <f t="shared" si="13"/>
        <v>0</v>
      </c>
      <c r="M180" s="85" t="b">
        <f t="shared" si="14"/>
        <v>1</v>
      </c>
      <c r="N180" s="85" t="b">
        <f t="shared" si="10"/>
        <v>1</v>
      </c>
    </row>
    <row r="181" spans="1:14" s="85" customFormat="1" ht="15.75" x14ac:dyDescent="0.2">
      <c r="A181" s="93">
        <f t="shared" si="11"/>
        <v>180</v>
      </c>
      <c r="B181" s="87">
        <v>525</v>
      </c>
      <c r="C181" s="87">
        <v>20000060</v>
      </c>
      <c r="D181" s="87" t="s">
        <v>118</v>
      </c>
      <c r="E181" s="89"/>
      <c r="F181" s="90"/>
      <c r="G181" s="91"/>
      <c r="H181" s="91"/>
      <c r="I181" s="92"/>
      <c r="J181" s="92"/>
      <c r="K181" s="85" t="b">
        <f t="shared" si="12"/>
        <v>0</v>
      </c>
      <c r="L181" s="85" t="b">
        <f t="shared" si="13"/>
        <v>0</v>
      </c>
      <c r="M181" s="85" t="b">
        <f t="shared" si="14"/>
        <v>1</v>
      </c>
      <c r="N181" s="85" t="b">
        <f t="shared" si="10"/>
        <v>1</v>
      </c>
    </row>
    <row r="182" spans="1:14" s="85" customFormat="1" ht="15.75" x14ac:dyDescent="0.2">
      <c r="A182" s="93">
        <f t="shared" si="11"/>
        <v>181</v>
      </c>
      <c r="B182" s="87">
        <v>587</v>
      </c>
      <c r="C182" s="87">
        <v>20000074</v>
      </c>
      <c r="D182" s="87" t="s">
        <v>492</v>
      </c>
      <c r="E182" s="89"/>
      <c r="F182" s="90"/>
      <c r="G182" s="91"/>
      <c r="H182" s="91"/>
      <c r="I182" s="92"/>
      <c r="J182" s="92"/>
      <c r="K182" s="85" t="b">
        <f t="shared" si="12"/>
        <v>0</v>
      </c>
      <c r="L182" s="85" t="b">
        <f t="shared" si="13"/>
        <v>0</v>
      </c>
      <c r="M182" s="85" t="b">
        <f t="shared" si="14"/>
        <v>1</v>
      </c>
      <c r="N182" s="85" t="b">
        <f t="shared" si="10"/>
        <v>1</v>
      </c>
    </row>
    <row r="183" spans="1:14" s="85" customFormat="1" ht="15.75" x14ac:dyDescent="0.2">
      <c r="A183" s="93">
        <f t="shared" si="11"/>
        <v>182</v>
      </c>
      <c r="B183" s="87">
        <v>7500</v>
      </c>
      <c r="C183" s="87">
        <v>20000235</v>
      </c>
      <c r="D183" s="87" t="s">
        <v>119</v>
      </c>
      <c r="E183" s="89"/>
      <c r="F183" s="90"/>
      <c r="G183" s="91"/>
      <c r="H183" s="91"/>
      <c r="I183" s="92"/>
      <c r="J183" s="92"/>
      <c r="K183" s="85" t="b">
        <f t="shared" si="12"/>
        <v>0</v>
      </c>
      <c r="L183" s="85" t="b">
        <f t="shared" si="13"/>
        <v>0</v>
      </c>
      <c r="M183" s="85" t="b">
        <f t="shared" si="14"/>
        <v>1</v>
      </c>
      <c r="N183" s="85" t="b">
        <f t="shared" si="10"/>
        <v>1</v>
      </c>
    </row>
    <row r="184" spans="1:14" s="85" customFormat="1" ht="15.75" x14ac:dyDescent="0.2">
      <c r="A184" s="93">
        <f t="shared" si="11"/>
        <v>183</v>
      </c>
      <c r="B184" s="87">
        <v>4501</v>
      </c>
      <c r="C184" s="87">
        <v>20000199</v>
      </c>
      <c r="D184" s="87" t="s">
        <v>120</v>
      </c>
      <c r="E184" s="89"/>
      <c r="F184" s="90"/>
      <c r="G184" s="91"/>
      <c r="H184" s="91"/>
      <c r="I184" s="92"/>
      <c r="J184" s="92"/>
      <c r="K184" s="85" t="b">
        <f t="shared" si="12"/>
        <v>0</v>
      </c>
      <c r="L184" s="85" t="b">
        <f t="shared" si="13"/>
        <v>0</v>
      </c>
      <c r="M184" s="85" t="b">
        <f t="shared" si="14"/>
        <v>1</v>
      </c>
      <c r="N184" s="85" t="b">
        <f t="shared" si="10"/>
        <v>1</v>
      </c>
    </row>
    <row r="185" spans="1:14" s="85" customFormat="1" ht="15.75" x14ac:dyDescent="0.2">
      <c r="A185" s="93">
        <f t="shared" si="11"/>
        <v>184</v>
      </c>
      <c r="B185" s="87">
        <v>666</v>
      </c>
      <c r="C185" s="87">
        <v>20000082</v>
      </c>
      <c r="D185" s="87" t="s">
        <v>121</v>
      </c>
      <c r="E185" s="89"/>
      <c r="F185" s="90"/>
      <c r="G185" s="91"/>
      <c r="H185" s="91"/>
      <c r="I185" s="92"/>
      <c r="J185" s="92"/>
      <c r="K185" s="85" t="b">
        <f t="shared" si="12"/>
        <v>0</v>
      </c>
      <c r="L185" s="85" t="b">
        <f t="shared" si="13"/>
        <v>0</v>
      </c>
      <c r="M185" s="85" t="b">
        <f t="shared" si="14"/>
        <v>1</v>
      </c>
      <c r="N185" s="85" t="b">
        <f t="shared" si="10"/>
        <v>1</v>
      </c>
    </row>
    <row r="186" spans="1:14" s="85" customFormat="1" ht="15.75" x14ac:dyDescent="0.2">
      <c r="A186" s="93">
        <f t="shared" si="11"/>
        <v>185</v>
      </c>
      <c r="B186" s="87">
        <v>530</v>
      </c>
      <c r="C186" s="87">
        <v>20000062</v>
      </c>
      <c r="D186" s="87" t="s">
        <v>122</v>
      </c>
      <c r="E186" s="89"/>
      <c r="F186" s="90"/>
      <c r="G186" s="91"/>
      <c r="H186" s="91"/>
      <c r="I186" s="92"/>
      <c r="J186" s="92"/>
      <c r="K186" s="85" t="b">
        <f t="shared" si="12"/>
        <v>0</v>
      </c>
      <c r="L186" s="85" t="b">
        <f t="shared" si="13"/>
        <v>0</v>
      </c>
      <c r="M186" s="85" t="b">
        <f t="shared" si="14"/>
        <v>1</v>
      </c>
      <c r="N186" s="85" t="b">
        <f t="shared" si="10"/>
        <v>1</v>
      </c>
    </row>
    <row r="187" spans="1:14" s="85" customFormat="1" ht="15.75" x14ac:dyDescent="0.2">
      <c r="A187" s="93">
        <f t="shared" si="11"/>
        <v>186</v>
      </c>
      <c r="B187" s="87">
        <v>511</v>
      </c>
      <c r="C187" s="87">
        <v>20000054</v>
      </c>
      <c r="D187" s="87" t="s">
        <v>123</v>
      </c>
      <c r="E187" s="89"/>
      <c r="F187" s="90"/>
      <c r="G187" s="91"/>
      <c r="H187" s="91"/>
      <c r="I187" s="92"/>
      <c r="J187" s="92"/>
      <c r="K187" s="85" t="b">
        <f t="shared" si="12"/>
        <v>0</v>
      </c>
      <c r="L187" s="85" t="b">
        <f t="shared" si="13"/>
        <v>0</v>
      </c>
      <c r="M187" s="85" t="b">
        <f t="shared" si="14"/>
        <v>1</v>
      </c>
      <c r="N187" s="85" t="b">
        <f t="shared" si="10"/>
        <v>1</v>
      </c>
    </row>
    <row r="188" spans="1:14" s="85" customFormat="1" ht="15.75" x14ac:dyDescent="0.2">
      <c r="A188" s="93">
        <f t="shared" si="11"/>
        <v>187</v>
      </c>
      <c r="B188" s="87">
        <v>532</v>
      </c>
      <c r="C188" s="87">
        <v>20000064</v>
      </c>
      <c r="D188" s="87" t="s">
        <v>124</v>
      </c>
      <c r="E188" s="89"/>
      <c r="F188" s="90"/>
      <c r="G188" s="91"/>
      <c r="H188" s="91"/>
      <c r="I188" s="92"/>
      <c r="J188" s="92"/>
      <c r="K188" s="85" t="b">
        <f t="shared" si="12"/>
        <v>0</v>
      </c>
      <c r="L188" s="85" t="b">
        <f t="shared" si="13"/>
        <v>0</v>
      </c>
      <c r="M188" s="85" t="b">
        <f t="shared" si="14"/>
        <v>1</v>
      </c>
      <c r="N188" s="85" t="b">
        <f t="shared" si="10"/>
        <v>1</v>
      </c>
    </row>
    <row r="189" spans="1:14" s="85" customFormat="1" ht="15.75" x14ac:dyDescent="0.2">
      <c r="A189" s="93">
        <f t="shared" si="11"/>
        <v>188</v>
      </c>
      <c r="B189" s="87">
        <v>4502</v>
      </c>
      <c r="C189" s="87">
        <v>20000200</v>
      </c>
      <c r="D189" s="87" t="s">
        <v>125</v>
      </c>
      <c r="E189" s="89"/>
      <c r="F189" s="90"/>
      <c r="G189" s="91"/>
      <c r="H189" s="91"/>
      <c r="I189" s="92"/>
      <c r="J189" s="92"/>
      <c r="K189" s="85" t="b">
        <f t="shared" si="12"/>
        <v>0</v>
      </c>
      <c r="L189" s="85" t="b">
        <f t="shared" si="13"/>
        <v>0</v>
      </c>
      <c r="M189" s="85" t="b">
        <f t="shared" si="14"/>
        <v>1</v>
      </c>
      <c r="N189" s="85" t="b">
        <f t="shared" si="10"/>
        <v>1</v>
      </c>
    </row>
    <row r="190" spans="1:14" s="85" customFormat="1" ht="15.75" x14ac:dyDescent="0.2">
      <c r="A190" s="93">
        <f t="shared" si="11"/>
        <v>189</v>
      </c>
      <c r="B190" s="87">
        <v>7600</v>
      </c>
      <c r="C190" s="87">
        <v>20000238</v>
      </c>
      <c r="D190" s="87" t="s">
        <v>224</v>
      </c>
      <c r="E190" s="89"/>
      <c r="F190" s="90"/>
      <c r="G190" s="91"/>
      <c r="H190" s="91"/>
      <c r="I190" s="92"/>
      <c r="J190" s="92"/>
      <c r="K190" s="85" t="b">
        <f t="shared" si="12"/>
        <v>0</v>
      </c>
      <c r="L190" s="85" t="b">
        <f t="shared" si="13"/>
        <v>0</v>
      </c>
      <c r="M190" s="85" t="b">
        <f t="shared" si="14"/>
        <v>1</v>
      </c>
      <c r="N190" s="85" t="b">
        <f t="shared" si="10"/>
        <v>1</v>
      </c>
    </row>
    <row r="191" spans="1:14" s="85" customFormat="1" ht="15.75" x14ac:dyDescent="0.2">
      <c r="A191" s="93">
        <f t="shared" si="11"/>
        <v>190</v>
      </c>
      <c r="B191" s="87">
        <v>3660</v>
      </c>
      <c r="C191" s="87">
        <v>20000175</v>
      </c>
      <c r="D191" s="87" t="s">
        <v>126</v>
      </c>
      <c r="E191" s="89"/>
      <c r="F191" s="90"/>
      <c r="G191" s="91"/>
      <c r="H191" s="91"/>
      <c r="I191" s="92"/>
      <c r="J191" s="92"/>
      <c r="K191" s="85" t="b">
        <f t="shared" si="12"/>
        <v>0</v>
      </c>
      <c r="L191" s="85" t="b">
        <f t="shared" si="13"/>
        <v>0</v>
      </c>
      <c r="M191" s="85" t="b">
        <f t="shared" si="14"/>
        <v>1</v>
      </c>
      <c r="N191" s="85" t="b">
        <f t="shared" si="10"/>
        <v>1</v>
      </c>
    </row>
    <row r="192" spans="1:14" s="85" customFormat="1" ht="15.75" x14ac:dyDescent="0.2">
      <c r="A192" s="93">
        <f t="shared" si="11"/>
        <v>191</v>
      </c>
      <c r="B192" s="87">
        <v>6</v>
      </c>
      <c r="C192" s="87">
        <v>20000132</v>
      </c>
      <c r="D192" s="87" t="s">
        <v>194</v>
      </c>
      <c r="E192" s="89"/>
      <c r="F192" s="90"/>
      <c r="G192" s="91"/>
      <c r="H192" s="91"/>
      <c r="I192" s="92"/>
      <c r="J192" s="92"/>
      <c r="K192" s="85" t="b">
        <f t="shared" si="12"/>
        <v>0</v>
      </c>
      <c r="L192" s="85" t="b">
        <f t="shared" si="13"/>
        <v>0</v>
      </c>
      <c r="M192" s="85" t="b">
        <f t="shared" si="14"/>
        <v>1</v>
      </c>
      <c r="N192" s="85" t="b">
        <f t="shared" si="10"/>
        <v>1</v>
      </c>
    </row>
    <row r="193" spans="1:14" s="85" customFormat="1" ht="15.75" x14ac:dyDescent="0.2">
      <c r="A193" s="93">
        <f t="shared" si="11"/>
        <v>192</v>
      </c>
      <c r="B193" s="87">
        <v>7</v>
      </c>
      <c r="C193" s="87">
        <v>20000134</v>
      </c>
      <c r="D193" s="87" t="s">
        <v>192</v>
      </c>
      <c r="E193" s="89"/>
      <c r="F193" s="90"/>
      <c r="G193" s="91"/>
      <c r="H193" s="91"/>
      <c r="I193" s="92"/>
      <c r="J193" s="92"/>
      <c r="K193" s="85" t="b">
        <f t="shared" si="12"/>
        <v>0</v>
      </c>
      <c r="L193" s="85" t="b">
        <f t="shared" si="13"/>
        <v>0</v>
      </c>
      <c r="M193" s="85" t="b">
        <f t="shared" si="14"/>
        <v>1</v>
      </c>
      <c r="N193" s="85" t="b">
        <f t="shared" si="10"/>
        <v>1</v>
      </c>
    </row>
    <row r="194" spans="1:14" s="85" customFormat="1" ht="15.75" x14ac:dyDescent="0.2">
      <c r="A194" s="93">
        <f t="shared" si="11"/>
        <v>193</v>
      </c>
      <c r="B194" s="87">
        <v>16</v>
      </c>
      <c r="C194" s="87">
        <v>20000185</v>
      </c>
      <c r="D194" s="87" t="s">
        <v>215</v>
      </c>
      <c r="E194" s="89"/>
      <c r="F194" s="90"/>
      <c r="G194" s="91"/>
      <c r="H194" s="91"/>
      <c r="I194" s="92"/>
      <c r="J194" s="92"/>
      <c r="K194" s="85" t="b">
        <f t="shared" si="12"/>
        <v>0</v>
      </c>
      <c r="L194" s="85" t="b">
        <f t="shared" si="13"/>
        <v>0</v>
      </c>
      <c r="M194" s="85" t="b">
        <f t="shared" si="14"/>
        <v>1</v>
      </c>
      <c r="N194" s="85" t="b">
        <f t="shared" ref="N194:N257" si="15">OR(H194&lt;=6,AND(I194=1,H194&lt;=7),AND(G194&lt;=2,H194&lt;=7))</f>
        <v>1</v>
      </c>
    </row>
    <row r="195" spans="1:14" s="85" customFormat="1" ht="15.75" x14ac:dyDescent="0.2">
      <c r="A195" s="93">
        <f t="shared" ref="A195:A258" si="16">IF(D195="","",A194+1)</f>
        <v>194</v>
      </c>
      <c r="B195" s="87">
        <v>9</v>
      </c>
      <c r="C195" s="87">
        <v>20000136</v>
      </c>
      <c r="D195" s="87" t="s">
        <v>214</v>
      </c>
      <c r="E195" s="89"/>
      <c r="F195" s="90"/>
      <c r="G195" s="91"/>
      <c r="H195" s="91"/>
      <c r="I195" s="92"/>
      <c r="J195" s="92"/>
      <c r="K195" s="85" t="b">
        <f t="shared" ref="K195:K258" si="17">AND(G195&gt;0,G195&lt;=10)</f>
        <v>0</v>
      </c>
      <c r="L195" s="85" t="b">
        <f t="shared" ref="L195:L258" si="18">AND(H195&gt;0,H195&lt;=10)</f>
        <v>0</v>
      </c>
      <c r="M195" s="85" t="b">
        <f t="shared" ref="M195:M258" si="19">OR(I195=0,I195=1)</f>
        <v>1</v>
      </c>
      <c r="N195" s="85" t="b">
        <f t="shared" si="15"/>
        <v>1</v>
      </c>
    </row>
    <row r="196" spans="1:14" s="85" customFormat="1" ht="15.75" x14ac:dyDescent="0.2">
      <c r="A196" s="93">
        <f t="shared" si="16"/>
        <v>195</v>
      </c>
      <c r="B196" s="87">
        <v>40</v>
      </c>
      <c r="C196" s="87">
        <v>20000193</v>
      </c>
      <c r="D196" s="87" t="s">
        <v>493</v>
      </c>
      <c r="E196" s="89"/>
      <c r="F196" s="90"/>
      <c r="G196" s="91"/>
      <c r="H196" s="91"/>
      <c r="I196" s="92"/>
      <c r="J196" s="92"/>
      <c r="K196" s="85" t="b">
        <f t="shared" si="17"/>
        <v>0</v>
      </c>
      <c r="L196" s="85" t="b">
        <f t="shared" si="18"/>
        <v>0</v>
      </c>
      <c r="M196" s="85" t="b">
        <f t="shared" si="19"/>
        <v>1</v>
      </c>
      <c r="N196" s="85" t="b">
        <f t="shared" si="15"/>
        <v>1</v>
      </c>
    </row>
    <row r="197" spans="1:14" s="85" customFormat="1" ht="15.75" x14ac:dyDescent="0.2">
      <c r="A197" s="93">
        <f t="shared" si="16"/>
        <v>196</v>
      </c>
      <c r="B197" s="87">
        <v>534</v>
      </c>
      <c r="C197" s="87">
        <v>20000065</v>
      </c>
      <c r="D197" s="87" t="s">
        <v>237</v>
      </c>
      <c r="E197" s="89"/>
      <c r="F197" s="90"/>
      <c r="G197" s="91"/>
      <c r="H197" s="91"/>
      <c r="I197" s="92"/>
      <c r="J197" s="92"/>
      <c r="K197" s="85" t="b">
        <f t="shared" si="17"/>
        <v>0</v>
      </c>
      <c r="L197" s="85" t="b">
        <f t="shared" si="18"/>
        <v>0</v>
      </c>
      <c r="M197" s="85" t="b">
        <f t="shared" si="19"/>
        <v>1</v>
      </c>
      <c r="N197" s="85" t="b">
        <f t="shared" si="15"/>
        <v>1</v>
      </c>
    </row>
    <row r="198" spans="1:14" s="85" customFormat="1" ht="15.75" x14ac:dyDescent="0.2">
      <c r="A198" s="93">
        <f t="shared" si="16"/>
        <v>197</v>
      </c>
      <c r="B198" s="87">
        <v>7700</v>
      </c>
      <c r="C198" s="87">
        <v>20000240</v>
      </c>
      <c r="D198" s="87" t="s">
        <v>127</v>
      </c>
      <c r="E198" s="89"/>
      <c r="F198" s="90"/>
      <c r="G198" s="91"/>
      <c r="H198" s="91"/>
      <c r="I198" s="92"/>
      <c r="J198" s="92"/>
      <c r="K198" s="85" t="b">
        <f t="shared" si="17"/>
        <v>0</v>
      </c>
      <c r="L198" s="85" t="b">
        <f t="shared" si="18"/>
        <v>0</v>
      </c>
      <c r="M198" s="85" t="b">
        <f t="shared" si="19"/>
        <v>1</v>
      </c>
      <c r="N198" s="85" t="b">
        <f t="shared" si="15"/>
        <v>1</v>
      </c>
    </row>
    <row r="199" spans="1:14" s="85" customFormat="1" ht="15.75" x14ac:dyDescent="0.2">
      <c r="A199" s="93">
        <f t="shared" si="16"/>
        <v>198</v>
      </c>
      <c r="B199" s="87">
        <v>531</v>
      </c>
      <c r="C199" s="87">
        <v>20000063</v>
      </c>
      <c r="D199" s="87" t="s">
        <v>128</v>
      </c>
      <c r="E199" s="89"/>
      <c r="F199" s="90"/>
      <c r="G199" s="91"/>
      <c r="H199" s="91"/>
      <c r="I199" s="92"/>
      <c r="J199" s="92"/>
      <c r="K199" s="85" t="b">
        <f t="shared" si="17"/>
        <v>0</v>
      </c>
      <c r="L199" s="85" t="b">
        <f t="shared" si="18"/>
        <v>0</v>
      </c>
      <c r="M199" s="85" t="b">
        <f t="shared" si="19"/>
        <v>1</v>
      </c>
      <c r="N199" s="85" t="b">
        <f t="shared" si="15"/>
        <v>1</v>
      </c>
    </row>
    <row r="200" spans="1:14" s="85" customFormat="1" ht="15.75" x14ac:dyDescent="0.2">
      <c r="A200" s="93">
        <f t="shared" si="16"/>
        <v>199</v>
      </c>
      <c r="B200" s="87">
        <v>75</v>
      </c>
      <c r="C200" s="87">
        <v>20000237</v>
      </c>
      <c r="D200" s="87" t="s">
        <v>251</v>
      </c>
      <c r="E200" s="89"/>
      <c r="F200" s="90"/>
      <c r="G200" s="91"/>
      <c r="H200" s="91"/>
      <c r="I200" s="92"/>
      <c r="J200" s="92"/>
      <c r="K200" s="85" t="b">
        <f t="shared" si="17"/>
        <v>0</v>
      </c>
      <c r="L200" s="85" t="b">
        <f t="shared" si="18"/>
        <v>0</v>
      </c>
      <c r="M200" s="85" t="b">
        <f t="shared" si="19"/>
        <v>1</v>
      </c>
      <c r="N200" s="85" t="b">
        <f t="shared" si="15"/>
        <v>1</v>
      </c>
    </row>
    <row r="201" spans="1:14" s="85" customFormat="1" ht="15.75" x14ac:dyDescent="0.2">
      <c r="A201" s="93">
        <f t="shared" si="16"/>
        <v>200</v>
      </c>
      <c r="B201" s="87">
        <v>2560</v>
      </c>
      <c r="C201" s="87">
        <v>20000144</v>
      </c>
      <c r="D201" s="87" t="s">
        <v>129</v>
      </c>
      <c r="E201" s="89"/>
      <c r="F201" s="90"/>
      <c r="G201" s="91"/>
      <c r="H201" s="91"/>
      <c r="I201" s="92"/>
      <c r="J201" s="92"/>
      <c r="K201" s="85" t="b">
        <f t="shared" si="17"/>
        <v>0</v>
      </c>
      <c r="L201" s="85" t="b">
        <f t="shared" si="18"/>
        <v>0</v>
      </c>
      <c r="M201" s="85" t="b">
        <f t="shared" si="19"/>
        <v>1</v>
      </c>
      <c r="N201" s="85" t="b">
        <f t="shared" si="15"/>
        <v>1</v>
      </c>
    </row>
    <row r="202" spans="1:14" s="85" customFormat="1" ht="15.75" x14ac:dyDescent="0.2">
      <c r="A202" s="93">
        <f t="shared" si="16"/>
        <v>201</v>
      </c>
      <c r="B202" s="87">
        <v>637</v>
      </c>
      <c r="C202" s="87">
        <v>20000079</v>
      </c>
      <c r="D202" s="87" t="s">
        <v>130</v>
      </c>
      <c r="E202" s="89"/>
      <c r="F202" s="90"/>
      <c r="G202" s="91"/>
      <c r="H202" s="91"/>
      <c r="I202" s="92"/>
      <c r="J202" s="92"/>
      <c r="K202" s="85" t="b">
        <f t="shared" si="17"/>
        <v>0</v>
      </c>
      <c r="L202" s="85" t="b">
        <f t="shared" si="18"/>
        <v>0</v>
      </c>
      <c r="M202" s="85" t="b">
        <f t="shared" si="19"/>
        <v>1</v>
      </c>
      <c r="N202" s="85" t="b">
        <f t="shared" si="15"/>
        <v>1</v>
      </c>
    </row>
    <row r="203" spans="1:14" s="85" customFormat="1" ht="15.75" x14ac:dyDescent="0.2">
      <c r="A203" s="93">
        <f t="shared" si="16"/>
        <v>202</v>
      </c>
      <c r="B203" s="87">
        <v>1192</v>
      </c>
      <c r="C203" s="87">
        <v>20000298</v>
      </c>
      <c r="D203" s="87" t="s">
        <v>238</v>
      </c>
      <c r="E203" s="89"/>
      <c r="F203" s="90"/>
      <c r="G203" s="91"/>
      <c r="H203" s="91"/>
      <c r="I203" s="92"/>
      <c r="J203" s="92"/>
      <c r="K203" s="85" t="b">
        <f t="shared" si="17"/>
        <v>0</v>
      </c>
      <c r="L203" s="85" t="b">
        <f t="shared" si="18"/>
        <v>0</v>
      </c>
      <c r="M203" s="85" t="b">
        <f t="shared" si="19"/>
        <v>1</v>
      </c>
      <c r="N203" s="85" t="b">
        <f t="shared" si="15"/>
        <v>1</v>
      </c>
    </row>
    <row r="204" spans="1:14" s="85" customFormat="1" ht="15.75" x14ac:dyDescent="0.2">
      <c r="A204" s="93">
        <f t="shared" si="16"/>
        <v>203</v>
      </c>
      <c r="B204" s="87">
        <v>537</v>
      </c>
      <c r="C204" s="87">
        <v>20000068</v>
      </c>
      <c r="D204" s="87" t="s">
        <v>239</v>
      </c>
      <c r="E204" s="89"/>
      <c r="F204" s="90"/>
      <c r="G204" s="91"/>
      <c r="H204" s="91"/>
      <c r="I204" s="92"/>
      <c r="J204" s="92"/>
      <c r="K204" s="85" t="b">
        <f t="shared" si="17"/>
        <v>0</v>
      </c>
      <c r="L204" s="85" t="b">
        <f t="shared" si="18"/>
        <v>0</v>
      </c>
      <c r="M204" s="85" t="b">
        <f t="shared" si="19"/>
        <v>1</v>
      </c>
      <c r="N204" s="85" t="b">
        <f t="shared" si="15"/>
        <v>1</v>
      </c>
    </row>
    <row r="205" spans="1:14" s="85" customFormat="1" ht="15.75" x14ac:dyDescent="0.2">
      <c r="A205" s="93">
        <f t="shared" si="16"/>
        <v>204</v>
      </c>
      <c r="B205" s="87">
        <v>535</v>
      </c>
      <c r="C205" s="87">
        <v>20000066</v>
      </c>
      <c r="D205" s="87" t="s">
        <v>131</v>
      </c>
      <c r="E205" s="89"/>
      <c r="F205" s="90"/>
      <c r="G205" s="91"/>
      <c r="H205" s="91"/>
      <c r="I205" s="92"/>
      <c r="J205" s="92"/>
      <c r="K205" s="85" t="b">
        <f t="shared" si="17"/>
        <v>0</v>
      </c>
      <c r="L205" s="85" t="b">
        <f t="shared" si="18"/>
        <v>0</v>
      </c>
      <c r="M205" s="85" t="b">
        <f t="shared" si="19"/>
        <v>1</v>
      </c>
      <c r="N205" s="85" t="b">
        <f t="shared" si="15"/>
        <v>1</v>
      </c>
    </row>
    <row r="206" spans="1:14" s="85" customFormat="1" ht="15.75" x14ac:dyDescent="0.2">
      <c r="A206" s="93">
        <f t="shared" si="16"/>
        <v>205</v>
      </c>
      <c r="B206" s="87">
        <v>536</v>
      </c>
      <c r="C206" s="87">
        <v>20000067</v>
      </c>
      <c r="D206" s="87" t="s">
        <v>132</v>
      </c>
      <c r="E206" s="89"/>
      <c r="F206" s="90"/>
      <c r="G206" s="91"/>
      <c r="H206" s="91"/>
      <c r="I206" s="92"/>
      <c r="J206" s="92"/>
      <c r="K206" s="85" t="b">
        <f t="shared" si="17"/>
        <v>0</v>
      </c>
      <c r="L206" s="85" t="b">
        <f t="shared" si="18"/>
        <v>0</v>
      </c>
      <c r="M206" s="85" t="b">
        <f t="shared" si="19"/>
        <v>1</v>
      </c>
      <c r="N206" s="85" t="b">
        <f t="shared" si="15"/>
        <v>1</v>
      </c>
    </row>
    <row r="207" spans="1:14" s="85" customFormat="1" ht="15.75" x14ac:dyDescent="0.2">
      <c r="A207" s="93">
        <f t="shared" si="16"/>
        <v>206</v>
      </c>
      <c r="B207" s="87">
        <v>7800</v>
      </c>
      <c r="C207" s="87">
        <v>20000242</v>
      </c>
      <c r="D207" s="87" t="s">
        <v>240</v>
      </c>
      <c r="E207" s="89"/>
      <c r="F207" s="90"/>
      <c r="G207" s="91"/>
      <c r="H207" s="91"/>
      <c r="I207" s="92"/>
      <c r="J207" s="92"/>
      <c r="K207" s="85" t="b">
        <f t="shared" si="17"/>
        <v>0</v>
      </c>
      <c r="L207" s="85" t="b">
        <f t="shared" si="18"/>
        <v>0</v>
      </c>
      <c r="M207" s="85" t="b">
        <f t="shared" si="19"/>
        <v>1</v>
      </c>
      <c r="N207" s="85" t="b">
        <f t="shared" si="15"/>
        <v>1</v>
      </c>
    </row>
    <row r="208" spans="1:14" s="85" customFormat="1" ht="15.75" x14ac:dyDescent="0.2">
      <c r="A208" s="93">
        <f t="shared" si="16"/>
        <v>207</v>
      </c>
      <c r="B208" s="87">
        <v>171</v>
      </c>
      <c r="C208" s="87">
        <v>20000020</v>
      </c>
      <c r="D208" s="87" t="s">
        <v>133</v>
      </c>
      <c r="E208" s="89"/>
      <c r="F208" s="90"/>
      <c r="G208" s="91"/>
      <c r="H208" s="91"/>
      <c r="I208" s="92"/>
      <c r="J208" s="92"/>
      <c r="K208" s="85" t="b">
        <f t="shared" si="17"/>
        <v>0</v>
      </c>
      <c r="L208" s="85" t="b">
        <f t="shared" si="18"/>
        <v>0</v>
      </c>
      <c r="M208" s="85" t="b">
        <f t="shared" si="19"/>
        <v>1</v>
      </c>
      <c r="N208" s="85" t="b">
        <f t="shared" si="15"/>
        <v>1</v>
      </c>
    </row>
    <row r="209" spans="1:14" s="85" customFormat="1" ht="15.75" x14ac:dyDescent="0.2">
      <c r="A209" s="93">
        <f t="shared" si="16"/>
        <v>208</v>
      </c>
      <c r="B209" s="87">
        <v>7900</v>
      </c>
      <c r="C209" s="87">
        <v>20000243</v>
      </c>
      <c r="D209" s="87" t="s">
        <v>134</v>
      </c>
      <c r="E209" s="89"/>
      <c r="F209" s="90"/>
      <c r="G209" s="91"/>
      <c r="H209" s="91"/>
      <c r="I209" s="92"/>
      <c r="J209" s="92"/>
      <c r="K209" s="85" t="b">
        <f t="shared" si="17"/>
        <v>0</v>
      </c>
      <c r="L209" s="85" t="b">
        <f t="shared" si="18"/>
        <v>0</v>
      </c>
      <c r="M209" s="85" t="b">
        <f t="shared" si="19"/>
        <v>1</v>
      </c>
      <c r="N209" s="85" t="b">
        <f t="shared" si="15"/>
        <v>1</v>
      </c>
    </row>
    <row r="210" spans="1:14" s="85" customFormat="1" ht="15.75" x14ac:dyDescent="0.2">
      <c r="A210" s="93">
        <f t="shared" si="16"/>
        <v>209</v>
      </c>
      <c r="B210" s="87">
        <v>8000</v>
      </c>
      <c r="C210" s="87">
        <v>20000244</v>
      </c>
      <c r="D210" s="87" t="s">
        <v>135</v>
      </c>
      <c r="E210" s="89"/>
      <c r="F210" s="90"/>
      <c r="G210" s="91"/>
      <c r="H210" s="91"/>
      <c r="I210" s="92"/>
      <c r="J210" s="92"/>
      <c r="K210" s="85" t="b">
        <f t="shared" si="17"/>
        <v>0</v>
      </c>
      <c r="L210" s="85" t="b">
        <f t="shared" si="18"/>
        <v>0</v>
      </c>
      <c r="M210" s="85" t="b">
        <f t="shared" si="19"/>
        <v>1</v>
      </c>
      <c r="N210" s="85" t="b">
        <f t="shared" si="15"/>
        <v>1</v>
      </c>
    </row>
    <row r="211" spans="1:14" s="85" customFormat="1" ht="15.75" x14ac:dyDescent="0.2">
      <c r="A211" s="93">
        <f t="shared" si="16"/>
        <v>210</v>
      </c>
      <c r="B211" s="87">
        <v>3557</v>
      </c>
      <c r="C211" s="87">
        <v>20000165</v>
      </c>
      <c r="D211" s="87" t="s">
        <v>136</v>
      </c>
      <c r="E211" s="89"/>
      <c r="F211" s="90"/>
      <c r="G211" s="91"/>
      <c r="H211" s="91"/>
      <c r="I211" s="92"/>
      <c r="J211" s="92"/>
      <c r="K211" s="85" t="b">
        <f t="shared" si="17"/>
        <v>0</v>
      </c>
      <c r="L211" s="85" t="b">
        <f t="shared" si="18"/>
        <v>0</v>
      </c>
      <c r="M211" s="85" t="b">
        <f t="shared" si="19"/>
        <v>1</v>
      </c>
      <c r="N211" s="85" t="b">
        <f t="shared" si="15"/>
        <v>1</v>
      </c>
    </row>
    <row r="212" spans="1:14" s="85" customFormat="1" ht="15.75" x14ac:dyDescent="0.2">
      <c r="A212" s="93">
        <f t="shared" si="16"/>
        <v>211</v>
      </c>
      <c r="B212" s="87">
        <v>195</v>
      </c>
      <c r="C212" s="87">
        <v>20000022</v>
      </c>
      <c r="D212" s="87" t="s">
        <v>241</v>
      </c>
      <c r="E212" s="89"/>
      <c r="F212" s="90"/>
      <c r="G212" s="91"/>
      <c r="H212" s="91"/>
      <c r="I212" s="92"/>
      <c r="J212" s="92"/>
      <c r="K212" s="85" t="b">
        <f t="shared" si="17"/>
        <v>0</v>
      </c>
      <c r="L212" s="85" t="b">
        <f t="shared" si="18"/>
        <v>0</v>
      </c>
      <c r="M212" s="85" t="b">
        <f t="shared" si="19"/>
        <v>1</v>
      </c>
      <c r="N212" s="85" t="b">
        <f t="shared" si="15"/>
        <v>1</v>
      </c>
    </row>
    <row r="213" spans="1:14" s="85" customFormat="1" ht="15.75" x14ac:dyDescent="0.2">
      <c r="A213" s="93">
        <f t="shared" si="16"/>
        <v>212</v>
      </c>
      <c r="B213" s="87">
        <v>638</v>
      </c>
      <c r="C213" s="87">
        <v>20000080</v>
      </c>
      <c r="D213" s="87" t="s">
        <v>137</v>
      </c>
      <c r="E213" s="89"/>
      <c r="F213" s="90"/>
      <c r="G213" s="91"/>
      <c r="H213" s="91"/>
      <c r="I213" s="92"/>
      <c r="J213" s="92"/>
      <c r="K213" s="85" t="b">
        <f t="shared" si="17"/>
        <v>0</v>
      </c>
      <c r="L213" s="85" t="b">
        <f t="shared" si="18"/>
        <v>0</v>
      </c>
      <c r="M213" s="85" t="b">
        <f t="shared" si="19"/>
        <v>1</v>
      </c>
      <c r="N213" s="85" t="b">
        <f t="shared" si="15"/>
        <v>1</v>
      </c>
    </row>
    <row r="214" spans="1:14" s="85" customFormat="1" ht="15.75" x14ac:dyDescent="0.2">
      <c r="A214" s="93">
        <f t="shared" si="16"/>
        <v>213</v>
      </c>
      <c r="B214" s="87">
        <v>4100</v>
      </c>
      <c r="C214" s="87">
        <v>20000184</v>
      </c>
      <c r="D214" s="87" t="s">
        <v>138</v>
      </c>
      <c r="E214" s="89"/>
      <c r="F214" s="90"/>
      <c r="G214" s="91"/>
      <c r="H214" s="91"/>
      <c r="I214" s="92"/>
      <c r="J214" s="92"/>
      <c r="K214" s="85" t="b">
        <f t="shared" si="17"/>
        <v>0</v>
      </c>
      <c r="L214" s="85" t="b">
        <f t="shared" si="18"/>
        <v>0</v>
      </c>
      <c r="M214" s="85" t="b">
        <f t="shared" si="19"/>
        <v>1</v>
      </c>
      <c r="N214" s="85" t="b">
        <f t="shared" si="15"/>
        <v>1</v>
      </c>
    </row>
    <row r="215" spans="1:14" s="85" customFormat="1" ht="15.75" x14ac:dyDescent="0.2">
      <c r="A215" s="93">
        <f t="shared" si="16"/>
        <v>214</v>
      </c>
      <c r="B215" s="87">
        <v>2620</v>
      </c>
      <c r="C215" s="87">
        <v>20000149</v>
      </c>
      <c r="D215" s="87" t="s">
        <v>139</v>
      </c>
      <c r="E215" s="89"/>
      <c r="F215" s="90"/>
      <c r="G215" s="91"/>
      <c r="H215" s="91"/>
      <c r="I215" s="92"/>
      <c r="J215" s="92"/>
      <c r="K215" s="85" t="b">
        <f t="shared" si="17"/>
        <v>0</v>
      </c>
      <c r="L215" s="85" t="b">
        <f t="shared" si="18"/>
        <v>0</v>
      </c>
      <c r="M215" s="85" t="b">
        <f t="shared" si="19"/>
        <v>1</v>
      </c>
      <c r="N215" s="85" t="b">
        <f t="shared" si="15"/>
        <v>1</v>
      </c>
    </row>
    <row r="216" spans="1:14" s="85" customFormat="1" ht="15.75" x14ac:dyDescent="0.2">
      <c r="A216" s="93">
        <f t="shared" si="16"/>
        <v>215</v>
      </c>
      <c r="B216" s="87">
        <v>3611</v>
      </c>
      <c r="C216" s="87">
        <v>20000170</v>
      </c>
      <c r="D216" s="87" t="s">
        <v>140</v>
      </c>
      <c r="E216" s="89"/>
      <c r="F216" s="90"/>
      <c r="G216" s="91"/>
      <c r="H216" s="91"/>
      <c r="I216" s="92"/>
      <c r="J216" s="92"/>
      <c r="K216" s="85" t="b">
        <f t="shared" si="17"/>
        <v>0</v>
      </c>
      <c r="L216" s="85" t="b">
        <f t="shared" si="18"/>
        <v>0</v>
      </c>
      <c r="M216" s="85" t="b">
        <f t="shared" si="19"/>
        <v>1</v>
      </c>
      <c r="N216" s="85" t="b">
        <f t="shared" si="15"/>
        <v>1</v>
      </c>
    </row>
    <row r="217" spans="1:14" s="85" customFormat="1" ht="15.75" x14ac:dyDescent="0.2">
      <c r="A217" s="93">
        <f t="shared" si="16"/>
        <v>216</v>
      </c>
      <c r="B217" s="87">
        <v>6800</v>
      </c>
      <c r="C217" s="87">
        <v>20000226</v>
      </c>
      <c r="D217" s="87" t="s">
        <v>141</v>
      </c>
      <c r="E217" s="89"/>
      <c r="F217" s="90"/>
      <c r="G217" s="91"/>
      <c r="H217" s="91"/>
      <c r="I217" s="92"/>
      <c r="J217" s="92"/>
      <c r="K217" s="85" t="b">
        <f t="shared" si="17"/>
        <v>0</v>
      </c>
      <c r="L217" s="85" t="b">
        <f t="shared" si="18"/>
        <v>0</v>
      </c>
      <c r="M217" s="85" t="b">
        <f t="shared" si="19"/>
        <v>1</v>
      </c>
      <c r="N217" s="85" t="b">
        <f t="shared" si="15"/>
        <v>1</v>
      </c>
    </row>
    <row r="218" spans="1:14" s="85" customFormat="1" ht="15.75" x14ac:dyDescent="0.2">
      <c r="A218" s="93">
        <f t="shared" si="16"/>
        <v>217</v>
      </c>
      <c r="B218" s="87">
        <v>9500</v>
      </c>
      <c r="C218" s="87">
        <v>20000259</v>
      </c>
      <c r="D218" s="87" t="s">
        <v>142</v>
      </c>
      <c r="E218" s="89"/>
      <c r="F218" s="90"/>
      <c r="G218" s="91"/>
      <c r="H218" s="91"/>
      <c r="I218" s="92"/>
      <c r="J218" s="92"/>
      <c r="K218" s="85" t="b">
        <f t="shared" si="17"/>
        <v>0</v>
      </c>
      <c r="L218" s="85" t="b">
        <f t="shared" si="18"/>
        <v>0</v>
      </c>
      <c r="M218" s="85" t="b">
        <f t="shared" si="19"/>
        <v>1</v>
      </c>
      <c r="N218" s="85" t="b">
        <f t="shared" si="15"/>
        <v>1</v>
      </c>
    </row>
    <row r="219" spans="1:14" s="85" customFormat="1" ht="15.75" x14ac:dyDescent="0.2">
      <c r="A219" s="93">
        <f t="shared" si="16"/>
        <v>218</v>
      </c>
      <c r="B219" s="87">
        <v>2630</v>
      </c>
      <c r="C219" s="87">
        <v>20000150</v>
      </c>
      <c r="D219" s="87" t="s">
        <v>143</v>
      </c>
      <c r="E219" s="89"/>
      <c r="F219" s="90"/>
      <c r="G219" s="91"/>
      <c r="H219" s="91"/>
      <c r="I219" s="92"/>
      <c r="J219" s="92"/>
      <c r="K219" s="85" t="b">
        <f t="shared" si="17"/>
        <v>0</v>
      </c>
      <c r="L219" s="85" t="b">
        <f t="shared" si="18"/>
        <v>0</v>
      </c>
      <c r="M219" s="85" t="b">
        <f t="shared" si="19"/>
        <v>1</v>
      </c>
      <c r="N219" s="85" t="b">
        <f t="shared" si="15"/>
        <v>1</v>
      </c>
    </row>
    <row r="220" spans="1:14" s="85" customFormat="1" ht="15.75" x14ac:dyDescent="0.2">
      <c r="A220" s="93">
        <f t="shared" si="16"/>
        <v>219</v>
      </c>
      <c r="B220" s="87">
        <v>2300</v>
      </c>
      <c r="C220" s="87">
        <v>20000133</v>
      </c>
      <c r="D220" s="87" t="s">
        <v>144</v>
      </c>
      <c r="E220" s="89"/>
      <c r="F220" s="90"/>
      <c r="G220" s="91"/>
      <c r="H220" s="91"/>
      <c r="I220" s="92"/>
      <c r="J220" s="92"/>
      <c r="K220" s="85" t="b">
        <f t="shared" si="17"/>
        <v>0</v>
      </c>
      <c r="L220" s="85" t="b">
        <f t="shared" si="18"/>
        <v>0</v>
      </c>
      <c r="M220" s="85" t="b">
        <f t="shared" si="19"/>
        <v>1</v>
      </c>
      <c r="N220" s="85" t="b">
        <f t="shared" si="15"/>
        <v>1</v>
      </c>
    </row>
    <row r="221" spans="1:14" s="85" customFormat="1" ht="15.75" x14ac:dyDescent="0.2">
      <c r="A221" s="93">
        <f t="shared" si="16"/>
        <v>220</v>
      </c>
      <c r="B221" s="87">
        <v>9600</v>
      </c>
      <c r="C221" s="87">
        <v>20000260</v>
      </c>
      <c r="D221" s="87" t="s">
        <v>145</v>
      </c>
      <c r="E221" s="89"/>
      <c r="F221" s="90"/>
      <c r="G221" s="91"/>
      <c r="H221" s="91"/>
      <c r="I221" s="92"/>
      <c r="J221" s="92"/>
      <c r="K221" s="85" t="b">
        <f t="shared" si="17"/>
        <v>0</v>
      </c>
      <c r="L221" s="85" t="b">
        <f t="shared" si="18"/>
        <v>0</v>
      </c>
      <c r="M221" s="85" t="b">
        <f t="shared" si="19"/>
        <v>1</v>
      </c>
      <c r="N221" s="85" t="b">
        <f t="shared" si="15"/>
        <v>1</v>
      </c>
    </row>
    <row r="222" spans="1:14" s="85" customFormat="1" ht="15.75" x14ac:dyDescent="0.2">
      <c r="A222" s="93">
        <f t="shared" si="16"/>
        <v>221</v>
      </c>
      <c r="B222" s="87">
        <v>1137</v>
      </c>
      <c r="C222" s="87">
        <v>20000104</v>
      </c>
      <c r="D222" s="87" t="s">
        <v>146</v>
      </c>
      <c r="E222" s="89"/>
      <c r="F222" s="90"/>
      <c r="G222" s="91"/>
      <c r="H222" s="91"/>
      <c r="I222" s="92"/>
      <c r="J222" s="92"/>
      <c r="K222" s="85" t="b">
        <f t="shared" si="17"/>
        <v>0</v>
      </c>
      <c r="L222" s="85" t="b">
        <f t="shared" si="18"/>
        <v>0</v>
      </c>
      <c r="M222" s="85" t="b">
        <f t="shared" si="19"/>
        <v>1</v>
      </c>
      <c r="N222" s="85" t="b">
        <f t="shared" si="15"/>
        <v>1</v>
      </c>
    </row>
    <row r="223" spans="1:14" s="85" customFormat="1" ht="15.75" x14ac:dyDescent="0.2">
      <c r="A223" s="93">
        <f t="shared" si="16"/>
        <v>222</v>
      </c>
      <c r="B223" s="87">
        <v>8200</v>
      </c>
      <c r="C223" s="87">
        <v>20000245</v>
      </c>
      <c r="D223" s="87" t="s">
        <v>147</v>
      </c>
      <c r="E223" s="89"/>
      <c r="F223" s="90"/>
      <c r="G223" s="91"/>
      <c r="H223" s="91"/>
      <c r="I223" s="92"/>
      <c r="J223" s="92"/>
      <c r="K223" s="85" t="b">
        <f t="shared" si="17"/>
        <v>0</v>
      </c>
      <c r="L223" s="85" t="b">
        <f t="shared" si="18"/>
        <v>0</v>
      </c>
      <c r="M223" s="85" t="b">
        <f t="shared" si="19"/>
        <v>1</v>
      </c>
      <c r="N223" s="85" t="b">
        <f t="shared" si="15"/>
        <v>1</v>
      </c>
    </row>
    <row r="224" spans="1:14" s="85" customFormat="1" ht="15.75" x14ac:dyDescent="0.2">
      <c r="A224" s="93">
        <f t="shared" si="16"/>
        <v>223</v>
      </c>
      <c r="B224" s="87">
        <v>1034</v>
      </c>
      <c r="C224" s="87">
        <v>20000097</v>
      </c>
      <c r="D224" s="87" t="s">
        <v>148</v>
      </c>
      <c r="E224" s="89"/>
      <c r="F224" s="90"/>
      <c r="G224" s="91"/>
      <c r="H224" s="91"/>
      <c r="I224" s="92"/>
      <c r="J224" s="92"/>
      <c r="K224" s="85" t="b">
        <f t="shared" si="17"/>
        <v>0</v>
      </c>
      <c r="L224" s="85" t="b">
        <f t="shared" si="18"/>
        <v>0</v>
      </c>
      <c r="M224" s="85" t="b">
        <f t="shared" si="19"/>
        <v>1</v>
      </c>
      <c r="N224" s="85" t="b">
        <f t="shared" si="15"/>
        <v>1</v>
      </c>
    </row>
    <row r="225" spans="1:14" s="85" customFormat="1" ht="15.75" x14ac:dyDescent="0.2">
      <c r="A225" s="93">
        <f t="shared" si="16"/>
        <v>224</v>
      </c>
      <c r="B225" s="87">
        <v>469</v>
      </c>
      <c r="C225" s="87">
        <v>20000030</v>
      </c>
      <c r="D225" s="87" t="s">
        <v>149</v>
      </c>
      <c r="E225" s="89"/>
      <c r="F225" s="90"/>
      <c r="G225" s="91"/>
      <c r="H225" s="91"/>
      <c r="I225" s="92"/>
      <c r="J225" s="92"/>
      <c r="K225" s="85" t="b">
        <f t="shared" si="17"/>
        <v>0</v>
      </c>
      <c r="L225" s="85" t="b">
        <f t="shared" si="18"/>
        <v>0</v>
      </c>
      <c r="M225" s="85" t="b">
        <f t="shared" si="19"/>
        <v>1</v>
      </c>
      <c r="N225" s="85" t="b">
        <f t="shared" si="15"/>
        <v>1</v>
      </c>
    </row>
    <row r="226" spans="1:14" s="85" customFormat="1" ht="15.75" x14ac:dyDescent="0.2">
      <c r="A226" s="93">
        <f t="shared" si="16"/>
        <v>225</v>
      </c>
      <c r="B226" s="87">
        <v>2800</v>
      </c>
      <c r="C226" s="87">
        <v>20000157</v>
      </c>
      <c r="D226" s="87" t="s">
        <v>150</v>
      </c>
      <c r="E226" s="89"/>
      <c r="F226" s="90"/>
      <c r="G226" s="91"/>
      <c r="H226" s="91"/>
      <c r="I226" s="92"/>
      <c r="J226" s="92"/>
      <c r="K226" s="85" t="b">
        <f t="shared" si="17"/>
        <v>0</v>
      </c>
      <c r="L226" s="85" t="b">
        <f t="shared" si="18"/>
        <v>0</v>
      </c>
      <c r="M226" s="85" t="b">
        <f t="shared" si="19"/>
        <v>1</v>
      </c>
      <c r="N226" s="85" t="b">
        <f t="shared" si="15"/>
        <v>1</v>
      </c>
    </row>
    <row r="227" spans="1:14" s="85" customFormat="1" ht="15.75" x14ac:dyDescent="0.2">
      <c r="A227" s="93">
        <f t="shared" si="16"/>
        <v>226</v>
      </c>
      <c r="B227" s="87">
        <v>3640</v>
      </c>
      <c r="C227" s="87">
        <v>20000172</v>
      </c>
      <c r="D227" s="87" t="s">
        <v>151</v>
      </c>
      <c r="E227" s="89"/>
      <c r="F227" s="90"/>
      <c r="G227" s="91"/>
      <c r="H227" s="91"/>
      <c r="I227" s="92"/>
      <c r="J227" s="92"/>
      <c r="K227" s="85" t="b">
        <f t="shared" si="17"/>
        <v>0</v>
      </c>
      <c r="L227" s="85" t="b">
        <f t="shared" si="18"/>
        <v>0</v>
      </c>
      <c r="M227" s="85" t="b">
        <f t="shared" si="19"/>
        <v>1</v>
      </c>
      <c r="N227" s="85" t="b">
        <f t="shared" si="15"/>
        <v>1</v>
      </c>
    </row>
    <row r="228" spans="1:14" s="85" customFormat="1" ht="15.75" x14ac:dyDescent="0.2">
      <c r="A228" s="93">
        <f t="shared" si="16"/>
        <v>227</v>
      </c>
      <c r="B228" s="87">
        <v>543</v>
      </c>
      <c r="C228" s="87">
        <v>20000072</v>
      </c>
      <c r="D228" s="87" t="s">
        <v>152</v>
      </c>
      <c r="E228" s="89"/>
      <c r="F228" s="90"/>
      <c r="G228" s="91"/>
      <c r="H228" s="91"/>
      <c r="I228" s="92"/>
      <c r="J228" s="92"/>
      <c r="K228" s="85" t="b">
        <f t="shared" si="17"/>
        <v>0</v>
      </c>
      <c r="L228" s="85" t="b">
        <f t="shared" si="18"/>
        <v>0</v>
      </c>
      <c r="M228" s="85" t="b">
        <f t="shared" si="19"/>
        <v>1</v>
      </c>
      <c r="N228" s="85" t="b">
        <f t="shared" si="15"/>
        <v>1</v>
      </c>
    </row>
    <row r="229" spans="1:14" s="85" customFormat="1" ht="15.75" x14ac:dyDescent="0.2">
      <c r="A229" s="93">
        <f t="shared" si="16"/>
        <v>228</v>
      </c>
      <c r="B229" s="87">
        <v>2640</v>
      </c>
      <c r="C229" s="87">
        <v>20000151</v>
      </c>
      <c r="D229" s="87" t="s">
        <v>153</v>
      </c>
      <c r="E229" s="89"/>
      <c r="F229" s="90"/>
      <c r="G229" s="91"/>
      <c r="H229" s="91"/>
      <c r="I229" s="92"/>
      <c r="J229" s="92"/>
      <c r="K229" s="85" t="b">
        <f t="shared" si="17"/>
        <v>0</v>
      </c>
      <c r="L229" s="85" t="b">
        <f t="shared" si="18"/>
        <v>0</v>
      </c>
      <c r="M229" s="85" t="b">
        <f t="shared" si="19"/>
        <v>1</v>
      </c>
      <c r="N229" s="85" t="b">
        <f t="shared" si="15"/>
        <v>1</v>
      </c>
    </row>
    <row r="230" spans="1:14" s="85" customFormat="1" ht="15.75" x14ac:dyDescent="0.2">
      <c r="A230" s="93">
        <f t="shared" si="16"/>
        <v>229</v>
      </c>
      <c r="B230" s="87">
        <v>26</v>
      </c>
      <c r="C230" s="87">
        <v>20000001</v>
      </c>
      <c r="D230" s="87" t="s">
        <v>154</v>
      </c>
      <c r="E230" s="89"/>
      <c r="F230" s="90"/>
      <c r="G230" s="91"/>
      <c r="H230" s="91"/>
      <c r="I230" s="92"/>
      <c r="J230" s="92"/>
      <c r="K230" s="85" t="b">
        <f t="shared" si="17"/>
        <v>0</v>
      </c>
      <c r="L230" s="85" t="b">
        <f t="shared" si="18"/>
        <v>0</v>
      </c>
      <c r="M230" s="85" t="b">
        <f t="shared" si="19"/>
        <v>1</v>
      </c>
      <c r="N230" s="85" t="b">
        <f t="shared" si="15"/>
        <v>1</v>
      </c>
    </row>
    <row r="231" spans="1:14" s="85" customFormat="1" ht="15.75" x14ac:dyDescent="0.2">
      <c r="A231" s="93">
        <f t="shared" si="16"/>
        <v>230</v>
      </c>
      <c r="B231" s="87">
        <v>8300</v>
      </c>
      <c r="C231" s="87">
        <v>20000247</v>
      </c>
      <c r="D231" s="87" t="s">
        <v>155</v>
      </c>
      <c r="E231" s="89"/>
      <c r="F231" s="90"/>
      <c r="G231" s="91"/>
      <c r="H231" s="91"/>
      <c r="I231" s="92"/>
      <c r="J231" s="92"/>
      <c r="K231" s="85" t="b">
        <f t="shared" si="17"/>
        <v>0</v>
      </c>
      <c r="L231" s="85" t="b">
        <f t="shared" si="18"/>
        <v>0</v>
      </c>
      <c r="M231" s="85" t="b">
        <f t="shared" si="19"/>
        <v>1</v>
      </c>
      <c r="N231" s="85" t="b">
        <f t="shared" si="15"/>
        <v>1</v>
      </c>
    </row>
    <row r="232" spans="1:14" s="85" customFormat="1" ht="15.75" x14ac:dyDescent="0.2">
      <c r="A232" s="93">
        <f t="shared" si="16"/>
        <v>231</v>
      </c>
      <c r="B232" s="87">
        <v>1161</v>
      </c>
      <c r="C232" s="87">
        <v>20000106</v>
      </c>
      <c r="D232" s="87" t="s">
        <v>156</v>
      </c>
      <c r="E232" s="89"/>
      <c r="F232" s="90"/>
      <c r="G232" s="91"/>
      <c r="H232" s="91"/>
      <c r="I232" s="92"/>
      <c r="J232" s="92"/>
      <c r="K232" s="85" t="b">
        <f t="shared" si="17"/>
        <v>0</v>
      </c>
      <c r="L232" s="85" t="b">
        <f t="shared" si="18"/>
        <v>0</v>
      </c>
      <c r="M232" s="85" t="b">
        <f t="shared" si="19"/>
        <v>1</v>
      </c>
      <c r="N232" s="85" t="b">
        <f t="shared" si="15"/>
        <v>1</v>
      </c>
    </row>
    <row r="233" spans="1:14" s="85" customFormat="1" ht="15.75" x14ac:dyDescent="0.2">
      <c r="A233" s="93">
        <f t="shared" si="16"/>
        <v>232</v>
      </c>
      <c r="B233" s="87">
        <v>8400</v>
      </c>
      <c r="C233" s="87">
        <v>20000248</v>
      </c>
      <c r="D233" s="87" t="s">
        <v>157</v>
      </c>
      <c r="E233" s="89"/>
      <c r="F233" s="90"/>
      <c r="G233" s="91"/>
      <c r="H233" s="91"/>
      <c r="I233" s="92"/>
      <c r="J233" s="92"/>
      <c r="K233" s="85" t="b">
        <f t="shared" si="17"/>
        <v>0</v>
      </c>
      <c r="L233" s="85" t="b">
        <f t="shared" si="18"/>
        <v>0</v>
      </c>
      <c r="M233" s="85" t="b">
        <f t="shared" si="19"/>
        <v>1</v>
      </c>
      <c r="N233" s="85" t="b">
        <f t="shared" si="15"/>
        <v>1</v>
      </c>
    </row>
    <row r="234" spans="1:14" s="85" customFormat="1" ht="15.75" x14ac:dyDescent="0.2">
      <c r="A234" s="93">
        <f t="shared" si="16"/>
        <v>233</v>
      </c>
      <c r="B234" s="87">
        <v>542</v>
      </c>
      <c r="C234" s="87">
        <v>20000071</v>
      </c>
      <c r="D234" s="87" t="s">
        <v>158</v>
      </c>
      <c r="E234" s="89"/>
      <c r="F234" s="90"/>
      <c r="G234" s="91"/>
      <c r="H234" s="91"/>
      <c r="I234" s="92"/>
      <c r="J234" s="92"/>
      <c r="K234" s="85" t="b">
        <f t="shared" si="17"/>
        <v>0</v>
      </c>
      <c r="L234" s="85" t="b">
        <f t="shared" si="18"/>
        <v>0</v>
      </c>
      <c r="M234" s="85" t="b">
        <f t="shared" si="19"/>
        <v>1</v>
      </c>
      <c r="N234" s="85" t="b">
        <f t="shared" si="15"/>
        <v>1</v>
      </c>
    </row>
    <row r="235" spans="1:14" s="85" customFormat="1" ht="15.75" x14ac:dyDescent="0.2">
      <c r="A235" s="93">
        <f t="shared" si="16"/>
        <v>234</v>
      </c>
      <c r="B235" s="87">
        <v>922</v>
      </c>
      <c r="C235" s="87">
        <v>20000088</v>
      </c>
      <c r="D235" s="87" t="s">
        <v>159</v>
      </c>
      <c r="E235" s="89"/>
      <c r="F235" s="90"/>
      <c r="G235" s="91"/>
      <c r="H235" s="91"/>
      <c r="I235" s="92"/>
      <c r="J235" s="92"/>
      <c r="K235" s="85" t="b">
        <f t="shared" si="17"/>
        <v>0</v>
      </c>
      <c r="L235" s="85" t="b">
        <f t="shared" si="18"/>
        <v>0</v>
      </c>
      <c r="M235" s="85" t="b">
        <f t="shared" si="19"/>
        <v>1</v>
      </c>
      <c r="N235" s="85" t="b">
        <f t="shared" si="15"/>
        <v>1</v>
      </c>
    </row>
    <row r="236" spans="1:14" s="85" customFormat="1" ht="15.75" x14ac:dyDescent="0.2">
      <c r="A236" s="93">
        <f t="shared" si="16"/>
        <v>235</v>
      </c>
      <c r="B236" s="87">
        <v>8500</v>
      </c>
      <c r="C236" s="87">
        <v>20000249</v>
      </c>
      <c r="D236" s="87" t="s">
        <v>160</v>
      </c>
      <c r="E236" s="89"/>
      <c r="F236" s="90"/>
      <c r="G236" s="91"/>
      <c r="H236" s="91"/>
      <c r="I236" s="92"/>
      <c r="J236" s="92"/>
      <c r="K236" s="85" t="b">
        <f t="shared" si="17"/>
        <v>0</v>
      </c>
      <c r="L236" s="85" t="b">
        <f t="shared" si="18"/>
        <v>0</v>
      </c>
      <c r="M236" s="85" t="b">
        <f t="shared" si="19"/>
        <v>1</v>
      </c>
      <c r="N236" s="85" t="b">
        <f t="shared" si="15"/>
        <v>1</v>
      </c>
    </row>
    <row r="237" spans="1:14" s="85" customFormat="1" ht="15.75" x14ac:dyDescent="0.2">
      <c r="A237" s="93">
        <f t="shared" si="16"/>
        <v>236</v>
      </c>
      <c r="B237" s="87">
        <v>8600</v>
      </c>
      <c r="C237" s="87">
        <v>20000250</v>
      </c>
      <c r="D237" s="87" t="s">
        <v>161</v>
      </c>
      <c r="E237" s="89"/>
      <c r="F237" s="90"/>
      <c r="G237" s="91"/>
      <c r="H237" s="91"/>
      <c r="I237" s="92"/>
      <c r="J237" s="92"/>
      <c r="K237" s="85" t="b">
        <f t="shared" si="17"/>
        <v>0</v>
      </c>
      <c r="L237" s="85" t="b">
        <f t="shared" si="18"/>
        <v>0</v>
      </c>
      <c r="M237" s="85" t="b">
        <f t="shared" si="19"/>
        <v>1</v>
      </c>
      <c r="N237" s="85" t="b">
        <f t="shared" si="15"/>
        <v>1</v>
      </c>
    </row>
    <row r="238" spans="1:14" s="85" customFormat="1" ht="15.75" x14ac:dyDescent="0.2">
      <c r="A238" s="93">
        <f t="shared" si="16"/>
        <v>237</v>
      </c>
      <c r="B238" s="87">
        <v>2650</v>
      </c>
      <c r="C238" s="87">
        <v>20000152</v>
      </c>
      <c r="D238" s="87" t="s">
        <v>162</v>
      </c>
      <c r="E238" s="89"/>
      <c r="F238" s="90"/>
      <c r="G238" s="91"/>
      <c r="H238" s="91"/>
      <c r="I238" s="92"/>
      <c r="J238" s="92"/>
      <c r="K238" s="85" t="b">
        <f t="shared" si="17"/>
        <v>0</v>
      </c>
      <c r="L238" s="85" t="b">
        <f t="shared" si="18"/>
        <v>0</v>
      </c>
      <c r="M238" s="85" t="b">
        <f t="shared" si="19"/>
        <v>1</v>
      </c>
      <c r="N238" s="85" t="b">
        <f t="shared" si="15"/>
        <v>1</v>
      </c>
    </row>
    <row r="239" spans="1:14" s="85" customFormat="1" ht="15.75" x14ac:dyDescent="0.2">
      <c r="A239" s="93">
        <f t="shared" si="16"/>
        <v>238</v>
      </c>
      <c r="B239" s="87">
        <v>122</v>
      </c>
      <c r="C239" s="87">
        <v>20000016</v>
      </c>
      <c r="D239" s="87" t="s">
        <v>163</v>
      </c>
      <c r="E239" s="89"/>
      <c r="F239" s="90"/>
      <c r="G239" s="91"/>
      <c r="H239" s="91"/>
      <c r="I239" s="92"/>
      <c r="J239" s="92"/>
      <c r="K239" s="85" t="b">
        <f t="shared" si="17"/>
        <v>0</v>
      </c>
      <c r="L239" s="85" t="b">
        <f t="shared" si="18"/>
        <v>0</v>
      </c>
      <c r="M239" s="85" t="b">
        <f t="shared" si="19"/>
        <v>1</v>
      </c>
      <c r="N239" s="85" t="b">
        <f t="shared" si="15"/>
        <v>1</v>
      </c>
    </row>
    <row r="240" spans="1:14" s="85" customFormat="1" ht="15.75" x14ac:dyDescent="0.2">
      <c r="A240" s="93">
        <f t="shared" si="16"/>
        <v>239</v>
      </c>
      <c r="B240" s="87">
        <v>48</v>
      </c>
      <c r="C240" s="87">
        <v>20000216</v>
      </c>
      <c r="D240" s="87" t="s">
        <v>252</v>
      </c>
      <c r="E240" s="89"/>
      <c r="F240" s="90"/>
      <c r="G240" s="91"/>
      <c r="H240" s="91"/>
      <c r="I240" s="92"/>
      <c r="J240" s="92"/>
      <c r="K240" s="85" t="b">
        <f t="shared" si="17"/>
        <v>0</v>
      </c>
      <c r="L240" s="85" t="b">
        <f t="shared" si="18"/>
        <v>0</v>
      </c>
      <c r="M240" s="85" t="b">
        <f t="shared" si="19"/>
        <v>1</v>
      </c>
      <c r="N240" s="85" t="b">
        <f t="shared" si="15"/>
        <v>1</v>
      </c>
    </row>
    <row r="241" spans="1:14" s="85" customFormat="1" ht="15.75" x14ac:dyDescent="0.2">
      <c r="A241" s="93">
        <f t="shared" si="16"/>
        <v>240</v>
      </c>
      <c r="B241" s="87">
        <v>8700</v>
      </c>
      <c r="C241" s="87">
        <v>20000251</v>
      </c>
      <c r="D241" s="87" t="s">
        <v>164</v>
      </c>
      <c r="E241" s="89"/>
      <c r="F241" s="90"/>
      <c r="G241" s="91"/>
      <c r="H241" s="91"/>
      <c r="I241" s="92"/>
      <c r="J241" s="92"/>
      <c r="K241" s="85" t="b">
        <f t="shared" si="17"/>
        <v>0</v>
      </c>
      <c r="L241" s="85" t="b">
        <f t="shared" si="18"/>
        <v>0</v>
      </c>
      <c r="M241" s="85" t="b">
        <f t="shared" si="19"/>
        <v>1</v>
      </c>
      <c r="N241" s="85" t="b">
        <f t="shared" si="15"/>
        <v>1</v>
      </c>
    </row>
    <row r="242" spans="1:14" s="85" customFormat="1" ht="15.75" x14ac:dyDescent="0.2">
      <c r="A242" s="93">
        <f t="shared" si="16"/>
        <v>241</v>
      </c>
      <c r="B242" s="87">
        <v>913</v>
      </c>
      <c r="C242" s="87">
        <v>20000087</v>
      </c>
      <c r="D242" s="87" t="s">
        <v>242</v>
      </c>
      <c r="E242" s="89"/>
      <c r="F242" s="90"/>
      <c r="G242" s="91"/>
      <c r="H242" s="91"/>
      <c r="I242" s="92"/>
      <c r="J242" s="92"/>
      <c r="K242" s="85" t="b">
        <f t="shared" si="17"/>
        <v>0</v>
      </c>
      <c r="L242" s="85" t="b">
        <f t="shared" si="18"/>
        <v>0</v>
      </c>
      <c r="M242" s="85" t="b">
        <f t="shared" si="19"/>
        <v>1</v>
      </c>
      <c r="N242" s="85" t="b">
        <f t="shared" si="15"/>
        <v>1</v>
      </c>
    </row>
    <row r="243" spans="1:14" s="85" customFormat="1" ht="15.75" x14ac:dyDescent="0.2">
      <c r="A243" s="93">
        <f t="shared" si="16"/>
        <v>242</v>
      </c>
      <c r="B243" s="87">
        <v>1286</v>
      </c>
      <c r="C243" s="87">
        <v>20000114</v>
      </c>
      <c r="D243" s="87" t="s">
        <v>165</v>
      </c>
      <c r="E243" s="89"/>
      <c r="F243" s="90"/>
      <c r="G243" s="91"/>
      <c r="H243" s="91"/>
      <c r="I243" s="92"/>
      <c r="J243" s="92"/>
      <c r="K243" s="85" t="b">
        <f t="shared" si="17"/>
        <v>0</v>
      </c>
      <c r="L243" s="85" t="b">
        <f t="shared" si="18"/>
        <v>0</v>
      </c>
      <c r="M243" s="85" t="b">
        <f t="shared" si="19"/>
        <v>1</v>
      </c>
      <c r="N243" s="85" t="b">
        <f t="shared" si="15"/>
        <v>1</v>
      </c>
    </row>
    <row r="244" spans="1:14" s="85" customFormat="1" ht="15.75" x14ac:dyDescent="0.2">
      <c r="A244" s="93">
        <f t="shared" si="16"/>
        <v>243</v>
      </c>
      <c r="B244" s="87">
        <v>39</v>
      </c>
      <c r="C244" s="87">
        <v>20000213</v>
      </c>
      <c r="D244" s="87" t="s">
        <v>185</v>
      </c>
      <c r="E244" s="89"/>
      <c r="F244" s="90"/>
      <c r="G244" s="91"/>
      <c r="H244" s="91"/>
      <c r="I244" s="92"/>
      <c r="J244" s="92"/>
      <c r="K244" s="85" t="b">
        <f t="shared" si="17"/>
        <v>0</v>
      </c>
      <c r="L244" s="85" t="b">
        <f t="shared" si="18"/>
        <v>0</v>
      </c>
      <c r="M244" s="85" t="b">
        <f t="shared" si="19"/>
        <v>1</v>
      </c>
      <c r="N244" s="85" t="b">
        <f t="shared" si="15"/>
        <v>1</v>
      </c>
    </row>
    <row r="245" spans="1:14" s="85" customFormat="1" ht="15.75" x14ac:dyDescent="0.2">
      <c r="A245" s="93">
        <f t="shared" si="16"/>
        <v>244</v>
      </c>
      <c r="B245" s="87">
        <v>1031</v>
      </c>
      <c r="C245" s="87">
        <v>20000096</v>
      </c>
      <c r="D245" s="87" t="s">
        <v>166</v>
      </c>
      <c r="E245" s="89"/>
      <c r="F245" s="90"/>
      <c r="G245" s="91"/>
      <c r="H245" s="91"/>
      <c r="I245" s="92"/>
      <c r="J245" s="92"/>
      <c r="K245" s="85" t="b">
        <f t="shared" si="17"/>
        <v>0</v>
      </c>
      <c r="L245" s="85" t="b">
        <f t="shared" si="18"/>
        <v>0</v>
      </c>
      <c r="M245" s="85" t="b">
        <f t="shared" si="19"/>
        <v>1</v>
      </c>
      <c r="N245" s="85" t="b">
        <f t="shared" si="15"/>
        <v>1</v>
      </c>
    </row>
    <row r="246" spans="1:14" s="85" customFormat="1" ht="15.75" x14ac:dyDescent="0.2">
      <c r="A246" s="93">
        <f t="shared" si="16"/>
        <v>245</v>
      </c>
      <c r="B246" s="87">
        <v>1304</v>
      </c>
      <c r="C246" s="87">
        <v>20000120</v>
      </c>
      <c r="D246" s="87" t="s">
        <v>167</v>
      </c>
      <c r="E246" s="89"/>
      <c r="F246" s="90"/>
      <c r="G246" s="91"/>
      <c r="H246" s="91"/>
      <c r="I246" s="92"/>
      <c r="J246" s="92"/>
      <c r="K246" s="85" t="b">
        <f t="shared" si="17"/>
        <v>0</v>
      </c>
      <c r="L246" s="85" t="b">
        <f t="shared" si="18"/>
        <v>0</v>
      </c>
      <c r="M246" s="85" t="b">
        <f t="shared" si="19"/>
        <v>1</v>
      </c>
      <c r="N246" s="85" t="b">
        <f t="shared" si="15"/>
        <v>1</v>
      </c>
    </row>
    <row r="247" spans="1:14" s="85" customFormat="1" ht="15.75" x14ac:dyDescent="0.2">
      <c r="A247" s="93">
        <f t="shared" si="16"/>
        <v>246</v>
      </c>
      <c r="B247" s="87">
        <v>72</v>
      </c>
      <c r="C247" s="87">
        <v>20000232</v>
      </c>
      <c r="D247" s="87" t="s">
        <v>213</v>
      </c>
      <c r="E247" s="89"/>
      <c r="F247" s="90"/>
      <c r="G247" s="91"/>
      <c r="H247" s="91"/>
      <c r="I247" s="92"/>
      <c r="J247" s="92"/>
      <c r="K247" s="85" t="b">
        <f t="shared" si="17"/>
        <v>0</v>
      </c>
      <c r="L247" s="85" t="b">
        <f t="shared" si="18"/>
        <v>0</v>
      </c>
      <c r="M247" s="85" t="b">
        <f t="shared" si="19"/>
        <v>1</v>
      </c>
      <c r="N247" s="85" t="b">
        <f t="shared" si="15"/>
        <v>1</v>
      </c>
    </row>
    <row r="248" spans="1:14" s="85" customFormat="1" ht="15.75" x14ac:dyDescent="0.2">
      <c r="A248" s="93">
        <f t="shared" si="16"/>
        <v>247</v>
      </c>
      <c r="B248" s="87">
        <v>812</v>
      </c>
      <c r="C248" s="87">
        <v>20000084</v>
      </c>
      <c r="D248" s="87" t="s">
        <v>168</v>
      </c>
      <c r="E248" s="89"/>
      <c r="F248" s="90"/>
      <c r="G248" s="91"/>
      <c r="H248" s="91"/>
      <c r="I248" s="92"/>
      <c r="J248" s="92"/>
      <c r="K248" s="85" t="b">
        <f t="shared" si="17"/>
        <v>0</v>
      </c>
      <c r="L248" s="85" t="b">
        <f t="shared" si="18"/>
        <v>0</v>
      </c>
      <c r="M248" s="85" t="b">
        <f t="shared" si="19"/>
        <v>1</v>
      </c>
      <c r="N248" s="85" t="b">
        <f t="shared" si="15"/>
        <v>1</v>
      </c>
    </row>
    <row r="249" spans="1:14" s="85" customFormat="1" ht="15.75" x14ac:dyDescent="0.2">
      <c r="A249" s="93">
        <f t="shared" si="16"/>
        <v>248</v>
      </c>
      <c r="B249" s="87">
        <v>538</v>
      </c>
      <c r="C249" s="87">
        <v>20000069</v>
      </c>
      <c r="D249" s="87" t="s">
        <v>169</v>
      </c>
      <c r="E249" s="89"/>
      <c r="F249" s="90"/>
      <c r="G249" s="91"/>
      <c r="H249" s="91"/>
      <c r="I249" s="92"/>
      <c r="J249" s="92"/>
      <c r="K249" s="85" t="b">
        <f t="shared" si="17"/>
        <v>0</v>
      </c>
      <c r="L249" s="85" t="b">
        <f t="shared" si="18"/>
        <v>0</v>
      </c>
      <c r="M249" s="85" t="b">
        <f t="shared" si="19"/>
        <v>1</v>
      </c>
      <c r="N249" s="85" t="b">
        <f t="shared" si="15"/>
        <v>1</v>
      </c>
    </row>
    <row r="250" spans="1:14" s="85" customFormat="1" ht="15.75" x14ac:dyDescent="0.2">
      <c r="A250" s="93">
        <f t="shared" si="16"/>
        <v>249</v>
      </c>
      <c r="B250" s="87">
        <v>37</v>
      </c>
      <c r="C250" s="87">
        <v>20000209</v>
      </c>
      <c r="D250" s="87" t="s">
        <v>180</v>
      </c>
      <c r="E250" s="89"/>
      <c r="F250" s="90"/>
      <c r="G250" s="91"/>
      <c r="H250" s="91"/>
      <c r="I250" s="92"/>
      <c r="J250" s="92"/>
      <c r="K250" s="85" t="b">
        <f t="shared" si="17"/>
        <v>0</v>
      </c>
      <c r="L250" s="85" t="b">
        <f t="shared" si="18"/>
        <v>0</v>
      </c>
      <c r="M250" s="85" t="b">
        <f t="shared" si="19"/>
        <v>1</v>
      </c>
      <c r="N250" s="85" t="b">
        <f t="shared" si="15"/>
        <v>1</v>
      </c>
    </row>
    <row r="251" spans="1:14" s="85" customFormat="1" ht="15.75" x14ac:dyDescent="0.2">
      <c r="A251" s="93">
        <f t="shared" si="16"/>
        <v>250</v>
      </c>
      <c r="B251" s="87">
        <v>34</v>
      </c>
      <c r="C251" s="87">
        <v>20000206</v>
      </c>
      <c r="D251" s="87" t="s">
        <v>188</v>
      </c>
      <c r="E251" s="89"/>
      <c r="F251" s="90"/>
      <c r="G251" s="91"/>
      <c r="H251" s="91"/>
      <c r="I251" s="92"/>
      <c r="J251" s="92"/>
      <c r="K251" s="85" t="b">
        <f t="shared" si="17"/>
        <v>0</v>
      </c>
      <c r="L251" s="85" t="b">
        <f t="shared" si="18"/>
        <v>0</v>
      </c>
      <c r="M251" s="85" t="b">
        <f t="shared" si="19"/>
        <v>1</v>
      </c>
      <c r="N251" s="85" t="b">
        <f t="shared" si="15"/>
        <v>1</v>
      </c>
    </row>
    <row r="252" spans="1:14" s="85" customFormat="1" ht="15.75" x14ac:dyDescent="0.2">
      <c r="A252" s="93">
        <f t="shared" si="16"/>
        <v>251</v>
      </c>
      <c r="B252" s="87">
        <v>8800</v>
      </c>
      <c r="C252" s="87">
        <v>20000252</v>
      </c>
      <c r="D252" s="87" t="s">
        <v>170</v>
      </c>
      <c r="E252" s="89"/>
      <c r="F252" s="90"/>
      <c r="G252" s="91"/>
      <c r="H252" s="91"/>
      <c r="I252" s="92"/>
      <c r="J252" s="92"/>
      <c r="K252" s="85" t="b">
        <f t="shared" si="17"/>
        <v>0</v>
      </c>
      <c r="L252" s="85" t="b">
        <f t="shared" si="18"/>
        <v>0</v>
      </c>
      <c r="M252" s="85" t="b">
        <f t="shared" si="19"/>
        <v>1</v>
      </c>
      <c r="N252" s="85" t="b">
        <f t="shared" si="15"/>
        <v>1</v>
      </c>
    </row>
    <row r="253" spans="1:14" s="85" customFormat="1" ht="15.75" x14ac:dyDescent="0.2">
      <c r="A253" s="93">
        <f t="shared" si="16"/>
        <v>252</v>
      </c>
      <c r="B253" s="87">
        <v>5000</v>
      </c>
      <c r="C253" s="87">
        <v>20000201</v>
      </c>
      <c r="D253" s="87" t="s">
        <v>494</v>
      </c>
      <c r="E253" s="89"/>
      <c r="F253" s="90"/>
      <c r="G253" s="91"/>
      <c r="H253" s="91"/>
      <c r="I253" s="92"/>
      <c r="J253" s="92"/>
      <c r="K253" s="85" t="b">
        <f t="shared" si="17"/>
        <v>0</v>
      </c>
      <c r="L253" s="85" t="b">
        <f t="shared" si="18"/>
        <v>0</v>
      </c>
      <c r="M253" s="85" t="b">
        <f t="shared" si="19"/>
        <v>1</v>
      </c>
      <c r="N253" s="85" t="b">
        <f t="shared" si="15"/>
        <v>1</v>
      </c>
    </row>
    <row r="254" spans="1:14" s="85" customFormat="1" ht="15.75" x14ac:dyDescent="0.2">
      <c r="A254" s="93">
        <f t="shared" si="16"/>
        <v>253</v>
      </c>
      <c r="B254" s="87">
        <v>154</v>
      </c>
      <c r="C254" s="87">
        <v>20000017</v>
      </c>
      <c r="D254" s="87" t="s">
        <v>171</v>
      </c>
      <c r="E254" s="89"/>
      <c r="F254" s="90"/>
      <c r="G254" s="91"/>
      <c r="H254" s="91"/>
      <c r="I254" s="92"/>
      <c r="J254" s="92"/>
      <c r="K254" s="85" t="b">
        <f t="shared" si="17"/>
        <v>0</v>
      </c>
      <c r="L254" s="85" t="b">
        <f t="shared" si="18"/>
        <v>0</v>
      </c>
      <c r="M254" s="85" t="b">
        <f t="shared" si="19"/>
        <v>1</v>
      </c>
      <c r="N254" s="85" t="b">
        <f t="shared" si="15"/>
        <v>1</v>
      </c>
    </row>
    <row r="255" spans="1:14" s="85" customFormat="1" ht="15.75" x14ac:dyDescent="0.2">
      <c r="A255" s="93">
        <f t="shared" si="16"/>
        <v>254</v>
      </c>
      <c r="B255" s="87">
        <v>1054</v>
      </c>
      <c r="C255" s="87">
        <v>20000098</v>
      </c>
      <c r="D255" s="87" t="s">
        <v>172</v>
      </c>
      <c r="E255" s="89"/>
      <c r="F255" s="90"/>
      <c r="G255" s="91"/>
      <c r="H255" s="91"/>
      <c r="I255" s="92"/>
      <c r="J255" s="92"/>
      <c r="K255" s="85" t="b">
        <f t="shared" si="17"/>
        <v>0</v>
      </c>
      <c r="L255" s="85" t="b">
        <f t="shared" si="18"/>
        <v>0</v>
      </c>
      <c r="M255" s="85" t="b">
        <f t="shared" si="19"/>
        <v>1</v>
      </c>
      <c r="N255" s="85" t="b">
        <f t="shared" si="15"/>
        <v>1</v>
      </c>
    </row>
    <row r="256" spans="1:14" s="85" customFormat="1" ht="15.75" x14ac:dyDescent="0.2">
      <c r="A256" s="93">
        <f t="shared" si="16"/>
        <v>255</v>
      </c>
      <c r="B256" s="87">
        <v>51</v>
      </c>
      <c r="C256" s="87">
        <v>20000217</v>
      </c>
      <c r="D256" s="87" t="s">
        <v>174</v>
      </c>
      <c r="E256" s="89"/>
      <c r="F256" s="90"/>
      <c r="G256" s="91"/>
      <c r="H256" s="91"/>
      <c r="I256" s="92"/>
      <c r="J256" s="92"/>
      <c r="K256" s="85" t="b">
        <f t="shared" si="17"/>
        <v>0</v>
      </c>
      <c r="L256" s="85" t="b">
        <f t="shared" si="18"/>
        <v>0</v>
      </c>
      <c r="M256" s="85" t="b">
        <f t="shared" si="19"/>
        <v>1</v>
      </c>
      <c r="N256" s="85" t="b">
        <f t="shared" si="15"/>
        <v>1</v>
      </c>
    </row>
    <row r="257" spans="1:15" ht="30" x14ac:dyDescent="0.2">
      <c r="A257" s="93">
        <f t="shared" si="16"/>
        <v>256</v>
      </c>
      <c r="B257" s="87">
        <v>3</v>
      </c>
      <c r="C257" s="87">
        <v>20000467</v>
      </c>
      <c r="D257" s="87" t="s">
        <v>489</v>
      </c>
      <c r="E257" s="96"/>
      <c r="F257" s="97"/>
      <c r="G257" s="91"/>
      <c r="H257" s="91"/>
      <c r="I257" s="92"/>
      <c r="J257" s="92"/>
      <c r="K257" s="85" t="b">
        <f t="shared" si="17"/>
        <v>0</v>
      </c>
      <c r="L257" s="85" t="b">
        <f t="shared" si="18"/>
        <v>0</v>
      </c>
      <c r="M257" s="85" t="b">
        <f t="shared" si="19"/>
        <v>1</v>
      </c>
      <c r="N257" s="85" t="b">
        <f t="shared" si="15"/>
        <v>1</v>
      </c>
      <c r="O257" s="85"/>
    </row>
    <row r="258" spans="1:15" ht="15.75" x14ac:dyDescent="0.2">
      <c r="A258" s="93" t="str">
        <f t="shared" si="16"/>
        <v/>
      </c>
      <c r="B258" s="87"/>
      <c r="C258" s="95"/>
      <c r="D258" s="87"/>
      <c r="E258" s="96"/>
      <c r="F258" s="97"/>
      <c r="G258" s="91"/>
      <c r="H258" s="91"/>
      <c r="I258" s="92"/>
      <c r="J258" s="92"/>
      <c r="K258" s="85" t="b">
        <f t="shared" si="17"/>
        <v>0</v>
      </c>
      <c r="L258" s="85" t="b">
        <f t="shared" si="18"/>
        <v>0</v>
      </c>
      <c r="M258" s="85" t="b">
        <f t="shared" si="19"/>
        <v>1</v>
      </c>
      <c r="N258" s="85" t="b">
        <f t="shared" ref="N258:N300" si="20">OR(H258&lt;=6,AND(I258=1,H258&lt;=7),AND(G258&lt;=2,H258&lt;=7))</f>
        <v>1</v>
      </c>
      <c r="O258" s="85"/>
    </row>
    <row r="259" spans="1:15" ht="15.75" x14ac:dyDescent="0.2">
      <c r="A259" s="93" t="str">
        <f t="shared" ref="A259:A301" si="21">IF(D259="","",A258+1)</f>
        <v/>
      </c>
      <c r="B259" s="87"/>
      <c r="C259" s="95"/>
      <c r="D259" s="87"/>
      <c r="E259" s="96"/>
      <c r="F259" s="97"/>
      <c r="G259" s="91"/>
      <c r="H259" s="91"/>
      <c r="I259" s="92"/>
      <c r="J259" s="92"/>
      <c r="K259" s="85" t="b">
        <f t="shared" ref="K259:K300" si="22">AND(G259&gt;0,G259&lt;=10)</f>
        <v>0</v>
      </c>
      <c r="L259" s="85" t="b">
        <f t="shared" ref="L259:L300" si="23">AND(H259&gt;0,H259&lt;=10)</f>
        <v>0</v>
      </c>
      <c r="M259" s="85" t="b">
        <f t="shared" ref="M259:M300" si="24">OR(I259=0,I259=1)</f>
        <v>1</v>
      </c>
      <c r="N259" s="85" t="b">
        <f t="shared" si="20"/>
        <v>1</v>
      </c>
      <c r="O259" s="85"/>
    </row>
    <row r="260" spans="1:15" ht="15.75" x14ac:dyDescent="0.2">
      <c r="A260" s="93" t="str">
        <f t="shared" si="21"/>
        <v/>
      </c>
      <c r="B260" s="87"/>
      <c r="C260" s="95"/>
      <c r="D260" s="87"/>
      <c r="E260" s="96"/>
      <c r="F260" s="97"/>
      <c r="G260" s="91"/>
      <c r="H260" s="91"/>
      <c r="I260" s="92"/>
      <c r="J260" s="92"/>
      <c r="K260" s="85" t="b">
        <f t="shared" si="22"/>
        <v>0</v>
      </c>
      <c r="L260" s="85" t="b">
        <f t="shared" si="23"/>
        <v>0</v>
      </c>
      <c r="M260" s="85" t="b">
        <f t="shared" si="24"/>
        <v>1</v>
      </c>
      <c r="N260" s="85" t="b">
        <f t="shared" si="20"/>
        <v>1</v>
      </c>
      <c r="O260" s="85"/>
    </row>
    <row r="261" spans="1:15" ht="15.75" x14ac:dyDescent="0.2">
      <c r="A261" s="93" t="str">
        <f t="shared" si="21"/>
        <v/>
      </c>
      <c r="B261" s="87"/>
      <c r="C261" s="95"/>
      <c r="D261" s="87"/>
      <c r="E261" s="96"/>
      <c r="F261" s="97"/>
      <c r="G261" s="91"/>
      <c r="H261" s="91"/>
      <c r="I261" s="92"/>
      <c r="J261" s="92"/>
      <c r="K261" s="85" t="b">
        <f t="shared" si="22"/>
        <v>0</v>
      </c>
      <c r="L261" s="85" t="b">
        <f t="shared" si="23"/>
        <v>0</v>
      </c>
      <c r="M261" s="85" t="b">
        <f t="shared" si="24"/>
        <v>1</v>
      </c>
      <c r="N261" s="85" t="b">
        <f t="shared" si="20"/>
        <v>1</v>
      </c>
      <c r="O261" s="85"/>
    </row>
    <row r="262" spans="1:15" ht="15.75" x14ac:dyDescent="0.2">
      <c r="A262" s="93" t="str">
        <f t="shared" si="21"/>
        <v/>
      </c>
      <c r="B262" s="87"/>
      <c r="C262" s="95"/>
      <c r="D262" s="87"/>
      <c r="E262" s="96"/>
      <c r="F262" s="97"/>
      <c r="G262" s="91"/>
      <c r="H262" s="91"/>
      <c r="I262" s="92"/>
      <c r="J262" s="92"/>
      <c r="K262" s="85" t="b">
        <f t="shared" si="22"/>
        <v>0</v>
      </c>
      <c r="L262" s="85" t="b">
        <f t="shared" si="23"/>
        <v>0</v>
      </c>
      <c r="M262" s="85" t="b">
        <f t="shared" si="24"/>
        <v>1</v>
      </c>
      <c r="N262" s="85" t="b">
        <f t="shared" si="20"/>
        <v>1</v>
      </c>
      <c r="O262" s="85"/>
    </row>
    <row r="263" spans="1:15" ht="15.75" x14ac:dyDescent="0.2">
      <c r="A263" s="93" t="str">
        <f t="shared" si="21"/>
        <v/>
      </c>
      <c r="B263" s="87"/>
      <c r="C263" s="95"/>
      <c r="D263" s="87"/>
      <c r="E263" s="96"/>
      <c r="F263" s="97"/>
      <c r="G263" s="91"/>
      <c r="H263" s="91"/>
      <c r="I263" s="92"/>
      <c r="J263" s="92"/>
      <c r="K263" s="85" t="b">
        <f t="shared" si="22"/>
        <v>0</v>
      </c>
      <c r="L263" s="85" t="b">
        <f t="shared" si="23"/>
        <v>0</v>
      </c>
      <c r="M263" s="85" t="b">
        <f t="shared" si="24"/>
        <v>1</v>
      </c>
      <c r="N263" s="85" t="b">
        <f t="shared" si="20"/>
        <v>1</v>
      </c>
      <c r="O263" s="85"/>
    </row>
    <row r="264" spans="1:15" ht="15.75" x14ac:dyDescent="0.2">
      <c r="A264" s="93" t="str">
        <f t="shared" si="21"/>
        <v/>
      </c>
      <c r="B264" s="87"/>
      <c r="C264" s="95"/>
      <c r="D264" s="87"/>
      <c r="E264" s="96"/>
      <c r="F264" s="97"/>
      <c r="G264" s="91"/>
      <c r="H264" s="91"/>
      <c r="I264" s="92"/>
      <c r="J264" s="92"/>
      <c r="K264" s="85" t="b">
        <f t="shared" si="22"/>
        <v>0</v>
      </c>
      <c r="L264" s="85" t="b">
        <f t="shared" si="23"/>
        <v>0</v>
      </c>
      <c r="M264" s="85" t="b">
        <f t="shared" si="24"/>
        <v>1</v>
      </c>
      <c r="N264" s="85" t="b">
        <f t="shared" si="20"/>
        <v>1</v>
      </c>
      <c r="O264" s="85"/>
    </row>
    <row r="265" spans="1:15" ht="15.75" x14ac:dyDescent="0.2">
      <c r="A265" s="93" t="str">
        <f t="shared" si="21"/>
        <v/>
      </c>
      <c r="B265" s="87"/>
      <c r="C265" s="95"/>
      <c r="D265" s="87"/>
      <c r="E265" s="96"/>
      <c r="F265" s="97"/>
      <c r="G265" s="91"/>
      <c r="H265" s="91"/>
      <c r="I265" s="92"/>
      <c r="J265" s="92"/>
      <c r="K265" s="85" t="b">
        <f t="shared" si="22"/>
        <v>0</v>
      </c>
      <c r="L265" s="85" t="b">
        <f t="shared" si="23"/>
        <v>0</v>
      </c>
      <c r="M265" s="85" t="b">
        <f t="shared" si="24"/>
        <v>1</v>
      </c>
      <c r="N265" s="85" t="b">
        <f t="shared" si="20"/>
        <v>1</v>
      </c>
      <c r="O265" s="85"/>
    </row>
    <row r="266" spans="1:15" ht="15.75" x14ac:dyDescent="0.2">
      <c r="A266" s="93" t="str">
        <f t="shared" si="21"/>
        <v/>
      </c>
      <c r="B266" s="87"/>
      <c r="C266" s="95"/>
      <c r="D266" s="87"/>
      <c r="E266" s="96"/>
      <c r="F266" s="97"/>
      <c r="G266" s="91"/>
      <c r="H266" s="91"/>
      <c r="I266" s="92"/>
      <c r="J266" s="92"/>
      <c r="K266" s="85" t="b">
        <f t="shared" si="22"/>
        <v>0</v>
      </c>
      <c r="L266" s="85" t="b">
        <f t="shared" si="23"/>
        <v>0</v>
      </c>
      <c r="M266" s="85" t="b">
        <f t="shared" si="24"/>
        <v>1</v>
      </c>
      <c r="N266" s="85" t="b">
        <f t="shared" si="20"/>
        <v>1</v>
      </c>
      <c r="O266" s="85"/>
    </row>
    <row r="267" spans="1:15" ht="15.75" x14ac:dyDescent="0.2">
      <c r="A267" s="93" t="str">
        <f t="shared" si="21"/>
        <v/>
      </c>
      <c r="B267" s="87"/>
      <c r="C267" s="95"/>
      <c r="D267" s="87"/>
      <c r="E267" s="96"/>
      <c r="F267" s="97"/>
      <c r="G267" s="91"/>
      <c r="H267" s="91"/>
      <c r="I267" s="92"/>
      <c r="J267" s="92"/>
      <c r="K267" s="85" t="b">
        <f t="shared" si="22"/>
        <v>0</v>
      </c>
      <c r="L267" s="85" t="b">
        <f t="shared" si="23"/>
        <v>0</v>
      </c>
      <c r="M267" s="85" t="b">
        <f t="shared" si="24"/>
        <v>1</v>
      </c>
      <c r="N267" s="85" t="b">
        <f t="shared" si="20"/>
        <v>1</v>
      </c>
      <c r="O267" s="85"/>
    </row>
    <row r="268" spans="1:15" ht="15.75" x14ac:dyDescent="0.2">
      <c r="A268" s="93" t="str">
        <f t="shared" si="21"/>
        <v/>
      </c>
      <c r="B268" s="87"/>
      <c r="C268" s="95"/>
      <c r="D268" s="87"/>
      <c r="E268" s="96"/>
      <c r="F268" s="97"/>
      <c r="G268" s="91"/>
      <c r="H268" s="91"/>
      <c r="I268" s="92"/>
      <c r="J268" s="92"/>
      <c r="K268" s="85" t="b">
        <f t="shared" si="22"/>
        <v>0</v>
      </c>
      <c r="L268" s="85" t="b">
        <f t="shared" si="23"/>
        <v>0</v>
      </c>
      <c r="M268" s="85" t="b">
        <f t="shared" si="24"/>
        <v>1</v>
      </c>
      <c r="N268" s="85" t="b">
        <f t="shared" si="20"/>
        <v>1</v>
      </c>
      <c r="O268" s="85"/>
    </row>
    <row r="269" spans="1:15" ht="15.75" x14ac:dyDescent="0.2">
      <c r="A269" s="93" t="str">
        <f t="shared" si="21"/>
        <v/>
      </c>
      <c r="B269" s="87"/>
      <c r="C269" s="95"/>
      <c r="D269" s="87"/>
      <c r="E269" s="96"/>
      <c r="F269" s="97"/>
      <c r="G269" s="91"/>
      <c r="H269" s="91"/>
      <c r="I269" s="92"/>
      <c r="J269" s="92"/>
      <c r="K269" s="85" t="b">
        <f t="shared" si="22"/>
        <v>0</v>
      </c>
      <c r="L269" s="85" t="b">
        <f t="shared" si="23"/>
        <v>0</v>
      </c>
      <c r="M269" s="85" t="b">
        <f t="shared" si="24"/>
        <v>1</v>
      </c>
      <c r="N269" s="85" t="b">
        <f t="shared" si="20"/>
        <v>1</v>
      </c>
      <c r="O269" s="85"/>
    </row>
    <row r="270" spans="1:15" ht="15.75" x14ac:dyDescent="0.2">
      <c r="A270" s="93" t="str">
        <f t="shared" si="21"/>
        <v/>
      </c>
      <c r="B270" s="87"/>
      <c r="C270" s="95"/>
      <c r="D270" s="87"/>
      <c r="E270" s="96"/>
      <c r="F270" s="97"/>
      <c r="G270" s="91"/>
      <c r="H270" s="91"/>
      <c r="I270" s="92"/>
      <c r="J270" s="92"/>
      <c r="K270" s="85" t="b">
        <f t="shared" si="22"/>
        <v>0</v>
      </c>
      <c r="L270" s="85" t="b">
        <f t="shared" si="23"/>
        <v>0</v>
      </c>
      <c r="M270" s="85" t="b">
        <f t="shared" si="24"/>
        <v>1</v>
      </c>
      <c r="N270" s="85" t="b">
        <f t="shared" si="20"/>
        <v>1</v>
      </c>
      <c r="O270" s="85"/>
    </row>
    <row r="271" spans="1:15" ht="15.75" x14ac:dyDescent="0.2">
      <c r="A271" s="93" t="str">
        <f t="shared" si="21"/>
        <v/>
      </c>
      <c r="B271" s="87"/>
      <c r="C271" s="95"/>
      <c r="D271" s="87"/>
      <c r="E271" s="96"/>
      <c r="F271" s="97"/>
      <c r="G271" s="91"/>
      <c r="H271" s="91"/>
      <c r="I271" s="92"/>
      <c r="J271" s="92"/>
      <c r="K271" s="85" t="b">
        <f t="shared" si="22"/>
        <v>0</v>
      </c>
      <c r="L271" s="85" t="b">
        <f t="shared" si="23"/>
        <v>0</v>
      </c>
      <c r="M271" s="85" t="b">
        <f t="shared" si="24"/>
        <v>1</v>
      </c>
      <c r="N271" s="85" t="b">
        <f t="shared" si="20"/>
        <v>1</v>
      </c>
      <c r="O271" s="85"/>
    </row>
    <row r="272" spans="1:15" ht="15.75" x14ac:dyDescent="0.2">
      <c r="A272" s="93" t="str">
        <f t="shared" si="21"/>
        <v/>
      </c>
      <c r="B272" s="87"/>
      <c r="C272" s="95"/>
      <c r="D272" s="87"/>
      <c r="E272" s="96"/>
      <c r="F272" s="97"/>
      <c r="G272" s="91"/>
      <c r="H272" s="91"/>
      <c r="I272" s="92"/>
      <c r="J272" s="92"/>
      <c r="K272" s="85" t="b">
        <f t="shared" si="22"/>
        <v>0</v>
      </c>
      <c r="L272" s="85" t="b">
        <f t="shared" si="23"/>
        <v>0</v>
      </c>
      <c r="M272" s="85" t="b">
        <f t="shared" si="24"/>
        <v>1</v>
      </c>
      <c r="N272" s="85" t="b">
        <f t="shared" si="20"/>
        <v>1</v>
      </c>
      <c r="O272" s="85"/>
    </row>
    <row r="273" spans="1:15" ht="15.75" x14ac:dyDescent="0.2">
      <c r="A273" s="93" t="str">
        <f t="shared" si="21"/>
        <v/>
      </c>
      <c r="B273" s="87"/>
      <c r="C273" s="95"/>
      <c r="D273" s="87"/>
      <c r="E273" s="96"/>
      <c r="F273" s="97"/>
      <c r="G273" s="91"/>
      <c r="H273" s="91"/>
      <c r="I273" s="92"/>
      <c r="J273" s="92"/>
      <c r="K273" s="85" t="b">
        <f t="shared" si="22"/>
        <v>0</v>
      </c>
      <c r="L273" s="85" t="b">
        <f t="shared" si="23"/>
        <v>0</v>
      </c>
      <c r="M273" s="85" t="b">
        <f t="shared" si="24"/>
        <v>1</v>
      </c>
      <c r="N273" s="85" t="b">
        <f t="shared" si="20"/>
        <v>1</v>
      </c>
      <c r="O273" s="85"/>
    </row>
    <row r="274" spans="1:15" ht="15.75" x14ac:dyDescent="0.2">
      <c r="A274" s="93" t="str">
        <f t="shared" si="21"/>
        <v/>
      </c>
      <c r="B274" s="87"/>
      <c r="C274" s="95"/>
      <c r="D274" s="87"/>
      <c r="E274" s="96"/>
      <c r="F274" s="97"/>
      <c r="G274" s="91"/>
      <c r="H274" s="91"/>
      <c r="I274" s="92"/>
      <c r="J274" s="92"/>
      <c r="K274" s="85" t="b">
        <f t="shared" si="22"/>
        <v>0</v>
      </c>
      <c r="L274" s="85" t="b">
        <f t="shared" si="23"/>
        <v>0</v>
      </c>
      <c r="M274" s="85" t="b">
        <f t="shared" si="24"/>
        <v>1</v>
      </c>
      <c r="N274" s="85" t="b">
        <f t="shared" si="20"/>
        <v>1</v>
      </c>
      <c r="O274" s="85"/>
    </row>
    <row r="275" spans="1:15" ht="15.75" x14ac:dyDescent="0.2">
      <c r="A275" s="93" t="str">
        <f t="shared" si="21"/>
        <v/>
      </c>
      <c r="B275" s="87"/>
      <c r="C275" s="95"/>
      <c r="D275" s="87"/>
      <c r="E275" s="96"/>
      <c r="F275" s="97"/>
      <c r="G275" s="91"/>
      <c r="H275" s="91"/>
      <c r="I275" s="92"/>
      <c r="J275" s="92"/>
      <c r="K275" s="85" t="b">
        <f t="shared" si="22"/>
        <v>0</v>
      </c>
      <c r="L275" s="85" t="b">
        <f t="shared" si="23"/>
        <v>0</v>
      </c>
      <c r="M275" s="85" t="b">
        <f t="shared" si="24"/>
        <v>1</v>
      </c>
      <c r="N275" s="85" t="b">
        <f t="shared" si="20"/>
        <v>1</v>
      </c>
      <c r="O275" s="85"/>
    </row>
    <row r="276" spans="1:15" ht="15.75" x14ac:dyDescent="0.2">
      <c r="A276" s="93" t="str">
        <f t="shared" si="21"/>
        <v/>
      </c>
      <c r="B276" s="87"/>
      <c r="C276" s="95"/>
      <c r="D276" s="87"/>
      <c r="E276" s="96"/>
      <c r="F276" s="97"/>
      <c r="G276" s="91"/>
      <c r="H276" s="91"/>
      <c r="I276" s="92"/>
      <c r="J276" s="92"/>
      <c r="K276" s="85" t="b">
        <f t="shared" si="22"/>
        <v>0</v>
      </c>
      <c r="L276" s="85" t="b">
        <f t="shared" si="23"/>
        <v>0</v>
      </c>
      <c r="M276" s="85" t="b">
        <f t="shared" si="24"/>
        <v>1</v>
      </c>
      <c r="N276" s="85" t="b">
        <f t="shared" si="20"/>
        <v>1</v>
      </c>
      <c r="O276" s="85"/>
    </row>
    <row r="277" spans="1:15" ht="15.75" x14ac:dyDescent="0.2">
      <c r="A277" s="93" t="str">
        <f t="shared" si="21"/>
        <v/>
      </c>
      <c r="B277" s="87"/>
      <c r="C277" s="95"/>
      <c r="D277" s="87"/>
      <c r="E277" s="96"/>
      <c r="F277" s="97"/>
      <c r="G277" s="91"/>
      <c r="H277" s="91"/>
      <c r="I277" s="92"/>
      <c r="J277" s="92"/>
      <c r="K277" s="85" t="b">
        <f t="shared" si="22"/>
        <v>0</v>
      </c>
      <c r="L277" s="85" t="b">
        <f t="shared" si="23"/>
        <v>0</v>
      </c>
      <c r="M277" s="85" t="b">
        <f t="shared" si="24"/>
        <v>1</v>
      </c>
      <c r="N277" s="85" t="b">
        <f t="shared" si="20"/>
        <v>1</v>
      </c>
      <c r="O277" s="85"/>
    </row>
    <row r="278" spans="1:15" ht="15.75" x14ac:dyDescent="0.2">
      <c r="A278" s="93" t="str">
        <f t="shared" si="21"/>
        <v/>
      </c>
      <c r="B278" s="87"/>
      <c r="C278" s="95"/>
      <c r="D278" s="87"/>
      <c r="E278" s="96"/>
      <c r="F278" s="97"/>
      <c r="G278" s="91"/>
      <c r="H278" s="91"/>
      <c r="I278" s="92"/>
      <c r="J278" s="92"/>
      <c r="K278" s="85" t="b">
        <f t="shared" si="22"/>
        <v>0</v>
      </c>
      <c r="L278" s="85" t="b">
        <f t="shared" si="23"/>
        <v>0</v>
      </c>
      <c r="M278" s="85" t="b">
        <f t="shared" si="24"/>
        <v>1</v>
      </c>
      <c r="N278" s="85" t="b">
        <f t="shared" si="20"/>
        <v>1</v>
      </c>
      <c r="O278" s="85"/>
    </row>
    <row r="279" spans="1:15" ht="15.75" x14ac:dyDescent="0.2">
      <c r="A279" s="93" t="str">
        <f t="shared" si="21"/>
        <v/>
      </c>
      <c r="B279" s="87"/>
      <c r="C279" s="95"/>
      <c r="D279" s="87"/>
      <c r="E279" s="96"/>
      <c r="F279" s="97"/>
      <c r="G279" s="91"/>
      <c r="H279" s="91"/>
      <c r="I279" s="92"/>
      <c r="J279" s="92"/>
      <c r="K279" s="85" t="b">
        <f t="shared" si="22"/>
        <v>0</v>
      </c>
      <c r="L279" s="85" t="b">
        <f t="shared" si="23"/>
        <v>0</v>
      </c>
      <c r="M279" s="85" t="b">
        <f t="shared" si="24"/>
        <v>1</v>
      </c>
      <c r="N279" s="85" t="b">
        <f t="shared" si="20"/>
        <v>1</v>
      </c>
      <c r="O279" s="85"/>
    </row>
    <row r="280" spans="1:15" ht="15.75" x14ac:dyDescent="0.2">
      <c r="A280" s="93" t="str">
        <f t="shared" si="21"/>
        <v/>
      </c>
      <c r="B280" s="87"/>
      <c r="C280" s="95"/>
      <c r="D280" s="87"/>
      <c r="E280" s="96"/>
      <c r="F280" s="97"/>
      <c r="G280" s="91"/>
      <c r="H280" s="91"/>
      <c r="I280" s="92"/>
      <c r="J280" s="92"/>
      <c r="K280" s="85" t="b">
        <f t="shared" si="22"/>
        <v>0</v>
      </c>
      <c r="L280" s="85" t="b">
        <f t="shared" si="23"/>
        <v>0</v>
      </c>
      <c r="M280" s="85" t="b">
        <f t="shared" si="24"/>
        <v>1</v>
      </c>
      <c r="N280" s="85" t="b">
        <f t="shared" si="20"/>
        <v>1</v>
      </c>
      <c r="O280" s="85"/>
    </row>
    <row r="281" spans="1:15" ht="15.75" x14ac:dyDescent="0.2">
      <c r="A281" s="93" t="str">
        <f t="shared" si="21"/>
        <v/>
      </c>
      <c r="B281" s="87"/>
      <c r="C281" s="95"/>
      <c r="D281" s="87"/>
      <c r="E281" s="96"/>
      <c r="F281" s="97"/>
      <c r="G281" s="91"/>
      <c r="H281" s="91"/>
      <c r="I281" s="92"/>
      <c r="J281" s="92"/>
      <c r="K281" s="85" t="b">
        <f t="shared" si="22"/>
        <v>0</v>
      </c>
      <c r="L281" s="85" t="b">
        <f t="shared" si="23"/>
        <v>0</v>
      </c>
      <c r="M281" s="85" t="b">
        <f t="shared" si="24"/>
        <v>1</v>
      </c>
      <c r="N281" s="85" t="b">
        <f t="shared" si="20"/>
        <v>1</v>
      </c>
      <c r="O281" s="85"/>
    </row>
    <row r="282" spans="1:15" ht="15.75" x14ac:dyDescent="0.2">
      <c r="A282" s="93" t="str">
        <f t="shared" si="21"/>
        <v/>
      </c>
      <c r="B282" s="87"/>
      <c r="C282" s="95"/>
      <c r="D282" s="87"/>
      <c r="E282" s="96"/>
      <c r="F282" s="97"/>
      <c r="G282" s="91"/>
      <c r="H282" s="91"/>
      <c r="I282" s="92"/>
      <c r="J282" s="92"/>
      <c r="K282" s="85" t="b">
        <f t="shared" si="22"/>
        <v>0</v>
      </c>
      <c r="L282" s="85" t="b">
        <f t="shared" si="23"/>
        <v>0</v>
      </c>
      <c r="M282" s="85" t="b">
        <f t="shared" si="24"/>
        <v>1</v>
      </c>
      <c r="N282" s="85" t="b">
        <f t="shared" si="20"/>
        <v>1</v>
      </c>
      <c r="O282" s="85"/>
    </row>
    <row r="283" spans="1:15" ht="15.75" x14ac:dyDescent="0.2">
      <c r="A283" s="93" t="str">
        <f t="shared" si="21"/>
        <v/>
      </c>
      <c r="B283" s="87"/>
      <c r="C283" s="95"/>
      <c r="D283" s="87"/>
      <c r="E283" s="96"/>
      <c r="F283" s="97"/>
      <c r="G283" s="91"/>
      <c r="H283" s="91"/>
      <c r="I283" s="92"/>
      <c r="J283" s="92"/>
      <c r="K283" s="85" t="b">
        <f t="shared" si="22"/>
        <v>0</v>
      </c>
      <c r="L283" s="85" t="b">
        <f t="shared" si="23"/>
        <v>0</v>
      </c>
      <c r="M283" s="85" t="b">
        <f t="shared" si="24"/>
        <v>1</v>
      </c>
      <c r="N283" s="85" t="b">
        <f t="shared" si="20"/>
        <v>1</v>
      </c>
      <c r="O283" s="85"/>
    </row>
    <row r="284" spans="1:15" ht="15.75" x14ac:dyDescent="0.2">
      <c r="A284" s="93" t="str">
        <f t="shared" si="21"/>
        <v/>
      </c>
      <c r="B284" s="87"/>
      <c r="C284" s="95"/>
      <c r="D284" s="87"/>
      <c r="E284" s="96"/>
      <c r="F284" s="97"/>
      <c r="G284" s="91"/>
      <c r="H284" s="91"/>
      <c r="I284" s="92"/>
      <c r="J284" s="92"/>
      <c r="K284" s="85" t="b">
        <f t="shared" si="22"/>
        <v>0</v>
      </c>
      <c r="L284" s="85" t="b">
        <f t="shared" si="23"/>
        <v>0</v>
      </c>
      <c r="M284" s="85" t="b">
        <f t="shared" si="24"/>
        <v>1</v>
      </c>
      <c r="N284" s="85" t="b">
        <f t="shared" si="20"/>
        <v>1</v>
      </c>
      <c r="O284" s="85"/>
    </row>
    <row r="285" spans="1:15" ht="15.75" x14ac:dyDescent="0.2">
      <c r="A285" s="93" t="str">
        <f t="shared" si="21"/>
        <v/>
      </c>
      <c r="B285" s="87"/>
      <c r="C285" s="95"/>
      <c r="D285" s="87"/>
      <c r="E285" s="96"/>
      <c r="F285" s="97"/>
      <c r="G285" s="91"/>
      <c r="H285" s="91"/>
      <c r="I285" s="92"/>
      <c r="J285" s="92"/>
      <c r="K285" s="85" t="b">
        <f t="shared" si="22"/>
        <v>0</v>
      </c>
      <c r="L285" s="85" t="b">
        <f t="shared" si="23"/>
        <v>0</v>
      </c>
      <c r="M285" s="85" t="b">
        <f t="shared" si="24"/>
        <v>1</v>
      </c>
      <c r="N285" s="85" t="b">
        <f t="shared" si="20"/>
        <v>1</v>
      </c>
      <c r="O285" s="85"/>
    </row>
    <row r="286" spans="1:15" ht="15.75" x14ac:dyDescent="0.2">
      <c r="A286" s="93" t="str">
        <f t="shared" si="21"/>
        <v/>
      </c>
      <c r="B286" s="87"/>
      <c r="C286" s="95"/>
      <c r="D286" s="87"/>
      <c r="E286" s="96"/>
      <c r="F286" s="97"/>
      <c r="G286" s="91"/>
      <c r="H286" s="91"/>
      <c r="I286" s="92"/>
      <c r="J286" s="92"/>
      <c r="K286" s="85" t="b">
        <f t="shared" si="22"/>
        <v>0</v>
      </c>
      <c r="L286" s="85" t="b">
        <f t="shared" si="23"/>
        <v>0</v>
      </c>
      <c r="M286" s="85" t="b">
        <f t="shared" si="24"/>
        <v>1</v>
      </c>
      <c r="N286" s="85" t="b">
        <f t="shared" si="20"/>
        <v>1</v>
      </c>
      <c r="O286" s="85"/>
    </row>
    <row r="287" spans="1:15" ht="15.75" x14ac:dyDescent="0.2">
      <c r="A287" s="93" t="str">
        <f t="shared" si="21"/>
        <v/>
      </c>
      <c r="B287" s="87"/>
      <c r="C287" s="95"/>
      <c r="D287" s="87"/>
      <c r="E287" s="96"/>
      <c r="F287" s="97"/>
      <c r="G287" s="91"/>
      <c r="H287" s="91"/>
      <c r="I287" s="92"/>
      <c r="J287" s="92"/>
      <c r="K287" s="85" t="b">
        <f t="shared" si="22"/>
        <v>0</v>
      </c>
      <c r="L287" s="85" t="b">
        <f t="shared" si="23"/>
        <v>0</v>
      </c>
      <c r="M287" s="85" t="b">
        <f t="shared" si="24"/>
        <v>1</v>
      </c>
      <c r="N287" s="85" t="b">
        <f t="shared" si="20"/>
        <v>1</v>
      </c>
      <c r="O287" s="85"/>
    </row>
    <row r="288" spans="1:15" ht="15.75" x14ac:dyDescent="0.2">
      <c r="A288" s="93" t="str">
        <f t="shared" si="21"/>
        <v/>
      </c>
      <c r="B288" s="87"/>
      <c r="C288" s="95"/>
      <c r="D288" s="87"/>
      <c r="E288" s="96"/>
      <c r="F288" s="97"/>
      <c r="G288" s="91"/>
      <c r="H288" s="91"/>
      <c r="I288" s="92"/>
      <c r="J288" s="92"/>
      <c r="K288" s="85" t="b">
        <f t="shared" si="22"/>
        <v>0</v>
      </c>
      <c r="L288" s="85" t="b">
        <f t="shared" si="23"/>
        <v>0</v>
      </c>
      <c r="M288" s="85" t="b">
        <f t="shared" si="24"/>
        <v>1</v>
      </c>
      <c r="N288" s="85" t="b">
        <f t="shared" si="20"/>
        <v>1</v>
      </c>
      <c r="O288" s="85"/>
    </row>
    <row r="289" spans="1:15" ht="15.75" x14ac:dyDescent="0.2">
      <c r="A289" s="93" t="str">
        <f t="shared" si="21"/>
        <v/>
      </c>
      <c r="B289" s="87"/>
      <c r="C289" s="95"/>
      <c r="D289" s="87"/>
      <c r="E289" s="96"/>
      <c r="F289" s="97"/>
      <c r="G289" s="91"/>
      <c r="H289" s="91"/>
      <c r="I289" s="92"/>
      <c r="J289" s="92"/>
      <c r="K289" s="85" t="b">
        <f t="shared" si="22"/>
        <v>0</v>
      </c>
      <c r="L289" s="85" t="b">
        <f t="shared" si="23"/>
        <v>0</v>
      </c>
      <c r="M289" s="85" t="b">
        <f t="shared" si="24"/>
        <v>1</v>
      </c>
      <c r="N289" s="85" t="b">
        <f t="shared" si="20"/>
        <v>1</v>
      </c>
      <c r="O289" s="85"/>
    </row>
    <row r="290" spans="1:15" ht="15.75" x14ac:dyDescent="0.2">
      <c r="A290" s="93" t="str">
        <f t="shared" si="21"/>
        <v/>
      </c>
      <c r="B290" s="87"/>
      <c r="C290" s="95"/>
      <c r="D290" s="87"/>
      <c r="E290" s="96"/>
      <c r="F290" s="97"/>
      <c r="G290" s="91"/>
      <c r="H290" s="91"/>
      <c r="I290" s="92"/>
      <c r="J290" s="92"/>
      <c r="K290" s="85" t="b">
        <f t="shared" si="22"/>
        <v>0</v>
      </c>
      <c r="L290" s="85" t="b">
        <f t="shared" si="23"/>
        <v>0</v>
      </c>
      <c r="M290" s="85" t="b">
        <f t="shared" si="24"/>
        <v>1</v>
      </c>
      <c r="N290" s="85" t="b">
        <f t="shared" si="20"/>
        <v>1</v>
      </c>
      <c r="O290" s="85"/>
    </row>
    <row r="291" spans="1:15" ht="15.75" x14ac:dyDescent="0.2">
      <c r="A291" s="93" t="str">
        <f t="shared" si="21"/>
        <v/>
      </c>
      <c r="B291" s="87"/>
      <c r="C291" s="95"/>
      <c r="D291" s="87"/>
      <c r="E291" s="96"/>
      <c r="F291" s="97"/>
      <c r="G291" s="91"/>
      <c r="H291" s="91"/>
      <c r="I291" s="92"/>
      <c r="J291" s="92"/>
      <c r="K291" s="85" t="b">
        <f t="shared" si="22"/>
        <v>0</v>
      </c>
      <c r="L291" s="85" t="b">
        <f t="shared" si="23"/>
        <v>0</v>
      </c>
      <c r="M291" s="85" t="b">
        <f t="shared" si="24"/>
        <v>1</v>
      </c>
      <c r="N291" s="85" t="b">
        <f t="shared" si="20"/>
        <v>1</v>
      </c>
      <c r="O291" s="85"/>
    </row>
    <row r="292" spans="1:15" ht="15.75" x14ac:dyDescent="0.2">
      <c r="A292" s="93" t="str">
        <f t="shared" si="21"/>
        <v/>
      </c>
      <c r="B292" s="87"/>
      <c r="C292" s="95"/>
      <c r="D292" s="87"/>
      <c r="E292" s="96"/>
      <c r="F292" s="97"/>
      <c r="G292" s="91"/>
      <c r="H292" s="91"/>
      <c r="I292" s="92"/>
      <c r="J292" s="92"/>
      <c r="K292" s="85" t="b">
        <f t="shared" si="22"/>
        <v>0</v>
      </c>
      <c r="L292" s="85" t="b">
        <f t="shared" si="23"/>
        <v>0</v>
      </c>
      <c r="M292" s="85" t="b">
        <f t="shared" si="24"/>
        <v>1</v>
      </c>
      <c r="N292" s="85" t="b">
        <f t="shared" si="20"/>
        <v>1</v>
      </c>
      <c r="O292" s="85"/>
    </row>
    <row r="293" spans="1:15" ht="15.75" x14ac:dyDescent="0.2">
      <c r="A293" s="93" t="str">
        <f t="shared" si="21"/>
        <v/>
      </c>
      <c r="B293" s="87"/>
      <c r="C293" s="95"/>
      <c r="D293" s="87"/>
      <c r="E293" s="96"/>
      <c r="F293" s="97"/>
      <c r="G293" s="91"/>
      <c r="H293" s="91"/>
      <c r="I293" s="92"/>
      <c r="J293" s="92"/>
      <c r="K293" s="85" t="b">
        <f t="shared" si="22"/>
        <v>0</v>
      </c>
      <c r="L293" s="85" t="b">
        <f t="shared" si="23"/>
        <v>0</v>
      </c>
      <c r="M293" s="85" t="b">
        <f t="shared" si="24"/>
        <v>1</v>
      </c>
      <c r="N293" s="85" t="b">
        <f t="shared" si="20"/>
        <v>1</v>
      </c>
      <c r="O293" s="85"/>
    </row>
    <row r="294" spans="1:15" ht="15.75" x14ac:dyDescent="0.2">
      <c r="A294" s="93" t="str">
        <f t="shared" si="21"/>
        <v/>
      </c>
      <c r="B294" s="87"/>
      <c r="C294" s="95"/>
      <c r="D294" s="87"/>
      <c r="E294" s="96"/>
      <c r="F294" s="97"/>
      <c r="G294" s="91"/>
      <c r="H294" s="91"/>
      <c r="I294" s="92"/>
      <c r="J294" s="92"/>
      <c r="K294" s="85" t="b">
        <f t="shared" si="22"/>
        <v>0</v>
      </c>
      <c r="L294" s="85" t="b">
        <f t="shared" si="23"/>
        <v>0</v>
      </c>
      <c r="M294" s="85" t="b">
        <f t="shared" si="24"/>
        <v>1</v>
      </c>
      <c r="N294" s="85" t="b">
        <f t="shared" si="20"/>
        <v>1</v>
      </c>
      <c r="O294" s="85"/>
    </row>
    <row r="295" spans="1:15" ht="15.75" x14ac:dyDescent="0.2">
      <c r="A295" s="93" t="str">
        <f t="shared" si="21"/>
        <v/>
      </c>
      <c r="B295" s="87"/>
      <c r="C295" s="95"/>
      <c r="D295" s="87"/>
      <c r="E295" s="96"/>
      <c r="F295" s="97"/>
      <c r="G295" s="91"/>
      <c r="H295" s="91"/>
      <c r="I295" s="92"/>
      <c r="J295" s="92"/>
      <c r="K295" s="85" t="b">
        <f t="shared" si="22"/>
        <v>0</v>
      </c>
      <c r="L295" s="85" t="b">
        <f t="shared" si="23"/>
        <v>0</v>
      </c>
      <c r="M295" s="85" t="b">
        <f t="shared" si="24"/>
        <v>1</v>
      </c>
      <c r="N295" s="85" t="b">
        <f t="shared" si="20"/>
        <v>1</v>
      </c>
      <c r="O295" s="85"/>
    </row>
    <row r="296" spans="1:15" ht="15.75" x14ac:dyDescent="0.2">
      <c r="A296" s="93" t="str">
        <f t="shared" si="21"/>
        <v/>
      </c>
      <c r="B296" s="87"/>
      <c r="C296" s="95"/>
      <c r="D296" s="87"/>
      <c r="E296" s="96"/>
      <c r="F296" s="97"/>
      <c r="G296" s="91"/>
      <c r="H296" s="91"/>
      <c r="I296" s="92"/>
      <c r="J296" s="92"/>
      <c r="K296" s="85" t="b">
        <f t="shared" si="22"/>
        <v>0</v>
      </c>
      <c r="L296" s="85" t="b">
        <f t="shared" si="23"/>
        <v>0</v>
      </c>
      <c r="M296" s="85" t="b">
        <f t="shared" si="24"/>
        <v>1</v>
      </c>
      <c r="N296" s="85" t="b">
        <f t="shared" si="20"/>
        <v>1</v>
      </c>
      <c r="O296" s="85"/>
    </row>
    <row r="297" spans="1:15" ht="15.75" x14ac:dyDescent="0.2">
      <c r="A297" s="93" t="str">
        <f t="shared" si="21"/>
        <v/>
      </c>
      <c r="B297" s="87"/>
      <c r="C297" s="95"/>
      <c r="D297" s="87"/>
      <c r="E297" s="96"/>
      <c r="F297" s="97"/>
      <c r="G297" s="91"/>
      <c r="H297" s="91"/>
      <c r="I297" s="92"/>
      <c r="J297" s="92"/>
      <c r="K297" s="85" t="b">
        <f t="shared" si="22"/>
        <v>0</v>
      </c>
      <c r="L297" s="85" t="b">
        <f t="shared" si="23"/>
        <v>0</v>
      </c>
      <c r="M297" s="85" t="b">
        <f t="shared" si="24"/>
        <v>1</v>
      </c>
      <c r="N297" s="85" t="b">
        <f t="shared" si="20"/>
        <v>1</v>
      </c>
      <c r="O297" s="85"/>
    </row>
    <row r="298" spans="1:15" ht="15.75" x14ac:dyDescent="0.2">
      <c r="A298" s="93" t="str">
        <f t="shared" si="21"/>
        <v/>
      </c>
      <c r="B298" s="87"/>
      <c r="C298" s="95"/>
      <c r="D298" s="87"/>
      <c r="E298" s="96"/>
      <c r="F298" s="97"/>
      <c r="G298" s="91"/>
      <c r="H298" s="91"/>
      <c r="I298" s="92"/>
      <c r="J298" s="92"/>
      <c r="K298" s="85" t="b">
        <f t="shared" si="22"/>
        <v>0</v>
      </c>
      <c r="L298" s="85" t="b">
        <f t="shared" si="23"/>
        <v>0</v>
      </c>
      <c r="M298" s="85" t="b">
        <f t="shared" si="24"/>
        <v>1</v>
      </c>
      <c r="N298" s="85" t="b">
        <f t="shared" si="20"/>
        <v>1</v>
      </c>
      <c r="O298" s="85"/>
    </row>
    <row r="299" spans="1:15" ht="15.75" x14ac:dyDescent="0.2">
      <c r="A299" s="93" t="str">
        <f t="shared" si="21"/>
        <v/>
      </c>
      <c r="B299" s="87"/>
      <c r="C299" s="95"/>
      <c r="D299" s="87"/>
      <c r="E299" s="96"/>
      <c r="F299" s="97"/>
      <c r="G299" s="91"/>
      <c r="H299" s="91"/>
      <c r="I299" s="92"/>
      <c r="J299" s="92"/>
      <c r="K299" s="85" t="b">
        <f t="shared" si="22"/>
        <v>0</v>
      </c>
      <c r="L299" s="85" t="b">
        <f t="shared" si="23"/>
        <v>0</v>
      </c>
      <c r="M299" s="85" t="b">
        <f t="shared" si="24"/>
        <v>1</v>
      </c>
      <c r="N299" s="85" t="b">
        <f t="shared" si="20"/>
        <v>1</v>
      </c>
      <c r="O299" s="85"/>
    </row>
    <row r="300" spans="1:15" ht="15.75" x14ac:dyDescent="0.2">
      <c r="A300" s="93" t="str">
        <f t="shared" si="21"/>
        <v/>
      </c>
      <c r="B300" s="87"/>
      <c r="C300" s="95"/>
      <c r="D300" s="87"/>
      <c r="E300" s="96"/>
      <c r="F300" s="97"/>
      <c r="G300" s="91"/>
      <c r="H300" s="91"/>
      <c r="I300" s="92"/>
      <c r="J300" s="92"/>
      <c r="K300" s="175" t="b">
        <f t="shared" si="22"/>
        <v>0</v>
      </c>
      <c r="L300" s="175" t="b">
        <f t="shared" si="23"/>
        <v>0</v>
      </c>
      <c r="M300" s="175" t="b">
        <f t="shared" si="24"/>
        <v>1</v>
      </c>
      <c r="N300" s="175" t="b">
        <f t="shared" si="20"/>
        <v>1</v>
      </c>
      <c r="O300" s="175"/>
    </row>
    <row r="301" spans="1:15" ht="15.75" x14ac:dyDescent="0.2">
      <c r="A301" s="93" t="str">
        <f t="shared" si="21"/>
        <v/>
      </c>
      <c r="B301" s="87"/>
      <c r="C301" s="95"/>
      <c r="D301" s="87"/>
      <c r="E301" s="96"/>
      <c r="F301" s="97"/>
      <c r="G301" s="91"/>
      <c r="H301" s="91"/>
      <c r="I301" s="92"/>
      <c r="J301" s="92"/>
      <c r="K301" s="175"/>
      <c r="L301" s="175"/>
      <c r="M301" s="175"/>
      <c r="N301" s="175"/>
      <c r="O301" s="175"/>
    </row>
  </sheetData>
  <sheetProtection password="CCB7" sheet="1" objects="1" scenarios="1" formatColumns="0" formatRows="0" autoFilter="0"/>
  <customSheetViews>
    <customSheetView guid="{6D219446-F28D-45D5-B49F-7CFEDCEF42B5}" showPageBreaks="1" printArea="1" hiddenColumns="1" view="pageBreakPreview">
      <pane ySplit="1" topLeftCell="A142" activePane="bottomLeft" state="frozen"/>
      <selection pane="bottomLeft" activeCell="B168" sqref="B168:C168"/>
      <pageMargins left="0.7" right="0.7" top="0.75" bottom="0.75" header="0.3" footer="0.3"/>
      <pageSetup paperSize="9" scale="54" orientation="portrait" r:id="rId1"/>
    </customSheetView>
    <customSheetView guid="{82A1F10D-6026-46B8-AE8B-529469938F0C}" showPageBreaks="1" printArea="1" hiddenColumns="1" view="pageBreakPreview">
      <pane ySplit="1" topLeftCell="A142" activePane="bottomLeft" state="frozen"/>
      <selection pane="bottomLeft" activeCell="B168" sqref="B168:C168"/>
      <pageMargins left="0.7" right="0.7" top="0.75" bottom="0.75" header="0.3" footer="0.3"/>
      <pageSetup paperSize="9" scale="54" orientation="portrait" r:id="rId2"/>
    </customSheetView>
    <customSheetView guid="{469C741C-1099-4615-BDAA-CB5CEB586B7F}" showPageBreaks="1" printArea="1" hiddenColumns="1" view="pageBreakPreview">
      <pane ySplit="1" topLeftCell="A142" activePane="bottomLeft" state="frozen"/>
      <selection pane="bottomLeft" activeCell="B168" sqref="B168:C168"/>
      <pageMargins left="0.7" right="0.7" top="0.75" bottom="0.75" header="0.3" footer="0.3"/>
      <pageSetup paperSize="9" scale="54" orientation="portrait" r:id="rId3"/>
    </customSheetView>
    <customSheetView guid="{E5C54765-25B5-4899-A8B4-DC3948A535C4}" showPageBreaks="1" printArea="1" hiddenColumns="1" view="pageBreakPreview">
      <pane ySplit="1" topLeftCell="A2" activePane="bottomLeft" state="frozen"/>
      <selection pane="bottomLeft" activeCell="B17" sqref="B17"/>
      <pageMargins left="0.7" right="0.7" top="0.75" bottom="0.75" header="0.3" footer="0.3"/>
      <pageSetup paperSize="9" scale="54" orientation="portrait" r:id="rId4"/>
    </customSheetView>
    <customSheetView guid="{1FEE78FD-9218-4F4F-A3E9-FCAC81CA362B}" showPageBreaks="1" printArea="1" hiddenColumns="1" view="pageBreakPreview">
      <pane ySplit="1" topLeftCell="A142" activePane="bottomLeft" state="frozen"/>
      <selection pane="bottomLeft" activeCell="B168" sqref="B168:C168"/>
      <pageMargins left="0.7" right="0.7" top="0.75" bottom="0.75" header="0.3" footer="0.3"/>
      <pageSetup paperSize="9" scale="54" orientation="portrait" r:id="rId5"/>
    </customSheetView>
  </customSheetViews>
  <conditionalFormatting sqref="C258:C299 F3:H256 I6:I256">
    <cfRule type="expression" dxfId="1172" priority="101">
      <formula>$D3&lt;&gt;""</formula>
    </cfRule>
  </conditionalFormatting>
  <conditionalFormatting sqref="E257:F299">
    <cfRule type="expression" dxfId="1171" priority="99">
      <formula>$D257&lt;&gt;""</formula>
    </cfRule>
  </conditionalFormatting>
  <conditionalFormatting sqref="A2">
    <cfRule type="containsBlanks" dxfId="1170" priority="95">
      <formula>LEN(TRIM(A2))=0</formula>
    </cfRule>
  </conditionalFormatting>
  <conditionalFormatting sqref="A3:A299">
    <cfRule type="containsBlanks" dxfId="1169" priority="94">
      <formula>LEN(TRIM(A3))=0</formula>
    </cfRule>
  </conditionalFormatting>
  <conditionalFormatting sqref="G257:H299">
    <cfRule type="expression" dxfId="1168" priority="89">
      <formula>$D257&lt;&gt;""</formula>
    </cfRule>
  </conditionalFormatting>
  <conditionalFormatting sqref="G257:H299">
    <cfRule type="expression" dxfId="1167" priority="88">
      <formula>G257=99</formula>
    </cfRule>
  </conditionalFormatting>
  <conditionalFormatting sqref="I257:I299">
    <cfRule type="expression" dxfId="1166" priority="86">
      <formula>$D257&lt;&gt;""</formula>
    </cfRule>
  </conditionalFormatting>
  <conditionalFormatting sqref="F2:I2">
    <cfRule type="expression" dxfId="1165" priority="85">
      <formula>$D2&lt;&gt;""</formula>
    </cfRule>
  </conditionalFormatting>
  <conditionalFormatting sqref="G2:G256">
    <cfRule type="expression" dxfId="1164" priority="83">
      <formula>G2=99</formula>
    </cfRule>
  </conditionalFormatting>
  <conditionalFormatting sqref="H2:H256">
    <cfRule type="expression" dxfId="1163" priority="82">
      <formula>H2=99</formula>
    </cfRule>
  </conditionalFormatting>
  <conditionalFormatting sqref="I3">
    <cfRule type="expression" dxfId="1162" priority="81">
      <formula>$D3&lt;&gt;""</formula>
    </cfRule>
  </conditionalFormatting>
  <conditionalFormatting sqref="I4">
    <cfRule type="expression" dxfId="1161" priority="80">
      <formula>$D4&lt;&gt;""</formula>
    </cfRule>
  </conditionalFormatting>
  <conditionalFormatting sqref="I5">
    <cfRule type="expression" dxfId="1160" priority="79">
      <formula>$D5&lt;&gt;""</formula>
    </cfRule>
  </conditionalFormatting>
  <conditionalFormatting sqref="E2">
    <cfRule type="expression" dxfId="1159" priority="46">
      <formula>$D2&lt;&gt;""</formula>
    </cfRule>
  </conditionalFormatting>
  <conditionalFormatting sqref="E3:E5">
    <cfRule type="expression" dxfId="1158" priority="45">
      <formula>$D3&lt;&gt;""</formula>
    </cfRule>
  </conditionalFormatting>
  <conditionalFormatting sqref="E6:E256">
    <cfRule type="expression" dxfId="1157" priority="44">
      <formula>$D6&lt;&gt;""</formula>
    </cfRule>
  </conditionalFormatting>
  <conditionalFormatting sqref="O27">
    <cfRule type="expression" dxfId="1156" priority="41">
      <formula>$D27&lt;&gt;""</formula>
    </cfRule>
  </conditionalFormatting>
  <conditionalFormatting sqref="O27">
    <cfRule type="expression" dxfId="1155" priority="40">
      <formula>$D27&lt;&gt;""</formula>
    </cfRule>
  </conditionalFormatting>
  <conditionalFormatting sqref="C23:C256">
    <cfRule type="expression" dxfId="1154" priority="39">
      <formula>$D23&lt;&gt;""</formula>
    </cfRule>
  </conditionalFormatting>
  <conditionalFormatting sqref="C23:C256">
    <cfRule type="expression" dxfId="1153" priority="38">
      <formula>$D23&lt;&gt;""</formula>
    </cfRule>
  </conditionalFormatting>
  <conditionalFormatting sqref="C2:C22">
    <cfRule type="expression" dxfId="1152" priority="37">
      <formula>$D2&lt;&gt;""</formula>
    </cfRule>
  </conditionalFormatting>
  <conditionalFormatting sqref="C2:C22">
    <cfRule type="expression" dxfId="1151" priority="36">
      <formula>$D2&lt;&gt;""</formula>
    </cfRule>
  </conditionalFormatting>
  <conditionalFormatting sqref="J2:J299">
    <cfRule type="expression" dxfId="1150" priority="34">
      <formula>$D2&lt;&gt;""</formula>
    </cfRule>
  </conditionalFormatting>
  <conditionalFormatting sqref="C300:C301">
    <cfRule type="expression" dxfId="1149" priority="30">
      <formula>$D300&lt;&gt;""</formula>
    </cfRule>
  </conditionalFormatting>
  <conditionalFormatting sqref="E300:F301">
    <cfRule type="expression" dxfId="1148" priority="29">
      <formula>$D300&lt;&gt;""</formula>
    </cfRule>
  </conditionalFormatting>
  <conditionalFormatting sqref="A300:A301">
    <cfRule type="containsBlanks" dxfId="1147" priority="28">
      <formula>LEN(TRIM(A300))=0</formula>
    </cfRule>
  </conditionalFormatting>
  <conditionalFormatting sqref="G300:H301">
    <cfRule type="expression" dxfId="1146" priority="26">
      <formula>$D300&lt;&gt;""</formula>
    </cfRule>
  </conditionalFormatting>
  <conditionalFormatting sqref="G300:H301">
    <cfRule type="expression" dxfId="1145" priority="25">
      <formula>G300=99</formula>
    </cfRule>
  </conditionalFormatting>
  <conditionalFormatting sqref="I300:I301">
    <cfRule type="expression" dxfId="1144" priority="24">
      <formula>$D300&lt;&gt;""</formula>
    </cfRule>
  </conditionalFormatting>
  <conditionalFormatting sqref="J300:J301">
    <cfRule type="expression" dxfId="1143" priority="23">
      <formula>$D300&lt;&gt;""</formula>
    </cfRule>
  </conditionalFormatting>
  <conditionalFormatting sqref="D3:D301">
    <cfRule type="expression" dxfId="1142" priority="6">
      <formula>$D3&lt;&gt;""</formula>
    </cfRule>
  </conditionalFormatting>
  <conditionalFormatting sqref="D3:D301">
    <cfRule type="expression" dxfId="1141" priority="5">
      <formula>$D3&lt;&gt;""</formula>
    </cfRule>
  </conditionalFormatting>
  <conditionalFormatting sqref="B297:B301">
    <cfRule type="expression" dxfId="1140" priority="14">
      <formula>$D297&lt;&gt;""</formula>
    </cfRule>
  </conditionalFormatting>
  <conditionalFormatting sqref="B297:B301">
    <cfRule type="expression" dxfId="1139" priority="13">
      <formula>$D297&lt;&gt;""</formula>
    </cfRule>
  </conditionalFormatting>
  <conditionalFormatting sqref="B2:B296">
    <cfRule type="expression" dxfId="1138" priority="10">
      <formula>$D2&lt;&gt;""</formula>
    </cfRule>
  </conditionalFormatting>
  <conditionalFormatting sqref="B2:B296">
    <cfRule type="expression" dxfId="1137" priority="9">
      <formula>$D2&lt;&gt;""</formula>
    </cfRule>
  </conditionalFormatting>
  <conditionalFormatting sqref="C257">
    <cfRule type="expression" dxfId="1136" priority="4">
      <formula>$D257&lt;&gt;""</formula>
    </cfRule>
  </conditionalFormatting>
  <conditionalFormatting sqref="C257">
    <cfRule type="expression" dxfId="1135" priority="3">
      <formula>$D257&lt;&gt;""</formula>
    </cfRule>
  </conditionalFormatting>
  <conditionalFormatting sqref="D2">
    <cfRule type="expression" dxfId="1134" priority="2">
      <formula>$D2&lt;&gt;""</formula>
    </cfRule>
  </conditionalFormatting>
  <conditionalFormatting sqref="D2">
    <cfRule type="expression" dxfId="1133" priority="1">
      <formula>$D2&lt;&gt;""</formula>
    </cfRule>
  </conditionalFormatting>
  <dataValidations disablePrompts="1" count="3">
    <dataValidation type="whole" allowBlank="1" showInputMessage="1" showErrorMessage="1" sqref="G2:H301">
      <formula1>1</formula1>
      <formula2>10</formula2>
    </dataValidation>
    <dataValidation type="list" operator="equal" allowBlank="1" showInputMessage="1" showErrorMessage="1" error="יש להזין את הספרה 0 או 1 בלבד, כאשר:_x000a_ 0= לא נמצא באיזור בעל עדיפות לאומית_x000a_ 1=כן נמצא באיזור בעל עדיפות לאומית" sqref="I2:I301">
      <formula1>"0,1"</formula1>
    </dataValidation>
    <dataValidation type="list" operator="equal" allowBlank="1" showInputMessage="1" error="יש להזין את הספרה 0 או 1 בלבד, כאשר:_x000a_ 0= לא נמצא באיזור בעל עדיפות לאומית_x000a_ 1=כן נמצא באיזור בעל עדיפות לאומית" sqref="J2:J301">
      <formula1>$Q$3:$Q$5</formula1>
    </dataValidation>
  </dataValidations>
  <pageMargins left="0.7" right="0.7" top="0.75" bottom="0.75" header="0.3" footer="0.3"/>
  <pageSetup paperSize="9" scale="54" orientation="portrait"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2">
    <tabColor rgb="FFFFFFCC"/>
  </sheetPr>
  <dimension ref="A1:EM500"/>
  <sheetViews>
    <sheetView rightToLeft="1" zoomScaleNormal="100" zoomScaleSheetLayoutView="50" workbookViewId="0">
      <pane xSplit="7" ySplit="30" topLeftCell="BM31" activePane="bottomRight" state="frozen"/>
      <selection activeCell="F44" sqref="F44"/>
      <selection pane="topRight" activeCell="F44" sqref="F44"/>
      <selection pane="bottomLeft" activeCell="F44" sqref="F44"/>
      <selection pane="bottomRight" activeCell="B26" sqref="B26"/>
    </sheetView>
  </sheetViews>
  <sheetFormatPr defaultColWidth="8.375" defaultRowHeight="15" x14ac:dyDescent="0.2"/>
  <cols>
    <col min="1" max="1" width="8.375" style="125" hidden="1" customWidth="1"/>
    <col min="2" max="2" width="6.125" style="125" customWidth="1"/>
    <col min="3" max="5" width="14.125" style="125" customWidth="1"/>
    <col min="6" max="6" width="13.375" style="125" customWidth="1"/>
    <col min="7" max="7" width="24.625" style="125" customWidth="1"/>
    <col min="8" max="8" width="35" style="125" bestFit="1" customWidth="1"/>
    <col min="9" max="9" width="16.875" style="125" bestFit="1" customWidth="1"/>
    <col min="10" max="10" width="17.875" style="125" bestFit="1" customWidth="1"/>
    <col min="11" max="11" width="17.875" style="125" customWidth="1"/>
    <col min="12" max="12" width="13.75" style="125" customWidth="1"/>
    <col min="13" max="13" width="26" style="125" customWidth="1"/>
    <col min="14" max="14" width="15.125" style="125" customWidth="1"/>
    <col min="15" max="15" width="14.875" style="125" customWidth="1"/>
    <col min="16" max="17" width="20.625" style="125" customWidth="1"/>
    <col min="18" max="19" width="24.375" style="125" customWidth="1"/>
    <col min="20" max="21" width="15.375" style="125" customWidth="1"/>
    <col min="22" max="22" width="24" style="125" customWidth="1"/>
    <col min="23" max="23" width="26.375" style="125" customWidth="1"/>
    <col min="24" max="24" width="19.875" style="125" customWidth="1"/>
    <col min="25" max="26" width="17.875" style="125" customWidth="1"/>
    <col min="27" max="27" width="11.875" style="125" customWidth="1"/>
    <col min="28" max="32" width="16.125" style="125" hidden="1" customWidth="1"/>
    <col min="33" max="33" width="15.875" style="125" hidden="1" customWidth="1"/>
    <col min="34" max="36" width="24.75" style="125" hidden="1" customWidth="1"/>
    <col min="37" max="38" width="12.875" style="125" hidden="1" customWidth="1"/>
    <col min="39" max="41" width="18.5" style="125" hidden="1" customWidth="1"/>
    <col min="42" max="42" width="14.5" style="125" hidden="1" customWidth="1"/>
    <col min="43" max="49" width="24.75" style="125" hidden="1" customWidth="1"/>
    <col min="50" max="51" width="12.125" style="125" hidden="1" customWidth="1"/>
    <col min="52" max="54" width="14.625" style="125" hidden="1" customWidth="1"/>
    <col min="55" max="55" width="16.625" style="125" hidden="1" customWidth="1"/>
    <col min="56" max="57" width="14.625" style="125" hidden="1" customWidth="1"/>
    <col min="58" max="58" width="14.125" style="125" hidden="1" customWidth="1"/>
    <col min="59" max="59" width="12.625" style="125" hidden="1" customWidth="1"/>
    <col min="60" max="60" width="15.875" style="125" hidden="1" customWidth="1"/>
    <col min="61" max="63" width="19.625" style="125" hidden="1" customWidth="1"/>
    <col min="64" max="65" width="19.625" style="125" customWidth="1"/>
    <col min="66" max="66" width="23.25" style="125" customWidth="1"/>
    <col min="67" max="67" width="23.25" style="125" hidden="1" customWidth="1"/>
    <col min="68" max="70" width="8.375" style="125" hidden="1" customWidth="1"/>
    <col min="71" max="71" width="10.875" style="125" hidden="1" customWidth="1"/>
    <col min="72" max="74" width="8.375" style="125" hidden="1" customWidth="1"/>
    <col min="75" max="75" width="9.375" style="125" hidden="1" customWidth="1"/>
    <col min="76" max="76" width="15.375" style="125" hidden="1" customWidth="1"/>
    <col min="77" max="77" width="8.125" style="125" hidden="1" customWidth="1"/>
    <col min="78" max="78" width="10.875" style="125" hidden="1" customWidth="1"/>
    <col min="79" max="79" width="16.25" style="125" hidden="1" customWidth="1"/>
    <col min="80" max="100" width="8.375" style="125" hidden="1" customWidth="1"/>
    <col min="101" max="101" width="8.875" style="125" hidden="1" customWidth="1"/>
    <col min="102" max="105" width="8.375" style="125" hidden="1" customWidth="1"/>
    <col min="106" max="106" width="9.875" style="125" hidden="1" customWidth="1"/>
    <col min="107" max="124" width="8.375" style="125" hidden="1" customWidth="1"/>
    <col min="125" max="125" width="11.625" style="125" hidden="1" customWidth="1"/>
    <col min="126" max="126" width="8.375" style="125" hidden="1" customWidth="1"/>
    <col min="127" max="127" width="8.75" style="125" hidden="1" customWidth="1"/>
    <col min="128" max="143" width="8.375" style="125" hidden="1" customWidth="1"/>
    <col min="144" max="149" width="8.375" style="125" customWidth="1"/>
    <col min="150" max="16384" width="8.375" style="125"/>
  </cols>
  <sheetData>
    <row r="1" spans="2:138" ht="25.5" customHeight="1" thickBot="1" x14ac:dyDescent="0.25">
      <c r="B1" s="391" t="str">
        <f ca="1">MID(CELL("filename",BR2),FIND("]",CELL("filename",BR2),1)+1,99)</f>
        <v>הזנה לתנאי סף</v>
      </c>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c r="AG1" s="392"/>
      <c r="AH1" s="392"/>
      <c r="AI1" s="392"/>
      <c r="AJ1" s="392"/>
      <c r="AK1" s="392"/>
      <c r="AL1" s="392"/>
      <c r="AM1" s="392"/>
      <c r="AN1" s="392"/>
      <c r="AO1" s="392"/>
      <c r="AP1" s="392"/>
      <c r="AQ1" s="392"/>
      <c r="AR1" s="392"/>
      <c r="AS1" s="392"/>
      <c r="AT1" s="392"/>
      <c r="AU1" s="392"/>
      <c r="AV1" s="392"/>
      <c r="AW1" s="392"/>
      <c r="AX1" s="392"/>
      <c r="AY1" s="392"/>
      <c r="AZ1" s="392"/>
      <c r="BA1" s="392"/>
      <c r="BB1" s="392"/>
      <c r="BC1" s="392"/>
      <c r="BD1" s="392"/>
      <c r="BE1" s="392"/>
      <c r="BF1" s="392"/>
      <c r="BG1" s="392"/>
      <c r="BH1" s="392"/>
      <c r="BI1" s="392"/>
      <c r="BJ1" s="392"/>
      <c r="BK1" s="392"/>
      <c r="BL1" s="392"/>
      <c r="BM1" s="392"/>
      <c r="BN1" s="392"/>
      <c r="BO1" s="208"/>
      <c r="BQ1" s="125" t="s">
        <v>317</v>
      </c>
      <c r="BS1" s="126" t="s">
        <v>318</v>
      </c>
      <c r="BT1" s="127" t="s">
        <v>319</v>
      </c>
      <c r="BU1" s="127" t="s">
        <v>270</v>
      </c>
      <c r="BV1" s="127" t="s">
        <v>320</v>
      </c>
      <c r="BW1" s="127" t="s">
        <v>321</v>
      </c>
      <c r="BX1" s="127" t="s">
        <v>322</v>
      </c>
      <c r="BY1" s="127" t="s">
        <v>323</v>
      </c>
      <c r="BZ1" s="128" t="s">
        <v>324</v>
      </c>
      <c r="CA1" s="127" t="s">
        <v>325</v>
      </c>
      <c r="CB1" s="128" t="s">
        <v>326</v>
      </c>
      <c r="CC1" s="128" t="s">
        <v>326</v>
      </c>
      <c r="CD1" s="127"/>
      <c r="CE1" s="127"/>
      <c r="CF1" s="127"/>
      <c r="CG1" s="127"/>
      <c r="CH1" s="127"/>
      <c r="CI1" s="127"/>
      <c r="CJ1" s="127"/>
      <c r="CK1" s="127"/>
      <c r="CL1" s="127"/>
      <c r="CM1" s="127"/>
      <c r="CN1" s="127"/>
      <c r="CO1" s="127"/>
      <c r="CP1" s="127"/>
      <c r="CQ1" s="127"/>
      <c r="CR1" s="127"/>
      <c r="CS1" s="127"/>
      <c r="CT1" s="127"/>
      <c r="CU1" s="127"/>
      <c r="CV1" s="127"/>
      <c r="CW1" s="127"/>
      <c r="CX1" s="127"/>
      <c r="CY1" s="127"/>
      <c r="CZ1" s="127"/>
      <c r="DA1" s="127"/>
      <c r="DB1" s="127"/>
      <c r="DC1" s="127"/>
      <c r="DD1" s="127"/>
      <c r="DE1" s="128"/>
    </row>
    <row r="2" spans="2:138" ht="20.25" customHeight="1" x14ac:dyDescent="0.2">
      <c r="BL2" s="129" t="str">
        <f>'פרמטרים לקריטריונים'!B4</f>
        <v>שנת תקציב</v>
      </c>
      <c r="BM2" s="130">
        <f>'פרמטרים לקריטריונים'!C4</f>
        <v>2020</v>
      </c>
      <c r="BO2" s="209"/>
      <c r="BT2" s="125">
        <f>IF(ISNA(MATCH(N31,$BQ$30:$BR$30,0)),0,1)</f>
        <v>1</v>
      </c>
      <c r="BU2" s="125">
        <f>IF(IFERROR(N31*1,"bad")="bad",0,1)</f>
        <v>1</v>
      </c>
      <c r="BV2" s="125">
        <f>IF(IFERROR(O31*1,"bad")="bad",0,1)</f>
        <v>1</v>
      </c>
      <c r="BW2" s="125">
        <f>IF(IFERROR(IF(N31=TRUNC(N31),1,"bad"),"bad")="bad",0,1)</f>
        <v>1</v>
      </c>
      <c r="BX2" s="125">
        <f>IF(AND(IF(IFERROR(N31*1,"bad")="bad",0,1)=1,N31&gt;=0),1,0)</f>
        <v>1</v>
      </c>
      <c r="BY2" s="125">
        <f>IF(AND(IF(IFERROR(IF(N31=TRUNC(N31),1,"bad"),"bad")="bad",0,1)=1,N31&gt;=0),1,0)</f>
        <v>1</v>
      </c>
      <c r="BZ2" s="125">
        <f>IF(AND(IF(IFERROR(N31*1,"bad")="bad",0,1)=1,N31&gt;0),1,0)</f>
        <v>1</v>
      </c>
      <c r="CA2" s="125">
        <f>IF(AND(IF(IFERROR(IF(N31=TRUNC(N31),1,"bad"),"bad")="bad",0,1)=1,N31&gt;0),1,0)</f>
        <v>1</v>
      </c>
      <c r="CB2" s="125">
        <v>1</v>
      </c>
      <c r="EB2" s="131" t="s">
        <v>327</v>
      </c>
      <c r="EC2" s="132">
        <v>0.8</v>
      </c>
    </row>
    <row r="3" spans="2:138" ht="18.75" hidden="1" thickBot="1" x14ac:dyDescent="0.3">
      <c r="G3" s="133"/>
      <c r="H3" s="133"/>
      <c r="I3" s="133"/>
      <c r="J3" s="133"/>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L3" s="135"/>
      <c r="BM3" s="136"/>
      <c r="BO3" s="210"/>
      <c r="BS3" s="125" t="s">
        <v>328</v>
      </c>
      <c r="BT3" s="125">
        <v>1</v>
      </c>
      <c r="BU3" s="125">
        <v>2</v>
      </c>
      <c r="BV3" s="125">
        <v>3</v>
      </c>
      <c r="BW3" s="125">
        <v>4</v>
      </c>
      <c r="BX3" s="125">
        <v>5</v>
      </c>
      <c r="BY3" s="125">
        <v>6</v>
      </c>
      <c r="BZ3" s="125">
        <v>7</v>
      </c>
      <c r="CA3" s="125">
        <v>8</v>
      </c>
      <c r="CB3" s="125">
        <v>9</v>
      </c>
      <c r="DU3" s="131" t="s">
        <v>329</v>
      </c>
      <c r="DV3" s="131">
        <v>3</v>
      </c>
      <c r="EB3" s="137" t="s">
        <v>330</v>
      </c>
      <c r="EC3" s="138">
        <v>1</v>
      </c>
    </row>
    <row r="4" spans="2:138" ht="46.5" hidden="1" customHeight="1" thickBot="1" x14ac:dyDescent="0.3">
      <c r="G4" s="139" t="s">
        <v>331</v>
      </c>
      <c r="H4" s="189"/>
      <c r="I4" s="189"/>
      <c r="J4" s="189"/>
      <c r="K4" s="140">
        <v>0</v>
      </c>
      <c r="L4" s="140">
        <v>1</v>
      </c>
      <c r="M4" s="140">
        <v>0</v>
      </c>
      <c r="N4" s="140">
        <v>0</v>
      </c>
      <c r="O4" s="140">
        <v>0</v>
      </c>
      <c r="P4" s="140">
        <v>1</v>
      </c>
      <c r="Q4" s="140">
        <v>0</v>
      </c>
      <c r="R4" s="140"/>
      <c r="S4" s="140"/>
      <c r="T4" s="140">
        <v>1</v>
      </c>
      <c r="U4" s="140"/>
      <c r="V4" s="140">
        <v>1</v>
      </c>
      <c r="W4" s="140">
        <v>1</v>
      </c>
      <c r="X4" s="140">
        <v>1</v>
      </c>
      <c r="Y4" s="140">
        <v>0</v>
      </c>
      <c r="Z4" s="140">
        <v>0</v>
      </c>
      <c r="AA4" s="140">
        <v>1</v>
      </c>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1">
        <v>99</v>
      </c>
      <c r="BS4" s="125" t="s">
        <v>332</v>
      </c>
      <c r="BT4" s="126">
        <v>1</v>
      </c>
      <c r="BU4" s="127">
        <v>2</v>
      </c>
      <c r="BV4" s="127">
        <v>2</v>
      </c>
      <c r="BW4" s="127">
        <v>3</v>
      </c>
      <c r="BX4" s="127">
        <v>4</v>
      </c>
      <c r="BY4" s="127">
        <v>5</v>
      </c>
      <c r="BZ4" s="127">
        <v>6</v>
      </c>
      <c r="CA4" s="127">
        <v>7</v>
      </c>
      <c r="CB4" s="127">
        <v>8</v>
      </c>
      <c r="CC4" s="127">
        <v>9</v>
      </c>
      <c r="CD4" s="128">
        <v>10</v>
      </c>
      <c r="CE4" s="142"/>
      <c r="CF4" s="142"/>
      <c r="CG4" s="142"/>
      <c r="CH4" s="142"/>
      <c r="CI4" s="142"/>
      <c r="CJ4" s="142"/>
      <c r="CK4" s="142"/>
      <c r="CL4" s="142"/>
      <c r="CM4" s="142"/>
      <c r="CN4" s="142"/>
      <c r="CO4" s="142"/>
      <c r="CP4" s="142"/>
      <c r="CQ4" s="142"/>
      <c r="CR4" s="142"/>
      <c r="CS4" s="142"/>
      <c r="DU4" s="143"/>
      <c r="DV4" s="143"/>
      <c r="EB4" s="137" t="s">
        <v>333</v>
      </c>
      <c r="EC4" s="138"/>
      <c r="ED4" s="138"/>
    </row>
    <row r="5" spans="2:138" ht="16.5" hidden="1" thickBot="1" x14ac:dyDescent="0.3">
      <c r="G5" s="144" t="s">
        <v>334</v>
      </c>
      <c r="H5" s="190"/>
      <c r="I5" s="190"/>
      <c r="J5" s="190"/>
      <c r="K5" s="145"/>
      <c r="L5" s="145">
        <v>1</v>
      </c>
      <c r="M5" s="145"/>
      <c r="N5" s="145"/>
      <c r="O5" s="188"/>
      <c r="P5" s="145">
        <v>1</v>
      </c>
      <c r="Q5" s="188"/>
      <c r="R5" s="188"/>
      <c r="S5" s="188"/>
      <c r="T5" s="145">
        <v>1</v>
      </c>
      <c r="U5" s="188"/>
      <c r="V5" s="145">
        <v>1</v>
      </c>
      <c r="W5" s="145">
        <v>1</v>
      </c>
      <c r="X5" s="145">
        <v>1</v>
      </c>
      <c r="Y5" s="188"/>
      <c r="Z5" s="188"/>
      <c r="AA5" s="188">
        <v>1</v>
      </c>
      <c r="AB5" s="145"/>
      <c r="AC5" s="188"/>
      <c r="AD5" s="188"/>
      <c r="AE5" s="188"/>
      <c r="AF5" s="188"/>
      <c r="AG5" s="145"/>
      <c r="AH5" s="145"/>
      <c r="AI5" s="145"/>
      <c r="AJ5" s="145"/>
      <c r="AK5" s="145"/>
      <c r="AL5" s="188"/>
      <c r="AM5" s="145"/>
      <c r="AN5" s="188"/>
      <c r="AO5" s="188"/>
      <c r="AP5" s="145"/>
      <c r="AQ5" s="145"/>
      <c r="AR5" s="145"/>
      <c r="AS5" s="145"/>
      <c r="AT5" s="145"/>
      <c r="AU5" s="145"/>
      <c r="AV5" s="145"/>
      <c r="AW5" s="145"/>
      <c r="AX5" s="145"/>
      <c r="AY5" s="188"/>
      <c r="AZ5" s="188"/>
      <c r="BA5" s="188"/>
      <c r="BB5" s="188"/>
      <c r="BC5" s="188"/>
      <c r="BD5" s="145"/>
      <c r="BE5" s="188"/>
      <c r="BF5" s="145"/>
      <c r="BG5" s="145"/>
      <c r="BH5" s="146"/>
      <c r="BS5" s="125" t="s">
        <v>332</v>
      </c>
      <c r="BT5" s="125" t="s">
        <v>373</v>
      </c>
      <c r="BU5" s="125" t="s">
        <v>374</v>
      </c>
      <c r="BV5" s="125" t="s">
        <v>374</v>
      </c>
      <c r="BW5" s="125" t="s">
        <v>375</v>
      </c>
      <c r="BX5" s="125" t="s">
        <v>376</v>
      </c>
      <c r="BY5" s="125" t="s">
        <v>377</v>
      </c>
      <c r="BZ5" s="125" t="s">
        <v>378</v>
      </c>
      <c r="CA5" s="125" t="s">
        <v>379</v>
      </c>
      <c r="CB5" s="125" t="s">
        <v>380</v>
      </c>
      <c r="CC5" s="125" t="s">
        <v>381</v>
      </c>
      <c r="CD5" s="125" t="s">
        <v>382</v>
      </c>
      <c r="CE5" s="125" t="s">
        <v>383</v>
      </c>
      <c r="CF5" s="125" t="s">
        <v>384</v>
      </c>
      <c r="CG5" s="125" t="s">
        <v>385</v>
      </c>
      <c r="CH5" s="125" t="s">
        <v>386</v>
      </c>
      <c r="CI5" s="125" t="s">
        <v>387</v>
      </c>
      <c r="CJ5" s="125" t="s">
        <v>388</v>
      </c>
      <c r="CK5" s="125" t="s">
        <v>389</v>
      </c>
      <c r="CL5" s="125" t="s">
        <v>392</v>
      </c>
      <c r="CM5" s="125" t="s">
        <v>390</v>
      </c>
      <c r="CN5" s="125" t="s">
        <v>391</v>
      </c>
      <c r="CO5" s="125" t="s">
        <v>393</v>
      </c>
      <c r="CP5" s="125" t="s">
        <v>394</v>
      </c>
      <c r="CQ5" s="125" t="s">
        <v>395</v>
      </c>
      <c r="CR5" s="125" t="s">
        <v>564</v>
      </c>
      <c r="DR5" s="137"/>
      <c r="DS5" s="138"/>
      <c r="DT5" s="138"/>
      <c r="DU5" s="131">
        <v>0.6</v>
      </c>
      <c r="DV5" s="147">
        <v>2</v>
      </c>
      <c r="DW5" s="125">
        <f>AP5</f>
        <v>0</v>
      </c>
      <c r="EB5" s="137">
        <f>$EC$2*DU5</f>
        <v>0.48</v>
      </c>
      <c r="EC5" s="137">
        <f>$EC$2*DV5</f>
        <v>1.6</v>
      </c>
      <c r="ED5" s="137">
        <f>$EC$2*DW5</f>
        <v>0</v>
      </c>
      <c r="EE5" s="138"/>
      <c r="EF5" s="138"/>
      <c r="EG5" s="138"/>
      <c r="EH5" s="138"/>
    </row>
    <row r="6" spans="2:138" ht="15.75" hidden="1" x14ac:dyDescent="0.25">
      <c r="DR6" s="137"/>
      <c r="DS6" s="138"/>
      <c r="DT6" s="138"/>
      <c r="EE6" s="138"/>
      <c r="EF6" s="138"/>
      <c r="EG6" s="138"/>
      <c r="EH6" s="138"/>
    </row>
    <row r="7" spans="2:138" ht="15.75" hidden="1" x14ac:dyDescent="0.25">
      <c r="G7" s="133"/>
      <c r="H7" s="133"/>
      <c r="I7" s="133"/>
      <c r="J7" s="133"/>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DR7" s="137"/>
      <c r="DS7" s="137"/>
      <c r="DT7" s="137"/>
      <c r="DU7" s="148"/>
      <c r="DV7" s="148"/>
      <c r="EE7" s="137"/>
      <c r="EF7" s="137"/>
      <c r="EG7" s="137"/>
      <c r="EH7" s="137"/>
    </row>
    <row r="8" spans="2:138" ht="15.75" hidden="1" x14ac:dyDescent="0.25">
      <c r="G8" s="125" t="s">
        <v>335</v>
      </c>
      <c r="N8" s="125">
        <f ca="1">SUMPRODUCT(MAX(($B:$B&lt;&gt;"")*(ROW(B:B))))</f>
        <v>407</v>
      </c>
      <c r="DR8" s="138"/>
      <c r="DS8" s="138"/>
      <c r="DT8" s="138"/>
      <c r="DU8" s="143"/>
      <c r="DV8" s="143"/>
      <c r="EB8" s="138"/>
      <c r="EC8" s="138"/>
      <c r="ED8" s="138"/>
      <c r="EE8" s="138"/>
      <c r="EF8" s="138"/>
      <c r="EG8" s="138"/>
      <c r="EH8" s="138"/>
    </row>
    <row r="9" spans="2:138" s="168" customFormat="1" ht="15.75" hidden="1" x14ac:dyDescent="0.25">
      <c r="DR9" s="169"/>
      <c r="DS9" s="169"/>
      <c r="DT9" s="169"/>
      <c r="DU9" s="170"/>
      <c r="DV9" s="170"/>
      <c r="EB9" s="169"/>
      <c r="EC9" s="169"/>
      <c r="ED9" s="169"/>
      <c r="EE9" s="169"/>
      <c r="EF9" s="169"/>
      <c r="EG9" s="169"/>
      <c r="EH9" s="169"/>
    </row>
    <row r="10" spans="2:138" s="168" customFormat="1" ht="15.75" hidden="1" x14ac:dyDescent="0.25">
      <c r="DR10" s="169"/>
      <c r="DS10" s="169"/>
      <c r="DT10" s="169"/>
      <c r="DU10" s="170"/>
      <c r="DV10" s="170"/>
      <c r="EB10" s="169"/>
      <c r="EC10" s="169"/>
      <c r="ED10" s="169"/>
      <c r="EE10" s="169"/>
      <c r="EF10" s="169"/>
      <c r="EG10" s="169"/>
      <c r="EH10" s="169"/>
    </row>
    <row r="11" spans="2:138" s="168" customFormat="1" ht="15.75" hidden="1" x14ac:dyDescent="0.25">
      <c r="DR11" s="169"/>
      <c r="DS11" s="169"/>
      <c r="DT11" s="169"/>
      <c r="DU11" s="170"/>
      <c r="DV11" s="170"/>
      <c r="EB11" s="169"/>
      <c r="EC11" s="169"/>
      <c r="ED11" s="169"/>
      <c r="EE11" s="169"/>
      <c r="EF11" s="169"/>
      <c r="EG11" s="169"/>
      <c r="EH11" s="169"/>
    </row>
    <row r="12" spans="2:138" s="168" customFormat="1" ht="15.75" hidden="1" x14ac:dyDescent="0.25">
      <c r="DR12" s="169"/>
      <c r="DS12" s="169"/>
      <c r="DT12" s="169"/>
      <c r="DU12" s="170"/>
      <c r="DV12" s="170"/>
      <c r="EB12" s="169"/>
      <c r="EC12" s="169"/>
      <c r="ED12" s="169"/>
      <c r="EE12" s="169"/>
      <c r="EF12" s="169"/>
      <c r="EG12" s="169"/>
      <c r="EH12" s="169"/>
    </row>
    <row r="13" spans="2:138" s="168" customFormat="1" ht="15.75" hidden="1" x14ac:dyDescent="0.25">
      <c r="DR13" s="169"/>
      <c r="DS13" s="169"/>
      <c r="DT13" s="169"/>
      <c r="DU13" s="170"/>
      <c r="DV13" s="170"/>
      <c r="EB13" s="169"/>
      <c r="EC13" s="169"/>
      <c r="ED13" s="169"/>
      <c r="EE13" s="169"/>
      <c r="EF13" s="169"/>
      <c r="EG13" s="169"/>
      <c r="EH13" s="169"/>
    </row>
    <row r="14" spans="2:138" s="168" customFormat="1" ht="15.75" hidden="1" x14ac:dyDescent="0.25">
      <c r="DR14" s="169"/>
      <c r="DS14" s="169"/>
      <c r="DT14" s="169"/>
      <c r="DU14" s="170"/>
      <c r="DV14" s="170"/>
      <c r="EB14" s="169"/>
      <c r="EC14" s="169"/>
      <c r="ED14" s="169"/>
      <c r="EE14" s="169"/>
      <c r="EF14" s="169"/>
      <c r="EG14" s="169"/>
      <c r="EH14" s="169"/>
    </row>
    <row r="15" spans="2:138" s="168" customFormat="1" ht="15.75" hidden="1" x14ac:dyDescent="0.25">
      <c r="DR15" s="169"/>
      <c r="DS15" s="169"/>
      <c r="DT15" s="169"/>
      <c r="DU15" s="170"/>
      <c r="DV15" s="170"/>
      <c r="EB15" s="169"/>
      <c r="EC15" s="169"/>
      <c r="ED15" s="169"/>
      <c r="EE15" s="169"/>
      <c r="EF15" s="169"/>
      <c r="EG15" s="169"/>
      <c r="EH15" s="169"/>
    </row>
    <row r="16" spans="2:138" s="168" customFormat="1" ht="15.75" hidden="1" x14ac:dyDescent="0.25">
      <c r="DR16" s="169"/>
      <c r="DS16" s="169"/>
      <c r="DT16" s="169"/>
      <c r="DU16" s="170"/>
      <c r="DV16" s="170"/>
      <c r="EB16" s="169"/>
      <c r="EC16" s="169"/>
      <c r="ED16" s="169"/>
      <c r="EE16" s="169"/>
      <c r="EF16" s="169"/>
      <c r="EG16" s="169"/>
      <c r="EH16" s="169"/>
    </row>
    <row r="17" spans="1:142" s="168" customFormat="1" ht="15.75" hidden="1" x14ac:dyDescent="0.25">
      <c r="DR17" s="169"/>
      <c r="DS17" s="169"/>
      <c r="DT17" s="169"/>
      <c r="DU17" s="170"/>
      <c r="DV17" s="170"/>
      <c r="EB17" s="169"/>
      <c r="EC17" s="169"/>
      <c r="ED17" s="169"/>
      <c r="EE17" s="169"/>
      <c r="EF17" s="169"/>
      <c r="EG17" s="169"/>
      <c r="EH17" s="169"/>
      <c r="EI17" s="169"/>
    </row>
    <row r="18" spans="1:142" s="168" customFormat="1" ht="15.75" hidden="1" x14ac:dyDescent="0.25">
      <c r="DR18" s="169"/>
      <c r="DS18" s="169"/>
      <c r="DT18" s="169"/>
      <c r="DU18" s="170"/>
      <c r="DV18" s="170"/>
      <c r="EB18" s="169"/>
      <c r="EC18" s="169"/>
      <c r="ED18" s="169"/>
      <c r="EE18" s="169"/>
      <c r="EF18" s="169"/>
      <c r="EG18" s="169"/>
      <c r="EH18" s="169"/>
      <c r="EI18" s="169"/>
    </row>
    <row r="19" spans="1:142" s="168" customFormat="1" ht="15.75" hidden="1" x14ac:dyDescent="0.25">
      <c r="DR19" s="169"/>
      <c r="DS19" s="169"/>
      <c r="DT19" s="169"/>
      <c r="DU19" s="170"/>
      <c r="DV19" s="170"/>
      <c r="EB19" s="169"/>
      <c r="EC19" s="169"/>
      <c r="ED19" s="169"/>
      <c r="EE19" s="169"/>
      <c r="EF19" s="169"/>
      <c r="EG19" s="169"/>
      <c r="EH19" s="169"/>
      <c r="EI19" s="169"/>
    </row>
    <row r="20" spans="1:142" s="168" customFormat="1" ht="15.75" hidden="1" x14ac:dyDescent="0.25">
      <c r="DR20" s="169"/>
      <c r="DS20" s="169"/>
      <c r="DT20" s="169"/>
      <c r="DU20" s="170"/>
      <c r="DV20" s="170"/>
      <c r="EB20" s="169"/>
      <c r="EC20" s="169"/>
      <c r="ED20" s="169"/>
      <c r="EE20" s="169"/>
      <c r="EF20" s="169"/>
      <c r="EG20" s="169"/>
      <c r="EH20" s="169"/>
      <c r="EI20" s="169"/>
    </row>
    <row r="21" spans="1:142" s="168" customFormat="1" ht="15.75" hidden="1" x14ac:dyDescent="0.25">
      <c r="DR21" s="169"/>
      <c r="DS21" s="169"/>
      <c r="DT21" s="169"/>
      <c r="DU21" s="170"/>
      <c r="DV21" s="170"/>
      <c r="EB21" s="169"/>
      <c r="EC21" s="169"/>
      <c r="ED21" s="169"/>
      <c r="EE21" s="169"/>
      <c r="EF21" s="169"/>
      <c r="EG21" s="169"/>
      <c r="EH21" s="169"/>
      <c r="EI21" s="169"/>
    </row>
    <row r="22" spans="1:142" s="168" customFormat="1" ht="15.75" hidden="1" x14ac:dyDescent="0.25">
      <c r="DR22" s="169"/>
      <c r="DS22" s="169"/>
      <c r="DT22" s="169"/>
      <c r="DU22" s="170"/>
      <c r="DV22" s="170"/>
      <c r="EB22" s="169"/>
      <c r="EC22" s="169"/>
      <c r="ED22" s="169"/>
      <c r="EE22" s="169"/>
      <c r="EF22" s="169"/>
      <c r="EG22" s="169"/>
      <c r="EH22" s="169"/>
      <c r="EI22" s="169"/>
    </row>
    <row r="23" spans="1:142" s="168" customFormat="1" ht="15.75" hidden="1" x14ac:dyDescent="0.25">
      <c r="DR23" s="169"/>
      <c r="DS23" s="169"/>
      <c r="DT23" s="169"/>
      <c r="DU23" s="170"/>
      <c r="DV23" s="170"/>
      <c r="EB23" s="169"/>
      <c r="EC23" s="169"/>
      <c r="ED23" s="169"/>
      <c r="EE23" s="169"/>
      <c r="EF23" s="169"/>
      <c r="EG23" s="169"/>
      <c r="EH23" s="169"/>
      <c r="EI23" s="169"/>
    </row>
    <row r="24" spans="1:142" s="168" customFormat="1" ht="15.75" hidden="1" x14ac:dyDescent="0.25">
      <c r="B24" s="171"/>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2"/>
      <c r="BE24" s="172"/>
      <c r="BF24" s="172"/>
      <c r="BG24" s="172"/>
      <c r="BH24" s="172"/>
      <c r="BI24" s="172"/>
      <c r="BJ24" s="172"/>
      <c r="BK24" s="172"/>
      <c r="BL24" s="172"/>
      <c r="BM24" s="172"/>
      <c r="DR24" s="169"/>
      <c r="DS24" s="169"/>
      <c r="DT24" s="169"/>
      <c r="DU24" s="170"/>
      <c r="DV24" s="170"/>
      <c r="EB24" s="169"/>
      <c r="EC24" s="169"/>
      <c r="ED24" s="169"/>
      <c r="EE24" s="169"/>
      <c r="EF24" s="169"/>
      <c r="EG24" s="169"/>
      <c r="EH24" s="169"/>
      <c r="EI24" s="169"/>
    </row>
    <row r="25" spans="1:142" s="168" customFormat="1" ht="15.75" hidden="1" x14ac:dyDescent="0.25">
      <c r="DR25" s="169"/>
      <c r="DS25" s="169"/>
      <c r="DT25" s="169"/>
      <c r="DU25" s="170"/>
      <c r="DV25" s="170"/>
      <c r="EB25" s="169"/>
      <c r="EC25" s="169"/>
      <c r="ED25" s="169"/>
      <c r="EE25" s="169"/>
      <c r="EF25" s="169"/>
      <c r="EG25" s="169"/>
      <c r="EH25" s="169"/>
      <c r="EI25" s="169"/>
    </row>
    <row r="26" spans="1:142" s="272" customFormat="1" ht="12.75" x14ac:dyDescent="0.2">
      <c r="B26" s="273"/>
      <c r="C26" s="273"/>
      <c r="D26" s="273"/>
      <c r="E26" s="273"/>
      <c r="F26" s="273"/>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4"/>
      <c r="AL26" s="274"/>
      <c r="AM26" s="274"/>
      <c r="AN26" s="274"/>
      <c r="AO26" s="274"/>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3"/>
      <c r="DR26" s="275"/>
      <c r="DS26" s="275"/>
      <c r="DT26" s="275"/>
      <c r="DU26" s="276"/>
      <c r="DV26" s="276"/>
      <c r="EB26" s="275"/>
      <c r="EC26" s="275"/>
      <c r="ED26" s="275"/>
      <c r="EE26" s="275"/>
      <c r="EF26" s="275"/>
      <c r="EG26" s="275"/>
      <c r="EH26" s="275"/>
      <c r="EI26" s="275"/>
    </row>
    <row r="27" spans="1:142" s="272" customFormat="1" ht="26.25" thickBot="1" x14ac:dyDescent="0.25">
      <c r="B27" s="277"/>
      <c r="C27" s="277" t="s">
        <v>523</v>
      </c>
      <c r="D27" s="277" t="s">
        <v>523</v>
      </c>
      <c r="E27" s="277" t="s">
        <v>523</v>
      </c>
      <c r="F27" s="277"/>
      <c r="G27" s="277"/>
      <c r="H27" s="277" t="s">
        <v>523</v>
      </c>
      <c r="I27" s="277" t="s">
        <v>524</v>
      </c>
      <c r="J27" s="277" t="s">
        <v>522</v>
      </c>
      <c r="K27" s="274" t="s">
        <v>531</v>
      </c>
      <c r="L27" s="274" t="s">
        <v>525</v>
      </c>
      <c r="M27" s="274" t="s">
        <v>531</v>
      </c>
      <c r="N27" s="274" t="s">
        <v>526</v>
      </c>
      <c r="O27" s="274" t="s">
        <v>527</v>
      </c>
      <c r="P27" s="274" t="s">
        <v>528</v>
      </c>
      <c r="Q27" s="274" t="s">
        <v>527</v>
      </c>
      <c r="R27" s="274" t="s">
        <v>528</v>
      </c>
      <c r="S27" s="274" t="s">
        <v>528</v>
      </c>
      <c r="T27" s="274"/>
      <c r="U27" s="274" t="s">
        <v>528</v>
      </c>
      <c r="V27" s="274"/>
      <c r="W27" s="274" t="s">
        <v>527</v>
      </c>
      <c r="X27" s="274" t="s">
        <v>529</v>
      </c>
      <c r="Y27" s="274" t="s">
        <v>530</v>
      </c>
      <c r="Z27" s="274" t="s">
        <v>527</v>
      </c>
      <c r="AA27" s="274"/>
      <c r="AB27" s="274"/>
      <c r="AC27" s="274"/>
      <c r="AD27" s="274"/>
      <c r="AE27" s="274"/>
      <c r="AF27" s="274"/>
      <c r="AG27" s="274"/>
      <c r="AH27" s="274"/>
      <c r="AI27" s="274"/>
      <c r="AJ27" s="274"/>
      <c r="AK27" s="274"/>
      <c r="AL27" s="274"/>
      <c r="AM27" s="274"/>
      <c r="AN27" s="274"/>
      <c r="AO27" s="274"/>
      <c r="AP27" s="274"/>
      <c r="AQ27" s="274"/>
      <c r="AR27" s="274"/>
      <c r="AS27" s="274"/>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8"/>
      <c r="DR27" s="275"/>
      <c r="DS27" s="275"/>
      <c r="DT27" s="275"/>
      <c r="DU27" s="276"/>
      <c r="DV27" s="276"/>
      <c r="EB27" s="275"/>
      <c r="EC27" s="275"/>
      <c r="ED27" s="275"/>
      <c r="EE27" s="275"/>
      <c r="EF27" s="275"/>
      <c r="EG27" s="275"/>
      <c r="EH27" s="275"/>
      <c r="EI27" s="275"/>
    </row>
    <row r="28" spans="1:142" s="168" customFormat="1" ht="16.5" thickBot="1" x14ac:dyDescent="0.3">
      <c r="B28" s="404"/>
      <c r="C28" s="405"/>
      <c r="D28" s="406"/>
      <c r="E28" s="265"/>
      <c r="F28" s="16"/>
      <c r="G28" s="3" t="s">
        <v>496</v>
      </c>
      <c r="H28" s="3"/>
      <c r="I28" s="3"/>
      <c r="J28" s="3"/>
      <c r="K28" s="3" t="s">
        <v>467</v>
      </c>
      <c r="L28" s="3" t="s">
        <v>468</v>
      </c>
      <c r="M28" s="3" t="s">
        <v>469</v>
      </c>
      <c r="N28" s="3" t="s">
        <v>466</v>
      </c>
      <c r="O28" s="3" t="s">
        <v>466</v>
      </c>
      <c r="P28" s="3" t="s">
        <v>477</v>
      </c>
      <c r="Q28" s="3">
        <v>8</v>
      </c>
      <c r="R28" s="3" t="s">
        <v>470</v>
      </c>
      <c r="S28" s="3" t="s">
        <v>470</v>
      </c>
      <c r="T28" s="3" t="s">
        <v>470</v>
      </c>
      <c r="U28" s="3" t="s">
        <v>472</v>
      </c>
      <c r="V28" s="3" t="s">
        <v>472</v>
      </c>
      <c r="W28" s="3" t="s">
        <v>475</v>
      </c>
      <c r="X28" s="3" t="s">
        <v>476</v>
      </c>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194"/>
      <c r="AZ28" s="194"/>
      <c r="BA28" s="194"/>
      <c r="BB28" s="194"/>
      <c r="BC28" s="194"/>
      <c r="BD28" s="4"/>
      <c r="BE28" s="194"/>
      <c r="BF28" s="3"/>
      <c r="BG28" s="172"/>
      <c r="BH28" s="172"/>
      <c r="BI28" s="172"/>
      <c r="BJ28" s="172"/>
      <c r="BK28" s="172"/>
      <c r="BL28" s="172"/>
      <c r="BM28" s="172"/>
      <c r="BP28" s="172">
        <f>IF(SUM(BP31:BP130)=COUNT(BP31:BP130),1,0)</f>
        <v>0</v>
      </c>
      <c r="BS28" s="173">
        <f t="shared" ref="BS28:CD28" si="0">MATCH(K$30,$BT$1:$CC$1,0)</f>
        <v>1</v>
      </c>
      <c r="BT28" s="173">
        <f t="shared" si="0"/>
        <v>1</v>
      </c>
      <c r="BU28" s="173">
        <f t="shared" si="0"/>
        <v>1</v>
      </c>
      <c r="BV28" s="173">
        <f t="shared" si="0"/>
        <v>1</v>
      </c>
      <c r="BW28" s="173">
        <f t="shared" si="0"/>
        <v>1</v>
      </c>
      <c r="BX28" s="173">
        <f t="shared" si="0"/>
        <v>1</v>
      </c>
      <c r="BY28" s="173">
        <f t="shared" si="0"/>
        <v>1</v>
      </c>
      <c r="BZ28" s="173">
        <f t="shared" si="0"/>
        <v>6</v>
      </c>
      <c r="CA28" s="173">
        <f t="shared" si="0"/>
        <v>6</v>
      </c>
      <c r="CB28" s="173" t="e">
        <f t="shared" si="0"/>
        <v>#N/A</v>
      </c>
      <c r="CC28" s="173">
        <f t="shared" si="0"/>
        <v>6</v>
      </c>
      <c r="CD28" s="173" t="e">
        <f t="shared" si="0"/>
        <v>#N/A</v>
      </c>
      <c r="CE28" s="173">
        <f t="shared" ref="CE28" si="1">MATCH(W$30,$BT$1:$CC$1,0)</f>
        <v>1</v>
      </c>
      <c r="CF28" s="173">
        <f t="shared" ref="CF28" si="2">MATCH(X$30,$BT$1:$CC$1,0)</f>
        <v>1</v>
      </c>
      <c r="CG28" s="173">
        <f t="shared" ref="CG28" si="3">MATCH(Y$30,$BT$1:$CC$1,0)</f>
        <v>6</v>
      </c>
      <c r="CH28" s="173">
        <f t="shared" ref="CH28" si="4">MATCH(Z$30,$BT$1:$CC$1,0)</f>
        <v>6</v>
      </c>
      <c r="CI28" s="173" t="e">
        <f t="shared" ref="CI28" si="5">MATCH(AA$30,$BT$1:$CC$1,0)</f>
        <v>#N/A</v>
      </c>
      <c r="CJ28" s="173" t="e">
        <f t="shared" ref="CJ28" si="6">MATCH(AB$30,$BT$1:$CC$1,0)</f>
        <v>#N/A</v>
      </c>
      <c r="CK28" s="173" t="e">
        <f t="shared" ref="CK28" si="7">MATCH(AC$30,$BT$1:$CC$1,0)</f>
        <v>#N/A</v>
      </c>
      <c r="CL28" s="173" t="e">
        <f t="shared" ref="CL28" si="8">MATCH(AD$30,$BT$1:$CC$1,0)</f>
        <v>#N/A</v>
      </c>
      <c r="CM28" s="173" t="e">
        <f t="shared" ref="CM28" si="9">MATCH(AE$30,$BT$1:$CC$1,0)</f>
        <v>#N/A</v>
      </c>
      <c r="CN28" s="173" t="e">
        <f t="shared" ref="CN28" si="10">MATCH(AF$30,$BT$1:$CC$1,0)</f>
        <v>#N/A</v>
      </c>
      <c r="CO28" s="173" t="e">
        <f t="shared" ref="CO28" si="11">MATCH(AG$30,$BT$1:$CC$1,0)</f>
        <v>#N/A</v>
      </c>
      <c r="CP28" s="173" t="e">
        <f t="shared" ref="CP28" si="12">MATCH(AH$30,$BT$1:$CC$1,0)</f>
        <v>#N/A</v>
      </c>
      <c r="CQ28" s="173" t="e">
        <f t="shared" ref="CQ28" si="13">MATCH(AI$30,$BT$1:$CC$1,0)</f>
        <v>#N/A</v>
      </c>
      <c r="CR28" s="173" t="e">
        <f t="shared" ref="CR28" si="14">MATCH(AJ$30,$BT$1:$CC$1,0)</f>
        <v>#N/A</v>
      </c>
      <c r="CS28" s="173" t="e">
        <f t="shared" ref="CS28" si="15">MATCH(AK$30,$BT$1:$CC$1,0)</f>
        <v>#N/A</v>
      </c>
      <c r="CT28" s="173" t="e">
        <f t="shared" ref="CT28" si="16">MATCH(AL$30,$BT$1:$CC$1,0)</f>
        <v>#N/A</v>
      </c>
      <c r="CU28" s="173" t="e">
        <f t="shared" ref="CU28" si="17">MATCH(AM$30,$BT$1:$CC$1,0)</f>
        <v>#N/A</v>
      </c>
      <c r="CV28" s="173" t="e">
        <f t="shared" ref="CV28" si="18">MATCH(AN$30,$BT$1:$CC$1,0)</f>
        <v>#N/A</v>
      </c>
      <c r="CW28" s="173" t="e">
        <f t="shared" ref="CW28" si="19">MATCH(AO$30,$BT$1:$CC$1,0)</f>
        <v>#N/A</v>
      </c>
      <c r="CX28" s="173" t="e">
        <f t="shared" ref="CX28" si="20">MATCH(AP$30,$BT$1:$CC$1,0)</f>
        <v>#N/A</v>
      </c>
      <c r="CY28" s="173" t="e">
        <f t="shared" ref="CY28" si="21">MATCH(AQ$30,$BT$1:$CC$1,0)</f>
        <v>#N/A</v>
      </c>
      <c r="CZ28" s="173" t="e">
        <f t="shared" ref="CZ28" si="22">MATCH(AR$30,$BT$1:$CC$1,0)</f>
        <v>#N/A</v>
      </c>
      <c r="DA28" s="173" t="e">
        <f t="shared" ref="DA28" si="23">MATCH(AS$30,$BT$1:$CC$1,0)</f>
        <v>#N/A</v>
      </c>
      <c r="DB28" s="173" t="e">
        <f t="shared" ref="DB28" si="24">MATCH(AT$30,$BT$1:$CC$1,0)</f>
        <v>#N/A</v>
      </c>
      <c r="DR28" s="169"/>
      <c r="DS28" s="169"/>
      <c r="DT28" s="169"/>
      <c r="DU28" s="170"/>
      <c r="DV28" s="170"/>
      <c r="EB28" s="169"/>
      <c r="EC28" s="169"/>
      <c r="ED28" s="169"/>
      <c r="EE28" s="169"/>
      <c r="EF28" s="169"/>
      <c r="EG28" s="169"/>
      <c r="EH28" s="169"/>
      <c r="EI28" s="169"/>
    </row>
    <row r="29" spans="1:142" ht="170.25" customHeight="1" x14ac:dyDescent="0.2">
      <c r="A29" s="150">
        <v>500</v>
      </c>
      <c r="B29" s="395" t="s">
        <v>266</v>
      </c>
      <c r="C29" s="264" t="s">
        <v>512</v>
      </c>
      <c r="D29" s="195" t="s">
        <v>513</v>
      </c>
      <c r="E29" s="264" t="s">
        <v>515</v>
      </c>
      <c r="F29" s="397" t="s">
        <v>514</v>
      </c>
      <c r="G29" s="397" t="s">
        <v>256</v>
      </c>
      <c r="H29" s="198" t="s">
        <v>358</v>
      </c>
      <c r="I29" s="199" t="s">
        <v>372</v>
      </c>
      <c r="J29" s="198" t="s">
        <v>257</v>
      </c>
      <c r="K29" s="256" t="str">
        <f>IF($BM$2=2020,"המוסד הגיש במועד למינהל תרבות בקשה מלאה ותקינה לקבל תמיכה לפי המבחנים העיקריים",IF($BM$2=2021,"המוסד הגיש במועד למינהל התרבות בקשה מלאה ותקינה לאשר את החלק היחסי של התמיכה לאותה שנה","נדרש לעדכן לפי שנת תמיכה"))</f>
        <v>המוסד הגיש במועד למינהל תרבות בקשה מלאה ותקינה לקבל תמיכה לפי המבחנים העיקריים</v>
      </c>
      <c r="L29" s="165" t="s">
        <v>497</v>
      </c>
      <c r="M29" s="165" t="s">
        <v>498</v>
      </c>
      <c r="N29" s="198" t="s">
        <v>435</v>
      </c>
      <c r="O29" s="199" t="s">
        <v>436</v>
      </c>
      <c r="P29" s="165" t="s">
        <v>511</v>
      </c>
      <c r="Q29" s="233" t="s">
        <v>500</v>
      </c>
      <c r="R29" s="198" t="s">
        <v>363</v>
      </c>
      <c r="S29" s="198" t="s">
        <v>364</v>
      </c>
      <c r="T29" s="393" t="s">
        <v>365</v>
      </c>
      <c r="U29" s="198" t="s">
        <v>367</v>
      </c>
      <c r="V29" s="393" t="s">
        <v>474</v>
      </c>
      <c r="W29" s="165" t="s">
        <v>499</v>
      </c>
      <c r="X29" s="165" t="s">
        <v>371</v>
      </c>
      <c r="Y29" s="185" t="s">
        <v>510</v>
      </c>
      <c r="Z29" s="263" t="s">
        <v>516</v>
      </c>
      <c r="AA29" s="393" t="s">
        <v>534</v>
      </c>
      <c r="AB29" s="165"/>
      <c r="AC29" s="166"/>
      <c r="AD29" s="166"/>
      <c r="AE29" s="166"/>
      <c r="AF29" s="166"/>
      <c r="AG29" s="204"/>
      <c r="AH29" s="165"/>
      <c r="AI29" s="165"/>
      <c r="AJ29" s="165"/>
      <c r="AK29" s="151"/>
      <c r="AL29" s="185"/>
      <c r="AM29" s="151"/>
      <c r="AN29" s="185"/>
      <c r="AO29" s="185"/>
      <c r="AP29" s="204"/>
      <c r="AQ29" s="165"/>
      <c r="AR29" s="151"/>
      <c r="AS29" s="151"/>
      <c r="AT29" s="165"/>
      <c r="AU29" s="165"/>
      <c r="AV29" s="197"/>
      <c r="AW29" s="393"/>
      <c r="AX29" s="151"/>
      <c r="AY29" s="185"/>
      <c r="AZ29" s="185"/>
      <c r="BA29" s="185"/>
      <c r="BB29" s="185"/>
      <c r="BC29" s="185"/>
      <c r="BD29" s="185"/>
      <c r="BE29" s="185"/>
      <c r="BF29" s="393"/>
      <c r="BG29" s="400"/>
      <c r="BH29" s="152" t="s">
        <v>341</v>
      </c>
      <c r="BI29" s="402" t="s">
        <v>342</v>
      </c>
      <c r="BJ29" s="393" t="s">
        <v>342</v>
      </c>
      <c r="BK29" s="393" t="s">
        <v>342</v>
      </c>
      <c r="BL29" s="393" t="s">
        <v>343</v>
      </c>
      <c r="BM29" s="258" t="s">
        <v>501</v>
      </c>
      <c r="BN29" s="258" t="s">
        <v>502</v>
      </c>
      <c r="BO29" s="153"/>
      <c r="BP29" s="153" t="s">
        <v>344</v>
      </c>
      <c r="BS29" s="149" t="str">
        <f t="shared" ref="BS29:CD29" si="25">"בקרת "&amp;K29</f>
        <v>בקרת המוסד הגיש במועד למינהל תרבות בקשה מלאה ותקינה לקבל תמיכה לפי המבחנים העיקריים</v>
      </c>
      <c r="BT29" s="149" t="str">
        <f t="shared" si="25"/>
        <v>בקרת המוסד והבקשה לתמיכה עומדים בתנאים לקבלת תמיכה לפי נוהל התמיכות הכללי</v>
      </c>
      <c r="BU29" s="149" t="str">
        <f t="shared" si="25"/>
        <v>בקרת המוסד והבקשה עומדים בתנאים לקבלת תמיכה לפי המבחנים העיקריים שעל פיהם הוא מבקש תמיכה; המוסד מסר במועד, באופן מלא ותקין, את כל המידע והנתונים לצורך בחינת בקשה לקבל תמיכה</v>
      </c>
      <c r="BV29" s="149" t="str">
        <f t="shared" si="25"/>
        <v>בקרת המוסד צירף אישור על שימור או הגדלה של התמיכה המקומית בתרבות בשנת 2020 בהשוואה לשנת 2019</v>
      </c>
      <c r="BW29" s="149" t="str">
        <f t="shared" si="25"/>
        <v>בקרת המוסד צירף אישור על התמיכה המקומית בפעילות נתמכת מסוימת של המוסד בשנת 2020 בהשוואה לשנת 2019</v>
      </c>
      <c r="BX29" s="149" t="str">
        <f t="shared" si="25"/>
        <v>בקרת המוסד צירף דוחות כספיים מבוקרים לשנת 2018 ואישור מטעם רואה החשבון של המוסד אודות מידע פיננסי הנוגע לפעילות המבקשת בשנה 2018, לפי הוראת ועדת התמיכות במינהל תרבות</v>
      </c>
      <c r="BY29" s="149" t="str">
        <f t="shared" si="25"/>
        <v>בקרת המוסד צירף הצהרה כי במהלך התקופה שבין 20 לאוקטובר 2020 ועד 31 לדצמבר 2020 יעבדו בגוף 70% לפחות ממספר העובדים שעבדו בו ביום 1 במרץ 2020 או ניתן אישור ועדה מיוחד</v>
      </c>
      <c r="BZ29" s="149" t="str">
        <f t="shared" si="25"/>
        <v>בקרת סך הכנסות המוסד בשנת 2018 מהפעילות בעדה מבוקש הסיוע המיוחד (בש"ח)</v>
      </c>
      <c r="CA29" s="149" t="str">
        <f t="shared" si="25"/>
        <v>בקרת סך הכנסות עצמיות של המוסד בשנת 2018 מהפעילות בעדה מבוקש הסיוע המיוחד (בש"ח)</v>
      </c>
      <c r="CB29" s="149" t="str">
        <f t="shared" si="25"/>
        <v>בקרת שיעור ההכנסות העצמיות של המוסד לפעילות בעדה מבוקש הסיוע המיוחד בשנת 2018 עלה על 25% מכלל הכנסות המוסד מפעילות זו</v>
      </c>
      <c r="CC29" s="149" t="str">
        <f t="shared" si="25"/>
        <v>בקרת סך הכנסות ממכירת כרטיסים, מופעים או מנויים של הפעילות בעדה מבוקש הסיוע המיוחד</v>
      </c>
      <c r="CD29" s="149" t="str">
        <f t="shared" si="25"/>
        <v>בקרת שיעור ההכנסות מכרטיסים, מכירת מופעים או מנויים מהפעילות בעדה מבוקש הסיוע המיוחד עולה על 20% מכלל הכנסות המוסד מהפעילות בעדה מבוקש הסיוע המיוחד ב-2018 (15% למוזיאונים)</v>
      </c>
      <c r="CE29" s="149" t="str">
        <f t="shared" ref="CE29" si="26">"בקרת "&amp;W29</f>
        <v>בקרת לבקשתו לקבל תמיכה על פי מבחנים אלה צורפה התחייבות של המוסד, שלפיה הוא מתחייב להפחית את הסכום שהוא מוציא בגין הוצאות הנהלה וכלליות בשנת 2020 בשיעור של 10% מהסכום שהוציא בשנת 2019, אך זאת בשיעור שיקבע באופן יחסי  לתקופה שמיום חתימת מבחן זה ועד תאריך 31.12.2020</v>
      </c>
      <c r="CF29" s="149" t="str">
        <f t="shared" ref="CF29" si="27">"בקרת "&amp;X29</f>
        <v>בקרת המוסד מנהל כמשק סגור אחד את כספי התמיכה לפי מבחני התמיכה, שעל פיהם הוא נתמך על ידי מינהל התרבות ב-2020 לפעילות בעדה מבוקשת התמיכה, לרבות כספי התמיכה לפי מבחן זה</v>
      </c>
      <c r="CG29" s="149" t="str">
        <f t="shared" ref="CG29" si="28">"בקרת "&amp;Y29</f>
        <v>בקרת סכום מבוקש על ידי המוסד</v>
      </c>
      <c r="CH29" s="149" t="str">
        <f t="shared" ref="CH29" si="29">"בקרת "&amp;Z29</f>
        <v>בקרת סכום מקסימלי מבוקש על ידי המוסד</v>
      </c>
      <c r="CI29" s="149" t="str">
        <f t="shared" ref="CI29" si="30">"בקרת "&amp;AA29</f>
        <v>בקרת בדיקה שאין כפל דיווח בקשה</v>
      </c>
      <c r="CJ29" s="149" t="str">
        <f t="shared" ref="CJ29" si="31">"בקרת "&amp;AB29</f>
        <v xml:space="preserve">בקרת </v>
      </c>
      <c r="CK29" s="149" t="str">
        <f t="shared" ref="CK29" si="32">"בקרת "&amp;AC29</f>
        <v xml:space="preserve">בקרת </v>
      </c>
      <c r="CL29" s="149" t="str">
        <f t="shared" ref="CL29" si="33">"בקרת "&amp;AD29</f>
        <v xml:space="preserve">בקרת </v>
      </c>
      <c r="CM29" s="149" t="str">
        <f t="shared" ref="CM29" si="34">"בקרת "&amp;AE29</f>
        <v xml:space="preserve">בקרת </v>
      </c>
      <c r="CN29" s="149" t="str">
        <f t="shared" ref="CN29" si="35">"בקרת "&amp;AF29</f>
        <v xml:space="preserve">בקרת </v>
      </c>
      <c r="CO29" s="149" t="str">
        <f t="shared" ref="CO29" si="36">"בקרת "&amp;AG29</f>
        <v xml:space="preserve">בקרת </v>
      </c>
      <c r="CP29" s="149" t="str">
        <f t="shared" ref="CP29" si="37">"בקרת "&amp;AH29</f>
        <v xml:space="preserve">בקרת </v>
      </c>
      <c r="CQ29" s="149" t="str">
        <f t="shared" ref="CQ29" si="38">"בקרת "&amp;AI29</f>
        <v xml:space="preserve">בקרת </v>
      </c>
      <c r="CR29" s="149" t="str">
        <f t="shared" ref="CR29" si="39">"בקרת "&amp;AJ29</f>
        <v xml:space="preserve">בקרת </v>
      </c>
      <c r="CS29" s="149" t="str">
        <f t="shared" ref="CS29" si="40">"בקרת "&amp;AK29</f>
        <v xml:space="preserve">בקרת </v>
      </c>
      <c r="CT29" s="149" t="str">
        <f t="shared" ref="CT29" si="41">"בקרת "&amp;AL29</f>
        <v xml:space="preserve">בקרת </v>
      </c>
      <c r="CU29" s="149" t="str">
        <f t="shared" ref="CU29" si="42">"בקרת "&amp;AM29</f>
        <v xml:space="preserve">בקרת </v>
      </c>
      <c r="CV29" s="149" t="str">
        <f t="shared" ref="CV29" si="43">"בקרת "&amp;AN29</f>
        <v xml:space="preserve">בקרת </v>
      </c>
      <c r="CW29" s="149" t="str">
        <f t="shared" ref="CW29" si="44">"בקרת "&amp;AO29</f>
        <v xml:space="preserve">בקרת </v>
      </c>
      <c r="CX29" s="149" t="str">
        <f t="shared" ref="CX29" si="45">"בקרת "&amp;AP29</f>
        <v xml:space="preserve">בקרת </v>
      </c>
      <c r="CY29" s="149" t="str">
        <f t="shared" ref="CY29" si="46">"בקרת "&amp;AQ29</f>
        <v xml:space="preserve">בקרת </v>
      </c>
      <c r="CZ29" s="149" t="str">
        <f t="shared" ref="CZ29" si="47">"בקרת "&amp;AR29</f>
        <v xml:space="preserve">בקרת </v>
      </c>
      <c r="DA29" s="149" t="str">
        <f t="shared" ref="DA29" si="48">"בקרת "&amp;AS29</f>
        <v xml:space="preserve">בקרת </v>
      </c>
      <c r="DB29" s="149" t="str">
        <f t="shared" ref="DB29" si="49">"בקרת "&amp;AT29</f>
        <v xml:space="preserve">בקרת </v>
      </c>
      <c r="DF29" s="125" t="s">
        <v>332</v>
      </c>
      <c r="DR29" s="154"/>
      <c r="DS29" s="154"/>
      <c r="DT29" s="154"/>
      <c r="DU29" s="154" t="s">
        <v>336</v>
      </c>
      <c r="DV29" s="154" t="s">
        <v>337</v>
      </c>
      <c r="DW29" s="154" t="s">
        <v>338</v>
      </c>
      <c r="DX29" s="154" t="s">
        <v>339</v>
      </c>
      <c r="DY29" s="154" t="s">
        <v>340</v>
      </c>
      <c r="DZ29" s="154"/>
      <c r="EB29" s="154" t="s">
        <v>336</v>
      </c>
      <c r="EC29" s="154" t="s">
        <v>337</v>
      </c>
      <c r="ED29" s="154" t="s">
        <v>338</v>
      </c>
      <c r="EE29" s="154" t="s">
        <v>339</v>
      </c>
      <c r="EF29" s="154" t="s">
        <v>340</v>
      </c>
      <c r="EG29" s="154"/>
      <c r="EH29" s="154"/>
      <c r="EI29" s="155" t="s">
        <v>345</v>
      </c>
      <c r="EJ29" s="156" t="s">
        <v>346</v>
      </c>
      <c r="EK29" s="156" t="s">
        <v>347</v>
      </c>
    </row>
    <row r="30" spans="1:142" ht="24" customHeight="1" thickBot="1" x14ac:dyDescent="0.3">
      <c r="A30" s="157"/>
      <c r="B30" s="396"/>
      <c r="C30" s="167" t="s">
        <v>322</v>
      </c>
      <c r="D30" s="167" t="s">
        <v>322</v>
      </c>
      <c r="E30" s="167" t="s">
        <v>322</v>
      </c>
      <c r="F30" s="398"/>
      <c r="G30" s="398"/>
      <c r="H30" s="200" t="s">
        <v>325</v>
      </c>
      <c r="I30" s="200" t="s">
        <v>326</v>
      </c>
      <c r="J30" s="167" t="s">
        <v>322</v>
      </c>
      <c r="K30" s="158" t="s">
        <v>319</v>
      </c>
      <c r="L30" s="158" t="s">
        <v>319</v>
      </c>
      <c r="M30" s="158" t="s">
        <v>319</v>
      </c>
      <c r="N30" s="158" t="s">
        <v>319</v>
      </c>
      <c r="O30" s="158" t="s">
        <v>319</v>
      </c>
      <c r="P30" s="158" t="s">
        <v>319</v>
      </c>
      <c r="Q30" s="158" t="s">
        <v>319</v>
      </c>
      <c r="R30" s="200" t="s">
        <v>323</v>
      </c>
      <c r="S30" s="200" t="s">
        <v>323</v>
      </c>
      <c r="T30" s="399"/>
      <c r="U30" s="200" t="s">
        <v>323</v>
      </c>
      <c r="V30" s="399"/>
      <c r="W30" s="158" t="s">
        <v>319</v>
      </c>
      <c r="X30" s="158" t="s">
        <v>319</v>
      </c>
      <c r="Y30" s="200" t="s">
        <v>323</v>
      </c>
      <c r="Z30" s="200" t="s">
        <v>323</v>
      </c>
      <c r="AA30" s="399"/>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399"/>
      <c r="AX30" s="158"/>
      <c r="AY30" s="193"/>
      <c r="AZ30" s="158"/>
      <c r="BA30" s="158"/>
      <c r="BB30" s="158"/>
      <c r="BC30" s="158"/>
      <c r="BD30" s="158"/>
      <c r="BE30" s="158"/>
      <c r="BF30" s="399"/>
      <c r="BG30" s="401"/>
      <c r="BH30" s="158"/>
      <c r="BI30" s="403"/>
      <c r="BJ30" s="394"/>
      <c r="BK30" s="394"/>
      <c r="BL30" s="394"/>
      <c r="BM30" s="159" t="s">
        <v>325</v>
      </c>
      <c r="BN30" s="159" t="s">
        <v>325</v>
      </c>
      <c r="BO30" s="153"/>
      <c r="BQ30" s="125">
        <v>0</v>
      </c>
      <c r="BR30" s="125">
        <v>1</v>
      </c>
      <c r="BS30" s="149" t="str">
        <f t="shared" ref="BS30:CE30" si="50">K30</f>
        <v>0/1</v>
      </c>
      <c r="BT30" s="149" t="str">
        <f t="shared" si="50"/>
        <v>0/1</v>
      </c>
      <c r="BU30" s="149" t="str">
        <f t="shared" si="50"/>
        <v>0/1</v>
      </c>
      <c r="BV30" s="149" t="str">
        <f t="shared" si="50"/>
        <v>0/1</v>
      </c>
      <c r="BW30" s="149" t="str">
        <f t="shared" si="50"/>
        <v>0/1</v>
      </c>
      <c r="BX30" s="149" t="str">
        <f t="shared" si="50"/>
        <v>0/1</v>
      </c>
      <c r="BY30" s="149" t="str">
        <f t="shared" si="50"/>
        <v>0/1</v>
      </c>
      <c r="BZ30" s="149" t="str">
        <f t="shared" si="50"/>
        <v>מספר חיובי</v>
      </c>
      <c r="CA30" s="149" t="str">
        <f t="shared" si="50"/>
        <v>מספר חיובי</v>
      </c>
      <c r="CB30" s="149">
        <f t="shared" si="50"/>
        <v>0</v>
      </c>
      <c r="CC30" s="149" t="str">
        <f t="shared" si="50"/>
        <v>מספר חיובי</v>
      </c>
      <c r="CD30" s="149">
        <f t="shared" si="50"/>
        <v>0</v>
      </c>
      <c r="CE30" s="149" t="str">
        <f t="shared" si="50"/>
        <v>0/1</v>
      </c>
      <c r="CF30" s="149" t="str">
        <f t="shared" ref="CF30" si="51">X30</f>
        <v>0/1</v>
      </c>
      <c r="CG30" s="149" t="str">
        <f t="shared" ref="CG30" si="52">Y30</f>
        <v>מספר חיובי</v>
      </c>
      <c r="CH30" s="149" t="str">
        <f t="shared" ref="CH30" si="53">Z30</f>
        <v>מספר חיובי</v>
      </c>
      <c r="CI30" s="149">
        <f t="shared" ref="CI30" si="54">AA30</f>
        <v>0</v>
      </c>
      <c r="CJ30" s="149">
        <f t="shared" ref="CJ30" si="55">AB30</f>
        <v>0</v>
      </c>
      <c r="CK30" s="149">
        <f t="shared" ref="CK30" si="56">AC30</f>
        <v>0</v>
      </c>
      <c r="CL30" s="149">
        <f t="shared" ref="CL30" si="57">AD30</f>
        <v>0</v>
      </c>
      <c r="CM30" s="149">
        <f t="shared" ref="CM30" si="58">AE30</f>
        <v>0</v>
      </c>
      <c r="CN30" s="149">
        <f t="shared" ref="CN30" si="59">AF30</f>
        <v>0</v>
      </c>
      <c r="CO30" s="149">
        <f t="shared" ref="CO30" si="60">AG30</f>
        <v>0</v>
      </c>
      <c r="CP30" s="149">
        <f t="shared" ref="CP30" si="61">AH30</f>
        <v>0</v>
      </c>
      <c r="CQ30" s="149">
        <f t="shared" ref="CQ30" si="62">AI30</f>
        <v>0</v>
      </c>
      <c r="CR30" s="149">
        <f t="shared" ref="CR30" si="63">AJ30</f>
        <v>0</v>
      </c>
      <c r="CS30" s="149">
        <f t="shared" ref="CS30" si="64">AK30</f>
        <v>0</v>
      </c>
      <c r="CT30" s="149">
        <f t="shared" ref="CT30" si="65">AL30</f>
        <v>0</v>
      </c>
      <c r="CU30" s="149">
        <f t="shared" ref="CU30" si="66">AM30</f>
        <v>0</v>
      </c>
      <c r="CV30" s="149">
        <f t="shared" ref="CV30" si="67">AN30</f>
        <v>0</v>
      </c>
      <c r="CW30" s="149">
        <f t="shared" ref="CW30" si="68">AO30</f>
        <v>0</v>
      </c>
      <c r="CX30" s="149">
        <f t="shared" ref="CX30" si="69">AP30</f>
        <v>0</v>
      </c>
      <c r="CY30" s="149">
        <f t="shared" ref="CY30" si="70">AQ30</f>
        <v>0</v>
      </c>
      <c r="CZ30" s="149">
        <f t="shared" ref="CZ30" si="71">AR30</f>
        <v>0</v>
      </c>
      <c r="DA30" s="149">
        <f t="shared" ref="DA30" si="72">AS30</f>
        <v>0</v>
      </c>
      <c r="DB30" s="149">
        <f t="shared" ref="DB30" si="73">AT30</f>
        <v>0</v>
      </c>
      <c r="DG30" s="125">
        <f>BT4</f>
        <v>1</v>
      </c>
      <c r="DH30" s="125">
        <f>BU4</f>
        <v>2</v>
      </c>
      <c r="DI30" s="125">
        <f t="shared" ref="DI30:DP30" si="74">BW4</f>
        <v>3</v>
      </c>
      <c r="DJ30" s="125">
        <f t="shared" si="74"/>
        <v>4</v>
      </c>
      <c r="DK30" s="125">
        <f t="shared" si="74"/>
        <v>5</v>
      </c>
      <c r="DL30" s="125">
        <f t="shared" si="74"/>
        <v>6</v>
      </c>
      <c r="DM30" s="125">
        <f t="shared" si="74"/>
        <v>7</v>
      </c>
      <c r="DN30" s="125">
        <f t="shared" si="74"/>
        <v>8</v>
      </c>
      <c r="DO30" s="125">
        <f t="shared" si="74"/>
        <v>9</v>
      </c>
      <c r="DP30" s="125">
        <f t="shared" si="74"/>
        <v>10</v>
      </c>
      <c r="DS30" s="138"/>
      <c r="DT30" s="138"/>
      <c r="DU30" s="138"/>
      <c r="EC30" s="138"/>
      <c r="ED30" s="138"/>
      <c r="EE30" s="138"/>
      <c r="EF30" s="138"/>
      <c r="EG30" s="138"/>
      <c r="EH30" s="138"/>
      <c r="EI30" s="138"/>
      <c r="EJ30" s="138"/>
    </row>
    <row r="31" spans="1:142" ht="15.75" x14ac:dyDescent="0.2">
      <c r="B31" s="160">
        <f>IF(G31="","",ROW()-30)</f>
        <v>1</v>
      </c>
      <c r="C31" s="205">
        <v>1001346678</v>
      </c>
      <c r="D31" s="205">
        <v>1001268955</v>
      </c>
      <c r="E31" s="205">
        <v>40000100</v>
      </c>
      <c r="F31" s="118">
        <f>IF(OR(J31="",H31=""),"",VLOOKUP(J31,'הזנה לסיווג רשויות'!$B$2:$D$301,2,0))</f>
        <v>20000159</v>
      </c>
      <c r="G31" s="118" t="str">
        <f>IF(OR(J31="",H31=""),"",VLOOKUP(J31,'הזנה לסיווג רשויות'!$B$2:$D$301,3,0))</f>
        <v>ירושלים</v>
      </c>
      <c r="H31" s="201" t="s">
        <v>536</v>
      </c>
      <c r="I31" s="201" t="s">
        <v>384</v>
      </c>
      <c r="J31" s="205">
        <v>3000</v>
      </c>
      <c r="K31" s="161">
        <v>0</v>
      </c>
      <c r="L31" s="161">
        <v>1</v>
      </c>
      <c r="M31" s="161">
        <v>0</v>
      </c>
      <c r="N31" s="161">
        <v>1</v>
      </c>
      <c r="O31" s="161">
        <v>1</v>
      </c>
      <c r="P31" s="161">
        <v>1</v>
      </c>
      <c r="Q31" s="161">
        <v>1</v>
      </c>
      <c r="R31" s="201">
        <v>2714261</v>
      </c>
      <c r="S31" s="201">
        <v>1606271</v>
      </c>
      <c r="T31" s="160">
        <f>IF(G31="","",IFERROR(IF(S31/R31&gt;'פרמטרים לקריטריונים'!$C$20,1,0),0))</f>
        <v>1</v>
      </c>
      <c r="U31" s="201">
        <v>1156270</v>
      </c>
      <c r="V31" s="160">
        <f>IF(G31="","",IFERROR(IF(U31/R31&gt;'פרמטרים לקריטריונים'!$C$21,1,IF(AND(I31=$BW$5,U31/R31&gt;'פרמטרים לקריטריונים'!$C$22),1,0)),0))</f>
        <v>1</v>
      </c>
      <c r="W31" s="161">
        <v>1</v>
      </c>
      <c r="X31" s="161">
        <v>1</v>
      </c>
      <c r="Y31" s="201">
        <v>1000000</v>
      </c>
      <c r="Z31" s="201">
        <v>600000</v>
      </c>
      <c r="AA31" s="161">
        <f>IF(G31="","",IF(COUNTIF($D$31:$D$500,D31)=1,1,0))</f>
        <v>1</v>
      </c>
      <c r="AB31" s="161"/>
      <c r="AC31" s="161"/>
      <c r="AD31" s="161"/>
      <c r="AE31" s="161"/>
      <c r="AF31" s="161"/>
      <c r="AG31" s="161"/>
      <c r="AH31" s="161"/>
      <c r="AI31" s="161"/>
      <c r="AJ31" s="161"/>
      <c r="AK31" s="161"/>
      <c r="AL31" s="161"/>
      <c r="AM31" s="161"/>
      <c r="AN31" s="161"/>
      <c r="AO31" s="161"/>
      <c r="AP31" s="161"/>
      <c r="AQ31" s="161"/>
      <c r="AR31" s="161"/>
      <c r="AS31" s="161"/>
      <c r="AT31" s="161"/>
      <c r="AU31" s="161"/>
      <c r="AV31" s="161"/>
      <c r="AW31" s="160"/>
      <c r="AX31" s="161"/>
      <c r="AY31" s="161"/>
      <c r="AZ31" s="161"/>
      <c r="BA31" s="161"/>
      <c r="BB31" s="161"/>
      <c r="BC31" s="161"/>
      <c r="BD31" s="161"/>
      <c r="BE31" s="161"/>
      <c r="BF31" s="160" t="str">
        <f>IFERROR(SUM(AZ31:BE31)/COUNT(AZ31:BE31),"")</f>
        <v/>
      </c>
      <c r="BG31" s="160"/>
      <c r="BH31" s="160"/>
      <c r="BI31" s="160"/>
      <c r="BJ31" s="160"/>
      <c r="BK31" s="160"/>
      <c r="BL31" s="162">
        <f t="shared" ref="BL31:BL94" si="75">IF($G31="","",IF(SUM(N31:O31)=0,0,IF(OR(H31="",I31="",J31="",AA31=0,Y31=""),$BQ$1,IF(BP31&lt;&gt;1,$BQ$1,IF(SUMPRODUCT(--(K31:BG31&gt;=$K$5:$BG$5)*($K$5:$BG$5&lt;&gt;"")*($K$4:$BG$4=1))=COUNTIF($K$4:$BG$4,1),1,0)))))</f>
        <v>1</v>
      </c>
      <c r="BM31" s="257"/>
      <c r="BN31" s="163"/>
      <c r="BO31" s="211" t="str">
        <f t="shared" ref="BO31:BO94" si="76">CONCATENATE(H31,I31)</f>
        <v>בית עגנון בירושליםמרכזי פרינג'</v>
      </c>
      <c r="BP31" s="125">
        <f t="shared" ref="BP31:BP94" si="77">IF(OR(SUM(BS31:DB31)&lt;&gt;COUNT(BS31:DB31),SUMPRODUCT(--(N31:BG31=$BQ$1))&lt;&gt;0),0,1)</f>
        <v>1</v>
      </c>
      <c r="BQ31" s="164">
        <v>0</v>
      </c>
      <c r="BR31" s="164">
        <v>1</v>
      </c>
      <c r="BS31" s="149">
        <f t="shared" ref="BS31:BS94" si="78">IF(OR(K$30="",K$4=99),1,IF(K31="",0,IFERROR(CHOOSE(BS$28,IF(ISNA(MATCH(K31,$BQ$30:$BR$30,0)),0,1),IF(ISNUMBER(K31),1,0),IF(K31=TRUNC(K31),1,0),IF(AND(K31*1=K31,K31&gt;=0),1,0),IF(AND(K31=TRUNC(K31),K31&gt;=0),1,0),IF(AND(K31*1=K31,K31&gt;0),1,0),IF(AND(K31=TRUNC(K31),K31&gt;0),1,0),1,IF(ISNA(HLOOKUP(K31,$BT$4:$CD$4,1,0)),0,1)),0)))</f>
        <v>1</v>
      </c>
      <c r="BT31" s="149">
        <f t="shared" ref="BT31:BT94" si="79">IF(OR(L$30="",L$4=99),1,IF(L31="",0,IFERROR(CHOOSE(BT$28,IF(ISNA(MATCH(L31,$BQ$30:$BR$30,0)),0,1),IF(ISNUMBER(L31),1,0),IF(L31=TRUNC(L31),1,0),IF(AND(L31*1=L31,L31&gt;=0),1,0),IF(AND(L31=TRUNC(L31),L31&gt;=0),1,0),IF(AND(L31*1=L31,L31&gt;0),1,0),IF(AND(L31=TRUNC(L31),L31&gt;0),1,0),1,IF(ISNA(HLOOKUP(L31,$BT$4:$CD$4,1,0)),0,1)),0)))</f>
        <v>1</v>
      </c>
      <c r="BU31" s="149">
        <f t="shared" ref="BU31:BU94" si="80">IF(OR(M$30="",M$4=99),1,IF(M31="",0,IFERROR(CHOOSE(BU$28,IF(ISNA(MATCH(M31,$BQ$30:$BR$30,0)),0,1),IF(ISNUMBER(M31),1,0),IF(M31=TRUNC(M31),1,0),IF(AND(M31*1=M31,M31&gt;=0),1,0),IF(AND(M31=TRUNC(M31),M31&gt;=0),1,0),IF(AND(M31*1=M31,M31&gt;0),1,0),IF(AND(M31=TRUNC(M31),M31&gt;0),1,0),1,IF(ISNA(HLOOKUP(M31,$BT$4:$CD$4,1,0)),0,1)),0)))</f>
        <v>1</v>
      </c>
      <c r="BV31" s="149">
        <f t="shared" ref="BV31:BV94" si="81">IF(OR(N$30="",N$4=99),1,IF(N31="",0,IFERROR(CHOOSE(BV$28,IF(ISNA(MATCH(N31,$BQ$30:$BR$30,0)),0,1),IF(ISNUMBER(N31),1,0),IF(N31=TRUNC(N31),1,0),IF(AND(N31*1=N31,N31&gt;=0),1,0),IF(AND(N31=TRUNC(N31),N31&gt;=0),1,0),IF(AND(N31*1=N31,N31&gt;0),1,0),IF(AND(N31=TRUNC(N31),N31&gt;0),1,0),1,IF(ISNA(HLOOKUP(N31,$BT$4:$CD$4,1,0)),0,1)),0)))</f>
        <v>1</v>
      </c>
      <c r="BW31" s="149">
        <f t="shared" ref="BW31:BW94" si="82">IF(OR(O$30="",O$4=99),1,IF(O31="",0,IFERROR(CHOOSE(BW$28,IF(ISNA(MATCH(O31,$BQ$30:$BR$30,0)),0,1),IF(ISNUMBER(O31),1,0),IF(O31=TRUNC(O31),1,0),IF(AND(O31*1=O31,O31&gt;=0),1,0),IF(AND(O31=TRUNC(O31),O31&gt;=0),1,0),IF(AND(O31*1=O31,O31&gt;0),1,0),IF(AND(O31=TRUNC(O31),O31&gt;0),1,0),1,IF(ISNA(HLOOKUP(O31,$BT$4:$CD$4,1,0)),0,1)),0)))</f>
        <v>1</v>
      </c>
      <c r="BX31" s="149">
        <f t="shared" ref="BX31:BX94" si="83">IF(OR(P$30="",P$4=99),1,IF(P31="",0,IFERROR(CHOOSE(BX$28,IF(ISNA(MATCH(P31,$BQ$30:$BR$30,0)),0,1),IF(ISNUMBER(P31),1,0),IF(P31=TRUNC(P31),1,0),IF(AND(P31*1=P31,P31&gt;=0),1,0),IF(AND(P31=TRUNC(P31),P31&gt;=0),1,0),IF(AND(P31*1=P31,P31&gt;0),1,0),IF(AND(P31=TRUNC(P31),P31&gt;0),1,0),1,IF(ISNA(HLOOKUP(P31,$BT$4:$CD$4,1,0)),0,1)),0)))</f>
        <v>1</v>
      </c>
      <c r="BY31" s="149">
        <f t="shared" ref="BY31:BY94" si="84">IF(OR(Q$30="",Q$4=99),1,IF(Q31="",0,IFERROR(CHOOSE(BY$28,IF(ISNA(MATCH(Q31,$BQ$30:$BR$30,0)),0,1),IF(ISNUMBER(Q31),1,0),IF(Q31=TRUNC(Q31),1,0),IF(AND(Q31*1=Q31,Q31&gt;=0),1,0),IF(AND(Q31=TRUNC(Q31),Q31&gt;=0),1,0),IF(AND(Q31*1=Q31,Q31&gt;0),1,0),IF(AND(Q31=TRUNC(Q31),Q31&gt;0),1,0),1,IF(ISNA(HLOOKUP(Q31,$BT$4:$CD$4,1,0)),0,1)),0)))</f>
        <v>1</v>
      </c>
      <c r="BZ31" s="149">
        <f t="shared" ref="BZ31:BZ94" si="85">IF(OR(R$30="",R$4=99),1,IF(R31="",0,IFERROR(CHOOSE(BZ$28,IF(ISNA(MATCH(R31,$BQ$30:$BR$30,0)),0,1),IF(ISNUMBER(R31),1,0),IF(R31=TRUNC(R31),1,0),IF(AND(R31*1=R31,R31&gt;=0),1,0),IF(AND(R31=TRUNC(R31),R31&gt;=0),1,0),IF(AND(R31*1=R31,R31&gt;0),1,0),IF(AND(R31=TRUNC(R31),R31&gt;0),1,0),1,IF(ISNA(HLOOKUP(R31,$BT$4:$CD$4,1,0)),0,1)),0)))</f>
        <v>1</v>
      </c>
      <c r="CA31" s="149">
        <f t="shared" ref="CA31:CA94" si="86">IF(OR(S$30="",S$4=99),1,IF(S31="",0,IFERROR(CHOOSE(CA$28,IF(ISNA(MATCH(S31,$BQ$30:$BR$30,0)),0,1),IF(ISNUMBER(S31),1,0),IF(S31=TRUNC(S31),1,0),IF(AND(S31*1=S31,S31&gt;=0),1,0),IF(AND(S31=TRUNC(S31),S31&gt;=0),1,0),IF(AND(S31*1=S31,S31&gt;0),1,0),IF(AND(S31=TRUNC(S31),S31&gt;0),1,0),1,IF(ISNA(HLOOKUP(S31,$BT$4:$CD$4,1,0)),0,1)),0)))</f>
        <v>1</v>
      </c>
      <c r="CB31" s="149">
        <f t="shared" ref="CB31:CB94" si="87">IF(OR(T$30="",T$4=99),1,IF(T31="",0,IFERROR(CHOOSE(CB$28,IF(ISNA(MATCH(T31,$BQ$30:$BR$30,0)),0,1),IF(ISNUMBER(T31),1,0),IF(T31=TRUNC(T31),1,0),IF(AND(T31*1=T31,T31&gt;=0),1,0),IF(AND(T31=TRUNC(T31),T31&gt;=0),1,0),IF(AND(T31*1=T31,T31&gt;0),1,0),IF(AND(T31=TRUNC(T31),T31&gt;0),1,0),1,IF(ISNA(HLOOKUP(T31,$BT$4:$CD$4,1,0)),0,1)),0)))</f>
        <v>1</v>
      </c>
      <c r="CC31" s="149">
        <f t="shared" ref="CC31:CC94" si="88">IF(OR(U$30="",U$4=99),1,IF(U31="",0,IFERROR(CHOOSE(CC$28,IF(ISNA(MATCH(U31,$BQ$30:$BR$30,0)),0,1),IF(ISNUMBER(U31),1,0),IF(U31=TRUNC(U31),1,0),IF(AND(U31*1=U31,U31&gt;=0),1,0),IF(AND(U31=TRUNC(U31),U31&gt;=0),1,0),IF(AND(U31*1=U31,U31&gt;0),1,0),IF(AND(U31=TRUNC(U31),U31&gt;0),1,0),1,IF(ISNA(HLOOKUP(U31,$BT$4:$CD$4,1,0)),0,1)),0)))</f>
        <v>1</v>
      </c>
      <c r="CD31" s="149">
        <f t="shared" ref="CD31:CD94" si="89">IF(OR(V$30="",V$4=99),1,IF(V31="",0,IFERROR(CHOOSE(CD$28,IF(ISNA(MATCH(V31,$BQ$30:$BR$30,0)),0,1),IF(ISNUMBER(V31),1,0),IF(V31=TRUNC(V31),1,0),IF(AND(V31*1=V31,V31&gt;=0),1,0),IF(AND(V31=TRUNC(V31),V31&gt;=0),1,0),IF(AND(V31*1=V31,V31&gt;0),1,0),IF(AND(V31=TRUNC(V31),V31&gt;0),1,0),1,IF(ISNA(HLOOKUP(V31,$BT$4:$CD$4,1,0)),0,1)),0)))</f>
        <v>1</v>
      </c>
      <c r="CE31" s="149">
        <f t="shared" ref="CE31:CE94" si="90">IF(OR(W$30="",W$4=99),1,IF(W31="",0,IFERROR(CHOOSE(CE$28,IF(ISNA(MATCH(W31,$BQ$30:$BR$30,0)),0,1),IF(ISNUMBER(W31),1,0),IF(W31=TRUNC(W31),1,0),IF(AND(W31*1=W31,W31&gt;=0),1,0),IF(AND(W31=TRUNC(W31),W31&gt;=0),1,0),IF(AND(W31*1=W31,W31&gt;0),1,0),IF(AND(W31=TRUNC(W31),W31&gt;0),1,0),1,IF(ISNA(HLOOKUP(W31,$BT$4:$CD$4,1,0)),0,1)),0)))</f>
        <v>1</v>
      </c>
      <c r="CF31" s="149">
        <f t="shared" ref="CF31:CF94" si="91">IF(OR(X$30="",X$4=99),1,IF(X31="",0,IFERROR(CHOOSE(CF$28,IF(ISNA(MATCH(X31,$BQ$30:$BR$30,0)),0,1),IF(ISNUMBER(X31),1,0),IF(X31=TRUNC(X31),1,0),IF(AND(X31*1=X31,X31&gt;=0),1,0),IF(AND(X31=TRUNC(X31),X31&gt;=0),1,0),IF(AND(X31*1=X31,X31&gt;0),1,0),IF(AND(X31=TRUNC(X31),X31&gt;0),1,0),1,IF(ISNA(HLOOKUP(X31,$BT$4:$CD$4,1,0)),0,1)),0)))</f>
        <v>1</v>
      </c>
      <c r="CG31" s="149">
        <f t="shared" ref="CG31:CG94" si="92">IF(OR(Y$30="",Y$4=99),1,IF(Y31="",0,IFERROR(CHOOSE(CG$28,IF(ISNA(MATCH(Y31,$BQ$30:$BR$30,0)),0,1),IF(ISNUMBER(Y31),1,0),IF(Y31=TRUNC(Y31),1,0),IF(AND(Y31*1=Y31,Y31&gt;=0),1,0),IF(AND(Y31=TRUNC(Y31),Y31&gt;=0),1,0),IF(AND(Y31*1=Y31,Y31&gt;0),1,0),IF(AND(Y31=TRUNC(Y31),Y31&gt;0),1,0),1,IF(ISNA(HLOOKUP(Y31,$BT$4:$CD$4,1,0)),0,1)),0)))</f>
        <v>1</v>
      </c>
      <c r="CH31" s="149">
        <f t="shared" ref="CH31:CH94" si="93">IF(OR(Z$30="",Z$4=99),1,IF(Z31="",0,IFERROR(CHOOSE(CH$28,IF(ISNA(MATCH(Z31,$BQ$30:$BR$30,0)),0,1),IF(ISNUMBER(Z31),1,0),IF(Z31=TRUNC(Z31),1,0),IF(AND(Z31*1=Z31,Z31&gt;=0),1,0),IF(AND(Z31=TRUNC(Z31),Z31&gt;=0),1,0),IF(AND(Z31*1=Z31,Z31&gt;0),1,0),IF(AND(Z31=TRUNC(Z31),Z31&gt;0),1,0),1,IF(ISNA(HLOOKUP(Z31,$BT$4:$CD$4,1,0)),0,1)),0)))</f>
        <v>1</v>
      </c>
      <c r="CI31" s="149">
        <f t="shared" ref="CI31:CI94" si="94">IF(OR(AA$30="",AA$4=99),1,IF(AA31="",0,IFERROR(CHOOSE(CI$28,IF(ISNA(MATCH(AA31,$BQ$30:$BR$30,0)),0,1),IF(ISNUMBER(AA31),1,0),IF(AA31=TRUNC(AA31),1,0),IF(AND(AA31*1=AA31,AA31&gt;=0),1,0),IF(AND(AA31=TRUNC(AA31),AA31&gt;=0),1,0),IF(AND(AA31*1=AA31,AA31&gt;0),1,0),IF(AND(AA31=TRUNC(AA31),AA31&gt;0),1,0),1,IF(ISNA(HLOOKUP(AA31,$BT$4:$CD$4,1,0)),0,1)),0)))</f>
        <v>1</v>
      </c>
      <c r="CJ31" s="149">
        <f t="shared" ref="CJ31:CJ94" si="95">IF(OR(AB$30="",AB$4=99),1,IF(AB31="",0,IFERROR(CHOOSE(CJ$28,IF(ISNA(MATCH(AB31,$BQ$30:$BR$30,0)),0,1),IF(ISNUMBER(AB31),1,0),IF(AB31=TRUNC(AB31),1,0),IF(AND(AB31*1=AB31,AB31&gt;=0),1,0),IF(AND(AB31=TRUNC(AB31),AB31&gt;=0),1,0),IF(AND(AB31*1=AB31,AB31&gt;0),1,0),IF(AND(AB31=TRUNC(AB31),AB31&gt;0),1,0),1,IF(ISNA(HLOOKUP(AB31,$BT$4:$CD$4,1,0)),0,1)),0)))</f>
        <v>1</v>
      </c>
      <c r="CK31" s="149">
        <f t="shared" ref="CK31:CK94" si="96">IF(OR(AC$30="",AC$4=99),1,IF(AC31="",0,IFERROR(CHOOSE(CK$28,IF(ISNA(MATCH(AC31,$BQ$30:$BR$30,0)),0,1),IF(ISNUMBER(AC31),1,0),IF(AC31=TRUNC(AC31),1,0),IF(AND(AC31*1=AC31,AC31&gt;=0),1,0),IF(AND(AC31=TRUNC(AC31),AC31&gt;=0),1,0),IF(AND(AC31*1=AC31,AC31&gt;0),1,0),IF(AND(AC31=TRUNC(AC31),AC31&gt;0),1,0),1,IF(ISNA(HLOOKUP(AC31,$BT$4:$CD$4,1,0)),0,1)),0)))</f>
        <v>1</v>
      </c>
      <c r="CL31" s="149">
        <f t="shared" ref="CL31:CL94" si="97">IF(OR(AD$30="",AD$4=99),1,IF(AD31="",0,IFERROR(CHOOSE(CL$28,IF(ISNA(MATCH(AD31,$BQ$30:$BR$30,0)),0,1),IF(ISNUMBER(AD31),1,0),IF(AD31=TRUNC(AD31),1,0),IF(AND(AD31*1=AD31,AD31&gt;=0),1,0),IF(AND(AD31=TRUNC(AD31),AD31&gt;=0),1,0),IF(AND(AD31*1=AD31,AD31&gt;0),1,0),IF(AND(AD31=TRUNC(AD31),AD31&gt;0),1,0),1,IF(ISNA(HLOOKUP(AD31,$BT$4:$CD$4,1,0)),0,1)),0)))</f>
        <v>1</v>
      </c>
      <c r="CM31" s="149">
        <f t="shared" ref="CM31:CM94" si="98">IF(OR(AE$30="",AE$4=99),1,IF(AE31="",0,IFERROR(CHOOSE(CM$28,IF(ISNA(MATCH(AE31,$BQ$30:$BR$30,0)),0,1),IF(ISNUMBER(AE31),1,0),IF(AE31=TRUNC(AE31),1,0),IF(AND(AE31*1=AE31,AE31&gt;=0),1,0),IF(AND(AE31=TRUNC(AE31),AE31&gt;=0),1,0),IF(AND(AE31*1=AE31,AE31&gt;0),1,0),IF(AND(AE31=TRUNC(AE31),AE31&gt;0),1,0),1,IF(ISNA(HLOOKUP(AE31,$BT$4:$CD$4,1,0)),0,1)),0)))</f>
        <v>1</v>
      </c>
      <c r="CN31" s="149">
        <f t="shared" ref="CN31:CN94" si="99">IF(OR(AF$30="",AF$4=99),1,IF(AF31="",0,IFERROR(CHOOSE(CN$28,IF(ISNA(MATCH(AF31,$BQ$30:$BR$30,0)),0,1),IF(ISNUMBER(AF31),1,0),IF(AF31=TRUNC(AF31),1,0),IF(AND(AF31*1=AF31,AF31&gt;=0),1,0),IF(AND(AF31=TRUNC(AF31),AF31&gt;=0),1,0),IF(AND(AF31*1=AF31,AF31&gt;0),1,0),IF(AND(AF31=TRUNC(AF31),AF31&gt;0),1,0),1,IF(ISNA(HLOOKUP(AF31,$BT$4:$CD$4,1,0)),0,1)),0)))</f>
        <v>1</v>
      </c>
      <c r="CO31" s="149">
        <f t="shared" ref="CO31:CO94" si="100">IF(OR(AG$30="",AG$4=99),1,IF(AG31="",0,IFERROR(CHOOSE(CO$28,IF(ISNA(MATCH(AG31,$BQ$30:$BR$30,0)),0,1),IF(ISNUMBER(AG31),1,0),IF(AG31=TRUNC(AG31),1,0),IF(AND(AG31*1=AG31,AG31&gt;=0),1,0),IF(AND(AG31=TRUNC(AG31),AG31&gt;=0),1,0),IF(AND(AG31*1=AG31,AG31&gt;0),1,0),IF(AND(AG31=TRUNC(AG31),AG31&gt;0),1,0),1,IF(ISNA(HLOOKUP(AG31,$BT$4:$CD$4,1,0)),0,1)),0)))</f>
        <v>1</v>
      </c>
      <c r="CP31" s="149">
        <f t="shared" ref="CP31:CP94" si="101">IF(OR(AH$30="",AH$4=99),1,IF(AH31="",0,IFERROR(CHOOSE(CP$28,IF(ISNA(MATCH(AH31,$BQ$30:$BR$30,0)),0,1),IF(ISNUMBER(AH31),1,0),IF(AH31=TRUNC(AH31),1,0),IF(AND(AH31*1=AH31,AH31&gt;=0),1,0),IF(AND(AH31=TRUNC(AH31),AH31&gt;=0),1,0),IF(AND(AH31*1=AH31,AH31&gt;0),1,0),IF(AND(AH31=TRUNC(AH31),AH31&gt;0),1,0),1,IF(ISNA(HLOOKUP(AH31,$BT$4:$CD$4,1,0)),0,1)),0)))</f>
        <v>1</v>
      </c>
      <c r="CQ31" s="149">
        <f t="shared" ref="CQ31:CQ94" si="102">IF(OR(AI$30="",AI$4=99),1,IF(AI31="",0,IFERROR(CHOOSE(CQ$28,IF(ISNA(MATCH(AI31,$BQ$30:$BR$30,0)),0,1),IF(ISNUMBER(AI31),1,0),IF(AI31=TRUNC(AI31),1,0),IF(AND(AI31*1=AI31,AI31&gt;=0),1,0),IF(AND(AI31=TRUNC(AI31),AI31&gt;=0),1,0),IF(AND(AI31*1=AI31,AI31&gt;0),1,0),IF(AND(AI31=TRUNC(AI31),AI31&gt;0),1,0),1,IF(ISNA(HLOOKUP(AI31,$BT$4:$CD$4,1,0)),0,1)),0)))</f>
        <v>1</v>
      </c>
      <c r="CR31" s="149">
        <f t="shared" ref="CR31:CR94" si="103">IF(OR(AJ$30="",AJ$4=99),1,IF(AJ31="",0,IFERROR(CHOOSE(CR$28,IF(ISNA(MATCH(AJ31,$BQ$30:$BR$30,0)),0,1),IF(ISNUMBER(AJ31),1,0),IF(AJ31=TRUNC(AJ31),1,0),IF(AND(AJ31*1=AJ31,AJ31&gt;=0),1,0),IF(AND(AJ31=TRUNC(AJ31),AJ31&gt;=0),1,0),IF(AND(AJ31*1=AJ31,AJ31&gt;0),1,0),IF(AND(AJ31=TRUNC(AJ31),AJ31&gt;0),1,0),1,IF(ISNA(HLOOKUP(AJ31,$BT$4:$CD$4,1,0)),0,1)),0)))</f>
        <v>1</v>
      </c>
      <c r="CS31" s="149">
        <f t="shared" ref="CS31:CS94" si="104">IF(OR(AK$30="",AK$4=99),1,IF(AK31="",0,IFERROR(CHOOSE(CS$28,IF(ISNA(MATCH(AK31,$BQ$30:$BR$30,0)),0,1),IF(ISNUMBER(AK31),1,0),IF(AK31=TRUNC(AK31),1,0),IF(AND(AK31*1=AK31,AK31&gt;=0),1,0),IF(AND(AK31=TRUNC(AK31),AK31&gt;=0),1,0),IF(AND(AK31*1=AK31,AK31&gt;0),1,0),IF(AND(AK31=TRUNC(AK31),AK31&gt;0),1,0),1,IF(ISNA(HLOOKUP(AK31,$BT$4:$CD$4,1,0)),0,1)),0)))</f>
        <v>1</v>
      </c>
      <c r="CT31" s="149">
        <f t="shared" ref="CT31:CT94" si="105">IF(OR(AL$30="",AL$4=99),1,IF(AL31="",0,IFERROR(CHOOSE(CT$28,IF(ISNA(MATCH(AL31,$BQ$30:$BR$30,0)),0,1),IF(ISNUMBER(AL31),1,0),IF(AL31=TRUNC(AL31),1,0),IF(AND(AL31*1=AL31,AL31&gt;=0),1,0),IF(AND(AL31=TRUNC(AL31),AL31&gt;=0),1,0),IF(AND(AL31*1=AL31,AL31&gt;0),1,0),IF(AND(AL31=TRUNC(AL31),AL31&gt;0),1,0),1,IF(ISNA(HLOOKUP(AL31,$BT$4:$CD$4,1,0)),0,1)),0)))</f>
        <v>1</v>
      </c>
      <c r="CU31" s="149">
        <f t="shared" ref="CU31:CU94" si="106">IF(OR(AM$30="",AM$4=99),1,IF(AM31="",0,IFERROR(CHOOSE(CU$28,IF(ISNA(MATCH(AM31,$BQ$30:$BR$30,0)),0,1),IF(ISNUMBER(AM31),1,0),IF(AM31=TRUNC(AM31),1,0),IF(AND(AM31*1=AM31,AM31&gt;=0),1,0),IF(AND(AM31=TRUNC(AM31),AM31&gt;=0),1,0),IF(AND(AM31*1=AM31,AM31&gt;0),1,0),IF(AND(AM31=TRUNC(AM31),AM31&gt;0),1,0),1,IF(ISNA(HLOOKUP(AM31,$BT$4:$CD$4,1,0)),0,1)),0)))</f>
        <v>1</v>
      </c>
      <c r="CV31" s="149">
        <f t="shared" ref="CV31:CV94" si="107">IF(OR(AN$30="",AN$4=99),1,IF(AN31="",0,IFERROR(CHOOSE(CV$28,IF(ISNA(MATCH(AN31,$BQ$30:$BR$30,0)),0,1),IF(ISNUMBER(AN31),1,0),IF(AN31=TRUNC(AN31),1,0),IF(AND(AN31*1=AN31,AN31&gt;=0),1,0),IF(AND(AN31=TRUNC(AN31),AN31&gt;=0),1,0),IF(AND(AN31*1=AN31,AN31&gt;0),1,0),IF(AND(AN31=TRUNC(AN31),AN31&gt;0),1,0),1,IF(ISNA(HLOOKUP(AN31,$BT$4:$CD$4,1,0)),0,1)),0)))</f>
        <v>1</v>
      </c>
      <c r="CW31" s="149">
        <f t="shared" ref="CW31:CW94" si="108">IF(OR(AO$30="",AO$4=99),1,IF(AO31="",0,IFERROR(CHOOSE(CW$28,IF(ISNA(MATCH(AO31,$BQ$30:$BR$30,0)),0,1),IF(ISNUMBER(AO31),1,0),IF(AO31=TRUNC(AO31),1,0),IF(AND(AO31*1=AO31,AO31&gt;=0),1,0),IF(AND(AO31=TRUNC(AO31),AO31&gt;=0),1,0),IF(AND(AO31*1=AO31,AO31&gt;0),1,0),IF(AND(AO31=TRUNC(AO31),AO31&gt;0),1,0),1,IF(ISNA(HLOOKUP(AO31,$BT$4:$CD$4,1,0)),0,1)),0)))</f>
        <v>1</v>
      </c>
      <c r="CX31" s="149">
        <f t="shared" ref="CX31:CX94" si="109">IF(OR(AP$30="",AP$4=99),1,IF(AP31="",0,IFERROR(CHOOSE(CX$28,IF(ISNA(MATCH(AP31,$BQ$30:$BR$30,0)),0,1),IF(ISNUMBER(AP31),1,0),IF(AP31=TRUNC(AP31),1,0),IF(AND(AP31*1=AP31,AP31&gt;=0),1,0),IF(AND(AP31=TRUNC(AP31),AP31&gt;=0),1,0),IF(AND(AP31*1=AP31,AP31&gt;0),1,0),IF(AND(AP31=TRUNC(AP31),AP31&gt;0),1,0),1,IF(ISNA(HLOOKUP(AP31,$BT$4:$CD$4,1,0)),0,1)),0)))</f>
        <v>1</v>
      </c>
      <c r="CY31" s="149">
        <f t="shared" ref="CY31:CY94" si="110">IF(OR(AQ$30="",AQ$4=99),1,IF(AQ31="",0,IFERROR(CHOOSE(CY$28,IF(ISNA(MATCH(AQ31,$BQ$30:$BR$30,0)),0,1),IF(ISNUMBER(AQ31),1,0),IF(AQ31=TRUNC(AQ31),1,0),IF(AND(AQ31*1=AQ31,AQ31&gt;=0),1,0),IF(AND(AQ31=TRUNC(AQ31),AQ31&gt;=0),1,0),IF(AND(AQ31*1=AQ31,AQ31&gt;0),1,0),IF(AND(AQ31=TRUNC(AQ31),AQ31&gt;0),1,0),1,IF(ISNA(HLOOKUP(AQ31,$BT$4:$CD$4,1,0)),0,1)),0)))</f>
        <v>1</v>
      </c>
      <c r="CZ31" s="149">
        <f t="shared" ref="CZ31:CZ94" si="111">IF(OR(AR$30="",AR$4=99),1,IF(AR31="",0,IFERROR(CHOOSE(CZ$28,IF(ISNA(MATCH(AR31,$BQ$30:$BR$30,0)),0,1),IF(ISNUMBER(AR31),1,0),IF(AR31=TRUNC(AR31),1,0),IF(AND(AR31*1=AR31,AR31&gt;=0),1,0),IF(AND(AR31=TRUNC(AR31),AR31&gt;=0),1,0),IF(AND(AR31*1=AR31,AR31&gt;0),1,0),IF(AND(AR31=TRUNC(AR31),AR31&gt;0),1,0),1,IF(ISNA(HLOOKUP(AR31,$BT$4:$CD$4,1,0)),0,1)),0)))</f>
        <v>1</v>
      </c>
      <c r="DA31" s="149">
        <f t="shared" ref="DA31:DA94" si="112">IF(OR(AS$30="",AS$4=99),1,IF(AS31="",0,IFERROR(CHOOSE(DA$28,IF(ISNA(MATCH(AS31,$BQ$30:$BR$30,0)),0,1),IF(ISNUMBER(AS31),1,0),IF(AS31=TRUNC(AS31),1,0),IF(AND(AS31*1=AS31,AS31&gt;=0),1,0),IF(AND(AS31=TRUNC(AS31),AS31&gt;=0),1,0),IF(AND(AS31*1=AS31,AS31&gt;0),1,0),IF(AND(AS31=TRUNC(AS31),AS31&gt;0),1,0),1,IF(ISNA(HLOOKUP(AS31,$BT$4:$CD$4,1,0)),0,1)),0)))</f>
        <v>1</v>
      </c>
      <c r="DB31" s="149">
        <f t="shared" ref="DB31:DB94" si="113">IF(OR(AT$30="",AT$4=99),1,IF(AT31="",0,IFERROR(CHOOSE(DB$28,IF(ISNA(MATCH(AT31,$BQ$30:$BR$30,0)),0,1),IF(ISNUMBER(AT31),1,0),IF(AT31=TRUNC(AT31),1,0),IF(AND(AT31*1=AT31,AT31&gt;=0),1,0),IF(AND(AT31=TRUNC(AT31),AT31&gt;=0),1,0),IF(AND(AT31*1=AT31,AT31&gt;0),1,0),IF(AND(AT31=TRUNC(AT31),AT31&gt;0),1,0),1,IF(ISNA(HLOOKUP(AT31,$BT$4:$CD$4,1,0)),0,1)),0)))</f>
        <v>1</v>
      </c>
      <c r="DG31" s="125">
        <f>IF($G31="","",DG$30)</f>
        <v>1</v>
      </c>
      <c r="DH31" s="125">
        <f t="shared" ref="DH31:DP44" si="114">IF($G31="","",DH$30)</f>
        <v>2</v>
      </c>
      <c r="DI31" s="125">
        <f t="shared" si="114"/>
        <v>3</v>
      </c>
      <c r="DJ31" s="125">
        <f t="shared" si="114"/>
        <v>4</v>
      </c>
      <c r="DK31" s="125">
        <f t="shared" si="114"/>
        <v>5</v>
      </c>
      <c r="DL31" s="125">
        <f t="shared" si="114"/>
        <v>6</v>
      </c>
      <c r="DM31" s="125">
        <f t="shared" si="114"/>
        <v>7</v>
      </c>
      <c r="DN31" s="125">
        <f t="shared" si="114"/>
        <v>8</v>
      </c>
      <c r="DO31" s="125">
        <f t="shared" si="114"/>
        <v>9</v>
      </c>
      <c r="DP31" s="125">
        <f t="shared" si="114"/>
        <v>10</v>
      </c>
      <c r="DS31" s="137"/>
      <c r="DT31" s="137"/>
      <c r="DU31" s="137"/>
      <c r="DV31" s="137" t="b">
        <f t="shared" ref="DV31:DV94" si="115">AK31&gt;=DU$5</f>
        <v>0</v>
      </c>
      <c r="DW31" s="137" t="b">
        <f t="shared" ref="DW31:DW94" si="116">AM31&gt;=DV$5</f>
        <v>0</v>
      </c>
      <c r="DX31" s="137" t="b">
        <f t="shared" ref="DX31:DX94" si="117">AP31&gt;=DW$5</f>
        <v>1</v>
      </c>
      <c r="EB31" s="131">
        <f>COUNTIF(DV31:DZ31,TRUE)</f>
        <v>1</v>
      </c>
      <c r="EC31" s="137" t="b">
        <f t="shared" ref="EC31:EC94" si="118">AK31&gt;=EB$5</f>
        <v>0</v>
      </c>
      <c r="ED31" s="137" t="b">
        <f t="shared" ref="ED31:ED94" si="119">AM31&gt;=EC$5</f>
        <v>0</v>
      </c>
      <c r="EE31" s="137" t="b">
        <f t="shared" ref="EE31:EE94" si="120">AP31&gt;=ED$5</f>
        <v>1</v>
      </c>
      <c r="EF31" s="137"/>
      <c r="EG31" s="137"/>
      <c r="EH31" s="137"/>
      <c r="EI31" s="137"/>
      <c r="EJ31" s="137">
        <f>COUNTIF(EC31:EI31,TRUE)</f>
        <v>1</v>
      </c>
      <c r="EK31" s="125">
        <f t="shared" ref="EK31:EK94" si="121">IF($G31="","",IF(EB31=$DV$3,1,0))</f>
        <v>0</v>
      </c>
      <c r="EL31" s="125">
        <f t="shared" ref="EL31:EL94" si="122">IF($G31="","",IF(AND(EJ31=$DV$3,EJ31-EB31&lt;=$EC$3),1,0))</f>
        <v>0</v>
      </c>
    </row>
    <row r="32" spans="1:142" ht="15.75" x14ac:dyDescent="0.2">
      <c r="B32" s="160">
        <f t="shared" ref="B32:B95" si="123">IF(G32="","",ROW()-30)</f>
        <v>2</v>
      </c>
      <c r="C32" s="205">
        <v>1001349309</v>
      </c>
      <c r="D32" s="205">
        <v>1001263928</v>
      </c>
      <c r="E32" s="205">
        <v>40000096</v>
      </c>
      <c r="F32" s="118">
        <f>IF(OR(J32="",H32=""),"",VLOOKUP(J32,'הזנה לסיווג רשויות'!$B$2:$D$301,2,0))</f>
        <v>20000254</v>
      </c>
      <c r="G32" s="118" t="str">
        <f>IF(OR(J32="",H32=""),"",VLOOKUP(J32,'הזנה לסיווג רשויות'!$B$2:$D$301,3,0))</f>
        <v>באר שבע</v>
      </c>
      <c r="H32" s="201" t="s">
        <v>537</v>
      </c>
      <c r="I32" s="201" t="s">
        <v>376</v>
      </c>
      <c r="J32" s="205">
        <v>9000</v>
      </c>
      <c r="K32" s="161">
        <v>0</v>
      </c>
      <c r="L32" s="161">
        <v>1</v>
      </c>
      <c r="M32" s="161">
        <v>0</v>
      </c>
      <c r="N32" s="161">
        <v>1</v>
      </c>
      <c r="O32" s="161">
        <v>1</v>
      </c>
      <c r="P32" s="161">
        <v>1</v>
      </c>
      <c r="Q32" s="161">
        <v>1</v>
      </c>
      <c r="R32" s="201">
        <v>12149169</v>
      </c>
      <c r="S32" s="201">
        <v>3053190</v>
      </c>
      <c r="T32" s="160">
        <f>IF(G32="","",IFERROR(IF(S32/R32&gt;'פרמטרים לקריטריונים'!$C$20,1,0),0))</f>
        <v>1</v>
      </c>
      <c r="U32" s="201">
        <v>2498015</v>
      </c>
      <c r="V32" s="160">
        <f>IF(G32="","",IFERROR(IF(U32/R32&gt;'פרמטרים לקריטריונים'!$C$21,1,IF(AND(I32=$BW$5,U32/R32&gt;'פרמטרים לקריטריונים'!$C$22),1,0)),0))</f>
        <v>1</v>
      </c>
      <c r="W32" s="161">
        <v>1</v>
      </c>
      <c r="X32" s="161">
        <v>1</v>
      </c>
      <c r="Y32" s="201">
        <v>2000000</v>
      </c>
      <c r="Z32" s="201">
        <v>20000</v>
      </c>
      <c r="AA32" s="161">
        <f t="shared" ref="AA32:AA95" si="124">IF(G32="","",IF(COUNTIF($D$31:$D$500,D32)=1,1,0))</f>
        <v>1</v>
      </c>
      <c r="AB32" s="161"/>
      <c r="AC32" s="161"/>
      <c r="AD32" s="161"/>
      <c r="AE32" s="161"/>
      <c r="AF32" s="161"/>
      <c r="AG32" s="161"/>
      <c r="AH32" s="161"/>
      <c r="AI32" s="161"/>
      <c r="AJ32" s="161"/>
      <c r="AK32" s="161"/>
      <c r="AL32" s="161"/>
      <c r="AM32" s="161"/>
      <c r="AN32" s="161"/>
      <c r="AO32" s="161"/>
      <c r="AP32" s="161"/>
      <c r="AQ32" s="161"/>
      <c r="AR32" s="161"/>
      <c r="AS32" s="161"/>
      <c r="AT32" s="161"/>
      <c r="AU32" s="161"/>
      <c r="AV32" s="161"/>
      <c r="AW32" s="160"/>
      <c r="AX32" s="161"/>
      <c r="AY32" s="161"/>
      <c r="AZ32" s="161"/>
      <c r="BA32" s="161"/>
      <c r="BB32" s="161"/>
      <c r="BC32" s="161"/>
      <c r="BD32" s="161"/>
      <c r="BE32" s="161"/>
      <c r="BF32" s="160" t="str">
        <f t="shared" ref="BF32:BF95" si="125">IFERROR(SUM(AZ32:BE32)/COUNT(AZ32:BE32),"")</f>
        <v/>
      </c>
      <c r="BG32" s="160"/>
      <c r="BH32" s="160"/>
      <c r="BI32" s="160"/>
      <c r="BJ32" s="160"/>
      <c r="BK32" s="160"/>
      <c r="BL32" s="162">
        <f t="shared" si="75"/>
        <v>1</v>
      </c>
      <c r="BM32" s="257"/>
      <c r="BN32" s="163"/>
      <c r="BO32" s="211" t="str">
        <f t="shared" si="76"/>
        <v>עמותת הסינפונייטה הישראלית באר שבעמוסיקה-גופים כליים</v>
      </c>
      <c r="BP32" s="125">
        <f t="shared" si="77"/>
        <v>1</v>
      </c>
      <c r="BQ32" s="164">
        <v>0</v>
      </c>
      <c r="BR32" s="164">
        <v>1</v>
      </c>
      <c r="BS32" s="149">
        <f t="shared" si="78"/>
        <v>1</v>
      </c>
      <c r="BT32" s="149">
        <f t="shared" si="79"/>
        <v>1</v>
      </c>
      <c r="BU32" s="149">
        <f t="shared" si="80"/>
        <v>1</v>
      </c>
      <c r="BV32" s="149">
        <f t="shared" si="81"/>
        <v>1</v>
      </c>
      <c r="BW32" s="149">
        <f t="shared" si="82"/>
        <v>1</v>
      </c>
      <c r="BX32" s="149">
        <f t="shared" si="83"/>
        <v>1</v>
      </c>
      <c r="BY32" s="149">
        <f t="shared" si="84"/>
        <v>1</v>
      </c>
      <c r="BZ32" s="149">
        <f t="shared" si="85"/>
        <v>1</v>
      </c>
      <c r="CA32" s="149">
        <f t="shared" si="86"/>
        <v>1</v>
      </c>
      <c r="CB32" s="149">
        <f t="shared" si="87"/>
        <v>1</v>
      </c>
      <c r="CC32" s="149">
        <f t="shared" si="88"/>
        <v>1</v>
      </c>
      <c r="CD32" s="149">
        <f t="shared" si="89"/>
        <v>1</v>
      </c>
      <c r="CE32" s="149">
        <f t="shared" si="90"/>
        <v>1</v>
      </c>
      <c r="CF32" s="149">
        <f t="shared" si="91"/>
        <v>1</v>
      </c>
      <c r="CG32" s="149">
        <f t="shared" si="92"/>
        <v>1</v>
      </c>
      <c r="CH32" s="149">
        <f t="shared" si="93"/>
        <v>1</v>
      </c>
      <c r="CI32" s="149">
        <f t="shared" si="94"/>
        <v>1</v>
      </c>
      <c r="CJ32" s="149">
        <f t="shared" si="95"/>
        <v>1</v>
      </c>
      <c r="CK32" s="149">
        <f t="shared" si="96"/>
        <v>1</v>
      </c>
      <c r="CL32" s="149">
        <f t="shared" si="97"/>
        <v>1</v>
      </c>
      <c r="CM32" s="149">
        <f t="shared" si="98"/>
        <v>1</v>
      </c>
      <c r="CN32" s="149">
        <f t="shared" si="99"/>
        <v>1</v>
      </c>
      <c r="CO32" s="149">
        <f t="shared" si="100"/>
        <v>1</v>
      </c>
      <c r="CP32" s="149">
        <f t="shared" si="101"/>
        <v>1</v>
      </c>
      <c r="CQ32" s="149">
        <f t="shared" si="102"/>
        <v>1</v>
      </c>
      <c r="CR32" s="149">
        <f t="shared" si="103"/>
        <v>1</v>
      </c>
      <c r="CS32" s="149">
        <f t="shared" si="104"/>
        <v>1</v>
      </c>
      <c r="CT32" s="149">
        <f t="shared" si="105"/>
        <v>1</v>
      </c>
      <c r="CU32" s="149">
        <f t="shared" si="106"/>
        <v>1</v>
      </c>
      <c r="CV32" s="149">
        <f t="shared" si="107"/>
        <v>1</v>
      </c>
      <c r="CW32" s="149">
        <f t="shared" si="108"/>
        <v>1</v>
      </c>
      <c r="CX32" s="149">
        <f t="shared" si="109"/>
        <v>1</v>
      </c>
      <c r="CY32" s="149">
        <f t="shared" si="110"/>
        <v>1</v>
      </c>
      <c r="CZ32" s="149">
        <f t="shared" si="111"/>
        <v>1</v>
      </c>
      <c r="DA32" s="149">
        <f t="shared" si="112"/>
        <v>1</v>
      </c>
      <c r="DB32" s="149">
        <f t="shared" si="113"/>
        <v>1</v>
      </c>
      <c r="DG32" s="125">
        <f t="shared" ref="DG32:DG95" si="126">IF($G32="","",DG$30)</f>
        <v>1</v>
      </c>
      <c r="DH32" s="125">
        <f t="shared" si="114"/>
        <v>2</v>
      </c>
      <c r="DI32" s="125">
        <f t="shared" si="114"/>
        <v>3</v>
      </c>
      <c r="DJ32" s="125">
        <f t="shared" si="114"/>
        <v>4</v>
      </c>
      <c r="DK32" s="125">
        <f t="shared" si="114"/>
        <v>5</v>
      </c>
      <c r="DL32" s="125">
        <f t="shared" si="114"/>
        <v>6</v>
      </c>
      <c r="DM32" s="125">
        <f t="shared" si="114"/>
        <v>7</v>
      </c>
      <c r="DN32" s="125">
        <f t="shared" si="114"/>
        <v>8</v>
      </c>
      <c r="DO32" s="125">
        <f t="shared" si="114"/>
        <v>9</v>
      </c>
      <c r="DP32" s="125">
        <f t="shared" si="114"/>
        <v>10</v>
      </c>
      <c r="DS32" s="137"/>
      <c r="DT32" s="137"/>
      <c r="DU32" s="137"/>
      <c r="DV32" s="137" t="b">
        <f t="shared" si="115"/>
        <v>0</v>
      </c>
      <c r="DW32" s="137" t="b">
        <f t="shared" si="116"/>
        <v>0</v>
      </c>
      <c r="DX32" s="137" t="b">
        <f t="shared" si="117"/>
        <v>1</v>
      </c>
      <c r="EB32" s="131">
        <f t="shared" ref="EB32:EB95" si="127">COUNTIF(DV32:DZ32,TRUE)</f>
        <v>1</v>
      </c>
      <c r="EC32" s="137" t="b">
        <f t="shared" si="118"/>
        <v>0</v>
      </c>
      <c r="ED32" s="137" t="b">
        <f t="shared" si="119"/>
        <v>0</v>
      </c>
      <c r="EE32" s="137" t="b">
        <f t="shared" si="120"/>
        <v>1</v>
      </c>
      <c r="EF32" s="137"/>
      <c r="EG32" s="137"/>
      <c r="EH32" s="137"/>
      <c r="EI32" s="137"/>
      <c r="EJ32" s="137">
        <f t="shared" ref="EJ32:EJ95" si="128">COUNTIF(EC32:EI32,TRUE)</f>
        <v>1</v>
      </c>
      <c r="EK32" s="125">
        <f t="shared" si="121"/>
        <v>0</v>
      </c>
      <c r="EL32" s="125">
        <f t="shared" si="122"/>
        <v>0</v>
      </c>
    </row>
    <row r="33" spans="2:142" ht="15.75" x14ac:dyDescent="0.25">
      <c r="B33" s="160">
        <f t="shared" si="123"/>
        <v>3</v>
      </c>
      <c r="C33" s="205">
        <v>1001347990</v>
      </c>
      <c r="D33" s="205">
        <v>1001263876</v>
      </c>
      <c r="E33" s="205">
        <v>40000104</v>
      </c>
      <c r="F33" s="118">
        <f>IF(OR(J33="",H33=""),"",VLOOKUP(J33,'הזנה לסיווג רשויות'!$B$2:$D$301,2,0))</f>
        <v>20000250</v>
      </c>
      <c r="G33" s="118" t="str">
        <f>IF(OR(J33="",H33=""),"",VLOOKUP(J33,'הזנה לסיווג רשויות'!$B$2:$D$301,3,0))</f>
        <v>רמת גן</v>
      </c>
      <c r="H33" s="282" t="s">
        <v>538</v>
      </c>
      <c r="I33" s="201" t="s">
        <v>391</v>
      </c>
      <c r="J33" s="205">
        <v>8600</v>
      </c>
      <c r="K33" s="161">
        <v>0</v>
      </c>
      <c r="L33" s="161">
        <v>1</v>
      </c>
      <c r="M33" s="161">
        <v>0</v>
      </c>
      <c r="N33" s="161">
        <v>0</v>
      </c>
      <c r="O33" s="161">
        <v>1</v>
      </c>
      <c r="P33" s="161">
        <v>1</v>
      </c>
      <c r="Q33" s="161">
        <v>1</v>
      </c>
      <c r="R33" s="201">
        <v>9598737</v>
      </c>
      <c r="S33" s="201">
        <v>5548395</v>
      </c>
      <c r="T33" s="160">
        <f>IF(G33="","",IFERROR(IF(S33/R33&gt;'פרמטרים לקריטריונים'!$C$20,1,0),0))</f>
        <v>1</v>
      </c>
      <c r="U33" s="201">
        <v>2083877</v>
      </c>
      <c r="V33" s="160">
        <f>IF(G33="","",IFERROR(IF(U33/R33&gt;'פרמטרים לקריטריונים'!$C$21,1,IF(AND(I33=$BW$5,U33/R33&gt;'פרמטרים לקריטריונים'!$C$22),1,0)),0))</f>
        <v>1</v>
      </c>
      <c r="W33" s="161">
        <v>1</v>
      </c>
      <c r="X33" s="161">
        <v>1</v>
      </c>
      <c r="Y33" s="201">
        <v>250000</v>
      </c>
      <c r="Z33" s="201">
        <v>250000</v>
      </c>
      <c r="AA33" s="161">
        <f t="shared" si="124"/>
        <v>1</v>
      </c>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0"/>
      <c r="AX33" s="161"/>
      <c r="AY33" s="161"/>
      <c r="AZ33" s="161"/>
      <c r="BA33" s="161"/>
      <c r="BB33" s="161"/>
      <c r="BC33" s="161"/>
      <c r="BD33" s="161"/>
      <c r="BE33" s="161"/>
      <c r="BF33" s="160" t="str">
        <f t="shared" si="125"/>
        <v/>
      </c>
      <c r="BG33" s="160"/>
      <c r="BH33" s="160"/>
      <c r="BI33" s="160"/>
      <c r="BJ33" s="160"/>
      <c r="BK33" s="160"/>
      <c r="BL33" s="162">
        <f t="shared" si="75"/>
        <v>1</v>
      </c>
      <c r="BM33" s="257"/>
      <c r="BN33" s="163"/>
      <c r="BO33" s="211" t="str">
        <f t="shared" si="76"/>
        <v>בית צבי ביה"ס לאומנויות הבמהבתי ספר למשחק</v>
      </c>
      <c r="BP33" s="125">
        <f t="shared" si="77"/>
        <v>1</v>
      </c>
      <c r="BQ33" s="164">
        <v>0</v>
      </c>
      <c r="BR33" s="164">
        <v>1</v>
      </c>
      <c r="BS33" s="149">
        <f t="shared" si="78"/>
        <v>1</v>
      </c>
      <c r="BT33" s="149">
        <f t="shared" si="79"/>
        <v>1</v>
      </c>
      <c r="BU33" s="149">
        <f t="shared" si="80"/>
        <v>1</v>
      </c>
      <c r="BV33" s="149">
        <f t="shared" si="81"/>
        <v>1</v>
      </c>
      <c r="BW33" s="149">
        <f t="shared" si="82"/>
        <v>1</v>
      </c>
      <c r="BX33" s="149">
        <f t="shared" si="83"/>
        <v>1</v>
      </c>
      <c r="BY33" s="149">
        <f t="shared" si="84"/>
        <v>1</v>
      </c>
      <c r="BZ33" s="149">
        <f t="shared" si="85"/>
        <v>1</v>
      </c>
      <c r="CA33" s="149">
        <f t="shared" si="86"/>
        <v>1</v>
      </c>
      <c r="CB33" s="149">
        <f t="shared" si="87"/>
        <v>1</v>
      </c>
      <c r="CC33" s="149">
        <f t="shared" si="88"/>
        <v>1</v>
      </c>
      <c r="CD33" s="149">
        <f t="shared" si="89"/>
        <v>1</v>
      </c>
      <c r="CE33" s="149">
        <f t="shared" si="90"/>
        <v>1</v>
      </c>
      <c r="CF33" s="149">
        <f t="shared" si="91"/>
        <v>1</v>
      </c>
      <c r="CG33" s="149">
        <f t="shared" si="92"/>
        <v>1</v>
      </c>
      <c r="CH33" s="149">
        <f t="shared" si="93"/>
        <v>1</v>
      </c>
      <c r="CI33" s="149">
        <f t="shared" si="94"/>
        <v>1</v>
      </c>
      <c r="CJ33" s="149">
        <f t="shared" si="95"/>
        <v>1</v>
      </c>
      <c r="CK33" s="149">
        <f t="shared" si="96"/>
        <v>1</v>
      </c>
      <c r="CL33" s="149">
        <f t="shared" si="97"/>
        <v>1</v>
      </c>
      <c r="CM33" s="149">
        <f t="shared" si="98"/>
        <v>1</v>
      </c>
      <c r="CN33" s="149">
        <f t="shared" si="99"/>
        <v>1</v>
      </c>
      <c r="CO33" s="149">
        <f t="shared" si="100"/>
        <v>1</v>
      </c>
      <c r="CP33" s="149">
        <f t="shared" si="101"/>
        <v>1</v>
      </c>
      <c r="CQ33" s="149">
        <f t="shared" si="102"/>
        <v>1</v>
      </c>
      <c r="CR33" s="149">
        <f t="shared" si="103"/>
        <v>1</v>
      </c>
      <c r="CS33" s="149">
        <f t="shared" si="104"/>
        <v>1</v>
      </c>
      <c r="CT33" s="149">
        <f t="shared" si="105"/>
        <v>1</v>
      </c>
      <c r="CU33" s="149">
        <f t="shared" si="106"/>
        <v>1</v>
      </c>
      <c r="CV33" s="149">
        <f t="shared" si="107"/>
        <v>1</v>
      </c>
      <c r="CW33" s="149">
        <f t="shared" si="108"/>
        <v>1</v>
      </c>
      <c r="CX33" s="149">
        <f t="shared" si="109"/>
        <v>1</v>
      </c>
      <c r="CY33" s="149">
        <f t="shared" si="110"/>
        <v>1</v>
      </c>
      <c r="CZ33" s="149">
        <f t="shared" si="111"/>
        <v>1</v>
      </c>
      <c r="DA33" s="149">
        <f t="shared" si="112"/>
        <v>1</v>
      </c>
      <c r="DB33" s="149">
        <f t="shared" si="113"/>
        <v>1</v>
      </c>
      <c r="DG33" s="125">
        <f t="shared" si="126"/>
        <v>1</v>
      </c>
      <c r="DH33" s="125">
        <f t="shared" si="114"/>
        <v>2</v>
      </c>
      <c r="DI33" s="125">
        <f t="shared" si="114"/>
        <v>3</v>
      </c>
      <c r="DJ33" s="125">
        <f t="shared" si="114"/>
        <v>4</v>
      </c>
      <c r="DK33" s="125">
        <f t="shared" si="114"/>
        <v>5</v>
      </c>
      <c r="DL33" s="125">
        <f t="shared" si="114"/>
        <v>6</v>
      </c>
      <c r="DM33" s="125">
        <f t="shared" si="114"/>
        <v>7</v>
      </c>
      <c r="DN33" s="125">
        <f t="shared" si="114"/>
        <v>8</v>
      </c>
      <c r="DO33" s="125">
        <f t="shared" si="114"/>
        <v>9</v>
      </c>
      <c r="DP33" s="125">
        <f t="shared" si="114"/>
        <v>10</v>
      </c>
      <c r="DS33" s="137"/>
      <c r="DT33" s="137"/>
      <c r="DU33" s="137"/>
      <c r="DV33" s="137" t="b">
        <f t="shared" si="115"/>
        <v>0</v>
      </c>
      <c r="DW33" s="137" t="b">
        <f t="shared" si="116"/>
        <v>0</v>
      </c>
      <c r="DX33" s="137" t="b">
        <f t="shared" si="117"/>
        <v>1</v>
      </c>
      <c r="EB33" s="131">
        <f t="shared" si="127"/>
        <v>1</v>
      </c>
      <c r="EC33" s="137" t="b">
        <f t="shared" si="118"/>
        <v>0</v>
      </c>
      <c r="ED33" s="137" t="b">
        <f t="shared" si="119"/>
        <v>0</v>
      </c>
      <c r="EE33" s="137" t="b">
        <f t="shared" si="120"/>
        <v>1</v>
      </c>
      <c r="EF33" s="137"/>
      <c r="EG33" s="137"/>
      <c r="EH33" s="137"/>
      <c r="EI33" s="137"/>
      <c r="EJ33" s="137">
        <f t="shared" si="128"/>
        <v>1</v>
      </c>
      <c r="EK33" s="125">
        <f t="shared" si="121"/>
        <v>0</v>
      </c>
      <c r="EL33" s="125">
        <f t="shared" si="122"/>
        <v>0</v>
      </c>
    </row>
    <row r="34" spans="2:142" ht="15.75" x14ac:dyDescent="0.2">
      <c r="B34" s="160">
        <f t="shared" si="123"/>
        <v>4</v>
      </c>
      <c r="C34" s="205">
        <v>1001347193</v>
      </c>
      <c r="D34" s="205">
        <v>1001266975</v>
      </c>
      <c r="E34" s="205">
        <v>40000118</v>
      </c>
      <c r="F34" s="118">
        <f>IF(OR(J34="",H34=""),"",VLOOKUP(J34,'הזנה לסיווג רשויות'!$B$2:$D$301,2,0))</f>
        <v>20000161</v>
      </c>
      <c r="G34" s="118" t="str">
        <f>IF(OR(J34="",H34=""),"",VLOOKUP(J34,'הזנה לסיווג רשויות'!$B$2:$D$301,3,0))</f>
        <v>מנשה</v>
      </c>
      <c r="H34" s="201" t="s">
        <v>539</v>
      </c>
      <c r="I34" s="201" t="s">
        <v>375</v>
      </c>
      <c r="J34" s="205">
        <v>14</v>
      </c>
      <c r="K34" s="161">
        <v>0</v>
      </c>
      <c r="L34" s="161">
        <v>1</v>
      </c>
      <c r="M34" s="161">
        <v>0</v>
      </c>
      <c r="N34" s="161">
        <v>1</v>
      </c>
      <c r="O34" s="161">
        <v>1</v>
      </c>
      <c r="P34" s="161">
        <v>1</v>
      </c>
      <c r="Q34" s="161">
        <v>1</v>
      </c>
      <c r="R34" s="201">
        <v>1467056</v>
      </c>
      <c r="S34" s="201">
        <v>1061155</v>
      </c>
      <c r="T34" s="160">
        <f>IF(G34="","",IFERROR(IF(S34/R34&gt;'פרמטרים לקריטריונים'!$C$20,1,0),0))</f>
        <v>1</v>
      </c>
      <c r="U34" s="201">
        <v>915851</v>
      </c>
      <c r="V34" s="160">
        <f>IF(G34="","",IFERROR(IF(U34/R34&gt;'פרמטרים לקריטריונים'!$C$21,1,IF(AND(I34=$BW$5,U34/R34&gt;'פרמטרים לקריטריונים'!$C$22),1,0)),0))</f>
        <v>1</v>
      </c>
      <c r="W34" s="161">
        <v>1</v>
      </c>
      <c r="X34" s="161">
        <v>1</v>
      </c>
      <c r="Y34" s="201">
        <v>590000</v>
      </c>
      <c r="Z34" s="201">
        <v>300000</v>
      </c>
      <c r="AA34" s="161">
        <f t="shared" si="124"/>
        <v>1</v>
      </c>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0"/>
      <c r="AX34" s="161"/>
      <c r="AY34" s="161"/>
      <c r="AZ34" s="161"/>
      <c r="BA34" s="161"/>
      <c r="BB34" s="161"/>
      <c r="BC34" s="161"/>
      <c r="BD34" s="161"/>
      <c r="BE34" s="161"/>
      <c r="BF34" s="160" t="str">
        <f t="shared" si="125"/>
        <v/>
      </c>
      <c r="BG34" s="160"/>
      <c r="BH34" s="160"/>
      <c r="BI34" s="160"/>
      <c r="BJ34" s="160"/>
      <c r="BK34" s="160"/>
      <c r="BL34" s="162">
        <f t="shared" si="75"/>
        <v>1</v>
      </c>
      <c r="BM34" s="257"/>
      <c r="BN34" s="163"/>
      <c r="BO34" s="211" t="str">
        <f t="shared" si="76"/>
        <v>מוזיאון חצר ראשונים עין שמרמוזיאונים</v>
      </c>
      <c r="BP34" s="125">
        <f t="shared" si="77"/>
        <v>1</v>
      </c>
      <c r="BQ34" s="164">
        <v>0</v>
      </c>
      <c r="BR34" s="164">
        <v>1</v>
      </c>
      <c r="BS34" s="149">
        <f t="shared" si="78"/>
        <v>1</v>
      </c>
      <c r="BT34" s="149">
        <f t="shared" si="79"/>
        <v>1</v>
      </c>
      <c r="BU34" s="149">
        <f t="shared" si="80"/>
        <v>1</v>
      </c>
      <c r="BV34" s="149">
        <f t="shared" si="81"/>
        <v>1</v>
      </c>
      <c r="BW34" s="149">
        <f t="shared" si="82"/>
        <v>1</v>
      </c>
      <c r="BX34" s="149">
        <f t="shared" si="83"/>
        <v>1</v>
      </c>
      <c r="BY34" s="149">
        <f t="shared" si="84"/>
        <v>1</v>
      </c>
      <c r="BZ34" s="149">
        <f t="shared" si="85"/>
        <v>1</v>
      </c>
      <c r="CA34" s="149">
        <f t="shared" si="86"/>
        <v>1</v>
      </c>
      <c r="CB34" s="149">
        <f t="shared" si="87"/>
        <v>1</v>
      </c>
      <c r="CC34" s="149">
        <f t="shared" si="88"/>
        <v>1</v>
      </c>
      <c r="CD34" s="149">
        <f t="shared" si="89"/>
        <v>1</v>
      </c>
      <c r="CE34" s="149">
        <f t="shared" si="90"/>
        <v>1</v>
      </c>
      <c r="CF34" s="149">
        <f t="shared" si="91"/>
        <v>1</v>
      </c>
      <c r="CG34" s="149">
        <f t="shared" si="92"/>
        <v>1</v>
      </c>
      <c r="CH34" s="149">
        <f t="shared" si="93"/>
        <v>1</v>
      </c>
      <c r="CI34" s="149">
        <f t="shared" si="94"/>
        <v>1</v>
      </c>
      <c r="CJ34" s="149">
        <f t="shared" si="95"/>
        <v>1</v>
      </c>
      <c r="CK34" s="149">
        <f t="shared" si="96"/>
        <v>1</v>
      </c>
      <c r="CL34" s="149">
        <f t="shared" si="97"/>
        <v>1</v>
      </c>
      <c r="CM34" s="149">
        <f t="shared" si="98"/>
        <v>1</v>
      </c>
      <c r="CN34" s="149">
        <f t="shared" si="99"/>
        <v>1</v>
      </c>
      <c r="CO34" s="149">
        <f t="shared" si="100"/>
        <v>1</v>
      </c>
      <c r="CP34" s="149">
        <f t="shared" si="101"/>
        <v>1</v>
      </c>
      <c r="CQ34" s="149">
        <f t="shared" si="102"/>
        <v>1</v>
      </c>
      <c r="CR34" s="149">
        <f t="shared" si="103"/>
        <v>1</v>
      </c>
      <c r="CS34" s="149">
        <f t="shared" si="104"/>
        <v>1</v>
      </c>
      <c r="CT34" s="149">
        <f t="shared" si="105"/>
        <v>1</v>
      </c>
      <c r="CU34" s="149">
        <f t="shared" si="106"/>
        <v>1</v>
      </c>
      <c r="CV34" s="149">
        <f t="shared" si="107"/>
        <v>1</v>
      </c>
      <c r="CW34" s="149">
        <f t="shared" si="108"/>
        <v>1</v>
      </c>
      <c r="CX34" s="149">
        <f t="shared" si="109"/>
        <v>1</v>
      </c>
      <c r="CY34" s="149">
        <f t="shared" si="110"/>
        <v>1</v>
      </c>
      <c r="CZ34" s="149">
        <f t="shared" si="111"/>
        <v>1</v>
      </c>
      <c r="DA34" s="149">
        <f t="shared" si="112"/>
        <v>1</v>
      </c>
      <c r="DB34" s="149">
        <f t="shared" si="113"/>
        <v>1</v>
      </c>
      <c r="DG34" s="125">
        <f t="shared" si="126"/>
        <v>1</v>
      </c>
      <c r="DH34" s="125">
        <f t="shared" si="114"/>
        <v>2</v>
      </c>
      <c r="DI34" s="125">
        <f t="shared" si="114"/>
        <v>3</v>
      </c>
      <c r="DJ34" s="125">
        <f t="shared" si="114"/>
        <v>4</v>
      </c>
      <c r="DK34" s="125">
        <f t="shared" si="114"/>
        <v>5</v>
      </c>
      <c r="DL34" s="125">
        <f t="shared" si="114"/>
        <v>6</v>
      </c>
      <c r="DM34" s="125">
        <f t="shared" si="114"/>
        <v>7</v>
      </c>
      <c r="DN34" s="125">
        <f t="shared" si="114"/>
        <v>8</v>
      </c>
      <c r="DO34" s="125">
        <f t="shared" si="114"/>
        <v>9</v>
      </c>
      <c r="DP34" s="125">
        <f t="shared" si="114"/>
        <v>10</v>
      </c>
      <c r="DS34" s="137"/>
      <c r="DT34" s="137"/>
      <c r="DU34" s="137"/>
      <c r="DV34" s="137" t="b">
        <f t="shared" si="115"/>
        <v>0</v>
      </c>
      <c r="DW34" s="137" t="b">
        <f t="shared" si="116"/>
        <v>0</v>
      </c>
      <c r="DX34" s="137" t="b">
        <f t="shared" si="117"/>
        <v>1</v>
      </c>
      <c r="EB34" s="131">
        <f t="shared" si="127"/>
        <v>1</v>
      </c>
      <c r="EC34" s="137" t="b">
        <f t="shared" si="118"/>
        <v>0</v>
      </c>
      <c r="ED34" s="137" t="b">
        <f t="shared" si="119"/>
        <v>0</v>
      </c>
      <c r="EE34" s="137" t="b">
        <f t="shared" si="120"/>
        <v>1</v>
      </c>
      <c r="EF34" s="137"/>
      <c r="EG34" s="137"/>
      <c r="EH34" s="137"/>
      <c r="EI34" s="137"/>
      <c r="EJ34" s="137">
        <f t="shared" si="128"/>
        <v>1</v>
      </c>
      <c r="EK34" s="125">
        <f t="shared" si="121"/>
        <v>0</v>
      </c>
      <c r="EL34" s="125">
        <f t="shared" si="122"/>
        <v>0</v>
      </c>
    </row>
    <row r="35" spans="2:142" ht="15.75" x14ac:dyDescent="0.25">
      <c r="B35" s="160">
        <f t="shared" si="123"/>
        <v>5</v>
      </c>
      <c r="C35" s="205">
        <v>1001349260</v>
      </c>
      <c r="D35" s="205">
        <v>1001276615</v>
      </c>
      <c r="E35" s="205">
        <v>40000478</v>
      </c>
      <c r="F35" s="118">
        <f>IF(OR(J35="",H35=""),"",VLOOKUP(J35,'הזנה לסיווג רשויות'!$B$2:$D$301,2,0))</f>
        <v>20000201</v>
      </c>
      <c r="G35" s="118" t="str">
        <f>IF(OR(J35="",H35=""),"",VLOOKUP(J35,'הזנה לסיווג רשויות'!$B$2:$D$301,3,0))</f>
        <v>תל אביב -יפו</v>
      </c>
      <c r="H35" s="281" t="s">
        <v>603</v>
      </c>
      <c r="I35" s="201" t="s">
        <v>373</v>
      </c>
      <c r="J35" s="205">
        <v>5000</v>
      </c>
      <c r="K35" s="161">
        <v>0</v>
      </c>
      <c r="L35" s="161">
        <v>1</v>
      </c>
      <c r="M35" s="161">
        <v>0</v>
      </c>
      <c r="N35" s="161">
        <v>1</v>
      </c>
      <c r="O35" s="161">
        <v>1</v>
      </c>
      <c r="P35" s="161">
        <v>1</v>
      </c>
      <c r="Q35" s="161">
        <v>1</v>
      </c>
      <c r="R35" s="201">
        <v>16867224</v>
      </c>
      <c r="S35" s="201">
        <v>6943968</v>
      </c>
      <c r="T35" s="160">
        <f>IF(G35="","",IFERROR(IF(S35/R35&gt;'פרמטרים לקריטריונים'!$C$20,1,0),0))</f>
        <v>1</v>
      </c>
      <c r="U35" s="201">
        <v>6400391</v>
      </c>
      <c r="V35" s="160">
        <f>IF(G35="","",IFERROR(IF(U35/R35&gt;'פרמטרים לקריטריונים'!$C$21,1,IF(AND(I35=$BW$5,U35/R35&gt;'פרמטרים לקריטריונים'!$C$22),1,0)),0))</f>
        <v>1</v>
      </c>
      <c r="W35" s="161">
        <v>1</v>
      </c>
      <c r="X35" s="161">
        <v>1</v>
      </c>
      <c r="Y35" s="201">
        <v>6400000</v>
      </c>
      <c r="Z35" s="201">
        <v>1000000</v>
      </c>
      <c r="AA35" s="161">
        <f t="shared" si="124"/>
        <v>1</v>
      </c>
      <c r="AB35" s="161"/>
      <c r="AC35" s="161"/>
      <c r="AD35" s="161"/>
      <c r="AE35" s="161"/>
      <c r="AF35" s="161"/>
      <c r="AG35" s="161"/>
      <c r="AH35" s="161"/>
      <c r="AI35" s="161"/>
      <c r="AJ35" s="161"/>
      <c r="AK35" s="161"/>
      <c r="AL35" s="161"/>
      <c r="AM35" s="161"/>
      <c r="AN35" s="161"/>
      <c r="AO35" s="161"/>
      <c r="AP35" s="161"/>
      <c r="AQ35" s="161"/>
      <c r="AR35" s="161"/>
      <c r="AS35" s="161"/>
      <c r="AT35" s="161"/>
      <c r="AU35" s="161"/>
      <c r="AV35" s="161"/>
      <c r="AW35" s="160"/>
      <c r="AX35" s="161"/>
      <c r="AY35" s="161"/>
      <c r="AZ35" s="161"/>
      <c r="BA35" s="161"/>
      <c r="BB35" s="161"/>
      <c r="BC35" s="161"/>
      <c r="BD35" s="161"/>
      <c r="BE35" s="161"/>
      <c r="BF35" s="160" t="str">
        <f t="shared" si="125"/>
        <v/>
      </c>
      <c r="BG35" s="160"/>
      <c r="BH35" s="160"/>
      <c r="BI35" s="160"/>
      <c r="BJ35" s="160"/>
      <c r="BK35" s="160"/>
      <c r="BL35" s="162">
        <f t="shared" si="75"/>
        <v>1</v>
      </c>
      <c r="BM35" s="257"/>
      <c r="BN35" s="163"/>
      <c r="BO35" s="211" t="str">
        <f t="shared" si="76"/>
        <v>תיאטרון היידישפילתיאטרון</v>
      </c>
      <c r="BP35" s="125">
        <f t="shared" si="77"/>
        <v>1</v>
      </c>
      <c r="BQ35" s="164">
        <v>0</v>
      </c>
      <c r="BR35" s="164">
        <v>1</v>
      </c>
      <c r="BS35" s="149">
        <f t="shared" si="78"/>
        <v>1</v>
      </c>
      <c r="BT35" s="149">
        <f t="shared" si="79"/>
        <v>1</v>
      </c>
      <c r="BU35" s="149">
        <f t="shared" si="80"/>
        <v>1</v>
      </c>
      <c r="BV35" s="149">
        <f t="shared" si="81"/>
        <v>1</v>
      </c>
      <c r="BW35" s="149">
        <f t="shared" si="82"/>
        <v>1</v>
      </c>
      <c r="BX35" s="149">
        <f t="shared" si="83"/>
        <v>1</v>
      </c>
      <c r="BY35" s="149">
        <f t="shared" si="84"/>
        <v>1</v>
      </c>
      <c r="BZ35" s="149">
        <f t="shared" si="85"/>
        <v>1</v>
      </c>
      <c r="CA35" s="149">
        <f t="shared" si="86"/>
        <v>1</v>
      </c>
      <c r="CB35" s="149">
        <f t="shared" si="87"/>
        <v>1</v>
      </c>
      <c r="CC35" s="149">
        <f t="shared" si="88"/>
        <v>1</v>
      </c>
      <c r="CD35" s="149">
        <f t="shared" si="89"/>
        <v>1</v>
      </c>
      <c r="CE35" s="149">
        <f t="shared" si="90"/>
        <v>1</v>
      </c>
      <c r="CF35" s="149">
        <f t="shared" si="91"/>
        <v>1</v>
      </c>
      <c r="CG35" s="149">
        <f t="shared" si="92"/>
        <v>1</v>
      </c>
      <c r="CH35" s="149">
        <f t="shared" si="93"/>
        <v>1</v>
      </c>
      <c r="CI35" s="149">
        <f t="shared" si="94"/>
        <v>1</v>
      </c>
      <c r="CJ35" s="149">
        <f t="shared" si="95"/>
        <v>1</v>
      </c>
      <c r="CK35" s="149">
        <f t="shared" si="96"/>
        <v>1</v>
      </c>
      <c r="CL35" s="149">
        <f t="shared" si="97"/>
        <v>1</v>
      </c>
      <c r="CM35" s="149">
        <f t="shared" si="98"/>
        <v>1</v>
      </c>
      <c r="CN35" s="149">
        <f t="shared" si="99"/>
        <v>1</v>
      </c>
      <c r="CO35" s="149">
        <f t="shared" si="100"/>
        <v>1</v>
      </c>
      <c r="CP35" s="149">
        <f t="shared" si="101"/>
        <v>1</v>
      </c>
      <c r="CQ35" s="149">
        <f t="shared" si="102"/>
        <v>1</v>
      </c>
      <c r="CR35" s="149">
        <f t="shared" si="103"/>
        <v>1</v>
      </c>
      <c r="CS35" s="149">
        <f t="shared" si="104"/>
        <v>1</v>
      </c>
      <c r="CT35" s="149">
        <f t="shared" si="105"/>
        <v>1</v>
      </c>
      <c r="CU35" s="149">
        <f t="shared" si="106"/>
        <v>1</v>
      </c>
      <c r="CV35" s="149">
        <f t="shared" si="107"/>
        <v>1</v>
      </c>
      <c r="CW35" s="149">
        <f t="shared" si="108"/>
        <v>1</v>
      </c>
      <c r="CX35" s="149">
        <f t="shared" si="109"/>
        <v>1</v>
      </c>
      <c r="CY35" s="149">
        <f t="shared" si="110"/>
        <v>1</v>
      </c>
      <c r="CZ35" s="149">
        <f t="shared" si="111"/>
        <v>1</v>
      </c>
      <c r="DA35" s="149">
        <f t="shared" si="112"/>
        <v>1</v>
      </c>
      <c r="DB35" s="149">
        <f t="shared" si="113"/>
        <v>1</v>
      </c>
      <c r="DG35" s="125">
        <f t="shared" si="126"/>
        <v>1</v>
      </c>
      <c r="DH35" s="125">
        <f t="shared" si="114"/>
        <v>2</v>
      </c>
      <c r="DI35" s="125">
        <f t="shared" si="114"/>
        <v>3</v>
      </c>
      <c r="DJ35" s="125">
        <f t="shared" si="114"/>
        <v>4</v>
      </c>
      <c r="DK35" s="125">
        <f t="shared" si="114"/>
        <v>5</v>
      </c>
      <c r="DL35" s="125">
        <f t="shared" si="114"/>
        <v>6</v>
      </c>
      <c r="DM35" s="125">
        <f t="shared" si="114"/>
        <v>7</v>
      </c>
      <c r="DN35" s="125">
        <f t="shared" si="114"/>
        <v>8</v>
      </c>
      <c r="DO35" s="125">
        <f t="shared" si="114"/>
        <v>9</v>
      </c>
      <c r="DP35" s="125">
        <f t="shared" si="114"/>
        <v>10</v>
      </c>
      <c r="DS35" s="137"/>
      <c r="DT35" s="137"/>
      <c r="DU35" s="137"/>
      <c r="DV35" s="137" t="b">
        <f t="shared" si="115"/>
        <v>0</v>
      </c>
      <c r="DW35" s="137" t="b">
        <f t="shared" si="116"/>
        <v>0</v>
      </c>
      <c r="DX35" s="137" t="b">
        <f t="shared" si="117"/>
        <v>1</v>
      </c>
      <c r="EB35" s="131">
        <f t="shared" si="127"/>
        <v>1</v>
      </c>
      <c r="EC35" s="137" t="b">
        <f t="shared" si="118"/>
        <v>0</v>
      </c>
      <c r="ED35" s="137" t="b">
        <f t="shared" si="119"/>
        <v>0</v>
      </c>
      <c r="EE35" s="137" t="b">
        <f t="shared" si="120"/>
        <v>1</v>
      </c>
      <c r="EF35" s="137"/>
      <c r="EG35" s="137"/>
      <c r="EH35" s="137"/>
      <c r="EI35" s="137"/>
      <c r="EJ35" s="137">
        <f t="shared" si="128"/>
        <v>1</v>
      </c>
      <c r="EK35" s="125">
        <f t="shared" si="121"/>
        <v>0</v>
      </c>
      <c r="EL35" s="125">
        <f t="shared" si="122"/>
        <v>0</v>
      </c>
    </row>
    <row r="36" spans="2:142" ht="15.75" x14ac:dyDescent="0.2">
      <c r="B36" s="160">
        <f t="shared" si="123"/>
        <v>6</v>
      </c>
      <c r="C36" s="205">
        <v>1001350859</v>
      </c>
      <c r="D36" s="205">
        <v>1001263559</v>
      </c>
      <c r="E36" s="205">
        <v>40000062</v>
      </c>
      <c r="F36" s="118">
        <f>IF(OR(J36="",H36=""),"",VLOOKUP(J36,'הזנה לסיווג רשויות'!$B$2:$D$301,2,0))</f>
        <v>20000201</v>
      </c>
      <c r="G36" s="118" t="str">
        <f>IF(OR(J36="",H36=""),"",VLOOKUP(J36,'הזנה לסיווג רשויות'!$B$2:$D$301,3,0))</f>
        <v>תל אביב -יפו</v>
      </c>
      <c r="H36" s="201" t="s">
        <v>540</v>
      </c>
      <c r="I36" s="201" t="s">
        <v>374</v>
      </c>
      <c r="J36" s="205">
        <v>5000</v>
      </c>
      <c r="K36" s="161">
        <v>0</v>
      </c>
      <c r="L36" s="161">
        <v>1</v>
      </c>
      <c r="M36" s="161">
        <v>0</v>
      </c>
      <c r="N36" s="161">
        <v>1</v>
      </c>
      <c r="O36" s="161">
        <v>1</v>
      </c>
      <c r="P36" s="161">
        <v>1</v>
      </c>
      <c r="Q36" s="161">
        <v>1</v>
      </c>
      <c r="R36" s="201">
        <v>27399876</v>
      </c>
      <c r="S36" s="201">
        <v>20933344</v>
      </c>
      <c r="T36" s="160">
        <f>IF(G36="","",IFERROR(IF(S36/R36&gt;'פרמטרים לקריטריונים'!$C$20,1,0),0))</f>
        <v>1</v>
      </c>
      <c r="U36" s="201">
        <v>20149207</v>
      </c>
      <c r="V36" s="160">
        <f>IF(G36="","",IFERROR(IF(U36/R36&gt;'פרמטרים לקריטריונים'!$C$21,1,IF(AND(I36=$BW$5,U36/R36&gt;'פרמטרים לקריטריונים'!$C$22),1,0)),0))</f>
        <v>1</v>
      </c>
      <c r="W36" s="161">
        <v>1</v>
      </c>
      <c r="X36" s="161">
        <v>1</v>
      </c>
      <c r="Y36" s="201">
        <v>1250000</v>
      </c>
      <c r="Z36" s="201">
        <v>150000</v>
      </c>
      <c r="AA36" s="161">
        <f t="shared" si="124"/>
        <v>1</v>
      </c>
      <c r="AB36" s="161"/>
      <c r="AC36" s="161"/>
      <c r="AD36" s="161"/>
      <c r="AE36" s="161"/>
      <c r="AF36" s="161"/>
      <c r="AG36" s="161"/>
      <c r="AH36" s="161"/>
      <c r="AI36" s="161"/>
      <c r="AJ36" s="161"/>
      <c r="AK36" s="161"/>
      <c r="AL36" s="161"/>
      <c r="AM36" s="161"/>
      <c r="AN36" s="161"/>
      <c r="AO36" s="161"/>
      <c r="AP36" s="161"/>
      <c r="AQ36" s="161"/>
      <c r="AR36" s="161"/>
      <c r="AS36" s="161"/>
      <c r="AT36" s="161"/>
      <c r="AU36" s="161"/>
      <c r="AV36" s="161"/>
      <c r="AW36" s="160"/>
      <c r="AX36" s="161"/>
      <c r="AY36" s="161"/>
      <c r="AZ36" s="161"/>
      <c r="BA36" s="161"/>
      <c r="BB36" s="161"/>
      <c r="BC36" s="161"/>
      <c r="BD36" s="161"/>
      <c r="BE36" s="161"/>
      <c r="BF36" s="160" t="str">
        <f t="shared" si="125"/>
        <v/>
      </c>
      <c r="BG36" s="160"/>
      <c r="BH36" s="160"/>
      <c r="BI36" s="160"/>
      <c r="BJ36" s="160"/>
      <c r="BK36" s="160"/>
      <c r="BL36" s="162">
        <f t="shared" si="75"/>
        <v>1</v>
      </c>
      <c r="BM36" s="257"/>
      <c r="BN36" s="163"/>
      <c r="BO36" s="211" t="str">
        <f t="shared" si="76"/>
        <v>תיאטרון אורנה פורת לילדיםמחול</v>
      </c>
      <c r="BP36" s="125">
        <f t="shared" si="77"/>
        <v>1</v>
      </c>
      <c r="BQ36" s="164">
        <v>0</v>
      </c>
      <c r="BR36" s="164">
        <v>1</v>
      </c>
      <c r="BS36" s="149">
        <f t="shared" si="78"/>
        <v>1</v>
      </c>
      <c r="BT36" s="149">
        <f t="shared" si="79"/>
        <v>1</v>
      </c>
      <c r="BU36" s="149">
        <f t="shared" si="80"/>
        <v>1</v>
      </c>
      <c r="BV36" s="149">
        <f t="shared" si="81"/>
        <v>1</v>
      </c>
      <c r="BW36" s="149">
        <f t="shared" si="82"/>
        <v>1</v>
      </c>
      <c r="BX36" s="149">
        <f t="shared" si="83"/>
        <v>1</v>
      </c>
      <c r="BY36" s="149">
        <f t="shared" si="84"/>
        <v>1</v>
      </c>
      <c r="BZ36" s="149">
        <f t="shared" si="85"/>
        <v>1</v>
      </c>
      <c r="CA36" s="149">
        <f t="shared" si="86"/>
        <v>1</v>
      </c>
      <c r="CB36" s="149">
        <f t="shared" si="87"/>
        <v>1</v>
      </c>
      <c r="CC36" s="149">
        <f t="shared" si="88"/>
        <v>1</v>
      </c>
      <c r="CD36" s="149">
        <f t="shared" si="89"/>
        <v>1</v>
      </c>
      <c r="CE36" s="149">
        <f t="shared" si="90"/>
        <v>1</v>
      </c>
      <c r="CF36" s="149">
        <f t="shared" si="91"/>
        <v>1</v>
      </c>
      <c r="CG36" s="149">
        <f t="shared" si="92"/>
        <v>1</v>
      </c>
      <c r="CH36" s="149">
        <f t="shared" si="93"/>
        <v>1</v>
      </c>
      <c r="CI36" s="149">
        <f t="shared" si="94"/>
        <v>1</v>
      </c>
      <c r="CJ36" s="149">
        <f t="shared" si="95"/>
        <v>1</v>
      </c>
      <c r="CK36" s="149">
        <f t="shared" si="96"/>
        <v>1</v>
      </c>
      <c r="CL36" s="149">
        <f t="shared" si="97"/>
        <v>1</v>
      </c>
      <c r="CM36" s="149">
        <f t="shared" si="98"/>
        <v>1</v>
      </c>
      <c r="CN36" s="149">
        <f t="shared" si="99"/>
        <v>1</v>
      </c>
      <c r="CO36" s="149">
        <f t="shared" si="100"/>
        <v>1</v>
      </c>
      <c r="CP36" s="149">
        <f t="shared" si="101"/>
        <v>1</v>
      </c>
      <c r="CQ36" s="149">
        <f t="shared" si="102"/>
        <v>1</v>
      </c>
      <c r="CR36" s="149">
        <f t="shared" si="103"/>
        <v>1</v>
      </c>
      <c r="CS36" s="149">
        <f t="shared" si="104"/>
        <v>1</v>
      </c>
      <c r="CT36" s="149">
        <f t="shared" si="105"/>
        <v>1</v>
      </c>
      <c r="CU36" s="149">
        <f t="shared" si="106"/>
        <v>1</v>
      </c>
      <c r="CV36" s="149">
        <f t="shared" si="107"/>
        <v>1</v>
      </c>
      <c r="CW36" s="149">
        <f t="shared" si="108"/>
        <v>1</v>
      </c>
      <c r="CX36" s="149">
        <f t="shared" si="109"/>
        <v>1</v>
      </c>
      <c r="CY36" s="149">
        <f t="shared" si="110"/>
        <v>1</v>
      </c>
      <c r="CZ36" s="149">
        <f t="shared" si="111"/>
        <v>1</v>
      </c>
      <c r="DA36" s="149">
        <f t="shared" si="112"/>
        <v>1</v>
      </c>
      <c r="DB36" s="149">
        <f t="shared" si="113"/>
        <v>1</v>
      </c>
      <c r="DG36" s="125">
        <f t="shared" si="126"/>
        <v>1</v>
      </c>
      <c r="DH36" s="125">
        <f t="shared" si="114"/>
        <v>2</v>
      </c>
      <c r="DI36" s="125">
        <f t="shared" si="114"/>
        <v>3</v>
      </c>
      <c r="DJ36" s="125">
        <f t="shared" si="114"/>
        <v>4</v>
      </c>
      <c r="DK36" s="125">
        <f t="shared" si="114"/>
        <v>5</v>
      </c>
      <c r="DL36" s="125">
        <f t="shared" si="114"/>
        <v>6</v>
      </c>
      <c r="DM36" s="125">
        <f t="shared" si="114"/>
        <v>7</v>
      </c>
      <c r="DN36" s="125">
        <f t="shared" si="114"/>
        <v>8</v>
      </c>
      <c r="DO36" s="125">
        <f t="shared" si="114"/>
        <v>9</v>
      </c>
      <c r="DP36" s="125">
        <f t="shared" si="114"/>
        <v>10</v>
      </c>
      <c r="DS36" s="137"/>
      <c r="DT36" s="137"/>
      <c r="DU36" s="137"/>
      <c r="DV36" s="137" t="b">
        <f t="shared" si="115"/>
        <v>0</v>
      </c>
      <c r="DW36" s="137" t="b">
        <f t="shared" si="116"/>
        <v>0</v>
      </c>
      <c r="DX36" s="137" t="b">
        <f t="shared" si="117"/>
        <v>1</v>
      </c>
      <c r="EB36" s="131">
        <f t="shared" si="127"/>
        <v>1</v>
      </c>
      <c r="EC36" s="137" t="b">
        <f t="shared" si="118"/>
        <v>0</v>
      </c>
      <c r="ED36" s="137" t="b">
        <f t="shared" si="119"/>
        <v>0</v>
      </c>
      <c r="EE36" s="137" t="b">
        <f t="shared" si="120"/>
        <v>1</v>
      </c>
      <c r="EF36" s="137"/>
      <c r="EG36" s="137"/>
      <c r="EH36" s="137"/>
      <c r="EI36" s="137"/>
      <c r="EJ36" s="137">
        <f t="shared" si="128"/>
        <v>1</v>
      </c>
      <c r="EK36" s="125">
        <f t="shared" si="121"/>
        <v>0</v>
      </c>
      <c r="EL36" s="125">
        <f t="shared" si="122"/>
        <v>0</v>
      </c>
    </row>
    <row r="37" spans="2:142" ht="15.75" x14ac:dyDescent="0.2">
      <c r="B37" s="160">
        <f t="shared" si="123"/>
        <v>7</v>
      </c>
      <c r="C37" s="205">
        <v>1001347316</v>
      </c>
      <c r="D37" s="205">
        <v>1001278100</v>
      </c>
      <c r="E37" s="205">
        <v>40000007</v>
      </c>
      <c r="F37" s="118">
        <f>IF(OR(J37="",H37=""),"",VLOOKUP(J37,'הזנה לסיווג רשויות'!$B$2:$D$301,2,0))</f>
        <v>20000135</v>
      </c>
      <c r="G37" s="118" t="str">
        <f>IF(OR(J37="",H37=""),"",VLOOKUP(J37,'הזנה לסיווג רשויות'!$B$2:$D$301,3,0))</f>
        <v>הגלבוע</v>
      </c>
      <c r="H37" s="201" t="s">
        <v>541</v>
      </c>
      <c r="I37" s="201" t="s">
        <v>375</v>
      </c>
      <c r="J37" s="205">
        <v>8</v>
      </c>
      <c r="K37" s="161">
        <v>0</v>
      </c>
      <c r="L37" s="161">
        <v>1</v>
      </c>
      <c r="M37" s="161">
        <v>0</v>
      </c>
      <c r="N37" s="161">
        <v>0</v>
      </c>
      <c r="O37" s="161">
        <v>1</v>
      </c>
      <c r="P37" s="161">
        <v>1</v>
      </c>
      <c r="Q37" s="161">
        <v>1</v>
      </c>
      <c r="R37" s="201">
        <v>2480000</v>
      </c>
      <c r="S37" s="201">
        <v>1765000</v>
      </c>
      <c r="T37" s="160">
        <f>IF(G37="","",IFERROR(IF(S37/R37&gt;'פרמטרים לקריטריונים'!$C$20,1,0),0))</f>
        <v>1</v>
      </c>
      <c r="U37" s="201">
        <v>792000</v>
      </c>
      <c r="V37" s="160">
        <f>IF(G37="","",IFERROR(IF(U37/R37&gt;'פרמטרים לקריטריונים'!$C$21,1,IF(AND(I37=$BW$5,U37/R37&gt;'פרמטרים לקריטריונים'!$C$22),1,0)),0))</f>
        <v>1</v>
      </c>
      <c r="W37" s="161">
        <v>1</v>
      </c>
      <c r="X37" s="161">
        <v>1</v>
      </c>
      <c r="Y37" s="201">
        <v>1103000</v>
      </c>
      <c r="Z37" s="201">
        <v>1103000</v>
      </c>
      <c r="AA37" s="161">
        <f t="shared" si="124"/>
        <v>1</v>
      </c>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0"/>
      <c r="AX37" s="161"/>
      <c r="AY37" s="161"/>
      <c r="AZ37" s="161"/>
      <c r="BA37" s="161"/>
      <c r="BB37" s="161"/>
      <c r="BC37" s="161"/>
      <c r="BD37" s="161"/>
      <c r="BE37" s="161"/>
      <c r="BF37" s="160" t="str">
        <f t="shared" si="125"/>
        <v/>
      </c>
      <c r="BG37" s="160"/>
      <c r="BH37" s="160"/>
      <c r="BI37" s="160"/>
      <c r="BJ37" s="160"/>
      <c r="BK37" s="160"/>
      <c r="BL37" s="162">
        <f t="shared" si="75"/>
        <v>1</v>
      </c>
      <c r="BM37" s="257"/>
      <c r="BN37" s="163"/>
      <c r="BO37" s="211" t="str">
        <f t="shared" si="76"/>
        <v>משכן לאמנות עין חרוד ע"ש חיים אתר בע"ממוזיאונים</v>
      </c>
      <c r="BP37" s="125">
        <f t="shared" si="77"/>
        <v>1</v>
      </c>
      <c r="BQ37" s="164">
        <v>0</v>
      </c>
      <c r="BR37" s="164">
        <v>1</v>
      </c>
      <c r="BS37" s="149">
        <f t="shared" si="78"/>
        <v>1</v>
      </c>
      <c r="BT37" s="149">
        <f t="shared" si="79"/>
        <v>1</v>
      </c>
      <c r="BU37" s="149">
        <f t="shared" si="80"/>
        <v>1</v>
      </c>
      <c r="BV37" s="149">
        <f t="shared" si="81"/>
        <v>1</v>
      </c>
      <c r="BW37" s="149">
        <f t="shared" si="82"/>
        <v>1</v>
      </c>
      <c r="BX37" s="149">
        <f t="shared" si="83"/>
        <v>1</v>
      </c>
      <c r="BY37" s="149">
        <f t="shared" si="84"/>
        <v>1</v>
      </c>
      <c r="BZ37" s="149">
        <f t="shared" si="85"/>
        <v>1</v>
      </c>
      <c r="CA37" s="149">
        <f t="shared" si="86"/>
        <v>1</v>
      </c>
      <c r="CB37" s="149">
        <f t="shared" si="87"/>
        <v>1</v>
      </c>
      <c r="CC37" s="149">
        <f t="shared" si="88"/>
        <v>1</v>
      </c>
      <c r="CD37" s="149">
        <f t="shared" si="89"/>
        <v>1</v>
      </c>
      <c r="CE37" s="149">
        <f t="shared" si="90"/>
        <v>1</v>
      </c>
      <c r="CF37" s="149">
        <f t="shared" si="91"/>
        <v>1</v>
      </c>
      <c r="CG37" s="149">
        <f t="shared" si="92"/>
        <v>1</v>
      </c>
      <c r="CH37" s="149">
        <f t="shared" si="93"/>
        <v>1</v>
      </c>
      <c r="CI37" s="149">
        <f t="shared" si="94"/>
        <v>1</v>
      </c>
      <c r="CJ37" s="149">
        <f t="shared" si="95"/>
        <v>1</v>
      </c>
      <c r="CK37" s="149">
        <f t="shared" si="96"/>
        <v>1</v>
      </c>
      <c r="CL37" s="149">
        <f t="shared" si="97"/>
        <v>1</v>
      </c>
      <c r="CM37" s="149">
        <f t="shared" si="98"/>
        <v>1</v>
      </c>
      <c r="CN37" s="149">
        <f t="shared" si="99"/>
        <v>1</v>
      </c>
      <c r="CO37" s="149">
        <f t="shared" si="100"/>
        <v>1</v>
      </c>
      <c r="CP37" s="149">
        <f t="shared" si="101"/>
        <v>1</v>
      </c>
      <c r="CQ37" s="149">
        <f t="shared" si="102"/>
        <v>1</v>
      </c>
      <c r="CR37" s="149">
        <f t="shared" si="103"/>
        <v>1</v>
      </c>
      <c r="CS37" s="149">
        <f t="shared" si="104"/>
        <v>1</v>
      </c>
      <c r="CT37" s="149">
        <f t="shared" si="105"/>
        <v>1</v>
      </c>
      <c r="CU37" s="149">
        <f t="shared" si="106"/>
        <v>1</v>
      </c>
      <c r="CV37" s="149">
        <f t="shared" si="107"/>
        <v>1</v>
      </c>
      <c r="CW37" s="149">
        <f t="shared" si="108"/>
        <v>1</v>
      </c>
      <c r="CX37" s="149">
        <f t="shared" si="109"/>
        <v>1</v>
      </c>
      <c r="CY37" s="149">
        <f t="shared" si="110"/>
        <v>1</v>
      </c>
      <c r="CZ37" s="149">
        <f t="shared" si="111"/>
        <v>1</v>
      </c>
      <c r="DA37" s="149">
        <f t="shared" si="112"/>
        <v>1</v>
      </c>
      <c r="DB37" s="149">
        <f t="shared" si="113"/>
        <v>1</v>
      </c>
      <c r="DG37" s="125">
        <f t="shared" si="126"/>
        <v>1</v>
      </c>
      <c r="DH37" s="125">
        <f t="shared" si="114"/>
        <v>2</v>
      </c>
      <c r="DI37" s="125">
        <f t="shared" si="114"/>
        <v>3</v>
      </c>
      <c r="DJ37" s="125">
        <f t="shared" si="114"/>
        <v>4</v>
      </c>
      <c r="DK37" s="125">
        <f t="shared" si="114"/>
        <v>5</v>
      </c>
      <c r="DL37" s="125">
        <f t="shared" si="114"/>
        <v>6</v>
      </c>
      <c r="DM37" s="125">
        <f t="shared" si="114"/>
        <v>7</v>
      </c>
      <c r="DN37" s="125">
        <f t="shared" si="114"/>
        <v>8</v>
      </c>
      <c r="DO37" s="125">
        <f t="shared" si="114"/>
        <v>9</v>
      </c>
      <c r="DP37" s="125">
        <f t="shared" si="114"/>
        <v>10</v>
      </c>
      <c r="DS37" s="137"/>
      <c r="DT37" s="137"/>
      <c r="DU37" s="137"/>
      <c r="DV37" s="137" t="b">
        <f t="shared" si="115"/>
        <v>0</v>
      </c>
      <c r="DW37" s="137" t="b">
        <f t="shared" si="116"/>
        <v>0</v>
      </c>
      <c r="DX37" s="137" t="b">
        <f t="shared" si="117"/>
        <v>1</v>
      </c>
      <c r="EB37" s="131">
        <f t="shared" si="127"/>
        <v>1</v>
      </c>
      <c r="EC37" s="137" t="b">
        <f t="shared" si="118"/>
        <v>0</v>
      </c>
      <c r="ED37" s="137" t="b">
        <f t="shared" si="119"/>
        <v>0</v>
      </c>
      <c r="EE37" s="137" t="b">
        <f t="shared" si="120"/>
        <v>1</v>
      </c>
      <c r="EF37" s="137"/>
      <c r="EG37" s="137"/>
      <c r="EH37" s="137"/>
      <c r="EI37" s="137"/>
      <c r="EJ37" s="137">
        <f t="shared" si="128"/>
        <v>1</v>
      </c>
      <c r="EK37" s="125">
        <f t="shared" si="121"/>
        <v>0</v>
      </c>
      <c r="EL37" s="125">
        <f t="shared" si="122"/>
        <v>0</v>
      </c>
    </row>
    <row r="38" spans="2:142" ht="15.75" x14ac:dyDescent="0.25">
      <c r="B38" s="160">
        <f t="shared" si="123"/>
        <v>8</v>
      </c>
      <c r="C38" s="205">
        <v>1001349107</v>
      </c>
      <c r="D38" s="205">
        <v>1001277535</v>
      </c>
      <c r="E38" s="205">
        <v>40000019</v>
      </c>
      <c r="F38" s="118">
        <f>IF(OR(J38="",H38=""),"",VLOOKUP(J38,'הזנה לסיווג רשויות'!$B$2:$D$301,2,0))</f>
        <v>20000159</v>
      </c>
      <c r="G38" s="118" t="str">
        <f>IF(OR(J38="",H38=""),"",VLOOKUP(J38,'הזנה לסיווג רשויות'!$B$2:$D$301,3,0))</f>
        <v>ירושלים</v>
      </c>
      <c r="H38" s="281" t="s">
        <v>535</v>
      </c>
      <c r="I38" s="201" t="s">
        <v>381</v>
      </c>
      <c r="J38" s="205">
        <v>3000</v>
      </c>
      <c r="K38" s="161">
        <v>0</v>
      </c>
      <c r="L38" s="161">
        <v>1</v>
      </c>
      <c r="M38" s="161">
        <v>0</v>
      </c>
      <c r="N38" s="161">
        <v>1</v>
      </c>
      <c r="O38" s="161">
        <v>1</v>
      </c>
      <c r="P38" s="161">
        <v>1</v>
      </c>
      <c r="Q38" s="161">
        <v>1</v>
      </c>
      <c r="R38" s="201">
        <v>624726</v>
      </c>
      <c r="S38" s="201">
        <v>337841</v>
      </c>
      <c r="T38" s="160">
        <f>IF(G38="","",IFERROR(IF(S38/R38&gt;'פרמטרים לקריטריונים'!$C$20,1,0),0))</f>
        <v>1</v>
      </c>
      <c r="U38" s="201">
        <v>156576</v>
      </c>
      <c r="V38" s="160">
        <f>IF(G38="","",IFERROR(IF(U38/R38&gt;'פרמטרים לקריטריונים'!$C$21,1,IF(AND(I38=$BW$5,U38/R38&gt;'פרמטרים לקריטריונים'!$C$22),1,0)),0))</f>
        <v>1</v>
      </c>
      <c r="W38" s="161">
        <v>1</v>
      </c>
      <c r="X38" s="161">
        <v>1</v>
      </c>
      <c r="Y38" s="201">
        <v>150000</v>
      </c>
      <c r="Z38" s="201">
        <v>150000</v>
      </c>
      <c r="AA38" s="161">
        <f t="shared" si="124"/>
        <v>1</v>
      </c>
      <c r="AB38" s="161"/>
      <c r="AC38" s="161"/>
      <c r="AD38" s="161"/>
      <c r="AE38" s="161"/>
      <c r="AF38" s="161"/>
      <c r="AG38" s="161"/>
      <c r="AH38" s="161"/>
      <c r="AI38" s="161"/>
      <c r="AJ38" s="161"/>
      <c r="AK38" s="161"/>
      <c r="AL38" s="161"/>
      <c r="AM38" s="161"/>
      <c r="AN38" s="161"/>
      <c r="AO38" s="161"/>
      <c r="AP38" s="161"/>
      <c r="AQ38" s="161"/>
      <c r="AR38" s="161"/>
      <c r="AS38" s="161"/>
      <c r="AT38" s="161"/>
      <c r="AU38" s="161"/>
      <c r="AV38" s="161"/>
      <c r="AW38" s="160"/>
      <c r="AX38" s="161"/>
      <c r="AY38" s="161"/>
      <c r="AZ38" s="161"/>
      <c r="BA38" s="161"/>
      <c r="BB38" s="161"/>
      <c r="BC38" s="161"/>
      <c r="BD38" s="161"/>
      <c r="BE38" s="161"/>
      <c r="BF38" s="160" t="str">
        <f t="shared" si="125"/>
        <v/>
      </c>
      <c r="BG38" s="160"/>
      <c r="BH38" s="160"/>
      <c r="BI38" s="160"/>
      <c r="BJ38" s="160"/>
      <c r="BK38" s="160"/>
      <c r="BL38" s="162">
        <f t="shared" si="75"/>
        <v>1</v>
      </c>
      <c r="BM38" s="257"/>
      <c r="BN38" s="163"/>
      <c r="BO38" s="211" t="str">
        <f t="shared" si="76"/>
        <v>תיאטרון ירושלים לאומנויות הבמהסינמטקים ופסטיבלים</v>
      </c>
      <c r="BP38" s="125">
        <f t="shared" si="77"/>
        <v>1</v>
      </c>
      <c r="BQ38" s="164">
        <v>0</v>
      </c>
      <c r="BR38" s="164">
        <v>1</v>
      </c>
      <c r="BS38" s="149">
        <f t="shared" si="78"/>
        <v>1</v>
      </c>
      <c r="BT38" s="149">
        <f t="shared" si="79"/>
        <v>1</v>
      </c>
      <c r="BU38" s="149">
        <f t="shared" si="80"/>
        <v>1</v>
      </c>
      <c r="BV38" s="149">
        <f t="shared" si="81"/>
        <v>1</v>
      </c>
      <c r="BW38" s="149">
        <f t="shared" si="82"/>
        <v>1</v>
      </c>
      <c r="BX38" s="149">
        <f t="shared" si="83"/>
        <v>1</v>
      </c>
      <c r="BY38" s="149">
        <f t="shared" si="84"/>
        <v>1</v>
      </c>
      <c r="BZ38" s="149">
        <f t="shared" si="85"/>
        <v>1</v>
      </c>
      <c r="CA38" s="149">
        <f t="shared" si="86"/>
        <v>1</v>
      </c>
      <c r="CB38" s="149">
        <f t="shared" si="87"/>
        <v>1</v>
      </c>
      <c r="CC38" s="149">
        <f t="shared" si="88"/>
        <v>1</v>
      </c>
      <c r="CD38" s="149">
        <f t="shared" si="89"/>
        <v>1</v>
      </c>
      <c r="CE38" s="149">
        <f t="shared" si="90"/>
        <v>1</v>
      </c>
      <c r="CF38" s="149">
        <f t="shared" si="91"/>
        <v>1</v>
      </c>
      <c r="CG38" s="149">
        <f t="shared" si="92"/>
        <v>1</v>
      </c>
      <c r="CH38" s="149">
        <f t="shared" si="93"/>
        <v>1</v>
      </c>
      <c r="CI38" s="149">
        <f t="shared" si="94"/>
        <v>1</v>
      </c>
      <c r="CJ38" s="149">
        <f t="shared" si="95"/>
        <v>1</v>
      </c>
      <c r="CK38" s="149">
        <f t="shared" si="96"/>
        <v>1</v>
      </c>
      <c r="CL38" s="149">
        <f t="shared" si="97"/>
        <v>1</v>
      </c>
      <c r="CM38" s="149">
        <f t="shared" si="98"/>
        <v>1</v>
      </c>
      <c r="CN38" s="149">
        <f t="shared" si="99"/>
        <v>1</v>
      </c>
      <c r="CO38" s="149">
        <f t="shared" si="100"/>
        <v>1</v>
      </c>
      <c r="CP38" s="149">
        <f t="shared" si="101"/>
        <v>1</v>
      </c>
      <c r="CQ38" s="149">
        <f t="shared" si="102"/>
        <v>1</v>
      </c>
      <c r="CR38" s="149">
        <f t="shared" si="103"/>
        <v>1</v>
      </c>
      <c r="CS38" s="149">
        <f t="shared" si="104"/>
        <v>1</v>
      </c>
      <c r="CT38" s="149">
        <f t="shared" si="105"/>
        <v>1</v>
      </c>
      <c r="CU38" s="149">
        <f t="shared" si="106"/>
        <v>1</v>
      </c>
      <c r="CV38" s="149">
        <f t="shared" si="107"/>
        <v>1</v>
      </c>
      <c r="CW38" s="149">
        <f t="shared" si="108"/>
        <v>1</v>
      </c>
      <c r="CX38" s="149">
        <f t="shared" si="109"/>
        <v>1</v>
      </c>
      <c r="CY38" s="149">
        <f t="shared" si="110"/>
        <v>1</v>
      </c>
      <c r="CZ38" s="149">
        <f t="shared" si="111"/>
        <v>1</v>
      </c>
      <c r="DA38" s="149">
        <f t="shared" si="112"/>
        <v>1</v>
      </c>
      <c r="DB38" s="149">
        <f t="shared" si="113"/>
        <v>1</v>
      </c>
      <c r="DG38" s="125">
        <f t="shared" si="126"/>
        <v>1</v>
      </c>
      <c r="DH38" s="125">
        <f t="shared" si="114"/>
        <v>2</v>
      </c>
      <c r="DI38" s="125">
        <f t="shared" si="114"/>
        <v>3</v>
      </c>
      <c r="DJ38" s="125">
        <f t="shared" si="114"/>
        <v>4</v>
      </c>
      <c r="DK38" s="125">
        <f t="shared" si="114"/>
        <v>5</v>
      </c>
      <c r="DL38" s="125">
        <f t="shared" si="114"/>
        <v>6</v>
      </c>
      <c r="DM38" s="125">
        <f t="shared" si="114"/>
        <v>7</v>
      </c>
      <c r="DN38" s="125">
        <f t="shared" si="114"/>
        <v>8</v>
      </c>
      <c r="DO38" s="125">
        <f t="shared" si="114"/>
        <v>9</v>
      </c>
      <c r="DP38" s="125">
        <f t="shared" si="114"/>
        <v>10</v>
      </c>
      <c r="DS38" s="137"/>
      <c r="DT38" s="137"/>
      <c r="DU38" s="137"/>
      <c r="DV38" s="137" t="b">
        <f t="shared" si="115"/>
        <v>0</v>
      </c>
      <c r="DW38" s="137" t="b">
        <f t="shared" si="116"/>
        <v>0</v>
      </c>
      <c r="DX38" s="137" t="b">
        <f t="shared" si="117"/>
        <v>1</v>
      </c>
      <c r="EB38" s="131">
        <f t="shared" si="127"/>
        <v>1</v>
      </c>
      <c r="EC38" s="137" t="b">
        <f t="shared" si="118"/>
        <v>0</v>
      </c>
      <c r="ED38" s="137" t="b">
        <f t="shared" si="119"/>
        <v>0</v>
      </c>
      <c r="EE38" s="137" t="b">
        <f t="shared" si="120"/>
        <v>1</v>
      </c>
      <c r="EF38" s="137"/>
      <c r="EG38" s="137"/>
      <c r="EH38" s="137"/>
      <c r="EI38" s="137"/>
      <c r="EJ38" s="137">
        <f t="shared" si="128"/>
        <v>1</v>
      </c>
      <c r="EK38" s="125">
        <f t="shared" si="121"/>
        <v>0</v>
      </c>
      <c r="EL38" s="125">
        <f t="shared" si="122"/>
        <v>0</v>
      </c>
    </row>
    <row r="39" spans="2:142" ht="15.75" x14ac:dyDescent="0.25">
      <c r="B39" s="160">
        <f t="shared" si="123"/>
        <v>9</v>
      </c>
      <c r="C39" s="205">
        <v>1001349111</v>
      </c>
      <c r="D39" s="205">
        <v>1001277536</v>
      </c>
      <c r="E39" s="205">
        <v>40000019</v>
      </c>
      <c r="F39" s="118">
        <f>IF(OR(J39="",H39=""),"",VLOOKUP(J39,'הזנה לסיווג רשויות'!$B$2:$D$301,2,0))</f>
        <v>20000159</v>
      </c>
      <c r="G39" s="118" t="str">
        <f>IF(OR(J39="",H39=""),"",VLOOKUP(J39,'הזנה לסיווג רשויות'!$B$2:$D$301,3,0))</f>
        <v>ירושלים</v>
      </c>
      <c r="H39" s="281" t="s">
        <v>535</v>
      </c>
      <c r="I39" s="201" t="s">
        <v>381</v>
      </c>
      <c r="J39" s="205">
        <v>3000</v>
      </c>
      <c r="K39" s="161">
        <v>0</v>
      </c>
      <c r="L39" s="161">
        <v>1</v>
      </c>
      <c r="M39" s="161">
        <v>0</v>
      </c>
      <c r="N39" s="161">
        <v>1</v>
      </c>
      <c r="O39" s="161">
        <v>1</v>
      </c>
      <c r="P39" s="161">
        <v>1</v>
      </c>
      <c r="Q39" s="161">
        <v>1</v>
      </c>
      <c r="R39" s="201">
        <v>754246</v>
      </c>
      <c r="S39" s="201">
        <v>312732</v>
      </c>
      <c r="T39" s="160">
        <f>IF(G39="","",IFERROR(IF(S39/R39&gt;'פרמטרים לקריטריונים'!$C$20,1,0),0))</f>
        <v>1</v>
      </c>
      <c r="U39" s="201">
        <v>195028</v>
      </c>
      <c r="V39" s="160">
        <f>IF(G39="","",IFERROR(IF(U39/R39&gt;'פרמטרים לקריטריונים'!$C$21,1,IF(AND(I39=$BW$5,U39/R39&gt;'פרמטרים לקריטריונים'!$C$22),1,0)),0))</f>
        <v>1</v>
      </c>
      <c r="W39" s="161">
        <v>1</v>
      </c>
      <c r="X39" s="161">
        <v>1</v>
      </c>
      <c r="Y39" s="201">
        <v>200000</v>
      </c>
      <c r="Z39" s="201">
        <v>200000</v>
      </c>
      <c r="AA39" s="161">
        <f t="shared" si="124"/>
        <v>1</v>
      </c>
      <c r="AB39" s="161"/>
      <c r="AC39" s="161"/>
      <c r="AD39" s="161"/>
      <c r="AE39" s="161"/>
      <c r="AF39" s="161"/>
      <c r="AG39" s="161"/>
      <c r="AH39" s="161"/>
      <c r="AI39" s="161"/>
      <c r="AJ39" s="161"/>
      <c r="AK39" s="161"/>
      <c r="AL39" s="161"/>
      <c r="AM39" s="161"/>
      <c r="AN39" s="161"/>
      <c r="AO39" s="161"/>
      <c r="AP39" s="161"/>
      <c r="AQ39" s="161"/>
      <c r="AR39" s="161"/>
      <c r="AS39" s="161"/>
      <c r="AT39" s="161"/>
      <c r="AU39" s="161"/>
      <c r="AV39" s="161"/>
      <c r="AW39" s="160"/>
      <c r="AX39" s="161"/>
      <c r="AY39" s="161"/>
      <c r="AZ39" s="161"/>
      <c r="BA39" s="161"/>
      <c r="BB39" s="161"/>
      <c r="BC39" s="161"/>
      <c r="BD39" s="161"/>
      <c r="BE39" s="161"/>
      <c r="BF39" s="160" t="str">
        <f t="shared" si="125"/>
        <v/>
      </c>
      <c r="BG39" s="160"/>
      <c r="BH39" s="160"/>
      <c r="BI39" s="160"/>
      <c r="BJ39" s="160"/>
      <c r="BK39" s="160"/>
      <c r="BL39" s="162">
        <f t="shared" si="75"/>
        <v>1</v>
      </c>
      <c r="BM39" s="257"/>
      <c r="BN39" s="163"/>
      <c r="BO39" s="211" t="str">
        <f t="shared" si="76"/>
        <v>תיאטרון ירושלים לאומנויות הבמהסינמטקים ופסטיבלים</v>
      </c>
      <c r="BP39" s="125">
        <f t="shared" si="77"/>
        <v>1</v>
      </c>
      <c r="BQ39" s="164">
        <v>0</v>
      </c>
      <c r="BR39" s="164">
        <v>1</v>
      </c>
      <c r="BS39" s="149">
        <f t="shared" si="78"/>
        <v>1</v>
      </c>
      <c r="BT39" s="149">
        <f t="shared" si="79"/>
        <v>1</v>
      </c>
      <c r="BU39" s="149">
        <f t="shared" si="80"/>
        <v>1</v>
      </c>
      <c r="BV39" s="149">
        <f t="shared" si="81"/>
        <v>1</v>
      </c>
      <c r="BW39" s="149">
        <f t="shared" si="82"/>
        <v>1</v>
      </c>
      <c r="BX39" s="149">
        <f t="shared" si="83"/>
        <v>1</v>
      </c>
      <c r="BY39" s="149">
        <f t="shared" si="84"/>
        <v>1</v>
      </c>
      <c r="BZ39" s="149">
        <f t="shared" si="85"/>
        <v>1</v>
      </c>
      <c r="CA39" s="149">
        <f t="shared" si="86"/>
        <v>1</v>
      </c>
      <c r="CB39" s="149">
        <f t="shared" si="87"/>
        <v>1</v>
      </c>
      <c r="CC39" s="149">
        <f t="shared" si="88"/>
        <v>1</v>
      </c>
      <c r="CD39" s="149">
        <f t="shared" si="89"/>
        <v>1</v>
      </c>
      <c r="CE39" s="149">
        <f t="shared" si="90"/>
        <v>1</v>
      </c>
      <c r="CF39" s="149">
        <f t="shared" si="91"/>
        <v>1</v>
      </c>
      <c r="CG39" s="149">
        <f t="shared" si="92"/>
        <v>1</v>
      </c>
      <c r="CH39" s="149">
        <f t="shared" si="93"/>
        <v>1</v>
      </c>
      <c r="CI39" s="149">
        <f t="shared" si="94"/>
        <v>1</v>
      </c>
      <c r="CJ39" s="149">
        <f t="shared" si="95"/>
        <v>1</v>
      </c>
      <c r="CK39" s="149">
        <f t="shared" si="96"/>
        <v>1</v>
      </c>
      <c r="CL39" s="149">
        <f t="shared" si="97"/>
        <v>1</v>
      </c>
      <c r="CM39" s="149">
        <f t="shared" si="98"/>
        <v>1</v>
      </c>
      <c r="CN39" s="149">
        <f t="shared" si="99"/>
        <v>1</v>
      </c>
      <c r="CO39" s="149">
        <f t="shared" si="100"/>
        <v>1</v>
      </c>
      <c r="CP39" s="149">
        <f t="shared" si="101"/>
        <v>1</v>
      </c>
      <c r="CQ39" s="149">
        <f t="shared" si="102"/>
        <v>1</v>
      </c>
      <c r="CR39" s="149">
        <f t="shared" si="103"/>
        <v>1</v>
      </c>
      <c r="CS39" s="149">
        <f t="shared" si="104"/>
        <v>1</v>
      </c>
      <c r="CT39" s="149">
        <f t="shared" si="105"/>
        <v>1</v>
      </c>
      <c r="CU39" s="149">
        <f t="shared" si="106"/>
        <v>1</v>
      </c>
      <c r="CV39" s="149">
        <f t="shared" si="107"/>
        <v>1</v>
      </c>
      <c r="CW39" s="149">
        <f t="shared" si="108"/>
        <v>1</v>
      </c>
      <c r="CX39" s="149">
        <f t="shared" si="109"/>
        <v>1</v>
      </c>
      <c r="CY39" s="149">
        <f t="shared" si="110"/>
        <v>1</v>
      </c>
      <c r="CZ39" s="149">
        <f t="shared" si="111"/>
        <v>1</v>
      </c>
      <c r="DA39" s="149">
        <f t="shared" si="112"/>
        <v>1</v>
      </c>
      <c r="DB39" s="149">
        <f t="shared" si="113"/>
        <v>1</v>
      </c>
      <c r="DG39" s="125">
        <f t="shared" si="126"/>
        <v>1</v>
      </c>
      <c r="DH39" s="125">
        <f t="shared" si="114"/>
        <v>2</v>
      </c>
      <c r="DI39" s="125">
        <f t="shared" si="114"/>
        <v>3</v>
      </c>
      <c r="DJ39" s="125">
        <f t="shared" si="114"/>
        <v>4</v>
      </c>
      <c r="DK39" s="125">
        <f t="shared" si="114"/>
        <v>5</v>
      </c>
      <c r="DL39" s="125">
        <f t="shared" si="114"/>
        <v>6</v>
      </c>
      <c r="DM39" s="125">
        <f t="shared" si="114"/>
        <v>7</v>
      </c>
      <c r="DN39" s="125">
        <f t="shared" si="114"/>
        <v>8</v>
      </c>
      <c r="DO39" s="125">
        <f t="shared" si="114"/>
        <v>9</v>
      </c>
      <c r="DP39" s="125">
        <f t="shared" si="114"/>
        <v>10</v>
      </c>
      <c r="DS39" s="137"/>
      <c r="DT39" s="137"/>
      <c r="DU39" s="137"/>
      <c r="DV39" s="137" t="b">
        <f t="shared" si="115"/>
        <v>0</v>
      </c>
      <c r="DW39" s="137" t="b">
        <f t="shared" si="116"/>
        <v>0</v>
      </c>
      <c r="DX39" s="137" t="b">
        <f t="shared" si="117"/>
        <v>1</v>
      </c>
      <c r="EB39" s="131">
        <f t="shared" si="127"/>
        <v>1</v>
      </c>
      <c r="EC39" s="137" t="b">
        <f t="shared" si="118"/>
        <v>0</v>
      </c>
      <c r="ED39" s="137" t="b">
        <f t="shared" si="119"/>
        <v>0</v>
      </c>
      <c r="EE39" s="137" t="b">
        <f t="shared" si="120"/>
        <v>1</v>
      </c>
      <c r="EF39" s="137"/>
      <c r="EG39" s="137"/>
      <c r="EH39" s="137"/>
      <c r="EI39" s="137"/>
      <c r="EJ39" s="137">
        <f t="shared" si="128"/>
        <v>1</v>
      </c>
      <c r="EK39" s="125">
        <f t="shared" si="121"/>
        <v>0</v>
      </c>
      <c r="EL39" s="125">
        <f t="shared" si="122"/>
        <v>0</v>
      </c>
    </row>
    <row r="40" spans="2:142" ht="15.75" x14ac:dyDescent="0.25">
      <c r="B40" s="160">
        <f t="shared" si="123"/>
        <v>10</v>
      </c>
      <c r="C40" s="205">
        <v>1001346994</v>
      </c>
      <c r="D40" s="205">
        <v>1001267387</v>
      </c>
      <c r="E40" s="205">
        <v>40000039</v>
      </c>
      <c r="F40" s="118">
        <f>IF(OR(J40="",H40=""),"",VLOOKUP(J40,'הזנה לסיווג רשויות'!$B$2:$D$301,2,0))</f>
        <v>20000201</v>
      </c>
      <c r="G40" s="118" t="str">
        <f>IF(OR(J40="",H40=""),"",VLOOKUP(J40,'הזנה לסיווג רשויות'!$B$2:$D$301,3,0))</f>
        <v>תל אביב -יפו</v>
      </c>
      <c r="H40" s="281" t="s">
        <v>542</v>
      </c>
      <c r="I40" s="201" t="s">
        <v>375</v>
      </c>
      <c r="J40" s="205">
        <v>5000</v>
      </c>
      <c r="K40" s="161">
        <v>0</v>
      </c>
      <c r="L40" s="161">
        <v>1</v>
      </c>
      <c r="M40" s="161">
        <v>0</v>
      </c>
      <c r="N40" s="161">
        <v>1</v>
      </c>
      <c r="O40" s="161">
        <v>1</v>
      </c>
      <c r="P40" s="161">
        <v>1</v>
      </c>
      <c r="Q40" s="161">
        <v>1</v>
      </c>
      <c r="R40" s="201">
        <v>90278000</v>
      </c>
      <c r="S40" s="201">
        <v>41981000</v>
      </c>
      <c r="T40" s="160">
        <f>IF(G40="","",IFERROR(IF(S40/R40&gt;'פרמטרים לקריטריונים'!$C$20,1,0),0))</f>
        <v>1</v>
      </c>
      <c r="U40" s="201">
        <v>20673000</v>
      </c>
      <c r="V40" s="160">
        <f>IF(G40="","",IFERROR(IF(U40/R40&gt;'פרמטרים לקריטריונים'!$C$21,1,IF(AND(I40=$BW$5,U40/R40&gt;'פרמטרים לקריטריונים'!$C$22),1,0)),0))</f>
        <v>1</v>
      </c>
      <c r="W40" s="161">
        <v>1</v>
      </c>
      <c r="X40" s="161">
        <v>1</v>
      </c>
      <c r="Y40" s="201">
        <v>18000000</v>
      </c>
      <c r="Z40" s="201">
        <v>7000000</v>
      </c>
      <c r="AA40" s="161">
        <f t="shared" si="124"/>
        <v>1</v>
      </c>
      <c r="AB40" s="161"/>
      <c r="AC40" s="161"/>
      <c r="AD40" s="161"/>
      <c r="AE40" s="161"/>
      <c r="AF40" s="161"/>
      <c r="AG40" s="161"/>
      <c r="AH40" s="161"/>
      <c r="AI40" s="161"/>
      <c r="AJ40" s="161"/>
      <c r="AK40" s="161"/>
      <c r="AL40" s="161"/>
      <c r="AM40" s="161"/>
      <c r="AN40" s="161"/>
      <c r="AO40" s="161"/>
      <c r="AP40" s="161"/>
      <c r="AQ40" s="161"/>
      <c r="AR40" s="161"/>
      <c r="AS40" s="161"/>
      <c r="AT40" s="161"/>
      <c r="AU40" s="161"/>
      <c r="AV40" s="161"/>
      <c r="AW40" s="160"/>
      <c r="AX40" s="161"/>
      <c r="AY40" s="161"/>
      <c r="AZ40" s="161"/>
      <c r="BA40" s="161"/>
      <c r="BB40" s="161"/>
      <c r="BC40" s="161"/>
      <c r="BD40" s="161"/>
      <c r="BE40" s="161"/>
      <c r="BF40" s="160" t="str">
        <f t="shared" si="125"/>
        <v/>
      </c>
      <c r="BG40" s="160"/>
      <c r="BH40" s="160"/>
      <c r="BI40" s="160"/>
      <c r="BJ40" s="160"/>
      <c r="BK40" s="160"/>
      <c r="BL40" s="162">
        <f t="shared" si="75"/>
        <v>1</v>
      </c>
      <c r="BM40" s="257"/>
      <c r="BN40" s="163"/>
      <c r="BO40" s="211" t="str">
        <f t="shared" si="76"/>
        <v>מוזיאון ת"א לאומנותמוזיאונים</v>
      </c>
      <c r="BP40" s="125">
        <f t="shared" si="77"/>
        <v>1</v>
      </c>
      <c r="BQ40" s="164">
        <v>0</v>
      </c>
      <c r="BR40" s="164">
        <v>1</v>
      </c>
      <c r="BS40" s="149">
        <f t="shared" si="78"/>
        <v>1</v>
      </c>
      <c r="BT40" s="149">
        <f t="shared" si="79"/>
        <v>1</v>
      </c>
      <c r="BU40" s="149">
        <f t="shared" si="80"/>
        <v>1</v>
      </c>
      <c r="BV40" s="149">
        <f t="shared" si="81"/>
        <v>1</v>
      </c>
      <c r="BW40" s="149">
        <f t="shared" si="82"/>
        <v>1</v>
      </c>
      <c r="BX40" s="149">
        <f t="shared" si="83"/>
        <v>1</v>
      </c>
      <c r="BY40" s="149">
        <f t="shared" si="84"/>
        <v>1</v>
      </c>
      <c r="BZ40" s="149">
        <f t="shared" si="85"/>
        <v>1</v>
      </c>
      <c r="CA40" s="149">
        <f t="shared" si="86"/>
        <v>1</v>
      </c>
      <c r="CB40" s="149">
        <f t="shared" si="87"/>
        <v>1</v>
      </c>
      <c r="CC40" s="149">
        <f t="shared" si="88"/>
        <v>1</v>
      </c>
      <c r="CD40" s="149">
        <f t="shared" si="89"/>
        <v>1</v>
      </c>
      <c r="CE40" s="149">
        <f t="shared" si="90"/>
        <v>1</v>
      </c>
      <c r="CF40" s="149">
        <f t="shared" si="91"/>
        <v>1</v>
      </c>
      <c r="CG40" s="149">
        <f t="shared" si="92"/>
        <v>1</v>
      </c>
      <c r="CH40" s="149">
        <f t="shared" si="93"/>
        <v>1</v>
      </c>
      <c r="CI40" s="149">
        <f t="shared" si="94"/>
        <v>1</v>
      </c>
      <c r="CJ40" s="149">
        <f t="shared" si="95"/>
        <v>1</v>
      </c>
      <c r="CK40" s="149">
        <f t="shared" si="96"/>
        <v>1</v>
      </c>
      <c r="CL40" s="149">
        <f t="shared" si="97"/>
        <v>1</v>
      </c>
      <c r="CM40" s="149">
        <f t="shared" si="98"/>
        <v>1</v>
      </c>
      <c r="CN40" s="149">
        <f t="shared" si="99"/>
        <v>1</v>
      </c>
      <c r="CO40" s="149">
        <f t="shared" si="100"/>
        <v>1</v>
      </c>
      <c r="CP40" s="149">
        <f t="shared" si="101"/>
        <v>1</v>
      </c>
      <c r="CQ40" s="149">
        <f t="shared" si="102"/>
        <v>1</v>
      </c>
      <c r="CR40" s="149">
        <f t="shared" si="103"/>
        <v>1</v>
      </c>
      <c r="CS40" s="149">
        <f t="shared" si="104"/>
        <v>1</v>
      </c>
      <c r="CT40" s="149">
        <f t="shared" si="105"/>
        <v>1</v>
      </c>
      <c r="CU40" s="149">
        <f t="shared" si="106"/>
        <v>1</v>
      </c>
      <c r="CV40" s="149">
        <f t="shared" si="107"/>
        <v>1</v>
      </c>
      <c r="CW40" s="149">
        <f t="shared" si="108"/>
        <v>1</v>
      </c>
      <c r="CX40" s="149">
        <f t="shared" si="109"/>
        <v>1</v>
      </c>
      <c r="CY40" s="149">
        <f t="shared" si="110"/>
        <v>1</v>
      </c>
      <c r="CZ40" s="149">
        <f t="shared" si="111"/>
        <v>1</v>
      </c>
      <c r="DA40" s="149">
        <f t="shared" si="112"/>
        <v>1</v>
      </c>
      <c r="DB40" s="149">
        <f t="shared" si="113"/>
        <v>1</v>
      </c>
      <c r="DG40" s="125">
        <f t="shared" si="126"/>
        <v>1</v>
      </c>
      <c r="DH40" s="125">
        <f t="shared" si="114"/>
        <v>2</v>
      </c>
      <c r="DI40" s="125">
        <f t="shared" si="114"/>
        <v>3</v>
      </c>
      <c r="DJ40" s="125">
        <f t="shared" si="114"/>
        <v>4</v>
      </c>
      <c r="DK40" s="125">
        <f t="shared" si="114"/>
        <v>5</v>
      </c>
      <c r="DL40" s="125">
        <f t="shared" si="114"/>
        <v>6</v>
      </c>
      <c r="DM40" s="125">
        <f t="shared" si="114"/>
        <v>7</v>
      </c>
      <c r="DN40" s="125">
        <f t="shared" si="114"/>
        <v>8</v>
      </c>
      <c r="DO40" s="125">
        <f t="shared" si="114"/>
        <v>9</v>
      </c>
      <c r="DP40" s="125">
        <f t="shared" si="114"/>
        <v>10</v>
      </c>
      <c r="DS40" s="137"/>
      <c r="DT40" s="137"/>
      <c r="DU40" s="137"/>
      <c r="DV40" s="137" t="b">
        <f t="shared" si="115"/>
        <v>0</v>
      </c>
      <c r="DW40" s="137" t="b">
        <f t="shared" si="116"/>
        <v>0</v>
      </c>
      <c r="DX40" s="137" t="b">
        <f t="shared" si="117"/>
        <v>1</v>
      </c>
      <c r="EB40" s="131">
        <f t="shared" si="127"/>
        <v>1</v>
      </c>
      <c r="EC40" s="137" t="b">
        <f t="shared" si="118"/>
        <v>0</v>
      </c>
      <c r="ED40" s="137" t="b">
        <f t="shared" si="119"/>
        <v>0</v>
      </c>
      <c r="EE40" s="137" t="b">
        <f t="shared" si="120"/>
        <v>1</v>
      </c>
      <c r="EF40" s="137"/>
      <c r="EG40" s="137"/>
      <c r="EH40" s="137"/>
      <c r="EI40" s="137"/>
      <c r="EJ40" s="137">
        <f t="shared" si="128"/>
        <v>1</v>
      </c>
      <c r="EK40" s="125">
        <f t="shared" si="121"/>
        <v>0</v>
      </c>
      <c r="EL40" s="125">
        <f t="shared" si="122"/>
        <v>0</v>
      </c>
    </row>
    <row r="41" spans="2:142" ht="15.75" x14ac:dyDescent="0.2">
      <c r="B41" s="160">
        <f t="shared" si="123"/>
        <v>11</v>
      </c>
      <c r="C41" s="205">
        <v>1001350182</v>
      </c>
      <c r="D41" s="205">
        <v>1001344519</v>
      </c>
      <c r="E41" s="205">
        <v>40000070</v>
      </c>
      <c r="F41" s="118">
        <f>IF(OR(J41="",H41=""),"",VLOOKUP(J41,'הזנה לסיווג רשויות'!$B$2:$D$301,2,0))</f>
        <v>20000159</v>
      </c>
      <c r="G41" s="118" t="str">
        <f>IF(OR(J41="",H41=""),"",VLOOKUP(J41,'הזנה לסיווג רשויות'!$B$2:$D$301,3,0))</f>
        <v>ירושלים</v>
      </c>
      <c r="H41" s="201" t="s">
        <v>543</v>
      </c>
      <c r="I41" s="201" t="s">
        <v>374</v>
      </c>
      <c r="J41" s="205">
        <v>3000</v>
      </c>
      <c r="K41" s="161">
        <v>0</v>
      </c>
      <c r="L41" s="161">
        <v>1</v>
      </c>
      <c r="M41" s="161">
        <v>0</v>
      </c>
      <c r="N41" s="161">
        <v>0</v>
      </c>
      <c r="O41" s="161">
        <v>1</v>
      </c>
      <c r="P41" s="161">
        <v>1</v>
      </c>
      <c r="Q41" s="161">
        <v>1</v>
      </c>
      <c r="R41" s="201">
        <v>1211274</v>
      </c>
      <c r="S41" s="201">
        <v>1045610</v>
      </c>
      <c r="T41" s="160">
        <f>IF(G41="","",IFERROR(IF(S41/R41&gt;'פרמטרים לקריטריונים'!$C$20,1,0),0))</f>
        <v>1</v>
      </c>
      <c r="U41" s="201">
        <v>526682</v>
      </c>
      <c r="V41" s="160">
        <f>IF(G41="","",IFERROR(IF(U41/R41&gt;'פרמטרים לקריטריונים'!$C$21,1,IF(AND(I41=$BW$5,U41/R41&gt;'פרמטרים לקריטריונים'!$C$22),1,0)),0))</f>
        <v>1</v>
      </c>
      <c r="W41" s="161">
        <v>1</v>
      </c>
      <c r="X41" s="161">
        <v>1</v>
      </c>
      <c r="Y41" s="201">
        <v>1600000</v>
      </c>
      <c r="Z41" s="201">
        <v>40000</v>
      </c>
      <c r="AA41" s="161">
        <f t="shared" si="124"/>
        <v>1</v>
      </c>
      <c r="AB41" s="161"/>
      <c r="AC41" s="161"/>
      <c r="AD41" s="161"/>
      <c r="AE41" s="161"/>
      <c r="AF41" s="161"/>
      <c r="AG41" s="161"/>
      <c r="AH41" s="161"/>
      <c r="AI41" s="161"/>
      <c r="AJ41" s="161"/>
      <c r="AK41" s="161"/>
      <c r="AL41" s="161"/>
      <c r="AM41" s="161"/>
      <c r="AN41" s="161"/>
      <c r="AO41" s="161"/>
      <c r="AP41" s="161"/>
      <c r="AQ41" s="161"/>
      <c r="AR41" s="161"/>
      <c r="AS41" s="161"/>
      <c r="AT41" s="161"/>
      <c r="AU41" s="161"/>
      <c r="AV41" s="161"/>
      <c r="AW41" s="160"/>
      <c r="AX41" s="161"/>
      <c r="AY41" s="161"/>
      <c r="AZ41" s="161"/>
      <c r="BA41" s="161"/>
      <c r="BB41" s="161"/>
      <c r="BC41" s="161"/>
      <c r="BD41" s="161"/>
      <c r="BE41" s="161"/>
      <c r="BF41" s="160" t="str">
        <f t="shared" si="125"/>
        <v/>
      </c>
      <c r="BG41" s="160"/>
      <c r="BH41" s="160"/>
      <c r="BI41" s="160"/>
      <c r="BJ41" s="160"/>
      <c r="BK41" s="160"/>
      <c r="BL41" s="162">
        <f t="shared" si="75"/>
        <v>1</v>
      </c>
      <c r="BM41" s="257"/>
      <c r="BN41" s="163"/>
      <c r="BO41" s="211" t="str">
        <f t="shared" si="76"/>
        <v>הורה ירושליםמחול</v>
      </c>
      <c r="BP41" s="125">
        <f t="shared" si="77"/>
        <v>1</v>
      </c>
      <c r="BQ41" s="164">
        <v>0</v>
      </c>
      <c r="BR41" s="164">
        <v>1</v>
      </c>
      <c r="BS41" s="149">
        <f t="shared" si="78"/>
        <v>1</v>
      </c>
      <c r="BT41" s="149">
        <f t="shared" si="79"/>
        <v>1</v>
      </c>
      <c r="BU41" s="149">
        <f t="shared" si="80"/>
        <v>1</v>
      </c>
      <c r="BV41" s="149">
        <f t="shared" si="81"/>
        <v>1</v>
      </c>
      <c r="BW41" s="149">
        <f t="shared" si="82"/>
        <v>1</v>
      </c>
      <c r="BX41" s="149">
        <f t="shared" si="83"/>
        <v>1</v>
      </c>
      <c r="BY41" s="149">
        <f t="shared" si="84"/>
        <v>1</v>
      </c>
      <c r="BZ41" s="149">
        <f t="shared" si="85"/>
        <v>1</v>
      </c>
      <c r="CA41" s="149">
        <f t="shared" si="86"/>
        <v>1</v>
      </c>
      <c r="CB41" s="149">
        <f t="shared" si="87"/>
        <v>1</v>
      </c>
      <c r="CC41" s="149">
        <f t="shared" si="88"/>
        <v>1</v>
      </c>
      <c r="CD41" s="149">
        <f t="shared" si="89"/>
        <v>1</v>
      </c>
      <c r="CE41" s="149">
        <f t="shared" si="90"/>
        <v>1</v>
      </c>
      <c r="CF41" s="149">
        <f t="shared" si="91"/>
        <v>1</v>
      </c>
      <c r="CG41" s="149">
        <f t="shared" si="92"/>
        <v>1</v>
      </c>
      <c r="CH41" s="149">
        <f t="shared" si="93"/>
        <v>1</v>
      </c>
      <c r="CI41" s="149">
        <f t="shared" si="94"/>
        <v>1</v>
      </c>
      <c r="CJ41" s="149">
        <f t="shared" si="95"/>
        <v>1</v>
      </c>
      <c r="CK41" s="149">
        <f t="shared" si="96"/>
        <v>1</v>
      </c>
      <c r="CL41" s="149">
        <f t="shared" si="97"/>
        <v>1</v>
      </c>
      <c r="CM41" s="149">
        <f t="shared" si="98"/>
        <v>1</v>
      </c>
      <c r="CN41" s="149">
        <f t="shared" si="99"/>
        <v>1</v>
      </c>
      <c r="CO41" s="149">
        <f t="shared" si="100"/>
        <v>1</v>
      </c>
      <c r="CP41" s="149">
        <f t="shared" si="101"/>
        <v>1</v>
      </c>
      <c r="CQ41" s="149">
        <f t="shared" si="102"/>
        <v>1</v>
      </c>
      <c r="CR41" s="149">
        <f t="shared" si="103"/>
        <v>1</v>
      </c>
      <c r="CS41" s="149">
        <f t="shared" si="104"/>
        <v>1</v>
      </c>
      <c r="CT41" s="149">
        <f t="shared" si="105"/>
        <v>1</v>
      </c>
      <c r="CU41" s="149">
        <f t="shared" si="106"/>
        <v>1</v>
      </c>
      <c r="CV41" s="149">
        <f t="shared" si="107"/>
        <v>1</v>
      </c>
      <c r="CW41" s="149">
        <f t="shared" si="108"/>
        <v>1</v>
      </c>
      <c r="CX41" s="149">
        <f t="shared" si="109"/>
        <v>1</v>
      </c>
      <c r="CY41" s="149">
        <f t="shared" si="110"/>
        <v>1</v>
      </c>
      <c r="CZ41" s="149">
        <f t="shared" si="111"/>
        <v>1</v>
      </c>
      <c r="DA41" s="149">
        <f t="shared" si="112"/>
        <v>1</v>
      </c>
      <c r="DB41" s="149">
        <f t="shared" si="113"/>
        <v>1</v>
      </c>
      <c r="DG41" s="125">
        <f t="shared" si="126"/>
        <v>1</v>
      </c>
      <c r="DH41" s="125">
        <f t="shared" si="114"/>
        <v>2</v>
      </c>
      <c r="DI41" s="125">
        <f t="shared" si="114"/>
        <v>3</v>
      </c>
      <c r="DJ41" s="125">
        <f t="shared" si="114"/>
        <v>4</v>
      </c>
      <c r="DK41" s="125">
        <f t="shared" si="114"/>
        <v>5</v>
      </c>
      <c r="DL41" s="125">
        <f t="shared" si="114"/>
        <v>6</v>
      </c>
      <c r="DM41" s="125">
        <f t="shared" si="114"/>
        <v>7</v>
      </c>
      <c r="DN41" s="125">
        <f t="shared" si="114"/>
        <v>8</v>
      </c>
      <c r="DO41" s="125">
        <f t="shared" si="114"/>
        <v>9</v>
      </c>
      <c r="DP41" s="125">
        <f t="shared" si="114"/>
        <v>10</v>
      </c>
      <c r="DS41" s="137"/>
      <c r="DT41" s="137"/>
      <c r="DU41" s="137"/>
      <c r="DV41" s="137" t="b">
        <f t="shared" si="115"/>
        <v>0</v>
      </c>
      <c r="DW41" s="137" t="b">
        <f t="shared" si="116"/>
        <v>0</v>
      </c>
      <c r="DX41" s="137" t="b">
        <f t="shared" si="117"/>
        <v>1</v>
      </c>
      <c r="EB41" s="131">
        <f t="shared" si="127"/>
        <v>1</v>
      </c>
      <c r="EC41" s="137" t="b">
        <f t="shared" si="118"/>
        <v>0</v>
      </c>
      <c r="ED41" s="137" t="b">
        <f t="shared" si="119"/>
        <v>0</v>
      </c>
      <c r="EE41" s="137" t="b">
        <f t="shared" si="120"/>
        <v>1</v>
      </c>
      <c r="EF41" s="137"/>
      <c r="EG41" s="137"/>
      <c r="EH41" s="137"/>
      <c r="EI41" s="137"/>
      <c r="EJ41" s="137">
        <f t="shared" si="128"/>
        <v>1</v>
      </c>
      <c r="EK41" s="125">
        <f t="shared" si="121"/>
        <v>0</v>
      </c>
      <c r="EL41" s="125">
        <f t="shared" si="122"/>
        <v>0</v>
      </c>
    </row>
    <row r="42" spans="2:142" ht="15.75" x14ac:dyDescent="0.25">
      <c r="B42" s="160">
        <f t="shared" si="123"/>
        <v>12</v>
      </c>
      <c r="C42" s="205">
        <v>1001349551</v>
      </c>
      <c r="D42" s="205">
        <v>1001271250</v>
      </c>
      <c r="E42" s="205">
        <v>40000101</v>
      </c>
      <c r="F42" s="118">
        <f>IF(OR(J42="",H42=""),"",VLOOKUP(J42,'הזנה לסיווג רשויות'!$B$2:$D$301,2,0))</f>
        <v>20000208</v>
      </c>
      <c r="G42" s="118" t="str">
        <f>IF(OR(J42="",H42=""),"",VLOOKUP(J42,'הזנה לסיווג רשויות'!$B$2:$D$301,3,0))</f>
        <v>חוף אשקלון</v>
      </c>
      <c r="H42" s="281" t="s">
        <v>544</v>
      </c>
      <c r="I42" s="201" t="s">
        <v>375</v>
      </c>
      <c r="J42" s="205">
        <v>36</v>
      </c>
      <c r="K42" s="161">
        <v>0</v>
      </c>
      <c r="L42" s="161">
        <v>1</v>
      </c>
      <c r="M42" s="161">
        <v>0</v>
      </c>
      <c r="N42" s="161">
        <v>1</v>
      </c>
      <c r="O42" s="161">
        <v>1</v>
      </c>
      <c r="P42" s="161">
        <v>1</v>
      </c>
      <c r="Q42" s="161">
        <v>1</v>
      </c>
      <c r="R42" s="201">
        <v>1838329</v>
      </c>
      <c r="S42" s="201">
        <v>1006664</v>
      </c>
      <c r="T42" s="160">
        <f>IF(G42="","",IFERROR(IF(S42/R42&gt;'פרמטרים לקריטריונים'!$C$20,1,0),0))</f>
        <v>1</v>
      </c>
      <c r="U42" s="201">
        <v>509358</v>
      </c>
      <c r="V42" s="160">
        <f>IF(G42="","",IFERROR(IF(U42/R42&gt;'פרמטרים לקריטריונים'!$C$21,1,IF(AND(I42=$BW$5,U42/R42&gt;'פרמטרים לקריטריונים'!$C$22),1,0)),0))</f>
        <v>1</v>
      </c>
      <c r="W42" s="161">
        <v>1</v>
      </c>
      <c r="X42" s="161">
        <v>1</v>
      </c>
      <c r="Y42" s="201">
        <v>500000</v>
      </c>
      <c r="Z42" s="201">
        <v>200000</v>
      </c>
      <c r="AA42" s="161">
        <f t="shared" si="124"/>
        <v>1</v>
      </c>
      <c r="AB42" s="161"/>
      <c r="AC42" s="161"/>
      <c r="AD42" s="161"/>
      <c r="AE42" s="161"/>
      <c r="AF42" s="161"/>
      <c r="AG42" s="161"/>
      <c r="AH42" s="161"/>
      <c r="AI42" s="161"/>
      <c r="AJ42" s="161"/>
      <c r="AK42" s="161"/>
      <c r="AL42" s="161"/>
      <c r="AM42" s="161"/>
      <c r="AN42" s="161"/>
      <c r="AO42" s="161"/>
      <c r="AP42" s="161"/>
      <c r="AQ42" s="161"/>
      <c r="AR42" s="161"/>
      <c r="AS42" s="161"/>
      <c r="AT42" s="161"/>
      <c r="AU42" s="161"/>
      <c r="AV42" s="161"/>
      <c r="AW42" s="160"/>
      <c r="AX42" s="161"/>
      <c r="AY42" s="161"/>
      <c r="AZ42" s="161"/>
      <c r="BA42" s="161"/>
      <c r="BB42" s="161"/>
      <c r="BC42" s="161"/>
      <c r="BD42" s="161"/>
      <c r="BE42" s="161"/>
      <c r="BF42" s="160" t="str">
        <f t="shared" si="125"/>
        <v/>
      </c>
      <c r="BG42" s="160"/>
      <c r="BH42" s="160"/>
      <c r="BI42" s="160"/>
      <c r="BJ42" s="160"/>
      <c r="BK42" s="160"/>
      <c r="BL42" s="162">
        <f t="shared" si="75"/>
        <v>1</v>
      </c>
      <c r="BM42" s="257"/>
      <c r="BN42" s="163"/>
      <c r="BO42" s="211" t="str">
        <f t="shared" si="76"/>
        <v>מוזיאון יד מרדכימוזיאונים</v>
      </c>
      <c r="BP42" s="125">
        <f t="shared" si="77"/>
        <v>1</v>
      </c>
      <c r="BQ42" s="164">
        <v>0</v>
      </c>
      <c r="BR42" s="164">
        <v>1</v>
      </c>
      <c r="BS42" s="149">
        <f t="shared" si="78"/>
        <v>1</v>
      </c>
      <c r="BT42" s="149">
        <f t="shared" si="79"/>
        <v>1</v>
      </c>
      <c r="BU42" s="149">
        <f t="shared" si="80"/>
        <v>1</v>
      </c>
      <c r="BV42" s="149">
        <f t="shared" si="81"/>
        <v>1</v>
      </c>
      <c r="BW42" s="149">
        <f t="shared" si="82"/>
        <v>1</v>
      </c>
      <c r="BX42" s="149">
        <f t="shared" si="83"/>
        <v>1</v>
      </c>
      <c r="BY42" s="149">
        <f t="shared" si="84"/>
        <v>1</v>
      </c>
      <c r="BZ42" s="149">
        <f t="shared" si="85"/>
        <v>1</v>
      </c>
      <c r="CA42" s="149">
        <f t="shared" si="86"/>
        <v>1</v>
      </c>
      <c r="CB42" s="149">
        <f t="shared" si="87"/>
        <v>1</v>
      </c>
      <c r="CC42" s="149">
        <f t="shared" si="88"/>
        <v>1</v>
      </c>
      <c r="CD42" s="149">
        <f t="shared" si="89"/>
        <v>1</v>
      </c>
      <c r="CE42" s="149">
        <f t="shared" si="90"/>
        <v>1</v>
      </c>
      <c r="CF42" s="149">
        <f t="shared" si="91"/>
        <v>1</v>
      </c>
      <c r="CG42" s="149">
        <f t="shared" si="92"/>
        <v>1</v>
      </c>
      <c r="CH42" s="149">
        <f t="shared" si="93"/>
        <v>1</v>
      </c>
      <c r="CI42" s="149">
        <f t="shared" si="94"/>
        <v>1</v>
      </c>
      <c r="CJ42" s="149">
        <f t="shared" si="95"/>
        <v>1</v>
      </c>
      <c r="CK42" s="149">
        <f t="shared" si="96"/>
        <v>1</v>
      </c>
      <c r="CL42" s="149">
        <f t="shared" si="97"/>
        <v>1</v>
      </c>
      <c r="CM42" s="149">
        <f t="shared" si="98"/>
        <v>1</v>
      </c>
      <c r="CN42" s="149">
        <f t="shared" si="99"/>
        <v>1</v>
      </c>
      <c r="CO42" s="149">
        <f t="shared" si="100"/>
        <v>1</v>
      </c>
      <c r="CP42" s="149">
        <f t="shared" si="101"/>
        <v>1</v>
      </c>
      <c r="CQ42" s="149">
        <f t="shared" si="102"/>
        <v>1</v>
      </c>
      <c r="CR42" s="149">
        <f t="shared" si="103"/>
        <v>1</v>
      </c>
      <c r="CS42" s="149">
        <f t="shared" si="104"/>
        <v>1</v>
      </c>
      <c r="CT42" s="149">
        <f t="shared" si="105"/>
        <v>1</v>
      </c>
      <c r="CU42" s="149">
        <f t="shared" si="106"/>
        <v>1</v>
      </c>
      <c r="CV42" s="149">
        <f t="shared" si="107"/>
        <v>1</v>
      </c>
      <c r="CW42" s="149">
        <f t="shared" si="108"/>
        <v>1</v>
      </c>
      <c r="CX42" s="149">
        <f t="shared" si="109"/>
        <v>1</v>
      </c>
      <c r="CY42" s="149">
        <f t="shared" si="110"/>
        <v>1</v>
      </c>
      <c r="CZ42" s="149">
        <f t="shared" si="111"/>
        <v>1</v>
      </c>
      <c r="DA42" s="149">
        <f t="shared" si="112"/>
        <v>1</v>
      </c>
      <c r="DB42" s="149">
        <f t="shared" si="113"/>
        <v>1</v>
      </c>
      <c r="DG42" s="125">
        <f t="shared" si="126"/>
        <v>1</v>
      </c>
      <c r="DH42" s="125">
        <f t="shared" si="114"/>
        <v>2</v>
      </c>
      <c r="DI42" s="125">
        <f t="shared" si="114"/>
        <v>3</v>
      </c>
      <c r="DJ42" s="125">
        <f t="shared" si="114"/>
        <v>4</v>
      </c>
      <c r="DK42" s="125">
        <f t="shared" si="114"/>
        <v>5</v>
      </c>
      <c r="DL42" s="125">
        <f t="shared" si="114"/>
        <v>6</v>
      </c>
      <c r="DM42" s="125">
        <f t="shared" si="114"/>
        <v>7</v>
      </c>
      <c r="DN42" s="125">
        <f t="shared" si="114"/>
        <v>8</v>
      </c>
      <c r="DO42" s="125">
        <f t="shared" si="114"/>
        <v>9</v>
      </c>
      <c r="DP42" s="125">
        <f t="shared" si="114"/>
        <v>10</v>
      </c>
      <c r="DS42" s="137"/>
      <c r="DT42" s="137"/>
      <c r="DU42" s="137"/>
      <c r="DV42" s="137" t="b">
        <f t="shared" si="115"/>
        <v>0</v>
      </c>
      <c r="DW42" s="137" t="b">
        <f t="shared" si="116"/>
        <v>0</v>
      </c>
      <c r="DX42" s="137" t="b">
        <f t="shared" si="117"/>
        <v>1</v>
      </c>
      <c r="EB42" s="131">
        <f t="shared" si="127"/>
        <v>1</v>
      </c>
      <c r="EC42" s="137" t="b">
        <f t="shared" si="118"/>
        <v>0</v>
      </c>
      <c r="ED42" s="137" t="b">
        <f t="shared" si="119"/>
        <v>0</v>
      </c>
      <c r="EE42" s="137" t="b">
        <f t="shared" si="120"/>
        <v>1</v>
      </c>
      <c r="EF42" s="137"/>
      <c r="EG42" s="137"/>
      <c r="EH42" s="137"/>
      <c r="EI42" s="137"/>
      <c r="EJ42" s="137">
        <f t="shared" si="128"/>
        <v>1</v>
      </c>
      <c r="EK42" s="125">
        <f t="shared" si="121"/>
        <v>0</v>
      </c>
      <c r="EL42" s="125">
        <f t="shared" si="122"/>
        <v>0</v>
      </c>
    </row>
    <row r="43" spans="2:142" ht="15.75" x14ac:dyDescent="0.25">
      <c r="B43" s="160">
        <f t="shared" si="123"/>
        <v>13</v>
      </c>
      <c r="C43" s="205">
        <v>1001347156</v>
      </c>
      <c r="D43" s="205">
        <v>1001263123</v>
      </c>
      <c r="E43" s="205">
        <v>40000052</v>
      </c>
      <c r="F43" s="118">
        <f>IF(OR(J43="",H43=""),"",VLOOKUP(J43,'הזנה לסיווג רשויות'!$B$2:$D$301,2,0))</f>
        <v>20000132</v>
      </c>
      <c r="G43" s="118" t="str">
        <f>IF(OR(J43="",H43=""),"",VLOOKUP(J43,'הזנה לסיווג רשויות'!$B$2:$D$301,3,0))</f>
        <v>עמק הירדן</v>
      </c>
      <c r="H43" s="281" t="s">
        <v>545</v>
      </c>
      <c r="I43" s="201" t="s">
        <v>375</v>
      </c>
      <c r="J43" s="205">
        <v>6</v>
      </c>
      <c r="K43" s="161">
        <v>0</v>
      </c>
      <c r="L43" s="161">
        <v>1</v>
      </c>
      <c r="M43" s="161">
        <v>0</v>
      </c>
      <c r="N43" s="161">
        <v>0</v>
      </c>
      <c r="O43" s="161">
        <v>1</v>
      </c>
      <c r="P43" s="161">
        <v>1</v>
      </c>
      <c r="Q43" s="161">
        <v>1</v>
      </c>
      <c r="R43" s="201">
        <v>5001495</v>
      </c>
      <c r="S43" s="201">
        <v>3979672</v>
      </c>
      <c r="T43" s="160">
        <f>IF(G43="","",IFERROR(IF(S43/R43&gt;'פרמטרים לקריטריונים'!$C$20,1,0),0))</f>
        <v>1</v>
      </c>
      <c r="U43" s="201">
        <v>2251043</v>
      </c>
      <c r="V43" s="160">
        <f>IF(G43="","",IFERROR(IF(U43/R43&gt;'פרמטרים לקריטריונים'!$C$21,1,IF(AND(I43=$BW$5,U43/R43&gt;'פרמטרים לקריטריונים'!$C$22),1,0)),0))</f>
        <v>1</v>
      </c>
      <c r="W43" s="161">
        <v>1</v>
      </c>
      <c r="X43" s="161">
        <v>1</v>
      </c>
      <c r="Y43" s="201">
        <v>800000</v>
      </c>
      <c r="Z43" s="201">
        <v>600000</v>
      </c>
      <c r="AA43" s="161">
        <f t="shared" si="124"/>
        <v>1</v>
      </c>
      <c r="AB43" s="161"/>
      <c r="AC43" s="161"/>
      <c r="AD43" s="161"/>
      <c r="AE43" s="161"/>
      <c r="AF43" s="161"/>
      <c r="AG43" s="161"/>
      <c r="AH43" s="161"/>
      <c r="AI43" s="161"/>
      <c r="AJ43" s="161"/>
      <c r="AK43" s="161"/>
      <c r="AL43" s="161"/>
      <c r="AM43" s="161"/>
      <c r="AN43" s="161"/>
      <c r="AO43" s="161"/>
      <c r="AP43" s="161"/>
      <c r="AQ43" s="161"/>
      <c r="AR43" s="161"/>
      <c r="AS43" s="161"/>
      <c r="AT43" s="161"/>
      <c r="AU43" s="161"/>
      <c r="AV43" s="161"/>
      <c r="AW43" s="160"/>
      <c r="AX43" s="161"/>
      <c r="AY43" s="161"/>
      <c r="AZ43" s="161"/>
      <c r="BA43" s="161"/>
      <c r="BB43" s="161"/>
      <c r="BC43" s="161"/>
      <c r="BD43" s="161"/>
      <c r="BE43" s="161"/>
      <c r="BF43" s="160" t="str">
        <f t="shared" si="125"/>
        <v/>
      </c>
      <c r="BG43" s="160"/>
      <c r="BH43" s="160"/>
      <c r="BI43" s="160"/>
      <c r="BJ43" s="160"/>
      <c r="BK43" s="160"/>
      <c r="BL43" s="162">
        <f t="shared" si="75"/>
        <v>1</v>
      </c>
      <c r="BM43" s="257"/>
      <c r="BN43" s="163"/>
      <c r="BO43" s="211" t="str">
        <f t="shared" si="76"/>
        <v>בית יגאל אלוןמוזיאונים</v>
      </c>
      <c r="BP43" s="125">
        <f t="shared" si="77"/>
        <v>1</v>
      </c>
      <c r="BQ43" s="164">
        <v>0</v>
      </c>
      <c r="BR43" s="164">
        <v>1</v>
      </c>
      <c r="BS43" s="149">
        <f t="shared" si="78"/>
        <v>1</v>
      </c>
      <c r="BT43" s="149">
        <f t="shared" si="79"/>
        <v>1</v>
      </c>
      <c r="BU43" s="149">
        <f t="shared" si="80"/>
        <v>1</v>
      </c>
      <c r="BV43" s="149">
        <f t="shared" si="81"/>
        <v>1</v>
      </c>
      <c r="BW43" s="149">
        <f t="shared" si="82"/>
        <v>1</v>
      </c>
      <c r="BX43" s="149">
        <f t="shared" si="83"/>
        <v>1</v>
      </c>
      <c r="BY43" s="149">
        <f t="shared" si="84"/>
        <v>1</v>
      </c>
      <c r="BZ43" s="149">
        <f t="shared" si="85"/>
        <v>1</v>
      </c>
      <c r="CA43" s="149">
        <f t="shared" si="86"/>
        <v>1</v>
      </c>
      <c r="CB43" s="149">
        <f t="shared" si="87"/>
        <v>1</v>
      </c>
      <c r="CC43" s="149">
        <f t="shared" si="88"/>
        <v>1</v>
      </c>
      <c r="CD43" s="149">
        <f t="shared" si="89"/>
        <v>1</v>
      </c>
      <c r="CE43" s="149">
        <f t="shared" si="90"/>
        <v>1</v>
      </c>
      <c r="CF43" s="149">
        <f t="shared" si="91"/>
        <v>1</v>
      </c>
      <c r="CG43" s="149">
        <f t="shared" si="92"/>
        <v>1</v>
      </c>
      <c r="CH43" s="149">
        <f t="shared" si="93"/>
        <v>1</v>
      </c>
      <c r="CI43" s="149">
        <f t="shared" si="94"/>
        <v>1</v>
      </c>
      <c r="CJ43" s="149">
        <f t="shared" si="95"/>
        <v>1</v>
      </c>
      <c r="CK43" s="149">
        <f t="shared" si="96"/>
        <v>1</v>
      </c>
      <c r="CL43" s="149">
        <f t="shared" si="97"/>
        <v>1</v>
      </c>
      <c r="CM43" s="149">
        <f t="shared" si="98"/>
        <v>1</v>
      </c>
      <c r="CN43" s="149">
        <f t="shared" si="99"/>
        <v>1</v>
      </c>
      <c r="CO43" s="149">
        <f t="shared" si="100"/>
        <v>1</v>
      </c>
      <c r="CP43" s="149">
        <f t="shared" si="101"/>
        <v>1</v>
      </c>
      <c r="CQ43" s="149">
        <f t="shared" si="102"/>
        <v>1</v>
      </c>
      <c r="CR43" s="149">
        <f t="shared" si="103"/>
        <v>1</v>
      </c>
      <c r="CS43" s="149">
        <f t="shared" si="104"/>
        <v>1</v>
      </c>
      <c r="CT43" s="149">
        <f t="shared" si="105"/>
        <v>1</v>
      </c>
      <c r="CU43" s="149">
        <f t="shared" si="106"/>
        <v>1</v>
      </c>
      <c r="CV43" s="149">
        <f t="shared" si="107"/>
        <v>1</v>
      </c>
      <c r="CW43" s="149">
        <f t="shared" si="108"/>
        <v>1</v>
      </c>
      <c r="CX43" s="149">
        <f t="shared" si="109"/>
        <v>1</v>
      </c>
      <c r="CY43" s="149">
        <f t="shared" si="110"/>
        <v>1</v>
      </c>
      <c r="CZ43" s="149">
        <f t="shared" si="111"/>
        <v>1</v>
      </c>
      <c r="DA43" s="149">
        <f t="shared" si="112"/>
        <v>1</v>
      </c>
      <c r="DB43" s="149">
        <f t="shared" si="113"/>
        <v>1</v>
      </c>
      <c r="DG43" s="125">
        <f t="shared" si="126"/>
        <v>1</v>
      </c>
      <c r="DH43" s="125">
        <f t="shared" si="114"/>
        <v>2</v>
      </c>
      <c r="DI43" s="125">
        <f t="shared" si="114"/>
        <v>3</v>
      </c>
      <c r="DJ43" s="125">
        <f t="shared" si="114"/>
        <v>4</v>
      </c>
      <c r="DK43" s="125">
        <f t="shared" si="114"/>
        <v>5</v>
      </c>
      <c r="DL43" s="125">
        <f t="shared" si="114"/>
        <v>6</v>
      </c>
      <c r="DM43" s="125">
        <f t="shared" si="114"/>
        <v>7</v>
      </c>
      <c r="DN43" s="125">
        <f t="shared" si="114"/>
        <v>8</v>
      </c>
      <c r="DO43" s="125">
        <f t="shared" si="114"/>
        <v>9</v>
      </c>
      <c r="DP43" s="125">
        <f t="shared" si="114"/>
        <v>10</v>
      </c>
      <c r="DS43" s="137"/>
      <c r="DT43" s="137"/>
      <c r="DU43" s="137"/>
      <c r="DV43" s="137" t="b">
        <f t="shared" si="115"/>
        <v>0</v>
      </c>
      <c r="DW43" s="137" t="b">
        <f t="shared" si="116"/>
        <v>0</v>
      </c>
      <c r="DX43" s="137" t="b">
        <f t="shared" si="117"/>
        <v>1</v>
      </c>
      <c r="EB43" s="131">
        <f t="shared" si="127"/>
        <v>1</v>
      </c>
      <c r="EC43" s="137" t="b">
        <f t="shared" si="118"/>
        <v>0</v>
      </c>
      <c r="ED43" s="137" t="b">
        <f t="shared" si="119"/>
        <v>0</v>
      </c>
      <c r="EE43" s="137" t="b">
        <f t="shared" si="120"/>
        <v>1</v>
      </c>
      <c r="EF43" s="137"/>
      <c r="EG43" s="137"/>
      <c r="EH43" s="137"/>
      <c r="EI43" s="137"/>
      <c r="EJ43" s="137">
        <f t="shared" si="128"/>
        <v>1</v>
      </c>
      <c r="EK43" s="125">
        <f t="shared" si="121"/>
        <v>0</v>
      </c>
      <c r="EL43" s="125">
        <f t="shared" si="122"/>
        <v>0</v>
      </c>
    </row>
    <row r="44" spans="2:142" ht="15.75" x14ac:dyDescent="0.25">
      <c r="B44" s="160">
        <f t="shared" si="123"/>
        <v>14</v>
      </c>
      <c r="C44" s="205">
        <v>1001348127</v>
      </c>
      <c r="D44" s="205">
        <v>1001268819</v>
      </c>
      <c r="E44" s="205">
        <v>40000028</v>
      </c>
      <c r="F44" s="118">
        <f>IF(OR(J44="",H44=""),"",VLOOKUP(J44,'הזנה לסיווג רשויות'!$B$2:$D$301,2,0))</f>
        <v>20000159</v>
      </c>
      <c r="G44" s="118" t="str">
        <f>IF(OR(J44="",H44=""),"",VLOOKUP(J44,'הזנה לסיווג רשויות'!$B$2:$D$301,3,0))</f>
        <v>ירושלים</v>
      </c>
      <c r="H44" s="281" t="s">
        <v>546</v>
      </c>
      <c r="I44" s="201" t="s">
        <v>381</v>
      </c>
      <c r="J44" s="205">
        <v>3000</v>
      </c>
      <c r="K44" s="161">
        <v>0</v>
      </c>
      <c r="L44" s="161">
        <v>1</v>
      </c>
      <c r="M44" s="161">
        <v>0</v>
      </c>
      <c r="N44" s="161">
        <v>1</v>
      </c>
      <c r="O44" s="161">
        <v>1</v>
      </c>
      <c r="P44" s="161">
        <v>1</v>
      </c>
      <c r="Q44" s="161">
        <v>1</v>
      </c>
      <c r="R44" s="201">
        <v>1457162</v>
      </c>
      <c r="S44" s="201">
        <v>681344</v>
      </c>
      <c r="T44" s="160">
        <f>IF(G44="","",IFERROR(IF(S44/R44&gt;'פרמטרים לקריטריונים'!$C$20,1,0),0))</f>
        <v>1</v>
      </c>
      <c r="U44" s="201">
        <v>567353</v>
      </c>
      <c r="V44" s="160">
        <f>IF(G44="","",IFERROR(IF(U44/R44&gt;'פרמטרים לקריטריונים'!$C$21,1,IF(AND(I44=$BW$5,U44/R44&gt;'פרמטרים לקריטריונים'!$C$22),1,0)),0))</f>
        <v>1</v>
      </c>
      <c r="W44" s="161">
        <v>1</v>
      </c>
      <c r="X44" s="161">
        <v>1</v>
      </c>
      <c r="Y44" s="201">
        <v>2400000</v>
      </c>
      <c r="Z44" s="201">
        <v>200000</v>
      </c>
      <c r="AA44" s="161">
        <f t="shared" si="124"/>
        <v>1</v>
      </c>
      <c r="AB44" s="161"/>
      <c r="AC44" s="161"/>
      <c r="AD44" s="161"/>
      <c r="AE44" s="161"/>
      <c r="AF44" s="161"/>
      <c r="AG44" s="161"/>
      <c r="AH44" s="161"/>
      <c r="AI44" s="161"/>
      <c r="AJ44" s="161"/>
      <c r="AK44" s="161"/>
      <c r="AL44" s="161"/>
      <c r="AM44" s="161"/>
      <c r="AN44" s="161"/>
      <c r="AO44" s="161"/>
      <c r="AP44" s="161"/>
      <c r="AQ44" s="161"/>
      <c r="AR44" s="161"/>
      <c r="AS44" s="161"/>
      <c r="AT44" s="161"/>
      <c r="AU44" s="161"/>
      <c r="AV44" s="161"/>
      <c r="AW44" s="160"/>
      <c r="AX44" s="161"/>
      <c r="AY44" s="161"/>
      <c r="AZ44" s="161"/>
      <c r="BA44" s="161"/>
      <c r="BB44" s="161"/>
      <c r="BC44" s="161"/>
      <c r="BD44" s="161"/>
      <c r="BE44" s="161"/>
      <c r="BF44" s="160" t="str">
        <f t="shared" si="125"/>
        <v/>
      </c>
      <c r="BG44" s="160"/>
      <c r="BH44" s="160"/>
      <c r="BI44" s="160"/>
      <c r="BJ44" s="160"/>
      <c r="BK44" s="160"/>
      <c r="BL44" s="162">
        <f t="shared" si="75"/>
        <v>1</v>
      </c>
      <c r="BM44" s="257"/>
      <c r="BN44" s="163"/>
      <c r="BO44" s="211" t="str">
        <f t="shared" si="76"/>
        <v>הקם בע"מסינמטקים ופסטיבלים</v>
      </c>
      <c r="BP44" s="125">
        <f t="shared" si="77"/>
        <v>1</v>
      </c>
      <c r="BQ44" s="164">
        <v>0</v>
      </c>
      <c r="BR44" s="164">
        <v>1</v>
      </c>
      <c r="BS44" s="149">
        <f t="shared" si="78"/>
        <v>1</v>
      </c>
      <c r="BT44" s="149">
        <f t="shared" si="79"/>
        <v>1</v>
      </c>
      <c r="BU44" s="149">
        <f t="shared" si="80"/>
        <v>1</v>
      </c>
      <c r="BV44" s="149">
        <f t="shared" si="81"/>
        <v>1</v>
      </c>
      <c r="BW44" s="149">
        <f t="shared" si="82"/>
        <v>1</v>
      </c>
      <c r="BX44" s="149">
        <f t="shared" si="83"/>
        <v>1</v>
      </c>
      <c r="BY44" s="149">
        <f t="shared" si="84"/>
        <v>1</v>
      </c>
      <c r="BZ44" s="149">
        <f t="shared" si="85"/>
        <v>1</v>
      </c>
      <c r="CA44" s="149">
        <f t="shared" si="86"/>
        <v>1</v>
      </c>
      <c r="CB44" s="149">
        <f t="shared" si="87"/>
        <v>1</v>
      </c>
      <c r="CC44" s="149">
        <f t="shared" si="88"/>
        <v>1</v>
      </c>
      <c r="CD44" s="149">
        <f t="shared" si="89"/>
        <v>1</v>
      </c>
      <c r="CE44" s="149">
        <f t="shared" si="90"/>
        <v>1</v>
      </c>
      <c r="CF44" s="149">
        <f t="shared" si="91"/>
        <v>1</v>
      </c>
      <c r="CG44" s="149">
        <f t="shared" si="92"/>
        <v>1</v>
      </c>
      <c r="CH44" s="149">
        <f t="shared" si="93"/>
        <v>1</v>
      </c>
      <c r="CI44" s="149">
        <f t="shared" si="94"/>
        <v>1</v>
      </c>
      <c r="CJ44" s="149">
        <f t="shared" si="95"/>
        <v>1</v>
      </c>
      <c r="CK44" s="149">
        <f t="shared" si="96"/>
        <v>1</v>
      </c>
      <c r="CL44" s="149">
        <f t="shared" si="97"/>
        <v>1</v>
      </c>
      <c r="CM44" s="149">
        <f t="shared" si="98"/>
        <v>1</v>
      </c>
      <c r="CN44" s="149">
        <f t="shared" si="99"/>
        <v>1</v>
      </c>
      <c r="CO44" s="149">
        <f t="shared" si="100"/>
        <v>1</v>
      </c>
      <c r="CP44" s="149">
        <f t="shared" si="101"/>
        <v>1</v>
      </c>
      <c r="CQ44" s="149">
        <f t="shared" si="102"/>
        <v>1</v>
      </c>
      <c r="CR44" s="149">
        <f t="shared" si="103"/>
        <v>1</v>
      </c>
      <c r="CS44" s="149">
        <f t="shared" si="104"/>
        <v>1</v>
      </c>
      <c r="CT44" s="149">
        <f t="shared" si="105"/>
        <v>1</v>
      </c>
      <c r="CU44" s="149">
        <f t="shared" si="106"/>
        <v>1</v>
      </c>
      <c r="CV44" s="149">
        <f t="shared" si="107"/>
        <v>1</v>
      </c>
      <c r="CW44" s="149">
        <f t="shared" si="108"/>
        <v>1</v>
      </c>
      <c r="CX44" s="149">
        <f t="shared" si="109"/>
        <v>1</v>
      </c>
      <c r="CY44" s="149">
        <f t="shared" si="110"/>
        <v>1</v>
      </c>
      <c r="CZ44" s="149">
        <f t="shared" si="111"/>
        <v>1</v>
      </c>
      <c r="DA44" s="149">
        <f t="shared" si="112"/>
        <v>1</v>
      </c>
      <c r="DB44" s="149">
        <f t="shared" si="113"/>
        <v>1</v>
      </c>
      <c r="DG44" s="125">
        <f t="shared" si="126"/>
        <v>1</v>
      </c>
      <c r="DH44" s="125">
        <f t="shared" si="114"/>
        <v>2</v>
      </c>
      <c r="DI44" s="125">
        <f t="shared" si="114"/>
        <v>3</v>
      </c>
      <c r="DJ44" s="125">
        <f t="shared" si="114"/>
        <v>4</v>
      </c>
      <c r="DK44" s="125">
        <f t="shared" ref="DH44:DP72" si="129">IF($G44="","",DK$30)</f>
        <v>5</v>
      </c>
      <c r="DL44" s="125">
        <f t="shared" si="129"/>
        <v>6</v>
      </c>
      <c r="DM44" s="125">
        <f t="shared" si="129"/>
        <v>7</v>
      </c>
      <c r="DN44" s="125">
        <f t="shared" si="129"/>
        <v>8</v>
      </c>
      <c r="DO44" s="125">
        <f t="shared" si="129"/>
        <v>9</v>
      </c>
      <c r="DP44" s="125">
        <f t="shared" si="129"/>
        <v>10</v>
      </c>
      <c r="DS44" s="137"/>
      <c r="DT44" s="137"/>
      <c r="DU44" s="137"/>
      <c r="DV44" s="137" t="b">
        <f t="shared" si="115"/>
        <v>0</v>
      </c>
      <c r="DW44" s="137" t="b">
        <f t="shared" si="116"/>
        <v>0</v>
      </c>
      <c r="DX44" s="137" t="b">
        <f t="shared" si="117"/>
        <v>1</v>
      </c>
      <c r="EB44" s="131">
        <f t="shared" si="127"/>
        <v>1</v>
      </c>
      <c r="EC44" s="137" t="b">
        <f t="shared" si="118"/>
        <v>0</v>
      </c>
      <c r="ED44" s="137" t="b">
        <f t="shared" si="119"/>
        <v>0</v>
      </c>
      <c r="EE44" s="137" t="b">
        <f t="shared" si="120"/>
        <v>1</v>
      </c>
      <c r="EF44" s="137"/>
      <c r="EG44" s="137"/>
      <c r="EH44" s="137"/>
      <c r="EI44" s="137"/>
      <c r="EJ44" s="137">
        <f t="shared" si="128"/>
        <v>1</v>
      </c>
      <c r="EK44" s="125">
        <f t="shared" si="121"/>
        <v>0</v>
      </c>
      <c r="EL44" s="125">
        <f t="shared" si="122"/>
        <v>0</v>
      </c>
    </row>
    <row r="45" spans="2:142" ht="15.75" x14ac:dyDescent="0.25">
      <c r="B45" s="160">
        <f t="shared" si="123"/>
        <v>15</v>
      </c>
      <c r="C45" s="205">
        <v>1001346801</v>
      </c>
      <c r="D45" s="205">
        <v>1001274535</v>
      </c>
      <c r="E45" s="205">
        <v>40000095</v>
      </c>
      <c r="F45" s="118">
        <f>IF(OR(J45="",H45=""),"",VLOOKUP(J45,'הזנה לסיווג רשויות'!$B$2:$D$301,2,0))</f>
        <v>20000182</v>
      </c>
      <c r="G45" s="118" t="str">
        <f>IF(OR(J45="",H45=""),"",VLOOKUP(J45,'הזנה לסיווג רשויות'!$B$2:$D$301,3,0))</f>
        <v>חיפה</v>
      </c>
      <c r="H45" s="281" t="s">
        <v>547</v>
      </c>
      <c r="I45" s="201" t="s">
        <v>373</v>
      </c>
      <c r="J45" s="205">
        <v>4000</v>
      </c>
      <c r="K45" s="161">
        <v>0</v>
      </c>
      <c r="L45" s="161">
        <v>1</v>
      </c>
      <c r="M45" s="161">
        <v>0</v>
      </c>
      <c r="N45" s="161">
        <v>1</v>
      </c>
      <c r="O45" s="161">
        <v>1</v>
      </c>
      <c r="P45" s="161">
        <v>1</v>
      </c>
      <c r="Q45" s="161">
        <v>1</v>
      </c>
      <c r="R45" s="201">
        <v>2697522</v>
      </c>
      <c r="S45" s="201">
        <v>696342</v>
      </c>
      <c r="T45" s="160">
        <f>IF(G45="","",IFERROR(IF(S45/R45&gt;'פרמטרים לקריטריונים'!$C$20,1,0),0))</f>
        <v>1</v>
      </c>
      <c r="U45" s="201">
        <v>696342</v>
      </c>
      <c r="V45" s="160">
        <f>IF(G45="","",IFERROR(IF(U45/R45&gt;'פרמטרים לקריטריונים'!$C$21,1,IF(AND(I45=$BW$5,U45/R45&gt;'פרמטרים לקריטריונים'!$C$22),1,0)),0))</f>
        <v>1</v>
      </c>
      <c r="W45" s="161">
        <v>1</v>
      </c>
      <c r="X45" s="161">
        <v>1</v>
      </c>
      <c r="Y45" s="201">
        <v>600000</v>
      </c>
      <c r="Z45" s="201">
        <v>100000</v>
      </c>
      <c r="AA45" s="161">
        <f t="shared" si="124"/>
        <v>1</v>
      </c>
      <c r="AB45" s="161"/>
      <c r="AC45" s="161"/>
      <c r="AD45" s="161"/>
      <c r="AE45" s="161"/>
      <c r="AF45" s="161"/>
      <c r="AG45" s="161"/>
      <c r="AH45" s="161"/>
      <c r="AI45" s="161"/>
      <c r="AJ45" s="161"/>
      <c r="AK45" s="161"/>
      <c r="AL45" s="161"/>
      <c r="AM45" s="161"/>
      <c r="AN45" s="161"/>
      <c r="AO45" s="161"/>
      <c r="AP45" s="161"/>
      <c r="AQ45" s="161"/>
      <c r="AR45" s="161"/>
      <c r="AS45" s="161"/>
      <c r="AT45" s="161"/>
      <c r="AU45" s="161"/>
      <c r="AV45" s="161"/>
      <c r="AW45" s="160"/>
      <c r="AX45" s="161"/>
      <c r="AY45" s="161"/>
      <c r="AZ45" s="161"/>
      <c r="BA45" s="161"/>
      <c r="BB45" s="161"/>
      <c r="BC45" s="161"/>
      <c r="BD45" s="161"/>
      <c r="BE45" s="161"/>
      <c r="BF45" s="160" t="str">
        <f t="shared" si="125"/>
        <v/>
      </c>
      <c r="BG45" s="160"/>
      <c r="BH45" s="160"/>
      <c r="BI45" s="160"/>
      <c r="BJ45" s="160"/>
      <c r="BK45" s="160"/>
      <c r="BL45" s="162">
        <f t="shared" si="75"/>
        <v>1</v>
      </c>
      <c r="BM45" s="257"/>
      <c r="BN45" s="163"/>
      <c r="BO45" s="211" t="str">
        <f t="shared" si="76"/>
        <v>בית גפן - מרכז תרבות ערבי יהודיתיאטרון</v>
      </c>
      <c r="BP45" s="125">
        <f t="shared" si="77"/>
        <v>1</v>
      </c>
      <c r="BQ45" s="164">
        <v>0</v>
      </c>
      <c r="BR45" s="164">
        <v>1</v>
      </c>
      <c r="BS45" s="149">
        <f t="shared" si="78"/>
        <v>1</v>
      </c>
      <c r="BT45" s="149">
        <f t="shared" si="79"/>
        <v>1</v>
      </c>
      <c r="BU45" s="149">
        <f t="shared" si="80"/>
        <v>1</v>
      </c>
      <c r="BV45" s="149">
        <f t="shared" si="81"/>
        <v>1</v>
      </c>
      <c r="BW45" s="149">
        <f t="shared" si="82"/>
        <v>1</v>
      </c>
      <c r="BX45" s="149">
        <f t="shared" si="83"/>
        <v>1</v>
      </c>
      <c r="BY45" s="149">
        <f t="shared" si="84"/>
        <v>1</v>
      </c>
      <c r="BZ45" s="149">
        <f t="shared" si="85"/>
        <v>1</v>
      </c>
      <c r="CA45" s="149">
        <f t="shared" si="86"/>
        <v>1</v>
      </c>
      <c r="CB45" s="149">
        <f t="shared" si="87"/>
        <v>1</v>
      </c>
      <c r="CC45" s="149">
        <f t="shared" si="88"/>
        <v>1</v>
      </c>
      <c r="CD45" s="149">
        <f t="shared" si="89"/>
        <v>1</v>
      </c>
      <c r="CE45" s="149">
        <f t="shared" si="90"/>
        <v>1</v>
      </c>
      <c r="CF45" s="149">
        <f t="shared" si="91"/>
        <v>1</v>
      </c>
      <c r="CG45" s="149">
        <f t="shared" si="92"/>
        <v>1</v>
      </c>
      <c r="CH45" s="149">
        <f t="shared" si="93"/>
        <v>1</v>
      </c>
      <c r="CI45" s="149">
        <f t="shared" si="94"/>
        <v>1</v>
      </c>
      <c r="CJ45" s="149">
        <f t="shared" si="95"/>
        <v>1</v>
      </c>
      <c r="CK45" s="149">
        <f t="shared" si="96"/>
        <v>1</v>
      </c>
      <c r="CL45" s="149">
        <f t="shared" si="97"/>
        <v>1</v>
      </c>
      <c r="CM45" s="149">
        <f t="shared" si="98"/>
        <v>1</v>
      </c>
      <c r="CN45" s="149">
        <f t="shared" si="99"/>
        <v>1</v>
      </c>
      <c r="CO45" s="149">
        <f t="shared" si="100"/>
        <v>1</v>
      </c>
      <c r="CP45" s="149">
        <f t="shared" si="101"/>
        <v>1</v>
      </c>
      <c r="CQ45" s="149">
        <f t="shared" si="102"/>
        <v>1</v>
      </c>
      <c r="CR45" s="149">
        <f t="shared" si="103"/>
        <v>1</v>
      </c>
      <c r="CS45" s="149">
        <f t="shared" si="104"/>
        <v>1</v>
      </c>
      <c r="CT45" s="149">
        <f t="shared" si="105"/>
        <v>1</v>
      </c>
      <c r="CU45" s="149">
        <f t="shared" si="106"/>
        <v>1</v>
      </c>
      <c r="CV45" s="149">
        <f t="shared" si="107"/>
        <v>1</v>
      </c>
      <c r="CW45" s="149">
        <f t="shared" si="108"/>
        <v>1</v>
      </c>
      <c r="CX45" s="149">
        <f t="shared" si="109"/>
        <v>1</v>
      </c>
      <c r="CY45" s="149">
        <f t="shared" si="110"/>
        <v>1</v>
      </c>
      <c r="CZ45" s="149">
        <f t="shared" si="111"/>
        <v>1</v>
      </c>
      <c r="DA45" s="149">
        <f t="shared" si="112"/>
        <v>1</v>
      </c>
      <c r="DB45" s="149">
        <f t="shared" si="113"/>
        <v>1</v>
      </c>
      <c r="DG45" s="125">
        <f t="shared" si="126"/>
        <v>1</v>
      </c>
      <c r="DH45" s="125">
        <f t="shared" si="129"/>
        <v>2</v>
      </c>
      <c r="DI45" s="125">
        <f t="shared" si="129"/>
        <v>3</v>
      </c>
      <c r="DJ45" s="125">
        <f t="shared" si="129"/>
        <v>4</v>
      </c>
      <c r="DK45" s="125">
        <f t="shared" si="129"/>
        <v>5</v>
      </c>
      <c r="DL45" s="125">
        <f t="shared" si="129"/>
        <v>6</v>
      </c>
      <c r="DM45" s="125">
        <f t="shared" si="129"/>
        <v>7</v>
      </c>
      <c r="DN45" s="125">
        <f t="shared" si="129"/>
        <v>8</v>
      </c>
      <c r="DO45" s="125">
        <f t="shared" si="129"/>
        <v>9</v>
      </c>
      <c r="DP45" s="125">
        <f t="shared" si="129"/>
        <v>10</v>
      </c>
      <c r="DS45" s="137"/>
      <c r="DT45" s="137"/>
      <c r="DU45" s="137"/>
      <c r="DV45" s="137" t="b">
        <f t="shared" si="115"/>
        <v>0</v>
      </c>
      <c r="DW45" s="137" t="b">
        <f t="shared" si="116"/>
        <v>0</v>
      </c>
      <c r="DX45" s="137" t="b">
        <f t="shared" si="117"/>
        <v>1</v>
      </c>
      <c r="EB45" s="131">
        <f t="shared" si="127"/>
        <v>1</v>
      </c>
      <c r="EC45" s="137" t="b">
        <f t="shared" si="118"/>
        <v>0</v>
      </c>
      <c r="ED45" s="137" t="b">
        <f t="shared" si="119"/>
        <v>0</v>
      </c>
      <c r="EE45" s="137" t="b">
        <f t="shared" si="120"/>
        <v>1</v>
      </c>
      <c r="EF45" s="137"/>
      <c r="EG45" s="137"/>
      <c r="EH45" s="137"/>
      <c r="EI45" s="137"/>
      <c r="EJ45" s="137">
        <f t="shared" si="128"/>
        <v>1</v>
      </c>
      <c r="EK45" s="125">
        <f t="shared" si="121"/>
        <v>0</v>
      </c>
      <c r="EL45" s="125">
        <f t="shared" si="122"/>
        <v>0</v>
      </c>
    </row>
    <row r="46" spans="2:142" ht="15.75" x14ac:dyDescent="0.25">
      <c r="B46" s="160">
        <f t="shared" si="123"/>
        <v>16</v>
      </c>
      <c r="C46" s="205">
        <v>1001348773</v>
      </c>
      <c r="D46" s="205">
        <v>1001262086</v>
      </c>
      <c r="E46" s="205">
        <v>40000043</v>
      </c>
      <c r="F46" s="118">
        <f>IF(OR(J46="",H46=""),"",VLOOKUP(J46,'הזנה לסיווג רשויות'!$B$2:$D$301,2,0))</f>
        <v>20000159</v>
      </c>
      <c r="G46" s="118" t="str">
        <f>IF(OR(J46="",H46=""),"",VLOOKUP(J46,'הזנה לסיווג רשויות'!$B$2:$D$301,3,0))</f>
        <v>ירושלים</v>
      </c>
      <c r="H46" s="281" t="s">
        <v>548</v>
      </c>
      <c r="I46" s="201" t="s">
        <v>375</v>
      </c>
      <c r="J46" s="205">
        <v>3000</v>
      </c>
      <c r="K46" s="161">
        <v>0</v>
      </c>
      <c r="L46" s="161">
        <v>1</v>
      </c>
      <c r="M46" s="161">
        <v>0</v>
      </c>
      <c r="N46" s="161">
        <v>1</v>
      </c>
      <c r="O46" s="161">
        <v>1</v>
      </c>
      <c r="P46" s="161">
        <v>1</v>
      </c>
      <c r="Q46" s="161">
        <v>1</v>
      </c>
      <c r="R46" s="201">
        <v>120115000</v>
      </c>
      <c r="S46" s="201">
        <v>96928000</v>
      </c>
      <c r="T46" s="160">
        <f>IF(G46="","",IFERROR(IF(S46/R46&gt;'פרמטרים לקריטריונים'!$C$20,1,0),0))</f>
        <v>1</v>
      </c>
      <c r="U46" s="201">
        <v>19434000</v>
      </c>
      <c r="V46" s="160">
        <f>IF(G46="","",IFERROR(IF(U46/R46&gt;'פרמטרים לקריטריונים'!$C$21,1,IF(AND(I46=$BW$5,U46/R46&gt;'פרמטרים לקריטריונים'!$C$22),1,0)),0))</f>
        <v>1</v>
      </c>
      <c r="W46" s="161">
        <v>1</v>
      </c>
      <c r="X46" s="161">
        <v>1</v>
      </c>
      <c r="Y46" s="201">
        <v>35000000</v>
      </c>
      <c r="Z46" s="201">
        <v>25000000</v>
      </c>
      <c r="AA46" s="161">
        <f t="shared" si="124"/>
        <v>1</v>
      </c>
      <c r="AB46" s="161"/>
      <c r="AC46" s="161"/>
      <c r="AD46" s="161"/>
      <c r="AE46" s="161"/>
      <c r="AF46" s="161"/>
      <c r="AG46" s="161"/>
      <c r="AH46" s="161"/>
      <c r="AI46" s="161"/>
      <c r="AJ46" s="161"/>
      <c r="AK46" s="161"/>
      <c r="AL46" s="161"/>
      <c r="AM46" s="161"/>
      <c r="AN46" s="161"/>
      <c r="AO46" s="161"/>
      <c r="AP46" s="161"/>
      <c r="AQ46" s="161"/>
      <c r="AR46" s="161"/>
      <c r="AS46" s="161"/>
      <c r="AT46" s="161"/>
      <c r="AU46" s="161"/>
      <c r="AV46" s="161"/>
      <c r="AW46" s="160"/>
      <c r="AX46" s="161"/>
      <c r="AY46" s="161"/>
      <c r="AZ46" s="161"/>
      <c r="BA46" s="161"/>
      <c r="BB46" s="161"/>
      <c r="BC46" s="161"/>
      <c r="BD46" s="161"/>
      <c r="BE46" s="161"/>
      <c r="BF46" s="160" t="str">
        <f t="shared" si="125"/>
        <v/>
      </c>
      <c r="BG46" s="160"/>
      <c r="BH46" s="160"/>
      <c r="BI46" s="160"/>
      <c r="BJ46" s="160"/>
      <c r="BK46" s="160"/>
      <c r="BL46" s="162">
        <f t="shared" si="75"/>
        <v>1</v>
      </c>
      <c r="BM46" s="257"/>
      <c r="BN46" s="163"/>
      <c r="BO46" s="211" t="str">
        <f t="shared" si="76"/>
        <v>מוזיאון ישראלמוזיאונים</v>
      </c>
      <c r="BP46" s="125">
        <f t="shared" si="77"/>
        <v>1</v>
      </c>
      <c r="BQ46" s="164">
        <v>0</v>
      </c>
      <c r="BR46" s="164">
        <v>1</v>
      </c>
      <c r="BS46" s="149">
        <f t="shared" si="78"/>
        <v>1</v>
      </c>
      <c r="BT46" s="149">
        <f t="shared" si="79"/>
        <v>1</v>
      </c>
      <c r="BU46" s="149">
        <f t="shared" si="80"/>
        <v>1</v>
      </c>
      <c r="BV46" s="149">
        <f t="shared" si="81"/>
        <v>1</v>
      </c>
      <c r="BW46" s="149">
        <f t="shared" si="82"/>
        <v>1</v>
      </c>
      <c r="BX46" s="149">
        <f t="shared" si="83"/>
        <v>1</v>
      </c>
      <c r="BY46" s="149">
        <f t="shared" si="84"/>
        <v>1</v>
      </c>
      <c r="BZ46" s="149">
        <f t="shared" si="85"/>
        <v>1</v>
      </c>
      <c r="CA46" s="149">
        <f t="shared" si="86"/>
        <v>1</v>
      </c>
      <c r="CB46" s="149">
        <f t="shared" si="87"/>
        <v>1</v>
      </c>
      <c r="CC46" s="149">
        <f t="shared" si="88"/>
        <v>1</v>
      </c>
      <c r="CD46" s="149">
        <f t="shared" si="89"/>
        <v>1</v>
      </c>
      <c r="CE46" s="149">
        <f t="shared" si="90"/>
        <v>1</v>
      </c>
      <c r="CF46" s="149">
        <f t="shared" si="91"/>
        <v>1</v>
      </c>
      <c r="CG46" s="149">
        <f t="shared" si="92"/>
        <v>1</v>
      </c>
      <c r="CH46" s="149">
        <f t="shared" si="93"/>
        <v>1</v>
      </c>
      <c r="CI46" s="149">
        <f t="shared" si="94"/>
        <v>1</v>
      </c>
      <c r="CJ46" s="149">
        <f t="shared" si="95"/>
        <v>1</v>
      </c>
      <c r="CK46" s="149">
        <f t="shared" si="96"/>
        <v>1</v>
      </c>
      <c r="CL46" s="149">
        <f t="shared" si="97"/>
        <v>1</v>
      </c>
      <c r="CM46" s="149">
        <f t="shared" si="98"/>
        <v>1</v>
      </c>
      <c r="CN46" s="149">
        <f t="shared" si="99"/>
        <v>1</v>
      </c>
      <c r="CO46" s="149">
        <f t="shared" si="100"/>
        <v>1</v>
      </c>
      <c r="CP46" s="149">
        <f t="shared" si="101"/>
        <v>1</v>
      </c>
      <c r="CQ46" s="149">
        <f t="shared" si="102"/>
        <v>1</v>
      </c>
      <c r="CR46" s="149">
        <f t="shared" si="103"/>
        <v>1</v>
      </c>
      <c r="CS46" s="149">
        <f t="shared" si="104"/>
        <v>1</v>
      </c>
      <c r="CT46" s="149">
        <f t="shared" si="105"/>
        <v>1</v>
      </c>
      <c r="CU46" s="149">
        <f t="shared" si="106"/>
        <v>1</v>
      </c>
      <c r="CV46" s="149">
        <f t="shared" si="107"/>
        <v>1</v>
      </c>
      <c r="CW46" s="149">
        <f t="shared" si="108"/>
        <v>1</v>
      </c>
      <c r="CX46" s="149">
        <f t="shared" si="109"/>
        <v>1</v>
      </c>
      <c r="CY46" s="149">
        <f t="shared" si="110"/>
        <v>1</v>
      </c>
      <c r="CZ46" s="149">
        <f t="shared" si="111"/>
        <v>1</v>
      </c>
      <c r="DA46" s="149">
        <f t="shared" si="112"/>
        <v>1</v>
      </c>
      <c r="DB46" s="149">
        <f t="shared" si="113"/>
        <v>1</v>
      </c>
      <c r="DG46" s="125">
        <f t="shared" si="126"/>
        <v>1</v>
      </c>
      <c r="DH46" s="125">
        <f t="shared" si="129"/>
        <v>2</v>
      </c>
      <c r="DI46" s="125">
        <f t="shared" si="129"/>
        <v>3</v>
      </c>
      <c r="DJ46" s="125">
        <f t="shared" si="129"/>
        <v>4</v>
      </c>
      <c r="DK46" s="125">
        <f t="shared" si="129"/>
        <v>5</v>
      </c>
      <c r="DL46" s="125">
        <f t="shared" si="129"/>
        <v>6</v>
      </c>
      <c r="DM46" s="125">
        <f t="shared" si="129"/>
        <v>7</v>
      </c>
      <c r="DN46" s="125">
        <f t="shared" si="129"/>
        <v>8</v>
      </c>
      <c r="DO46" s="125">
        <f t="shared" si="129"/>
        <v>9</v>
      </c>
      <c r="DP46" s="125">
        <f t="shared" si="129"/>
        <v>10</v>
      </c>
      <c r="DS46" s="137"/>
      <c r="DT46" s="137"/>
      <c r="DU46" s="137"/>
      <c r="DV46" s="137" t="b">
        <f t="shared" si="115"/>
        <v>0</v>
      </c>
      <c r="DW46" s="137" t="b">
        <f t="shared" si="116"/>
        <v>0</v>
      </c>
      <c r="DX46" s="137" t="b">
        <f t="shared" si="117"/>
        <v>1</v>
      </c>
      <c r="EB46" s="131">
        <f t="shared" si="127"/>
        <v>1</v>
      </c>
      <c r="EC46" s="137" t="b">
        <f t="shared" si="118"/>
        <v>0</v>
      </c>
      <c r="ED46" s="137" t="b">
        <f t="shared" si="119"/>
        <v>0</v>
      </c>
      <c r="EE46" s="137" t="b">
        <f t="shared" si="120"/>
        <v>1</v>
      </c>
      <c r="EF46" s="137"/>
      <c r="EG46" s="137"/>
      <c r="EH46" s="137"/>
      <c r="EI46" s="137"/>
      <c r="EJ46" s="137">
        <f t="shared" si="128"/>
        <v>1</v>
      </c>
      <c r="EK46" s="125">
        <f t="shared" si="121"/>
        <v>0</v>
      </c>
      <c r="EL46" s="125">
        <f t="shared" si="122"/>
        <v>0</v>
      </c>
    </row>
    <row r="47" spans="2:142" ht="15.75" x14ac:dyDescent="0.25">
      <c r="B47" s="160">
        <f t="shared" si="123"/>
        <v>17</v>
      </c>
      <c r="C47" s="205">
        <v>1001346968</v>
      </c>
      <c r="D47" s="205">
        <v>1001266786</v>
      </c>
      <c r="E47" s="205">
        <v>40000128</v>
      </c>
      <c r="F47" s="118">
        <f>IF(OR(J47="",H47=""),"",VLOOKUP(J47,'הזנה לסיווג רשויות'!$B$2:$D$301,2,0))</f>
        <v>20000184</v>
      </c>
      <c r="G47" s="118" t="str">
        <f>IF(OR(J47="",H47=""),"",VLOOKUP(J47,'הזנה לסיווג רשויות'!$B$2:$D$301,3,0))</f>
        <v>קצרין</v>
      </c>
      <c r="H47" s="281" t="s">
        <v>549</v>
      </c>
      <c r="I47" s="201" t="s">
        <v>375</v>
      </c>
      <c r="J47" s="205">
        <v>4100</v>
      </c>
      <c r="K47" s="161">
        <v>0</v>
      </c>
      <c r="L47" s="161">
        <v>1</v>
      </c>
      <c r="M47" s="161">
        <v>0</v>
      </c>
      <c r="N47" s="161">
        <v>1</v>
      </c>
      <c r="O47" s="161">
        <v>1</v>
      </c>
      <c r="P47" s="161">
        <v>1</v>
      </c>
      <c r="Q47" s="161">
        <v>1</v>
      </c>
      <c r="R47" s="201">
        <v>2389517</v>
      </c>
      <c r="S47" s="201">
        <v>1428169</v>
      </c>
      <c r="T47" s="160">
        <f>IF(G47="","",IFERROR(IF(S47/R47&gt;'פרמטרים לקריטריונים'!$C$20,1,0),0))</f>
        <v>1</v>
      </c>
      <c r="U47" s="201">
        <v>524700</v>
      </c>
      <c r="V47" s="160">
        <f>IF(G47="","",IFERROR(IF(U47/R47&gt;'פרמטרים לקריטריונים'!$C$21,1,IF(AND(I47=$BW$5,U47/R47&gt;'פרמטרים לקריטריונים'!$C$22),1,0)),0))</f>
        <v>1</v>
      </c>
      <c r="W47" s="161">
        <v>1</v>
      </c>
      <c r="X47" s="161">
        <v>1</v>
      </c>
      <c r="Y47" s="201">
        <v>500000</v>
      </c>
      <c r="Z47" s="201">
        <v>500000</v>
      </c>
      <c r="AA47" s="161">
        <f t="shared" si="124"/>
        <v>1</v>
      </c>
      <c r="AB47" s="161"/>
      <c r="AC47" s="161"/>
      <c r="AD47" s="161"/>
      <c r="AE47" s="161"/>
      <c r="AF47" s="161"/>
      <c r="AG47" s="161"/>
      <c r="AH47" s="161"/>
      <c r="AI47" s="161"/>
      <c r="AJ47" s="161"/>
      <c r="AK47" s="161"/>
      <c r="AL47" s="161"/>
      <c r="AM47" s="161"/>
      <c r="AN47" s="161"/>
      <c r="AO47" s="161"/>
      <c r="AP47" s="161"/>
      <c r="AQ47" s="161"/>
      <c r="AR47" s="161"/>
      <c r="AS47" s="161"/>
      <c r="AT47" s="161"/>
      <c r="AU47" s="161"/>
      <c r="AV47" s="161"/>
      <c r="AW47" s="160"/>
      <c r="AX47" s="161"/>
      <c r="AY47" s="161"/>
      <c r="AZ47" s="161"/>
      <c r="BA47" s="161"/>
      <c r="BB47" s="161"/>
      <c r="BC47" s="161"/>
      <c r="BD47" s="161"/>
      <c r="BE47" s="161"/>
      <c r="BF47" s="160" t="str">
        <f t="shared" si="125"/>
        <v/>
      </c>
      <c r="BG47" s="160"/>
      <c r="BH47" s="160"/>
      <c r="BI47" s="160"/>
      <c r="BJ47" s="160"/>
      <c r="BK47" s="160"/>
      <c r="BL47" s="162">
        <f t="shared" si="75"/>
        <v>1</v>
      </c>
      <c r="BM47" s="257"/>
      <c r="BN47" s="163"/>
      <c r="BO47" s="211" t="str">
        <f t="shared" si="76"/>
        <v>מוזיאון עתיקות הגולןמוזיאונים</v>
      </c>
      <c r="BP47" s="125">
        <f t="shared" si="77"/>
        <v>1</v>
      </c>
      <c r="BQ47" s="164">
        <v>0</v>
      </c>
      <c r="BR47" s="164">
        <v>1</v>
      </c>
      <c r="BS47" s="149">
        <f t="shared" si="78"/>
        <v>1</v>
      </c>
      <c r="BT47" s="149">
        <f t="shared" si="79"/>
        <v>1</v>
      </c>
      <c r="BU47" s="149">
        <f t="shared" si="80"/>
        <v>1</v>
      </c>
      <c r="BV47" s="149">
        <f t="shared" si="81"/>
        <v>1</v>
      </c>
      <c r="BW47" s="149">
        <f t="shared" si="82"/>
        <v>1</v>
      </c>
      <c r="BX47" s="149">
        <f t="shared" si="83"/>
        <v>1</v>
      </c>
      <c r="BY47" s="149">
        <f t="shared" si="84"/>
        <v>1</v>
      </c>
      <c r="BZ47" s="149">
        <f t="shared" si="85"/>
        <v>1</v>
      </c>
      <c r="CA47" s="149">
        <f t="shared" si="86"/>
        <v>1</v>
      </c>
      <c r="CB47" s="149">
        <f t="shared" si="87"/>
        <v>1</v>
      </c>
      <c r="CC47" s="149">
        <f t="shared" si="88"/>
        <v>1</v>
      </c>
      <c r="CD47" s="149">
        <f t="shared" si="89"/>
        <v>1</v>
      </c>
      <c r="CE47" s="149">
        <f t="shared" si="90"/>
        <v>1</v>
      </c>
      <c r="CF47" s="149">
        <f t="shared" si="91"/>
        <v>1</v>
      </c>
      <c r="CG47" s="149">
        <f t="shared" si="92"/>
        <v>1</v>
      </c>
      <c r="CH47" s="149">
        <f t="shared" si="93"/>
        <v>1</v>
      </c>
      <c r="CI47" s="149">
        <f t="shared" si="94"/>
        <v>1</v>
      </c>
      <c r="CJ47" s="149">
        <f t="shared" si="95"/>
        <v>1</v>
      </c>
      <c r="CK47" s="149">
        <f t="shared" si="96"/>
        <v>1</v>
      </c>
      <c r="CL47" s="149">
        <f t="shared" si="97"/>
        <v>1</v>
      </c>
      <c r="CM47" s="149">
        <f t="shared" si="98"/>
        <v>1</v>
      </c>
      <c r="CN47" s="149">
        <f t="shared" si="99"/>
        <v>1</v>
      </c>
      <c r="CO47" s="149">
        <f t="shared" si="100"/>
        <v>1</v>
      </c>
      <c r="CP47" s="149">
        <f t="shared" si="101"/>
        <v>1</v>
      </c>
      <c r="CQ47" s="149">
        <f t="shared" si="102"/>
        <v>1</v>
      </c>
      <c r="CR47" s="149">
        <f t="shared" si="103"/>
        <v>1</v>
      </c>
      <c r="CS47" s="149">
        <f t="shared" si="104"/>
        <v>1</v>
      </c>
      <c r="CT47" s="149">
        <f t="shared" si="105"/>
        <v>1</v>
      </c>
      <c r="CU47" s="149">
        <f t="shared" si="106"/>
        <v>1</v>
      </c>
      <c r="CV47" s="149">
        <f t="shared" si="107"/>
        <v>1</v>
      </c>
      <c r="CW47" s="149">
        <f t="shared" si="108"/>
        <v>1</v>
      </c>
      <c r="CX47" s="149">
        <f t="shared" si="109"/>
        <v>1</v>
      </c>
      <c r="CY47" s="149">
        <f t="shared" si="110"/>
        <v>1</v>
      </c>
      <c r="CZ47" s="149">
        <f t="shared" si="111"/>
        <v>1</v>
      </c>
      <c r="DA47" s="149">
        <f t="shared" si="112"/>
        <v>1</v>
      </c>
      <c r="DB47" s="149">
        <f t="shared" si="113"/>
        <v>1</v>
      </c>
      <c r="DG47" s="125">
        <f t="shared" si="126"/>
        <v>1</v>
      </c>
      <c r="DH47" s="125">
        <f t="shared" si="129"/>
        <v>2</v>
      </c>
      <c r="DI47" s="125">
        <f t="shared" si="129"/>
        <v>3</v>
      </c>
      <c r="DJ47" s="125">
        <f t="shared" si="129"/>
        <v>4</v>
      </c>
      <c r="DK47" s="125">
        <f t="shared" si="129"/>
        <v>5</v>
      </c>
      <c r="DL47" s="125">
        <f t="shared" si="129"/>
        <v>6</v>
      </c>
      <c r="DM47" s="125">
        <f t="shared" si="129"/>
        <v>7</v>
      </c>
      <c r="DN47" s="125">
        <f t="shared" si="129"/>
        <v>8</v>
      </c>
      <c r="DO47" s="125">
        <f t="shared" si="129"/>
        <v>9</v>
      </c>
      <c r="DP47" s="125">
        <f t="shared" si="129"/>
        <v>10</v>
      </c>
      <c r="DS47" s="137"/>
      <c r="DT47" s="137"/>
      <c r="DU47" s="137"/>
      <c r="DV47" s="137" t="b">
        <f t="shared" si="115"/>
        <v>0</v>
      </c>
      <c r="DW47" s="137" t="b">
        <f t="shared" si="116"/>
        <v>0</v>
      </c>
      <c r="DX47" s="137" t="b">
        <f t="shared" si="117"/>
        <v>1</v>
      </c>
      <c r="EB47" s="131">
        <f t="shared" si="127"/>
        <v>1</v>
      </c>
      <c r="EC47" s="137" t="b">
        <f t="shared" si="118"/>
        <v>0</v>
      </c>
      <c r="ED47" s="137" t="b">
        <f t="shared" si="119"/>
        <v>0</v>
      </c>
      <c r="EE47" s="137" t="b">
        <f t="shared" si="120"/>
        <v>1</v>
      </c>
      <c r="EF47" s="137"/>
      <c r="EG47" s="137"/>
      <c r="EH47" s="137"/>
      <c r="EI47" s="137"/>
      <c r="EJ47" s="137">
        <f t="shared" si="128"/>
        <v>1</v>
      </c>
      <c r="EK47" s="125">
        <f t="shared" si="121"/>
        <v>0</v>
      </c>
      <c r="EL47" s="125">
        <f t="shared" si="122"/>
        <v>0</v>
      </c>
    </row>
    <row r="48" spans="2:142" ht="15.75" x14ac:dyDescent="0.25">
      <c r="B48" s="160">
        <f t="shared" si="123"/>
        <v>18</v>
      </c>
      <c r="C48" s="205">
        <v>1001346240</v>
      </c>
      <c r="D48" s="205">
        <v>1001273528</v>
      </c>
      <c r="E48" s="205">
        <v>40000133</v>
      </c>
      <c r="F48" s="118">
        <f>IF(OR(J48="",H48=""),"",VLOOKUP(J48,'הזנה לסיווג רשויות'!$B$2:$D$301,2,0))</f>
        <v>20000201</v>
      </c>
      <c r="G48" s="118" t="str">
        <f>IF(OR(J48="",H48=""),"",VLOOKUP(J48,'הזנה לסיווג רשויות'!$B$2:$D$301,3,0))</f>
        <v>תל אביב -יפו</v>
      </c>
      <c r="H48" s="281" t="s">
        <v>550</v>
      </c>
      <c r="I48" s="201" t="s">
        <v>389</v>
      </c>
      <c r="J48" s="205">
        <v>5000</v>
      </c>
      <c r="K48" s="161">
        <v>0</v>
      </c>
      <c r="L48" s="161">
        <v>1</v>
      </c>
      <c r="M48" s="161">
        <v>0</v>
      </c>
      <c r="N48" s="161">
        <v>1</v>
      </c>
      <c r="O48" s="161">
        <v>1</v>
      </c>
      <c r="P48" s="161">
        <v>1</v>
      </c>
      <c r="Q48" s="161">
        <v>1</v>
      </c>
      <c r="R48" s="201">
        <v>74042000</v>
      </c>
      <c r="S48" s="201">
        <v>44742000</v>
      </c>
      <c r="T48" s="160">
        <f>IF(G48="","",IFERROR(IF(S48/R48&gt;'פרמטרים לקריטריונים'!$C$20,1,0),0))</f>
        <v>1</v>
      </c>
      <c r="U48" s="201">
        <v>31193000</v>
      </c>
      <c r="V48" s="160">
        <f>IF(G48="","",IFERROR(IF(U48/R48&gt;'פרמטרים לקריטריונים'!$C$21,1,IF(AND(I48=$BW$5,U48/R48&gt;'פרמטרים לקריטריונים'!$C$22),1,0)),0))</f>
        <v>1</v>
      </c>
      <c r="W48" s="161">
        <v>1</v>
      </c>
      <c r="X48" s="161">
        <v>1</v>
      </c>
      <c r="Y48" s="201">
        <v>10000000</v>
      </c>
      <c r="Z48" s="201">
        <v>3500000</v>
      </c>
      <c r="AA48" s="161">
        <f t="shared" si="124"/>
        <v>1</v>
      </c>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0"/>
      <c r="AX48" s="161"/>
      <c r="AY48" s="161"/>
      <c r="AZ48" s="161"/>
      <c r="BA48" s="161"/>
      <c r="BB48" s="161"/>
      <c r="BC48" s="161"/>
      <c r="BD48" s="161"/>
      <c r="BE48" s="161"/>
      <c r="BF48" s="160" t="str">
        <f t="shared" si="125"/>
        <v/>
      </c>
      <c r="BG48" s="160"/>
      <c r="BH48" s="160"/>
      <c r="BI48" s="160"/>
      <c r="BJ48" s="160"/>
      <c r="BK48" s="160"/>
      <c r="BL48" s="162">
        <f t="shared" si="75"/>
        <v>1</v>
      </c>
      <c r="BM48" s="257"/>
      <c r="BN48" s="163"/>
      <c r="BO48" s="211" t="str">
        <f t="shared" si="76"/>
        <v>האופרה הישראלית ת"אאופרה</v>
      </c>
      <c r="BP48" s="125">
        <f t="shared" si="77"/>
        <v>1</v>
      </c>
      <c r="BQ48" s="164">
        <v>0</v>
      </c>
      <c r="BR48" s="164">
        <v>1</v>
      </c>
      <c r="BS48" s="149">
        <f t="shared" si="78"/>
        <v>1</v>
      </c>
      <c r="BT48" s="149">
        <f t="shared" si="79"/>
        <v>1</v>
      </c>
      <c r="BU48" s="149">
        <f t="shared" si="80"/>
        <v>1</v>
      </c>
      <c r="BV48" s="149">
        <f t="shared" si="81"/>
        <v>1</v>
      </c>
      <c r="BW48" s="149">
        <f t="shared" si="82"/>
        <v>1</v>
      </c>
      <c r="BX48" s="149">
        <f t="shared" si="83"/>
        <v>1</v>
      </c>
      <c r="BY48" s="149">
        <f t="shared" si="84"/>
        <v>1</v>
      </c>
      <c r="BZ48" s="149">
        <f t="shared" si="85"/>
        <v>1</v>
      </c>
      <c r="CA48" s="149">
        <f t="shared" si="86"/>
        <v>1</v>
      </c>
      <c r="CB48" s="149">
        <f t="shared" si="87"/>
        <v>1</v>
      </c>
      <c r="CC48" s="149">
        <f t="shared" si="88"/>
        <v>1</v>
      </c>
      <c r="CD48" s="149">
        <f t="shared" si="89"/>
        <v>1</v>
      </c>
      <c r="CE48" s="149">
        <f t="shared" si="90"/>
        <v>1</v>
      </c>
      <c r="CF48" s="149">
        <f t="shared" si="91"/>
        <v>1</v>
      </c>
      <c r="CG48" s="149">
        <f t="shared" si="92"/>
        <v>1</v>
      </c>
      <c r="CH48" s="149">
        <f t="shared" si="93"/>
        <v>1</v>
      </c>
      <c r="CI48" s="149">
        <f t="shared" si="94"/>
        <v>1</v>
      </c>
      <c r="CJ48" s="149">
        <f t="shared" si="95"/>
        <v>1</v>
      </c>
      <c r="CK48" s="149">
        <f t="shared" si="96"/>
        <v>1</v>
      </c>
      <c r="CL48" s="149">
        <f t="shared" si="97"/>
        <v>1</v>
      </c>
      <c r="CM48" s="149">
        <f t="shared" si="98"/>
        <v>1</v>
      </c>
      <c r="CN48" s="149">
        <f t="shared" si="99"/>
        <v>1</v>
      </c>
      <c r="CO48" s="149">
        <f t="shared" si="100"/>
        <v>1</v>
      </c>
      <c r="CP48" s="149">
        <f t="shared" si="101"/>
        <v>1</v>
      </c>
      <c r="CQ48" s="149">
        <f t="shared" si="102"/>
        <v>1</v>
      </c>
      <c r="CR48" s="149">
        <f t="shared" si="103"/>
        <v>1</v>
      </c>
      <c r="CS48" s="149">
        <f t="shared" si="104"/>
        <v>1</v>
      </c>
      <c r="CT48" s="149">
        <f t="shared" si="105"/>
        <v>1</v>
      </c>
      <c r="CU48" s="149">
        <f t="shared" si="106"/>
        <v>1</v>
      </c>
      <c r="CV48" s="149">
        <f t="shared" si="107"/>
        <v>1</v>
      </c>
      <c r="CW48" s="149">
        <f t="shared" si="108"/>
        <v>1</v>
      </c>
      <c r="CX48" s="149">
        <f t="shared" si="109"/>
        <v>1</v>
      </c>
      <c r="CY48" s="149">
        <f t="shared" si="110"/>
        <v>1</v>
      </c>
      <c r="CZ48" s="149">
        <f t="shared" si="111"/>
        <v>1</v>
      </c>
      <c r="DA48" s="149">
        <f t="shared" si="112"/>
        <v>1</v>
      </c>
      <c r="DB48" s="149">
        <f t="shared" si="113"/>
        <v>1</v>
      </c>
      <c r="DG48" s="125">
        <f t="shared" si="126"/>
        <v>1</v>
      </c>
      <c r="DH48" s="125">
        <f t="shared" si="129"/>
        <v>2</v>
      </c>
      <c r="DI48" s="125">
        <f t="shared" si="129"/>
        <v>3</v>
      </c>
      <c r="DJ48" s="125">
        <f t="shared" si="129"/>
        <v>4</v>
      </c>
      <c r="DK48" s="125">
        <f t="shared" si="129"/>
        <v>5</v>
      </c>
      <c r="DL48" s="125">
        <f t="shared" si="129"/>
        <v>6</v>
      </c>
      <c r="DM48" s="125">
        <f t="shared" si="129"/>
        <v>7</v>
      </c>
      <c r="DN48" s="125">
        <f t="shared" si="129"/>
        <v>8</v>
      </c>
      <c r="DO48" s="125">
        <f t="shared" si="129"/>
        <v>9</v>
      </c>
      <c r="DP48" s="125">
        <f t="shared" si="129"/>
        <v>10</v>
      </c>
      <c r="DS48" s="137"/>
      <c r="DT48" s="137"/>
      <c r="DU48" s="137"/>
      <c r="DV48" s="137" t="b">
        <f t="shared" si="115"/>
        <v>0</v>
      </c>
      <c r="DW48" s="137" t="b">
        <f t="shared" si="116"/>
        <v>0</v>
      </c>
      <c r="DX48" s="137" t="b">
        <f t="shared" si="117"/>
        <v>1</v>
      </c>
      <c r="EB48" s="131">
        <f t="shared" si="127"/>
        <v>1</v>
      </c>
      <c r="EC48" s="137" t="b">
        <f t="shared" si="118"/>
        <v>0</v>
      </c>
      <c r="ED48" s="137" t="b">
        <f t="shared" si="119"/>
        <v>0</v>
      </c>
      <c r="EE48" s="137" t="b">
        <f t="shared" si="120"/>
        <v>1</v>
      </c>
      <c r="EF48" s="137"/>
      <c r="EG48" s="137"/>
      <c r="EH48" s="137"/>
      <c r="EI48" s="137"/>
      <c r="EJ48" s="137">
        <f t="shared" si="128"/>
        <v>1</v>
      </c>
      <c r="EK48" s="125">
        <f t="shared" si="121"/>
        <v>0</v>
      </c>
      <c r="EL48" s="125">
        <f t="shared" si="122"/>
        <v>0</v>
      </c>
    </row>
    <row r="49" spans="2:142" ht="15.75" x14ac:dyDescent="0.25">
      <c r="B49" s="160">
        <f t="shared" si="123"/>
        <v>19</v>
      </c>
      <c r="C49" s="205">
        <v>1001348851</v>
      </c>
      <c r="D49" s="205">
        <v>1001270249</v>
      </c>
      <c r="E49" s="205">
        <v>40000134</v>
      </c>
      <c r="F49" s="118">
        <f>IF(OR(J49="",H49=""),"",VLOOKUP(J49,'הזנה לסיווג רשויות'!$B$2:$D$301,2,0))</f>
        <v>20000201</v>
      </c>
      <c r="G49" s="118" t="str">
        <f>IF(OR(J49="",H49=""),"",VLOOKUP(J49,'הזנה לסיווג רשויות'!$B$2:$D$301,3,0))</f>
        <v>תל אביב -יפו</v>
      </c>
      <c r="H49" s="281" t="s">
        <v>551</v>
      </c>
      <c r="I49" s="201" t="s">
        <v>384</v>
      </c>
      <c r="J49" s="205">
        <v>5000</v>
      </c>
      <c r="K49" s="161">
        <v>0</v>
      </c>
      <c r="L49" s="161">
        <v>1</v>
      </c>
      <c r="M49" s="161">
        <v>0</v>
      </c>
      <c r="N49" s="161">
        <v>1</v>
      </c>
      <c r="O49" s="161">
        <v>1</v>
      </c>
      <c r="P49" s="161">
        <v>1</v>
      </c>
      <c r="Q49" s="161">
        <v>1</v>
      </c>
      <c r="R49" s="201">
        <v>2167218</v>
      </c>
      <c r="S49" s="201">
        <v>686959</v>
      </c>
      <c r="T49" s="160">
        <f>IF(G49="","",IFERROR(IF(S49/R49&gt;'פרמטרים לקריטריונים'!$C$20,1,0),0))</f>
        <v>1</v>
      </c>
      <c r="U49" s="201">
        <v>627054</v>
      </c>
      <c r="V49" s="160">
        <f>IF(G49="","",IFERROR(IF(U49/R49&gt;'פרמטרים לקריטריונים'!$C$21,1,IF(AND(I49=$BW$5,U49/R49&gt;'פרמטרים לקריטריונים'!$C$22),1,0)),0))</f>
        <v>1</v>
      </c>
      <c r="W49" s="161">
        <v>1</v>
      </c>
      <c r="X49" s="161">
        <v>1</v>
      </c>
      <c r="Y49" s="201">
        <v>200000</v>
      </c>
      <c r="Z49" s="201">
        <v>200000</v>
      </c>
      <c r="AA49" s="161">
        <f t="shared" si="124"/>
        <v>1</v>
      </c>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0"/>
      <c r="AX49" s="161"/>
      <c r="AY49" s="161"/>
      <c r="AZ49" s="161"/>
      <c r="BA49" s="161"/>
      <c r="BB49" s="161"/>
      <c r="BC49" s="161"/>
      <c r="BD49" s="161"/>
      <c r="BE49" s="161"/>
      <c r="BF49" s="160" t="str">
        <f t="shared" si="125"/>
        <v/>
      </c>
      <c r="BG49" s="160"/>
      <c r="BH49" s="160"/>
      <c r="BI49" s="160"/>
      <c r="BJ49" s="160"/>
      <c r="BK49" s="160"/>
      <c r="BL49" s="162">
        <f t="shared" si="75"/>
        <v>1</v>
      </c>
      <c r="BM49" s="257"/>
      <c r="BN49" s="163"/>
      <c r="BO49" s="211" t="str">
        <f t="shared" si="76"/>
        <v>תיאטרון תמונעמרכזי פרינג'</v>
      </c>
      <c r="BP49" s="125">
        <f t="shared" si="77"/>
        <v>1</v>
      </c>
      <c r="BQ49" s="164">
        <v>0</v>
      </c>
      <c r="BR49" s="164">
        <v>1</v>
      </c>
      <c r="BS49" s="149">
        <f t="shared" si="78"/>
        <v>1</v>
      </c>
      <c r="BT49" s="149">
        <f t="shared" si="79"/>
        <v>1</v>
      </c>
      <c r="BU49" s="149">
        <f t="shared" si="80"/>
        <v>1</v>
      </c>
      <c r="BV49" s="149">
        <f t="shared" si="81"/>
        <v>1</v>
      </c>
      <c r="BW49" s="149">
        <f t="shared" si="82"/>
        <v>1</v>
      </c>
      <c r="BX49" s="149">
        <f t="shared" si="83"/>
        <v>1</v>
      </c>
      <c r="BY49" s="149">
        <f t="shared" si="84"/>
        <v>1</v>
      </c>
      <c r="BZ49" s="149">
        <f t="shared" si="85"/>
        <v>1</v>
      </c>
      <c r="CA49" s="149">
        <f t="shared" si="86"/>
        <v>1</v>
      </c>
      <c r="CB49" s="149">
        <f t="shared" si="87"/>
        <v>1</v>
      </c>
      <c r="CC49" s="149">
        <f t="shared" si="88"/>
        <v>1</v>
      </c>
      <c r="CD49" s="149">
        <f t="shared" si="89"/>
        <v>1</v>
      </c>
      <c r="CE49" s="149">
        <f t="shared" si="90"/>
        <v>1</v>
      </c>
      <c r="CF49" s="149">
        <f t="shared" si="91"/>
        <v>1</v>
      </c>
      <c r="CG49" s="149">
        <f t="shared" si="92"/>
        <v>1</v>
      </c>
      <c r="CH49" s="149">
        <f t="shared" si="93"/>
        <v>1</v>
      </c>
      <c r="CI49" s="149">
        <f t="shared" si="94"/>
        <v>1</v>
      </c>
      <c r="CJ49" s="149">
        <f t="shared" si="95"/>
        <v>1</v>
      </c>
      <c r="CK49" s="149">
        <f t="shared" si="96"/>
        <v>1</v>
      </c>
      <c r="CL49" s="149">
        <f t="shared" si="97"/>
        <v>1</v>
      </c>
      <c r="CM49" s="149">
        <f t="shared" si="98"/>
        <v>1</v>
      </c>
      <c r="CN49" s="149">
        <f t="shared" si="99"/>
        <v>1</v>
      </c>
      <c r="CO49" s="149">
        <f t="shared" si="100"/>
        <v>1</v>
      </c>
      <c r="CP49" s="149">
        <f t="shared" si="101"/>
        <v>1</v>
      </c>
      <c r="CQ49" s="149">
        <f t="shared" si="102"/>
        <v>1</v>
      </c>
      <c r="CR49" s="149">
        <f t="shared" si="103"/>
        <v>1</v>
      </c>
      <c r="CS49" s="149">
        <f t="shared" si="104"/>
        <v>1</v>
      </c>
      <c r="CT49" s="149">
        <f t="shared" si="105"/>
        <v>1</v>
      </c>
      <c r="CU49" s="149">
        <f t="shared" si="106"/>
        <v>1</v>
      </c>
      <c r="CV49" s="149">
        <f t="shared" si="107"/>
        <v>1</v>
      </c>
      <c r="CW49" s="149">
        <f t="shared" si="108"/>
        <v>1</v>
      </c>
      <c r="CX49" s="149">
        <f t="shared" si="109"/>
        <v>1</v>
      </c>
      <c r="CY49" s="149">
        <f t="shared" si="110"/>
        <v>1</v>
      </c>
      <c r="CZ49" s="149">
        <f t="shared" si="111"/>
        <v>1</v>
      </c>
      <c r="DA49" s="149">
        <f t="shared" si="112"/>
        <v>1</v>
      </c>
      <c r="DB49" s="149">
        <f t="shared" si="113"/>
        <v>1</v>
      </c>
      <c r="DG49" s="125">
        <f t="shared" si="126"/>
        <v>1</v>
      </c>
      <c r="DH49" s="125">
        <f t="shared" si="129"/>
        <v>2</v>
      </c>
      <c r="DI49" s="125">
        <f t="shared" si="129"/>
        <v>3</v>
      </c>
      <c r="DJ49" s="125">
        <f t="shared" si="129"/>
        <v>4</v>
      </c>
      <c r="DK49" s="125">
        <f t="shared" si="129"/>
        <v>5</v>
      </c>
      <c r="DL49" s="125">
        <f t="shared" si="129"/>
        <v>6</v>
      </c>
      <c r="DM49" s="125">
        <f t="shared" si="129"/>
        <v>7</v>
      </c>
      <c r="DN49" s="125">
        <f t="shared" si="129"/>
        <v>8</v>
      </c>
      <c r="DO49" s="125">
        <f t="shared" si="129"/>
        <v>9</v>
      </c>
      <c r="DP49" s="125">
        <f t="shared" si="129"/>
        <v>10</v>
      </c>
      <c r="DS49" s="137"/>
      <c r="DT49" s="137"/>
      <c r="DU49" s="137"/>
      <c r="DV49" s="137" t="b">
        <f t="shared" si="115"/>
        <v>0</v>
      </c>
      <c r="DW49" s="137" t="b">
        <f t="shared" si="116"/>
        <v>0</v>
      </c>
      <c r="DX49" s="137" t="b">
        <f t="shared" si="117"/>
        <v>1</v>
      </c>
      <c r="EB49" s="131">
        <f t="shared" si="127"/>
        <v>1</v>
      </c>
      <c r="EC49" s="137" t="b">
        <f t="shared" si="118"/>
        <v>0</v>
      </c>
      <c r="ED49" s="137" t="b">
        <f t="shared" si="119"/>
        <v>0</v>
      </c>
      <c r="EE49" s="137" t="b">
        <f t="shared" si="120"/>
        <v>1</v>
      </c>
      <c r="EF49" s="137"/>
      <c r="EG49" s="137"/>
      <c r="EH49" s="137"/>
      <c r="EI49" s="137"/>
      <c r="EJ49" s="137">
        <f t="shared" si="128"/>
        <v>1</v>
      </c>
      <c r="EK49" s="125">
        <f t="shared" si="121"/>
        <v>0</v>
      </c>
      <c r="EL49" s="125">
        <f t="shared" si="122"/>
        <v>0</v>
      </c>
    </row>
    <row r="50" spans="2:142" ht="15.75" x14ac:dyDescent="0.25">
      <c r="B50" s="160">
        <f t="shared" si="123"/>
        <v>20</v>
      </c>
      <c r="C50" s="205">
        <v>1001350603</v>
      </c>
      <c r="D50" s="205">
        <v>1001334964</v>
      </c>
      <c r="E50" s="205">
        <v>40000065</v>
      </c>
      <c r="F50" s="118">
        <f>IF(OR(J50="",H50=""),"",VLOOKUP(J50,'הזנה לסיווג רשויות'!$B$2:$D$301,2,0))</f>
        <v>20000201</v>
      </c>
      <c r="G50" s="118" t="str">
        <f>IF(OR(J50="",H50=""),"",VLOOKUP(J50,'הזנה לסיווג רשויות'!$B$2:$D$301,3,0))</f>
        <v>תל אביב -יפו</v>
      </c>
      <c r="H50" s="281" t="s">
        <v>552</v>
      </c>
      <c r="I50" s="201" t="s">
        <v>374</v>
      </c>
      <c r="J50" s="205">
        <v>5000</v>
      </c>
      <c r="K50" s="161">
        <v>0</v>
      </c>
      <c r="L50" s="161">
        <v>1</v>
      </c>
      <c r="M50" s="161">
        <v>0</v>
      </c>
      <c r="N50" s="161">
        <v>0</v>
      </c>
      <c r="O50" s="161">
        <v>1</v>
      </c>
      <c r="P50" s="161">
        <v>1</v>
      </c>
      <c r="Q50" s="161">
        <v>1</v>
      </c>
      <c r="R50" s="201">
        <v>742434</v>
      </c>
      <c r="S50" s="201">
        <v>296918</v>
      </c>
      <c r="T50" s="160">
        <f>IF(G50="","",IFERROR(IF(S50/R50&gt;'פרמטרים לקריטריונים'!$C$20,1,0),0))</f>
        <v>1</v>
      </c>
      <c r="U50" s="201">
        <v>296918</v>
      </c>
      <c r="V50" s="160">
        <f>IF(G50="","",IFERROR(IF(U50/R50&gt;'פרמטרים לקריטריונים'!$C$21,1,IF(AND(I50=$BW$5,U50/R50&gt;'פרמטרים לקריטריונים'!$C$22),1,0)),0))</f>
        <v>1</v>
      </c>
      <c r="W50" s="161">
        <v>1</v>
      </c>
      <c r="X50" s="161">
        <v>1</v>
      </c>
      <c r="Y50" s="201">
        <v>250000</v>
      </c>
      <c r="Z50" s="201">
        <v>250000</v>
      </c>
      <c r="AA50" s="161">
        <f t="shared" si="124"/>
        <v>1</v>
      </c>
      <c r="AB50" s="161"/>
      <c r="AC50" s="161"/>
      <c r="AD50" s="161"/>
      <c r="AE50" s="161"/>
      <c r="AF50" s="161"/>
      <c r="AG50" s="161"/>
      <c r="AH50" s="161"/>
      <c r="AI50" s="161"/>
      <c r="AJ50" s="161"/>
      <c r="AK50" s="161"/>
      <c r="AL50" s="161"/>
      <c r="AM50" s="161"/>
      <c r="AN50" s="161"/>
      <c r="AO50" s="161"/>
      <c r="AP50" s="161"/>
      <c r="AQ50" s="161"/>
      <c r="AR50" s="161"/>
      <c r="AS50" s="161"/>
      <c r="AT50" s="161"/>
      <c r="AU50" s="161"/>
      <c r="AV50" s="161"/>
      <c r="AW50" s="160"/>
      <c r="AX50" s="161"/>
      <c r="AY50" s="161"/>
      <c r="AZ50" s="161"/>
      <c r="BA50" s="161"/>
      <c r="BB50" s="161"/>
      <c r="BC50" s="161"/>
      <c r="BD50" s="161"/>
      <c r="BE50" s="161"/>
      <c r="BF50" s="160" t="str">
        <f t="shared" si="125"/>
        <v/>
      </c>
      <c r="BG50" s="160"/>
      <c r="BH50" s="160"/>
      <c r="BI50" s="160"/>
      <c r="BJ50" s="160"/>
      <c r="BK50" s="160"/>
      <c r="BL50" s="162">
        <f t="shared" si="75"/>
        <v>1</v>
      </c>
      <c r="BM50" s="257"/>
      <c r="BN50" s="163"/>
      <c r="BO50" s="211" t="str">
        <f t="shared" si="76"/>
        <v>אנחנו כאן אגודה לתרבות פולקלורמחול</v>
      </c>
      <c r="BP50" s="125">
        <f t="shared" si="77"/>
        <v>1</v>
      </c>
      <c r="BQ50" s="164">
        <v>0</v>
      </c>
      <c r="BR50" s="164">
        <v>1</v>
      </c>
      <c r="BS50" s="149">
        <f t="shared" si="78"/>
        <v>1</v>
      </c>
      <c r="BT50" s="149">
        <f t="shared" si="79"/>
        <v>1</v>
      </c>
      <c r="BU50" s="149">
        <f t="shared" si="80"/>
        <v>1</v>
      </c>
      <c r="BV50" s="149">
        <f t="shared" si="81"/>
        <v>1</v>
      </c>
      <c r="BW50" s="149">
        <f t="shared" si="82"/>
        <v>1</v>
      </c>
      <c r="BX50" s="149">
        <f t="shared" si="83"/>
        <v>1</v>
      </c>
      <c r="BY50" s="149">
        <f t="shared" si="84"/>
        <v>1</v>
      </c>
      <c r="BZ50" s="149">
        <f t="shared" si="85"/>
        <v>1</v>
      </c>
      <c r="CA50" s="149">
        <f t="shared" si="86"/>
        <v>1</v>
      </c>
      <c r="CB50" s="149">
        <f t="shared" si="87"/>
        <v>1</v>
      </c>
      <c r="CC50" s="149">
        <f t="shared" si="88"/>
        <v>1</v>
      </c>
      <c r="CD50" s="149">
        <f t="shared" si="89"/>
        <v>1</v>
      </c>
      <c r="CE50" s="149">
        <f t="shared" si="90"/>
        <v>1</v>
      </c>
      <c r="CF50" s="149">
        <f t="shared" si="91"/>
        <v>1</v>
      </c>
      <c r="CG50" s="149">
        <f t="shared" si="92"/>
        <v>1</v>
      </c>
      <c r="CH50" s="149">
        <f t="shared" si="93"/>
        <v>1</v>
      </c>
      <c r="CI50" s="149">
        <f t="shared" si="94"/>
        <v>1</v>
      </c>
      <c r="CJ50" s="149">
        <f t="shared" si="95"/>
        <v>1</v>
      </c>
      <c r="CK50" s="149">
        <f t="shared" si="96"/>
        <v>1</v>
      </c>
      <c r="CL50" s="149">
        <f t="shared" si="97"/>
        <v>1</v>
      </c>
      <c r="CM50" s="149">
        <f t="shared" si="98"/>
        <v>1</v>
      </c>
      <c r="CN50" s="149">
        <f t="shared" si="99"/>
        <v>1</v>
      </c>
      <c r="CO50" s="149">
        <f t="shared" si="100"/>
        <v>1</v>
      </c>
      <c r="CP50" s="149">
        <f t="shared" si="101"/>
        <v>1</v>
      </c>
      <c r="CQ50" s="149">
        <f t="shared" si="102"/>
        <v>1</v>
      </c>
      <c r="CR50" s="149">
        <f t="shared" si="103"/>
        <v>1</v>
      </c>
      <c r="CS50" s="149">
        <f t="shared" si="104"/>
        <v>1</v>
      </c>
      <c r="CT50" s="149">
        <f t="shared" si="105"/>
        <v>1</v>
      </c>
      <c r="CU50" s="149">
        <f t="shared" si="106"/>
        <v>1</v>
      </c>
      <c r="CV50" s="149">
        <f t="shared" si="107"/>
        <v>1</v>
      </c>
      <c r="CW50" s="149">
        <f t="shared" si="108"/>
        <v>1</v>
      </c>
      <c r="CX50" s="149">
        <f t="shared" si="109"/>
        <v>1</v>
      </c>
      <c r="CY50" s="149">
        <f t="shared" si="110"/>
        <v>1</v>
      </c>
      <c r="CZ50" s="149">
        <f t="shared" si="111"/>
        <v>1</v>
      </c>
      <c r="DA50" s="149">
        <f t="shared" si="112"/>
        <v>1</v>
      </c>
      <c r="DB50" s="149">
        <f t="shared" si="113"/>
        <v>1</v>
      </c>
      <c r="DG50" s="125">
        <f t="shared" si="126"/>
        <v>1</v>
      </c>
      <c r="DH50" s="125">
        <f t="shared" si="129"/>
        <v>2</v>
      </c>
      <c r="DI50" s="125">
        <f t="shared" si="129"/>
        <v>3</v>
      </c>
      <c r="DJ50" s="125">
        <f t="shared" si="129"/>
        <v>4</v>
      </c>
      <c r="DK50" s="125">
        <f t="shared" si="129"/>
        <v>5</v>
      </c>
      <c r="DL50" s="125">
        <f t="shared" si="129"/>
        <v>6</v>
      </c>
      <c r="DM50" s="125">
        <f t="shared" si="129"/>
        <v>7</v>
      </c>
      <c r="DN50" s="125">
        <f t="shared" si="129"/>
        <v>8</v>
      </c>
      <c r="DO50" s="125">
        <f t="shared" si="129"/>
        <v>9</v>
      </c>
      <c r="DP50" s="125">
        <f t="shared" si="129"/>
        <v>10</v>
      </c>
      <c r="DS50" s="137"/>
      <c r="DT50" s="137"/>
      <c r="DU50" s="137"/>
      <c r="DV50" s="137" t="b">
        <f t="shared" si="115"/>
        <v>0</v>
      </c>
      <c r="DW50" s="137" t="b">
        <f t="shared" si="116"/>
        <v>0</v>
      </c>
      <c r="DX50" s="137" t="b">
        <f t="shared" si="117"/>
        <v>1</v>
      </c>
      <c r="EB50" s="131">
        <f t="shared" si="127"/>
        <v>1</v>
      </c>
      <c r="EC50" s="137" t="b">
        <f t="shared" si="118"/>
        <v>0</v>
      </c>
      <c r="ED50" s="137" t="b">
        <f t="shared" si="119"/>
        <v>0</v>
      </c>
      <c r="EE50" s="137" t="b">
        <f t="shared" si="120"/>
        <v>1</v>
      </c>
      <c r="EF50" s="137"/>
      <c r="EG50" s="137"/>
      <c r="EH50" s="137"/>
      <c r="EI50" s="137"/>
      <c r="EJ50" s="137">
        <f t="shared" si="128"/>
        <v>1</v>
      </c>
      <c r="EK50" s="125">
        <f t="shared" si="121"/>
        <v>0</v>
      </c>
      <c r="EL50" s="125">
        <f t="shared" si="122"/>
        <v>0</v>
      </c>
    </row>
    <row r="51" spans="2:142" ht="15.75" x14ac:dyDescent="0.2">
      <c r="B51" s="160">
        <f t="shared" si="123"/>
        <v>21</v>
      </c>
      <c r="C51" s="205">
        <v>1001346663</v>
      </c>
      <c r="D51" s="205">
        <v>1001273853</v>
      </c>
      <c r="E51" s="205">
        <v>40000140</v>
      </c>
      <c r="F51" s="118">
        <f>IF(OR(J51="",H51=""),"",VLOOKUP(J51,'הזנה לסיווג רשויות'!$B$2:$D$301,2,0))</f>
        <v>20000201</v>
      </c>
      <c r="G51" s="118" t="str">
        <f>IF(OR(J51="",H51=""),"",VLOOKUP(J51,'הזנה לסיווג רשויות'!$B$2:$D$301,3,0))</f>
        <v>תל אביב -יפו</v>
      </c>
      <c r="H51" s="201" t="s">
        <v>553</v>
      </c>
      <c r="I51" s="201" t="s">
        <v>374</v>
      </c>
      <c r="J51" s="205">
        <v>5000</v>
      </c>
      <c r="K51" s="161">
        <v>0</v>
      </c>
      <c r="L51" s="161">
        <v>1</v>
      </c>
      <c r="M51" s="161">
        <v>0</v>
      </c>
      <c r="N51" s="161">
        <v>1</v>
      </c>
      <c r="O51" s="161">
        <v>1</v>
      </c>
      <c r="P51" s="161">
        <v>1</v>
      </c>
      <c r="Q51" s="161">
        <v>1</v>
      </c>
      <c r="R51" s="201">
        <v>23544310</v>
      </c>
      <c r="S51" s="201">
        <v>16090469</v>
      </c>
      <c r="T51" s="160">
        <f>IF(G51="","",IFERROR(IF(S51/R51&gt;'פרמטרים לקריטריונים'!$C$20,1,0),0))</f>
        <v>1</v>
      </c>
      <c r="U51" s="201">
        <v>9681174</v>
      </c>
      <c r="V51" s="160">
        <f>IF(G51="","",IFERROR(IF(U51/R51&gt;'פרמטרים לקריטריונים'!$C$21,1,IF(AND(I51=$BW$5,U51/R51&gt;'פרמטרים לקריטריונים'!$C$22),1,0)),0))</f>
        <v>1</v>
      </c>
      <c r="W51" s="161">
        <v>1</v>
      </c>
      <c r="X51" s="161">
        <v>1</v>
      </c>
      <c r="Y51" s="201">
        <v>7000000</v>
      </c>
      <c r="Z51" s="201">
        <v>1000000</v>
      </c>
      <c r="AA51" s="161">
        <f t="shared" si="124"/>
        <v>1</v>
      </c>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0"/>
      <c r="AX51" s="161"/>
      <c r="AY51" s="161"/>
      <c r="AZ51" s="161"/>
      <c r="BA51" s="161"/>
      <c r="BB51" s="161"/>
      <c r="BC51" s="161"/>
      <c r="BD51" s="161"/>
      <c r="BE51" s="161"/>
      <c r="BF51" s="160" t="str">
        <f t="shared" si="125"/>
        <v/>
      </c>
      <c r="BG51" s="160"/>
      <c r="BH51" s="160"/>
      <c r="BI51" s="160"/>
      <c r="BJ51" s="160"/>
      <c r="BK51" s="160"/>
      <c r="BL51" s="162">
        <f t="shared" si="75"/>
        <v>1</v>
      </c>
      <c r="BM51" s="257"/>
      <c r="BN51" s="163"/>
      <c r="BO51" s="211" t="str">
        <f t="shared" si="76"/>
        <v>להקת המחול בת שבעמחול</v>
      </c>
      <c r="BP51" s="125">
        <f t="shared" si="77"/>
        <v>1</v>
      </c>
      <c r="BQ51" s="164">
        <v>0</v>
      </c>
      <c r="BR51" s="164">
        <v>1</v>
      </c>
      <c r="BS51" s="149">
        <f t="shared" si="78"/>
        <v>1</v>
      </c>
      <c r="BT51" s="149">
        <f t="shared" si="79"/>
        <v>1</v>
      </c>
      <c r="BU51" s="149">
        <f t="shared" si="80"/>
        <v>1</v>
      </c>
      <c r="BV51" s="149">
        <f t="shared" si="81"/>
        <v>1</v>
      </c>
      <c r="BW51" s="149">
        <f t="shared" si="82"/>
        <v>1</v>
      </c>
      <c r="BX51" s="149">
        <f t="shared" si="83"/>
        <v>1</v>
      </c>
      <c r="BY51" s="149">
        <f t="shared" si="84"/>
        <v>1</v>
      </c>
      <c r="BZ51" s="149">
        <f t="shared" si="85"/>
        <v>1</v>
      </c>
      <c r="CA51" s="149">
        <f t="shared" si="86"/>
        <v>1</v>
      </c>
      <c r="CB51" s="149">
        <f t="shared" si="87"/>
        <v>1</v>
      </c>
      <c r="CC51" s="149">
        <f t="shared" si="88"/>
        <v>1</v>
      </c>
      <c r="CD51" s="149">
        <f t="shared" si="89"/>
        <v>1</v>
      </c>
      <c r="CE51" s="149">
        <f t="shared" si="90"/>
        <v>1</v>
      </c>
      <c r="CF51" s="149">
        <f t="shared" si="91"/>
        <v>1</v>
      </c>
      <c r="CG51" s="149">
        <f t="shared" si="92"/>
        <v>1</v>
      </c>
      <c r="CH51" s="149">
        <f t="shared" si="93"/>
        <v>1</v>
      </c>
      <c r="CI51" s="149">
        <f t="shared" si="94"/>
        <v>1</v>
      </c>
      <c r="CJ51" s="149">
        <f t="shared" si="95"/>
        <v>1</v>
      </c>
      <c r="CK51" s="149">
        <f t="shared" si="96"/>
        <v>1</v>
      </c>
      <c r="CL51" s="149">
        <f t="shared" si="97"/>
        <v>1</v>
      </c>
      <c r="CM51" s="149">
        <f t="shared" si="98"/>
        <v>1</v>
      </c>
      <c r="CN51" s="149">
        <f t="shared" si="99"/>
        <v>1</v>
      </c>
      <c r="CO51" s="149">
        <f t="shared" si="100"/>
        <v>1</v>
      </c>
      <c r="CP51" s="149">
        <f t="shared" si="101"/>
        <v>1</v>
      </c>
      <c r="CQ51" s="149">
        <f t="shared" si="102"/>
        <v>1</v>
      </c>
      <c r="CR51" s="149">
        <f t="shared" si="103"/>
        <v>1</v>
      </c>
      <c r="CS51" s="149">
        <f t="shared" si="104"/>
        <v>1</v>
      </c>
      <c r="CT51" s="149">
        <f t="shared" si="105"/>
        <v>1</v>
      </c>
      <c r="CU51" s="149">
        <f t="shared" si="106"/>
        <v>1</v>
      </c>
      <c r="CV51" s="149">
        <f t="shared" si="107"/>
        <v>1</v>
      </c>
      <c r="CW51" s="149">
        <f t="shared" si="108"/>
        <v>1</v>
      </c>
      <c r="CX51" s="149">
        <f t="shared" si="109"/>
        <v>1</v>
      </c>
      <c r="CY51" s="149">
        <f t="shared" si="110"/>
        <v>1</v>
      </c>
      <c r="CZ51" s="149">
        <f t="shared" si="111"/>
        <v>1</v>
      </c>
      <c r="DA51" s="149">
        <f t="shared" si="112"/>
        <v>1</v>
      </c>
      <c r="DB51" s="149">
        <f t="shared" si="113"/>
        <v>1</v>
      </c>
      <c r="DG51" s="125">
        <f t="shared" si="126"/>
        <v>1</v>
      </c>
      <c r="DH51" s="125">
        <f t="shared" si="129"/>
        <v>2</v>
      </c>
      <c r="DI51" s="125">
        <f t="shared" si="129"/>
        <v>3</v>
      </c>
      <c r="DJ51" s="125">
        <f t="shared" si="129"/>
        <v>4</v>
      </c>
      <c r="DK51" s="125">
        <f t="shared" si="129"/>
        <v>5</v>
      </c>
      <c r="DL51" s="125">
        <f t="shared" si="129"/>
        <v>6</v>
      </c>
      <c r="DM51" s="125">
        <f t="shared" si="129"/>
        <v>7</v>
      </c>
      <c r="DN51" s="125">
        <f t="shared" si="129"/>
        <v>8</v>
      </c>
      <c r="DO51" s="125">
        <f t="shared" si="129"/>
        <v>9</v>
      </c>
      <c r="DP51" s="125">
        <f t="shared" si="129"/>
        <v>10</v>
      </c>
      <c r="DS51" s="137"/>
      <c r="DT51" s="137"/>
      <c r="DU51" s="137"/>
      <c r="DV51" s="137" t="b">
        <f t="shared" si="115"/>
        <v>0</v>
      </c>
      <c r="DW51" s="137" t="b">
        <f t="shared" si="116"/>
        <v>0</v>
      </c>
      <c r="DX51" s="137" t="b">
        <f t="shared" si="117"/>
        <v>1</v>
      </c>
      <c r="EB51" s="131">
        <f t="shared" si="127"/>
        <v>1</v>
      </c>
      <c r="EC51" s="137" t="b">
        <f t="shared" si="118"/>
        <v>0</v>
      </c>
      <c r="ED51" s="137" t="b">
        <f t="shared" si="119"/>
        <v>0</v>
      </c>
      <c r="EE51" s="137" t="b">
        <f t="shared" si="120"/>
        <v>1</v>
      </c>
      <c r="EF51" s="137"/>
      <c r="EG51" s="137"/>
      <c r="EH51" s="137"/>
      <c r="EI51" s="137"/>
      <c r="EJ51" s="137">
        <f t="shared" si="128"/>
        <v>1</v>
      </c>
      <c r="EK51" s="125">
        <f t="shared" si="121"/>
        <v>0</v>
      </c>
      <c r="EL51" s="125">
        <f t="shared" si="122"/>
        <v>0</v>
      </c>
    </row>
    <row r="52" spans="2:142" ht="15.75" x14ac:dyDescent="0.2">
      <c r="B52" s="160">
        <f t="shared" si="123"/>
        <v>22</v>
      </c>
      <c r="C52" s="205">
        <v>1001350716</v>
      </c>
      <c r="D52" s="205">
        <v>1001302141</v>
      </c>
      <c r="E52" s="205">
        <v>40000150</v>
      </c>
      <c r="F52" s="118">
        <f>IF(OR(J52="",H52=""),"",VLOOKUP(J52,'הזנה לסיווג רשויות'!$B$2:$D$301,2,0))</f>
        <v>20000233</v>
      </c>
      <c r="G52" s="118" t="str">
        <f>IF(OR(J52="",H52=""),"",VLOOKUP(J52,'הזנה לסיווג רשויות'!$B$2:$D$301,3,0))</f>
        <v>נתניה</v>
      </c>
      <c r="H52" s="201" t="s">
        <v>554</v>
      </c>
      <c r="I52" s="201" t="s">
        <v>380</v>
      </c>
      <c r="J52" s="205">
        <v>7400</v>
      </c>
      <c r="K52" s="161">
        <v>0</v>
      </c>
      <c r="L52" s="161">
        <v>1</v>
      </c>
      <c r="M52" s="161">
        <v>0</v>
      </c>
      <c r="N52" s="161">
        <v>0</v>
      </c>
      <c r="O52" s="161">
        <v>1</v>
      </c>
      <c r="P52" s="161">
        <v>1</v>
      </c>
      <c r="Q52" s="161">
        <v>1</v>
      </c>
      <c r="R52" s="201">
        <v>271845</v>
      </c>
      <c r="S52" s="201">
        <v>180885</v>
      </c>
      <c r="T52" s="160">
        <f>IF(G52="","",IFERROR(IF(S52/R52&gt;'פרמטרים לקריטריונים'!$C$20,1,0),0))</f>
        <v>1</v>
      </c>
      <c r="U52" s="201">
        <v>180885</v>
      </c>
      <c r="V52" s="160">
        <f>IF(G52="","",IFERROR(IF(U52/R52&gt;'פרמטרים לקריטריונים'!$C$21,1,IF(AND(I52=$BW$5,U52/R52&gt;'פרמטרים לקריטריונים'!$C$22),1,0)),0))</f>
        <v>1</v>
      </c>
      <c r="W52" s="161">
        <v>1</v>
      </c>
      <c r="X52" s="161">
        <v>1</v>
      </c>
      <c r="Y52" s="201">
        <v>841523</v>
      </c>
      <c r="Z52" s="201">
        <v>510000</v>
      </c>
      <c r="AA52" s="161">
        <f t="shared" si="124"/>
        <v>1</v>
      </c>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0"/>
      <c r="AX52" s="161"/>
      <c r="AY52" s="161"/>
      <c r="AZ52" s="161"/>
      <c r="BA52" s="161"/>
      <c r="BB52" s="161"/>
      <c r="BC52" s="161"/>
      <c r="BD52" s="161"/>
      <c r="BE52" s="161"/>
      <c r="BF52" s="160" t="str">
        <f t="shared" si="125"/>
        <v/>
      </c>
      <c r="BG52" s="160"/>
      <c r="BH52" s="160"/>
      <c r="BI52" s="160"/>
      <c r="BJ52" s="160"/>
      <c r="BK52" s="160"/>
      <c r="BL52" s="162">
        <f t="shared" si="75"/>
        <v>1</v>
      </c>
      <c r="BM52" s="257"/>
      <c r="BN52" s="163"/>
      <c r="BO52" s="211" t="str">
        <f t="shared" si="76"/>
        <v>היכל התרבות נתניהקבוצות מוסיקה</v>
      </c>
      <c r="BP52" s="125">
        <f t="shared" si="77"/>
        <v>1</v>
      </c>
      <c r="BQ52" s="164">
        <v>0</v>
      </c>
      <c r="BR52" s="164">
        <v>1</v>
      </c>
      <c r="BS52" s="149">
        <f t="shared" si="78"/>
        <v>1</v>
      </c>
      <c r="BT52" s="149">
        <f t="shared" si="79"/>
        <v>1</v>
      </c>
      <c r="BU52" s="149">
        <f t="shared" si="80"/>
        <v>1</v>
      </c>
      <c r="BV52" s="149">
        <f t="shared" si="81"/>
        <v>1</v>
      </c>
      <c r="BW52" s="149">
        <f t="shared" si="82"/>
        <v>1</v>
      </c>
      <c r="BX52" s="149">
        <f t="shared" si="83"/>
        <v>1</v>
      </c>
      <c r="BY52" s="149">
        <f t="shared" si="84"/>
        <v>1</v>
      </c>
      <c r="BZ52" s="149">
        <f t="shared" si="85"/>
        <v>1</v>
      </c>
      <c r="CA52" s="149">
        <f t="shared" si="86"/>
        <v>1</v>
      </c>
      <c r="CB52" s="149">
        <f t="shared" si="87"/>
        <v>1</v>
      </c>
      <c r="CC52" s="149">
        <f t="shared" si="88"/>
        <v>1</v>
      </c>
      <c r="CD52" s="149">
        <f t="shared" si="89"/>
        <v>1</v>
      </c>
      <c r="CE52" s="149">
        <f t="shared" si="90"/>
        <v>1</v>
      </c>
      <c r="CF52" s="149">
        <f t="shared" si="91"/>
        <v>1</v>
      </c>
      <c r="CG52" s="149">
        <f t="shared" si="92"/>
        <v>1</v>
      </c>
      <c r="CH52" s="149">
        <f t="shared" si="93"/>
        <v>1</v>
      </c>
      <c r="CI52" s="149">
        <f t="shared" si="94"/>
        <v>1</v>
      </c>
      <c r="CJ52" s="149">
        <f t="shared" si="95"/>
        <v>1</v>
      </c>
      <c r="CK52" s="149">
        <f t="shared" si="96"/>
        <v>1</v>
      </c>
      <c r="CL52" s="149">
        <f t="shared" si="97"/>
        <v>1</v>
      </c>
      <c r="CM52" s="149">
        <f t="shared" si="98"/>
        <v>1</v>
      </c>
      <c r="CN52" s="149">
        <f t="shared" si="99"/>
        <v>1</v>
      </c>
      <c r="CO52" s="149">
        <f t="shared" si="100"/>
        <v>1</v>
      </c>
      <c r="CP52" s="149">
        <f t="shared" si="101"/>
        <v>1</v>
      </c>
      <c r="CQ52" s="149">
        <f t="shared" si="102"/>
        <v>1</v>
      </c>
      <c r="CR52" s="149">
        <f t="shared" si="103"/>
        <v>1</v>
      </c>
      <c r="CS52" s="149">
        <f t="shared" si="104"/>
        <v>1</v>
      </c>
      <c r="CT52" s="149">
        <f t="shared" si="105"/>
        <v>1</v>
      </c>
      <c r="CU52" s="149">
        <f t="shared" si="106"/>
        <v>1</v>
      </c>
      <c r="CV52" s="149">
        <f t="shared" si="107"/>
        <v>1</v>
      </c>
      <c r="CW52" s="149">
        <f t="shared" si="108"/>
        <v>1</v>
      </c>
      <c r="CX52" s="149">
        <f t="shared" si="109"/>
        <v>1</v>
      </c>
      <c r="CY52" s="149">
        <f t="shared" si="110"/>
        <v>1</v>
      </c>
      <c r="CZ52" s="149">
        <f t="shared" si="111"/>
        <v>1</v>
      </c>
      <c r="DA52" s="149">
        <f t="shared" si="112"/>
        <v>1</v>
      </c>
      <c r="DB52" s="149">
        <f t="shared" si="113"/>
        <v>1</v>
      </c>
      <c r="DG52" s="125">
        <f t="shared" si="126"/>
        <v>1</v>
      </c>
      <c r="DH52" s="125">
        <f t="shared" si="129"/>
        <v>2</v>
      </c>
      <c r="DI52" s="125">
        <f t="shared" si="129"/>
        <v>3</v>
      </c>
      <c r="DJ52" s="125">
        <f t="shared" si="129"/>
        <v>4</v>
      </c>
      <c r="DK52" s="125">
        <f t="shared" si="129"/>
        <v>5</v>
      </c>
      <c r="DL52" s="125">
        <f t="shared" si="129"/>
        <v>6</v>
      </c>
      <c r="DM52" s="125">
        <f t="shared" si="129"/>
        <v>7</v>
      </c>
      <c r="DN52" s="125">
        <f t="shared" si="129"/>
        <v>8</v>
      </c>
      <c r="DO52" s="125">
        <f t="shared" si="129"/>
        <v>9</v>
      </c>
      <c r="DP52" s="125">
        <f t="shared" si="129"/>
        <v>10</v>
      </c>
      <c r="DS52" s="137"/>
      <c r="DT52" s="137"/>
      <c r="DU52" s="137"/>
      <c r="DV52" s="137" t="b">
        <f t="shared" si="115"/>
        <v>0</v>
      </c>
      <c r="DW52" s="137" t="b">
        <f t="shared" si="116"/>
        <v>0</v>
      </c>
      <c r="DX52" s="137" t="b">
        <f t="shared" si="117"/>
        <v>1</v>
      </c>
      <c r="EB52" s="131">
        <f t="shared" si="127"/>
        <v>1</v>
      </c>
      <c r="EC52" s="137" t="b">
        <f t="shared" si="118"/>
        <v>0</v>
      </c>
      <c r="ED52" s="137" t="b">
        <f t="shared" si="119"/>
        <v>0</v>
      </c>
      <c r="EE52" s="137" t="b">
        <f t="shared" si="120"/>
        <v>1</v>
      </c>
      <c r="EF52" s="137"/>
      <c r="EG52" s="137"/>
      <c r="EH52" s="137"/>
      <c r="EI52" s="137"/>
      <c r="EJ52" s="137">
        <f t="shared" si="128"/>
        <v>1</v>
      </c>
      <c r="EK52" s="125">
        <f t="shared" si="121"/>
        <v>0</v>
      </c>
      <c r="EL52" s="125">
        <f t="shared" si="122"/>
        <v>0</v>
      </c>
    </row>
    <row r="53" spans="2:142" ht="15.75" x14ac:dyDescent="0.25">
      <c r="B53" s="160">
        <f t="shared" si="123"/>
        <v>23</v>
      </c>
      <c r="C53" s="205">
        <v>1001346670</v>
      </c>
      <c r="D53" s="205">
        <v>1001277080</v>
      </c>
      <c r="E53" s="205">
        <v>40000106</v>
      </c>
      <c r="F53" s="118">
        <f>IF(OR(J53="",H53=""),"",VLOOKUP(J53,'הזנה לסיווג רשויות'!$B$2:$D$301,2,0))</f>
        <v>20000201</v>
      </c>
      <c r="G53" s="118" t="str">
        <f>IF(OR(J53="",H53=""),"",VLOOKUP(J53,'הזנה לסיווג רשויות'!$B$2:$D$301,3,0))</f>
        <v>תל אביב -יפו</v>
      </c>
      <c r="H53" s="281" t="s">
        <v>555</v>
      </c>
      <c r="I53" s="201" t="s">
        <v>376</v>
      </c>
      <c r="J53" s="205">
        <v>5000</v>
      </c>
      <c r="K53" s="161">
        <v>0</v>
      </c>
      <c r="L53" s="161">
        <v>1</v>
      </c>
      <c r="M53" s="161">
        <v>0</v>
      </c>
      <c r="N53" s="161">
        <v>1</v>
      </c>
      <c r="O53" s="161">
        <v>1</v>
      </c>
      <c r="P53" s="161">
        <v>1</v>
      </c>
      <c r="Q53" s="161">
        <v>1</v>
      </c>
      <c r="R53" s="201">
        <v>6726212</v>
      </c>
      <c r="S53" s="201">
        <v>3679784</v>
      </c>
      <c r="T53" s="160">
        <f>IF(G53="","",IFERROR(IF(S53/R53&gt;'פרמטרים לקריטריונים'!$C$20,1,0),0))</f>
        <v>1</v>
      </c>
      <c r="U53" s="201">
        <v>3587488</v>
      </c>
      <c r="V53" s="160">
        <f>IF(G53="","",IFERROR(IF(U53/R53&gt;'פרמטרים לקריטריונים'!$C$21,1,IF(AND(I53=$BW$5,U53/R53&gt;'פרמטרים לקריטריונים'!$C$22),1,0)),0))</f>
        <v>1</v>
      </c>
      <c r="W53" s="161">
        <v>1</v>
      </c>
      <c r="X53" s="161">
        <v>1</v>
      </c>
      <c r="Y53" s="201">
        <v>1400000</v>
      </c>
      <c r="Z53" s="201">
        <v>50000</v>
      </c>
      <c r="AA53" s="161">
        <f t="shared" si="124"/>
        <v>1</v>
      </c>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0"/>
      <c r="AX53" s="161"/>
      <c r="AY53" s="161"/>
      <c r="AZ53" s="161"/>
      <c r="BA53" s="161"/>
      <c r="BB53" s="161"/>
      <c r="BC53" s="161"/>
      <c r="BD53" s="161"/>
      <c r="BE53" s="161"/>
      <c r="BF53" s="160" t="str">
        <f t="shared" si="125"/>
        <v/>
      </c>
      <c r="BG53" s="160"/>
      <c r="BH53" s="160"/>
      <c r="BI53" s="160"/>
      <c r="BJ53" s="160"/>
      <c r="BK53" s="160"/>
      <c r="BL53" s="162">
        <f t="shared" si="75"/>
        <v>1</v>
      </c>
      <c r="BM53" s="257"/>
      <c r="BN53" s="163"/>
      <c r="BO53" s="211" t="str">
        <f t="shared" si="76"/>
        <v>התזמורת הקאמרית הישראליתמוסיקה-גופים כליים</v>
      </c>
      <c r="BP53" s="125">
        <f t="shared" si="77"/>
        <v>1</v>
      </c>
      <c r="BQ53" s="164">
        <v>0</v>
      </c>
      <c r="BR53" s="164">
        <v>1</v>
      </c>
      <c r="BS53" s="149">
        <f t="shared" si="78"/>
        <v>1</v>
      </c>
      <c r="BT53" s="149">
        <f t="shared" si="79"/>
        <v>1</v>
      </c>
      <c r="BU53" s="149">
        <f t="shared" si="80"/>
        <v>1</v>
      </c>
      <c r="BV53" s="149">
        <f t="shared" si="81"/>
        <v>1</v>
      </c>
      <c r="BW53" s="149">
        <f t="shared" si="82"/>
        <v>1</v>
      </c>
      <c r="BX53" s="149">
        <f t="shared" si="83"/>
        <v>1</v>
      </c>
      <c r="BY53" s="149">
        <f t="shared" si="84"/>
        <v>1</v>
      </c>
      <c r="BZ53" s="149">
        <f t="shared" si="85"/>
        <v>1</v>
      </c>
      <c r="CA53" s="149">
        <f t="shared" si="86"/>
        <v>1</v>
      </c>
      <c r="CB53" s="149">
        <f t="shared" si="87"/>
        <v>1</v>
      </c>
      <c r="CC53" s="149">
        <f t="shared" si="88"/>
        <v>1</v>
      </c>
      <c r="CD53" s="149">
        <f t="shared" si="89"/>
        <v>1</v>
      </c>
      <c r="CE53" s="149">
        <f t="shared" si="90"/>
        <v>1</v>
      </c>
      <c r="CF53" s="149">
        <f t="shared" si="91"/>
        <v>1</v>
      </c>
      <c r="CG53" s="149">
        <f t="shared" si="92"/>
        <v>1</v>
      </c>
      <c r="CH53" s="149">
        <f t="shared" si="93"/>
        <v>1</v>
      </c>
      <c r="CI53" s="149">
        <f t="shared" si="94"/>
        <v>1</v>
      </c>
      <c r="CJ53" s="149">
        <f t="shared" si="95"/>
        <v>1</v>
      </c>
      <c r="CK53" s="149">
        <f t="shared" si="96"/>
        <v>1</v>
      </c>
      <c r="CL53" s="149">
        <f t="shared" si="97"/>
        <v>1</v>
      </c>
      <c r="CM53" s="149">
        <f t="shared" si="98"/>
        <v>1</v>
      </c>
      <c r="CN53" s="149">
        <f t="shared" si="99"/>
        <v>1</v>
      </c>
      <c r="CO53" s="149">
        <f t="shared" si="100"/>
        <v>1</v>
      </c>
      <c r="CP53" s="149">
        <f t="shared" si="101"/>
        <v>1</v>
      </c>
      <c r="CQ53" s="149">
        <f t="shared" si="102"/>
        <v>1</v>
      </c>
      <c r="CR53" s="149">
        <f t="shared" si="103"/>
        <v>1</v>
      </c>
      <c r="CS53" s="149">
        <f t="shared" si="104"/>
        <v>1</v>
      </c>
      <c r="CT53" s="149">
        <f t="shared" si="105"/>
        <v>1</v>
      </c>
      <c r="CU53" s="149">
        <f t="shared" si="106"/>
        <v>1</v>
      </c>
      <c r="CV53" s="149">
        <f t="shared" si="107"/>
        <v>1</v>
      </c>
      <c r="CW53" s="149">
        <f t="shared" si="108"/>
        <v>1</v>
      </c>
      <c r="CX53" s="149">
        <f t="shared" si="109"/>
        <v>1</v>
      </c>
      <c r="CY53" s="149">
        <f t="shared" si="110"/>
        <v>1</v>
      </c>
      <c r="CZ53" s="149">
        <f t="shared" si="111"/>
        <v>1</v>
      </c>
      <c r="DA53" s="149">
        <f t="shared" si="112"/>
        <v>1</v>
      </c>
      <c r="DB53" s="149">
        <f t="shared" si="113"/>
        <v>1</v>
      </c>
      <c r="DG53" s="125">
        <f t="shared" si="126"/>
        <v>1</v>
      </c>
      <c r="DH53" s="125">
        <f t="shared" si="129"/>
        <v>2</v>
      </c>
      <c r="DI53" s="125">
        <f t="shared" si="129"/>
        <v>3</v>
      </c>
      <c r="DJ53" s="125">
        <f t="shared" si="129"/>
        <v>4</v>
      </c>
      <c r="DK53" s="125">
        <f t="shared" si="129"/>
        <v>5</v>
      </c>
      <c r="DL53" s="125">
        <f t="shared" si="129"/>
        <v>6</v>
      </c>
      <c r="DM53" s="125">
        <f t="shared" si="129"/>
        <v>7</v>
      </c>
      <c r="DN53" s="125">
        <f t="shared" si="129"/>
        <v>8</v>
      </c>
      <c r="DO53" s="125">
        <f t="shared" si="129"/>
        <v>9</v>
      </c>
      <c r="DP53" s="125">
        <f t="shared" si="129"/>
        <v>10</v>
      </c>
      <c r="DS53" s="137"/>
      <c r="DT53" s="137"/>
      <c r="DU53" s="137"/>
      <c r="DV53" s="137" t="b">
        <f t="shared" si="115"/>
        <v>0</v>
      </c>
      <c r="DW53" s="137" t="b">
        <f t="shared" si="116"/>
        <v>0</v>
      </c>
      <c r="DX53" s="137" t="b">
        <f t="shared" si="117"/>
        <v>1</v>
      </c>
      <c r="EB53" s="131">
        <f t="shared" si="127"/>
        <v>1</v>
      </c>
      <c r="EC53" s="137" t="b">
        <f t="shared" si="118"/>
        <v>0</v>
      </c>
      <c r="ED53" s="137" t="b">
        <f t="shared" si="119"/>
        <v>0</v>
      </c>
      <c r="EE53" s="137" t="b">
        <f t="shared" si="120"/>
        <v>1</v>
      </c>
      <c r="EF53" s="137"/>
      <c r="EG53" s="137"/>
      <c r="EH53" s="137"/>
      <c r="EI53" s="137"/>
      <c r="EJ53" s="137">
        <f t="shared" si="128"/>
        <v>1</v>
      </c>
      <c r="EK53" s="125">
        <f t="shared" si="121"/>
        <v>0</v>
      </c>
      <c r="EL53" s="125">
        <f t="shared" si="122"/>
        <v>0</v>
      </c>
    </row>
    <row r="54" spans="2:142" ht="15.75" x14ac:dyDescent="0.25">
      <c r="B54" s="160">
        <f t="shared" si="123"/>
        <v>24</v>
      </c>
      <c r="C54" s="205">
        <v>1001346676</v>
      </c>
      <c r="D54" s="205">
        <v>1001266343</v>
      </c>
      <c r="E54" s="205">
        <v>40000132</v>
      </c>
      <c r="F54" s="118">
        <f>IF(OR(J54="",H54=""),"",VLOOKUP(J54,'הזנה לסיווג רשויות'!$B$2:$D$301,2,0))</f>
        <v>20000201</v>
      </c>
      <c r="G54" s="118" t="str">
        <f>IF(OR(J54="",H54=""),"",VLOOKUP(J54,'הזנה לסיווג רשויות'!$B$2:$D$301,3,0))</f>
        <v>תל אביב -יפו</v>
      </c>
      <c r="H54" s="281" t="s">
        <v>556</v>
      </c>
      <c r="I54" s="201" t="s">
        <v>373</v>
      </c>
      <c r="J54" s="205">
        <v>5000</v>
      </c>
      <c r="K54" s="161">
        <v>0</v>
      </c>
      <c r="L54" s="161">
        <v>1</v>
      </c>
      <c r="M54" s="161">
        <v>0</v>
      </c>
      <c r="N54" s="161">
        <v>1</v>
      </c>
      <c r="O54" s="161">
        <v>1</v>
      </c>
      <c r="P54" s="161">
        <v>1</v>
      </c>
      <c r="Q54" s="161">
        <v>1</v>
      </c>
      <c r="R54" s="201">
        <v>3028116</v>
      </c>
      <c r="S54" s="201">
        <v>1660514</v>
      </c>
      <c r="T54" s="160">
        <f>IF(G54="","",IFERROR(IF(S54/R54&gt;'פרמטרים לקריטריונים'!$C$20,1,0),0))</f>
        <v>1</v>
      </c>
      <c r="U54" s="201">
        <v>1499742</v>
      </c>
      <c r="V54" s="160">
        <f>IF(G54="","",IFERROR(IF(U54/R54&gt;'פרמטרים לקריטריונים'!$C$21,1,IF(AND(I54=$BW$5,U54/R54&gt;'פרמטרים לקריטריונים'!$C$22),1,0)),0))</f>
        <v>1</v>
      </c>
      <c r="W54" s="161">
        <v>1</v>
      </c>
      <c r="X54" s="161">
        <v>1</v>
      </c>
      <c r="Y54" s="201">
        <v>1000000</v>
      </c>
      <c r="Z54" s="201">
        <v>1000000</v>
      </c>
      <c r="AA54" s="161">
        <f t="shared" si="124"/>
        <v>1</v>
      </c>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0"/>
      <c r="AX54" s="161"/>
      <c r="AY54" s="161"/>
      <c r="AZ54" s="161"/>
      <c r="BA54" s="161"/>
      <c r="BB54" s="161"/>
      <c r="BC54" s="161"/>
      <c r="BD54" s="161"/>
      <c r="BE54" s="161"/>
      <c r="BF54" s="160" t="str">
        <f t="shared" si="125"/>
        <v/>
      </c>
      <c r="BG54" s="160"/>
      <c r="BH54" s="160"/>
      <c r="BI54" s="160"/>
      <c r="BJ54" s="160"/>
      <c r="BK54" s="160"/>
      <c r="BL54" s="162">
        <f t="shared" si="75"/>
        <v>1</v>
      </c>
      <c r="BM54" s="257"/>
      <c r="BN54" s="163"/>
      <c r="BO54" s="211" t="str">
        <f t="shared" si="76"/>
        <v>תיאטרון הנפשתיאטרון</v>
      </c>
      <c r="BP54" s="125">
        <f t="shared" si="77"/>
        <v>1</v>
      </c>
      <c r="BQ54" s="164">
        <v>0</v>
      </c>
      <c r="BR54" s="164">
        <v>1</v>
      </c>
      <c r="BS54" s="149">
        <f t="shared" si="78"/>
        <v>1</v>
      </c>
      <c r="BT54" s="149">
        <f t="shared" si="79"/>
        <v>1</v>
      </c>
      <c r="BU54" s="149">
        <f t="shared" si="80"/>
        <v>1</v>
      </c>
      <c r="BV54" s="149">
        <f t="shared" si="81"/>
        <v>1</v>
      </c>
      <c r="BW54" s="149">
        <f t="shared" si="82"/>
        <v>1</v>
      </c>
      <c r="BX54" s="149">
        <f t="shared" si="83"/>
        <v>1</v>
      </c>
      <c r="BY54" s="149">
        <f t="shared" si="84"/>
        <v>1</v>
      </c>
      <c r="BZ54" s="149">
        <f t="shared" si="85"/>
        <v>1</v>
      </c>
      <c r="CA54" s="149">
        <f t="shared" si="86"/>
        <v>1</v>
      </c>
      <c r="CB54" s="149">
        <f t="shared" si="87"/>
        <v>1</v>
      </c>
      <c r="CC54" s="149">
        <f t="shared" si="88"/>
        <v>1</v>
      </c>
      <c r="CD54" s="149">
        <f t="shared" si="89"/>
        <v>1</v>
      </c>
      <c r="CE54" s="149">
        <f t="shared" si="90"/>
        <v>1</v>
      </c>
      <c r="CF54" s="149">
        <f t="shared" si="91"/>
        <v>1</v>
      </c>
      <c r="CG54" s="149">
        <f t="shared" si="92"/>
        <v>1</v>
      </c>
      <c r="CH54" s="149">
        <f t="shared" si="93"/>
        <v>1</v>
      </c>
      <c r="CI54" s="149">
        <f t="shared" si="94"/>
        <v>1</v>
      </c>
      <c r="CJ54" s="149">
        <f t="shared" si="95"/>
        <v>1</v>
      </c>
      <c r="CK54" s="149">
        <f t="shared" si="96"/>
        <v>1</v>
      </c>
      <c r="CL54" s="149">
        <f t="shared" si="97"/>
        <v>1</v>
      </c>
      <c r="CM54" s="149">
        <f t="shared" si="98"/>
        <v>1</v>
      </c>
      <c r="CN54" s="149">
        <f t="shared" si="99"/>
        <v>1</v>
      </c>
      <c r="CO54" s="149">
        <f t="shared" si="100"/>
        <v>1</v>
      </c>
      <c r="CP54" s="149">
        <f t="shared" si="101"/>
        <v>1</v>
      </c>
      <c r="CQ54" s="149">
        <f t="shared" si="102"/>
        <v>1</v>
      </c>
      <c r="CR54" s="149">
        <f t="shared" si="103"/>
        <v>1</v>
      </c>
      <c r="CS54" s="149">
        <f t="shared" si="104"/>
        <v>1</v>
      </c>
      <c r="CT54" s="149">
        <f t="shared" si="105"/>
        <v>1</v>
      </c>
      <c r="CU54" s="149">
        <f t="shared" si="106"/>
        <v>1</v>
      </c>
      <c r="CV54" s="149">
        <f t="shared" si="107"/>
        <v>1</v>
      </c>
      <c r="CW54" s="149">
        <f t="shared" si="108"/>
        <v>1</v>
      </c>
      <c r="CX54" s="149">
        <f t="shared" si="109"/>
        <v>1</v>
      </c>
      <c r="CY54" s="149">
        <f t="shared" si="110"/>
        <v>1</v>
      </c>
      <c r="CZ54" s="149">
        <f t="shared" si="111"/>
        <v>1</v>
      </c>
      <c r="DA54" s="149">
        <f t="shared" si="112"/>
        <v>1</v>
      </c>
      <c r="DB54" s="149">
        <f t="shared" si="113"/>
        <v>1</v>
      </c>
      <c r="DG54" s="125">
        <f t="shared" si="126"/>
        <v>1</v>
      </c>
      <c r="DH54" s="125">
        <f t="shared" si="129"/>
        <v>2</v>
      </c>
      <c r="DI54" s="125">
        <f t="shared" si="129"/>
        <v>3</v>
      </c>
      <c r="DJ54" s="125">
        <f t="shared" si="129"/>
        <v>4</v>
      </c>
      <c r="DK54" s="125">
        <f t="shared" si="129"/>
        <v>5</v>
      </c>
      <c r="DL54" s="125">
        <f t="shared" si="129"/>
        <v>6</v>
      </c>
      <c r="DM54" s="125">
        <f t="shared" si="129"/>
        <v>7</v>
      </c>
      <c r="DN54" s="125">
        <f t="shared" si="129"/>
        <v>8</v>
      </c>
      <c r="DO54" s="125">
        <f t="shared" si="129"/>
        <v>9</v>
      </c>
      <c r="DP54" s="125">
        <f t="shared" si="129"/>
        <v>10</v>
      </c>
      <c r="DS54" s="137"/>
      <c r="DT54" s="137"/>
      <c r="DU54" s="137"/>
      <c r="DV54" s="137" t="b">
        <f t="shared" si="115"/>
        <v>0</v>
      </c>
      <c r="DW54" s="137" t="b">
        <f t="shared" si="116"/>
        <v>0</v>
      </c>
      <c r="DX54" s="137" t="b">
        <f t="shared" si="117"/>
        <v>1</v>
      </c>
      <c r="EB54" s="131">
        <f t="shared" si="127"/>
        <v>1</v>
      </c>
      <c r="EC54" s="137" t="b">
        <f t="shared" si="118"/>
        <v>0</v>
      </c>
      <c r="ED54" s="137" t="b">
        <f t="shared" si="119"/>
        <v>0</v>
      </c>
      <c r="EE54" s="137" t="b">
        <f t="shared" si="120"/>
        <v>1</v>
      </c>
      <c r="EF54" s="137"/>
      <c r="EG54" s="137"/>
      <c r="EH54" s="137"/>
      <c r="EI54" s="137"/>
      <c r="EJ54" s="137">
        <f t="shared" si="128"/>
        <v>1</v>
      </c>
      <c r="EK54" s="125">
        <f t="shared" si="121"/>
        <v>0</v>
      </c>
      <c r="EL54" s="125">
        <f t="shared" si="122"/>
        <v>0</v>
      </c>
    </row>
    <row r="55" spans="2:142" ht="15.75" x14ac:dyDescent="0.25">
      <c r="B55" s="160">
        <f t="shared" si="123"/>
        <v>25</v>
      </c>
      <c r="C55" s="205">
        <v>1001346807</v>
      </c>
      <c r="D55" s="205">
        <v>1001266435</v>
      </c>
      <c r="E55" s="205">
        <v>40000132</v>
      </c>
      <c r="F55" s="118">
        <f>IF(OR(J55="",H55=""),"",VLOOKUP(J55,'הזנה לסיווג רשויות'!$B$2:$D$301,2,0))</f>
        <v>20000201</v>
      </c>
      <c r="G55" s="118" t="str">
        <f>IF(OR(J55="",H55=""),"",VLOOKUP(J55,'הזנה לסיווג רשויות'!$B$2:$D$301,3,0))</f>
        <v>תל אביב -יפו</v>
      </c>
      <c r="H55" s="281" t="s">
        <v>556</v>
      </c>
      <c r="I55" s="201" t="s">
        <v>381</v>
      </c>
      <c r="J55" s="205">
        <v>5000</v>
      </c>
      <c r="K55" s="161">
        <v>0</v>
      </c>
      <c r="L55" s="161">
        <v>1</v>
      </c>
      <c r="M55" s="161">
        <v>0</v>
      </c>
      <c r="N55" s="161">
        <v>1</v>
      </c>
      <c r="O55" s="161">
        <v>1</v>
      </c>
      <c r="P55" s="161">
        <v>1</v>
      </c>
      <c r="Q55" s="161">
        <v>1</v>
      </c>
      <c r="R55" s="201">
        <v>543170</v>
      </c>
      <c r="S55" s="201">
        <v>199225</v>
      </c>
      <c r="T55" s="160">
        <f>IF(G55="","",IFERROR(IF(S55/R55&gt;'פרמטרים לקריטריונים'!$C$20,1,0),0))</f>
        <v>1</v>
      </c>
      <c r="U55" s="201">
        <v>139225</v>
      </c>
      <c r="V55" s="160">
        <f>IF(G55="","",IFERROR(IF(U55/R55&gt;'פרמטרים לקריטריונים'!$C$21,1,IF(AND(I55=$BW$5,U55/R55&gt;'פרמטרים לקריטריונים'!$C$22),1,0)),0))</f>
        <v>1</v>
      </c>
      <c r="W55" s="161">
        <v>1</v>
      </c>
      <c r="X55" s="161">
        <v>1</v>
      </c>
      <c r="Y55" s="201">
        <v>300000</v>
      </c>
      <c r="Z55" s="201">
        <v>300000</v>
      </c>
      <c r="AA55" s="161">
        <f t="shared" si="124"/>
        <v>1</v>
      </c>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0"/>
      <c r="AX55" s="161"/>
      <c r="AY55" s="161"/>
      <c r="AZ55" s="161"/>
      <c r="BA55" s="161"/>
      <c r="BB55" s="161"/>
      <c r="BC55" s="161"/>
      <c r="BD55" s="161"/>
      <c r="BE55" s="161"/>
      <c r="BF55" s="160" t="str">
        <f t="shared" si="125"/>
        <v/>
      </c>
      <c r="BG55" s="160"/>
      <c r="BH55" s="160"/>
      <c r="BI55" s="160"/>
      <c r="BJ55" s="160"/>
      <c r="BK55" s="160"/>
      <c r="BL55" s="162">
        <f t="shared" si="75"/>
        <v>1</v>
      </c>
      <c r="BM55" s="257"/>
      <c r="BN55" s="163"/>
      <c r="BO55" s="211" t="str">
        <f t="shared" si="76"/>
        <v>תיאטרון הנפשסינמטקים ופסטיבלים</v>
      </c>
      <c r="BP55" s="125">
        <f t="shared" si="77"/>
        <v>1</v>
      </c>
      <c r="BQ55" s="164">
        <v>0</v>
      </c>
      <c r="BR55" s="164">
        <v>1</v>
      </c>
      <c r="BS55" s="149">
        <f t="shared" si="78"/>
        <v>1</v>
      </c>
      <c r="BT55" s="149">
        <f t="shared" si="79"/>
        <v>1</v>
      </c>
      <c r="BU55" s="149">
        <f t="shared" si="80"/>
        <v>1</v>
      </c>
      <c r="BV55" s="149">
        <f t="shared" si="81"/>
        <v>1</v>
      </c>
      <c r="BW55" s="149">
        <f t="shared" si="82"/>
        <v>1</v>
      </c>
      <c r="BX55" s="149">
        <f t="shared" si="83"/>
        <v>1</v>
      </c>
      <c r="BY55" s="149">
        <f t="shared" si="84"/>
        <v>1</v>
      </c>
      <c r="BZ55" s="149">
        <f t="shared" si="85"/>
        <v>1</v>
      </c>
      <c r="CA55" s="149">
        <f t="shared" si="86"/>
        <v>1</v>
      </c>
      <c r="CB55" s="149">
        <f t="shared" si="87"/>
        <v>1</v>
      </c>
      <c r="CC55" s="149">
        <f t="shared" si="88"/>
        <v>1</v>
      </c>
      <c r="CD55" s="149">
        <f t="shared" si="89"/>
        <v>1</v>
      </c>
      <c r="CE55" s="149">
        <f t="shared" si="90"/>
        <v>1</v>
      </c>
      <c r="CF55" s="149">
        <f t="shared" si="91"/>
        <v>1</v>
      </c>
      <c r="CG55" s="149">
        <f t="shared" si="92"/>
        <v>1</v>
      </c>
      <c r="CH55" s="149">
        <f t="shared" si="93"/>
        <v>1</v>
      </c>
      <c r="CI55" s="149">
        <f t="shared" si="94"/>
        <v>1</v>
      </c>
      <c r="CJ55" s="149">
        <f t="shared" si="95"/>
        <v>1</v>
      </c>
      <c r="CK55" s="149">
        <f t="shared" si="96"/>
        <v>1</v>
      </c>
      <c r="CL55" s="149">
        <f t="shared" si="97"/>
        <v>1</v>
      </c>
      <c r="CM55" s="149">
        <f t="shared" si="98"/>
        <v>1</v>
      </c>
      <c r="CN55" s="149">
        <f t="shared" si="99"/>
        <v>1</v>
      </c>
      <c r="CO55" s="149">
        <f t="shared" si="100"/>
        <v>1</v>
      </c>
      <c r="CP55" s="149">
        <f t="shared" si="101"/>
        <v>1</v>
      </c>
      <c r="CQ55" s="149">
        <f t="shared" si="102"/>
        <v>1</v>
      </c>
      <c r="CR55" s="149">
        <f t="shared" si="103"/>
        <v>1</v>
      </c>
      <c r="CS55" s="149">
        <f t="shared" si="104"/>
        <v>1</v>
      </c>
      <c r="CT55" s="149">
        <f t="shared" si="105"/>
        <v>1</v>
      </c>
      <c r="CU55" s="149">
        <f t="shared" si="106"/>
        <v>1</v>
      </c>
      <c r="CV55" s="149">
        <f t="shared" si="107"/>
        <v>1</v>
      </c>
      <c r="CW55" s="149">
        <f t="shared" si="108"/>
        <v>1</v>
      </c>
      <c r="CX55" s="149">
        <f t="shared" si="109"/>
        <v>1</v>
      </c>
      <c r="CY55" s="149">
        <f t="shared" si="110"/>
        <v>1</v>
      </c>
      <c r="CZ55" s="149">
        <f t="shared" si="111"/>
        <v>1</v>
      </c>
      <c r="DA55" s="149">
        <f t="shared" si="112"/>
        <v>1</v>
      </c>
      <c r="DB55" s="149">
        <f t="shared" si="113"/>
        <v>1</v>
      </c>
      <c r="DG55" s="125">
        <f t="shared" si="126"/>
        <v>1</v>
      </c>
      <c r="DH55" s="125">
        <f t="shared" si="129"/>
        <v>2</v>
      </c>
      <c r="DI55" s="125">
        <f t="shared" si="129"/>
        <v>3</v>
      </c>
      <c r="DJ55" s="125">
        <f t="shared" si="129"/>
        <v>4</v>
      </c>
      <c r="DK55" s="125">
        <f t="shared" si="129"/>
        <v>5</v>
      </c>
      <c r="DL55" s="125">
        <f t="shared" si="129"/>
        <v>6</v>
      </c>
      <c r="DM55" s="125">
        <f t="shared" si="129"/>
        <v>7</v>
      </c>
      <c r="DN55" s="125">
        <f t="shared" si="129"/>
        <v>8</v>
      </c>
      <c r="DO55" s="125">
        <f t="shared" si="129"/>
        <v>9</v>
      </c>
      <c r="DP55" s="125">
        <f t="shared" si="129"/>
        <v>10</v>
      </c>
      <c r="DS55" s="137"/>
      <c r="DT55" s="137"/>
      <c r="DU55" s="137"/>
      <c r="DV55" s="137" t="b">
        <f t="shared" si="115"/>
        <v>0</v>
      </c>
      <c r="DW55" s="137" t="b">
        <f t="shared" si="116"/>
        <v>0</v>
      </c>
      <c r="DX55" s="137" t="b">
        <f t="shared" si="117"/>
        <v>1</v>
      </c>
      <c r="EB55" s="131">
        <f t="shared" si="127"/>
        <v>1</v>
      </c>
      <c r="EC55" s="137" t="b">
        <f t="shared" si="118"/>
        <v>0</v>
      </c>
      <c r="ED55" s="137" t="b">
        <f t="shared" si="119"/>
        <v>0</v>
      </c>
      <c r="EE55" s="137" t="b">
        <f t="shared" si="120"/>
        <v>1</v>
      </c>
      <c r="EF55" s="137"/>
      <c r="EG55" s="137"/>
      <c r="EH55" s="137"/>
      <c r="EI55" s="137"/>
      <c r="EJ55" s="137">
        <f t="shared" si="128"/>
        <v>1</v>
      </c>
      <c r="EK55" s="125">
        <f t="shared" si="121"/>
        <v>0</v>
      </c>
      <c r="EL55" s="125">
        <f t="shared" si="122"/>
        <v>0</v>
      </c>
    </row>
    <row r="56" spans="2:142" ht="15.75" x14ac:dyDescent="0.25">
      <c r="B56" s="160">
        <f t="shared" si="123"/>
        <v>26</v>
      </c>
      <c r="C56" s="205">
        <v>1001346564</v>
      </c>
      <c r="D56" s="205">
        <v>1001269642</v>
      </c>
      <c r="E56" s="205">
        <v>40000060</v>
      </c>
      <c r="F56" s="118">
        <f>IF(OR(J56="",H56=""),"",VLOOKUP(J56,'הזנה לסיווג רשויות'!$B$2:$D$301,2,0))</f>
        <v>20000159</v>
      </c>
      <c r="G56" s="118" t="str">
        <f>IF(OR(J56="",H56=""),"",VLOOKUP(J56,'הזנה לסיווג רשויות'!$B$2:$D$301,3,0))</f>
        <v>ירושלים</v>
      </c>
      <c r="H56" s="281" t="s">
        <v>557</v>
      </c>
      <c r="I56" s="201" t="s">
        <v>373</v>
      </c>
      <c r="J56" s="205">
        <v>3000</v>
      </c>
      <c r="K56" s="161">
        <v>0</v>
      </c>
      <c r="L56" s="161">
        <v>1</v>
      </c>
      <c r="M56" s="161">
        <v>0</v>
      </c>
      <c r="N56" s="161">
        <v>1</v>
      </c>
      <c r="O56" s="161">
        <v>1</v>
      </c>
      <c r="P56" s="161">
        <v>1</v>
      </c>
      <c r="Q56" s="161">
        <v>1</v>
      </c>
      <c r="R56" s="201">
        <v>5833226</v>
      </c>
      <c r="S56" s="201">
        <v>2491488</v>
      </c>
      <c r="T56" s="160">
        <f>IF(G56="","",IFERROR(IF(S56/R56&gt;'פרמטרים לקריטריונים'!$C$20,1,0),0))</f>
        <v>1</v>
      </c>
      <c r="U56" s="201">
        <v>2491488</v>
      </c>
      <c r="V56" s="160">
        <f>IF(G56="","",IFERROR(IF(U56/R56&gt;'פרמטרים לקריטריונים'!$C$21,1,IF(AND(I56=$BW$5,U56/R56&gt;'פרמטרים לקריטריונים'!$C$22),1,0)),0))</f>
        <v>1</v>
      </c>
      <c r="W56" s="161">
        <v>1</v>
      </c>
      <c r="X56" s="161">
        <v>1</v>
      </c>
      <c r="Y56" s="201">
        <v>500000</v>
      </c>
      <c r="Z56" s="201">
        <v>50000</v>
      </c>
      <c r="AA56" s="161">
        <f t="shared" si="124"/>
        <v>1</v>
      </c>
      <c r="AB56" s="161"/>
      <c r="AC56" s="161"/>
      <c r="AD56" s="161"/>
      <c r="AE56" s="161"/>
      <c r="AF56" s="161"/>
      <c r="AG56" s="161"/>
      <c r="AH56" s="161"/>
      <c r="AI56" s="161"/>
      <c r="AJ56" s="161"/>
      <c r="AK56" s="161"/>
      <c r="AL56" s="161"/>
      <c r="AM56" s="161"/>
      <c r="AN56" s="161"/>
      <c r="AO56" s="161"/>
      <c r="AP56" s="161"/>
      <c r="AQ56" s="161"/>
      <c r="AR56" s="161"/>
      <c r="AS56" s="161"/>
      <c r="AT56" s="161"/>
      <c r="AU56" s="161"/>
      <c r="AV56" s="161"/>
      <c r="AW56" s="160"/>
      <c r="AX56" s="161"/>
      <c r="AY56" s="161"/>
      <c r="AZ56" s="161"/>
      <c r="BA56" s="161"/>
      <c r="BB56" s="161"/>
      <c r="BC56" s="161"/>
      <c r="BD56" s="161"/>
      <c r="BE56" s="161"/>
      <c r="BF56" s="160" t="str">
        <f t="shared" si="125"/>
        <v/>
      </c>
      <c r="BG56" s="160"/>
      <c r="BH56" s="160"/>
      <c r="BI56" s="160"/>
      <c r="BJ56" s="160"/>
      <c r="BK56" s="160"/>
      <c r="BL56" s="162">
        <f t="shared" si="75"/>
        <v>1</v>
      </c>
      <c r="BM56" s="257"/>
      <c r="BN56" s="163"/>
      <c r="BO56" s="211" t="str">
        <f t="shared" si="76"/>
        <v>תיאטרון הקרוןתיאטרון</v>
      </c>
      <c r="BP56" s="125">
        <f t="shared" si="77"/>
        <v>1</v>
      </c>
      <c r="BQ56" s="164">
        <v>0</v>
      </c>
      <c r="BR56" s="164">
        <v>1</v>
      </c>
      <c r="BS56" s="149">
        <f t="shared" si="78"/>
        <v>1</v>
      </c>
      <c r="BT56" s="149">
        <f t="shared" si="79"/>
        <v>1</v>
      </c>
      <c r="BU56" s="149">
        <f t="shared" si="80"/>
        <v>1</v>
      </c>
      <c r="BV56" s="149">
        <f t="shared" si="81"/>
        <v>1</v>
      </c>
      <c r="BW56" s="149">
        <f t="shared" si="82"/>
        <v>1</v>
      </c>
      <c r="BX56" s="149">
        <f t="shared" si="83"/>
        <v>1</v>
      </c>
      <c r="BY56" s="149">
        <f t="shared" si="84"/>
        <v>1</v>
      </c>
      <c r="BZ56" s="149">
        <f t="shared" si="85"/>
        <v>1</v>
      </c>
      <c r="CA56" s="149">
        <f t="shared" si="86"/>
        <v>1</v>
      </c>
      <c r="CB56" s="149">
        <f t="shared" si="87"/>
        <v>1</v>
      </c>
      <c r="CC56" s="149">
        <f t="shared" si="88"/>
        <v>1</v>
      </c>
      <c r="CD56" s="149">
        <f t="shared" si="89"/>
        <v>1</v>
      </c>
      <c r="CE56" s="149">
        <f t="shared" si="90"/>
        <v>1</v>
      </c>
      <c r="CF56" s="149">
        <f t="shared" si="91"/>
        <v>1</v>
      </c>
      <c r="CG56" s="149">
        <f t="shared" si="92"/>
        <v>1</v>
      </c>
      <c r="CH56" s="149">
        <f t="shared" si="93"/>
        <v>1</v>
      </c>
      <c r="CI56" s="149">
        <f t="shared" si="94"/>
        <v>1</v>
      </c>
      <c r="CJ56" s="149">
        <f t="shared" si="95"/>
        <v>1</v>
      </c>
      <c r="CK56" s="149">
        <f t="shared" si="96"/>
        <v>1</v>
      </c>
      <c r="CL56" s="149">
        <f t="shared" si="97"/>
        <v>1</v>
      </c>
      <c r="CM56" s="149">
        <f t="shared" si="98"/>
        <v>1</v>
      </c>
      <c r="CN56" s="149">
        <f t="shared" si="99"/>
        <v>1</v>
      </c>
      <c r="CO56" s="149">
        <f t="shared" si="100"/>
        <v>1</v>
      </c>
      <c r="CP56" s="149">
        <f t="shared" si="101"/>
        <v>1</v>
      </c>
      <c r="CQ56" s="149">
        <f t="shared" si="102"/>
        <v>1</v>
      </c>
      <c r="CR56" s="149">
        <f t="shared" si="103"/>
        <v>1</v>
      </c>
      <c r="CS56" s="149">
        <f t="shared" si="104"/>
        <v>1</v>
      </c>
      <c r="CT56" s="149">
        <f t="shared" si="105"/>
        <v>1</v>
      </c>
      <c r="CU56" s="149">
        <f t="shared" si="106"/>
        <v>1</v>
      </c>
      <c r="CV56" s="149">
        <f t="shared" si="107"/>
        <v>1</v>
      </c>
      <c r="CW56" s="149">
        <f t="shared" si="108"/>
        <v>1</v>
      </c>
      <c r="CX56" s="149">
        <f t="shared" si="109"/>
        <v>1</v>
      </c>
      <c r="CY56" s="149">
        <f t="shared" si="110"/>
        <v>1</v>
      </c>
      <c r="CZ56" s="149">
        <f t="shared" si="111"/>
        <v>1</v>
      </c>
      <c r="DA56" s="149">
        <f t="shared" si="112"/>
        <v>1</v>
      </c>
      <c r="DB56" s="149">
        <f t="shared" si="113"/>
        <v>1</v>
      </c>
      <c r="DG56" s="125">
        <f t="shared" si="126"/>
        <v>1</v>
      </c>
      <c r="DH56" s="125">
        <f t="shared" si="129"/>
        <v>2</v>
      </c>
      <c r="DI56" s="125">
        <f t="shared" si="129"/>
        <v>3</v>
      </c>
      <c r="DJ56" s="125">
        <f t="shared" si="129"/>
        <v>4</v>
      </c>
      <c r="DK56" s="125">
        <f t="shared" si="129"/>
        <v>5</v>
      </c>
      <c r="DL56" s="125">
        <f t="shared" si="129"/>
        <v>6</v>
      </c>
      <c r="DM56" s="125">
        <f t="shared" si="129"/>
        <v>7</v>
      </c>
      <c r="DN56" s="125">
        <f t="shared" si="129"/>
        <v>8</v>
      </c>
      <c r="DO56" s="125">
        <f t="shared" si="129"/>
        <v>9</v>
      </c>
      <c r="DP56" s="125">
        <f t="shared" si="129"/>
        <v>10</v>
      </c>
      <c r="DS56" s="137"/>
      <c r="DT56" s="137"/>
      <c r="DU56" s="137"/>
      <c r="DV56" s="137" t="b">
        <f t="shared" si="115"/>
        <v>0</v>
      </c>
      <c r="DW56" s="137" t="b">
        <f t="shared" si="116"/>
        <v>0</v>
      </c>
      <c r="DX56" s="137" t="b">
        <f t="shared" si="117"/>
        <v>1</v>
      </c>
      <c r="EB56" s="131">
        <f t="shared" si="127"/>
        <v>1</v>
      </c>
      <c r="EC56" s="137" t="b">
        <f t="shared" si="118"/>
        <v>0</v>
      </c>
      <c r="ED56" s="137" t="b">
        <f t="shared" si="119"/>
        <v>0</v>
      </c>
      <c r="EE56" s="137" t="b">
        <f t="shared" si="120"/>
        <v>1</v>
      </c>
      <c r="EF56" s="137"/>
      <c r="EG56" s="137"/>
      <c r="EH56" s="137"/>
      <c r="EI56" s="137"/>
      <c r="EJ56" s="137">
        <f t="shared" si="128"/>
        <v>1</v>
      </c>
      <c r="EK56" s="125">
        <f t="shared" si="121"/>
        <v>0</v>
      </c>
      <c r="EL56" s="125">
        <f t="shared" si="122"/>
        <v>0</v>
      </c>
    </row>
    <row r="57" spans="2:142" ht="15.75" x14ac:dyDescent="0.25">
      <c r="B57" s="160">
        <f t="shared" si="123"/>
        <v>27</v>
      </c>
      <c r="C57" s="205">
        <v>1001347019</v>
      </c>
      <c r="D57" s="205">
        <v>1001270522</v>
      </c>
      <c r="E57" s="205">
        <v>40000075</v>
      </c>
      <c r="F57" s="118">
        <f>IF(OR(J57="",H57=""),"",VLOOKUP(J57,'הזנה לסיווג רשויות'!$B$2:$D$301,2,0))</f>
        <v>20000159</v>
      </c>
      <c r="G57" s="118" t="str">
        <f>IF(OR(J57="",H57=""),"",VLOOKUP(J57,'הזנה לסיווג רשויות'!$B$2:$D$301,3,0))</f>
        <v>ירושלים</v>
      </c>
      <c r="H57" s="281" t="s">
        <v>558</v>
      </c>
      <c r="I57" s="201" t="s">
        <v>375</v>
      </c>
      <c r="J57" s="205">
        <v>3000</v>
      </c>
      <c r="K57" s="161">
        <v>0</v>
      </c>
      <c r="L57" s="161">
        <v>1</v>
      </c>
      <c r="M57" s="161">
        <v>0</v>
      </c>
      <c r="N57" s="161">
        <v>1</v>
      </c>
      <c r="O57" s="161">
        <v>1</v>
      </c>
      <c r="P57" s="161">
        <v>1</v>
      </c>
      <c r="Q57" s="161">
        <v>1</v>
      </c>
      <c r="R57" s="201">
        <v>848579</v>
      </c>
      <c r="S57" s="201">
        <v>228348</v>
      </c>
      <c r="T57" s="160">
        <f>IF(G57="","",IFERROR(IF(S57/R57&gt;'פרמטרים לקריטריונים'!$C$20,1,0),0))</f>
        <v>1</v>
      </c>
      <c r="U57" s="201">
        <v>131348</v>
      </c>
      <c r="V57" s="160">
        <f>IF(G57="","",IFERROR(IF(U57/R57&gt;'פרמטרים לקריטריונים'!$C$21,1,IF(AND(I57=$BW$5,U57/R57&gt;'פרמטרים לקריטריונים'!$C$22),1,0)),0))</f>
        <v>1</v>
      </c>
      <c r="W57" s="161">
        <v>1</v>
      </c>
      <c r="X57" s="161">
        <v>1</v>
      </c>
      <c r="Y57" s="201">
        <v>200000</v>
      </c>
      <c r="Z57" s="201">
        <v>100000</v>
      </c>
      <c r="AA57" s="161">
        <f t="shared" si="124"/>
        <v>1</v>
      </c>
      <c r="AB57" s="161"/>
      <c r="AC57" s="161"/>
      <c r="AD57" s="161"/>
      <c r="AE57" s="161"/>
      <c r="AF57" s="161"/>
      <c r="AG57" s="161"/>
      <c r="AH57" s="161"/>
      <c r="AI57" s="161"/>
      <c r="AJ57" s="161"/>
      <c r="AK57" s="161"/>
      <c r="AL57" s="161"/>
      <c r="AM57" s="161"/>
      <c r="AN57" s="161"/>
      <c r="AO57" s="161"/>
      <c r="AP57" s="161"/>
      <c r="AQ57" s="161"/>
      <c r="AR57" s="161"/>
      <c r="AS57" s="161"/>
      <c r="AT57" s="161"/>
      <c r="AU57" s="161"/>
      <c r="AV57" s="161"/>
      <c r="AW57" s="160"/>
      <c r="AX57" s="161"/>
      <c r="AY57" s="161"/>
      <c r="AZ57" s="161"/>
      <c r="BA57" s="161"/>
      <c r="BB57" s="161"/>
      <c r="BC57" s="161"/>
      <c r="BD57" s="161"/>
      <c r="BE57" s="161"/>
      <c r="BF57" s="160" t="str">
        <f t="shared" si="125"/>
        <v/>
      </c>
      <c r="BG57" s="160"/>
      <c r="BH57" s="160"/>
      <c r="BI57" s="160"/>
      <c r="BJ57" s="160"/>
      <c r="BK57" s="160"/>
      <c r="BL57" s="162">
        <f t="shared" si="75"/>
        <v>1</v>
      </c>
      <c r="BM57" s="257"/>
      <c r="BN57" s="163"/>
      <c r="BO57" s="211" t="str">
        <f t="shared" si="76"/>
        <v>מוזיאון חצר הישוב הישןמוזיאונים</v>
      </c>
      <c r="BP57" s="125">
        <f t="shared" si="77"/>
        <v>1</v>
      </c>
      <c r="BQ57" s="164">
        <v>0</v>
      </c>
      <c r="BR57" s="164">
        <v>1</v>
      </c>
      <c r="BS57" s="149">
        <f t="shared" si="78"/>
        <v>1</v>
      </c>
      <c r="BT57" s="149">
        <f t="shared" si="79"/>
        <v>1</v>
      </c>
      <c r="BU57" s="149">
        <f t="shared" si="80"/>
        <v>1</v>
      </c>
      <c r="BV57" s="149">
        <f t="shared" si="81"/>
        <v>1</v>
      </c>
      <c r="BW57" s="149">
        <f t="shared" si="82"/>
        <v>1</v>
      </c>
      <c r="BX57" s="149">
        <f t="shared" si="83"/>
        <v>1</v>
      </c>
      <c r="BY57" s="149">
        <f t="shared" si="84"/>
        <v>1</v>
      </c>
      <c r="BZ57" s="149">
        <f t="shared" si="85"/>
        <v>1</v>
      </c>
      <c r="CA57" s="149">
        <f t="shared" si="86"/>
        <v>1</v>
      </c>
      <c r="CB57" s="149">
        <f t="shared" si="87"/>
        <v>1</v>
      </c>
      <c r="CC57" s="149">
        <f t="shared" si="88"/>
        <v>1</v>
      </c>
      <c r="CD57" s="149">
        <f t="shared" si="89"/>
        <v>1</v>
      </c>
      <c r="CE57" s="149">
        <f t="shared" si="90"/>
        <v>1</v>
      </c>
      <c r="CF57" s="149">
        <f t="shared" si="91"/>
        <v>1</v>
      </c>
      <c r="CG57" s="149">
        <f t="shared" si="92"/>
        <v>1</v>
      </c>
      <c r="CH57" s="149">
        <f t="shared" si="93"/>
        <v>1</v>
      </c>
      <c r="CI57" s="149">
        <f t="shared" si="94"/>
        <v>1</v>
      </c>
      <c r="CJ57" s="149">
        <f t="shared" si="95"/>
        <v>1</v>
      </c>
      <c r="CK57" s="149">
        <f t="shared" si="96"/>
        <v>1</v>
      </c>
      <c r="CL57" s="149">
        <f t="shared" si="97"/>
        <v>1</v>
      </c>
      <c r="CM57" s="149">
        <f t="shared" si="98"/>
        <v>1</v>
      </c>
      <c r="CN57" s="149">
        <f t="shared" si="99"/>
        <v>1</v>
      </c>
      <c r="CO57" s="149">
        <f t="shared" si="100"/>
        <v>1</v>
      </c>
      <c r="CP57" s="149">
        <f t="shared" si="101"/>
        <v>1</v>
      </c>
      <c r="CQ57" s="149">
        <f t="shared" si="102"/>
        <v>1</v>
      </c>
      <c r="CR57" s="149">
        <f t="shared" si="103"/>
        <v>1</v>
      </c>
      <c r="CS57" s="149">
        <f t="shared" si="104"/>
        <v>1</v>
      </c>
      <c r="CT57" s="149">
        <f t="shared" si="105"/>
        <v>1</v>
      </c>
      <c r="CU57" s="149">
        <f t="shared" si="106"/>
        <v>1</v>
      </c>
      <c r="CV57" s="149">
        <f t="shared" si="107"/>
        <v>1</v>
      </c>
      <c r="CW57" s="149">
        <f t="shared" si="108"/>
        <v>1</v>
      </c>
      <c r="CX57" s="149">
        <f t="shared" si="109"/>
        <v>1</v>
      </c>
      <c r="CY57" s="149">
        <f t="shared" si="110"/>
        <v>1</v>
      </c>
      <c r="CZ57" s="149">
        <f t="shared" si="111"/>
        <v>1</v>
      </c>
      <c r="DA57" s="149">
        <f t="shared" si="112"/>
        <v>1</v>
      </c>
      <c r="DB57" s="149">
        <f t="shared" si="113"/>
        <v>1</v>
      </c>
      <c r="DG57" s="125">
        <f t="shared" si="126"/>
        <v>1</v>
      </c>
      <c r="DH57" s="125">
        <f t="shared" si="129"/>
        <v>2</v>
      </c>
      <c r="DI57" s="125">
        <f t="shared" si="129"/>
        <v>3</v>
      </c>
      <c r="DJ57" s="125">
        <f t="shared" si="129"/>
        <v>4</v>
      </c>
      <c r="DK57" s="125">
        <f t="shared" si="129"/>
        <v>5</v>
      </c>
      <c r="DL57" s="125">
        <f t="shared" si="129"/>
        <v>6</v>
      </c>
      <c r="DM57" s="125">
        <f t="shared" si="129"/>
        <v>7</v>
      </c>
      <c r="DN57" s="125">
        <f t="shared" si="129"/>
        <v>8</v>
      </c>
      <c r="DO57" s="125">
        <f t="shared" si="129"/>
        <v>9</v>
      </c>
      <c r="DP57" s="125">
        <f t="shared" si="129"/>
        <v>10</v>
      </c>
      <c r="DS57" s="137"/>
      <c r="DT57" s="137"/>
      <c r="DU57" s="137"/>
      <c r="DV57" s="137" t="b">
        <f t="shared" si="115"/>
        <v>0</v>
      </c>
      <c r="DW57" s="137" t="b">
        <f t="shared" si="116"/>
        <v>0</v>
      </c>
      <c r="DX57" s="137" t="b">
        <f t="shared" si="117"/>
        <v>1</v>
      </c>
      <c r="EB57" s="131">
        <f t="shared" si="127"/>
        <v>1</v>
      </c>
      <c r="EC57" s="137" t="b">
        <f t="shared" si="118"/>
        <v>0</v>
      </c>
      <c r="ED57" s="137" t="b">
        <f t="shared" si="119"/>
        <v>0</v>
      </c>
      <c r="EE57" s="137" t="b">
        <f t="shared" si="120"/>
        <v>1</v>
      </c>
      <c r="EF57" s="137"/>
      <c r="EG57" s="137"/>
      <c r="EH57" s="137"/>
      <c r="EI57" s="137"/>
      <c r="EJ57" s="137">
        <f t="shared" si="128"/>
        <v>1</v>
      </c>
      <c r="EK57" s="125">
        <f t="shared" si="121"/>
        <v>0</v>
      </c>
      <c r="EL57" s="125">
        <f t="shared" si="122"/>
        <v>0</v>
      </c>
    </row>
    <row r="58" spans="2:142" ht="15.75" x14ac:dyDescent="0.2">
      <c r="B58" s="160">
        <f t="shared" si="123"/>
        <v>28</v>
      </c>
      <c r="C58" s="205">
        <v>1001348863</v>
      </c>
      <c r="D58" s="205">
        <v>1001271791</v>
      </c>
      <c r="E58" s="205">
        <v>40000111</v>
      </c>
      <c r="F58" s="118">
        <f>IF(OR(J58="",H58=""),"",VLOOKUP(J58,'הזנה לסיווג רשויות'!$B$2:$D$301,2,0))</f>
        <v>20000201</v>
      </c>
      <c r="G58" s="118" t="str">
        <f>IF(OR(J58="",H58=""),"",VLOOKUP(J58,'הזנה לסיווג רשויות'!$B$2:$D$301,3,0))</f>
        <v>תל אביב -יפו</v>
      </c>
      <c r="H58" s="201" t="s">
        <v>559</v>
      </c>
      <c r="I58" s="201" t="s">
        <v>374</v>
      </c>
      <c r="J58" s="205">
        <v>5000</v>
      </c>
      <c r="K58" s="161">
        <v>0</v>
      </c>
      <c r="L58" s="161">
        <v>1</v>
      </c>
      <c r="M58" s="161">
        <v>0</v>
      </c>
      <c r="N58" s="161">
        <v>1</v>
      </c>
      <c r="O58" s="161">
        <v>1</v>
      </c>
      <c r="P58" s="161">
        <v>1</v>
      </c>
      <c r="Q58" s="161">
        <v>1</v>
      </c>
      <c r="R58" s="201">
        <v>10652225</v>
      </c>
      <c r="S58" s="201">
        <v>4232762</v>
      </c>
      <c r="T58" s="160">
        <f>IF(G58="","",IFERROR(IF(S58/R58&gt;'פרמטרים לקריטריונים'!$C$20,1,0),0))</f>
        <v>1</v>
      </c>
      <c r="U58" s="201">
        <v>2880866</v>
      </c>
      <c r="V58" s="160">
        <f>IF(G58="","",IFERROR(IF(U58/R58&gt;'פרמטרים לקריטריונים'!$C$21,1,IF(AND(I58=$BW$5,U58/R58&gt;'פרמטרים לקריטריונים'!$C$22),1,0)),0))</f>
        <v>1</v>
      </c>
      <c r="W58" s="161">
        <v>1</v>
      </c>
      <c r="X58" s="161">
        <v>1</v>
      </c>
      <c r="Y58" s="201">
        <v>2000000</v>
      </c>
      <c r="Z58" s="201">
        <v>100000</v>
      </c>
      <c r="AA58" s="161">
        <f t="shared" si="124"/>
        <v>1</v>
      </c>
      <c r="AB58" s="161"/>
      <c r="AC58" s="161"/>
      <c r="AD58" s="161"/>
      <c r="AE58" s="161"/>
      <c r="AF58" s="161"/>
      <c r="AG58" s="161"/>
      <c r="AH58" s="161"/>
      <c r="AI58" s="161"/>
      <c r="AJ58" s="161"/>
      <c r="AK58" s="161"/>
      <c r="AL58" s="161"/>
      <c r="AM58" s="161"/>
      <c r="AN58" s="161"/>
      <c r="AO58" s="161"/>
      <c r="AP58" s="161"/>
      <c r="AQ58" s="161"/>
      <c r="AR58" s="161"/>
      <c r="AS58" s="161"/>
      <c r="AT58" s="161"/>
      <c r="AU58" s="161"/>
      <c r="AV58" s="161"/>
      <c r="AW58" s="160"/>
      <c r="AX58" s="161"/>
      <c r="AY58" s="161"/>
      <c r="AZ58" s="161"/>
      <c r="BA58" s="161"/>
      <c r="BB58" s="161"/>
      <c r="BC58" s="161"/>
      <c r="BD58" s="161"/>
      <c r="BE58" s="161"/>
      <c r="BF58" s="160" t="str">
        <f t="shared" si="125"/>
        <v/>
      </c>
      <c r="BG58" s="160"/>
      <c r="BH58" s="160"/>
      <c r="BI58" s="160"/>
      <c r="BJ58" s="160"/>
      <c r="BK58" s="160"/>
      <c r="BL58" s="162">
        <f t="shared" si="75"/>
        <v>1</v>
      </c>
      <c r="BM58" s="257"/>
      <c r="BN58" s="163"/>
      <c r="BO58" s="211" t="str">
        <f t="shared" si="76"/>
        <v>הבלט הישראלימחול</v>
      </c>
      <c r="BP58" s="125">
        <f t="shared" si="77"/>
        <v>1</v>
      </c>
      <c r="BQ58" s="164">
        <v>0</v>
      </c>
      <c r="BR58" s="164">
        <v>1</v>
      </c>
      <c r="BS58" s="149">
        <f t="shared" si="78"/>
        <v>1</v>
      </c>
      <c r="BT58" s="149">
        <f t="shared" si="79"/>
        <v>1</v>
      </c>
      <c r="BU58" s="149">
        <f t="shared" si="80"/>
        <v>1</v>
      </c>
      <c r="BV58" s="149">
        <f t="shared" si="81"/>
        <v>1</v>
      </c>
      <c r="BW58" s="149">
        <f t="shared" si="82"/>
        <v>1</v>
      </c>
      <c r="BX58" s="149">
        <f t="shared" si="83"/>
        <v>1</v>
      </c>
      <c r="BY58" s="149">
        <f t="shared" si="84"/>
        <v>1</v>
      </c>
      <c r="BZ58" s="149">
        <f t="shared" si="85"/>
        <v>1</v>
      </c>
      <c r="CA58" s="149">
        <f t="shared" si="86"/>
        <v>1</v>
      </c>
      <c r="CB58" s="149">
        <f t="shared" si="87"/>
        <v>1</v>
      </c>
      <c r="CC58" s="149">
        <f t="shared" si="88"/>
        <v>1</v>
      </c>
      <c r="CD58" s="149">
        <f t="shared" si="89"/>
        <v>1</v>
      </c>
      <c r="CE58" s="149">
        <f t="shared" si="90"/>
        <v>1</v>
      </c>
      <c r="CF58" s="149">
        <f t="shared" si="91"/>
        <v>1</v>
      </c>
      <c r="CG58" s="149">
        <f t="shared" si="92"/>
        <v>1</v>
      </c>
      <c r="CH58" s="149">
        <f t="shared" si="93"/>
        <v>1</v>
      </c>
      <c r="CI58" s="149">
        <f t="shared" si="94"/>
        <v>1</v>
      </c>
      <c r="CJ58" s="149">
        <f t="shared" si="95"/>
        <v>1</v>
      </c>
      <c r="CK58" s="149">
        <f t="shared" si="96"/>
        <v>1</v>
      </c>
      <c r="CL58" s="149">
        <f t="shared" si="97"/>
        <v>1</v>
      </c>
      <c r="CM58" s="149">
        <f t="shared" si="98"/>
        <v>1</v>
      </c>
      <c r="CN58" s="149">
        <f t="shared" si="99"/>
        <v>1</v>
      </c>
      <c r="CO58" s="149">
        <f t="shared" si="100"/>
        <v>1</v>
      </c>
      <c r="CP58" s="149">
        <f t="shared" si="101"/>
        <v>1</v>
      </c>
      <c r="CQ58" s="149">
        <f t="shared" si="102"/>
        <v>1</v>
      </c>
      <c r="CR58" s="149">
        <f t="shared" si="103"/>
        <v>1</v>
      </c>
      <c r="CS58" s="149">
        <f t="shared" si="104"/>
        <v>1</v>
      </c>
      <c r="CT58" s="149">
        <f t="shared" si="105"/>
        <v>1</v>
      </c>
      <c r="CU58" s="149">
        <f t="shared" si="106"/>
        <v>1</v>
      </c>
      <c r="CV58" s="149">
        <f t="shared" si="107"/>
        <v>1</v>
      </c>
      <c r="CW58" s="149">
        <f t="shared" si="108"/>
        <v>1</v>
      </c>
      <c r="CX58" s="149">
        <f t="shared" si="109"/>
        <v>1</v>
      </c>
      <c r="CY58" s="149">
        <f t="shared" si="110"/>
        <v>1</v>
      </c>
      <c r="CZ58" s="149">
        <f t="shared" si="111"/>
        <v>1</v>
      </c>
      <c r="DA58" s="149">
        <f t="shared" si="112"/>
        <v>1</v>
      </c>
      <c r="DB58" s="149">
        <f t="shared" si="113"/>
        <v>1</v>
      </c>
      <c r="DG58" s="125">
        <f t="shared" si="126"/>
        <v>1</v>
      </c>
      <c r="DH58" s="125">
        <f t="shared" si="129"/>
        <v>2</v>
      </c>
      <c r="DI58" s="125">
        <f t="shared" si="129"/>
        <v>3</v>
      </c>
      <c r="DJ58" s="125">
        <f t="shared" si="129"/>
        <v>4</v>
      </c>
      <c r="DK58" s="125">
        <f t="shared" si="129"/>
        <v>5</v>
      </c>
      <c r="DL58" s="125">
        <f t="shared" si="129"/>
        <v>6</v>
      </c>
      <c r="DM58" s="125">
        <f t="shared" si="129"/>
        <v>7</v>
      </c>
      <c r="DN58" s="125">
        <f t="shared" si="129"/>
        <v>8</v>
      </c>
      <c r="DO58" s="125">
        <f t="shared" si="129"/>
        <v>9</v>
      </c>
      <c r="DP58" s="125">
        <f t="shared" si="129"/>
        <v>10</v>
      </c>
      <c r="DS58" s="137"/>
      <c r="DT58" s="137"/>
      <c r="DU58" s="137"/>
      <c r="DV58" s="137" t="b">
        <f t="shared" si="115"/>
        <v>0</v>
      </c>
      <c r="DW58" s="137" t="b">
        <f t="shared" si="116"/>
        <v>0</v>
      </c>
      <c r="DX58" s="137" t="b">
        <f t="shared" si="117"/>
        <v>1</v>
      </c>
      <c r="EB58" s="131">
        <f t="shared" si="127"/>
        <v>1</v>
      </c>
      <c r="EC58" s="137" t="b">
        <f t="shared" si="118"/>
        <v>0</v>
      </c>
      <c r="ED58" s="137" t="b">
        <f t="shared" si="119"/>
        <v>0</v>
      </c>
      <c r="EE58" s="137" t="b">
        <f t="shared" si="120"/>
        <v>1</v>
      </c>
      <c r="EF58" s="137"/>
      <c r="EG58" s="137"/>
      <c r="EH58" s="137"/>
      <c r="EI58" s="137"/>
      <c r="EJ58" s="137">
        <f t="shared" si="128"/>
        <v>1</v>
      </c>
      <c r="EK58" s="125">
        <f t="shared" si="121"/>
        <v>0</v>
      </c>
      <c r="EL58" s="125">
        <f t="shared" si="122"/>
        <v>0</v>
      </c>
    </row>
    <row r="59" spans="2:142" ht="15.75" x14ac:dyDescent="0.2">
      <c r="B59" s="160">
        <f t="shared" si="123"/>
        <v>29</v>
      </c>
      <c r="C59" s="205">
        <v>1001350366</v>
      </c>
      <c r="D59" s="205">
        <v>1001276978</v>
      </c>
      <c r="E59" s="205">
        <v>40000047</v>
      </c>
      <c r="F59" s="118">
        <f>IF(OR(J59="",H59=""),"",VLOOKUP(J59,'הזנה לסיווג רשויות'!$B$2:$D$301,2,0))</f>
        <v>20000201</v>
      </c>
      <c r="G59" s="118" t="str">
        <f>IF(OR(J59="",H59=""),"",VLOOKUP(J59,'הזנה לסיווג רשויות'!$B$2:$D$301,3,0))</f>
        <v>תל אביב -יפו</v>
      </c>
      <c r="H59" s="201" t="s">
        <v>560</v>
      </c>
      <c r="I59" s="201" t="s">
        <v>381</v>
      </c>
      <c r="J59" s="205">
        <v>5000</v>
      </c>
      <c r="K59" s="161">
        <v>0</v>
      </c>
      <c r="L59" s="161">
        <v>1</v>
      </c>
      <c r="M59" s="161">
        <v>0</v>
      </c>
      <c r="N59" s="161">
        <v>1</v>
      </c>
      <c r="O59" s="161">
        <v>1</v>
      </c>
      <c r="P59" s="161">
        <v>1</v>
      </c>
      <c r="Q59" s="161">
        <v>1</v>
      </c>
      <c r="R59" s="201">
        <v>625521</v>
      </c>
      <c r="S59" s="201">
        <v>198052</v>
      </c>
      <c r="T59" s="160">
        <f>IF(G59="","",IFERROR(IF(S59/R59&gt;'פרמטרים לקריטריונים'!$C$20,1,0),0))</f>
        <v>1</v>
      </c>
      <c r="U59" s="201">
        <v>198052</v>
      </c>
      <c r="V59" s="160">
        <f>IF(G59="","",IFERROR(IF(U59/R59&gt;'פרמטרים לקריטריונים'!$C$21,1,IF(AND(I59=$BW$5,U59/R59&gt;'פרמטרים לקריטריונים'!$C$22),1,0)),0))</f>
        <v>1</v>
      </c>
      <c r="W59" s="161">
        <v>1</v>
      </c>
      <c r="X59" s="161">
        <v>1</v>
      </c>
      <c r="Y59" s="201">
        <v>202000</v>
      </c>
      <c r="Z59" s="201">
        <v>202000</v>
      </c>
      <c r="AA59" s="161">
        <f t="shared" si="124"/>
        <v>1</v>
      </c>
      <c r="AB59" s="161"/>
      <c r="AC59" s="161"/>
      <c r="AD59" s="161"/>
      <c r="AE59" s="161"/>
      <c r="AF59" s="161"/>
      <c r="AG59" s="161"/>
      <c r="AH59" s="161"/>
      <c r="AI59" s="161"/>
      <c r="AJ59" s="161"/>
      <c r="AK59" s="161"/>
      <c r="AL59" s="161"/>
      <c r="AM59" s="161"/>
      <c r="AN59" s="161"/>
      <c r="AO59" s="161"/>
      <c r="AP59" s="161"/>
      <c r="AQ59" s="161"/>
      <c r="AR59" s="161"/>
      <c r="AS59" s="161"/>
      <c r="AT59" s="161"/>
      <c r="AU59" s="161"/>
      <c r="AV59" s="161"/>
      <c r="AW59" s="160"/>
      <c r="AX59" s="161"/>
      <c r="AY59" s="161"/>
      <c r="AZ59" s="161"/>
      <c r="BA59" s="161"/>
      <c r="BB59" s="161"/>
      <c r="BC59" s="161"/>
      <c r="BD59" s="161"/>
      <c r="BE59" s="161"/>
      <c r="BF59" s="160" t="str">
        <f t="shared" si="125"/>
        <v/>
      </c>
      <c r="BG59" s="160"/>
      <c r="BH59" s="160"/>
      <c r="BI59" s="160"/>
      <c r="BJ59" s="160"/>
      <c r="BK59" s="160"/>
      <c r="BL59" s="162">
        <f t="shared" si="75"/>
        <v>1</v>
      </c>
      <c r="BM59" s="257"/>
      <c r="BN59" s="163"/>
      <c r="BO59" s="211" t="str">
        <f t="shared" si="76"/>
        <v>סינמטקסינמטקים ופסטיבלים</v>
      </c>
      <c r="BP59" s="125">
        <f t="shared" si="77"/>
        <v>1</v>
      </c>
      <c r="BQ59" s="164">
        <v>0</v>
      </c>
      <c r="BR59" s="164">
        <v>1</v>
      </c>
      <c r="BS59" s="149">
        <f t="shared" si="78"/>
        <v>1</v>
      </c>
      <c r="BT59" s="149">
        <f t="shared" si="79"/>
        <v>1</v>
      </c>
      <c r="BU59" s="149">
        <f t="shared" si="80"/>
        <v>1</v>
      </c>
      <c r="BV59" s="149">
        <f t="shared" si="81"/>
        <v>1</v>
      </c>
      <c r="BW59" s="149">
        <f t="shared" si="82"/>
        <v>1</v>
      </c>
      <c r="BX59" s="149">
        <f t="shared" si="83"/>
        <v>1</v>
      </c>
      <c r="BY59" s="149">
        <f t="shared" si="84"/>
        <v>1</v>
      </c>
      <c r="BZ59" s="149">
        <f t="shared" si="85"/>
        <v>1</v>
      </c>
      <c r="CA59" s="149">
        <f t="shared" si="86"/>
        <v>1</v>
      </c>
      <c r="CB59" s="149">
        <f t="shared" si="87"/>
        <v>1</v>
      </c>
      <c r="CC59" s="149">
        <f t="shared" si="88"/>
        <v>1</v>
      </c>
      <c r="CD59" s="149">
        <f t="shared" si="89"/>
        <v>1</v>
      </c>
      <c r="CE59" s="149">
        <f t="shared" si="90"/>
        <v>1</v>
      </c>
      <c r="CF59" s="149">
        <f t="shared" si="91"/>
        <v>1</v>
      </c>
      <c r="CG59" s="149">
        <f t="shared" si="92"/>
        <v>1</v>
      </c>
      <c r="CH59" s="149">
        <f t="shared" si="93"/>
        <v>1</v>
      </c>
      <c r="CI59" s="149">
        <f t="shared" si="94"/>
        <v>1</v>
      </c>
      <c r="CJ59" s="149">
        <f t="shared" si="95"/>
        <v>1</v>
      </c>
      <c r="CK59" s="149">
        <f t="shared" si="96"/>
        <v>1</v>
      </c>
      <c r="CL59" s="149">
        <f t="shared" si="97"/>
        <v>1</v>
      </c>
      <c r="CM59" s="149">
        <f t="shared" si="98"/>
        <v>1</v>
      </c>
      <c r="CN59" s="149">
        <f t="shared" si="99"/>
        <v>1</v>
      </c>
      <c r="CO59" s="149">
        <f t="shared" si="100"/>
        <v>1</v>
      </c>
      <c r="CP59" s="149">
        <f t="shared" si="101"/>
        <v>1</v>
      </c>
      <c r="CQ59" s="149">
        <f t="shared" si="102"/>
        <v>1</v>
      </c>
      <c r="CR59" s="149">
        <f t="shared" si="103"/>
        <v>1</v>
      </c>
      <c r="CS59" s="149">
        <f t="shared" si="104"/>
        <v>1</v>
      </c>
      <c r="CT59" s="149">
        <f t="shared" si="105"/>
        <v>1</v>
      </c>
      <c r="CU59" s="149">
        <f t="shared" si="106"/>
        <v>1</v>
      </c>
      <c r="CV59" s="149">
        <f t="shared" si="107"/>
        <v>1</v>
      </c>
      <c r="CW59" s="149">
        <f t="shared" si="108"/>
        <v>1</v>
      </c>
      <c r="CX59" s="149">
        <f t="shared" si="109"/>
        <v>1</v>
      </c>
      <c r="CY59" s="149">
        <f t="shared" si="110"/>
        <v>1</v>
      </c>
      <c r="CZ59" s="149">
        <f t="shared" si="111"/>
        <v>1</v>
      </c>
      <c r="DA59" s="149">
        <f t="shared" si="112"/>
        <v>1</v>
      </c>
      <c r="DB59" s="149">
        <f t="shared" si="113"/>
        <v>1</v>
      </c>
      <c r="DG59" s="125">
        <f t="shared" si="126"/>
        <v>1</v>
      </c>
      <c r="DH59" s="125">
        <f t="shared" si="129"/>
        <v>2</v>
      </c>
      <c r="DI59" s="125">
        <f t="shared" si="129"/>
        <v>3</v>
      </c>
      <c r="DJ59" s="125">
        <f t="shared" si="129"/>
        <v>4</v>
      </c>
      <c r="DK59" s="125">
        <f t="shared" si="129"/>
        <v>5</v>
      </c>
      <c r="DL59" s="125">
        <f t="shared" si="129"/>
        <v>6</v>
      </c>
      <c r="DM59" s="125">
        <f t="shared" si="129"/>
        <v>7</v>
      </c>
      <c r="DN59" s="125">
        <f t="shared" si="129"/>
        <v>8</v>
      </c>
      <c r="DO59" s="125">
        <f t="shared" si="129"/>
        <v>9</v>
      </c>
      <c r="DP59" s="125">
        <f t="shared" si="129"/>
        <v>10</v>
      </c>
      <c r="DS59" s="137"/>
      <c r="DT59" s="137"/>
      <c r="DU59" s="137"/>
      <c r="DV59" s="137" t="b">
        <f t="shared" si="115"/>
        <v>0</v>
      </c>
      <c r="DW59" s="137" t="b">
        <f t="shared" si="116"/>
        <v>0</v>
      </c>
      <c r="DX59" s="137" t="b">
        <f t="shared" si="117"/>
        <v>1</v>
      </c>
      <c r="EB59" s="131">
        <f t="shared" si="127"/>
        <v>1</v>
      </c>
      <c r="EC59" s="137" t="b">
        <f t="shared" si="118"/>
        <v>0</v>
      </c>
      <c r="ED59" s="137" t="b">
        <f t="shared" si="119"/>
        <v>0</v>
      </c>
      <c r="EE59" s="137" t="b">
        <f t="shared" si="120"/>
        <v>1</v>
      </c>
      <c r="EF59" s="137"/>
      <c r="EG59" s="137"/>
      <c r="EH59" s="137"/>
      <c r="EI59" s="137"/>
      <c r="EJ59" s="137">
        <f t="shared" si="128"/>
        <v>1</v>
      </c>
      <c r="EK59" s="125">
        <f t="shared" si="121"/>
        <v>0</v>
      </c>
      <c r="EL59" s="125">
        <f t="shared" si="122"/>
        <v>0</v>
      </c>
    </row>
    <row r="60" spans="2:142" ht="15.75" x14ac:dyDescent="0.2">
      <c r="B60" s="160">
        <f t="shared" si="123"/>
        <v>30</v>
      </c>
      <c r="C60" s="205">
        <v>1001350413</v>
      </c>
      <c r="D60" s="205">
        <v>1001279700</v>
      </c>
      <c r="E60" s="205">
        <v>40000047</v>
      </c>
      <c r="F60" s="118">
        <f>IF(OR(J60="",H60=""),"",VLOOKUP(J60,'הזנה לסיווג רשויות'!$B$2:$D$301,2,0))</f>
        <v>20000201</v>
      </c>
      <c r="G60" s="118" t="str">
        <f>IF(OR(J60="",H60=""),"",VLOOKUP(J60,'הזנה לסיווג רשויות'!$B$2:$D$301,3,0))</f>
        <v>תל אביב -יפו</v>
      </c>
      <c r="H60" s="201" t="s">
        <v>560</v>
      </c>
      <c r="I60" s="201" t="s">
        <v>381</v>
      </c>
      <c r="J60" s="205">
        <v>5000</v>
      </c>
      <c r="K60" s="161">
        <v>0</v>
      </c>
      <c r="L60" s="161">
        <v>1</v>
      </c>
      <c r="M60" s="161">
        <v>0</v>
      </c>
      <c r="N60" s="161">
        <v>1</v>
      </c>
      <c r="O60" s="161">
        <v>1</v>
      </c>
      <c r="P60" s="161">
        <v>1</v>
      </c>
      <c r="Q60" s="161">
        <v>1</v>
      </c>
      <c r="R60" s="201">
        <v>525871</v>
      </c>
      <c r="S60" s="201">
        <v>263349</v>
      </c>
      <c r="T60" s="160">
        <f>IF(G60="","",IFERROR(IF(S60/R60&gt;'פרמטרים לקריטריונים'!$C$20,1,0),0))</f>
        <v>1</v>
      </c>
      <c r="U60" s="201">
        <v>263349</v>
      </c>
      <c r="V60" s="160">
        <f>IF(G60="","",IFERROR(IF(U60/R60&gt;'פרמטרים לקריטריונים'!$C$21,1,IF(AND(I60=$BW$5,U60/R60&gt;'פרמטרים לקריטריונים'!$C$22),1,0)),0))</f>
        <v>1</v>
      </c>
      <c r="W60" s="161">
        <v>1</v>
      </c>
      <c r="X60" s="161">
        <v>1</v>
      </c>
      <c r="Y60" s="201">
        <v>263000</v>
      </c>
      <c r="Z60" s="201">
        <v>263000</v>
      </c>
      <c r="AA60" s="161">
        <f t="shared" si="124"/>
        <v>1</v>
      </c>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0"/>
      <c r="AX60" s="161"/>
      <c r="AY60" s="161"/>
      <c r="AZ60" s="161"/>
      <c r="BA60" s="161"/>
      <c r="BB60" s="161"/>
      <c r="BC60" s="161"/>
      <c r="BD60" s="161"/>
      <c r="BE60" s="161"/>
      <c r="BF60" s="160" t="str">
        <f t="shared" si="125"/>
        <v/>
      </c>
      <c r="BG60" s="160"/>
      <c r="BH60" s="160"/>
      <c r="BI60" s="160"/>
      <c r="BJ60" s="160"/>
      <c r="BK60" s="160"/>
      <c r="BL60" s="162">
        <f t="shared" si="75"/>
        <v>1</v>
      </c>
      <c r="BM60" s="257"/>
      <c r="BN60" s="163"/>
      <c r="BO60" s="211" t="str">
        <f t="shared" si="76"/>
        <v>סינמטקסינמטקים ופסטיבלים</v>
      </c>
      <c r="BP60" s="125">
        <f t="shared" si="77"/>
        <v>1</v>
      </c>
      <c r="BQ60" s="164">
        <v>0</v>
      </c>
      <c r="BR60" s="164">
        <v>1</v>
      </c>
      <c r="BS60" s="149">
        <f t="shared" si="78"/>
        <v>1</v>
      </c>
      <c r="BT60" s="149">
        <f t="shared" si="79"/>
        <v>1</v>
      </c>
      <c r="BU60" s="149">
        <f t="shared" si="80"/>
        <v>1</v>
      </c>
      <c r="BV60" s="149">
        <f t="shared" si="81"/>
        <v>1</v>
      </c>
      <c r="BW60" s="149">
        <f t="shared" si="82"/>
        <v>1</v>
      </c>
      <c r="BX60" s="149">
        <f t="shared" si="83"/>
        <v>1</v>
      </c>
      <c r="BY60" s="149">
        <f t="shared" si="84"/>
        <v>1</v>
      </c>
      <c r="BZ60" s="149">
        <f t="shared" si="85"/>
        <v>1</v>
      </c>
      <c r="CA60" s="149">
        <f t="shared" si="86"/>
        <v>1</v>
      </c>
      <c r="CB60" s="149">
        <f t="shared" si="87"/>
        <v>1</v>
      </c>
      <c r="CC60" s="149">
        <f t="shared" si="88"/>
        <v>1</v>
      </c>
      <c r="CD60" s="149">
        <f t="shared" si="89"/>
        <v>1</v>
      </c>
      <c r="CE60" s="149">
        <f t="shared" si="90"/>
        <v>1</v>
      </c>
      <c r="CF60" s="149">
        <f t="shared" si="91"/>
        <v>1</v>
      </c>
      <c r="CG60" s="149">
        <f t="shared" si="92"/>
        <v>1</v>
      </c>
      <c r="CH60" s="149">
        <f t="shared" si="93"/>
        <v>1</v>
      </c>
      <c r="CI60" s="149">
        <f t="shared" si="94"/>
        <v>1</v>
      </c>
      <c r="CJ60" s="149">
        <f t="shared" si="95"/>
        <v>1</v>
      </c>
      <c r="CK60" s="149">
        <f t="shared" si="96"/>
        <v>1</v>
      </c>
      <c r="CL60" s="149">
        <f t="shared" si="97"/>
        <v>1</v>
      </c>
      <c r="CM60" s="149">
        <f t="shared" si="98"/>
        <v>1</v>
      </c>
      <c r="CN60" s="149">
        <f t="shared" si="99"/>
        <v>1</v>
      </c>
      <c r="CO60" s="149">
        <f t="shared" si="100"/>
        <v>1</v>
      </c>
      <c r="CP60" s="149">
        <f t="shared" si="101"/>
        <v>1</v>
      </c>
      <c r="CQ60" s="149">
        <f t="shared" si="102"/>
        <v>1</v>
      </c>
      <c r="CR60" s="149">
        <f t="shared" si="103"/>
        <v>1</v>
      </c>
      <c r="CS60" s="149">
        <f t="shared" si="104"/>
        <v>1</v>
      </c>
      <c r="CT60" s="149">
        <f t="shared" si="105"/>
        <v>1</v>
      </c>
      <c r="CU60" s="149">
        <f t="shared" si="106"/>
        <v>1</v>
      </c>
      <c r="CV60" s="149">
        <f t="shared" si="107"/>
        <v>1</v>
      </c>
      <c r="CW60" s="149">
        <f t="shared" si="108"/>
        <v>1</v>
      </c>
      <c r="CX60" s="149">
        <f t="shared" si="109"/>
        <v>1</v>
      </c>
      <c r="CY60" s="149">
        <f t="shared" si="110"/>
        <v>1</v>
      </c>
      <c r="CZ60" s="149">
        <f t="shared" si="111"/>
        <v>1</v>
      </c>
      <c r="DA60" s="149">
        <f t="shared" si="112"/>
        <v>1</v>
      </c>
      <c r="DB60" s="149">
        <f t="shared" si="113"/>
        <v>1</v>
      </c>
      <c r="DG60" s="125">
        <f t="shared" si="126"/>
        <v>1</v>
      </c>
      <c r="DH60" s="125">
        <f t="shared" si="129"/>
        <v>2</v>
      </c>
      <c r="DI60" s="125">
        <f t="shared" si="129"/>
        <v>3</v>
      </c>
      <c r="DJ60" s="125">
        <f t="shared" si="129"/>
        <v>4</v>
      </c>
      <c r="DK60" s="125">
        <f t="shared" si="129"/>
        <v>5</v>
      </c>
      <c r="DL60" s="125">
        <f t="shared" si="129"/>
        <v>6</v>
      </c>
      <c r="DM60" s="125">
        <f t="shared" si="129"/>
        <v>7</v>
      </c>
      <c r="DN60" s="125">
        <f t="shared" si="129"/>
        <v>8</v>
      </c>
      <c r="DO60" s="125">
        <f t="shared" si="129"/>
        <v>9</v>
      </c>
      <c r="DP60" s="125">
        <f t="shared" si="129"/>
        <v>10</v>
      </c>
      <c r="DS60" s="137"/>
      <c r="DT60" s="137"/>
      <c r="DU60" s="137"/>
      <c r="DV60" s="137" t="b">
        <f t="shared" si="115"/>
        <v>0</v>
      </c>
      <c r="DW60" s="137" t="b">
        <f t="shared" si="116"/>
        <v>0</v>
      </c>
      <c r="DX60" s="137" t="b">
        <f t="shared" si="117"/>
        <v>1</v>
      </c>
      <c r="EB60" s="131">
        <f t="shared" si="127"/>
        <v>1</v>
      </c>
      <c r="EC60" s="137" t="b">
        <f t="shared" si="118"/>
        <v>0</v>
      </c>
      <c r="ED60" s="137" t="b">
        <f t="shared" si="119"/>
        <v>0</v>
      </c>
      <c r="EE60" s="137" t="b">
        <f t="shared" si="120"/>
        <v>1</v>
      </c>
      <c r="EF60" s="137"/>
      <c r="EG60" s="137"/>
      <c r="EH60" s="137"/>
      <c r="EI60" s="137"/>
      <c r="EJ60" s="137">
        <f t="shared" si="128"/>
        <v>1</v>
      </c>
      <c r="EK60" s="125">
        <f t="shared" si="121"/>
        <v>0</v>
      </c>
      <c r="EL60" s="125">
        <f t="shared" si="122"/>
        <v>0</v>
      </c>
    </row>
    <row r="61" spans="2:142" ht="15.75" x14ac:dyDescent="0.2">
      <c r="B61" s="160">
        <f t="shared" si="123"/>
        <v>31</v>
      </c>
      <c r="C61" s="205">
        <v>1001350418</v>
      </c>
      <c r="D61" s="205">
        <v>1001279702</v>
      </c>
      <c r="E61" s="205">
        <v>40000047</v>
      </c>
      <c r="F61" s="118">
        <f>IF(OR(J61="",H61=""),"",VLOOKUP(J61,'הזנה לסיווג רשויות'!$B$2:$D$301,2,0))</f>
        <v>20000201</v>
      </c>
      <c r="G61" s="118" t="str">
        <f>IF(OR(J61="",H61=""),"",VLOOKUP(J61,'הזנה לסיווג רשויות'!$B$2:$D$301,3,0))</f>
        <v>תל אביב -יפו</v>
      </c>
      <c r="H61" s="201" t="s">
        <v>560</v>
      </c>
      <c r="I61" s="201" t="s">
        <v>381</v>
      </c>
      <c r="J61" s="205">
        <v>5000</v>
      </c>
      <c r="K61" s="161">
        <v>0</v>
      </c>
      <c r="L61" s="161">
        <v>1</v>
      </c>
      <c r="M61" s="161">
        <v>0</v>
      </c>
      <c r="N61" s="161">
        <v>1</v>
      </c>
      <c r="O61" s="161">
        <v>1</v>
      </c>
      <c r="P61" s="161">
        <v>1</v>
      </c>
      <c r="Q61" s="161">
        <v>1</v>
      </c>
      <c r="R61" s="201">
        <v>24448000</v>
      </c>
      <c r="S61" s="201">
        <v>17444000</v>
      </c>
      <c r="T61" s="160">
        <f>IF(G61="","",IFERROR(IF(S61/R61&gt;'פרמטרים לקריטריונים'!$C$20,1,0),0))</f>
        <v>1</v>
      </c>
      <c r="U61" s="201">
        <v>16786000</v>
      </c>
      <c r="V61" s="160">
        <f>IF(G61="","",IFERROR(IF(U61/R61&gt;'פרמטרים לקריטריונים'!$C$21,1,IF(AND(I61=$BW$5,U61/R61&gt;'פרמטרים לקריטריונים'!$C$22),1,0)),0))</f>
        <v>1</v>
      </c>
      <c r="W61" s="161">
        <v>1</v>
      </c>
      <c r="X61" s="161">
        <v>1</v>
      </c>
      <c r="Y61" s="201">
        <v>213400</v>
      </c>
      <c r="Z61" s="201">
        <v>213400</v>
      </c>
      <c r="AA61" s="161">
        <f t="shared" si="124"/>
        <v>1</v>
      </c>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0"/>
      <c r="AX61" s="161"/>
      <c r="AY61" s="161"/>
      <c r="AZ61" s="161"/>
      <c r="BA61" s="161"/>
      <c r="BB61" s="161"/>
      <c r="BC61" s="161"/>
      <c r="BD61" s="161"/>
      <c r="BE61" s="161"/>
      <c r="BF61" s="160" t="str">
        <f t="shared" si="125"/>
        <v/>
      </c>
      <c r="BG61" s="160"/>
      <c r="BH61" s="160"/>
      <c r="BI61" s="160"/>
      <c r="BJ61" s="160"/>
      <c r="BK61" s="160"/>
      <c r="BL61" s="162">
        <f t="shared" si="75"/>
        <v>1</v>
      </c>
      <c r="BM61" s="257"/>
      <c r="BN61" s="163"/>
      <c r="BO61" s="211" t="str">
        <f t="shared" si="76"/>
        <v>סינמטקסינמטקים ופסטיבלים</v>
      </c>
      <c r="BP61" s="125">
        <f t="shared" si="77"/>
        <v>1</v>
      </c>
      <c r="BQ61" s="164">
        <v>0</v>
      </c>
      <c r="BR61" s="164">
        <v>1</v>
      </c>
      <c r="BS61" s="149">
        <f t="shared" si="78"/>
        <v>1</v>
      </c>
      <c r="BT61" s="149">
        <f t="shared" si="79"/>
        <v>1</v>
      </c>
      <c r="BU61" s="149">
        <f t="shared" si="80"/>
        <v>1</v>
      </c>
      <c r="BV61" s="149">
        <f t="shared" si="81"/>
        <v>1</v>
      </c>
      <c r="BW61" s="149">
        <f t="shared" si="82"/>
        <v>1</v>
      </c>
      <c r="BX61" s="149">
        <f t="shared" si="83"/>
        <v>1</v>
      </c>
      <c r="BY61" s="149">
        <f t="shared" si="84"/>
        <v>1</v>
      </c>
      <c r="BZ61" s="149">
        <f t="shared" si="85"/>
        <v>1</v>
      </c>
      <c r="CA61" s="149">
        <f t="shared" si="86"/>
        <v>1</v>
      </c>
      <c r="CB61" s="149">
        <f t="shared" si="87"/>
        <v>1</v>
      </c>
      <c r="CC61" s="149">
        <f t="shared" si="88"/>
        <v>1</v>
      </c>
      <c r="CD61" s="149">
        <f t="shared" si="89"/>
        <v>1</v>
      </c>
      <c r="CE61" s="149">
        <f t="shared" si="90"/>
        <v>1</v>
      </c>
      <c r="CF61" s="149">
        <f t="shared" si="91"/>
        <v>1</v>
      </c>
      <c r="CG61" s="149">
        <f t="shared" si="92"/>
        <v>1</v>
      </c>
      <c r="CH61" s="149">
        <f t="shared" si="93"/>
        <v>1</v>
      </c>
      <c r="CI61" s="149">
        <f t="shared" si="94"/>
        <v>1</v>
      </c>
      <c r="CJ61" s="149">
        <f t="shared" si="95"/>
        <v>1</v>
      </c>
      <c r="CK61" s="149">
        <f t="shared" si="96"/>
        <v>1</v>
      </c>
      <c r="CL61" s="149">
        <f t="shared" si="97"/>
        <v>1</v>
      </c>
      <c r="CM61" s="149">
        <f t="shared" si="98"/>
        <v>1</v>
      </c>
      <c r="CN61" s="149">
        <f t="shared" si="99"/>
        <v>1</v>
      </c>
      <c r="CO61" s="149">
        <f t="shared" si="100"/>
        <v>1</v>
      </c>
      <c r="CP61" s="149">
        <f t="shared" si="101"/>
        <v>1</v>
      </c>
      <c r="CQ61" s="149">
        <f t="shared" si="102"/>
        <v>1</v>
      </c>
      <c r="CR61" s="149">
        <f t="shared" si="103"/>
        <v>1</v>
      </c>
      <c r="CS61" s="149">
        <f t="shared" si="104"/>
        <v>1</v>
      </c>
      <c r="CT61" s="149">
        <f t="shared" si="105"/>
        <v>1</v>
      </c>
      <c r="CU61" s="149">
        <f t="shared" si="106"/>
        <v>1</v>
      </c>
      <c r="CV61" s="149">
        <f t="shared" si="107"/>
        <v>1</v>
      </c>
      <c r="CW61" s="149">
        <f t="shared" si="108"/>
        <v>1</v>
      </c>
      <c r="CX61" s="149">
        <f t="shared" si="109"/>
        <v>1</v>
      </c>
      <c r="CY61" s="149">
        <f t="shared" si="110"/>
        <v>1</v>
      </c>
      <c r="CZ61" s="149">
        <f t="shared" si="111"/>
        <v>1</v>
      </c>
      <c r="DA61" s="149">
        <f t="shared" si="112"/>
        <v>1</v>
      </c>
      <c r="DB61" s="149">
        <f t="shared" si="113"/>
        <v>1</v>
      </c>
      <c r="DG61" s="125">
        <f t="shared" si="126"/>
        <v>1</v>
      </c>
      <c r="DH61" s="125">
        <f t="shared" si="129"/>
        <v>2</v>
      </c>
      <c r="DI61" s="125">
        <f t="shared" si="129"/>
        <v>3</v>
      </c>
      <c r="DJ61" s="125">
        <f t="shared" si="129"/>
        <v>4</v>
      </c>
      <c r="DK61" s="125">
        <f t="shared" si="129"/>
        <v>5</v>
      </c>
      <c r="DL61" s="125">
        <f t="shared" si="129"/>
        <v>6</v>
      </c>
      <c r="DM61" s="125">
        <f t="shared" si="129"/>
        <v>7</v>
      </c>
      <c r="DN61" s="125">
        <f t="shared" si="129"/>
        <v>8</v>
      </c>
      <c r="DO61" s="125">
        <f t="shared" si="129"/>
        <v>9</v>
      </c>
      <c r="DP61" s="125">
        <f t="shared" si="129"/>
        <v>10</v>
      </c>
      <c r="DS61" s="137"/>
      <c r="DT61" s="137"/>
      <c r="DU61" s="137"/>
      <c r="DV61" s="137" t="b">
        <f t="shared" si="115"/>
        <v>0</v>
      </c>
      <c r="DW61" s="137" t="b">
        <f t="shared" si="116"/>
        <v>0</v>
      </c>
      <c r="DX61" s="137" t="b">
        <f t="shared" si="117"/>
        <v>1</v>
      </c>
      <c r="EB61" s="131">
        <f t="shared" si="127"/>
        <v>1</v>
      </c>
      <c r="EC61" s="137" t="b">
        <f t="shared" si="118"/>
        <v>0</v>
      </c>
      <c r="ED61" s="137" t="b">
        <f t="shared" si="119"/>
        <v>0</v>
      </c>
      <c r="EE61" s="137" t="b">
        <f t="shared" si="120"/>
        <v>1</v>
      </c>
      <c r="EF61" s="137"/>
      <c r="EG61" s="137"/>
      <c r="EH61" s="137"/>
      <c r="EI61" s="137"/>
      <c r="EJ61" s="137">
        <f t="shared" si="128"/>
        <v>1</v>
      </c>
      <c r="EK61" s="125">
        <f t="shared" si="121"/>
        <v>0</v>
      </c>
      <c r="EL61" s="125">
        <f t="shared" si="122"/>
        <v>0</v>
      </c>
    </row>
    <row r="62" spans="2:142" ht="15.75" x14ac:dyDescent="0.2">
      <c r="B62" s="160">
        <f t="shared" si="123"/>
        <v>32</v>
      </c>
      <c r="C62" s="205">
        <v>1001350420</v>
      </c>
      <c r="D62" s="205">
        <v>1001279677</v>
      </c>
      <c r="E62" s="205">
        <v>40000047</v>
      </c>
      <c r="F62" s="118">
        <f>IF(OR(J62="",H62=""),"",VLOOKUP(J62,'הזנה לסיווג רשויות'!$B$2:$D$301,2,0))</f>
        <v>20000201</v>
      </c>
      <c r="G62" s="118" t="str">
        <f>IF(OR(J62="",H62=""),"",VLOOKUP(J62,'הזנה לסיווג רשויות'!$B$2:$D$301,3,0))</f>
        <v>תל אביב -יפו</v>
      </c>
      <c r="H62" s="201" t="s">
        <v>560</v>
      </c>
      <c r="I62" s="201" t="s">
        <v>381</v>
      </c>
      <c r="J62" s="205">
        <v>5000</v>
      </c>
      <c r="K62" s="161">
        <v>0</v>
      </c>
      <c r="L62" s="161">
        <v>1</v>
      </c>
      <c r="M62" s="161">
        <v>0</v>
      </c>
      <c r="N62" s="161">
        <v>1</v>
      </c>
      <c r="O62" s="161">
        <v>1</v>
      </c>
      <c r="P62" s="161">
        <v>1</v>
      </c>
      <c r="Q62" s="161">
        <v>1</v>
      </c>
      <c r="R62" s="201">
        <v>582322</v>
      </c>
      <c r="S62" s="201">
        <v>328752</v>
      </c>
      <c r="T62" s="160">
        <f>IF(G62="","",IFERROR(IF(S62/R62&gt;'פרמטרים לקריטריונים'!$C$20,1,0),0))</f>
        <v>1</v>
      </c>
      <c r="U62" s="201">
        <v>281628</v>
      </c>
      <c r="V62" s="160">
        <f>IF(G62="","",IFERROR(IF(U62/R62&gt;'פרמטרים לקריטריונים'!$C$21,1,IF(AND(I62=$BW$5,U62/R62&gt;'פרמטרים לקריטריונים'!$C$22),1,0)),0))</f>
        <v>1</v>
      </c>
      <c r="W62" s="161">
        <v>1</v>
      </c>
      <c r="X62" s="161">
        <v>1</v>
      </c>
      <c r="Y62" s="201">
        <v>203500</v>
      </c>
      <c r="Z62" s="201">
        <v>203500</v>
      </c>
      <c r="AA62" s="161">
        <f t="shared" si="124"/>
        <v>1</v>
      </c>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0"/>
      <c r="AX62" s="161"/>
      <c r="AY62" s="161"/>
      <c r="AZ62" s="161"/>
      <c r="BA62" s="161"/>
      <c r="BB62" s="161"/>
      <c r="BC62" s="161"/>
      <c r="BD62" s="161"/>
      <c r="BE62" s="161"/>
      <c r="BF62" s="160" t="str">
        <f t="shared" si="125"/>
        <v/>
      </c>
      <c r="BG62" s="160"/>
      <c r="BH62" s="160"/>
      <c r="BI62" s="160"/>
      <c r="BJ62" s="160"/>
      <c r="BK62" s="160"/>
      <c r="BL62" s="162">
        <f t="shared" si="75"/>
        <v>1</v>
      </c>
      <c r="BM62" s="257"/>
      <c r="BN62" s="163"/>
      <c r="BO62" s="211" t="str">
        <f t="shared" si="76"/>
        <v>סינמטקסינמטקים ופסטיבלים</v>
      </c>
      <c r="BP62" s="125">
        <f t="shared" si="77"/>
        <v>1</v>
      </c>
      <c r="BQ62" s="164">
        <v>0</v>
      </c>
      <c r="BR62" s="164">
        <v>1</v>
      </c>
      <c r="BS62" s="149">
        <f t="shared" si="78"/>
        <v>1</v>
      </c>
      <c r="BT62" s="149">
        <f t="shared" si="79"/>
        <v>1</v>
      </c>
      <c r="BU62" s="149">
        <f t="shared" si="80"/>
        <v>1</v>
      </c>
      <c r="BV62" s="149">
        <f t="shared" si="81"/>
        <v>1</v>
      </c>
      <c r="BW62" s="149">
        <f t="shared" si="82"/>
        <v>1</v>
      </c>
      <c r="BX62" s="149">
        <f t="shared" si="83"/>
        <v>1</v>
      </c>
      <c r="BY62" s="149">
        <f t="shared" si="84"/>
        <v>1</v>
      </c>
      <c r="BZ62" s="149">
        <f t="shared" si="85"/>
        <v>1</v>
      </c>
      <c r="CA62" s="149">
        <f t="shared" si="86"/>
        <v>1</v>
      </c>
      <c r="CB62" s="149">
        <f t="shared" si="87"/>
        <v>1</v>
      </c>
      <c r="CC62" s="149">
        <f t="shared" si="88"/>
        <v>1</v>
      </c>
      <c r="CD62" s="149">
        <f t="shared" si="89"/>
        <v>1</v>
      </c>
      <c r="CE62" s="149">
        <f t="shared" si="90"/>
        <v>1</v>
      </c>
      <c r="CF62" s="149">
        <f t="shared" si="91"/>
        <v>1</v>
      </c>
      <c r="CG62" s="149">
        <f t="shared" si="92"/>
        <v>1</v>
      </c>
      <c r="CH62" s="149">
        <f t="shared" si="93"/>
        <v>1</v>
      </c>
      <c r="CI62" s="149">
        <f t="shared" si="94"/>
        <v>1</v>
      </c>
      <c r="CJ62" s="149">
        <f t="shared" si="95"/>
        <v>1</v>
      </c>
      <c r="CK62" s="149">
        <f t="shared" si="96"/>
        <v>1</v>
      </c>
      <c r="CL62" s="149">
        <f t="shared" si="97"/>
        <v>1</v>
      </c>
      <c r="CM62" s="149">
        <f t="shared" si="98"/>
        <v>1</v>
      </c>
      <c r="CN62" s="149">
        <f t="shared" si="99"/>
        <v>1</v>
      </c>
      <c r="CO62" s="149">
        <f t="shared" si="100"/>
        <v>1</v>
      </c>
      <c r="CP62" s="149">
        <f t="shared" si="101"/>
        <v>1</v>
      </c>
      <c r="CQ62" s="149">
        <f t="shared" si="102"/>
        <v>1</v>
      </c>
      <c r="CR62" s="149">
        <f t="shared" si="103"/>
        <v>1</v>
      </c>
      <c r="CS62" s="149">
        <f t="shared" si="104"/>
        <v>1</v>
      </c>
      <c r="CT62" s="149">
        <f t="shared" si="105"/>
        <v>1</v>
      </c>
      <c r="CU62" s="149">
        <f t="shared" si="106"/>
        <v>1</v>
      </c>
      <c r="CV62" s="149">
        <f t="shared" si="107"/>
        <v>1</v>
      </c>
      <c r="CW62" s="149">
        <f t="shared" si="108"/>
        <v>1</v>
      </c>
      <c r="CX62" s="149">
        <f t="shared" si="109"/>
        <v>1</v>
      </c>
      <c r="CY62" s="149">
        <f t="shared" si="110"/>
        <v>1</v>
      </c>
      <c r="CZ62" s="149">
        <f t="shared" si="111"/>
        <v>1</v>
      </c>
      <c r="DA62" s="149">
        <f t="shared" si="112"/>
        <v>1</v>
      </c>
      <c r="DB62" s="149">
        <f t="shared" si="113"/>
        <v>1</v>
      </c>
      <c r="DG62" s="125">
        <f t="shared" si="126"/>
        <v>1</v>
      </c>
      <c r="DH62" s="125">
        <f t="shared" si="129"/>
        <v>2</v>
      </c>
      <c r="DI62" s="125">
        <f t="shared" si="129"/>
        <v>3</v>
      </c>
      <c r="DJ62" s="125">
        <f t="shared" si="129"/>
        <v>4</v>
      </c>
      <c r="DK62" s="125">
        <f t="shared" si="129"/>
        <v>5</v>
      </c>
      <c r="DL62" s="125">
        <f t="shared" si="129"/>
        <v>6</v>
      </c>
      <c r="DM62" s="125">
        <f t="shared" si="129"/>
        <v>7</v>
      </c>
      <c r="DN62" s="125">
        <f t="shared" si="129"/>
        <v>8</v>
      </c>
      <c r="DO62" s="125">
        <f t="shared" si="129"/>
        <v>9</v>
      </c>
      <c r="DP62" s="125">
        <f t="shared" si="129"/>
        <v>10</v>
      </c>
      <c r="DS62" s="137"/>
      <c r="DT62" s="137"/>
      <c r="DU62" s="137"/>
      <c r="DV62" s="137" t="b">
        <f t="shared" si="115"/>
        <v>0</v>
      </c>
      <c r="DW62" s="137" t="b">
        <f t="shared" si="116"/>
        <v>0</v>
      </c>
      <c r="DX62" s="137" t="b">
        <f t="shared" si="117"/>
        <v>1</v>
      </c>
      <c r="EB62" s="131">
        <f t="shared" si="127"/>
        <v>1</v>
      </c>
      <c r="EC62" s="137" t="b">
        <f t="shared" si="118"/>
        <v>0</v>
      </c>
      <c r="ED62" s="137" t="b">
        <f t="shared" si="119"/>
        <v>0</v>
      </c>
      <c r="EE62" s="137" t="b">
        <f t="shared" si="120"/>
        <v>1</v>
      </c>
      <c r="EF62" s="137"/>
      <c r="EG62" s="137"/>
      <c r="EH62" s="137"/>
      <c r="EI62" s="137"/>
      <c r="EJ62" s="137">
        <f t="shared" si="128"/>
        <v>1</v>
      </c>
      <c r="EK62" s="125">
        <f t="shared" si="121"/>
        <v>0</v>
      </c>
      <c r="EL62" s="125">
        <f t="shared" si="122"/>
        <v>0</v>
      </c>
    </row>
    <row r="63" spans="2:142" ht="15.75" x14ac:dyDescent="0.2">
      <c r="B63" s="160">
        <f t="shared" si="123"/>
        <v>33</v>
      </c>
      <c r="C63" s="205">
        <v>1001346673</v>
      </c>
      <c r="D63" s="205">
        <v>1001280582</v>
      </c>
      <c r="E63" s="205">
        <v>40000026</v>
      </c>
      <c r="F63" s="118">
        <f>IF(OR(J63="",H63=""),"",VLOOKUP(J63,'הזנה לסיווג רשויות'!$B$2:$D$301,2,0))</f>
        <v>20000182</v>
      </c>
      <c r="G63" s="118" t="str">
        <f>IF(OR(J63="",H63=""),"",VLOOKUP(J63,'הזנה לסיווג רשויות'!$B$2:$D$301,3,0))</f>
        <v>חיפה</v>
      </c>
      <c r="H63" s="201" t="s">
        <v>565</v>
      </c>
      <c r="I63" s="201" t="s">
        <v>375</v>
      </c>
      <c r="J63" s="205">
        <v>4000</v>
      </c>
      <c r="K63" s="161">
        <v>0</v>
      </c>
      <c r="L63" s="161">
        <v>1</v>
      </c>
      <c r="M63" s="161">
        <v>0</v>
      </c>
      <c r="N63" s="161">
        <v>1</v>
      </c>
      <c r="O63" s="161">
        <v>1</v>
      </c>
      <c r="P63" s="161">
        <v>1</v>
      </c>
      <c r="Q63" s="161">
        <v>1</v>
      </c>
      <c r="R63" s="201">
        <v>19868686</v>
      </c>
      <c r="S63" s="201">
        <v>5869585</v>
      </c>
      <c r="T63" s="160">
        <f>IF(G63="","",IFERROR(IF(S63/R63&gt;'פרמטרים לקריטריונים'!$C$20,1,0),0))</f>
        <v>1</v>
      </c>
      <c r="U63" s="201">
        <v>3768620</v>
      </c>
      <c r="V63" s="160">
        <f>IF(G63="","",IFERROR(IF(U63/R63&gt;'פרמטרים לקריטריונים'!$C$21,1,IF(AND(I63=$BW$5,U63/R63&gt;'פרמטרים לקריטריונים'!$C$22),1,0)),0))</f>
        <v>1</v>
      </c>
      <c r="W63" s="161">
        <v>1</v>
      </c>
      <c r="X63" s="161">
        <v>1</v>
      </c>
      <c r="Y63" s="201">
        <v>4000000</v>
      </c>
      <c r="Z63" s="201">
        <v>4000000</v>
      </c>
      <c r="AA63" s="161">
        <f t="shared" si="124"/>
        <v>1</v>
      </c>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0"/>
      <c r="AX63" s="161"/>
      <c r="AY63" s="161"/>
      <c r="AZ63" s="161"/>
      <c r="BA63" s="161"/>
      <c r="BB63" s="161"/>
      <c r="BC63" s="161"/>
      <c r="BD63" s="161"/>
      <c r="BE63" s="161"/>
      <c r="BF63" s="160" t="str">
        <f t="shared" si="125"/>
        <v/>
      </c>
      <c r="BG63" s="160"/>
      <c r="BH63" s="160"/>
      <c r="BI63" s="160"/>
      <c r="BJ63" s="160"/>
      <c r="BK63" s="160"/>
      <c r="BL63" s="162">
        <f t="shared" si="75"/>
        <v>1</v>
      </c>
      <c r="BM63" s="257"/>
      <c r="BN63" s="163"/>
      <c r="BO63" s="211" t="str">
        <f t="shared" si="76"/>
        <v>מוזיאוני חיפהמוזיאונים</v>
      </c>
      <c r="BP63" s="125">
        <f t="shared" si="77"/>
        <v>1</v>
      </c>
      <c r="BQ63" s="164">
        <v>0</v>
      </c>
      <c r="BR63" s="164">
        <v>1</v>
      </c>
      <c r="BS63" s="149">
        <f t="shared" si="78"/>
        <v>1</v>
      </c>
      <c r="BT63" s="149">
        <f t="shared" si="79"/>
        <v>1</v>
      </c>
      <c r="BU63" s="149">
        <f t="shared" si="80"/>
        <v>1</v>
      </c>
      <c r="BV63" s="149">
        <f t="shared" si="81"/>
        <v>1</v>
      </c>
      <c r="BW63" s="149">
        <f t="shared" si="82"/>
        <v>1</v>
      </c>
      <c r="BX63" s="149">
        <f t="shared" si="83"/>
        <v>1</v>
      </c>
      <c r="BY63" s="149">
        <f t="shared" si="84"/>
        <v>1</v>
      </c>
      <c r="BZ63" s="149">
        <f t="shared" si="85"/>
        <v>1</v>
      </c>
      <c r="CA63" s="149">
        <f t="shared" si="86"/>
        <v>1</v>
      </c>
      <c r="CB63" s="149">
        <f t="shared" si="87"/>
        <v>1</v>
      </c>
      <c r="CC63" s="149">
        <f t="shared" si="88"/>
        <v>1</v>
      </c>
      <c r="CD63" s="149">
        <f t="shared" si="89"/>
        <v>1</v>
      </c>
      <c r="CE63" s="149">
        <f t="shared" si="90"/>
        <v>1</v>
      </c>
      <c r="CF63" s="149">
        <f t="shared" si="91"/>
        <v>1</v>
      </c>
      <c r="CG63" s="149">
        <f t="shared" si="92"/>
        <v>1</v>
      </c>
      <c r="CH63" s="149">
        <f t="shared" si="93"/>
        <v>1</v>
      </c>
      <c r="CI63" s="149">
        <f t="shared" si="94"/>
        <v>1</v>
      </c>
      <c r="CJ63" s="149">
        <f t="shared" si="95"/>
        <v>1</v>
      </c>
      <c r="CK63" s="149">
        <f t="shared" si="96"/>
        <v>1</v>
      </c>
      <c r="CL63" s="149">
        <f t="shared" si="97"/>
        <v>1</v>
      </c>
      <c r="CM63" s="149">
        <f t="shared" si="98"/>
        <v>1</v>
      </c>
      <c r="CN63" s="149">
        <f t="shared" si="99"/>
        <v>1</v>
      </c>
      <c r="CO63" s="149">
        <f t="shared" si="100"/>
        <v>1</v>
      </c>
      <c r="CP63" s="149">
        <f t="shared" si="101"/>
        <v>1</v>
      </c>
      <c r="CQ63" s="149">
        <f t="shared" si="102"/>
        <v>1</v>
      </c>
      <c r="CR63" s="149">
        <f t="shared" si="103"/>
        <v>1</v>
      </c>
      <c r="CS63" s="149">
        <f t="shared" si="104"/>
        <v>1</v>
      </c>
      <c r="CT63" s="149">
        <f t="shared" si="105"/>
        <v>1</v>
      </c>
      <c r="CU63" s="149">
        <f t="shared" si="106"/>
        <v>1</v>
      </c>
      <c r="CV63" s="149">
        <f t="shared" si="107"/>
        <v>1</v>
      </c>
      <c r="CW63" s="149">
        <f t="shared" si="108"/>
        <v>1</v>
      </c>
      <c r="CX63" s="149">
        <f t="shared" si="109"/>
        <v>1</v>
      </c>
      <c r="CY63" s="149">
        <f t="shared" si="110"/>
        <v>1</v>
      </c>
      <c r="CZ63" s="149">
        <f t="shared" si="111"/>
        <v>1</v>
      </c>
      <c r="DA63" s="149">
        <f t="shared" si="112"/>
        <v>1</v>
      </c>
      <c r="DB63" s="149">
        <f t="shared" si="113"/>
        <v>1</v>
      </c>
      <c r="DG63" s="125">
        <f t="shared" si="126"/>
        <v>1</v>
      </c>
      <c r="DH63" s="125">
        <f t="shared" si="129"/>
        <v>2</v>
      </c>
      <c r="DI63" s="125">
        <f t="shared" si="129"/>
        <v>3</v>
      </c>
      <c r="DJ63" s="125">
        <f t="shared" si="129"/>
        <v>4</v>
      </c>
      <c r="DK63" s="125">
        <f t="shared" si="129"/>
        <v>5</v>
      </c>
      <c r="DL63" s="125">
        <f t="shared" si="129"/>
        <v>6</v>
      </c>
      <c r="DM63" s="125">
        <f t="shared" si="129"/>
        <v>7</v>
      </c>
      <c r="DN63" s="125">
        <f t="shared" si="129"/>
        <v>8</v>
      </c>
      <c r="DO63" s="125">
        <f t="shared" si="129"/>
        <v>9</v>
      </c>
      <c r="DP63" s="125">
        <f t="shared" si="129"/>
        <v>10</v>
      </c>
      <c r="DS63" s="137"/>
      <c r="DT63" s="137"/>
      <c r="DU63" s="137"/>
      <c r="DV63" s="137" t="b">
        <f t="shared" si="115"/>
        <v>0</v>
      </c>
      <c r="DW63" s="137" t="b">
        <f t="shared" si="116"/>
        <v>0</v>
      </c>
      <c r="DX63" s="137" t="b">
        <f t="shared" si="117"/>
        <v>1</v>
      </c>
      <c r="EB63" s="131">
        <f t="shared" si="127"/>
        <v>1</v>
      </c>
      <c r="EC63" s="137" t="b">
        <f t="shared" si="118"/>
        <v>0</v>
      </c>
      <c r="ED63" s="137" t="b">
        <f t="shared" si="119"/>
        <v>0</v>
      </c>
      <c r="EE63" s="137" t="b">
        <f t="shared" si="120"/>
        <v>1</v>
      </c>
      <c r="EF63" s="137"/>
      <c r="EG63" s="137"/>
      <c r="EH63" s="137"/>
      <c r="EI63" s="137"/>
      <c r="EJ63" s="137">
        <f t="shared" si="128"/>
        <v>1</v>
      </c>
      <c r="EK63" s="125">
        <f t="shared" si="121"/>
        <v>0</v>
      </c>
      <c r="EL63" s="125">
        <f t="shared" si="122"/>
        <v>0</v>
      </c>
    </row>
    <row r="64" spans="2:142" ht="15.75" x14ac:dyDescent="0.2">
      <c r="B64" s="160">
        <f t="shared" si="123"/>
        <v>34</v>
      </c>
      <c r="C64" s="205">
        <v>1001349871</v>
      </c>
      <c r="D64" s="205">
        <v>1001270373</v>
      </c>
      <c r="E64" s="205">
        <v>40000076</v>
      </c>
      <c r="F64" s="118">
        <f>IF(OR(J64="",H64=""),"",VLOOKUP(J64,'הזנה לסיווג רשויות'!$B$2:$D$301,2,0))</f>
        <v>20000159</v>
      </c>
      <c r="G64" s="118" t="str">
        <f>IF(OR(J64="",H64=""),"",VLOOKUP(J64,'הזנה לסיווג רשויות'!$B$2:$D$301,3,0))</f>
        <v>ירושלים</v>
      </c>
      <c r="H64" s="201" t="s">
        <v>561</v>
      </c>
      <c r="I64" s="201" t="s">
        <v>388</v>
      </c>
      <c r="J64" s="205">
        <v>3000</v>
      </c>
      <c r="K64" s="161">
        <v>0</v>
      </c>
      <c r="L64" s="161">
        <v>1</v>
      </c>
      <c r="M64" s="161">
        <v>0</v>
      </c>
      <c r="N64" s="161">
        <v>1</v>
      </c>
      <c r="O64" s="161">
        <v>1</v>
      </c>
      <c r="P64" s="161">
        <v>1</v>
      </c>
      <c r="Q64" s="161">
        <v>1</v>
      </c>
      <c r="R64" s="201">
        <v>263862</v>
      </c>
      <c r="S64" s="201">
        <v>96362</v>
      </c>
      <c r="T64" s="160">
        <f>IF(G64="","",IFERROR(IF(S64/R64&gt;'פרמטרים לקריטריונים'!$C$20,1,0),0))</f>
        <v>1</v>
      </c>
      <c r="U64" s="201">
        <v>70000</v>
      </c>
      <c r="V64" s="160">
        <f>IF(G64="","",IFERROR(IF(U64/R64&gt;'פרמטרים לקריטריונים'!$C$21,1,IF(AND(I64=$BW$5,U64/R64&gt;'פרמטרים לקריטריונים'!$C$22),1,0)),0))</f>
        <v>1</v>
      </c>
      <c r="W64" s="161">
        <v>1</v>
      </c>
      <c r="X64" s="161">
        <v>1</v>
      </c>
      <c r="Y64" s="201">
        <v>200000</v>
      </c>
      <c r="Z64" s="201">
        <v>100000</v>
      </c>
      <c r="AA64" s="161">
        <f t="shared" si="124"/>
        <v>1</v>
      </c>
      <c r="AB64" s="161"/>
      <c r="AC64" s="161"/>
      <c r="AD64" s="161"/>
      <c r="AE64" s="161"/>
      <c r="AF64" s="161"/>
      <c r="AG64" s="161"/>
      <c r="AH64" s="161"/>
      <c r="AI64" s="161"/>
      <c r="AJ64" s="161"/>
      <c r="AK64" s="161"/>
      <c r="AL64" s="161"/>
      <c r="AM64" s="161"/>
      <c r="AN64" s="161"/>
      <c r="AO64" s="161"/>
      <c r="AP64" s="161"/>
      <c r="AQ64" s="161"/>
      <c r="AR64" s="161"/>
      <c r="AS64" s="161"/>
      <c r="AT64" s="161"/>
      <c r="AU64" s="161"/>
      <c r="AV64" s="161"/>
      <c r="AW64" s="160"/>
      <c r="AX64" s="161"/>
      <c r="AY64" s="161"/>
      <c r="AZ64" s="161"/>
      <c r="BA64" s="161"/>
      <c r="BB64" s="161"/>
      <c r="BC64" s="161"/>
      <c r="BD64" s="161"/>
      <c r="BE64" s="161"/>
      <c r="BF64" s="160" t="str">
        <f t="shared" si="125"/>
        <v/>
      </c>
      <c r="BG64" s="160"/>
      <c r="BH64" s="160"/>
      <c r="BI64" s="160"/>
      <c r="BJ64" s="160"/>
      <c r="BK64" s="160"/>
      <c r="BL64" s="162">
        <f t="shared" si="75"/>
        <v>1</v>
      </c>
      <c r="BM64" s="257"/>
      <c r="BN64" s="163"/>
      <c r="BO64" s="211" t="str">
        <f t="shared" si="76"/>
        <v>רננותחזנות</v>
      </c>
      <c r="BP64" s="125">
        <f t="shared" si="77"/>
        <v>1</v>
      </c>
      <c r="BQ64" s="164">
        <v>0</v>
      </c>
      <c r="BR64" s="164">
        <v>1</v>
      </c>
      <c r="BS64" s="149">
        <f t="shared" si="78"/>
        <v>1</v>
      </c>
      <c r="BT64" s="149">
        <f t="shared" si="79"/>
        <v>1</v>
      </c>
      <c r="BU64" s="149">
        <f t="shared" si="80"/>
        <v>1</v>
      </c>
      <c r="BV64" s="149">
        <f t="shared" si="81"/>
        <v>1</v>
      </c>
      <c r="BW64" s="149">
        <f t="shared" si="82"/>
        <v>1</v>
      </c>
      <c r="BX64" s="149">
        <f t="shared" si="83"/>
        <v>1</v>
      </c>
      <c r="BY64" s="149">
        <f t="shared" si="84"/>
        <v>1</v>
      </c>
      <c r="BZ64" s="149">
        <f t="shared" si="85"/>
        <v>1</v>
      </c>
      <c r="CA64" s="149">
        <f t="shared" si="86"/>
        <v>1</v>
      </c>
      <c r="CB64" s="149">
        <f t="shared" si="87"/>
        <v>1</v>
      </c>
      <c r="CC64" s="149">
        <f t="shared" si="88"/>
        <v>1</v>
      </c>
      <c r="CD64" s="149">
        <f t="shared" si="89"/>
        <v>1</v>
      </c>
      <c r="CE64" s="149">
        <f t="shared" si="90"/>
        <v>1</v>
      </c>
      <c r="CF64" s="149">
        <f t="shared" si="91"/>
        <v>1</v>
      </c>
      <c r="CG64" s="149">
        <f t="shared" si="92"/>
        <v>1</v>
      </c>
      <c r="CH64" s="149">
        <f t="shared" si="93"/>
        <v>1</v>
      </c>
      <c r="CI64" s="149">
        <f t="shared" si="94"/>
        <v>1</v>
      </c>
      <c r="CJ64" s="149">
        <f t="shared" si="95"/>
        <v>1</v>
      </c>
      <c r="CK64" s="149">
        <f t="shared" si="96"/>
        <v>1</v>
      </c>
      <c r="CL64" s="149">
        <f t="shared" si="97"/>
        <v>1</v>
      </c>
      <c r="CM64" s="149">
        <f t="shared" si="98"/>
        <v>1</v>
      </c>
      <c r="CN64" s="149">
        <f t="shared" si="99"/>
        <v>1</v>
      </c>
      <c r="CO64" s="149">
        <f t="shared" si="100"/>
        <v>1</v>
      </c>
      <c r="CP64" s="149">
        <f t="shared" si="101"/>
        <v>1</v>
      </c>
      <c r="CQ64" s="149">
        <f t="shared" si="102"/>
        <v>1</v>
      </c>
      <c r="CR64" s="149">
        <f t="shared" si="103"/>
        <v>1</v>
      </c>
      <c r="CS64" s="149">
        <f t="shared" si="104"/>
        <v>1</v>
      </c>
      <c r="CT64" s="149">
        <f t="shared" si="105"/>
        <v>1</v>
      </c>
      <c r="CU64" s="149">
        <f t="shared" si="106"/>
        <v>1</v>
      </c>
      <c r="CV64" s="149">
        <f t="shared" si="107"/>
        <v>1</v>
      </c>
      <c r="CW64" s="149">
        <f t="shared" si="108"/>
        <v>1</v>
      </c>
      <c r="CX64" s="149">
        <f t="shared" si="109"/>
        <v>1</v>
      </c>
      <c r="CY64" s="149">
        <f t="shared" si="110"/>
        <v>1</v>
      </c>
      <c r="CZ64" s="149">
        <f t="shared" si="111"/>
        <v>1</v>
      </c>
      <c r="DA64" s="149">
        <f t="shared" si="112"/>
        <v>1</v>
      </c>
      <c r="DB64" s="149">
        <f t="shared" si="113"/>
        <v>1</v>
      </c>
      <c r="DG64" s="125">
        <f t="shared" si="126"/>
        <v>1</v>
      </c>
      <c r="DH64" s="125">
        <f t="shared" si="129"/>
        <v>2</v>
      </c>
      <c r="DI64" s="125">
        <f t="shared" si="129"/>
        <v>3</v>
      </c>
      <c r="DJ64" s="125">
        <f t="shared" si="129"/>
        <v>4</v>
      </c>
      <c r="DK64" s="125">
        <f t="shared" si="129"/>
        <v>5</v>
      </c>
      <c r="DL64" s="125">
        <f t="shared" si="129"/>
        <v>6</v>
      </c>
      <c r="DM64" s="125">
        <f t="shared" si="129"/>
        <v>7</v>
      </c>
      <c r="DN64" s="125">
        <f t="shared" si="129"/>
        <v>8</v>
      </c>
      <c r="DO64" s="125">
        <f t="shared" si="129"/>
        <v>9</v>
      </c>
      <c r="DP64" s="125">
        <f t="shared" si="129"/>
        <v>10</v>
      </c>
      <c r="DS64" s="137"/>
      <c r="DT64" s="137"/>
      <c r="DU64" s="137"/>
      <c r="DV64" s="137" t="b">
        <f t="shared" si="115"/>
        <v>0</v>
      </c>
      <c r="DW64" s="137" t="b">
        <f t="shared" si="116"/>
        <v>0</v>
      </c>
      <c r="DX64" s="137" t="b">
        <f t="shared" si="117"/>
        <v>1</v>
      </c>
      <c r="EB64" s="131">
        <f t="shared" si="127"/>
        <v>1</v>
      </c>
      <c r="EC64" s="137" t="b">
        <f t="shared" si="118"/>
        <v>0</v>
      </c>
      <c r="ED64" s="137" t="b">
        <f t="shared" si="119"/>
        <v>0</v>
      </c>
      <c r="EE64" s="137" t="b">
        <f t="shared" si="120"/>
        <v>1</v>
      </c>
      <c r="EF64" s="137"/>
      <c r="EG64" s="137"/>
      <c r="EH64" s="137"/>
      <c r="EI64" s="137"/>
      <c r="EJ64" s="137">
        <f t="shared" si="128"/>
        <v>1</v>
      </c>
      <c r="EK64" s="125">
        <f t="shared" si="121"/>
        <v>0</v>
      </c>
      <c r="EL64" s="125">
        <f t="shared" si="122"/>
        <v>0</v>
      </c>
    </row>
    <row r="65" spans="2:142" ht="15.75" x14ac:dyDescent="0.2">
      <c r="B65" s="160">
        <f t="shared" si="123"/>
        <v>35</v>
      </c>
      <c r="C65" s="205">
        <v>1001350106</v>
      </c>
      <c r="D65" s="205">
        <v>1001288944</v>
      </c>
      <c r="E65" s="205">
        <v>40000076</v>
      </c>
      <c r="F65" s="118">
        <f>IF(OR(J65="",H65=""),"",VLOOKUP(J65,'הזנה לסיווג רשויות'!$B$2:$D$301,2,0))</f>
        <v>20000159</v>
      </c>
      <c r="G65" s="118" t="str">
        <f>IF(OR(J65="",H65=""),"",VLOOKUP(J65,'הזנה לסיווג רשויות'!$B$2:$D$301,3,0))</f>
        <v>ירושלים</v>
      </c>
      <c r="H65" s="201" t="s">
        <v>561</v>
      </c>
      <c r="I65" s="201" t="s">
        <v>380</v>
      </c>
      <c r="J65" s="205">
        <v>3000</v>
      </c>
      <c r="K65" s="161">
        <v>0</v>
      </c>
      <c r="L65" s="161">
        <v>1</v>
      </c>
      <c r="M65" s="161">
        <v>0</v>
      </c>
      <c r="N65" s="161">
        <v>1</v>
      </c>
      <c r="O65" s="161">
        <v>1</v>
      </c>
      <c r="P65" s="161">
        <v>1</v>
      </c>
      <c r="Q65" s="161">
        <v>1</v>
      </c>
      <c r="R65" s="201">
        <v>56450</v>
      </c>
      <c r="S65" s="201">
        <v>56450</v>
      </c>
      <c r="T65" s="160">
        <f>IF(G65="","",IFERROR(IF(S65/R65&gt;'פרמטרים לקריטריונים'!$C$20,1,0),0))</f>
        <v>1</v>
      </c>
      <c r="U65" s="201">
        <v>56450</v>
      </c>
      <c r="V65" s="160">
        <f>IF(G65="","",IFERROR(IF(U65/R65&gt;'פרמטרים לקריטריונים'!$C$21,1,IF(AND(I65=$BW$5,U65/R65&gt;'פרמטרים לקריטריונים'!$C$22),1,0)),0))</f>
        <v>1</v>
      </c>
      <c r="W65" s="161">
        <v>1</v>
      </c>
      <c r="X65" s="161">
        <v>1</v>
      </c>
      <c r="Y65" s="201">
        <v>100000</v>
      </c>
      <c r="Z65" s="201">
        <v>100000</v>
      </c>
      <c r="AA65" s="161">
        <f t="shared" si="124"/>
        <v>1</v>
      </c>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0"/>
      <c r="AX65" s="161"/>
      <c r="AY65" s="161"/>
      <c r="AZ65" s="161"/>
      <c r="BA65" s="161"/>
      <c r="BB65" s="161"/>
      <c r="BC65" s="161"/>
      <c r="BD65" s="161"/>
      <c r="BE65" s="161"/>
      <c r="BF65" s="160" t="str">
        <f t="shared" si="125"/>
        <v/>
      </c>
      <c r="BG65" s="160"/>
      <c r="BH65" s="160"/>
      <c r="BI65" s="160"/>
      <c r="BJ65" s="160"/>
      <c r="BK65" s="160"/>
      <c r="BL65" s="162">
        <f t="shared" si="75"/>
        <v>1</v>
      </c>
      <c r="BM65" s="257"/>
      <c r="BN65" s="163"/>
      <c r="BO65" s="211" t="str">
        <f t="shared" si="76"/>
        <v>רננותקבוצות מוסיקה</v>
      </c>
      <c r="BP65" s="125">
        <f t="shared" si="77"/>
        <v>1</v>
      </c>
      <c r="BQ65" s="164">
        <v>0</v>
      </c>
      <c r="BR65" s="164">
        <v>1</v>
      </c>
      <c r="BS65" s="149">
        <f t="shared" si="78"/>
        <v>1</v>
      </c>
      <c r="BT65" s="149">
        <f t="shared" si="79"/>
        <v>1</v>
      </c>
      <c r="BU65" s="149">
        <f t="shared" si="80"/>
        <v>1</v>
      </c>
      <c r="BV65" s="149">
        <f t="shared" si="81"/>
        <v>1</v>
      </c>
      <c r="BW65" s="149">
        <f t="shared" si="82"/>
        <v>1</v>
      </c>
      <c r="BX65" s="149">
        <f t="shared" si="83"/>
        <v>1</v>
      </c>
      <c r="BY65" s="149">
        <f t="shared" si="84"/>
        <v>1</v>
      </c>
      <c r="BZ65" s="149">
        <f t="shared" si="85"/>
        <v>1</v>
      </c>
      <c r="CA65" s="149">
        <f t="shared" si="86"/>
        <v>1</v>
      </c>
      <c r="CB65" s="149">
        <f t="shared" si="87"/>
        <v>1</v>
      </c>
      <c r="CC65" s="149">
        <f t="shared" si="88"/>
        <v>1</v>
      </c>
      <c r="CD65" s="149">
        <f t="shared" si="89"/>
        <v>1</v>
      </c>
      <c r="CE65" s="149">
        <f t="shared" si="90"/>
        <v>1</v>
      </c>
      <c r="CF65" s="149">
        <f t="shared" si="91"/>
        <v>1</v>
      </c>
      <c r="CG65" s="149">
        <f t="shared" si="92"/>
        <v>1</v>
      </c>
      <c r="CH65" s="149">
        <f t="shared" si="93"/>
        <v>1</v>
      </c>
      <c r="CI65" s="149">
        <f t="shared" si="94"/>
        <v>1</v>
      </c>
      <c r="CJ65" s="149">
        <f t="shared" si="95"/>
        <v>1</v>
      </c>
      <c r="CK65" s="149">
        <f t="shared" si="96"/>
        <v>1</v>
      </c>
      <c r="CL65" s="149">
        <f t="shared" si="97"/>
        <v>1</v>
      </c>
      <c r="CM65" s="149">
        <f t="shared" si="98"/>
        <v>1</v>
      </c>
      <c r="CN65" s="149">
        <f t="shared" si="99"/>
        <v>1</v>
      </c>
      <c r="CO65" s="149">
        <f t="shared" si="100"/>
        <v>1</v>
      </c>
      <c r="CP65" s="149">
        <f t="shared" si="101"/>
        <v>1</v>
      </c>
      <c r="CQ65" s="149">
        <f t="shared" si="102"/>
        <v>1</v>
      </c>
      <c r="CR65" s="149">
        <f t="shared" si="103"/>
        <v>1</v>
      </c>
      <c r="CS65" s="149">
        <f t="shared" si="104"/>
        <v>1</v>
      </c>
      <c r="CT65" s="149">
        <f t="shared" si="105"/>
        <v>1</v>
      </c>
      <c r="CU65" s="149">
        <f t="shared" si="106"/>
        <v>1</v>
      </c>
      <c r="CV65" s="149">
        <f t="shared" si="107"/>
        <v>1</v>
      </c>
      <c r="CW65" s="149">
        <f t="shared" si="108"/>
        <v>1</v>
      </c>
      <c r="CX65" s="149">
        <f t="shared" si="109"/>
        <v>1</v>
      </c>
      <c r="CY65" s="149">
        <f t="shared" si="110"/>
        <v>1</v>
      </c>
      <c r="CZ65" s="149">
        <f t="shared" si="111"/>
        <v>1</v>
      </c>
      <c r="DA65" s="149">
        <f t="shared" si="112"/>
        <v>1</v>
      </c>
      <c r="DB65" s="149">
        <f t="shared" si="113"/>
        <v>1</v>
      </c>
      <c r="DG65" s="125">
        <f t="shared" si="126"/>
        <v>1</v>
      </c>
      <c r="DH65" s="125">
        <f t="shared" si="129"/>
        <v>2</v>
      </c>
      <c r="DI65" s="125">
        <f t="shared" si="129"/>
        <v>3</v>
      </c>
      <c r="DJ65" s="125">
        <f t="shared" si="129"/>
        <v>4</v>
      </c>
      <c r="DK65" s="125">
        <f t="shared" si="129"/>
        <v>5</v>
      </c>
      <c r="DL65" s="125">
        <f t="shared" si="129"/>
        <v>6</v>
      </c>
      <c r="DM65" s="125">
        <f t="shared" si="129"/>
        <v>7</v>
      </c>
      <c r="DN65" s="125">
        <f t="shared" si="129"/>
        <v>8</v>
      </c>
      <c r="DO65" s="125">
        <f t="shared" si="129"/>
        <v>9</v>
      </c>
      <c r="DP65" s="125">
        <f t="shared" si="129"/>
        <v>10</v>
      </c>
      <c r="DS65" s="137"/>
      <c r="DT65" s="137"/>
      <c r="DU65" s="137"/>
      <c r="DV65" s="137" t="b">
        <f t="shared" si="115"/>
        <v>0</v>
      </c>
      <c r="DW65" s="137" t="b">
        <f t="shared" si="116"/>
        <v>0</v>
      </c>
      <c r="DX65" s="137" t="b">
        <f t="shared" si="117"/>
        <v>1</v>
      </c>
      <c r="EB65" s="131">
        <f t="shared" si="127"/>
        <v>1</v>
      </c>
      <c r="EC65" s="137" t="b">
        <f t="shared" si="118"/>
        <v>0</v>
      </c>
      <c r="ED65" s="137" t="b">
        <f t="shared" si="119"/>
        <v>0</v>
      </c>
      <c r="EE65" s="137" t="b">
        <f t="shared" si="120"/>
        <v>1</v>
      </c>
      <c r="EF65" s="137"/>
      <c r="EG65" s="137"/>
      <c r="EH65" s="137"/>
      <c r="EI65" s="137"/>
      <c r="EJ65" s="137">
        <f t="shared" si="128"/>
        <v>1</v>
      </c>
      <c r="EK65" s="125">
        <f t="shared" si="121"/>
        <v>0</v>
      </c>
      <c r="EL65" s="125">
        <f t="shared" si="122"/>
        <v>0</v>
      </c>
    </row>
    <row r="66" spans="2:142" ht="15.75" x14ac:dyDescent="0.2">
      <c r="B66" s="160">
        <f t="shared" si="123"/>
        <v>36</v>
      </c>
      <c r="C66" s="205">
        <v>1001348855</v>
      </c>
      <c r="D66" s="205">
        <v>1001272029</v>
      </c>
      <c r="E66" s="205">
        <v>40000107</v>
      </c>
      <c r="F66" s="118">
        <f>IF(OR(J66="",H66=""),"",VLOOKUP(J66,'הזנה לסיווג רשויות'!$B$2:$D$301,2,0))</f>
        <v>20000139</v>
      </c>
      <c r="G66" s="118" t="str">
        <f>IF(OR(J66="",H66=""),"",VLOOKUP(J66,'הזנה לסיווג רשויות'!$B$2:$D$301,3,0))</f>
        <v>מטה אשר</v>
      </c>
      <c r="H66" s="201" t="s">
        <v>562</v>
      </c>
      <c r="I66" s="201" t="s">
        <v>375</v>
      </c>
      <c r="J66" s="205">
        <v>4</v>
      </c>
      <c r="K66" s="161">
        <v>0</v>
      </c>
      <c r="L66" s="161">
        <v>1</v>
      </c>
      <c r="M66" s="161">
        <v>0</v>
      </c>
      <c r="N66" s="161">
        <v>0</v>
      </c>
      <c r="O66" s="161">
        <v>1</v>
      </c>
      <c r="P66" s="161">
        <v>1</v>
      </c>
      <c r="Q66" s="161">
        <v>1</v>
      </c>
      <c r="R66" s="201">
        <v>13932795</v>
      </c>
      <c r="S66" s="201">
        <v>11602990</v>
      </c>
      <c r="T66" s="160">
        <f>IF(G66="","",IFERROR(IF(S66/R66&gt;'פרמטרים לקריטריונים'!$C$20,1,0),0))</f>
        <v>1</v>
      </c>
      <c r="U66" s="201">
        <v>2134067</v>
      </c>
      <c r="V66" s="160">
        <f>IF(G66="","",IFERROR(IF(U66/R66&gt;'פרמטרים לקריטריונים'!$C$21,1,IF(AND(I66=$BW$5,U66/R66&gt;'פרמטרים לקריטריונים'!$C$22),1,0)),0))</f>
        <v>1</v>
      </c>
      <c r="W66" s="161">
        <v>1</v>
      </c>
      <c r="X66" s="161">
        <v>1</v>
      </c>
      <c r="Y66" s="201">
        <v>2800000</v>
      </c>
      <c r="Z66" s="201">
        <v>2800000</v>
      </c>
      <c r="AA66" s="161">
        <f t="shared" si="124"/>
        <v>1</v>
      </c>
      <c r="AB66" s="161"/>
      <c r="AC66" s="161"/>
      <c r="AD66" s="161"/>
      <c r="AE66" s="161"/>
      <c r="AF66" s="161"/>
      <c r="AG66" s="161"/>
      <c r="AH66" s="161"/>
      <c r="AI66" s="161"/>
      <c r="AJ66" s="161"/>
      <c r="AK66" s="161"/>
      <c r="AL66" s="161"/>
      <c r="AM66" s="161"/>
      <c r="AN66" s="161"/>
      <c r="AO66" s="161"/>
      <c r="AP66" s="161"/>
      <c r="AQ66" s="161"/>
      <c r="AR66" s="161"/>
      <c r="AS66" s="161"/>
      <c r="AT66" s="161"/>
      <c r="AU66" s="161"/>
      <c r="AV66" s="161"/>
      <c r="AW66" s="160"/>
      <c r="AX66" s="161"/>
      <c r="AY66" s="161"/>
      <c r="AZ66" s="161"/>
      <c r="BA66" s="161"/>
      <c r="BB66" s="161"/>
      <c r="BC66" s="161"/>
      <c r="BD66" s="161"/>
      <c r="BE66" s="161"/>
      <c r="BF66" s="160" t="str">
        <f t="shared" si="125"/>
        <v/>
      </c>
      <c r="BG66" s="160"/>
      <c r="BH66" s="160"/>
      <c r="BI66" s="160"/>
      <c r="BJ66" s="160"/>
      <c r="BK66" s="160"/>
      <c r="BL66" s="162">
        <f t="shared" si="75"/>
        <v>1</v>
      </c>
      <c r="BM66" s="257"/>
      <c r="BN66" s="163"/>
      <c r="BO66" s="211" t="str">
        <f t="shared" si="76"/>
        <v>בית לוחמי הגטאותמוזיאונים</v>
      </c>
      <c r="BP66" s="125">
        <f t="shared" si="77"/>
        <v>1</v>
      </c>
      <c r="BQ66" s="164">
        <v>0</v>
      </c>
      <c r="BR66" s="164">
        <v>1</v>
      </c>
      <c r="BS66" s="149">
        <f t="shared" si="78"/>
        <v>1</v>
      </c>
      <c r="BT66" s="149">
        <f t="shared" si="79"/>
        <v>1</v>
      </c>
      <c r="BU66" s="149">
        <f t="shared" si="80"/>
        <v>1</v>
      </c>
      <c r="BV66" s="149">
        <f t="shared" si="81"/>
        <v>1</v>
      </c>
      <c r="BW66" s="149">
        <f t="shared" si="82"/>
        <v>1</v>
      </c>
      <c r="BX66" s="149">
        <f t="shared" si="83"/>
        <v>1</v>
      </c>
      <c r="BY66" s="149">
        <f t="shared" si="84"/>
        <v>1</v>
      </c>
      <c r="BZ66" s="149">
        <f t="shared" si="85"/>
        <v>1</v>
      </c>
      <c r="CA66" s="149">
        <f t="shared" si="86"/>
        <v>1</v>
      </c>
      <c r="CB66" s="149">
        <f t="shared" si="87"/>
        <v>1</v>
      </c>
      <c r="CC66" s="149">
        <f t="shared" si="88"/>
        <v>1</v>
      </c>
      <c r="CD66" s="149">
        <f t="shared" si="89"/>
        <v>1</v>
      </c>
      <c r="CE66" s="149">
        <f t="shared" si="90"/>
        <v>1</v>
      </c>
      <c r="CF66" s="149">
        <f t="shared" si="91"/>
        <v>1</v>
      </c>
      <c r="CG66" s="149">
        <f t="shared" si="92"/>
        <v>1</v>
      </c>
      <c r="CH66" s="149">
        <f t="shared" si="93"/>
        <v>1</v>
      </c>
      <c r="CI66" s="149">
        <f t="shared" si="94"/>
        <v>1</v>
      </c>
      <c r="CJ66" s="149">
        <f t="shared" si="95"/>
        <v>1</v>
      </c>
      <c r="CK66" s="149">
        <f t="shared" si="96"/>
        <v>1</v>
      </c>
      <c r="CL66" s="149">
        <f t="shared" si="97"/>
        <v>1</v>
      </c>
      <c r="CM66" s="149">
        <f t="shared" si="98"/>
        <v>1</v>
      </c>
      <c r="CN66" s="149">
        <f t="shared" si="99"/>
        <v>1</v>
      </c>
      <c r="CO66" s="149">
        <f t="shared" si="100"/>
        <v>1</v>
      </c>
      <c r="CP66" s="149">
        <f t="shared" si="101"/>
        <v>1</v>
      </c>
      <c r="CQ66" s="149">
        <f t="shared" si="102"/>
        <v>1</v>
      </c>
      <c r="CR66" s="149">
        <f t="shared" si="103"/>
        <v>1</v>
      </c>
      <c r="CS66" s="149">
        <f t="shared" si="104"/>
        <v>1</v>
      </c>
      <c r="CT66" s="149">
        <f t="shared" si="105"/>
        <v>1</v>
      </c>
      <c r="CU66" s="149">
        <f t="shared" si="106"/>
        <v>1</v>
      </c>
      <c r="CV66" s="149">
        <f t="shared" si="107"/>
        <v>1</v>
      </c>
      <c r="CW66" s="149">
        <f t="shared" si="108"/>
        <v>1</v>
      </c>
      <c r="CX66" s="149">
        <f t="shared" si="109"/>
        <v>1</v>
      </c>
      <c r="CY66" s="149">
        <f t="shared" si="110"/>
        <v>1</v>
      </c>
      <c r="CZ66" s="149">
        <f t="shared" si="111"/>
        <v>1</v>
      </c>
      <c r="DA66" s="149">
        <f t="shared" si="112"/>
        <v>1</v>
      </c>
      <c r="DB66" s="149">
        <f t="shared" si="113"/>
        <v>1</v>
      </c>
      <c r="DG66" s="125">
        <f t="shared" si="126"/>
        <v>1</v>
      </c>
      <c r="DH66" s="125">
        <f t="shared" si="129"/>
        <v>2</v>
      </c>
      <c r="DI66" s="125">
        <f t="shared" si="129"/>
        <v>3</v>
      </c>
      <c r="DJ66" s="125">
        <f t="shared" si="129"/>
        <v>4</v>
      </c>
      <c r="DK66" s="125">
        <f t="shared" si="129"/>
        <v>5</v>
      </c>
      <c r="DL66" s="125">
        <f t="shared" si="129"/>
        <v>6</v>
      </c>
      <c r="DM66" s="125">
        <f t="shared" si="129"/>
        <v>7</v>
      </c>
      <c r="DN66" s="125">
        <f t="shared" si="129"/>
        <v>8</v>
      </c>
      <c r="DO66" s="125">
        <f t="shared" si="129"/>
        <v>9</v>
      </c>
      <c r="DP66" s="125">
        <f t="shared" si="129"/>
        <v>10</v>
      </c>
      <c r="DS66" s="137"/>
      <c r="DT66" s="137"/>
      <c r="DU66" s="137"/>
      <c r="DV66" s="137" t="b">
        <f t="shared" si="115"/>
        <v>0</v>
      </c>
      <c r="DW66" s="137" t="b">
        <f t="shared" si="116"/>
        <v>0</v>
      </c>
      <c r="DX66" s="137" t="b">
        <f t="shared" si="117"/>
        <v>1</v>
      </c>
      <c r="EB66" s="131">
        <f t="shared" si="127"/>
        <v>1</v>
      </c>
      <c r="EC66" s="137" t="b">
        <f t="shared" si="118"/>
        <v>0</v>
      </c>
      <c r="ED66" s="137" t="b">
        <f t="shared" si="119"/>
        <v>0</v>
      </c>
      <c r="EE66" s="137" t="b">
        <f t="shared" si="120"/>
        <v>1</v>
      </c>
      <c r="EF66" s="137"/>
      <c r="EG66" s="137"/>
      <c r="EH66" s="137"/>
      <c r="EI66" s="137"/>
      <c r="EJ66" s="137">
        <f t="shared" si="128"/>
        <v>1</v>
      </c>
      <c r="EK66" s="125">
        <f t="shared" si="121"/>
        <v>0</v>
      </c>
      <c r="EL66" s="125">
        <f t="shared" si="122"/>
        <v>0</v>
      </c>
    </row>
    <row r="67" spans="2:142" ht="15.75" x14ac:dyDescent="0.2">
      <c r="B67" s="160">
        <f t="shared" si="123"/>
        <v>37</v>
      </c>
      <c r="C67" s="205">
        <v>1001347716</v>
      </c>
      <c r="D67" s="205">
        <v>1001280063</v>
      </c>
      <c r="E67" s="205">
        <v>40000157</v>
      </c>
      <c r="F67" s="118">
        <f>IF(OR(J67="",H67=""),"",VLOOKUP(J67,'הזנה לסיווג רשויות'!$B$2:$D$301,2,0))</f>
        <v>20000201</v>
      </c>
      <c r="G67" s="118" t="str">
        <f>IF(OR(J67="",H67=""),"",VLOOKUP(J67,'הזנה לסיווג רשויות'!$B$2:$D$301,3,0))</f>
        <v>תל אביב -יפו</v>
      </c>
      <c r="H67" s="201" t="s">
        <v>563</v>
      </c>
      <c r="I67" s="201" t="s">
        <v>374</v>
      </c>
      <c r="J67" s="205">
        <v>5000</v>
      </c>
      <c r="K67" s="161">
        <v>0</v>
      </c>
      <c r="L67" s="161">
        <v>1</v>
      </c>
      <c r="M67" s="161">
        <v>0</v>
      </c>
      <c r="N67" s="161">
        <v>1</v>
      </c>
      <c r="O67" s="161">
        <v>1</v>
      </c>
      <c r="P67" s="161">
        <v>1</v>
      </c>
      <c r="Q67" s="161">
        <v>1</v>
      </c>
      <c r="R67" s="201">
        <v>1201655</v>
      </c>
      <c r="S67" s="201">
        <v>755531</v>
      </c>
      <c r="T67" s="160">
        <f>IF(G67="","",IFERROR(IF(S67/R67&gt;'פרמטרים לקריטריונים'!$C$20,1,0),0))</f>
        <v>1</v>
      </c>
      <c r="U67" s="201">
        <v>704614</v>
      </c>
      <c r="V67" s="160">
        <f>IF(G67="","",IFERROR(IF(U67/R67&gt;'פרמטרים לקריטריונים'!$C$21,1,IF(AND(I67=$BW$5,U67/R67&gt;'פרמטרים לקריטריונים'!$C$22),1,0)),0))</f>
        <v>1</v>
      </c>
      <c r="W67" s="161">
        <v>1</v>
      </c>
      <c r="X67" s="161">
        <v>1</v>
      </c>
      <c r="Y67" s="201">
        <v>116000</v>
      </c>
      <c r="Z67" s="201">
        <v>70000</v>
      </c>
      <c r="AA67" s="161">
        <f t="shared" si="124"/>
        <v>1</v>
      </c>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0"/>
      <c r="AX67" s="161"/>
      <c r="AY67" s="161"/>
      <c r="AZ67" s="161"/>
      <c r="BA67" s="161"/>
      <c r="BB67" s="161"/>
      <c r="BC67" s="161"/>
      <c r="BD67" s="161"/>
      <c r="BE67" s="161"/>
      <c r="BF67" s="160" t="str">
        <f t="shared" si="125"/>
        <v/>
      </c>
      <c r="BG67" s="160"/>
      <c r="BH67" s="160"/>
      <c r="BI67" s="160"/>
      <c r="BJ67" s="160"/>
      <c r="BK67" s="160"/>
      <c r="BL67" s="162">
        <f t="shared" si="75"/>
        <v>1</v>
      </c>
      <c r="BM67" s="257"/>
      <c r="BN67" s="163"/>
      <c r="BO67" s="211" t="str">
        <f t="shared" si="76"/>
        <v>מרכז סוזן דללמחול</v>
      </c>
      <c r="BP67" s="125">
        <f t="shared" si="77"/>
        <v>1</v>
      </c>
      <c r="BQ67" s="164">
        <v>0</v>
      </c>
      <c r="BR67" s="164">
        <v>1</v>
      </c>
      <c r="BS67" s="149">
        <f t="shared" si="78"/>
        <v>1</v>
      </c>
      <c r="BT67" s="149">
        <f t="shared" si="79"/>
        <v>1</v>
      </c>
      <c r="BU67" s="149">
        <f t="shared" si="80"/>
        <v>1</v>
      </c>
      <c r="BV67" s="149">
        <f t="shared" si="81"/>
        <v>1</v>
      </c>
      <c r="BW67" s="149">
        <f t="shared" si="82"/>
        <v>1</v>
      </c>
      <c r="BX67" s="149">
        <f t="shared" si="83"/>
        <v>1</v>
      </c>
      <c r="BY67" s="149">
        <f t="shared" si="84"/>
        <v>1</v>
      </c>
      <c r="BZ67" s="149">
        <f t="shared" si="85"/>
        <v>1</v>
      </c>
      <c r="CA67" s="149">
        <f t="shared" si="86"/>
        <v>1</v>
      </c>
      <c r="CB67" s="149">
        <f t="shared" si="87"/>
        <v>1</v>
      </c>
      <c r="CC67" s="149">
        <f t="shared" si="88"/>
        <v>1</v>
      </c>
      <c r="CD67" s="149">
        <f t="shared" si="89"/>
        <v>1</v>
      </c>
      <c r="CE67" s="149">
        <f t="shared" si="90"/>
        <v>1</v>
      </c>
      <c r="CF67" s="149">
        <f t="shared" si="91"/>
        <v>1</v>
      </c>
      <c r="CG67" s="149">
        <f t="shared" si="92"/>
        <v>1</v>
      </c>
      <c r="CH67" s="149">
        <f t="shared" si="93"/>
        <v>1</v>
      </c>
      <c r="CI67" s="149">
        <f t="shared" si="94"/>
        <v>1</v>
      </c>
      <c r="CJ67" s="149">
        <f t="shared" si="95"/>
        <v>1</v>
      </c>
      <c r="CK67" s="149">
        <f t="shared" si="96"/>
        <v>1</v>
      </c>
      <c r="CL67" s="149">
        <f t="shared" si="97"/>
        <v>1</v>
      </c>
      <c r="CM67" s="149">
        <f t="shared" si="98"/>
        <v>1</v>
      </c>
      <c r="CN67" s="149">
        <f t="shared" si="99"/>
        <v>1</v>
      </c>
      <c r="CO67" s="149">
        <f t="shared" si="100"/>
        <v>1</v>
      </c>
      <c r="CP67" s="149">
        <f t="shared" si="101"/>
        <v>1</v>
      </c>
      <c r="CQ67" s="149">
        <f t="shared" si="102"/>
        <v>1</v>
      </c>
      <c r="CR67" s="149">
        <f t="shared" si="103"/>
        <v>1</v>
      </c>
      <c r="CS67" s="149">
        <f t="shared" si="104"/>
        <v>1</v>
      </c>
      <c r="CT67" s="149">
        <f t="shared" si="105"/>
        <v>1</v>
      </c>
      <c r="CU67" s="149">
        <f t="shared" si="106"/>
        <v>1</v>
      </c>
      <c r="CV67" s="149">
        <f t="shared" si="107"/>
        <v>1</v>
      </c>
      <c r="CW67" s="149">
        <f t="shared" si="108"/>
        <v>1</v>
      </c>
      <c r="CX67" s="149">
        <f t="shared" si="109"/>
        <v>1</v>
      </c>
      <c r="CY67" s="149">
        <f t="shared" si="110"/>
        <v>1</v>
      </c>
      <c r="CZ67" s="149">
        <f t="shared" si="111"/>
        <v>1</v>
      </c>
      <c r="DA67" s="149">
        <f t="shared" si="112"/>
        <v>1</v>
      </c>
      <c r="DB67" s="149">
        <f t="shared" si="113"/>
        <v>1</v>
      </c>
      <c r="DG67" s="125">
        <f t="shared" si="126"/>
        <v>1</v>
      </c>
      <c r="DH67" s="125">
        <f t="shared" si="129"/>
        <v>2</v>
      </c>
      <c r="DI67" s="125">
        <f t="shared" si="129"/>
        <v>3</v>
      </c>
      <c r="DJ67" s="125">
        <f t="shared" si="129"/>
        <v>4</v>
      </c>
      <c r="DK67" s="125">
        <f t="shared" si="129"/>
        <v>5</v>
      </c>
      <c r="DL67" s="125">
        <f t="shared" si="129"/>
        <v>6</v>
      </c>
      <c r="DM67" s="125">
        <f t="shared" si="129"/>
        <v>7</v>
      </c>
      <c r="DN67" s="125">
        <f t="shared" si="129"/>
        <v>8</v>
      </c>
      <c r="DO67" s="125">
        <f t="shared" si="129"/>
        <v>9</v>
      </c>
      <c r="DP67" s="125">
        <f t="shared" si="129"/>
        <v>10</v>
      </c>
      <c r="DS67" s="137"/>
      <c r="DT67" s="137"/>
      <c r="DU67" s="137"/>
      <c r="DV67" s="137" t="b">
        <f t="shared" si="115"/>
        <v>0</v>
      </c>
      <c r="DW67" s="137" t="b">
        <f t="shared" si="116"/>
        <v>0</v>
      </c>
      <c r="DX67" s="137" t="b">
        <f t="shared" si="117"/>
        <v>1</v>
      </c>
      <c r="EB67" s="131">
        <f t="shared" si="127"/>
        <v>1</v>
      </c>
      <c r="EC67" s="137" t="b">
        <f t="shared" si="118"/>
        <v>0</v>
      </c>
      <c r="ED67" s="137" t="b">
        <f t="shared" si="119"/>
        <v>0</v>
      </c>
      <c r="EE67" s="137" t="b">
        <f t="shared" si="120"/>
        <v>1</v>
      </c>
      <c r="EF67" s="137"/>
      <c r="EG67" s="137"/>
      <c r="EH67" s="137"/>
      <c r="EI67" s="137"/>
      <c r="EJ67" s="137">
        <f t="shared" si="128"/>
        <v>1</v>
      </c>
      <c r="EK67" s="125">
        <f t="shared" si="121"/>
        <v>0</v>
      </c>
      <c r="EL67" s="125">
        <f t="shared" si="122"/>
        <v>0</v>
      </c>
    </row>
    <row r="68" spans="2:142" ht="15.75" x14ac:dyDescent="0.2">
      <c r="B68" s="160">
        <f t="shared" si="123"/>
        <v>38</v>
      </c>
      <c r="C68" s="205">
        <v>1001347748</v>
      </c>
      <c r="D68" s="205">
        <v>1001280061</v>
      </c>
      <c r="E68" s="205">
        <v>40000157</v>
      </c>
      <c r="F68" s="118">
        <f>IF(OR(J68="",H68=""),"",VLOOKUP(J68,'הזנה לסיווג רשויות'!$B$2:$D$301,2,0))</f>
        <v>20000201</v>
      </c>
      <c r="G68" s="118" t="str">
        <f>IF(OR(J68="",H68=""),"",VLOOKUP(J68,'הזנה לסיווג רשויות'!$B$2:$D$301,3,0))</f>
        <v>תל אביב -יפו</v>
      </c>
      <c r="H68" s="201" t="s">
        <v>563</v>
      </c>
      <c r="I68" s="201" t="s">
        <v>374</v>
      </c>
      <c r="J68" s="205">
        <v>5000</v>
      </c>
      <c r="K68" s="161">
        <v>0</v>
      </c>
      <c r="L68" s="161">
        <v>1</v>
      </c>
      <c r="M68" s="161">
        <v>0</v>
      </c>
      <c r="N68" s="161">
        <v>1</v>
      </c>
      <c r="O68" s="161">
        <v>1</v>
      </c>
      <c r="P68" s="161">
        <v>1</v>
      </c>
      <c r="Q68" s="161">
        <v>1</v>
      </c>
      <c r="R68" s="201">
        <v>8311070</v>
      </c>
      <c r="S68" s="201">
        <v>4469579</v>
      </c>
      <c r="T68" s="160">
        <f>IF(G68="","",IFERROR(IF(S68/R68&gt;'פרמטרים לקריטריונים'!$C$20,1,0),0))</f>
        <v>1</v>
      </c>
      <c r="U68" s="201">
        <v>3182772</v>
      </c>
      <c r="V68" s="160">
        <f>IF(G68="","",IFERROR(IF(U68/R68&gt;'פרמטרים לקריטריונים'!$C$21,1,IF(AND(I68=$BW$5,U68/R68&gt;'פרמטרים לקריטריונים'!$C$22),1,0)),0))</f>
        <v>1</v>
      </c>
      <c r="W68" s="161">
        <v>1</v>
      </c>
      <c r="X68" s="161">
        <v>1</v>
      </c>
      <c r="Y68" s="201">
        <v>3191000</v>
      </c>
      <c r="Z68" s="201">
        <v>180000</v>
      </c>
      <c r="AA68" s="161">
        <f t="shared" si="124"/>
        <v>1</v>
      </c>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0"/>
      <c r="AX68" s="161"/>
      <c r="AY68" s="161"/>
      <c r="AZ68" s="161"/>
      <c r="BA68" s="161"/>
      <c r="BB68" s="161"/>
      <c r="BC68" s="161"/>
      <c r="BD68" s="161"/>
      <c r="BE68" s="161"/>
      <c r="BF68" s="160" t="str">
        <f t="shared" si="125"/>
        <v/>
      </c>
      <c r="BG68" s="160"/>
      <c r="BH68" s="160"/>
      <c r="BI68" s="160"/>
      <c r="BJ68" s="160"/>
      <c r="BK68" s="160"/>
      <c r="BL68" s="162">
        <f t="shared" si="75"/>
        <v>1</v>
      </c>
      <c r="BM68" s="257"/>
      <c r="BN68" s="163"/>
      <c r="BO68" s="211" t="str">
        <f t="shared" si="76"/>
        <v>מרכז סוזן דללמחול</v>
      </c>
      <c r="BP68" s="125">
        <f t="shared" si="77"/>
        <v>1</v>
      </c>
      <c r="BQ68" s="164">
        <v>0</v>
      </c>
      <c r="BR68" s="164">
        <v>1</v>
      </c>
      <c r="BS68" s="149">
        <f t="shared" si="78"/>
        <v>1</v>
      </c>
      <c r="BT68" s="149">
        <f t="shared" si="79"/>
        <v>1</v>
      </c>
      <c r="BU68" s="149">
        <f t="shared" si="80"/>
        <v>1</v>
      </c>
      <c r="BV68" s="149">
        <f t="shared" si="81"/>
        <v>1</v>
      </c>
      <c r="BW68" s="149">
        <f t="shared" si="82"/>
        <v>1</v>
      </c>
      <c r="BX68" s="149">
        <f t="shared" si="83"/>
        <v>1</v>
      </c>
      <c r="BY68" s="149">
        <f t="shared" si="84"/>
        <v>1</v>
      </c>
      <c r="BZ68" s="149">
        <f t="shared" si="85"/>
        <v>1</v>
      </c>
      <c r="CA68" s="149">
        <f t="shared" si="86"/>
        <v>1</v>
      </c>
      <c r="CB68" s="149">
        <f t="shared" si="87"/>
        <v>1</v>
      </c>
      <c r="CC68" s="149">
        <f t="shared" si="88"/>
        <v>1</v>
      </c>
      <c r="CD68" s="149">
        <f t="shared" si="89"/>
        <v>1</v>
      </c>
      <c r="CE68" s="149">
        <f t="shared" si="90"/>
        <v>1</v>
      </c>
      <c r="CF68" s="149">
        <f t="shared" si="91"/>
        <v>1</v>
      </c>
      <c r="CG68" s="149">
        <f t="shared" si="92"/>
        <v>1</v>
      </c>
      <c r="CH68" s="149">
        <f t="shared" si="93"/>
        <v>1</v>
      </c>
      <c r="CI68" s="149">
        <f t="shared" si="94"/>
        <v>1</v>
      </c>
      <c r="CJ68" s="149">
        <f t="shared" si="95"/>
        <v>1</v>
      </c>
      <c r="CK68" s="149">
        <f t="shared" si="96"/>
        <v>1</v>
      </c>
      <c r="CL68" s="149">
        <f t="shared" si="97"/>
        <v>1</v>
      </c>
      <c r="CM68" s="149">
        <f t="shared" si="98"/>
        <v>1</v>
      </c>
      <c r="CN68" s="149">
        <f t="shared" si="99"/>
        <v>1</v>
      </c>
      <c r="CO68" s="149">
        <f t="shared" si="100"/>
        <v>1</v>
      </c>
      <c r="CP68" s="149">
        <f t="shared" si="101"/>
        <v>1</v>
      </c>
      <c r="CQ68" s="149">
        <f t="shared" si="102"/>
        <v>1</v>
      </c>
      <c r="CR68" s="149">
        <f t="shared" si="103"/>
        <v>1</v>
      </c>
      <c r="CS68" s="149">
        <f t="shared" si="104"/>
        <v>1</v>
      </c>
      <c r="CT68" s="149">
        <f t="shared" si="105"/>
        <v>1</v>
      </c>
      <c r="CU68" s="149">
        <f t="shared" si="106"/>
        <v>1</v>
      </c>
      <c r="CV68" s="149">
        <f t="shared" si="107"/>
        <v>1</v>
      </c>
      <c r="CW68" s="149">
        <f t="shared" si="108"/>
        <v>1</v>
      </c>
      <c r="CX68" s="149">
        <f t="shared" si="109"/>
        <v>1</v>
      </c>
      <c r="CY68" s="149">
        <f t="shared" si="110"/>
        <v>1</v>
      </c>
      <c r="CZ68" s="149">
        <f t="shared" si="111"/>
        <v>1</v>
      </c>
      <c r="DA68" s="149">
        <f t="shared" si="112"/>
        <v>1</v>
      </c>
      <c r="DB68" s="149">
        <f t="shared" si="113"/>
        <v>1</v>
      </c>
      <c r="DG68" s="125">
        <f t="shared" si="126"/>
        <v>1</v>
      </c>
      <c r="DH68" s="125">
        <f t="shared" si="129"/>
        <v>2</v>
      </c>
      <c r="DI68" s="125">
        <f t="shared" si="129"/>
        <v>3</v>
      </c>
      <c r="DJ68" s="125">
        <f t="shared" si="129"/>
        <v>4</v>
      </c>
      <c r="DK68" s="125">
        <f t="shared" si="129"/>
        <v>5</v>
      </c>
      <c r="DL68" s="125">
        <f t="shared" si="129"/>
        <v>6</v>
      </c>
      <c r="DM68" s="125">
        <f t="shared" si="129"/>
        <v>7</v>
      </c>
      <c r="DN68" s="125">
        <f t="shared" si="129"/>
        <v>8</v>
      </c>
      <c r="DO68" s="125">
        <f t="shared" si="129"/>
        <v>9</v>
      </c>
      <c r="DP68" s="125">
        <f t="shared" si="129"/>
        <v>10</v>
      </c>
      <c r="DS68" s="137"/>
      <c r="DT68" s="137"/>
      <c r="DU68" s="137"/>
      <c r="DV68" s="137" t="b">
        <f t="shared" si="115"/>
        <v>0</v>
      </c>
      <c r="DW68" s="137" t="b">
        <f t="shared" si="116"/>
        <v>0</v>
      </c>
      <c r="DX68" s="137" t="b">
        <f t="shared" si="117"/>
        <v>1</v>
      </c>
      <c r="EB68" s="131">
        <f t="shared" si="127"/>
        <v>1</v>
      </c>
      <c r="EC68" s="137" t="b">
        <f t="shared" si="118"/>
        <v>0</v>
      </c>
      <c r="ED68" s="137" t="b">
        <f t="shared" si="119"/>
        <v>0</v>
      </c>
      <c r="EE68" s="137" t="b">
        <f t="shared" si="120"/>
        <v>1</v>
      </c>
      <c r="EF68" s="137"/>
      <c r="EG68" s="137"/>
      <c r="EH68" s="137"/>
      <c r="EI68" s="137"/>
      <c r="EJ68" s="137">
        <f t="shared" si="128"/>
        <v>1</v>
      </c>
      <c r="EK68" s="125">
        <f t="shared" si="121"/>
        <v>0</v>
      </c>
      <c r="EL68" s="125">
        <f t="shared" si="122"/>
        <v>0</v>
      </c>
    </row>
    <row r="69" spans="2:142" ht="15.75" x14ac:dyDescent="0.2">
      <c r="B69" s="160">
        <f t="shared" si="123"/>
        <v>39</v>
      </c>
      <c r="C69" s="205">
        <v>1001346567</v>
      </c>
      <c r="D69" s="205">
        <v>1001271762</v>
      </c>
      <c r="E69" s="205">
        <v>40000192</v>
      </c>
      <c r="F69" s="118">
        <f>IF(OR(J69="",H69=""),"",VLOOKUP(J69,'הזנה לסיווג רשויות'!$B$2:$D$301,2,0))</f>
        <v>20000201</v>
      </c>
      <c r="G69" s="118" t="str">
        <f>IF(OR(J69="",H69=""),"",VLOOKUP(J69,'הזנה לסיווג רשויות'!$B$2:$D$301,3,0))</f>
        <v>תל אביב -יפו</v>
      </c>
      <c r="H69" s="201" t="s">
        <v>566</v>
      </c>
      <c r="I69" s="201" t="s">
        <v>373</v>
      </c>
      <c r="J69" s="205">
        <v>5000</v>
      </c>
      <c r="K69" s="161">
        <v>0</v>
      </c>
      <c r="L69" s="161">
        <v>1</v>
      </c>
      <c r="M69" s="161">
        <v>0</v>
      </c>
      <c r="N69" s="161">
        <v>1</v>
      </c>
      <c r="O69" s="161">
        <v>1</v>
      </c>
      <c r="P69" s="161">
        <v>1</v>
      </c>
      <c r="Q69" s="161">
        <v>1</v>
      </c>
      <c r="R69" s="201">
        <v>3101646</v>
      </c>
      <c r="S69" s="201">
        <v>2109914</v>
      </c>
      <c r="T69" s="160">
        <f>IF(G69="","",IFERROR(IF(S69/R69&gt;'פרמטרים לקריטריונים'!$C$20,1,0),0))</f>
        <v>1</v>
      </c>
      <c r="U69" s="201">
        <v>1552580</v>
      </c>
      <c r="V69" s="160">
        <f>IF(G69="","",IFERROR(IF(U69/R69&gt;'פרמטרים לקריטריונים'!$C$21,1,IF(AND(I69=$BW$5,U69/R69&gt;'פרמטרים לקריטריונים'!$C$22),1,0)),0))</f>
        <v>1</v>
      </c>
      <c r="W69" s="161">
        <v>1</v>
      </c>
      <c r="X69" s="161">
        <v>1</v>
      </c>
      <c r="Y69" s="201">
        <v>700000</v>
      </c>
      <c r="Z69" s="201">
        <v>600000</v>
      </c>
      <c r="AA69" s="161">
        <f t="shared" si="124"/>
        <v>1</v>
      </c>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0"/>
      <c r="AX69" s="161"/>
      <c r="AY69" s="161"/>
      <c r="AZ69" s="161"/>
      <c r="BA69" s="161"/>
      <c r="BB69" s="161"/>
      <c r="BC69" s="161"/>
      <c r="BD69" s="161"/>
      <c r="BE69" s="161"/>
      <c r="BF69" s="160" t="str">
        <f t="shared" si="125"/>
        <v/>
      </c>
      <c r="BG69" s="160"/>
      <c r="BH69" s="160"/>
      <c r="BI69" s="160"/>
      <c r="BJ69" s="160"/>
      <c r="BK69" s="160"/>
      <c r="BL69" s="162">
        <f t="shared" si="75"/>
        <v>1</v>
      </c>
      <c r="BM69" s="257"/>
      <c r="BN69" s="163"/>
      <c r="BO69" s="211" t="str">
        <f t="shared" si="76"/>
        <v>תיאטרון יפותיאטרון</v>
      </c>
      <c r="BP69" s="125">
        <f t="shared" si="77"/>
        <v>1</v>
      </c>
      <c r="BQ69" s="164">
        <v>0</v>
      </c>
      <c r="BR69" s="164">
        <v>1</v>
      </c>
      <c r="BS69" s="149">
        <f t="shared" si="78"/>
        <v>1</v>
      </c>
      <c r="BT69" s="149">
        <f t="shared" si="79"/>
        <v>1</v>
      </c>
      <c r="BU69" s="149">
        <f t="shared" si="80"/>
        <v>1</v>
      </c>
      <c r="BV69" s="149">
        <f t="shared" si="81"/>
        <v>1</v>
      </c>
      <c r="BW69" s="149">
        <f t="shared" si="82"/>
        <v>1</v>
      </c>
      <c r="BX69" s="149">
        <f t="shared" si="83"/>
        <v>1</v>
      </c>
      <c r="BY69" s="149">
        <f t="shared" si="84"/>
        <v>1</v>
      </c>
      <c r="BZ69" s="149">
        <f t="shared" si="85"/>
        <v>1</v>
      </c>
      <c r="CA69" s="149">
        <f t="shared" si="86"/>
        <v>1</v>
      </c>
      <c r="CB69" s="149">
        <f t="shared" si="87"/>
        <v>1</v>
      </c>
      <c r="CC69" s="149">
        <f t="shared" si="88"/>
        <v>1</v>
      </c>
      <c r="CD69" s="149">
        <f t="shared" si="89"/>
        <v>1</v>
      </c>
      <c r="CE69" s="149">
        <f t="shared" si="90"/>
        <v>1</v>
      </c>
      <c r="CF69" s="149">
        <f t="shared" si="91"/>
        <v>1</v>
      </c>
      <c r="CG69" s="149">
        <f t="shared" si="92"/>
        <v>1</v>
      </c>
      <c r="CH69" s="149">
        <f t="shared" si="93"/>
        <v>1</v>
      </c>
      <c r="CI69" s="149">
        <f t="shared" si="94"/>
        <v>1</v>
      </c>
      <c r="CJ69" s="149">
        <f t="shared" si="95"/>
        <v>1</v>
      </c>
      <c r="CK69" s="149">
        <f t="shared" si="96"/>
        <v>1</v>
      </c>
      <c r="CL69" s="149">
        <f t="shared" si="97"/>
        <v>1</v>
      </c>
      <c r="CM69" s="149">
        <f t="shared" si="98"/>
        <v>1</v>
      </c>
      <c r="CN69" s="149">
        <f t="shared" si="99"/>
        <v>1</v>
      </c>
      <c r="CO69" s="149">
        <f t="shared" si="100"/>
        <v>1</v>
      </c>
      <c r="CP69" s="149">
        <f t="shared" si="101"/>
        <v>1</v>
      </c>
      <c r="CQ69" s="149">
        <f t="shared" si="102"/>
        <v>1</v>
      </c>
      <c r="CR69" s="149">
        <f t="shared" si="103"/>
        <v>1</v>
      </c>
      <c r="CS69" s="149">
        <f t="shared" si="104"/>
        <v>1</v>
      </c>
      <c r="CT69" s="149">
        <f t="shared" si="105"/>
        <v>1</v>
      </c>
      <c r="CU69" s="149">
        <f t="shared" si="106"/>
        <v>1</v>
      </c>
      <c r="CV69" s="149">
        <f t="shared" si="107"/>
        <v>1</v>
      </c>
      <c r="CW69" s="149">
        <f t="shared" si="108"/>
        <v>1</v>
      </c>
      <c r="CX69" s="149">
        <f t="shared" si="109"/>
        <v>1</v>
      </c>
      <c r="CY69" s="149">
        <f t="shared" si="110"/>
        <v>1</v>
      </c>
      <c r="CZ69" s="149">
        <f t="shared" si="111"/>
        <v>1</v>
      </c>
      <c r="DA69" s="149">
        <f t="shared" si="112"/>
        <v>1</v>
      </c>
      <c r="DB69" s="149">
        <f t="shared" si="113"/>
        <v>1</v>
      </c>
      <c r="DG69" s="125">
        <f t="shared" si="126"/>
        <v>1</v>
      </c>
      <c r="DH69" s="125">
        <f t="shared" si="129"/>
        <v>2</v>
      </c>
      <c r="DI69" s="125">
        <f t="shared" si="129"/>
        <v>3</v>
      </c>
      <c r="DJ69" s="125">
        <f t="shared" si="129"/>
        <v>4</v>
      </c>
      <c r="DK69" s="125">
        <f t="shared" si="129"/>
        <v>5</v>
      </c>
      <c r="DL69" s="125">
        <f t="shared" si="129"/>
        <v>6</v>
      </c>
      <c r="DM69" s="125">
        <f t="shared" si="129"/>
        <v>7</v>
      </c>
      <c r="DN69" s="125">
        <f t="shared" si="129"/>
        <v>8</v>
      </c>
      <c r="DO69" s="125">
        <f t="shared" si="129"/>
        <v>9</v>
      </c>
      <c r="DP69" s="125">
        <f t="shared" si="129"/>
        <v>10</v>
      </c>
      <c r="DS69" s="137"/>
      <c r="DT69" s="137"/>
      <c r="DU69" s="137"/>
      <c r="DV69" s="137" t="b">
        <f t="shared" si="115"/>
        <v>0</v>
      </c>
      <c r="DW69" s="137" t="b">
        <f t="shared" si="116"/>
        <v>0</v>
      </c>
      <c r="DX69" s="137" t="b">
        <f t="shared" si="117"/>
        <v>1</v>
      </c>
      <c r="EB69" s="131">
        <f t="shared" si="127"/>
        <v>1</v>
      </c>
      <c r="EC69" s="137" t="b">
        <f t="shared" si="118"/>
        <v>0</v>
      </c>
      <c r="ED69" s="137" t="b">
        <f t="shared" si="119"/>
        <v>0</v>
      </c>
      <c r="EE69" s="137" t="b">
        <f t="shared" si="120"/>
        <v>1</v>
      </c>
      <c r="EF69" s="137"/>
      <c r="EG69" s="137"/>
      <c r="EH69" s="137"/>
      <c r="EI69" s="137"/>
      <c r="EJ69" s="137">
        <f t="shared" si="128"/>
        <v>1</v>
      </c>
      <c r="EK69" s="125">
        <f t="shared" si="121"/>
        <v>0</v>
      </c>
      <c r="EL69" s="125">
        <f t="shared" si="122"/>
        <v>0</v>
      </c>
    </row>
    <row r="70" spans="2:142" ht="15.75" x14ac:dyDescent="0.2">
      <c r="B70" s="160">
        <f t="shared" si="123"/>
        <v>40</v>
      </c>
      <c r="C70" s="205">
        <v>1001346993</v>
      </c>
      <c r="D70" s="205">
        <v>1001277357</v>
      </c>
      <c r="E70" s="205">
        <v>40000192</v>
      </c>
      <c r="F70" s="118">
        <f>IF(OR(J70="",H70=""),"",VLOOKUP(J70,'הזנה לסיווג רשויות'!$B$2:$D$301,2,0))</f>
        <v>20000201</v>
      </c>
      <c r="G70" s="118" t="str">
        <f>IF(OR(J70="",H70=""),"",VLOOKUP(J70,'הזנה לסיווג רשויות'!$B$2:$D$301,3,0))</f>
        <v>תל אביב -יפו</v>
      </c>
      <c r="H70" s="201" t="s">
        <v>566</v>
      </c>
      <c r="I70" s="201" t="s">
        <v>381</v>
      </c>
      <c r="J70" s="205">
        <v>5000</v>
      </c>
      <c r="K70" s="161">
        <v>0</v>
      </c>
      <c r="L70" s="161">
        <v>1</v>
      </c>
      <c r="M70" s="161">
        <v>0</v>
      </c>
      <c r="N70" s="161">
        <v>1</v>
      </c>
      <c r="O70" s="161">
        <v>1</v>
      </c>
      <c r="P70" s="161">
        <v>1</v>
      </c>
      <c r="Q70" s="161">
        <v>1</v>
      </c>
      <c r="R70" s="201">
        <v>112268</v>
      </c>
      <c r="S70" s="201">
        <v>30920</v>
      </c>
      <c r="T70" s="160">
        <f>IF(G70="","",IFERROR(IF(S70/R70&gt;'פרמטרים לקריטריונים'!$C$20,1,0),0))</f>
        <v>1</v>
      </c>
      <c r="U70" s="201">
        <v>30920</v>
      </c>
      <c r="V70" s="160">
        <f>IF(G70="","",IFERROR(IF(U70/R70&gt;'פרמטרים לקריטריונים'!$C$21,1,IF(AND(I70=$BW$5,U70/R70&gt;'פרמטרים לקריטריונים'!$C$22),1,0)),0))</f>
        <v>1</v>
      </c>
      <c r="W70" s="161">
        <v>1</v>
      </c>
      <c r="X70" s="161">
        <v>1</v>
      </c>
      <c r="Y70" s="201">
        <v>70000</v>
      </c>
      <c r="Z70" s="201">
        <v>70000</v>
      </c>
      <c r="AA70" s="161">
        <f t="shared" si="124"/>
        <v>1</v>
      </c>
      <c r="AB70" s="161"/>
      <c r="AC70" s="161"/>
      <c r="AD70" s="161"/>
      <c r="AE70" s="161"/>
      <c r="AF70" s="161"/>
      <c r="AG70" s="161"/>
      <c r="AH70" s="161"/>
      <c r="AI70" s="161"/>
      <c r="AJ70" s="161"/>
      <c r="AK70" s="161"/>
      <c r="AL70" s="161"/>
      <c r="AM70" s="161"/>
      <c r="AN70" s="161"/>
      <c r="AO70" s="161"/>
      <c r="AP70" s="161"/>
      <c r="AQ70" s="161"/>
      <c r="AR70" s="161"/>
      <c r="AS70" s="161"/>
      <c r="AT70" s="161"/>
      <c r="AU70" s="161"/>
      <c r="AV70" s="161"/>
      <c r="AW70" s="160"/>
      <c r="AX70" s="161"/>
      <c r="AY70" s="161"/>
      <c r="AZ70" s="161"/>
      <c r="BA70" s="161"/>
      <c r="BB70" s="161"/>
      <c r="BC70" s="161"/>
      <c r="BD70" s="161"/>
      <c r="BE70" s="161"/>
      <c r="BF70" s="160" t="str">
        <f t="shared" si="125"/>
        <v/>
      </c>
      <c r="BG70" s="160"/>
      <c r="BH70" s="160"/>
      <c r="BI70" s="160"/>
      <c r="BJ70" s="160"/>
      <c r="BK70" s="160"/>
      <c r="BL70" s="162">
        <f t="shared" si="75"/>
        <v>1</v>
      </c>
      <c r="BM70" s="257"/>
      <c r="BN70" s="163"/>
      <c r="BO70" s="211" t="str">
        <f t="shared" si="76"/>
        <v>תיאטרון יפוסינמטקים ופסטיבלים</v>
      </c>
      <c r="BP70" s="125">
        <f t="shared" si="77"/>
        <v>1</v>
      </c>
      <c r="BQ70" s="164">
        <v>0</v>
      </c>
      <c r="BR70" s="164">
        <v>1</v>
      </c>
      <c r="BS70" s="149">
        <f t="shared" si="78"/>
        <v>1</v>
      </c>
      <c r="BT70" s="149">
        <f t="shared" si="79"/>
        <v>1</v>
      </c>
      <c r="BU70" s="149">
        <f t="shared" si="80"/>
        <v>1</v>
      </c>
      <c r="BV70" s="149">
        <f t="shared" si="81"/>
        <v>1</v>
      </c>
      <c r="BW70" s="149">
        <f t="shared" si="82"/>
        <v>1</v>
      </c>
      <c r="BX70" s="149">
        <f t="shared" si="83"/>
        <v>1</v>
      </c>
      <c r="BY70" s="149">
        <f t="shared" si="84"/>
        <v>1</v>
      </c>
      <c r="BZ70" s="149">
        <f t="shared" si="85"/>
        <v>1</v>
      </c>
      <c r="CA70" s="149">
        <f t="shared" si="86"/>
        <v>1</v>
      </c>
      <c r="CB70" s="149">
        <f t="shared" si="87"/>
        <v>1</v>
      </c>
      <c r="CC70" s="149">
        <f t="shared" si="88"/>
        <v>1</v>
      </c>
      <c r="CD70" s="149">
        <f t="shared" si="89"/>
        <v>1</v>
      </c>
      <c r="CE70" s="149">
        <f t="shared" si="90"/>
        <v>1</v>
      </c>
      <c r="CF70" s="149">
        <f t="shared" si="91"/>
        <v>1</v>
      </c>
      <c r="CG70" s="149">
        <f t="shared" si="92"/>
        <v>1</v>
      </c>
      <c r="CH70" s="149">
        <f t="shared" si="93"/>
        <v>1</v>
      </c>
      <c r="CI70" s="149">
        <f t="shared" si="94"/>
        <v>1</v>
      </c>
      <c r="CJ70" s="149">
        <f t="shared" si="95"/>
        <v>1</v>
      </c>
      <c r="CK70" s="149">
        <f t="shared" si="96"/>
        <v>1</v>
      </c>
      <c r="CL70" s="149">
        <f t="shared" si="97"/>
        <v>1</v>
      </c>
      <c r="CM70" s="149">
        <f t="shared" si="98"/>
        <v>1</v>
      </c>
      <c r="CN70" s="149">
        <f t="shared" si="99"/>
        <v>1</v>
      </c>
      <c r="CO70" s="149">
        <f t="shared" si="100"/>
        <v>1</v>
      </c>
      <c r="CP70" s="149">
        <f t="shared" si="101"/>
        <v>1</v>
      </c>
      <c r="CQ70" s="149">
        <f t="shared" si="102"/>
        <v>1</v>
      </c>
      <c r="CR70" s="149">
        <f t="shared" si="103"/>
        <v>1</v>
      </c>
      <c r="CS70" s="149">
        <f t="shared" si="104"/>
        <v>1</v>
      </c>
      <c r="CT70" s="149">
        <f t="shared" si="105"/>
        <v>1</v>
      </c>
      <c r="CU70" s="149">
        <f t="shared" si="106"/>
        <v>1</v>
      </c>
      <c r="CV70" s="149">
        <f t="shared" si="107"/>
        <v>1</v>
      </c>
      <c r="CW70" s="149">
        <f t="shared" si="108"/>
        <v>1</v>
      </c>
      <c r="CX70" s="149">
        <f t="shared" si="109"/>
        <v>1</v>
      </c>
      <c r="CY70" s="149">
        <f t="shared" si="110"/>
        <v>1</v>
      </c>
      <c r="CZ70" s="149">
        <f t="shared" si="111"/>
        <v>1</v>
      </c>
      <c r="DA70" s="149">
        <f t="shared" si="112"/>
        <v>1</v>
      </c>
      <c r="DB70" s="149">
        <f t="shared" si="113"/>
        <v>1</v>
      </c>
      <c r="DG70" s="125">
        <f t="shared" si="126"/>
        <v>1</v>
      </c>
      <c r="DH70" s="125">
        <f t="shared" si="129"/>
        <v>2</v>
      </c>
      <c r="DI70" s="125">
        <f t="shared" si="129"/>
        <v>3</v>
      </c>
      <c r="DJ70" s="125">
        <f t="shared" si="129"/>
        <v>4</v>
      </c>
      <c r="DK70" s="125">
        <f t="shared" si="129"/>
        <v>5</v>
      </c>
      <c r="DL70" s="125">
        <f t="shared" si="129"/>
        <v>6</v>
      </c>
      <c r="DM70" s="125">
        <f t="shared" si="129"/>
        <v>7</v>
      </c>
      <c r="DN70" s="125">
        <f t="shared" si="129"/>
        <v>8</v>
      </c>
      <c r="DO70" s="125">
        <f t="shared" si="129"/>
        <v>9</v>
      </c>
      <c r="DP70" s="125">
        <f t="shared" si="129"/>
        <v>10</v>
      </c>
      <c r="DS70" s="137"/>
      <c r="DT70" s="137"/>
      <c r="DU70" s="137"/>
      <c r="DV70" s="137" t="b">
        <f t="shared" si="115"/>
        <v>0</v>
      </c>
      <c r="DW70" s="137" t="b">
        <f t="shared" si="116"/>
        <v>0</v>
      </c>
      <c r="DX70" s="137" t="b">
        <f t="shared" si="117"/>
        <v>1</v>
      </c>
      <c r="EB70" s="131">
        <f t="shared" si="127"/>
        <v>1</v>
      </c>
      <c r="EC70" s="137" t="b">
        <f t="shared" si="118"/>
        <v>0</v>
      </c>
      <c r="ED70" s="137" t="b">
        <f t="shared" si="119"/>
        <v>0</v>
      </c>
      <c r="EE70" s="137" t="b">
        <f t="shared" si="120"/>
        <v>1</v>
      </c>
      <c r="EF70" s="137"/>
      <c r="EG70" s="137"/>
      <c r="EH70" s="137"/>
      <c r="EI70" s="137"/>
      <c r="EJ70" s="137">
        <f t="shared" si="128"/>
        <v>1</v>
      </c>
      <c r="EK70" s="125">
        <f t="shared" si="121"/>
        <v>0</v>
      </c>
      <c r="EL70" s="125">
        <f t="shared" si="122"/>
        <v>0</v>
      </c>
    </row>
    <row r="71" spans="2:142" ht="15.75" x14ac:dyDescent="0.25">
      <c r="B71" s="160">
        <f t="shared" si="123"/>
        <v>41</v>
      </c>
      <c r="C71" s="205">
        <v>1001349157</v>
      </c>
      <c r="D71" s="205">
        <v>1001273336</v>
      </c>
      <c r="E71" s="205">
        <v>40000050</v>
      </c>
      <c r="F71" s="118">
        <f>IF(OR(J71="",H71=""),"",VLOOKUP(J71,'הזנה לסיווג רשויות'!$B$2:$D$301,2,0))</f>
        <v>20000250</v>
      </c>
      <c r="G71" s="118" t="str">
        <f>IF(OR(J71="",H71=""),"",VLOOKUP(J71,'הזנה לסיווג רשויות'!$B$2:$D$301,3,0))</f>
        <v>רמת גן</v>
      </c>
      <c r="H71" s="281" t="s">
        <v>567</v>
      </c>
      <c r="I71" s="201" t="s">
        <v>375</v>
      </c>
      <c r="J71" s="205">
        <v>8600</v>
      </c>
      <c r="K71" s="161">
        <v>0</v>
      </c>
      <c r="L71" s="161">
        <v>1</v>
      </c>
      <c r="M71" s="161">
        <v>0</v>
      </c>
      <c r="N71" s="161">
        <v>0</v>
      </c>
      <c r="O71" s="161">
        <v>1</v>
      </c>
      <c r="P71" s="161">
        <v>1</v>
      </c>
      <c r="Q71" s="161">
        <v>1</v>
      </c>
      <c r="R71" s="201">
        <v>1373304</v>
      </c>
      <c r="S71" s="201">
        <v>398688</v>
      </c>
      <c r="T71" s="160">
        <f>IF(G71="","",IFERROR(IF(S71/R71&gt;'פרמטרים לקריטריונים'!$C$20,1,0),0))</f>
        <v>1</v>
      </c>
      <c r="U71" s="201">
        <v>246143</v>
      </c>
      <c r="V71" s="160">
        <f>IF(G71="","",IFERROR(IF(U71/R71&gt;'פרמטרים לקריטריונים'!$C$21,1,IF(AND(I71=$BW$5,U71/R71&gt;'פרמטרים לקריטריונים'!$C$22),1,0)),0))</f>
        <v>1</v>
      </c>
      <c r="W71" s="161">
        <v>1</v>
      </c>
      <c r="X71" s="161">
        <v>1</v>
      </c>
      <c r="Y71" s="201">
        <v>141583</v>
      </c>
      <c r="Z71" s="201">
        <v>141583</v>
      </c>
      <c r="AA71" s="161">
        <f t="shared" si="124"/>
        <v>1</v>
      </c>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0"/>
      <c r="AX71" s="161"/>
      <c r="AY71" s="161"/>
      <c r="AZ71" s="161"/>
      <c r="BA71" s="161"/>
      <c r="BB71" s="161"/>
      <c r="BC71" s="161"/>
      <c r="BD71" s="161"/>
      <c r="BE71" s="161"/>
      <c r="BF71" s="160" t="str">
        <f t="shared" si="125"/>
        <v/>
      </c>
      <c r="BG71" s="160"/>
      <c r="BH71" s="160"/>
      <c r="BI71" s="160"/>
      <c r="BJ71" s="160"/>
      <c r="BK71" s="160"/>
      <c r="BL71" s="162">
        <f t="shared" si="75"/>
        <v>1</v>
      </c>
      <c r="BM71" s="257"/>
      <c r="BN71" s="163"/>
      <c r="BO71" s="211" t="str">
        <f t="shared" si="76"/>
        <v>אגודת שוחרי מוזאון האדם והחימוזיאונים</v>
      </c>
      <c r="BP71" s="125">
        <f t="shared" si="77"/>
        <v>1</v>
      </c>
      <c r="BQ71" s="164">
        <v>0</v>
      </c>
      <c r="BR71" s="164">
        <v>1</v>
      </c>
      <c r="BS71" s="149">
        <f t="shared" si="78"/>
        <v>1</v>
      </c>
      <c r="BT71" s="149">
        <f t="shared" si="79"/>
        <v>1</v>
      </c>
      <c r="BU71" s="149">
        <f t="shared" si="80"/>
        <v>1</v>
      </c>
      <c r="BV71" s="149">
        <f t="shared" si="81"/>
        <v>1</v>
      </c>
      <c r="BW71" s="149">
        <f t="shared" si="82"/>
        <v>1</v>
      </c>
      <c r="BX71" s="149">
        <f t="shared" si="83"/>
        <v>1</v>
      </c>
      <c r="BY71" s="149">
        <f t="shared" si="84"/>
        <v>1</v>
      </c>
      <c r="BZ71" s="149">
        <f t="shared" si="85"/>
        <v>1</v>
      </c>
      <c r="CA71" s="149">
        <f t="shared" si="86"/>
        <v>1</v>
      </c>
      <c r="CB71" s="149">
        <f t="shared" si="87"/>
        <v>1</v>
      </c>
      <c r="CC71" s="149">
        <f t="shared" si="88"/>
        <v>1</v>
      </c>
      <c r="CD71" s="149">
        <f t="shared" si="89"/>
        <v>1</v>
      </c>
      <c r="CE71" s="149">
        <f t="shared" si="90"/>
        <v>1</v>
      </c>
      <c r="CF71" s="149">
        <f t="shared" si="91"/>
        <v>1</v>
      </c>
      <c r="CG71" s="149">
        <f t="shared" si="92"/>
        <v>1</v>
      </c>
      <c r="CH71" s="149">
        <f t="shared" si="93"/>
        <v>1</v>
      </c>
      <c r="CI71" s="149">
        <f t="shared" si="94"/>
        <v>1</v>
      </c>
      <c r="CJ71" s="149">
        <f t="shared" si="95"/>
        <v>1</v>
      </c>
      <c r="CK71" s="149">
        <f t="shared" si="96"/>
        <v>1</v>
      </c>
      <c r="CL71" s="149">
        <f t="shared" si="97"/>
        <v>1</v>
      </c>
      <c r="CM71" s="149">
        <f t="shared" si="98"/>
        <v>1</v>
      </c>
      <c r="CN71" s="149">
        <f t="shared" si="99"/>
        <v>1</v>
      </c>
      <c r="CO71" s="149">
        <f t="shared" si="100"/>
        <v>1</v>
      </c>
      <c r="CP71" s="149">
        <f t="shared" si="101"/>
        <v>1</v>
      </c>
      <c r="CQ71" s="149">
        <f t="shared" si="102"/>
        <v>1</v>
      </c>
      <c r="CR71" s="149">
        <f t="shared" si="103"/>
        <v>1</v>
      </c>
      <c r="CS71" s="149">
        <f t="shared" si="104"/>
        <v>1</v>
      </c>
      <c r="CT71" s="149">
        <f t="shared" si="105"/>
        <v>1</v>
      </c>
      <c r="CU71" s="149">
        <f t="shared" si="106"/>
        <v>1</v>
      </c>
      <c r="CV71" s="149">
        <f t="shared" si="107"/>
        <v>1</v>
      </c>
      <c r="CW71" s="149">
        <f t="shared" si="108"/>
        <v>1</v>
      </c>
      <c r="CX71" s="149">
        <f t="shared" si="109"/>
        <v>1</v>
      </c>
      <c r="CY71" s="149">
        <f t="shared" si="110"/>
        <v>1</v>
      </c>
      <c r="CZ71" s="149">
        <f t="shared" si="111"/>
        <v>1</v>
      </c>
      <c r="DA71" s="149">
        <f t="shared" si="112"/>
        <v>1</v>
      </c>
      <c r="DB71" s="149">
        <f t="shared" si="113"/>
        <v>1</v>
      </c>
      <c r="DG71" s="125">
        <f t="shared" si="126"/>
        <v>1</v>
      </c>
      <c r="DH71" s="125">
        <f t="shared" si="129"/>
        <v>2</v>
      </c>
      <c r="DI71" s="125">
        <f t="shared" si="129"/>
        <v>3</v>
      </c>
      <c r="DJ71" s="125">
        <f t="shared" si="129"/>
        <v>4</v>
      </c>
      <c r="DK71" s="125">
        <f t="shared" si="129"/>
        <v>5</v>
      </c>
      <c r="DL71" s="125">
        <f t="shared" si="129"/>
        <v>6</v>
      </c>
      <c r="DM71" s="125">
        <f t="shared" si="129"/>
        <v>7</v>
      </c>
      <c r="DN71" s="125">
        <f t="shared" si="129"/>
        <v>8</v>
      </c>
      <c r="DO71" s="125">
        <f t="shared" si="129"/>
        <v>9</v>
      </c>
      <c r="DP71" s="125">
        <f t="shared" si="129"/>
        <v>10</v>
      </c>
      <c r="DS71" s="137"/>
      <c r="DT71" s="137"/>
      <c r="DU71" s="137"/>
      <c r="DV71" s="137" t="b">
        <f t="shared" si="115"/>
        <v>0</v>
      </c>
      <c r="DW71" s="137" t="b">
        <f t="shared" si="116"/>
        <v>0</v>
      </c>
      <c r="DX71" s="137" t="b">
        <f t="shared" si="117"/>
        <v>1</v>
      </c>
      <c r="EB71" s="131">
        <f t="shared" si="127"/>
        <v>1</v>
      </c>
      <c r="EC71" s="137" t="b">
        <f t="shared" si="118"/>
        <v>0</v>
      </c>
      <c r="ED71" s="137" t="b">
        <f t="shared" si="119"/>
        <v>0</v>
      </c>
      <c r="EE71" s="137" t="b">
        <f t="shared" si="120"/>
        <v>1</v>
      </c>
      <c r="EF71" s="137"/>
      <c r="EG71" s="137"/>
      <c r="EH71" s="137"/>
      <c r="EI71" s="137"/>
      <c r="EJ71" s="137">
        <f t="shared" si="128"/>
        <v>1</v>
      </c>
      <c r="EK71" s="125">
        <f t="shared" si="121"/>
        <v>0</v>
      </c>
      <c r="EL71" s="125">
        <f t="shared" si="122"/>
        <v>0</v>
      </c>
    </row>
    <row r="72" spans="2:142" ht="15.75" x14ac:dyDescent="0.2">
      <c r="B72" s="160">
        <f t="shared" si="123"/>
        <v>42</v>
      </c>
      <c r="C72" s="205">
        <v>1001347603</v>
      </c>
      <c r="D72" s="205">
        <v>1001274726</v>
      </c>
      <c r="E72" s="205">
        <v>40000220</v>
      </c>
      <c r="F72" s="118">
        <f>IF(OR(J72="",H72=""),"",VLOOKUP(J72,'הזנה לסיווג רשויות'!$B$2:$D$301,2,0))</f>
        <v>20000136</v>
      </c>
      <c r="G72" s="118" t="str">
        <f>IF(OR(J72="",H72=""),"",VLOOKUP(J72,'הזנה לסיווג רשויות'!$B$2:$D$301,3,0))</f>
        <v>עמק יזרעאל</v>
      </c>
      <c r="H72" s="201" t="s">
        <v>568</v>
      </c>
      <c r="I72" s="201" t="s">
        <v>375</v>
      </c>
      <c r="J72" s="205">
        <v>9</v>
      </c>
      <c r="K72" s="161">
        <v>0</v>
      </c>
      <c r="L72" s="161">
        <v>1</v>
      </c>
      <c r="M72" s="161">
        <v>0</v>
      </c>
      <c r="N72" s="161">
        <v>1</v>
      </c>
      <c r="O72" s="161">
        <v>1</v>
      </c>
      <c r="P72" s="161">
        <v>1</v>
      </c>
      <c r="Q72" s="161">
        <v>1</v>
      </c>
      <c r="R72" s="201">
        <v>834687</v>
      </c>
      <c r="S72" s="201">
        <v>462235</v>
      </c>
      <c r="T72" s="160">
        <f>IF(G72="","",IFERROR(IF(S72/R72&gt;'פרמטרים לקריטריונים'!$C$20,1,0),0))</f>
        <v>1</v>
      </c>
      <c r="U72" s="201">
        <v>161147</v>
      </c>
      <c r="V72" s="160">
        <f>IF(G72="","",IFERROR(IF(U72/R72&gt;'פרמטרים לקריטריונים'!$C$21,1,IF(AND(I72=$BW$5,U72/R72&gt;'פרמטרים לקריטריונים'!$C$22),1,0)),0))</f>
        <v>1</v>
      </c>
      <c r="W72" s="161">
        <v>1</v>
      </c>
      <c r="X72" s="161">
        <v>1</v>
      </c>
      <c r="Y72" s="201">
        <v>150000</v>
      </c>
      <c r="Z72" s="201">
        <v>120000</v>
      </c>
      <c r="AA72" s="161">
        <f t="shared" si="124"/>
        <v>1</v>
      </c>
      <c r="AB72" s="161"/>
      <c r="AC72" s="161"/>
      <c r="AD72" s="161"/>
      <c r="AE72" s="161"/>
      <c r="AF72" s="161"/>
      <c r="AG72" s="161"/>
      <c r="AH72" s="161"/>
      <c r="AI72" s="161"/>
      <c r="AJ72" s="161"/>
      <c r="AK72" s="161"/>
      <c r="AL72" s="161"/>
      <c r="AM72" s="161"/>
      <c r="AN72" s="161"/>
      <c r="AO72" s="161"/>
      <c r="AP72" s="161"/>
      <c r="AQ72" s="161"/>
      <c r="AR72" s="161"/>
      <c r="AS72" s="161"/>
      <c r="AT72" s="161"/>
      <c r="AU72" s="161"/>
      <c r="AV72" s="161"/>
      <c r="AW72" s="160"/>
      <c r="AX72" s="161"/>
      <c r="AY72" s="161"/>
      <c r="AZ72" s="161"/>
      <c r="BA72" s="161"/>
      <c r="BB72" s="161"/>
      <c r="BC72" s="161"/>
      <c r="BD72" s="161"/>
      <c r="BE72" s="161"/>
      <c r="BF72" s="160" t="str">
        <f t="shared" si="125"/>
        <v/>
      </c>
      <c r="BG72" s="160"/>
      <c r="BH72" s="160"/>
      <c r="BI72" s="160"/>
      <c r="BJ72" s="160"/>
      <c r="BK72" s="160"/>
      <c r="BL72" s="162">
        <f t="shared" si="75"/>
        <v>1</v>
      </c>
      <c r="BM72" s="257"/>
      <c r="BN72" s="163"/>
      <c r="BO72" s="211" t="str">
        <f t="shared" si="76"/>
        <v>מוזיאון העמקמוזיאונים</v>
      </c>
      <c r="BP72" s="125">
        <f t="shared" si="77"/>
        <v>1</v>
      </c>
      <c r="BQ72" s="164">
        <v>0</v>
      </c>
      <c r="BR72" s="164">
        <v>1</v>
      </c>
      <c r="BS72" s="149">
        <f t="shared" si="78"/>
        <v>1</v>
      </c>
      <c r="BT72" s="149">
        <f t="shared" si="79"/>
        <v>1</v>
      </c>
      <c r="BU72" s="149">
        <f t="shared" si="80"/>
        <v>1</v>
      </c>
      <c r="BV72" s="149">
        <f t="shared" si="81"/>
        <v>1</v>
      </c>
      <c r="BW72" s="149">
        <f t="shared" si="82"/>
        <v>1</v>
      </c>
      <c r="BX72" s="149">
        <f t="shared" si="83"/>
        <v>1</v>
      </c>
      <c r="BY72" s="149">
        <f t="shared" si="84"/>
        <v>1</v>
      </c>
      <c r="BZ72" s="149">
        <f t="shared" si="85"/>
        <v>1</v>
      </c>
      <c r="CA72" s="149">
        <f t="shared" si="86"/>
        <v>1</v>
      </c>
      <c r="CB72" s="149">
        <f t="shared" si="87"/>
        <v>1</v>
      </c>
      <c r="CC72" s="149">
        <f t="shared" si="88"/>
        <v>1</v>
      </c>
      <c r="CD72" s="149">
        <f t="shared" si="89"/>
        <v>1</v>
      </c>
      <c r="CE72" s="149">
        <f t="shared" si="90"/>
        <v>1</v>
      </c>
      <c r="CF72" s="149">
        <f t="shared" si="91"/>
        <v>1</v>
      </c>
      <c r="CG72" s="149">
        <f t="shared" si="92"/>
        <v>1</v>
      </c>
      <c r="CH72" s="149">
        <f t="shared" si="93"/>
        <v>1</v>
      </c>
      <c r="CI72" s="149">
        <f t="shared" si="94"/>
        <v>1</v>
      </c>
      <c r="CJ72" s="149">
        <f t="shared" si="95"/>
        <v>1</v>
      </c>
      <c r="CK72" s="149">
        <f t="shared" si="96"/>
        <v>1</v>
      </c>
      <c r="CL72" s="149">
        <f t="shared" si="97"/>
        <v>1</v>
      </c>
      <c r="CM72" s="149">
        <f t="shared" si="98"/>
        <v>1</v>
      </c>
      <c r="CN72" s="149">
        <f t="shared" si="99"/>
        <v>1</v>
      </c>
      <c r="CO72" s="149">
        <f t="shared" si="100"/>
        <v>1</v>
      </c>
      <c r="CP72" s="149">
        <f t="shared" si="101"/>
        <v>1</v>
      </c>
      <c r="CQ72" s="149">
        <f t="shared" si="102"/>
        <v>1</v>
      </c>
      <c r="CR72" s="149">
        <f t="shared" si="103"/>
        <v>1</v>
      </c>
      <c r="CS72" s="149">
        <f t="shared" si="104"/>
        <v>1</v>
      </c>
      <c r="CT72" s="149">
        <f t="shared" si="105"/>
        <v>1</v>
      </c>
      <c r="CU72" s="149">
        <f t="shared" si="106"/>
        <v>1</v>
      </c>
      <c r="CV72" s="149">
        <f t="shared" si="107"/>
        <v>1</v>
      </c>
      <c r="CW72" s="149">
        <f t="shared" si="108"/>
        <v>1</v>
      </c>
      <c r="CX72" s="149">
        <f t="shared" si="109"/>
        <v>1</v>
      </c>
      <c r="CY72" s="149">
        <f t="shared" si="110"/>
        <v>1</v>
      </c>
      <c r="CZ72" s="149">
        <f t="shared" si="111"/>
        <v>1</v>
      </c>
      <c r="DA72" s="149">
        <f t="shared" si="112"/>
        <v>1</v>
      </c>
      <c r="DB72" s="149">
        <f t="shared" si="113"/>
        <v>1</v>
      </c>
      <c r="DG72" s="125">
        <f t="shared" si="126"/>
        <v>1</v>
      </c>
      <c r="DH72" s="125">
        <f t="shared" si="129"/>
        <v>2</v>
      </c>
      <c r="DI72" s="125">
        <f t="shared" si="129"/>
        <v>3</v>
      </c>
      <c r="DJ72" s="125">
        <f t="shared" si="129"/>
        <v>4</v>
      </c>
      <c r="DK72" s="125">
        <f t="shared" si="129"/>
        <v>5</v>
      </c>
      <c r="DL72" s="125">
        <f t="shared" si="129"/>
        <v>6</v>
      </c>
      <c r="DM72" s="125">
        <f t="shared" si="129"/>
        <v>7</v>
      </c>
      <c r="DN72" s="125">
        <f t="shared" ref="DH72:DP100" si="130">IF($G72="","",DN$30)</f>
        <v>8</v>
      </c>
      <c r="DO72" s="125">
        <f t="shared" si="130"/>
        <v>9</v>
      </c>
      <c r="DP72" s="125">
        <f t="shared" si="130"/>
        <v>10</v>
      </c>
      <c r="DS72" s="137"/>
      <c r="DT72" s="137"/>
      <c r="DU72" s="137"/>
      <c r="DV72" s="137" t="b">
        <f t="shared" si="115"/>
        <v>0</v>
      </c>
      <c r="DW72" s="137" t="b">
        <f t="shared" si="116"/>
        <v>0</v>
      </c>
      <c r="DX72" s="137" t="b">
        <f t="shared" si="117"/>
        <v>1</v>
      </c>
      <c r="EB72" s="131">
        <f t="shared" si="127"/>
        <v>1</v>
      </c>
      <c r="EC72" s="137" t="b">
        <f t="shared" si="118"/>
        <v>0</v>
      </c>
      <c r="ED72" s="137" t="b">
        <f t="shared" si="119"/>
        <v>0</v>
      </c>
      <c r="EE72" s="137" t="b">
        <f t="shared" si="120"/>
        <v>1</v>
      </c>
      <c r="EF72" s="137"/>
      <c r="EG72" s="137"/>
      <c r="EH72" s="137"/>
      <c r="EI72" s="137"/>
      <c r="EJ72" s="137">
        <f t="shared" si="128"/>
        <v>1</v>
      </c>
      <c r="EK72" s="125">
        <f t="shared" si="121"/>
        <v>0</v>
      </c>
      <c r="EL72" s="125">
        <f t="shared" si="122"/>
        <v>0</v>
      </c>
    </row>
    <row r="73" spans="2:142" ht="15.75" x14ac:dyDescent="0.25">
      <c r="B73" s="160">
        <f t="shared" si="123"/>
        <v>43</v>
      </c>
      <c r="C73" s="205">
        <v>1001347012</v>
      </c>
      <c r="D73" s="205">
        <v>1010013470</v>
      </c>
      <c r="E73" s="205">
        <v>40000280</v>
      </c>
      <c r="F73" s="118">
        <f>IF(OR(J73="",H73=""),"",VLOOKUP(J73,'הזנה לסיווג רשויות'!$B$2:$D$301,2,0))</f>
        <v>20000227</v>
      </c>
      <c r="G73" s="118" t="str">
        <f>IF(OR(J73="",H73=""),"",VLOOKUP(J73,'הזנה לסיווג רשויות'!$B$2:$D$301,3,0))</f>
        <v>כפר סבא</v>
      </c>
      <c r="H73" s="281" t="s">
        <v>569</v>
      </c>
      <c r="I73" s="201" t="s">
        <v>375</v>
      </c>
      <c r="J73" s="205">
        <v>6900</v>
      </c>
      <c r="K73" s="161">
        <v>0</v>
      </c>
      <c r="L73" s="161">
        <v>1</v>
      </c>
      <c r="M73" s="161">
        <v>0</v>
      </c>
      <c r="N73" s="161">
        <v>1</v>
      </c>
      <c r="O73" s="161">
        <v>1</v>
      </c>
      <c r="P73" s="161">
        <v>1</v>
      </c>
      <c r="Q73" s="161">
        <v>1</v>
      </c>
      <c r="R73" s="201">
        <v>1624117</v>
      </c>
      <c r="S73" s="201">
        <v>760741</v>
      </c>
      <c r="T73" s="160">
        <f>IF(G73="","",IFERROR(IF(S73/R73&gt;'פרמטרים לקריטריונים'!$C$20,1,0),0))</f>
        <v>1</v>
      </c>
      <c r="U73" s="201">
        <v>735741</v>
      </c>
      <c r="V73" s="160">
        <f>IF(G73="","",IFERROR(IF(U73/R73&gt;'פרמטרים לקריטריונים'!$C$21,1,IF(AND(I73=$BW$5,U73/R73&gt;'פרמטרים לקריטריונים'!$C$22),1,0)),0))</f>
        <v>1</v>
      </c>
      <c r="W73" s="161">
        <v>1</v>
      </c>
      <c r="X73" s="161">
        <v>1</v>
      </c>
      <c r="Y73" s="201">
        <v>210000</v>
      </c>
      <c r="Z73" s="201">
        <v>210000</v>
      </c>
      <c r="AA73" s="161">
        <f t="shared" si="124"/>
        <v>1</v>
      </c>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0"/>
      <c r="AX73" s="161"/>
      <c r="AY73" s="161"/>
      <c r="AZ73" s="161"/>
      <c r="BA73" s="161"/>
      <c r="BB73" s="161"/>
      <c r="BC73" s="161"/>
      <c r="BD73" s="161"/>
      <c r="BE73" s="161"/>
      <c r="BF73" s="160" t="str">
        <f t="shared" si="125"/>
        <v/>
      </c>
      <c r="BG73" s="160"/>
      <c r="BH73" s="160"/>
      <c r="BI73" s="160"/>
      <c r="BJ73" s="160"/>
      <c r="BK73" s="160"/>
      <c r="BL73" s="162">
        <f t="shared" si="75"/>
        <v>1</v>
      </c>
      <c r="BM73" s="257"/>
      <c r="BN73" s="163"/>
      <c r="BO73" s="211" t="str">
        <f t="shared" si="76"/>
        <v>מרכז קהילתי בכפר סבא ע"ש שושנה ופנחס ספירמוזיאונים</v>
      </c>
      <c r="BP73" s="125">
        <f t="shared" si="77"/>
        <v>1</v>
      </c>
      <c r="BQ73" s="164">
        <v>0</v>
      </c>
      <c r="BR73" s="164">
        <v>1</v>
      </c>
      <c r="BS73" s="149">
        <f t="shared" si="78"/>
        <v>1</v>
      </c>
      <c r="BT73" s="149">
        <f t="shared" si="79"/>
        <v>1</v>
      </c>
      <c r="BU73" s="149">
        <f t="shared" si="80"/>
        <v>1</v>
      </c>
      <c r="BV73" s="149">
        <f t="shared" si="81"/>
        <v>1</v>
      </c>
      <c r="BW73" s="149">
        <f t="shared" si="82"/>
        <v>1</v>
      </c>
      <c r="BX73" s="149">
        <f t="shared" si="83"/>
        <v>1</v>
      </c>
      <c r="BY73" s="149">
        <f t="shared" si="84"/>
        <v>1</v>
      </c>
      <c r="BZ73" s="149">
        <f t="shared" si="85"/>
        <v>1</v>
      </c>
      <c r="CA73" s="149">
        <f t="shared" si="86"/>
        <v>1</v>
      </c>
      <c r="CB73" s="149">
        <f t="shared" si="87"/>
        <v>1</v>
      </c>
      <c r="CC73" s="149">
        <f t="shared" si="88"/>
        <v>1</v>
      </c>
      <c r="CD73" s="149">
        <f t="shared" si="89"/>
        <v>1</v>
      </c>
      <c r="CE73" s="149">
        <f t="shared" si="90"/>
        <v>1</v>
      </c>
      <c r="CF73" s="149">
        <f t="shared" si="91"/>
        <v>1</v>
      </c>
      <c r="CG73" s="149">
        <f t="shared" si="92"/>
        <v>1</v>
      </c>
      <c r="CH73" s="149">
        <f t="shared" si="93"/>
        <v>1</v>
      </c>
      <c r="CI73" s="149">
        <f t="shared" si="94"/>
        <v>1</v>
      </c>
      <c r="CJ73" s="149">
        <f t="shared" si="95"/>
        <v>1</v>
      </c>
      <c r="CK73" s="149">
        <f t="shared" si="96"/>
        <v>1</v>
      </c>
      <c r="CL73" s="149">
        <f t="shared" si="97"/>
        <v>1</v>
      </c>
      <c r="CM73" s="149">
        <f t="shared" si="98"/>
        <v>1</v>
      </c>
      <c r="CN73" s="149">
        <f t="shared" si="99"/>
        <v>1</v>
      </c>
      <c r="CO73" s="149">
        <f t="shared" si="100"/>
        <v>1</v>
      </c>
      <c r="CP73" s="149">
        <f t="shared" si="101"/>
        <v>1</v>
      </c>
      <c r="CQ73" s="149">
        <f t="shared" si="102"/>
        <v>1</v>
      </c>
      <c r="CR73" s="149">
        <f t="shared" si="103"/>
        <v>1</v>
      </c>
      <c r="CS73" s="149">
        <f t="shared" si="104"/>
        <v>1</v>
      </c>
      <c r="CT73" s="149">
        <f t="shared" si="105"/>
        <v>1</v>
      </c>
      <c r="CU73" s="149">
        <f t="shared" si="106"/>
        <v>1</v>
      </c>
      <c r="CV73" s="149">
        <f t="shared" si="107"/>
        <v>1</v>
      </c>
      <c r="CW73" s="149">
        <f t="shared" si="108"/>
        <v>1</v>
      </c>
      <c r="CX73" s="149">
        <f t="shared" si="109"/>
        <v>1</v>
      </c>
      <c r="CY73" s="149">
        <f t="shared" si="110"/>
        <v>1</v>
      </c>
      <c r="CZ73" s="149">
        <f t="shared" si="111"/>
        <v>1</v>
      </c>
      <c r="DA73" s="149">
        <f t="shared" si="112"/>
        <v>1</v>
      </c>
      <c r="DB73" s="149">
        <f t="shared" si="113"/>
        <v>1</v>
      </c>
      <c r="DG73" s="125">
        <f t="shared" si="126"/>
        <v>1</v>
      </c>
      <c r="DH73" s="125">
        <f t="shared" si="130"/>
        <v>2</v>
      </c>
      <c r="DI73" s="125">
        <f t="shared" si="130"/>
        <v>3</v>
      </c>
      <c r="DJ73" s="125">
        <f t="shared" si="130"/>
        <v>4</v>
      </c>
      <c r="DK73" s="125">
        <f t="shared" si="130"/>
        <v>5</v>
      </c>
      <c r="DL73" s="125">
        <f t="shared" si="130"/>
        <v>6</v>
      </c>
      <c r="DM73" s="125">
        <f t="shared" si="130"/>
        <v>7</v>
      </c>
      <c r="DN73" s="125">
        <f t="shared" si="130"/>
        <v>8</v>
      </c>
      <c r="DO73" s="125">
        <f t="shared" si="130"/>
        <v>9</v>
      </c>
      <c r="DP73" s="125">
        <f t="shared" si="130"/>
        <v>10</v>
      </c>
      <c r="DS73" s="137"/>
      <c r="DT73" s="137"/>
      <c r="DU73" s="137"/>
      <c r="DV73" s="137" t="b">
        <f t="shared" si="115"/>
        <v>0</v>
      </c>
      <c r="DW73" s="137" t="b">
        <f t="shared" si="116"/>
        <v>0</v>
      </c>
      <c r="DX73" s="137" t="b">
        <f t="shared" si="117"/>
        <v>1</v>
      </c>
      <c r="EB73" s="131">
        <f t="shared" si="127"/>
        <v>1</v>
      </c>
      <c r="EC73" s="137" t="b">
        <f t="shared" si="118"/>
        <v>0</v>
      </c>
      <c r="ED73" s="137" t="b">
        <f t="shared" si="119"/>
        <v>0</v>
      </c>
      <c r="EE73" s="137" t="b">
        <f t="shared" si="120"/>
        <v>1</v>
      </c>
      <c r="EF73" s="137"/>
      <c r="EG73" s="137"/>
      <c r="EH73" s="137"/>
      <c r="EI73" s="137"/>
      <c r="EJ73" s="137">
        <f t="shared" si="128"/>
        <v>1</v>
      </c>
      <c r="EK73" s="125">
        <f t="shared" si="121"/>
        <v>0</v>
      </c>
      <c r="EL73" s="125">
        <f t="shared" si="122"/>
        <v>0</v>
      </c>
    </row>
    <row r="74" spans="2:142" ht="15.75" x14ac:dyDescent="0.2">
      <c r="B74" s="160">
        <f t="shared" si="123"/>
        <v>44</v>
      </c>
      <c r="C74" s="205">
        <v>1001346658</v>
      </c>
      <c r="D74" s="205">
        <v>1001274373</v>
      </c>
      <c r="E74" s="205">
        <v>40000168</v>
      </c>
      <c r="F74" s="118">
        <f>IF(OR(J74="",H74=""),"",VLOOKUP(J74,'הזנה לסיווג רשויות'!$B$2:$D$301,2,0))</f>
        <v>20000139</v>
      </c>
      <c r="G74" s="118" t="str">
        <f>IF(OR(J74="",H74=""),"",VLOOKUP(J74,'הזנה לסיווג רשויות'!$B$2:$D$301,3,0))</f>
        <v>מטה אשר</v>
      </c>
      <c r="H74" s="201" t="s">
        <v>570</v>
      </c>
      <c r="I74" s="201" t="s">
        <v>376</v>
      </c>
      <c r="J74" s="205">
        <v>4</v>
      </c>
      <c r="K74" s="161">
        <v>0</v>
      </c>
      <c r="L74" s="161">
        <v>1</v>
      </c>
      <c r="M74" s="161">
        <v>0</v>
      </c>
      <c r="N74" s="161">
        <v>0</v>
      </c>
      <c r="O74" s="161">
        <v>1</v>
      </c>
      <c r="P74" s="161">
        <v>1</v>
      </c>
      <c r="Q74" s="161">
        <v>1</v>
      </c>
      <c r="R74" s="201">
        <v>792000</v>
      </c>
      <c r="S74" s="201">
        <v>623000</v>
      </c>
      <c r="T74" s="160">
        <f>IF(G74="","",IFERROR(IF(S74/R74&gt;'פרמטרים לקריטריונים'!$C$20,1,0),0))</f>
        <v>1</v>
      </c>
      <c r="U74" s="201">
        <v>568000</v>
      </c>
      <c r="V74" s="160">
        <f>IF(G74="","",IFERROR(IF(U74/R74&gt;'פרמטרים לקריטריונים'!$C$21,1,IF(AND(I74=$BW$5,U74/R74&gt;'פרמטרים לקריטריונים'!$C$22),1,0)),0))</f>
        <v>1</v>
      </c>
      <c r="W74" s="161">
        <v>1</v>
      </c>
      <c r="X74" s="161">
        <v>1</v>
      </c>
      <c r="Y74" s="201">
        <v>800000</v>
      </c>
      <c r="Z74" s="201">
        <v>800000</v>
      </c>
      <c r="AA74" s="161">
        <f t="shared" si="124"/>
        <v>1</v>
      </c>
      <c r="AB74" s="161"/>
      <c r="AC74" s="161"/>
      <c r="AD74" s="161"/>
      <c r="AE74" s="161"/>
      <c r="AF74" s="161"/>
      <c r="AG74" s="161"/>
      <c r="AH74" s="161"/>
      <c r="AI74" s="161"/>
      <c r="AJ74" s="161"/>
      <c r="AK74" s="161"/>
      <c r="AL74" s="161"/>
      <c r="AM74" s="161"/>
      <c r="AN74" s="161"/>
      <c r="AO74" s="161"/>
      <c r="AP74" s="161"/>
      <c r="AQ74" s="161"/>
      <c r="AR74" s="161"/>
      <c r="AS74" s="161"/>
      <c r="AT74" s="161"/>
      <c r="AU74" s="161"/>
      <c r="AV74" s="161"/>
      <c r="AW74" s="160"/>
      <c r="AX74" s="161"/>
      <c r="AY74" s="161"/>
      <c r="AZ74" s="161"/>
      <c r="BA74" s="161"/>
      <c r="BB74" s="161"/>
      <c r="BC74" s="161"/>
      <c r="BD74" s="161"/>
      <c r="BE74" s="161"/>
      <c r="BF74" s="160" t="str">
        <f t="shared" si="125"/>
        <v/>
      </c>
      <c r="BG74" s="160"/>
      <c r="BH74" s="160"/>
      <c r="BI74" s="160"/>
      <c r="BJ74" s="160"/>
      <c r="BK74" s="160"/>
      <c r="BL74" s="162">
        <f t="shared" si="75"/>
        <v>1</v>
      </c>
      <c r="BM74" s="257"/>
      <c r="BN74" s="163"/>
      <c r="BO74" s="211" t="str">
        <f t="shared" si="76"/>
        <v>קשת איילוןמוסיקה-גופים כליים</v>
      </c>
      <c r="BP74" s="125">
        <f t="shared" si="77"/>
        <v>1</v>
      </c>
      <c r="BQ74" s="164">
        <v>0</v>
      </c>
      <c r="BR74" s="164">
        <v>1</v>
      </c>
      <c r="BS74" s="149">
        <f t="shared" si="78"/>
        <v>1</v>
      </c>
      <c r="BT74" s="149">
        <f t="shared" si="79"/>
        <v>1</v>
      </c>
      <c r="BU74" s="149">
        <f t="shared" si="80"/>
        <v>1</v>
      </c>
      <c r="BV74" s="149">
        <f t="shared" si="81"/>
        <v>1</v>
      </c>
      <c r="BW74" s="149">
        <f t="shared" si="82"/>
        <v>1</v>
      </c>
      <c r="BX74" s="149">
        <f t="shared" si="83"/>
        <v>1</v>
      </c>
      <c r="BY74" s="149">
        <f t="shared" si="84"/>
        <v>1</v>
      </c>
      <c r="BZ74" s="149">
        <f t="shared" si="85"/>
        <v>1</v>
      </c>
      <c r="CA74" s="149">
        <f t="shared" si="86"/>
        <v>1</v>
      </c>
      <c r="CB74" s="149">
        <f t="shared" si="87"/>
        <v>1</v>
      </c>
      <c r="CC74" s="149">
        <f t="shared" si="88"/>
        <v>1</v>
      </c>
      <c r="CD74" s="149">
        <f t="shared" si="89"/>
        <v>1</v>
      </c>
      <c r="CE74" s="149">
        <f t="shared" si="90"/>
        <v>1</v>
      </c>
      <c r="CF74" s="149">
        <f t="shared" si="91"/>
        <v>1</v>
      </c>
      <c r="CG74" s="149">
        <f t="shared" si="92"/>
        <v>1</v>
      </c>
      <c r="CH74" s="149">
        <f t="shared" si="93"/>
        <v>1</v>
      </c>
      <c r="CI74" s="149">
        <f t="shared" si="94"/>
        <v>1</v>
      </c>
      <c r="CJ74" s="149">
        <f t="shared" si="95"/>
        <v>1</v>
      </c>
      <c r="CK74" s="149">
        <f t="shared" si="96"/>
        <v>1</v>
      </c>
      <c r="CL74" s="149">
        <f t="shared" si="97"/>
        <v>1</v>
      </c>
      <c r="CM74" s="149">
        <f t="shared" si="98"/>
        <v>1</v>
      </c>
      <c r="CN74" s="149">
        <f t="shared" si="99"/>
        <v>1</v>
      </c>
      <c r="CO74" s="149">
        <f t="shared" si="100"/>
        <v>1</v>
      </c>
      <c r="CP74" s="149">
        <f t="shared" si="101"/>
        <v>1</v>
      </c>
      <c r="CQ74" s="149">
        <f t="shared" si="102"/>
        <v>1</v>
      </c>
      <c r="CR74" s="149">
        <f t="shared" si="103"/>
        <v>1</v>
      </c>
      <c r="CS74" s="149">
        <f t="shared" si="104"/>
        <v>1</v>
      </c>
      <c r="CT74" s="149">
        <f t="shared" si="105"/>
        <v>1</v>
      </c>
      <c r="CU74" s="149">
        <f t="shared" si="106"/>
        <v>1</v>
      </c>
      <c r="CV74" s="149">
        <f t="shared" si="107"/>
        <v>1</v>
      </c>
      <c r="CW74" s="149">
        <f t="shared" si="108"/>
        <v>1</v>
      </c>
      <c r="CX74" s="149">
        <f t="shared" si="109"/>
        <v>1</v>
      </c>
      <c r="CY74" s="149">
        <f t="shared" si="110"/>
        <v>1</v>
      </c>
      <c r="CZ74" s="149">
        <f t="shared" si="111"/>
        <v>1</v>
      </c>
      <c r="DA74" s="149">
        <f t="shared" si="112"/>
        <v>1</v>
      </c>
      <c r="DB74" s="149">
        <f t="shared" si="113"/>
        <v>1</v>
      </c>
      <c r="DG74" s="125">
        <f t="shared" si="126"/>
        <v>1</v>
      </c>
      <c r="DH74" s="125">
        <f t="shared" si="130"/>
        <v>2</v>
      </c>
      <c r="DI74" s="125">
        <f t="shared" si="130"/>
        <v>3</v>
      </c>
      <c r="DJ74" s="125">
        <f t="shared" si="130"/>
        <v>4</v>
      </c>
      <c r="DK74" s="125">
        <f t="shared" si="130"/>
        <v>5</v>
      </c>
      <c r="DL74" s="125">
        <f t="shared" si="130"/>
        <v>6</v>
      </c>
      <c r="DM74" s="125">
        <f t="shared" si="130"/>
        <v>7</v>
      </c>
      <c r="DN74" s="125">
        <f t="shared" si="130"/>
        <v>8</v>
      </c>
      <c r="DO74" s="125">
        <f t="shared" si="130"/>
        <v>9</v>
      </c>
      <c r="DP74" s="125">
        <f t="shared" si="130"/>
        <v>10</v>
      </c>
      <c r="DS74" s="137"/>
      <c r="DT74" s="137"/>
      <c r="DU74" s="137"/>
      <c r="DV74" s="137" t="b">
        <f t="shared" si="115"/>
        <v>0</v>
      </c>
      <c r="DW74" s="137" t="b">
        <f t="shared" si="116"/>
        <v>0</v>
      </c>
      <c r="DX74" s="137" t="b">
        <f t="shared" si="117"/>
        <v>1</v>
      </c>
      <c r="EB74" s="131">
        <f t="shared" si="127"/>
        <v>1</v>
      </c>
      <c r="EC74" s="137" t="b">
        <f t="shared" si="118"/>
        <v>0</v>
      </c>
      <c r="ED74" s="137" t="b">
        <f t="shared" si="119"/>
        <v>0</v>
      </c>
      <c r="EE74" s="137" t="b">
        <f t="shared" si="120"/>
        <v>1</v>
      </c>
      <c r="EF74" s="137"/>
      <c r="EG74" s="137"/>
      <c r="EH74" s="137"/>
      <c r="EI74" s="137"/>
      <c r="EJ74" s="137">
        <f t="shared" si="128"/>
        <v>1</v>
      </c>
      <c r="EK74" s="125">
        <f t="shared" si="121"/>
        <v>0</v>
      </c>
      <c r="EL74" s="125">
        <f t="shared" si="122"/>
        <v>0</v>
      </c>
    </row>
    <row r="75" spans="2:142" ht="15.75" x14ac:dyDescent="0.2">
      <c r="B75" s="160" t="str">
        <f t="shared" si="123"/>
        <v/>
      </c>
      <c r="C75" s="205"/>
      <c r="D75" s="205"/>
      <c r="E75" s="205"/>
      <c r="F75" s="118" t="str">
        <f>IF(OR(J75="",H75=""),"",VLOOKUP(J75,'הזנה לסיווג רשויות'!$B$2:$D$301,2,0))</f>
        <v/>
      </c>
      <c r="G75" s="118" t="str">
        <f>IF(OR(J75="",H75=""),"",VLOOKUP(J75,'הזנה לסיווג רשויות'!$B$2:$D$301,3,0))</f>
        <v/>
      </c>
      <c r="H75" s="201"/>
      <c r="I75" s="201"/>
      <c r="J75" s="205"/>
      <c r="K75" s="161"/>
      <c r="L75" s="161"/>
      <c r="M75" s="161"/>
      <c r="N75" s="161"/>
      <c r="O75" s="161"/>
      <c r="P75" s="161"/>
      <c r="Q75" s="161"/>
      <c r="R75" s="201"/>
      <c r="S75" s="201"/>
      <c r="T75" s="160" t="str">
        <f>IF(G75="","",IFERROR(IF(S75/R75&gt;'פרמטרים לקריטריונים'!$C$20,1,0),0))</f>
        <v/>
      </c>
      <c r="U75" s="201"/>
      <c r="V75" s="160" t="str">
        <f>IF(G75="","",IFERROR(IF(U75/R75&gt;'פרמטרים לקריטריונים'!$C$21,1,IF(AND(I75=$BW$5,U75/R75&gt;'פרמטרים לקריטריונים'!$C$22),1,0)),0))</f>
        <v/>
      </c>
      <c r="W75" s="161"/>
      <c r="X75" s="161"/>
      <c r="Y75" s="201"/>
      <c r="Z75" s="201"/>
      <c r="AA75" s="161" t="str">
        <f t="shared" si="124"/>
        <v/>
      </c>
      <c r="AB75" s="161"/>
      <c r="AC75" s="161"/>
      <c r="AD75" s="161"/>
      <c r="AE75" s="161"/>
      <c r="AF75" s="161"/>
      <c r="AG75" s="161"/>
      <c r="AH75" s="161"/>
      <c r="AI75" s="161"/>
      <c r="AJ75" s="161"/>
      <c r="AK75" s="161"/>
      <c r="AL75" s="161"/>
      <c r="AM75" s="161"/>
      <c r="AN75" s="161"/>
      <c r="AO75" s="161"/>
      <c r="AP75" s="161"/>
      <c r="AQ75" s="161"/>
      <c r="AR75" s="161"/>
      <c r="AS75" s="161"/>
      <c r="AT75" s="161"/>
      <c r="AU75" s="161"/>
      <c r="AV75" s="161"/>
      <c r="AW75" s="160"/>
      <c r="AX75" s="161"/>
      <c r="AY75" s="161"/>
      <c r="AZ75" s="161"/>
      <c r="BA75" s="161"/>
      <c r="BB75" s="161"/>
      <c r="BC75" s="161"/>
      <c r="BD75" s="161"/>
      <c r="BE75" s="161"/>
      <c r="BF75" s="160" t="str">
        <f t="shared" si="125"/>
        <v/>
      </c>
      <c r="BG75" s="160"/>
      <c r="BH75" s="160"/>
      <c r="BI75" s="160"/>
      <c r="BJ75" s="160"/>
      <c r="BK75" s="160"/>
      <c r="BL75" s="162" t="str">
        <f t="shared" si="75"/>
        <v/>
      </c>
      <c r="BM75" s="257"/>
      <c r="BN75" s="163"/>
      <c r="BO75" s="211" t="str">
        <f t="shared" si="76"/>
        <v/>
      </c>
      <c r="BP75" s="125">
        <f t="shared" si="77"/>
        <v>0</v>
      </c>
      <c r="BQ75" s="164">
        <v>0</v>
      </c>
      <c r="BR75" s="164">
        <v>1</v>
      </c>
      <c r="BS75" s="149">
        <f t="shared" si="78"/>
        <v>0</v>
      </c>
      <c r="BT75" s="149">
        <f t="shared" si="79"/>
        <v>0</v>
      </c>
      <c r="BU75" s="149">
        <f t="shared" si="80"/>
        <v>0</v>
      </c>
      <c r="BV75" s="149">
        <f t="shared" si="81"/>
        <v>0</v>
      </c>
      <c r="BW75" s="149">
        <f t="shared" si="82"/>
        <v>0</v>
      </c>
      <c r="BX75" s="149">
        <f t="shared" si="83"/>
        <v>0</v>
      </c>
      <c r="BY75" s="149">
        <f t="shared" si="84"/>
        <v>0</v>
      </c>
      <c r="BZ75" s="149">
        <f t="shared" si="85"/>
        <v>0</v>
      </c>
      <c r="CA75" s="149">
        <f t="shared" si="86"/>
        <v>0</v>
      </c>
      <c r="CB75" s="149">
        <f t="shared" si="87"/>
        <v>1</v>
      </c>
      <c r="CC75" s="149">
        <f t="shared" si="88"/>
        <v>0</v>
      </c>
      <c r="CD75" s="149">
        <f t="shared" si="89"/>
        <v>1</v>
      </c>
      <c r="CE75" s="149">
        <f t="shared" si="90"/>
        <v>0</v>
      </c>
      <c r="CF75" s="149">
        <f t="shared" si="91"/>
        <v>0</v>
      </c>
      <c r="CG75" s="149">
        <f t="shared" si="92"/>
        <v>0</v>
      </c>
      <c r="CH75" s="149">
        <f t="shared" si="93"/>
        <v>0</v>
      </c>
      <c r="CI75" s="149">
        <f t="shared" si="94"/>
        <v>1</v>
      </c>
      <c r="CJ75" s="149">
        <f t="shared" si="95"/>
        <v>1</v>
      </c>
      <c r="CK75" s="149">
        <f t="shared" si="96"/>
        <v>1</v>
      </c>
      <c r="CL75" s="149">
        <f t="shared" si="97"/>
        <v>1</v>
      </c>
      <c r="CM75" s="149">
        <f t="shared" si="98"/>
        <v>1</v>
      </c>
      <c r="CN75" s="149">
        <f t="shared" si="99"/>
        <v>1</v>
      </c>
      <c r="CO75" s="149">
        <f t="shared" si="100"/>
        <v>1</v>
      </c>
      <c r="CP75" s="149">
        <f t="shared" si="101"/>
        <v>1</v>
      </c>
      <c r="CQ75" s="149">
        <f t="shared" si="102"/>
        <v>1</v>
      </c>
      <c r="CR75" s="149">
        <f t="shared" si="103"/>
        <v>1</v>
      </c>
      <c r="CS75" s="149">
        <f t="shared" si="104"/>
        <v>1</v>
      </c>
      <c r="CT75" s="149">
        <f t="shared" si="105"/>
        <v>1</v>
      </c>
      <c r="CU75" s="149">
        <f t="shared" si="106"/>
        <v>1</v>
      </c>
      <c r="CV75" s="149">
        <f t="shared" si="107"/>
        <v>1</v>
      </c>
      <c r="CW75" s="149">
        <f t="shared" si="108"/>
        <v>1</v>
      </c>
      <c r="CX75" s="149">
        <f t="shared" si="109"/>
        <v>1</v>
      </c>
      <c r="CY75" s="149">
        <f t="shared" si="110"/>
        <v>1</v>
      </c>
      <c r="CZ75" s="149">
        <f t="shared" si="111"/>
        <v>1</v>
      </c>
      <c r="DA75" s="149">
        <f t="shared" si="112"/>
        <v>1</v>
      </c>
      <c r="DB75" s="149">
        <f t="shared" si="113"/>
        <v>1</v>
      </c>
      <c r="DG75" s="125" t="str">
        <f t="shared" si="126"/>
        <v/>
      </c>
      <c r="DH75" s="125" t="str">
        <f t="shared" si="130"/>
        <v/>
      </c>
      <c r="DI75" s="125" t="str">
        <f t="shared" si="130"/>
        <v/>
      </c>
      <c r="DJ75" s="125" t="str">
        <f t="shared" si="130"/>
        <v/>
      </c>
      <c r="DK75" s="125" t="str">
        <f t="shared" si="130"/>
        <v/>
      </c>
      <c r="DL75" s="125" t="str">
        <f t="shared" si="130"/>
        <v/>
      </c>
      <c r="DM75" s="125" t="str">
        <f t="shared" si="130"/>
        <v/>
      </c>
      <c r="DN75" s="125" t="str">
        <f t="shared" si="130"/>
        <v/>
      </c>
      <c r="DO75" s="125" t="str">
        <f t="shared" si="130"/>
        <v/>
      </c>
      <c r="DP75" s="125" t="str">
        <f t="shared" si="130"/>
        <v/>
      </c>
      <c r="DS75" s="137"/>
      <c r="DT75" s="137"/>
      <c r="DU75" s="137"/>
      <c r="DV75" s="137" t="b">
        <f t="shared" si="115"/>
        <v>0</v>
      </c>
      <c r="DW75" s="137" t="b">
        <f t="shared" si="116"/>
        <v>0</v>
      </c>
      <c r="DX75" s="137" t="b">
        <f t="shared" si="117"/>
        <v>1</v>
      </c>
      <c r="EB75" s="131">
        <f t="shared" si="127"/>
        <v>1</v>
      </c>
      <c r="EC75" s="137" t="b">
        <f t="shared" si="118"/>
        <v>0</v>
      </c>
      <c r="ED75" s="137" t="b">
        <f t="shared" si="119"/>
        <v>0</v>
      </c>
      <c r="EE75" s="137" t="b">
        <f t="shared" si="120"/>
        <v>1</v>
      </c>
      <c r="EF75" s="137"/>
      <c r="EG75" s="137"/>
      <c r="EH75" s="137"/>
      <c r="EI75" s="137"/>
      <c r="EJ75" s="137">
        <f t="shared" si="128"/>
        <v>1</v>
      </c>
      <c r="EK75" s="125" t="str">
        <f t="shared" si="121"/>
        <v/>
      </c>
      <c r="EL75" s="125" t="str">
        <f t="shared" si="122"/>
        <v/>
      </c>
    </row>
    <row r="76" spans="2:142" ht="15.75" x14ac:dyDescent="0.25">
      <c r="B76" s="160">
        <f t="shared" si="123"/>
        <v>46</v>
      </c>
      <c r="C76" s="205">
        <v>1001348760</v>
      </c>
      <c r="D76" s="205">
        <v>1001271005</v>
      </c>
      <c r="E76" s="205">
        <v>40000158</v>
      </c>
      <c r="F76" s="118">
        <f>IF(OR(J76="",H76=""),"",VLOOKUP(J76,'הזנה לסיווג רשויות'!$B$2:$D$301,2,0))</f>
        <v>20000062</v>
      </c>
      <c r="G76" s="118" t="str">
        <f>IF(OR(J76="",H76=""),"",VLOOKUP(J76,'הזנה לסיווג רשויות'!$B$2:$D$301,3,0))</f>
        <v>עיילבון</v>
      </c>
      <c r="H76" s="281" t="s">
        <v>571</v>
      </c>
      <c r="I76" s="201" t="s">
        <v>373</v>
      </c>
      <c r="J76" s="205">
        <v>530</v>
      </c>
      <c r="K76" s="161">
        <v>0</v>
      </c>
      <c r="L76" s="161">
        <v>1</v>
      </c>
      <c r="M76" s="161">
        <v>0</v>
      </c>
      <c r="N76" s="161">
        <v>0</v>
      </c>
      <c r="O76" s="161">
        <v>1</v>
      </c>
      <c r="P76" s="161">
        <v>1</v>
      </c>
      <c r="Q76" s="161">
        <v>1</v>
      </c>
      <c r="R76" s="201">
        <v>475723</v>
      </c>
      <c r="S76" s="201">
        <v>155340</v>
      </c>
      <c r="T76" s="160">
        <f>IF(G76="","",IFERROR(IF(S76/R76&gt;'פרמטרים לקריטריונים'!$C$20,1,0),0))</f>
        <v>1</v>
      </c>
      <c r="U76" s="201">
        <v>155340</v>
      </c>
      <c r="V76" s="160">
        <f>IF(G76="","",IFERROR(IF(U76/R76&gt;'פרמטרים לקריטריונים'!$C$21,1,IF(AND(I76=$BW$5,U76/R76&gt;'פרמטרים לקריטריונים'!$C$22),1,0)),0))</f>
        <v>1</v>
      </c>
      <c r="W76" s="161">
        <v>1</v>
      </c>
      <c r="X76" s="161">
        <v>1</v>
      </c>
      <c r="Y76" s="201">
        <v>100000</v>
      </c>
      <c r="Z76" s="201">
        <v>100000</v>
      </c>
      <c r="AA76" s="161">
        <f t="shared" si="124"/>
        <v>1</v>
      </c>
      <c r="AB76" s="161"/>
      <c r="AC76" s="161"/>
      <c r="AD76" s="161"/>
      <c r="AE76" s="161"/>
      <c r="AF76" s="161"/>
      <c r="AG76" s="161"/>
      <c r="AH76" s="161"/>
      <c r="AI76" s="161"/>
      <c r="AJ76" s="161"/>
      <c r="AK76" s="161"/>
      <c r="AL76" s="161"/>
      <c r="AM76" s="161"/>
      <c r="AN76" s="161"/>
      <c r="AO76" s="161"/>
      <c r="AP76" s="161"/>
      <c r="AQ76" s="161"/>
      <c r="AR76" s="161"/>
      <c r="AS76" s="161"/>
      <c r="AT76" s="161"/>
      <c r="AU76" s="161"/>
      <c r="AV76" s="161"/>
      <c r="AW76" s="160"/>
      <c r="AX76" s="161"/>
      <c r="AY76" s="161"/>
      <c r="AZ76" s="161"/>
      <c r="BA76" s="161"/>
      <c r="BB76" s="161"/>
      <c r="BC76" s="161"/>
      <c r="BD76" s="161"/>
      <c r="BE76" s="161"/>
      <c r="BF76" s="160" t="str">
        <f t="shared" si="125"/>
        <v/>
      </c>
      <c r="BG76" s="160"/>
      <c r="BH76" s="160"/>
      <c r="BI76" s="160"/>
      <c r="BJ76" s="160"/>
      <c r="BK76" s="160"/>
      <c r="BL76" s="162">
        <f t="shared" si="75"/>
        <v>1</v>
      </c>
      <c r="BM76" s="257"/>
      <c r="BN76" s="163"/>
      <c r="BO76" s="211" t="str">
        <f t="shared" si="76"/>
        <v>ג'בינה- לקידום התיאטרון הערביתיאטרון</v>
      </c>
      <c r="BP76" s="125">
        <f t="shared" si="77"/>
        <v>1</v>
      </c>
      <c r="BQ76" s="164">
        <v>0</v>
      </c>
      <c r="BR76" s="164">
        <v>1</v>
      </c>
      <c r="BS76" s="149">
        <f t="shared" si="78"/>
        <v>1</v>
      </c>
      <c r="BT76" s="149">
        <f t="shared" si="79"/>
        <v>1</v>
      </c>
      <c r="BU76" s="149">
        <f t="shared" si="80"/>
        <v>1</v>
      </c>
      <c r="BV76" s="149">
        <f t="shared" si="81"/>
        <v>1</v>
      </c>
      <c r="BW76" s="149">
        <f t="shared" si="82"/>
        <v>1</v>
      </c>
      <c r="BX76" s="149">
        <f t="shared" si="83"/>
        <v>1</v>
      </c>
      <c r="BY76" s="149">
        <f t="shared" si="84"/>
        <v>1</v>
      </c>
      <c r="BZ76" s="149">
        <f t="shared" si="85"/>
        <v>1</v>
      </c>
      <c r="CA76" s="149">
        <f t="shared" si="86"/>
        <v>1</v>
      </c>
      <c r="CB76" s="149">
        <f t="shared" si="87"/>
        <v>1</v>
      </c>
      <c r="CC76" s="149">
        <f t="shared" si="88"/>
        <v>1</v>
      </c>
      <c r="CD76" s="149">
        <f t="shared" si="89"/>
        <v>1</v>
      </c>
      <c r="CE76" s="149">
        <f t="shared" si="90"/>
        <v>1</v>
      </c>
      <c r="CF76" s="149">
        <f t="shared" si="91"/>
        <v>1</v>
      </c>
      <c r="CG76" s="149">
        <f t="shared" si="92"/>
        <v>1</v>
      </c>
      <c r="CH76" s="149">
        <f t="shared" si="93"/>
        <v>1</v>
      </c>
      <c r="CI76" s="149">
        <f t="shared" si="94"/>
        <v>1</v>
      </c>
      <c r="CJ76" s="149">
        <f t="shared" si="95"/>
        <v>1</v>
      </c>
      <c r="CK76" s="149">
        <f t="shared" si="96"/>
        <v>1</v>
      </c>
      <c r="CL76" s="149">
        <f t="shared" si="97"/>
        <v>1</v>
      </c>
      <c r="CM76" s="149">
        <f t="shared" si="98"/>
        <v>1</v>
      </c>
      <c r="CN76" s="149">
        <f t="shared" si="99"/>
        <v>1</v>
      </c>
      <c r="CO76" s="149">
        <f t="shared" si="100"/>
        <v>1</v>
      </c>
      <c r="CP76" s="149">
        <f t="shared" si="101"/>
        <v>1</v>
      </c>
      <c r="CQ76" s="149">
        <f t="shared" si="102"/>
        <v>1</v>
      </c>
      <c r="CR76" s="149">
        <f t="shared" si="103"/>
        <v>1</v>
      </c>
      <c r="CS76" s="149">
        <f t="shared" si="104"/>
        <v>1</v>
      </c>
      <c r="CT76" s="149">
        <f t="shared" si="105"/>
        <v>1</v>
      </c>
      <c r="CU76" s="149">
        <f t="shared" si="106"/>
        <v>1</v>
      </c>
      <c r="CV76" s="149">
        <f t="shared" si="107"/>
        <v>1</v>
      </c>
      <c r="CW76" s="149">
        <f t="shared" si="108"/>
        <v>1</v>
      </c>
      <c r="CX76" s="149">
        <f t="shared" si="109"/>
        <v>1</v>
      </c>
      <c r="CY76" s="149">
        <f t="shared" si="110"/>
        <v>1</v>
      </c>
      <c r="CZ76" s="149">
        <f t="shared" si="111"/>
        <v>1</v>
      </c>
      <c r="DA76" s="149">
        <f t="shared" si="112"/>
        <v>1</v>
      </c>
      <c r="DB76" s="149">
        <f t="shared" si="113"/>
        <v>1</v>
      </c>
      <c r="DG76" s="125">
        <f t="shared" si="126"/>
        <v>1</v>
      </c>
      <c r="DH76" s="125">
        <f t="shared" si="130"/>
        <v>2</v>
      </c>
      <c r="DI76" s="125">
        <f t="shared" si="130"/>
        <v>3</v>
      </c>
      <c r="DJ76" s="125">
        <f t="shared" si="130"/>
        <v>4</v>
      </c>
      <c r="DK76" s="125">
        <f t="shared" si="130"/>
        <v>5</v>
      </c>
      <c r="DL76" s="125">
        <f t="shared" si="130"/>
        <v>6</v>
      </c>
      <c r="DM76" s="125">
        <f t="shared" si="130"/>
        <v>7</v>
      </c>
      <c r="DN76" s="125">
        <f t="shared" si="130"/>
        <v>8</v>
      </c>
      <c r="DO76" s="125">
        <f t="shared" si="130"/>
        <v>9</v>
      </c>
      <c r="DP76" s="125">
        <f t="shared" si="130"/>
        <v>10</v>
      </c>
      <c r="DS76" s="137"/>
      <c r="DT76" s="137"/>
      <c r="DU76" s="137"/>
      <c r="DV76" s="137" t="b">
        <f t="shared" si="115"/>
        <v>0</v>
      </c>
      <c r="DW76" s="137" t="b">
        <f t="shared" si="116"/>
        <v>0</v>
      </c>
      <c r="DX76" s="137" t="b">
        <f t="shared" si="117"/>
        <v>1</v>
      </c>
      <c r="EB76" s="131">
        <f t="shared" si="127"/>
        <v>1</v>
      </c>
      <c r="EC76" s="137" t="b">
        <f t="shared" si="118"/>
        <v>0</v>
      </c>
      <c r="ED76" s="137" t="b">
        <f t="shared" si="119"/>
        <v>0</v>
      </c>
      <c r="EE76" s="137" t="b">
        <f t="shared" si="120"/>
        <v>1</v>
      </c>
      <c r="EF76" s="137"/>
      <c r="EG76" s="137"/>
      <c r="EH76" s="137"/>
      <c r="EI76" s="137"/>
      <c r="EJ76" s="137">
        <f t="shared" si="128"/>
        <v>1</v>
      </c>
      <c r="EK76" s="125">
        <f t="shared" si="121"/>
        <v>0</v>
      </c>
      <c r="EL76" s="125">
        <f t="shared" si="122"/>
        <v>0</v>
      </c>
    </row>
    <row r="77" spans="2:142" ht="15.75" x14ac:dyDescent="0.25">
      <c r="B77" s="160">
        <f t="shared" si="123"/>
        <v>47</v>
      </c>
      <c r="C77" s="205">
        <v>1001350788</v>
      </c>
      <c r="D77" s="205">
        <v>1001274174</v>
      </c>
      <c r="E77" s="205">
        <v>40000291</v>
      </c>
      <c r="F77" s="118">
        <f>IF(OR(J77="",H77=""),"",VLOOKUP(J77,'הזנה לסיווג רשויות'!$B$2:$D$301,2,0))</f>
        <v>20000014</v>
      </c>
      <c r="G77" s="118" t="str">
        <f>IF(OR(J77="",H77=""),"",VLOOKUP(J77,'הזנה לסיווג רשויות'!$B$2:$D$301,3,0))</f>
        <v>אשדוד</v>
      </c>
      <c r="H77" s="281" t="s">
        <v>572</v>
      </c>
      <c r="I77" s="201" t="s">
        <v>373</v>
      </c>
      <c r="J77" s="205">
        <v>70</v>
      </c>
      <c r="K77" s="161">
        <v>0</v>
      </c>
      <c r="L77" s="161">
        <v>1</v>
      </c>
      <c r="M77" s="161">
        <v>0</v>
      </c>
      <c r="N77" s="161">
        <v>1</v>
      </c>
      <c r="O77" s="161">
        <v>1</v>
      </c>
      <c r="P77" s="161">
        <v>1</v>
      </c>
      <c r="Q77" s="161">
        <v>1</v>
      </c>
      <c r="R77" s="201">
        <v>2104634</v>
      </c>
      <c r="S77" s="201">
        <v>844877</v>
      </c>
      <c r="T77" s="160">
        <f>IF(G77="","",IFERROR(IF(S77/R77&gt;'פרמטרים לקריטריונים'!$C$20,1,0),0))</f>
        <v>1</v>
      </c>
      <c r="U77" s="201">
        <v>829285</v>
      </c>
      <c r="V77" s="160">
        <f>IF(G77="","",IFERROR(IF(U77/R77&gt;'פרמטרים לקריטריונים'!$C$21,1,IF(AND(I77=$BW$5,U77/R77&gt;'פרמטרים לקריטריונים'!$C$22),1,0)),0))</f>
        <v>1</v>
      </c>
      <c r="W77" s="161">
        <v>1</v>
      </c>
      <c r="X77" s="161">
        <v>1</v>
      </c>
      <c r="Y77" s="201">
        <v>250000</v>
      </c>
      <c r="Z77" s="201">
        <v>250000</v>
      </c>
      <c r="AA77" s="161">
        <f t="shared" si="124"/>
        <v>1</v>
      </c>
      <c r="AB77" s="161"/>
      <c r="AC77" s="161"/>
      <c r="AD77" s="161"/>
      <c r="AE77" s="161"/>
      <c r="AF77" s="161"/>
      <c r="AG77" s="161"/>
      <c r="AH77" s="161"/>
      <c r="AI77" s="161"/>
      <c r="AJ77" s="161"/>
      <c r="AK77" s="161"/>
      <c r="AL77" s="161"/>
      <c r="AM77" s="161"/>
      <c r="AN77" s="161"/>
      <c r="AO77" s="161"/>
      <c r="AP77" s="161"/>
      <c r="AQ77" s="161"/>
      <c r="AR77" s="161"/>
      <c r="AS77" s="161"/>
      <c r="AT77" s="161"/>
      <c r="AU77" s="161"/>
      <c r="AV77" s="161"/>
      <c r="AW77" s="160"/>
      <c r="AX77" s="161"/>
      <c r="AY77" s="161"/>
      <c r="AZ77" s="161"/>
      <c r="BA77" s="161"/>
      <c r="BB77" s="161"/>
      <c r="BC77" s="161"/>
      <c r="BD77" s="161"/>
      <c r="BE77" s="161"/>
      <c r="BF77" s="160" t="str">
        <f t="shared" si="125"/>
        <v/>
      </c>
      <c r="BG77" s="160"/>
      <c r="BH77" s="160"/>
      <c r="BI77" s="160"/>
      <c r="BJ77" s="160"/>
      <c r="BK77" s="160"/>
      <c r="BL77" s="162">
        <f t="shared" si="75"/>
        <v>1</v>
      </c>
      <c r="BM77" s="257"/>
      <c r="BN77" s="163"/>
      <c r="BO77" s="211" t="str">
        <f t="shared" si="76"/>
        <v>החברה העירונית לתרבות ופנאי אשדודתיאטרון</v>
      </c>
      <c r="BP77" s="125">
        <f t="shared" si="77"/>
        <v>1</v>
      </c>
      <c r="BQ77" s="164">
        <v>0</v>
      </c>
      <c r="BR77" s="164">
        <v>1</v>
      </c>
      <c r="BS77" s="149">
        <f t="shared" si="78"/>
        <v>1</v>
      </c>
      <c r="BT77" s="149">
        <f t="shared" si="79"/>
        <v>1</v>
      </c>
      <c r="BU77" s="149">
        <f t="shared" si="80"/>
        <v>1</v>
      </c>
      <c r="BV77" s="149">
        <f t="shared" si="81"/>
        <v>1</v>
      </c>
      <c r="BW77" s="149">
        <f t="shared" si="82"/>
        <v>1</v>
      </c>
      <c r="BX77" s="149">
        <f t="shared" si="83"/>
        <v>1</v>
      </c>
      <c r="BY77" s="149">
        <f t="shared" si="84"/>
        <v>1</v>
      </c>
      <c r="BZ77" s="149">
        <f t="shared" si="85"/>
        <v>1</v>
      </c>
      <c r="CA77" s="149">
        <f t="shared" si="86"/>
        <v>1</v>
      </c>
      <c r="CB77" s="149">
        <f t="shared" si="87"/>
        <v>1</v>
      </c>
      <c r="CC77" s="149">
        <f t="shared" si="88"/>
        <v>1</v>
      </c>
      <c r="CD77" s="149">
        <f t="shared" si="89"/>
        <v>1</v>
      </c>
      <c r="CE77" s="149">
        <f t="shared" si="90"/>
        <v>1</v>
      </c>
      <c r="CF77" s="149">
        <f t="shared" si="91"/>
        <v>1</v>
      </c>
      <c r="CG77" s="149">
        <f t="shared" si="92"/>
        <v>1</v>
      </c>
      <c r="CH77" s="149">
        <f t="shared" si="93"/>
        <v>1</v>
      </c>
      <c r="CI77" s="149">
        <f t="shared" si="94"/>
        <v>1</v>
      </c>
      <c r="CJ77" s="149">
        <f t="shared" si="95"/>
        <v>1</v>
      </c>
      <c r="CK77" s="149">
        <f t="shared" si="96"/>
        <v>1</v>
      </c>
      <c r="CL77" s="149">
        <f t="shared" si="97"/>
        <v>1</v>
      </c>
      <c r="CM77" s="149">
        <f t="shared" si="98"/>
        <v>1</v>
      </c>
      <c r="CN77" s="149">
        <f t="shared" si="99"/>
        <v>1</v>
      </c>
      <c r="CO77" s="149">
        <f t="shared" si="100"/>
        <v>1</v>
      </c>
      <c r="CP77" s="149">
        <f t="shared" si="101"/>
        <v>1</v>
      </c>
      <c r="CQ77" s="149">
        <f t="shared" si="102"/>
        <v>1</v>
      </c>
      <c r="CR77" s="149">
        <f t="shared" si="103"/>
        <v>1</v>
      </c>
      <c r="CS77" s="149">
        <f t="shared" si="104"/>
        <v>1</v>
      </c>
      <c r="CT77" s="149">
        <f t="shared" si="105"/>
        <v>1</v>
      </c>
      <c r="CU77" s="149">
        <f t="shared" si="106"/>
        <v>1</v>
      </c>
      <c r="CV77" s="149">
        <f t="shared" si="107"/>
        <v>1</v>
      </c>
      <c r="CW77" s="149">
        <f t="shared" si="108"/>
        <v>1</v>
      </c>
      <c r="CX77" s="149">
        <f t="shared" si="109"/>
        <v>1</v>
      </c>
      <c r="CY77" s="149">
        <f t="shared" si="110"/>
        <v>1</v>
      </c>
      <c r="CZ77" s="149">
        <f t="shared" si="111"/>
        <v>1</v>
      </c>
      <c r="DA77" s="149">
        <f t="shared" si="112"/>
        <v>1</v>
      </c>
      <c r="DB77" s="149">
        <f t="shared" si="113"/>
        <v>1</v>
      </c>
      <c r="DG77" s="125">
        <f t="shared" si="126"/>
        <v>1</v>
      </c>
      <c r="DH77" s="125">
        <f t="shared" si="130"/>
        <v>2</v>
      </c>
      <c r="DI77" s="125">
        <f t="shared" si="130"/>
        <v>3</v>
      </c>
      <c r="DJ77" s="125">
        <f t="shared" si="130"/>
        <v>4</v>
      </c>
      <c r="DK77" s="125">
        <f t="shared" si="130"/>
        <v>5</v>
      </c>
      <c r="DL77" s="125">
        <f t="shared" si="130"/>
        <v>6</v>
      </c>
      <c r="DM77" s="125">
        <f t="shared" si="130"/>
        <v>7</v>
      </c>
      <c r="DN77" s="125">
        <f t="shared" si="130"/>
        <v>8</v>
      </c>
      <c r="DO77" s="125">
        <f t="shared" si="130"/>
        <v>9</v>
      </c>
      <c r="DP77" s="125">
        <f t="shared" si="130"/>
        <v>10</v>
      </c>
      <c r="DS77" s="137"/>
      <c r="DT77" s="137"/>
      <c r="DU77" s="137"/>
      <c r="DV77" s="137" t="b">
        <f t="shared" si="115"/>
        <v>0</v>
      </c>
      <c r="DW77" s="137" t="b">
        <f t="shared" si="116"/>
        <v>0</v>
      </c>
      <c r="DX77" s="137" t="b">
        <f t="shared" si="117"/>
        <v>1</v>
      </c>
      <c r="EB77" s="131">
        <f t="shared" si="127"/>
        <v>1</v>
      </c>
      <c r="EC77" s="137" t="b">
        <f t="shared" si="118"/>
        <v>0</v>
      </c>
      <c r="ED77" s="137" t="b">
        <f t="shared" si="119"/>
        <v>0</v>
      </c>
      <c r="EE77" s="137" t="b">
        <f t="shared" si="120"/>
        <v>1</v>
      </c>
      <c r="EF77" s="137"/>
      <c r="EG77" s="137"/>
      <c r="EH77" s="137"/>
      <c r="EI77" s="137"/>
      <c r="EJ77" s="137">
        <f t="shared" si="128"/>
        <v>1</v>
      </c>
      <c r="EK77" s="125">
        <f t="shared" si="121"/>
        <v>0</v>
      </c>
      <c r="EL77" s="125">
        <f t="shared" si="122"/>
        <v>0</v>
      </c>
    </row>
    <row r="78" spans="2:142" ht="15.75" x14ac:dyDescent="0.25">
      <c r="B78" s="160">
        <f t="shared" si="123"/>
        <v>48</v>
      </c>
      <c r="C78" s="205">
        <v>1001346581</v>
      </c>
      <c r="D78" s="205">
        <v>1001263210</v>
      </c>
      <c r="E78" s="205">
        <v>40000298</v>
      </c>
      <c r="F78" s="118">
        <f>IF(OR(J78="",H78=""),"",VLOOKUP(J78,'הזנה לסיווג רשויות'!$B$2:$D$301,2,0))</f>
        <v>20000257</v>
      </c>
      <c r="G78" s="118" t="str">
        <f>IF(OR(J78="",H78=""),"",VLOOKUP(J78,'הזנה לסיווג רשויות'!$B$2:$D$301,3,0))</f>
        <v>זכרון יעקב</v>
      </c>
      <c r="H78" s="281" t="s">
        <v>573</v>
      </c>
      <c r="I78" s="201" t="s">
        <v>375</v>
      </c>
      <c r="J78" s="205">
        <v>9300</v>
      </c>
      <c r="K78" s="161">
        <v>0</v>
      </c>
      <c r="L78" s="161">
        <v>1</v>
      </c>
      <c r="M78" s="161">
        <v>0</v>
      </c>
      <c r="N78" s="161">
        <v>0</v>
      </c>
      <c r="O78" s="161">
        <v>1</v>
      </c>
      <c r="P78" s="161">
        <v>1</v>
      </c>
      <c r="Q78" s="161">
        <v>1</v>
      </c>
      <c r="R78" s="201">
        <v>601235</v>
      </c>
      <c r="S78" s="201">
        <v>377427</v>
      </c>
      <c r="T78" s="160">
        <f>IF(G78="","",IFERROR(IF(S78/R78&gt;'פרמטרים לקריטריונים'!$C$20,1,0),0))</f>
        <v>1</v>
      </c>
      <c r="U78" s="201">
        <v>371617</v>
      </c>
      <c r="V78" s="160">
        <f>IF(G78="","",IFERROR(IF(U78/R78&gt;'פרמטרים לקריטריונים'!$C$21,1,IF(AND(I78=$BW$5,U78/R78&gt;'פרמטרים לקריטריונים'!$C$22),1,0)),0))</f>
        <v>1</v>
      </c>
      <c r="W78" s="161">
        <v>1</v>
      </c>
      <c r="X78" s="161">
        <v>1</v>
      </c>
      <c r="Y78" s="201">
        <v>130000</v>
      </c>
      <c r="Z78" s="201">
        <v>130000</v>
      </c>
      <c r="AA78" s="161">
        <f t="shared" si="124"/>
        <v>1</v>
      </c>
      <c r="AB78" s="161"/>
      <c r="AC78" s="161"/>
      <c r="AD78" s="161"/>
      <c r="AE78" s="161"/>
      <c r="AF78" s="161"/>
      <c r="AG78" s="161"/>
      <c r="AH78" s="161"/>
      <c r="AI78" s="161"/>
      <c r="AJ78" s="161"/>
      <c r="AK78" s="161"/>
      <c r="AL78" s="161"/>
      <c r="AM78" s="161"/>
      <c r="AN78" s="161"/>
      <c r="AO78" s="161"/>
      <c r="AP78" s="161"/>
      <c r="AQ78" s="161"/>
      <c r="AR78" s="161"/>
      <c r="AS78" s="161"/>
      <c r="AT78" s="161"/>
      <c r="AU78" s="161"/>
      <c r="AV78" s="161"/>
      <c r="AW78" s="160"/>
      <c r="AX78" s="161"/>
      <c r="AY78" s="161"/>
      <c r="AZ78" s="161"/>
      <c r="BA78" s="161"/>
      <c r="BB78" s="161"/>
      <c r="BC78" s="161"/>
      <c r="BD78" s="161"/>
      <c r="BE78" s="161"/>
      <c r="BF78" s="160" t="str">
        <f t="shared" si="125"/>
        <v/>
      </c>
      <c r="BG78" s="160"/>
      <c r="BH78" s="160"/>
      <c r="BI78" s="160"/>
      <c r="BJ78" s="160"/>
      <c r="BK78" s="160"/>
      <c r="BL78" s="162">
        <f t="shared" si="75"/>
        <v>1</v>
      </c>
      <c r="BM78" s="257"/>
      <c r="BN78" s="163"/>
      <c r="BO78" s="211" t="str">
        <f t="shared" si="76"/>
        <v>בית אהרונסון, מוזיאון נילימוזיאונים</v>
      </c>
      <c r="BP78" s="125">
        <f t="shared" si="77"/>
        <v>1</v>
      </c>
      <c r="BQ78" s="164">
        <v>0</v>
      </c>
      <c r="BR78" s="164">
        <v>1</v>
      </c>
      <c r="BS78" s="149">
        <f t="shared" si="78"/>
        <v>1</v>
      </c>
      <c r="BT78" s="149">
        <f t="shared" si="79"/>
        <v>1</v>
      </c>
      <c r="BU78" s="149">
        <f t="shared" si="80"/>
        <v>1</v>
      </c>
      <c r="BV78" s="149">
        <f t="shared" si="81"/>
        <v>1</v>
      </c>
      <c r="BW78" s="149">
        <f t="shared" si="82"/>
        <v>1</v>
      </c>
      <c r="BX78" s="149">
        <f t="shared" si="83"/>
        <v>1</v>
      </c>
      <c r="BY78" s="149">
        <f t="shared" si="84"/>
        <v>1</v>
      </c>
      <c r="BZ78" s="149">
        <f t="shared" si="85"/>
        <v>1</v>
      </c>
      <c r="CA78" s="149">
        <f t="shared" si="86"/>
        <v>1</v>
      </c>
      <c r="CB78" s="149">
        <f t="shared" si="87"/>
        <v>1</v>
      </c>
      <c r="CC78" s="149">
        <f t="shared" si="88"/>
        <v>1</v>
      </c>
      <c r="CD78" s="149">
        <f t="shared" si="89"/>
        <v>1</v>
      </c>
      <c r="CE78" s="149">
        <f t="shared" si="90"/>
        <v>1</v>
      </c>
      <c r="CF78" s="149">
        <f t="shared" si="91"/>
        <v>1</v>
      </c>
      <c r="CG78" s="149">
        <f t="shared" si="92"/>
        <v>1</v>
      </c>
      <c r="CH78" s="149">
        <f t="shared" si="93"/>
        <v>1</v>
      </c>
      <c r="CI78" s="149">
        <f t="shared" si="94"/>
        <v>1</v>
      </c>
      <c r="CJ78" s="149">
        <f t="shared" si="95"/>
        <v>1</v>
      </c>
      <c r="CK78" s="149">
        <f t="shared" si="96"/>
        <v>1</v>
      </c>
      <c r="CL78" s="149">
        <f t="shared" si="97"/>
        <v>1</v>
      </c>
      <c r="CM78" s="149">
        <f t="shared" si="98"/>
        <v>1</v>
      </c>
      <c r="CN78" s="149">
        <f t="shared" si="99"/>
        <v>1</v>
      </c>
      <c r="CO78" s="149">
        <f t="shared" si="100"/>
        <v>1</v>
      </c>
      <c r="CP78" s="149">
        <f t="shared" si="101"/>
        <v>1</v>
      </c>
      <c r="CQ78" s="149">
        <f t="shared" si="102"/>
        <v>1</v>
      </c>
      <c r="CR78" s="149">
        <f t="shared" si="103"/>
        <v>1</v>
      </c>
      <c r="CS78" s="149">
        <f t="shared" si="104"/>
        <v>1</v>
      </c>
      <c r="CT78" s="149">
        <f t="shared" si="105"/>
        <v>1</v>
      </c>
      <c r="CU78" s="149">
        <f t="shared" si="106"/>
        <v>1</v>
      </c>
      <c r="CV78" s="149">
        <f t="shared" si="107"/>
        <v>1</v>
      </c>
      <c r="CW78" s="149">
        <f t="shared" si="108"/>
        <v>1</v>
      </c>
      <c r="CX78" s="149">
        <f t="shared" si="109"/>
        <v>1</v>
      </c>
      <c r="CY78" s="149">
        <f t="shared" si="110"/>
        <v>1</v>
      </c>
      <c r="CZ78" s="149">
        <f t="shared" si="111"/>
        <v>1</v>
      </c>
      <c r="DA78" s="149">
        <f t="shared" si="112"/>
        <v>1</v>
      </c>
      <c r="DB78" s="149">
        <f t="shared" si="113"/>
        <v>1</v>
      </c>
      <c r="DG78" s="125">
        <f t="shared" si="126"/>
        <v>1</v>
      </c>
      <c r="DH78" s="125">
        <f t="shared" si="130"/>
        <v>2</v>
      </c>
      <c r="DI78" s="125">
        <f t="shared" si="130"/>
        <v>3</v>
      </c>
      <c r="DJ78" s="125">
        <f t="shared" si="130"/>
        <v>4</v>
      </c>
      <c r="DK78" s="125">
        <f t="shared" si="130"/>
        <v>5</v>
      </c>
      <c r="DL78" s="125">
        <f t="shared" si="130"/>
        <v>6</v>
      </c>
      <c r="DM78" s="125">
        <f t="shared" si="130"/>
        <v>7</v>
      </c>
      <c r="DN78" s="125">
        <f t="shared" si="130"/>
        <v>8</v>
      </c>
      <c r="DO78" s="125">
        <f t="shared" si="130"/>
        <v>9</v>
      </c>
      <c r="DP78" s="125">
        <f t="shared" si="130"/>
        <v>10</v>
      </c>
      <c r="DS78" s="137"/>
      <c r="DT78" s="137"/>
      <c r="DU78" s="137"/>
      <c r="DV78" s="137" t="b">
        <f t="shared" si="115"/>
        <v>0</v>
      </c>
      <c r="DW78" s="137" t="b">
        <f t="shared" si="116"/>
        <v>0</v>
      </c>
      <c r="DX78" s="137" t="b">
        <f t="shared" si="117"/>
        <v>1</v>
      </c>
      <c r="EB78" s="131">
        <f t="shared" si="127"/>
        <v>1</v>
      </c>
      <c r="EC78" s="137" t="b">
        <f t="shared" si="118"/>
        <v>0</v>
      </c>
      <c r="ED78" s="137" t="b">
        <f t="shared" si="119"/>
        <v>0</v>
      </c>
      <c r="EE78" s="137" t="b">
        <f t="shared" si="120"/>
        <v>1</v>
      </c>
      <c r="EF78" s="137"/>
      <c r="EG78" s="137"/>
      <c r="EH78" s="137"/>
      <c r="EI78" s="137"/>
      <c r="EJ78" s="137">
        <f t="shared" si="128"/>
        <v>1</v>
      </c>
      <c r="EK78" s="125">
        <f t="shared" si="121"/>
        <v>0</v>
      </c>
      <c r="EL78" s="125">
        <f t="shared" si="122"/>
        <v>0</v>
      </c>
    </row>
    <row r="79" spans="2:142" ht="15.75" x14ac:dyDescent="0.25">
      <c r="B79" s="160">
        <f t="shared" si="123"/>
        <v>49</v>
      </c>
      <c r="C79" s="205">
        <v>1001349393</v>
      </c>
      <c r="D79" s="205">
        <v>1001272661</v>
      </c>
      <c r="E79" s="205">
        <v>40000323</v>
      </c>
      <c r="F79" s="118">
        <f>IF(OR(J79="",H79=""),"",VLOOKUP(J79,'הזנה לסיווג רשויות'!$B$2:$D$301,2,0))</f>
        <v>20000127</v>
      </c>
      <c r="G79" s="118" t="str">
        <f>IF(OR(J79="",H79=""),"",VLOOKUP(J79,'הזנה לסיווג רשויות'!$B$2:$D$301,3,0))</f>
        <v>הגליל העליון</v>
      </c>
      <c r="H79" s="281" t="s">
        <v>574</v>
      </c>
      <c r="I79" s="201" t="s">
        <v>375</v>
      </c>
      <c r="J79" s="205">
        <v>1</v>
      </c>
      <c r="K79" s="161">
        <v>0</v>
      </c>
      <c r="L79" s="161">
        <v>1</v>
      </c>
      <c r="M79" s="161">
        <v>0</v>
      </c>
      <c r="N79" s="161">
        <v>0</v>
      </c>
      <c r="O79" s="161">
        <v>1</v>
      </c>
      <c r="P79" s="161">
        <v>1</v>
      </c>
      <c r="Q79" s="161">
        <v>1</v>
      </c>
      <c r="R79" s="201">
        <v>397000</v>
      </c>
      <c r="S79" s="201">
        <v>131034</v>
      </c>
      <c r="T79" s="160">
        <f>IF(G79="","",IFERROR(IF(S79/R79&gt;'פרמטרים לקריטריונים'!$C$20,1,0),0))</f>
        <v>1</v>
      </c>
      <c r="U79" s="201">
        <v>127171</v>
      </c>
      <c r="V79" s="160">
        <f>IF(G79="","",IFERROR(IF(U79/R79&gt;'פרמטרים לקריטריונים'!$C$21,1,IF(AND(I79=$BW$5,U79/R79&gt;'פרמטרים לקריטריונים'!$C$22),1,0)),0))</f>
        <v>1</v>
      </c>
      <c r="W79" s="161">
        <v>1</v>
      </c>
      <c r="X79" s="161">
        <v>1</v>
      </c>
      <c r="Y79" s="201">
        <v>27500</v>
      </c>
      <c r="Z79" s="201">
        <v>27500</v>
      </c>
      <c r="AA79" s="161">
        <f t="shared" si="124"/>
        <v>1</v>
      </c>
      <c r="AB79" s="161"/>
      <c r="AC79" s="161"/>
      <c r="AD79" s="161"/>
      <c r="AE79" s="161"/>
      <c r="AF79" s="161"/>
      <c r="AG79" s="161"/>
      <c r="AH79" s="161"/>
      <c r="AI79" s="161"/>
      <c r="AJ79" s="161"/>
      <c r="AK79" s="161"/>
      <c r="AL79" s="161"/>
      <c r="AM79" s="161"/>
      <c r="AN79" s="161"/>
      <c r="AO79" s="161"/>
      <c r="AP79" s="161"/>
      <c r="AQ79" s="161"/>
      <c r="AR79" s="161"/>
      <c r="AS79" s="161"/>
      <c r="AT79" s="161"/>
      <c r="AU79" s="161"/>
      <c r="AV79" s="161"/>
      <c r="AW79" s="160"/>
      <c r="AX79" s="161"/>
      <c r="AY79" s="161"/>
      <c r="AZ79" s="161"/>
      <c r="BA79" s="161"/>
      <c r="BB79" s="161"/>
      <c r="BC79" s="161"/>
      <c r="BD79" s="161"/>
      <c r="BE79" s="161"/>
      <c r="BF79" s="160" t="str">
        <f t="shared" si="125"/>
        <v/>
      </c>
      <c r="BG79" s="160"/>
      <c r="BH79" s="160"/>
      <c r="BI79" s="160"/>
      <c r="BJ79" s="160"/>
      <c r="BK79" s="160"/>
      <c r="BL79" s="162">
        <f t="shared" si="75"/>
        <v>1</v>
      </c>
      <c r="BM79" s="257"/>
      <c r="BN79" s="163"/>
      <c r="BO79" s="211" t="str">
        <f t="shared" si="76"/>
        <v>מכון בר דוד לאמנותמוזיאונים</v>
      </c>
      <c r="BP79" s="125">
        <f t="shared" si="77"/>
        <v>1</v>
      </c>
      <c r="BQ79" s="164">
        <v>0</v>
      </c>
      <c r="BR79" s="164">
        <v>1</v>
      </c>
      <c r="BS79" s="149">
        <f t="shared" si="78"/>
        <v>1</v>
      </c>
      <c r="BT79" s="149">
        <f t="shared" si="79"/>
        <v>1</v>
      </c>
      <c r="BU79" s="149">
        <f t="shared" si="80"/>
        <v>1</v>
      </c>
      <c r="BV79" s="149">
        <f t="shared" si="81"/>
        <v>1</v>
      </c>
      <c r="BW79" s="149">
        <f t="shared" si="82"/>
        <v>1</v>
      </c>
      <c r="BX79" s="149">
        <f t="shared" si="83"/>
        <v>1</v>
      </c>
      <c r="BY79" s="149">
        <f t="shared" si="84"/>
        <v>1</v>
      </c>
      <c r="BZ79" s="149">
        <f t="shared" si="85"/>
        <v>1</v>
      </c>
      <c r="CA79" s="149">
        <f t="shared" si="86"/>
        <v>1</v>
      </c>
      <c r="CB79" s="149">
        <f t="shared" si="87"/>
        <v>1</v>
      </c>
      <c r="CC79" s="149">
        <f t="shared" si="88"/>
        <v>1</v>
      </c>
      <c r="CD79" s="149">
        <f t="shared" si="89"/>
        <v>1</v>
      </c>
      <c r="CE79" s="149">
        <f t="shared" si="90"/>
        <v>1</v>
      </c>
      <c r="CF79" s="149">
        <f t="shared" si="91"/>
        <v>1</v>
      </c>
      <c r="CG79" s="149">
        <f t="shared" si="92"/>
        <v>1</v>
      </c>
      <c r="CH79" s="149">
        <f t="shared" si="93"/>
        <v>1</v>
      </c>
      <c r="CI79" s="149">
        <f t="shared" si="94"/>
        <v>1</v>
      </c>
      <c r="CJ79" s="149">
        <f t="shared" si="95"/>
        <v>1</v>
      </c>
      <c r="CK79" s="149">
        <f t="shared" si="96"/>
        <v>1</v>
      </c>
      <c r="CL79" s="149">
        <f t="shared" si="97"/>
        <v>1</v>
      </c>
      <c r="CM79" s="149">
        <f t="shared" si="98"/>
        <v>1</v>
      </c>
      <c r="CN79" s="149">
        <f t="shared" si="99"/>
        <v>1</v>
      </c>
      <c r="CO79" s="149">
        <f t="shared" si="100"/>
        <v>1</v>
      </c>
      <c r="CP79" s="149">
        <f t="shared" si="101"/>
        <v>1</v>
      </c>
      <c r="CQ79" s="149">
        <f t="shared" si="102"/>
        <v>1</v>
      </c>
      <c r="CR79" s="149">
        <f t="shared" si="103"/>
        <v>1</v>
      </c>
      <c r="CS79" s="149">
        <f t="shared" si="104"/>
        <v>1</v>
      </c>
      <c r="CT79" s="149">
        <f t="shared" si="105"/>
        <v>1</v>
      </c>
      <c r="CU79" s="149">
        <f t="shared" si="106"/>
        <v>1</v>
      </c>
      <c r="CV79" s="149">
        <f t="shared" si="107"/>
        <v>1</v>
      </c>
      <c r="CW79" s="149">
        <f t="shared" si="108"/>
        <v>1</v>
      </c>
      <c r="CX79" s="149">
        <f t="shared" si="109"/>
        <v>1</v>
      </c>
      <c r="CY79" s="149">
        <f t="shared" si="110"/>
        <v>1</v>
      </c>
      <c r="CZ79" s="149">
        <f t="shared" si="111"/>
        <v>1</v>
      </c>
      <c r="DA79" s="149">
        <f t="shared" si="112"/>
        <v>1</v>
      </c>
      <c r="DB79" s="149">
        <f t="shared" si="113"/>
        <v>1</v>
      </c>
      <c r="DG79" s="125">
        <f t="shared" si="126"/>
        <v>1</v>
      </c>
      <c r="DH79" s="125">
        <f t="shared" si="130"/>
        <v>2</v>
      </c>
      <c r="DI79" s="125">
        <f t="shared" si="130"/>
        <v>3</v>
      </c>
      <c r="DJ79" s="125">
        <f t="shared" si="130"/>
        <v>4</v>
      </c>
      <c r="DK79" s="125">
        <f t="shared" si="130"/>
        <v>5</v>
      </c>
      <c r="DL79" s="125">
        <f t="shared" si="130"/>
        <v>6</v>
      </c>
      <c r="DM79" s="125">
        <f t="shared" si="130"/>
        <v>7</v>
      </c>
      <c r="DN79" s="125">
        <f t="shared" si="130"/>
        <v>8</v>
      </c>
      <c r="DO79" s="125">
        <f t="shared" si="130"/>
        <v>9</v>
      </c>
      <c r="DP79" s="125">
        <f t="shared" si="130"/>
        <v>10</v>
      </c>
      <c r="DS79" s="137"/>
      <c r="DT79" s="137"/>
      <c r="DU79" s="137"/>
      <c r="DV79" s="137" t="b">
        <f t="shared" si="115"/>
        <v>0</v>
      </c>
      <c r="DW79" s="137" t="b">
        <f t="shared" si="116"/>
        <v>0</v>
      </c>
      <c r="DX79" s="137" t="b">
        <f t="shared" si="117"/>
        <v>1</v>
      </c>
      <c r="EB79" s="131">
        <f t="shared" si="127"/>
        <v>1</v>
      </c>
      <c r="EC79" s="137" t="b">
        <f t="shared" si="118"/>
        <v>0</v>
      </c>
      <c r="ED79" s="137" t="b">
        <f t="shared" si="119"/>
        <v>0</v>
      </c>
      <c r="EE79" s="137" t="b">
        <f t="shared" si="120"/>
        <v>1</v>
      </c>
      <c r="EF79" s="137"/>
      <c r="EG79" s="137"/>
      <c r="EH79" s="137"/>
      <c r="EI79" s="137"/>
      <c r="EJ79" s="137">
        <f t="shared" si="128"/>
        <v>1</v>
      </c>
      <c r="EK79" s="125">
        <f t="shared" si="121"/>
        <v>0</v>
      </c>
      <c r="EL79" s="125">
        <f t="shared" si="122"/>
        <v>0</v>
      </c>
    </row>
    <row r="80" spans="2:142" ht="15.75" x14ac:dyDescent="0.25">
      <c r="B80" s="160">
        <f t="shared" si="123"/>
        <v>50</v>
      </c>
      <c r="C80" s="205">
        <v>1001348701</v>
      </c>
      <c r="D80" s="205">
        <v>1001266423</v>
      </c>
      <c r="E80" s="205">
        <v>40000341</v>
      </c>
      <c r="F80" s="118">
        <f>IF(OR(J80="",H80=""),"",VLOOKUP(J80,'הזנה לסיווג רשויות'!$B$2:$D$301,2,0))</f>
        <v>20000182</v>
      </c>
      <c r="G80" s="118" t="str">
        <f>IF(OR(J80="",H80=""),"",VLOOKUP(J80,'הזנה לסיווג רשויות'!$B$2:$D$301,3,0))</f>
        <v>חיפה</v>
      </c>
      <c r="H80" s="281" t="s">
        <v>575</v>
      </c>
      <c r="I80" s="201" t="s">
        <v>375</v>
      </c>
      <c r="J80" s="205">
        <v>4000</v>
      </c>
      <c r="K80" s="161">
        <v>0</v>
      </c>
      <c r="L80" s="161">
        <v>1</v>
      </c>
      <c r="M80" s="161">
        <v>0</v>
      </c>
      <c r="N80" s="161">
        <v>1</v>
      </c>
      <c r="O80" s="161">
        <v>1</v>
      </c>
      <c r="P80" s="161">
        <v>1</v>
      </c>
      <c r="Q80" s="161">
        <v>1</v>
      </c>
      <c r="R80" s="201">
        <v>25364543</v>
      </c>
      <c r="S80" s="201">
        <v>20040970</v>
      </c>
      <c r="T80" s="160">
        <f>IF(G80="","",IFERROR(IF(S80/R80&gt;'פרמטרים לקריטריונים'!$C$20,1,0),0))</f>
        <v>1</v>
      </c>
      <c r="U80" s="201">
        <v>4890683</v>
      </c>
      <c r="V80" s="160">
        <f>IF(G80="","",IFERROR(IF(U80/R80&gt;'פרמטרים לקריטריונים'!$C$21,1,IF(AND(I80=$BW$5,U80/R80&gt;'פרמטרים לקריטריונים'!$C$22),1,0)),0))</f>
        <v>1</v>
      </c>
      <c r="W80" s="161">
        <v>1</v>
      </c>
      <c r="X80" s="161">
        <v>1</v>
      </c>
      <c r="Y80" s="201">
        <v>3000000</v>
      </c>
      <c r="Z80" s="201">
        <v>3000000</v>
      </c>
      <c r="AA80" s="161">
        <f t="shared" si="124"/>
        <v>1</v>
      </c>
      <c r="AB80" s="161"/>
      <c r="AC80" s="161"/>
      <c r="AD80" s="161"/>
      <c r="AE80" s="161"/>
      <c r="AF80" s="161"/>
      <c r="AG80" s="161"/>
      <c r="AH80" s="161"/>
      <c r="AI80" s="161"/>
      <c r="AJ80" s="161"/>
      <c r="AK80" s="161"/>
      <c r="AL80" s="161"/>
      <c r="AM80" s="161"/>
      <c r="AN80" s="161"/>
      <c r="AO80" s="161"/>
      <c r="AP80" s="161"/>
      <c r="AQ80" s="161"/>
      <c r="AR80" s="161"/>
      <c r="AS80" s="161"/>
      <c r="AT80" s="161"/>
      <c r="AU80" s="161"/>
      <c r="AV80" s="161"/>
      <c r="AW80" s="160"/>
      <c r="AX80" s="161"/>
      <c r="AY80" s="161"/>
      <c r="AZ80" s="161"/>
      <c r="BA80" s="161"/>
      <c r="BB80" s="161"/>
      <c r="BC80" s="161"/>
      <c r="BD80" s="161"/>
      <c r="BE80" s="161"/>
      <c r="BF80" s="160" t="str">
        <f t="shared" si="125"/>
        <v/>
      </c>
      <c r="BG80" s="160"/>
      <c r="BH80" s="160"/>
      <c r="BI80" s="160"/>
      <c r="BJ80" s="160"/>
      <c r="BK80" s="160"/>
      <c r="BL80" s="162">
        <f t="shared" si="75"/>
        <v>1</v>
      </c>
      <c r="BM80" s="257"/>
      <c r="BN80" s="163"/>
      <c r="BO80" s="211" t="str">
        <f t="shared" si="76"/>
        <v>מדעטק- המוזיאון הלאומי למדעמוזיאונים</v>
      </c>
      <c r="BP80" s="125">
        <f t="shared" si="77"/>
        <v>1</v>
      </c>
      <c r="BQ80" s="164">
        <v>0</v>
      </c>
      <c r="BR80" s="164">
        <v>1</v>
      </c>
      <c r="BS80" s="149">
        <f t="shared" si="78"/>
        <v>1</v>
      </c>
      <c r="BT80" s="149">
        <f t="shared" si="79"/>
        <v>1</v>
      </c>
      <c r="BU80" s="149">
        <f t="shared" si="80"/>
        <v>1</v>
      </c>
      <c r="BV80" s="149">
        <f t="shared" si="81"/>
        <v>1</v>
      </c>
      <c r="BW80" s="149">
        <f t="shared" si="82"/>
        <v>1</v>
      </c>
      <c r="BX80" s="149">
        <f t="shared" si="83"/>
        <v>1</v>
      </c>
      <c r="BY80" s="149">
        <f t="shared" si="84"/>
        <v>1</v>
      </c>
      <c r="BZ80" s="149">
        <f t="shared" si="85"/>
        <v>1</v>
      </c>
      <c r="CA80" s="149">
        <f t="shared" si="86"/>
        <v>1</v>
      </c>
      <c r="CB80" s="149">
        <f t="shared" si="87"/>
        <v>1</v>
      </c>
      <c r="CC80" s="149">
        <f t="shared" si="88"/>
        <v>1</v>
      </c>
      <c r="CD80" s="149">
        <f t="shared" si="89"/>
        <v>1</v>
      </c>
      <c r="CE80" s="149">
        <f t="shared" si="90"/>
        <v>1</v>
      </c>
      <c r="CF80" s="149">
        <f t="shared" si="91"/>
        <v>1</v>
      </c>
      <c r="CG80" s="149">
        <f t="shared" si="92"/>
        <v>1</v>
      </c>
      <c r="CH80" s="149">
        <f t="shared" si="93"/>
        <v>1</v>
      </c>
      <c r="CI80" s="149">
        <f t="shared" si="94"/>
        <v>1</v>
      </c>
      <c r="CJ80" s="149">
        <f t="shared" si="95"/>
        <v>1</v>
      </c>
      <c r="CK80" s="149">
        <f t="shared" si="96"/>
        <v>1</v>
      </c>
      <c r="CL80" s="149">
        <f t="shared" si="97"/>
        <v>1</v>
      </c>
      <c r="CM80" s="149">
        <f t="shared" si="98"/>
        <v>1</v>
      </c>
      <c r="CN80" s="149">
        <f t="shared" si="99"/>
        <v>1</v>
      </c>
      <c r="CO80" s="149">
        <f t="shared" si="100"/>
        <v>1</v>
      </c>
      <c r="CP80" s="149">
        <f t="shared" si="101"/>
        <v>1</v>
      </c>
      <c r="CQ80" s="149">
        <f t="shared" si="102"/>
        <v>1</v>
      </c>
      <c r="CR80" s="149">
        <f t="shared" si="103"/>
        <v>1</v>
      </c>
      <c r="CS80" s="149">
        <f t="shared" si="104"/>
        <v>1</v>
      </c>
      <c r="CT80" s="149">
        <f t="shared" si="105"/>
        <v>1</v>
      </c>
      <c r="CU80" s="149">
        <f t="shared" si="106"/>
        <v>1</v>
      </c>
      <c r="CV80" s="149">
        <f t="shared" si="107"/>
        <v>1</v>
      </c>
      <c r="CW80" s="149">
        <f t="shared" si="108"/>
        <v>1</v>
      </c>
      <c r="CX80" s="149">
        <f t="shared" si="109"/>
        <v>1</v>
      </c>
      <c r="CY80" s="149">
        <f t="shared" si="110"/>
        <v>1</v>
      </c>
      <c r="CZ80" s="149">
        <f t="shared" si="111"/>
        <v>1</v>
      </c>
      <c r="DA80" s="149">
        <f t="shared" si="112"/>
        <v>1</v>
      </c>
      <c r="DB80" s="149">
        <f t="shared" si="113"/>
        <v>1</v>
      </c>
      <c r="DG80" s="125">
        <f t="shared" si="126"/>
        <v>1</v>
      </c>
      <c r="DH80" s="125">
        <f t="shared" si="130"/>
        <v>2</v>
      </c>
      <c r="DI80" s="125">
        <f t="shared" si="130"/>
        <v>3</v>
      </c>
      <c r="DJ80" s="125">
        <f t="shared" si="130"/>
        <v>4</v>
      </c>
      <c r="DK80" s="125">
        <f t="shared" si="130"/>
        <v>5</v>
      </c>
      <c r="DL80" s="125">
        <f t="shared" si="130"/>
        <v>6</v>
      </c>
      <c r="DM80" s="125">
        <f t="shared" si="130"/>
        <v>7</v>
      </c>
      <c r="DN80" s="125">
        <f t="shared" si="130"/>
        <v>8</v>
      </c>
      <c r="DO80" s="125">
        <f t="shared" si="130"/>
        <v>9</v>
      </c>
      <c r="DP80" s="125">
        <f t="shared" si="130"/>
        <v>10</v>
      </c>
      <c r="DS80" s="137"/>
      <c r="DT80" s="137"/>
      <c r="DU80" s="137"/>
      <c r="DV80" s="137" t="b">
        <f t="shared" si="115"/>
        <v>0</v>
      </c>
      <c r="DW80" s="137" t="b">
        <f t="shared" si="116"/>
        <v>0</v>
      </c>
      <c r="DX80" s="137" t="b">
        <f t="shared" si="117"/>
        <v>1</v>
      </c>
      <c r="EB80" s="131">
        <f t="shared" si="127"/>
        <v>1</v>
      </c>
      <c r="EC80" s="137" t="b">
        <f t="shared" si="118"/>
        <v>0</v>
      </c>
      <c r="ED80" s="137" t="b">
        <f t="shared" si="119"/>
        <v>0</v>
      </c>
      <c r="EE80" s="137" t="b">
        <f t="shared" si="120"/>
        <v>1</v>
      </c>
      <c r="EF80" s="137"/>
      <c r="EG80" s="137"/>
      <c r="EH80" s="137"/>
      <c r="EI80" s="137"/>
      <c r="EJ80" s="137">
        <f t="shared" si="128"/>
        <v>1</v>
      </c>
      <c r="EK80" s="125">
        <f t="shared" si="121"/>
        <v>0</v>
      </c>
      <c r="EL80" s="125">
        <f t="shared" si="122"/>
        <v>0</v>
      </c>
    </row>
    <row r="81" spans="2:142" ht="15.75" x14ac:dyDescent="0.2">
      <c r="B81" s="160">
        <f t="shared" si="123"/>
        <v>51</v>
      </c>
      <c r="C81" s="205">
        <v>1001346261</v>
      </c>
      <c r="D81" s="205">
        <v>1001274606</v>
      </c>
      <c r="E81" s="205">
        <v>40000183</v>
      </c>
      <c r="F81" s="118">
        <f>IF(OR(J81="",H81=""),"",VLOOKUP(J81,'הזנה לסיווג רשויות'!$B$2:$D$301,2,0))</f>
        <v>20000159</v>
      </c>
      <c r="G81" s="118" t="str">
        <f>IF(OR(J81="",H81=""),"",VLOOKUP(J81,'הזנה לסיווג רשויות'!$B$2:$D$301,3,0))</f>
        <v>ירושלים</v>
      </c>
      <c r="H81" s="201" t="s">
        <v>576</v>
      </c>
      <c r="I81" s="201" t="s">
        <v>375</v>
      </c>
      <c r="J81" s="205">
        <v>3000</v>
      </c>
      <c r="K81" s="161">
        <v>0</v>
      </c>
      <c r="L81" s="161">
        <v>1</v>
      </c>
      <c r="M81" s="161">
        <v>0</v>
      </c>
      <c r="N81" s="161">
        <v>1</v>
      </c>
      <c r="O81" s="161">
        <v>1</v>
      </c>
      <c r="P81" s="161">
        <v>1</v>
      </c>
      <c r="Q81" s="161">
        <v>1</v>
      </c>
      <c r="R81" s="201">
        <v>15560591</v>
      </c>
      <c r="S81" s="201">
        <v>11334556</v>
      </c>
      <c r="T81" s="160">
        <f>IF(G81="","",IFERROR(IF(S81/R81&gt;'פרמטרים לקריטריונים'!$C$20,1,0),0))</f>
        <v>1</v>
      </c>
      <c r="U81" s="201">
        <v>3827998</v>
      </c>
      <c r="V81" s="160">
        <f>IF(G81="","",IFERROR(IF(U81/R81&gt;'פרמטרים לקריטריונים'!$C$21,1,IF(AND(I81=$BW$5,U81/R81&gt;'פרמטרים לקריטריונים'!$C$22),1,0)),0))</f>
        <v>1</v>
      </c>
      <c r="W81" s="161">
        <v>1</v>
      </c>
      <c r="X81" s="161">
        <v>1</v>
      </c>
      <c r="Y81" s="201">
        <v>5000000</v>
      </c>
      <c r="Z81" s="201">
        <v>1000000</v>
      </c>
      <c r="AA81" s="161">
        <f t="shared" si="124"/>
        <v>1</v>
      </c>
      <c r="AB81" s="161"/>
      <c r="AC81" s="161"/>
      <c r="AD81" s="161"/>
      <c r="AE81" s="161"/>
      <c r="AF81" s="161"/>
      <c r="AG81" s="161"/>
      <c r="AH81" s="161"/>
      <c r="AI81" s="161"/>
      <c r="AJ81" s="161"/>
      <c r="AK81" s="161"/>
      <c r="AL81" s="161"/>
      <c r="AM81" s="161"/>
      <c r="AN81" s="161"/>
      <c r="AO81" s="161"/>
      <c r="AP81" s="161"/>
      <c r="AQ81" s="161"/>
      <c r="AR81" s="161"/>
      <c r="AS81" s="161"/>
      <c r="AT81" s="161"/>
      <c r="AU81" s="161"/>
      <c r="AV81" s="161"/>
      <c r="AW81" s="160"/>
      <c r="AX81" s="161"/>
      <c r="AY81" s="161"/>
      <c r="AZ81" s="161"/>
      <c r="BA81" s="161"/>
      <c r="BB81" s="161"/>
      <c r="BC81" s="161"/>
      <c r="BD81" s="161"/>
      <c r="BE81" s="161"/>
      <c r="BF81" s="160" t="str">
        <f t="shared" si="125"/>
        <v/>
      </c>
      <c r="BG81" s="160"/>
      <c r="BH81" s="160"/>
      <c r="BI81" s="160"/>
      <c r="BJ81" s="160"/>
      <c r="BK81" s="160"/>
      <c r="BL81" s="162">
        <f t="shared" si="75"/>
        <v>1</v>
      </c>
      <c r="BM81" s="257"/>
      <c r="BN81" s="163"/>
      <c r="BO81" s="211" t="str">
        <f t="shared" si="76"/>
        <v>מוזיאון המדע ע"ש בלומפילד ירושליםמוזיאונים</v>
      </c>
      <c r="BP81" s="125">
        <f t="shared" si="77"/>
        <v>1</v>
      </c>
      <c r="BQ81" s="164">
        <v>0</v>
      </c>
      <c r="BR81" s="164">
        <v>1</v>
      </c>
      <c r="BS81" s="149">
        <f t="shared" si="78"/>
        <v>1</v>
      </c>
      <c r="BT81" s="149">
        <f t="shared" si="79"/>
        <v>1</v>
      </c>
      <c r="BU81" s="149">
        <f t="shared" si="80"/>
        <v>1</v>
      </c>
      <c r="BV81" s="149">
        <f t="shared" si="81"/>
        <v>1</v>
      </c>
      <c r="BW81" s="149">
        <f t="shared" si="82"/>
        <v>1</v>
      </c>
      <c r="BX81" s="149">
        <f t="shared" si="83"/>
        <v>1</v>
      </c>
      <c r="BY81" s="149">
        <f t="shared" si="84"/>
        <v>1</v>
      </c>
      <c r="BZ81" s="149">
        <f t="shared" si="85"/>
        <v>1</v>
      </c>
      <c r="CA81" s="149">
        <f t="shared" si="86"/>
        <v>1</v>
      </c>
      <c r="CB81" s="149">
        <f t="shared" si="87"/>
        <v>1</v>
      </c>
      <c r="CC81" s="149">
        <f t="shared" si="88"/>
        <v>1</v>
      </c>
      <c r="CD81" s="149">
        <f t="shared" si="89"/>
        <v>1</v>
      </c>
      <c r="CE81" s="149">
        <f t="shared" si="90"/>
        <v>1</v>
      </c>
      <c r="CF81" s="149">
        <f t="shared" si="91"/>
        <v>1</v>
      </c>
      <c r="CG81" s="149">
        <f t="shared" si="92"/>
        <v>1</v>
      </c>
      <c r="CH81" s="149">
        <f t="shared" si="93"/>
        <v>1</v>
      </c>
      <c r="CI81" s="149">
        <f t="shared" si="94"/>
        <v>1</v>
      </c>
      <c r="CJ81" s="149">
        <f t="shared" si="95"/>
        <v>1</v>
      </c>
      <c r="CK81" s="149">
        <f t="shared" si="96"/>
        <v>1</v>
      </c>
      <c r="CL81" s="149">
        <f t="shared" si="97"/>
        <v>1</v>
      </c>
      <c r="CM81" s="149">
        <f t="shared" si="98"/>
        <v>1</v>
      </c>
      <c r="CN81" s="149">
        <f t="shared" si="99"/>
        <v>1</v>
      </c>
      <c r="CO81" s="149">
        <f t="shared" si="100"/>
        <v>1</v>
      </c>
      <c r="CP81" s="149">
        <f t="shared" si="101"/>
        <v>1</v>
      </c>
      <c r="CQ81" s="149">
        <f t="shared" si="102"/>
        <v>1</v>
      </c>
      <c r="CR81" s="149">
        <f t="shared" si="103"/>
        <v>1</v>
      </c>
      <c r="CS81" s="149">
        <f t="shared" si="104"/>
        <v>1</v>
      </c>
      <c r="CT81" s="149">
        <f t="shared" si="105"/>
        <v>1</v>
      </c>
      <c r="CU81" s="149">
        <f t="shared" si="106"/>
        <v>1</v>
      </c>
      <c r="CV81" s="149">
        <f t="shared" si="107"/>
        <v>1</v>
      </c>
      <c r="CW81" s="149">
        <f t="shared" si="108"/>
        <v>1</v>
      </c>
      <c r="CX81" s="149">
        <f t="shared" si="109"/>
        <v>1</v>
      </c>
      <c r="CY81" s="149">
        <f t="shared" si="110"/>
        <v>1</v>
      </c>
      <c r="CZ81" s="149">
        <f t="shared" si="111"/>
        <v>1</v>
      </c>
      <c r="DA81" s="149">
        <f t="shared" si="112"/>
        <v>1</v>
      </c>
      <c r="DB81" s="149">
        <f t="shared" si="113"/>
        <v>1</v>
      </c>
      <c r="DG81" s="125">
        <f t="shared" si="126"/>
        <v>1</v>
      </c>
      <c r="DH81" s="125">
        <f t="shared" si="130"/>
        <v>2</v>
      </c>
      <c r="DI81" s="125">
        <f t="shared" si="130"/>
        <v>3</v>
      </c>
      <c r="DJ81" s="125">
        <f t="shared" si="130"/>
        <v>4</v>
      </c>
      <c r="DK81" s="125">
        <f t="shared" si="130"/>
        <v>5</v>
      </c>
      <c r="DL81" s="125">
        <f t="shared" si="130"/>
        <v>6</v>
      </c>
      <c r="DM81" s="125">
        <f t="shared" si="130"/>
        <v>7</v>
      </c>
      <c r="DN81" s="125">
        <f t="shared" si="130"/>
        <v>8</v>
      </c>
      <c r="DO81" s="125">
        <f t="shared" si="130"/>
        <v>9</v>
      </c>
      <c r="DP81" s="125">
        <f t="shared" si="130"/>
        <v>10</v>
      </c>
      <c r="DS81" s="137"/>
      <c r="DT81" s="137"/>
      <c r="DU81" s="137"/>
      <c r="DV81" s="137" t="b">
        <f t="shared" si="115"/>
        <v>0</v>
      </c>
      <c r="DW81" s="137" t="b">
        <f t="shared" si="116"/>
        <v>0</v>
      </c>
      <c r="DX81" s="137" t="b">
        <f t="shared" si="117"/>
        <v>1</v>
      </c>
      <c r="EB81" s="131">
        <f t="shared" si="127"/>
        <v>1</v>
      </c>
      <c r="EC81" s="137" t="b">
        <f t="shared" si="118"/>
        <v>0</v>
      </c>
      <c r="ED81" s="137" t="b">
        <f t="shared" si="119"/>
        <v>0</v>
      </c>
      <c r="EE81" s="137" t="b">
        <f t="shared" si="120"/>
        <v>1</v>
      </c>
      <c r="EF81" s="137"/>
      <c r="EG81" s="137"/>
      <c r="EH81" s="137"/>
      <c r="EI81" s="137"/>
      <c r="EJ81" s="137">
        <f t="shared" si="128"/>
        <v>1</v>
      </c>
      <c r="EK81" s="125">
        <f t="shared" si="121"/>
        <v>0</v>
      </c>
      <c r="EL81" s="125">
        <f t="shared" si="122"/>
        <v>0</v>
      </c>
    </row>
    <row r="82" spans="2:142" ht="30" x14ac:dyDescent="0.25">
      <c r="B82" s="160">
        <f t="shared" si="123"/>
        <v>52</v>
      </c>
      <c r="C82" s="205">
        <v>1001349066</v>
      </c>
      <c r="D82" s="205">
        <v>1001268608</v>
      </c>
      <c r="E82" s="205">
        <v>40000293</v>
      </c>
      <c r="F82" s="118">
        <f>IF(OR(J82="",H82=""),"",VLOOKUP(J82,'הזנה לסיווג רשויות'!$B$2:$D$301,2,0))</f>
        <v>20000224</v>
      </c>
      <c r="G82" s="118" t="str">
        <f>IF(OR(J82="",H82=""),"",VLOOKUP(J82,'הזנה לסיווג רשויות'!$B$2:$D$301,3,0))</f>
        <v>חולון</v>
      </c>
      <c r="H82" s="281" t="s">
        <v>577</v>
      </c>
      <c r="I82" s="201" t="s">
        <v>373</v>
      </c>
      <c r="J82" s="205">
        <v>6600</v>
      </c>
      <c r="K82" s="161">
        <v>0</v>
      </c>
      <c r="L82" s="161">
        <v>1</v>
      </c>
      <c r="M82" s="161">
        <v>0</v>
      </c>
      <c r="N82" s="161">
        <v>0</v>
      </c>
      <c r="O82" s="161">
        <v>1</v>
      </c>
      <c r="P82" s="161">
        <v>1</v>
      </c>
      <c r="Q82" s="161">
        <v>1</v>
      </c>
      <c r="R82" s="201">
        <v>13778524</v>
      </c>
      <c r="S82" s="201">
        <v>5084758</v>
      </c>
      <c r="T82" s="160">
        <f>IF(G82="","",IFERROR(IF(S82/R82&gt;'פרמטרים לקריטריונים'!$C$20,1,0),0))</f>
        <v>1</v>
      </c>
      <c r="U82" s="201">
        <v>4585635</v>
      </c>
      <c r="V82" s="160">
        <f>IF(G82="","",IFERROR(IF(U82/R82&gt;'פרמטרים לקריטריונים'!$C$21,1,IF(AND(I82=$BW$5,U82/R82&gt;'פרמטרים לקריטריונים'!$C$22),1,0)),0))</f>
        <v>1</v>
      </c>
      <c r="W82" s="161">
        <v>1</v>
      </c>
      <c r="X82" s="161">
        <v>1</v>
      </c>
      <c r="Y82" s="201">
        <v>1300000</v>
      </c>
      <c r="Z82" s="201">
        <v>1300000</v>
      </c>
      <c r="AA82" s="161">
        <f t="shared" si="124"/>
        <v>1</v>
      </c>
      <c r="AB82" s="161"/>
      <c r="AC82" s="161"/>
      <c r="AD82" s="161"/>
      <c r="AE82" s="161"/>
      <c r="AF82" s="161"/>
      <c r="AG82" s="161"/>
      <c r="AH82" s="161"/>
      <c r="AI82" s="161"/>
      <c r="AJ82" s="161"/>
      <c r="AK82" s="161"/>
      <c r="AL82" s="161"/>
      <c r="AM82" s="161"/>
      <c r="AN82" s="161"/>
      <c r="AO82" s="161"/>
      <c r="AP82" s="161"/>
      <c r="AQ82" s="161"/>
      <c r="AR82" s="161"/>
      <c r="AS82" s="161"/>
      <c r="AT82" s="161"/>
      <c r="AU82" s="161"/>
      <c r="AV82" s="161"/>
      <c r="AW82" s="160"/>
      <c r="AX82" s="161"/>
      <c r="AY82" s="161"/>
      <c r="AZ82" s="161"/>
      <c r="BA82" s="161"/>
      <c r="BB82" s="161"/>
      <c r="BC82" s="161"/>
      <c r="BD82" s="161"/>
      <c r="BE82" s="161"/>
      <c r="BF82" s="160" t="str">
        <f t="shared" si="125"/>
        <v/>
      </c>
      <c r="BG82" s="160"/>
      <c r="BH82" s="160"/>
      <c r="BI82" s="160"/>
      <c r="BJ82" s="160"/>
      <c r="BK82" s="160"/>
      <c r="BL82" s="162">
        <f t="shared" si="75"/>
        <v>1</v>
      </c>
      <c r="BM82" s="257"/>
      <c r="BN82" s="163"/>
      <c r="BO82" s="211" t="str">
        <f t="shared" si="76"/>
        <v>החברה לפיתוח תיאטרון מוזיקה אומנות ומחול חולוןתיאטרון</v>
      </c>
      <c r="BP82" s="125">
        <f t="shared" si="77"/>
        <v>1</v>
      </c>
      <c r="BQ82" s="164">
        <v>0</v>
      </c>
      <c r="BR82" s="164">
        <v>1</v>
      </c>
      <c r="BS82" s="149">
        <f t="shared" si="78"/>
        <v>1</v>
      </c>
      <c r="BT82" s="149">
        <f t="shared" si="79"/>
        <v>1</v>
      </c>
      <c r="BU82" s="149">
        <f t="shared" si="80"/>
        <v>1</v>
      </c>
      <c r="BV82" s="149">
        <f t="shared" si="81"/>
        <v>1</v>
      </c>
      <c r="BW82" s="149">
        <f t="shared" si="82"/>
        <v>1</v>
      </c>
      <c r="BX82" s="149">
        <f t="shared" si="83"/>
        <v>1</v>
      </c>
      <c r="BY82" s="149">
        <f t="shared" si="84"/>
        <v>1</v>
      </c>
      <c r="BZ82" s="149">
        <f t="shared" si="85"/>
        <v>1</v>
      </c>
      <c r="CA82" s="149">
        <f t="shared" si="86"/>
        <v>1</v>
      </c>
      <c r="CB82" s="149">
        <f t="shared" si="87"/>
        <v>1</v>
      </c>
      <c r="CC82" s="149">
        <f t="shared" si="88"/>
        <v>1</v>
      </c>
      <c r="CD82" s="149">
        <f t="shared" si="89"/>
        <v>1</v>
      </c>
      <c r="CE82" s="149">
        <f t="shared" si="90"/>
        <v>1</v>
      </c>
      <c r="CF82" s="149">
        <f t="shared" si="91"/>
        <v>1</v>
      </c>
      <c r="CG82" s="149">
        <f t="shared" si="92"/>
        <v>1</v>
      </c>
      <c r="CH82" s="149">
        <f t="shared" si="93"/>
        <v>1</v>
      </c>
      <c r="CI82" s="149">
        <f t="shared" si="94"/>
        <v>1</v>
      </c>
      <c r="CJ82" s="149">
        <f t="shared" si="95"/>
        <v>1</v>
      </c>
      <c r="CK82" s="149">
        <f t="shared" si="96"/>
        <v>1</v>
      </c>
      <c r="CL82" s="149">
        <f t="shared" si="97"/>
        <v>1</v>
      </c>
      <c r="CM82" s="149">
        <f t="shared" si="98"/>
        <v>1</v>
      </c>
      <c r="CN82" s="149">
        <f t="shared" si="99"/>
        <v>1</v>
      </c>
      <c r="CO82" s="149">
        <f t="shared" si="100"/>
        <v>1</v>
      </c>
      <c r="CP82" s="149">
        <f t="shared" si="101"/>
        <v>1</v>
      </c>
      <c r="CQ82" s="149">
        <f t="shared" si="102"/>
        <v>1</v>
      </c>
      <c r="CR82" s="149">
        <f t="shared" si="103"/>
        <v>1</v>
      </c>
      <c r="CS82" s="149">
        <f t="shared" si="104"/>
        <v>1</v>
      </c>
      <c r="CT82" s="149">
        <f t="shared" si="105"/>
        <v>1</v>
      </c>
      <c r="CU82" s="149">
        <f t="shared" si="106"/>
        <v>1</v>
      </c>
      <c r="CV82" s="149">
        <f t="shared" si="107"/>
        <v>1</v>
      </c>
      <c r="CW82" s="149">
        <f t="shared" si="108"/>
        <v>1</v>
      </c>
      <c r="CX82" s="149">
        <f t="shared" si="109"/>
        <v>1</v>
      </c>
      <c r="CY82" s="149">
        <f t="shared" si="110"/>
        <v>1</v>
      </c>
      <c r="CZ82" s="149">
        <f t="shared" si="111"/>
        <v>1</v>
      </c>
      <c r="DA82" s="149">
        <f t="shared" si="112"/>
        <v>1</v>
      </c>
      <c r="DB82" s="149">
        <f t="shared" si="113"/>
        <v>1</v>
      </c>
      <c r="DG82" s="125">
        <f t="shared" si="126"/>
        <v>1</v>
      </c>
      <c r="DH82" s="125">
        <f t="shared" si="130"/>
        <v>2</v>
      </c>
      <c r="DI82" s="125">
        <f t="shared" si="130"/>
        <v>3</v>
      </c>
      <c r="DJ82" s="125">
        <f t="shared" si="130"/>
        <v>4</v>
      </c>
      <c r="DK82" s="125">
        <f t="shared" si="130"/>
        <v>5</v>
      </c>
      <c r="DL82" s="125">
        <f t="shared" si="130"/>
        <v>6</v>
      </c>
      <c r="DM82" s="125">
        <f t="shared" si="130"/>
        <v>7</v>
      </c>
      <c r="DN82" s="125">
        <f t="shared" si="130"/>
        <v>8</v>
      </c>
      <c r="DO82" s="125">
        <f t="shared" si="130"/>
        <v>9</v>
      </c>
      <c r="DP82" s="125">
        <f t="shared" si="130"/>
        <v>10</v>
      </c>
      <c r="DS82" s="137"/>
      <c r="DT82" s="137"/>
      <c r="DU82" s="137"/>
      <c r="DV82" s="137" t="b">
        <f t="shared" si="115"/>
        <v>0</v>
      </c>
      <c r="DW82" s="137" t="b">
        <f t="shared" si="116"/>
        <v>0</v>
      </c>
      <c r="DX82" s="137" t="b">
        <f t="shared" si="117"/>
        <v>1</v>
      </c>
      <c r="EB82" s="131">
        <f t="shared" si="127"/>
        <v>1</v>
      </c>
      <c r="EC82" s="137" t="b">
        <f t="shared" si="118"/>
        <v>0</v>
      </c>
      <c r="ED82" s="137" t="b">
        <f t="shared" si="119"/>
        <v>0</v>
      </c>
      <c r="EE82" s="137" t="b">
        <f t="shared" si="120"/>
        <v>1</v>
      </c>
      <c r="EF82" s="137"/>
      <c r="EG82" s="137"/>
      <c r="EH82" s="137"/>
      <c r="EI82" s="137"/>
      <c r="EJ82" s="137">
        <f t="shared" si="128"/>
        <v>1</v>
      </c>
      <c r="EK82" s="125">
        <f t="shared" si="121"/>
        <v>0</v>
      </c>
      <c r="EL82" s="125">
        <f t="shared" si="122"/>
        <v>0</v>
      </c>
    </row>
    <row r="83" spans="2:142" ht="30" x14ac:dyDescent="0.25">
      <c r="B83" s="160">
        <f t="shared" si="123"/>
        <v>53</v>
      </c>
      <c r="C83" s="205">
        <v>1001350257</v>
      </c>
      <c r="D83" s="205">
        <v>1001268522</v>
      </c>
      <c r="E83" s="205">
        <v>40000293</v>
      </c>
      <c r="F83" s="118">
        <f>IF(OR(J83="",H83=""),"",VLOOKUP(J83,'הזנה לסיווג רשויות'!$B$2:$D$301,2,0))</f>
        <v>20000224</v>
      </c>
      <c r="G83" s="118" t="str">
        <f>IF(OR(J83="",H83=""),"",VLOOKUP(J83,'הזנה לסיווג רשויות'!$B$2:$D$301,3,0))</f>
        <v>חולון</v>
      </c>
      <c r="H83" s="281" t="s">
        <v>577</v>
      </c>
      <c r="I83" s="201" t="s">
        <v>375</v>
      </c>
      <c r="J83" s="205">
        <v>6600</v>
      </c>
      <c r="K83" s="161">
        <v>0</v>
      </c>
      <c r="L83" s="161">
        <v>1</v>
      </c>
      <c r="M83" s="161">
        <v>0</v>
      </c>
      <c r="N83" s="161">
        <v>0</v>
      </c>
      <c r="O83" s="161">
        <v>1</v>
      </c>
      <c r="P83" s="161">
        <v>1</v>
      </c>
      <c r="Q83" s="161">
        <v>1</v>
      </c>
      <c r="R83" s="201">
        <v>9786779</v>
      </c>
      <c r="S83" s="201">
        <v>3062599</v>
      </c>
      <c r="T83" s="160">
        <f>IF(G83="","",IFERROR(IF(S83/R83&gt;'פרמטרים לקריטריונים'!$C$20,1,0),0))</f>
        <v>1</v>
      </c>
      <c r="U83" s="201">
        <v>2068097</v>
      </c>
      <c r="V83" s="160">
        <f>IF(G83="","",IFERROR(IF(U83/R83&gt;'פרמטרים לקריטריונים'!$C$21,1,IF(AND(I83=$BW$5,U83/R83&gt;'פרמטרים לקריטריונים'!$C$22),1,0)),0))</f>
        <v>1</v>
      </c>
      <c r="W83" s="161">
        <v>1</v>
      </c>
      <c r="X83" s="161">
        <v>1</v>
      </c>
      <c r="Y83" s="201">
        <v>850000</v>
      </c>
      <c r="Z83" s="201">
        <v>850000</v>
      </c>
      <c r="AA83" s="161">
        <f t="shared" si="124"/>
        <v>1</v>
      </c>
      <c r="AB83" s="161"/>
      <c r="AC83" s="161"/>
      <c r="AD83" s="161"/>
      <c r="AE83" s="161"/>
      <c r="AF83" s="161"/>
      <c r="AG83" s="161"/>
      <c r="AH83" s="161"/>
      <c r="AI83" s="161"/>
      <c r="AJ83" s="161"/>
      <c r="AK83" s="161"/>
      <c r="AL83" s="161"/>
      <c r="AM83" s="161"/>
      <c r="AN83" s="161"/>
      <c r="AO83" s="161"/>
      <c r="AP83" s="161"/>
      <c r="AQ83" s="161"/>
      <c r="AR83" s="161"/>
      <c r="AS83" s="161"/>
      <c r="AT83" s="161"/>
      <c r="AU83" s="161"/>
      <c r="AV83" s="161"/>
      <c r="AW83" s="160"/>
      <c r="AX83" s="161"/>
      <c r="AY83" s="161"/>
      <c r="AZ83" s="161"/>
      <c r="BA83" s="161"/>
      <c r="BB83" s="161"/>
      <c r="BC83" s="161"/>
      <c r="BD83" s="161"/>
      <c r="BE83" s="161"/>
      <c r="BF83" s="160" t="str">
        <f t="shared" si="125"/>
        <v/>
      </c>
      <c r="BG83" s="160"/>
      <c r="BH83" s="160"/>
      <c r="BI83" s="160"/>
      <c r="BJ83" s="160"/>
      <c r="BK83" s="160"/>
      <c r="BL83" s="162">
        <f t="shared" si="75"/>
        <v>1</v>
      </c>
      <c r="BM83" s="257"/>
      <c r="BN83" s="163"/>
      <c r="BO83" s="211" t="str">
        <f t="shared" si="76"/>
        <v>החברה לפיתוח תיאטרון מוזיקה אומנות ומחול חולוןמוזיאונים</v>
      </c>
      <c r="BP83" s="125">
        <f t="shared" si="77"/>
        <v>1</v>
      </c>
      <c r="BQ83" s="164">
        <v>0</v>
      </c>
      <c r="BR83" s="164">
        <v>1</v>
      </c>
      <c r="BS83" s="149">
        <f t="shared" si="78"/>
        <v>1</v>
      </c>
      <c r="BT83" s="149">
        <f t="shared" si="79"/>
        <v>1</v>
      </c>
      <c r="BU83" s="149">
        <f t="shared" si="80"/>
        <v>1</v>
      </c>
      <c r="BV83" s="149">
        <f t="shared" si="81"/>
        <v>1</v>
      </c>
      <c r="BW83" s="149">
        <f t="shared" si="82"/>
        <v>1</v>
      </c>
      <c r="BX83" s="149">
        <f t="shared" si="83"/>
        <v>1</v>
      </c>
      <c r="BY83" s="149">
        <f t="shared" si="84"/>
        <v>1</v>
      </c>
      <c r="BZ83" s="149">
        <f t="shared" si="85"/>
        <v>1</v>
      </c>
      <c r="CA83" s="149">
        <f t="shared" si="86"/>
        <v>1</v>
      </c>
      <c r="CB83" s="149">
        <f t="shared" si="87"/>
        <v>1</v>
      </c>
      <c r="CC83" s="149">
        <f t="shared" si="88"/>
        <v>1</v>
      </c>
      <c r="CD83" s="149">
        <f t="shared" si="89"/>
        <v>1</v>
      </c>
      <c r="CE83" s="149">
        <f t="shared" si="90"/>
        <v>1</v>
      </c>
      <c r="CF83" s="149">
        <f t="shared" si="91"/>
        <v>1</v>
      </c>
      <c r="CG83" s="149">
        <f t="shared" si="92"/>
        <v>1</v>
      </c>
      <c r="CH83" s="149">
        <f t="shared" si="93"/>
        <v>1</v>
      </c>
      <c r="CI83" s="149">
        <f t="shared" si="94"/>
        <v>1</v>
      </c>
      <c r="CJ83" s="149">
        <f t="shared" si="95"/>
        <v>1</v>
      </c>
      <c r="CK83" s="149">
        <f t="shared" si="96"/>
        <v>1</v>
      </c>
      <c r="CL83" s="149">
        <f t="shared" si="97"/>
        <v>1</v>
      </c>
      <c r="CM83" s="149">
        <f t="shared" si="98"/>
        <v>1</v>
      </c>
      <c r="CN83" s="149">
        <f t="shared" si="99"/>
        <v>1</v>
      </c>
      <c r="CO83" s="149">
        <f t="shared" si="100"/>
        <v>1</v>
      </c>
      <c r="CP83" s="149">
        <f t="shared" si="101"/>
        <v>1</v>
      </c>
      <c r="CQ83" s="149">
        <f t="shared" si="102"/>
        <v>1</v>
      </c>
      <c r="CR83" s="149">
        <f t="shared" si="103"/>
        <v>1</v>
      </c>
      <c r="CS83" s="149">
        <f t="shared" si="104"/>
        <v>1</v>
      </c>
      <c r="CT83" s="149">
        <f t="shared" si="105"/>
        <v>1</v>
      </c>
      <c r="CU83" s="149">
        <f t="shared" si="106"/>
        <v>1</v>
      </c>
      <c r="CV83" s="149">
        <f t="shared" si="107"/>
        <v>1</v>
      </c>
      <c r="CW83" s="149">
        <f t="shared" si="108"/>
        <v>1</v>
      </c>
      <c r="CX83" s="149">
        <f t="shared" si="109"/>
        <v>1</v>
      </c>
      <c r="CY83" s="149">
        <f t="shared" si="110"/>
        <v>1</v>
      </c>
      <c r="CZ83" s="149">
        <f t="shared" si="111"/>
        <v>1</v>
      </c>
      <c r="DA83" s="149">
        <f t="shared" si="112"/>
        <v>1</v>
      </c>
      <c r="DB83" s="149">
        <f t="shared" si="113"/>
        <v>1</v>
      </c>
      <c r="DG83" s="125">
        <f t="shared" si="126"/>
        <v>1</v>
      </c>
      <c r="DH83" s="125">
        <f t="shared" si="130"/>
        <v>2</v>
      </c>
      <c r="DI83" s="125">
        <f t="shared" si="130"/>
        <v>3</v>
      </c>
      <c r="DJ83" s="125">
        <f t="shared" si="130"/>
        <v>4</v>
      </c>
      <c r="DK83" s="125">
        <f t="shared" si="130"/>
        <v>5</v>
      </c>
      <c r="DL83" s="125">
        <f t="shared" si="130"/>
        <v>6</v>
      </c>
      <c r="DM83" s="125">
        <f t="shared" si="130"/>
        <v>7</v>
      </c>
      <c r="DN83" s="125">
        <f t="shared" si="130"/>
        <v>8</v>
      </c>
      <c r="DO83" s="125">
        <f t="shared" si="130"/>
        <v>9</v>
      </c>
      <c r="DP83" s="125">
        <f t="shared" si="130"/>
        <v>10</v>
      </c>
      <c r="DS83" s="137"/>
      <c r="DT83" s="137"/>
      <c r="DU83" s="137"/>
      <c r="DV83" s="137" t="b">
        <f t="shared" si="115"/>
        <v>0</v>
      </c>
      <c r="DW83" s="137" t="b">
        <f t="shared" si="116"/>
        <v>0</v>
      </c>
      <c r="DX83" s="137" t="b">
        <f t="shared" si="117"/>
        <v>1</v>
      </c>
      <c r="EB83" s="131">
        <f t="shared" si="127"/>
        <v>1</v>
      </c>
      <c r="EC83" s="137" t="b">
        <f t="shared" si="118"/>
        <v>0</v>
      </c>
      <c r="ED83" s="137" t="b">
        <f t="shared" si="119"/>
        <v>0</v>
      </c>
      <c r="EE83" s="137" t="b">
        <f t="shared" si="120"/>
        <v>1</v>
      </c>
      <c r="EF83" s="137"/>
      <c r="EG83" s="137"/>
      <c r="EH83" s="137"/>
      <c r="EI83" s="137"/>
      <c r="EJ83" s="137">
        <f t="shared" si="128"/>
        <v>1</v>
      </c>
      <c r="EK83" s="125">
        <f t="shared" si="121"/>
        <v>0</v>
      </c>
      <c r="EL83" s="125">
        <f t="shared" si="122"/>
        <v>0</v>
      </c>
    </row>
    <row r="84" spans="2:142" ht="30" x14ac:dyDescent="0.25">
      <c r="B84" s="160">
        <f t="shared" si="123"/>
        <v>54</v>
      </c>
      <c r="C84" s="205">
        <v>1001350298</v>
      </c>
      <c r="D84" s="205">
        <v>1001268564</v>
      </c>
      <c r="E84" s="205">
        <v>40000293</v>
      </c>
      <c r="F84" s="118">
        <f>IF(OR(J84="",H84=""),"",VLOOKUP(J84,'הזנה לסיווג רשויות'!$B$2:$D$301,2,0))</f>
        <v>20000224</v>
      </c>
      <c r="G84" s="118" t="str">
        <f>IF(OR(J84="",H84=""),"",VLOOKUP(J84,'הזנה לסיווג רשויות'!$B$2:$D$301,3,0))</f>
        <v>חולון</v>
      </c>
      <c r="H84" s="281" t="s">
        <v>577</v>
      </c>
      <c r="I84" s="201" t="s">
        <v>392</v>
      </c>
      <c r="J84" s="205">
        <v>6600</v>
      </c>
      <c r="K84" s="161">
        <v>0</v>
      </c>
      <c r="L84" s="161">
        <v>1</v>
      </c>
      <c r="M84" s="161">
        <v>0</v>
      </c>
      <c r="N84" s="161">
        <v>0</v>
      </c>
      <c r="O84" s="161">
        <v>1</v>
      </c>
      <c r="P84" s="161">
        <v>1</v>
      </c>
      <c r="Q84" s="161">
        <v>1</v>
      </c>
      <c r="R84" s="201">
        <v>524913</v>
      </c>
      <c r="S84" s="201">
        <v>167740</v>
      </c>
      <c r="T84" s="160">
        <f>IF(G84="","",IFERROR(IF(S84/R84&gt;'פרמטרים לקריטריונים'!$C$20,1,0),0))</f>
        <v>1</v>
      </c>
      <c r="U84" s="201">
        <v>167740</v>
      </c>
      <c r="V84" s="160">
        <f>IF(G84="","",IFERROR(IF(U84/R84&gt;'פרמטרים לקריטריונים'!$C$21,1,IF(AND(I84=$BW$5,U84/R84&gt;'פרמטרים לקריטריונים'!$C$22),1,0)),0))</f>
        <v>1</v>
      </c>
      <c r="W84" s="161">
        <v>1</v>
      </c>
      <c r="X84" s="161">
        <v>1</v>
      </c>
      <c r="Y84" s="201">
        <v>100000</v>
      </c>
      <c r="Z84" s="201">
        <v>100000</v>
      </c>
      <c r="AA84" s="161">
        <f t="shared" si="124"/>
        <v>1</v>
      </c>
      <c r="AB84" s="161"/>
      <c r="AC84" s="161"/>
      <c r="AD84" s="161"/>
      <c r="AE84" s="161"/>
      <c r="AF84" s="161"/>
      <c r="AG84" s="161"/>
      <c r="AH84" s="161"/>
      <c r="AI84" s="161"/>
      <c r="AJ84" s="161"/>
      <c r="AK84" s="161"/>
      <c r="AL84" s="161"/>
      <c r="AM84" s="161"/>
      <c r="AN84" s="161"/>
      <c r="AO84" s="161"/>
      <c r="AP84" s="161"/>
      <c r="AQ84" s="161"/>
      <c r="AR84" s="161"/>
      <c r="AS84" s="161"/>
      <c r="AT84" s="161"/>
      <c r="AU84" s="161"/>
      <c r="AV84" s="161"/>
      <c r="AW84" s="160"/>
      <c r="AX84" s="161"/>
      <c r="AY84" s="161"/>
      <c r="AZ84" s="161"/>
      <c r="BA84" s="161"/>
      <c r="BB84" s="161"/>
      <c r="BC84" s="161"/>
      <c r="BD84" s="161"/>
      <c r="BE84" s="161"/>
      <c r="BF84" s="160" t="str">
        <f t="shared" si="125"/>
        <v/>
      </c>
      <c r="BG84" s="160"/>
      <c r="BH84" s="160"/>
      <c r="BI84" s="160"/>
      <c r="BJ84" s="160"/>
      <c r="BK84" s="160"/>
      <c r="BL84" s="162">
        <f t="shared" si="75"/>
        <v>1</v>
      </c>
      <c r="BM84" s="257"/>
      <c r="BN84" s="163"/>
      <c r="BO84" s="211" t="str">
        <f t="shared" si="76"/>
        <v>החברה לפיתוח תיאטרון מוזיקה אומנות ומחול חולוןספרות</v>
      </c>
      <c r="BP84" s="125">
        <f t="shared" si="77"/>
        <v>1</v>
      </c>
      <c r="BQ84" s="164">
        <v>0</v>
      </c>
      <c r="BR84" s="164">
        <v>1</v>
      </c>
      <c r="BS84" s="149">
        <f t="shared" si="78"/>
        <v>1</v>
      </c>
      <c r="BT84" s="149">
        <f t="shared" si="79"/>
        <v>1</v>
      </c>
      <c r="BU84" s="149">
        <f t="shared" si="80"/>
        <v>1</v>
      </c>
      <c r="BV84" s="149">
        <f t="shared" si="81"/>
        <v>1</v>
      </c>
      <c r="BW84" s="149">
        <f t="shared" si="82"/>
        <v>1</v>
      </c>
      <c r="BX84" s="149">
        <f t="shared" si="83"/>
        <v>1</v>
      </c>
      <c r="BY84" s="149">
        <f t="shared" si="84"/>
        <v>1</v>
      </c>
      <c r="BZ84" s="149">
        <f t="shared" si="85"/>
        <v>1</v>
      </c>
      <c r="CA84" s="149">
        <f t="shared" si="86"/>
        <v>1</v>
      </c>
      <c r="CB84" s="149">
        <f t="shared" si="87"/>
        <v>1</v>
      </c>
      <c r="CC84" s="149">
        <f t="shared" si="88"/>
        <v>1</v>
      </c>
      <c r="CD84" s="149">
        <f t="shared" si="89"/>
        <v>1</v>
      </c>
      <c r="CE84" s="149">
        <f t="shared" si="90"/>
        <v>1</v>
      </c>
      <c r="CF84" s="149">
        <f t="shared" si="91"/>
        <v>1</v>
      </c>
      <c r="CG84" s="149">
        <f t="shared" si="92"/>
        <v>1</v>
      </c>
      <c r="CH84" s="149">
        <f t="shared" si="93"/>
        <v>1</v>
      </c>
      <c r="CI84" s="149">
        <f t="shared" si="94"/>
        <v>1</v>
      </c>
      <c r="CJ84" s="149">
        <f t="shared" si="95"/>
        <v>1</v>
      </c>
      <c r="CK84" s="149">
        <f t="shared" si="96"/>
        <v>1</v>
      </c>
      <c r="CL84" s="149">
        <f t="shared" si="97"/>
        <v>1</v>
      </c>
      <c r="CM84" s="149">
        <f t="shared" si="98"/>
        <v>1</v>
      </c>
      <c r="CN84" s="149">
        <f t="shared" si="99"/>
        <v>1</v>
      </c>
      <c r="CO84" s="149">
        <f t="shared" si="100"/>
        <v>1</v>
      </c>
      <c r="CP84" s="149">
        <f t="shared" si="101"/>
        <v>1</v>
      </c>
      <c r="CQ84" s="149">
        <f t="shared" si="102"/>
        <v>1</v>
      </c>
      <c r="CR84" s="149">
        <f t="shared" si="103"/>
        <v>1</v>
      </c>
      <c r="CS84" s="149">
        <f t="shared" si="104"/>
        <v>1</v>
      </c>
      <c r="CT84" s="149">
        <f t="shared" si="105"/>
        <v>1</v>
      </c>
      <c r="CU84" s="149">
        <f t="shared" si="106"/>
        <v>1</v>
      </c>
      <c r="CV84" s="149">
        <f t="shared" si="107"/>
        <v>1</v>
      </c>
      <c r="CW84" s="149">
        <f t="shared" si="108"/>
        <v>1</v>
      </c>
      <c r="CX84" s="149">
        <f t="shared" si="109"/>
        <v>1</v>
      </c>
      <c r="CY84" s="149">
        <f t="shared" si="110"/>
        <v>1</v>
      </c>
      <c r="CZ84" s="149">
        <f t="shared" si="111"/>
        <v>1</v>
      </c>
      <c r="DA84" s="149">
        <f t="shared" si="112"/>
        <v>1</v>
      </c>
      <c r="DB84" s="149">
        <f t="shared" si="113"/>
        <v>1</v>
      </c>
      <c r="DG84" s="125">
        <f t="shared" si="126"/>
        <v>1</v>
      </c>
      <c r="DH84" s="125">
        <f t="shared" si="130"/>
        <v>2</v>
      </c>
      <c r="DI84" s="125">
        <f t="shared" si="130"/>
        <v>3</v>
      </c>
      <c r="DJ84" s="125">
        <f t="shared" si="130"/>
        <v>4</v>
      </c>
      <c r="DK84" s="125">
        <f t="shared" si="130"/>
        <v>5</v>
      </c>
      <c r="DL84" s="125">
        <f t="shared" si="130"/>
        <v>6</v>
      </c>
      <c r="DM84" s="125">
        <f t="shared" si="130"/>
        <v>7</v>
      </c>
      <c r="DN84" s="125">
        <f t="shared" si="130"/>
        <v>8</v>
      </c>
      <c r="DO84" s="125">
        <f t="shared" si="130"/>
        <v>9</v>
      </c>
      <c r="DP84" s="125">
        <f t="shared" si="130"/>
        <v>10</v>
      </c>
      <c r="DS84" s="137"/>
      <c r="DT84" s="137"/>
      <c r="DU84" s="137"/>
      <c r="DV84" s="137" t="b">
        <f t="shared" si="115"/>
        <v>0</v>
      </c>
      <c r="DW84" s="137" t="b">
        <f t="shared" si="116"/>
        <v>0</v>
      </c>
      <c r="DX84" s="137" t="b">
        <f t="shared" si="117"/>
        <v>1</v>
      </c>
      <c r="EB84" s="131">
        <f t="shared" si="127"/>
        <v>1</v>
      </c>
      <c r="EC84" s="137" t="b">
        <f t="shared" si="118"/>
        <v>0</v>
      </c>
      <c r="ED84" s="137" t="b">
        <f t="shared" si="119"/>
        <v>0</v>
      </c>
      <c r="EE84" s="137" t="b">
        <f t="shared" si="120"/>
        <v>1</v>
      </c>
      <c r="EF84" s="137"/>
      <c r="EG84" s="137"/>
      <c r="EH84" s="137"/>
      <c r="EI84" s="137"/>
      <c r="EJ84" s="137">
        <f t="shared" si="128"/>
        <v>1</v>
      </c>
      <c r="EK84" s="125">
        <f t="shared" si="121"/>
        <v>0</v>
      </c>
      <c r="EL84" s="125">
        <f t="shared" si="122"/>
        <v>0</v>
      </c>
    </row>
    <row r="85" spans="2:142" ht="30" x14ac:dyDescent="0.25">
      <c r="B85" s="160">
        <f t="shared" si="123"/>
        <v>55</v>
      </c>
      <c r="C85" s="205">
        <v>1001350320</v>
      </c>
      <c r="D85" s="205">
        <v>1001268529</v>
      </c>
      <c r="E85" s="205">
        <v>40000293</v>
      </c>
      <c r="F85" s="118">
        <f>IF(OR(J85="",H85=""),"",VLOOKUP(J85,'הזנה לסיווג רשויות'!$B$2:$D$301,2,0))</f>
        <v>20000224</v>
      </c>
      <c r="G85" s="118" t="str">
        <f>IF(OR(J85="",H85=""),"",VLOOKUP(J85,'הזנה לסיווג רשויות'!$B$2:$D$301,3,0))</f>
        <v>חולון</v>
      </c>
      <c r="H85" s="281" t="s">
        <v>577</v>
      </c>
      <c r="I85" s="201" t="s">
        <v>375</v>
      </c>
      <c r="J85" s="205">
        <v>6600</v>
      </c>
      <c r="K85" s="161">
        <v>0</v>
      </c>
      <c r="L85" s="161">
        <v>1</v>
      </c>
      <c r="M85" s="161">
        <v>0</v>
      </c>
      <c r="N85" s="161">
        <v>0</v>
      </c>
      <c r="O85" s="161">
        <v>1</v>
      </c>
      <c r="P85" s="161">
        <v>1</v>
      </c>
      <c r="Q85" s="161">
        <v>1</v>
      </c>
      <c r="R85" s="201">
        <v>1718436</v>
      </c>
      <c r="S85" s="201">
        <v>540187</v>
      </c>
      <c r="T85" s="160">
        <f>IF(G85="","",IFERROR(IF(S85/R85&gt;'פרמטרים לקריטריונים'!$C$20,1,0),0))</f>
        <v>1</v>
      </c>
      <c r="U85" s="201">
        <v>439550</v>
      </c>
      <c r="V85" s="160">
        <f>IF(G85="","",IFERROR(IF(U85/R85&gt;'פרמטרים לקריטריונים'!$C$21,1,IF(AND(I85=$BW$5,U85/R85&gt;'פרמטרים לקריטריונים'!$C$22),1,0)),0))</f>
        <v>1</v>
      </c>
      <c r="W85" s="161">
        <v>1</v>
      </c>
      <c r="X85" s="161">
        <v>1</v>
      </c>
      <c r="Y85" s="201">
        <v>200000</v>
      </c>
      <c r="Z85" s="201">
        <v>200000</v>
      </c>
      <c r="AA85" s="161">
        <f t="shared" si="124"/>
        <v>1</v>
      </c>
      <c r="AB85" s="161"/>
      <c r="AC85" s="161"/>
      <c r="AD85" s="161"/>
      <c r="AE85" s="161"/>
      <c r="AF85" s="161"/>
      <c r="AG85" s="161"/>
      <c r="AH85" s="161"/>
      <c r="AI85" s="161"/>
      <c r="AJ85" s="161"/>
      <c r="AK85" s="161"/>
      <c r="AL85" s="161"/>
      <c r="AM85" s="161"/>
      <c r="AN85" s="161"/>
      <c r="AO85" s="161"/>
      <c r="AP85" s="161"/>
      <c r="AQ85" s="161"/>
      <c r="AR85" s="161"/>
      <c r="AS85" s="161"/>
      <c r="AT85" s="161"/>
      <c r="AU85" s="161"/>
      <c r="AV85" s="161"/>
      <c r="AW85" s="160"/>
      <c r="AX85" s="161"/>
      <c r="AY85" s="161"/>
      <c r="AZ85" s="161"/>
      <c r="BA85" s="161"/>
      <c r="BB85" s="161"/>
      <c r="BC85" s="161"/>
      <c r="BD85" s="161"/>
      <c r="BE85" s="161"/>
      <c r="BF85" s="160" t="str">
        <f t="shared" si="125"/>
        <v/>
      </c>
      <c r="BG85" s="160"/>
      <c r="BH85" s="160"/>
      <c r="BI85" s="160"/>
      <c r="BJ85" s="160"/>
      <c r="BK85" s="160"/>
      <c r="BL85" s="162">
        <f t="shared" si="75"/>
        <v>1</v>
      </c>
      <c r="BM85" s="257"/>
      <c r="BN85" s="163"/>
      <c r="BO85" s="211" t="str">
        <f t="shared" si="76"/>
        <v>החברה לפיתוח תיאטרון מוזיקה אומנות ומחול חולוןמוזיאונים</v>
      </c>
      <c r="BP85" s="125">
        <f t="shared" si="77"/>
        <v>1</v>
      </c>
      <c r="BQ85" s="164">
        <v>0</v>
      </c>
      <c r="BR85" s="164">
        <v>1</v>
      </c>
      <c r="BS85" s="149">
        <f t="shared" si="78"/>
        <v>1</v>
      </c>
      <c r="BT85" s="149">
        <f t="shared" si="79"/>
        <v>1</v>
      </c>
      <c r="BU85" s="149">
        <f t="shared" si="80"/>
        <v>1</v>
      </c>
      <c r="BV85" s="149">
        <f t="shared" si="81"/>
        <v>1</v>
      </c>
      <c r="BW85" s="149">
        <f t="shared" si="82"/>
        <v>1</v>
      </c>
      <c r="BX85" s="149">
        <f t="shared" si="83"/>
        <v>1</v>
      </c>
      <c r="BY85" s="149">
        <f t="shared" si="84"/>
        <v>1</v>
      </c>
      <c r="BZ85" s="149">
        <f t="shared" si="85"/>
        <v>1</v>
      </c>
      <c r="CA85" s="149">
        <f t="shared" si="86"/>
        <v>1</v>
      </c>
      <c r="CB85" s="149">
        <f t="shared" si="87"/>
        <v>1</v>
      </c>
      <c r="CC85" s="149">
        <f t="shared" si="88"/>
        <v>1</v>
      </c>
      <c r="CD85" s="149">
        <f t="shared" si="89"/>
        <v>1</v>
      </c>
      <c r="CE85" s="149">
        <f t="shared" si="90"/>
        <v>1</v>
      </c>
      <c r="CF85" s="149">
        <f t="shared" si="91"/>
        <v>1</v>
      </c>
      <c r="CG85" s="149">
        <f t="shared" si="92"/>
        <v>1</v>
      </c>
      <c r="CH85" s="149">
        <f t="shared" si="93"/>
        <v>1</v>
      </c>
      <c r="CI85" s="149">
        <f t="shared" si="94"/>
        <v>1</v>
      </c>
      <c r="CJ85" s="149">
        <f t="shared" si="95"/>
        <v>1</v>
      </c>
      <c r="CK85" s="149">
        <f t="shared" si="96"/>
        <v>1</v>
      </c>
      <c r="CL85" s="149">
        <f t="shared" si="97"/>
        <v>1</v>
      </c>
      <c r="CM85" s="149">
        <f t="shared" si="98"/>
        <v>1</v>
      </c>
      <c r="CN85" s="149">
        <f t="shared" si="99"/>
        <v>1</v>
      </c>
      <c r="CO85" s="149">
        <f t="shared" si="100"/>
        <v>1</v>
      </c>
      <c r="CP85" s="149">
        <f t="shared" si="101"/>
        <v>1</v>
      </c>
      <c r="CQ85" s="149">
        <f t="shared" si="102"/>
        <v>1</v>
      </c>
      <c r="CR85" s="149">
        <f t="shared" si="103"/>
        <v>1</v>
      </c>
      <c r="CS85" s="149">
        <f t="shared" si="104"/>
        <v>1</v>
      </c>
      <c r="CT85" s="149">
        <f t="shared" si="105"/>
        <v>1</v>
      </c>
      <c r="CU85" s="149">
        <f t="shared" si="106"/>
        <v>1</v>
      </c>
      <c r="CV85" s="149">
        <f t="shared" si="107"/>
        <v>1</v>
      </c>
      <c r="CW85" s="149">
        <f t="shared" si="108"/>
        <v>1</v>
      </c>
      <c r="CX85" s="149">
        <f t="shared" si="109"/>
        <v>1</v>
      </c>
      <c r="CY85" s="149">
        <f t="shared" si="110"/>
        <v>1</v>
      </c>
      <c r="CZ85" s="149">
        <f t="shared" si="111"/>
        <v>1</v>
      </c>
      <c r="DA85" s="149">
        <f t="shared" si="112"/>
        <v>1</v>
      </c>
      <c r="DB85" s="149">
        <f t="shared" si="113"/>
        <v>1</v>
      </c>
      <c r="DG85" s="125">
        <f t="shared" si="126"/>
        <v>1</v>
      </c>
      <c r="DH85" s="125">
        <f t="shared" si="130"/>
        <v>2</v>
      </c>
      <c r="DI85" s="125">
        <f t="shared" si="130"/>
        <v>3</v>
      </c>
      <c r="DJ85" s="125">
        <f t="shared" si="130"/>
        <v>4</v>
      </c>
      <c r="DK85" s="125">
        <f t="shared" si="130"/>
        <v>5</v>
      </c>
      <c r="DL85" s="125">
        <f t="shared" si="130"/>
        <v>6</v>
      </c>
      <c r="DM85" s="125">
        <f t="shared" si="130"/>
        <v>7</v>
      </c>
      <c r="DN85" s="125">
        <f t="shared" si="130"/>
        <v>8</v>
      </c>
      <c r="DO85" s="125">
        <f t="shared" si="130"/>
        <v>9</v>
      </c>
      <c r="DP85" s="125">
        <f t="shared" si="130"/>
        <v>10</v>
      </c>
      <c r="DS85" s="137"/>
      <c r="DT85" s="137"/>
      <c r="DU85" s="137"/>
      <c r="DV85" s="137" t="b">
        <f t="shared" si="115"/>
        <v>0</v>
      </c>
      <c r="DW85" s="137" t="b">
        <f t="shared" si="116"/>
        <v>0</v>
      </c>
      <c r="DX85" s="137" t="b">
        <f t="shared" si="117"/>
        <v>1</v>
      </c>
      <c r="EB85" s="131">
        <f t="shared" si="127"/>
        <v>1</v>
      </c>
      <c r="EC85" s="137" t="b">
        <f t="shared" si="118"/>
        <v>0</v>
      </c>
      <c r="ED85" s="137" t="b">
        <f t="shared" si="119"/>
        <v>0</v>
      </c>
      <c r="EE85" s="137" t="b">
        <f t="shared" si="120"/>
        <v>1</v>
      </c>
      <c r="EF85" s="137"/>
      <c r="EG85" s="137"/>
      <c r="EH85" s="137"/>
      <c r="EI85" s="137"/>
      <c r="EJ85" s="137">
        <f t="shared" si="128"/>
        <v>1</v>
      </c>
      <c r="EK85" s="125">
        <f t="shared" si="121"/>
        <v>0</v>
      </c>
      <c r="EL85" s="125">
        <f t="shared" si="122"/>
        <v>0</v>
      </c>
    </row>
    <row r="86" spans="2:142" ht="30" x14ac:dyDescent="0.25">
      <c r="B86" s="160">
        <f t="shared" si="123"/>
        <v>56</v>
      </c>
      <c r="C86" s="205">
        <v>1001350327</v>
      </c>
      <c r="D86" s="205">
        <v>1001268562</v>
      </c>
      <c r="E86" s="205">
        <v>40000293</v>
      </c>
      <c r="F86" s="118">
        <f>IF(OR(J86="",H86=""),"",VLOOKUP(J86,'הזנה לסיווג רשויות'!$B$2:$D$301,2,0))</f>
        <v>20000224</v>
      </c>
      <c r="G86" s="118" t="str">
        <f>IF(OR(J86="",H86=""),"",VLOOKUP(J86,'הזנה לסיווג רשויות'!$B$2:$D$301,3,0))</f>
        <v>חולון</v>
      </c>
      <c r="H86" s="281" t="s">
        <v>577</v>
      </c>
      <c r="I86" s="201" t="s">
        <v>381</v>
      </c>
      <c r="J86" s="205">
        <v>6600</v>
      </c>
      <c r="K86" s="161">
        <v>0</v>
      </c>
      <c r="L86" s="161">
        <v>1</v>
      </c>
      <c r="M86" s="161">
        <v>0</v>
      </c>
      <c r="N86" s="161">
        <v>0</v>
      </c>
      <c r="O86" s="161">
        <v>1</v>
      </c>
      <c r="P86" s="161">
        <v>1</v>
      </c>
      <c r="Q86" s="161">
        <v>1</v>
      </c>
      <c r="R86" s="201">
        <v>2262960</v>
      </c>
      <c r="S86" s="201">
        <v>1520104</v>
      </c>
      <c r="T86" s="160">
        <f>IF(G86="","",IFERROR(IF(S86/R86&gt;'פרמטרים לקריטריונים'!$C$20,1,0),0))</f>
        <v>1</v>
      </c>
      <c r="U86" s="201">
        <v>1112949</v>
      </c>
      <c r="V86" s="160">
        <f>IF(G86="","",IFERROR(IF(U86/R86&gt;'פרמטרים לקריטריונים'!$C$21,1,IF(AND(I86=$BW$5,U86/R86&gt;'פרמטרים לקריטריונים'!$C$22),1,0)),0))</f>
        <v>1</v>
      </c>
      <c r="W86" s="161">
        <v>1</v>
      </c>
      <c r="X86" s="161">
        <v>1</v>
      </c>
      <c r="Y86" s="201">
        <v>800000</v>
      </c>
      <c r="Z86" s="201">
        <v>800000</v>
      </c>
      <c r="AA86" s="161">
        <f t="shared" si="124"/>
        <v>1</v>
      </c>
      <c r="AB86" s="161"/>
      <c r="AC86" s="161"/>
      <c r="AD86" s="161"/>
      <c r="AE86" s="161"/>
      <c r="AF86" s="161"/>
      <c r="AG86" s="161"/>
      <c r="AH86" s="161"/>
      <c r="AI86" s="161"/>
      <c r="AJ86" s="161"/>
      <c r="AK86" s="161"/>
      <c r="AL86" s="161"/>
      <c r="AM86" s="161"/>
      <c r="AN86" s="161"/>
      <c r="AO86" s="161"/>
      <c r="AP86" s="161"/>
      <c r="AQ86" s="161"/>
      <c r="AR86" s="161"/>
      <c r="AS86" s="161"/>
      <c r="AT86" s="161"/>
      <c r="AU86" s="161"/>
      <c r="AV86" s="161"/>
      <c r="AW86" s="160"/>
      <c r="AX86" s="161"/>
      <c r="AY86" s="161"/>
      <c r="AZ86" s="161"/>
      <c r="BA86" s="161"/>
      <c r="BB86" s="161"/>
      <c r="BC86" s="161"/>
      <c r="BD86" s="161"/>
      <c r="BE86" s="161"/>
      <c r="BF86" s="160" t="str">
        <f t="shared" si="125"/>
        <v/>
      </c>
      <c r="BG86" s="160"/>
      <c r="BH86" s="160"/>
      <c r="BI86" s="160"/>
      <c r="BJ86" s="160"/>
      <c r="BK86" s="160"/>
      <c r="BL86" s="162">
        <f t="shared" si="75"/>
        <v>1</v>
      </c>
      <c r="BM86" s="257"/>
      <c r="BN86" s="163"/>
      <c r="BO86" s="211" t="str">
        <f t="shared" si="76"/>
        <v>החברה לפיתוח תיאטרון מוזיקה אומנות ומחול חולוןסינמטקים ופסטיבלים</v>
      </c>
      <c r="BP86" s="125">
        <f t="shared" si="77"/>
        <v>1</v>
      </c>
      <c r="BQ86" s="164">
        <v>0</v>
      </c>
      <c r="BR86" s="164">
        <v>1</v>
      </c>
      <c r="BS86" s="149">
        <f t="shared" si="78"/>
        <v>1</v>
      </c>
      <c r="BT86" s="149">
        <f t="shared" si="79"/>
        <v>1</v>
      </c>
      <c r="BU86" s="149">
        <f t="shared" si="80"/>
        <v>1</v>
      </c>
      <c r="BV86" s="149">
        <f t="shared" si="81"/>
        <v>1</v>
      </c>
      <c r="BW86" s="149">
        <f t="shared" si="82"/>
        <v>1</v>
      </c>
      <c r="BX86" s="149">
        <f t="shared" si="83"/>
        <v>1</v>
      </c>
      <c r="BY86" s="149">
        <f t="shared" si="84"/>
        <v>1</v>
      </c>
      <c r="BZ86" s="149">
        <f t="shared" si="85"/>
        <v>1</v>
      </c>
      <c r="CA86" s="149">
        <f t="shared" si="86"/>
        <v>1</v>
      </c>
      <c r="CB86" s="149">
        <f t="shared" si="87"/>
        <v>1</v>
      </c>
      <c r="CC86" s="149">
        <f t="shared" si="88"/>
        <v>1</v>
      </c>
      <c r="CD86" s="149">
        <f t="shared" si="89"/>
        <v>1</v>
      </c>
      <c r="CE86" s="149">
        <f t="shared" si="90"/>
        <v>1</v>
      </c>
      <c r="CF86" s="149">
        <f t="shared" si="91"/>
        <v>1</v>
      </c>
      <c r="CG86" s="149">
        <f t="shared" si="92"/>
        <v>1</v>
      </c>
      <c r="CH86" s="149">
        <f t="shared" si="93"/>
        <v>1</v>
      </c>
      <c r="CI86" s="149">
        <f t="shared" si="94"/>
        <v>1</v>
      </c>
      <c r="CJ86" s="149">
        <f t="shared" si="95"/>
        <v>1</v>
      </c>
      <c r="CK86" s="149">
        <f t="shared" si="96"/>
        <v>1</v>
      </c>
      <c r="CL86" s="149">
        <f t="shared" si="97"/>
        <v>1</v>
      </c>
      <c r="CM86" s="149">
        <f t="shared" si="98"/>
        <v>1</v>
      </c>
      <c r="CN86" s="149">
        <f t="shared" si="99"/>
        <v>1</v>
      </c>
      <c r="CO86" s="149">
        <f t="shared" si="100"/>
        <v>1</v>
      </c>
      <c r="CP86" s="149">
        <f t="shared" si="101"/>
        <v>1</v>
      </c>
      <c r="CQ86" s="149">
        <f t="shared" si="102"/>
        <v>1</v>
      </c>
      <c r="CR86" s="149">
        <f t="shared" si="103"/>
        <v>1</v>
      </c>
      <c r="CS86" s="149">
        <f t="shared" si="104"/>
        <v>1</v>
      </c>
      <c r="CT86" s="149">
        <f t="shared" si="105"/>
        <v>1</v>
      </c>
      <c r="CU86" s="149">
        <f t="shared" si="106"/>
        <v>1</v>
      </c>
      <c r="CV86" s="149">
        <f t="shared" si="107"/>
        <v>1</v>
      </c>
      <c r="CW86" s="149">
        <f t="shared" si="108"/>
        <v>1</v>
      </c>
      <c r="CX86" s="149">
        <f t="shared" si="109"/>
        <v>1</v>
      </c>
      <c r="CY86" s="149">
        <f t="shared" si="110"/>
        <v>1</v>
      </c>
      <c r="CZ86" s="149">
        <f t="shared" si="111"/>
        <v>1</v>
      </c>
      <c r="DA86" s="149">
        <f t="shared" si="112"/>
        <v>1</v>
      </c>
      <c r="DB86" s="149">
        <f t="shared" si="113"/>
        <v>1</v>
      </c>
      <c r="DG86" s="125">
        <f t="shared" si="126"/>
        <v>1</v>
      </c>
      <c r="DH86" s="125">
        <f t="shared" si="130"/>
        <v>2</v>
      </c>
      <c r="DI86" s="125">
        <f t="shared" si="130"/>
        <v>3</v>
      </c>
      <c r="DJ86" s="125">
        <f t="shared" si="130"/>
        <v>4</v>
      </c>
      <c r="DK86" s="125">
        <f t="shared" si="130"/>
        <v>5</v>
      </c>
      <c r="DL86" s="125">
        <f t="shared" si="130"/>
        <v>6</v>
      </c>
      <c r="DM86" s="125">
        <f t="shared" si="130"/>
        <v>7</v>
      </c>
      <c r="DN86" s="125">
        <f t="shared" si="130"/>
        <v>8</v>
      </c>
      <c r="DO86" s="125">
        <f t="shared" si="130"/>
        <v>9</v>
      </c>
      <c r="DP86" s="125">
        <f t="shared" si="130"/>
        <v>10</v>
      </c>
      <c r="DS86" s="137"/>
      <c r="DT86" s="137"/>
      <c r="DU86" s="137"/>
      <c r="DV86" s="137" t="b">
        <f t="shared" si="115"/>
        <v>0</v>
      </c>
      <c r="DW86" s="137" t="b">
        <f t="shared" si="116"/>
        <v>0</v>
      </c>
      <c r="DX86" s="137" t="b">
        <f t="shared" si="117"/>
        <v>1</v>
      </c>
      <c r="EB86" s="131">
        <f t="shared" si="127"/>
        <v>1</v>
      </c>
      <c r="EC86" s="137" t="b">
        <f t="shared" si="118"/>
        <v>0</v>
      </c>
      <c r="ED86" s="137" t="b">
        <f t="shared" si="119"/>
        <v>0</v>
      </c>
      <c r="EE86" s="137" t="b">
        <f t="shared" si="120"/>
        <v>1</v>
      </c>
      <c r="EF86" s="137"/>
      <c r="EG86" s="137"/>
      <c r="EH86" s="137"/>
      <c r="EI86" s="137"/>
      <c r="EJ86" s="137">
        <f t="shared" si="128"/>
        <v>1</v>
      </c>
      <c r="EK86" s="125">
        <f t="shared" si="121"/>
        <v>0</v>
      </c>
      <c r="EL86" s="125">
        <f t="shared" si="122"/>
        <v>0</v>
      </c>
    </row>
    <row r="87" spans="2:142" ht="15.75" x14ac:dyDescent="0.25">
      <c r="B87" s="160">
        <f t="shared" si="123"/>
        <v>57</v>
      </c>
      <c r="C87" s="205">
        <v>1001350660</v>
      </c>
      <c r="D87" s="205">
        <v>1001269476</v>
      </c>
      <c r="E87" s="205">
        <v>40000373</v>
      </c>
      <c r="F87" s="118">
        <f>IF(OR(J87="",H87=""),"",VLOOKUP(J87,'הזנה לסיווג רשויות'!$B$2:$D$301,2,0))</f>
        <v>20000254</v>
      </c>
      <c r="G87" s="118" t="str">
        <f>IF(OR(J87="",H87=""),"",VLOOKUP(J87,'הזנה לסיווג רשויות'!$B$2:$D$301,3,0))</f>
        <v>באר שבע</v>
      </c>
      <c r="H87" s="281" t="s">
        <v>578</v>
      </c>
      <c r="I87" s="201" t="s">
        <v>373</v>
      </c>
      <c r="J87" s="205">
        <v>9000</v>
      </c>
      <c r="K87" s="161">
        <v>0</v>
      </c>
      <c r="L87" s="161">
        <v>1</v>
      </c>
      <c r="M87" s="161">
        <v>0</v>
      </c>
      <c r="N87" s="161">
        <v>1</v>
      </c>
      <c r="O87" s="161">
        <v>1</v>
      </c>
      <c r="P87" s="161">
        <v>1</v>
      </c>
      <c r="Q87" s="161">
        <v>1</v>
      </c>
      <c r="R87" s="201">
        <v>30338137</v>
      </c>
      <c r="S87" s="201">
        <v>14677899</v>
      </c>
      <c r="T87" s="160">
        <f>IF(G87="","",IFERROR(IF(S87/R87&gt;'פרמטרים לקריטריונים'!$C$20,1,0),0))</f>
        <v>1</v>
      </c>
      <c r="U87" s="201">
        <v>12407671</v>
      </c>
      <c r="V87" s="160">
        <f>IF(G87="","",IFERROR(IF(U87/R87&gt;'פרמטרים לקריטריונים'!$C$21,1,IF(AND(I87=$BW$5,U87/R87&gt;'פרמטרים לקריטריונים'!$C$22),1,0)),0))</f>
        <v>1</v>
      </c>
      <c r="W87" s="161">
        <v>1</v>
      </c>
      <c r="X87" s="161">
        <v>1</v>
      </c>
      <c r="Y87" s="201">
        <v>5000000</v>
      </c>
      <c r="Z87" s="201">
        <v>1000000</v>
      </c>
      <c r="AA87" s="161">
        <f t="shared" si="124"/>
        <v>1</v>
      </c>
      <c r="AB87" s="161"/>
      <c r="AC87" s="161"/>
      <c r="AD87" s="161"/>
      <c r="AE87" s="161"/>
      <c r="AF87" s="161"/>
      <c r="AG87" s="161"/>
      <c r="AH87" s="161"/>
      <c r="AI87" s="161"/>
      <c r="AJ87" s="161"/>
      <c r="AK87" s="161"/>
      <c r="AL87" s="161"/>
      <c r="AM87" s="161"/>
      <c r="AN87" s="161"/>
      <c r="AO87" s="161"/>
      <c r="AP87" s="161"/>
      <c r="AQ87" s="161"/>
      <c r="AR87" s="161"/>
      <c r="AS87" s="161"/>
      <c r="AT87" s="161"/>
      <c r="AU87" s="161"/>
      <c r="AV87" s="161"/>
      <c r="AW87" s="160"/>
      <c r="AX87" s="161"/>
      <c r="AY87" s="161"/>
      <c r="AZ87" s="161"/>
      <c r="BA87" s="161"/>
      <c r="BB87" s="161"/>
      <c r="BC87" s="161"/>
      <c r="BD87" s="161"/>
      <c r="BE87" s="161"/>
      <c r="BF87" s="160" t="str">
        <f t="shared" si="125"/>
        <v/>
      </c>
      <c r="BG87" s="160"/>
      <c r="BH87" s="160"/>
      <c r="BI87" s="160"/>
      <c r="BJ87" s="160"/>
      <c r="BK87" s="160"/>
      <c r="BL87" s="162">
        <f t="shared" si="75"/>
        <v>1</v>
      </c>
      <c r="BM87" s="257"/>
      <c r="BN87" s="163"/>
      <c r="BO87" s="211" t="str">
        <f t="shared" si="76"/>
        <v>תיאטרון באר שבעתיאטרון</v>
      </c>
      <c r="BP87" s="125">
        <f t="shared" si="77"/>
        <v>1</v>
      </c>
      <c r="BQ87" s="164">
        <v>0</v>
      </c>
      <c r="BR87" s="164">
        <v>1</v>
      </c>
      <c r="BS87" s="149">
        <f t="shared" si="78"/>
        <v>1</v>
      </c>
      <c r="BT87" s="149">
        <f t="shared" si="79"/>
        <v>1</v>
      </c>
      <c r="BU87" s="149">
        <f t="shared" si="80"/>
        <v>1</v>
      </c>
      <c r="BV87" s="149">
        <f t="shared" si="81"/>
        <v>1</v>
      </c>
      <c r="BW87" s="149">
        <f t="shared" si="82"/>
        <v>1</v>
      </c>
      <c r="BX87" s="149">
        <f t="shared" si="83"/>
        <v>1</v>
      </c>
      <c r="BY87" s="149">
        <f t="shared" si="84"/>
        <v>1</v>
      </c>
      <c r="BZ87" s="149">
        <f t="shared" si="85"/>
        <v>1</v>
      </c>
      <c r="CA87" s="149">
        <f t="shared" si="86"/>
        <v>1</v>
      </c>
      <c r="CB87" s="149">
        <f t="shared" si="87"/>
        <v>1</v>
      </c>
      <c r="CC87" s="149">
        <f t="shared" si="88"/>
        <v>1</v>
      </c>
      <c r="CD87" s="149">
        <f t="shared" si="89"/>
        <v>1</v>
      </c>
      <c r="CE87" s="149">
        <f t="shared" si="90"/>
        <v>1</v>
      </c>
      <c r="CF87" s="149">
        <f t="shared" si="91"/>
        <v>1</v>
      </c>
      <c r="CG87" s="149">
        <f t="shared" si="92"/>
        <v>1</v>
      </c>
      <c r="CH87" s="149">
        <f t="shared" si="93"/>
        <v>1</v>
      </c>
      <c r="CI87" s="149">
        <f t="shared" si="94"/>
        <v>1</v>
      </c>
      <c r="CJ87" s="149">
        <f t="shared" si="95"/>
        <v>1</v>
      </c>
      <c r="CK87" s="149">
        <f t="shared" si="96"/>
        <v>1</v>
      </c>
      <c r="CL87" s="149">
        <f t="shared" si="97"/>
        <v>1</v>
      </c>
      <c r="CM87" s="149">
        <f t="shared" si="98"/>
        <v>1</v>
      </c>
      <c r="CN87" s="149">
        <f t="shared" si="99"/>
        <v>1</v>
      </c>
      <c r="CO87" s="149">
        <f t="shared" si="100"/>
        <v>1</v>
      </c>
      <c r="CP87" s="149">
        <f t="shared" si="101"/>
        <v>1</v>
      </c>
      <c r="CQ87" s="149">
        <f t="shared" si="102"/>
        <v>1</v>
      </c>
      <c r="CR87" s="149">
        <f t="shared" si="103"/>
        <v>1</v>
      </c>
      <c r="CS87" s="149">
        <f t="shared" si="104"/>
        <v>1</v>
      </c>
      <c r="CT87" s="149">
        <f t="shared" si="105"/>
        <v>1</v>
      </c>
      <c r="CU87" s="149">
        <f t="shared" si="106"/>
        <v>1</v>
      </c>
      <c r="CV87" s="149">
        <f t="shared" si="107"/>
        <v>1</v>
      </c>
      <c r="CW87" s="149">
        <f t="shared" si="108"/>
        <v>1</v>
      </c>
      <c r="CX87" s="149">
        <f t="shared" si="109"/>
        <v>1</v>
      </c>
      <c r="CY87" s="149">
        <f t="shared" si="110"/>
        <v>1</v>
      </c>
      <c r="CZ87" s="149">
        <f t="shared" si="111"/>
        <v>1</v>
      </c>
      <c r="DA87" s="149">
        <f t="shared" si="112"/>
        <v>1</v>
      </c>
      <c r="DB87" s="149">
        <f t="shared" si="113"/>
        <v>1</v>
      </c>
      <c r="DG87" s="125">
        <f t="shared" si="126"/>
        <v>1</v>
      </c>
      <c r="DH87" s="125">
        <f t="shared" si="130"/>
        <v>2</v>
      </c>
      <c r="DI87" s="125">
        <f t="shared" si="130"/>
        <v>3</v>
      </c>
      <c r="DJ87" s="125">
        <f t="shared" si="130"/>
        <v>4</v>
      </c>
      <c r="DK87" s="125">
        <f t="shared" si="130"/>
        <v>5</v>
      </c>
      <c r="DL87" s="125">
        <f t="shared" si="130"/>
        <v>6</v>
      </c>
      <c r="DM87" s="125">
        <f t="shared" si="130"/>
        <v>7</v>
      </c>
      <c r="DN87" s="125">
        <f t="shared" si="130"/>
        <v>8</v>
      </c>
      <c r="DO87" s="125">
        <f t="shared" si="130"/>
        <v>9</v>
      </c>
      <c r="DP87" s="125">
        <f t="shared" si="130"/>
        <v>10</v>
      </c>
      <c r="DS87" s="137"/>
      <c r="DT87" s="137"/>
      <c r="DU87" s="137"/>
      <c r="DV87" s="137" t="b">
        <f t="shared" si="115"/>
        <v>0</v>
      </c>
      <c r="DW87" s="137" t="b">
        <f t="shared" si="116"/>
        <v>0</v>
      </c>
      <c r="DX87" s="137" t="b">
        <f t="shared" si="117"/>
        <v>1</v>
      </c>
      <c r="EB87" s="131">
        <f t="shared" si="127"/>
        <v>1</v>
      </c>
      <c r="EC87" s="137" t="b">
        <f t="shared" si="118"/>
        <v>0</v>
      </c>
      <c r="ED87" s="137" t="b">
        <f t="shared" si="119"/>
        <v>0</v>
      </c>
      <c r="EE87" s="137" t="b">
        <f t="shared" si="120"/>
        <v>1</v>
      </c>
      <c r="EF87" s="137"/>
      <c r="EG87" s="137"/>
      <c r="EH87" s="137"/>
      <c r="EI87" s="137"/>
      <c r="EJ87" s="137">
        <f t="shared" si="128"/>
        <v>1</v>
      </c>
      <c r="EK87" s="125">
        <f t="shared" si="121"/>
        <v>0</v>
      </c>
      <c r="EL87" s="125">
        <f t="shared" si="122"/>
        <v>0</v>
      </c>
    </row>
    <row r="88" spans="2:142" ht="15.75" x14ac:dyDescent="0.25">
      <c r="B88" s="160">
        <f t="shared" si="123"/>
        <v>58</v>
      </c>
      <c r="C88" s="205">
        <v>1001348833</v>
      </c>
      <c r="D88" s="205">
        <v>1001279924</v>
      </c>
      <c r="E88" s="205">
        <v>40000399</v>
      </c>
      <c r="F88" s="118">
        <f>IF(OR(J88="",H88=""),"",VLOOKUP(J88,'הזנה לסיווג רשויות'!$B$2:$D$301,2,0))</f>
        <v>20000159</v>
      </c>
      <c r="G88" s="118" t="str">
        <f>IF(OR(J88="",H88=""),"",VLOOKUP(J88,'הזנה לסיווג רשויות'!$B$2:$D$301,3,0))</f>
        <v>ירושלים</v>
      </c>
      <c r="H88" s="281" t="s">
        <v>579</v>
      </c>
      <c r="I88" s="201" t="s">
        <v>376</v>
      </c>
      <c r="J88" s="205">
        <v>3000</v>
      </c>
      <c r="K88" s="161">
        <v>0</v>
      </c>
      <c r="L88" s="161">
        <v>1</v>
      </c>
      <c r="M88" s="161">
        <v>0</v>
      </c>
      <c r="N88" s="161">
        <v>1</v>
      </c>
      <c r="O88" s="161">
        <v>1</v>
      </c>
      <c r="P88" s="161">
        <v>1</v>
      </c>
      <c r="Q88" s="161">
        <v>1</v>
      </c>
      <c r="R88" s="201">
        <v>10030000</v>
      </c>
      <c r="S88" s="201">
        <v>4264000</v>
      </c>
      <c r="T88" s="160">
        <f>IF(G88="","",IFERROR(IF(S88/R88&gt;'פרמטרים לקריטריונים'!$C$20,1,0),0))</f>
        <v>1</v>
      </c>
      <c r="U88" s="201">
        <v>3244000</v>
      </c>
      <c r="V88" s="160">
        <f>IF(G88="","",IFERROR(IF(U88/R88&gt;'פרמטרים לקריטריונים'!$C$21,1,IF(AND(I88=$BW$5,U88/R88&gt;'פרמטרים לקריטריונים'!$C$22),1,0)),0))</f>
        <v>1</v>
      </c>
      <c r="W88" s="161">
        <v>1</v>
      </c>
      <c r="X88" s="161">
        <v>1</v>
      </c>
      <c r="Y88" s="201">
        <v>2400000</v>
      </c>
      <c r="Z88" s="201">
        <v>50000</v>
      </c>
      <c r="AA88" s="161">
        <f t="shared" si="124"/>
        <v>1</v>
      </c>
      <c r="AB88" s="161"/>
      <c r="AC88" s="161"/>
      <c r="AD88" s="161"/>
      <c r="AE88" s="161"/>
      <c r="AF88" s="161"/>
      <c r="AG88" s="161"/>
      <c r="AH88" s="161"/>
      <c r="AI88" s="161"/>
      <c r="AJ88" s="161"/>
      <c r="AK88" s="161"/>
      <c r="AL88" s="161"/>
      <c r="AM88" s="161"/>
      <c r="AN88" s="161"/>
      <c r="AO88" s="161"/>
      <c r="AP88" s="161"/>
      <c r="AQ88" s="161"/>
      <c r="AR88" s="161"/>
      <c r="AS88" s="161"/>
      <c r="AT88" s="161"/>
      <c r="AU88" s="161"/>
      <c r="AV88" s="161"/>
      <c r="AW88" s="160"/>
      <c r="AX88" s="161"/>
      <c r="AY88" s="161"/>
      <c r="AZ88" s="161"/>
      <c r="BA88" s="161"/>
      <c r="BB88" s="161"/>
      <c r="BC88" s="161"/>
      <c r="BD88" s="161"/>
      <c r="BE88" s="161"/>
      <c r="BF88" s="160" t="str">
        <f t="shared" si="125"/>
        <v/>
      </c>
      <c r="BG88" s="160"/>
      <c r="BH88" s="160"/>
      <c r="BI88" s="160"/>
      <c r="BJ88" s="160"/>
      <c r="BK88" s="160"/>
      <c r="BL88" s="162">
        <f t="shared" si="75"/>
        <v>1</v>
      </c>
      <c r="BM88" s="257"/>
      <c r="BN88" s="163"/>
      <c r="BO88" s="211" t="str">
        <f t="shared" si="76"/>
        <v>הקאמרטה הישראלית ירושליםמוסיקה-גופים כליים</v>
      </c>
      <c r="BP88" s="125">
        <f t="shared" si="77"/>
        <v>1</v>
      </c>
      <c r="BQ88" s="164">
        <v>0</v>
      </c>
      <c r="BR88" s="164">
        <v>1</v>
      </c>
      <c r="BS88" s="149">
        <f t="shared" si="78"/>
        <v>1</v>
      </c>
      <c r="BT88" s="149">
        <f t="shared" si="79"/>
        <v>1</v>
      </c>
      <c r="BU88" s="149">
        <f t="shared" si="80"/>
        <v>1</v>
      </c>
      <c r="BV88" s="149">
        <f t="shared" si="81"/>
        <v>1</v>
      </c>
      <c r="BW88" s="149">
        <f t="shared" si="82"/>
        <v>1</v>
      </c>
      <c r="BX88" s="149">
        <f t="shared" si="83"/>
        <v>1</v>
      </c>
      <c r="BY88" s="149">
        <f t="shared" si="84"/>
        <v>1</v>
      </c>
      <c r="BZ88" s="149">
        <f t="shared" si="85"/>
        <v>1</v>
      </c>
      <c r="CA88" s="149">
        <f t="shared" si="86"/>
        <v>1</v>
      </c>
      <c r="CB88" s="149">
        <f t="shared" si="87"/>
        <v>1</v>
      </c>
      <c r="CC88" s="149">
        <f t="shared" si="88"/>
        <v>1</v>
      </c>
      <c r="CD88" s="149">
        <f t="shared" si="89"/>
        <v>1</v>
      </c>
      <c r="CE88" s="149">
        <f t="shared" si="90"/>
        <v>1</v>
      </c>
      <c r="CF88" s="149">
        <f t="shared" si="91"/>
        <v>1</v>
      </c>
      <c r="CG88" s="149">
        <f t="shared" si="92"/>
        <v>1</v>
      </c>
      <c r="CH88" s="149">
        <f t="shared" si="93"/>
        <v>1</v>
      </c>
      <c r="CI88" s="149">
        <f t="shared" si="94"/>
        <v>1</v>
      </c>
      <c r="CJ88" s="149">
        <f t="shared" si="95"/>
        <v>1</v>
      </c>
      <c r="CK88" s="149">
        <f t="shared" si="96"/>
        <v>1</v>
      </c>
      <c r="CL88" s="149">
        <f t="shared" si="97"/>
        <v>1</v>
      </c>
      <c r="CM88" s="149">
        <f t="shared" si="98"/>
        <v>1</v>
      </c>
      <c r="CN88" s="149">
        <f t="shared" si="99"/>
        <v>1</v>
      </c>
      <c r="CO88" s="149">
        <f t="shared" si="100"/>
        <v>1</v>
      </c>
      <c r="CP88" s="149">
        <f t="shared" si="101"/>
        <v>1</v>
      </c>
      <c r="CQ88" s="149">
        <f t="shared" si="102"/>
        <v>1</v>
      </c>
      <c r="CR88" s="149">
        <f t="shared" si="103"/>
        <v>1</v>
      </c>
      <c r="CS88" s="149">
        <f t="shared" si="104"/>
        <v>1</v>
      </c>
      <c r="CT88" s="149">
        <f t="shared" si="105"/>
        <v>1</v>
      </c>
      <c r="CU88" s="149">
        <f t="shared" si="106"/>
        <v>1</v>
      </c>
      <c r="CV88" s="149">
        <f t="shared" si="107"/>
        <v>1</v>
      </c>
      <c r="CW88" s="149">
        <f t="shared" si="108"/>
        <v>1</v>
      </c>
      <c r="CX88" s="149">
        <f t="shared" si="109"/>
        <v>1</v>
      </c>
      <c r="CY88" s="149">
        <f t="shared" si="110"/>
        <v>1</v>
      </c>
      <c r="CZ88" s="149">
        <f t="shared" si="111"/>
        <v>1</v>
      </c>
      <c r="DA88" s="149">
        <f t="shared" si="112"/>
        <v>1</v>
      </c>
      <c r="DB88" s="149">
        <f t="shared" si="113"/>
        <v>1</v>
      </c>
      <c r="DG88" s="125">
        <f t="shared" si="126"/>
        <v>1</v>
      </c>
      <c r="DH88" s="125">
        <f t="shared" si="130"/>
        <v>2</v>
      </c>
      <c r="DI88" s="125">
        <f t="shared" si="130"/>
        <v>3</v>
      </c>
      <c r="DJ88" s="125">
        <f t="shared" si="130"/>
        <v>4</v>
      </c>
      <c r="DK88" s="125">
        <f t="shared" si="130"/>
        <v>5</v>
      </c>
      <c r="DL88" s="125">
        <f t="shared" si="130"/>
        <v>6</v>
      </c>
      <c r="DM88" s="125">
        <f t="shared" si="130"/>
        <v>7</v>
      </c>
      <c r="DN88" s="125">
        <f t="shared" si="130"/>
        <v>8</v>
      </c>
      <c r="DO88" s="125">
        <f t="shared" si="130"/>
        <v>9</v>
      </c>
      <c r="DP88" s="125">
        <f t="shared" si="130"/>
        <v>10</v>
      </c>
      <c r="DS88" s="137"/>
      <c r="DT88" s="137"/>
      <c r="DU88" s="137"/>
      <c r="DV88" s="137" t="b">
        <f t="shared" si="115"/>
        <v>0</v>
      </c>
      <c r="DW88" s="137" t="b">
        <f t="shared" si="116"/>
        <v>0</v>
      </c>
      <c r="DX88" s="137" t="b">
        <f t="shared" si="117"/>
        <v>1</v>
      </c>
      <c r="EB88" s="131">
        <f t="shared" si="127"/>
        <v>1</v>
      </c>
      <c r="EC88" s="137" t="b">
        <f t="shared" si="118"/>
        <v>0</v>
      </c>
      <c r="ED88" s="137" t="b">
        <f t="shared" si="119"/>
        <v>0</v>
      </c>
      <c r="EE88" s="137" t="b">
        <f t="shared" si="120"/>
        <v>1</v>
      </c>
      <c r="EF88" s="137"/>
      <c r="EG88" s="137"/>
      <c r="EH88" s="137"/>
      <c r="EI88" s="137"/>
      <c r="EJ88" s="137">
        <f t="shared" si="128"/>
        <v>1</v>
      </c>
      <c r="EK88" s="125">
        <f t="shared" si="121"/>
        <v>0</v>
      </c>
      <c r="EL88" s="125">
        <f t="shared" si="122"/>
        <v>0</v>
      </c>
    </row>
    <row r="89" spans="2:142" ht="15.75" x14ac:dyDescent="0.25">
      <c r="B89" s="160">
        <f t="shared" si="123"/>
        <v>59</v>
      </c>
      <c r="C89" s="205">
        <v>1001349874</v>
      </c>
      <c r="D89" s="205">
        <v>1001269409</v>
      </c>
      <c r="E89" s="205">
        <v>40000299</v>
      </c>
      <c r="F89" s="118">
        <f>IF(OR(J89="",H89=""),"",VLOOKUP(J89,'הזנה לסיווג רשויות'!$B$2:$D$301,2,0))</f>
        <v>20000201</v>
      </c>
      <c r="G89" s="118" t="str">
        <f>IF(OR(J89="",H89=""),"",VLOOKUP(J89,'הזנה לסיווג רשויות'!$B$2:$D$301,3,0))</f>
        <v>תל אביב -יפו</v>
      </c>
      <c r="H89" s="281" t="s">
        <v>580</v>
      </c>
      <c r="I89" s="201" t="s">
        <v>375</v>
      </c>
      <c r="J89" s="205">
        <v>5000</v>
      </c>
      <c r="K89" s="161">
        <v>0</v>
      </c>
      <c r="L89" s="161">
        <v>1</v>
      </c>
      <c r="M89" s="161">
        <v>0</v>
      </c>
      <c r="N89" s="161">
        <v>1</v>
      </c>
      <c r="O89" s="161">
        <v>1</v>
      </c>
      <c r="P89" s="161">
        <v>1</v>
      </c>
      <c r="Q89" s="161">
        <v>1</v>
      </c>
      <c r="R89" s="201">
        <v>31843000</v>
      </c>
      <c r="S89" s="201">
        <v>13974000</v>
      </c>
      <c r="T89" s="160">
        <f>IF(G89="","",IFERROR(IF(S89/R89&gt;'פרמטרים לקריטריונים'!$C$20,1,0),0))</f>
        <v>1</v>
      </c>
      <c r="U89" s="201">
        <v>5715000</v>
      </c>
      <c r="V89" s="160">
        <f>IF(G89="","",IFERROR(IF(U89/R89&gt;'פרמטרים לקריטריונים'!$C$21,1,IF(AND(I89=$BW$5,U89/R89&gt;'פרמטרים לקריטריונים'!$C$22),1,0)),0))</f>
        <v>1</v>
      </c>
      <c r="W89" s="161">
        <v>1</v>
      </c>
      <c r="X89" s="161">
        <v>1</v>
      </c>
      <c r="Y89" s="201">
        <v>2500000</v>
      </c>
      <c r="Z89" s="201">
        <v>2500000</v>
      </c>
      <c r="AA89" s="161">
        <f t="shared" si="124"/>
        <v>1</v>
      </c>
      <c r="AB89" s="161"/>
      <c r="AC89" s="161"/>
      <c r="AD89" s="161"/>
      <c r="AE89" s="161"/>
      <c r="AF89" s="161"/>
      <c r="AG89" s="161"/>
      <c r="AH89" s="161"/>
      <c r="AI89" s="161"/>
      <c r="AJ89" s="161"/>
      <c r="AK89" s="161"/>
      <c r="AL89" s="161"/>
      <c r="AM89" s="161"/>
      <c r="AN89" s="161"/>
      <c r="AO89" s="161"/>
      <c r="AP89" s="161"/>
      <c r="AQ89" s="161"/>
      <c r="AR89" s="161"/>
      <c r="AS89" s="161"/>
      <c r="AT89" s="161"/>
      <c r="AU89" s="161"/>
      <c r="AV89" s="161"/>
      <c r="AW89" s="160"/>
      <c r="AX89" s="161"/>
      <c r="AY89" s="161"/>
      <c r="AZ89" s="161"/>
      <c r="BA89" s="161"/>
      <c r="BB89" s="161"/>
      <c r="BC89" s="161"/>
      <c r="BD89" s="161"/>
      <c r="BE89" s="161"/>
      <c r="BF89" s="160" t="str">
        <f t="shared" si="125"/>
        <v/>
      </c>
      <c r="BG89" s="160"/>
      <c r="BH89" s="160"/>
      <c r="BI89" s="160"/>
      <c r="BJ89" s="160"/>
      <c r="BK89" s="160"/>
      <c r="BL89" s="162">
        <f t="shared" si="75"/>
        <v>1</v>
      </c>
      <c r="BM89" s="257"/>
      <c r="BN89" s="163"/>
      <c r="BO89" s="211" t="str">
        <f t="shared" si="76"/>
        <v>מוזיאון ארץ ישראל ת"אמוזיאונים</v>
      </c>
      <c r="BP89" s="125">
        <f t="shared" si="77"/>
        <v>1</v>
      </c>
      <c r="BQ89" s="164">
        <v>0</v>
      </c>
      <c r="BR89" s="164">
        <v>1</v>
      </c>
      <c r="BS89" s="149">
        <f t="shared" si="78"/>
        <v>1</v>
      </c>
      <c r="BT89" s="149">
        <f t="shared" si="79"/>
        <v>1</v>
      </c>
      <c r="BU89" s="149">
        <f t="shared" si="80"/>
        <v>1</v>
      </c>
      <c r="BV89" s="149">
        <f t="shared" si="81"/>
        <v>1</v>
      </c>
      <c r="BW89" s="149">
        <f t="shared" si="82"/>
        <v>1</v>
      </c>
      <c r="BX89" s="149">
        <f t="shared" si="83"/>
        <v>1</v>
      </c>
      <c r="BY89" s="149">
        <f t="shared" si="84"/>
        <v>1</v>
      </c>
      <c r="BZ89" s="149">
        <f t="shared" si="85"/>
        <v>1</v>
      </c>
      <c r="CA89" s="149">
        <f t="shared" si="86"/>
        <v>1</v>
      </c>
      <c r="CB89" s="149">
        <f t="shared" si="87"/>
        <v>1</v>
      </c>
      <c r="CC89" s="149">
        <f t="shared" si="88"/>
        <v>1</v>
      </c>
      <c r="CD89" s="149">
        <f t="shared" si="89"/>
        <v>1</v>
      </c>
      <c r="CE89" s="149">
        <f t="shared" si="90"/>
        <v>1</v>
      </c>
      <c r="CF89" s="149">
        <f t="shared" si="91"/>
        <v>1</v>
      </c>
      <c r="CG89" s="149">
        <f t="shared" si="92"/>
        <v>1</v>
      </c>
      <c r="CH89" s="149">
        <f t="shared" si="93"/>
        <v>1</v>
      </c>
      <c r="CI89" s="149">
        <f t="shared" si="94"/>
        <v>1</v>
      </c>
      <c r="CJ89" s="149">
        <f t="shared" si="95"/>
        <v>1</v>
      </c>
      <c r="CK89" s="149">
        <f t="shared" si="96"/>
        <v>1</v>
      </c>
      <c r="CL89" s="149">
        <f t="shared" si="97"/>
        <v>1</v>
      </c>
      <c r="CM89" s="149">
        <f t="shared" si="98"/>
        <v>1</v>
      </c>
      <c r="CN89" s="149">
        <f t="shared" si="99"/>
        <v>1</v>
      </c>
      <c r="CO89" s="149">
        <f t="shared" si="100"/>
        <v>1</v>
      </c>
      <c r="CP89" s="149">
        <f t="shared" si="101"/>
        <v>1</v>
      </c>
      <c r="CQ89" s="149">
        <f t="shared" si="102"/>
        <v>1</v>
      </c>
      <c r="CR89" s="149">
        <f t="shared" si="103"/>
        <v>1</v>
      </c>
      <c r="CS89" s="149">
        <f t="shared" si="104"/>
        <v>1</v>
      </c>
      <c r="CT89" s="149">
        <f t="shared" si="105"/>
        <v>1</v>
      </c>
      <c r="CU89" s="149">
        <f t="shared" si="106"/>
        <v>1</v>
      </c>
      <c r="CV89" s="149">
        <f t="shared" si="107"/>
        <v>1</v>
      </c>
      <c r="CW89" s="149">
        <f t="shared" si="108"/>
        <v>1</v>
      </c>
      <c r="CX89" s="149">
        <f t="shared" si="109"/>
        <v>1</v>
      </c>
      <c r="CY89" s="149">
        <f t="shared" si="110"/>
        <v>1</v>
      </c>
      <c r="CZ89" s="149">
        <f t="shared" si="111"/>
        <v>1</v>
      </c>
      <c r="DA89" s="149">
        <f t="shared" si="112"/>
        <v>1</v>
      </c>
      <c r="DB89" s="149">
        <f t="shared" si="113"/>
        <v>1</v>
      </c>
      <c r="DG89" s="125">
        <f t="shared" si="126"/>
        <v>1</v>
      </c>
      <c r="DH89" s="125">
        <f t="shared" si="130"/>
        <v>2</v>
      </c>
      <c r="DI89" s="125">
        <f t="shared" si="130"/>
        <v>3</v>
      </c>
      <c r="DJ89" s="125">
        <f t="shared" si="130"/>
        <v>4</v>
      </c>
      <c r="DK89" s="125">
        <f t="shared" si="130"/>
        <v>5</v>
      </c>
      <c r="DL89" s="125">
        <f t="shared" si="130"/>
        <v>6</v>
      </c>
      <c r="DM89" s="125">
        <f t="shared" si="130"/>
        <v>7</v>
      </c>
      <c r="DN89" s="125">
        <f t="shared" si="130"/>
        <v>8</v>
      </c>
      <c r="DO89" s="125">
        <f t="shared" si="130"/>
        <v>9</v>
      </c>
      <c r="DP89" s="125">
        <f t="shared" si="130"/>
        <v>10</v>
      </c>
      <c r="DS89" s="137"/>
      <c r="DT89" s="137"/>
      <c r="DU89" s="137"/>
      <c r="DV89" s="137" t="b">
        <f t="shared" si="115"/>
        <v>0</v>
      </c>
      <c r="DW89" s="137" t="b">
        <f t="shared" si="116"/>
        <v>0</v>
      </c>
      <c r="DX89" s="137" t="b">
        <f t="shared" si="117"/>
        <v>1</v>
      </c>
      <c r="EB89" s="131">
        <f t="shared" si="127"/>
        <v>1</v>
      </c>
      <c r="EC89" s="137" t="b">
        <f t="shared" si="118"/>
        <v>0</v>
      </c>
      <c r="ED89" s="137" t="b">
        <f t="shared" si="119"/>
        <v>0</v>
      </c>
      <c r="EE89" s="137" t="b">
        <f t="shared" si="120"/>
        <v>1</v>
      </c>
      <c r="EF89" s="137"/>
      <c r="EG89" s="137"/>
      <c r="EH89" s="137"/>
      <c r="EI89" s="137"/>
      <c r="EJ89" s="137">
        <f t="shared" si="128"/>
        <v>1</v>
      </c>
      <c r="EK89" s="125">
        <f t="shared" si="121"/>
        <v>0</v>
      </c>
      <c r="EL89" s="125">
        <f t="shared" si="122"/>
        <v>0</v>
      </c>
    </row>
    <row r="90" spans="2:142" ht="15.75" x14ac:dyDescent="0.25">
      <c r="B90" s="160">
        <f t="shared" si="123"/>
        <v>60</v>
      </c>
      <c r="C90" s="205">
        <v>1001351086</v>
      </c>
      <c r="D90" s="205">
        <v>1001263868</v>
      </c>
      <c r="E90" s="205">
        <v>40000490</v>
      </c>
      <c r="F90" s="118">
        <f>IF(OR(J90="",H90=""),"",VLOOKUP(J90,'הזנה לסיווג רשויות'!$B$2:$D$301,2,0))</f>
        <v>20000201</v>
      </c>
      <c r="G90" s="118" t="str">
        <f>IF(OR(J90="",H90=""),"",VLOOKUP(J90,'הזנה לסיווג רשויות'!$B$2:$D$301,3,0))</f>
        <v>תל אביב -יפו</v>
      </c>
      <c r="H90" s="281" t="s">
        <v>581</v>
      </c>
      <c r="I90" s="201" t="s">
        <v>378</v>
      </c>
      <c r="J90" s="205">
        <v>5000</v>
      </c>
      <c r="K90" s="161">
        <v>0</v>
      </c>
      <c r="L90" s="161">
        <v>1</v>
      </c>
      <c r="M90" s="161">
        <v>0</v>
      </c>
      <c r="N90" s="161">
        <v>1</v>
      </c>
      <c r="O90" s="161">
        <v>1</v>
      </c>
      <c r="P90" s="161">
        <v>1</v>
      </c>
      <c r="Q90" s="161">
        <v>1</v>
      </c>
      <c r="R90" s="201">
        <v>131113</v>
      </c>
      <c r="S90" s="201">
        <v>53288</v>
      </c>
      <c r="T90" s="160">
        <f>IF(G90="","",IFERROR(IF(S90/R90&gt;'פרמטרים לקריטריונים'!$C$20,1,0),0))</f>
        <v>1</v>
      </c>
      <c r="U90" s="201">
        <v>47438</v>
      </c>
      <c r="V90" s="160">
        <f>IF(G90="","",IFERROR(IF(U90/R90&gt;'פרמטרים לקריטריונים'!$C$21,1,IF(AND(I90=$BW$5,U90/R90&gt;'פרמטרים לקריטריונים'!$C$22),1,0)),0))</f>
        <v>1</v>
      </c>
      <c r="W90" s="161">
        <v>1</v>
      </c>
      <c r="X90" s="161">
        <v>1</v>
      </c>
      <c r="Y90" s="201">
        <v>120000</v>
      </c>
      <c r="Z90" s="201">
        <v>120000</v>
      </c>
      <c r="AA90" s="161">
        <f t="shared" si="124"/>
        <v>1</v>
      </c>
      <c r="AB90" s="161"/>
      <c r="AC90" s="161"/>
      <c r="AD90" s="161"/>
      <c r="AE90" s="161"/>
      <c r="AF90" s="161"/>
      <c r="AG90" s="161"/>
      <c r="AH90" s="161"/>
      <c r="AI90" s="161"/>
      <c r="AJ90" s="161"/>
      <c r="AK90" s="161"/>
      <c r="AL90" s="161"/>
      <c r="AM90" s="161"/>
      <c r="AN90" s="161"/>
      <c r="AO90" s="161"/>
      <c r="AP90" s="161"/>
      <c r="AQ90" s="161"/>
      <c r="AR90" s="161"/>
      <c r="AS90" s="161"/>
      <c r="AT90" s="161"/>
      <c r="AU90" s="161"/>
      <c r="AV90" s="161"/>
      <c r="AW90" s="160"/>
      <c r="AX90" s="161"/>
      <c r="AY90" s="161"/>
      <c r="AZ90" s="161"/>
      <c r="BA90" s="161"/>
      <c r="BB90" s="161"/>
      <c r="BC90" s="161"/>
      <c r="BD90" s="161"/>
      <c r="BE90" s="161"/>
      <c r="BF90" s="160" t="str">
        <f t="shared" si="125"/>
        <v/>
      </c>
      <c r="BG90" s="160"/>
      <c r="BH90" s="160"/>
      <c r="BI90" s="160"/>
      <c r="BJ90" s="160"/>
      <c r="BK90" s="160"/>
      <c r="BL90" s="162">
        <f t="shared" si="75"/>
        <v>1</v>
      </c>
      <c r="BM90" s="257"/>
      <c r="BN90" s="163"/>
      <c r="BO90" s="211" t="str">
        <f t="shared" si="76"/>
        <v>המקהלה הקאמרית תל אביבמקהלות</v>
      </c>
      <c r="BP90" s="125">
        <f t="shared" si="77"/>
        <v>1</v>
      </c>
      <c r="BQ90" s="164">
        <v>0</v>
      </c>
      <c r="BR90" s="164">
        <v>1</v>
      </c>
      <c r="BS90" s="149">
        <f t="shared" si="78"/>
        <v>1</v>
      </c>
      <c r="BT90" s="149">
        <f t="shared" si="79"/>
        <v>1</v>
      </c>
      <c r="BU90" s="149">
        <f t="shared" si="80"/>
        <v>1</v>
      </c>
      <c r="BV90" s="149">
        <f t="shared" si="81"/>
        <v>1</v>
      </c>
      <c r="BW90" s="149">
        <f t="shared" si="82"/>
        <v>1</v>
      </c>
      <c r="BX90" s="149">
        <f t="shared" si="83"/>
        <v>1</v>
      </c>
      <c r="BY90" s="149">
        <f t="shared" si="84"/>
        <v>1</v>
      </c>
      <c r="BZ90" s="149">
        <f t="shared" si="85"/>
        <v>1</v>
      </c>
      <c r="CA90" s="149">
        <f t="shared" si="86"/>
        <v>1</v>
      </c>
      <c r="CB90" s="149">
        <f t="shared" si="87"/>
        <v>1</v>
      </c>
      <c r="CC90" s="149">
        <f t="shared" si="88"/>
        <v>1</v>
      </c>
      <c r="CD90" s="149">
        <f t="shared" si="89"/>
        <v>1</v>
      </c>
      <c r="CE90" s="149">
        <f t="shared" si="90"/>
        <v>1</v>
      </c>
      <c r="CF90" s="149">
        <f t="shared" si="91"/>
        <v>1</v>
      </c>
      <c r="CG90" s="149">
        <f t="shared" si="92"/>
        <v>1</v>
      </c>
      <c r="CH90" s="149">
        <f t="shared" si="93"/>
        <v>1</v>
      </c>
      <c r="CI90" s="149">
        <f t="shared" si="94"/>
        <v>1</v>
      </c>
      <c r="CJ90" s="149">
        <f t="shared" si="95"/>
        <v>1</v>
      </c>
      <c r="CK90" s="149">
        <f t="shared" si="96"/>
        <v>1</v>
      </c>
      <c r="CL90" s="149">
        <f t="shared" si="97"/>
        <v>1</v>
      </c>
      <c r="CM90" s="149">
        <f t="shared" si="98"/>
        <v>1</v>
      </c>
      <c r="CN90" s="149">
        <f t="shared" si="99"/>
        <v>1</v>
      </c>
      <c r="CO90" s="149">
        <f t="shared" si="100"/>
        <v>1</v>
      </c>
      <c r="CP90" s="149">
        <f t="shared" si="101"/>
        <v>1</v>
      </c>
      <c r="CQ90" s="149">
        <f t="shared" si="102"/>
        <v>1</v>
      </c>
      <c r="CR90" s="149">
        <f t="shared" si="103"/>
        <v>1</v>
      </c>
      <c r="CS90" s="149">
        <f t="shared" si="104"/>
        <v>1</v>
      </c>
      <c r="CT90" s="149">
        <f t="shared" si="105"/>
        <v>1</v>
      </c>
      <c r="CU90" s="149">
        <f t="shared" si="106"/>
        <v>1</v>
      </c>
      <c r="CV90" s="149">
        <f t="shared" si="107"/>
        <v>1</v>
      </c>
      <c r="CW90" s="149">
        <f t="shared" si="108"/>
        <v>1</v>
      </c>
      <c r="CX90" s="149">
        <f t="shared" si="109"/>
        <v>1</v>
      </c>
      <c r="CY90" s="149">
        <f t="shared" si="110"/>
        <v>1</v>
      </c>
      <c r="CZ90" s="149">
        <f t="shared" si="111"/>
        <v>1</v>
      </c>
      <c r="DA90" s="149">
        <f t="shared" si="112"/>
        <v>1</v>
      </c>
      <c r="DB90" s="149">
        <f t="shared" si="113"/>
        <v>1</v>
      </c>
      <c r="DG90" s="125">
        <f t="shared" si="126"/>
        <v>1</v>
      </c>
      <c r="DH90" s="125">
        <f t="shared" si="130"/>
        <v>2</v>
      </c>
      <c r="DI90" s="125">
        <f t="shared" si="130"/>
        <v>3</v>
      </c>
      <c r="DJ90" s="125">
        <f t="shared" si="130"/>
        <v>4</v>
      </c>
      <c r="DK90" s="125">
        <f t="shared" si="130"/>
        <v>5</v>
      </c>
      <c r="DL90" s="125">
        <f t="shared" si="130"/>
        <v>6</v>
      </c>
      <c r="DM90" s="125">
        <f t="shared" si="130"/>
        <v>7</v>
      </c>
      <c r="DN90" s="125">
        <f t="shared" si="130"/>
        <v>8</v>
      </c>
      <c r="DO90" s="125">
        <f t="shared" si="130"/>
        <v>9</v>
      </c>
      <c r="DP90" s="125">
        <f t="shared" si="130"/>
        <v>10</v>
      </c>
      <c r="DS90" s="137"/>
      <c r="DT90" s="137"/>
      <c r="DU90" s="137"/>
      <c r="DV90" s="137" t="b">
        <f t="shared" si="115"/>
        <v>0</v>
      </c>
      <c r="DW90" s="137" t="b">
        <f t="shared" si="116"/>
        <v>0</v>
      </c>
      <c r="DX90" s="137" t="b">
        <f t="shared" si="117"/>
        <v>1</v>
      </c>
      <c r="EB90" s="131">
        <f t="shared" si="127"/>
        <v>1</v>
      </c>
      <c r="EC90" s="137" t="b">
        <f t="shared" si="118"/>
        <v>0</v>
      </c>
      <c r="ED90" s="137" t="b">
        <f t="shared" si="119"/>
        <v>0</v>
      </c>
      <c r="EE90" s="137" t="b">
        <f t="shared" si="120"/>
        <v>1</v>
      </c>
      <c r="EF90" s="137"/>
      <c r="EG90" s="137"/>
      <c r="EH90" s="137"/>
      <c r="EI90" s="137"/>
      <c r="EJ90" s="137">
        <f t="shared" si="128"/>
        <v>1</v>
      </c>
      <c r="EK90" s="125">
        <f t="shared" si="121"/>
        <v>0</v>
      </c>
      <c r="EL90" s="125">
        <f t="shared" si="122"/>
        <v>0</v>
      </c>
    </row>
    <row r="91" spans="2:142" ht="15.75" x14ac:dyDescent="0.25">
      <c r="B91" s="160">
        <f t="shared" si="123"/>
        <v>61</v>
      </c>
      <c r="C91" s="205">
        <v>1001350880</v>
      </c>
      <c r="D91" s="205">
        <v>1001265925</v>
      </c>
      <c r="E91" s="205">
        <v>40000016</v>
      </c>
      <c r="F91" s="118">
        <f>IF(OR(J91="",H91=""),"",VLOOKUP(J91,'הזנה לסיווג רשויות'!$B$2:$D$301,2,0))</f>
        <v>20000015</v>
      </c>
      <c r="G91" s="118" t="str">
        <f>IF(OR(J91="",H91=""),"",VLOOKUP(J91,'הזנה לסיווג רשויות'!$B$2:$D$301,3,0))</f>
        <v>מצפה רמון</v>
      </c>
      <c r="H91" s="281" t="s">
        <v>582</v>
      </c>
      <c r="I91" s="201" t="s">
        <v>381</v>
      </c>
      <c r="J91" s="205">
        <v>99</v>
      </c>
      <c r="K91" s="161">
        <v>0</v>
      </c>
      <c r="L91" s="161">
        <v>1</v>
      </c>
      <c r="M91" s="161">
        <v>0</v>
      </c>
      <c r="N91" s="161">
        <v>0</v>
      </c>
      <c r="O91" s="161">
        <v>1</v>
      </c>
      <c r="P91" s="161">
        <v>1</v>
      </c>
      <c r="Q91" s="161">
        <v>1</v>
      </c>
      <c r="R91" s="201">
        <v>55000</v>
      </c>
      <c r="S91" s="201">
        <v>55000</v>
      </c>
      <c r="T91" s="160">
        <f>IF(G91="","",IFERROR(IF(S91/R91&gt;'פרמטרים לקריטריונים'!$C$20,1,0),0))</f>
        <v>1</v>
      </c>
      <c r="U91" s="201">
        <v>15000</v>
      </c>
      <c r="V91" s="160">
        <f>IF(G91="","",IFERROR(IF(U91/R91&gt;'פרמטרים לקריטריונים'!$C$21,1,IF(AND(I91=$BW$5,U91/R91&gt;'פרמטרים לקריטריונים'!$C$22),1,0)),0))</f>
        <v>1</v>
      </c>
      <c r="W91" s="161">
        <v>1</v>
      </c>
      <c r="X91" s="161">
        <v>1</v>
      </c>
      <c r="Y91" s="201">
        <v>450000</v>
      </c>
      <c r="Z91" s="201">
        <v>90000</v>
      </c>
      <c r="AA91" s="161">
        <f t="shared" si="124"/>
        <v>1</v>
      </c>
      <c r="AB91" s="161"/>
      <c r="AC91" s="161"/>
      <c r="AD91" s="161"/>
      <c r="AE91" s="161"/>
      <c r="AF91" s="161"/>
      <c r="AG91" s="161"/>
      <c r="AH91" s="161"/>
      <c r="AI91" s="161"/>
      <c r="AJ91" s="161"/>
      <c r="AK91" s="161"/>
      <c r="AL91" s="161"/>
      <c r="AM91" s="161"/>
      <c r="AN91" s="161"/>
      <c r="AO91" s="161"/>
      <c r="AP91" s="161"/>
      <c r="AQ91" s="161"/>
      <c r="AR91" s="161"/>
      <c r="AS91" s="161"/>
      <c r="AT91" s="161"/>
      <c r="AU91" s="161"/>
      <c r="AV91" s="161"/>
      <c r="AW91" s="160"/>
      <c r="AX91" s="161"/>
      <c r="AY91" s="161"/>
      <c r="AZ91" s="161"/>
      <c r="BA91" s="161"/>
      <c r="BB91" s="161"/>
      <c r="BC91" s="161"/>
      <c r="BD91" s="161"/>
      <c r="BE91" s="161"/>
      <c r="BF91" s="160" t="str">
        <f t="shared" si="125"/>
        <v/>
      </c>
      <c r="BG91" s="160"/>
      <c r="BH91" s="160"/>
      <c r="BI91" s="160"/>
      <c r="BJ91" s="160"/>
      <c r="BK91" s="160"/>
      <c r="BL91" s="162">
        <f t="shared" si="75"/>
        <v>1</v>
      </c>
      <c r="BM91" s="257"/>
      <c r="BN91" s="163"/>
      <c r="BO91" s="211" t="str">
        <f t="shared" si="76"/>
        <v>מרכז תרבות מצפה רמוןסינמטקים ופסטיבלים</v>
      </c>
      <c r="BP91" s="125">
        <f t="shared" si="77"/>
        <v>1</v>
      </c>
      <c r="BQ91" s="164">
        <v>0</v>
      </c>
      <c r="BR91" s="164">
        <v>1</v>
      </c>
      <c r="BS91" s="149">
        <f t="shared" si="78"/>
        <v>1</v>
      </c>
      <c r="BT91" s="149">
        <f t="shared" si="79"/>
        <v>1</v>
      </c>
      <c r="BU91" s="149">
        <f t="shared" si="80"/>
        <v>1</v>
      </c>
      <c r="BV91" s="149">
        <f t="shared" si="81"/>
        <v>1</v>
      </c>
      <c r="BW91" s="149">
        <f t="shared" si="82"/>
        <v>1</v>
      </c>
      <c r="BX91" s="149">
        <f t="shared" si="83"/>
        <v>1</v>
      </c>
      <c r="BY91" s="149">
        <f t="shared" si="84"/>
        <v>1</v>
      </c>
      <c r="BZ91" s="149">
        <f t="shared" si="85"/>
        <v>1</v>
      </c>
      <c r="CA91" s="149">
        <f t="shared" si="86"/>
        <v>1</v>
      </c>
      <c r="CB91" s="149">
        <f t="shared" si="87"/>
        <v>1</v>
      </c>
      <c r="CC91" s="149">
        <f t="shared" si="88"/>
        <v>1</v>
      </c>
      <c r="CD91" s="149">
        <f t="shared" si="89"/>
        <v>1</v>
      </c>
      <c r="CE91" s="149">
        <f t="shared" si="90"/>
        <v>1</v>
      </c>
      <c r="CF91" s="149">
        <f t="shared" si="91"/>
        <v>1</v>
      </c>
      <c r="CG91" s="149">
        <f t="shared" si="92"/>
        <v>1</v>
      </c>
      <c r="CH91" s="149">
        <f t="shared" si="93"/>
        <v>1</v>
      </c>
      <c r="CI91" s="149">
        <f t="shared" si="94"/>
        <v>1</v>
      </c>
      <c r="CJ91" s="149">
        <f t="shared" si="95"/>
        <v>1</v>
      </c>
      <c r="CK91" s="149">
        <f t="shared" si="96"/>
        <v>1</v>
      </c>
      <c r="CL91" s="149">
        <f t="shared" si="97"/>
        <v>1</v>
      </c>
      <c r="CM91" s="149">
        <f t="shared" si="98"/>
        <v>1</v>
      </c>
      <c r="CN91" s="149">
        <f t="shared" si="99"/>
        <v>1</v>
      </c>
      <c r="CO91" s="149">
        <f t="shared" si="100"/>
        <v>1</v>
      </c>
      <c r="CP91" s="149">
        <f t="shared" si="101"/>
        <v>1</v>
      </c>
      <c r="CQ91" s="149">
        <f t="shared" si="102"/>
        <v>1</v>
      </c>
      <c r="CR91" s="149">
        <f t="shared" si="103"/>
        <v>1</v>
      </c>
      <c r="CS91" s="149">
        <f t="shared" si="104"/>
        <v>1</v>
      </c>
      <c r="CT91" s="149">
        <f t="shared" si="105"/>
        <v>1</v>
      </c>
      <c r="CU91" s="149">
        <f t="shared" si="106"/>
        <v>1</v>
      </c>
      <c r="CV91" s="149">
        <f t="shared" si="107"/>
        <v>1</v>
      </c>
      <c r="CW91" s="149">
        <f t="shared" si="108"/>
        <v>1</v>
      </c>
      <c r="CX91" s="149">
        <f t="shared" si="109"/>
        <v>1</v>
      </c>
      <c r="CY91" s="149">
        <f t="shared" si="110"/>
        <v>1</v>
      </c>
      <c r="CZ91" s="149">
        <f t="shared" si="111"/>
        <v>1</v>
      </c>
      <c r="DA91" s="149">
        <f t="shared" si="112"/>
        <v>1</v>
      </c>
      <c r="DB91" s="149">
        <f t="shared" si="113"/>
        <v>1</v>
      </c>
      <c r="DG91" s="125">
        <f t="shared" si="126"/>
        <v>1</v>
      </c>
      <c r="DH91" s="125">
        <f t="shared" si="130"/>
        <v>2</v>
      </c>
      <c r="DI91" s="125">
        <f t="shared" si="130"/>
        <v>3</v>
      </c>
      <c r="DJ91" s="125">
        <f t="shared" si="130"/>
        <v>4</v>
      </c>
      <c r="DK91" s="125">
        <f t="shared" si="130"/>
        <v>5</v>
      </c>
      <c r="DL91" s="125">
        <f t="shared" si="130"/>
        <v>6</v>
      </c>
      <c r="DM91" s="125">
        <f t="shared" si="130"/>
        <v>7</v>
      </c>
      <c r="DN91" s="125">
        <f t="shared" si="130"/>
        <v>8</v>
      </c>
      <c r="DO91" s="125">
        <f t="shared" si="130"/>
        <v>9</v>
      </c>
      <c r="DP91" s="125">
        <f t="shared" si="130"/>
        <v>10</v>
      </c>
      <c r="DS91" s="137"/>
      <c r="DT91" s="137"/>
      <c r="DU91" s="137"/>
      <c r="DV91" s="137" t="b">
        <f t="shared" si="115"/>
        <v>0</v>
      </c>
      <c r="DW91" s="137" t="b">
        <f t="shared" si="116"/>
        <v>0</v>
      </c>
      <c r="DX91" s="137" t="b">
        <f t="shared" si="117"/>
        <v>1</v>
      </c>
      <c r="EB91" s="131">
        <f t="shared" si="127"/>
        <v>1</v>
      </c>
      <c r="EC91" s="137" t="b">
        <f t="shared" si="118"/>
        <v>0</v>
      </c>
      <c r="ED91" s="137" t="b">
        <f t="shared" si="119"/>
        <v>0</v>
      </c>
      <c r="EE91" s="137" t="b">
        <f t="shared" si="120"/>
        <v>1</v>
      </c>
      <c r="EF91" s="137"/>
      <c r="EG91" s="137"/>
      <c r="EH91" s="137"/>
      <c r="EI91" s="137"/>
      <c r="EJ91" s="137">
        <f t="shared" si="128"/>
        <v>1</v>
      </c>
      <c r="EK91" s="125">
        <f t="shared" si="121"/>
        <v>0</v>
      </c>
      <c r="EL91" s="125">
        <f t="shared" si="122"/>
        <v>0</v>
      </c>
    </row>
    <row r="92" spans="2:142" ht="15.75" x14ac:dyDescent="0.2">
      <c r="B92" s="160">
        <f t="shared" si="123"/>
        <v>62</v>
      </c>
      <c r="C92" s="205">
        <v>1001347234</v>
      </c>
      <c r="D92" s="205">
        <v>1001262482</v>
      </c>
      <c r="E92" s="205">
        <v>40000408</v>
      </c>
      <c r="F92" s="118">
        <f>IF(OR(J92="",H92=""),"",VLOOKUP(J92,'הזנה לסיווג רשויות'!$B$2:$D$301,2,0))</f>
        <v>20000162</v>
      </c>
      <c r="G92" s="118" t="str">
        <f>IF(OR(J92="",H92=""),"",VLOOKUP(J92,'הזנה לסיווג רשויות'!$B$2:$D$301,3,0))</f>
        <v>חוף הכרמל</v>
      </c>
      <c r="H92" s="201" t="s">
        <v>583</v>
      </c>
      <c r="I92" s="201" t="s">
        <v>375</v>
      </c>
      <c r="J92" s="205">
        <v>15</v>
      </c>
      <c r="K92" s="161">
        <v>0</v>
      </c>
      <c r="L92" s="161">
        <v>1</v>
      </c>
      <c r="M92" s="161">
        <v>0</v>
      </c>
      <c r="N92" s="161">
        <v>0</v>
      </c>
      <c r="O92" s="161">
        <v>1</v>
      </c>
      <c r="P92" s="161">
        <v>1</v>
      </c>
      <c r="Q92" s="161">
        <v>1</v>
      </c>
      <c r="R92" s="201">
        <v>1079562</v>
      </c>
      <c r="S92" s="201">
        <v>705296</v>
      </c>
      <c r="T92" s="160">
        <f>IF(G92="","",IFERROR(IF(S92/R92&gt;'פרמטרים לקריטריונים'!$C$20,1,0),0))</f>
        <v>1</v>
      </c>
      <c r="U92" s="201">
        <v>319504</v>
      </c>
      <c r="V92" s="160">
        <f>IF(G92="","",IFERROR(IF(U92/R92&gt;'פרמטרים לקריטריונים'!$C$21,1,IF(AND(I92=$BW$5,U92/R92&gt;'פרמטרים לקריטריונים'!$C$22),1,0)),0))</f>
        <v>1</v>
      </c>
      <c r="W92" s="161">
        <v>1</v>
      </c>
      <c r="X92" s="161">
        <v>1</v>
      </c>
      <c r="Y92" s="201">
        <v>450000</v>
      </c>
      <c r="Z92" s="201">
        <v>250000</v>
      </c>
      <c r="AA92" s="161">
        <f t="shared" si="124"/>
        <v>1</v>
      </c>
      <c r="AB92" s="161"/>
      <c r="AC92" s="161"/>
      <c r="AD92" s="161"/>
      <c r="AE92" s="161"/>
      <c r="AF92" s="161"/>
      <c r="AG92" s="161"/>
      <c r="AH92" s="161"/>
      <c r="AI92" s="161"/>
      <c r="AJ92" s="161"/>
      <c r="AK92" s="161"/>
      <c r="AL92" s="161"/>
      <c r="AM92" s="161"/>
      <c r="AN92" s="161"/>
      <c r="AO92" s="161"/>
      <c r="AP92" s="161"/>
      <c r="AQ92" s="161"/>
      <c r="AR92" s="161"/>
      <c r="AS92" s="161"/>
      <c r="AT92" s="161"/>
      <c r="AU92" s="161"/>
      <c r="AV92" s="161"/>
      <c r="AW92" s="160"/>
      <c r="AX92" s="161"/>
      <c r="AY92" s="161"/>
      <c r="AZ92" s="161"/>
      <c r="BA92" s="161"/>
      <c r="BB92" s="161"/>
      <c r="BC92" s="161"/>
      <c r="BD92" s="161"/>
      <c r="BE92" s="161"/>
      <c r="BF92" s="160" t="str">
        <f t="shared" si="125"/>
        <v/>
      </c>
      <c r="BG92" s="160"/>
      <c r="BH92" s="160"/>
      <c r="BI92" s="160"/>
      <c r="BJ92" s="160"/>
      <c r="BK92" s="160"/>
      <c r="BL92" s="162">
        <f t="shared" si="75"/>
        <v>1</v>
      </c>
      <c r="BM92" s="257"/>
      <c r="BN92" s="163"/>
      <c r="BO92" s="211" t="str">
        <f t="shared" si="76"/>
        <v>מוזיאון ינקו דאדא עין הודמוזיאונים</v>
      </c>
      <c r="BP92" s="125">
        <f t="shared" si="77"/>
        <v>1</v>
      </c>
      <c r="BQ92" s="164">
        <v>0</v>
      </c>
      <c r="BR92" s="164">
        <v>1</v>
      </c>
      <c r="BS92" s="149">
        <f t="shared" si="78"/>
        <v>1</v>
      </c>
      <c r="BT92" s="149">
        <f t="shared" si="79"/>
        <v>1</v>
      </c>
      <c r="BU92" s="149">
        <f t="shared" si="80"/>
        <v>1</v>
      </c>
      <c r="BV92" s="149">
        <f t="shared" si="81"/>
        <v>1</v>
      </c>
      <c r="BW92" s="149">
        <f t="shared" si="82"/>
        <v>1</v>
      </c>
      <c r="BX92" s="149">
        <f t="shared" si="83"/>
        <v>1</v>
      </c>
      <c r="BY92" s="149">
        <f t="shared" si="84"/>
        <v>1</v>
      </c>
      <c r="BZ92" s="149">
        <f t="shared" si="85"/>
        <v>1</v>
      </c>
      <c r="CA92" s="149">
        <f t="shared" si="86"/>
        <v>1</v>
      </c>
      <c r="CB92" s="149">
        <f t="shared" si="87"/>
        <v>1</v>
      </c>
      <c r="CC92" s="149">
        <f t="shared" si="88"/>
        <v>1</v>
      </c>
      <c r="CD92" s="149">
        <f t="shared" si="89"/>
        <v>1</v>
      </c>
      <c r="CE92" s="149">
        <f t="shared" si="90"/>
        <v>1</v>
      </c>
      <c r="CF92" s="149">
        <f t="shared" si="91"/>
        <v>1</v>
      </c>
      <c r="CG92" s="149">
        <f t="shared" si="92"/>
        <v>1</v>
      </c>
      <c r="CH92" s="149">
        <f t="shared" si="93"/>
        <v>1</v>
      </c>
      <c r="CI92" s="149">
        <f t="shared" si="94"/>
        <v>1</v>
      </c>
      <c r="CJ92" s="149">
        <f t="shared" si="95"/>
        <v>1</v>
      </c>
      <c r="CK92" s="149">
        <f t="shared" si="96"/>
        <v>1</v>
      </c>
      <c r="CL92" s="149">
        <f t="shared" si="97"/>
        <v>1</v>
      </c>
      <c r="CM92" s="149">
        <f t="shared" si="98"/>
        <v>1</v>
      </c>
      <c r="CN92" s="149">
        <f t="shared" si="99"/>
        <v>1</v>
      </c>
      <c r="CO92" s="149">
        <f t="shared" si="100"/>
        <v>1</v>
      </c>
      <c r="CP92" s="149">
        <f t="shared" si="101"/>
        <v>1</v>
      </c>
      <c r="CQ92" s="149">
        <f t="shared" si="102"/>
        <v>1</v>
      </c>
      <c r="CR92" s="149">
        <f t="shared" si="103"/>
        <v>1</v>
      </c>
      <c r="CS92" s="149">
        <f t="shared" si="104"/>
        <v>1</v>
      </c>
      <c r="CT92" s="149">
        <f t="shared" si="105"/>
        <v>1</v>
      </c>
      <c r="CU92" s="149">
        <f t="shared" si="106"/>
        <v>1</v>
      </c>
      <c r="CV92" s="149">
        <f t="shared" si="107"/>
        <v>1</v>
      </c>
      <c r="CW92" s="149">
        <f t="shared" si="108"/>
        <v>1</v>
      </c>
      <c r="CX92" s="149">
        <f t="shared" si="109"/>
        <v>1</v>
      </c>
      <c r="CY92" s="149">
        <f t="shared" si="110"/>
        <v>1</v>
      </c>
      <c r="CZ92" s="149">
        <f t="shared" si="111"/>
        <v>1</v>
      </c>
      <c r="DA92" s="149">
        <f t="shared" si="112"/>
        <v>1</v>
      </c>
      <c r="DB92" s="149">
        <f t="shared" si="113"/>
        <v>1</v>
      </c>
      <c r="DG92" s="125">
        <f t="shared" si="126"/>
        <v>1</v>
      </c>
      <c r="DH92" s="125">
        <f t="shared" si="130"/>
        <v>2</v>
      </c>
      <c r="DI92" s="125">
        <f t="shared" si="130"/>
        <v>3</v>
      </c>
      <c r="DJ92" s="125">
        <f t="shared" si="130"/>
        <v>4</v>
      </c>
      <c r="DK92" s="125">
        <f t="shared" si="130"/>
        <v>5</v>
      </c>
      <c r="DL92" s="125">
        <f t="shared" si="130"/>
        <v>6</v>
      </c>
      <c r="DM92" s="125">
        <f t="shared" si="130"/>
        <v>7</v>
      </c>
      <c r="DN92" s="125">
        <f t="shared" si="130"/>
        <v>8</v>
      </c>
      <c r="DO92" s="125">
        <f t="shared" si="130"/>
        <v>9</v>
      </c>
      <c r="DP92" s="125">
        <f t="shared" si="130"/>
        <v>10</v>
      </c>
      <c r="DS92" s="137"/>
      <c r="DT92" s="137"/>
      <c r="DU92" s="137"/>
      <c r="DV92" s="137" t="b">
        <f t="shared" si="115"/>
        <v>0</v>
      </c>
      <c r="DW92" s="137" t="b">
        <f t="shared" si="116"/>
        <v>0</v>
      </c>
      <c r="DX92" s="137" t="b">
        <f t="shared" si="117"/>
        <v>1</v>
      </c>
      <c r="EB92" s="131">
        <f t="shared" si="127"/>
        <v>1</v>
      </c>
      <c r="EC92" s="137" t="b">
        <f t="shared" si="118"/>
        <v>0</v>
      </c>
      <c r="ED92" s="137" t="b">
        <f t="shared" si="119"/>
        <v>0</v>
      </c>
      <c r="EE92" s="137" t="b">
        <f t="shared" si="120"/>
        <v>1</v>
      </c>
      <c r="EF92" s="137"/>
      <c r="EG92" s="137"/>
      <c r="EH92" s="137"/>
      <c r="EI92" s="137"/>
      <c r="EJ92" s="137">
        <f t="shared" si="128"/>
        <v>1</v>
      </c>
      <c r="EK92" s="125">
        <f t="shared" si="121"/>
        <v>0</v>
      </c>
      <c r="EL92" s="125">
        <f t="shared" si="122"/>
        <v>0</v>
      </c>
    </row>
    <row r="93" spans="2:142" ht="15.75" x14ac:dyDescent="0.25">
      <c r="B93" s="160">
        <f t="shared" si="123"/>
        <v>63</v>
      </c>
      <c r="C93" s="205">
        <v>1001348950</v>
      </c>
      <c r="D93" s="205">
        <v>1001288866</v>
      </c>
      <c r="E93" s="205">
        <v>40000513</v>
      </c>
      <c r="F93" s="118">
        <f>IF(OR(J93="",H93=""),"",VLOOKUP(J93,'הזנה לסיווג רשויות'!$B$2:$D$301,2,0))</f>
        <v>20000102</v>
      </c>
      <c r="G93" s="118" t="str">
        <f>IF(OR(J93="",H93=""),"",VLOOKUP(J93,'הזנה לסיווג רשויות'!$B$2:$D$301,3,0))</f>
        <v>מעלות-תרשיחא</v>
      </c>
      <c r="H93" s="281" t="s">
        <v>584</v>
      </c>
      <c r="I93" s="201" t="s">
        <v>395</v>
      </c>
      <c r="J93" s="205">
        <v>1063</v>
      </c>
      <c r="K93" s="161">
        <v>0</v>
      </c>
      <c r="L93" s="161">
        <v>1</v>
      </c>
      <c r="M93" s="161">
        <v>0</v>
      </c>
      <c r="N93" s="161">
        <v>0</v>
      </c>
      <c r="O93" s="161">
        <v>1</v>
      </c>
      <c r="P93" s="161">
        <v>1</v>
      </c>
      <c r="Q93" s="161">
        <v>1</v>
      </c>
      <c r="R93" s="201">
        <v>1393771</v>
      </c>
      <c r="S93" s="201">
        <v>435554</v>
      </c>
      <c r="T93" s="160">
        <f>IF(G93="","",IFERROR(IF(S93/R93&gt;'פרמטרים לקריטריונים'!$C$20,1,0),0))</f>
        <v>1</v>
      </c>
      <c r="U93" s="201">
        <v>423164</v>
      </c>
      <c r="V93" s="160">
        <f>IF(G93="","",IFERROR(IF(U93/R93&gt;'פרמטרים לקריטריונים'!$C$21,1,IF(AND(I93=$BW$5,U93/R93&gt;'פרמטרים לקריטריונים'!$C$22),1,0)),0))</f>
        <v>1</v>
      </c>
      <c r="W93" s="161">
        <v>1</v>
      </c>
      <c r="X93" s="161">
        <v>1</v>
      </c>
      <c r="Y93" s="201">
        <v>1050000</v>
      </c>
      <c r="Z93" s="201">
        <v>50000</v>
      </c>
      <c r="AA93" s="161">
        <f t="shared" si="124"/>
        <v>1</v>
      </c>
      <c r="AB93" s="161"/>
      <c r="AC93" s="161"/>
      <c r="AD93" s="161"/>
      <c r="AE93" s="161"/>
      <c r="AF93" s="161"/>
      <c r="AG93" s="161"/>
      <c r="AH93" s="161"/>
      <c r="AI93" s="161"/>
      <c r="AJ93" s="161"/>
      <c r="AK93" s="161"/>
      <c r="AL93" s="161"/>
      <c r="AM93" s="161"/>
      <c r="AN93" s="161"/>
      <c r="AO93" s="161"/>
      <c r="AP93" s="161"/>
      <c r="AQ93" s="161"/>
      <c r="AR93" s="161"/>
      <c r="AS93" s="161"/>
      <c r="AT93" s="161"/>
      <c r="AU93" s="161"/>
      <c r="AV93" s="161"/>
      <c r="AW93" s="160"/>
      <c r="AX93" s="161"/>
      <c r="AY93" s="161"/>
      <c r="AZ93" s="161"/>
      <c r="BA93" s="161"/>
      <c r="BB93" s="161"/>
      <c r="BC93" s="161"/>
      <c r="BD93" s="161"/>
      <c r="BE93" s="161"/>
      <c r="BF93" s="160" t="str">
        <f t="shared" si="125"/>
        <v/>
      </c>
      <c r="BG93" s="160"/>
      <c r="BH93" s="160"/>
      <c r="BI93" s="160"/>
      <c r="BJ93" s="160"/>
      <c r="BK93" s="160"/>
      <c r="BL93" s="162">
        <f t="shared" si="75"/>
        <v>1</v>
      </c>
      <c r="BM93" s="257"/>
      <c r="BN93" s="163"/>
      <c r="BO93" s="211" t="str">
        <f t="shared" si="76"/>
        <v>בית האומנות לחינוך ולתרבות - תרשיחאתרבות ערבית</v>
      </c>
      <c r="BP93" s="125">
        <f t="shared" si="77"/>
        <v>1</v>
      </c>
      <c r="BQ93" s="164">
        <v>0</v>
      </c>
      <c r="BR93" s="164">
        <v>1</v>
      </c>
      <c r="BS93" s="149">
        <f t="shared" si="78"/>
        <v>1</v>
      </c>
      <c r="BT93" s="149">
        <f t="shared" si="79"/>
        <v>1</v>
      </c>
      <c r="BU93" s="149">
        <f t="shared" si="80"/>
        <v>1</v>
      </c>
      <c r="BV93" s="149">
        <f t="shared" si="81"/>
        <v>1</v>
      </c>
      <c r="BW93" s="149">
        <f t="shared" si="82"/>
        <v>1</v>
      </c>
      <c r="BX93" s="149">
        <f t="shared" si="83"/>
        <v>1</v>
      </c>
      <c r="BY93" s="149">
        <f t="shared" si="84"/>
        <v>1</v>
      </c>
      <c r="BZ93" s="149">
        <f t="shared" si="85"/>
        <v>1</v>
      </c>
      <c r="CA93" s="149">
        <f t="shared" si="86"/>
        <v>1</v>
      </c>
      <c r="CB93" s="149">
        <f t="shared" si="87"/>
        <v>1</v>
      </c>
      <c r="CC93" s="149">
        <f t="shared" si="88"/>
        <v>1</v>
      </c>
      <c r="CD93" s="149">
        <f t="shared" si="89"/>
        <v>1</v>
      </c>
      <c r="CE93" s="149">
        <f t="shared" si="90"/>
        <v>1</v>
      </c>
      <c r="CF93" s="149">
        <f t="shared" si="91"/>
        <v>1</v>
      </c>
      <c r="CG93" s="149">
        <f t="shared" si="92"/>
        <v>1</v>
      </c>
      <c r="CH93" s="149">
        <f t="shared" si="93"/>
        <v>1</v>
      </c>
      <c r="CI93" s="149">
        <f t="shared" si="94"/>
        <v>1</v>
      </c>
      <c r="CJ93" s="149">
        <f t="shared" si="95"/>
        <v>1</v>
      </c>
      <c r="CK93" s="149">
        <f t="shared" si="96"/>
        <v>1</v>
      </c>
      <c r="CL93" s="149">
        <f t="shared" si="97"/>
        <v>1</v>
      </c>
      <c r="CM93" s="149">
        <f t="shared" si="98"/>
        <v>1</v>
      </c>
      <c r="CN93" s="149">
        <f t="shared" si="99"/>
        <v>1</v>
      </c>
      <c r="CO93" s="149">
        <f t="shared" si="100"/>
        <v>1</v>
      </c>
      <c r="CP93" s="149">
        <f t="shared" si="101"/>
        <v>1</v>
      </c>
      <c r="CQ93" s="149">
        <f t="shared" si="102"/>
        <v>1</v>
      </c>
      <c r="CR93" s="149">
        <f t="shared" si="103"/>
        <v>1</v>
      </c>
      <c r="CS93" s="149">
        <f t="shared" si="104"/>
        <v>1</v>
      </c>
      <c r="CT93" s="149">
        <f t="shared" si="105"/>
        <v>1</v>
      </c>
      <c r="CU93" s="149">
        <f t="shared" si="106"/>
        <v>1</v>
      </c>
      <c r="CV93" s="149">
        <f t="shared" si="107"/>
        <v>1</v>
      </c>
      <c r="CW93" s="149">
        <f t="shared" si="108"/>
        <v>1</v>
      </c>
      <c r="CX93" s="149">
        <f t="shared" si="109"/>
        <v>1</v>
      </c>
      <c r="CY93" s="149">
        <f t="shared" si="110"/>
        <v>1</v>
      </c>
      <c r="CZ93" s="149">
        <f t="shared" si="111"/>
        <v>1</v>
      </c>
      <c r="DA93" s="149">
        <f t="shared" si="112"/>
        <v>1</v>
      </c>
      <c r="DB93" s="149">
        <f t="shared" si="113"/>
        <v>1</v>
      </c>
      <c r="DG93" s="125">
        <f t="shared" si="126"/>
        <v>1</v>
      </c>
      <c r="DH93" s="125">
        <f t="shared" si="130"/>
        <v>2</v>
      </c>
      <c r="DI93" s="125">
        <f t="shared" si="130"/>
        <v>3</v>
      </c>
      <c r="DJ93" s="125">
        <f t="shared" si="130"/>
        <v>4</v>
      </c>
      <c r="DK93" s="125">
        <f t="shared" si="130"/>
        <v>5</v>
      </c>
      <c r="DL93" s="125">
        <f t="shared" si="130"/>
        <v>6</v>
      </c>
      <c r="DM93" s="125">
        <f t="shared" si="130"/>
        <v>7</v>
      </c>
      <c r="DN93" s="125">
        <f t="shared" si="130"/>
        <v>8</v>
      </c>
      <c r="DO93" s="125">
        <f t="shared" si="130"/>
        <v>9</v>
      </c>
      <c r="DP93" s="125">
        <f t="shared" si="130"/>
        <v>10</v>
      </c>
      <c r="DS93" s="137"/>
      <c r="DT93" s="137"/>
      <c r="DU93" s="137"/>
      <c r="DV93" s="137" t="b">
        <f t="shared" si="115"/>
        <v>0</v>
      </c>
      <c r="DW93" s="137" t="b">
        <f t="shared" si="116"/>
        <v>0</v>
      </c>
      <c r="DX93" s="137" t="b">
        <f t="shared" si="117"/>
        <v>1</v>
      </c>
      <c r="EB93" s="131">
        <f t="shared" si="127"/>
        <v>1</v>
      </c>
      <c r="EC93" s="137" t="b">
        <f t="shared" si="118"/>
        <v>0</v>
      </c>
      <c r="ED93" s="137" t="b">
        <f t="shared" si="119"/>
        <v>0</v>
      </c>
      <c r="EE93" s="137" t="b">
        <f t="shared" si="120"/>
        <v>1</v>
      </c>
      <c r="EF93" s="137"/>
      <c r="EG93" s="137"/>
      <c r="EH93" s="137"/>
      <c r="EI93" s="137"/>
      <c r="EJ93" s="137">
        <f t="shared" si="128"/>
        <v>1</v>
      </c>
      <c r="EK93" s="125">
        <f t="shared" si="121"/>
        <v>0</v>
      </c>
      <c r="EL93" s="125">
        <f t="shared" si="122"/>
        <v>0</v>
      </c>
    </row>
    <row r="94" spans="2:142" ht="15.75" x14ac:dyDescent="0.25">
      <c r="B94" s="160">
        <f t="shared" si="123"/>
        <v>64</v>
      </c>
      <c r="C94" s="205">
        <v>1001350242</v>
      </c>
      <c r="D94" s="205">
        <v>1001277229</v>
      </c>
      <c r="E94" s="205">
        <v>40000531</v>
      </c>
      <c r="F94" s="118">
        <f>IF(OR(J94="",H94=""),"",VLOOKUP(J94,'הזנה לסיווג רשויות'!$B$2:$D$301,2,0))</f>
        <v>20000005</v>
      </c>
      <c r="G94" s="118" t="str">
        <f>IF(OR(J94="",H94=""),"",VLOOKUP(J94,'הזנה לסיווג רשויות'!$B$2:$D$301,3,0))</f>
        <v>אליכין</v>
      </c>
      <c r="H94" s="281" t="s">
        <v>585</v>
      </c>
      <c r="I94" s="201" t="s">
        <v>375</v>
      </c>
      <c r="J94" s="205">
        <v>41</v>
      </c>
      <c r="K94" s="161">
        <v>0</v>
      </c>
      <c r="L94" s="161">
        <v>1</v>
      </c>
      <c r="M94" s="161">
        <v>0</v>
      </c>
      <c r="N94" s="161">
        <v>0</v>
      </c>
      <c r="O94" s="161">
        <v>1</v>
      </c>
      <c r="P94" s="161">
        <v>1</v>
      </c>
      <c r="Q94" s="161">
        <v>1</v>
      </c>
      <c r="R94" s="201">
        <v>649541</v>
      </c>
      <c r="S94" s="201">
        <v>231779</v>
      </c>
      <c r="T94" s="160">
        <f>IF(G94="","",IFERROR(IF(S94/R94&gt;'פרמטרים לקריטריונים'!$C$20,1,0),0))</f>
        <v>1</v>
      </c>
      <c r="U94" s="201">
        <v>229645</v>
      </c>
      <c r="V94" s="160">
        <f>IF(G94="","",IFERROR(IF(U94/R94&gt;'פרמטרים לקריטריונים'!$C$21,1,IF(AND(I94=$BW$5,U94/R94&gt;'פרמטרים לקריטריונים'!$C$22),1,0)),0))</f>
        <v>1</v>
      </c>
      <c r="W94" s="161">
        <v>1</v>
      </c>
      <c r="X94" s="161">
        <v>1</v>
      </c>
      <c r="Y94" s="201">
        <v>1600000</v>
      </c>
      <c r="Z94" s="201">
        <v>40000</v>
      </c>
      <c r="AA94" s="161">
        <f t="shared" si="124"/>
        <v>1</v>
      </c>
      <c r="AB94" s="161"/>
      <c r="AC94" s="161"/>
      <c r="AD94" s="161"/>
      <c r="AE94" s="161"/>
      <c r="AF94" s="161"/>
      <c r="AG94" s="161"/>
      <c r="AH94" s="161"/>
      <c r="AI94" s="161"/>
      <c r="AJ94" s="161"/>
      <c r="AK94" s="161"/>
      <c r="AL94" s="161"/>
      <c r="AM94" s="161"/>
      <c r="AN94" s="161"/>
      <c r="AO94" s="161"/>
      <c r="AP94" s="161"/>
      <c r="AQ94" s="161"/>
      <c r="AR94" s="161"/>
      <c r="AS94" s="161"/>
      <c r="AT94" s="161"/>
      <c r="AU94" s="161"/>
      <c r="AV94" s="161"/>
      <c r="AW94" s="160"/>
      <c r="AX94" s="161"/>
      <c r="AY94" s="161"/>
      <c r="AZ94" s="161"/>
      <c r="BA94" s="161"/>
      <c r="BB94" s="161"/>
      <c r="BC94" s="161"/>
      <c r="BD94" s="161"/>
      <c r="BE94" s="161"/>
      <c r="BF94" s="160" t="str">
        <f t="shared" si="125"/>
        <v/>
      </c>
      <c r="BG94" s="160"/>
      <c r="BH94" s="160"/>
      <c r="BI94" s="160"/>
      <c r="BJ94" s="160"/>
      <c r="BK94" s="160"/>
      <c r="BL94" s="162">
        <f t="shared" si="75"/>
        <v>1</v>
      </c>
      <c r="BM94" s="257"/>
      <c r="BN94" s="163"/>
      <c r="BO94" s="211" t="str">
        <f t="shared" si="76"/>
        <v>מכון רימון לידיעת הארץמוזיאונים</v>
      </c>
      <c r="BP94" s="125">
        <f t="shared" si="77"/>
        <v>1</v>
      </c>
      <c r="BQ94" s="164">
        <v>0</v>
      </c>
      <c r="BR94" s="164">
        <v>1</v>
      </c>
      <c r="BS94" s="149">
        <f t="shared" si="78"/>
        <v>1</v>
      </c>
      <c r="BT94" s="149">
        <f t="shared" si="79"/>
        <v>1</v>
      </c>
      <c r="BU94" s="149">
        <f t="shared" si="80"/>
        <v>1</v>
      </c>
      <c r="BV94" s="149">
        <f t="shared" si="81"/>
        <v>1</v>
      </c>
      <c r="BW94" s="149">
        <f t="shared" si="82"/>
        <v>1</v>
      </c>
      <c r="BX94" s="149">
        <f t="shared" si="83"/>
        <v>1</v>
      </c>
      <c r="BY94" s="149">
        <f t="shared" si="84"/>
        <v>1</v>
      </c>
      <c r="BZ94" s="149">
        <f t="shared" si="85"/>
        <v>1</v>
      </c>
      <c r="CA94" s="149">
        <f t="shared" si="86"/>
        <v>1</v>
      </c>
      <c r="CB94" s="149">
        <f t="shared" si="87"/>
        <v>1</v>
      </c>
      <c r="CC94" s="149">
        <f t="shared" si="88"/>
        <v>1</v>
      </c>
      <c r="CD94" s="149">
        <f t="shared" si="89"/>
        <v>1</v>
      </c>
      <c r="CE94" s="149">
        <f t="shared" si="90"/>
        <v>1</v>
      </c>
      <c r="CF94" s="149">
        <f t="shared" si="91"/>
        <v>1</v>
      </c>
      <c r="CG94" s="149">
        <f t="shared" si="92"/>
        <v>1</v>
      </c>
      <c r="CH94" s="149">
        <f t="shared" si="93"/>
        <v>1</v>
      </c>
      <c r="CI94" s="149">
        <f t="shared" si="94"/>
        <v>1</v>
      </c>
      <c r="CJ94" s="149">
        <f t="shared" si="95"/>
        <v>1</v>
      </c>
      <c r="CK94" s="149">
        <f t="shared" si="96"/>
        <v>1</v>
      </c>
      <c r="CL94" s="149">
        <f t="shared" si="97"/>
        <v>1</v>
      </c>
      <c r="CM94" s="149">
        <f t="shared" si="98"/>
        <v>1</v>
      </c>
      <c r="CN94" s="149">
        <f t="shared" si="99"/>
        <v>1</v>
      </c>
      <c r="CO94" s="149">
        <f t="shared" si="100"/>
        <v>1</v>
      </c>
      <c r="CP94" s="149">
        <f t="shared" si="101"/>
        <v>1</v>
      </c>
      <c r="CQ94" s="149">
        <f t="shared" si="102"/>
        <v>1</v>
      </c>
      <c r="CR94" s="149">
        <f t="shared" si="103"/>
        <v>1</v>
      </c>
      <c r="CS94" s="149">
        <f t="shared" si="104"/>
        <v>1</v>
      </c>
      <c r="CT94" s="149">
        <f t="shared" si="105"/>
        <v>1</v>
      </c>
      <c r="CU94" s="149">
        <f t="shared" si="106"/>
        <v>1</v>
      </c>
      <c r="CV94" s="149">
        <f t="shared" si="107"/>
        <v>1</v>
      </c>
      <c r="CW94" s="149">
        <f t="shared" si="108"/>
        <v>1</v>
      </c>
      <c r="CX94" s="149">
        <f t="shared" si="109"/>
        <v>1</v>
      </c>
      <c r="CY94" s="149">
        <f t="shared" si="110"/>
        <v>1</v>
      </c>
      <c r="CZ94" s="149">
        <f t="shared" si="111"/>
        <v>1</v>
      </c>
      <c r="DA94" s="149">
        <f t="shared" si="112"/>
        <v>1</v>
      </c>
      <c r="DB94" s="149">
        <f t="shared" si="113"/>
        <v>1</v>
      </c>
      <c r="DG94" s="125">
        <f t="shared" si="126"/>
        <v>1</v>
      </c>
      <c r="DH94" s="125">
        <f t="shared" si="130"/>
        <v>2</v>
      </c>
      <c r="DI94" s="125">
        <f t="shared" si="130"/>
        <v>3</v>
      </c>
      <c r="DJ94" s="125">
        <f t="shared" si="130"/>
        <v>4</v>
      </c>
      <c r="DK94" s="125">
        <f t="shared" si="130"/>
        <v>5</v>
      </c>
      <c r="DL94" s="125">
        <f t="shared" si="130"/>
        <v>6</v>
      </c>
      <c r="DM94" s="125">
        <f t="shared" si="130"/>
        <v>7</v>
      </c>
      <c r="DN94" s="125">
        <f t="shared" si="130"/>
        <v>8</v>
      </c>
      <c r="DO94" s="125">
        <f t="shared" si="130"/>
        <v>9</v>
      </c>
      <c r="DP94" s="125">
        <f t="shared" si="130"/>
        <v>10</v>
      </c>
      <c r="DS94" s="137"/>
      <c r="DT94" s="137"/>
      <c r="DU94" s="137"/>
      <c r="DV94" s="137" t="b">
        <f t="shared" si="115"/>
        <v>0</v>
      </c>
      <c r="DW94" s="137" t="b">
        <f t="shared" si="116"/>
        <v>0</v>
      </c>
      <c r="DX94" s="137" t="b">
        <f t="shared" si="117"/>
        <v>1</v>
      </c>
      <c r="EB94" s="131">
        <f t="shared" si="127"/>
        <v>1</v>
      </c>
      <c r="EC94" s="137" t="b">
        <f t="shared" si="118"/>
        <v>0</v>
      </c>
      <c r="ED94" s="137" t="b">
        <f t="shared" si="119"/>
        <v>0</v>
      </c>
      <c r="EE94" s="137" t="b">
        <f t="shared" si="120"/>
        <v>1</v>
      </c>
      <c r="EF94" s="137"/>
      <c r="EG94" s="137"/>
      <c r="EH94" s="137"/>
      <c r="EI94" s="137"/>
      <c r="EJ94" s="137">
        <f t="shared" si="128"/>
        <v>1</v>
      </c>
      <c r="EK94" s="125">
        <f t="shared" si="121"/>
        <v>0</v>
      </c>
      <c r="EL94" s="125">
        <f t="shared" si="122"/>
        <v>0</v>
      </c>
    </row>
    <row r="95" spans="2:142" ht="15.75" x14ac:dyDescent="0.25">
      <c r="B95" s="160">
        <f t="shared" si="123"/>
        <v>65</v>
      </c>
      <c r="C95" s="205">
        <v>1001348656</v>
      </c>
      <c r="D95" s="205">
        <v>1001274980</v>
      </c>
      <c r="E95" s="205">
        <v>40000533</v>
      </c>
      <c r="F95" s="118">
        <f>IF(OR(J95="",H95=""),"",VLOOKUP(J95,'הזנה לסיווג רשויות'!$B$2:$D$301,2,0))</f>
        <v>20000159</v>
      </c>
      <c r="G95" s="118" t="str">
        <f>IF(OR(J95="",H95=""),"",VLOOKUP(J95,'הזנה לסיווג רשויות'!$B$2:$D$301,3,0))</f>
        <v>ירושלים</v>
      </c>
      <c r="H95" s="281" t="s">
        <v>586</v>
      </c>
      <c r="I95" s="201" t="s">
        <v>376</v>
      </c>
      <c r="J95" s="205">
        <v>3000</v>
      </c>
      <c r="K95" s="161">
        <v>0</v>
      </c>
      <c r="L95" s="161">
        <v>1</v>
      </c>
      <c r="M95" s="161">
        <v>0</v>
      </c>
      <c r="N95" s="161">
        <v>1</v>
      </c>
      <c r="O95" s="161">
        <v>1</v>
      </c>
      <c r="P95" s="161">
        <v>1</v>
      </c>
      <c r="Q95" s="161">
        <v>1</v>
      </c>
      <c r="R95" s="201">
        <v>1630035</v>
      </c>
      <c r="S95" s="201">
        <v>639877</v>
      </c>
      <c r="T95" s="160">
        <f>IF(G95="","",IFERROR(IF(S95/R95&gt;'פרמטרים לקריטריונים'!$C$20,1,0),0))</f>
        <v>1</v>
      </c>
      <c r="U95" s="201">
        <v>521069</v>
      </c>
      <c r="V95" s="160">
        <f>IF(G95="","",IFERROR(IF(U95/R95&gt;'פרמטרים לקריטריונים'!$C$21,1,IF(AND(I95=$BW$5,U95/R95&gt;'פרמטרים לקריטריונים'!$C$22),1,0)),0))</f>
        <v>1</v>
      </c>
      <c r="W95" s="161">
        <v>1</v>
      </c>
      <c r="X95" s="161">
        <v>1</v>
      </c>
      <c r="Y95" s="201">
        <v>120000</v>
      </c>
      <c r="Z95" s="201">
        <v>120000</v>
      </c>
      <c r="AA95" s="161">
        <f t="shared" si="124"/>
        <v>1</v>
      </c>
      <c r="AB95" s="161"/>
      <c r="AC95" s="161"/>
      <c r="AD95" s="161"/>
      <c r="AE95" s="161"/>
      <c r="AF95" s="161"/>
      <c r="AG95" s="161"/>
      <c r="AH95" s="161"/>
      <c r="AI95" s="161"/>
      <c r="AJ95" s="161"/>
      <c r="AK95" s="161"/>
      <c r="AL95" s="161"/>
      <c r="AM95" s="161"/>
      <c r="AN95" s="161"/>
      <c r="AO95" s="161"/>
      <c r="AP95" s="161"/>
      <c r="AQ95" s="161"/>
      <c r="AR95" s="161"/>
      <c r="AS95" s="161"/>
      <c r="AT95" s="161"/>
      <c r="AU95" s="161"/>
      <c r="AV95" s="161"/>
      <c r="AW95" s="160"/>
      <c r="AX95" s="161"/>
      <c r="AY95" s="161"/>
      <c r="AZ95" s="161"/>
      <c r="BA95" s="161"/>
      <c r="BB95" s="161"/>
      <c r="BC95" s="161"/>
      <c r="BD95" s="161"/>
      <c r="BE95" s="161"/>
      <c r="BF95" s="160" t="str">
        <f t="shared" si="125"/>
        <v/>
      </c>
      <c r="BG95" s="160"/>
      <c r="BH95" s="160"/>
      <c r="BI95" s="160"/>
      <c r="BJ95" s="160"/>
      <c r="BK95" s="160"/>
      <c r="BL95" s="162">
        <f t="shared" ref="BL95:BL158" si="131">IF($G95="","",IF(SUM(N95:O95)=0,0,IF(OR(H95="",I95="",J95="",AA95=0,Y95=""),$BQ$1,IF(BP95&lt;&gt;1,$BQ$1,IF(SUMPRODUCT(--(K95:BG95&gt;=$K$5:$BG$5)*($K$5:$BG$5&lt;&gt;"")*($K$4:$BG$4=1))=COUNTIF($K$4:$BG$4,1),1,0)))))</f>
        <v>1</v>
      </c>
      <c r="BM95" s="257"/>
      <c r="BN95" s="163"/>
      <c r="BO95" s="211" t="str">
        <f t="shared" ref="BO95:BO158" si="132">CONCATENATE(H95,I95)</f>
        <v>תזמורת הבארוק ירושלים מוסיקה-גופים כליים</v>
      </c>
      <c r="BP95" s="125">
        <f t="shared" ref="BP95:BP158" si="133">IF(OR(SUM(BS95:DB95)&lt;&gt;COUNT(BS95:DB95),SUMPRODUCT(--(N95:BG95=$BQ$1))&lt;&gt;0),0,1)</f>
        <v>1</v>
      </c>
      <c r="BQ95" s="164">
        <v>0</v>
      </c>
      <c r="BR95" s="164">
        <v>1</v>
      </c>
      <c r="BS95" s="149">
        <f t="shared" ref="BS95:BS158" si="134">IF(OR(K$30="",K$4=99),1,IF(K95="",0,IFERROR(CHOOSE(BS$28,IF(ISNA(MATCH(K95,$BQ$30:$BR$30,0)),0,1),IF(ISNUMBER(K95),1,0),IF(K95=TRUNC(K95),1,0),IF(AND(K95*1=K95,K95&gt;=0),1,0),IF(AND(K95=TRUNC(K95),K95&gt;=0),1,0),IF(AND(K95*1=K95,K95&gt;0),1,0),IF(AND(K95=TRUNC(K95),K95&gt;0),1,0),1,IF(ISNA(HLOOKUP(K95,$BT$4:$CD$4,1,0)),0,1)),0)))</f>
        <v>1</v>
      </c>
      <c r="BT95" s="149">
        <f t="shared" ref="BT95:BT158" si="135">IF(OR(L$30="",L$4=99),1,IF(L95="",0,IFERROR(CHOOSE(BT$28,IF(ISNA(MATCH(L95,$BQ$30:$BR$30,0)),0,1),IF(ISNUMBER(L95),1,0),IF(L95=TRUNC(L95),1,0),IF(AND(L95*1=L95,L95&gt;=0),1,0),IF(AND(L95=TRUNC(L95),L95&gt;=0),1,0),IF(AND(L95*1=L95,L95&gt;0),1,0),IF(AND(L95=TRUNC(L95),L95&gt;0),1,0),1,IF(ISNA(HLOOKUP(L95,$BT$4:$CD$4,1,0)),0,1)),0)))</f>
        <v>1</v>
      </c>
      <c r="BU95" s="149">
        <f t="shared" ref="BU95:BU158" si="136">IF(OR(M$30="",M$4=99),1,IF(M95="",0,IFERROR(CHOOSE(BU$28,IF(ISNA(MATCH(M95,$BQ$30:$BR$30,0)),0,1),IF(ISNUMBER(M95),1,0),IF(M95=TRUNC(M95),1,0),IF(AND(M95*1=M95,M95&gt;=0),1,0),IF(AND(M95=TRUNC(M95),M95&gt;=0),1,0),IF(AND(M95*1=M95,M95&gt;0),1,0),IF(AND(M95=TRUNC(M95),M95&gt;0),1,0),1,IF(ISNA(HLOOKUP(M95,$BT$4:$CD$4,1,0)),0,1)),0)))</f>
        <v>1</v>
      </c>
      <c r="BV95" s="149">
        <f t="shared" ref="BV95:BV158" si="137">IF(OR(N$30="",N$4=99),1,IF(N95="",0,IFERROR(CHOOSE(BV$28,IF(ISNA(MATCH(N95,$BQ$30:$BR$30,0)),0,1),IF(ISNUMBER(N95),1,0),IF(N95=TRUNC(N95),1,0),IF(AND(N95*1=N95,N95&gt;=0),1,0),IF(AND(N95=TRUNC(N95),N95&gt;=0),1,0),IF(AND(N95*1=N95,N95&gt;0),1,0),IF(AND(N95=TRUNC(N95),N95&gt;0),1,0),1,IF(ISNA(HLOOKUP(N95,$BT$4:$CD$4,1,0)),0,1)),0)))</f>
        <v>1</v>
      </c>
      <c r="BW95" s="149">
        <f t="shared" ref="BW95:BW158" si="138">IF(OR(O$30="",O$4=99),1,IF(O95="",0,IFERROR(CHOOSE(BW$28,IF(ISNA(MATCH(O95,$BQ$30:$BR$30,0)),0,1),IF(ISNUMBER(O95),1,0),IF(O95=TRUNC(O95),1,0),IF(AND(O95*1=O95,O95&gt;=0),1,0),IF(AND(O95=TRUNC(O95),O95&gt;=0),1,0),IF(AND(O95*1=O95,O95&gt;0),1,0),IF(AND(O95=TRUNC(O95),O95&gt;0),1,0),1,IF(ISNA(HLOOKUP(O95,$BT$4:$CD$4,1,0)),0,1)),0)))</f>
        <v>1</v>
      </c>
      <c r="BX95" s="149">
        <f t="shared" ref="BX95:BX158" si="139">IF(OR(P$30="",P$4=99),1,IF(P95="",0,IFERROR(CHOOSE(BX$28,IF(ISNA(MATCH(P95,$BQ$30:$BR$30,0)),0,1),IF(ISNUMBER(P95),1,0),IF(P95=TRUNC(P95),1,0),IF(AND(P95*1=P95,P95&gt;=0),1,0),IF(AND(P95=TRUNC(P95),P95&gt;=0),1,0),IF(AND(P95*1=P95,P95&gt;0),1,0),IF(AND(P95=TRUNC(P95),P95&gt;0),1,0),1,IF(ISNA(HLOOKUP(P95,$BT$4:$CD$4,1,0)),0,1)),0)))</f>
        <v>1</v>
      </c>
      <c r="BY95" s="149">
        <f t="shared" ref="BY95:BY158" si="140">IF(OR(Q$30="",Q$4=99),1,IF(Q95="",0,IFERROR(CHOOSE(BY$28,IF(ISNA(MATCH(Q95,$BQ$30:$BR$30,0)),0,1),IF(ISNUMBER(Q95),1,0),IF(Q95=TRUNC(Q95),1,0),IF(AND(Q95*1=Q95,Q95&gt;=0),1,0),IF(AND(Q95=TRUNC(Q95),Q95&gt;=0),1,0),IF(AND(Q95*1=Q95,Q95&gt;0),1,0),IF(AND(Q95=TRUNC(Q95),Q95&gt;0),1,0),1,IF(ISNA(HLOOKUP(Q95,$BT$4:$CD$4,1,0)),0,1)),0)))</f>
        <v>1</v>
      </c>
      <c r="BZ95" s="149">
        <f t="shared" ref="BZ95:BZ158" si="141">IF(OR(R$30="",R$4=99),1,IF(R95="",0,IFERROR(CHOOSE(BZ$28,IF(ISNA(MATCH(R95,$BQ$30:$BR$30,0)),0,1),IF(ISNUMBER(R95),1,0),IF(R95=TRUNC(R95),1,0),IF(AND(R95*1=R95,R95&gt;=0),1,0),IF(AND(R95=TRUNC(R95),R95&gt;=0),1,0),IF(AND(R95*1=R95,R95&gt;0),1,0),IF(AND(R95=TRUNC(R95),R95&gt;0),1,0),1,IF(ISNA(HLOOKUP(R95,$BT$4:$CD$4,1,0)),0,1)),0)))</f>
        <v>1</v>
      </c>
      <c r="CA95" s="149">
        <f t="shared" ref="CA95:CA158" si="142">IF(OR(S$30="",S$4=99),1,IF(S95="",0,IFERROR(CHOOSE(CA$28,IF(ISNA(MATCH(S95,$BQ$30:$BR$30,0)),0,1),IF(ISNUMBER(S95),1,0),IF(S95=TRUNC(S95),1,0),IF(AND(S95*1=S95,S95&gt;=0),1,0),IF(AND(S95=TRUNC(S95),S95&gt;=0),1,0),IF(AND(S95*1=S95,S95&gt;0),1,0),IF(AND(S95=TRUNC(S95),S95&gt;0),1,0),1,IF(ISNA(HLOOKUP(S95,$BT$4:$CD$4,1,0)),0,1)),0)))</f>
        <v>1</v>
      </c>
      <c r="CB95" s="149">
        <f t="shared" ref="CB95:CB158" si="143">IF(OR(T$30="",T$4=99),1,IF(T95="",0,IFERROR(CHOOSE(CB$28,IF(ISNA(MATCH(T95,$BQ$30:$BR$30,0)),0,1),IF(ISNUMBER(T95),1,0),IF(T95=TRUNC(T95),1,0),IF(AND(T95*1=T95,T95&gt;=0),1,0),IF(AND(T95=TRUNC(T95),T95&gt;=0),1,0),IF(AND(T95*1=T95,T95&gt;0),1,0),IF(AND(T95=TRUNC(T95),T95&gt;0),1,0),1,IF(ISNA(HLOOKUP(T95,$BT$4:$CD$4,1,0)),0,1)),0)))</f>
        <v>1</v>
      </c>
      <c r="CC95" s="149">
        <f t="shared" ref="CC95:CC158" si="144">IF(OR(U$30="",U$4=99),1,IF(U95="",0,IFERROR(CHOOSE(CC$28,IF(ISNA(MATCH(U95,$BQ$30:$BR$30,0)),0,1),IF(ISNUMBER(U95),1,0),IF(U95=TRUNC(U95),1,0),IF(AND(U95*1=U95,U95&gt;=0),1,0),IF(AND(U95=TRUNC(U95),U95&gt;=0),1,0),IF(AND(U95*1=U95,U95&gt;0),1,0),IF(AND(U95=TRUNC(U95),U95&gt;0),1,0),1,IF(ISNA(HLOOKUP(U95,$BT$4:$CD$4,1,0)),0,1)),0)))</f>
        <v>1</v>
      </c>
      <c r="CD95" s="149">
        <f t="shared" ref="CD95:CD158" si="145">IF(OR(V$30="",V$4=99),1,IF(V95="",0,IFERROR(CHOOSE(CD$28,IF(ISNA(MATCH(V95,$BQ$30:$BR$30,0)),0,1),IF(ISNUMBER(V95),1,0),IF(V95=TRUNC(V95),1,0),IF(AND(V95*1=V95,V95&gt;=0),1,0),IF(AND(V95=TRUNC(V95),V95&gt;=0),1,0),IF(AND(V95*1=V95,V95&gt;0),1,0),IF(AND(V95=TRUNC(V95),V95&gt;0),1,0),1,IF(ISNA(HLOOKUP(V95,$BT$4:$CD$4,1,0)),0,1)),0)))</f>
        <v>1</v>
      </c>
      <c r="CE95" s="149">
        <f t="shared" ref="CE95:CE158" si="146">IF(OR(W$30="",W$4=99),1,IF(W95="",0,IFERROR(CHOOSE(CE$28,IF(ISNA(MATCH(W95,$BQ$30:$BR$30,0)),0,1),IF(ISNUMBER(W95),1,0),IF(W95=TRUNC(W95),1,0),IF(AND(W95*1=W95,W95&gt;=0),1,0),IF(AND(W95=TRUNC(W95),W95&gt;=0),1,0),IF(AND(W95*1=W95,W95&gt;0),1,0),IF(AND(W95=TRUNC(W95),W95&gt;0),1,0),1,IF(ISNA(HLOOKUP(W95,$BT$4:$CD$4,1,0)),0,1)),0)))</f>
        <v>1</v>
      </c>
      <c r="CF95" s="149">
        <f t="shared" ref="CF95:CF158" si="147">IF(OR(X$30="",X$4=99),1,IF(X95="",0,IFERROR(CHOOSE(CF$28,IF(ISNA(MATCH(X95,$BQ$30:$BR$30,0)),0,1),IF(ISNUMBER(X95),1,0),IF(X95=TRUNC(X95),1,0),IF(AND(X95*1=X95,X95&gt;=0),1,0),IF(AND(X95=TRUNC(X95),X95&gt;=0),1,0),IF(AND(X95*1=X95,X95&gt;0),1,0),IF(AND(X95=TRUNC(X95),X95&gt;0),1,0),1,IF(ISNA(HLOOKUP(X95,$BT$4:$CD$4,1,0)),0,1)),0)))</f>
        <v>1</v>
      </c>
      <c r="CG95" s="149">
        <f t="shared" ref="CG95:CG158" si="148">IF(OR(Y$30="",Y$4=99),1,IF(Y95="",0,IFERROR(CHOOSE(CG$28,IF(ISNA(MATCH(Y95,$BQ$30:$BR$30,0)),0,1),IF(ISNUMBER(Y95),1,0),IF(Y95=TRUNC(Y95),1,0),IF(AND(Y95*1=Y95,Y95&gt;=0),1,0),IF(AND(Y95=TRUNC(Y95),Y95&gt;=0),1,0),IF(AND(Y95*1=Y95,Y95&gt;0),1,0),IF(AND(Y95=TRUNC(Y95),Y95&gt;0),1,0),1,IF(ISNA(HLOOKUP(Y95,$BT$4:$CD$4,1,0)),0,1)),0)))</f>
        <v>1</v>
      </c>
      <c r="CH95" s="149">
        <f t="shared" ref="CH95:CH158" si="149">IF(OR(Z$30="",Z$4=99),1,IF(Z95="",0,IFERROR(CHOOSE(CH$28,IF(ISNA(MATCH(Z95,$BQ$30:$BR$30,0)),0,1),IF(ISNUMBER(Z95),1,0),IF(Z95=TRUNC(Z95),1,0),IF(AND(Z95*1=Z95,Z95&gt;=0),1,0),IF(AND(Z95=TRUNC(Z95),Z95&gt;=0),1,0),IF(AND(Z95*1=Z95,Z95&gt;0),1,0),IF(AND(Z95=TRUNC(Z95),Z95&gt;0),1,0),1,IF(ISNA(HLOOKUP(Z95,$BT$4:$CD$4,1,0)),0,1)),0)))</f>
        <v>1</v>
      </c>
      <c r="CI95" s="149">
        <f t="shared" ref="CI95:CI158" si="150">IF(OR(AA$30="",AA$4=99),1,IF(AA95="",0,IFERROR(CHOOSE(CI$28,IF(ISNA(MATCH(AA95,$BQ$30:$BR$30,0)),0,1),IF(ISNUMBER(AA95),1,0),IF(AA95=TRUNC(AA95),1,0),IF(AND(AA95*1=AA95,AA95&gt;=0),1,0),IF(AND(AA95=TRUNC(AA95),AA95&gt;=0),1,0),IF(AND(AA95*1=AA95,AA95&gt;0),1,0),IF(AND(AA95=TRUNC(AA95),AA95&gt;0),1,0),1,IF(ISNA(HLOOKUP(AA95,$BT$4:$CD$4,1,0)),0,1)),0)))</f>
        <v>1</v>
      </c>
      <c r="CJ95" s="149">
        <f t="shared" ref="CJ95:CJ158" si="151">IF(OR(AB$30="",AB$4=99),1,IF(AB95="",0,IFERROR(CHOOSE(CJ$28,IF(ISNA(MATCH(AB95,$BQ$30:$BR$30,0)),0,1),IF(ISNUMBER(AB95),1,0),IF(AB95=TRUNC(AB95),1,0),IF(AND(AB95*1=AB95,AB95&gt;=0),1,0),IF(AND(AB95=TRUNC(AB95),AB95&gt;=0),1,0),IF(AND(AB95*1=AB95,AB95&gt;0),1,0),IF(AND(AB95=TRUNC(AB95),AB95&gt;0),1,0),1,IF(ISNA(HLOOKUP(AB95,$BT$4:$CD$4,1,0)),0,1)),0)))</f>
        <v>1</v>
      </c>
      <c r="CK95" s="149">
        <f t="shared" ref="CK95:CK158" si="152">IF(OR(AC$30="",AC$4=99),1,IF(AC95="",0,IFERROR(CHOOSE(CK$28,IF(ISNA(MATCH(AC95,$BQ$30:$BR$30,0)),0,1),IF(ISNUMBER(AC95),1,0),IF(AC95=TRUNC(AC95),1,0),IF(AND(AC95*1=AC95,AC95&gt;=0),1,0),IF(AND(AC95=TRUNC(AC95),AC95&gt;=0),1,0),IF(AND(AC95*1=AC95,AC95&gt;0),1,0),IF(AND(AC95=TRUNC(AC95),AC95&gt;0),1,0),1,IF(ISNA(HLOOKUP(AC95,$BT$4:$CD$4,1,0)),0,1)),0)))</f>
        <v>1</v>
      </c>
      <c r="CL95" s="149">
        <f t="shared" ref="CL95:CL158" si="153">IF(OR(AD$30="",AD$4=99),1,IF(AD95="",0,IFERROR(CHOOSE(CL$28,IF(ISNA(MATCH(AD95,$BQ$30:$BR$30,0)),0,1),IF(ISNUMBER(AD95),1,0),IF(AD95=TRUNC(AD95),1,0),IF(AND(AD95*1=AD95,AD95&gt;=0),1,0),IF(AND(AD95=TRUNC(AD95),AD95&gt;=0),1,0),IF(AND(AD95*1=AD95,AD95&gt;0),1,0),IF(AND(AD95=TRUNC(AD95),AD95&gt;0),1,0),1,IF(ISNA(HLOOKUP(AD95,$BT$4:$CD$4,1,0)),0,1)),0)))</f>
        <v>1</v>
      </c>
      <c r="CM95" s="149">
        <f t="shared" ref="CM95:CM158" si="154">IF(OR(AE$30="",AE$4=99),1,IF(AE95="",0,IFERROR(CHOOSE(CM$28,IF(ISNA(MATCH(AE95,$BQ$30:$BR$30,0)),0,1),IF(ISNUMBER(AE95),1,0),IF(AE95=TRUNC(AE95),1,0),IF(AND(AE95*1=AE95,AE95&gt;=0),1,0),IF(AND(AE95=TRUNC(AE95),AE95&gt;=0),1,0),IF(AND(AE95*1=AE95,AE95&gt;0),1,0),IF(AND(AE95=TRUNC(AE95),AE95&gt;0),1,0),1,IF(ISNA(HLOOKUP(AE95,$BT$4:$CD$4,1,0)),0,1)),0)))</f>
        <v>1</v>
      </c>
      <c r="CN95" s="149">
        <f t="shared" ref="CN95:CN158" si="155">IF(OR(AF$30="",AF$4=99),1,IF(AF95="",0,IFERROR(CHOOSE(CN$28,IF(ISNA(MATCH(AF95,$BQ$30:$BR$30,0)),0,1),IF(ISNUMBER(AF95),1,0),IF(AF95=TRUNC(AF95),1,0),IF(AND(AF95*1=AF95,AF95&gt;=0),1,0),IF(AND(AF95=TRUNC(AF95),AF95&gt;=0),1,0),IF(AND(AF95*1=AF95,AF95&gt;0),1,0),IF(AND(AF95=TRUNC(AF95),AF95&gt;0),1,0),1,IF(ISNA(HLOOKUP(AF95,$BT$4:$CD$4,1,0)),0,1)),0)))</f>
        <v>1</v>
      </c>
      <c r="CO95" s="149">
        <f t="shared" ref="CO95:CO158" si="156">IF(OR(AG$30="",AG$4=99),1,IF(AG95="",0,IFERROR(CHOOSE(CO$28,IF(ISNA(MATCH(AG95,$BQ$30:$BR$30,0)),0,1),IF(ISNUMBER(AG95),1,0),IF(AG95=TRUNC(AG95),1,0),IF(AND(AG95*1=AG95,AG95&gt;=0),1,0),IF(AND(AG95=TRUNC(AG95),AG95&gt;=0),1,0),IF(AND(AG95*1=AG95,AG95&gt;0),1,0),IF(AND(AG95=TRUNC(AG95),AG95&gt;0),1,0),1,IF(ISNA(HLOOKUP(AG95,$BT$4:$CD$4,1,0)),0,1)),0)))</f>
        <v>1</v>
      </c>
      <c r="CP95" s="149">
        <f t="shared" ref="CP95:CP158" si="157">IF(OR(AH$30="",AH$4=99),1,IF(AH95="",0,IFERROR(CHOOSE(CP$28,IF(ISNA(MATCH(AH95,$BQ$30:$BR$30,0)),0,1),IF(ISNUMBER(AH95),1,0),IF(AH95=TRUNC(AH95),1,0),IF(AND(AH95*1=AH95,AH95&gt;=0),1,0),IF(AND(AH95=TRUNC(AH95),AH95&gt;=0),1,0),IF(AND(AH95*1=AH95,AH95&gt;0),1,0),IF(AND(AH95=TRUNC(AH95),AH95&gt;0),1,0),1,IF(ISNA(HLOOKUP(AH95,$BT$4:$CD$4,1,0)),0,1)),0)))</f>
        <v>1</v>
      </c>
      <c r="CQ95" s="149">
        <f t="shared" ref="CQ95:CQ158" si="158">IF(OR(AI$30="",AI$4=99),1,IF(AI95="",0,IFERROR(CHOOSE(CQ$28,IF(ISNA(MATCH(AI95,$BQ$30:$BR$30,0)),0,1),IF(ISNUMBER(AI95),1,0),IF(AI95=TRUNC(AI95),1,0),IF(AND(AI95*1=AI95,AI95&gt;=0),1,0),IF(AND(AI95=TRUNC(AI95),AI95&gt;=0),1,0),IF(AND(AI95*1=AI95,AI95&gt;0),1,0),IF(AND(AI95=TRUNC(AI95),AI95&gt;0),1,0),1,IF(ISNA(HLOOKUP(AI95,$BT$4:$CD$4,1,0)),0,1)),0)))</f>
        <v>1</v>
      </c>
      <c r="CR95" s="149">
        <f t="shared" ref="CR95:CR158" si="159">IF(OR(AJ$30="",AJ$4=99),1,IF(AJ95="",0,IFERROR(CHOOSE(CR$28,IF(ISNA(MATCH(AJ95,$BQ$30:$BR$30,0)),0,1),IF(ISNUMBER(AJ95),1,0),IF(AJ95=TRUNC(AJ95),1,0),IF(AND(AJ95*1=AJ95,AJ95&gt;=0),1,0),IF(AND(AJ95=TRUNC(AJ95),AJ95&gt;=0),1,0),IF(AND(AJ95*1=AJ95,AJ95&gt;0),1,0),IF(AND(AJ95=TRUNC(AJ95),AJ95&gt;0),1,0),1,IF(ISNA(HLOOKUP(AJ95,$BT$4:$CD$4,1,0)),0,1)),0)))</f>
        <v>1</v>
      </c>
      <c r="CS95" s="149">
        <f t="shared" ref="CS95:CS158" si="160">IF(OR(AK$30="",AK$4=99),1,IF(AK95="",0,IFERROR(CHOOSE(CS$28,IF(ISNA(MATCH(AK95,$BQ$30:$BR$30,0)),0,1),IF(ISNUMBER(AK95),1,0),IF(AK95=TRUNC(AK95),1,0),IF(AND(AK95*1=AK95,AK95&gt;=0),1,0),IF(AND(AK95=TRUNC(AK95),AK95&gt;=0),1,0),IF(AND(AK95*1=AK95,AK95&gt;0),1,0),IF(AND(AK95=TRUNC(AK95),AK95&gt;0),1,0),1,IF(ISNA(HLOOKUP(AK95,$BT$4:$CD$4,1,0)),0,1)),0)))</f>
        <v>1</v>
      </c>
      <c r="CT95" s="149">
        <f t="shared" ref="CT95:CT158" si="161">IF(OR(AL$30="",AL$4=99),1,IF(AL95="",0,IFERROR(CHOOSE(CT$28,IF(ISNA(MATCH(AL95,$BQ$30:$BR$30,0)),0,1),IF(ISNUMBER(AL95),1,0),IF(AL95=TRUNC(AL95),1,0),IF(AND(AL95*1=AL95,AL95&gt;=0),1,0),IF(AND(AL95=TRUNC(AL95),AL95&gt;=0),1,0),IF(AND(AL95*1=AL95,AL95&gt;0),1,0),IF(AND(AL95=TRUNC(AL95),AL95&gt;0),1,0),1,IF(ISNA(HLOOKUP(AL95,$BT$4:$CD$4,1,0)),0,1)),0)))</f>
        <v>1</v>
      </c>
      <c r="CU95" s="149">
        <f t="shared" ref="CU95:CU158" si="162">IF(OR(AM$30="",AM$4=99),1,IF(AM95="",0,IFERROR(CHOOSE(CU$28,IF(ISNA(MATCH(AM95,$BQ$30:$BR$30,0)),0,1),IF(ISNUMBER(AM95),1,0),IF(AM95=TRUNC(AM95),1,0),IF(AND(AM95*1=AM95,AM95&gt;=0),1,0),IF(AND(AM95=TRUNC(AM95),AM95&gt;=0),1,0),IF(AND(AM95*1=AM95,AM95&gt;0),1,0),IF(AND(AM95=TRUNC(AM95),AM95&gt;0),1,0),1,IF(ISNA(HLOOKUP(AM95,$BT$4:$CD$4,1,0)),0,1)),0)))</f>
        <v>1</v>
      </c>
      <c r="CV95" s="149">
        <f t="shared" ref="CV95:CV158" si="163">IF(OR(AN$30="",AN$4=99),1,IF(AN95="",0,IFERROR(CHOOSE(CV$28,IF(ISNA(MATCH(AN95,$BQ$30:$BR$30,0)),0,1),IF(ISNUMBER(AN95),1,0),IF(AN95=TRUNC(AN95),1,0),IF(AND(AN95*1=AN95,AN95&gt;=0),1,0),IF(AND(AN95=TRUNC(AN95),AN95&gt;=0),1,0),IF(AND(AN95*1=AN95,AN95&gt;0),1,0),IF(AND(AN95=TRUNC(AN95),AN95&gt;0),1,0),1,IF(ISNA(HLOOKUP(AN95,$BT$4:$CD$4,1,0)),0,1)),0)))</f>
        <v>1</v>
      </c>
      <c r="CW95" s="149">
        <f t="shared" ref="CW95:CW158" si="164">IF(OR(AO$30="",AO$4=99),1,IF(AO95="",0,IFERROR(CHOOSE(CW$28,IF(ISNA(MATCH(AO95,$BQ$30:$BR$30,0)),0,1),IF(ISNUMBER(AO95),1,0),IF(AO95=TRUNC(AO95),1,0),IF(AND(AO95*1=AO95,AO95&gt;=0),1,0),IF(AND(AO95=TRUNC(AO95),AO95&gt;=0),1,0),IF(AND(AO95*1=AO95,AO95&gt;0),1,0),IF(AND(AO95=TRUNC(AO95),AO95&gt;0),1,0),1,IF(ISNA(HLOOKUP(AO95,$BT$4:$CD$4,1,0)),0,1)),0)))</f>
        <v>1</v>
      </c>
      <c r="CX95" s="149">
        <f t="shared" ref="CX95:CX158" si="165">IF(OR(AP$30="",AP$4=99),1,IF(AP95="",0,IFERROR(CHOOSE(CX$28,IF(ISNA(MATCH(AP95,$BQ$30:$BR$30,0)),0,1),IF(ISNUMBER(AP95),1,0),IF(AP95=TRUNC(AP95),1,0),IF(AND(AP95*1=AP95,AP95&gt;=0),1,0),IF(AND(AP95=TRUNC(AP95),AP95&gt;=0),1,0),IF(AND(AP95*1=AP95,AP95&gt;0),1,0),IF(AND(AP95=TRUNC(AP95),AP95&gt;0),1,0),1,IF(ISNA(HLOOKUP(AP95,$BT$4:$CD$4,1,0)),0,1)),0)))</f>
        <v>1</v>
      </c>
      <c r="CY95" s="149">
        <f t="shared" ref="CY95:CY158" si="166">IF(OR(AQ$30="",AQ$4=99),1,IF(AQ95="",0,IFERROR(CHOOSE(CY$28,IF(ISNA(MATCH(AQ95,$BQ$30:$BR$30,0)),0,1),IF(ISNUMBER(AQ95),1,0),IF(AQ95=TRUNC(AQ95),1,0),IF(AND(AQ95*1=AQ95,AQ95&gt;=0),1,0),IF(AND(AQ95=TRUNC(AQ95),AQ95&gt;=0),1,0),IF(AND(AQ95*1=AQ95,AQ95&gt;0),1,0),IF(AND(AQ95=TRUNC(AQ95),AQ95&gt;0),1,0),1,IF(ISNA(HLOOKUP(AQ95,$BT$4:$CD$4,1,0)),0,1)),0)))</f>
        <v>1</v>
      </c>
      <c r="CZ95" s="149">
        <f t="shared" ref="CZ95:CZ158" si="167">IF(OR(AR$30="",AR$4=99),1,IF(AR95="",0,IFERROR(CHOOSE(CZ$28,IF(ISNA(MATCH(AR95,$BQ$30:$BR$30,0)),0,1),IF(ISNUMBER(AR95),1,0),IF(AR95=TRUNC(AR95),1,0),IF(AND(AR95*1=AR95,AR95&gt;=0),1,0),IF(AND(AR95=TRUNC(AR95),AR95&gt;=0),1,0),IF(AND(AR95*1=AR95,AR95&gt;0),1,0),IF(AND(AR95=TRUNC(AR95),AR95&gt;0),1,0),1,IF(ISNA(HLOOKUP(AR95,$BT$4:$CD$4,1,0)),0,1)),0)))</f>
        <v>1</v>
      </c>
      <c r="DA95" s="149">
        <f t="shared" ref="DA95:DA158" si="168">IF(OR(AS$30="",AS$4=99),1,IF(AS95="",0,IFERROR(CHOOSE(DA$28,IF(ISNA(MATCH(AS95,$BQ$30:$BR$30,0)),0,1),IF(ISNUMBER(AS95),1,0),IF(AS95=TRUNC(AS95),1,0),IF(AND(AS95*1=AS95,AS95&gt;=0),1,0),IF(AND(AS95=TRUNC(AS95),AS95&gt;=0),1,0),IF(AND(AS95*1=AS95,AS95&gt;0),1,0),IF(AND(AS95=TRUNC(AS95),AS95&gt;0),1,0),1,IF(ISNA(HLOOKUP(AS95,$BT$4:$CD$4,1,0)),0,1)),0)))</f>
        <v>1</v>
      </c>
      <c r="DB95" s="149">
        <f t="shared" ref="DB95:DB158" si="169">IF(OR(AT$30="",AT$4=99),1,IF(AT95="",0,IFERROR(CHOOSE(DB$28,IF(ISNA(MATCH(AT95,$BQ$30:$BR$30,0)),0,1),IF(ISNUMBER(AT95),1,0),IF(AT95=TRUNC(AT95),1,0),IF(AND(AT95*1=AT95,AT95&gt;=0),1,0),IF(AND(AT95=TRUNC(AT95),AT95&gt;=0),1,0),IF(AND(AT95*1=AT95,AT95&gt;0),1,0),IF(AND(AT95=TRUNC(AT95),AT95&gt;0),1,0),1,IF(ISNA(HLOOKUP(AT95,$BT$4:$CD$4,1,0)),0,1)),0)))</f>
        <v>1</v>
      </c>
      <c r="DG95" s="125">
        <f t="shared" si="126"/>
        <v>1</v>
      </c>
      <c r="DH95" s="125">
        <f t="shared" si="130"/>
        <v>2</v>
      </c>
      <c r="DI95" s="125">
        <f t="shared" si="130"/>
        <v>3</v>
      </c>
      <c r="DJ95" s="125">
        <f t="shared" si="130"/>
        <v>4</v>
      </c>
      <c r="DK95" s="125">
        <f t="shared" si="130"/>
        <v>5</v>
      </c>
      <c r="DL95" s="125">
        <f t="shared" si="130"/>
        <v>6</v>
      </c>
      <c r="DM95" s="125">
        <f t="shared" si="130"/>
        <v>7</v>
      </c>
      <c r="DN95" s="125">
        <f t="shared" si="130"/>
        <v>8</v>
      </c>
      <c r="DO95" s="125">
        <f t="shared" si="130"/>
        <v>9</v>
      </c>
      <c r="DP95" s="125">
        <f t="shared" si="130"/>
        <v>10</v>
      </c>
      <c r="DS95" s="137"/>
      <c r="DT95" s="137"/>
      <c r="DU95" s="137"/>
      <c r="DV95" s="137" t="b">
        <f t="shared" ref="DV95:DV158" si="170">AK95&gt;=DU$5</f>
        <v>0</v>
      </c>
      <c r="DW95" s="137" t="b">
        <f t="shared" ref="DW95:DW158" si="171">AM95&gt;=DV$5</f>
        <v>0</v>
      </c>
      <c r="DX95" s="137" t="b">
        <f t="shared" ref="DX95:DX158" si="172">AP95&gt;=DW$5</f>
        <v>1</v>
      </c>
      <c r="EB95" s="131">
        <f t="shared" si="127"/>
        <v>1</v>
      </c>
      <c r="EC95" s="137" t="b">
        <f t="shared" ref="EC95:EC158" si="173">AK95&gt;=EB$5</f>
        <v>0</v>
      </c>
      <c r="ED95" s="137" t="b">
        <f t="shared" ref="ED95:ED158" si="174">AM95&gt;=EC$5</f>
        <v>0</v>
      </c>
      <c r="EE95" s="137" t="b">
        <f t="shared" ref="EE95:EE158" si="175">AP95&gt;=ED$5</f>
        <v>1</v>
      </c>
      <c r="EF95" s="137"/>
      <c r="EG95" s="137"/>
      <c r="EH95" s="137"/>
      <c r="EI95" s="137"/>
      <c r="EJ95" s="137">
        <f t="shared" si="128"/>
        <v>1</v>
      </c>
      <c r="EK95" s="125">
        <f t="shared" ref="EK95:EK158" si="176">IF($G95="","",IF(EB95=$DV$3,1,0))</f>
        <v>0</v>
      </c>
      <c r="EL95" s="125">
        <f t="shared" ref="EL95:EL158" si="177">IF($G95="","",IF(AND(EJ95=$DV$3,EJ95-EB95&lt;=$EC$3),1,0))</f>
        <v>0</v>
      </c>
    </row>
    <row r="96" spans="2:142" ht="15.75" x14ac:dyDescent="0.25">
      <c r="B96" s="160">
        <f t="shared" ref="B96:B159" si="178">IF(G96="","",ROW()-30)</f>
        <v>66</v>
      </c>
      <c r="C96" s="205">
        <v>1001347378</v>
      </c>
      <c r="D96" s="205">
        <v>1001266836</v>
      </c>
      <c r="E96" s="205">
        <v>40000550</v>
      </c>
      <c r="F96" s="118">
        <f>IF(OR(J96="",H96=""),"",VLOOKUP(J96,'הזנה לסיווג רשויות'!$B$2:$D$301,2,0))</f>
        <v>20000096</v>
      </c>
      <c r="G96" s="118" t="str">
        <f>IF(OR(J96="",H96=""),"",VLOOKUP(J96,'הזנה לסיווג רשויות'!$B$2:$D$301,3,0))</f>
        <v>שדרות</v>
      </c>
      <c r="H96" s="281" t="s">
        <v>587</v>
      </c>
      <c r="I96" s="201" t="s">
        <v>374</v>
      </c>
      <c r="J96" s="205">
        <v>1031</v>
      </c>
      <c r="K96" s="161">
        <v>0</v>
      </c>
      <c r="L96" s="161">
        <v>1</v>
      </c>
      <c r="M96" s="161">
        <v>0</v>
      </c>
      <c r="N96" s="161">
        <v>0</v>
      </c>
      <c r="O96" s="161">
        <v>1</v>
      </c>
      <c r="P96" s="161">
        <v>1</v>
      </c>
      <c r="Q96" s="161">
        <v>1</v>
      </c>
      <c r="R96" s="201">
        <v>1005807</v>
      </c>
      <c r="S96" s="201">
        <v>310507</v>
      </c>
      <c r="T96" s="160">
        <f>IF(G96="","",IFERROR(IF(S96/R96&gt;'פרמטרים לקריטריונים'!$C$20,1,0),0))</f>
        <v>1</v>
      </c>
      <c r="U96" s="201">
        <v>236137</v>
      </c>
      <c r="V96" s="160">
        <f>IF(G96="","",IFERROR(IF(U96/R96&gt;'פרמטרים לקריטריונים'!$C$21,1,IF(AND(I96=$BW$5,U96/R96&gt;'פרמטרים לקריטריונים'!$C$22),1,0)),0))</f>
        <v>1</v>
      </c>
      <c r="W96" s="161">
        <v>1</v>
      </c>
      <c r="X96" s="161">
        <v>1</v>
      </c>
      <c r="Y96" s="201">
        <v>1250000</v>
      </c>
      <c r="Z96" s="201">
        <v>1250000</v>
      </c>
      <c r="AA96" s="161">
        <f t="shared" ref="AA96:AA159" si="179">IF(G96="","",IF(COUNTIF($D$31:$D$500,D96)=1,1,0))</f>
        <v>1</v>
      </c>
      <c r="AB96" s="161"/>
      <c r="AC96" s="161"/>
      <c r="AD96" s="161"/>
      <c r="AE96" s="161"/>
      <c r="AF96" s="161"/>
      <c r="AG96" s="161"/>
      <c r="AH96" s="161"/>
      <c r="AI96" s="161"/>
      <c r="AJ96" s="161"/>
      <c r="AK96" s="161"/>
      <c r="AL96" s="161"/>
      <c r="AM96" s="161"/>
      <c r="AN96" s="161"/>
      <c r="AO96" s="161"/>
      <c r="AP96" s="161"/>
      <c r="AQ96" s="161"/>
      <c r="AR96" s="161"/>
      <c r="AS96" s="161"/>
      <c r="AT96" s="161"/>
      <c r="AU96" s="161"/>
      <c r="AV96" s="161"/>
      <c r="AW96" s="160"/>
      <c r="AX96" s="161"/>
      <c r="AY96" s="161"/>
      <c r="AZ96" s="161"/>
      <c r="BA96" s="161"/>
      <c r="BB96" s="161"/>
      <c r="BC96" s="161"/>
      <c r="BD96" s="161"/>
      <c r="BE96" s="161"/>
      <c r="BF96" s="160" t="str">
        <f t="shared" ref="BF96:BF159" si="180">IFERROR(SUM(AZ96:BE96)/COUNT(AZ96:BE96),"")</f>
        <v/>
      </c>
      <c r="BG96" s="160"/>
      <c r="BH96" s="160"/>
      <c r="BI96" s="160"/>
      <c r="BJ96" s="160"/>
      <c r="BK96" s="160"/>
      <c r="BL96" s="162">
        <f t="shared" si="131"/>
        <v>1</v>
      </c>
      <c r="BM96" s="257"/>
      <c r="BN96" s="163"/>
      <c r="BO96" s="211" t="str">
        <f t="shared" si="132"/>
        <v>מרכז התנועה שדרות אדמה (ע''ר)מחול</v>
      </c>
      <c r="BP96" s="125">
        <f t="shared" si="133"/>
        <v>1</v>
      </c>
      <c r="BQ96" s="164">
        <v>0</v>
      </c>
      <c r="BR96" s="164">
        <v>1</v>
      </c>
      <c r="BS96" s="149">
        <f t="shared" si="134"/>
        <v>1</v>
      </c>
      <c r="BT96" s="149">
        <f t="shared" si="135"/>
        <v>1</v>
      </c>
      <c r="BU96" s="149">
        <f t="shared" si="136"/>
        <v>1</v>
      </c>
      <c r="BV96" s="149">
        <f t="shared" si="137"/>
        <v>1</v>
      </c>
      <c r="BW96" s="149">
        <f t="shared" si="138"/>
        <v>1</v>
      </c>
      <c r="BX96" s="149">
        <f t="shared" si="139"/>
        <v>1</v>
      </c>
      <c r="BY96" s="149">
        <f t="shared" si="140"/>
        <v>1</v>
      </c>
      <c r="BZ96" s="149">
        <f t="shared" si="141"/>
        <v>1</v>
      </c>
      <c r="CA96" s="149">
        <f t="shared" si="142"/>
        <v>1</v>
      </c>
      <c r="CB96" s="149">
        <f t="shared" si="143"/>
        <v>1</v>
      </c>
      <c r="CC96" s="149">
        <f t="shared" si="144"/>
        <v>1</v>
      </c>
      <c r="CD96" s="149">
        <f t="shared" si="145"/>
        <v>1</v>
      </c>
      <c r="CE96" s="149">
        <f t="shared" si="146"/>
        <v>1</v>
      </c>
      <c r="CF96" s="149">
        <f t="shared" si="147"/>
        <v>1</v>
      </c>
      <c r="CG96" s="149">
        <f t="shared" si="148"/>
        <v>1</v>
      </c>
      <c r="CH96" s="149">
        <f t="shared" si="149"/>
        <v>1</v>
      </c>
      <c r="CI96" s="149">
        <f t="shared" si="150"/>
        <v>1</v>
      </c>
      <c r="CJ96" s="149">
        <f t="shared" si="151"/>
        <v>1</v>
      </c>
      <c r="CK96" s="149">
        <f t="shared" si="152"/>
        <v>1</v>
      </c>
      <c r="CL96" s="149">
        <f t="shared" si="153"/>
        <v>1</v>
      </c>
      <c r="CM96" s="149">
        <f t="shared" si="154"/>
        <v>1</v>
      </c>
      <c r="CN96" s="149">
        <f t="shared" si="155"/>
        <v>1</v>
      </c>
      <c r="CO96" s="149">
        <f t="shared" si="156"/>
        <v>1</v>
      </c>
      <c r="CP96" s="149">
        <f t="shared" si="157"/>
        <v>1</v>
      </c>
      <c r="CQ96" s="149">
        <f t="shared" si="158"/>
        <v>1</v>
      </c>
      <c r="CR96" s="149">
        <f t="shared" si="159"/>
        <v>1</v>
      </c>
      <c r="CS96" s="149">
        <f t="shared" si="160"/>
        <v>1</v>
      </c>
      <c r="CT96" s="149">
        <f t="shared" si="161"/>
        <v>1</v>
      </c>
      <c r="CU96" s="149">
        <f t="shared" si="162"/>
        <v>1</v>
      </c>
      <c r="CV96" s="149">
        <f t="shared" si="163"/>
        <v>1</v>
      </c>
      <c r="CW96" s="149">
        <f t="shared" si="164"/>
        <v>1</v>
      </c>
      <c r="CX96" s="149">
        <f t="shared" si="165"/>
        <v>1</v>
      </c>
      <c r="CY96" s="149">
        <f t="shared" si="166"/>
        <v>1</v>
      </c>
      <c r="CZ96" s="149">
        <f t="shared" si="167"/>
        <v>1</v>
      </c>
      <c r="DA96" s="149">
        <f t="shared" si="168"/>
        <v>1</v>
      </c>
      <c r="DB96" s="149">
        <f t="shared" si="169"/>
        <v>1</v>
      </c>
      <c r="DG96" s="125">
        <f t="shared" ref="DG96:DP125" si="181">IF($G96="","",DG$30)</f>
        <v>1</v>
      </c>
      <c r="DH96" s="125">
        <f t="shared" si="130"/>
        <v>2</v>
      </c>
      <c r="DI96" s="125">
        <f t="shared" si="130"/>
        <v>3</v>
      </c>
      <c r="DJ96" s="125">
        <f t="shared" si="130"/>
        <v>4</v>
      </c>
      <c r="DK96" s="125">
        <f t="shared" si="130"/>
        <v>5</v>
      </c>
      <c r="DL96" s="125">
        <f t="shared" si="130"/>
        <v>6</v>
      </c>
      <c r="DM96" s="125">
        <f t="shared" si="130"/>
        <v>7</v>
      </c>
      <c r="DN96" s="125">
        <f t="shared" si="130"/>
        <v>8</v>
      </c>
      <c r="DO96" s="125">
        <f t="shared" si="130"/>
        <v>9</v>
      </c>
      <c r="DP96" s="125">
        <f t="shared" si="130"/>
        <v>10</v>
      </c>
      <c r="DS96" s="137"/>
      <c r="DT96" s="137"/>
      <c r="DU96" s="137"/>
      <c r="DV96" s="137" t="b">
        <f t="shared" si="170"/>
        <v>0</v>
      </c>
      <c r="DW96" s="137" t="b">
        <f t="shared" si="171"/>
        <v>0</v>
      </c>
      <c r="DX96" s="137" t="b">
        <f t="shared" si="172"/>
        <v>1</v>
      </c>
      <c r="EB96" s="131">
        <f t="shared" ref="EB96:EB159" si="182">COUNTIF(DV96:DZ96,TRUE)</f>
        <v>1</v>
      </c>
      <c r="EC96" s="137" t="b">
        <f t="shared" si="173"/>
        <v>0</v>
      </c>
      <c r="ED96" s="137" t="b">
        <f t="shared" si="174"/>
        <v>0</v>
      </c>
      <c r="EE96" s="137" t="b">
        <f t="shared" si="175"/>
        <v>1</v>
      </c>
      <c r="EF96" s="137"/>
      <c r="EG96" s="137"/>
      <c r="EH96" s="137"/>
      <c r="EI96" s="137"/>
      <c r="EJ96" s="137">
        <f t="shared" ref="EJ96:EJ159" si="183">COUNTIF(EC96:EI96,TRUE)</f>
        <v>1</v>
      </c>
      <c r="EK96" s="125">
        <f t="shared" si="176"/>
        <v>0</v>
      </c>
      <c r="EL96" s="125">
        <f t="shared" si="177"/>
        <v>0</v>
      </c>
    </row>
    <row r="97" spans="2:142" ht="15.75" x14ac:dyDescent="0.25">
      <c r="B97" s="160">
        <f t="shared" si="178"/>
        <v>67</v>
      </c>
      <c r="C97" s="205">
        <v>1001348650</v>
      </c>
      <c r="D97" s="205">
        <v>1001270091</v>
      </c>
      <c r="E97" s="205">
        <v>40000685</v>
      </c>
      <c r="F97" s="118">
        <f>IF(OR(J97="",H97=""),"",VLOOKUP(J97,'הזנה לסיווג רשויות'!$B$2:$D$301,2,0))</f>
        <v>20000231</v>
      </c>
      <c r="G97" s="118" t="str">
        <f>IF(OR(J97="",H97=""),"",VLOOKUP(J97,'הזנה לסיווג רשויות'!$B$2:$D$301,3,0))</f>
        <v>נצרת</v>
      </c>
      <c r="H97" s="281" t="s">
        <v>594</v>
      </c>
      <c r="I97" s="201" t="s">
        <v>395</v>
      </c>
      <c r="J97" s="205">
        <v>7300</v>
      </c>
      <c r="K97" s="161">
        <v>0</v>
      </c>
      <c r="L97" s="161">
        <v>1</v>
      </c>
      <c r="M97" s="161">
        <v>0</v>
      </c>
      <c r="N97" s="161">
        <v>0</v>
      </c>
      <c r="O97" s="161">
        <v>1</v>
      </c>
      <c r="P97" s="161">
        <v>1</v>
      </c>
      <c r="Q97" s="161">
        <v>1</v>
      </c>
      <c r="R97" s="201">
        <v>37960</v>
      </c>
      <c r="S97" s="201">
        <v>37960</v>
      </c>
      <c r="T97" s="160">
        <f>IF(G97="","",IFERROR(IF(S97/R97&gt;'פרמטרים לקריטריונים'!$C$20,1,0),0))</f>
        <v>1</v>
      </c>
      <c r="U97" s="201">
        <v>37960</v>
      </c>
      <c r="V97" s="160">
        <f>IF(G97="","",IFERROR(IF(U97/R97&gt;'פרמטרים לקריטריונים'!$C$21,1,IF(AND(I97=$BW$5,U97/R97&gt;'פרמטרים לקריטריונים'!$C$22),1,0)),0))</f>
        <v>1</v>
      </c>
      <c r="W97" s="161">
        <v>1</v>
      </c>
      <c r="X97" s="161">
        <v>1</v>
      </c>
      <c r="Y97" s="201">
        <v>65000</v>
      </c>
      <c r="Z97" s="201">
        <v>65000</v>
      </c>
      <c r="AA97" s="161">
        <f t="shared" si="179"/>
        <v>1</v>
      </c>
      <c r="AB97" s="161"/>
      <c r="AC97" s="161"/>
      <c r="AD97" s="161"/>
      <c r="AE97" s="161"/>
      <c r="AF97" s="161"/>
      <c r="AG97" s="161"/>
      <c r="AH97" s="161"/>
      <c r="AI97" s="161"/>
      <c r="AJ97" s="161"/>
      <c r="AK97" s="161"/>
      <c r="AL97" s="161"/>
      <c r="AM97" s="161"/>
      <c r="AN97" s="161"/>
      <c r="AO97" s="161"/>
      <c r="AP97" s="161"/>
      <c r="AQ97" s="161"/>
      <c r="AR97" s="161"/>
      <c r="AS97" s="161"/>
      <c r="AT97" s="161"/>
      <c r="AU97" s="161"/>
      <c r="AV97" s="161"/>
      <c r="AW97" s="160"/>
      <c r="AX97" s="161"/>
      <c r="AY97" s="161"/>
      <c r="AZ97" s="161"/>
      <c r="BA97" s="161"/>
      <c r="BB97" s="161"/>
      <c r="BC97" s="161"/>
      <c r="BD97" s="161"/>
      <c r="BE97" s="161"/>
      <c r="BF97" s="160" t="str">
        <f t="shared" si="180"/>
        <v/>
      </c>
      <c r="BG97" s="160"/>
      <c r="BH97" s="160"/>
      <c r="BI97" s="160"/>
      <c r="BJ97" s="160"/>
      <c r="BK97" s="160"/>
      <c r="BL97" s="162">
        <f t="shared" si="131"/>
        <v>1</v>
      </c>
      <c r="BM97" s="257"/>
      <c r="BN97" s="163"/>
      <c r="BO97" s="211" t="str">
        <f t="shared" si="132"/>
        <v>אלערביא לתרבות ואמנותתרבות ערבית</v>
      </c>
      <c r="BP97" s="125">
        <f t="shared" si="133"/>
        <v>1</v>
      </c>
      <c r="BQ97" s="164">
        <v>0</v>
      </c>
      <c r="BR97" s="164">
        <v>1</v>
      </c>
      <c r="BS97" s="149">
        <f t="shared" si="134"/>
        <v>1</v>
      </c>
      <c r="BT97" s="149">
        <f t="shared" si="135"/>
        <v>1</v>
      </c>
      <c r="BU97" s="149">
        <f t="shared" si="136"/>
        <v>1</v>
      </c>
      <c r="BV97" s="149">
        <f t="shared" si="137"/>
        <v>1</v>
      </c>
      <c r="BW97" s="149">
        <f t="shared" si="138"/>
        <v>1</v>
      </c>
      <c r="BX97" s="149">
        <f t="shared" si="139"/>
        <v>1</v>
      </c>
      <c r="BY97" s="149">
        <f t="shared" si="140"/>
        <v>1</v>
      </c>
      <c r="BZ97" s="149">
        <f t="shared" si="141"/>
        <v>1</v>
      </c>
      <c r="CA97" s="149">
        <f t="shared" si="142"/>
        <v>1</v>
      </c>
      <c r="CB97" s="149">
        <f t="shared" si="143"/>
        <v>1</v>
      </c>
      <c r="CC97" s="149">
        <f t="shared" si="144"/>
        <v>1</v>
      </c>
      <c r="CD97" s="149">
        <f t="shared" si="145"/>
        <v>1</v>
      </c>
      <c r="CE97" s="149">
        <f t="shared" si="146"/>
        <v>1</v>
      </c>
      <c r="CF97" s="149">
        <f t="shared" si="147"/>
        <v>1</v>
      </c>
      <c r="CG97" s="149">
        <f t="shared" si="148"/>
        <v>1</v>
      </c>
      <c r="CH97" s="149">
        <f t="shared" si="149"/>
        <v>1</v>
      </c>
      <c r="CI97" s="149">
        <f t="shared" si="150"/>
        <v>1</v>
      </c>
      <c r="CJ97" s="149">
        <f t="shared" si="151"/>
        <v>1</v>
      </c>
      <c r="CK97" s="149">
        <f t="shared" si="152"/>
        <v>1</v>
      </c>
      <c r="CL97" s="149">
        <f t="shared" si="153"/>
        <v>1</v>
      </c>
      <c r="CM97" s="149">
        <f t="shared" si="154"/>
        <v>1</v>
      </c>
      <c r="CN97" s="149">
        <f t="shared" si="155"/>
        <v>1</v>
      </c>
      <c r="CO97" s="149">
        <f t="shared" si="156"/>
        <v>1</v>
      </c>
      <c r="CP97" s="149">
        <f t="shared" si="157"/>
        <v>1</v>
      </c>
      <c r="CQ97" s="149">
        <f t="shared" si="158"/>
        <v>1</v>
      </c>
      <c r="CR97" s="149">
        <f t="shared" si="159"/>
        <v>1</v>
      </c>
      <c r="CS97" s="149">
        <f t="shared" si="160"/>
        <v>1</v>
      </c>
      <c r="CT97" s="149">
        <f t="shared" si="161"/>
        <v>1</v>
      </c>
      <c r="CU97" s="149">
        <f t="shared" si="162"/>
        <v>1</v>
      </c>
      <c r="CV97" s="149">
        <f t="shared" si="163"/>
        <v>1</v>
      </c>
      <c r="CW97" s="149">
        <f t="shared" si="164"/>
        <v>1</v>
      </c>
      <c r="CX97" s="149">
        <f t="shared" si="165"/>
        <v>1</v>
      </c>
      <c r="CY97" s="149">
        <f t="shared" si="166"/>
        <v>1</v>
      </c>
      <c r="CZ97" s="149">
        <f t="shared" si="167"/>
        <v>1</v>
      </c>
      <c r="DA97" s="149">
        <f t="shared" si="168"/>
        <v>1</v>
      </c>
      <c r="DB97" s="149">
        <f t="shared" si="169"/>
        <v>1</v>
      </c>
      <c r="DG97" s="125">
        <f t="shared" si="181"/>
        <v>1</v>
      </c>
      <c r="DH97" s="125">
        <f t="shared" si="130"/>
        <v>2</v>
      </c>
      <c r="DI97" s="125">
        <f t="shared" si="130"/>
        <v>3</v>
      </c>
      <c r="DJ97" s="125">
        <f t="shared" si="130"/>
        <v>4</v>
      </c>
      <c r="DK97" s="125">
        <f t="shared" si="130"/>
        <v>5</v>
      </c>
      <c r="DL97" s="125">
        <f t="shared" si="130"/>
        <v>6</v>
      </c>
      <c r="DM97" s="125">
        <f t="shared" si="130"/>
        <v>7</v>
      </c>
      <c r="DN97" s="125">
        <f t="shared" si="130"/>
        <v>8</v>
      </c>
      <c r="DO97" s="125">
        <f t="shared" si="130"/>
        <v>9</v>
      </c>
      <c r="DP97" s="125">
        <f t="shared" si="130"/>
        <v>10</v>
      </c>
      <c r="DS97" s="137"/>
      <c r="DT97" s="137"/>
      <c r="DU97" s="137"/>
      <c r="DV97" s="137" t="b">
        <f t="shared" si="170"/>
        <v>0</v>
      </c>
      <c r="DW97" s="137" t="b">
        <f t="shared" si="171"/>
        <v>0</v>
      </c>
      <c r="DX97" s="137" t="b">
        <f t="shared" si="172"/>
        <v>1</v>
      </c>
      <c r="EB97" s="131">
        <f t="shared" si="182"/>
        <v>1</v>
      </c>
      <c r="EC97" s="137" t="b">
        <f t="shared" si="173"/>
        <v>0</v>
      </c>
      <c r="ED97" s="137" t="b">
        <f t="shared" si="174"/>
        <v>0</v>
      </c>
      <c r="EE97" s="137" t="b">
        <f t="shared" si="175"/>
        <v>1</v>
      </c>
      <c r="EF97" s="137"/>
      <c r="EG97" s="137"/>
      <c r="EH97" s="137"/>
      <c r="EI97" s="137"/>
      <c r="EJ97" s="137">
        <f t="shared" si="183"/>
        <v>1</v>
      </c>
      <c r="EK97" s="125">
        <f t="shared" si="176"/>
        <v>0</v>
      </c>
      <c r="EL97" s="125">
        <f t="shared" si="177"/>
        <v>0</v>
      </c>
    </row>
    <row r="98" spans="2:142" ht="15.75" x14ac:dyDescent="0.25">
      <c r="B98" s="160">
        <f t="shared" si="178"/>
        <v>68</v>
      </c>
      <c r="C98" s="205">
        <v>1001348519</v>
      </c>
      <c r="D98" s="205">
        <v>1001270078</v>
      </c>
      <c r="E98" s="205">
        <v>40000685</v>
      </c>
      <c r="F98" s="118">
        <f>IF(OR(J98="",H98=""),"",VLOOKUP(J98,'הזנה לסיווג רשויות'!$B$2:$D$301,2,0))</f>
        <v>20000231</v>
      </c>
      <c r="G98" s="118" t="str">
        <f>IF(OR(J98="",H98=""),"",VLOOKUP(J98,'הזנה לסיווג רשויות'!$B$2:$D$301,3,0))</f>
        <v>נצרת</v>
      </c>
      <c r="H98" s="281" t="s">
        <v>594</v>
      </c>
      <c r="I98" s="201" t="s">
        <v>395</v>
      </c>
      <c r="J98" s="205">
        <v>7300</v>
      </c>
      <c r="K98" s="161">
        <v>0</v>
      </c>
      <c r="L98" s="161">
        <v>1</v>
      </c>
      <c r="M98" s="161">
        <v>0</v>
      </c>
      <c r="N98" s="161">
        <v>0</v>
      </c>
      <c r="O98" s="161">
        <v>1</v>
      </c>
      <c r="P98" s="161">
        <v>1</v>
      </c>
      <c r="Q98" s="161">
        <v>1</v>
      </c>
      <c r="R98" s="201">
        <v>244964</v>
      </c>
      <c r="S98" s="201">
        <v>99240</v>
      </c>
      <c r="T98" s="160">
        <f>IF(G98="","",IFERROR(IF(S98/R98&gt;'פרמטרים לקריטריונים'!$C$20,1,0),0))</f>
        <v>1</v>
      </c>
      <c r="U98" s="201">
        <v>69240</v>
      </c>
      <c r="V98" s="160">
        <f>IF(G98="","",IFERROR(IF(U98/R98&gt;'פרמטרים לקריטריונים'!$C$21,1,IF(AND(I98=$BW$5,U98/R98&gt;'פרמטרים לקריטריונים'!$C$22),1,0)),0))</f>
        <v>1</v>
      </c>
      <c r="W98" s="161">
        <v>1</v>
      </c>
      <c r="X98" s="161">
        <v>1</v>
      </c>
      <c r="Y98" s="201">
        <v>499898</v>
      </c>
      <c r="Z98" s="201">
        <v>499898</v>
      </c>
      <c r="AA98" s="161">
        <f t="shared" si="179"/>
        <v>1</v>
      </c>
      <c r="AB98" s="161"/>
      <c r="AC98" s="161"/>
      <c r="AD98" s="161"/>
      <c r="AE98" s="161"/>
      <c r="AF98" s="161"/>
      <c r="AG98" s="161"/>
      <c r="AH98" s="161"/>
      <c r="AI98" s="161"/>
      <c r="AJ98" s="161"/>
      <c r="AK98" s="161"/>
      <c r="AL98" s="161"/>
      <c r="AM98" s="161"/>
      <c r="AN98" s="161"/>
      <c r="AO98" s="161"/>
      <c r="AP98" s="161"/>
      <c r="AQ98" s="161"/>
      <c r="AR98" s="161"/>
      <c r="AS98" s="161"/>
      <c r="AT98" s="161"/>
      <c r="AU98" s="161"/>
      <c r="AV98" s="161"/>
      <c r="AW98" s="160"/>
      <c r="AX98" s="161"/>
      <c r="AY98" s="161"/>
      <c r="AZ98" s="161"/>
      <c r="BA98" s="161"/>
      <c r="BB98" s="161"/>
      <c r="BC98" s="161"/>
      <c r="BD98" s="161"/>
      <c r="BE98" s="161"/>
      <c r="BF98" s="160" t="str">
        <f t="shared" si="180"/>
        <v/>
      </c>
      <c r="BG98" s="160"/>
      <c r="BH98" s="160"/>
      <c r="BI98" s="160"/>
      <c r="BJ98" s="160"/>
      <c r="BK98" s="160"/>
      <c r="BL98" s="162">
        <f t="shared" si="131"/>
        <v>1</v>
      </c>
      <c r="BM98" s="257"/>
      <c r="BN98" s="163"/>
      <c r="BO98" s="211" t="str">
        <f t="shared" si="132"/>
        <v>אלערביא לתרבות ואמנותתרבות ערבית</v>
      </c>
      <c r="BP98" s="125">
        <f t="shared" si="133"/>
        <v>1</v>
      </c>
      <c r="BQ98" s="164">
        <v>0</v>
      </c>
      <c r="BR98" s="164">
        <v>1</v>
      </c>
      <c r="BS98" s="149">
        <f t="shared" si="134"/>
        <v>1</v>
      </c>
      <c r="BT98" s="149">
        <f t="shared" si="135"/>
        <v>1</v>
      </c>
      <c r="BU98" s="149">
        <f t="shared" si="136"/>
        <v>1</v>
      </c>
      <c r="BV98" s="149">
        <f t="shared" si="137"/>
        <v>1</v>
      </c>
      <c r="BW98" s="149">
        <f t="shared" si="138"/>
        <v>1</v>
      </c>
      <c r="BX98" s="149">
        <f t="shared" si="139"/>
        <v>1</v>
      </c>
      <c r="BY98" s="149">
        <f t="shared" si="140"/>
        <v>1</v>
      </c>
      <c r="BZ98" s="149">
        <f t="shared" si="141"/>
        <v>1</v>
      </c>
      <c r="CA98" s="149">
        <f t="shared" si="142"/>
        <v>1</v>
      </c>
      <c r="CB98" s="149">
        <f t="shared" si="143"/>
        <v>1</v>
      </c>
      <c r="CC98" s="149">
        <f t="shared" si="144"/>
        <v>1</v>
      </c>
      <c r="CD98" s="149">
        <f t="shared" si="145"/>
        <v>1</v>
      </c>
      <c r="CE98" s="149">
        <f t="shared" si="146"/>
        <v>1</v>
      </c>
      <c r="CF98" s="149">
        <f t="shared" si="147"/>
        <v>1</v>
      </c>
      <c r="CG98" s="149">
        <f t="shared" si="148"/>
        <v>1</v>
      </c>
      <c r="CH98" s="149">
        <f t="shared" si="149"/>
        <v>1</v>
      </c>
      <c r="CI98" s="149">
        <f t="shared" si="150"/>
        <v>1</v>
      </c>
      <c r="CJ98" s="149">
        <f t="shared" si="151"/>
        <v>1</v>
      </c>
      <c r="CK98" s="149">
        <f t="shared" si="152"/>
        <v>1</v>
      </c>
      <c r="CL98" s="149">
        <f t="shared" si="153"/>
        <v>1</v>
      </c>
      <c r="CM98" s="149">
        <f t="shared" si="154"/>
        <v>1</v>
      </c>
      <c r="CN98" s="149">
        <f t="shared" si="155"/>
        <v>1</v>
      </c>
      <c r="CO98" s="149">
        <f t="shared" si="156"/>
        <v>1</v>
      </c>
      <c r="CP98" s="149">
        <f t="shared" si="157"/>
        <v>1</v>
      </c>
      <c r="CQ98" s="149">
        <f t="shared" si="158"/>
        <v>1</v>
      </c>
      <c r="CR98" s="149">
        <f t="shared" si="159"/>
        <v>1</v>
      </c>
      <c r="CS98" s="149">
        <f t="shared" si="160"/>
        <v>1</v>
      </c>
      <c r="CT98" s="149">
        <f t="shared" si="161"/>
        <v>1</v>
      </c>
      <c r="CU98" s="149">
        <f t="shared" si="162"/>
        <v>1</v>
      </c>
      <c r="CV98" s="149">
        <f t="shared" si="163"/>
        <v>1</v>
      </c>
      <c r="CW98" s="149">
        <f t="shared" si="164"/>
        <v>1</v>
      </c>
      <c r="CX98" s="149">
        <f t="shared" si="165"/>
        <v>1</v>
      </c>
      <c r="CY98" s="149">
        <f t="shared" si="166"/>
        <v>1</v>
      </c>
      <c r="CZ98" s="149">
        <f t="shared" si="167"/>
        <v>1</v>
      </c>
      <c r="DA98" s="149">
        <f t="shared" si="168"/>
        <v>1</v>
      </c>
      <c r="DB98" s="149">
        <f t="shared" si="169"/>
        <v>1</v>
      </c>
      <c r="DG98" s="125">
        <f t="shared" si="181"/>
        <v>1</v>
      </c>
      <c r="DH98" s="125">
        <f t="shared" si="130"/>
        <v>2</v>
      </c>
      <c r="DI98" s="125">
        <f t="shared" si="130"/>
        <v>3</v>
      </c>
      <c r="DJ98" s="125">
        <f t="shared" si="130"/>
        <v>4</v>
      </c>
      <c r="DK98" s="125">
        <f t="shared" si="130"/>
        <v>5</v>
      </c>
      <c r="DL98" s="125">
        <f t="shared" si="130"/>
        <v>6</v>
      </c>
      <c r="DM98" s="125">
        <f t="shared" si="130"/>
        <v>7</v>
      </c>
      <c r="DN98" s="125">
        <f t="shared" si="130"/>
        <v>8</v>
      </c>
      <c r="DO98" s="125">
        <f t="shared" si="130"/>
        <v>9</v>
      </c>
      <c r="DP98" s="125">
        <f t="shared" si="130"/>
        <v>10</v>
      </c>
      <c r="DS98" s="137"/>
      <c r="DT98" s="137"/>
      <c r="DU98" s="137"/>
      <c r="DV98" s="137" t="b">
        <f t="shared" si="170"/>
        <v>0</v>
      </c>
      <c r="DW98" s="137" t="b">
        <f t="shared" si="171"/>
        <v>0</v>
      </c>
      <c r="DX98" s="137" t="b">
        <f t="shared" si="172"/>
        <v>1</v>
      </c>
      <c r="EB98" s="131">
        <f t="shared" si="182"/>
        <v>1</v>
      </c>
      <c r="EC98" s="137" t="b">
        <f t="shared" si="173"/>
        <v>0</v>
      </c>
      <c r="ED98" s="137" t="b">
        <f t="shared" si="174"/>
        <v>0</v>
      </c>
      <c r="EE98" s="137" t="b">
        <f t="shared" si="175"/>
        <v>1</v>
      </c>
      <c r="EF98" s="137"/>
      <c r="EG98" s="137"/>
      <c r="EH98" s="137"/>
      <c r="EI98" s="137"/>
      <c r="EJ98" s="137">
        <f t="shared" si="183"/>
        <v>1</v>
      </c>
      <c r="EK98" s="125">
        <f t="shared" si="176"/>
        <v>0</v>
      </c>
      <c r="EL98" s="125">
        <f t="shared" si="177"/>
        <v>0</v>
      </c>
    </row>
    <row r="99" spans="2:142" ht="15.75" x14ac:dyDescent="0.25">
      <c r="B99" s="160">
        <f t="shared" si="178"/>
        <v>69</v>
      </c>
      <c r="C99" s="205">
        <v>1001349422</v>
      </c>
      <c r="D99" s="205">
        <v>1001288961</v>
      </c>
      <c r="E99" s="205">
        <v>40000581</v>
      </c>
      <c r="F99" s="118">
        <f>IF(OR(J99="",H99=""),"",VLOOKUP(J99,'הזנה לסיווג רשויות'!$B$2:$D$301,2,0))</f>
        <v>20000111</v>
      </c>
      <c r="G99" s="118" t="str">
        <f>IF(OR(J99="",H99=""),"",VLOOKUP(J99,'הזנה לסיווג רשויות'!$B$2:$D$301,3,0))</f>
        <v>מיתר</v>
      </c>
      <c r="H99" s="281" t="s">
        <v>588</v>
      </c>
      <c r="I99" s="201" t="s">
        <v>395</v>
      </c>
      <c r="J99" s="205">
        <v>1268</v>
      </c>
      <c r="K99" s="161">
        <v>0</v>
      </c>
      <c r="L99" s="161">
        <v>1</v>
      </c>
      <c r="M99" s="161">
        <v>0</v>
      </c>
      <c r="N99" s="161">
        <v>0</v>
      </c>
      <c r="O99" s="161">
        <v>1</v>
      </c>
      <c r="P99" s="161">
        <v>1</v>
      </c>
      <c r="Q99" s="161">
        <v>1</v>
      </c>
      <c r="R99" s="201">
        <v>1678495</v>
      </c>
      <c r="S99" s="201">
        <v>753370</v>
      </c>
      <c r="T99" s="160">
        <f>IF(G99="","",IFERROR(IF(S99/R99&gt;'פרמטרים לקריטריונים'!$C$20,1,0),0))</f>
        <v>1</v>
      </c>
      <c r="U99" s="201">
        <v>615520</v>
      </c>
      <c r="V99" s="160">
        <f>IF(G99="","",IFERROR(IF(U99/R99&gt;'פרמטרים לקריטריונים'!$C$21,1,IF(AND(I99=$BW$5,U99/R99&gt;'פרמטרים לקריטריונים'!$C$22),1,0)),0))</f>
        <v>1</v>
      </c>
      <c r="W99" s="161">
        <v>1</v>
      </c>
      <c r="X99" s="161">
        <v>1</v>
      </c>
      <c r="Y99" s="201">
        <v>1558964</v>
      </c>
      <c r="Z99" s="201">
        <v>1558964</v>
      </c>
      <c r="AA99" s="161">
        <f t="shared" si="179"/>
        <v>1</v>
      </c>
      <c r="AB99" s="161"/>
      <c r="AC99" s="161"/>
      <c r="AD99" s="161"/>
      <c r="AE99" s="161"/>
      <c r="AF99" s="161"/>
      <c r="AG99" s="161"/>
      <c r="AH99" s="161"/>
      <c r="AI99" s="161"/>
      <c r="AJ99" s="161"/>
      <c r="AK99" s="161"/>
      <c r="AL99" s="161"/>
      <c r="AM99" s="161"/>
      <c r="AN99" s="161"/>
      <c r="AO99" s="161"/>
      <c r="AP99" s="161"/>
      <c r="AQ99" s="161"/>
      <c r="AR99" s="161"/>
      <c r="AS99" s="161"/>
      <c r="AT99" s="161"/>
      <c r="AU99" s="161"/>
      <c r="AV99" s="161"/>
      <c r="AW99" s="160"/>
      <c r="AX99" s="161"/>
      <c r="AY99" s="161"/>
      <c r="AZ99" s="161"/>
      <c r="BA99" s="161"/>
      <c r="BB99" s="161"/>
      <c r="BC99" s="161"/>
      <c r="BD99" s="161"/>
      <c r="BE99" s="161"/>
      <c r="BF99" s="160" t="str">
        <f t="shared" si="180"/>
        <v/>
      </c>
      <c r="BG99" s="160"/>
      <c r="BH99" s="160"/>
      <c r="BI99" s="160"/>
      <c r="BJ99" s="160"/>
      <c r="BK99" s="160"/>
      <c r="BL99" s="162">
        <f t="shared" si="131"/>
        <v>1</v>
      </c>
      <c r="BM99" s="257"/>
      <c r="BN99" s="163"/>
      <c r="BO99" s="211" t="str">
        <f t="shared" si="132"/>
        <v>נוה הבדואיםתרבות ערבית</v>
      </c>
      <c r="BP99" s="125">
        <f t="shared" si="133"/>
        <v>1</v>
      </c>
      <c r="BQ99" s="164">
        <v>0</v>
      </c>
      <c r="BR99" s="164">
        <v>1</v>
      </c>
      <c r="BS99" s="149">
        <f t="shared" si="134"/>
        <v>1</v>
      </c>
      <c r="BT99" s="149">
        <f t="shared" si="135"/>
        <v>1</v>
      </c>
      <c r="BU99" s="149">
        <f t="shared" si="136"/>
        <v>1</v>
      </c>
      <c r="BV99" s="149">
        <f t="shared" si="137"/>
        <v>1</v>
      </c>
      <c r="BW99" s="149">
        <f t="shared" si="138"/>
        <v>1</v>
      </c>
      <c r="BX99" s="149">
        <f t="shared" si="139"/>
        <v>1</v>
      </c>
      <c r="BY99" s="149">
        <f t="shared" si="140"/>
        <v>1</v>
      </c>
      <c r="BZ99" s="149">
        <f t="shared" si="141"/>
        <v>1</v>
      </c>
      <c r="CA99" s="149">
        <f t="shared" si="142"/>
        <v>1</v>
      </c>
      <c r="CB99" s="149">
        <f t="shared" si="143"/>
        <v>1</v>
      </c>
      <c r="CC99" s="149">
        <f t="shared" si="144"/>
        <v>1</v>
      </c>
      <c r="CD99" s="149">
        <f t="shared" si="145"/>
        <v>1</v>
      </c>
      <c r="CE99" s="149">
        <f t="shared" si="146"/>
        <v>1</v>
      </c>
      <c r="CF99" s="149">
        <f t="shared" si="147"/>
        <v>1</v>
      </c>
      <c r="CG99" s="149">
        <f t="shared" si="148"/>
        <v>1</v>
      </c>
      <c r="CH99" s="149">
        <f t="shared" si="149"/>
        <v>1</v>
      </c>
      <c r="CI99" s="149">
        <f t="shared" si="150"/>
        <v>1</v>
      </c>
      <c r="CJ99" s="149">
        <f t="shared" si="151"/>
        <v>1</v>
      </c>
      <c r="CK99" s="149">
        <f t="shared" si="152"/>
        <v>1</v>
      </c>
      <c r="CL99" s="149">
        <f t="shared" si="153"/>
        <v>1</v>
      </c>
      <c r="CM99" s="149">
        <f t="shared" si="154"/>
        <v>1</v>
      </c>
      <c r="CN99" s="149">
        <f t="shared" si="155"/>
        <v>1</v>
      </c>
      <c r="CO99" s="149">
        <f t="shared" si="156"/>
        <v>1</v>
      </c>
      <c r="CP99" s="149">
        <f t="shared" si="157"/>
        <v>1</v>
      </c>
      <c r="CQ99" s="149">
        <f t="shared" si="158"/>
        <v>1</v>
      </c>
      <c r="CR99" s="149">
        <f t="shared" si="159"/>
        <v>1</v>
      </c>
      <c r="CS99" s="149">
        <f t="shared" si="160"/>
        <v>1</v>
      </c>
      <c r="CT99" s="149">
        <f t="shared" si="161"/>
        <v>1</v>
      </c>
      <c r="CU99" s="149">
        <f t="shared" si="162"/>
        <v>1</v>
      </c>
      <c r="CV99" s="149">
        <f t="shared" si="163"/>
        <v>1</v>
      </c>
      <c r="CW99" s="149">
        <f t="shared" si="164"/>
        <v>1</v>
      </c>
      <c r="CX99" s="149">
        <f t="shared" si="165"/>
        <v>1</v>
      </c>
      <c r="CY99" s="149">
        <f t="shared" si="166"/>
        <v>1</v>
      </c>
      <c r="CZ99" s="149">
        <f t="shared" si="167"/>
        <v>1</v>
      </c>
      <c r="DA99" s="149">
        <f t="shared" si="168"/>
        <v>1</v>
      </c>
      <c r="DB99" s="149">
        <f t="shared" si="169"/>
        <v>1</v>
      </c>
      <c r="DG99" s="125">
        <f t="shared" si="181"/>
        <v>1</v>
      </c>
      <c r="DH99" s="125">
        <f t="shared" si="130"/>
        <v>2</v>
      </c>
      <c r="DI99" s="125">
        <f t="shared" si="130"/>
        <v>3</v>
      </c>
      <c r="DJ99" s="125">
        <f t="shared" si="130"/>
        <v>4</v>
      </c>
      <c r="DK99" s="125">
        <f t="shared" si="130"/>
        <v>5</v>
      </c>
      <c r="DL99" s="125">
        <f t="shared" si="130"/>
        <v>6</v>
      </c>
      <c r="DM99" s="125">
        <f t="shared" si="130"/>
        <v>7</v>
      </c>
      <c r="DN99" s="125">
        <f t="shared" si="130"/>
        <v>8</v>
      </c>
      <c r="DO99" s="125">
        <f t="shared" si="130"/>
        <v>9</v>
      </c>
      <c r="DP99" s="125">
        <f t="shared" si="130"/>
        <v>10</v>
      </c>
      <c r="DS99" s="137"/>
      <c r="DT99" s="137"/>
      <c r="DU99" s="137"/>
      <c r="DV99" s="137" t="b">
        <f t="shared" si="170"/>
        <v>0</v>
      </c>
      <c r="DW99" s="137" t="b">
        <f t="shared" si="171"/>
        <v>0</v>
      </c>
      <c r="DX99" s="137" t="b">
        <f t="shared" si="172"/>
        <v>1</v>
      </c>
      <c r="EB99" s="131">
        <f t="shared" si="182"/>
        <v>1</v>
      </c>
      <c r="EC99" s="137" t="b">
        <f t="shared" si="173"/>
        <v>0</v>
      </c>
      <c r="ED99" s="137" t="b">
        <f t="shared" si="174"/>
        <v>0</v>
      </c>
      <c r="EE99" s="137" t="b">
        <f t="shared" si="175"/>
        <v>1</v>
      </c>
      <c r="EF99" s="137"/>
      <c r="EG99" s="137"/>
      <c r="EH99" s="137"/>
      <c r="EI99" s="137"/>
      <c r="EJ99" s="137">
        <f t="shared" si="183"/>
        <v>1</v>
      </c>
      <c r="EK99" s="125">
        <f t="shared" si="176"/>
        <v>0</v>
      </c>
      <c r="EL99" s="125">
        <f t="shared" si="177"/>
        <v>0</v>
      </c>
    </row>
    <row r="100" spans="2:142" ht="15.75" x14ac:dyDescent="0.25">
      <c r="B100" s="160">
        <f t="shared" si="178"/>
        <v>70</v>
      </c>
      <c r="C100" s="205">
        <v>1001349725</v>
      </c>
      <c r="D100" s="205">
        <v>1001268621</v>
      </c>
      <c r="E100" s="205">
        <v>40000391</v>
      </c>
      <c r="F100" s="118">
        <f>IF(OR(J100="",H100=""),"",VLOOKUP(J100,'הזנה לסיווג רשויות'!$B$2:$D$301,2,0))</f>
        <v>20000132</v>
      </c>
      <c r="G100" s="118" t="str">
        <f>IF(OR(J100="",H100=""),"",VLOOKUP(J100,'הזנה לסיווג רשויות'!$B$2:$D$301,3,0))</f>
        <v>עמק הירדן</v>
      </c>
      <c r="H100" s="281" t="s">
        <v>589</v>
      </c>
      <c r="I100" s="201" t="s">
        <v>375</v>
      </c>
      <c r="J100" s="205">
        <v>6</v>
      </c>
      <c r="K100" s="161">
        <v>0</v>
      </c>
      <c r="L100" s="161">
        <v>1</v>
      </c>
      <c r="M100" s="161">
        <v>0</v>
      </c>
      <c r="N100" s="161">
        <v>0</v>
      </c>
      <c r="O100" s="161">
        <v>1</v>
      </c>
      <c r="P100" s="161">
        <v>1</v>
      </c>
      <c r="Q100" s="161">
        <v>1</v>
      </c>
      <c r="R100" s="201">
        <v>232000</v>
      </c>
      <c r="S100" s="201">
        <v>66000</v>
      </c>
      <c r="T100" s="160">
        <f>IF(G100="","",IFERROR(IF(S100/R100&gt;'פרמטרים לקריטריונים'!$C$20,1,0),0))</f>
        <v>1</v>
      </c>
      <c r="U100" s="201">
        <v>66000</v>
      </c>
      <c r="V100" s="160">
        <f>IF(G100="","",IFERROR(IF(U100/R100&gt;'פרמטרים לקריטריונים'!$C$21,1,IF(AND(I100=$BW$5,U100/R100&gt;'פרמטרים לקריטריונים'!$C$22),1,0)),0))</f>
        <v>1</v>
      </c>
      <c r="W100" s="161">
        <v>1</v>
      </c>
      <c r="X100" s="161">
        <v>1</v>
      </c>
      <c r="Y100" s="201">
        <v>120000</v>
      </c>
      <c r="Z100" s="201">
        <v>65000</v>
      </c>
      <c r="AA100" s="161">
        <f t="shared" si="179"/>
        <v>1</v>
      </c>
      <c r="AB100" s="161"/>
      <c r="AC100" s="161"/>
      <c r="AD100" s="161"/>
      <c r="AE100" s="161"/>
      <c r="AF100" s="161"/>
      <c r="AG100" s="161"/>
      <c r="AH100" s="161"/>
      <c r="AI100" s="161"/>
      <c r="AJ100" s="161"/>
      <c r="AK100" s="161"/>
      <c r="AL100" s="161"/>
      <c r="AM100" s="161"/>
      <c r="AN100" s="161"/>
      <c r="AO100" s="161"/>
      <c r="AP100" s="161"/>
      <c r="AQ100" s="161"/>
      <c r="AR100" s="161"/>
      <c r="AS100" s="161"/>
      <c r="AT100" s="161"/>
      <c r="AU100" s="161"/>
      <c r="AV100" s="161"/>
      <c r="AW100" s="160"/>
      <c r="AX100" s="161"/>
      <c r="AY100" s="161"/>
      <c r="AZ100" s="161"/>
      <c r="BA100" s="161"/>
      <c r="BB100" s="161"/>
      <c r="BC100" s="161"/>
      <c r="BD100" s="161"/>
      <c r="BE100" s="161"/>
      <c r="BF100" s="160" t="str">
        <f t="shared" si="180"/>
        <v/>
      </c>
      <c r="BG100" s="160"/>
      <c r="BH100" s="160"/>
      <c r="BI100" s="160"/>
      <c r="BJ100" s="160"/>
      <c r="BK100" s="160"/>
      <c r="BL100" s="162">
        <f t="shared" si="131"/>
        <v>1</v>
      </c>
      <c r="BM100" s="257"/>
      <c r="BN100" s="163"/>
      <c r="BO100" s="211" t="str">
        <f t="shared" si="132"/>
        <v>מרכז תרבות והנצחהמוזיאונים</v>
      </c>
      <c r="BP100" s="125">
        <f t="shared" si="133"/>
        <v>1</v>
      </c>
      <c r="BQ100" s="164">
        <v>0</v>
      </c>
      <c r="BR100" s="164">
        <v>1</v>
      </c>
      <c r="BS100" s="149">
        <f t="shared" si="134"/>
        <v>1</v>
      </c>
      <c r="BT100" s="149">
        <f t="shared" si="135"/>
        <v>1</v>
      </c>
      <c r="BU100" s="149">
        <f t="shared" si="136"/>
        <v>1</v>
      </c>
      <c r="BV100" s="149">
        <f t="shared" si="137"/>
        <v>1</v>
      </c>
      <c r="BW100" s="149">
        <f t="shared" si="138"/>
        <v>1</v>
      </c>
      <c r="BX100" s="149">
        <f t="shared" si="139"/>
        <v>1</v>
      </c>
      <c r="BY100" s="149">
        <f t="shared" si="140"/>
        <v>1</v>
      </c>
      <c r="BZ100" s="149">
        <f t="shared" si="141"/>
        <v>1</v>
      </c>
      <c r="CA100" s="149">
        <f t="shared" si="142"/>
        <v>1</v>
      </c>
      <c r="CB100" s="149">
        <f t="shared" si="143"/>
        <v>1</v>
      </c>
      <c r="CC100" s="149">
        <f t="shared" si="144"/>
        <v>1</v>
      </c>
      <c r="CD100" s="149">
        <f t="shared" si="145"/>
        <v>1</v>
      </c>
      <c r="CE100" s="149">
        <f t="shared" si="146"/>
        <v>1</v>
      </c>
      <c r="CF100" s="149">
        <f t="shared" si="147"/>
        <v>1</v>
      </c>
      <c r="CG100" s="149">
        <f t="shared" si="148"/>
        <v>1</v>
      </c>
      <c r="CH100" s="149">
        <f t="shared" si="149"/>
        <v>1</v>
      </c>
      <c r="CI100" s="149">
        <f t="shared" si="150"/>
        <v>1</v>
      </c>
      <c r="CJ100" s="149">
        <f t="shared" si="151"/>
        <v>1</v>
      </c>
      <c r="CK100" s="149">
        <f t="shared" si="152"/>
        <v>1</v>
      </c>
      <c r="CL100" s="149">
        <f t="shared" si="153"/>
        <v>1</v>
      </c>
      <c r="CM100" s="149">
        <f t="shared" si="154"/>
        <v>1</v>
      </c>
      <c r="CN100" s="149">
        <f t="shared" si="155"/>
        <v>1</v>
      </c>
      <c r="CO100" s="149">
        <f t="shared" si="156"/>
        <v>1</v>
      </c>
      <c r="CP100" s="149">
        <f t="shared" si="157"/>
        <v>1</v>
      </c>
      <c r="CQ100" s="149">
        <f t="shared" si="158"/>
        <v>1</v>
      </c>
      <c r="CR100" s="149">
        <f t="shared" si="159"/>
        <v>1</v>
      </c>
      <c r="CS100" s="149">
        <f t="shared" si="160"/>
        <v>1</v>
      </c>
      <c r="CT100" s="149">
        <f t="shared" si="161"/>
        <v>1</v>
      </c>
      <c r="CU100" s="149">
        <f t="shared" si="162"/>
        <v>1</v>
      </c>
      <c r="CV100" s="149">
        <f t="shared" si="163"/>
        <v>1</v>
      </c>
      <c r="CW100" s="149">
        <f t="shared" si="164"/>
        <v>1</v>
      </c>
      <c r="CX100" s="149">
        <f t="shared" si="165"/>
        <v>1</v>
      </c>
      <c r="CY100" s="149">
        <f t="shared" si="166"/>
        <v>1</v>
      </c>
      <c r="CZ100" s="149">
        <f t="shared" si="167"/>
        <v>1</v>
      </c>
      <c r="DA100" s="149">
        <f t="shared" si="168"/>
        <v>1</v>
      </c>
      <c r="DB100" s="149">
        <f t="shared" si="169"/>
        <v>1</v>
      </c>
      <c r="DG100" s="125">
        <f t="shared" si="181"/>
        <v>1</v>
      </c>
      <c r="DH100" s="125">
        <f t="shared" si="130"/>
        <v>2</v>
      </c>
      <c r="DI100" s="125">
        <f t="shared" si="130"/>
        <v>3</v>
      </c>
      <c r="DJ100" s="125">
        <f t="shared" si="130"/>
        <v>4</v>
      </c>
      <c r="DK100" s="125">
        <f t="shared" si="130"/>
        <v>5</v>
      </c>
      <c r="DL100" s="125">
        <f t="shared" si="130"/>
        <v>6</v>
      </c>
      <c r="DM100" s="125">
        <f t="shared" si="130"/>
        <v>7</v>
      </c>
      <c r="DN100" s="125">
        <f t="shared" si="130"/>
        <v>8</v>
      </c>
      <c r="DO100" s="125">
        <f t="shared" si="130"/>
        <v>9</v>
      </c>
      <c r="DP100" s="125">
        <f t="shared" si="130"/>
        <v>10</v>
      </c>
      <c r="DS100" s="137"/>
      <c r="DT100" s="137"/>
      <c r="DU100" s="137"/>
      <c r="DV100" s="137" t="b">
        <f t="shared" si="170"/>
        <v>0</v>
      </c>
      <c r="DW100" s="137" t="b">
        <f t="shared" si="171"/>
        <v>0</v>
      </c>
      <c r="DX100" s="137" t="b">
        <f t="shared" si="172"/>
        <v>1</v>
      </c>
      <c r="EB100" s="131">
        <f t="shared" si="182"/>
        <v>1</v>
      </c>
      <c r="EC100" s="137" t="b">
        <f t="shared" si="173"/>
        <v>0</v>
      </c>
      <c r="ED100" s="137" t="b">
        <f t="shared" si="174"/>
        <v>0</v>
      </c>
      <c r="EE100" s="137" t="b">
        <f t="shared" si="175"/>
        <v>1</v>
      </c>
      <c r="EF100" s="137"/>
      <c r="EG100" s="137"/>
      <c r="EH100" s="137"/>
      <c r="EI100" s="137"/>
      <c r="EJ100" s="137">
        <f t="shared" si="183"/>
        <v>1</v>
      </c>
      <c r="EK100" s="125">
        <f t="shared" si="176"/>
        <v>0</v>
      </c>
      <c r="EL100" s="125">
        <f t="shared" si="177"/>
        <v>0</v>
      </c>
    </row>
    <row r="101" spans="2:142" ht="15.75" x14ac:dyDescent="0.2">
      <c r="B101" s="160">
        <f t="shared" si="178"/>
        <v>71</v>
      </c>
      <c r="C101" s="205">
        <v>1001347665</v>
      </c>
      <c r="D101" s="205">
        <v>1001269101</v>
      </c>
      <c r="E101" s="205">
        <v>40000411</v>
      </c>
      <c r="F101" s="118">
        <f>IF(OR(J101="",H101=""),"",VLOOKUP(J101,'הזנה לסיווג רשויות'!$B$2:$D$301,2,0))</f>
        <v>20000159</v>
      </c>
      <c r="G101" s="118" t="str">
        <f>IF(OR(J101="",H101=""),"",VLOOKUP(J101,'הזנה לסיווג רשויות'!$B$2:$D$301,3,0))</f>
        <v>ירושלים</v>
      </c>
      <c r="H101" s="201" t="s">
        <v>590</v>
      </c>
      <c r="I101" s="201" t="s">
        <v>381</v>
      </c>
      <c r="J101" s="205">
        <v>3000</v>
      </c>
      <c r="K101" s="161">
        <v>0</v>
      </c>
      <c r="L101" s="161">
        <v>1</v>
      </c>
      <c r="M101" s="161">
        <v>0</v>
      </c>
      <c r="N101" s="161">
        <v>1</v>
      </c>
      <c r="O101" s="161">
        <v>1</v>
      </c>
      <c r="P101" s="161">
        <v>1</v>
      </c>
      <c r="Q101" s="161">
        <v>1</v>
      </c>
      <c r="R101" s="201">
        <v>11424409</v>
      </c>
      <c r="S101" s="201">
        <v>9494594</v>
      </c>
      <c r="T101" s="160">
        <f>IF(G101="","",IFERROR(IF(S101/R101&gt;'פרמטרים לקריטריונים'!$C$20,1,0),0))</f>
        <v>1</v>
      </c>
      <c r="U101" s="201">
        <v>4092161</v>
      </c>
      <c r="V101" s="160">
        <f>IF(G101="","",IFERROR(IF(U101/R101&gt;'פרמטרים לקריטריונים'!$C$21,1,IF(AND(I101=$BW$5,U101/R101&gt;'פרמטרים לקריטריונים'!$C$22),1,0)),0))</f>
        <v>1</v>
      </c>
      <c r="W101" s="161">
        <v>1</v>
      </c>
      <c r="X101" s="161">
        <v>1</v>
      </c>
      <c r="Y101" s="201">
        <v>4900000</v>
      </c>
      <c r="Z101" s="201">
        <v>3750000</v>
      </c>
      <c r="AA101" s="161">
        <f t="shared" si="179"/>
        <v>1</v>
      </c>
      <c r="AB101" s="161"/>
      <c r="AC101" s="161"/>
      <c r="AD101" s="161"/>
      <c r="AE101" s="161"/>
      <c r="AF101" s="161"/>
      <c r="AG101" s="161"/>
      <c r="AH101" s="161"/>
      <c r="AI101" s="161"/>
      <c r="AJ101" s="161"/>
      <c r="AK101" s="161"/>
      <c r="AL101" s="161"/>
      <c r="AM101" s="161"/>
      <c r="AN101" s="161"/>
      <c r="AO101" s="161"/>
      <c r="AP101" s="161"/>
      <c r="AQ101" s="161"/>
      <c r="AR101" s="161"/>
      <c r="AS101" s="161"/>
      <c r="AT101" s="161"/>
      <c r="AU101" s="161"/>
      <c r="AV101" s="161"/>
      <c r="AW101" s="160"/>
      <c r="AX101" s="161"/>
      <c r="AY101" s="161"/>
      <c r="AZ101" s="161"/>
      <c r="BA101" s="161"/>
      <c r="BB101" s="161"/>
      <c r="BC101" s="161"/>
      <c r="BD101" s="161"/>
      <c r="BE101" s="161"/>
      <c r="BF101" s="160" t="str">
        <f t="shared" si="180"/>
        <v/>
      </c>
      <c r="BG101" s="160"/>
      <c r="BH101" s="160"/>
      <c r="BI101" s="160"/>
      <c r="BJ101" s="160"/>
      <c r="BK101" s="160"/>
      <c r="BL101" s="162">
        <f t="shared" si="131"/>
        <v>1</v>
      </c>
      <c r="BM101" s="257"/>
      <c r="BN101" s="163"/>
      <c r="BO101" s="211" t="str">
        <f t="shared" si="132"/>
        <v>סינמטק ירושליםסינמטקים ופסטיבלים</v>
      </c>
      <c r="BP101" s="125">
        <f t="shared" si="133"/>
        <v>1</v>
      </c>
      <c r="BQ101" s="164">
        <v>0</v>
      </c>
      <c r="BR101" s="164">
        <v>1</v>
      </c>
      <c r="BS101" s="149">
        <f t="shared" si="134"/>
        <v>1</v>
      </c>
      <c r="BT101" s="149">
        <f t="shared" si="135"/>
        <v>1</v>
      </c>
      <c r="BU101" s="149">
        <f t="shared" si="136"/>
        <v>1</v>
      </c>
      <c r="BV101" s="149">
        <f t="shared" si="137"/>
        <v>1</v>
      </c>
      <c r="BW101" s="149">
        <f t="shared" si="138"/>
        <v>1</v>
      </c>
      <c r="BX101" s="149">
        <f t="shared" si="139"/>
        <v>1</v>
      </c>
      <c r="BY101" s="149">
        <f t="shared" si="140"/>
        <v>1</v>
      </c>
      <c r="BZ101" s="149">
        <f t="shared" si="141"/>
        <v>1</v>
      </c>
      <c r="CA101" s="149">
        <f t="shared" si="142"/>
        <v>1</v>
      </c>
      <c r="CB101" s="149">
        <f t="shared" si="143"/>
        <v>1</v>
      </c>
      <c r="CC101" s="149">
        <f t="shared" si="144"/>
        <v>1</v>
      </c>
      <c r="CD101" s="149">
        <f t="shared" si="145"/>
        <v>1</v>
      </c>
      <c r="CE101" s="149">
        <f t="shared" si="146"/>
        <v>1</v>
      </c>
      <c r="CF101" s="149">
        <f t="shared" si="147"/>
        <v>1</v>
      </c>
      <c r="CG101" s="149">
        <f t="shared" si="148"/>
        <v>1</v>
      </c>
      <c r="CH101" s="149">
        <f t="shared" si="149"/>
        <v>1</v>
      </c>
      <c r="CI101" s="149">
        <f t="shared" si="150"/>
        <v>1</v>
      </c>
      <c r="CJ101" s="149">
        <f t="shared" si="151"/>
        <v>1</v>
      </c>
      <c r="CK101" s="149">
        <f t="shared" si="152"/>
        <v>1</v>
      </c>
      <c r="CL101" s="149">
        <f t="shared" si="153"/>
        <v>1</v>
      </c>
      <c r="CM101" s="149">
        <f t="shared" si="154"/>
        <v>1</v>
      </c>
      <c r="CN101" s="149">
        <f t="shared" si="155"/>
        <v>1</v>
      </c>
      <c r="CO101" s="149">
        <f t="shared" si="156"/>
        <v>1</v>
      </c>
      <c r="CP101" s="149">
        <f t="shared" si="157"/>
        <v>1</v>
      </c>
      <c r="CQ101" s="149">
        <f t="shared" si="158"/>
        <v>1</v>
      </c>
      <c r="CR101" s="149">
        <f t="shared" si="159"/>
        <v>1</v>
      </c>
      <c r="CS101" s="149">
        <f t="shared" si="160"/>
        <v>1</v>
      </c>
      <c r="CT101" s="149">
        <f t="shared" si="161"/>
        <v>1</v>
      </c>
      <c r="CU101" s="149">
        <f t="shared" si="162"/>
        <v>1</v>
      </c>
      <c r="CV101" s="149">
        <f t="shared" si="163"/>
        <v>1</v>
      </c>
      <c r="CW101" s="149">
        <f t="shared" si="164"/>
        <v>1</v>
      </c>
      <c r="CX101" s="149">
        <f t="shared" si="165"/>
        <v>1</v>
      </c>
      <c r="CY101" s="149">
        <f t="shared" si="166"/>
        <v>1</v>
      </c>
      <c r="CZ101" s="149">
        <f t="shared" si="167"/>
        <v>1</v>
      </c>
      <c r="DA101" s="149">
        <f t="shared" si="168"/>
        <v>1</v>
      </c>
      <c r="DB101" s="149">
        <f t="shared" si="169"/>
        <v>1</v>
      </c>
      <c r="DG101" s="125">
        <f t="shared" si="181"/>
        <v>1</v>
      </c>
      <c r="DH101" s="125">
        <f t="shared" si="181"/>
        <v>2</v>
      </c>
      <c r="DI101" s="125">
        <f t="shared" si="181"/>
        <v>3</v>
      </c>
      <c r="DJ101" s="125">
        <f t="shared" si="181"/>
        <v>4</v>
      </c>
      <c r="DK101" s="125">
        <f t="shared" si="181"/>
        <v>5</v>
      </c>
      <c r="DL101" s="125">
        <f t="shared" si="181"/>
        <v>6</v>
      </c>
      <c r="DM101" s="125">
        <f t="shared" si="181"/>
        <v>7</v>
      </c>
      <c r="DN101" s="125">
        <f t="shared" si="181"/>
        <v>8</v>
      </c>
      <c r="DO101" s="125">
        <f t="shared" si="181"/>
        <v>9</v>
      </c>
      <c r="DP101" s="125">
        <f t="shared" si="181"/>
        <v>10</v>
      </c>
      <c r="DS101" s="137"/>
      <c r="DT101" s="137"/>
      <c r="DU101" s="137"/>
      <c r="DV101" s="137" t="b">
        <f t="shared" si="170"/>
        <v>0</v>
      </c>
      <c r="DW101" s="137" t="b">
        <f t="shared" si="171"/>
        <v>0</v>
      </c>
      <c r="DX101" s="137" t="b">
        <f t="shared" si="172"/>
        <v>1</v>
      </c>
      <c r="EB101" s="131">
        <f t="shared" si="182"/>
        <v>1</v>
      </c>
      <c r="EC101" s="137" t="b">
        <f t="shared" si="173"/>
        <v>0</v>
      </c>
      <c r="ED101" s="137" t="b">
        <f t="shared" si="174"/>
        <v>0</v>
      </c>
      <c r="EE101" s="137" t="b">
        <f t="shared" si="175"/>
        <v>1</v>
      </c>
      <c r="EF101" s="137"/>
      <c r="EG101" s="137"/>
      <c r="EH101" s="137"/>
      <c r="EI101" s="137"/>
      <c r="EJ101" s="137">
        <f t="shared" si="183"/>
        <v>1</v>
      </c>
      <c r="EK101" s="125">
        <f t="shared" si="176"/>
        <v>0</v>
      </c>
      <c r="EL101" s="125">
        <f t="shared" si="177"/>
        <v>0</v>
      </c>
    </row>
    <row r="102" spans="2:142" ht="15.75" x14ac:dyDescent="0.2">
      <c r="B102" s="160">
        <f t="shared" si="178"/>
        <v>72</v>
      </c>
      <c r="C102" s="205">
        <v>1001347675</v>
      </c>
      <c r="D102" s="205">
        <v>1001269049</v>
      </c>
      <c r="E102" s="205">
        <v>40000411</v>
      </c>
      <c r="F102" s="118">
        <f>IF(OR(J102="",H102=""),"",VLOOKUP(J102,'הזנה לסיווג רשויות'!$B$2:$D$301,2,0))</f>
        <v>20000159</v>
      </c>
      <c r="G102" s="118" t="str">
        <f>IF(OR(J102="",H102=""),"",VLOOKUP(J102,'הזנה לסיווג רשויות'!$B$2:$D$301,3,0))</f>
        <v>ירושלים</v>
      </c>
      <c r="H102" s="201" t="s">
        <v>590</v>
      </c>
      <c r="I102" s="201" t="s">
        <v>381</v>
      </c>
      <c r="J102" s="205">
        <v>3000</v>
      </c>
      <c r="K102" s="161">
        <v>0</v>
      </c>
      <c r="L102" s="161">
        <v>1</v>
      </c>
      <c r="M102" s="161">
        <v>0</v>
      </c>
      <c r="N102" s="161">
        <v>1</v>
      </c>
      <c r="O102" s="161">
        <v>1</v>
      </c>
      <c r="P102" s="161">
        <v>1</v>
      </c>
      <c r="Q102" s="161">
        <v>1</v>
      </c>
      <c r="R102" s="201">
        <v>10364369</v>
      </c>
      <c r="S102" s="201">
        <v>6372892</v>
      </c>
      <c r="T102" s="160">
        <f>IF(G102="","",IFERROR(IF(S102/R102&gt;'פרמטרים לקריטריונים'!$C$20,1,0),0))</f>
        <v>1</v>
      </c>
      <c r="U102" s="201">
        <v>4610786</v>
      </c>
      <c r="V102" s="160">
        <f>IF(G102="","",IFERROR(IF(U102/R102&gt;'פרמטרים לקריטריונים'!$C$21,1,IF(AND(I102=$BW$5,U102/R102&gt;'פרמטרים לקריטריונים'!$C$22),1,0)),0))</f>
        <v>1</v>
      </c>
      <c r="W102" s="161">
        <v>1</v>
      </c>
      <c r="X102" s="161">
        <v>1</v>
      </c>
      <c r="Y102" s="201">
        <v>2000000</v>
      </c>
      <c r="Z102" s="201">
        <v>1250000</v>
      </c>
      <c r="AA102" s="161">
        <f t="shared" si="179"/>
        <v>1</v>
      </c>
      <c r="AB102" s="161"/>
      <c r="AC102" s="161"/>
      <c r="AD102" s="161"/>
      <c r="AE102" s="161"/>
      <c r="AF102" s="161"/>
      <c r="AG102" s="161"/>
      <c r="AH102" s="161"/>
      <c r="AI102" s="161"/>
      <c r="AJ102" s="161"/>
      <c r="AK102" s="161"/>
      <c r="AL102" s="161"/>
      <c r="AM102" s="161"/>
      <c r="AN102" s="161"/>
      <c r="AO102" s="161"/>
      <c r="AP102" s="161"/>
      <c r="AQ102" s="161"/>
      <c r="AR102" s="161"/>
      <c r="AS102" s="161"/>
      <c r="AT102" s="161"/>
      <c r="AU102" s="161"/>
      <c r="AV102" s="161"/>
      <c r="AW102" s="160"/>
      <c r="AX102" s="161"/>
      <c r="AY102" s="161"/>
      <c r="AZ102" s="161"/>
      <c r="BA102" s="161"/>
      <c r="BB102" s="161"/>
      <c r="BC102" s="161"/>
      <c r="BD102" s="161"/>
      <c r="BE102" s="161"/>
      <c r="BF102" s="160" t="str">
        <f t="shared" si="180"/>
        <v/>
      </c>
      <c r="BG102" s="160"/>
      <c r="BH102" s="160"/>
      <c r="BI102" s="160"/>
      <c r="BJ102" s="160"/>
      <c r="BK102" s="160"/>
      <c r="BL102" s="162">
        <f t="shared" si="131"/>
        <v>1</v>
      </c>
      <c r="BM102" s="257"/>
      <c r="BN102" s="163"/>
      <c r="BO102" s="211" t="str">
        <f t="shared" si="132"/>
        <v>סינמטק ירושליםסינמטקים ופסטיבלים</v>
      </c>
      <c r="BP102" s="125">
        <f t="shared" si="133"/>
        <v>1</v>
      </c>
      <c r="BQ102" s="164">
        <v>0</v>
      </c>
      <c r="BR102" s="164">
        <v>1</v>
      </c>
      <c r="BS102" s="149">
        <f t="shared" si="134"/>
        <v>1</v>
      </c>
      <c r="BT102" s="149">
        <f t="shared" si="135"/>
        <v>1</v>
      </c>
      <c r="BU102" s="149">
        <f t="shared" si="136"/>
        <v>1</v>
      </c>
      <c r="BV102" s="149">
        <f t="shared" si="137"/>
        <v>1</v>
      </c>
      <c r="BW102" s="149">
        <f t="shared" si="138"/>
        <v>1</v>
      </c>
      <c r="BX102" s="149">
        <f t="shared" si="139"/>
        <v>1</v>
      </c>
      <c r="BY102" s="149">
        <f t="shared" si="140"/>
        <v>1</v>
      </c>
      <c r="BZ102" s="149">
        <f t="shared" si="141"/>
        <v>1</v>
      </c>
      <c r="CA102" s="149">
        <f t="shared" si="142"/>
        <v>1</v>
      </c>
      <c r="CB102" s="149">
        <f t="shared" si="143"/>
        <v>1</v>
      </c>
      <c r="CC102" s="149">
        <f t="shared" si="144"/>
        <v>1</v>
      </c>
      <c r="CD102" s="149">
        <f t="shared" si="145"/>
        <v>1</v>
      </c>
      <c r="CE102" s="149">
        <f t="shared" si="146"/>
        <v>1</v>
      </c>
      <c r="CF102" s="149">
        <f t="shared" si="147"/>
        <v>1</v>
      </c>
      <c r="CG102" s="149">
        <f t="shared" si="148"/>
        <v>1</v>
      </c>
      <c r="CH102" s="149">
        <f t="shared" si="149"/>
        <v>1</v>
      </c>
      <c r="CI102" s="149">
        <f t="shared" si="150"/>
        <v>1</v>
      </c>
      <c r="CJ102" s="149">
        <f t="shared" si="151"/>
        <v>1</v>
      </c>
      <c r="CK102" s="149">
        <f t="shared" si="152"/>
        <v>1</v>
      </c>
      <c r="CL102" s="149">
        <f t="shared" si="153"/>
        <v>1</v>
      </c>
      <c r="CM102" s="149">
        <f t="shared" si="154"/>
        <v>1</v>
      </c>
      <c r="CN102" s="149">
        <f t="shared" si="155"/>
        <v>1</v>
      </c>
      <c r="CO102" s="149">
        <f t="shared" si="156"/>
        <v>1</v>
      </c>
      <c r="CP102" s="149">
        <f t="shared" si="157"/>
        <v>1</v>
      </c>
      <c r="CQ102" s="149">
        <f t="shared" si="158"/>
        <v>1</v>
      </c>
      <c r="CR102" s="149">
        <f t="shared" si="159"/>
        <v>1</v>
      </c>
      <c r="CS102" s="149">
        <f t="shared" si="160"/>
        <v>1</v>
      </c>
      <c r="CT102" s="149">
        <f t="shared" si="161"/>
        <v>1</v>
      </c>
      <c r="CU102" s="149">
        <f t="shared" si="162"/>
        <v>1</v>
      </c>
      <c r="CV102" s="149">
        <f t="shared" si="163"/>
        <v>1</v>
      </c>
      <c r="CW102" s="149">
        <f t="shared" si="164"/>
        <v>1</v>
      </c>
      <c r="CX102" s="149">
        <f t="shared" si="165"/>
        <v>1</v>
      </c>
      <c r="CY102" s="149">
        <f t="shared" si="166"/>
        <v>1</v>
      </c>
      <c r="CZ102" s="149">
        <f t="shared" si="167"/>
        <v>1</v>
      </c>
      <c r="DA102" s="149">
        <f t="shared" si="168"/>
        <v>1</v>
      </c>
      <c r="DB102" s="149">
        <f t="shared" si="169"/>
        <v>1</v>
      </c>
      <c r="DG102" s="125">
        <f t="shared" si="181"/>
        <v>1</v>
      </c>
      <c r="DH102" s="125">
        <f t="shared" si="181"/>
        <v>2</v>
      </c>
      <c r="DI102" s="125">
        <f t="shared" si="181"/>
        <v>3</v>
      </c>
      <c r="DJ102" s="125">
        <f t="shared" si="181"/>
        <v>4</v>
      </c>
      <c r="DK102" s="125">
        <f t="shared" si="181"/>
        <v>5</v>
      </c>
      <c r="DL102" s="125">
        <f t="shared" si="181"/>
        <v>6</v>
      </c>
      <c r="DM102" s="125">
        <f t="shared" si="181"/>
        <v>7</v>
      </c>
      <c r="DN102" s="125">
        <f t="shared" si="181"/>
        <v>8</v>
      </c>
      <c r="DO102" s="125">
        <f t="shared" si="181"/>
        <v>9</v>
      </c>
      <c r="DP102" s="125">
        <f t="shared" si="181"/>
        <v>10</v>
      </c>
      <c r="DS102" s="137"/>
      <c r="DT102" s="137"/>
      <c r="DU102" s="137"/>
      <c r="DV102" s="137" t="b">
        <f t="shared" si="170"/>
        <v>0</v>
      </c>
      <c r="DW102" s="137" t="b">
        <f t="shared" si="171"/>
        <v>0</v>
      </c>
      <c r="DX102" s="137" t="b">
        <f t="shared" si="172"/>
        <v>1</v>
      </c>
      <c r="EB102" s="131">
        <f t="shared" si="182"/>
        <v>1</v>
      </c>
      <c r="EC102" s="137" t="b">
        <f t="shared" si="173"/>
        <v>0</v>
      </c>
      <c r="ED102" s="137" t="b">
        <f t="shared" si="174"/>
        <v>0</v>
      </c>
      <c r="EE102" s="137" t="b">
        <f t="shared" si="175"/>
        <v>1</v>
      </c>
      <c r="EF102" s="137"/>
      <c r="EG102" s="137"/>
      <c r="EH102" s="137"/>
      <c r="EI102" s="137"/>
      <c r="EJ102" s="137">
        <f t="shared" si="183"/>
        <v>1</v>
      </c>
      <c r="EK102" s="125">
        <f t="shared" si="176"/>
        <v>0</v>
      </c>
      <c r="EL102" s="125">
        <f t="shared" si="177"/>
        <v>0</v>
      </c>
    </row>
    <row r="103" spans="2:142" ht="15.75" x14ac:dyDescent="0.2">
      <c r="B103" s="160">
        <f t="shared" si="178"/>
        <v>73</v>
      </c>
      <c r="C103" s="205">
        <v>1001346703</v>
      </c>
      <c r="D103" s="205">
        <v>1001278260</v>
      </c>
      <c r="E103" s="205">
        <v>40000449</v>
      </c>
      <c r="F103" s="118">
        <f>IF(OR(J103="",H103=""),"",VLOOKUP(J103,'הזנה לסיווג רשויות'!$B$2:$D$301,2,0))</f>
        <v>20000201</v>
      </c>
      <c r="G103" s="118" t="str">
        <f>IF(OR(J103="",H103=""),"",VLOOKUP(J103,'הזנה לסיווג רשויות'!$B$2:$D$301,3,0))</f>
        <v>תל אביב -יפו</v>
      </c>
      <c r="H103" s="201" t="s">
        <v>591</v>
      </c>
      <c r="I103" s="201" t="s">
        <v>373</v>
      </c>
      <c r="J103" s="205">
        <v>5000</v>
      </c>
      <c r="K103" s="161">
        <v>0</v>
      </c>
      <c r="L103" s="161">
        <v>1</v>
      </c>
      <c r="M103" s="161">
        <v>0</v>
      </c>
      <c r="N103" s="161">
        <v>1</v>
      </c>
      <c r="O103" s="161">
        <v>1</v>
      </c>
      <c r="P103" s="161">
        <v>1</v>
      </c>
      <c r="Q103" s="161">
        <v>1</v>
      </c>
      <c r="R103" s="201">
        <v>57910193</v>
      </c>
      <c r="S103" s="201">
        <v>41065938</v>
      </c>
      <c r="T103" s="160">
        <f>IF(G103="","",IFERROR(IF(S103/R103&gt;'פרמטרים לקריטריונים'!$C$20,1,0),0))</f>
        <v>1</v>
      </c>
      <c r="U103" s="201">
        <v>40103041</v>
      </c>
      <c r="V103" s="160">
        <f>IF(G103="","",IFERROR(IF(U103/R103&gt;'פרמטרים לקריטריונים'!$C$21,1,IF(AND(I103=$BW$5,U103/R103&gt;'פרמטרים לקריטריונים'!$C$22),1,0)),0))</f>
        <v>1</v>
      </c>
      <c r="W103" s="161">
        <v>1</v>
      </c>
      <c r="X103" s="161">
        <v>1</v>
      </c>
      <c r="Y103" s="201">
        <v>12000000</v>
      </c>
      <c r="Z103" s="201">
        <v>2000000</v>
      </c>
      <c r="AA103" s="161">
        <f t="shared" si="179"/>
        <v>1</v>
      </c>
      <c r="AB103" s="161"/>
      <c r="AC103" s="161"/>
      <c r="AD103" s="161"/>
      <c r="AE103" s="161"/>
      <c r="AF103" s="161"/>
      <c r="AG103" s="161"/>
      <c r="AH103" s="161"/>
      <c r="AI103" s="161"/>
      <c r="AJ103" s="161"/>
      <c r="AK103" s="161"/>
      <c r="AL103" s="161"/>
      <c r="AM103" s="161"/>
      <c r="AN103" s="161"/>
      <c r="AO103" s="161"/>
      <c r="AP103" s="161"/>
      <c r="AQ103" s="161"/>
      <c r="AR103" s="161"/>
      <c r="AS103" s="161"/>
      <c r="AT103" s="161"/>
      <c r="AU103" s="161"/>
      <c r="AV103" s="161"/>
      <c r="AW103" s="160"/>
      <c r="AX103" s="161"/>
      <c r="AY103" s="161"/>
      <c r="AZ103" s="161"/>
      <c r="BA103" s="161"/>
      <c r="BB103" s="161"/>
      <c r="BC103" s="161"/>
      <c r="BD103" s="161"/>
      <c r="BE103" s="161"/>
      <c r="BF103" s="160" t="str">
        <f t="shared" si="180"/>
        <v/>
      </c>
      <c r="BG103" s="160"/>
      <c r="BH103" s="160"/>
      <c r="BI103" s="160"/>
      <c r="BJ103" s="160"/>
      <c r="BK103" s="160"/>
      <c r="BL103" s="162">
        <f t="shared" si="131"/>
        <v>1</v>
      </c>
      <c r="BM103" s="257"/>
      <c r="BN103" s="163"/>
      <c r="BO103" s="211" t="str">
        <f t="shared" si="132"/>
        <v>תיאטרון בית ליסיןתיאטרון</v>
      </c>
      <c r="BP103" s="125">
        <f t="shared" si="133"/>
        <v>1</v>
      </c>
      <c r="BQ103" s="164">
        <v>0</v>
      </c>
      <c r="BR103" s="164">
        <v>1</v>
      </c>
      <c r="BS103" s="149">
        <f t="shared" si="134"/>
        <v>1</v>
      </c>
      <c r="BT103" s="149">
        <f t="shared" si="135"/>
        <v>1</v>
      </c>
      <c r="BU103" s="149">
        <f t="shared" si="136"/>
        <v>1</v>
      </c>
      <c r="BV103" s="149">
        <f t="shared" si="137"/>
        <v>1</v>
      </c>
      <c r="BW103" s="149">
        <f t="shared" si="138"/>
        <v>1</v>
      </c>
      <c r="BX103" s="149">
        <f t="shared" si="139"/>
        <v>1</v>
      </c>
      <c r="BY103" s="149">
        <f t="shared" si="140"/>
        <v>1</v>
      </c>
      <c r="BZ103" s="149">
        <f t="shared" si="141"/>
        <v>1</v>
      </c>
      <c r="CA103" s="149">
        <f t="shared" si="142"/>
        <v>1</v>
      </c>
      <c r="CB103" s="149">
        <f t="shared" si="143"/>
        <v>1</v>
      </c>
      <c r="CC103" s="149">
        <f t="shared" si="144"/>
        <v>1</v>
      </c>
      <c r="CD103" s="149">
        <f t="shared" si="145"/>
        <v>1</v>
      </c>
      <c r="CE103" s="149">
        <f t="shared" si="146"/>
        <v>1</v>
      </c>
      <c r="CF103" s="149">
        <f t="shared" si="147"/>
        <v>1</v>
      </c>
      <c r="CG103" s="149">
        <f t="shared" si="148"/>
        <v>1</v>
      </c>
      <c r="CH103" s="149">
        <f t="shared" si="149"/>
        <v>1</v>
      </c>
      <c r="CI103" s="149">
        <f t="shared" si="150"/>
        <v>1</v>
      </c>
      <c r="CJ103" s="149">
        <f t="shared" si="151"/>
        <v>1</v>
      </c>
      <c r="CK103" s="149">
        <f t="shared" si="152"/>
        <v>1</v>
      </c>
      <c r="CL103" s="149">
        <f t="shared" si="153"/>
        <v>1</v>
      </c>
      <c r="CM103" s="149">
        <f t="shared" si="154"/>
        <v>1</v>
      </c>
      <c r="CN103" s="149">
        <f t="shared" si="155"/>
        <v>1</v>
      </c>
      <c r="CO103" s="149">
        <f t="shared" si="156"/>
        <v>1</v>
      </c>
      <c r="CP103" s="149">
        <f t="shared" si="157"/>
        <v>1</v>
      </c>
      <c r="CQ103" s="149">
        <f t="shared" si="158"/>
        <v>1</v>
      </c>
      <c r="CR103" s="149">
        <f t="shared" si="159"/>
        <v>1</v>
      </c>
      <c r="CS103" s="149">
        <f t="shared" si="160"/>
        <v>1</v>
      </c>
      <c r="CT103" s="149">
        <f t="shared" si="161"/>
        <v>1</v>
      </c>
      <c r="CU103" s="149">
        <f t="shared" si="162"/>
        <v>1</v>
      </c>
      <c r="CV103" s="149">
        <f t="shared" si="163"/>
        <v>1</v>
      </c>
      <c r="CW103" s="149">
        <f t="shared" si="164"/>
        <v>1</v>
      </c>
      <c r="CX103" s="149">
        <f t="shared" si="165"/>
        <v>1</v>
      </c>
      <c r="CY103" s="149">
        <f t="shared" si="166"/>
        <v>1</v>
      </c>
      <c r="CZ103" s="149">
        <f t="shared" si="167"/>
        <v>1</v>
      </c>
      <c r="DA103" s="149">
        <f t="shared" si="168"/>
        <v>1</v>
      </c>
      <c r="DB103" s="149">
        <f t="shared" si="169"/>
        <v>1</v>
      </c>
      <c r="DG103" s="125">
        <f t="shared" si="181"/>
        <v>1</v>
      </c>
      <c r="DH103" s="125">
        <f t="shared" si="181"/>
        <v>2</v>
      </c>
      <c r="DI103" s="125">
        <f t="shared" si="181"/>
        <v>3</v>
      </c>
      <c r="DJ103" s="125">
        <f t="shared" si="181"/>
        <v>4</v>
      </c>
      <c r="DK103" s="125">
        <f t="shared" si="181"/>
        <v>5</v>
      </c>
      <c r="DL103" s="125">
        <f t="shared" si="181"/>
        <v>6</v>
      </c>
      <c r="DM103" s="125">
        <f t="shared" si="181"/>
        <v>7</v>
      </c>
      <c r="DN103" s="125">
        <f t="shared" si="181"/>
        <v>8</v>
      </c>
      <c r="DO103" s="125">
        <f t="shared" si="181"/>
        <v>9</v>
      </c>
      <c r="DP103" s="125">
        <f t="shared" si="181"/>
        <v>10</v>
      </c>
      <c r="DS103" s="137"/>
      <c r="DT103" s="137"/>
      <c r="DU103" s="137"/>
      <c r="DV103" s="137" t="b">
        <f t="shared" si="170"/>
        <v>0</v>
      </c>
      <c r="DW103" s="137" t="b">
        <f t="shared" si="171"/>
        <v>0</v>
      </c>
      <c r="DX103" s="137" t="b">
        <f t="shared" si="172"/>
        <v>1</v>
      </c>
      <c r="EB103" s="131">
        <f t="shared" si="182"/>
        <v>1</v>
      </c>
      <c r="EC103" s="137" t="b">
        <f t="shared" si="173"/>
        <v>0</v>
      </c>
      <c r="ED103" s="137" t="b">
        <f t="shared" si="174"/>
        <v>0</v>
      </c>
      <c r="EE103" s="137" t="b">
        <f t="shared" si="175"/>
        <v>1</v>
      </c>
      <c r="EF103" s="137"/>
      <c r="EG103" s="137"/>
      <c r="EH103" s="137"/>
      <c r="EI103" s="137"/>
      <c r="EJ103" s="137">
        <f t="shared" si="183"/>
        <v>1</v>
      </c>
      <c r="EK103" s="125">
        <f t="shared" si="176"/>
        <v>0</v>
      </c>
      <c r="EL103" s="125">
        <f t="shared" si="177"/>
        <v>0</v>
      </c>
    </row>
    <row r="104" spans="2:142" ht="15.75" x14ac:dyDescent="0.25">
      <c r="B104" s="160">
        <f t="shared" si="178"/>
        <v>74</v>
      </c>
      <c r="C104" s="205">
        <v>1001348511</v>
      </c>
      <c r="D104" s="205">
        <v>1001271268</v>
      </c>
      <c r="E104" s="205">
        <v>40000594</v>
      </c>
      <c r="F104" s="118">
        <f>IF(OR(J104="",H104=""),"",VLOOKUP(J104,'הזנה לסיווג רשויות'!$B$2:$D$301,2,0))</f>
        <v>20000185</v>
      </c>
      <c r="G104" s="118" t="str">
        <f>IF(OR(J104="",H104=""),"",VLOOKUP(J104,'הזנה לסיווג רשויות'!$B$2:$D$301,3,0))</f>
        <v>עמק חפר</v>
      </c>
      <c r="H104" s="281" t="s">
        <v>592</v>
      </c>
      <c r="I104" s="201" t="s">
        <v>378</v>
      </c>
      <c r="J104" s="205">
        <v>16</v>
      </c>
      <c r="K104" s="161">
        <v>0</v>
      </c>
      <c r="L104" s="161">
        <v>1</v>
      </c>
      <c r="M104" s="161">
        <v>0</v>
      </c>
      <c r="N104" s="161">
        <v>0</v>
      </c>
      <c r="O104" s="161">
        <v>1</v>
      </c>
      <c r="P104" s="161">
        <v>1</v>
      </c>
      <c r="Q104" s="161">
        <v>1</v>
      </c>
      <c r="R104" s="201">
        <v>543814</v>
      </c>
      <c r="S104" s="201">
        <v>212000</v>
      </c>
      <c r="T104" s="160">
        <f>IF(G104="","",IFERROR(IF(S104/R104&gt;'פרמטרים לקריטריונים'!$C$20,1,0),0))</f>
        <v>1</v>
      </c>
      <c r="U104" s="201">
        <v>120439</v>
      </c>
      <c r="V104" s="160">
        <f>IF(G104="","",IFERROR(IF(U104/R104&gt;'פרמטרים לקריטריונים'!$C$21,1,IF(AND(I104=$BW$5,U104/R104&gt;'פרמטרים לקריטריונים'!$C$22),1,0)),0))</f>
        <v>1</v>
      </c>
      <c r="W104" s="161">
        <v>1</v>
      </c>
      <c r="X104" s="161">
        <v>1</v>
      </c>
      <c r="Y104" s="201">
        <v>211375</v>
      </c>
      <c r="Z104" s="201">
        <v>80000</v>
      </c>
      <c r="AA104" s="161">
        <f t="shared" si="179"/>
        <v>1</v>
      </c>
      <c r="AB104" s="161"/>
      <c r="AC104" s="161"/>
      <c r="AD104" s="161"/>
      <c r="AE104" s="161"/>
      <c r="AF104" s="161"/>
      <c r="AG104" s="161"/>
      <c r="AH104" s="161"/>
      <c r="AI104" s="161"/>
      <c r="AJ104" s="161"/>
      <c r="AK104" s="161"/>
      <c r="AL104" s="161"/>
      <c r="AM104" s="161"/>
      <c r="AN104" s="161"/>
      <c r="AO104" s="161"/>
      <c r="AP104" s="161"/>
      <c r="AQ104" s="161"/>
      <c r="AR104" s="161"/>
      <c r="AS104" s="161"/>
      <c r="AT104" s="161"/>
      <c r="AU104" s="161"/>
      <c r="AV104" s="161"/>
      <c r="AW104" s="160"/>
      <c r="AX104" s="161"/>
      <c r="AY104" s="161"/>
      <c r="AZ104" s="161"/>
      <c r="BA104" s="161"/>
      <c r="BB104" s="161"/>
      <c r="BC104" s="161"/>
      <c r="BD104" s="161"/>
      <c r="BE104" s="161"/>
      <c r="BF104" s="160" t="str">
        <f t="shared" si="180"/>
        <v/>
      </c>
      <c r="BG104" s="160"/>
      <c r="BH104" s="160"/>
      <c r="BI104" s="160"/>
      <c r="BJ104" s="160"/>
      <c r="BK104" s="160"/>
      <c r="BL104" s="162">
        <f t="shared" si="131"/>
        <v>1</v>
      </c>
      <c r="BM104" s="257"/>
      <c r="BN104" s="163"/>
      <c r="BO104" s="211" t="str">
        <f t="shared" si="132"/>
        <v>עמותת מקהלות מורן והבית לשירה בישראמקהלות</v>
      </c>
      <c r="BP104" s="125">
        <f t="shared" si="133"/>
        <v>1</v>
      </c>
      <c r="BQ104" s="164">
        <v>0</v>
      </c>
      <c r="BR104" s="164">
        <v>1</v>
      </c>
      <c r="BS104" s="149">
        <f t="shared" si="134"/>
        <v>1</v>
      </c>
      <c r="BT104" s="149">
        <f t="shared" si="135"/>
        <v>1</v>
      </c>
      <c r="BU104" s="149">
        <f t="shared" si="136"/>
        <v>1</v>
      </c>
      <c r="BV104" s="149">
        <f t="shared" si="137"/>
        <v>1</v>
      </c>
      <c r="BW104" s="149">
        <f t="shared" si="138"/>
        <v>1</v>
      </c>
      <c r="BX104" s="149">
        <f t="shared" si="139"/>
        <v>1</v>
      </c>
      <c r="BY104" s="149">
        <f t="shared" si="140"/>
        <v>1</v>
      </c>
      <c r="BZ104" s="149">
        <f t="shared" si="141"/>
        <v>1</v>
      </c>
      <c r="CA104" s="149">
        <f t="shared" si="142"/>
        <v>1</v>
      </c>
      <c r="CB104" s="149">
        <f t="shared" si="143"/>
        <v>1</v>
      </c>
      <c r="CC104" s="149">
        <f t="shared" si="144"/>
        <v>1</v>
      </c>
      <c r="CD104" s="149">
        <f t="shared" si="145"/>
        <v>1</v>
      </c>
      <c r="CE104" s="149">
        <f t="shared" si="146"/>
        <v>1</v>
      </c>
      <c r="CF104" s="149">
        <f t="shared" si="147"/>
        <v>1</v>
      </c>
      <c r="CG104" s="149">
        <f t="shared" si="148"/>
        <v>1</v>
      </c>
      <c r="CH104" s="149">
        <f t="shared" si="149"/>
        <v>1</v>
      </c>
      <c r="CI104" s="149">
        <f t="shared" si="150"/>
        <v>1</v>
      </c>
      <c r="CJ104" s="149">
        <f t="shared" si="151"/>
        <v>1</v>
      </c>
      <c r="CK104" s="149">
        <f t="shared" si="152"/>
        <v>1</v>
      </c>
      <c r="CL104" s="149">
        <f t="shared" si="153"/>
        <v>1</v>
      </c>
      <c r="CM104" s="149">
        <f t="shared" si="154"/>
        <v>1</v>
      </c>
      <c r="CN104" s="149">
        <f t="shared" si="155"/>
        <v>1</v>
      </c>
      <c r="CO104" s="149">
        <f t="shared" si="156"/>
        <v>1</v>
      </c>
      <c r="CP104" s="149">
        <f t="shared" si="157"/>
        <v>1</v>
      </c>
      <c r="CQ104" s="149">
        <f t="shared" si="158"/>
        <v>1</v>
      </c>
      <c r="CR104" s="149">
        <f t="shared" si="159"/>
        <v>1</v>
      </c>
      <c r="CS104" s="149">
        <f t="shared" si="160"/>
        <v>1</v>
      </c>
      <c r="CT104" s="149">
        <f t="shared" si="161"/>
        <v>1</v>
      </c>
      <c r="CU104" s="149">
        <f t="shared" si="162"/>
        <v>1</v>
      </c>
      <c r="CV104" s="149">
        <f t="shared" si="163"/>
        <v>1</v>
      </c>
      <c r="CW104" s="149">
        <f t="shared" si="164"/>
        <v>1</v>
      </c>
      <c r="CX104" s="149">
        <f t="shared" si="165"/>
        <v>1</v>
      </c>
      <c r="CY104" s="149">
        <f t="shared" si="166"/>
        <v>1</v>
      </c>
      <c r="CZ104" s="149">
        <f t="shared" si="167"/>
        <v>1</v>
      </c>
      <c r="DA104" s="149">
        <f t="shared" si="168"/>
        <v>1</v>
      </c>
      <c r="DB104" s="149">
        <f t="shared" si="169"/>
        <v>1</v>
      </c>
      <c r="DG104" s="125">
        <f t="shared" si="181"/>
        <v>1</v>
      </c>
      <c r="DH104" s="125">
        <f t="shared" si="181"/>
        <v>2</v>
      </c>
      <c r="DI104" s="125">
        <f t="shared" si="181"/>
        <v>3</v>
      </c>
      <c r="DJ104" s="125">
        <f t="shared" si="181"/>
        <v>4</v>
      </c>
      <c r="DK104" s="125">
        <f t="shared" si="181"/>
        <v>5</v>
      </c>
      <c r="DL104" s="125">
        <f t="shared" si="181"/>
        <v>6</v>
      </c>
      <c r="DM104" s="125">
        <f t="shared" si="181"/>
        <v>7</v>
      </c>
      <c r="DN104" s="125">
        <f t="shared" si="181"/>
        <v>8</v>
      </c>
      <c r="DO104" s="125">
        <f t="shared" si="181"/>
        <v>9</v>
      </c>
      <c r="DP104" s="125">
        <f t="shared" si="181"/>
        <v>10</v>
      </c>
      <c r="DS104" s="137"/>
      <c r="DT104" s="137"/>
      <c r="DU104" s="137"/>
      <c r="DV104" s="137" t="b">
        <f t="shared" si="170"/>
        <v>0</v>
      </c>
      <c r="DW104" s="137" t="b">
        <f t="shared" si="171"/>
        <v>0</v>
      </c>
      <c r="DX104" s="137" t="b">
        <f t="shared" si="172"/>
        <v>1</v>
      </c>
      <c r="EB104" s="131">
        <f t="shared" si="182"/>
        <v>1</v>
      </c>
      <c r="EC104" s="137" t="b">
        <f t="shared" si="173"/>
        <v>0</v>
      </c>
      <c r="ED104" s="137" t="b">
        <f t="shared" si="174"/>
        <v>0</v>
      </c>
      <c r="EE104" s="137" t="b">
        <f t="shared" si="175"/>
        <v>1</v>
      </c>
      <c r="EF104" s="137"/>
      <c r="EG104" s="137"/>
      <c r="EH104" s="137"/>
      <c r="EI104" s="137"/>
      <c r="EJ104" s="137">
        <f t="shared" si="183"/>
        <v>1</v>
      </c>
      <c r="EK104" s="125">
        <f t="shared" si="176"/>
        <v>0</v>
      </c>
      <c r="EL104" s="125">
        <f t="shared" si="177"/>
        <v>0</v>
      </c>
    </row>
    <row r="105" spans="2:142" ht="15.75" x14ac:dyDescent="0.2">
      <c r="B105" s="160">
        <f t="shared" si="178"/>
        <v>75</v>
      </c>
      <c r="C105" s="205">
        <v>1001347498</v>
      </c>
      <c r="D105" s="205">
        <v>1001270248</v>
      </c>
      <c r="E105" s="205">
        <v>40000624</v>
      </c>
      <c r="F105" s="118">
        <f>IF(OR(J105="",H105=""),"",VLOOKUP(J105,'הזנה לסיווג רשויות'!$B$2:$D$301,2,0))</f>
        <v>20000247</v>
      </c>
      <c r="G105" s="118" t="str">
        <f>IF(OR(J105="",H105=""),"",VLOOKUP(J105,'הזנה לסיווג רשויות'!$B$2:$D$301,3,0))</f>
        <v>ראשון לציון</v>
      </c>
      <c r="H105" s="201" t="s">
        <v>593</v>
      </c>
      <c r="I105" s="201" t="s">
        <v>376</v>
      </c>
      <c r="J105" s="205">
        <v>8300</v>
      </c>
      <c r="K105" s="161">
        <v>0</v>
      </c>
      <c r="L105" s="161">
        <v>1</v>
      </c>
      <c r="M105" s="161">
        <v>0</v>
      </c>
      <c r="N105" s="161">
        <v>1</v>
      </c>
      <c r="O105" s="161">
        <v>1</v>
      </c>
      <c r="P105" s="161">
        <v>1</v>
      </c>
      <c r="Q105" s="161">
        <v>1</v>
      </c>
      <c r="R105" s="201">
        <v>16694630</v>
      </c>
      <c r="S105" s="201">
        <v>7523518</v>
      </c>
      <c r="T105" s="160">
        <f>IF(G105="","",IFERROR(IF(S105/R105&gt;'פרמטרים לקריטריונים'!$C$20,1,0),0))</f>
        <v>1</v>
      </c>
      <c r="U105" s="201">
        <v>7472318</v>
      </c>
      <c r="V105" s="160">
        <f>IF(G105="","",IFERROR(IF(U105/R105&gt;'פרמטרים לקריטריונים'!$C$21,1,IF(AND(I105=$BW$5,U105/R105&gt;'פרמטרים לקריטריונים'!$C$22),1,0)),0))</f>
        <v>1</v>
      </c>
      <c r="W105" s="161">
        <v>1</v>
      </c>
      <c r="X105" s="161">
        <v>1</v>
      </c>
      <c r="Y105" s="201">
        <v>4000000</v>
      </c>
      <c r="Z105" s="201">
        <v>50000</v>
      </c>
      <c r="AA105" s="161">
        <f t="shared" si="179"/>
        <v>1</v>
      </c>
      <c r="AB105" s="161"/>
      <c r="AC105" s="161"/>
      <c r="AD105" s="161"/>
      <c r="AE105" s="161"/>
      <c r="AF105" s="161"/>
      <c r="AG105" s="161"/>
      <c r="AH105" s="161"/>
      <c r="AI105" s="161"/>
      <c r="AJ105" s="161"/>
      <c r="AK105" s="161"/>
      <c r="AL105" s="161"/>
      <c r="AM105" s="161"/>
      <c r="AN105" s="161"/>
      <c r="AO105" s="161"/>
      <c r="AP105" s="161"/>
      <c r="AQ105" s="161"/>
      <c r="AR105" s="161"/>
      <c r="AS105" s="161"/>
      <c r="AT105" s="161"/>
      <c r="AU105" s="161"/>
      <c r="AV105" s="161"/>
      <c r="AW105" s="160"/>
      <c r="AX105" s="161"/>
      <c r="AY105" s="161"/>
      <c r="AZ105" s="161"/>
      <c r="BA105" s="161"/>
      <c r="BB105" s="161"/>
      <c r="BC105" s="161"/>
      <c r="BD105" s="161"/>
      <c r="BE105" s="161"/>
      <c r="BF105" s="160" t="str">
        <f t="shared" si="180"/>
        <v/>
      </c>
      <c r="BG105" s="160"/>
      <c r="BH105" s="160"/>
      <c r="BI105" s="160"/>
      <c r="BJ105" s="160"/>
      <c r="BK105" s="160"/>
      <c r="BL105" s="162">
        <f t="shared" si="131"/>
        <v>1</v>
      </c>
      <c r="BM105" s="257"/>
      <c r="BN105" s="163"/>
      <c r="BO105" s="211" t="str">
        <f t="shared" si="132"/>
        <v>עמותת התזמורת הסימפונית ראשון לציוןמוסיקה-גופים כליים</v>
      </c>
      <c r="BP105" s="125">
        <f t="shared" si="133"/>
        <v>1</v>
      </c>
      <c r="BQ105" s="164">
        <v>0</v>
      </c>
      <c r="BR105" s="164">
        <v>1</v>
      </c>
      <c r="BS105" s="149">
        <f t="shared" si="134"/>
        <v>1</v>
      </c>
      <c r="BT105" s="149">
        <f t="shared" si="135"/>
        <v>1</v>
      </c>
      <c r="BU105" s="149">
        <f t="shared" si="136"/>
        <v>1</v>
      </c>
      <c r="BV105" s="149">
        <f t="shared" si="137"/>
        <v>1</v>
      </c>
      <c r="BW105" s="149">
        <f t="shared" si="138"/>
        <v>1</v>
      </c>
      <c r="BX105" s="149">
        <f t="shared" si="139"/>
        <v>1</v>
      </c>
      <c r="BY105" s="149">
        <f t="shared" si="140"/>
        <v>1</v>
      </c>
      <c r="BZ105" s="149">
        <f t="shared" si="141"/>
        <v>1</v>
      </c>
      <c r="CA105" s="149">
        <f t="shared" si="142"/>
        <v>1</v>
      </c>
      <c r="CB105" s="149">
        <f t="shared" si="143"/>
        <v>1</v>
      </c>
      <c r="CC105" s="149">
        <f t="shared" si="144"/>
        <v>1</v>
      </c>
      <c r="CD105" s="149">
        <f t="shared" si="145"/>
        <v>1</v>
      </c>
      <c r="CE105" s="149">
        <f t="shared" si="146"/>
        <v>1</v>
      </c>
      <c r="CF105" s="149">
        <f t="shared" si="147"/>
        <v>1</v>
      </c>
      <c r="CG105" s="149">
        <f t="shared" si="148"/>
        <v>1</v>
      </c>
      <c r="CH105" s="149">
        <f t="shared" si="149"/>
        <v>1</v>
      </c>
      <c r="CI105" s="149">
        <f t="shared" si="150"/>
        <v>1</v>
      </c>
      <c r="CJ105" s="149">
        <f t="shared" si="151"/>
        <v>1</v>
      </c>
      <c r="CK105" s="149">
        <f t="shared" si="152"/>
        <v>1</v>
      </c>
      <c r="CL105" s="149">
        <f t="shared" si="153"/>
        <v>1</v>
      </c>
      <c r="CM105" s="149">
        <f t="shared" si="154"/>
        <v>1</v>
      </c>
      <c r="CN105" s="149">
        <f t="shared" si="155"/>
        <v>1</v>
      </c>
      <c r="CO105" s="149">
        <f t="shared" si="156"/>
        <v>1</v>
      </c>
      <c r="CP105" s="149">
        <f t="shared" si="157"/>
        <v>1</v>
      </c>
      <c r="CQ105" s="149">
        <f t="shared" si="158"/>
        <v>1</v>
      </c>
      <c r="CR105" s="149">
        <f t="shared" si="159"/>
        <v>1</v>
      </c>
      <c r="CS105" s="149">
        <f t="shared" si="160"/>
        <v>1</v>
      </c>
      <c r="CT105" s="149">
        <f t="shared" si="161"/>
        <v>1</v>
      </c>
      <c r="CU105" s="149">
        <f t="shared" si="162"/>
        <v>1</v>
      </c>
      <c r="CV105" s="149">
        <f t="shared" si="163"/>
        <v>1</v>
      </c>
      <c r="CW105" s="149">
        <f t="shared" si="164"/>
        <v>1</v>
      </c>
      <c r="CX105" s="149">
        <f t="shared" si="165"/>
        <v>1</v>
      </c>
      <c r="CY105" s="149">
        <f t="shared" si="166"/>
        <v>1</v>
      </c>
      <c r="CZ105" s="149">
        <f t="shared" si="167"/>
        <v>1</v>
      </c>
      <c r="DA105" s="149">
        <f t="shared" si="168"/>
        <v>1</v>
      </c>
      <c r="DB105" s="149">
        <f t="shared" si="169"/>
        <v>1</v>
      </c>
      <c r="DG105" s="125">
        <f t="shared" si="181"/>
        <v>1</v>
      </c>
      <c r="DH105" s="125">
        <f t="shared" si="181"/>
        <v>2</v>
      </c>
      <c r="DI105" s="125">
        <f t="shared" si="181"/>
        <v>3</v>
      </c>
      <c r="DJ105" s="125">
        <f t="shared" si="181"/>
        <v>4</v>
      </c>
      <c r="DK105" s="125">
        <f t="shared" si="181"/>
        <v>5</v>
      </c>
      <c r="DL105" s="125">
        <f t="shared" si="181"/>
        <v>6</v>
      </c>
      <c r="DM105" s="125">
        <f t="shared" si="181"/>
        <v>7</v>
      </c>
      <c r="DN105" s="125">
        <f t="shared" si="181"/>
        <v>8</v>
      </c>
      <c r="DO105" s="125">
        <f t="shared" si="181"/>
        <v>9</v>
      </c>
      <c r="DP105" s="125">
        <f t="shared" si="181"/>
        <v>10</v>
      </c>
      <c r="DS105" s="137"/>
      <c r="DT105" s="137"/>
      <c r="DU105" s="137"/>
      <c r="DV105" s="137" t="b">
        <f t="shared" si="170"/>
        <v>0</v>
      </c>
      <c r="DW105" s="137" t="b">
        <f t="shared" si="171"/>
        <v>0</v>
      </c>
      <c r="DX105" s="137" t="b">
        <f t="shared" si="172"/>
        <v>1</v>
      </c>
      <c r="EB105" s="131">
        <f t="shared" si="182"/>
        <v>1</v>
      </c>
      <c r="EC105" s="137" t="b">
        <f t="shared" si="173"/>
        <v>0</v>
      </c>
      <c r="ED105" s="137" t="b">
        <f t="shared" si="174"/>
        <v>0</v>
      </c>
      <c r="EE105" s="137" t="b">
        <f t="shared" si="175"/>
        <v>1</v>
      </c>
      <c r="EF105" s="137"/>
      <c r="EG105" s="137"/>
      <c r="EH105" s="137"/>
      <c r="EI105" s="137"/>
      <c r="EJ105" s="137">
        <f t="shared" si="183"/>
        <v>1</v>
      </c>
      <c r="EK105" s="125">
        <f t="shared" si="176"/>
        <v>0</v>
      </c>
      <c r="EL105" s="125">
        <f t="shared" si="177"/>
        <v>0</v>
      </c>
    </row>
    <row r="106" spans="2:142" ht="15.75" x14ac:dyDescent="0.25">
      <c r="B106" s="160">
        <f t="shared" si="178"/>
        <v>76</v>
      </c>
      <c r="C106" s="205">
        <v>1001345723</v>
      </c>
      <c r="D106" s="205">
        <v>1001262216</v>
      </c>
      <c r="E106" s="205">
        <v>40000690</v>
      </c>
      <c r="F106" s="118">
        <f>IF(OR(J106="",H106=""),"",VLOOKUP(J106,'הזנה לסיווג רשויות'!$B$2:$D$301,2,0))</f>
        <v>20000135</v>
      </c>
      <c r="G106" s="118" t="str">
        <f>IF(OR(J106="",H106=""),"",VLOOKUP(J106,'הזנה לסיווג רשויות'!$B$2:$D$301,3,0))</f>
        <v>הגלבוע</v>
      </c>
      <c r="H106" s="281" t="s">
        <v>595</v>
      </c>
      <c r="I106" s="201" t="s">
        <v>375</v>
      </c>
      <c r="J106" s="205">
        <v>8</v>
      </c>
      <c r="K106" s="161">
        <v>0</v>
      </c>
      <c r="L106" s="161">
        <v>1</v>
      </c>
      <c r="M106" s="161">
        <v>0</v>
      </c>
      <c r="N106" s="161">
        <v>0</v>
      </c>
      <c r="O106" s="161">
        <v>1</v>
      </c>
      <c r="P106" s="161">
        <v>1</v>
      </c>
      <c r="Q106" s="161">
        <v>1</v>
      </c>
      <c r="R106" s="201">
        <v>780872</v>
      </c>
      <c r="S106" s="201">
        <v>282796</v>
      </c>
      <c r="T106" s="160">
        <f>IF(G106="","",IFERROR(IF(S106/R106&gt;'פרמטרים לקריטריונים'!$C$20,1,0),0))</f>
        <v>1</v>
      </c>
      <c r="U106" s="201">
        <v>124939</v>
      </c>
      <c r="V106" s="160">
        <f>IF(G106="","",IFERROR(IF(U106/R106&gt;'פרמטרים לקריטריונים'!$C$21,1,IF(AND(I106=$BW$5,U106/R106&gt;'פרמטרים לקריטריונים'!$C$22),1,0)),0))</f>
        <v>1</v>
      </c>
      <c r="W106" s="161">
        <v>1</v>
      </c>
      <c r="X106" s="161">
        <v>1</v>
      </c>
      <c r="Y106" s="201">
        <v>780872</v>
      </c>
      <c r="Z106" s="201">
        <v>230000</v>
      </c>
      <c r="AA106" s="161">
        <f t="shared" si="179"/>
        <v>1</v>
      </c>
      <c r="AB106" s="161"/>
      <c r="AC106" s="161"/>
      <c r="AD106" s="161"/>
      <c r="AE106" s="161"/>
      <c r="AF106" s="161"/>
      <c r="AG106" s="161"/>
      <c r="AH106" s="161"/>
      <c r="AI106" s="161"/>
      <c r="AJ106" s="161"/>
      <c r="AK106" s="161"/>
      <c r="AL106" s="161"/>
      <c r="AM106" s="161"/>
      <c r="AN106" s="161"/>
      <c r="AO106" s="161"/>
      <c r="AP106" s="161"/>
      <c r="AQ106" s="161"/>
      <c r="AR106" s="161"/>
      <c r="AS106" s="161"/>
      <c r="AT106" s="161"/>
      <c r="AU106" s="161"/>
      <c r="AV106" s="161"/>
      <c r="AW106" s="160"/>
      <c r="AX106" s="161"/>
      <c r="AY106" s="161"/>
      <c r="AZ106" s="161"/>
      <c r="BA106" s="161"/>
      <c r="BB106" s="161"/>
      <c r="BC106" s="161"/>
      <c r="BD106" s="161"/>
      <c r="BE106" s="161"/>
      <c r="BF106" s="160" t="str">
        <f t="shared" si="180"/>
        <v/>
      </c>
      <c r="BG106" s="160"/>
      <c r="BH106" s="160"/>
      <c r="BI106" s="160"/>
      <c r="BJ106" s="160"/>
      <c r="BK106" s="160"/>
      <c r="BL106" s="162">
        <f t="shared" si="131"/>
        <v>1</v>
      </c>
      <c r="BM106" s="257"/>
      <c r="BN106" s="163"/>
      <c r="BO106" s="211" t="str">
        <f t="shared" si="132"/>
        <v>בית חיים שטורמן - מוזיאון ומכון לידמוזיאונים</v>
      </c>
      <c r="BP106" s="125">
        <f t="shared" si="133"/>
        <v>1</v>
      </c>
      <c r="BQ106" s="164">
        <v>0</v>
      </c>
      <c r="BR106" s="164">
        <v>1</v>
      </c>
      <c r="BS106" s="149">
        <f t="shared" si="134"/>
        <v>1</v>
      </c>
      <c r="BT106" s="149">
        <f t="shared" si="135"/>
        <v>1</v>
      </c>
      <c r="BU106" s="149">
        <f t="shared" si="136"/>
        <v>1</v>
      </c>
      <c r="BV106" s="149">
        <f t="shared" si="137"/>
        <v>1</v>
      </c>
      <c r="BW106" s="149">
        <f t="shared" si="138"/>
        <v>1</v>
      </c>
      <c r="BX106" s="149">
        <f t="shared" si="139"/>
        <v>1</v>
      </c>
      <c r="BY106" s="149">
        <f t="shared" si="140"/>
        <v>1</v>
      </c>
      <c r="BZ106" s="149">
        <f t="shared" si="141"/>
        <v>1</v>
      </c>
      <c r="CA106" s="149">
        <f t="shared" si="142"/>
        <v>1</v>
      </c>
      <c r="CB106" s="149">
        <f t="shared" si="143"/>
        <v>1</v>
      </c>
      <c r="CC106" s="149">
        <f t="shared" si="144"/>
        <v>1</v>
      </c>
      <c r="CD106" s="149">
        <f t="shared" si="145"/>
        <v>1</v>
      </c>
      <c r="CE106" s="149">
        <f t="shared" si="146"/>
        <v>1</v>
      </c>
      <c r="CF106" s="149">
        <f t="shared" si="147"/>
        <v>1</v>
      </c>
      <c r="CG106" s="149">
        <f t="shared" si="148"/>
        <v>1</v>
      </c>
      <c r="CH106" s="149">
        <f t="shared" si="149"/>
        <v>1</v>
      </c>
      <c r="CI106" s="149">
        <f t="shared" si="150"/>
        <v>1</v>
      </c>
      <c r="CJ106" s="149">
        <f t="shared" si="151"/>
        <v>1</v>
      </c>
      <c r="CK106" s="149">
        <f t="shared" si="152"/>
        <v>1</v>
      </c>
      <c r="CL106" s="149">
        <f t="shared" si="153"/>
        <v>1</v>
      </c>
      <c r="CM106" s="149">
        <f t="shared" si="154"/>
        <v>1</v>
      </c>
      <c r="CN106" s="149">
        <f t="shared" si="155"/>
        <v>1</v>
      </c>
      <c r="CO106" s="149">
        <f t="shared" si="156"/>
        <v>1</v>
      </c>
      <c r="CP106" s="149">
        <f t="shared" si="157"/>
        <v>1</v>
      </c>
      <c r="CQ106" s="149">
        <f t="shared" si="158"/>
        <v>1</v>
      </c>
      <c r="CR106" s="149">
        <f t="shared" si="159"/>
        <v>1</v>
      </c>
      <c r="CS106" s="149">
        <f t="shared" si="160"/>
        <v>1</v>
      </c>
      <c r="CT106" s="149">
        <f t="shared" si="161"/>
        <v>1</v>
      </c>
      <c r="CU106" s="149">
        <f t="shared" si="162"/>
        <v>1</v>
      </c>
      <c r="CV106" s="149">
        <f t="shared" si="163"/>
        <v>1</v>
      </c>
      <c r="CW106" s="149">
        <f t="shared" si="164"/>
        <v>1</v>
      </c>
      <c r="CX106" s="149">
        <f t="shared" si="165"/>
        <v>1</v>
      </c>
      <c r="CY106" s="149">
        <f t="shared" si="166"/>
        <v>1</v>
      </c>
      <c r="CZ106" s="149">
        <f t="shared" si="167"/>
        <v>1</v>
      </c>
      <c r="DA106" s="149">
        <f t="shared" si="168"/>
        <v>1</v>
      </c>
      <c r="DB106" s="149">
        <f t="shared" si="169"/>
        <v>1</v>
      </c>
      <c r="DG106" s="125">
        <f t="shared" si="181"/>
        <v>1</v>
      </c>
      <c r="DH106" s="125">
        <f t="shared" si="181"/>
        <v>2</v>
      </c>
      <c r="DI106" s="125">
        <f t="shared" si="181"/>
        <v>3</v>
      </c>
      <c r="DJ106" s="125">
        <f t="shared" si="181"/>
        <v>4</v>
      </c>
      <c r="DK106" s="125">
        <f t="shared" si="181"/>
        <v>5</v>
      </c>
      <c r="DL106" s="125">
        <f t="shared" si="181"/>
        <v>6</v>
      </c>
      <c r="DM106" s="125">
        <f t="shared" si="181"/>
        <v>7</v>
      </c>
      <c r="DN106" s="125">
        <f t="shared" si="181"/>
        <v>8</v>
      </c>
      <c r="DO106" s="125">
        <f t="shared" si="181"/>
        <v>9</v>
      </c>
      <c r="DP106" s="125">
        <f t="shared" si="181"/>
        <v>10</v>
      </c>
      <c r="DS106" s="137"/>
      <c r="DT106" s="137"/>
      <c r="DU106" s="137"/>
      <c r="DV106" s="137" t="b">
        <f t="shared" si="170"/>
        <v>0</v>
      </c>
      <c r="DW106" s="137" t="b">
        <f t="shared" si="171"/>
        <v>0</v>
      </c>
      <c r="DX106" s="137" t="b">
        <f t="shared" si="172"/>
        <v>1</v>
      </c>
      <c r="EB106" s="131">
        <f t="shared" si="182"/>
        <v>1</v>
      </c>
      <c r="EC106" s="137" t="b">
        <f t="shared" si="173"/>
        <v>0</v>
      </c>
      <c r="ED106" s="137" t="b">
        <f t="shared" si="174"/>
        <v>0</v>
      </c>
      <c r="EE106" s="137" t="b">
        <f t="shared" si="175"/>
        <v>1</v>
      </c>
      <c r="EF106" s="137"/>
      <c r="EG106" s="137"/>
      <c r="EH106" s="137"/>
      <c r="EI106" s="137"/>
      <c r="EJ106" s="137">
        <f t="shared" si="183"/>
        <v>1</v>
      </c>
      <c r="EK106" s="125">
        <f t="shared" si="176"/>
        <v>0</v>
      </c>
      <c r="EL106" s="125">
        <f t="shared" si="177"/>
        <v>0</v>
      </c>
    </row>
    <row r="107" spans="2:142" ht="15.75" x14ac:dyDescent="0.25">
      <c r="B107" s="160">
        <f t="shared" si="178"/>
        <v>77</v>
      </c>
      <c r="C107" s="205">
        <v>1001350383</v>
      </c>
      <c r="D107" s="205">
        <v>1001289932</v>
      </c>
      <c r="E107" s="205">
        <v>40000702</v>
      </c>
      <c r="F107" s="118">
        <f>IF(OR(J107="",H107=""),"",VLOOKUP(J107,'הזנה לסיווג רשויות'!$B$2:$D$301,2,0))</f>
        <v>20000096</v>
      </c>
      <c r="G107" s="118" t="str">
        <f>IF(OR(J107="",H107=""),"",VLOOKUP(J107,'הזנה לסיווג רשויות'!$B$2:$D$301,3,0))</f>
        <v>שדרות</v>
      </c>
      <c r="H107" s="281" t="s">
        <v>596</v>
      </c>
      <c r="I107" s="201" t="s">
        <v>381</v>
      </c>
      <c r="J107" s="205">
        <v>1031</v>
      </c>
      <c r="K107" s="161">
        <v>0</v>
      </c>
      <c r="L107" s="161">
        <v>1</v>
      </c>
      <c r="M107" s="161">
        <v>0</v>
      </c>
      <c r="N107" s="161">
        <v>0</v>
      </c>
      <c r="O107" s="161">
        <v>1</v>
      </c>
      <c r="P107" s="161">
        <v>1</v>
      </c>
      <c r="Q107" s="161">
        <v>1</v>
      </c>
      <c r="R107" s="201">
        <v>1875270</v>
      </c>
      <c r="S107" s="201">
        <v>1368028</v>
      </c>
      <c r="T107" s="160">
        <f>IF(G107="","",IFERROR(IF(S107/R107&gt;'פרמטרים לקריטריונים'!$C$20,1,0),0))</f>
        <v>1</v>
      </c>
      <c r="U107" s="201">
        <v>949413</v>
      </c>
      <c r="V107" s="160">
        <f>IF(G107="","",IFERROR(IF(U107/R107&gt;'פרמטרים לקריטריונים'!$C$21,1,IF(AND(I107=$BW$5,U107/R107&gt;'פרמטרים לקריטריונים'!$C$22),1,0)),0))</f>
        <v>1</v>
      </c>
      <c r="W107" s="161">
        <v>1</v>
      </c>
      <c r="X107" s="161">
        <v>1</v>
      </c>
      <c r="Y107" s="201">
        <v>810000</v>
      </c>
      <c r="Z107" s="201">
        <v>810000</v>
      </c>
      <c r="AA107" s="161">
        <f t="shared" si="179"/>
        <v>1</v>
      </c>
      <c r="AB107" s="161"/>
      <c r="AC107" s="161"/>
      <c r="AD107" s="161"/>
      <c r="AE107" s="161"/>
      <c r="AF107" s="161"/>
      <c r="AG107" s="161"/>
      <c r="AH107" s="161"/>
      <c r="AI107" s="161"/>
      <c r="AJ107" s="161"/>
      <c r="AK107" s="161"/>
      <c r="AL107" s="161"/>
      <c r="AM107" s="161"/>
      <c r="AN107" s="161"/>
      <c r="AO107" s="161"/>
      <c r="AP107" s="161"/>
      <c r="AQ107" s="161"/>
      <c r="AR107" s="161"/>
      <c r="AS107" s="161"/>
      <c r="AT107" s="161"/>
      <c r="AU107" s="161"/>
      <c r="AV107" s="161"/>
      <c r="AW107" s="160"/>
      <c r="AX107" s="161"/>
      <c r="AY107" s="161"/>
      <c r="AZ107" s="161"/>
      <c r="BA107" s="161"/>
      <c r="BB107" s="161"/>
      <c r="BC107" s="161"/>
      <c r="BD107" s="161"/>
      <c r="BE107" s="161"/>
      <c r="BF107" s="160" t="str">
        <f t="shared" si="180"/>
        <v/>
      </c>
      <c r="BG107" s="160"/>
      <c r="BH107" s="160"/>
      <c r="BI107" s="160"/>
      <c r="BJ107" s="160"/>
      <c r="BK107" s="160"/>
      <c r="BL107" s="162">
        <f t="shared" si="131"/>
        <v>1</v>
      </c>
      <c r="BM107" s="257"/>
      <c r="BN107" s="163"/>
      <c r="BO107" s="211" t="str">
        <f t="shared" si="132"/>
        <v>סינמטק שדרותסינמטקים ופסטיבלים</v>
      </c>
      <c r="BP107" s="125">
        <f t="shared" si="133"/>
        <v>1</v>
      </c>
      <c r="BQ107" s="164">
        <v>0</v>
      </c>
      <c r="BR107" s="164">
        <v>1</v>
      </c>
      <c r="BS107" s="149">
        <f t="shared" si="134"/>
        <v>1</v>
      </c>
      <c r="BT107" s="149">
        <f t="shared" si="135"/>
        <v>1</v>
      </c>
      <c r="BU107" s="149">
        <f t="shared" si="136"/>
        <v>1</v>
      </c>
      <c r="BV107" s="149">
        <f t="shared" si="137"/>
        <v>1</v>
      </c>
      <c r="BW107" s="149">
        <f t="shared" si="138"/>
        <v>1</v>
      </c>
      <c r="BX107" s="149">
        <f t="shared" si="139"/>
        <v>1</v>
      </c>
      <c r="BY107" s="149">
        <f t="shared" si="140"/>
        <v>1</v>
      </c>
      <c r="BZ107" s="149">
        <f t="shared" si="141"/>
        <v>1</v>
      </c>
      <c r="CA107" s="149">
        <f t="shared" si="142"/>
        <v>1</v>
      </c>
      <c r="CB107" s="149">
        <f t="shared" si="143"/>
        <v>1</v>
      </c>
      <c r="CC107" s="149">
        <f t="shared" si="144"/>
        <v>1</v>
      </c>
      <c r="CD107" s="149">
        <f t="shared" si="145"/>
        <v>1</v>
      </c>
      <c r="CE107" s="149">
        <f t="shared" si="146"/>
        <v>1</v>
      </c>
      <c r="CF107" s="149">
        <f t="shared" si="147"/>
        <v>1</v>
      </c>
      <c r="CG107" s="149">
        <f t="shared" si="148"/>
        <v>1</v>
      </c>
      <c r="CH107" s="149">
        <f t="shared" si="149"/>
        <v>1</v>
      </c>
      <c r="CI107" s="149">
        <f t="shared" si="150"/>
        <v>1</v>
      </c>
      <c r="CJ107" s="149">
        <f t="shared" si="151"/>
        <v>1</v>
      </c>
      <c r="CK107" s="149">
        <f t="shared" si="152"/>
        <v>1</v>
      </c>
      <c r="CL107" s="149">
        <f t="shared" si="153"/>
        <v>1</v>
      </c>
      <c r="CM107" s="149">
        <f t="shared" si="154"/>
        <v>1</v>
      </c>
      <c r="CN107" s="149">
        <f t="shared" si="155"/>
        <v>1</v>
      </c>
      <c r="CO107" s="149">
        <f t="shared" si="156"/>
        <v>1</v>
      </c>
      <c r="CP107" s="149">
        <f t="shared" si="157"/>
        <v>1</v>
      </c>
      <c r="CQ107" s="149">
        <f t="shared" si="158"/>
        <v>1</v>
      </c>
      <c r="CR107" s="149">
        <f t="shared" si="159"/>
        <v>1</v>
      </c>
      <c r="CS107" s="149">
        <f t="shared" si="160"/>
        <v>1</v>
      </c>
      <c r="CT107" s="149">
        <f t="shared" si="161"/>
        <v>1</v>
      </c>
      <c r="CU107" s="149">
        <f t="shared" si="162"/>
        <v>1</v>
      </c>
      <c r="CV107" s="149">
        <f t="shared" si="163"/>
        <v>1</v>
      </c>
      <c r="CW107" s="149">
        <f t="shared" si="164"/>
        <v>1</v>
      </c>
      <c r="CX107" s="149">
        <f t="shared" si="165"/>
        <v>1</v>
      </c>
      <c r="CY107" s="149">
        <f t="shared" si="166"/>
        <v>1</v>
      </c>
      <c r="CZ107" s="149">
        <f t="shared" si="167"/>
        <v>1</v>
      </c>
      <c r="DA107" s="149">
        <f t="shared" si="168"/>
        <v>1</v>
      </c>
      <c r="DB107" s="149">
        <f t="shared" si="169"/>
        <v>1</v>
      </c>
      <c r="DG107" s="125">
        <f t="shared" si="181"/>
        <v>1</v>
      </c>
      <c r="DH107" s="125">
        <f t="shared" si="181"/>
        <v>2</v>
      </c>
      <c r="DI107" s="125">
        <f t="shared" si="181"/>
        <v>3</v>
      </c>
      <c r="DJ107" s="125">
        <f t="shared" si="181"/>
        <v>4</v>
      </c>
      <c r="DK107" s="125">
        <f t="shared" si="181"/>
        <v>5</v>
      </c>
      <c r="DL107" s="125">
        <f t="shared" si="181"/>
        <v>6</v>
      </c>
      <c r="DM107" s="125">
        <f t="shared" si="181"/>
        <v>7</v>
      </c>
      <c r="DN107" s="125">
        <f t="shared" si="181"/>
        <v>8</v>
      </c>
      <c r="DO107" s="125">
        <f t="shared" si="181"/>
        <v>9</v>
      </c>
      <c r="DP107" s="125">
        <f t="shared" si="181"/>
        <v>10</v>
      </c>
      <c r="DS107" s="137"/>
      <c r="DT107" s="137"/>
      <c r="DU107" s="137"/>
      <c r="DV107" s="137" t="b">
        <f t="shared" si="170"/>
        <v>0</v>
      </c>
      <c r="DW107" s="137" t="b">
        <f t="shared" si="171"/>
        <v>0</v>
      </c>
      <c r="DX107" s="137" t="b">
        <f t="shared" si="172"/>
        <v>1</v>
      </c>
      <c r="EB107" s="131">
        <f t="shared" si="182"/>
        <v>1</v>
      </c>
      <c r="EC107" s="137" t="b">
        <f t="shared" si="173"/>
        <v>0</v>
      </c>
      <c r="ED107" s="137" t="b">
        <f t="shared" si="174"/>
        <v>0</v>
      </c>
      <c r="EE107" s="137" t="b">
        <f t="shared" si="175"/>
        <v>1</v>
      </c>
      <c r="EF107" s="137"/>
      <c r="EG107" s="137"/>
      <c r="EH107" s="137"/>
      <c r="EI107" s="137"/>
      <c r="EJ107" s="137">
        <f t="shared" si="183"/>
        <v>1</v>
      </c>
      <c r="EK107" s="125">
        <f t="shared" si="176"/>
        <v>0</v>
      </c>
      <c r="EL107" s="125">
        <f t="shared" si="177"/>
        <v>0</v>
      </c>
    </row>
    <row r="108" spans="2:142" ht="15.75" x14ac:dyDescent="0.2">
      <c r="B108" s="160">
        <f t="shared" si="178"/>
        <v>78</v>
      </c>
      <c r="C108" s="205">
        <v>1001346201</v>
      </c>
      <c r="D108" s="205">
        <v>1001271257</v>
      </c>
      <c r="E108" s="205">
        <v>40002836</v>
      </c>
      <c r="F108" s="118">
        <f>IF(OR(J108="",H108=""),"",VLOOKUP(J108,'הזנה לסיווג רשויות'!$B$2:$D$301,2,0))</f>
        <v>20000244</v>
      </c>
      <c r="G108" s="118" t="str">
        <f>IF(OR(J108="",H108=""),"",VLOOKUP(J108,'הזנה לסיווג רשויות'!$B$2:$D$301,3,0))</f>
        <v>צפת</v>
      </c>
      <c r="H108" s="201" t="s">
        <v>597</v>
      </c>
      <c r="I108" s="201" t="s">
        <v>375</v>
      </c>
      <c r="J108" s="205">
        <v>8000</v>
      </c>
      <c r="K108" s="161">
        <v>0</v>
      </c>
      <c r="L108" s="161">
        <v>1</v>
      </c>
      <c r="M108" s="161">
        <v>0</v>
      </c>
      <c r="N108" s="161">
        <v>0</v>
      </c>
      <c r="O108" s="161">
        <v>1</v>
      </c>
      <c r="P108" s="161">
        <v>1</v>
      </c>
      <c r="Q108" s="161">
        <v>1</v>
      </c>
      <c r="R108" s="201">
        <v>369262</v>
      </c>
      <c r="S108" s="201">
        <v>120892</v>
      </c>
      <c r="T108" s="160">
        <f>IF(G108="","",IFERROR(IF(S108/R108&gt;'פרמטרים לקריטריונים'!$C$20,1,0),0))</f>
        <v>1</v>
      </c>
      <c r="U108" s="201">
        <v>120319</v>
      </c>
      <c r="V108" s="160">
        <f>IF(G108="","",IFERROR(IF(U108/R108&gt;'פרמטרים לקריטריונים'!$C$21,1,IF(AND(I108=$BW$5,U108/R108&gt;'פרמטרים לקריטריונים'!$C$22),1,0)),0))</f>
        <v>1</v>
      </c>
      <c r="W108" s="161">
        <v>1</v>
      </c>
      <c r="X108" s="161">
        <v>1</v>
      </c>
      <c r="Y108" s="201">
        <v>180000</v>
      </c>
      <c r="Z108" s="201">
        <v>125000</v>
      </c>
      <c r="AA108" s="161">
        <f t="shared" si="179"/>
        <v>1</v>
      </c>
      <c r="AB108" s="161"/>
      <c r="AC108" s="161"/>
      <c r="AD108" s="161"/>
      <c r="AE108" s="161"/>
      <c r="AF108" s="161"/>
      <c r="AG108" s="161"/>
      <c r="AH108" s="161"/>
      <c r="AI108" s="161"/>
      <c r="AJ108" s="161"/>
      <c r="AK108" s="161"/>
      <c r="AL108" s="161"/>
      <c r="AM108" s="161"/>
      <c r="AN108" s="161"/>
      <c r="AO108" s="161"/>
      <c r="AP108" s="161"/>
      <c r="AQ108" s="161"/>
      <c r="AR108" s="161"/>
      <c r="AS108" s="161"/>
      <c r="AT108" s="161"/>
      <c r="AU108" s="161"/>
      <c r="AV108" s="161"/>
      <c r="AW108" s="160"/>
      <c r="AX108" s="161"/>
      <c r="AY108" s="161"/>
      <c r="AZ108" s="161"/>
      <c r="BA108" s="161"/>
      <c r="BB108" s="161"/>
      <c r="BC108" s="161"/>
      <c r="BD108" s="161"/>
      <c r="BE108" s="161"/>
      <c r="BF108" s="160" t="str">
        <f t="shared" si="180"/>
        <v/>
      </c>
      <c r="BG108" s="160"/>
      <c r="BH108" s="160"/>
      <c r="BI108" s="160"/>
      <c r="BJ108" s="160"/>
      <c r="BK108" s="160"/>
      <c r="BL108" s="162">
        <f t="shared" si="131"/>
        <v>1</v>
      </c>
      <c r="BM108" s="257"/>
      <c r="BN108" s="163"/>
      <c r="BO108" s="211" t="str">
        <f t="shared" si="132"/>
        <v>בית המאירימוזיאונים</v>
      </c>
      <c r="BP108" s="125">
        <f t="shared" si="133"/>
        <v>1</v>
      </c>
      <c r="BQ108" s="164">
        <v>0</v>
      </c>
      <c r="BR108" s="164">
        <v>1</v>
      </c>
      <c r="BS108" s="149">
        <f t="shared" si="134"/>
        <v>1</v>
      </c>
      <c r="BT108" s="149">
        <f t="shared" si="135"/>
        <v>1</v>
      </c>
      <c r="BU108" s="149">
        <f t="shared" si="136"/>
        <v>1</v>
      </c>
      <c r="BV108" s="149">
        <f t="shared" si="137"/>
        <v>1</v>
      </c>
      <c r="BW108" s="149">
        <f t="shared" si="138"/>
        <v>1</v>
      </c>
      <c r="BX108" s="149">
        <f t="shared" si="139"/>
        <v>1</v>
      </c>
      <c r="BY108" s="149">
        <f t="shared" si="140"/>
        <v>1</v>
      </c>
      <c r="BZ108" s="149">
        <f t="shared" si="141"/>
        <v>1</v>
      </c>
      <c r="CA108" s="149">
        <f t="shared" si="142"/>
        <v>1</v>
      </c>
      <c r="CB108" s="149">
        <f t="shared" si="143"/>
        <v>1</v>
      </c>
      <c r="CC108" s="149">
        <f t="shared" si="144"/>
        <v>1</v>
      </c>
      <c r="CD108" s="149">
        <f t="shared" si="145"/>
        <v>1</v>
      </c>
      <c r="CE108" s="149">
        <f t="shared" si="146"/>
        <v>1</v>
      </c>
      <c r="CF108" s="149">
        <f t="shared" si="147"/>
        <v>1</v>
      </c>
      <c r="CG108" s="149">
        <f t="shared" si="148"/>
        <v>1</v>
      </c>
      <c r="CH108" s="149">
        <f t="shared" si="149"/>
        <v>1</v>
      </c>
      <c r="CI108" s="149">
        <f t="shared" si="150"/>
        <v>1</v>
      </c>
      <c r="CJ108" s="149">
        <f t="shared" si="151"/>
        <v>1</v>
      </c>
      <c r="CK108" s="149">
        <f t="shared" si="152"/>
        <v>1</v>
      </c>
      <c r="CL108" s="149">
        <f t="shared" si="153"/>
        <v>1</v>
      </c>
      <c r="CM108" s="149">
        <f t="shared" si="154"/>
        <v>1</v>
      </c>
      <c r="CN108" s="149">
        <f t="shared" si="155"/>
        <v>1</v>
      </c>
      <c r="CO108" s="149">
        <f t="shared" si="156"/>
        <v>1</v>
      </c>
      <c r="CP108" s="149">
        <f t="shared" si="157"/>
        <v>1</v>
      </c>
      <c r="CQ108" s="149">
        <f t="shared" si="158"/>
        <v>1</v>
      </c>
      <c r="CR108" s="149">
        <f t="shared" si="159"/>
        <v>1</v>
      </c>
      <c r="CS108" s="149">
        <f t="shared" si="160"/>
        <v>1</v>
      </c>
      <c r="CT108" s="149">
        <f t="shared" si="161"/>
        <v>1</v>
      </c>
      <c r="CU108" s="149">
        <f t="shared" si="162"/>
        <v>1</v>
      </c>
      <c r="CV108" s="149">
        <f t="shared" si="163"/>
        <v>1</v>
      </c>
      <c r="CW108" s="149">
        <f t="shared" si="164"/>
        <v>1</v>
      </c>
      <c r="CX108" s="149">
        <f t="shared" si="165"/>
        <v>1</v>
      </c>
      <c r="CY108" s="149">
        <f t="shared" si="166"/>
        <v>1</v>
      </c>
      <c r="CZ108" s="149">
        <f t="shared" si="167"/>
        <v>1</v>
      </c>
      <c r="DA108" s="149">
        <f t="shared" si="168"/>
        <v>1</v>
      </c>
      <c r="DB108" s="149">
        <f t="shared" si="169"/>
        <v>1</v>
      </c>
      <c r="DG108" s="125">
        <f t="shared" si="181"/>
        <v>1</v>
      </c>
      <c r="DH108" s="125">
        <f t="shared" si="181"/>
        <v>2</v>
      </c>
      <c r="DI108" s="125">
        <f t="shared" si="181"/>
        <v>3</v>
      </c>
      <c r="DJ108" s="125">
        <f t="shared" si="181"/>
        <v>4</v>
      </c>
      <c r="DK108" s="125">
        <f t="shared" si="181"/>
        <v>5</v>
      </c>
      <c r="DL108" s="125">
        <f t="shared" si="181"/>
        <v>6</v>
      </c>
      <c r="DM108" s="125">
        <f t="shared" si="181"/>
        <v>7</v>
      </c>
      <c r="DN108" s="125">
        <f t="shared" si="181"/>
        <v>8</v>
      </c>
      <c r="DO108" s="125">
        <f t="shared" si="181"/>
        <v>9</v>
      </c>
      <c r="DP108" s="125">
        <f t="shared" si="181"/>
        <v>10</v>
      </c>
      <c r="DS108" s="137"/>
      <c r="DT108" s="137"/>
      <c r="DU108" s="137"/>
      <c r="DV108" s="137" t="b">
        <f t="shared" si="170"/>
        <v>0</v>
      </c>
      <c r="DW108" s="137" t="b">
        <f t="shared" si="171"/>
        <v>0</v>
      </c>
      <c r="DX108" s="137" t="b">
        <f t="shared" si="172"/>
        <v>1</v>
      </c>
      <c r="EB108" s="131">
        <f t="shared" si="182"/>
        <v>1</v>
      </c>
      <c r="EC108" s="137" t="b">
        <f t="shared" si="173"/>
        <v>0</v>
      </c>
      <c r="ED108" s="137" t="b">
        <f t="shared" si="174"/>
        <v>0</v>
      </c>
      <c r="EE108" s="137" t="b">
        <f t="shared" si="175"/>
        <v>1</v>
      </c>
      <c r="EF108" s="137"/>
      <c r="EG108" s="137"/>
      <c r="EH108" s="137"/>
      <c r="EI108" s="137"/>
      <c r="EJ108" s="137">
        <f t="shared" si="183"/>
        <v>1</v>
      </c>
      <c r="EK108" s="125">
        <f t="shared" si="176"/>
        <v>0</v>
      </c>
      <c r="EL108" s="125">
        <f t="shared" si="177"/>
        <v>0</v>
      </c>
    </row>
    <row r="109" spans="2:142" ht="15.75" x14ac:dyDescent="0.2">
      <c r="B109" s="160">
        <f t="shared" si="178"/>
        <v>79</v>
      </c>
      <c r="C109" s="205">
        <v>1001350540</v>
      </c>
      <c r="D109" s="205">
        <v>1001274933</v>
      </c>
      <c r="E109" s="205">
        <v>40000481</v>
      </c>
      <c r="F109" s="118">
        <f>IF(OR(J109="",H109=""),"",VLOOKUP(J109,'הזנה לסיווג רשויות'!$B$2:$D$301,2,0))</f>
        <v>20000159</v>
      </c>
      <c r="G109" s="118" t="str">
        <f>IF(OR(J109="",H109=""),"",VLOOKUP(J109,'הזנה לסיווג רשויות'!$B$2:$D$301,3,0))</f>
        <v>ירושלים</v>
      </c>
      <c r="H109" s="201" t="s">
        <v>598</v>
      </c>
      <c r="I109" s="201" t="s">
        <v>376</v>
      </c>
      <c r="J109" s="205">
        <v>3000</v>
      </c>
      <c r="K109" s="161">
        <v>0</v>
      </c>
      <c r="L109" s="161">
        <v>1</v>
      </c>
      <c r="M109" s="161">
        <v>0</v>
      </c>
      <c r="N109" s="161">
        <v>1</v>
      </c>
      <c r="O109" s="161">
        <v>1</v>
      </c>
      <c r="P109" s="161">
        <v>1</v>
      </c>
      <c r="Q109" s="161">
        <v>1</v>
      </c>
      <c r="R109" s="201">
        <v>11327730</v>
      </c>
      <c r="S109" s="201">
        <v>2968587</v>
      </c>
      <c r="T109" s="160">
        <f>IF(G109="","",IFERROR(IF(S109/R109&gt;'פרמטרים לקריטריונים'!$C$20,1,0),0))</f>
        <v>1</v>
      </c>
      <c r="U109" s="201">
        <v>2603354</v>
      </c>
      <c r="V109" s="160">
        <f>IF(G109="","",IFERROR(IF(U109/R109&gt;'פרמטרים לקריטריונים'!$C$21,1,IF(AND(I109=$BW$5,U109/R109&gt;'פרמטרים לקריטריונים'!$C$22),1,0)),0))</f>
        <v>1</v>
      </c>
      <c r="W109" s="161">
        <v>1</v>
      </c>
      <c r="X109" s="161">
        <v>1</v>
      </c>
      <c r="Y109" s="201">
        <v>4000000</v>
      </c>
      <c r="Z109" s="201">
        <v>50000</v>
      </c>
      <c r="AA109" s="161">
        <f t="shared" si="179"/>
        <v>1</v>
      </c>
      <c r="AB109" s="161"/>
      <c r="AC109" s="161"/>
      <c r="AD109" s="161"/>
      <c r="AE109" s="161"/>
      <c r="AF109" s="161"/>
      <c r="AG109" s="161"/>
      <c r="AH109" s="161"/>
      <c r="AI109" s="161"/>
      <c r="AJ109" s="161"/>
      <c r="AK109" s="161"/>
      <c r="AL109" s="161"/>
      <c r="AM109" s="161"/>
      <c r="AN109" s="161"/>
      <c r="AO109" s="161"/>
      <c r="AP109" s="161"/>
      <c r="AQ109" s="161"/>
      <c r="AR109" s="161"/>
      <c r="AS109" s="161"/>
      <c r="AT109" s="161"/>
      <c r="AU109" s="161"/>
      <c r="AV109" s="161"/>
      <c r="AW109" s="160"/>
      <c r="AX109" s="161"/>
      <c r="AY109" s="161"/>
      <c r="AZ109" s="161"/>
      <c r="BA109" s="161"/>
      <c r="BB109" s="161"/>
      <c r="BC109" s="161"/>
      <c r="BD109" s="161"/>
      <c r="BE109" s="161"/>
      <c r="BF109" s="160" t="str">
        <f t="shared" si="180"/>
        <v/>
      </c>
      <c r="BG109" s="160"/>
      <c r="BH109" s="160"/>
      <c r="BI109" s="160"/>
      <c r="BJ109" s="160"/>
      <c r="BK109" s="160"/>
      <c r="BL109" s="162">
        <f t="shared" si="131"/>
        <v>1</v>
      </c>
      <c r="BM109" s="257"/>
      <c r="BN109" s="163"/>
      <c r="BO109" s="211" t="str">
        <f t="shared" si="132"/>
        <v>התזמורת הסימפונית ירושליםמוסיקה-גופים כליים</v>
      </c>
      <c r="BP109" s="125">
        <f t="shared" si="133"/>
        <v>1</v>
      </c>
      <c r="BQ109" s="164">
        <v>0</v>
      </c>
      <c r="BR109" s="164">
        <v>1</v>
      </c>
      <c r="BS109" s="149">
        <f t="shared" si="134"/>
        <v>1</v>
      </c>
      <c r="BT109" s="149">
        <f t="shared" si="135"/>
        <v>1</v>
      </c>
      <c r="BU109" s="149">
        <f t="shared" si="136"/>
        <v>1</v>
      </c>
      <c r="BV109" s="149">
        <f t="shared" si="137"/>
        <v>1</v>
      </c>
      <c r="BW109" s="149">
        <f t="shared" si="138"/>
        <v>1</v>
      </c>
      <c r="BX109" s="149">
        <f t="shared" si="139"/>
        <v>1</v>
      </c>
      <c r="BY109" s="149">
        <f t="shared" si="140"/>
        <v>1</v>
      </c>
      <c r="BZ109" s="149">
        <f t="shared" si="141"/>
        <v>1</v>
      </c>
      <c r="CA109" s="149">
        <f t="shared" si="142"/>
        <v>1</v>
      </c>
      <c r="CB109" s="149">
        <f t="shared" si="143"/>
        <v>1</v>
      </c>
      <c r="CC109" s="149">
        <f t="shared" si="144"/>
        <v>1</v>
      </c>
      <c r="CD109" s="149">
        <f t="shared" si="145"/>
        <v>1</v>
      </c>
      <c r="CE109" s="149">
        <f t="shared" si="146"/>
        <v>1</v>
      </c>
      <c r="CF109" s="149">
        <f t="shared" si="147"/>
        <v>1</v>
      </c>
      <c r="CG109" s="149">
        <f t="shared" si="148"/>
        <v>1</v>
      </c>
      <c r="CH109" s="149">
        <f t="shared" si="149"/>
        <v>1</v>
      </c>
      <c r="CI109" s="149">
        <f t="shared" si="150"/>
        <v>1</v>
      </c>
      <c r="CJ109" s="149">
        <f t="shared" si="151"/>
        <v>1</v>
      </c>
      <c r="CK109" s="149">
        <f t="shared" si="152"/>
        <v>1</v>
      </c>
      <c r="CL109" s="149">
        <f t="shared" si="153"/>
        <v>1</v>
      </c>
      <c r="CM109" s="149">
        <f t="shared" si="154"/>
        <v>1</v>
      </c>
      <c r="CN109" s="149">
        <f t="shared" si="155"/>
        <v>1</v>
      </c>
      <c r="CO109" s="149">
        <f t="shared" si="156"/>
        <v>1</v>
      </c>
      <c r="CP109" s="149">
        <f t="shared" si="157"/>
        <v>1</v>
      </c>
      <c r="CQ109" s="149">
        <f t="shared" si="158"/>
        <v>1</v>
      </c>
      <c r="CR109" s="149">
        <f t="shared" si="159"/>
        <v>1</v>
      </c>
      <c r="CS109" s="149">
        <f t="shared" si="160"/>
        <v>1</v>
      </c>
      <c r="CT109" s="149">
        <f t="shared" si="161"/>
        <v>1</v>
      </c>
      <c r="CU109" s="149">
        <f t="shared" si="162"/>
        <v>1</v>
      </c>
      <c r="CV109" s="149">
        <f t="shared" si="163"/>
        <v>1</v>
      </c>
      <c r="CW109" s="149">
        <f t="shared" si="164"/>
        <v>1</v>
      </c>
      <c r="CX109" s="149">
        <f t="shared" si="165"/>
        <v>1</v>
      </c>
      <c r="CY109" s="149">
        <f t="shared" si="166"/>
        <v>1</v>
      </c>
      <c r="CZ109" s="149">
        <f t="shared" si="167"/>
        <v>1</v>
      </c>
      <c r="DA109" s="149">
        <f t="shared" si="168"/>
        <v>1</v>
      </c>
      <c r="DB109" s="149">
        <f t="shared" si="169"/>
        <v>1</v>
      </c>
      <c r="DG109" s="125">
        <f t="shared" si="181"/>
        <v>1</v>
      </c>
      <c r="DH109" s="125">
        <f t="shared" si="181"/>
        <v>2</v>
      </c>
      <c r="DI109" s="125">
        <f t="shared" si="181"/>
        <v>3</v>
      </c>
      <c r="DJ109" s="125">
        <f t="shared" si="181"/>
        <v>4</v>
      </c>
      <c r="DK109" s="125">
        <f t="shared" si="181"/>
        <v>5</v>
      </c>
      <c r="DL109" s="125">
        <f t="shared" si="181"/>
        <v>6</v>
      </c>
      <c r="DM109" s="125">
        <f t="shared" si="181"/>
        <v>7</v>
      </c>
      <c r="DN109" s="125">
        <f t="shared" si="181"/>
        <v>8</v>
      </c>
      <c r="DO109" s="125">
        <f t="shared" si="181"/>
        <v>9</v>
      </c>
      <c r="DP109" s="125">
        <f t="shared" si="181"/>
        <v>10</v>
      </c>
      <c r="DS109" s="137"/>
      <c r="DT109" s="137"/>
      <c r="DU109" s="137"/>
      <c r="DV109" s="137" t="b">
        <f t="shared" si="170"/>
        <v>0</v>
      </c>
      <c r="DW109" s="137" t="b">
        <f t="shared" si="171"/>
        <v>0</v>
      </c>
      <c r="DX109" s="137" t="b">
        <f t="shared" si="172"/>
        <v>1</v>
      </c>
      <c r="EB109" s="131">
        <f t="shared" si="182"/>
        <v>1</v>
      </c>
      <c r="EC109" s="137" t="b">
        <f t="shared" si="173"/>
        <v>0</v>
      </c>
      <c r="ED109" s="137" t="b">
        <f t="shared" si="174"/>
        <v>0</v>
      </c>
      <c r="EE109" s="137" t="b">
        <f t="shared" si="175"/>
        <v>1</v>
      </c>
      <c r="EF109" s="137"/>
      <c r="EG109" s="137"/>
      <c r="EH109" s="137"/>
      <c r="EI109" s="137"/>
      <c r="EJ109" s="137">
        <f t="shared" si="183"/>
        <v>1</v>
      </c>
      <c r="EK109" s="125">
        <f t="shared" si="176"/>
        <v>0</v>
      </c>
      <c r="EL109" s="125">
        <f t="shared" si="177"/>
        <v>0</v>
      </c>
    </row>
    <row r="110" spans="2:142" ht="15.75" x14ac:dyDescent="0.25">
      <c r="B110" s="160">
        <f t="shared" si="178"/>
        <v>80</v>
      </c>
      <c r="C110" s="205">
        <v>1001351066</v>
      </c>
      <c r="D110" s="205">
        <v>1001274404</v>
      </c>
      <c r="E110" s="205">
        <v>40216097</v>
      </c>
      <c r="F110" s="118">
        <f>IF(OR(J110="",H110=""),"",VLOOKUP(J110,'הזנה לסיווג רשויות'!$B$2:$D$301,2,0))</f>
        <v>20000201</v>
      </c>
      <c r="G110" s="118" t="str">
        <f>IF(OR(J110="",H110=""),"",VLOOKUP(J110,'הזנה לסיווג רשויות'!$B$2:$D$301,3,0))</f>
        <v>תל אביב -יפו</v>
      </c>
      <c r="H110" s="281" t="s">
        <v>599</v>
      </c>
      <c r="I110" s="201" t="s">
        <v>380</v>
      </c>
      <c r="J110" s="205">
        <v>5000</v>
      </c>
      <c r="K110" s="161">
        <v>0</v>
      </c>
      <c r="L110" s="161">
        <v>1</v>
      </c>
      <c r="M110" s="161">
        <v>0</v>
      </c>
      <c r="N110" s="161">
        <v>1</v>
      </c>
      <c r="O110" s="161">
        <v>1</v>
      </c>
      <c r="P110" s="161">
        <v>1</v>
      </c>
      <c r="Q110" s="161">
        <v>1</v>
      </c>
      <c r="R110" s="201">
        <v>1221158</v>
      </c>
      <c r="S110" s="201">
        <v>487346</v>
      </c>
      <c r="T110" s="160">
        <f>IF(G110="","",IFERROR(IF(S110/R110&gt;'פרמטרים לקריטריונים'!$C$20,1,0),0))</f>
        <v>1</v>
      </c>
      <c r="U110" s="201">
        <v>417986</v>
      </c>
      <c r="V110" s="160">
        <f>IF(G110="","",IFERROR(IF(U110/R110&gt;'פרמטרים לקריטריונים'!$C$21,1,IF(AND(I110=$BW$5,U110/R110&gt;'פרמטרים לקריטריונים'!$C$22),1,0)),0))</f>
        <v>1</v>
      </c>
      <c r="W110" s="161">
        <v>1</v>
      </c>
      <c r="X110" s="161">
        <v>1</v>
      </c>
      <c r="Y110" s="201">
        <v>200000</v>
      </c>
      <c r="Z110" s="201">
        <v>200000</v>
      </c>
      <c r="AA110" s="161">
        <f t="shared" si="179"/>
        <v>1</v>
      </c>
      <c r="AB110" s="161"/>
      <c r="AC110" s="161"/>
      <c r="AD110" s="161"/>
      <c r="AE110" s="161"/>
      <c r="AF110" s="161"/>
      <c r="AG110" s="161"/>
      <c r="AH110" s="161"/>
      <c r="AI110" s="161"/>
      <c r="AJ110" s="161"/>
      <c r="AK110" s="161"/>
      <c r="AL110" s="161"/>
      <c r="AM110" s="161"/>
      <c r="AN110" s="161"/>
      <c r="AO110" s="161"/>
      <c r="AP110" s="161"/>
      <c r="AQ110" s="161"/>
      <c r="AR110" s="161"/>
      <c r="AS110" s="161"/>
      <c r="AT110" s="161"/>
      <c r="AU110" s="161"/>
      <c r="AV110" s="161"/>
      <c r="AW110" s="160"/>
      <c r="AX110" s="161"/>
      <c r="AY110" s="161"/>
      <c r="AZ110" s="161"/>
      <c r="BA110" s="161"/>
      <c r="BB110" s="161"/>
      <c r="BC110" s="161"/>
      <c r="BD110" s="161"/>
      <c r="BE110" s="161"/>
      <c r="BF110" s="160" t="str">
        <f t="shared" si="180"/>
        <v/>
      </c>
      <c r="BG110" s="160"/>
      <c r="BH110" s="160"/>
      <c r="BI110" s="160"/>
      <c r="BJ110" s="160"/>
      <c r="BK110" s="160"/>
      <c r="BL110" s="162">
        <f t="shared" si="131"/>
        <v>1</v>
      </c>
      <c r="BM110" s="257"/>
      <c r="BN110" s="163"/>
      <c r="BO110" s="211" t="str">
        <f t="shared" si="132"/>
        <v>אנסמבל סולני ת"אקבוצות מוסיקה</v>
      </c>
      <c r="BP110" s="125">
        <f t="shared" si="133"/>
        <v>1</v>
      </c>
      <c r="BQ110" s="164">
        <v>0</v>
      </c>
      <c r="BR110" s="164">
        <v>1</v>
      </c>
      <c r="BS110" s="149">
        <f t="shared" si="134"/>
        <v>1</v>
      </c>
      <c r="BT110" s="149">
        <f t="shared" si="135"/>
        <v>1</v>
      </c>
      <c r="BU110" s="149">
        <f t="shared" si="136"/>
        <v>1</v>
      </c>
      <c r="BV110" s="149">
        <f t="shared" si="137"/>
        <v>1</v>
      </c>
      <c r="BW110" s="149">
        <f t="shared" si="138"/>
        <v>1</v>
      </c>
      <c r="BX110" s="149">
        <f t="shared" si="139"/>
        <v>1</v>
      </c>
      <c r="BY110" s="149">
        <f t="shared" si="140"/>
        <v>1</v>
      </c>
      <c r="BZ110" s="149">
        <f t="shared" si="141"/>
        <v>1</v>
      </c>
      <c r="CA110" s="149">
        <f t="shared" si="142"/>
        <v>1</v>
      </c>
      <c r="CB110" s="149">
        <f t="shared" si="143"/>
        <v>1</v>
      </c>
      <c r="CC110" s="149">
        <f t="shared" si="144"/>
        <v>1</v>
      </c>
      <c r="CD110" s="149">
        <f t="shared" si="145"/>
        <v>1</v>
      </c>
      <c r="CE110" s="149">
        <f t="shared" si="146"/>
        <v>1</v>
      </c>
      <c r="CF110" s="149">
        <f t="shared" si="147"/>
        <v>1</v>
      </c>
      <c r="CG110" s="149">
        <f t="shared" si="148"/>
        <v>1</v>
      </c>
      <c r="CH110" s="149">
        <f t="shared" si="149"/>
        <v>1</v>
      </c>
      <c r="CI110" s="149">
        <f t="shared" si="150"/>
        <v>1</v>
      </c>
      <c r="CJ110" s="149">
        <f t="shared" si="151"/>
        <v>1</v>
      </c>
      <c r="CK110" s="149">
        <f t="shared" si="152"/>
        <v>1</v>
      </c>
      <c r="CL110" s="149">
        <f t="shared" si="153"/>
        <v>1</v>
      </c>
      <c r="CM110" s="149">
        <f t="shared" si="154"/>
        <v>1</v>
      </c>
      <c r="CN110" s="149">
        <f t="shared" si="155"/>
        <v>1</v>
      </c>
      <c r="CO110" s="149">
        <f t="shared" si="156"/>
        <v>1</v>
      </c>
      <c r="CP110" s="149">
        <f t="shared" si="157"/>
        <v>1</v>
      </c>
      <c r="CQ110" s="149">
        <f t="shared" si="158"/>
        <v>1</v>
      </c>
      <c r="CR110" s="149">
        <f t="shared" si="159"/>
        <v>1</v>
      </c>
      <c r="CS110" s="149">
        <f t="shared" si="160"/>
        <v>1</v>
      </c>
      <c r="CT110" s="149">
        <f t="shared" si="161"/>
        <v>1</v>
      </c>
      <c r="CU110" s="149">
        <f t="shared" si="162"/>
        <v>1</v>
      </c>
      <c r="CV110" s="149">
        <f t="shared" si="163"/>
        <v>1</v>
      </c>
      <c r="CW110" s="149">
        <f t="shared" si="164"/>
        <v>1</v>
      </c>
      <c r="CX110" s="149">
        <f t="shared" si="165"/>
        <v>1</v>
      </c>
      <c r="CY110" s="149">
        <f t="shared" si="166"/>
        <v>1</v>
      </c>
      <c r="CZ110" s="149">
        <f t="shared" si="167"/>
        <v>1</v>
      </c>
      <c r="DA110" s="149">
        <f t="shared" si="168"/>
        <v>1</v>
      </c>
      <c r="DB110" s="149">
        <f t="shared" si="169"/>
        <v>1</v>
      </c>
      <c r="DG110" s="125">
        <f t="shared" si="181"/>
        <v>1</v>
      </c>
      <c r="DH110" s="125">
        <f t="shared" si="181"/>
        <v>2</v>
      </c>
      <c r="DI110" s="125">
        <f t="shared" si="181"/>
        <v>3</v>
      </c>
      <c r="DJ110" s="125">
        <f t="shared" si="181"/>
        <v>4</v>
      </c>
      <c r="DK110" s="125">
        <f t="shared" si="181"/>
        <v>5</v>
      </c>
      <c r="DL110" s="125">
        <f t="shared" si="181"/>
        <v>6</v>
      </c>
      <c r="DM110" s="125">
        <f t="shared" si="181"/>
        <v>7</v>
      </c>
      <c r="DN110" s="125">
        <f t="shared" si="181"/>
        <v>8</v>
      </c>
      <c r="DO110" s="125">
        <f t="shared" si="181"/>
        <v>9</v>
      </c>
      <c r="DP110" s="125">
        <f t="shared" si="181"/>
        <v>10</v>
      </c>
      <c r="DS110" s="137"/>
      <c r="DT110" s="137"/>
      <c r="DU110" s="137"/>
      <c r="DV110" s="137" t="b">
        <f t="shared" si="170"/>
        <v>0</v>
      </c>
      <c r="DW110" s="137" t="b">
        <f t="shared" si="171"/>
        <v>0</v>
      </c>
      <c r="DX110" s="137" t="b">
        <f t="shared" si="172"/>
        <v>1</v>
      </c>
      <c r="EB110" s="131">
        <f t="shared" si="182"/>
        <v>1</v>
      </c>
      <c r="EC110" s="137" t="b">
        <f t="shared" si="173"/>
        <v>0</v>
      </c>
      <c r="ED110" s="137" t="b">
        <f t="shared" si="174"/>
        <v>0</v>
      </c>
      <c r="EE110" s="137" t="b">
        <f t="shared" si="175"/>
        <v>1</v>
      </c>
      <c r="EF110" s="137"/>
      <c r="EG110" s="137"/>
      <c r="EH110" s="137"/>
      <c r="EI110" s="137"/>
      <c r="EJ110" s="137">
        <f t="shared" si="183"/>
        <v>1</v>
      </c>
      <c r="EK110" s="125">
        <f t="shared" si="176"/>
        <v>0</v>
      </c>
      <c r="EL110" s="125">
        <f t="shared" si="177"/>
        <v>0</v>
      </c>
    </row>
    <row r="111" spans="2:142" ht="15.75" x14ac:dyDescent="0.2">
      <c r="B111" s="160">
        <f t="shared" si="178"/>
        <v>81</v>
      </c>
      <c r="C111" s="205">
        <v>1001348972</v>
      </c>
      <c r="D111" s="205">
        <v>1001288922</v>
      </c>
      <c r="E111" s="205">
        <v>40216100</v>
      </c>
      <c r="F111" s="118">
        <f>IF(OR(J111="",H111=""),"",VLOOKUP(J111,'הזנה לסיווג רשויות'!$B$2:$D$301,2,0))</f>
        <v>20000201</v>
      </c>
      <c r="G111" s="118" t="str">
        <f>IF(OR(J111="",H111=""),"",VLOOKUP(J111,'הזנה לסיווג רשויות'!$B$2:$D$301,3,0))</f>
        <v>תל אביב -יפו</v>
      </c>
      <c r="H111" s="201" t="s">
        <v>600</v>
      </c>
      <c r="I111" s="201" t="s">
        <v>377</v>
      </c>
      <c r="J111" s="205">
        <v>5000</v>
      </c>
      <c r="K111" s="161">
        <v>0</v>
      </c>
      <c r="L111" s="161">
        <v>1</v>
      </c>
      <c r="M111" s="161">
        <v>0</v>
      </c>
      <c r="N111" s="161">
        <v>1</v>
      </c>
      <c r="O111" s="161">
        <v>1</v>
      </c>
      <c r="P111" s="161">
        <v>1</v>
      </c>
      <c r="Q111" s="161">
        <v>1</v>
      </c>
      <c r="R111" s="201">
        <v>1860910</v>
      </c>
      <c r="S111" s="201">
        <v>1115793</v>
      </c>
      <c r="T111" s="160">
        <f>IF(G111="","",IFERROR(IF(S111/R111&gt;'פרמטרים לקריטריונים'!$C$20,1,0),0))</f>
        <v>1</v>
      </c>
      <c r="U111" s="201">
        <v>617612</v>
      </c>
      <c r="V111" s="160">
        <f>IF(G111="","",IFERROR(IF(U111/R111&gt;'פרמטרים לקריטריונים'!$C$21,1,IF(AND(I111=$BW$5,U111/R111&gt;'פרמטרים לקריטריונים'!$C$22),1,0)),0))</f>
        <v>1</v>
      </c>
      <c r="W111" s="161">
        <v>1</v>
      </c>
      <c r="X111" s="161">
        <v>1</v>
      </c>
      <c r="Y111" s="201">
        <v>90000</v>
      </c>
      <c r="Z111" s="201">
        <v>90000</v>
      </c>
      <c r="AA111" s="161">
        <f t="shared" si="179"/>
        <v>1</v>
      </c>
      <c r="AB111" s="161"/>
      <c r="AC111" s="161"/>
      <c r="AD111" s="161"/>
      <c r="AE111" s="161"/>
      <c r="AF111" s="161"/>
      <c r="AG111" s="161"/>
      <c r="AH111" s="161"/>
      <c r="AI111" s="161"/>
      <c r="AJ111" s="161"/>
      <c r="AK111" s="161"/>
      <c r="AL111" s="161"/>
      <c r="AM111" s="161"/>
      <c r="AN111" s="161"/>
      <c r="AO111" s="161"/>
      <c r="AP111" s="161"/>
      <c r="AQ111" s="161"/>
      <c r="AR111" s="161"/>
      <c r="AS111" s="161"/>
      <c r="AT111" s="161"/>
      <c r="AU111" s="161"/>
      <c r="AV111" s="161"/>
      <c r="AW111" s="160"/>
      <c r="AX111" s="161"/>
      <c r="AY111" s="161"/>
      <c r="AZ111" s="161"/>
      <c r="BA111" s="161"/>
      <c r="BB111" s="161"/>
      <c r="BC111" s="161"/>
      <c r="BD111" s="161"/>
      <c r="BE111" s="161"/>
      <c r="BF111" s="160" t="str">
        <f t="shared" si="180"/>
        <v/>
      </c>
      <c r="BG111" s="160"/>
      <c r="BH111" s="160"/>
      <c r="BI111" s="160"/>
      <c r="BJ111" s="160"/>
      <c r="BK111" s="160"/>
      <c r="BL111" s="162">
        <f t="shared" si="131"/>
        <v>1</v>
      </c>
      <c r="BM111" s="257"/>
      <c r="BN111" s="163"/>
      <c r="BO111" s="211" t="str">
        <f t="shared" si="132"/>
        <v>אורתו-דהקבוצות תיאטרון</v>
      </c>
      <c r="BP111" s="125">
        <f t="shared" si="133"/>
        <v>1</v>
      </c>
      <c r="BQ111" s="164">
        <v>0</v>
      </c>
      <c r="BR111" s="164">
        <v>1</v>
      </c>
      <c r="BS111" s="149">
        <f t="shared" si="134"/>
        <v>1</v>
      </c>
      <c r="BT111" s="149">
        <f t="shared" si="135"/>
        <v>1</v>
      </c>
      <c r="BU111" s="149">
        <f t="shared" si="136"/>
        <v>1</v>
      </c>
      <c r="BV111" s="149">
        <f t="shared" si="137"/>
        <v>1</v>
      </c>
      <c r="BW111" s="149">
        <f t="shared" si="138"/>
        <v>1</v>
      </c>
      <c r="BX111" s="149">
        <f t="shared" si="139"/>
        <v>1</v>
      </c>
      <c r="BY111" s="149">
        <f t="shared" si="140"/>
        <v>1</v>
      </c>
      <c r="BZ111" s="149">
        <f t="shared" si="141"/>
        <v>1</v>
      </c>
      <c r="CA111" s="149">
        <f t="shared" si="142"/>
        <v>1</v>
      </c>
      <c r="CB111" s="149">
        <f t="shared" si="143"/>
        <v>1</v>
      </c>
      <c r="CC111" s="149">
        <f t="shared" si="144"/>
        <v>1</v>
      </c>
      <c r="CD111" s="149">
        <f t="shared" si="145"/>
        <v>1</v>
      </c>
      <c r="CE111" s="149">
        <f t="shared" si="146"/>
        <v>1</v>
      </c>
      <c r="CF111" s="149">
        <f t="shared" si="147"/>
        <v>1</v>
      </c>
      <c r="CG111" s="149">
        <f t="shared" si="148"/>
        <v>1</v>
      </c>
      <c r="CH111" s="149">
        <f t="shared" si="149"/>
        <v>1</v>
      </c>
      <c r="CI111" s="149">
        <f t="shared" si="150"/>
        <v>1</v>
      </c>
      <c r="CJ111" s="149">
        <f t="shared" si="151"/>
        <v>1</v>
      </c>
      <c r="CK111" s="149">
        <f t="shared" si="152"/>
        <v>1</v>
      </c>
      <c r="CL111" s="149">
        <f t="shared" si="153"/>
        <v>1</v>
      </c>
      <c r="CM111" s="149">
        <f t="shared" si="154"/>
        <v>1</v>
      </c>
      <c r="CN111" s="149">
        <f t="shared" si="155"/>
        <v>1</v>
      </c>
      <c r="CO111" s="149">
        <f t="shared" si="156"/>
        <v>1</v>
      </c>
      <c r="CP111" s="149">
        <f t="shared" si="157"/>
        <v>1</v>
      </c>
      <c r="CQ111" s="149">
        <f t="shared" si="158"/>
        <v>1</v>
      </c>
      <c r="CR111" s="149">
        <f t="shared" si="159"/>
        <v>1</v>
      </c>
      <c r="CS111" s="149">
        <f t="shared" si="160"/>
        <v>1</v>
      </c>
      <c r="CT111" s="149">
        <f t="shared" si="161"/>
        <v>1</v>
      </c>
      <c r="CU111" s="149">
        <f t="shared" si="162"/>
        <v>1</v>
      </c>
      <c r="CV111" s="149">
        <f t="shared" si="163"/>
        <v>1</v>
      </c>
      <c r="CW111" s="149">
        <f t="shared" si="164"/>
        <v>1</v>
      </c>
      <c r="CX111" s="149">
        <f t="shared" si="165"/>
        <v>1</v>
      </c>
      <c r="CY111" s="149">
        <f t="shared" si="166"/>
        <v>1</v>
      </c>
      <c r="CZ111" s="149">
        <f t="shared" si="167"/>
        <v>1</v>
      </c>
      <c r="DA111" s="149">
        <f t="shared" si="168"/>
        <v>1</v>
      </c>
      <c r="DB111" s="149">
        <f t="shared" si="169"/>
        <v>1</v>
      </c>
      <c r="DG111" s="125">
        <f t="shared" si="181"/>
        <v>1</v>
      </c>
      <c r="DH111" s="125">
        <f t="shared" si="181"/>
        <v>2</v>
      </c>
      <c r="DI111" s="125">
        <f t="shared" si="181"/>
        <v>3</v>
      </c>
      <c r="DJ111" s="125">
        <f t="shared" si="181"/>
        <v>4</v>
      </c>
      <c r="DK111" s="125">
        <f t="shared" si="181"/>
        <v>5</v>
      </c>
      <c r="DL111" s="125">
        <f t="shared" si="181"/>
        <v>6</v>
      </c>
      <c r="DM111" s="125">
        <f t="shared" si="181"/>
        <v>7</v>
      </c>
      <c r="DN111" s="125">
        <f t="shared" si="181"/>
        <v>8</v>
      </c>
      <c r="DO111" s="125">
        <f t="shared" si="181"/>
        <v>9</v>
      </c>
      <c r="DP111" s="125">
        <f t="shared" si="181"/>
        <v>10</v>
      </c>
      <c r="DS111" s="137"/>
      <c r="DT111" s="137"/>
      <c r="DU111" s="137"/>
      <c r="DV111" s="137" t="b">
        <f t="shared" si="170"/>
        <v>0</v>
      </c>
      <c r="DW111" s="137" t="b">
        <f t="shared" si="171"/>
        <v>0</v>
      </c>
      <c r="DX111" s="137" t="b">
        <f t="shared" si="172"/>
        <v>1</v>
      </c>
      <c r="EB111" s="131">
        <f t="shared" si="182"/>
        <v>1</v>
      </c>
      <c r="EC111" s="137" t="b">
        <f t="shared" si="173"/>
        <v>0</v>
      </c>
      <c r="ED111" s="137" t="b">
        <f t="shared" si="174"/>
        <v>0</v>
      </c>
      <c r="EE111" s="137" t="b">
        <f t="shared" si="175"/>
        <v>1</v>
      </c>
      <c r="EF111" s="137"/>
      <c r="EG111" s="137"/>
      <c r="EH111" s="137"/>
      <c r="EI111" s="137"/>
      <c r="EJ111" s="137">
        <f t="shared" si="183"/>
        <v>1</v>
      </c>
      <c r="EK111" s="125">
        <f t="shared" si="176"/>
        <v>0</v>
      </c>
      <c r="EL111" s="125">
        <f t="shared" si="177"/>
        <v>0</v>
      </c>
    </row>
    <row r="112" spans="2:142" ht="15.75" x14ac:dyDescent="0.25">
      <c r="B112" s="160">
        <f t="shared" si="178"/>
        <v>82</v>
      </c>
      <c r="C112" s="205">
        <v>1001347046</v>
      </c>
      <c r="D112" s="205">
        <v>1001277747</v>
      </c>
      <c r="E112" s="205">
        <v>40216106</v>
      </c>
      <c r="F112" s="118">
        <f>IF(OR(J112="",H112=""),"",VLOOKUP(J112,'הזנה לסיווג רשויות'!$B$2:$D$301,2,0))</f>
        <v>20000201</v>
      </c>
      <c r="G112" s="118" t="str">
        <f>IF(OR(J112="",H112=""),"",VLOOKUP(J112,'הזנה לסיווג רשויות'!$B$2:$D$301,3,0))</f>
        <v>תל אביב -יפו</v>
      </c>
      <c r="H112" s="281" t="s">
        <v>601</v>
      </c>
      <c r="I112" s="201" t="s">
        <v>374</v>
      </c>
      <c r="J112" s="205">
        <v>5000</v>
      </c>
      <c r="K112" s="161">
        <v>0</v>
      </c>
      <c r="L112" s="161">
        <v>1</v>
      </c>
      <c r="M112" s="161">
        <v>0</v>
      </c>
      <c r="N112" s="161">
        <v>1</v>
      </c>
      <c r="O112" s="161">
        <v>1</v>
      </c>
      <c r="P112" s="161">
        <v>1</v>
      </c>
      <c r="Q112" s="161">
        <v>1</v>
      </c>
      <c r="R112" s="201">
        <v>1702838</v>
      </c>
      <c r="S112" s="201">
        <v>1029515</v>
      </c>
      <c r="T112" s="160">
        <f>IF(G112="","",IFERROR(IF(S112/R112&gt;'פרמטרים לקריטריונים'!$C$20,1,0),0))</f>
        <v>1</v>
      </c>
      <c r="U112" s="201">
        <v>1003494</v>
      </c>
      <c r="V112" s="160">
        <f>IF(G112="","",IFERROR(IF(U112/R112&gt;'פרמטרים לקריטריונים'!$C$21,1,IF(AND(I112=$BW$5,U112/R112&gt;'פרמטרים לקריטריונים'!$C$22),1,0)),0))</f>
        <v>1</v>
      </c>
      <c r="W112" s="161">
        <v>1</v>
      </c>
      <c r="X112" s="161">
        <v>1</v>
      </c>
      <c r="Y112" s="201">
        <v>1500000</v>
      </c>
      <c r="Z112" s="201">
        <v>500000</v>
      </c>
      <c r="AA112" s="161">
        <f t="shared" si="179"/>
        <v>1</v>
      </c>
      <c r="AB112" s="161"/>
      <c r="AC112" s="161"/>
      <c r="AD112" s="161"/>
      <c r="AE112" s="161"/>
      <c r="AF112" s="161"/>
      <c r="AG112" s="161"/>
      <c r="AH112" s="161"/>
      <c r="AI112" s="161"/>
      <c r="AJ112" s="161"/>
      <c r="AK112" s="161"/>
      <c r="AL112" s="161"/>
      <c r="AM112" s="161"/>
      <c r="AN112" s="161"/>
      <c r="AO112" s="161"/>
      <c r="AP112" s="161"/>
      <c r="AQ112" s="161"/>
      <c r="AR112" s="161"/>
      <c r="AS112" s="161"/>
      <c r="AT112" s="161"/>
      <c r="AU112" s="161"/>
      <c r="AV112" s="161"/>
      <c r="AW112" s="160"/>
      <c r="AX112" s="161"/>
      <c r="AY112" s="161"/>
      <c r="AZ112" s="161"/>
      <c r="BA112" s="161"/>
      <c r="BB112" s="161"/>
      <c r="BC112" s="161"/>
      <c r="BD112" s="161"/>
      <c r="BE112" s="161"/>
      <c r="BF112" s="160" t="str">
        <f t="shared" si="180"/>
        <v/>
      </c>
      <c r="BG112" s="160"/>
      <c r="BH112" s="160"/>
      <c r="BI112" s="160"/>
      <c r="BJ112" s="160"/>
      <c r="BK112" s="160"/>
      <c r="BL112" s="162">
        <f t="shared" si="131"/>
        <v>1</v>
      </c>
      <c r="BM112" s="257"/>
      <c r="BN112" s="163"/>
      <c r="BO112" s="211" t="str">
        <f t="shared" si="132"/>
        <v>העמותה לקידום תרבות הפלמנקו בישראלמחול</v>
      </c>
      <c r="BP112" s="125">
        <f t="shared" si="133"/>
        <v>1</v>
      </c>
      <c r="BQ112" s="164">
        <v>0</v>
      </c>
      <c r="BR112" s="164">
        <v>1</v>
      </c>
      <c r="BS112" s="149">
        <f t="shared" si="134"/>
        <v>1</v>
      </c>
      <c r="BT112" s="149">
        <f t="shared" si="135"/>
        <v>1</v>
      </c>
      <c r="BU112" s="149">
        <f t="shared" si="136"/>
        <v>1</v>
      </c>
      <c r="BV112" s="149">
        <f t="shared" si="137"/>
        <v>1</v>
      </c>
      <c r="BW112" s="149">
        <f t="shared" si="138"/>
        <v>1</v>
      </c>
      <c r="BX112" s="149">
        <f t="shared" si="139"/>
        <v>1</v>
      </c>
      <c r="BY112" s="149">
        <f t="shared" si="140"/>
        <v>1</v>
      </c>
      <c r="BZ112" s="149">
        <f t="shared" si="141"/>
        <v>1</v>
      </c>
      <c r="CA112" s="149">
        <f t="shared" si="142"/>
        <v>1</v>
      </c>
      <c r="CB112" s="149">
        <f t="shared" si="143"/>
        <v>1</v>
      </c>
      <c r="CC112" s="149">
        <f t="shared" si="144"/>
        <v>1</v>
      </c>
      <c r="CD112" s="149">
        <f t="shared" si="145"/>
        <v>1</v>
      </c>
      <c r="CE112" s="149">
        <f t="shared" si="146"/>
        <v>1</v>
      </c>
      <c r="CF112" s="149">
        <f t="shared" si="147"/>
        <v>1</v>
      </c>
      <c r="CG112" s="149">
        <f t="shared" si="148"/>
        <v>1</v>
      </c>
      <c r="CH112" s="149">
        <f t="shared" si="149"/>
        <v>1</v>
      </c>
      <c r="CI112" s="149">
        <f t="shared" si="150"/>
        <v>1</v>
      </c>
      <c r="CJ112" s="149">
        <f t="shared" si="151"/>
        <v>1</v>
      </c>
      <c r="CK112" s="149">
        <f t="shared" si="152"/>
        <v>1</v>
      </c>
      <c r="CL112" s="149">
        <f t="shared" si="153"/>
        <v>1</v>
      </c>
      <c r="CM112" s="149">
        <f t="shared" si="154"/>
        <v>1</v>
      </c>
      <c r="CN112" s="149">
        <f t="shared" si="155"/>
        <v>1</v>
      </c>
      <c r="CO112" s="149">
        <f t="shared" si="156"/>
        <v>1</v>
      </c>
      <c r="CP112" s="149">
        <f t="shared" si="157"/>
        <v>1</v>
      </c>
      <c r="CQ112" s="149">
        <f t="shared" si="158"/>
        <v>1</v>
      </c>
      <c r="CR112" s="149">
        <f t="shared" si="159"/>
        <v>1</v>
      </c>
      <c r="CS112" s="149">
        <f t="shared" si="160"/>
        <v>1</v>
      </c>
      <c r="CT112" s="149">
        <f t="shared" si="161"/>
        <v>1</v>
      </c>
      <c r="CU112" s="149">
        <f t="shared" si="162"/>
        <v>1</v>
      </c>
      <c r="CV112" s="149">
        <f t="shared" si="163"/>
        <v>1</v>
      </c>
      <c r="CW112" s="149">
        <f t="shared" si="164"/>
        <v>1</v>
      </c>
      <c r="CX112" s="149">
        <f t="shared" si="165"/>
        <v>1</v>
      </c>
      <c r="CY112" s="149">
        <f t="shared" si="166"/>
        <v>1</v>
      </c>
      <c r="CZ112" s="149">
        <f t="shared" si="167"/>
        <v>1</v>
      </c>
      <c r="DA112" s="149">
        <f t="shared" si="168"/>
        <v>1</v>
      </c>
      <c r="DB112" s="149">
        <f t="shared" si="169"/>
        <v>1</v>
      </c>
      <c r="DG112" s="125">
        <f t="shared" si="181"/>
        <v>1</v>
      </c>
      <c r="DH112" s="125">
        <f t="shared" si="181"/>
        <v>2</v>
      </c>
      <c r="DI112" s="125">
        <f t="shared" si="181"/>
        <v>3</v>
      </c>
      <c r="DJ112" s="125">
        <f t="shared" si="181"/>
        <v>4</v>
      </c>
      <c r="DK112" s="125">
        <f t="shared" si="181"/>
        <v>5</v>
      </c>
      <c r="DL112" s="125">
        <f t="shared" si="181"/>
        <v>6</v>
      </c>
      <c r="DM112" s="125">
        <f t="shared" si="181"/>
        <v>7</v>
      </c>
      <c r="DN112" s="125">
        <f t="shared" si="181"/>
        <v>8</v>
      </c>
      <c r="DO112" s="125">
        <f t="shared" si="181"/>
        <v>9</v>
      </c>
      <c r="DP112" s="125">
        <f t="shared" si="181"/>
        <v>10</v>
      </c>
      <c r="DS112" s="137"/>
      <c r="DT112" s="137"/>
      <c r="DU112" s="137"/>
      <c r="DV112" s="137" t="b">
        <f t="shared" si="170"/>
        <v>0</v>
      </c>
      <c r="DW112" s="137" t="b">
        <f t="shared" si="171"/>
        <v>0</v>
      </c>
      <c r="DX112" s="137" t="b">
        <f t="shared" si="172"/>
        <v>1</v>
      </c>
      <c r="EB112" s="131">
        <f t="shared" si="182"/>
        <v>1</v>
      </c>
      <c r="EC112" s="137" t="b">
        <f t="shared" si="173"/>
        <v>0</v>
      </c>
      <c r="ED112" s="137" t="b">
        <f t="shared" si="174"/>
        <v>0</v>
      </c>
      <c r="EE112" s="137" t="b">
        <f t="shared" si="175"/>
        <v>1</v>
      </c>
      <c r="EF112" s="137"/>
      <c r="EG112" s="137"/>
      <c r="EH112" s="137"/>
      <c r="EI112" s="137"/>
      <c r="EJ112" s="137">
        <f t="shared" si="183"/>
        <v>1</v>
      </c>
      <c r="EK112" s="125">
        <f t="shared" si="176"/>
        <v>0</v>
      </c>
      <c r="EL112" s="125">
        <f t="shared" si="177"/>
        <v>0</v>
      </c>
    </row>
    <row r="113" spans="2:142" ht="15.75" x14ac:dyDescent="0.25">
      <c r="B113" s="160">
        <f t="shared" si="178"/>
        <v>83</v>
      </c>
      <c r="C113" s="205">
        <v>1001346702</v>
      </c>
      <c r="D113" s="205">
        <v>1001277088</v>
      </c>
      <c r="E113" s="205">
        <v>40221541</v>
      </c>
      <c r="F113" s="118">
        <f>IF(OR(J113="",H113=""),"",VLOOKUP(J113,'הזנה לסיווג רשויות'!$B$2:$D$301,2,0))</f>
        <v>20000201</v>
      </c>
      <c r="G113" s="118" t="str">
        <f>IF(OR(J113="",H113=""),"",VLOOKUP(J113,'הזנה לסיווג רשויות'!$B$2:$D$301,3,0))</f>
        <v>תל אביב -יפו</v>
      </c>
      <c r="H113" s="282" t="s">
        <v>602</v>
      </c>
      <c r="I113" s="201" t="s">
        <v>389</v>
      </c>
      <c r="J113" s="205">
        <v>5000</v>
      </c>
      <c r="K113" s="161">
        <v>0</v>
      </c>
      <c r="L113" s="161">
        <v>1</v>
      </c>
      <c r="M113" s="161">
        <v>0</v>
      </c>
      <c r="N113" s="161">
        <v>0</v>
      </c>
      <c r="O113" s="161">
        <v>1</v>
      </c>
      <c r="P113" s="161">
        <v>1</v>
      </c>
      <c r="Q113" s="161">
        <v>1</v>
      </c>
      <c r="R113" s="201">
        <v>162910</v>
      </c>
      <c r="S113" s="201">
        <v>42910</v>
      </c>
      <c r="T113" s="160">
        <f>IF(G113="","",IFERROR(IF(S113/R113&gt;'פרמטרים לקריטריונים'!$C$20,1,0),0))</f>
        <v>1</v>
      </c>
      <c r="U113" s="201">
        <v>42910</v>
      </c>
      <c r="V113" s="160">
        <f>IF(G113="","",IFERROR(IF(U113/R113&gt;'פרמטרים לקריטריונים'!$C$21,1,IF(AND(I113=$BW$5,U113/R113&gt;'פרמטרים לקריטריונים'!$C$22),1,0)),0))</f>
        <v>1</v>
      </c>
      <c r="W113" s="161">
        <v>1</v>
      </c>
      <c r="X113" s="161">
        <v>1</v>
      </c>
      <c r="Y113" s="201">
        <v>115000</v>
      </c>
      <c r="Z113" s="201">
        <v>115000</v>
      </c>
      <c r="AA113" s="161">
        <f t="shared" si="179"/>
        <v>1</v>
      </c>
      <c r="AB113" s="161"/>
      <c r="AC113" s="161"/>
      <c r="AD113" s="161"/>
      <c r="AE113" s="161"/>
      <c r="AF113" s="161"/>
      <c r="AG113" s="161"/>
      <c r="AH113" s="161"/>
      <c r="AI113" s="161"/>
      <c r="AJ113" s="161"/>
      <c r="AK113" s="161"/>
      <c r="AL113" s="161"/>
      <c r="AM113" s="161"/>
      <c r="AN113" s="161"/>
      <c r="AO113" s="161"/>
      <c r="AP113" s="161"/>
      <c r="AQ113" s="161"/>
      <c r="AR113" s="161"/>
      <c r="AS113" s="161"/>
      <c r="AT113" s="161"/>
      <c r="AU113" s="161"/>
      <c r="AV113" s="161"/>
      <c r="AW113" s="160"/>
      <c r="AX113" s="161"/>
      <c r="AY113" s="161"/>
      <c r="AZ113" s="161"/>
      <c r="BA113" s="161"/>
      <c r="BB113" s="161"/>
      <c r="BC113" s="161"/>
      <c r="BD113" s="161"/>
      <c r="BE113" s="161"/>
      <c r="BF113" s="160" t="str">
        <f t="shared" si="180"/>
        <v/>
      </c>
      <c r="BG113" s="160"/>
      <c r="BH113" s="160"/>
      <c r="BI113" s="160"/>
      <c r="BJ113" s="160"/>
      <c r="BK113" s="160"/>
      <c r="BL113" s="162">
        <f t="shared" si="131"/>
        <v>1</v>
      </c>
      <c r="BM113" s="257"/>
      <c r="BN113" s="163"/>
      <c r="BO113" s="211" t="str">
        <f t="shared" si="132"/>
        <v>מרכז פליציה בלומנטל למוזיקהאופרה</v>
      </c>
      <c r="BP113" s="125">
        <f t="shared" si="133"/>
        <v>1</v>
      </c>
      <c r="BQ113" s="164">
        <v>0</v>
      </c>
      <c r="BR113" s="164">
        <v>1</v>
      </c>
      <c r="BS113" s="149">
        <f t="shared" si="134"/>
        <v>1</v>
      </c>
      <c r="BT113" s="149">
        <f t="shared" si="135"/>
        <v>1</v>
      </c>
      <c r="BU113" s="149">
        <f t="shared" si="136"/>
        <v>1</v>
      </c>
      <c r="BV113" s="149">
        <f t="shared" si="137"/>
        <v>1</v>
      </c>
      <c r="BW113" s="149">
        <f t="shared" si="138"/>
        <v>1</v>
      </c>
      <c r="BX113" s="149">
        <f t="shared" si="139"/>
        <v>1</v>
      </c>
      <c r="BY113" s="149">
        <f t="shared" si="140"/>
        <v>1</v>
      </c>
      <c r="BZ113" s="149">
        <f t="shared" si="141"/>
        <v>1</v>
      </c>
      <c r="CA113" s="149">
        <f t="shared" si="142"/>
        <v>1</v>
      </c>
      <c r="CB113" s="149">
        <f t="shared" si="143"/>
        <v>1</v>
      </c>
      <c r="CC113" s="149">
        <f t="shared" si="144"/>
        <v>1</v>
      </c>
      <c r="CD113" s="149">
        <f t="shared" si="145"/>
        <v>1</v>
      </c>
      <c r="CE113" s="149">
        <f t="shared" si="146"/>
        <v>1</v>
      </c>
      <c r="CF113" s="149">
        <f t="shared" si="147"/>
        <v>1</v>
      </c>
      <c r="CG113" s="149">
        <f t="shared" si="148"/>
        <v>1</v>
      </c>
      <c r="CH113" s="149">
        <f t="shared" si="149"/>
        <v>1</v>
      </c>
      <c r="CI113" s="149">
        <f t="shared" si="150"/>
        <v>1</v>
      </c>
      <c r="CJ113" s="149">
        <f t="shared" si="151"/>
        <v>1</v>
      </c>
      <c r="CK113" s="149">
        <f t="shared" si="152"/>
        <v>1</v>
      </c>
      <c r="CL113" s="149">
        <f t="shared" si="153"/>
        <v>1</v>
      </c>
      <c r="CM113" s="149">
        <f t="shared" si="154"/>
        <v>1</v>
      </c>
      <c r="CN113" s="149">
        <f t="shared" si="155"/>
        <v>1</v>
      </c>
      <c r="CO113" s="149">
        <f t="shared" si="156"/>
        <v>1</v>
      </c>
      <c r="CP113" s="149">
        <f t="shared" si="157"/>
        <v>1</v>
      </c>
      <c r="CQ113" s="149">
        <f t="shared" si="158"/>
        <v>1</v>
      </c>
      <c r="CR113" s="149">
        <f t="shared" si="159"/>
        <v>1</v>
      </c>
      <c r="CS113" s="149">
        <f t="shared" si="160"/>
        <v>1</v>
      </c>
      <c r="CT113" s="149">
        <f t="shared" si="161"/>
        <v>1</v>
      </c>
      <c r="CU113" s="149">
        <f t="shared" si="162"/>
        <v>1</v>
      </c>
      <c r="CV113" s="149">
        <f t="shared" si="163"/>
        <v>1</v>
      </c>
      <c r="CW113" s="149">
        <f t="shared" si="164"/>
        <v>1</v>
      </c>
      <c r="CX113" s="149">
        <f t="shared" si="165"/>
        <v>1</v>
      </c>
      <c r="CY113" s="149">
        <f t="shared" si="166"/>
        <v>1</v>
      </c>
      <c r="CZ113" s="149">
        <f t="shared" si="167"/>
        <v>1</v>
      </c>
      <c r="DA113" s="149">
        <f t="shared" si="168"/>
        <v>1</v>
      </c>
      <c r="DB113" s="149">
        <f t="shared" si="169"/>
        <v>1</v>
      </c>
      <c r="DG113" s="125">
        <f t="shared" si="181"/>
        <v>1</v>
      </c>
      <c r="DH113" s="125">
        <f t="shared" si="181"/>
        <v>2</v>
      </c>
      <c r="DI113" s="125">
        <f t="shared" si="181"/>
        <v>3</v>
      </c>
      <c r="DJ113" s="125">
        <f t="shared" si="181"/>
        <v>4</v>
      </c>
      <c r="DK113" s="125">
        <f t="shared" si="181"/>
        <v>5</v>
      </c>
      <c r="DL113" s="125">
        <f t="shared" si="181"/>
        <v>6</v>
      </c>
      <c r="DM113" s="125">
        <f t="shared" si="181"/>
        <v>7</v>
      </c>
      <c r="DN113" s="125">
        <f t="shared" si="181"/>
        <v>8</v>
      </c>
      <c r="DO113" s="125">
        <f t="shared" si="181"/>
        <v>9</v>
      </c>
      <c r="DP113" s="125">
        <f t="shared" si="181"/>
        <v>10</v>
      </c>
      <c r="DS113" s="137"/>
      <c r="DT113" s="137"/>
      <c r="DU113" s="137"/>
      <c r="DV113" s="137" t="b">
        <f t="shared" si="170"/>
        <v>0</v>
      </c>
      <c r="DW113" s="137" t="b">
        <f t="shared" si="171"/>
        <v>0</v>
      </c>
      <c r="DX113" s="137" t="b">
        <f t="shared" si="172"/>
        <v>1</v>
      </c>
      <c r="EB113" s="131">
        <f t="shared" si="182"/>
        <v>1</v>
      </c>
      <c r="EC113" s="137" t="b">
        <f t="shared" si="173"/>
        <v>0</v>
      </c>
      <c r="ED113" s="137" t="b">
        <f t="shared" si="174"/>
        <v>0</v>
      </c>
      <c r="EE113" s="137" t="b">
        <f t="shared" si="175"/>
        <v>1</v>
      </c>
      <c r="EF113" s="137"/>
      <c r="EG113" s="137"/>
      <c r="EH113" s="137"/>
      <c r="EI113" s="137"/>
      <c r="EJ113" s="137">
        <f t="shared" si="183"/>
        <v>1</v>
      </c>
      <c r="EK113" s="125">
        <f t="shared" si="176"/>
        <v>0</v>
      </c>
      <c r="EL113" s="125">
        <f t="shared" si="177"/>
        <v>0</v>
      </c>
    </row>
    <row r="114" spans="2:142" ht="15.75" x14ac:dyDescent="0.25">
      <c r="B114" s="160">
        <f t="shared" si="178"/>
        <v>84</v>
      </c>
      <c r="C114" s="205">
        <v>1001346704</v>
      </c>
      <c r="D114" s="205">
        <v>1001277175</v>
      </c>
      <c r="E114" s="205">
        <v>40221541</v>
      </c>
      <c r="F114" s="118">
        <f>IF(OR(J114="",H114=""),"",VLOOKUP(J114,'הזנה לסיווג רשויות'!$B$2:$D$301,2,0))</f>
        <v>20000201</v>
      </c>
      <c r="G114" s="118" t="str">
        <f>IF(OR(J114="",H114=""),"",VLOOKUP(J114,'הזנה לסיווג רשויות'!$B$2:$D$301,3,0))</f>
        <v>תל אביב -יפו</v>
      </c>
      <c r="H114" s="282" t="s">
        <v>602</v>
      </c>
      <c r="I114" s="201" t="s">
        <v>380</v>
      </c>
      <c r="J114" s="205">
        <v>5000</v>
      </c>
      <c r="K114" s="161">
        <v>0</v>
      </c>
      <c r="L114" s="161">
        <v>1</v>
      </c>
      <c r="M114" s="161">
        <v>0</v>
      </c>
      <c r="N114" s="161">
        <v>0</v>
      </c>
      <c r="O114" s="161">
        <v>1</v>
      </c>
      <c r="P114" s="161">
        <v>1</v>
      </c>
      <c r="Q114" s="161">
        <v>1</v>
      </c>
      <c r="R114" s="201">
        <v>134905</v>
      </c>
      <c r="S114" s="201">
        <v>74905</v>
      </c>
      <c r="T114" s="160">
        <f>IF(G114="","",IFERROR(IF(S114/R114&gt;'פרמטרים לקריטריונים'!$C$20,1,0),0))</f>
        <v>1</v>
      </c>
      <c r="U114" s="201">
        <v>74905</v>
      </c>
      <c r="V114" s="160">
        <f>IF(G114="","",IFERROR(IF(U114/R114&gt;'פרמטרים לקריטריונים'!$C$21,1,IF(AND(I114=$BW$5,U114/R114&gt;'פרמטרים לקריטריונים'!$C$22),1,0)),0))</f>
        <v>1</v>
      </c>
      <c r="W114" s="161">
        <v>1</v>
      </c>
      <c r="X114" s="161">
        <v>1</v>
      </c>
      <c r="Y114" s="201">
        <v>86000</v>
      </c>
      <c r="Z114" s="201">
        <v>86000</v>
      </c>
      <c r="AA114" s="161">
        <f t="shared" si="179"/>
        <v>1</v>
      </c>
      <c r="AB114" s="161"/>
      <c r="AC114" s="161"/>
      <c r="AD114" s="161"/>
      <c r="AE114" s="161"/>
      <c r="AF114" s="161"/>
      <c r="AG114" s="161"/>
      <c r="AH114" s="161"/>
      <c r="AI114" s="161"/>
      <c r="AJ114" s="161"/>
      <c r="AK114" s="161"/>
      <c r="AL114" s="161"/>
      <c r="AM114" s="161"/>
      <c r="AN114" s="161"/>
      <c r="AO114" s="161"/>
      <c r="AP114" s="161"/>
      <c r="AQ114" s="161"/>
      <c r="AR114" s="161"/>
      <c r="AS114" s="161"/>
      <c r="AT114" s="161"/>
      <c r="AU114" s="161"/>
      <c r="AV114" s="161"/>
      <c r="AW114" s="160"/>
      <c r="AX114" s="161"/>
      <c r="AY114" s="161"/>
      <c r="AZ114" s="161"/>
      <c r="BA114" s="161"/>
      <c r="BB114" s="161"/>
      <c r="BC114" s="161"/>
      <c r="BD114" s="161"/>
      <c r="BE114" s="161"/>
      <c r="BF114" s="160" t="str">
        <f t="shared" si="180"/>
        <v/>
      </c>
      <c r="BG114" s="160"/>
      <c r="BH114" s="160"/>
      <c r="BI114" s="160"/>
      <c r="BJ114" s="160"/>
      <c r="BK114" s="160"/>
      <c r="BL114" s="162">
        <f t="shared" si="131"/>
        <v>1</v>
      </c>
      <c r="BM114" s="257"/>
      <c r="BN114" s="163"/>
      <c r="BO114" s="211" t="str">
        <f t="shared" si="132"/>
        <v>מרכז פליציה בלומנטל למוזיקהקבוצות מוסיקה</v>
      </c>
      <c r="BP114" s="125">
        <f t="shared" si="133"/>
        <v>1</v>
      </c>
      <c r="BQ114" s="164">
        <v>0</v>
      </c>
      <c r="BR114" s="164">
        <v>1</v>
      </c>
      <c r="BS114" s="149">
        <f t="shared" si="134"/>
        <v>1</v>
      </c>
      <c r="BT114" s="149">
        <f t="shared" si="135"/>
        <v>1</v>
      </c>
      <c r="BU114" s="149">
        <f t="shared" si="136"/>
        <v>1</v>
      </c>
      <c r="BV114" s="149">
        <f t="shared" si="137"/>
        <v>1</v>
      </c>
      <c r="BW114" s="149">
        <f t="shared" si="138"/>
        <v>1</v>
      </c>
      <c r="BX114" s="149">
        <f t="shared" si="139"/>
        <v>1</v>
      </c>
      <c r="BY114" s="149">
        <f t="shared" si="140"/>
        <v>1</v>
      </c>
      <c r="BZ114" s="149">
        <f t="shared" si="141"/>
        <v>1</v>
      </c>
      <c r="CA114" s="149">
        <f t="shared" si="142"/>
        <v>1</v>
      </c>
      <c r="CB114" s="149">
        <f t="shared" si="143"/>
        <v>1</v>
      </c>
      <c r="CC114" s="149">
        <f t="shared" si="144"/>
        <v>1</v>
      </c>
      <c r="CD114" s="149">
        <f t="shared" si="145"/>
        <v>1</v>
      </c>
      <c r="CE114" s="149">
        <f t="shared" si="146"/>
        <v>1</v>
      </c>
      <c r="CF114" s="149">
        <f t="shared" si="147"/>
        <v>1</v>
      </c>
      <c r="CG114" s="149">
        <f t="shared" si="148"/>
        <v>1</v>
      </c>
      <c r="CH114" s="149">
        <f t="shared" si="149"/>
        <v>1</v>
      </c>
      <c r="CI114" s="149">
        <f t="shared" si="150"/>
        <v>1</v>
      </c>
      <c r="CJ114" s="149">
        <f t="shared" si="151"/>
        <v>1</v>
      </c>
      <c r="CK114" s="149">
        <f t="shared" si="152"/>
        <v>1</v>
      </c>
      <c r="CL114" s="149">
        <f t="shared" si="153"/>
        <v>1</v>
      </c>
      <c r="CM114" s="149">
        <f t="shared" si="154"/>
        <v>1</v>
      </c>
      <c r="CN114" s="149">
        <f t="shared" si="155"/>
        <v>1</v>
      </c>
      <c r="CO114" s="149">
        <f t="shared" si="156"/>
        <v>1</v>
      </c>
      <c r="CP114" s="149">
        <f t="shared" si="157"/>
        <v>1</v>
      </c>
      <c r="CQ114" s="149">
        <f t="shared" si="158"/>
        <v>1</v>
      </c>
      <c r="CR114" s="149">
        <f t="shared" si="159"/>
        <v>1</v>
      </c>
      <c r="CS114" s="149">
        <f t="shared" si="160"/>
        <v>1</v>
      </c>
      <c r="CT114" s="149">
        <f t="shared" si="161"/>
        <v>1</v>
      </c>
      <c r="CU114" s="149">
        <f t="shared" si="162"/>
        <v>1</v>
      </c>
      <c r="CV114" s="149">
        <f t="shared" si="163"/>
        <v>1</v>
      </c>
      <c r="CW114" s="149">
        <f t="shared" si="164"/>
        <v>1</v>
      </c>
      <c r="CX114" s="149">
        <f t="shared" si="165"/>
        <v>1</v>
      </c>
      <c r="CY114" s="149">
        <f t="shared" si="166"/>
        <v>1</v>
      </c>
      <c r="CZ114" s="149">
        <f t="shared" si="167"/>
        <v>1</v>
      </c>
      <c r="DA114" s="149">
        <f t="shared" si="168"/>
        <v>1</v>
      </c>
      <c r="DB114" s="149">
        <f t="shared" si="169"/>
        <v>1</v>
      </c>
      <c r="DG114" s="125">
        <f t="shared" si="181"/>
        <v>1</v>
      </c>
      <c r="DH114" s="125">
        <f t="shared" si="181"/>
        <v>2</v>
      </c>
      <c r="DI114" s="125">
        <f t="shared" si="181"/>
        <v>3</v>
      </c>
      <c r="DJ114" s="125">
        <f t="shared" si="181"/>
        <v>4</v>
      </c>
      <c r="DK114" s="125">
        <f t="shared" si="181"/>
        <v>5</v>
      </c>
      <c r="DL114" s="125">
        <f t="shared" si="181"/>
        <v>6</v>
      </c>
      <c r="DM114" s="125">
        <f t="shared" si="181"/>
        <v>7</v>
      </c>
      <c r="DN114" s="125">
        <f t="shared" si="181"/>
        <v>8</v>
      </c>
      <c r="DO114" s="125">
        <f t="shared" si="181"/>
        <v>9</v>
      </c>
      <c r="DP114" s="125">
        <f t="shared" si="181"/>
        <v>10</v>
      </c>
      <c r="DS114" s="137"/>
      <c r="DT114" s="137"/>
      <c r="DU114" s="137"/>
      <c r="DV114" s="137" t="b">
        <f t="shared" si="170"/>
        <v>0</v>
      </c>
      <c r="DW114" s="137" t="b">
        <f t="shared" si="171"/>
        <v>0</v>
      </c>
      <c r="DX114" s="137" t="b">
        <f t="shared" si="172"/>
        <v>1</v>
      </c>
      <c r="EB114" s="131">
        <f t="shared" si="182"/>
        <v>1</v>
      </c>
      <c r="EC114" s="137" t="b">
        <f t="shared" si="173"/>
        <v>0</v>
      </c>
      <c r="ED114" s="137" t="b">
        <f t="shared" si="174"/>
        <v>0</v>
      </c>
      <c r="EE114" s="137" t="b">
        <f t="shared" si="175"/>
        <v>1</v>
      </c>
      <c r="EF114" s="137"/>
      <c r="EG114" s="137"/>
      <c r="EH114" s="137"/>
      <c r="EI114" s="137"/>
      <c r="EJ114" s="137">
        <f t="shared" si="183"/>
        <v>1</v>
      </c>
      <c r="EK114" s="125">
        <f t="shared" si="176"/>
        <v>0</v>
      </c>
      <c r="EL114" s="125">
        <f t="shared" si="177"/>
        <v>0</v>
      </c>
    </row>
    <row r="115" spans="2:142" ht="15.75" x14ac:dyDescent="0.25">
      <c r="B115" s="160">
        <f t="shared" si="178"/>
        <v>85</v>
      </c>
      <c r="C115" s="205">
        <v>1001346707</v>
      </c>
      <c r="D115" s="205">
        <v>1001277143</v>
      </c>
      <c r="E115" s="205">
        <v>40221541</v>
      </c>
      <c r="F115" s="118">
        <f>IF(OR(J115="",H115=""),"",VLOOKUP(J115,'הזנה לסיווג רשויות'!$B$2:$D$301,2,0))</f>
        <v>20000201</v>
      </c>
      <c r="G115" s="118" t="str">
        <f>IF(OR(J115="",H115=""),"",VLOOKUP(J115,'הזנה לסיווג רשויות'!$B$2:$D$301,3,0))</f>
        <v>תל אביב -יפו</v>
      </c>
      <c r="H115" s="282" t="s">
        <v>602</v>
      </c>
      <c r="I115" s="201" t="s">
        <v>381</v>
      </c>
      <c r="J115" s="205">
        <v>5000</v>
      </c>
      <c r="K115" s="161">
        <v>0</v>
      </c>
      <c r="L115" s="161">
        <v>1</v>
      </c>
      <c r="M115" s="161">
        <v>0</v>
      </c>
      <c r="N115" s="161">
        <v>1</v>
      </c>
      <c r="O115" s="161">
        <v>1</v>
      </c>
      <c r="P115" s="161">
        <v>1</v>
      </c>
      <c r="Q115" s="161">
        <v>1</v>
      </c>
      <c r="R115" s="201">
        <v>147730</v>
      </c>
      <c r="S115" s="201">
        <v>65730</v>
      </c>
      <c r="T115" s="160">
        <f>IF(G115="","",IFERROR(IF(S115/R115&gt;'פרמטרים לקריטריונים'!$C$20,1,0),0))</f>
        <v>1</v>
      </c>
      <c r="U115" s="201">
        <v>45884</v>
      </c>
      <c r="V115" s="160">
        <f>IF(G115="","",IFERROR(IF(U115/R115&gt;'פרמטרים לקריטריונים'!$C$21,1,IF(AND(I115=$BW$5,U115/R115&gt;'פרמטרים לקריטריונים'!$C$22),1,0)),0))</f>
        <v>1</v>
      </c>
      <c r="W115" s="161">
        <v>1</v>
      </c>
      <c r="X115" s="161">
        <v>1</v>
      </c>
      <c r="Y115" s="201">
        <v>76000</v>
      </c>
      <c r="Z115" s="201">
        <v>76000</v>
      </c>
      <c r="AA115" s="161">
        <f t="shared" si="179"/>
        <v>1</v>
      </c>
      <c r="AB115" s="161"/>
      <c r="AC115" s="161"/>
      <c r="AD115" s="161"/>
      <c r="AE115" s="161"/>
      <c r="AF115" s="161"/>
      <c r="AG115" s="161"/>
      <c r="AH115" s="161"/>
      <c r="AI115" s="161"/>
      <c r="AJ115" s="161"/>
      <c r="AK115" s="161"/>
      <c r="AL115" s="161"/>
      <c r="AM115" s="161"/>
      <c r="AN115" s="161"/>
      <c r="AO115" s="161"/>
      <c r="AP115" s="161"/>
      <c r="AQ115" s="161"/>
      <c r="AR115" s="161"/>
      <c r="AS115" s="161"/>
      <c r="AT115" s="161"/>
      <c r="AU115" s="161"/>
      <c r="AV115" s="161"/>
      <c r="AW115" s="160"/>
      <c r="AX115" s="161"/>
      <c r="AY115" s="161"/>
      <c r="AZ115" s="161"/>
      <c r="BA115" s="161"/>
      <c r="BB115" s="161"/>
      <c r="BC115" s="161"/>
      <c r="BD115" s="161"/>
      <c r="BE115" s="161"/>
      <c r="BF115" s="160" t="str">
        <f t="shared" si="180"/>
        <v/>
      </c>
      <c r="BG115" s="160"/>
      <c r="BH115" s="160"/>
      <c r="BI115" s="160"/>
      <c r="BJ115" s="160"/>
      <c r="BK115" s="160"/>
      <c r="BL115" s="162">
        <f t="shared" si="131"/>
        <v>1</v>
      </c>
      <c r="BM115" s="257"/>
      <c r="BN115" s="163"/>
      <c r="BO115" s="211" t="str">
        <f t="shared" si="132"/>
        <v>מרכז פליציה בלומנטל למוזיקהסינמטקים ופסטיבלים</v>
      </c>
      <c r="BP115" s="125">
        <f t="shared" si="133"/>
        <v>1</v>
      </c>
      <c r="BQ115" s="164">
        <v>0</v>
      </c>
      <c r="BR115" s="164">
        <v>1</v>
      </c>
      <c r="BS115" s="149">
        <f t="shared" si="134"/>
        <v>1</v>
      </c>
      <c r="BT115" s="149">
        <f t="shared" si="135"/>
        <v>1</v>
      </c>
      <c r="BU115" s="149">
        <f t="shared" si="136"/>
        <v>1</v>
      </c>
      <c r="BV115" s="149">
        <f t="shared" si="137"/>
        <v>1</v>
      </c>
      <c r="BW115" s="149">
        <f t="shared" si="138"/>
        <v>1</v>
      </c>
      <c r="BX115" s="149">
        <f t="shared" si="139"/>
        <v>1</v>
      </c>
      <c r="BY115" s="149">
        <f t="shared" si="140"/>
        <v>1</v>
      </c>
      <c r="BZ115" s="149">
        <f t="shared" si="141"/>
        <v>1</v>
      </c>
      <c r="CA115" s="149">
        <f t="shared" si="142"/>
        <v>1</v>
      </c>
      <c r="CB115" s="149">
        <f t="shared" si="143"/>
        <v>1</v>
      </c>
      <c r="CC115" s="149">
        <f t="shared" si="144"/>
        <v>1</v>
      </c>
      <c r="CD115" s="149">
        <f t="shared" si="145"/>
        <v>1</v>
      </c>
      <c r="CE115" s="149">
        <f t="shared" si="146"/>
        <v>1</v>
      </c>
      <c r="CF115" s="149">
        <f t="shared" si="147"/>
        <v>1</v>
      </c>
      <c r="CG115" s="149">
        <f t="shared" si="148"/>
        <v>1</v>
      </c>
      <c r="CH115" s="149">
        <f t="shared" si="149"/>
        <v>1</v>
      </c>
      <c r="CI115" s="149">
        <f t="shared" si="150"/>
        <v>1</v>
      </c>
      <c r="CJ115" s="149">
        <f t="shared" si="151"/>
        <v>1</v>
      </c>
      <c r="CK115" s="149">
        <f t="shared" si="152"/>
        <v>1</v>
      </c>
      <c r="CL115" s="149">
        <f t="shared" si="153"/>
        <v>1</v>
      </c>
      <c r="CM115" s="149">
        <f t="shared" si="154"/>
        <v>1</v>
      </c>
      <c r="CN115" s="149">
        <f t="shared" si="155"/>
        <v>1</v>
      </c>
      <c r="CO115" s="149">
        <f t="shared" si="156"/>
        <v>1</v>
      </c>
      <c r="CP115" s="149">
        <f t="shared" si="157"/>
        <v>1</v>
      </c>
      <c r="CQ115" s="149">
        <f t="shared" si="158"/>
        <v>1</v>
      </c>
      <c r="CR115" s="149">
        <f t="shared" si="159"/>
        <v>1</v>
      </c>
      <c r="CS115" s="149">
        <f t="shared" si="160"/>
        <v>1</v>
      </c>
      <c r="CT115" s="149">
        <f t="shared" si="161"/>
        <v>1</v>
      </c>
      <c r="CU115" s="149">
        <f t="shared" si="162"/>
        <v>1</v>
      </c>
      <c r="CV115" s="149">
        <f t="shared" si="163"/>
        <v>1</v>
      </c>
      <c r="CW115" s="149">
        <f t="shared" si="164"/>
        <v>1</v>
      </c>
      <c r="CX115" s="149">
        <f t="shared" si="165"/>
        <v>1</v>
      </c>
      <c r="CY115" s="149">
        <f t="shared" si="166"/>
        <v>1</v>
      </c>
      <c r="CZ115" s="149">
        <f t="shared" si="167"/>
        <v>1</v>
      </c>
      <c r="DA115" s="149">
        <f t="shared" si="168"/>
        <v>1</v>
      </c>
      <c r="DB115" s="149">
        <f t="shared" si="169"/>
        <v>1</v>
      </c>
      <c r="DG115" s="125">
        <f t="shared" si="181"/>
        <v>1</v>
      </c>
      <c r="DH115" s="125">
        <f t="shared" si="181"/>
        <v>2</v>
      </c>
      <c r="DI115" s="125">
        <f t="shared" si="181"/>
        <v>3</v>
      </c>
      <c r="DJ115" s="125">
        <f t="shared" si="181"/>
        <v>4</v>
      </c>
      <c r="DK115" s="125">
        <f t="shared" si="181"/>
        <v>5</v>
      </c>
      <c r="DL115" s="125">
        <f t="shared" si="181"/>
        <v>6</v>
      </c>
      <c r="DM115" s="125">
        <f t="shared" si="181"/>
        <v>7</v>
      </c>
      <c r="DN115" s="125">
        <f t="shared" si="181"/>
        <v>8</v>
      </c>
      <c r="DO115" s="125">
        <f t="shared" si="181"/>
        <v>9</v>
      </c>
      <c r="DP115" s="125">
        <f t="shared" si="181"/>
        <v>10</v>
      </c>
      <c r="DS115" s="137"/>
      <c r="DT115" s="137"/>
      <c r="DU115" s="137"/>
      <c r="DV115" s="137" t="b">
        <f t="shared" si="170"/>
        <v>0</v>
      </c>
      <c r="DW115" s="137" t="b">
        <f t="shared" si="171"/>
        <v>0</v>
      </c>
      <c r="DX115" s="137" t="b">
        <f t="shared" si="172"/>
        <v>1</v>
      </c>
      <c r="EB115" s="131">
        <f t="shared" si="182"/>
        <v>1</v>
      </c>
      <c r="EC115" s="137" t="b">
        <f t="shared" si="173"/>
        <v>0</v>
      </c>
      <c r="ED115" s="137" t="b">
        <f t="shared" si="174"/>
        <v>0</v>
      </c>
      <c r="EE115" s="137" t="b">
        <f t="shared" si="175"/>
        <v>1</v>
      </c>
      <c r="EF115" s="137"/>
      <c r="EG115" s="137"/>
      <c r="EH115" s="137"/>
      <c r="EI115" s="137"/>
      <c r="EJ115" s="137">
        <f t="shared" si="183"/>
        <v>1</v>
      </c>
      <c r="EK115" s="125">
        <f t="shared" si="176"/>
        <v>0</v>
      </c>
      <c r="EL115" s="125">
        <f t="shared" si="177"/>
        <v>0</v>
      </c>
    </row>
    <row r="116" spans="2:142" ht="15.75" x14ac:dyDescent="0.25">
      <c r="B116" s="160">
        <f t="shared" si="178"/>
        <v>86</v>
      </c>
      <c r="C116" s="205">
        <v>1001346708</v>
      </c>
      <c r="D116" s="205">
        <v>1001277166</v>
      </c>
      <c r="E116" s="205">
        <v>40221541</v>
      </c>
      <c r="F116" s="118">
        <f>IF(OR(J116="",H116=""),"",VLOOKUP(J116,'הזנה לסיווג רשויות'!$B$2:$D$301,2,0))</f>
        <v>20000201</v>
      </c>
      <c r="G116" s="118" t="str">
        <f>IF(OR(J116="",H116=""),"",VLOOKUP(J116,'הזנה לסיווג רשויות'!$B$2:$D$301,3,0))</f>
        <v>תל אביב -יפו</v>
      </c>
      <c r="H116" s="282" t="s">
        <v>602</v>
      </c>
      <c r="I116" s="201" t="s">
        <v>376</v>
      </c>
      <c r="J116" s="205">
        <v>5000</v>
      </c>
      <c r="K116" s="161">
        <v>0</v>
      </c>
      <c r="L116" s="161">
        <v>1</v>
      </c>
      <c r="M116" s="161">
        <v>0</v>
      </c>
      <c r="N116" s="161">
        <v>0</v>
      </c>
      <c r="O116" s="161">
        <v>1</v>
      </c>
      <c r="P116" s="161">
        <v>1</v>
      </c>
      <c r="Q116" s="161">
        <v>1</v>
      </c>
      <c r="R116" s="201">
        <v>373172</v>
      </c>
      <c r="S116" s="201">
        <v>211212</v>
      </c>
      <c r="T116" s="160">
        <f>IF(G116="","",IFERROR(IF(S116/R116&gt;'פרמטרים לקריטריונים'!$C$20,1,0),0))</f>
        <v>1</v>
      </c>
      <c r="U116" s="201">
        <v>136943</v>
      </c>
      <c r="V116" s="160">
        <f>IF(G116="","",IFERROR(IF(U116/R116&gt;'פרמטרים לקריטריונים'!$C$21,1,IF(AND(I116=$BW$5,U116/R116&gt;'פרמטרים לקריטריונים'!$C$22),1,0)),0))</f>
        <v>1</v>
      </c>
      <c r="W116" s="161">
        <v>1</v>
      </c>
      <c r="X116" s="161">
        <v>1</v>
      </c>
      <c r="Y116" s="201">
        <v>110000</v>
      </c>
      <c r="Z116" s="201">
        <v>110000</v>
      </c>
      <c r="AA116" s="161">
        <f t="shared" si="179"/>
        <v>1</v>
      </c>
      <c r="AB116" s="161"/>
      <c r="AC116" s="161"/>
      <c r="AD116" s="161"/>
      <c r="AE116" s="161"/>
      <c r="AF116" s="161"/>
      <c r="AG116" s="161"/>
      <c r="AH116" s="161"/>
      <c r="AI116" s="161"/>
      <c r="AJ116" s="161"/>
      <c r="AK116" s="161"/>
      <c r="AL116" s="161"/>
      <c r="AM116" s="161"/>
      <c r="AN116" s="161"/>
      <c r="AO116" s="161"/>
      <c r="AP116" s="161"/>
      <c r="AQ116" s="161"/>
      <c r="AR116" s="161"/>
      <c r="AS116" s="161"/>
      <c r="AT116" s="161"/>
      <c r="AU116" s="161"/>
      <c r="AV116" s="161"/>
      <c r="AW116" s="160"/>
      <c r="AX116" s="161"/>
      <c r="AY116" s="161"/>
      <c r="AZ116" s="161"/>
      <c r="BA116" s="161"/>
      <c r="BB116" s="161"/>
      <c r="BC116" s="161"/>
      <c r="BD116" s="161"/>
      <c r="BE116" s="161"/>
      <c r="BF116" s="160" t="str">
        <f t="shared" si="180"/>
        <v/>
      </c>
      <c r="BG116" s="160"/>
      <c r="BH116" s="160"/>
      <c r="BI116" s="160"/>
      <c r="BJ116" s="160"/>
      <c r="BK116" s="160"/>
      <c r="BL116" s="162">
        <f t="shared" si="131"/>
        <v>1</v>
      </c>
      <c r="BM116" s="257"/>
      <c r="BN116" s="163"/>
      <c r="BO116" s="211" t="str">
        <f t="shared" si="132"/>
        <v>מרכז פליציה בלומנטל למוזיקהמוסיקה-גופים כליים</v>
      </c>
      <c r="BP116" s="125">
        <f t="shared" si="133"/>
        <v>1</v>
      </c>
      <c r="BQ116" s="164">
        <v>0</v>
      </c>
      <c r="BR116" s="164">
        <v>1</v>
      </c>
      <c r="BS116" s="149">
        <f t="shared" si="134"/>
        <v>1</v>
      </c>
      <c r="BT116" s="149">
        <f t="shared" si="135"/>
        <v>1</v>
      </c>
      <c r="BU116" s="149">
        <f t="shared" si="136"/>
        <v>1</v>
      </c>
      <c r="BV116" s="149">
        <f t="shared" si="137"/>
        <v>1</v>
      </c>
      <c r="BW116" s="149">
        <f t="shared" si="138"/>
        <v>1</v>
      </c>
      <c r="BX116" s="149">
        <f t="shared" si="139"/>
        <v>1</v>
      </c>
      <c r="BY116" s="149">
        <f t="shared" si="140"/>
        <v>1</v>
      </c>
      <c r="BZ116" s="149">
        <f t="shared" si="141"/>
        <v>1</v>
      </c>
      <c r="CA116" s="149">
        <f t="shared" si="142"/>
        <v>1</v>
      </c>
      <c r="CB116" s="149">
        <f t="shared" si="143"/>
        <v>1</v>
      </c>
      <c r="CC116" s="149">
        <f t="shared" si="144"/>
        <v>1</v>
      </c>
      <c r="CD116" s="149">
        <f t="shared" si="145"/>
        <v>1</v>
      </c>
      <c r="CE116" s="149">
        <f t="shared" si="146"/>
        <v>1</v>
      </c>
      <c r="CF116" s="149">
        <f t="shared" si="147"/>
        <v>1</v>
      </c>
      <c r="CG116" s="149">
        <f t="shared" si="148"/>
        <v>1</v>
      </c>
      <c r="CH116" s="149">
        <f t="shared" si="149"/>
        <v>1</v>
      </c>
      <c r="CI116" s="149">
        <f t="shared" si="150"/>
        <v>1</v>
      </c>
      <c r="CJ116" s="149">
        <f t="shared" si="151"/>
        <v>1</v>
      </c>
      <c r="CK116" s="149">
        <f t="shared" si="152"/>
        <v>1</v>
      </c>
      <c r="CL116" s="149">
        <f t="shared" si="153"/>
        <v>1</v>
      </c>
      <c r="CM116" s="149">
        <f t="shared" si="154"/>
        <v>1</v>
      </c>
      <c r="CN116" s="149">
        <f t="shared" si="155"/>
        <v>1</v>
      </c>
      <c r="CO116" s="149">
        <f t="shared" si="156"/>
        <v>1</v>
      </c>
      <c r="CP116" s="149">
        <f t="shared" si="157"/>
        <v>1</v>
      </c>
      <c r="CQ116" s="149">
        <f t="shared" si="158"/>
        <v>1</v>
      </c>
      <c r="CR116" s="149">
        <f t="shared" si="159"/>
        <v>1</v>
      </c>
      <c r="CS116" s="149">
        <f t="shared" si="160"/>
        <v>1</v>
      </c>
      <c r="CT116" s="149">
        <f t="shared" si="161"/>
        <v>1</v>
      </c>
      <c r="CU116" s="149">
        <f t="shared" si="162"/>
        <v>1</v>
      </c>
      <c r="CV116" s="149">
        <f t="shared" si="163"/>
        <v>1</v>
      </c>
      <c r="CW116" s="149">
        <f t="shared" si="164"/>
        <v>1</v>
      </c>
      <c r="CX116" s="149">
        <f t="shared" si="165"/>
        <v>1</v>
      </c>
      <c r="CY116" s="149">
        <f t="shared" si="166"/>
        <v>1</v>
      </c>
      <c r="CZ116" s="149">
        <f t="shared" si="167"/>
        <v>1</v>
      </c>
      <c r="DA116" s="149">
        <f t="shared" si="168"/>
        <v>1</v>
      </c>
      <c r="DB116" s="149">
        <f t="shared" si="169"/>
        <v>1</v>
      </c>
      <c r="DG116" s="125">
        <f t="shared" si="181"/>
        <v>1</v>
      </c>
      <c r="DH116" s="125">
        <f t="shared" si="181"/>
        <v>2</v>
      </c>
      <c r="DI116" s="125">
        <f t="shared" si="181"/>
        <v>3</v>
      </c>
      <c r="DJ116" s="125">
        <f t="shared" si="181"/>
        <v>4</v>
      </c>
      <c r="DK116" s="125">
        <f t="shared" si="181"/>
        <v>5</v>
      </c>
      <c r="DL116" s="125">
        <f t="shared" si="181"/>
        <v>6</v>
      </c>
      <c r="DM116" s="125">
        <f t="shared" si="181"/>
        <v>7</v>
      </c>
      <c r="DN116" s="125">
        <f t="shared" si="181"/>
        <v>8</v>
      </c>
      <c r="DO116" s="125">
        <f t="shared" si="181"/>
        <v>9</v>
      </c>
      <c r="DP116" s="125">
        <f t="shared" si="181"/>
        <v>10</v>
      </c>
      <c r="DS116" s="137"/>
      <c r="DT116" s="137"/>
      <c r="DU116" s="137"/>
      <c r="DV116" s="137" t="b">
        <f t="shared" si="170"/>
        <v>0</v>
      </c>
      <c r="DW116" s="137" t="b">
        <f t="shared" si="171"/>
        <v>0</v>
      </c>
      <c r="DX116" s="137" t="b">
        <f t="shared" si="172"/>
        <v>1</v>
      </c>
      <c r="EB116" s="131">
        <f t="shared" si="182"/>
        <v>1</v>
      </c>
      <c r="EC116" s="137" t="b">
        <f t="shared" si="173"/>
        <v>0</v>
      </c>
      <c r="ED116" s="137" t="b">
        <f t="shared" si="174"/>
        <v>0</v>
      </c>
      <c r="EE116" s="137" t="b">
        <f t="shared" si="175"/>
        <v>1</v>
      </c>
      <c r="EF116" s="137"/>
      <c r="EG116" s="137"/>
      <c r="EH116" s="137"/>
      <c r="EI116" s="137"/>
      <c r="EJ116" s="137">
        <f t="shared" si="183"/>
        <v>1</v>
      </c>
      <c r="EK116" s="125">
        <f t="shared" si="176"/>
        <v>0</v>
      </c>
      <c r="EL116" s="125">
        <f t="shared" si="177"/>
        <v>0</v>
      </c>
    </row>
    <row r="117" spans="2:142" ht="15.75" x14ac:dyDescent="0.25">
      <c r="B117" s="160">
        <f t="shared" si="178"/>
        <v>87</v>
      </c>
      <c r="C117" s="205">
        <v>1001346709</v>
      </c>
      <c r="D117" s="205">
        <v>1001277179</v>
      </c>
      <c r="E117" s="205">
        <v>40221541</v>
      </c>
      <c r="F117" s="118">
        <f>IF(OR(J117="",H117=""),"",VLOOKUP(J117,'הזנה לסיווג רשויות'!$B$2:$D$301,2,0))</f>
        <v>20000201</v>
      </c>
      <c r="G117" s="118" t="str">
        <f>IF(OR(J117="",H117=""),"",VLOOKUP(J117,'הזנה לסיווג רשויות'!$B$2:$D$301,3,0))</f>
        <v>תל אביב -יפו</v>
      </c>
      <c r="H117" s="282" t="s">
        <v>602</v>
      </c>
      <c r="I117" s="201" t="s">
        <v>380</v>
      </c>
      <c r="J117" s="205">
        <v>5000</v>
      </c>
      <c r="K117" s="161">
        <v>0</v>
      </c>
      <c r="L117" s="161">
        <v>1</v>
      </c>
      <c r="M117" s="161">
        <v>0</v>
      </c>
      <c r="N117" s="161">
        <v>0</v>
      </c>
      <c r="O117" s="161">
        <v>1</v>
      </c>
      <c r="P117" s="161">
        <v>1</v>
      </c>
      <c r="Q117" s="161">
        <v>1</v>
      </c>
      <c r="R117" s="201">
        <v>141454</v>
      </c>
      <c r="S117" s="201">
        <v>79494</v>
      </c>
      <c r="T117" s="160">
        <f>IF(G117="","",IFERROR(IF(S117/R117&gt;'פרמטרים לקריטריונים'!$C$20,1,0),0))</f>
        <v>1</v>
      </c>
      <c r="U117" s="201">
        <v>79494</v>
      </c>
      <c r="V117" s="160">
        <f>IF(G117="","",IFERROR(IF(U117/R117&gt;'פרמטרים לקריטריונים'!$C$21,1,IF(AND(I117=$BW$5,U117/R117&gt;'פרמטרים לקריטריונים'!$C$22),1,0)),0))</f>
        <v>1</v>
      </c>
      <c r="W117" s="161">
        <v>1</v>
      </c>
      <c r="X117" s="161">
        <v>1</v>
      </c>
      <c r="Y117" s="201">
        <v>92000</v>
      </c>
      <c r="Z117" s="201">
        <v>92000</v>
      </c>
      <c r="AA117" s="161">
        <f t="shared" si="179"/>
        <v>1</v>
      </c>
      <c r="AB117" s="161"/>
      <c r="AC117" s="161"/>
      <c r="AD117" s="161"/>
      <c r="AE117" s="161"/>
      <c r="AF117" s="161"/>
      <c r="AG117" s="161"/>
      <c r="AH117" s="161"/>
      <c r="AI117" s="161"/>
      <c r="AJ117" s="161"/>
      <c r="AK117" s="161"/>
      <c r="AL117" s="161"/>
      <c r="AM117" s="161"/>
      <c r="AN117" s="161"/>
      <c r="AO117" s="161"/>
      <c r="AP117" s="161"/>
      <c r="AQ117" s="161"/>
      <c r="AR117" s="161"/>
      <c r="AS117" s="161"/>
      <c r="AT117" s="161"/>
      <c r="AU117" s="161"/>
      <c r="AV117" s="161"/>
      <c r="AW117" s="160"/>
      <c r="AX117" s="161"/>
      <c r="AY117" s="161"/>
      <c r="AZ117" s="161"/>
      <c r="BA117" s="161"/>
      <c r="BB117" s="161"/>
      <c r="BC117" s="161"/>
      <c r="BD117" s="161"/>
      <c r="BE117" s="161"/>
      <c r="BF117" s="160" t="str">
        <f t="shared" si="180"/>
        <v/>
      </c>
      <c r="BG117" s="160"/>
      <c r="BH117" s="160"/>
      <c r="BI117" s="160"/>
      <c r="BJ117" s="160"/>
      <c r="BK117" s="160"/>
      <c r="BL117" s="162">
        <f t="shared" si="131"/>
        <v>1</v>
      </c>
      <c r="BM117" s="257"/>
      <c r="BN117" s="163"/>
      <c r="BO117" s="211" t="str">
        <f t="shared" si="132"/>
        <v>מרכז פליציה בלומנטל למוזיקהקבוצות מוסיקה</v>
      </c>
      <c r="BP117" s="125">
        <f t="shared" si="133"/>
        <v>1</v>
      </c>
      <c r="BQ117" s="164">
        <v>0</v>
      </c>
      <c r="BR117" s="164">
        <v>1</v>
      </c>
      <c r="BS117" s="149">
        <f t="shared" si="134"/>
        <v>1</v>
      </c>
      <c r="BT117" s="149">
        <f t="shared" si="135"/>
        <v>1</v>
      </c>
      <c r="BU117" s="149">
        <f t="shared" si="136"/>
        <v>1</v>
      </c>
      <c r="BV117" s="149">
        <f t="shared" si="137"/>
        <v>1</v>
      </c>
      <c r="BW117" s="149">
        <f t="shared" si="138"/>
        <v>1</v>
      </c>
      <c r="BX117" s="149">
        <f t="shared" si="139"/>
        <v>1</v>
      </c>
      <c r="BY117" s="149">
        <f t="shared" si="140"/>
        <v>1</v>
      </c>
      <c r="BZ117" s="149">
        <f t="shared" si="141"/>
        <v>1</v>
      </c>
      <c r="CA117" s="149">
        <f t="shared" si="142"/>
        <v>1</v>
      </c>
      <c r="CB117" s="149">
        <f t="shared" si="143"/>
        <v>1</v>
      </c>
      <c r="CC117" s="149">
        <f t="shared" si="144"/>
        <v>1</v>
      </c>
      <c r="CD117" s="149">
        <f t="shared" si="145"/>
        <v>1</v>
      </c>
      <c r="CE117" s="149">
        <f t="shared" si="146"/>
        <v>1</v>
      </c>
      <c r="CF117" s="149">
        <f t="shared" si="147"/>
        <v>1</v>
      </c>
      <c r="CG117" s="149">
        <f t="shared" si="148"/>
        <v>1</v>
      </c>
      <c r="CH117" s="149">
        <f t="shared" si="149"/>
        <v>1</v>
      </c>
      <c r="CI117" s="149">
        <f t="shared" si="150"/>
        <v>1</v>
      </c>
      <c r="CJ117" s="149">
        <f t="shared" si="151"/>
        <v>1</v>
      </c>
      <c r="CK117" s="149">
        <f t="shared" si="152"/>
        <v>1</v>
      </c>
      <c r="CL117" s="149">
        <f t="shared" si="153"/>
        <v>1</v>
      </c>
      <c r="CM117" s="149">
        <f t="shared" si="154"/>
        <v>1</v>
      </c>
      <c r="CN117" s="149">
        <f t="shared" si="155"/>
        <v>1</v>
      </c>
      <c r="CO117" s="149">
        <f t="shared" si="156"/>
        <v>1</v>
      </c>
      <c r="CP117" s="149">
        <f t="shared" si="157"/>
        <v>1</v>
      </c>
      <c r="CQ117" s="149">
        <f t="shared" si="158"/>
        <v>1</v>
      </c>
      <c r="CR117" s="149">
        <f t="shared" si="159"/>
        <v>1</v>
      </c>
      <c r="CS117" s="149">
        <f t="shared" si="160"/>
        <v>1</v>
      </c>
      <c r="CT117" s="149">
        <f t="shared" si="161"/>
        <v>1</v>
      </c>
      <c r="CU117" s="149">
        <f t="shared" si="162"/>
        <v>1</v>
      </c>
      <c r="CV117" s="149">
        <f t="shared" si="163"/>
        <v>1</v>
      </c>
      <c r="CW117" s="149">
        <f t="shared" si="164"/>
        <v>1</v>
      </c>
      <c r="CX117" s="149">
        <f t="shared" si="165"/>
        <v>1</v>
      </c>
      <c r="CY117" s="149">
        <f t="shared" si="166"/>
        <v>1</v>
      </c>
      <c r="CZ117" s="149">
        <f t="shared" si="167"/>
        <v>1</v>
      </c>
      <c r="DA117" s="149">
        <f t="shared" si="168"/>
        <v>1</v>
      </c>
      <c r="DB117" s="149">
        <f t="shared" si="169"/>
        <v>1</v>
      </c>
      <c r="DG117" s="125">
        <f t="shared" si="181"/>
        <v>1</v>
      </c>
      <c r="DH117" s="125">
        <f t="shared" si="181"/>
        <v>2</v>
      </c>
      <c r="DI117" s="125">
        <f t="shared" si="181"/>
        <v>3</v>
      </c>
      <c r="DJ117" s="125">
        <f t="shared" si="181"/>
        <v>4</v>
      </c>
      <c r="DK117" s="125">
        <f t="shared" si="181"/>
        <v>5</v>
      </c>
      <c r="DL117" s="125">
        <f t="shared" si="181"/>
        <v>6</v>
      </c>
      <c r="DM117" s="125">
        <f t="shared" si="181"/>
        <v>7</v>
      </c>
      <c r="DN117" s="125">
        <f t="shared" si="181"/>
        <v>8</v>
      </c>
      <c r="DO117" s="125">
        <f t="shared" si="181"/>
        <v>9</v>
      </c>
      <c r="DP117" s="125">
        <f t="shared" si="181"/>
        <v>10</v>
      </c>
      <c r="DS117" s="137"/>
      <c r="DT117" s="137"/>
      <c r="DU117" s="137"/>
      <c r="DV117" s="137" t="b">
        <f t="shared" si="170"/>
        <v>0</v>
      </c>
      <c r="DW117" s="137" t="b">
        <f t="shared" si="171"/>
        <v>0</v>
      </c>
      <c r="DX117" s="137" t="b">
        <f t="shared" si="172"/>
        <v>1</v>
      </c>
      <c r="EB117" s="131">
        <f t="shared" si="182"/>
        <v>1</v>
      </c>
      <c r="EC117" s="137" t="b">
        <f t="shared" si="173"/>
        <v>0</v>
      </c>
      <c r="ED117" s="137" t="b">
        <f t="shared" si="174"/>
        <v>0</v>
      </c>
      <c r="EE117" s="137" t="b">
        <f t="shared" si="175"/>
        <v>1</v>
      </c>
      <c r="EF117" s="137"/>
      <c r="EG117" s="137"/>
      <c r="EH117" s="137"/>
      <c r="EI117" s="137"/>
      <c r="EJ117" s="137">
        <f t="shared" si="183"/>
        <v>1</v>
      </c>
      <c r="EK117" s="125">
        <f t="shared" si="176"/>
        <v>0</v>
      </c>
      <c r="EL117" s="125">
        <f t="shared" si="177"/>
        <v>0</v>
      </c>
    </row>
    <row r="118" spans="2:142" ht="15.75" x14ac:dyDescent="0.25">
      <c r="B118" s="160">
        <f t="shared" si="178"/>
        <v>88</v>
      </c>
      <c r="C118" s="205">
        <v>1001346710</v>
      </c>
      <c r="D118" s="205">
        <v>1001277161</v>
      </c>
      <c r="E118" s="205">
        <v>40221541</v>
      </c>
      <c r="F118" s="118">
        <f>IF(OR(J118="",H118=""),"",VLOOKUP(J118,'הזנה לסיווג רשויות'!$B$2:$D$301,2,0))</f>
        <v>20000201</v>
      </c>
      <c r="G118" s="118" t="str">
        <f>IF(OR(J118="",H118=""),"",VLOOKUP(J118,'הזנה לסיווג רשויות'!$B$2:$D$301,3,0))</f>
        <v>תל אביב -יפו</v>
      </c>
      <c r="H118" s="282" t="s">
        <v>602</v>
      </c>
      <c r="I118" s="201" t="s">
        <v>380</v>
      </c>
      <c r="J118" s="205">
        <v>5000</v>
      </c>
      <c r="K118" s="161">
        <v>0</v>
      </c>
      <c r="L118" s="161">
        <v>1</v>
      </c>
      <c r="M118" s="161">
        <v>0</v>
      </c>
      <c r="N118" s="161">
        <v>0</v>
      </c>
      <c r="O118" s="161">
        <v>1</v>
      </c>
      <c r="P118" s="161">
        <v>1</v>
      </c>
      <c r="Q118" s="161">
        <v>1</v>
      </c>
      <c r="R118" s="201">
        <v>84080</v>
      </c>
      <c r="S118" s="201">
        <v>29080</v>
      </c>
      <c r="T118" s="160">
        <f>IF(G118="","",IFERROR(IF(S118/R118&gt;'פרמטרים לקריטריונים'!$C$20,1,0),0))</f>
        <v>1</v>
      </c>
      <c r="U118" s="201">
        <v>29080</v>
      </c>
      <c r="V118" s="160">
        <f>IF(G118="","",IFERROR(IF(U118/R118&gt;'פרמטרים לקריטריונים'!$C$21,1,IF(AND(I118=$BW$5,U118/R118&gt;'פרמטרים לקריטריונים'!$C$22),1,0)),0))</f>
        <v>1</v>
      </c>
      <c r="W118" s="161">
        <v>1</v>
      </c>
      <c r="X118" s="161">
        <v>1</v>
      </c>
      <c r="Y118" s="201">
        <v>82000</v>
      </c>
      <c r="Z118" s="201">
        <v>82000</v>
      </c>
      <c r="AA118" s="161">
        <f t="shared" si="179"/>
        <v>1</v>
      </c>
      <c r="AB118" s="161"/>
      <c r="AC118" s="161"/>
      <c r="AD118" s="161"/>
      <c r="AE118" s="161"/>
      <c r="AF118" s="161"/>
      <c r="AG118" s="161"/>
      <c r="AH118" s="161"/>
      <c r="AI118" s="161"/>
      <c r="AJ118" s="161"/>
      <c r="AK118" s="161"/>
      <c r="AL118" s="161"/>
      <c r="AM118" s="161"/>
      <c r="AN118" s="161"/>
      <c r="AO118" s="161"/>
      <c r="AP118" s="161"/>
      <c r="AQ118" s="161"/>
      <c r="AR118" s="161"/>
      <c r="AS118" s="161"/>
      <c r="AT118" s="161"/>
      <c r="AU118" s="161"/>
      <c r="AV118" s="161"/>
      <c r="AW118" s="160"/>
      <c r="AX118" s="161"/>
      <c r="AY118" s="161"/>
      <c r="AZ118" s="161"/>
      <c r="BA118" s="161"/>
      <c r="BB118" s="161"/>
      <c r="BC118" s="161"/>
      <c r="BD118" s="161"/>
      <c r="BE118" s="161"/>
      <c r="BF118" s="160" t="str">
        <f t="shared" si="180"/>
        <v/>
      </c>
      <c r="BG118" s="160"/>
      <c r="BH118" s="160"/>
      <c r="BI118" s="160"/>
      <c r="BJ118" s="160"/>
      <c r="BK118" s="160"/>
      <c r="BL118" s="162">
        <f t="shared" si="131"/>
        <v>1</v>
      </c>
      <c r="BM118" s="257"/>
      <c r="BN118" s="163"/>
      <c r="BO118" s="211" t="str">
        <f t="shared" si="132"/>
        <v>מרכז פליציה בלומנטל למוזיקהקבוצות מוסיקה</v>
      </c>
      <c r="BP118" s="125">
        <f t="shared" si="133"/>
        <v>1</v>
      </c>
      <c r="BQ118" s="164">
        <v>0</v>
      </c>
      <c r="BR118" s="164">
        <v>1</v>
      </c>
      <c r="BS118" s="149">
        <f t="shared" si="134"/>
        <v>1</v>
      </c>
      <c r="BT118" s="149">
        <f t="shared" si="135"/>
        <v>1</v>
      </c>
      <c r="BU118" s="149">
        <f t="shared" si="136"/>
        <v>1</v>
      </c>
      <c r="BV118" s="149">
        <f t="shared" si="137"/>
        <v>1</v>
      </c>
      <c r="BW118" s="149">
        <f t="shared" si="138"/>
        <v>1</v>
      </c>
      <c r="BX118" s="149">
        <f t="shared" si="139"/>
        <v>1</v>
      </c>
      <c r="BY118" s="149">
        <f t="shared" si="140"/>
        <v>1</v>
      </c>
      <c r="BZ118" s="149">
        <f t="shared" si="141"/>
        <v>1</v>
      </c>
      <c r="CA118" s="149">
        <f t="shared" si="142"/>
        <v>1</v>
      </c>
      <c r="CB118" s="149">
        <f t="shared" si="143"/>
        <v>1</v>
      </c>
      <c r="CC118" s="149">
        <f t="shared" si="144"/>
        <v>1</v>
      </c>
      <c r="CD118" s="149">
        <f t="shared" si="145"/>
        <v>1</v>
      </c>
      <c r="CE118" s="149">
        <f t="shared" si="146"/>
        <v>1</v>
      </c>
      <c r="CF118" s="149">
        <f t="shared" si="147"/>
        <v>1</v>
      </c>
      <c r="CG118" s="149">
        <f t="shared" si="148"/>
        <v>1</v>
      </c>
      <c r="CH118" s="149">
        <f t="shared" si="149"/>
        <v>1</v>
      </c>
      <c r="CI118" s="149">
        <f t="shared" si="150"/>
        <v>1</v>
      </c>
      <c r="CJ118" s="149">
        <f t="shared" si="151"/>
        <v>1</v>
      </c>
      <c r="CK118" s="149">
        <f t="shared" si="152"/>
        <v>1</v>
      </c>
      <c r="CL118" s="149">
        <f t="shared" si="153"/>
        <v>1</v>
      </c>
      <c r="CM118" s="149">
        <f t="shared" si="154"/>
        <v>1</v>
      </c>
      <c r="CN118" s="149">
        <f t="shared" si="155"/>
        <v>1</v>
      </c>
      <c r="CO118" s="149">
        <f t="shared" si="156"/>
        <v>1</v>
      </c>
      <c r="CP118" s="149">
        <f t="shared" si="157"/>
        <v>1</v>
      </c>
      <c r="CQ118" s="149">
        <f t="shared" si="158"/>
        <v>1</v>
      </c>
      <c r="CR118" s="149">
        <f t="shared" si="159"/>
        <v>1</v>
      </c>
      <c r="CS118" s="149">
        <f t="shared" si="160"/>
        <v>1</v>
      </c>
      <c r="CT118" s="149">
        <f t="shared" si="161"/>
        <v>1</v>
      </c>
      <c r="CU118" s="149">
        <f t="shared" si="162"/>
        <v>1</v>
      </c>
      <c r="CV118" s="149">
        <f t="shared" si="163"/>
        <v>1</v>
      </c>
      <c r="CW118" s="149">
        <f t="shared" si="164"/>
        <v>1</v>
      </c>
      <c r="CX118" s="149">
        <f t="shared" si="165"/>
        <v>1</v>
      </c>
      <c r="CY118" s="149">
        <f t="shared" si="166"/>
        <v>1</v>
      </c>
      <c r="CZ118" s="149">
        <f t="shared" si="167"/>
        <v>1</v>
      </c>
      <c r="DA118" s="149">
        <f t="shared" si="168"/>
        <v>1</v>
      </c>
      <c r="DB118" s="149">
        <f t="shared" si="169"/>
        <v>1</v>
      </c>
      <c r="DG118" s="125">
        <f t="shared" si="181"/>
        <v>1</v>
      </c>
      <c r="DH118" s="125">
        <f t="shared" si="181"/>
        <v>2</v>
      </c>
      <c r="DI118" s="125">
        <f t="shared" si="181"/>
        <v>3</v>
      </c>
      <c r="DJ118" s="125">
        <f t="shared" si="181"/>
        <v>4</v>
      </c>
      <c r="DK118" s="125">
        <f t="shared" si="181"/>
        <v>5</v>
      </c>
      <c r="DL118" s="125">
        <f t="shared" si="181"/>
        <v>6</v>
      </c>
      <c r="DM118" s="125">
        <f t="shared" si="181"/>
        <v>7</v>
      </c>
      <c r="DN118" s="125">
        <f t="shared" si="181"/>
        <v>8</v>
      </c>
      <c r="DO118" s="125">
        <f t="shared" si="181"/>
        <v>9</v>
      </c>
      <c r="DP118" s="125">
        <f t="shared" si="181"/>
        <v>10</v>
      </c>
      <c r="DS118" s="137"/>
      <c r="DT118" s="137"/>
      <c r="DU118" s="137"/>
      <c r="DV118" s="137" t="b">
        <f t="shared" si="170"/>
        <v>0</v>
      </c>
      <c r="DW118" s="137" t="b">
        <f t="shared" si="171"/>
        <v>0</v>
      </c>
      <c r="DX118" s="137" t="b">
        <f t="shared" si="172"/>
        <v>1</v>
      </c>
      <c r="EB118" s="131">
        <f t="shared" si="182"/>
        <v>1</v>
      </c>
      <c r="EC118" s="137" t="b">
        <f t="shared" si="173"/>
        <v>0</v>
      </c>
      <c r="ED118" s="137" t="b">
        <f t="shared" si="174"/>
        <v>0</v>
      </c>
      <c r="EE118" s="137" t="b">
        <f t="shared" si="175"/>
        <v>1</v>
      </c>
      <c r="EF118" s="137"/>
      <c r="EG118" s="137"/>
      <c r="EH118" s="137"/>
      <c r="EI118" s="137"/>
      <c r="EJ118" s="137">
        <f t="shared" si="183"/>
        <v>1</v>
      </c>
      <c r="EK118" s="125">
        <f t="shared" si="176"/>
        <v>0</v>
      </c>
      <c r="EL118" s="125">
        <f t="shared" si="177"/>
        <v>0</v>
      </c>
    </row>
    <row r="119" spans="2:142" ht="15.75" x14ac:dyDescent="0.25">
      <c r="B119" s="160">
        <f t="shared" si="178"/>
        <v>89</v>
      </c>
      <c r="C119" s="205">
        <v>1001346712</v>
      </c>
      <c r="D119" s="205">
        <v>1001277159</v>
      </c>
      <c r="E119" s="205">
        <v>40221541</v>
      </c>
      <c r="F119" s="118">
        <f>IF(OR(J119="",H119=""),"",VLOOKUP(J119,'הזנה לסיווג רשויות'!$B$2:$D$301,2,0))</f>
        <v>20000201</v>
      </c>
      <c r="G119" s="118" t="str">
        <f>IF(OR(J119="",H119=""),"",VLOOKUP(J119,'הזנה לסיווג רשויות'!$B$2:$D$301,3,0))</f>
        <v>תל אביב -יפו</v>
      </c>
      <c r="H119" s="282" t="s">
        <v>602</v>
      </c>
      <c r="I119" s="201" t="s">
        <v>376</v>
      </c>
      <c r="J119" s="205">
        <v>5000</v>
      </c>
      <c r="K119" s="161">
        <v>0</v>
      </c>
      <c r="L119" s="161">
        <v>1</v>
      </c>
      <c r="M119" s="161">
        <v>0</v>
      </c>
      <c r="N119" s="161">
        <v>0</v>
      </c>
      <c r="O119" s="161">
        <v>1</v>
      </c>
      <c r="P119" s="161">
        <v>1</v>
      </c>
      <c r="Q119" s="161">
        <v>1</v>
      </c>
      <c r="R119" s="201">
        <v>103769</v>
      </c>
      <c r="S119" s="201">
        <v>68769</v>
      </c>
      <c r="T119" s="160">
        <f>IF(G119="","",IFERROR(IF(S119/R119&gt;'פרמטרים לקריטריונים'!$C$20,1,0),0))</f>
        <v>1</v>
      </c>
      <c r="U119" s="201">
        <v>68769</v>
      </c>
      <c r="V119" s="160">
        <f>IF(G119="","",IFERROR(IF(U119/R119&gt;'פרמטרים לקריטריונים'!$C$21,1,IF(AND(I119=$BW$5,U119/R119&gt;'פרמטרים לקריטריונים'!$C$22),1,0)),0))</f>
        <v>1</v>
      </c>
      <c r="W119" s="161">
        <v>1</v>
      </c>
      <c r="X119" s="161">
        <v>1</v>
      </c>
      <c r="Y119" s="201">
        <v>85000</v>
      </c>
      <c r="Z119" s="201">
        <v>85000</v>
      </c>
      <c r="AA119" s="161">
        <f t="shared" si="179"/>
        <v>1</v>
      </c>
      <c r="AB119" s="161"/>
      <c r="AC119" s="161"/>
      <c r="AD119" s="161"/>
      <c r="AE119" s="161"/>
      <c r="AF119" s="161"/>
      <c r="AG119" s="161"/>
      <c r="AH119" s="161"/>
      <c r="AI119" s="161"/>
      <c r="AJ119" s="161"/>
      <c r="AK119" s="161"/>
      <c r="AL119" s="161"/>
      <c r="AM119" s="161"/>
      <c r="AN119" s="161"/>
      <c r="AO119" s="161"/>
      <c r="AP119" s="161"/>
      <c r="AQ119" s="161"/>
      <c r="AR119" s="161"/>
      <c r="AS119" s="161"/>
      <c r="AT119" s="161"/>
      <c r="AU119" s="161"/>
      <c r="AV119" s="161"/>
      <c r="AW119" s="160"/>
      <c r="AX119" s="161"/>
      <c r="AY119" s="161"/>
      <c r="AZ119" s="161"/>
      <c r="BA119" s="161"/>
      <c r="BB119" s="161"/>
      <c r="BC119" s="161"/>
      <c r="BD119" s="161"/>
      <c r="BE119" s="161"/>
      <c r="BF119" s="160" t="str">
        <f t="shared" si="180"/>
        <v/>
      </c>
      <c r="BG119" s="160"/>
      <c r="BH119" s="160"/>
      <c r="BI119" s="160"/>
      <c r="BJ119" s="160"/>
      <c r="BK119" s="160"/>
      <c r="BL119" s="162">
        <f t="shared" si="131"/>
        <v>1</v>
      </c>
      <c r="BM119" s="257"/>
      <c r="BN119" s="163"/>
      <c r="BO119" s="211" t="str">
        <f t="shared" si="132"/>
        <v>מרכז פליציה בלומנטל למוזיקהמוסיקה-גופים כליים</v>
      </c>
      <c r="BP119" s="125">
        <f t="shared" si="133"/>
        <v>1</v>
      </c>
      <c r="BQ119" s="164">
        <v>0</v>
      </c>
      <c r="BR119" s="164">
        <v>1</v>
      </c>
      <c r="BS119" s="149">
        <f t="shared" si="134"/>
        <v>1</v>
      </c>
      <c r="BT119" s="149">
        <f t="shared" si="135"/>
        <v>1</v>
      </c>
      <c r="BU119" s="149">
        <f t="shared" si="136"/>
        <v>1</v>
      </c>
      <c r="BV119" s="149">
        <f t="shared" si="137"/>
        <v>1</v>
      </c>
      <c r="BW119" s="149">
        <f t="shared" si="138"/>
        <v>1</v>
      </c>
      <c r="BX119" s="149">
        <f t="shared" si="139"/>
        <v>1</v>
      </c>
      <c r="BY119" s="149">
        <f t="shared" si="140"/>
        <v>1</v>
      </c>
      <c r="BZ119" s="149">
        <f t="shared" si="141"/>
        <v>1</v>
      </c>
      <c r="CA119" s="149">
        <f t="shared" si="142"/>
        <v>1</v>
      </c>
      <c r="CB119" s="149">
        <f t="shared" si="143"/>
        <v>1</v>
      </c>
      <c r="CC119" s="149">
        <f t="shared" si="144"/>
        <v>1</v>
      </c>
      <c r="CD119" s="149">
        <f t="shared" si="145"/>
        <v>1</v>
      </c>
      <c r="CE119" s="149">
        <f t="shared" si="146"/>
        <v>1</v>
      </c>
      <c r="CF119" s="149">
        <f t="shared" si="147"/>
        <v>1</v>
      </c>
      <c r="CG119" s="149">
        <f t="shared" si="148"/>
        <v>1</v>
      </c>
      <c r="CH119" s="149">
        <f t="shared" si="149"/>
        <v>1</v>
      </c>
      <c r="CI119" s="149">
        <f t="shared" si="150"/>
        <v>1</v>
      </c>
      <c r="CJ119" s="149">
        <f t="shared" si="151"/>
        <v>1</v>
      </c>
      <c r="CK119" s="149">
        <f t="shared" si="152"/>
        <v>1</v>
      </c>
      <c r="CL119" s="149">
        <f t="shared" si="153"/>
        <v>1</v>
      </c>
      <c r="CM119" s="149">
        <f t="shared" si="154"/>
        <v>1</v>
      </c>
      <c r="CN119" s="149">
        <f t="shared" si="155"/>
        <v>1</v>
      </c>
      <c r="CO119" s="149">
        <f t="shared" si="156"/>
        <v>1</v>
      </c>
      <c r="CP119" s="149">
        <f t="shared" si="157"/>
        <v>1</v>
      </c>
      <c r="CQ119" s="149">
        <f t="shared" si="158"/>
        <v>1</v>
      </c>
      <c r="CR119" s="149">
        <f t="shared" si="159"/>
        <v>1</v>
      </c>
      <c r="CS119" s="149">
        <f t="shared" si="160"/>
        <v>1</v>
      </c>
      <c r="CT119" s="149">
        <f t="shared" si="161"/>
        <v>1</v>
      </c>
      <c r="CU119" s="149">
        <f t="shared" si="162"/>
        <v>1</v>
      </c>
      <c r="CV119" s="149">
        <f t="shared" si="163"/>
        <v>1</v>
      </c>
      <c r="CW119" s="149">
        <f t="shared" si="164"/>
        <v>1</v>
      </c>
      <c r="CX119" s="149">
        <f t="shared" si="165"/>
        <v>1</v>
      </c>
      <c r="CY119" s="149">
        <f t="shared" si="166"/>
        <v>1</v>
      </c>
      <c r="CZ119" s="149">
        <f t="shared" si="167"/>
        <v>1</v>
      </c>
      <c r="DA119" s="149">
        <f t="shared" si="168"/>
        <v>1</v>
      </c>
      <c r="DB119" s="149">
        <f t="shared" si="169"/>
        <v>1</v>
      </c>
      <c r="DG119" s="125">
        <f t="shared" si="181"/>
        <v>1</v>
      </c>
      <c r="DH119" s="125">
        <f t="shared" si="181"/>
        <v>2</v>
      </c>
      <c r="DI119" s="125">
        <f t="shared" si="181"/>
        <v>3</v>
      </c>
      <c r="DJ119" s="125">
        <f t="shared" si="181"/>
        <v>4</v>
      </c>
      <c r="DK119" s="125">
        <f t="shared" si="181"/>
        <v>5</v>
      </c>
      <c r="DL119" s="125">
        <f t="shared" si="181"/>
        <v>6</v>
      </c>
      <c r="DM119" s="125">
        <f t="shared" si="181"/>
        <v>7</v>
      </c>
      <c r="DN119" s="125">
        <f t="shared" si="181"/>
        <v>8</v>
      </c>
      <c r="DO119" s="125">
        <f t="shared" si="181"/>
        <v>9</v>
      </c>
      <c r="DP119" s="125">
        <f t="shared" si="181"/>
        <v>10</v>
      </c>
      <c r="DS119" s="137"/>
      <c r="DT119" s="137"/>
      <c r="DU119" s="137"/>
      <c r="DV119" s="137" t="b">
        <f t="shared" si="170"/>
        <v>0</v>
      </c>
      <c r="DW119" s="137" t="b">
        <f t="shared" si="171"/>
        <v>0</v>
      </c>
      <c r="DX119" s="137" t="b">
        <f t="shared" si="172"/>
        <v>1</v>
      </c>
      <c r="EB119" s="131">
        <f t="shared" si="182"/>
        <v>1</v>
      </c>
      <c r="EC119" s="137" t="b">
        <f t="shared" si="173"/>
        <v>0</v>
      </c>
      <c r="ED119" s="137" t="b">
        <f t="shared" si="174"/>
        <v>0</v>
      </c>
      <c r="EE119" s="137" t="b">
        <f t="shared" si="175"/>
        <v>1</v>
      </c>
      <c r="EF119" s="137"/>
      <c r="EG119" s="137"/>
      <c r="EH119" s="137"/>
      <c r="EI119" s="137"/>
      <c r="EJ119" s="137">
        <f t="shared" si="183"/>
        <v>1</v>
      </c>
      <c r="EK119" s="125">
        <f t="shared" si="176"/>
        <v>0</v>
      </c>
      <c r="EL119" s="125">
        <f t="shared" si="177"/>
        <v>0</v>
      </c>
    </row>
    <row r="120" spans="2:142" ht="15.75" x14ac:dyDescent="0.25">
      <c r="B120" s="160">
        <f t="shared" si="178"/>
        <v>90</v>
      </c>
      <c r="C120" s="205">
        <v>1001346713</v>
      </c>
      <c r="D120" s="205">
        <v>1001277173</v>
      </c>
      <c r="E120" s="205">
        <v>40221541</v>
      </c>
      <c r="F120" s="118">
        <f>IF(OR(J120="",H120=""),"",VLOOKUP(J120,'הזנה לסיווג רשויות'!$B$2:$D$301,2,0))</f>
        <v>20000201</v>
      </c>
      <c r="G120" s="118" t="str">
        <f>IF(OR(J120="",H120=""),"",VLOOKUP(J120,'הזנה לסיווג רשויות'!$B$2:$D$301,3,0))</f>
        <v>תל אביב -יפו</v>
      </c>
      <c r="H120" s="282" t="s">
        <v>602</v>
      </c>
      <c r="I120" s="201" t="s">
        <v>380</v>
      </c>
      <c r="J120" s="205">
        <v>5000</v>
      </c>
      <c r="K120" s="161">
        <v>0</v>
      </c>
      <c r="L120" s="161">
        <v>1</v>
      </c>
      <c r="M120" s="161">
        <v>0</v>
      </c>
      <c r="N120" s="161">
        <v>0</v>
      </c>
      <c r="O120" s="161">
        <v>1</v>
      </c>
      <c r="P120" s="161">
        <v>1</v>
      </c>
      <c r="Q120" s="161">
        <v>1</v>
      </c>
      <c r="R120" s="201">
        <v>121901</v>
      </c>
      <c r="S120" s="201">
        <v>59941</v>
      </c>
      <c r="T120" s="160">
        <f>IF(G120="","",IFERROR(IF(S120/R120&gt;'פרמטרים לקריטריונים'!$C$20,1,0),0))</f>
        <v>1</v>
      </c>
      <c r="U120" s="201">
        <v>49941</v>
      </c>
      <c r="V120" s="160">
        <f>IF(G120="","",IFERROR(IF(U120/R120&gt;'פרמטרים לקריטריונים'!$C$21,1,IF(AND(I120=$BW$5,U120/R120&gt;'פרמטרים לקריטריונים'!$C$22),1,0)),0))</f>
        <v>1</v>
      </c>
      <c r="W120" s="161">
        <v>1</v>
      </c>
      <c r="X120" s="161">
        <v>1</v>
      </c>
      <c r="Y120" s="201">
        <v>90000</v>
      </c>
      <c r="Z120" s="201">
        <v>90000</v>
      </c>
      <c r="AA120" s="161">
        <f t="shared" si="179"/>
        <v>1</v>
      </c>
      <c r="AB120" s="161"/>
      <c r="AC120" s="161"/>
      <c r="AD120" s="161"/>
      <c r="AE120" s="161"/>
      <c r="AF120" s="161"/>
      <c r="AG120" s="161"/>
      <c r="AH120" s="161"/>
      <c r="AI120" s="161"/>
      <c r="AJ120" s="161"/>
      <c r="AK120" s="161"/>
      <c r="AL120" s="161"/>
      <c r="AM120" s="161"/>
      <c r="AN120" s="161"/>
      <c r="AO120" s="161"/>
      <c r="AP120" s="161"/>
      <c r="AQ120" s="161"/>
      <c r="AR120" s="161"/>
      <c r="AS120" s="161"/>
      <c r="AT120" s="161"/>
      <c r="AU120" s="161"/>
      <c r="AV120" s="161"/>
      <c r="AW120" s="160"/>
      <c r="AX120" s="161"/>
      <c r="AY120" s="161"/>
      <c r="AZ120" s="161"/>
      <c r="BA120" s="161"/>
      <c r="BB120" s="161"/>
      <c r="BC120" s="161"/>
      <c r="BD120" s="161"/>
      <c r="BE120" s="161"/>
      <c r="BF120" s="160" t="str">
        <f t="shared" si="180"/>
        <v/>
      </c>
      <c r="BG120" s="160"/>
      <c r="BH120" s="160"/>
      <c r="BI120" s="160"/>
      <c r="BJ120" s="160"/>
      <c r="BK120" s="160"/>
      <c r="BL120" s="162">
        <f t="shared" si="131"/>
        <v>1</v>
      </c>
      <c r="BM120" s="257"/>
      <c r="BN120" s="163"/>
      <c r="BO120" s="211" t="str">
        <f t="shared" si="132"/>
        <v>מרכז פליציה בלומנטל למוזיקהקבוצות מוסיקה</v>
      </c>
      <c r="BP120" s="125">
        <f t="shared" si="133"/>
        <v>1</v>
      </c>
      <c r="BQ120" s="164">
        <v>0</v>
      </c>
      <c r="BR120" s="164">
        <v>1</v>
      </c>
      <c r="BS120" s="149">
        <f t="shared" si="134"/>
        <v>1</v>
      </c>
      <c r="BT120" s="149">
        <f t="shared" si="135"/>
        <v>1</v>
      </c>
      <c r="BU120" s="149">
        <f t="shared" si="136"/>
        <v>1</v>
      </c>
      <c r="BV120" s="149">
        <f t="shared" si="137"/>
        <v>1</v>
      </c>
      <c r="BW120" s="149">
        <f t="shared" si="138"/>
        <v>1</v>
      </c>
      <c r="BX120" s="149">
        <f t="shared" si="139"/>
        <v>1</v>
      </c>
      <c r="BY120" s="149">
        <f t="shared" si="140"/>
        <v>1</v>
      </c>
      <c r="BZ120" s="149">
        <f t="shared" si="141"/>
        <v>1</v>
      </c>
      <c r="CA120" s="149">
        <f t="shared" si="142"/>
        <v>1</v>
      </c>
      <c r="CB120" s="149">
        <f t="shared" si="143"/>
        <v>1</v>
      </c>
      <c r="CC120" s="149">
        <f t="shared" si="144"/>
        <v>1</v>
      </c>
      <c r="CD120" s="149">
        <f t="shared" si="145"/>
        <v>1</v>
      </c>
      <c r="CE120" s="149">
        <f t="shared" si="146"/>
        <v>1</v>
      </c>
      <c r="CF120" s="149">
        <f t="shared" si="147"/>
        <v>1</v>
      </c>
      <c r="CG120" s="149">
        <f t="shared" si="148"/>
        <v>1</v>
      </c>
      <c r="CH120" s="149">
        <f t="shared" si="149"/>
        <v>1</v>
      </c>
      <c r="CI120" s="149">
        <f t="shared" si="150"/>
        <v>1</v>
      </c>
      <c r="CJ120" s="149">
        <f t="shared" si="151"/>
        <v>1</v>
      </c>
      <c r="CK120" s="149">
        <f t="shared" si="152"/>
        <v>1</v>
      </c>
      <c r="CL120" s="149">
        <f t="shared" si="153"/>
        <v>1</v>
      </c>
      <c r="CM120" s="149">
        <f t="shared" si="154"/>
        <v>1</v>
      </c>
      <c r="CN120" s="149">
        <f t="shared" si="155"/>
        <v>1</v>
      </c>
      <c r="CO120" s="149">
        <f t="shared" si="156"/>
        <v>1</v>
      </c>
      <c r="CP120" s="149">
        <f t="shared" si="157"/>
        <v>1</v>
      </c>
      <c r="CQ120" s="149">
        <f t="shared" si="158"/>
        <v>1</v>
      </c>
      <c r="CR120" s="149">
        <f t="shared" si="159"/>
        <v>1</v>
      </c>
      <c r="CS120" s="149">
        <f t="shared" si="160"/>
        <v>1</v>
      </c>
      <c r="CT120" s="149">
        <f t="shared" si="161"/>
        <v>1</v>
      </c>
      <c r="CU120" s="149">
        <f t="shared" si="162"/>
        <v>1</v>
      </c>
      <c r="CV120" s="149">
        <f t="shared" si="163"/>
        <v>1</v>
      </c>
      <c r="CW120" s="149">
        <f t="shared" si="164"/>
        <v>1</v>
      </c>
      <c r="CX120" s="149">
        <f t="shared" si="165"/>
        <v>1</v>
      </c>
      <c r="CY120" s="149">
        <f t="shared" si="166"/>
        <v>1</v>
      </c>
      <c r="CZ120" s="149">
        <f t="shared" si="167"/>
        <v>1</v>
      </c>
      <c r="DA120" s="149">
        <f t="shared" si="168"/>
        <v>1</v>
      </c>
      <c r="DB120" s="149">
        <f t="shared" si="169"/>
        <v>1</v>
      </c>
      <c r="DG120" s="125">
        <f t="shared" si="181"/>
        <v>1</v>
      </c>
      <c r="DH120" s="125">
        <f t="shared" si="181"/>
        <v>2</v>
      </c>
      <c r="DI120" s="125">
        <f t="shared" si="181"/>
        <v>3</v>
      </c>
      <c r="DJ120" s="125">
        <f t="shared" si="181"/>
        <v>4</v>
      </c>
      <c r="DK120" s="125">
        <f t="shared" si="181"/>
        <v>5</v>
      </c>
      <c r="DL120" s="125">
        <f t="shared" si="181"/>
        <v>6</v>
      </c>
      <c r="DM120" s="125">
        <f t="shared" si="181"/>
        <v>7</v>
      </c>
      <c r="DN120" s="125">
        <f t="shared" si="181"/>
        <v>8</v>
      </c>
      <c r="DO120" s="125">
        <f t="shared" si="181"/>
        <v>9</v>
      </c>
      <c r="DP120" s="125">
        <f t="shared" si="181"/>
        <v>10</v>
      </c>
      <c r="DS120" s="137"/>
      <c r="DT120" s="137"/>
      <c r="DU120" s="137"/>
      <c r="DV120" s="137" t="b">
        <f t="shared" si="170"/>
        <v>0</v>
      </c>
      <c r="DW120" s="137" t="b">
        <f t="shared" si="171"/>
        <v>0</v>
      </c>
      <c r="DX120" s="137" t="b">
        <f t="shared" si="172"/>
        <v>1</v>
      </c>
      <c r="EB120" s="131">
        <f t="shared" si="182"/>
        <v>1</v>
      </c>
      <c r="EC120" s="137" t="b">
        <f t="shared" si="173"/>
        <v>0</v>
      </c>
      <c r="ED120" s="137" t="b">
        <f t="shared" si="174"/>
        <v>0</v>
      </c>
      <c r="EE120" s="137" t="b">
        <f t="shared" si="175"/>
        <v>1</v>
      </c>
      <c r="EF120" s="137"/>
      <c r="EG120" s="137"/>
      <c r="EH120" s="137"/>
      <c r="EI120" s="137"/>
      <c r="EJ120" s="137">
        <f t="shared" si="183"/>
        <v>1</v>
      </c>
      <c r="EK120" s="125">
        <f t="shared" si="176"/>
        <v>0</v>
      </c>
      <c r="EL120" s="125">
        <f t="shared" si="177"/>
        <v>0</v>
      </c>
    </row>
    <row r="121" spans="2:142" ht="15.75" x14ac:dyDescent="0.25">
      <c r="B121" s="160">
        <f t="shared" si="178"/>
        <v>91</v>
      </c>
      <c r="C121" s="205">
        <v>1001346714</v>
      </c>
      <c r="D121" s="205">
        <v>1001277167</v>
      </c>
      <c r="E121" s="205">
        <v>40221541</v>
      </c>
      <c r="F121" s="118">
        <f>IF(OR(J121="",H121=""),"",VLOOKUP(J121,'הזנה לסיווג רשויות'!$B$2:$D$301,2,0))</f>
        <v>20000201</v>
      </c>
      <c r="G121" s="118" t="str">
        <f>IF(OR(J121="",H121=""),"",VLOOKUP(J121,'הזנה לסיווג רשויות'!$B$2:$D$301,3,0))</f>
        <v>תל אביב -יפו</v>
      </c>
      <c r="H121" s="282" t="s">
        <v>602</v>
      </c>
      <c r="I121" s="201" t="s">
        <v>380</v>
      </c>
      <c r="J121" s="205">
        <v>5000</v>
      </c>
      <c r="K121" s="161">
        <v>0</v>
      </c>
      <c r="L121" s="161">
        <v>1</v>
      </c>
      <c r="M121" s="161">
        <v>0</v>
      </c>
      <c r="N121" s="161">
        <v>0</v>
      </c>
      <c r="O121" s="161">
        <v>1</v>
      </c>
      <c r="P121" s="161">
        <v>1</v>
      </c>
      <c r="Q121" s="161">
        <v>1</v>
      </c>
      <c r="R121" s="201">
        <v>77032</v>
      </c>
      <c r="S121" s="201">
        <v>47032</v>
      </c>
      <c r="T121" s="160">
        <f>IF(G121="","",IFERROR(IF(S121/R121&gt;'פרמטרים לקריטריונים'!$C$20,1,0),0))</f>
        <v>1</v>
      </c>
      <c r="U121" s="201">
        <v>47032</v>
      </c>
      <c r="V121" s="160">
        <f>IF(G121="","",IFERROR(IF(U121/R121&gt;'פרמטרים לקריטריונים'!$C$21,1,IF(AND(I121=$BW$5,U121/R121&gt;'פרמטרים לקריטריונים'!$C$22),1,0)),0))</f>
        <v>1</v>
      </c>
      <c r="W121" s="161">
        <v>1</v>
      </c>
      <c r="X121" s="161">
        <v>1</v>
      </c>
      <c r="Y121" s="201">
        <v>55000</v>
      </c>
      <c r="Z121" s="201">
        <v>55000</v>
      </c>
      <c r="AA121" s="161">
        <f t="shared" si="179"/>
        <v>1</v>
      </c>
      <c r="AB121" s="161"/>
      <c r="AC121" s="161"/>
      <c r="AD121" s="161"/>
      <c r="AE121" s="161"/>
      <c r="AF121" s="161"/>
      <c r="AG121" s="161"/>
      <c r="AH121" s="161"/>
      <c r="AI121" s="161"/>
      <c r="AJ121" s="161"/>
      <c r="AK121" s="161"/>
      <c r="AL121" s="161"/>
      <c r="AM121" s="161"/>
      <c r="AN121" s="161"/>
      <c r="AO121" s="161"/>
      <c r="AP121" s="161"/>
      <c r="AQ121" s="161"/>
      <c r="AR121" s="161"/>
      <c r="AS121" s="161"/>
      <c r="AT121" s="161"/>
      <c r="AU121" s="161"/>
      <c r="AV121" s="161"/>
      <c r="AW121" s="160"/>
      <c r="AX121" s="161"/>
      <c r="AY121" s="161"/>
      <c r="AZ121" s="161"/>
      <c r="BA121" s="161"/>
      <c r="BB121" s="161"/>
      <c r="BC121" s="161"/>
      <c r="BD121" s="161"/>
      <c r="BE121" s="161"/>
      <c r="BF121" s="160" t="str">
        <f t="shared" si="180"/>
        <v/>
      </c>
      <c r="BG121" s="160"/>
      <c r="BH121" s="160"/>
      <c r="BI121" s="160"/>
      <c r="BJ121" s="160"/>
      <c r="BK121" s="160"/>
      <c r="BL121" s="162">
        <f t="shared" si="131"/>
        <v>1</v>
      </c>
      <c r="BM121" s="257"/>
      <c r="BN121" s="163"/>
      <c r="BO121" s="211" t="str">
        <f t="shared" si="132"/>
        <v>מרכז פליציה בלומנטל למוזיקהקבוצות מוסיקה</v>
      </c>
      <c r="BP121" s="125">
        <f t="shared" si="133"/>
        <v>1</v>
      </c>
      <c r="BQ121" s="164">
        <v>0</v>
      </c>
      <c r="BR121" s="164">
        <v>1</v>
      </c>
      <c r="BS121" s="149">
        <f t="shared" si="134"/>
        <v>1</v>
      </c>
      <c r="BT121" s="149">
        <f t="shared" si="135"/>
        <v>1</v>
      </c>
      <c r="BU121" s="149">
        <f t="shared" si="136"/>
        <v>1</v>
      </c>
      <c r="BV121" s="149">
        <f t="shared" si="137"/>
        <v>1</v>
      </c>
      <c r="BW121" s="149">
        <f t="shared" si="138"/>
        <v>1</v>
      </c>
      <c r="BX121" s="149">
        <f t="shared" si="139"/>
        <v>1</v>
      </c>
      <c r="BY121" s="149">
        <f t="shared" si="140"/>
        <v>1</v>
      </c>
      <c r="BZ121" s="149">
        <f t="shared" si="141"/>
        <v>1</v>
      </c>
      <c r="CA121" s="149">
        <f t="shared" si="142"/>
        <v>1</v>
      </c>
      <c r="CB121" s="149">
        <f t="shared" si="143"/>
        <v>1</v>
      </c>
      <c r="CC121" s="149">
        <f t="shared" si="144"/>
        <v>1</v>
      </c>
      <c r="CD121" s="149">
        <f t="shared" si="145"/>
        <v>1</v>
      </c>
      <c r="CE121" s="149">
        <f t="shared" si="146"/>
        <v>1</v>
      </c>
      <c r="CF121" s="149">
        <f t="shared" si="147"/>
        <v>1</v>
      </c>
      <c r="CG121" s="149">
        <f t="shared" si="148"/>
        <v>1</v>
      </c>
      <c r="CH121" s="149">
        <f t="shared" si="149"/>
        <v>1</v>
      </c>
      <c r="CI121" s="149">
        <f t="shared" si="150"/>
        <v>1</v>
      </c>
      <c r="CJ121" s="149">
        <f t="shared" si="151"/>
        <v>1</v>
      </c>
      <c r="CK121" s="149">
        <f t="shared" si="152"/>
        <v>1</v>
      </c>
      <c r="CL121" s="149">
        <f t="shared" si="153"/>
        <v>1</v>
      </c>
      <c r="CM121" s="149">
        <f t="shared" si="154"/>
        <v>1</v>
      </c>
      <c r="CN121" s="149">
        <f t="shared" si="155"/>
        <v>1</v>
      </c>
      <c r="CO121" s="149">
        <f t="shared" si="156"/>
        <v>1</v>
      </c>
      <c r="CP121" s="149">
        <f t="shared" si="157"/>
        <v>1</v>
      </c>
      <c r="CQ121" s="149">
        <f t="shared" si="158"/>
        <v>1</v>
      </c>
      <c r="CR121" s="149">
        <f t="shared" si="159"/>
        <v>1</v>
      </c>
      <c r="CS121" s="149">
        <f t="shared" si="160"/>
        <v>1</v>
      </c>
      <c r="CT121" s="149">
        <f t="shared" si="161"/>
        <v>1</v>
      </c>
      <c r="CU121" s="149">
        <f t="shared" si="162"/>
        <v>1</v>
      </c>
      <c r="CV121" s="149">
        <f t="shared" si="163"/>
        <v>1</v>
      </c>
      <c r="CW121" s="149">
        <f t="shared" si="164"/>
        <v>1</v>
      </c>
      <c r="CX121" s="149">
        <f t="shared" si="165"/>
        <v>1</v>
      </c>
      <c r="CY121" s="149">
        <f t="shared" si="166"/>
        <v>1</v>
      </c>
      <c r="CZ121" s="149">
        <f t="shared" si="167"/>
        <v>1</v>
      </c>
      <c r="DA121" s="149">
        <f t="shared" si="168"/>
        <v>1</v>
      </c>
      <c r="DB121" s="149">
        <f t="shared" si="169"/>
        <v>1</v>
      </c>
      <c r="DG121" s="125">
        <f t="shared" si="181"/>
        <v>1</v>
      </c>
      <c r="DH121" s="125">
        <f t="shared" si="181"/>
        <v>2</v>
      </c>
      <c r="DI121" s="125">
        <f t="shared" si="181"/>
        <v>3</v>
      </c>
      <c r="DJ121" s="125">
        <f t="shared" si="181"/>
        <v>4</v>
      </c>
      <c r="DK121" s="125">
        <f t="shared" si="181"/>
        <v>5</v>
      </c>
      <c r="DL121" s="125">
        <f t="shared" si="181"/>
        <v>6</v>
      </c>
      <c r="DM121" s="125">
        <f t="shared" si="181"/>
        <v>7</v>
      </c>
      <c r="DN121" s="125">
        <f t="shared" si="181"/>
        <v>8</v>
      </c>
      <c r="DO121" s="125">
        <f t="shared" si="181"/>
        <v>9</v>
      </c>
      <c r="DP121" s="125">
        <f t="shared" si="181"/>
        <v>10</v>
      </c>
      <c r="DS121" s="137"/>
      <c r="DT121" s="137"/>
      <c r="DU121" s="137"/>
      <c r="DV121" s="137" t="b">
        <f t="shared" si="170"/>
        <v>0</v>
      </c>
      <c r="DW121" s="137" t="b">
        <f t="shared" si="171"/>
        <v>0</v>
      </c>
      <c r="DX121" s="137" t="b">
        <f t="shared" si="172"/>
        <v>1</v>
      </c>
      <c r="EB121" s="131">
        <f t="shared" si="182"/>
        <v>1</v>
      </c>
      <c r="EC121" s="137" t="b">
        <f t="shared" si="173"/>
        <v>0</v>
      </c>
      <c r="ED121" s="137" t="b">
        <f t="shared" si="174"/>
        <v>0</v>
      </c>
      <c r="EE121" s="137" t="b">
        <f t="shared" si="175"/>
        <v>1</v>
      </c>
      <c r="EF121" s="137"/>
      <c r="EG121" s="137"/>
      <c r="EH121" s="137"/>
      <c r="EI121" s="137"/>
      <c r="EJ121" s="137">
        <f t="shared" si="183"/>
        <v>1</v>
      </c>
      <c r="EK121" s="125">
        <f t="shared" si="176"/>
        <v>0</v>
      </c>
      <c r="EL121" s="125">
        <f t="shared" si="177"/>
        <v>0</v>
      </c>
    </row>
    <row r="122" spans="2:142" ht="15.75" x14ac:dyDescent="0.25">
      <c r="B122" s="160">
        <f t="shared" si="178"/>
        <v>92</v>
      </c>
      <c r="C122" s="205">
        <v>1001346715</v>
      </c>
      <c r="D122" s="205">
        <v>1001277158</v>
      </c>
      <c r="E122" s="205">
        <v>40221541</v>
      </c>
      <c r="F122" s="118">
        <f>IF(OR(J122="",H122=""),"",VLOOKUP(J122,'הזנה לסיווג רשויות'!$B$2:$D$301,2,0))</f>
        <v>20000201</v>
      </c>
      <c r="G122" s="118" t="str">
        <f>IF(OR(J122="",H122=""),"",VLOOKUP(J122,'הזנה לסיווג רשויות'!$B$2:$D$301,3,0))</f>
        <v>תל אביב -יפו</v>
      </c>
      <c r="H122" s="282" t="s">
        <v>602</v>
      </c>
      <c r="I122" s="201" t="s">
        <v>376</v>
      </c>
      <c r="J122" s="205">
        <v>5000</v>
      </c>
      <c r="K122" s="161">
        <v>0</v>
      </c>
      <c r="L122" s="161">
        <v>1</v>
      </c>
      <c r="M122" s="161">
        <v>0</v>
      </c>
      <c r="N122" s="161">
        <v>0</v>
      </c>
      <c r="O122" s="161">
        <v>1</v>
      </c>
      <c r="P122" s="161">
        <v>1</v>
      </c>
      <c r="Q122" s="161">
        <v>1</v>
      </c>
      <c r="R122" s="201">
        <v>340933</v>
      </c>
      <c r="S122" s="201">
        <v>309954</v>
      </c>
      <c r="T122" s="160">
        <f>IF(G122="","",IFERROR(IF(S122/R122&gt;'פרמטרים לקריטריונים'!$C$20,1,0),0))</f>
        <v>1</v>
      </c>
      <c r="U122" s="201">
        <v>281505</v>
      </c>
      <c r="V122" s="160">
        <f>IF(G122="","",IFERROR(IF(U122/R122&gt;'פרמטרים לקריטריונים'!$C$21,1,IF(AND(I122=$BW$5,U122/R122&gt;'פרמטרים לקריטריונים'!$C$22),1,0)),0))</f>
        <v>1</v>
      </c>
      <c r="W122" s="161">
        <v>1</v>
      </c>
      <c r="X122" s="161">
        <v>1</v>
      </c>
      <c r="Y122" s="201">
        <v>95000</v>
      </c>
      <c r="Z122" s="201">
        <v>95000</v>
      </c>
      <c r="AA122" s="161">
        <f t="shared" si="179"/>
        <v>1</v>
      </c>
      <c r="AB122" s="161"/>
      <c r="AC122" s="161"/>
      <c r="AD122" s="161"/>
      <c r="AE122" s="161"/>
      <c r="AF122" s="161"/>
      <c r="AG122" s="161"/>
      <c r="AH122" s="161"/>
      <c r="AI122" s="161"/>
      <c r="AJ122" s="161"/>
      <c r="AK122" s="161"/>
      <c r="AL122" s="161"/>
      <c r="AM122" s="161"/>
      <c r="AN122" s="161"/>
      <c r="AO122" s="161"/>
      <c r="AP122" s="161"/>
      <c r="AQ122" s="161"/>
      <c r="AR122" s="161"/>
      <c r="AS122" s="161"/>
      <c r="AT122" s="161"/>
      <c r="AU122" s="161"/>
      <c r="AV122" s="161"/>
      <c r="AW122" s="160"/>
      <c r="AX122" s="161"/>
      <c r="AY122" s="161"/>
      <c r="AZ122" s="161"/>
      <c r="BA122" s="161"/>
      <c r="BB122" s="161"/>
      <c r="BC122" s="161"/>
      <c r="BD122" s="161"/>
      <c r="BE122" s="161"/>
      <c r="BF122" s="160" t="str">
        <f t="shared" si="180"/>
        <v/>
      </c>
      <c r="BG122" s="160"/>
      <c r="BH122" s="160"/>
      <c r="BI122" s="160"/>
      <c r="BJ122" s="160"/>
      <c r="BK122" s="160"/>
      <c r="BL122" s="162">
        <f t="shared" si="131"/>
        <v>1</v>
      </c>
      <c r="BM122" s="257"/>
      <c r="BN122" s="163"/>
      <c r="BO122" s="211" t="str">
        <f t="shared" si="132"/>
        <v>מרכז פליציה בלומנטל למוזיקהמוסיקה-גופים כליים</v>
      </c>
      <c r="BP122" s="125">
        <f t="shared" si="133"/>
        <v>1</v>
      </c>
      <c r="BQ122" s="164">
        <v>0</v>
      </c>
      <c r="BR122" s="164">
        <v>1</v>
      </c>
      <c r="BS122" s="149">
        <f t="shared" si="134"/>
        <v>1</v>
      </c>
      <c r="BT122" s="149">
        <f t="shared" si="135"/>
        <v>1</v>
      </c>
      <c r="BU122" s="149">
        <f t="shared" si="136"/>
        <v>1</v>
      </c>
      <c r="BV122" s="149">
        <f t="shared" si="137"/>
        <v>1</v>
      </c>
      <c r="BW122" s="149">
        <f t="shared" si="138"/>
        <v>1</v>
      </c>
      <c r="BX122" s="149">
        <f t="shared" si="139"/>
        <v>1</v>
      </c>
      <c r="BY122" s="149">
        <f t="shared" si="140"/>
        <v>1</v>
      </c>
      <c r="BZ122" s="149">
        <f t="shared" si="141"/>
        <v>1</v>
      </c>
      <c r="CA122" s="149">
        <f t="shared" si="142"/>
        <v>1</v>
      </c>
      <c r="CB122" s="149">
        <f t="shared" si="143"/>
        <v>1</v>
      </c>
      <c r="CC122" s="149">
        <f t="shared" si="144"/>
        <v>1</v>
      </c>
      <c r="CD122" s="149">
        <f t="shared" si="145"/>
        <v>1</v>
      </c>
      <c r="CE122" s="149">
        <f t="shared" si="146"/>
        <v>1</v>
      </c>
      <c r="CF122" s="149">
        <f t="shared" si="147"/>
        <v>1</v>
      </c>
      <c r="CG122" s="149">
        <f t="shared" si="148"/>
        <v>1</v>
      </c>
      <c r="CH122" s="149">
        <f t="shared" si="149"/>
        <v>1</v>
      </c>
      <c r="CI122" s="149">
        <f t="shared" si="150"/>
        <v>1</v>
      </c>
      <c r="CJ122" s="149">
        <f t="shared" si="151"/>
        <v>1</v>
      </c>
      <c r="CK122" s="149">
        <f t="shared" si="152"/>
        <v>1</v>
      </c>
      <c r="CL122" s="149">
        <f t="shared" si="153"/>
        <v>1</v>
      </c>
      <c r="CM122" s="149">
        <f t="shared" si="154"/>
        <v>1</v>
      </c>
      <c r="CN122" s="149">
        <f t="shared" si="155"/>
        <v>1</v>
      </c>
      <c r="CO122" s="149">
        <f t="shared" si="156"/>
        <v>1</v>
      </c>
      <c r="CP122" s="149">
        <f t="shared" si="157"/>
        <v>1</v>
      </c>
      <c r="CQ122" s="149">
        <f t="shared" si="158"/>
        <v>1</v>
      </c>
      <c r="CR122" s="149">
        <f t="shared" si="159"/>
        <v>1</v>
      </c>
      <c r="CS122" s="149">
        <f t="shared" si="160"/>
        <v>1</v>
      </c>
      <c r="CT122" s="149">
        <f t="shared" si="161"/>
        <v>1</v>
      </c>
      <c r="CU122" s="149">
        <f t="shared" si="162"/>
        <v>1</v>
      </c>
      <c r="CV122" s="149">
        <f t="shared" si="163"/>
        <v>1</v>
      </c>
      <c r="CW122" s="149">
        <f t="shared" si="164"/>
        <v>1</v>
      </c>
      <c r="CX122" s="149">
        <f t="shared" si="165"/>
        <v>1</v>
      </c>
      <c r="CY122" s="149">
        <f t="shared" si="166"/>
        <v>1</v>
      </c>
      <c r="CZ122" s="149">
        <f t="shared" si="167"/>
        <v>1</v>
      </c>
      <c r="DA122" s="149">
        <f t="shared" si="168"/>
        <v>1</v>
      </c>
      <c r="DB122" s="149">
        <f t="shared" si="169"/>
        <v>1</v>
      </c>
      <c r="DG122" s="125">
        <f t="shared" si="181"/>
        <v>1</v>
      </c>
      <c r="DH122" s="125">
        <f t="shared" si="181"/>
        <v>2</v>
      </c>
      <c r="DI122" s="125">
        <f t="shared" si="181"/>
        <v>3</v>
      </c>
      <c r="DJ122" s="125">
        <f t="shared" si="181"/>
        <v>4</v>
      </c>
      <c r="DK122" s="125">
        <f t="shared" si="181"/>
        <v>5</v>
      </c>
      <c r="DL122" s="125">
        <f t="shared" si="181"/>
        <v>6</v>
      </c>
      <c r="DM122" s="125">
        <f t="shared" si="181"/>
        <v>7</v>
      </c>
      <c r="DN122" s="125">
        <f t="shared" si="181"/>
        <v>8</v>
      </c>
      <c r="DO122" s="125">
        <f t="shared" si="181"/>
        <v>9</v>
      </c>
      <c r="DP122" s="125">
        <f t="shared" si="181"/>
        <v>10</v>
      </c>
      <c r="DS122" s="137"/>
      <c r="DT122" s="137"/>
      <c r="DU122" s="137"/>
      <c r="DV122" s="137" t="b">
        <f t="shared" si="170"/>
        <v>0</v>
      </c>
      <c r="DW122" s="137" t="b">
        <f t="shared" si="171"/>
        <v>0</v>
      </c>
      <c r="DX122" s="137" t="b">
        <f t="shared" si="172"/>
        <v>1</v>
      </c>
      <c r="EB122" s="131">
        <f t="shared" si="182"/>
        <v>1</v>
      </c>
      <c r="EC122" s="137" t="b">
        <f t="shared" si="173"/>
        <v>0</v>
      </c>
      <c r="ED122" s="137" t="b">
        <f t="shared" si="174"/>
        <v>0</v>
      </c>
      <c r="EE122" s="137" t="b">
        <f t="shared" si="175"/>
        <v>1</v>
      </c>
      <c r="EF122" s="137"/>
      <c r="EG122" s="137"/>
      <c r="EH122" s="137"/>
      <c r="EI122" s="137"/>
      <c r="EJ122" s="137">
        <f t="shared" si="183"/>
        <v>1</v>
      </c>
      <c r="EK122" s="125">
        <f t="shared" si="176"/>
        <v>0</v>
      </c>
      <c r="EL122" s="125">
        <f t="shared" si="177"/>
        <v>0</v>
      </c>
    </row>
    <row r="123" spans="2:142" ht="15.75" x14ac:dyDescent="0.25">
      <c r="B123" s="160">
        <f t="shared" si="178"/>
        <v>93</v>
      </c>
      <c r="C123" s="205">
        <v>1001346718</v>
      </c>
      <c r="D123" s="205">
        <v>1001277149</v>
      </c>
      <c r="E123" s="205">
        <v>40221541</v>
      </c>
      <c r="F123" s="118">
        <f>IF(OR(J123="",H123=""),"",VLOOKUP(J123,'הזנה לסיווג רשויות'!$B$2:$D$301,2,0))</f>
        <v>20000201</v>
      </c>
      <c r="G123" s="118" t="str">
        <f>IF(OR(J123="",H123=""),"",VLOOKUP(J123,'הזנה לסיווג רשויות'!$B$2:$D$301,3,0))</f>
        <v>תל אביב -יפו</v>
      </c>
      <c r="H123" s="282" t="s">
        <v>602</v>
      </c>
      <c r="I123" s="201" t="s">
        <v>381</v>
      </c>
      <c r="J123" s="205">
        <v>5000</v>
      </c>
      <c r="K123" s="161">
        <v>0</v>
      </c>
      <c r="L123" s="161">
        <v>1</v>
      </c>
      <c r="M123" s="161">
        <v>0</v>
      </c>
      <c r="N123" s="161">
        <v>1</v>
      </c>
      <c r="O123" s="161">
        <v>1</v>
      </c>
      <c r="P123" s="161">
        <v>1</v>
      </c>
      <c r="Q123" s="161">
        <v>1</v>
      </c>
      <c r="R123" s="201">
        <v>641584</v>
      </c>
      <c r="S123" s="201">
        <v>457584</v>
      </c>
      <c r="T123" s="160">
        <f>IF(G123="","",IFERROR(IF(S123/R123&gt;'פרמטרים לקריטריונים'!$C$20,1,0),0))</f>
        <v>1</v>
      </c>
      <c r="U123" s="201">
        <v>248655</v>
      </c>
      <c r="V123" s="160">
        <f>IF(G123="","",IFERROR(IF(U123/R123&gt;'פרמטרים לקריטריונים'!$C$21,1,IF(AND(I123=$BW$5,U123/R123&gt;'פרמטרים לקריטריונים'!$C$22),1,0)),0))</f>
        <v>1</v>
      </c>
      <c r="W123" s="161">
        <v>1</v>
      </c>
      <c r="X123" s="161">
        <v>1</v>
      </c>
      <c r="Y123" s="201">
        <v>140000</v>
      </c>
      <c r="Z123" s="201">
        <v>140000</v>
      </c>
      <c r="AA123" s="161">
        <f t="shared" si="179"/>
        <v>1</v>
      </c>
      <c r="AB123" s="161"/>
      <c r="AC123" s="161"/>
      <c r="AD123" s="161"/>
      <c r="AE123" s="161"/>
      <c r="AF123" s="161"/>
      <c r="AG123" s="161"/>
      <c r="AH123" s="161"/>
      <c r="AI123" s="161"/>
      <c r="AJ123" s="161"/>
      <c r="AK123" s="161"/>
      <c r="AL123" s="161"/>
      <c r="AM123" s="161"/>
      <c r="AN123" s="161"/>
      <c r="AO123" s="161"/>
      <c r="AP123" s="161"/>
      <c r="AQ123" s="161"/>
      <c r="AR123" s="161"/>
      <c r="AS123" s="161"/>
      <c r="AT123" s="161"/>
      <c r="AU123" s="161"/>
      <c r="AV123" s="161"/>
      <c r="AW123" s="160"/>
      <c r="AX123" s="161"/>
      <c r="AY123" s="161"/>
      <c r="AZ123" s="161"/>
      <c r="BA123" s="161"/>
      <c r="BB123" s="161"/>
      <c r="BC123" s="161"/>
      <c r="BD123" s="161"/>
      <c r="BE123" s="161"/>
      <c r="BF123" s="160" t="str">
        <f t="shared" si="180"/>
        <v/>
      </c>
      <c r="BG123" s="160"/>
      <c r="BH123" s="160"/>
      <c r="BI123" s="160"/>
      <c r="BJ123" s="160"/>
      <c r="BK123" s="160"/>
      <c r="BL123" s="162">
        <f t="shared" si="131"/>
        <v>1</v>
      </c>
      <c r="BM123" s="257"/>
      <c r="BN123" s="163"/>
      <c r="BO123" s="211" t="str">
        <f t="shared" si="132"/>
        <v>מרכז פליציה בלומנטל למוזיקהסינמטקים ופסטיבלים</v>
      </c>
      <c r="BP123" s="125">
        <f t="shared" si="133"/>
        <v>1</v>
      </c>
      <c r="BQ123" s="164">
        <v>0</v>
      </c>
      <c r="BR123" s="164">
        <v>1</v>
      </c>
      <c r="BS123" s="149">
        <f t="shared" si="134"/>
        <v>1</v>
      </c>
      <c r="BT123" s="149">
        <f t="shared" si="135"/>
        <v>1</v>
      </c>
      <c r="BU123" s="149">
        <f t="shared" si="136"/>
        <v>1</v>
      </c>
      <c r="BV123" s="149">
        <f t="shared" si="137"/>
        <v>1</v>
      </c>
      <c r="BW123" s="149">
        <f t="shared" si="138"/>
        <v>1</v>
      </c>
      <c r="BX123" s="149">
        <f t="shared" si="139"/>
        <v>1</v>
      </c>
      <c r="BY123" s="149">
        <f t="shared" si="140"/>
        <v>1</v>
      </c>
      <c r="BZ123" s="149">
        <f t="shared" si="141"/>
        <v>1</v>
      </c>
      <c r="CA123" s="149">
        <f t="shared" si="142"/>
        <v>1</v>
      </c>
      <c r="CB123" s="149">
        <f t="shared" si="143"/>
        <v>1</v>
      </c>
      <c r="CC123" s="149">
        <f t="shared" si="144"/>
        <v>1</v>
      </c>
      <c r="CD123" s="149">
        <f t="shared" si="145"/>
        <v>1</v>
      </c>
      <c r="CE123" s="149">
        <f t="shared" si="146"/>
        <v>1</v>
      </c>
      <c r="CF123" s="149">
        <f t="shared" si="147"/>
        <v>1</v>
      </c>
      <c r="CG123" s="149">
        <f t="shared" si="148"/>
        <v>1</v>
      </c>
      <c r="CH123" s="149">
        <f t="shared" si="149"/>
        <v>1</v>
      </c>
      <c r="CI123" s="149">
        <f t="shared" si="150"/>
        <v>1</v>
      </c>
      <c r="CJ123" s="149">
        <f t="shared" si="151"/>
        <v>1</v>
      </c>
      <c r="CK123" s="149">
        <f t="shared" si="152"/>
        <v>1</v>
      </c>
      <c r="CL123" s="149">
        <f t="shared" si="153"/>
        <v>1</v>
      </c>
      <c r="CM123" s="149">
        <f t="shared" si="154"/>
        <v>1</v>
      </c>
      <c r="CN123" s="149">
        <f t="shared" si="155"/>
        <v>1</v>
      </c>
      <c r="CO123" s="149">
        <f t="shared" si="156"/>
        <v>1</v>
      </c>
      <c r="CP123" s="149">
        <f t="shared" si="157"/>
        <v>1</v>
      </c>
      <c r="CQ123" s="149">
        <f t="shared" si="158"/>
        <v>1</v>
      </c>
      <c r="CR123" s="149">
        <f t="shared" si="159"/>
        <v>1</v>
      </c>
      <c r="CS123" s="149">
        <f t="shared" si="160"/>
        <v>1</v>
      </c>
      <c r="CT123" s="149">
        <f t="shared" si="161"/>
        <v>1</v>
      </c>
      <c r="CU123" s="149">
        <f t="shared" si="162"/>
        <v>1</v>
      </c>
      <c r="CV123" s="149">
        <f t="shared" si="163"/>
        <v>1</v>
      </c>
      <c r="CW123" s="149">
        <f t="shared" si="164"/>
        <v>1</v>
      </c>
      <c r="CX123" s="149">
        <f t="shared" si="165"/>
        <v>1</v>
      </c>
      <c r="CY123" s="149">
        <f t="shared" si="166"/>
        <v>1</v>
      </c>
      <c r="CZ123" s="149">
        <f t="shared" si="167"/>
        <v>1</v>
      </c>
      <c r="DA123" s="149">
        <f t="shared" si="168"/>
        <v>1</v>
      </c>
      <c r="DB123" s="149">
        <f t="shared" si="169"/>
        <v>1</v>
      </c>
      <c r="DG123" s="125">
        <f t="shared" si="181"/>
        <v>1</v>
      </c>
      <c r="DH123" s="125">
        <f t="shared" si="181"/>
        <v>2</v>
      </c>
      <c r="DI123" s="125">
        <f t="shared" si="181"/>
        <v>3</v>
      </c>
      <c r="DJ123" s="125">
        <f t="shared" si="181"/>
        <v>4</v>
      </c>
      <c r="DK123" s="125">
        <f t="shared" si="181"/>
        <v>5</v>
      </c>
      <c r="DL123" s="125">
        <f t="shared" si="181"/>
        <v>6</v>
      </c>
      <c r="DM123" s="125">
        <f t="shared" si="181"/>
        <v>7</v>
      </c>
      <c r="DN123" s="125">
        <f t="shared" si="181"/>
        <v>8</v>
      </c>
      <c r="DO123" s="125">
        <f t="shared" si="181"/>
        <v>9</v>
      </c>
      <c r="DP123" s="125">
        <f t="shared" si="181"/>
        <v>10</v>
      </c>
      <c r="DS123" s="137"/>
      <c r="DT123" s="137"/>
      <c r="DU123" s="137"/>
      <c r="DV123" s="137" t="b">
        <f t="shared" si="170"/>
        <v>0</v>
      </c>
      <c r="DW123" s="137" t="b">
        <f t="shared" si="171"/>
        <v>0</v>
      </c>
      <c r="DX123" s="137" t="b">
        <f t="shared" si="172"/>
        <v>1</v>
      </c>
      <c r="EB123" s="131">
        <f t="shared" si="182"/>
        <v>1</v>
      </c>
      <c r="EC123" s="137" t="b">
        <f t="shared" si="173"/>
        <v>0</v>
      </c>
      <c r="ED123" s="137" t="b">
        <f t="shared" si="174"/>
        <v>0</v>
      </c>
      <c r="EE123" s="137" t="b">
        <f t="shared" si="175"/>
        <v>1</v>
      </c>
      <c r="EF123" s="137"/>
      <c r="EG123" s="137"/>
      <c r="EH123" s="137"/>
      <c r="EI123" s="137"/>
      <c r="EJ123" s="137">
        <f t="shared" si="183"/>
        <v>1</v>
      </c>
      <c r="EK123" s="125">
        <f t="shared" si="176"/>
        <v>0</v>
      </c>
      <c r="EL123" s="125">
        <f t="shared" si="177"/>
        <v>0</v>
      </c>
    </row>
    <row r="124" spans="2:142" ht="15.75" x14ac:dyDescent="0.25">
      <c r="B124" s="160">
        <f t="shared" si="178"/>
        <v>94</v>
      </c>
      <c r="C124" s="205">
        <v>1001347600</v>
      </c>
      <c r="D124" s="205">
        <v>1001277089</v>
      </c>
      <c r="E124" s="205">
        <v>40221541</v>
      </c>
      <c r="F124" s="118">
        <f>IF(OR(J124="",H124=""),"",VLOOKUP(J124,'הזנה לסיווג רשויות'!$B$2:$D$301,2,0))</f>
        <v>20000201</v>
      </c>
      <c r="G124" s="118" t="str">
        <f>IF(OR(J124="",H124=""),"",VLOOKUP(J124,'הזנה לסיווג רשויות'!$B$2:$D$301,3,0))</f>
        <v>תל אביב -יפו</v>
      </c>
      <c r="H124" s="282" t="s">
        <v>602</v>
      </c>
      <c r="I124" s="201" t="s">
        <v>389</v>
      </c>
      <c r="J124" s="205">
        <v>5000</v>
      </c>
      <c r="K124" s="161">
        <v>0</v>
      </c>
      <c r="L124" s="161">
        <v>1</v>
      </c>
      <c r="M124" s="161">
        <v>0</v>
      </c>
      <c r="N124" s="161">
        <v>0</v>
      </c>
      <c r="O124" s="161">
        <v>1</v>
      </c>
      <c r="P124" s="161">
        <v>1</v>
      </c>
      <c r="Q124" s="161">
        <v>1</v>
      </c>
      <c r="R124" s="201">
        <v>157836</v>
      </c>
      <c r="S124" s="201">
        <v>107836</v>
      </c>
      <c r="T124" s="160">
        <f>IF(G124="","",IFERROR(IF(S124/R124&gt;'פרמטרים לקריטריונים'!$C$20,1,0),0))</f>
        <v>1</v>
      </c>
      <c r="U124" s="201">
        <v>107836</v>
      </c>
      <c r="V124" s="160">
        <f>IF(G124="","",IFERROR(IF(U124/R124&gt;'פרמטרים לקריטריונים'!$C$21,1,IF(AND(I124=$BW$5,U124/R124&gt;'פרמטרים לקריטריונים'!$C$22),1,0)),0))</f>
        <v>1</v>
      </c>
      <c r="W124" s="161">
        <v>1</v>
      </c>
      <c r="X124" s="161">
        <v>1</v>
      </c>
      <c r="Y124" s="201">
        <v>60000</v>
      </c>
      <c r="Z124" s="201">
        <v>24000</v>
      </c>
      <c r="AA124" s="161">
        <f t="shared" si="179"/>
        <v>1</v>
      </c>
      <c r="AB124" s="161"/>
      <c r="AC124" s="161"/>
      <c r="AD124" s="161"/>
      <c r="AE124" s="161"/>
      <c r="AF124" s="161"/>
      <c r="AG124" s="161"/>
      <c r="AH124" s="161"/>
      <c r="AI124" s="161"/>
      <c r="AJ124" s="161"/>
      <c r="AK124" s="161"/>
      <c r="AL124" s="161"/>
      <c r="AM124" s="161"/>
      <c r="AN124" s="161"/>
      <c r="AO124" s="161"/>
      <c r="AP124" s="161"/>
      <c r="AQ124" s="161"/>
      <c r="AR124" s="161"/>
      <c r="AS124" s="161"/>
      <c r="AT124" s="161"/>
      <c r="AU124" s="161"/>
      <c r="AV124" s="161"/>
      <c r="AW124" s="160"/>
      <c r="AX124" s="161"/>
      <c r="AY124" s="161"/>
      <c r="AZ124" s="161"/>
      <c r="BA124" s="161"/>
      <c r="BB124" s="161"/>
      <c r="BC124" s="161"/>
      <c r="BD124" s="161"/>
      <c r="BE124" s="161"/>
      <c r="BF124" s="160" t="str">
        <f t="shared" si="180"/>
        <v/>
      </c>
      <c r="BG124" s="160"/>
      <c r="BH124" s="160"/>
      <c r="BI124" s="160"/>
      <c r="BJ124" s="160"/>
      <c r="BK124" s="160"/>
      <c r="BL124" s="162">
        <f t="shared" si="131"/>
        <v>1</v>
      </c>
      <c r="BM124" s="257"/>
      <c r="BN124" s="163"/>
      <c r="BO124" s="211" t="str">
        <f t="shared" si="132"/>
        <v>מרכז פליציה בלומנטל למוזיקהאופרה</v>
      </c>
      <c r="BP124" s="125">
        <f t="shared" si="133"/>
        <v>1</v>
      </c>
      <c r="BQ124" s="164">
        <v>0</v>
      </c>
      <c r="BR124" s="164">
        <v>1</v>
      </c>
      <c r="BS124" s="149">
        <f t="shared" si="134"/>
        <v>1</v>
      </c>
      <c r="BT124" s="149">
        <f t="shared" si="135"/>
        <v>1</v>
      </c>
      <c r="BU124" s="149">
        <f t="shared" si="136"/>
        <v>1</v>
      </c>
      <c r="BV124" s="149">
        <f t="shared" si="137"/>
        <v>1</v>
      </c>
      <c r="BW124" s="149">
        <f t="shared" si="138"/>
        <v>1</v>
      </c>
      <c r="BX124" s="149">
        <f t="shared" si="139"/>
        <v>1</v>
      </c>
      <c r="BY124" s="149">
        <f t="shared" si="140"/>
        <v>1</v>
      </c>
      <c r="BZ124" s="149">
        <f t="shared" si="141"/>
        <v>1</v>
      </c>
      <c r="CA124" s="149">
        <f t="shared" si="142"/>
        <v>1</v>
      </c>
      <c r="CB124" s="149">
        <f t="shared" si="143"/>
        <v>1</v>
      </c>
      <c r="CC124" s="149">
        <f t="shared" si="144"/>
        <v>1</v>
      </c>
      <c r="CD124" s="149">
        <f t="shared" si="145"/>
        <v>1</v>
      </c>
      <c r="CE124" s="149">
        <f t="shared" si="146"/>
        <v>1</v>
      </c>
      <c r="CF124" s="149">
        <f t="shared" si="147"/>
        <v>1</v>
      </c>
      <c r="CG124" s="149">
        <f t="shared" si="148"/>
        <v>1</v>
      </c>
      <c r="CH124" s="149">
        <f t="shared" si="149"/>
        <v>1</v>
      </c>
      <c r="CI124" s="149">
        <f t="shared" si="150"/>
        <v>1</v>
      </c>
      <c r="CJ124" s="149">
        <f t="shared" si="151"/>
        <v>1</v>
      </c>
      <c r="CK124" s="149">
        <f t="shared" si="152"/>
        <v>1</v>
      </c>
      <c r="CL124" s="149">
        <f t="shared" si="153"/>
        <v>1</v>
      </c>
      <c r="CM124" s="149">
        <f t="shared" si="154"/>
        <v>1</v>
      </c>
      <c r="CN124" s="149">
        <f t="shared" si="155"/>
        <v>1</v>
      </c>
      <c r="CO124" s="149">
        <f t="shared" si="156"/>
        <v>1</v>
      </c>
      <c r="CP124" s="149">
        <f t="shared" si="157"/>
        <v>1</v>
      </c>
      <c r="CQ124" s="149">
        <f t="shared" si="158"/>
        <v>1</v>
      </c>
      <c r="CR124" s="149">
        <f t="shared" si="159"/>
        <v>1</v>
      </c>
      <c r="CS124" s="149">
        <f t="shared" si="160"/>
        <v>1</v>
      </c>
      <c r="CT124" s="149">
        <f t="shared" si="161"/>
        <v>1</v>
      </c>
      <c r="CU124" s="149">
        <f t="shared" si="162"/>
        <v>1</v>
      </c>
      <c r="CV124" s="149">
        <f t="shared" si="163"/>
        <v>1</v>
      </c>
      <c r="CW124" s="149">
        <f t="shared" si="164"/>
        <v>1</v>
      </c>
      <c r="CX124" s="149">
        <f t="shared" si="165"/>
        <v>1</v>
      </c>
      <c r="CY124" s="149">
        <f t="shared" si="166"/>
        <v>1</v>
      </c>
      <c r="CZ124" s="149">
        <f t="shared" si="167"/>
        <v>1</v>
      </c>
      <c r="DA124" s="149">
        <f t="shared" si="168"/>
        <v>1</v>
      </c>
      <c r="DB124" s="149">
        <f t="shared" si="169"/>
        <v>1</v>
      </c>
      <c r="DG124" s="125">
        <f t="shared" si="181"/>
        <v>1</v>
      </c>
      <c r="DH124" s="125">
        <f t="shared" si="181"/>
        <v>2</v>
      </c>
      <c r="DI124" s="125">
        <f t="shared" si="181"/>
        <v>3</v>
      </c>
      <c r="DJ124" s="125">
        <f t="shared" si="181"/>
        <v>4</v>
      </c>
      <c r="DK124" s="125">
        <f t="shared" si="181"/>
        <v>5</v>
      </c>
      <c r="DL124" s="125">
        <f t="shared" si="181"/>
        <v>6</v>
      </c>
      <c r="DM124" s="125">
        <f t="shared" si="181"/>
        <v>7</v>
      </c>
      <c r="DN124" s="125">
        <f t="shared" si="181"/>
        <v>8</v>
      </c>
      <c r="DO124" s="125">
        <f t="shared" si="181"/>
        <v>9</v>
      </c>
      <c r="DP124" s="125">
        <f t="shared" si="181"/>
        <v>10</v>
      </c>
      <c r="DS124" s="137"/>
      <c r="DT124" s="137"/>
      <c r="DU124" s="137"/>
      <c r="DV124" s="137" t="b">
        <f t="shared" si="170"/>
        <v>0</v>
      </c>
      <c r="DW124" s="137" t="b">
        <f t="shared" si="171"/>
        <v>0</v>
      </c>
      <c r="DX124" s="137" t="b">
        <f t="shared" si="172"/>
        <v>1</v>
      </c>
      <c r="EB124" s="131">
        <f t="shared" si="182"/>
        <v>1</v>
      </c>
      <c r="EC124" s="137" t="b">
        <f t="shared" si="173"/>
        <v>0</v>
      </c>
      <c r="ED124" s="137" t="b">
        <f t="shared" si="174"/>
        <v>0</v>
      </c>
      <c r="EE124" s="137" t="b">
        <f t="shared" si="175"/>
        <v>1</v>
      </c>
      <c r="EF124" s="137"/>
      <c r="EG124" s="137"/>
      <c r="EH124" s="137"/>
      <c r="EI124" s="137"/>
      <c r="EJ124" s="137">
        <f t="shared" si="183"/>
        <v>1</v>
      </c>
      <c r="EK124" s="125">
        <f t="shared" si="176"/>
        <v>0</v>
      </c>
      <c r="EL124" s="125">
        <f t="shared" si="177"/>
        <v>0</v>
      </c>
    </row>
    <row r="125" spans="2:142" ht="15.75" x14ac:dyDescent="0.25">
      <c r="B125" s="160">
        <f t="shared" si="178"/>
        <v>95</v>
      </c>
      <c r="C125" s="205">
        <v>1001347697</v>
      </c>
      <c r="D125" s="205">
        <v>1001277111</v>
      </c>
      <c r="E125" s="205">
        <v>40221541</v>
      </c>
      <c r="F125" s="118">
        <f>IF(OR(J125="",H125=""),"",VLOOKUP(J125,'הזנה לסיווג רשויות'!$B$2:$D$301,2,0))</f>
        <v>20000201</v>
      </c>
      <c r="G125" s="118" t="str">
        <f>IF(OR(J125="",H125=""),"",VLOOKUP(J125,'הזנה לסיווג רשויות'!$B$2:$D$301,3,0))</f>
        <v>תל אביב -יפו</v>
      </c>
      <c r="H125" s="282" t="s">
        <v>602</v>
      </c>
      <c r="I125" s="201" t="s">
        <v>378</v>
      </c>
      <c r="J125" s="205">
        <v>5000</v>
      </c>
      <c r="K125" s="161">
        <v>0</v>
      </c>
      <c r="L125" s="161">
        <v>1</v>
      </c>
      <c r="M125" s="161">
        <v>0</v>
      </c>
      <c r="N125" s="161">
        <v>0</v>
      </c>
      <c r="O125" s="161">
        <v>1</v>
      </c>
      <c r="P125" s="161">
        <v>1</v>
      </c>
      <c r="Q125" s="161">
        <v>1</v>
      </c>
      <c r="R125" s="201">
        <v>167747</v>
      </c>
      <c r="S125" s="201">
        <v>55983</v>
      </c>
      <c r="T125" s="160">
        <f>IF(G125="","",IFERROR(IF(S125/R125&gt;'פרמטרים לקריטריונים'!$C$20,1,0),0))</f>
        <v>1</v>
      </c>
      <c r="U125" s="201">
        <v>53483</v>
      </c>
      <c r="V125" s="160">
        <f>IF(G125="","",IFERROR(IF(U125/R125&gt;'פרמטרים לקריטריונים'!$C$21,1,IF(AND(I125=$BW$5,U125/R125&gt;'פרמטרים לקריטריונים'!$C$22),1,0)),0))</f>
        <v>1</v>
      </c>
      <c r="W125" s="161">
        <v>1</v>
      </c>
      <c r="X125" s="161">
        <v>1</v>
      </c>
      <c r="Y125" s="201">
        <v>45000</v>
      </c>
      <c r="Z125" s="201">
        <v>9000</v>
      </c>
      <c r="AA125" s="161">
        <f t="shared" si="179"/>
        <v>1</v>
      </c>
      <c r="AB125" s="161"/>
      <c r="AC125" s="161"/>
      <c r="AD125" s="161"/>
      <c r="AE125" s="161"/>
      <c r="AF125" s="161"/>
      <c r="AG125" s="161"/>
      <c r="AH125" s="161"/>
      <c r="AI125" s="161"/>
      <c r="AJ125" s="161"/>
      <c r="AK125" s="161"/>
      <c r="AL125" s="161"/>
      <c r="AM125" s="161"/>
      <c r="AN125" s="161"/>
      <c r="AO125" s="161"/>
      <c r="AP125" s="161"/>
      <c r="AQ125" s="161"/>
      <c r="AR125" s="161"/>
      <c r="AS125" s="161"/>
      <c r="AT125" s="161"/>
      <c r="AU125" s="161"/>
      <c r="AV125" s="161"/>
      <c r="AW125" s="160"/>
      <c r="AX125" s="161"/>
      <c r="AY125" s="161"/>
      <c r="AZ125" s="161"/>
      <c r="BA125" s="161"/>
      <c r="BB125" s="161"/>
      <c r="BC125" s="161"/>
      <c r="BD125" s="161"/>
      <c r="BE125" s="161"/>
      <c r="BF125" s="160" t="str">
        <f t="shared" si="180"/>
        <v/>
      </c>
      <c r="BG125" s="160"/>
      <c r="BH125" s="160"/>
      <c r="BI125" s="160"/>
      <c r="BJ125" s="160"/>
      <c r="BK125" s="160"/>
      <c r="BL125" s="162">
        <f t="shared" si="131"/>
        <v>1</v>
      </c>
      <c r="BM125" s="257"/>
      <c r="BN125" s="163"/>
      <c r="BO125" s="211" t="str">
        <f t="shared" si="132"/>
        <v>מרכז פליציה בלומנטל למוזיקהמקהלות</v>
      </c>
      <c r="BP125" s="125">
        <f t="shared" si="133"/>
        <v>1</v>
      </c>
      <c r="BQ125" s="164">
        <v>0</v>
      </c>
      <c r="BR125" s="164">
        <v>1</v>
      </c>
      <c r="BS125" s="149">
        <f t="shared" si="134"/>
        <v>1</v>
      </c>
      <c r="BT125" s="149">
        <f t="shared" si="135"/>
        <v>1</v>
      </c>
      <c r="BU125" s="149">
        <f t="shared" si="136"/>
        <v>1</v>
      </c>
      <c r="BV125" s="149">
        <f t="shared" si="137"/>
        <v>1</v>
      </c>
      <c r="BW125" s="149">
        <f t="shared" si="138"/>
        <v>1</v>
      </c>
      <c r="BX125" s="149">
        <f t="shared" si="139"/>
        <v>1</v>
      </c>
      <c r="BY125" s="149">
        <f t="shared" si="140"/>
        <v>1</v>
      </c>
      <c r="BZ125" s="149">
        <f t="shared" si="141"/>
        <v>1</v>
      </c>
      <c r="CA125" s="149">
        <f t="shared" si="142"/>
        <v>1</v>
      </c>
      <c r="CB125" s="149">
        <f t="shared" si="143"/>
        <v>1</v>
      </c>
      <c r="CC125" s="149">
        <f t="shared" si="144"/>
        <v>1</v>
      </c>
      <c r="CD125" s="149">
        <f t="shared" si="145"/>
        <v>1</v>
      </c>
      <c r="CE125" s="149">
        <f t="shared" si="146"/>
        <v>1</v>
      </c>
      <c r="CF125" s="149">
        <f t="shared" si="147"/>
        <v>1</v>
      </c>
      <c r="CG125" s="149">
        <f t="shared" si="148"/>
        <v>1</v>
      </c>
      <c r="CH125" s="149">
        <f t="shared" si="149"/>
        <v>1</v>
      </c>
      <c r="CI125" s="149">
        <f t="shared" si="150"/>
        <v>1</v>
      </c>
      <c r="CJ125" s="149">
        <f t="shared" si="151"/>
        <v>1</v>
      </c>
      <c r="CK125" s="149">
        <f t="shared" si="152"/>
        <v>1</v>
      </c>
      <c r="CL125" s="149">
        <f t="shared" si="153"/>
        <v>1</v>
      </c>
      <c r="CM125" s="149">
        <f t="shared" si="154"/>
        <v>1</v>
      </c>
      <c r="CN125" s="149">
        <f t="shared" si="155"/>
        <v>1</v>
      </c>
      <c r="CO125" s="149">
        <f t="shared" si="156"/>
        <v>1</v>
      </c>
      <c r="CP125" s="149">
        <f t="shared" si="157"/>
        <v>1</v>
      </c>
      <c r="CQ125" s="149">
        <f t="shared" si="158"/>
        <v>1</v>
      </c>
      <c r="CR125" s="149">
        <f t="shared" si="159"/>
        <v>1</v>
      </c>
      <c r="CS125" s="149">
        <f t="shared" si="160"/>
        <v>1</v>
      </c>
      <c r="CT125" s="149">
        <f t="shared" si="161"/>
        <v>1</v>
      </c>
      <c r="CU125" s="149">
        <f t="shared" si="162"/>
        <v>1</v>
      </c>
      <c r="CV125" s="149">
        <f t="shared" si="163"/>
        <v>1</v>
      </c>
      <c r="CW125" s="149">
        <f t="shared" si="164"/>
        <v>1</v>
      </c>
      <c r="CX125" s="149">
        <f t="shared" si="165"/>
        <v>1</v>
      </c>
      <c r="CY125" s="149">
        <f t="shared" si="166"/>
        <v>1</v>
      </c>
      <c r="CZ125" s="149">
        <f t="shared" si="167"/>
        <v>1</v>
      </c>
      <c r="DA125" s="149">
        <f t="shared" si="168"/>
        <v>1</v>
      </c>
      <c r="DB125" s="149">
        <f t="shared" si="169"/>
        <v>1</v>
      </c>
      <c r="DG125" s="125">
        <f t="shared" si="181"/>
        <v>1</v>
      </c>
      <c r="DH125" s="125">
        <f t="shared" si="181"/>
        <v>2</v>
      </c>
      <c r="DI125" s="125">
        <f t="shared" si="181"/>
        <v>3</v>
      </c>
      <c r="DJ125" s="125">
        <f t="shared" si="181"/>
        <v>4</v>
      </c>
      <c r="DK125" s="125">
        <f t="shared" si="181"/>
        <v>5</v>
      </c>
      <c r="DL125" s="125">
        <f t="shared" si="181"/>
        <v>6</v>
      </c>
      <c r="DM125" s="125">
        <f t="shared" si="181"/>
        <v>7</v>
      </c>
      <c r="DN125" s="125">
        <f t="shared" si="181"/>
        <v>8</v>
      </c>
      <c r="DO125" s="125">
        <f t="shared" si="181"/>
        <v>9</v>
      </c>
      <c r="DP125" s="125">
        <f t="shared" si="181"/>
        <v>10</v>
      </c>
      <c r="DS125" s="137"/>
      <c r="DT125" s="137"/>
      <c r="DU125" s="137"/>
      <c r="DV125" s="137" t="b">
        <f t="shared" si="170"/>
        <v>0</v>
      </c>
      <c r="DW125" s="137" t="b">
        <f t="shared" si="171"/>
        <v>0</v>
      </c>
      <c r="DX125" s="137" t="b">
        <f t="shared" si="172"/>
        <v>1</v>
      </c>
      <c r="EB125" s="131">
        <f t="shared" si="182"/>
        <v>1</v>
      </c>
      <c r="EC125" s="137" t="b">
        <f t="shared" si="173"/>
        <v>0</v>
      </c>
      <c r="ED125" s="137" t="b">
        <f t="shared" si="174"/>
        <v>0</v>
      </c>
      <c r="EE125" s="137" t="b">
        <f t="shared" si="175"/>
        <v>1</v>
      </c>
      <c r="EF125" s="137"/>
      <c r="EG125" s="137"/>
      <c r="EH125" s="137"/>
      <c r="EI125" s="137"/>
      <c r="EJ125" s="137">
        <f t="shared" si="183"/>
        <v>1</v>
      </c>
      <c r="EK125" s="125">
        <f t="shared" si="176"/>
        <v>0</v>
      </c>
      <c r="EL125" s="125">
        <f t="shared" si="177"/>
        <v>0</v>
      </c>
    </row>
    <row r="126" spans="2:142" ht="15.75" x14ac:dyDescent="0.25">
      <c r="B126" s="160">
        <f t="shared" si="178"/>
        <v>96</v>
      </c>
      <c r="C126" s="205">
        <v>1001349148</v>
      </c>
      <c r="D126" s="205">
        <v>1001279372</v>
      </c>
      <c r="E126" s="205">
        <v>40133812</v>
      </c>
      <c r="F126" s="118">
        <f>IF(OR(J126="",H126=""),"",VLOOKUP(J126,'הזנה לסיווג רשויות'!$B$2:$D$301,2,0))</f>
        <v>20000201</v>
      </c>
      <c r="G126" s="118" t="str">
        <f>IF(OR(J126="",H126=""),"",VLOOKUP(J126,'הזנה לסיווג רשויות'!$B$2:$D$301,3,0))</f>
        <v>תל אביב -יפו</v>
      </c>
      <c r="H126" s="281" t="s">
        <v>604</v>
      </c>
      <c r="I126" s="201" t="s">
        <v>377</v>
      </c>
      <c r="J126" s="205">
        <v>5000</v>
      </c>
      <c r="K126" s="161">
        <v>0</v>
      </c>
      <c r="L126" s="161">
        <v>1</v>
      </c>
      <c r="M126" s="161">
        <v>0</v>
      </c>
      <c r="N126" s="161">
        <v>1</v>
      </c>
      <c r="O126" s="161">
        <v>1</v>
      </c>
      <c r="P126" s="161">
        <v>1</v>
      </c>
      <c r="Q126" s="161">
        <v>1</v>
      </c>
      <c r="R126" s="201">
        <v>968216</v>
      </c>
      <c r="S126" s="201">
        <v>333249</v>
      </c>
      <c r="T126" s="160">
        <f>IF(G126="","",IFERROR(IF(S126/R126&gt;'פרמטרים לקריטריונים'!$C$20,1,0),0))</f>
        <v>1</v>
      </c>
      <c r="U126" s="201">
        <v>250518</v>
      </c>
      <c r="V126" s="160">
        <f>IF(G126="","",IFERROR(IF(U126/R126&gt;'פרמטרים לקריטריונים'!$C$21,1,IF(AND(I126=$BW$5,U126/R126&gt;'פרמטרים לקריטריונים'!$C$22),1,0)),0))</f>
        <v>1</v>
      </c>
      <c r="W126" s="161">
        <v>1</v>
      </c>
      <c r="X126" s="161">
        <v>1</v>
      </c>
      <c r="Y126" s="201">
        <v>600000</v>
      </c>
      <c r="Z126" s="201">
        <v>150000</v>
      </c>
      <c r="AA126" s="161">
        <f t="shared" si="179"/>
        <v>1</v>
      </c>
      <c r="AB126" s="161"/>
      <c r="AC126" s="161"/>
      <c r="AD126" s="161"/>
      <c r="AE126" s="161"/>
      <c r="AF126" s="161"/>
      <c r="AG126" s="161"/>
      <c r="AH126" s="161"/>
      <c r="AI126" s="161"/>
      <c r="AJ126" s="161"/>
      <c r="AK126" s="161"/>
      <c r="AL126" s="161"/>
      <c r="AM126" s="161"/>
      <c r="AN126" s="161"/>
      <c r="AO126" s="161"/>
      <c r="AP126" s="161"/>
      <c r="AQ126" s="161"/>
      <c r="AR126" s="161"/>
      <c r="AS126" s="161"/>
      <c r="AT126" s="161"/>
      <c r="AU126" s="161"/>
      <c r="AV126" s="161"/>
      <c r="AW126" s="160"/>
      <c r="AX126" s="161"/>
      <c r="AY126" s="161"/>
      <c r="AZ126" s="161"/>
      <c r="BA126" s="161"/>
      <c r="BB126" s="161"/>
      <c r="BC126" s="161"/>
      <c r="BD126" s="161"/>
      <c r="BE126" s="161"/>
      <c r="BF126" s="160" t="str">
        <f t="shared" si="180"/>
        <v/>
      </c>
      <c r="BG126" s="160"/>
      <c r="BH126" s="160"/>
      <c r="BI126" s="160"/>
      <c r="BJ126" s="160"/>
      <c r="BK126" s="160"/>
      <c r="BL126" s="162">
        <f t="shared" si="131"/>
        <v>1</v>
      </c>
      <c r="BM126" s="257"/>
      <c r="BN126" s="163"/>
      <c r="BO126" s="211" t="str">
        <f t="shared" si="132"/>
        <v>תיאטרון "מלנקי"קבוצות תיאטרון</v>
      </c>
      <c r="BP126" s="125">
        <f t="shared" si="133"/>
        <v>1</v>
      </c>
      <c r="BQ126" s="164">
        <v>0</v>
      </c>
      <c r="BR126" s="164">
        <v>1</v>
      </c>
      <c r="BS126" s="149">
        <f t="shared" si="134"/>
        <v>1</v>
      </c>
      <c r="BT126" s="149">
        <f t="shared" si="135"/>
        <v>1</v>
      </c>
      <c r="BU126" s="149">
        <f t="shared" si="136"/>
        <v>1</v>
      </c>
      <c r="BV126" s="149">
        <f t="shared" si="137"/>
        <v>1</v>
      </c>
      <c r="BW126" s="149">
        <f t="shared" si="138"/>
        <v>1</v>
      </c>
      <c r="BX126" s="149">
        <f t="shared" si="139"/>
        <v>1</v>
      </c>
      <c r="BY126" s="149">
        <f t="shared" si="140"/>
        <v>1</v>
      </c>
      <c r="BZ126" s="149">
        <f t="shared" si="141"/>
        <v>1</v>
      </c>
      <c r="CA126" s="149">
        <f t="shared" si="142"/>
        <v>1</v>
      </c>
      <c r="CB126" s="149">
        <f t="shared" si="143"/>
        <v>1</v>
      </c>
      <c r="CC126" s="149">
        <f t="shared" si="144"/>
        <v>1</v>
      </c>
      <c r="CD126" s="149">
        <f t="shared" si="145"/>
        <v>1</v>
      </c>
      <c r="CE126" s="149">
        <f t="shared" si="146"/>
        <v>1</v>
      </c>
      <c r="CF126" s="149">
        <f t="shared" si="147"/>
        <v>1</v>
      </c>
      <c r="CG126" s="149">
        <f t="shared" si="148"/>
        <v>1</v>
      </c>
      <c r="CH126" s="149">
        <f t="shared" si="149"/>
        <v>1</v>
      </c>
      <c r="CI126" s="149">
        <f t="shared" si="150"/>
        <v>1</v>
      </c>
      <c r="CJ126" s="149">
        <f t="shared" si="151"/>
        <v>1</v>
      </c>
      <c r="CK126" s="149">
        <f t="shared" si="152"/>
        <v>1</v>
      </c>
      <c r="CL126" s="149">
        <f t="shared" si="153"/>
        <v>1</v>
      </c>
      <c r="CM126" s="149">
        <f t="shared" si="154"/>
        <v>1</v>
      </c>
      <c r="CN126" s="149">
        <f t="shared" si="155"/>
        <v>1</v>
      </c>
      <c r="CO126" s="149">
        <f t="shared" si="156"/>
        <v>1</v>
      </c>
      <c r="CP126" s="149">
        <f t="shared" si="157"/>
        <v>1</v>
      </c>
      <c r="CQ126" s="149">
        <f t="shared" si="158"/>
        <v>1</v>
      </c>
      <c r="CR126" s="149">
        <f t="shared" si="159"/>
        <v>1</v>
      </c>
      <c r="CS126" s="149">
        <f t="shared" si="160"/>
        <v>1</v>
      </c>
      <c r="CT126" s="149">
        <f t="shared" si="161"/>
        <v>1</v>
      </c>
      <c r="CU126" s="149">
        <f t="shared" si="162"/>
        <v>1</v>
      </c>
      <c r="CV126" s="149">
        <f t="shared" si="163"/>
        <v>1</v>
      </c>
      <c r="CW126" s="149">
        <f t="shared" si="164"/>
        <v>1</v>
      </c>
      <c r="CX126" s="149">
        <f t="shared" si="165"/>
        <v>1</v>
      </c>
      <c r="CY126" s="149">
        <f t="shared" si="166"/>
        <v>1</v>
      </c>
      <c r="CZ126" s="149">
        <f t="shared" si="167"/>
        <v>1</v>
      </c>
      <c r="DA126" s="149">
        <f t="shared" si="168"/>
        <v>1</v>
      </c>
      <c r="DB126" s="149">
        <f t="shared" si="169"/>
        <v>1</v>
      </c>
      <c r="DG126" s="125">
        <f t="shared" ref="DG126:DP151" si="184">IF($G126="","",DG$30)</f>
        <v>1</v>
      </c>
      <c r="DH126" s="125">
        <f t="shared" si="184"/>
        <v>2</v>
      </c>
      <c r="DI126" s="125">
        <f t="shared" si="184"/>
        <v>3</v>
      </c>
      <c r="DJ126" s="125">
        <f t="shared" si="184"/>
        <v>4</v>
      </c>
      <c r="DK126" s="125">
        <f t="shared" si="184"/>
        <v>5</v>
      </c>
      <c r="DL126" s="125">
        <f t="shared" si="184"/>
        <v>6</v>
      </c>
      <c r="DM126" s="125">
        <f t="shared" si="184"/>
        <v>7</v>
      </c>
      <c r="DN126" s="125">
        <f t="shared" si="184"/>
        <v>8</v>
      </c>
      <c r="DO126" s="125">
        <f t="shared" si="184"/>
        <v>9</v>
      </c>
      <c r="DP126" s="125">
        <f t="shared" si="184"/>
        <v>10</v>
      </c>
      <c r="DS126" s="137"/>
      <c r="DT126" s="137"/>
      <c r="DU126" s="137"/>
      <c r="DV126" s="137" t="b">
        <f t="shared" si="170"/>
        <v>0</v>
      </c>
      <c r="DW126" s="137" t="b">
        <f t="shared" si="171"/>
        <v>0</v>
      </c>
      <c r="DX126" s="137" t="b">
        <f t="shared" si="172"/>
        <v>1</v>
      </c>
      <c r="EB126" s="131">
        <f t="shared" si="182"/>
        <v>1</v>
      </c>
      <c r="EC126" s="137" t="b">
        <f t="shared" si="173"/>
        <v>0</v>
      </c>
      <c r="ED126" s="137" t="b">
        <f t="shared" si="174"/>
        <v>0</v>
      </c>
      <c r="EE126" s="137" t="b">
        <f t="shared" si="175"/>
        <v>1</v>
      </c>
      <c r="EF126" s="137"/>
      <c r="EG126" s="137"/>
      <c r="EH126" s="137"/>
      <c r="EI126" s="137"/>
      <c r="EJ126" s="137">
        <f t="shared" si="183"/>
        <v>1</v>
      </c>
      <c r="EK126" s="125">
        <f t="shared" si="176"/>
        <v>0</v>
      </c>
      <c r="EL126" s="125">
        <f t="shared" si="177"/>
        <v>0</v>
      </c>
    </row>
    <row r="127" spans="2:142" ht="15.75" x14ac:dyDescent="0.25">
      <c r="B127" s="160">
        <f t="shared" si="178"/>
        <v>97</v>
      </c>
      <c r="C127" s="205">
        <v>1001350656</v>
      </c>
      <c r="D127" s="205">
        <v>1001288980</v>
      </c>
      <c r="E127" s="205">
        <v>40209197</v>
      </c>
      <c r="F127" s="118">
        <f>IF(OR(J127="",H127=""),"",VLOOKUP(J127,'הזנה לסיווג רשויות'!$B$2:$D$301,2,0))</f>
        <v>20000248</v>
      </c>
      <c r="G127" s="118" t="str">
        <f>IF(OR(J127="",H127=""),"",VLOOKUP(J127,'הזנה לסיווג רשויות'!$B$2:$D$301,3,0))</f>
        <v>רחובות</v>
      </c>
      <c r="H127" s="281" t="s">
        <v>605</v>
      </c>
      <c r="I127" s="201" t="s">
        <v>375</v>
      </c>
      <c r="J127" s="205">
        <v>8400</v>
      </c>
      <c r="K127" s="161">
        <v>0</v>
      </c>
      <c r="L127" s="161">
        <v>1</v>
      </c>
      <c r="M127" s="161">
        <v>0</v>
      </c>
      <c r="N127" s="161">
        <v>0</v>
      </c>
      <c r="O127" s="161">
        <v>1</v>
      </c>
      <c r="P127" s="161">
        <v>1</v>
      </c>
      <c r="Q127" s="161">
        <v>1</v>
      </c>
      <c r="R127" s="201">
        <v>4333254</v>
      </c>
      <c r="S127" s="201">
        <v>3239345</v>
      </c>
      <c r="T127" s="160">
        <f>IF(G127="","",IFERROR(IF(S127/R127&gt;'פרמטרים לקריטריונים'!$C$20,1,0),0))</f>
        <v>1</v>
      </c>
      <c r="U127" s="201">
        <v>2347487</v>
      </c>
      <c r="V127" s="160">
        <f>IF(G127="","",IFERROR(IF(U127/R127&gt;'פרמטרים לקריטריונים'!$C$21,1,IF(AND(I127=$BW$5,U127/R127&gt;'פרמטרים לקריטריונים'!$C$22),1,0)),0))</f>
        <v>1</v>
      </c>
      <c r="W127" s="161">
        <v>1</v>
      </c>
      <c r="X127" s="161">
        <v>1</v>
      </c>
      <c r="Y127" s="201">
        <v>909691</v>
      </c>
      <c r="Z127" s="201">
        <v>909691</v>
      </c>
      <c r="AA127" s="161">
        <f t="shared" si="179"/>
        <v>1</v>
      </c>
      <c r="AB127" s="161"/>
      <c r="AC127" s="161"/>
      <c r="AD127" s="161"/>
      <c r="AE127" s="161"/>
      <c r="AF127" s="161"/>
      <c r="AG127" s="161"/>
      <c r="AH127" s="161"/>
      <c r="AI127" s="161"/>
      <c r="AJ127" s="161"/>
      <c r="AK127" s="161"/>
      <c r="AL127" s="161"/>
      <c r="AM127" s="161"/>
      <c r="AN127" s="161"/>
      <c r="AO127" s="161"/>
      <c r="AP127" s="161"/>
      <c r="AQ127" s="161"/>
      <c r="AR127" s="161"/>
      <c r="AS127" s="161"/>
      <c r="AT127" s="161"/>
      <c r="AU127" s="161"/>
      <c r="AV127" s="161"/>
      <c r="AW127" s="160"/>
      <c r="AX127" s="161"/>
      <c r="AY127" s="161"/>
      <c r="AZ127" s="161"/>
      <c r="BA127" s="161"/>
      <c r="BB127" s="161"/>
      <c r="BC127" s="161"/>
      <c r="BD127" s="161"/>
      <c r="BE127" s="161"/>
      <c r="BF127" s="160" t="str">
        <f t="shared" si="180"/>
        <v/>
      </c>
      <c r="BG127" s="160"/>
      <c r="BH127" s="160"/>
      <c r="BI127" s="160"/>
      <c r="BJ127" s="160"/>
      <c r="BK127" s="160"/>
      <c r="BL127" s="162">
        <f t="shared" si="131"/>
        <v>1</v>
      </c>
      <c r="BM127" s="257"/>
      <c r="BN127" s="163"/>
      <c r="BO127" s="211" t="str">
        <f t="shared" si="132"/>
        <v>מכון דוידסון לחינוך מדעימוזיאונים</v>
      </c>
      <c r="BP127" s="125">
        <f t="shared" si="133"/>
        <v>1</v>
      </c>
      <c r="BQ127" s="164">
        <v>0</v>
      </c>
      <c r="BR127" s="164">
        <v>1</v>
      </c>
      <c r="BS127" s="149">
        <f t="shared" si="134"/>
        <v>1</v>
      </c>
      <c r="BT127" s="149">
        <f t="shared" si="135"/>
        <v>1</v>
      </c>
      <c r="BU127" s="149">
        <f t="shared" si="136"/>
        <v>1</v>
      </c>
      <c r="BV127" s="149">
        <f t="shared" si="137"/>
        <v>1</v>
      </c>
      <c r="BW127" s="149">
        <f t="shared" si="138"/>
        <v>1</v>
      </c>
      <c r="BX127" s="149">
        <f t="shared" si="139"/>
        <v>1</v>
      </c>
      <c r="BY127" s="149">
        <f t="shared" si="140"/>
        <v>1</v>
      </c>
      <c r="BZ127" s="149">
        <f t="shared" si="141"/>
        <v>1</v>
      </c>
      <c r="CA127" s="149">
        <f t="shared" si="142"/>
        <v>1</v>
      </c>
      <c r="CB127" s="149">
        <f t="shared" si="143"/>
        <v>1</v>
      </c>
      <c r="CC127" s="149">
        <f t="shared" si="144"/>
        <v>1</v>
      </c>
      <c r="CD127" s="149">
        <f t="shared" si="145"/>
        <v>1</v>
      </c>
      <c r="CE127" s="149">
        <f t="shared" si="146"/>
        <v>1</v>
      </c>
      <c r="CF127" s="149">
        <f t="shared" si="147"/>
        <v>1</v>
      </c>
      <c r="CG127" s="149">
        <f t="shared" si="148"/>
        <v>1</v>
      </c>
      <c r="CH127" s="149">
        <f t="shared" si="149"/>
        <v>1</v>
      </c>
      <c r="CI127" s="149">
        <f t="shared" si="150"/>
        <v>1</v>
      </c>
      <c r="CJ127" s="149">
        <f t="shared" si="151"/>
        <v>1</v>
      </c>
      <c r="CK127" s="149">
        <f t="shared" si="152"/>
        <v>1</v>
      </c>
      <c r="CL127" s="149">
        <f t="shared" si="153"/>
        <v>1</v>
      </c>
      <c r="CM127" s="149">
        <f t="shared" si="154"/>
        <v>1</v>
      </c>
      <c r="CN127" s="149">
        <f t="shared" si="155"/>
        <v>1</v>
      </c>
      <c r="CO127" s="149">
        <f t="shared" si="156"/>
        <v>1</v>
      </c>
      <c r="CP127" s="149">
        <f t="shared" si="157"/>
        <v>1</v>
      </c>
      <c r="CQ127" s="149">
        <f t="shared" si="158"/>
        <v>1</v>
      </c>
      <c r="CR127" s="149">
        <f t="shared" si="159"/>
        <v>1</v>
      </c>
      <c r="CS127" s="149">
        <f t="shared" si="160"/>
        <v>1</v>
      </c>
      <c r="CT127" s="149">
        <f t="shared" si="161"/>
        <v>1</v>
      </c>
      <c r="CU127" s="149">
        <f t="shared" si="162"/>
        <v>1</v>
      </c>
      <c r="CV127" s="149">
        <f t="shared" si="163"/>
        <v>1</v>
      </c>
      <c r="CW127" s="149">
        <f t="shared" si="164"/>
        <v>1</v>
      </c>
      <c r="CX127" s="149">
        <f t="shared" si="165"/>
        <v>1</v>
      </c>
      <c r="CY127" s="149">
        <f t="shared" si="166"/>
        <v>1</v>
      </c>
      <c r="CZ127" s="149">
        <f t="shared" si="167"/>
        <v>1</v>
      </c>
      <c r="DA127" s="149">
        <f t="shared" si="168"/>
        <v>1</v>
      </c>
      <c r="DB127" s="149">
        <f t="shared" si="169"/>
        <v>1</v>
      </c>
      <c r="DG127" s="125">
        <f t="shared" si="184"/>
        <v>1</v>
      </c>
      <c r="DH127" s="125">
        <f t="shared" si="184"/>
        <v>2</v>
      </c>
      <c r="DI127" s="125">
        <f t="shared" si="184"/>
        <v>3</v>
      </c>
      <c r="DJ127" s="125">
        <f t="shared" si="184"/>
        <v>4</v>
      </c>
      <c r="DK127" s="125">
        <f t="shared" si="184"/>
        <v>5</v>
      </c>
      <c r="DL127" s="125">
        <f t="shared" si="184"/>
        <v>6</v>
      </c>
      <c r="DM127" s="125">
        <f t="shared" si="184"/>
        <v>7</v>
      </c>
      <c r="DN127" s="125">
        <f t="shared" si="184"/>
        <v>8</v>
      </c>
      <c r="DO127" s="125">
        <f t="shared" si="184"/>
        <v>9</v>
      </c>
      <c r="DP127" s="125">
        <f t="shared" si="184"/>
        <v>10</v>
      </c>
      <c r="DS127" s="137"/>
      <c r="DT127" s="137"/>
      <c r="DU127" s="137"/>
      <c r="DV127" s="137" t="b">
        <f t="shared" si="170"/>
        <v>0</v>
      </c>
      <c r="DW127" s="137" t="b">
        <f t="shared" si="171"/>
        <v>0</v>
      </c>
      <c r="DX127" s="137" t="b">
        <f t="shared" si="172"/>
        <v>1</v>
      </c>
      <c r="EB127" s="131">
        <f t="shared" si="182"/>
        <v>1</v>
      </c>
      <c r="EC127" s="137" t="b">
        <f t="shared" si="173"/>
        <v>0</v>
      </c>
      <c r="ED127" s="137" t="b">
        <f t="shared" si="174"/>
        <v>0</v>
      </c>
      <c r="EE127" s="137" t="b">
        <f t="shared" si="175"/>
        <v>1</v>
      </c>
      <c r="EF127" s="137"/>
      <c r="EG127" s="137"/>
      <c r="EH127" s="137"/>
      <c r="EI127" s="137"/>
      <c r="EJ127" s="137">
        <f t="shared" si="183"/>
        <v>1</v>
      </c>
      <c r="EK127" s="125">
        <f t="shared" si="176"/>
        <v>0</v>
      </c>
      <c r="EL127" s="125">
        <f t="shared" si="177"/>
        <v>0</v>
      </c>
    </row>
    <row r="128" spans="2:142" ht="15.75" x14ac:dyDescent="0.25">
      <c r="B128" s="160">
        <f t="shared" si="178"/>
        <v>98</v>
      </c>
      <c r="C128" s="205">
        <v>1001348864</v>
      </c>
      <c r="D128" s="205">
        <v>1001311515</v>
      </c>
      <c r="E128" s="205">
        <v>40216045</v>
      </c>
      <c r="F128" s="118">
        <f>IF(OR(J128="",H128=""),"",VLOOKUP(J128,'הזנה לסיווג רשויות'!$B$2:$D$301,2,0))</f>
        <v>20000158</v>
      </c>
      <c r="G128" s="118" t="str">
        <f>IF(OR(J128="",H128=""),"",VLOOKUP(J128,'הזנה לסיווג רשויות'!$B$2:$D$301,3,0))</f>
        <v>גולן</v>
      </c>
      <c r="H128" s="281" t="s">
        <v>606</v>
      </c>
      <c r="I128" s="201" t="s">
        <v>385</v>
      </c>
      <c r="J128" s="205">
        <v>71</v>
      </c>
      <c r="K128" s="161">
        <v>0</v>
      </c>
      <c r="L128" s="161">
        <v>1</v>
      </c>
      <c r="M128" s="161">
        <v>0</v>
      </c>
      <c r="N128" s="161">
        <v>0</v>
      </c>
      <c r="O128" s="161">
        <v>1</v>
      </c>
      <c r="P128" s="161">
        <v>1</v>
      </c>
      <c r="Q128" s="161">
        <v>1</v>
      </c>
      <c r="R128" s="201">
        <v>939811</v>
      </c>
      <c r="S128" s="201">
        <v>869811</v>
      </c>
      <c r="T128" s="160">
        <f>IF(G128="","",IFERROR(IF(S128/R128&gt;'פרמטרים לקריטריונים'!$C$20,1,0),0))</f>
        <v>1</v>
      </c>
      <c r="U128" s="201">
        <v>407293</v>
      </c>
      <c r="V128" s="160">
        <f>IF(G128="","",IFERROR(IF(U128/R128&gt;'פרמטרים לקריטריונים'!$C$21,1,IF(AND(I128=$BW$5,U128/R128&gt;'פרמטרים לקריטריונים'!$C$22),1,0)),0))</f>
        <v>1</v>
      </c>
      <c r="W128" s="161">
        <v>1</v>
      </c>
      <c r="X128" s="161">
        <v>1</v>
      </c>
      <c r="Y128" s="201">
        <v>100000</v>
      </c>
      <c r="Z128" s="201">
        <v>100000</v>
      </c>
      <c r="AA128" s="161">
        <f t="shared" si="179"/>
        <v>1</v>
      </c>
      <c r="AB128" s="161"/>
      <c r="AC128" s="161"/>
      <c r="AD128" s="161"/>
      <c r="AE128" s="161"/>
      <c r="AF128" s="161"/>
      <c r="AG128" s="161"/>
      <c r="AH128" s="161"/>
      <c r="AI128" s="161"/>
      <c r="AJ128" s="161"/>
      <c r="AK128" s="161"/>
      <c r="AL128" s="161"/>
      <c r="AM128" s="161"/>
      <c r="AN128" s="161"/>
      <c r="AO128" s="161"/>
      <c r="AP128" s="161"/>
      <c r="AQ128" s="161"/>
      <c r="AR128" s="161"/>
      <c r="AS128" s="161"/>
      <c r="AT128" s="161"/>
      <c r="AU128" s="161"/>
      <c r="AV128" s="161"/>
      <c r="AW128" s="160"/>
      <c r="AX128" s="161"/>
      <c r="AY128" s="161"/>
      <c r="AZ128" s="161"/>
      <c r="BA128" s="161"/>
      <c r="BB128" s="161"/>
      <c r="BC128" s="161"/>
      <c r="BD128" s="161"/>
      <c r="BE128" s="161"/>
      <c r="BF128" s="160" t="str">
        <f t="shared" si="180"/>
        <v/>
      </c>
      <c r="BG128" s="160"/>
      <c r="BH128" s="160"/>
      <c r="BI128" s="160"/>
      <c r="BJ128" s="160"/>
      <c r="BK128" s="160"/>
      <c r="BL128" s="162">
        <f t="shared" si="131"/>
        <v>1</v>
      </c>
      <c r="BM128" s="257"/>
      <c r="BN128" s="163"/>
      <c r="BO128" s="211" t="str">
        <f t="shared" si="132"/>
        <v>תל-חי כיתות אומן בינ"ל לפסנתרמרכזי מוסיקה</v>
      </c>
      <c r="BP128" s="125">
        <f t="shared" si="133"/>
        <v>1</v>
      </c>
      <c r="BQ128" s="164">
        <v>0</v>
      </c>
      <c r="BR128" s="164">
        <v>1</v>
      </c>
      <c r="BS128" s="149">
        <f t="shared" si="134"/>
        <v>1</v>
      </c>
      <c r="BT128" s="149">
        <f t="shared" si="135"/>
        <v>1</v>
      </c>
      <c r="BU128" s="149">
        <f t="shared" si="136"/>
        <v>1</v>
      </c>
      <c r="BV128" s="149">
        <f t="shared" si="137"/>
        <v>1</v>
      </c>
      <c r="BW128" s="149">
        <f t="shared" si="138"/>
        <v>1</v>
      </c>
      <c r="BX128" s="149">
        <f t="shared" si="139"/>
        <v>1</v>
      </c>
      <c r="BY128" s="149">
        <f t="shared" si="140"/>
        <v>1</v>
      </c>
      <c r="BZ128" s="149">
        <f t="shared" si="141"/>
        <v>1</v>
      </c>
      <c r="CA128" s="149">
        <f t="shared" si="142"/>
        <v>1</v>
      </c>
      <c r="CB128" s="149">
        <f t="shared" si="143"/>
        <v>1</v>
      </c>
      <c r="CC128" s="149">
        <f t="shared" si="144"/>
        <v>1</v>
      </c>
      <c r="CD128" s="149">
        <f t="shared" si="145"/>
        <v>1</v>
      </c>
      <c r="CE128" s="149">
        <f t="shared" si="146"/>
        <v>1</v>
      </c>
      <c r="CF128" s="149">
        <f t="shared" si="147"/>
        <v>1</v>
      </c>
      <c r="CG128" s="149">
        <f t="shared" si="148"/>
        <v>1</v>
      </c>
      <c r="CH128" s="149">
        <f t="shared" si="149"/>
        <v>1</v>
      </c>
      <c r="CI128" s="149">
        <f t="shared" si="150"/>
        <v>1</v>
      </c>
      <c r="CJ128" s="149">
        <f t="shared" si="151"/>
        <v>1</v>
      </c>
      <c r="CK128" s="149">
        <f t="shared" si="152"/>
        <v>1</v>
      </c>
      <c r="CL128" s="149">
        <f t="shared" si="153"/>
        <v>1</v>
      </c>
      <c r="CM128" s="149">
        <f t="shared" si="154"/>
        <v>1</v>
      </c>
      <c r="CN128" s="149">
        <f t="shared" si="155"/>
        <v>1</v>
      </c>
      <c r="CO128" s="149">
        <f t="shared" si="156"/>
        <v>1</v>
      </c>
      <c r="CP128" s="149">
        <f t="shared" si="157"/>
        <v>1</v>
      </c>
      <c r="CQ128" s="149">
        <f t="shared" si="158"/>
        <v>1</v>
      </c>
      <c r="CR128" s="149">
        <f t="shared" si="159"/>
        <v>1</v>
      </c>
      <c r="CS128" s="149">
        <f t="shared" si="160"/>
        <v>1</v>
      </c>
      <c r="CT128" s="149">
        <f t="shared" si="161"/>
        <v>1</v>
      </c>
      <c r="CU128" s="149">
        <f t="shared" si="162"/>
        <v>1</v>
      </c>
      <c r="CV128" s="149">
        <f t="shared" si="163"/>
        <v>1</v>
      </c>
      <c r="CW128" s="149">
        <f t="shared" si="164"/>
        <v>1</v>
      </c>
      <c r="CX128" s="149">
        <f t="shared" si="165"/>
        <v>1</v>
      </c>
      <c r="CY128" s="149">
        <f t="shared" si="166"/>
        <v>1</v>
      </c>
      <c r="CZ128" s="149">
        <f t="shared" si="167"/>
        <v>1</v>
      </c>
      <c r="DA128" s="149">
        <f t="shared" si="168"/>
        <v>1</v>
      </c>
      <c r="DB128" s="149">
        <f t="shared" si="169"/>
        <v>1</v>
      </c>
      <c r="DG128" s="125">
        <f t="shared" si="184"/>
        <v>1</v>
      </c>
      <c r="DH128" s="125">
        <f t="shared" si="184"/>
        <v>2</v>
      </c>
      <c r="DI128" s="125">
        <f t="shared" si="184"/>
        <v>3</v>
      </c>
      <c r="DJ128" s="125">
        <f t="shared" si="184"/>
        <v>4</v>
      </c>
      <c r="DK128" s="125">
        <f t="shared" si="184"/>
        <v>5</v>
      </c>
      <c r="DL128" s="125">
        <f t="shared" si="184"/>
        <v>6</v>
      </c>
      <c r="DM128" s="125">
        <f t="shared" si="184"/>
        <v>7</v>
      </c>
      <c r="DN128" s="125">
        <f t="shared" si="184"/>
        <v>8</v>
      </c>
      <c r="DO128" s="125">
        <f t="shared" si="184"/>
        <v>9</v>
      </c>
      <c r="DP128" s="125">
        <f t="shared" si="184"/>
        <v>10</v>
      </c>
      <c r="DS128" s="137"/>
      <c r="DT128" s="137"/>
      <c r="DU128" s="137"/>
      <c r="DV128" s="137" t="b">
        <f t="shared" si="170"/>
        <v>0</v>
      </c>
      <c r="DW128" s="137" t="b">
        <f t="shared" si="171"/>
        <v>0</v>
      </c>
      <c r="DX128" s="137" t="b">
        <f t="shared" si="172"/>
        <v>1</v>
      </c>
      <c r="EB128" s="131">
        <f t="shared" si="182"/>
        <v>1</v>
      </c>
      <c r="EC128" s="137" t="b">
        <f t="shared" si="173"/>
        <v>0</v>
      </c>
      <c r="ED128" s="137" t="b">
        <f t="shared" si="174"/>
        <v>0</v>
      </c>
      <c r="EE128" s="137" t="b">
        <f t="shared" si="175"/>
        <v>1</v>
      </c>
      <c r="EF128" s="137"/>
      <c r="EG128" s="137"/>
      <c r="EH128" s="137"/>
      <c r="EI128" s="137"/>
      <c r="EJ128" s="137">
        <f t="shared" si="183"/>
        <v>1</v>
      </c>
      <c r="EK128" s="125">
        <f t="shared" si="176"/>
        <v>0</v>
      </c>
      <c r="EL128" s="125">
        <f t="shared" si="177"/>
        <v>0</v>
      </c>
    </row>
    <row r="129" spans="2:142" ht="15.75" x14ac:dyDescent="0.25">
      <c r="B129" s="160">
        <f t="shared" si="178"/>
        <v>99</v>
      </c>
      <c r="C129" s="205">
        <v>1001350625</v>
      </c>
      <c r="D129" s="205">
        <v>1001312149</v>
      </c>
      <c r="E129" s="205">
        <v>40233029</v>
      </c>
      <c r="F129" s="118">
        <f>IF(OR(J129="",H129=""),"",VLOOKUP(J129,'הזנה לסיווג רשויות'!$B$2:$D$301,2,0))</f>
        <v>20000159</v>
      </c>
      <c r="G129" s="118" t="str">
        <f>IF(OR(J129="",H129=""),"",VLOOKUP(J129,'הזנה לסיווג רשויות'!$B$2:$D$301,3,0))</f>
        <v>ירושלים</v>
      </c>
      <c r="H129" s="281" t="s">
        <v>607</v>
      </c>
      <c r="I129" s="201" t="s">
        <v>385</v>
      </c>
      <c r="J129" s="205">
        <v>3000</v>
      </c>
      <c r="K129" s="161">
        <v>0</v>
      </c>
      <c r="L129" s="161">
        <v>1</v>
      </c>
      <c r="M129" s="161">
        <v>0</v>
      </c>
      <c r="N129" s="161">
        <v>0</v>
      </c>
      <c r="O129" s="161">
        <v>1</v>
      </c>
      <c r="P129" s="161">
        <v>1</v>
      </c>
      <c r="Q129" s="161">
        <v>1</v>
      </c>
      <c r="R129" s="201">
        <v>1855143</v>
      </c>
      <c r="S129" s="201">
        <v>1805143</v>
      </c>
      <c r="T129" s="160">
        <f>IF(G129="","",IFERROR(IF(S129/R129&gt;'פרמטרים לקריטריונים'!$C$20,1,0),0))</f>
        <v>1</v>
      </c>
      <c r="U129" s="201">
        <v>480931</v>
      </c>
      <c r="V129" s="160">
        <f>IF(G129="","",IFERROR(IF(U129/R129&gt;'פרמטרים לקריטריונים'!$C$21,1,IF(AND(I129=$BW$5,U129/R129&gt;'פרמטרים לקריטריונים'!$C$22),1,0)),0))</f>
        <v>1</v>
      </c>
      <c r="W129" s="161">
        <v>1</v>
      </c>
      <c r="X129" s="161">
        <v>1</v>
      </c>
      <c r="Y129" s="201">
        <v>1270065</v>
      </c>
      <c r="Z129" s="201">
        <v>1270065</v>
      </c>
      <c r="AA129" s="161">
        <f t="shared" si="179"/>
        <v>1</v>
      </c>
      <c r="AB129" s="161"/>
      <c r="AC129" s="161"/>
      <c r="AD129" s="161"/>
      <c r="AE129" s="161"/>
      <c r="AF129" s="161"/>
      <c r="AG129" s="161"/>
      <c r="AH129" s="161"/>
      <c r="AI129" s="161"/>
      <c r="AJ129" s="161"/>
      <c r="AK129" s="161"/>
      <c r="AL129" s="161"/>
      <c r="AM129" s="161"/>
      <c r="AN129" s="161"/>
      <c r="AO129" s="161"/>
      <c r="AP129" s="161"/>
      <c r="AQ129" s="161"/>
      <c r="AR129" s="161"/>
      <c r="AS129" s="161"/>
      <c r="AT129" s="161"/>
      <c r="AU129" s="161"/>
      <c r="AV129" s="161"/>
      <c r="AW129" s="160"/>
      <c r="AX129" s="161"/>
      <c r="AY129" s="161"/>
      <c r="AZ129" s="161"/>
      <c r="BA129" s="161"/>
      <c r="BB129" s="161"/>
      <c r="BC129" s="161"/>
      <c r="BD129" s="161"/>
      <c r="BE129" s="161"/>
      <c r="BF129" s="160" t="str">
        <f t="shared" si="180"/>
        <v/>
      </c>
      <c r="BG129" s="160"/>
      <c r="BH129" s="160"/>
      <c r="BI129" s="160"/>
      <c r="BJ129" s="160"/>
      <c r="BK129" s="160"/>
      <c r="BL129" s="162">
        <f t="shared" si="131"/>
        <v>1</v>
      </c>
      <c r="BM129" s="257"/>
      <c r="BN129" s="163"/>
      <c r="BO129" s="211" t="str">
        <f t="shared" si="132"/>
        <v>המרכז למוסיקה ירושליםמרכזי מוסיקה</v>
      </c>
      <c r="BP129" s="125">
        <f t="shared" si="133"/>
        <v>1</v>
      </c>
      <c r="BQ129" s="164">
        <v>0</v>
      </c>
      <c r="BR129" s="164">
        <v>1</v>
      </c>
      <c r="BS129" s="149">
        <f t="shared" si="134"/>
        <v>1</v>
      </c>
      <c r="BT129" s="149">
        <f t="shared" si="135"/>
        <v>1</v>
      </c>
      <c r="BU129" s="149">
        <f t="shared" si="136"/>
        <v>1</v>
      </c>
      <c r="BV129" s="149">
        <f t="shared" si="137"/>
        <v>1</v>
      </c>
      <c r="BW129" s="149">
        <f t="shared" si="138"/>
        <v>1</v>
      </c>
      <c r="BX129" s="149">
        <f t="shared" si="139"/>
        <v>1</v>
      </c>
      <c r="BY129" s="149">
        <f t="shared" si="140"/>
        <v>1</v>
      </c>
      <c r="BZ129" s="149">
        <f t="shared" si="141"/>
        <v>1</v>
      </c>
      <c r="CA129" s="149">
        <f t="shared" si="142"/>
        <v>1</v>
      </c>
      <c r="CB129" s="149">
        <f t="shared" si="143"/>
        <v>1</v>
      </c>
      <c r="CC129" s="149">
        <f t="shared" si="144"/>
        <v>1</v>
      </c>
      <c r="CD129" s="149">
        <f t="shared" si="145"/>
        <v>1</v>
      </c>
      <c r="CE129" s="149">
        <f t="shared" si="146"/>
        <v>1</v>
      </c>
      <c r="CF129" s="149">
        <f t="shared" si="147"/>
        <v>1</v>
      </c>
      <c r="CG129" s="149">
        <f t="shared" si="148"/>
        <v>1</v>
      </c>
      <c r="CH129" s="149">
        <f t="shared" si="149"/>
        <v>1</v>
      </c>
      <c r="CI129" s="149">
        <f t="shared" si="150"/>
        <v>1</v>
      </c>
      <c r="CJ129" s="149">
        <f t="shared" si="151"/>
        <v>1</v>
      </c>
      <c r="CK129" s="149">
        <f t="shared" si="152"/>
        <v>1</v>
      </c>
      <c r="CL129" s="149">
        <f t="shared" si="153"/>
        <v>1</v>
      </c>
      <c r="CM129" s="149">
        <f t="shared" si="154"/>
        <v>1</v>
      </c>
      <c r="CN129" s="149">
        <f t="shared" si="155"/>
        <v>1</v>
      </c>
      <c r="CO129" s="149">
        <f t="shared" si="156"/>
        <v>1</v>
      </c>
      <c r="CP129" s="149">
        <f t="shared" si="157"/>
        <v>1</v>
      </c>
      <c r="CQ129" s="149">
        <f t="shared" si="158"/>
        <v>1</v>
      </c>
      <c r="CR129" s="149">
        <f t="shared" si="159"/>
        <v>1</v>
      </c>
      <c r="CS129" s="149">
        <f t="shared" si="160"/>
        <v>1</v>
      </c>
      <c r="CT129" s="149">
        <f t="shared" si="161"/>
        <v>1</v>
      </c>
      <c r="CU129" s="149">
        <f t="shared" si="162"/>
        <v>1</v>
      </c>
      <c r="CV129" s="149">
        <f t="shared" si="163"/>
        <v>1</v>
      </c>
      <c r="CW129" s="149">
        <f t="shared" si="164"/>
        <v>1</v>
      </c>
      <c r="CX129" s="149">
        <f t="shared" si="165"/>
        <v>1</v>
      </c>
      <c r="CY129" s="149">
        <f t="shared" si="166"/>
        <v>1</v>
      </c>
      <c r="CZ129" s="149">
        <f t="shared" si="167"/>
        <v>1</v>
      </c>
      <c r="DA129" s="149">
        <f t="shared" si="168"/>
        <v>1</v>
      </c>
      <c r="DB129" s="149">
        <f t="shared" si="169"/>
        <v>1</v>
      </c>
      <c r="DG129" s="125">
        <f t="shared" si="184"/>
        <v>1</v>
      </c>
      <c r="DH129" s="125">
        <f t="shared" si="184"/>
        <v>2</v>
      </c>
      <c r="DI129" s="125">
        <f t="shared" si="184"/>
        <v>3</v>
      </c>
      <c r="DJ129" s="125">
        <f t="shared" si="184"/>
        <v>4</v>
      </c>
      <c r="DK129" s="125">
        <f t="shared" si="184"/>
        <v>5</v>
      </c>
      <c r="DL129" s="125">
        <f t="shared" si="184"/>
        <v>6</v>
      </c>
      <c r="DM129" s="125">
        <f t="shared" si="184"/>
        <v>7</v>
      </c>
      <c r="DN129" s="125">
        <f t="shared" si="184"/>
        <v>8</v>
      </c>
      <c r="DO129" s="125">
        <f t="shared" si="184"/>
        <v>9</v>
      </c>
      <c r="DP129" s="125">
        <f t="shared" si="184"/>
        <v>10</v>
      </c>
      <c r="DS129" s="137"/>
      <c r="DT129" s="137"/>
      <c r="DU129" s="137"/>
      <c r="DV129" s="137" t="b">
        <f t="shared" si="170"/>
        <v>0</v>
      </c>
      <c r="DW129" s="137" t="b">
        <f t="shared" si="171"/>
        <v>0</v>
      </c>
      <c r="DX129" s="137" t="b">
        <f t="shared" si="172"/>
        <v>1</v>
      </c>
      <c r="EB129" s="131">
        <f t="shared" si="182"/>
        <v>1</v>
      </c>
      <c r="EC129" s="137" t="b">
        <f t="shared" si="173"/>
        <v>0</v>
      </c>
      <c r="ED129" s="137" t="b">
        <f t="shared" si="174"/>
        <v>0</v>
      </c>
      <c r="EE129" s="137" t="b">
        <f t="shared" si="175"/>
        <v>1</v>
      </c>
      <c r="EF129" s="137"/>
      <c r="EG129" s="137"/>
      <c r="EH129" s="137"/>
      <c r="EI129" s="137"/>
      <c r="EJ129" s="137">
        <f t="shared" si="183"/>
        <v>1</v>
      </c>
      <c r="EK129" s="125">
        <f t="shared" si="176"/>
        <v>0</v>
      </c>
      <c r="EL129" s="125">
        <f t="shared" si="177"/>
        <v>0</v>
      </c>
    </row>
    <row r="130" spans="2:142" ht="15.75" x14ac:dyDescent="0.25">
      <c r="B130" s="160">
        <f t="shared" si="178"/>
        <v>100</v>
      </c>
      <c r="C130" s="205">
        <v>1001347014</v>
      </c>
      <c r="D130" s="205">
        <v>1001269702</v>
      </c>
      <c r="E130" s="205">
        <v>40216083</v>
      </c>
      <c r="F130" s="118">
        <f>IF(OR(J130="",H130=""),"",VLOOKUP(J130,'הזנה לסיווג רשויות'!$B$2:$D$301,2,0))</f>
        <v>20000159</v>
      </c>
      <c r="G130" s="118" t="str">
        <f>IF(OR(J130="",H130=""),"",VLOOKUP(J130,'הזנה לסיווג רשויות'!$B$2:$D$301,3,0))</f>
        <v>ירושלים</v>
      </c>
      <c r="H130" s="281" t="s">
        <v>608</v>
      </c>
      <c r="I130" s="201" t="s">
        <v>373</v>
      </c>
      <c r="J130" s="205">
        <v>3000</v>
      </c>
      <c r="K130" s="161">
        <v>0</v>
      </c>
      <c r="L130" s="161">
        <v>1</v>
      </c>
      <c r="M130" s="161">
        <v>0</v>
      </c>
      <c r="N130" s="161">
        <v>1</v>
      </c>
      <c r="O130" s="161">
        <v>1</v>
      </c>
      <c r="P130" s="161">
        <v>1</v>
      </c>
      <c r="Q130" s="161">
        <v>1</v>
      </c>
      <c r="R130" s="201">
        <v>3398572</v>
      </c>
      <c r="S130" s="201">
        <v>1974355</v>
      </c>
      <c r="T130" s="160">
        <f>IF(G130="","",IFERROR(IF(S130/R130&gt;'פרמטרים לקריטריונים'!$C$20,1,0),0))</f>
        <v>1</v>
      </c>
      <c r="U130" s="201">
        <v>1666531</v>
      </c>
      <c r="V130" s="160">
        <f>IF(G130="","",IFERROR(IF(U130/R130&gt;'פרמטרים לקריטריונים'!$C$21,1,IF(AND(I130=$BW$5,U130/R130&gt;'פרמטרים לקריטריונים'!$C$22),1,0)),0))</f>
        <v>1</v>
      </c>
      <c r="W130" s="161">
        <v>1</v>
      </c>
      <c r="X130" s="161">
        <v>1</v>
      </c>
      <c r="Y130" s="201">
        <v>2551736</v>
      </c>
      <c r="Z130" s="201">
        <v>1000000</v>
      </c>
      <c r="AA130" s="161">
        <f t="shared" si="179"/>
        <v>1</v>
      </c>
      <c r="AB130" s="161"/>
      <c r="AC130" s="161"/>
      <c r="AD130" s="161"/>
      <c r="AE130" s="161"/>
      <c r="AF130" s="161"/>
      <c r="AG130" s="161"/>
      <c r="AH130" s="161"/>
      <c r="AI130" s="161"/>
      <c r="AJ130" s="161"/>
      <c r="AK130" s="161"/>
      <c r="AL130" s="161"/>
      <c r="AM130" s="161"/>
      <c r="AN130" s="161"/>
      <c r="AO130" s="161"/>
      <c r="AP130" s="161"/>
      <c r="AQ130" s="161"/>
      <c r="AR130" s="161"/>
      <c r="AS130" s="161"/>
      <c r="AT130" s="161"/>
      <c r="AU130" s="161"/>
      <c r="AV130" s="161"/>
      <c r="AW130" s="160"/>
      <c r="AX130" s="161"/>
      <c r="AY130" s="161"/>
      <c r="AZ130" s="161"/>
      <c r="BA130" s="161"/>
      <c r="BB130" s="161"/>
      <c r="BC130" s="161"/>
      <c r="BD130" s="161"/>
      <c r="BE130" s="161"/>
      <c r="BF130" s="160" t="str">
        <f t="shared" si="180"/>
        <v/>
      </c>
      <c r="BG130" s="160"/>
      <c r="BH130" s="160"/>
      <c r="BI130" s="160"/>
      <c r="BJ130" s="160"/>
      <c r="BK130" s="160"/>
      <c r="BL130" s="162">
        <f t="shared" si="131"/>
        <v>1</v>
      </c>
      <c r="BM130" s="257"/>
      <c r="BN130" s="163"/>
      <c r="BO130" s="211" t="str">
        <f t="shared" si="132"/>
        <v>תאטרון "פסיק" ירושליםתיאטרון</v>
      </c>
      <c r="BP130" s="125">
        <f t="shared" si="133"/>
        <v>1</v>
      </c>
      <c r="BQ130" s="164">
        <v>0</v>
      </c>
      <c r="BR130" s="164">
        <v>1</v>
      </c>
      <c r="BS130" s="149">
        <f t="shared" si="134"/>
        <v>1</v>
      </c>
      <c r="BT130" s="149">
        <f t="shared" si="135"/>
        <v>1</v>
      </c>
      <c r="BU130" s="149">
        <f t="shared" si="136"/>
        <v>1</v>
      </c>
      <c r="BV130" s="149">
        <f t="shared" si="137"/>
        <v>1</v>
      </c>
      <c r="BW130" s="149">
        <f t="shared" si="138"/>
        <v>1</v>
      </c>
      <c r="BX130" s="149">
        <f t="shared" si="139"/>
        <v>1</v>
      </c>
      <c r="BY130" s="149">
        <f t="shared" si="140"/>
        <v>1</v>
      </c>
      <c r="BZ130" s="149">
        <f t="shared" si="141"/>
        <v>1</v>
      </c>
      <c r="CA130" s="149">
        <f t="shared" si="142"/>
        <v>1</v>
      </c>
      <c r="CB130" s="149">
        <f t="shared" si="143"/>
        <v>1</v>
      </c>
      <c r="CC130" s="149">
        <f t="shared" si="144"/>
        <v>1</v>
      </c>
      <c r="CD130" s="149">
        <f t="shared" si="145"/>
        <v>1</v>
      </c>
      <c r="CE130" s="149">
        <f t="shared" si="146"/>
        <v>1</v>
      </c>
      <c r="CF130" s="149">
        <f t="shared" si="147"/>
        <v>1</v>
      </c>
      <c r="CG130" s="149">
        <f t="shared" si="148"/>
        <v>1</v>
      </c>
      <c r="CH130" s="149">
        <f t="shared" si="149"/>
        <v>1</v>
      </c>
      <c r="CI130" s="149">
        <f t="shared" si="150"/>
        <v>1</v>
      </c>
      <c r="CJ130" s="149">
        <f t="shared" si="151"/>
        <v>1</v>
      </c>
      <c r="CK130" s="149">
        <f t="shared" si="152"/>
        <v>1</v>
      </c>
      <c r="CL130" s="149">
        <f t="shared" si="153"/>
        <v>1</v>
      </c>
      <c r="CM130" s="149">
        <f t="shared" si="154"/>
        <v>1</v>
      </c>
      <c r="CN130" s="149">
        <f t="shared" si="155"/>
        <v>1</v>
      </c>
      <c r="CO130" s="149">
        <f t="shared" si="156"/>
        <v>1</v>
      </c>
      <c r="CP130" s="149">
        <f t="shared" si="157"/>
        <v>1</v>
      </c>
      <c r="CQ130" s="149">
        <f t="shared" si="158"/>
        <v>1</v>
      </c>
      <c r="CR130" s="149">
        <f t="shared" si="159"/>
        <v>1</v>
      </c>
      <c r="CS130" s="149">
        <f t="shared" si="160"/>
        <v>1</v>
      </c>
      <c r="CT130" s="149">
        <f t="shared" si="161"/>
        <v>1</v>
      </c>
      <c r="CU130" s="149">
        <f t="shared" si="162"/>
        <v>1</v>
      </c>
      <c r="CV130" s="149">
        <f t="shared" si="163"/>
        <v>1</v>
      </c>
      <c r="CW130" s="149">
        <f t="shared" si="164"/>
        <v>1</v>
      </c>
      <c r="CX130" s="149">
        <f t="shared" si="165"/>
        <v>1</v>
      </c>
      <c r="CY130" s="149">
        <f t="shared" si="166"/>
        <v>1</v>
      </c>
      <c r="CZ130" s="149">
        <f t="shared" si="167"/>
        <v>1</v>
      </c>
      <c r="DA130" s="149">
        <f t="shared" si="168"/>
        <v>1</v>
      </c>
      <c r="DB130" s="149">
        <f t="shared" si="169"/>
        <v>1</v>
      </c>
      <c r="DG130" s="125">
        <f t="shared" si="184"/>
        <v>1</v>
      </c>
      <c r="DH130" s="125">
        <f t="shared" si="184"/>
        <v>2</v>
      </c>
      <c r="DI130" s="125">
        <f t="shared" si="184"/>
        <v>3</v>
      </c>
      <c r="DJ130" s="125">
        <f t="shared" si="184"/>
        <v>4</v>
      </c>
      <c r="DK130" s="125">
        <f t="shared" si="184"/>
        <v>5</v>
      </c>
      <c r="DL130" s="125">
        <f t="shared" si="184"/>
        <v>6</v>
      </c>
      <c r="DM130" s="125">
        <f t="shared" si="184"/>
        <v>7</v>
      </c>
      <c r="DN130" s="125">
        <f t="shared" si="184"/>
        <v>8</v>
      </c>
      <c r="DO130" s="125">
        <f t="shared" si="184"/>
        <v>9</v>
      </c>
      <c r="DP130" s="125">
        <f t="shared" si="184"/>
        <v>10</v>
      </c>
      <c r="DS130" s="137"/>
      <c r="DT130" s="137"/>
      <c r="DU130" s="137"/>
      <c r="DV130" s="137" t="b">
        <f t="shared" si="170"/>
        <v>0</v>
      </c>
      <c r="DW130" s="137" t="b">
        <f t="shared" si="171"/>
        <v>0</v>
      </c>
      <c r="DX130" s="137" t="b">
        <f t="shared" si="172"/>
        <v>1</v>
      </c>
      <c r="EB130" s="131">
        <f t="shared" si="182"/>
        <v>1</v>
      </c>
      <c r="EC130" s="137" t="b">
        <f t="shared" si="173"/>
        <v>0</v>
      </c>
      <c r="ED130" s="137" t="b">
        <f t="shared" si="174"/>
        <v>0</v>
      </c>
      <c r="EE130" s="137" t="b">
        <f t="shared" si="175"/>
        <v>1</v>
      </c>
      <c r="EF130" s="137"/>
      <c r="EG130" s="137"/>
      <c r="EH130" s="137"/>
      <c r="EI130" s="137"/>
      <c r="EJ130" s="137">
        <f t="shared" si="183"/>
        <v>1</v>
      </c>
      <c r="EK130" s="125">
        <f t="shared" si="176"/>
        <v>0</v>
      </c>
      <c r="EL130" s="125">
        <f t="shared" si="177"/>
        <v>0</v>
      </c>
    </row>
    <row r="131" spans="2:142" ht="15.75" x14ac:dyDescent="0.25">
      <c r="B131" s="160">
        <f t="shared" si="178"/>
        <v>101</v>
      </c>
      <c r="C131" s="205">
        <v>1001350428</v>
      </c>
      <c r="D131" s="205">
        <v>1001269684</v>
      </c>
      <c r="E131" s="205">
        <v>40216083</v>
      </c>
      <c r="F131" s="118">
        <f>IF(OR(J131="",H131=""),"",VLOOKUP(J131,'הזנה לסיווג רשויות'!$B$2:$D$301,2,0))</f>
        <v>20000159</v>
      </c>
      <c r="G131" s="118" t="str">
        <f>IF(OR(J131="",H131=""),"",VLOOKUP(J131,'הזנה לסיווג רשויות'!$B$2:$D$301,3,0))</f>
        <v>ירושלים</v>
      </c>
      <c r="H131" s="281" t="s">
        <v>608</v>
      </c>
      <c r="I131" s="201" t="s">
        <v>373</v>
      </c>
      <c r="J131" s="205">
        <v>3000</v>
      </c>
      <c r="K131" s="161">
        <v>0</v>
      </c>
      <c r="L131" s="161">
        <v>1</v>
      </c>
      <c r="M131" s="161">
        <v>0</v>
      </c>
      <c r="N131" s="161">
        <v>1</v>
      </c>
      <c r="O131" s="161">
        <v>1</v>
      </c>
      <c r="P131" s="161">
        <v>1</v>
      </c>
      <c r="Q131" s="161">
        <v>1</v>
      </c>
      <c r="R131" s="201">
        <v>187862</v>
      </c>
      <c r="S131" s="201">
        <v>47637</v>
      </c>
      <c r="T131" s="160">
        <f>IF(G131="","",IFERROR(IF(S131/R131&gt;'פרמטרים לקריטריונים'!$C$20,1,0),0))</f>
        <v>1</v>
      </c>
      <c r="U131" s="201">
        <v>47637</v>
      </c>
      <c r="V131" s="160">
        <f>IF(G131="","",IFERROR(IF(U131/R131&gt;'פרמטרים לקריטריונים'!$C$21,1,IF(AND(I131=$BW$5,U131/R131&gt;'פרמטרים לקריטריונים'!$C$22),1,0)),0))</f>
        <v>1</v>
      </c>
      <c r="W131" s="161">
        <v>1</v>
      </c>
      <c r="X131" s="161">
        <v>1</v>
      </c>
      <c r="Y131" s="201">
        <v>180000</v>
      </c>
      <c r="Z131" s="201">
        <v>90000</v>
      </c>
      <c r="AA131" s="161">
        <f t="shared" si="179"/>
        <v>1</v>
      </c>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0"/>
      <c r="AX131" s="161"/>
      <c r="AY131" s="161"/>
      <c r="AZ131" s="161"/>
      <c r="BA131" s="161"/>
      <c r="BB131" s="161"/>
      <c r="BC131" s="161"/>
      <c r="BD131" s="161"/>
      <c r="BE131" s="161"/>
      <c r="BF131" s="160" t="str">
        <f t="shared" si="180"/>
        <v/>
      </c>
      <c r="BG131" s="160"/>
      <c r="BH131" s="160"/>
      <c r="BI131" s="160"/>
      <c r="BJ131" s="160"/>
      <c r="BK131" s="160"/>
      <c r="BL131" s="162">
        <f t="shared" si="131"/>
        <v>1</v>
      </c>
      <c r="BM131" s="257"/>
      <c r="BN131" s="163"/>
      <c r="BO131" s="211" t="str">
        <f t="shared" si="132"/>
        <v>תאטרון "פסיק" ירושליםתיאטרון</v>
      </c>
      <c r="BP131" s="125">
        <f t="shared" si="133"/>
        <v>1</v>
      </c>
      <c r="BQ131" s="164">
        <v>0</v>
      </c>
      <c r="BR131" s="164">
        <v>1</v>
      </c>
      <c r="BS131" s="149">
        <f t="shared" si="134"/>
        <v>1</v>
      </c>
      <c r="BT131" s="149">
        <f t="shared" si="135"/>
        <v>1</v>
      </c>
      <c r="BU131" s="149">
        <f t="shared" si="136"/>
        <v>1</v>
      </c>
      <c r="BV131" s="149">
        <f t="shared" si="137"/>
        <v>1</v>
      </c>
      <c r="BW131" s="149">
        <f t="shared" si="138"/>
        <v>1</v>
      </c>
      <c r="BX131" s="149">
        <f t="shared" si="139"/>
        <v>1</v>
      </c>
      <c r="BY131" s="149">
        <f t="shared" si="140"/>
        <v>1</v>
      </c>
      <c r="BZ131" s="149">
        <f t="shared" si="141"/>
        <v>1</v>
      </c>
      <c r="CA131" s="149">
        <f t="shared" si="142"/>
        <v>1</v>
      </c>
      <c r="CB131" s="149">
        <f t="shared" si="143"/>
        <v>1</v>
      </c>
      <c r="CC131" s="149">
        <f t="shared" si="144"/>
        <v>1</v>
      </c>
      <c r="CD131" s="149">
        <f t="shared" si="145"/>
        <v>1</v>
      </c>
      <c r="CE131" s="149">
        <f t="shared" si="146"/>
        <v>1</v>
      </c>
      <c r="CF131" s="149">
        <f t="shared" si="147"/>
        <v>1</v>
      </c>
      <c r="CG131" s="149">
        <f t="shared" si="148"/>
        <v>1</v>
      </c>
      <c r="CH131" s="149">
        <f t="shared" si="149"/>
        <v>1</v>
      </c>
      <c r="CI131" s="149">
        <f t="shared" si="150"/>
        <v>1</v>
      </c>
      <c r="CJ131" s="149">
        <f t="shared" si="151"/>
        <v>1</v>
      </c>
      <c r="CK131" s="149">
        <f t="shared" si="152"/>
        <v>1</v>
      </c>
      <c r="CL131" s="149">
        <f t="shared" si="153"/>
        <v>1</v>
      </c>
      <c r="CM131" s="149">
        <f t="shared" si="154"/>
        <v>1</v>
      </c>
      <c r="CN131" s="149">
        <f t="shared" si="155"/>
        <v>1</v>
      </c>
      <c r="CO131" s="149">
        <f t="shared" si="156"/>
        <v>1</v>
      </c>
      <c r="CP131" s="149">
        <f t="shared" si="157"/>
        <v>1</v>
      </c>
      <c r="CQ131" s="149">
        <f t="shared" si="158"/>
        <v>1</v>
      </c>
      <c r="CR131" s="149">
        <f t="shared" si="159"/>
        <v>1</v>
      </c>
      <c r="CS131" s="149">
        <f t="shared" si="160"/>
        <v>1</v>
      </c>
      <c r="CT131" s="149">
        <f t="shared" si="161"/>
        <v>1</v>
      </c>
      <c r="CU131" s="149">
        <f t="shared" si="162"/>
        <v>1</v>
      </c>
      <c r="CV131" s="149">
        <f t="shared" si="163"/>
        <v>1</v>
      </c>
      <c r="CW131" s="149">
        <f t="shared" si="164"/>
        <v>1</v>
      </c>
      <c r="CX131" s="149">
        <f t="shared" si="165"/>
        <v>1</v>
      </c>
      <c r="CY131" s="149">
        <f t="shared" si="166"/>
        <v>1</v>
      </c>
      <c r="CZ131" s="149">
        <f t="shared" si="167"/>
        <v>1</v>
      </c>
      <c r="DA131" s="149">
        <f t="shared" si="168"/>
        <v>1</v>
      </c>
      <c r="DB131" s="149">
        <f t="shared" si="169"/>
        <v>1</v>
      </c>
      <c r="DG131" s="125">
        <f t="shared" si="184"/>
        <v>1</v>
      </c>
      <c r="DH131" s="125">
        <f t="shared" si="184"/>
        <v>2</v>
      </c>
      <c r="DI131" s="125">
        <f t="shared" si="184"/>
        <v>3</v>
      </c>
      <c r="DJ131" s="125">
        <f t="shared" si="184"/>
        <v>4</v>
      </c>
      <c r="DK131" s="125">
        <f t="shared" si="184"/>
        <v>5</v>
      </c>
      <c r="DL131" s="125">
        <f t="shared" si="184"/>
        <v>6</v>
      </c>
      <c r="DM131" s="125">
        <f t="shared" si="184"/>
        <v>7</v>
      </c>
      <c r="DN131" s="125">
        <f t="shared" si="184"/>
        <v>8</v>
      </c>
      <c r="DO131" s="125">
        <f t="shared" si="184"/>
        <v>9</v>
      </c>
      <c r="DP131" s="125">
        <f t="shared" si="184"/>
        <v>10</v>
      </c>
      <c r="DS131" s="137"/>
      <c r="DT131" s="137"/>
      <c r="DU131" s="137"/>
      <c r="DV131" s="137" t="b">
        <f t="shared" si="170"/>
        <v>0</v>
      </c>
      <c r="DW131" s="137" t="b">
        <f t="shared" si="171"/>
        <v>0</v>
      </c>
      <c r="DX131" s="137" t="b">
        <f t="shared" si="172"/>
        <v>1</v>
      </c>
      <c r="EB131" s="131">
        <f t="shared" si="182"/>
        <v>1</v>
      </c>
      <c r="EC131" s="137" t="b">
        <f t="shared" si="173"/>
        <v>0</v>
      </c>
      <c r="ED131" s="137" t="b">
        <f t="shared" si="174"/>
        <v>0</v>
      </c>
      <c r="EE131" s="137" t="b">
        <f t="shared" si="175"/>
        <v>1</v>
      </c>
      <c r="EF131" s="137"/>
      <c r="EG131" s="137"/>
      <c r="EH131" s="137"/>
      <c r="EI131" s="137"/>
      <c r="EJ131" s="137">
        <f t="shared" si="183"/>
        <v>1</v>
      </c>
      <c r="EK131" s="125">
        <f t="shared" si="176"/>
        <v>0</v>
      </c>
      <c r="EL131" s="125">
        <f t="shared" si="177"/>
        <v>0</v>
      </c>
    </row>
    <row r="132" spans="2:142" ht="15.75" x14ac:dyDescent="0.25">
      <c r="B132" s="160">
        <f t="shared" si="178"/>
        <v>102</v>
      </c>
      <c r="C132" s="205">
        <v>1001350429</v>
      </c>
      <c r="D132" s="205">
        <v>1001269710</v>
      </c>
      <c r="E132" s="205">
        <v>40216083</v>
      </c>
      <c r="F132" s="118">
        <f>IF(OR(J132="",H132=""),"",VLOOKUP(J132,'הזנה לסיווג רשויות'!$B$2:$D$301,2,0))</f>
        <v>20000159</v>
      </c>
      <c r="G132" s="118" t="str">
        <f>IF(OR(J132="",H132=""),"",VLOOKUP(J132,'הזנה לסיווג רשויות'!$B$2:$D$301,3,0))</f>
        <v>ירושלים</v>
      </c>
      <c r="H132" s="281" t="s">
        <v>608</v>
      </c>
      <c r="I132" s="201" t="s">
        <v>373</v>
      </c>
      <c r="J132" s="205">
        <v>3000</v>
      </c>
      <c r="K132" s="161">
        <v>0</v>
      </c>
      <c r="L132" s="161">
        <v>1</v>
      </c>
      <c r="M132" s="161">
        <v>0</v>
      </c>
      <c r="N132" s="161">
        <v>1</v>
      </c>
      <c r="O132" s="161">
        <v>1</v>
      </c>
      <c r="P132" s="161">
        <v>1</v>
      </c>
      <c r="Q132" s="161">
        <v>1</v>
      </c>
      <c r="R132" s="201">
        <v>150091</v>
      </c>
      <c r="S132" s="201">
        <v>40091</v>
      </c>
      <c r="T132" s="160">
        <f>IF(G132="","",IFERROR(IF(S132/R132&gt;'פרמטרים לקריטריונים'!$C$20,1,0),0))</f>
        <v>1</v>
      </c>
      <c r="U132" s="201">
        <v>40091</v>
      </c>
      <c r="V132" s="160">
        <f>IF(G132="","",IFERROR(IF(U132/R132&gt;'פרמטרים לקריטריונים'!$C$21,1,IF(AND(I132=$BW$5,U132/R132&gt;'פרמטרים לקריטריונים'!$C$22),1,0)),0))</f>
        <v>1</v>
      </c>
      <c r="W132" s="161">
        <v>1</v>
      </c>
      <c r="X132" s="161">
        <v>1</v>
      </c>
      <c r="Y132" s="201">
        <v>130000</v>
      </c>
      <c r="Z132" s="201">
        <v>65000</v>
      </c>
      <c r="AA132" s="161">
        <f t="shared" si="179"/>
        <v>1</v>
      </c>
      <c r="AB132" s="161"/>
      <c r="AC132" s="161"/>
      <c r="AD132" s="161"/>
      <c r="AE132" s="161"/>
      <c r="AF132" s="161"/>
      <c r="AG132" s="161"/>
      <c r="AH132" s="161"/>
      <c r="AI132" s="161"/>
      <c r="AJ132" s="161"/>
      <c r="AK132" s="161"/>
      <c r="AL132" s="161"/>
      <c r="AM132" s="161"/>
      <c r="AN132" s="161"/>
      <c r="AO132" s="161"/>
      <c r="AP132" s="161"/>
      <c r="AQ132" s="161"/>
      <c r="AR132" s="161"/>
      <c r="AS132" s="161"/>
      <c r="AT132" s="161"/>
      <c r="AU132" s="161"/>
      <c r="AV132" s="161"/>
      <c r="AW132" s="160"/>
      <c r="AX132" s="161"/>
      <c r="AY132" s="161"/>
      <c r="AZ132" s="161"/>
      <c r="BA132" s="161"/>
      <c r="BB132" s="161"/>
      <c r="BC132" s="161"/>
      <c r="BD132" s="161"/>
      <c r="BE132" s="161"/>
      <c r="BF132" s="160" t="str">
        <f t="shared" si="180"/>
        <v/>
      </c>
      <c r="BG132" s="160"/>
      <c r="BH132" s="160"/>
      <c r="BI132" s="160"/>
      <c r="BJ132" s="160"/>
      <c r="BK132" s="160"/>
      <c r="BL132" s="162">
        <f t="shared" si="131"/>
        <v>1</v>
      </c>
      <c r="BM132" s="257"/>
      <c r="BN132" s="163"/>
      <c r="BO132" s="211" t="str">
        <f t="shared" si="132"/>
        <v>תאטרון "פסיק" ירושליםתיאטרון</v>
      </c>
      <c r="BP132" s="125">
        <f t="shared" si="133"/>
        <v>1</v>
      </c>
      <c r="BQ132" s="164">
        <v>0</v>
      </c>
      <c r="BR132" s="164">
        <v>1</v>
      </c>
      <c r="BS132" s="149">
        <f t="shared" si="134"/>
        <v>1</v>
      </c>
      <c r="BT132" s="149">
        <f t="shared" si="135"/>
        <v>1</v>
      </c>
      <c r="BU132" s="149">
        <f t="shared" si="136"/>
        <v>1</v>
      </c>
      <c r="BV132" s="149">
        <f t="shared" si="137"/>
        <v>1</v>
      </c>
      <c r="BW132" s="149">
        <f t="shared" si="138"/>
        <v>1</v>
      </c>
      <c r="BX132" s="149">
        <f t="shared" si="139"/>
        <v>1</v>
      </c>
      <c r="BY132" s="149">
        <f t="shared" si="140"/>
        <v>1</v>
      </c>
      <c r="BZ132" s="149">
        <f t="shared" si="141"/>
        <v>1</v>
      </c>
      <c r="CA132" s="149">
        <f t="shared" si="142"/>
        <v>1</v>
      </c>
      <c r="CB132" s="149">
        <f t="shared" si="143"/>
        <v>1</v>
      </c>
      <c r="CC132" s="149">
        <f t="shared" si="144"/>
        <v>1</v>
      </c>
      <c r="CD132" s="149">
        <f t="shared" si="145"/>
        <v>1</v>
      </c>
      <c r="CE132" s="149">
        <f t="shared" si="146"/>
        <v>1</v>
      </c>
      <c r="CF132" s="149">
        <f t="shared" si="147"/>
        <v>1</v>
      </c>
      <c r="CG132" s="149">
        <f t="shared" si="148"/>
        <v>1</v>
      </c>
      <c r="CH132" s="149">
        <f t="shared" si="149"/>
        <v>1</v>
      </c>
      <c r="CI132" s="149">
        <f t="shared" si="150"/>
        <v>1</v>
      </c>
      <c r="CJ132" s="149">
        <f t="shared" si="151"/>
        <v>1</v>
      </c>
      <c r="CK132" s="149">
        <f t="shared" si="152"/>
        <v>1</v>
      </c>
      <c r="CL132" s="149">
        <f t="shared" si="153"/>
        <v>1</v>
      </c>
      <c r="CM132" s="149">
        <f t="shared" si="154"/>
        <v>1</v>
      </c>
      <c r="CN132" s="149">
        <f t="shared" si="155"/>
        <v>1</v>
      </c>
      <c r="CO132" s="149">
        <f t="shared" si="156"/>
        <v>1</v>
      </c>
      <c r="CP132" s="149">
        <f t="shared" si="157"/>
        <v>1</v>
      </c>
      <c r="CQ132" s="149">
        <f t="shared" si="158"/>
        <v>1</v>
      </c>
      <c r="CR132" s="149">
        <f t="shared" si="159"/>
        <v>1</v>
      </c>
      <c r="CS132" s="149">
        <f t="shared" si="160"/>
        <v>1</v>
      </c>
      <c r="CT132" s="149">
        <f t="shared" si="161"/>
        <v>1</v>
      </c>
      <c r="CU132" s="149">
        <f t="shared" si="162"/>
        <v>1</v>
      </c>
      <c r="CV132" s="149">
        <f t="shared" si="163"/>
        <v>1</v>
      </c>
      <c r="CW132" s="149">
        <f t="shared" si="164"/>
        <v>1</v>
      </c>
      <c r="CX132" s="149">
        <f t="shared" si="165"/>
        <v>1</v>
      </c>
      <c r="CY132" s="149">
        <f t="shared" si="166"/>
        <v>1</v>
      </c>
      <c r="CZ132" s="149">
        <f t="shared" si="167"/>
        <v>1</v>
      </c>
      <c r="DA132" s="149">
        <f t="shared" si="168"/>
        <v>1</v>
      </c>
      <c r="DB132" s="149">
        <f t="shared" si="169"/>
        <v>1</v>
      </c>
      <c r="DG132" s="125">
        <f t="shared" si="184"/>
        <v>1</v>
      </c>
      <c r="DH132" s="125">
        <f t="shared" si="184"/>
        <v>2</v>
      </c>
      <c r="DI132" s="125">
        <f t="shared" si="184"/>
        <v>3</v>
      </c>
      <c r="DJ132" s="125">
        <f t="shared" si="184"/>
        <v>4</v>
      </c>
      <c r="DK132" s="125">
        <f t="shared" si="184"/>
        <v>5</v>
      </c>
      <c r="DL132" s="125">
        <f t="shared" si="184"/>
        <v>6</v>
      </c>
      <c r="DM132" s="125">
        <f t="shared" si="184"/>
        <v>7</v>
      </c>
      <c r="DN132" s="125">
        <f t="shared" si="184"/>
        <v>8</v>
      </c>
      <c r="DO132" s="125">
        <f t="shared" si="184"/>
        <v>9</v>
      </c>
      <c r="DP132" s="125">
        <f t="shared" si="184"/>
        <v>10</v>
      </c>
      <c r="DS132" s="137"/>
      <c r="DT132" s="137"/>
      <c r="DU132" s="137"/>
      <c r="DV132" s="137" t="b">
        <f t="shared" si="170"/>
        <v>0</v>
      </c>
      <c r="DW132" s="137" t="b">
        <f t="shared" si="171"/>
        <v>0</v>
      </c>
      <c r="DX132" s="137" t="b">
        <f t="shared" si="172"/>
        <v>1</v>
      </c>
      <c r="EB132" s="131">
        <f t="shared" si="182"/>
        <v>1</v>
      </c>
      <c r="EC132" s="137" t="b">
        <f t="shared" si="173"/>
        <v>0</v>
      </c>
      <c r="ED132" s="137" t="b">
        <f t="shared" si="174"/>
        <v>0</v>
      </c>
      <c r="EE132" s="137" t="b">
        <f t="shared" si="175"/>
        <v>1</v>
      </c>
      <c r="EF132" s="137"/>
      <c r="EG132" s="137"/>
      <c r="EH132" s="137"/>
      <c r="EI132" s="137"/>
      <c r="EJ132" s="137">
        <f t="shared" si="183"/>
        <v>1</v>
      </c>
      <c r="EK132" s="125">
        <f t="shared" si="176"/>
        <v>0</v>
      </c>
      <c r="EL132" s="125">
        <f t="shared" si="177"/>
        <v>0</v>
      </c>
    </row>
    <row r="133" spans="2:142" ht="15.75" x14ac:dyDescent="0.25">
      <c r="B133" s="160">
        <f t="shared" si="178"/>
        <v>103</v>
      </c>
      <c r="C133" s="205">
        <v>1001350431</v>
      </c>
      <c r="D133" s="205">
        <v>1001268315</v>
      </c>
      <c r="E133" s="205">
        <v>40216083</v>
      </c>
      <c r="F133" s="118">
        <f>IF(OR(J133="",H133=""),"",VLOOKUP(J133,'הזנה לסיווג רשויות'!$B$2:$D$301,2,0))</f>
        <v>20000159</v>
      </c>
      <c r="G133" s="118" t="str">
        <f>IF(OR(J133="",H133=""),"",VLOOKUP(J133,'הזנה לסיווג רשויות'!$B$2:$D$301,3,0))</f>
        <v>ירושלים</v>
      </c>
      <c r="H133" s="281" t="s">
        <v>608</v>
      </c>
      <c r="I133" s="201" t="s">
        <v>373</v>
      </c>
      <c r="J133" s="205">
        <v>3000</v>
      </c>
      <c r="K133" s="161">
        <v>0</v>
      </c>
      <c r="L133" s="161">
        <v>1</v>
      </c>
      <c r="M133" s="161">
        <v>0</v>
      </c>
      <c r="N133" s="161">
        <v>1</v>
      </c>
      <c r="O133" s="161">
        <v>1</v>
      </c>
      <c r="P133" s="161">
        <v>1</v>
      </c>
      <c r="Q133" s="161">
        <v>1</v>
      </c>
      <c r="R133" s="201">
        <v>658629</v>
      </c>
      <c r="S133" s="201">
        <v>423216</v>
      </c>
      <c r="T133" s="160">
        <f>IF(G133="","",IFERROR(IF(S133/R133&gt;'פרמטרים לקריטריונים'!$C$20,1,0),0))</f>
        <v>1</v>
      </c>
      <c r="U133" s="201">
        <v>338067</v>
      </c>
      <c r="V133" s="160">
        <f>IF(G133="","",IFERROR(IF(U133/R133&gt;'פרמטרים לקריטריונים'!$C$21,1,IF(AND(I133=$BW$5,U133/R133&gt;'פרמטרים לקריטריונים'!$C$22),1,0)),0))</f>
        <v>1</v>
      </c>
      <c r="W133" s="161">
        <v>1</v>
      </c>
      <c r="X133" s="161">
        <v>1</v>
      </c>
      <c r="Y133" s="201">
        <v>650000</v>
      </c>
      <c r="Z133" s="201">
        <v>300000</v>
      </c>
      <c r="AA133" s="161">
        <f t="shared" si="179"/>
        <v>1</v>
      </c>
      <c r="AB133" s="161"/>
      <c r="AC133" s="161"/>
      <c r="AD133" s="161"/>
      <c r="AE133" s="161"/>
      <c r="AF133" s="161"/>
      <c r="AG133" s="161"/>
      <c r="AH133" s="161"/>
      <c r="AI133" s="161"/>
      <c r="AJ133" s="161"/>
      <c r="AK133" s="161"/>
      <c r="AL133" s="161"/>
      <c r="AM133" s="161"/>
      <c r="AN133" s="161"/>
      <c r="AO133" s="161"/>
      <c r="AP133" s="161"/>
      <c r="AQ133" s="161"/>
      <c r="AR133" s="161"/>
      <c r="AS133" s="161"/>
      <c r="AT133" s="161"/>
      <c r="AU133" s="161"/>
      <c r="AV133" s="161"/>
      <c r="AW133" s="160"/>
      <c r="AX133" s="161"/>
      <c r="AY133" s="161"/>
      <c r="AZ133" s="161"/>
      <c r="BA133" s="161"/>
      <c r="BB133" s="161"/>
      <c r="BC133" s="161"/>
      <c r="BD133" s="161"/>
      <c r="BE133" s="161"/>
      <c r="BF133" s="160" t="str">
        <f t="shared" si="180"/>
        <v/>
      </c>
      <c r="BG133" s="160"/>
      <c r="BH133" s="160"/>
      <c r="BI133" s="160"/>
      <c r="BJ133" s="160"/>
      <c r="BK133" s="160"/>
      <c r="BL133" s="162">
        <f t="shared" si="131"/>
        <v>1</v>
      </c>
      <c r="BM133" s="257"/>
      <c r="BN133" s="163"/>
      <c r="BO133" s="211" t="str">
        <f t="shared" si="132"/>
        <v>תאטרון "פסיק" ירושליםתיאטרון</v>
      </c>
      <c r="BP133" s="125">
        <f t="shared" si="133"/>
        <v>1</v>
      </c>
      <c r="BQ133" s="164">
        <v>0</v>
      </c>
      <c r="BR133" s="164">
        <v>1</v>
      </c>
      <c r="BS133" s="149">
        <f t="shared" si="134"/>
        <v>1</v>
      </c>
      <c r="BT133" s="149">
        <f t="shared" si="135"/>
        <v>1</v>
      </c>
      <c r="BU133" s="149">
        <f t="shared" si="136"/>
        <v>1</v>
      </c>
      <c r="BV133" s="149">
        <f t="shared" si="137"/>
        <v>1</v>
      </c>
      <c r="BW133" s="149">
        <f t="shared" si="138"/>
        <v>1</v>
      </c>
      <c r="BX133" s="149">
        <f t="shared" si="139"/>
        <v>1</v>
      </c>
      <c r="BY133" s="149">
        <f t="shared" si="140"/>
        <v>1</v>
      </c>
      <c r="BZ133" s="149">
        <f t="shared" si="141"/>
        <v>1</v>
      </c>
      <c r="CA133" s="149">
        <f t="shared" si="142"/>
        <v>1</v>
      </c>
      <c r="CB133" s="149">
        <f t="shared" si="143"/>
        <v>1</v>
      </c>
      <c r="CC133" s="149">
        <f t="shared" si="144"/>
        <v>1</v>
      </c>
      <c r="CD133" s="149">
        <f t="shared" si="145"/>
        <v>1</v>
      </c>
      <c r="CE133" s="149">
        <f t="shared" si="146"/>
        <v>1</v>
      </c>
      <c r="CF133" s="149">
        <f t="shared" si="147"/>
        <v>1</v>
      </c>
      <c r="CG133" s="149">
        <f t="shared" si="148"/>
        <v>1</v>
      </c>
      <c r="CH133" s="149">
        <f t="shared" si="149"/>
        <v>1</v>
      </c>
      <c r="CI133" s="149">
        <f t="shared" si="150"/>
        <v>1</v>
      </c>
      <c r="CJ133" s="149">
        <f t="shared" si="151"/>
        <v>1</v>
      </c>
      <c r="CK133" s="149">
        <f t="shared" si="152"/>
        <v>1</v>
      </c>
      <c r="CL133" s="149">
        <f t="shared" si="153"/>
        <v>1</v>
      </c>
      <c r="CM133" s="149">
        <f t="shared" si="154"/>
        <v>1</v>
      </c>
      <c r="CN133" s="149">
        <f t="shared" si="155"/>
        <v>1</v>
      </c>
      <c r="CO133" s="149">
        <f t="shared" si="156"/>
        <v>1</v>
      </c>
      <c r="CP133" s="149">
        <f t="shared" si="157"/>
        <v>1</v>
      </c>
      <c r="CQ133" s="149">
        <f t="shared" si="158"/>
        <v>1</v>
      </c>
      <c r="CR133" s="149">
        <f t="shared" si="159"/>
        <v>1</v>
      </c>
      <c r="CS133" s="149">
        <f t="shared" si="160"/>
        <v>1</v>
      </c>
      <c r="CT133" s="149">
        <f t="shared" si="161"/>
        <v>1</v>
      </c>
      <c r="CU133" s="149">
        <f t="shared" si="162"/>
        <v>1</v>
      </c>
      <c r="CV133" s="149">
        <f t="shared" si="163"/>
        <v>1</v>
      </c>
      <c r="CW133" s="149">
        <f t="shared" si="164"/>
        <v>1</v>
      </c>
      <c r="CX133" s="149">
        <f t="shared" si="165"/>
        <v>1</v>
      </c>
      <c r="CY133" s="149">
        <f t="shared" si="166"/>
        <v>1</v>
      </c>
      <c r="CZ133" s="149">
        <f t="shared" si="167"/>
        <v>1</v>
      </c>
      <c r="DA133" s="149">
        <f t="shared" si="168"/>
        <v>1</v>
      </c>
      <c r="DB133" s="149">
        <f t="shared" si="169"/>
        <v>1</v>
      </c>
      <c r="DG133" s="125">
        <f t="shared" si="184"/>
        <v>1</v>
      </c>
      <c r="DH133" s="125">
        <f t="shared" si="184"/>
        <v>2</v>
      </c>
      <c r="DI133" s="125">
        <f t="shared" si="184"/>
        <v>3</v>
      </c>
      <c r="DJ133" s="125">
        <f t="shared" si="184"/>
        <v>4</v>
      </c>
      <c r="DK133" s="125">
        <f t="shared" si="184"/>
        <v>5</v>
      </c>
      <c r="DL133" s="125">
        <f t="shared" si="184"/>
        <v>6</v>
      </c>
      <c r="DM133" s="125">
        <f t="shared" si="184"/>
        <v>7</v>
      </c>
      <c r="DN133" s="125">
        <f t="shared" si="184"/>
        <v>8</v>
      </c>
      <c r="DO133" s="125">
        <f t="shared" si="184"/>
        <v>9</v>
      </c>
      <c r="DP133" s="125">
        <f t="shared" si="184"/>
        <v>10</v>
      </c>
      <c r="DS133" s="137"/>
      <c r="DT133" s="137"/>
      <c r="DU133" s="137"/>
      <c r="DV133" s="137" t="b">
        <f t="shared" si="170"/>
        <v>0</v>
      </c>
      <c r="DW133" s="137" t="b">
        <f t="shared" si="171"/>
        <v>0</v>
      </c>
      <c r="DX133" s="137" t="b">
        <f t="shared" si="172"/>
        <v>1</v>
      </c>
      <c r="EB133" s="131">
        <f t="shared" si="182"/>
        <v>1</v>
      </c>
      <c r="EC133" s="137" t="b">
        <f t="shared" si="173"/>
        <v>0</v>
      </c>
      <c r="ED133" s="137" t="b">
        <f t="shared" si="174"/>
        <v>0</v>
      </c>
      <c r="EE133" s="137" t="b">
        <f t="shared" si="175"/>
        <v>1</v>
      </c>
      <c r="EF133" s="137"/>
      <c r="EG133" s="137"/>
      <c r="EH133" s="137"/>
      <c r="EI133" s="137"/>
      <c r="EJ133" s="137">
        <f t="shared" si="183"/>
        <v>1</v>
      </c>
      <c r="EK133" s="125">
        <f t="shared" si="176"/>
        <v>0</v>
      </c>
      <c r="EL133" s="125">
        <f t="shared" si="177"/>
        <v>0</v>
      </c>
    </row>
    <row r="134" spans="2:142" ht="15.75" x14ac:dyDescent="0.25">
      <c r="B134" s="160">
        <f t="shared" si="178"/>
        <v>104</v>
      </c>
      <c r="C134" s="205">
        <v>1001350432</v>
      </c>
      <c r="D134" s="205">
        <v>1001269688</v>
      </c>
      <c r="E134" s="205">
        <v>40216083</v>
      </c>
      <c r="F134" s="118">
        <f>IF(OR(J134="",H134=""),"",VLOOKUP(J134,'הזנה לסיווג רשויות'!$B$2:$D$301,2,0))</f>
        <v>20000159</v>
      </c>
      <c r="G134" s="118" t="str">
        <f>IF(OR(J134="",H134=""),"",VLOOKUP(J134,'הזנה לסיווג רשויות'!$B$2:$D$301,3,0))</f>
        <v>ירושלים</v>
      </c>
      <c r="H134" s="281" t="s">
        <v>608</v>
      </c>
      <c r="I134" s="201" t="s">
        <v>373</v>
      </c>
      <c r="J134" s="205">
        <v>3000</v>
      </c>
      <c r="K134" s="161">
        <v>0</v>
      </c>
      <c r="L134" s="161">
        <v>1</v>
      </c>
      <c r="M134" s="161">
        <v>0</v>
      </c>
      <c r="N134" s="161">
        <v>1</v>
      </c>
      <c r="O134" s="161">
        <v>1</v>
      </c>
      <c r="P134" s="161">
        <v>1</v>
      </c>
      <c r="Q134" s="161">
        <v>1</v>
      </c>
      <c r="R134" s="201">
        <v>606447</v>
      </c>
      <c r="S134" s="201">
        <v>246447</v>
      </c>
      <c r="T134" s="160">
        <f>IF(G134="","",IFERROR(IF(S134/R134&gt;'פרמטרים לקריטריונים'!$C$20,1,0),0))</f>
        <v>1</v>
      </c>
      <c r="U134" s="201">
        <v>246447</v>
      </c>
      <c r="V134" s="160">
        <f>IF(G134="","",IFERROR(IF(U134/R134&gt;'פרמטרים לקריטריונים'!$C$21,1,IF(AND(I134=$BW$5,U134/R134&gt;'פרמטרים לקריטריונים'!$C$22),1,0)),0))</f>
        <v>1</v>
      </c>
      <c r="W134" s="161">
        <v>1</v>
      </c>
      <c r="X134" s="161">
        <v>1</v>
      </c>
      <c r="Y134" s="201">
        <v>600000</v>
      </c>
      <c r="Z134" s="201">
        <v>300000</v>
      </c>
      <c r="AA134" s="161">
        <f t="shared" si="179"/>
        <v>1</v>
      </c>
      <c r="AB134" s="161"/>
      <c r="AC134" s="161"/>
      <c r="AD134" s="161"/>
      <c r="AE134" s="161"/>
      <c r="AF134" s="161"/>
      <c r="AG134" s="161"/>
      <c r="AH134" s="161"/>
      <c r="AI134" s="161"/>
      <c r="AJ134" s="161"/>
      <c r="AK134" s="161"/>
      <c r="AL134" s="161"/>
      <c r="AM134" s="161"/>
      <c r="AN134" s="161"/>
      <c r="AO134" s="161"/>
      <c r="AP134" s="161"/>
      <c r="AQ134" s="161"/>
      <c r="AR134" s="161"/>
      <c r="AS134" s="161"/>
      <c r="AT134" s="161"/>
      <c r="AU134" s="161"/>
      <c r="AV134" s="161"/>
      <c r="AW134" s="160"/>
      <c r="AX134" s="161"/>
      <c r="AY134" s="161"/>
      <c r="AZ134" s="161"/>
      <c r="BA134" s="161"/>
      <c r="BB134" s="161"/>
      <c r="BC134" s="161"/>
      <c r="BD134" s="161"/>
      <c r="BE134" s="161"/>
      <c r="BF134" s="160" t="str">
        <f t="shared" si="180"/>
        <v/>
      </c>
      <c r="BG134" s="160"/>
      <c r="BH134" s="160"/>
      <c r="BI134" s="160"/>
      <c r="BJ134" s="160"/>
      <c r="BK134" s="160"/>
      <c r="BL134" s="162">
        <f t="shared" si="131"/>
        <v>1</v>
      </c>
      <c r="BM134" s="257"/>
      <c r="BN134" s="163"/>
      <c r="BO134" s="211" t="str">
        <f t="shared" si="132"/>
        <v>תאטרון "פסיק" ירושליםתיאטרון</v>
      </c>
      <c r="BP134" s="125">
        <f t="shared" si="133"/>
        <v>1</v>
      </c>
      <c r="BQ134" s="164">
        <v>0</v>
      </c>
      <c r="BR134" s="164">
        <v>1</v>
      </c>
      <c r="BS134" s="149">
        <f t="shared" si="134"/>
        <v>1</v>
      </c>
      <c r="BT134" s="149">
        <f t="shared" si="135"/>
        <v>1</v>
      </c>
      <c r="BU134" s="149">
        <f t="shared" si="136"/>
        <v>1</v>
      </c>
      <c r="BV134" s="149">
        <f t="shared" si="137"/>
        <v>1</v>
      </c>
      <c r="BW134" s="149">
        <f t="shared" si="138"/>
        <v>1</v>
      </c>
      <c r="BX134" s="149">
        <f t="shared" si="139"/>
        <v>1</v>
      </c>
      <c r="BY134" s="149">
        <f t="shared" si="140"/>
        <v>1</v>
      </c>
      <c r="BZ134" s="149">
        <f t="shared" si="141"/>
        <v>1</v>
      </c>
      <c r="CA134" s="149">
        <f t="shared" si="142"/>
        <v>1</v>
      </c>
      <c r="CB134" s="149">
        <f t="shared" si="143"/>
        <v>1</v>
      </c>
      <c r="CC134" s="149">
        <f t="shared" si="144"/>
        <v>1</v>
      </c>
      <c r="CD134" s="149">
        <f t="shared" si="145"/>
        <v>1</v>
      </c>
      <c r="CE134" s="149">
        <f t="shared" si="146"/>
        <v>1</v>
      </c>
      <c r="CF134" s="149">
        <f t="shared" si="147"/>
        <v>1</v>
      </c>
      <c r="CG134" s="149">
        <f t="shared" si="148"/>
        <v>1</v>
      </c>
      <c r="CH134" s="149">
        <f t="shared" si="149"/>
        <v>1</v>
      </c>
      <c r="CI134" s="149">
        <f t="shared" si="150"/>
        <v>1</v>
      </c>
      <c r="CJ134" s="149">
        <f t="shared" si="151"/>
        <v>1</v>
      </c>
      <c r="CK134" s="149">
        <f t="shared" si="152"/>
        <v>1</v>
      </c>
      <c r="CL134" s="149">
        <f t="shared" si="153"/>
        <v>1</v>
      </c>
      <c r="CM134" s="149">
        <f t="shared" si="154"/>
        <v>1</v>
      </c>
      <c r="CN134" s="149">
        <f t="shared" si="155"/>
        <v>1</v>
      </c>
      <c r="CO134" s="149">
        <f t="shared" si="156"/>
        <v>1</v>
      </c>
      <c r="CP134" s="149">
        <f t="shared" si="157"/>
        <v>1</v>
      </c>
      <c r="CQ134" s="149">
        <f t="shared" si="158"/>
        <v>1</v>
      </c>
      <c r="CR134" s="149">
        <f t="shared" si="159"/>
        <v>1</v>
      </c>
      <c r="CS134" s="149">
        <f t="shared" si="160"/>
        <v>1</v>
      </c>
      <c r="CT134" s="149">
        <f t="shared" si="161"/>
        <v>1</v>
      </c>
      <c r="CU134" s="149">
        <f t="shared" si="162"/>
        <v>1</v>
      </c>
      <c r="CV134" s="149">
        <f t="shared" si="163"/>
        <v>1</v>
      </c>
      <c r="CW134" s="149">
        <f t="shared" si="164"/>
        <v>1</v>
      </c>
      <c r="CX134" s="149">
        <f t="shared" si="165"/>
        <v>1</v>
      </c>
      <c r="CY134" s="149">
        <f t="shared" si="166"/>
        <v>1</v>
      </c>
      <c r="CZ134" s="149">
        <f t="shared" si="167"/>
        <v>1</v>
      </c>
      <c r="DA134" s="149">
        <f t="shared" si="168"/>
        <v>1</v>
      </c>
      <c r="DB134" s="149">
        <f t="shared" si="169"/>
        <v>1</v>
      </c>
      <c r="DG134" s="125">
        <f t="shared" si="184"/>
        <v>1</v>
      </c>
      <c r="DH134" s="125">
        <f t="shared" si="184"/>
        <v>2</v>
      </c>
      <c r="DI134" s="125">
        <f t="shared" si="184"/>
        <v>3</v>
      </c>
      <c r="DJ134" s="125">
        <f t="shared" si="184"/>
        <v>4</v>
      </c>
      <c r="DK134" s="125">
        <f t="shared" si="184"/>
        <v>5</v>
      </c>
      <c r="DL134" s="125">
        <f t="shared" si="184"/>
        <v>6</v>
      </c>
      <c r="DM134" s="125">
        <f t="shared" si="184"/>
        <v>7</v>
      </c>
      <c r="DN134" s="125">
        <f t="shared" si="184"/>
        <v>8</v>
      </c>
      <c r="DO134" s="125">
        <f t="shared" si="184"/>
        <v>9</v>
      </c>
      <c r="DP134" s="125">
        <f t="shared" si="184"/>
        <v>10</v>
      </c>
      <c r="DS134" s="137"/>
      <c r="DT134" s="137"/>
      <c r="DU134" s="137"/>
      <c r="DV134" s="137" t="b">
        <f t="shared" si="170"/>
        <v>0</v>
      </c>
      <c r="DW134" s="137" t="b">
        <f t="shared" si="171"/>
        <v>0</v>
      </c>
      <c r="DX134" s="137" t="b">
        <f t="shared" si="172"/>
        <v>1</v>
      </c>
      <c r="EB134" s="131">
        <f t="shared" si="182"/>
        <v>1</v>
      </c>
      <c r="EC134" s="137" t="b">
        <f t="shared" si="173"/>
        <v>0</v>
      </c>
      <c r="ED134" s="137" t="b">
        <f t="shared" si="174"/>
        <v>0</v>
      </c>
      <c r="EE134" s="137" t="b">
        <f t="shared" si="175"/>
        <v>1</v>
      </c>
      <c r="EF134" s="137"/>
      <c r="EG134" s="137"/>
      <c r="EH134" s="137"/>
      <c r="EI134" s="137"/>
      <c r="EJ134" s="137">
        <f t="shared" si="183"/>
        <v>1</v>
      </c>
      <c r="EK134" s="125">
        <f t="shared" si="176"/>
        <v>0</v>
      </c>
      <c r="EL134" s="125">
        <f t="shared" si="177"/>
        <v>0</v>
      </c>
    </row>
    <row r="135" spans="2:142" ht="15.75" x14ac:dyDescent="0.25">
      <c r="B135" s="160">
        <f t="shared" si="178"/>
        <v>105</v>
      </c>
      <c r="C135" s="205">
        <v>1001350435</v>
      </c>
      <c r="D135" s="205">
        <v>1001269686</v>
      </c>
      <c r="E135" s="205">
        <v>40216083</v>
      </c>
      <c r="F135" s="118">
        <f>IF(OR(J135="",H135=""),"",VLOOKUP(J135,'הזנה לסיווג רשויות'!$B$2:$D$301,2,0))</f>
        <v>20000159</v>
      </c>
      <c r="G135" s="118" t="str">
        <f>IF(OR(J135="",H135=""),"",VLOOKUP(J135,'הזנה לסיווג רשויות'!$B$2:$D$301,3,0))</f>
        <v>ירושלים</v>
      </c>
      <c r="H135" s="281" t="s">
        <v>608</v>
      </c>
      <c r="I135" s="201" t="s">
        <v>373</v>
      </c>
      <c r="J135" s="205">
        <v>3000</v>
      </c>
      <c r="K135" s="161">
        <v>0</v>
      </c>
      <c r="L135" s="161">
        <v>1</v>
      </c>
      <c r="M135" s="161">
        <v>0</v>
      </c>
      <c r="N135" s="161">
        <v>1</v>
      </c>
      <c r="O135" s="161">
        <v>1</v>
      </c>
      <c r="P135" s="161">
        <v>1</v>
      </c>
      <c r="Q135" s="161">
        <v>1</v>
      </c>
      <c r="R135" s="201">
        <v>164532</v>
      </c>
      <c r="S135" s="201">
        <v>59463</v>
      </c>
      <c r="T135" s="160">
        <f>IF(G135="","",IFERROR(IF(S135/R135&gt;'פרמטרים לקריטריונים'!$C$20,1,0),0))</f>
        <v>1</v>
      </c>
      <c r="U135" s="201">
        <v>34013</v>
      </c>
      <c r="V135" s="160">
        <f>IF(G135="","",IFERROR(IF(U135/R135&gt;'פרמטרים לקריטריונים'!$C$21,1,IF(AND(I135=$BW$5,U135/R135&gt;'פרמטרים לקריטריונים'!$C$22),1,0)),0))</f>
        <v>1</v>
      </c>
      <c r="W135" s="161">
        <v>1</v>
      </c>
      <c r="X135" s="161">
        <v>1</v>
      </c>
      <c r="Y135" s="201">
        <v>100000</v>
      </c>
      <c r="Z135" s="201">
        <v>100000</v>
      </c>
      <c r="AA135" s="161">
        <f t="shared" si="179"/>
        <v>1</v>
      </c>
      <c r="AB135" s="161"/>
      <c r="AC135" s="161"/>
      <c r="AD135" s="161"/>
      <c r="AE135" s="161"/>
      <c r="AF135" s="161"/>
      <c r="AG135" s="161"/>
      <c r="AH135" s="161"/>
      <c r="AI135" s="161"/>
      <c r="AJ135" s="161"/>
      <c r="AK135" s="161"/>
      <c r="AL135" s="161"/>
      <c r="AM135" s="161"/>
      <c r="AN135" s="161"/>
      <c r="AO135" s="161"/>
      <c r="AP135" s="161"/>
      <c r="AQ135" s="161"/>
      <c r="AR135" s="161"/>
      <c r="AS135" s="161"/>
      <c r="AT135" s="161"/>
      <c r="AU135" s="161"/>
      <c r="AV135" s="161"/>
      <c r="AW135" s="160"/>
      <c r="AX135" s="161"/>
      <c r="AY135" s="161"/>
      <c r="AZ135" s="161"/>
      <c r="BA135" s="161"/>
      <c r="BB135" s="161"/>
      <c r="BC135" s="161"/>
      <c r="BD135" s="161"/>
      <c r="BE135" s="161"/>
      <c r="BF135" s="160" t="str">
        <f t="shared" si="180"/>
        <v/>
      </c>
      <c r="BG135" s="160"/>
      <c r="BH135" s="160"/>
      <c r="BI135" s="160"/>
      <c r="BJ135" s="160"/>
      <c r="BK135" s="160"/>
      <c r="BL135" s="162">
        <f t="shared" si="131"/>
        <v>1</v>
      </c>
      <c r="BM135" s="257"/>
      <c r="BN135" s="163"/>
      <c r="BO135" s="211" t="str">
        <f t="shared" si="132"/>
        <v>תאטרון "פסיק" ירושליםתיאטרון</v>
      </c>
      <c r="BP135" s="125">
        <f t="shared" si="133"/>
        <v>1</v>
      </c>
      <c r="BQ135" s="164">
        <v>0</v>
      </c>
      <c r="BR135" s="164">
        <v>1</v>
      </c>
      <c r="BS135" s="149">
        <f t="shared" si="134"/>
        <v>1</v>
      </c>
      <c r="BT135" s="149">
        <f t="shared" si="135"/>
        <v>1</v>
      </c>
      <c r="BU135" s="149">
        <f t="shared" si="136"/>
        <v>1</v>
      </c>
      <c r="BV135" s="149">
        <f t="shared" si="137"/>
        <v>1</v>
      </c>
      <c r="BW135" s="149">
        <f t="shared" si="138"/>
        <v>1</v>
      </c>
      <c r="BX135" s="149">
        <f t="shared" si="139"/>
        <v>1</v>
      </c>
      <c r="BY135" s="149">
        <f t="shared" si="140"/>
        <v>1</v>
      </c>
      <c r="BZ135" s="149">
        <f t="shared" si="141"/>
        <v>1</v>
      </c>
      <c r="CA135" s="149">
        <f t="shared" si="142"/>
        <v>1</v>
      </c>
      <c r="CB135" s="149">
        <f t="shared" si="143"/>
        <v>1</v>
      </c>
      <c r="CC135" s="149">
        <f t="shared" si="144"/>
        <v>1</v>
      </c>
      <c r="CD135" s="149">
        <f t="shared" si="145"/>
        <v>1</v>
      </c>
      <c r="CE135" s="149">
        <f t="shared" si="146"/>
        <v>1</v>
      </c>
      <c r="CF135" s="149">
        <f t="shared" si="147"/>
        <v>1</v>
      </c>
      <c r="CG135" s="149">
        <f t="shared" si="148"/>
        <v>1</v>
      </c>
      <c r="CH135" s="149">
        <f t="shared" si="149"/>
        <v>1</v>
      </c>
      <c r="CI135" s="149">
        <f t="shared" si="150"/>
        <v>1</v>
      </c>
      <c r="CJ135" s="149">
        <f t="shared" si="151"/>
        <v>1</v>
      </c>
      <c r="CK135" s="149">
        <f t="shared" si="152"/>
        <v>1</v>
      </c>
      <c r="CL135" s="149">
        <f t="shared" si="153"/>
        <v>1</v>
      </c>
      <c r="CM135" s="149">
        <f t="shared" si="154"/>
        <v>1</v>
      </c>
      <c r="CN135" s="149">
        <f t="shared" si="155"/>
        <v>1</v>
      </c>
      <c r="CO135" s="149">
        <f t="shared" si="156"/>
        <v>1</v>
      </c>
      <c r="CP135" s="149">
        <f t="shared" si="157"/>
        <v>1</v>
      </c>
      <c r="CQ135" s="149">
        <f t="shared" si="158"/>
        <v>1</v>
      </c>
      <c r="CR135" s="149">
        <f t="shared" si="159"/>
        <v>1</v>
      </c>
      <c r="CS135" s="149">
        <f t="shared" si="160"/>
        <v>1</v>
      </c>
      <c r="CT135" s="149">
        <f t="shared" si="161"/>
        <v>1</v>
      </c>
      <c r="CU135" s="149">
        <f t="shared" si="162"/>
        <v>1</v>
      </c>
      <c r="CV135" s="149">
        <f t="shared" si="163"/>
        <v>1</v>
      </c>
      <c r="CW135" s="149">
        <f t="shared" si="164"/>
        <v>1</v>
      </c>
      <c r="CX135" s="149">
        <f t="shared" si="165"/>
        <v>1</v>
      </c>
      <c r="CY135" s="149">
        <f t="shared" si="166"/>
        <v>1</v>
      </c>
      <c r="CZ135" s="149">
        <f t="shared" si="167"/>
        <v>1</v>
      </c>
      <c r="DA135" s="149">
        <f t="shared" si="168"/>
        <v>1</v>
      </c>
      <c r="DB135" s="149">
        <f t="shared" si="169"/>
        <v>1</v>
      </c>
      <c r="DG135" s="125">
        <f t="shared" si="184"/>
        <v>1</v>
      </c>
      <c r="DH135" s="125">
        <f t="shared" si="184"/>
        <v>2</v>
      </c>
      <c r="DI135" s="125">
        <f t="shared" si="184"/>
        <v>3</v>
      </c>
      <c r="DJ135" s="125">
        <f t="shared" si="184"/>
        <v>4</v>
      </c>
      <c r="DK135" s="125">
        <f t="shared" si="184"/>
        <v>5</v>
      </c>
      <c r="DL135" s="125">
        <f t="shared" si="184"/>
        <v>6</v>
      </c>
      <c r="DM135" s="125">
        <f t="shared" si="184"/>
        <v>7</v>
      </c>
      <c r="DN135" s="125">
        <f t="shared" si="184"/>
        <v>8</v>
      </c>
      <c r="DO135" s="125">
        <f t="shared" si="184"/>
        <v>9</v>
      </c>
      <c r="DP135" s="125">
        <f t="shared" si="184"/>
        <v>10</v>
      </c>
      <c r="DS135" s="137"/>
      <c r="DT135" s="137"/>
      <c r="DU135" s="137"/>
      <c r="DV135" s="137" t="b">
        <f t="shared" si="170"/>
        <v>0</v>
      </c>
      <c r="DW135" s="137" t="b">
        <f t="shared" si="171"/>
        <v>0</v>
      </c>
      <c r="DX135" s="137" t="b">
        <f t="shared" si="172"/>
        <v>1</v>
      </c>
      <c r="EB135" s="131">
        <f t="shared" si="182"/>
        <v>1</v>
      </c>
      <c r="EC135" s="137" t="b">
        <f t="shared" si="173"/>
        <v>0</v>
      </c>
      <c r="ED135" s="137" t="b">
        <f t="shared" si="174"/>
        <v>0</v>
      </c>
      <c r="EE135" s="137" t="b">
        <f t="shared" si="175"/>
        <v>1</v>
      </c>
      <c r="EF135" s="137"/>
      <c r="EG135" s="137"/>
      <c r="EH135" s="137"/>
      <c r="EI135" s="137"/>
      <c r="EJ135" s="137">
        <f t="shared" si="183"/>
        <v>1</v>
      </c>
      <c r="EK135" s="125">
        <f t="shared" si="176"/>
        <v>0</v>
      </c>
      <c r="EL135" s="125">
        <f t="shared" si="177"/>
        <v>0</v>
      </c>
    </row>
    <row r="136" spans="2:142" ht="15.75" x14ac:dyDescent="0.25">
      <c r="B136" s="160">
        <f t="shared" si="178"/>
        <v>106</v>
      </c>
      <c r="C136" s="205">
        <v>1001350437</v>
      </c>
      <c r="D136" s="205">
        <v>1001269687</v>
      </c>
      <c r="E136" s="205">
        <v>40216083</v>
      </c>
      <c r="F136" s="118">
        <f>IF(OR(J136="",H136=""),"",VLOOKUP(J136,'הזנה לסיווג רשויות'!$B$2:$D$301,2,0))</f>
        <v>20000159</v>
      </c>
      <c r="G136" s="118" t="str">
        <f>IF(OR(J136="",H136=""),"",VLOOKUP(J136,'הזנה לסיווג רשויות'!$B$2:$D$301,3,0))</f>
        <v>ירושלים</v>
      </c>
      <c r="H136" s="281" t="s">
        <v>608</v>
      </c>
      <c r="I136" s="201" t="s">
        <v>373</v>
      </c>
      <c r="J136" s="205">
        <v>3000</v>
      </c>
      <c r="K136" s="161">
        <v>0</v>
      </c>
      <c r="L136" s="161">
        <v>1</v>
      </c>
      <c r="M136" s="161">
        <v>0</v>
      </c>
      <c r="N136" s="161">
        <v>1</v>
      </c>
      <c r="O136" s="161">
        <v>1</v>
      </c>
      <c r="P136" s="161">
        <v>1</v>
      </c>
      <c r="Q136" s="161">
        <v>1</v>
      </c>
      <c r="R136" s="201">
        <v>161304</v>
      </c>
      <c r="S136" s="201">
        <v>58101</v>
      </c>
      <c r="T136" s="160">
        <f>IF(G136="","",IFERROR(IF(S136/R136&gt;'פרמטרים לקריטריונים'!$C$20,1,0),0))</f>
        <v>1</v>
      </c>
      <c r="U136" s="201">
        <v>35882</v>
      </c>
      <c r="V136" s="160">
        <f>IF(G136="","",IFERROR(IF(U136/R136&gt;'פרמטרים לקריטריונים'!$C$21,1,IF(AND(I136=$BW$5,U136/R136&gt;'פרמטרים לקריטריונים'!$C$22),1,0)),0))</f>
        <v>1</v>
      </c>
      <c r="W136" s="161">
        <v>1</v>
      </c>
      <c r="X136" s="161">
        <v>1</v>
      </c>
      <c r="Y136" s="201">
        <v>100000</v>
      </c>
      <c r="Z136" s="201">
        <v>50000</v>
      </c>
      <c r="AA136" s="161">
        <f t="shared" si="179"/>
        <v>1</v>
      </c>
      <c r="AB136" s="161"/>
      <c r="AC136" s="161"/>
      <c r="AD136" s="161"/>
      <c r="AE136" s="161"/>
      <c r="AF136" s="161"/>
      <c r="AG136" s="161"/>
      <c r="AH136" s="161"/>
      <c r="AI136" s="161"/>
      <c r="AJ136" s="161"/>
      <c r="AK136" s="161"/>
      <c r="AL136" s="161"/>
      <c r="AM136" s="161"/>
      <c r="AN136" s="161"/>
      <c r="AO136" s="161"/>
      <c r="AP136" s="161"/>
      <c r="AQ136" s="161"/>
      <c r="AR136" s="161"/>
      <c r="AS136" s="161"/>
      <c r="AT136" s="161"/>
      <c r="AU136" s="161"/>
      <c r="AV136" s="161"/>
      <c r="AW136" s="160"/>
      <c r="AX136" s="161"/>
      <c r="AY136" s="161"/>
      <c r="AZ136" s="161"/>
      <c r="BA136" s="161"/>
      <c r="BB136" s="161"/>
      <c r="BC136" s="161"/>
      <c r="BD136" s="161"/>
      <c r="BE136" s="161"/>
      <c r="BF136" s="160" t="str">
        <f t="shared" si="180"/>
        <v/>
      </c>
      <c r="BG136" s="160"/>
      <c r="BH136" s="160"/>
      <c r="BI136" s="160"/>
      <c r="BJ136" s="160"/>
      <c r="BK136" s="160"/>
      <c r="BL136" s="162">
        <f t="shared" si="131"/>
        <v>1</v>
      </c>
      <c r="BM136" s="257"/>
      <c r="BN136" s="163"/>
      <c r="BO136" s="211" t="str">
        <f t="shared" si="132"/>
        <v>תאטרון "פסיק" ירושליםתיאטרון</v>
      </c>
      <c r="BP136" s="125">
        <f t="shared" si="133"/>
        <v>1</v>
      </c>
      <c r="BQ136" s="164">
        <v>0</v>
      </c>
      <c r="BR136" s="164">
        <v>1</v>
      </c>
      <c r="BS136" s="149">
        <f t="shared" si="134"/>
        <v>1</v>
      </c>
      <c r="BT136" s="149">
        <f t="shared" si="135"/>
        <v>1</v>
      </c>
      <c r="BU136" s="149">
        <f t="shared" si="136"/>
        <v>1</v>
      </c>
      <c r="BV136" s="149">
        <f t="shared" si="137"/>
        <v>1</v>
      </c>
      <c r="BW136" s="149">
        <f t="shared" si="138"/>
        <v>1</v>
      </c>
      <c r="BX136" s="149">
        <f t="shared" si="139"/>
        <v>1</v>
      </c>
      <c r="BY136" s="149">
        <f t="shared" si="140"/>
        <v>1</v>
      </c>
      <c r="BZ136" s="149">
        <f t="shared" si="141"/>
        <v>1</v>
      </c>
      <c r="CA136" s="149">
        <f t="shared" si="142"/>
        <v>1</v>
      </c>
      <c r="CB136" s="149">
        <f t="shared" si="143"/>
        <v>1</v>
      </c>
      <c r="CC136" s="149">
        <f t="shared" si="144"/>
        <v>1</v>
      </c>
      <c r="CD136" s="149">
        <f t="shared" si="145"/>
        <v>1</v>
      </c>
      <c r="CE136" s="149">
        <f t="shared" si="146"/>
        <v>1</v>
      </c>
      <c r="CF136" s="149">
        <f t="shared" si="147"/>
        <v>1</v>
      </c>
      <c r="CG136" s="149">
        <f t="shared" si="148"/>
        <v>1</v>
      </c>
      <c r="CH136" s="149">
        <f t="shared" si="149"/>
        <v>1</v>
      </c>
      <c r="CI136" s="149">
        <f t="shared" si="150"/>
        <v>1</v>
      </c>
      <c r="CJ136" s="149">
        <f t="shared" si="151"/>
        <v>1</v>
      </c>
      <c r="CK136" s="149">
        <f t="shared" si="152"/>
        <v>1</v>
      </c>
      <c r="CL136" s="149">
        <f t="shared" si="153"/>
        <v>1</v>
      </c>
      <c r="CM136" s="149">
        <f t="shared" si="154"/>
        <v>1</v>
      </c>
      <c r="CN136" s="149">
        <f t="shared" si="155"/>
        <v>1</v>
      </c>
      <c r="CO136" s="149">
        <f t="shared" si="156"/>
        <v>1</v>
      </c>
      <c r="CP136" s="149">
        <f t="shared" si="157"/>
        <v>1</v>
      </c>
      <c r="CQ136" s="149">
        <f t="shared" si="158"/>
        <v>1</v>
      </c>
      <c r="CR136" s="149">
        <f t="shared" si="159"/>
        <v>1</v>
      </c>
      <c r="CS136" s="149">
        <f t="shared" si="160"/>
        <v>1</v>
      </c>
      <c r="CT136" s="149">
        <f t="shared" si="161"/>
        <v>1</v>
      </c>
      <c r="CU136" s="149">
        <f t="shared" si="162"/>
        <v>1</v>
      </c>
      <c r="CV136" s="149">
        <f t="shared" si="163"/>
        <v>1</v>
      </c>
      <c r="CW136" s="149">
        <f t="shared" si="164"/>
        <v>1</v>
      </c>
      <c r="CX136" s="149">
        <f t="shared" si="165"/>
        <v>1</v>
      </c>
      <c r="CY136" s="149">
        <f t="shared" si="166"/>
        <v>1</v>
      </c>
      <c r="CZ136" s="149">
        <f t="shared" si="167"/>
        <v>1</v>
      </c>
      <c r="DA136" s="149">
        <f t="shared" si="168"/>
        <v>1</v>
      </c>
      <c r="DB136" s="149">
        <f t="shared" si="169"/>
        <v>1</v>
      </c>
      <c r="DG136" s="125">
        <f t="shared" si="184"/>
        <v>1</v>
      </c>
      <c r="DH136" s="125">
        <f t="shared" si="184"/>
        <v>2</v>
      </c>
      <c r="DI136" s="125">
        <f t="shared" si="184"/>
        <v>3</v>
      </c>
      <c r="DJ136" s="125">
        <f t="shared" si="184"/>
        <v>4</v>
      </c>
      <c r="DK136" s="125">
        <f t="shared" si="184"/>
        <v>5</v>
      </c>
      <c r="DL136" s="125">
        <f t="shared" si="184"/>
        <v>6</v>
      </c>
      <c r="DM136" s="125">
        <f t="shared" si="184"/>
        <v>7</v>
      </c>
      <c r="DN136" s="125">
        <f t="shared" si="184"/>
        <v>8</v>
      </c>
      <c r="DO136" s="125">
        <f t="shared" si="184"/>
        <v>9</v>
      </c>
      <c r="DP136" s="125">
        <f t="shared" si="184"/>
        <v>10</v>
      </c>
      <c r="DS136" s="137"/>
      <c r="DT136" s="137"/>
      <c r="DU136" s="137"/>
      <c r="DV136" s="137" t="b">
        <f t="shared" si="170"/>
        <v>0</v>
      </c>
      <c r="DW136" s="137" t="b">
        <f t="shared" si="171"/>
        <v>0</v>
      </c>
      <c r="DX136" s="137" t="b">
        <f t="shared" si="172"/>
        <v>1</v>
      </c>
      <c r="EB136" s="131">
        <f t="shared" si="182"/>
        <v>1</v>
      </c>
      <c r="EC136" s="137" t="b">
        <f t="shared" si="173"/>
        <v>0</v>
      </c>
      <c r="ED136" s="137" t="b">
        <f t="shared" si="174"/>
        <v>0</v>
      </c>
      <c r="EE136" s="137" t="b">
        <f t="shared" si="175"/>
        <v>1</v>
      </c>
      <c r="EF136" s="137"/>
      <c r="EG136" s="137"/>
      <c r="EH136" s="137"/>
      <c r="EI136" s="137"/>
      <c r="EJ136" s="137">
        <f t="shared" si="183"/>
        <v>1</v>
      </c>
      <c r="EK136" s="125">
        <f t="shared" si="176"/>
        <v>0</v>
      </c>
      <c r="EL136" s="125">
        <f t="shared" si="177"/>
        <v>0</v>
      </c>
    </row>
    <row r="137" spans="2:142" ht="15.75" x14ac:dyDescent="0.25">
      <c r="B137" s="160">
        <f t="shared" si="178"/>
        <v>107</v>
      </c>
      <c r="C137" s="205">
        <v>1001350444</v>
      </c>
      <c r="D137" s="205">
        <v>1001268330</v>
      </c>
      <c r="E137" s="205">
        <v>40216083</v>
      </c>
      <c r="F137" s="118">
        <f>IF(OR(J137="",H137=""),"",VLOOKUP(J137,'הזנה לסיווג רשויות'!$B$2:$D$301,2,0))</f>
        <v>20000159</v>
      </c>
      <c r="G137" s="118" t="str">
        <f>IF(OR(J137="",H137=""),"",VLOOKUP(J137,'הזנה לסיווג רשויות'!$B$2:$D$301,3,0))</f>
        <v>ירושלים</v>
      </c>
      <c r="H137" s="281" t="s">
        <v>608</v>
      </c>
      <c r="I137" s="201" t="s">
        <v>373</v>
      </c>
      <c r="J137" s="205">
        <v>3000</v>
      </c>
      <c r="K137" s="161">
        <v>0</v>
      </c>
      <c r="L137" s="161">
        <v>1</v>
      </c>
      <c r="M137" s="161">
        <v>0</v>
      </c>
      <c r="N137" s="161">
        <v>1</v>
      </c>
      <c r="O137" s="161">
        <v>1</v>
      </c>
      <c r="P137" s="161">
        <v>1</v>
      </c>
      <c r="Q137" s="161">
        <v>1</v>
      </c>
      <c r="R137" s="201">
        <v>96959</v>
      </c>
      <c r="S137" s="201">
        <v>24571</v>
      </c>
      <c r="T137" s="160">
        <f>IF(G137="","",IFERROR(IF(S137/R137&gt;'פרמטרים לקריטריונים'!$C$20,1,0),0))</f>
        <v>1</v>
      </c>
      <c r="U137" s="201">
        <v>24571</v>
      </c>
      <c r="V137" s="160">
        <f>IF(G137="","",IFERROR(IF(U137/R137&gt;'פרמטרים לקריטריונים'!$C$21,1,IF(AND(I137=$BW$5,U137/R137&gt;'פרמטרים לקריטריונים'!$C$22),1,0)),0))</f>
        <v>1</v>
      </c>
      <c r="W137" s="161">
        <v>1</v>
      </c>
      <c r="X137" s="161">
        <v>1</v>
      </c>
      <c r="Y137" s="201">
        <v>80000</v>
      </c>
      <c r="Z137" s="201">
        <v>40000</v>
      </c>
      <c r="AA137" s="161">
        <f t="shared" si="179"/>
        <v>1</v>
      </c>
      <c r="AB137" s="161"/>
      <c r="AC137" s="161"/>
      <c r="AD137" s="161"/>
      <c r="AE137" s="161"/>
      <c r="AF137" s="161"/>
      <c r="AG137" s="161"/>
      <c r="AH137" s="161"/>
      <c r="AI137" s="161"/>
      <c r="AJ137" s="161"/>
      <c r="AK137" s="161"/>
      <c r="AL137" s="161"/>
      <c r="AM137" s="161"/>
      <c r="AN137" s="161"/>
      <c r="AO137" s="161"/>
      <c r="AP137" s="161"/>
      <c r="AQ137" s="161"/>
      <c r="AR137" s="161"/>
      <c r="AS137" s="161"/>
      <c r="AT137" s="161"/>
      <c r="AU137" s="161"/>
      <c r="AV137" s="161"/>
      <c r="AW137" s="160"/>
      <c r="AX137" s="161"/>
      <c r="AY137" s="161"/>
      <c r="AZ137" s="161"/>
      <c r="BA137" s="161"/>
      <c r="BB137" s="161"/>
      <c r="BC137" s="161"/>
      <c r="BD137" s="161"/>
      <c r="BE137" s="161"/>
      <c r="BF137" s="160" t="str">
        <f t="shared" si="180"/>
        <v/>
      </c>
      <c r="BG137" s="160"/>
      <c r="BH137" s="160"/>
      <c r="BI137" s="160"/>
      <c r="BJ137" s="160"/>
      <c r="BK137" s="160"/>
      <c r="BL137" s="162">
        <f t="shared" si="131"/>
        <v>1</v>
      </c>
      <c r="BM137" s="257"/>
      <c r="BN137" s="163"/>
      <c r="BO137" s="211" t="str">
        <f t="shared" si="132"/>
        <v>תאטרון "פסיק" ירושליםתיאטרון</v>
      </c>
      <c r="BP137" s="125">
        <f t="shared" si="133"/>
        <v>1</v>
      </c>
      <c r="BQ137" s="164">
        <v>0</v>
      </c>
      <c r="BR137" s="164">
        <v>1</v>
      </c>
      <c r="BS137" s="149">
        <f t="shared" si="134"/>
        <v>1</v>
      </c>
      <c r="BT137" s="149">
        <f t="shared" si="135"/>
        <v>1</v>
      </c>
      <c r="BU137" s="149">
        <f t="shared" si="136"/>
        <v>1</v>
      </c>
      <c r="BV137" s="149">
        <f t="shared" si="137"/>
        <v>1</v>
      </c>
      <c r="BW137" s="149">
        <f t="shared" si="138"/>
        <v>1</v>
      </c>
      <c r="BX137" s="149">
        <f t="shared" si="139"/>
        <v>1</v>
      </c>
      <c r="BY137" s="149">
        <f t="shared" si="140"/>
        <v>1</v>
      </c>
      <c r="BZ137" s="149">
        <f t="shared" si="141"/>
        <v>1</v>
      </c>
      <c r="CA137" s="149">
        <f t="shared" si="142"/>
        <v>1</v>
      </c>
      <c r="CB137" s="149">
        <f t="shared" si="143"/>
        <v>1</v>
      </c>
      <c r="CC137" s="149">
        <f t="shared" si="144"/>
        <v>1</v>
      </c>
      <c r="CD137" s="149">
        <f t="shared" si="145"/>
        <v>1</v>
      </c>
      <c r="CE137" s="149">
        <f t="shared" si="146"/>
        <v>1</v>
      </c>
      <c r="CF137" s="149">
        <f t="shared" si="147"/>
        <v>1</v>
      </c>
      <c r="CG137" s="149">
        <f t="shared" si="148"/>
        <v>1</v>
      </c>
      <c r="CH137" s="149">
        <f t="shared" si="149"/>
        <v>1</v>
      </c>
      <c r="CI137" s="149">
        <f t="shared" si="150"/>
        <v>1</v>
      </c>
      <c r="CJ137" s="149">
        <f t="shared" si="151"/>
        <v>1</v>
      </c>
      <c r="CK137" s="149">
        <f t="shared" si="152"/>
        <v>1</v>
      </c>
      <c r="CL137" s="149">
        <f t="shared" si="153"/>
        <v>1</v>
      </c>
      <c r="CM137" s="149">
        <f t="shared" si="154"/>
        <v>1</v>
      </c>
      <c r="CN137" s="149">
        <f t="shared" si="155"/>
        <v>1</v>
      </c>
      <c r="CO137" s="149">
        <f t="shared" si="156"/>
        <v>1</v>
      </c>
      <c r="CP137" s="149">
        <f t="shared" si="157"/>
        <v>1</v>
      </c>
      <c r="CQ137" s="149">
        <f t="shared" si="158"/>
        <v>1</v>
      </c>
      <c r="CR137" s="149">
        <f t="shared" si="159"/>
        <v>1</v>
      </c>
      <c r="CS137" s="149">
        <f t="shared" si="160"/>
        <v>1</v>
      </c>
      <c r="CT137" s="149">
        <f t="shared" si="161"/>
        <v>1</v>
      </c>
      <c r="CU137" s="149">
        <f t="shared" si="162"/>
        <v>1</v>
      </c>
      <c r="CV137" s="149">
        <f t="shared" si="163"/>
        <v>1</v>
      </c>
      <c r="CW137" s="149">
        <f t="shared" si="164"/>
        <v>1</v>
      </c>
      <c r="CX137" s="149">
        <f t="shared" si="165"/>
        <v>1</v>
      </c>
      <c r="CY137" s="149">
        <f t="shared" si="166"/>
        <v>1</v>
      </c>
      <c r="CZ137" s="149">
        <f t="shared" si="167"/>
        <v>1</v>
      </c>
      <c r="DA137" s="149">
        <f t="shared" si="168"/>
        <v>1</v>
      </c>
      <c r="DB137" s="149">
        <f t="shared" si="169"/>
        <v>1</v>
      </c>
      <c r="DG137" s="125">
        <f t="shared" si="184"/>
        <v>1</v>
      </c>
      <c r="DH137" s="125">
        <f t="shared" si="184"/>
        <v>2</v>
      </c>
      <c r="DI137" s="125">
        <f t="shared" si="184"/>
        <v>3</v>
      </c>
      <c r="DJ137" s="125">
        <f t="shared" si="184"/>
        <v>4</v>
      </c>
      <c r="DK137" s="125">
        <f t="shared" si="184"/>
        <v>5</v>
      </c>
      <c r="DL137" s="125">
        <f t="shared" si="184"/>
        <v>6</v>
      </c>
      <c r="DM137" s="125">
        <f t="shared" si="184"/>
        <v>7</v>
      </c>
      <c r="DN137" s="125">
        <f t="shared" si="184"/>
        <v>8</v>
      </c>
      <c r="DO137" s="125">
        <f t="shared" si="184"/>
        <v>9</v>
      </c>
      <c r="DP137" s="125">
        <f t="shared" si="184"/>
        <v>10</v>
      </c>
      <c r="DS137" s="137"/>
      <c r="DT137" s="137"/>
      <c r="DU137" s="137"/>
      <c r="DV137" s="137" t="b">
        <f t="shared" si="170"/>
        <v>0</v>
      </c>
      <c r="DW137" s="137" t="b">
        <f t="shared" si="171"/>
        <v>0</v>
      </c>
      <c r="DX137" s="137" t="b">
        <f t="shared" si="172"/>
        <v>1</v>
      </c>
      <c r="EB137" s="131">
        <f t="shared" si="182"/>
        <v>1</v>
      </c>
      <c r="EC137" s="137" t="b">
        <f t="shared" si="173"/>
        <v>0</v>
      </c>
      <c r="ED137" s="137" t="b">
        <f t="shared" si="174"/>
        <v>0</v>
      </c>
      <c r="EE137" s="137" t="b">
        <f t="shared" si="175"/>
        <v>1</v>
      </c>
      <c r="EF137" s="137"/>
      <c r="EG137" s="137"/>
      <c r="EH137" s="137"/>
      <c r="EI137" s="137"/>
      <c r="EJ137" s="137">
        <f t="shared" si="183"/>
        <v>1</v>
      </c>
      <c r="EK137" s="125">
        <f t="shared" si="176"/>
        <v>0</v>
      </c>
      <c r="EL137" s="125">
        <f t="shared" si="177"/>
        <v>0</v>
      </c>
    </row>
    <row r="138" spans="2:142" ht="15.75" x14ac:dyDescent="0.25">
      <c r="B138" s="160">
        <f t="shared" si="178"/>
        <v>108</v>
      </c>
      <c r="C138" s="205">
        <v>1001351084</v>
      </c>
      <c r="D138" s="205">
        <v>1001290814</v>
      </c>
      <c r="E138" s="205">
        <v>40258570</v>
      </c>
      <c r="F138" s="118">
        <f>IF(OR(J138="",H138=""),"",VLOOKUP(J138,'הזנה לסיווג רשויות'!$B$2:$D$301,2,0))</f>
        <v>20000055</v>
      </c>
      <c r="G138" s="118" t="str">
        <f>IF(OR(J138="",H138=""),"",VLOOKUP(J138,'הזנה לסיווג רשויות'!$B$2:$D$301,3,0))</f>
        <v>מג'ד אל-כרום</v>
      </c>
      <c r="H138" s="281" t="s">
        <v>609</v>
      </c>
      <c r="I138" s="201" t="s">
        <v>373</v>
      </c>
      <c r="J138" s="205">
        <v>516</v>
      </c>
      <c r="K138" s="161">
        <v>0</v>
      </c>
      <c r="L138" s="161">
        <v>1</v>
      </c>
      <c r="M138" s="161">
        <v>0</v>
      </c>
      <c r="N138" s="161">
        <v>0</v>
      </c>
      <c r="O138" s="161">
        <v>1</v>
      </c>
      <c r="P138" s="161">
        <v>1</v>
      </c>
      <c r="Q138" s="161">
        <v>1</v>
      </c>
      <c r="R138" s="201">
        <v>1531432</v>
      </c>
      <c r="S138" s="201">
        <v>515250</v>
      </c>
      <c r="T138" s="160">
        <f>IF(G138="","",IFERROR(IF(S138/R138&gt;'פרמטרים לקריטריונים'!$C$20,1,0),0))</f>
        <v>1</v>
      </c>
      <c r="U138" s="201">
        <v>515250</v>
      </c>
      <c r="V138" s="160">
        <f>IF(G138="","",IFERROR(IF(U138/R138&gt;'פרמטרים לקריטריונים'!$C$21,1,IF(AND(I138=$BW$5,U138/R138&gt;'פרמטרים לקריטריונים'!$C$22),1,0)),0))</f>
        <v>1</v>
      </c>
      <c r="W138" s="161">
        <v>1</v>
      </c>
      <c r="X138" s="161">
        <v>1</v>
      </c>
      <c r="Y138" s="201">
        <v>1100000</v>
      </c>
      <c r="Z138" s="201">
        <v>900000</v>
      </c>
      <c r="AA138" s="161">
        <f t="shared" si="179"/>
        <v>1</v>
      </c>
      <c r="AB138" s="161"/>
      <c r="AC138" s="161"/>
      <c r="AD138" s="161"/>
      <c r="AE138" s="161"/>
      <c r="AF138" s="161"/>
      <c r="AG138" s="161"/>
      <c r="AH138" s="161"/>
      <c r="AI138" s="161"/>
      <c r="AJ138" s="161"/>
      <c r="AK138" s="161"/>
      <c r="AL138" s="161"/>
      <c r="AM138" s="161"/>
      <c r="AN138" s="161"/>
      <c r="AO138" s="161"/>
      <c r="AP138" s="161"/>
      <c r="AQ138" s="161"/>
      <c r="AR138" s="161"/>
      <c r="AS138" s="161"/>
      <c r="AT138" s="161"/>
      <c r="AU138" s="161"/>
      <c r="AV138" s="161"/>
      <c r="AW138" s="160"/>
      <c r="AX138" s="161"/>
      <c r="AY138" s="161"/>
      <c r="AZ138" s="161"/>
      <c r="BA138" s="161"/>
      <c r="BB138" s="161"/>
      <c r="BC138" s="161"/>
      <c r="BD138" s="161"/>
      <c r="BE138" s="161"/>
      <c r="BF138" s="160" t="str">
        <f t="shared" si="180"/>
        <v/>
      </c>
      <c r="BG138" s="160"/>
      <c r="BH138" s="160"/>
      <c r="BI138" s="160"/>
      <c r="BJ138" s="160"/>
      <c r="BK138" s="160"/>
      <c r="BL138" s="162">
        <f t="shared" si="131"/>
        <v>1</v>
      </c>
      <c r="BM138" s="257"/>
      <c r="BN138" s="163"/>
      <c r="BO138" s="211" t="str">
        <f t="shared" si="132"/>
        <v>עמותת האומנים לקידום תיאטרון מגד אל כרוםתיאטרון</v>
      </c>
      <c r="BP138" s="125">
        <f t="shared" si="133"/>
        <v>1</v>
      </c>
      <c r="BQ138" s="164">
        <v>0</v>
      </c>
      <c r="BR138" s="164">
        <v>1</v>
      </c>
      <c r="BS138" s="149">
        <f t="shared" si="134"/>
        <v>1</v>
      </c>
      <c r="BT138" s="149">
        <f t="shared" si="135"/>
        <v>1</v>
      </c>
      <c r="BU138" s="149">
        <f t="shared" si="136"/>
        <v>1</v>
      </c>
      <c r="BV138" s="149">
        <f t="shared" si="137"/>
        <v>1</v>
      </c>
      <c r="BW138" s="149">
        <f t="shared" si="138"/>
        <v>1</v>
      </c>
      <c r="BX138" s="149">
        <f t="shared" si="139"/>
        <v>1</v>
      </c>
      <c r="BY138" s="149">
        <f t="shared" si="140"/>
        <v>1</v>
      </c>
      <c r="BZ138" s="149">
        <f t="shared" si="141"/>
        <v>1</v>
      </c>
      <c r="CA138" s="149">
        <f t="shared" si="142"/>
        <v>1</v>
      </c>
      <c r="CB138" s="149">
        <f t="shared" si="143"/>
        <v>1</v>
      </c>
      <c r="CC138" s="149">
        <f t="shared" si="144"/>
        <v>1</v>
      </c>
      <c r="CD138" s="149">
        <f t="shared" si="145"/>
        <v>1</v>
      </c>
      <c r="CE138" s="149">
        <f t="shared" si="146"/>
        <v>1</v>
      </c>
      <c r="CF138" s="149">
        <f t="shared" si="147"/>
        <v>1</v>
      </c>
      <c r="CG138" s="149">
        <f t="shared" si="148"/>
        <v>1</v>
      </c>
      <c r="CH138" s="149">
        <f t="shared" si="149"/>
        <v>1</v>
      </c>
      <c r="CI138" s="149">
        <f t="shared" si="150"/>
        <v>1</v>
      </c>
      <c r="CJ138" s="149">
        <f t="shared" si="151"/>
        <v>1</v>
      </c>
      <c r="CK138" s="149">
        <f t="shared" si="152"/>
        <v>1</v>
      </c>
      <c r="CL138" s="149">
        <f t="shared" si="153"/>
        <v>1</v>
      </c>
      <c r="CM138" s="149">
        <f t="shared" si="154"/>
        <v>1</v>
      </c>
      <c r="CN138" s="149">
        <f t="shared" si="155"/>
        <v>1</v>
      </c>
      <c r="CO138" s="149">
        <f t="shared" si="156"/>
        <v>1</v>
      </c>
      <c r="CP138" s="149">
        <f t="shared" si="157"/>
        <v>1</v>
      </c>
      <c r="CQ138" s="149">
        <f t="shared" si="158"/>
        <v>1</v>
      </c>
      <c r="CR138" s="149">
        <f t="shared" si="159"/>
        <v>1</v>
      </c>
      <c r="CS138" s="149">
        <f t="shared" si="160"/>
        <v>1</v>
      </c>
      <c r="CT138" s="149">
        <f t="shared" si="161"/>
        <v>1</v>
      </c>
      <c r="CU138" s="149">
        <f t="shared" si="162"/>
        <v>1</v>
      </c>
      <c r="CV138" s="149">
        <f t="shared" si="163"/>
        <v>1</v>
      </c>
      <c r="CW138" s="149">
        <f t="shared" si="164"/>
        <v>1</v>
      </c>
      <c r="CX138" s="149">
        <f t="shared" si="165"/>
        <v>1</v>
      </c>
      <c r="CY138" s="149">
        <f t="shared" si="166"/>
        <v>1</v>
      </c>
      <c r="CZ138" s="149">
        <f t="shared" si="167"/>
        <v>1</v>
      </c>
      <c r="DA138" s="149">
        <f t="shared" si="168"/>
        <v>1</v>
      </c>
      <c r="DB138" s="149">
        <f t="shared" si="169"/>
        <v>1</v>
      </c>
      <c r="DG138" s="125">
        <f t="shared" si="184"/>
        <v>1</v>
      </c>
      <c r="DH138" s="125">
        <f t="shared" si="184"/>
        <v>2</v>
      </c>
      <c r="DI138" s="125">
        <f t="shared" si="184"/>
        <v>3</v>
      </c>
      <c r="DJ138" s="125">
        <f t="shared" si="184"/>
        <v>4</v>
      </c>
      <c r="DK138" s="125">
        <f t="shared" si="184"/>
        <v>5</v>
      </c>
      <c r="DL138" s="125">
        <f t="shared" si="184"/>
        <v>6</v>
      </c>
      <c r="DM138" s="125">
        <f t="shared" si="184"/>
        <v>7</v>
      </c>
      <c r="DN138" s="125">
        <f t="shared" si="184"/>
        <v>8</v>
      </c>
      <c r="DO138" s="125">
        <f t="shared" si="184"/>
        <v>9</v>
      </c>
      <c r="DP138" s="125">
        <f t="shared" si="184"/>
        <v>10</v>
      </c>
      <c r="DS138" s="137"/>
      <c r="DT138" s="137"/>
      <c r="DU138" s="137"/>
      <c r="DV138" s="137" t="b">
        <f t="shared" si="170"/>
        <v>0</v>
      </c>
      <c r="DW138" s="137" t="b">
        <f t="shared" si="171"/>
        <v>0</v>
      </c>
      <c r="DX138" s="137" t="b">
        <f t="shared" si="172"/>
        <v>1</v>
      </c>
      <c r="EB138" s="131">
        <f t="shared" si="182"/>
        <v>1</v>
      </c>
      <c r="EC138" s="137" t="b">
        <f t="shared" si="173"/>
        <v>0</v>
      </c>
      <c r="ED138" s="137" t="b">
        <f t="shared" si="174"/>
        <v>0</v>
      </c>
      <c r="EE138" s="137" t="b">
        <f t="shared" si="175"/>
        <v>1</v>
      </c>
      <c r="EF138" s="137"/>
      <c r="EG138" s="137"/>
      <c r="EH138" s="137"/>
      <c r="EI138" s="137"/>
      <c r="EJ138" s="137">
        <f t="shared" si="183"/>
        <v>1</v>
      </c>
      <c r="EK138" s="125">
        <f t="shared" si="176"/>
        <v>0</v>
      </c>
      <c r="EL138" s="125">
        <f t="shared" si="177"/>
        <v>0</v>
      </c>
    </row>
    <row r="139" spans="2:142" ht="15.75" x14ac:dyDescent="0.25">
      <c r="B139" s="160">
        <f t="shared" si="178"/>
        <v>109</v>
      </c>
      <c r="C139" s="205">
        <v>1001347400</v>
      </c>
      <c r="D139" s="205">
        <v>1001266852</v>
      </c>
      <c r="E139" s="205">
        <v>40000550</v>
      </c>
      <c r="F139" s="118">
        <f>IF(OR(J139="",H139=""),"",VLOOKUP(J139,'הזנה לסיווג רשויות'!$B$2:$D$301,2,0))</f>
        <v>20000096</v>
      </c>
      <c r="G139" s="118" t="str">
        <f>IF(OR(J139="",H139=""),"",VLOOKUP(J139,'הזנה לסיווג רשויות'!$B$2:$D$301,3,0))</f>
        <v>שדרות</v>
      </c>
      <c r="H139" s="281" t="s">
        <v>587</v>
      </c>
      <c r="I139" s="201" t="s">
        <v>386</v>
      </c>
      <c r="J139" s="205">
        <v>1031</v>
      </c>
      <c r="K139" s="161">
        <v>0</v>
      </c>
      <c r="L139" s="161">
        <v>1</v>
      </c>
      <c r="M139" s="161">
        <v>0</v>
      </c>
      <c r="N139" s="161">
        <v>0</v>
      </c>
      <c r="O139" s="161">
        <v>1</v>
      </c>
      <c r="P139" s="161">
        <v>1</v>
      </c>
      <c r="Q139" s="161">
        <v>1</v>
      </c>
      <c r="R139" s="201">
        <v>132314</v>
      </c>
      <c r="S139" s="201">
        <v>40776</v>
      </c>
      <c r="T139" s="160">
        <f>IF(G139="","",IFERROR(IF(S139/R139&gt;'פרמטרים לקריטריונים'!$C$20,1,0),0))</f>
        <v>1</v>
      </c>
      <c r="U139" s="201">
        <v>26906</v>
      </c>
      <c r="V139" s="160">
        <f>IF(G139="","",IFERROR(IF(U139/R139&gt;'פרמטרים לקריטריונים'!$C$21,1,IF(AND(I139=$BW$5,U139/R139&gt;'פרמטרים לקריטריונים'!$C$22),1,0)),0))</f>
        <v>1</v>
      </c>
      <c r="W139" s="161">
        <v>1</v>
      </c>
      <c r="X139" s="161">
        <v>1</v>
      </c>
      <c r="Y139" s="201">
        <v>125000</v>
      </c>
      <c r="Z139" s="201">
        <v>125000</v>
      </c>
      <c r="AA139" s="161">
        <f t="shared" si="179"/>
        <v>1</v>
      </c>
      <c r="AB139" s="161"/>
      <c r="AC139" s="161"/>
      <c r="AD139" s="161"/>
      <c r="AE139" s="161"/>
      <c r="AF139" s="161"/>
      <c r="AG139" s="161"/>
      <c r="AH139" s="161"/>
      <c r="AI139" s="161"/>
      <c r="AJ139" s="161"/>
      <c r="AK139" s="161"/>
      <c r="AL139" s="161"/>
      <c r="AM139" s="161"/>
      <c r="AN139" s="161"/>
      <c r="AO139" s="161"/>
      <c r="AP139" s="161"/>
      <c r="AQ139" s="161"/>
      <c r="AR139" s="161"/>
      <c r="AS139" s="161"/>
      <c r="AT139" s="161"/>
      <c r="AU139" s="161"/>
      <c r="AV139" s="161"/>
      <c r="AW139" s="160"/>
      <c r="AX139" s="161"/>
      <c r="AY139" s="161"/>
      <c r="AZ139" s="161"/>
      <c r="BA139" s="161"/>
      <c r="BB139" s="161"/>
      <c r="BC139" s="161"/>
      <c r="BD139" s="161"/>
      <c r="BE139" s="161"/>
      <c r="BF139" s="160" t="str">
        <f t="shared" si="180"/>
        <v/>
      </c>
      <c r="BG139" s="160"/>
      <c r="BH139" s="160"/>
      <c r="BI139" s="160"/>
      <c r="BJ139" s="160"/>
      <c r="BK139" s="160"/>
      <c r="BL139" s="162">
        <f t="shared" si="131"/>
        <v>1</v>
      </c>
      <c r="BM139" s="257"/>
      <c r="BN139" s="163"/>
      <c r="BO139" s="211" t="str">
        <f t="shared" si="132"/>
        <v>מרכז התנועה שדרות אדמה (ע''ר)מרכזי מחול</v>
      </c>
      <c r="BP139" s="125">
        <f t="shared" si="133"/>
        <v>1</v>
      </c>
      <c r="BQ139" s="164">
        <v>0</v>
      </c>
      <c r="BR139" s="164">
        <v>1</v>
      </c>
      <c r="BS139" s="149">
        <f t="shared" si="134"/>
        <v>1</v>
      </c>
      <c r="BT139" s="149">
        <f t="shared" si="135"/>
        <v>1</v>
      </c>
      <c r="BU139" s="149">
        <f t="shared" si="136"/>
        <v>1</v>
      </c>
      <c r="BV139" s="149">
        <f t="shared" si="137"/>
        <v>1</v>
      </c>
      <c r="BW139" s="149">
        <f t="shared" si="138"/>
        <v>1</v>
      </c>
      <c r="BX139" s="149">
        <f t="shared" si="139"/>
        <v>1</v>
      </c>
      <c r="BY139" s="149">
        <f t="shared" si="140"/>
        <v>1</v>
      </c>
      <c r="BZ139" s="149">
        <f t="shared" si="141"/>
        <v>1</v>
      </c>
      <c r="CA139" s="149">
        <f t="shared" si="142"/>
        <v>1</v>
      </c>
      <c r="CB139" s="149">
        <f t="shared" si="143"/>
        <v>1</v>
      </c>
      <c r="CC139" s="149">
        <f t="shared" si="144"/>
        <v>1</v>
      </c>
      <c r="CD139" s="149">
        <f t="shared" si="145"/>
        <v>1</v>
      </c>
      <c r="CE139" s="149">
        <f t="shared" si="146"/>
        <v>1</v>
      </c>
      <c r="CF139" s="149">
        <f t="shared" si="147"/>
        <v>1</v>
      </c>
      <c r="CG139" s="149">
        <f t="shared" si="148"/>
        <v>1</v>
      </c>
      <c r="CH139" s="149">
        <f t="shared" si="149"/>
        <v>1</v>
      </c>
      <c r="CI139" s="149">
        <f t="shared" si="150"/>
        <v>1</v>
      </c>
      <c r="CJ139" s="149">
        <f t="shared" si="151"/>
        <v>1</v>
      </c>
      <c r="CK139" s="149">
        <f t="shared" si="152"/>
        <v>1</v>
      </c>
      <c r="CL139" s="149">
        <f t="shared" si="153"/>
        <v>1</v>
      </c>
      <c r="CM139" s="149">
        <f t="shared" si="154"/>
        <v>1</v>
      </c>
      <c r="CN139" s="149">
        <f t="shared" si="155"/>
        <v>1</v>
      </c>
      <c r="CO139" s="149">
        <f t="shared" si="156"/>
        <v>1</v>
      </c>
      <c r="CP139" s="149">
        <f t="shared" si="157"/>
        <v>1</v>
      </c>
      <c r="CQ139" s="149">
        <f t="shared" si="158"/>
        <v>1</v>
      </c>
      <c r="CR139" s="149">
        <f t="shared" si="159"/>
        <v>1</v>
      </c>
      <c r="CS139" s="149">
        <f t="shared" si="160"/>
        <v>1</v>
      </c>
      <c r="CT139" s="149">
        <f t="shared" si="161"/>
        <v>1</v>
      </c>
      <c r="CU139" s="149">
        <f t="shared" si="162"/>
        <v>1</v>
      </c>
      <c r="CV139" s="149">
        <f t="shared" si="163"/>
        <v>1</v>
      </c>
      <c r="CW139" s="149">
        <f t="shared" si="164"/>
        <v>1</v>
      </c>
      <c r="CX139" s="149">
        <f t="shared" si="165"/>
        <v>1</v>
      </c>
      <c r="CY139" s="149">
        <f t="shared" si="166"/>
        <v>1</v>
      </c>
      <c r="CZ139" s="149">
        <f t="shared" si="167"/>
        <v>1</v>
      </c>
      <c r="DA139" s="149">
        <f t="shared" si="168"/>
        <v>1</v>
      </c>
      <c r="DB139" s="149">
        <f t="shared" si="169"/>
        <v>1</v>
      </c>
      <c r="DG139" s="125">
        <f t="shared" si="184"/>
        <v>1</v>
      </c>
      <c r="DH139" s="125">
        <f t="shared" si="184"/>
        <v>2</v>
      </c>
      <c r="DI139" s="125">
        <f t="shared" si="184"/>
        <v>3</v>
      </c>
      <c r="DJ139" s="125">
        <f t="shared" si="184"/>
        <v>4</v>
      </c>
      <c r="DK139" s="125">
        <f t="shared" si="184"/>
        <v>5</v>
      </c>
      <c r="DL139" s="125">
        <f t="shared" si="184"/>
        <v>6</v>
      </c>
      <c r="DM139" s="125">
        <f t="shared" si="184"/>
        <v>7</v>
      </c>
      <c r="DN139" s="125">
        <f t="shared" si="184"/>
        <v>8</v>
      </c>
      <c r="DO139" s="125">
        <f t="shared" si="184"/>
        <v>9</v>
      </c>
      <c r="DP139" s="125">
        <f t="shared" si="184"/>
        <v>10</v>
      </c>
      <c r="DS139" s="137"/>
      <c r="DT139" s="137"/>
      <c r="DU139" s="137"/>
      <c r="DV139" s="137" t="b">
        <f t="shared" si="170"/>
        <v>0</v>
      </c>
      <c r="DW139" s="137" t="b">
        <f t="shared" si="171"/>
        <v>0</v>
      </c>
      <c r="DX139" s="137" t="b">
        <f t="shared" si="172"/>
        <v>1</v>
      </c>
      <c r="EB139" s="131">
        <f t="shared" si="182"/>
        <v>1</v>
      </c>
      <c r="EC139" s="137" t="b">
        <f t="shared" si="173"/>
        <v>0</v>
      </c>
      <c r="ED139" s="137" t="b">
        <f t="shared" si="174"/>
        <v>0</v>
      </c>
      <c r="EE139" s="137" t="b">
        <f t="shared" si="175"/>
        <v>1</v>
      </c>
      <c r="EF139" s="137"/>
      <c r="EG139" s="137"/>
      <c r="EH139" s="137"/>
      <c r="EI139" s="137"/>
      <c r="EJ139" s="137">
        <f t="shared" si="183"/>
        <v>1</v>
      </c>
      <c r="EK139" s="125">
        <f t="shared" si="176"/>
        <v>0</v>
      </c>
      <c r="EL139" s="125">
        <f t="shared" si="177"/>
        <v>0</v>
      </c>
    </row>
    <row r="140" spans="2:142" ht="15.75" x14ac:dyDescent="0.25">
      <c r="B140" s="160">
        <f t="shared" si="178"/>
        <v>110</v>
      </c>
      <c r="C140" s="205">
        <v>1001350749</v>
      </c>
      <c r="D140" s="205">
        <v>1001270674</v>
      </c>
      <c r="E140" s="205">
        <v>40000590</v>
      </c>
      <c r="F140" s="118">
        <f>IF(OR(J140="",H140=""),"",VLOOKUP(J140,'הזנה לסיווג רשויות'!$B$2:$D$301,2,0))</f>
        <v>20000235</v>
      </c>
      <c r="G140" s="118" t="str">
        <f>IF(OR(J140="",H140=""),"",VLOOKUP(J140,'הזנה לסיווג רשויות'!$B$2:$D$301,3,0))</f>
        <v>סח'נין</v>
      </c>
      <c r="H140" s="281" t="s">
        <v>610</v>
      </c>
      <c r="I140" s="201" t="s">
        <v>373</v>
      </c>
      <c r="J140" s="205">
        <v>7500</v>
      </c>
      <c r="K140" s="161">
        <v>0</v>
      </c>
      <c r="L140" s="161">
        <v>1</v>
      </c>
      <c r="M140" s="161">
        <v>0</v>
      </c>
      <c r="N140" s="161">
        <v>0</v>
      </c>
      <c r="O140" s="161">
        <v>1</v>
      </c>
      <c r="P140" s="161">
        <v>1</v>
      </c>
      <c r="Q140" s="161">
        <v>1</v>
      </c>
      <c r="R140" s="201">
        <v>1662914</v>
      </c>
      <c r="S140" s="201">
        <v>716285</v>
      </c>
      <c r="T140" s="160">
        <f>IF(G140="","",IFERROR(IF(S140/R140&gt;'פרמטרים לקריטריונים'!$C$20,1,0),0))</f>
        <v>1</v>
      </c>
      <c r="U140" s="201">
        <v>716285</v>
      </c>
      <c r="V140" s="160">
        <f>IF(G140="","",IFERROR(IF(U140/R140&gt;'פרמטרים לקריטריונים'!$C$21,1,IF(AND(I140=$BW$5,U140/R140&gt;'פרמטרים לקריטריונים'!$C$22),1,0)),0))</f>
        <v>1</v>
      </c>
      <c r="W140" s="161">
        <v>1</v>
      </c>
      <c r="X140" s="161">
        <v>1</v>
      </c>
      <c r="Y140" s="201">
        <v>600000</v>
      </c>
      <c r="Z140" s="201">
        <v>600000</v>
      </c>
      <c r="AA140" s="161">
        <f t="shared" si="179"/>
        <v>1</v>
      </c>
      <c r="AB140" s="161"/>
      <c r="AC140" s="161"/>
      <c r="AD140" s="161"/>
      <c r="AE140" s="161"/>
      <c r="AF140" s="161"/>
      <c r="AG140" s="161"/>
      <c r="AH140" s="161"/>
      <c r="AI140" s="161"/>
      <c r="AJ140" s="161"/>
      <c r="AK140" s="161"/>
      <c r="AL140" s="161"/>
      <c r="AM140" s="161"/>
      <c r="AN140" s="161"/>
      <c r="AO140" s="161"/>
      <c r="AP140" s="161"/>
      <c r="AQ140" s="161"/>
      <c r="AR140" s="161"/>
      <c r="AS140" s="161"/>
      <c r="AT140" s="161"/>
      <c r="AU140" s="161"/>
      <c r="AV140" s="161"/>
      <c r="AW140" s="160"/>
      <c r="AX140" s="161"/>
      <c r="AY140" s="161"/>
      <c r="AZ140" s="161"/>
      <c r="BA140" s="161"/>
      <c r="BB140" s="161"/>
      <c r="BC140" s="161"/>
      <c r="BD140" s="161"/>
      <c r="BE140" s="161"/>
      <c r="BF140" s="160" t="str">
        <f t="shared" si="180"/>
        <v/>
      </c>
      <c r="BG140" s="160"/>
      <c r="BH140" s="160"/>
      <c r="BI140" s="160"/>
      <c r="BJ140" s="160"/>
      <c r="BK140" s="160"/>
      <c r="BL140" s="162">
        <f t="shared" si="131"/>
        <v>1</v>
      </c>
      <c r="BM140" s="257"/>
      <c r="BN140" s="163"/>
      <c r="BO140" s="211" t="str">
        <f t="shared" si="132"/>
        <v>אמנות למען השלוםתיאטרון</v>
      </c>
      <c r="BP140" s="125">
        <f t="shared" si="133"/>
        <v>1</v>
      </c>
      <c r="BQ140" s="164">
        <v>0</v>
      </c>
      <c r="BR140" s="164">
        <v>1</v>
      </c>
      <c r="BS140" s="149">
        <f t="shared" si="134"/>
        <v>1</v>
      </c>
      <c r="BT140" s="149">
        <f t="shared" si="135"/>
        <v>1</v>
      </c>
      <c r="BU140" s="149">
        <f t="shared" si="136"/>
        <v>1</v>
      </c>
      <c r="BV140" s="149">
        <f t="shared" si="137"/>
        <v>1</v>
      </c>
      <c r="BW140" s="149">
        <f t="shared" si="138"/>
        <v>1</v>
      </c>
      <c r="BX140" s="149">
        <f t="shared" si="139"/>
        <v>1</v>
      </c>
      <c r="BY140" s="149">
        <f t="shared" si="140"/>
        <v>1</v>
      </c>
      <c r="BZ140" s="149">
        <f t="shared" si="141"/>
        <v>1</v>
      </c>
      <c r="CA140" s="149">
        <f t="shared" si="142"/>
        <v>1</v>
      </c>
      <c r="CB140" s="149">
        <f t="shared" si="143"/>
        <v>1</v>
      </c>
      <c r="CC140" s="149">
        <f t="shared" si="144"/>
        <v>1</v>
      </c>
      <c r="CD140" s="149">
        <f t="shared" si="145"/>
        <v>1</v>
      </c>
      <c r="CE140" s="149">
        <f t="shared" si="146"/>
        <v>1</v>
      </c>
      <c r="CF140" s="149">
        <f t="shared" si="147"/>
        <v>1</v>
      </c>
      <c r="CG140" s="149">
        <f t="shared" si="148"/>
        <v>1</v>
      </c>
      <c r="CH140" s="149">
        <f t="shared" si="149"/>
        <v>1</v>
      </c>
      <c r="CI140" s="149">
        <f t="shared" si="150"/>
        <v>1</v>
      </c>
      <c r="CJ140" s="149">
        <f t="shared" si="151"/>
        <v>1</v>
      </c>
      <c r="CK140" s="149">
        <f t="shared" si="152"/>
        <v>1</v>
      </c>
      <c r="CL140" s="149">
        <f t="shared" si="153"/>
        <v>1</v>
      </c>
      <c r="CM140" s="149">
        <f t="shared" si="154"/>
        <v>1</v>
      </c>
      <c r="CN140" s="149">
        <f t="shared" si="155"/>
        <v>1</v>
      </c>
      <c r="CO140" s="149">
        <f t="shared" si="156"/>
        <v>1</v>
      </c>
      <c r="CP140" s="149">
        <f t="shared" si="157"/>
        <v>1</v>
      </c>
      <c r="CQ140" s="149">
        <f t="shared" si="158"/>
        <v>1</v>
      </c>
      <c r="CR140" s="149">
        <f t="shared" si="159"/>
        <v>1</v>
      </c>
      <c r="CS140" s="149">
        <f t="shared" si="160"/>
        <v>1</v>
      </c>
      <c r="CT140" s="149">
        <f t="shared" si="161"/>
        <v>1</v>
      </c>
      <c r="CU140" s="149">
        <f t="shared" si="162"/>
        <v>1</v>
      </c>
      <c r="CV140" s="149">
        <f t="shared" si="163"/>
        <v>1</v>
      </c>
      <c r="CW140" s="149">
        <f t="shared" si="164"/>
        <v>1</v>
      </c>
      <c r="CX140" s="149">
        <f t="shared" si="165"/>
        <v>1</v>
      </c>
      <c r="CY140" s="149">
        <f t="shared" si="166"/>
        <v>1</v>
      </c>
      <c r="CZ140" s="149">
        <f t="shared" si="167"/>
        <v>1</v>
      </c>
      <c r="DA140" s="149">
        <f t="shared" si="168"/>
        <v>1</v>
      </c>
      <c r="DB140" s="149">
        <f t="shared" si="169"/>
        <v>1</v>
      </c>
      <c r="DG140" s="125">
        <f t="shared" si="184"/>
        <v>1</v>
      </c>
      <c r="DH140" s="125">
        <f t="shared" si="184"/>
        <v>2</v>
      </c>
      <c r="DI140" s="125">
        <f t="shared" si="184"/>
        <v>3</v>
      </c>
      <c r="DJ140" s="125">
        <f t="shared" si="184"/>
        <v>4</v>
      </c>
      <c r="DK140" s="125">
        <f t="shared" si="184"/>
        <v>5</v>
      </c>
      <c r="DL140" s="125">
        <f t="shared" si="184"/>
        <v>6</v>
      </c>
      <c r="DM140" s="125">
        <f t="shared" si="184"/>
        <v>7</v>
      </c>
      <c r="DN140" s="125">
        <f t="shared" si="184"/>
        <v>8</v>
      </c>
      <c r="DO140" s="125">
        <f t="shared" si="184"/>
        <v>9</v>
      </c>
      <c r="DP140" s="125">
        <f t="shared" si="184"/>
        <v>10</v>
      </c>
      <c r="DS140" s="137"/>
      <c r="DT140" s="137"/>
      <c r="DU140" s="137"/>
      <c r="DV140" s="137" t="b">
        <f t="shared" si="170"/>
        <v>0</v>
      </c>
      <c r="DW140" s="137" t="b">
        <f t="shared" si="171"/>
        <v>0</v>
      </c>
      <c r="DX140" s="137" t="b">
        <f t="shared" si="172"/>
        <v>1</v>
      </c>
      <c r="EB140" s="131">
        <f t="shared" si="182"/>
        <v>1</v>
      </c>
      <c r="EC140" s="137" t="b">
        <f t="shared" si="173"/>
        <v>0</v>
      </c>
      <c r="ED140" s="137" t="b">
        <f t="shared" si="174"/>
        <v>0</v>
      </c>
      <c r="EE140" s="137" t="b">
        <f t="shared" si="175"/>
        <v>1</v>
      </c>
      <c r="EF140" s="137"/>
      <c r="EG140" s="137"/>
      <c r="EH140" s="137"/>
      <c r="EI140" s="137"/>
      <c r="EJ140" s="137">
        <f t="shared" si="183"/>
        <v>1</v>
      </c>
      <c r="EK140" s="125">
        <f t="shared" si="176"/>
        <v>0</v>
      </c>
      <c r="EL140" s="125">
        <f t="shared" si="177"/>
        <v>0</v>
      </c>
    </row>
    <row r="141" spans="2:142" ht="15.75" x14ac:dyDescent="0.2">
      <c r="B141" s="160">
        <f t="shared" si="178"/>
        <v>111</v>
      </c>
      <c r="C141" s="205">
        <v>1001347197</v>
      </c>
      <c r="D141" s="205">
        <v>1001262104</v>
      </c>
      <c r="E141" s="205">
        <v>40000479</v>
      </c>
      <c r="F141" s="118">
        <f>IF(OR(J141="",H141=""),"",VLOOKUP(J141,'הזנה לסיווג רשויות'!$B$2:$D$301,2,0))</f>
        <v>20000162</v>
      </c>
      <c r="G141" s="118" t="str">
        <f>IF(OR(J141="",H141=""),"",VLOOKUP(J141,'הזנה לסיווג רשויות'!$B$2:$D$301,3,0))</f>
        <v>חוף הכרמל</v>
      </c>
      <c r="H141" s="201" t="s">
        <v>611</v>
      </c>
      <c r="I141" s="201" t="s">
        <v>375</v>
      </c>
      <c r="J141" s="205">
        <v>15</v>
      </c>
      <c r="K141" s="161">
        <v>0</v>
      </c>
      <c r="L141" s="161">
        <v>1</v>
      </c>
      <c r="M141" s="161">
        <v>0</v>
      </c>
      <c r="N141" s="161">
        <v>1</v>
      </c>
      <c r="O141" s="161">
        <v>1</v>
      </c>
      <c r="P141" s="161">
        <v>1</v>
      </c>
      <c r="Q141" s="161">
        <v>1</v>
      </c>
      <c r="R141" s="201">
        <v>774200</v>
      </c>
      <c r="S141" s="201">
        <v>340027</v>
      </c>
      <c r="T141" s="160">
        <f>IF(G141="","",IFERROR(IF(S141/R141&gt;'פרמטרים לקריטריונים'!$C$20,1,0),0))</f>
        <v>1</v>
      </c>
      <c r="U141" s="201">
        <v>340027</v>
      </c>
      <c r="V141" s="160">
        <f>IF(G141="","",IFERROR(IF(U141/R141&gt;'פרמטרים לקריטריונים'!$C$21,1,IF(AND(I141=$BW$5,U141/R141&gt;'פרמטרים לקריטריונים'!$C$22),1,0)),0))</f>
        <v>1</v>
      </c>
      <c r="W141" s="161">
        <v>1</v>
      </c>
      <c r="X141" s="161">
        <v>1</v>
      </c>
      <c r="Y141" s="201">
        <v>200000</v>
      </c>
      <c r="Z141" s="201">
        <v>130000</v>
      </c>
      <c r="AA141" s="161">
        <f t="shared" si="179"/>
        <v>1</v>
      </c>
      <c r="AB141" s="161"/>
      <c r="AC141" s="161"/>
      <c r="AD141" s="161"/>
      <c r="AE141" s="161"/>
      <c r="AF141" s="161"/>
      <c r="AG141" s="161"/>
      <c r="AH141" s="161"/>
      <c r="AI141" s="161"/>
      <c r="AJ141" s="161"/>
      <c r="AK141" s="161"/>
      <c r="AL141" s="161"/>
      <c r="AM141" s="161"/>
      <c r="AN141" s="161"/>
      <c r="AO141" s="161"/>
      <c r="AP141" s="161"/>
      <c r="AQ141" s="161"/>
      <c r="AR141" s="161"/>
      <c r="AS141" s="161"/>
      <c r="AT141" s="161"/>
      <c r="AU141" s="161"/>
      <c r="AV141" s="161"/>
      <c r="AW141" s="160"/>
      <c r="AX141" s="161"/>
      <c r="AY141" s="161"/>
      <c r="AZ141" s="161"/>
      <c r="BA141" s="161"/>
      <c r="BB141" s="161"/>
      <c r="BC141" s="161"/>
      <c r="BD141" s="161"/>
      <c r="BE141" s="161"/>
      <c r="BF141" s="160" t="str">
        <f t="shared" si="180"/>
        <v/>
      </c>
      <c r="BG141" s="160"/>
      <c r="BH141" s="160"/>
      <c r="BI141" s="160"/>
      <c r="BJ141" s="160"/>
      <c r="BK141" s="160"/>
      <c r="BL141" s="162">
        <f t="shared" si="131"/>
        <v>1</v>
      </c>
      <c r="BM141" s="257"/>
      <c r="BN141" s="163"/>
      <c r="BO141" s="211" t="str">
        <f t="shared" si="132"/>
        <v>המזגגהמוזיאונים</v>
      </c>
      <c r="BP141" s="125">
        <f t="shared" si="133"/>
        <v>1</v>
      </c>
      <c r="BQ141" s="164">
        <v>0</v>
      </c>
      <c r="BR141" s="164">
        <v>1</v>
      </c>
      <c r="BS141" s="149">
        <f t="shared" si="134"/>
        <v>1</v>
      </c>
      <c r="BT141" s="149">
        <f t="shared" si="135"/>
        <v>1</v>
      </c>
      <c r="BU141" s="149">
        <f t="shared" si="136"/>
        <v>1</v>
      </c>
      <c r="BV141" s="149">
        <f t="shared" si="137"/>
        <v>1</v>
      </c>
      <c r="BW141" s="149">
        <f t="shared" si="138"/>
        <v>1</v>
      </c>
      <c r="BX141" s="149">
        <f t="shared" si="139"/>
        <v>1</v>
      </c>
      <c r="BY141" s="149">
        <f t="shared" si="140"/>
        <v>1</v>
      </c>
      <c r="BZ141" s="149">
        <f t="shared" si="141"/>
        <v>1</v>
      </c>
      <c r="CA141" s="149">
        <f t="shared" si="142"/>
        <v>1</v>
      </c>
      <c r="CB141" s="149">
        <f t="shared" si="143"/>
        <v>1</v>
      </c>
      <c r="CC141" s="149">
        <f t="shared" si="144"/>
        <v>1</v>
      </c>
      <c r="CD141" s="149">
        <f t="shared" si="145"/>
        <v>1</v>
      </c>
      <c r="CE141" s="149">
        <f t="shared" si="146"/>
        <v>1</v>
      </c>
      <c r="CF141" s="149">
        <f t="shared" si="147"/>
        <v>1</v>
      </c>
      <c r="CG141" s="149">
        <f t="shared" si="148"/>
        <v>1</v>
      </c>
      <c r="CH141" s="149">
        <f t="shared" si="149"/>
        <v>1</v>
      </c>
      <c r="CI141" s="149">
        <f t="shared" si="150"/>
        <v>1</v>
      </c>
      <c r="CJ141" s="149">
        <f t="shared" si="151"/>
        <v>1</v>
      </c>
      <c r="CK141" s="149">
        <f t="shared" si="152"/>
        <v>1</v>
      </c>
      <c r="CL141" s="149">
        <f t="shared" si="153"/>
        <v>1</v>
      </c>
      <c r="CM141" s="149">
        <f t="shared" si="154"/>
        <v>1</v>
      </c>
      <c r="CN141" s="149">
        <f t="shared" si="155"/>
        <v>1</v>
      </c>
      <c r="CO141" s="149">
        <f t="shared" si="156"/>
        <v>1</v>
      </c>
      <c r="CP141" s="149">
        <f t="shared" si="157"/>
        <v>1</v>
      </c>
      <c r="CQ141" s="149">
        <f t="shared" si="158"/>
        <v>1</v>
      </c>
      <c r="CR141" s="149">
        <f t="shared" si="159"/>
        <v>1</v>
      </c>
      <c r="CS141" s="149">
        <f t="shared" si="160"/>
        <v>1</v>
      </c>
      <c r="CT141" s="149">
        <f t="shared" si="161"/>
        <v>1</v>
      </c>
      <c r="CU141" s="149">
        <f t="shared" si="162"/>
        <v>1</v>
      </c>
      <c r="CV141" s="149">
        <f t="shared" si="163"/>
        <v>1</v>
      </c>
      <c r="CW141" s="149">
        <f t="shared" si="164"/>
        <v>1</v>
      </c>
      <c r="CX141" s="149">
        <f t="shared" si="165"/>
        <v>1</v>
      </c>
      <c r="CY141" s="149">
        <f t="shared" si="166"/>
        <v>1</v>
      </c>
      <c r="CZ141" s="149">
        <f t="shared" si="167"/>
        <v>1</v>
      </c>
      <c r="DA141" s="149">
        <f t="shared" si="168"/>
        <v>1</v>
      </c>
      <c r="DB141" s="149">
        <f t="shared" si="169"/>
        <v>1</v>
      </c>
      <c r="DG141" s="125">
        <f t="shared" si="184"/>
        <v>1</v>
      </c>
      <c r="DH141" s="125">
        <f t="shared" si="184"/>
        <v>2</v>
      </c>
      <c r="DI141" s="125">
        <f t="shared" si="184"/>
        <v>3</v>
      </c>
      <c r="DJ141" s="125">
        <f t="shared" si="184"/>
        <v>4</v>
      </c>
      <c r="DK141" s="125">
        <f t="shared" si="184"/>
        <v>5</v>
      </c>
      <c r="DL141" s="125">
        <f t="shared" si="184"/>
        <v>6</v>
      </c>
      <c r="DM141" s="125">
        <f t="shared" si="184"/>
        <v>7</v>
      </c>
      <c r="DN141" s="125">
        <f t="shared" si="184"/>
        <v>8</v>
      </c>
      <c r="DO141" s="125">
        <f t="shared" si="184"/>
        <v>9</v>
      </c>
      <c r="DP141" s="125">
        <f t="shared" si="184"/>
        <v>10</v>
      </c>
      <c r="DS141" s="137"/>
      <c r="DT141" s="137"/>
      <c r="DU141" s="137"/>
      <c r="DV141" s="137" t="b">
        <f t="shared" si="170"/>
        <v>0</v>
      </c>
      <c r="DW141" s="137" t="b">
        <f t="shared" si="171"/>
        <v>0</v>
      </c>
      <c r="DX141" s="137" t="b">
        <f t="shared" si="172"/>
        <v>1</v>
      </c>
      <c r="EB141" s="131">
        <f t="shared" si="182"/>
        <v>1</v>
      </c>
      <c r="EC141" s="137" t="b">
        <f t="shared" si="173"/>
        <v>0</v>
      </c>
      <c r="ED141" s="137" t="b">
        <f t="shared" si="174"/>
        <v>0</v>
      </c>
      <c r="EE141" s="137" t="b">
        <f t="shared" si="175"/>
        <v>1</v>
      </c>
      <c r="EF141" s="137"/>
      <c r="EG141" s="137"/>
      <c r="EH141" s="137"/>
      <c r="EI141" s="137"/>
      <c r="EJ141" s="137">
        <f t="shared" si="183"/>
        <v>1</v>
      </c>
      <c r="EK141" s="125">
        <f t="shared" si="176"/>
        <v>0</v>
      </c>
      <c r="EL141" s="125">
        <f t="shared" si="177"/>
        <v>0</v>
      </c>
    </row>
    <row r="142" spans="2:142" ht="15.75" x14ac:dyDescent="0.25">
      <c r="B142" s="160">
        <f t="shared" si="178"/>
        <v>112</v>
      </c>
      <c r="C142" s="205">
        <v>1001346660</v>
      </c>
      <c r="D142" s="205">
        <v>1001262391</v>
      </c>
      <c r="E142" s="205">
        <v>40000448</v>
      </c>
      <c r="F142" s="118">
        <f>IF(OR(J142="",H142=""),"",VLOOKUP(J142,'הזנה לסיווג רשויות'!$B$2:$D$301,2,0))</f>
        <v>20000238</v>
      </c>
      <c r="G142" s="118" t="str">
        <f>IF(OR(J142="",H142=""),"",VLOOKUP(J142,'הזנה לסיווג רשויות'!$B$2:$D$301,3,0))</f>
        <v>עכו</v>
      </c>
      <c r="H142" s="281" t="s">
        <v>612</v>
      </c>
      <c r="I142" s="201" t="s">
        <v>373</v>
      </c>
      <c r="J142" s="205">
        <v>7600</v>
      </c>
      <c r="K142" s="161">
        <v>0</v>
      </c>
      <c r="L142" s="161">
        <v>1</v>
      </c>
      <c r="M142" s="161">
        <v>0</v>
      </c>
      <c r="N142" s="161">
        <v>0</v>
      </c>
      <c r="O142" s="161">
        <v>1</v>
      </c>
      <c r="P142" s="161">
        <v>1</v>
      </c>
      <c r="Q142" s="161">
        <v>1</v>
      </c>
      <c r="R142" s="201">
        <v>2122449</v>
      </c>
      <c r="S142" s="201">
        <v>627462</v>
      </c>
      <c r="T142" s="160">
        <f>IF(G142="","",IFERROR(IF(S142/R142&gt;'פרמטרים לקריטריונים'!$C$20,1,0),0))</f>
        <v>1</v>
      </c>
      <c r="U142" s="201">
        <v>585762</v>
      </c>
      <c r="V142" s="160">
        <f>IF(G142="","",IFERROR(IF(U142/R142&gt;'פרמטרים לקריטריונים'!$C$21,1,IF(AND(I142=$BW$5,U142/R142&gt;'פרמטרים לקריטריונים'!$C$22),1,0)),0))</f>
        <v>1</v>
      </c>
      <c r="W142" s="161">
        <v>1</v>
      </c>
      <c r="X142" s="161">
        <v>1</v>
      </c>
      <c r="Y142" s="201">
        <v>3000000</v>
      </c>
      <c r="Z142" s="201">
        <v>3000000</v>
      </c>
      <c r="AA142" s="161">
        <f t="shared" si="179"/>
        <v>1</v>
      </c>
      <c r="AB142" s="161"/>
      <c r="AC142" s="161"/>
      <c r="AD142" s="161"/>
      <c r="AE142" s="161"/>
      <c r="AF142" s="161"/>
      <c r="AG142" s="161"/>
      <c r="AH142" s="161"/>
      <c r="AI142" s="161"/>
      <c r="AJ142" s="161"/>
      <c r="AK142" s="161"/>
      <c r="AL142" s="161"/>
      <c r="AM142" s="161"/>
      <c r="AN142" s="161"/>
      <c r="AO142" s="161"/>
      <c r="AP142" s="161"/>
      <c r="AQ142" s="161"/>
      <c r="AR142" s="161"/>
      <c r="AS142" s="161"/>
      <c r="AT142" s="161"/>
      <c r="AU142" s="161"/>
      <c r="AV142" s="161"/>
      <c r="AW142" s="160"/>
      <c r="AX142" s="161"/>
      <c r="AY142" s="161"/>
      <c r="AZ142" s="161"/>
      <c r="BA142" s="161"/>
      <c r="BB142" s="161"/>
      <c r="BC142" s="161"/>
      <c r="BD142" s="161"/>
      <c r="BE142" s="161"/>
      <c r="BF142" s="160" t="str">
        <f t="shared" si="180"/>
        <v/>
      </c>
      <c r="BG142" s="160"/>
      <c r="BH142" s="160"/>
      <c r="BI142" s="160"/>
      <c r="BJ142" s="160"/>
      <c r="BK142" s="160"/>
      <c r="BL142" s="162">
        <f t="shared" si="131"/>
        <v>1</v>
      </c>
      <c r="BM142" s="257"/>
      <c r="BN142" s="163"/>
      <c r="BO142" s="211" t="str">
        <f t="shared" si="132"/>
        <v>המרכז לתיאטרון של עכותיאטרון</v>
      </c>
      <c r="BP142" s="125">
        <f t="shared" si="133"/>
        <v>1</v>
      </c>
      <c r="BQ142" s="164">
        <v>0</v>
      </c>
      <c r="BR142" s="164">
        <v>1</v>
      </c>
      <c r="BS142" s="149">
        <f t="shared" si="134"/>
        <v>1</v>
      </c>
      <c r="BT142" s="149">
        <f t="shared" si="135"/>
        <v>1</v>
      </c>
      <c r="BU142" s="149">
        <f t="shared" si="136"/>
        <v>1</v>
      </c>
      <c r="BV142" s="149">
        <f t="shared" si="137"/>
        <v>1</v>
      </c>
      <c r="BW142" s="149">
        <f t="shared" si="138"/>
        <v>1</v>
      </c>
      <c r="BX142" s="149">
        <f t="shared" si="139"/>
        <v>1</v>
      </c>
      <c r="BY142" s="149">
        <f t="shared" si="140"/>
        <v>1</v>
      </c>
      <c r="BZ142" s="149">
        <f t="shared" si="141"/>
        <v>1</v>
      </c>
      <c r="CA142" s="149">
        <f t="shared" si="142"/>
        <v>1</v>
      </c>
      <c r="CB142" s="149">
        <f t="shared" si="143"/>
        <v>1</v>
      </c>
      <c r="CC142" s="149">
        <f t="shared" si="144"/>
        <v>1</v>
      </c>
      <c r="CD142" s="149">
        <f t="shared" si="145"/>
        <v>1</v>
      </c>
      <c r="CE142" s="149">
        <f t="shared" si="146"/>
        <v>1</v>
      </c>
      <c r="CF142" s="149">
        <f t="shared" si="147"/>
        <v>1</v>
      </c>
      <c r="CG142" s="149">
        <f t="shared" si="148"/>
        <v>1</v>
      </c>
      <c r="CH142" s="149">
        <f t="shared" si="149"/>
        <v>1</v>
      </c>
      <c r="CI142" s="149">
        <f t="shared" si="150"/>
        <v>1</v>
      </c>
      <c r="CJ142" s="149">
        <f t="shared" si="151"/>
        <v>1</v>
      </c>
      <c r="CK142" s="149">
        <f t="shared" si="152"/>
        <v>1</v>
      </c>
      <c r="CL142" s="149">
        <f t="shared" si="153"/>
        <v>1</v>
      </c>
      <c r="CM142" s="149">
        <f t="shared" si="154"/>
        <v>1</v>
      </c>
      <c r="CN142" s="149">
        <f t="shared" si="155"/>
        <v>1</v>
      </c>
      <c r="CO142" s="149">
        <f t="shared" si="156"/>
        <v>1</v>
      </c>
      <c r="CP142" s="149">
        <f t="shared" si="157"/>
        <v>1</v>
      </c>
      <c r="CQ142" s="149">
        <f t="shared" si="158"/>
        <v>1</v>
      </c>
      <c r="CR142" s="149">
        <f t="shared" si="159"/>
        <v>1</v>
      </c>
      <c r="CS142" s="149">
        <f t="shared" si="160"/>
        <v>1</v>
      </c>
      <c r="CT142" s="149">
        <f t="shared" si="161"/>
        <v>1</v>
      </c>
      <c r="CU142" s="149">
        <f t="shared" si="162"/>
        <v>1</v>
      </c>
      <c r="CV142" s="149">
        <f t="shared" si="163"/>
        <v>1</v>
      </c>
      <c r="CW142" s="149">
        <f t="shared" si="164"/>
        <v>1</v>
      </c>
      <c r="CX142" s="149">
        <f t="shared" si="165"/>
        <v>1</v>
      </c>
      <c r="CY142" s="149">
        <f t="shared" si="166"/>
        <v>1</v>
      </c>
      <c r="CZ142" s="149">
        <f t="shared" si="167"/>
        <v>1</v>
      </c>
      <c r="DA142" s="149">
        <f t="shared" si="168"/>
        <v>1</v>
      </c>
      <c r="DB142" s="149">
        <f t="shared" si="169"/>
        <v>1</v>
      </c>
      <c r="DG142" s="125">
        <f t="shared" si="184"/>
        <v>1</v>
      </c>
      <c r="DH142" s="125">
        <f t="shared" si="184"/>
        <v>2</v>
      </c>
      <c r="DI142" s="125">
        <f t="shared" si="184"/>
        <v>3</v>
      </c>
      <c r="DJ142" s="125">
        <f t="shared" si="184"/>
        <v>4</v>
      </c>
      <c r="DK142" s="125">
        <f t="shared" si="184"/>
        <v>5</v>
      </c>
      <c r="DL142" s="125">
        <f t="shared" si="184"/>
        <v>6</v>
      </c>
      <c r="DM142" s="125">
        <f t="shared" si="184"/>
        <v>7</v>
      </c>
      <c r="DN142" s="125">
        <f t="shared" si="184"/>
        <v>8</v>
      </c>
      <c r="DO142" s="125">
        <f t="shared" si="184"/>
        <v>9</v>
      </c>
      <c r="DP142" s="125">
        <f t="shared" si="184"/>
        <v>10</v>
      </c>
      <c r="DS142" s="137"/>
      <c r="DT142" s="137"/>
      <c r="DU142" s="137"/>
      <c r="DV142" s="137" t="b">
        <f t="shared" si="170"/>
        <v>0</v>
      </c>
      <c r="DW142" s="137" t="b">
        <f t="shared" si="171"/>
        <v>0</v>
      </c>
      <c r="DX142" s="137" t="b">
        <f t="shared" si="172"/>
        <v>1</v>
      </c>
      <c r="EB142" s="131">
        <f t="shared" si="182"/>
        <v>1</v>
      </c>
      <c r="EC142" s="137" t="b">
        <f t="shared" si="173"/>
        <v>0</v>
      </c>
      <c r="ED142" s="137" t="b">
        <f t="shared" si="174"/>
        <v>0</v>
      </c>
      <c r="EE142" s="137" t="b">
        <f t="shared" si="175"/>
        <v>1</v>
      </c>
      <c r="EF142" s="137"/>
      <c r="EG142" s="137"/>
      <c r="EH142" s="137"/>
      <c r="EI142" s="137"/>
      <c r="EJ142" s="137">
        <f t="shared" si="183"/>
        <v>1</v>
      </c>
      <c r="EK142" s="125">
        <f t="shared" si="176"/>
        <v>0</v>
      </c>
      <c r="EL142" s="125">
        <f t="shared" si="177"/>
        <v>0</v>
      </c>
    </row>
    <row r="143" spans="2:142" ht="15.75" x14ac:dyDescent="0.25">
      <c r="B143" s="160">
        <f t="shared" si="178"/>
        <v>113</v>
      </c>
      <c r="C143" s="205">
        <v>1001347313</v>
      </c>
      <c r="D143" s="205">
        <v>1001270594</v>
      </c>
      <c r="E143" s="205">
        <v>40002883</v>
      </c>
      <c r="F143" s="118">
        <f>IF(OR(J143="",H143=""),"",VLOOKUP(J143,'הזנה לסיווג רשויות'!$B$2:$D$301,2,0))</f>
        <v>20000254</v>
      </c>
      <c r="G143" s="118" t="str">
        <f>IF(OR(J143="",H143=""),"",VLOOKUP(J143,'הזנה לסיווג רשויות'!$B$2:$D$301,3,0))</f>
        <v>באר שבע</v>
      </c>
      <c r="H143" s="281" t="s">
        <v>613</v>
      </c>
      <c r="I143" s="201" t="s">
        <v>374</v>
      </c>
      <c r="J143" s="205">
        <v>9000</v>
      </c>
      <c r="K143" s="161">
        <v>0</v>
      </c>
      <c r="L143" s="161">
        <v>1</v>
      </c>
      <c r="M143" s="161">
        <v>0</v>
      </c>
      <c r="N143" s="161">
        <v>1</v>
      </c>
      <c r="O143" s="161">
        <v>1</v>
      </c>
      <c r="P143" s="161">
        <v>1</v>
      </c>
      <c r="Q143" s="161">
        <v>1</v>
      </c>
      <c r="R143" s="201">
        <v>5150333</v>
      </c>
      <c r="S143" s="201">
        <v>1560393</v>
      </c>
      <c r="T143" s="160">
        <f>IF(G143="","",IFERROR(IF(S143/R143&gt;'פרמטרים לקריטריונים'!$C$20,1,0),0))</f>
        <v>1</v>
      </c>
      <c r="U143" s="201">
        <v>1530143</v>
      </c>
      <c r="V143" s="160">
        <f>IF(G143="","",IFERROR(IF(U143/R143&gt;'פרמטרים לקריטריונים'!$C$21,1,IF(AND(I143=$BW$5,U143/R143&gt;'פרמטרים לקריטריונים'!$C$22),1,0)),0))</f>
        <v>1</v>
      </c>
      <c r="W143" s="161">
        <v>1</v>
      </c>
      <c r="X143" s="161">
        <v>1</v>
      </c>
      <c r="Y143" s="201">
        <v>1300000</v>
      </c>
      <c r="Z143" s="201">
        <v>50000</v>
      </c>
      <c r="AA143" s="161">
        <f t="shared" si="179"/>
        <v>1</v>
      </c>
      <c r="AB143" s="161"/>
      <c r="AC143" s="161"/>
      <c r="AD143" s="161"/>
      <c r="AE143" s="161"/>
      <c r="AF143" s="161"/>
      <c r="AG143" s="161"/>
      <c r="AH143" s="161"/>
      <c r="AI143" s="161"/>
      <c r="AJ143" s="161"/>
      <c r="AK143" s="161"/>
      <c r="AL143" s="161"/>
      <c r="AM143" s="161"/>
      <c r="AN143" s="161"/>
      <c r="AO143" s="161"/>
      <c r="AP143" s="161"/>
      <c r="AQ143" s="161"/>
      <c r="AR143" s="161"/>
      <c r="AS143" s="161"/>
      <c r="AT143" s="161"/>
      <c r="AU143" s="161"/>
      <c r="AV143" s="161"/>
      <c r="AW143" s="160"/>
      <c r="AX143" s="161"/>
      <c r="AY143" s="161"/>
      <c r="AZ143" s="161"/>
      <c r="BA143" s="161"/>
      <c r="BB143" s="161"/>
      <c r="BC143" s="161"/>
      <c r="BD143" s="161"/>
      <c r="BE143" s="161"/>
      <c r="BF143" s="160" t="str">
        <f t="shared" si="180"/>
        <v/>
      </c>
      <c r="BG143" s="160"/>
      <c r="BH143" s="160"/>
      <c r="BI143" s="160"/>
      <c r="BJ143" s="160"/>
      <c r="BK143" s="160"/>
      <c r="BL143" s="162">
        <f t="shared" si="131"/>
        <v>1</v>
      </c>
      <c r="BM143" s="257"/>
      <c r="BN143" s="163"/>
      <c r="BO143" s="211" t="str">
        <f t="shared" si="132"/>
        <v>בת-דור באר-שבע - מרכז עירוני לאמנותמחול</v>
      </c>
      <c r="BP143" s="125">
        <f t="shared" si="133"/>
        <v>1</v>
      </c>
      <c r="BQ143" s="164">
        <v>0</v>
      </c>
      <c r="BR143" s="164">
        <v>1</v>
      </c>
      <c r="BS143" s="149">
        <f t="shared" si="134"/>
        <v>1</v>
      </c>
      <c r="BT143" s="149">
        <f t="shared" si="135"/>
        <v>1</v>
      </c>
      <c r="BU143" s="149">
        <f t="shared" si="136"/>
        <v>1</v>
      </c>
      <c r="BV143" s="149">
        <f t="shared" si="137"/>
        <v>1</v>
      </c>
      <c r="BW143" s="149">
        <f t="shared" si="138"/>
        <v>1</v>
      </c>
      <c r="BX143" s="149">
        <f t="shared" si="139"/>
        <v>1</v>
      </c>
      <c r="BY143" s="149">
        <f t="shared" si="140"/>
        <v>1</v>
      </c>
      <c r="BZ143" s="149">
        <f t="shared" si="141"/>
        <v>1</v>
      </c>
      <c r="CA143" s="149">
        <f t="shared" si="142"/>
        <v>1</v>
      </c>
      <c r="CB143" s="149">
        <f t="shared" si="143"/>
        <v>1</v>
      </c>
      <c r="CC143" s="149">
        <f t="shared" si="144"/>
        <v>1</v>
      </c>
      <c r="CD143" s="149">
        <f t="shared" si="145"/>
        <v>1</v>
      </c>
      <c r="CE143" s="149">
        <f t="shared" si="146"/>
        <v>1</v>
      </c>
      <c r="CF143" s="149">
        <f t="shared" si="147"/>
        <v>1</v>
      </c>
      <c r="CG143" s="149">
        <f t="shared" si="148"/>
        <v>1</v>
      </c>
      <c r="CH143" s="149">
        <f t="shared" si="149"/>
        <v>1</v>
      </c>
      <c r="CI143" s="149">
        <f t="shared" si="150"/>
        <v>1</v>
      </c>
      <c r="CJ143" s="149">
        <f t="shared" si="151"/>
        <v>1</v>
      </c>
      <c r="CK143" s="149">
        <f t="shared" si="152"/>
        <v>1</v>
      </c>
      <c r="CL143" s="149">
        <f t="shared" si="153"/>
        <v>1</v>
      </c>
      <c r="CM143" s="149">
        <f t="shared" si="154"/>
        <v>1</v>
      </c>
      <c r="CN143" s="149">
        <f t="shared" si="155"/>
        <v>1</v>
      </c>
      <c r="CO143" s="149">
        <f t="shared" si="156"/>
        <v>1</v>
      </c>
      <c r="CP143" s="149">
        <f t="shared" si="157"/>
        <v>1</v>
      </c>
      <c r="CQ143" s="149">
        <f t="shared" si="158"/>
        <v>1</v>
      </c>
      <c r="CR143" s="149">
        <f t="shared" si="159"/>
        <v>1</v>
      </c>
      <c r="CS143" s="149">
        <f t="shared" si="160"/>
        <v>1</v>
      </c>
      <c r="CT143" s="149">
        <f t="shared" si="161"/>
        <v>1</v>
      </c>
      <c r="CU143" s="149">
        <f t="shared" si="162"/>
        <v>1</v>
      </c>
      <c r="CV143" s="149">
        <f t="shared" si="163"/>
        <v>1</v>
      </c>
      <c r="CW143" s="149">
        <f t="shared" si="164"/>
        <v>1</v>
      </c>
      <c r="CX143" s="149">
        <f t="shared" si="165"/>
        <v>1</v>
      </c>
      <c r="CY143" s="149">
        <f t="shared" si="166"/>
        <v>1</v>
      </c>
      <c r="CZ143" s="149">
        <f t="shared" si="167"/>
        <v>1</v>
      </c>
      <c r="DA143" s="149">
        <f t="shared" si="168"/>
        <v>1</v>
      </c>
      <c r="DB143" s="149">
        <f t="shared" si="169"/>
        <v>1</v>
      </c>
      <c r="DG143" s="125">
        <f t="shared" si="184"/>
        <v>1</v>
      </c>
      <c r="DH143" s="125">
        <f t="shared" si="184"/>
        <v>2</v>
      </c>
      <c r="DI143" s="125">
        <f t="shared" si="184"/>
        <v>3</v>
      </c>
      <c r="DJ143" s="125">
        <f t="shared" si="184"/>
        <v>4</v>
      </c>
      <c r="DK143" s="125">
        <f t="shared" si="184"/>
        <v>5</v>
      </c>
      <c r="DL143" s="125">
        <f t="shared" si="184"/>
        <v>6</v>
      </c>
      <c r="DM143" s="125">
        <f t="shared" si="184"/>
        <v>7</v>
      </c>
      <c r="DN143" s="125">
        <f t="shared" si="184"/>
        <v>8</v>
      </c>
      <c r="DO143" s="125">
        <f t="shared" si="184"/>
        <v>9</v>
      </c>
      <c r="DP143" s="125">
        <f t="shared" si="184"/>
        <v>10</v>
      </c>
      <c r="DS143" s="137"/>
      <c r="DT143" s="137"/>
      <c r="DU143" s="137"/>
      <c r="DV143" s="137" t="b">
        <f t="shared" si="170"/>
        <v>0</v>
      </c>
      <c r="DW143" s="137" t="b">
        <f t="shared" si="171"/>
        <v>0</v>
      </c>
      <c r="DX143" s="137" t="b">
        <f t="shared" si="172"/>
        <v>1</v>
      </c>
      <c r="EB143" s="131">
        <f t="shared" si="182"/>
        <v>1</v>
      </c>
      <c r="EC143" s="137" t="b">
        <f t="shared" si="173"/>
        <v>0</v>
      </c>
      <c r="ED143" s="137" t="b">
        <f t="shared" si="174"/>
        <v>0</v>
      </c>
      <c r="EE143" s="137" t="b">
        <f t="shared" si="175"/>
        <v>1</v>
      </c>
      <c r="EF143" s="137"/>
      <c r="EG143" s="137"/>
      <c r="EH143" s="137"/>
      <c r="EI143" s="137"/>
      <c r="EJ143" s="137">
        <f t="shared" si="183"/>
        <v>1</v>
      </c>
      <c r="EK143" s="125">
        <f t="shared" si="176"/>
        <v>0</v>
      </c>
      <c r="EL143" s="125">
        <f t="shared" si="177"/>
        <v>0</v>
      </c>
    </row>
    <row r="144" spans="2:142" ht="15.75" x14ac:dyDescent="0.25">
      <c r="B144" s="160">
        <f t="shared" si="178"/>
        <v>114</v>
      </c>
      <c r="C144" s="205">
        <v>1001346798</v>
      </c>
      <c r="D144" s="205">
        <v>1001266509</v>
      </c>
      <c r="E144" s="205">
        <v>40000709</v>
      </c>
      <c r="F144" s="118">
        <f>IF(OR(J144="",H144=""),"",VLOOKUP(J144,'הזנה לסיווג רשויות'!$B$2:$D$301,2,0))</f>
        <v>20000159</v>
      </c>
      <c r="G144" s="118" t="str">
        <f>IF(OR(J144="",H144=""),"",VLOOKUP(J144,'הזנה לסיווג רשויות'!$B$2:$D$301,3,0))</f>
        <v>ירושלים</v>
      </c>
      <c r="H144" s="281" t="s">
        <v>614</v>
      </c>
      <c r="I144" s="201" t="s">
        <v>385</v>
      </c>
      <c r="J144" s="205">
        <v>3000</v>
      </c>
      <c r="K144" s="161">
        <v>0</v>
      </c>
      <c r="L144" s="161">
        <v>1</v>
      </c>
      <c r="M144" s="161">
        <v>0</v>
      </c>
      <c r="N144" s="161">
        <v>1</v>
      </c>
      <c r="O144" s="161">
        <v>1</v>
      </c>
      <c r="P144" s="161">
        <v>1</v>
      </c>
      <c r="Q144" s="161">
        <v>1</v>
      </c>
      <c r="R144" s="201">
        <v>4976356</v>
      </c>
      <c r="S144" s="201">
        <v>2941299</v>
      </c>
      <c r="T144" s="160">
        <f>IF(G144="","",IFERROR(IF(S144/R144&gt;'פרמטרים לקריטריונים'!$C$20,1,0),0))</f>
        <v>1</v>
      </c>
      <c r="U144" s="201">
        <v>1471770</v>
      </c>
      <c r="V144" s="160">
        <f>IF(G144="","",IFERROR(IF(U144/R144&gt;'פרמטרים לקריטריונים'!$C$21,1,IF(AND(I144=$BW$5,U144/R144&gt;'פרמטרים לקריטריונים'!$C$22),1,0)),0))</f>
        <v>1</v>
      </c>
      <c r="W144" s="161">
        <v>1</v>
      </c>
      <c r="X144" s="161">
        <v>1</v>
      </c>
      <c r="Y144" s="201">
        <v>500000</v>
      </c>
      <c r="Z144" s="201">
        <v>500000</v>
      </c>
      <c r="AA144" s="161">
        <f t="shared" si="179"/>
        <v>1</v>
      </c>
      <c r="AB144" s="161"/>
      <c r="AC144" s="161"/>
      <c r="AD144" s="161"/>
      <c r="AE144" s="161"/>
      <c r="AF144" s="161"/>
      <c r="AG144" s="161"/>
      <c r="AH144" s="161"/>
      <c r="AI144" s="161"/>
      <c r="AJ144" s="161"/>
      <c r="AK144" s="161"/>
      <c r="AL144" s="161"/>
      <c r="AM144" s="161"/>
      <c r="AN144" s="161"/>
      <c r="AO144" s="161"/>
      <c r="AP144" s="161"/>
      <c r="AQ144" s="161"/>
      <c r="AR144" s="161"/>
      <c r="AS144" s="161"/>
      <c r="AT144" s="161"/>
      <c r="AU144" s="161"/>
      <c r="AV144" s="161"/>
      <c r="AW144" s="160"/>
      <c r="AX144" s="161"/>
      <c r="AY144" s="161"/>
      <c r="AZ144" s="161"/>
      <c r="BA144" s="161"/>
      <c r="BB144" s="161"/>
      <c r="BC144" s="161"/>
      <c r="BD144" s="161"/>
      <c r="BE144" s="161"/>
      <c r="BF144" s="160" t="str">
        <f t="shared" si="180"/>
        <v/>
      </c>
      <c r="BG144" s="160"/>
      <c r="BH144" s="160"/>
      <c r="BI144" s="160"/>
      <c r="BJ144" s="160"/>
      <c r="BK144" s="160"/>
      <c r="BL144" s="162">
        <f t="shared" si="131"/>
        <v>1</v>
      </c>
      <c r="BM144" s="257"/>
      <c r="BN144" s="163"/>
      <c r="BO144" s="211" t="str">
        <f t="shared" si="132"/>
        <v>צוללת צהובה - המקום למוסיקה בירושליםמרכזי מוסיקה</v>
      </c>
      <c r="BP144" s="125">
        <f t="shared" si="133"/>
        <v>1</v>
      </c>
      <c r="BQ144" s="164">
        <v>0</v>
      </c>
      <c r="BR144" s="164">
        <v>1</v>
      </c>
      <c r="BS144" s="149">
        <f t="shared" si="134"/>
        <v>1</v>
      </c>
      <c r="BT144" s="149">
        <f t="shared" si="135"/>
        <v>1</v>
      </c>
      <c r="BU144" s="149">
        <f t="shared" si="136"/>
        <v>1</v>
      </c>
      <c r="BV144" s="149">
        <f t="shared" si="137"/>
        <v>1</v>
      </c>
      <c r="BW144" s="149">
        <f t="shared" si="138"/>
        <v>1</v>
      </c>
      <c r="BX144" s="149">
        <f t="shared" si="139"/>
        <v>1</v>
      </c>
      <c r="BY144" s="149">
        <f t="shared" si="140"/>
        <v>1</v>
      </c>
      <c r="BZ144" s="149">
        <f t="shared" si="141"/>
        <v>1</v>
      </c>
      <c r="CA144" s="149">
        <f t="shared" si="142"/>
        <v>1</v>
      </c>
      <c r="CB144" s="149">
        <f t="shared" si="143"/>
        <v>1</v>
      </c>
      <c r="CC144" s="149">
        <f t="shared" si="144"/>
        <v>1</v>
      </c>
      <c r="CD144" s="149">
        <f t="shared" si="145"/>
        <v>1</v>
      </c>
      <c r="CE144" s="149">
        <f t="shared" si="146"/>
        <v>1</v>
      </c>
      <c r="CF144" s="149">
        <f t="shared" si="147"/>
        <v>1</v>
      </c>
      <c r="CG144" s="149">
        <f t="shared" si="148"/>
        <v>1</v>
      </c>
      <c r="CH144" s="149">
        <f t="shared" si="149"/>
        <v>1</v>
      </c>
      <c r="CI144" s="149">
        <f t="shared" si="150"/>
        <v>1</v>
      </c>
      <c r="CJ144" s="149">
        <f t="shared" si="151"/>
        <v>1</v>
      </c>
      <c r="CK144" s="149">
        <f t="shared" si="152"/>
        <v>1</v>
      </c>
      <c r="CL144" s="149">
        <f t="shared" si="153"/>
        <v>1</v>
      </c>
      <c r="CM144" s="149">
        <f t="shared" si="154"/>
        <v>1</v>
      </c>
      <c r="CN144" s="149">
        <f t="shared" si="155"/>
        <v>1</v>
      </c>
      <c r="CO144" s="149">
        <f t="shared" si="156"/>
        <v>1</v>
      </c>
      <c r="CP144" s="149">
        <f t="shared" si="157"/>
        <v>1</v>
      </c>
      <c r="CQ144" s="149">
        <f t="shared" si="158"/>
        <v>1</v>
      </c>
      <c r="CR144" s="149">
        <f t="shared" si="159"/>
        <v>1</v>
      </c>
      <c r="CS144" s="149">
        <f t="shared" si="160"/>
        <v>1</v>
      </c>
      <c r="CT144" s="149">
        <f t="shared" si="161"/>
        <v>1</v>
      </c>
      <c r="CU144" s="149">
        <f t="shared" si="162"/>
        <v>1</v>
      </c>
      <c r="CV144" s="149">
        <f t="shared" si="163"/>
        <v>1</v>
      </c>
      <c r="CW144" s="149">
        <f t="shared" si="164"/>
        <v>1</v>
      </c>
      <c r="CX144" s="149">
        <f t="shared" si="165"/>
        <v>1</v>
      </c>
      <c r="CY144" s="149">
        <f t="shared" si="166"/>
        <v>1</v>
      </c>
      <c r="CZ144" s="149">
        <f t="shared" si="167"/>
        <v>1</v>
      </c>
      <c r="DA144" s="149">
        <f t="shared" si="168"/>
        <v>1</v>
      </c>
      <c r="DB144" s="149">
        <f t="shared" si="169"/>
        <v>1</v>
      </c>
      <c r="DG144" s="125">
        <f t="shared" si="184"/>
        <v>1</v>
      </c>
      <c r="DH144" s="125">
        <f t="shared" si="184"/>
        <v>2</v>
      </c>
      <c r="DI144" s="125">
        <f t="shared" si="184"/>
        <v>3</v>
      </c>
      <c r="DJ144" s="125">
        <f t="shared" si="184"/>
        <v>4</v>
      </c>
      <c r="DK144" s="125">
        <f t="shared" si="184"/>
        <v>5</v>
      </c>
      <c r="DL144" s="125">
        <f t="shared" si="184"/>
        <v>6</v>
      </c>
      <c r="DM144" s="125">
        <f t="shared" si="184"/>
        <v>7</v>
      </c>
      <c r="DN144" s="125">
        <f t="shared" si="184"/>
        <v>8</v>
      </c>
      <c r="DO144" s="125">
        <f t="shared" si="184"/>
        <v>9</v>
      </c>
      <c r="DP144" s="125">
        <f t="shared" si="184"/>
        <v>10</v>
      </c>
      <c r="DS144" s="137"/>
      <c r="DT144" s="137"/>
      <c r="DU144" s="137"/>
      <c r="DV144" s="137" t="b">
        <f t="shared" si="170"/>
        <v>0</v>
      </c>
      <c r="DW144" s="137" t="b">
        <f t="shared" si="171"/>
        <v>0</v>
      </c>
      <c r="DX144" s="137" t="b">
        <f t="shared" si="172"/>
        <v>1</v>
      </c>
      <c r="EB144" s="131">
        <f t="shared" si="182"/>
        <v>1</v>
      </c>
      <c r="EC144" s="137" t="b">
        <f t="shared" si="173"/>
        <v>0</v>
      </c>
      <c r="ED144" s="137" t="b">
        <f t="shared" si="174"/>
        <v>0</v>
      </c>
      <c r="EE144" s="137" t="b">
        <f t="shared" si="175"/>
        <v>1</v>
      </c>
      <c r="EF144" s="137"/>
      <c r="EG144" s="137"/>
      <c r="EH144" s="137"/>
      <c r="EI144" s="137"/>
      <c r="EJ144" s="137">
        <f t="shared" si="183"/>
        <v>1</v>
      </c>
      <c r="EK144" s="125">
        <f t="shared" si="176"/>
        <v>0</v>
      </c>
      <c r="EL144" s="125">
        <f t="shared" si="177"/>
        <v>0</v>
      </c>
    </row>
    <row r="145" spans="2:142" ht="15.75" x14ac:dyDescent="0.25">
      <c r="B145" s="160">
        <f t="shared" si="178"/>
        <v>115</v>
      </c>
      <c r="C145" s="205">
        <v>1001346657</v>
      </c>
      <c r="D145" s="205">
        <v>1001288870</v>
      </c>
      <c r="E145" s="205">
        <v>40221446</v>
      </c>
      <c r="F145" s="118">
        <f>IF(OR(J145="",H145=""),"",VLOOKUP(J145,'הזנה לסיווג רשויות'!$B$2:$D$301,2,0))</f>
        <v>20000201</v>
      </c>
      <c r="G145" s="118" t="str">
        <f>IF(OR(J145="",H145=""),"",VLOOKUP(J145,'הזנה לסיווג רשויות'!$B$2:$D$301,3,0))</f>
        <v>תל אביב -יפו</v>
      </c>
      <c r="H145" s="281" t="s">
        <v>615</v>
      </c>
      <c r="I145" s="201" t="s">
        <v>373</v>
      </c>
      <c r="J145" s="205">
        <v>5000</v>
      </c>
      <c r="K145" s="161">
        <v>0</v>
      </c>
      <c r="L145" s="161">
        <v>1</v>
      </c>
      <c r="M145" s="161">
        <v>0</v>
      </c>
      <c r="N145" s="161">
        <v>1</v>
      </c>
      <c r="O145" s="161">
        <v>1</v>
      </c>
      <c r="P145" s="161">
        <v>1</v>
      </c>
      <c r="Q145" s="161">
        <v>1</v>
      </c>
      <c r="R145" s="201">
        <v>4066744</v>
      </c>
      <c r="S145" s="201">
        <v>2321974</v>
      </c>
      <c r="T145" s="160">
        <f>IF(G145="","",IFERROR(IF(S145/R145&gt;'פרמטרים לקריטריונים'!$C$20,1,0),0))</f>
        <v>1</v>
      </c>
      <c r="U145" s="201">
        <v>2291332</v>
      </c>
      <c r="V145" s="160">
        <f>IF(G145="","",IFERROR(IF(U145/R145&gt;'פרמטרים לקריטריונים'!$C$21,1,IF(AND(I145=$BW$5,U145/R145&gt;'פרמטרים לקריטריונים'!$C$22),1,0)),0))</f>
        <v>1</v>
      </c>
      <c r="W145" s="161">
        <v>1</v>
      </c>
      <c r="X145" s="161">
        <v>1</v>
      </c>
      <c r="Y145" s="201">
        <v>2500000</v>
      </c>
      <c r="Z145" s="201">
        <v>150000</v>
      </c>
      <c r="AA145" s="161">
        <f t="shared" si="179"/>
        <v>1</v>
      </c>
      <c r="AB145" s="161"/>
      <c r="AC145" s="161"/>
      <c r="AD145" s="161"/>
      <c r="AE145" s="161"/>
      <c r="AF145" s="161"/>
      <c r="AG145" s="161"/>
      <c r="AH145" s="161"/>
      <c r="AI145" s="161"/>
      <c r="AJ145" s="161"/>
      <c r="AK145" s="161"/>
      <c r="AL145" s="161"/>
      <c r="AM145" s="161"/>
      <c r="AN145" s="161"/>
      <c r="AO145" s="161"/>
      <c r="AP145" s="161"/>
      <c r="AQ145" s="161"/>
      <c r="AR145" s="161"/>
      <c r="AS145" s="161"/>
      <c r="AT145" s="161"/>
      <c r="AU145" s="161"/>
      <c r="AV145" s="161"/>
      <c r="AW145" s="160"/>
      <c r="AX145" s="161"/>
      <c r="AY145" s="161"/>
      <c r="AZ145" s="161"/>
      <c r="BA145" s="161"/>
      <c r="BB145" s="161"/>
      <c r="BC145" s="161"/>
      <c r="BD145" s="161"/>
      <c r="BE145" s="161"/>
      <c r="BF145" s="160" t="str">
        <f t="shared" si="180"/>
        <v/>
      </c>
      <c r="BG145" s="160"/>
      <c r="BH145" s="160"/>
      <c r="BI145" s="160"/>
      <c r="BJ145" s="160"/>
      <c r="BK145" s="160"/>
      <c r="BL145" s="162">
        <f t="shared" si="131"/>
        <v>1</v>
      </c>
      <c r="BM145" s="257"/>
      <c r="BN145" s="163"/>
      <c r="BO145" s="211" t="str">
        <f t="shared" si="132"/>
        <v>תאטרון מחול אבשלום פולקתיאטרון</v>
      </c>
      <c r="BP145" s="125">
        <f t="shared" si="133"/>
        <v>1</v>
      </c>
      <c r="BQ145" s="164">
        <v>0</v>
      </c>
      <c r="BR145" s="164">
        <v>1</v>
      </c>
      <c r="BS145" s="149">
        <f t="shared" si="134"/>
        <v>1</v>
      </c>
      <c r="BT145" s="149">
        <f t="shared" si="135"/>
        <v>1</v>
      </c>
      <c r="BU145" s="149">
        <f t="shared" si="136"/>
        <v>1</v>
      </c>
      <c r="BV145" s="149">
        <f t="shared" si="137"/>
        <v>1</v>
      </c>
      <c r="BW145" s="149">
        <f t="shared" si="138"/>
        <v>1</v>
      </c>
      <c r="BX145" s="149">
        <f t="shared" si="139"/>
        <v>1</v>
      </c>
      <c r="BY145" s="149">
        <f t="shared" si="140"/>
        <v>1</v>
      </c>
      <c r="BZ145" s="149">
        <f t="shared" si="141"/>
        <v>1</v>
      </c>
      <c r="CA145" s="149">
        <f t="shared" si="142"/>
        <v>1</v>
      </c>
      <c r="CB145" s="149">
        <f t="shared" si="143"/>
        <v>1</v>
      </c>
      <c r="CC145" s="149">
        <f t="shared" si="144"/>
        <v>1</v>
      </c>
      <c r="CD145" s="149">
        <f t="shared" si="145"/>
        <v>1</v>
      </c>
      <c r="CE145" s="149">
        <f t="shared" si="146"/>
        <v>1</v>
      </c>
      <c r="CF145" s="149">
        <f t="shared" si="147"/>
        <v>1</v>
      </c>
      <c r="CG145" s="149">
        <f t="shared" si="148"/>
        <v>1</v>
      </c>
      <c r="CH145" s="149">
        <f t="shared" si="149"/>
        <v>1</v>
      </c>
      <c r="CI145" s="149">
        <f t="shared" si="150"/>
        <v>1</v>
      </c>
      <c r="CJ145" s="149">
        <f t="shared" si="151"/>
        <v>1</v>
      </c>
      <c r="CK145" s="149">
        <f t="shared" si="152"/>
        <v>1</v>
      </c>
      <c r="CL145" s="149">
        <f t="shared" si="153"/>
        <v>1</v>
      </c>
      <c r="CM145" s="149">
        <f t="shared" si="154"/>
        <v>1</v>
      </c>
      <c r="CN145" s="149">
        <f t="shared" si="155"/>
        <v>1</v>
      </c>
      <c r="CO145" s="149">
        <f t="shared" si="156"/>
        <v>1</v>
      </c>
      <c r="CP145" s="149">
        <f t="shared" si="157"/>
        <v>1</v>
      </c>
      <c r="CQ145" s="149">
        <f t="shared" si="158"/>
        <v>1</v>
      </c>
      <c r="CR145" s="149">
        <f t="shared" si="159"/>
        <v>1</v>
      </c>
      <c r="CS145" s="149">
        <f t="shared" si="160"/>
        <v>1</v>
      </c>
      <c r="CT145" s="149">
        <f t="shared" si="161"/>
        <v>1</v>
      </c>
      <c r="CU145" s="149">
        <f t="shared" si="162"/>
        <v>1</v>
      </c>
      <c r="CV145" s="149">
        <f t="shared" si="163"/>
        <v>1</v>
      </c>
      <c r="CW145" s="149">
        <f t="shared" si="164"/>
        <v>1</v>
      </c>
      <c r="CX145" s="149">
        <f t="shared" si="165"/>
        <v>1</v>
      </c>
      <c r="CY145" s="149">
        <f t="shared" si="166"/>
        <v>1</v>
      </c>
      <c r="CZ145" s="149">
        <f t="shared" si="167"/>
        <v>1</v>
      </c>
      <c r="DA145" s="149">
        <f t="shared" si="168"/>
        <v>1</v>
      </c>
      <c r="DB145" s="149">
        <f t="shared" si="169"/>
        <v>1</v>
      </c>
      <c r="DG145" s="125">
        <f t="shared" si="184"/>
        <v>1</v>
      </c>
      <c r="DH145" s="125">
        <f t="shared" si="184"/>
        <v>2</v>
      </c>
      <c r="DI145" s="125">
        <f t="shared" si="184"/>
        <v>3</v>
      </c>
      <c r="DJ145" s="125">
        <f t="shared" si="184"/>
        <v>4</v>
      </c>
      <c r="DK145" s="125">
        <f t="shared" si="184"/>
        <v>5</v>
      </c>
      <c r="DL145" s="125">
        <f t="shared" si="184"/>
        <v>6</v>
      </c>
      <c r="DM145" s="125">
        <f t="shared" si="184"/>
        <v>7</v>
      </c>
      <c r="DN145" s="125">
        <f t="shared" si="184"/>
        <v>8</v>
      </c>
      <c r="DO145" s="125">
        <f t="shared" si="184"/>
        <v>9</v>
      </c>
      <c r="DP145" s="125">
        <f t="shared" si="184"/>
        <v>10</v>
      </c>
      <c r="DS145" s="137"/>
      <c r="DT145" s="137"/>
      <c r="DU145" s="137"/>
      <c r="DV145" s="137" t="b">
        <f t="shared" si="170"/>
        <v>0</v>
      </c>
      <c r="DW145" s="137" t="b">
        <f t="shared" si="171"/>
        <v>0</v>
      </c>
      <c r="DX145" s="137" t="b">
        <f t="shared" si="172"/>
        <v>1</v>
      </c>
      <c r="EB145" s="131">
        <f t="shared" si="182"/>
        <v>1</v>
      </c>
      <c r="EC145" s="137" t="b">
        <f t="shared" si="173"/>
        <v>0</v>
      </c>
      <c r="ED145" s="137" t="b">
        <f t="shared" si="174"/>
        <v>0</v>
      </c>
      <c r="EE145" s="137" t="b">
        <f t="shared" si="175"/>
        <v>1</v>
      </c>
      <c r="EF145" s="137"/>
      <c r="EG145" s="137"/>
      <c r="EH145" s="137"/>
      <c r="EI145" s="137"/>
      <c r="EJ145" s="137">
        <f t="shared" si="183"/>
        <v>1</v>
      </c>
      <c r="EK145" s="125">
        <f t="shared" si="176"/>
        <v>0</v>
      </c>
      <c r="EL145" s="125">
        <f t="shared" si="177"/>
        <v>0</v>
      </c>
    </row>
    <row r="146" spans="2:142" ht="15.75" x14ac:dyDescent="0.25">
      <c r="B146" s="160">
        <f t="shared" si="178"/>
        <v>116</v>
      </c>
      <c r="C146" s="205">
        <v>1001350382</v>
      </c>
      <c r="D146" s="205">
        <v>1001266978</v>
      </c>
      <c r="E146" s="205">
        <v>40000422</v>
      </c>
      <c r="F146" s="118">
        <f>IF(OR(J146="",H146=""),"",VLOOKUP(J146,'הזנה לסיווג רשויות'!$B$2:$D$301,2,0))</f>
        <v>20000201</v>
      </c>
      <c r="G146" s="118" t="str">
        <f>IF(OR(J146="",H146=""),"",VLOOKUP(J146,'הזנה לסיווג רשויות'!$B$2:$D$301,3,0))</f>
        <v>תל אביב -יפו</v>
      </c>
      <c r="H146" s="282" t="s">
        <v>616</v>
      </c>
      <c r="I146" s="201" t="s">
        <v>375</v>
      </c>
      <c r="J146" s="205">
        <v>5000</v>
      </c>
      <c r="K146" s="161">
        <v>0</v>
      </c>
      <c r="L146" s="161">
        <v>1</v>
      </c>
      <c r="M146" s="161">
        <v>0</v>
      </c>
      <c r="N146" s="161">
        <v>1</v>
      </c>
      <c r="O146" s="161">
        <v>1</v>
      </c>
      <c r="P146" s="161">
        <v>1</v>
      </c>
      <c r="Q146" s="161">
        <v>1</v>
      </c>
      <c r="R146" s="201">
        <v>2421672</v>
      </c>
      <c r="S146" s="201">
        <v>1139680</v>
      </c>
      <c r="T146" s="160">
        <f>IF(G146="","",IFERROR(IF(S146/R146&gt;'פרמטרים לקריטריונים'!$C$20,1,0),0))</f>
        <v>1</v>
      </c>
      <c r="U146" s="201">
        <v>580971</v>
      </c>
      <c r="V146" s="160">
        <f>IF(G146="","",IFERROR(IF(U146/R146&gt;'פרמטרים לקריטריונים'!$C$21,1,IF(AND(I146=$BW$5,U146/R146&gt;'פרמטרים לקריטריונים'!$C$22),1,0)),0))</f>
        <v>1</v>
      </c>
      <c r="W146" s="161">
        <v>1</v>
      </c>
      <c r="X146" s="161">
        <v>1</v>
      </c>
      <c r="Y146" s="201">
        <v>200000</v>
      </c>
      <c r="Z146" s="201">
        <v>200000</v>
      </c>
      <c r="AA146" s="161">
        <f t="shared" si="179"/>
        <v>1</v>
      </c>
      <c r="AB146" s="161"/>
      <c r="AC146" s="161"/>
      <c r="AD146" s="161"/>
      <c r="AE146" s="161"/>
      <c r="AF146" s="161"/>
      <c r="AG146" s="161"/>
      <c r="AH146" s="161"/>
      <c r="AI146" s="161"/>
      <c r="AJ146" s="161"/>
      <c r="AK146" s="161"/>
      <c r="AL146" s="161"/>
      <c r="AM146" s="161"/>
      <c r="AN146" s="161"/>
      <c r="AO146" s="161"/>
      <c r="AP146" s="161"/>
      <c r="AQ146" s="161"/>
      <c r="AR146" s="161"/>
      <c r="AS146" s="161"/>
      <c r="AT146" s="161"/>
      <c r="AU146" s="161"/>
      <c r="AV146" s="161"/>
      <c r="AW146" s="160"/>
      <c r="AX146" s="161"/>
      <c r="AY146" s="161"/>
      <c r="AZ146" s="161"/>
      <c r="BA146" s="161"/>
      <c r="BB146" s="161"/>
      <c r="BC146" s="161"/>
      <c r="BD146" s="161"/>
      <c r="BE146" s="161"/>
      <c r="BF146" s="160" t="str">
        <f t="shared" si="180"/>
        <v/>
      </c>
      <c r="BG146" s="160"/>
      <c r="BH146" s="160"/>
      <c r="BI146" s="160"/>
      <c r="BJ146" s="160"/>
      <c r="BK146" s="160"/>
      <c r="BL146" s="162">
        <f t="shared" si="131"/>
        <v>1</v>
      </c>
      <c r="BM146" s="257"/>
      <c r="BN146" s="163"/>
      <c r="BO146" s="211" t="str">
        <f t="shared" si="132"/>
        <v>מוזיאון נחום גוטמןמוזיאונים</v>
      </c>
      <c r="BP146" s="125">
        <f t="shared" si="133"/>
        <v>1</v>
      </c>
      <c r="BQ146" s="164">
        <v>0</v>
      </c>
      <c r="BR146" s="164">
        <v>1</v>
      </c>
      <c r="BS146" s="149">
        <f t="shared" si="134"/>
        <v>1</v>
      </c>
      <c r="BT146" s="149">
        <f t="shared" si="135"/>
        <v>1</v>
      </c>
      <c r="BU146" s="149">
        <f t="shared" si="136"/>
        <v>1</v>
      </c>
      <c r="BV146" s="149">
        <f t="shared" si="137"/>
        <v>1</v>
      </c>
      <c r="BW146" s="149">
        <f t="shared" si="138"/>
        <v>1</v>
      </c>
      <c r="BX146" s="149">
        <f t="shared" si="139"/>
        <v>1</v>
      </c>
      <c r="BY146" s="149">
        <f t="shared" si="140"/>
        <v>1</v>
      </c>
      <c r="BZ146" s="149">
        <f t="shared" si="141"/>
        <v>1</v>
      </c>
      <c r="CA146" s="149">
        <f t="shared" si="142"/>
        <v>1</v>
      </c>
      <c r="CB146" s="149">
        <f t="shared" si="143"/>
        <v>1</v>
      </c>
      <c r="CC146" s="149">
        <f t="shared" si="144"/>
        <v>1</v>
      </c>
      <c r="CD146" s="149">
        <f t="shared" si="145"/>
        <v>1</v>
      </c>
      <c r="CE146" s="149">
        <f t="shared" si="146"/>
        <v>1</v>
      </c>
      <c r="CF146" s="149">
        <f t="shared" si="147"/>
        <v>1</v>
      </c>
      <c r="CG146" s="149">
        <f t="shared" si="148"/>
        <v>1</v>
      </c>
      <c r="CH146" s="149">
        <f t="shared" si="149"/>
        <v>1</v>
      </c>
      <c r="CI146" s="149">
        <f t="shared" si="150"/>
        <v>1</v>
      </c>
      <c r="CJ146" s="149">
        <f t="shared" si="151"/>
        <v>1</v>
      </c>
      <c r="CK146" s="149">
        <f t="shared" si="152"/>
        <v>1</v>
      </c>
      <c r="CL146" s="149">
        <f t="shared" si="153"/>
        <v>1</v>
      </c>
      <c r="CM146" s="149">
        <f t="shared" si="154"/>
        <v>1</v>
      </c>
      <c r="CN146" s="149">
        <f t="shared" si="155"/>
        <v>1</v>
      </c>
      <c r="CO146" s="149">
        <f t="shared" si="156"/>
        <v>1</v>
      </c>
      <c r="CP146" s="149">
        <f t="shared" si="157"/>
        <v>1</v>
      </c>
      <c r="CQ146" s="149">
        <f t="shared" si="158"/>
        <v>1</v>
      </c>
      <c r="CR146" s="149">
        <f t="shared" si="159"/>
        <v>1</v>
      </c>
      <c r="CS146" s="149">
        <f t="shared" si="160"/>
        <v>1</v>
      </c>
      <c r="CT146" s="149">
        <f t="shared" si="161"/>
        <v>1</v>
      </c>
      <c r="CU146" s="149">
        <f t="shared" si="162"/>
        <v>1</v>
      </c>
      <c r="CV146" s="149">
        <f t="shared" si="163"/>
        <v>1</v>
      </c>
      <c r="CW146" s="149">
        <f t="shared" si="164"/>
        <v>1</v>
      </c>
      <c r="CX146" s="149">
        <f t="shared" si="165"/>
        <v>1</v>
      </c>
      <c r="CY146" s="149">
        <f t="shared" si="166"/>
        <v>1</v>
      </c>
      <c r="CZ146" s="149">
        <f t="shared" si="167"/>
        <v>1</v>
      </c>
      <c r="DA146" s="149">
        <f t="shared" si="168"/>
        <v>1</v>
      </c>
      <c r="DB146" s="149">
        <f t="shared" si="169"/>
        <v>1</v>
      </c>
      <c r="DG146" s="125">
        <f t="shared" si="184"/>
        <v>1</v>
      </c>
      <c r="DH146" s="125">
        <f t="shared" si="184"/>
        <v>2</v>
      </c>
      <c r="DI146" s="125">
        <f t="shared" si="184"/>
        <v>3</v>
      </c>
      <c r="DJ146" s="125">
        <f t="shared" si="184"/>
        <v>4</v>
      </c>
      <c r="DK146" s="125">
        <f t="shared" si="184"/>
        <v>5</v>
      </c>
      <c r="DL146" s="125">
        <f t="shared" si="184"/>
        <v>6</v>
      </c>
      <c r="DM146" s="125">
        <f t="shared" si="184"/>
        <v>7</v>
      </c>
      <c r="DN146" s="125">
        <f t="shared" si="184"/>
        <v>8</v>
      </c>
      <c r="DO146" s="125">
        <f t="shared" si="184"/>
        <v>9</v>
      </c>
      <c r="DP146" s="125">
        <f t="shared" si="184"/>
        <v>10</v>
      </c>
      <c r="DS146" s="137"/>
      <c r="DT146" s="137"/>
      <c r="DU146" s="137"/>
      <c r="DV146" s="137" t="b">
        <f t="shared" si="170"/>
        <v>0</v>
      </c>
      <c r="DW146" s="137" t="b">
        <f t="shared" si="171"/>
        <v>0</v>
      </c>
      <c r="DX146" s="137" t="b">
        <f t="shared" si="172"/>
        <v>1</v>
      </c>
      <c r="EB146" s="131">
        <f t="shared" si="182"/>
        <v>1</v>
      </c>
      <c r="EC146" s="137" t="b">
        <f t="shared" si="173"/>
        <v>0</v>
      </c>
      <c r="ED146" s="137" t="b">
        <f t="shared" si="174"/>
        <v>0</v>
      </c>
      <c r="EE146" s="137" t="b">
        <f t="shared" si="175"/>
        <v>1</v>
      </c>
      <c r="EF146" s="137"/>
      <c r="EG146" s="137"/>
      <c r="EH146" s="137"/>
      <c r="EI146" s="137"/>
      <c r="EJ146" s="137">
        <f t="shared" si="183"/>
        <v>1</v>
      </c>
      <c r="EK146" s="125">
        <f t="shared" si="176"/>
        <v>0</v>
      </c>
      <c r="EL146" s="125">
        <f t="shared" si="177"/>
        <v>0</v>
      </c>
    </row>
    <row r="147" spans="2:142" ht="15.75" x14ac:dyDescent="0.25">
      <c r="B147" s="160">
        <f t="shared" si="178"/>
        <v>117</v>
      </c>
      <c r="C147" s="205">
        <v>1001347845</v>
      </c>
      <c r="D147" s="205">
        <v>1001268850</v>
      </c>
      <c r="E147" s="205">
        <v>40216081</v>
      </c>
      <c r="F147" s="118">
        <f>IF(OR(J147="",H147=""),"",VLOOKUP(J147,'הזנה לסיווג רשויות'!$B$2:$D$301,2,0))</f>
        <v>20000253</v>
      </c>
      <c r="G147" s="118" t="str">
        <f>IF(OR(J147="",H147=""),"",VLOOKUP(J147,'הזנה לסיווג רשויות'!$B$2:$D$301,3,0))</f>
        <v>טמרה</v>
      </c>
      <c r="H147" s="281" t="s">
        <v>617</v>
      </c>
      <c r="I147" s="201" t="s">
        <v>373</v>
      </c>
      <c r="J147" s="205">
        <v>8900</v>
      </c>
      <c r="K147" s="161">
        <v>0</v>
      </c>
      <c r="L147" s="161">
        <v>1</v>
      </c>
      <c r="M147" s="161">
        <v>0</v>
      </c>
      <c r="N147" s="161">
        <v>0</v>
      </c>
      <c r="O147" s="161">
        <v>1</v>
      </c>
      <c r="P147" s="161">
        <v>1</v>
      </c>
      <c r="Q147" s="161">
        <v>1</v>
      </c>
      <c r="R147" s="201">
        <v>1724397</v>
      </c>
      <c r="S147" s="201">
        <v>707088</v>
      </c>
      <c r="T147" s="160">
        <f>IF(G147="","",IFERROR(IF(S147/R147&gt;'פרמטרים לקריטריונים'!$C$20,1,0),0))</f>
        <v>1</v>
      </c>
      <c r="U147" s="201">
        <v>707088</v>
      </c>
      <c r="V147" s="160">
        <f>IF(G147="","",IFERROR(IF(U147/R147&gt;'פרמטרים לקריטריונים'!$C$21,1,IF(AND(I147=$BW$5,U147/R147&gt;'פרמטרים לקריטריונים'!$C$22),1,0)),0))</f>
        <v>1</v>
      </c>
      <c r="W147" s="161">
        <v>1</v>
      </c>
      <c r="X147" s="161">
        <v>1</v>
      </c>
      <c r="Y147" s="201">
        <v>1200000</v>
      </c>
      <c r="Z147" s="201">
        <v>600000</v>
      </c>
      <c r="AA147" s="161">
        <f t="shared" si="179"/>
        <v>1</v>
      </c>
      <c r="AB147" s="161"/>
      <c r="AC147" s="161"/>
      <c r="AD147" s="161"/>
      <c r="AE147" s="161"/>
      <c r="AF147" s="161"/>
      <c r="AG147" s="161"/>
      <c r="AH147" s="161"/>
      <c r="AI147" s="161"/>
      <c r="AJ147" s="161"/>
      <c r="AK147" s="161"/>
      <c r="AL147" s="161"/>
      <c r="AM147" s="161"/>
      <c r="AN147" s="161"/>
      <c r="AO147" s="161"/>
      <c r="AP147" s="161"/>
      <c r="AQ147" s="161"/>
      <c r="AR147" s="161"/>
      <c r="AS147" s="161"/>
      <c r="AT147" s="161"/>
      <c r="AU147" s="161"/>
      <c r="AV147" s="161"/>
      <c r="AW147" s="160"/>
      <c r="AX147" s="161"/>
      <c r="AY147" s="161"/>
      <c r="AZ147" s="161"/>
      <c r="BA147" s="161"/>
      <c r="BB147" s="161"/>
      <c r="BC147" s="161"/>
      <c r="BD147" s="161"/>
      <c r="BE147" s="161"/>
      <c r="BF147" s="160" t="str">
        <f t="shared" si="180"/>
        <v/>
      </c>
      <c r="BG147" s="160"/>
      <c r="BH147" s="160"/>
      <c r="BI147" s="160"/>
      <c r="BJ147" s="160"/>
      <c r="BK147" s="160"/>
      <c r="BL147" s="162">
        <f t="shared" si="131"/>
        <v>1</v>
      </c>
      <c r="BM147" s="257"/>
      <c r="BN147" s="163"/>
      <c r="BO147" s="211" t="str">
        <f t="shared" si="132"/>
        <v>אלאג'יאל טמרה (ע"ר)תיאטרון</v>
      </c>
      <c r="BP147" s="125">
        <f t="shared" si="133"/>
        <v>1</v>
      </c>
      <c r="BQ147" s="164">
        <v>0</v>
      </c>
      <c r="BR147" s="164">
        <v>1</v>
      </c>
      <c r="BS147" s="149">
        <f t="shared" si="134"/>
        <v>1</v>
      </c>
      <c r="BT147" s="149">
        <f t="shared" si="135"/>
        <v>1</v>
      </c>
      <c r="BU147" s="149">
        <f t="shared" si="136"/>
        <v>1</v>
      </c>
      <c r="BV147" s="149">
        <f t="shared" si="137"/>
        <v>1</v>
      </c>
      <c r="BW147" s="149">
        <f t="shared" si="138"/>
        <v>1</v>
      </c>
      <c r="BX147" s="149">
        <f t="shared" si="139"/>
        <v>1</v>
      </c>
      <c r="BY147" s="149">
        <f t="shared" si="140"/>
        <v>1</v>
      </c>
      <c r="BZ147" s="149">
        <f t="shared" si="141"/>
        <v>1</v>
      </c>
      <c r="CA147" s="149">
        <f t="shared" si="142"/>
        <v>1</v>
      </c>
      <c r="CB147" s="149">
        <f t="shared" si="143"/>
        <v>1</v>
      </c>
      <c r="CC147" s="149">
        <f t="shared" si="144"/>
        <v>1</v>
      </c>
      <c r="CD147" s="149">
        <f t="shared" si="145"/>
        <v>1</v>
      </c>
      <c r="CE147" s="149">
        <f t="shared" si="146"/>
        <v>1</v>
      </c>
      <c r="CF147" s="149">
        <f t="shared" si="147"/>
        <v>1</v>
      </c>
      <c r="CG147" s="149">
        <f t="shared" si="148"/>
        <v>1</v>
      </c>
      <c r="CH147" s="149">
        <f t="shared" si="149"/>
        <v>1</v>
      </c>
      <c r="CI147" s="149">
        <f t="shared" si="150"/>
        <v>1</v>
      </c>
      <c r="CJ147" s="149">
        <f t="shared" si="151"/>
        <v>1</v>
      </c>
      <c r="CK147" s="149">
        <f t="shared" si="152"/>
        <v>1</v>
      </c>
      <c r="CL147" s="149">
        <f t="shared" si="153"/>
        <v>1</v>
      </c>
      <c r="CM147" s="149">
        <f t="shared" si="154"/>
        <v>1</v>
      </c>
      <c r="CN147" s="149">
        <f t="shared" si="155"/>
        <v>1</v>
      </c>
      <c r="CO147" s="149">
        <f t="shared" si="156"/>
        <v>1</v>
      </c>
      <c r="CP147" s="149">
        <f t="shared" si="157"/>
        <v>1</v>
      </c>
      <c r="CQ147" s="149">
        <f t="shared" si="158"/>
        <v>1</v>
      </c>
      <c r="CR147" s="149">
        <f t="shared" si="159"/>
        <v>1</v>
      </c>
      <c r="CS147" s="149">
        <f t="shared" si="160"/>
        <v>1</v>
      </c>
      <c r="CT147" s="149">
        <f t="shared" si="161"/>
        <v>1</v>
      </c>
      <c r="CU147" s="149">
        <f t="shared" si="162"/>
        <v>1</v>
      </c>
      <c r="CV147" s="149">
        <f t="shared" si="163"/>
        <v>1</v>
      </c>
      <c r="CW147" s="149">
        <f t="shared" si="164"/>
        <v>1</v>
      </c>
      <c r="CX147" s="149">
        <f t="shared" si="165"/>
        <v>1</v>
      </c>
      <c r="CY147" s="149">
        <f t="shared" si="166"/>
        <v>1</v>
      </c>
      <c r="CZ147" s="149">
        <f t="shared" si="167"/>
        <v>1</v>
      </c>
      <c r="DA147" s="149">
        <f t="shared" si="168"/>
        <v>1</v>
      </c>
      <c r="DB147" s="149">
        <f t="shared" si="169"/>
        <v>1</v>
      </c>
      <c r="DG147" s="125">
        <f t="shared" si="184"/>
        <v>1</v>
      </c>
      <c r="DH147" s="125">
        <f t="shared" si="184"/>
        <v>2</v>
      </c>
      <c r="DI147" s="125">
        <f t="shared" si="184"/>
        <v>3</v>
      </c>
      <c r="DJ147" s="125">
        <f t="shared" si="184"/>
        <v>4</v>
      </c>
      <c r="DK147" s="125">
        <f t="shared" si="184"/>
        <v>5</v>
      </c>
      <c r="DL147" s="125">
        <f t="shared" si="184"/>
        <v>6</v>
      </c>
      <c r="DM147" s="125">
        <f t="shared" si="184"/>
        <v>7</v>
      </c>
      <c r="DN147" s="125">
        <f t="shared" si="184"/>
        <v>8</v>
      </c>
      <c r="DO147" s="125">
        <f t="shared" si="184"/>
        <v>9</v>
      </c>
      <c r="DP147" s="125">
        <f t="shared" si="184"/>
        <v>10</v>
      </c>
      <c r="DS147" s="137"/>
      <c r="DT147" s="137"/>
      <c r="DU147" s="137"/>
      <c r="DV147" s="137" t="b">
        <f t="shared" si="170"/>
        <v>0</v>
      </c>
      <c r="DW147" s="137" t="b">
        <f t="shared" si="171"/>
        <v>0</v>
      </c>
      <c r="DX147" s="137" t="b">
        <f t="shared" si="172"/>
        <v>1</v>
      </c>
      <c r="EB147" s="131">
        <f t="shared" si="182"/>
        <v>1</v>
      </c>
      <c r="EC147" s="137" t="b">
        <f t="shared" si="173"/>
        <v>0</v>
      </c>
      <c r="ED147" s="137" t="b">
        <f t="shared" si="174"/>
        <v>0</v>
      </c>
      <c r="EE147" s="137" t="b">
        <f t="shared" si="175"/>
        <v>1</v>
      </c>
      <c r="EF147" s="137"/>
      <c r="EG147" s="137"/>
      <c r="EH147" s="137"/>
      <c r="EI147" s="137"/>
      <c r="EJ147" s="137">
        <f t="shared" si="183"/>
        <v>1</v>
      </c>
      <c r="EK147" s="125">
        <f t="shared" si="176"/>
        <v>0</v>
      </c>
      <c r="EL147" s="125">
        <f t="shared" si="177"/>
        <v>0</v>
      </c>
    </row>
    <row r="148" spans="2:142" ht="15.75" x14ac:dyDescent="0.25">
      <c r="B148" s="160">
        <f t="shared" si="178"/>
        <v>118</v>
      </c>
      <c r="C148" s="205">
        <v>1001350385</v>
      </c>
      <c r="D148" s="205">
        <v>1001271278</v>
      </c>
      <c r="E148" s="205">
        <v>40216101</v>
      </c>
      <c r="F148" s="118">
        <f>IF(OR(J148="",H148=""),"",VLOOKUP(J148,'הזנה לסיווג רשויות'!$B$2:$D$301,2,0))</f>
        <v>20000186</v>
      </c>
      <c r="G148" s="118" t="str">
        <f>IF(OR(J148="",H148=""),"",VLOOKUP(J148,'הזנה לסיווג רשויות'!$B$2:$D$301,3,0))</f>
        <v>לב השרון</v>
      </c>
      <c r="H148" s="281" t="s">
        <v>618</v>
      </c>
      <c r="I148" s="201" t="s">
        <v>378</v>
      </c>
      <c r="J148" s="205">
        <v>18</v>
      </c>
      <c r="K148" s="161">
        <v>0</v>
      </c>
      <c r="L148" s="161">
        <v>1</v>
      </c>
      <c r="M148" s="161">
        <v>0</v>
      </c>
      <c r="N148" s="161">
        <v>0</v>
      </c>
      <c r="O148" s="161">
        <v>1</v>
      </c>
      <c r="P148" s="161">
        <v>1</v>
      </c>
      <c r="Q148" s="161">
        <v>1</v>
      </c>
      <c r="R148" s="201">
        <v>133597</v>
      </c>
      <c r="S148" s="201">
        <v>58597</v>
      </c>
      <c r="T148" s="160">
        <f>IF(G148="","",IFERROR(IF(S148/R148&gt;'פרמטרים לקריטריונים'!$C$20,1,0),0))</f>
        <v>1</v>
      </c>
      <c r="U148" s="201">
        <v>58597</v>
      </c>
      <c r="V148" s="160">
        <f>IF(G148="","",IFERROR(IF(U148/R148&gt;'פרמטרים לקריטריונים'!$C$21,1,IF(AND(I148=$BW$5,U148/R148&gt;'פרמטרים לקריטריונים'!$C$22),1,0)),0))</f>
        <v>1</v>
      </c>
      <c r="W148" s="161">
        <v>1</v>
      </c>
      <c r="X148" s="161">
        <v>1</v>
      </c>
      <c r="Y148" s="201">
        <v>55000</v>
      </c>
      <c r="Z148" s="201">
        <v>55000</v>
      </c>
      <c r="AA148" s="161">
        <f t="shared" si="179"/>
        <v>1</v>
      </c>
      <c r="AB148" s="161"/>
      <c r="AC148" s="161"/>
      <c r="AD148" s="161"/>
      <c r="AE148" s="161"/>
      <c r="AF148" s="161"/>
      <c r="AG148" s="161"/>
      <c r="AH148" s="161"/>
      <c r="AI148" s="161"/>
      <c r="AJ148" s="161"/>
      <c r="AK148" s="161"/>
      <c r="AL148" s="161"/>
      <c r="AM148" s="161"/>
      <c r="AN148" s="161"/>
      <c r="AO148" s="161"/>
      <c r="AP148" s="161"/>
      <c r="AQ148" s="161"/>
      <c r="AR148" s="161"/>
      <c r="AS148" s="161"/>
      <c r="AT148" s="161"/>
      <c r="AU148" s="161"/>
      <c r="AV148" s="161"/>
      <c r="AW148" s="160"/>
      <c r="AX148" s="161"/>
      <c r="AY148" s="161"/>
      <c r="AZ148" s="161"/>
      <c r="BA148" s="161"/>
      <c r="BB148" s="161"/>
      <c r="BC148" s="161"/>
      <c r="BD148" s="161"/>
      <c r="BE148" s="161"/>
      <c r="BF148" s="160" t="str">
        <f t="shared" si="180"/>
        <v/>
      </c>
      <c r="BG148" s="160"/>
      <c r="BH148" s="160"/>
      <c r="BI148" s="160"/>
      <c r="BJ148" s="160"/>
      <c r="BK148" s="160"/>
      <c r="BL148" s="162">
        <f t="shared" si="131"/>
        <v>1</v>
      </c>
      <c r="BM148" s="257"/>
      <c r="BN148" s="163"/>
      <c r="BO148" s="211" t="str">
        <f t="shared" si="132"/>
        <v>איסמבל קולות נשיםמקהלות</v>
      </c>
      <c r="BP148" s="125">
        <f t="shared" si="133"/>
        <v>1</v>
      </c>
      <c r="BQ148" s="164">
        <v>0</v>
      </c>
      <c r="BR148" s="164">
        <v>1</v>
      </c>
      <c r="BS148" s="149">
        <f t="shared" si="134"/>
        <v>1</v>
      </c>
      <c r="BT148" s="149">
        <f t="shared" si="135"/>
        <v>1</v>
      </c>
      <c r="BU148" s="149">
        <f t="shared" si="136"/>
        <v>1</v>
      </c>
      <c r="BV148" s="149">
        <f t="shared" si="137"/>
        <v>1</v>
      </c>
      <c r="BW148" s="149">
        <f t="shared" si="138"/>
        <v>1</v>
      </c>
      <c r="BX148" s="149">
        <f t="shared" si="139"/>
        <v>1</v>
      </c>
      <c r="BY148" s="149">
        <f t="shared" si="140"/>
        <v>1</v>
      </c>
      <c r="BZ148" s="149">
        <f t="shared" si="141"/>
        <v>1</v>
      </c>
      <c r="CA148" s="149">
        <f t="shared" si="142"/>
        <v>1</v>
      </c>
      <c r="CB148" s="149">
        <f t="shared" si="143"/>
        <v>1</v>
      </c>
      <c r="CC148" s="149">
        <f t="shared" si="144"/>
        <v>1</v>
      </c>
      <c r="CD148" s="149">
        <f t="shared" si="145"/>
        <v>1</v>
      </c>
      <c r="CE148" s="149">
        <f t="shared" si="146"/>
        <v>1</v>
      </c>
      <c r="CF148" s="149">
        <f t="shared" si="147"/>
        <v>1</v>
      </c>
      <c r="CG148" s="149">
        <f t="shared" si="148"/>
        <v>1</v>
      </c>
      <c r="CH148" s="149">
        <f t="shared" si="149"/>
        <v>1</v>
      </c>
      <c r="CI148" s="149">
        <f t="shared" si="150"/>
        <v>1</v>
      </c>
      <c r="CJ148" s="149">
        <f t="shared" si="151"/>
        <v>1</v>
      </c>
      <c r="CK148" s="149">
        <f t="shared" si="152"/>
        <v>1</v>
      </c>
      <c r="CL148" s="149">
        <f t="shared" si="153"/>
        <v>1</v>
      </c>
      <c r="CM148" s="149">
        <f t="shared" si="154"/>
        <v>1</v>
      </c>
      <c r="CN148" s="149">
        <f t="shared" si="155"/>
        <v>1</v>
      </c>
      <c r="CO148" s="149">
        <f t="shared" si="156"/>
        <v>1</v>
      </c>
      <c r="CP148" s="149">
        <f t="shared" si="157"/>
        <v>1</v>
      </c>
      <c r="CQ148" s="149">
        <f t="shared" si="158"/>
        <v>1</v>
      </c>
      <c r="CR148" s="149">
        <f t="shared" si="159"/>
        <v>1</v>
      </c>
      <c r="CS148" s="149">
        <f t="shared" si="160"/>
        <v>1</v>
      </c>
      <c r="CT148" s="149">
        <f t="shared" si="161"/>
        <v>1</v>
      </c>
      <c r="CU148" s="149">
        <f t="shared" si="162"/>
        <v>1</v>
      </c>
      <c r="CV148" s="149">
        <f t="shared" si="163"/>
        <v>1</v>
      </c>
      <c r="CW148" s="149">
        <f t="shared" si="164"/>
        <v>1</v>
      </c>
      <c r="CX148" s="149">
        <f t="shared" si="165"/>
        <v>1</v>
      </c>
      <c r="CY148" s="149">
        <f t="shared" si="166"/>
        <v>1</v>
      </c>
      <c r="CZ148" s="149">
        <f t="shared" si="167"/>
        <v>1</v>
      </c>
      <c r="DA148" s="149">
        <f t="shared" si="168"/>
        <v>1</v>
      </c>
      <c r="DB148" s="149">
        <f t="shared" si="169"/>
        <v>1</v>
      </c>
      <c r="DG148" s="125">
        <f t="shared" si="184"/>
        <v>1</v>
      </c>
      <c r="DH148" s="125">
        <f t="shared" si="184"/>
        <v>2</v>
      </c>
      <c r="DI148" s="125">
        <f t="shared" si="184"/>
        <v>3</v>
      </c>
      <c r="DJ148" s="125">
        <f t="shared" si="184"/>
        <v>4</v>
      </c>
      <c r="DK148" s="125">
        <f t="shared" si="184"/>
        <v>5</v>
      </c>
      <c r="DL148" s="125">
        <f t="shared" si="184"/>
        <v>6</v>
      </c>
      <c r="DM148" s="125">
        <f t="shared" si="184"/>
        <v>7</v>
      </c>
      <c r="DN148" s="125">
        <f t="shared" si="184"/>
        <v>8</v>
      </c>
      <c r="DO148" s="125">
        <f t="shared" si="184"/>
        <v>9</v>
      </c>
      <c r="DP148" s="125">
        <f t="shared" si="184"/>
        <v>10</v>
      </c>
      <c r="DS148" s="137"/>
      <c r="DT148" s="137"/>
      <c r="DU148" s="137"/>
      <c r="DV148" s="137" t="b">
        <f t="shared" si="170"/>
        <v>0</v>
      </c>
      <c r="DW148" s="137" t="b">
        <f t="shared" si="171"/>
        <v>0</v>
      </c>
      <c r="DX148" s="137" t="b">
        <f t="shared" si="172"/>
        <v>1</v>
      </c>
      <c r="EB148" s="131">
        <f t="shared" si="182"/>
        <v>1</v>
      </c>
      <c r="EC148" s="137" t="b">
        <f t="shared" si="173"/>
        <v>0</v>
      </c>
      <c r="ED148" s="137" t="b">
        <f t="shared" si="174"/>
        <v>0</v>
      </c>
      <c r="EE148" s="137" t="b">
        <f t="shared" si="175"/>
        <v>1</v>
      </c>
      <c r="EF148" s="137"/>
      <c r="EG148" s="137"/>
      <c r="EH148" s="137"/>
      <c r="EI148" s="137"/>
      <c r="EJ148" s="137">
        <f t="shared" si="183"/>
        <v>1</v>
      </c>
      <c r="EK148" s="125">
        <f t="shared" si="176"/>
        <v>0</v>
      </c>
      <c r="EL148" s="125">
        <f t="shared" si="177"/>
        <v>0</v>
      </c>
    </row>
    <row r="149" spans="2:142" ht="15.75" x14ac:dyDescent="0.25">
      <c r="B149" s="160">
        <f t="shared" si="178"/>
        <v>119</v>
      </c>
      <c r="C149" s="205">
        <v>1001349532</v>
      </c>
      <c r="D149" s="205">
        <v>1001277350</v>
      </c>
      <c r="E149" s="205">
        <v>40000449</v>
      </c>
      <c r="F149" s="118">
        <f>IF(OR(J149="",H149=""),"",VLOOKUP(J149,'הזנה לסיווג רשויות'!$B$2:$D$301,2,0))</f>
        <v>20000201</v>
      </c>
      <c r="G149" s="118" t="str">
        <f>IF(OR(J149="",H149=""),"",VLOOKUP(J149,'הזנה לסיווג רשויות'!$B$2:$D$301,3,0))</f>
        <v>תל אביב -יפו</v>
      </c>
      <c r="H149" s="281" t="s">
        <v>619</v>
      </c>
      <c r="I149" s="201" t="s">
        <v>374</v>
      </c>
      <c r="J149" s="205">
        <v>5000</v>
      </c>
      <c r="K149" s="161">
        <v>0</v>
      </c>
      <c r="L149" s="161">
        <v>1</v>
      </c>
      <c r="M149" s="161">
        <v>0</v>
      </c>
      <c r="N149" s="161">
        <v>1</v>
      </c>
      <c r="O149" s="161">
        <v>1</v>
      </c>
      <c r="P149" s="161">
        <v>1</v>
      </c>
      <c r="Q149" s="161">
        <v>1</v>
      </c>
      <c r="R149" s="201">
        <v>1806689</v>
      </c>
      <c r="S149" s="201">
        <v>606689</v>
      </c>
      <c r="T149" s="160">
        <f>IF(G149="","",IFERROR(IF(S149/R149&gt;'פרמטרים לקריטריונים'!$C$20,1,0),0))</f>
        <v>1</v>
      </c>
      <c r="U149" s="201">
        <v>495416</v>
      </c>
      <c r="V149" s="160">
        <f>IF(G149="","",IFERROR(IF(U149/R149&gt;'פרמטרים לקריטריונים'!$C$21,1,IF(AND(I149=$BW$5,U149/R149&gt;'פרמטרים לקריטריונים'!$C$22),1,0)),0))</f>
        <v>1</v>
      </c>
      <c r="W149" s="161">
        <v>1</v>
      </c>
      <c r="X149" s="161">
        <v>1</v>
      </c>
      <c r="Y149" s="201">
        <v>200000</v>
      </c>
      <c r="Z149" s="201">
        <v>100000</v>
      </c>
      <c r="AA149" s="161">
        <f t="shared" si="179"/>
        <v>1</v>
      </c>
      <c r="AB149" s="161"/>
      <c r="AC149" s="161"/>
      <c r="AD149" s="161"/>
      <c r="AE149" s="161"/>
      <c r="AF149" s="161"/>
      <c r="AG149" s="161"/>
      <c r="AH149" s="161"/>
      <c r="AI149" s="161"/>
      <c r="AJ149" s="161"/>
      <c r="AK149" s="161"/>
      <c r="AL149" s="161"/>
      <c r="AM149" s="161"/>
      <c r="AN149" s="161"/>
      <c r="AO149" s="161"/>
      <c r="AP149" s="161"/>
      <c r="AQ149" s="161"/>
      <c r="AR149" s="161"/>
      <c r="AS149" s="161"/>
      <c r="AT149" s="161"/>
      <c r="AU149" s="161"/>
      <c r="AV149" s="161"/>
      <c r="AW149" s="160"/>
      <c r="AX149" s="161"/>
      <c r="AY149" s="161"/>
      <c r="AZ149" s="161"/>
      <c r="BA149" s="161"/>
      <c r="BB149" s="161"/>
      <c r="BC149" s="161"/>
      <c r="BD149" s="161"/>
      <c r="BE149" s="161"/>
      <c r="BF149" s="160" t="str">
        <f t="shared" si="180"/>
        <v/>
      </c>
      <c r="BG149" s="160"/>
      <c r="BH149" s="160"/>
      <c r="BI149" s="160"/>
      <c r="BJ149" s="160"/>
      <c r="BK149" s="160"/>
      <c r="BL149" s="162">
        <f t="shared" si="131"/>
        <v>1</v>
      </c>
      <c r="BM149" s="257"/>
      <c r="BN149" s="163"/>
      <c r="BO149" s="211" t="str">
        <f t="shared" si="132"/>
        <v>תיאטרון מחול ענבלמחול</v>
      </c>
      <c r="BP149" s="125">
        <f t="shared" si="133"/>
        <v>1</v>
      </c>
      <c r="BQ149" s="164">
        <v>0</v>
      </c>
      <c r="BR149" s="164">
        <v>1</v>
      </c>
      <c r="BS149" s="149">
        <f t="shared" si="134"/>
        <v>1</v>
      </c>
      <c r="BT149" s="149">
        <f t="shared" si="135"/>
        <v>1</v>
      </c>
      <c r="BU149" s="149">
        <f t="shared" si="136"/>
        <v>1</v>
      </c>
      <c r="BV149" s="149">
        <f t="shared" si="137"/>
        <v>1</v>
      </c>
      <c r="BW149" s="149">
        <f t="shared" si="138"/>
        <v>1</v>
      </c>
      <c r="BX149" s="149">
        <f t="shared" si="139"/>
        <v>1</v>
      </c>
      <c r="BY149" s="149">
        <f t="shared" si="140"/>
        <v>1</v>
      </c>
      <c r="BZ149" s="149">
        <f t="shared" si="141"/>
        <v>1</v>
      </c>
      <c r="CA149" s="149">
        <f t="shared" si="142"/>
        <v>1</v>
      </c>
      <c r="CB149" s="149">
        <f t="shared" si="143"/>
        <v>1</v>
      </c>
      <c r="CC149" s="149">
        <f t="shared" si="144"/>
        <v>1</v>
      </c>
      <c r="CD149" s="149">
        <f t="shared" si="145"/>
        <v>1</v>
      </c>
      <c r="CE149" s="149">
        <f t="shared" si="146"/>
        <v>1</v>
      </c>
      <c r="CF149" s="149">
        <f t="shared" si="147"/>
        <v>1</v>
      </c>
      <c r="CG149" s="149">
        <f t="shared" si="148"/>
        <v>1</v>
      </c>
      <c r="CH149" s="149">
        <f t="shared" si="149"/>
        <v>1</v>
      </c>
      <c r="CI149" s="149">
        <f t="shared" si="150"/>
        <v>1</v>
      </c>
      <c r="CJ149" s="149">
        <f t="shared" si="151"/>
        <v>1</v>
      </c>
      <c r="CK149" s="149">
        <f t="shared" si="152"/>
        <v>1</v>
      </c>
      <c r="CL149" s="149">
        <f t="shared" si="153"/>
        <v>1</v>
      </c>
      <c r="CM149" s="149">
        <f t="shared" si="154"/>
        <v>1</v>
      </c>
      <c r="CN149" s="149">
        <f t="shared" si="155"/>
        <v>1</v>
      </c>
      <c r="CO149" s="149">
        <f t="shared" si="156"/>
        <v>1</v>
      </c>
      <c r="CP149" s="149">
        <f t="shared" si="157"/>
        <v>1</v>
      </c>
      <c r="CQ149" s="149">
        <f t="shared" si="158"/>
        <v>1</v>
      </c>
      <c r="CR149" s="149">
        <f t="shared" si="159"/>
        <v>1</v>
      </c>
      <c r="CS149" s="149">
        <f t="shared" si="160"/>
        <v>1</v>
      </c>
      <c r="CT149" s="149">
        <f t="shared" si="161"/>
        <v>1</v>
      </c>
      <c r="CU149" s="149">
        <f t="shared" si="162"/>
        <v>1</v>
      </c>
      <c r="CV149" s="149">
        <f t="shared" si="163"/>
        <v>1</v>
      </c>
      <c r="CW149" s="149">
        <f t="shared" si="164"/>
        <v>1</v>
      </c>
      <c r="CX149" s="149">
        <f t="shared" si="165"/>
        <v>1</v>
      </c>
      <c r="CY149" s="149">
        <f t="shared" si="166"/>
        <v>1</v>
      </c>
      <c r="CZ149" s="149">
        <f t="shared" si="167"/>
        <v>1</v>
      </c>
      <c r="DA149" s="149">
        <f t="shared" si="168"/>
        <v>1</v>
      </c>
      <c r="DB149" s="149">
        <f t="shared" si="169"/>
        <v>1</v>
      </c>
      <c r="DG149" s="125">
        <f t="shared" si="184"/>
        <v>1</v>
      </c>
      <c r="DH149" s="125">
        <f t="shared" si="184"/>
        <v>2</v>
      </c>
      <c r="DI149" s="125">
        <f t="shared" si="184"/>
        <v>3</v>
      </c>
      <c r="DJ149" s="125">
        <f t="shared" si="184"/>
        <v>4</v>
      </c>
      <c r="DK149" s="125">
        <f t="shared" si="184"/>
        <v>5</v>
      </c>
      <c r="DL149" s="125">
        <f t="shared" si="184"/>
        <v>6</v>
      </c>
      <c r="DM149" s="125">
        <f t="shared" si="184"/>
        <v>7</v>
      </c>
      <c r="DN149" s="125">
        <f t="shared" si="184"/>
        <v>8</v>
      </c>
      <c r="DO149" s="125">
        <f t="shared" si="184"/>
        <v>9</v>
      </c>
      <c r="DP149" s="125">
        <f t="shared" si="184"/>
        <v>10</v>
      </c>
      <c r="DS149" s="137"/>
      <c r="DT149" s="137"/>
      <c r="DU149" s="137"/>
      <c r="DV149" s="137" t="b">
        <f t="shared" si="170"/>
        <v>0</v>
      </c>
      <c r="DW149" s="137" t="b">
        <f t="shared" si="171"/>
        <v>0</v>
      </c>
      <c r="DX149" s="137" t="b">
        <f t="shared" si="172"/>
        <v>1</v>
      </c>
      <c r="EB149" s="131">
        <f t="shared" si="182"/>
        <v>1</v>
      </c>
      <c r="EC149" s="137" t="b">
        <f t="shared" si="173"/>
        <v>0</v>
      </c>
      <c r="ED149" s="137" t="b">
        <f t="shared" si="174"/>
        <v>0</v>
      </c>
      <c r="EE149" s="137" t="b">
        <f t="shared" si="175"/>
        <v>1</v>
      </c>
      <c r="EF149" s="137"/>
      <c r="EG149" s="137"/>
      <c r="EH149" s="137"/>
      <c r="EI149" s="137"/>
      <c r="EJ149" s="137">
        <f t="shared" si="183"/>
        <v>1</v>
      </c>
      <c r="EK149" s="125">
        <f t="shared" si="176"/>
        <v>0</v>
      </c>
      <c r="EL149" s="125">
        <f t="shared" si="177"/>
        <v>0</v>
      </c>
    </row>
    <row r="150" spans="2:142" ht="15.75" x14ac:dyDescent="0.25">
      <c r="B150" s="160">
        <f t="shared" si="178"/>
        <v>120</v>
      </c>
      <c r="C150" s="205">
        <v>1001350998</v>
      </c>
      <c r="D150" s="205">
        <v>1001270595</v>
      </c>
      <c r="E150" s="205">
        <v>40002883</v>
      </c>
      <c r="F150" s="118">
        <f>IF(OR(J150="",H150=""),"",VLOOKUP(J150,'הזנה לסיווג רשויות'!$B$2:$D$301,2,0))</f>
        <v>20000254</v>
      </c>
      <c r="G150" s="118" t="str">
        <f>IF(OR(J150="",H150=""),"",VLOOKUP(J150,'הזנה לסיווג רשויות'!$B$2:$D$301,3,0))</f>
        <v>באר שבע</v>
      </c>
      <c r="H150" s="281" t="s">
        <v>613</v>
      </c>
      <c r="I150" s="201" t="s">
        <v>386</v>
      </c>
      <c r="J150" s="205">
        <v>9000</v>
      </c>
      <c r="K150" s="161">
        <v>0</v>
      </c>
      <c r="L150" s="161">
        <v>1</v>
      </c>
      <c r="M150" s="161">
        <v>0</v>
      </c>
      <c r="N150" s="161">
        <v>1</v>
      </c>
      <c r="O150" s="161">
        <v>1</v>
      </c>
      <c r="P150" s="161">
        <v>1</v>
      </c>
      <c r="Q150" s="161">
        <v>1</v>
      </c>
      <c r="R150" s="201">
        <v>2507124</v>
      </c>
      <c r="S150" s="201">
        <v>1534433</v>
      </c>
      <c r="T150" s="160">
        <f>IF(G150="","",IFERROR(IF(S150/R150&gt;'פרמטרים לקריטריונים'!$C$20,1,0),0))</f>
        <v>1</v>
      </c>
      <c r="U150" s="201">
        <v>1389228</v>
      </c>
      <c r="V150" s="160">
        <f>IF(G150="","",IFERROR(IF(U150/R150&gt;'פרמטרים לקריטריונים'!$C$21,1,IF(AND(I150=$BW$5,U150/R150&gt;'פרמטרים לקריטריונים'!$C$22),1,0)),0))</f>
        <v>1</v>
      </c>
      <c r="W150" s="161">
        <v>1</v>
      </c>
      <c r="X150" s="161">
        <v>1</v>
      </c>
      <c r="Y150" s="201">
        <v>1300000</v>
      </c>
      <c r="Z150" s="201">
        <v>50000</v>
      </c>
      <c r="AA150" s="161">
        <f t="shared" si="179"/>
        <v>1</v>
      </c>
      <c r="AB150" s="161"/>
      <c r="AC150" s="161"/>
      <c r="AD150" s="161"/>
      <c r="AE150" s="161"/>
      <c r="AF150" s="161"/>
      <c r="AG150" s="161"/>
      <c r="AH150" s="161"/>
      <c r="AI150" s="161"/>
      <c r="AJ150" s="161"/>
      <c r="AK150" s="161"/>
      <c r="AL150" s="161"/>
      <c r="AM150" s="161"/>
      <c r="AN150" s="161"/>
      <c r="AO150" s="161"/>
      <c r="AP150" s="161"/>
      <c r="AQ150" s="161"/>
      <c r="AR150" s="161"/>
      <c r="AS150" s="161"/>
      <c r="AT150" s="161"/>
      <c r="AU150" s="161"/>
      <c r="AV150" s="161"/>
      <c r="AW150" s="160"/>
      <c r="AX150" s="161"/>
      <c r="AY150" s="161"/>
      <c r="AZ150" s="161"/>
      <c r="BA150" s="161"/>
      <c r="BB150" s="161"/>
      <c r="BC150" s="161"/>
      <c r="BD150" s="161"/>
      <c r="BE150" s="161"/>
      <c r="BF150" s="160" t="str">
        <f t="shared" si="180"/>
        <v/>
      </c>
      <c r="BG150" s="160"/>
      <c r="BH150" s="160"/>
      <c r="BI150" s="160"/>
      <c r="BJ150" s="160"/>
      <c r="BK150" s="160"/>
      <c r="BL150" s="162">
        <f t="shared" si="131"/>
        <v>1</v>
      </c>
      <c r="BM150" s="257"/>
      <c r="BN150" s="163"/>
      <c r="BO150" s="211" t="str">
        <f t="shared" si="132"/>
        <v>בת-דור באר-שבע - מרכז עירוני לאמנותמרכזי מחול</v>
      </c>
      <c r="BP150" s="125">
        <f t="shared" si="133"/>
        <v>1</v>
      </c>
      <c r="BQ150" s="164">
        <v>0</v>
      </c>
      <c r="BR150" s="164">
        <v>1</v>
      </c>
      <c r="BS150" s="149">
        <f t="shared" si="134"/>
        <v>1</v>
      </c>
      <c r="BT150" s="149">
        <f t="shared" si="135"/>
        <v>1</v>
      </c>
      <c r="BU150" s="149">
        <f t="shared" si="136"/>
        <v>1</v>
      </c>
      <c r="BV150" s="149">
        <f t="shared" si="137"/>
        <v>1</v>
      </c>
      <c r="BW150" s="149">
        <f t="shared" si="138"/>
        <v>1</v>
      </c>
      <c r="BX150" s="149">
        <f t="shared" si="139"/>
        <v>1</v>
      </c>
      <c r="BY150" s="149">
        <f t="shared" si="140"/>
        <v>1</v>
      </c>
      <c r="BZ150" s="149">
        <f t="shared" si="141"/>
        <v>1</v>
      </c>
      <c r="CA150" s="149">
        <f t="shared" si="142"/>
        <v>1</v>
      </c>
      <c r="CB150" s="149">
        <f t="shared" si="143"/>
        <v>1</v>
      </c>
      <c r="CC150" s="149">
        <f t="shared" si="144"/>
        <v>1</v>
      </c>
      <c r="CD150" s="149">
        <f t="shared" si="145"/>
        <v>1</v>
      </c>
      <c r="CE150" s="149">
        <f t="shared" si="146"/>
        <v>1</v>
      </c>
      <c r="CF150" s="149">
        <f t="shared" si="147"/>
        <v>1</v>
      </c>
      <c r="CG150" s="149">
        <f t="shared" si="148"/>
        <v>1</v>
      </c>
      <c r="CH150" s="149">
        <f t="shared" si="149"/>
        <v>1</v>
      </c>
      <c r="CI150" s="149">
        <f t="shared" si="150"/>
        <v>1</v>
      </c>
      <c r="CJ150" s="149">
        <f t="shared" si="151"/>
        <v>1</v>
      </c>
      <c r="CK150" s="149">
        <f t="shared" si="152"/>
        <v>1</v>
      </c>
      <c r="CL150" s="149">
        <f t="shared" si="153"/>
        <v>1</v>
      </c>
      <c r="CM150" s="149">
        <f t="shared" si="154"/>
        <v>1</v>
      </c>
      <c r="CN150" s="149">
        <f t="shared" si="155"/>
        <v>1</v>
      </c>
      <c r="CO150" s="149">
        <f t="shared" si="156"/>
        <v>1</v>
      </c>
      <c r="CP150" s="149">
        <f t="shared" si="157"/>
        <v>1</v>
      </c>
      <c r="CQ150" s="149">
        <f t="shared" si="158"/>
        <v>1</v>
      </c>
      <c r="CR150" s="149">
        <f t="shared" si="159"/>
        <v>1</v>
      </c>
      <c r="CS150" s="149">
        <f t="shared" si="160"/>
        <v>1</v>
      </c>
      <c r="CT150" s="149">
        <f t="shared" si="161"/>
        <v>1</v>
      </c>
      <c r="CU150" s="149">
        <f t="shared" si="162"/>
        <v>1</v>
      </c>
      <c r="CV150" s="149">
        <f t="shared" si="163"/>
        <v>1</v>
      </c>
      <c r="CW150" s="149">
        <f t="shared" si="164"/>
        <v>1</v>
      </c>
      <c r="CX150" s="149">
        <f t="shared" si="165"/>
        <v>1</v>
      </c>
      <c r="CY150" s="149">
        <f t="shared" si="166"/>
        <v>1</v>
      </c>
      <c r="CZ150" s="149">
        <f t="shared" si="167"/>
        <v>1</v>
      </c>
      <c r="DA150" s="149">
        <f t="shared" si="168"/>
        <v>1</v>
      </c>
      <c r="DB150" s="149">
        <f t="shared" si="169"/>
        <v>1</v>
      </c>
      <c r="DG150" s="125">
        <f t="shared" si="184"/>
        <v>1</v>
      </c>
      <c r="DH150" s="125">
        <f t="shared" si="184"/>
        <v>2</v>
      </c>
      <c r="DI150" s="125">
        <f t="shared" si="184"/>
        <v>3</v>
      </c>
      <c r="DJ150" s="125">
        <f t="shared" si="184"/>
        <v>4</v>
      </c>
      <c r="DK150" s="125">
        <f t="shared" si="184"/>
        <v>5</v>
      </c>
      <c r="DL150" s="125">
        <f t="shared" si="184"/>
        <v>6</v>
      </c>
      <c r="DM150" s="125">
        <f t="shared" si="184"/>
        <v>7</v>
      </c>
      <c r="DN150" s="125">
        <f t="shared" si="184"/>
        <v>8</v>
      </c>
      <c r="DO150" s="125">
        <f t="shared" si="184"/>
        <v>9</v>
      </c>
      <c r="DP150" s="125">
        <f t="shared" si="184"/>
        <v>10</v>
      </c>
      <c r="DS150" s="137"/>
      <c r="DT150" s="137"/>
      <c r="DU150" s="137"/>
      <c r="DV150" s="137" t="b">
        <f t="shared" si="170"/>
        <v>0</v>
      </c>
      <c r="DW150" s="137" t="b">
        <f t="shared" si="171"/>
        <v>0</v>
      </c>
      <c r="DX150" s="137" t="b">
        <f t="shared" si="172"/>
        <v>1</v>
      </c>
      <c r="EB150" s="131">
        <f t="shared" si="182"/>
        <v>1</v>
      </c>
      <c r="EC150" s="137" t="b">
        <f t="shared" si="173"/>
        <v>0</v>
      </c>
      <c r="ED150" s="137" t="b">
        <f t="shared" si="174"/>
        <v>0</v>
      </c>
      <c r="EE150" s="137" t="b">
        <f t="shared" si="175"/>
        <v>1</v>
      </c>
      <c r="EF150" s="137"/>
      <c r="EG150" s="137"/>
      <c r="EH150" s="137"/>
      <c r="EI150" s="137"/>
      <c r="EJ150" s="137">
        <f t="shared" si="183"/>
        <v>1</v>
      </c>
      <c r="EK150" s="125">
        <f t="shared" si="176"/>
        <v>0</v>
      </c>
      <c r="EL150" s="125">
        <f t="shared" si="177"/>
        <v>0</v>
      </c>
    </row>
    <row r="151" spans="2:142" ht="15.75" x14ac:dyDescent="0.2">
      <c r="B151" s="160">
        <f t="shared" si="178"/>
        <v>121</v>
      </c>
      <c r="C151" s="205">
        <v>1001350131</v>
      </c>
      <c r="D151" s="205">
        <v>1001270246</v>
      </c>
      <c r="E151" s="205">
        <v>40269761</v>
      </c>
      <c r="F151" s="118">
        <f>IF(OR(J151="",H151=""),"",VLOOKUP(J151,'הזנה לסיווג רשויות'!$B$2:$D$301,2,0))</f>
        <v>20000201</v>
      </c>
      <c r="G151" s="118" t="str">
        <f>IF(OR(J151="",H151=""),"",VLOOKUP(J151,'הזנה לסיווג רשויות'!$B$2:$D$301,3,0))</f>
        <v>תל אביב -יפו</v>
      </c>
      <c r="H151" s="201" t="s">
        <v>620</v>
      </c>
      <c r="I151" s="201" t="s">
        <v>373</v>
      </c>
      <c r="J151" s="205">
        <v>5000</v>
      </c>
      <c r="K151" s="161">
        <v>0</v>
      </c>
      <c r="L151" s="161">
        <v>1</v>
      </c>
      <c r="M151" s="161">
        <v>0</v>
      </c>
      <c r="N151" s="161">
        <v>1</v>
      </c>
      <c r="O151" s="161">
        <v>1</v>
      </c>
      <c r="P151" s="161">
        <v>1</v>
      </c>
      <c r="Q151" s="161">
        <v>1</v>
      </c>
      <c r="R151" s="201">
        <v>2586576</v>
      </c>
      <c r="S151" s="201">
        <v>752151</v>
      </c>
      <c r="T151" s="160">
        <f>IF(G151="","",IFERROR(IF(S151/R151&gt;'פרמטרים לקריטריונים'!$C$20,1,0),0))</f>
        <v>1</v>
      </c>
      <c r="U151" s="201">
        <v>752151</v>
      </c>
      <c r="V151" s="160">
        <f>IF(G151="","",IFERROR(IF(U151/R151&gt;'פרמטרים לקריטריונים'!$C$21,1,IF(AND(I151=$BW$5,U151/R151&gt;'פרמטרים לקריטריונים'!$C$22),1,0)),0))</f>
        <v>1</v>
      </c>
      <c r="W151" s="161">
        <v>1</v>
      </c>
      <c r="X151" s="161">
        <v>1</v>
      </c>
      <c r="Y151" s="201">
        <v>400000</v>
      </c>
      <c r="Z151" s="201">
        <v>400000</v>
      </c>
      <c r="AA151" s="161">
        <f t="shared" si="179"/>
        <v>1</v>
      </c>
      <c r="AB151" s="161"/>
      <c r="AC151" s="161"/>
      <c r="AD151" s="161"/>
      <c r="AE151" s="161"/>
      <c r="AF151" s="161"/>
      <c r="AG151" s="161"/>
      <c r="AH151" s="161"/>
      <c r="AI151" s="161"/>
      <c r="AJ151" s="161"/>
      <c r="AK151" s="161"/>
      <c r="AL151" s="161"/>
      <c r="AM151" s="161"/>
      <c r="AN151" s="161"/>
      <c r="AO151" s="161"/>
      <c r="AP151" s="161"/>
      <c r="AQ151" s="161"/>
      <c r="AR151" s="161"/>
      <c r="AS151" s="161"/>
      <c r="AT151" s="161"/>
      <c r="AU151" s="161"/>
      <c r="AV151" s="161"/>
      <c r="AW151" s="160"/>
      <c r="AX151" s="161"/>
      <c r="AY151" s="161"/>
      <c r="AZ151" s="161"/>
      <c r="BA151" s="161"/>
      <c r="BB151" s="161"/>
      <c r="BC151" s="161"/>
      <c r="BD151" s="161"/>
      <c r="BE151" s="161"/>
      <c r="BF151" s="160" t="str">
        <f t="shared" si="180"/>
        <v/>
      </c>
      <c r="BG151" s="160"/>
      <c r="BH151" s="160"/>
      <c r="BI151" s="160"/>
      <c r="BJ151" s="160"/>
      <c r="BK151" s="160"/>
      <c r="BL151" s="162">
        <f t="shared" si="131"/>
        <v>1</v>
      </c>
      <c r="BM151" s="257"/>
      <c r="BN151" s="163"/>
      <c r="BO151" s="211" t="str">
        <f t="shared" si="132"/>
        <v>נא לגעתתיאטרון</v>
      </c>
      <c r="BP151" s="125">
        <f t="shared" si="133"/>
        <v>1</v>
      </c>
      <c r="BQ151" s="164">
        <v>0</v>
      </c>
      <c r="BR151" s="164">
        <v>1</v>
      </c>
      <c r="BS151" s="149">
        <f t="shared" si="134"/>
        <v>1</v>
      </c>
      <c r="BT151" s="149">
        <f t="shared" si="135"/>
        <v>1</v>
      </c>
      <c r="BU151" s="149">
        <f t="shared" si="136"/>
        <v>1</v>
      </c>
      <c r="BV151" s="149">
        <f t="shared" si="137"/>
        <v>1</v>
      </c>
      <c r="BW151" s="149">
        <f t="shared" si="138"/>
        <v>1</v>
      </c>
      <c r="BX151" s="149">
        <f t="shared" si="139"/>
        <v>1</v>
      </c>
      <c r="BY151" s="149">
        <f t="shared" si="140"/>
        <v>1</v>
      </c>
      <c r="BZ151" s="149">
        <f t="shared" si="141"/>
        <v>1</v>
      </c>
      <c r="CA151" s="149">
        <f t="shared" si="142"/>
        <v>1</v>
      </c>
      <c r="CB151" s="149">
        <f t="shared" si="143"/>
        <v>1</v>
      </c>
      <c r="CC151" s="149">
        <f t="shared" si="144"/>
        <v>1</v>
      </c>
      <c r="CD151" s="149">
        <f t="shared" si="145"/>
        <v>1</v>
      </c>
      <c r="CE151" s="149">
        <f t="shared" si="146"/>
        <v>1</v>
      </c>
      <c r="CF151" s="149">
        <f t="shared" si="147"/>
        <v>1</v>
      </c>
      <c r="CG151" s="149">
        <f t="shared" si="148"/>
        <v>1</v>
      </c>
      <c r="CH151" s="149">
        <f t="shared" si="149"/>
        <v>1</v>
      </c>
      <c r="CI151" s="149">
        <f t="shared" si="150"/>
        <v>1</v>
      </c>
      <c r="CJ151" s="149">
        <f t="shared" si="151"/>
        <v>1</v>
      </c>
      <c r="CK151" s="149">
        <f t="shared" si="152"/>
        <v>1</v>
      </c>
      <c r="CL151" s="149">
        <f t="shared" si="153"/>
        <v>1</v>
      </c>
      <c r="CM151" s="149">
        <f t="shared" si="154"/>
        <v>1</v>
      </c>
      <c r="CN151" s="149">
        <f t="shared" si="155"/>
        <v>1</v>
      </c>
      <c r="CO151" s="149">
        <f t="shared" si="156"/>
        <v>1</v>
      </c>
      <c r="CP151" s="149">
        <f t="shared" si="157"/>
        <v>1</v>
      </c>
      <c r="CQ151" s="149">
        <f t="shared" si="158"/>
        <v>1</v>
      </c>
      <c r="CR151" s="149">
        <f t="shared" si="159"/>
        <v>1</v>
      </c>
      <c r="CS151" s="149">
        <f t="shared" si="160"/>
        <v>1</v>
      </c>
      <c r="CT151" s="149">
        <f t="shared" si="161"/>
        <v>1</v>
      </c>
      <c r="CU151" s="149">
        <f t="shared" si="162"/>
        <v>1</v>
      </c>
      <c r="CV151" s="149">
        <f t="shared" si="163"/>
        <v>1</v>
      </c>
      <c r="CW151" s="149">
        <f t="shared" si="164"/>
        <v>1</v>
      </c>
      <c r="CX151" s="149">
        <f t="shared" si="165"/>
        <v>1</v>
      </c>
      <c r="CY151" s="149">
        <f t="shared" si="166"/>
        <v>1</v>
      </c>
      <c r="CZ151" s="149">
        <f t="shared" si="167"/>
        <v>1</v>
      </c>
      <c r="DA151" s="149">
        <f t="shared" si="168"/>
        <v>1</v>
      </c>
      <c r="DB151" s="149">
        <f t="shared" si="169"/>
        <v>1</v>
      </c>
      <c r="DG151" s="125">
        <f t="shared" si="184"/>
        <v>1</v>
      </c>
      <c r="DH151" s="125">
        <f t="shared" si="184"/>
        <v>2</v>
      </c>
      <c r="DI151" s="125">
        <f t="shared" si="184"/>
        <v>3</v>
      </c>
      <c r="DJ151" s="125">
        <f t="shared" si="184"/>
        <v>4</v>
      </c>
      <c r="DK151" s="125">
        <f t="shared" si="184"/>
        <v>5</v>
      </c>
      <c r="DL151" s="125">
        <f t="shared" ref="DH151:DP179" si="185">IF($G151="","",DL$30)</f>
        <v>6</v>
      </c>
      <c r="DM151" s="125">
        <f t="shared" si="185"/>
        <v>7</v>
      </c>
      <c r="DN151" s="125">
        <f t="shared" si="185"/>
        <v>8</v>
      </c>
      <c r="DO151" s="125">
        <f t="shared" si="185"/>
        <v>9</v>
      </c>
      <c r="DP151" s="125">
        <f t="shared" si="185"/>
        <v>10</v>
      </c>
      <c r="DS151" s="137"/>
      <c r="DT151" s="137"/>
      <c r="DU151" s="137"/>
      <c r="DV151" s="137" t="b">
        <f t="shared" si="170"/>
        <v>0</v>
      </c>
      <c r="DW151" s="137" t="b">
        <f t="shared" si="171"/>
        <v>0</v>
      </c>
      <c r="DX151" s="137" t="b">
        <f t="shared" si="172"/>
        <v>1</v>
      </c>
      <c r="EB151" s="131">
        <f t="shared" si="182"/>
        <v>1</v>
      </c>
      <c r="EC151" s="137" t="b">
        <f t="shared" si="173"/>
        <v>0</v>
      </c>
      <c r="ED151" s="137" t="b">
        <f t="shared" si="174"/>
        <v>0</v>
      </c>
      <c r="EE151" s="137" t="b">
        <f t="shared" si="175"/>
        <v>1</v>
      </c>
      <c r="EF151" s="137"/>
      <c r="EG151" s="137"/>
      <c r="EH151" s="137"/>
      <c r="EI151" s="137"/>
      <c r="EJ151" s="137">
        <f t="shared" si="183"/>
        <v>1</v>
      </c>
      <c r="EK151" s="125">
        <f t="shared" si="176"/>
        <v>0</v>
      </c>
      <c r="EL151" s="125">
        <f t="shared" si="177"/>
        <v>0</v>
      </c>
    </row>
    <row r="152" spans="2:142" ht="15.75" x14ac:dyDescent="0.2">
      <c r="B152" s="160">
        <f t="shared" si="178"/>
        <v>122</v>
      </c>
      <c r="C152" s="205">
        <v>1001347266</v>
      </c>
      <c r="D152" s="205">
        <v>1001266737</v>
      </c>
      <c r="E152" s="205">
        <v>40299484</v>
      </c>
      <c r="F152" s="118">
        <f>IF(OR(J152="",H152=""),"",VLOOKUP(J152,'הזנה לסיווג רשויות'!$B$2:$D$301,2,0))</f>
        <v>20000159</v>
      </c>
      <c r="G152" s="118" t="str">
        <f>IF(OR(J152="",H152=""),"",VLOOKUP(J152,'הזנה לסיווג רשויות'!$B$2:$D$301,3,0))</f>
        <v>ירושלים</v>
      </c>
      <c r="H152" s="201" t="s">
        <v>621</v>
      </c>
      <c r="I152" s="201" t="s">
        <v>376</v>
      </c>
      <c r="J152" s="205">
        <v>3000</v>
      </c>
      <c r="K152" s="161">
        <v>0</v>
      </c>
      <c r="L152" s="161">
        <v>1</v>
      </c>
      <c r="M152" s="161">
        <v>0</v>
      </c>
      <c r="N152" s="161">
        <v>1</v>
      </c>
      <c r="O152" s="161">
        <v>1</v>
      </c>
      <c r="P152" s="161">
        <v>1</v>
      </c>
      <c r="Q152" s="161">
        <v>1</v>
      </c>
      <c r="R152" s="201">
        <v>10115818</v>
      </c>
      <c r="S152" s="201">
        <v>3382773</v>
      </c>
      <c r="T152" s="160">
        <f>IF(G152="","",IFERROR(IF(S152/R152&gt;'פרמטרים לקריטריונים'!$C$20,1,0),0))</f>
        <v>1</v>
      </c>
      <c r="U152" s="201">
        <v>3254781</v>
      </c>
      <c r="V152" s="160">
        <f>IF(G152="","",IFERROR(IF(U152/R152&gt;'פרמטרים לקריטריונים'!$C$21,1,IF(AND(I152=$BW$5,U152/R152&gt;'פרמטרים לקריטריונים'!$C$22),1,0)),0))</f>
        <v>1</v>
      </c>
      <c r="W152" s="161">
        <v>1</v>
      </c>
      <c r="X152" s="161">
        <v>1</v>
      </c>
      <c r="Y152" s="201">
        <v>1200000</v>
      </c>
      <c r="Z152" s="201">
        <v>100000</v>
      </c>
      <c r="AA152" s="161">
        <f t="shared" si="179"/>
        <v>1</v>
      </c>
      <c r="AB152" s="161"/>
      <c r="AC152" s="161"/>
      <c r="AD152" s="161"/>
      <c r="AE152" s="161"/>
      <c r="AF152" s="161"/>
      <c r="AG152" s="161"/>
      <c r="AH152" s="161"/>
      <c r="AI152" s="161"/>
      <c r="AJ152" s="161"/>
      <c r="AK152" s="161"/>
      <c r="AL152" s="161"/>
      <c r="AM152" s="161"/>
      <c r="AN152" s="161"/>
      <c r="AO152" s="161"/>
      <c r="AP152" s="161"/>
      <c r="AQ152" s="161"/>
      <c r="AR152" s="161"/>
      <c r="AS152" s="161"/>
      <c r="AT152" s="161"/>
      <c r="AU152" s="161"/>
      <c r="AV152" s="161"/>
      <c r="AW152" s="160"/>
      <c r="AX152" s="161"/>
      <c r="AY152" s="161"/>
      <c r="AZ152" s="161"/>
      <c r="BA152" s="161"/>
      <c r="BB152" s="161"/>
      <c r="BC152" s="161"/>
      <c r="BD152" s="161"/>
      <c r="BE152" s="161"/>
      <c r="BF152" s="160" t="str">
        <f t="shared" si="180"/>
        <v/>
      </c>
      <c r="BG152" s="160"/>
      <c r="BH152" s="160"/>
      <c r="BI152" s="160"/>
      <c r="BJ152" s="160"/>
      <c r="BK152" s="160"/>
      <c r="BL152" s="162">
        <f t="shared" si="131"/>
        <v>1</v>
      </c>
      <c r="BM152" s="257"/>
      <c r="BN152" s="163"/>
      <c r="BO152" s="211" t="str">
        <f t="shared" si="132"/>
        <v>קרן אהבת קדומים תזמורת י-םמוסיקה-גופים כליים</v>
      </c>
      <c r="BP152" s="125">
        <f t="shared" si="133"/>
        <v>1</v>
      </c>
      <c r="BQ152" s="164">
        <v>0</v>
      </c>
      <c r="BR152" s="164">
        <v>1</v>
      </c>
      <c r="BS152" s="149">
        <f t="shared" si="134"/>
        <v>1</v>
      </c>
      <c r="BT152" s="149">
        <f t="shared" si="135"/>
        <v>1</v>
      </c>
      <c r="BU152" s="149">
        <f t="shared" si="136"/>
        <v>1</v>
      </c>
      <c r="BV152" s="149">
        <f t="shared" si="137"/>
        <v>1</v>
      </c>
      <c r="BW152" s="149">
        <f t="shared" si="138"/>
        <v>1</v>
      </c>
      <c r="BX152" s="149">
        <f t="shared" si="139"/>
        <v>1</v>
      </c>
      <c r="BY152" s="149">
        <f t="shared" si="140"/>
        <v>1</v>
      </c>
      <c r="BZ152" s="149">
        <f t="shared" si="141"/>
        <v>1</v>
      </c>
      <c r="CA152" s="149">
        <f t="shared" si="142"/>
        <v>1</v>
      </c>
      <c r="CB152" s="149">
        <f t="shared" si="143"/>
        <v>1</v>
      </c>
      <c r="CC152" s="149">
        <f t="shared" si="144"/>
        <v>1</v>
      </c>
      <c r="CD152" s="149">
        <f t="shared" si="145"/>
        <v>1</v>
      </c>
      <c r="CE152" s="149">
        <f t="shared" si="146"/>
        <v>1</v>
      </c>
      <c r="CF152" s="149">
        <f t="shared" si="147"/>
        <v>1</v>
      </c>
      <c r="CG152" s="149">
        <f t="shared" si="148"/>
        <v>1</v>
      </c>
      <c r="CH152" s="149">
        <f t="shared" si="149"/>
        <v>1</v>
      </c>
      <c r="CI152" s="149">
        <f t="shared" si="150"/>
        <v>1</v>
      </c>
      <c r="CJ152" s="149">
        <f t="shared" si="151"/>
        <v>1</v>
      </c>
      <c r="CK152" s="149">
        <f t="shared" si="152"/>
        <v>1</v>
      </c>
      <c r="CL152" s="149">
        <f t="shared" si="153"/>
        <v>1</v>
      </c>
      <c r="CM152" s="149">
        <f t="shared" si="154"/>
        <v>1</v>
      </c>
      <c r="CN152" s="149">
        <f t="shared" si="155"/>
        <v>1</v>
      </c>
      <c r="CO152" s="149">
        <f t="shared" si="156"/>
        <v>1</v>
      </c>
      <c r="CP152" s="149">
        <f t="shared" si="157"/>
        <v>1</v>
      </c>
      <c r="CQ152" s="149">
        <f t="shared" si="158"/>
        <v>1</v>
      </c>
      <c r="CR152" s="149">
        <f t="shared" si="159"/>
        <v>1</v>
      </c>
      <c r="CS152" s="149">
        <f t="shared" si="160"/>
        <v>1</v>
      </c>
      <c r="CT152" s="149">
        <f t="shared" si="161"/>
        <v>1</v>
      </c>
      <c r="CU152" s="149">
        <f t="shared" si="162"/>
        <v>1</v>
      </c>
      <c r="CV152" s="149">
        <f t="shared" si="163"/>
        <v>1</v>
      </c>
      <c r="CW152" s="149">
        <f t="shared" si="164"/>
        <v>1</v>
      </c>
      <c r="CX152" s="149">
        <f t="shared" si="165"/>
        <v>1</v>
      </c>
      <c r="CY152" s="149">
        <f t="shared" si="166"/>
        <v>1</v>
      </c>
      <c r="CZ152" s="149">
        <f t="shared" si="167"/>
        <v>1</v>
      </c>
      <c r="DA152" s="149">
        <f t="shared" si="168"/>
        <v>1</v>
      </c>
      <c r="DB152" s="149">
        <f t="shared" si="169"/>
        <v>1</v>
      </c>
      <c r="DG152" s="125">
        <f t="shared" ref="DG152:DG215" si="186">IF($G152="","",DG$30)</f>
        <v>1</v>
      </c>
      <c r="DH152" s="125">
        <f t="shared" si="185"/>
        <v>2</v>
      </c>
      <c r="DI152" s="125">
        <f t="shared" si="185"/>
        <v>3</v>
      </c>
      <c r="DJ152" s="125">
        <f t="shared" si="185"/>
        <v>4</v>
      </c>
      <c r="DK152" s="125">
        <f t="shared" si="185"/>
        <v>5</v>
      </c>
      <c r="DL152" s="125">
        <f t="shared" si="185"/>
        <v>6</v>
      </c>
      <c r="DM152" s="125">
        <f t="shared" si="185"/>
        <v>7</v>
      </c>
      <c r="DN152" s="125">
        <f t="shared" si="185"/>
        <v>8</v>
      </c>
      <c r="DO152" s="125">
        <f t="shared" si="185"/>
        <v>9</v>
      </c>
      <c r="DP152" s="125">
        <f t="shared" si="185"/>
        <v>10</v>
      </c>
      <c r="DS152" s="137"/>
      <c r="DT152" s="137"/>
      <c r="DU152" s="137"/>
      <c r="DV152" s="137" t="b">
        <f t="shared" si="170"/>
        <v>0</v>
      </c>
      <c r="DW152" s="137" t="b">
        <f t="shared" si="171"/>
        <v>0</v>
      </c>
      <c r="DX152" s="137" t="b">
        <f t="shared" si="172"/>
        <v>1</v>
      </c>
      <c r="EB152" s="131">
        <f t="shared" si="182"/>
        <v>1</v>
      </c>
      <c r="EC152" s="137" t="b">
        <f t="shared" si="173"/>
        <v>0</v>
      </c>
      <c r="ED152" s="137" t="b">
        <f t="shared" si="174"/>
        <v>0</v>
      </c>
      <c r="EE152" s="137" t="b">
        <f t="shared" si="175"/>
        <v>1</v>
      </c>
      <c r="EF152" s="137"/>
      <c r="EG152" s="137"/>
      <c r="EH152" s="137"/>
      <c r="EI152" s="137"/>
      <c r="EJ152" s="137">
        <f t="shared" si="183"/>
        <v>1</v>
      </c>
      <c r="EK152" s="125">
        <f t="shared" si="176"/>
        <v>0</v>
      </c>
      <c r="EL152" s="125">
        <f t="shared" si="177"/>
        <v>0</v>
      </c>
    </row>
    <row r="153" spans="2:142" ht="15.75" x14ac:dyDescent="0.2">
      <c r="B153" s="160">
        <f t="shared" si="178"/>
        <v>123</v>
      </c>
      <c r="C153" s="205">
        <v>1001348246</v>
      </c>
      <c r="D153" s="205">
        <v>1001266660</v>
      </c>
      <c r="E153" s="205">
        <v>40327977</v>
      </c>
      <c r="F153" s="118">
        <f>IF(OR(J153="",H153=""),"",VLOOKUP(J153,'הזנה לסיווג רשויות'!$B$2:$D$301,2,0))</f>
        <v>20000159</v>
      </c>
      <c r="G153" s="118" t="str">
        <f>IF(OR(J153="",H153=""),"",VLOOKUP(J153,'הזנה לסיווג רשויות'!$B$2:$D$301,3,0))</f>
        <v>ירושלים</v>
      </c>
      <c r="H153" s="201" t="s">
        <v>622</v>
      </c>
      <c r="I153" s="201" t="s">
        <v>394</v>
      </c>
      <c r="J153" s="205">
        <v>3000</v>
      </c>
      <c r="K153" s="161">
        <v>0</v>
      </c>
      <c r="L153" s="161">
        <v>1</v>
      </c>
      <c r="M153" s="161">
        <v>0</v>
      </c>
      <c r="N153" s="161">
        <v>0</v>
      </c>
      <c r="O153" s="161">
        <v>1</v>
      </c>
      <c r="P153" s="161">
        <v>1</v>
      </c>
      <c r="Q153" s="161">
        <v>1</v>
      </c>
      <c r="R153" s="201">
        <v>304105</v>
      </c>
      <c r="S153" s="201">
        <v>124105</v>
      </c>
      <c r="T153" s="160">
        <f>IF(G153="","",IFERROR(IF(S153/R153&gt;'פרמטרים לקריטריונים'!$C$20,1,0),0))</f>
        <v>1</v>
      </c>
      <c r="U153" s="201">
        <v>93605</v>
      </c>
      <c r="V153" s="160">
        <f>IF(G153="","",IFERROR(IF(U153/R153&gt;'פרמטרים לקריטריונים'!$C$21,1,IF(AND(I153=$BW$5,U153/R153&gt;'פרמטרים לקריטריונים'!$C$22),1,0)),0))</f>
        <v>1</v>
      </c>
      <c r="W153" s="161">
        <v>1</v>
      </c>
      <c r="X153" s="161">
        <v>1</v>
      </c>
      <c r="Y153" s="201">
        <v>600000</v>
      </c>
      <c r="Z153" s="201">
        <v>60000</v>
      </c>
      <c r="AA153" s="161">
        <f t="shared" si="179"/>
        <v>1</v>
      </c>
      <c r="AB153" s="161"/>
      <c r="AC153" s="161"/>
      <c r="AD153" s="161"/>
      <c r="AE153" s="161"/>
      <c r="AF153" s="161"/>
      <c r="AG153" s="161"/>
      <c r="AH153" s="161"/>
      <c r="AI153" s="161"/>
      <c r="AJ153" s="161"/>
      <c r="AK153" s="161"/>
      <c r="AL153" s="161"/>
      <c r="AM153" s="161"/>
      <c r="AN153" s="161"/>
      <c r="AO153" s="161"/>
      <c r="AP153" s="161"/>
      <c r="AQ153" s="161"/>
      <c r="AR153" s="161"/>
      <c r="AS153" s="161"/>
      <c r="AT153" s="161"/>
      <c r="AU153" s="161"/>
      <c r="AV153" s="161"/>
      <c r="AW153" s="160"/>
      <c r="AX153" s="161"/>
      <c r="AY153" s="161"/>
      <c r="AZ153" s="161"/>
      <c r="BA153" s="161"/>
      <c r="BB153" s="161"/>
      <c r="BC153" s="161"/>
      <c r="BD153" s="161"/>
      <c r="BE153" s="161"/>
      <c r="BF153" s="160" t="str">
        <f t="shared" si="180"/>
        <v/>
      </c>
      <c r="BG153" s="160"/>
      <c r="BH153" s="160"/>
      <c r="BI153" s="160"/>
      <c r="BJ153" s="160"/>
      <c r="BK153" s="160"/>
      <c r="BL153" s="162">
        <f t="shared" si="131"/>
        <v>1</v>
      </c>
      <c r="BM153" s="257"/>
      <c r="BN153" s="163"/>
      <c r="BO153" s="211" t="str">
        <f t="shared" si="132"/>
        <v>אביביםתרבות חרדית</v>
      </c>
      <c r="BP153" s="125">
        <f t="shared" si="133"/>
        <v>1</v>
      </c>
      <c r="BQ153" s="164">
        <v>0</v>
      </c>
      <c r="BR153" s="164">
        <v>1</v>
      </c>
      <c r="BS153" s="149">
        <f t="shared" si="134"/>
        <v>1</v>
      </c>
      <c r="BT153" s="149">
        <f t="shared" si="135"/>
        <v>1</v>
      </c>
      <c r="BU153" s="149">
        <f t="shared" si="136"/>
        <v>1</v>
      </c>
      <c r="BV153" s="149">
        <f t="shared" si="137"/>
        <v>1</v>
      </c>
      <c r="BW153" s="149">
        <f t="shared" si="138"/>
        <v>1</v>
      </c>
      <c r="BX153" s="149">
        <f t="shared" si="139"/>
        <v>1</v>
      </c>
      <c r="BY153" s="149">
        <f t="shared" si="140"/>
        <v>1</v>
      </c>
      <c r="BZ153" s="149">
        <f t="shared" si="141"/>
        <v>1</v>
      </c>
      <c r="CA153" s="149">
        <f t="shared" si="142"/>
        <v>1</v>
      </c>
      <c r="CB153" s="149">
        <f t="shared" si="143"/>
        <v>1</v>
      </c>
      <c r="CC153" s="149">
        <f t="shared" si="144"/>
        <v>1</v>
      </c>
      <c r="CD153" s="149">
        <f t="shared" si="145"/>
        <v>1</v>
      </c>
      <c r="CE153" s="149">
        <f t="shared" si="146"/>
        <v>1</v>
      </c>
      <c r="CF153" s="149">
        <f t="shared" si="147"/>
        <v>1</v>
      </c>
      <c r="CG153" s="149">
        <f t="shared" si="148"/>
        <v>1</v>
      </c>
      <c r="CH153" s="149">
        <f t="shared" si="149"/>
        <v>1</v>
      </c>
      <c r="CI153" s="149">
        <f t="shared" si="150"/>
        <v>1</v>
      </c>
      <c r="CJ153" s="149">
        <f t="shared" si="151"/>
        <v>1</v>
      </c>
      <c r="CK153" s="149">
        <f t="shared" si="152"/>
        <v>1</v>
      </c>
      <c r="CL153" s="149">
        <f t="shared" si="153"/>
        <v>1</v>
      </c>
      <c r="CM153" s="149">
        <f t="shared" si="154"/>
        <v>1</v>
      </c>
      <c r="CN153" s="149">
        <f t="shared" si="155"/>
        <v>1</v>
      </c>
      <c r="CO153" s="149">
        <f t="shared" si="156"/>
        <v>1</v>
      </c>
      <c r="CP153" s="149">
        <f t="shared" si="157"/>
        <v>1</v>
      </c>
      <c r="CQ153" s="149">
        <f t="shared" si="158"/>
        <v>1</v>
      </c>
      <c r="CR153" s="149">
        <f t="shared" si="159"/>
        <v>1</v>
      </c>
      <c r="CS153" s="149">
        <f t="shared" si="160"/>
        <v>1</v>
      </c>
      <c r="CT153" s="149">
        <f t="shared" si="161"/>
        <v>1</v>
      </c>
      <c r="CU153" s="149">
        <f t="shared" si="162"/>
        <v>1</v>
      </c>
      <c r="CV153" s="149">
        <f t="shared" si="163"/>
        <v>1</v>
      </c>
      <c r="CW153" s="149">
        <f t="shared" si="164"/>
        <v>1</v>
      </c>
      <c r="CX153" s="149">
        <f t="shared" si="165"/>
        <v>1</v>
      </c>
      <c r="CY153" s="149">
        <f t="shared" si="166"/>
        <v>1</v>
      </c>
      <c r="CZ153" s="149">
        <f t="shared" si="167"/>
        <v>1</v>
      </c>
      <c r="DA153" s="149">
        <f t="shared" si="168"/>
        <v>1</v>
      </c>
      <c r="DB153" s="149">
        <f t="shared" si="169"/>
        <v>1</v>
      </c>
      <c r="DG153" s="125">
        <f t="shared" si="186"/>
        <v>1</v>
      </c>
      <c r="DH153" s="125">
        <f t="shared" si="185"/>
        <v>2</v>
      </c>
      <c r="DI153" s="125">
        <f t="shared" si="185"/>
        <v>3</v>
      </c>
      <c r="DJ153" s="125">
        <f t="shared" si="185"/>
        <v>4</v>
      </c>
      <c r="DK153" s="125">
        <f t="shared" si="185"/>
        <v>5</v>
      </c>
      <c r="DL153" s="125">
        <f t="shared" si="185"/>
        <v>6</v>
      </c>
      <c r="DM153" s="125">
        <f t="shared" si="185"/>
        <v>7</v>
      </c>
      <c r="DN153" s="125">
        <f t="shared" si="185"/>
        <v>8</v>
      </c>
      <c r="DO153" s="125">
        <f t="shared" si="185"/>
        <v>9</v>
      </c>
      <c r="DP153" s="125">
        <f t="shared" si="185"/>
        <v>10</v>
      </c>
      <c r="DS153" s="137"/>
      <c r="DT153" s="137"/>
      <c r="DU153" s="137"/>
      <c r="DV153" s="137" t="b">
        <f t="shared" si="170"/>
        <v>0</v>
      </c>
      <c r="DW153" s="137" t="b">
        <f t="shared" si="171"/>
        <v>0</v>
      </c>
      <c r="DX153" s="137" t="b">
        <f t="shared" si="172"/>
        <v>1</v>
      </c>
      <c r="EB153" s="131">
        <f t="shared" si="182"/>
        <v>1</v>
      </c>
      <c r="EC153" s="137" t="b">
        <f t="shared" si="173"/>
        <v>0</v>
      </c>
      <c r="ED153" s="137" t="b">
        <f t="shared" si="174"/>
        <v>0</v>
      </c>
      <c r="EE153" s="137" t="b">
        <f t="shared" si="175"/>
        <v>1</v>
      </c>
      <c r="EF153" s="137"/>
      <c r="EG153" s="137"/>
      <c r="EH153" s="137"/>
      <c r="EI153" s="137"/>
      <c r="EJ153" s="137">
        <f t="shared" si="183"/>
        <v>1</v>
      </c>
      <c r="EK153" s="125">
        <f t="shared" si="176"/>
        <v>0</v>
      </c>
      <c r="EL153" s="125">
        <f t="shared" si="177"/>
        <v>0</v>
      </c>
    </row>
    <row r="154" spans="2:142" ht="15.75" x14ac:dyDescent="0.2">
      <c r="B154" s="160">
        <f t="shared" si="178"/>
        <v>124</v>
      </c>
      <c r="C154" s="205">
        <v>1001349552</v>
      </c>
      <c r="D154" s="205">
        <v>1001290587</v>
      </c>
      <c r="E154" s="205">
        <v>41053690</v>
      </c>
      <c r="F154" s="118">
        <f>IF(OR(J154="",H154=""),"",VLOOKUP(J154,'הזנה לסיווג רשויות'!$B$2:$D$301,2,0))</f>
        <v>20000072</v>
      </c>
      <c r="G154" s="118" t="str">
        <f>IF(OR(J154="",H154=""),"",VLOOKUP(J154,'הזנה לסיווג רשויות'!$B$2:$D$301,3,0))</f>
        <v>ראמה</v>
      </c>
      <c r="H154" s="201" t="s">
        <v>623</v>
      </c>
      <c r="I154" s="201" t="s">
        <v>395</v>
      </c>
      <c r="J154" s="205">
        <v>543</v>
      </c>
      <c r="K154" s="161">
        <v>0</v>
      </c>
      <c r="L154" s="161">
        <v>1</v>
      </c>
      <c r="M154" s="161">
        <v>0</v>
      </c>
      <c r="N154" s="161">
        <v>0</v>
      </c>
      <c r="O154" s="161">
        <v>1</v>
      </c>
      <c r="P154" s="161">
        <v>1</v>
      </c>
      <c r="Q154" s="161">
        <v>1</v>
      </c>
      <c r="R154" s="201">
        <v>1243105</v>
      </c>
      <c r="S154" s="201">
        <v>807508</v>
      </c>
      <c r="T154" s="160">
        <f>IF(G154="","",IFERROR(IF(S154/R154&gt;'פרמטרים לקריטריונים'!$C$20,1,0),0))</f>
        <v>1</v>
      </c>
      <c r="U154" s="201">
        <v>642365</v>
      </c>
      <c r="V154" s="160">
        <f>IF(G154="","",IFERROR(IF(U154/R154&gt;'פרמטרים לקריטריונים'!$C$21,1,IF(AND(I154=$BW$5,U154/R154&gt;'פרמטרים לקריטריונים'!$C$22),1,0)),0))</f>
        <v>1</v>
      </c>
      <c r="W154" s="161">
        <v>1</v>
      </c>
      <c r="X154" s="161">
        <v>1</v>
      </c>
      <c r="Y154" s="201">
        <v>500000</v>
      </c>
      <c r="Z154" s="201">
        <v>200000</v>
      </c>
      <c r="AA154" s="161">
        <f t="shared" si="179"/>
        <v>1</v>
      </c>
      <c r="AB154" s="161"/>
      <c r="AC154" s="161"/>
      <c r="AD154" s="161"/>
      <c r="AE154" s="161"/>
      <c r="AF154" s="161"/>
      <c r="AG154" s="161"/>
      <c r="AH154" s="161"/>
      <c r="AI154" s="161"/>
      <c r="AJ154" s="161"/>
      <c r="AK154" s="161"/>
      <c r="AL154" s="161"/>
      <c r="AM154" s="161"/>
      <c r="AN154" s="161"/>
      <c r="AO154" s="161"/>
      <c r="AP154" s="161"/>
      <c r="AQ154" s="161"/>
      <c r="AR154" s="161"/>
      <c r="AS154" s="161"/>
      <c r="AT154" s="161"/>
      <c r="AU154" s="161"/>
      <c r="AV154" s="161"/>
      <c r="AW154" s="160"/>
      <c r="AX154" s="161"/>
      <c r="AY154" s="161"/>
      <c r="AZ154" s="161"/>
      <c r="BA154" s="161"/>
      <c r="BB154" s="161"/>
      <c r="BC154" s="161"/>
      <c r="BD154" s="161"/>
      <c r="BE154" s="161"/>
      <c r="BF154" s="160" t="str">
        <f t="shared" si="180"/>
        <v/>
      </c>
      <c r="BG154" s="160"/>
      <c r="BH154" s="160"/>
      <c r="BI154" s="160"/>
      <c r="BJ154" s="160"/>
      <c r="BK154" s="160"/>
      <c r="BL154" s="162">
        <f t="shared" si="131"/>
        <v>1</v>
      </c>
      <c r="BM154" s="257"/>
      <c r="BN154" s="163"/>
      <c r="BO154" s="211" t="str">
        <f t="shared" si="132"/>
        <v>סיראג'תרבות ערבית</v>
      </c>
      <c r="BP154" s="125">
        <f t="shared" si="133"/>
        <v>1</v>
      </c>
      <c r="BQ154" s="164">
        <v>0</v>
      </c>
      <c r="BR154" s="164">
        <v>1</v>
      </c>
      <c r="BS154" s="149">
        <f t="shared" si="134"/>
        <v>1</v>
      </c>
      <c r="BT154" s="149">
        <f t="shared" si="135"/>
        <v>1</v>
      </c>
      <c r="BU154" s="149">
        <f t="shared" si="136"/>
        <v>1</v>
      </c>
      <c r="BV154" s="149">
        <f t="shared" si="137"/>
        <v>1</v>
      </c>
      <c r="BW154" s="149">
        <f t="shared" si="138"/>
        <v>1</v>
      </c>
      <c r="BX154" s="149">
        <f t="shared" si="139"/>
        <v>1</v>
      </c>
      <c r="BY154" s="149">
        <f t="shared" si="140"/>
        <v>1</v>
      </c>
      <c r="BZ154" s="149">
        <f t="shared" si="141"/>
        <v>1</v>
      </c>
      <c r="CA154" s="149">
        <f t="shared" si="142"/>
        <v>1</v>
      </c>
      <c r="CB154" s="149">
        <f t="shared" si="143"/>
        <v>1</v>
      </c>
      <c r="CC154" s="149">
        <f t="shared" si="144"/>
        <v>1</v>
      </c>
      <c r="CD154" s="149">
        <f t="shared" si="145"/>
        <v>1</v>
      </c>
      <c r="CE154" s="149">
        <f t="shared" si="146"/>
        <v>1</v>
      </c>
      <c r="CF154" s="149">
        <f t="shared" si="147"/>
        <v>1</v>
      </c>
      <c r="CG154" s="149">
        <f t="shared" si="148"/>
        <v>1</v>
      </c>
      <c r="CH154" s="149">
        <f t="shared" si="149"/>
        <v>1</v>
      </c>
      <c r="CI154" s="149">
        <f t="shared" si="150"/>
        <v>1</v>
      </c>
      <c r="CJ154" s="149">
        <f t="shared" si="151"/>
        <v>1</v>
      </c>
      <c r="CK154" s="149">
        <f t="shared" si="152"/>
        <v>1</v>
      </c>
      <c r="CL154" s="149">
        <f t="shared" si="153"/>
        <v>1</v>
      </c>
      <c r="CM154" s="149">
        <f t="shared" si="154"/>
        <v>1</v>
      </c>
      <c r="CN154" s="149">
        <f t="shared" si="155"/>
        <v>1</v>
      </c>
      <c r="CO154" s="149">
        <f t="shared" si="156"/>
        <v>1</v>
      </c>
      <c r="CP154" s="149">
        <f t="shared" si="157"/>
        <v>1</v>
      </c>
      <c r="CQ154" s="149">
        <f t="shared" si="158"/>
        <v>1</v>
      </c>
      <c r="CR154" s="149">
        <f t="shared" si="159"/>
        <v>1</v>
      </c>
      <c r="CS154" s="149">
        <f t="shared" si="160"/>
        <v>1</v>
      </c>
      <c r="CT154" s="149">
        <f t="shared" si="161"/>
        <v>1</v>
      </c>
      <c r="CU154" s="149">
        <f t="shared" si="162"/>
        <v>1</v>
      </c>
      <c r="CV154" s="149">
        <f t="shared" si="163"/>
        <v>1</v>
      </c>
      <c r="CW154" s="149">
        <f t="shared" si="164"/>
        <v>1</v>
      </c>
      <c r="CX154" s="149">
        <f t="shared" si="165"/>
        <v>1</v>
      </c>
      <c r="CY154" s="149">
        <f t="shared" si="166"/>
        <v>1</v>
      </c>
      <c r="CZ154" s="149">
        <f t="shared" si="167"/>
        <v>1</v>
      </c>
      <c r="DA154" s="149">
        <f t="shared" si="168"/>
        <v>1</v>
      </c>
      <c r="DB154" s="149">
        <f t="shared" si="169"/>
        <v>1</v>
      </c>
      <c r="DG154" s="125">
        <f t="shared" si="186"/>
        <v>1</v>
      </c>
      <c r="DH154" s="125">
        <f t="shared" si="185"/>
        <v>2</v>
      </c>
      <c r="DI154" s="125">
        <f t="shared" si="185"/>
        <v>3</v>
      </c>
      <c r="DJ154" s="125">
        <f t="shared" si="185"/>
        <v>4</v>
      </c>
      <c r="DK154" s="125">
        <f t="shared" si="185"/>
        <v>5</v>
      </c>
      <c r="DL154" s="125">
        <f t="shared" si="185"/>
        <v>6</v>
      </c>
      <c r="DM154" s="125">
        <f t="shared" si="185"/>
        <v>7</v>
      </c>
      <c r="DN154" s="125">
        <f t="shared" si="185"/>
        <v>8</v>
      </c>
      <c r="DO154" s="125">
        <f t="shared" si="185"/>
        <v>9</v>
      </c>
      <c r="DP154" s="125">
        <f t="shared" si="185"/>
        <v>10</v>
      </c>
      <c r="DS154" s="137"/>
      <c r="DT154" s="137"/>
      <c r="DU154" s="137"/>
      <c r="DV154" s="137" t="b">
        <f t="shared" si="170"/>
        <v>0</v>
      </c>
      <c r="DW154" s="137" t="b">
        <f t="shared" si="171"/>
        <v>0</v>
      </c>
      <c r="DX154" s="137" t="b">
        <f t="shared" si="172"/>
        <v>1</v>
      </c>
      <c r="EB154" s="131">
        <f t="shared" si="182"/>
        <v>1</v>
      </c>
      <c r="EC154" s="137" t="b">
        <f t="shared" si="173"/>
        <v>0</v>
      </c>
      <c r="ED154" s="137" t="b">
        <f t="shared" si="174"/>
        <v>0</v>
      </c>
      <c r="EE154" s="137" t="b">
        <f t="shared" si="175"/>
        <v>1</v>
      </c>
      <c r="EF154" s="137"/>
      <c r="EG154" s="137"/>
      <c r="EH154" s="137"/>
      <c r="EI154" s="137"/>
      <c r="EJ154" s="137">
        <f t="shared" si="183"/>
        <v>1</v>
      </c>
      <c r="EK154" s="125">
        <f t="shared" si="176"/>
        <v>0</v>
      </c>
      <c r="EL154" s="125">
        <f t="shared" si="177"/>
        <v>0</v>
      </c>
    </row>
    <row r="155" spans="2:142" ht="15.75" x14ac:dyDescent="0.25">
      <c r="B155" s="160">
        <f t="shared" si="178"/>
        <v>125</v>
      </c>
      <c r="C155" s="205">
        <v>1001347776</v>
      </c>
      <c r="D155" s="205">
        <v>1001276514</v>
      </c>
      <c r="E155" s="205">
        <v>40946840</v>
      </c>
      <c r="F155" s="118">
        <f>IF(OR(J155="",H155=""),"",VLOOKUP(J155,'הזנה לסיווג רשויות'!$B$2:$D$301,2,0))</f>
        <v>20000231</v>
      </c>
      <c r="G155" s="118" t="str">
        <f>IF(OR(J155="",H155=""),"",VLOOKUP(J155,'הזנה לסיווג רשויות'!$B$2:$D$301,3,0))</f>
        <v>נצרת</v>
      </c>
      <c r="H155" s="281" t="s">
        <v>624</v>
      </c>
      <c r="I155" s="201" t="s">
        <v>395</v>
      </c>
      <c r="J155" s="205">
        <v>7300</v>
      </c>
      <c r="K155" s="161">
        <v>0</v>
      </c>
      <c r="L155" s="161">
        <v>1</v>
      </c>
      <c r="M155" s="161">
        <v>0</v>
      </c>
      <c r="N155" s="161">
        <v>0</v>
      </c>
      <c r="O155" s="161">
        <v>1</v>
      </c>
      <c r="P155" s="161">
        <v>1</v>
      </c>
      <c r="Q155" s="161">
        <v>1</v>
      </c>
      <c r="R155" s="201">
        <v>370873</v>
      </c>
      <c r="S155" s="201">
        <v>131667</v>
      </c>
      <c r="T155" s="160">
        <f>IF(G155="","",IFERROR(IF(S155/R155&gt;'פרמטרים לקריטריונים'!$C$20,1,0),0))</f>
        <v>1</v>
      </c>
      <c r="U155" s="201">
        <v>122560</v>
      </c>
      <c r="V155" s="160">
        <f>IF(G155="","",IFERROR(IF(U155/R155&gt;'פרמטרים לקריטריונים'!$C$21,1,IF(AND(I155=$BW$5,U155/R155&gt;'פרמטרים לקריטריונים'!$C$22),1,0)),0))</f>
        <v>1</v>
      </c>
      <c r="W155" s="161">
        <v>1</v>
      </c>
      <c r="X155" s="161">
        <v>1</v>
      </c>
      <c r="Y155" s="201">
        <v>130000</v>
      </c>
      <c r="Z155" s="201">
        <v>130000</v>
      </c>
      <c r="AA155" s="161">
        <f t="shared" si="179"/>
        <v>1</v>
      </c>
      <c r="AB155" s="161"/>
      <c r="AC155" s="161"/>
      <c r="AD155" s="161"/>
      <c r="AE155" s="161"/>
      <c r="AF155" s="161"/>
      <c r="AG155" s="161"/>
      <c r="AH155" s="161"/>
      <c r="AI155" s="161"/>
      <c r="AJ155" s="161"/>
      <c r="AK155" s="161"/>
      <c r="AL155" s="161"/>
      <c r="AM155" s="161"/>
      <c r="AN155" s="161"/>
      <c r="AO155" s="161"/>
      <c r="AP155" s="161"/>
      <c r="AQ155" s="161"/>
      <c r="AR155" s="161"/>
      <c r="AS155" s="161"/>
      <c r="AT155" s="161"/>
      <c r="AU155" s="161"/>
      <c r="AV155" s="161"/>
      <c r="AW155" s="160"/>
      <c r="AX155" s="161"/>
      <c r="AY155" s="161"/>
      <c r="AZ155" s="161"/>
      <c r="BA155" s="161"/>
      <c r="BB155" s="161"/>
      <c r="BC155" s="161"/>
      <c r="BD155" s="161"/>
      <c r="BE155" s="161"/>
      <c r="BF155" s="160" t="str">
        <f t="shared" si="180"/>
        <v/>
      </c>
      <c r="BG155" s="160"/>
      <c r="BH155" s="160"/>
      <c r="BI155" s="160"/>
      <c r="BJ155" s="160"/>
      <c r="BK155" s="160"/>
      <c r="BL155" s="162">
        <f t="shared" si="131"/>
        <v>1</v>
      </c>
      <c r="BM155" s="257"/>
      <c r="BN155" s="163"/>
      <c r="BO155" s="211" t="str">
        <f t="shared" si="132"/>
        <v>נצרת עלא אלעהדתרבות ערבית</v>
      </c>
      <c r="BP155" s="125">
        <f t="shared" si="133"/>
        <v>1</v>
      </c>
      <c r="BQ155" s="164">
        <v>0</v>
      </c>
      <c r="BR155" s="164">
        <v>1</v>
      </c>
      <c r="BS155" s="149">
        <f t="shared" si="134"/>
        <v>1</v>
      </c>
      <c r="BT155" s="149">
        <f t="shared" si="135"/>
        <v>1</v>
      </c>
      <c r="BU155" s="149">
        <f t="shared" si="136"/>
        <v>1</v>
      </c>
      <c r="BV155" s="149">
        <f t="shared" si="137"/>
        <v>1</v>
      </c>
      <c r="BW155" s="149">
        <f t="shared" si="138"/>
        <v>1</v>
      </c>
      <c r="BX155" s="149">
        <f t="shared" si="139"/>
        <v>1</v>
      </c>
      <c r="BY155" s="149">
        <f t="shared" si="140"/>
        <v>1</v>
      </c>
      <c r="BZ155" s="149">
        <f t="shared" si="141"/>
        <v>1</v>
      </c>
      <c r="CA155" s="149">
        <f t="shared" si="142"/>
        <v>1</v>
      </c>
      <c r="CB155" s="149">
        <f t="shared" si="143"/>
        <v>1</v>
      </c>
      <c r="CC155" s="149">
        <f t="shared" si="144"/>
        <v>1</v>
      </c>
      <c r="CD155" s="149">
        <f t="shared" si="145"/>
        <v>1</v>
      </c>
      <c r="CE155" s="149">
        <f t="shared" si="146"/>
        <v>1</v>
      </c>
      <c r="CF155" s="149">
        <f t="shared" si="147"/>
        <v>1</v>
      </c>
      <c r="CG155" s="149">
        <f t="shared" si="148"/>
        <v>1</v>
      </c>
      <c r="CH155" s="149">
        <f t="shared" si="149"/>
        <v>1</v>
      </c>
      <c r="CI155" s="149">
        <f t="shared" si="150"/>
        <v>1</v>
      </c>
      <c r="CJ155" s="149">
        <f t="shared" si="151"/>
        <v>1</v>
      </c>
      <c r="CK155" s="149">
        <f t="shared" si="152"/>
        <v>1</v>
      </c>
      <c r="CL155" s="149">
        <f t="shared" si="153"/>
        <v>1</v>
      </c>
      <c r="CM155" s="149">
        <f t="shared" si="154"/>
        <v>1</v>
      </c>
      <c r="CN155" s="149">
        <f t="shared" si="155"/>
        <v>1</v>
      </c>
      <c r="CO155" s="149">
        <f t="shared" si="156"/>
        <v>1</v>
      </c>
      <c r="CP155" s="149">
        <f t="shared" si="157"/>
        <v>1</v>
      </c>
      <c r="CQ155" s="149">
        <f t="shared" si="158"/>
        <v>1</v>
      </c>
      <c r="CR155" s="149">
        <f t="shared" si="159"/>
        <v>1</v>
      </c>
      <c r="CS155" s="149">
        <f t="shared" si="160"/>
        <v>1</v>
      </c>
      <c r="CT155" s="149">
        <f t="shared" si="161"/>
        <v>1</v>
      </c>
      <c r="CU155" s="149">
        <f t="shared" si="162"/>
        <v>1</v>
      </c>
      <c r="CV155" s="149">
        <f t="shared" si="163"/>
        <v>1</v>
      </c>
      <c r="CW155" s="149">
        <f t="shared" si="164"/>
        <v>1</v>
      </c>
      <c r="CX155" s="149">
        <f t="shared" si="165"/>
        <v>1</v>
      </c>
      <c r="CY155" s="149">
        <f t="shared" si="166"/>
        <v>1</v>
      </c>
      <c r="CZ155" s="149">
        <f t="shared" si="167"/>
        <v>1</v>
      </c>
      <c r="DA155" s="149">
        <f t="shared" si="168"/>
        <v>1</v>
      </c>
      <c r="DB155" s="149">
        <f t="shared" si="169"/>
        <v>1</v>
      </c>
      <c r="DG155" s="125">
        <f t="shared" si="186"/>
        <v>1</v>
      </c>
      <c r="DH155" s="125">
        <f t="shared" si="185"/>
        <v>2</v>
      </c>
      <c r="DI155" s="125">
        <f t="shared" si="185"/>
        <v>3</v>
      </c>
      <c r="DJ155" s="125">
        <f t="shared" si="185"/>
        <v>4</v>
      </c>
      <c r="DK155" s="125">
        <f t="shared" si="185"/>
        <v>5</v>
      </c>
      <c r="DL155" s="125">
        <f t="shared" si="185"/>
        <v>6</v>
      </c>
      <c r="DM155" s="125">
        <f t="shared" si="185"/>
        <v>7</v>
      </c>
      <c r="DN155" s="125">
        <f t="shared" si="185"/>
        <v>8</v>
      </c>
      <c r="DO155" s="125">
        <f t="shared" si="185"/>
        <v>9</v>
      </c>
      <c r="DP155" s="125">
        <f t="shared" si="185"/>
        <v>10</v>
      </c>
      <c r="DS155" s="137"/>
      <c r="DT155" s="137"/>
      <c r="DU155" s="137"/>
      <c r="DV155" s="137" t="b">
        <f t="shared" si="170"/>
        <v>0</v>
      </c>
      <c r="DW155" s="137" t="b">
        <f t="shared" si="171"/>
        <v>0</v>
      </c>
      <c r="DX155" s="137" t="b">
        <f t="shared" si="172"/>
        <v>1</v>
      </c>
      <c r="EB155" s="131">
        <f t="shared" si="182"/>
        <v>1</v>
      </c>
      <c r="EC155" s="137" t="b">
        <f t="shared" si="173"/>
        <v>0</v>
      </c>
      <c r="ED155" s="137" t="b">
        <f t="shared" si="174"/>
        <v>0</v>
      </c>
      <c r="EE155" s="137" t="b">
        <f t="shared" si="175"/>
        <v>1</v>
      </c>
      <c r="EF155" s="137"/>
      <c r="EG155" s="137"/>
      <c r="EH155" s="137"/>
      <c r="EI155" s="137"/>
      <c r="EJ155" s="137">
        <f t="shared" si="183"/>
        <v>1</v>
      </c>
      <c r="EK155" s="125">
        <f t="shared" si="176"/>
        <v>0</v>
      </c>
      <c r="EL155" s="125">
        <f t="shared" si="177"/>
        <v>0</v>
      </c>
    </row>
    <row r="156" spans="2:142" ht="15.75" x14ac:dyDescent="0.25">
      <c r="B156" s="160">
        <f t="shared" si="178"/>
        <v>126</v>
      </c>
      <c r="C156" s="205">
        <v>1001348954</v>
      </c>
      <c r="D156" s="205">
        <v>1001290646</v>
      </c>
      <c r="E156" s="205">
        <v>40970756</v>
      </c>
      <c r="F156" s="118">
        <f>IF(OR(J156="",H156=""),"",VLOOKUP(J156,'הזנה לסיווג רשויות'!$B$2:$D$301,2,0))</f>
        <v>20000201</v>
      </c>
      <c r="G156" s="118" t="str">
        <f>IF(OR(J156="",H156=""),"",VLOOKUP(J156,'הזנה לסיווג רשויות'!$B$2:$D$301,3,0))</f>
        <v>תל אביב -יפו</v>
      </c>
      <c r="H156" s="281" t="s">
        <v>625</v>
      </c>
      <c r="I156" s="201" t="s">
        <v>564</v>
      </c>
      <c r="J156" s="87">
        <v>5000</v>
      </c>
      <c r="K156" s="161">
        <v>0</v>
      </c>
      <c r="L156" s="161">
        <v>1</v>
      </c>
      <c r="M156" s="161">
        <v>0</v>
      </c>
      <c r="N156" s="161">
        <v>0</v>
      </c>
      <c r="O156" s="161">
        <v>1</v>
      </c>
      <c r="P156" s="161">
        <v>1</v>
      </c>
      <c r="Q156" s="161">
        <v>1</v>
      </c>
      <c r="R156" s="201">
        <v>155151</v>
      </c>
      <c r="S156" s="201">
        <v>155151</v>
      </c>
      <c r="T156" s="160">
        <f>IF(G156="","",IFERROR(IF(S156/R156&gt;'פרמטרים לקריטריונים'!$C$20,1,0),0))</f>
        <v>1</v>
      </c>
      <c r="U156" s="201">
        <v>118306</v>
      </c>
      <c r="V156" s="160">
        <f>IF(G156="","",IFERROR(IF(U156/R156&gt;'פרמטרים לקריטריונים'!$C$21,1,IF(AND(I156=$BW$5,U156/R156&gt;'פרמטרים לקריטריונים'!$C$22),1,0)),0))</f>
        <v>1</v>
      </c>
      <c r="W156" s="161">
        <v>1</v>
      </c>
      <c r="X156" s="161">
        <v>1</v>
      </c>
      <c r="Y156" s="201">
        <v>75000</v>
      </c>
      <c r="Z156" s="201">
        <v>75000</v>
      </c>
      <c r="AA156" s="161">
        <f t="shared" si="179"/>
        <v>1</v>
      </c>
      <c r="AB156" s="161"/>
      <c r="AC156" s="161"/>
      <c r="AD156" s="161"/>
      <c r="AE156" s="161"/>
      <c r="AF156" s="161"/>
      <c r="AG156" s="161"/>
      <c r="AH156" s="161"/>
      <c r="AI156" s="161"/>
      <c r="AJ156" s="161"/>
      <c r="AK156" s="161"/>
      <c r="AL156" s="161"/>
      <c r="AM156" s="161"/>
      <c r="AN156" s="161"/>
      <c r="AO156" s="161"/>
      <c r="AP156" s="161"/>
      <c r="AQ156" s="161"/>
      <c r="AR156" s="161"/>
      <c r="AS156" s="161"/>
      <c r="AT156" s="161"/>
      <c r="AU156" s="161"/>
      <c r="AV156" s="161"/>
      <c r="AW156" s="160"/>
      <c r="AX156" s="161"/>
      <c r="AY156" s="161"/>
      <c r="AZ156" s="161"/>
      <c r="BA156" s="161"/>
      <c r="BB156" s="161"/>
      <c r="BC156" s="161"/>
      <c r="BD156" s="161"/>
      <c r="BE156" s="161"/>
      <c r="BF156" s="160" t="str">
        <f t="shared" si="180"/>
        <v/>
      </c>
      <c r="BG156" s="160"/>
      <c r="BH156" s="160"/>
      <c r="BI156" s="160"/>
      <c r="BJ156" s="160"/>
      <c r="BK156" s="160"/>
      <c r="BL156" s="162">
        <f t="shared" si="131"/>
        <v>1</v>
      </c>
      <c r="BM156" s="257"/>
      <c r="BN156" s="163"/>
      <c r="BO156" s="211" t="str">
        <f t="shared" si="132"/>
        <v>אלמז אמנות בישראלאחר</v>
      </c>
      <c r="BP156" s="125">
        <f t="shared" si="133"/>
        <v>1</v>
      </c>
      <c r="BQ156" s="164">
        <v>0</v>
      </c>
      <c r="BR156" s="164">
        <v>1</v>
      </c>
      <c r="BS156" s="149">
        <f t="shared" si="134"/>
        <v>1</v>
      </c>
      <c r="BT156" s="149">
        <f t="shared" si="135"/>
        <v>1</v>
      </c>
      <c r="BU156" s="149">
        <f t="shared" si="136"/>
        <v>1</v>
      </c>
      <c r="BV156" s="149">
        <f t="shared" si="137"/>
        <v>1</v>
      </c>
      <c r="BW156" s="149">
        <f t="shared" si="138"/>
        <v>1</v>
      </c>
      <c r="BX156" s="149">
        <f t="shared" si="139"/>
        <v>1</v>
      </c>
      <c r="BY156" s="149">
        <f t="shared" si="140"/>
        <v>1</v>
      </c>
      <c r="BZ156" s="149">
        <f t="shared" si="141"/>
        <v>1</v>
      </c>
      <c r="CA156" s="149">
        <f t="shared" si="142"/>
        <v>1</v>
      </c>
      <c r="CB156" s="149">
        <f t="shared" si="143"/>
        <v>1</v>
      </c>
      <c r="CC156" s="149">
        <f t="shared" si="144"/>
        <v>1</v>
      </c>
      <c r="CD156" s="149">
        <f t="shared" si="145"/>
        <v>1</v>
      </c>
      <c r="CE156" s="149">
        <f t="shared" si="146"/>
        <v>1</v>
      </c>
      <c r="CF156" s="149">
        <f t="shared" si="147"/>
        <v>1</v>
      </c>
      <c r="CG156" s="149">
        <f t="shared" si="148"/>
        <v>1</v>
      </c>
      <c r="CH156" s="149">
        <f t="shared" si="149"/>
        <v>1</v>
      </c>
      <c r="CI156" s="149">
        <f t="shared" si="150"/>
        <v>1</v>
      </c>
      <c r="CJ156" s="149">
        <f t="shared" si="151"/>
        <v>1</v>
      </c>
      <c r="CK156" s="149">
        <f t="shared" si="152"/>
        <v>1</v>
      </c>
      <c r="CL156" s="149">
        <f t="shared" si="153"/>
        <v>1</v>
      </c>
      <c r="CM156" s="149">
        <f t="shared" si="154"/>
        <v>1</v>
      </c>
      <c r="CN156" s="149">
        <f t="shared" si="155"/>
        <v>1</v>
      </c>
      <c r="CO156" s="149">
        <f t="shared" si="156"/>
        <v>1</v>
      </c>
      <c r="CP156" s="149">
        <f t="shared" si="157"/>
        <v>1</v>
      </c>
      <c r="CQ156" s="149">
        <f t="shared" si="158"/>
        <v>1</v>
      </c>
      <c r="CR156" s="149">
        <f t="shared" si="159"/>
        <v>1</v>
      </c>
      <c r="CS156" s="149">
        <f t="shared" si="160"/>
        <v>1</v>
      </c>
      <c r="CT156" s="149">
        <f t="shared" si="161"/>
        <v>1</v>
      </c>
      <c r="CU156" s="149">
        <f t="shared" si="162"/>
        <v>1</v>
      </c>
      <c r="CV156" s="149">
        <f t="shared" si="163"/>
        <v>1</v>
      </c>
      <c r="CW156" s="149">
        <f t="shared" si="164"/>
        <v>1</v>
      </c>
      <c r="CX156" s="149">
        <f t="shared" si="165"/>
        <v>1</v>
      </c>
      <c r="CY156" s="149">
        <f t="shared" si="166"/>
        <v>1</v>
      </c>
      <c r="CZ156" s="149">
        <f t="shared" si="167"/>
        <v>1</v>
      </c>
      <c r="DA156" s="149">
        <f t="shared" si="168"/>
        <v>1</v>
      </c>
      <c r="DB156" s="149">
        <f t="shared" si="169"/>
        <v>1</v>
      </c>
      <c r="DG156" s="125">
        <f t="shared" si="186"/>
        <v>1</v>
      </c>
      <c r="DH156" s="125">
        <f t="shared" si="185"/>
        <v>2</v>
      </c>
      <c r="DI156" s="125">
        <f t="shared" si="185"/>
        <v>3</v>
      </c>
      <c r="DJ156" s="125">
        <f t="shared" si="185"/>
        <v>4</v>
      </c>
      <c r="DK156" s="125">
        <f t="shared" si="185"/>
        <v>5</v>
      </c>
      <c r="DL156" s="125">
        <f t="shared" si="185"/>
        <v>6</v>
      </c>
      <c r="DM156" s="125">
        <f t="shared" si="185"/>
        <v>7</v>
      </c>
      <c r="DN156" s="125">
        <f t="shared" si="185"/>
        <v>8</v>
      </c>
      <c r="DO156" s="125">
        <f t="shared" si="185"/>
        <v>9</v>
      </c>
      <c r="DP156" s="125">
        <f t="shared" si="185"/>
        <v>10</v>
      </c>
      <c r="DS156" s="137"/>
      <c r="DT156" s="137"/>
      <c r="DU156" s="137"/>
      <c r="DV156" s="137" t="b">
        <f t="shared" si="170"/>
        <v>0</v>
      </c>
      <c r="DW156" s="137" t="b">
        <f t="shared" si="171"/>
        <v>0</v>
      </c>
      <c r="DX156" s="137" t="b">
        <f t="shared" si="172"/>
        <v>1</v>
      </c>
      <c r="EB156" s="131">
        <f t="shared" si="182"/>
        <v>1</v>
      </c>
      <c r="EC156" s="137" t="b">
        <f t="shared" si="173"/>
        <v>0</v>
      </c>
      <c r="ED156" s="137" t="b">
        <f t="shared" si="174"/>
        <v>0</v>
      </c>
      <c r="EE156" s="137" t="b">
        <f t="shared" si="175"/>
        <v>1</v>
      </c>
      <c r="EF156" s="137"/>
      <c r="EG156" s="137"/>
      <c r="EH156" s="137"/>
      <c r="EI156" s="137"/>
      <c r="EJ156" s="137">
        <f t="shared" si="183"/>
        <v>1</v>
      </c>
      <c r="EK156" s="125">
        <f t="shared" si="176"/>
        <v>0</v>
      </c>
      <c r="EL156" s="125">
        <f t="shared" si="177"/>
        <v>0</v>
      </c>
    </row>
    <row r="157" spans="2:142" ht="15.75" x14ac:dyDescent="0.25">
      <c r="B157" s="160">
        <f t="shared" si="178"/>
        <v>127</v>
      </c>
      <c r="C157" s="205">
        <v>1001348952</v>
      </c>
      <c r="D157" s="205">
        <v>1001263412</v>
      </c>
      <c r="E157" s="205">
        <v>40374797</v>
      </c>
      <c r="F157" s="118">
        <f>IF(OR(J157="",H157=""),"",VLOOKUP(J157,'הזנה לסיווג רשויות'!$B$2:$D$301,2,0))</f>
        <v>20000027</v>
      </c>
      <c r="G157" s="118" t="str">
        <f>IF(OR(J157="",H157=""),"",VLOOKUP(J157,'הזנה לסיווג רשויות'!$B$2:$D$301,3,0))</f>
        <v>כפר שמריהו</v>
      </c>
      <c r="H157" s="281" t="s">
        <v>626</v>
      </c>
      <c r="I157" s="201" t="s">
        <v>376</v>
      </c>
      <c r="J157" s="205">
        <v>267</v>
      </c>
      <c r="K157" s="161">
        <v>0</v>
      </c>
      <c r="L157" s="161">
        <v>1</v>
      </c>
      <c r="M157" s="161">
        <v>0</v>
      </c>
      <c r="N157" s="161">
        <v>0</v>
      </c>
      <c r="O157" s="161">
        <v>1</v>
      </c>
      <c r="P157" s="161">
        <v>1</v>
      </c>
      <c r="Q157" s="161">
        <v>1</v>
      </c>
      <c r="R157" s="201">
        <v>1690820</v>
      </c>
      <c r="S157" s="201">
        <v>1076459</v>
      </c>
      <c r="T157" s="160">
        <f>IF(G157="","",IFERROR(IF(S157/R157&gt;'פרמטרים לקריטריונים'!$C$20,1,0),0))</f>
        <v>1</v>
      </c>
      <c r="U157" s="201">
        <v>1076459</v>
      </c>
      <c r="V157" s="160">
        <f>IF(G157="","",IFERROR(IF(U157/R157&gt;'פרמטרים לקריטריונים'!$C$21,1,IF(AND(I157=$BW$5,U157/R157&gt;'פרמטרים לקריטריונים'!$C$22),1,0)),0))</f>
        <v>1</v>
      </c>
      <c r="W157" s="161">
        <v>1</v>
      </c>
      <c r="X157" s="161">
        <v>1</v>
      </c>
      <c r="Y157" s="201">
        <v>350000</v>
      </c>
      <c r="Z157" s="201">
        <v>350000</v>
      </c>
      <c r="AA157" s="161">
        <f t="shared" si="179"/>
        <v>1</v>
      </c>
      <c r="AB157" s="161"/>
      <c r="AC157" s="161"/>
      <c r="AD157" s="161"/>
      <c r="AE157" s="161"/>
      <c r="AF157" s="161"/>
      <c r="AG157" s="161"/>
      <c r="AH157" s="161"/>
      <c r="AI157" s="161"/>
      <c r="AJ157" s="161"/>
      <c r="AK157" s="161"/>
      <c r="AL157" s="161"/>
      <c r="AM157" s="161"/>
      <c r="AN157" s="161"/>
      <c r="AO157" s="161"/>
      <c r="AP157" s="161"/>
      <c r="AQ157" s="161"/>
      <c r="AR157" s="161"/>
      <c r="AS157" s="161"/>
      <c r="AT157" s="161"/>
      <c r="AU157" s="161"/>
      <c r="AV157" s="161"/>
      <c r="AW157" s="160"/>
      <c r="AX157" s="161"/>
      <c r="AY157" s="161"/>
      <c r="AZ157" s="161"/>
      <c r="BA157" s="161"/>
      <c r="BB157" s="161"/>
      <c r="BC157" s="161"/>
      <c r="BD157" s="161"/>
      <c r="BE157" s="161"/>
      <c r="BF157" s="160" t="str">
        <f t="shared" si="180"/>
        <v/>
      </c>
      <c r="BG157" s="160"/>
      <c r="BH157" s="160"/>
      <c r="BI157" s="160"/>
      <c r="BJ157" s="160"/>
      <c r="BK157" s="160"/>
      <c r="BL157" s="162">
        <f t="shared" si="131"/>
        <v>1</v>
      </c>
      <c r="BM157" s="257"/>
      <c r="BN157" s="163"/>
      <c r="BO157" s="211" t="str">
        <f t="shared" si="132"/>
        <v>בארוקדהמוסיקה-גופים כליים</v>
      </c>
      <c r="BP157" s="125">
        <f t="shared" si="133"/>
        <v>1</v>
      </c>
      <c r="BQ157" s="164">
        <v>0</v>
      </c>
      <c r="BR157" s="164">
        <v>1</v>
      </c>
      <c r="BS157" s="149">
        <f t="shared" si="134"/>
        <v>1</v>
      </c>
      <c r="BT157" s="149">
        <f t="shared" si="135"/>
        <v>1</v>
      </c>
      <c r="BU157" s="149">
        <f t="shared" si="136"/>
        <v>1</v>
      </c>
      <c r="BV157" s="149">
        <f t="shared" si="137"/>
        <v>1</v>
      </c>
      <c r="BW157" s="149">
        <f t="shared" si="138"/>
        <v>1</v>
      </c>
      <c r="BX157" s="149">
        <f t="shared" si="139"/>
        <v>1</v>
      </c>
      <c r="BY157" s="149">
        <f t="shared" si="140"/>
        <v>1</v>
      </c>
      <c r="BZ157" s="149">
        <f t="shared" si="141"/>
        <v>1</v>
      </c>
      <c r="CA157" s="149">
        <f t="shared" si="142"/>
        <v>1</v>
      </c>
      <c r="CB157" s="149">
        <f t="shared" si="143"/>
        <v>1</v>
      </c>
      <c r="CC157" s="149">
        <f t="shared" si="144"/>
        <v>1</v>
      </c>
      <c r="CD157" s="149">
        <f t="shared" si="145"/>
        <v>1</v>
      </c>
      <c r="CE157" s="149">
        <f t="shared" si="146"/>
        <v>1</v>
      </c>
      <c r="CF157" s="149">
        <f t="shared" si="147"/>
        <v>1</v>
      </c>
      <c r="CG157" s="149">
        <f t="shared" si="148"/>
        <v>1</v>
      </c>
      <c r="CH157" s="149">
        <f t="shared" si="149"/>
        <v>1</v>
      </c>
      <c r="CI157" s="149">
        <f t="shared" si="150"/>
        <v>1</v>
      </c>
      <c r="CJ157" s="149">
        <f t="shared" si="151"/>
        <v>1</v>
      </c>
      <c r="CK157" s="149">
        <f t="shared" si="152"/>
        <v>1</v>
      </c>
      <c r="CL157" s="149">
        <f t="shared" si="153"/>
        <v>1</v>
      </c>
      <c r="CM157" s="149">
        <f t="shared" si="154"/>
        <v>1</v>
      </c>
      <c r="CN157" s="149">
        <f t="shared" si="155"/>
        <v>1</v>
      </c>
      <c r="CO157" s="149">
        <f t="shared" si="156"/>
        <v>1</v>
      </c>
      <c r="CP157" s="149">
        <f t="shared" si="157"/>
        <v>1</v>
      </c>
      <c r="CQ157" s="149">
        <f t="shared" si="158"/>
        <v>1</v>
      </c>
      <c r="CR157" s="149">
        <f t="shared" si="159"/>
        <v>1</v>
      </c>
      <c r="CS157" s="149">
        <f t="shared" si="160"/>
        <v>1</v>
      </c>
      <c r="CT157" s="149">
        <f t="shared" si="161"/>
        <v>1</v>
      </c>
      <c r="CU157" s="149">
        <f t="shared" si="162"/>
        <v>1</v>
      </c>
      <c r="CV157" s="149">
        <f t="shared" si="163"/>
        <v>1</v>
      </c>
      <c r="CW157" s="149">
        <f t="shared" si="164"/>
        <v>1</v>
      </c>
      <c r="CX157" s="149">
        <f t="shared" si="165"/>
        <v>1</v>
      </c>
      <c r="CY157" s="149">
        <f t="shared" si="166"/>
        <v>1</v>
      </c>
      <c r="CZ157" s="149">
        <f t="shared" si="167"/>
        <v>1</v>
      </c>
      <c r="DA157" s="149">
        <f t="shared" si="168"/>
        <v>1</v>
      </c>
      <c r="DB157" s="149">
        <f t="shared" si="169"/>
        <v>1</v>
      </c>
      <c r="DG157" s="125">
        <f t="shared" si="186"/>
        <v>1</v>
      </c>
      <c r="DH157" s="125">
        <f t="shared" si="185"/>
        <v>2</v>
      </c>
      <c r="DI157" s="125">
        <f t="shared" si="185"/>
        <v>3</v>
      </c>
      <c r="DJ157" s="125">
        <f t="shared" si="185"/>
        <v>4</v>
      </c>
      <c r="DK157" s="125">
        <f t="shared" si="185"/>
        <v>5</v>
      </c>
      <c r="DL157" s="125">
        <f t="shared" si="185"/>
        <v>6</v>
      </c>
      <c r="DM157" s="125">
        <f t="shared" si="185"/>
        <v>7</v>
      </c>
      <c r="DN157" s="125">
        <f t="shared" si="185"/>
        <v>8</v>
      </c>
      <c r="DO157" s="125">
        <f t="shared" si="185"/>
        <v>9</v>
      </c>
      <c r="DP157" s="125">
        <f t="shared" si="185"/>
        <v>10</v>
      </c>
      <c r="DS157" s="137"/>
      <c r="DT157" s="137"/>
      <c r="DU157" s="137"/>
      <c r="DV157" s="137" t="b">
        <f t="shared" si="170"/>
        <v>0</v>
      </c>
      <c r="DW157" s="137" t="b">
        <f t="shared" si="171"/>
        <v>0</v>
      </c>
      <c r="DX157" s="137" t="b">
        <f t="shared" si="172"/>
        <v>1</v>
      </c>
      <c r="EB157" s="131">
        <f t="shared" si="182"/>
        <v>1</v>
      </c>
      <c r="EC157" s="137" t="b">
        <f t="shared" si="173"/>
        <v>0</v>
      </c>
      <c r="ED157" s="137" t="b">
        <f t="shared" si="174"/>
        <v>0</v>
      </c>
      <c r="EE157" s="137" t="b">
        <f t="shared" si="175"/>
        <v>1</v>
      </c>
      <c r="EF157" s="137"/>
      <c r="EG157" s="137"/>
      <c r="EH157" s="137"/>
      <c r="EI157" s="137"/>
      <c r="EJ157" s="137">
        <f t="shared" si="183"/>
        <v>1</v>
      </c>
      <c r="EK157" s="125">
        <f t="shared" si="176"/>
        <v>0</v>
      </c>
      <c r="EL157" s="125">
        <f t="shared" si="177"/>
        <v>0</v>
      </c>
    </row>
    <row r="158" spans="2:142" ht="15.75" x14ac:dyDescent="0.2">
      <c r="B158" s="160">
        <f t="shared" si="178"/>
        <v>128</v>
      </c>
      <c r="C158" s="205">
        <v>1001349365</v>
      </c>
      <c r="D158" s="205">
        <v>1001290811</v>
      </c>
      <c r="E158" s="205">
        <v>40984631</v>
      </c>
      <c r="F158" s="118">
        <f>IF(OR(J158="",H158=""),"",VLOOKUP(J158,'הזנה לסיווג רשויות'!$B$2:$D$301,2,0))</f>
        <v>20000201</v>
      </c>
      <c r="G158" s="118" t="str">
        <f>IF(OR(J158="",H158=""),"",VLOOKUP(J158,'הזנה לסיווג רשויות'!$B$2:$D$301,3,0))</f>
        <v>תל אביב -יפו</v>
      </c>
      <c r="H158" s="201" t="s">
        <v>627</v>
      </c>
      <c r="I158" s="201" t="s">
        <v>564</v>
      </c>
      <c r="J158" s="205">
        <v>5000</v>
      </c>
      <c r="K158" s="161">
        <v>0</v>
      </c>
      <c r="L158" s="161">
        <v>1</v>
      </c>
      <c r="M158" s="161">
        <v>0</v>
      </c>
      <c r="N158" s="161">
        <v>0</v>
      </c>
      <c r="O158" s="161">
        <v>1</v>
      </c>
      <c r="P158" s="161">
        <v>1</v>
      </c>
      <c r="Q158" s="161">
        <v>1</v>
      </c>
      <c r="R158" s="201">
        <v>398094</v>
      </c>
      <c r="S158" s="201">
        <v>398094</v>
      </c>
      <c r="T158" s="160">
        <f>IF(G158="","",IFERROR(IF(S158/R158&gt;'פרמטרים לקריטריונים'!$C$20,1,0),0))</f>
        <v>1</v>
      </c>
      <c r="U158" s="201">
        <v>398094</v>
      </c>
      <c r="V158" s="160">
        <f>IF(G158="","",IFERROR(IF(U158/R158&gt;'פרמטרים לקריטריונים'!$C$21,1,IF(AND(I158=$BW$5,U158/R158&gt;'פרמטרים לקריטריונים'!$C$22),1,0)),0))</f>
        <v>1</v>
      </c>
      <c r="W158" s="161">
        <v>1</v>
      </c>
      <c r="X158" s="161">
        <v>1</v>
      </c>
      <c r="Y158" s="201">
        <v>950000</v>
      </c>
      <c r="Z158" s="201">
        <v>266000</v>
      </c>
      <c r="AA158" s="161">
        <f t="shared" si="179"/>
        <v>1</v>
      </c>
      <c r="AB158" s="161"/>
      <c r="AC158" s="161"/>
      <c r="AD158" s="161"/>
      <c r="AE158" s="161"/>
      <c r="AF158" s="161"/>
      <c r="AG158" s="161"/>
      <c r="AH158" s="161"/>
      <c r="AI158" s="161"/>
      <c r="AJ158" s="161"/>
      <c r="AK158" s="161"/>
      <c r="AL158" s="161"/>
      <c r="AM158" s="161"/>
      <c r="AN158" s="161"/>
      <c r="AO158" s="161"/>
      <c r="AP158" s="161"/>
      <c r="AQ158" s="161"/>
      <c r="AR158" s="161"/>
      <c r="AS158" s="161"/>
      <c r="AT158" s="161"/>
      <c r="AU158" s="161"/>
      <c r="AV158" s="161"/>
      <c r="AW158" s="160"/>
      <c r="AX158" s="161"/>
      <c r="AY158" s="161"/>
      <c r="AZ158" s="161"/>
      <c r="BA158" s="161"/>
      <c r="BB158" s="161"/>
      <c r="BC158" s="161"/>
      <c r="BD158" s="161"/>
      <c r="BE158" s="161"/>
      <c r="BF158" s="160" t="str">
        <f t="shared" si="180"/>
        <v/>
      </c>
      <c r="BG158" s="160"/>
      <c r="BH158" s="160"/>
      <c r="BI158" s="160"/>
      <c r="BJ158" s="160"/>
      <c r="BK158" s="160"/>
      <c r="BL158" s="162">
        <f t="shared" si="131"/>
        <v>1</v>
      </c>
      <c r="BM158" s="257"/>
      <c r="BN158" s="163"/>
      <c r="BO158" s="211" t="str">
        <f t="shared" si="132"/>
        <v>תמיד - תרבות מוסיקלית יהודיתאחר</v>
      </c>
      <c r="BP158" s="125">
        <f t="shared" si="133"/>
        <v>1</v>
      </c>
      <c r="BQ158" s="164">
        <v>0</v>
      </c>
      <c r="BR158" s="164">
        <v>1</v>
      </c>
      <c r="BS158" s="149">
        <f t="shared" si="134"/>
        <v>1</v>
      </c>
      <c r="BT158" s="149">
        <f t="shared" si="135"/>
        <v>1</v>
      </c>
      <c r="BU158" s="149">
        <f t="shared" si="136"/>
        <v>1</v>
      </c>
      <c r="BV158" s="149">
        <f t="shared" si="137"/>
        <v>1</v>
      </c>
      <c r="BW158" s="149">
        <f t="shared" si="138"/>
        <v>1</v>
      </c>
      <c r="BX158" s="149">
        <f t="shared" si="139"/>
        <v>1</v>
      </c>
      <c r="BY158" s="149">
        <f t="shared" si="140"/>
        <v>1</v>
      </c>
      <c r="BZ158" s="149">
        <f t="shared" si="141"/>
        <v>1</v>
      </c>
      <c r="CA158" s="149">
        <f t="shared" si="142"/>
        <v>1</v>
      </c>
      <c r="CB158" s="149">
        <f t="shared" si="143"/>
        <v>1</v>
      </c>
      <c r="CC158" s="149">
        <f t="shared" si="144"/>
        <v>1</v>
      </c>
      <c r="CD158" s="149">
        <f t="shared" si="145"/>
        <v>1</v>
      </c>
      <c r="CE158" s="149">
        <f t="shared" si="146"/>
        <v>1</v>
      </c>
      <c r="CF158" s="149">
        <f t="shared" si="147"/>
        <v>1</v>
      </c>
      <c r="CG158" s="149">
        <f t="shared" si="148"/>
        <v>1</v>
      </c>
      <c r="CH158" s="149">
        <f t="shared" si="149"/>
        <v>1</v>
      </c>
      <c r="CI158" s="149">
        <f t="shared" si="150"/>
        <v>1</v>
      </c>
      <c r="CJ158" s="149">
        <f t="shared" si="151"/>
        <v>1</v>
      </c>
      <c r="CK158" s="149">
        <f t="shared" si="152"/>
        <v>1</v>
      </c>
      <c r="CL158" s="149">
        <f t="shared" si="153"/>
        <v>1</v>
      </c>
      <c r="CM158" s="149">
        <f t="shared" si="154"/>
        <v>1</v>
      </c>
      <c r="CN158" s="149">
        <f t="shared" si="155"/>
        <v>1</v>
      </c>
      <c r="CO158" s="149">
        <f t="shared" si="156"/>
        <v>1</v>
      </c>
      <c r="CP158" s="149">
        <f t="shared" si="157"/>
        <v>1</v>
      </c>
      <c r="CQ158" s="149">
        <f t="shared" si="158"/>
        <v>1</v>
      </c>
      <c r="CR158" s="149">
        <f t="shared" si="159"/>
        <v>1</v>
      </c>
      <c r="CS158" s="149">
        <f t="shared" si="160"/>
        <v>1</v>
      </c>
      <c r="CT158" s="149">
        <f t="shared" si="161"/>
        <v>1</v>
      </c>
      <c r="CU158" s="149">
        <f t="shared" si="162"/>
        <v>1</v>
      </c>
      <c r="CV158" s="149">
        <f t="shared" si="163"/>
        <v>1</v>
      </c>
      <c r="CW158" s="149">
        <f t="shared" si="164"/>
        <v>1</v>
      </c>
      <c r="CX158" s="149">
        <f t="shared" si="165"/>
        <v>1</v>
      </c>
      <c r="CY158" s="149">
        <f t="shared" si="166"/>
        <v>1</v>
      </c>
      <c r="CZ158" s="149">
        <f t="shared" si="167"/>
        <v>1</v>
      </c>
      <c r="DA158" s="149">
        <f t="shared" si="168"/>
        <v>1</v>
      </c>
      <c r="DB158" s="149">
        <f t="shared" si="169"/>
        <v>1</v>
      </c>
      <c r="DG158" s="125">
        <f t="shared" si="186"/>
        <v>1</v>
      </c>
      <c r="DH158" s="125">
        <f t="shared" si="185"/>
        <v>2</v>
      </c>
      <c r="DI158" s="125">
        <f t="shared" si="185"/>
        <v>3</v>
      </c>
      <c r="DJ158" s="125">
        <f t="shared" si="185"/>
        <v>4</v>
      </c>
      <c r="DK158" s="125">
        <f t="shared" si="185"/>
        <v>5</v>
      </c>
      <c r="DL158" s="125">
        <f t="shared" si="185"/>
        <v>6</v>
      </c>
      <c r="DM158" s="125">
        <f t="shared" si="185"/>
        <v>7</v>
      </c>
      <c r="DN158" s="125">
        <f t="shared" si="185"/>
        <v>8</v>
      </c>
      <c r="DO158" s="125">
        <f t="shared" si="185"/>
        <v>9</v>
      </c>
      <c r="DP158" s="125">
        <f t="shared" si="185"/>
        <v>10</v>
      </c>
      <c r="DS158" s="137"/>
      <c r="DT158" s="137"/>
      <c r="DU158" s="137"/>
      <c r="DV158" s="137" t="b">
        <f t="shared" si="170"/>
        <v>0</v>
      </c>
      <c r="DW158" s="137" t="b">
        <f t="shared" si="171"/>
        <v>0</v>
      </c>
      <c r="DX158" s="137" t="b">
        <f t="shared" si="172"/>
        <v>1</v>
      </c>
      <c r="EB158" s="131">
        <f t="shared" si="182"/>
        <v>1</v>
      </c>
      <c r="EC158" s="137" t="b">
        <f t="shared" si="173"/>
        <v>0</v>
      </c>
      <c r="ED158" s="137" t="b">
        <f t="shared" si="174"/>
        <v>0</v>
      </c>
      <c r="EE158" s="137" t="b">
        <f t="shared" si="175"/>
        <v>1</v>
      </c>
      <c r="EF158" s="137"/>
      <c r="EG158" s="137"/>
      <c r="EH158" s="137"/>
      <c r="EI158" s="137"/>
      <c r="EJ158" s="137">
        <f t="shared" si="183"/>
        <v>1</v>
      </c>
      <c r="EK158" s="125">
        <f t="shared" si="176"/>
        <v>0</v>
      </c>
      <c r="EL158" s="125">
        <f t="shared" si="177"/>
        <v>0</v>
      </c>
    </row>
    <row r="159" spans="2:142" ht="15.75" x14ac:dyDescent="0.2">
      <c r="B159" s="160">
        <f t="shared" si="178"/>
        <v>129</v>
      </c>
      <c r="C159" s="205">
        <v>1001347325</v>
      </c>
      <c r="D159" s="205">
        <v>1001270479</v>
      </c>
      <c r="E159" s="205">
        <v>40384065</v>
      </c>
      <c r="F159" s="118">
        <f>IF(OR(J159="",H159=""),"",VLOOKUP(J159,'הזנה לסיווג רשויות'!$B$2:$D$301,2,0))</f>
        <v>20000041</v>
      </c>
      <c r="G159" s="118" t="str">
        <f>IF(OR(J159="",H159=""),"",VLOOKUP(J159,'הזנה לסיווג רשויות'!$B$2:$D$301,3,0))</f>
        <v>דייר אל-אסד</v>
      </c>
      <c r="H159" s="201" t="s">
        <v>628</v>
      </c>
      <c r="I159" s="201" t="s">
        <v>564</v>
      </c>
      <c r="J159" s="205">
        <v>490</v>
      </c>
      <c r="K159" s="161">
        <v>0</v>
      </c>
      <c r="L159" s="161">
        <v>1</v>
      </c>
      <c r="M159" s="161">
        <v>0</v>
      </c>
      <c r="N159" s="161">
        <v>0</v>
      </c>
      <c r="O159" s="161">
        <v>1</v>
      </c>
      <c r="P159" s="161">
        <v>1</v>
      </c>
      <c r="Q159" s="161">
        <v>1</v>
      </c>
      <c r="R159" s="201">
        <v>1097822</v>
      </c>
      <c r="S159" s="201">
        <v>601602</v>
      </c>
      <c r="T159" s="160">
        <f>IF(G159="","",IFERROR(IF(S159/R159&gt;'פרמטרים לקריטריונים'!$C$20,1,0),0))</f>
        <v>1</v>
      </c>
      <c r="U159" s="201">
        <v>583183</v>
      </c>
      <c r="V159" s="160">
        <f>IF(G159="","",IFERROR(IF(U159/R159&gt;'פרמטרים לקריטריונים'!$C$21,1,IF(AND(I159=$BW$5,U159/R159&gt;'פרמטרים לקריטריונים'!$C$22),1,0)),0))</f>
        <v>1</v>
      </c>
      <c r="W159" s="161">
        <v>1</v>
      </c>
      <c r="X159" s="161">
        <v>1</v>
      </c>
      <c r="Y159" s="201">
        <v>500000</v>
      </c>
      <c r="Z159" s="201">
        <v>500000</v>
      </c>
      <c r="AA159" s="161">
        <f t="shared" si="179"/>
        <v>1</v>
      </c>
      <c r="AB159" s="161"/>
      <c r="AC159" s="161"/>
      <c r="AD159" s="161"/>
      <c r="AE159" s="161"/>
      <c r="AF159" s="161"/>
      <c r="AG159" s="161"/>
      <c r="AH159" s="161"/>
      <c r="AI159" s="161"/>
      <c r="AJ159" s="161"/>
      <c r="AK159" s="161"/>
      <c r="AL159" s="161"/>
      <c r="AM159" s="161"/>
      <c r="AN159" s="161"/>
      <c r="AO159" s="161"/>
      <c r="AP159" s="161"/>
      <c r="AQ159" s="161"/>
      <c r="AR159" s="161"/>
      <c r="AS159" s="161"/>
      <c r="AT159" s="161"/>
      <c r="AU159" s="161"/>
      <c r="AV159" s="161"/>
      <c r="AW159" s="160"/>
      <c r="AX159" s="161"/>
      <c r="AY159" s="161"/>
      <c r="AZ159" s="161"/>
      <c r="BA159" s="161"/>
      <c r="BB159" s="161"/>
      <c r="BC159" s="161"/>
      <c r="BD159" s="161"/>
      <c r="BE159" s="161"/>
      <c r="BF159" s="160" t="str">
        <f t="shared" si="180"/>
        <v/>
      </c>
      <c r="BG159" s="160"/>
      <c r="BH159" s="160"/>
      <c r="BI159" s="160"/>
      <c r="BJ159" s="160"/>
      <c r="BK159" s="160"/>
      <c r="BL159" s="162">
        <f t="shared" ref="BL159:BL222" si="187">IF($G159="","",IF(SUM(N159:O159)=0,0,IF(OR(H159="",I159="",J159="",AA159=0,Y159=""),$BQ$1,IF(BP159&lt;&gt;1,$BQ$1,IF(SUMPRODUCT(--(K159:BG159&gt;=$K$5:$BG$5)*($K$5:$BG$5&lt;&gt;"")*($K$4:$BG$4=1))=COUNTIF($K$4:$BG$4,1),1,0)))))</f>
        <v>1</v>
      </c>
      <c r="BM159" s="257"/>
      <c r="BN159" s="163"/>
      <c r="BO159" s="211" t="str">
        <f t="shared" ref="BO159:BO222" si="188">CONCATENATE(H159,I159)</f>
        <v>אל אסדיאחר</v>
      </c>
      <c r="BP159" s="125">
        <f t="shared" ref="BP159:BP222" si="189">IF(OR(SUM(BS159:DB159)&lt;&gt;COUNT(BS159:DB159),SUMPRODUCT(--(N159:BG159=$BQ$1))&lt;&gt;0),0,1)</f>
        <v>1</v>
      </c>
      <c r="BQ159" s="164">
        <v>0</v>
      </c>
      <c r="BR159" s="164">
        <v>1</v>
      </c>
      <c r="BS159" s="149">
        <f t="shared" ref="BS159:BS222" si="190">IF(OR(K$30="",K$4=99),1,IF(K159="",0,IFERROR(CHOOSE(BS$28,IF(ISNA(MATCH(K159,$BQ$30:$BR$30,0)),0,1),IF(ISNUMBER(K159),1,0),IF(K159=TRUNC(K159),1,0),IF(AND(K159*1=K159,K159&gt;=0),1,0),IF(AND(K159=TRUNC(K159),K159&gt;=0),1,0),IF(AND(K159*1=K159,K159&gt;0),1,0),IF(AND(K159=TRUNC(K159),K159&gt;0),1,0),1,IF(ISNA(HLOOKUP(K159,$BT$4:$CD$4,1,0)),0,1)),0)))</f>
        <v>1</v>
      </c>
      <c r="BT159" s="149">
        <f t="shared" ref="BT159:BT222" si="191">IF(OR(L$30="",L$4=99),1,IF(L159="",0,IFERROR(CHOOSE(BT$28,IF(ISNA(MATCH(L159,$BQ$30:$BR$30,0)),0,1),IF(ISNUMBER(L159),1,0),IF(L159=TRUNC(L159),1,0),IF(AND(L159*1=L159,L159&gt;=0),1,0),IF(AND(L159=TRUNC(L159),L159&gt;=0),1,0),IF(AND(L159*1=L159,L159&gt;0),1,0),IF(AND(L159=TRUNC(L159),L159&gt;0),1,0),1,IF(ISNA(HLOOKUP(L159,$BT$4:$CD$4,1,0)),0,1)),0)))</f>
        <v>1</v>
      </c>
      <c r="BU159" s="149">
        <f t="shared" ref="BU159:BU222" si="192">IF(OR(M$30="",M$4=99),1,IF(M159="",0,IFERROR(CHOOSE(BU$28,IF(ISNA(MATCH(M159,$BQ$30:$BR$30,0)),0,1),IF(ISNUMBER(M159),1,0),IF(M159=TRUNC(M159),1,0),IF(AND(M159*1=M159,M159&gt;=0),1,0),IF(AND(M159=TRUNC(M159),M159&gt;=0),1,0),IF(AND(M159*1=M159,M159&gt;0),1,0),IF(AND(M159=TRUNC(M159),M159&gt;0),1,0),1,IF(ISNA(HLOOKUP(M159,$BT$4:$CD$4,1,0)),0,1)),0)))</f>
        <v>1</v>
      </c>
      <c r="BV159" s="149">
        <f t="shared" ref="BV159:BV222" si="193">IF(OR(N$30="",N$4=99),1,IF(N159="",0,IFERROR(CHOOSE(BV$28,IF(ISNA(MATCH(N159,$BQ$30:$BR$30,0)),0,1),IF(ISNUMBER(N159),1,0),IF(N159=TRUNC(N159),1,0),IF(AND(N159*1=N159,N159&gt;=0),1,0),IF(AND(N159=TRUNC(N159),N159&gt;=0),1,0),IF(AND(N159*1=N159,N159&gt;0),1,0),IF(AND(N159=TRUNC(N159),N159&gt;0),1,0),1,IF(ISNA(HLOOKUP(N159,$BT$4:$CD$4,1,0)),0,1)),0)))</f>
        <v>1</v>
      </c>
      <c r="BW159" s="149">
        <f t="shared" ref="BW159:BW222" si="194">IF(OR(O$30="",O$4=99),1,IF(O159="",0,IFERROR(CHOOSE(BW$28,IF(ISNA(MATCH(O159,$BQ$30:$BR$30,0)),0,1),IF(ISNUMBER(O159),1,0),IF(O159=TRUNC(O159),1,0),IF(AND(O159*1=O159,O159&gt;=0),1,0),IF(AND(O159=TRUNC(O159),O159&gt;=0),1,0),IF(AND(O159*1=O159,O159&gt;0),1,0),IF(AND(O159=TRUNC(O159),O159&gt;0),1,0),1,IF(ISNA(HLOOKUP(O159,$BT$4:$CD$4,1,0)),0,1)),0)))</f>
        <v>1</v>
      </c>
      <c r="BX159" s="149">
        <f t="shared" ref="BX159:BX222" si="195">IF(OR(P$30="",P$4=99),1,IF(P159="",0,IFERROR(CHOOSE(BX$28,IF(ISNA(MATCH(P159,$BQ$30:$BR$30,0)),0,1),IF(ISNUMBER(P159),1,0),IF(P159=TRUNC(P159),1,0),IF(AND(P159*1=P159,P159&gt;=0),1,0),IF(AND(P159=TRUNC(P159),P159&gt;=0),1,0),IF(AND(P159*1=P159,P159&gt;0),1,0),IF(AND(P159=TRUNC(P159),P159&gt;0),1,0),1,IF(ISNA(HLOOKUP(P159,$BT$4:$CD$4,1,0)),0,1)),0)))</f>
        <v>1</v>
      </c>
      <c r="BY159" s="149">
        <f t="shared" ref="BY159:BY222" si="196">IF(OR(Q$30="",Q$4=99),1,IF(Q159="",0,IFERROR(CHOOSE(BY$28,IF(ISNA(MATCH(Q159,$BQ$30:$BR$30,0)),0,1),IF(ISNUMBER(Q159),1,0),IF(Q159=TRUNC(Q159),1,0),IF(AND(Q159*1=Q159,Q159&gt;=0),1,0),IF(AND(Q159=TRUNC(Q159),Q159&gt;=0),1,0),IF(AND(Q159*1=Q159,Q159&gt;0),1,0),IF(AND(Q159=TRUNC(Q159),Q159&gt;0),1,0),1,IF(ISNA(HLOOKUP(Q159,$BT$4:$CD$4,1,0)),0,1)),0)))</f>
        <v>1</v>
      </c>
      <c r="BZ159" s="149">
        <f t="shared" ref="BZ159:BZ222" si="197">IF(OR(R$30="",R$4=99),1,IF(R159="",0,IFERROR(CHOOSE(BZ$28,IF(ISNA(MATCH(R159,$BQ$30:$BR$30,0)),0,1),IF(ISNUMBER(R159),1,0),IF(R159=TRUNC(R159),1,0),IF(AND(R159*1=R159,R159&gt;=0),1,0),IF(AND(R159=TRUNC(R159),R159&gt;=0),1,0),IF(AND(R159*1=R159,R159&gt;0),1,0),IF(AND(R159=TRUNC(R159),R159&gt;0),1,0),1,IF(ISNA(HLOOKUP(R159,$BT$4:$CD$4,1,0)),0,1)),0)))</f>
        <v>1</v>
      </c>
      <c r="CA159" s="149">
        <f t="shared" ref="CA159:CA222" si="198">IF(OR(S$30="",S$4=99),1,IF(S159="",0,IFERROR(CHOOSE(CA$28,IF(ISNA(MATCH(S159,$BQ$30:$BR$30,0)),0,1),IF(ISNUMBER(S159),1,0),IF(S159=TRUNC(S159),1,0),IF(AND(S159*1=S159,S159&gt;=0),1,0),IF(AND(S159=TRUNC(S159),S159&gt;=0),1,0),IF(AND(S159*1=S159,S159&gt;0),1,0),IF(AND(S159=TRUNC(S159),S159&gt;0),1,0),1,IF(ISNA(HLOOKUP(S159,$BT$4:$CD$4,1,0)),0,1)),0)))</f>
        <v>1</v>
      </c>
      <c r="CB159" s="149">
        <f t="shared" ref="CB159:CB222" si="199">IF(OR(T$30="",T$4=99),1,IF(T159="",0,IFERROR(CHOOSE(CB$28,IF(ISNA(MATCH(T159,$BQ$30:$BR$30,0)),0,1),IF(ISNUMBER(T159),1,0),IF(T159=TRUNC(T159),1,0),IF(AND(T159*1=T159,T159&gt;=0),1,0),IF(AND(T159=TRUNC(T159),T159&gt;=0),1,0),IF(AND(T159*1=T159,T159&gt;0),1,0),IF(AND(T159=TRUNC(T159),T159&gt;0),1,0),1,IF(ISNA(HLOOKUP(T159,$BT$4:$CD$4,1,0)),0,1)),0)))</f>
        <v>1</v>
      </c>
      <c r="CC159" s="149">
        <f t="shared" ref="CC159:CC222" si="200">IF(OR(U$30="",U$4=99),1,IF(U159="",0,IFERROR(CHOOSE(CC$28,IF(ISNA(MATCH(U159,$BQ$30:$BR$30,0)),0,1),IF(ISNUMBER(U159),1,0),IF(U159=TRUNC(U159),1,0),IF(AND(U159*1=U159,U159&gt;=0),1,0),IF(AND(U159=TRUNC(U159),U159&gt;=0),1,0),IF(AND(U159*1=U159,U159&gt;0),1,0),IF(AND(U159=TRUNC(U159),U159&gt;0),1,0),1,IF(ISNA(HLOOKUP(U159,$BT$4:$CD$4,1,0)),0,1)),0)))</f>
        <v>1</v>
      </c>
      <c r="CD159" s="149">
        <f t="shared" ref="CD159:CD222" si="201">IF(OR(V$30="",V$4=99),1,IF(V159="",0,IFERROR(CHOOSE(CD$28,IF(ISNA(MATCH(V159,$BQ$30:$BR$30,0)),0,1),IF(ISNUMBER(V159),1,0),IF(V159=TRUNC(V159),1,0),IF(AND(V159*1=V159,V159&gt;=0),1,0),IF(AND(V159=TRUNC(V159),V159&gt;=0),1,0),IF(AND(V159*1=V159,V159&gt;0),1,0),IF(AND(V159=TRUNC(V159),V159&gt;0),1,0),1,IF(ISNA(HLOOKUP(V159,$BT$4:$CD$4,1,0)),0,1)),0)))</f>
        <v>1</v>
      </c>
      <c r="CE159" s="149">
        <f t="shared" ref="CE159:CE222" si="202">IF(OR(W$30="",W$4=99),1,IF(W159="",0,IFERROR(CHOOSE(CE$28,IF(ISNA(MATCH(W159,$BQ$30:$BR$30,0)),0,1),IF(ISNUMBER(W159),1,0),IF(W159=TRUNC(W159),1,0),IF(AND(W159*1=W159,W159&gt;=0),1,0),IF(AND(W159=TRUNC(W159),W159&gt;=0),1,0),IF(AND(W159*1=W159,W159&gt;0),1,0),IF(AND(W159=TRUNC(W159),W159&gt;0),1,0),1,IF(ISNA(HLOOKUP(W159,$BT$4:$CD$4,1,0)),0,1)),0)))</f>
        <v>1</v>
      </c>
      <c r="CF159" s="149">
        <f t="shared" ref="CF159:CF222" si="203">IF(OR(X$30="",X$4=99),1,IF(X159="",0,IFERROR(CHOOSE(CF$28,IF(ISNA(MATCH(X159,$BQ$30:$BR$30,0)),0,1),IF(ISNUMBER(X159),1,0),IF(X159=TRUNC(X159),1,0),IF(AND(X159*1=X159,X159&gt;=0),1,0),IF(AND(X159=TRUNC(X159),X159&gt;=0),1,0),IF(AND(X159*1=X159,X159&gt;0),1,0),IF(AND(X159=TRUNC(X159),X159&gt;0),1,0),1,IF(ISNA(HLOOKUP(X159,$BT$4:$CD$4,1,0)),0,1)),0)))</f>
        <v>1</v>
      </c>
      <c r="CG159" s="149">
        <f t="shared" ref="CG159:CG222" si="204">IF(OR(Y$30="",Y$4=99),1,IF(Y159="",0,IFERROR(CHOOSE(CG$28,IF(ISNA(MATCH(Y159,$BQ$30:$BR$30,0)),0,1),IF(ISNUMBER(Y159),1,0),IF(Y159=TRUNC(Y159),1,0),IF(AND(Y159*1=Y159,Y159&gt;=0),1,0),IF(AND(Y159=TRUNC(Y159),Y159&gt;=0),1,0),IF(AND(Y159*1=Y159,Y159&gt;0),1,0),IF(AND(Y159=TRUNC(Y159),Y159&gt;0),1,0),1,IF(ISNA(HLOOKUP(Y159,$BT$4:$CD$4,1,0)),0,1)),0)))</f>
        <v>1</v>
      </c>
      <c r="CH159" s="149">
        <f t="shared" ref="CH159:CH222" si="205">IF(OR(Z$30="",Z$4=99),1,IF(Z159="",0,IFERROR(CHOOSE(CH$28,IF(ISNA(MATCH(Z159,$BQ$30:$BR$30,0)),0,1),IF(ISNUMBER(Z159),1,0),IF(Z159=TRUNC(Z159),1,0),IF(AND(Z159*1=Z159,Z159&gt;=0),1,0),IF(AND(Z159=TRUNC(Z159),Z159&gt;=0),1,0),IF(AND(Z159*1=Z159,Z159&gt;0),1,0),IF(AND(Z159=TRUNC(Z159),Z159&gt;0),1,0),1,IF(ISNA(HLOOKUP(Z159,$BT$4:$CD$4,1,0)),0,1)),0)))</f>
        <v>1</v>
      </c>
      <c r="CI159" s="149">
        <f t="shared" ref="CI159:CI222" si="206">IF(OR(AA$30="",AA$4=99),1,IF(AA159="",0,IFERROR(CHOOSE(CI$28,IF(ISNA(MATCH(AA159,$BQ$30:$BR$30,0)),0,1),IF(ISNUMBER(AA159),1,0),IF(AA159=TRUNC(AA159),1,0),IF(AND(AA159*1=AA159,AA159&gt;=0),1,0),IF(AND(AA159=TRUNC(AA159),AA159&gt;=0),1,0),IF(AND(AA159*1=AA159,AA159&gt;0),1,0),IF(AND(AA159=TRUNC(AA159),AA159&gt;0),1,0),1,IF(ISNA(HLOOKUP(AA159,$BT$4:$CD$4,1,0)),0,1)),0)))</f>
        <v>1</v>
      </c>
      <c r="CJ159" s="149">
        <f t="shared" ref="CJ159:CJ222" si="207">IF(OR(AB$30="",AB$4=99),1,IF(AB159="",0,IFERROR(CHOOSE(CJ$28,IF(ISNA(MATCH(AB159,$BQ$30:$BR$30,0)),0,1),IF(ISNUMBER(AB159),1,0),IF(AB159=TRUNC(AB159),1,0),IF(AND(AB159*1=AB159,AB159&gt;=0),1,0),IF(AND(AB159=TRUNC(AB159),AB159&gt;=0),1,0),IF(AND(AB159*1=AB159,AB159&gt;0),1,0),IF(AND(AB159=TRUNC(AB159),AB159&gt;0),1,0),1,IF(ISNA(HLOOKUP(AB159,$BT$4:$CD$4,1,0)),0,1)),0)))</f>
        <v>1</v>
      </c>
      <c r="CK159" s="149">
        <f t="shared" ref="CK159:CK222" si="208">IF(OR(AC$30="",AC$4=99),1,IF(AC159="",0,IFERROR(CHOOSE(CK$28,IF(ISNA(MATCH(AC159,$BQ$30:$BR$30,0)),0,1),IF(ISNUMBER(AC159),1,0),IF(AC159=TRUNC(AC159),1,0),IF(AND(AC159*1=AC159,AC159&gt;=0),1,0),IF(AND(AC159=TRUNC(AC159),AC159&gt;=0),1,0),IF(AND(AC159*1=AC159,AC159&gt;0),1,0),IF(AND(AC159=TRUNC(AC159),AC159&gt;0),1,0),1,IF(ISNA(HLOOKUP(AC159,$BT$4:$CD$4,1,0)),0,1)),0)))</f>
        <v>1</v>
      </c>
      <c r="CL159" s="149">
        <f t="shared" ref="CL159:CL222" si="209">IF(OR(AD$30="",AD$4=99),1,IF(AD159="",0,IFERROR(CHOOSE(CL$28,IF(ISNA(MATCH(AD159,$BQ$30:$BR$30,0)),0,1),IF(ISNUMBER(AD159),1,0),IF(AD159=TRUNC(AD159),1,0),IF(AND(AD159*1=AD159,AD159&gt;=0),1,0),IF(AND(AD159=TRUNC(AD159),AD159&gt;=0),1,0),IF(AND(AD159*1=AD159,AD159&gt;0),1,0),IF(AND(AD159=TRUNC(AD159),AD159&gt;0),1,0),1,IF(ISNA(HLOOKUP(AD159,$BT$4:$CD$4,1,0)),0,1)),0)))</f>
        <v>1</v>
      </c>
      <c r="CM159" s="149">
        <f t="shared" ref="CM159:CM222" si="210">IF(OR(AE$30="",AE$4=99),1,IF(AE159="",0,IFERROR(CHOOSE(CM$28,IF(ISNA(MATCH(AE159,$BQ$30:$BR$30,0)),0,1),IF(ISNUMBER(AE159),1,0),IF(AE159=TRUNC(AE159),1,0),IF(AND(AE159*1=AE159,AE159&gt;=0),1,0),IF(AND(AE159=TRUNC(AE159),AE159&gt;=0),1,0),IF(AND(AE159*1=AE159,AE159&gt;0),1,0),IF(AND(AE159=TRUNC(AE159),AE159&gt;0),1,0),1,IF(ISNA(HLOOKUP(AE159,$BT$4:$CD$4,1,0)),0,1)),0)))</f>
        <v>1</v>
      </c>
      <c r="CN159" s="149">
        <f t="shared" ref="CN159:CN222" si="211">IF(OR(AF$30="",AF$4=99),1,IF(AF159="",0,IFERROR(CHOOSE(CN$28,IF(ISNA(MATCH(AF159,$BQ$30:$BR$30,0)),0,1),IF(ISNUMBER(AF159),1,0),IF(AF159=TRUNC(AF159),1,0),IF(AND(AF159*1=AF159,AF159&gt;=0),1,0),IF(AND(AF159=TRUNC(AF159),AF159&gt;=0),1,0),IF(AND(AF159*1=AF159,AF159&gt;0),1,0),IF(AND(AF159=TRUNC(AF159),AF159&gt;0),1,0),1,IF(ISNA(HLOOKUP(AF159,$BT$4:$CD$4,1,0)),0,1)),0)))</f>
        <v>1</v>
      </c>
      <c r="CO159" s="149">
        <f t="shared" ref="CO159:CO222" si="212">IF(OR(AG$30="",AG$4=99),1,IF(AG159="",0,IFERROR(CHOOSE(CO$28,IF(ISNA(MATCH(AG159,$BQ$30:$BR$30,0)),0,1),IF(ISNUMBER(AG159),1,0),IF(AG159=TRUNC(AG159),1,0),IF(AND(AG159*1=AG159,AG159&gt;=0),1,0),IF(AND(AG159=TRUNC(AG159),AG159&gt;=0),1,0),IF(AND(AG159*1=AG159,AG159&gt;0),1,0),IF(AND(AG159=TRUNC(AG159),AG159&gt;0),1,0),1,IF(ISNA(HLOOKUP(AG159,$BT$4:$CD$4,1,0)),0,1)),0)))</f>
        <v>1</v>
      </c>
      <c r="CP159" s="149">
        <f t="shared" ref="CP159:CP222" si="213">IF(OR(AH$30="",AH$4=99),1,IF(AH159="",0,IFERROR(CHOOSE(CP$28,IF(ISNA(MATCH(AH159,$BQ$30:$BR$30,0)),0,1),IF(ISNUMBER(AH159),1,0),IF(AH159=TRUNC(AH159),1,0),IF(AND(AH159*1=AH159,AH159&gt;=0),1,0),IF(AND(AH159=TRUNC(AH159),AH159&gt;=0),1,0),IF(AND(AH159*1=AH159,AH159&gt;0),1,0),IF(AND(AH159=TRUNC(AH159),AH159&gt;0),1,0),1,IF(ISNA(HLOOKUP(AH159,$BT$4:$CD$4,1,0)),0,1)),0)))</f>
        <v>1</v>
      </c>
      <c r="CQ159" s="149">
        <f t="shared" ref="CQ159:CQ222" si="214">IF(OR(AI$30="",AI$4=99),1,IF(AI159="",0,IFERROR(CHOOSE(CQ$28,IF(ISNA(MATCH(AI159,$BQ$30:$BR$30,0)),0,1),IF(ISNUMBER(AI159),1,0),IF(AI159=TRUNC(AI159),1,0),IF(AND(AI159*1=AI159,AI159&gt;=0),1,0),IF(AND(AI159=TRUNC(AI159),AI159&gt;=0),1,0),IF(AND(AI159*1=AI159,AI159&gt;0),1,0),IF(AND(AI159=TRUNC(AI159),AI159&gt;0),1,0),1,IF(ISNA(HLOOKUP(AI159,$BT$4:$CD$4,1,0)),0,1)),0)))</f>
        <v>1</v>
      </c>
      <c r="CR159" s="149">
        <f t="shared" ref="CR159:CR222" si="215">IF(OR(AJ$30="",AJ$4=99),1,IF(AJ159="",0,IFERROR(CHOOSE(CR$28,IF(ISNA(MATCH(AJ159,$BQ$30:$BR$30,0)),0,1),IF(ISNUMBER(AJ159),1,0),IF(AJ159=TRUNC(AJ159),1,0),IF(AND(AJ159*1=AJ159,AJ159&gt;=0),1,0),IF(AND(AJ159=TRUNC(AJ159),AJ159&gt;=0),1,0),IF(AND(AJ159*1=AJ159,AJ159&gt;0),1,0),IF(AND(AJ159=TRUNC(AJ159),AJ159&gt;0),1,0),1,IF(ISNA(HLOOKUP(AJ159,$BT$4:$CD$4,1,0)),0,1)),0)))</f>
        <v>1</v>
      </c>
      <c r="CS159" s="149">
        <f t="shared" ref="CS159:CS222" si="216">IF(OR(AK$30="",AK$4=99),1,IF(AK159="",0,IFERROR(CHOOSE(CS$28,IF(ISNA(MATCH(AK159,$BQ$30:$BR$30,0)),0,1),IF(ISNUMBER(AK159),1,0),IF(AK159=TRUNC(AK159),1,0),IF(AND(AK159*1=AK159,AK159&gt;=0),1,0),IF(AND(AK159=TRUNC(AK159),AK159&gt;=0),1,0),IF(AND(AK159*1=AK159,AK159&gt;0),1,0),IF(AND(AK159=TRUNC(AK159),AK159&gt;0),1,0),1,IF(ISNA(HLOOKUP(AK159,$BT$4:$CD$4,1,0)),0,1)),0)))</f>
        <v>1</v>
      </c>
      <c r="CT159" s="149">
        <f t="shared" ref="CT159:CT222" si="217">IF(OR(AL$30="",AL$4=99),1,IF(AL159="",0,IFERROR(CHOOSE(CT$28,IF(ISNA(MATCH(AL159,$BQ$30:$BR$30,0)),0,1),IF(ISNUMBER(AL159),1,0),IF(AL159=TRUNC(AL159),1,0),IF(AND(AL159*1=AL159,AL159&gt;=0),1,0),IF(AND(AL159=TRUNC(AL159),AL159&gt;=0),1,0),IF(AND(AL159*1=AL159,AL159&gt;0),1,0),IF(AND(AL159=TRUNC(AL159),AL159&gt;0),1,0),1,IF(ISNA(HLOOKUP(AL159,$BT$4:$CD$4,1,0)),0,1)),0)))</f>
        <v>1</v>
      </c>
      <c r="CU159" s="149">
        <f t="shared" ref="CU159:CU222" si="218">IF(OR(AM$30="",AM$4=99),1,IF(AM159="",0,IFERROR(CHOOSE(CU$28,IF(ISNA(MATCH(AM159,$BQ$30:$BR$30,0)),0,1),IF(ISNUMBER(AM159),1,0),IF(AM159=TRUNC(AM159),1,0),IF(AND(AM159*1=AM159,AM159&gt;=0),1,0),IF(AND(AM159=TRUNC(AM159),AM159&gt;=0),1,0),IF(AND(AM159*1=AM159,AM159&gt;0),1,0),IF(AND(AM159=TRUNC(AM159),AM159&gt;0),1,0),1,IF(ISNA(HLOOKUP(AM159,$BT$4:$CD$4,1,0)),0,1)),0)))</f>
        <v>1</v>
      </c>
      <c r="CV159" s="149">
        <f t="shared" ref="CV159:CV222" si="219">IF(OR(AN$30="",AN$4=99),1,IF(AN159="",0,IFERROR(CHOOSE(CV$28,IF(ISNA(MATCH(AN159,$BQ$30:$BR$30,0)),0,1),IF(ISNUMBER(AN159),1,0),IF(AN159=TRUNC(AN159),1,0),IF(AND(AN159*1=AN159,AN159&gt;=0),1,0),IF(AND(AN159=TRUNC(AN159),AN159&gt;=0),1,0),IF(AND(AN159*1=AN159,AN159&gt;0),1,0),IF(AND(AN159=TRUNC(AN159),AN159&gt;0),1,0),1,IF(ISNA(HLOOKUP(AN159,$BT$4:$CD$4,1,0)),0,1)),0)))</f>
        <v>1</v>
      </c>
      <c r="CW159" s="149">
        <f t="shared" ref="CW159:CW222" si="220">IF(OR(AO$30="",AO$4=99),1,IF(AO159="",0,IFERROR(CHOOSE(CW$28,IF(ISNA(MATCH(AO159,$BQ$30:$BR$30,0)),0,1),IF(ISNUMBER(AO159),1,0),IF(AO159=TRUNC(AO159),1,0),IF(AND(AO159*1=AO159,AO159&gt;=0),1,0),IF(AND(AO159=TRUNC(AO159),AO159&gt;=0),1,0),IF(AND(AO159*1=AO159,AO159&gt;0),1,0),IF(AND(AO159=TRUNC(AO159),AO159&gt;0),1,0),1,IF(ISNA(HLOOKUP(AO159,$BT$4:$CD$4,1,0)),0,1)),0)))</f>
        <v>1</v>
      </c>
      <c r="CX159" s="149">
        <f t="shared" ref="CX159:CX222" si="221">IF(OR(AP$30="",AP$4=99),1,IF(AP159="",0,IFERROR(CHOOSE(CX$28,IF(ISNA(MATCH(AP159,$BQ$30:$BR$30,0)),0,1),IF(ISNUMBER(AP159),1,0),IF(AP159=TRUNC(AP159),1,0),IF(AND(AP159*1=AP159,AP159&gt;=0),1,0),IF(AND(AP159=TRUNC(AP159),AP159&gt;=0),1,0),IF(AND(AP159*1=AP159,AP159&gt;0),1,0),IF(AND(AP159=TRUNC(AP159),AP159&gt;0),1,0),1,IF(ISNA(HLOOKUP(AP159,$BT$4:$CD$4,1,0)),0,1)),0)))</f>
        <v>1</v>
      </c>
      <c r="CY159" s="149">
        <f t="shared" ref="CY159:CY222" si="222">IF(OR(AQ$30="",AQ$4=99),1,IF(AQ159="",0,IFERROR(CHOOSE(CY$28,IF(ISNA(MATCH(AQ159,$BQ$30:$BR$30,0)),0,1),IF(ISNUMBER(AQ159),1,0),IF(AQ159=TRUNC(AQ159),1,0),IF(AND(AQ159*1=AQ159,AQ159&gt;=0),1,0),IF(AND(AQ159=TRUNC(AQ159),AQ159&gt;=0),1,0),IF(AND(AQ159*1=AQ159,AQ159&gt;0),1,0),IF(AND(AQ159=TRUNC(AQ159),AQ159&gt;0),1,0),1,IF(ISNA(HLOOKUP(AQ159,$BT$4:$CD$4,1,0)),0,1)),0)))</f>
        <v>1</v>
      </c>
      <c r="CZ159" s="149">
        <f t="shared" ref="CZ159:CZ222" si="223">IF(OR(AR$30="",AR$4=99),1,IF(AR159="",0,IFERROR(CHOOSE(CZ$28,IF(ISNA(MATCH(AR159,$BQ$30:$BR$30,0)),0,1),IF(ISNUMBER(AR159),1,0),IF(AR159=TRUNC(AR159),1,0),IF(AND(AR159*1=AR159,AR159&gt;=0),1,0),IF(AND(AR159=TRUNC(AR159),AR159&gt;=0),1,0),IF(AND(AR159*1=AR159,AR159&gt;0),1,0),IF(AND(AR159=TRUNC(AR159),AR159&gt;0),1,0),1,IF(ISNA(HLOOKUP(AR159,$BT$4:$CD$4,1,0)),0,1)),0)))</f>
        <v>1</v>
      </c>
      <c r="DA159" s="149">
        <f t="shared" ref="DA159:DA222" si="224">IF(OR(AS$30="",AS$4=99),1,IF(AS159="",0,IFERROR(CHOOSE(DA$28,IF(ISNA(MATCH(AS159,$BQ$30:$BR$30,0)),0,1),IF(ISNUMBER(AS159),1,0),IF(AS159=TRUNC(AS159),1,0),IF(AND(AS159*1=AS159,AS159&gt;=0),1,0),IF(AND(AS159=TRUNC(AS159),AS159&gt;=0),1,0),IF(AND(AS159*1=AS159,AS159&gt;0),1,0),IF(AND(AS159=TRUNC(AS159),AS159&gt;0),1,0),1,IF(ISNA(HLOOKUP(AS159,$BT$4:$CD$4,1,0)),0,1)),0)))</f>
        <v>1</v>
      </c>
      <c r="DB159" s="149">
        <f t="shared" ref="DB159:DB222" si="225">IF(OR(AT$30="",AT$4=99),1,IF(AT159="",0,IFERROR(CHOOSE(DB$28,IF(ISNA(MATCH(AT159,$BQ$30:$BR$30,0)),0,1),IF(ISNUMBER(AT159),1,0),IF(AT159=TRUNC(AT159),1,0),IF(AND(AT159*1=AT159,AT159&gt;=0),1,0),IF(AND(AT159=TRUNC(AT159),AT159&gt;=0),1,0),IF(AND(AT159*1=AT159,AT159&gt;0),1,0),IF(AND(AT159=TRUNC(AT159),AT159&gt;0),1,0),1,IF(ISNA(HLOOKUP(AT159,$BT$4:$CD$4,1,0)),0,1)),0)))</f>
        <v>1</v>
      </c>
      <c r="DG159" s="125">
        <f t="shared" si="186"/>
        <v>1</v>
      </c>
      <c r="DH159" s="125">
        <f t="shared" si="185"/>
        <v>2</v>
      </c>
      <c r="DI159" s="125">
        <f t="shared" si="185"/>
        <v>3</v>
      </c>
      <c r="DJ159" s="125">
        <f t="shared" si="185"/>
        <v>4</v>
      </c>
      <c r="DK159" s="125">
        <f t="shared" si="185"/>
        <v>5</v>
      </c>
      <c r="DL159" s="125">
        <f t="shared" si="185"/>
        <v>6</v>
      </c>
      <c r="DM159" s="125">
        <f t="shared" si="185"/>
        <v>7</v>
      </c>
      <c r="DN159" s="125">
        <f t="shared" si="185"/>
        <v>8</v>
      </c>
      <c r="DO159" s="125">
        <f t="shared" si="185"/>
        <v>9</v>
      </c>
      <c r="DP159" s="125">
        <f t="shared" si="185"/>
        <v>10</v>
      </c>
      <c r="DS159" s="137"/>
      <c r="DT159" s="137"/>
      <c r="DU159" s="137"/>
      <c r="DV159" s="137" t="b">
        <f t="shared" ref="DV159:DV222" si="226">AK159&gt;=DU$5</f>
        <v>0</v>
      </c>
      <c r="DW159" s="137" t="b">
        <f t="shared" ref="DW159:DW222" si="227">AM159&gt;=DV$5</f>
        <v>0</v>
      </c>
      <c r="DX159" s="137" t="b">
        <f t="shared" ref="DX159:DX222" si="228">AP159&gt;=DW$5</f>
        <v>1</v>
      </c>
      <c r="EB159" s="131">
        <f t="shared" si="182"/>
        <v>1</v>
      </c>
      <c r="EC159" s="137" t="b">
        <f t="shared" ref="EC159:EC222" si="229">AK159&gt;=EB$5</f>
        <v>0</v>
      </c>
      <c r="ED159" s="137" t="b">
        <f t="shared" ref="ED159:ED222" si="230">AM159&gt;=EC$5</f>
        <v>0</v>
      </c>
      <c r="EE159" s="137" t="b">
        <f t="shared" ref="EE159:EE222" si="231">AP159&gt;=ED$5</f>
        <v>1</v>
      </c>
      <c r="EF159" s="137"/>
      <c r="EG159" s="137"/>
      <c r="EH159" s="137"/>
      <c r="EI159" s="137"/>
      <c r="EJ159" s="137">
        <f t="shared" si="183"/>
        <v>1</v>
      </c>
      <c r="EK159" s="125">
        <f t="shared" ref="EK159:EK222" si="232">IF($G159="","",IF(EB159=$DV$3,1,0))</f>
        <v>0</v>
      </c>
      <c r="EL159" s="125">
        <f t="shared" ref="EL159:EL222" si="233">IF($G159="","",IF(AND(EJ159=$DV$3,EJ159-EB159&lt;=$EC$3),1,0))</f>
        <v>0</v>
      </c>
    </row>
    <row r="160" spans="2:142" ht="15.75" x14ac:dyDescent="0.25">
      <c r="B160" s="160">
        <f t="shared" ref="B160:B223" si="234">IF(G160="","",ROW()-30)</f>
        <v>130</v>
      </c>
      <c r="C160" s="205">
        <v>1001350318</v>
      </c>
      <c r="D160" s="205">
        <v>1001265106</v>
      </c>
      <c r="E160" s="205">
        <v>40992259</v>
      </c>
      <c r="F160" s="118">
        <f>IF(OR(J160="",H160=""),"",VLOOKUP(J160,'הזנה לסיווג רשויות'!$B$2:$D$301,2,0))</f>
        <v>20000201</v>
      </c>
      <c r="G160" s="118" t="str">
        <f>IF(OR(J160="",H160=""),"",VLOOKUP(J160,'הזנה לסיווג רשויות'!$B$2:$D$301,3,0))</f>
        <v>תל אביב -יפו</v>
      </c>
      <c r="H160" s="281" t="s">
        <v>629</v>
      </c>
      <c r="I160" s="201" t="s">
        <v>377</v>
      </c>
      <c r="J160" s="205">
        <v>5000</v>
      </c>
      <c r="K160" s="161">
        <v>0</v>
      </c>
      <c r="L160" s="161">
        <v>1</v>
      </c>
      <c r="M160" s="161">
        <v>0</v>
      </c>
      <c r="N160" s="161">
        <v>1</v>
      </c>
      <c r="O160" s="161">
        <v>1</v>
      </c>
      <c r="P160" s="161">
        <v>1</v>
      </c>
      <c r="Q160" s="161">
        <v>1</v>
      </c>
      <c r="R160" s="201">
        <v>674525</v>
      </c>
      <c r="S160" s="201">
        <v>378300</v>
      </c>
      <c r="T160" s="160">
        <f>IF(G160="","",IFERROR(IF(S160/R160&gt;'פרמטרים לקריטריונים'!$C$20,1,0),0))</f>
        <v>1</v>
      </c>
      <c r="U160" s="201">
        <v>369781</v>
      </c>
      <c r="V160" s="160">
        <f>IF(G160="","",IFERROR(IF(U160/R160&gt;'פרמטרים לקריטריונים'!$C$21,1,IF(AND(I160=$BW$5,U160/R160&gt;'פרמטרים לקריטריונים'!$C$22),1,0)),0))</f>
        <v>1</v>
      </c>
      <c r="W160" s="161">
        <v>1</v>
      </c>
      <c r="X160" s="161">
        <v>1</v>
      </c>
      <c r="Y160" s="201">
        <v>200000</v>
      </c>
      <c r="Z160" s="201">
        <v>1</v>
      </c>
      <c r="AA160" s="161">
        <f t="shared" ref="AA160:AA223" si="235">IF(G160="","",IF(COUNTIF($D$31:$D$500,D160)=1,1,0))</f>
        <v>1</v>
      </c>
      <c r="AB160" s="161"/>
      <c r="AC160" s="161"/>
      <c r="AD160" s="161"/>
      <c r="AE160" s="161"/>
      <c r="AF160" s="161"/>
      <c r="AG160" s="161"/>
      <c r="AH160" s="161"/>
      <c r="AI160" s="161"/>
      <c r="AJ160" s="161"/>
      <c r="AK160" s="161"/>
      <c r="AL160" s="161"/>
      <c r="AM160" s="161"/>
      <c r="AN160" s="161"/>
      <c r="AO160" s="161"/>
      <c r="AP160" s="161"/>
      <c r="AQ160" s="161"/>
      <c r="AR160" s="161"/>
      <c r="AS160" s="161"/>
      <c r="AT160" s="161"/>
      <c r="AU160" s="161"/>
      <c r="AV160" s="161"/>
      <c r="AW160" s="160"/>
      <c r="AX160" s="161"/>
      <c r="AY160" s="161"/>
      <c r="AZ160" s="161"/>
      <c r="BA160" s="161"/>
      <c r="BB160" s="161"/>
      <c r="BC160" s="161"/>
      <c r="BD160" s="161"/>
      <c r="BE160" s="161"/>
      <c r="BF160" s="160" t="str">
        <f t="shared" ref="BF160:BF223" si="236">IFERROR(SUM(AZ160:BE160)/COUNT(AZ160:BE160),"")</f>
        <v/>
      </c>
      <c r="BG160" s="160"/>
      <c r="BH160" s="160"/>
      <c r="BI160" s="160"/>
      <c r="BJ160" s="160"/>
      <c r="BK160" s="160"/>
      <c r="BL160" s="162">
        <f t="shared" si="187"/>
        <v>1</v>
      </c>
      <c r="BM160" s="257"/>
      <c r="BN160" s="163"/>
      <c r="BO160" s="211" t="str">
        <f t="shared" si="188"/>
        <v>גלרית תיאטרון החנותקבוצות תיאטרון</v>
      </c>
      <c r="BP160" s="125">
        <f t="shared" si="189"/>
        <v>1</v>
      </c>
      <c r="BQ160" s="164">
        <v>0</v>
      </c>
      <c r="BR160" s="164">
        <v>1</v>
      </c>
      <c r="BS160" s="149">
        <f t="shared" si="190"/>
        <v>1</v>
      </c>
      <c r="BT160" s="149">
        <f t="shared" si="191"/>
        <v>1</v>
      </c>
      <c r="BU160" s="149">
        <f t="shared" si="192"/>
        <v>1</v>
      </c>
      <c r="BV160" s="149">
        <f t="shared" si="193"/>
        <v>1</v>
      </c>
      <c r="BW160" s="149">
        <f t="shared" si="194"/>
        <v>1</v>
      </c>
      <c r="BX160" s="149">
        <f t="shared" si="195"/>
        <v>1</v>
      </c>
      <c r="BY160" s="149">
        <f t="shared" si="196"/>
        <v>1</v>
      </c>
      <c r="BZ160" s="149">
        <f t="shared" si="197"/>
        <v>1</v>
      </c>
      <c r="CA160" s="149">
        <f t="shared" si="198"/>
        <v>1</v>
      </c>
      <c r="CB160" s="149">
        <f t="shared" si="199"/>
        <v>1</v>
      </c>
      <c r="CC160" s="149">
        <f t="shared" si="200"/>
        <v>1</v>
      </c>
      <c r="CD160" s="149">
        <f t="shared" si="201"/>
        <v>1</v>
      </c>
      <c r="CE160" s="149">
        <f t="shared" si="202"/>
        <v>1</v>
      </c>
      <c r="CF160" s="149">
        <f t="shared" si="203"/>
        <v>1</v>
      </c>
      <c r="CG160" s="149">
        <f t="shared" si="204"/>
        <v>1</v>
      </c>
      <c r="CH160" s="149">
        <f t="shared" si="205"/>
        <v>1</v>
      </c>
      <c r="CI160" s="149">
        <f t="shared" si="206"/>
        <v>1</v>
      </c>
      <c r="CJ160" s="149">
        <f t="shared" si="207"/>
        <v>1</v>
      </c>
      <c r="CK160" s="149">
        <f t="shared" si="208"/>
        <v>1</v>
      </c>
      <c r="CL160" s="149">
        <f t="shared" si="209"/>
        <v>1</v>
      </c>
      <c r="CM160" s="149">
        <f t="shared" si="210"/>
        <v>1</v>
      </c>
      <c r="CN160" s="149">
        <f t="shared" si="211"/>
        <v>1</v>
      </c>
      <c r="CO160" s="149">
        <f t="shared" si="212"/>
        <v>1</v>
      </c>
      <c r="CP160" s="149">
        <f t="shared" si="213"/>
        <v>1</v>
      </c>
      <c r="CQ160" s="149">
        <f t="shared" si="214"/>
        <v>1</v>
      </c>
      <c r="CR160" s="149">
        <f t="shared" si="215"/>
        <v>1</v>
      </c>
      <c r="CS160" s="149">
        <f t="shared" si="216"/>
        <v>1</v>
      </c>
      <c r="CT160" s="149">
        <f t="shared" si="217"/>
        <v>1</v>
      </c>
      <c r="CU160" s="149">
        <f t="shared" si="218"/>
        <v>1</v>
      </c>
      <c r="CV160" s="149">
        <f t="shared" si="219"/>
        <v>1</v>
      </c>
      <c r="CW160" s="149">
        <f t="shared" si="220"/>
        <v>1</v>
      </c>
      <c r="CX160" s="149">
        <f t="shared" si="221"/>
        <v>1</v>
      </c>
      <c r="CY160" s="149">
        <f t="shared" si="222"/>
        <v>1</v>
      </c>
      <c r="CZ160" s="149">
        <f t="shared" si="223"/>
        <v>1</v>
      </c>
      <c r="DA160" s="149">
        <f t="shared" si="224"/>
        <v>1</v>
      </c>
      <c r="DB160" s="149">
        <f t="shared" si="225"/>
        <v>1</v>
      </c>
      <c r="DG160" s="125">
        <f t="shared" si="186"/>
        <v>1</v>
      </c>
      <c r="DH160" s="125">
        <f t="shared" si="185"/>
        <v>2</v>
      </c>
      <c r="DI160" s="125">
        <f t="shared" si="185"/>
        <v>3</v>
      </c>
      <c r="DJ160" s="125">
        <f t="shared" si="185"/>
        <v>4</v>
      </c>
      <c r="DK160" s="125">
        <f t="shared" si="185"/>
        <v>5</v>
      </c>
      <c r="DL160" s="125">
        <f t="shared" si="185"/>
        <v>6</v>
      </c>
      <c r="DM160" s="125">
        <f t="shared" si="185"/>
        <v>7</v>
      </c>
      <c r="DN160" s="125">
        <f t="shared" si="185"/>
        <v>8</v>
      </c>
      <c r="DO160" s="125">
        <f t="shared" si="185"/>
        <v>9</v>
      </c>
      <c r="DP160" s="125">
        <f t="shared" si="185"/>
        <v>10</v>
      </c>
      <c r="DS160" s="137"/>
      <c r="DT160" s="137"/>
      <c r="DU160" s="137"/>
      <c r="DV160" s="137" t="b">
        <f t="shared" si="226"/>
        <v>0</v>
      </c>
      <c r="DW160" s="137" t="b">
        <f t="shared" si="227"/>
        <v>0</v>
      </c>
      <c r="DX160" s="137" t="b">
        <f t="shared" si="228"/>
        <v>1</v>
      </c>
      <c r="EB160" s="131">
        <f t="shared" ref="EB160:EB223" si="237">COUNTIF(DV160:DZ160,TRUE)</f>
        <v>1</v>
      </c>
      <c r="EC160" s="137" t="b">
        <f t="shared" si="229"/>
        <v>0</v>
      </c>
      <c r="ED160" s="137" t="b">
        <f t="shared" si="230"/>
        <v>0</v>
      </c>
      <c r="EE160" s="137" t="b">
        <f t="shared" si="231"/>
        <v>1</v>
      </c>
      <c r="EF160" s="137"/>
      <c r="EG160" s="137"/>
      <c r="EH160" s="137"/>
      <c r="EI160" s="137"/>
      <c r="EJ160" s="137">
        <f t="shared" ref="EJ160:EJ223" si="238">COUNTIF(EC160:EI160,TRUE)</f>
        <v>1</v>
      </c>
      <c r="EK160" s="125">
        <f t="shared" si="232"/>
        <v>0</v>
      </c>
      <c r="EL160" s="125">
        <f t="shared" si="233"/>
        <v>0</v>
      </c>
    </row>
    <row r="161" spans="2:142" ht="15.75" x14ac:dyDescent="0.25">
      <c r="B161" s="160">
        <f t="shared" si="234"/>
        <v>131</v>
      </c>
      <c r="C161" s="283">
        <v>1001347256</v>
      </c>
      <c r="D161" s="283">
        <v>1001268258</v>
      </c>
      <c r="E161" s="281">
        <v>41484317</v>
      </c>
      <c r="F161" s="118">
        <f>IF(OR(J161="",H161=""),"",VLOOKUP(J161,'הזנה לסיווג רשויות'!$B$2:$D$301,2,0))</f>
        <v>20000201</v>
      </c>
      <c r="G161" s="118" t="str">
        <f>IF(OR(J161="",H161=""),"",VLOOKUP(J161,'הזנה לסיווג רשויות'!$B$2:$D$301,3,0))</f>
        <v>תל אביב -יפו</v>
      </c>
      <c r="H161" s="281" t="s">
        <v>630</v>
      </c>
      <c r="I161" s="201" t="s">
        <v>384</v>
      </c>
      <c r="J161" s="205">
        <v>5000</v>
      </c>
      <c r="K161" s="161">
        <v>0</v>
      </c>
      <c r="L161" s="161">
        <v>1</v>
      </c>
      <c r="M161" s="161">
        <v>0</v>
      </c>
      <c r="N161" s="161">
        <v>0</v>
      </c>
      <c r="O161" s="161">
        <v>1</v>
      </c>
      <c r="P161" s="161">
        <v>1</v>
      </c>
      <c r="Q161" s="161">
        <v>1</v>
      </c>
      <c r="R161" s="201">
        <v>493002</v>
      </c>
      <c r="S161" s="201">
        <v>493002</v>
      </c>
      <c r="T161" s="160">
        <f>IF(G161="","",IFERROR(IF(S161/R161&gt;'פרמטרים לקריטריונים'!$C$20,1,0),0))</f>
        <v>1</v>
      </c>
      <c r="U161" s="201">
        <v>258171</v>
      </c>
      <c r="V161" s="160">
        <f>IF(G161="","",IFERROR(IF(U161/R161&gt;'פרמטרים לקריטריונים'!$C$21,1,IF(AND(I161=$BW$5,U161/R161&gt;'פרמטרים לקריטריונים'!$C$22),1,0)),0))</f>
        <v>1</v>
      </c>
      <c r="W161" s="161">
        <v>1</v>
      </c>
      <c r="X161" s="161">
        <v>1</v>
      </c>
      <c r="Y161" s="201">
        <v>1000000</v>
      </c>
      <c r="Z161" s="201">
        <v>200000</v>
      </c>
      <c r="AA161" s="161">
        <f t="shared" si="235"/>
        <v>1</v>
      </c>
      <c r="AB161" s="161"/>
      <c r="AC161" s="161"/>
      <c r="AD161" s="161"/>
      <c r="AE161" s="161"/>
      <c r="AF161" s="161"/>
      <c r="AG161" s="161"/>
      <c r="AH161" s="161"/>
      <c r="AI161" s="161"/>
      <c r="AJ161" s="161"/>
      <c r="AK161" s="161"/>
      <c r="AL161" s="161"/>
      <c r="AM161" s="161"/>
      <c r="AN161" s="161"/>
      <c r="AO161" s="161"/>
      <c r="AP161" s="161"/>
      <c r="AQ161" s="161"/>
      <c r="AR161" s="161"/>
      <c r="AS161" s="161"/>
      <c r="AT161" s="161"/>
      <c r="AU161" s="161"/>
      <c r="AV161" s="161"/>
      <c r="AW161" s="160"/>
      <c r="AX161" s="161"/>
      <c r="AY161" s="161"/>
      <c r="AZ161" s="161"/>
      <c r="BA161" s="161"/>
      <c r="BB161" s="161"/>
      <c r="BC161" s="161"/>
      <c r="BD161" s="161"/>
      <c r="BE161" s="161"/>
      <c r="BF161" s="160" t="str">
        <f t="shared" si="236"/>
        <v/>
      </c>
      <c r="BG161" s="160"/>
      <c r="BH161" s="160"/>
      <c r="BI161" s="160"/>
      <c r="BJ161" s="160"/>
      <c r="BK161" s="160"/>
      <c r="BL161" s="162">
        <f t="shared" si="187"/>
        <v>1</v>
      </c>
      <c r="BM161" s="257"/>
      <c r="BN161" s="163"/>
      <c r="BO161" s="211" t="str">
        <f t="shared" si="188"/>
        <v>קידום נתיב אמןמרכזי פרינג'</v>
      </c>
      <c r="BP161" s="125">
        <f t="shared" si="189"/>
        <v>1</v>
      </c>
      <c r="BQ161" s="164">
        <v>0</v>
      </c>
      <c r="BR161" s="164">
        <v>1</v>
      </c>
      <c r="BS161" s="149">
        <f t="shared" si="190"/>
        <v>1</v>
      </c>
      <c r="BT161" s="149">
        <f t="shared" si="191"/>
        <v>1</v>
      </c>
      <c r="BU161" s="149">
        <f t="shared" si="192"/>
        <v>1</v>
      </c>
      <c r="BV161" s="149">
        <f t="shared" si="193"/>
        <v>1</v>
      </c>
      <c r="BW161" s="149">
        <f t="shared" si="194"/>
        <v>1</v>
      </c>
      <c r="BX161" s="149">
        <f t="shared" si="195"/>
        <v>1</v>
      </c>
      <c r="BY161" s="149">
        <f t="shared" si="196"/>
        <v>1</v>
      </c>
      <c r="BZ161" s="149">
        <f t="shared" si="197"/>
        <v>1</v>
      </c>
      <c r="CA161" s="149">
        <f t="shared" si="198"/>
        <v>1</v>
      </c>
      <c r="CB161" s="149">
        <f t="shared" si="199"/>
        <v>1</v>
      </c>
      <c r="CC161" s="149">
        <f t="shared" si="200"/>
        <v>1</v>
      </c>
      <c r="CD161" s="149">
        <f t="shared" si="201"/>
        <v>1</v>
      </c>
      <c r="CE161" s="149">
        <f t="shared" si="202"/>
        <v>1</v>
      </c>
      <c r="CF161" s="149">
        <f t="shared" si="203"/>
        <v>1</v>
      </c>
      <c r="CG161" s="149">
        <f t="shared" si="204"/>
        <v>1</v>
      </c>
      <c r="CH161" s="149">
        <f t="shared" si="205"/>
        <v>1</v>
      </c>
      <c r="CI161" s="149">
        <f t="shared" si="206"/>
        <v>1</v>
      </c>
      <c r="CJ161" s="149">
        <f t="shared" si="207"/>
        <v>1</v>
      </c>
      <c r="CK161" s="149">
        <f t="shared" si="208"/>
        <v>1</v>
      </c>
      <c r="CL161" s="149">
        <f t="shared" si="209"/>
        <v>1</v>
      </c>
      <c r="CM161" s="149">
        <f t="shared" si="210"/>
        <v>1</v>
      </c>
      <c r="CN161" s="149">
        <f t="shared" si="211"/>
        <v>1</v>
      </c>
      <c r="CO161" s="149">
        <f t="shared" si="212"/>
        <v>1</v>
      </c>
      <c r="CP161" s="149">
        <f t="shared" si="213"/>
        <v>1</v>
      </c>
      <c r="CQ161" s="149">
        <f t="shared" si="214"/>
        <v>1</v>
      </c>
      <c r="CR161" s="149">
        <f t="shared" si="215"/>
        <v>1</v>
      </c>
      <c r="CS161" s="149">
        <f t="shared" si="216"/>
        <v>1</v>
      </c>
      <c r="CT161" s="149">
        <f t="shared" si="217"/>
        <v>1</v>
      </c>
      <c r="CU161" s="149">
        <f t="shared" si="218"/>
        <v>1</v>
      </c>
      <c r="CV161" s="149">
        <f t="shared" si="219"/>
        <v>1</v>
      </c>
      <c r="CW161" s="149">
        <f t="shared" si="220"/>
        <v>1</v>
      </c>
      <c r="CX161" s="149">
        <f t="shared" si="221"/>
        <v>1</v>
      </c>
      <c r="CY161" s="149">
        <f t="shared" si="222"/>
        <v>1</v>
      </c>
      <c r="CZ161" s="149">
        <f t="shared" si="223"/>
        <v>1</v>
      </c>
      <c r="DA161" s="149">
        <f t="shared" si="224"/>
        <v>1</v>
      </c>
      <c r="DB161" s="149">
        <f t="shared" si="225"/>
        <v>1</v>
      </c>
      <c r="DG161" s="125">
        <f t="shared" si="186"/>
        <v>1</v>
      </c>
      <c r="DH161" s="125">
        <f t="shared" si="185"/>
        <v>2</v>
      </c>
      <c r="DI161" s="125">
        <f t="shared" si="185"/>
        <v>3</v>
      </c>
      <c r="DJ161" s="125">
        <f t="shared" si="185"/>
        <v>4</v>
      </c>
      <c r="DK161" s="125">
        <f t="shared" si="185"/>
        <v>5</v>
      </c>
      <c r="DL161" s="125">
        <f t="shared" si="185"/>
        <v>6</v>
      </c>
      <c r="DM161" s="125">
        <f t="shared" si="185"/>
        <v>7</v>
      </c>
      <c r="DN161" s="125">
        <f t="shared" si="185"/>
        <v>8</v>
      </c>
      <c r="DO161" s="125">
        <f t="shared" si="185"/>
        <v>9</v>
      </c>
      <c r="DP161" s="125">
        <f t="shared" si="185"/>
        <v>10</v>
      </c>
      <c r="DS161" s="137"/>
      <c r="DT161" s="137"/>
      <c r="DU161" s="137"/>
      <c r="DV161" s="137" t="b">
        <f t="shared" si="226"/>
        <v>0</v>
      </c>
      <c r="DW161" s="137" t="b">
        <f t="shared" si="227"/>
        <v>0</v>
      </c>
      <c r="DX161" s="137" t="b">
        <f t="shared" si="228"/>
        <v>1</v>
      </c>
      <c r="EB161" s="131">
        <f t="shared" si="237"/>
        <v>1</v>
      </c>
      <c r="EC161" s="137" t="b">
        <f t="shared" si="229"/>
        <v>0</v>
      </c>
      <c r="ED161" s="137" t="b">
        <f t="shared" si="230"/>
        <v>0</v>
      </c>
      <c r="EE161" s="137" t="b">
        <f t="shared" si="231"/>
        <v>1</v>
      </c>
      <c r="EF161" s="137"/>
      <c r="EG161" s="137"/>
      <c r="EH161" s="137"/>
      <c r="EI161" s="137"/>
      <c r="EJ161" s="137">
        <f t="shared" si="238"/>
        <v>1</v>
      </c>
      <c r="EK161" s="125">
        <f t="shared" si="232"/>
        <v>0</v>
      </c>
      <c r="EL161" s="125">
        <f t="shared" si="233"/>
        <v>0</v>
      </c>
    </row>
    <row r="162" spans="2:142" ht="15.75" x14ac:dyDescent="0.25">
      <c r="B162" s="160">
        <f t="shared" si="234"/>
        <v>132</v>
      </c>
      <c r="C162" s="283">
        <v>1001350329</v>
      </c>
      <c r="D162" s="283">
        <v>1001302334</v>
      </c>
      <c r="E162" s="281">
        <v>41484318</v>
      </c>
      <c r="F162" s="118">
        <f>IF(OR(J162="",H162=""),"",VLOOKUP(J162,'הזנה לסיווג רשויות'!$B$2:$D$301,2,0))</f>
        <v>20000182</v>
      </c>
      <c r="G162" s="118" t="str">
        <f>IF(OR(J162="",H162=""),"",VLOOKUP(J162,'הזנה לסיווג רשויות'!$B$2:$D$301,3,0))</f>
        <v>חיפה</v>
      </c>
      <c r="H162" s="281" t="s">
        <v>631</v>
      </c>
      <c r="I162" s="201" t="s">
        <v>373</v>
      </c>
      <c r="J162" s="205">
        <v>4000</v>
      </c>
      <c r="K162" s="161">
        <v>0</v>
      </c>
      <c r="L162" s="161">
        <v>1</v>
      </c>
      <c r="M162" s="161">
        <v>0</v>
      </c>
      <c r="N162" s="161">
        <v>0</v>
      </c>
      <c r="O162" s="161">
        <v>1</v>
      </c>
      <c r="P162" s="161">
        <v>1</v>
      </c>
      <c r="Q162" s="161">
        <v>1</v>
      </c>
      <c r="R162" s="201">
        <v>796670</v>
      </c>
      <c r="S162" s="201">
        <v>381832</v>
      </c>
      <c r="T162" s="160">
        <f>IF(G162="","",IFERROR(IF(S162/R162&gt;'פרמטרים לקריטריונים'!$C$20,1,0),0))</f>
        <v>1</v>
      </c>
      <c r="U162" s="201">
        <v>381832</v>
      </c>
      <c r="V162" s="160">
        <f>IF(G162="","",IFERROR(IF(U162/R162&gt;'פרמטרים לקריטריונים'!$C$21,1,IF(AND(I162=$BW$5,U162/R162&gt;'פרמטרים לקריטריונים'!$C$22),1,0)),0))</f>
        <v>1</v>
      </c>
      <c r="W162" s="161">
        <v>1</v>
      </c>
      <c r="X162" s="161">
        <v>1</v>
      </c>
      <c r="Y162" s="201">
        <v>1300000</v>
      </c>
      <c r="Z162" s="201">
        <v>700000</v>
      </c>
      <c r="AA162" s="161">
        <f t="shared" si="235"/>
        <v>1</v>
      </c>
      <c r="AB162" s="161"/>
      <c r="AC162" s="161"/>
      <c r="AD162" s="161"/>
      <c r="AE162" s="161"/>
      <c r="AF162" s="161"/>
      <c r="AG162" s="161"/>
      <c r="AH162" s="161"/>
      <c r="AI162" s="161"/>
      <c r="AJ162" s="161"/>
      <c r="AK162" s="161"/>
      <c r="AL162" s="161"/>
      <c r="AM162" s="161"/>
      <c r="AN162" s="161"/>
      <c r="AO162" s="161"/>
      <c r="AP162" s="161"/>
      <c r="AQ162" s="161"/>
      <c r="AR162" s="161"/>
      <c r="AS162" s="161"/>
      <c r="AT162" s="161"/>
      <c r="AU162" s="161"/>
      <c r="AV162" s="161"/>
      <c r="AW162" s="160"/>
      <c r="AX162" s="161"/>
      <c r="AY162" s="161"/>
      <c r="AZ162" s="161"/>
      <c r="BA162" s="161"/>
      <c r="BB162" s="161"/>
      <c r="BC162" s="161"/>
      <c r="BD162" s="161"/>
      <c r="BE162" s="161"/>
      <c r="BF162" s="160" t="str">
        <f t="shared" si="236"/>
        <v/>
      </c>
      <c r="BG162" s="160"/>
      <c r="BH162" s="160"/>
      <c r="BI162" s="160"/>
      <c r="BJ162" s="160"/>
      <c r="BK162" s="160"/>
      <c r="BL162" s="162">
        <f t="shared" si="187"/>
        <v>1</v>
      </c>
      <c r="BM162" s="257"/>
      <c r="BN162" s="163"/>
      <c r="BO162" s="211" t="str">
        <f t="shared" si="188"/>
        <v>תיאטרון אלמג'דתיאטרון</v>
      </c>
      <c r="BP162" s="125">
        <f t="shared" si="189"/>
        <v>1</v>
      </c>
      <c r="BQ162" s="164">
        <v>0</v>
      </c>
      <c r="BR162" s="164">
        <v>1</v>
      </c>
      <c r="BS162" s="149">
        <f t="shared" si="190"/>
        <v>1</v>
      </c>
      <c r="BT162" s="149">
        <f t="shared" si="191"/>
        <v>1</v>
      </c>
      <c r="BU162" s="149">
        <f t="shared" si="192"/>
        <v>1</v>
      </c>
      <c r="BV162" s="149">
        <f t="shared" si="193"/>
        <v>1</v>
      </c>
      <c r="BW162" s="149">
        <f t="shared" si="194"/>
        <v>1</v>
      </c>
      <c r="BX162" s="149">
        <f t="shared" si="195"/>
        <v>1</v>
      </c>
      <c r="BY162" s="149">
        <f t="shared" si="196"/>
        <v>1</v>
      </c>
      <c r="BZ162" s="149">
        <f t="shared" si="197"/>
        <v>1</v>
      </c>
      <c r="CA162" s="149">
        <f t="shared" si="198"/>
        <v>1</v>
      </c>
      <c r="CB162" s="149">
        <f t="shared" si="199"/>
        <v>1</v>
      </c>
      <c r="CC162" s="149">
        <f t="shared" si="200"/>
        <v>1</v>
      </c>
      <c r="CD162" s="149">
        <f t="shared" si="201"/>
        <v>1</v>
      </c>
      <c r="CE162" s="149">
        <f t="shared" si="202"/>
        <v>1</v>
      </c>
      <c r="CF162" s="149">
        <f t="shared" si="203"/>
        <v>1</v>
      </c>
      <c r="CG162" s="149">
        <f t="shared" si="204"/>
        <v>1</v>
      </c>
      <c r="CH162" s="149">
        <f t="shared" si="205"/>
        <v>1</v>
      </c>
      <c r="CI162" s="149">
        <f t="shared" si="206"/>
        <v>1</v>
      </c>
      <c r="CJ162" s="149">
        <f t="shared" si="207"/>
        <v>1</v>
      </c>
      <c r="CK162" s="149">
        <f t="shared" si="208"/>
        <v>1</v>
      </c>
      <c r="CL162" s="149">
        <f t="shared" si="209"/>
        <v>1</v>
      </c>
      <c r="CM162" s="149">
        <f t="shared" si="210"/>
        <v>1</v>
      </c>
      <c r="CN162" s="149">
        <f t="shared" si="211"/>
        <v>1</v>
      </c>
      <c r="CO162" s="149">
        <f t="shared" si="212"/>
        <v>1</v>
      </c>
      <c r="CP162" s="149">
        <f t="shared" si="213"/>
        <v>1</v>
      </c>
      <c r="CQ162" s="149">
        <f t="shared" si="214"/>
        <v>1</v>
      </c>
      <c r="CR162" s="149">
        <f t="shared" si="215"/>
        <v>1</v>
      </c>
      <c r="CS162" s="149">
        <f t="shared" si="216"/>
        <v>1</v>
      </c>
      <c r="CT162" s="149">
        <f t="shared" si="217"/>
        <v>1</v>
      </c>
      <c r="CU162" s="149">
        <f t="shared" si="218"/>
        <v>1</v>
      </c>
      <c r="CV162" s="149">
        <f t="shared" si="219"/>
        <v>1</v>
      </c>
      <c r="CW162" s="149">
        <f t="shared" si="220"/>
        <v>1</v>
      </c>
      <c r="CX162" s="149">
        <f t="shared" si="221"/>
        <v>1</v>
      </c>
      <c r="CY162" s="149">
        <f t="shared" si="222"/>
        <v>1</v>
      </c>
      <c r="CZ162" s="149">
        <f t="shared" si="223"/>
        <v>1</v>
      </c>
      <c r="DA162" s="149">
        <f t="shared" si="224"/>
        <v>1</v>
      </c>
      <c r="DB162" s="149">
        <f t="shared" si="225"/>
        <v>1</v>
      </c>
      <c r="DG162" s="125">
        <f t="shared" si="186"/>
        <v>1</v>
      </c>
      <c r="DH162" s="125">
        <f t="shared" si="185"/>
        <v>2</v>
      </c>
      <c r="DI162" s="125">
        <f t="shared" si="185"/>
        <v>3</v>
      </c>
      <c r="DJ162" s="125">
        <f t="shared" si="185"/>
        <v>4</v>
      </c>
      <c r="DK162" s="125">
        <f t="shared" si="185"/>
        <v>5</v>
      </c>
      <c r="DL162" s="125">
        <f t="shared" si="185"/>
        <v>6</v>
      </c>
      <c r="DM162" s="125">
        <f t="shared" si="185"/>
        <v>7</v>
      </c>
      <c r="DN162" s="125">
        <f t="shared" si="185"/>
        <v>8</v>
      </c>
      <c r="DO162" s="125">
        <f t="shared" si="185"/>
        <v>9</v>
      </c>
      <c r="DP162" s="125">
        <f t="shared" si="185"/>
        <v>10</v>
      </c>
      <c r="DS162" s="137"/>
      <c r="DT162" s="137"/>
      <c r="DU162" s="137"/>
      <c r="DV162" s="137" t="b">
        <f t="shared" si="226"/>
        <v>0</v>
      </c>
      <c r="DW162" s="137" t="b">
        <f t="shared" si="227"/>
        <v>0</v>
      </c>
      <c r="DX162" s="137" t="b">
        <f t="shared" si="228"/>
        <v>1</v>
      </c>
      <c r="EB162" s="131">
        <f t="shared" si="237"/>
        <v>1</v>
      </c>
      <c r="EC162" s="137" t="b">
        <f t="shared" si="229"/>
        <v>0</v>
      </c>
      <c r="ED162" s="137" t="b">
        <f t="shared" si="230"/>
        <v>0</v>
      </c>
      <c r="EE162" s="137" t="b">
        <f t="shared" si="231"/>
        <v>1</v>
      </c>
      <c r="EF162" s="137"/>
      <c r="EG162" s="137"/>
      <c r="EH162" s="137"/>
      <c r="EI162" s="137"/>
      <c r="EJ162" s="137">
        <f t="shared" si="238"/>
        <v>1</v>
      </c>
      <c r="EK162" s="125">
        <f t="shared" si="232"/>
        <v>0</v>
      </c>
      <c r="EL162" s="125">
        <f t="shared" si="233"/>
        <v>0</v>
      </c>
    </row>
    <row r="163" spans="2:142" ht="15.75" x14ac:dyDescent="0.25">
      <c r="B163" s="160">
        <f t="shared" si="234"/>
        <v>133</v>
      </c>
      <c r="C163" s="283">
        <v>1001349802</v>
      </c>
      <c r="D163" s="283">
        <v>1001290463</v>
      </c>
      <c r="E163" s="205">
        <v>41484540</v>
      </c>
      <c r="F163" s="118">
        <f>IF(OR(J163="",H163=""),"",VLOOKUP(J163,'הזנה לסיווג רשויות'!$B$2:$D$301,2,0))</f>
        <v>20000231</v>
      </c>
      <c r="G163" s="118" t="str">
        <f>IF(OR(J163="",H163=""),"",VLOOKUP(J163,'הזנה לסיווג רשויות'!$B$2:$D$301,3,0))</f>
        <v>נצרת</v>
      </c>
      <c r="H163" s="281" t="s">
        <v>632</v>
      </c>
      <c r="I163" s="201" t="s">
        <v>374</v>
      </c>
      <c r="J163" s="205">
        <v>7300</v>
      </c>
      <c r="K163" s="161">
        <v>0</v>
      </c>
      <c r="L163" s="161">
        <v>1</v>
      </c>
      <c r="M163" s="161">
        <v>0</v>
      </c>
      <c r="N163" s="161">
        <v>0</v>
      </c>
      <c r="O163" s="161">
        <v>1</v>
      </c>
      <c r="P163" s="161">
        <v>1</v>
      </c>
      <c r="Q163" s="161">
        <v>1</v>
      </c>
      <c r="R163" s="201">
        <v>421108</v>
      </c>
      <c r="S163" s="201">
        <v>340480</v>
      </c>
      <c r="T163" s="160">
        <f>IF(G163="","",IFERROR(IF(S163/R163&gt;'פרמטרים לקריטריונים'!$C$20,1,0),0))</f>
        <v>1</v>
      </c>
      <c r="U163" s="201">
        <v>324955</v>
      </c>
      <c r="V163" s="160">
        <f>IF(G163="","",IFERROR(IF(U163/R163&gt;'פרמטרים לקריטריונים'!$C$21,1,IF(AND(I163=$BW$5,U163/R163&gt;'פרמטרים לקריטריונים'!$C$22),1,0)),0))</f>
        <v>1</v>
      </c>
      <c r="W163" s="161">
        <v>1</v>
      </c>
      <c r="X163" s="161">
        <v>1</v>
      </c>
      <c r="Y163" s="201">
        <v>577897</v>
      </c>
      <c r="Z163" s="201">
        <v>577897</v>
      </c>
      <c r="AA163" s="161">
        <f t="shared" si="235"/>
        <v>1</v>
      </c>
      <c r="AB163" s="161"/>
      <c r="AC163" s="161"/>
      <c r="AD163" s="161"/>
      <c r="AE163" s="161"/>
      <c r="AF163" s="161"/>
      <c r="AG163" s="161"/>
      <c r="AH163" s="161"/>
      <c r="AI163" s="161"/>
      <c r="AJ163" s="161"/>
      <c r="AK163" s="161"/>
      <c r="AL163" s="161"/>
      <c r="AM163" s="161"/>
      <c r="AN163" s="161"/>
      <c r="AO163" s="161"/>
      <c r="AP163" s="161"/>
      <c r="AQ163" s="161"/>
      <c r="AR163" s="161"/>
      <c r="AS163" s="161"/>
      <c r="AT163" s="161"/>
      <c r="AU163" s="161"/>
      <c r="AV163" s="161"/>
      <c r="AW163" s="160"/>
      <c r="AX163" s="161"/>
      <c r="AY163" s="161"/>
      <c r="AZ163" s="161"/>
      <c r="BA163" s="161"/>
      <c r="BB163" s="161"/>
      <c r="BC163" s="161"/>
      <c r="BD163" s="161"/>
      <c r="BE163" s="161"/>
      <c r="BF163" s="160" t="str">
        <f t="shared" si="236"/>
        <v/>
      </c>
      <c r="BG163" s="160"/>
      <c r="BH163" s="160"/>
      <c r="BI163" s="160"/>
      <c r="BJ163" s="160"/>
      <c r="BK163" s="160"/>
      <c r="BL163" s="162">
        <f t="shared" si="187"/>
        <v>1</v>
      </c>
      <c r="BM163" s="257"/>
      <c r="BN163" s="163"/>
      <c r="BO163" s="211" t="str">
        <f t="shared" si="188"/>
        <v>להקת מחול ביסאןמחול</v>
      </c>
      <c r="BP163" s="125">
        <f t="shared" si="189"/>
        <v>1</v>
      </c>
      <c r="BQ163" s="164">
        <v>0</v>
      </c>
      <c r="BR163" s="164">
        <v>1</v>
      </c>
      <c r="BS163" s="149">
        <f t="shared" si="190"/>
        <v>1</v>
      </c>
      <c r="BT163" s="149">
        <f t="shared" si="191"/>
        <v>1</v>
      </c>
      <c r="BU163" s="149">
        <f t="shared" si="192"/>
        <v>1</v>
      </c>
      <c r="BV163" s="149">
        <f t="shared" si="193"/>
        <v>1</v>
      </c>
      <c r="BW163" s="149">
        <f t="shared" si="194"/>
        <v>1</v>
      </c>
      <c r="BX163" s="149">
        <f t="shared" si="195"/>
        <v>1</v>
      </c>
      <c r="BY163" s="149">
        <f t="shared" si="196"/>
        <v>1</v>
      </c>
      <c r="BZ163" s="149">
        <f t="shared" si="197"/>
        <v>1</v>
      </c>
      <c r="CA163" s="149">
        <f t="shared" si="198"/>
        <v>1</v>
      </c>
      <c r="CB163" s="149">
        <f t="shared" si="199"/>
        <v>1</v>
      </c>
      <c r="CC163" s="149">
        <f t="shared" si="200"/>
        <v>1</v>
      </c>
      <c r="CD163" s="149">
        <f t="shared" si="201"/>
        <v>1</v>
      </c>
      <c r="CE163" s="149">
        <f t="shared" si="202"/>
        <v>1</v>
      </c>
      <c r="CF163" s="149">
        <f t="shared" si="203"/>
        <v>1</v>
      </c>
      <c r="CG163" s="149">
        <f t="shared" si="204"/>
        <v>1</v>
      </c>
      <c r="CH163" s="149">
        <f t="shared" si="205"/>
        <v>1</v>
      </c>
      <c r="CI163" s="149">
        <f t="shared" si="206"/>
        <v>1</v>
      </c>
      <c r="CJ163" s="149">
        <f t="shared" si="207"/>
        <v>1</v>
      </c>
      <c r="CK163" s="149">
        <f t="shared" si="208"/>
        <v>1</v>
      </c>
      <c r="CL163" s="149">
        <f t="shared" si="209"/>
        <v>1</v>
      </c>
      <c r="CM163" s="149">
        <f t="shared" si="210"/>
        <v>1</v>
      </c>
      <c r="CN163" s="149">
        <f t="shared" si="211"/>
        <v>1</v>
      </c>
      <c r="CO163" s="149">
        <f t="shared" si="212"/>
        <v>1</v>
      </c>
      <c r="CP163" s="149">
        <f t="shared" si="213"/>
        <v>1</v>
      </c>
      <c r="CQ163" s="149">
        <f t="shared" si="214"/>
        <v>1</v>
      </c>
      <c r="CR163" s="149">
        <f t="shared" si="215"/>
        <v>1</v>
      </c>
      <c r="CS163" s="149">
        <f t="shared" si="216"/>
        <v>1</v>
      </c>
      <c r="CT163" s="149">
        <f t="shared" si="217"/>
        <v>1</v>
      </c>
      <c r="CU163" s="149">
        <f t="shared" si="218"/>
        <v>1</v>
      </c>
      <c r="CV163" s="149">
        <f t="shared" si="219"/>
        <v>1</v>
      </c>
      <c r="CW163" s="149">
        <f t="shared" si="220"/>
        <v>1</v>
      </c>
      <c r="CX163" s="149">
        <f t="shared" si="221"/>
        <v>1</v>
      </c>
      <c r="CY163" s="149">
        <f t="shared" si="222"/>
        <v>1</v>
      </c>
      <c r="CZ163" s="149">
        <f t="shared" si="223"/>
        <v>1</v>
      </c>
      <c r="DA163" s="149">
        <f t="shared" si="224"/>
        <v>1</v>
      </c>
      <c r="DB163" s="149">
        <f t="shared" si="225"/>
        <v>1</v>
      </c>
      <c r="DG163" s="125">
        <f t="shared" si="186"/>
        <v>1</v>
      </c>
      <c r="DH163" s="125">
        <f t="shared" si="185"/>
        <v>2</v>
      </c>
      <c r="DI163" s="125">
        <f t="shared" si="185"/>
        <v>3</v>
      </c>
      <c r="DJ163" s="125">
        <f t="shared" si="185"/>
        <v>4</v>
      </c>
      <c r="DK163" s="125">
        <f t="shared" si="185"/>
        <v>5</v>
      </c>
      <c r="DL163" s="125">
        <f t="shared" si="185"/>
        <v>6</v>
      </c>
      <c r="DM163" s="125">
        <f t="shared" si="185"/>
        <v>7</v>
      </c>
      <c r="DN163" s="125">
        <f t="shared" si="185"/>
        <v>8</v>
      </c>
      <c r="DO163" s="125">
        <f t="shared" si="185"/>
        <v>9</v>
      </c>
      <c r="DP163" s="125">
        <f t="shared" si="185"/>
        <v>10</v>
      </c>
      <c r="DS163" s="137"/>
      <c r="DT163" s="137"/>
      <c r="DU163" s="137"/>
      <c r="DV163" s="137" t="b">
        <f t="shared" si="226"/>
        <v>0</v>
      </c>
      <c r="DW163" s="137" t="b">
        <f t="shared" si="227"/>
        <v>0</v>
      </c>
      <c r="DX163" s="137" t="b">
        <f t="shared" si="228"/>
        <v>1</v>
      </c>
      <c r="EB163" s="131">
        <f t="shared" si="237"/>
        <v>1</v>
      </c>
      <c r="EC163" s="137" t="b">
        <f t="shared" si="229"/>
        <v>0</v>
      </c>
      <c r="ED163" s="137" t="b">
        <f t="shared" si="230"/>
        <v>0</v>
      </c>
      <c r="EE163" s="137" t="b">
        <f t="shared" si="231"/>
        <v>1</v>
      </c>
      <c r="EF163" s="137"/>
      <c r="EG163" s="137"/>
      <c r="EH163" s="137"/>
      <c r="EI163" s="137"/>
      <c r="EJ163" s="137">
        <f t="shared" si="238"/>
        <v>1</v>
      </c>
      <c r="EK163" s="125">
        <f t="shared" si="232"/>
        <v>0</v>
      </c>
      <c r="EL163" s="125">
        <f t="shared" si="233"/>
        <v>0</v>
      </c>
    </row>
    <row r="164" spans="2:142" ht="15.75" x14ac:dyDescent="0.25">
      <c r="B164" s="160">
        <f t="shared" si="234"/>
        <v>134</v>
      </c>
      <c r="C164" s="283">
        <v>1001348957</v>
      </c>
      <c r="D164" s="283">
        <v>1001274725</v>
      </c>
      <c r="E164" s="281">
        <v>40993419</v>
      </c>
      <c r="F164" s="118">
        <f>IF(OR(J164="",H164=""),"",VLOOKUP(J164,'הזנה לסיווג רשויות'!$B$2:$D$301,2,0))</f>
        <v>20000182</v>
      </c>
      <c r="G164" s="118" t="str">
        <f>IF(OR(J164="",H164=""),"",VLOOKUP(J164,'הזנה לסיווג רשויות'!$B$2:$D$301,3,0))</f>
        <v>חיפה</v>
      </c>
      <c r="H164" s="281" t="s">
        <v>633</v>
      </c>
      <c r="I164" s="201" t="s">
        <v>373</v>
      </c>
      <c r="J164" s="205">
        <v>4000</v>
      </c>
      <c r="K164" s="161">
        <v>0</v>
      </c>
      <c r="L164" s="161">
        <v>1</v>
      </c>
      <c r="M164" s="161">
        <v>0</v>
      </c>
      <c r="N164" s="161">
        <v>0</v>
      </c>
      <c r="O164" s="161">
        <v>1</v>
      </c>
      <c r="P164" s="161">
        <v>1</v>
      </c>
      <c r="Q164" s="161">
        <v>1</v>
      </c>
      <c r="R164" s="201">
        <v>6357068</v>
      </c>
      <c r="S164" s="201">
        <v>5697282</v>
      </c>
      <c r="T164" s="160">
        <f>IF(G164="","",IFERROR(IF(S164/R164&gt;'פרמטרים לקריטריונים'!$C$20,1,0),0))</f>
        <v>1</v>
      </c>
      <c r="U164" s="201">
        <v>5697282</v>
      </c>
      <c r="V164" s="160">
        <f>IF(G164="","",IFERROR(IF(U164/R164&gt;'פרמטרים לקריטריונים'!$C$21,1,IF(AND(I164=$BW$5,U164/R164&gt;'פרמטרים לקריטריונים'!$C$22),1,0)),0))</f>
        <v>1</v>
      </c>
      <c r="W164" s="161">
        <v>1</v>
      </c>
      <c r="X164" s="161">
        <v>1</v>
      </c>
      <c r="Y164" s="201">
        <v>1118000</v>
      </c>
      <c r="Z164" s="201">
        <v>1000000</v>
      </c>
      <c r="AA164" s="161">
        <f t="shared" si="235"/>
        <v>1</v>
      </c>
      <c r="AB164" s="161"/>
      <c r="AC164" s="161"/>
      <c r="AD164" s="161"/>
      <c r="AE164" s="161"/>
      <c r="AF164" s="161"/>
      <c r="AG164" s="161"/>
      <c r="AH164" s="161"/>
      <c r="AI164" s="161"/>
      <c r="AJ164" s="161"/>
      <c r="AK164" s="161"/>
      <c r="AL164" s="161"/>
      <c r="AM164" s="161"/>
      <c r="AN164" s="161"/>
      <c r="AO164" s="161"/>
      <c r="AP164" s="161"/>
      <c r="AQ164" s="161"/>
      <c r="AR164" s="161"/>
      <c r="AS164" s="161"/>
      <c r="AT164" s="161"/>
      <c r="AU164" s="161"/>
      <c r="AV164" s="161"/>
      <c r="AW164" s="160"/>
      <c r="AX164" s="161"/>
      <c r="AY164" s="161"/>
      <c r="AZ164" s="161"/>
      <c r="BA164" s="161"/>
      <c r="BB164" s="161"/>
      <c r="BC164" s="161"/>
      <c r="BD164" s="161"/>
      <c r="BE164" s="161"/>
      <c r="BF164" s="160" t="str">
        <f t="shared" si="236"/>
        <v/>
      </c>
      <c r="BG164" s="160"/>
      <c r="BH164" s="160"/>
      <c r="BI164" s="160"/>
      <c r="BJ164" s="160"/>
      <c r="BK164" s="160"/>
      <c r="BL164" s="162">
        <f t="shared" si="187"/>
        <v>1</v>
      </c>
      <c r="BM164" s="257"/>
      <c r="BN164" s="163"/>
      <c r="BO164" s="211" t="str">
        <f t="shared" si="188"/>
        <v>התאטרון העברי - עמותה לטיפוח תרבות עבריתתיאטרון</v>
      </c>
      <c r="BP164" s="125">
        <f t="shared" si="189"/>
        <v>1</v>
      </c>
      <c r="BQ164" s="164">
        <v>0</v>
      </c>
      <c r="BR164" s="164">
        <v>1</v>
      </c>
      <c r="BS164" s="149">
        <f t="shared" si="190"/>
        <v>1</v>
      </c>
      <c r="BT164" s="149">
        <f t="shared" si="191"/>
        <v>1</v>
      </c>
      <c r="BU164" s="149">
        <f t="shared" si="192"/>
        <v>1</v>
      </c>
      <c r="BV164" s="149">
        <f t="shared" si="193"/>
        <v>1</v>
      </c>
      <c r="BW164" s="149">
        <f t="shared" si="194"/>
        <v>1</v>
      </c>
      <c r="BX164" s="149">
        <f t="shared" si="195"/>
        <v>1</v>
      </c>
      <c r="BY164" s="149">
        <f t="shared" si="196"/>
        <v>1</v>
      </c>
      <c r="BZ164" s="149">
        <f t="shared" si="197"/>
        <v>1</v>
      </c>
      <c r="CA164" s="149">
        <f t="shared" si="198"/>
        <v>1</v>
      </c>
      <c r="CB164" s="149">
        <f t="shared" si="199"/>
        <v>1</v>
      </c>
      <c r="CC164" s="149">
        <f t="shared" si="200"/>
        <v>1</v>
      </c>
      <c r="CD164" s="149">
        <f t="shared" si="201"/>
        <v>1</v>
      </c>
      <c r="CE164" s="149">
        <f t="shared" si="202"/>
        <v>1</v>
      </c>
      <c r="CF164" s="149">
        <f t="shared" si="203"/>
        <v>1</v>
      </c>
      <c r="CG164" s="149">
        <f t="shared" si="204"/>
        <v>1</v>
      </c>
      <c r="CH164" s="149">
        <f t="shared" si="205"/>
        <v>1</v>
      </c>
      <c r="CI164" s="149">
        <f t="shared" si="206"/>
        <v>1</v>
      </c>
      <c r="CJ164" s="149">
        <f t="shared" si="207"/>
        <v>1</v>
      </c>
      <c r="CK164" s="149">
        <f t="shared" si="208"/>
        <v>1</v>
      </c>
      <c r="CL164" s="149">
        <f t="shared" si="209"/>
        <v>1</v>
      </c>
      <c r="CM164" s="149">
        <f t="shared" si="210"/>
        <v>1</v>
      </c>
      <c r="CN164" s="149">
        <f t="shared" si="211"/>
        <v>1</v>
      </c>
      <c r="CO164" s="149">
        <f t="shared" si="212"/>
        <v>1</v>
      </c>
      <c r="CP164" s="149">
        <f t="shared" si="213"/>
        <v>1</v>
      </c>
      <c r="CQ164" s="149">
        <f t="shared" si="214"/>
        <v>1</v>
      </c>
      <c r="CR164" s="149">
        <f t="shared" si="215"/>
        <v>1</v>
      </c>
      <c r="CS164" s="149">
        <f t="shared" si="216"/>
        <v>1</v>
      </c>
      <c r="CT164" s="149">
        <f t="shared" si="217"/>
        <v>1</v>
      </c>
      <c r="CU164" s="149">
        <f t="shared" si="218"/>
        <v>1</v>
      </c>
      <c r="CV164" s="149">
        <f t="shared" si="219"/>
        <v>1</v>
      </c>
      <c r="CW164" s="149">
        <f t="shared" si="220"/>
        <v>1</v>
      </c>
      <c r="CX164" s="149">
        <f t="shared" si="221"/>
        <v>1</v>
      </c>
      <c r="CY164" s="149">
        <f t="shared" si="222"/>
        <v>1</v>
      </c>
      <c r="CZ164" s="149">
        <f t="shared" si="223"/>
        <v>1</v>
      </c>
      <c r="DA164" s="149">
        <f t="shared" si="224"/>
        <v>1</v>
      </c>
      <c r="DB164" s="149">
        <f t="shared" si="225"/>
        <v>1</v>
      </c>
      <c r="DG164" s="125">
        <f t="shared" si="186"/>
        <v>1</v>
      </c>
      <c r="DH164" s="125">
        <f t="shared" si="185"/>
        <v>2</v>
      </c>
      <c r="DI164" s="125">
        <f t="shared" si="185"/>
        <v>3</v>
      </c>
      <c r="DJ164" s="125">
        <f t="shared" si="185"/>
        <v>4</v>
      </c>
      <c r="DK164" s="125">
        <f t="shared" si="185"/>
        <v>5</v>
      </c>
      <c r="DL164" s="125">
        <f t="shared" si="185"/>
        <v>6</v>
      </c>
      <c r="DM164" s="125">
        <f t="shared" si="185"/>
        <v>7</v>
      </c>
      <c r="DN164" s="125">
        <f t="shared" si="185"/>
        <v>8</v>
      </c>
      <c r="DO164" s="125">
        <f t="shared" si="185"/>
        <v>9</v>
      </c>
      <c r="DP164" s="125">
        <f t="shared" si="185"/>
        <v>10</v>
      </c>
      <c r="DS164" s="137"/>
      <c r="DT164" s="137"/>
      <c r="DU164" s="137"/>
      <c r="DV164" s="137" t="b">
        <f t="shared" si="226"/>
        <v>0</v>
      </c>
      <c r="DW164" s="137" t="b">
        <f t="shared" si="227"/>
        <v>0</v>
      </c>
      <c r="DX164" s="137" t="b">
        <f t="shared" si="228"/>
        <v>1</v>
      </c>
      <c r="EB164" s="131">
        <f t="shared" si="237"/>
        <v>1</v>
      </c>
      <c r="EC164" s="137" t="b">
        <f t="shared" si="229"/>
        <v>0</v>
      </c>
      <c r="ED164" s="137" t="b">
        <f t="shared" si="230"/>
        <v>0</v>
      </c>
      <c r="EE164" s="137" t="b">
        <f t="shared" si="231"/>
        <v>1</v>
      </c>
      <c r="EF164" s="137"/>
      <c r="EG164" s="137"/>
      <c r="EH164" s="137"/>
      <c r="EI164" s="137"/>
      <c r="EJ164" s="137">
        <f t="shared" si="238"/>
        <v>1</v>
      </c>
      <c r="EK164" s="125">
        <f t="shared" si="232"/>
        <v>0</v>
      </c>
      <c r="EL164" s="125">
        <f t="shared" si="233"/>
        <v>0</v>
      </c>
    </row>
    <row r="165" spans="2:142" ht="15.75" x14ac:dyDescent="0.25">
      <c r="B165" s="160">
        <f t="shared" si="234"/>
        <v>135</v>
      </c>
      <c r="C165" s="283">
        <v>1001348221</v>
      </c>
      <c r="D165" s="283">
        <v>1001269209</v>
      </c>
      <c r="E165" s="205">
        <v>41489877</v>
      </c>
      <c r="F165" s="118">
        <f>IF(OR(J165="",H165=""),"",VLOOKUP(J165,'הזנה לסיווג רשויות'!$B$2:$D$301,2,0))</f>
        <v>20000201</v>
      </c>
      <c r="G165" s="118" t="str">
        <f>IF(OR(J165="",H165=""),"",VLOOKUP(J165,'הזנה לסיווג רשויות'!$B$2:$D$301,3,0))</f>
        <v>תל אביב -יפו</v>
      </c>
      <c r="H165" s="201" t="s">
        <v>634</v>
      </c>
      <c r="I165" s="201" t="s">
        <v>374</v>
      </c>
      <c r="J165" s="205">
        <v>5000</v>
      </c>
      <c r="K165" s="161">
        <v>0</v>
      </c>
      <c r="L165" s="161">
        <v>1</v>
      </c>
      <c r="M165" s="161">
        <v>0</v>
      </c>
      <c r="N165" s="161">
        <v>1</v>
      </c>
      <c r="O165" s="161">
        <v>1</v>
      </c>
      <c r="P165" s="161">
        <v>1</v>
      </c>
      <c r="Q165" s="161">
        <v>1</v>
      </c>
      <c r="R165" s="201">
        <v>805850</v>
      </c>
      <c r="S165" s="201">
        <v>525205</v>
      </c>
      <c r="T165" s="160">
        <f>IF(G165="","",IFERROR(IF(S165/R165&gt;'פרמטרים לקריטריונים'!$C$20,1,0),0))</f>
        <v>1</v>
      </c>
      <c r="U165" s="201">
        <v>199611</v>
      </c>
      <c r="V165" s="160">
        <f>IF(G165="","",IFERROR(IF(U165/R165&gt;'פרמטרים לקריטריונים'!$C$21,1,IF(AND(I165=$BW$5,U165/R165&gt;'פרמטרים לקריטריונים'!$C$22),1,0)),0))</f>
        <v>1</v>
      </c>
      <c r="W165" s="161">
        <v>1</v>
      </c>
      <c r="X165" s="161">
        <v>1</v>
      </c>
      <c r="Y165" s="201">
        <v>500000</v>
      </c>
      <c r="Z165" s="201">
        <v>100000</v>
      </c>
      <c r="AA165" s="161">
        <f t="shared" si="235"/>
        <v>1</v>
      </c>
      <c r="AB165" s="161"/>
      <c r="AC165" s="161"/>
      <c r="AD165" s="161"/>
      <c r="AE165" s="161"/>
      <c r="AF165" s="161"/>
      <c r="AG165" s="161"/>
      <c r="AH165" s="161"/>
      <c r="AI165" s="161"/>
      <c r="AJ165" s="161"/>
      <c r="AK165" s="161"/>
      <c r="AL165" s="161"/>
      <c r="AM165" s="161"/>
      <c r="AN165" s="161"/>
      <c r="AO165" s="161"/>
      <c r="AP165" s="161"/>
      <c r="AQ165" s="161"/>
      <c r="AR165" s="161"/>
      <c r="AS165" s="161"/>
      <c r="AT165" s="161"/>
      <c r="AU165" s="161"/>
      <c r="AV165" s="161"/>
      <c r="AW165" s="160"/>
      <c r="AX165" s="161"/>
      <c r="AY165" s="161"/>
      <c r="AZ165" s="161"/>
      <c r="BA165" s="161"/>
      <c r="BB165" s="161"/>
      <c r="BC165" s="161"/>
      <c r="BD165" s="161"/>
      <c r="BE165" s="161"/>
      <c r="BF165" s="160" t="str">
        <f t="shared" si="236"/>
        <v/>
      </c>
      <c r="BG165" s="160"/>
      <c r="BH165" s="160"/>
      <c r="BI165" s="160"/>
      <c r="BJ165" s="160"/>
      <c r="BK165" s="160"/>
      <c r="BL165" s="162">
        <f t="shared" si="187"/>
        <v>1</v>
      </c>
      <c r="BM165" s="257"/>
      <c r="BN165" s="163"/>
      <c r="BO165" s="211" t="str">
        <f t="shared" si="188"/>
        <v>עמותת רננה רזמחול</v>
      </c>
      <c r="BP165" s="125">
        <f t="shared" si="189"/>
        <v>1</v>
      </c>
      <c r="BQ165" s="164">
        <v>0</v>
      </c>
      <c r="BR165" s="164">
        <v>1</v>
      </c>
      <c r="BS165" s="149">
        <f t="shared" si="190"/>
        <v>1</v>
      </c>
      <c r="BT165" s="149">
        <f t="shared" si="191"/>
        <v>1</v>
      </c>
      <c r="BU165" s="149">
        <f t="shared" si="192"/>
        <v>1</v>
      </c>
      <c r="BV165" s="149">
        <f t="shared" si="193"/>
        <v>1</v>
      </c>
      <c r="BW165" s="149">
        <f t="shared" si="194"/>
        <v>1</v>
      </c>
      <c r="BX165" s="149">
        <f t="shared" si="195"/>
        <v>1</v>
      </c>
      <c r="BY165" s="149">
        <f t="shared" si="196"/>
        <v>1</v>
      </c>
      <c r="BZ165" s="149">
        <f t="shared" si="197"/>
        <v>1</v>
      </c>
      <c r="CA165" s="149">
        <f t="shared" si="198"/>
        <v>1</v>
      </c>
      <c r="CB165" s="149">
        <f t="shared" si="199"/>
        <v>1</v>
      </c>
      <c r="CC165" s="149">
        <f t="shared" si="200"/>
        <v>1</v>
      </c>
      <c r="CD165" s="149">
        <f t="shared" si="201"/>
        <v>1</v>
      </c>
      <c r="CE165" s="149">
        <f t="shared" si="202"/>
        <v>1</v>
      </c>
      <c r="CF165" s="149">
        <f t="shared" si="203"/>
        <v>1</v>
      </c>
      <c r="CG165" s="149">
        <f t="shared" si="204"/>
        <v>1</v>
      </c>
      <c r="CH165" s="149">
        <f t="shared" si="205"/>
        <v>1</v>
      </c>
      <c r="CI165" s="149">
        <f t="shared" si="206"/>
        <v>1</v>
      </c>
      <c r="CJ165" s="149">
        <f t="shared" si="207"/>
        <v>1</v>
      </c>
      <c r="CK165" s="149">
        <f t="shared" si="208"/>
        <v>1</v>
      </c>
      <c r="CL165" s="149">
        <f t="shared" si="209"/>
        <v>1</v>
      </c>
      <c r="CM165" s="149">
        <f t="shared" si="210"/>
        <v>1</v>
      </c>
      <c r="CN165" s="149">
        <f t="shared" si="211"/>
        <v>1</v>
      </c>
      <c r="CO165" s="149">
        <f t="shared" si="212"/>
        <v>1</v>
      </c>
      <c r="CP165" s="149">
        <f t="shared" si="213"/>
        <v>1</v>
      </c>
      <c r="CQ165" s="149">
        <f t="shared" si="214"/>
        <v>1</v>
      </c>
      <c r="CR165" s="149">
        <f t="shared" si="215"/>
        <v>1</v>
      </c>
      <c r="CS165" s="149">
        <f t="shared" si="216"/>
        <v>1</v>
      </c>
      <c r="CT165" s="149">
        <f t="shared" si="217"/>
        <v>1</v>
      </c>
      <c r="CU165" s="149">
        <f t="shared" si="218"/>
        <v>1</v>
      </c>
      <c r="CV165" s="149">
        <f t="shared" si="219"/>
        <v>1</v>
      </c>
      <c r="CW165" s="149">
        <f t="shared" si="220"/>
        <v>1</v>
      </c>
      <c r="CX165" s="149">
        <f t="shared" si="221"/>
        <v>1</v>
      </c>
      <c r="CY165" s="149">
        <f t="shared" si="222"/>
        <v>1</v>
      </c>
      <c r="CZ165" s="149">
        <f t="shared" si="223"/>
        <v>1</v>
      </c>
      <c r="DA165" s="149">
        <f t="shared" si="224"/>
        <v>1</v>
      </c>
      <c r="DB165" s="149">
        <f t="shared" si="225"/>
        <v>1</v>
      </c>
      <c r="DG165" s="125">
        <f t="shared" si="186"/>
        <v>1</v>
      </c>
      <c r="DH165" s="125">
        <f t="shared" si="185"/>
        <v>2</v>
      </c>
      <c r="DI165" s="125">
        <f t="shared" si="185"/>
        <v>3</v>
      </c>
      <c r="DJ165" s="125">
        <f t="shared" si="185"/>
        <v>4</v>
      </c>
      <c r="DK165" s="125">
        <f t="shared" si="185"/>
        <v>5</v>
      </c>
      <c r="DL165" s="125">
        <f t="shared" si="185"/>
        <v>6</v>
      </c>
      <c r="DM165" s="125">
        <f t="shared" si="185"/>
        <v>7</v>
      </c>
      <c r="DN165" s="125">
        <f t="shared" si="185"/>
        <v>8</v>
      </c>
      <c r="DO165" s="125">
        <f t="shared" si="185"/>
        <v>9</v>
      </c>
      <c r="DP165" s="125">
        <f t="shared" si="185"/>
        <v>10</v>
      </c>
      <c r="DS165" s="137"/>
      <c r="DT165" s="137"/>
      <c r="DU165" s="137"/>
      <c r="DV165" s="137" t="b">
        <f t="shared" si="226"/>
        <v>0</v>
      </c>
      <c r="DW165" s="137" t="b">
        <f t="shared" si="227"/>
        <v>0</v>
      </c>
      <c r="DX165" s="137" t="b">
        <f t="shared" si="228"/>
        <v>1</v>
      </c>
      <c r="EB165" s="131">
        <f t="shared" si="237"/>
        <v>1</v>
      </c>
      <c r="EC165" s="137" t="b">
        <f t="shared" si="229"/>
        <v>0</v>
      </c>
      <c r="ED165" s="137" t="b">
        <f t="shared" si="230"/>
        <v>0</v>
      </c>
      <c r="EE165" s="137" t="b">
        <f t="shared" si="231"/>
        <v>1</v>
      </c>
      <c r="EF165" s="137"/>
      <c r="EG165" s="137"/>
      <c r="EH165" s="137"/>
      <c r="EI165" s="137"/>
      <c r="EJ165" s="137">
        <f t="shared" si="238"/>
        <v>1</v>
      </c>
      <c r="EK165" s="125">
        <f t="shared" si="232"/>
        <v>0</v>
      </c>
      <c r="EL165" s="125">
        <f t="shared" si="233"/>
        <v>0</v>
      </c>
    </row>
    <row r="166" spans="2:142" ht="15.75" x14ac:dyDescent="0.25">
      <c r="B166" s="160">
        <f t="shared" si="234"/>
        <v>136</v>
      </c>
      <c r="C166" s="283">
        <v>1001347308</v>
      </c>
      <c r="D166" s="283">
        <v>1001271799</v>
      </c>
      <c r="E166" s="281">
        <v>40221577</v>
      </c>
      <c r="F166" s="118">
        <f>IF(OR(J166="",H166=""),"",VLOOKUP(J166,'הזנה לסיווג רשויות'!$B$2:$D$301,2,0))</f>
        <v>20000159</v>
      </c>
      <c r="G166" s="118" t="str">
        <f>IF(OR(J166="",H166=""),"",VLOOKUP(J166,'הזנה לסיווג רשויות'!$B$2:$D$301,3,0))</f>
        <v>ירושלים</v>
      </c>
      <c r="H166" s="201" t="s">
        <v>635</v>
      </c>
      <c r="I166" s="201" t="s">
        <v>374</v>
      </c>
      <c r="J166" s="205">
        <v>3000</v>
      </c>
      <c r="K166" s="161">
        <v>0</v>
      </c>
      <c r="L166" s="161">
        <v>1</v>
      </c>
      <c r="M166" s="161">
        <v>0</v>
      </c>
      <c r="N166" s="161">
        <v>1</v>
      </c>
      <c r="O166" s="161">
        <v>1</v>
      </c>
      <c r="P166" s="161">
        <v>1</v>
      </c>
      <c r="Q166" s="161">
        <v>1</v>
      </c>
      <c r="R166" s="201">
        <v>834289</v>
      </c>
      <c r="S166" s="201">
        <v>421351</v>
      </c>
      <c r="T166" s="160">
        <f>IF(G166="","",IFERROR(IF(S166/R166&gt;'פרמטרים לקריטריונים'!$C$20,1,0),0))</f>
        <v>1</v>
      </c>
      <c r="U166" s="201">
        <v>337303</v>
      </c>
      <c r="V166" s="160">
        <f>IF(G166="","",IFERROR(IF(U166/R166&gt;'פרמטרים לקריטריונים'!$C$21,1,IF(AND(I166=$BW$5,U166/R166&gt;'פרמטרים לקריטריונים'!$C$22),1,0)),0))</f>
        <v>1</v>
      </c>
      <c r="W166" s="161">
        <v>1</v>
      </c>
      <c r="X166" s="161">
        <v>1</v>
      </c>
      <c r="Y166" s="201">
        <v>1408511</v>
      </c>
      <c r="Z166" s="201">
        <v>900000</v>
      </c>
      <c r="AA166" s="161">
        <f t="shared" si="235"/>
        <v>1</v>
      </c>
      <c r="AB166" s="161"/>
      <c r="AC166" s="161"/>
      <c r="AD166" s="161"/>
      <c r="AE166" s="161"/>
      <c r="AF166" s="161"/>
      <c r="AG166" s="161"/>
      <c r="AH166" s="161"/>
      <c r="AI166" s="161"/>
      <c r="AJ166" s="161"/>
      <c r="AK166" s="161"/>
      <c r="AL166" s="161"/>
      <c r="AM166" s="161"/>
      <c r="AN166" s="161"/>
      <c r="AO166" s="161"/>
      <c r="AP166" s="161"/>
      <c r="AQ166" s="161"/>
      <c r="AR166" s="161"/>
      <c r="AS166" s="161"/>
      <c r="AT166" s="161"/>
      <c r="AU166" s="161"/>
      <c r="AV166" s="161"/>
      <c r="AW166" s="160"/>
      <c r="AX166" s="161"/>
      <c r="AY166" s="161"/>
      <c r="AZ166" s="161"/>
      <c r="BA166" s="161"/>
      <c r="BB166" s="161"/>
      <c r="BC166" s="161"/>
      <c r="BD166" s="161"/>
      <c r="BE166" s="161"/>
      <c r="BF166" s="160" t="str">
        <f t="shared" si="236"/>
        <v/>
      </c>
      <c r="BG166" s="160"/>
      <c r="BH166" s="160"/>
      <c r="BI166" s="160"/>
      <c r="BJ166" s="160"/>
      <c r="BK166" s="160"/>
      <c r="BL166" s="162">
        <f t="shared" si="187"/>
        <v>1</v>
      </c>
      <c r="BM166" s="257"/>
      <c r="BN166" s="163"/>
      <c r="BO166" s="211" t="str">
        <f t="shared" si="188"/>
        <v>בלט ירושליםמחול</v>
      </c>
      <c r="BP166" s="125">
        <f t="shared" si="189"/>
        <v>1</v>
      </c>
      <c r="BQ166" s="164">
        <v>0</v>
      </c>
      <c r="BR166" s="164">
        <v>1</v>
      </c>
      <c r="BS166" s="149">
        <f t="shared" si="190"/>
        <v>1</v>
      </c>
      <c r="BT166" s="149">
        <f t="shared" si="191"/>
        <v>1</v>
      </c>
      <c r="BU166" s="149">
        <f t="shared" si="192"/>
        <v>1</v>
      </c>
      <c r="BV166" s="149">
        <f t="shared" si="193"/>
        <v>1</v>
      </c>
      <c r="BW166" s="149">
        <f t="shared" si="194"/>
        <v>1</v>
      </c>
      <c r="BX166" s="149">
        <f t="shared" si="195"/>
        <v>1</v>
      </c>
      <c r="BY166" s="149">
        <f t="shared" si="196"/>
        <v>1</v>
      </c>
      <c r="BZ166" s="149">
        <f t="shared" si="197"/>
        <v>1</v>
      </c>
      <c r="CA166" s="149">
        <f t="shared" si="198"/>
        <v>1</v>
      </c>
      <c r="CB166" s="149">
        <f t="shared" si="199"/>
        <v>1</v>
      </c>
      <c r="CC166" s="149">
        <f t="shared" si="200"/>
        <v>1</v>
      </c>
      <c r="CD166" s="149">
        <f t="shared" si="201"/>
        <v>1</v>
      </c>
      <c r="CE166" s="149">
        <f t="shared" si="202"/>
        <v>1</v>
      </c>
      <c r="CF166" s="149">
        <f t="shared" si="203"/>
        <v>1</v>
      </c>
      <c r="CG166" s="149">
        <f t="shared" si="204"/>
        <v>1</v>
      </c>
      <c r="CH166" s="149">
        <f t="shared" si="205"/>
        <v>1</v>
      </c>
      <c r="CI166" s="149">
        <f t="shared" si="206"/>
        <v>1</v>
      </c>
      <c r="CJ166" s="149">
        <f t="shared" si="207"/>
        <v>1</v>
      </c>
      <c r="CK166" s="149">
        <f t="shared" si="208"/>
        <v>1</v>
      </c>
      <c r="CL166" s="149">
        <f t="shared" si="209"/>
        <v>1</v>
      </c>
      <c r="CM166" s="149">
        <f t="shared" si="210"/>
        <v>1</v>
      </c>
      <c r="CN166" s="149">
        <f t="shared" si="211"/>
        <v>1</v>
      </c>
      <c r="CO166" s="149">
        <f t="shared" si="212"/>
        <v>1</v>
      </c>
      <c r="CP166" s="149">
        <f t="shared" si="213"/>
        <v>1</v>
      </c>
      <c r="CQ166" s="149">
        <f t="shared" si="214"/>
        <v>1</v>
      </c>
      <c r="CR166" s="149">
        <f t="shared" si="215"/>
        <v>1</v>
      </c>
      <c r="CS166" s="149">
        <f t="shared" si="216"/>
        <v>1</v>
      </c>
      <c r="CT166" s="149">
        <f t="shared" si="217"/>
        <v>1</v>
      </c>
      <c r="CU166" s="149">
        <f t="shared" si="218"/>
        <v>1</v>
      </c>
      <c r="CV166" s="149">
        <f t="shared" si="219"/>
        <v>1</v>
      </c>
      <c r="CW166" s="149">
        <f t="shared" si="220"/>
        <v>1</v>
      </c>
      <c r="CX166" s="149">
        <f t="shared" si="221"/>
        <v>1</v>
      </c>
      <c r="CY166" s="149">
        <f t="shared" si="222"/>
        <v>1</v>
      </c>
      <c r="CZ166" s="149">
        <f t="shared" si="223"/>
        <v>1</v>
      </c>
      <c r="DA166" s="149">
        <f t="shared" si="224"/>
        <v>1</v>
      </c>
      <c r="DB166" s="149">
        <f t="shared" si="225"/>
        <v>1</v>
      </c>
      <c r="DG166" s="125">
        <f t="shared" si="186"/>
        <v>1</v>
      </c>
      <c r="DH166" s="125">
        <f t="shared" si="185"/>
        <v>2</v>
      </c>
      <c r="DI166" s="125">
        <f t="shared" si="185"/>
        <v>3</v>
      </c>
      <c r="DJ166" s="125">
        <f t="shared" si="185"/>
        <v>4</v>
      </c>
      <c r="DK166" s="125">
        <f t="shared" si="185"/>
        <v>5</v>
      </c>
      <c r="DL166" s="125">
        <f t="shared" si="185"/>
        <v>6</v>
      </c>
      <c r="DM166" s="125">
        <f t="shared" si="185"/>
        <v>7</v>
      </c>
      <c r="DN166" s="125">
        <f t="shared" si="185"/>
        <v>8</v>
      </c>
      <c r="DO166" s="125">
        <f t="shared" si="185"/>
        <v>9</v>
      </c>
      <c r="DP166" s="125">
        <f t="shared" si="185"/>
        <v>10</v>
      </c>
      <c r="DS166" s="137"/>
      <c r="DT166" s="137"/>
      <c r="DU166" s="137"/>
      <c r="DV166" s="137" t="b">
        <f t="shared" si="226"/>
        <v>0</v>
      </c>
      <c r="DW166" s="137" t="b">
        <f t="shared" si="227"/>
        <v>0</v>
      </c>
      <c r="DX166" s="137" t="b">
        <f t="shared" si="228"/>
        <v>1</v>
      </c>
      <c r="EB166" s="131">
        <f t="shared" si="237"/>
        <v>1</v>
      </c>
      <c r="EC166" s="137" t="b">
        <f t="shared" si="229"/>
        <v>0</v>
      </c>
      <c r="ED166" s="137" t="b">
        <f t="shared" si="230"/>
        <v>0</v>
      </c>
      <c r="EE166" s="137" t="b">
        <f t="shared" si="231"/>
        <v>1</v>
      </c>
      <c r="EF166" s="137"/>
      <c r="EG166" s="137"/>
      <c r="EH166" s="137"/>
      <c r="EI166" s="137"/>
      <c r="EJ166" s="137">
        <f t="shared" si="238"/>
        <v>1</v>
      </c>
      <c r="EK166" s="125">
        <f t="shared" si="232"/>
        <v>0</v>
      </c>
      <c r="EL166" s="125">
        <f t="shared" si="233"/>
        <v>0</v>
      </c>
    </row>
    <row r="167" spans="2:142" ht="15.75" x14ac:dyDescent="0.25">
      <c r="B167" s="160">
        <f t="shared" si="234"/>
        <v>137</v>
      </c>
      <c r="C167" s="284">
        <v>1001347068</v>
      </c>
      <c r="D167" s="284">
        <v>1001265731</v>
      </c>
      <c r="E167" s="285">
        <v>40000188</v>
      </c>
      <c r="F167" s="118">
        <f>IF(OR(J167="",H167=""),"",VLOOKUP(J167,'הזנה לסיווג רשויות'!$B$2:$D$301,2,0))</f>
        <v>20000228</v>
      </c>
      <c r="G167" s="118" t="str">
        <f>IF(OR(J167="",H167=""),"",VLOOKUP(J167,'הזנה לסיווג רשויות'!$B$2:$D$301,3,0))</f>
        <v>לוד</v>
      </c>
      <c r="H167" s="201" t="s">
        <v>636</v>
      </c>
      <c r="I167" s="201" t="s">
        <v>564</v>
      </c>
      <c r="J167" s="205">
        <v>7000</v>
      </c>
      <c r="K167" s="161">
        <v>0</v>
      </c>
      <c r="L167" s="161">
        <v>1</v>
      </c>
      <c r="M167" s="161">
        <v>0</v>
      </c>
      <c r="N167" s="161">
        <v>0</v>
      </c>
      <c r="O167" s="161">
        <v>1</v>
      </c>
      <c r="P167" s="161">
        <v>1</v>
      </c>
      <c r="Q167" s="161">
        <v>1</v>
      </c>
      <c r="R167" s="201">
        <v>349412</v>
      </c>
      <c r="S167" s="201">
        <v>99412</v>
      </c>
      <c r="T167" s="160">
        <f>IF(G167="","",IFERROR(IF(S167/R167&gt;'פרמטרים לקריטריונים'!$C$20,1,0),0))</f>
        <v>1</v>
      </c>
      <c r="U167" s="201">
        <v>84912</v>
      </c>
      <c r="V167" s="160">
        <f>IF(G167="","",IFERROR(IF(U167/R167&gt;'פרמטרים לקריטריונים'!$C$21,1,IF(AND(I167=$BW$5,U167/R167&gt;'פרמטרים לקריטריונים'!$C$22),1,0)),0))</f>
        <v>1</v>
      </c>
      <c r="W167" s="161">
        <v>1</v>
      </c>
      <c r="X167" s="161">
        <v>1</v>
      </c>
      <c r="Y167" s="201">
        <v>345000</v>
      </c>
      <c r="Z167" s="201">
        <v>345000</v>
      </c>
      <c r="AA167" s="161">
        <f t="shared" si="235"/>
        <v>1</v>
      </c>
      <c r="AB167" s="161"/>
      <c r="AC167" s="161"/>
      <c r="AD167" s="161"/>
      <c r="AE167" s="161"/>
      <c r="AF167" s="161"/>
      <c r="AG167" s="161"/>
      <c r="AH167" s="161"/>
      <c r="AI167" s="161"/>
      <c r="AJ167" s="161"/>
      <c r="AK167" s="161"/>
      <c r="AL167" s="161"/>
      <c r="AM167" s="161"/>
      <c r="AN167" s="161"/>
      <c r="AO167" s="161"/>
      <c r="AP167" s="161"/>
      <c r="AQ167" s="161"/>
      <c r="AR167" s="161"/>
      <c r="AS167" s="161"/>
      <c r="AT167" s="161"/>
      <c r="AU167" s="161"/>
      <c r="AV167" s="161"/>
      <c r="AW167" s="160"/>
      <c r="AX167" s="161"/>
      <c r="AY167" s="161"/>
      <c r="AZ167" s="161"/>
      <c r="BA167" s="161"/>
      <c r="BB167" s="161"/>
      <c r="BC167" s="161"/>
      <c r="BD167" s="161"/>
      <c r="BE167" s="161"/>
      <c r="BF167" s="160" t="str">
        <f t="shared" si="236"/>
        <v/>
      </c>
      <c r="BG167" s="160"/>
      <c r="BH167" s="160"/>
      <c r="BI167" s="160"/>
      <c r="BJ167" s="160"/>
      <c r="BK167" s="160"/>
      <c r="BL167" s="162">
        <f t="shared" si="187"/>
        <v>1</v>
      </c>
      <c r="BM167" s="257"/>
      <c r="BN167" s="163"/>
      <c r="BO167" s="211" t="str">
        <f t="shared" si="188"/>
        <v>מכון הברמן למחקרי ספרותאחר</v>
      </c>
      <c r="BP167" s="125">
        <f t="shared" si="189"/>
        <v>1</v>
      </c>
      <c r="BQ167" s="164">
        <v>0</v>
      </c>
      <c r="BR167" s="164">
        <v>1</v>
      </c>
      <c r="BS167" s="149">
        <f t="shared" si="190"/>
        <v>1</v>
      </c>
      <c r="BT167" s="149">
        <f t="shared" si="191"/>
        <v>1</v>
      </c>
      <c r="BU167" s="149">
        <f t="shared" si="192"/>
        <v>1</v>
      </c>
      <c r="BV167" s="149">
        <f t="shared" si="193"/>
        <v>1</v>
      </c>
      <c r="BW167" s="149">
        <f t="shared" si="194"/>
        <v>1</v>
      </c>
      <c r="BX167" s="149">
        <f t="shared" si="195"/>
        <v>1</v>
      </c>
      <c r="BY167" s="149">
        <f t="shared" si="196"/>
        <v>1</v>
      </c>
      <c r="BZ167" s="149">
        <f t="shared" si="197"/>
        <v>1</v>
      </c>
      <c r="CA167" s="149">
        <f t="shared" si="198"/>
        <v>1</v>
      </c>
      <c r="CB167" s="149">
        <f t="shared" si="199"/>
        <v>1</v>
      </c>
      <c r="CC167" s="149">
        <f t="shared" si="200"/>
        <v>1</v>
      </c>
      <c r="CD167" s="149">
        <f t="shared" si="201"/>
        <v>1</v>
      </c>
      <c r="CE167" s="149">
        <f t="shared" si="202"/>
        <v>1</v>
      </c>
      <c r="CF167" s="149">
        <f t="shared" si="203"/>
        <v>1</v>
      </c>
      <c r="CG167" s="149">
        <f t="shared" si="204"/>
        <v>1</v>
      </c>
      <c r="CH167" s="149">
        <f t="shared" si="205"/>
        <v>1</v>
      </c>
      <c r="CI167" s="149">
        <f t="shared" si="206"/>
        <v>1</v>
      </c>
      <c r="CJ167" s="149">
        <f t="shared" si="207"/>
        <v>1</v>
      </c>
      <c r="CK167" s="149">
        <f t="shared" si="208"/>
        <v>1</v>
      </c>
      <c r="CL167" s="149">
        <f t="shared" si="209"/>
        <v>1</v>
      </c>
      <c r="CM167" s="149">
        <f t="shared" si="210"/>
        <v>1</v>
      </c>
      <c r="CN167" s="149">
        <f t="shared" si="211"/>
        <v>1</v>
      </c>
      <c r="CO167" s="149">
        <f t="shared" si="212"/>
        <v>1</v>
      </c>
      <c r="CP167" s="149">
        <f t="shared" si="213"/>
        <v>1</v>
      </c>
      <c r="CQ167" s="149">
        <f t="shared" si="214"/>
        <v>1</v>
      </c>
      <c r="CR167" s="149">
        <f t="shared" si="215"/>
        <v>1</v>
      </c>
      <c r="CS167" s="149">
        <f t="shared" si="216"/>
        <v>1</v>
      </c>
      <c r="CT167" s="149">
        <f t="shared" si="217"/>
        <v>1</v>
      </c>
      <c r="CU167" s="149">
        <f t="shared" si="218"/>
        <v>1</v>
      </c>
      <c r="CV167" s="149">
        <f t="shared" si="219"/>
        <v>1</v>
      </c>
      <c r="CW167" s="149">
        <f t="shared" si="220"/>
        <v>1</v>
      </c>
      <c r="CX167" s="149">
        <f t="shared" si="221"/>
        <v>1</v>
      </c>
      <c r="CY167" s="149">
        <f t="shared" si="222"/>
        <v>1</v>
      </c>
      <c r="CZ167" s="149">
        <f t="shared" si="223"/>
        <v>1</v>
      </c>
      <c r="DA167" s="149">
        <f t="shared" si="224"/>
        <v>1</v>
      </c>
      <c r="DB167" s="149">
        <f t="shared" si="225"/>
        <v>1</v>
      </c>
      <c r="DG167" s="125">
        <f t="shared" si="186"/>
        <v>1</v>
      </c>
      <c r="DH167" s="125">
        <f t="shared" si="185"/>
        <v>2</v>
      </c>
      <c r="DI167" s="125">
        <f t="shared" si="185"/>
        <v>3</v>
      </c>
      <c r="DJ167" s="125">
        <f t="shared" si="185"/>
        <v>4</v>
      </c>
      <c r="DK167" s="125">
        <f t="shared" si="185"/>
        <v>5</v>
      </c>
      <c r="DL167" s="125">
        <f t="shared" si="185"/>
        <v>6</v>
      </c>
      <c r="DM167" s="125">
        <f t="shared" si="185"/>
        <v>7</v>
      </c>
      <c r="DN167" s="125">
        <f t="shared" si="185"/>
        <v>8</v>
      </c>
      <c r="DO167" s="125">
        <f t="shared" si="185"/>
        <v>9</v>
      </c>
      <c r="DP167" s="125">
        <f t="shared" si="185"/>
        <v>10</v>
      </c>
      <c r="DS167" s="137"/>
      <c r="DT167" s="137"/>
      <c r="DU167" s="137"/>
      <c r="DV167" s="137" t="b">
        <f t="shared" si="226"/>
        <v>0</v>
      </c>
      <c r="DW167" s="137" t="b">
        <f t="shared" si="227"/>
        <v>0</v>
      </c>
      <c r="DX167" s="137" t="b">
        <f t="shared" si="228"/>
        <v>1</v>
      </c>
      <c r="EB167" s="131">
        <f t="shared" si="237"/>
        <v>1</v>
      </c>
      <c r="EC167" s="137" t="b">
        <f t="shared" si="229"/>
        <v>0</v>
      </c>
      <c r="ED167" s="137" t="b">
        <f t="shared" si="230"/>
        <v>0</v>
      </c>
      <c r="EE167" s="137" t="b">
        <f t="shared" si="231"/>
        <v>1</v>
      </c>
      <c r="EF167" s="137"/>
      <c r="EG167" s="137"/>
      <c r="EH167" s="137"/>
      <c r="EI167" s="137"/>
      <c r="EJ167" s="137">
        <f t="shared" si="238"/>
        <v>1</v>
      </c>
      <c r="EK167" s="125">
        <f t="shared" si="232"/>
        <v>0</v>
      </c>
      <c r="EL167" s="125">
        <f t="shared" si="233"/>
        <v>0</v>
      </c>
    </row>
    <row r="168" spans="2:142" ht="15.75" x14ac:dyDescent="0.25">
      <c r="B168" s="160">
        <f t="shared" si="234"/>
        <v>138</v>
      </c>
      <c r="C168" s="283">
        <v>1001348953</v>
      </c>
      <c r="D168" s="283">
        <v>1001277689</v>
      </c>
      <c r="E168" s="281">
        <v>40821399</v>
      </c>
      <c r="F168" s="118">
        <f>IF(OR(J168="",H168=""),"",VLOOKUP(J168,'הזנה לסיווג רשויות'!$B$2:$D$301,2,0))</f>
        <v>20000233</v>
      </c>
      <c r="G168" s="118" t="str">
        <f>IF(OR(J168="",H168=""),"",VLOOKUP(J168,'הזנה לסיווג רשויות'!$B$2:$D$301,3,0))</f>
        <v>נתניה</v>
      </c>
      <c r="H168" s="281" t="s">
        <v>637</v>
      </c>
      <c r="I168" s="201" t="s">
        <v>376</v>
      </c>
      <c r="J168" s="205">
        <v>7400</v>
      </c>
      <c r="K168" s="161">
        <v>0</v>
      </c>
      <c r="L168" s="161">
        <v>1</v>
      </c>
      <c r="M168" s="161">
        <v>0</v>
      </c>
      <c r="N168" s="161">
        <v>0</v>
      </c>
      <c r="O168" s="161">
        <v>1</v>
      </c>
      <c r="P168" s="161">
        <v>1</v>
      </c>
      <c r="Q168" s="161">
        <v>1</v>
      </c>
      <c r="R168" s="201">
        <v>7965000</v>
      </c>
      <c r="S168" s="201">
        <v>3199000</v>
      </c>
      <c r="T168" s="160">
        <f>IF(G168="","",IFERROR(IF(S168/R168&gt;'פרמטרים לקריטריונים'!$C$20,1,0),0))</f>
        <v>1</v>
      </c>
      <c r="U168" s="201">
        <v>2607000</v>
      </c>
      <c r="V168" s="160">
        <f>IF(G168="","",IFERROR(IF(U168/R168&gt;'פרמטרים לקריטריונים'!$C$21,1,IF(AND(I168=$BW$5,U168/R168&gt;'פרמטרים לקריטריונים'!$C$22),1,0)),0))</f>
        <v>1</v>
      </c>
      <c r="W168" s="161">
        <v>1</v>
      </c>
      <c r="X168" s="161">
        <v>1</v>
      </c>
      <c r="Y168" s="201">
        <v>1000000</v>
      </c>
      <c r="Z168" s="201">
        <v>1</v>
      </c>
      <c r="AA168" s="161">
        <f t="shared" si="235"/>
        <v>1</v>
      </c>
      <c r="AB168" s="161"/>
      <c r="AC168" s="161"/>
      <c r="AD168" s="161"/>
      <c r="AE168" s="161"/>
      <c r="AF168" s="161"/>
      <c r="AG168" s="161"/>
      <c r="AH168" s="161"/>
      <c r="AI168" s="161"/>
      <c r="AJ168" s="161"/>
      <c r="AK168" s="161"/>
      <c r="AL168" s="161"/>
      <c r="AM168" s="161"/>
      <c r="AN168" s="161"/>
      <c r="AO168" s="161"/>
      <c r="AP168" s="161"/>
      <c r="AQ168" s="161"/>
      <c r="AR168" s="161"/>
      <c r="AS168" s="161"/>
      <c r="AT168" s="161"/>
      <c r="AU168" s="161"/>
      <c r="AV168" s="161"/>
      <c r="AW168" s="160"/>
      <c r="AX168" s="161"/>
      <c r="AY168" s="161"/>
      <c r="AZ168" s="161"/>
      <c r="BA168" s="161"/>
      <c r="BB168" s="161"/>
      <c r="BC168" s="161"/>
      <c r="BD168" s="161"/>
      <c r="BE168" s="161"/>
      <c r="BF168" s="160" t="str">
        <f t="shared" si="236"/>
        <v/>
      </c>
      <c r="BG168" s="160"/>
      <c r="BH168" s="160"/>
      <c r="BI168" s="160"/>
      <c r="BJ168" s="160"/>
      <c r="BK168" s="160"/>
      <c r="BL168" s="162">
        <f t="shared" si="187"/>
        <v>1</v>
      </c>
      <c r="BM168" s="257"/>
      <c r="BN168" s="163"/>
      <c r="BO168" s="211" t="str">
        <f t="shared" si="188"/>
        <v>תזמורת נתניה הקאמרית הקיבוציתמוסיקה-גופים כליים</v>
      </c>
      <c r="BP168" s="125">
        <f t="shared" si="189"/>
        <v>1</v>
      </c>
      <c r="BQ168" s="164">
        <v>0</v>
      </c>
      <c r="BR168" s="164">
        <v>1</v>
      </c>
      <c r="BS168" s="149">
        <f t="shared" si="190"/>
        <v>1</v>
      </c>
      <c r="BT168" s="149">
        <f t="shared" si="191"/>
        <v>1</v>
      </c>
      <c r="BU168" s="149">
        <f t="shared" si="192"/>
        <v>1</v>
      </c>
      <c r="BV168" s="149">
        <f t="shared" si="193"/>
        <v>1</v>
      </c>
      <c r="BW168" s="149">
        <f t="shared" si="194"/>
        <v>1</v>
      </c>
      <c r="BX168" s="149">
        <f t="shared" si="195"/>
        <v>1</v>
      </c>
      <c r="BY168" s="149">
        <f t="shared" si="196"/>
        <v>1</v>
      </c>
      <c r="BZ168" s="149">
        <f t="shared" si="197"/>
        <v>1</v>
      </c>
      <c r="CA168" s="149">
        <f t="shared" si="198"/>
        <v>1</v>
      </c>
      <c r="CB168" s="149">
        <f t="shared" si="199"/>
        <v>1</v>
      </c>
      <c r="CC168" s="149">
        <f t="shared" si="200"/>
        <v>1</v>
      </c>
      <c r="CD168" s="149">
        <f t="shared" si="201"/>
        <v>1</v>
      </c>
      <c r="CE168" s="149">
        <f t="shared" si="202"/>
        <v>1</v>
      </c>
      <c r="CF168" s="149">
        <f t="shared" si="203"/>
        <v>1</v>
      </c>
      <c r="CG168" s="149">
        <f t="shared" si="204"/>
        <v>1</v>
      </c>
      <c r="CH168" s="149">
        <f t="shared" si="205"/>
        <v>1</v>
      </c>
      <c r="CI168" s="149">
        <f t="shared" si="206"/>
        <v>1</v>
      </c>
      <c r="CJ168" s="149">
        <f t="shared" si="207"/>
        <v>1</v>
      </c>
      <c r="CK168" s="149">
        <f t="shared" si="208"/>
        <v>1</v>
      </c>
      <c r="CL168" s="149">
        <f t="shared" si="209"/>
        <v>1</v>
      </c>
      <c r="CM168" s="149">
        <f t="shared" si="210"/>
        <v>1</v>
      </c>
      <c r="CN168" s="149">
        <f t="shared" si="211"/>
        <v>1</v>
      </c>
      <c r="CO168" s="149">
        <f t="shared" si="212"/>
        <v>1</v>
      </c>
      <c r="CP168" s="149">
        <f t="shared" si="213"/>
        <v>1</v>
      </c>
      <c r="CQ168" s="149">
        <f t="shared" si="214"/>
        <v>1</v>
      </c>
      <c r="CR168" s="149">
        <f t="shared" si="215"/>
        <v>1</v>
      </c>
      <c r="CS168" s="149">
        <f t="shared" si="216"/>
        <v>1</v>
      </c>
      <c r="CT168" s="149">
        <f t="shared" si="217"/>
        <v>1</v>
      </c>
      <c r="CU168" s="149">
        <f t="shared" si="218"/>
        <v>1</v>
      </c>
      <c r="CV168" s="149">
        <f t="shared" si="219"/>
        <v>1</v>
      </c>
      <c r="CW168" s="149">
        <f t="shared" si="220"/>
        <v>1</v>
      </c>
      <c r="CX168" s="149">
        <f t="shared" si="221"/>
        <v>1</v>
      </c>
      <c r="CY168" s="149">
        <f t="shared" si="222"/>
        <v>1</v>
      </c>
      <c r="CZ168" s="149">
        <f t="shared" si="223"/>
        <v>1</v>
      </c>
      <c r="DA168" s="149">
        <f t="shared" si="224"/>
        <v>1</v>
      </c>
      <c r="DB168" s="149">
        <f t="shared" si="225"/>
        <v>1</v>
      </c>
      <c r="DG168" s="125">
        <f t="shared" si="186"/>
        <v>1</v>
      </c>
      <c r="DH168" s="125">
        <f t="shared" si="185"/>
        <v>2</v>
      </c>
      <c r="DI168" s="125">
        <f t="shared" si="185"/>
        <v>3</v>
      </c>
      <c r="DJ168" s="125">
        <f t="shared" si="185"/>
        <v>4</v>
      </c>
      <c r="DK168" s="125">
        <f t="shared" si="185"/>
        <v>5</v>
      </c>
      <c r="DL168" s="125">
        <f t="shared" si="185"/>
        <v>6</v>
      </c>
      <c r="DM168" s="125">
        <f t="shared" si="185"/>
        <v>7</v>
      </c>
      <c r="DN168" s="125">
        <f t="shared" si="185"/>
        <v>8</v>
      </c>
      <c r="DO168" s="125">
        <f t="shared" si="185"/>
        <v>9</v>
      </c>
      <c r="DP168" s="125">
        <f t="shared" si="185"/>
        <v>10</v>
      </c>
      <c r="DS168" s="137"/>
      <c r="DT168" s="137"/>
      <c r="DU168" s="137"/>
      <c r="DV168" s="137" t="b">
        <f t="shared" si="226"/>
        <v>0</v>
      </c>
      <c r="DW168" s="137" t="b">
        <f t="shared" si="227"/>
        <v>0</v>
      </c>
      <c r="DX168" s="137" t="b">
        <f t="shared" si="228"/>
        <v>1</v>
      </c>
      <c r="EB168" s="131">
        <f t="shared" si="237"/>
        <v>1</v>
      </c>
      <c r="EC168" s="137" t="b">
        <f t="shared" si="229"/>
        <v>0</v>
      </c>
      <c r="ED168" s="137" t="b">
        <f t="shared" si="230"/>
        <v>0</v>
      </c>
      <c r="EE168" s="137" t="b">
        <f t="shared" si="231"/>
        <v>1</v>
      </c>
      <c r="EF168" s="137"/>
      <c r="EG168" s="137"/>
      <c r="EH168" s="137"/>
      <c r="EI168" s="137"/>
      <c r="EJ168" s="137">
        <f t="shared" si="238"/>
        <v>1</v>
      </c>
      <c r="EK168" s="125">
        <f t="shared" si="232"/>
        <v>0</v>
      </c>
      <c r="EL168" s="125">
        <f t="shared" si="233"/>
        <v>0</v>
      </c>
    </row>
    <row r="169" spans="2:142" ht="15.75" x14ac:dyDescent="0.25">
      <c r="B169" s="160">
        <f t="shared" si="234"/>
        <v>139</v>
      </c>
      <c r="C169" s="283">
        <v>1001347059</v>
      </c>
      <c r="D169" s="283">
        <v>1001264877</v>
      </c>
      <c r="E169" s="281">
        <v>41489885</v>
      </c>
      <c r="F169" s="118">
        <f>IF(OR(J169="",H169=""),"",VLOOKUP(J169,'הזנה לסיווג רשויות'!$B$2:$D$301,2,0))</f>
        <v>20000201</v>
      </c>
      <c r="G169" s="118" t="str">
        <f>IF(OR(J169="",H169=""),"",VLOOKUP(J169,'הזנה לסיווג רשויות'!$B$2:$D$301,3,0))</f>
        <v>תל אביב -יפו</v>
      </c>
      <c r="H169" s="281" t="s">
        <v>638</v>
      </c>
      <c r="I169" s="201" t="s">
        <v>374</v>
      </c>
      <c r="J169" s="205">
        <v>5000</v>
      </c>
      <c r="K169" s="161">
        <v>0</v>
      </c>
      <c r="L169" s="161">
        <v>1</v>
      </c>
      <c r="M169" s="161">
        <v>0</v>
      </c>
      <c r="N169" s="161">
        <v>1</v>
      </c>
      <c r="O169" s="161">
        <v>1</v>
      </c>
      <c r="P169" s="161">
        <v>1</v>
      </c>
      <c r="Q169" s="161">
        <v>1</v>
      </c>
      <c r="R169" s="201">
        <v>559889</v>
      </c>
      <c r="S169" s="201">
        <v>270649</v>
      </c>
      <c r="T169" s="160">
        <f>IF(G169="","",IFERROR(IF(S169/R169&gt;'פרמטרים לקריטריונים'!$C$20,1,0),0))</f>
        <v>1</v>
      </c>
      <c r="U169" s="201">
        <v>238167</v>
      </c>
      <c r="V169" s="160">
        <f>IF(G169="","",IFERROR(IF(U169/R169&gt;'פרמטרים לקריטריונים'!$C$21,1,IF(AND(I169=$BW$5,U169/R169&gt;'פרמטרים לקריטריונים'!$C$22),1,0)),0))</f>
        <v>1</v>
      </c>
      <c r="W169" s="161">
        <v>1</v>
      </c>
      <c r="X169" s="161">
        <v>1</v>
      </c>
      <c r="Y169" s="201">
        <v>130000</v>
      </c>
      <c r="Z169" s="201">
        <v>1</v>
      </c>
      <c r="AA169" s="161">
        <f t="shared" si="235"/>
        <v>1</v>
      </c>
      <c r="AB169" s="161"/>
      <c r="AC169" s="161"/>
      <c r="AD169" s="161"/>
      <c r="AE169" s="161"/>
      <c r="AF169" s="161"/>
      <c r="AG169" s="161"/>
      <c r="AH169" s="161"/>
      <c r="AI169" s="161"/>
      <c r="AJ169" s="161"/>
      <c r="AK169" s="161"/>
      <c r="AL169" s="161"/>
      <c r="AM169" s="161"/>
      <c r="AN169" s="161"/>
      <c r="AO169" s="161"/>
      <c r="AP169" s="161"/>
      <c r="AQ169" s="161"/>
      <c r="AR169" s="161"/>
      <c r="AS169" s="161"/>
      <c r="AT169" s="161"/>
      <c r="AU169" s="161"/>
      <c r="AV169" s="161"/>
      <c r="AW169" s="160"/>
      <c r="AX169" s="161"/>
      <c r="AY169" s="161"/>
      <c r="AZ169" s="161"/>
      <c r="BA169" s="161"/>
      <c r="BB169" s="161"/>
      <c r="BC169" s="161"/>
      <c r="BD169" s="161"/>
      <c r="BE169" s="161"/>
      <c r="BF169" s="160" t="str">
        <f t="shared" si="236"/>
        <v/>
      </c>
      <c r="BG169" s="160"/>
      <c r="BH169" s="160"/>
      <c r="BI169" s="160"/>
      <c r="BJ169" s="160"/>
      <c r="BK169" s="160"/>
      <c r="BL169" s="162">
        <f t="shared" si="187"/>
        <v>1</v>
      </c>
      <c r="BM169" s="257"/>
      <c r="BN169" s="163"/>
      <c r="BO169" s="211" t="str">
        <f t="shared" si="188"/>
        <v>עמותה למחול ואמניות ניב שינפלדמחול</v>
      </c>
      <c r="BP169" s="125">
        <f t="shared" si="189"/>
        <v>1</v>
      </c>
      <c r="BQ169" s="164">
        <v>0</v>
      </c>
      <c r="BR169" s="164">
        <v>1</v>
      </c>
      <c r="BS169" s="149">
        <f t="shared" si="190"/>
        <v>1</v>
      </c>
      <c r="BT169" s="149">
        <f t="shared" si="191"/>
        <v>1</v>
      </c>
      <c r="BU169" s="149">
        <f t="shared" si="192"/>
        <v>1</v>
      </c>
      <c r="BV169" s="149">
        <f t="shared" si="193"/>
        <v>1</v>
      </c>
      <c r="BW169" s="149">
        <f t="shared" si="194"/>
        <v>1</v>
      </c>
      <c r="BX169" s="149">
        <f t="shared" si="195"/>
        <v>1</v>
      </c>
      <c r="BY169" s="149">
        <f t="shared" si="196"/>
        <v>1</v>
      </c>
      <c r="BZ169" s="149">
        <f t="shared" si="197"/>
        <v>1</v>
      </c>
      <c r="CA169" s="149">
        <f t="shared" si="198"/>
        <v>1</v>
      </c>
      <c r="CB169" s="149">
        <f t="shared" si="199"/>
        <v>1</v>
      </c>
      <c r="CC169" s="149">
        <f t="shared" si="200"/>
        <v>1</v>
      </c>
      <c r="CD169" s="149">
        <f t="shared" si="201"/>
        <v>1</v>
      </c>
      <c r="CE169" s="149">
        <f t="shared" si="202"/>
        <v>1</v>
      </c>
      <c r="CF169" s="149">
        <f t="shared" si="203"/>
        <v>1</v>
      </c>
      <c r="CG169" s="149">
        <f t="shared" si="204"/>
        <v>1</v>
      </c>
      <c r="CH169" s="149">
        <f t="shared" si="205"/>
        <v>1</v>
      </c>
      <c r="CI169" s="149">
        <f t="shared" si="206"/>
        <v>1</v>
      </c>
      <c r="CJ169" s="149">
        <f t="shared" si="207"/>
        <v>1</v>
      </c>
      <c r="CK169" s="149">
        <f t="shared" si="208"/>
        <v>1</v>
      </c>
      <c r="CL169" s="149">
        <f t="shared" si="209"/>
        <v>1</v>
      </c>
      <c r="CM169" s="149">
        <f t="shared" si="210"/>
        <v>1</v>
      </c>
      <c r="CN169" s="149">
        <f t="shared" si="211"/>
        <v>1</v>
      </c>
      <c r="CO169" s="149">
        <f t="shared" si="212"/>
        <v>1</v>
      </c>
      <c r="CP169" s="149">
        <f t="shared" si="213"/>
        <v>1</v>
      </c>
      <c r="CQ169" s="149">
        <f t="shared" si="214"/>
        <v>1</v>
      </c>
      <c r="CR169" s="149">
        <f t="shared" si="215"/>
        <v>1</v>
      </c>
      <c r="CS169" s="149">
        <f t="shared" si="216"/>
        <v>1</v>
      </c>
      <c r="CT169" s="149">
        <f t="shared" si="217"/>
        <v>1</v>
      </c>
      <c r="CU169" s="149">
        <f t="shared" si="218"/>
        <v>1</v>
      </c>
      <c r="CV169" s="149">
        <f t="shared" si="219"/>
        <v>1</v>
      </c>
      <c r="CW169" s="149">
        <f t="shared" si="220"/>
        <v>1</v>
      </c>
      <c r="CX169" s="149">
        <f t="shared" si="221"/>
        <v>1</v>
      </c>
      <c r="CY169" s="149">
        <f t="shared" si="222"/>
        <v>1</v>
      </c>
      <c r="CZ169" s="149">
        <f t="shared" si="223"/>
        <v>1</v>
      </c>
      <c r="DA169" s="149">
        <f t="shared" si="224"/>
        <v>1</v>
      </c>
      <c r="DB169" s="149">
        <f t="shared" si="225"/>
        <v>1</v>
      </c>
      <c r="DG169" s="125">
        <f t="shared" si="186"/>
        <v>1</v>
      </c>
      <c r="DH169" s="125">
        <f t="shared" si="185"/>
        <v>2</v>
      </c>
      <c r="DI169" s="125">
        <f t="shared" si="185"/>
        <v>3</v>
      </c>
      <c r="DJ169" s="125">
        <f t="shared" si="185"/>
        <v>4</v>
      </c>
      <c r="DK169" s="125">
        <f t="shared" si="185"/>
        <v>5</v>
      </c>
      <c r="DL169" s="125">
        <f t="shared" si="185"/>
        <v>6</v>
      </c>
      <c r="DM169" s="125">
        <f t="shared" si="185"/>
        <v>7</v>
      </c>
      <c r="DN169" s="125">
        <f t="shared" si="185"/>
        <v>8</v>
      </c>
      <c r="DO169" s="125">
        <f t="shared" si="185"/>
        <v>9</v>
      </c>
      <c r="DP169" s="125">
        <f t="shared" si="185"/>
        <v>10</v>
      </c>
      <c r="DS169" s="137"/>
      <c r="DT169" s="137"/>
      <c r="DU169" s="137"/>
      <c r="DV169" s="137" t="b">
        <f t="shared" si="226"/>
        <v>0</v>
      </c>
      <c r="DW169" s="137" t="b">
        <f t="shared" si="227"/>
        <v>0</v>
      </c>
      <c r="DX169" s="137" t="b">
        <f t="shared" si="228"/>
        <v>1</v>
      </c>
      <c r="EB169" s="131">
        <f t="shared" si="237"/>
        <v>1</v>
      </c>
      <c r="EC169" s="137" t="b">
        <f t="shared" si="229"/>
        <v>0</v>
      </c>
      <c r="ED169" s="137" t="b">
        <f t="shared" si="230"/>
        <v>0</v>
      </c>
      <c r="EE169" s="137" t="b">
        <f t="shared" si="231"/>
        <v>1</v>
      </c>
      <c r="EF169" s="137"/>
      <c r="EG169" s="137"/>
      <c r="EH169" s="137"/>
      <c r="EI169" s="137"/>
      <c r="EJ169" s="137">
        <f t="shared" si="238"/>
        <v>1</v>
      </c>
      <c r="EK169" s="125">
        <f t="shared" si="232"/>
        <v>0</v>
      </c>
      <c r="EL169" s="125">
        <f t="shared" si="233"/>
        <v>0</v>
      </c>
    </row>
    <row r="170" spans="2:142" ht="15.75" x14ac:dyDescent="0.25">
      <c r="B170" s="160">
        <f t="shared" si="234"/>
        <v>140</v>
      </c>
      <c r="C170" s="283">
        <v>1001348829</v>
      </c>
      <c r="D170" s="283">
        <v>1001270276</v>
      </c>
      <c r="E170" s="281">
        <v>41489893</v>
      </c>
      <c r="F170" s="118">
        <f>IF(OR(J170="",H170=""),"",VLOOKUP(J170,'הזנה לסיווג רשויות'!$B$2:$D$301,2,0))</f>
        <v>20000201</v>
      </c>
      <c r="G170" s="118" t="str">
        <f>IF(OR(J170="",H170=""),"",VLOOKUP(J170,'הזנה לסיווג רשויות'!$B$2:$D$301,3,0))</f>
        <v>תל אביב -יפו</v>
      </c>
      <c r="H170" s="281" t="s">
        <v>639</v>
      </c>
      <c r="I170" s="201" t="s">
        <v>564</v>
      </c>
      <c r="J170" s="205">
        <v>5000</v>
      </c>
      <c r="K170" s="161">
        <v>0</v>
      </c>
      <c r="L170" s="161">
        <v>1</v>
      </c>
      <c r="M170" s="161">
        <v>0</v>
      </c>
      <c r="N170" s="161">
        <v>1</v>
      </c>
      <c r="O170" s="161">
        <v>1</v>
      </c>
      <c r="P170" s="161">
        <v>1</v>
      </c>
      <c r="Q170" s="161">
        <v>1</v>
      </c>
      <c r="R170" s="201">
        <v>442617</v>
      </c>
      <c r="S170" s="201">
        <v>227671</v>
      </c>
      <c r="T170" s="160">
        <f>IF(G170="","",IFERROR(IF(S170/R170&gt;'פרמטרים לקריטריונים'!$C$20,1,0),0))</f>
        <v>1</v>
      </c>
      <c r="U170" s="201">
        <v>125749</v>
      </c>
      <c r="V170" s="160">
        <f>IF(G170="","",IFERROR(IF(U170/R170&gt;'פרמטרים לקריטריונים'!$C$21,1,IF(AND(I170=$BW$5,U170/R170&gt;'פרמטרים לקריטריונים'!$C$22),1,0)),0))</f>
        <v>1</v>
      </c>
      <c r="W170" s="161">
        <v>1</v>
      </c>
      <c r="X170" s="161">
        <v>1</v>
      </c>
      <c r="Y170" s="201">
        <v>200000</v>
      </c>
      <c r="Z170" s="201">
        <v>1</v>
      </c>
      <c r="AA170" s="161">
        <f t="shared" si="235"/>
        <v>1</v>
      </c>
      <c r="AB170" s="161"/>
      <c r="AC170" s="161"/>
      <c r="AD170" s="161"/>
      <c r="AE170" s="161"/>
      <c r="AF170" s="161"/>
      <c r="AG170" s="161"/>
      <c r="AH170" s="161"/>
      <c r="AI170" s="161"/>
      <c r="AJ170" s="161"/>
      <c r="AK170" s="161"/>
      <c r="AL170" s="161"/>
      <c r="AM170" s="161"/>
      <c r="AN170" s="161"/>
      <c r="AO170" s="161"/>
      <c r="AP170" s="161"/>
      <c r="AQ170" s="161"/>
      <c r="AR170" s="161"/>
      <c r="AS170" s="161"/>
      <c r="AT170" s="161"/>
      <c r="AU170" s="161"/>
      <c r="AV170" s="161"/>
      <c r="AW170" s="160"/>
      <c r="AX170" s="161"/>
      <c r="AY170" s="161"/>
      <c r="AZ170" s="161"/>
      <c r="BA170" s="161"/>
      <c r="BB170" s="161"/>
      <c r="BC170" s="161"/>
      <c r="BD170" s="161"/>
      <c r="BE170" s="161"/>
      <c r="BF170" s="160" t="str">
        <f t="shared" si="236"/>
        <v/>
      </c>
      <c r="BG170" s="160"/>
      <c r="BH170" s="160"/>
      <c r="BI170" s="160"/>
      <c r="BJ170" s="160"/>
      <c r="BK170" s="160"/>
      <c r="BL170" s="162">
        <f t="shared" si="187"/>
        <v>1</v>
      </c>
      <c r="BM170" s="257"/>
      <c r="BN170" s="163"/>
      <c r="BO170" s="211" t="str">
        <f t="shared" si="188"/>
        <v>תאטרון מחול יוסי ברג ועודד גרףאחר</v>
      </c>
      <c r="BP170" s="125">
        <f t="shared" si="189"/>
        <v>1</v>
      </c>
      <c r="BQ170" s="164">
        <v>0</v>
      </c>
      <c r="BR170" s="164">
        <v>1</v>
      </c>
      <c r="BS170" s="149">
        <f t="shared" si="190"/>
        <v>1</v>
      </c>
      <c r="BT170" s="149">
        <f t="shared" si="191"/>
        <v>1</v>
      </c>
      <c r="BU170" s="149">
        <f t="shared" si="192"/>
        <v>1</v>
      </c>
      <c r="BV170" s="149">
        <f t="shared" si="193"/>
        <v>1</v>
      </c>
      <c r="BW170" s="149">
        <f t="shared" si="194"/>
        <v>1</v>
      </c>
      <c r="BX170" s="149">
        <f t="shared" si="195"/>
        <v>1</v>
      </c>
      <c r="BY170" s="149">
        <f t="shared" si="196"/>
        <v>1</v>
      </c>
      <c r="BZ170" s="149">
        <f t="shared" si="197"/>
        <v>1</v>
      </c>
      <c r="CA170" s="149">
        <f t="shared" si="198"/>
        <v>1</v>
      </c>
      <c r="CB170" s="149">
        <f t="shared" si="199"/>
        <v>1</v>
      </c>
      <c r="CC170" s="149">
        <f t="shared" si="200"/>
        <v>1</v>
      </c>
      <c r="CD170" s="149">
        <f t="shared" si="201"/>
        <v>1</v>
      </c>
      <c r="CE170" s="149">
        <f t="shared" si="202"/>
        <v>1</v>
      </c>
      <c r="CF170" s="149">
        <f t="shared" si="203"/>
        <v>1</v>
      </c>
      <c r="CG170" s="149">
        <f t="shared" si="204"/>
        <v>1</v>
      </c>
      <c r="CH170" s="149">
        <f t="shared" si="205"/>
        <v>1</v>
      </c>
      <c r="CI170" s="149">
        <f t="shared" si="206"/>
        <v>1</v>
      </c>
      <c r="CJ170" s="149">
        <f t="shared" si="207"/>
        <v>1</v>
      </c>
      <c r="CK170" s="149">
        <f t="shared" si="208"/>
        <v>1</v>
      </c>
      <c r="CL170" s="149">
        <f t="shared" si="209"/>
        <v>1</v>
      </c>
      <c r="CM170" s="149">
        <f t="shared" si="210"/>
        <v>1</v>
      </c>
      <c r="CN170" s="149">
        <f t="shared" si="211"/>
        <v>1</v>
      </c>
      <c r="CO170" s="149">
        <f t="shared" si="212"/>
        <v>1</v>
      </c>
      <c r="CP170" s="149">
        <f t="shared" si="213"/>
        <v>1</v>
      </c>
      <c r="CQ170" s="149">
        <f t="shared" si="214"/>
        <v>1</v>
      </c>
      <c r="CR170" s="149">
        <f t="shared" si="215"/>
        <v>1</v>
      </c>
      <c r="CS170" s="149">
        <f t="shared" si="216"/>
        <v>1</v>
      </c>
      <c r="CT170" s="149">
        <f t="shared" si="217"/>
        <v>1</v>
      </c>
      <c r="CU170" s="149">
        <f t="shared" si="218"/>
        <v>1</v>
      </c>
      <c r="CV170" s="149">
        <f t="shared" si="219"/>
        <v>1</v>
      </c>
      <c r="CW170" s="149">
        <f t="shared" si="220"/>
        <v>1</v>
      </c>
      <c r="CX170" s="149">
        <f t="shared" si="221"/>
        <v>1</v>
      </c>
      <c r="CY170" s="149">
        <f t="shared" si="222"/>
        <v>1</v>
      </c>
      <c r="CZ170" s="149">
        <f t="shared" si="223"/>
        <v>1</v>
      </c>
      <c r="DA170" s="149">
        <f t="shared" si="224"/>
        <v>1</v>
      </c>
      <c r="DB170" s="149">
        <f t="shared" si="225"/>
        <v>1</v>
      </c>
      <c r="DG170" s="125">
        <f t="shared" si="186"/>
        <v>1</v>
      </c>
      <c r="DH170" s="125">
        <f t="shared" si="185"/>
        <v>2</v>
      </c>
      <c r="DI170" s="125">
        <f t="shared" si="185"/>
        <v>3</v>
      </c>
      <c r="DJ170" s="125">
        <f t="shared" si="185"/>
        <v>4</v>
      </c>
      <c r="DK170" s="125">
        <f t="shared" si="185"/>
        <v>5</v>
      </c>
      <c r="DL170" s="125">
        <f t="shared" si="185"/>
        <v>6</v>
      </c>
      <c r="DM170" s="125">
        <f t="shared" si="185"/>
        <v>7</v>
      </c>
      <c r="DN170" s="125">
        <f t="shared" si="185"/>
        <v>8</v>
      </c>
      <c r="DO170" s="125">
        <f t="shared" si="185"/>
        <v>9</v>
      </c>
      <c r="DP170" s="125">
        <f t="shared" si="185"/>
        <v>10</v>
      </c>
      <c r="DS170" s="137"/>
      <c r="DT170" s="137"/>
      <c r="DU170" s="137"/>
      <c r="DV170" s="137" t="b">
        <f t="shared" si="226"/>
        <v>0</v>
      </c>
      <c r="DW170" s="137" t="b">
        <f t="shared" si="227"/>
        <v>0</v>
      </c>
      <c r="DX170" s="137" t="b">
        <f t="shared" si="228"/>
        <v>1</v>
      </c>
      <c r="EB170" s="131">
        <f t="shared" si="237"/>
        <v>1</v>
      </c>
      <c r="EC170" s="137" t="b">
        <f t="shared" si="229"/>
        <v>0</v>
      </c>
      <c r="ED170" s="137" t="b">
        <f t="shared" si="230"/>
        <v>0</v>
      </c>
      <c r="EE170" s="137" t="b">
        <f t="shared" si="231"/>
        <v>1</v>
      </c>
      <c r="EF170" s="137"/>
      <c r="EG170" s="137"/>
      <c r="EH170" s="137"/>
      <c r="EI170" s="137"/>
      <c r="EJ170" s="137">
        <f t="shared" si="238"/>
        <v>1</v>
      </c>
      <c r="EK170" s="125">
        <f t="shared" si="232"/>
        <v>0</v>
      </c>
      <c r="EL170" s="125">
        <f t="shared" si="233"/>
        <v>0</v>
      </c>
    </row>
    <row r="171" spans="2:142" ht="15.75" x14ac:dyDescent="0.25">
      <c r="B171" s="160">
        <f t="shared" si="234"/>
        <v>141</v>
      </c>
      <c r="C171" s="283">
        <v>1001346762</v>
      </c>
      <c r="D171" s="283">
        <v>1001274754</v>
      </c>
      <c r="E171" s="281">
        <v>41512756</v>
      </c>
      <c r="F171" s="118">
        <f>IF(OR(J171="",H171=""),"",VLOOKUP(J171,'הזנה לסיווג רשויות'!$B$2:$D$301,2,0))</f>
        <v>20000071</v>
      </c>
      <c r="G171" s="118" t="str">
        <f>IF(OR(J171="",H171=""),"",VLOOKUP(J171,'הזנה לסיווג רשויות'!$B$2:$D$301,3,0))</f>
        <v>ריינה</v>
      </c>
      <c r="H171" s="281" t="s">
        <v>640</v>
      </c>
      <c r="I171" s="201" t="s">
        <v>564</v>
      </c>
      <c r="J171" s="205">
        <v>542</v>
      </c>
      <c r="K171" s="161">
        <v>0</v>
      </c>
      <c r="L171" s="161">
        <v>1</v>
      </c>
      <c r="M171" s="161">
        <v>0</v>
      </c>
      <c r="N171" s="161">
        <v>0</v>
      </c>
      <c r="O171" s="161">
        <v>1</v>
      </c>
      <c r="P171" s="161">
        <v>1</v>
      </c>
      <c r="Q171" s="161">
        <v>1</v>
      </c>
      <c r="R171" s="201">
        <v>650986</v>
      </c>
      <c r="S171" s="201">
        <v>650986</v>
      </c>
      <c r="T171" s="160">
        <f>IF(G171="","",IFERROR(IF(S171/R171&gt;'פרמטרים לקריטריונים'!$C$20,1,0),0))</f>
        <v>1</v>
      </c>
      <c r="U171" s="201">
        <v>645986</v>
      </c>
      <c r="V171" s="160">
        <f>IF(G171="","",IFERROR(IF(U171/R171&gt;'פרמטרים לקריטריונים'!$C$21,1,IF(AND(I171=$BW$5,U171/R171&gt;'פרמטרים לקריטריונים'!$C$22),1,0)),0))</f>
        <v>1</v>
      </c>
      <c r="W171" s="161">
        <v>1</v>
      </c>
      <c r="X171" s="161">
        <v>1</v>
      </c>
      <c r="Y171" s="201">
        <v>600000</v>
      </c>
      <c r="Z171" s="201">
        <v>300000</v>
      </c>
      <c r="AA171" s="161">
        <f t="shared" si="235"/>
        <v>1</v>
      </c>
      <c r="AB171" s="161"/>
      <c r="AC171" s="161"/>
      <c r="AD171" s="161"/>
      <c r="AE171" s="161"/>
      <c r="AF171" s="161"/>
      <c r="AG171" s="161"/>
      <c r="AH171" s="161"/>
      <c r="AI171" s="161"/>
      <c r="AJ171" s="161"/>
      <c r="AK171" s="161"/>
      <c r="AL171" s="161"/>
      <c r="AM171" s="161"/>
      <c r="AN171" s="161"/>
      <c r="AO171" s="161"/>
      <c r="AP171" s="161"/>
      <c r="AQ171" s="161"/>
      <c r="AR171" s="161"/>
      <c r="AS171" s="161"/>
      <c r="AT171" s="161"/>
      <c r="AU171" s="161"/>
      <c r="AV171" s="161"/>
      <c r="AW171" s="160"/>
      <c r="AX171" s="161"/>
      <c r="AY171" s="161"/>
      <c r="AZ171" s="161"/>
      <c r="BA171" s="161"/>
      <c r="BB171" s="161"/>
      <c r="BC171" s="161"/>
      <c r="BD171" s="161"/>
      <c r="BE171" s="161"/>
      <c r="BF171" s="160" t="str">
        <f t="shared" si="236"/>
        <v/>
      </c>
      <c r="BG171" s="160"/>
      <c r="BH171" s="160"/>
      <c r="BI171" s="160"/>
      <c r="BJ171" s="160"/>
      <c r="BK171" s="160"/>
      <c r="BL171" s="162">
        <f t="shared" si="187"/>
        <v>1</v>
      </c>
      <c r="BM171" s="257"/>
      <c r="BN171" s="163"/>
      <c r="BO171" s="211" t="str">
        <f t="shared" si="188"/>
        <v>מרכז על-קלעה לאומנויות הבמהאחר</v>
      </c>
      <c r="BP171" s="125">
        <f t="shared" si="189"/>
        <v>1</v>
      </c>
      <c r="BQ171" s="164">
        <v>0</v>
      </c>
      <c r="BR171" s="164">
        <v>1</v>
      </c>
      <c r="BS171" s="149">
        <f t="shared" si="190"/>
        <v>1</v>
      </c>
      <c r="BT171" s="149">
        <f t="shared" si="191"/>
        <v>1</v>
      </c>
      <c r="BU171" s="149">
        <f t="shared" si="192"/>
        <v>1</v>
      </c>
      <c r="BV171" s="149">
        <f t="shared" si="193"/>
        <v>1</v>
      </c>
      <c r="BW171" s="149">
        <f t="shared" si="194"/>
        <v>1</v>
      </c>
      <c r="BX171" s="149">
        <f t="shared" si="195"/>
        <v>1</v>
      </c>
      <c r="BY171" s="149">
        <f t="shared" si="196"/>
        <v>1</v>
      </c>
      <c r="BZ171" s="149">
        <f t="shared" si="197"/>
        <v>1</v>
      </c>
      <c r="CA171" s="149">
        <f t="shared" si="198"/>
        <v>1</v>
      </c>
      <c r="CB171" s="149">
        <f t="shared" si="199"/>
        <v>1</v>
      </c>
      <c r="CC171" s="149">
        <f t="shared" si="200"/>
        <v>1</v>
      </c>
      <c r="CD171" s="149">
        <f t="shared" si="201"/>
        <v>1</v>
      </c>
      <c r="CE171" s="149">
        <f t="shared" si="202"/>
        <v>1</v>
      </c>
      <c r="CF171" s="149">
        <f t="shared" si="203"/>
        <v>1</v>
      </c>
      <c r="CG171" s="149">
        <f t="shared" si="204"/>
        <v>1</v>
      </c>
      <c r="CH171" s="149">
        <f t="shared" si="205"/>
        <v>1</v>
      </c>
      <c r="CI171" s="149">
        <f t="shared" si="206"/>
        <v>1</v>
      </c>
      <c r="CJ171" s="149">
        <f t="shared" si="207"/>
        <v>1</v>
      </c>
      <c r="CK171" s="149">
        <f t="shared" si="208"/>
        <v>1</v>
      </c>
      <c r="CL171" s="149">
        <f t="shared" si="209"/>
        <v>1</v>
      </c>
      <c r="CM171" s="149">
        <f t="shared" si="210"/>
        <v>1</v>
      </c>
      <c r="CN171" s="149">
        <f t="shared" si="211"/>
        <v>1</v>
      </c>
      <c r="CO171" s="149">
        <f t="shared" si="212"/>
        <v>1</v>
      </c>
      <c r="CP171" s="149">
        <f t="shared" si="213"/>
        <v>1</v>
      </c>
      <c r="CQ171" s="149">
        <f t="shared" si="214"/>
        <v>1</v>
      </c>
      <c r="CR171" s="149">
        <f t="shared" si="215"/>
        <v>1</v>
      </c>
      <c r="CS171" s="149">
        <f t="shared" si="216"/>
        <v>1</v>
      </c>
      <c r="CT171" s="149">
        <f t="shared" si="217"/>
        <v>1</v>
      </c>
      <c r="CU171" s="149">
        <f t="shared" si="218"/>
        <v>1</v>
      </c>
      <c r="CV171" s="149">
        <f t="shared" si="219"/>
        <v>1</v>
      </c>
      <c r="CW171" s="149">
        <f t="shared" si="220"/>
        <v>1</v>
      </c>
      <c r="CX171" s="149">
        <f t="shared" si="221"/>
        <v>1</v>
      </c>
      <c r="CY171" s="149">
        <f t="shared" si="222"/>
        <v>1</v>
      </c>
      <c r="CZ171" s="149">
        <f t="shared" si="223"/>
        <v>1</v>
      </c>
      <c r="DA171" s="149">
        <f t="shared" si="224"/>
        <v>1</v>
      </c>
      <c r="DB171" s="149">
        <f t="shared" si="225"/>
        <v>1</v>
      </c>
      <c r="DG171" s="125">
        <f t="shared" si="186"/>
        <v>1</v>
      </c>
      <c r="DH171" s="125">
        <f t="shared" si="185"/>
        <v>2</v>
      </c>
      <c r="DI171" s="125">
        <f t="shared" si="185"/>
        <v>3</v>
      </c>
      <c r="DJ171" s="125">
        <f t="shared" si="185"/>
        <v>4</v>
      </c>
      <c r="DK171" s="125">
        <f t="shared" si="185"/>
        <v>5</v>
      </c>
      <c r="DL171" s="125">
        <f t="shared" si="185"/>
        <v>6</v>
      </c>
      <c r="DM171" s="125">
        <f t="shared" si="185"/>
        <v>7</v>
      </c>
      <c r="DN171" s="125">
        <f t="shared" si="185"/>
        <v>8</v>
      </c>
      <c r="DO171" s="125">
        <f t="shared" si="185"/>
        <v>9</v>
      </c>
      <c r="DP171" s="125">
        <f t="shared" si="185"/>
        <v>10</v>
      </c>
      <c r="DS171" s="137"/>
      <c r="DT171" s="137"/>
      <c r="DU171" s="137"/>
      <c r="DV171" s="137" t="b">
        <f t="shared" si="226"/>
        <v>0</v>
      </c>
      <c r="DW171" s="137" t="b">
        <f t="shared" si="227"/>
        <v>0</v>
      </c>
      <c r="DX171" s="137" t="b">
        <f t="shared" si="228"/>
        <v>1</v>
      </c>
      <c r="EB171" s="131">
        <f t="shared" si="237"/>
        <v>1</v>
      </c>
      <c r="EC171" s="137" t="b">
        <f t="shared" si="229"/>
        <v>0</v>
      </c>
      <c r="ED171" s="137" t="b">
        <f t="shared" si="230"/>
        <v>0</v>
      </c>
      <c r="EE171" s="137" t="b">
        <f t="shared" si="231"/>
        <v>1</v>
      </c>
      <c r="EF171" s="137"/>
      <c r="EG171" s="137"/>
      <c r="EH171" s="137"/>
      <c r="EI171" s="137"/>
      <c r="EJ171" s="137">
        <f t="shared" si="238"/>
        <v>1</v>
      </c>
      <c r="EK171" s="125">
        <f t="shared" si="232"/>
        <v>0</v>
      </c>
      <c r="EL171" s="125">
        <f t="shared" si="233"/>
        <v>0</v>
      </c>
    </row>
    <row r="172" spans="2:142" ht="15.75" x14ac:dyDescent="0.25">
      <c r="B172" s="160">
        <f t="shared" si="234"/>
        <v>142</v>
      </c>
      <c r="C172" s="283">
        <v>1001348970</v>
      </c>
      <c r="D172" s="283">
        <v>1001274728</v>
      </c>
      <c r="E172" s="281">
        <v>41512788</v>
      </c>
      <c r="F172" s="118">
        <f>IF(OR(J172="",H172=""),"",VLOOKUP(J172,'הזנה לסיווג רשויות'!$B$2:$D$301,2,0))</f>
        <v>20000201</v>
      </c>
      <c r="G172" s="118" t="str">
        <f>IF(OR(J172="",H172=""),"",VLOOKUP(J172,'הזנה לסיווג רשויות'!$B$2:$D$301,3,0))</f>
        <v>תל אביב -יפו</v>
      </c>
      <c r="H172" s="281" t="s">
        <v>641</v>
      </c>
      <c r="I172" s="201" t="s">
        <v>373</v>
      </c>
      <c r="J172" s="205">
        <v>5000</v>
      </c>
      <c r="K172" s="161">
        <v>0</v>
      </c>
      <c r="L172" s="161">
        <v>1</v>
      </c>
      <c r="M172" s="161">
        <v>0</v>
      </c>
      <c r="N172" s="161">
        <v>0</v>
      </c>
      <c r="O172" s="161">
        <v>1</v>
      </c>
      <c r="P172" s="161">
        <v>1</v>
      </c>
      <c r="Q172" s="161">
        <v>1</v>
      </c>
      <c r="R172" s="201">
        <v>478752</v>
      </c>
      <c r="S172" s="201">
        <v>404779</v>
      </c>
      <c r="T172" s="160">
        <f>IF(G172="","",IFERROR(IF(S172/R172&gt;'פרמטרים לקריטריונים'!$C$20,1,0),0))</f>
        <v>1</v>
      </c>
      <c r="U172" s="201">
        <v>199279</v>
      </c>
      <c r="V172" s="160">
        <f>IF(G172="","",IFERROR(IF(U172/R172&gt;'פרמטרים לקריטריונים'!$C$21,1,IF(AND(I172=$BW$5,U172/R172&gt;'פרמטרים לקריטריונים'!$C$22),1,0)),0))</f>
        <v>1</v>
      </c>
      <c r="W172" s="161">
        <v>1</v>
      </c>
      <c r="X172" s="161">
        <v>1</v>
      </c>
      <c r="Y172" s="201">
        <v>153427</v>
      </c>
      <c r="Z172" s="201">
        <v>30000</v>
      </c>
      <c r="AA172" s="161">
        <f t="shared" si="235"/>
        <v>1</v>
      </c>
      <c r="AB172" s="161"/>
      <c r="AC172" s="161"/>
      <c r="AD172" s="161"/>
      <c r="AE172" s="161"/>
      <c r="AF172" s="161"/>
      <c r="AG172" s="161"/>
      <c r="AH172" s="161"/>
      <c r="AI172" s="161"/>
      <c r="AJ172" s="161"/>
      <c r="AK172" s="161"/>
      <c r="AL172" s="161"/>
      <c r="AM172" s="161"/>
      <c r="AN172" s="161"/>
      <c r="AO172" s="161"/>
      <c r="AP172" s="161"/>
      <c r="AQ172" s="161"/>
      <c r="AR172" s="161"/>
      <c r="AS172" s="161"/>
      <c r="AT172" s="161"/>
      <c r="AU172" s="161"/>
      <c r="AV172" s="161"/>
      <c r="AW172" s="160"/>
      <c r="AX172" s="161"/>
      <c r="AY172" s="161"/>
      <c r="AZ172" s="161"/>
      <c r="BA172" s="161"/>
      <c r="BB172" s="161"/>
      <c r="BC172" s="161"/>
      <c r="BD172" s="161"/>
      <c r="BE172" s="161"/>
      <c r="BF172" s="160" t="str">
        <f t="shared" si="236"/>
        <v/>
      </c>
      <c r="BG172" s="160"/>
      <c r="BH172" s="160"/>
      <c r="BI172" s="160"/>
      <c r="BJ172" s="160"/>
      <c r="BK172" s="160"/>
      <c r="BL172" s="162">
        <f t="shared" si="187"/>
        <v>1</v>
      </c>
      <c r="BM172" s="257"/>
      <c r="BN172" s="163"/>
      <c r="BO172" s="211" t="str">
        <f t="shared" si="188"/>
        <v>פלטפורמא - תיאטרון אקטיביסטיתיאטרון</v>
      </c>
      <c r="BP172" s="125">
        <f t="shared" si="189"/>
        <v>1</v>
      </c>
      <c r="BQ172" s="164">
        <v>0</v>
      </c>
      <c r="BR172" s="164">
        <v>1</v>
      </c>
      <c r="BS172" s="149">
        <f t="shared" si="190"/>
        <v>1</v>
      </c>
      <c r="BT172" s="149">
        <f t="shared" si="191"/>
        <v>1</v>
      </c>
      <c r="BU172" s="149">
        <f t="shared" si="192"/>
        <v>1</v>
      </c>
      <c r="BV172" s="149">
        <f t="shared" si="193"/>
        <v>1</v>
      </c>
      <c r="BW172" s="149">
        <f t="shared" si="194"/>
        <v>1</v>
      </c>
      <c r="BX172" s="149">
        <f t="shared" si="195"/>
        <v>1</v>
      </c>
      <c r="BY172" s="149">
        <f t="shared" si="196"/>
        <v>1</v>
      </c>
      <c r="BZ172" s="149">
        <f t="shared" si="197"/>
        <v>1</v>
      </c>
      <c r="CA172" s="149">
        <f t="shared" si="198"/>
        <v>1</v>
      </c>
      <c r="CB172" s="149">
        <f t="shared" si="199"/>
        <v>1</v>
      </c>
      <c r="CC172" s="149">
        <f t="shared" si="200"/>
        <v>1</v>
      </c>
      <c r="CD172" s="149">
        <f t="shared" si="201"/>
        <v>1</v>
      </c>
      <c r="CE172" s="149">
        <f t="shared" si="202"/>
        <v>1</v>
      </c>
      <c r="CF172" s="149">
        <f t="shared" si="203"/>
        <v>1</v>
      </c>
      <c r="CG172" s="149">
        <f t="shared" si="204"/>
        <v>1</v>
      </c>
      <c r="CH172" s="149">
        <f t="shared" si="205"/>
        <v>1</v>
      </c>
      <c r="CI172" s="149">
        <f t="shared" si="206"/>
        <v>1</v>
      </c>
      <c r="CJ172" s="149">
        <f t="shared" si="207"/>
        <v>1</v>
      </c>
      <c r="CK172" s="149">
        <f t="shared" si="208"/>
        <v>1</v>
      </c>
      <c r="CL172" s="149">
        <f t="shared" si="209"/>
        <v>1</v>
      </c>
      <c r="CM172" s="149">
        <f t="shared" si="210"/>
        <v>1</v>
      </c>
      <c r="CN172" s="149">
        <f t="shared" si="211"/>
        <v>1</v>
      </c>
      <c r="CO172" s="149">
        <f t="shared" si="212"/>
        <v>1</v>
      </c>
      <c r="CP172" s="149">
        <f t="shared" si="213"/>
        <v>1</v>
      </c>
      <c r="CQ172" s="149">
        <f t="shared" si="214"/>
        <v>1</v>
      </c>
      <c r="CR172" s="149">
        <f t="shared" si="215"/>
        <v>1</v>
      </c>
      <c r="CS172" s="149">
        <f t="shared" si="216"/>
        <v>1</v>
      </c>
      <c r="CT172" s="149">
        <f t="shared" si="217"/>
        <v>1</v>
      </c>
      <c r="CU172" s="149">
        <f t="shared" si="218"/>
        <v>1</v>
      </c>
      <c r="CV172" s="149">
        <f t="shared" si="219"/>
        <v>1</v>
      </c>
      <c r="CW172" s="149">
        <f t="shared" si="220"/>
        <v>1</v>
      </c>
      <c r="CX172" s="149">
        <f t="shared" si="221"/>
        <v>1</v>
      </c>
      <c r="CY172" s="149">
        <f t="shared" si="222"/>
        <v>1</v>
      </c>
      <c r="CZ172" s="149">
        <f t="shared" si="223"/>
        <v>1</v>
      </c>
      <c r="DA172" s="149">
        <f t="shared" si="224"/>
        <v>1</v>
      </c>
      <c r="DB172" s="149">
        <f t="shared" si="225"/>
        <v>1</v>
      </c>
      <c r="DG172" s="125">
        <f t="shared" si="186"/>
        <v>1</v>
      </c>
      <c r="DH172" s="125">
        <f t="shared" si="185"/>
        <v>2</v>
      </c>
      <c r="DI172" s="125">
        <f t="shared" si="185"/>
        <v>3</v>
      </c>
      <c r="DJ172" s="125">
        <f t="shared" si="185"/>
        <v>4</v>
      </c>
      <c r="DK172" s="125">
        <f t="shared" si="185"/>
        <v>5</v>
      </c>
      <c r="DL172" s="125">
        <f t="shared" si="185"/>
        <v>6</v>
      </c>
      <c r="DM172" s="125">
        <f t="shared" si="185"/>
        <v>7</v>
      </c>
      <c r="DN172" s="125">
        <f t="shared" si="185"/>
        <v>8</v>
      </c>
      <c r="DO172" s="125">
        <f t="shared" si="185"/>
        <v>9</v>
      </c>
      <c r="DP172" s="125">
        <f t="shared" si="185"/>
        <v>10</v>
      </c>
      <c r="DS172" s="137"/>
      <c r="DT172" s="137"/>
      <c r="DU172" s="137"/>
      <c r="DV172" s="137" t="b">
        <f t="shared" si="226"/>
        <v>0</v>
      </c>
      <c r="DW172" s="137" t="b">
        <f t="shared" si="227"/>
        <v>0</v>
      </c>
      <c r="DX172" s="137" t="b">
        <f t="shared" si="228"/>
        <v>1</v>
      </c>
      <c r="EB172" s="131">
        <f t="shared" si="237"/>
        <v>1</v>
      </c>
      <c r="EC172" s="137" t="b">
        <f t="shared" si="229"/>
        <v>0</v>
      </c>
      <c r="ED172" s="137" t="b">
        <f t="shared" si="230"/>
        <v>0</v>
      </c>
      <c r="EE172" s="137" t="b">
        <f t="shared" si="231"/>
        <v>1</v>
      </c>
      <c r="EF172" s="137"/>
      <c r="EG172" s="137"/>
      <c r="EH172" s="137"/>
      <c r="EI172" s="137"/>
      <c r="EJ172" s="137">
        <f t="shared" si="238"/>
        <v>1</v>
      </c>
      <c r="EK172" s="125">
        <f t="shared" si="232"/>
        <v>0</v>
      </c>
      <c r="EL172" s="125">
        <f t="shared" si="233"/>
        <v>0</v>
      </c>
    </row>
    <row r="173" spans="2:142" ht="15.75" x14ac:dyDescent="0.25">
      <c r="B173" s="160">
        <f t="shared" si="234"/>
        <v>143</v>
      </c>
      <c r="C173" s="283">
        <v>1001350042</v>
      </c>
      <c r="D173" s="283">
        <v>1001271349</v>
      </c>
      <c r="E173" s="281">
        <v>41553249</v>
      </c>
      <c r="F173" s="118">
        <f>IF(OR(J173="",H173=""),"",VLOOKUP(J173,'הזנה לסיווג רשויות'!$B$2:$D$301,2,0))</f>
        <v>20000201</v>
      </c>
      <c r="G173" s="118" t="str">
        <f>IF(OR(J173="",H173=""),"",VLOOKUP(J173,'הזנה לסיווג רשויות'!$B$2:$D$301,3,0))</f>
        <v>תל אביב -יפו</v>
      </c>
      <c r="H173" s="201" t="s">
        <v>642</v>
      </c>
      <c r="I173" s="201" t="s">
        <v>376</v>
      </c>
      <c r="J173" s="205">
        <v>5000</v>
      </c>
      <c r="K173" s="161">
        <v>0</v>
      </c>
      <c r="L173" s="161">
        <v>1</v>
      </c>
      <c r="M173" s="161">
        <v>0</v>
      </c>
      <c r="N173" s="161">
        <v>1</v>
      </c>
      <c r="O173" s="161">
        <v>1</v>
      </c>
      <c r="P173" s="161">
        <v>1</v>
      </c>
      <c r="Q173" s="161">
        <v>1</v>
      </c>
      <c r="R173" s="201">
        <v>1773947</v>
      </c>
      <c r="S173" s="201">
        <v>1161910</v>
      </c>
      <c r="T173" s="160">
        <f>IF(G173="","",IFERROR(IF(S173/R173&gt;'פרמטרים לקריטריונים'!$C$20,1,0),0))</f>
        <v>1</v>
      </c>
      <c r="U173" s="201">
        <v>1161910</v>
      </c>
      <c r="V173" s="160">
        <f>IF(G173="","",IFERROR(IF(U173/R173&gt;'פרמטרים לקריטריונים'!$C$21,1,IF(AND(I173=$BW$5,U173/R173&gt;'פרמטרים לקריטריונים'!$C$22),1,0)),0))</f>
        <v>1</v>
      </c>
      <c r="W173" s="161">
        <v>1</v>
      </c>
      <c r="X173" s="161">
        <v>1</v>
      </c>
      <c r="Y173" s="201">
        <v>3200000</v>
      </c>
      <c r="Z173" s="201">
        <v>200000</v>
      </c>
      <c r="AA173" s="161">
        <f t="shared" si="235"/>
        <v>1</v>
      </c>
      <c r="AB173" s="161"/>
      <c r="AC173" s="161"/>
      <c r="AD173" s="161"/>
      <c r="AE173" s="161"/>
      <c r="AF173" s="161"/>
      <c r="AG173" s="161"/>
      <c r="AH173" s="161"/>
      <c r="AI173" s="161"/>
      <c r="AJ173" s="161"/>
      <c r="AK173" s="161"/>
      <c r="AL173" s="161"/>
      <c r="AM173" s="161"/>
      <c r="AN173" s="161"/>
      <c r="AO173" s="161"/>
      <c r="AP173" s="161"/>
      <c r="AQ173" s="161"/>
      <c r="AR173" s="161"/>
      <c r="AS173" s="161"/>
      <c r="AT173" s="161"/>
      <c r="AU173" s="161"/>
      <c r="AV173" s="161"/>
      <c r="AW173" s="160"/>
      <c r="AX173" s="161"/>
      <c r="AY173" s="161"/>
      <c r="AZ173" s="161"/>
      <c r="BA173" s="161"/>
      <c r="BB173" s="161"/>
      <c r="BC173" s="161"/>
      <c r="BD173" s="161"/>
      <c r="BE173" s="161"/>
      <c r="BF173" s="160" t="str">
        <f t="shared" si="236"/>
        <v/>
      </c>
      <c r="BG173" s="160"/>
      <c r="BH173" s="160"/>
      <c r="BI173" s="160"/>
      <c r="BJ173" s="160"/>
      <c r="BK173" s="160"/>
      <c r="BL173" s="162">
        <f t="shared" si="187"/>
        <v>1</v>
      </c>
      <c r="BM173" s="257"/>
      <c r="BN173" s="163"/>
      <c r="BO173" s="211" t="str">
        <f t="shared" si="188"/>
        <v>גליאמוסיקה-גופים כליים</v>
      </c>
      <c r="BP173" s="125">
        <f t="shared" si="189"/>
        <v>1</v>
      </c>
      <c r="BQ173" s="164">
        <v>0</v>
      </c>
      <c r="BR173" s="164">
        <v>1</v>
      </c>
      <c r="BS173" s="149">
        <f t="shared" si="190"/>
        <v>1</v>
      </c>
      <c r="BT173" s="149">
        <f t="shared" si="191"/>
        <v>1</v>
      </c>
      <c r="BU173" s="149">
        <f t="shared" si="192"/>
        <v>1</v>
      </c>
      <c r="BV173" s="149">
        <f t="shared" si="193"/>
        <v>1</v>
      </c>
      <c r="BW173" s="149">
        <f t="shared" si="194"/>
        <v>1</v>
      </c>
      <c r="BX173" s="149">
        <f t="shared" si="195"/>
        <v>1</v>
      </c>
      <c r="BY173" s="149">
        <f t="shared" si="196"/>
        <v>1</v>
      </c>
      <c r="BZ173" s="149">
        <f t="shared" si="197"/>
        <v>1</v>
      </c>
      <c r="CA173" s="149">
        <f t="shared" si="198"/>
        <v>1</v>
      </c>
      <c r="CB173" s="149">
        <f t="shared" si="199"/>
        <v>1</v>
      </c>
      <c r="CC173" s="149">
        <f t="shared" si="200"/>
        <v>1</v>
      </c>
      <c r="CD173" s="149">
        <f t="shared" si="201"/>
        <v>1</v>
      </c>
      <c r="CE173" s="149">
        <f t="shared" si="202"/>
        <v>1</v>
      </c>
      <c r="CF173" s="149">
        <f t="shared" si="203"/>
        <v>1</v>
      </c>
      <c r="CG173" s="149">
        <f t="shared" si="204"/>
        <v>1</v>
      </c>
      <c r="CH173" s="149">
        <f t="shared" si="205"/>
        <v>1</v>
      </c>
      <c r="CI173" s="149">
        <f t="shared" si="206"/>
        <v>1</v>
      </c>
      <c r="CJ173" s="149">
        <f t="shared" si="207"/>
        <v>1</v>
      </c>
      <c r="CK173" s="149">
        <f t="shared" si="208"/>
        <v>1</v>
      </c>
      <c r="CL173" s="149">
        <f t="shared" si="209"/>
        <v>1</v>
      </c>
      <c r="CM173" s="149">
        <f t="shared" si="210"/>
        <v>1</v>
      </c>
      <c r="CN173" s="149">
        <f t="shared" si="211"/>
        <v>1</v>
      </c>
      <c r="CO173" s="149">
        <f t="shared" si="212"/>
        <v>1</v>
      </c>
      <c r="CP173" s="149">
        <f t="shared" si="213"/>
        <v>1</v>
      </c>
      <c r="CQ173" s="149">
        <f t="shared" si="214"/>
        <v>1</v>
      </c>
      <c r="CR173" s="149">
        <f t="shared" si="215"/>
        <v>1</v>
      </c>
      <c r="CS173" s="149">
        <f t="shared" si="216"/>
        <v>1</v>
      </c>
      <c r="CT173" s="149">
        <f t="shared" si="217"/>
        <v>1</v>
      </c>
      <c r="CU173" s="149">
        <f t="shared" si="218"/>
        <v>1</v>
      </c>
      <c r="CV173" s="149">
        <f t="shared" si="219"/>
        <v>1</v>
      </c>
      <c r="CW173" s="149">
        <f t="shared" si="220"/>
        <v>1</v>
      </c>
      <c r="CX173" s="149">
        <f t="shared" si="221"/>
        <v>1</v>
      </c>
      <c r="CY173" s="149">
        <f t="shared" si="222"/>
        <v>1</v>
      </c>
      <c r="CZ173" s="149">
        <f t="shared" si="223"/>
        <v>1</v>
      </c>
      <c r="DA173" s="149">
        <f t="shared" si="224"/>
        <v>1</v>
      </c>
      <c r="DB173" s="149">
        <f t="shared" si="225"/>
        <v>1</v>
      </c>
      <c r="DG173" s="125">
        <f t="shared" si="186"/>
        <v>1</v>
      </c>
      <c r="DH173" s="125">
        <f t="shared" si="185"/>
        <v>2</v>
      </c>
      <c r="DI173" s="125">
        <f t="shared" si="185"/>
        <v>3</v>
      </c>
      <c r="DJ173" s="125">
        <f t="shared" si="185"/>
        <v>4</v>
      </c>
      <c r="DK173" s="125">
        <f t="shared" si="185"/>
        <v>5</v>
      </c>
      <c r="DL173" s="125">
        <f t="shared" si="185"/>
        <v>6</v>
      </c>
      <c r="DM173" s="125">
        <f t="shared" si="185"/>
        <v>7</v>
      </c>
      <c r="DN173" s="125">
        <f t="shared" si="185"/>
        <v>8</v>
      </c>
      <c r="DO173" s="125">
        <f t="shared" si="185"/>
        <v>9</v>
      </c>
      <c r="DP173" s="125">
        <f t="shared" si="185"/>
        <v>10</v>
      </c>
      <c r="DS173" s="137"/>
      <c r="DT173" s="137"/>
      <c r="DU173" s="137"/>
      <c r="DV173" s="137" t="b">
        <f t="shared" si="226"/>
        <v>0</v>
      </c>
      <c r="DW173" s="137" t="b">
        <f t="shared" si="227"/>
        <v>0</v>
      </c>
      <c r="DX173" s="137" t="b">
        <f t="shared" si="228"/>
        <v>1</v>
      </c>
      <c r="EB173" s="131">
        <f t="shared" si="237"/>
        <v>1</v>
      </c>
      <c r="EC173" s="137" t="b">
        <f t="shared" si="229"/>
        <v>0</v>
      </c>
      <c r="ED173" s="137" t="b">
        <f t="shared" si="230"/>
        <v>0</v>
      </c>
      <c r="EE173" s="137" t="b">
        <f t="shared" si="231"/>
        <v>1</v>
      </c>
      <c r="EF173" s="137"/>
      <c r="EG173" s="137"/>
      <c r="EH173" s="137"/>
      <c r="EI173" s="137"/>
      <c r="EJ173" s="137">
        <f t="shared" si="238"/>
        <v>1</v>
      </c>
      <c r="EK173" s="125">
        <f t="shared" si="232"/>
        <v>0</v>
      </c>
      <c r="EL173" s="125">
        <f t="shared" si="233"/>
        <v>0</v>
      </c>
    </row>
    <row r="174" spans="2:142" ht="15.75" x14ac:dyDescent="0.25">
      <c r="B174" s="160">
        <f t="shared" si="234"/>
        <v>144</v>
      </c>
      <c r="C174" s="283">
        <v>1001348949</v>
      </c>
      <c r="D174" s="283">
        <v>1001290266</v>
      </c>
      <c r="E174" s="281">
        <v>40997665</v>
      </c>
      <c r="F174" s="118">
        <f>IF(OR(J174="",H174=""),"",VLOOKUP(J174,'הזנה לסיווג רשויות'!$B$2:$D$301,2,0))</f>
        <v>20000201</v>
      </c>
      <c r="G174" s="118" t="str">
        <f>IF(OR(J174="",H174=""),"",VLOOKUP(J174,'הזנה לסיווג רשויות'!$B$2:$D$301,3,0))</f>
        <v>תל אביב -יפו</v>
      </c>
      <c r="H174" s="201" t="s">
        <v>643</v>
      </c>
      <c r="I174" s="201" t="s">
        <v>395</v>
      </c>
      <c r="J174" s="205">
        <v>5000</v>
      </c>
      <c r="K174" s="161">
        <v>0</v>
      </c>
      <c r="L174" s="161">
        <v>1</v>
      </c>
      <c r="M174" s="161">
        <v>0</v>
      </c>
      <c r="N174" s="161">
        <v>1</v>
      </c>
      <c r="O174" s="161">
        <v>1</v>
      </c>
      <c r="P174" s="161">
        <v>1</v>
      </c>
      <c r="Q174" s="161">
        <v>1</v>
      </c>
      <c r="R174" s="201">
        <v>2020850</v>
      </c>
      <c r="S174" s="201">
        <v>1010850</v>
      </c>
      <c r="T174" s="160">
        <f>IF(G174="","",IFERROR(IF(S174/R174&gt;'פרמטרים לקריטריונים'!$C$20,1,0),0))</f>
        <v>1</v>
      </c>
      <c r="U174" s="201">
        <v>769213</v>
      </c>
      <c r="V174" s="160">
        <f>IF(G174="","",IFERROR(IF(U174/R174&gt;'פרמטרים לקריטריונים'!$C$21,1,IF(AND(I174=$BW$5,U174/R174&gt;'פרמטרים לקריטריונים'!$C$22),1,0)),0))</f>
        <v>1</v>
      </c>
      <c r="W174" s="161">
        <v>1</v>
      </c>
      <c r="X174" s="161">
        <v>1</v>
      </c>
      <c r="Y174" s="201">
        <v>1600000</v>
      </c>
      <c r="Z174" s="201">
        <v>20000</v>
      </c>
      <c r="AA174" s="161">
        <f t="shared" si="235"/>
        <v>1</v>
      </c>
      <c r="AB174" s="161"/>
      <c r="AC174" s="161"/>
      <c r="AD174" s="161"/>
      <c r="AE174" s="161"/>
      <c r="AF174" s="161"/>
      <c r="AG174" s="161"/>
      <c r="AH174" s="161"/>
      <c r="AI174" s="161"/>
      <c r="AJ174" s="161"/>
      <c r="AK174" s="161"/>
      <c r="AL174" s="161"/>
      <c r="AM174" s="161"/>
      <c r="AN174" s="161"/>
      <c r="AO174" s="161"/>
      <c r="AP174" s="161"/>
      <c r="AQ174" s="161"/>
      <c r="AR174" s="161"/>
      <c r="AS174" s="161"/>
      <c r="AT174" s="161"/>
      <c r="AU174" s="161"/>
      <c r="AV174" s="161"/>
      <c r="AW174" s="160"/>
      <c r="AX174" s="161"/>
      <c r="AY174" s="161"/>
      <c r="AZ174" s="161"/>
      <c r="BA174" s="161"/>
      <c r="BB174" s="161"/>
      <c r="BC174" s="161"/>
      <c r="BD174" s="161"/>
      <c r="BE174" s="161"/>
      <c r="BF174" s="160" t="str">
        <f t="shared" si="236"/>
        <v/>
      </c>
      <c r="BG174" s="160"/>
      <c r="BH174" s="160"/>
      <c r="BI174" s="160"/>
      <c r="BJ174" s="160"/>
      <c r="BK174" s="160"/>
      <c r="BL174" s="162">
        <f t="shared" si="187"/>
        <v>1</v>
      </c>
      <c r="BM174" s="257"/>
      <c r="BN174" s="163"/>
      <c r="BO174" s="211" t="str">
        <f t="shared" si="188"/>
        <v>אלמינא - בית ליוצריםתרבות ערבית</v>
      </c>
      <c r="BP174" s="125">
        <f t="shared" si="189"/>
        <v>1</v>
      </c>
      <c r="BQ174" s="164">
        <v>0</v>
      </c>
      <c r="BR174" s="164">
        <v>1</v>
      </c>
      <c r="BS174" s="149">
        <f t="shared" si="190"/>
        <v>1</v>
      </c>
      <c r="BT174" s="149">
        <f t="shared" si="191"/>
        <v>1</v>
      </c>
      <c r="BU174" s="149">
        <f t="shared" si="192"/>
        <v>1</v>
      </c>
      <c r="BV174" s="149">
        <f t="shared" si="193"/>
        <v>1</v>
      </c>
      <c r="BW174" s="149">
        <f t="shared" si="194"/>
        <v>1</v>
      </c>
      <c r="BX174" s="149">
        <f t="shared" si="195"/>
        <v>1</v>
      </c>
      <c r="BY174" s="149">
        <f t="shared" si="196"/>
        <v>1</v>
      </c>
      <c r="BZ174" s="149">
        <f t="shared" si="197"/>
        <v>1</v>
      </c>
      <c r="CA174" s="149">
        <f t="shared" si="198"/>
        <v>1</v>
      </c>
      <c r="CB174" s="149">
        <f t="shared" si="199"/>
        <v>1</v>
      </c>
      <c r="CC174" s="149">
        <f t="shared" si="200"/>
        <v>1</v>
      </c>
      <c r="CD174" s="149">
        <f t="shared" si="201"/>
        <v>1</v>
      </c>
      <c r="CE174" s="149">
        <f t="shared" si="202"/>
        <v>1</v>
      </c>
      <c r="CF174" s="149">
        <f t="shared" si="203"/>
        <v>1</v>
      </c>
      <c r="CG174" s="149">
        <f t="shared" si="204"/>
        <v>1</v>
      </c>
      <c r="CH174" s="149">
        <f t="shared" si="205"/>
        <v>1</v>
      </c>
      <c r="CI174" s="149">
        <f t="shared" si="206"/>
        <v>1</v>
      </c>
      <c r="CJ174" s="149">
        <f t="shared" si="207"/>
        <v>1</v>
      </c>
      <c r="CK174" s="149">
        <f t="shared" si="208"/>
        <v>1</v>
      </c>
      <c r="CL174" s="149">
        <f t="shared" si="209"/>
        <v>1</v>
      </c>
      <c r="CM174" s="149">
        <f t="shared" si="210"/>
        <v>1</v>
      </c>
      <c r="CN174" s="149">
        <f t="shared" si="211"/>
        <v>1</v>
      </c>
      <c r="CO174" s="149">
        <f t="shared" si="212"/>
        <v>1</v>
      </c>
      <c r="CP174" s="149">
        <f t="shared" si="213"/>
        <v>1</v>
      </c>
      <c r="CQ174" s="149">
        <f t="shared" si="214"/>
        <v>1</v>
      </c>
      <c r="CR174" s="149">
        <f t="shared" si="215"/>
        <v>1</v>
      </c>
      <c r="CS174" s="149">
        <f t="shared" si="216"/>
        <v>1</v>
      </c>
      <c r="CT174" s="149">
        <f t="shared" si="217"/>
        <v>1</v>
      </c>
      <c r="CU174" s="149">
        <f t="shared" si="218"/>
        <v>1</v>
      </c>
      <c r="CV174" s="149">
        <f t="shared" si="219"/>
        <v>1</v>
      </c>
      <c r="CW174" s="149">
        <f t="shared" si="220"/>
        <v>1</v>
      </c>
      <c r="CX174" s="149">
        <f t="shared" si="221"/>
        <v>1</v>
      </c>
      <c r="CY174" s="149">
        <f t="shared" si="222"/>
        <v>1</v>
      </c>
      <c r="CZ174" s="149">
        <f t="shared" si="223"/>
        <v>1</v>
      </c>
      <c r="DA174" s="149">
        <f t="shared" si="224"/>
        <v>1</v>
      </c>
      <c r="DB174" s="149">
        <f t="shared" si="225"/>
        <v>1</v>
      </c>
      <c r="DG174" s="125">
        <f t="shared" si="186"/>
        <v>1</v>
      </c>
      <c r="DH174" s="125">
        <f t="shared" si="185"/>
        <v>2</v>
      </c>
      <c r="DI174" s="125">
        <f t="shared" si="185"/>
        <v>3</v>
      </c>
      <c r="DJ174" s="125">
        <f t="shared" si="185"/>
        <v>4</v>
      </c>
      <c r="DK174" s="125">
        <f t="shared" si="185"/>
        <v>5</v>
      </c>
      <c r="DL174" s="125">
        <f t="shared" si="185"/>
        <v>6</v>
      </c>
      <c r="DM174" s="125">
        <f t="shared" si="185"/>
        <v>7</v>
      </c>
      <c r="DN174" s="125">
        <f t="shared" si="185"/>
        <v>8</v>
      </c>
      <c r="DO174" s="125">
        <f t="shared" si="185"/>
        <v>9</v>
      </c>
      <c r="DP174" s="125">
        <f t="shared" si="185"/>
        <v>10</v>
      </c>
      <c r="DS174" s="137"/>
      <c r="DT174" s="137"/>
      <c r="DU174" s="137"/>
      <c r="DV174" s="137" t="b">
        <f t="shared" si="226"/>
        <v>0</v>
      </c>
      <c r="DW174" s="137" t="b">
        <f t="shared" si="227"/>
        <v>0</v>
      </c>
      <c r="DX174" s="137" t="b">
        <f t="shared" si="228"/>
        <v>1</v>
      </c>
      <c r="EB174" s="131">
        <f t="shared" si="237"/>
        <v>1</v>
      </c>
      <c r="EC174" s="137" t="b">
        <f t="shared" si="229"/>
        <v>0</v>
      </c>
      <c r="ED174" s="137" t="b">
        <f t="shared" si="230"/>
        <v>0</v>
      </c>
      <c r="EE174" s="137" t="b">
        <f t="shared" si="231"/>
        <v>1</v>
      </c>
      <c r="EF174" s="137"/>
      <c r="EG174" s="137"/>
      <c r="EH174" s="137"/>
      <c r="EI174" s="137"/>
      <c r="EJ174" s="137">
        <f t="shared" si="238"/>
        <v>1</v>
      </c>
      <c r="EK174" s="125">
        <f t="shared" si="232"/>
        <v>0</v>
      </c>
      <c r="EL174" s="125">
        <f t="shared" si="233"/>
        <v>0</v>
      </c>
    </row>
    <row r="175" spans="2:142" ht="15.75" x14ac:dyDescent="0.25">
      <c r="B175" s="160">
        <f t="shared" si="234"/>
        <v>145</v>
      </c>
      <c r="C175" s="283">
        <v>1001350055</v>
      </c>
      <c r="D175" s="283">
        <v>1001271380</v>
      </c>
      <c r="E175" s="281">
        <v>41555435</v>
      </c>
      <c r="F175" s="118">
        <f>IF(OR(J175="",H175=""),"",VLOOKUP(J175,'הזנה לסיווג רשויות'!$B$2:$D$301,2,0))</f>
        <v>20000159</v>
      </c>
      <c r="G175" s="118" t="str">
        <f>IF(OR(J175="",H175=""),"",VLOOKUP(J175,'הזנה לסיווג רשויות'!$B$2:$D$301,3,0))</f>
        <v>ירושלים</v>
      </c>
      <c r="H175" s="281" t="s">
        <v>644</v>
      </c>
      <c r="I175" s="201" t="s">
        <v>375</v>
      </c>
      <c r="J175" s="205">
        <v>3000</v>
      </c>
      <c r="K175" s="161">
        <v>0</v>
      </c>
      <c r="L175" s="161">
        <v>1</v>
      </c>
      <c r="M175" s="161">
        <v>0</v>
      </c>
      <c r="N175" s="161">
        <v>1</v>
      </c>
      <c r="O175" s="161">
        <v>1</v>
      </c>
      <c r="P175" s="161">
        <v>1</v>
      </c>
      <c r="Q175" s="161">
        <v>1</v>
      </c>
      <c r="R175" s="201">
        <v>1146668</v>
      </c>
      <c r="S175" s="201">
        <v>357178</v>
      </c>
      <c r="T175" s="160">
        <f>IF(G175="","",IFERROR(IF(S175/R175&gt;'פרמטרים לקריטריונים'!$C$20,1,0),0))</f>
        <v>1</v>
      </c>
      <c r="U175" s="201">
        <v>262005</v>
      </c>
      <c r="V175" s="160">
        <f>IF(G175="","",IFERROR(IF(U175/R175&gt;'פרמטרים לקריטריונים'!$C$21,1,IF(AND(I175=$BW$5,U175/R175&gt;'פרמטרים לקריטריונים'!$C$22),1,0)),0))</f>
        <v>1</v>
      </c>
      <c r="W175" s="161">
        <v>1</v>
      </c>
      <c r="X175" s="161">
        <v>1</v>
      </c>
      <c r="Y175" s="201">
        <v>1200000</v>
      </c>
      <c r="Z175" s="201">
        <v>30000</v>
      </c>
      <c r="AA175" s="161">
        <f t="shared" si="235"/>
        <v>1</v>
      </c>
      <c r="AB175" s="161"/>
      <c r="AC175" s="161"/>
      <c r="AD175" s="161"/>
      <c r="AE175" s="161"/>
      <c r="AF175" s="161"/>
      <c r="AG175" s="161"/>
      <c r="AH175" s="161"/>
      <c r="AI175" s="161"/>
      <c r="AJ175" s="161"/>
      <c r="AK175" s="161"/>
      <c r="AL175" s="161"/>
      <c r="AM175" s="161"/>
      <c r="AN175" s="161"/>
      <c r="AO175" s="161"/>
      <c r="AP175" s="161"/>
      <c r="AQ175" s="161"/>
      <c r="AR175" s="161"/>
      <c r="AS175" s="161"/>
      <c r="AT175" s="161"/>
      <c r="AU175" s="161"/>
      <c r="AV175" s="161"/>
      <c r="AW175" s="160"/>
      <c r="AX175" s="161"/>
      <c r="AY175" s="161"/>
      <c r="AZ175" s="161"/>
      <c r="BA175" s="161"/>
      <c r="BB175" s="161"/>
      <c r="BC175" s="161"/>
      <c r="BD175" s="161"/>
      <c r="BE175" s="161"/>
      <c r="BF175" s="160" t="str">
        <f t="shared" si="236"/>
        <v/>
      </c>
      <c r="BG175" s="160"/>
      <c r="BH175" s="160"/>
      <c r="BI175" s="160"/>
      <c r="BJ175" s="160"/>
      <c r="BK175" s="160"/>
      <c r="BL175" s="162">
        <f t="shared" si="187"/>
        <v>1</v>
      </c>
      <c r="BM175" s="257"/>
      <c r="BN175" s="163"/>
      <c r="BO175" s="211" t="str">
        <f t="shared" si="188"/>
        <v>מוזיאון יהדות איטליהמוזיאונים</v>
      </c>
      <c r="BP175" s="125">
        <f t="shared" si="189"/>
        <v>1</v>
      </c>
      <c r="BQ175" s="164">
        <v>0</v>
      </c>
      <c r="BR175" s="164">
        <v>1</v>
      </c>
      <c r="BS175" s="149">
        <f t="shared" si="190"/>
        <v>1</v>
      </c>
      <c r="BT175" s="149">
        <f t="shared" si="191"/>
        <v>1</v>
      </c>
      <c r="BU175" s="149">
        <f t="shared" si="192"/>
        <v>1</v>
      </c>
      <c r="BV175" s="149">
        <f t="shared" si="193"/>
        <v>1</v>
      </c>
      <c r="BW175" s="149">
        <f t="shared" si="194"/>
        <v>1</v>
      </c>
      <c r="BX175" s="149">
        <f t="shared" si="195"/>
        <v>1</v>
      </c>
      <c r="BY175" s="149">
        <f t="shared" si="196"/>
        <v>1</v>
      </c>
      <c r="BZ175" s="149">
        <f t="shared" si="197"/>
        <v>1</v>
      </c>
      <c r="CA175" s="149">
        <f t="shared" si="198"/>
        <v>1</v>
      </c>
      <c r="CB175" s="149">
        <f t="shared" si="199"/>
        <v>1</v>
      </c>
      <c r="CC175" s="149">
        <f t="shared" si="200"/>
        <v>1</v>
      </c>
      <c r="CD175" s="149">
        <f t="shared" si="201"/>
        <v>1</v>
      </c>
      <c r="CE175" s="149">
        <f t="shared" si="202"/>
        <v>1</v>
      </c>
      <c r="CF175" s="149">
        <f t="shared" si="203"/>
        <v>1</v>
      </c>
      <c r="CG175" s="149">
        <f t="shared" si="204"/>
        <v>1</v>
      </c>
      <c r="CH175" s="149">
        <f t="shared" si="205"/>
        <v>1</v>
      </c>
      <c r="CI175" s="149">
        <f t="shared" si="206"/>
        <v>1</v>
      </c>
      <c r="CJ175" s="149">
        <f t="shared" si="207"/>
        <v>1</v>
      </c>
      <c r="CK175" s="149">
        <f t="shared" si="208"/>
        <v>1</v>
      </c>
      <c r="CL175" s="149">
        <f t="shared" si="209"/>
        <v>1</v>
      </c>
      <c r="CM175" s="149">
        <f t="shared" si="210"/>
        <v>1</v>
      </c>
      <c r="CN175" s="149">
        <f t="shared" si="211"/>
        <v>1</v>
      </c>
      <c r="CO175" s="149">
        <f t="shared" si="212"/>
        <v>1</v>
      </c>
      <c r="CP175" s="149">
        <f t="shared" si="213"/>
        <v>1</v>
      </c>
      <c r="CQ175" s="149">
        <f t="shared" si="214"/>
        <v>1</v>
      </c>
      <c r="CR175" s="149">
        <f t="shared" si="215"/>
        <v>1</v>
      </c>
      <c r="CS175" s="149">
        <f t="shared" si="216"/>
        <v>1</v>
      </c>
      <c r="CT175" s="149">
        <f t="shared" si="217"/>
        <v>1</v>
      </c>
      <c r="CU175" s="149">
        <f t="shared" si="218"/>
        <v>1</v>
      </c>
      <c r="CV175" s="149">
        <f t="shared" si="219"/>
        <v>1</v>
      </c>
      <c r="CW175" s="149">
        <f t="shared" si="220"/>
        <v>1</v>
      </c>
      <c r="CX175" s="149">
        <f t="shared" si="221"/>
        <v>1</v>
      </c>
      <c r="CY175" s="149">
        <f t="shared" si="222"/>
        <v>1</v>
      </c>
      <c r="CZ175" s="149">
        <f t="shared" si="223"/>
        <v>1</v>
      </c>
      <c r="DA175" s="149">
        <f t="shared" si="224"/>
        <v>1</v>
      </c>
      <c r="DB175" s="149">
        <f t="shared" si="225"/>
        <v>1</v>
      </c>
      <c r="DG175" s="125">
        <f t="shared" si="186"/>
        <v>1</v>
      </c>
      <c r="DH175" s="125">
        <f t="shared" si="185"/>
        <v>2</v>
      </c>
      <c r="DI175" s="125">
        <f t="shared" si="185"/>
        <v>3</v>
      </c>
      <c r="DJ175" s="125">
        <f t="shared" si="185"/>
        <v>4</v>
      </c>
      <c r="DK175" s="125">
        <f t="shared" si="185"/>
        <v>5</v>
      </c>
      <c r="DL175" s="125">
        <f t="shared" si="185"/>
        <v>6</v>
      </c>
      <c r="DM175" s="125">
        <f t="shared" si="185"/>
        <v>7</v>
      </c>
      <c r="DN175" s="125">
        <f t="shared" si="185"/>
        <v>8</v>
      </c>
      <c r="DO175" s="125">
        <f t="shared" si="185"/>
        <v>9</v>
      </c>
      <c r="DP175" s="125">
        <f t="shared" si="185"/>
        <v>10</v>
      </c>
      <c r="DS175" s="137"/>
      <c r="DT175" s="137"/>
      <c r="DU175" s="137"/>
      <c r="DV175" s="137" t="b">
        <f t="shared" si="226"/>
        <v>0</v>
      </c>
      <c r="DW175" s="137" t="b">
        <f t="shared" si="227"/>
        <v>0</v>
      </c>
      <c r="DX175" s="137" t="b">
        <f t="shared" si="228"/>
        <v>1</v>
      </c>
      <c r="EB175" s="131">
        <f t="shared" si="237"/>
        <v>1</v>
      </c>
      <c r="EC175" s="137" t="b">
        <f t="shared" si="229"/>
        <v>0</v>
      </c>
      <c r="ED175" s="137" t="b">
        <f t="shared" si="230"/>
        <v>0</v>
      </c>
      <c r="EE175" s="137" t="b">
        <f t="shared" si="231"/>
        <v>1</v>
      </c>
      <c r="EF175" s="137"/>
      <c r="EG175" s="137"/>
      <c r="EH175" s="137"/>
      <c r="EI175" s="137"/>
      <c r="EJ175" s="137">
        <f t="shared" si="238"/>
        <v>1</v>
      </c>
      <c r="EK175" s="125">
        <f t="shared" si="232"/>
        <v>0</v>
      </c>
      <c r="EL175" s="125">
        <f t="shared" si="233"/>
        <v>0</v>
      </c>
    </row>
    <row r="176" spans="2:142" ht="15.75" x14ac:dyDescent="0.25">
      <c r="B176" s="160">
        <f t="shared" si="234"/>
        <v>146</v>
      </c>
      <c r="C176" s="283">
        <v>1001348980</v>
      </c>
      <c r="D176" s="283">
        <v>1001311679</v>
      </c>
      <c r="E176" s="281">
        <v>41555455</v>
      </c>
      <c r="F176" s="118">
        <f>IF(OR(J176="",H176=""),"",VLOOKUP(J176,'הזנה לסיווג רשויות'!$B$2:$D$301,2,0))</f>
        <v>20000201</v>
      </c>
      <c r="G176" s="118" t="str">
        <f>IF(OR(J176="",H176=""),"",VLOOKUP(J176,'הזנה לסיווג רשויות'!$B$2:$D$301,3,0))</f>
        <v>תל אביב -יפו</v>
      </c>
      <c r="H176" s="201" t="s">
        <v>645</v>
      </c>
      <c r="I176" s="201" t="s">
        <v>373</v>
      </c>
      <c r="J176" s="205">
        <v>5000</v>
      </c>
      <c r="K176" s="161">
        <v>0</v>
      </c>
      <c r="L176" s="161">
        <v>1</v>
      </c>
      <c r="M176" s="161">
        <v>0</v>
      </c>
      <c r="N176" s="161">
        <v>0</v>
      </c>
      <c r="O176" s="161">
        <v>1</v>
      </c>
      <c r="P176" s="161">
        <v>1</v>
      </c>
      <c r="Q176" s="161">
        <v>1</v>
      </c>
      <c r="R176" s="201">
        <v>523327</v>
      </c>
      <c r="S176" s="201">
        <v>523327</v>
      </c>
      <c r="T176" s="160">
        <f>IF(G176="","",IFERROR(IF(S176/R176&gt;'פרמטרים לקריטריונים'!$C$20,1,0),0))</f>
        <v>1</v>
      </c>
      <c r="U176" s="201">
        <v>523327</v>
      </c>
      <c r="V176" s="160">
        <f>IF(G176="","",IFERROR(IF(U176/R176&gt;'פרמטרים לקריטריונים'!$C$21,1,IF(AND(I176=$BW$5,U176/R176&gt;'פרמטרים לקריטריונים'!$C$22),1,0)),0))</f>
        <v>1</v>
      </c>
      <c r="W176" s="161">
        <v>1</v>
      </c>
      <c r="X176" s="161">
        <v>1</v>
      </c>
      <c r="Y176" s="201">
        <v>150000</v>
      </c>
      <c r="Z176" s="201">
        <v>50000</v>
      </c>
      <c r="AA176" s="161">
        <f t="shared" si="235"/>
        <v>1</v>
      </c>
      <c r="AB176" s="161"/>
      <c r="AC176" s="161"/>
      <c r="AD176" s="161"/>
      <c r="AE176" s="161"/>
      <c r="AF176" s="161"/>
      <c r="AG176" s="161"/>
      <c r="AH176" s="161"/>
      <c r="AI176" s="161"/>
      <c r="AJ176" s="161"/>
      <c r="AK176" s="161"/>
      <c r="AL176" s="161"/>
      <c r="AM176" s="161"/>
      <c r="AN176" s="161"/>
      <c r="AO176" s="161"/>
      <c r="AP176" s="161"/>
      <c r="AQ176" s="161"/>
      <c r="AR176" s="161"/>
      <c r="AS176" s="161"/>
      <c r="AT176" s="161"/>
      <c r="AU176" s="161"/>
      <c r="AV176" s="161"/>
      <c r="AW176" s="160"/>
      <c r="AX176" s="161"/>
      <c r="AY176" s="161"/>
      <c r="AZ176" s="161"/>
      <c r="BA176" s="161"/>
      <c r="BB176" s="161"/>
      <c r="BC176" s="161"/>
      <c r="BD176" s="161"/>
      <c r="BE176" s="161"/>
      <c r="BF176" s="160" t="str">
        <f t="shared" si="236"/>
        <v/>
      </c>
      <c r="BG176" s="160"/>
      <c r="BH176" s="160"/>
      <c r="BI176" s="160"/>
      <c r="BJ176" s="160"/>
      <c r="BK176" s="160"/>
      <c r="BL176" s="162">
        <f t="shared" si="187"/>
        <v>1</v>
      </c>
      <c r="BM176" s="257"/>
      <c r="BN176" s="163"/>
      <c r="BO176" s="211" t="str">
        <f t="shared" si="188"/>
        <v>תאטרון השחרתיאטרון</v>
      </c>
      <c r="BP176" s="125">
        <f t="shared" si="189"/>
        <v>1</v>
      </c>
      <c r="BQ176" s="164">
        <v>0</v>
      </c>
      <c r="BR176" s="164">
        <v>1</v>
      </c>
      <c r="BS176" s="149">
        <f t="shared" si="190"/>
        <v>1</v>
      </c>
      <c r="BT176" s="149">
        <f t="shared" si="191"/>
        <v>1</v>
      </c>
      <c r="BU176" s="149">
        <f t="shared" si="192"/>
        <v>1</v>
      </c>
      <c r="BV176" s="149">
        <f t="shared" si="193"/>
        <v>1</v>
      </c>
      <c r="BW176" s="149">
        <f t="shared" si="194"/>
        <v>1</v>
      </c>
      <c r="BX176" s="149">
        <f t="shared" si="195"/>
        <v>1</v>
      </c>
      <c r="BY176" s="149">
        <f t="shared" si="196"/>
        <v>1</v>
      </c>
      <c r="BZ176" s="149">
        <f t="shared" si="197"/>
        <v>1</v>
      </c>
      <c r="CA176" s="149">
        <f t="shared" si="198"/>
        <v>1</v>
      </c>
      <c r="CB176" s="149">
        <f t="shared" si="199"/>
        <v>1</v>
      </c>
      <c r="CC176" s="149">
        <f t="shared" si="200"/>
        <v>1</v>
      </c>
      <c r="CD176" s="149">
        <f t="shared" si="201"/>
        <v>1</v>
      </c>
      <c r="CE176" s="149">
        <f t="shared" si="202"/>
        <v>1</v>
      </c>
      <c r="CF176" s="149">
        <f t="shared" si="203"/>
        <v>1</v>
      </c>
      <c r="CG176" s="149">
        <f t="shared" si="204"/>
        <v>1</v>
      </c>
      <c r="CH176" s="149">
        <f t="shared" si="205"/>
        <v>1</v>
      </c>
      <c r="CI176" s="149">
        <f t="shared" si="206"/>
        <v>1</v>
      </c>
      <c r="CJ176" s="149">
        <f t="shared" si="207"/>
        <v>1</v>
      </c>
      <c r="CK176" s="149">
        <f t="shared" si="208"/>
        <v>1</v>
      </c>
      <c r="CL176" s="149">
        <f t="shared" si="209"/>
        <v>1</v>
      </c>
      <c r="CM176" s="149">
        <f t="shared" si="210"/>
        <v>1</v>
      </c>
      <c r="CN176" s="149">
        <f t="shared" si="211"/>
        <v>1</v>
      </c>
      <c r="CO176" s="149">
        <f t="shared" si="212"/>
        <v>1</v>
      </c>
      <c r="CP176" s="149">
        <f t="shared" si="213"/>
        <v>1</v>
      </c>
      <c r="CQ176" s="149">
        <f t="shared" si="214"/>
        <v>1</v>
      </c>
      <c r="CR176" s="149">
        <f t="shared" si="215"/>
        <v>1</v>
      </c>
      <c r="CS176" s="149">
        <f t="shared" si="216"/>
        <v>1</v>
      </c>
      <c r="CT176" s="149">
        <f t="shared" si="217"/>
        <v>1</v>
      </c>
      <c r="CU176" s="149">
        <f t="shared" si="218"/>
        <v>1</v>
      </c>
      <c r="CV176" s="149">
        <f t="shared" si="219"/>
        <v>1</v>
      </c>
      <c r="CW176" s="149">
        <f t="shared" si="220"/>
        <v>1</v>
      </c>
      <c r="CX176" s="149">
        <f t="shared" si="221"/>
        <v>1</v>
      </c>
      <c r="CY176" s="149">
        <f t="shared" si="222"/>
        <v>1</v>
      </c>
      <c r="CZ176" s="149">
        <f t="shared" si="223"/>
        <v>1</v>
      </c>
      <c r="DA176" s="149">
        <f t="shared" si="224"/>
        <v>1</v>
      </c>
      <c r="DB176" s="149">
        <f t="shared" si="225"/>
        <v>1</v>
      </c>
      <c r="DG176" s="125">
        <f t="shared" si="186"/>
        <v>1</v>
      </c>
      <c r="DH176" s="125">
        <f t="shared" si="185"/>
        <v>2</v>
      </c>
      <c r="DI176" s="125">
        <f t="shared" si="185"/>
        <v>3</v>
      </c>
      <c r="DJ176" s="125">
        <f t="shared" si="185"/>
        <v>4</v>
      </c>
      <c r="DK176" s="125">
        <f t="shared" si="185"/>
        <v>5</v>
      </c>
      <c r="DL176" s="125">
        <f t="shared" si="185"/>
        <v>6</v>
      </c>
      <c r="DM176" s="125">
        <f t="shared" si="185"/>
        <v>7</v>
      </c>
      <c r="DN176" s="125">
        <f t="shared" si="185"/>
        <v>8</v>
      </c>
      <c r="DO176" s="125">
        <f t="shared" si="185"/>
        <v>9</v>
      </c>
      <c r="DP176" s="125">
        <f t="shared" si="185"/>
        <v>10</v>
      </c>
      <c r="DS176" s="137"/>
      <c r="DT176" s="137"/>
      <c r="DU176" s="137"/>
      <c r="DV176" s="137" t="b">
        <f t="shared" si="226"/>
        <v>0</v>
      </c>
      <c r="DW176" s="137" t="b">
        <f t="shared" si="227"/>
        <v>0</v>
      </c>
      <c r="DX176" s="137" t="b">
        <f t="shared" si="228"/>
        <v>1</v>
      </c>
      <c r="EB176" s="131">
        <f t="shared" si="237"/>
        <v>1</v>
      </c>
      <c r="EC176" s="137" t="b">
        <f t="shared" si="229"/>
        <v>0</v>
      </c>
      <c r="ED176" s="137" t="b">
        <f t="shared" si="230"/>
        <v>0</v>
      </c>
      <c r="EE176" s="137" t="b">
        <f t="shared" si="231"/>
        <v>1</v>
      </c>
      <c r="EF176" s="137"/>
      <c r="EG176" s="137"/>
      <c r="EH176" s="137"/>
      <c r="EI176" s="137"/>
      <c r="EJ176" s="137">
        <f t="shared" si="238"/>
        <v>1</v>
      </c>
      <c r="EK176" s="125">
        <f t="shared" si="232"/>
        <v>0</v>
      </c>
      <c r="EL176" s="125">
        <f t="shared" si="233"/>
        <v>0</v>
      </c>
    </row>
    <row r="177" spans="2:142" ht="15.75" x14ac:dyDescent="0.25">
      <c r="B177" s="160">
        <f t="shared" si="234"/>
        <v>147</v>
      </c>
      <c r="C177" s="283">
        <v>1001348615</v>
      </c>
      <c r="D177" s="283">
        <v>1001267389</v>
      </c>
      <c r="E177" s="205">
        <v>41556008</v>
      </c>
      <c r="F177" s="118">
        <f>IF(OR(J177="",H177=""),"",VLOOKUP(J177,'הזנה לסיווג רשויות'!$B$2:$D$301,2,0))</f>
        <v>20000159</v>
      </c>
      <c r="G177" s="118" t="str">
        <f>IF(OR(J177="",H177=""),"",VLOOKUP(J177,'הזנה לסיווג רשויות'!$B$2:$D$301,3,0))</f>
        <v>ירושלים</v>
      </c>
      <c r="H177" s="201" t="s">
        <v>646</v>
      </c>
      <c r="I177" s="201" t="s">
        <v>374</v>
      </c>
      <c r="J177" s="205">
        <v>3000</v>
      </c>
      <c r="K177" s="161">
        <v>0</v>
      </c>
      <c r="L177" s="161">
        <v>1</v>
      </c>
      <c r="M177" s="161">
        <v>0</v>
      </c>
      <c r="N177" s="161">
        <v>1</v>
      </c>
      <c r="O177" s="161">
        <v>1</v>
      </c>
      <c r="P177" s="161">
        <v>1</v>
      </c>
      <c r="Q177" s="161">
        <v>1</v>
      </c>
      <c r="R177" s="201">
        <v>539257</v>
      </c>
      <c r="S177" s="201">
        <v>215876</v>
      </c>
      <c r="T177" s="160">
        <f>IF(G177="","",IFERROR(IF(S177/R177&gt;'פרמטרים לקריטריונים'!$C$20,1,0),0))</f>
        <v>1</v>
      </c>
      <c r="U177" s="201">
        <v>208314</v>
      </c>
      <c r="V177" s="160">
        <f>IF(G177="","",IFERROR(IF(U177/R177&gt;'פרמטרים לקריטריונים'!$C$21,1,IF(AND(I177=$BW$5,U177/R177&gt;'פרמטרים לקריטריונים'!$C$22),1,0)),0))</f>
        <v>1</v>
      </c>
      <c r="W177" s="161">
        <v>1</v>
      </c>
      <c r="X177" s="161">
        <v>1</v>
      </c>
      <c r="Y177" s="201">
        <v>150000</v>
      </c>
      <c r="Z177" s="201">
        <v>50000</v>
      </c>
      <c r="AA177" s="161">
        <f t="shared" si="235"/>
        <v>1</v>
      </c>
      <c r="AB177" s="161"/>
      <c r="AC177" s="161"/>
      <c r="AD177" s="161"/>
      <c r="AE177" s="161"/>
      <c r="AF177" s="161"/>
      <c r="AG177" s="161"/>
      <c r="AH177" s="161"/>
      <c r="AI177" s="161"/>
      <c r="AJ177" s="161"/>
      <c r="AK177" s="161"/>
      <c r="AL177" s="161"/>
      <c r="AM177" s="161"/>
      <c r="AN177" s="161"/>
      <c r="AO177" s="161"/>
      <c r="AP177" s="161"/>
      <c r="AQ177" s="161"/>
      <c r="AR177" s="161"/>
      <c r="AS177" s="161"/>
      <c r="AT177" s="161"/>
      <c r="AU177" s="161"/>
      <c r="AV177" s="161"/>
      <c r="AW177" s="160"/>
      <c r="AX177" s="161"/>
      <c r="AY177" s="161"/>
      <c r="AZ177" s="161"/>
      <c r="BA177" s="161"/>
      <c r="BB177" s="161"/>
      <c r="BC177" s="161"/>
      <c r="BD177" s="161"/>
      <c r="BE177" s="161"/>
      <c r="BF177" s="160" t="str">
        <f t="shared" si="236"/>
        <v/>
      </c>
      <c r="BG177" s="160"/>
      <c r="BH177" s="160"/>
      <c r="BI177" s="160"/>
      <c r="BJ177" s="160"/>
      <c r="BK177" s="160"/>
      <c r="BL177" s="162">
        <f t="shared" si="187"/>
        <v>1</v>
      </c>
      <c r="BM177" s="257"/>
      <c r="BN177" s="163"/>
      <c r="BO177" s="211" t="str">
        <f t="shared" si="188"/>
        <v>פלמנרו נטורלמחול</v>
      </c>
      <c r="BP177" s="125">
        <f t="shared" si="189"/>
        <v>1</v>
      </c>
      <c r="BQ177" s="164">
        <v>0</v>
      </c>
      <c r="BR177" s="164">
        <v>1</v>
      </c>
      <c r="BS177" s="149">
        <f t="shared" si="190"/>
        <v>1</v>
      </c>
      <c r="BT177" s="149">
        <f t="shared" si="191"/>
        <v>1</v>
      </c>
      <c r="BU177" s="149">
        <f t="shared" si="192"/>
        <v>1</v>
      </c>
      <c r="BV177" s="149">
        <f t="shared" si="193"/>
        <v>1</v>
      </c>
      <c r="BW177" s="149">
        <f t="shared" si="194"/>
        <v>1</v>
      </c>
      <c r="BX177" s="149">
        <f t="shared" si="195"/>
        <v>1</v>
      </c>
      <c r="BY177" s="149">
        <f t="shared" si="196"/>
        <v>1</v>
      </c>
      <c r="BZ177" s="149">
        <f t="shared" si="197"/>
        <v>1</v>
      </c>
      <c r="CA177" s="149">
        <f t="shared" si="198"/>
        <v>1</v>
      </c>
      <c r="CB177" s="149">
        <f t="shared" si="199"/>
        <v>1</v>
      </c>
      <c r="CC177" s="149">
        <f t="shared" si="200"/>
        <v>1</v>
      </c>
      <c r="CD177" s="149">
        <f t="shared" si="201"/>
        <v>1</v>
      </c>
      <c r="CE177" s="149">
        <f t="shared" si="202"/>
        <v>1</v>
      </c>
      <c r="CF177" s="149">
        <f t="shared" si="203"/>
        <v>1</v>
      </c>
      <c r="CG177" s="149">
        <f t="shared" si="204"/>
        <v>1</v>
      </c>
      <c r="CH177" s="149">
        <f t="shared" si="205"/>
        <v>1</v>
      </c>
      <c r="CI177" s="149">
        <f t="shared" si="206"/>
        <v>1</v>
      </c>
      <c r="CJ177" s="149">
        <f t="shared" si="207"/>
        <v>1</v>
      </c>
      <c r="CK177" s="149">
        <f t="shared" si="208"/>
        <v>1</v>
      </c>
      <c r="CL177" s="149">
        <f t="shared" si="209"/>
        <v>1</v>
      </c>
      <c r="CM177" s="149">
        <f t="shared" si="210"/>
        <v>1</v>
      </c>
      <c r="CN177" s="149">
        <f t="shared" si="211"/>
        <v>1</v>
      </c>
      <c r="CO177" s="149">
        <f t="shared" si="212"/>
        <v>1</v>
      </c>
      <c r="CP177" s="149">
        <f t="shared" si="213"/>
        <v>1</v>
      </c>
      <c r="CQ177" s="149">
        <f t="shared" si="214"/>
        <v>1</v>
      </c>
      <c r="CR177" s="149">
        <f t="shared" si="215"/>
        <v>1</v>
      </c>
      <c r="CS177" s="149">
        <f t="shared" si="216"/>
        <v>1</v>
      </c>
      <c r="CT177" s="149">
        <f t="shared" si="217"/>
        <v>1</v>
      </c>
      <c r="CU177" s="149">
        <f t="shared" si="218"/>
        <v>1</v>
      </c>
      <c r="CV177" s="149">
        <f t="shared" si="219"/>
        <v>1</v>
      </c>
      <c r="CW177" s="149">
        <f t="shared" si="220"/>
        <v>1</v>
      </c>
      <c r="CX177" s="149">
        <f t="shared" si="221"/>
        <v>1</v>
      </c>
      <c r="CY177" s="149">
        <f t="shared" si="222"/>
        <v>1</v>
      </c>
      <c r="CZ177" s="149">
        <f t="shared" si="223"/>
        <v>1</v>
      </c>
      <c r="DA177" s="149">
        <f t="shared" si="224"/>
        <v>1</v>
      </c>
      <c r="DB177" s="149">
        <f t="shared" si="225"/>
        <v>1</v>
      </c>
      <c r="DG177" s="125">
        <f t="shared" si="186"/>
        <v>1</v>
      </c>
      <c r="DH177" s="125">
        <f t="shared" si="185"/>
        <v>2</v>
      </c>
      <c r="DI177" s="125">
        <f t="shared" si="185"/>
        <v>3</v>
      </c>
      <c r="DJ177" s="125">
        <f t="shared" si="185"/>
        <v>4</v>
      </c>
      <c r="DK177" s="125">
        <f t="shared" si="185"/>
        <v>5</v>
      </c>
      <c r="DL177" s="125">
        <f t="shared" si="185"/>
        <v>6</v>
      </c>
      <c r="DM177" s="125">
        <f t="shared" si="185"/>
        <v>7</v>
      </c>
      <c r="DN177" s="125">
        <f t="shared" si="185"/>
        <v>8</v>
      </c>
      <c r="DO177" s="125">
        <f t="shared" si="185"/>
        <v>9</v>
      </c>
      <c r="DP177" s="125">
        <f t="shared" si="185"/>
        <v>10</v>
      </c>
      <c r="DS177" s="137"/>
      <c r="DT177" s="137"/>
      <c r="DU177" s="137"/>
      <c r="DV177" s="137" t="b">
        <f t="shared" si="226"/>
        <v>0</v>
      </c>
      <c r="DW177" s="137" t="b">
        <f t="shared" si="227"/>
        <v>0</v>
      </c>
      <c r="DX177" s="137" t="b">
        <f t="shared" si="228"/>
        <v>1</v>
      </c>
      <c r="EB177" s="131">
        <f t="shared" si="237"/>
        <v>1</v>
      </c>
      <c r="EC177" s="137" t="b">
        <f t="shared" si="229"/>
        <v>0</v>
      </c>
      <c r="ED177" s="137" t="b">
        <f t="shared" si="230"/>
        <v>0</v>
      </c>
      <c r="EE177" s="137" t="b">
        <f t="shared" si="231"/>
        <v>1</v>
      </c>
      <c r="EF177" s="137"/>
      <c r="EG177" s="137"/>
      <c r="EH177" s="137"/>
      <c r="EI177" s="137"/>
      <c r="EJ177" s="137">
        <f t="shared" si="238"/>
        <v>1</v>
      </c>
      <c r="EK177" s="125">
        <f t="shared" si="232"/>
        <v>0</v>
      </c>
      <c r="EL177" s="125">
        <f t="shared" si="233"/>
        <v>0</v>
      </c>
    </row>
    <row r="178" spans="2:142" ht="15.75" x14ac:dyDescent="0.25">
      <c r="B178" s="160">
        <f t="shared" si="234"/>
        <v>148</v>
      </c>
      <c r="C178" s="283">
        <v>1001348065</v>
      </c>
      <c r="D178" s="283">
        <v>1001268860</v>
      </c>
      <c r="E178" s="205">
        <v>41558839</v>
      </c>
      <c r="F178" s="118">
        <f>IF(OR(J178="",H178=""),"",VLOOKUP(J178,'הזנה לסיווג רשויות'!$B$2:$D$301,2,0))</f>
        <v>20000041</v>
      </c>
      <c r="G178" s="118" t="str">
        <f>IF(OR(J178="",H178=""),"",VLOOKUP(J178,'הזנה לסיווג רשויות'!$B$2:$D$301,3,0))</f>
        <v>דייר אל-אסד</v>
      </c>
      <c r="H178" s="281" t="s">
        <v>647</v>
      </c>
      <c r="I178" s="201" t="s">
        <v>564</v>
      </c>
      <c r="J178" s="205">
        <v>490</v>
      </c>
      <c r="K178" s="161">
        <v>0</v>
      </c>
      <c r="L178" s="161">
        <v>1</v>
      </c>
      <c r="M178" s="161">
        <v>0</v>
      </c>
      <c r="N178" s="161">
        <v>0</v>
      </c>
      <c r="O178" s="161">
        <v>1</v>
      </c>
      <c r="P178" s="161">
        <v>1</v>
      </c>
      <c r="Q178" s="161">
        <v>1</v>
      </c>
      <c r="R178" s="201">
        <v>145145</v>
      </c>
      <c r="S178" s="201">
        <v>106420</v>
      </c>
      <c r="T178" s="160">
        <f>IF(G178="","",IFERROR(IF(S178/R178&gt;'פרמטרים לקריטריונים'!$C$20,1,0),0))</f>
        <v>1</v>
      </c>
      <c r="U178" s="201">
        <v>106420</v>
      </c>
      <c r="V178" s="160">
        <f>IF(G178="","",IFERROR(IF(U178/R178&gt;'פרמטרים לקריטריונים'!$C$21,1,IF(AND(I178=$BW$5,U178/R178&gt;'פרמטרים לקריטריונים'!$C$22),1,0)),0))</f>
        <v>1</v>
      </c>
      <c r="W178" s="161">
        <v>1</v>
      </c>
      <c r="X178" s="161">
        <v>1</v>
      </c>
      <c r="Y178" s="201">
        <v>90000</v>
      </c>
      <c r="Z178" s="201">
        <v>90000</v>
      </c>
      <c r="AA178" s="161">
        <f t="shared" si="235"/>
        <v>1</v>
      </c>
      <c r="AB178" s="161"/>
      <c r="AC178" s="161"/>
      <c r="AD178" s="161"/>
      <c r="AE178" s="161"/>
      <c r="AF178" s="161"/>
      <c r="AG178" s="161"/>
      <c r="AH178" s="161"/>
      <c r="AI178" s="161"/>
      <c r="AJ178" s="161"/>
      <c r="AK178" s="161"/>
      <c r="AL178" s="161"/>
      <c r="AM178" s="161"/>
      <c r="AN178" s="161"/>
      <c r="AO178" s="161"/>
      <c r="AP178" s="161"/>
      <c r="AQ178" s="161"/>
      <c r="AR178" s="161"/>
      <c r="AS178" s="161"/>
      <c r="AT178" s="161"/>
      <c r="AU178" s="161"/>
      <c r="AV178" s="161"/>
      <c r="AW178" s="160"/>
      <c r="AX178" s="161"/>
      <c r="AY178" s="161"/>
      <c r="AZ178" s="161"/>
      <c r="BA178" s="161"/>
      <c r="BB178" s="161"/>
      <c r="BC178" s="161"/>
      <c r="BD178" s="161"/>
      <c r="BE178" s="161"/>
      <c r="BF178" s="160" t="str">
        <f t="shared" si="236"/>
        <v/>
      </c>
      <c r="BG178" s="160"/>
      <c r="BH178" s="160"/>
      <c r="BI178" s="160"/>
      <c r="BJ178" s="160"/>
      <c r="BK178" s="160"/>
      <c r="BL178" s="162">
        <f t="shared" si="187"/>
        <v>1</v>
      </c>
      <c r="BM178" s="257"/>
      <c r="BN178" s="163"/>
      <c r="BO178" s="211" t="str">
        <f t="shared" si="188"/>
        <v>אג'יאל דיר אל אסדאחר</v>
      </c>
      <c r="BP178" s="125">
        <f t="shared" si="189"/>
        <v>1</v>
      </c>
      <c r="BQ178" s="164">
        <v>0</v>
      </c>
      <c r="BR178" s="164">
        <v>1</v>
      </c>
      <c r="BS178" s="149">
        <f t="shared" si="190"/>
        <v>1</v>
      </c>
      <c r="BT178" s="149">
        <f t="shared" si="191"/>
        <v>1</v>
      </c>
      <c r="BU178" s="149">
        <f t="shared" si="192"/>
        <v>1</v>
      </c>
      <c r="BV178" s="149">
        <f t="shared" si="193"/>
        <v>1</v>
      </c>
      <c r="BW178" s="149">
        <f t="shared" si="194"/>
        <v>1</v>
      </c>
      <c r="BX178" s="149">
        <f t="shared" si="195"/>
        <v>1</v>
      </c>
      <c r="BY178" s="149">
        <f t="shared" si="196"/>
        <v>1</v>
      </c>
      <c r="BZ178" s="149">
        <f t="shared" si="197"/>
        <v>1</v>
      </c>
      <c r="CA178" s="149">
        <f t="shared" si="198"/>
        <v>1</v>
      </c>
      <c r="CB178" s="149">
        <f t="shared" si="199"/>
        <v>1</v>
      </c>
      <c r="CC178" s="149">
        <f t="shared" si="200"/>
        <v>1</v>
      </c>
      <c r="CD178" s="149">
        <f t="shared" si="201"/>
        <v>1</v>
      </c>
      <c r="CE178" s="149">
        <f t="shared" si="202"/>
        <v>1</v>
      </c>
      <c r="CF178" s="149">
        <f t="shared" si="203"/>
        <v>1</v>
      </c>
      <c r="CG178" s="149">
        <f t="shared" si="204"/>
        <v>1</v>
      </c>
      <c r="CH178" s="149">
        <f t="shared" si="205"/>
        <v>1</v>
      </c>
      <c r="CI178" s="149">
        <f t="shared" si="206"/>
        <v>1</v>
      </c>
      <c r="CJ178" s="149">
        <f t="shared" si="207"/>
        <v>1</v>
      </c>
      <c r="CK178" s="149">
        <f t="shared" si="208"/>
        <v>1</v>
      </c>
      <c r="CL178" s="149">
        <f t="shared" si="209"/>
        <v>1</v>
      </c>
      <c r="CM178" s="149">
        <f t="shared" si="210"/>
        <v>1</v>
      </c>
      <c r="CN178" s="149">
        <f t="shared" si="211"/>
        <v>1</v>
      </c>
      <c r="CO178" s="149">
        <f t="shared" si="212"/>
        <v>1</v>
      </c>
      <c r="CP178" s="149">
        <f t="shared" si="213"/>
        <v>1</v>
      </c>
      <c r="CQ178" s="149">
        <f t="shared" si="214"/>
        <v>1</v>
      </c>
      <c r="CR178" s="149">
        <f t="shared" si="215"/>
        <v>1</v>
      </c>
      <c r="CS178" s="149">
        <f t="shared" si="216"/>
        <v>1</v>
      </c>
      <c r="CT178" s="149">
        <f t="shared" si="217"/>
        <v>1</v>
      </c>
      <c r="CU178" s="149">
        <f t="shared" si="218"/>
        <v>1</v>
      </c>
      <c r="CV178" s="149">
        <f t="shared" si="219"/>
        <v>1</v>
      </c>
      <c r="CW178" s="149">
        <f t="shared" si="220"/>
        <v>1</v>
      </c>
      <c r="CX178" s="149">
        <f t="shared" si="221"/>
        <v>1</v>
      </c>
      <c r="CY178" s="149">
        <f t="shared" si="222"/>
        <v>1</v>
      </c>
      <c r="CZ178" s="149">
        <f t="shared" si="223"/>
        <v>1</v>
      </c>
      <c r="DA178" s="149">
        <f t="shared" si="224"/>
        <v>1</v>
      </c>
      <c r="DB178" s="149">
        <f t="shared" si="225"/>
        <v>1</v>
      </c>
      <c r="DG178" s="125">
        <f t="shared" si="186"/>
        <v>1</v>
      </c>
      <c r="DH178" s="125">
        <f t="shared" si="185"/>
        <v>2</v>
      </c>
      <c r="DI178" s="125">
        <f t="shared" si="185"/>
        <v>3</v>
      </c>
      <c r="DJ178" s="125">
        <f t="shared" si="185"/>
        <v>4</v>
      </c>
      <c r="DK178" s="125">
        <f t="shared" si="185"/>
        <v>5</v>
      </c>
      <c r="DL178" s="125">
        <f t="shared" si="185"/>
        <v>6</v>
      </c>
      <c r="DM178" s="125">
        <f t="shared" si="185"/>
        <v>7</v>
      </c>
      <c r="DN178" s="125">
        <f t="shared" si="185"/>
        <v>8</v>
      </c>
      <c r="DO178" s="125">
        <f t="shared" si="185"/>
        <v>9</v>
      </c>
      <c r="DP178" s="125">
        <f t="shared" si="185"/>
        <v>10</v>
      </c>
      <c r="DS178" s="137"/>
      <c r="DT178" s="137"/>
      <c r="DU178" s="137"/>
      <c r="DV178" s="137" t="b">
        <f t="shared" si="226"/>
        <v>0</v>
      </c>
      <c r="DW178" s="137" t="b">
        <f t="shared" si="227"/>
        <v>0</v>
      </c>
      <c r="DX178" s="137" t="b">
        <f t="shared" si="228"/>
        <v>1</v>
      </c>
      <c r="EB178" s="131">
        <f t="shared" si="237"/>
        <v>1</v>
      </c>
      <c r="EC178" s="137" t="b">
        <f t="shared" si="229"/>
        <v>0</v>
      </c>
      <c r="ED178" s="137" t="b">
        <f t="shared" si="230"/>
        <v>0</v>
      </c>
      <c r="EE178" s="137" t="b">
        <f t="shared" si="231"/>
        <v>1</v>
      </c>
      <c r="EF178" s="137"/>
      <c r="EG178" s="137"/>
      <c r="EH178" s="137"/>
      <c r="EI178" s="137"/>
      <c r="EJ178" s="137">
        <f t="shared" si="238"/>
        <v>1</v>
      </c>
      <c r="EK178" s="125">
        <f t="shared" si="232"/>
        <v>0</v>
      </c>
      <c r="EL178" s="125">
        <f t="shared" si="233"/>
        <v>0</v>
      </c>
    </row>
    <row r="179" spans="2:142" ht="15.75" x14ac:dyDescent="0.25">
      <c r="B179" s="160">
        <f t="shared" si="234"/>
        <v>149</v>
      </c>
      <c r="C179" s="283">
        <v>1001348191</v>
      </c>
      <c r="D179" s="283">
        <v>1001268861</v>
      </c>
      <c r="E179" s="205">
        <v>41558839</v>
      </c>
      <c r="F179" s="118">
        <f>IF(OR(J179="",H179=""),"",VLOOKUP(J179,'הזנה לסיווג רשויות'!$B$2:$D$301,2,0))</f>
        <v>20000041</v>
      </c>
      <c r="G179" s="118" t="str">
        <f>IF(OR(J179="",H179=""),"",VLOOKUP(J179,'הזנה לסיווג רשויות'!$B$2:$D$301,3,0))</f>
        <v>דייר אל-אסד</v>
      </c>
      <c r="H179" s="281" t="s">
        <v>647</v>
      </c>
      <c r="I179" s="201" t="s">
        <v>380</v>
      </c>
      <c r="J179" s="205">
        <v>490</v>
      </c>
      <c r="K179" s="161">
        <v>0</v>
      </c>
      <c r="L179" s="161">
        <v>1</v>
      </c>
      <c r="M179" s="161">
        <v>0</v>
      </c>
      <c r="N179" s="161">
        <v>0</v>
      </c>
      <c r="O179" s="161">
        <v>1</v>
      </c>
      <c r="P179" s="161">
        <v>1</v>
      </c>
      <c r="Q179" s="161">
        <v>1</v>
      </c>
      <c r="R179" s="201">
        <v>133971</v>
      </c>
      <c r="S179" s="201">
        <v>95246</v>
      </c>
      <c r="T179" s="160">
        <f>IF(G179="","",IFERROR(IF(S179/R179&gt;'פרמטרים לקריטריונים'!$C$20,1,0),0))</f>
        <v>1</v>
      </c>
      <c r="U179" s="201">
        <v>95246</v>
      </c>
      <c r="V179" s="160">
        <f>IF(G179="","",IFERROR(IF(U179/R179&gt;'פרמטרים לקריטריונים'!$C$21,1,IF(AND(I179=$BW$5,U179/R179&gt;'פרמטרים לקריטריונים'!$C$22),1,0)),0))</f>
        <v>1</v>
      </c>
      <c r="W179" s="161">
        <v>1</v>
      </c>
      <c r="X179" s="161">
        <v>1</v>
      </c>
      <c r="Y179" s="201">
        <v>80000</v>
      </c>
      <c r="Z179" s="201">
        <v>80000</v>
      </c>
      <c r="AA179" s="161">
        <f t="shared" si="235"/>
        <v>1</v>
      </c>
      <c r="AB179" s="161"/>
      <c r="AC179" s="161"/>
      <c r="AD179" s="161"/>
      <c r="AE179" s="161"/>
      <c r="AF179" s="161"/>
      <c r="AG179" s="161"/>
      <c r="AH179" s="161"/>
      <c r="AI179" s="161"/>
      <c r="AJ179" s="161"/>
      <c r="AK179" s="161"/>
      <c r="AL179" s="161"/>
      <c r="AM179" s="161"/>
      <c r="AN179" s="161"/>
      <c r="AO179" s="161"/>
      <c r="AP179" s="161"/>
      <c r="AQ179" s="161"/>
      <c r="AR179" s="161"/>
      <c r="AS179" s="161"/>
      <c r="AT179" s="161"/>
      <c r="AU179" s="161"/>
      <c r="AV179" s="161"/>
      <c r="AW179" s="160"/>
      <c r="AX179" s="161"/>
      <c r="AY179" s="161"/>
      <c r="AZ179" s="161"/>
      <c r="BA179" s="161"/>
      <c r="BB179" s="161"/>
      <c r="BC179" s="161"/>
      <c r="BD179" s="161"/>
      <c r="BE179" s="161"/>
      <c r="BF179" s="160" t="str">
        <f t="shared" si="236"/>
        <v/>
      </c>
      <c r="BG179" s="160"/>
      <c r="BH179" s="160"/>
      <c r="BI179" s="160"/>
      <c r="BJ179" s="160"/>
      <c r="BK179" s="160"/>
      <c r="BL179" s="162">
        <f t="shared" si="187"/>
        <v>1</v>
      </c>
      <c r="BM179" s="257"/>
      <c r="BN179" s="163"/>
      <c r="BO179" s="211" t="str">
        <f t="shared" si="188"/>
        <v>אג'יאל דיר אל אסדקבוצות מוסיקה</v>
      </c>
      <c r="BP179" s="125">
        <f t="shared" si="189"/>
        <v>1</v>
      </c>
      <c r="BQ179" s="164">
        <v>0</v>
      </c>
      <c r="BR179" s="164">
        <v>1</v>
      </c>
      <c r="BS179" s="149">
        <f t="shared" si="190"/>
        <v>1</v>
      </c>
      <c r="BT179" s="149">
        <f t="shared" si="191"/>
        <v>1</v>
      </c>
      <c r="BU179" s="149">
        <f t="shared" si="192"/>
        <v>1</v>
      </c>
      <c r="BV179" s="149">
        <f t="shared" si="193"/>
        <v>1</v>
      </c>
      <c r="BW179" s="149">
        <f t="shared" si="194"/>
        <v>1</v>
      </c>
      <c r="BX179" s="149">
        <f t="shared" si="195"/>
        <v>1</v>
      </c>
      <c r="BY179" s="149">
        <f t="shared" si="196"/>
        <v>1</v>
      </c>
      <c r="BZ179" s="149">
        <f t="shared" si="197"/>
        <v>1</v>
      </c>
      <c r="CA179" s="149">
        <f t="shared" si="198"/>
        <v>1</v>
      </c>
      <c r="CB179" s="149">
        <f t="shared" si="199"/>
        <v>1</v>
      </c>
      <c r="CC179" s="149">
        <f t="shared" si="200"/>
        <v>1</v>
      </c>
      <c r="CD179" s="149">
        <f t="shared" si="201"/>
        <v>1</v>
      </c>
      <c r="CE179" s="149">
        <f t="shared" si="202"/>
        <v>1</v>
      </c>
      <c r="CF179" s="149">
        <f t="shared" si="203"/>
        <v>1</v>
      </c>
      <c r="CG179" s="149">
        <f t="shared" si="204"/>
        <v>1</v>
      </c>
      <c r="CH179" s="149">
        <f t="shared" si="205"/>
        <v>1</v>
      </c>
      <c r="CI179" s="149">
        <f t="shared" si="206"/>
        <v>1</v>
      </c>
      <c r="CJ179" s="149">
        <f t="shared" si="207"/>
        <v>1</v>
      </c>
      <c r="CK179" s="149">
        <f t="shared" si="208"/>
        <v>1</v>
      </c>
      <c r="CL179" s="149">
        <f t="shared" si="209"/>
        <v>1</v>
      </c>
      <c r="CM179" s="149">
        <f t="shared" si="210"/>
        <v>1</v>
      </c>
      <c r="CN179" s="149">
        <f t="shared" si="211"/>
        <v>1</v>
      </c>
      <c r="CO179" s="149">
        <f t="shared" si="212"/>
        <v>1</v>
      </c>
      <c r="CP179" s="149">
        <f t="shared" si="213"/>
        <v>1</v>
      </c>
      <c r="CQ179" s="149">
        <f t="shared" si="214"/>
        <v>1</v>
      </c>
      <c r="CR179" s="149">
        <f t="shared" si="215"/>
        <v>1</v>
      </c>
      <c r="CS179" s="149">
        <f t="shared" si="216"/>
        <v>1</v>
      </c>
      <c r="CT179" s="149">
        <f t="shared" si="217"/>
        <v>1</v>
      </c>
      <c r="CU179" s="149">
        <f t="shared" si="218"/>
        <v>1</v>
      </c>
      <c r="CV179" s="149">
        <f t="shared" si="219"/>
        <v>1</v>
      </c>
      <c r="CW179" s="149">
        <f t="shared" si="220"/>
        <v>1</v>
      </c>
      <c r="CX179" s="149">
        <f t="shared" si="221"/>
        <v>1</v>
      </c>
      <c r="CY179" s="149">
        <f t="shared" si="222"/>
        <v>1</v>
      </c>
      <c r="CZ179" s="149">
        <f t="shared" si="223"/>
        <v>1</v>
      </c>
      <c r="DA179" s="149">
        <f t="shared" si="224"/>
        <v>1</v>
      </c>
      <c r="DB179" s="149">
        <f t="shared" si="225"/>
        <v>1</v>
      </c>
      <c r="DG179" s="125">
        <f t="shared" si="186"/>
        <v>1</v>
      </c>
      <c r="DH179" s="125">
        <f t="shared" si="185"/>
        <v>2</v>
      </c>
      <c r="DI179" s="125">
        <f t="shared" si="185"/>
        <v>3</v>
      </c>
      <c r="DJ179" s="125">
        <f t="shared" si="185"/>
        <v>4</v>
      </c>
      <c r="DK179" s="125">
        <f t="shared" si="185"/>
        <v>5</v>
      </c>
      <c r="DL179" s="125">
        <f t="shared" si="185"/>
        <v>6</v>
      </c>
      <c r="DM179" s="125">
        <f t="shared" si="185"/>
        <v>7</v>
      </c>
      <c r="DN179" s="125">
        <f t="shared" si="185"/>
        <v>8</v>
      </c>
      <c r="DO179" s="125">
        <f t="shared" ref="DH179:DP208" si="239">IF($G179="","",DO$30)</f>
        <v>9</v>
      </c>
      <c r="DP179" s="125">
        <f t="shared" si="239"/>
        <v>10</v>
      </c>
      <c r="DS179" s="137"/>
      <c r="DT179" s="137"/>
      <c r="DU179" s="137"/>
      <c r="DV179" s="137" t="b">
        <f t="shared" si="226"/>
        <v>0</v>
      </c>
      <c r="DW179" s="137" t="b">
        <f t="shared" si="227"/>
        <v>0</v>
      </c>
      <c r="DX179" s="137" t="b">
        <f t="shared" si="228"/>
        <v>1</v>
      </c>
      <c r="EB179" s="131">
        <f t="shared" si="237"/>
        <v>1</v>
      </c>
      <c r="EC179" s="137" t="b">
        <f t="shared" si="229"/>
        <v>0</v>
      </c>
      <c r="ED179" s="137" t="b">
        <f t="shared" si="230"/>
        <v>0</v>
      </c>
      <c r="EE179" s="137" t="b">
        <f t="shared" si="231"/>
        <v>1</v>
      </c>
      <c r="EF179" s="137"/>
      <c r="EG179" s="137"/>
      <c r="EH179" s="137"/>
      <c r="EI179" s="137"/>
      <c r="EJ179" s="137">
        <f t="shared" si="238"/>
        <v>1</v>
      </c>
      <c r="EK179" s="125">
        <f t="shared" si="232"/>
        <v>0</v>
      </c>
      <c r="EL179" s="125">
        <f t="shared" si="233"/>
        <v>0</v>
      </c>
    </row>
    <row r="180" spans="2:142" ht="15.75" x14ac:dyDescent="0.25">
      <c r="B180" s="160">
        <f t="shared" si="234"/>
        <v>150</v>
      </c>
      <c r="C180" s="283">
        <v>1001351065</v>
      </c>
      <c r="D180" s="283">
        <v>1001302359</v>
      </c>
      <c r="E180" s="281">
        <v>41635262</v>
      </c>
      <c r="F180" s="118">
        <f>IF(OR(J180="",H180=""),"",VLOOKUP(J180,'הזנה לסיווג רשויות'!$B$2:$D$301,2,0))</f>
        <v>20000231</v>
      </c>
      <c r="G180" s="118" t="str">
        <f>IF(OR(J180="",H180=""),"",VLOOKUP(J180,'הזנה לסיווג רשויות'!$B$2:$D$301,3,0))</f>
        <v>נצרת</v>
      </c>
      <c r="H180" s="281" t="s">
        <v>648</v>
      </c>
      <c r="I180" s="201" t="s">
        <v>564</v>
      </c>
      <c r="J180" s="205">
        <v>7300</v>
      </c>
      <c r="K180" s="161">
        <v>0</v>
      </c>
      <c r="L180" s="161">
        <v>1</v>
      </c>
      <c r="M180" s="161">
        <v>0</v>
      </c>
      <c r="N180" s="161">
        <v>0</v>
      </c>
      <c r="O180" s="161">
        <v>1</v>
      </c>
      <c r="P180" s="161">
        <v>1</v>
      </c>
      <c r="Q180" s="161">
        <v>1</v>
      </c>
      <c r="R180" s="201">
        <v>454330</v>
      </c>
      <c r="S180" s="201">
        <v>454330</v>
      </c>
      <c r="T180" s="160">
        <f>IF(G180="","",IFERROR(IF(S180/R180&gt;'פרמטרים לקריטריונים'!$C$20,1,0),0))</f>
        <v>1</v>
      </c>
      <c r="U180" s="201">
        <v>420047</v>
      </c>
      <c r="V180" s="160">
        <f>IF(G180="","",IFERROR(IF(U180/R180&gt;'פרמטרים לקריטריונים'!$C$21,1,IF(AND(I180=$BW$5,U180/R180&gt;'פרמטרים לקריטריונים'!$C$22),1,0)),0))</f>
        <v>1</v>
      </c>
      <c r="W180" s="161">
        <v>1</v>
      </c>
      <c r="X180" s="161">
        <v>1</v>
      </c>
      <c r="Y180" s="201">
        <v>380000</v>
      </c>
      <c r="Z180" s="201">
        <v>380000</v>
      </c>
      <c r="AA180" s="161">
        <f t="shared" si="235"/>
        <v>1</v>
      </c>
      <c r="AB180" s="161"/>
      <c r="AC180" s="161"/>
      <c r="AD180" s="161"/>
      <c r="AE180" s="161"/>
      <c r="AF180" s="161"/>
      <c r="AG180" s="161"/>
      <c r="AH180" s="161"/>
      <c r="AI180" s="161"/>
      <c r="AJ180" s="161"/>
      <c r="AK180" s="161"/>
      <c r="AL180" s="161"/>
      <c r="AM180" s="161"/>
      <c r="AN180" s="161"/>
      <c r="AO180" s="161"/>
      <c r="AP180" s="161"/>
      <c r="AQ180" s="161"/>
      <c r="AR180" s="161"/>
      <c r="AS180" s="161"/>
      <c r="AT180" s="161"/>
      <c r="AU180" s="161"/>
      <c r="AV180" s="161"/>
      <c r="AW180" s="160"/>
      <c r="AX180" s="161"/>
      <c r="AY180" s="161"/>
      <c r="AZ180" s="161"/>
      <c r="BA180" s="161"/>
      <c r="BB180" s="161"/>
      <c r="BC180" s="161"/>
      <c r="BD180" s="161"/>
      <c r="BE180" s="161"/>
      <c r="BF180" s="160" t="str">
        <f t="shared" si="236"/>
        <v/>
      </c>
      <c r="BG180" s="160"/>
      <c r="BH180" s="160"/>
      <c r="BI180" s="160"/>
      <c r="BJ180" s="160"/>
      <c r="BK180" s="160"/>
      <c r="BL180" s="162">
        <f t="shared" si="187"/>
        <v>1</v>
      </c>
      <c r="BM180" s="257"/>
      <c r="BN180" s="163"/>
      <c r="BO180" s="211" t="str">
        <f t="shared" si="188"/>
        <v>אלמדינה לתרבות ואומנותאחר</v>
      </c>
      <c r="BP180" s="125">
        <f t="shared" si="189"/>
        <v>1</v>
      </c>
      <c r="BQ180" s="164">
        <v>0</v>
      </c>
      <c r="BR180" s="164">
        <v>1</v>
      </c>
      <c r="BS180" s="149">
        <f t="shared" si="190"/>
        <v>1</v>
      </c>
      <c r="BT180" s="149">
        <f t="shared" si="191"/>
        <v>1</v>
      </c>
      <c r="BU180" s="149">
        <f t="shared" si="192"/>
        <v>1</v>
      </c>
      <c r="BV180" s="149">
        <f t="shared" si="193"/>
        <v>1</v>
      </c>
      <c r="BW180" s="149">
        <f t="shared" si="194"/>
        <v>1</v>
      </c>
      <c r="BX180" s="149">
        <f t="shared" si="195"/>
        <v>1</v>
      </c>
      <c r="BY180" s="149">
        <f t="shared" si="196"/>
        <v>1</v>
      </c>
      <c r="BZ180" s="149">
        <f t="shared" si="197"/>
        <v>1</v>
      </c>
      <c r="CA180" s="149">
        <f t="shared" si="198"/>
        <v>1</v>
      </c>
      <c r="CB180" s="149">
        <f t="shared" si="199"/>
        <v>1</v>
      </c>
      <c r="CC180" s="149">
        <f t="shared" si="200"/>
        <v>1</v>
      </c>
      <c r="CD180" s="149">
        <f t="shared" si="201"/>
        <v>1</v>
      </c>
      <c r="CE180" s="149">
        <f t="shared" si="202"/>
        <v>1</v>
      </c>
      <c r="CF180" s="149">
        <f t="shared" si="203"/>
        <v>1</v>
      </c>
      <c r="CG180" s="149">
        <f t="shared" si="204"/>
        <v>1</v>
      </c>
      <c r="CH180" s="149">
        <f t="shared" si="205"/>
        <v>1</v>
      </c>
      <c r="CI180" s="149">
        <f t="shared" si="206"/>
        <v>1</v>
      </c>
      <c r="CJ180" s="149">
        <f t="shared" si="207"/>
        <v>1</v>
      </c>
      <c r="CK180" s="149">
        <f t="shared" si="208"/>
        <v>1</v>
      </c>
      <c r="CL180" s="149">
        <f t="shared" si="209"/>
        <v>1</v>
      </c>
      <c r="CM180" s="149">
        <f t="shared" si="210"/>
        <v>1</v>
      </c>
      <c r="CN180" s="149">
        <f t="shared" si="211"/>
        <v>1</v>
      </c>
      <c r="CO180" s="149">
        <f t="shared" si="212"/>
        <v>1</v>
      </c>
      <c r="CP180" s="149">
        <f t="shared" si="213"/>
        <v>1</v>
      </c>
      <c r="CQ180" s="149">
        <f t="shared" si="214"/>
        <v>1</v>
      </c>
      <c r="CR180" s="149">
        <f t="shared" si="215"/>
        <v>1</v>
      </c>
      <c r="CS180" s="149">
        <f t="shared" si="216"/>
        <v>1</v>
      </c>
      <c r="CT180" s="149">
        <f t="shared" si="217"/>
        <v>1</v>
      </c>
      <c r="CU180" s="149">
        <f t="shared" si="218"/>
        <v>1</v>
      </c>
      <c r="CV180" s="149">
        <f t="shared" si="219"/>
        <v>1</v>
      </c>
      <c r="CW180" s="149">
        <f t="shared" si="220"/>
        <v>1</v>
      </c>
      <c r="CX180" s="149">
        <f t="shared" si="221"/>
        <v>1</v>
      </c>
      <c r="CY180" s="149">
        <f t="shared" si="222"/>
        <v>1</v>
      </c>
      <c r="CZ180" s="149">
        <f t="shared" si="223"/>
        <v>1</v>
      </c>
      <c r="DA180" s="149">
        <f t="shared" si="224"/>
        <v>1</v>
      </c>
      <c r="DB180" s="149">
        <f t="shared" si="225"/>
        <v>1</v>
      </c>
      <c r="DG180" s="125">
        <f t="shared" si="186"/>
        <v>1</v>
      </c>
      <c r="DH180" s="125">
        <f t="shared" si="239"/>
        <v>2</v>
      </c>
      <c r="DI180" s="125">
        <f t="shared" si="239"/>
        <v>3</v>
      </c>
      <c r="DJ180" s="125">
        <f t="shared" si="239"/>
        <v>4</v>
      </c>
      <c r="DK180" s="125">
        <f t="shared" si="239"/>
        <v>5</v>
      </c>
      <c r="DL180" s="125">
        <f t="shared" si="239"/>
        <v>6</v>
      </c>
      <c r="DM180" s="125">
        <f t="shared" si="239"/>
        <v>7</v>
      </c>
      <c r="DN180" s="125">
        <f t="shared" si="239"/>
        <v>8</v>
      </c>
      <c r="DO180" s="125">
        <f t="shared" si="239"/>
        <v>9</v>
      </c>
      <c r="DP180" s="125">
        <f t="shared" si="239"/>
        <v>10</v>
      </c>
      <c r="DS180" s="137"/>
      <c r="DT180" s="137"/>
      <c r="DU180" s="137"/>
      <c r="DV180" s="137" t="b">
        <f t="shared" si="226"/>
        <v>0</v>
      </c>
      <c r="DW180" s="137" t="b">
        <f t="shared" si="227"/>
        <v>0</v>
      </c>
      <c r="DX180" s="137" t="b">
        <f t="shared" si="228"/>
        <v>1</v>
      </c>
      <c r="EB180" s="131">
        <f t="shared" si="237"/>
        <v>1</v>
      </c>
      <c r="EC180" s="137" t="b">
        <f t="shared" si="229"/>
        <v>0</v>
      </c>
      <c r="ED180" s="137" t="b">
        <f t="shared" si="230"/>
        <v>0</v>
      </c>
      <c r="EE180" s="137" t="b">
        <f t="shared" si="231"/>
        <v>1</v>
      </c>
      <c r="EF180" s="137"/>
      <c r="EG180" s="137"/>
      <c r="EH180" s="137"/>
      <c r="EI180" s="137"/>
      <c r="EJ180" s="137">
        <f t="shared" si="238"/>
        <v>1</v>
      </c>
      <c r="EK180" s="125">
        <f t="shared" si="232"/>
        <v>0</v>
      </c>
      <c r="EL180" s="125">
        <f t="shared" si="233"/>
        <v>0</v>
      </c>
    </row>
    <row r="181" spans="2:142" ht="15.75" x14ac:dyDescent="0.25">
      <c r="B181" s="160">
        <f t="shared" si="234"/>
        <v>151</v>
      </c>
      <c r="C181" s="283">
        <v>1001348955</v>
      </c>
      <c r="D181" s="283">
        <v>1001348955</v>
      </c>
      <c r="E181" s="281">
        <v>41905827</v>
      </c>
      <c r="F181" s="118">
        <f>IF(OR(J181="",H181=""),"",VLOOKUP(J181,'הזנה לסיווג רשויות'!$B$2:$D$301,2,0))</f>
        <v>20000189</v>
      </c>
      <c r="G181" s="118" t="str">
        <f>IF(OR(J181="",H181=""),"",VLOOKUP(J181,'הזנה לסיווג רשויות'!$B$2:$D$301,3,0))</f>
        <v>מסעדה</v>
      </c>
      <c r="H181" s="281" t="s">
        <v>649</v>
      </c>
      <c r="I181" s="201" t="s">
        <v>373</v>
      </c>
      <c r="J181" s="205">
        <v>4203</v>
      </c>
      <c r="K181" s="161">
        <v>0</v>
      </c>
      <c r="L181" s="161">
        <v>1</v>
      </c>
      <c r="M181" s="161">
        <v>0</v>
      </c>
      <c r="N181" s="161">
        <v>0</v>
      </c>
      <c r="O181" s="161">
        <v>1</v>
      </c>
      <c r="P181" s="161">
        <v>1</v>
      </c>
      <c r="Q181" s="161">
        <v>1</v>
      </c>
      <c r="R181" s="201">
        <v>227270</v>
      </c>
      <c r="S181" s="201">
        <v>227270</v>
      </c>
      <c r="T181" s="160">
        <f>IF(G181="","",IFERROR(IF(S181/R181&gt;'פרמטרים לקריטריונים'!$C$20,1,0),0))</f>
        <v>1</v>
      </c>
      <c r="U181" s="201">
        <v>227270</v>
      </c>
      <c r="V181" s="160">
        <f>IF(G181="","",IFERROR(IF(U181/R181&gt;'פרמטרים לקריטריונים'!$C$21,1,IF(AND(I181=$BW$5,U181/R181&gt;'פרמטרים לקריטריונים'!$C$22),1,0)),0))</f>
        <v>1</v>
      </c>
      <c r="W181" s="161">
        <v>1</v>
      </c>
      <c r="X181" s="161">
        <v>1</v>
      </c>
      <c r="Y181" s="201">
        <v>350000</v>
      </c>
      <c r="Z181" s="201">
        <v>200000</v>
      </c>
      <c r="AA181" s="161">
        <f t="shared" si="235"/>
        <v>1</v>
      </c>
      <c r="AB181" s="161"/>
      <c r="AC181" s="161"/>
      <c r="AD181" s="161"/>
      <c r="AE181" s="161"/>
      <c r="AF181" s="161"/>
      <c r="AG181" s="161"/>
      <c r="AH181" s="161"/>
      <c r="AI181" s="161"/>
      <c r="AJ181" s="161"/>
      <c r="AK181" s="161"/>
      <c r="AL181" s="161"/>
      <c r="AM181" s="161"/>
      <c r="AN181" s="161"/>
      <c r="AO181" s="161"/>
      <c r="AP181" s="161"/>
      <c r="AQ181" s="161"/>
      <c r="AR181" s="161"/>
      <c r="AS181" s="161"/>
      <c r="AT181" s="161"/>
      <c r="AU181" s="161"/>
      <c r="AV181" s="161"/>
      <c r="AW181" s="160"/>
      <c r="AX181" s="161"/>
      <c r="AY181" s="161"/>
      <c r="AZ181" s="161"/>
      <c r="BA181" s="161"/>
      <c r="BB181" s="161"/>
      <c r="BC181" s="161"/>
      <c r="BD181" s="161"/>
      <c r="BE181" s="161"/>
      <c r="BF181" s="160" t="str">
        <f t="shared" si="236"/>
        <v/>
      </c>
      <c r="BG181" s="160"/>
      <c r="BH181" s="160"/>
      <c r="BI181" s="160"/>
      <c r="BJ181" s="160"/>
      <c r="BK181" s="160"/>
      <c r="BL181" s="162">
        <f t="shared" si="187"/>
        <v>1</v>
      </c>
      <c r="BM181" s="257"/>
      <c r="BN181" s="163"/>
      <c r="BO181" s="211" t="str">
        <f t="shared" si="188"/>
        <v>גולן הייטז ארטיסטיק פרודקשיןתיאטרון</v>
      </c>
      <c r="BP181" s="125">
        <f t="shared" si="189"/>
        <v>1</v>
      </c>
      <c r="BQ181" s="164">
        <v>0</v>
      </c>
      <c r="BR181" s="164">
        <v>1</v>
      </c>
      <c r="BS181" s="149">
        <f t="shared" si="190"/>
        <v>1</v>
      </c>
      <c r="BT181" s="149">
        <f t="shared" si="191"/>
        <v>1</v>
      </c>
      <c r="BU181" s="149">
        <f t="shared" si="192"/>
        <v>1</v>
      </c>
      <c r="BV181" s="149">
        <f t="shared" si="193"/>
        <v>1</v>
      </c>
      <c r="BW181" s="149">
        <f t="shared" si="194"/>
        <v>1</v>
      </c>
      <c r="BX181" s="149">
        <f t="shared" si="195"/>
        <v>1</v>
      </c>
      <c r="BY181" s="149">
        <f t="shared" si="196"/>
        <v>1</v>
      </c>
      <c r="BZ181" s="149">
        <f t="shared" si="197"/>
        <v>1</v>
      </c>
      <c r="CA181" s="149">
        <f t="shared" si="198"/>
        <v>1</v>
      </c>
      <c r="CB181" s="149">
        <f t="shared" si="199"/>
        <v>1</v>
      </c>
      <c r="CC181" s="149">
        <f t="shared" si="200"/>
        <v>1</v>
      </c>
      <c r="CD181" s="149">
        <f t="shared" si="201"/>
        <v>1</v>
      </c>
      <c r="CE181" s="149">
        <f t="shared" si="202"/>
        <v>1</v>
      </c>
      <c r="CF181" s="149">
        <f t="shared" si="203"/>
        <v>1</v>
      </c>
      <c r="CG181" s="149">
        <f t="shared" si="204"/>
        <v>1</v>
      </c>
      <c r="CH181" s="149">
        <f t="shared" si="205"/>
        <v>1</v>
      </c>
      <c r="CI181" s="149">
        <f t="shared" si="206"/>
        <v>1</v>
      </c>
      <c r="CJ181" s="149">
        <f t="shared" si="207"/>
        <v>1</v>
      </c>
      <c r="CK181" s="149">
        <f t="shared" si="208"/>
        <v>1</v>
      </c>
      <c r="CL181" s="149">
        <f t="shared" si="209"/>
        <v>1</v>
      </c>
      <c r="CM181" s="149">
        <f t="shared" si="210"/>
        <v>1</v>
      </c>
      <c r="CN181" s="149">
        <f t="shared" si="211"/>
        <v>1</v>
      </c>
      <c r="CO181" s="149">
        <f t="shared" si="212"/>
        <v>1</v>
      </c>
      <c r="CP181" s="149">
        <f t="shared" si="213"/>
        <v>1</v>
      </c>
      <c r="CQ181" s="149">
        <f t="shared" si="214"/>
        <v>1</v>
      </c>
      <c r="CR181" s="149">
        <f t="shared" si="215"/>
        <v>1</v>
      </c>
      <c r="CS181" s="149">
        <f t="shared" si="216"/>
        <v>1</v>
      </c>
      <c r="CT181" s="149">
        <f t="shared" si="217"/>
        <v>1</v>
      </c>
      <c r="CU181" s="149">
        <f t="shared" si="218"/>
        <v>1</v>
      </c>
      <c r="CV181" s="149">
        <f t="shared" si="219"/>
        <v>1</v>
      </c>
      <c r="CW181" s="149">
        <f t="shared" si="220"/>
        <v>1</v>
      </c>
      <c r="CX181" s="149">
        <f t="shared" si="221"/>
        <v>1</v>
      </c>
      <c r="CY181" s="149">
        <f t="shared" si="222"/>
        <v>1</v>
      </c>
      <c r="CZ181" s="149">
        <f t="shared" si="223"/>
        <v>1</v>
      </c>
      <c r="DA181" s="149">
        <f t="shared" si="224"/>
        <v>1</v>
      </c>
      <c r="DB181" s="149">
        <f t="shared" si="225"/>
        <v>1</v>
      </c>
      <c r="DG181" s="125">
        <f t="shared" si="186"/>
        <v>1</v>
      </c>
      <c r="DH181" s="125">
        <f t="shared" si="239"/>
        <v>2</v>
      </c>
      <c r="DI181" s="125">
        <f t="shared" si="239"/>
        <v>3</v>
      </c>
      <c r="DJ181" s="125">
        <f t="shared" si="239"/>
        <v>4</v>
      </c>
      <c r="DK181" s="125">
        <f t="shared" si="239"/>
        <v>5</v>
      </c>
      <c r="DL181" s="125">
        <f t="shared" si="239"/>
        <v>6</v>
      </c>
      <c r="DM181" s="125">
        <f t="shared" si="239"/>
        <v>7</v>
      </c>
      <c r="DN181" s="125">
        <f t="shared" si="239"/>
        <v>8</v>
      </c>
      <c r="DO181" s="125">
        <f t="shared" si="239"/>
        <v>9</v>
      </c>
      <c r="DP181" s="125">
        <f t="shared" si="239"/>
        <v>10</v>
      </c>
      <c r="DS181" s="137"/>
      <c r="DT181" s="137"/>
      <c r="DU181" s="137"/>
      <c r="DV181" s="137" t="b">
        <f t="shared" si="226"/>
        <v>0</v>
      </c>
      <c r="DW181" s="137" t="b">
        <f t="shared" si="227"/>
        <v>0</v>
      </c>
      <c r="DX181" s="137" t="b">
        <f t="shared" si="228"/>
        <v>1</v>
      </c>
      <c r="EB181" s="131">
        <f t="shared" si="237"/>
        <v>1</v>
      </c>
      <c r="EC181" s="137" t="b">
        <f t="shared" si="229"/>
        <v>0</v>
      </c>
      <c r="ED181" s="137" t="b">
        <f t="shared" si="230"/>
        <v>0</v>
      </c>
      <c r="EE181" s="137" t="b">
        <f t="shared" si="231"/>
        <v>1</v>
      </c>
      <c r="EF181" s="137"/>
      <c r="EG181" s="137"/>
      <c r="EH181" s="137"/>
      <c r="EI181" s="137"/>
      <c r="EJ181" s="137">
        <f t="shared" si="238"/>
        <v>1</v>
      </c>
      <c r="EK181" s="125">
        <f t="shared" si="232"/>
        <v>0</v>
      </c>
      <c r="EL181" s="125">
        <f t="shared" si="233"/>
        <v>0</v>
      </c>
    </row>
    <row r="182" spans="2:142" ht="15.75" x14ac:dyDescent="0.25">
      <c r="B182" s="160">
        <f t="shared" si="234"/>
        <v>152</v>
      </c>
      <c r="C182" s="283">
        <v>1001347088</v>
      </c>
      <c r="D182" s="283">
        <v>1001301993</v>
      </c>
      <c r="E182" s="281">
        <v>42000072</v>
      </c>
      <c r="F182" s="118">
        <f>IF(OR(J182="",H182=""),"",VLOOKUP(J182,'הזנה לסיווג רשויות'!$B$2:$D$301,2,0))</f>
        <v>20000055</v>
      </c>
      <c r="G182" s="118" t="str">
        <f>IF(OR(J182="",H182=""),"",VLOOKUP(J182,'הזנה לסיווג רשויות'!$B$2:$D$301,3,0))</f>
        <v>מג'ד אל-כרום</v>
      </c>
      <c r="H182" s="281" t="s">
        <v>650</v>
      </c>
      <c r="I182" s="201" t="s">
        <v>564</v>
      </c>
      <c r="J182" s="205">
        <v>516</v>
      </c>
      <c r="K182" s="161">
        <v>0</v>
      </c>
      <c r="L182" s="161">
        <v>1</v>
      </c>
      <c r="M182" s="161">
        <v>0</v>
      </c>
      <c r="N182" s="161">
        <v>0</v>
      </c>
      <c r="O182" s="161">
        <v>1</v>
      </c>
      <c r="P182" s="161">
        <v>1</v>
      </c>
      <c r="Q182" s="161">
        <v>1</v>
      </c>
      <c r="R182" s="201">
        <v>174450</v>
      </c>
      <c r="S182" s="201">
        <v>174450</v>
      </c>
      <c r="T182" s="160">
        <f>IF(G182="","",IFERROR(IF(S182/R182&gt;'פרמטרים לקריטריונים'!$C$20,1,0),0))</f>
        <v>1</v>
      </c>
      <c r="U182" s="201">
        <v>159300</v>
      </c>
      <c r="V182" s="160">
        <f>IF(G182="","",IFERROR(IF(U182/R182&gt;'פרמטרים לקריטריונים'!$C$21,1,IF(AND(I182=$BW$5,U182/R182&gt;'פרמטרים לקריטריונים'!$C$22),1,0)),0))</f>
        <v>1</v>
      </c>
      <c r="W182" s="161">
        <v>1</v>
      </c>
      <c r="X182" s="161">
        <v>1</v>
      </c>
      <c r="Y182" s="201">
        <v>120000</v>
      </c>
      <c r="Z182" s="201">
        <v>60000</v>
      </c>
      <c r="AA182" s="161">
        <f t="shared" si="235"/>
        <v>1</v>
      </c>
      <c r="AB182" s="161"/>
      <c r="AC182" s="161"/>
      <c r="AD182" s="161"/>
      <c r="AE182" s="161"/>
      <c r="AF182" s="161"/>
      <c r="AG182" s="161"/>
      <c r="AH182" s="161"/>
      <c r="AI182" s="161"/>
      <c r="AJ182" s="161"/>
      <c r="AK182" s="161"/>
      <c r="AL182" s="161"/>
      <c r="AM182" s="161"/>
      <c r="AN182" s="161"/>
      <c r="AO182" s="161"/>
      <c r="AP182" s="161"/>
      <c r="AQ182" s="161"/>
      <c r="AR182" s="161"/>
      <c r="AS182" s="161"/>
      <c r="AT182" s="161"/>
      <c r="AU182" s="161"/>
      <c r="AV182" s="161"/>
      <c r="AW182" s="160"/>
      <c r="AX182" s="161"/>
      <c r="AY182" s="161"/>
      <c r="AZ182" s="161"/>
      <c r="BA182" s="161"/>
      <c r="BB182" s="161"/>
      <c r="BC182" s="161"/>
      <c r="BD182" s="161"/>
      <c r="BE182" s="161"/>
      <c r="BF182" s="160" t="str">
        <f t="shared" si="236"/>
        <v/>
      </c>
      <c r="BG182" s="160"/>
      <c r="BH182" s="160"/>
      <c r="BI182" s="160"/>
      <c r="BJ182" s="160"/>
      <c r="BK182" s="160"/>
      <c r="BL182" s="162">
        <f t="shared" si="187"/>
        <v>1</v>
      </c>
      <c r="BM182" s="257"/>
      <c r="BN182" s="163"/>
      <c r="BO182" s="211" t="str">
        <f t="shared" si="188"/>
        <v>כנארי עמותה לקידום המוסיקה והשירהאחר</v>
      </c>
      <c r="BP182" s="125">
        <f t="shared" si="189"/>
        <v>1</v>
      </c>
      <c r="BQ182" s="164">
        <v>0</v>
      </c>
      <c r="BR182" s="164">
        <v>1</v>
      </c>
      <c r="BS182" s="149">
        <f t="shared" si="190"/>
        <v>1</v>
      </c>
      <c r="BT182" s="149">
        <f t="shared" si="191"/>
        <v>1</v>
      </c>
      <c r="BU182" s="149">
        <f t="shared" si="192"/>
        <v>1</v>
      </c>
      <c r="BV182" s="149">
        <f t="shared" si="193"/>
        <v>1</v>
      </c>
      <c r="BW182" s="149">
        <f t="shared" si="194"/>
        <v>1</v>
      </c>
      <c r="BX182" s="149">
        <f t="shared" si="195"/>
        <v>1</v>
      </c>
      <c r="BY182" s="149">
        <f t="shared" si="196"/>
        <v>1</v>
      </c>
      <c r="BZ182" s="149">
        <f t="shared" si="197"/>
        <v>1</v>
      </c>
      <c r="CA182" s="149">
        <f t="shared" si="198"/>
        <v>1</v>
      </c>
      <c r="CB182" s="149">
        <f t="shared" si="199"/>
        <v>1</v>
      </c>
      <c r="CC182" s="149">
        <f t="shared" si="200"/>
        <v>1</v>
      </c>
      <c r="CD182" s="149">
        <f t="shared" si="201"/>
        <v>1</v>
      </c>
      <c r="CE182" s="149">
        <f t="shared" si="202"/>
        <v>1</v>
      </c>
      <c r="CF182" s="149">
        <f t="shared" si="203"/>
        <v>1</v>
      </c>
      <c r="CG182" s="149">
        <f t="shared" si="204"/>
        <v>1</v>
      </c>
      <c r="CH182" s="149">
        <f t="shared" si="205"/>
        <v>1</v>
      </c>
      <c r="CI182" s="149">
        <f t="shared" si="206"/>
        <v>1</v>
      </c>
      <c r="CJ182" s="149">
        <f t="shared" si="207"/>
        <v>1</v>
      </c>
      <c r="CK182" s="149">
        <f t="shared" si="208"/>
        <v>1</v>
      </c>
      <c r="CL182" s="149">
        <f t="shared" si="209"/>
        <v>1</v>
      </c>
      <c r="CM182" s="149">
        <f t="shared" si="210"/>
        <v>1</v>
      </c>
      <c r="CN182" s="149">
        <f t="shared" si="211"/>
        <v>1</v>
      </c>
      <c r="CO182" s="149">
        <f t="shared" si="212"/>
        <v>1</v>
      </c>
      <c r="CP182" s="149">
        <f t="shared" si="213"/>
        <v>1</v>
      </c>
      <c r="CQ182" s="149">
        <f t="shared" si="214"/>
        <v>1</v>
      </c>
      <c r="CR182" s="149">
        <f t="shared" si="215"/>
        <v>1</v>
      </c>
      <c r="CS182" s="149">
        <f t="shared" si="216"/>
        <v>1</v>
      </c>
      <c r="CT182" s="149">
        <f t="shared" si="217"/>
        <v>1</v>
      </c>
      <c r="CU182" s="149">
        <f t="shared" si="218"/>
        <v>1</v>
      </c>
      <c r="CV182" s="149">
        <f t="shared" si="219"/>
        <v>1</v>
      </c>
      <c r="CW182" s="149">
        <f t="shared" si="220"/>
        <v>1</v>
      </c>
      <c r="CX182" s="149">
        <f t="shared" si="221"/>
        <v>1</v>
      </c>
      <c r="CY182" s="149">
        <f t="shared" si="222"/>
        <v>1</v>
      </c>
      <c r="CZ182" s="149">
        <f t="shared" si="223"/>
        <v>1</v>
      </c>
      <c r="DA182" s="149">
        <f t="shared" si="224"/>
        <v>1</v>
      </c>
      <c r="DB182" s="149">
        <f t="shared" si="225"/>
        <v>1</v>
      </c>
      <c r="DG182" s="125">
        <f t="shared" si="186"/>
        <v>1</v>
      </c>
      <c r="DH182" s="125">
        <f t="shared" si="239"/>
        <v>2</v>
      </c>
      <c r="DI182" s="125">
        <f t="shared" si="239"/>
        <v>3</v>
      </c>
      <c r="DJ182" s="125">
        <f t="shared" si="239"/>
        <v>4</v>
      </c>
      <c r="DK182" s="125">
        <f t="shared" si="239"/>
        <v>5</v>
      </c>
      <c r="DL182" s="125">
        <f t="shared" si="239"/>
        <v>6</v>
      </c>
      <c r="DM182" s="125">
        <f t="shared" si="239"/>
        <v>7</v>
      </c>
      <c r="DN182" s="125">
        <f t="shared" si="239"/>
        <v>8</v>
      </c>
      <c r="DO182" s="125">
        <f t="shared" si="239"/>
        <v>9</v>
      </c>
      <c r="DP182" s="125">
        <f t="shared" si="239"/>
        <v>10</v>
      </c>
      <c r="DS182" s="137"/>
      <c r="DT182" s="137"/>
      <c r="DU182" s="137"/>
      <c r="DV182" s="137" t="b">
        <f t="shared" si="226"/>
        <v>0</v>
      </c>
      <c r="DW182" s="137" t="b">
        <f t="shared" si="227"/>
        <v>0</v>
      </c>
      <c r="DX182" s="137" t="b">
        <f t="shared" si="228"/>
        <v>1</v>
      </c>
      <c r="EB182" s="131">
        <f t="shared" si="237"/>
        <v>1</v>
      </c>
      <c r="EC182" s="137" t="b">
        <f t="shared" si="229"/>
        <v>0</v>
      </c>
      <c r="ED182" s="137" t="b">
        <f t="shared" si="230"/>
        <v>0</v>
      </c>
      <c r="EE182" s="137" t="b">
        <f t="shared" si="231"/>
        <v>1</v>
      </c>
      <c r="EF182" s="137"/>
      <c r="EG182" s="137"/>
      <c r="EH182" s="137"/>
      <c r="EI182" s="137"/>
      <c r="EJ182" s="137">
        <f t="shared" si="238"/>
        <v>1</v>
      </c>
      <c r="EK182" s="125">
        <f t="shared" si="232"/>
        <v>0</v>
      </c>
      <c r="EL182" s="125">
        <f t="shared" si="233"/>
        <v>0</v>
      </c>
    </row>
    <row r="183" spans="2:142" ht="15.75" x14ac:dyDescent="0.25">
      <c r="B183" s="160">
        <f t="shared" si="234"/>
        <v>153</v>
      </c>
      <c r="C183" s="283">
        <v>1001348513</v>
      </c>
      <c r="D183" s="283">
        <v>1001271351</v>
      </c>
      <c r="E183" s="281">
        <v>40000594</v>
      </c>
      <c r="F183" s="118">
        <f>IF(OR(J183="",H183=""),"",VLOOKUP(J183,'הזנה לסיווג רשויות'!$B$2:$D$301,2,0))</f>
        <v>20000185</v>
      </c>
      <c r="G183" s="118" t="str">
        <f>IF(OR(J183="",H183=""),"",VLOOKUP(J183,'הזנה לסיווג רשויות'!$B$2:$D$301,3,0))</f>
        <v>עמק חפר</v>
      </c>
      <c r="H183" s="281" t="s">
        <v>592</v>
      </c>
      <c r="I183" s="201" t="s">
        <v>378</v>
      </c>
      <c r="J183" s="205">
        <v>16</v>
      </c>
      <c r="K183" s="161">
        <v>0</v>
      </c>
      <c r="L183" s="161">
        <v>1</v>
      </c>
      <c r="M183" s="161">
        <v>0</v>
      </c>
      <c r="N183" s="161">
        <v>0</v>
      </c>
      <c r="O183" s="161">
        <v>1</v>
      </c>
      <c r="P183" s="161">
        <v>1</v>
      </c>
      <c r="Q183" s="161">
        <v>1</v>
      </c>
      <c r="R183" s="201">
        <v>222569</v>
      </c>
      <c r="S183" s="201">
        <v>112516</v>
      </c>
      <c r="T183" s="160">
        <f>IF(G183="","",IFERROR(IF(S183/R183&gt;'פרמטרים לקריטריונים'!$C$20,1,0),0))</f>
        <v>1</v>
      </c>
      <c r="U183" s="201">
        <v>76516</v>
      </c>
      <c r="V183" s="160">
        <f>IF(G183="","",IFERROR(IF(U183/R183&gt;'פרמטרים לקריטריונים'!$C$21,1,IF(AND(I183=$BW$5,U183/R183&gt;'פרמטרים לקריטריונים'!$C$22),1,0)),0))</f>
        <v>1</v>
      </c>
      <c r="W183" s="161">
        <v>1</v>
      </c>
      <c r="X183" s="161">
        <v>1</v>
      </c>
      <c r="Y183" s="201">
        <v>110053</v>
      </c>
      <c r="Z183" s="201">
        <v>50000</v>
      </c>
      <c r="AA183" s="161">
        <f t="shared" si="235"/>
        <v>1</v>
      </c>
      <c r="AB183" s="161"/>
      <c r="AC183" s="161"/>
      <c r="AD183" s="161"/>
      <c r="AE183" s="161"/>
      <c r="AF183" s="161"/>
      <c r="AG183" s="161"/>
      <c r="AH183" s="161"/>
      <c r="AI183" s="161"/>
      <c r="AJ183" s="161"/>
      <c r="AK183" s="161"/>
      <c r="AL183" s="161"/>
      <c r="AM183" s="161"/>
      <c r="AN183" s="161"/>
      <c r="AO183" s="161"/>
      <c r="AP183" s="161"/>
      <c r="AQ183" s="161"/>
      <c r="AR183" s="161"/>
      <c r="AS183" s="161"/>
      <c r="AT183" s="161"/>
      <c r="AU183" s="161"/>
      <c r="AV183" s="161"/>
      <c r="AW183" s="160"/>
      <c r="AX183" s="161"/>
      <c r="AY183" s="161"/>
      <c r="AZ183" s="161"/>
      <c r="BA183" s="161"/>
      <c r="BB183" s="161"/>
      <c r="BC183" s="161"/>
      <c r="BD183" s="161"/>
      <c r="BE183" s="161"/>
      <c r="BF183" s="160" t="str">
        <f t="shared" si="236"/>
        <v/>
      </c>
      <c r="BG183" s="160"/>
      <c r="BH183" s="160"/>
      <c r="BI183" s="160"/>
      <c r="BJ183" s="160"/>
      <c r="BK183" s="160"/>
      <c r="BL183" s="162">
        <f t="shared" si="187"/>
        <v>1</v>
      </c>
      <c r="BM183" s="257"/>
      <c r="BN183" s="163"/>
      <c r="BO183" s="211" t="str">
        <f t="shared" si="188"/>
        <v>עמותת מקהלות מורן והבית לשירה בישראמקהלות</v>
      </c>
      <c r="BP183" s="125">
        <f t="shared" si="189"/>
        <v>1</v>
      </c>
      <c r="BQ183" s="164">
        <v>0</v>
      </c>
      <c r="BR183" s="164">
        <v>1</v>
      </c>
      <c r="BS183" s="149">
        <f t="shared" si="190"/>
        <v>1</v>
      </c>
      <c r="BT183" s="149">
        <f t="shared" si="191"/>
        <v>1</v>
      </c>
      <c r="BU183" s="149">
        <f t="shared" si="192"/>
        <v>1</v>
      </c>
      <c r="BV183" s="149">
        <f t="shared" si="193"/>
        <v>1</v>
      </c>
      <c r="BW183" s="149">
        <f t="shared" si="194"/>
        <v>1</v>
      </c>
      <c r="BX183" s="149">
        <f t="shared" si="195"/>
        <v>1</v>
      </c>
      <c r="BY183" s="149">
        <f t="shared" si="196"/>
        <v>1</v>
      </c>
      <c r="BZ183" s="149">
        <f t="shared" si="197"/>
        <v>1</v>
      </c>
      <c r="CA183" s="149">
        <f t="shared" si="198"/>
        <v>1</v>
      </c>
      <c r="CB183" s="149">
        <f t="shared" si="199"/>
        <v>1</v>
      </c>
      <c r="CC183" s="149">
        <f t="shared" si="200"/>
        <v>1</v>
      </c>
      <c r="CD183" s="149">
        <f t="shared" si="201"/>
        <v>1</v>
      </c>
      <c r="CE183" s="149">
        <f t="shared" si="202"/>
        <v>1</v>
      </c>
      <c r="CF183" s="149">
        <f t="shared" si="203"/>
        <v>1</v>
      </c>
      <c r="CG183" s="149">
        <f t="shared" si="204"/>
        <v>1</v>
      </c>
      <c r="CH183" s="149">
        <f t="shared" si="205"/>
        <v>1</v>
      </c>
      <c r="CI183" s="149">
        <f t="shared" si="206"/>
        <v>1</v>
      </c>
      <c r="CJ183" s="149">
        <f t="shared" si="207"/>
        <v>1</v>
      </c>
      <c r="CK183" s="149">
        <f t="shared" si="208"/>
        <v>1</v>
      </c>
      <c r="CL183" s="149">
        <f t="shared" si="209"/>
        <v>1</v>
      </c>
      <c r="CM183" s="149">
        <f t="shared" si="210"/>
        <v>1</v>
      </c>
      <c r="CN183" s="149">
        <f t="shared" si="211"/>
        <v>1</v>
      </c>
      <c r="CO183" s="149">
        <f t="shared" si="212"/>
        <v>1</v>
      </c>
      <c r="CP183" s="149">
        <f t="shared" si="213"/>
        <v>1</v>
      </c>
      <c r="CQ183" s="149">
        <f t="shared" si="214"/>
        <v>1</v>
      </c>
      <c r="CR183" s="149">
        <f t="shared" si="215"/>
        <v>1</v>
      </c>
      <c r="CS183" s="149">
        <f t="shared" si="216"/>
        <v>1</v>
      </c>
      <c r="CT183" s="149">
        <f t="shared" si="217"/>
        <v>1</v>
      </c>
      <c r="CU183" s="149">
        <f t="shared" si="218"/>
        <v>1</v>
      </c>
      <c r="CV183" s="149">
        <f t="shared" si="219"/>
        <v>1</v>
      </c>
      <c r="CW183" s="149">
        <f t="shared" si="220"/>
        <v>1</v>
      </c>
      <c r="CX183" s="149">
        <f t="shared" si="221"/>
        <v>1</v>
      </c>
      <c r="CY183" s="149">
        <f t="shared" si="222"/>
        <v>1</v>
      </c>
      <c r="CZ183" s="149">
        <f t="shared" si="223"/>
        <v>1</v>
      </c>
      <c r="DA183" s="149">
        <f t="shared" si="224"/>
        <v>1</v>
      </c>
      <c r="DB183" s="149">
        <f t="shared" si="225"/>
        <v>1</v>
      </c>
      <c r="DG183" s="125">
        <f t="shared" si="186"/>
        <v>1</v>
      </c>
      <c r="DH183" s="125">
        <f t="shared" si="239"/>
        <v>2</v>
      </c>
      <c r="DI183" s="125">
        <f t="shared" si="239"/>
        <v>3</v>
      </c>
      <c r="DJ183" s="125">
        <f t="shared" si="239"/>
        <v>4</v>
      </c>
      <c r="DK183" s="125">
        <f t="shared" si="239"/>
        <v>5</v>
      </c>
      <c r="DL183" s="125">
        <f t="shared" si="239"/>
        <v>6</v>
      </c>
      <c r="DM183" s="125">
        <f t="shared" si="239"/>
        <v>7</v>
      </c>
      <c r="DN183" s="125">
        <f t="shared" si="239"/>
        <v>8</v>
      </c>
      <c r="DO183" s="125">
        <f t="shared" si="239"/>
        <v>9</v>
      </c>
      <c r="DP183" s="125">
        <f t="shared" si="239"/>
        <v>10</v>
      </c>
      <c r="DS183" s="137"/>
      <c r="DT183" s="137"/>
      <c r="DU183" s="137"/>
      <c r="DV183" s="137" t="b">
        <f t="shared" si="226"/>
        <v>0</v>
      </c>
      <c r="DW183" s="137" t="b">
        <f t="shared" si="227"/>
        <v>0</v>
      </c>
      <c r="DX183" s="137" t="b">
        <f t="shared" si="228"/>
        <v>1</v>
      </c>
      <c r="EB183" s="131">
        <f t="shared" si="237"/>
        <v>1</v>
      </c>
      <c r="EC183" s="137" t="b">
        <f t="shared" si="229"/>
        <v>0</v>
      </c>
      <c r="ED183" s="137" t="b">
        <f t="shared" si="230"/>
        <v>0</v>
      </c>
      <c r="EE183" s="137" t="b">
        <f t="shared" si="231"/>
        <v>1</v>
      </c>
      <c r="EF183" s="137"/>
      <c r="EG183" s="137"/>
      <c r="EH183" s="137"/>
      <c r="EI183" s="137"/>
      <c r="EJ183" s="137">
        <f t="shared" si="238"/>
        <v>1</v>
      </c>
      <c r="EK183" s="125">
        <f t="shared" si="232"/>
        <v>0</v>
      </c>
      <c r="EL183" s="125">
        <f t="shared" si="233"/>
        <v>0</v>
      </c>
    </row>
    <row r="184" spans="2:142" ht="15.75" x14ac:dyDescent="0.25">
      <c r="B184" s="160">
        <f t="shared" si="234"/>
        <v>154</v>
      </c>
      <c r="C184" s="283">
        <v>1001347628</v>
      </c>
      <c r="D184" s="283">
        <v>1001263875</v>
      </c>
      <c r="E184" s="281">
        <v>40384415</v>
      </c>
      <c r="F184" s="118">
        <f>IF(OR(J184="",H184=""),"",VLOOKUP(J184,'הזנה לסיווג רשויות'!$B$2:$D$301,2,0))</f>
        <v>20000095</v>
      </c>
      <c r="G184" s="118" t="str">
        <f>IF(OR(J184="",H184=""),"",VLOOKUP(J184,'הזנה לסיווג רשויות'!$B$2:$D$301,3,0))</f>
        <v>מטה יהודה</v>
      </c>
      <c r="H184" s="281" t="s">
        <v>651</v>
      </c>
      <c r="I184" s="201" t="s">
        <v>381</v>
      </c>
      <c r="J184" s="205">
        <v>26</v>
      </c>
      <c r="K184" s="161">
        <v>0</v>
      </c>
      <c r="L184" s="161">
        <v>1</v>
      </c>
      <c r="M184" s="161">
        <v>0</v>
      </c>
      <c r="N184" s="161">
        <v>1</v>
      </c>
      <c r="O184" s="161">
        <v>1</v>
      </c>
      <c r="P184" s="161">
        <v>1</v>
      </c>
      <c r="Q184" s="161">
        <v>1</v>
      </c>
      <c r="R184" s="201">
        <v>1815671</v>
      </c>
      <c r="S184" s="201">
        <v>1453848</v>
      </c>
      <c r="T184" s="160">
        <f>IF(G184="","",IFERROR(IF(S184/R184&gt;'פרמטרים לקריטריונים'!$C$20,1,0),0))</f>
        <v>1</v>
      </c>
      <c r="U184" s="201">
        <v>1242514</v>
      </c>
      <c r="V184" s="160">
        <f>IF(G184="","",IFERROR(IF(U184/R184&gt;'פרמטרים לקריטריונים'!$C$21,1,IF(AND(I184=$BW$5,U184/R184&gt;'פרמטרים לקריטריונים'!$C$22),1,0)),0))</f>
        <v>1</v>
      </c>
      <c r="W184" s="161">
        <v>1</v>
      </c>
      <c r="X184" s="161">
        <v>1</v>
      </c>
      <c r="Y184" s="201">
        <v>770000</v>
      </c>
      <c r="Z184" s="201">
        <v>400000</v>
      </c>
      <c r="AA184" s="161">
        <f t="shared" si="235"/>
        <v>1</v>
      </c>
      <c r="AB184" s="161"/>
      <c r="AC184" s="161"/>
      <c r="AD184" s="161"/>
      <c r="AE184" s="161"/>
      <c r="AF184" s="161"/>
      <c r="AG184" s="161"/>
      <c r="AH184" s="161"/>
      <c r="AI184" s="161"/>
      <c r="AJ184" s="161"/>
      <c r="AK184" s="161"/>
      <c r="AL184" s="161"/>
      <c r="AM184" s="161"/>
      <c r="AN184" s="161"/>
      <c r="AO184" s="161"/>
      <c r="AP184" s="161"/>
      <c r="AQ184" s="161"/>
      <c r="AR184" s="161"/>
      <c r="AS184" s="161"/>
      <c r="AT184" s="161"/>
      <c r="AU184" s="161"/>
      <c r="AV184" s="161"/>
      <c r="AW184" s="160"/>
      <c r="AX184" s="161"/>
      <c r="AY184" s="161"/>
      <c r="AZ184" s="161"/>
      <c r="BA184" s="161"/>
      <c r="BB184" s="161"/>
      <c r="BC184" s="161"/>
      <c r="BD184" s="161"/>
      <c r="BE184" s="161"/>
      <c r="BF184" s="160" t="str">
        <f t="shared" si="236"/>
        <v/>
      </c>
      <c r="BG184" s="160"/>
      <c r="BH184" s="160"/>
      <c r="BI184" s="160"/>
      <c r="BJ184" s="160"/>
      <c r="BK184" s="160"/>
      <c r="BL184" s="162">
        <f t="shared" si="187"/>
        <v>1</v>
      </c>
      <c r="BM184" s="257"/>
      <c r="BN184" s="163"/>
      <c r="BO184" s="211" t="str">
        <f t="shared" si="188"/>
        <v>סינמטק ראש פינה (ע"ר)סינמטקים ופסטיבלים</v>
      </c>
      <c r="BP184" s="125">
        <f t="shared" si="189"/>
        <v>1</v>
      </c>
      <c r="BQ184" s="164">
        <v>0</v>
      </c>
      <c r="BR184" s="164">
        <v>1</v>
      </c>
      <c r="BS184" s="149">
        <f t="shared" si="190"/>
        <v>1</v>
      </c>
      <c r="BT184" s="149">
        <f t="shared" si="191"/>
        <v>1</v>
      </c>
      <c r="BU184" s="149">
        <f t="shared" si="192"/>
        <v>1</v>
      </c>
      <c r="BV184" s="149">
        <f t="shared" si="193"/>
        <v>1</v>
      </c>
      <c r="BW184" s="149">
        <f t="shared" si="194"/>
        <v>1</v>
      </c>
      <c r="BX184" s="149">
        <f t="shared" si="195"/>
        <v>1</v>
      </c>
      <c r="BY184" s="149">
        <f t="shared" si="196"/>
        <v>1</v>
      </c>
      <c r="BZ184" s="149">
        <f t="shared" si="197"/>
        <v>1</v>
      </c>
      <c r="CA184" s="149">
        <f t="shared" si="198"/>
        <v>1</v>
      </c>
      <c r="CB184" s="149">
        <f t="shared" si="199"/>
        <v>1</v>
      </c>
      <c r="CC184" s="149">
        <f t="shared" si="200"/>
        <v>1</v>
      </c>
      <c r="CD184" s="149">
        <f t="shared" si="201"/>
        <v>1</v>
      </c>
      <c r="CE184" s="149">
        <f t="shared" si="202"/>
        <v>1</v>
      </c>
      <c r="CF184" s="149">
        <f t="shared" si="203"/>
        <v>1</v>
      </c>
      <c r="CG184" s="149">
        <f t="shared" si="204"/>
        <v>1</v>
      </c>
      <c r="CH184" s="149">
        <f t="shared" si="205"/>
        <v>1</v>
      </c>
      <c r="CI184" s="149">
        <f t="shared" si="206"/>
        <v>1</v>
      </c>
      <c r="CJ184" s="149">
        <f t="shared" si="207"/>
        <v>1</v>
      </c>
      <c r="CK184" s="149">
        <f t="shared" si="208"/>
        <v>1</v>
      </c>
      <c r="CL184" s="149">
        <f t="shared" si="209"/>
        <v>1</v>
      </c>
      <c r="CM184" s="149">
        <f t="shared" si="210"/>
        <v>1</v>
      </c>
      <c r="CN184" s="149">
        <f t="shared" si="211"/>
        <v>1</v>
      </c>
      <c r="CO184" s="149">
        <f t="shared" si="212"/>
        <v>1</v>
      </c>
      <c r="CP184" s="149">
        <f t="shared" si="213"/>
        <v>1</v>
      </c>
      <c r="CQ184" s="149">
        <f t="shared" si="214"/>
        <v>1</v>
      </c>
      <c r="CR184" s="149">
        <f t="shared" si="215"/>
        <v>1</v>
      </c>
      <c r="CS184" s="149">
        <f t="shared" si="216"/>
        <v>1</v>
      </c>
      <c r="CT184" s="149">
        <f t="shared" si="217"/>
        <v>1</v>
      </c>
      <c r="CU184" s="149">
        <f t="shared" si="218"/>
        <v>1</v>
      </c>
      <c r="CV184" s="149">
        <f t="shared" si="219"/>
        <v>1</v>
      </c>
      <c r="CW184" s="149">
        <f t="shared" si="220"/>
        <v>1</v>
      </c>
      <c r="CX184" s="149">
        <f t="shared" si="221"/>
        <v>1</v>
      </c>
      <c r="CY184" s="149">
        <f t="shared" si="222"/>
        <v>1</v>
      </c>
      <c r="CZ184" s="149">
        <f t="shared" si="223"/>
        <v>1</v>
      </c>
      <c r="DA184" s="149">
        <f t="shared" si="224"/>
        <v>1</v>
      </c>
      <c r="DB184" s="149">
        <f t="shared" si="225"/>
        <v>1</v>
      </c>
      <c r="DG184" s="125">
        <f t="shared" si="186"/>
        <v>1</v>
      </c>
      <c r="DH184" s="125">
        <f t="shared" si="239"/>
        <v>2</v>
      </c>
      <c r="DI184" s="125">
        <f t="shared" si="239"/>
        <v>3</v>
      </c>
      <c r="DJ184" s="125">
        <f t="shared" si="239"/>
        <v>4</v>
      </c>
      <c r="DK184" s="125">
        <f t="shared" si="239"/>
        <v>5</v>
      </c>
      <c r="DL184" s="125">
        <f t="shared" si="239"/>
        <v>6</v>
      </c>
      <c r="DM184" s="125">
        <f t="shared" si="239"/>
        <v>7</v>
      </c>
      <c r="DN184" s="125">
        <f t="shared" si="239"/>
        <v>8</v>
      </c>
      <c r="DO184" s="125">
        <f t="shared" si="239"/>
        <v>9</v>
      </c>
      <c r="DP184" s="125">
        <f t="shared" si="239"/>
        <v>10</v>
      </c>
      <c r="DS184" s="137"/>
      <c r="DT184" s="137"/>
      <c r="DU184" s="137"/>
      <c r="DV184" s="137" t="b">
        <f t="shared" si="226"/>
        <v>0</v>
      </c>
      <c r="DW184" s="137" t="b">
        <f t="shared" si="227"/>
        <v>0</v>
      </c>
      <c r="DX184" s="137" t="b">
        <f t="shared" si="228"/>
        <v>1</v>
      </c>
      <c r="EB184" s="131">
        <f t="shared" si="237"/>
        <v>1</v>
      </c>
      <c r="EC184" s="137" t="b">
        <f t="shared" si="229"/>
        <v>0</v>
      </c>
      <c r="ED184" s="137" t="b">
        <f t="shared" si="230"/>
        <v>0</v>
      </c>
      <c r="EE184" s="137" t="b">
        <f t="shared" si="231"/>
        <v>1</v>
      </c>
      <c r="EF184" s="137"/>
      <c r="EG184" s="137"/>
      <c r="EH184" s="137"/>
      <c r="EI184" s="137"/>
      <c r="EJ184" s="137">
        <f t="shared" si="238"/>
        <v>1</v>
      </c>
      <c r="EK184" s="125">
        <f t="shared" si="232"/>
        <v>0</v>
      </c>
      <c r="EL184" s="125">
        <f t="shared" si="233"/>
        <v>0</v>
      </c>
    </row>
    <row r="185" spans="2:142" ht="15.75" x14ac:dyDescent="0.25">
      <c r="B185" s="160">
        <f t="shared" si="234"/>
        <v>155</v>
      </c>
      <c r="C185" s="283">
        <v>1001349214</v>
      </c>
      <c r="D185" s="283">
        <v>1001275601</v>
      </c>
      <c r="E185" s="281">
        <v>40395783</v>
      </c>
      <c r="F185" s="118">
        <f>IF(OR(J185="",H185=""),"",VLOOKUP(J185,'הזנה לסיווג רשויות'!$B$2:$D$301,2,0))</f>
        <v>20000139</v>
      </c>
      <c r="G185" s="118" t="str">
        <f>IF(OR(J185="",H185=""),"",VLOOKUP(J185,'הזנה לסיווג רשויות'!$B$2:$D$301,3,0))</f>
        <v>מטה אשר</v>
      </c>
      <c r="H185" s="281" t="s">
        <v>652</v>
      </c>
      <c r="I185" s="201" t="s">
        <v>374</v>
      </c>
      <c r="J185" s="205">
        <v>4</v>
      </c>
      <c r="K185" s="161">
        <v>0</v>
      </c>
      <c r="L185" s="161">
        <v>1</v>
      </c>
      <c r="M185" s="161">
        <v>0</v>
      </c>
      <c r="N185" s="161">
        <v>0</v>
      </c>
      <c r="O185" s="161">
        <v>1</v>
      </c>
      <c r="P185" s="161">
        <v>1</v>
      </c>
      <c r="Q185" s="161">
        <v>1</v>
      </c>
      <c r="R185" s="201">
        <v>18688227</v>
      </c>
      <c r="S185" s="201">
        <v>9293339</v>
      </c>
      <c r="T185" s="160">
        <f>IF(G185="","",IFERROR(IF(S185/R185&gt;'פרמטרים לקריטריונים'!$C$20,1,0),0))</f>
        <v>1</v>
      </c>
      <c r="U185" s="201">
        <v>5982505</v>
      </c>
      <c r="V185" s="160">
        <f>IF(G185="","",IFERROR(IF(U185/R185&gt;'פרמטרים לקריטריונים'!$C$21,1,IF(AND(I185=$BW$5,U185/R185&gt;'פרמטרים לקריטריונים'!$C$22),1,0)),0))</f>
        <v>1</v>
      </c>
      <c r="W185" s="161">
        <v>1</v>
      </c>
      <c r="X185" s="161">
        <v>1</v>
      </c>
      <c r="Y185" s="201">
        <v>3000000</v>
      </c>
      <c r="Z185" s="201">
        <v>50000</v>
      </c>
      <c r="AA185" s="161">
        <f t="shared" si="235"/>
        <v>1</v>
      </c>
      <c r="AB185" s="161"/>
      <c r="AC185" s="161"/>
      <c r="AD185" s="161"/>
      <c r="AE185" s="161"/>
      <c r="AF185" s="161"/>
      <c r="AG185" s="161"/>
      <c r="AH185" s="161"/>
      <c r="AI185" s="161"/>
      <c r="AJ185" s="161"/>
      <c r="AK185" s="161"/>
      <c r="AL185" s="161"/>
      <c r="AM185" s="161"/>
      <c r="AN185" s="161"/>
      <c r="AO185" s="161"/>
      <c r="AP185" s="161"/>
      <c r="AQ185" s="161"/>
      <c r="AR185" s="161"/>
      <c r="AS185" s="161"/>
      <c r="AT185" s="161"/>
      <c r="AU185" s="161"/>
      <c r="AV185" s="161"/>
      <c r="AW185" s="160"/>
      <c r="AX185" s="161"/>
      <c r="AY185" s="161"/>
      <c r="AZ185" s="161"/>
      <c r="BA185" s="161"/>
      <c r="BB185" s="161"/>
      <c r="BC185" s="161"/>
      <c r="BD185" s="161"/>
      <c r="BE185" s="161"/>
      <c r="BF185" s="160" t="str">
        <f t="shared" si="236"/>
        <v/>
      </c>
      <c r="BG185" s="160"/>
      <c r="BH185" s="160"/>
      <c r="BI185" s="160"/>
      <c r="BJ185" s="160"/>
      <c r="BK185" s="160"/>
      <c r="BL185" s="162">
        <f t="shared" si="187"/>
        <v>1</v>
      </c>
      <c r="BM185" s="257"/>
      <c r="BN185" s="163"/>
      <c r="BO185" s="211" t="str">
        <f t="shared" si="188"/>
        <v>להקת המחול הקיבוצית (ע"ר)מחול</v>
      </c>
      <c r="BP185" s="125">
        <f t="shared" si="189"/>
        <v>1</v>
      </c>
      <c r="BQ185" s="164">
        <v>0</v>
      </c>
      <c r="BR185" s="164">
        <v>1</v>
      </c>
      <c r="BS185" s="149">
        <f t="shared" si="190"/>
        <v>1</v>
      </c>
      <c r="BT185" s="149">
        <f t="shared" si="191"/>
        <v>1</v>
      </c>
      <c r="BU185" s="149">
        <f t="shared" si="192"/>
        <v>1</v>
      </c>
      <c r="BV185" s="149">
        <f t="shared" si="193"/>
        <v>1</v>
      </c>
      <c r="BW185" s="149">
        <f t="shared" si="194"/>
        <v>1</v>
      </c>
      <c r="BX185" s="149">
        <f t="shared" si="195"/>
        <v>1</v>
      </c>
      <c r="BY185" s="149">
        <f t="shared" si="196"/>
        <v>1</v>
      </c>
      <c r="BZ185" s="149">
        <f t="shared" si="197"/>
        <v>1</v>
      </c>
      <c r="CA185" s="149">
        <f t="shared" si="198"/>
        <v>1</v>
      </c>
      <c r="CB185" s="149">
        <f t="shared" si="199"/>
        <v>1</v>
      </c>
      <c r="CC185" s="149">
        <f t="shared" si="200"/>
        <v>1</v>
      </c>
      <c r="CD185" s="149">
        <f t="shared" si="201"/>
        <v>1</v>
      </c>
      <c r="CE185" s="149">
        <f t="shared" si="202"/>
        <v>1</v>
      </c>
      <c r="CF185" s="149">
        <f t="shared" si="203"/>
        <v>1</v>
      </c>
      <c r="CG185" s="149">
        <f t="shared" si="204"/>
        <v>1</v>
      </c>
      <c r="CH185" s="149">
        <f t="shared" si="205"/>
        <v>1</v>
      </c>
      <c r="CI185" s="149">
        <f t="shared" si="206"/>
        <v>1</v>
      </c>
      <c r="CJ185" s="149">
        <f t="shared" si="207"/>
        <v>1</v>
      </c>
      <c r="CK185" s="149">
        <f t="shared" si="208"/>
        <v>1</v>
      </c>
      <c r="CL185" s="149">
        <f t="shared" si="209"/>
        <v>1</v>
      </c>
      <c r="CM185" s="149">
        <f t="shared" si="210"/>
        <v>1</v>
      </c>
      <c r="CN185" s="149">
        <f t="shared" si="211"/>
        <v>1</v>
      </c>
      <c r="CO185" s="149">
        <f t="shared" si="212"/>
        <v>1</v>
      </c>
      <c r="CP185" s="149">
        <f t="shared" si="213"/>
        <v>1</v>
      </c>
      <c r="CQ185" s="149">
        <f t="shared" si="214"/>
        <v>1</v>
      </c>
      <c r="CR185" s="149">
        <f t="shared" si="215"/>
        <v>1</v>
      </c>
      <c r="CS185" s="149">
        <f t="shared" si="216"/>
        <v>1</v>
      </c>
      <c r="CT185" s="149">
        <f t="shared" si="217"/>
        <v>1</v>
      </c>
      <c r="CU185" s="149">
        <f t="shared" si="218"/>
        <v>1</v>
      </c>
      <c r="CV185" s="149">
        <f t="shared" si="219"/>
        <v>1</v>
      </c>
      <c r="CW185" s="149">
        <f t="shared" si="220"/>
        <v>1</v>
      </c>
      <c r="CX185" s="149">
        <f t="shared" si="221"/>
        <v>1</v>
      </c>
      <c r="CY185" s="149">
        <f t="shared" si="222"/>
        <v>1</v>
      </c>
      <c r="CZ185" s="149">
        <f t="shared" si="223"/>
        <v>1</v>
      </c>
      <c r="DA185" s="149">
        <f t="shared" si="224"/>
        <v>1</v>
      </c>
      <c r="DB185" s="149">
        <f t="shared" si="225"/>
        <v>1</v>
      </c>
      <c r="DG185" s="125">
        <f t="shared" si="186"/>
        <v>1</v>
      </c>
      <c r="DH185" s="125">
        <f t="shared" si="239"/>
        <v>2</v>
      </c>
      <c r="DI185" s="125">
        <f t="shared" si="239"/>
        <v>3</v>
      </c>
      <c r="DJ185" s="125">
        <f t="shared" si="239"/>
        <v>4</v>
      </c>
      <c r="DK185" s="125">
        <f t="shared" si="239"/>
        <v>5</v>
      </c>
      <c r="DL185" s="125">
        <f t="shared" si="239"/>
        <v>6</v>
      </c>
      <c r="DM185" s="125">
        <f t="shared" si="239"/>
        <v>7</v>
      </c>
      <c r="DN185" s="125">
        <f t="shared" si="239"/>
        <v>8</v>
      </c>
      <c r="DO185" s="125">
        <f t="shared" si="239"/>
        <v>9</v>
      </c>
      <c r="DP185" s="125">
        <f t="shared" si="239"/>
        <v>10</v>
      </c>
      <c r="DS185" s="137"/>
      <c r="DT185" s="137"/>
      <c r="DU185" s="137"/>
      <c r="DV185" s="137" t="b">
        <f t="shared" si="226"/>
        <v>0</v>
      </c>
      <c r="DW185" s="137" t="b">
        <f t="shared" si="227"/>
        <v>0</v>
      </c>
      <c r="DX185" s="137" t="b">
        <f t="shared" si="228"/>
        <v>1</v>
      </c>
      <c r="EB185" s="131">
        <f t="shared" si="237"/>
        <v>1</v>
      </c>
      <c r="EC185" s="137" t="b">
        <f t="shared" si="229"/>
        <v>0</v>
      </c>
      <c r="ED185" s="137" t="b">
        <f t="shared" si="230"/>
        <v>0</v>
      </c>
      <c r="EE185" s="137" t="b">
        <f t="shared" si="231"/>
        <v>1</v>
      </c>
      <c r="EF185" s="137"/>
      <c r="EG185" s="137"/>
      <c r="EH185" s="137"/>
      <c r="EI185" s="137"/>
      <c r="EJ185" s="137">
        <f t="shared" si="238"/>
        <v>1</v>
      </c>
      <c r="EK185" s="125">
        <f t="shared" si="232"/>
        <v>0</v>
      </c>
      <c r="EL185" s="125">
        <f t="shared" si="233"/>
        <v>0</v>
      </c>
    </row>
    <row r="186" spans="2:142" ht="15.75" x14ac:dyDescent="0.25">
      <c r="B186" s="160">
        <f t="shared" si="234"/>
        <v>156</v>
      </c>
      <c r="C186" s="283">
        <v>1001350960</v>
      </c>
      <c r="D186" s="283">
        <v>1001273357</v>
      </c>
      <c r="E186" s="281">
        <v>40404400</v>
      </c>
      <c r="F186" s="118">
        <f>IF(OR(J186="",H186=""),"",VLOOKUP(J186,'הזנה לסיווג רשויות'!$B$2:$D$301,2,0))</f>
        <v>20000159</v>
      </c>
      <c r="G186" s="118" t="str">
        <f>IF(OR(J186="",H186=""),"",VLOOKUP(J186,'הזנה לסיווג רשויות'!$B$2:$D$301,3,0))</f>
        <v>ירושלים</v>
      </c>
      <c r="H186" s="281" t="s">
        <v>653</v>
      </c>
      <c r="I186" s="201" t="s">
        <v>564</v>
      </c>
      <c r="J186" s="205">
        <v>3000</v>
      </c>
      <c r="K186" s="161">
        <v>0</v>
      </c>
      <c r="L186" s="161">
        <v>1</v>
      </c>
      <c r="M186" s="161">
        <v>0</v>
      </c>
      <c r="N186" s="161">
        <v>1</v>
      </c>
      <c r="O186" s="161">
        <v>1</v>
      </c>
      <c r="P186" s="161">
        <v>1</v>
      </c>
      <c r="Q186" s="161">
        <v>1</v>
      </c>
      <c r="R186" s="201">
        <v>1052640</v>
      </c>
      <c r="S186" s="201">
        <v>513552</v>
      </c>
      <c r="T186" s="160">
        <f>IF(G186="","",IFERROR(IF(S186/R186&gt;'פרמטרים לקריטריונים'!$C$20,1,0),0))</f>
        <v>1</v>
      </c>
      <c r="U186" s="201">
        <v>217297</v>
      </c>
      <c r="V186" s="160">
        <f>IF(G186="","",IFERROR(IF(U186/R186&gt;'פרמטרים לקריטריונים'!$C$21,1,IF(AND(I186=$BW$5,U186/R186&gt;'פרמטרים לקריטריונים'!$C$22),1,0)),0))</f>
        <v>1</v>
      </c>
      <c r="W186" s="161">
        <v>1</v>
      </c>
      <c r="X186" s="161">
        <v>1</v>
      </c>
      <c r="Y186" s="201">
        <v>800000</v>
      </c>
      <c r="Z186" s="201">
        <v>500000</v>
      </c>
      <c r="AA186" s="161">
        <f t="shared" si="235"/>
        <v>1</v>
      </c>
      <c r="AB186" s="161"/>
      <c r="AC186" s="161"/>
      <c r="AD186" s="161"/>
      <c r="AE186" s="161"/>
      <c r="AF186" s="161"/>
      <c r="AG186" s="161"/>
      <c r="AH186" s="161"/>
      <c r="AI186" s="161"/>
      <c r="AJ186" s="161"/>
      <c r="AK186" s="161"/>
      <c r="AL186" s="161"/>
      <c r="AM186" s="161"/>
      <c r="AN186" s="161"/>
      <c r="AO186" s="161"/>
      <c r="AP186" s="161"/>
      <c r="AQ186" s="161"/>
      <c r="AR186" s="161"/>
      <c r="AS186" s="161"/>
      <c r="AT186" s="161"/>
      <c r="AU186" s="161"/>
      <c r="AV186" s="161"/>
      <c r="AW186" s="160"/>
      <c r="AX186" s="161"/>
      <c r="AY186" s="161"/>
      <c r="AZ186" s="161"/>
      <c r="BA186" s="161"/>
      <c r="BB186" s="161"/>
      <c r="BC186" s="161"/>
      <c r="BD186" s="161"/>
      <c r="BE186" s="161"/>
      <c r="BF186" s="160" t="str">
        <f t="shared" si="236"/>
        <v/>
      </c>
      <c r="BG186" s="160"/>
      <c r="BH186" s="160"/>
      <c r="BI186" s="160"/>
      <c r="BJ186" s="160"/>
      <c r="BK186" s="160"/>
      <c r="BL186" s="162">
        <f t="shared" si="187"/>
        <v>1</v>
      </c>
      <c r="BM186" s="257"/>
      <c r="BN186" s="163"/>
      <c r="BO186" s="211" t="str">
        <f t="shared" si="188"/>
        <v>סדנאות האמניםאחר</v>
      </c>
      <c r="BP186" s="125">
        <f t="shared" si="189"/>
        <v>1</v>
      </c>
      <c r="BQ186" s="164">
        <v>0</v>
      </c>
      <c r="BR186" s="164">
        <v>1</v>
      </c>
      <c r="BS186" s="149">
        <f t="shared" si="190"/>
        <v>1</v>
      </c>
      <c r="BT186" s="149">
        <f t="shared" si="191"/>
        <v>1</v>
      </c>
      <c r="BU186" s="149">
        <f t="shared" si="192"/>
        <v>1</v>
      </c>
      <c r="BV186" s="149">
        <f t="shared" si="193"/>
        <v>1</v>
      </c>
      <c r="BW186" s="149">
        <f t="shared" si="194"/>
        <v>1</v>
      </c>
      <c r="BX186" s="149">
        <f t="shared" si="195"/>
        <v>1</v>
      </c>
      <c r="BY186" s="149">
        <f t="shared" si="196"/>
        <v>1</v>
      </c>
      <c r="BZ186" s="149">
        <f t="shared" si="197"/>
        <v>1</v>
      </c>
      <c r="CA186" s="149">
        <f t="shared" si="198"/>
        <v>1</v>
      </c>
      <c r="CB186" s="149">
        <f t="shared" si="199"/>
        <v>1</v>
      </c>
      <c r="CC186" s="149">
        <f t="shared" si="200"/>
        <v>1</v>
      </c>
      <c r="CD186" s="149">
        <f t="shared" si="201"/>
        <v>1</v>
      </c>
      <c r="CE186" s="149">
        <f t="shared" si="202"/>
        <v>1</v>
      </c>
      <c r="CF186" s="149">
        <f t="shared" si="203"/>
        <v>1</v>
      </c>
      <c r="CG186" s="149">
        <f t="shared" si="204"/>
        <v>1</v>
      </c>
      <c r="CH186" s="149">
        <f t="shared" si="205"/>
        <v>1</v>
      </c>
      <c r="CI186" s="149">
        <f t="shared" si="206"/>
        <v>1</v>
      </c>
      <c r="CJ186" s="149">
        <f t="shared" si="207"/>
        <v>1</v>
      </c>
      <c r="CK186" s="149">
        <f t="shared" si="208"/>
        <v>1</v>
      </c>
      <c r="CL186" s="149">
        <f t="shared" si="209"/>
        <v>1</v>
      </c>
      <c r="CM186" s="149">
        <f t="shared" si="210"/>
        <v>1</v>
      </c>
      <c r="CN186" s="149">
        <f t="shared" si="211"/>
        <v>1</v>
      </c>
      <c r="CO186" s="149">
        <f t="shared" si="212"/>
        <v>1</v>
      </c>
      <c r="CP186" s="149">
        <f t="shared" si="213"/>
        <v>1</v>
      </c>
      <c r="CQ186" s="149">
        <f t="shared" si="214"/>
        <v>1</v>
      </c>
      <c r="CR186" s="149">
        <f t="shared" si="215"/>
        <v>1</v>
      </c>
      <c r="CS186" s="149">
        <f t="shared" si="216"/>
        <v>1</v>
      </c>
      <c r="CT186" s="149">
        <f t="shared" si="217"/>
        <v>1</v>
      </c>
      <c r="CU186" s="149">
        <f t="shared" si="218"/>
        <v>1</v>
      </c>
      <c r="CV186" s="149">
        <f t="shared" si="219"/>
        <v>1</v>
      </c>
      <c r="CW186" s="149">
        <f t="shared" si="220"/>
        <v>1</v>
      </c>
      <c r="CX186" s="149">
        <f t="shared" si="221"/>
        <v>1</v>
      </c>
      <c r="CY186" s="149">
        <f t="shared" si="222"/>
        <v>1</v>
      </c>
      <c r="CZ186" s="149">
        <f t="shared" si="223"/>
        <v>1</v>
      </c>
      <c r="DA186" s="149">
        <f t="shared" si="224"/>
        <v>1</v>
      </c>
      <c r="DB186" s="149">
        <f t="shared" si="225"/>
        <v>1</v>
      </c>
      <c r="DG186" s="125">
        <f t="shared" si="186"/>
        <v>1</v>
      </c>
      <c r="DH186" s="125">
        <f t="shared" si="239"/>
        <v>2</v>
      </c>
      <c r="DI186" s="125">
        <f t="shared" si="239"/>
        <v>3</v>
      </c>
      <c r="DJ186" s="125">
        <f t="shared" si="239"/>
        <v>4</v>
      </c>
      <c r="DK186" s="125">
        <f t="shared" si="239"/>
        <v>5</v>
      </c>
      <c r="DL186" s="125">
        <f t="shared" si="239"/>
        <v>6</v>
      </c>
      <c r="DM186" s="125">
        <f t="shared" si="239"/>
        <v>7</v>
      </c>
      <c r="DN186" s="125">
        <f t="shared" si="239"/>
        <v>8</v>
      </c>
      <c r="DO186" s="125">
        <f t="shared" si="239"/>
        <v>9</v>
      </c>
      <c r="DP186" s="125">
        <f t="shared" si="239"/>
        <v>10</v>
      </c>
      <c r="DS186" s="137"/>
      <c r="DT186" s="137"/>
      <c r="DU186" s="137"/>
      <c r="DV186" s="137" t="b">
        <f t="shared" si="226"/>
        <v>0</v>
      </c>
      <c r="DW186" s="137" t="b">
        <f t="shared" si="227"/>
        <v>0</v>
      </c>
      <c r="DX186" s="137" t="b">
        <f t="shared" si="228"/>
        <v>1</v>
      </c>
      <c r="EB186" s="131">
        <f t="shared" si="237"/>
        <v>1</v>
      </c>
      <c r="EC186" s="137" t="b">
        <f t="shared" si="229"/>
        <v>0</v>
      </c>
      <c r="ED186" s="137" t="b">
        <f t="shared" si="230"/>
        <v>0</v>
      </c>
      <c r="EE186" s="137" t="b">
        <f t="shared" si="231"/>
        <v>1</v>
      </c>
      <c r="EF186" s="137"/>
      <c r="EG186" s="137"/>
      <c r="EH186" s="137"/>
      <c r="EI186" s="137"/>
      <c r="EJ186" s="137">
        <f t="shared" si="238"/>
        <v>1</v>
      </c>
      <c r="EK186" s="125">
        <f t="shared" si="232"/>
        <v>0</v>
      </c>
      <c r="EL186" s="125">
        <f t="shared" si="233"/>
        <v>0</v>
      </c>
    </row>
    <row r="187" spans="2:142" ht="15.75" x14ac:dyDescent="0.25">
      <c r="B187" s="160">
        <f t="shared" si="234"/>
        <v>157</v>
      </c>
      <c r="C187" s="283">
        <v>1001347605</v>
      </c>
      <c r="D187" s="283">
        <v>1001268753</v>
      </c>
      <c r="E187" s="281">
        <v>40507218</v>
      </c>
      <c r="F187" s="118">
        <f>IF(OR(J187="",H187=""),"",VLOOKUP(J187,'הזנה לסיווג רשויות'!$B$2:$D$301,2,0))</f>
        <v>20000122</v>
      </c>
      <c r="G187" s="118" t="str">
        <f>IF(OR(J187="",H187=""),"",VLOOKUP(J187,'הזנה לסיווג רשויות'!$B$2:$D$301,3,0))</f>
        <v>אלעד</v>
      </c>
      <c r="H187" s="281" t="s">
        <v>654</v>
      </c>
      <c r="I187" s="201" t="s">
        <v>373</v>
      </c>
      <c r="J187" s="205">
        <v>1309</v>
      </c>
      <c r="K187" s="161">
        <v>0</v>
      </c>
      <c r="L187" s="161">
        <v>1</v>
      </c>
      <c r="M187" s="161">
        <v>0</v>
      </c>
      <c r="N187" s="161">
        <v>0</v>
      </c>
      <c r="O187" s="161">
        <v>1</v>
      </c>
      <c r="P187" s="161">
        <v>1</v>
      </c>
      <c r="Q187" s="161">
        <v>1</v>
      </c>
      <c r="R187" s="201">
        <v>1809543</v>
      </c>
      <c r="S187" s="201">
        <v>1809543</v>
      </c>
      <c r="T187" s="160">
        <f>IF(G187="","",IFERROR(IF(S187/R187&gt;'פרמטרים לקריטריונים'!$C$20,1,0),0))</f>
        <v>1</v>
      </c>
      <c r="U187" s="201">
        <v>1809543</v>
      </c>
      <c r="V187" s="160">
        <f>IF(G187="","",IFERROR(IF(U187/R187&gt;'פרמטרים לקריטריונים'!$C$21,1,IF(AND(I187=$BW$5,U187/R187&gt;'פרמטרים לקריטריונים'!$C$22),1,0)),0))</f>
        <v>1</v>
      </c>
      <c r="W187" s="161">
        <v>1</v>
      </c>
      <c r="X187" s="161">
        <v>1</v>
      </c>
      <c r="Y187" s="201">
        <v>2500000</v>
      </c>
      <c r="Z187" s="201">
        <v>1000000</v>
      </c>
      <c r="AA187" s="161">
        <f t="shared" si="235"/>
        <v>1</v>
      </c>
      <c r="AB187" s="161"/>
      <c r="AC187" s="161"/>
      <c r="AD187" s="161"/>
      <c r="AE187" s="161"/>
      <c r="AF187" s="161"/>
      <c r="AG187" s="161"/>
      <c r="AH187" s="161"/>
      <c r="AI187" s="161"/>
      <c r="AJ187" s="161"/>
      <c r="AK187" s="161"/>
      <c r="AL187" s="161"/>
      <c r="AM187" s="161"/>
      <c r="AN187" s="161"/>
      <c r="AO187" s="161"/>
      <c r="AP187" s="161"/>
      <c r="AQ187" s="161"/>
      <c r="AR187" s="161"/>
      <c r="AS187" s="161"/>
      <c r="AT187" s="161"/>
      <c r="AU187" s="161"/>
      <c r="AV187" s="161"/>
      <c r="AW187" s="160"/>
      <c r="AX187" s="161"/>
      <c r="AY187" s="161"/>
      <c r="AZ187" s="161"/>
      <c r="BA187" s="161"/>
      <c r="BB187" s="161"/>
      <c r="BC187" s="161"/>
      <c r="BD187" s="161"/>
      <c r="BE187" s="161"/>
      <c r="BF187" s="160" t="str">
        <f t="shared" si="236"/>
        <v/>
      </c>
      <c r="BG187" s="160"/>
      <c r="BH187" s="160"/>
      <c r="BI187" s="160"/>
      <c r="BJ187" s="160"/>
      <c r="BK187" s="160"/>
      <c r="BL187" s="162">
        <f t="shared" si="187"/>
        <v>1</v>
      </c>
      <c r="BM187" s="257"/>
      <c r="BN187" s="163"/>
      <c r="BO187" s="211" t="str">
        <f t="shared" si="188"/>
        <v>ארגון אמנים משמחי לב (ע"ר)תיאטרון</v>
      </c>
      <c r="BP187" s="125">
        <f t="shared" si="189"/>
        <v>1</v>
      </c>
      <c r="BQ187" s="164">
        <v>0</v>
      </c>
      <c r="BR187" s="164">
        <v>1</v>
      </c>
      <c r="BS187" s="149">
        <f t="shared" si="190"/>
        <v>1</v>
      </c>
      <c r="BT187" s="149">
        <f t="shared" si="191"/>
        <v>1</v>
      </c>
      <c r="BU187" s="149">
        <f t="shared" si="192"/>
        <v>1</v>
      </c>
      <c r="BV187" s="149">
        <f t="shared" si="193"/>
        <v>1</v>
      </c>
      <c r="BW187" s="149">
        <f t="shared" si="194"/>
        <v>1</v>
      </c>
      <c r="BX187" s="149">
        <f t="shared" si="195"/>
        <v>1</v>
      </c>
      <c r="BY187" s="149">
        <f t="shared" si="196"/>
        <v>1</v>
      </c>
      <c r="BZ187" s="149">
        <f t="shared" si="197"/>
        <v>1</v>
      </c>
      <c r="CA187" s="149">
        <f t="shared" si="198"/>
        <v>1</v>
      </c>
      <c r="CB187" s="149">
        <f t="shared" si="199"/>
        <v>1</v>
      </c>
      <c r="CC187" s="149">
        <f t="shared" si="200"/>
        <v>1</v>
      </c>
      <c r="CD187" s="149">
        <f t="shared" si="201"/>
        <v>1</v>
      </c>
      <c r="CE187" s="149">
        <f t="shared" si="202"/>
        <v>1</v>
      </c>
      <c r="CF187" s="149">
        <f t="shared" si="203"/>
        <v>1</v>
      </c>
      <c r="CG187" s="149">
        <f t="shared" si="204"/>
        <v>1</v>
      </c>
      <c r="CH187" s="149">
        <f t="shared" si="205"/>
        <v>1</v>
      </c>
      <c r="CI187" s="149">
        <f t="shared" si="206"/>
        <v>1</v>
      </c>
      <c r="CJ187" s="149">
        <f t="shared" si="207"/>
        <v>1</v>
      </c>
      <c r="CK187" s="149">
        <f t="shared" si="208"/>
        <v>1</v>
      </c>
      <c r="CL187" s="149">
        <f t="shared" si="209"/>
        <v>1</v>
      </c>
      <c r="CM187" s="149">
        <f t="shared" si="210"/>
        <v>1</v>
      </c>
      <c r="CN187" s="149">
        <f t="shared" si="211"/>
        <v>1</v>
      </c>
      <c r="CO187" s="149">
        <f t="shared" si="212"/>
        <v>1</v>
      </c>
      <c r="CP187" s="149">
        <f t="shared" si="213"/>
        <v>1</v>
      </c>
      <c r="CQ187" s="149">
        <f t="shared" si="214"/>
        <v>1</v>
      </c>
      <c r="CR187" s="149">
        <f t="shared" si="215"/>
        <v>1</v>
      </c>
      <c r="CS187" s="149">
        <f t="shared" si="216"/>
        <v>1</v>
      </c>
      <c r="CT187" s="149">
        <f t="shared" si="217"/>
        <v>1</v>
      </c>
      <c r="CU187" s="149">
        <f t="shared" si="218"/>
        <v>1</v>
      </c>
      <c r="CV187" s="149">
        <f t="shared" si="219"/>
        <v>1</v>
      </c>
      <c r="CW187" s="149">
        <f t="shared" si="220"/>
        <v>1</v>
      </c>
      <c r="CX187" s="149">
        <f t="shared" si="221"/>
        <v>1</v>
      </c>
      <c r="CY187" s="149">
        <f t="shared" si="222"/>
        <v>1</v>
      </c>
      <c r="CZ187" s="149">
        <f t="shared" si="223"/>
        <v>1</v>
      </c>
      <c r="DA187" s="149">
        <f t="shared" si="224"/>
        <v>1</v>
      </c>
      <c r="DB187" s="149">
        <f t="shared" si="225"/>
        <v>1</v>
      </c>
      <c r="DG187" s="125">
        <f t="shared" si="186"/>
        <v>1</v>
      </c>
      <c r="DH187" s="125">
        <f t="shared" si="239"/>
        <v>2</v>
      </c>
      <c r="DI187" s="125">
        <f t="shared" si="239"/>
        <v>3</v>
      </c>
      <c r="DJ187" s="125">
        <f t="shared" si="239"/>
        <v>4</v>
      </c>
      <c r="DK187" s="125">
        <f t="shared" si="239"/>
        <v>5</v>
      </c>
      <c r="DL187" s="125">
        <f t="shared" si="239"/>
        <v>6</v>
      </c>
      <c r="DM187" s="125">
        <f t="shared" si="239"/>
        <v>7</v>
      </c>
      <c r="DN187" s="125">
        <f t="shared" si="239"/>
        <v>8</v>
      </c>
      <c r="DO187" s="125">
        <f t="shared" si="239"/>
        <v>9</v>
      </c>
      <c r="DP187" s="125">
        <f t="shared" si="239"/>
        <v>10</v>
      </c>
      <c r="DS187" s="137"/>
      <c r="DT187" s="137"/>
      <c r="DU187" s="137"/>
      <c r="DV187" s="137" t="b">
        <f t="shared" si="226"/>
        <v>0</v>
      </c>
      <c r="DW187" s="137" t="b">
        <f t="shared" si="227"/>
        <v>0</v>
      </c>
      <c r="DX187" s="137" t="b">
        <f t="shared" si="228"/>
        <v>1</v>
      </c>
      <c r="EB187" s="131">
        <f t="shared" si="237"/>
        <v>1</v>
      </c>
      <c r="EC187" s="137" t="b">
        <f t="shared" si="229"/>
        <v>0</v>
      </c>
      <c r="ED187" s="137" t="b">
        <f t="shared" si="230"/>
        <v>0</v>
      </c>
      <c r="EE187" s="137" t="b">
        <f t="shared" si="231"/>
        <v>1</v>
      </c>
      <c r="EF187" s="137"/>
      <c r="EG187" s="137"/>
      <c r="EH187" s="137"/>
      <c r="EI187" s="137"/>
      <c r="EJ187" s="137">
        <f t="shared" si="238"/>
        <v>1</v>
      </c>
      <c r="EK187" s="125">
        <f t="shared" si="232"/>
        <v>0</v>
      </c>
      <c r="EL187" s="125">
        <f t="shared" si="233"/>
        <v>0</v>
      </c>
    </row>
    <row r="188" spans="2:142" ht="15.75" x14ac:dyDescent="0.25">
      <c r="B188" s="160">
        <f t="shared" si="234"/>
        <v>158</v>
      </c>
      <c r="C188" s="283">
        <v>1001347746</v>
      </c>
      <c r="D188" s="283">
        <v>1001278693</v>
      </c>
      <c r="E188" s="281">
        <v>40521896</v>
      </c>
      <c r="F188" s="118">
        <f>IF(OR(J188="",H188=""),"",VLOOKUP(J188,'הזנה לסיווג רשויות'!$B$2:$D$301,2,0))</f>
        <v>20000254</v>
      </c>
      <c r="G188" s="118" t="str">
        <f>IF(OR(J188="",H188=""),"",VLOOKUP(J188,'הזנה לסיווג רשויות'!$B$2:$D$301,3,0))</f>
        <v>באר שבע</v>
      </c>
      <c r="H188" s="281" t="s">
        <v>655</v>
      </c>
      <c r="I188" s="201" t="s">
        <v>564</v>
      </c>
      <c r="J188" s="205">
        <v>9000</v>
      </c>
      <c r="K188" s="161">
        <v>0</v>
      </c>
      <c r="L188" s="161">
        <v>1</v>
      </c>
      <c r="M188" s="161">
        <v>0</v>
      </c>
      <c r="N188" s="161">
        <v>1</v>
      </c>
      <c r="O188" s="161">
        <v>1</v>
      </c>
      <c r="P188" s="161">
        <v>1</v>
      </c>
      <c r="Q188" s="161">
        <v>1</v>
      </c>
      <c r="R188" s="201">
        <v>1992560</v>
      </c>
      <c r="S188" s="201">
        <v>808595</v>
      </c>
      <c r="T188" s="160">
        <f>IF(G188="","",IFERROR(IF(S188/R188&gt;'פרמטרים לקריטריונים'!$C$20,1,0),0))</f>
        <v>1</v>
      </c>
      <c r="U188" s="201">
        <v>808595</v>
      </c>
      <c r="V188" s="160">
        <f>IF(G188="","",IFERROR(IF(U188/R188&gt;'פרמטרים לקריטריונים'!$C$21,1,IF(AND(I188=$BW$5,U188/R188&gt;'פרמטרים לקריטריונים'!$C$22),1,0)),0))</f>
        <v>1</v>
      </c>
      <c r="W188" s="161">
        <v>1</v>
      </c>
      <c r="X188" s="161">
        <v>1</v>
      </c>
      <c r="Y188" s="201">
        <v>2500000</v>
      </c>
      <c r="Z188" s="201">
        <v>2500000</v>
      </c>
      <c r="AA188" s="161">
        <f t="shared" si="235"/>
        <v>1</v>
      </c>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c r="AW188" s="160"/>
      <c r="AX188" s="161"/>
      <c r="AY188" s="161"/>
      <c r="AZ188" s="161"/>
      <c r="BA188" s="161"/>
      <c r="BB188" s="161"/>
      <c r="BC188" s="161"/>
      <c r="BD188" s="161"/>
      <c r="BE188" s="161"/>
      <c r="BF188" s="160" t="str">
        <f t="shared" si="236"/>
        <v/>
      </c>
      <c r="BG188" s="160"/>
      <c r="BH188" s="160"/>
      <c r="BI188" s="160"/>
      <c r="BJ188" s="160"/>
      <c r="BK188" s="160"/>
      <c r="BL188" s="162">
        <f t="shared" si="187"/>
        <v>1</v>
      </c>
      <c r="BM188" s="257"/>
      <c r="BN188" s="163"/>
      <c r="BO188" s="211" t="str">
        <f t="shared" si="188"/>
        <v>תיאטרון הפרינג' באר שבע (ע"ר)אחר</v>
      </c>
      <c r="BP188" s="125">
        <f t="shared" si="189"/>
        <v>1</v>
      </c>
      <c r="BQ188" s="164">
        <v>0</v>
      </c>
      <c r="BR188" s="164">
        <v>1</v>
      </c>
      <c r="BS188" s="149">
        <f t="shared" si="190"/>
        <v>1</v>
      </c>
      <c r="BT188" s="149">
        <f t="shared" si="191"/>
        <v>1</v>
      </c>
      <c r="BU188" s="149">
        <f t="shared" si="192"/>
        <v>1</v>
      </c>
      <c r="BV188" s="149">
        <f t="shared" si="193"/>
        <v>1</v>
      </c>
      <c r="BW188" s="149">
        <f t="shared" si="194"/>
        <v>1</v>
      </c>
      <c r="BX188" s="149">
        <f t="shared" si="195"/>
        <v>1</v>
      </c>
      <c r="BY188" s="149">
        <f t="shared" si="196"/>
        <v>1</v>
      </c>
      <c r="BZ188" s="149">
        <f t="shared" si="197"/>
        <v>1</v>
      </c>
      <c r="CA188" s="149">
        <f t="shared" si="198"/>
        <v>1</v>
      </c>
      <c r="CB188" s="149">
        <f t="shared" si="199"/>
        <v>1</v>
      </c>
      <c r="CC188" s="149">
        <f t="shared" si="200"/>
        <v>1</v>
      </c>
      <c r="CD188" s="149">
        <f t="shared" si="201"/>
        <v>1</v>
      </c>
      <c r="CE188" s="149">
        <f t="shared" si="202"/>
        <v>1</v>
      </c>
      <c r="CF188" s="149">
        <f t="shared" si="203"/>
        <v>1</v>
      </c>
      <c r="CG188" s="149">
        <f t="shared" si="204"/>
        <v>1</v>
      </c>
      <c r="CH188" s="149">
        <f t="shared" si="205"/>
        <v>1</v>
      </c>
      <c r="CI188" s="149">
        <f t="shared" si="206"/>
        <v>1</v>
      </c>
      <c r="CJ188" s="149">
        <f t="shared" si="207"/>
        <v>1</v>
      </c>
      <c r="CK188" s="149">
        <f t="shared" si="208"/>
        <v>1</v>
      </c>
      <c r="CL188" s="149">
        <f t="shared" si="209"/>
        <v>1</v>
      </c>
      <c r="CM188" s="149">
        <f t="shared" si="210"/>
        <v>1</v>
      </c>
      <c r="CN188" s="149">
        <f t="shared" si="211"/>
        <v>1</v>
      </c>
      <c r="CO188" s="149">
        <f t="shared" si="212"/>
        <v>1</v>
      </c>
      <c r="CP188" s="149">
        <f t="shared" si="213"/>
        <v>1</v>
      </c>
      <c r="CQ188" s="149">
        <f t="shared" si="214"/>
        <v>1</v>
      </c>
      <c r="CR188" s="149">
        <f t="shared" si="215"/>
        <v>1</v>
      </c>
      <c r="CS188" s="149">
        <f t="shared" si="216"/>
        <v>1</v>
      </c>
      <c r="CT188" s="149">
        <f t="shared" si="217"/>
        <v>1</v>
      </c>
      <c r="CU188" s="149">
        <f t="shared" si="218"/>
        <v>1</v>
      </c>
      <c r="CV188" s="149">
        <f t="shared" si="219"/>
        <v>1</v>
      </c>
      <c r="CW188" s="149">
        <f t="shared" si="220"/>
        <v>1</v>
      </c>
      <c r="CX188" s="149">
        <f t="shared" si="221"/>
        <v>1</v>
      </c>
      <c r="CY188" s="149">
        <f t="shared" si="222"/>
        <v>1</v>
      </c>
      <c r="CZ188" s="149">
        <f t="shared" si="223"/>
        <v>1</v>
      </c>
      <c r="DA188" s="149">
        <f t="shared" si="224"/>
        <v>1</v>
      </c>
      <c r="DB188" s="149">
        <f t="shared" si="225"/>
        <v>1</v>
      </c>
      <c r="DG188" s="125">
        <f t="shared" si="186"/>
        <v>1</v>
      </c>
      <c r="DH188" s="125">
        <f t="shared" si="239"/>
        <v>2</v>
      </c>
      <c r="DI188" s="125">
        <f t="shared" si="239"/>
        <v>3</v>
      </c>
      <c r="DJ188" s="125">
        <f t="shared" si="239"/>
        <v>4</v>
      </c>
      <c r="DK188" s="125">
        <f t="shared" si="239"/>
        <v>5</v>
      </c>
      <c r="DL188" s="125">
        <f t="shared" si="239"/>
        <v>6</v>
      </c>
      <c r="DM188" s="125">
        <f t="shared" si="239"/>
        <v>7</v>
      </c>
      <c r="DN188" s="125">
        <f t="shared" si="239"/>
        <v>8</v>
      </c>
      <c r="DO188" s="125">
        <f t="shared" si="239"/>
        <v>9</v>
      </c>
      <c r="DP188" s="125">
        <f t="shared" si="239"/>
        <v>10</v>
      </c>
      <c r="DS188" s="137"/>
      <c r="DT188" s="137"/>
      <c r="DU188" s="137"/>
      <c r="DV188" s="137" t="b">
        <f t="shared" si="226"/>
        <v>0</v>
      </c>
      <c r="DW188" s="137" t="b">
        <f t="shared" si="227"/>
        <v>0</v>
      </c>
      <c r="DX188" s="137" t="b">
        <f t="shared" si="228"/>
        <v>1</v>
      </c>
      <c r="EB188" s="131">
        <f t="shared" si="237"/>
        <v>1</v>
      </c>
      <c r="EC188" s="137" t="b">
        <f t="shared" si="229"/>
        <v>0</v>
      </c>
      <c r="ED188" s="137" t="b">
        <f t="shared" si="230"/>
        <v>0</v>
      </c>
      <c r="EE188" s="137" t="b">
        <f t="shared" si="231"/>
        <v>1</v>
      </c>
      <c r="EF188" s="137"/>
      <c r="EG188" s="137"/>
      <c r="EH188" s="137"/>
      <c r="EI188" s="137"/>
      <c r="EJ188" s="137">
        <f t="shared" si="238"/>
        <v>1</v>
      </c>
      <c r="EK188" s="125">
        <f t="shared" si="232"/>
        <v>0</v>
      </c>
      <c r="EL188" s="125">
        <f t="shared" si="233"/>
        <v>0</v>
      </c>
    </row>
    <row r="189" spans="2:142" ht="15.75" x14ac:dyDescent="0.25">
      <c r="B189" s="160">
        <f t="shared" si="234"/>
        <v>159</v>
      </c>
      <c r="C189" s="283">
        <v>1001347757</v>
      </c>
      <c r="D189" s="283">
        <v>1001278627</v>
      </c>
      <c r="E189" s="281">
        <v>40521896</v>
      </c>
      <c r="F189" s="118">
        <f>IF(OR(J189="",H189=""),"",VLOOKUP(J189,'הזנה לסיווג רשויות'!$B$2:$D$301,2,0))</f>
        <v>20000254</v>
      </c>
      <c r="G189" s="118" t="str">
        <f>IF(OR(J189="",H189=""),"",VLOOKUP(J189,'הזנה לסיווג רשויות'!$B$2:$D$301,3,0))</f>
        <v>באר שבע</v>
      </c>
      <c r="H189" s="281" t="s">
        <v>655</v>
      </c>
      <c r="I189" s="201" t="s">
        <v>564</v>
      </c>
      <c r="J189" s="205">
        <v>9000</v>
      </c>
      <c r="K189" s="161">
        <v>0</v>
      </c>
      <c r="L189" s="161">
        <v>1</v>
      </c>
      <c r="M189" s="161">
        <v>0</v>
      </c>
      <c r="N189" s="161">
        <v>1</v>
      </c>
      <c r="O189" s="161">
        <v>1</v>
      </c>
      <c r="P189" s="161">
        <v>1</v>
      </c>
      <c r="Q189" s="161">
        <v>1</v>
      </c>
      <c r="R189" s="201">
        <v>1332551</v>
      </c>
      <c r="S189" s="201">
        <v>601985</v>
      </c>
      <c r="T189" s="160">
        <f>IF(G189="","",IFERROR(IF(S189/R189&gt;'פרמטרים לקריטריונים'!$C$20,1,0),0))</f>
        <v>1</v>
      </c>
      <c r="U189" s="201">
        <v>467235</v>
      </c>
      <c r="V189" s="160">
        <f>IF(G189="","",IFERROR(IF(U189/R189&gt;'פרמטרים לקריטריונים'!$C$21,1,IF(AND(I189=$BW$5,U189/R189&gt;'פרמטרים לקריטריונים'!$C$22),1,0)),0))</f>
        <v>1</v>
      </c>
      <c r="W189" s="161">
        <v>1</v>
      </c>
      <c r="X189" s="161">
        <v>1</v>
      </c>
      <c r="Y189" s="201">
        <v>1500000</v>
      </c>
      <c r="Z189" s="201">
        <v>1500000</v>
      </c>
      <c r="AA189" s="161">
        <f t="shared" si="235"/>
        <v>1</v>
      </c>
      <c r="AB189" s="161"/>
      <c r="AC189" s="161"/>
      <c r="AD189" s="161"/>
      <c r="AE189" s="161"/>
      <c r="AF189" s="161"/>
      <c r="AG189" s="161"/>
      <c r="AH189" s="161"/>
      <c r="AI189" s="161"/>
      <c r="AJ189" s="161"/>
      <c r="AK189" s="161"/>
      <c r="AL189" s="161"/>
      <c r="AM189" s="161"/>
      <c r="AN189" s="161"/>
      <c r="AO189" s="161"/>
      <c r="AP189" s="161"/>
      <c r="AQ189" s="161"/>
      <c r="AR189" s="161"/>
      <c r="AS189" s="161"/>
      <c r="AT189" s="161"/>
      <c r="AU189" s="161"/>
      <c r="AV189" s="161"/>
      <c r="AW189" s="160"/>
      <c r="AX189" s="161"/>
      <c r="AY189" s="161"/>
      <c r="AZ189" s="161"/>
      <c r="BA189" s="161"/>
      <c r="BB189" s="161"/>
      <c r="BC189" s="161"/>
      <c r="BD189" s="161"/>
      <c r="BE189" s="161"/>
      <c r="BF189" s="160" t="str">
        <f t="shared" si="236"/>
        <v/>
      </c>
      <c r="BG189" s="160"/>
      <c r="BH189" s="160"/>
      <c r="BI189" s="160"/>
      <c r="BJ189" s="160"/>
      <c r="BK189" s="160"/>
      <c r="BL189" s="162">
        <f t="shared" si="187"/>
        <v>1</v>
      </c>
      <c r="BM189" s="257"/>
      <c r="BN189" s="163"/>
      <c r="BO189" s="211" t="str">
        <f t="shared" si="188"/>
        <v>תיאטרון הפרינג' באר שבע (ע"ר)אחר</v>
      </c>
      <c r="BP189" s="125">
        <f t="shared" si="189"/>
        <v>1</v>
      </c>
      <c r="BQ189" s="164">
        <v>0</v>
      </c>
      <c r="BR189" s="164">
        <v>1</v>
      </c>
      <c r="BS189" s="149">
        <f t="shared" si="190"/>
        <v>1</v>
      </c>
      <c r="BT189" s="149">
        <f t="shared" si="191"/>
        <v>1</v>
      </c>
      <c r="BU189" s="149">
        <f t="shared" si="192"/>
        <v>1</v>
      </c>
      <c r="BV189" s="149">
        <f t="shared" si="193"/>
        <v>1</v>
      </c>
      <c r="BW189" s="149">
        <f t="shared" si="194"/>
        <v>1</v>
      </c>
      <c r="BX189" s="149">
        <f t="shared" si="195"/>
        <v>1</v>
      </c>
      <c r="BY189" s="149">
        <f t="shared" si="196"/>
        <v>1</v>
      </c>
      <c r="BZ189" s="149">
        <f t="shared" si="197"/>
        <v>1</v>
      </c>
      <c r="CA189" s="149">
        <f t="shared" si="198"/>
        <v>1</v>
      </c>
      <c r="CB189" s="149">
        <f t="shared" si="199"/>
        <v>1</v>
      </c>
      <c r="CC189" s="149">
        <f t="shared" si="200"/>
        <v>1</v>
      </c>
      <c r="CD189" s="149">
        <f t="shared" si="201"/>
        <v>1</v>
      </c>
      <c r="CE189" s="149">
        <f t="shared" si="202"/>
        <v>1</v>
      </c>
      <c r="CF189" s="149">
        <f t="shared" si="203"/>
        <v>1</v>
      </c>
      <c r="CG189" s="149">
        <f t="shared" si="204"/>
        <v>1</v>
      </c>
      <c r="CH189" s="149">
        <f t="shared" si="205"/>
        <v>1</v>
      </c>
      <c r="CI189" s="149">
        <f t="shared" si="206"/>
        <v>1</v>
      </c>
      <c r="CJ189" s="149">
        <f t="shared" si="207"/>
        <v>1</v>
      </c>
      <c r="CK189" s="149">
        <f t="shared" si="208"/>
        <v>1</v>
      </c>
      <c r="CL189" s="149">
        <f t="shared" si="209"/>
        <v>1</v>
      </c>
      <c r="CM189" s="149">
        <f t="shared" si="210"/>
        <v>1</v>
      </c>
      <c r="CN189" s="149">
        <f t="shared" si="211"/>
        <v>1</v>
      </c>
      <c r="CO189" s="149">
        <f t="shared" si="212"/>
        <v>1</v>
      </c>
      <c r="CP189" s="149">
        <f t="shared" si="213"/>
        <v>1</v>
      </c>
      <c r="CQ189" s="149">
        <f t="shared" si="214"/>
        <v>1</v>
      </c>
      <c r="CR189" s="149">
        <f t="shared" si="215"/>
        <v>1</v>
      </c>
      <c r="CS189" s="149">
        <f t="shared" si="216"/>
        <v>1</v>
      </c>
      <c r="CT189" s="149">
        <f t="shared" si="217"/>
        <v>1</v>
      </c>
      <c r="CU189" s="149">
        <f t="shared" si="218"/>
        <v>1</v>
      </c>
      <c r="CV189" s="149">
        <f t="shared" si="219"/>
        <v>1</v>
      </c>
      <c r="CW189" s="149">
        <f t="shared" si="220"/>
        <v>1</v>
      </c>
      <c r="CX189" s="149">
        <f t="shared" si="221"/>
        <v>1</v>
      </c>
      <c r="CY189" s="149">
        <f t="shared" si="222"/>
        <v>1</v>
      </c>
      <c r="CZ189" s="149">
        <f t="shared" si="223"/>
        <v>1</v>
      </c>
      <c r="DA189" s="149">
        <f t="shared" si="224"/>
        <v>1</v>
      </c>
      <c r="DB189" s="149">
        <f t="shared" si="225"/>
        <v>1</v>
      </c>
      <c r="DG189" s="125">
        <f t="shared" si="186"/>
        <v>1</v>
      </c>
      <c r="DH189" s="125">
        <f t="shared" si="239"/>
        <v>2</v>
      </c>
      <c r="DI189" s="125">
        <f t="shared" si="239"/>
        <v>3</v>
      </c>
      <c r="DJ189" s="125">
        <f t="shared" si="239"/>
        <v>4</v>
      </c>
      <c r="DK189" s="125">
        <f t="shared" si="239"/>
        <v>5</v>
      </c>
      <c r="DL189" s="125">
        <f t="shared" si="239"/>
        <v>6</v>
      </c>
      <c r="DM189" s="125">
        <f t="shared" si="239"/>
        <v>7</v>
      </c>
      <c r="DN189" s="125">
        <f t="shared" si="239"/>
        <v>8</v>
      </c>
      <c r="DO189" s="125">
        <f t="shared" si="239"/>
        <v>9</v>
      </c>
      <c r="DP189" s="125">
        <f t="shared" si="239"/>
        <v>10</v>
      </c>
      <c r="DS189" s="137"/>
      <c r="DT189" s="137"/>
      <c r="DU189" s="137"/>
      <c r="DV189" s="137" t="b">
        <f t="shared" si="226"/>
        <v>0</v>
      </c>
      <c r="DW189" s="137" t="b">
        <f t="shared" si="227"/>
        <v>0</v>
      </c>
      <c r="DX189" s="137" t="b">
        <f t="shared" si="228"/>
        <v>1</v>
      </c>
      <c r="EB189" s="131">
        <f t="shared" si="237"/>
        <v>1</v>
      </c>
      <c r="EC189" s="137" t="b">
        <f t="shared" si="229"/>
        <v>0</v>
      </c>
      <c r="ED189" s="137" t="b">
        <f t="shared" si="230"/>
        <v>0</v>
      </c>
      <c r="EE189" s="137" t="b">
        <f t="shared" si="231"/>
        <v>1</v>
      </c>
      <c r="EF189" s="137"/>
      <c r="EG189" s="137"/>
      <c r="EH189" s="137"/>
      <c r="EI189" s="137"/>
      <c r="EJ189" s="137">
        <f t="shared" si="238"/>
        <v>1</v>
      </c>
      <c r="EK189" s="125">
        <f t="shared" si="232"/>
        <v>0</v>
      </c>
      <c r="EL189" s="125">
        <f t="shared" si="233"/>
        <v>0</v>
      </c>
    </row>
    <row r="190" spans="2:142" ht="15.75" x14ac:dyDescent="0.25">
      <c r="B190" s="160">
        <f t="shared" si="234"/>
        <v>160</v>
      </c>
      <c r="C190" s="283">
        <v>1001350316</v>
      </c>
      <c r="D190" s="283">
        <v>1001265592</v>
      </c>
      <c r="E190" s="281">
        <v>40521896</v>
      </c>
      <c r="F190" s="118">
        <f>IF(OR(J190="",H190=""),"",VLOOKUP(J190,'הזנה לסיווג רשויות'!$B$2:$D$301,2,0))</f>
        <v>20000254</v>
      </c>
      <c r="G190" s="118" t="str">
        <f>IF(OR(J190="",H190=""),"",VLOOKUP(J190,'הזנה לסיווג רשויות'!$B$2:$D$301,3,0))</f>
        <v>באר שבע</v>
      </c>
      <c r="H190" s="281" t="s">
        <v>655</v>
      </c>
      <c r="I190" s="201" t="s">
        <v>564</v>
      </c>
      <c r="J190" s="205">
        <v>9000</v>
      </c>
      <c r="K190" s="161">
        <v>0</v>
      </c>
      <c r="L190" s="161">
        <v>1</v>
      </c>
      <c r="M190" s="161">
        <v>0</v>
      </c>
      <c r="N190" s="161">
        <v>1</v>
      </c>
      <c r="O190" s="161">
        <v>1</v>
      </c>
      <c r="P190" s="161">
        <v>1</v>
      </c>
      <c r="Q190" s="161">
        <v>1</v>
      </c>
      <c r="R190" s="201">
        <v>843196</v>
      </c>
      <c r="S190" s="201">
        <v>495323</v>
      </c>
      <c r="T190" s="160">
        <f>IF(G190="","",IFERROR(IF(S190/R190&gt;'פרמטרים לקריטריונים'!$C$20,1,0),0))</f>
        <v>1</v>
      </c>
      <c r="U190" s="201">
        <v>495323</v>
      </c>
      <c r="V190" s="160">
        <f>IF(G190="","",IFERROR(IF(U190/R190&gt;'פרמטרים לקריטריונים'!$C$21,1,IF(AND(I190=$BW$5,U190/R190&gt;'פרמטרים לקריטריונים'!$C$22),1,0)),0))</f>
        <v>1</v>
      </c>
      <c r="W190" s="161">
        <v>1</v>
      </c>
      <c r="X190" s="161">
        <v>1</v>
      </c>
      <c r="Y190" s="201">
        <v>1000000</v>
      </c>
      <c r="Z190" s="201">
        <v>1000000</v>
      </c>
      <c r="AA190" s="161">
        <f t="shared" si="235"/>
        <v>1</v>
      </c>
      <c r="AB190" s="161"/>
      <c r="AC190" s="161"/>
      <c r="AD190" s="161"/>
      <c r="AE190" s="161"/>
      <c r="AF190" s="161"/>
      <c r="AG190" s="161"/>
      <c r="AH190" s="161"/>
      <c r="AI190" s="161"/>
      <c r="AJ190" s="161"/>
      <c r="AK190" s="161"/>
      <c r="AL190" s="161"/>
      <c r="AM190" s="161"/>
      <c r="AN190" s="161"/>
      <c r="AO190" s="161"/>
      <c r="AP190" s="161"/>
      <c r="AQ190" s="161"/>
      <c r="AR190" s="161"/>
      <c r="AS190" s="161"/>
      <c r="AT190" s="161"/>
      <c r="AU190" s="161"/>
      <c r="AV190" s="161"/>
      <c r="AW190" s="160"/>
      <c r="AX190" s="161"/>
      <c r="AY190" s="161"/>
      <c r="AZ190" s="161"/>
      <c r="BA190" s="161"/>
      <c r="BB190" s="161"/>
      <c r="BC190" s="161"/>
      <c r="BD190" s="161"/>
      <c r="BE190" s="161"/>
      <c r="BF190" s="160" t="str">
        <f t="shared" si="236"/>
        <v/>
      </c>
      <c r="BG190" s="160"/>
      <c r="BH190" s="160"/>
      <c r="BI190" s="160"/>
      <c r="BJ190" s="160"/>
      <c r="BK190" s="160"/>
      <c r="BL190" s="162">
        <f t="shared" si="187"/>
        <v>1</v>
      </c>
      <c r="BM190" s="257"/>
      <c r="BN190" s="163"/>
      <c r="BO190" s="211" t="str">
        <f t="shared" si="188"/>
        <v>תיאטרון הפרינג' באר שבע (ע"ר)אחר</v>
      </c>
      <c r="BP190" s="125">
        <f t="shared" si="189"/>
        <v>1</v>
      </c>
      <c r="BQ190" s="164">
        <v>0</v>
      </c>
      <c r="BR190" s="164">
        <v>1</v>
      </c>
      <c r="BS190" s="149">
        <f t="shared" si="190"/>
        <v>1</v>
      </c>
      <c r="BT190" s="149">
        <f t="shared" si="191"/>
        <v>1</v>
      </c>
      <c r="BU190" s="149">
        <f t="shared" si="192"/>
        <v>1</v>
      </c>
      <c r="BV190" s="149">
        <f t="shared" si="193"/>
        <v>1</v>
      </c>
      <c r="BW190" s="149">
        <f t="shared" si="194"/>
        <v>1</v>
      </c>
      <c r="BX190" s="149">
        <f t="shared" si="195"/>
        <v>1</v>
      </c>
      <c r="BY190" s="149">
        <f t="shared" si="196"/>
        <v>1</v>
      </c>
      <c r="BZ190" s="149">
        <f t="shared" si="197"/>
        <v>1</v>
      </c>
      <c r="CA190" s="149">
        <f t="shared" si="198"/>
        <v>1</v>
      </c>
      <c r="CB190" s="149">
        <f t="shared" si="199"/>
        <v>1</v>
      </c>
      <c r="CC190" s="149">
        <f t="shared" si="200"/>
        <v>1</v>
      </c>
      <c r="CD190" s="149">
        <f t="shared" si="201"/>
        <v>1</v>
      </c>
      <c r="CE190" s="149">
        <f t="shared" si="202"/>
        <v>1</v>
      </c>
      <c r="CF190" s="149">
        <f t="shared" si="203"/>
        <v>1</v>
      </c>
      <c r="CG190" s="149">
        <f t="shared" si="204"/>
        <v>1</v>
      </c>
      <c r="CH190" s="149">
        <f t="shared" si="205"/>
        <v>1</v>
      </c>
      <c r="CI190" s="149">
        <f t="shared" si="206"/>
        <v>1</v>
      </c>
      <c r="CJ190" s="149">
        <f t="shared" si="207"/>
        <v>1</v>
      </c>
      <c r="CK190" s="149">
        <f t="shared" si="208"/>
        <v>1</v>
      </c>
      <c r="CL190" s="149">
        <f t="shared" si="209"/>
        <v>1</v>
      </c>
      <c r="CM190" s="149">
        <f t="shared" si="210"/>
        <v>1</v>
      </c>
      <c r="CN190" s="149">
        <f t="shared" si="211"/>
        <v>1</v>
      </c>
      <c r="CO190" s="149">
        <f t="shared" si="212"/>
        <v>1</v>
      </c>
      <c r="CP190" s="149">
        <f t="shared" si="213"/>
        <v>1</v>
      </c>
      <c r="CQ190" s="149">
        <f t="shared" si="214"/>
        <v>1</v>
      </c>
      <c r="CR190" s="149">
        <f t="shared" si="215"/>
        <v>1</v>
      </c>
      <c r="CS190" s="149">
        <f t="shared" si="216"/>
        <v>1</v>
      </c>
      <c r="CT190" s="149">
        <f t="shared" si="217"/>
        <v>1</v>
      </c>
      <c r="CU190" s="149">
        <f t="shared" si="218"/>
        <v>1</v>
      </c>
      <c r="CV190" s="149">
        <f t="shared" si="219"/>
        <v>1</v>
      </c>
      <c r="CW190" s="149">
        <f t="shared" si="220"/>
        <v>1</v>
      </c>
      <c r="CX190" s="149">
        <f t="shared" si="221"/>
        <v>1</v>
      </c>
      <c r="CY190" s="149">
        <f t="shared" si="222"/>
        <v>1</v>
      </c>
      <c r="CZ190" s="149">
        <f t="shared" si="223"/>
        <v>1</v>
      </c>
      <c r="DA190" s="149">
        <f t="shared" si="224"/>
        <v>1</v>
      </c>
      <c r="DB190" s="149">
        <f t="shared" si="225"/>
        <v>1</v>
      </c>
      <c r="DG190" s="125">
        <f t="shared" si="186"/>
        <v>1</v>
      </c>
      <c r="DH190" s="125">
        <f t="shared" si="239"/>
        <v>2</v>
      </c>
      <c r="DI190" s="125">
        <f t="shared" si="239"/>
        <v>3</v>
      </c>
      <c r="DJ190" s="125">
        <f t="shared" si="239"/>
        <v>4</v>
      </c>
      <c r="DK190" s="125">
        <f t="shared" si="239"/>
        <v>5</v>
      </c>
      <c r="DL190" s="125">
        <f t="shared" si="239"/>
        <v>6</v>
      </c>
      <c r="DM190" s="125">
        <f t="shared" si="239"/>
        <v>7</v>
      </c>
      <c r="DN190" s="125">
        <f t="shared" si="239"/>
        <v>8</v>
      </c>
      <c r="DO190" s="125">
        <f t="shared" si="239"/>
        <v>9</v>
      </c>
      <c r="DP190" s="125">
        <f t="shared" si="239"/>
        <v>10</v>
      </c>
      <c r="DS190" s="137"/>
      <c r="DT190" s="137"/>
      <c r="DU190" s="137"/>
      <c r="DV190" s="137" t="b">
        <f t="shared" si="226"/>
        <v>0</v>
      </c>
      <c r="DW190" s="137" t="b">
        <f t="shared" si="227"/>
        <v>0</v>
      </c>
      <c r="DX190" s="137" t="b">
        <f t="shared" si="228"/>
        <v>1</v>
      </c>
      <c r="EB190" s="131">
        <f t="shared" si="237"/>
        <v>1</v>
      </c>
      <c r="EC190" s="137" t="b">
        <f t="shared" si="229"/>
        <v>0</v>
      </c>
      <c r="ED190" s="137" t="b">
        <f t="shared" si="230"/>
        <v>0</v>
      </c>
      <c r="EE190" s="137" t="b">
        <f t="shared" si="231"/>
        <v>1</v>
      </c>
      <c r="EF190" s="137"/>
      <c r="EG190" s="137"/>
      <c r="EH190" s="137"/>
      <c r="EI190" s="137"/>
      <c r="EJ190" s="137">
        <f t="shared" si="238"/>
        <v>1</v>
      </c>
      <c r="EK190" s="125">
        <f t="shared" si="232"/>
        <v>0</v>
      </c>
      <c r="EL190" s="125">
        <f t="shared" si="233"/>
        <v>0</v>
      </c>
    </row>
    <row r="191" spans="2:142" ht="15.75" x14ac:dyDescent="0.25">
      <c r="B191" s="160">
        <f t="shared" si="234"/>
        <v>161</v>
      </c>
      <c r="C191" s="283">
        <v>1001348946</v>
      </c>
      <c r="D191" s="283">
        <v>1001278264</v>
      </c>
      <c r="E191" s="281">
        <v>40526318</v>
      </c>
      <c r="F191" s="118">
        <f>IF(OR(J191="",H191=""),"",VLOOKUP(J191,'הזנה לסיווג רשויות'!$B$2:$D$301,2,0))</f>
        <v>20000159</v>
      </c>
      <c r="G191" s="118" t="str">
        <f>IF(OR(J191="",H191=""),"",VLOOKUP(J191,'הזנה לסיווג רשויות'!$B$2:$D$301,3,0))</f>
        <v>ירושלים</v>
      </c>
      <c r="H191" s="281" t="s">
        <v>656</v>
      </c>
      <c r="I191" s="201" t="s">
        <v>388</v>
      </c>
      <c r="J191" s="205">
        <v>3000</v>
      </c>
      <c r="K191" s="161">
        <v>0</v>
      </c>
      <c r="L191" s="161">
        <v>1</v>
      </c>
      <c r="M191" s="161">
        <v>0</v>
      </c>
      <c r="N191" s="161">
        <v>1</v>
      </c>
      <c r="O191" s="161">
        <v>1</v>
      </c>
      <c r="P191" s="161">
        <v>1</v>
      </c>
      <c r="Q191" s="161">
        <v>1</v>
      </c>
      <c r="R191" s="201">
        <v>647714</v>
      </c>
      <c r="S191" s="201">
        <v>400428</v>
      </c>
      <c r="T191" s="160">
        <f>IF(G191="","",IFERROR(IF(S191/R191&gt;'פרמטרים לקריטריונים'!$C$20,1,0),0))</f>
        <v>1</v>
      </c>
      <c r="U191" s="201">
        <v>365928</v>
      </c>
      <c r="V191" s="160">
        <f>IF(G191="","",IFERROR(IF(U191/R191&gt;'פרמטרים לקריטריונים'!$C$21,1,IF(AND(I191=$BW$5,U191/R191&gt;'פרמטרים לקריטריונים'!$C$22),1,0)),0))</f>
        <v>1</v>
      </c>
      <c r="W191" s="161">
        <v>1</v>
      </c>
      <c r="X191" s="161">
        <v>1</v>
      </c>
      <c r="Y191" s="201">
        <v>200000</v>
      </c>
      <c r="Z191" s="201">
        <v>50000</v>
      </c>
      <c r="AA191" s="161">
        <f>IF(G191="","",IF(COUNTIF($D$31:$D$500,D191)=1,1,0))</f>
        <v>1</v>
      </c>
      <c r="AB191" s="161"/>
      <c r="AC191" s="161"/>
      <c r="AD191" s="161"/>
      <c r="AE191" s="161"/>
      <c r="AF191" s="161"/>
      <c r="AG191" s="161"/>
      <c r="AH191" s="161"/>
      <c r="AI191" s="161"/>
      <c r="AJ191" s="161"/>
      <c r="AK191" s="161"/>
      <c r="AL191" s="161"/>
      <c r="AM191" s="161"/>
      <c r="AN191" s="161"/>
      <c r="AO191" s="161"/>
      <c r="AP191" s="161"/>
      <c r="AQ191" s="161"/>
      <c r="AR191" s="161"/>
      <c r="AS191" s="161"/>
      <c r="AT191" s="161"/>
      <c r="AU191" s="161"/>
      <c r="AV191" s="161"/>
      <c r="AW191" s="160"/>
      <c r="AX191" s="161"/>
      <c r="AY191" s="161"/>
      <c r="AZ191" s="161"/>
      <c r="BA191" s="161"/>
      <c r="BB191" s="161"/>
      <c r="BC191" s="161"/>
      <c r="BD191" s="161"/>
      <c r="BE191" s="161"/>
      <c r="BF191" s="160" t="str">
        <f t="shared" si="236"/>
        <v/>
      </c>
      <c r="BG191" s="160"/>
      <c r="BH191" s="160"/>
      <c r="BI191" s="160"/>
      <c r="BJ191" s="160"/>
      <c r="BK191" s="160"/>
      <c r="BL191" s="162">
        <f>IF($G191="","",IF(SUM(N191:O191)=0,0,IF(OR(H191="",I191="",J191="",AA191=0,Y191=""),$BQ$1,IF(BP191&lt;&gt;1,$BQ$1,IF(SUMPRODUCT(--(K191:BG191&gt;=$K$5:$BG$5)*($K$5:$BG$5&lt;&gt;"")*($K$4:$BG$4=1))=COUNTIF($K$4:$BG$4,1),1,0)))))</f>
        <v>1</v>
      </c>
      <c r="BM191" s="257"/>
      <c r="BN191" s="163"/>
      <c r="BO191" s="211" t="str">
        <f>CONCATENATE(H191,I191)</f>
        <v>קהילות שרות פיוט וניגון (ע"ר)חזנות</v>
      </c>
      <c r="BP191" s="125">
        <f t="shared" si="189"/>
        <v>1</v>
      </c>
      <c r="BQ191" s="164">
        <v>0</v>
      </c>
      <c r="BR191" s="164">
        <v>1</v>
      </c>
      <c r="BS191" s="149">
        <f t="shared" si="190"/>
        <v>1</v>
      </c>
      <c r="BT191" s="149">
        <f t="shared" si="191"/>
        <v>1</v>
      </c>
      <c r="BU191" s="149">
        <f t="shared" si="192"/>
        <v>1</v>
      </c>
      <c r="BV191" s="149">
        <f t="shared" si="193"/>
        <v>1</v>
      </c>
      <c r="BW191" s="149">
        <f t="shared" si="194"/>
        <v>1</v>
      </c>
      <c r="BX191" s="149">
        <f t="shared" si="195"/>
        <v>1</v>
      </c>
      <c r="BY191" s="149">
        <f t="shared" si="196"/>
        <v>1</v>
      </c>
      <c r="BZ191" s="149">
        <f t="shared" si="197"/>
        <v>1</v>
      </c>
      <c r="CA191" s="149">
        <f t="shared" si="198"/>
        <v>1</v>
      </c>
      <c r="CB191" s="149">
        <f t="shared" si="199"/>
        <v>1</v>
      </c>
      <c r="CC191" s="149">
        <f t="shared" si="200"/>
        <v>1</v>
      </c>
      <c r="CD191" s="149">
        <f t="shared" si="201"/>
        <v>1</v>
      </c>
      <c r="CE191" s="149">
        <f t="shared" si="202"/>
        <v>1</v>
      </c>
      <c r="CF191" s="149">
        <f t="shared" si="203"/>
        <v>1</v>
      </c>
      <c r="CG191" s="149">
        <f t="shared" si="204"/>
        <v>1</v>
      </c>
      <c r="CH191" s="149">
        <f t="shared" si="205"/>
        <v>1</v>
      </c>
      <c r="CI191" s="149">
        <f t="shared" si="206"/>
        <v>1</v>
      </c>
      <c r="CJ191" s="149">
        <f t="shared" si="207"/>
        <v>1</v>
      </c>
      <c r="CK191" s="149">
        <f t="shared" si="208"/>
        <v>1</v>
      </c>
      <c r="CL191" s="149">
        <f t="shared" si="209"/>
        <v>1</v>
      </c>
      <c r="CM191" s="149">
        <f t="shared" si="210"/>
        <v>1</v>
      </c>
      <c r="CN191" s="149">
        <f t="shared" si="211"/>
        <v>1</v>
      </c>
      <c r="CO191" s="149">
        <f t="shared" si="212"/>
        <v>1</v>
      </c>
      <c r="CP191" s="149">
        <f t="shared" si="213"/>
        <v>1</v>
      </c>
      <c r="CQ191" s="149">
        <f t="shared" si="214"/>
        <v>1</v>
      </c>
      <c r="CR191" s="149">
        <f t="shared" si="215"/>
        <v>1</v>
      </c>
      <c r="CS191" s="149">
        <f t="shared" si="216"/>
        <v>1</v>
      </c>
      <c r="CT191" s="149">
        <f t="shared" si="217"/>
        <v>1</v>
      </c>
      <c r="CU191" s="149">
        <f t="shared" si="218"/>
        <v>1</v>
      </c>
      <c r="CV191" s="149">
        <f t="shared" si="219"/>
        <v>1</v>
      </c>
      <c r="CW191" s="149">
        <f t="shared" si="220"/>
        <v>1</v>
      </c>
      <c r="CX191" s="149">
        <f t="shared" si="221"/>
        <v>1</v>
      </c>
      <c r="CY191" s="149">
        <f t="shared" si="222"/>
        <v>1</v>
      </c>
      <c r="CZ191" s="149">
        <f t="shared" si="223"/>
        <v>1</v>
      </c>
      <c r="DA191" s="149">
        <f t="shared" si="224"/>
        <v>1</v>
      </c>
      <c r="DB191" s="149">
        <f t="shared" si="225"/>
        <v>1</v>
      </c>
      <c r="DG191" s="125">
        <f t="shared" si="186"/>
        <v>1</v>
      </c>
      <c r="DH191" s="125">
        <f t="shared" si="239"/>
        <v>2</v>
      </c>
      <c r="DI191" s="125">
        <f t="shared" si="239"/>
        <v>3</v>
      </c>
      <c r="DJ191" s="125">
        <f t="shared" si="239"/>
        <v>4</v>
      </c>
      <c r="DK191" s="125">
        <f t="shared" si="239"/>
        <v>5</v>
      </c>
      <c r="DL191" s="125">
        <f t="shared" si="239"/>
        <v>6</v>
      </c>
      <c r="DM191" s="125">
        <f t="shared" si="239"/>
        <v>7</v>
      </c>
      <c r="DN191" s="125">
        <f t="shared" si="239"/>
        <v>8</v>
      </c>
      <c r="DO191" s="125">
        <f t="shared" si="239"/>
        <v>9</v>
      </c>
      <c r="DP191" s="125">
        <f t="shared" si="239"/>
        <v>10</v>
      </c>
      <c r="DS191" s="137"/>
      <c r="DT191" s="137"/>
      <c r="DU191" s="137"/>
      <c r="DV191" s="137" t="b">
        <f t="shared" si="226"/>
        <v>0</v>
      </c>
      <c r="DW191" s="137" t="b">
        <f t="shared" si="227"/>
        <v>0</v>
      </c>
      <c r="DX191" s="137" t="b">
        <f t="shared" si="228"/>
        <v>1</v>
      </c>
      <c r="EB191" s="131">
        <f t="shared" si="237"/>
        <v>1</v>
      </c>
      <c r="EC191" s="137" t="b">
        <f t="shared" si="229"/>
        <v>0</v>
      </c>
      <c r="ED191" s="137" t="b">
        <f t="shared" si="230"/>
        <v>0</v>
      </c>
      <c r="EE191" s="137" t="b">
        <f t="shared" si="231"/>
        <v>1</v>
      </c>
      <c r="EF191" s="137"/>
      <c r="EG191" s="137"/>
      <c r="EH191" s="137"/>
      <c r="EI191" s="137"/>
      <c r="EJ191" s="137">
        <f t="shared" si="238"/>
        <v>1</v>
      </c>
      <c r="EK191" s="125">
        <f t="shared" si="232"/>
        <v>0</v>
      </c>
      <c r="EL191" s="125">
        <f t="shared" si="233"/>
        <v>0</v>
      </c>
    </row>
    <row r="192" spans="2:142" ht="15.75" x14ac:dyDescent="0.25">
      <c r="B192" s="160">
        <f t="shared" si="234"/>
        <v>162</v>
      </c>
      <c r="C192" s="283">
        <v>1001348956</v>
      </c>
      <c r="D192" s="283">
        <v>1001274741</v>
      </c>
      <c r="E192" s="281">
        <v>40527700</v>
      </c>
      <c r="F192" s="118">
        <f>IF(OR(J192="",H192=""),"",VLOOKUP(J192,'הזנה לסיווג רשויות'!$B$2:$D$301,2,0))</f>
        <v>20000201</v>
      </c>
      <c r="G192" s="118" t="str">
        <f>IF(OR(J192="",H192=""),"",VLOOKUP(J192,'הזנה לסיווג רשויות'!$B$2:$D$301,3,0))</f>
        <v>תל אביב -יפו</v>
      </c>
      <c r="H192" s="281" t="s">
        <v>657</v>
      </c>
      <c r="I192" s="201" t="s">
        <v>376</v>
      </c>
      <c r="J192" s="205">
        <v>5000</v>
      </c>
      <c r="K192" s="161">
        <v>0</v>
      </c>
      <c r="L192" s="161">
        <v>1</v>
      </c>
      <c r="M192" s="161">
        <v>0</v>
      </c>
      <c r="N192" s="161">
        <v>1</v>
      </c>
      <c r="O192" s="161">
        <v>1</v>
      </c>
      <c r="P192" s="161">
        <v>1</v>
      </c>
      <c r="Q192" s="161">
        <v>1</v>
      </c>
      <c r="R192" s="201">
        <v>1598624</v>
      </c>
      <c r="S192" s="201">
        <v>1314624</v>
      </c>
      <c r="T192" s="160">
        <f>IF(G192="","",IFERROR(IF(S192/R192&gt;'פרמטרים לקריטריונים'!$C$20,1,0),0))</f>
        <v>1</v>
      </c>
      <c r="U192" s="201">
        <v>1275556</v>
      </c>
      <c r="V192" s="160">
        <f>IF(G192="","",IFERROR(IF(U192/R192&gt;'פרמטרים לקריטריונים'!$C$21,1,IF(AND(I192=$BW$5,U192/R192&gt;'פרמטרים לקריטריונים'!$C$22),1,0)),0))</f>
        <v>1</v>
      </c>
      <c r="W192" s="161">
        <v>1</v>
      </c>
      <c r="X192" s="161">
        <v>1</v>
      </c>
      <c r="Y192" s="201">
        <v>180000</v>
      </c>
      <c r="Z192" s="201">
        <v>50000</v>
      </c>
      <c r="AA192" s="161">
        <f>IF(G192="","",IF(COUNTIF($D$31:$D$500,D192)=1,1,0))</f>
        <v>1</v>
      </c>
      <c r="AB192" s="161"/>
      <c r="AC192" s="161"/>
      <c r="AD192" s="161"/>
      <c r="AE192" s="161"/>
      <c r="AF192" s="161"/>
      <c r="AG192" s="161"/>
      <c r="AH192" s="161"/>
      <c r="AI192" s="161"/>
      <c r="AJ192" s="161"/>
      <c r="AK192" s="161"/>
      <c r="AL192" s="161"/>
      <c r="AM192" s="161"/>
      <c r="AN192" s="161"/>
      <c r="AO192" s="161"/>
      <c r="AP192" s="161"/>
      <c r="AQ192" s="161"/>
      <c r="AR192" s="161"/>
      <c r="AS192" s="161"/>
      <c r="AT192" s="161"/>
      <c r="AU192" s="161"/>
      <c r="AV192" s="161"/>
      <c r="AW192" s="160"/>
      <c r="AX192" s="161"/>
      <c r="AY192" s="161"/>
      <c r="AZ192" s="161"/>
      <c r="BA192" s="161"/>
      <c r="BB192" s="161"/>
      <c r="BC192" s="161"/>
      <c r="BD192" s="161"/>
      <c r="BE192" s="161"/>
      <c r="BF192" s="160" t="str">
        <f t="shared" si="236"/>
        <v/>
      </c>
      <c r="BG192" s="160"/>
      <c r="BH192" s="160"/>
      <c r="BI192" s="160"/>
      <c r="BJ192" s="160"/>
      <c r="BK192" s="160"/>
      <c r="BL192" s="162">
        <f>IF($G192="","",IF(SUM(N192:O192)=0,0,IF(OR(H192="",I192="",J192="",AA192=0,Y192=""),$BQ$1,IF(BP192&lt;&gt;1,$BQ$1,IF(SUMPRODUCT(--(K192:BG192&gt;=$K$5:$BG$5)*($K$5:$BG$5&lt;&gt;"")*($K$4:$BG$4=1))=COUNTIF($K$4:$BG$4,1),1,0)))))</f>
        <v>1</v>
      </c>
      <c r="BM192" s="257"/>
      <c r="BN192" s="163"/>
      <c r="BO192" s="211" t="str">
        <f>CONCATENATE(H192,I192)</f>
        <v>המקהלה הישראלית ע"ש גארי ברתיני (ע"מוסיקה-גופים כליים</v>
      </c>
      <c r="BP192" s="125">
        <f t="shared" si="189"/>
        <v>1</v>
      </c>
      <c r="BQ192" s="164">
        <v>0</v>
      </c>
      <c r="BR192" s="164">
        <v>1</v>
      </c>
      <c r="BS192" s="149">
        <f t="shared" si="190"/>
        <v>1</v>
      </c>
      <c r="BT192" s="149">
        <f t="shared" si="191"/>
        <v>1</v>
      </c>
      <c r="BU192" s="149">
        <f t="shared" si="192"/>
        <v>1</v>
      </c>
      <c r="BV192" s="149">
        <f t="shared" si="193"/>
        <v>1</v>
      </c>
      <c r="BW192" s="149">
        <f t="shared" si="194"/>
        <v>1</v>
      </c>
      <c r="BX192" s="149">
        <f t="shared" si="195"/>
        <v>1</v>
      </c>
      <c r="BY192" s="149">
        <f t="shared" si="196"/>
        <v>1</v>
      </c>
      <c r="BZ192" s="149">
        <f t="shared" si="197"/>
        <v>1</v>
      </c>
      <c r="CA192" s="149">
        <f t="shared" si="198"/>
        <v>1</v>
      </c>
      <c r="CB192" s="149">
        <f t="shared" si="199"/>
        <v>1</v>
      </c>
      <c r="CC192" s="149">
        <f t="shared" si="200"/>
        <v>1</v>
      </c>
      <c r="CD192" s="149">
        <f t="shared" si="201"/>
        <v>1</v>
      </c>
      <c r="CE192" s="149">
        <f t="shared" si="202"/>
        <v>1</v>
      </c>
      <c r="CF192" s="149">
        <f t="shared" si="203"/>
        <v>1</v>
      </c>
      <c r="CG192" s="149">
        <f t="shared" si="204"/>
        <v>1</v>
      </c>
      <c r="CH192" s="149">
        <f t="shared" si="205"/>
        <v>1</v>
      </c>
      <c r="CI192" s="149">
        <f t="shared" si="206"/>
        <v>1</v>
      </c>
      <c r="CJ192" s="149">
        <f t="shared" si="207"/>
        <v>1</v>
      </c>
      <c r="CK192" s="149">
        <f t="shared" si="208"/>
        <v>1</v>
      </c>
      <c r="CL192" s="149">
        <f t="shared" si="209"/>
        <v>1</v>
      </c>
      <c r="CM192" s="149">
        <f t="shared" si="210"/>
        <v>1</v>
      </c>
      <c r="CN192" s="149">
        <f t="shared" si="211"/>
        <v>1</v>
      </c>
      <c r="CO192" s="149">
        <f t="shared" si="212"/>
        <v>1</v>
      </c>
      <c r="CP192" s="149">
        <f t="shared" si="213"/>
        <v>1</v>
      </c>
      <c r="CQ192" s="149">
        <f t="shared" si="214"/>
        <v>1</v>
      </c>
      <c r="CR192" s="149">
        <f t="shared" si="215"/>
        <v>1</v>
      </c>
      <c r="CS192" s="149">
        <f t="shared" si="216"/>
        <v>1</v>
      </c>
      <c r="CT192" s="149">
        <f t="shared" si="217"/>
        <v>1</v>
      </c>
      <c r="CU192" s="149">
        <f t="shared" si="218"/>
        <v>1</v>
      </c>
      <c r="CV192" s="149">
        <f t="shared" si="219"/>
        <v>1</v>
      </c>
      <c r="CW192" s="149">
        <f t="shared" si="220"/>
        <v>1</v>
      </c>
      <c r="CX192" s="149">
        <f t="shared" si="221"/>
        <v>1</v>
      </c>
      <c r="CY192" s="149">
        <f t="shared" si="222"/>
        <v>1</v>
      </c>
      <c r="CZ192" s="149">
        <f t="shared" si="223"/>
        <v>1</v>
      </c>
      <c r="DA192" s="149">
        <f t="shared" si="224"/>
        <v>1</v>
      </c>
      <c r="DB192" s="149">
        <f t="shared" si="225"/>
        <v>1</v>
      </c>
      <c r="DG192" s="125">
        <f t="shared" si="186"/>
        <v>1</v>
      </c>
      <c r="DH192" s="125">
        <f t="shared" si="239"/>
        <v>2</v>
      </c>
      <c r="DI192" s="125">
        <f t="shared" si="239"/>
        <v>3</v>
      </c>
      <c r="DJ192" s="125">
        <f t="shared" si="239"/>
        <v>4</v>
      </c>
      <c r="DK192" s="125">
        <f t="shared" si="239"/>
        <v>5</v>
      </c>
      <c r="DL192" s="125">
        <f t="shared" si="239"/>
        <v>6</v>
      </c>
      <c r="DM192" s="125">
        <f t="shared" si="239"/>
        <v>7</v>
      </c>
      <c r="DN192" s="125">
        <f t="shared" si="239"/>
        <v>8</v>
      </c>
      <c r="DO192" s="125">
        <f t="shared" si="239"/>
        <v>9</v>
      </c>
      <c r="DP192" s="125">
        <f t="shared" si="239"/>
        <v>10</v>
      </c>
      <c r="DS192" s="137"/>
      <c r="DT192" s="137"/>
      <c r="DU192" s="137"/>
      <c r="DV192" s="137" t="b">
        <f t="shared" si="226"/>
        <v>0</v>
      </c>
      <c r="DW192" s="137" t="b">
        <f t="shared" si="227"/>
        <v>0</v>
      </c>
      <c r="DX192" s="137" t="b">
        <f t="shared" si="228"/>
        <v>1</v>
      </c>
      <c r="EB192" s="131">
        <f t="shared" si="237"/>
        <v>1</v>
      </c>
      <c r="EC192" s="137" t="b">
        <f t="shared" si="229"/>
        <v>0</v>
      </c>
      <c r="ED192" s="137" t="b">
        <f t="shared" si="230"/>
        <v>0</v>
      </c>
      <c r="EE192" s="137" t="b">
        <f t="shared" si="231"/>
        <v>1</v>
      </c>
      <c r="EF192" s="137"/>
      <c r="EG192" s="137"/>
      <c r="EH192" s="137"/>
      <c r="EI192" s="137"/>
      <c r="EJ192" s="137">
        <f t="shared" si="238"/>
        <v>1</v>
      </c>
      <c r="EK192" s="125">
        <f t="shared" si="232"/>
        <v>0</v>
      </c>
      <c r="EL192" s="125">
        <f t="shared" si="233"/>
        <v>0</v>
      </c>
    </row>
    <row r="193" spans="2:142" ht="15.75" x14ac:dyDescent="0.25">
      <c r="B193" s="160">
        <f t="shared" si="234"/>
        <v>163</v>
      </c>
      <c r="C193" s="283">
        <v>1001348979</v>
      </c>
      <c r="D193" s="283">
        <v>1001274745</v>
      </c>
      <c r="E193" s="281">
        <v>40527701</v>
      </c>
      <c r="F193" s="118">
        <f>IF(OR(J193="",H193=""),"",VLOOKUP(J193,'הזנה לסיווג רשויות'!$B$2:$D$301,2,0))</f>
        <v>20000201</v>
      </c>
      <c r="G193" s="118" t="str">
        <f>IF(OR(J193="",H193=""),"",VLOOKUP(J193,'הזנה לסיווג רשויות'!$B$2:$D$301,3,0))</f>
        <v>תל אביב -יפו</v>
      </c>
      <c r="H193" s="281" t="s">
        <v>658</v>
      </c>
      <c r="I193" s="201" t="s">
        <v>373</v>
      </c>
      <c r="J193" s="205">
        <v>5000</v>
      </c>
      <c r="K193" s="161">
        <v>0</v>
      </c>
      <c r="L193" s="161">
        <v>1</v>
      </c>
      <c r="M193" s="161">
        <v>0</v>
      </c>
      <c r="N193" s="161">
        <v>1</v>
      </c>
      <c r="O193" s="161">
        <v>1</v>
      </c>
      <c r="P193" s="161">
        <v>1</v>
      </c>
      <c r="Q193" s="161">
        <v>1</v>
      </c>
      <c r="R193" s="201">
        <v>5787000</v>
      </c>
      <c r="S193" s="201">
        <v>5038000</v>
      </c>
      <c r="T193" s="160">
        <f>IF(G193="","",IFERROR(IF(S193/R193&gt;'פרמטרים לקריטריונים'!$C$20,1,0),0))</f>
        <v>1</v>
      </c>
      <c r="U193" s="201">
        <v>5038000</v>
      </c>
      <c r="V193" s="160">
        <f>IF(G193="","",IFERROR(IF(U193/R193&gt;'פרמטרים לקריטריונים'!$C$21,1,IF(AND(I193=$BW$5,U193/R193&gt;'פרמטרים לקריטריונים'!$C$22),1,0)),0))</f>
        <v>1</v>
      </c>
      <c r="W193" s="161">
        <v>1</v>
      </c>
      <c r="X193" s="161">
        <v>1</v>
      </c>
      <c r="Y193" s="201">
        <v>700000</v>
      </c>
      <c r="Z193" s="201">
        <v>400000</v>
      </c>
      <c r="AA193" s="161">
        <f>IF(G193="","",IF(COUNTIF($D$31:$D$500,D193)=1,1,0))</f>
        <v>1</v>
      </c>
      <c r="AB193" s="161"/>
      <c r="AC193" s="161"/>
      <c r="AD193" s="161"/>
      <c r="AE193" s="161"/>
      <c r="AF193" s="161"/>
      <c r="AG193" s="161"/>
      <c r="AH193" s="161"/>
      <c r="AI193" s="161"/>
      <c r="AJ193" s="161"/>
      <c r="AK193" s="161"/>
      <c r="AL193" s="161"/>
      <c r="AM193" s="161"/>
      <c r="AN193" s="161"/>
      <c r="AO193" s="161"/>
      <c r="AP193" s="161"/>
      <c r="AQ193" s="161"/>
      <c r="AR193" s="161"/>
      <c r="AS193" s="161"/>
      <c r="AT193" s="161"/>
      <c r="AU193" s="161"/>
      <c r="AV193" s="161"/>
      <c r="AW193" s="160"/>
      <c r="AX193" s="161"/>
      <c r="AY193" s="161"/>
      <c r="AZ193" s="161"/>
      <c r="BA193" s="161"/>
      <c r="BB193" s="161"/>
      <c r="BC193" s="161"/>
      <c r="BD193" s="161"/>
      <c r="BE193" s="161"/>
      <c r="BF193" s="160" t="str">
        <f t="shared" si="236"/>
        <v/>
      </c>
      <c r="BG193" s="160"/>
      <c r="BH193" s="160"/>
      <c r="BI193" s="160"/>
      <c r="BJ193" s="160"/>
      <c r="BK193" s="160"/>
      <c r="BL193" s="162">
        <f>IF($G193="","",IF(SUM(N193:O193)=0,0,IF(OR(H193="",I193="",J193="",AA193=0,Y193=""),$BQ$1,IF(BP193&lt;&gt;1,$BQ$1,IF(SUMPRODUCT(--(K193:BG193&gt;=$K$5:$BG$5)*($K$5:$BG$5&lt;&gt;"")*($K$4:$BG$4=1))=COUNTIF($K$4:$BG$4,1),1,0)))))</f>
        <v>1</v>
      </c>
      <c r="BM193" s="257"/>
      <c r="BN193" s="163"/>
      <c r="BO193" s="211" t="str">
        <f>CONCATENATE(H193,I193)</f>
        <v>תיאטרון הקיבוץ (ע"ר)תיאטרון</v>
      </c>
      <c r="BP193" s="125">
        <f t="shared" si="189"/>
        <v>1</v>
      </c>
      <c r="BQ193" s="164">
        <v>0</v>
      </c>
      <c r="BR193" s="164">
        <v>1</v>
      </c>
      <c r="BS193" s="149">
        <f t="shared" si="190"/>
        <v>1</v>
      </c>
      <c r="BT193" s="149">
        <f t="shared" si="191"/>
        <v>1</v>
      </c>
      <c r="BU193" s="149">
        <f t="shared" si="192"/>
        <v>1</v>
      </c>
      <c r="BV193" s="149">
        <f t="shared" si="193"/>
        <v>1</v>
      </c>
      <c r="BW193" s="149">
        <f t="shared" si="194"/>
        <v>1</v>
      </c>
      <c r="BX193" s="149">
        <f t="shared" si="195"/>
        <v>1</v>
      </c>
      <c r="BY193" s="149">
        <f t="shared" si="196"/>
        <v>1</v>
      </c>
      <c r="BZ193" s="149">
        <f t="shared" si="197"/>
        <v>1</v>
      </c>
      <c r="CA193" s="149">
        <f t="shared" si="198"/>
        <v>1</v>
      </c>
      <c r="CB193" s="149">
        <f t="shared" si="199"/>
        <v>1</v>
      </c>
      <c r="CC193" s="149">
        <f t="shared" si="200"/>
        <v>1</v>
      </c>
      <c r="CD193" s="149">
        <f t="shared" si="201"/>
        <v>1</v>
      </c>
      <c r="CE193" s="149">
        <f t="shared" si="202"/>
        <v>1</v>
      </c>
      <c r="CF193" s="149">
        <f t="shared" si="203"/>
        <v>1</v>
      </c>
      <c r="CG193" s="149">
        <f t="shared" si="204"/>
        <v>1</v>
      </c>
      <c r="CH193" s="149">
        <f t="shared" si="205"/>
        <v>1</v>
      </c>
      <c r="CI193" s="149">
        <f t="shared" si="206"/>
        <v>1</v>
      </c>
      <c r="CJ193" s="149">
        <f t="shared" si="207"/>
        <v>1</v>
      </c>
      <c r="CK193" s="149">
        <f t="shared" si="208"/>
        <v>1</v>
      </c>
      <c r="CL193" s="149">
        <f t="shared" si="209"/>
        <v>1</v>
      </c>
      <c r="CM193" s="149">
        <f t="shared" si="210"/>
        <v>1</v>
      </c>
      <c r="CN193" s="149">
        <f t="shared" si="211"/>
        <v>1</v>
      </c>
      <c r="CO193" s="149">
        <f t="shared" si="212"/>
        <v>1</v>
      </c>
      <c r="CP193" s="149">
        <f t="shared" si="213"/>
        <v>1</v>
      </c>
      <c r="CQ193" s="149">
        <f t="shared" si="214"/>
        <v>1</v>
      </c>
      <c r="CR193" s="149">
        <f t="shared" si="215"/>
        <v>1</v>
      </c>
      <c r="CS193" s="149">
        <f t="shared" si="216"/>
        <v>1</v>
      </c>
      <c r="CT193" s="149">
        <f t="shared" si="217"/>
        <v>1</v>
      </c>
      <c r="CU193" s="149">
        <f t="shared" si="218"/>
        <v>1</v>
      </c>
      <c r="CV193" s="149">
        <f t="shared" si="219"/>
        <v>1</v>
      </c>
      <c r="CW193" s="149">
        <f t="shared" si="220"/>
        <v>1</v>
      </c>
      <c r="CX193" s="149">
        <f t="shared" si="221"/>
        <v>1</v>
      </c>
      <c r="CY193" s="149">
        <f t="shared" si="222"/>
        <v>1</v>
      </c>
      <c r="CZ193" s="149">
        <f t="shared" si="223"/>
        <v>1</v>
      </c>
      <c r="DA193" s="149">
        <f t="shared" si="224"/>
        <v>1</v>
      </c>
      <c r="DB193" s="149">
        <f t="shared" si="225"/>
        <v>1</v>
      </c>
      <c r="DG193" s="125">
        <f t="shared" si="186"/>
        <v>1</v>
      </c>
      <c r="DH193" s="125">
        <f t="shared" si="239"/>
        <v>2</v>
      </c>
      <c r="DI193" s="125">
        <f t="shared" si="239"/>
        <v>3</v>
      </c>
      <c r="DJ193" s="125">
        <f t="shared" si="239"/>
        <v>4</v>
      </c>
      <c r="DK193" s="125">
        <f t="shared" si="239"/>
        <v>5</v>
      </c>
      <c r="DL193" s="125">
        <f t="shared" si="239"/>
        <v>6</v>
      </c>
      <c r="DM193" s="125">
        <f t="shared" si="239"/>
        <v>7</v>
      </c>
      <c r="DN193" s="125">
        <f t="shared" si="239"/>
        <v>8</v>
      </c>
      <c r="DO193" s="125">
        <f t="shared" si="239"/>
        <v>9</v>
      </c>
      <c r="DP193" s="125">
        <f t="shared" si="239"/>
        <v>10</v>
      </c>
      <c r="DS193" s="137"/>
      <c r="DT193" s="137"/>
      <c r="DU193" s="137"/>
      <c r="DV193" s="137" t="b">
        <f t="shared" si="226"/>
        <v>0</v>
      </c>
      <c r="DW193" s="137" t="b">
        <f t="shared" si="227"/>
        <v>0</v>
      </c>
      <c r="DX193" s="137" t="b">
        <f t="shared" si="228"/>
        <v>1</v>
      </c>
      <c r="EB193" s="131">
        <f t="shared" si="237"/>
        <v>1</v>
      </c>
      <c r="EC193" s="137" t="b">
        <f t="shared" si="229"/>
        <v>0</v>
      </c>
      <c r="ED193" s="137" t="b">
        <f t="shared" si="230"/>
        <v>0</v>
      </c>
      <c r="EE193" s="137" t="b">
        <f t="shared" si="231"/>
        <v>1</v>
      </c>
      <c r="EF193" s="137"/>
      <c r="EG193" s="137"/>
      <c r="EH193" s="137"/>
      <c r="EI193" s="137"/>
      <c r="EJ193" s="137">
        <f t="shared" si="238"/>
        <v>1</v>
      </c>
      <c r="EK193" s="125">
        <f t="shared" si="232"/>
        <v>0</v>
      </c>
      <c r="EL193" s="125">
        <f t="shared" si="233"/>
        <v>0</v>
      </c>
    </row>
    <row r="194" spans="2:142" ht="15.75" x14ac:dyDescent="0.25">
      <c r="B194" s="160">
        <f t="shared" si="234"/>
        <v>164</v>
      </c>
      <c r="C194" s="283">
        <v>1001350362</v>
      </c>
      <c r="D194" s="283">
        <v>1001301999</v>
      </c>
      <c r="E194" s="281">
        <v>40216094</v>
      </c>
      <c r="F194" s="118">
        <f>IF(OR(J194="",H194=""),"",VLOOKUP(J194,'הזנה לסיווג רשויות'!$B$2:$D$301,2,0))</f>
        <v>20000231</v>
      </c>
      <c r="G194" s="118" t="str">
        <f>IF(OR(J194="",H194=""),"",VLOOKUP(J194,'הזנה לסיווג רשויות'!$B$2:$D$301,3,0))</f>
        <v>נצרת</v>
      </c>
      <c r="H194" s="281" t="s">
        <v>659</v>
      </c>
      <c r="I194" s="201" t="s">
        <v>373</v>
      </c>
      <c r="J194" s="205">
        <v>7300</v>
      </c>
      <c r="K194" s="161">
        <v>0</v>
      </c>
      <c r="L194" s="161">
        <v>1</v>
      </c>
      <c r="M194" s="161">
        <v>0</v>
      </c>
      <c r="N194" s="161">
        <v>0</v>
      </c>
      <c r="O194" s="161">
        <v>1</v>
      </c>
      <c r="P194" s="161">
        <v>1</v>
      </c>
      <c r="Q194" s="161">
        <v>1</v>
      </c>
      <c r="R194" s="201">
        <v>1706019</v>
      </c>
      <c r="S194" s="201">
        <v>713205</v>
      </c>
      <c r="T194" s="160">
        <f>IF(G194="","",IFERROR(IF(S194/R194&gt;'פרמטרים לקריטריונים'!$C$20,1,0),0))</f>
        <v>1</v>
      </c>
      <c r="U194" s="201">
        <v>683705</v>
      </c>
      <c r="V194" s="160">
        <f>IF(G194="","",IFERROR(IF(U194/R194&gt;'פרמטרים לקריטריונים'!$C$21,1,IF(AND(I194=$BW$5,U194/R194&gt;'פרמטרים לקריטריונים'!$C$22),1,0)),0))</f>
        <v>1</v>
      </c>
      <c r="W194" s="161">
        <v>1</v>
      </c>
      <c r="X194" s="161">
        <v>1</v>
      </c>
      <c r="Y194" s="201">
        <v>400000</v>
      </c>
      <c r="Z194" s="201">
        <v>400000</v>
      </c>
      <c r="AA194" s="161">
        <f>IF(G194="","",IF(COUNTIF($D$31:$D$500,D194)=1,1,0))</f>
        <v>1</v>
      </c>
      <c r="AB194" s="161"/>
      <c r="AC194" s="161"/>
      <c r="AD194" s="161"/>
      <c r="AE194" s="161"/>
      <c r="AF194" s="161"/>
      <c r="AG194" s="161"/>
      <c r="AH194" s="161"/>
      <c r="AI194" s="161"/>
      <c r="AJ194" s="161"/>
      <c r="AK194" s="161"/>
      <c r="AL194" s="161"/>
      <c r="AM194" s="161"/>
      <c r="AN194" s="161"/>
      <c r="AO194" s="161"/>
      <c r="AP194" s="161"/>
      <c r="AQ194" s="161"/>
      <c r="AR194" s="161"/>
      <c r="AS194" s="161"/>
      <c r="AT194" s="161"/>
      <c r="AU194" s="161"/>
      <c r="AV194" s="161"/>
      <c r="AW194" s="160"/>
      <c r="AX194" s="161"/>
      <c r="AY194" s="161"/>
      <c r="AZ194" s="161"/>
      <c r="BA194" s="161"/>
      <c r="BB194" s="161"/>
      <c r="BC194" s="161"/>
      <c r="BD194" s="161"/>
      <c r="BE194" s="161"/>
      <c r="BF194" s="160" t="str">
        <f t="shared" si="236"/>
        <v/>
      </c>
      <c r="BG194" s="160"/>
      <c r="BH194" s="160"/>
      <c r="BI194" s="160"/>
      <c r="BJ194" s="160"/>
      <c r="BK194" s="160"/>
      <c r="BL194" s="162">
        <f>IF($G194="","",IF(SUM(N194:O194)=0,0,IF(OR(H194="",I194="",J194="",AA194=0,Y194=""),$BQ$1,IF(BP194&lt;&gt;1,$BQ$1,IF(SUMPRODUCT(--(K194:BG194&gt;=$K$5:$BG$5)*($K$5:$BG$5&lt;&gt;"")*($K$4:$BG$4=1))=COUNTIF($K$4:$BG$4,1),1,0)))))</f>
        <v>1</v>
      </c>
      <c r="BM194" s="257"/>
      <c r="BN194" s="163"/>
      <c r="BO194" s="211" t="str">
        <f>CONCATENATE(H194,I194)</f>
        <v>אלחנין נצרת (ע"ר)תיאטרון</v>
      </c>
      <c r="BP194" s="125">
        <f t="shared" si="189"/>
        <v>1</v>
      </c>
      <c r="BQ194" s="164">
        <v>0</v>
      </c>
      <c r="BR194" s="164">
        <v>1</v>
      </c>
      <c r="BS194" s="149">
        <f t="shared" si="190"/>
        <v>1</v>
      </c>
      <c r="BT194" s="149">
        <f t="shared" si="191"/>
        <v>1</v>
      </c>
      <c r="BU194" s="149">
        <f t="shared" si="192"/>
        <v>1</v>
      </c>
      <c r="BV194" s="149">
        <f t="shared" si="193"/>
        <v>1</v>
      </c>
      <c r="BW194" s="149">
        <f t="shared" si="194"/>
        <v>1</v>
      </c>
      <c r="BX194" s="149">
        <f t="shared" si="195"/>
        <v>1</v>
      </c>
      <c r="BY194" s="149">
        <f t="shared" si="196"/>
        <v>1</v>
      </c>
      <c r="BZ194" s="149">
        <f t="shared" si="197"/>
        <v>1</v>
      </c>
      <c r="CA194" s="149">
        <f t="shared" si="198"/>
        <v>1</v>
      </c>
      <c r="CB194" s="149">
        <f t="shared" si="199"/>
        <v>1</v>
      </c>
      <c r="CC194" s="149">
        <f t="shared" si="200"/>
        <v>1</v>
      </c>
      <c r="CD194" s="149">
        <f t="shared" si="201"/>
        <v>1</v>
      </c>
      <c r="CE194" s="149">
        <f t="shared" si="202"/>
        <v>1</v>
      </c>
      <c r="CF194" s="149">
        <f t="shared" si="203"/>
        <v>1</v>
      </c>
      <c r="CG194" s="149">
        <f t="shared" si="204"/>
        <v>1</v>
      </c>
      <c r="CH194" s="149">
        <f t="shared" si="205"/>
        <v>1</v>
      </c>
      <c r="CI194" s="149">
        <f t="shared" si="206"/>
        <v>1</v>
      </c>
      <c r="CJ194" s="149">
        <f t="shared" si="207"/>
        <v>1</v>
      </c>
      <c r="CK194" s="149">
        <f t="shared" si="208"/>
        <v>1</v>
      </c>
      <c r="CL194" s="149">
        <f t="shared" si="209"/>
        <v>1</v>
      </c>
      <c r="CM194" s="149">
        <f t="shared" si="210"/>
        <v>1</v>
      </c>
      <c r="CN194" s="149">
        <f t="shared" si="211"/>
        <v>1</v>
      </c>
      <c r="CO194" s="149">
        <f t="shared" si="212"/>
        <v>1</v>
      </c>
      <c r="CP194" s="149">
        <f t="shared" si="213"/>
        <v>1</v>
      </c>
      <c r="CQ194" s="149">
        <f t="shared" si="214"/>
        <v>1</v>
      </c>
      <c r="CR194" s="149">
        <f t="shared" si="215"/>
        <v>1</v>
      </c>
      <c r="CS194" s="149">
        <f t="shared" si="216"/>
        <v>1</v>
      </c>
      <c r="CT194" s="149">
        <f t="shared" si="217"/>
        <v>1</v>
      </c>
      <c r="CU194" s="149">
        <f t="shared" si="218"/>
        <v>1</v>
      </c>
      <c r="CV194" s="149">
        <f t="shared" si="219"/>
        <v>1</v>
      </c>
      <c r="CW194" s="149">
        <f t="shared" si="220"/>
        <v>1</v>
      </c>
      <c r="CX194" s="149">
        <f t="shared" si="221"/>
        <v>1</v>
      </c>
      <c r="CY194" s="149">
        <f t="shared" si="222"/>
        <v>1</v>
      </c>
      <c r="CZ194" s="149">
        <f t="shared" si="223"/>
        <v>1</v>
      </c>
      <c r="DA194" s="149">
        <f t="shared" si="224"/>
        <v>1</v>
      </c>
      <c r="DB194" s="149">
        <f t="shared" si="225"/>
        <v>1</v>
      </c>
      <c r="DG194" s="125">
        <f t="shared" si="186"/>
        <v>1</v>
      </c>
      <c r="DH194" s="125">
        <f t="shared" si="239"/>
        <v>2</v>
      </c>
      <c r="DI194" s="125">
        <f t="shared" si="239"/>
        <v>3</v>
      </c>
      <c r="DJ194" s="125">
        <f t="shared" si="239"/>
        <v>4</v>
      </c>
      <c r="DK194" s="125">
        <f t="shared" si="239"/>
        <v>5</v>
      </c>
      <c r="DL194" s="125">
        <f t="shared" si="239"/>
        <v>6</v>
      </c>
      <c r="DM194" s="125">
        <f t="shared" si="239"/>
        <v>7</v>
      </c>
      <c r="DN194" s="125">
        <f t="shared" si="239"/>
        <v>8</v>
      </c>
      <c r="DO194" s="125">
        <f t="shared" si="239"/>
        <v>9</v>
      </c>
      <c r="DP194" s="125">
        <f t="shared" si="239"/>
        <v>10</v>
      </c>
      <c r="DS194" s="137"/>
      <c r="DT194" s="137"/>
      <c r="DU194" s="137"/>
      <c r="DV194" s="137" t="b">
        <f t="shared" si="226"/>
        <v>0</v>
      </c>
      <c r="DW194" s="137" t="b">
        <f t="shared" si="227"/>
        <v>0</v>
      </c>
      <c r="DX194" s="137" t="b">
        <f t="shared" si="228"/>
        <v>1</v>
      </c>
      <c r="EB194" s="131">
        <f t="shared" si="237"/>
        <v>1</v>
      </c>
      <c r="EC194" s="137" t="b">
        <f t="shared" si="229"/>
        <v>0</v>
      </c>
      <c r="ED194" s="137" t="b">
        <f t="shared" si="230"/>
        <v>0</v>
      </c>
      <c r="EE194" s="137" t="b">
        <f t="shared" si="231"/>
        <v>1</v>
      </c>
      <c r="EF194" s="137"/>
      <c r="EG194" s="137"/>
      <c r="EH194" s="137"/>
      <c r="EI194" s="137"/>
      <c r="EJ194" s="137">
        <f t="shared" si="238"/>
        <v>1</v>
      </c>
      <c r="EK194" s="125">
        <f t="shared" si="232"/>
        <v>0</v>
      </c>
      <c r="EL194" s="125">
        <f t="shared" si="233"/>
        <v>0</v>
      </c>
    </row>
    <row r="195" spans="2:142" ht="15.75" x14ac:dyDescent="0.25">
      <c r="B195" s="160">
        <f t="shared" si="234"/>
        <v>165</v>
      </c>
      <c r="C195" s="283">
        <v>1001349141</v>
      </c>
      <c r="D195" s="283">
        <v>1001263416</v>
      </c>
      <c r="E195" s="281">
        <v>41375324</v>
      </c>
      <c r="F195" s="118">
        <f>IF(OR(J195="",H195=""),"",VLOOKUP(J195,'הזנה לסיווג רשויות'!$B$2:$D$301,2,0))</f>
        <v>20000201</v>
      </c>
      <c r="G195" s="118" t="str">
        <f>IF(OR(J195="",H195=""),"",VLOOKUP(J195,'הזנה לסיווג רשויות'!$B$2:$D$301,3,0))</f>
        <v>תל אביב -יפו</v>
      </c>
      <c r="H195" s="281" t="s">
        <v>660</v>
      </c>
      <c r="I195" s="201" t="s">
        <v>373</v>
      </c>
      <c r="J195" s="205">
        <v>5000</v>
      </c>
      <c r="K195" s="161">
        <v>0</v>
      </c>
      <c r="L195" s="161">
        <v>1</v>
      </c>
      <c r="M195" s="161">
        <v>0</v>
      </c>
      <c r="N195" s="161">
        <v>0</v>
      </c>
      <c r="O195" s="161">
        <v>1</v>
      </c>
      <c r="P195" s="161">
        <v>1</v>
      </c>
      <c r="Q195" s="161">
        <v>1</v>
      </c>
      <c r="R195" s="201">
        <v>70272</v>
      </c>
      <c r="S195" s="201">
        <v>43249</v>
      </c>
      <c r="T195" s="160">
        <f>IF(G195="","",IFERROR(IF(S195/R195&gt;'פרמטרים לקריטריונים'!$C$20,1,0),0))</f>
        <v>1</v>
      </c>
      <c r="U195" s="201">
        <v>26149</v>
      </c>
      <c r="V195" s="160">
        <f>IF(G195="","",IFERROR(IF(U195/R195&gt;'פרמטרים לקריטריונים'!$C$21,1,IF(AND(I195=$BW$5,U195/R195&gt;'פרמטרים לקריטריונים'!$C$22),1,0)),0))</f>
        <v>1</v>
      </c>
      <c r="W195" s="161">
        <v>1</v>
      </c>
      <c r="X195" s="161">
        <v>1</v>
      </c>
      <c r="Y195" s="201">
        <v>50000</v>
      </c>
      <c r="Z195" s="201">
        <v>25000</v>
      </c>
      <c r="AA195" s="161">
        <f t="shared" si="235"/>
        <v>1</v>
      </c>
      <c r="AB195" s="161"/>
      <c r="AC195" s="161"/>
      <c r="AD195" s="161"/>
      <c r="AE195" s="161"/>
      <c r="AF195" s="161"/>
      <c r="AG195" s="161"/>
      <c r="AH195" s="161"/>
      <c r="AI195" s="161"/>
      <c r="AJ195" s="161"/>
      <c r="AK195" s="161"/>
      <c r="AL195" s="161"/>
      <c r="AM195" s="161"/>
      <c r="AN195" s="161"/>
      <c r="AO195" s="161"/>
      <c r="AP195" s="161"/>
      <c r="AQ195" s="161"/>
      <c r="AR195" s="161"/>
      <c r="AS195" s="161"/>
      <c r="AT195" s="161"/>
      <c r="AU195" s="161"/>
      <c r="AV195" s="161"/>
      <c r="AW195" s="160"/>
      <c r="AX195" s="161"/>
      <c r="AY195" s="161"/>
      <c r="AZ195" s="161"/>
      <c r="BA195" s="161"/>
      <c r="BB195" s="161"/>
      <c r="BC195" s="161"/>
      <c r="BD195" s="161"/>
      <c r="BE195" s="161"/>
      <c r="BF195" s="160" t="str">
        <f t="shared" si="236"/>
        <v/>
      </c>
      <c r="BG195" s="160"/>
      <c r="BH195" s="160"/>
      <c r="BI195" s="160"/>
      <c r="BJ195" s="160"/>
      <c r="BK195" s="160"/>
      <c r="BL195" s="162">
        <f t="shared" si="187"/>
        <v>1</v>
      </c>
      <c r="BM195" s="257"/>
      <c r="BN195" s="163"/>
      <c r="BO195" s="211" t="str">
        <f t="shared" si="188"/>
        <v>אדם יוצר - טיפוח הביטוי האמנותי (ע"תיאטרון</v>
      </c>
      <c r="BP195" s="125">
        <f t="shared" si="189"/>
        <v>1</v>
      </c>
      <c r="BQ195" s="164">
        <v>0</v>
      </c>
      <c r="BR195" s="164">
        <v>1</v>
      </c>
      <c r="BS195" s="149">
        <f t="shared" si="190"/>
        <v>1</v>
      </c>
      <c r="BT195" s="149">
        <f t="shared" si="191"/>
        <v>1</v>
      </c>
      <c r="BU195" s="149">
        <f t="shared" si="192"/>
        <v>1</v>
      </c>
      <c r="BV195" s="149">
        <f t="shared" si="193"/>
        <v>1</v>
      </c>
      <c r="BW195" s="149">
        <f t="shared" si="194"/>
        <v>1</v>
      </c>
      <c r="BX195" s="149">
        <f t="shared" si="195"/>
        <v>1</v>
      </c>
      <c r="BY195" s="149">
        <f t="shared" si="196"/>
        <v>1</v>
      </c>
      <c r="BZ195" s="149">
        <f t="shared" si="197"/>
        <v>1</v>
      </c>
      <c r="CA195" s="149">
        <f t="shared" si="198"/>
        <v>1</v>
      </c>
      <c r="CB195" s="149">
        <f t="shared" si="199"/>
        <v>1</v>
      </c>
      <c r="CC195" s="149">
        <f t="shared" si="200"/>
        <v>1</v>
      </c>
      <c r="CD195" s="149">
        <f t="shared" si="201"/>
        <v>1</v>
      </c>
      <c r="CE195" s="149">
        <f t="shared" si="202"/>
        <v>1</v>
      </c>
      <c r="CF195" s="149">
        <f t="shared" si="203"/>
        <v>1</v>
      </c>
      <c r="CG195" s="149">
        <f t="shared" si="204"/>
        <v>1</v>
      </c>
      <c r="CH195" s="149">
        <f t="shared" si="205"/>
        <v>1</v>
      </c>
      <c r="CI195" s="149">
        <f t="shared" si="206"/>
        <v>1</v>
      </c>
      <c r="CJ195" s="149">
        <f t="shared" si="207"/>
        <v>1</v>
      </c>
      <c r="CK195" s="149">
        <f t="shared" si="208"/>
        <v>1</v>
      </c>
      <c r="CL195" s="149">
        <f t="shared" si="209"/>
        <v>1</v>
      </c>
      <c r="CM195" s="149">
        <f t="shared" si="210"/>
        <v>1</v>
      </c>
      <c r="CN195" s="149">
        <f t="shared" si="211"/>
        <v>1</v>
      </c>
      <c r="CO195" s="149">
        <f t="shared" si="212"/>
        <v>1</v>
      </c>
      <c r="CP195" s="149">
        <f t="shared" si="213"/>
        <v>1</v>
      </c>
      <c r="CQ195" s="149">
        <f t="shared" si="214"/>
        <v>1</v>
      </c>
      <c r="CR195" s="149">
        <f t="shared" si="215"/>
        <v>1</v>
      </c>
      <c r="CS195" s="149">
        <f t="shared" si="216"/>
        <v>1</v>
      </c>
      <c r="CT195" s="149">
        <f t="shared" si="217"/>
        <v>1</v>
      </c>
      <c r="CU195" s="149">
        <f t="shared" si="218"/>
        <v>1</v>
      </c>
      <c r="CV195" s="149">
        <f t="shared" si="219"/>
        <v>1</v>
      </c>
      <c r="CW195" s="149">
        <f t="shared" si="220"/>
        <v>1</v>
      </c>
      <c r="CX195" s="149">
        <f t="shared" si="221"/>
        <v>1</v>
      </c>
      <c r="CY195" s="149">
        <f t="shared" si="222"/>
        <v>1</v>
      </c>
      <c r="CZ195" s="149">
        <f t="shared" si="223"/>
        <v>1</v>
      </c>
      <c r="DA195" s="149">
        <f t="shared" si="224"/>
        <v>1</v>
      </c>
      <c r="DB195" s="149">
        <f t="shared" si="225"/>
        <v>1</v>
      </c>
      <c r="DG195" s="125">
        <f t="shared" si="186"/>
        <v>1</v>
      </c>
      <c r="DH195" s="125">
        <f t="shared" si="239"/>
        <v>2</v>
      </c>
      <c r="DI195" s="125">
        <f t="shared" si="239"/>
        <v>3</v>
      </c>
      <c r="DJ195" s="125">
        <f t="shared" si="239"/>
        <v>4</v>
      </c>
      <c r="DK195" s="125">
        <f t="shared" si="239"/>
        <v>5</v>
      </c>
      <c r="DL195" s="125">
        <f t="shared" si="239"/>
        <v>6</v>
      </c>
      <c r="DM195" s="125">
        <f t="shared" si="239"/>
        <v>7</v>
      </c>
      <c r="DN195" s="125">
        <f t="shared" si="239"/>
        <v>8</v>
      </c>
      <c r="DO195" s="125">
        <f t="shared" si="239"/>
        <v>9</v>
      </c>
      <c r="DP195" s="125">
        <f t="shared" si="239"/>
        <v>10</v>
      </c>
      <c r="DS195" s="137"/>
      <c r="DT195" s="137"/>
      <c r="DU195" s="137"/>
      <c r="DV195" s="137" t="b">
        <f t="shared" si="226"/>
        <v>0</v>
      </c>
      <c r="DW195" s="137" t="b">
        <f t="shared" si="227"/>
        <v>0</v>
      </c>
      <c r="DX195" s="137" t="b">
        <f t="shared" si="228"/>
        <v>1</v>
      </c>
      <c r="EB195" s="131">
        <f t="shared" si="237"/>
        <v>1</v>
      </c>
      <c r="EC195" s="137" t="b">
        <f t="shared" si="229"/>
        <v>0</v>
      </c>
      <c r="ED195" s="137" t="b">
        <f t="shared" si="230"/>
        <v>0</v>
      </c>
      <c r="EE195" s="137" t="b">
        <f t="shared" si="231"/>
        <v>1</v>
      </c>
      <c r="EF195" s="137"/>
      <c r="EG195" s="137"/>
      <c r="EH195" s="137"/>
      <c r="EI195" s="137"/>
      <c r="EJ195" s="137">
        <f t="shared" si="238"/>
        <v>1</v>
      </c>
      <c r="EK195" s="125">
        <f t="shared" si="232"/>
        <v>0</v>
      </c>
      <c r="EL195" s="125">
        <f t="shared" si="233"/>
        <v>0</v>
      </c>
    </row>
    <row r="196" spans="2:142" ht="15.75" x14ac:dyDescent="0.25">
      <c r="B196" s="160">
        <f t="shared" si="234"/>
        <v>166</v>
      </c>
      <c r="C196" s="283">
        <v>1001349841</v>
      </c>
      <c r="D196" s="283">
        <v>1001263630</v>
      </c>
      <c r="E196" s="281">
        <v>40003600</v>
      </c>
      <c r="F196" s="118">
        <f>IF(OR(J196="",H196=""),"",VLOOKUP(J196,'הזנה לסיווג רשויות'!$B$2:$D$301,2,0))</f>
        <v>20000254</v>
      </c>
      <c r="G196" s="118" t="str">
        <f>IF(OR(J196="",H196=""),"",VLOOKUP(J196,'הזנה לסיווג רשויות'!$B$2:$D$301,3,0))</f>
        <v>באר שבע</v>
      </c>
      <c r="H196" s="281" t="s">
        <v>661</v>
      </c>
      <c r="I196" s="201" t="s">
        <v>375</v>
      </c>
      <c r="J196" s="205">
        <v>9000</v>
      </c>
      <c r="K196" s="161">
        <v>0</v>
      </c>
      <c r="L196" s="161">
        <v>1</v>
      </c>
      <c r="M196" s="161">
        <v>0</v>
      </c>
      <c r="N196" s="161">
        <v>1</v>
      </c>
      <c r="O196" s="161">
        <v>1</v>
      </c>
      <c r="P196" s="161">
        <v>1</v>
      </c>
      <c r="Q196" s="161">
        <v>1</v>
      </c>
      <c r="R196" s="201">
        <v>9887297</v>
      </c>
      <c r="S196" s="201">
        <v>8387297</v>
      </c>
      <c r="T196" s="160">
        <f>IF(G196="","",IFERROR(IF(S196/R196&gt;'פרמטרים לקריטריונים'!$C$20,1,0),0))</f>
        <v>1</v>
      </c>
      <c r="U196" s="201">
        <v>6228213</v>
      </c>
      <c r="V196" s="160">
        <f>IF(G196="","",IFERROR(IF(U196/R196&gt;'פרמטרים לקריטריונים'!$C$21,1,IF(AND(I196=$BW$5,U196/R196&gt;'פרמטרים לקריטריונים'!$C$22),1,0)),0))</f>
        <v>1</v>
      </c>
      <c r="W196" s="161">
        <v>1</v>
      </c>
      <c r="X196" s="161">
        <v>1</v>
      </c>
      <c r="Y196" s="201">
        <v>3700000</v>
      </c>
      <c r="Z196" s="201">
        <v>3700000</v>
      </c>
      <c r="AA196" s="161">
        <f t="shared" si="235"/>
        <v>1</v>
      </c>
      <c r="AB196" s="161"/>
      <c r="AC196" s="161"/>
      <c r="AD196" s="161"/>
      <c r="AE196" s="161"/>
      <c r="AF196" s="161"/>
      <c r="AG196" s="161"/>
      <c r="AH196" s="161"/>
      <c r="AI196" s="161"/>
      <c r="AJ196" s="161"/>
      <c r="AK196" s="161"/>
      <c r="AL196" s="161"/>
      <c r="AM196" s="161"/>
      <c r="AN196" s="161"/>
      <c r="AO196" s="161"/>
      <c r="AP196" s="161"/>
      <c r="AQ196" s="161"/>
      <c r="AR196" s="161"/>
      <c r="AS196" s="161"/>
      <c r="AT196" s="161"/>
      <c r="AU196" s="161"/>
      <c r="AV196" s="161"/>
      <c r="AW196" s="160"/>
      <c r="AX196" s="161"/>
      <c r="AY196" s="161"/>
      <c r="AZ196" s="161"/>
      <c r="BA196" s="161"/>
      <c r="BB196" s="161"/>
      <c r="BC196" s="161"/>
      <c r="BD196" s="161"/>
      <c r="BE196" s="161"/>
      <c r="BF196" s="160" t="str">
        <f t="shared" si="236"/>
        <v/>
      </c>
      <c r="BG196" s="160"/>
      <c r="BH196" s="160"/>
      <c r="BI196" s="160"/>
      <c r="BJ196" s="160"/>
      <c r="BK196" s="160"/>
      <c r="BL196" s="162">
        <f t="shared" si="187"/>
        <v>1</v>
      </c>
      <c r="BM196" s="257"/>
      <c r="BN196" s="163"/>
      <c r="BO196" s="211" t="str">
        <f t="shared" si="188"/>
        <v>חברת בית יציב ב.ש בע"מ - חברה לתועלמוזיאונים</v>
      </c>
      <c r="BP196" s="125">
        <f t="shared" si="189"/>
        <v>1</v>
      </c>
      <c r="BQ196" s="164">
        <v>0</v>
      </c>
      <c r="BR196" s="164">
        <v>1</v>
      </c>
      <c r="BS196" s="149">
        <f t="shared" si="190"/>
        <v>1</v>
      </c>
      <c r="BT196" s="149">
        <f t="shared" si="191"/>
        <v>1</v>
      </c>
      <c r="BU196" s="149">
        <f t="shared" si="192"/>
        <v>1</v>
      </c>
      <c r="BV196" s="149">
        <f t="shared" si="193"/>
        <v>1</v>
      </c>
      <c r="BW196" s="149">
        <f t="shared" si="194"/>
        <v>1</v>
      </c>
      <c r="BX196" s="149">
        <f t="shared" si="195"/>
        <v>1</v>
      </c>
      <c r="BY196" s="149">
        <f t="shared" si="196"/>
        <v>1</v>
      </c>
      <c r="BZ196" s="149">
        <f t="shared" si="197"/>
        <v>1</v>
      </c>
      <c r="CA196" s="149">
        <f t="shared" si="198"/>
        <v>1</v>
      </c>
      <c r="CB196" s="149">
        <f t="shared" si="199"/>
        <v>1</v>
      </c>
      <c r="CC196" s="149">
        <f t="shared" si="200"/>
        <v>1</v>
      </c>
      <c r="CD196" s="149">
        <f t="shared" si="201"/>
        <v>1</v>
      </c>
      <c r="CE196" s="149">
        <f t="shared" si="202"/>
        <v>1</v>
      </c>
      <c r="CF196" s="149">
        <f t="shared" si="203"/>
        <v>1</v>
      </c>
      <c r="CG196" s="149">
        <f t="shared" si="204"/>
        <v>1</v>
      </c>
      <c r="CH196" s="149">
        <f t="shared" si="205"/>
        <v>1</v>
      </c>
      <c r="CI196" s="149">
        <f t="shared" si="206"/>
        <v>1</v>
      </c>
      <c r="CJ196" s="149">
        <f t="shared" si="207"/>
        <v>1</v>
      </c>
      <c r="CK196" s="149">
        <f t="shared" si="208"/>
        <v>1</v>
      </c>
      <c r="CL196" s="149">
        <f t="shared" si="209"/>
        <v>1</v>
      </c>
      <c r="CM196" s="149">
        <f t="shared" si="210"/>
        <v>1</v>
      </c>
      <c r="CN196" s="149">
        <f t="shared" si="211"/>
        <v>1</v>
      </c>
      <c r="CO196" s="149">
        <f t="shared" si="212"/>
        <v>1</v>
      </c>
      <c r="CP196" s="149">
        <f t="shared" si="213"/>
        <v>1</v>
      </c>
      <c r="CQ196" s="149">
        <f t="shared" si="214"/>
        <v>1</v>
      </c>
      <c r="CR196" s="149">
        <f t="shared" si="215"/>
        <v>1</v>
      </c>
      <c r="CS196" s="149">
        <f t="shared" si="216"/>
        <v>1</v>
      </c>
      <c r="CT196" s="149">
        <f t="shared" si="217"/>
        <v>1</v>
      </c>
      <c r="CU196" s="149">
        <f t="shared" si="218"/>
        <v>1</v>
      </c>
      <c r="CV196" s="149">
        <f t="shared" si="219"/>
        <v>1</v>
      </c>
      <c r="CW196" s="149">
        <f t="shared" si="220"/>
        <v>1</v>
      </c>
      <c r="CX196" s="149">
        <f t="shared" si="221"/>
        <v>1</v>
      </c>
      <c r="CY196" s="149">
        <f t="shared" si="222"/>
        <v>1</v>
      </c>
      <c r="CZ196" s="149">
        <f t="shared" si="223"/>
        <v>1</v>
      </c>
      <c r="DA196" s="149">
        <f t="shared" si="224"/>
        <v>1</v>
      </c>
      <c r="DB196" s="149">
        <f t="shared" si="225"/>
        <v>1</v>
      </c>
      <c r="DG196" s="125">
        <f t="shared" si="186"/>
        <v>1</v>
      </c>
      <c r="DH196" s="125">
        <f t="shared" si="239"/>
        <v>2</v>
      </c>
      <c r="DI196" s="125">
        <f t="shared" si="239"/>
        <v>3</v>
      </c>
      <c r="DJ196" s="125">
        <f t="shared" si="239"/>
        <v>4</v>
      </c>
      <c r="DK196" s="125">
        <f t="shared" si="239"/>
        <v>5</v>
      </c>
      <c r="DL196" s="125">
        <f t="shared" si="239"/>
        <v>6</v>
      </c>
      <c r="DM196" s="125">
        <f t="shared" si="239"/>
        <v>7</v>
      </c>
      <c r="DN196" s="125">
        <f t="shared" si="239"/>
        <v>8</v>
      </c>
      <c r="DO196" s="125">
        <f t="shared" si="239"/>
        <v>9</v>
      </c>
      <c r="DP196" s="125">
        <f t="shared" si="239"/>
        <v>10</v>
      </c>
      <c r="DS196" s="137"/>
      <c r="DT196" s="137"/>
      <c r="DU196" s="137"/>
      <c r="DV196" s="137" t="b">
        <f t="shared" si="226"/>
        <v>0</v>
      </c>
      <c r="DW196" s="137" t="b">
        <f t="shared" si="227"/>
        <v>0</v>
      </c>
      <c r="DX196" s="137" t="b">
        <f t="shared" si="228"/>
        <v>1</v>
      </c>
      <c r="EB196" s="131">
        <f t="shared" si="237"/>
        <v>1</v>
      </c>
      <c r="EC196" s="137" t="b">
        <f t="shared" si="229"/>
        <v>0</v>
      </c>
      <c r="ED196" s="137" t="b">
        <f t="shared" si="230"/>
        <v>0</v>
      </c>
      <c r="EE196" s="137" t="b">
        <f t="shared" si="231"/>
        <v>1</v>
      </c>
      <c r="EF196" s="137"/>
      <c r="EG196" s="137"/>
      <c r="EH196" s="137"/>
      <c r="EI196" s="137"/>
      <c r="EJ196" s="137">
        <f t="shared" si="238"/>
        <v>1</v>
      </c>
      <c r="EK196" s="125">
        <f t="shared" si="232"/>
        <v>0</v>
      </c>
      <c r="EL196" s="125">
        <f t="shared" si="233"/>
        <v>0</v>
      </c>
    </row>
    <row r="197" spans="2:142" ht="15.75" x14ac:dyDescent="0.25">
      <c r="B197" s="160">
        <f t="shared" si="234"/>
        <v>167</v>
      </c>
      <c r="C197" s="283">
        <v>1001346793</v>
      </c>
      <c r="D197" s="283">
        <v>1001346793</v>
      </c>
      <c r="E197" s="281">
        <v>40462864</v>
      </c>
      <c r="F197" s="118">
        <f>IF(OR(J197="",H197=""),"",VLOOKUP(J197,'הזנה לסיווג רשויות'!$B$2:$D$301,2,0))</f>
        <v>20000244</v>
      </c>
      <c r="G197" s="118" t="str">
        <f>IF(OR(J197="",H197=""),"",VLOOKUP(J197,'הזנה לסיווג רשויות'!$B$2:$D$301,3,0))</f>
        <v>צפת</v>
      </c>
      <c r="H197" s="281" t="s">
        <v>662</v>
      </c>
      <c r="I197" s="201" t="s">
        <v>564</v>
      </c>
      <c r="J197" s="205">
        <v>8000</v>
      </c>
      <c r="K197" s="161">
        <v>0</v>
      </c>
      <c r="L197" s="161">
        <v>1</v>
      </c>
      <c r="M197" s="161">
        <v>0</v>
      </c>
      <c r="N197" s="161">
        <v>0</v>
      </c>
      <c r="O197" s="161">
        <v>1</v>
      </c>
      <c r="P197" s="161">
        <v>1</v>
      </c>
      <c r="Q197" s="161">
        <v>1</v>
      </c>
      <c r="R197" s="201">
        <v>452304</v>
      </c>
      <c r="S197" s="201">
        <v>353732</v>
      </c>
      <c r="T197" s="160">
        <f>IF(G197="","",IFERROR(IF(S197/R197&gt;'פרמטרים לקריטריונים'!$C$20,1,0),0))</f>
        <v>1</v>
      </c>
      <c r="U197" s="201">
        <v>353732</v>
      </c>
      <c r="V197" s="160">
        <f>IF(G197="","",IFERROR(IF(U197/R197&gt;'פרמטרים לקריטריונים'!$C$21,1,IF(AND(I197=$BW$5,U197/R197&gt;'פרמטרים לקריטריונים'!$C$22),1,0)),0))</f>
        <v>1</v>
      </c>
      <c r="W197" s="161">
        <v>1</v>
      </c>
      <c r="X197" s="161">
        <v>1</v>
      </c>
      <c r="Y197" s="201">
        <v>100000</v>
      </c>
      <c r="Z197" s="201">
        <v>50000</v>
      </c>
      <c r="AA197" s="161">
        <f t="shared" si="235"/>
        <v>1</v>
      </c>
      <c r="AB197" s="161"/>
      <c r="AC197" s="161"/>
      <c r="AD197" s="161"/>
      <c r="AE197" s="161"/>
      <c r="AF197" s="161"/>
      <c r="AG197" s="161"/>
      <c r="AH197" s="161"/>
      <c r="AI197" s="161"/>
      <c r="AJ197" s="161"/>
      <c r="AK197" s="161"/>
      <c r="AL197" s="161"/>
      <c r="AM197" s="161"/>
      <c r="AN197" s="161"/>
      <c r="AO197" s="161"/>
      <c r="AP197" s="161"/>
      <c r="AQ197" s="161"/>
      <c r="AR197" s="161"/>
      <c r="AS197" s="161"/>
      <c r="AT197" s="161"/>
      <c r="AU197" s="161"/>
      <c r="AV197" s="161"/>
      <c r="AW197" s="160"/>
      <c r="AX197" s="161"/>
      <c r="AY197" s="161"/>
      <c r="AZ197" s="161"/>
      <c r="BA197" s="161"/>
      <c r="BB197" s="161"/>
      <c r="BC197" s="161"/>
      <c r="BD197" s="161"/>
      <c r="BE197" s="161"/>
      <c r="BF197" s="160" t="str">
        <f t="shared" si="236"/>
        <v/>
      </c>
      <c r="BG197" s="160"/>
      <c r="BH197" s="160"/>
      <c r="BI197" s="160"/>
      <c r="BJ197" s="160"/>
      <c r="BK197" s="160"/>
      <c r="BL197" s="162">
        <f t="shared" si="187"/>
        <v>1</v>
      </c>
      <c r="BM197" s="257"/>
      <c r="BN197" s="163"/>
      <c r="BO197" s="211" t="str">
        <f t="shared" si="188"/>
        <v>עמותת כליזמרים - כיתת אומן בצפת (ע"אחר</v>
      </c>
      <c r="BP197" s="125">
        <f t="shared" si="189"/>
        <v>1</v>
      </c>
      <c r="BQ197" s="164">
        <v>0</v>
      </c>
      <c r="BR197" s="164">
        <v>1</v>
      </c>
      <c r="BS197" s="149">
        <f t="shared" si="190"/>
        <v>1</v>
      </c>
      <c r="BT197" s="149">
        <f t="shared" si="191"/>
        <v>1</v>
      </c>
      <c r="BU197" s="149">
        <f t="shared" si="192"/>
        <v>1</v>
      </c>
      <c r="BV197" s="149">
        <f t="shared" si="193"/>
        <v>1</v>
      </c>
      <c r="BW197" s="149">
        <f t="shared" si="194"/>
        <v>1</v>
      </c>
      <c r="BX197" s="149">
        <f t="shared" si="195"/>
        <v>1</v>
      </c>
      <c r="BY197" s="149">
        <f t="shared" si="196"/>
        <v>1</v>
      </c>
      <c r="BZ197" s="149">
        <f t="shared" si="197"/>
        <v>1</v>
      </c>
      <c r="CA197" s="149">
        <f t="shared" si="198"/>
        <v>1</v>
      </c>
      <c r="CB197" s="149">
        <f t="shared" si="199"/>
        <v>1</v>
      </c>
      <c r="CC197" s="149">
        <f t="shared" si="200"/>
        <v>1</v>
      </c>
      <c r="CD197" s="149">
        <f t="shared" si="201"/>
        <v>1</v>
      </c>
      <c r="CE197" s="149">
        <f t="shared" si="202"/>
        <v>1</v>
      </c>
      <c r="CF197" s="149">
        <f t="shared" si="203"/>
        <v>1</v>
      </c>
      <c r="CG197" s="149">
        <f t="shared" si="204"/>
        <v>1</v>
      </c>
      <c r="CH197" s="149">
        <f t="shared" si="205"/>
        <v>1</v>
      </c>
      <c r="CI197" s="149">
        <f t="shared" si="206"/>
        <v>1</v>
      </c>
      <c r="CJ197" s="149">
        <f t="shared" si="207"/>
        <v>1</v>
      </c>
      <c r="CK197" s="149">
        <f t="shared" si="208"/>
        <v>1</v>
      </c>
      <c r="CL197" s="149">
        <f t="shared" si="209"/>
        <v>1</v>
      </c>
      <c r="CM197" s="149">
        <f t="shared" si="210"/>
        <v>1</v>
      </c>
      <c r="CN197" s="149">
        <f t="shared" si="211"/>
        <v>1</v>
      </c>
      <c r="CO197" s="149">
        <f t="shared" si="212"/>
        <v>1</v>
      </c>
      <c r="CP197" s="149">
        <f t="shared" si="213"/>
        <v>1</v>
      </c>
      <c r="CQ197" s="149">
        <f t="shared" si="214"/>
        <v>1</v>
      </c>
      <c r="CR197" s="149">
        <f t="shared" si="215"/>
        <v>1</v>
      </c>
      <c r="CS197" s="149">
        <f t="shared" si="216"/>
        <v>1</v>
      </c>
      <c r="CT197" s="149">
        <f t="shared" si="217"/>
        <v>1</v>
      </c>
      <c r="CU197" s="149">
        <f t="shared" si="218"/>
        <v>1</v>
      </c>
      <c r="CV197" s="149">
        <f t="shared" si="219"/>
        <v>1</v>
      </c>
      <c r="CW197" s="149">
        <f t="shared" si="220"/>
        <v>1</v>
      </c>
      <c r="CX197" s="149">
        <f t="shared" si="221"/>
        <v>1</v>
      </c>
      <c r="CY197" s="149">
        <f t="shared" si="222"/>
        <v>1</v>
      </c>
      <c r="CZ197" s="149">
        <f t="shared" si="223"/>
        <v>1</v>
      </c>
      <c r="DA197" s="149">
        <f t="shared" si="224"/>
        <v>1</v>
      </c>
      <c r="DB197" s="149">
        <f t="shared" si="225"/>
        <v>1</v>
      </c>
      <c r="DG197" s="125">
        <f t="shared" si="186"/>
        <v>1</v>
      </c>
      <c r="DH197" s="125">
        <f t="shared" si="239"/>
        <v>2</v>
      </c>
      <c r="DI197" s="125">
        <f t="shared" si="239"/>
        <v>3</v>
      </c>
      <c r="DJ197" s="125">
        <f t="shared" si="239"/>
        <v>4</v>
      </c>
      <c r="DK197" s="125">
        <f t="shared" si="239"/>
        <v>5</v>
      </c>
      <c r="DL197" s="125">
        <f t="shared" si="239"/>
        <v>6</v>
      </c>
      <c r="DM197" s="125">
        <f t="shared" si="239"/>
        <v>7</v>
      </c>
      <c r="DN197" s="125">
        <f t="shared" si="239"/>
        <v>8</v>
      </c>
      <c r="DO197" s="125">
        <f t="shared" si="239"/>
        <v>9</v>
      </c>
      <c r="DP197" s="125">
        <f t="shared" si="239"/>
        <v>10</v>
      </c>
      <c r="DS197" s="137"/>
      <c r="DT197" s="137"/>
      <c r="DU197" s="137"/>
      <c r="DV197" s="137" t="b">
        <f t="shared" si="226"/>
        <v>0</v>
      </c>
      <c r="DW197" s="137" t="b">
        <f t="shared" si="227"/>
        <v>0</v>
      </c>
      <c r="DX197" s="137" t="b">
        <f t="shared" si="228"/>
        <v>1</v>
      </c>
      <c r="EB197" s="131">
        <f t="shared" si="237"/>
        <v>1</v>
      </c>
      <c r="EC197" s="137" t="b">
        <f t="shared" si="229"/>
        <v>0</v>
      </c>
      <c r="ED197" s="137" t="b">
        <f t="shared" si="230"/>
        <v>0</v>
      </c>
      <c r="EE197" s="137" t="b">
        <f t="shared" si="231"/>
        <v>1</v>
      </c>
      <c r="EF197" s="137"/>
      <c r="EG197" s="137"/>
      <c r="EH197" s="137"/>
      <c r="EI197" s="137"/>
      <c r="EJ197" s="137">
        <f t="shared" si="238"/>
        <v>1</v>
      </c>
      <c r="EK197" s="125">
        <f t="shared" si="232"/>
        <v>0</v>
      </c>
      <c r="EL197" s="125">
        <f t="shared" si="233"/>
        <v>0</v>
      </c>
    </row>
    <row r="198" spans="2:142" ht="15.75" x14ac:dyDescent="0.25">
      <c r="B198" s="160">
        <f t="shared" si="234"/>
        <v>168</v>
      </c>
      <c r="C198" s="283">
        <v>1001350197</v>
      </c>
      <c r="D198" s="283">
        <v>1001280236</v>
      </c>
      <c r="E198" s="281">
        <v>40384701</v>
      </c>
      <c r="F198" s="118">
        <f>IF(OR(J198="",H198=""),"",VLOOKUP(J198,'הזנה לסיווג רשויות'!$B$2:$D$301,2,0))</f>
        <v>20000201</v>
      </c>
      <c r="G198" s="118" t="str">
        <f>IF(OR(J198="",H198=""),"",VLOOKUP(J198,'הזנה לסיווג רשויות'!$B$2:$D$301,3,0))</f>
        <v>תל אביב -יפו</v>
      </c>
      <c r="H198" s="281" t="s">
        <v>663</v>
      </c>
      <c r="I198" s="201" t="s">
        <v>385</v>
      </c>
      <c r="J198" s="205">
        <v>5000</v>
      </c>
      <c r="K198" s="161">
        <v>0</v>
      </c>
      <c r="L198" s="161">
        <v>1</v>
      </c>
      <c r="M198" s="161">
        <v>0</v>
      </c>
      <c r="N198" s="161">
        <v>1</v>
      </c>
      <c r="O198" s="161">
        <v>1</v>
      </c>
      <c r="P198" s="161">
        <v>1</v>
      </c>
      <c r="Q198" s="161">
        <v>1</v>
      </c>
      <c r="R198" s="201">
        <v>1718528</v>
      </c>
      <c r="S198" s="201">
        <v>1012528</v>
      </c>
      <c r="T198" s="160">
        <f>IF(G198="","",IFERROR(IF(S198/R198&gt;'פרמטרים לקריטריונים'!$C$20,1,0),0))</f>
        <v>1</v>
      </c>
      <c r="U198" s="201">
        <v>937528</v>
      </c>
      <c r="V198" s="160">
        <f>IF(G198="","",IFERROR(IF(U198/R198&gt;'פרמטרים לקריטריונים'!$C$21,1,IF(AND(I198=$BW$5,U198/R198&gt;'פרמטרים לקריטריונים'!$C$22),1,0)),0))</f>
        <v>1</v>
      </c>
      <c r="W198" s="161">
        <v>1</v>
      </c>
      <c r="X198" s="161">
        <v>1</v>
      </c>
      <c r="Y198" s="201">
        <v>147328</v>
      </c>
      <c r="Z198" s="201">
        <v>147328</v>
      </c>
      <c r="AA198" s="161">
        <f t="shared" si="235"/>
        <v>1</v>
      </c>
      <c r="AB198" s="161"/>
      <c r="AC198" s="161"/>
      <c r="AD198" s="161"/>
      <c r="AE198" s="161"/>
      <c r="AF198" s="161"/>
      <c r="AG198" s="161"/>
      <c r="AH198" s="161"/>
      <c r="AI198" s="161"/>
      <c r="AJ198" s="161"/>
      <c r="AK198" s="161"/>
      <c r="AL198" s="161"/>
      <c r="AM198" s="161"/>
      <c r="AN198" s="161"/>
      <c r="AO198" s="161"/>
      <c r="AP198" s="161"/>
      <c r="AQ198" s="161"/>
      <c r="AR198" s="161"/>
      <c r="AS198" s="161"/>
      <c r="AT198" s="161"/>
      <c r="AU198" s="161"/>
      <c r="AV198" s="161"/>
      <c r="AW198" s="160"/>
      <c r="AX198" s="161"/>
      <c r="AY198" s="161"/>
      <c r="AZ198" s="161"/>
      <c r="BA198" s="161"/>
      <c r="BB198" s="161"/>
      <c r="BC198" s="161"/>
      <c r="BD198" s="161"/>
      <c r="BE198" s="161"/>
      <c r="BF198" s="160" t="str">
        <f t="shared" si="236"/>
        <v/>
      </c>
      <c r="BG198" s="160"/>
      <c r="BH198" s="160"/>
      <c r="BI198" s="160"/>
      <c r="BJ198" s="160"/>
      <c r="BK198" s="160"/>
      <c r="BL198" s="162">
        <f t="shared" si="187"/>
        <v>1</v>
      </c>
      <c r="BM198" s="257"/>
      <c r="BN198" s="163"/>
      <c r="BO198" s="211" t="str">
        <f t="shared" si="188"/>
        <v>תזמורת המהפכה (ע"ר)מרכזי מוסיקה</v>
      </c>
      <c r="BP198" s="125">
        <f t="shared" si="189"/>
        <v>1</v>
      </c>
      <c r="BQ198" s="164">
        <v>0</v>
      </c>
      <c r="BR198" s="164">
        <v>1</v>
      </c>
      <c r="BS198" s="149">
        <f t="shared" si="190"/>
        <v>1</v>
      </c>
      <c r="BT198" s="149">
        <f t="shared" si="191"/>
        <v>1</v>
      </c>
      <c r="BU198" s="149">
        <f t="shared" si="192"/>
        <v>1</v>
      </c>
      <c r="BV198" s="149">
        <f t="shared" si="193"/>
        <v>1</v>
      </c>
      <c r="BW198" s="149">
        <f t="shared" si="194"/>
        <v>1</v>
      </c>
      <c r="BX198" s="149">
        <f t="shared" si="195"/>
        <v>1</v>
      </c>
      <c r="BY198" s="149">
        <f t="shared" si="196"/>
        <v>1</v>
      </c>
      <c r="BZ198" s="149">
        <f t="shared" si="197"/>
        <v>1</v>
      </c>
      <c r="CA198" s="149">
        <f t="shared" si="198"/>
        <v>1</v>
      </c>
      <c r="CB198" s="149">
        <f t="shared" si="199"/>
        <v>1</v>
      </c>
      <c r="CC198" s="149">
        <f t="shared" si="200"/>
        <v>1</v>
      </c>
      <c r="CD198" s="149">
        <f t="shared" si="201"/>
        <v>1</v>
      </c>
      <c r="CE198" s="149">
        <f t="shared" si="202"/>
        <v>1</v>
      </c>
      <c r="CF198" s="149">
        <f t="shared" si="203"/>
        <v>1</v>
      </c>
      <c r="CG198" s="149">
        <f t="shared" si="204"/>
        <v>1</v>
      </c>
      <c r="CH198" s="149">
        <f t="shared" si="205"/>
        <v>1</v>
      </c>
      <c r="CI198" s="149">
        <f t="shared" si="206"/>
        <v>1</v>
      </c>
      <c r="CJ198" s="149">
        <f t="shared" si="207"/>
        <v>1</v>
      </c>
      <c r="CK198" s="149">
        <f t="shared" si="208"/>
        <v>1</v>
      </c>
      <c r="CL198" s="149">
        <f t="shared" si="209"/>
        <v>1</v>
      </c>
      <c r="CM198" s="149">
        <f t="shared" si="210"/>
        <v>1</v>
      </c>
      <c r="CN198" s="149">
        <f t="shared" si="211"/>
        <v>1</v>
      </c>
      <c r="CO198" s="149">
        <f t="shared" si="212"/>
        <v>1</v>
      </c>
      <c r="CP198" s="149">
        <f t="shared" si="213"/>
        <v>1</v>
      </c>
      <c r="CQ198" s="149">
        <f t="shared" si="214"/>
        <v>1</v>
      </c>
      <c r="CR198" s="149">
        <f t="shared" si="215"/>
        <v>1</v>
      </c>
      <c r="CS198" s="149">
        <f t="shared" si="216"/>
        <v>1</v>
      </c>
      <c r="CT198" s="149">
        <f t="shared" si="217"/>
        <v>1</v>
      </c>
      <c r="CU198" s="149">
        <f t="shared" si="218"/>
        <v>1</v>
      </c>
      <c r="CV198" s="149">
        <f t="shared" si="219"/>
        <v>1</v>
      </c>
      <c r="CW198" s="149">
        <f t="shared" si="220"/>
        <v>1</v>
      </c>
      <c r="CX198" s="149">
        <f t="shared" si="221"/>
        <v>1</v>
      </c>
      <c r="CY198" s="149">
        <f t="shared" si="222"/>
        <v>1</v>
      </c>
      <c r="CZ198" s="149">
        <f t="shared" si="223"/>
        <v>1</v>
      </c>
      <c r="DA198" s="149">
        <f t="shared" si="224"/>
        <v>1</v>
      </c>
      <c r="DB198" s="149">
        <f t="shared" si="225"/>
        <v>1</v>
      </c>
      <c r="DG198" s="125">
        <f t="shared" si="186"/>
        <v>1</v>
      </c>
      <c r="DH198" s="125">
        <f t="shared" si="239"/>
        <v>2</v>
      </c>
      <c r="DI198" s="125">
        <f t="shared" si="239"/>
        <v>3</v>
      </c>
      <c r="DJ198" s="125">
        <f t="shared" si="239"/>
        <v>4</v>
      </c>
      <c r="DK198" s="125">
        <f t="shared" si="239"/>
        <v>5</v>
      </c>
      <c r="DL198" s="125">
        <f t="shared" si="239"/>
        <v>6</v>
      </c>
      <c r="DM198" s="125">
        <f t="shared" si="239"/>
        <v>7</v>
      </c>
      <c r="DN198" s="125">
        <f t="shared" si="239"/>
        <v>8</v>
      </c>
      <c r="DO198" s="125">
        <f t="shared" si="239"/>
        <v>9</v>
      </c>
      <c r="DP198" s="125">
        <f t="shared" si="239"/>
        <v>10</v>
      </c>
      <c r="DS198" s="137"/>
      <c r="DT198" s="137"/>
      <c r="DU198" s="137"/>
      <c r="DV198" s="137" t="b">
        <f t="shared" si="226"/>
        <v>0</v>
      </c>
      <c r="DW198" s="137" t="b">
        <f t="shared" si="227"/>
        <v>0</v>
      </c>
      <c r="DX198" s="137" t="b">
        <f t="shared" si="228"/>
        <v>1</v>
      </c>
      <c r="EB198" s="131">
        <f t="shared" si="237"/>
        <v>1</v>
      </c>
      <c r="EC198" s="137" t="b">
        <f t="shared" si="229"/>
        <v>0</v>
      </c>
      <c r="ED198" s="137" t="b">
        <f t="shared" si="230"/>
        <v>0</v>
      </c>
      <c r="EE198" s="137" t="b">
        <f t="shared" si="231"/>
        <v>1</v>
      </c>
      <c r="EF198" s="137"/>
      <c r="EG198" s="137"/>
      <c r="EH198" s="137"/>
      <c r="EI198" s="137"/>
      <c r="EJ198" s="137">
        <f t="shared" si="238"/>
        <v>1</v>
      </c>
      <c r="EK198" s="125">
        <f t="shared" si="232"/>
        <v>0</v>
      </c>
      <c r="EL198" s="125">
        <f t="shared" si="233"/>
        <v>0</v>
      </c>
    </row>
    <row r="199" spans="2:142" ht="15.75" x14ac:dyDescent="0.25">
      <c r="B199" s="160">
        <f t="shared" si="234"/>
        <v>169</v>
      </c>
      <c r="C199" s="283">
        <v>1001350703</v>
      </c>
      <c r="D199" s="283">
        <v>1001279377</v>
      </c>
      <c r="E199" s="281">
        <v>40000394</v>
      </c>
      <c r="F199" s="118">
        <f>IF(OR(J199="",H199=""),"",VLOOKUP(J199,'הזנה לסיווג רשויות'!$B$2:$D$301,2,0))</f>
        <v>20000159</v>
      </c>
      <c r="G199" s="118" t="str">
        <f>IF(OR(J199="",H199=""),"",VLOOKUP(J199,'הזנה לסיווג רשויות'!$B$2:$D$301,3,0))</f>
        <v>ירושלים</v>
      </c>
      <c r="H199" s="281" t="s">
        <v>664</v>
      </c>
      <c r="I199" s="201" t="s">
        <v>374</v>
      </c>
      <c r="J199" s="205">
        <v>3000</v>
      </c>
      <c r="K199" s="161">
        <v>0</v>
      </c>
      <c r="L199" s="161">
        <v>1</v>
      </c>
      <c r="M199" s="161">
        <v>0</v>
      </c>
      <c r="N199" s="161">
        <v>1</v>
      </c>
      <c r="O199" s="161">
        <v>1</v>
      </c>
      <c r="P199" s="161">
        <v>1</v>
      </c>
      <c r="Q199" s="161">
        <v>1</v>
      </c>
      <c r="R199" s="201">
        <v>2940431</v>
      </c>
      <c r="S199" s="201">
        <v>815910</v>
      </c>
      <c r="T199" s="160">
        <f>IF(G199="","",IFERROR(IF(S199/R199&gt;'פרמטרים לקריטריונים'!$C$20,1,0),0))</f>
        <v>1</v>
      </c>
      <c r="U199" s="201">
        <v>720080</v>
      </c>
      <c r="V199" s="160">
        <f>IF(G199="","",IFERROR(IF(U199/R199&gt;'פרמטרים לקריטריונים'!$C$21,1,IF(AND(I199=$BW$5,U199/R199&gt;'פרמטרים לקריטריונים'!$C$22),1,0)),0))</f>
        <v>1</v>
      </c>
      <c r="W199" s="161">
        <v>1</v>
      </c>
      <c r="X199" s="161">
        <v>1</v>
      </c>
      <c r="Y199" s="201">
        <v>1000000</v>
      </c>
      <c r="Z199" s="201">
        <v>100000</v>
      </c>
      <c r="AA199" s="161">
        <f t="shared" si="235"/>
        <v>1</v>
      </c>
      <c r="AB199" s="161"/>
      <c r="AC199" s="161"/>
      <c r="AD199" s="161"/>
      <c r="AE199" s="161"/>
      <c r="AF199" s="161"/>
      <c r="AG199" s="161"/>
      <c r="AH199" s="161"/>
      <c r="AI199" s="161"/>
      <c r="AJ199" s="161"/>
      <c r="AK199" s="161"/>
      <c r="AL199" s="161"/>
      <c r="AM199" s="161"/>
      <c r="AN199" s="161"/>
      <c r="AO199" s="161"/>
      <c r="AP199" s="161"/>
      <c r="AQ199" s="161"/>
      <c r="AR199" s="161"/>
      <c r="AS199" s="161"/>
      <c r="AT199" s="161"/>
      <c r="AU199" s="161"/>
      <c r="AV199" s="161"/>
      <c r="AW199" s="160"/>
      <c r="AX199" s="161"/>
      <c r="AY199" s="161"/>
      <c r="AZ199" s="161"/>
      <c r="BA199" s="161"/>
      <c r="BB199" s="161"/>
      <c r="BC199" s="161"/>
      <c r="BD199" s="161"/>
      <c r="BE199" s="161"/>
      <c r="BF199" s="160" t="str">
        <f t="shared" si="236"/>
        <v/>
      </c>
      <c r="BG199" s="160"/>
      <c r="BH199" s="160"/>
      <c r="BI199" s="160"/>
      <c r="BJ199" s="160"/>
      <c r="BK199" s="160"/>
      <c r="BL199" s="162">
        <f t="shared" si="187"/>
        <v>1</v>
      </c>
      <c r="BM199" s="257"/>
      <c r="BN199" s="163"/>
      <c r="BO199" s="211" t="str">
        <f t="shared" si="188"/>
        <v>להקת קולבן דאנסמחול</v>
      </c>
      <c r="BP199" s="125">
        <f t="shared" si="189"/>
        <v>1</v>
      </c>
      <c r="BQ199" s="164">
        <v>0</v>
      </c>
      <c r="BR199" s="164">
        <v>1</v>
      </c>
      <c r="BS199" s="149">
        <f t="shared" si="190"/>
        <v>1</v>
      </c>
      <c r="BT199" s="149">
        <f t="shared" si="191"/>
        <v>1</v>
      </c>
      <c r="BU199" s="149">
        <f t="shared" si="192"/>
        <v>1</v>
      </c>
      <c r="BV199" s="149">
        <f t="shared" si="193"/>
        <v>1</v>
      </c>
      <c r="BW199" s="149">
        <f t="shared" si="194"/>
        <v>1</v>
      </c>
      <c r="BX199" s="149">
        <f t="shared" si="195"/>
        <v>1</v>
      </c>
      <c r="BY199" s="149">
        <f t="shared" si="196"/>
        <v>1</v>
      </c>
      <c r="BZ199" s="149">
        <f t="shared" si="197"/>
        <v>1</v>
      </c>
      <c r="CA199" s="149">
        <f t="shared" si="198"/>
        <v>1</v>
      </c>
      <c r="CB199" s="149">
        <f t="shared" si="199"/>
        <v>1</v>
      </c>
      <c r="CC199" s="149">
        <f t="shared" si="200"/>
        <v>1</v>
      </c>
      <c r="CD199" s="149">
        <f t="shared" si="201"/>
        <v>1</v>
      </c>
      <c r="CE199" s="149">
        <f t="shared" si="202"/>
        <v>1</v>
      </c>
      <c r="CF199" s="149">
        <f t="shared" si="203"/>
        <v>1</v>
      </c>
      <c r="CG199" s="149">
        <f t="shared" si="204"/>
        <v>1</v>
      </c>
      <c r="CH199" s="149">
        <f t="shared" si="205"/>
        <v>1</v>
      </c>
      <c r="CI199" s="149">
        <f t="shared" si="206"/>
        <v>1</v>
      </c>
      <c r="CJ199" s="149">
        <f t="shared" si="207"/>
        <v>1</v>
      </c>
      <c r="CK199" s="149">
        <f t="shared" si="208"/>
        <v>1</v>
      </c>
      <c r="CL199" s="149">
        <f t="shared" si="209"/>
        <v>1</v>
      </c>
      <c r="CM199" s="149">
        <f t="shared" si="210"/>
        <v>1</v>
      </c>
      <c r="CN199" s="149">
        <f t="shared" si="211"/>
        <v>1</v>
      </c>
      <c r="CO199" s="149">
        <f t="shared" si="212"/>
        <v>1</v>
      </c>
      <c r="CP199" s="149">
        <f t="shared" si="213"/>
        <v>1</v>
      </c>
      <c r="CQ199" s="149">
        <f t="shared" si="214"/>
        <v>1</v>
      </c>
      <c r="CR199" s="149">
        <f t="shared" si="215"/>
        <v>1</v>
      </c>
      <c r="CS199" s="149">
        <f t="shared" si="216"/>
        <v>1</v>
      </c>
      <c r="CT199" s="149">
        <f t="shared" si="217"/>
        <v>1</v>
      </c>
      <c r="CU199" s="149">
        <f t="shared" si="218"/>
        <v>1</v>
      </c>
      <c r="CV199" s="149">
        <f t="shared" si="219"/>
        <v>1</v>
      </c>
      <c r="CW199" s="149">
        <f t="shared" si="220"/>
        <v>1</v>
      </c>
      <c r="CX199" s="149">
        <f t="shared" si="221"/>
        <v>1</v>
      </c>
      <c r="CY199" s="149">
        <f t="shared" si="222"/>
        <v>1</v>
      </c>
      <c r="CZ199" s="149">
        <f t="shared" si="223"/>
        <v>1</v>
      </c>
      <c r="DA199" s="149">
        <f t="shared" si="224"/>
        <v>1</v>
      </c>
      <c r="DB199" s="149">
        <f t="shared" si="225"/>
        <v>1</v>
      </c>
      <c r="DG199" s="125">
        <f t="shared" si="186"/>
        <v>1</v>
      </c>
      <c r="DH199" s="125">
        <f t="shared" si="239"/>
        <v>2</v>
      </c>
      <c r="DI199" s="125">
        <f t="shared" si="239"/>
        <v>3</v>
      </c>
      <c r="DJ199" s="125">
        <f t="shared" si="239"/>
        <v>4</v>
      </c>
      <c r="DK199" s="125">
        <f t="shared" si="239"/>
        <v>5</v>
      </c>
      <c r="DL199" s="125">
        <f t="shared" si="239"/>
        <v>6</v>
      </c>
      <c r="DM199" s="125">
        <f t="shared" si="239"/>
        <v>7</v>
      </c>
      <c r="DN199" s="125">
        <f t="shared" si="239"/>
        <v>8</v>
      </c>
      <c r="DO199" s="125">
        <f t="shared" si="239"/>
        <v>9</v>
      </c>
      <c r="DP199" s="125">
        <f t="shared" si="239"/>
        <v>10</v>
      </c>
      <c r="DS199" s="137"/>
      <c r="DT199" s="137"/>
      <c r="DU199" s="137"/>
      <c r="DV199" s="137" t="b">
        <f t="shared" si="226"/>
        <v>0</v>
      </c>
      <c r="DW199" s="137" t="b">
        <f t="shared" si="227"/>
        <v>0</v>
      </c>
      <c r="DX199" s="137" t="b">
        <f t="shared" si="228"/>
        <v>1</v>
      </c>
      <c r="EB199" s="131">
        <f t="shared" si="237"/>
        <v>1</v>
      </c>
      <c r="EC199" s="137" t="b">
        <f t="shared" si="229"/>
        <v>0</v>
      </c>
      <c r="ED199" s="137" t="b">
        <f t="shared" si="230"/>
        <v>0</v>
      </c>
      <c r="EE199" s="137" t="b">
        <f t="shared" si="231"/>
        <v>1</v>
      </c>
      <c r="EF199" s="137"/>
      <c r="EG199" s="137"/>
      <c r="EH199" s="137"/>
      <c r="EI199" s="137"/>
      <c r="EJ199" s="137">
        <f t="shared" si="238"/>
        <v>1</v>
      </c>
      <c r="EK199" s="125">
        <f t="shared" si="232"/>
        <v>0</v>
      </c>
      <c r="EL199" s="125">
        <f t="shared" si="233"/>
        <v>0</v>
      </c>
    </row>
    <row r="200" spans="2:142" ht="15.75" x14ac:dyDescent="0.25">
      <c r="B200" s="160">
        <f t="shared" si="234"/>
        <v>170</v>
      </c>
      <c r="C200" s="283">
        <v>1001346528</v>
      </c>
      <c r="D200" s="283">
        <v>1001266833</v>
      </c>
      <c r="E200" s="281">
        <v>40318159</v>
      </c>
      <c r="F200" s="118">
        <f>IF(OR(J200="",H200=""),"",VLOOKUP(J200,'הזנה לסיווג רשויות'!$B$2:$D$301,2,0))</f>
        <v>20000154</v>
      </c>
      <c r="G200" s="118" t="str">
        <f>IF(OR(J200="",H200=""),"",VLOOKUP(J200,'הזנה לסיווג רשויות'!$B$2:$D$301,3,0))</f>
        <v>אום אל-פחם</v>
      </c>
      <c r="H200" s="281" t="s">
        <v>665</v>
      </c>
      <c r="I200" s="201" t="s">
        <v>373</v>
      </c>
      <c r="J200" s="205">
        <v>2710</v>
      </c>
      <c r="K200" s="161">
        <v>0</v>
      </c>
      <c r="L200" s="161">
        <v>1</v>
      </c>
      <c r="M200" s="161">
        <v>0</v>
      </c>
      <c r="N200" s="161">
        <v>0</v>
      </c>
      <c r="O200" s="161">
        <v>1</v>
      </c>
      <c r="P200" s="161">
        <v>1</v>
      </c>
      <c r="Q200" s="161">
        <v>1</v>
      </c>
      <c r="R200" s="201">
        <v>750004</v>
      </c>
      <c r="S200" s="201">
        <v>534027</v>
      </c>
      <c r="T200" s="160">
        <f>IF(G200="","",IFERROR(IF(S200/R200&gt;'פרמטרים לקריטריונים'!$C$20,1,0),0))</f>
        <v>1</v>
      </c>
      <c r="U200" s="201">
        <v>1880614</v>
      </c>
      <c r="V200" s="160">
        <f>IF(G200="","",IFERROR(IF(U200/R200&gt;'פרמטרים לקריטריונים'!$C$21,1,IF(AND(I200=$BW$5,U200/R200&gt;'פרמטרים לקריטריונים'!$C$22),1,0)),0))</f>
        <v>1</v>
      </c>
      <c r="W200" s="161">
        <v>1</v>
      </c>
      <c r="X200" s="161">
        <v>1</v>
      </c>
      <c r="Y200" s="201">
        <v>520000</v>
      </c>
      <c r="Z200" s="201">
        <v>520000</v>
      </c>
      <c r="AA200" s="161">
        <f t="shared" si="235"/>
        <v>1</v>
      </c>
      <c r="AB200" s="161"/>
      <c r="AC200" s="161"/>
      <c r="AD200" s="161"/>
      <c r="AE200" s="161"/>
      <c r="AF200" s="161"/>
      <c r="AG200" s="161"/>
      <c r="AH200" s="161"/>
      <c r="AI200" s="161"/>
      <c r="AJ200" s="161"/>
      <c r="AK200" s="161"/>
      <c r="AL200" s="161"/>
      <c r="AM200" s="161"/>
      <c r="AN200" s="161"/>
      <c r="AO200" s="161"/>
      <c r="AP200" s="161"/>
      <c r="AQ200" s="161"/>
      <c r="AR200" s="161"/>
      <c r="AS200" s="161"/>
      <c r="AT200" s="161"/>
      <c r="AU200" s="161"/>
      <c r="AV200" s="161"/>
      <c r="AW200" s="160"/>
      <c r="AX200" s="161"/>
      <c r="AY200" s="161"/>
      <c r="AZ200" s="161"/>
      <c r="BA200" s="161"/>
      <c r="BB200" s="161"/>
      <c r="BC200" s="161"/>
      <c r="BD200" s="161"/>
      <c r="BE200" s="161"/>
      <c r="BF200" s="160" t="str">
        <f t="shared" si="236"/>
        <v/>
      </c>
      <c r="BG200" s="160"/>
      <c r="BH200" s="160"/>
      <c r="BI200" s="160"/>
      <c r="BJ200" s="160"/>
      <c r="BK200" s="160"/>
      <c r="BL200" s="162">
        <f t="shared" si="187"/>
        <v>1</v>
      </c>
      <c r="BM200" s="257"/>
      <c r="BN200" s="163"/>
      <c r="BO200" s="211" t="str">
        <f t="shared" si="188"/>
        <v>אלמיאדין תאטרון א.א. פחםתיאטרון</v>
      </c>
      <c r="BP200" s="125">
        <f t="shared" si="189"/>
        <v>1</v>
      </c>
      <c r="BQ200" s="164">
        <v>0</v>
      </c>
      <c r="BR200" s="164">
        <v>1</v>
      </c>
      <c r="BS200" s="149">
        <f t="shared" si="190"/>
        <v>1</v>
      </c>
      <c r="BT200" s="149">
        <f t="shared" si="191"/>
        <v>1</v>
      </c>
      <c r="BU200" s="149">
        <f t="shared" si="192"/>
        <v>1</v>
      </c>
      <c r="BV200" s="149">
        <f t="shared" si="193"/>
        <v>1</v>
      </c>
      <c r="BW200" s="149">
        <f t="shared" si="194"/>
        <v>1</v>
      </c>
      <c r="BX200" s="149">
        <f t="shared" si="195"/>
        <v>1</v>
      </c>
      <c r="BY200" s="149">
        <f t="shared" si="196"/>
        <v>1</v>
      </c>
      <c r="BZ200" s="149">
        <f t="shared" si="197"/>
        <v>1</v>
      </c>
      <c r="CA200" s="149">
        <f t="shared" si="198"/>
        <v>1</v>
      </c>
      <c r="CB200" s="149">
        <f t="shared" si="199"/>
        <v>1</v>
      </c>
      <c r="CC200" s="149">
        <f t="shared" si="200"/>
        <v>1</v>
      </c>
      <c r="CD200" s="149">
        <f t="shared" si="201"/>
        <v>1</v>
      </c>
      <c r="CE200" s="149">
        <f t="shared" si="202"/>
        <v>1</v>
      </c>
      <c r="CF200" s="149">
        <f t="shared" si="203"/>
        <v>1</v>
      </c>
      <c r="CG200" s="149">
        <f t="shared" si="204"/>
        <v>1</v>
      </c>
      <c r="CH200" s="149">
        <f t="shared" si="205"/>
        <v>1</v>
      </c>
      <c r="CI200" s="149">
        <f t="shared" si="206"/>
        <v>1</v>
      </c>
      <c r="CJ200" s="149">
        <f t="shared" si="207"/>
        <v>1</v>
      </c>
      <c r="CK200" s="149">
        <f t="shared" si="208"/>
        <v>1</v>
      </c>
      <c r="CL200" s="149">
        <f t="shared" si="209"/>
        <v>1</v>
      </c>
      <c r="CM200" s="149">
        <f t="shared" si="210"/>
        <v>1</v>
      </c>
      <c r="CN200" s="149">
        <f t="shared" si="211"/>
        <v>1</v>
      </c>
      <c r="CO200" s="149">
        <f t="shared" si="212"/>
        <v>1</v>
      </c>
      <c r="CP200" s="149">
        <f t="shared" si="213"/>
        <v>1</v>
      </c>
      <c r="CQ200" s="149">
        <f t="shared" si="214"/>
        <v>1</v>
      </c>
      <c r="CR200" s="149">
        <f t="shared" si="215"/>
        <v>1</v>
      </c>
      <c r="CS200" s="149">
        <f t="shared" si="216"/>
        <v>1</v>
      </c>
      <c r="CT200" s="149">
        <f t="shared" si="217"/>
        <v>1</v>
      </c>
      <c r="CU200" s="149">
        <f t="shared" si="218"/>
        <v>1</v>
      </c>
      <c r="CV200" s="149">
        <f t="shared" si="219"/>
        <v>1</v>
      </c>
      <c r="CW200" s="149">
        <f t="shared" si="220"/>
        <v>1</v>
      </c>
      <c r="CX200" s="149">
        <f t="shared" si="221"/>
        <v>1</v>
      </c>
      <c r="CY200" s="149">
        <f t="shared" si="222"/>
        <v>1</v>
      </c>
      <c r="CZ200" s="149">
        <f t="shared" si="223"/>
        <v>1</v>
      </c>
      <c r="DA200" s="149">
        <f t="shared" si="224"/>
        <v>1</v>
      </c>
      <c r="DB200" s="149">
        <f t="shared" si="225"/>
        <v>1</v>
      </c>
      <c r="DG200" s="125">
        <f t="shared" si="186"/>
        <v>1</v>
      </c>
      <c r="DH200" s="125">
        <f t="shared" si="239"/>
        <v>2</v>
      </c>
      <c r="DI200" s="125">
        <f t="shared" si="239"/>
        <v>3</v>
      </c>
      <c r="DJ200" s="125">
        <f t="shared" si="239"/>
        <v>4</v>
      </c>
      <c r="DK200" s="125">
        <f t="shared" si="239"/>
        <v>5</v>
      </c>
      <c r="DL200" s="125">
        <f t="shared" si="239"/>
        <v>6</v>
      </c>
      <c r="DM200" s="125">
        <f t="shared" si="239"/>
        <v>7</v>
      </c>
      <c r="DN200" s="125">
        <f t="shared" si="239"/>
        <v>8</v>
      </c>
      <c r="DO200" s="125">
        <f t="shared" si="239"/>
        <v>9</v>
      </c>
      <c r="DP200" s="125">
        <f t="shared" si="239"/>
        <v>10</v>
      </c>
      <c r="DS200" s="137"/>
      <c r="DT200" s="137"/>
      <c r="DU200" s="137"/>
      <c r="DV200" s="137" t="b">
        <f t="shared" si="226"/>
        <v>0</v>
      </c>
      <c r="DW200" s="137" t="b">
        <f t="shared" si="227"/>
        <v>0</v>
      </c>
      <c r="DX200" s="137" t="b">
        <f t="shared" si="228"/>
        <v>1</v>
      </c>
      <c r="EB200" s="131">
        <f t="shared" si="237"/>
        <v>1</v>
      </c>
      <c r="EC200" s="137" t="b">
        <f t="shared" si="229"/>
        <v>0</v>
      </c>
      <c r="ED200" s="137" t="b">
        <f t="shared" si="230"/>
        <v>0</v>
      </c>
      <c r="EE200" s="137" t="b">
        <f t="shared" si="231"/>
        <v>1</v>
      </c>
      <c r="EF200" s="137"/>
      <c r="EG200" s="137"/>
      <c r="EH200" s="137"/>
      <c r="EI200" s="137"/>
      <c r="EJ200" s="137">
        <f t="shared" si="238"/>
        <v>1</v>
      </c>
      <c r="EK200" s="125">
        <f t="shared" si="232"/>
        <v>0</v>
      </c>
      <c r="EL200" s="125">
        <f t="shared" si="233"/>
        <v>0</v>
      </c>
    </row>
    <row r="201" spans="2:142" ht="15.75" x14ac:dyDescent="0.25">
      <c r="B201" s="160">
        <f t="shared" si="234"/>
        <v>171</v>
      </c>
      <c r="C201" s="283">
        <v>1001349724</v>
      </c>
      <c r="D201" s="283">
        <v>1001269669</v>
      </c>
      <c r="E201" s="281">
        <v>40461779</v>
      </c>
      <c r="F201" s="118">
        <f>IF(OR(J201="",H201=""),"",VLOOKUP(J201,'הזנה לסיווג רשויות'!$B$2:$D$301,2,0))</f>
        <v>20000222</v>
      </c>
      <c r="G201" s="118" t="str">
        <f>IF(OR(J201="",H201=""),"",VLOOKUP(J201,'הזנה לסיווג רשויות'!$B$2:$D$301,3,0))</f>
        <v>הרצלייה</v>
      </c>
      <c r="H201" s="281" t="s">
        <v>666</v>
      </c>
      <c r="I201" s="201" t="s">
        <v>373</v>
      </c>
      <c r="J201" s="205">
        <v>6400</v>
      </c>
      <c r="K201" s="161">
        <v>0</v>
      </c>
      <c r="L201" s="161">
        <v>1</v>
      </c>
      <c r="M201" s="161">
        <v>0</v>
      </c>
      <c r="N201" s="161">
        <v>0</v>
      </c>
      <c r="O201" s="161">
        <v>1</v>
      </c>
      <c r="P201" s="161">
        <v>1</v>
      </c>
      <c r="Q201" s="161">
        <v>1</v>
      </c>
      <c r="R201" s="201">
        <v>4374440</v>
      </c>
      <c r="S201" s="201">
        <v>3542909</v>
      </c>
      <c r="T201" s="160">
        <f>IF(G201="","",IFERROR(IF(S201/R201&gt;'פרמטרים לקריטריונים'!$C$20,1,0),0))</f>
        <v>1</v>
      </c>
      <c r="U201" s="201">
        <v>3517909</v>
      </c>
      <c r="V201" s="160">
        <f>IF(G201="","",IFERROR(IF(U201/R201&gt;'פרמטרים לקריטריונים'!$C$21,1,IF(AND(I201=$BW$5,U201/R201&gt;'פרמטרים לקריטריונים'!$C$22),1,0)),0))</f>
        <v>1</v>
      </c>
      <c r="W201" s="161">
        <v>1</v>
      </c>
      <c r="X201" s="161">
        <v>1</v>
      </c>
      <c r="Y201" s="201">
        <v>1500000</v>
      </c>
      <c r="Z201" s="201">
        <v>1500000</v>
      </c>
      <c r="AA201" s="161">
        <f t="shared" si="235"/>
        <v>1</v>
      </c>
      <c r="AB201" s="161"/>
      <c r="AC201" s="161"/>
      <c r="AD201" s="161"/>
      <c r="AE201" s="161"/>
      <c r="AF201" s="161"/>
      <c r="AG201" s="161"/>
      <c r="AH201" s="161"/>
      <c r="AI201" s="161"/>
      <c r="AJ201" s="161"/>
      <c r="AK201" s="161"/>
      <c r="AL201" s="161"/>
      <c r="AM201" s="161"/>
      <c r="AN201" s="161"/>
      <c r="AO201" s="161"/>
      <c r="AP201" s="161"/>
      <c r="AQ201" s="161"/>
      <c r="AR201" s="161"/>
      <c r="AS201" s="161"/>
      <c r="AT201" s="161"/>
      <c r="AU201" s="161"/>
      <c r="AV201" s="161"/>
      <c r="AW201" s="160"/>
      <c r="AX201" s="161"/>
      <c r="AY201" s="161"/>
      <c r="AZ201" s="161"/>
      <c r="BA201" s="161"/>
      <c r="BB201" s="161"/>
      <c r="BC201" s="161"/>
      <c r="BD201" s="161"/>
      <c r="BE201" s="161"/>
      <c r="BF201" s="160" t="str">
        <f t="shared" si="236"/>
        <v/>
      </c>
      <c r="BG201" s="160"/>
      <c r="BH201" s="160"/>
      <c r="BI201" s="160"/>
      <c r="BJ201" s="160"/>
      <c r="BK201" s="160"/>
      <c r="BL201" s="162">
        <f t="shared" si="187"/>
        <v>1</v>
      </c>
      <c r="BM201" s="257"/>
      <c r="BN201" s="163"/>
      <c r="BO201" s="211" t="str">
        <f t="shared" si="188"/>
        <v>שיא - עמותה לפיתוח התרבות והאומנותתיאטרון</v>
      </c>
      <c r="BP201" s="125">
        <f t="shared" si="189"/>
        <v>1</v>
      </c>
      <c r="BQ201" s="164">
        <v>0</v>
      </c>
      <c r="BR201" s="164">
        <v>1</v>
      </c>
      <c r="BS201" s="149">
        <f t="shared" si="190"/>
        <v>1</v>
      </c>
      <c r="BT201" s="149">
        <f t="shared" si="191"/>
        <v>1</v>
      </c>
      <c r="BU201" s="149">
        <f t="shared" si="192"/>
        <v>1</v>
      </c>
      <c r="BV201" s="149">
        <f t="shared" si="193"/>
        <v>1</v>
      </c>
      <c r="BW201" s="149">
        <f t="shared" si="194"/>
        <v>1</v>
      </c>
      <c r="BX201" s="149">
        <f t="shared" si="195"/>
        <v>1</v>
      </c>
      <c r="BY201" s="149">
        <f t="shared" si="196"/>
        <v>1</v>
      </c>
      <c r="BZ201" s="149">
        <f t="shared" si="197"/>
        <v>1</v>
      </c>
      <c r="CA201" s="149">
        <f t="shared" si="198"/>
        <v>1</v>
      </c>
      <c r="CB201" s="149">
        <f t="shared" si="199"/>
        <v>1</v>
      </c>
      <c r="CC201" s="149">
        <f t="shared" si="200"/>
        <v>1</v>
      </c>
      <c r="CD201" s="149">
        <f t="shared" si="201"/>
        <v>1</v>
      </c>
      <c r="CE201" s="149">
        <f t="shared" si="202"/>
        <v>1</v>
      </c>
      <c r="CF201" s="149">
        <f t="shared" si="203"/>
        <v>1</v>
      </c>
      <c r="CG201" s="149">
        <f t="shared" si="204"/>
        <v>1</v>
      </c>
      <c r="CH201" s="149">
        <f t="shared" si="205"/>
        <v>1</v>
      </c>
      <c r="CI201" s="149">
        <f t="shared" si="206"/>
        <v>1</v>
      </c>
      <c r="CJ201" s="149">
        <f t="shared" si="207"/>
        <v>1</v>
      </c>
      <c r="CK201" s="149">
        <f t="shared" si="208"/>
        <v>1</v>
      </c>
      <c r="CL201" s="149">
        <f t="shared" si="209"/>
        <v>1</v>
      </c>
      <c r="CM201" s="149">
        <f t="shared" si="210"/>
        <v>1</v>
      </c>
      <c r="CN201" s="149">
        <f t="shared" si="211"/>
        <v>1</v>
      </c>
      <c r="CO201" s="149">
        <f t="shared" si="212"/>
        <v>1</v>
      </c>
      <c r="CP201" s="149">
        <f t="shared" si="213"/>
        <v>1</v>
      </c>
      <c r="CQ201" s="149">
        <f t="shared" si="214"/>
        <v>1</v>
      </c>
      <c r="CR201" s="149">
        <f t="shared" si="215"/>
        <v>1</v>
      </c>
      <c r="CS201" s="149">
        <f t="shared" si="216"/>
        <v>1</v>
      </c>
      <c r="CT201" s="149">
        <f t="shared" si="217"/>
        <v>1</v>
      </c>
      <c r="CU201" s="149">
        <f t="shared" si="218"/>
        <v>1</v>
      </c>
      <c r="CV201" s="149">
        <f t="shared" si="219"/>
        <v>1</v>
      </c>
      <c r="CW201" s="149">
        <f t="shared" si="220"/>
        <v>1</v>
      </c>
      <c r="CX201" s="149">
        <f t="shared" si="221"/>
        <v>1</v>
      </c>
      <c r="CY201" s="149">
        <f t="shared" si="222"/>
        <v>1</v>
      </c>
      <c r="CZ201" s="149">
        <f t="shared" si="223"/>
        <v>1</v>
      </c>
      <c r="DA201" s="149">
        <f t="shared" si="224"/>
        <v>1</v>
      </c>
      <c r="DB201" s="149">
        <f t="shared" si="225"/>
        <v>1</v>
      </c>
      <c r="DG201" s="125">
        <f t="shared" si="186"/>
        <v>1</v>
      </c>
      <c r="DH201" s="125">
        <f t="shared" si="239"/>
        <v>2</v>
      </c>
      <c r="DI201" s="125">
        <f t="shared" si="239"/>
        <v>3</v>
      </c>
      <c r="DJ201" s="125">
        <f t="shared" si="239"/>
        <v>4</v>
      </c>
      <c r="DK201" s="125">
        <f t="shared" si="239"/>
        <v>5</v>
      </c>
      <c r="DL201" s="125">
        <f t="shared" si="239"/>
        <v>6</v>
      </c>
      <c r="DM201" s="125">
        <f t="shared" si="239"/>
        <v>7</v>
      </c>
      <c r="DN201" s="125">
        <f t="shared" si="239"/>
        <v>8</v>
      </c>
      <c r="DO201" s="125">
        <f t="shared" si="239"/>
        <v>9</v>
      </c>
      <c r="DP201" s="125">
        <f t="shared" si="239"/>
        <v>10</v>
      </c>
      <c r="DS201" s="137"/>
      <c r="DT201" s="137"/>
      <c r="DU201" s="137"/>
      <c r="DV201" s="137" t="b">
        <f t="shared" si="226"/>
        <v>0</v>
      </c>
      <c r="DW201" s="137" t="b">
        <f t="shared" si="227"/>
        <v>0</v>
      </c>
      <c r="DX201" s="137" t="b">
        <f t="shared" si="228"/>
        <v>1</v>
      </c>
      <c r="EB201" s="131">
        <f t="shared" si="237"/>
        <v>1</v>
      </c>
      <c r="EC201" s="137" t="b">
        <f t="shared" si="229"/>
        <v>0</v>
      </c>
      <c r="ED201" s="137" t="b">
        <f t="shared" si="230"/>
        <v>0</v>
      </c>
      <c r="EE201" s="137" t="b">
        <f t="shared" si="231"/>
        <v>1</v>
      </c>
      <c r="EF201" s="137"/>
      <c r="EG201" s="137"/>
      <c r="EH201" s="137"/>
      <c r="EI201" s="137"/>
      <c r="EJ201" s="137">
        <f t="shared" si="238"/>
        <v>1</v>
      </c>
      <c r="EK201" s="125">
        <f t="shared" si="232"/>
        <v>0</v>
      </c>
      <c r="EL201" s="125">
        <f t="shared" si="233"/>
        <v>0</v>
      </c>
    </row>
    <row r="202" spans="2:142" ht="15.75" x14ac:dyDescent="0.25">
      <c r="B202" s="160">
        <f t="shared" si="234"/>
        <v>172</v>
      </c>
      <c r="C202" s="283">
        <v>1001350043</v>
      </c>
      <c r="D202" s="283">
        <v>1001280546</v>
      </c>
      <c r="E202" s="281">
        <v>40000403</v>
      </c>
      <c r="F202" s="118">
        <f>IF(OR(J202="",H202=""),"",VLOOKUP(J202,'הזנה לסיווג רשויות'!$B$2:$D$301,2,0))</f>
        <v>20000254</v>
      </c>
      <c r="G202" s="118" t="str">
        <f>IF(OR(J202="",H202=""),"",VLOOKUP(J202,'הזנה לסיווג רשויות'!$B$2:$D$301,3,0))</f>
        <v>באר שבע</v>
      </c>
      <c r="H202" s="281" t="s">
        <v>667</v>
      </c>
      <c r="I202" s="201" t="s">
        <v>389</v>
      </c>
      <c r="J202" s="205">
        <v>9000</v>
      </c>
      <c r="K202" s="161">
        <v>0</v>
      </c>
      <c r="L202" s="161">
        <v>1</v>
      </c>
      <c r="M202" s="161">
        <v>0</v>
      </c>
      <c r="N202" s="161">
        <v>0</v>
      </c>
      <c r="O202" s="161">
        <v>1</v>
      </c>
      <c r="P202" s="161">
        <v>1</v>
      </c>
      <c r="Q202" s="161">
        <v>1</v>
      </c>
      <c r="R202" s="201">
        <v>372898</v>
      </c>
      <c r="S202" s="201">
        <v>293974</v>
      </c>
      <c r="T202" s="160">
        <f>IF(G202="","",IFERROR(IF(S202/R202&gt;'פרמטרים לקריטריונים'!$C$20,1,0),0))</f>
        <v>1</v>
      </c>
      <c r="U202" s="201">
        <v>212589</v>
      </c>
      <c r="V202" s="160">
        <f>IF(G202="","",IFERROR(IF(U202/R202&gt;'פרמטרים לקריטריונים'!$C$21,1,IF(AND(I202=$BW$5,U202/R202&gt;'פרמטרים לקריטריונים'!$C$22),1,0)),0))</f>
        <v>1</v>
      </c>
      <c r="W202" s="161">
        <v>1</v>
      </c>
      <c r="X202" s="161">
        <v>1</v>
      </c>
      <c r="Y202" s="201">
        <v>50000</v>
      </c>
      <c r="Z202" s="201">
        <v>50000</v>
      </c>
      <c r="AA202" s="161">
        <f t="shared" si="235"/>
        <v>1</v>
      </c>
      <c r="AB202" s="161"/>
      <c r="AC202" s="161"/>
      <c r="AD202" s="161"/>
      <c r="AE202" s="161"/>
      <c r="AF202" s="161"/>
      <c r="AG202" s="161"/>
      <c r="AH202" s="161"/>
      <c r="AI202" s="161"/>
      <c r="AJ202" s="161"/>
      <c r="AK202" s="161"/>
      <c r="AL202" s="161"/>
      <c r="AM202" s="161"/>
      <c r="AN202" s="161"/>
      <c r="AO202" s="161"/>
      <c r="AP202" s="161"/>
      <c r="AQ202" s="161"/>
      <c r="AR202" s="161"/>
      <c r="AS202" s="161"/>
      <c r="AT202" s="161"/>
      <c r="AU202" s="161"/>
      <c r="AV202" s="161"/>
      <c r="AW202" s="160"/>
      <c r="AX202" s="161"/>
      <c r="AY202" s="161"/>
      <c r="AZ202" s="161"/>
      <c r="BA202" s="161"/>
      <c r="BB202" s="161"/>
      <c r="BC202" s="161"/>
      <c r="BD202" s="161"/>
      <c r="BE202" s="161"/>
      <c r="BF202" s="160" t="str">
        <f t="shared" si="236"/>
        <v/>
      </c>
      <c r="BG202" s="160"/>
      <c r="BH202" s="160"/>
      <c r="BI202" s="160"/>
      <c r="BJ202" s="160"/>
      <c r="BK202" s="160"/>
      <c r="BL202" s="162">
        <f t="shared" si="187"/>
        <v>1</v>
      </c>
      <c r="BM202" s="257"/>
      <c r="BN202" s="163"/>
      <c r="BO202" s="211" t="str">
        <f t="shared" si="188"/>
        <v>החוג לאופרה קלה בנגבאופרה</v>
      </c>
      <c r="BP202" s="125">
        <f t="shared" si="189"/>
        <v>1</v>
      </c>
      <c r="BQ202" s="164">
        <v>0</v>
      </c>
      <c r="BR202" s="164">
        <v>1</v>
      </c>
      <c r="BS202" s="149">
        <f t="shared" si="190"/>
        <v>1</v>
      </c>
      <c r="BT202" s="149">
        <f t="shared" si="191"/>
        <v>1</v>
      </c>
      <c r="BU202" s="149">
        <f t="shared" si="192"/>
        <v>1</v>
      </c>
      <c r="BV202" s="149">
        <f t="shared" si="193"/>
        <v>1</v>
      </c>
      <c r="BW202" s="149">
        <f t="shared" si="194"/>
        <v>1</v>
      </c>
      <c r="BX202" s="149">
        <f t="shared" si="195"/>
        <v>1</v>
      </c>
      <c r="BY202" s="149">
        <f t="shared" si="196"/>
        <v>1</v>
      </c>
      <c r="BZ202" s="149">
        <f t="shared" si="197"/>
        <v>1</v>
      </c>
      <c r="CA202" s="149">
        <f t="shared" si="198"/>
        <v>1</v>
      </c>
      <c r="CB202" s="149">
        <f t="shared" si="199"/>
        <v>1</v>
      </c>
      <c r="CC202" s="149">
        <f t="shared" si="200"/>
        <v>1</v>
      </c>
      <c r="CD202" s="149">
        <f t="shared" si="201"/>
        <v>1</v>
      </c>
      <c r="CE202" s="149">
        <f t="shared" si="202"/>
        <v>1</v>
      </c>
      <c r="CF202" s="149">
        <f t="shared" si="203"/>
        <v>1</v>
      </c>
      <c r="CG202" s="149">
        <f t="shared" si="204"/>
        <v>1</v>
      </c>
      <c r="CH202" s="149">
        <f t="shared" si="205"/>
        <v>1</v>
      </c>
      <c r="CI202" s="149">
        <f t="shared" si="206"/>
        <v>1</v>
      </c>
      <c r="CJ202" s="149">
        <f t="shared" si="207"/>
        <v>1</v>
      </c>
      <c r="CK202" s="149">
        <f t="shared" si="208"/>
        <v>1</v>
      </c>
      <c r="CL202" s="149">
        <f t="shared" si="209"/>
        <v>1</v>
      </c>
      <c r="CM202" s="149">
        <f t="shared" si="210"/>
        <v>1</v>
      </c>
      <c r="CN202" s="149">
        <f t="shared" si="211"/>
        <v>1</v>
      </c>
      <c r="CO202" s="149">
        <f t="shared" si="212"/>
        <v>1</v>
      </c>
      <c r="CP202" s="149">
        <f t="shared" si="213"/>
        <v>1</v>
      </c>
      <c r="CQ202" s="149">
        <f t="shared" si="214"/>
        <v>1</v>
      </c>
      <c r="CR202" s="149">
        <f t="shared" si="215"/>
        <v>1</v>
      </c>
      <c r="CS202" s="149">
        <f t="shared" si="216"/>
        <v>1</v>
      </c>
      <c r="CT202" s="149">
        <f t="shared" si="217"/>
        <v>1</v>
      </c>
      <c r="CU202" s="149">
        <f t="shared" si="218"/>
        <v>1</v>
      </c>
      <c r="CV202" s="149">
        <f t="shared" si="219"/>
        <v>1</v>
      </c>
      <c r="CW202" s="149">
        <f t="shared" si="220"/>
        <v>1</v>
      </c>
      <c r="CX202" s="149">
        <f t="shared" si="221"/>
        <v>1</v>
      </c>
      <c r="CY202" s="149">
        <f t="shared" si="222"/>
        <v>1</v>
      </c>
      <c r="CZ202" s="149">
        <f t="shared" si="223"/>
        <v>1</v>
      </c>
      <c r="DA202" s="149">
        <f t="shared" si="224"/>
        <v>1</v>
      </c>
      <c r="DB202" s="149">
        <f t="shared" si="225"/>
        <v>1</v>
      </c>
      <c r="DG202" s="125">
        <f t="shared" si="186"/>
        <v>1</v>
      </c>
      <c r="DH202" s="125">
        <f t="shared" si="239"/>
        <v>2</v>
      </c>
      <c r="DI202" s="125">
        <f t="shared" si="239"/>
        <v>3</v>
      </c>
      <c r="DJ202" s="125">
        <f t="shared" si="239"/>
        <v>4</v>
      </c>
      <c r="DK202" s="125">
        <f t="shared" si="239"/>
        <v>5</v>
      </c>
      <c r="DL202" s="125">
        <f t="shared" si="239"/>
        <v>6</v>
      </c>
      <c r="DM202" s="125">
        <f t="shared" si="239"/>
        <v>7</v>
      </c>
      <c r="DN202" s="125">
        <f t="shared" si="239"/>
        <v>8</v>
      </c>
      <c r="DO202" s="125">
        <f t="shared" si="239"/>
        <v>9</v>
      </c>
      <c r="DP202" s="125">
        <f t="shared" si="239"/>
        <v>10</v>
      </c>
      <c r="DS202" s="137"/>
      <c r="DT202" s="137"/>
      <c r="DU202" s="137"/>
      <c r="DV202" s="137" t="b">
        <f t="shared" si="226"/>
        <v>0</v>
      </c>
      <c r="DW202" s="137" t="b">
        <f t="shared" si="227"/>
        <v>0</v>
      </c>
      <c r="DX202" s="137" t="b">
        <f t="shared" si="228"/>
        <v>1</v>
      </c>
      <c r="EB202" s="131">
        <f t="shared" si="237"/>
        <v>1</v>
      </c>
      <c r="EC202" s="137" t="b">
        <f t="shared" si="229"/>
        <v>0</v>
      </c>
      <c r="ED202" s="137" t="b">
        <f t="shared" si="230"/>
        <v>0</v>
      </c>
      <c r="EE202" s="137" t="b">
        <f t="shared" si="231"/>
        <v>1</v>
      </c>
      <c r="EF202" s="137"/>
      <c r="EG202" s="137"/>
      <c r="EH202" s="137"/>
      <c r="EI202" s="137"/>
      <c r="EJ202" s="137">
        <f t="shared" si="238"/>
        <v>1</v>
      </c>
      <c r="EK202" s="125">
        <f t="shared" si="232"/>
        <v>0</v>
      </c>
      <c r="EL202" s="125">
        <f t="shared" si="233"/>
        <v>0</v>
      </c>
    </row>
    <row r="203" spans="2:142" ht="15.75" x14ac:dyDescent="0.25">
      <c r="B203" s="160">
        <f t="shared" si="234"/>
        <v>173</v>
      </c>
      <c r="C203" s="283">
        <v>1001350380</v>
      </c>
      <c r="D203" s="283">
        <v>1001290728</v>
      </c>
      <c r="E203" s="281">
        <v>40221579</v>
      </c>
      <c r="F203" s="118">
        <f>IF(OR(J203="",H203=""),"",VLOOKUP(J203,'הזנה לסיווג רשויות'!$B$2:$D$301,2,0))</f>
        <v>20000159</v>
      </c>
      <c r="G203" s="118" t="str">
        <f>IF(OR(J203="",H203=""),"",VLOOKUP(J203,'הזנה לסיווג רשויות'!$B$2:$D$301,3,0))</f>
        <v>ירושלים</v>
      </c>
      <c r="H203" s="281" t="s">
        <v>668</v>
      </c>
      <c r="I203" s="201" t="s">
        <v>373</v>
      </c>
      <c r="J203" s="205">
        <v>3000</v>
      </c>
      <c r="K203" s="161">
        <v>0</v>
      </c>
      <c r="L203" s="161">
        <v>1</v>
      </c>
      <c r="M203" s="161">
        <v>0</v>
      </c>
      <c r="N203" s="161">
        <v>1</v>
      </c>
      <c r="O203" s="161">
        <v>1</v>
      </c>
      <c r="P203" s="161">
        <v>1</v>
      </c>
      <c r="Q203" s="161">
        <v>1</v>
      </c>
      <c r="R203" s="201">
        <v>4222424</v>
      </c>
      <c r="S203" s="201">
        <v>1811241</v>
      </c>
      <c r="T203" s="160">
        <f>IF(G203="","",IFERROR(IF(S203/R203&gt;'פרמטרים לקריטריונים'!$C$20,1,0),0))</f>
        <v>1</v>
      </c>
      <c r="U203" s="201">
        <v>1811241</v>
      </c>
      <c r="V203" s="160">
        <f>IF(G203="","",IFERROR(IF(U203/R203&gt;'פרמטרים לקריטריונים'!$C$21,1,IF(AND(I203=$BW$5,U203/R203&gt;'פרמטרים לקריטריונים'!$C$22),1,0)),0))</f>
        <v>1</v>
      </c>
      <c r="W203" s="161">
        <v>1</v>
      </c>
      <c r="X203" s="161">
        <v>1</v>
      </c>
      <c r="Y203" s="201">
        <v>800000</v>
      </c>
      <c r="Z203" s="201">
        <v>1</v>
      </c>
      <c r="AA203" s="161">
        <f t="shared" si="235"/>
        <v>1</v>
      </c>
      <c r="AB203" s="161"/>
      <c r="AC203" s="161"/>
      <c r="AD203" s="161"/>
      <c r="AE203" s="161"/>
      <c r="AF203" s="161"/>
      <c r="AG203" s="161"/>
      <c r="AH203" s="161"/>
      <c r="AI203" s="161"/>
      <c r="AJ203" s="161"/>
      <c r="AK203" s="161"/>
      <c r="AL203" s="161"/>
      <c r="AM203" s="161"/>
      <c r="AN203" s="161"/>
      <c r="AO203" s="161"/>
      <c r="AP203" s="161"/>
      <c r="AQ203" s="161"/>
      <c r="AR203" s="161"/>
      <c r="AS203" s="161"/>
      <c r="AT203" s="161"/>
      <c r="AU203" s="161"/>
      <c r="AV203" s="161"/>
      <c r="AW203" s="160"/>
      <c r="AX203" s="161"/>
      <c r="AY203" s="161"/>
      <c r="AZ203" s="161"/>
      <c r="BA203" s="161"/>
      <c r="BB203" s="161"/>
      <c r="BC203" s="161"/>
      <c r="BD203" s="161"/>
      <c r="BE203" s="161"/>
      <c r="BF203" s="160" t="str">
        <f t="shared" si="236"/>
        <v/>
      </c>
      <c r="BG203" s="160"/>
      <c r="BH203" s="160"/>
      <c r="BI203" s="160"/>
      <c r="BJ203" s="160"/>
      <c r="BK203" s="160"/>
      <c r="BL203" s="162">
        <f t="shared" si="187"/>
        <v>1</v>
      </c>
      <c r="BM203" s="257"/>
      <c r="BN203" s="163"/>
      <c r="BO203" s="211" t="str">
        <f t="shared" si="188"/>
        <v>אספקלריהתיאטרון</v>
      </c>
      <c r="BP203" s="125">
        <f t="shared" si="189"/>
        <v>1</v>
      </c>
      <c r="BQ203" s="164">
        <v>0</v>
      </c>
      <c r="BR203" s="164">
        <v>1</v>
      </c>
      <c r="BS203" s="149">
        <f t="shared" si="190"/>
        <v>1</v>
      </c>
      <c r="BT203" s="149">
        <f t="shared" si="191"/>
        <v>1</v>
      </c>
      <c r="BU203" s="149">
        <f t="shared" si="192"/>
        <v>1</v>
      </c>
      <c r="BV203" s="149">
        <f t="shared" si="193"/>
        <v>1</v>
      </c>
      <c r="BW203" s="149">
        <f t="shared" si="194"/>
        <v>1</v>
      </c>
      <c r="BX203" s="149">
        <f t="shared" si="195"/>
        <v>1</v>
      </c>
      <c r="BY203" s="149">
        <f t="shared" si="196"/>
        <v>1</v>
      </c>
      <c r="BZ203" s="149">
        <f t="shared" si="197"/>
        <v>1</v>
      </c>
      <c r="CA203" s="149">
        <f t="shared" si="198"/>
        <v>1</v>
      </c>
      <c r="CB203" s="149">
        <f t="shared" si="199"/>
        <v>1</v>
      </c>
      <c r="CC203" s="149">
        <f t="shared" si="200"/>
        <v>1</v>
      </c>
      <c r="CD203" s="149">
        <f t="shared" si="201"/>
        <v>1</v>
      </c>
      <c r="CE203" s="149">
        <f t="shared" si="202"/>
        <v>1</v>
      </c>
      <c r="CF203" s="149">
        <f t="shared" si="203"/>
        <v>1</v>
      </c>
      <c r="CG203" s="149">
        <f t="shared" si="204"/>
        <v>1</v>
      </c>
      <c r="CH203" s="149">
        <f t="shared" si="205"/>
        <v>1</v>
      </c>
      <c r="CI203" s="149">
        <f t="shared" si="206"/>
        <v>1</v>
      </c>
      <c r="CJ203" s="149">
        <f t="shared" si="207"/>
        <v>1</v>
      </c>
      <c r="CK203" s="149">
        <f t="shared" si="208"/>
        <v>1</v>
      </c>
      <c r="CL203" s="149">
        <f t="shared" si="209"/>
        <v>1</v>
      </c>
      <c r="CM203" s="149">
        <f t="shared" si="210"/>
        <v>1</v>
      </c>
      <c r="CN203" s="149">
        <f t="shared" si="211"/>
        <v>1</v>
      </c>
      <c r="CO203" s="149">
        <f t="shared" si="212"/>
        <v>1</v>
      </c>
      <c r="CP203" s="149">
        <f t="shared" si="213"/>
        <v>1</v>
      </c>
      <c r="CQ203" s="149">
        <f t="shared" si="214"/>
        <v>1</v>
      </c>
      <c r="CR203" s="149">
        <f t="shared" si="215"/>
        <v>1</v>
      </c>
      <c r="CS203" s="149">
        <f t="shared" si="216"/>
        <v>1</v>
      </c>
      <c r="CT203" s="149">
        <f t="shared" si="217"/>
        <v>1</v>
      </c>
      <c r="CU203" s="149">
        <f t="shared" si="218"/>
        <v>1</v>
      </c>
      <c r="CV203" s="149">
        <f t="shared" si="219"/>
        <v>1</v>
      </c>
      <c r="CW203" s="149">
        <f t="shared" si="220"/>
        <v>1</v>
      </c>
      <c r="CX203" s="149">
        <f t="shared" si="221"/>
        <v>1</v>
      </c>
      <c r="CY203" s="149">
        <f t="shared" si="222"/>
        <v>1</v>
      </c>
      <c r="CZ203" s="149">
        <f t="shared" si="223"/>
        <v>1</v>
      </c>
      <c r="DA203" s="149">
        <f t="shared" si="224"/>
        <v>1</v>
      </c>
      <c r="DB203" s="149">
        <f t="shared" si="225"/>
        <v>1</v>
      </c>
      <c r="DG203" s="125">
        <f t="shared" si="186"/>
        <v>1</v>
      </c>
      <c r="DH203" s="125">
        <f t="shared" si="239"/>
        <v>2</v>
      </c>
      <c r="DI203" s="125">
        <f t="shared" si="239"/>
        <v>3</v>
      </c>
      <c r="DJ203" s="125">
        <f t="shared" si="239"/>
        <v>4</v>
      </c>
      <c r="DK203" s="125">
        <f t="shared" si="239"/>
        <v>5</v>
      </c>
      <c r="DL203" s="125">
        <f t="shared" si="239"/>
        <v>6</v>
      </c>
      <c r="DM203" s="125">
        <f t="shared" si="239"/>
        <v>7</v>
      </c>
      <c r="DN203" s="125">
        <f t="shared" si="239"/>
        <v>8</v>
      </c>
      <c r="DO203" s="125">
        <f t="shared" si="239"/>
        <v>9</v>
      </c>
      <c r="DP203" s="125">
        <f t="shared" si="239"/>
        <v>10</v>
      </c>
      <c r="DS203" s="137"/>
      <c r="DT203" s="137"/>
      <c r="DU203" s="137"/>
      <c r="DV203" s="137" t="b">
        <f t="shared" si="226"/>
        <v>0</v>
      </c>
      <c r="DW203" s="137" t="b">
        <f t="shared" si="227"/>
        <v>0</v>
      </c>
      <c r="DX203" s="137" t="b">
        <f t="shared" si="228"/>
        <v>1</v>
      </c>
      <c r="EB203" s="131">
        <f t="shared" si="237"/>
        <v>1</v>
      </c>
      <c r="EC203" s="137" t="b">
        <f t="shared" si="229"/>
        <v>0</v>
      </c>
      <c r="ED203" s="137" t="b">
        <f t="shared" si="230"/>
        <v>0</v>
      </c>
      <c r="EE203" s="137" t="b">
        <f t="shared" si="231"/>
        <v>1</v>
      </c>
      <c r="EF203" s="137"/>
      <c r="EG203" s="137"/>
      <c r="EH203" s="137"/>
      <c r="EI203" s="137"/>
      <c r="EJ203" s="137">
        <f t="shared" si="238"/>
        <v>1</v>
      </c>
      <c r="EK203" s="125">
        <f t="shared" si="232"/>
        <v>0</v>
      </c>
      <c r="EL203" s="125">
        <f t="shared" si="233"/>
        <v>0</v>
      </c>
    </row>
    <row r="204" spans="2:142" ht="15.75" x14ac:dyDescent="0.25">
      <c r="B204" s="160">
        <f t="shared" si="234"/>
        <v>174</v>
      </c>
      <c r="C204" s="283">
        <v>1001348865</v>
      </c>
      <c r="D204" s="283">
        <v>1001262670</v>
      </c>
      <c r="E204" s="281">
        <v>41481124</v>
      </c>
      <c r="F204" s="118">
        <f>IF(OR(J204="",H204=""),"",VLOOKUP(J204,'הזנה לסיווג רשויות'!$B$2:$D$301,2,0))</f>
        <v>20000159</v>
      </c>
      <c r="G204" s="118" t="str">
        <f>IF(OR(J204="",H204=""),"",VLOOKUP(J204,'הזנה לסיווג רשויות'!$B$2:$D$301,3,0))</f>
        <v>ירושלים</v>
      </c>
      <c r="H204" s="281" t="s">
        <v>669</v>
      </c>
      <c r="I204" s="201" t="s">
        <v>373</v>
      </c>
      <c r="J204" s="205">
        <v>3000</v>
      </c>
      <c r="K204" s="161">
        <v>0</v>
      </c>
      <c r="L204" s="161">
        <v>1</v>
      </c>
      <c r="M204" s="161">
        <v>0</v>
      </c>
      <c r="N204" s="161">
        <v>1</v>
      </c>
      <c r="O204" s="161">
        <v>1</v>
      </c>
      <c r="P204" s="161">
        <v>1</v>
      </c>
      <c r="Q204" s="161">
        <v>1</v>
      </c>
      <c r="R204" s="201">
        <v>969529</v>
      </c>
      <c r="S204" s="201">
        <v>757091</v>
      </c>
      <c r="T204" s="160">
        <f>IF(G204="","",IFERROR(IF(S204/R204&gt;'פרמטרים לקריטריונים'!$C$20,1,0),0))</f>
        <v>1</v>
      </c>
      <c r="U204" s="201">
        <v>353387</v>
      </c>
      <c r="V204" s="160">
        <f>IF(G204="","",IFERROR(IF(U204/R204&gt;'פרמטרים לקריטריונים'!$C$21,1,IF(AND(I204=$BW$5,U204/R204&gt;'פרמטרים לקריטריונים'!$C$22),1,0)),0))</f>
        <v>1</v>
      </c>
      <c r="W204" s="161">
        <v>1</v>
      </c>
      <c r="X204" s="161">
        <v>1</v>
      </c>
      <c r="Y204" s="201">
        <v>479382</v>
      </c>
      <c r="Z204" s="201">
        <v>479382</v>
      </c>
      <c r="AA204" s="161">
        <f t="shared" si="235"/>
        <v>1</v>
      </c>
      <c r="AB204" s="161"/>
      <c r="AC204" s="161"/>
      <c r="AD204" s="161"/>
      <c r="AE204" s="161"/>
      <c r="AF204" s="161"/>
      <c r="AG204" s="161"/>
      <c r="AH204" s="161"/>
      <c r="AI204" s="161"/>
      <c r="AJ204" s="161"/>
      <c r="AK204" s="161"/>
      <c r="AL204" s="161"/>
      <c r="AM204" s="161"/>
      <c r="AN204" s="161"/>
      <c r="AO204" s="161"/>
      <c r="AP204" s="161"/>
      <c r="AQ204" s="161"/>
      <c r="AR204" s="161"/>
      <c r="AS204" s="161"/>
      <c r="AT204" s="161"/>
      <c r="AU204" s="161"/>
      <c r="AV204" s="161"/>
      <c r="AW204" s="160"/>
      <c r="AX204" s="161"/>
      <c r="AY204" s="161"/>
      <c r="AZ204" s="161"/>
      <c r="BA204" s="161"/>
      <c r="BB204" s="161"/>
      <c r="BC204" s="161"/>
      <c r="BD204" s="161"/>
      <c r="BE204" s="161"/>
      <c r="BF204" s="160" t="str">
        <f t="shared" si="236"/>
        <v/>
      </c>
      <c r="BG204" s="160"/>
      <c r="BH204" s="160"/>
      <c r="BI204" s="160"/>
      <c r="BJ204" s="160"/>
      <c r="BK204" s="160"/>
      <c r="BL204" s="162">
        <f t="shared" si="187"/>
        <v>1</v>
      </c>
      <c r="BM204" s="257"/>
      <c r="BN204" s="163"/>
      <c r="BO204" s="211" t="str">
        <f t="shared" si="188"/>
        <v>האיל המרקדתיאטרון</v>
      </c>
      <c r="BP204" s="125">
        <f t="shared" si="189"/>
        <v>1</v>
      </c>
      <c r="BQ204" s="164">
        <v>0</v>
      </c>
      <c r="BR204" s="164">
        <v>1</v>
      </c>
      <c r="BS204" s="149">
        <f t="shared" si="190"/>
        <v>1</v>
      </c>
      <c r="BT204" s="149">
        <f t="shared" si="191"/>
        <v>1</v>
      </c>
      <c r="BU204" s="149">
        <f t="shared" si="192"/>
        <v>1</v>
      </c>
      <c r="BV204" s="149">
        <f t="shared" si="193"/>
        <v>1</v>
      </c>
      <c r="BW204" s="149">
        <f t="shared" si="194"/>
        <v>1</v>
      </c>
      <c r="BX204" s="149">
        <f t="shared" si="195"/>
        <v>1</v>
      </c>
      <c r="BY204" s="149">
        <f t="shared" si="196"/>
        <v>1</v>
      </c>
      <c r="BZ204" s="149">
        <f t="shared" si="197"/>
        <v>1</v>
      </c>
      <c r="CA204" s="149">
        <f t="shared" si="198"/>
        <v>1</v>
      </c>
      <c r="CB204" s="149">
        <f t="shared" si="199"/>
        <v>1</v>
      </c>
      <c r="CC204" s="149">
        <f t="shared" si="200"/>
        <v>1</v>
      </c>
      <c r="CD204" s="149">
        <f t="shared" si="201"/>
        <v>1</v>
      </c>
      <c r="CE204" s="149">
        <f t="shared" si="202"/>
        <v>1</v>
      </c>
      <c r="CF204" s="149">
        <f t="shared" si="203"/>
        <v>1</v>
      </c>
      <c r="CG204" s="149">
        <f t="shared" si="204"/>
        <v>1</v>
      </c>
      <c r="CH204" s="149">
        <f t="shared" si="205"/>
        <v>1</v>
      </c>
      <c r="CI204" s="149">
        <f t="shared" si="206"/>
        <v>1</v>
      </c>
      <c r="CJ204" s="149">
        <f t="shared" si="207"/>
        <v>1</v>
      </c>
      <c r="CK204" s="149">
        <f t="shared" si="208"/>
        <v>1</v>
      </c>
      <c r="CL204" s="149">
        <f t="shared" si="209"/>
        <v>1</v>
      </c>
      <c r="CM204" s="149">
        <f t="shared" si="210"/>
        <v>1</v>
      </c>
      <c r="CN204" s="149">
        <f t="shared" si="211"/>
        <v>1</v>
      </c>
      <c r="CO204" s="149">
        <f t="shared" si="212"/>
        <v>1</v>
      </c>
      <c r="CP204" s="149">
        <f t="shared" si="213"/>
        <v>1</v>
      </c>
      <c r="CQ204" s="149">
        <f t="shared" si="214"/>
        <v>1</v>
      </c>
      <c r="CR204" s="149">
        <f t="shared" si="215"/>
        <v>1</v>
      </c>
      <c r="CS204" s="149">
        <f t="shared" si="216"/>
        <v>1</v>
      </c>
      <c r="CT204" s="149">
        <f t="shared" si="217"/>
        <v>1</v>
      </c>
      <c r="CU204" s="149">
        <f t="shared" si="218"/>
        <v>1</v>
      </c>
      <c r="CV204" s="149">
        <f t="shared" si="219"/>
        <v>1</v>
      </c>
      <c r="CW204" s="149">
        <f t="shared" si="220"/>
        <v>1</v>
      </c>
      <c r="CX204" s="149">
        <f t="shared" si="221"/>
        <v>1</v>
      </c>
      <c r="CY204" s="149">
        <f t="shared" si="222"/>
        <v>1</v>
      </c>
      <c r="CZ204" s="149">
        <f t="shared" si="223"/>
        <v>1</v>
      </c>
      <c r="DA204" s="149">
        <f t="shared" si="224"/>
        <v>1</v>
      </c>
      <c r="DB204" s="149">
        <f t="shared" si="225"/>
        <v>1</v>
      </c>
      <c r="DG204" s="125">
        <f t="shared" si="186"/>
        <v>1</v>
      </c>
      <c r="DH204" s="125">
        <f t="shared" si="239"/>
        <v>2</v>
      </c>
      <c r="DI204" s="125">
        <f t="shared" si="239"/>
        <v>3</v>
      </c>
      <c r="DJ204" s="125">
        <f t="shared" si="239"/>
        <v>4</v>
      </c>
      <c r="DK204" s="125">
        <f t="shared" si="239"/>
        <v>5</v>
      </c>
      <c r="DL204" s="125">
        <f t="shared" si="239"/>
        <v>6</v>
      </c>
      <c r="DM204" s="125">
        <f t="shared" si="239"/>
        <v>7</v>
      </c>
      <c r="DN204" s="125">
        <f t="shared" si="239"/>
        <v>8</v>
      </c>
      <c r="DO204" s="125">
        <f t="shared" si="239"/>
        <v>9</v>
      </c>
      <c r="DP204" s="125">
        <f t="shared" si="239"/>
        <v>10</v>
      </c>
      <c r="DS204" s="137"/>
      <c r="DT204" s="137"/>
      <c r="DU204" s="137"/>
      <c r="DV204" s="137" t="b">
        <f t="shared" si="226"/>
        <v>0</v>
      </c>
      <c r="DW204" s="137" t="b">
        <f t="shared" si="227"/>
        <v>0</v>
      </c>
      <c r="DX204" s="137" t="b">
        <f t="shared" si="228"/>
        <v>1</v>
      </c>
      <c r="EB204" s="131">
        <f t="shared" si="237"/>
        <v>1</v>
      </c>
      <c r="EC204" s="137" t="b">
        <f t="shared" si="229"/>
        <v>0</v>
      </c>
      <c r="ED204" s="137" t="b">
        <f t="shared" si="230"/>
        <v>0</v>
      </c>
      <c r="EE204" s="137" t="b">
        <f t="shared" si="231"/>
        <v>1</v>
      </c>
      <c r="EF204" s="137"/>
      <c r="EG204" s="137"/>
      <c r="EH204" s="137"/>
      <c r="EI204" s="137"/>
      <c r="EJ204" s="137">
        <f t="shared" si="238"/>
        <v>1</v>
      </c>
      <c r="EK204" s="125">
        <f t="shared" si="232"/>
        <v>0</v>
      </c>
      <c r="EL204" s="125">
        <f t="shared" si="233"/>
        <v>0</v>
      </c>
    </row>
    <row r="205" spans="2:142" ht="15.75" x14ac:dyDescent="0.25">
      <c r="B205" s="160">
        <f t="shared" si="234"/>
        <v>175</v>
      </c>
      <c r="C205" s="283">
        <v>1001348123</v>
      </c>
      <c r="D205" s="283">
        <v>1001273976</v>
      </c>
      <c r="E205" s="281">
        <v>41482603</v>
      </c>
      <c r="F205" s="118">
        <f>IF(OR(J205="",H205=""),"",VLOOKUP(J205,'הזנה לסיווג רשויות'!$B$2:$D$301,2,0))</f>
        <v>20000159</v>
      </c>
      <c r="G205" s="118" t="str">
        <f>IF(OR(J205="",H205=""),"",VLOOKUP(J205,'הזנה לסיווג רשויות'!$B$2:$D$301,3,0))</f>
        <v>ירושלים</v>
      </c>
      <c r="H205" s="201" t="s">
        <v>670</v>
      </c>
      <c r="I205" s="201" t="s">
        <v>377</v>
      </c>
      <c r="J205" s="205">
        <v>3000</v>
      </c>
      <c r="K205" s="161">
        <v>0</v>
      </c>
      <c r="L205" s="161">
        <v>1</v>
      </c>
      <c r="M205" s="161">
        <v>0</v>
      </c>
      <c r="N205" s="161">
        <v>1</v>
      </c>
      <c r="O205" s="161">
        <v>1</v>
      </c>
      <c r="P205" s="161">
        <v>1</v>
      </c>
      <c r="Q205" s="161">
        <v>1</v>
      </c>
      <c r="R205" s="201">
        <v>2363625</v>
      </c>
      <c r="S205" s="201">
        <v>598811</v>
      </c>
      <c r="T205" s="160">
        <f>IF(G205="","",IFERROR(IF(S205/R205&gt;'פרמטרים לקריטריונים'!$C$20,1,0),0))</f>
        <v>1</v>
      </c>
      <c r="U205" s="201">
        <v>548811</v>
      </c>
      <c r="V205" s="160">
        <f>IF(G205="","",IFERROR(IF(U205/R205&gt;'פרמטרים לקריטריונים'!$C$21,1,IF(AND(I205=$BW$5,U205/R205&gt;'פרמטרים לקריטריונים'!$C$22),1,0)),0))</f>
        <v>1</v>
      </c>
      <c r="W205" s="161">
        <v>1</v>
      </c>
      <c r="X205" s="161">
        <v>1</v>
      </c>
      <c r="Y205" s="201">
        <v>350000</v>
      </c>
      <c r="Z205" s="201">
        <v>150000</v>
      </c>
      <c r="AA205" s="161">
        <f t="shared" si="235"/>
        <v>1</v>
      </c>
      <c r="AB205" s="161"/>
      <c r="AC205" s="161"/>
      <c r="AD205" s="161"/>
      <c r="AE205" s="161"/>
      <c r="AF205" s="161"/>
      <c r="AG205" s="161"/>
      <c r="AH205" s="161"/>
      <c r="AI205" s="161"/>
      <c r="AJ205" s="161"/>
      <c r="AK205" s="161"/>
      <c r="AL205" s="161"/>
      <c r="AM205" s="161"/>
      <c r="AN205" s="161"/>
      <c r="AO205" s="161"/>
      <c r="AP205" s="161"/>
      <c r="AQ205" s="161"/>
      <c r="AR205" s="161"/>
      <c r="AS205" s="161"/>
      <c r="AT205" s="161"/>
      <c r="AU205" s="161"/>
      <c r="AV205" s="161"/>
      <c r="AW205" s="160"/>
      <c r="AX205" s="161"/>
      <c r="AY205" s="161"/>
      <c r="AZ205" s="161"/>
      <c r="BA205" s="161"/>
      <c r="BB205" s="161"/>
      <c r="BC205" s="161"/>
      <c r="BD205" s="161"/>
      <c r="BE205" s="161"/>
      <c r="BF205" s="160" t="str">
        <f t="shared" si="236"/>
        <v/>
      </c>
      <c r="BG205" s="160"/>
      <c r="BH205" s="160"/>
      <c r="BI205" s="160"/>
      <c r="BJ205" s="160"/>
      <c r="BK205" s="160"/>
      <c r="BL205" s="162">
        <f t="shared" si="187"/>
        <v>1</v>
      </c>
      <c r="BM205" s="257"/>
      <c r="BN205" s="163"/>
      <c r="BO205" s="211" t="str">
        <f t="shared" si="188"/>
        <v>במת חוצותקבוצות תיאטרון</v>
      </c>
      <c r="BP205" s="125">
        <f t="shared" si="189"/>
        <v>1</v>
      </c>
      <c r="BQ205" s="164">
        <v>0</v>
      </c>
      <c r="BR205" s="164">
        <v>1</v>
      </c>
      <c r="BS205" s="149">
        <f t="shared" si="190"/>
        <v>1</v>
      </c>
      <c r="BT205" s="149">
        <f t="shared" si="191"/>
        <v>1</v>
      </c>
      <c r="BU205" s="149">
        <f t="shared" si="192"/>
        <v>1</v>
      </c>
      <c r="BV205" s="149">
        <f t="shared" si="193"/>
        <v>1</v>
      </c>
      <c r="BW205" s="149">
        <f t="shared" si="194"/>
        <v>1</v>
      </c>
      <c r="BX205" s="149">
        <f t="shared" si="195"/>
        <v>1</v>
      </c>
      <c r="BY205" s="149">
        <f t="shared" si="196"/>
        <v>1</v>
      </c>
      <c r="BZ205" s="149">
        <f t="shared" si="197"/>
        <v>1</v>
      </c>
      <c r="CA205" s="149">
        <f t="shared" si="198"/>
        <v>1</v>
      </c>
      <c r="CB205" s="149">
        <f t="shared" si="199"/>
        <v>1</v>
      </c>
      <c r="CC205" s="149">
        <f t="shared" si="200"/>
        <v>1</v>
      </c>
      <c r="CD205" s="149">
        <f t="shared" si="201"/>
        <v>1</v>
      </c>
      <c r="CE205" s="149">
        <f t="shared" si="202"/>
        <v>1</v>
      </c>
      <c r="CF205" s="149">
        <f t="shared" si="203"/>
        <v>1</v>
      </c>
      <c r="CG205" s="149">
        <f t="shared" si="204"/>
        <v>1</v>
      </c>
      <c r="CH205" s="149">
        <f t="shared" si="205"/>
        <v>1</v>
      </c>
      <c r="CI205" s="149">
        <f t="shared" si="206"/>
        <v>1</v>
      </c>
      <c r="CJ205" s="149">
        <f t="shared" si="207"/>
        <v>1</v>
      </c>
      <c r="CK205" s="149">
        <f t="shared" si="208"/>
        <v>1</v>
      </c>
      <c r="CL205" s="149">
        <f t="shared" si="209"/>
        <v>1</v>
      </c>
      <c r="CM205" s="149">
        <f t="shared" si="210"/>
        <v>1</v>
      </c>
      <c r="CN205" s="149">
        <f t="shared" si="211"/>
        <v>1</v>
      </c>
      <c r="CO205" s="149">
        <f t="shared" si="212"/>
        <v>1</v>
      </c>
      <c r="CP205" s="149">
        <f t="shared" si="213"/>
        <v>1</v>
      </c>
      <c r="CQ205" s="149">
        <f t="shared" si="214"/>
        <v>1</v>
      </c>
      <c r="CR205" s="149">
        <f t="shared" si="215"/>
        <v>1</v>
      </c>
      <c r="CS205" s="149">
        <f t="shared" si="216"/>
        <v>1</v>
      </c>
      <c r="CT205" s="149">
        <f t="shared" si="217"/>
        <v>1</v>
      </c>
      <c r="CU205" s="149">
        <f t="shared" si="218"/>
        <v>1</v>
      </c>
      <c r="CV205" s="149">
        <f t="shared" si="219"/>
        <v>1</v>
      </c>
      <c r="CW205" s="149">
        <f t="shared" si="220"/>
        <v>1</v>
      </c>
      <c r="CX205" s="149">
        <f t="shared" si="221"/>
        <v>1</v>
      </c>
      <c r="CY205" s="149">
        <f t="shared" si="222"/>
        <v>1</v>
      </c>
      <c r="CZ205" s="149">
        <f t="shared" si="223"/>
        <v>1</v>
      </c>
      <c r="DA205" s="149">
        <f t="shared" si="224"/>
        <v>1</v>
      </c>
      <c r="DB205" s="149">
        <f t="shared" si="225"/>
        <v>1</v>
      </c>
      <c r="DG205" s="125">
        <f t="shared" si="186"/>
        <v>1</v>
      </c>
      <c r="DH205" s="125">
        <f t="shared" si="239"/>
        <v>2</v>
      </c>
      <c r="DI205" s="125">
        <f t="shared" si="239"/>
        <v>3</v>
      </c>
      <c r="DJ205" s="125">
        <f t="shared" si="239"/>
        <v>4</v>
      </c>
      <c r="DK205" s="125">
        <f t="shared" si="239"/>
        <v>5</v>
      </c>
      <c r="DL205" s="125">
        <f t="shared" si="239"/>
        <v>6</v>
      </c>
      <c r="DM205" s="125">
        <f t="shared" si="239"/>
        <v>7</v>
      </c>
      <c r="DN205" s="125">
        <f t="shared" si="239"/>
        <v>8</v>
      </c>
      <c r="DO205" s="125">
        <f t="shared" si="239"/>
        <v>9</v>
      </c>
      <c r="DP205" s="125">
        <f t="shared" si="239"/>
        <v>10</v>
      </c>
      <c r="DS205" s="137"/>
      <c r="DT205" s="137"/>
      <c r="DU205" s="137"/>
      <c r="DV205" s="137" t="b">
        <f t="shared" si="226"/>
        <v>0</v>
      </c>
      <c r="DW205" s="137" t="b">
        <f t="shared" si="227"/>
        <v>0</v>
      </c>
      <c r="DX205" s="137" t="b">
        <f t="shared" si="228"/>
        <v>1</v>
      </c>
      <c r="EB205" s="131">
        <f t="shared" si="237"/>
        <v>1</v>
      </c>
      <c r="EC205" s="137" t="b">
        <f t="shared" si="229"/>
        <v>0</v>
      </c>
      <c r="ED205" s="137" t="b">
        <f t="shared" si="230"/>
        <v>0</v>
      </c>
      <c r="EE205" s="137" t="b">
        <f t="shared" si="231"/>
        <v>1</v>
      </c>
      <c r="EF205" s="137"/>
      <c r="EG205" s="137"/>
      <c r="EH205" s="137"/>
      <c r="EI205" s="137"/>
      <c r="EJ205" s="137">
        <f t="shared" si="238"/>
        <v>1</v>
      </c>
      <c r="EK205" s="125">
        <f t="shared" si="232"/>
        <v>0</v>
      </c>
      <c r="EL205" s="125">
        <f t="shared" si="233"/>
        <v>0</v>
      </c>
    </row>
    <row r="206" spans="2:142" ht="15.75" x14ac:dyDescent="0.25">
      <c r="B206" s="160">
        <f t="shared" si="234"/>
        <v>176</v>
      </c>
      <c r="C206" s="283">
        <v>1001347085</v>
      </c>
      <c r="D206" s="283">
        <v>1001270801</v>
      </c>
      <c r="E206" s="281">
        <v>40323479</v>
      </c>
      <c r="F206" s="118">
        <f>IF(OR(J206="",H206=""),"",VLOOKUP(J206,'הזנה לסיווג רשויות'!$B$2:$D$301,2,0))</f>
        <v>20000201</v>
      </c>
      <c r="G206" s="118" t="str">
        <f>IF(OR(J206="",H206=""),"",VLOOKUP(J206,'הזנה לסיווג רשויות'!$B$2:$D$301,3,0))</f>
        <v>תל אביב -יפו</v>
      </c>
      <c r="H206" s="281" t="s">
        <v>671</v>
      </c>
      <c r="I206" s="201" t="s">
        <v>374</v>
      </c>
      <c r="J206" s="205">
        <v>5000</v>
      </c>
      <c r="K206" s="161">
        <v>0</v>
      </c>
      <c r="L206" s="161">
        <v>1</v>
      </c>
      <c r="M206" s="161">
        <v>0</v>
      </c>
      <c r="N206" s="161">
        <v>1</v>
      </c>
      <c r="O206" s="161">
        <v>1</v>
      </c>
      <c r="P206" s="161">
        <v>1</v>
      </c>
      <c r="Q206" s="161">
        <v>1</v>
      </c>
      <c r="R206" s="201">
        <v>1264462</v>
      </c>
      <c r="S206" s="201">
        <v>558630</v>
      </c>
      <c r="T206" s="160">
        <f>IF(G206="","",IFERROR(IF(S206/R206&gt;'פרמטרים לקריטריונים'!$C$20,1,0),0))</f>
        <v>1</v>
      </c>
      <c r="U206" s="201">
        <v>417293</v>
      </c>
      <c r="V206" s="160">
        <f>IF(G206="","",IFERROR(IF(U206/R206&gt;'פרמטרים לקריטריונים'!$C$21,1,IF(AND(I206=$BW$5,U206/R206&gt;'פרמטרים לקריטריונים'!$C$22),1,0)),0))</f>
        <v>1</v>
      </c>
      <c r="W206" s="161">
        <v>1</v>
      </c>
      <c r="X206" s="161">
        <v>1</v>
      </c>
      <c r="Y206" s="201">
        <v>700000</v>
      </c>
      <c r="Z206" s="201">
        <v>100000</v>
      </c>
      <c r="AA206" s="161">
        <f t="shared" si="235"/>
        <v>1</v>
      </c>
      <c r="AB206" s="161"/>
      <c r="AC206" s="161"/>
      <c r="AD206" s="161"/>
      <c r="AE206" s="161"/>
      <c r="AF206" s="161"/>
      <c r="AG206" s="161"/>
      <c r="AH206" s="161"/>
      <c r="AI206" s="161"/>
      <c r="AJ206" s="161"/>
      <c r="AK206" s="161"/>
      <c r="AL206" s="161"/>
      <c r="AM206" s="161"/>
      <c r="AN206" s="161"/>
      <c r="AO206" s="161"/>
      <c r="AP206" s="161"/>
      <c r="AQ206" s="161"/>
      <c r="AR206" s="161"/>
      <c r="AS206" s="161"/>
      <c r="AT206" s="161"/>
      <c r="AU206" s="161"/>
      <c r="AV206" s="161"/>
      <c r="AW206" s="160"/>
      <c r="AX206" s="161"/>
      <c r="AY206" s="161"/>
      <c r="AZ206" s="161"/>
      <c r="BA206" s="161"/>
      <c r="BB206" s="161"/>
      <c r="BC206" s="161"/>
      <c r="BD206" s="161"/>
      <c r="BE206" s="161"/>
      <c r="BF206" s="160" t="str">
        <f t="shared" si="236"/>
        <v/>
      </c>
      <c r="BG206" s="160"/>
      <c r="BH206" s="160"/>
      <c r="BI206" s="160"/>
      <c r="BJ206" s="160"/>
      <c r="BK206" s="160"/>
      <c r="BL206" s="162">
        <f t="shared" si="187"/>
        <v>1</v>
      </c>
      <c r="BM206" s="257"/>
      <c r="BN206" s="163"/>
      <c r="BO206" s="211" t="str">
        <f t="shared" si="188"/>
        <v>להקת יסמין גודרמחול</v>
      </c>
      <c r="BP206" s="125">
        <f t="shared" si="189"/>
        <v>1</v>
      </c>
      <c r="BQ206" s="164">
        <v>0</v>
      </c>
      <c r="BR206" s="164">
        <v>1</v>
      </c>
      <c r="BS206" s="149">
        <f t="shared" si="190"/>
        <v>1</v>
      </c>
      <c r="BT206" s="149">
        <f t="shared" si="191"/>
        <v>1</v>
      </c>
      <c r="BU206" s="149">
        <f t="shared" si="192"/>
        <v>1</v>
      </c>
      <c r="BV206" s="149">
        <f t="shared" si="193"/>
        <v>1</v>
      </c>
      <c r="BW206" s="149">
        <f t="shared" si="194"/>
        <v>1</v>
      </c>
      <c r="BX206" s="149">
        <f t="shared" si="195"/>
        <v>1</v>
      </c>
      <c r="BY206" s="149">
        <f t="shared" si="196"/>
        <v>1</v>
      </c>
      <c r="BZ206" s="149">
        <f t="shared" si="197"/>
        <v>1</v>
      </c>
      <c r="CA206" s="149">
        <f t="shared" si="198"/>
        <v>1</v>
      </c>
      <c r="CB206" s="149">
        <f t="shared" si="199"/>
        <v>1</v>
      </c>
      <c r="CC206" s="149">
        <f t="shared" si="200"/>
        <v>1</v>
      </c>
      <c r="CD206" s="149">
        <f t="shared" si="201"/>
        <v>1</v>
      </c>
      <c r="CE206" s="149">
        <f t="shared" si="202"/>
        <v>1</v>
      </c>
      <c r="CF206" s="149">
        <f t="shared" si="203"/>
        <v>1</v>
      </c>
      <c r="CG206" s="149">
        <f t="shared" si="204"/>
        <v>1</v>
      </c>
      <c r="CH206" s="149">
        <f t="shared" si="205"/>
        <v>1</v>
      </c>
      <c r="CI206" s="149">
        <f t="shared" si="206"/>
        <v>1</v>
      </c>
      <c r="CJ206" s="149">
        <f t="shared" si="207"/>
        <v>1</v>
      </c>
      <c r="CK206" s="149">
        <f t="shared" si="208"/>
        <v>1</v>
      </c>
      <c r="CL206" s="149">
        <f t="shared" si="209"/>
        <v>1</v>
      </c>
      <c r="CM206" s="149">
        <f t="shared" si="210"/>
        <v>1</v>
      </c>
      <c r="CN206" s="149">
        <f t="shared" si="211"/>
        <v>1</v>
      </c>
      <c r="CO206" s="149">
        <f t="shared" si="212"/>
        <v>1</v>
      </c>
      <c r="CP206" s="149">
        <f t="shared" si="213"/>
        <v>1</v>
      </c>
      <c r="CQ206" s="149">
        <f t="shared" si="214"/>
        <v>1</v>
      </c>
      <c r="CR206" s="149">
        <f t="shared" si="215"/>
        <v>1</v>
      </c>
      <c r="CS206" s="149">
        <f t="shared" si="216"/>
        <v>1</v>
      </c>
      <c r="CT206" s="149">
        <f t="shared" si="217"/>
        <v>1</v>
      </c>
      <c r="CU206" s="149">
        <f t="shared" si="218"/>
        <v>1</v>
      </c>
      <c r="CV206" s="149">
        <f t="shared" si="219"/>
        <v>1</v>
      </c>
      <c r="CW206" s="149">
        <f t="shared" si="220"/>
        <v>1</v>
      </c>
      <c r="CX206" s="149">
        <f t="shared" si="221"/>
        <v>1</v>
      </c>
      <c r="CY206" s="149">
        <f t="shared" si="222"/>
        <v>1</v>
      </c>
      <c r="CZ206" s="149">
        <f t="shared" si="223"/>
        <v>1</v>
      </c>
      <c r="DA206" s="149">
        <f t="shared" si="224"/>
        <v>1</v>
      </c>
      <c r="DB206" s="149">
        <f t="shared" si="225"/>
        <v>1</v>
      </c>
      <c r="DG206" s="125">
        <f t="shared" si="186"/>
        <v>1</v>
      </c>
      <c r="DH206" s="125">
        <f t="shared" si="239"/>
        <v>2</v>
      </c>
      <c r="DI206" s="125">
        <f t="shared" si="239"/>
        <v>3</v>
      </c>
      <c r="DJ206" s="125">
        <f t="shared" si="239"/>
        <v>4</v>
      </c>
      <c r="DK206" s="125">
        <f t="shared" si="239"/>
        <v>5</v>
      </c>
      <c r="DL206" s="125">
        <f t="shared" si="239"/>
        <v>6</v>
      </c>
      <c r="DM206" s="125">
        <f t="shared" si="239"/>
        <v>7</v>
      </c>
      <c r="DN206" s="125">
        <f t="shared" si="239"/>
        <v>8</v>
      </c>
      <c r="DO206" s="125">
        <f t="shared" si="239"/>
        <v>9</v>
      </c>
      <c r="DP206" s="125">
        <f t="shared" si="239"/>
        <v>10</v>
      </c>
      <c r="DS206" s="137"/>
      <c r="DT206" s="137"/>
      <c r="DU206" s="137"/>
      <c r="DV206" s="137" t="b">
        <f t="shared" si="226"/>
        <v>0</v>
      </c>
      <c r="DW206" s="137" t="b">
        <f t="shared" si="227"/>
        <v>0</v>
      </c>
      <c r="DX206" s="137" t="b">
        <f t="shared" si="228"/>
        <v>1</v>
      </c>
      <c r="EB206" s="131">
        <f t="shared" si="237"/>
        <v>1</v>
      </c>
      <c r="EC206" s="137" t="b">
        <f t="shared" si="229"/>
        <v>0</v>
      </c>
      <c r="ED206" s="137" t="b">
        <f t="shared" si="230"/>
        <v>0</v>
      </c>
      <c r="EE206" s="137" t="b">
        <f t="shared" si="231"/>
        <v>1</v>
      </c>
      <c r="EF206" s="137"/>
      <c r="EG206" s="137"/>
      <c r="EH206" s="137"/>
      <c r="EI206" s="137"/>
      <c r="EJ206" s="137">
        <f t="shared" si="238"/>
        <v>1</v>
      </c>
      <c r="EK206" s="125">
        <f t="shared" si="232"/>
        <v>0</v>
      </c>
      <c r="EL206" s="125">
        <f t="shared" si="233"/>
        <v>0</v>
      </c>
    </row>
    <row r="207" spans="2:142" ht="15.75" x14ac:dyDescent="0.25">
      <c r="B207" s="160">
        <f t="shared" si="234"/>
        <v>177</v>
      </c>
      <c r="C207" s="283">
        <v>1001350682</v>
      </c>
      <c r="D207" s="283">
        <v>1001270744</v>
      </c>
      <c r="E207" s="281">
        <v>40467070</v>
      </c>
      <c r="F207" s="118">
        <f>IF(OR(J207="",H207=""),"",VLOOKUP(J207,'הזנה לסיווג רשויות'!$B$2:$D$301,2,0))</f>
        <v>20000201</v>
      </c>
      <c r="G207" s="118" t="str">
        <f>IF(OR(J207="",H207=""),"",VLOOKUP(J207,'הזנה לסיווג רשויות'!$B$2:$D$301,3,0))</f>
        <v>תל אביב -יפו</v>
      </c>
      <c r="H207" s="201" t="s">
        <v>672</v>
      </c>
      <c r="I207" s="201" t="s">
        <v>564</v>
      </c>
      <c r="J207" s="205">
        <v>5000</v>
      </c>
      <c r="K207" s="161">
        <v>0</v>
      </c>
      <c r="L207" s="161">
        <v>1</v>
      </c>
      <c r="M207" s="161">
        <v>0</v>
      </c>
      <c r="N207" s="161">
        <v>1</v>
      </c>
      <c r="O207" s="161">
        <v>1</v>
      </c>
      <c r="P207" s="161">
        <v>1</v>
      </c>
      <c r="Q207" s="161">
        <v>1</v>
      </c>
      <c r="R207" s="201">
        <v>319244</v>
      </c>
      <c r="S207" s="201">
        <v>128342</v>
      </c>
      <c r="T207" s="160">
        <f>IF(G207="","",IFERROR(IF(S207/R207&gt;'פרמטרים לקריטריונים'!$C$20,1,0),0))</f>
        <v>1</v>
      </c>
      <c r="U207" s="201">
        <v>128342</v>
      </c>
      <c r="V207" s="160">
        <f>IF(G207="","",IFERROR(IF(U207/R207&gt;'פרמטרים לקריטריונים'!$C$21,1,IF(AND(I207=$BW$5,U207/R207&gt;'פרמטרים לקריטריונים'!$C$22),1,0)),0))</f>
        <v>1</v>
      </c>
      <c r="W207" s="161">
        <v>1</v>
      </c>
      <c r="X207" s="161">
        <v>1</v>
      </c>
      <c r="Y207" s="201">
        <v>160000</v>
      </c>
      <c r="Z207" s="201">
        <v>160000</v>
      </c>
      <c r="AA207" s="161">
        <f t="shared" si="235"/>
        <v>1</v>
      </c>
      <c r="AB207" s="161"/>
      <c r="AC207" s="161"/>
      <c r="AD207" s="161"/>
      <c r="AE207" s="161"/>
      <c r="AF207" s="161"/>
      <c r="AG207" s="161"/>
      <c r="AH207" s="161"/>
      <c r="AI207" s="161"/>
      <c r="AJ207" s="161"/>
      <c r="AK207" s="161"/>
      <c r="AL207" s="161"/>
      <c r="AM207" s="161"/>
      <c r="AN207" s="161"/>
      <c r="AO207" s="161"/>
      <c r="AP207" s="161"/>
      <c r="AQ207" s="161"/>
      <c r="AR207" s="161"/>
      <c r="AS207" s="161"/>
      <c r="AT207" s="161"/>
      <c r="AU207" s="161"/>
      <c r="AV207" s="161"/>
      <c r="AW207" s="160"/>
      <c r="AX207" s="161"/>
      <c r="AY207" s="161"/>
      <c r="AZ207" s="161"/>
      <c r="BA207" s="161"/>
      <c r="BB207" s="161"/>
      <c r="BC207" s="161"/>
      <c r="BD207" s="161"/>
      <c r="BE207" s="161"/>
      <c r="BF207" s="160" t="str">
        <f t="shared" si="236"/>
        <v/>
      </c>
      <c r="BG207" s="160"/>
      <c r="BH207" s="160"/>
      <c r="BI207" s="160"/>
      <c r="BJ207" s="160"/>
      <c r="BK207" s="160"/>
      <c r="BL207" s="162">
        <f t="shared" si="187"/>
        <v>1</v>
      </c>
      <c r="BM207" s="257"/>
      <c r="BN207" s="163"/>
      <c r="BO207" s="211" t="str">
        <f t="shared" si="188"/>
        <v>זמרי קולגיוםאחר</v>
      </c>
      <c r="BP207" s="125">
        <f t="shared" si="189"/>
        <v>1</v>
      </c>
      <c r="BQ207" s="164">
        <v>0</v>
      </c>
      <c r="BR207" s="164">
        <v>1</v>
      </c>
      <c r="BS207" s="149">
        <f t="shared" si="190"/>
        <v>1</v>
      </c>
      <c r="BT207" s="149">
        <f t="shared" si="191"/>
        <v>1</v>
      </c>
      <c r="BU207" s="149">
        <f t="shared" si="192"/>
        <v>1</v>
      </c>
      <c r="BV207" s="149">
        <f t="shared" si="193"/>
        <v>1</v>
      </c>
      <c r="BW207" s="149">
        <f t="shared" si="194"/>
        <v>1</v>
      </c>
      <c r="BX207" s="149">
        <f t="shared" si="195"/>
        <v>1</v>
      </c>
      <c r="BY207" s="149">
        <f t="shared" si="196"/>
        <v>1</v>
      </c>
      <c r="BZ207" s="149">
        <f t="shared" si="197"/>
        <v>1</v>
      </c>
      <c r="CA207" s="149">
        <f t="shared" si="198"/>
        <v>1</v>
      </c>
      <c r="CB207" s="149">
        <f t="shared" si="199"/>
        <v>1</v>
      </c>
      <c r="CC207" s="149">
        <f t="shared" si="200"/>
        <v>1</v>
      </c>
      <c r="CD207" s="149">
        <f t="shared" si="201"/>
        <v>1</v>
      </c>
      <c r="CE207" s="149">
        <f t="shared" si="202"/>
        <v>1</v>
      </c>
      <c r="CF207" s="149">
        <f t="shared" si="203"/>
        <v>1</v>
      </c>
      <c r="CG207" s="149">
        <f t="shared" si="204"/>
        <v>1</v>
      </c>
      <c r="CH207" s="149">
        <f t="shared" si="205"/>
        <v>1</v>
      </c>
      <c r="CI207" s="149">
        <f t="shared" si="206"/>
        <v>1</v>
      </c>
      <c r="CJ207" s="149">
        <f t="shared" si="207"/>
        <v>1</v>
      </c>
      <c r="CK207" s="149">
        <f t="shared" si="208"/>
        <v>1</v>
      </c>
      <c r="CL207" s="149">
        <f t="shared" si="209"/>
        <v>1</v>
      </c>
      <c r="CM207" s="149">
        <f t="shared" si="210"/>
        <v>1</v>
      </c>
      <c r="CN207" s="149">
        <f t="shared" si="211"/>
        <v>1</v>
      </c>
      <c r="CO207" s="149">
        <f t="shared" si="212"/>
        <v>1</v>
      </c>
      <c r="CP207" s="149">
        <f t="shared" si="213"/>
        <v>1</v>
      </c>
      <c r="CQ207" s="149">
        <f t="shared" si="214"/>
        <v>1</v>
      </c>
      <c r="CR207" s="149">
        <f t="shared" si="215"/>
        <v>1</v>
      </c>
      <c r="CS207" s="149">
        <f t="shared" si="216"/>
        <v>1</v>
      </c>
      <c r="CT207" s="149">
        <f t="shared" si="217"/>
        <v>1</v>
      </c>
      <c r="CU207" s="149">
        <f t="shared" si="218"/>
        <v>1</v>
      </c>
      <c r="CV207" s="149">
        <f t="shared" si="219"/>
        <v>1</v>
      </c>
      <c r="CW207" s="149">
        <f t="shared" si="220"/>
        <v>1</v>
      </c>
      <c r="CX207" s="149">
        <f t="shared" si="221"/>
        <v>1</v>
      </c>
      <c r="CY207" s="149">
        <f t="shared" si="222"/>
        <v>1</v>
      </c>
      <c r="CZ207" s="149">
        <f t="shared" si="223"/>
        <v>1</v>
      </c>
      <c r="DA207" s="149">
        <f t="shared" si="224"/>
        <v>1</v>
      </c>
      <c r="DB207" s="149">
        <f t="shared" si="225"/>
        <v>1</v>
      </c>
      <c r="DG207" s="125">
        <f t="shared" si="186"/>
        <v>1</v>
      </c>
      <c r="DH207" s="125">
        <f t="shared" si="239"/>
        <v>2</v>
      </c>
      <c r="DI207" s="125">
        <f t="shared" si="239"/>
        <v>3</v>
      </c>
      <c r="DJ207" s="125">
        <f t="shared" si="239"/>
        <v>4</v>
      </c>
      <c r="DK207" s="125">
        <f t="shared" si="239"/>
        <v>5</v>
      </c>
      <c r="DL207" s="125">
        <f t="shared" si="239"/>
        <v>6</v>
      </c>
      <c r="DM207" s="125">
        <f t="shared" si="239"/>
        <v>7</v>
      </c>
      <c r="DN207" s="125">
        <f t="shared" si="239"/>
        <v>8</v>
      </c>
      <c r="DO207" s="125">
        <f t="shared" si="239"/>
        <v>9</v>
      </c>
      <c r="DP207" s="125">
        <f t="shared" si="239"/>
        <v>10</v>
      </c>
      <c r="DS207" s="137"/>
      <c r="DT207" s="137"/>
      <c r="DU207" s="137"/>
      <c r="DV207" s="137" t="b">
        <f t="shared" si="226"/>
        <v>0</v>
      </c>
      <c r="DW207" s="137" t="b">
        <f t="shared" si="227"/>
        <v>0</v>
      </c>
      <c r="DX207" s="137" t="b">
        <f t="shared" si="228"/>
        <v>1</v>
      </c>
      <c r="EB207" s="131">
        <f t="shared" si="237"/>
        <v>1</v>
      </c>
      <c r="EC207" s="137" t="b">
        <f t="shared" si="229"/>
        <v>0</v>
      </c>
      <c r="ED207" s="137" t="b">
        <f t="shared" si="230"/>
        <v>0</v>
      </c>
      <c r="EE207" s="137" t="b">
        <f t="shared" si="231"/>
        <v>1</v>
      </c>
      <c r="EF207" s="137"/>
      <c r="EG207" s="137"/>
      <c r="EH207" s="137"/>
      <c r="EI207" s="137"/>
      <c r="EJ207" s="137">
        <f t="shared" si="238"/>
        <v>1</v>
      </c>
      <c r="EK207" s="125">
        <f t="shared" si="232"/>
        <v>0</v>
      </c>
      <c r="EL207" s="125">
        <f t="shared" si="233"/>
        <v>0</v>
      </c>
    </row>
    <row r="208" spans="2:142" ht="15.75" x14ac:dyDescent="0.25">
      <c r="B208" s="160">
        <f t="shared" si="234"/>
        <v>178</v>
      </c>
      <c r="C208" s="283">
        <v>1001348272</v>
      </c>
      <c r="D208" s="283">
        <v>1001280728</v>
      </c>
      <c r="E208" s="281">
        <v>40343383</v>
      </c>
      <c r="F208" s="118">
        <f>IF(OR(J208="",H208=""),"",VLOOKUP(J208,'הזנה לסיווג רשויות'!$B$2:$D$301,2,0))</f>
        <v>20000231</v>
      </c>
      <c r="G208" s="118" t="str">
        <f>IF(OR(J208="",H208=""),"",VLOOKUP(J208,'הזנה לסיווג רשויות'!$B$2:$D$301,3,0))</f>
        <v>נצרת</v>
      </c>
      <c r="H208" s="281" t="s">
        <v>673</v>
      </c>
      <c r="I208" s="201" t="s">
        <v>384</v>
      </c>
      <c r="J208" s="205">
        <v>7300</v>
      </c>
      <c r="K208" s="161">
        <v>0</v>
      </c>
      <c r="L208" s="161">
        <v>1</v>
      </c>
      <c r="M208" s="161">
        <v>0</v>
      </c>
      <c r="N208" s="161">
        <v>0</v>
      </c>
      <c r="O208" s="161">
        <v>1</v>
      </c>
      <c r="P208" s="161">
        <v>1</v>
      </c>
      <c r="Q208" s="161">
        <v>1</v>
      </c>
      <c r="R208" s="201">
        <v>2231283</v>
      </c>
      <c r="S208" s="201">
        <v>859464</v>
      </c>
      <c r="T208" s="160">
        <f>IF(G208="","",IFERROR(IF(S208/R208&gt;'פרמטרים לקריטריונים'!$C$20,1,0),0))</f>
        <v>1</v>
      </c>
      <c r="U208" s="201">
        <v>859464</v>
      </c>
      <c r="V208" s="160">
        <f>IF(G208="","",IFERROR(IF(U208/R208&gt;'פרמטרים לקריטריונים'!$C$21,1,IF(AND(I208=$BW$5,U208/R208&gt;'פרמטרים לקריטריונים'!$C$22),1,0)),0))</f>
        <v>1</v>
      </c>
      <c r="W208" s="161">
        <v>1</v>
      </c>
      <c r="X208" s="161">
        <v>1</v>
      </c>
      <c r="Y208" s="201">
        <v>1500000</v>
      </c>
      <c r="Z208" s="201">
        <v>100000</v>
      </c>
      <c r="AA208" s="161">
        <f t="shared" si="235"/>
        <v>1</v>
      </c>
      <c r="AB208" s="161"/>
      <c r="AC208" s="161"/>
      <c r="AD208" s="161"/>
      <c r="AE208" s="161"/>
      <c r="AF208" s="161"/>
      <c r="AG208" s="161"/>
      <c r="AH208" s="161"/>
      <c r="AI208" s="161"/>
      <c r="AJ208" s="161"/>
      <c r="AK208" s="161"/>
      <c r="AL208" s="161"/>
      <c r="AM208" s="161"/>
      <c r="AN208" s="161"/>
      <c r="AO208" s="161"/>
      <c r="AP208" s="161"/>
      <c r="AQ208" s="161"/>
      <c r="AR208" s="161"/>
      <c r="AS208" s="161"/>
      <c r="AT208" s="161"/>
      <c r="AU208" s="161"/>
      <c r="AV208" s="161"/>
      <c r="AW208" s="160"/>
      <c r="AX208" s="161"/>
      <c r="AY208" s="161"/>
      <c r="AZ208" s="161"/>
      <c r="BA208" s="161"/>
      <c r="BB208" s="161"/>
      <c r="BC208" s="161"/>
      <c r="BD208" s="161"/>
      <c r="BE208" s="161"/>
      <c r="BF208" s="160" t="str">
        <f t="shared" si="236"/>
        <v/>
      </c>
      <c r="BG208" s="160"/>
      <c r="BH208" s="160"/>
      <c r="BI208" s="160"/>
      <c r="BJ208" s="160"/>
      <c r="BK208" s="160"/>
      <c r="BL208" s="162">
        <f t="shared" si="187"/>
        <v>1</v>
      </c>
      <c r="BM208" s="257"/>
      <c r="BN208" s="163"/>
      <c r="BO208" s="211" t="str">
        <f t="shared" si="188"/>
        <v>תיאטרון אנסמבל פרינג' נצרתמרכזי פרינג'</v>
      </c>
      <c r="BP208" s="125">
        <f t="shared" si="189"/>
        <v>1</v>
      </c>
      <c r="BQ208" s="164">
        <v>0</v>
      </c>
      <c r="BR208" s="164">
        <v>1</v>
      </c>
      <c r="BS208" s="149">
        <f t="shared" si="190"/>
        <v>1</v>
      </c>
      <c r="BT208" s="149">
        <f t="shared" si="191"/>
        <v>1</v>
      </c>
      <c r="BU208" s="149">
        <f t="shared" si="192"/>
        <v>1</v>
      </c>
      <c r="BV208" s="149">
        <f t="shared" si="193"/>
        <v>1</v>
      </c>
      <c r="BW208" s="149">
        <f t="shared" si="194"/>
        <v>1</v>
      </c>
      <c r="BX208" s="149">
        <f t="shared" si="195"/>
        <v>1</v>
      </c>
      <c r="BY208" s="149">
        <f t="shared" si="196"/>
        <v>1</v>
      </c>
      <c r="BZ208" s="149">
        <f t="shared" si="197"/>
        <v>1</v>
      </c>
      <c r="CA208" s="149">
        <f t="shared" si="198"/>
        <v>1</v>
      </c>
      <c r="CB208" s="149">
        <f t="shared" si="199"/>
        <v>1</v>
      </c>
      <c r="CC208" s="149">
        <f t="shared" si="200"/>
        <v>1</v>
      </c>
      <c r="CD208" s="149">
        <f t="shared" si="201"/>
        <v>1</v>
      </c>
      <c r="CE208" s="149">
        <f t="shared" si="202"/>
        <v>1</v>
      </c>
      <c r="CF208" s="149">
        <f t="shared" si="203"/>
        <v>1</v>
      </c>
      <c r="CG208" s="149">
        <f t="shared" si="204"/>
        <v>1</v>
      </c>
      <c r="CH208" s="149">
        <f t="shared" si="205"/>
        <v>1</v>
      </c>
      <c r="CI208" s="149">
        <f t="shared" si="206"/>
        <v>1</v>
      </c>
      <c r="CJ208" s="149">
        <f t="shared" si="207"/>
        <v>1</v>
      </c>
      <c r="CK208" s="149">
        <f t="shared" si="208"/>
        <v>1</v>
      </c>
      <c r="CL208" s="149">
        <f t="shared" si="209"/>
        <v>1</v>
      </c>
      <c r="CM208" s="149">
        <f t="shared" si="210"/>
        <v>1</v>
      </c>
      <c r="CN208" s="149">
        <f t="shared" si="211"/>
        <v>1</v>
      </c>
      <c r="CO208" s="149">
        <f t="shared" si="212"/>
        <v>1</v>
      </c>
      <c r="CP208" s="149">
        <f t="shared" si="213"/>
        <v>1</v>
      </c>
      <c r="CQ208" s="149">
        <f t="shared" si="214"/>
        <v>1</v>
      </c>
      <c r="CR208" s="149">
        <f t="shared" si="215"/>
        <v>1</v>
      </c>
      <c r="CS208" s="149">
        <f t="shared" si="216"/>
        <v>1</v>
      </c>
      <c r="CT208" s="149">
        <f t="shared" si="217"/>
        <v>1</v>
      </c>
      <c r="CU208" s="149">
        <f t="shared" si="218"/>
        <v>1</v>
      </c>
      <c r="CV208" s="149">
        <f t="shared" si="219"/>
        <v>1</v>
      </c>
      <c r="CW208" s="149">
        <f t="shared" si="220"/>
        <v>1</v>
      </c>
      <c r="CX208" s="149">
        <f t="shared" si="221"/>
        <v>1</v>
      </c>
      <c r="CY208" s="149">
        <f t="shared" si="222"/>
        <v>1</v>
      </c>
      <c r="CZ208" s="149">
        <f t="shared" si="223"/>
        <v>1</v>
      </c>
      <c r="DA208" s="149">
        <f t="shared" si="224"/>
        <v>1</v>
      </c>
      <c r="DB208" s="149">
        <f t="shared" si="225"/>
        <v>1</v>
      </c>
      <c r="DG208" s="125">
        <f t="shared" si="186"/>
        <v>1</v>
      </c>
      <c r="DH208" s="125">
        <f t="shared" si="239"/>
        <v>2</v>
      </c>
      <c r="DI208" s="125">
        <f t="shared" ref="DH208:DP236" si="240">IF($G208="","",DI$30)</f>
        <v>3</v>
      </c>
      <c r="DJ208" s="125">
        <f t="shared" si="240"/>
        <v>4</v>
      </c>
      <c r="DK208" s="125">
        <f t="shared" si="240"/>
        <v>5</v>
      </c>
      <c r="DL208" s="125">
        <f t="shared" si="240"/>
        <v>6</v>
      </c>
      <c r="DM208" s="125">
        <f t="shared" si="240"/>
        <v>7</v>
      </c>
      <c r="DN208" s="125">
        <f t="shared" si="240"/>
        <v>8</v>
      </c>
      <c r="DO208" s="125">
        <f t="shared" si="240"/>
        <v>9</v>
      </c>
      <c r="DP208" s="125">
        <f t="shared" si="240"/>
        <v>10</v>
      </c>
      <c r="DS208" s="137"/>
      <c r="DT208" s="137"/>
      <c r="DU208" s="137"/>
      <c r="DV208" s="137" t="b">
        <f t="shared" si="226"/>
        <v>0</v>
      </c>
      <c r="DW208" s="137" t="b">
        <f t="shared" si="227"/>
        <v>0</v>
      </c>
      <c r="DX208" s="137" t="b">
        <f t="shared" si="228"/>
        <v>1</v>
      </c>
      <c r="EB208" s="131">
        <f t="shared" si="237"/>
        <v>1</v>
      </c>
      <c r="EC208" s="137" t="b">
        <f t="shared" si="229"/>
        <v>0</v>
      </c>
      <c r="ED208" s="137" t="b">
        <f t="shared" si="230"/>
        <v>0</v>
      </c>
      <c r="EE208" s="137" t="b">
        <f t="shared" si="231"/>
        <v>1</v>
      </c>
      <c r="EF208" s="137"/>
      <c r="EG208" s="137"/>
      <c r="EH208" s="137"/>
      <c r="EI208" s="137"/>
      <c r="EJ208" s="137">
        <f t="shared" si="238"/>
        <v>1</v>
      </c>
      <c r="EK208" s="125">
        <f t="shared" si="232"/>
        <v>0</v>
      </c>
      <c r="EL208" s="125">
        <f t="shared" si="233"/>
        <v>0</v>
      </c>
    </row>
    <row r="209" spans="2:142" ht="15.75" x14ac:dyDescent="0.25">
      <c r="B209" s="160">
        <f t="shared" si="234"/>
        <v>179</v>
      </c>
      <c r="C209" s="283">
        <v>1001346674</v>
      </c>
      <c r="D209" s="283">
        <v>1001263309</v>
      </c>
      <c r="E209" s="281">
        <v>40507679</v>
      </c>
      <c r="F209" s="118">
        <f>IF(OR(J209="",H209=""),"",VLOOKUP(J209,'הזנה לסיווג רשויות'!$B$2:$D$301,2,0))</f>
        <v>20000057</v>
      </c>
      <c r="G209" s="118" t="str">
        <f>IF(OR(J209="",H209=""),"",VLOOKUP(J209,'הזנה לסיווג רשויות'!$B$2:$D$301,3,0))</f>
        <v>מעיליא</v>
      </c>
      <c r="H209" s="281" t="s">
        <v>674</v>
      </c>
      <c r="I209" s="201" t="s">
        <v>564</v>
      </c>
      <c r="J209" s="205">
        <v>518</v>
      </c>
      <c r="K209" s="161">
        <v>0</v>
      </c>
      <c r="L209" s="161">
        <v>1</v>
      </c>
      <c r="M209" s="161">
        <v>0</v>
      </c>
      <c r="N209" s="161">
        <v>0</v>
      </c>
      <c r="O209" s="161">
        <v>1</v>
      </c>
      <c r="P209" s="161">
        <v>1</v>
      </c>
      <c r="Q209" s="161">
        <v>1</v>
      </c>
      <c r="R209" s="201">
        <v>1455405</v>
      </c>
      <c r="S209" s="201">
        <v>969446</v>
      </c>
      <c r="T209" s="160">
        <f>IF(G209="","",IFERROR(IF(S209/R209&gt;'פרמטרים לקריטריונים'!$C$20,1,0),0))</f>
        <v>1</v>
      </c>
      <c r="U209" s="201">
        <v>875546</v>
      </c>
      <c r="V209" s="160">
        <f>IF(G209="","",IFERROR(IF(U209/R209&gt;'פרמטרים לקריטריונים'!$C$21,1,IF(AND(I209=$BW$5,U209/R209&gt;'פרמטרים לקריטריונים'!$C$22),1,0)),0))</f>
        <v>1</v>
      </c>
      <c r="W209" s="161">
        <v>1</v>
      </c>
      <c r="X209" s="161">
        <v>1</v>
      </c>
      <c r="Y209" s="201">
        <v>1685000</v>
      </c>
      <c r="Z209" s="201">
        <v>616000</v>
      </c>
      <c r="AA209" s="161">
        <f t="shared" si="235"/>
        <v>1</v>
      </c>
      <c r="AB209" s="161"/>
      <c r="AC209" s="161"/>
      <c r="AD209" s="161"/>
      <c r="AE209" s="161"/>
      <c r="AF209" s="161"/>
      <c r="AG209" s="161"/>
      <c r="AH209" s="161"/>
      <c r="AI209" s="161"/>
      <c r="AJ209" s="161"/>
      <c r="AK209" s="161"/>
      <c r="AL209" s="161"/>
      <c r="AM209" s="161"/>
      <c r="AN209" s="161"/>
      <c r="AO209" s="161"/>
      <c r="AP209" s="161"/>
      <c r="AQ209" s="161"/>
      <c r="AR209" s="161"/>
      <c r="AS209" s="161"/>
      <c r="AT209" s="161"/>
      <c r="AU209" s="161"/>
      <c r="AV209" s="161"/>
      <c r="AW209" s="160"/>
      <c r="AX209" s="161"/>
      <c r="AY209" s="161"/>
      <c r="AZ209" s="161"/>
      <c r="BA209" s="161"/>
      <c r="BB209" s="161"/>
      <c r="BC209" s="161"/>
      <c r="BD209" s="161"/>
      <c r="BE209" s="161"/>
      <c r="BF209" s="160" t="str">
        <f t="shared" si="236"/>
        <v/>
      </c>
      <c r="BG209" s="160"/>
      <c r="BH209" s="160"/>
      <c r="BI209" s="160"/>
      <c r="BJ209" s="160"/>
      <c r="BK209" s="160"/>
      <c r="BL209" s="162">
        <f t="shared" si="187"/>
        <v>1</v>
      </c>
      <c r="BM209" s="257"/>
      <c r="BN209" s="163"/>
      <c r="BO209" s="211" t="str">
        <f t="shared" si="188"/>
        <v>"ביאת" למוסיקה ושירה (ע"ר)אחר</v>
      </c>
      <c r="BP209" s="125">
        <f t="shared" si="189"/>
        <v>1</v>
      </c>
      <c r="BQ209" s="164">
        <v>0</v>
      </c>
      <c r="BR209" s="164">
        <v>1</v>
      </c>
      <c r="BS209" s="149">
        <f t="shared" si="190"/>
        <v>1</v>
      </c>
      <c r="BT209" s="149">
        <f t="shared" si="191"/>
        <v>1</v>
      </c>
      <c r="BU209" s="149">
        <f t="shared" si="192"/>
        <v>1</v>
      </c>
      <c r="BV209" s="149">
        <f t="shared" si="193"/>
        <v>1</v>
      </c>
      <c r="BW209" s="149">
        <f t="shared" si="194"/>
        <v>1</v>
      </c>
      <c r="BX209" s="149">
        <f t="shared" si="195"/>
        <v>1</v>
      </c>
      <c r="BY209" s="149">
        <f t="shared" si="196"/>
        <v>1</v>
      </c>
      <c r="BZ209" s="149">
        <f t="shared" si="197"/>
        <v>1</v>
      </c>
      <c r="CA209" s="149">
        <f t="shared" si="198"/>
        <v>1</v>
      </c>
      <c r="CB209" s="149">
        <f t="shared" si="199"/>
        <v>1</v>
      </c>
      <c r="CC209" s="149">
        <f t="shared" si="200"/>
        <v>1</v>
      </c>
      <c r="CD209" s="149">
        <f t="shared" si="201"/>
        <v>1</v>
      </c>
      <c r="CE209" s="149">
        <f t="shared" si="202"/>
        <v>1</v>
      </c>
      <c r="CF209" s="149">
        <f t="shared" si="203"/>
        <v>1</v>
      </c>
      <c r="CG209" s="149">
        <f t="shared" si="204"/>
        <v>1</v>
      </c>
      <c r="CH209" s="149">
        <f t="shared" si="205"/>
        <v>1</v>
      </c>
      <c r="CI209" s="149">
        <f t="shared" si="206"/>
        <v>1</v>
      </c>
      <c r="CJ209" s="149">
        <f t="shared" si="207"/>
        <v>1</v>
      </c>
      <c r="CK209" s="149">
        <f t="shared" si="208"/>
        <v>1</v>
      </c>
      <c r="CL209" s="149">
        <f t="shared" si="209"/>
        <v>1</v>
      </c>
      <c r="CM209" s="149">
        <f t="shared" si="210"/>
        <v>1</v>
      </c>
      <c r="CN209" s="149">
        <f t="shared" si="211"/>
        <v>1</v>
      </c>
      <c r="CO209" s="149">
        <f t="shared" si="212"/>
        <v>1</v>
      </c>
      <c r="CP209" s="149">
        <f t="shared" si="213"/>
        <v>1</v>
      </c>
      <c r="CQ209" s="149">
        <f t="shared" si="214"/>
        <v>1</v>
      </c>
      <c r="CR209" s="149">
        <f t="shared" si="215"/>
        <v>1</v>
      </c>
      <c r="CS209" s="149">
        <f t="shared" si="216"/>
        <v>1</v>
      </c>
      <c r="CT209" s="149">
        <f t="shared" si="217"/>
        <v>1</v>
      </c>
      <c r="CU209" s="149">
        <f t="shared" si="218"/>
        <v>1</v>
      </c>
      <c r="CV209" s="149">
        <f t="shared" si="219"/>
        <v>1</v>
      </c>
      <c r="CW209" s="149">
        <f t="shared" si="220"/>
        <v>1</v>
      </c>
      <c r="CX209" s="149">
        <f t="shared" si="221"/>
        <v>1</v>
      </c>
      <c r="CY209" s="149">
        <f t="shared" si="222"/>
        <v>1</v>
      </c>
      <c r="CZ209" s="149">
        <f t="shared" si="223"/>
        <v>1</v>
      </c>
      <c r="DA209" s="149">
        <f t="shared" si="224"/>
        <v>1</v>
      </c>
      <c r="DB209" s="149">
        <f t="shared" si="225"/>
        <v>1</v>
      </c>
      <c r="DG209" s="125">
        <f t="shared" si="186"/>
        <v>1</v>
      </c>
      <c r="DH209" s="125">
        <f t="shared" si="240"/>
        <v>2</v>
      </c>
      <c r="DI209" s="125">
        <f t="shared" si="240"/>
        <v>3</v>
      </c>
      <c r="DJ209" s="125">
        <f t="shared" si="240"/>
        <v>4</v>
      </c>
      <c r="DK209" s="125">
        <f t="shared" si="240"/>
        <v>5</v>
      </c>
      <c r="DL209" s="125">
        <f t="shared" si="240"/>
        <v>6</v>
      </c>
      <c r="DM209" s="125">
        <f t="shared" si="240"/>
        <v>7</v>
      </c>
      <c r="DN209" s="125">
        <f t="shared" si="240"/>
        <v>8</v>
      </c>
      <c r="DO209" s="125">
        <f t="shared" si="240"/>
        <v>9</v>
      </c>
      <c r="DP209" s="125">
        <f t="shared" si="240"/>
        <v>10</v>
      </c>
      <c r="DS209" s="137"/>
      <c r="DT209" s="137"/>
      <c r="DU209" s="137"/>
      <c r="DV209" s="137" t="b">
        <f t="shared" si="226"/>
        <v>0</v>
      </c>
      <c r="DW209" s="137" t="b">
        <f t="shared" si="227"/>
        <v>0</v>
      </c>
      <c r="DX209" s="137" t="b">
        <f t="shared" si="228"/>
        <v>1</v>
      </c>
      <c r="EB209" s="131">
        <f t="shared" si="237"/>
        <v>1</v>
      </c>
      <c r="EC209" s="137" t="b">
        <f t="shared" si="229"/>
        <v>0</v>
      </c>
      <c r="ED209" s="137" t="b">
        <f t="shared" si="230"/>
        <v>0</v>
      </c>
      <c r="EE209" s="137" t="b">
        <f t="shared" si="231"/>
        <v>1</v>
      </c>
      <c r="EF209" s="137"/>
      <c r="EG209" s="137"/>
      <c r="EH209" s="137"/>
      <c r="EI209" s="137"/>
      <c r="EJ209" s="137">
        <f t="shared" si="238"/>
        <v>1</v>
      </c>
      <c r="EK209" s="125">
        <f t="shared" si="232"/>
        <v>0</v>
      </c>
      <c r="EL209" s="125">
        <f t="shared" si="233"/>
        <v>0</v>
      </c>
    </row>
    <row r="210" spans="2:142" ht="15.75" x14ac:dyDescent="0.25">
      <c r="B210" s="160">
        <f t="shared" si="234"/>
        <v>180</v>
      </c>
      <c r="C210" s="283">
        <v>1001350423</v>
      </c>
      <c r="D210" s="283">
        <v>1001288875</v>
      </c>
      <c r="E210" s="281">
        <v>41904917</v>
      </c>
      <c r="F210" s="118">
        <f>IF(OR(J210="",H210=""),"",VLOOKUP(J210,'הזנה לסיווג רשויות'!$B$2:$D$301,2,0))</f>
        <v>20000065</v>
      </c>
      <c r="G210" s="118" t="str">
        <f>IF(OR(J210="",H210=""),"",VLOOKUP(J210,'הזנה לסיווג רשויות'!$B$2:$D$301,3,0))</f>
        <v>עספיא</v>
      </c>
      <c r="H210" s="281" t="s">
        <v>675</v>
      </c>
      <c r="I210" s="201" t="s">
        <v>564</v>
      </c>
      <c r="J210" s="205">
        <v>534</v>
      </c>
      <c r="K210" s="161">
        <v>0</v>
      </c>
      <c r="L210" s="161">
        <v>1</v>
      </c>
      <c r="M210" s="161">
        <v>0</v>
      </c>
      <c r="N210" s="161">
        <v>0</v>
      </c>
      <c r="O210" s="161">
        <v>1</v>
      </c>
      <c r="P210" s="161">
        <v>1</v>
      </c>
      <c r="Q210" s="161">
        <v>1</v>
      </c>
      <c r="R210" s="201">
        <v>163700</v>
      </c>
      <c r="S210" s="201">
        <v>163700</v>
      </c>
      <c r="T210" s="160">
        <f>IF(G210="","",IFERROR(IF(S210/R210&gt;'פרמטרים לקריטריונים'!$C$20,1,0),0))</f>
        <v>1</v>
      </c>
      <c r="U210" s="201">
        <v>101000</v>
      </c>
      <c r="V210" s="160">
        <f>IF(G210="","",IFERROR(IF(U210/R210&gt;'פרמטרים לקריטריונים'!$C$21,1,IF(AND(I210=$BW$5,U210/R210&gt;'פרמטרים לקריטריונים'!$C$22),1,0)),0))</f>
        <v>1</v>
      </c>
      <c r="W210" s="161">
        <v>1</v>
      </c>
      <c r="X210" s="161">
        <v>1</v>
      </c>
      <c r="Y210" s="201">
        <v>450000</v>
      </c>
      <c r="Z210" s="201">
        <v>50000</v>
      </c>
      <c r="AA210" s="161">
        <f t="shared" si="235"/>
        <v>1</v>
      </c>
      <c r="AB210" s="161"/>
      <c r="AC210" s="161"/>
      <c r="AD210" s="161"/>
      <c r="AE210" s="161"/>
      <c r="AF210" s="161"/>
      <c r="AG210" s="161"/>
      <c r="AH210" s="161"/>
      <c r="AI210" s="161"/>
      <c r="AJ210" s="161"/>
      <c r="AK210" s="161"/>
      <c r="AL210" s="161"/>
      <c r="AM210" s="161"/>
      <c r="AN210" s="161"/>
      <c r="AO210" s="161"/>
      <c r="AP210" s="161"/>
      <c r="AQ210" s="161"/>
      <c r="AR210" s="161"/>
      <c r="AS210" s="161"/>
      <c r="AT210" s="161"/>
      <c r="AU210" s="161"/>
      <c r="AV210" s="161"/>
      <c r="AW210" s="160"/>
      <c r="AX210" s="161"/>
      <c r="AY210" s="161"/>
      <c r="AZ210" s="161"/>
      <c r="BA210" s="161"/>
      <c r="BB210" s="161"/>
      <c r="BC210" s="161"/>
      <c r="BD210" s="161"/>
      <c r="BE210" s="161"/>
      <c r="BF210" s="160" t="str">
        <f t="shared" si="236"/>
        <v/>
      </c>
      <c r="BG210" s="160"/>
      <c r="BH210" s="160"/>
      <c r="BI210" s="160"/>
      <c r="BJ210" s="160"/>
      <c r="BK210" s="160"/>
      <c r="BL210" s="162">
        <f t="shared" si="187"/>
        <v>1</v>
      </c>
      <c r="BM210" s="257"/>
      <c r="BN210" s="163"/>
      <c r="BO210" s="211" t="str">
        <f t="shared" si="188"/>
        <v>התאחדות מוסיקאים ואמנים ערביםאחר</v>
      </c>
      <c r="BP210" s="125">
        <f t="shared" si="189"/>
        <v>1</v>
      </c>
      <c r="BQ210" s="164">
        <v>0</v>
      </c>
      <c r="BR210" s="164">
        <v>1</v>
      </c>
      <c r="BS210" s="149">
        <f t="shared" si="190"/>
        <v>1</v>
      </c>
      <c r="BT210" s="149">
        <f t="shared" si="191"/>
        <v>1</v>
      </c>
      <c r="BU210" s="149">
        <f t="shared" si="192"/>
        <v>1</v>
      </c>
      <c r="BV210" s="149">
        <f t="shared" si="193"/>
        <v>1</v>
      </c>
      <c r="BW210" s="149">
        <f t="shared" si="194"/>
        <v>1</v>
      </c>
      <c r="BX210" s="149">
        <f t="shared" si="195"/>
        <v>1</v>
      </c>
      <c r="BY210" s="149">
        <f t="shared" si="196"/>
        <v>1</v>
      </c>
      <c r="BZ210" s="149">
        <f t="shared" si="197"/>
        <v>1</v>
      </c>
      <c r="CA210" s="149">
        <f t="shared" si="198"/>
        <v>1</v>
      </c>
      <c r="CB210" s="149">
        <f t="shared" si="199"/>
        <v>1</v>
      </c>
      <c r="CC210" s="149">
        <f t="shared" si="200"/>
        <v>1</v>
      </c>
      <c r="CD210" s="149">
        <f t="shared" si="201"/>
        <v>1</v>
      </c>
      <c r="CE210" s="149">
        <f t="shared" si="202"/>
        <v>1</v>
      </c>
      <c r="CF210" s="149">
        <f t="shared" si="203"/>
        <v>1</v>
      </c>
      <c r="CG210" s="149">
        <f t="shared" si="204"/>
        <v>1</v>
      </c>
      <c r="CH210" s="149">
        <f t="shared" si="205"/>
        <v>1</v>
      </c>
      <c r="CI210" s="149">
        <f t="shared" si="206"/>
        <v>1</v>
      </c>
      <c r="CJ210" s="149">
        <f t="shared" si="207"/>
        <v>1</v>
      </c>
      <c r="CK210" s="149">
        <f t="shared" si="208"/>
        <v>1</v>
      </c>
      <c r="CL210" s="149">
        <f t="shared" si="209"/>
        <v>1</v>
      </c>
      <c r="CM210" s="149">
        <f t="shared" si="210"/>
        <v>1</v>
      </c>
      <c r="CN210" s="149">
        <f t="shared" si="211"/>
        <v>1</v>
      </c>
      <c r="CO210" s="149">
        <f t="shared" si="212"/>
        <v>1</v>
      </c>
      <c r="CP210" s="149">
        <f t="shared" si="213"/>
        <v>1</v>
      </c>
      <c r="CQ210" s="149">
        <f t="shared" si="214"/>
        <v>1</v>
      </c>
      <c r="CR210" s="149">
        <f t="shared" si="215"/>
        <v>1</v>
      </c>
      <c r="CS210" s="149">
        <f t="shared" si="216"/>
        <v>1</v>
      </c>
      <c r="CT210" s="149">
        <f t="shared" si="217"/>
        <v>1</v>
      </c>
      <c r="CU210" s="149">
        <f t="shared" si="218"/>
        <v>1</v>
      </c>
      <c r="CV210" s="149">
        <f t="shared" si="219"/>
        <v>1</v>
      </c>
      <c r="CW210" s="149">
        <f t="shared" si="220"/>
        <v>1</v>
      </c>
      <c r="CX210" s="149">
        <f t="shared" si="221"/>
        <v>1</v>
      </c>
      <c r="CY210" s="149">
        <f t="shared" si="222"/>
        <v>1</v>
      </c>
      <c r="CZ210" s="149">
        <f t="shared" si="223"/>
        <v>1</v>
      </c>
      <c r="DA210" s="149">
        <f t="shared" si="224"/>
        <v>1</v>
      </c>
      <c r="DB210" s="149">
        <f t="shared" si="225"/>
        <v>1</v>
      </c>
      <c r="DG210" s="125">
        <f t="shared" si="186"/>
        <v>1</v>
      </c>
      <c r="DH210" s="125">
        <f t="shared" si="240"/>
        <v>2</v>
      </c>
      <c r="DI210" s="125">
        <f t="shared" si="240"/>
        <v>3</v>
      </c>
      <c r="DJ210" s="125">
        <f t="shared" si="240"/>
        <v>4</v>
      </c>
      <c r="DK210" s="125">
        <f t="shared" si="240"/>
        <v>5</v>
      </c>
      <c r="DL210" s="125">
        <f t="shared" si="240"/>
        <v>6</v>
      </c>
      <c r="DM210" s="125">
        <f t="shared" si="240"/>
        <v>7</v>
      </c>
      <c r="DN210" s="125">
        <f t="shared" si="240"/>
        <v>8</v>
      </c>
      <c r="DO210" s="125">
        <f t="shared" si="240"/>
        <v>9</v>
      </c>
      <c r="DP210" s="125">
        <f t="shared" si="240"/>
        <v>10</v>
      </c>
      <c r="DS210" s="137"/>
      <c r="DT210" s="137"/>
      <c r="DU210" s="137"/>
      <c r="DV210" s="137" t="b">
        <f t="shared" si="226"/>
        <v>0</v>
      </c>
      <c r="DW210" s="137" t="b">
        <f t="shared" si="227"/>
        <v>0</v>
      </c>
      <c r="DX210" s="137" t="b">
        <f t="shared" si="228"/>
        <v>1</v>
      </c>
      <c r="EB210" s="131">
        <f t="shared" si="237"/>
        <v>1</v>
      </c>
      <c r="EC210" s="137" t="b">
        <f t="shared" si="229"/>
        <v>0</v>
      </c>
      <c r="ED210" s="137" t="b">
        <f t="shared" si="230"/>
        <v>0</v>
      </c>
      <c r="EE210" s="137" t="b">
        <f t="shared" si="231"/>
        <v>1</v>
      </c>
      <c r="EF210" s="137"/>
      <c r="EG210" s="137"/>
      <c r="EH210" s="137"/>
      <c r="EI210" s="137"/>
      <c r="EJ210" s="137">
        <f t="shared" si="238"/>
        <v>1</v>
      </c>
      <c r="EK210" s="125">
        <f t="shared" si="232"/>
        <v>0</v>
      </c>
      <c r="EL210" s="125">
        <f t="shared" si="233"/>
        <v>0</v>
      </c>
    </row>
    <row r="211" spans="2:142" ht="15.75" x14ac:dyDescent="0.25">
      <c r="B211" s="160">
        <f t="shared" si="234"/>
        <v>181</v>
      </c>
      <c r="C211" s="205">
        <v>1001350410</v>
      </c>
      <c r="D211" s="205">
        <v>1001280469</v>
      </c>
      <c r="E211" s="281">
        <v>40822680</v>
      </c>
      <c r="F211" s="118">
        <f>IF(OR(J211="",H211=""),"",VLOOKUP(J211,'הזנה לסיווג רשויות'!$B$2:$D$301,2,0))</f>
        <v>20000201</v>
      </c>
      <c r="G211" s="118" t="str">
        <f>IF(OR(J211="",H211=""),"",VLOOKUP(J211,'הזנה לסיווג רשויות'!$B$2:$D$301,3,0))</f>
        <v>תל אביב -יפו</v>
      </c>
      <c r="H211" s="201" t="s">
        <v>676</v>
      </c>
      <c r="I211" s="201" t="s">
        <v>381</v>
      </c>
      <c r="J211" s="205">
        <v>5000</v>
      </c>
      <c r="K211" s="161">
        <v>0</v>
      </c>
      <c r="L211" s="161">
        <v>1</v>
      </c>
      <c r="M211" s="161">
        <v>0</v>
      </c>
      <c r="N211" s="161">
        <v>1</v>
      </c>
      <c r="O211" s="161">
        <v>1</v>
      </c>
      <c r="P211" s="161">
        <v>1</v>
      </c>
      <c r="Q211" s="161">
        <v>1</v>
      </c>
      <c r="R211" s="201">
        <v>600374</v>
      </c>
      <c r="S211" s="201">
        <v>319691</v>
      </c>
      <c r="T211" s="160">
        <f>IF(G211="","",IFERROR(IF(S211/R211&gt;'פרמטרים לקריטריונים'!$C$20,1,0),0))</f>
        <v>1</v>
      </c>
      <c r="U211" s="201">
        <v>319691</v>
      </c>
      <c r="V211" s="160">
        <f>IF(G211="","",IFERROR(IF(U211/R211&gt;'פרמטרים לקריטריונים'!$C$21,1,IF(AND(I211=$BW$5,U211/R211&gt;'פרמטרים לקריטריונים'!$C$22),1,0)),0))</f>
        <v>1</v>
      </c>
      <c r="W211" s="161">
        <v>1</v>
      </c>
      <c r="X211" s="161">
        <v>1</v>
      </c>
      <c r="Y211" s="201">
        <v>256054</v>
      </c>
      <c r="Z211" s="201">
        <v>150000</v>
      </c>
      <c r="AA211" s="161">
        <f t="shared" si="235"/>
        <v>1</v>
      </c>
      <c r="AB211" s="161"/>
      <c r="AC211" s="161"/>
      <c r="AD211" s="161"/>
      <c r="AE211" s="161"/>
      <c r="AF211" s="161"/>
      <c r="AG211" s="161"/>
      <c r="AH211" s="161"/>
      <c r="AI211" s="161"/>
      <c r="AJ211" s="161"/>
      <c r="AK211" s="161"/>
      <c r="AL211" s="161"/>
      <c r="AM211" s="161"/>
      <c r="AN211" s="161"/>
      <c r="AO211" s="161"/>
      <c r="AP211" s="161"/>
      <c r="AQ211" s="161"/>
      <c r="AR211" s="161"/>
      <c r="AS211" s="161"/>
      <c r="AT211" s="161"/>
      <c r="AU211" s="161"/>
      <c r="AV211" s="161"/>
      <c r="AW211" s="160"/>
      <c r="AX211" s="161"/>
      <c r="AY211" s="161"/>
      <c r="AZ211" s="161"/>
      <c r="BA211" s="161"/>
      <c r="BB211" s="161"/>
      <c r="BC211" s="161"/>
      <c r="BD211" s="161"/>
      <c r="BE211" s="161"/>
      <c r="BF211" s="160" t="str">
        <f t="shared" si="236"/>
        <v/>
      </c>
      <c r="BG211" s="160"/>
      <c r="BH211" s="160"/>
      <c r="BI211" s="160"/>
      <c r="BJ211" s="160"/>
      <c r="BK211" s="160"/>
      <c r="BL211" s="162">
        <f t="shared" si="187"/>
        <v>1</v>
      </c>
      <c r="BM211" s="257"/>
      <c r="BN211" s="163"/>
      <c r="BO211" s="211" t="str">
        <f t="shared" si="188"/>
        <v>העמותה לקידום סרטי תרבות ואמנות (ע"סינמטקים ופסטיבלים</v>
      </c>
      <c r="BP211" s="125">
        <f t="shared" si="189"/>
        <v>1</v>
      </c>
      <c r="BQ211" s="164">
        <v>0</v>
      </c>
      <c r="BR211" s="164">
        <v>1</v>
      </c>
      <c r="BS211" s="149">
        <f t="shared" si="190"/>
        <v>1</v>
      </c>
      <c r="BT211" s="149">
        <f t="shared" si="191"/>
        <v>1</v>
      </c>
      <c r="BU211" s="149">
        <f t="shared" si="192"/>
        <v>1</v>
      </c>
      <c r="BV211" s="149">
        <f t="shared" si="193"/>
        <v>1</v>
      </c>
      <c r="BW211" s="149">
        <f t="shared" si="194"/>
        <v>1</v>
      </c>
      <c r="BX211" s="149">
        <f t="shared" si="195"/>
        <v>1</v>
      </c>
      <c r="BY211" s="149">
        <f t="shared" si="196"/>
        <v>1</v>
      </c>
      <c r="BZ211" s="149">
        <f t="shared" si="197"/>
        <v>1</v>
      </c>
      <c r="CA211" s="149">
        <f t="shared" si="198"/>
        <v>1</v>
      </c>
      <c r="CB211" s="149">
        <f t="shared" si="199"/>
        <v>1</v>
      </c>
      <c r="CC211" s="149">
        <f t="shared" si="200"/>
        <v>1</v>
      </c>
      <c r="CD211" s="149">
        <f t="shared" si="201"/>
        <v>1</v>
      </c>
      <c r="CE211" s="149">
        <f t="shared" si="202"/>
        <v>1</v>
      </c>
      <c r="CF211" s="149">
        <f t="shared" si="203"/>
        <v>1</v>
      </c>
      <c r="CG211" s="149">
        <f t="shared" si="204"/>
        <v>1</v>
      </c>
      <c r="CH211" s="149">
        <f t="shared" si="205"/>
        <v>1</v>
      </c>
      <c r="CI211" s="149">
        <f t="shared" si="206"/>
        <v>1</v>
      </c>
      <c r="CJ211" s="149">
        <f t="shared" si="207"/>
        <v>1</v>
      </c>
      <c r="CK211" s="149">
        <f t="shared" si="208"/>
        <v>1</v>
      </c>
      <c r="CL211" s="149">
        <f t="shared" si="209"/>
        <v>1</v>
      </c>
      <c r="CM211" s="149">
        <f t="shared" si="210"/>
        <v>1</v>
      </c>
      <c r="CN211" s="149">
        <f t="shared" si="211"/>
        <v>1</v>
      </c>
      <c r="CO211" s="149">
        <f t="shared" si="212"/>
        <v>1</v>
      </c>
      <c r="CP211" s="149">
        <f t="shared" si="213"/>
        <v>1</v>
      </c>
      <c r="CQ211" s="149">
        <f t="shared" si="214"/>
        <v>1</v>
      </c>
      <c r="CR211" s="149">
        <f t="shared" si="215"/>
        <v>1</v>
      </c>
      <c r="CS211" s="149">
        <f t="shared" si="216"/>
        <v>1</v>
      </c>
      <c r="CT211" s="149">
        <f t="shared" si="217"/>
        <v>1</v>
      </c>
      <c r="CU211" s="149">
        <f t="shared" si="218"/>
        <v>1</v>
      </c>
      <c r="CV211" s="149">
        <f t="shared" si="219"/>
        <v>1</v>
      </c>
      <c r="CW211" s="149">
        <f t="shared" si="220"/>
        <v>1</v>
      </c>
      <c r="CX211" s="149">
        <f t="shared" si="221"/>
        <v>1</v>
      </c>
      <c r="CY211" s="149">
        <f t="shared" si="222"/>
        <v>1</v>
      </c>
      <c r="CZ211" s="149">
        <f t="shared" si="223"/>
        <v>1</v>
      </c>
      <c r="DA211" s="149">
        <f t="shared" si="224"/>
        <v>1</v>
      </c>
      <c r="DB211" s="149">
        <f t="shared" si="225"/>
        <v>1</v>
      </c>
      <c r="DG211" s="125">
        <f t="shared" si="186"/>
        <v>1</v>
      </c>
      <c r="DH211" s="125">
        <f t="shared" si="240"/>
        <v>2</v>
      </c>
      <c r="DI211" s="125">
        <f t="shared" si="240"/>
        <v>3</v>
      </c>
      <c r="DJ211" s="125">
        <f t="shared" si="240"/>
        <v>4</v>
      </c>
      <c r="DK211" s="125">
        <f t="shared" si="240"/>
        <v>5</v>
      </c>
      <c r="DL211" s="125">
        <f t="shared" si="240"/>
        <v>6</v>
      </c>
      <c r="DM211" s="125">
        <f t="shared" si="240"/>
        <v>7</v>
      </c>
      <c r="DN211" s="125">
        <f t="shared" si="240"/>
        <v>8</v>
      </c>
      <c r="DO211" s="125">
        <f t="shared" si="240"/>
        <v>9</v>
      </c>
      <c r="DP211" s="125">
        <f t="shared" si="240"/>
        <v>10</v>
      </c>
      <c r="DS211" s="137"/>
      <c r="DT211" s="137"/>
      <c r="DU211" s="137"/>
      <c r="DV211" s="137" t="b">
        <f t="shared" si="226"/>
        <v>0</v>
      </c>
      <c r="DW211" s="137" t="b">
        <f t="shared" si="227"/>
        <v>0</v>
      </c>
      <c r="DX211" s="137" t="b">
        <f t="shared" si="228"/>
        <v>1</v>
      </c>
      <c r="EB211" s="131">
        <f t="shared" si="237"/>
        <v>1</v>
      </c>
      <c r="EC211" s="137" t="b">
        <f t="shared" si="229"/>
        <v>0</v>
      </c>
      <c r="ED211" s="137" t="b">
        <f t="shared" si="230"/>
        <v>0</v>
      </c>
      <c r="EE211" s="137" t="b">
        <f t="shared" si="231"/>
        <v>1</v>
      </c>
      <c r="EF211" s="137"/>
      <c r="EG211" s="137"/>
      <c r="EH211" s="137"/>
      <c r="EI211" s="137"/>
      <c r="EJ211" s="137">
        <f t="shared" si="238"/>
        <v>1</v>
      </c>
      <c r="EK211" s="125">
        <f t="shared" si="232"/>
        <v>0</v>
      </c>
      <c r="EL211" s="125">
        <f t="shared" si="233"/>
        <v>0</v>
      </c>
    </row>
    <row r="212" spans="2:142" ht="15.75" x14ac:dyDescent="0.25">
      <c r="B212" s="160">
        <f t="shared" si="234"/>
        <v>182</v>
      </c>
      <c r="C212" s="283">
        <v>1001349287</v>
      </c>
      <c r="D212" s="283">
        <v>1001262828</v>
      </c>
      <c r="E212" s="281">
        <v>41489778</v>
      </c>
      <c r="F212" s="118">
        <f>IF(OR(J212="",H212=""),"",VLOOKUP(J212,'הזנה לסיווג רשויות'!$B$2:$D$301,2,0))</f>
        <v>20000211</v>
      </c>
      <c r="G212" s="118" t="str">
        <f>IF(OR(J212="",H212=""),"",VLOOKUP(J212,'הזנה לסיווג רשויות'!$B$2:$D$301,3,0))</f>
        <v>בת ים</v>
      </c>
      <c r="H212" s="281" t="s">
        <v>677</v>
      </c>
      <c r="I212" s="201" t="s">
        <v>386</v>
      </c>
      <c r="J212" s="205">
        <v>6200</v>
      </c>
      <c r="K212" s="161">
        <v>0</v>
      </c>
      <c r="L212" s="161">
        <v>1</v>
      </c>
      <c r="M212" s="161">
        <v>0</v>
      </c>
      <c r="N212" s="161">
        <v>0</v>
      </c>
      <c r="O212" s="161">
        <v>1</v>
      </c>
      <c r="P212" s="161">
        <v>1</v>
      </c>
      <c r="Q212" s="161">
        <v>1</v>
      </c>
      <c r="R212" s="201">
        <v>965128</v>
      </c>
      <c r="S212" s="201">
        <v>525128</v>
      </c>
      <c r="T212" s="160">
        <f>IF(G212="","",IFERROR(IF(S212/R212&gt;'פרמטרים לקריטריונים'!$C$20,1,0),0))</f>
        <v>1</v>
      </c>
      <c r="U212" s="201">
        <v>194097</v>
      </c>
      <c r="V212" s="160">
        <f>IF(G212="","",IFERROR(IF(U212/R212&gt;'פרמטרים לקריטריונים'!$C$21,1,IF(AND(I212=$BW$5,U212/R212&gt;'פרמטרים לקריטריונים'!$C$22),1,0)),0))</f>
        <v>1</v>
      </c>
      <c r="W212" s="161">
        <v>1</v>
      </c>
      <c r="X212" s="161">
        <v>1</v>
      </c>
      <c r="Y212" s="201">
        <v>220000</v>
      </c>
      <c r="Z212" s="201">
        <v>100000</v>
      </c>
      <c r="AA212" s="161">
        <f t="shared" si="235"/>
        <v>1</v>
      </c>
      <c r="AB212" s="161"/>
      <c r="AC212" s="161"/>
      <c r="AD212" s="161"/>
      <c r="AE212" s="161"/>
      <c r="AF212" s="161"/>
      <c r="AG212" s="161"/>
      <c r="AH212" s="161"/>
      <c r="AI212" s="161"/>
      <c r="AJ212" s="161"/>
      <c r="AK212" s="161"/>
      <c r="AL212" s="161"/>
      <c r="AM212" s="161"/>
      <c r="AN212" s="161"/>
      <c r="AO212" s="161"/>
      <c r="AP212" s="161"/>
      <c r="AQ212" s="161"/>
      <c r="AR212" s="161"/>
      <c r="AS212" s="161"/>
      <c r="AT212" s="161"/>
      <c r="AU212" s="161"/>
      <c r="AV212" s="161"/>
      <c r="AW212" s="160"/>
      <c r="AX212" s="161"/>
      <c r="AY212" s="161"/>
      <c r="AZ212" s="161"/>
      <c r="BA212" s="161"/>
      <c r="BB212" s="161"/>
      <c r="BC212" s="161"/>
      <c r="BD212" s="161"/>
      <c r="BE212" s="161"/>
      <c r="BF212" s="160" t="str">
        <f t="shared" si="236"/>
        <v/>
      </c>
      <c r="BG212" s="160"/>
      <c r="BH212" s="160"/>
      <c r="BI212" s="160"/>
      <c r="BJ212" s="160"/>
      <c r="BK212" s="160"/>
      <c r="BL212" s="162">
        <f t="shared" si="187"/>
        <v>1</v>
      </c>
      <c r="BM212" s="257"/>
      <c r="BN212" s="163"/>
      <c r="BO212" s="211" t="str">
        <f t="shared" si="188"/>
        <v>כלים גוף לעבודה כוריאוגרפיתמרכזי מחול</v>
      </c>
      <c r="BP212" s="125">
        <f t="shared" si="189"/>
        <v>1</v>
      </c>
      <c r="BQ212" s="164">
        <v>0</v>
      </c>
      <c r="BR212" s="164">
        <v>1</v>
      </c>
      <c r="BS212" s="149">
        <f t="shared" si="190"/>
        <v>1</v>
      </c>
      <c r="BT212" s="149">
        <f t="shared" si="191"/>
        <v>1</v>
      </c>
      <c r="BU212" s="149">
        <f t="shared" si="192"/>
        <v>1</v>
      </c>
      <c r="BV212" s="149">
        <f t="shared" si="193"/>
        <v>1</v>
      </c>
      <c r="BW212" s="149">
        <f t="shared" si="194"/>
        <v>1</v>
      </c>
      <c r="BX212" s="149">
        <f t="shared" si="195"/>
        <v>1</v>
      </c>
      <c r="BY212" s="149">
        <f t="shared" si="196"/>
        <v>1</v>
      </c>
      <c r="BZ212" s="149">
        <f t="shared" si="197"/>
        <v>1</v>
      </c>
      <c r="CA212" s="149">
        <f t="shared" si="198"/>
        <v>1</v>
      </c>
      <c r="CB212" s="149">
        <f t="shared" si="199"/>
        <v>1</v>
      </c>
      <c r="CC212" s="149">
        <f t="shared" si="200"/>
        <v>1</v>
      </c>
      <c r="CD212" s="149">
        <f t="shared" si="201"/>
        <v>1</v>
      </c>
      <c r="CE212" s="149">
        <f t="shared" si="202"/>
        <v>1</v>
      </c>
      <c r="CF212" s="149">
        <f t="shared" si="203"/>
        <v>1</v>
      </c>
      <c r="CG212" s="149">
        <f t="shared" si="204"/>
        <v>1</v>
      </c>
      <c r="CH212" s="149">
        <f t="shared" si="205"/>
        <v>1</v>
      </c>
      <c r="CI212" s="149">
        <f t="shared" si="206"/>
        <v>1</v>
      </c>
      <c r="CJ212" s="149">
        <f t="shared" si="207"/>
        <v>1</v>
      </c>
      <c r="CK212" s="149">
        <f t="shared" si="208"/>
        <v>1</v>
      </c>
      <c r="CL212" s="149">
        <f t="shared" si="209"/>
        <v>1</v>
      </c>
      <c r="CM212" s="149">
        <f t="shared" si="210"/>
        <v>1</v>
      </c>
      <c r="CN212" s="149">
        <f t="shared" si="211"/>
        <v>1</v>
      </c>
      <c r="CO212" s="149">
        <f t="shared" si="212"/>
        <v>1</v>
      </c>
      <c r="CP212" s="149">
        <f t="shared" si="213"/>
        <v>1</v>
      </c>
      <c r="CQ212" s="149">
        <f t="shared" si="214"/>
        <v>1</v>
      </c>
      <c r="CR212" s="149">
        <f t="shared" si="215"/>
        <v>1</v>
      </c>
      <c r="CS212" s="149">
        <f t="shared" si="216"/>
        <v>1</v>
      </c>
      <c r="CT212" s="149">
        <f t="shared" si="217"/>
        <v>1</v>
      </c>
      <c r="CU212" s="149">
        <f t="shared" si="218"/>
        <v>1</v>
      </c>
      <c r="CV212" s="149">
        <f t="shared" si="219"/>
        <v>1</v>
      </c>
      <c r="CW212" s="149">
        <f t="shared" si="220"/>
        <v>1</v>
      </c>
      <c r="CX212" s="149">
        <f t="shared" si="221"/>
        <v>1</v>
      </c>
      <c r="CY212" s="149">
        <f t="shared" si="222"/>
        <v>1</v>
      </c>
      <c r="CZ212" s="149">
        <f t="shared" si="223"/>
        <v>1</v>
      </c>
      <c r="DA212" s="149">
        <f t="shared" si="224"/>
        <v>1</v>
      </c>
      <c r="DB212" s="149">
        <f t="shared" si="225"/>
        <v>1</v>
      </c>
      <c r="DG212" s="125">
        <f t="shared" si="186"/>
        <v>1</v>
      </c>
      <c r="DH212" s="125">
        <f t="shared" si="240"/>
        <v>2</v>
      </c>
      <c r="DI212" s="125">
        <f t="shared" si="240"/>
        <v>3</v>
      </c>
      <c r="DJ212" s="125">
        <f t="shared" si="240"/>
        <v>4</v>
      </c>
      <c r="DK212" s="125">
        <f t="shared" si="240"/>
        <v>5</v>
      </c>
      <c r="DL212" s="125">
        <f t="shared" si="240"/>
        <v>6</v>
      </c>
      <c r="DM212" s="125">
        <f t="shared" si="240"/>
        <v>7</v>
      </c>
      <c r="DN212" s="125">
        <f t="shared" si="240"/>
        <v>8</v>
      </c>
      <c r="DO212" s="125">
        <f t="shared" si="240"/>
        <v>9</v>
      </c>
      <c r="DP212" s="125">
        <f t="shared" si="240"/>
        <v>10</v>
      </c>
      <c r="DS212" s="137"/>
      <c r="DT212" s="137"/>
      <c r="DU212" s="137"/>
      <c r="DV212" s="137" t="b">
        <f t="shared" si="226"/>
        <v>0</v>
      </c>
      <c r="DW212" s="137" t="b">
        <f t="shared" si="227"/>
        <v>0</v>
      </c>
      <c r="DX212" s="137" t="b">
        <f t="shared" si="228"/>
        <v>1</v>
      </c>
      <c r="EB212" s="131">
        <f t="shared" si="237"/>
        <v>1</v>
      </c>
      <c r="EC212" s="137" t="b">
        <f t="shared" si="229"/>
        <v>0</v>
      </c>
      <c r="ED212" s="137" t="b">
        <f t="shared" si="230"/>
        <v>0</v>
      </c>
      <c r="EE212" s="137" t="b">
        <f t="shared" si="231"/>
        <v>1</v>
      </c>
      <c r="EF212" s="137"/>
      <c r="EG212" s="137"/>
      <c r="EH212" s="137"/>
      <c r="EI212" s="137"/>
      <c r="EJ212" s="137">
        <f t="shared" si="238"/>
        <v>1</v>
      </c>
      <c r="EK212" s="125">
        <f t="shared" si="232"/>
        <v>0</v>
      </c>
      <c r="EL212" s="125">
        <f t="shared" si="233"/>
        <v>0</v>
      </c>
    </row>
    <row r="213" spans="2:142" ht="15.75" x14ac:dyDescent="0.25">
      <c r="B213" s="160">
        <f t="shared" si="234"/>
        <v>183</v>
      </c>
      <c r="C213" s="283">
        <v>1001348951</v>
      </c>
      <c r="D213" s="283">
        <v>1001290208</v>
      </c>
      <c r="E213" s="281">
        <v>40298756</v>
      </c>
      <c r="F213" s="118">
        <f>IF(OR(J213="",H213=""),"",VLOOKUP(J213,'הזנה לסיווג רשויות'!$B$2:$D$301,2,0))</f>
        <v>20000182</v>
      </c>
      <c r="G213" s="118" t="str">
        <f>IF(OR(J213="",H213=""),"",VLOOKUP(J213,'הזנה לסיווג רשויות'!$B$2:$D$301,3,0))</f>
        <v>חיפה</v>
      </c>
      <c r="H213" s="281" t="s">
        <v>678</v>
      </c>
      <c r="I213" s="201" t="s">
        <v>395</v>
      </c>
      <c r="J213" s="205">
        <v>4000</v>
      </c>
      <c r="K213" s="161">
        <v>0</v>
      </c>
      <c r="L213" s="161">
        <v>1</v>
      </c>
      <c r="M213" s="161">
        <v>0</v>
      </c>
      <c r="N213" s="161">
        <v>1</v>
      </c>
      <c r="O213" s="161">
        <v>1</v>
      </c>
      <c r="P213" s="161">
        <v>1</v>
      </c>
      <c r="Q213" s="161">
        <v>1</v>
      </c>
      <c r="R213" s="201">
        <v>131009</v>
      </c>
      <c r="S213" s="201">
        <v>131009</v>
      </c>
      <c r="T213" s="160">
        <f>IF(G213="","",IFERROR(IF(S213/R213&gt;'פרמטרים לקריטריונים'!$C$20,1,0),0))</f>
        <v>1</v>
      </c>
      <c r="U213" s="201">
        <v>131009</v>
      </c>
      <c r="V213" s="160">
        <f>IF(G213="","",IFERROR(IF(U213/R213&gt;'פרמטרים לקריטריונים'!$C$21,1,IF(AND(I213=$BW$5,U213/R213&gt;'פרמטרים לקריטריונים'!$C$22),1,0)),0))</f>
        <v>1</v>
      </c>
      <c r="W213" s="161">
        <v>1</v>
      </c>
      <c r="X213" s="161">
        <v>1</v>
      </c>
      <c r="Y213" s="201">
        <v>350000</v>
      </c>
      <c r="Z213" s="201">
        <v>90000</v>
      </c>
      <c r="AA213" s="161">
        <f t="shared" si="235"/>
        <v>1</v>
      </c>
      <c r="AB213" s="161"/>
      <c r="AC213" s="161"/>
      <c r="AD213" s="161"/>
      <c r="AE213" s="161"/>
      <c r="AF213" s="161"/>
      <c r="AG213" s="161"/>
      <c r="AH213" s="161"/>
      <c r="AI213" s="161"/>
      <c r="AJ213" s="161"/>
      <c r="AK213" s="161"/>
      <c r="AL213" s="161"/>
      <c r="AM213" s="161"/>
      <c r="AN213" s="161"/>
      <c r="AO213" s="161"/>
      <c r="AP213" s="161"/>
      <c r="AQ213" s="161"/>
      <c r="AR213" s="161"/>
      <c r="AS213" s="161"/>
      <c r="AT213" s="161"/>
      <c r="AU213" s="161"/>
      <c r="AV213" s="161"/>
      <c r="AW213" s="160"/>
      <c r="AX213" s="161"/>
      <c r="AY213" s="161"/>
      <c r="AZ213" s="161"/>
      <c r="BA213" s="161"/>
      <c r="BB213" s="161"/>
      <c r="BC213" s="161"/>
      <c r="BD213" s="161"/>
      <c r="BE213" s="161"/>
      <c r="BF213" s="160" t="str">
        <f t="shared" si="236"/>
        <v/>
      </c>
      <c r="BG213" s="160"/>
      <c r="BH213" s="160"/>
      <c r="BI213" s="160"/>
      <c r="BJ213" s="160"/>
      <c r="BK213" s="160"/>
      <c r="BL213" s="162">
        <f t="shared" si="187"/>
        <v>1</v>
      </c>
      <c r="BM213" s="257"/>
      <c r="BN213" s="163"/>
      <c r="BO213" s="211" t="str">
        <f t="shared" si="188"/>
        <v>סרד לחינוך ספרותיתרבות ערבית</v>
      </c>
      <c r="BP213" s="125">
        <f t="shared" si="189"/>
        <v>1</v>
      </c>
      <c r="BQ213" s="164">
        <v>0</v>
      </c>
      <c r="BR213" s="164">
        <v>1</v>
      </c>
      <c r="BS213" s="149">
        <f t="shared" si="190"/>
        <v>1</v>
      </c>
      <c r="BT213" s="149">
        <f t="shared" si="191"/>
        <v>1</v>
      </c>
      <c r="BU213" s="149">
        <f t="shared" si="192"/>
        <v>1</v>
      </c>
      <c r="BV213" s="149">
        <f t="shared" si="193"/>
        <v>1</v>
      </c>
      <c r="BW213" s="149">
        <f t="shared" si="194"/>
        <v>1</v>
      </c>
      <c r="BX213" s="149">
        <f t="shared" si="195"/>
        <v>1</v>
      </c>
      <c r="BY213" s="149">
        <f t="shared" si="196"/>
        <v>1</v>
      </c>
      <c r="BZ213" s="149">
        <f t="shared" si="197"/>
        <v>1</v>
      </c>
      <c r="CA213" s="149">
        <f t="shared" si="198"/>
        <v>1</v>
      </c>
      <c r="CB213" s="149">
        <f t="shared" si="199"/>
        <v>1</v>
      </c>
      <c r="CC213" s="149">
        <f t="shared" si="200"/>
        <v>1</v>
      </c>
      <c r="CD213" s="149">
        <f t="shared" si="201"/>
        <v>1</v>
      </c>
      <c r="CE213" s="149">
        <f t="shared" si="202"/>
        <v>1</v>
      </c>
      <c r="CF213" s="149">
        <f t="shared" si="203"/>
        <v>1</v>
      </c>
      <c r="CG213" s="149">
        <f t="shared" si="204"/>
        <v>1</v>
      </c>
      <c r="CH213" s="149">
        <f t="shared" si="205"/>
        <v>1</v>
      </c>
      <c r="CI213" s="149">
        <f t="shared" si="206"/>
        <v>1</v>
      </c>
      <c r="CJ213" s="149">
        <f t="shared" si="207"/>
        <v>1</v>
      </c>
      <c r="CK213" s="149">
        <f t="shared" si="208"/>
        <v>1</v>
      </c>
      <c r="CL213" s="149">
        <f t="shared" si="209"/>
        <v>1</v>
      </c>
      <c r="CM213" s="149">
        <f t="shared" si="210"/>
        <v>1</v>
      </c>
      <c r="CN213" s="149">
        <f t="shared" si="211"/>
        <v>1</v>
      </c>
      <c r="CO213" s="149">
        <f t="shared" si="212"/>
        <v>1</v>
      </c>
      <c r="CP213" s="149">
        <f t="shared" si="213"/>
        <v>1</v>
      </c>
      <c r="CQ213" s="149">
        <f t="shared" si="214"/>
        <v>1</v>
      </c>
      <c r="CR213" s="149">
        <f t="shared" si="215"/>
        <v>1</v>
      </c>
      <c r="CS213" s="149">
        <f t="shared" si="216"/>
        <v>1</v>
      </c>
      <c r="CT213" s="149">
        <f t="shared" si="217"/>
        <v>1</v>
      </c>
      <c r="CU213" s="149">
        <f t="shared" si="218"/>
        <v>1</v>
      </c>
      <c r="CV213" s="149">
        <f t="shared" si="219"/>
        <v>1</v>
      </c>
      <c r="CW213" s="149">
        <f t="shared" si="220"/>
        <v>1</v>
      </c>
      <c r="CX213" s="149">
        <f t="shared" si="221"/>
        <v>1</v>
      </c>
      <c r="CY213" s="149">
        <f t="shared" si="222"/>
        <v>1</v>
      </c>
      <c r="CZ213" s="149">
        <f t="shared" si="223"/>
        <v>1</v>
      </c>
      <c r="DA213" s="149">
        <f t="shared" si="224"/>
        <v>1</v>
      </c>
      <c r="DB213" s="149">
        <f t="shared" si="225"/>
        <v>1</v>
      </c>
      <c r="DG213" s="125">
        <f t="shared" si="186"/>
        <v>1</v>
      </c>
      <c r="DH213" s="125">
        <f t="shared" si="240"/>
        <v>2</v>
      </c>
      <c r="DI213" s="125">
        <f t="shared" si="240"/>
        <v>3</v>
      </c>
      <c r="DJ213" s="125">
        <f t="shared" si="240"/>
        <v>4</v>
      </c>
      <c r="DK213" s="125">
        <f t="shared" si="240"/>
        <v>5</v>
      </c>
      <c r="DL213" s="125">
        <f t="shared" si="240"/>
        <v>6</v>
      </c>
      <c r="DM213" s="125">
        <f t="shared" si="240"/>
        <v>7</v>
      </c>
      <c r="DN213" s="125">
        <f t="shared" si="240"/>
        <v>8</v>
      </c>
      <c r="DO213" s="125">
        <f t="shared" si="240"/>
        <v>9</v>
      </c>
      <c r="DP213" s="125">
        <f t="shared" si="240"/>
        <v>10</v>
      </c>
      <c r="DS213" s="137"/>
      <c r="DT213" s="137"/>
      <c r="DU213" s="137"/>
      <c r="DV213" s="137" t="b">
        <f t="shared" si="226"/>
        <v>0</v>
      </c>
      <c r="DW213" s="137" t="b">
        <f t="shared" si="227"/>
        <v>0</v>
      </c>
      <c r="DX213" s="137" t="b">
        <f t="shared" si="228"/>
        <v>1</v>
      </c>
      <c r="EB213" s="131">
        <f t="shared" si="237"/>
        <v>1</v>
      </c>
      <c r="EC213" s="137" t="b">
        <f t="shared" si="229"/>
        <v>0</v>
      </c>
      <c r="ED213" s="137" t="b">
        <f t="shared" si="230"/>
        <v>0</v>
      </c>
      <c r="EE213" s="137" t="b">
        <f t="shared" si="231"/>
        <v>1</v>
      </c>
      <c r="EF213" s="137"/>
      <c r="EG213" s="137"/>
      <c r="EH213" s="137"/>
      <c r="EI213" s="137"/>
      <c r="EJ213" s="137">
        <f t="shared" si="238"/>
        <v>1</v>
      </c>
      <c r="EK213" s="125">
        <f t="shared" si="232"/>
        <v>0</v>
      </c>
      <c r="EL213" s="125">
        <f t="shared" si="233"/>
        <v>0</v>
      </c>
    </row>
    <row r="214" spans="2:142" ht="15.75" x14ac:dyDescent="0.25">
      <c r="B214" s="160">
        <f t="shared" si="234"/>
        <v>184</v>
      </c>
      <c r="C214" s="205">
        <v>1001350272</v>
      </c>
      <c r="D214" s="205">
        <v>1001288861</v>
      </c>
      <c r="E214" s="281">
        <v>40000218</v>
      </c>
      <c r="F214" s="118">
        <f>IF(OR(J214="",H214=""),"",VLOOKUP(J214,'הזנה לסיווג רשויות'!$B$2:$D$301,2,0))</f>
        <v>20000061</v>
      </c>
      <c r="G214" s="118" t="str">
        <f>IF(OR(J214="",H214=""),"",VLOOKUP(J214,'הזנה לסיווג רשויות'!$B$2:$D$301,3,0))</f>
        <v>אעבלין</v>
      </c>
      <c r="H214" s="281" t="s">
        <v>679</v>
      </c>
      <c r="I214" s="201" t="s">
        <v>395</v>
      </c>
      <c r="J214" s="205">
        <v>529</v>
      </c>
      <c r="K214" s="161">
        <v>0</v>
      </c>
      <c r="L214" s="161">
        <v>1</v>
      </c>
      <c r="M214" s="161">
        <v>0</v>
      </c>
      <c r="N214" s="161">
        <v>0</v>
      </c>
      <c r="O214" s="161">
        <v>1</v>
      </c>
      <c r="P214" s="161">
        <v>1</v>
      </c>
      <c r="Q214" s="161">
        <v>1</v>
      </c>
      <c r="R214" s="201">
        <v>1135710</v>
      </c>
      <c r="S214" s="201">
        <v>536382</v>
      </c>
      <c r="T214" s="160">
        <f>IF(G214="","",IFERROR(IF(S214/R214&gt;'פרמטרים לקריטריונים'!$C$20,1,0),0))</f>
        <v>1</v>
      </c>
      <c r="U214" s="201">
        <v>310000</v>
      </c>
      <c r="V214" s="160">
        <f>IF(G214="","",IFERROR(IF(U214/R214&gt;'פרמטרים לקריטריונים'!$C$21,1,IF(AND(I214=$BW$5,U214/R214&gt;'פרמטרים לקריטריונים'!$C$22),1,0)),0))</f>
        <v>1</v>
      </c>
      <c r="W214" s="161">
        <v>1</v>
      </c>
      <c r="X214" s="161">
        <v>1</v>
      </c>
      <c r="Y214" s="201">
        <v>500000</v>
      </c>
      <c r="Z214" s="201">
        <v>350000</v>
      </c>
      <c r="AA214" s="161">
        <f t="shared" si="235"/>
        <v>1</v>
      </c>
      <c r="AB214" s="161"/>
      <c r="AC214" s="161"/>
      <c r="AD214" s="161"/>
      <c r="AE214" s="161"/>
      <c r="AF214" s="161"/>
      <c r="AG214" s="161"/>
      <c r="AH214" s="161"/>
      <c r="AI214" s="161"/>
      <c r="AJ214" s="161"/>
      <c r="AK214" s="161"/>
      <c r="AL214" s="161"/>
      <c r="AM214" s="161"/>
      <c r="AN214" s="161"/>
      <c r="AO214" s="161"/>
      <c r="AP214" s="161"/>
      <c r="AQ214" s="161"/>
      <c r="AR214" s="161"/>
      <c r="AS214" s="161"/>
      <c r="AT214" s="161"/>
      <c r="AU214" s="161"/>
      <c r="AV214" s="161"/>
      <c r="AW214" s="160"/>
      <c r="AX214" s="161"/>
      <c r="AY214" s="161"/>
      <c r="AZ214" s="161"/>
      <c r="BA214" s="161"/>
      <c r="BB214" s="161"/>
      <c r="BC214" s="161"/>
      <c r="BD214" s="161"/>
      <c r="BE214" s="161"/>
      <c r="BF214" s="160" t="str">
        <f t="shared" si="236"/>
        <v/>
      </c>
      <c r="BG214" s="160"/>
      <c r="BH214" s="160"/>
      <c r="BI214" s="160"/>
      <c r="BJ214" s="160"/>
      <c r="BK214" s="160"/>
      <c r="BL214" s="162">
        <f t="shared" si="187"/>
        <v>1</v>
      </c>
      <c r="BM214" s="257"/>
      <c r="BN214" s="163"/>
      <c r="BO214" s="211" t="str">
        <f t="shared" si="188"/>
        <v>אלכרואןתרבות ערבית</v>
      </c>
      <c r="BP214" s="125">
        <f t="shared" si="189"/>
        <v>1</v>
      </c>
      <c r="BQ214" s="164">
        <v>0</v>
      </c>
      <c r="BR214" s="164">
        <v>1</v>
      </c>
      <c r="BS214" s="149">
        <f t="shared" si="190"/>
        <v>1</v>
      </c>
      <c r="BT214" s="149">
        <f t="shared" si="191"/>
        <v>1</v>
      </c>
      <c r="BU214" s="149">
        <f t="shared" si="192"/>
        <v>1</v>
      </c>
      <c r="BV214" s="149">
        <f t="shared" si="193"/>
        <v>1</v>
      </c>
      <c r="BW214" s="149">
        <f t="shared" si="194"/>
        <v>1</v>
      </c>
      <c r="BX214" s="149">
        <f t="shared" si="195"/>
        <v>1</v>
      </c>
      <c r="BY214" s="149">
        <f t="shared" si="196"/>
        <v>1</v>
      </c>
      <c r="BZ214" s="149">
        <f t="shared" si="197"/>
        <v>1</v>
      </c>
      <c r="CA214" s="149">
        <f t="shared" si="198"/>
        <v>1</v>
      </c>
      <c r="CB214" s="149">
        <f t="shared" si="199"/>
        <v>1</v>
      </c>
      <c r="CC214" s="149">
        <f t="shared" si="200"/>
        <v>1</v>
      </c>
      <c r="CD214" s="149">
        <f t="shared" si="201"/>
        <v>1</v>
      </c>
      <c r="CE214" s="149">
        <f t="shared" si="202"/>
        <v>1</v>
      </c>
      <c r="CF214" s="149">
        <f t="shared" si="203"/>
        <v>1</v>
      </c>
      <c r="CG214" s="149">
        <f t="shared" si="204"/>
        <v>1</v>
      </c>
      <c r="CH214" s="149">
        <f t="shared" si="205"/>
        <v>1</v>
      </c>
      <c r="CI214" s="149">
        <f t="shared" si="206"/>
        <v>1</v>
      </c>
      <c r="CJ214" s="149">
        <f t="shared" si="207"/>
        <v>1</v>
      </c>
      <c r="CK214" s="149">
        <f t="shared" si="208"/>
        <v>1</v>
      </c>
      <c r="CL214" s="149">
        <f t="shared" si="209"/>
        <v>1</v>
      </c>
      <c r="CM214" s="149">
        <f t="shared" si="210"/>
        <v>1</v>
      </c>
      <c r="CN214" s="149">
        <f t="shared" si="211"/>
        <v>1</v>
      </c>
      <c r="CO214" s="149">
        <f t="shared" si="212"/>
        <v>1</v>
      </c>
      <c r="CP214" s="149">
        <f t="shared" si="213"/>
        <v>1</v>
      </c>
      <c r="CQ214" s="149">
        <f t="shared" si="214"/>
        <v>1</v>
      </c>
      <c r="CR214" s="149">
        <f t="shared" si="215"/>
        <v>1</v>
      </c>
      <c r="CS214" s="149">
        <f t="shared" si="216"/>
        <v>1</v>
      </c>
      <c r="CT214" s="149">
        <f t="shared" si="217"/>
        <v>1</v>
      </c>
      <c r="CU214" s="149">
        <f t="shared" si="218"/>
        <v>1</v>
      </c>
      <c r="CV214" s="149">
        <f t="shared" si="219"/>
        <v>1</v>
      </c>
      <c r="CW214" s="149">
        <f t="shared" si="220"/>
        <v>1</v>
      </c>
      <c r="CX214" s="149">
        <f t="shared" si="221"/>
        <v>1</v>
      </c>
      <c r="CY214" s="149">
        <f t="shared" si="222"/>
        <v>1</v>
      </c>
      <c r="CZ214" s="149">
        <f t="shared" si="223"/>
        <v>1</v>
      </c>
      <c r="DA214" s="149">
        <f t="shared" si="224"/>
        <v>1</v>
      </c>
      <c r="DB214" s="149">
        <f t="shared" si="225"/>
        <v>1</v>
      </c>
      <c r="DG214" s="125">
        <f t="shared" si="186"/>
        <v>1</v>
      </c>
      <c r="DH214" s="125">
        <f t="shared" si="240"/>
        <v>2</v>
      </c>
      <c r="DI214" s="125">
        <f t="shared" si="240"/>
        <v>3</v>
      </c>
      <c r="DJ214" s="125">
        <f t="shared" si="240"/>
        <v>4</v>
      </c>
      <c r="DK214" s="125">
        <f t="shared" si="240"/>
        <v>5</v>
      </c>
      <c r="DL214" s="125">
        <f t="shared" si="240"/>
        <v>6</v>
      </c>
      <c r="DM214" s="125">
        <f t="shared" si="240"/>
        <v>7</v>
      </c>
      <c r="DN214" s="125">
        <f t="shared" si="240"/>
        <v>8</v>
      </c>
      <c r="DO214" s="125">
        <f t="shared" si="240"/>
        <v>9</v>
      </c>
      <c r="DP214" s="125">
        <f t="shared" si="240"/>
        <v>10</v>
      </c>
      <c r="DS214" s="137"/>
      <c r="DT214" s="137"/>
      <c r="DU214" s="137"/>
      <c r="DV214" s="137" t="b">
        <f t="shared" si="226"/>
        <v>0</v>
      </c>
      <c r="DW214" s="137" t="b">
        <f t="shared" si="227"/>
        <v>0</v>
      </c>
      <c r="DX214" s="137" t="b">
        <f t="shared" si="228"/>
        <v>1</v>
      </c>
      <c r="EB214" s="131">
        <f t="shared" si="237"/>
        <v>1</v>
      </c>
      <c r="EC214" s="137" t="b">
        <f t="shared" si="229"/>
        <v>0</v>
      </c>
      <c r="ED214" s="137" t="b">
        <f t="shared" si="230"/>
        <v>0</v>
      </c>
      <c r="EE214" s="137" t="b">
        <f t="shared" si="231"/>
        <v>1</v>
      </c>
      <c r="EF214" s="137"/>
      <c r="EG214" s="137"/>
      <c r="EH214" s="137"/>
      <c r="EI214" s="137"/>
      <c r="EJ214" s="137">
        <f t="shared" si="238"/>
        <v>1</v>
      </c>
      <c r="EK214" s="125">
        <f t="shared" si="232"/>
        <v>0</v>
      </c>
      <c r="EL214" s="125">
        <f t="shared" si="233"/>
        <v>0</v>
      </c>
    </row>
    <row r="215" spans="2:142" ht="15.75" x14ac:dyDescent="0.25">
      <c r="B215" s="160">
        <f t="shared" si="234"/>
        <v>185</v>
      </c>
      <c r="C215" s="283">
        <v>1001350325</v>
      </c>
      <c r="D215" s="283">
        <v>1001271352</v>
      </c>
      <c r="E215" s="281">
        <v>40000402</v>
      </c>
      <c r="F215" s="118">
        <f>IF(OR(J215="",H215=""),"",VLOOKUP(J215,'הזנה לסיווג רשויות'!$B$2:$D$301,2,0))</f>
        <v>20000159</v>
      </c>
      <c r="G215" s="118" t="str">
        <f>IF(OR(J215="",H215=""),"",VLOOKUP(J215,'הזנה לסיווג רשויות'!$B$2:$D$301,3,0))</f>
        <v>ירושלים</v>
      </c>
      <c r="H215" s="281" t="s">
        <v>680</v>
      </c>
      <c r="I215" s="201" t="s">
        <v>373</v>
      </c>
      <c r="J215" s="205">
        <v>3000</v>
      </c>
      <c r="K215" s="161">
        <v>0</v>
      </c>
      <c r="L215" s="161">
        <v>1</v>
      </c>
      <c r="M215" s="161">
        <v>0</v>
      </c>
      <c r="N215" s="161">
        <v>1</v>
      </c>
      <c r="O215" s="161">
        <v>1</v>
      </c>
      <c r="P215" s="161">
        <v>1</v>
      </c>
      <c r="Q215" s="161">
        <v>1</v>
      </c>
      <c r="R215" s="201">
        <v>17766188</v>
      </c>
      <c r="S215" s="201">
        <v>5499968</v>
      </c>
      <c r="T215" s="160">
        <f>IF(G215="","",IFERROR(IF(S215/R215&gt;'פרמטרים לקריטריונים'!$C$20,1,0),0))</f>
        <v>1</v>
      </c>
      <c r="U215" s="201">
        <v>3826479</v>
      </c>
      <c r="V215" s="160">
        <f>IF(G215="","",IFERROR(IF(U215/R215&gt;'פרמטרים לקריטריונים'!$C$21,1,IF(AND(I215=$BW$5,U215/R215&gt;'פרמטרים לקריטריונים'!$C$22),1,0)),0))</f>
        <v>1</v>
      </c>
      <c r="W215" s="161">
        <v>1</v>
      </c>
      <c r="X215" s="161">
        <v>1</v>
      </c>
      <c r="Y215" s="201">
        <v>1500000</v>
      </c>
      <c r="Z215" s="201">
        <v>1</v>
      </c>
      <c r="AA215" s="161">
        <f t="shared" si="235"/>
        <v>1</v>
      </c>
      <c r="AB215" s="161"/>
      <c r="AC215" s="161"/>
      <c r="AD215" s="161"/>
      <c r="AE215" s="161"/>
      <c r="AF215" s="161"/>
      <c r="AG215" s="161"/>
      <c r="AH215" s="161"/>
      <c r="AI215" s="161"/>
      <c r="AJ215" s="161"/>
      <c r="AK215" s="161"/>
      <c r="AL215" s="161"/>
      <c r="AM215" s="161"/>
      <c r="AN215" s="161"/>
      <c r="AO215" s="161"/>
      <c r="AP215" s="161"/>
      <c r="AQ215" s="161"/>
      <c r="AR215" s="161"/>
      <c r="AS215" s="161"/>
      <c r="AT215" s="161"/>
      <c r="AU215" s="161"/>
      <c r="AV215" s="161"/>
      <c r="AW215" s="160"/>
      <c r="AX215" s="161"/>
      <c r="AY215" s="161"/>
      <c r="AZ215" s="161"/>
      <c r="BA215" s="161"/>
      <c r="BB215" s="161"/>
      <c r="BC215" s="161"/>
      <c r="BD215" s="161"/>
      <c r="BE215" s="161"/>
      <c r="BF215" s="160" t="str">
        <f t="shared" si="236"/>
        <v/>
      </c>
      <c r="BG215" s="160"/>
      <c r="BH215" s="160"/>
      <c r="BI215" s="160"/>
      <c r="BJ215" s="160"/>
      <c r="BK215" s="160"/>
      <c r="BL215" s="162">
        <f t="shared" si="187"/>
        <v>1</v>
      </c>
      <c r="BM215" s="257"/>
      <c r="BN215" s="163"/>
      <c r="BO215" s="211" t="str">
        <f t="shared" si="188"/>
        <v>מרכז החאןתיאטרון</v>
      </c>
      <c r="BP215" s="125">
        <f t="shared" si="189"/>
        <v>1</v>
      </c>
      <c r="BQ215" s="164">
        <v>0</v>
      </c>
      <c r="BR215" s="164">
        <v>1</v>
      </c>
      <c r="BS215" s="149">
        <f t="shared" si="190"/>
        <v>1</v>
      </c>
      <c r="BT215" s="149">
        <f t="shared" si="191"/>
        <v>1</v>
      </c>
      <c r="BU215" s="149">
        <f t="shared" si="192"/>
        <v>1</v>
      </c>
      <c r="BV215" s="149">
        <f t="shared" si="193"/>
        <v>1</v>
      </c>
      <c r="BW215" s="149">
        <f t="shared" si="194"/>
        <v>1</v>
      </c>
      <c r="BX215" s="149">
        <f t="shared" si="195"/>
        <v>1</v>
      </c>
      <c r="BY215" s="149">
        <f t="shared" si="196"/>
        <v>1</v>
      </c>
      <c r="BZ215" s="149">
        <f t="shared" si="197"/>
        <v>1</v>
      </c>
      <c r="CA215" s="149">
        <f t="shared" si="198"/>
        <v>1</v>
      </c>
      <c r="CB215" s="149">
        <f t="shared" si="199"/>
        <v>1</v>
      </c>
      <c r="CC215" s="149">
        <f t="shared" si="200"/>
        <v>1</v>
      </c>
      <c r="CD215" s="149">
        <f t="shared" si="201"/>
        <v>1</v>
      </c>
      <c r="CE215" s="149">
        <f t="shared" si="202"/>
        <v>1</v>
      </c>
      <c r="CF215" s="149">
        <f t="shared" si="203"/>
        <v>1</v>
      </c>
      <c r="CG215" s="149">
        <f t="shared" si="204"/>
        <v>1</v>
      </c>
      <c r="CH215" s="149">
        <f t="shared" si="205"/>
        <v>1</v>
      </c>
      <c r="CI215" s="149">
        <f t="shared" si="206"/>
        <v>1</v>
      </c>
      <c r="CJ215" s="149">
        <f t="shared" si="207"/>
        <v>1</v>
      </c>
      <c r="CK215" s="149">
        <f t="shared" si="208"/>
        <v>1</v>
      </c>
      <c r="CL215" s="149">
        <f t="shared" si="209"/>
        <v>1</v>
      </c>
      <c r="CM215" s="149">
        <f t="shared" si="210"/>
        <v>1</v>
      </c>
      <c r="CN215" s="149">
        <f t="shared" si="211"/>
        <v>1</v>
      </c>
      <c r="CO215" s="149">
        <f t="shared" si="212"/>
        <v>1</v>
      </c>
      <c r="CP215" s="149">
        <f t="shared" si="213"/>
        <v>1</v>
      </c>
      <c r="CQ215" s="149">
        <f t="shared" si="214"/>
        <v>1</v>
      </c>
      <c r="CR215" s="149">
        <f t="shared" si="215"/>
        <v>1</v>
      </c>
      <c r="CS215" s="149">
        <f t="shared" si="216"/>
        <v>1</v>
      </c>
      <c r="CT215" s="149">
        <f t="shared" si="217"/>
        <v>1</v>
      </c>
      <c r="CU215" s="149">
        <f t="shared" si="218"/>
        <v>1</v>
      </c>
      <c r="CV215" s="149">
        <f t="shared" si="219"/>
        <v>1</v>
      </c>
      <c r="CW215" s="149">
        <f t="shared" si="220"/>
        <v>1</v>
      </c>
      <c r="CX215" s="149">
        <f t="shared" si="221"/>
        <v>1</v>
      </c>
      <c r="CY215" s="149">
        <f t="shared" si="222"/>
        <v>1</v>
      </c>
      <c r="CZ215" s="149">
        <f t="shared" si="223"/>
        <v>1</v>
      </c>
      <c r="DA215" s="149">
        <f t="shared" si="224"/>
        <v>1</v>
      </c>
      <c r="DB215" s="149">
        <f t="shared" si="225"/>
        <v>1</v>
      </c>
      <c r="DG215" s="125">
        <f t="shared" si="186"/>
        <v>1</v>
      </c>
      <c r="DH215" s="125">
        <f t="shared" si="240"/>
        <v>2</v>
      </c>
      <c r="DI215" s="125">
        <f t="shared" si="240"/>
        <v>3</v>
      </c>
      <c r="DJ215" s="125">
        <f t="shared" si="240"/>
        <v>4</v>
      </c>
      <c r="DK215" s="125">
        <f t="shared" si="240"/>
        <v>5</v>
      </c>
      <c r="DL215" s="125">
        <f t="shared" si="240"/>
        <v>6</v>
      </c>
      <c r="DM215" s="125">
        <f t="shared" si="240"/>
        <v>7</v>
      </c>
      <c r="DN215" s="125">
        <f t="shared" si="240"/>
        <v>8</v>
      </c>
      <c r="DO215" s="125">
        <f t="shared" si="240"/>
        <v>9</v>
      </c>
      <c r="DP215" s="125">
        <f t="shared" si="240"/>
        <v>10</v>
      </c>
      <c r="DS215" s="137"/>
      <c r="DT215" s="137"/>
      <c r="DU215" s="137"/>
      <c r="DV215" s="137" t="b">
        <f t="shared" si="226"/>
        <v>0</v>
      </c>
      <c r="DW215" s="137" t="b">
        <f t="shared" si="227"/>
        <v>0</v>
      </c>
      <c r="DX215" s="137" t="b">
        <f t="shared" si="228"/>
        <v>1</v>
      </c>
      <c r="EB215" s="131">
        <f t="shared" si="237"/>
        <v>1</v>
      </c>
      <c r="EC215" s="137" t="b">
        <f t="shared" si="229"/>
        <v>0</v>
      </c>
      <c r="ED215" s="137" t="b">
        <f t="shared" si="230"/>
        <v>0</v>
      </c>
      <c r="EE215" s="137" t="b">
        <f t="shared" si="231"/>
        <v>1</v>
      </c>
      <c r="EF215" s="137"/>
      <c r="EG215" s="137"/>
      <c r="EH215" s="137"/>
      <c r="EI215" s="137"/>
      <c r="EJ215" s="137">
        <f t="shared" si="238"/>
        <v>1</v>
      </c>
      <c r="EK215" s="125">
        <f t="shared" si="232"/>
        <v>0</v>
      </c>
      <c r="EL215" s="125">
        <f t="shared" si="233"/>
        <v>0</v>
      </c>
    </row>
    <row r="216" spans="2:142" ht="15.75" x14ac:dyDescent="0.25">
      <c r="B216" s="160">
        <f t="shared" si="234"/>
        <v>186</v>
      </c>
      <c r="C216" s="283">
        <v>1001350764</v>
      </c>
      <c r="D216" s="283">
        <v>1001290586</v>
      </c>
      <c r="E216" s="281">
        <v>40000625</v>
      </c>
      <c r="F216" s="118">
        <f>IF(OR(J216="",H216=""),"",VLOOKUP(J216,'הזנה לסיווג רשויות'!$B$2:$D$301,2,0))</f>
        <v>20000154</v>
      </c>
      <c r="G216" s="118" t="str">
        <f>IF(OR(J216="",H216=""),"",VLOOKUP(J216,'הזנה לסיווג רשויות'!$B$2:$D$301,3,0))</f>
        <v>אום אל-פחם</v>
      </c>
      <c r="H216" s="281" t="s">
        <v>681</v>
      </c>
      <c r="I216" s="201" t="s">
        <v>395</v>
      </c>
      <c r="J216" s="205">
        <v>2710</v>
      </c>
      <c r="K216" s="161">
        <v>0</v>
      </c>
      <c r="L216" s="161">
        <v>1</v>
      </c>
      <c r="M216" s="161">
        <v>0</v>
      </c>
      <c r="N216" s="161">
        <v>0</v>
      </c>
      <c r="O216" s="161">
        <v>1</v>
      </c>
      <c r="P216" s="161">
        <v>1</v>
      </c>
      <c r="Q216" s="161">
        <v>1</v>
      </c>
      <c r="R216" s="201">
        <v>693448</v>
      </c>
      <c r="S216" s="201">
        <v>255744</v>
      </c>
      <c r="T216" s="160">
        <f>IF(G216="","",IFERROR(IF(S216/R216&gt;'פרמטרים לקריטריונים'!$C$20,1,0),0))</f>
        <v>1</v>
      </c>
      <c r="U216" s="201">
        <v>152980</v>
      </c>
      <c r="V216" s="160">
        <f>IF(G216="","",IFERROR(IF(U216/R216&gt;'פרמטרים לקריטריונים'!$C$21,1,IF(AND(I216=$BW$5,U216/R216&gt;'פרמטרים לקריטריונים'!$C$22),1,0)),0))</f>
        <v>1</v>
      </c>
      <c r="W216" s="161">
        <v>1</v>
      </c>
      <c r="X216" s="161">
        <v>1</v>
      </c>
      <c r="Y216" s="201">
        <v>180000</v>
      </c>
      <c r="Z216" s="201">
        <v>50000</v>
      </c>
      <c r="AA216" s="161">
        <f t="shared" si="235"/>
        <v>1</v>
      </c>
      <c r="AB216" s="161"/>
      <c r="AC216" s="161"/>
      <c r="AD216" s="161"/>
      <c r="AE216" s="161"/>
      <c r="AF216" s="161"/>
      <c r="AG216" s="161"/>
      <c r="AH216" s="161"/>
      <c r="AI216" s="161"/>
      <c r="AJ216" s="161"/>
      <c r="AK216" s="161"/>
      <c r="AL216" s="161"/>
      <c r="AM216" s="161"/>
      <c r="AN216" s="161"/>
      <c r="AO216" s="161"/>
      <c r="AP216" s="161"/>
      <c r="AQ216" s="161"/>
      <c r="AR216" s="161"/>
      <c r="AS216" s="161"/>
      <c r="AT216" s="161"/>
      <c r="AU216" s="161"/>
      <c r="AV216" s="161"/>
      <c r="AW216" s="160"/>
      <c r="AX216" s="161"/>
      <c r="AY216" s="161"/>
      <c r="AZ216" s="161"/>
      <c r="BA216" s="161"/>
      <c r="BB216" s="161"/>
      <c r="BC216" s="161"/>
      <c r="BD216" s="161"/>
      <c r="BE216" s="161"/>
      <c r="BF216" s="160" t="str">
        <f t="shared" si="236"/>
        <v/>
      </c>
      <c r="BG216" s="160"/>
      <c r="BH216" s="160"/>
      <c r="BI216" s="160"/>
      <c r="BJ216" s="160"/>
      <c r="BK216" s="160"/>
      <c r="BL216" s="162">
        <f t="shared" si="187"/>
        <v>1</v>
      </c>
      <c r="BM216" s="257"/>
      <c r="BN216" s="163"/>
      <c r="BO216" s="211" t="str">
        <f t="shared" si="188"/>
        <v>אבדאע - עמותה לקידום האמנויות במגזרתרבות ערבית</v>
      </c>
      <c r="BP216" s="125">
        <f t="shared" si="189"/>
        <v>1</v>
      </c>
      <c r="BQ216" s="164">
        <v>0</v>
      </c>
      <c r="BR216" s="164">
        <v>1</v>
      </c>
      <c r="BS216" s="149">
        <f t="shared" si="190"/>
        <v>1</v>
      </c>
      <c r="BT216" s="149">
        <f t="shared" si="191"/>
        <v>1</v>
      </c>
      <c r="BU216" s="149">
        <f t="shared" si="192"/>
        <v>1</v>
      </c>
      <c r="BV216" s="149">
        <f t="shared" si="193"/>
        <v>1</v>
      </c>
      <c r="BW216" s="149">
        <f t="shared" si="194"/>
        <v>1</v>
      </c>
      <c r="BX216" s="149">
        <f t="shared" si="195"/>
        <v>1</v>
      </c>
      <c r="BY216" s="149">
        <f t="shared" si="196"/>
        <v>1</v>
      </c>
      <c r="BZ216" s="149">
        <f t="shared" si="197"/>
        <v>1</v>
      </c>
      <c r="CA216" s="149">
        <f t="shared" si="198"/>
        <v>1</v>
      </c>
      <c r="CB216" s="149">
        <f t="shared" si="199"/>
        <v>1</v>
      </c>
      <c r="CC216" s="149">
        <f t="shared" si="200"/>
        <v>1</v>
      </c>
      <c r="CD216" s="149">
        <f t="shared" si="201"/>
        <v>1</v>
      </c>
      <c r="CE216" s="149">
        <f t="shared" si="202"/>
        <v>1</v>
      </c>
      <c r="CF216" s="149">
        <f t="shared" si="203"/>
        <v>1</v>
      </c>
      <c r="CG216" s="149">
        <f t="shared" si="204"/>
        <v>1</v>
      </c>
      <c r="CH216" s="149">
        <f t="shared" si="205"/>
        <v>1</v>
      </c>
      <c r="CI216" s="149">
        <f t="shared" si="206"/>
        <v>1</v>
      </c>
      <c r="CJ216" s="149">
        <f t="shared" si="207"/>
        <v>1</v>
      </c>
      <c r="CK216" s="149">
        <f t="shared" si="208"/>
        <v>1</v>
      </c>
      <c r="CL216" s="149">
        <f t="shared" si="209"/>
        <v>1</v>
      </c>
      <c r="CM216" s="149">
        <f t="shared" si="210"/>
        <v>1</v>
      </c>
      <c r="CN216" s="149">
        <f t="shared" si="211"/>
        <v>1</v>
      </c>
      <c r="CO216" s="149">
        <f t="shared" si="212"/>
        <v>1</v>
      </c>
      <c r="CP216" s="149">
        <f t="shared" si="213"/>
        <v>1</v>
      </c>
      <c r="CQ216" s="149">
        <f t="shared" si="214"/>
        <v>1</v>
      </c>
      <c r="CR216" s="149">
        <f t="shared" si="215"/>
        <v>1</v>
      </c>
      <c r="CS216" s="149">
        <f t="shared" si="216"/>
        <v>1</v>
      </c>
      <c r="CT216" s="149">
        <f t="shared" si="217"/>
        <v>1</v>
      </c>
      <c r="CU216" s="149">
        <f t="shared" si="218"/>
        <v>1</v>
      </c>
      <c r="CV216" s="149">
        <f t="shared" si="219"/>
        <v>1</v>
      </c>
      <c r="CW216" s="149">
        <f t="shared" si="220"/>
        <v>1</v>
      </c>
      <c r="CX216" s="149">
        <f t="shared" si="221"/>
        <v>1</v>
      </c>
      <c r="CY216" s="149">
        <f t="shared" si="222"/>
        <v>1</v>
      </c>
      <c r="CZ216" s="149">
        <f t="shared" si="223"/>
        <v>1</v>
      </c>
      <c r="DA216" s="149">
        <f t="shared" si="224"/>
        <v>1</v>
      </c>
      <c r="DB216" s="149">
        <f t="shared" si="225"/>
        <v>1</v>
      </c>
      <c r="DG216" s="125">
        <f t="shared" ref="DG216:DG279" si="241">IF($G216="","",DG$30)</f>
        <v>1</v>
      </c>
      <c r="DH216" s="125">
        <f t="shared" si="240"/>
        <v>2</v>
      </c>
      <c r="DI216" s="125">
        <f t="shared" si="240"/>
        <v>3</v>
      </c>
      <c r="DJ216" s="125">
        <f t="shared" si="240"/>
        <v>4</v>
      </c>
      <c r="DK216" s="125">
        <f t="shared" si="240"/>
        <v>5</v>
      </c>
      <c r="DL216" s="125">
        <f t="shared" si="240"/>
        <v>6</v>
      </c>
      <c r="DM216" s="125">
        <f t="shared" si="240"/>
        <v>7</v>
      </c>
      <c r="DN216" s="125">
        <f t="shared" si="240"/>
        <v>8</v>
      </c>
      <c r="DO216" s="125">
        <f t="shared" si="240"/>
        <v>9</v>
      </c>
      <c r="DP216" s="125">
        <f t="shared" si="240"/>
        <v>10</v>
      </c>
      <c r="DS216" s="137"/>
      <c r="DT216" s="137"/>
      <c r="DU216" s="137"/>
      <c r="DV216" s="137" t="b">
        <f t="shared" si="226"/>
        <v>0</v>
      </c>
      <c r="DW216" s="137" t="b">
        <f t="shared" si="227"/>
        <v>0</v>
      </c>
      <c r="DX216" s="137" t="b">
        <f t="shared" si="228"/>
        <v>1</v>
      </c>
      <c r="EB216" s="131">
        <f t="shared" si="237"/>
        <v>1</v>
      </c>
      <c r="EC216" s="137" t="b">
        <f t="shared" si="229"/>
        <v>0</v>
      </c>
      <c r="ED216" s="137" t="b">
        <f t="shared" si="230"/>
        <v>0</v>
      </c>
      <c r="EE216" s="137" t="b">
        <f t="shared" si="231"/>
        <v>1</v>
      </c>
      <c r="EF216" s="137"/>
      <c r="EG216" s="137"/>
      <c r="EH216" s="137"/>
      <c r="EI216" s="137"/>
      <c r="EJ216" s="137">
        <f t="shared" si="238"/>
        <v>1</v>
      </c>
      <c r="EK216" s="125">
        <f t="shared" si="232"/>
        <v>0</v>
      </c>
      <c r="EL216" s="125">
        <f t="shared" si="233"/>
        <v>0</v>
      </c>
    </row>
    <row r="217" spans="2:142" ht="15.75" x14ac:dyDescent="0.25">
      <c r="B217" s="160">
        <f t="shared" si="234"/>
        <v>187</v>
      </c>
      <c r="C217" s="205">
        <v>1001349137</v>
      </c>
      <c r="D217" s="205">
        <v>1001264894</v>
      </c>
      <c r="E217" s="281">
        <v>40188899</v>
      </c>
      <c r="F217" s="118">
        <f>IF(OR(J217="",H217=""),"",VLOOKUP(J217,'הזנה לסיווג רשויות'!$B$2:$D$301,2,0))</f>
        <v>20000159</v>
      </c>
      <c r="G217" s="118" t="str">
        <f>IF(OR(J217="",H217=""),"",VLOOKUP(J217,'הזנה לסיווג רשויות'!$B$2:$D$301,3,0))</f>
        <v>ירושלים</v>
      </c>
      <c r="H217" s="281" t="s">
        <v>682</v>
      </c>
      <c r="I217" s="201" t="s">
        <v>394</v>
      </c>
      <c r="J217" s="205">
        <v>3000</v>
      </c>
      <c r="K217" s="161">
        <v>0</v>
      </c>
      <c r="L217" s="161">
        <v>1</v>
      </c>
      <c r="M217" s="161">
        <v>0</v>
      </c>
      <c r="N217" s="161">
        <v>0</v>
      </c>
      <c r="O217" s="161">
        <v>1</v>
      </c>
      <c r="P217" s="161">
        <v>1</v>
      </c>
      <c r="Q217" s="161">
        <v>1</v>
      </c>
      <c r="R217" s="201">
        <v>213225</v>
      </c>
      <c r="S217" s="201">
        <v>85725</v>
      </c>
      <c r="T217" s="160">
        <f>IF(G217="","",IFERROR(IF(S217/R217&gt;'פרמטרים לקריטריונים'!$C$20,1,0),0))</f>
        <v>1</v>
      </c>
      <c r="U217" s="201">
        <v>85725</v>
      </c>
      <c r="V217" s="160">
        <f>IF(G217="","",IFERROR(IF(U217/R217&gt;'פרמטרים לקריטריונים'!$C$21,1,IF(AND(I217=$BW$5,U217/R217&gt;'פרמטרים לקריטריונים'!$C$22),1,0)),0))</f>
        <v>1</v>
      </c>
      <c r="W217" s="161">
        <v>1</v>
      </c>
      <c r="X217" s="161">
        <v>1</v>
      </c>
      <c r="Y217" s="201">
        <v>450000</v>
      </c>
      <c r="Z217" s="201">
        <v>80000</v>
      </c>
      <c r="AA217" s="161">
        <f t="shared" si="235"/>
        <v>1</v>
      </c>
      <c r="AB217" s="161"/>
      <c r="AC217" s="161"/>
      <c r="AD217" s="161"/>
      <c r="AE217" s="161"/>
      <c r="AF217" s="161"/>
      <c r="AG217" s="161"/>
      <c r="AH217" s="161"/>
      <c r="AI217" s="161"/>
      <c r="AJ217" s="161"/>
      <c r="AK217" s="161"/>
      <c r="AL217" s="161"/>
      <c r="AM217" s="161"/>
      <c r="AN217" s="161"/>
      <c r="AO217" s="161"/>
      <c r="AP217" s="161"/>
      <c r="AQ217" s="161"/>
      <c r="AR217" s="161"/>
      <c r="AS217" s="161"/>
      <c r="AT217" s="161"/>
      <c r="AU217" s="161"/>
      <c r="AV217" s="161"/>
      <c r="AW217" s="160"/>
      <c r="AX217" s="161"/>
      <c r="AY217" s="161"/>
      <c r="AZ217" s="161"/>
      <c r="BA217" s="161"/>
      <c r="BB217" s="161"/>
      <c r="BC217" s="161"/>
      <c r="BD217" s="161"/>
      <c r="BE217" s="161"/>
      <c r="BF217" s="160" t="str">
        <f t="shared" si="236"/>
        <v/>
      </c>
      <c r="BG217" s="160"/>
      <c r="BH217" s="160"/>
      <c r="BI217" s="160"/>
      <c r="BJ217" s="160"/>
      <c r="BK217" s="160"/>
      <c r="BL217" s="162">
        <f t="shared" si="187"/>
        <v>1</v>
      </c>
      <c r="BM217" s="257"/>
      <c r="BN217" s="163"/>
      <c r="BO217" s="211" t="str">
        <f t="shared" si="188"/>
        <v>נהר אפרסמוןתרבות חרדית</v>
      </c>
      <c r="BP217" s="125">
        <f t="shared" si="189"/>
        <v>1</v>
      </c>
      <c r="BQ217" s="164">
        <v>0</v>
      </c>
      <c r="BR217" s="164">
        <v>1</v>
      </c>
      <c r="BS217" s="149">
        <f t="shared" si="190"/>
        <v>1</v>
      </c>
      <c r="BT217" s="149">
        <f t="shared" si="191"/>
        <v>1</v>
      </c>
      <c r="BU217" s="149">
        <f t="shared" si="192"/>
        <v>1</v>
      </c>
      <c r="BV217" s="149">
        <f t="shared" si="193"/>
        <v>1</v>
      </c>
      <c r="BW217" s="149">
        <f t="shared" si="194"/>
        <v>1</v>
      </c>
      <c r="BX217" s="149">
        <f t="shared" si="195"/>
        <v>1</v>
      </c>
      <c r="BY217" s="149">
        <f t="shared" si="196"/>
        <v>1</v>
      </c>
      <c r="BZ217" s="149">
        <f t="shared" si="197"/>
        <v>1</v>
      </c>
      <c r="CA217" s="149">
        <f t="shared" si="198"/>
        <v>1</v>
      </c>
      <c r="CB217" s="149">
        <f t="shared" si="199"/>
        <v>1</v>
      </c>
      <c r="CC217" s="149">
        <f t="shared" si="200"/>
        <v>1</v>
      </c>
      <c r="CD217" s="149">
        <f t="shared" si="201"/>
        <v>1</v>
      </c>
      <c r="CE217" s="149">
        <f t="shared" si="202"/>
        <v>1</v>
      </c>
      <c r="CF217" s="149">
        <f t="shared" si="203"/>
        <v>1</v>
      </c>
      <c r="CG217" s="149">
        <f t="shared" si="204"/>
        <v>1</v>
      </c>
      <c r="CH217" s="149">
        <f t="shared" si="205"/>
        <v>1</v>
      </c>
      <c r="CI217" s="149">
        <f t="shared" si="206"/>
        <v>1</v>
      </c>
      <c r="CJ217" s="149">
        <f t="shared" si="207"/>
        <v>1</v>
      </c>
      <c r="CK217" s="149">
        <f t="shared" si="208"/>
        <v>1</v>
      </c>
      <c r="CL217" s="149">
        <f t="shared" si="209"/>
        <v>1</v>
      </c>
      <c r="CM217" s="149">
        <f t="shared" si="210"/>
        <v>1</v>
      </c>
      <c r="CN217" s="149">
        <f t="shared" si="211"/>
        <v>1</v>
      </c>
      <c r="CO217" s="149">
        <f t="shared" si="212"/>
        <v>1</v>
      </c>
      <c r="CP217" s="149">
        <f t="shared" si="213"/>
        <v>1</v>
      </c>
      <c r="CQ217" s="149">
        <f t="shared" si="214"/>
        <v>1</v>
      </c>
      <c r="CR217" s="149">
        <f t="shared" si="215"/>
        <v>1</v>
      </c>
      <c r="CS217" s="149">
        <f t="shared" si="216"/>
        <v>1</v>
      </c>
      <c r="CT217" s="149">
        <f t="shared" si="217"/>
        <v>1</v>
      </c>
      <c r="CU217" s="149">
        <f t="shared" si="218"/>
        <v>1</v>
      </c>
      <c r="CV217" s="149">
        <f t="shared" si="219"/>
        <v>1</v>
      </c>
      <c r="CW217" s="149">
        <f t="shared" si="220"/>
        <v>1</v>
      </c>
      <c r="CX217" s="149">
        <f t="shared" si="221"/>
        <v>1</v>
      </c>
      <c r="CY217" s="149">
        <f t="shared" si="222"/>
        <v>1</v>
      </c>
      <c r="CZ217" s="149">
        <f t="shared" si="223"/>
        <v>1</v>
      </c>
      <c r="DA217" s="149">
        <f t="shared" si="224"/>
        <v>1</v>
      </c>
      <c r="DB217" s="149">
        <f t="shared" si="225"/>
        <v>1</v>
      </c>
      <c r="DG217" s="125">
        <f t="shared" si="241"/>
        <v>1</v>
      </c>
      <c r="DH217" s="125">
        <f t="shared" si="240"/>
        <v>2</v>
      </c>
      <c r="DI217" s="125">
        <f t="shared" si="240"/>
        <v>3</v>
      </c>
      <c r="DJ217" s="125">
        <f t="shared" si="240"/>
        <v>4</v>
      </c>
      <c r="DK217" s="125">
        <f t="shared" si="240"/>
        <v>5</v>
      </c>
      <c r="DL217" s="125">
        <f t="shared" si="240"/>
        <v>6</v>
      </c>
      <c r="DM217" s="125">
        <f t="shared" si="240"/>
        <v>7</v>
      </c>
      <c r="DN217" s="125">
        <f t="shared" si="240"/>
        <v>8</v>
      </c>
      <c r="DO217" s="125">
        <f t="shared" si="240"/>
        <v>9</v>
      </c>
      <c r="DP217" s="125">
        <f t="shared" si="240"/>
        <v>10</v>
      </c>
      <c r="DS217" s="137"/>
      <c r="DT217" s="137"/>
      <c r="DU217" s="137"/>
      <c r="DV217" s="137" t="b">
        <f t="shared" si="226"/>
        <v>0</v>
      </c>
      <c r="DW217" s="137" t="b">
        <f t="shared" si="227"/>
        <v>0</v>
      </c>
      <c r="DX217" s="137" t="b">
        <f t="shared" si="228"/>
        <v>1</v>
      </c>
      <c r="EB217" s="131">
        <f t="shared" si="237"/>
        <v>1</v>
      </c>
      <c r="EC217" s="137" t="b">
        <f t="shared" si="229"/>
        <v>0</v>
      </c>
      <c r="ED217" s="137" t="b">
        <f t="shared" si="230"/>
        <v>0</v>
      </c>
      <c r="EE217" s="137" t="b">
        <f t="shared" si="231"/>
        <v>1</v>
      </c>
      <c r="EF217" s="137"/>
      <c r="EG217" s="137"/>
      <c r="EH217" s="137"/>
      <c r="EI217" s="137"/>
      <c r="EJ217" s="137">
        <f t="shared" si="238"/>
        <v>1</v>
      </c>
      <c r="EK217" s="125">
        <f t="shared" si="232"/>
        <v>0</v>
      </c>
      <c r="EL217" s="125">
        <f t="shared" si="233"/>
        <v>0</v>
      </c>
    </row>
    <row r="218" spans="2:142" ht="15.75" x14ac:dyDescent="0.25">
      <c r="B218" s="160">
        <f t="shared" si="234"/>
        <v>188</v>
      </c>
      <c r="C218" s="205">
        <v>1001349367</v>
      </c>
      <c r="D218" s="205">
        <v>1001264905</v>
      </c>
      <c r="E218" s="281">
        <v>40188899</v>
      </c>
      <c r="F218" s="118">
        <f>IF(OR(J218="",H218=""),"",VLOOKUP(J218,'הזנה לסיווג רשויות'!$B$2:$D$301,2,0))</f>
        <v>20000159</v>
      </c>
      <c r="G218" s="118" t="str">
        <f>IF(OR(J218="",H218=""),"",VLOOKUP(J218,'הזנה לסיווג רשויות'!$B$2:$D$301,3,0))</f>
        <v>ירושלים</v>
      </c>
      <c r="H218" s="281" t="s">
        <v>682</v>
      </c>
      <c r="I218" s="201" t="s">
        <v>564</v>
      </c>
      <c r="J218" s="205">
        <v>3000</v>
      </c>
      <c r="K218" s="161">
        <v>0</v>
      </c>
      <c r="L218" s="161">
        <v>1</v>
      </c>
      <c r="M218" s="161">
        <v>0</v>
      </c>
      <c r="N218" s="161">
        <v>1</v>
      </c>
      <c r="O218" s="161">
        <v>1</v>
      </c>
      <c r="P218" s="161">
        <v>1</v>
      </c>
      <c r="Q218" s="161">
        <v>1</v>
      </c>
      <c r="R218" s="201">
        <v>254855</v>
      </c>
      <c r="S218" s="201">
        <v>70183</v>
      </c>
      <c r="T218" s="160">
        <f>IF(G218="","",IFERROR(IF(S218/R218&gt;'פרמטרים לקריטריונים'!$C$20,1,0),0))</f>
        <v>1</v>
      </c>
      <c r="U218" s="201">
        <v>70183</v>
      </c>
      <c r="V218" s="160">
        <f>IF(G218="","",IFERROR(IF(U218/R218&gt;'פרמטרים לקריטריונים'!$C$21,1,IF(AND(I218=$BW$5,U218/R218&gt;'פרמטרים לקריטריונים'!$C$22),1,0)),0))</f>
        <v>1</v>
      </c>
      <c r="W218" s="161">
        <v>1</v>
      </c>
      <c r="X218" s="161">
        <v>1</v>
      </c>
      <c r="Y218" s="201">
        <v>450000</v>
      </c>
      <c r="Z218" s="201">
        <v>80000</v>
      </c>
      <c r="AA218" s="161">
        <f t="shared" si="235"/>
        <v>1</v>
      </c>
      <c r="AB218" s="161"/>
      <c r="AC218" s="161"/>
      <c r="AD218" s="161"/>
      <c r="AE218" s="161"/>
      <c r="AF218" s="161"/>
      <c r="AG218" s="161"/>
      <c r="AH218" s="161"/>
      <c r="AI218" s="161"/>
      <c r="AJ218" s="161"/>
      <c r="AK218" s="161"/>
      <c r="AL218" s="161"/>
      <c r="AM218" s="161"/>
      <c r="AN218" s="161"/>
      <c r="AO218" s="161"/>
      <c r="AP218" s="161"/>
      <c r="AQ218" s="161"/>
      <c r="AR218" s="161"/>
      <c r="AS218" s="161"/>
      <c r="AT218" s="161"/>
      <c r="AU218" s="161"/>
      <c r="AV218" s="161"/>
      <c r="AW218" s="160"/>
      <c r="AX218" s="161"/>
      <c r="AY218" s="161"/>
      <c r="AZ218" s="161"/>
      <c r="BA218" s="161"/>
      <c r="BB218" s="161"/>
      <c r="BC218" s="161"/>
      <c r="BD218" s="161"/>
      <c r="BE218" s="161"/>
      <c r="BF218" s="160" t="str">
        <f t="shared" si="236"/>
        <v/>
      </c>
      <c r="BG218" s="160"/>
      <c r="BH218" s="160"/>
      <c r="BI218" s="160"/>
      <c r="BJ218" s="160"/>
      <c r="BK218" s="160"/>
      <c r="BL218" s="162">
        <f t="shared" si="187"/>
        <v>1</v>
      </c>
      <c r="BM218" s="257"/>
      <c r="BN218" s="163"/>
      <c r="BO218" s="211" t="str">
        <f t="shared" si="188"/>
        <v>נהר אפרסמוןאחר</v>
      </c>
      <c r="BP218" s="125">
        <f t="shared" si="189"/>
        <v>1</v>
      </c>
      <c r="BQ218" s="164">
        <v>0</v>
      </c>
      <c r="BR218" s="164">
        <v>1</v>
      </c>
      <c r="BS218" s="149">
        <f t="shared" si="190"/>
        <v>1</v>
      </c>
      <c r="BT218" s="149">
        <f t="shared" si="191"/>
        <v>1</v>
      </c>
      <c r="BU218" s="149">
        <f t="shared" si="192"/>
        <v>1</v>
      </c>
      <c r="BV218" s="149">
        <f t="shared" si="193"/>
        <v>1</v>
      </c>
      <c r="BW218" s="149">
        <f t="shared" si="194"/>
        <v>1</v>
      </c>
      <c r="BX218" s="149">
        <f t="shared" si="195"/>
        <v>1</v>
      </c>
      <c r="BY218" s="149">
        <f t="shared" si="196"/>
        <v>1</v>
      </c>
      <c r="BZ218" s="149">
        <f t="shared" si="197"/>
        <v>1</v>
      </c>
      <c r="CA218" s="149">
        <f t="shared" si="198"/>
        <v>1</v>
      </c>
      <c r="CB218" s="149">
        <f t="shared" si="199"/>
        <v>1</v>
      </c>
      <c r="CC218" s="149">
        <f t="shared" si="200"/>
        <v>1</v>
      </c>
      <c r="CD218" s="149">
        <f t="shared" si="201"/>
        <v>1</v>
      </c>
      <c r="CE218" s="149">
        <f t="shared" si="202"/>
        <v>1</v>
      </c>
      <c r="CF218" s="149">
        <f t="shared" si="203"/>
        <v>1</v>
      </c>
      <c r="CG218" s="149">
        <f t="shared" si="204"/>
        <v>1</v>
      </c>
      <c r="CH218" s="149">
        <f t="shared" si="205"/>
        <v>1</v>
      </c>
      <c r="CI218" s="149">
        <f t="shared" si="206"/>
        <v>1</v>
      </c>
      <c r="CJ218" s="149">
        <f t="shared" si="207"/>
        <v>1</v>
      </c>
      <c r="CK218" s="149">
        <f t="shared" si="208"/>
        <v>1</v>
      </c>
      <c r="CL218" s="149">
        <f t="shared" si="209"/>
        <v>1</v>
      </c>
      <c r="CM218" s="149">
        <f t="shared" si="210"/>
        <v>1</v>
      </c>
      <c r="CN218" s="149">
        <f t="shared" si="211"/>
        <v>1</v>
      </c>
      <c r="CO218" s="149">
        <f t="shared" si="212"/>
        <v>1</v>
      </c>
      <c r="CP218" s="149">
        <f t="shared" si="213"/>
        <v>1</v>
      </c>
      <c r="CQ218" s="149">
        <f t="shared" si="214"/>
        <v>1</v>
      </c>
      <c r="CR218" s="149">
        <f t="shared" si="215"/>
        <v>1</v>
      </c>
      <c r="CS218" s="149">
        <f t="shared" si="216"/>
        <v>1</v>
      </c>
      <c r="CT218" s="149">
        <f t="shared" si="217"/>
        <v>1</v>
      </c>
      <c r="CU218" s="149">
        <f t="shared" si="218"/>
        <v>1</v>
      </c>
      <c r="CV218" s="149">
        <f t="shared" si="219"/>
        <v>1</v>
      </c>
      <c r="CW218" s="149">
        <f t="shared" si="220"/>
        <v>1</v>
      </c>
      <c r="CX218" s="149">
        <f t="shared" si="221"/>
        <v>1</v>
      </c>
      <c r="CY218" s="149">
        <f t="shared" si="222"/>
        <v>1</v>
      </c>
      <c r="CZ218" s="149">
        <f t="shared" si="223"/>
        <v>1</v>
      </c>
      <c r="DA218" s="149">
        <f t="shared" si="224"/>
        <v>1</v>
      </c>
      <c r="DB218" s="149">
        <f t="shared" si="225"/>
        <v>1</v>
      </c>
      <c r="DG218" s="125">
        <f t="shared" si="241"/>
        <v>1</v>
      </c>
      <c r="DH218" s="125">
        <f t="shared" si="240"/>
        <v>2</v>
      </c>
      <c r="DI218" s="125">
        <f t="shared" si="240"/>
        <v>3</v>
      </c>
      <c r="DJ218" s="125">
        <f t="shared" si="240"/>
        <v>4</v>
      </c>
      <c r="DK218" s="125">
        <f t="shared" si="240"/>
        <v>5</v>
      </c>
      <c r="DL218" s="125">
        <f t="shared" si="240"/>
        <v>6</v>
      </c>
      <c r="DM218" s="125">
        <f t="shared" si="240"/>
        <v>7</v>
      </c>
      <c r="DN218" s="125">
        <f t="shared" si="240"/>
        <v>8</v>
      </c>
      <c r="DO218" s="125">
        <f t="shared" si="240"/>
        <v>9</v>
      </c>
      <c r="DP218" s="125">
        <f t="shared" si="240"/>
        <v>10</v>
      </c>
      <c r="DS218" s="137"/>
      <c r="DT218" s="137"/>
      <c r="DU218" s="137"/>
      <c r="DV218" s="137" t="b">
        <f t="shared" si="226"/>
        <v>0</v>
      </c>
      <c r="DW218" s="137" t="b">
        <f t="shared" si="227"/>
        <v>0</v>
      </c>
      <c r="DX218" s="137" t="b">
        <f t="shared" si="228"/>
        <v>1</v>
      </c>
      <c r="EB218" s="131">
        <f t="shared" si="237"/>
        <v>1</v>
      </c>
      <c r="EC218" s="137" t="b">
        <f t="shared" si="229"/>
        <v>0</v>
      </c>
      <c r="ED218" s="137" t="b">
        <f t="shared" si="230"/>
        <v>0</v>
      </c>
      <c r="EE218" s="137" t="b">
        <f t="shared" si="231"/>
        <v>1</v>
      </c>
      <c r="EF218" s="137"/>
      <c r="EG218" s="137"/>
      <c r="EH218" s="137"/>
      <c r="EI218" s="137"/>
      <c r="EJ218" s="137">
        <f t="shared" si="238"/>
        <v>1</v>
      </c>
      <c r="EK218" s="125">
        <f t="shared" si="232"/>
        <v>0</v>
      </c>
      <c r="EL218" s="125">
        <f t="shared" si="233"/>
        <v>0</v>
      </c>
    </row>
    <row r="219" spans="2:142" ht="15.75" x14ac:dyDescent="0.25">
      <c r="B219" s="160">
        <f t="shared" si="234"/>
        <v>189</v>
      </c>
      <c r="C219" s="283">
        <v>1001346791</v>
      </c>
      <c r="D219" s="283">
        <v>1001265735</v>
      </c>
      <c r="E219" s="281">
        <v>40221576</v>
      </c>
      <c r="F219" s="118">
        <f>IF(OR(J219="",H219=""),"",VLOOKUP(J219,'הזנה לסיווג רשויות'!$B$2:$D$301,2,0))</f>
        <v>20000231</v>
      </c>
      <c r="G219" s="118" t="str">
        <f>IF(OR(J219="",H219=""),"",VLOOKUP(J219,'הזנה לסיווג רשויות'!$B$2:$D$301,3,0))</f>
        <v>נצרת</v>
      </c>
      <c r="H219" s="281" t="s">
        <v>683</v>
      </c>
      <c r="I219" s="201" t="s">
        <v>376</v>
      </c>
      <c r="J219" s="205">
        <v>7300</v>
      </c>
      <c r="K219" s="161">
        <v>0</v>
      </c>
      <c r="L219" s="161">
        <v>1</v>
      </c>
      <c r="M219" s="161">
        <v>0</v>
      </c>
      <c r="N219" s="161">
        <v>0</v>
      </c>
      <c r="O219" s="161">
        <v>1</v>
      </c>
      <c r="P219" s="161">
        <v>1</v>
      </c>
      <c r="Q219" s="161">
        <v>1</v>
      </c>
      <c r="R219" s="201">
        <v>459458</v>
      </c>
      <c r="S219" s="201">
        <v>130088</v>
      </c>
      <c r="T219" s="160">
        <f>IF(G219="","",IFERROR(IF(S219/R219&gt;'פרמטרים לקריטריונים'!$C$20,1,0),0))</f>
        <v>1</v>
      </c>
      <c r="U219" s="201">
        <v>110088</v>
      </c>
      <c r="V219" s="160">
        <f>IF(G219="","",IFERROR(IF(U219/R219&gt;'פרמטרים לקריטריונים'!$C$21,1,IF(AND(I219=$BW$5,U219/R219&gt;'פרמטרים לקריטריונים'!$C$22),1,0)),0))</f>
        <v>1</v>
      </c>
      <c r="W219" s="161">
        <v>1</v>
      </c>
      <c r="X219" s="161">
        <v>1</v>
      </c>
      <c r="Y219" s="201">
        <v>100000</v>
      </c>
      <c r="Z219" s="201">
        <v>100000</v>
      </c>
      <c r="AA219" s="161">
        <f t="shared" si="235"/>
        <v>1</v>
      </c>
      <c r="AB219" s="161"/>
      <c r="AC219" s="161"/>
      <c r="AD219" s="161"/>
      <c r="AE219" s="161"/>
      <c r="AF219" s="161"/>
      <c r="AG219" s="161"/>
      <c r="AH219" s="161"/>
      <c r="AI219" s="161"/>
      <c r="AJ219" s="161"/>
      <c r="AK219" s="161"/>
      <c r="AL219" s="161"/>
      <c r="AM219" s="161"/>
      <c r="AN219" s="161"/>
      <c r="AO219" s="161"/>
      <c r="AP219" s="161"/>
      <c r="AQ219" s="161"/>
      <c r="AR219" s="161"/>
      <c r="AS219" s="161"/>
      <c r="AT219" s="161"/>
      <c r="AU219" s="161"/>
      <c r="AV219" s="161"/>
      <c r="AW219" s="160"/>
      <c r="AX219" s="161"/>
      <c r="AY219" s="161"/>
      <c r="AZ219" s="161"/>
      <c r="BA219" s="161"/>
      <c r="BB219" s="161"/>
      <c r="BC219" s="161"/>
      <c r="BD219" s="161"/>
      <c r="BE219" s="161"/>
      <c r="BF219" s="160" t="str">
        <f t="shared" si="236"/>
        <v/>
      </c>
      <c r="BG219" s="160"/>
      <c r="BH219" s="160"/>
      <c r="BI219" s="160"/>
      <c r="BJ219" s="160"/>
      <c r="BK219" s="160"/>
      <c r="BL219" s="162">
        <f t="shared" si="187"/>
        <v>1</v>
      </c>
      <c r="BM219" s="257"/>
      <c r="BN219" s="163"/>
      <c r="BO219" s="211" t="str">
        <f t="shared" si="188"/>
        <v>אורפיאוסמוסיקה-גופים כליים</v>
      </c>
      <c r="BP219" s="125">
        <f t="shared" si="189"/>
        <v>1</v>
      </c>
      <c r="BQ219" s="164">
        <v>0</v>
      </c>
      <c r="BR219" s="164">
        <v>1</v>
      </c>
      <c r="BS219" s="149">
        <f t="shared" si="190"/>
        <v>1</v>
      </c>
      <c r="BT219" s="149">
        <f t="shared" si="191"/>
        <v>1</v>
      </c>
      <c r="BU219" s="149">
        <f t="shared" si="192"/>
        <v>1</v>
      </c>
      <c r="BV219" s="149">
        <f t="shared" si="193"/>
        <v>1</v>
      </c>
      <c r="BW219" s="149">
        <f t="shared" si="194"/>
        <v>1</v>
      </c>
      <c r="BX219" s="149">
        <f t="shared" si="195"/>
        <v>1</v>
      </c>
      <c r="BY219" s="149">
        <f t="shared" si="196"/>
        <v>1</v>
      </c>
      <c r="BZ219" s="149">
        <f t="shared" si="197"/>
        <v>1</v>
      </c>
      <c r="CA219" s="149">
        <f t="shared" si="198"/>
        <v>1</v>
      </c>
      <c r="CB219" s="149">
        <f t="shared" si="199"/>
        <v>1</v>
      </c>
      <c r="CC219" s="149">
        <f t="shared" si="200"/>
        <v>1</v>
      </c>
      <c r="CD219" s="149">
        <f t="shared" si="201"/>
        <v>1</v>
      </c>
      <c r="CE219" s="149">
        <f t="shared" si="202"/>
        <v>1</v>
      </c>
      <c r="CF219" s="149">
        <f t="shared" si="203"/>
        <v>1</v>
      </c>
      <c r="CG219" s="149">
        <f t="shared" si="204"/>
        <v>1</v>
      </c>
      <c r="CH219" s="149">
        <f t="shared" si="205"/>
        <v>1</v>
      </c>
      <c r="CI219" s="149">
        <f t="shared" si="206"/>
        <v>1</v>
      </c>
      <c r="CJ219" s="149">
        <f t="shared" si="207"/>
        <v>1</v>
      </c>
      <c r="CK219" s="149">
        <f t="shared" si="208"/>
        <v>1</v>
      </c>
      <c r="CL219" s="149">
        <f t="shared" si="209"/>
        <v>1</v>
      </c>
      <c r="CM219" s="149">
        <f t="shared" si="210"/>
        <v>1</v>
      </c>
      <c r="CN219" s="149">
        <f t="shared" si="211"/>
        <v>1</v>
      </c>
      <c r="CO219" s="149">
        <f t="shared" si="212"/>
        <v>1</v>
      </c>
      <c r="CP219" s="149">
        <f t="shared" si="213"/>
        <v>1</v>
      </c>
      <c r="CQ219" s="149">
        <f t="shared" si="214"/>
        <v>1</v>
      </c>
      <c r="CR219" s="149">
        <f t="shared" si="215"/>
        <v>1</v>
      </c>
      <c r="CS219" s="149">
        <f t="shared" si="216"/>
        <v>1</v>
      </c>
      <c r="CT219" s="149">
        <f t="shared" si="217"/>
        <v>1</v>
      </c>
      <c r="CU219" s="149">
        <f t="shared" si="218"/>
        <v>1</v>
      </c>
      <c r="CV219" s="149">
        <f t="shared" si="219"/>
        <v>1</v>
      </c>
      <c r="CW219" s="149">
        <f t="shared" si="220"/>
        <v>1</v>
      </c>
      <c r="CX219" s="149">
        <f t="shared" si="221"/>
        <v>1</v>
      </c>
      <c r="CY219" s="149">
        <f t="shared" si="222"/>
        <v>1</v>
      </c>
      <c r="CZ219" s="149">
        <f t="shared" si="223"/>
        <v>1</v>
      </c>
      <c r="DA219" s="149">
        <f t="shared" si="224"/>
        <v>1</v>
      </c>
      <c r="DB219" s="149">
        <f t="shared" si="225"/>
        <v>1</v>
      </c>
      <c r="DG219" s="125">
        <f t="shared" si="241"/>
        <v>1</v>
      </c>
      <c r="DH219" s="125">
        <f t="shared" si="240"/>
        <v>2</v>
      </c>
      <c r="DI219" s="125">
        <f t="shared" si="240"/>
        <v>3</v>
      </c>
      <c r="DJ219" s="125">
        <f t="shared" si="240"/>
        <v>4</v>
      </c>
      <c r="DK219" s="125">
        <f t="shared" si="240"/>
        <v>5</v>
      </c>
      <c r="DL219" s="125">
        <f t="shared" si="240"/>
        <v>6</v>
      </c>
      <c r="DM219" s="125">
        <f t="shared" si="240"/>
        <v>7</v>
      </c>
      <c r="DN219" s="125">
        <f t="shared" si="240"/>
        <v>8</v>
      </c>
      <c r="DO219" s="125">
        <f t="shared" si="240"/>
        <v>9</v>
      </c>
      <c r="DP219" s="125">
        <f t="shared" si="240"/>
        <v>10</v>
      </c>
      <c r="DS219" s="137"/>
      <c r="DT219" s="137"/>
      <c r="DU219" s="137"/>
      <c r="DV219" s="137" t="b">
        <f t="shared" si="226"/>
        <v>0</v>
      </c>
      <c r="DW219" s="137" t="b">
        <f t="shared" si="227"/>
        <v>0</v>
      </c>
      <c r="DX219" s="137" t="b">
        <f t="shared" si="228"/>
        <v>1</v>
      </c>
      <c r="EB219" s="131">
        <f t="shared" si="237"/>
        <v>1</v>
      </c>
      <c r="EC219" s="137" t="b">
        <f t="shared" si="229"/>
        <v>0</v>
      </c>
      <c r="ED219" s="137" t="b">
        <f t="shared" si="230"/>
        <v>0</v>
      </c>
      <c r="EE219" s="137" t="b">
        <f t="shared" si="231"/>
        <v>1</v>
      </c>
      <c r="EF219" s="137"/>
      <c r="EG219" s="137"/>
      <c r="EH219" s="137"/>
      <c r="EI219" s="137"/>
      <c r="EJ219" s="137">
        <f t="shared" si="238"/>
        <v>1</v>
      </c>
      <c r="EK219" s="125">
        <f t="shared" si="232"/>
        <v>0</v>
      </c>
      <c r="EL219" s="125">
        <f t="shared" si="233"/>
        <v>0</v>
      </c>
    </row>
    <row r="220" spans="2:142" ht="15.75" x14ac:dyDescent="0.25">
      <c r="B220" s="160">
        <f t="shared" si="234"/>
        <v>190</v>
      </c>
      <c r="C220" s="283">
        <v>1001349328</v>
      </c>
      <c r="D220" s="283">
        <v>1001275158</v>
      </c>
      <c r="E220" s="281">
        <v>40268014</v>
      </c>
      <c r="F220" s="118">
        <f>IF(OR(J220="",H220=""),"",VLOOKUP(J220,'הזנה לסיווג רשויות'!$B$2:$D$301,2,0))</f>
        <v>20000194</v>
      </c>
      <c r="G220" s="118" t="str">
        <f>IF(OR(J220="",H220=""),"",VLOOKUP(J220,'הזנה לסיווג רשויות'!$B$2:$D$301,3,0))</f>
        <v>גן רווה</v>
      </c>
      <c r="H220" s="281" t="s">
        <v>684</v>
      </c>
      <c r="I220" s="201" t="s">
        <v>375</v>
      </c>
      <c r="J220" s="205">
        <v>27</v>
      </c>
      <c r="K220" s="161">
        <v>0</v>
      </c>
      <c r="L220" s="161">
        <v>1</v>
      </c>
      <c r="M220" s="161">
        <v>0</v>
      </c>
      <c r="N220" s="161">
        <v>0</v>
      </c>
      <c r="O220" s="161">
        <v>1</v>
      </c>
      <c r="P220" s="161">
        <v>1</v>
      </c>
      <c r="Q220" s="161">
        <v>1</v>
      </c>
      <c r="R220" s="201">
        <v>271192</v>
      </c>
      <c r="S220" s="201">
        <v>185436</v>
      </c>
      <c r="T220" s="160">
        <f>IF(G220="","",IFERROR(IF(S220/R220&gt;'פרמטרים לקריטריונים'!$C$20,1,0),0))</f>
        <v>1</v>
      </c>
      <c r="U220" s="201">
        <v>140965</v>
      </c>
      <c r="V220" s="160">
        <f>IF(G220="","",IFERROR(IF(U220/R220&gt;'פרמטרים לקריטריונים'!$C$21,1,IF(AND(I220=$BW$5,U220/R220&gt;'פרמטרים לקריטריונים'!$C$22),1,0)),0))</f>
        <v>1</v>
      </c>
      <c r="W220" s="161">
        <v>1</v>
      </c>
      <c r="X220" s="161">
        <v>1</v>
      </c>
      <c r="Y220" s="201">
        <v>100000</v>
      </c>
      <c r="Z220" s="201">
        <v>30000</v>
      </c>
      <c r="AA220" s="161">
        <f t="shared" si="235"/>
        <v>1</v>
      </c>
      <c r="AB220" s="161"/>
      <c r="AC220" s="161"/>
      <c r="AD220" s="161"/>
      <c r="AE220" s="161"/>
      <c r="AF220" s="161"/>
      <c r="AG220" s="161"/>
      <c r="AH220" s="161"/>
      <c r="AI220" s="161"/>
      <c r="AJ220" s="161"/>
      <c r="AK220" s="161"/>
      <c r="AL220" s="161"/>
      <c r="AM220" s="161"/>
      <c r="AN220" s="161"/>
      <c r="AO220" s="161"/>
      <c r="AP220" s="161"/>
      <c r="AQ220" s="161"/>
      <c r="AR220" s="161"/>
      <c r="AS220" s="161"/>
      <c r="AT220" s="161"/>
      <c r="AU220" s="161"/>
      <c r="AV220" s="161"/>
      <c r="AW220" s="160"/>
      <c r="AX220" s="161"/>
      <c r="AY220" s="161"/>
      <c r="AZ220" s="161"/>
      <c r="BA220" s="161"/>
      <c r="BB220" s="161"/>
      <c r="BC220" s="161"/>
      <c r="BD220" s="161"/>
      <c r="BE220" s="161"/>
      <c r="BF220" s="160" t="str">
        <f t="shared" si="236"/>
        <v/>
      </c>
      <c r="BG220" s="160"/>
      <c r="BH220" s="160"/>
      <c r="BI220" s="160"/>
      <c r="BJ220" s="160"/>
      <c r="BK220" s="160"/>
      <c r="BL220" s="162">
        <f t="shared" si="187"/>
        <v>1</v>
      </c>
      <c r="BM220" s="257"/>
      <c r="BN220" s="163"/>
      <c r="BO220" s="211" t="str">
        <f t="shared" si="188"/>
        <v>מוזיאון בית מריםמוזיאונים</v>
      </c>
      <c r="BP220" s="125">
        <f t="shared" si="189"/>
        <v>1</v>
      </c>
      <c r="BQ220" s="164">
        <v>0</v>
      </c>
      <c r="BR220" s="164">
        <v>1</v>
      </c>
      <c r="BS220" s="149">
        <f t="shared" si="190"/>
        <v>1</v>
      </c>
      <c r="BT220" s="149">
        <f t="shared" si="191"/>
        <v>1</v>
      </c>
      <c r="BU220" s="149">
        <f t="shared" si="192"/>
        <v>1</v>
      </c>
      <c r="BV220" s="149">
        <f t="shared" si="193"/>
        <v>1</v>
      </c>
      <c r="BW220" s="149">
        <f t="shared" si="194"/>
        <v>1</v>
      </c>
      <c r="BX220" s="149">
        <f t="shared" si="195"/>
        <v>1</v>
      </c>
      <c r="BY220" s="149">
        <f t="shared" si="196"/>
        <v>1</v>
      </c>
      <c r="BZ220" s="149">
        <f t="shared" si="197"/>
        <v>1</v>
      </c>
      <c r="CA220" s="149">
        <f t="shared" si="198"/>
        <v>1</v>
      </c>
      <c r="CB220" s="149">
        <f t="shared" si="199"/>
        <v>1</v>
      </c>
      <c r="CC220" s="149">
        <f t="shared" si="200"/>
        <v>1</v>
      </c>
      <c r="CD220" s="149">
        <f t="shared" si="201"/>
        <v>1</v>
      </c>
      <c r="CE220" s="149">
        <f t="shared" si="202"/>
        <v>1</v>
      </c>
      <c r="CF220" s="149">
        <f t="shared" si="203"/>
        <v>1</v>
      </c>
      <c r="CG220" s="149">
        <f t="shared" si="204"/>
        <v>1</v>
      </c>
      <c r="CH220" s="149">
        <f t="shared" si="205"/>
        <v>1</v>
      </c>
      <c r="CI220" s="149">
        <f t="shared" si="206"/>
        <v>1</v>
      </c>
      <c r="CJ220" s="149">
        <f t="shared" si="207"/>
        <v>1</v>
      </c>
      <c r="CK220" s="149">
        <f t="shared" si="208"/>
        <v>1</v>
      </c>
      <c r="CL220" s="149">
        <f t="shared" si="209"/>
        <v>1</v>
      </c>
      <c r="CM220" s="149">
        <f t="shared" si="210"/>
        <v>1</v>
      </c>
      <c r="CN220" s="149">
        <f t="shared" si="211"/>
        <v>1</v>
      </c>
      <c r="CO220" s="149">
        <f t="shared" si="212"/>
        <v>1</v>
      </c>
      <c r="CP220" s="149">
        <f t="shared" si="213"/>
        <v>1</v>
      </c>
      <c r="CQ220" s="149">
        <f t="shared" si="214"/>
        <v>1</v>
      </c>
      <c r="CR220" s="149">
        <f t="shared" si="215"/>
        <v>1</v>
      </c>
      <c r="CS220" s="149">
        <f t="shared" si="216"/>
        <v>1</v>
      </c>
      <c r="CT220" s="149">
        <f t="shared" si="217"/>
        <v>1</v>
      </c>
      <c r="CU220" s="149">
        <f t="shared" si="218"/>
        <v>1</v>
      </c>
      <c r="CV220" s="149">
        <f t="shared" si="219"/>
        <v>1</v>
      </c>
      <c r="CW220" s="149">
        <f t="shared" si="220"/>
        <v>1</v>
      </c>
      <c r="CX220" s="149">
        <f t="shared" si="221"/>
        <v>1</v>
      </c>
      <c r="CY220" s="149">
        <f t="shared" si="222"/>
        <v>1</v>
      </c>
      <c r="CZ220" s="149">
        <f t="shared" si="223"/>
        <v>1</v>
      </c>
      <c r="DA220" s="149">
        <f t="shared" si="224"/>
        <v>1</v>
      </c>
      <c r="DB220" s="149">
        <f t="shared" si="225"/>
        <v>1</v>
      </c>
      <c r="DG220" s="125">
        <f t="shared" si="241"/>
        <v>1</v>
      </c>
      <c r="DH220" s="125">
        <f t="shared" si="240"/>
        <v>2</v>
      </c>
      <c r="DI220" s="125">
        <f t="shared" si="240"/>
        <v>3</v>
      </c>
      <c r="DJ220" s="125">
        <f t="shared" si="240"/>
        <v>4</v>
      </c>
      <c r="DK220" s="125">
        <f t="shared" si="240"/>
        <v>5</v>
      </c>
      <c r="DL220" s="125">
        <f t="shared" si="240"/>
        <v>6</v>
      </c>
      <c r="DM220" s="125">
        <f t="shared" si="240"/>
        <v>7</v>
      </c>
      <c r="DN220" s="125">
        <f t="shared" si="240"/>
        <v>8</v>
      </c>
      <c r="DO220" s="125">
        <f t="shared" si="240"/>
        <v>9</v>
      </c>
      <c r="DP220" s="125">
        <f t="shared" si="240"/>
        <v>10</v>
      </c>
      <c r="DS220" s="137"/>
      <c r="DT220" s="137"/>
      <c r="DU220" s="137"/>
      <c r="DV220" s="137" t="b">
        <f t="shared" si="226"/>
        <v>0</v>
      </c>
      <c r="DW220" s="137" t="b">
        <f t="shared" si="227"/>
        <v>0</v>
      </c>
      <c r="DX220" s="137" t="b">
        <f t="shared" si="228"/>
        <v>1</v>
      </c>
      <c r="EB220" s="131">
        <f t="shared" si="237"/>
        <v>1</v>
      </c>
      <c r="EC220" s="137" t="b">
        <f t="shared" si="229"/>
        <v>0</v>
      </c>
      <c r="ED220" s="137" t="b">
        <f t="shared" si="230"/>
        <v>0</v>
      </c>
      <c r="EE220" s="137" t="b">
        <f t="shared" si="231"/>
        <v>1</v>
      </c>
      <c r="EF220" s="137"/>
      <c r="EG220" s="137"/>
      <c r="EH220" s="137"/>
      <c r="EI220" s="137"/>
      <c r="EJ220" s="137">
        <f t="shared" si="238"/>
        <v>1</v>
      </c>
      <c r="EK220" s="125">
        <f t="shared" si="232"/>
        <v>0</v>
      </c>
      <c r="EL220" s="125">
        <f t="shared" si="233"/>
        <v>0</v>
      </c>
    </row>
    <row r="221" spans="2:142" ht="15.75" x14ac:dyDescent="0.25">
      <c r="B221" s="160">
        <f t="shared" si="234"/>
        <v>191</v>
      </c>
      <c r="C221" s="286">
        <v>1001350855</v>
      </c>
      <c r="D221" s="281">
        <v>1001268627</v>
      </c>
      <c r="E221" s="287">
        <v>40000006</v>
      </c>
      <c r="F221" s="118">
        <f>IF(OR(J221="",H221=""),"",VLOOKUP(J221,'הזנה לסיווג רשויות'!$B$2:$D$301,2,0))</f>
        <v>20000137</v>
      </c>
      <c r="G221" s="118" t="str">
        <f>IF(OR(J221="",H221=""),"",VLOOKUP(J221,'הזנה לסיווג רשויות'!$B$2:$D$301,3,0))</f>
        <v>מגידו</v>
      </c>
      <c r="H221" s="281" t="s">
        <v>685</v>
      </c>
      <c r="I221" s="201" t="s">
        <v>375</v>
      </c>
      <c r="J221" s="205">
        <v>13</v>
      </c>
      <c r="K221" s="161">
        <v>0</v>
      </c>
      <c r="L221" s="161">
        <v>1</v>
      </c>
      <c r="M221" s="161">
        <v>0</v>
      </c>
      <c r="N221" s="161">
        <v>0</v>
      </c>
      <c r="O221" s="161">
        <v>1</v>
      </c>
      <c r="P221" s="161">
        <v>1</v>
      </c>
      <c r="Q221" s="161">
        <v>1</v>
      </c>
      <c r="R221" s="201">
        <v>907132</v>
      </c>
      <c r="S221" s="201">
        <v>586551</v>
      </c>
      <c r="T221" s="160">
        <f>IF(G221="","",IFERROR(IF(S221/R221&gt;'פרמטרים לקריטריונים'!$C$20,1,0),0))</f>
        <v>1</v>
      </c>
      <c r="U221" s="201">
        <v>153700</v>
      </c>
      <c r="V221" s="160">
        <f>IF(G221="","",IFERROR(IF(U221/R221&gt;'פרמטרים לקריטריונים'!$C$21,1,IF(AND(I221=$BW$5,U221/R221&gt;'פרמטרים לקריטריונים'!$C$22),1,0)),0))</f>
        <v>1</v>
      </c>
      <c r="W221" s="161">
        <v>1</v>
      </c>
      <c r="X221" s="161">
        <v>1</v>
      </c>
      <c r="Y221" s="201">
        <v>150000</v>
      </c>
      <c r="Z221" s="201">
        <v>50000</v>
      </c>
      <c r="AA221" s="161">
        <f t="shared" si="235"/>
        <v>1</v>
      </c>
      <c r="AB221" s="161"/>
      <c r="AC221" s="161"/>
      <c r="AD221" s="161"/>
      <c r="AE221" s="161"/>
      <c r="AF221" s="161"/>
      <c r="AG221" s="161"/>
      <c r="AH221" s="161"/>
      <c r="AI221" s="161"/>
      <c r="AJ221" s="161"/>
      <c r="AK221" s="161"/>
      <c r="AL221" s="161"/>
      <c r="AM221" s="161"/>
      <c r="AN221" s="161"/>
      <c r="AO221" s="161"/>
      <c r="AP221" s="161"/>
      <c r="AQ221" s="161"/>
      <c r="AR221" s="161"/>
      <c r="AS221" s="161"/>
      <c r="AT221" s="161"/>
      <c r="AU221" s="161"/>
      <c r="AV221" s="161"/>
      <c r="AW221" s="160"/>
      <c r="AX221" s="161"/>
      <c r="AY221" s="161"/>
      <c r="AZ221" s="161"/>
      <c r="BA221" s="161"/>
      <c r="BB221" s="161"/>
      <c r="BC221" s="161"/>
      <c r="BD221" s="161"/>
      <c r="BE221" s="161"/>
      <c r="BF221" s="160" t="str">
        <f t="shared" si="236"/>
        <v/>
      </c>
      <c r="BG221" s="160"/>
      <c r="BH221" s="160"/>
      <c r="BI221" s="160"/>
      <c r="BJ221" s="160"/>
      <c r="BK221" s="160"/>
      <c r="BL221" s="162">
        <f t="shared" si="187"/>
        <v>1</v>
      </c>
      <c r="BM221" s="257"/>
      <c r="BN221" s="163"/>
      <c r="BO221" s="211" t="str">
        <f t="shared" si="188"/>
        <v>וילפריד ישראל לאמנות וידיעת המזרח בע"ממוזיאונים</v>
      </c>
      <c r="BP221" s="125">
        <f t="shared" si="189"/>
        <v>1</v>
      </c>
      <c r="BQ221" s="164">
        <v>0</v>
      </c>
      <c r="BR221" s="164">
        <v>1</v>
      </c>
      <c r="BS221" s="149">
        <f t="shared" si="190"/>
        <v>1</v>
      </c>
      <c r="BT221" s="149">
        <f t="shared" si="191"/>
        <v>1</v>
      </c>
      <c r="BU221" s="149">
        <f t="shared" si="192"/>
        <v>1</v>
      </c>
      <c r="BV221" s="149">
        <f t="shared" si="193"/>
        <v>1</v>
      </c>
      <c r="BW221" s="149">
        <f t="shared" si="194"/>
        <v>1</v>
      </c>
      <c r="BX221" s="149">
        <f t="shared" si="195"/>
        <v>1</v>
      </c>
      <c r="BY221" s="149">
        <f t="shared" si="196"/>
        <v>1</v>
      </c>
      <c r="BZ221" s="149">
        <f t="shared" si="197"/>
        <v>1</v>
      </c>
      <c r="CA221" s="149">
        <f t="shared" si="198"/>
        <v>1</v>
      </c>
      <c r="CB221" s="149">
        <f t="shared" si="199"/>
        <v>1</v>
      </c>
      <c r="CC221" s="149">
        <f t="shared" si="200"/>
        <v>1</v>
      </c>
      <c r="CD221" s="149">
        <f t="shared" si="201"/>
        <v>1</v>
      </c>
      <c r="CE221" s="149">
        <f t="shared" si="202"/>
        <v>1</v>
      </c>
      <c r="CF221" s="149">
        <f t="shared" si="203"/>
        <v>1</v>
      </c>
      <c r="CG221" s="149">
        <f t="shared" si="204"/>
        <v>1</v>
      </c>
      <c r="CH221" s="149">
        <f t="shared" si="205"/>
        <v>1</v>
      </c>
      <c r="CI221" s="149">
        <f t="shared" si="206"/>
        <v>1</v>
      </c>
      <c r="CJ221" s="149">
        <f t="shared" si="207"/>
        <v>1</v>
      </c>
      <c r="CK221" s="149">
        <f t="shared" si="208"/>
        <v>1</v>
      </c>
      <c r="CL221" s="149">
        <f t="shared" si="209"/>
        <v>1</v>
      </c>
      <c r="CM221" s="149">
        <f t="shared" si="210"/>
        <v>1</v>
      </c>
      <c r="CN221" s="149">
        <f t="shared" si="211"/>
        <v>1</v>
      </c>
      <c r="CO221" s="149">
        <f t="shared" si="212"/>
        <v>1</v>
      </c>
      <c r="CP221" s="149">
        <f t="shared" si="213"/>
        <v>1</v>
      </c>
      <c r="CQ221" s="149">
        <f t="shared" si="214"/>
        <v>1</v>
      </c>
      <c r="CR221" s="149">
        <f t="shared" si="215"/>
        <v>1</v>
      </c>
      <c r="CS221" s="149">
        <f t="shared" si="216"/>
        <v>1</v>
      </c>
      <c r="CT221" s="149">
        <f t="shared" si="217"/>
        <v>1</v>
      </c>
      <c r="CU221" s="149">
        <f t="shared" si="218"/>
        <v>1</v>
      </c>
      <c r="CV221" s="149">
        <f t="shared" si="219"/>
        <v>1</v>
      </c>
      <c r="CW221" s="149">
        <f t="shared" si="220"/>
        <v>1</v>
      </c>
      <c r="CX221" s="149">
        <f t="shared" si="221"/>
        <v>1</v>
      </c>
      <c r="CY221" s="149">
        <f t="shared" si="222"/>
        <v>1</v>
      </c>
      <c r="CZ221" s="149">
        <f t="shared" si="223"/>
        <v>1</v>
      </c>
      <c r="DA221" s="149">
        <f t="shared" si="224"/>
        <v>1</v>
      </c>
      <c r="DB221" s="149">
        <f t="shared" si="225"/>
        <v>1</v>
      </c>
      <c r="DG221" s="125">
        <f t="shared" si="241"/>
        <v>1</v>
      </c>
      <c r="DH221" s="125">
        <f t="shared" si="240"/>
        <v>2</v>
      </c>
      <c r="DI221" s="125">
        <f t="shared" si="240"/>
        <v>3</v>
      </c>
      <c r="DJ221" s="125">
        <f t="shared" si="240"/>
        <v>4</v>
      </c>
      <c r="DK221" s="125">
        <f t="shared" si="240"/>
        <v>5</v>
      </c>
      <c r="DL221" s="125">
        <f t="shared" si="240"/>
        <v>6</v>
      </c>
      <c r="DM221" s="125">
        <f t="shared" si="240"/>
        <v>7</v>
      </c>
      <c r="DN221" s="125">
        <f t="shared" si="240"/>
        <v>8</v>
      </c>
      <c r="DO221" s="125">
        <f t="shared" si="240"/>
        <v>9</v>
      </c>
      <c r="DP221" s="125">
        <f t="shared" si="240"/>
        <v>10</v>
      </c>
      <c r="DS221" s="137"/>
      <c r="DT221" s="137"/>
      <c r="DU221" s="137"/>
      <c r="DV221" s="137" t="b">
        <f t="shared" si="226"/>
        <v>0</v>
      </c>
      <c r="DW221" s="137" t="b">
        <f t="shared" si="227"/>
        <v>0</v>
      </c>
      <c r="DX221" s="137" t="b">
        <f t="shared" si="228"/>
        <v>1</v>
      </c>
      <c r="EB221" s="131">
        <f t="shared" si="237"/>
        <v>1</v>
      </c>
      <c r="EC221" s="137" t="b">
        <f t="shared" si="229"/>
        <v>0</v>
      </c>
      <c r="ED221" s="137" t="b">
        <f t="shared" si="230"/>
        <v>0</v>
      </c>
      <c r="EE221" s="137" t="b">
        <f t="shared" si="231"/>
        <v>1</v>
      </c>
      <c r="EF221" s="137"/>
      <c r="EG221" s="137"/>
      <c r="EH221" s="137"/>
      <c r="EI221" s="137"/>
      <c r="EJ221" s="137">
        <f t="shared" si="238"/>
        <v>1</v>
      </c>
      <c r="EK221" s="125">
        <f t="shared" si="232"/>
        <v>0</v>
      </c>
      <c r="EL221" s="125">
        <f t="shared" si="233"/>
        <v>0</v>
      </c>
    </row>
    <row r="222" spans="2:142" ht="15.75" x14ac:dyDescent="0.25">
      <c r="B222" s="160">
        <f t="shared" si="234"/>
        <v>192</v>
      </c>
      <c r="C222" s="283">
        <v>1001350662</v>
      </c>
      <c r="D222" s="283">
        <v>1001279212</v>
      </c>
      <c r="E222" s="281">
        <v>40000437</v>
      </c>
      <c r="F222" s="118">
        <f>IF(OR(J222="",H222=""),"",VLOOKUP(J222,'הזנה לסיווג רשויות'!$B$2:$D$301,2,0))</f>
        <v>20000201</v>
      </c>
      <c r="G222" s="118" t="str">
        <f>IF(OR(J222="",H222=""),"",VLOOKUP(J222,'הזנה לסיווג רשויות'!$B$2:$D$301,3,0))</f>
        <v>תל אביב -יפו</v>
      </c>
      <c r="H222" s="281" t="s">
        <v>717</v>
      </c>
      <c r="I222" s="201" t="s">
        <v>383</v>
      </c>
      <c r="J222" s="205">
        <v>5000</v>
      </c>
      <c r="K222" s="161">
        <v>0</v>
      </c>
      <c r="L222" s="161">
        <v>1</v>
      </c>
      <c r="M222" s="161">
        <v>0</v>
      </c>
      <c r="N222" s="161">
        <v>1</v>
      </c>
      <c r="O222" s="161">
        <v>1</v>
      </c>
      <c r="P222" s="161">
        <v>1</v>
      </c>
      <c r="Q222" s="161">
        <v>1</v>
      </c>
      <c r="R222" s="201">
        <v>996893</v>
      </c>
      <c r="S222" s="201">
        <v>583296</v>
      </c>
      <c r="T222" s="160">
        <f>IF(G222="","",IFERROR(IF(S222/R222&gt;'פרמטרים לקריטריונים'!$C$20,1,0),0))</f>
        <v>1</v>
      </c>
      <c r="U222" s="201">
        <v>412488</v>
      </c>
      <c r="V222" s="160">
        <f>IF(G222="","",IFERROR(IF(U222/R222&gt;'פרמטרים לקריטריונים'!$C$21,1,IF(AND(I222=$BW$5,U222/R222&gt;'פרמטרים לקריטריונים'!$C$22),1,0)),0))</f>
        <v>1</v>
      </c>
      <c r="W222" s="161">
        <v>1</v>
      </c>
      <c r="X222" s="161">
        <v>1</v>
      </c>
      <c r="Y222" s="201">
        <v>65000</v>
      </c>
      <c r="Z222" s="201">
        <v>50000</v>
      </c>
      <c r="AA222" s="161">
        <f t="shared" si="235"/>
        <v>1</v>
      </c>
      <c r="AB222" s="161"/>
      <c r="AC222" s="161"/>
      <c r="AD222" s="161"/>
      <c r="AE222" s="161"/>
      <c r="AF222" s="161"/>
      <c r="AG222" s="161"/>
      <c r="AH222" s="161"/>
      <c r="AI222" s="161"/>
      <c r="AJ222" s="161"/>
      <c r="AK222" s="161"/>
      <c r="AL222" s="161"/>
      <c r="AM222" s="161"/>
      <c r="AN222" s="161"/>
      <c r="AO222" s="161"/>
      <c r="AP222" s="161"/>
      <c r="AQ222" s="161"/>
      <c r="AR222" s="161"/>
      <c r="AS222" s="161"/>
      <c r="AT222" s="161"/>
      <c r="AU222" s="161"/>
      <c r="AV222" s="161"/>
      <c r="AW222" s="160"/>
      <c r="AX222" s="161"/>
      <c r="AY222" s="161"/>
      <c r="AZ222" s="161"/>
      <c r="BA222" s="161"/>
      <c r="BB222" s="161"/>
      <c r="BC222" s="161"/>
      <c r="BD222" s="161"/>
      <c r="BE222" s="161"/>
      <c r="BF222" s="160" t="str">
        <f t="shared" si="236"/>
        <v/>
      </c>
      <c r="BG222" s="160"/>
      <c r="BH222" s="160"/>
      <c r="BI222" s="160"/>
      <c r="BJ222" s="160"/>
      <c r="BK222" s="160"/>
      <c r="BL222" s="162">
        <f t="shared" si="187"/>
        <v>1</v>
      </c>
      <c r="BM222" s="257"/>
      <c r="BN222" s="163"/>
      <c r="BO222" s="211" t="str">
        <f t="shared" si="188"/>
        <v>עמותת אמנים יוצרים בישראלחללי תצוגה</v>
      </c>
      <c r="BP222" s="125">
        <f t="shared" si="189"/>
        <v>1</v>
      </c>
      <c r="BQ222" s="164">
        <v>0</v>
      </c>
      <c r="BR222" s="164">
        <v>1</v>
      </c>
      <c r="BS222" s="149">
        <f t="shared" si="190"/>
        <v>1</v>
      </c>
      <c r="BT222" s="149">
        <f t="shared" si="191"/>
        <v>1</v>
      </c>
      <c r="BU222" s="149">
        <f t="shared" si="192"/>
        <v>1</v>
      </c>
      <c r="BV222" s="149">
        <f t="shared" si="193"/>
        <v>1</v>
      </c>
      <c r="BW222" s="149">
        <f t="shared" si="194"/>
        <v>1</v>
      </c>
      <c r="BX222" s="149">
        <f t="shared" si="195"/>
        <v>1</v>
      </c>
      <c r="BY222" s="149">
        <f t="shared" si="196"/>
        <v>1</v>
      </c>
      <c r="BZ222" s="149">
        <f t="shared" si="197"/>
        <v>1</v>
      </c>
      <c r="CA222" s="149">
        <f t="shared" si="198"/>
        <v>1</v>
      </c>
      <c r="CB222" s="149">
        <f t="shared" si="199"/>
        <v>1</v>
      </c>
      <c r="CC222" s="149">
        <f t="shared" si="200"/>
        <v>1</v>
      </c>
      <c r="CD222" s="149">
        <f t="shared" si="201"/>
        <v>1</v>
      </c>
      <c r="CE222" s="149">
        <f t="shared" si="202"/>
        <v>1</v>
      </c>
      <c r="CF222" s="149">
        <f t="shared" si="203"/>
        <v>1</v>
      </c>
      <c r="CG222" s="149">
        <f t="shared" si="204"/>
        <v>1</v>
      </c>
      <c r="CH222" s="149">
        <f t="shared" si="205"/>
        <v>1</v>
      </c>
      <c r="CI222" s="149">
        <f t="shared" si="206"/>
        <v>1</v>
      </c>
      <c r="CJ222" s="149">
        <f t="shared" si="207"/>
        <v>1</v>
      </c>
      <c r="CK222" s="149">
        <f t="shared" si="208"/>
        <v>1</v>
      </c>
      <c r="CL222" s="149">
        <f t="shared" si="209"/>
        <v>1</v>
      </c>
      <c r="CM222" s="149">
        <f t="shared" si="210"/>
        <v>1</v>
      </c>
      <c r="CN222" s="149">
        <f t="shared" si="211"/>
        <v>1</v>
      </c>
      <c r="CO222" s="149">
        <f t="shared" si="212"/>
        <v>1</v>
      </c>
      <c r="CP222" s="149">
        <f t="shared" si="213"/>
        <v>1</v>
      </c>
      <c r="CQ222" s="149">
        <f t="shared" si="214"/>
        <v>1</v>
      </c>
      <c r="CR222" s="149">
        <f t="shared" si="215"/>
        <v>1</v>
      </c>
      <c r="CS222" s="149">
        <f t="shared" si="216"/>
        <v>1</v>
      </c>
      <c r="CT222" s="149">
        <f t="shared" si="217"/>
        <v>1</v>
      </c>
      <c r="CU222" s="149">
        <f t="shared" si="218"/>
        <v>1</v>
      </c>
      <c r="CV222" s="149">
        <f t="shared" si="219"/>
        <v>1</v>
      </c>
      <c r="CW222" s="149">
        <f t="shared" si="220"/>
        <v>1</v>
      </c>
      <c r="CX222" s="149">
        <f t="shared" si="221"/>
        <v>1</v>
      </c>
      <c r="CY222" s="149">
        <f t="shared" si="222"/>
        <v>1</v>
      </c>
      <c r="CZ222" s="149">
        <f t="shared" si="223"/>
        <v>1</v>
      </c>
      <c r="DA222" s="149">
        <f t="shared" si="224"/>
        <v>1</v>
      </c>
      <c r="DB222" s="149">
        <f t="shared" si="225"/>
        <v>1</v>
      </c>
      <c r="DG222" s="125">
        <f t="shared" si="241"/>
        <v>1</v>
      </c>
      <c r="DH222" s="125">
        <f t="shared" si="240"/>
        <v>2</v>
      </c>
      <c r="DI222" s="125">
        <f t="shared" si="240"/>
        <v>3</v>
      </c>
      <c r="DJ222" s="125">
        <f t="shared" si="240"/>
        <v>4</v>
      </c>
      <c r="DK222" s="125">
        <f t="shared" si="240"/>
        <v>5</v>
      </c>
      <c r="DL222" s="125">
        <f t="shared" si="240"/>
        <v>6</v>
      </c>
      <c r="DM222" s="125">
        <f t="shared" si="240"/>
        <v>7</v>
      </c>
      <c r="DN222" s="125">
        <f t="shared" si="240"/>
        <v>8</v>
      </c>
      <c r="DO222" s="125">
        <f t="shared" si="240"/>
        <v>9</v>
      </c>
      <c r="DP222" s="125">
        <f t="shared" si="240"/>
        <v>10</v>
      </c>
      <c r="DS222" s="137"/>
      <c r="DT222" s="137"/>
      <c r="DU222" s="137"/>
      <c r="DV222" s="137" t="b">
        <f t="shared" si="226"/>
        <v>0</v>
      </c>
      <c r="DW222" s="137" t="b">
        <f t="shared" si="227"/>
        <v>0</v>
      </c>
      <c r="DX222" s="137" t="b">
        <f t="shared" si="228"/>
        <v>1</v>
      </c>
      <c r="EB222" s="131">
        <f t="shared" si="237"/>
        <v>1</v>
      </c>
      <c r="EC222" s="137" t="b">
        <f t="shared" si="229"/>
        <v>0</v>
      </c>
      <c r="ED222" s="137" t="b">
        <f t="shared" si="230"/>
        <v>0</v>
      </c>
      <c r="EE222" s="137" t="b">
        <f t="shared" si="231"/>
        <v>1</v>
      </c>
      <c r="EF222" s="137"/>
      <c r="EG222" s="137"/>
      <c r="EH222" s="137"/>
      <c r="EI222" s="137"/>
      <c r="EJ222" s="137">
        <f t="shared" si="238"/>
        <v>1</v>
      </c>
      <c r="EK222" s="125">
        <f t="shared" si="232"/>
        <v>0</v>
      </c>
      <c r="EL222" s="125">
        <f t="shared" si="233"/>
        <v>0</v>
      </c>
    </row>
    <row r="223" spans="2:142" ht="15.75" x14ac:dyDescent="0.25">
      <c r="B223" s="160" t="str">
        <f t="shared" si="234"/>
        <v/>
      </c>
      <c r="C223" s="283"/>
      <c r="D223" s="283"/>
      <c r="E223" s="281"/>
      <c r="F223" s="118" t="str">
        <f>IF(OR(J223="",H223=""),"",VLOOKUP(J223,'הזנה לסיווג רשויות'!$B$2:$D$301,2,0))</f>
        <v/>
      </c>
      <c r="G223" s="118" t="str">
        <f>IF(OR(J223="",H223=""),"",VLOOKUP(J223,'הזנה לסיווג רשויות'!$B$2:$D$301,3,0))</f>
        <v/>
      </c>
      <c r="H223" s="281"/>
      <c r="I223" s="201"/>
      <c r="J223" s="205"/>
      <c r="K223" s="161"/>
      <c r="L223" s="161"/>
      <c r="M223" s="161"/>
      <c r="N223" s="161"/>
      <c r="O223" s="161"/>
      <c r="P223" s="161"/>
      <c r="Q223" s="161"/>
      <c r="R223" s="201"/>
      <c r="S223" s="201"/>
      <c r="T223" s="160" t="str">
        <f>IF(G223="","",IFERROR(IF(S223/R223&gt;'פרמטרים לקריטריונים'!$C$20,1,0),0))</f>
        <v/>
      </c>
      <c r="U223" s="201"/>
      <c r="V223" s="160" t="str">
        <f>IF(G223="","",IFERROR(IF(U223/R223&gt;'פרמטרים לקריטריונים'!$C$21,1,IF(AND(I223=$BW$5,U223/R223&gt;'פרמטרים לקריטריונים'!$C$22),1,0)),0))</f>
        <v/>
      </c>
      <c r="W223" s="161"/>
      <c r="X223" s="161"/>
      <c r="Y223" s="201"/>
      <c r="Z223" s="201"/>
      <c r="AA223" s="161" t="str">
        <f t="shared" si="235"/>
        <v/>
      </c>
      <c r="AB223" s="161"/>
      <c r="AC223" s="161"/>
      <c r="AD223" s="161"/>
      <c r="AE223" s="161"/>
      <c r="AF223" s="161"/>
      <c r="AG223" s="161"/>
      <c r="AH223" s="161"/>
      <c r="AI223" s="161"/>
      <c r="AJ223" s="161"/>
      <c r="AK223" s="161"/>
      <c r="AL223" s="161"/>
      <c r="AM223" s="161"/>
      <c r="AN223" s="161"/>
      <c r="AO223" s="161"/>
      <c r="AP223" s="161"/>
      <c r="AQ223" s="161"/>
      <c r="AR223" s="161"/>
      <c r="AS223" s="161"/>
      <c r="AT223" s="161"/>
      <c r="AU223" s="161"/>
      <c r="AV223" s="161"/>
      <c r="AW223" s="160"/>
      <c r="AX223" s="161"/>
      <c r="AY223" s="161"/>
      <c r="AZ223" s="161"/>
      <c r="BA223" s="161"/>
      <c r="BB223" s="161"/>
      <c r="BC223" s="161"/>
      <c r="BD223" s="161"/>
      <c r="BE223" s="161"/>
      <c r="BF223" s="160" t="str">
        <f t="shared" si="236"/>
        <v/>
      </c>
      <c r="BG223" s="160"/>
      <c r="BH223" s="160"/>
      <c r="BI223" s="160"/>
      <c r="BJ223" s="160"/>
      <c r="BK223" s="160"/>
      <c r="BL223" s="162" t="str">
        <f t="shared" ref="BL223:BL286" si="242">IF($G223="","",IF(SUM(N223:O223)=0,0,IF(OR(H223="",I223="",J223="",AA223=0,Y223=""),$BQ$1,IF(BP223&lt;&gt;1,$BQ$1,IF(SUMPRODUCT(--(K223:BG223&gt;=$K$5:$BG$5)*($K$5:$BG$5&lt;&gt;"")*($K$4:$BG$4=1))=COUNTIF($K$4:$BG$4,1),1,0)))))</f>
        <v/>
      </c>
      <c r="BM223" s="257"/>
      <c r="BN223" s="163"/>
      <c r="BO223" s="211" t="str">
        <f t="shared" ref="BO223:BO286" si="243">CONCATENATE(H223,I223)</f>
        <v/>
      </c>
      <c r="BP223" s="125">
        <f t="shared" ref="BP223:BP286" si="244">IF(OR(SUM(BS223:DB223)&lt;&gt;COUNT(BS223:DB223),SUMPRODUCT(--(N223:BG223=$BQ$1))&lt;&gt;0),0,1)</f>
        <v>0</v>
      </c>
      <c r="BQ223" s="164">
        <v>0</v>
      </c>
      <c r="BR223" s="164">
        <v>1</v>
      </c>
      <c r="BS223" s="149">
        <f t="shared" ref="BS223:BS286" si="245">IF(OR(K$30="",K$4=99),1,IF(K223="",0,IFERROR(CHOOSE(BS$28,IF(ISNA(MATCH(K223,$BQ$30:$BR$30,0)),0,1),IF(ISNUMBER(K223),1,0),IF(K223=TRUNC(K223),1,0),IF(AND(K223*1=K223,K223&gt;=0),1,0),IF(AND(K223=TRUNC(K223),K223&gt;=0),1,0),IF(AND(K223*1=K223,K223&gt;0),1,0),IF(AND(K223=TRUNC(K223),K223&gt;0),1,0),1,IF(ISNA(HLOOKUP(K223,$BT$4:$CD$4,1,0)),0,1)),0)))</f>
        <v>0</v>
      </c>
      <c r="BT223" s="149">
        <f t="shared" ref="BT223:BT286" si="246">IF(OR(L$30="",L$4=99),1,IF(L223="",0,IFERROR(CHOOSE(BT$28,IF(ISNA(MATCH(L223,$BQ$30:$BR$30,0)),0,1),IF(ISNUMBER(L223),1,0),IF(L223=TRUNC(L223),1,0),IF(AND(L223*1=L223,L223&gt;=0),1,0),IF(AND(L223=TRUNC(L223),L223&gt;=0),1,0),IF(AND(L223*1=L223,L223&gt;0),1,0),IF(AND(L223=TRUNC(L223),L223&gt;0),1,0),1,IF(ISNA(HLOOKUP(L223,$BT$4:$CD$4,1,0)),0,1)),0)))</f>
        <v>0</v>
      </c>
      <c r="BU223" s="149">
        <f t="shared" ref="BU223:BU286" si="247">IF(OR(M$30="",M$4=99),1,IF(M223="",0,IFERROR(CHOOSE(BU$28,IF(ISNA(MATCH(M223,$BQ$30:$BR$30,0)),0,1),IF(ISNUMBER(M223),1,0),IF(M223=TRUNC(M223),1,0),IF(AND(M223*1=M223,M223&gt;=0),1,0),IF(AND(M223=TRUNC(M223),M223&gt;=0),1,0),IF(AND(M223*1=M223,M223&gt;0),1,0),IF(AND(M223=TRUNC(M223),M223&gt;0),1,0),1,IF(ISNA(HLOOKUP(M223,$BT$4:$CD$4,1,0)),0,1)),0)))</f>
        <v>0</v>
      </c>
      <c r="BV223" s="149">
        <f t="shared" ref="BV223:BV286" si="248">IF(OR(N$30="",N$4=99),1,IF(N223="",0,IFERROR(CHOOSE(BV$28,IF(ISNA(MATCH(N223,$BQ$30:$BR$30,0)),0,1),IF(ISNUMBER(N223),1,0),IF(N223=TRUNC(N223),1,0),IF(AND(N223*1=N223,N223&gt;=0),1,0),IF(AND(N223=TRUNC(N223),N223&gt;=0),1,0),IF(AND(N223*1=N223,N223&gt;0),1,0),IF(AND(N223=TRUNC(N223),N223&gt;0),1,0),1,IF(ISNA(HLOOKUP(N223,$BT$4:$CD$4,1,0)),0,1)),0)))</f>
        <v>0</v>
      </c>
      <c r="BW223" s="149">
        <f t="shared" ref="BW223:BW286" si="249">IF(OR(O$30="",O$4=99),1,IF(O223="",0,IFERROR(CHOOSE(BW$28,IF(ISNA(MATCH(O223,$BQ$30:$BR$30,0)),0,1),IF(ISNUMBER(O223),1,0),IF(O223=TRUNC(O223),1,0),IF(AND(O223*1=O223,O223&gt;=0),1,0),IF(AND(O223=TRUNC(O223),O223&gt;=0),1,0),IF(AND(O223*1=O223,O223&gt;0),1,0),IF(AND(O223=TRUNC(O223),O223&gt;0),1,0),1,IF(ISNA(HLOOKUP(O223,$BT$4:$CD$4,1,0)),0,1)),0)))</f>
        <v>0</v>
      </c>
      <c r="BX223" s="149">
        <f t="shared" ref="BX223:BX286" si="250">IF(OR(P$30="",P$4=99),1,IF(P223="",0,IFERROR(CHOOSE(BX$28,IF(ISNA(MATCH(P223,$BQ$30:$BR$30,0)),0,1),IF(ISNUMBER(P223),1,0),IF(P223=TRUNC(P223),1,0),IF(AND(P223*1=P223,P223&gt;=0),1,0),IF(AND(P223=TRUNC(P223),P223&gt;=0),1,0),IF(AND(P223*1=P223,P223&gt;0),1,0),IF(AND(P223=TRUNC(P223),P223&gt;0),1,0),1,IF(ISNA(HLOOKUP(P223,$BT$4:$CD$4,1,0)),0,1)),0)))</f>
        <v>0</v>
      </c>
      <c r="BY223" s="149">
        <f t="shared" ref="BY223:BY286" si="251">IF(OR(Q$30="",Q$4=99),1,IF(Q223="",0,IFERROR(CHOOSE(BY$28,IF(ISNA(MATCH(Q223,$BQ$30:$BR$30,0)),0,1),IF(ISNUMBER(Q223),1,0),IF(Q223=TRUNC(Q223),1,0),IF(AND(Q223*1=Q223,Q223&gt;=0),1,0),IF(AND(Q223=TRUNC(Q223),Q223&gt;=0),1,0),IF(AND(Q223*1=Q223,Q223&gt;0),1,0),IF(AND(Q223=TRUNC(Q223),Q223&gt;0),1,0),1,IF(ISNA(HLOOKUP(Q223,$BT$4:$CD$4,1,0)),0,1)),0)))</f>
        <v>0</v>
      </c>
      <c r="BZ223" s="149">
        <f t="shared" ref="BZ223:BZ286" si="252">IF(OR(R$30="",R$4=99),1,IF(R223="",0,IFERROR(CHOOSE(BZ$28,IF(ISNA(MATCH(R223,$BQ$30:$BR$30,0)),0,1),IF(ISNUMBER(R223),1,0),IF(R223=TRUNC(R223),1,0),IF(AND(R223*1=R223,R223&gt;=0),1,0),IF(AND(R223=TRUNC(R223),R223&gt;=0),1,0),IF(AND(R223*1=R223,R223&gt;0),1,0),IF(AND(R223=TRUNC(R223),R223&gt;0),1,0),1,IF(ISNA(HLOOKUP(R223,$BT$4:$CD$4,1,0)),0,1)),0)))</f>
        <v>0</v>
      </c>
      <c r="CA223" s="149">
        <f t="shared" ref="CA223:CA286" si="253">IF(OR(S$30="",S$4=99),1,IF(S223="",0,IFERROR(CHOOSE(CA$28,IF(ISNA(MATCH(S223,$BQ$30:$BR$30,0)),0,1),IF(ISNUMBER(S223),1,0),IF(S223=TRUNC(S223),1,0),IF(AND(S223*1=S223,S223&gt;=0),1,0),IF(AND(S223=TRUNC(S223),S223&gt;=0),1,0),IF(AND(S223*1=S223,S223&gt;0),1,0),IF(AND(S223=TRUNC(S223),S223&gt;0),1,0),1,IF(ISNA(HLOOKUP(S223,$BT$4:$CD$4,1,0)),0,1)),0)))</f>
        <v>0</v>
      </c>
      <c r="CB223" s="149">
        <f t="shared" ref="CB223:CB286" si="254">IF(OR(T$30="",T$4=99),1,IF(T223="",0,IFERROR(CHOOSE(CB$28,IF(ISNA(MATCH(T223,$BQ$30:$BR$30,0)),0,1),IF(ISNUMBER(T223),1,0),IF(T223=TRUNC(T223),1,0),IF(AND(T223*1=T223,T223&gt;=0),1,0),IF(AND(T223=TRUNC(T223),T223&gt;=0),1,0),IF(AND(T223*1=T223,T223&gt;0),1,0),IF(AND(T223=TRUNC(T223),T223&gt;0),1,0),1,IF(ISNA(HLOOKUP(T223,$BT$4:$CD$4,1,0)),0,1)),0)))</f>
        <v>1</v>
      </c>
      <c r="CC223" s="149">
        <f t="shared" ref="CC223:CC286" si="255">IF(OR(U$30="",U$4=99),1,IF(U223="",0,IFERROR(CHOOSE(CC$28,IF(ISNA(MATCH(U223,$BQ$30:$BR$30,0)),0,1),IF(ISNUMBER(U223),1,0),IF(U223=TRUNC(U223),1,0),IF(AND(U223*1=U223,U223&gt;=0),1,0),IF(AND(U223=TRUNC(U223),U223&gt;=0),1,0),IF(AND(U223*1=U223,U223&gt;0),1,0),IF(AND(U223=TRUNC(U223),U223&gt;0),1,0),1,IF(ISNA(HLOOKUP(U223,$BT$4:$CD$4,1,0)),0,1)),0)))</f>
        <v>0</v>
      </c>
      <c r="CD223" s="149">
        <f t="shared" ref="CD223:CD286" si="256">IF(OR(V$30="",V$4=99),1,IF(V223="",0,IFERROR(CHOOSE(CD$28,IF(ISNA(MATCH(V223,$BQ$30:$BR$30,0)),0,1),IF(ISNUMBER(V223),1,0),IF(V223=TRUNC(V223),1,0),IF(AND(V223*1=V223,V223&gt;=0),1,0),IF(AND(V223=TRUNC(V223),V223&gt;=0),1,0),IF(AND(V223*1=V223,V223&gt;0),1,0),IF(AND(V223=TRUNC(V223),V223&gt;0),1,0),1,IF(ISNA(HLOOKUP(V223,$BT$4:$CD$4,1,0)),0,1)),0)))</f>
        <v>1</v>
      </c>
      <c r="CE223" s="149">
        <f t="shared" ref="CE223:CE286" si="257">IF(OR(W$30="",W$4=99),1,IF(W223="",0,IFERROR(CHOOSE(CE$28,IF(ISNA(MATCH(W223,$BQ$30:$BR$30,0)),0,1),IF(ISNUMBER(W223),1,0),IF(W223=TRUNC(W223),1,0),IF(AND(W223*1=W223,W223&gt;=0),1,0),IF(AND(W223=TRUNC(W223),W223&gt;=0),1,0),IF(AND(W223*1=W223,W223&gt;0),1,0),IF(AND(W223=TRUNC(W223),W223&gt;0),1,0),1,IF(ISNA(HLOOKUP(W223,$BT$4:$CD$4,1,0)),0,1)),0)))</f>
        <v>0</v>
      </c>
      <c r="CF223" s="149">
        <f t="shared" ref="CF223:CF286" si="258">IF(OR(X$30="",X$4=99),1,IF(X223="",0,IFERROR(CHOOSE(CF$28,IF(ISNA(MATCH(X223,$BQ$30:$BR$30,0)),0,1),IF(ISNUMBER(X223),1,0),IF(X223=TRUNC(X223),1,0),IF(AND(X223*1=X223,X223&gt;=0),1,0),IF(AND(X223=TRUNC(X223),X223&gt;=0),1,0),IF(AND(X223*1=X223,X223&gt;0),1,0),IF(AND(X223=TRUNC(X223),X223&gt;0),1,0),1,IF(ISNA(HLOOKUP(X223,$BT$4:$CD$4,1,0)),0,1)),0)))</f>
        <v>0</v>
      </c>
      <c r="CG223" s="149">
        <f t="shared" ref="CG223:CG286" si="259">IF(OR(Y$30="",Y$4=99),1,IF(Y223="",0,IFERROR(CHOOSE(CG$28,IF(ISNA(MATCH(Y223,$BQ$30:$BR$30,0)),0,1),IF(ISNUMBER(Y223),1,0),IF(Y223=TRUNC(Y223),1,0),IF(AND(Y223*1=Y223,Y223&gt;=0),1,0),IF(AND(Y223=TRUNC(Y223),Y223&gt;=0),1,0),IF(AND(Y223*1=Y223,Y223&gt;0),1,0),IF(AND(Y223=TRUNC(Y223),Y223&gt;0),1,0),1,IF(ISNA(HLOOKUP(Y223,$BT$4:$CD$4,1,0)),0,1)),0)))</f>
        <v>0</v>
      </c>
      <c r="CH223" s="149">
        <f t="shared" ref="CH223:CH286" si="260">IF(OR(Z$30="",Z$4=99),1,IF(Z223="",0,IFERROR(CHOOSE(CH$28,IF(ISNA(MATCH(Z223,$BQ$30:$BR$30,0)),0,1),IF(ISNUMBER(Z223),1,0),IF(Z223=TRUNC(Z223),1,0),IF(AND(Z223*1=Z223,Z223&gt;=0),1,0),IF(AND(Z223=TRUNC(Z223),Z223&gt;=0),1,0),IF(AND(Z223*1=Z223,Z223&gt;0),1,0),IF(AND(Z223=TRUNC(Z223),Z223&gt;0),1,0),1,IF(ISNA(HLOOKUP(Z223,$BT$4:$CD$4,1,0)),0,1)),0)))</f>
        <v>0</v>
      </c>
      <c r="CI223" s="149">
        <f t="shared" ref="CI223:CI286" si="261">IF(OR(AA$30="",AA$4=99),1,IF(AA223="",0,IFERROR(CHOOSE(CI$28,IF(ISNA(MATCH(AA223,$BQ$30:$BR$30,0)),0,1),IF(ISNUMBER(AA223),1,0),IF(AA223=TRUNC(AA223),1,0),IF(AND(AA223*1=AA223,AA223&gt;=0),1,0),IF(AND(AA223=TRUNC(AA223),AA223&gt;=0),1,0),IF(AND(AA223*1=AA223,AA223&gt;0),1,0),IF(AND(AA223=TRUNC(AA223),AA223&gt;0),1,0),1,IF(ISNA(HLOOKUP(AA223,$BT$4:$CD$4,1,0)),0,1)),0)))</f>
        <v>1</v>
      </c>
      <c r="CJ223" s="149">
        <f t="shared" ref="CJ223:CJ286" si="262">IF(OR(AB$30="",AB$4=99),1,IF(AB223="",0,IFERROR(CHOOSE(CJ$28,IF(ISNA(MATCH(AB223,$BQ$30:$BR$30,0)),0,1),IF(ISNUMBER(AB223),1,0),IF(AB223=TRUNC(AB223),1,0),IF(AND(AB223*1=AB223,AB223&gt;=0),1,0),IF(AND(AB223=TRUNC(AB223),AB223&gt;=0),1,0),IF(AND(AB223*1=AB223,AB223&gt;0),1,0),IF(AND(AB223=TRUNC(AB223),AB223&gt;0),1,0),1,IF(ISNA(HLOOKUP(AB223,$BT$4:$CD$4,1,0)),0,1)),0)))</f>
        <v>1</v>
      </c>
      <c r="CK223" s="149">
        <f t="shared" ref="CK223:CK286" si="263">IF(OR(AC$30="",AC$4=99),1,IF(AC223="",0,IFERROR(CHOOSE(CK$28,IF(ISNA(MATCH(AC223,$BQ$30:$BR$30,0)),0,1),IF(ISNUMBER(AC223),1,0),IF(AC223=TRUNC(AC223),1,0),IF(AND(AC223*1=AC223,AC223&gt;=0),1,0),IF(AND(AC223=TRUNC(AC223),AC223&gt;=0),1,0),IF(AND(AC223*1=AC223,AC223&gt;0),1,0),IF(AND(AC223=TRUNC(AC223),AC223&gt;0),1,0),1,IF(ISNA(HLOOKUP(AC223,$BT$4:$CD$4,1,0)),0,1)),0)))</f>
        <v>1</v>
      </c>
      <c r="CL223" s="149">
        <f t="shared" ref="CL223:CL286" si="264">IF(OR(AD$30="",AD$4=99),1,IF(AD223="",0,IFERROR(CHOOSE(CL$28,IF(ISNA(MATCH(AD223,$BQ$30:$BR$30,0)),0,1),IF(ISNUMBER(AD223),1,0),IF(AD223=TRUNC(AD223),1,0),IF(AND(AD223*1=AD223,AD223&gt;=0),1,0),IF(AND(AD223=TRUNC(AD223),AD223&gt;=0),1,0),IF(AND(AD223*1=AD223,AD223&gt;0),1,0),IF(AND(AD223=TRUNC(AD223),AD223&gt;0),1,0),1,IF(ISNA(HLOOKUP(AD223,$BT$4:$CD$4,1,0)),0,1)),0)))</f>
        <v>1</v>
      </c>
      <c r="CM223" s="149">
        <f t="shared" ref="CM223:CM286" si="265">IF(OR(AE$30="",AE$4=99),1,IF(AE223="",0,IFERROR(CHOOSE(CM$28,IF(ISNA(MATCH(AE223,$BQ$30:$BR$30,0)),0,1),IF(ISNUMBER(AE223),1,0),IF(AE223=TRUNC(AE223),1,0),IF(AND(AE223*1=AE223,AE223&gt;=0),1,0),IF(AND(AE223=TRUNC(AE223),AE223&gt;=0),1,0),IF(AND(AE223*1=AE223,AE223&gt;0),1,0),IF(AND(AE223=TRUNC(AE223),AE223&gt;0),1,0),1,IF(ISNA(HLOOKUP(AE223,$BT$4:$CD$4,1,0)),0,1)),0)))</f>
        <v>1</v>
      </c>
      <c r="CN223" s="149">
        <f t="shared" ref="CN223:CN286" si="266">IF(OR(AF$30="",AF$4=99),1,IF(AF223="",0,IFERROR(CHOOSE(CN$28,IF(ISNA(MATCH(AF223,$BQ$30:$BR$30,0)),0,1),IF(ISNUMBER(AF223),1,0),IF(AF223=TRUNC(AF223),1,0),IF(AND(AF223*1=AF223,AF223&gt;=0),1,0),IF(AND(AF223=TRUNC(AF223),AF223&gt;=0),1,0),IF(AND(AF223*1=AF223,AF223&gt;0),1,0),IF(AND(AF223=TRUNC(AF223),AF223&gt;0),1,0),1,IF(ISNA(HLOOKUP(AF223,$BT$4:$CD$4,1,0)),0,1)),0)))</f>
        <v>1</v>
      </c>
      <c r="CO223" s="149">
        <f t="shared" ref="CO223:CO286" si="267">IF(OR(AG$30="",AG$4=99),1,IF(AG223="",0,IFERROR(CHOOSE(CO$28,IF(ISNA(MATCH(AG223,$BQ$30:$BR$30,0)),0,1),IF(ISNUMBER(AG223),1,0),IF(AG223=TRUNC(AG223),1,0),IF(AND(AG223*1=AG223,AG223&gt;=0),1,0),IF(AND(AG223=TRUNC(AG223),AG223&gt;=0),1,0),IF(AND(AG223*1=AG223,AG223&gt;0),1,0),IF(AND(AG223=TRUNC(AG223),AG223&gt;0),1,0),1,IF(ISNA(HLOOKUP(AG223,$BT$4:$CD$4,1,0)),0,1)),0)))</f>
        <v>1</v>
      </c>
      <c r="CP223" s="149">
        <f t="shared" ref="CP223:CP286" si="268">IF(OR(AH$30="",AH$4=99),1,IF(AH223="",0,IFERROR(CHOOSE(CP$28,IF(ISNA(MATCH(AH223,$BQ$30:$BR$30,0)),0,1),IF(ISNUMBER(AH223),1,0),IF(AH223=TRUNC(AH223),1,0),IF(AND(AH223*1=AH223,AH223&gt;=0),1,0),IF(AND(AH223=TRUNC(AH223),AH223&gt;=0),1,0),IF(AND(AH223*1=AH223,AH223&gt;0),1,0),IF(AND(AH223=TRUNC(AH223),AH223&gt;0),1,0),1,IF(ISNA(HLOOKUP(AH223,$BT$4:$CD$4,1,0)),0,1)),0)))</f>
        <v>1</v>
      </c>
      <c r="CQ223" s="149">
        <f t="shared" ref="CQ223:CQ286" si="269">IF(OR(AI$30="",AI$4=99),1,IF(AI223="",0,IFERROR(CHOOSE(CQ$28,IF(ISNA(MATCH(AI223,$BQ$30:$BR$30,0)),0,1),IF(ISNUMBER(AI223),1,0),IF(AI223=TRUNC(AI223),1,0),IF(AND(AI223*1=AI223,AI223&gt;=0),1,0),IF(AND(AI223=TRUNC(AI223),AI223&gt;=0),1,0),IF(AND(AI223*1=AI223,AI223&gt;0),1,0),IF(AND(AI223=TRUNC(AI223),AI223&gt;0),1,0),1,IF(ISNA(HLOOKUP(AI223,$BT$4:$CD$4,1,0)),0,1)),0)))</f>
        <v>1</v>
      </c>
      <c r="CR223" s="149">
        <f t="shared" ref="CR223:CR286" si="270">IF(OR(AJ$30="",AJ$4=99),1,IF(AJ223="",0,IFERROR(CHOOSE(CR$28,IF(ISNA(MATCH(AJ223,$BQ$30:$BR$30,0)),0,1),IF(ISNUMBER(AJ223),1,0),IF(AJ223=TRUNC(AJ223),1,0),IF(AND(AJ223*1=AJ223,AJ223&gt;=0),1,0),IF(AND(AJ223=TRUNC(AJ223),AJ223&gt;=0),1,0),IF(AND(AJ223*1=AJ223,AJ223&gt;0),1,0),IF(AND(AJ223=TRUNC(AJ223),AJ223&gt;0),1,0),1,IF(ISNA(HLOOKUP(AJ223,$BT$4:$CD$4,1,0)),0,1)),0)))</f>
        <v>1</v>
      </c>
      <c r="CS223" s="149">
        <f t="shared" ref="CS223:CS286" si="271">IF(OR(AK$30="",AK$4=99),1,IF(AK223="",0,IFERROR(CHOOSE(CS$28,IF(ISNA(MATCH(AK223,$BQ$30:$BR$30,0)),0,1),IF(ISNUMBER(AK223),1,0),IF(AK223=TRUNC(AK223),1,0),IF(AND(AK223*1=AK223,AK223&gt;=0),1,0),IF(AND(AK223=TRUNC(AK223),AK223&gt;=0),1,0),IF(AND(AK223*1=AK223,AK223&gt;0),1,0),IF(AND(AK223=TRUNC(AK223),AK223&gt;0),1,0),1,IF(ISNA(HLOOKUP(AK223,$BT$4:$CD$4,1,0)),0,1)),0)))</f>
        <v>1</v>
      </c>
      <c r="CT223" s="149">
        <f t="shared" ref="CT223:CT286" si="272">IF(OR(AL$30="",AL$4=99),1,IF(AL223="",0,IFERROR(CHOOSE(CT$28,IF(ISNA(MATCH(AL223,$BQ$30:$BR$30,0)),0,1),IF(ISNUMBER(AL223),1,0),IF(AL223=TRUNC(AL223),1,0),IF(AND(AL223*1=AL223,AL223&gt;=0),1,0),IF(AND(AL223=TRUNC(AL223),AL223&gt;=0),1,0),IF(AND(AL223*1=AL223,AL223&gt;0),1,0),IF(AND(AL223=TRUNC(AL223),AL223&gt;0),1,0),1,IF(ISNA(HLOOKUP(AL223,$BT$4:$CD$4,1,0)),0,1)),0)))</f>
        <v>1</v>
      </c>
      <c r="CU223" s="149">
        <f t="shared" ref="CU223:CU286" si="273">IF(OR(AM$30="",AM$4=99),1,IF(AM223="",0,IFERROR(CHOOSE(CU$28,IF(ISNA(MATCH(AM223,$BQ$30:$BR$30,0)),0,1),IF(ISNUMBER(AM223),1,0),IF(AM223=TRUNC(AM223),1,0),IF(AND(AM223*1=AM223,AM223&gt;=0),1,0),IF(AND(AM223=TRUNC(AM223),AM223&gt;=0),1,0),IF(AND(AM223*1=AM223,AM223&gt;0),1,0),IF(AND(AM223=TRUNC(AM223),AM223&gt;0),1,0),1,IF(ISNA(HLOOKUP(AM223,$BT$4:$CD$4,1,0)),0,1)),0)))</f>
        <v>1</v>
      </c>
      <c r="CV223" s="149">
        <f t="shared" ref="CV223:CV286" si="274">IF(OR(AN$30="",AN$4=99),1,IF(AN223="",0,IFERROR(CHOOSE(CV$28,IF(ISNA(MATCH(AN223,$BQ$30:$BR$30,0)),0,1),IF(ISNUMBER(AN223),1,0),IF(AN223=TRUNC(AN223),1,0),IF(AND(AN223*1=AN223,AN223&gt;=0),1,0),IF(AND(AN223=TRUNC(AN223),AN223&gt;=0),1,0),IF(AND(AN223*1=AN223,AN223&gt;0),1,0),IF(AND(AN223=TRUNC(AN223),AN223&gt;0),1,0),1,IF(ISNA(HLOOKUP(AN223,$BT$4:$CD$4,1,0)),0,1)),0)))</f>
        <v>1</v>
      </c>
      <c r="CW223" s="149">
        <f t="shared" ref="CW223:CW286" si="275">IF(OR(AO$30="",AO$4=99),1,IF(AO223="",0,IFERROR(CHOOSE(CW$28,IF(ISNA(MATCH(AO223,$BQ$30:$BR$30,0)),0,1),IF(ISNUMBER(AO223),1,0),IF(AO223=TRUNC(AO223),1,0),IF(AND(AO223*1=AO223,AO223&gt;=0),1,0),IF(AND(AO223=TRUNC(AO223),AO223&gt;=0),1,0),IF(AND(AO223*1=AO223,AO223&gt;0),1,0),IF(AND(AO223=TRUNC(AO223),AO223&gt;0),1,0),1,IF(ISNA(HLOOKUP(AO223,$BT$4:$CD$4,1,0)),0,1)),0)))</f>
        <v>1</v>
      </c>
      <c r="CX223" s="149">
        <f t="shared" ref="CX223:CX286" si="276">IF(OR(AP$30="",AP$4=99),1,IF(AP223="",0,IFERROR(CHOOSE(CX$28,IF(ISNA(MATCH(AP223,$BQ$30:$BR$30,0)),0,1),IF(ISNUMBER(AP223),1,0),IF(AP223=TRUNC(AP223),1,0),IF(AND(AP223*1=AP223,AP223&gt;=0),1,0),IF(AND(AP223=TRUNC(AP223),AP223&gt;=0),1,0),IF(AND(AP223*1=AP223,AP223&gt;0),1,0),IF(AND(AP223=TRUNC(AP223),AP223&gt;0),1,0),1,IF(ISNA(HLOOKUP(AP223,$BT$4:$CD$4,1,0)),0,1)),0)))</f>
        <v>1</v>
      </c>
      <c r="CY223" s="149">
        <f t="shared" ref="CY223:CY286" si="277">IF(OR(AQ$30="",AQ$4=99),1,IF(AQ223="",0,IFERROR(CHOOSE(CY$28,IF(ISNA(MATCH(AQ223,$BQ$30:$BR$30,0)),0,1),IF(ISNUMBER(AQ223),1,0),IF(AQ223=TRUNC(AQ223),1,0),IF(AND(AQ223*1=AQ223,AQ223&gt;=0),1,0),IF(AND(AQ223=TRUNC(AQ223),AQ223&gt;=0),1,0),IF(AND(AQ223*1=AQ223,AQ223&gt;0),1,0),IF(AND(AQ223=TRUNC(AQ223),AQ223&gt;0),1,0),1,IF(ISNA(HLOOKUP(AQ223,$BT$4:$CD$4,1,0)),0,1)),0)))</f>
        <v>1</v>
      </c>
      <c r="CZ223" s="149">
        <f t="shared" ref="CZ223:CZ286" si="278">IF(OR(AR$30="",AR$4=99),1,IF(AR223="",0,IFERROR(CHOOSE(CZ$28,IF(ISNA(MATCH(AR223,$BQ$30:$BR$30,0)),0,1),IF(ISNUMBER(AR223),1,0),IF(AR223=TRUNC(AR223),1,0),IF(AND(AR223*1=AR223,AR223&gt;=0),1,0),IF(AND(AR223=TRUNC(AR223),AR223&gt;=0),1,0),IF(AND(AR223*1=AR223,AR223&gt;0),1,0),IF(AND(AR223=TRUNC(AR223),AR223&gt;0),1,0),1,IF(ISNA(HLOOKUP(AR223,$BT$4:$CD$4,1,0)),0,1)),0)))</f>
        <v>1</v>
      </c>
      <c r="DA223" s="149">
        <f t="shared" ref="DA223:DA286" si="279">IF(OR(AS$30="",AS$4=99),1,IF(AS223="",0,IFERROR(CHOOSE(DA$28,IF(ISNA(MATCH(AS223,$BQ$30:$BR$30,0)),0,1),IF(ISNUMBER(AS223),1,0),IF(AS223=TRUNC(AS223),1,0),IF(AND(AS223*1=AS223,AS223&gt;=0),1,0),IF(AND(AS223=TRUNC(AS223),AS223&gt;=0),1,0),IF(AND(AS223*1=AS223,AS223&gt;0),1,0),IF(AND(AS223=TRUNC(AS223),AS223&gt;0),1,0),1,IF(ISNA(HLOOKUP(AS223,$BT$4:$CD$4,1,0)),0,1)),0)))</f>
        <v>1</v>
      </c>
      <c r="DB223" s="149">
        <f t="shared" ref="DB223:DB286" si="280">IF(OR(AT$30="",AT$4=99),1,IF(AT223="",0,IFERROR(CHOOSE(DB$28,IF(ISNA(MATCH(AT223,$BQ$30:$BR$30,0)),0,1),IF(ISNUMBER(AT223),1,0),IF(AT223=TRUNC(AT223),1,0),IF(AND(AT223*1=AT223,AT223&gt;=0),1,0),IF(AND(AT223=TRUNC(AT223),AT223&gt;=0),1,0),IF(AND(AT223*1=AT223,AT223&gt;0),1,0),IF(AND(AT223=TRUNC(AT223),AT223&gt;0),1,0),1,IF(ISNA(HLOOKUP(AT223,$BT$4:$CD$4,1,0)),0,1)),0)))</f>
        <v>1</v>
      </c>
      <c r="DG223" s="125" t="str">
        <f t="shared" si="241"/>
        <v/>
      </c>
      <c r="DH223" s="125" t="str">
        <f t="shared" si="240"/>
        <v/>
      </c>
      <c r="DI223" s="125" t="str">
        <f t="shared" si="240"/>
        <v/>
      </c>
      <c r="DJ223" s="125" t="str">
        <f t="shared" si="240"/>
        <v/>
      </c>
      <c r="DK223" s="125" t="str">
        <f t="shared" si="240"/>
        <v/>
      </c>
      <c r="DL223" s="125" t="str">
        <f t="shared" si="240"/>
        <v/>
      </c>
      <c r="DM223" s="125" t="str">
        <f t="shared" si="240"/>
        <v/>
      </c>
      <c r="DN223" s="125" t="str">
        <f t="shared" si="240"/>
        <v/>
      </c>
      <c r="DO223" s="125" t="str">
        <f t="shared" si="240"/>
        <v/>
      </c>
      <c r="DP223" s="125" t="str">
        <f t="shared" si="240"/>
        <v/>
      </c>
      <c r="DS223" s="137"/>
      <c r="DT223" s="137"/>
      <c r="DU223" s="137"/>
      <c r="DV223" s="137" t="b">
        <f t="shared" ref="DV223:DV286" si="281">AK223&gt;=DU$5</f>
        <v>0</v>
      </c>
      <c r="DW223" s="137" t="b">
        <f t="shared" ref="DW223:DW286" si="282">AM223&gt;=DV$5</f>
        <v>0</v>
      </c>
      <c r="DX223" s="137" t="b">
        <f t="shared" ref="DX223:DX286" si="283">AP223&gt;=DW$5</f>
        <v>1</v>
      </c>
      <c r="EB223" s="131">
        <f t="shared" si="237"/>
        <v>1</v>
      </c>
      <c r="EC223" s="137" t="b">
        <f t="shared" ref="EC223:EC286" si="284">AK223&gt;=EB$5</f>
        <v>0</v>
      </c>
      <c r="ED223" s="137" t="b">
        <f t="shared" ref="ED223:ED286" si="285">AM223&gt;=EC$5</f>
        <v>0</v>
      </c>
      <c r="EE223" s="137" t="b">
        <f t="shared" ref="EE223:EE286" si="286">AP223&gt;=ED$5</f>
        <v>1</v>
      </c>
      <c r="EF223" s="137"/>
      <c r="EG223" s="137"/>
      <c r="EH223" s="137"/>
      <c r="EI223" s="137"/>
      <c r="EJ223" s="137">
        <f t="shared" si="238"/>
        <v>1</v>
      </c>
      <c r="EK223" s="125" t="str">
        <f t="shared" ref="EK223:EK286" si="287">IF($G223="","",IF(EB223=$DV$3,1,0))</f>
        <v/>
      </c>
      <c r="EL223" s="125" t="str">
        <f t="shared" ref="EL223:EL286" si="288">IF($G223="","",IF(AND(EJ223=$DV$3,EJ223-EB223&lt;=$EC$3),1,0))</f>
        <v/>
      </c>
    </row>
    <row r="224" spans="2:142" ht="15.75" x14ac:dyDescent="0.25">
      <c r="B224" s="160">
        <f t="shared" ref="B224:B287" si="289">IF(G224="","",ROW()-30)</f>
        <v>194</v>
      </c>
      <c r="C224" s="283">
        <v>1001349549</v>
      </c>
      <c r="D224" s="283">
        <v>1001265903</v>
      </c>
      <c r="E224" s="281">
        <v>41534722</v>
      </c>
      <c r="F224" s="118">
        <f>IF(OR(J224="",H224=""),"",VLOOKUP(J224,'הזנה לסיווג רשויות'!$B$2:$D$301,2,0))</f>
        <v>20000228</v>
      </c>
      <c r="G224" s="118" t="str">
        <f>IF(OR(J224="",H224=""),"",VLOOKUP(J224,'הזנה לסיווג רשויות'!$B$2:$D$301,3,0))</f>
        <v>לוד</v>
      </c>
      <c r="H224" s="281" t="s">
        <v>686</v>
      </c>
      <c r="I224" s="201" t="s">
        <v>384</v>
      </c>
      <c r="J224" s="205">
        <v>7000</v>
      </c>
      <c r="K224" s="161">
        <v>0</v>
      </c>
      <c r="L224" s="161">
        <v>1</v>
      </c>
      <c r="M224" s="161">
        <v>0</v>
      </c>
      <c r="N224" s="161">
        <v>0</v>
      </c>
      <c r="O224" s="161">
        <v>1</v>
      </c>
      <c r="P224" s="161">
        <v>1</v>
      </c>
      <c r="Q224" s="161">
        <v>1</v>
      </c>
      <c r="R224" s="201">
        <v>20685</v>
      </c>
      <c r="S224" s="201">
        <v>20685</v>
      </c>
      <c r="T224" s="160">
        <f>IF(G224="","",IFERROR(IF(S224/R224&gt;'פרמטרים לקריטריונים'!$C$20,1,0),0))</f>
        <v>1</v>
      </c>
      <c r="U224" s="201">
        <v>20685</v>
      </c>
      <c r="V224" s="160">
        <f>IF(G224="","",IFERROR(IF(U224/R224&gt;'פרמטרים לקריטריונים'!$C$21,1,IF(AND(I224=$BW$5,U224/R224&gt;'פרמטרים לקריטריונים'!$C$22),1,0)),0))</f>
        <v>1</v>
      </c>
      <c r="W224" s="161">
        <v>1</v>
      </c>
      <c r="X224" s="161">
        <v>1</v>
      </c>
      <c r="Y224" s="201">
        <v>50000</v>
      </c>
      <c r="Z224" s="201">
        <v>25000</v>
      </c>
      <c r="AA224" s="161">
        <f t="shared" ref="AA224:AA287" si="290">IF(G224="","",IF(COUNTIF($D$31:$D$500,D224)=1,1,0))</f>
        <v>1</v>
      </c>
      <c r="AB224" s="161"/>
      <c r="AC224" s="161"/>
      <c r="AD224" s="161"/>
      <c r="AE224" s="161"/>
      <c r="AF224" s="161"/>
      <c r="AG224" s="161"/>
      <c r="AH224" s="161"/>
      <c r="AI224" s="161"/>
      <c r="AJ224" s="161"/>
      <c r="AK224" s="161"/>
      <c r="AL224" s="161"/>
      <c r="AM224" s="161"/>
      <c r="AN224" s="161"/>
      <c r="AO224" s="161"/>
      <c r="AP224" s="161"/>
      <c r="AQ224" s="161"/>
      <c r="AR224" s="161"/>
      <c r="AS224" s="161"/>
      <c r="AT224" s="161"/>
      <c r="AU224" s="161"/>
      <c r="AV224" s="161"/>
      <c r="AW224" s="160"/>
      <c r="AX224" s="161"/>
      <c r="AY224" s="161"/>
      <c r="AZ224" s="161"/>
      <c r="BA224" s="161"/>
      <c r="BB224" s="161"/>
      <c r="BC224" s="161"/>
      <c r="BD224" s="161"/>
      <c r="BE224" s="161"/>
      <c r="BF224" s="160" t="str">
        <f t="shared" ref="BF224:BF287" si="291">IFERROR(SUM(AZ224:BE224)/COUNT(AZ224:BE224),"")</f>
        <v/>
      </c>
      <c r="BG224" s="160"/>
      <c r="BH224" s="160"/>
      <c r="BI224" s="160"/>
      <c r="BJ224" s="160"/>
      <c r="BK224" s="160"/>
      <c r="BL224" s="162">
        <f t="shared" si="242"/>
        <v>1</v>
      </c>
      <c r="BM224" s="257"/>
      <c r="BN224" s="163"/>
      <c r="BO224" s="211" t="str">
        <f t="shared" si="243"/>
        <v>המרכז לתאטרון לודמרכזי פרינג'</v>
      </c>
      <c r="BP224" s="125">
        <f t="shared" si="244"/>
        <v>1</v>
      </c>
      <c r="BQ224" s="164">
        <v>0</v>
      </c>
      <c r="BR224" s="164">
        <v>1</v>
      </c>
      <c r="BS224" s="149">
        <f t="shared" si="245"/>
        <v>1</v>
      </c>
      <c r="BT224" s="149">
        <f t="shared" si="246"/>
        <v>1</v>
      </c>
      <c r="BU224" s="149">
        <f t="shared" si="247"/>
        <v>1</v>
      </c>
      <c r="BV224" s="149">
        <f t="shared" si="248"/>
        <v>1</v>
      </c>
      <c r="BW224" s="149">
        <f t="shared" si="249"/>
        <v>1</v>
      </c>
      <c r="BX224" s="149">
        <f t="shared" si="250"/>
        <v>1</v>
      </c>
      <c r="BY224" s="149">
        <f t="shared" si="251"/>
        <v>1</v>
      </c>
      <c r="BZ224" s="149">
        <f t="shared" si="252"/>
        <v>1</v>
      </c>
      <c r="CA224" s="149">
        <f t="shared" si="253"/>
        <v>1</v>
      </c>
      <c r="CB224" s="149">
        <f t="shared" si="254"/>
        <v>1</v>
      </c>
      <c r="CC224" s="149">
        <f t="shared" si="255"/>
        <v>1</v>
      </c>
      <c r="CD224" s="149">
        <f t="shared" si="256"/>
        <v>1</v>
      </c>
      <c r="CE224" s="149">
        <f t="shared" si="257"/>
        <v>1</v>
      </c>
      <c r="CF224" s="149">
        <f t="shared" si="258"/>
        <v>1</v>
      </c>
      <c r="CG224" s="149">
        <f t="shared" si="259"/>
        <v>1</v>
      </c>
      <c r="CH224" s="149">
        <f t="shared" si="260"/>
        <v>1</v>
      </c>
      <c r="CI224" s="149">
        <f t="shared" si="261"/>
        <v>1</v>
      </c>
      <c r="CJ224" s="149">
        <f t="shared" si="262"/>
        <v>1</v>
      </c>
      <c r="CK224" s="149">
        <f t="shared" si="263"/>
        <v>1</v>
      </c>
      <c r="CL224" s="149">
        <f t="shared" si="264"/>
        <v>1</v>
      </c>
      <c r="CM224" s="149">
        <f t="shared" si="265"/>
        <v>1</v>
      </c>
      <c r="CN224" s="149">
        <f t="shared" si="266"/>
        <v>1</v>
      </c>
      <c r="CO224" s="149">
        <f t="shared" si="267"/>
        <v>1</v>
      </c>
      <c r="CP224" s="149">
        <f t="shared" si="268"/>
        <v>1</v>
      </c>
      <c r="CQ224" s="149">
        <f t="shared" si="269"/>
        <v>1</v>
      </c>
      <c r="CR224" s="149">
        <f t="shared" si="270"/>
        <v>1</v>
      </c>
      <c r="CS224" s="149">
        <f t="shared" si="271"/>
        <v>1</v>
      </c>
      <c r="CT224" s="149">
        <f t="shared" si="272"/>
        <v>1</v>
      </c>
      <c r="CU224" s="149">
        <f t="shared" si="273"/>
        <v>1</v>
      </c>
      <c r="CV224" s="149">
        <f t="shared" si="274"/>
        <v>1</v>
      </c>
      <c r="CW224" s="149">
        <f t="shared" si="275"/>
        <v>1</v>
      </c>
      <c r="CX224" s="149">
        <f t="shared" si="276"/>
        <v>1</v>
      </c>
      <c r="CY224" s="149">
        <f t="shared" si="277"/>
        <v>1</v>
      </c>
      <c r="CZ224" s="149">
        <f t="shared" si="278"/>
        <v>1</v>
      </c>
      <c r="DA224" s="149">
        <f t="shared" si="279"/>
        <v>1</v>
      </c>
      <c r="DB224" s="149">
        <f t="shared" si="280"/>
        <v>1</v>
      </c>
      <c r="DG224" s="125">
        <f t="shared" si="241"/>
        <v>1</v>
      </c>
      <c r="DH224" s="125">
        <f t="shared" si="240"/>
        <v>2</v>
      </c>
      <c r="DI224" s="125">
        <f t="shared" si="240"/>
        <v>3</v>
      </c>
      <c r="DJ224" s="125">
        <f t="shared" si="240"/>
        <v>4</v>
      </c>
      <c r="DK224" s="125">
        <f t="shared" si="240"/>
        <v>5</v>
      </c>
      <c r="DL224" s="125">
        <f t="shared" si="240"/>
        <v>6</v>
      </c>
      <c r="DM224" s="125">
        <f t="shared" si="240"/>
        <v>7</v>
      </c>
      <c r="DN224" s="125">
        <f t="shared" si="240"/>
        <v>8</v>
      </c>
      <c r="DO224" s="125">
        <f t="shared" si="240"/>
        <v>9</v>
      </c>
      <c r="DP224" s="125">
        <f t="shared" si="240"/>
        <v>10</v>
      </c>
      <c r="DS224" s="137"/>
      <c r="DT224" s="137"/>
      <c r="DU224" s="137"/>
      <c r="DV224" s="137" t="b">
        <f t="shared" si="281"/>
        <v>0</v>
      </c>
      <c r="DW224" s="137" t="b">
        <f t="shared" si="282"/>
        <v>0</v>
      </c>
      <c r="DX224" s="137" t="b">
        <f t="shared" si="283"/>
        <v>1</v>
      </c>
      <c r="EB224" s="131">
        <f t="shared" ref="EB224:EB287" si="292">COUNTIF(DV224:DZ224,TRUE)</f>
        <v>1</v>
      </c>
      <c r="EC224" s="137" t="b">
        <f t="shared" si="284"/>
        <v>0</v>
      </c>
      <c r="ED224" s="137" t="b">
        <f t="shared" si="285"/>
        <v>0</v>
      </c>
      <c r="EE224" s="137" t="b">
        <f t="shared" si="286"/>
        <v>1</v>
      </c>
      <c r="EF224" s="137"/>
      <c r="EG224" s="137"/>
      <c r="EH224" s="137"/>
      <c r="EI224" s="137"/>
      <c r="EJ224" s="137">
        <f t="shared" ref="EJ224:EJ287" si="293">COUNTIF(EC224:EI224,TRUE)</f>
        <v>1</v>
      </c>
      <c r="EK224" s="125">
        <f t="shared" si="287"/>
        <v>0</v>
      </c>
      <c r="EL224" s="125">
        <f t="shared" si="288"/>
        <v>0</v>
      </c>
    </row>
    <row r="225" spans="2:142" ht="15.75" x14ac:dyDescent="0.2">
      <c r="B225" s="160">
        <f t="shared" si="289"/>
        <v>195</v>
      </c>
      <c r="C225" s="205">
        <v>1001350350</v>
      </c>
      <c r="D225" s="205">
        <v>1001270597</v>
      </c>
      <c r="E225" s="205">
        <v>41103047</v>
      </c>
      <c r="F225" s="118">
        <f>IF(OR(J225="",H225=""),"",VLOOKUP(J225,'הזנה לסיווג רשויות'!$B$2:$D$301,2,0))</f>
        <v>20000201</v>
      </c>
      <c r="G225" s="118" t="str">
        <f>IF(OR(J225="",H225=""),"",VLOOKUP(J225,'הזנה לסיווג רשויות'!$B$2:$D$301,3,0))</f>
        <v>תל אביב -יפו</v>
      </c>
      <c r="H225" s="201" t="s">
        <v>687</v>
      </c>
      <c r="I225" s="201" t="s">
        <v>385</v>
      </c>
      <c r="J225" s="205">
        <v>5000</v>
      </c>
      <c r="K225" s="161">
        <v>0</v>
      </c>
      <c r="L225" s="161">
        <v>1</v>
      </c>
      <c r="M225" s="161">
        <v>0</v>
      </c>
      <c r="N225" s="161">
        <v>1</v>
      </c>
      <c r="O225" s="161">
        <v>1</v>
      </c>
      <c r="P225" s="161">
        <v>1</v>
      </c>
      <c r="Q225" s="161">
        <v>1</v>
      </c>
      <c r="R225" s="201">
        <v>1737267</v>
      </c>
      <c r="S225" s="201">
        <v>1472655</v>
      </c>
      <c r="T225" s="160">
        <f>IF(G225="","",IFERROR(IF(S225/R225&gt;'פרמטרים לקריטריונים'!$C$20,1,0),0))</f>
        <v>1</v>
      </c>
      <c r="U225" s="201">
        <v>1472655</v>
      </c>
      <c r="V225" s="160">
        <f>IF(G225="","",IFERROR(IF(U225/R225&gt;'פרמטרים לקריטריונים'!$C$21,1,IF(AND(I225=$BW$5,U225/R225&gt;'פרמטרים לקריטריונים'!$C$22),1,0)),0))</f>
        <v>1</v>
      </c>
      <c r="W225" s="161">
        <v>1</v>
      </c>
      <c r="X225" s="161">
        <v>1</v>
      </c>
      <c r="Y225" s="201">
        <v>500000</v>
      </c>
      <c r="Z225" s="201">
        <v>100000</v>
      </c>
      <c r="AA225" s="161">
        <f t="shared" si="290"/>
        <v>1</v>
      </c>
      <c r="AB225" s="161"/>
      <c r="AC225" s="161"/>
      <c r="AD225" s="161"/>
      <c r="AE225" s="161"/>
      <c r="AF225" s="161"/>
      <c r="AG225" s="161"/>
      <c r="AH225" s="161"/>
      <c r="AI225" s="161"/>
      <c r="AJ225" s="161"/>
      <c r="AK225" s="161"/>
      <c r="AL225" s="161"/>
      <c r="AM225" s="161"/>
      <c r="AN225" s="161"/>
      <c r="AO225" s="161"/>
      <c r="AP225" s="161"/>
      <c r="AQ225" s="161"/>
      <c r="AR225" s="161"/>
      <c r="AS225" s="161"/>
      <c r="AT225" s="161"/>
      <c r="AU225" s="161"/>
      <c r="AV225" s="161"/>
      <c r="AW225" s="160"/>
      <c r="AX225" s="161"/>
      <c r="AY225" s="161"/>
      <c r="AZ225" s="161"/>
      <c r="BA225" s="161"/>
      <c r="BB225" s="161"/>
      <c r="BC225" s="161"/>
      <c r="BD225" s="161"/>
      <c r="BE225" s="161"/>
      <c r="BF225" s="160" t="str">
        <f t="shared" si="291"/>
        <v/>
      </c>
      <c r="BG225" s="160"/>
      <c r="BH225" s="160"/>
      <c r="BI225" s="160"/>
      <c r="BJ225" s="160"/>
      <c r="BK225" s="160"/>
      <c r="BL225" s="162">
        <f t="shared" si="242"/>
        <v>1</v>
      </c>
      <c r="BM225" s="257"/>
      <c r="BN225" s="163"/>
      <c r="BO225" s="211" t="str">
        <f t="shared" si="243"/>
        <v>א.מ.א. - אומנות מקורית אלטרנטיביתמרכזי מוסיקה</v>
      </c>
      <c r="BP225" s="125">
        <f t="shared" si="244"/>
        <v>1</v>
      </c>
      <c r="BQ225" s="164">
        <v>0</v>
      </c>
      <c r="BR225" s="164">
        <v>1</v>
      </c>
      <c r="BS225" s="149">
        <f t="shared" si="245"/>
        <v>1</v>
      </c>
      <c r="BT225" s="149">
        <f t="shared" si="246"/>
        <v>1</v>
      </c>
      <c r="BU225" s="149">
        <f t="shared" si="247"/>
        <v>1</v>
      </c>
      <c r="BV225" s="149">
        <f t="shared" si="248"/>
        <v>1</v>
      </c>
      <c r="BW225" s="149">
        <f t="shared" si="249"/>
        <v>1</v>
      </c>
      <c r="BX225" s="149">
        <f t="shared" si="250"/>
        <v>1</v>
      </c>
      <c r="BY225" s="149">
        <f t="shared" si="251"/>
        <v>1</v>
      </c>
      <c r="BZ225" s="149">
        <f t="shared" si="252"/>
        <v>1</v>
      </c>
      <c r="CA225" s="149">
        <f t="shared" si="253"/>
        <v>1</v>
      </c>
      <c r="CB225" s="149">
        <f t="shared" si="254"/>
        <v>1</v>
      </c>
      <c r="CC225" s="149">
        <f t="shared" si="255"/>
        <v>1</v>
      </c>
      <c r="CD225" s="149">
        <f t="shared" si="256"/>
        <v>1</v>
      </c>
      <c r="CE225" s="149">
        <f t="shared" si="257"/>
        <v>1</v>
      </c>
      <c r="CF225" s="149">
        <f t="shared" si="258"/>
        <v>1</v>
      </c>
      <c r="CG225" s="149">
        <f t="shared" si="259"/>
        <v>1</v>
      </c>
      <c r="CH225" s="149">
        <f t="shared" si="260"/>
        <v>1</v>
      </c>
      <c r="CI225" s="149">
        <f t="shared" si="261"/>
        <v>1</v>
      </c>
      <c r="CJ225" s="149">
        <f t="shared" si="262"/>
        <v>1</v>
      </c>
      <c r="CK225" s="149">
        <f t="shared" si="263"/>
        <v>1</v>
      </c>
      <c r="CL225" s="149">
        <f t="shared" si="264"/>
        <v>1</v>
      </c>
      <c r="CM225" s="149">
        <f t="shared" si="265"/>
        <v>1</v>
      </c>
      <c r="CN225" s="149">
        <f t="shared" si="266"/>
        <v>1</v>
      </c>
      <c r="CO225" s="149">
        <f t="shared" si="267"/>
        <v>1</v>
      </c>
      <c r="CP225" s="149">
        <f t="shared" si="268"/>
        <v>1</v>
      </c>
      <c r="CQ225" s="149">
        <f t="shared" si="269"/>
        <v>1</v>
      </c>
      <c r="CR225" s="149">
        <f t="shared" si="270"/>
        <v>1</v>
      </c>
      <c r="CS225" s="149">
        <f t="shared" si="271"/>
        <v>1</v>
      </c>
      <c r="CT225" s="149">
        <f t="shared" si="272"/>
        <v>1</v>
      </c>
      <c r="CU225" s="149">
        <f t="shared" si="273"/>
        <v>1</v>
      </c>
      <c r="CV225" s="149">
        <f t="shared" si="274"/>
        <v>1</v>
      </c>
      <c r="CW225" s="149">
        <f t="shared" si="275"/>
        <v>1</v>
      </c>
      <c r="CX225" s="149">
        <f t="shared" si="276"/>
        <v>1</v>
      </c>
      <c r="CY225" s="149">
        <f t="shared" si="277"/>
        <v>1</v>
      </c>
      <c r="CZ225" s="149">
        <f t="shared" si="278"/>
        <v>1</v>
      </c>
      <c r="DA225" s="149">
        <f t="shared" si="279"/>
        <v>1</v>
      </c>
      <c r="DB225" s="149">
        <f t="shared" si="280"/>
        <v>1</v>
      </c>
      <c r="DG225" s="125">
        <f t="shared" si="241"/>
        <v>1</v>
      </c>
      <c r="DH225" s="125">
        <f t="shared" si="240"/>
        <v>2</v>
      </c>
      <c r="DI225" s="125">
        <f t="shared" si="240"/>
        <v>3</v>
      </c>
      <c r="DJ225" s="125">
        <f t="shared" si="240"/>
        <v>4</v>
      </c>
      <c r="DK225" s="125">
        <f t="shared" si="240"/>
        <v>5</v>
      </c>
      <c r="DL225" s="125">
        <f t="shared" si="240"/>
        <v>6</v>
      </c>
      <c r="DM225" s="125">
        <f t="shared" si="240"/>
        <v>7</v>
      </c>
      <c r="DN225" s="125">
        <f t="shared" si="240"/>
        <v>8</v>
      </c>
      <c r="DO225" s="125">
        <f t="shared" si="240"/>
        <v>9</v>
      </c>
      <c r="DP225" s="125">
        <f t="shared" si="240"/>
        <v>10</v>
      </c>
      <c r="DS225" s="137"/>
      <c r="DT225" s="137"/>
      <c r="DU225" s="137"/>
      <c r="DV225" s="137" t="b">
        <f t="shared" si="281"/>
        <v>0</v>
      </c>
      <c r="DW225" s="137" t="b">
        <f t="shared" si="282"/>
        <v>0</v>
      </c>
      <c r="DX225" s="137" t="b">
        <f t="shared" si="283"/>
        <v>1</v>
      </c>
      <c r="EB225" s="131">
        <f t="shared" si="292"/>
        <v>1</v>
      </c>
      <c r="EC225" s="137" t="b">
        <f t="shared" si="284"/>
        <v>0</v>
      </c>
      <c r="ED225" s="137" t="b">
        <f t="shared" si="285"/>
        <v>0</v>
      </c>
      <c r="EE225" s="137" t="b">
        <f t="shared" si="286"/>
        <v>1</v>
      </c>
      <c r="EF225" s="137"/>
      <c r="EG225" s="137"/>
      <c r="EH225" s="137"/>
      <c r="EI225" s="137"/>
      <c r="EJ225" s="137">
        <f t="shared" si="293"/>
        <v>1</v>
      </c>
      <c r="EK225" s="125">
        <f t="shared" si="287"/>
        <v>0</v>
      </c>
      <c r="EL225" s="125">
        <f t="shared" si="288"/>
        <v>0</v>
      </c>
    </row>
    <row r="226" spans="2:142" ht="15.75" x14ac:dyDescent="0.25">
      <c r="B226" s="160">
        <f t="shared" si="289"/>
        <v>196</v>
      </c>
      <c r="C226" s="283">
        <v>1001347622</v>
      </c>
      <c r="D226" s="283">
        <v>1001266749</v>
      </c>
      <c r="E226" s="281">
        <v>40000166</v>
      </c>
      <c r="F226" s="118">
        <f>IF(OR(J226="",H226=""),"",VLOOKUP(J226,'הזנה לסיווג רשויות'!$B$2:$D$301,2,0))</f>
        <v>20000231</v>
      </c>
      <c r="G226" s="118" t="str">
        <f>IF(OR(J226="",H226=""),"",VLOOKUP(J226,'הזנה לסיווג רשויות'!$B$2:$D$301,3,0))</f>
        <v>נצרת</v>
      </c>
      <c r="H226" s="281" t="s">
        <v>688</v>
      </c>
      <c r="I226" s="201" t="s">
        <v>395</v>
      </c>
      <c r="J226" s="205">
        <v>7300</v>
      </c>
      <c r="K226" s="161">
        <v>0</v>
      </c>
      <c r="L226" s="161">
        <v>1</v>
      </c>
      <c r="M226" s="161">
        <v>0</v>
      </c>
      <c r="N226" s="161">
        <v>0</v>
      </c>
      <c r="O226" s="161">
        <v>1</v>
      </c>
      <c r="P226" s="161">
        <v>1</v>
      </c>
      <c r="Q226" s="161">
        <v>1</v>
      </c>
      <c r="R226" s="201">
        <v>1054252</v>
      </c>
      <c r="S226" s="201">
        <v>563860</v>
      </c>
      <c r="T226" s="160">
        <f>IF(G226="","",IFERROR(IF(S226/R226&gt;'פרמטרים לקריטריונים'!$C$20,1,0),0))</f>
        <v>1</v>
      </c>
      <c r="U226" s="201">
        <v>563860</v>
      </c>
      <c r="V226" s="160">
        <f>IF(G226="","",IFERROR(IF(U226/R226&gt;'פרמטרים לקריטריונים'!$C$21,1,IF(AND(I226=$BW$5,U226/R226&gt;'פרמטרים לקריטריונים'!$C$22),1,0)),0))</f>
        <v>1</v>
      </c>
      <c r="W226" s="161">
        <v>1</v>
      </c>
      <c r="X226" s="161">
        <v>1</v>
      </c>
      <c r="Y226" s="201">
        <v>350000</v>
      </c>
      <c r="Z226" s="201">
        <v>350000</v>
      </c>
      <c r="AA226" s="161">
        <f t="shared" si="290"/>
        <v>1</v>
      </c>
      <c r="AB226" s="161"/>
      <c r="AC226" s="161"/>
      <c r="AD226" s="161"/>
      <c r="AE226" s="161"/>
      <c r="AF226" s="161"/>
      <c r="AG226" s="161"/>
      <c r="AH226" s="161"/>
      <c r="AI226" s="161"/>
      <c r="AJ226" s="161"/>
      <c r="AK226" s="161"/>
      <c r="AL226" s="161"/>
      <c r="AM226" s="161"/>
      <c r="AN226" s="161"/>
      <c r="AO226" s="161"/>
      <c r="AP226" s="161"/>
      <c r="AQ226" s="161"/>
      <c r="AR226" s="161"/>
      <c r="AS226" s="161"/>
      <c r="AT226" s="161"/>
      <c r="AU226" s="161"/>
      <c r="AV226" s="161"/>
      <c r="AW226" s="160"/>
      <c r="AX226" s="161"/>
      <c r="AY226" s="161"/>
      <c r="AZ226" s="161"/>
      <c r="BA226" s="161"/>
      <c r="BB226" s="161"/>
      <c r="BC226" s="161"/>
      <c r="BD226" s="161"/>
      <c r="BE226" s="161"/>
      <c r="BF226" s="160" t="str">
        <f t="shared" si="291"/>
        <v/>
      </c>
      <c r="BG226" s="160"/>
      <c r="BH226" s="160"/>
      <c r="BI226" s="160"/>
      <c r="BJ226" s="160"/>
      <c r="BK226" s="160"/>
      <c r="BL226" s="162">
        <f t="shared" si="242"/>
        <v>1</v>
      </c>
      <c r="BM226" s="257"/>
      <c r="BN226" s="163"/>
      <c r="BO226" s="211" t="str">
        <f t="shared" si="243"/>
        <v>האגודה הנצרתית לאומנותתרבות ערבית</v>
      </c>
      <c r="BP226" s="125">
        <f t="shared" si="244"/>
        <v>1</v>
      </c>
      <c r="BQ226" s="164">
        <v>0</v>
      </c>
      <c r="BR226" s="164">
        <v>1</v>
      </c>
      <c r="BS226" s="149">
        <f t="shared" si="245"/>
        <v>1</v>
      </c>
      <c r="BT226" s="149">
        <f t="shared" si="246"/>
        <v>1</v>
      </c>
      <c r="BU226" s="149">
        <f t="shared" si="247"/>
        <v>1</v>
      </c>
      <c r="BV226" s="149">
        <f t="shared" si="248"/>
        <v>1</v>
      </c>
      <c r="BW226" s="149">
        <f t="shared" si="249"/>
        <v>1</v>
      </c>
      <c r="BX226" s="149">
        <f t="shared" si="250"/>
        <v>1</v>
      </c>
      <c r="BY226" s="149">
        <f t="shared" si="251"/>
        <v>1</v>
      </c>
      <c r="BZ226" s="149">
        <f t="shared" si="252"/>
        <v>1</v>
      </c>
      <c r="CA226" s="149">
        <f t="shared" si="253"/>
        <v>1</v>
      </c>
      <c r="CB226" s="149">
        <f t="shared" si="254"/>
        <v>1</v>
      </c>
      <c r="CC226" s="149">
        <f t="shared" si="255"/>
        <v>1</v>
      </c>
      <c r="CD226" s="149">
        <f t="shared" si="256"/>
        <v>1</v>
      </c>
      <c r="CE226" s="149">
        <f t="shared" si="257"/>
        <v>1</v>
      </c>
      <c r="CF226" s="149">
        <f t="shared" si="258"/>
        <v>1</v>
      </c>
      <c r="CG226" s="149">
        <f t="shared" si="259"/>
        <v>1</v>
      </c>
      <c r="CH226" s="149">
        <f t="shared" si="260"/>
        <v>1</v>
      </c>
      <c r="CI226" s="149">
        <f t="shared" si="261"/>
        <v>1</v>
      </c>
      <c r="CJ226" s="149">
        <f t="shared" si="262"/>
        <v>1</v>
      </c>
      <c r="CK226" s="149">
        <f t="shared" si="263"/>
        <v>1</v>
      </c>
      <c r="CL226" s="149">
        <f t="shared" si="264"/>
        <v>1</v>
      </c>
      <c r="CM226" s="149">
        <f t="shared" si="265"/>
        <v>1</v>
      </c>
      <c r="CN226" s="149">
        <f t="shared" si="266"/>
        <v>1</v>
      </c>
      <c r="CO226" s="149">
        <f t="shared" si="267"/>
        <v>1</v>
      </c>
      <c r="CP226" s="149">
        <f t="shared" si="268"/>
        <v>1</v>
      </c>
      <c r="CQ226" s="149">
        <f t="shared" si="269"/>
        <v>1</v>
      </c>
      <c r="CR226" s="149">
        <f t="shared" si="270"/>
        <v>1</v>
      </c>
      <c r="CS226" s="149">
        <f t="shared" si="271"/>
        <v>1</v>
      </c>
      <c r="CT226" s="149">
        <f t="shared" si="272"/>
        <v>1</v>
      </c>
      <c r="CU226" s="149">
        <f t="shared" si="273"/>
        <v>1</v>
      </c>
      <c r="CV226" s="149">
        <f t="shared" si="274"/>
        <v>1</v>
      </c>
      <c r="CW226" s="149">
        <f t="shared" si="275"/>
        <v>1</v>
      </c>
      <c r="CX226" s="149">
        <f t="shared" si="276"/>
        <v>1</v>
      </c>
      <c r="CY226" s="149">
        <f t="shared" si="277"/>
        <v>1</v>
      </c>
      <c r="CZ226" s="149">
        <f t="shared" si="278"/>
        <v>1</v>
      </c>
      <c r="DA226" s="149">
        <f t="shared" si="279"/>
        <v>1</v>
      </c>
      <c r="DB226" s="149">
        <f t="shared" si="280"/>
        <v>1</v>
      </c>
      <c r="DG226" s="125">
        <f t="shared" si="241"/>
        <v>1</v>
      </c>
      <c r="DH226" s="125">
        <f t="shared" si="240"/>
        <v>2</v>
      </c>
      <c r="DI226" s="125">
        <f t="shared" si="240"/>
        <v>3</v>
      </c>
      <c r="DJ226" s="125">
        <f t="shared" si="240"/>
        <v>4</v>
      </c>
      <c r="DK226" s="125">
        <f t="shared" si="240"/>
        <v>5</v>
      </c>
      <c r="DL226" s="125">
        <f t="shared" si="240"/>
        <v>6</v>
      </c>
      <c r="DM226" s="125">
        <f t="shared" si="240"/>
        <v>7</v>
      </c>
      <c r="DN226" s="125">
        <f t="shared" si="240"/>
        <v>8</v>
      </c>
      <c r="DO226" s="125">
        <f t="shared" si="240"/>
        <v>9</v>
      </c>
      <c r="DP226" s="125">
        <f t="shared" si="240"/>
        <v>10</v>
      </c>
      <c r="DS226" s="137"/>
      <c r="DT226" s="137"/>
      <c r="DU226" s="137"/>
      <c r="DV226" s="137" t="b">
        <f t="shared" si="281"/>
        <v>0</v>
      </c>
      <c r="DW226" s="137" t="b">
        <f t="shared" si="282"/>
        <v>0</v>
      </c>
      <c r="DX226" s="137" t="b">
        <f t="shared" si="283"/>
        <v>1</v>
      </c>
      <c r="EB226" s="131">
        <f t="shared" si="292"/>
        <v>1</v>
      </c>
      <c r="EC226" s="137" t="b">
        <f t="shared" si="284"/>
        <v>0</v>
      </c>
      <c r="ED226" s="137" t="b">
        <f t="shared" si="285"/>
        <v>0</v>
      </c>
      <c r="EE226" s="137" t="b">
        <f t="shared" si="286"/>
        <v>1</v>
      </c>
      <c r="EF226" s="137"/>
      <c r="EG226" s="137"/>
      <c r="EH226" s="137"/>
      <c r="EI226" s="137"/>
      <c r="EJ226" s="137">
        <f t="shared" si="293"/>
        <v>1</v>
      </c>
      <c r="EK226" s="125">
        <f t="shared" si="287"/>
        <v>0</v>
      </c>
      <c r="EL226" s="125">
        <f t="shared" si="288"/>
        <v>0</v>
      </c>
    </row>
    <row r="227" spans="2:142" ht="15.75" x14ac:dyDescent="0.25">
      <c r="B227" s="160">
        <f t="shared" si="289"/>
        <v>197</v>
      </c>
      <c r="C227" s="283">
        <v>1001347084</v>
      </c>
      <c r="D227" s="283">
        <v>1001347084</v>
      </c>
      <c r="E227" s="281">
        <v>40461777</v>
      </c>
      <c r="F227" s="118">
        <f>IF(OR(J227="",H227=""),"",VLOOKUP(J227,'הזנה לסיווג רשויות'!$B$2:$D$301,2,0))</f>
        <v>20000256</v>
      </c>
      <c r="G227" s="118" t="str">
        <f>IF(OR(J227="",H227=""),"",VLOOKUP(J227,'הזנה לסיווג רשויות'!$B$2:$D$301,3,0))</f>
        <v>בית שאן</v>
      </c>
      <c r="H227" s="281" t="s">
        <v>689</v>
      </c>
      <c r="I227" s="201" t="s">
        <v>373</v>
      </c>
      <c r="J227" s="205">
        <v>9200</v>
      </c>
      <c r="K227" s="161">
        <v>0</v>
      </c>
      <c r="L227" s="161">
        <v>1</v>
      </c>
      <c r="M227" s="161">
        <v>0</v>
      </c>
      <c r="N227" s="161">
        <v>0</v>
      </c>
      <c r="O227" s="161">
        <v>1</v>
      </c>
      <c r="P227" s="161">
        <v>1</v>
      </c>
      <c r="Q227" s="161">
        <v>1</v>
      </c>
      <c r="R227" s="201">
        <v>87594</v>
      </c>
      <c r="S227" s="201">
        <v>26907</v>
      </c>
      <c r="T227" s="160">
        <f>IF(G227="","",IFERROR(IF(S227/R227&gt;'פרמטרים לקריטריונים'!$C$20,1,0),0))</f>
        <v>1</v>
      </c>
      <c r="U227" s="201">
        <v>26907</v>
      </c>
      <c r="V227" s="160">
        <f>IF(G227="","",IFERROR(IF(U227/R227&gt;'פרמטרים לקריטריונים'!$C$21,1,IF(AND(I227=$BW$5,U227/R227&gt;'פרמטרים לקריטריונים'!$C$22),1,0)),0))</f>
        <v>1</v>
      </c>
      <c r="W227" s="161">
        <v>1</v>
      </c>
      <c r="X227" s="161">
        <v>1</v>
      </c>
      <c r="Y227" s="201">
        <v>75000</v>
      </c>
      <c r="Z227" s="201">
        <v>75000</v>
      </c>
      <c r="AA227" s="161">
        <f t="shared" si="290"/>
        <v>1</v>
      </c>
      <c r="AB227" s="161"/>
      <c r="AC227" s="161"/>
      <c r="AD227" s="161"/>
      <c r="AE227" s="161"/>
      <c r="AF227" s="161"/>
      <c r="AG227" s="161"/>
      <c r="AH227" s="161"/>
      <c r="AI227" s="161"/>
      <c r="AJ227" s="161"/>
      <c r="AK227" s="161"/>
      <c r="AL227" s="161"/>
      <c r="AM227" s="161"/>
      <c r="AN227" s="161"/>
      <c r="AO227" s="161"/>
      <c r="AP227" s="161"/>
      <c r="AQ227" s="161"/>
      <c r="AR227" s="161"/>
      <c r="AS227" s="161"/>
      <c r="AT227" s="161"/>
      <c r="AU227" s="161"/>
      <c r="AV227" s="161"/>
      <c r="AW227" s="160"/>
      <c r="AX227" s="161"/>
      <c r="AY227" s="161"/>
      <c r="AZ227" s="161"/>
      <c r="BA227" s="161"/>
      <c r="BB227" s="161"/>
      <c r="BC227" s="161"/>
      <c r="BD227" s="161"/>
      <c r="BE227" s="161"/>
      <c r="BF227" s="160" t="str">
        <f t="shared" si="291"/>
        <v/>
      </c>
      <c r="BG227" s="160"/>
      <c r="BH227" s="160"/>
      <c r="BI227" s="160"/>
      <c r="BJ227" s="160"/>
      <c r="BK227" s="160"/>
      <c r="BL227" s="162">
        <f t="shared" si="242"/>
        <v>1</v>
      </c>
      <c r="BM227" s="257"/>
      <c r="BN227" s="163"/>
      <c r="BO227" s="211" t="str">
        <f t="shared" si="243"/>
        <v>העמותה לקידום התיאטרון בבית שאןתיאטרון</v>
      </c>
      <c r="BP227" s="125">
        <f t="shared" si="244"/>
        <v>1</v>
      </c>
      <c r="BQ227" s="164">
        <v>0</v>
      </c>
      <c r="BR227" s="164">
        <v>1</v>
      </c>
      <c r="BS227" s="149">
        <f t="shared" si="245"/>
        <v>1</v>
      </c>
      <c r="BT227" s="149">
        <f t="shared" si="246"/>
        <v>1</v>
      </c>
      <c r="BU227" s="149">
        <f t="shared" si="247"/>
        <v>1</v>
      </c>
      <c r="BV227" s="149">
        <f t="shared" si="248"/>
        <v>1</v>
      </c>
      <c r="BW227" s="149">
        <f t="shared" si="249"/>
        <v>1</v>
      </c>
      <c r="BX227" s="149">
        <f t="shared" si="250"/>
        <v>1</v>
      </c>
      <c r="BY227" s="149">
        <f t="shared" si="251"/>
        <v>1</v>
      </c>
      <c r="BZ227" s="149">
        <f t="shared" si="252"/>
        <v>1</v>
      </c>
      <c r="CA227" s="149">
        <f t="shared" si="253"/>
        <v>1</v>
      </c>
      <c r="CB227" s="149">
        <f t="shared" si="254"/>
        <v>1</v>
      </c>
      <c r="CC227" s="149">
        <f t="shared" si="255"/>
        <v>1</v>
      </c>
      <c r="CD227" s="149">
        <f t="shared" si="256"/>
        <v>1</v>
      </c>
      <c r="CE227" s="149">
        <f t="shared" si="257"/>
        <v>1</v>
      </c>
      <c r="CF227" s="149">
        <f t="shared" si="258"/>
        <v>1</v>
      </c>
      <c r="CG227" s="149">
        <f t="shared" si="259"/>
        <v>1</v>
      </c>
      <c r="CH227" s="149">
        <f t="shared" si="260"/>
        <v>1</v>
      </c>
      <c r="CI227" s="149">
        <f t="shared" si="261"/>
        <v>1</v>
      </c>
      <c r="CJ227" s="149">
        <f t="shared" si="262"/>
        <v>1</v>
      </c>
      <c r="CK227" s="149">
        <f t="shared" si="263"/>
        <v>1</v>
      </c>
      <c r="CL227" s="149">
        <f t="shared" si="264"/>
        <v>1</v>
      </c>
      <c r="CM227" s="149">
        <f t="shared" si="265"/>
        <v>1</v>
      </c>
      <c r="CN227" s="149">
        <f t="shared" si="266"/>
        <v>1</v>
      </c>
      <c r="CO227" s="149">
        <f t="shared" si="267"/>
        <v>1</v>
      </c>
      <c r="CP227" s="149">
        <f t="shared" si="268"/>
        <v>1</v>
      </c>
      <c r="CQ227" s="149">
        <f t="shared" si="269"/>
        <v>1</v>
      </c>
      <c r="CR227" s="149">
        <f t="shared" si="270"/>
        <v>1</v>
      </c>
      <c r="CS227" s="149">
        <f t="shared" si="271"/>
        <v>1</v>
      </c>
      <c r="CT227" s="149">
        <f t="shared" si="272"/>
        <v>1</v>
      </c>
      <c r="CU227" s="149">
        <f t="shared" si="273"/>
        <v>1</v>
      </c>
      <c r="CV227" s="149">
        <f t="shared" si="274"/>
        <v>1</v>
      </c>
      <c r="CW227" s="149">
        <f t="shared" si="275"/>
        <v>1</v>
      </c>
      <c r="CX227" s="149">
        <f t="shared" si="276"/>
        <v>1</v>
      </c>
      <c r="CY227" s="149">
        <f t="shared" si="277"/>
        <v>1</v>
      </c>
      <c r="CZ227" s="149">
        <f t="shared" si="278"/>
        <v>1</v>
      </c>
      <c r="DA227" s="149">
        <f t="shared" si="279"/>
        <v>1</v>
      </c>
      <c r="DB227" s="149">
        <f t="shared" si="280"/>
        <v>1</v>
      </c>
      <c r="DG227" s="125">
        <f t="shared" si="241"/>
        <v>1</v>
      </c>
      <c r="DH227" s="125">
        <f t="shared" si="240"/>
        <v>2</v>
      </c>
      <c r="DI227" s="125">
        <f t="shared" si="240"/>
        <v>3</v>
      </c>
      <c r="DJ227" s="125">
        <f t="shared" si="240"/>
        <v>4</v>
      </c>
      <c r="DK227" s="125">
        <f t="shared" si="240"/>
        <v>5</v>
      </c>
      <c r="DL227" s="125">
        <f t="shared" si="240"/>
        <v>6</v>
      </c>
      <c r="DM227" s="125">
        <f t="shared" si="240"/>
        <v>7</v>
      </c>
      <c r="DN227" s="125">
        <f t="shared" si="240"/>
        <v>8</v>
      </c>
      <c r="DO227" s="125">
        <f t="shared" si="240"/>
        <v>9</v>
      </c>
      <c r="DP227" s="125">
        <f t="shared" si="240"/>
        <v>10</v>
      </c>
      <c r="DS227" s="137"/>
      <c r="DT227" s="137"/>
      <c r="DU227" s="137"/>
      <c r="DV227" s="137" t="b">
        <f t="shared" si="281"/>
        <v>0</v>
      </c>
      <c r="DW227" s="137" t="b">
        <f t="shared" si="282"/>
        <v>0</v>
      </c>
      <c r="DX227" s="137" t="b">
        <f t="shared" si="283"/>
        <v>1</v>
      </c>
      <c r="EB227" s="131">
        <f t="shared" si="292"/>
        <v>1</v>
      </c>
      <c r="EC227" s="137" t="b">
        <f t="shared" si="284"/>
        <v>0</v>
      </c>
      <c r="ED227" s="137" t="b">
        <f t="shared" si="285"/>
        <v>0</v>
      </c>
      <c r="EE227" s="137" t="b">
        <f t="shared" si="286"/>
        <v>1</v>
      </c>
      <c r="EF227" s="137"/>
      <c r="EG227" s="137"/>
      <c r="EH227" s="137"/>
      <c r="EI227" s="137"/>
      <c r="EJ227" s="137">
        <f t="shared" si="293"/>
        <v>1</v>
      </c>
      <c r="EK227" s="125">
        <f t="shared" si="287"/>
        <v>0</v>
      </c>
      <c r="EL227" s="125">
        <f t="shared" si="288"/>
        <v>0</v>
      </c>
    </row>
    <row r="228" spans="2:142" ht="15.75" x14ac:dyDescent="0.25">
      <c r="B228" s="160">
        <f t="shared" si="289"/>
        <v>198</v>
      </c>
      <c r="C228" s="283">
        <v>1001348948</v>
      </c>
      <c r="D228" s="283">
        <v>1001266872</v>
      </c>
      <c r="E228" s="281">
        <v>40000626</v>
      </c>
      <c r="F228" s="118">
        <f>IF(OR(J228="",H228=""),"",VLOOKUP(J228,'הזנה לסיווג רשויות'!$B$2:$D$301,2,0))</f>
        <v>20000052</v>
      </c>
      <c r="G228" s="118" t="str">
        <f>IF(OR(J228="",H228=""),"",VLOOKUP(J228,'הזנה לסיווג רשויות'!$B$2:$D$301,3,0))</f>
        <v>כפר כנא</v>
      </c>
      <c r="H228" s="281" t="s">
        <v>690</v>
      </c>
      <c r="I228" s="201" t="s">
        <v>395</v>
      </c>
      <c r="J228" s="205">
        <v>509</v>
      </c>
      <c r="K228" s="161">
        <v>0</v>
      </c>
      <c r="L228" s="161">
        <v>1</v>
      </c>
      <c r="M228" s="161">
        <v>0</v>
      </c>
      <c r="N228" s="161">
        <v>0</v>
      </c>
      <c r="O228" s="161">
        <v>1</v>
      </c>
      <c r="P228" s="161">
        <v>1</v>
      </c>
      <c r="Q228" s="161">
        <v>1</v>
      </c>
      <c r="R228" s="201">
        <v>2504784</v>
      </c>
      <c r="S228" s="201">
        <v>1219515</v>
      </c>
      <c r="T228" s="160">
        <f>IF(G228="","",IFERROR(IF(S228/R228&gt;'פרמטרים לקריטריונים'!$C$20,1,0),0))</f>
        <v>1</v>
      </c>
      <c r="U228" s="201">
        <v>1219515</v>
      </c>
      <c r="V228" s="160">
        <f>IF(G228="","",IFERROR(IF(U228/R228&gt;'פרמטרים לקריטריונים'!$C$21,1,IF(AND(I228=$BW$5,U228/R228&gt;'פרמטרים לקריטריונים'!$C$22),1,0)),0))</f>
        <v>1</v>
      </c>
      <c r="W228" s="161">
        <v>1</v>
      </c>
      <c r="X228" s="161">
        <v>1</v>
      </c>
      <c r="Y228" s="201">
        <v>1350000</v>
      </c>
      <c r="Z228" s="201">
        <v>100000</v>
      </c>
      <c r="AA228" s="161">
        <f t="shared" si="290"/>
        <v>1</v>
      </c>
      <c r="AB228" s="161"/>
      <c r="AC228" s="161"/>
      <c r="AD228" s="161"/>
      <c r="AE228" s="161"/>
      <c r="AF228" s="161"/>
      <c r="AG228" s="161"/>
      <c r="AH228" s="161"/>
      <c r="AI228" s="161"/>
      <c r="AJ228" s="161"/>
      <c r="AK228" s="161"/>
      <c r="AL228" s="161"/>
      <c r="AM228" s="161"/>
      <c r="AN228" s="161"/>
      <c r="AO228" s="161"/>
      <c r="AP228" s="161"/>
      <c r="AQ228" s="161"/>
      <c r="AR228" s="161"/>
      <c r="AS228" s="161"/>
      <c r="AT228" s="161"/>
      <c r="AU228" s="161"/>
      <c r="AV228" s="161"/>
      <c r="AW228" s="160"/>
      <c r="AX228" s="161"/>
      <c r="AY228" s="161"/>
      <c r="AZ228" s="161"/>
      <c r="BA228" s="161"/>
      <c r="BB228" s="161"/>
      <c r="BC228" s="161"/>
      <c r="BD228" s="161"/>
      <c r="BE228" s="161"/>
      <c r="BF228" s="160" t="str">
        <f t="shared" si="291"/>
        <v/>
      </c>
      <c r="BG228" s="160"/>
      <c r="BH228" s="160"/>
      <c r="BI228" s="160"/>
      <c r="BJ228" s="160"/>
      <c r="BK228" s="160"/>
      <c r="BL228" s="162">
        <f t="shared" si="242"/>
        <v>1</v>
      </c>
      <c r="BM228" s="257"/>
      <c r="BN228" s="163"/>
      <c r="BO228" s="211" t="str">
        <f t="shared" si="243"/>
        <v>עמותת אלפאראבי המוסיקלית כפר קנאתרבות ערבית</v>
      </c>
      <c r="BP228" s="125">
        <f t="shared" si="244"/>
        <v>1</v>
      </c>
      <c r="BQ228" s="164">
        <v>0</v>
      </c>
      <c r="BR228" s="164">
        <v>1</v>
      </c>
      <c r="BS228" s="149">
        <f t="shared" si="245"/>
        <v>1</v>
      </c>
      <c r="BT228" s="149">
        <f t="shared" si="246"/>
        <v>1</v>
      </c>
      <c r="BU228" s="149">
        <f t="shared" si="247"/>
        <v>1</v>
      </c>
      <c r="BV228" s="149">
        <f t="shared" si="248"/>
        <v>1</v>
      </c>
      <c r="BW228" s="149">
        <f t="shared" si="249"/>
        <v>1</v>
      </c>
      <c r="BX228" s="149">
        <f t="shared" si="250"/>
        <v>1</v>
      </c>
      <c r="BY228" s="149">
        <f t="shared" si="251"/>
        <v>1</v>
      </c>
      <c r="BZ228" s="149">
        <f t="shared" si="252"/>
        <v>1</v>
      </c>
      <c r="CA228" s="149">
        <f t="shared" si="253"/>
        <v>1</v>
      </c>
      <c r="CB228" s="149">
        <f t="shared" si="254"/>
        <v>1</v>
      </c>
      <c r="CC228" s="149">
        <f t="shared" si="255"/>
        <v>1</v>
      </c>
      <c r="CD228" s="149">
        <f t="shared" si="256"/>
        <v>1</v>
      </c>
      <c r="CE228" s="149">
        <f t="shared" si="257"/>
        <v>1</v>
      </c>
      <c r="CF228" s="149">
        <f t="shared" si="258"/>
        <v>1</v>
      </c>
      <c r="CG228" s="149">
        <f t="shared" si="259"/>
        <v>1</v>
      </c>
      <c r="CH228" s="149">
        <f t="shared" si="260"/>
        <v>1</v>
      </c>
      <c r="CI228" s="149">
        <f t="shared" si="261"/>
        <v>1</v>
      </c>
      <c r="CJ228" s="149">
        <f t="shared" si="262"/>
        <v>1</v>
      </c>
      <c r="CK228" s="149">
        <f t="shared" si="263"/>
        <v>1</v>
      </c>
      <c r="CL228" s="149">
        <f t="shared" si="264"/>
        <v>1</v>
      </c>
      <c r="CM228" s="149">
        <f t="shared" si="265"/>
        <v>1</v>
      </c>
      <c r="CN228" s="149">
        <f t="shared" si="266"/>
        <v>1</v>
      </c>
      <c r="CO228" s="149">
        <f t="shared" si="267"/>
        <v>1</v>
      </c>
      <c r="CP228" s="149">
        <f t="shared" si="268"/>
        <v>1</v>
      </c>
      <c r="CQ228" s="149">
        <f t="shared" si="269"/>
        <v>1</v>
      </c>
      <c r="CR228" s="149">
        <f t="shared" si="270"/>
        <v>1</v>
      </c>
      <c r="CS228" s="149">
        <f t="shared" si="271"/>
        <v>1</v>
      </c>
      <c r="CT228" s="149">
        <f t="shared" si="272"/>
        <v>1</v>
      </c>
      <c r="CU228" s="149">
        <f t="shared" si="273"/>
        <v>1</v>
      </c>
      <c r="CV228" s="149">
        <f t="shared" si="274"/>
        <v>1</v>
      </c>
      <c r="CW228" s="149">
        <f t="shared" si="275"/>
        <v>1</v>
      </c>
      <c r="CX228" s="149">
        <f t="shared" si="276"/>
        <v>1</v>
      </c>
      <c r="CY228" s="149">
        <f t="shared" si="277"/>
        <v>1</v>
      </c>
      <c r="CZ228" s="149">
        <f t="shared" si="278"/>
        <v>1</v>
      </c>
      <c r="DA228" s="149">
        <f t="shared" si="279"/>
        <v>1</v>
      </c>
      <c r="DB228" s="149">
        <f t="shared" si="280"/>
        <v>1</v>
      </c>
      <c r="DG228" s="125">
        <f t="shared" si="241"/>
        <v>1</v>
      </c>
      <c r="DH228" s="125">
        <f t="shared" si="240"/>
        <v>2</v>
      </c>
      <c r="DI228" s="125">
        <f t="shared" si="240"/>
        <v>3</v>
      </c>
      <c r="DJ228" s="125">
        <f t="shared" si="240"/>
        <v>4</v>
      </c>
      <c r="DK228" s="125">
        <f t="shared" si="240"/>
        <v>5</v>
      </c>
      <c r="DL228" s="125">
        <f t="shared" si="240"/>
        <v>6</v>
      </c>
      <c r="DM228" s="125">
        <f t="shared" si="240"/>
        <v>7</v>
      </c>
      <c r="DN228" s="125">
        <f t="shared" si="240"/>
        <v>8</v>
      </c>
      <c r="DO228" s="125">
        <f t="shared" si="240"/>
        <v>9</v>
      </c>
      <c r="DP228" s="125">
        <f t="shared" si="240"/>
        <v>10</v>
      </c>
      <c r="DS228" s="137"/>
      <c r="DT228" s="137"/>
      <c r="DU228" s="137"/>
      <c r="DV228" s="137" t="b">
        <f t="shared" si="281"/>
        <v>0</v>
      </c>
      <c r="DW228" s="137" t="b">
        <f t="shared" si="282"/>
        <v>0</v>
      </c>
      <c r="DX228" s="137" t="b">
        <f t="shared" si="283"/>
        <v>1</v>
      </c>
      <c r="EB228" s="131">
        <f t="shared" si="292"/>
        <v>1</v>
      </c>
      <c r="EC228" s="137" t="b">
        <f t="shared" si="284"/>
        <v>0</v>
      </c>
      <c r="ED228" s="137" t="b">
        <f t="shared" si="285"/>
        <v>0</v>
      </c>
      <c r="EE228" s="137" t="b">
        <f t="shared" si="286"/>
        <v>1</v>
      </c>
      <c r="EF228" s="137"/>
      <c r="EG228" s="137"/>
      <c r="EH228" s="137"/>
      <c r="EI228" s="137"/>
      <c r="EJ228" s="137">
        <f t="shared" si="293"/>
        <v>1</v>
      </c>
      <c r="EK228" s="125">
        <f t="shared" si="287"/>
        <v>0</v>
      </c>
      <c r="EL228" s="125">
        <f t="shared" si="288"/>
        <v>0</v>
      </c>
    </row>
    <row r="229" spans="2:142" ht="15.75" x14ac:dyDescent="0.25">
      <c r="B229" s="160">
        <f t="shared" si="289"/>
        <v>199</v>
      </c>
      <c r="C229" s="283">
        <v>1001349377</v>
      </c>
      <c r="D229" s="283">
        <v>1001270641</v>
      </c>
      <c r="E229" s="281">
        <v>40376018</v>
      </c>
      <c r="F229" s="118">
        <f>IF(OR(J229="",H229=""),"",VLOOKUP(J229,'הזנה לסיווג רשויות'!$B$2:$D$301,2,0))</f>
        <v>20000130</v>
      </c>
      <c r="G229" s="118" t="str">
        <f>IF(OR(J229="",H229=""),"",VLOOKUP(J229,'הזנה לסיווג רשויות'!$B$2:$D$301,3,0))</f>
        <v>דימונה</v>
      </c>
      <c r="H229" s="281" t="s">
        <v>691</v>
      </c>
      <c r="I229" s="201" t="s">
        <v>377</v>
      </c>
      <c r="J229" s="205">
        <v>2200</v>
      </c>
      <c r="K229" s="161">
        <v>0</v>
      </c>
      <c r="L229" s="161">
        <v>1</v>
      </c>
      <c r="M229" s="161">
        <v>0</v>
      </c>
      <c r="N229" s="161">
        <v>1</v>
      </c>
      <c r="O229" s="161">
        <v>1</v>
      </c>
      <c r="P229" s="161">
        <v>1</v>
      </c>
      <c r="Q229" s="161">
        <v>1</v>
      </c>
      <c r="R229" s="201">
        <v>2150355</v>
      </c>
      <c r="S229" s="201">
        <v>577774</v>
      </c>
      <c r="T229" s="160">
        <f>IF(G229="","",IFERROR(IF(S229/R229&gt;'פרמטרים לקריטריונים'!$C$20,1,0),0))</f>
        <v>1</v>
      </c>
      <c r="U229" s="201">
        <v>437374</v>
      </c>
      <c r="V229" s="160">
        <f>IF(G229="","",IFERROR(IF(U229/R229&gt;'פרמטרים לקריטריונים'!$C$21,1,IF(AND(I229=$BW$5,U229/R229&gt;'פרמטרים לקריטריונים'!$C$22),1,0)),0))</f>
        <v>1</v>
      </c>
      <c r="W229" s="161">
        <v>1</v>
      </c>
      <c r="X229" s="161">
        <v>1</v>
      </c>
      <c r="Y229" s="201">
        <v>1400000</v>
      </c>
      <c r="Z229" s="201">
        <v>400000</v>
      </c>
      <c r="AA229" s="161">
        <f t="shared" si="290"/>
        <v>1</v>
      </c>
      <c r="AB229" s="161"/>
      <c r="AC229" s="161"/>
      <c r="AD229" s="161"/>
      <c r="AE229" s="161"/>
      <c r="AF229" s="161"/>
      <c r="AG229" s="161"/>
      <c r="AH229" s="161"/>
      <c r="AI229" s="161"/>
      <c r="AJ229" s="161"/>
      <c r="AK229" s="161"/>
      <c r="AL229" s="161"/>
      <c r="AM229" s="161"/>
      <c r="AN229" s="161"/>
      <c r="AO229" s="161"/>
      <c r="AP229" s="161"/>
      <c r="AQ229" s="161"/>
      <c r="AR229" s="161"/>
      <c r="AS229" s="161"/>
      <c r="AT229" s="161"/>
      <c r="AU229" s="161"/>
      <c r="AV229" s="161"/>
      <c r="AW229" s="160"/>
      <c r="AX229" s="161"/>
      <c r="AY229" s="161"/>
      <c r="AZ229" s="161"/>
      <c r="BA229" s="161"/>
      <c r="BB229" s="161"/>
      <c r="BC229" s="161"/>
      <c r="BD229" s="161"/>
      <c r="BE229" s="161"/>
      <c r="BF229" s="160" t="str">
        <f t="shared" si="291"/>
        <v/>
      </c>
      <c r="BG229" s="160"/>
      <c r="BH229" s="160"/>
      <c r="BI229" s="160"/>
      <c r="BJ229" s="160"/>
      <c r="BK229" s="160"/>
      <c r="BL229" s="162">
        <f t="shared" si="242"/>
        <v>1</v>
      </c>
      <c r="BM229" s="257"/>
      <c r="BN229" s="163"/>
      <c r="BO229" s="211" t="str">
        <f t="shared" si="243"/>
        <v>מעבדתרבות דימונהקבוצות תיאטרון</v>
      </c>
      <c r="BP229" s="125">
        <f t="shared" si="244"/>
        <v>1</v>
      </c>
      <c r="BQ229" s="164">
        <v>0</v>
      </c>
      <c r="BR229" s="164">
        <v>1</v>
      </c>
      <c r="BS229" s="149">
        <f t="shared" si="245"/>
        <v>1</v>
      </c>
      <c r="BT229" s="149">
        <f t="shared" si="246"/>
        <v>1</v>
      </c>
      <c r="BU229" s="149">
        <f t="shared" si="247"/>
        <v>1</v>
      </c>
      <c r="BV229" s="149">
        <f t="shared" si="248"/>
        <v>1</v>
      </c>
      <c r="BW229" s="149">
        <f t="shared" si="249"/>
        <v>1</v>
      </c>
      <c r="BX229" s="149">
        <f t="shared" si="250"/>
        <v>1</v>
      </c>
      <c r="BY229" s="149">
        <f t="shared" si="251"/>
        <v>1</v>
      </c>
      <c r="BZ229" s="149">
        <f t="shared" si="252"/>
        <v>1</v>
      </c>
      <c r="CA229" s="149">
        <f t="shared" si="253"/>
        <v>1</v>
      </c>
      <c r="CB229" s="149">
        <f t="shared" si="254"/>
        <v>1</v>
      </c>
      <c r="CC229" s="149">
        <f t="shared" si="255"/>
        <v>1</v>
      </c>
      <c r="CD229" s="149">
        <f t="shared" si="256"/>
        <v>1</v>
      </c>
      <c r="CE229" s="149">
        <f t="shared" si="257"/>
        <v>1</v>
      </c>
      <c r="CF229" s="149">
        <f t="shared" si="258"/>
        <v>1</v>
      </c>
      <c r="CG229" s="149">
        <f t="shared" si="259"/>
        <v>1</v>
      </c>
      <c r="CH229" s="149">
        <f t="shared" si="260"/>
        <v>1</v>
      </c>
      <c r="CI229" s="149">
        <f t="shared" si="261"/>
        <v>1</v>
      </c>
      <c r="CJ229" s="149">
        <f t="shared" si="262"/>
        <v>1</v>
      </c>
      <c r="CK229" s="149">
        <f t="shared" si="263"/>
        <v>1</v>
      </c>
      <c r="CL229" s="149">
        <f t="shared" si="264"/>
        <v>1</v>
      </c>
      <c r="CM229" s="149">
        <f t="shared" si="265"/>
        <v>1</v>
      </c>
      <c r="CN229" s="149">
        <f t="shared" si="266"/>
        <v>1</v>
      </c>
      <c r="CO229" s="149">
        <f t="shared" si="267"/>
        <v>1</v>
      </c>
      <c r="CP229" s="149">
        <f t="shared" si="268"/>
        <v>1</v>
      </c>
      <c r="CQ229" s="149">
        <f t="shared" si="269"/>
        <v>1</v>
      </c>
      <c r="CR229" s="149">
        <f t="shared" si="270"/>
        <v>1</v>
      </c>
      <c r="CS229" s="149">
        <f t="shared" si="271"/>
        <v>1</v>
      </c>
      <c r="CT229" s="149">
        <f t="shared" si="272"/>
        <v>1</v>
      </c>
      <c r="CU229" s="149">
        <f t="shared" si="273"/>
        <v>1</v>
      </c>
      <c r="CV229" s="149">
        <f t="shared" si="274"/>
        <v>1</v>
      </c>
      <c r="CW229" s="149">
        <f t="shared" si="275"/>
        <v>1</v>
      </c>
      <c r="CX229" s="149">
        <f t="shared" si="276"/>
        <v>1</v>
      </c>
      <c r="CY229" s="149">
        <f t="shared" si="277"/>
        <v>1</v>
      </c>
      <c r="CZ229" s="149">
        <f t="shared" si="278"/>
        <v>1</v>
      </c>
      <c r="DA229" s="149">
        <f t="shared" si="279"/>
        <v>1</v>
      </c>
      <c r="DB229" s="149">
        <f t="shared" si="280"/>
        <v>1</v>
      </c>
      <c r="DG229" s="125">
        <f t="shared" si="241"/>
        <v>1</v>
      </c>
      <c r="DH229" s="125">
        <f t="shared" si="240"/>
        <v>2</v>
      </c>
      <c r="DI229" s="125">
        <f t="shared" si="240"/>
        <v>3</v>
      </c>
      <c r="DJ229" s="125">
        <f t="shared" si="240"/>
        <v>4</v>
      </c>
      <c r="DK229" s="125">
        <f t="shared" si="240"/>
        <v>5</v>
      </c>
      <c r="DL229" s="125">
        <f t="shared" si="240"/>
        <v>6</v>
      </c>
      <c r="DM229" s="125">
        <f t="shared" si="240"/>
        <v>7</v>
      </c>
      <c r="DN229" s="125">
        <f t="shared" si="240"/>
        <v>8</v>
      </c>
      <c r="DO229" s="125">
        <f t="shared" si="240"/>
        <v>9</v>
      </c>
      <c r="DP229" s="125">
        <f t="shared" si="240"/>
        <v>10</v>
      </c>
      <c r="DS229" s="137"/>
      <c r="DT229" s="137"/>
      <c r="DU229" s="137"/>
      <c r="DV229" s="137" t="b">
        <f t="shared" si="281"/>
        <v>0</v>
      </c>
      <c r="DW229" s="137" t="b">
        <f t="shared" si="282"/>
        <v>0</v>
      </c>
      <c r="DX229" s="137" t="b">
        <f t="shared" si="283"/>
        <v>1</v>
      </c>
      <c r="EB229" s="131">
        <f t="shared" si="292"/>
        <v>1</v>
      </c>
      <c r="EC229" s="137" t="b">
        <f t="shared" si="284"/>
        <v>0</v>
      </c>
      <c r="ED229" s="137" t="b">
        <f t="shared" si="285"/>
        <v>0</v>
      </c>
      <c r="EE229" s="137" t="b">
        <f t="shared" si="286"/>
        <v>1</v>
      </c>
      <c r="EF229" s="137"/>
      <c r="EG229" s="137"/>
      <c r="EH229" s="137"/>
      <c r="EI229" s="137"/>
      <c r="EJ229" s="137">
        <f t="shared" si="293"/>
        <v>1</v>
      </c>
      <c r="EK229" s="125">
        <f t="shared" si="287"/>
        <v>0</v>
      </c>
      <c r="EL229" s="125">
        <f t="shared" si="288"/>
        <v>0</v>
      </c>
    </row>
    <row r="230" spans="2:142" ht="15.75" x14ac:dyDescent="0.25">
      <c r="B230" s="160">
        <f t="shared" si="289"/>
        <v>200</v>
      </c>
      <c r="C230" s="283">
        <v>1001350722</v>
      </c>
      <c r="D230" s="283">
        <v>1001288836</v>
      </c>
      <c r="E230" s="281">
        <v>40997574</v>
      </c>
      <c r="F230" s="118">
        <f>IF(OR(J230="",H230=""),"",VLOOKUP(J230,'הזנה לסיווג רשויות'!$B$2:$D$301,2,0))</f>
        <v>20000052</v>
      </c>
      <c r="G230" s="118" t="str">
        <f>IF(OR(J230="",H230=""),"",VLOOKUP(J230,'הזנה לסיווג רשויות'!$B$2:$D$301,3,0))</f>
        <v>כפר כנא</v>
      </c>
      <c r="H230" s="281" t="s">
        <v>692</v>
      </c>
      <c r="I230" s="201" t="s">
        <v>395</v>
      </c>
      <c r="J230" s="205">
        <v>509</v>
      </c>
      <c r="K230" s="161">
        <v>0</v>
      </c>
      <c r="L230" s="161">
        <v>1</v>
      </c>
      <c r="M230" s="161">
        <v>0</v>
      </c>
      <c r="N230" s="161">
        <v>0</v>
      </c>
      <c r="O230" s="161">
        <v>1</v>
      </c>
      <c r="P230" s="161">
        <v>1</v>
      </c>
      <c r="Q230" s="161">
        <v>1</v>
      </c>
      <c r="R230" s="201">
        <v>625736</v>
      </c>
      <c r="S230" s="201">
        <v>322256</v>
      </c>
      <c r="T230" s="160">
        <f>IF(G230="","",IFERROR(IF(S230/R230&gt;'פרמטרים לקריטריונים'!$C$20,1,0),0))</f>
        <v>1</v>
      </c>
      <c r="U230" s="201">
        <v>301081</v>
      </c>
      <c r="V230" s="160">
        <f>IF(G230="","",IFERROR(IF(U230/R230&gt;'פרמטרים לקריטריונים'!$C$21,1,IF(AND(I230=$BW$5,U230/R230&gt;'פרמטרים לקריטריונים'!$C$22),1,0)),0))</f>
        <v>1</v>
      </c>
      <c r="W230" s="161">
        <v>1</v>
      </c>
      <c r="X230" s="161">
        <v>1</v>
      </c>
      <c r="Y230" s="201">
        <v>540000</v>
      </c>
      <c r="Z230" s="201">
        <v>50000</v>
      </c>
      <c r="AA230" s="161">
        <f t="shared" si="290"/>
        <v>1</v>
      </c>
      <c r="AB230" s="161"/>
      <c r="AC230" s="161"/>
      <c r="AD230" s="161"/>
      <c r="AE230" s="161"/>
      <c r="AF230" s="161"/>
      <c r="AG230" s="161"/>
      <c r="AH230" s="161"/>
      <c r="AI230" s="161"/>
      <c r="AJ230" s="161"/>
      <c r="AK230" s="161"/>
      <c r="AL230" s="161"/>
      <c r="AM230" s="161"/>
      <c r="AN230" s="161"/>
      <c r="AO230" s="161"/>
      <c r="AP230" s="161"/>
      <c r="AQ230" s="161"/>
      <c r="AR230" s="161"/>
      <c r="AS230" s="161"/>
      <c r="AT230" s="161"/>
      <c r="AU230" s="161"/>
      <c r="AV230" s="161"/>
      <c r="AW230" s="160"/>
      <c r="AX230" s="161"/>
      <c r="AY230" s="161"/>
      <c r="AZ230" s="161"/>
      <c r="BA230" s="161"/>
      <c r="BB230" s="161"/>
      <c r="BC230" s="161"/>
      <c r="BD230" s="161"/>
      <c r="BE230" s="161"/>
      <c r="BF230" s="160" t="str">
        <f t="shared" si="291"/>
        <v/>
      </c>
      <c r="BG230" s="160"/>
      <c r="BH230" s="160"/>
      <c r="BI230" s="160"/>
      <c r="BJ230" s="160"/>
      <c r="BK230" s="160"/>
      <c r="BL230" s="162">
        <f t="shared" si="242"/>
        <v>1</v>
      </c>
      <c r="BM230" s="257"/>
      <c r="BN230" s="163"/>
      <c r="BO230" s="211" t="str">
        <f t="shared" si="243"/>
        <v>עמותת אנג'אם לקודום המוסיקהתרבות ערבית</v>
      </c>
      <c r="BP230" s="125">
        <f t="shared" si="244"/>
        <v>1</v>
      </c>
      <c r="BQ230" s="164">
        <v>0</v>
      </c>
      <c r="BR230" s="164">
        <v>1</v>
      </c>
      <c r="BS230" s="149">
        <f t="shared" si="245"/>
        <v>1</v>
      </c>
      <c r="BT230" s="149">
        <f t="shared" si="246"/>
        <v>1</v>
      </c>
      <c r="BU230" s="149">
        <f t="shared" si="247"/>
        <v>1</v>
      </c>
      <c r="BV230" s="149">
        <f t="shared" si="248"/>
        <v>1</v>
      </c>
      <c r="BW230" s="149">
        <f t="shared" si="249"/>
        <v>1</v>
      </c>
      <c r="BX230" s="149">
        <f t="shared" si="250"/>
        <v>1</v>
      </c>
      <c r="BY230" s="149">
        <f t="shared" si="251"/>
        <v>1</v>
      </c>
      <c r="BZ230" s="149">
        <f t="shared" si="252"/>
        <v>1</v>
      </c>
      <c r="CA230" s="149">
        <f t="shared" si="253"/>
        <v>1</v>
      </c>
      <c r="CB230" s="149">
        <f t="shared" si="254"/>
        <v>1</v>
      </c>
      <c r="CC230" s="149">
        <f t="shared" si="255"/>
        <v>1</v>
      </c>
      <c r="CD230" s="149">
        <f t="shared" si="256"/>
        <v>1</v>
      </c>
      <c r="CE230" s="149">
        <f t="shared" si="257"/>
        <v>1</v>
      </c>
      <c r="CF230" s="149">
        <f t="shared" si="258"/>
        <v>1</v>
      </c>
      <c r="CG230" s="149">
        <f t="shared" si="259"/>
        <v>1</v>
      </c>
      <c r="CH230" s="149">
        <f t="shared" si="260"/>
        <v>1</v>
      </c>
      <c r="CI230" s="149">
        <f t="shared" si="261"/>
        <v>1</v>
      </c>
      <c r="CJ230" s="149">
        <f t="shared" si="262"/>
        <v>1</v>
      </c>
      <c r="CK230" s="149">
        <f t="shared" si="263"/>
        <v>1</v>
      </c>
      <c r="CL230" s="149">
        <f t="shared" si="264"/>
        <v>1</v>
      </c>
      <c r="CM230" s="149">
        <f t="shared" si="265"/>
        <v>1</v>
      </c>
      <c r="CN230" s="149">
        <f t="shared" si="266"/>
        <v>1</v>
      </c>
      <c r="CO230" s="149">
        <f t="shared" si="267"/>
        <v>1</v>
      </c>
      <c r="CP230" s="149">
        <f t="shared" si="268"/>
        <v>1</v>
      </c>
      <c r="CQ230" s="149">
        <f t="shared" si="269"/>
        <v>1</v>
      </c>
      <c r="CR230" s="149">
        <f t="shared" si="270"/>
        <v>1</v>
      </c>
      <c r="CS230" s="149">
        <f t="shared" si="271"/>
        <v>1</v>
      </c>
      <c r="CT230" s="149">
        <f t="shared" si="272"/>
        <v>1</v>
      </c>
      <c r="CU230" s="149">
        <f t="shared" si="273"/>
        <v>1</v>
      </c>
      <c r="CV230" s="149">
        <f t="shared" si="274"/>
        <v>1</v>
      </c>
      <c r="CW230" s="149">
        <f t="shared" si="275"/>
        <v>1</v>
      </c>
      <c r="CX230" s="149">
        <f t="shared" si="276"/>
        <v>1</v>
      </c>
      <c r="CY230" s="149">
        <f t="shared" si="277"/>
        <v>1</v>
      </c>
      <c r="CZ230" s="149">
        <f t="shared" si="278"/>
        <v>1</v>
      </c>
      <c r="DA230" s="149">
        <f t="shared" si="279"/>
        <v>1</v>
      </c>
      <c r="DB230" s="149">
        <f t="shared" si="280"/>
        <v>1</v>
      </c>
      <c r="DG230" s="125">
        <f t="shared" si="241"/>
        <v>1</v>
      </c>
      <c r="DH230" s="125">
        <f t="shared" si="240"/>
        <v>2</v>
      </c>
      <c r="DI230" s="125">
        <f t="shared" si="240"/>
        <v>3</v>
      </c>
      <c r="DJ230" s="125">
        <f t="shared" si="240"/>
        <v>4</v>
      </c>
      <c r="DK230" s="125">
        <f t="shared" si="240"/>
        <v>5</v>
      </c>
      <c r="DL230" s="125">
        <f t="shared" si="240"/>
        <v>6</v>
      </c>
      <c r="DM230" s="125">
        <f t="shared" si="240"/>
        <v>7</v>
      </c>
      <c r="DN230" s="125">
        <f t="shared" si="240"/>
        <v>8</v>
      </c>
      <c r="DO230" s="125">
        <f t="shared" si="240"/>
        <v>9</v>
      </c>
      <c r="DP230" s="125">
        <f t="shared" si="240"/>
        <v>10</v>
      </c>
      <c r="DS230" s="137"/>
      <c r="DT230" s="137"/>
      <c r="DU230" s="137"/>
      <c r="DV230" s="137" t="b">
        <f t="shared" si="281"/>
        <v>0</v>
      </c>
      <c r="DW230" s="137" t="b">
        <f t="shared" si="282"/>
        <v>0</v>
      </c>
      <c r="DX230" s="137" t="b">
        <f t="shared" si="283"/>
        <v>1</v>
      </c>
      <c r="EB230" s="131">
        <f t="shared" si="292"/>
        <v>1</v>
      </c>
      <c r="EC230" s="137" t="b">
        <f t="shared" si="284"/>
        <v>0</v>
      </c>
      <c r="ED230" s="137" t="b">
        <f t="shared" si="285"/>
        <v>0</v>
      </c>
      <c r="EE230" s="137" t="b">
        <f t="shared" si="286"/>
        <v>1</v>
      </c>
      <c r="EF230" s="137"/>
      <c r="EG230" s="137"/>
      <c r="EH230" s="137"/>
      <c r="EI230" s="137"/>
      <c r="EJ230" s="137">
        <f t="shared" si="293"/>
        <v>1</v>
      </c>
      <c r="EK230" s="125">
        <f t="shared" si="287"/>
        <v>0</v>
      </c>
      <c r="EL230" s="125">
        <f t="shared" si="288"/>
        <v>0</v>
      </c>
    </row>
    <row r="231" spans="2:142" ht="15.75" x14ac:dyDescent="0.25">
      <c r="B231" s="160">
        <f t="shared" si="289"/>
        <v>201</v>
      </c>
      <c r="C231" s="283">
        <v>1001348110</v>
      </c>
      <c r="D231" s="283">
        <v>1001266857</v>
      </c>
      <c r="E231" s="281">
        <v>41966540</v>
      </c>
      <c r="F231" s="118">
        <f>IF(OR(J231="",H231=""),"",VLOOKUP(J231,'הזנה לסיווג רשויות'!$B$2:$D$301,2,0))</f>
        <v>20000231</v>
      </c>
      <c r="G231" s="118" t="str">
        <f>IF(OR(J231="",H231=""),"",VLOOKUP(J231,'הזנה לסיווג רשויות'!$B$2:$D$301,3,0))</f>
        <v>נצרת</v>
      </c>
      <c r="H231" s="281" t="s">
        <v>693</v>
      </c>
      <c r="I231" s="201" t="s">
        <v>395</v>
      </c>
      <c r="J231" s="205">
        <v>7300</v>
      </c>
      <c r="K231" s="161">
        <v>0</v>
      </c>
      <c r="L231" s="161">
        <v>1</v>
      </c>
      <c r="M231" s="161">
        <v>0</v>
      </c>
      <c r="N231" s="161">
        <v>0</v>
      </c>
      <c r="O231" s="161">
        <v>1</v>
      </c>
      <c r="P231" s="161">
        <v>1</v>
      </c>
      <c r="Q231" s="161">
        <v>1</v>
      </c>
      <c r="R231" s="201">
        <v>427583</v>
      </c>
      <c r="S231" s="201">
        <v>427583</v>
      </c>
      <c r="T231" s="160">
        <f>IF(G231="","",IFERROR(IF(S231/R231&gt;'פרמטרים לקריטריונים'!$C$20,1,0),0))</f>
        <v>1</v>
      </c>
      <c r="U231" s="201">
        <v>105134</v>
      </c>
      <c r="V231" s="160">
        <f>IF(G231="","",IFERROR(IF(U231/R231&gt;'פרמטרים לקריטריונים'!$C$21,1,IF(AND(I231=$BW$5,U231/R231&gt;'פרמטרים לקריטריונים'!$C$22),1,0)),0))</f>
        <v>1</v>
      </c>
      <c r="W231" s="161">
        <v>1</v>
      </c>
      <c r="X231" s="161">
        <v>1</v>
      </c>
      <c r="Y231" s="201">
        <v>540000</v>
      </c>
      <c r="Z231" s="201">
        <v>50000</v>
      </c>
      <c r="AA231" s="161">
        <f t="shared" si="290"/>
        <v>1</v>
      </c>
      <c r="AB231" s="161"/>
      <c r="AC231" s="161"/>
      <c r="AD231" s="161"/>
      <c r="AE231" s="161"/>
      <c r="AF231" s="161"/>
      <c r="AG231" s="161"/>
      <c r="AH231" s="161"/>
      <c r="AI231" s="161"/>
      <c r="AJ231" s="161"/>
      <c r="AK231" s="161"/>
      <c r="AL231" s="161"/>
      <c r="AM231" s="161"/>
      <c r="AN231" s="161"/>
      <c r="AO231" s="161"/>
      <c r="AP231" s="161"/>
      <c r="AQ231" s="161"/>
      <c r="AR231" s="161"/>
      <c r="AS231" s="161"/>
      <c r="AT231" s="161"/>
      <c r="AU231" s="161"/>
      <c r="AV231" s="161"/>
      <c r="AW231" s="160"/>
      <c r="AX231" s="161"/>
      <c r="AY231" s="161"/>
      <c r="AZ231" s="161"/>
      <c r="BA231" s="161"/>
      <c r="BB231" s="161"/>
      <c r="BC231" s="161"/>
      <c r="BD231" s="161"/>
      <c r="BE231" s="161"/>
      <c r="BF231" s="160" t="str">
        <f t="shared" si="291"/>
        <v/>
      </c>
      <c r="BG231" s="160"/>
      <c r="BH231" s="160"/>
      <c r="BI231" s="160"/>
      <c r="BJ231" s="160"/>
      <c r="BK231" s="160"/>
      <c r="BL231" s="162">
        <f t="shared" si="242"/>
        <v>1</v>
      </c>
      <c r="BM231" s="257"/>
      <c r="BN231" s="163"/>
      <c r="BO231" s="211" t="str">
        <f t="shared" si="243"/>
        <v>עוד זיריאבתרבות ערבית</v>
      </c>
      <c r="BP231" s="125">
        <f t="shared" si="244"/>
        <v>1</v>
      </c>
      <c r="BQ231" s="164">
        <v>0</v>
      </c>
      <c r="BR231" s="164">
        <v>1</v>
      </c>
      <c r="BS231" s="149">
        <f t="shared" si="245"/>
        <v>1</v>
      </c>
      <c r="BT231" s="149">
        <f t="shared" si="246"/>
        <v>1</v>
      </c>
      <c r="BU231" s="149">
        <f t="shared" si="247"/>
        <v>1</v>
      </c>
      <c r="BV231" s="149">
        <f t="shared" si="248"/>
        <v>1</v>
      </c>
      <c r="BW231" s="149">
        <f t="shared" si="249"/>
        <v>1</v>
      </c>
      <c r="BX231" s="149">
        <f t="shared" si="250"/>
        <v>1</v>
      </c>
      <c r="BY231" s="149">
        <f t="shared" si="251"/>
        <v>1</v>
      </c>
      <c r="BZ231" s="149">
        <f t="shared" si="252"/>
        <v>1</v>
      </c>
      <c r="CA231" s="149">
        <f t="shared" si="253"/>
        <v>1</v>
      </c>
      <c r="CB231" s="149">
        <f t="shared" si="254"/>
        <v>1</v>
      </c>
      <c r="CC231" s="149">
        <f t="shared" si="255"/>
        <v>1</v>
      </c>
      <c r="CD231" s="149">
        <f t="shared" si="256"/>
        <v>1</v>
      </c>
      <c r="CE231" s="149">
        <f t="shared" si="257"/>
        <v>1</v>
      </c>
      <c r="CF231" s="149">
        <f t="shared" si="258"/>
        <v>1</v>
      </c>
      <c r="CG231" s="149">
        <f t="shared" si="259"/>
        <v>1</v>
      </c>
      <c r="CH231" s="149">
        <f t="shared" si="260"/>
        <v>1</v>
      </c>
      <c r="CI231" s="149">
        <f t="shared" si="261"/>
        <v>1</v>
      </c>
      <c r="CJ231" s="149">
        <f t="shared" si="262"/>
        <v>1</v>
      </c>
      <c r="CK231" s="149">
        <f t="shared" si="263"/>
        <v>1</v>
      </c>
      <c r="CL231" s="149">
        <f t="shared" si="264"/>
        <v>1</v>
      </c>
      <c r="CM231" s="149">
        <f t="shared" si="265"/>
        <v>1</v>
      </c>
      <c r="CN231" s="149">
        <f t="shared" si="266"/>
        <v>1</v>
      </c>
      <c r="CO231" s="149">
        <f t="shared" si="267"/>
        <v>1</v>
      </c>
      <c r="CP231" s="149">
        <f t="shared" si="268"/>
        <v>1</v>
      </c>
      <c r="CQ231" s="149">
        <f t="shared" si="269"/>
        <v>1</v>
      </c>
      <c r="CR231" s="149">
        <f t="shared" si="270"/>
        <v>1</v>
      </c>
      <c r="CS231" s="149">
        <f t="shared" si="271"/>
        <v>1</v>
      </c>
      <c r="CT231" s="149">
        <f t="shared" si="272"/>
        <v>1</v>
      </c>
      <c r="CU231" s="149">
        <f t="shared" si="273"/>
        <v>1</v>
      </c>
      <c r="CV231" s="149">
        <f t="shared" si="274"/>
        <v>1</v>
      </c>
      <c r="CW231" s="149">
        <f t="shared" si="275"/>
        <v>1</v>
      </c>
      <c r="CX231" s="149">
        <f t="shared" si="276"/>
        <v>1</v>
      </c>
      <c r="CY231" s="149">
        <f t="shared" si="277"/>
        <v>1</v>
      </c>
      <c r="CZ231" s="149">
        <f t="shared" si="278"/>
        <v>1</v>
      </c>
      <c r="DA231" s="149">
        <f t="shared" si="279"/>
        <v>1</v>
      </c>
      <c r="DB231" s="149">
        <f t="shared" si="280"/>
        <v>1</v>
      </c>
      <c r="DG231" s="125">
        <f t="shared" si="241"/>
        <v>1</v>
      </c>
      <c r="DH231" s="125">
        <f t="shared" si="240"/>
        <v>2</v>
      </c>
      <c r="DI231" s="125">
        <f t="shared" si="240"/>
        <v>3</v>
      </c>
      <c r="DJ231" s="125">
        <f t="shared" si="240"/>
        <v>4</v>
      </c>
      <c r="DK231" s="125">
        <f t="shared" si="240"/>
        <v>5</v>
      </c>
      <c r="DL231" s="125">
        <f t="shared" si="240"/>
        <v>6</v>
      </c>
      <c r="DM231" s="125">
        <f t="shared" si="240"/>
        <v>7</v>
      </c>
      <c r="DN231" s="125">
        <f t="shared" si="240"/>
        <v>8</v>
      </c>
      <c r="DO231" s="125">
        <f t="shared" si="240"/>
        <v>9</v>
      </c>
      <c r="DP231" s="125">
        <f t="shared" si="240"/>
        <v>10</v>
      </c>
      <c r="DS231" s="137"/>
      <c r="DT231" s="137"/>
      <c r="DU231" s="137"/>
      <c r="DV231" s="137" t="b">
        <f t="shared" si="281"/>
        <v>0</v>
      </c>
      <c r="DW231" s="137" t="b">
        <f t="shared" si="282"/>
        <v>0</v>
      </c>
      <c r="DX231" s="137" t="b">
        <f t="shared" si="283"/>
        <v>1</v>
      </c>
      <c r="EB231" s="131">
        <f t="shared" si="292"/>
        <v>1</v>
      </c>
      <c r="EC231" s="137" t="b">
        <f t="shared" si="284"/>
        <v>0</v>
      </c>
      <c r="ED231" s="137" t="b">
        <f t="shared" si="285"/>
        <v>0</v>
      </c>
      <c r="EE231" s="137" t="b">
        <f t="shared" si="286"/>
        <v>1</v>
      </c>
      <c r="EF231" s="137"/>
      <c r="EG231" s="137"/>
      <c r="EH231" s="137"/>
      <c r="EI231" s="137"/>
      <c r="EJ231" s="137">
        <f t="shared" si="293"/>
        <v>1</v>
      </c>
      <c r="EK231" s="125">
        <f t="shared" si="287"/>
        <v>0</v>
      </c>
      <c r="EL231" s="125">
        <f t="shared" si="288"/>
        <v>0</v>
      </c>
    </row>
    <row r="232" spans="2:142" ht="15.75" x14ac:dyDescent="0.25">
      <c r="B232" s="160">
        <f t="shared" si="289"/>
        <v>202</v>
      </c>
      <c r="C232" s="283">
        <v>1001349379</v>
      </c>
      <c r="D232" s="283">
        <v>1001274144</v>
      </c>
      <c r="E232" s="281">
        <v>40471611</v>
      </c>
      <c r="F232" s="118">
        <f>IF(OR(J232="",H232=""),"",VLOOKUP(J232,'הזנה לסיווג רשויות'!$B$2:$D$301,2,0))</f>
        <v>20000159</v>
      </c>
      <c r="G232" s="118" t="str">
        <f>IF(OR(J232="",H232=""),"",VLOOKUP(J232,'הזנה לסיווג רשויות'!$B$2:$D$301,3,0))</f>
        <v>ירושלים</v>
      </c>
      <c r="H232" s="281" t="s">
        <v>694</v>
      </c>
      <c r="I232" s="201" t="s">
        <v>380</v>
      </c>
      <c r="J232" s="205">
        <v>3000</v>
      </c>
      <c r="K232" s="161">
        <v>0</v>
      </c>
      <c r="L232" s="161">
        <v>1</v>
      </c>
      <c r="M232" s="161">
        <v>0</v>
      </c>
      <c r="N232" s="161">
        <v>1</v>
      </c>
      <c r="O232" s="161">
        <v>1</v>
      </c>
      <c r="P232" s="161">
        <v>1</v>
      </c>
      <c r="Q232" s="161">
        <v>1</v>
      </c>
      <c r="R232" s="201">
        <v>1165221</v>
      </c>
      <c r="S232" s="201">
        <v>1015221</v>
      </c>
      <c r="T232" s="160">
        <f>IF(G232="","",IFERROR(IF(S232/R232&gt;'פרמטרים לקריטריונים'!$C$20,1,0),0))</f>
        <v>1</v>
      </c>
      <c r="U232" s="201">
        <v>941835</v>
      </c>
      <c r="V232" s="160">
        <f>IF(G232="","",IFERROR(IF(U232/R232&gt;'פרמטרים לקריטריונים'!$C$21,1,IF(AND(I232=$BW$5,U232/R232&gt;'פרמטרים לקריטריונים'!$C$22),1,0)),0))</f>
        <v>1</v>
      </c>
      <c r="W232" s="161">
        <v>1</v>
      </c>
      <c r="X232" s="161">
        <v>1</v>
      </c>
      <c r="Y232" s="201">
        <v>140000</v>
      </c>
      <c r="Z232" s="201">
        <v>140000</v>
      </c>
      <c r="AA232" s="161">
        <f t="shared" si="290"/>
        <v>1</v>
      </c>
      <c r="AB232" s="161"/>
      <c r="AC232" s="161"/>
      <c r="AD232" s="161"/>
      <c r="AE232" s="161"/>
      <c r="AF232" s="161"/>
      <c r="AG232" s="161"/>
      <c r="AH232" s="161"/>
      <c r="AI232" s="161"/>
      <c r="AJ232" s="161"/>
      <c r="AK232" s="161"/>
      <c r="AL232" s="161"/>
      <c r="AM232" s="161"/>
      <c r="AN232" s="161"/>
      <c r="AO232" s="161"/>
      <c r="AP232" s="161"/>
      <c r="AQ232" s="161"/>
      <c r="AR232" s="161"/>
      <c r="AS232" s="161"/>
      <c r="AT232" s="161"/>
      <c r="AU232" s="161"/>
      <c r="AV232" s="161"/>
      <c r="AW232" s="160"/>
      <c r="AX232" s="161"/>
      <c r="AY232" s="161"/>
      <c r="AZ232" s="161"/>
      <c r="BA232" s="161"/>
      <c r="BB232" s="161"/>
      <c r="BC232" s="161"/>
      <c r="BD232" s="161"/>
      <c r="BE232" s="161"/>
      <c r="BF232" s="160" t="str">
        <f t="shared" si="291"/>
        <v/>
      </c>
      <c r="BG232" s="160"/>
      <c r="BH232" s="160"/>
      <c r="BI232" s="160"/>
      <c r="BJ232" s="160"/>
      <c r="BK232" s="160"/>
      <c r="BL232" s="162">
        <f t="shared" si="242"/>
        <v>1</v>
      </c>
      <c r="BM232" s="257"/>
      <c r="BN232" s="163"/>
      <c r="BO232" s="211" t="str">
        <f t="shared" si="243"/>
        <v>חיבה - התנועה למורשת ישראל (ע"ר)קבוצות מוסיקה</v>
      </c>
      <c r="BP232" s="125">
        <f t="shared" si="244"/>
        <v>1</v>
      </c>
      <c r="BQ232" s="164">
        <v>0</v>
      </c>
      <c r="BR232" s="164">
        <v>1</v>
      </c>
      <c r="BS232" s="149">
        <f t="shared" si="245"/>
        <v>1</v>
      </c>
      <c r="BT232" s="149">
        <f t="shared" si="246"/>
        <v>1</v>
      </c>
      <c r="BU232" s="149">
        <f t="shared" si="247"/>
        <v>1</v>
      </c>
      <c r="BV232" s="149">
        <f t="shared" si="248"/>
        <v>1</v>
      </c>
      <c r="BW232" s="149">
        <f t="shared" si="249"/>
        <v>1</v>
      </c>
      <c r="BX232" s="149">
        <f t="shared" si="250"/>
        <v>1</v>
      </c>
      <c r="BY232" s="149">
        <f t="shared" si="251"/>
        <v>1</v>
      </c>
      <c r="BZ232" s="149">
        <f t="shared" si="252"/>
        <v>1</v>
      </c>
      <c r="CA232" s="149">
        <f t="shared" si="253"/>
        <v>1</v>
      </c>
      <c r="CB232" s="149">
        <f t="shared" si="254"/>
        <v>1</v>
      </c>
      <c r="CC232" s="149">
        <f t="shared" si="255"/>
        <v>1</v>
      </c>
      <c r="CD232" s="149">
        <f t="shared" si="256"/>
        <v>1</v>
      </c>
      <c r="CE232" s="149">
        <f t="shared" si="257"/>
        <v>1</v>
      </c>
      <c r="CF232" s="149">
        <f t="shared" si="258"/>
        <v>1</v>
      </c>
      <c r="CG232" s="149">
        <f t="shared" si="259"/>
        <v>1</v>
      </c>
      <c r="CH232" s="149">
        <f t="shared" si="260"/>
        <v>1</v>
      </c>
      <c r="CI232" s="149">
        <f t="shared" si="261"/>
        <v>1</v>
      </c>
      <c r="CJ232" s="149">
        <f t="shared" si="262"/>
        <v>1</v>
      </c>
      <c r="CK232" s="149">
        <f t="shared" si="263"/>
        <v>1</v>
      </c>
      <c r="CL232" s="149">
        <f t="shared" si="264"/>
        <v>1</v>
      </c>
      <c r="CM232" s="149">
        <f t="shared" si="265"/>
        <v>1</v>
      </c>
      <c r="CN232" s="149">
        <f t="shared" si="266"/>
        <v>1</v>
      </c>
      <c r="CO232" s="149">
        <f t="shared" si="267"/>
        <v>1</v>
      </c>
      <c r="CP232" s="149">
        <f t="shared" si="268"/>
        <v>1</v>
      </c>
      <c r="CQ232" s="149">
        <f t="shared" si="269"/>
        <v>1</v>
      </c>
      <c r="CR232" s="149">
        <f t="shared" si="270"/>
        <v>1</v>
      </c>
      <c r="CS232" s="149">
        <f t="shared" si="271"/>
        <v>1</v>
      </c>
      <c r="CT232" s="149">
        <f t="shared" si="272"/>
        <v>1</v>
      </c>
      <c r="CU232" s="149">
        <f t="shared" si="273"/>
        <v>1</v>
      </c>
      <c r="CV232" s="149">
        <f t="shared" si="274"/>
        <v>1</v>
      </c>
      <c r="CW232" s="149">
        <f t="shared" si="275"/>
        <v>1</v>
      </c>
      <c r="CX232" s="149">
        <f t="shared" si="276"/>
        <v>1</v>
      </c>
      <c r="CY232" s="149">
        <f t="shared" si="277"/>
        <v>1</v>
      </c>
      <c r="CZ232" s="149">
        <f t="shared" si="278"/>
        <v>1</v>
      </c>
      <c r="DA232" s="149">
        <f t="shared" si="279"/>
        <v>1</v>
      </c>
      <c r="DB232" s="149">
        <f t="shared" si="280"/>
        <v>1</v>
      </c>
      <c r="DG232" s="125">
        <f t="shared" si="241"/>
        <v>1</v>
      </c>
      <c r="DH232" s="125">
        <f t="shared" si="240"/>
        <v>2</v>
      </c>
      <c r="DI232" s="125">
        <f t="shared" si="240"/>
        <v>3</v>
      </c>
      <c r="DJ232" s="125">
        <f t="shared" si="240"/>
        <v>4</v>
      </c>
      <c r="DK232" s="125">
        <f t="shared" si="240"/>
        <v>5</v>
      </c>
      <c r="DL232" s="125">
        <f t="shared" si="240"/>
        <v>6</v>
      </c>
      <c r="DM232" s="125">
        <f t="shared" si="240"/>
        <v>7</v>
      </c>
      <c r="DN232" s="125">
        <f t="shared" si="240"/>
        <v>8</v>
      </c>
      <c r="DO232" s="125">
        <f t="shared" si="240"/>
        <v>9</v>
      </c>
      <c r="DP232" s="125">
        <f t="shared" si="240"/>
        <v>10</v>
      </c>
      <c r="DS232" s="137"/>
      <c r="DT232" s="137"/>
      <c r="DU232" s="137"/>
      <c r="DV232" s="137" t="b">
        <f t="shared" si="281"/>
        <v>0</v>
      </c>
      <c r="DW232" s="137" t="b">
        <f t="shared" si="282"/>
        <v>0</v>
      </c>
      <c r="DX232" s="137" t="b">
        <f t="shared" si="283"/>
        <v>1</v>
      </c>
      <c r="EB232" s="131">
        <f t="shared" si="292"/>
        <v>1</v>
      </c>
      <c r="EC232" s="137" t="b">
        <f t="shared" si="284"/>
        <v>0</v>
      </c>
      <c r="ED232" s="137" t="b">
        <f t="shared" si="285"/>
        <v>0</v>
      </c>
      <c r="EE232" s="137" t="b">
        <f t="shared" si="286"/>
        <v>1</v>
      </c>
      <c r="EF232" s="137"/>
      <c r="EG232" s="137"/>
      <c r="EH232" s="137"/>
      <c r="EI232" s="137"/>
      <c r="EJ232" s="137">
        <f t="shared" si="293"/>
        <v>1</v>
      </c>
      <c r="EK232" s="125">
        <f t="shared" si="287"/>
        <v>0</v>
      </c>
      <c r="EL232" s="125">
        <f t="shared" si="288"/>
        <v>0</v>
      </c>
    </row>
    <row r="233" spans="2:142" ht="15.75" x14ac:dyDescent="0.25">
      <c r="B233" s="160">
        <f t="shared" si="289"/>
        <v>203</v>
      </c>
      <c r="C233" s="283">
        <v>1001349381</v>
      </c>
      <c r="D233" s="283">
        <v>1001268664</v>
      </c>
      <c r="E233" s="281">
        <v>40471611</v>
      </c>
      <c r="F233" s="118">
        <f>IF(OR(J233="",H233=""),"",VLOOKUP(J233,'הזנה לסיווג רשויות'!$B$2:$D$301,2,0))</f>
        <v>20000159</v>
      </c>
      <c r="G233" s="118" t="str">
        <f>IF(OR(J233="",H233=""),"",VLOOKUP(J233,'הזנה לסיווג רשויות'!$B$2:$D$301,3,0))</f>
        <v>ירושלים</v>
      </c>
      <c r="H233" s="281" t="s">
        <v>694</v>
      </c>
      <c r="I233" s="201" t="s">
        <v>564</v>
      </c>
      <c r="J233" s="205">
        <v>3000</v>
      </c>
      <c r="K233" s="161">
        <v>0</v>
      </c>
      <c r="L233" s="161">
        <v>1</v>
      </c>
      <c r="M233" s="161">
        <v>0</v>
      </c>
      <c r="N233" s="161">
        <v>1</v>
      </c>
      <c r="O233" s="161">
        <v>1</v>
      </c>
      <c r="P233" s="161">
        <v>1</v>
      </c>
      <c r="Q233" s="161">
        <v>1</v>
      </c>
      <c r="R233" s="201">
        <v>565824</v>
      </c>
      <c r="S233" s="201">
        <v>183007</v>
      </c>
      <c r="T233" s="160">
        <f>IF(G233="","",IFERROR(IF(S233/R233&gt;'פרמטרים לקריטריונים'!$C$20,1,0),0))</f>
        <v>1</v>
      </c>
      <c r="U233" s="201">
        <v>183007</v>
      </c>
      <c r="V233" s="160">
        <f>IF(G233="","",IFERROR(IF(U233/R233&gt;'פרמטרים לקריטריונים'!$C$21,1,IF(AND(I233=$BW$5,U233/R233&gt;'פרמטרים לקריטריונים'!$C$22),1,0)),0))</f>
        <v>1</v>
      </c>
      <c r="W233" s="161">
        <v>1</v>
      </c>
      <c r="X233" s="161">
        <v>1</v>
      </c>
      <c r="Y233" s="201">
        <v>80000</v>
      </c>
      <c r="Z233" s="201">
        <v>80000</v>
      </c>
      <c r="AA233" s="161">
        <f t="shared" si="290"/>
        <v>1</v>
      </c>
      <c r="AB233" s="161"/>
      <c r="AC233" s="161"/>
      <c r="AD233" s="161"/>
      <c r="AE233" s="161"/>
      <c r="AF233" s="161"/>
      <c r="AG233" s="161"/>
      <c r="AH233" s="161"/>
      <c r="AI233" s="161"/>
      <c r="AJ233" s="161"/>
      <c r="AK233" s="161"/>
      <c r="AL233" s="161"/>
      <c r="AM233" s="161"/>
      <c r="AN233" s="161"/>
      <c r="AO233" s="161"/>
      <c r="AP233" s="161"/>
      <c r="AQ233" s="161"/>
      <c r="AR233" s="161"/>
      <c r="AS233" s="161"/>
      <c r="AT233" s="161"/>
      <c r="AU233" s="161"/>
      <c r="AV233" s="161"/>
      <c r="AW233" s="160"/>
      <c r="AX233" s="161"/>
      <c r="AY233" s="161"/>
      <c r="AZ233" s="161"/>
      <c r="BA233" s="161"/>
      <c r="BB233" s="161"/>
      <c r="BC233" s="161"/>
      <c r="BD233" s="161"/>
      <c r="BE233" s="161"/>
      <c r="BF233" s="160" t="str">
        <f t="shared" si="291"/>
        <v/>
      </c>
      <c r="BG233" s="160"/>
      <c r="BH233" s="160"/>
      <c r="BI233" s="160"/>
      <c r="BJ233" s="160"/>
      <c r="BK233" s="160"/>
      <c r="BL233" s="162">
        <f t="shared" si="242"/>
        <v>1</v>
      </c>
      <c r="BM233" s="257"/>
      <c r="BN233" s="163"/>
      <c r="BO233" s="211" t="str">
        <f t="shared" si="243"/>
        <v>חיבה - התנועה למורשת ישראל (ע"ר)אחר</v>
      </c>
      <c r="BP233" s="125">
        <f t="shared" si="244"/>
        <v>1</v>
      </c>
      <c r="BQ233" s="164">
        <v>0</v>
      </c>
      <c r="BR233" s="164">
        <v>1</v>
      </c>
      <c r="BS233" s="149">
        <f t="shared" si="245"/>
        <v>1</v>
      </c>
      <c r="BT233" s="149">
        <f t="shared" si="246"/>
        <v>1</v>
      </c>
      <c r="BU233" s="149">
        <f t="shared" si="247"/>
        <v>1</v>
      </c>
      <c r="BV233" s="149">
        <f t="shared" si="248"/>
        <v>1</v>
      </c>
      <c r="BW233" s="149">
        <f t="shared" si="249"/>
        <v>1</v>
      </c>
      <c r="BX233" s="149">
        <f t="shared" si="250"/>
        <v>1</v>
      </c>
      <c r="BY233" s="149">
        <f t="shared" si="251"/>
        <v>1</v>
      </c>
      <c r="BZ233" s="149">
        <f t="shared" si="252"/>
        <v>1</v>
      </c>
      <c r="CA233" s="149">
        <f t="shared" si="253"/>
        <v>1</v>
      </c>
      <c r="CB233" s="149">
        <f t="shared" si="254"/>
        <v>1</v>
      </c>
      <c r="CC233" s="149">
        <f t="shared" si="255"/>
        <v>1</v>
      </c>
      <c r="CD233" s="149">
        <f t="shared" si="256"/>
        <v>1</v>
      </c>
      <c r="CE233" s="149">
        <f t="shared" si="257"/>
        <v>1</v>
      </c>
      <c r="CF233" s="149">
        <f t="shared" si="258"/>
        <v>1</v>
      </c>
      <c r="CG233" s="149">
        <f t="shared" si="259"/>
        <v>1</v>
      </c>
      <c r="CH233" s="149">
        <f t="shared" si="260"/>
        <v>1</v>
      </c>
      <c r="CI233" s="149">
        <f t="shared" si="261"/>
        <v>1</v>
      </c>
      <c r="CJ233" s="149">
        <f t="shared" si="262"/>
        <v>1</v>
      </c>
      <c r="CK233" s="149">
        <f t="shared" si="263"/>
        <v>1</v>
      </c>
      <c r="CL233" s="149">
        <f t="shared" si="264"/>
        <v>1</v>
      </c>
      <c r="CM233" s="149">
        <f t="shared" si="265"/>
        <v>1</v>
      </c>
      <c r="CN233" s="149">
        <f t="shared" si="266"/>
        <v>1</v>
      </c>
      <c r="CO233" s="149">
        <f t="shared" si="267"/>
        <v>1</v>
      </c>
      <c r="CP233" s="149">
        <f t="shared" si="268"/>
        <v>1</v>
      </c>
      <c r="CQ233" s="149">
        <f t="shared" si="269"/>
        <v>1</v>
      </c>
      <c r="CR233" s="149">
        <f t="shared" si="270"/>
        <v>1</v>
      </c>
      <c r="CS233" s="149">
        <f t="shared" si="271"/>
        <v>1</v>
      </c>
      <c r="CT233" s="149">
        <f t="shared" si="272"/>
        <v>1</v>
      </c>
      <c r="CU233" s="149">
        <f t="shared" si="273"/>
        <v>1</v>
      </c>
      <c r="CV233" s="149">
        <f t="shared" si="274"/>
        <v>1</v>
      </c>
      <c r="CW233" s="149">
        <f t="shared" si="275"/>
        <v>1</v>
      </c>
      <c r="CX233" s="149">
        <f t="shared" si="276"/>
        <v>1</v>
      </c>
      <c r="CY233" s="149">
        <f t="shared" si="277"/>
        <v>1</v>
      </c>
      <c r="CZ233" s="149">
        <f t="shared" si="278"/>
        <v>1</v>
      </c>
      <c r="DA233" s="149">
        <f t="shared" si="279"/>
        <v>1</v>
      </c>
      <c r="DB233" s="149">
        <f t="shared" si="280"/>
        <v>1</v>
      </c>
      <c r="DG233" s="125">
        <f t="shared" si="241"/>
        <v>1</v>
      </c>
      <c r="DH233" s="125">
        <f t="shared" si="240"/>
        <v>2</v>
      </c>
      <c r="DI233" s="125">
        <f t="shared" si="240"/>
        <v>3</v>
      </c>
      <c r="DJ233" s="125">
        <f t="shared" si="240"/>
        <v>4</v>
      </c>
      <c r="DK233" s="125">
        <f t="shared" si="240"/>
        <v>5</v>
      </c>
      <c r="DL233" s="125">
        <f t="shared" si="240"/>
        <v>6</v>
      </c>
      <c r="DM233" s="125">
        <f t="shared" si="240"/>
        <v>7</v>
      </c>
      <c r="DN233" s="125">
        <f t="shared" si="240"/>
        <v>8</v>
      </c>
      <c r="DO233" s="125">
        <f t="shared" si="240"/>
        <v>9</v>
      </c>
      <c r="DP233" s="125">
        <f t="shared" si="240"/>
        <v>10</v>
      </c>
      <c r="DS233" s="137"/>
      <c r="DT233" s="137"/>
      <c r="DU233" s="137"/>
      <c r="DV233" s="137" t="b">
        <f t="shared" si="281"/>
        <v>0</v>
      </c>
      <c r="DW233" s="137" t="b">
        <f t="shared" si="282"/>
        <v>0</v>
      </c>
      <c r="DX233" s="137" t="b">
        <f t="shared" si="283"/>
        <v>1</v>
      </c>
      <c r="EB233" s="131">
        <f t="shared" si="292"/>
        <v>1</v>
      </c>
      <c r="EC233" s="137" t="b">
        <f t="shared" si="284"/>
        <v>0</v>
      </c>
      <c r="ED233" s="137" t="b">
        <f t="shared" si="285"/>
        <v>0</v>
      </c>
      <c r="EE233" s="137" t="b">
        <f t="shared" si="286"/>
        <v>1</v>
      </c>
      <c r="EF233" s="137"/>
      <c r="EG233" s="137"/>
      <c r="EH233" s="137"/>
      <c r="EI233" s="137"/>
      <c r="EJ233" s="137">
        <f t="shared" si="293"/>
        <v>1</v>
      </c>
      <c r="EK233" s="125">
        <f t="shared" si="287"/>
        <v>0</v>
      </c>
      <c r="EL233" s="125">
        <f t="shared" si="288"/>
        <v>0</v>
      </c>
    </row>
    <row r="234" spans="2:142" ht="15.75" x14ac:dyDescent="0.2">
      <c r="B234" s="160">
        <f t="shared" si="289"/>
        <v>204</v>
      </c>
      <c r="C234" s="205">
        <v>1001349104</v>
      </c>
      <c r="D234" s="205">
        <v>1001275605</v>
      </c>
      <c r="E234" s="205">
        <v>40541378</v>
      </c>
      <c r="F234" s="118">
        <f>IF(OR(J234="",H234=""),"",VLOOKUP(J234,'הזנה לסיווג רשויות'!$B$2:$D$301,2,0))</f>
        <v>20000253</v>
      </c>
      <c r="G234" s="118" t="str">
        <f>IF(OR(J234="",H234=""),"",VLOOKUP(J234,'הזנה לסיווג רשויות'!$B$2:$D$301,3,0))</f>
        <v>טמרה</v>
      </c>
      <c r="H234" s="201" t="s">
        <v>695</v>
      </c>
      <c r="I234" s="201" t="s">
        <v>564</v>
      </c>
      <c r="J234" s="205">
        <v>8900</v>
      </c>
      <c r="K234" s="161">
        <v>0</v>
      </c>
      <c r="L234" s="161">
        <v>1</v>
      </c>
      <c r="M234" s="161">
        <v>0</v>
      </c>
      <c r="N234" s="161">
        <v>0</v>
      </c>
      <c r="O234" s="161">
        <v>1</v>
      </c>
      <c r="P234" s="161">
        <v>1</v>
      </c>
      <c r="Q234" s="161">
        <v>1</v>
      </c>
      <c r="R234" s="201">
        <v>843372</v>
      </c>
      <c r="S234" s="201">
        <v>314260</v>
      </c>
      <c r="T234" s="160">
        <f>IF(G234="","",IFERROR(IF(S234/R234&gt;'פרמטרים לקריטריונים'!$C$20,1,0),0))</f>
        <v>1</v>
      </c>
      <c r="U234" s="201">
        <v>314260</v>
      </c>
      <c r="V234" s="160">
        <f>IF(G234="","",IFERROR(IF(U234/R234&gt;'פרמטרים לקריטריונים'!$C$21,1,IF(AND(I234=$BW$5,U234/R234&gt;'פרמטרים לקריטריונים'!$C$22),1,0)),0))</f>
        <v>1</v>
      </c>
      <c r="W234" s="161">
        <v>1</v>
      </c>
      <c r="X234" s="161">
        <v>1</v>
      </c>
      <c r="Y234" s="201">
        <v>973600</v>
      </c>
      <c r="Z234" s="201">
        <v>973600</v>
      </c>
      <c r="AA234" s="161">
        <f t="shared" si="290"/>
        <v>1</v>
      </c>
      <c r="AB234" s="161"/>
      <c r="AC234" s="161"/>
      <c r="AD234" s="161"/>
      <c r="AE234" s="161"/>
      <c r="AF234" s="161"/>
      <c r="AG234" s="161"/>
      <c r="AH234" s="161"/>
      <c r="AI234" s="161"/>
      <c r="AJ234" s="161"/>
      <c r="AK234" s="161"/>
      <c r="AL234" s="161"/>
      <c r="AM234" s="161"/>
      <c r="AN234" s="161"/>
      <c r="AO234" s="161"/>
      <c r="AP234" s="161"/>
      <c r="AQ234" s="161"/>
      <c r="AR234" s="161"/>
      <c r="AS234" s="161"/>
      <c r="AT234" s="161"/>
      <c r="AU234" s="161"/>
      <c r="AV234" s="161"/>
      <c r="AW234" s="160"/>
      <c r="AX234" s="161"/>
      <c r="AY234" s="161"/>
      <c r="AZ234" s="161"/>
      <c r="BA234" s="161"/>
      <c r="BB234" s="161"/>
      <c r="BC234" s="161"/>
      <c r="BD234" s="161"/>
      <c r="BE234" s="161"/>
      <c r="BF234" s="160" t="str">
        <f t="shared" si="291"/>
        <v/>
      </c>
      <c r="BG234" s="160"/>
      <c r="BH234" s="160"/>
      <c r="BI234" s="160"/>
      <c r="BJ234" s="160"/>
      <c r="BK234" s="160"/>
      <c r="BL234" s="162">
        <f t="shared" si="242"/>
        <v>1</v>
      </c>
      <c r="BM234" s="257"/>
      <c r="BN234" s="163"/>
      <c r="BO234" s="211" t="str">
        <f t="shared" si="243"/>
        <v>באב אל חארה- התיאטרון הכפרי לתרבותאחר</v>
      </c>
      <c r="BP234" s="125">
        <f t="shared" si="244"/>
        <v>1</v>
      </c>
      <c r="BQ234" s="164">
        <v>0</v>
      </c>
      <c r="BR234" s="164">
        <v>1</v>
      </c>
      <c r="BS234" s="149">
        <f t="shared" si="245"/>
        <v>1</v>
      </c>
      <c r="BT234" s="149">
        <f t="shared" si="246"/>
        <v>1</v>
      </c>
      <c r="BU234" s="149">
        <f t="shared" si="247"/>
        <v>1</v>
      </c>
      <c r="BV234" s="149">
        <f t="shared" si="248"/>
        <v>1</v>
      </c>
      <c r="BW234" s="149">
        <f t="shared" si="249"/>
        <v>1</v>
      </c>
      <c r="BX234" s="149">
        <f t="shared" si="250"/>
        <v>1</v>
      </c>
      <c r="BY234" s="149">
        <f t="shared" si="251"/>
        <v>1</v>
      </c>
      <c r="BZ234" s="149">
        <f t="shared" si="252"/>
        <v>1</v>
      </c>
      <c r="CA234" s="149">
        <f t="shared" si="253"/>
        <v>1</v>
      </c>
      <c r="CB234" s="149">
        <f t="shared" si="254"/>
        <v>1</v>
      </c>
      <c r="CC234" s="149">
        <f t="shared" si="255"/>
        <v>1</v>
      </c>
      <c r="CD234" s="149">
        <f t="shared" si="256"/>
        <v>1</v>
      </c>
      <c r="CE234" s="149">
        <f t="shared" si="257"/>
        <v>1</v>
      </c>
      <c r="CF234" s="149">
        <f t="shared" si="258"/>
        <v>1</v>
      </c>
      <c r="CG234" s="149">
        <f t="shared" si="259"/>
        <v>1</v>
      </c>
      <c r="CH234" s="149">
        <f t="shared" si="260"/>
        <v>1</v>
      </c>
      <c r="CI234" s="149">
        <f t="shared" si="261"/>
        <v>1</v>
      </c>
      <c r="CJ234" s="149">
        <f t="shared" si="262"/>
        <v>1</v>
      </c>
      <c r="CK234" s="149">
        <f t="shared" si="263"/>
        <v>1</v>
      </c>
      <c r="CL234" s="149">
        <f t="shared" si="264"/>
        <v>1</v>
      </c>
      <c r="CM234" s="149">
        <f t="shared" si="265"/>
        <v>1</v>
      </c>
      <c r="CN234" s="149">
        <f t="shared" si="266"/>
        <v>1</v>
      </c>
      <c r="CO234" s="149">
        <f t="shared" si="267"/>
        <v>1</v>
      </c>
      <c r="CP234" s="149">
        <f t="shared" si="268"/>
        <v>1</v>
      </c>
      <c r="CQ234" s="149">
        <f t="shared" si="269"/>
        <v>1</v>
      </c>
      <c r="CR234" s="149">
        <f t="shared" si="270"/>
        <v>1</v>
      </c>
      <c r="CS234" s="149">
        <f t="shared" si="271"/>
        <v>1</v>
      </c>
      <c r="CT234" s="149">
        <f t="shared" si="272"/>
        <v>1</v>
      </c>
      <c r="CU234" s="149">
        <f t="shared" si="273"/>
        <v>1</v>
      </c>
      <c r="CV234" s="149">
        <f t="shared" si="274"/>
        <v>1</v>
      </c>
      <c r="CW234" s="149">
        <f t="shared" si="275"/>
        <v>1</v>
      </c>
      <c r="CX234" s="149">
        <f t="shared" si="276"/>
        <v>1</v>
      </c>
      <c r="CY234" s="149">
        <f t="shared" si="277"/>
        <v>1</v>
      </c>
      <c r="CZ234" s="149">
        <f t="shared" si="278"/>
        <v>1</v>
      </c>
      <c r="DA234" s="149">
        <f t="shared" si="279"/>
        <v>1</v>
      </c>
      <c r="DB234" s="149">
        <f t="shared" si="280"/>
        <v>1</v>
      </c>
      <c r="DG234" s="125">
        <f t="shared" si="241"/>
        <v>1</v>
      </c>
      <c r="DH234" s="125">
        <f t="shared" si="240"/>
        <v>2</v>
      </c>
      <c r="DI234" s="125">
        <f t="shared" si="240"/>
        <v>3</v>
      </c>
      <c r="DJ234" s="125">
        <f t="shared" si="240"/>
        <v>4</v>
      </c>
      <c r="DK234" s="125">
        <f t="shared" si="240"/>
        <v>5</v>
      </c>
      <c r="DL234" s="125">
        <f t="shared" si="240"/>
        <v>6</v>
      </c>
      <c r="DM234" s="125">
        <f t="shared" si="240"/>
        <v>7</v>
      </c>
      <c r="DN234" s="125">
        <f t="shared" si="240"/>
        <v>8</v>
      </c>
      <c r="DO234" s="125">
        <f t="shared" si="240"/>
        <v>9</v>
      </c>
      <c r="DP234" s="125">
        <f t="shared" si="240"/>
        <v>10</v>
      </c>
      <c r="DS234" s="137"/>
      <c r="DT234" s="137"/>
      <c r="DU234" s="137"/>
      <c r="DV234" s="137" t="b">
        <f t="shared" si="281"/>
        <v>0</v>
      </c>
      <c r="DW234" s="137" t="b">
        <f t="shared" si="282"/>
        <v>0</v>
      </c>
      <c r="DX234" s="137" t="b">
        <f t="shared" si="283"/>
        <v>1</v>
      </c>
      <c r="EB234" s="131">
        <f t="shared" si="292"/>
        <v>1</v>
      </c>
      <c r="EC234" s="137" t="b">
        <f t="shared" si="284"/>
        <v>0</v>
      </c>
      <c r="ED234" s="137" t="b">
        <f t="shared" si="285"/>
        <v>0</v>
      </c>
      <c r="EE234" s="137" t="b">
        <f t="shared" si="286"/>
        <v>1</v>
      </c>
      <c r="EF234" s="137"/>
      <c r="EG234" s="137"/>
      <c r="EH234" s="137"/>
      <c r="EI234" s="137"/>
      <c r="EJ234" s="137">
        <f t="shared" si="293"/>
        <v>1</v>
      </c>
      <c r="EK234" s="125">
        <f t="shared" si="287"/>
        <v>0</v>
      </c>
      <c r="EL234" s="125">
        <f t="shared" si="288"/>
        <v>0</v>
      </c>
    </row>
    <row r="235" spans="2:142" ht="15.75" x14ac:dyDescent="0.2">
      <c r="B235" s="160">
        <f t="shared" si="289"/>
        <v>205</v>
      </c>
      <c r="C235" s="205">
        <v>1001347304</v>
      </c>
      <c r="D235" s="205">
        <v>1001272196</v>
      </c>
      <c r="E235" s="205">
        <v>40578853</v>
      </c>
      <c r="F235" s="118">
        <f>IF(OR(J235="",H235=""),"",VLOOKUP(J235,'הזנה לסיווג רשויות'!$B$2:$D$301,2,0))</f>
        <v>20000159</v>
      </c>
      <c r="G235" s="118" t="str">
        <f>IF(OR(J235="",H235=""),"",VLOOKUP(J235,'הזנה לסיווג רשויות'!$B$2:$D$301,3,0))</f>
        <v>ירושלים</v>
      </c>
      <c r="H235" s="201" t="s">
        <v>696</v>
      </c>
      <c r="I235" s="201" t="s">
        <v>564</v>
      </c>
      <c r="J235" s="205">
        <v>3000</v>
      </c>
      <c r="K235" s="161">
        <v>0</v>
      </c>
      <c r="L235" s="161">
        <v>1</v>
      </c>
      <c r="M235" s="161">
        <v>0</v>
      </c>
      <c r="N235" s="161">
        <v>1</v>
      </c>
      <c r="O235" s="161">
        <v>1</v>
      </c>
      <c r="P235" s="161">
        <v>1</v>
      </c>
      <c r="Q235" s="161">
        <v>1</v>
      </c>
      <c r="R235" s="201">
        <v>567643</v>
      </c>
      <c r="S235" s="201">
        <v>290412</v>
      </c>
      <c r="T235" s="160">
        <f>IF(G235="","",IFERROR(IF(S235/R235&gt;'פרמטרים לקריטריונים'!$C$20,1,0),0))</f>
        <v>1</v>
      </c>
      <c r="U235" s="201">
        <v>179189</v>
      </c>
      <c r="V235" s="160">
        <f>IF(G235="","",IFERROR(IF(U235/R235&gt;'פרמטרים לקריטריונים'!$C$21,1,IF(AND(I235=$BW$5,U235/R235&gt;'פרמטרים לקריטריונים'!$C$22),1,0)),0))</f>
        <v>1</v>
      </c>
      <c r="W235" s="161">
        <v>1</v>
      </c>
      <c r="X235" s="161">
        <v>1</v>
      </c>
      <c r="Y235" s="201">
        <v>125000</v>
      </c>
      <c r="Z235" s="201">
        <v>10000</v>
      </c>
      <c r="AA235" s="161">
        <f t="shared" si="290"/>
        <v>1</v>
      </c>
      <c r="AB235" s="161"/>
      <c r="AC235" s="161"/>
      <c r="AD235" s="161"/>
      <c r="AE235" s="161"/>
      <c r="AF235" s="161"/>
      <c r="AG235" s="161"/>
      <c r="AH235" s="161"/>
      <c r="AI235" s="161"/>
      <c r="AJ235" s="161"/>
      <c r="AK235" s="161"/>
      <c r="AL235" s="161"/>
      <c r="AM235" s="161"/>
      <c r="AN235" s="161"/>
      <c r="AO235" s="161"/>
      <c r="AP235" s="161"/>
      <c r="AQ235" s="161"/>
      <c r="AR235" s="161"/>
      <c r="AS235" s="161"/>
      <c r="AT235" s="161"/>
      <c r="AU235" s="161"/>
      <c r="AV235" s="161"/>
      <c r="AW235" s="160"/>
      <c r="AX235" s="161"/>
      <c r="AY235" s="161"/>
      <c r="AZ235" s="161"/>
      <c r="BA235" s="161"/>
      <c r="BB235" s="161"/>
      <c r="BC235" s="161"/>
      <c r="BD235" s="161"/>
      <c r="BE235" s="161"/>
      <c r="BF235" s="160" t="str">
        <f t="shared" si="291"/>
        <v/>
      </c>
      <c r="BG235" s="160"/>
      <c r="BH235" s="160"/>
      <c r="BI235" s="160"/>
      <c r="BJ235" s="160"/>
      <c r="BK235" s="160"/>
      <c r="BL235" s="162">
        <f t="shared" si="242"/>
        <v>1</v>
      </c>
      <c r="BM235" s="257"/>
      <c r="BN235" s="163"/>
      <c r="BO235" s="211" t="str">
        <f t="shared" si="243"/>
        <v>להקת הפלמנקו רמנגאר בע"מ חברה לתועלאחר</v>
      </c>
      <c r="BP235" s="125">
        <f t="shared" si="244"/>
        <v>1</v>
      </c>
      <c r="BQ235" s="164">
        <v>0</v>
      </c>
      <c r="BR235" s="164">
        <v>1</v>
      </c>
      <c r="BS235" s="149">
        <f t="shared" si="245"/>
        <v>1</v>
      </c>
      <c r="BT235" s="149">
        <f t="shared" si="246"/>
        <v>1</v>
      </c>
      <c r="BU235" s="149">
        <f t="shared" si="247"/>
        <v>1</v>
      </c>
      <c r="BV235" s="149">
        <f t="shared" si="248"/>
        <v>1</v>
      </c>
      <c r="BW235" s="149">
        <f t="shared" si="249"/>
        <v>1</v>
      </c>
      <c r="BX235" s="149">
        <f t="shared" si="250"/>
        <v>1</v>
      </c>
      <c r="BY235" s="149">
        <f t="shared" si="251"/>
        <v>1</v>
      </c>
      <c r="BZ235" s="149">
        <f t="shared" si="252"/>
        <v>1</v>
      </c>
      <c r="CA235" s="149">
        <f t="shared" si="253"/>
        <v>1</v>
      </c>
      <c r="CB235" s="149">
        <f t="shared" si="254"/>
        <v>1</v>
      </c>
      <c r="CC235" s="149">
        <f t="shared" si="255"/>
        <v>1</v>
      </c>
      <c r="CD235" s="149">
        <f t="shared" si="256"/>
        <v>1</v>
      </c>
      <c r="CE235" s="149">
        <f t="shared" si="257"/>
        <v>1</v>
      </c>
      <c r="CF235" s="149">
        <f t="shared" si="258"/>
        <v>1</v>
      </c>
      <c r="CG235" s="149">
        <f t="shared" si="259"/>
        <v>1</v>
      </c>
      <c r="CH235" s="149">
        <f t="shared" si="260"/>
        <v>1</v>
      </c>
      <c r="CI235" s="149">
        <f t="shared" si="261"/>
        <v>1</v>
      </c>
      <c r="CJ235" s="149">
        <f t="shared" si="262"/>
        <v>1</v>
      </c>
      <c r="CK235" s="149">
        <f t="shared" si="263"/>
        <v>1</v>
      </c>
      <c r="CL235" s="149">
        <f t="shared" si="264"/>
        <v>1</v>
      </c>
      <c r="CM235" s="149">
        <f t="shared" si="265"/>
        <v>1</v>
      </c>
      <c r="CN235" s="149">
        <f t="shared" si="266"/>
        <v>1</v>
      </c>
      <c r="CO235" s="149">
        <f t="shared" si="267"/>
        <v>1</v>
      </c>
      <c r="CP235" s="149">
        <f t="shared" si="268"/>
        <v>1</v>
      </c>
      <c r="CQ235" s="149">
        <f t="shared" si="269"/>
        <v>1</v>
      </c>
      <c r="CR235" s="149">
        <f t="shared" si="270"/>
        <v>1</v>
      </c>
      <c r="CS235" s="149">
        <f t="shared" si="271"/>
        <v>1</v>
      </c>
      <c r="CT235" s="149">
        <f t="shared" si="272"/>
        <v>1</v>
      </c>
      <c r="CU235" s="149">
        <f t="shared" si="273"/>
        <v>1</v>
      </c>
      <c r="CV235" s="149">
        <f t="shared" si="274"/>
        <v>1</v>
      </c>
      <c r="CW235" s="149">
        <f t="shared" si="275"/>
        <v>1</v>
      </c>
      <c r="CX235" s="149">
        <f t="shared" si="276"/>
        <v>1</v>
      </c>
      <c r="CY235" s="149">
        <f t="shared" si="277"/>
        <v>1</v>
      </c>
      <c r="CZ235" s="149">
        <f t="shared" si="278"/>
        <v>1</v>
      </c>
      <c r="DA235" s="149">
        <f t="shared" si="279"/>
        <v>1</v>
      </c>
      <c r="DB235" s="149">
        <f t="shared" si="280"/>
        <v>1</v>
      </c>
      <c r="DG235" s="125">
        <f t="shared" si="241"/>
        <v>1</v>
      </c>
      <c r="DH235" s="125">
        <f t="shared" si="240"/>
        <v>2</v>
      </c>
      <c r="DI235" s="125">
        <f t="shared" si="240"/>
        <v>3</v>
      </c>
      <c r="DJ235" s="125">
        <f t="shared" si="240"/>
        <v>4</v>
      </c>
      <c r="DK235" s="125">
        <f t="shared" si="240"/>
        <v>5</v>
      </c>
      <c r="DL235" s="125">
        <f t="shared" si="240"/>
        <v>6</v>
      </c>
      <c r="DM235" s="125">
        <f t="shared" si="240"/>
        <v>7</v>
      </c>
      <c r="DN235" s="125">
        <f t="shared" si="240"/>
        <v>8</v>
      </c>
      <c r="DO235" s="125">
        <f t="shared" si="240"/>
        <v>9</v>
      </c>
      <c r="DP235" s="125">
        <f t="shared" si="240"/>
        <v>10</v>
      </c>
      <c r="DS235" s="137"/>
      <c r="DT235" s="137"/>
      <c r="DU235" s="137"/>
      <c r="DV235" s="137" t="b">
        <f t="shared" si="281"/>
        <v>0</v>
      </c>
      <c r="DW235" s="137" t="b">
        <f t="shared" si="282"/>
        <v>0</v>
      </c>
      <c r="DX235" s="137" t="b">
        <f t="shared" si="283"/>
        <v>1</v>
      </c>
      <c r="EB235" s="131">
        <f t="shared" si="292"/>
        <v>1</v>
      </c>
      <c r="EC235" s="137" t="b">
        <f t="shared" si="284"/>
        <v>0</v>
      </c>
      <c r="ED235" s="137" t="b">
        <f t="shared" si="285"/>
        <v>0</v>
      </c>
      <c r="EE235" s="137" t="b">
        <f t="shared" si="286"/>
        <v>1</v>
      </c>
      <c r="EF235" s="137"/>
      <c r="EG235" s="137"/>
      <c r="EH235" s="137"/>
      <c r="EI235" s="137"/>
      <c r="EJ235" s="137">
        <f t="shared" si="293"/>
        <v>1</v>
      </c>
      <c r="EK235" s="125">
        <f t="shared" si="287"/>
        <v>0</v>
      </c>
      <c r="EL235" s="125">
        <f t="shared" si="288"/>
        <v>0</v>
      </c>
    </row>
    <row r="236" spans="2:142" ht="15.75" x14ac:dyDescent="0.2">
      <c r="B236" s="160">
        <f t="shared" si="289"/>
        <v>206</v>
      </c>
      <c r="C236" s="205">
        <v>1001346679</v>
      </c>
      <c r="D236" s="205">
        <v>1001266776</v>
      </c>
      <c r="E236" s="205">
        <v>40819694</v>
      </c>
      <c r="F236" s="118">
        <f>IF(OR(J236="",H236=""),"",VLOOKUP(J236,'הזנה לסיווג רשויות'!$B$2:$D$301,2,0))</f>
        <v>20000182</v>
      </c>
      <c r="G236" s="118" t="str">
        <f>IF(OR(J236="",H236=""),"",VLOOKUP(J236,'הזנה לסיווג רשויות'!$B$2:$D$301,3,0))</f>
        <v>חיפה</v>
      </c>
      <c r="H236" s="201" t="s">
        <v>697</v>
      </c>
      <c r="I236" s="201" t="s">
        <v>390</v>
      </c>
      <c r="J236" s="205">
        <v>4000</v>
      </c>
      <c r="K236" s="161">
        <v>0</v>
      </c>
      <c r="L236" s="161">
        <v>1</v>
      </c>
      <c r="M236" s="161">
        <v>0</v>
      </c>
      <c r="N236" s="161">
        <v>1</v>
      </c>
      <c r="O236" s="161">
        <v>1</v>
      </c>
      <c r="P236" s="161">
        <v>1</v>
      </c>
      <c r="Q236" s="161">
        <v>1</v>
      </c>
      <c r="R236" s="201">
        <v>213252</v>
      </c>
      <c r="S236" s="201">
        <v>168530</v>
      </c>
      <c r="T236" s="160">
        <f>IF(G236="","",IFERROR(IF(S236/R236&gt;'פרמטרים לקריטריונים'!$C$20,1,0),0))</f>
        <v>1</v>
      </c>
      <c r="U236" s="201">
        <v>168530</v>
      </c>
      <c r="V236" s="160">
        <f>IF(G236="","",IFERROR(IF(U236/R236&gt;'פרמטרים לקריטריונים'!$C$21,1,IF(AND(I236=$BW$5,U236/R236&gt;'פרמטרים לקריטריונים'!$C$22),1,0)),0))</f>
        <v>1</v>
      </c>
      <c r="W236" s="161">
        <v>1</v>
      </c>
      <c r="X236" s="161">
        <v>1</v>
      </c>
      <c r="Y236" s="288">
        <v>394650</v>
      </c>
      <c r="Z236" s="201">
        <v>394650</v>
      </c>
      <c r="AA236" s="161">
        <f t="shared" si="290"/>
        <v>1</v>
      </c>
      <c r="AB236" s="161"/>
      <c r="AC236" s="161"/>
      <c r="AD236" s="161"/>
      <c r="AE236" s="161"/>
      <c r="AF236" s="161"/>
      <c r="AG236" s="161"/>
      <c r="AH236" s="161"/>
      <c r="AI236" s="161"/>
      <c r="AJ236" s="161"/>
      <c r="AK236" s="161"/>
      <c r="AL236" s="161"/>
      <c r="AM236" s="161"/>
      <c r="AN236" s="161"/>
      <c r="AO236" s="161"/>
      <c r="AP236" s="161"/>
      <c r="AQ236" s="161"/>
      <c r="AR236" s="161"/>
      <c r="AS236" s="161"/>
      <c r="AT236" s="161"/>
      <c r="AU236" s="161"/>
      <c r="AV236" s="161"/>
      <c r="AW236" s="160"/>
      <c r="AX236" s="161"/>
      <c r="AY236" s="161"/>
      <c r="AZ236" s="161"/>
      <c r="BA236" s="161"/>
      <c r="BB236" s="161"/>
      <c r="BC236" s="161"/>
      <c r="BD236" s="161"/>
      <c r="BE236" s="161"/>
      <c r="BF236" s="160" t="str">
        <f t="shared" si="291"/>
        <v/>
      </c>
      <c r="BG236" s="160"/>
      <c r="BH236" s="160"/>
      <c r="BI236" s="160"/>
      <c r="BJ236" s="160"/>
      <c r="BK236" s="160"/>
      <c r="BL236" s="162">
        <f t="shared" si="242"/>
        <v>1</v>
      </c>
      <c r="BM236" s="257"/>
      <c r="BN236" s="163"/>
      <c r="BO236" s="211" t="str">
        <f t="shared" si="243"/>
        <v>בית 9 - בית ספר ובית יוצר לתיאטרוןבתי ספר לבובות</v>
      </c>
      <c r="BP236" s="125">
        <f t="shared" si="244"/>
        <v>1</v>
      </c>
      <c r="BQ236" s="164">
        <v>0</v>
      </c>
      <c r="BR236" s="164">
        <v>1</v>
      </c>
      <c r="BS236" s="149">
        <f t="shared" si="245"/>
        <v>1</v>
      </c>
      <c r="BT236" s="149">
        <f t="shared" si="246"/>
        <v>1</v>
      </c>
      <c r="BU236" s="149">
        <f t="shared" si="247"/>
        <v>1</v>
      </c>
      <c r="BV236" s="149">
        <f t="shared" si="248"/>
        <v>1</v>
      </c>
      <c r="BW236" s="149">
        <f t="shared" si="249"/>
        <v>1</v>
      </c>
      <c r="BX236" s="149">
        <f t="shared" si="250"/>
        <v>1</v>
      </c>
      <c r="BY236" s="149">
        <f t="shared" si="251"/>
        <v>1</v>
      </c>
      <c r="BZ236" s="149">
        <f t="shared" si="252"/>
        <v>1</v>
      </c>
      <c r="CA236" s="149">
        <f t="shared" si="253"/>
        <v>1</v>
      </c>
      <c r="CB236" s="149">
        <f t="shared" si="254"/>
        <v>1</v>
      </c>
      <c r="CC236" s="149">
        <f t="shared" si="255"/>
        <v>1</v>
      </c>
      <c r="CD236" s="149">
        <f t="shared" si="256"/>
        <v>1</v>
      </c>
      <c r="CE236" s="149">
        <f t="shared" si="257"/>
        <v>1</v>
      </c>
      <c r="CF236" s="149">
        <f t="shared" si="258"/>
        <v>1</v>
      </c>
      <c r="CG236" s="149">
        <f t="shared" si="259"/>
        <v>1</v>
      </c>
      <c r="CH236" s="149">
        <f t="shared" si="260"/>
        <v>1</v>
      </c>
      <c r="CI236" s="149">
        <f t="shared" si="261"/>
        <v>1</v>
      </c>
      <c r="CJ236" s="149">
        <f t="shared" si="262"/>
        <v>1</v>
      </c>
      <c r="CK236" s="149">
        <f t="shared" si="263"/>
        <v>1</v>
      </c>
      <c r="CL236" s="149">
        <f t="shared" si="264"/>
        <v>1</v>
      </c>
      <c r="CM236" s="149">
        <f t="shared" si="265"/>
        <v>1</v>
      </c>
      <c r="CN236" s="149">
        <f t="shared" si="266"/>
        <v>1</v>
      </c>
      <c r="CO236" s="149">
        <f t="shared" si="267"/>
        <v>1</v>
      </c>
      <c r="CP236" s="149">
        <f t="shared" si="268"/>
        <v>1</v>
      </c>
      <c r="CQ236" s="149">
        <f t="shared" si="269"/>
        <v>1</v>
      </c>
      <c r="CR236" s="149">
        <f t="shared" si="270"/>
        <v>1</v>
      </c>
      <c r="CS236" s="149">
        <f t="shared" si="271"/>
        <v>1</v>
      </c>
      <c r="CT236" s="149">
        <f t="shared" si="272"/>
        <v>1</v>
      </c>
      <c r="CU236" s="149">
        <f t="shared" si="273"/>
        <v>1</v>
      </c>
      <c r="CV236" s="149">
        <f t="shared" si="274"/>
        <v>1</v>
      </c>
      <c r="CW236" s="149">
        <f t="shared" si="275"/>
        <v>1</v>
      </c>
      <c r="CX236" s="149">
        <f t="shared" si="276"/>
        <v>1</v>
      </c>
      <c r="CY236" s="149">
        <f t="shared" si="277"/>
        <v>1</v>
      </c>
      <c r="CZ236" s="149">
        <f t="shared" si="278"/>
        <v>1</v>
      </c>
      <c r="DA236" s="149">
        <f t="shared" si="279"/>
        <v>1</v>
      </c>
      <c r="DB236" s="149">
        <f t="shared" si="280"/>
        <v>1</v>
      </c>
      <c r="DG236" s="125">
        <f t="shared" si="241"/>
        <v>1</v>
      </c>
      <c r="DH236" s="125">
        <f t="shared" si="240"/>
        <v>2</v>
      </c>
      <c r="DI236" s="125">
        <f t="shared" si="240"/>
        <v>3</v>
      </c>
      <c r="DJ236" s="125">
        <f t="shared" si="240"/>
        <v>4</v>
      </c>
      <c r="DK236" s="125">
        <f t="shared" si="240"/>
        <v>5</v>
      </c>
      <c r="DL236" s="125">
        <f t="shared" ref="DH236:DP264" si="294">IF($G236="","",DL$30)</f>
        <v>6</v>
      </c>
      <c r="DM236" s="125">
        <f t="shared" si="294"/>
        <v>7</v>
      </c>
      <c r="DN236" s="125">
        <f t="shared" si="294"/>
        <v>8</v>
      </c>
      <c r="DO236" s="125">
        <f t="shared" si="294"/>
        <v>9</v>
      </c>
      <c r="DP236" s="125">
        <f t="shared" si="294"/>
        <v>10</v>
      </c>
      <c r="DS236" s="137"/>
      <c r="DT236" s="137"/>
      <c r="DU236" s="137"/>
      <c r="DV236" s="137" t="b">
        <f t="shared" si="281"/>
        <v>0</v>
      </c>
      <c r="DW236" s="137" t="b">
        <f t="shared" si="282"/>
        <v>0</v>
      </c>
      <c r="DX236" s="137" t="b">
        <f t="shared" si="283"/>
        <v>1</v>
      </c>
      <c r="EB236" s="131">
        <f t="shared" si="292"/>
        <v>1</v>
      </c>
      <c r="EC236" s="137" t="b">
        <f t="shared" si="284"/>
        <v>0</v>
      </c>
      <c r="ED236" s="137" t="b">
        <f t="shared" si="285"/>
        <v>0</v>
      </c>
      <c r="EE236" s="137" t="b">
        <f t="shared" si="286"/>
        <v>1</v>
      </c>
      <c r="EF236" s="137"/>
      <c r="EG236" s="137"/>
      <c r="EH236" s="137"/>
      <c r="EI236" s="137"/>
      <c r="EJ236" s="137">
        <f t="shared" si="293"/>
        <v>1</v>
      </c>
      <c r="EK236" s="125">
        <f t="shared" si="287"/>
        <v>0</v>
      </c>
      <c r="EL236" s="125">
        <f t="shared" si="288"/>
        <v>0</v>
      </c>
    </row>
    <row r="237" spans="2:142" ht="15.75" x14ac:dyDescent="0.2">
      <c r="B237" s="160">
        <f t="shared" si="289"/>
        <v>207</v>
      </c>
      <c r="C237" s="205">
        <v>1001350744</v>
      </c>
      <c r="D237" s="205">
        <v>1001280342</v>
      </c>
      <c r="E237" s="205">
        <v>40820736</v>
      </c>
      <c r="F237" s="118">
        <f>IF(OR(J237="",H237=""),"",VLOOKUP(J237,'הזנה לסיווג רשויות'!$B$2:$D$301,2,0))</f>
        <v>20000201</v>
      </c>
      <c r="G237" s="118" t="str">
        <f>IF(OR(J237="",H237=""),"",VLOOKUP(J237,'הזנה לסיווג רשויות'!$B$2:$D$301,3,0))</f>
        <v>תל אביב -יפו</v>
      </c>
      <c r="H237" s="201" t="s">
        <v>698</v>
      </c>
      <c r="I237" s="201" t="s">
        <v>373</v>
      </c>
      <c r="J237" s="205">
        <v>5000</v>
      </c>
      <c r="K237" s="161">
        <v>0</v>
      </c>
      <c r="L237" s="161">
        <v>1</v>
      </c>
      <c r="M237" s="161">
        <v>0</v>
      </c>
      <c r="N237" s="161">
        <v>0</v>
      </c>
      <c r="O237" s="161">
        <v>1</v>
      </c>
      <c r="P237" s="161">
        <v>1</v>
      </c>
      <c r="Q237" s="161">
        <v>1</v>
      </c>
      <c r="R237" s="201">
        <v>79192000</v>
      </c>
      <c r="S237" s="201">
        <f>55860000+4375000</f>
        <v>60235000</v>
      </c>
      <c r="T237" s="160">
        <f>IF(G237="","",IFERROR(IF(S237/R237&gt;'פרמטרים לקריטריונים'!$C$20,1,0),0))</f>
        <v>1</v>
      </c>
      <c r="U237" s="201">
        <v>55860000</v>
      </c>
      <c r="V237" s="160">
        <f>IF(G237="","",IFERROR(IF(U237/R237&gt;'פרמטרים לקריטריונים'!$C$21,1,IF(AND(I237=$BW$5,U237/R237&gt;'פרמטרים לקריטריונים'!$C$22),1,0)),0))</f>
        <v>1</v>
      </c>
      <c r="W237" s="161">
        <v>1</v>
      </c>
      <c r="X237" s="161">
        <v>1</v>
      </c>
      <c r="Y237" s="288">
        <v>20000000</v>
      </c>
      <c r="Z237" s="201">
        <v>8000000</v>
      </c>
      <c r="AA237" s="161">
        <f t="shared" si="290"/>
        <v>1</v>
      </c>
      <c r="AB237" s="161"/>
      <c r="AC237" s="161"/>
      <c r="AD237" s="161"/>
      <c r="AE237" s="161"/>
      <c r="AF237" s="161"/>
      <c r="AG237" s="161"/>
      <c r="AH237" s="161"/>
      <c r="AI237" s="161"/>
      <c r="AJ237" s="161"/>
      <c r="AK237" s="161"/>
      <c r="AL237" s="161"/>
      <c r="AM237" s="161"/>
      <c r="AN237" s="161"/>
      <c r="AO237" s="161"/>
      <c r="AP237" s="161"/>
      <c r="AQ237" s="161"/>
      <c r="AR237" s="161"/>
      <c r="AS237" s="161"/>
      <c r="AT237" s="161"/>
      <c r="AU237" s="161"/>
      <c r="AV237" s="161"/>
      <c r="AW237" s="160"/>
      <c r="AX237" s="161"/>
      <c r="AY237" s="161"/>
      <c r="AZ237" s="161"/>
      <c r="BA237" s="161"/>
      <c r="BB237" s="161"/>
      <c r="BC237" s="161"/>
      <c r="BD237" s="161"/>
      <c r="BE237" s="161"/>
      <c r="BF237" s="160" t="str">
        <f t="shared" si="291"/>
        <v/>
      </c>
      <c r="BG237" s="160"/>
      <c r="BH237" s="160"/>
      <c r="BI237" s="160"/>
      <c r="BJ237" s="160"/>
      <c r="BK237" s="160"/>
      <c r="BL237" s="162">
        <f t="shared" si="242"/>
        <v>1</v>
      </c>
      <c r="BM237" s="257"/>
      <c r="BN237" s="163"/>
      <c r="BO237" s="211" t="str">
        <f t="shared" si="243"/>
        <v>התיאטרון הלאומי הבימה בע"מ(חל"צ)תיאטרון</v>
      </c>
      <c r="BP237" s="125">
        <f t="shared" si="244"/>
        <v>1</v>
      </c>
      <c r="BQ237" s="164">
        <v>0</v>
      </c>
      <c r="BR237" s="164">
        <v>1</v>
      </c>
      <c r="BS237" s="149">
        <f t="shared" si="245"/>
        <v>1</v>
      </c>
      <c r="BT237" s="149">
        <f t="shared" si="246"/>
        <v>1</v>
      </c>
      <c r="BU237" s="149">
        <f t="shared" si="247"/>
        <v>1</v>
      </c>
      <c r="BV237" s="149">
        <f t="shared" si="248"/>
        <v>1</v>
      </c>
      <c r="BW237" s="149">
        <f t="shared" si="249"/>
        <v>1</v>
      </c>
      <c r="BX237" s="149">
        <f t="shared" si="250"/>
        <v>1</v>
      </c>
      <c r="BY237" s="149">
        <f t="shared" si="251"/>
        <v>1</v>
      </c>
      <c r="BZ237" s="149">
        <f t="shared" si="252"/>
        <v>1</v>
      </c>
      <c r="CA237" s="149">
        <f t="shared" si="253"/>
        <v>1</v>
      </c>
      <c r="CB237" s="149">
        <f t="shared" si="254"/>
        <v>1</v>
      </c>
      <c r="CC237" s="149">
        <f t="shared" si="255"/>
        <v>1</v>
      </c>
      <c r="CD237" s="149">
        <f t="shared" si="256"/>
        <v>1</v>
      </c>
      <c r="CE237" s="149">
        <f t="shared" si="257"/>
        <v>1</v>
      </c>
      <c r="CF237" s="149">
        <f t="shared" si="258"/>
        <v>1</v>
      </c>
      <c r="CG237" s="149">
        <f t="shared" si="259"/>
        <v>1</v>
      </c>
      <c r="CH237" s="149">
        <f t="shared" si="260"/>
        <v>1</v>
      </c>
      <c r="CI237" s="149">
        <f t="shared" si="261"/>
        <v>1</v>
      </c>
      <c r="CJ237" s="149">
        <f t="shared" si="262"/>
        <v>1</v>
      </c>
      <c r="CK237" s="149">
        <f t="shared" si="263"/>
        <v>1</v>
      </c>
      <c r="CL237" s="149">
        <f t="shared" si="264"/>
        <v>1</v>
      </c>
      <c r="CM237" s="149">
        <f t="shared" si="265"/>
        <v>1</v>
      </c>
      <c r="CN237" s="149">
        <f t="shared" si="266"/>
        <v>1</v>
      </c>
      <c r="CO237" s="149">
        <f t="shared" si="267"/>
        <v>1</v>
      </c>
      <c r="CP237" s="149">
        <f t="shared" si="268"/>
        <v>1</v>
      </c>
      <c r="CQ237" s="149">
        <f t="shared" si="269"/>
        <v>1</v>
      </c>
      <c r="CR237" s="149">
        <f t="shared" si="270"/>
        <v>1</v>
      </c>
      <c r="CS237" s="149">
        <f t="shared" si="271"/>
        <v>1</v>
      </c>
      <c r="CT237" s="149">
        <f t="shared" si="272"/>
        <v>1</v>
      </c>
      <c r="CU237" s="149">
        <f t="shared" si="273"/>
        <v>1</v>
      </c>
      <c r="CV237" s="149">
        <f t="shared" si="274"/>
        <v>1</v>
      </c>
      <c r="CW237" s="149">
        <f t="shared" si="275"/>
        <v>1</v>
      </c>
      <c r="CX237" s="149">
        <f t="shared" si="276"/>
        <v>1</v>
      </c>
      <c r="CY237" s="149">
        <f t="shared" si="277"/>
        <v>1</v>
      </c>
      <c r="CZ237" s="149">
        <f t="shared" si="278"/>
        <v>1</v>
      </c>
      <c r="DA237" s="149">
        <f t="shared" si="279"/>
        <v>1</v>
      </c>
      <c r="DB237" s="149">
        <f t="shared" si="280"/>
        <v>1</v>
      </c>
      <c r="DG237" s="125">
        <f t="shared" si="241"/>
        <v>1</v>
      </c>
      <c r="DH237" s="125">
        <f t="shared" si="294"/>
        <v>2</v>
      </c>
      <c r="DI237" s="125">
        <f t="shared" si="294"/>
        <v>3</v>
      </c>
      <c r="DJ237" s="125">
        <f t="shared" si="294"/>
        <v>4</v>
      </c>
      <c r="DK237" s="125">
        <f t="shared" si="294"/>
        <v>5</v>
      </c>
      <c r="DL237" s="125">
        <f t="shared" si="294"/>
        <v>6</v>
      </c>
      <c r="DM237" s="125">
        <f t="shared" si="294"/>
        <v>7</v>
      </c>
      <c r="DN237" s="125">
        <f t="shared" si="294"/>
        <v>8</v>
      </c>
      <c r="DO237" s="125">
        <f t="shared" si="294"/>
        <v>9</v>
      </c>
      <c r="DP237" s="125">
        <f t="shared" si="294"/>
        <v>10</v>
      </c>
      <c r="DS237" s="137"/>
      <c r="DT237" s="137"/>
      <c r="DU237" s="137"/>
      <c r="DV237" s="137" t="b">
        <f t="shared" si="281"/>
        <v>0</v>
      </c>
      <c r="DW237" s="137" t="b">
        <f t="shared" si="282"/>
        <v>0</v>
      </c>
      <c r="DX237" s="137" t="b">
        <f t="shared" si="283"/>
        <v>1</v>
      </c>
      <c r="EB237" s="131">
        <f t="shared" si="292"/>
        <v>1</v>
      </c>
      <c r="EC237" s="137" t="b">
        <f t="shared" si="284"/>
        <v>0</v>
      </c>
      <c r="ED237" s="137" t="b">
        <f t="shared" si="285"/>
        <v>0</v>
      </c>
      <c r="EE237" s="137" t="b">
        <f t="shared" si="286"/>
        <v>1</v>
      </c>
      <c r="EF237" s="137"/>
      <c r="EG237" s="137"/>
      <c r="EH237" s="137"/>
      <c r="EI237" s="137"/>
      <c r="EJ237" s="137">
        <f t="shared" si="293"/>
        <v>1</v>
      </c>
      <c r="EK237" s="125">
        <f t="shared" si="287"/>
        <v>0</v>
      </c>
      <c r="EL237" s="125">
        <f t="shared" si="288"/>
        <v>0</v>
      </c>
    </row>
    <row r="238" spans="2:142" ht="15.75" x14ac:dyDescent="0.2">
      <c r="B238" s="160">
        <f t="shared" si="289"/>
        <v>208</v>
      </c>
      <c r="C238" s="205">
        <v>1001348658</v>
      </c>
      <c r="D238" s="205">
        <v>1001280645</v>
      </c>
      <c r="E238" s="205">
        <v>41085342</v>
      </c>
      <c r="F238" s="118">
        <f>IF(OR(J238="",H238=""),"",VLOOKUP(J238,'הזנה לסיווג רשויות'!$B$2:$D$301,2,0))</f>
        <v>20000254</v>
      </c>
      <c r="G238" s="118" t="str">
        <f>IF(OR(J238="",H238=""),"",VLOOKUP(J238,'הזנה לסיווג רשויות'!$B$2:$D$301,3,0))</f>
        <v>באר שבע</v>
      </c>
      <c r="H238" s="201" t="s">
        <v>699</v>
      </c>
      <c r="I238" s="201" t="s">
        <v>564</v>
      </c>
      <c r="J238" s="205">
        <v>9000</v>
      </c>
      <c r="K238" s="161">
        <v>0</v>
      </c>
      <c r="L238" s="161">
        <v>1</v>
      </c>
      <c r="M238" s="161">
        <v>0</v>
      </c>
      <c r="N238" s="161">
        <v>0</v>
      </c>
      <c r="O238" s="161">
        <v>1</v>
      </c>
      <c r="P238" s="161">
        <v>1</v>
      </c>
      <c r="Q238" s="161">
        <v>1</v>
      </c>
      <c r="R238" s="201">
        <v>1081892</v>
      </c>
      <c r="S238" s="201">
        <v>335945</v>
      </c>
      <c r="T238" s="160">
        <f>IF(G238="","",IFERROR(IF(S238/R238&gt;'פרמטרים לקריטריונים'!$C$20,1,0),0))</f>
        <v>1</v>
      </c>
      <c r="U238" s="201">
        <v>335945</v>
      </c>
      <c r="V238" s="160">
        <f>IF(G238="","",IFERROR(IF(U238/R238&gt;'פרמטרים לקריטריונים'!$C$21,1,IF(AND(I238=$BW$5,U238/R238&gt;'פרמטרים לקריטריונים'!$C$22),1,0)),0))</f>
        <v>1</v>
      </c>
      <c r="W238" s="161">
        <v>1</v>
      </c>
      <c r="X238" s="161">
        <v>1</v>
      </c>
      <c r="Y238" s="288">
        <v>1200000</v>
      </c>
      <c r="Z238" s="201">
        <v>1200000</v>
      </c>
      <c r="AA238" s="161">
        <f t="shared" si="290"/>
        <v>1</v>
      </c>
      <c r="AB238" s="161"/>
      <c r="AC238" s="161"/>
      <c r="AD238" s="161"/>
      <c r="AE238" s="161"/>
      <c r="AF238" s="161"/>
      <c r="AG238" s="161"/>
      <c r="AH238" s="161"/>
      <c r="AI238" s="161"/>
      <c r="AJ238" s="161"/>
      <c r="AK238" s="161"/>
      <c r="AL238" s="161"/>
      <c r="AM238" s="161"/>
      <c r="AN238" s="161"/>
      <c r="AO238" s="161"/>
      <c r="AP238" s="161"/>
      <c r="AQ238" s="161"/>
      <c r="AR238" s="161"/>
      <c r="AS238" s="161"/>
      <c r="AT238" s="161"/>
      <c r="AU238" s="161"/>
      <c r="AV238" s="161"/>
      <c r="AW238" s="160"/>
      <c r="AX238" s="161"/>
      <c r="AY238" s="161"/>
      <c r="AZ238" s="161"/>
      <c r="BA238" s="161"/>
      <c r="BB238" s="161"/>
      <c r="BC238" s="161"/>
      <c r="BD238" s="161"/>
      <c r="BE238" s="161"/>
      <c r="BF238" s="160" t="str">
        <f t="shared" si="291"/>
        <v/>
      </c>
      <c r="BG238" s="160"/>
      <c r="BH238" s="160"/>
      <c r="BI238" s="160"/>
      <c r="BJ238" s="160"/>
      <c r="BK238" s="160"/>
      <c r="BL238" s="162">
        <f t="shared" si="242"/>
        <v>1</v>
      </c>
      <c r="BM238" s="257"/>
      <c r="BN238" s="163"/>
      <c r="BO238" s="211" t="str">
        <f t="shared" si="243"/>
        <v>סאנאם (ע"ר)אחר</v>
      </c>
      <c r="BP238" s="125">
        <f t="shared" si="244"/>
        <v>1</v>
      </c>
      <c r="BQ238" s="164">
        <v>0</v>
      </c>
      <c r="BR238" s="164">
        <v>1</v>
      </c>
      <c r="BS238" s="149">
        <f t="shared" si="245"/>
        <v>1</v>
      </c>
      <c r="BT238" s="149">
        <f t="shared" si="246"/>
        <v>1</v>
      </c>
      <c r="BU238" s="149">
        <f t="shared" si="247"/>
        <v>1</v>
      </c>
      <c r="BV238" s="149">
        <f t="shared" si="248"/>
        <v>1</v>
      </c>
      <c r="BW238" s="149">
        <f t="shared" si="249"/>
        <v>1</v>
      </c>
      <c r="BX238" s="149">
        <f t="shared" si="250"/>
        <v>1</v>
      </c>
      <c r="BY238" s="149">
        <f t="shared" si="251"/>
        <v>1</v>
      </c>
      <c r="BZ238" s="149">
        <f t="shared" si="252"/>
        <v>1</v>
      </c>
      <c r="CA238" s="149">
        <f t="shared" si="253"/>
        <v>1</v>
      </c>
      <c r="CB238" s="149">
        <f t="shared" si="254"/>
        <v>1</v>
      </c>
      <c r="CC238" s="149">
        <f t="shared" si="255"/>
        <v>1</v>
      </c>
      <c r="CD238" s="149">
        <f t="shared" si="256"/>
        <v>1</v>
      </c>
      <c r="CE238" s="149">
        <f t="shared" si="257"/>
        <v>1</v>
      </c>
      <c r="CF238" s="149">
        <f t="shared" si="258"/>
        <v>1</v>
      </c>
      <c r="CG238" s="149">
        <f t="shared" si="259"/>
        <v>1</v>
      </c>
      <c r="CH238" s="149">
        <f t="shared" si="260"/>
        <v>1</v>
      </c>
      <c r="CI238" s="149">
        <f t="shared" si="261"/>
        <v>1</v>
      </c>
      <c r="CJ238" s="149">
        <f t="shared" si="262"/>
        <v>1</v>
      </c>
      <c r="CK238" s="149">
        <f t="shared" si="263"/>
        <v>1</v>
      </c>
      <c r="CL238" s="149">
        <f t="shared" si="264"/>
        <v>1</v>
      </c>
      <c r="CM238" s="149">
        <f t="shared" si="265"/>
        <v>1</v>
      </c>
      <c r="CN238" s="149">
        <f t="shared" si="266"/>
        <v>1</v>
      </c>
      <c r="CO238" s="149">
        <f t="shared" si="267"/>
        <v>1</v>
      </c>
      <c r="CP238" s="149">
        <f t="shared" si="268"/>
        <v>1</v>
      </c>
      <c r="CQ238" s="149">
        <f t="shared" si="269"/>
        <v>1</v>
      </c>
      <c r="CR238" s="149">
        <f t="shared" si="270"/>
        <v>1</v>
      </c>
      <c r="CS238" s="149">
        <f t="shared" si="271"/>
        <v>1</v>
      </c>
      <c r="CT238" s="149">
        <f t="shared" si="272"/>
        <v>1</v>
      </c>
      <c r="CU238" s="149">
        <f t="shared" si="273"/>
        <v>1</v>
      </c>
      <c r="CV238" s="149">
        <f t="shared" si="274"/>
        <v>1</v>
      </c>
      <c r="CW238" s="149">
        <f t="shared" si="275"/>
        <v>1</v>
      </c>
      <c r="CX238" s="149">
        <f t="shared" si="276"/>
        <v>1</v>
      </c>
      <c r="CY238" s="149">
        <f t="shared" si="277"/>
        <v>1</v>
      </c>
      <c r="CZ238" s="149">
        <f t="shared" si="278"/>
        <v>1</v>
      </c>
      <c r="DA238" s="149">
        <f t="shared" si="279"/>
        <v>1</v>
      </c>
      <c r="DB238" s="149">
        <f t="shared" si="280"/>
        <v>1</v>
      </c>
      <c r="DG238" s="125">
        <f t="shared" si="241"/>
        <v>1</v>
      </c>
      <c r="DH238" s="125">
        <f t="shared" si="294"/>
        <v>2</v>
      </c>
      <c r="DI238" s="125">
        <f t="shared" si="294"/>
        <v>3</v>
      </c>
      <c r="DJ238" s="125">
        <f t="shared" si="294"/>
        <v>4</v>
      </c>
      <c r="DK238" s="125">
        <f t="shared" si="294"/>
        <v>5</v>
      </c>
      <c r="DL238" s="125">
        <f t="shared" si="294"/>
        <v>6</v>
      </c>
      <c r="DM238" s="125">
        <f t="shared" si="294"/>
        <v>7</v>
      </c>
      <c r="DN238" s="125">
        <f t="shared" si="294"/>
        <v>8</v>
      </c>
      <c r="DO238" s="125">
        <f t="shared" si="294"/>
        <v>9</v>
      </c>
      <c r="DP238" s="125">
        <f t="shared" si="294"/>
        <v>10</v>
      </c>
      <c r="DS238" s="137"/>
      <c r="DT238" s="137"/>
      <c r="DU238" s="137"/>
      <c r="DV238" s="137" t="b">
        <f t="shared" si="281"/>
        <v>0</v>
      </c>
      <c r="DW238" s="137" t="b">
        <f t="shared" si="282"/>
        <v>0</v>
      </c>
      <c r="DX238" s="137" t="b">
        <f t="shared" si="283"/>
        <v>1</v>
      </c>
      <c r="EB238" s="131">
        <f t="shared" si="292"/>
        <v>1</v>
      </c>
      <c r="EC238" s="137" t="b">
        <f t="shared" si="284"/>
        <v>0</v>
      </c>
      <c r="ED238" s="137" t="b">
        <f t="shared" si="285"/>
        <v>0</v>
      </c>
      <c r="EE238" s="137" t="b">
        <f t="shared" si="286"/>
        <v>1</v>
      </c>
      <c r="EF238" s="137"/>
      <c r="EG238" s="137"/>
      <c r="EH238" s="137"/>
      <c r="EI238" s="137"/>
      <c r="EJ238" s="137">
        <f t="shared" si="293"/>
        <v>1</v>
      </c>
      <c r="EK238" s="125">
        <f t="shared" si="287"/>
        <v>0</v>
      </c>
      <c r="EL238" s="125">
        <f t="shared" si="288"/>
        <v>0</v>
      </c>
    </row>
    <row r="239" spans="2:142" ht="15.75" x14ac:dyDescent="0.2">
      <c r="B239" s="160">
        <f t="shared" si="289"/>
        <v>209</v>
      </c>
      <c r="C239" s="205">
        <v>1001350449</v>
      </c>
      <c r="D239" s="205">
        <v>1001280646</v>
      </c>
      <c r="E239" s="205">
        <v>41090413</v>
      </c>
      <c r="F239" s="118">
        <f>IF(OR(J239="",H239=""),"",VLOOKUP(J239,'הזנה לסיווג רשויות'!$B$2:$D$301,2,0))</f>
        <v>20000159</v>
      </c>
      <c r="G239" s="118" t="str">
        <f>IF(OR(J239="",H239=""),"",VLOOKUP(J239,'הזנה לסיווג רשויות'!$B$2:$D$301,3,0))</f>
        <v>ירושלים</v>
      </c>
      <c r="H239" s="201" t="s">
        <v>700</v>
      </c>
      <c r="I239" s="201" t="s">
        <v>373</v>
      </c>
      <c r="J239" s="205">
        <v>3000</v>
      </c>
      <c r="K239" s="161">
        <v>0</v>
      </c>
      <c r="L239" s="161">
        <v>1</v>
      </c>
      <c r="M239" s="161">
        <v>0</v>
      </c>
      <c r="N239" s="161">
        <v>1</v>
      </c>
      <c r="O239" s="161">
        <v>1</v>
      </c>
      <c r="P239" s="161">
        <v>1</v>
      </c>
      <c r="Q239" s="161">
        <v>1</v>
      </c>
      <c r="R239" s="201">
        <v>1726623</v>
      </c>
      <c r="S239" s="201">
        <v>1556408</v>
      </c>
      <c r="T239" s="160">
        <f>IF(G239="","",IFERROR(IF(S239/R239&gt;'פרמטרים לקריטריונים'!$C$20,1,0),0))</f>
        <v>1</v>
      </c>
      <c r="U239" s="201">
        <v>1556408</v>
      </c>
      <c r="V239" s="160">
        <f>IF(G239="","",IFERROR(IF(U239/R239&gt;'פרמטרים לקריטריונים'!$C$21,1,IF(AND(I239=$BW$5,U239/R239&gt;'פרמטרים לקריטריונים'!$C$22),1,0)),0))</f>
        <v>1</v>
      </c>
      <c r="W239" s="161">
        <v>1</v>
      </c>
      <c r="X239" s="161">
        <v>1</v>
      </c>
      <c r="Y239" s="288">
        <v>563872</v>
      </c>
      <c r="Z239" s="201">
        <v>350000</v>
      </c>
      <c r="AA239" s="161">
        <f t="shared" si="290"/>
        <v>1</v>
      </c>
      <c r="AB239" s="161"/>
      <c r="AC239" s="161"/>
      <c r="AD239" s="161"/>
      <c r="AE239" s="161"/>
      <c r="AF239" s="161"/>
      <c r="AG239" s="161"/>
      <c r="AH239" s="161"/>
      <c r="AI239" s="161"/>
      <c r="AJ239" s="161"/>
      <c r="AK239" s="161"/>
      <c r="AL239" s="161"/>
      <c r="AM239" s="161"/>
      <c r="AN239" s="161"/>
      <c r="AO239" s="161"/>
      <c r="AP239" s="161"/>
      <c r="AQ239" s="161"/>
      <c r="AR239" s="161"/>
      <c r="AS239" s="161"/>
      <c r="AT239" s="161"/>
      <c r="AU239" s="161"/>
      <c r="AV239" s="161"/>
      <c r="AW239" s="160"/>
      <c r="AX239" s="161"/>
      <c r="AY239" s="161"/>
      <c r="AZ239" s="161"/>
      <c r="BA239" s="161"/>
      <c r="BB239" s="161"/>
      <c r="BC239" s="161"/>
      <c r="BD239" s="161"/>
      <c r="BE239" s="161"/>
      <c r="BF239" s="160" t="str">
        <f t="shared" si="291"/>
        <v/>
      </c>
      <c r="BG239" s="160"/>
      <c r="BH239" s="160"/>
      <c r="BI239" s="160"/>
      <c r="BJ239" s="160"/>
      <c r="BK239" s="160"/>
      <c r="BL239" s="162">
        <f t="shared" si="242"/>
        <v>1</v>
      </c>
      <c r="BM239" s="257"/>
      <c r="BN239" s="163"/>
      <c r="BO239" s="211" t="str">
        <f t="shared" si="243"/>
        <v>תיאטרון נקודה טובה (ע"ר)תיאטרון</v>
      </c>
      <c r="BP239" s="125">
        <f t="shared" si="244"/>
        <v>1</v>
      </c>
      <c r="BQ239" s="164">
        <v>0</v>
      </c>
      <c r="BR239" s="164">
        <v>1</v>
      </c>
      <c r="BS239" s="149">
        <f t="shared" si="245"/>
        <v>1</v>
      </c>
      <c r="BT239" s="149">
        <f t="shared" si="246"/>
        <v>1</v>
      </c>
      <c r="BU239" s="149">
        <f t="shared" si="247"/>
        <v>1</v>
      </c>
      <c r="BV239" s="149">
        <f t="shared" si="248"/>
        <v>1</v>
      </c>
      <c r="BW239" s="149">
        <f t="shared" si="249"/>
        <v>1</v>
      </c>
      <c r="BX239" s="149">
        <f t="shared" si="250"/>
        <v>1</v>
      </c>
      <c r="BY239" s="149">
        <f t="shared" si="251"/>
        <v>1</v>
      </c>
      <c r="BZ239" s="149">
        <f t="shared" si="252"/>
        <v>1</v>
      </c>
      <c r="CA239" s="149">
        <f t="shared" si="253"/>
        <v>1</v>
      </c>
      <c r="CB239" s="149">
        <f t="shared" si="254"/>
        <v>1</v>
      </c>
      <c r="CC239" s="149">
        <f t="shared" si="255"/>
        <v>1</v>
      </c>
      <c r="CD239" s="149">
        <f t="shared" si="256"/>
        <v>1</v>
      </c>
      <c r="CE239" s="149">
        <f t="shared" si="257"/>
        <v>1</v>
      </c>
      <c r="CF239" s="149">
        <f t="shared" si="258"/>
        <v>1</v>
      </c>
      <c r="CG239" s="149">
        <f t="shared" si="259"/>
        <v>1</v>
      </c>
      <c r="CH239" s="149">
        <f t="shared" si="260"/>
        <v>1</v>
      </c>
      <c r="CI239" s="149">
        <f t="shared" si="261"/>
        <v>1</v>
      </c>
      <c r="CJ239" s="149">
        <f t="shared" si="262"/>
        <v>1</v>
      </c>
      <c r="CK239" s="149">
        <f t="shared" si="263"/>
        <v>1</v>
      </c>
      <c r="CL239" s="149">
        <f t="shared" si="264"/>
        <v>1</v>
      </c>
      <c r="CM239" s="149">
        <f t="shared" si="265"/>
        <v>1</v>
      </c>
      <c r="CN239" s="149">
        <f t="shared" si="266"/>
        <v>1</v>
      </c>
      <c r="CO239" s="149">
        <f t="shared" si="267"/>
        <v>1</v>
      </c>
      <c r="CP239" s="149">
        <f t="shared" si="268"/>
        <v>1</v>
      </c>
      <c r="CQ239" s="149">
        <f t="shared" si="269"/>
        <v>1</v>
      </c>
      <c r="CR239" s="149">
        <f t="shared" si="270"/>
        <v>1</v>
      </c>
      <c r="CS239" s="149">
        <f t="shared" si="271"/>
        <v>1</v>
      </c>
      <c r="CT239" s="149">
        <f t="shared" si="272"/>
        <v>1</v>
      </c>
      <c r="CU239" s="149">
        <f t="shared" si="273"/>
        <v>1</v>
      </c>
      <c r="CV239" s="149">
        <f t="shared" si="274"/>
        <v>1</v>
      </c>
      <c r="CW239" s="149">
        <f t="shared" si="275"/>
        <v>1</v>
      </c>
      <c r="CX239" s="149">
        <f t="shared" si="276"/>
        <v>1</v>
      </c>
      <c r="CY239" s="149">
        <f t="shared" si="277"/>
        <v>1</v>
      </c>
      <c r="CZ239" s="149">
        <f t="shared" si="278"/>
        <v>1</v>
      </c>
      <c r="DA239" s="149">
        <f t="shared" si="279"/>
        <v>1</v>
      </c>
      <c r="DB239" s="149">
        <f t="shared" si="280"/>
        <v>1</v>
      </c>
      <c r="DG239" s="125">
        <f t="shared" si="241"/>
        <v>1</v>
      </c>
      <c r="DH239" s="125">
        <f t="shared" si="294"/>
        <v>2</v>
      </c>
      <c r="DI239" s="125">
        <f t="shared" si="294"/>
        <v>3</v>
      </c>
      <c r="DJ239" s="125">
        <f t="shared" si="294"/>
        <v>4</v>
      </c>
      <c r="DK239" s="125">
        <f t="shared" si="294"/>
        <v>5</v>
      </c>
      <c r="DL239" s="125">
        <f t="shared" si="294"/>
        <v>6</v>
      </c>
      <c r="DM239" s="125">
        <f t="shared" si="294"/>
        <v>7</v>
      </c>
      <c r="DN239" s="125">
        <f t="shared" si="294"/>
        <v>8</v>
      </c>
      <c r="DO239" s="125">
        <f t="shared" si="294"/>
        <v>9</v>
      </c>
      <c r="DP239" s="125">
        <f t="shared" si="294"/>
        <v>10</v>
      </c>
      <c r="DS239" s="137"/>
      <c r="DT239" s="137"/>
      <c r="DU239" s="137"/>
      <c r="DV239" s="137" t="b">
        <f t="shared" si="281"/>
        <v>0</v>
      </c>
      <c r="DW239" s="137" t="b">
        <f t="shared" si="282"/>
        <v>0</v>
      </c>
      <c r="DX239" s="137" t="b">
        <f t="shared" si="283"/>
        <v>1</v>
      </c>
      <c r="EB239" s="131">
        <f t="shared" si="292"/>
        <v>1</v>
      </c>
      <c r="EC239" s="137" t="b">
        <f t="shared" si="284"/>
        <v>0</v>
      </c>
      <c r="ED239" s="137" t="b">
        <f t="shared" si="285"/>
        <v>0</v>
      </c>
      <c r="EE239" s="137" t="b">
        <f t="shared" si="286"/>
        <v>1</v>
      </c>
      <c r="EF239" s="137"/>
      <c r="EG239" s="137"/>
      <c r="EH239" s="137"/>
      <c r="EI239" s="137"/>
      <c r="EJ239" s="137">
        <f t="shared" si="293"/>
        <v>1</v>
      </c>
      <c r="EK239" s="125">
        <f t="shared" si="287"/>
        <v>0</v>
      </c>
      <c r="EL239" s="125">
        <f t="shared" si="288"/>
        <v>0</v>
      </c>
    </row>
    <row r="240" spans="2:142" ht="15.75" x14ac:dyDescent="0.2">
      <c r="B240" s="160">
        <f t="shared" si="289"/>
        <v>210</v>
      </c>
      <c r="C240" s="205">
        <v>1001347310</v>
      </c>
      <c r="D240" s="205">
        <v>1001270285</v>
      </c>
      <c r="E240" s="205">
        <v>41107963</v>
      </c>
      <c r="F240" s="118">
        <f>IF(OR(J240="",H240=""),"",VLOOKUP(J240,'הזנה לסיווג רשויות'!$B$2:$D$301,2,0))</f>
        <v>20000201</v>
      </c>
      <c r="G240" s="118" t="str">
        <f>IF(OR(J240="",H240=""),"",VLOOKUP(J240,'הזנה לסיווג רשויות'!$B$2:$D$301,3,0))</f>
        <v>תל אביב -יפו</v>
      </c>
      <c r="H240" s="201" t="s">
        <v>701</v>
      </c>
      <c r="I240" s="201" t="s">
        <v>373</v>
      </c>
      <c r="J240" s="205">
        <v>5000</v>
      </c>
      <c r="K240" s="161">
        <v>0</v>
      </c>
      <c r="L240" s="161">
        <v>1</v>
      </c>
      <c r="M240" s="161">
        <v>0</v>
      </c>
      <c r="N240" s="161">
        <v>1</v>
      </c>
      <c r="O240" s="161">
        <v>1</v>
      </c>
      <c r="P240" s="161">
        <v>1</v>
      </c>
      <c r="Q240" s="161">
        <v>1</v>
      </c>
      <c r="R240" s="201">
        <v>1490149</v>
      </c>
      <c r="S240" s="201">
        <v>417819</v>
      </c>
      <c r="T240" s="160">
        <f>IF(G240="","",IFERROR(IF(S240/R240&gt;'פרמטרים לקריטריונים'!$C$20,1,0),0))</f>
        <v>1</v>
      </c>
      <c r="U240" s="201">
        <v>310609</v>
      </c>
      <c r="V240" s="160">
        <f>IF(G240="","",IFERROR(IF(U240/R240&gt;'פרמטרים לקריטריונים'!$C$21,1,IF(AND(I240=$BW$5,U240/R240&gt;'פרמטרים לקריטריונים'!$C$22),1,0)),0))</f>
        <v>1</v>
      </c>
      <c r="W240" s="161">
        <v>1</v>
      </c>
      <c r="X240" s="161">
        <v>1</v>
      </c>
      <c r="Y240" s="288">
        <v>1000000</v>
      </c>
      <c r="Z240" s="201">
        <v>1000000</v>
      </c>
      <c r="AA240" s="161">
        <f t="shared" si="290"/>
        <v>1</v>
      </c>
      <c r="AB240" s="161"/>
      <c r="AC240" s="161"/>
      <c r="AD240" s="161"/>
      <c r="AE240" s="161"/>
      <c r="AF240" s="161"/>
      <c r="AG240" s="161"/>
      <c r="AH240" s="161"/>
      <c r="AI240" s="161"/>
      <c r="AJ240" s="161"/>
      <c r="AK240" s="161"/>
      <c r="AL240" s="161"/>
      <c r="AM240" s="161"/>
      <c r="AN240" s="161"/>
      <c r="AO240" s="161"/>
      <c r="AP240" s="161"/>
      <c r="AQ240" s="161"/>
      <c r="AR240" s="161"/>
      <c r="AS240" s="161"/>
      <c r="AT240" s="161"/>
      <c r="AU240" s="161"/>
      <c r="AV240" s="161"/>
      <c r="AW240" s="160"/>
      <c r="AX240" s="161"/>
      <c r="AY240" s="161"/>
      <c r="AZ240" s="161"/>
      <c r="BA240" s="161"/>
      <c r="BB240" s="161"/>
      <c r="BC240" s="161"/>
      <c r="BD240" s="161"/>
      <c r="BE240" s="161"/>
      <c r="BF240" s="160" t="str">
        <f t="shared" si="291"/>
        <v/>
      </c>
      <c r="BG240" s="160"/>
      <c r="BH240" s="160"/>
      <c r="BI240" s="160"/>
      <c r="BJ240" s="160"/>
      <c r="BK240" s="160"/>
      <c r="BL240" s="162">
        <f t="shared" si="242"/>
        <v>1</v>
      </c>
      <c r="BM240" s="257"/>
      <c r="BN240" s="163"/>
      <c r="BO240" s="211" t="str">
        <f t="shared" si="243"/>
        <v>עלילה מקומית, עמותה רשומהתיאטרון</v>
      </c>
      <c r="BP240" s="125">
        <f t="shared" si="244"/>
        <v>1</v>
      </c>
      <c r="BQ240" s="164">
        <v>0</v>
      </c>
      <c r="BR240" s="164">
        <v>1</v>
      </c>
      <c r="BS240" s="149">
        <f t="shared" si="245"/>
        <v>1</v>
      </c>
      <c r="BT240" s="149">
        <f t="shared" si="246"/>
        <v>1</v>
      </c>
      <c r="BU240" s="149">
        <f t="shared" si="247"/>
        <v>1</v>
      </c>
      <c r="BV240" s="149">
        <f t="shared" si="248"/>
        <v>1</v>
      </c>
      <c r="BW240" s="149">
        <f t="shared" si="249"/>
        <v>1</v>
      </c>
      <c r="BX240" s="149">
        <f t="shared" si="250"/>
        <v>1</v>
      </c>
      <c r="BY240" s="149">
        <f t="shared" si="251"/>
        <v>1</v>
      </c>
      <c r="BZ240" s="149">
        <f t="shared" si="252"/>
        <v>1</v>
      </c>
      <c r="CA240" s="149">
        <f t="shared" si="253"/>
        <v>1</v>
      </c>
      <c r="CB240" s="149">
        <f t="shared" si="254"/>
        <v>1</v>
      </c>
      <c r="CC240" s="149">
        <f t="shared" si="255"/>
        <v>1</v>
      </c>
      <c r="CD240" s="149">
        <f t="shared" si="256"/>
        <v>1</v>
      </c>
      <c r="CE240" s="149">
        <f t="shared" si="257"/>
        <v>1</v>
      </c>
      <c r="CF240" s="149">
        <f t="shared" si="258"/>
        <v>1</v>
      </c>
      <c r="CG240" s="149">
        <f t="shared" si="259"/>
        <v>1</v>
      </c>
      <c r="CH240" s="149">
        <f t="shared" si="260"/>
        <v>1</v>
      </c>
      <c r="CI240" s="149">
        <f t="shared" si="261"/>
        <v>1</v>
      </c>
      <c r="CJ240" s="149">
        <f t="shared" si="262"/>
        <v>1</v>
      </c>
      <c r="CK240" s="149">
        <f t="shared" si="263"/>
        <v>1</v>
      </c>
      <c r="CL240" s="149">
        <f t="shared" si="264"/>
        <v>1</v>
      </c>
      <c r="CM240" s="149">
        <f t="shared" si="265"/>
        <v>1</v>
      </c>
      <c r="CN240" s="149">
        <f t="shared" si="266"/>
        <v>1</v>
      </c>
      <c r="CO240" s="149">
        <f t="shared" si="267"/>
        <v>1</v>
      </c>
      <c r="CP240" s="149">
        <f t="shared" si="268"/>
        <v>1</v>
      </c>
      <c r="CQ240" s="149">
        <f t="shared" si="269"/>
        <v>1</v>
      </c>
      <c r="CR240" s="149">
        <f t="shared" si="270"/>
        <v>1</v>
      </c>
      <c r="CS240" s="149">
        <f t="shared" si="271"/>
        <v>1</v>
      </c>
      <c r="CT240" s="149">
        <f t="shared" si="272"/>
        <v>1</v>
      </c>
      <c r="CU240" s="149">
        <f t="shared" si="273"/>
        <v>1</v>
      </c>
      <c r="CV240" s="149">
        <f t="shared" si="274"/>
        <v>1</v>
      </c>
      <c r="CW240" s="149">
        <f t="shared" si="275"/>
        <v>1</v>
      </c>
      <c r="CX240" s="149">
        <f t="shared" si="276"/>
        <v>1</v>
      </c>
      <c r="CY240" s="149">
        <f t="shared" si="277"/>
        <v>1</v>
      </c>
      <c r="CZ240" s="149">
        <f t="shared" si="278"/>
        <v>1</v>
      </c>
      <c r="DA240" s="149">
        <f t="shared" si="279"/>
        <v>1</v>
      </c>
      <c r="DB240" s="149">
        <f t="shared" si="280"/>
        <v>1</v>
      </c>
      <c r="DG240" s="125">
        <f t="shared" si="241"/>
        <v>1</v>
      </c>
      <c r="DH240" s="125">
        <f t="shared" si="294"/>
        <v>2</v>
      </c>
      <c r="DI240" s="125">
        <f t="shared" si="294"/>
        <v>3</v>
      </c>
      <c r="DJ240" s="125">
        <f t="shared" si="294"/>
        <v>4</v>
      </c>
      <c r="DK240" s="125">
        <f t="shared" si="294"/>
        <v>5</v>
      </c>
      <c r="DL240" s="125">
        <f t="shared" si="294"/>
        <v>6</v>
      </c>
      <c r="DM240" s="125">
        <f t="shared" si="294"/>
        <v>7</v>
      </c>
      <c r="DN240" s="125">
        <f t="shared" si="294"/>
        <v>8</v>
      </c>
      <c r="DO240" s="125">
        <f t="shared" si="294"/>
        <v>9</v>
      </c>
      <c r="DP240" s="125">
        <f t="shared" si="294"/>
        <v>10</v>
      </c>
      <c r="DS240" s="137"/>
      <c r="DT240" s="137"/>
      <c r="DU240" s="137"/>
      <c r="DV240" s="137" t="b">
        <f t="shared" si="281"/>
        <v>0</v>
      </c>
      <c r="DW240" s="137" t="b">
        <f t="shared" si="282"/>
        <v>0</v>
      </c>
      <c r="DX240" s="137" t="b">
        <f t="shared" si="283"/>
        <v>1</v>
      </c>
      <c r="EB240" s="131">
        <f t="shared" si="292"/>
        <v>1</v>
      </c>
      <c r="EC240" s="137" t="b">
        <f t="shared" si="284"/>
        <v>0</v>
      </c>
      <c r="ED240" s="137" t="b">
        <f t="shared" si="285"/>
        <v>0</v>
      </c>
      <c r="EE240" s="137" t="b">
        <f t="shared" si="286"/>
        <v>1</v>
      </c>
      <c r="EF240" s="137"/>
      <c r="EG240" s="137"/>
      <c r="EH240" s="137"/>
      <c r="EI240" s="137"/>
      <c r="EJ240" s="137">
        <f t="shared" si="293"/>
        <v>1</v>
      </c>
      <c r="EK240" s="125">
        <f t="shared" si="287"/>
        <v>0</v>
      </c>
      <c r="EL240" s="125">
        <f t="shared" si="288"/>
        <v>0</v>
      </c>
    </row>
    <row r="241" spans="2:142" ht="15.75" x14ac:dyDescent="0.2">
      <c r="B241" s="160">
        <f t="shared" si="289"/>
        <v>211</v>
      </c>
      <c r="C241" s="205">
        <v>1001350115</v>
      </c>
      <c r="D241" s="205">
        <v>1001272277</v>
      </c>
      <c r="E241" s="205">
        <v>41109519</v>
      </c>
      <c r="F241" s="118">
        <f>IF(OR(J241="",H241=""),"",VLOOKUP(J241,'הזנה לסיווג רשויות'!$B$2:$D$301,2,0))</f>
        <v>20000159</v>
      </c>
      <c r="G241" s="118" t="str">
        <f>IF(OR(J241="",H241=""),"",VLOOKUP(J241,'הזנה לסיווג רשויות'!$B$2:$D$301,3,0))</f>
        <v>ירושלים</v>
      </c>
      <c r="H241" s="201" t="s">
        <v>702</v>
      </c>
      <c r="I241" s="201" t="s">
        <v>373</v>
      </c>
      <c r="J241" s="205">
        <v>3000</v>
      </c>
      <c r="K241" s="161">
        <v>0</v>
      </c>
      <c r="L241" s="161">
        <v>1</v>
      </c>
      <c r="M241" s="161">
        <v>0</v>
      </c>
      <c r="N241" s="161">
        <v>1</v>
      </c>
      <c r="O241" s="161">
        <v>1</v>
      </c>
      <c r="P241" s="161">
        <v>1</v>
      </c>
      <c r="Q241" s="161">
        <v>1</v>
      </c>
      <c r="R241" s="201">
        <v>1046629</v>
      </c>
      <c r="S241" s="201">
        <v>398342</v>
      </c>
      <c r="T241" s="160">
        <f>IF(G241="","",IFERROR(IF(S241/R241&gt;'פרמטרים לקריטריונים'!$C$20,1,0),0))</f>
        <v>1</v>
      </c>
      <c r="U241" s="201">
        <v>237559</v>
      </c>
      <c r="V241" s="160">
        <f>IF(G241="","",IFERROR(IF(U241/R241&gt;'פרמטרים לקריטריונים'!$C$21,1,IF(AND(I241=$BW$5,U241/R241&gt;'פרמטרים לקריטריונים'!$C$22),1,0)),0))</f>
        <v>1</v>
      </c>
      <c r="W241" s="161">
        <v>1</v>
      </c>
      <c r="X241" s="161">
        <v>1</v>
      </c>
      <c r="Y241" s="288">
        <v>1200000</v>
      </c>
      <c r="Z241" s="201">
        <v>30000</v>
      </c>
      <c r="AA241" s="161">
        <f t="shared" si="290"/>
        <v>1</v>
      </c>
      <c r="AB241" s="161"/>
      <c r="AC241" s="161"/>
      <c r="AD241" s="161"/>
      <c r="AE241" s="161"/>
      <c r="AF241" s="161"/>
      <c r="AG241" s="161"/>
      <c r="AH241" s="161"/>
      <c r="AI241" s="161"/>
      <c r="AJ241" s="161"/>
      <c r="AK241" s="161"/>
      <c r="AL241" s="161"/>
      <c r="AM241" s="161"/>
      <c r="AN241" s="161"/>
      <c r="AO241" s="161"/>
      <c r="AP241" s="161"/>
      <c r="AQ241" s="161"/>
      <c r="AR241" s="161"/>
      <c r="AS241" s="161"/>
      <c r="AT241" s="161"/>
      <c r="AU241" s="161"/>
      <c r="AV241" s="161"/>
      <c r="AW241" s="160"/>
      <c r="AX241" s="161"/>
      <c r="AY241" s="161"/>
      <c r="AZ241" s="161"/>
      <c r="BA241" s="161"/>
      <c r="BB241" s="161"/>
      <c r="BC241" s="161"/>
      <c r="BD241" s="161"/>
      <c r="BE241" s="161"/>
      <c r="BF241" s="160" t="str">
        <f t="shared" si="291"/>
        <v/>
      </c>
      <c r="BG241" s="160"/>
      <c r="BH241" s="160"/>
      <c r="BI241" s="160"/>
      <c r="BJ241" s="160"/>
      <c r="BK241" s="160"/>
      <c r="BL241" s="162">
        <f t="shared" si="242"/>
        <v>1</v>
      </c>
      <c r="BM241" s="257"/>
      <c r="BN241" s="163"/>
      <c r="BO241" s="211" t="str">
        <f t="shared" si="243"/>
        <v>עמותת תיאטרון קומקום (ע"ר)תיאטרון</v>
      </c>
      <c r="BP241" s="125">
        <f t="shared" si="244"/>
        <v>1</v>
      </c>
      <c r="BQ241" s="164">
        <v>0</v>
      </c>
      <c r="BR241" s="164">
        <v>1</v>
      </c>
      <c r="BS241" s="149">
        <f t="shared" si="245"/>
        <v>1</v>
      </c>
      <c r="BT241" s="149">
        <f t="shared" si="246"/>
        <v>1</v>
      </c>
      <c r="BU241" s="149">
        <f t="shared" si="247"/>
        <v>1</v>
      </c>
      <c r="BV241" s="149">
        <f t="shared" si="248"/>
        <v>1</v>
      </c>
      <c r="BW241" s="149">
        <f t="shared" si="249"/>
        <v>1</v>
      </c>
      <c r="BX241" s="149">
        <f t="shared" si="250"/>
        <v>1</v>
      </c>
      <c r="BY241" s="149">
        <f t="shared" si="251"/>
        <v>1</v>
      </c>
      <c r="BZ241" s="149">
        <f t="shared" si="252"/>
        <v>1</v>
      </c>
      <c r="CA241" s="149">
        <f t="shared" si="253"/>
        <v>1</v>
      </c>
      <c r="CB241" s="149">
        <f t="shared" si="254"/>
        <v>1</v>
      </c>
      <c r="CC241" s="149">
        <f t="shared" si="255"/>
        <v>1</v>
      </c>
      <c r="CD241" s="149">
        <f t="shared" si="256"/>
        <v>1</v>
      </c>
      <c r="CE241" s="149">
        <f t="shared" si="257"/>
        <v>1</v>
      </c>
      <c r="CF241" s="149">
        <f t="shared" si="258"/>
        <v>1</v>
      </c>
      <c r="CG241" s="149">
        <f t="shared" si="259"/>
        <v>1</v>
      </c>
      <c r="CH241" s="149">
        <f t="shared" si="260"/>
        <v>1</v>
      </c>
      <c r="CI241" s="149">
        <f t="shared" si="261"/>
        <v>1</v>
      </c>
      <c r="CJ241" s="149">
        <f t="shared" si="262"/>
        <v>1</v>
      </c>
      <c r="CK241" s="149">
        <f t="shared" si="263"/>
        <v>1</v>
      </c>
      <c r="CL241" s="149">
        <f t="shared" si="264"/>
        <v>1</v>
      </c>
      <c r="CM241" s="149">
        <f t="shared" si="265"/>
        <v>1</v>
      </c>
      <c r="CN241" s="149">
        <f t="shared" si="266"/>
        <v>1</v>
      </c>
      <c r="CO241" s="149">
        <f t="shared" si="267"/>
        <v>1</v>
      </c>
      <c r="CP241" s="149">
        <f t="shared" si="268"/>
        <v>1</v>
      </c>
      <c r="CQ241" s="149">
        <f t="shared" si="269"/>
        <v>1</v>
      </c>
      <c r="CR241" s="149">
        <f t="shared" si="270"/>
        <v>1</v>
      </c>
      <c r="CS241" s="149">
        <f t="shared" si="271"/>
        <v>1</v>
      </c>
      <c r="CT241" s="149">
        <f t="shared" si="272"/>
        <v>1</v>
      </c>
      <c r="CU241" s="149">
        <f t="shared" si="273"/>
        <v>1</v>
      </c>
      <c r="CV241" s="149">
        <f t="shared" si="274"/>
        <v>1</v>
      </c>
      <c r="CW241" s="149">
        <f t="shared" si="275"/>
        <v>1</v>
      </c>
      <c r="CX241" s="149">
        <f t="shared" si="276"/>
        <v>1</v>
      </c>
      <c r="CY241" s="149">
        <f t="shared" si="277"/>
        <v>1</v>
      </c>
      <c r="CZ241" s="149">
        <f t="shared" si="278"/>
        <v>1</v>
      </c>
      <c r="DA241" s="149">
        <f t="shared" si="279"/>
        <v>1</v>
      </c>
      <c r="DB241" s="149">
        <f t="shared" si="280"/>
        <v>1</v>
      </c>
      <c r="DG241" s="125">
        <f t="shared" si="241"/>
        <v>1</v>
      </c>
      <c r="DH241" s="125">
        <f t="shared" si="294"/>
        <v>2</v>
      </c>
      <c r="DI241" s="125">
        <f t="shared" si="294"/>
        <v>3</v>
      </c>
      <c r="DJ241" s="125">
        <f t="shared" si="294"/>
        <v>4</v>
      </c>
      <c r="DK241" s="125">
        <f t="shared" si="294"/>
        <v>5</v>
      </c>
      <c r="DL241" s="125">
        <f t="shared" si="294"/>
        <v>6</v>
      </c>
      <c r="DM241" s="125">
        <f t="shared" si="294"/>
        <v>7</v>
      </c>
      <c r="DN241" s="125">
        <f t="shared" si="294"/>
        <v>8</v>
      </c>
      <c r="DO241" s="125">
        <f t="shared" si="294"/>
        <v>9</v>
      </c>
      <c r="DP241" s="125">
        <f t="shared" si="294"/>
        <v>10</v>
      </c>
      <c r="DS241" s="137"/>
      <c r="DT241" s="137"/>
      <c r="DU241" s="137"/>
      <c r="DV241" s="137" t="b">
        <f t="shared" si="281"/>
        <v>0</v>
      </c>
      <c r="DW241" s="137" t="b">
        <f t="shared" si="282"/>
        <v>0</v>
      </c>
      <c r="DX241" s="137" t="b">
        <f t="shared" si="283"/>
        <v>1</v>
      </c>
      <c r="EB241" s="131">
        <f t="shared" si="292"/>
        <v>1</v>
      </c>
      <c r="EC241" s="137" t="b">
        <f t="shared" si="284"/>
        <v>0</v>
      </c>
      <c r="ED241" s="137" t="b">
        <f t="shared" si="285"/>
        <v>0</v>
      </c>
      <c r="EE241" s="137" t="b">
        <f t="shared" si="286"/>
        <v>1</v>
      </c>
      <c r="EF241" s="137"/>
      <c r="EG241" s="137"/>
      <c r="EH241" s="137"/>
      <c r="EI241" s="137"/>
      <c r="EJ241" s="137">
        <f t="shared" si="293"/>
        <v>1</v>
      </c>
      <c r="EK241" s="125">
        <f t="shared" si="287"/>
        <v>0</v>
      </c>
      <c r="EL241" s="125">
        <f t="shared" si="288"/>
        <v>0</v>
      </c>
    </row>
    <row r="242" spans="2:142" ht="15.75" x14ac:dyDescent="0.2">
      <c r="B242" s="160">
        <f t="shared" si="289"/>
        <v>212</v>
      </c>
      <c r="C242" s="205">
        <v>1001348412</v>
      </c>
      <c r="D242" s="205">
        <v>1001275936</v>
      </c>
      <c r="E242" s="205">
        <v>41375155</v>
      </c>
      <c r="F242" s="118">
        <f>IF(OR(J242="",H242=""),"",VLOOKUP(J242,'הזנה לסיווג רשויות'!$B$2:$D$301,2,0))</f>
        <v>20000159</v>
      </c>
      <c r="G242" s="118" t="str">
        <f>IF(OR(J242="",H242=""),"",VLOOKUP(J242,'הזנה לסיווג רשויות'!$B$2:$D$301,3,0))</f>
        <v>ירושלים</v>
      </c>
      <c r="H242" s="201" t="s">
        <v>703</v>
      </c>
      <c r="I242" s="201" t="s">
        <v>392</v>
      </c>
      <c r="J242" s="205">
        <v>3000</v>
      </c>
      <c r="K242" s="161">
        <v>0</v>
      </c>
      <c r="L242" s="161">
        <v>1</v>
      </c>
      <c r="M242" s="161">
        <v>0</v>
      </c>
      <c r="N242" s="161">
        <v>1</v>
      </c>
      <c r="O242" s="161">
        <v>1</v>
      </c>
      <c r="P242" s="161">
        <v>1</v>
      </c>
      <c r="Q242" s="161">
        <v>1</v>
      </c>
      <c r="R242" s="201">
        <v>128871</v>
      </c>
      <c r="S242" s="201">
        <v>53648</v>
      </c>
      <c r="T242" s="160">
        <f>IF(G242="","",IFERROR(IF(S242/R242&gt;'פרמטרים לקריטריונים'!$C$20,1,0),0))</f>
        <v>1</v>
      </c>
      <c r="U242" s="201">
        <v>53648</v>
      </c>
      <c r="V242" s="160">
        <f>IF(G242="","",IFERROR(IF(U242/R242&gt;'פרמטרים לקריטריונים'!$C$21,1,IF(AND(I242=$BW$5,U242/R242&gt;'פרמטרים לקריטריונים'!$C$22),1,0)),0))</f>
        <v>1</v>
      </c>
      <c r="W242" s="161">
        <v>1</v>
      </c>
      <c r="X242" s="161">
        <v>1</v>
      </c>
      <c r="Y242" s="288">
        <v>200000</v>
      </c>
      <c r="Z242" s="201">
        <v>200000</v>
      </c>
      <c r="AA242" s="161">
        <f t="shared" si="290"/>
        <v>1</v>
      </c>
      <c r="AB242" s="161"/>
      <c r="AC242" s="161"/>
      <c r="AD242" s="161"/>
      <c r="AE242" s="161"/>
      <c r="AF242" s="161"/>
      <c r="AG242" s="161"/>
      <c r="AH242" s="161"/>
      <c r="AI242" s="161"/>
      <c r="AJ242" s="161"/>
      <c r="AK242" s="161"/>
      <c r="AL242" s="161"/>
      <c r="AM242" s="161"/>
      <c r="AN242" s="161"/>
      <c r="AO242" s="161"/>
      <c r="AP242" s="161"/>
      <c r="AQ242" s="161"/>
      <c r="AR242" s="161"/>
      <c r="AS242" s="161"/>
      <c r="AT242" s="161"/>
      <c r="AU242" s="161"/>
      <c r="AV242" s="161"/>
      <c r="AW242" s="160"/>
      <c r="AX242" s="161"/>
      <c r="AY242" s="161"/>
      <c r="AZ242" s="161"/>
      <c r="BA242" s="161"/>
      <c r="BB242" s="161"/>
      <c r="BC242" s="161"/>
      <c r="BD242" s="161"/>
      <c r="BE242" s="161"/>
      <c r="BF242" s="160" t="str">
        <f t="shared" si="291"/>
        <v/>
      </c>
      <c r="BG242" s="160"/>
      <c r="BH242" s="160"/>
      <c r="BI242" s="160"/>
      <c r="BJ242" s="160"/>
      <c r="BK242" s="160"/>
      <c r="BL242" s="162">
        <f t="shared" si="242"/>
        <v>1</v>
      </c>
      <c r="BM242" s="257"/>
      <c r="BN242" s="163"/>
      <c r="BO242" s="211" t="str">
        <f t="shared" si="243"/>
        <v>כביש אחד (ע"ר)ספרות</v>
      </c>
      <c r="BP242" s="125">
        <f t="shared" si="244"/>
        <v>1</v>
      </c>
      <c r="BQ242" s="164">
        <v>0</v>
      </c>
      <c r="BR242" s="164">
        <v>1</v>
      </c>
      <c r="BS242" s="149">
        <f t="shared" si="245"/>
        <v>1</v>
      </c>
      <c r="BT242" s="149">
        <f t="shared" si="246"/>
        <v>1</v>
      </c>
      <c r="BU242" s="149">
        <f t="shared" si="247"/>
        <v>1</v>
      </c>
      <c r="BV242" s="149">
        <f t="shared" si="248"/>
        <v>1</v>
      </c>
      <c r="BW242" s="149">
        <f t="shared" si="249"/>
        <v>1</v>
      </c>
      <c r="BX242" s="149">
        <f t="shared" si="250"/>
        <v>1</v>
      </c>
      <c r="BY242" s="149">
        <f t="shared" si="251"/>
        <v>1</v>
      </c>
      <c r="BZ242" s="149">
        <f t="shared" si="252"/>
        <v>1</v>
      </c>
      <c r="CA242" s="149">
        <f t="shared" si="253"/>
        <v>1</v>
      </c>
      <c r="CB242" s="149">
        <f t="shared" si="254"/>
        <v>1</v>
      </c>
      <c r="CC242" s="149">
        <f t="shared" si="255"/>
        <v>1</v>
      </c>
      <c r="CD242" s="149">
        <f t="shared" si="256"/>
        <v>1</v>
      </c>
      <c r="CE242" s="149">
        <f t="shared" si="257"/>
        <v>1</v>
      </c>
      <c r="CF242" s="149">
        <f t="shared" si="258"/>
        <v>1</v>
      </c>
      <c r="CG242" s="149">
        <f t="shared" si="259"/>
        <v>1</v>
      </c>
      <c r="CH242" s="149">
        <f t="shared" si="260"/>
        <v>1</v>
      </c>
      <c r="CI242" s="149">
        <f t="shared" si="261"/>
        <v>1</v>
      </c>
      <c r="CJ242" s="149">
        <f t="shared" si="262"/>
        <v>1</v>
      </c>
      <c r="CK242" s="149">
        <f t="shared" si="263"/>
        <v>1</v>
      </c>
      <c r="CL242" s="149">
        <f t="shared" si="264"/>
        <v>1</v>
      </c>
      <c r="CM242" s="149">
        <f t="shared" si="265"/>
        <v>1</v>
      </c>
      <c r="CN242" s="149">
        <f t="shared" si="266"/>
        <v>1</v>
      </c>
      <c r="CO242" s="149">
        <f t="shared" si="267"/>
        <v>1</v>
      </c>
      <c r="CP242" s="149">
        <f t="shared" si="268"/>
        <v>1</v>
      </c>
      <c r="CQ242" s="149">
        <f t="shared" si="269"/>
        <v>1</v>
      </c>
      <c r="CR242" s="149">
        <f t="shared" si="270"/>
        <v>1</v>
      </c>
      <c r="CS242" s="149">
        <f t="shared" si="271"/>
        <v>1</v>
      </c>
      <c r="CT242" s="149">
        <f t="shared" si="272"/>
        <v>1</v>
      </c>
      <c r="CU242" s="149">
        <f t="shared" si="273"/>
        <v>1</v>
      </c>
      <c r="CV242" s="149">
        <f t="shared" si="274"/>
        <v>1</v>
      </c>
      <c r="CW242" s="149">
        <f t="shared" si="275"/>
        <v>1</v>
      </c>
      <c r="CX242" s="149">
        <f t="shared" si="276"/>
        <v>1</v>
      </c>
      <c r="CY242" s="149">
        <f t="shared" si="277"/>
        <v>1</v>
      </c>
      <c r="CZ242" s="149">
        <f t="shared" si="278"/>
        <v>1</v>
      </c>
      <c r="DA242" s="149">
        <f t="shared" si="279"/>
        <v>1</v>
      </c>
      <c r="DB242" s="149">
        <f t="shared" si="280"/>
        <v>1</v>
      </c>
      <c r="DG242" s="125">
        <f t="shared" si="241"/>
        <v>1</v>
      </c>
      <c r="DH242" s="125">
        <f t="shared" si="294"/>
        <v>2</v>
      </c>
      <c r="DI242" s="125">
        <f t="shared" si="294"/>
        <v>3</v>
      </c>
      <c r="DJ242" s="125">
        <f t="shared" si="294"/>
        <v>4</v>
      </c>
      <c r="DK242" s="125">
        <f t="shared" si="294"/>
        <v>5</v>
      </c>
      <c r="DL242" s="125">
        <f t="shared" si="294"/>
        <v>6</v>
      </c>
      <c r="DM242" s="125">
        <f t="shared" si="294"/>
        <v>7</v>
      </c>
      <c r="DN242" s="125">
        <f t="shared" si="294"/>
        <v>8</v>
      </c>
      <c r="DO242" s="125">
        <f t="shared" si="294"/>
        <v>9</v>
      </c>
      <c r="DP242" s="125">
        <f t="shared" si="294"/>
        <v>10</v>
      </c>
      <c r="DS242" s="137"/>
      <c r="DT242" s="137"/>
      <c r="DU242" s="137"/>
      <c r="DV242" s="137" t="b">
        <f t="shared" si="281"/>
        <v>0</v>
      </c>
      <c r="DW242" s="137" t="b">
        <f t="shared" si="282"/>
        <v>0</v>
      </c>
      <c r="DX242" s="137" t="b">
        <f t="shared" si="283"/>
        <v>1</v>
      </c>
      <c r="EB242" s="131">
        <f t="shared" si="292"/>
        <v>1</v>
      </c>
      <c r="EC242" s="137" t="b">
        <f t="shared" si="284"/>
        <v>0</v>
      </c>
      <c r="ED242" s="137" t="b">
        <f t="shared" si="285"/>
        <v>0</v>
      </c>
      <c r="EE242" s="137" t="b">
        <f t="shared" si="286"/>
        <v>1</v>
      </c>
      <c r="EF242" s="137"/>
      <c r="EG242" s="137"/>
      <c r="EH242" s="137"/>
      <c r="EI242" s="137"/>
      <c r="EJ242" s="137">
        <f t="shared" si="293"/>
        <v>1</v>
      </c>
      <c r="EK242" s="125">
        <f t="shared" si="287"/>
        <v>0</v>
      </c>
      <c r="EL242" s="125">
        <f t="shared" si="288"/>
        <v>0</v>
      </c>
    </row>
    <row r="243" spans="2:142" ht="15.75" x14ac:dyDescent="0.2">
      <c r="B243" s="160">
        <f t="shared" si="289"/>
        <v>213</v>
      </c>
      <c r="C243" s="205">
        <v>1001348413</v>
      </c>
      <c r="D243" s="205">
        <v>1001275127</v>
      </c>
      <c r="E243" s="205">
        <v>41375155</v>
      </c>
      <c r="F243" s="118">
        <f>IF(OR(J243="",H243=""),"",VLOOKUP(J243,'הזנה לסיווג רשויות'!$B$2:$D$301,2,0))</f>
        <v>20000159</v>
      </c>
      <c r="G243" s="118" t="str">
        <f>IF(OR(J243="",H243=""),"",VLOOKUP(J243,'הזנה לסיווג רשויות'!$B$2:$D$301,3,0))</f>
        <v>ירושלים</v>
      </c>
      <c r="H243" s="201" t="s">
        <v>703</v>
      </c>
      <c r="I243" s="201" t="s">
        <v>564</v>
      </c>
      <c r="J243" s="205">
        <v>3000</v>
      </c>
      <c r="K243" s="161">
        <v>0</v>
      </c>
      <c r="L243" s="161">
        <v>1</v>
      </c>
      <c r="M243" s="161">
        <v>0</v>
      </c>
      <c r="N243" s="161">
        <v>1</v>
      </c>
      <c r="O243" s="161">
        <v>1</v>
      </c>
      <c r="P243" s="161">
        <v>1</v>
      </c>
      <c r="Q243" s="161">
        <v>1</v>
      </c>
      <c r="R243" s="201">
        <v>39910</v>
      </c>
      <c r="S243" s="201">
        <v>39910</v>
      </c>
      <c r="T243" s="160">
        <f>IF(G243="","",IFERROR(IF(S243/R243&gt;'פרמטרים לקריטריונים'!$C$20,1,0),0))</f>
        <v>1</v>
      </c>
      <c r="U243" s="201">
        <v>39910</v>
      </c>
      <c r="V243" s="160">
        <f>IF(G243="","",IFERROR(IF(U243/R243&gt;'פרמטרים לקריטריונים'!$C$21,1,IF(AND(I243=$BW$5,U243/R243&gt;'פרמטרים לקריטריונים'!$C$22),1,0)),0))</f>
        <v>1</v>
      </c>
      <c r="W243" s="161">
        <v>1</v>
      </c>
      <c r="X243" s="161">
        <v>1</v>
      </c>
      <c r="Y243" s="288">
        <v>200000</v>
      </c>
      <c r="Z243" s="201">
        <v>200000</v>
      </c>
      <c r="AA243" s="161">
        <f t="shared" si="290"/>
        <v>1</v>
      </c>
      <c r="AB243" s="161"/>
      <c r="AC243" s="161"/>
      <c r="AD243" s="161"/>
      <c r="AE243" s="161"/>
      <c r="AF243" s="161"/>
      <c r="AG243" s="161"/>
      <c r="AH243" s="161"/>
      <c r="AI243" s="161"/>
      <c r="AJ243" s="161"/>
      <c r="AK243" s="161"/>
      <c r="AL243" s="161"/>
      <c r="AM243" s="161"/>
      <c r="AN243" s="161"/>
      <c r="AO243" s="161"/>
      <c r="AP243" s="161"/>
      <c r="AQ243" s="161"/>
      <c r="AR243" s="161"/>
      <c r="AS243" s="161"/>
      <c r="AT243" s="161"/>
      <c r="AU243" s="161"/>
      <c r="AV243" s="161"/>
      <c r="AW243" s="160"/>
      <c r="AX243" s="161"/>
      <c r="AY243" s="161"/>
      <c r="AZ243" s="161"/>
      <c r="BA243" s="161"/>
      <c r="BB243" s="161"/>
      <c r="BC243" s="161"/>
      <c r="BD243" s="161"/>
      <c r="BE243" s="161"/>
      <c r="BF243" s="160" t="str">
        <f t="shared" si="291"/>
        <v/>
      </c>
      <c r="BG243" s="160"/>
      <c r="BH243" s="160"/>
      <c r="BI243" s="160"/>
      <c r="BJ243" s="160"/>
      <c r="BK243" s="160"/>
      <c r="BL243" s="162">
        <f t="shared" si="242"/>
        <v>1</v>
      </c>
      <c r="BM243" s="257"/>
      <c r="BN243" s="163"/>
      <c r="BO243" s="211" t="str">
        <f t="shared" si="243"/>
        <v>כביש אחד (ע"ר)אחר</v>
      </c>
      <c r="BP243" s="125">
        <f t="shared" si="244"/>
        <v>1</v>
      </c>
      <c r="BQ243" s="164">
        <v>0</v>
      </c>
      <c r="BR243" s="164">
        <v>1</v>
      </c>
      <c r="BS243" s="149">
        <f t="shared" si="245"/>
        <v>1</v>
      </c>
      <c r="BT243" s="149">
        <f t="shared" si="246"/>
        <v>1</v>
      </c>
      <c r="BU243" s="149">
        <f t="shared" si="247"/>
        <v>1</v>
      </c>
      <c r="BV243" s="149">
        <f t="shared" si="248"/>
        <v>1</v>
      </c>
      <c r="BW243" s="149">
        <f t="shared" si="249"/>
        <v>1</v>
      </c>
      <c r="BX243" s="149">
        <f t="shared" si="250"/>
        <v>1</v>
      </c>
      <c r="BY243" s="149">
        <f t="shared" si="251"/>
        <v>1</v>
      </c>
      <c r="BZ243" s="149">
        <f t="shared" si="252"/>
        <v>1</v>
      </c>
      <c r="CA243" s="149">
        <f t="shared" si="253"/>
        <v>1</v>
      </c>
      <c r="CB243" s="149">
        <f t="shared" si="254"/>
        <v>1</v>
      </c>
      <c r="CC243" s="149">
        <f t="shared" si="255"/>
        <v>1</v>
      </c>
      <c r="CD243" s="149">
        <f t="shared" si="256"/>
        <v>1</v>
      </c>
      <c r="CE243" s="149">
        <f t="shared" si="257"/>
        <v>1</v>
      </c>
      <c r="CF243" s="149">
        <f t="shared" si="258"/>
        <v>1</v>
      </c>
      <c r="CG243" s="149">
        <f t="shared" si="259"/>
        <v>1</v>
      </c>
      <c r="CH243" s="149">
        <f t="shared" si="260"/>
        <v>1</v>
      </c>
      <c r="CI243" s="149">
        <f t="shared" si="261"/>
        <v>1</v>
      </c>
      <c r="CJ243" s="149">
        <f t="shared" si="262"/>
        <v>1</v>
      </c>
      <c r="CK243" s="149">
        <f t="shared" si="263"/>
        <v>1</v>
      </c>
      <c r="CL243" s="149">
        <f t="shared" si="264"/>
        <v>1</v>
      </c>
      <c r="CM243" s="149">
        <f t="shared" si="265"/>
        <v>1</v>
      </c>
      <c r="CN243" s="149">
        <f t="shared" si="266"/>
        <v>1</v>
      </c>
      <c r="CO243" s="149">
        <f t="shared" si="267"/>
        <v>1</v>
      </c>
      <c r="CP243" s="149">
        <f t="shared" si="268"/>
        <v>1</v>
      </c>
      <c r="CQ243" s="149">
        <f t="shared" si="269"/>
        <v>1</v>
      </c>
      <c r="CR243" s="149">
        <f t="shared" si="270"/>
        <v>1</v>
      </c>
      <c r="CS243" s="149">
        <f t="shared" si="271"/>
        <v>1</v>
      </c>
      <c r="CT243" s="149">
        <f t="shared" si="272"/>
        <v>1</v>
      </c>
      <c r="CU243" s="149">
        <f t="shared" si="273"/>
        <v>1</v>
      </c>
      <c r="CV243" s="149">
        <f t="shared" si="274"/>
        <v>1</v>
      </c>
      <c r="CW243" s="149">
        <f t="shared" si="275"/>
        <v>1</v>
      </c>
      <c r="CX243" s="149">
        <f t="shared" si="276"/>
        <v>1</v>
      </c>
      <c r="CY243" s="149">
        <f t="shared" si="277"/>
        <v>1</v>
      </c>
      <c r="CZ243" s="149">
        <f t="shared" si="278"/>
        <v>1</v>
      </c>
      <c r="DA243" s="149">
        <f t="shared" si="279"/>
        <v>1</v>
      </c>
      <c r="DB243" s="149">
        <f t="shared" si="280"/>
        <v>1</v>
      </c>
      <c r="DG243" s="125">
        <f t="shared" si="241"/>
        <v>1</v>
      </c>
      <c r="DH243" s="125">
        <f t="shared" si="294"/>
        <v>2</v>
      </c>
      <c r="DI243" s="125">
        <f t="shared" si="294"/>
        <v>3</v>
      </c>
      <c r="DJ243" s="125">
        <f t="shared" si="294"/>
        <v>4</v>
      </c>
      <c r="DK243" s="125">
        <f t="shared" si="294"/>
        <v>5</v>
      </c>
      <c r="DL243" s="125">
        <f t="shared" si="294"/>
        <v>6</v>
      </c>
      <c r="DM243" s="125">
        <f t="shared" si="294"/>
        <v>7</v>
      </c>
      <c r="DN243" s="125">
        <f t="shared" si="294"/>
        <v>8</v>
      </c>
      <c r="DO243" s="125">
        <f t="shared" si="294"/>
        <v>9</v>
      </c>
      <c r="DP243" s="125">
        <f t="shared" si="294"/>
        <v>10</v>
      </c>
      <c r="DS243" s="137"/>
      <c r="DT243" s="137"/>
      <c r="DU243" s="137"/>
      <c r="DV243" s="137" t="b">
        <f t="shared" si="281"/>
        <v>0</v>
      </c>
      <c r="DW243" s="137" t="b">
        <f t="shared" si="282"/>
        <v>0</v>
      </c>
      <c r="DX243" s="137" t="b">
        <f t="shared" si="283"/>
        <v>1</v>
      </c>
      <c r="EB243" s="131">
        <f t="shared" si="292"/>
        <v>1</v>
      </c>
      <c r="EC243" s="137" t="b">
        <f t="shared" si="284"/>
        <v>0</v>
      </c>
      <c r="ED243" s="137" t="b">
        <f t="shared" si="285"/>
        <v>0</v>
      </c>
      <c r="EE243" s="137" t="b">
        <f t="shared" si="286"/>
        <v>1</v>
      </c>
      <c r="EF243" s="137"/>
      <c r="EG243" s="137"/>
      <c r="EH243" s="137"/>
      <c r="EI243" s="137"/>
      <c r="EJ243" s="137">
        <f t="shared" si="293"/>
        <v>1</v>
      </c>
      <c r="EK243" s="125">
        <f t="shared" si="287"/>
        <v>0</v>
      </c>
      <c r="EL243" s="125">
        <f t="shared" si="288"/>
        <v>0</v>
      </c>
    </row>
    <row r="244" spans="2:142" ht="15.75" x14ac:dyDescent="0.2">
      <c r="B244" s="160">
        <f t="shared" si="289"/>
        <v>214</v>
      </c>
      <c r="C244" s="205">
        <v>1001348578</v>
      </c>
      <c r="D244" s="205">
        <v>1001274514</v>
      </c>
      <c r="E244" s="205">
        <v>41375631</v>
      </c>
      <c r="F244" s="118">
        <f>IF(OR(J244="",H244=""),"",VLOOKUP(J244,'הזנה לסיווג רשויות'!$B$2:$D$301,2,0))</f>
        <v>20000065</v>
      </c>
      <c r="G244" s="118" t="str">
        <f>IF(OR(J244="",H244=""),"",VLOOKUP(J244,'הזנה לסיווג רשויות'!$B$2:$D$301,3,0))</f>
        <v>עספיא</v>
      </c>
      <c r="H244" s="201" t="s">
        <v>704</v>
      </c>
      <c r="I244" s="201" t="s">
        <v>564</v>
      </c>
      <c r="J244" s="205">
        <v>534</v>
      </c>
      <c r="K244" s="161">
        <v>0</v>
      </c>
      <c r="L244" s="161">
        <v>1</v>
      </c>
      <c r="M244" s="161">
        <v>0</v>
      </c>
      <c r="N244" s="161">
        <v>0</v>
      </c>
      <c r="O244" s="161">
        <v>1</v>
      </c>
      <c r="P244" s="161">
        <v>1</v>
      </c>
      <c r="Q244" s="161">
        <v>1</v>
      </c>
      <c r="R244" s="201">
        <v>1206787</v>
      </c>
      <c r="S244" s="201">
        <v>713299</v>
      </c>
      <c r="T244" s="160">
        <f>IF(G244="","",IFERROR(IF(S244/R244&gt;'פרמטרים לקריטריונים'!$C$20,1,0),0))</f>
        <v>1</v>
      </c>
      <c r="U244" s="201">
        <v>713299</v>
      </c>
      <c r="V244" s="160">
        <f>IF(G244="","",IFERROR(IF(U244/R244&gt;'פרמטרים לקריטריונים'!$C$21,1,IF(AND(I244=$BW$5,U244/R244&gt;'פרמטרים לקריטריונים'!$C$22),1,0)),0))</f>
        <v>1</v>
      </c>
      <c r="W244" s="161">
        <v>1</v>
      </c>
      <c r="X244" s="161">
        <v>1</v>
      </c>
      <c r="Y244" s="288">
        <v>1086108</v>
      </c>
      <c r="Z244" s="201">
        <v>1086108</v>
      </c>
      <c r="AA244" s="161">
        <f t="shared" si="290"/>
        <v>1</v>
      </c>
      <c r="AB244" s="161"/>
      <c r="AC244" s="161"/>
      <c r="AD244" s="161"/>
      <c r="AE244" s="161"/>
      <c r="AF244" s="161"/>
      <c r="AG244" s="161"/>
      <c r="AH244" s="161"/>
      <c r="AI244" s="161"/>
      <c r="AJ244" s="161"/>
      <c r="AK244" s="161"/>
      <c r="AL244" s="161"/>
      <c r="AM244" s="161"/>
      <c r="AN244" s="161"/>
      <c r="AO244" s="161"/>
      <c r="AP244" s="161"/>
      <c r="AQ244" s="161"/>
      <c r="AR244" s="161"/>
      <c r="AS244" s="161"/>
      <c r="AT244" s="161"/>
      <c r="AU244" s="161"/>
      <c r="AV244" s="161"/>
      <c r="AW244" s="160"/>
      <c r="AX244" s="161"/>
      <c r="AY244" s="161"/>
      <c r="AZ244" s="161"/>
      <c r="BA244" s="161"/>
      <c r="BB244" s="161"/>
      <c r="BC244" s="161"/>
      <c r="BD244" s="161"/>
      <c r="BE244" s="161"/>
      <c r="BF244" s="160" t="str">
        <f t="shared" si="291"/>
        <v/>
      </c>
      <c r="BG244" s="160"/>
      <c r="BH244" s="160"/>
      <c r="BI244" s="160"/>
      <c r="BJ244" s="160"/>
      <c r="BK244" s="160"/>
      <c r="BL244" s="162">
        <f t="shared" si="242"/>
        <v>1</v>
      </c>
      <c r="BM244" s="257"/>
      <c r="BN244" s="163"/>
      <c r="BO244" s="211" t="str">
        <f t="shared" si="243"/>
        <v>לוגוס לתרבויות ומורשת עמים (ע"ר)אחר</v>
      </c>
      <c r="BP244" s="125">
        <f t="shared" si="244"/>
        <v>1</v>
      </c>
      <c r="BQ244" s="164">
        <v>0</v>
      </c>
      <c r="BR244" s="164">
        <v>1</v>
      </c>
      <c r="BS244" s="149">
        <f t="shared" si="245"/>
        <v>1</v>
      </c>
      <c r="BT244" s="149">
        <f t="shared" si="246"/>
        <v>1</v>
      </c>
      <c r="BU244" s="149">
        <f t="shared" si="247"/>
        <v>1</v>
      </c>
      <c r="BV244" s="149">
        <f t="shared" si="248"/>
        <v>1</v>
      </c>
      <c r="BW244" s="149">
        <f t="shared" si="249"/>
        <v>1</v>
      </c>
      <c r="BX244" s="149">
        <f t="shared" si="250"/>
        <v>1</v>
      </c>
      <c r="BY244" s="149">
        <f t="shared" si="251"/>
        <v>1</v>
      </c>
      <c r="BZ244" s="149">
        <f t="shared" si="252"/>
        <v>1</v>
      </c>
      <c r="CA244" s="149">
        <f t="shared" si="253"/>
        <v>1</v>
      </c>
      <c r="CB244" s="149">
        <f t="shared" si="254"/>
        <v>1</v>
      </c>
      <c r="CC244" s="149">
        <f t="shared" si="255"/>
        <v>1</v>
      </c>
      <c r="CD244" s="149">
        <f t="shared" si="256"/>
        <v>1</v>
      </c>
      <c r="CE244" s="149">
        <f t="shared" si="257"/>
        <v>1</v>
      </c>
      <c r="CF244" s="149">
        <f t="shared" si="258"/>
        <v>1</v>
      </c>
      <c r="CG244" s="149">
        <f t="shared" si="259"/>
        <v>1</v>
      </c>
      <c r="CH244" s="149">
        <f t="shared" si="260"/>
        <v>1</v>
      </c>
      <c r="CI244" s="149">
        <f t="shared" si="261"/>
        <v>1</v>
      </c>
      <c r="CJ244" s="149">
        <f t="shared" si="262"/>
        <v>1</v>
      </c>
      <c r="CK244" s="149">
        <f t="shared" si="263"/>
        <v>1</v>
      </c>
      <c r="CL244" s="149">
        <f t="shared" si="264"/>
        <v>1</v>
      </c>
      <c r="CM244" s="149">
        <f t="shared" si="265"/>
        <v>1</v>
      </c>
      <c r="CN244" s="149">
        <f t="shared" si="266"/>
        <v>1</v>
      </c>
      <c r="CO244" s="149">
        <f t="shared" si="267"/>
        <v>1</v>
      </c>
      <c r="CP244" s="149">
        <f t="shared" si="268"/>
        <v>1</v>
      </c>
      <c r="CQ244" s="149">
        <f t="shared" si="269"/>
        <v>1</v>
      </c>
      <c r="CR244" s="149">
        <f t="shared" si="270"/>
        <v>1</v>
      </c>
      <c r="CS244" s="149">
        <f t="shared" si="271"/>
        <v>1</v>
      </c>
      <c r="CT244" s="149">
        <f t="shared" si="272"/>
        <v>1</v>
      </c>
      <c r="CU244" s="149">
        <f t="shared" si="273"/>
        <v>1</v>
      </c>
      <c r="CV244" s="149">
        <f t="shared" si="274"/>
        <v>1</v>
      </c>
      <c r="CW244" s="149">
        <f t="shared" si="275"/>
        <v>1</v>
      </c>
      <c r="CX244" s="149">
        <f t="shared" si="276"/>
        <v>1</v>
      </c>
      <c r="CY244" s="149">
        <f t="shared" si="277"/>
        <v>1</v>
      </c>
      <c r="CZ244" s="149">
        <f t="shared" si="278"/>
        <v>1</v>
      </c>
      <c r="DA244" s="149">
        <f t="shared" si="279"/>
        <v>1</v>
      </c>
      <c r="DB244" s="149">
        <f t="shared" si="280"/>
        <v>1</v>
      </c>
      <c r="DG244" s="125">
        <f t="shared" si="241"/>
        <v>1</v>
      </c>
      <c r="DH244" s="125">
        <f t="shared" si="294"/>
        <v>2</v>
      </c>
      <c r="DI244" s="125">
        <f t="shared" si="294"/>
        <v>3</v>
      </c>
      <c r="DJ244" s="125">
        <f t="shared" si="294"/>
        <v>4</v>
      </c>
      <c r="DK244" s="125">
        <f t="shared" si="294"/>
        <v>5</v>
      </c>
      <c r="DL244" s="125">
        <f t="shared" si="294"/>
        <v>6</v>
      </c>
      <c r="DM244" s="125">
        <f t="shared" si="294"/>
        <v>7</v>
      </c>
      <c r="DN244" s="125">
        <f t="shared" si="294"/>
        <v>8</v>
      </c>
      <c r="DO244" s="125">
        <f t="shared" si="294"/>
        <v>9</v>
      </c>
      <c r="DP244" s="125">
        <f t="shared" si="294"/>
        <v>10</v>
      </c>
      <c r="DS244" s="137"/>
      <c r="DT244" s="137"/>
      <c r="DU244" s="137"/>
      <c r="DV244" s="137" t="b">
        <f t="shared" si="281"/>
        <v>0</v>
      </c>
      <c r="DW244" s="137" t="b">
        <f t="shared" si="282"/>
        <v>0</v>
      </c>
      <c r="DX244" s="137" t="b">
        <f t="shared" si="283"/>
        <v>1</v>
      </c>
      <c r="EB244" s="131">
        <f t="shared" si="292"/>
        <v>1</v>
      </c>
      <c r="EC244" s="137" t="b">
        <f t="shared" si="284"/>
        <v>0</v>
      </c>
      <c r="ED244" s="137" t="b">
        <f t="shared" si="285"/>
        <v>0</v>
      </c>
      <c r="EE244" s="137" t="b">
        <f t="shared" si="286"/>
        <v>1</v>
      </c>
      <c r="EF244" s="137"/>
      <c r="EG244" s="137"/>
      <c r="EH244" s="137"/>
      <c r="EI244" s="137"/>
      <c r="EJ244" s="137">
        <f t="shared" si="293"/>
        <v>1</v>
      </c>
      <c r="EK244" s="125">
        <f t="shared" si="287"/>
        <v>0</v>
      </c>
      <c r="EL244" s="125">
        <f t="shared" si="288"/>
        <v>0</v>
      </c>
    </row>
    <row r="245" spans="2:142" ht="15.75" x14ac:dyDescent="0.2">
      <c r="B245" s="160">
        <f t="shared" si="289"/>
        <v>215</v>
      </c>
      <c r="C245" s="205">
        <v>1001349368</v>
      </c>
      <c r="D245" s="205">
        <v>1001275002</v>
      </c>
      <c r="E245" s="205">
        <v>41375631</v>
      </c>
      <c r="F245" s="118">
        <f>IF(OR(J245="",H245=""),"",VLOOKUP(J245,'הזנה לסיווג רשויות'!$B$2:$D$301,2,0))</f>
        <v>20000065</v>
      </c>
      <c r="G245" s="118" t="str">
        <f>IF(OR(J245="",H245=""),"",VLOOKUP(J245,'הזנה לסיווג רשויות'!$B$2:$D$301,3,0))</f>
        <v>עספיא</v>
      </c>
      <c r="H245" s="201" t="s">
        <v>704</v>
      </c>
      <c r="I245" s="201" t="s">
        <v>564</v>
      </c>
      <c r="J245" s="205">
        <v>534</v>
      </c>
      <c r="K245" s="161">
        <v>0</v>
      </c>
      <c r="L245" s="161">
        <v>1</v>
      </c>
      <c r="M245" s="161">
        <v>0</v>
      </c>
      <c r="N245" s="161">
        <v>0</v>
      </c>
      <c r="O245" s="161">
        <v>1</v>
      </c>
      <c r="P245" s="161">
        <v>1</v>
      </c>
      <c r="Q245" s="161">
        <v>1</v>
      </c>
      <c r="R245" s="201">
        <v>310340</v>
      </c>
      <c r="S245" s="201">
        <v>88000</v>
      </c>
      <c r="T245" s="160">
        <f>IF(G245="","",IFERROR(IF(S245/R245&gt;'פרמטרים לקריטריונים'!$C$20,1,0),0))</f>
        <v>1</v>
      </c>
      <c r="U245" s="201">
        <v>88000</v>
      </c>
      <c r="V245" s="160">
        <f>IF(G245="","",IFERROR(IF(U245/R245&gt;'פרמטרים לקריטריונים'!$C$21,1,IF(AND(I245=$BW$5,U245/R245&gt;'פרמטרים לקריטריונים'!$C$22),1,0)),0))</f>
        <v>1</v>
      </c>
      <c r="W245" s="161">
        <v>1</v>
      </c>
      <c r="X245" s="161">
        <v>1</v>
      </c>
      <c r="Y245" s="288">
        <v>495500</v>
      </c>
      <c r="Z245" s="201">
        <v>495500</v>
      </c>
      <c r="AA245" s="161">
        <f t="shared" si="290"/>
        <v>1</v>
      </c>
      <c r="AB245" s="161"/>
      <c r="AC245" s="161"/>
      <c r="AD245" s="161"/>
      <c r="AE245" s="161"/>
      <c r="AF245" s="161"/>
      <c r="AG245" s="161"/>
      <c r="AH245" s="161"/>
      <c r="AI245" s="161"/>
      <c r="AJ245" s="161"/>
      <c r="AK245" s="161"/>
      <c r="AL245" s="161"/>
      <c r="AM245" s="161"/>
      <c r="AN245" s="161"/>
      <c r="AO245" s="161"/>
      <c r="AP245" s="161"/>
      <c r="AQ245" s="161"/>
      <c r="AR245" s="161"/>
      <c r="AS245" s="161"/>
      <c r="AT245" s="161"/>
      <c r="AU245" s="161"/>
      <c r="AV245" s="161"/>
      <c r="AW245" s="160"/>
      <c r="AX245" s="161"/>
      <c r="AY245" s="161"/>
      <c r="AZ245" s="161"/>
      <c r="BA245" s="161"/>
      <c r="BB245" s="161"/>
      <c r="BC245" s="161"/>
      <c r="BD245" s="161"/>
      <c r="BE245" s="161"/>
      <c r="BF245" s="160" t="str">
        <f t="shared" si="291"/>
        <v/>
      </c>
      <c r="BG245" s="160"/>
      <c r="BH245" s="160"/>
      <c r="BI245" s="160"/>
      <c r="BJ245" s="160"/>
      <c r="BK245" s="160"/>
      <c r="BL245" s="162">
        <f t="shared" si="242"/>
        <v>1</v>
      </c>
      <c r="BM245" s="257"/>
      <c r="BN245" s="163"/>
      <c r="BO245" s="211" t="str">
        <f t="shared" si="243"/>
        <v>לוגוס לתרבויות ומורשת עמים (ע"ר)אחר</v>
      </c>
      <c r="BP245" s="125">
        <f t="shared" si="244"/>
        <v>1</v>
      </c>
      <c r="BQ245" s="164">
        <v>0</v>
      </c>
      <c r="BR245" s="164">
        <v>1</v>
      </c>
      <c r="BS245" s="149">
        <f t="shared" si="245"/>
        <v>1</v>
      </c>
      <c r="BT245" s="149">
        <f t="shared" si="246"/>
        <v>1</v>
      </c>
      <c r="BU245" s="149">
        <f t="shared" si="247"/>
        <v>1</v>
      </c>
      <c r="BV245" s="149">
        <f t="shared" si="248"/>
        <v>1</v>
      </c>
      <c r="BW245" s="149">
        <f t="shared" si="249"/>
        <v>1</v>
      </c>
      <c r="BX245" s="149">
        <f t="shared" si="250"/>
        <v>1</v>
      </c>
      <c r="BY245" s="149">
        <f t="shared" si="251"/>
        <v>1</v>
      </c>
      <c r="BZ245" s="149">
        <f t="shared" si="252"/>
        <v>1</v>
      </c>
      <c r="CA245" s="149">
        <f t="shared" si="253"/>
        <v>1</v>
      </c>
      <c r="CB245" s="149">
        <f t="shared" si="254"/>
        <v>1</v>
      </c>
      <c r="CC245" s="149">
        <f t="shared" si="255"/>
        <v>1</v>
      </c>
      <c r="CD245" s="149">
        <f t="shared" si="256"/>
        <v>1</v>
      </c>
      <c r="CE245" s="149">
        <f t="shared" si="257"/>
        <v>1</v>
      </c>
      <c r="CF245" s="149">
        <f t="shared" si="258"/>
        <v>1</v>
      </c>
      <c r="CG245" s="149">
        <f t="shared" si="259"/>
        <v>1</v>
      </c>
      <c r="CH245" s="149">
        <f t="shared" si="260"/>
        <v>1</v>
      </c>
      <c r="CI245" s="149">
        <f t="shared" si="261"/>
        <v>1</v>
      </c>
      <c r="CJ245" s="149">
        <f t="shared" si="262"/>
        <v>1</v>
      </c>
      <c r="CK245" s="149">
        <f t="shared" si="263"/>
        <v>1</v>
      </c>
      <c r="CL245" s="149">
        <f t="shared" si="264"/>
        <v>1</v>
      </c>
      <c r="CM245" s="149">
        <f t="shared" si="265"/>
        <v>1</v>
      </c>
      <c r="CN245" s="149">
        <f t="shared" si="266"/>
        <v>1</v>
      </c>
      <c r="CO245" s="149">
        <f t="shared" si="267"/>
        <v>1</v>
      </c>
      <c r="CP245" s="149">
        <f t="shared" si="268"/>
        <v>1</v>
      </c>
      <c r="CQ245" s="149">
        <f t="shared" si="269"/>
        <v>1</v>
      </c>
      <c r="CR245" s="149">
        <f t="shared" si="270"/>
        <v>1</v>
      </c>
      <c r="CS245" s="149">
        <f t="shared" si="271"/>
        <v>1</v>
      </c>
      <c r="CT245" s="149">
        <f t="shared" si="272"/>
        <v>1</v>
      </c>
      <c r="CU245" s="149">
        <f t="shared" si="273"/>
        <v>1</v>
      </c>
      <c r="CV245" s="149">
        <f t="shared" si="274"/>
        <v>1</v>
      </c>
      <c r="CW245" s="149">
        <f t="shared" si="275"/>
        <v>1</v>
      </c>
      <c r="CX245" s="149">
        <f t="shared" si="276"/>
        <v>1</v>
      </c>
      <c r="CY245" s="149">
        <f t="shared" si="277"/>
        <v>1</v>
      </c>
      <c r="CZ245" s="149">
        <f t="shared" si="278"/>
        <v>1</v>
      </c>
      <c r="DA245" s="149">
        <f t="shared" si="279"/>
        <v>1</v>
      </c>
      <c r="DB245" s="149">
        <f t="shared" si="280"/>
        <v>1</v>
      </c>
      <c r="DG245" s="125">
        <f t="shared" si="241"/>
        <v>1</v>
      </c>
      <c r="DH245" s="125">
        <f t="shared" si="294"/>
        <v>2</v>
      </c>
      <c r="DI245" s="125">
        <f t="shared" si="294"/>
        <v>3</v>
      </c>
      <c r="DJ245" s="125">
        <f t="shared" si="294"/>
        <v>4</v>
      </c>
      <c r="DK245" s="125">
        <f t="shared" si="294"/>
        <v>5</v>
      </c>
      <c r="DL245" s="125">
        <f t="shared" si="294"/>
        <v>6</v>
      </c>
      <c r="DM245" s="125">
        <f t="shared" si="294"/>
        <v>7</v>
      </c>
      <c r="DN245" s="125">
        <f t="shared" si="294"/>
        <v>8</v>
      </c>
      <c r="DO245" s="125">
        <f t="shared" si="294"/>
        <v>9</v>
      </c>
      <c r="DP245" s="125">
        <f t="shared" si="294"/>
        <v>10</v>
      </c>
      <c r="DS245" s="137"/>
      <c r="DT245" s="137"/>
      <c r="DU245" s="137"/>
      <c r="DV245" s="137" t="b">
        <f t="shared" si="281"/>
        <v>0</v>
      </c>
      <c r="DW245" s="137" t="b">
        <f t="shared" si="282"/>
        <v>0</v>
      </c>
      <c r="DX245" s="137" t="b">
        <f t="shared" si="283"/>
        <v>1</v>
      </c>
      <c r="EB245" s="131">
        <f t="shared" si="292"/>
        <v>1</v>
      </c>
      <c r="EC245" s="137" t="b">
        <f t="shared" si="284"/>
        <v>0</v>
      </c>
      <c r="ED245" s="137" t="b">
        <f t="shared" si="285"/>
        <v>0</v>
      </c>
      <c r="EE245" s="137" t="b">
        <f t="shared" si="286"/>
        <v>1</v>
      </c>
      <c r="EF245" s="137"/>
      <c r="EG245" s="137"/>
      <c r="EH245" s="137"/>
      <c r="EI245" s="137"/>
      <c r="EJ245" s="137">
        <f t="shared" si="293"/>
        <v>1</v>
      </c>
      <c r="EK245" s="125">
        <f t="shared" si="287"/>
        <v>0</v>
      </c>
      <c r="EL245" s="125">
        <f t="shared" si="288"/>
        <v>0</v>
      </c>
    </row>
    <row r="246" spans="2:142" ht="15.75" x14ac:dyDescent="0.2">
      <c r="B246" s="160">
        <f t="shared" si="289"/>
        <v>216</v>
      </c>
      <c r="C246" s="205">
        <v>1001350100</v>
      </c>
      <c r="D246" s="205">
        <v>1001275329</v>
      </c>
      <c r="E246" s="205">
        <v>41375690</v>
      </c>
      <c r="F246" s="118">
        <f>IF(OR(J246="",H246=""),"",VLOOKUP(J246,'הזנה לסיווג רשויות'!$B$2:$D$301,2,0))</f>
        <v>20000201</v>
      </c>
      <c r="G246" s="118" t="str">
        <f>IF(OR(J246="",H246=""),"",VLOOKUP(J246,'הזנה לסיווג רשויות'!$B$2:$D$301,3,0))</f>
        <v>תל אביב -יפו</v>
      </c>
      <c r="H246" s="201" t="s">
        <v>705</v>
      </c>
      <c r="I246" s="201" t="s">
        <v>392</v>
      </c>
      <c r="J246" s="205">
        <v>5000</v>
      </c>
      <c r="K246" s="161">
        <v>0</v>
      </c>
      <c r="L246" s="161">
        <v>1</v>
      </c>
      <c r="M246" s="161">
        <v>0</v>
      </c>
      <c r="N246" s="161">
        <v>0</v>
      </c>
      <c r="O246" s="161">
        <v>1</v>
      </c>
      <c r="P246" s="161">
        <v>1</v>
      </c>
      <c r="Q246" s="161">
        <v>1</v>
      </c>
      <c r="R246" s="201">
        <v>73427</v>
      </c>
      <c r="S246" s="201">
        <v>27761</v>
      </c>
      <c r="T246" s="160">
        <f>IF(G246="","",IFERROR(IF(S246/R246&gt;'פרמטרים לקריטריונים'!$C$20,1,0),0))</f>
        <v>1</v>
      </c>
      <c r="U246" s="201">
        <v>17761</v>
      </c>
      <c r="V246" s="160">
        <f>IF(G246="","",IFERROR(IF(U246/R246&gt;'פרמטרים לקריטריונים'!$C$21,1,IF(AND(I246=$BW$5,U246/R246&gt;'פרמטרים לקריטריונים'!$C$22),1,0)),0))</f>
        <v>1</v>
      </c>
      <c r="W246" s="161">
        <v>1</v>
      </c>
      <c r="X246" s="161">
        <v>1</v>
      </c>
      <c r="Y246" s="288">
        <v>20000</v>
      </c>
      <c r="Z246" s="201">
        <v>3000</v>
      </c>
      <c r="AA246" s="161">
        <f t="shared" si="290"/>
        <v>1</v>
      </c>
      <c r="AB246" s="161"/>
      <c r="AC246" s="161"/>
      <c r="AD246" s="161"/>
      <c r="AE246" s="161"/>
      <c r="AF246" s="161"/>
      <c r="AG246" s="161"/>
      <c r="AH246" s="161"/>
      <c r="AI246" s="161"/>
      <c r="AJ246" s="161"/>
      <c r="AK246" s="161"/>
      <c r="AL246" s="161"/>
      <c r="AM246" s="161"/>
      <c r="AN246" s="161"/>
      <c r="AO246" s="161"/>
      <c r="AP246" s="161"/>
      <c r="AQ246" s="161"/>
      <c r="AR246" s="161"/>
      <c r="AS246" s="161"/>
      <c r="AT246" s="161"/>
      <c r="AU246" s="161"/>
      <c r="AV246" s="161"/>
      <c r="AW246" s="160"/>
      <c r="AX246" s="161"/>
      <c r="AY246" s="161"/>
      <c r="AZ246" s="161"/>
      <c r="BA246" s="161"/>
      <c r="BB246" s="161"/>
      <c r="BC246" s="161"/>
      <c r="BD246" s="161"/>
      <c r="BE246" s="161"/>
      <c r="BF246" s="160" t="str">
        <f t="shared" si="291"/>
        <v/>
      </c>
      <c r="BG246" s="160"/>
      <c r="BH246" s="160"/>
      <c r="BI246" s="160"/>
      <c r="BJ246" s="160"/>
      <c r="BK246" s="160"/>
      <c r="BL246" s="162">
        <f t="shared" si="242"/>
        <v>1</v>
      </c>
      <c r="BM246" s="257"/>
      <c r="BN246" s="163"/>
      <c r="BO246" s="211" t="str">
        <f t="shared" si="243"/>
        <v>העמותה ליצירה פנטסטית וספקולטיבית בספרות</v>
      </c>
      <c r="BP246" s="125">
        <f t="shared" si="244"/>
        <v>1</v>
      </c>
      <c r="BQ246" s="164">
        <v>0</v>
      </c>
      <c r="BR246" s="164">
        <v>1</v>
      </c>
      <c r="BS246" s="149">
        <f t="shared" si="245"/>
        <v>1</v>
      </c>
      <c r="BT246" s="149">
        <f t="shared" si="246"/>
        <v>1</v>
      </c>
      <c r="BU246" s="149">
        <f t="shared" si="247"/>
        <v>1</v>
      </c>
      <c r="BV246" s="149">
        <f t="shared" si="248"/>
        <v>1</v>
      </c>
      <c r="BW246" s="149">
        <f t="shared" si="249"/>
        <v>1</v>
      </c>
      <c r="BX246" s="149">
        <f t="shared" si="250"/>
        <v>1</v>
      </c>
      <c r="BY246" s="149">
        <f t="shared" si="251"/>
        <v>1</v>
      </c>
      <c r="BZ246" s="149">
        <f t="shared" si="252"/>
        <v>1</v>
      </c>
      <c r="CA246" s="149">
        <f t="shared" si="253"/>
        <v>1</v>
      </c>
      <c r="CB246" s="149">
        <f t="shared" si="254"/>
        <v>1</v>
      </c>
      <c r="CC246" s="149">
        <f t="shared" si="255"/>
        <v>1</v>
      </c>
      <c r="CD246" s="149">
        <f t="shared" si="256"/>
        <v>1</v>
      </c>
      <c r="CE246" s="149">
        <f t="shared" si="257"/>
        <v>1</v>
      </c>
      <c r="CF246" s="149">
        <f t="shared" si="258"/>
        <v>1</v>
      </c>
      <c r="CG246" s="149">
        <f t="shared" si="259"/>
        <v>1</v>
      </c>
      <c r="CH246" s="149">
        <f t="shared" si="260"/>
        <v>1</v>
      </c>
      <c r="CI246" s="149">
        <f t="shared" si="261"/>
        <v>1</v>
      </c>
      <c r="CJ246" s="149">
        <f t="shared" si="262"/>
        <v>1</v>
      </c>
      <c r="CK246" s="149">
        <f t="shared" si="263"/>
        <v>1</v>
      </c>
      <c r="CL246" s="149">
        <f t="shared" si="264"/>
        <v>1</v>
      </c>
      <c r="CM246" s="149">
        <f t="shared" si="265"/>
        <v>1</v>
      </c>
      <c r="CN246" s="149">
        <f t="shared" si="266"/>
        <v>1</v>
      </c>
      <c r="CO246" s="149">
        <f t="shared" si="267"/>
        <v>1</v>
      </c>
      <c r="CP246" s="149">
        <f t="shared" si="268"/>
        <v>1</v>
      </c>
      <c r="CQ246" s="149">
        <f t="shared" si="269"/>
        <v>1</v>
      </c>
      <c r="CR246" s="149">
        <f t="shared" si="270"/>
        <v>1</v>
      </c>
      <c r="CS246" s="149">
        <f t="shared" si="271"/>
        <v>1</v>
      </c>
      <c r="CT246" s="149">
        <f t="shared" si="272"/>
        <v>1</v>
      </c>
      <c r="CU246" s="149">
        <f t="shared" si="273"/>
        <v>1</v>
      </c>
      <c r="CV246" s="149">
        <f t="shared" si="274"/>
        <v>1</v>
      </c>
      <c r="CW246" s="149">
        <f t="shared" si="275"/>
        <v>1</v>
      </c>
      <c r="CX246" s="149">
        <f t="shared" si="276"/>
        <v>1</v>
      </c>
      <c r="CY246" s="149">
        <f t="shared" si="277"/>
        <v>1</v>
      </c>
      <c r="CZ246" s="149">
        <f t="shared" si="278"/>
        <v>1</v>
      </c>
      <c r="DA246" s="149">
        <f t="shared" si="279"/>
        <v>1</v>
      </c>
      <c r="DB246" s="149">
        <f t="shared" si="280"/>
        <v>1</v>
      </c>
      <c r="DG246" s="125">
        <f t="shared" si="241"/>
        <v>1</v>
      </c>
      <c r="DH246" s="125">
        <f t="shared" si="294"/>
        <v>2</v>
      </c>
      <c r="DI246" s="125">
        <f t="shared" si="294"/>
        <v>3</v>
      </c>
      <c r="DJ246" s="125">
        <f t="shared" si="294"/>
        <v>4</v>
      </c>
      <c r="DK246" s="125">
        <f t="shared" si="294"/>
        <v>5</v>
      </c>
      <c r="DL246" s="125">
        <f t="shared" si="294"/>
        <v>6</v>
      </c>
      <c r="DM246" s="125">
        <f t="shared" si="294"/>
        <v>7</v>
      </c>
      <c r="DN246" s="125">
        <f t="shared" si="294"/>
        <v>8</v>
      </c>
      <c r="DO246" s="125">
        <f t="shared" si="294"/>
        <v>9</v>
      </c>
      <c r="DP246" s="125">
        <f t="shared" si="294"/>
        <v>10</v>
      </c>
      <c r="DS246" s="137"/>
      <c r="DT246" s="137"/>
      <c r="DU246" s="137"/>
      <c r="DV246" s="137" t="b">
        <f t="shared" si="281"/>
        <v>0</v>
      </c>
      <c r="DW246" s="137" t="b">
        <f t="shared" si="282"/>
        <v>0</v>
      </c>
      <c r="DX246" s="137" t="b">
        <f t="shared" si="283"/>
        <v>1</v>
      </c>
      <c r="EB246" s="131">
        <f t="shared" si="292"/>
        <v>1</v>
      </c>
      <c r="EC246" s="137" t="b">
        <f t="shared" si="284"/>
        <v>0</v>
      </c>
      <c r="ED246" s="137" t="b">
        <f t="shared" si="285"/>
        <v>0</v>
      </c>
      <c r="EE246" s="137" t="b">
        <f t="shared" si="286"/>
        <v>1</v>
      </c>
      <c r="EF246" s="137"/>
      <c r="EG246" s="137"/>
      <c r="EH246" s="137"/>
      <c r="EI246" s="137"/>
      <c r="EJ246" s="137">
        <f t="shared" si="293"/>
        <v>1</v>
      </c>
      <c r="EK246" s="125">
        <f t="shared" si="287"/>
        <v>0</v>
      </c>
      <c r="EL246" s="125">
        <f t="shared" si="288"/>
        <v>0</v>
      </c>
    </row>
    <row r="247" spans="2:142" ht="15.75" x14ac:dyDescent="0.2">
      <c r="B247" s="160">
        <f t="shared" si="289"/>
        <v>217</v>
      </c>
      <c r="C247" s="205">
        <v>1001350112</v>
      </c>
      <c r="D247" s="205">
        <v>1001277938</v>
      </c>
      <c r="E247" s="205">
        <v>41375690</v>
      </c>
      <c r="F247" s="118">
        <f>IF(OR(J247="",H247=""),"",VLOOKUP(J247,'הזנה לסיווג רשויות'!$B$2:$D$301,2,0))</f>
        <v>20000201</v>
      </c>
      <c r="G247" s="118" t="str">
        <f>IF(OR(J247="",H247=""),"",VLOOKUP(J247,'הזנה לסיווג רשויות'!$B$2:$D$301,3,0))</f>
        <v>תל אביב -יפו</v>
      </c>
      <c r="H247" s="201" t="s">
        <v>705</v>
      </c>
      <c r="I247" s="201" t="s">
        <v>381</v>
      </c>
      <c r="J247" s="205">
        <v>5000</v>
      </c>
      <c r="K247" s="161">
        <v>0</v>
      </c>
      <c r="L247" s="161">
        <v>1</v>
      </c>
      <c r="M247" s="161">
        <v>0</v>
      </c>
      <c r="N247" s="161">
        <v>0</v>
      </c>
      <c r="O247" s="161">
        <v>1</v>
      </c>
      <c r="P247" s="161">
        <v>1</v>
      </c>
      <c r="Q247" s="161">
        <v>1</v>
      </c>
      <c r="R247" s="201">
        <v>411584</v>
      </c>
      <c r="S247" s="201">
        <v>281141</v>
      </c>
      <c r="T247" s="160">
        <f>IF(G247="","",IFERROR(IF(S247/R247&gt;'פרמטרים לקריטריונים'!$C$20,1,0),0))</f>
        <v>1</v>
      </c>
      <c r="U247" s="201">
        <v>89497</v>
      </c>
      <c r="V247" s="160">
        <f>IF(G247="","",IFERROR(IF(U247/R247&gt;'פרמטרים לקריטריונים'!$C$21,1,IF(AND(I247=$BW$5,U247/R247&gt;'פרמטרים לקריטריונים'!$C$22),1,0)),0))</f>
        <v>1</v>
      </c>
      <c r="W247" s="161">
        <v>1</v>
      </c>
      <c r="X247" s="161">
        <v>1</v>
      </c>
      <c r="Y247" s="288">
        <v>120000</v>
      </c>
      <c r="Z247" s="201">
        <v>30000</v>
      </c>
      <c r="AA247" s="161">
        <f t="shared" si="290"/>
        <v>1</v>
      </c>
      <c r="AB247" s="161"/>
      <c r="AC247" s="161"/>
      <c r="AD247" s="161"/>
      <c r="AE247" s="161"/>
      <c r="AF247" s="161"/>
      <c r="AG247" s="161"/>
      <c r="AH247" s="161"/>
      <c r="AI247" s="161"/>
      <c r="AJ247" s="161"/>
      <c r="AK247" s="161"/>
      <c r="AL247" s="161"/>
      <c r="AM247" s="161"/>
      <c r="AN247" s="161"/>
      <c r="AO247" s="161"/>
      <c r="AP247" s="161"/>
      <c r="AQ247" s="161"/>
      <c r="AR247" s="161"/>
      <c r="AS247" s="161"/>
      <c r="AT247" s="161"/>
      <c r="AU247" s="161"/>
      <c r="AV247" s="161"/>
      <c r="AW247" s="160"/>
      <c r="AX247" s="161"/>
      <c r="AY247" s="161"/>
      <c r="AZ247" s="161"/>
      <c r="BA247" s="161"/>
      <c r="BB247" s="161"/>
      <c r="BC247" s="161"/>
      <c r="BD247" s="161"/>
      <c r="BE247" s="161"/>
      <c r="BF247" s="160" t="str">
        <f t="shared" si="291"/>
        <v/>
      </c>
      <c r="BG247" s="160"/>
      <c r="BH247" s="160"/>
      <c r="BI247" s="160"/>
      <c r="BJ247" s="160"/>
      <c r="BK247" s="160"/>
      <c r="BL247" s="162">
        <f t="shared" si="242"/>
        <v>1</v>
      </c>
      <c r="BM247" s="257"/>
      <c r="BN247" s="163"/>
      <c r="BO247" s="211" t="str">
        <f t="shared" si="243"/>
        <v>העמותה ליצירה פנטסטית וספקולטיבית בסינמטקים ופסטיבלים</v>
      </c>
      <c r="BP247" s="125">
        <f t="shared" si="244"/>
        <v>1</v>
      </c>
      <c r="BQ247" s="164">
        <v>0</v>
      </c>
      <c r="BR247" s="164">
        <v>1</v>
      </c>
      <c r="BS247" s="149">
        <f t="shared" si="245"/>
        <v>1</v>
      </c>
      <c r="BT247" s="149">
        <f t="shared" si="246"/>
        <v>1</v>
      </c>
      <c r="BU247" s="149">
        <f t="shared" si="247"/>
        <v>1</v>
      </c>
      <c r="BV247" s="149">
        <f t="shared" si="248"/>
        <v>1</v>
      </c>
      <c r="BW247" s="149">
        <f t="shared" si="249"/>
        <v>1</v>
      </c>
      <c r="BX247" s="149">
        <f t="shared" si="250"/>
        <v>1</v>
      </c>
      <c r="BY247" s="149">
        <f t="shared" si="251"/>
        <v>1</v>
      </c>
      <c r="BZ247" s="149">
        <f t="shared" si="252"/>
        <v>1</v>
      </c>
      <c r="CA247" s="149">
        <f t="shared" si="253"/>
        <v>1</v>
      </c>
      <c r="CB247" s="149">
        <f t="shared" si="254"/>
        <v>1</v>
      </c>
      <c r="CC247" s="149">
        <f t="shared" si="255"/>
        <v>1</v>
      </c>
      <c r="CD247" s="149">
        <f t="shared" si="256"/>
        <v>1</v>
      </c>
      <c r="CE247" s="149">
        <f t="shared" si="257"/>
        <v>1</v>
      </c>
      <c r="CF247" s="149">
        <f t="shared" si="258"/>
        <v>1</v>
      </c>
      <c r="CG247" s="149">
        <f t="shared" si="259"/>
        <v>1</v>
      </c>
      <c r="CH247" s="149">
        <f t="shared" si="260"/>
        <v>1</v>
      </c>
      <c r="CI247" s="149">
        <f t="shared" si="261"/>
        <v>1</v>
      </c>
      <c r="CJ247" s="149">
        <f t="shared" si="262"/>
        <v>1</v>
      </c>
      <c r="CK247" s="149">
        <f t="shared" si="263"/>
        <v>1</v>
      </c>
      <c r="CL247" s="149">
        <f t="shared" si="264"/>
        <v>1</v>
      </c>
      <c r="CM247" s="149">
        <f t="shared" si="265"/>
        <v>1</v>
      </c>
      <c r="CN247" s="149">
        <f t="shared" si="266"/>
        <v>1</v>
      </c>
      <c r="CO247" s="149">
        <f t="shared" si="267"/>
        <v>1</v>
      </c>
      <c r="CP247" s="149">
        <f t="shared" si="268"/>
        <v>1</v>
      </c>
      <c r="CQ247" s="149">
        <f t="shared" si="269"/>
        <v>1</v>
      </c>
      <c r="CR247" s="149">
        <f t="shared" si="270"/>
        <v>1</v>
      </c>
      <c r="CS247" s="149">
        <f t="shared" si="271"/>
        <v>1</v>
      </c>
      <c r="CT247" s="149">
        <f t="shared" si="272"/>
        <v>1</v>
      </c>
      <c r="CU247" s="149">
        <f t="shared" si="273"/>
        <v>1</v>
      </c>
      <c r="CV247" s="149">
        <f t="shared" si="274"/>
        <v>1</v>
      </c>
      <c r="CW247" s="149">
        <f t="shared" si="275"/>
        <v>1</v>
      </c>
      <c r="CX247" s="149">
        <f t="shared" si="276"/>
        <v>1</v>
      </c>
      <c r="CY247" s="149">
        <f t="shared" si="277"/>
        <v>1</v>
      </c>
      <c r="CZ247" s="149">
        <f t="shared" si="278"/>
        <v>1</v>
      </c>
      <c r="DA247" s="149">
        <f t="shared" si="279"/>
        <v>1</v>
      </c>
      <c r="DB247" s="149">
        <f t="shared" si="280"/>
        <v>1</v>
      </c>
      <c r="DG247" s="125">
        <f t="shared" si="241"/>
        <v>1</v>
      </c>
      <c r="DH247" s="125">
        <f t="shared" si="294"/>
        <v>2</v>
      </c>
      <c r="DI247" s="125">
        <f t="shared" si="294"/>
        <v>3</v>
      </c>
      <c r="DJ247" s="125">
        <f t="shared" si="294"/>
        <v>4</v>
      </c>
      <c r="DK247" s="125">
        <f t="shared" si="294"/>
        <v>5</v>
      </c>
      <c r="DL247" s="125">
        <f t="shared" si="294"/>
        <v>6</v>
      </c>
      <c r="DM247" s="125">
        <f t="shared" si="294"/>
        <v>7</v>
      </c>
      <c r="DN247" s="125">
        <f t="shared" si="294"/>
        <v>8</v>
      </c>
      <c r="DO247" s="125">
        <f t="shared" si="294"/>
        <v>9</v>
      </c>
      <c r="DP247" s="125">
        <f t="shared" si="294"/>
        <v>10</v>
      </c>
      <c r="DS247" s="137"/>
      <c r="DT247" s="137"/>
      <c r="DU247" s="137"/>
      <c r="DV247" s="137" t="b">
        <f t="shared" si="281"/>
        <v>0</v>
      </c>
      <c r="DW247" s="137" t="b">
        <f t="shared" si="282"/>
        <v>0</v>
      </c>
      <c r="DX247" s="137" t="b">
        <f t="shared" si="283"/>
        <v>1</v>
      </c>
      <c r="EB247" s="131">
        <f t="shared" si="292"/>
        <v>1</v>
      </c>
      <c r="EC247" s="137" t="b">
        <f t="shared" si="284"/>
        <v>0</v>
      </c>
      <c r="ED247" s="137" t="b">
        <f t="shared" si="285"/>
        <v>0</v>
      </c>
      <c r="EE247" s="137" t="b">
        <f t="shared" si="286"/>
        <v>1</v>
      </c>
      <c r="EF247" s="137"/>
      <c r="EG247" s="137"/>
      <c r="EH247" s="137"/>
      <c r="EI247" s="137"/>
      <c r="EJ247" s="137">
        <f t="shared" si="293"/>
        <v>1</v>
      </c>
      <c r="EK247" s="125">
        <f t="shared" si="287"/>
        <v>0</v>
      </c>
      <c r="EL247" s="125">
        <f t="shared" si="288"/>
        <v>0</v>
      </c>
    </row>
    <row r="248" spans="2:142" ht="15.75" x14ac:dyDescent="0.2">
      <c r="B248" s="160">
        <f t="shared" si="289"/>
        <v>218</v>
      </c>
      <c r="C248" s="205">
        <v>1001350278</v>
      </c>
      <c r="D248" s="205">
        <v>1001295236</v>
      </c>
      <c r="E248" s="205">
        <v>41375765</v>
      </c>
      <c r="F248" s="118">
        <f>IF(OR(J248="",H248=""),"",VLOOKUP(J248,'הזנה לסיווג רשויות'!$B$2:$D$301,2,0))</f>
        <v>20000159</v>
      </c>
      <c r="G248" s="118" t="str">
        <f>IF(OR(J248="",H248=""),"",VLOOKUP(J248,'הזנה לסיווג רשויות'!$B$2:$D$301,3,0))</f>
        <v>ירושלים</v>
      </c>
      <c r="H248" s="201" t="s">
        <v>706</v>
      </c>
      <c r="I248" s="201" t="s">
        <v>564</v>
      </c>
      <c r="J248" s="205">
        <v>3000</v>
      </c>
      <c r="K248" s="161">
        <v>0</v>
      </c>
      <c r="L248" s="161">
        <v>1</v>
      </c>
      <c r="M248" s="161">
        <v>0</v>
      </c>
      <c r="N248" s="161">
        <v>0</v>
      </c>
      <c r="O248" s="161">
        <v>1</v>
      </c>
      <c r="P248" s="161">
        <v>1</v>
      </c>
      <c r="Q248" s="161">
        <v>1</v>
      </c>
      <c r="R248" s="201">
        <v>42000</v>
      </c>
      <c r="S248" s="201">
        <v>29000</v>
      </c>
      <c r="T248" s="160">
        <f>IF(G248="","",IFERROR(IF(S248/R248&gt;'פרמטרים לקריטריונים'!$C$20,1,0),0))</f>
        <v>1</v>
      </c>
      <c r="U248" s="201">
        <v>29000</v>
      </c>
      <c r="V248" s="160">
        <f>IF(G248="","",IFERROR(IF(U248/R248&gt;'פרמטרים לקריטריונים'!$C$21,1,IF(AND(I248=$BW$5,U248/R248&gt;'פרמטרים לקריטריונים'!$C$22),1,0)),0))</f>
        <v>1</v>
      </c>
      <c r="W248" s="161">
        <v>1</v>
      </c>
      <c r="X248" s="161">
        <v>1</v>
      </c>
      <c r="Y248" s="288">
        <v>100000</v>
      </c>
      <c r="Z248" s="201">
        <v>100000</v>
      </c>
      <c r="AA248" s="161">
        <f t="shared" si="290"/>
        <v>1</v>
      </c>
      <c r="AB248" s="161"/>
      <c r="AC248" s="161"/>
      <c r="AD248" s="161"/>
      <c r="AE248" s="161"/>
      <c r="AF248" s="161"/>
      <c r="AG248" s="161"/>
      <c r="AH248" s="161"/>
      <c r="AI248" s="161"/>
      <c r="AJ248" s="161"/>
      <c r="AK248" s="161"/>
      <c r="AL248" s="161"/>
      <c r="AM248" s="161"/>
      <c r="AN248" s="161"/>
      <c r="AO248" s="161"/>
      <c r="AP248" s="161"/>
      <c r="AQ248" s="161"/>
      <c r="AR248" s="161"/>
      <c r="AS248" s="161"/>
      <c r="AT248" s="161"/>
      <c r="AU248" s="161"/>
      <c r="AV248" s="161"/>
      <c r="AW248" s="160"/>
      <c r="AX248" s="161"/>
      <c r="AY248" s="161"/>
      <c r="AZ248" s="161"/>
      <c r="BA248" s="161"/>
      <c r="BB248" s="161"/>
      <c r="BC248" s="161"/>
      <c r="BD248" s="161"/>
      <c r="BE248" s="161"/>
      <c r="BF248" s="160" t="str">
        <f t="shared" si="291"/>
        <v/>
      </c>
      <c r="BG248" s="160"/>
      <c r="BH248" s="160"/>
      <c r="BI248" s="160"/>
      <c r="BJ248" s="160"/>
      <c r="BK248" s="160"/>
      <c r="BL248" s="162">
        <f t="shared" si="242"/>
        <v>1</v>
      </c>
      <c r="BM248" s="257"/>
      <c r="BN248" s="163"/>
      <c r="BO248" s="211" t="str">
        <f t="shared" si="243"/>
        <v>התיאטרון החברתי משו משו (ע"ר)אחר</v>
      </c>
      <c r="BP248" s="125">
        <f t="shared" si="244"/>
        <v>1</v>
      </c>
      <c r="BQ248" s="164">
        <v>0</v>
      </c>
      <c r="BR248" s="164">
        <v>1</v>
      </c>
      <c r="BS248" s="149">
        <f t="shared" si="245"/>
        <v>1</v>
      </c>
      <c r="BT248" s="149">
        <f t="shared" si="246"/>
        <v>1</v>
      </c>
      <c r="BU248" s="149">
        <f t="shared" si="247"/>
        <v>1</v>
      </c>
      <c r="BV248" s="149">
        <f t="shared" si="248"/>
        <v>1</v>
      </c>
      <c r="BW248" s="149">
        <f t="shared" si="249"/>
        <v>1</v>
      </c>
      <c r="BX248" s="149">
        <f t="shared" si="250"/>
        <v>1</v>
      </c>
      <c r="BY248" s="149">
        <f t="shared" si="251"/>
        <v>1</v>
      </c>
      <c r="BZ248" s="149">
        <f t="shared" si="252"/>
        <v>1</v>
      </c>
      <c r="CA248" s="149">
        <f t="shared" si="253"/>
        <v>1</v>
      </c>
      <c r="CB248" s="149">
        <f t="shared" si="254"/>
        <v>1</v>
      </c>
      <c r="CC248" s="149">
        <f t="shared" si="255"/>
        <v>1</v>
      </c>
      <c r="CD248" s="149">
        <f t="shared" si="256"/>
        <v>1</v>
      </c>
      <c r="CE248" s="149">
        <f t="shared" si="257"/>
        <v>1</v>
      </c>
      <c r="CF248" s="149">
        <f t="shared" si="258"/>
        <v>1</v>
      </c>
      <c r="CG248" s="149">
        <f t="shared" si="259"/>
        <v>1</v>
      </c>
      <c r="CH248" s="149">
        <f t="shared" si="260"/>
        <v>1</v>
      </c>
      <c r="CI248" s="149">
        <f t="shared" si="261"/>
        <v>1</v>
      </c>
      <c r="CJ248" s="149">
        <f t="shared" si="262"/>
        <v>1</v>
      </c>
      <c r="CK248" s="149">
        <f t="shared" si="263"/>
        <v>1</v>
      </c>
      <c r="CL248" s="149">
        <f t="shared" si="264"/>
        <v>1</v>
      </c>
      <c r="CM248" s="149">
        <f t="shared" si="265"/>
        <v>1</v>
      </c>
      <c r="CN248" s="149">
        <f t="shared" si="266"/>
        <v>1</v>
      </c>
      <c r="CO248" s="149">
        <f t="shared" si="267"/>
        <v>1</v>
      </c>
      <c r="CP248" s="149">
        <f t="shared" si="268"/>
        <v>1</v>
      </c>
      <c r="CQ248" s="149">
        <f t="shared" si="269"/>
        <v>1</v>
      </c>
      <c r="CR248" s="149">
        <f t="shared" si="270"/>
        <v>1</v>
      </c>
      <c r="CS248" s="149">
        <f t="shared" si="271"/>
        <v>1</v>
      </c>
      <c r="CT248" s="149">
        <f t="shared" si="272"/>
        <v>1</v>
      </c>
      <c r="CU248" s="149">
        <f t="shared" si="273"/>
        <v>1</v>
      </c>
      <c r="CV248" s="149">
        <f t="shared" si="274"/>
        <v>1</v>
      </c>
      <c r="CW248" s="149">
        <f t="shared" si="275"/>
        <v>1</v>
      </c>
      <c r="CX248" s="149">
        <f t="shared" si="276"/>
        <v>1</v>
      </c>
      <c r="CY248" s="149">
        <f t="shared" si="277"/>
        <v>1</v>
      </c>
      <c r="CZ248" s="149">
        <f t="shared" si="278"/>
        <v>1</v>
      </c>
      <c r="DA248" s="149">
        <f t="shared" si="279"/>
        <v>1</v>
      </c>
      <c r="DB248" s="149">
        <f t="shared" si="280"/>
        <v>1</v>
      </c>
      <c r="DG248" s="125">
        <f t="shared" si="241"/>
        <v>1</v>
      </c>
      <c r="DH248" s="125">
        <f t="shared" si="294"/>
        <v>2</v>
      </c>
      <c r="DI248" s="125">
        <f t="shared" si="294"/>
        <v>3</v>
      </c>
      <c r="DJ248" s="125">
        <f t="shared" si="294"/>
        <v>4</v>
      </c>
      <c r="DK248" s="125">
        <f t="shared" si="294"/>
        <v>5</v>
      </c>
      <c r="DL248" s="125">
        <f t="shared" si="294"/>
        <v>6</v>
      </c>
      <c r="DM248" s="125">
        <f t="shared" si="294"/>
        <v>7</v>
      </c>
      <c r="DN248" s="125">
        <f t="shared" si="294"/>
        <v>8</v>
      </c>
      <c r="DO248" s="125">
        <f t="shared" si="294"/>
        <v>9</v>
      </c>
      <c r="DP248" s="125">
        <f t="shared" si="294"/>
        <v>10</v>
      </c>
      <c r="DS248" s="137"/>
      <c r="DT248" s="137"/>
      <c r="DU248" s="137"/>
      <c r="DV248" s="137" t="b">
        <f t="shared" si="281"/>
        <v>0</v>
      </c>
      <c r="DW248" s="137" t="b">
        <f t="shared" si="282"/>
        <v>0</v>
      </c>
      <c r="DX248" s="137" t="b">
        <f t="shared" si="283"/>
        <v>1</v>
      </c>
      <c r="EB248" s="131">
        <f t="shared" si="292"/>
        <v>1</v>
      </c>
      <c r="EC248" s="137" t="b">
        <f t="shared" si="284"/>
        <v>0</v>
      </c>
      <c r="ED248" s="137" t="b">
        <f t="shared" si="285"/>
        <v>0</v>
      </c>
      <c r="EE248" s="137" t="b">
        <f t="shared" si="286"/>
        <v>1</v>
      </c>
      <c r="EF248" s="137"/>
      <c r="EG248" s="137"/>
      <c r="EH248" s="137"/>
      <c r="EI248" s="137"/>
      <c r="EJ248" s="137">
        <f t="shared" si="293"/>
        <v>1</v>
      </c>
      <c r="EK248" s="125">
        <f t="shared" si="287"/>
        <v>0</v>
      </c>
      <c r="EL248" s="125">
        <f t="shared" si="288"/>
        <v>0</v>
      </c>
    </row>
    <row r="249" spans="2:142" ht="15.75" x14ac:dyDescent="0.2">
      <c r="B249" s="160">
        <f t="shared" si="289"/>
        <v>219</v>
      </c>
      <c r="C249" s="205">
        <v>1001347067</v>
      </c>
      <c r="D249" s="205">
        <v>1001347067</v>
      </c>
      <c r="E249" s="205">
        <v>41446343</v>
      </c>
      <c r="F249" s="118">
        <f>IF(OR(J249="",H249=""),"",VLOOKUP(J249,'הזנה לסיווג רשויות'!$B$2:$D$301,2,0))</f>
        <v>20000253</v>
      </c>
      <c r="G249" s="118" t="str">
        <f>IF(OR(J249="",H249=""),"",VLOOKUP(J249,'הזנה לסיווג רשויות'!$B$2:$D$301,3,0))</f>
        <v>טמרה</v>
      </c>
      <c r="H249" s="201" t="s">
        <v>707</v>
      </c>
      <c r="I249" s="201" t="s">
        <v>373</v>
      </c>
      <c r="J249" s="205">
        <v>8900</v>
      </c>
      <c r="K249" s="161">
        <v>0</v>
      </c>
      <c r="L249" s="161">
        <v>1</v>
      </c>
      <c r="M249" s="161">
        <v>0</v>
      </c>
      <c r="N249" s="161">
        <v>0</v>
      </c>
      <c r="O249" s="161">
        <v>1</v>
      </c>
      <c r="P249" s="161">
        <v>1</v>
      </c>
      <c r="Q249" s="161">
        <v>1</v>
      </c>
      <c r="R249" s="201">
        <v>658631</v>
      </c>
      <c r="S249" s="201">
        <v>658631</v>
      </c>
      <c r="T249" s="160">
        <f>IF(G249="","",IFERROR(IF(S249/R249&gt;'פרמטרים לקריטריונים'!$C$20,1,0),0))</f>
        <v>1</v>
      </c>
      <c r="U249" s="201">
        <v>658631</v>
      </c>
      <c r="V249" s="160">
        <f>IF(G249="","",IFERROR(IF(U249/R249&gt;'פרמטרים לקריטריונים'!$C$21,1,IF(AND(I249=$BW$5,U249/R249&gt;'פרמטרים לקריטריונים'!$C$22),1,0)),0))</f>
        <v>1</v>
      </c>
      <c r="W249" s="161">
        <v>1</v>
      </c>
      <c r="X249" s="161">
        <v>1</v>
      </c>
      <c r="Y249" s="288">
        <v>500000</v>
      </c>
      <c r="Z249" s="201">
        <v>25000</v>
      </c>
      <c r="AA249" s="161">
        <f t="shared" si="290"/>
        <v>1</v>
      </c>
      <c r="AB249" s="161"/>
      <c r="AC249" s="161"/>
      <c r="AD249" s="161"/>
      <c r="AE249" s="161"/>
      <c r="AF249" s="161"/>
      <c r="AG249" s="161"/>
      <c r="AH249" s="161"/>
      <c r="AI249" s="161"/>
      <c r="AJ249" s="161"/>
      <c r="AK249" s="161"/>
      <c r="AL249" s="161"/>
      <c r="AM249" s="161"/>
      <c r="AN249" s="161"/>
      <c r="AO249" s="161"/>
      <c r="AP249" s="161"/>
      <c r="AQ249" s="161"/>
      <c r="AR249" s="161"/>
      <c r="AS249" s="161"/>
      <c r="AT249" s="161"/>
      <c r="AU249" s="161"/>
      <c r="AV249" s="161"/>
      <c r="AW249" s="160"/>
      <c r="AX249" s="161"/>
      <c r="AY249" s="161"/>
      <c r="AZ249" s="161"/>
      <c r="BA249" s="161"/>
      <c r="BB249" s="161"/>
      <c r="BC249" s="161"/>
      <c r="BD249" s="161"/>
      <c r="BE249" s="161"/>
      <c r="BF249" s="160" t="str">
        <f t="shared" si="291"/>
        <v/>
      </c>
      <c r="BG249" s="160"/>
      <c r="BH249" s="160"/>
      <c r="BI249" s="160"/>
      <c r="BJ249" s="160"/>
      <c r="BK249" s="160"/>
      <c r="BL249" s="162">
        <f t="shared" si="242"/>
        <v>1</v>
      </c>
      <c r="BM249" s="257"/>
      <c r="BN249" s="163"/>
      <c r="BO249" s="211" t="str">
        <f t="shared" si="243"/>
        <v>תיאטרון אלעין (ע"ר)תיאטרון</v>
      </c>
      <c r="BP249" s="125">
        <f t="shared" si="244"/>
        <v>1</v>
      </c>
      <c r="BQ249" s="164">
        <v>0</v>
      </c>
      <c r="BR249" s="164">
        <v>1</v>
      </c>
      <c r="BS249" s="149">
        <f t="shared" si="245"/>
        <v>1</v>
      </c>
      <c r="BT249" s="149">
        <f t="shared" si="246"/>
        <v>1</v>
      </c>
      <c r="BU249" s="149">
        <f t="shared" si="247"/>
        <v>1</v>
      </c>
      <c r="BV249" s="149">
        <f t="shared" si="248"/>
        <v>1</v>
      </c>
      <c r="BW249" s="149">
        <f t="shared" si="249"/>
        <v>1</v>
      </c>
      <c r="BX249" s="149">
        <f t="shared" si="250"/>
        <v>1</v>
      </c>
      <c r="BY249" s="149">
        <f t="shared" si="251"/>
        <v>1</v>
      </c>
      <c r="BZ249" s="149">
        <f t="shared" si="252"/>
        <v>1</v>
      </c>
      <c r="CA249" s="149">
        <f t="shared" si="253"/>
        <v>1</v>
      </c>
      <c r="CB249" s="149">
        <f t="shared" si="254"/>
        <v>1</v>
      </c>
      <c r="CC249" s="149">
        <f t="shared" si="255"/>
        <v>1</v>
      </c>
      <c r="CD249" s="149">
        <f t="shared" si="256"/>
        <v>1</v>
      </c>
      <c r="CE249" s="149">
        <f t="shared" si="257"/>
        <v>1</v>
      </c>
      <c r="CF249" s="149">
        <f t="shared" si="258"/>
        <v>1</v>
      </c>
      <c r="CG249" s="149">
        <f t="shared" si="259"/>
        <v>1</v>
      </c>
      <c r="CH249" s="149">
        <f t="shared" si="260"/>
        <v>1</v>
      </c>
      <c r="CI249" s="149">
        <f t="shared" si="261"/>
        <v>1</v>
      </c>
      <c r="CJ249" s="149">
        <f t="shared" si="262"/>
        <v>1</v>
      </c>
      <c r="CK249" s="149">
        <f t="shared" si="263"/>
        <v>1</v>
      </c>
      <c r="CL249" s="149">
        <f t="shared" si="264"/>
        <v>1</v>
      </c>
      <c r="CM249" s="149">
        <f t="shared" si="265"/>
        <v>1</v>
      </c>
      <c r="CN249" s="149">
        <f t="shared" si="266"/>
        <v>1</v>
      </c>
      <c r="CO249" s="149">
        <f t="shared" si="267"/>
        <v>1</v>
      </c>
      <c r="CP249" s="149">
        <f t="shared" si="268"/>
        <v>1</v>
      </c>
      <c r="CQ249" s="149">
        <f t="shared" si="269"/>
        <v>1</v>
      </c>
      <c r="CR249" s="149">
        <f t="shared" si="270"/>
        <v>1</v>
      </c>
      <c r="CS249" s="149">
        <f t="shared" si="271"/>
        <v>1</v>
      </c>
      <c r="CT249" s="149">
        <f t="shared" si="272"/>
        <v>1</v>
      </c>
      <c r="CU249" s="149">
        <f t="shared" si="273"/>
        <v>1</v>
      </c>
      <c r="CV249" s="149">
        <f t="shared" si="274"/>
        <v>1</v>
      </c>
      <c r="CW249" s="149">
        <f t="shared" si="275"/>
        <v>1</v>
      </c>
      <c r="CX249" s="149">
        <f t="shared" si="276"/>
        <v>1</v>
      </c>
      <c r="CY249" s="149">
        <f t="shared" si="277"/>
        <v>1</v>
      </c>
      <c r="CZ249" s="149">
        <f t="shared" si="278"/>
        <v>1</v>
      </c>
      <c r="DA249" s="149">
        <f t="shared" si="279"/>
        <v>1</v>
      </c>
      <c r="DB249" s="149">
        <f t="shared" si="280"/>
        <v>1</v>
      </c>
      <c r="DG249" s="125">
        <f t="shared" si="241"/>
        <v>1</v>
      </c>
      <c r="DH249" s="125">
        <f t="shared" si="294"/>
        <v>2</v>
      </c>
      <c r="DI249" s="125">
        <f t="shared" si="294"/>
        <v>3</v>
      </c>
      <c r="DJ249" s="125">
        <f t="shared" si="294"/>
        <v>4</v>
      </c>
      <c r="DK249" s="125">
        <f t="shared" si="294"/>
        <v>5</v>
      </c>
      <c r="DL249" s="125">
        <f t="shared" si="294"/>
        <v>6</v>
      </c>
      <c r="DM249" s="125">
        <f t="shared" si="294"/>
        <v>7</v>
      </c>
      <c r="DN249" s="125">
        <f t="shared" si="294"/>
        <v>8</v>
      </c>
      <c r="DO249" s="125">
        <f t="shared" si="294"/>
        <v>9</v>
      </c>
      <c r="DP249" s="125">
        <f t="shared" si="294"/>
        <v>10</v>
      </c>
      <c r="DS249" s="137"/>
      <c r="DT249" s="137"/>
      <c r="DU249" s="137"/>
      <c r="DV249" s="137" t="b">
        <f t="shared" si="281"/>
        <v>0</v>
      </c>
      <c r="DW249" s="137" t="b">
        <f t="shared" si="282"/>
        <v>0</v>
      </c>
      <c r="DX249" s="137" t="b">
        <f t="shared" si="283"/>
        <v>1</v>
      </c>
      <c r="EB249" s="131">
        <f t="shared" si="292"/>
        <v>1</v>
      </c>
      <c r="EC249" s="137" t="b">
        <f t="shared" si="284"/>
        <v>0</v>
      </c>
      <c r="ED249" s="137" t="b">
        <f t="shared" si="285"/>
        <v>0</v>
      </c>
      <c r="EE249" s="137" t="b">
        <f t="shared" si="286"/>
        <v>1</v>
      </c>
      <c r="EF249" s="137"/>
      <c r="EG249" s="137"/>
      <c r="EH249" s="137"/>
      <c r="EI249" s="137"/>
      <c r="EJ249" s="137">
        <f t="shared" si="293"/>
        <v>1</v>
      </c>
      <c r="EK249" s="125">
        <f t="shared" si="287"/>
        <v>0</v>
      </c>
      <c r="EL249" s="125">
        <f t="shared" si="288"/>
        <v>0</v>
      </c>
    </row>
    <row r="250" spans="2:142" ht="15.75" x14ac:dyDescent="0.2">
      <c r="B250" s="160">
        <f t="shared" si="289"/>
        <v>220</v>
      </c>
      <c r="C250" s="205">
        <v>1001346668</v>
      </c>
      <c r="D250" s="205">
        <v>1001265550</v>
      </c>
      <c r="E250" s="205">
        <v>41457607</v>
      </c>
      <c r="F250" s="118">
        <f>IF(OR(J250="",H250=""),"",VLOOKUP(J250,'הזנה לסיווג רשויות'!$B$2:$D$301,2,0))</f>
        <v>20000201</v>
      </c>
      <c r="G250" s="118" t="str">
        <f>IF(OR(J250="",H250=""),"",VLOOKUP(J250,'הזנה לסיווג רשויות'!$B$2:$D$301,3,0))</f>
        <v>תל אביב -יפו</v>
      </c>
      <c r="H250" s="201" t="s">
        <v>708</v>
      </c>
      <c r="I250" s="201" t="s">
        <v>374</v>
      </c>
      <c r="J250" s="205">
        <v>5000</v>
      </c>
      <c r="K250" s="161">
        <v>0</v>
      </c>
      <c r="L250" s="161">
        <v>1</v>
      </c>
      <c r="M250" s="161">
        <v>0</v>
      </c>
      <c r="N250" s="161">
        <v>1</v>
      </c>
      <c r="O250" s="161">
        <v>1</v>
      </c>
      <c r="P250" s="161">
        <v>1</v>
      </c>
      <c r="Q250" s="161">
        <v>1</v>
      </c>
      <c r="R250" s="201">
        <v>2833923</v>
      </c>
      <c r="S250" s="201">
        <v>1363605</v>
      </c>
      <c r="T250" s="160">
        <f>IF(G250="","",IFERROR(IF(S250/R250&gt;'פרמטרים לקריטריונים'!$C$20,1,0),0))</f>
        <v>1</v>
      </c>
      <c r="U250" s="201">
        <v>1180897</v>
      </c>
      <c r="V250" s="160">
        <f>IF(G250="","",IFERROR(IF(U250/R250&gt;'פרמטרים לקריטריונים'!$C$21,1,IF(AND(I250=$BW$5,U250/R250&gt;'פרמטרים לקריטריונים'!$C$22),1,0)),0))</f>
        <v>1</v>
      </c>
      <c r="W250" s="161">
        <v>1</v>
      </c>
      <c r="X250" s="161">
        <v>1</v>
      </c>
      <c r="Y250" s="288">
        <v>2000000</v>
      </c>
      <c r="Z250" s="201">
        <v>50000</v>
      </c>
      <c r="AA250" s="161">
        <f t="shared" si="290"/>
        <v>1</v>
      </c>
      <c r="AB250" s="161"/>
      <c r="AC250" s="161"/>
      <c r="AD250" s="161"/>
      <c r="AE250" s="161"/>
      <c r="AF250" s="161"/>
      <c r="AG250" s="161"/>
      <c r="AH250" s="161"/>
      <c r="AI250" s="161"/>
      <c r="AJ250" s="161"/>
      <c r="AK250" s="161"/>
      <c r="AL250" s="161"/>
      <c r="AM250" s="161"/>
      <c r="AN250" s="161"/>
      <c r="AO250" s="161"/>
      <c r="AP250" s="161"/>
      <c r="AQ250" s="161"/>
      <c r="AR250" s="161"/>
      <c r="AS250" s="161"/>
      <c r="AT250" s="161"/>
      <c r="AU250" s="161"/>
      <c r="AV250" s="161"/>
      <c r="AW250" s="160"/>
      <c r="AX250" s="161"/>
      <c r="AY250" s="161"/>
      <c r="AZ250" s="161"/>
      <c r="BA250" s="161"/>
      <c r="BB250" s="161"/>
      <c r="BC250" s="161"/>
      <c r="BD250" s="161"/>
      <c r="BE250" s="161"/>
      <c r="BF250" s="160" t="str">
        <f t="shared" si="291"/>
        <v/>
      </c>
      <c r="BG250" s="160"/>
      <c r="BH250" s="160"/>
      <c r="BI250" s="160"/>
      <c r="BJ250" s="160"/>
      <c r="BK250" s="160"/>
      <c r="BL250" s="162">
        <f t="shared" si="242"/>
        <v>1</v>
      </c>
      <c r="BM250" s="257"/>
      <c r="BN250" s="163"/>
      <c r="BO250" s="211" t="str">
        <f t="shared" si="243"/>
        <v>להקת המחול פרסקו (ע"ר)מחול</v>
      </c>
      <c r="BP250" s="125">
        <f t="shared" si="244"/>
        <v>1</v>
      </c>
      <c r="BQ250" s="164">
        <v>0</v>
      </c>
      <c r="BR250" s="164">
        <v>1</v>
      </c>
      <c r="BS250" s="149">
        <f t="shared" si="245"/>
        <v>1</v>
      </c>
      <c r="BT250" s="149">
        <f t="shared" si="246"/>
        <v>1</v>
      </c>
      <c r="BU250" s="149">
        <f t="shared" si="247"/>
        <v>1</v>
      </c>
      <c r="BV250" s="149">
        <f t="shared" si="248"/>
        <v>1</v>
      </c>
      <c r="BW250" s="149">
        <f t="shared" si="249"/>
        <v>1</v>
      </c>
      <c r="BX250" s="149">
        <f t="shared" si="250"/>
        <v>1</v>
      </c>
      <c r="BY250" s="149">
        <f t="shared" si="251"/>
        <v>1</v>
      </c>
      <c r="BZ250" s="149">
        <f t="shared" si="252"/>
        <v>1</v>
      </c>
      <c r="CA250" s="149">
        <f t="shared" si="253"/>
        <v>1</v>
      </c>
      <c r="CB250" s="149">
        <f t="shared" si="254"/>
        <v>1</v>
      </c>
      <c r="CC250" s="149">
        <f t="shared" si="255"/>
        <v>1</v>
      </c>
      <c r="CD250" s="149">
        <f t="shared" si="256"/>
        <v>1</v>
      </c>
      <c r="CE250" s="149">
        <f t="shared" si="257"/>
        <v>1</v>
      </c>
      <c r="CF250" s="149">
        <f t="shared" si="258"/>
        <v>1</v>
      </c>
      <c r="CG250" s="149">
        <f t="shared" si="259"/>
        <v>1</v>
      </c>
      <c r="CH250" s="149">
        <f t="shared" si="260"/>
        <v>1</v>
      </c>
      <c r="CI250" s="149">
        <f t="shared" si="261"/>
        <v>1</v>
      </c>
      <c r="CJ250" s="149">
        <f t="shared" si="262"/>
        <v>1</v>
      </c>
      <c r="CK250" s="149">
        <f t="shared" si="263"/>
        <v>1</v>
      </c>
      <c r="CL250" s="149">
        <f t="shared" si="264"/>
        <v>1</v>
      </c>
      <c r="CM250" s="149">
        <f t="shared" si="265"/>
        <v>1</v>
      </c>
      <c r="CN250" s="149">
        <f t="shared" si="266"/>
        <v>1</v>
      </c>
      <c r="CO250" s="149">
        <f t="shared" si="267"/>
        <v>1</v>
      </c>
      <c r="CP250" s="149">
        <f t="shared" si="268"/>
        <v>1</v>
      </c>
      <c r="CQ250" s="149">
        <f t="shared" si="269"/>
        <v>1</v>
      </c>
      <c r="CR250" s="149">
        <f t="shared" si="270"/>
        <v>1</v>
      </c>
      <c r="CS250" s="149">
        <f t="shared" si="271"/>
        <v>1</v>
      </c>
      <c r="CT250" s="149">
        <f t="shared" si="272"/>
        <v>1</v>
      </c>
      <c r="CU250" s="149">
        <f t="shared" si="273"/>
        <v>1</v>
      </c>
      <c r="CV250" s="149">
        <f t="shared" si="274"/>
        <v>1</v>
      </c>
      <c r="CW250" s="149">
        <f t="shared" si="275"/>
        <v>1</v>
      </c>
      <c r="CX250" s="149">
        <f t="shared" si="276"/>
        <v>1</v>
      </c>
      <c r="CY250" s="149">
        <f t="shared" si="277"/>
        <v>1</v>
      </c>
      <c r="CZ250" s="149">
        <f t="shared" si="278"/>
        <v>1</v>
      </c>
      <c r="DA250" s="149">
        <f t="shared" si="279"/>
        <v>1</v>
      </c>
      <c r="DB250" s="149">
        <f t="shared" si="280"/>
        <v>1</v>
      </c>
      <c r="DG250" s="125">
        <f t="shared" si="241"/>
        <v>1</v>
      </c>
      <c r="DH250" s="125">
        <f t="shared" si="294"/>
        <v>2</v>
      </c>
      <c r="DI250" s="125">
        <f t="shared" si="294"/>
        <v>3</v>
      </c>
      <c r="DJ250" s="125">
        <f t="shared" si="294"/>
        <v>4</v>
      </c>
      <c r="DK250" s="125">
        <f t="shared" si="294"/>
        <v>5</v>
      </c>
      <c r="DL250" s="125">
        <f t="shared" si="294"/>
        <v>6</v>
      </c>
      <c r="DM250" s="125">
        <f t="shared" si="294"/>
        <v>7</v>
      </c>
      <c r="DN250" s="125">
        <f t="shared" si="294"/>
        <v>8</v>
      </c>
      <c r="DO250" s="125">
        <f t="shared" si="294"/>
        <v>9</v>
      </c>
      <c r="DP250" s="125">
        <f t="shared" si="294"/>
        <v>10</v>
      </c>
      <c r="DS250" s="137"/>
      <c r="DT250" s="137"/>
      <c r="DU250" s="137"/>
      <c r="DV250" s="137" t="b">
        <f t="shared" si="281"/>
        <v>0</v>
      </c>
      <c r="DW250" s="137" t="b">
        <f t="shared" si="282"/>
        <v>0</v>
      </c>
      <c r="DX250" s="137" t="b">
        <f t="shared" si="283"/>
        <v>1</v>
      </c>
      <c r="EB250" s="131">
        <f t="shared" si="292"/>
        <v>1</v>
      </c>
      <c r="EC250" s="137" t="b">
        <f t="shared" si="284"/>
        <v>0</v>
      </c>
      <c r="ED250" s="137" t="b">
        <f t="shared" si="285"/>
        <v>0</v>
      </c>
      <c r="EE250" s="137" t="b">
        <f t="shared" si="286"/>
        <v>1</v>
      </c>
      <c r="EF250" s="137"/>
      <c r="EG250" s="137"/>
      <c r="EH250" s="137"/>
      <c r="EI250" s="137"/>
      <c r="EJ250" s="137">
        <f t="shared" si="293"/>
        <v>1</v>
      </c>
      <c r="EK250" s="125">
        <f t="shared" si="287"/>
        <v>0</v>
      </c>
      <c r="EL250" s="125">
        <f t="shared" si="288"/>
        <v>0</v>
      </c>
    </row>
    <row r="251" spans="2:142" ht="15.75" x14ac:dyDescent="0.2">
      <c r="B251" s="160">
        <f t="shared" si="289"/>
        <v>221</v>
      </c>
      <c r="C251" s="205">
        <v>1001348185</v>
      </c>
      <c r="D251" s="205">
        <v>1001265555</v>
      </c>
      <c r="E251" s="205">
        <v>41457607</v>
      </c>
      <c r="F251" s="118">
        <f>IF(OR(J251="",H251=""),"",VLOOKUP(J251,'הזנה לסיווג רשויות'!$B$2:$D$301,2,0))</f>
        <v>20000201</v>
      </c>
      <c r="G251" s="118" t="str">
        <f>IF(OR(J251="",H251=""),"",VLOOKUP(J251,'הזנה לסיווג רשויות'!$B$2:$D$301,3,0))</f>
        <v>תל אביב -יפו</v>
      </c>
      <c r="H251" s="201" t="s">
        <v>708</v>
      </c>
      <c r="I251" s="201" t="s">
        <v>374</v>
      </c>
      <c r="J251" s="205">
        <v>5000</v>
      </c>
      <c r="K251" s="161">
        <v>0</v>
      </c>
      <c r="L251" s="161">
        <v>1</v>
      </c>
      <c r="M251" s="161">
        <v>0</v>
      </c>
      <c r="N251" s="161">
        <v>1</v>
      </c>
      <c r="O251" s="161">
        <v>1</v>
      </c>
      <c r="P251" s="161">
        <v>1</v>
      </c>
      <c r="Q251" s="161">
        <v>1</v>
      </c>
      <c r="R251" s="201">
        <v>93661</v>
      </c>
      <c r="S251" s="201">
        <v>93661</v>
      </c>
      <c r="T251" s="160">
        <f>IF(G251="","",IFERROR(IF(S251/R251&gt;'פרמטרים לקריטריונים'!$C$20,1,0),0))</f>
        <v>1</v>
      </c>
      <c r="U251" s="201">
        <v>77661</v>
      </c>
      <c r="V251" s="160">
        <f>IF(G251="","",IFERROR(IF(U251/R251&gt;'פרמטרים לקריטריונים'!$C$21,1,IF(AND(I251=$BW$5,U251/R251&gt;'פרמטרים לקריטריונים'!$C$22),1,0)),0))</f>
        <v>1</v>
      </c>
      <c r="W251" s="161">
        <v>1</v>
      </c>
      <c r="X251" s="161">
        <v>1</v>
      </c>
      <c r="Y251" s="288">
        <v>300000</v>
      </c>
      <c r="Z251" s="201">
        <v>100000</v>
      </c>
      <c r="AA251" s="161">
        <f t="shared" si="290"/>
        <v>1</v>
      </c>
      <c r="AB251" s="161"/>
      <c r="AC251" s="161"/>
      <c r="AD251" s="161"/>
      <c r="AE251" s="161"/>
      <c r="AF251" s="161"/>
      <c r="AG251" s="161"/>
      <c r="AH251" s="161"/>
      <c r="AI251" s="161"/>
      <c r="AJ251" s="161"/>
      <c r="AK251" s="161"/>
      <c r="AL251" s="161"/>
      <c r="AM251" s="161"/>
      <c r="AN251" s="161"/>
      <c r="AO251" s="161"/>
      <c r="AP251" s="161"/>
      <c r="AQ251" s="161"/>
      <c r="AR251" s="161"/>
      <c r="AS251" s="161"/>
      <c r="AT251" s="161"/>
      <c r="AU251" s="161"/>
      <c r="AV251" s="161"/>
      <c r="AW251" s="160"/>
      <c r="AX251" s="161"/>
      <c r="AY251" s="161"/>
      <c r="AZ251" s="161"/>
      <c r="BA251" s="161"/>
      <c r="BB251" s="161"/>
      <c r="BC251" s="161"/>
      <c r="BD251" s="161"/>
      <c r="BE251" s="161"/>
      <c r="BF251" s="160" t="str">
        <f t="shared" si="291"/>
        <v/>
      </c>
      <c r="BG251" s="160"/>
      <c r="BH251" s="160"/>
      <c r="BI251" s="160"/>
      <c r="BJ251" s="160"/>
      <c r="BK251" s="160"/>
      <c r="BL251" s="162">
        <f t="shared" si="242"/>
        <v>1</v>
      </c>
      <c r="BM251" s="257"/>
      <c r="BN251" s="163"/>
      <c r="BO251" s="211" t="str">
        <f t="shared" si="243"/>
        <v>להקת המחול פרסקו (ע"ר)מחול</v>
      </c>
      <c r="BP251" s="125">
        <f t="shared" si="244"/>
        <v>1</v>
      </c>
      <c r="BQ251" s="164">
        <v>0</v>
      </c>
      <c r="BR251" s="164">
        <v>1</v>
      </c>
      <c r="BS251" s="149">
        <f t="shared" si="245"/>
        <v>1</v>
      </c>
      <c r="BT251" s="149">
        <f t="shared" si="246"/>
        <v>1</v>
      </c>
      <c r="BU251" s="149">
        <f t="shared" si="247"/>
        <v>1</v>
      </c>
      <c r="BV251" s="149">
        <f t="shared" si="248"/>
        <v>1</v>
      </c>
      <c r="BW251" s="149">
        <f t="shared" si="249"/>
        <v>1</v>
      </c>
      <c r="BX251" s="149">
        <f t="shared" si="250"/>
        <v>1</v>
      </c>
      <c r="BY251" s="149">
        <f t="shared" si="251"/>
        <v>1</v>
      </c>
      <c r="BZ251" s="149">
        <f t="shared" si="252"/>
        <v>1</v>
      </c>
      <c r="CA251" s="149">
        <f t="shared" si="253"/>
        <v>1</v>
      </c>
      <c r="CB251" s="149">
        <f t="shared" si="254"/>
        <v>1</v>
      </c>
      <c r="CC251" s="149">
        <f t="shared" si="255"/>
        <v>1</v>
      </c>
      <c r="CD251" s="149">
        <f t="shared" si="256"/>
        <v>1</v>
      </c>
      <c r="CE251" s="149">
        <f t="shared" si="257"/>
        <v>1</v>
      </c>
      <c r="CF251" s="149">
        <f t="shared" si="258"/>
        <v>1</v>
      </c>
      <c r="CG251" s="149">
        <f t="shared" si="259"/>
        <v>1</v>
      </c>
      <c r="CH251" s="149">
        <f t="shared" si="260"/>
        <v>1</v>
      </c>
      <c r="CI251" s="149">
        <f t="shared" si="261"/>
        <v>1</v>
      </c>
      <c r="CJ251" s="149">
        <f t="shared" si="262"/>
        <v>1</v>
      </c>
      <c r="CK251" s="149">
        <f t="shared" si="263"/>
        <v>1</v>
      </c>
      <c r="CL251" s="149">
        <f t="shared" si="264"/>
        <v>1</v>
      </c>
      <c r="CM251" s="149">
        <f t="shared" si="265"/>
        <v>1</v>
      </c>
      <c r="CN251" s="149">
        <f t="shared" si="266"/>
        <v>1</v>
      </c>
      <c r="CO251" s="149">
        <f t="shared" si="267"/>
        <v>1</v>
      </c>
      <c r="CP251" s="149">
        <f t="shared" si="268"/>
        <v>1</v>
      </c>
      <c r="CQ251" s="149">
        <f t="shared" si="269"/>
        <v>1</v>
      </c>
      <c r="CR251" s="149">
        <f t="shared" si="270"/>
        <v>1</v>
      </c>
      <c r="CS251" s="149">
        <f t="shared" si="271"/>
        <v>1</v>
      </c>
      <c r="CT251" s="149">
        <f t="shared" si="272"/>
        <v>1</v>
      </c>
      <c r="CU251" s="149">
        <f t="shared" si="273"/>
        <v>1</v>
      </c>
      <c r="CV251" s="149">
        <f t="shared" si="274"/>
        <v>1</v>
      </c>
      <c r="CW251" s="149">
        <f t="shared" si="275"/>
        <v>1</v>
      </c>
      <c r="CX251" s="149">
        <f t="shared" si="276"/>
        <v>1</v>
      </c>
      <c r="CY251" s="149">
        <f t="shared" si="277"/>
        <v>1</v>
      </c>
      <c r="CZ251" s="149">
        <f t="shared" si="278"/>
        <v>1</v>
      </c>
      <c r="DA251" s="149">
        <f t="shared" si="279"/>
        <v>1</v>
      </c>
      <c r="DB251" s="149">
        <f t="shared" si="280"/>
        <v>1</v>
      </c>
      <c r="DG251" s="125">
        <f t="shared" si="241"/>
        <v>1</v>
      </c>
      <c r="DH251" s="125">
        <f t="shared" si="294"/>
        <v>2</v>
      </c>
      <c r="DI251" s="125">
        <f t="shared" si="294"/>
        <v>3</v>
      </c>
      <c r="DJ251" s="125">
        <f t="shared" si="294"/>
        <v>4</v>
      </c>
      <c r="DK251" s="125">
        <f t="shared" si="294"/>
        <v>5</v>
      </c>
      <c r="DL251" s="125">
        <f t="shared" si="294"/>
        <v>6</v>
      </c>
      <c r="DM251" s="125">
        <f t="shared" si="294"/>
        <v>7</v>
      </c>
      <c r="DN251" s="125">
        <f t="shared" si="294"/>
        <v>8</v>
      </c>
      <c r="DO251" s="125">
        <f t="shared" si="294"/>
        <v>9</v>
      </c>
      <c r="DP251" s="125">
        <f t="shared" si="294"/>
        <v>10</v>
      </c>
      <c r="DS251" s="137"/>
      <c r="DT251" s="137"/>
      <c r="DU251" s="137"/>
      <c r="DV251" s="137" t="b">
        <f t="shared" si="281"/>
        <v>0</v>
      </c>
      <c r="DW251" s="137" t="b">
        <f t="shared" si="282"/>
        <v>0</v>
      </c>
      <c r="DX251" s="137" t="b">
        <f t="shared" si="283"/>
        <v>1</v>
      </c>
      <c r="EB251" s="131">
        <f t="shared" si="292"/>
        <v>1</v>
      </c>
      <c r="EC251" s="137" t="b">
        <f t="shared" si="284"/>
        <v>0</v>
      </c>
      <c r="ED251" s="137" t="b">
        <f t="shared" si="285"/>
        <v>0</v>
      </c>
      <c r="EE251" s="137" t="b">
        <f t="shared" si="286"/>
        <v>1</v>
      </c>
      <c r="EF251" s="137"/>
      <c r="EG251" s="137"/>
      <c r="EH251" s="137"/>
      <c r="EI251" s="137"/>
      <c r="EJ251" s="137">
        <f t="shared" si="293"/>
        <v>1</v>
      </c>
      <c r="EK251" s="125">
        <f t="shared" si="287"/>
        <v>0</v>
      </c>
      <c r="EL251" s="125">
        <f t="shared" si="288"/>
        <v>0</v>
      </c>
    </row>
    <row r="252" spans="2:142" ht="15.75" x14ac:dyDescent="0.2">
      <c r="B252" s="160">
        <f t="shared" si="289"/>
        <v>222</v>
      </c>
      <c r="C252" s="205">
        <v>1001350356</v>
      </c>
      <c r="D252" s="205">
        <v>1001270272</v>
      </c>
      <c r="E252" s="205">
        <v>41476422</v>
      </c>
      <c r="F252" s="118">
        <f>IF(OR(J252="",H252=""),"",VLOOKUP(J252,'הזנה לסיווג רשויות'!$B$2:$D$301,2,0))</f>
        <v>20000147</v>
      </c>
      <c r="G252" s="118" t="str">
        <f>IF(OR(J252="",H252=""),"",VLOOKUP(J252,'הזנה לסיווג רשויות'!$B$2:$D$301,3,0))</f>
        <v>אילת</v>
      </c>
      <c r="H252" s="201" t="s">
        <v>709</v>
      </c>
      <c r="I252" s="201" t="s">
        <v>373</v>
      </c>
      <c r="J252" s="205">
        <v>2600</v>
      </c>
      <c r="K252" s="161">
        <v>0</v>
      </c>
      <c r="L252" s="161">
        <v>1</v>
      </c>
      <c r="M252" s="161">
        <v>0</v>
      </c>
      <c r="N252" s="161">
        <v>0</v>
      </c>
      <c r="O252" s="161">
        <v>1</v>
      </c>
      <c r="P252" s="161">
        <v>1</v>
      </c>
      <c r="Q252" s="161">
        <v>1</v>
      </c>
      <c r="R252" s="201">
        <v>2630565</v>
      </c>
      <c r="S252" s="201">
        <v>1275592</v>
      </c>
      <c r="T252" s="160">
        <f>IF(G252="","",IFERROR(IF(S252/R252&gt;'פרמטרים לקריטריונים'!$C$20,1,0),0))</f>
        <v>1</v>
      </c>
      <c r="U252" s="201">
        <v>1177847</v>
      </c>
      <c r="V252" s="160">
        <f>IF(G252="","",IFERROR(IF(U252/R252&gt;'פרמטרים לקריטריונים'!$C$21,1,IF(AND(I252=$BW$5,U252/R252&gt;'פרמטרים לקריטריונים'!$C$22),1,0)),0))</f>
        <v>1</v>
      </c>
      <c r="W252" s="161">
        <v>1</v>
      </c>
      <c r="X252" s="161">
        <v>1</v>
      </c>
      <c r="Y252" s="201">
        <v>2000000</v>
      </c>
      <c r="Z252" s="201">
        <v>2000000</v>
      </c>
      <c r="AA252" s="161">
        <f t="shared" si="290"/>
        <v>1</v>
      </c>
      <c r="AB252" s="161"/>
      <c r="AC252" s="161"/>
      <c r="AD252" s="161"/>
      <c r="AE252" s="161"/>
      <c r="AF252" s="161"/>
      <c r="AG252" s="161"/>
      <c r="AH252" s="161"/>
      <c r="AI252" s="161"/>
      <c r="AJ252" s="161"/>
      <c r="AK252" s="161"/>
      <c r="AL252" s="161"/>
      <c r="AM252" s="161"/>
      <c r="AN252" s="161"/>
      <c r="AO252" s="161"/>
      <c r="AP252" s="161"/>
      <c r="AQ252" s="161"/>
      <c r="AR252" s="161"/>
      <c r="AS252" s="161"/>
      <c r="AT252" s="161"/>
      <c r="AU252" s="161"/>
      <c r="AV252" s="161"/>
      <c r="AW252" s="160"/>
      <c r="AX252" s="161"/>
      <c r="AY252" s="161"/>
      <c r="AZ252" s="161"/>
      <c r="BA252" s="161"/>
      <c r="BB252" s="161"/>
      <c r="BC252" s="161"/>
      <c r="BD252" s="161"/>
      <c r="BE252" s="161"/>
      <c r="BF252" s="160" t="str">
        <f t="shared" si="291"/>
        <v/>
      </c>
      <c r="BG252" s="160"/>
      <c r="BH252" s="160"/>
      <c r="BI252" s="160"/>
      <c r="BJ252" s="160"/>
      <c r="BK252" s="160"/>
      <c r="BL252" s="162">
        <f t="shared" si="242"/>
        <v>1</v>
      </c>
      <c r="BM252" s="257"/>
      <c r="BN252" s="163"/>
      <c r="BO252" s="211" t="str">
        <f t="shared" si="243"/>
        <v>אלעד - תיאטרון אילת והערבה (ע''ר)תיאטרון</v>
      </c>
      <c r="BP252" s="125">
        <f t="shared" si="244"/>
        <v>1</v>
      </c>
      <c r="BQ252" s="164">
        <v>0</v>
      </c>
      <c r="BR252" s="164">
        <v>1</v>
      </c>
      <c r="BS252" s="149">
        <f t="shared" si="245"/>
        <v>1</v>
      </c>
      <c r="BT252" s="149">
        <f t="shared" si="246"/>
        <v>1</v>
      </c>
      <c r="BU252" s="149">
        <f t="shared" si="247"/>
        <v>1</v>
      </c>
      <c r="BV252" s="149">
        <f t="shared" si="248"/>
        <v>1</v>
      </c>
      <c r="BW252" s="149">
        <f t="shared" si="249"/>
        <v>1</v>
      </c>
      <c r="BX252" s="149">
        <f t="shared" si="250"/>
        <v>1</v>
      </c>
      <c r="BY252" s="149">
        <f t="shared" si="251"/>
        <v>1</v>
      </c>
      <c r="BZ252" s="149">
        <f t="shared" si="252"/>
        <v>1</v>
      </c>
      <c r="CA252" s="149">
        <f t="shared" si="253"/>
        <v>1</v>
      </c>
      <c r="CB252" s="149">
        <f t="shared" si="254"/>
        <v>1</v>
      </c>
      <c r="CC252" s="149">
        <f t="shared" si="255"/>
        <v>1</v>
      </c>
      <c r="CD252" s="149">
        <f t="shared" si="256"/>
        <v>1</v>
      </c>
      <c r="CE252" s="149">
        <f t="shared" si="257"/>
        <v>1</v>
      </c>
      <c r="CF252" s="149">
        <f t="shared" si="258"/>
        <v>1</v>
      </c>
      <c r="CG252" s="149">
        <f t="shared" si="259"/>
        <v>1</v>
      </c>
      <c r="CH252" s="149">
        <f t="shared" si="260"/>
        <v>1</v>
      </c>
      <c r="CI252" s="149">
        <f t="shared" si="261"/>
        <v>1</v>
      </c>
      <c r="CJ252" s="149">
        <f t="shared" si="262"/>
        <v>1</v>
      </c>
      <c r="CK252" s="149">
        <f t="shared" si="263"/>
        <v>1</v>
      </c>
      <c r="CL252" s="149">
        <f t="shared" si="264"/>
        <v>1</v>
      </c>
      <c r="CM252" s="149">
        <f t="shared" si="265"/>
        <v>1</v>
      </c>
      <c r="CN252" s="149">
        <f t="shared" si="266"/>
        <v>1</v>
      </c>
      <c r="CO252" s="149">
        <f t="shared" si="267"/>
        <v>1</v>
      </c>
      <c r="CP252" s="149">
        <f t="shared" si="268"/>
        <v>1</v>
      </c>
      <c r="CQ252" s="149">
        <f t="shared" si="269"/>
        <v>1</v>
      </c>
      <c r="CR252" s="149">
        <f t="shared" si="270"/>
        <v>1</v>
      </c>
      <c r="CS252" s="149">
        <f t="shared" si="271"/>
        <v>1</v>
      </c>
      <c r="CT252" s="149">
        <f t="shared" si="272"/>
        <v>1</v>
      </c>
      <c r="CU252" s="149">
        <f t="shared" si="273"/>
        <v>1</v>
      </c>
      <c r="CV252" s="149">
        <f t="shared" si="274"/>
        <v>1</v>
      </c>
      <c r="CW252" s="149">
        <f t="shared" si="275"/>
        <v>1</v>
      </c>
      <c r="CX252" s="149">
        <f t="shared" si="276"/>
        <v>1</v>
      </c>
      <c r="CY252" s="149">
        <f t="shared" si="277"/>
        <v>1</v>
      </c>
      <c r="CZ252" s="149">
        <f t="shared" si="278"/>
        <v>1</v>
      </c>
      <c r="DA252" s="149">
        <f t="shared" si="279"/>
        <v>1</v>
      </c>
      <c r="DB252" s="149">
        <f t="shared" si="280"/>
        <v>1</v>
      </c>
      <c r="DG252" s="125">
        <f t="shared" si="241"/>
        <v>1</v>
      </c>
      <c r="DH252" s="125">
        <f t="shared" si="294"/>
        <v>2</v>
      </c>
      <c r="DI252" s="125">
        <f t="shared" si="294"/>
        <v>3</v>
      </c>
      <c r="DJ252" s="125">
        <f t="shared" si="294"/>
        <v>4</v>
      </c>
      <c r="DK252" s="125">
        <f t="shared" si="294"/>
        <v>5</v>
      </c>
      <c r="DL252" s="125">
        <f t="shared" si="294"/>
        <v>6</v>
      </c>
      <c r="DM252" s="125">
        <f t="shared" si="294"/>
        <v>7</v>
      </c>
      <c r="DN252" s="125">
        <f t="shared" si="294"/>
        <v>8</v>
      </c>
      <c r="DO252" s="125">
        <f t="shared" si="294"/>
        <v>9</v>
      </c>
      <c r="DP252" s="125">
        <f t="shared" si="294"/>
        <v>10</v>
      </c>
      <c r="DS252" s="137"/>
      <c r="DT252" s="137"/>
      <c r="DU252" s="137"/>
      <c r="DV252" s="137" t="b">
        <f t="shared" si="281"/>
        <v>0</v>
      </c>
      <c r="DW252" s="137" t="b">
        <f t="shared" si="282"/>
        <v>0</v>
      </c>
      <c r="DX252" s="137" t="b">
        <f t="shared" si="283"/>
        <v>1</v>
      </c>
      <c r="EB252" s="131">
        <f t="shared" si="292"/>
        <v>1</v>
      </c>
      <c r="EC252" s="137" t="b">
        <f t="shared" si="284"/>
        <v>0</v>
      </c>
      <c r="ED252" s="137" t="b">
        <f t="shared" si="285"/>
        <v>0</v>
      </c>
      <c r="EE252" s="137" t="b">
        <f t="shared" si="286"/>
        <v>1</v>
      </c>
      <c r="EF252" s="137"/>
      <c r="EG252" s="137"/>
      <c r="EH252" s="137"/>
      <c r="EI252" s="137"/>
      <c r="EJ252" s="137">
        <f t="shared" si="293"/>
        <v>1</v>
      </c>
      <c r="EK252" s="125">
        <f t="shared" si="287"/>
        <v>0</v>
      </c>
      <c r="EL252" s="125">
        <f t="shared" si="288"/>
        <v>0</v>
      </c>
    </row>
    <row r="253" spans="2:142" ht="15.75" x14ac:dyDescent="0.2">
      <c r="B253" s="160">
        <f t="shared" si="289"/>
        <v>223</v>
      </c>
      <c r="C253" s="205">
        <v>1001350854</v>
      </c>
      <c r="D253" s="205">
        <v>1001311678</v>
      </c>
      <c r="E253" s="205">
        <v>41378459</v>
      </c>
      <c r="F253" s="118">
        <f>IF(OR(J253="",H253=""),"",VLOOKUP(J253,'הזנה לסיווג רשויות'!$B$2:$D$301,2,0))</f>
        <v>20000201</v>
      </c>
      <c r="G253" s="118" t="str">
        <f>IF(OR(J253="",H253=""),"",VLOOKUP(J253,'הזנה לסיווג רשויות'!$B$2:$D$301,3,0))</f>
        <v>תל אביב -יפו</v>
      </c>
      <c r="H253" s="201" t="s">
        <v>710</v>
      </c>
      <c r="I253" s="201" t="s">
        <v>564</v>
      </c>
      <c r="J253" s="205">
        <v>5000</v>
      </c>
      <c r="K253" s="161">
        <v>0</v>
      </c>
      <c r="L253" s="161">
        <v>1</v>
      </c>
      <c r="M253" s="161">
        <v>0</v>
      </c>
      <c r="N253" s="161">
        <v>1</v>
      </c>
      <c r="O253" s="161">
        <v>1</v>
      </c>
      <c r="P253" s="161">
        <v>1</v>
      </c>
      <c r="Q253" s="161">
        <v>1</v>
      </c>
      <c r="R253" s="201">
        <v>383753</v>
      </c>
      <c r="S253" s="201">
        <v>201035</v>
      </c>
      <c r="T253" s="160">
        <f>IF(G253="","",IFERROR(IF(S253/R253&gt;'פרמטרים לקריטריונים'!$C$20,1,0),0))</f>
        <v>1</v>
      </c>
      <c r="U253" s="201">
        <v>77300</v>
      </c>
      <c r="V253" s="160">
        <f>IF(G253="","",IFERROR(IF(U253/R253&gt;'פרמטרים לקריטריונים'!$C$21,1,IF(AND(I253=$BW$5,U253/R253&gt;'פרמטרים לקריטריונים'!$C$22),1,0)),0))</f>
        <v>1</v>
      </c>
      <c r="W253" s="161">
        <v>1</v>
      </c>
      <c r="X253" s="161">
        <v>1</v>
      </c>
      <c r="Y253" s="201">
        <v>630000</v>
      </c>
      <c r="Z253" s="201">
        <v>630000</v>
      </c>
      <c r="AA253" s="161">
        <f t="shared" si="290"/>
        <v>1</v>
      </c>
      <c r="AB253" s="161"/>
      <c r="AC253" s="161"/>
      <c r="AD253" s="161"/>
      <c r="AE253" s="161"/>
      <c r="AF253" s="161"/>
      <c r="AG253" s="161"/>
      <c r="AH253" s="161"/>
      <c r="AI253" s="161"/>
      <c r="AJ253" s="161"/>
      <c r="AK253" s="161"/>
      <c r="AL253" s="161"/>
      <c r="AM253" s="161"/>
      <c r="AN253" s="161"/>
      <c r="AO253" s="161"/>
      <c r="AP253" s="161"/>
      <c r="AQ253" s="161"/>
      <c r="AR253" s="161"/>
      <c r="AS253" s="161"/>
      <c r="AT253" s="161"/>
      <c r="AU253" s="161"/>
      <c r="AV253" s="161"/>
      <c r="AW253" s="160"/>
      <c r="AX253" s="161"/>
      <c r="AY253" s="161"/>
      <c r="AZ253" s="161"/>
      <c r="BA253" s="161"/>
      <c r="BB253" s="161"/>
      <c r="BC253" s="161"/>
      <c r="BD253" s="161"/>
      <c r="BE253" s="161"/>
      <c r="BF253" s="160" t="str">
        <f t="shared" si="291"/>
        <v/>
      </c>
      <c r="BG253" s="160"/>
      <c r="BH253" s="160"/>
      <c r="BI253" s="160"/>
      <c r="BJ253" s="160"/>
      <c r="BK253" s="160"/>
      <c r="BL253" s="162">
        <f t="shared" si="242"/>
        <v>1</v>
      </c>
      <c r="BM253" s="257"/>
      <c r="BN253" s="163"/>
      <c r="BO253" s="211" t="str">
        <f t="shared" si="243"/>
        <v>עמותת תיאטרון גלבועאחר</v>
      </c>
      <c r="BP253" s="125">
        <f t="shared" si="244"/>
        <v>1</v>
      </c>
      <c r="BQ253" s="164">
        <v>0</v>
      </c>
      <c r="BR253" s="164">
        <v>1</v>
      </c>
      <c r="BS253" s="149">
        <f t="shared" si="245"/>
        <v>1</v>
      </c>
      <c r="BT253" s="149">
        <f t="shared" si="246"/>
        <v>1</v>
      </c>
      <c r="BU253" s="149">
        <f t="shared" si="247"/>
        <v>1</v>
      </c>
      <c r="BV253" s="149">
        <f t="shared" si="248"/>
        <v>1</v>
      </c>
      <c r="BW253" s="149">
        <f t="shared" si="249"/>
        <v>1</v>
      </c>
      <c r="BX253" s="149">
        <f t="shared" si="250"/>
        <v>1</v>
      </c>
      <c r="BY253" s="149">
        <f t="shared" si="251"/>
        <v>1</v>
      </c>
      <c r="BZ253" s="149">
        <f t="shared" si="252"/>
        <v>1</v>
      </c>
      <c r="CA253" s="149">
        <f t="shared" si="253"/>
        <v>1</v>
      </c>
      <c r="CB253" s="149">
        <f t="shared" si="254"/>
        <v>1</v>
      </c>
      <c r="CC253" s="149">
        <f t="shared" si="255"/>
        <v>1</v>
      </c>
      <c r="CD253" s="149">
        <f t="shared" si="256"/>
        <v>1</v>
      </c>
      <c r="CE253" s="149">
        <f t="shared" si="257"/>
        <v>1</v>
      </c>
      <c r="CF253" s="149">
        <f t="shared" si="258"/>
        <v>1</v>
      </c>
      <c r="CG253" s="149">
        <f t="shared" si="259"/>
        <v>1</v>
      </c>
      <c r="CH253" s="149">
        <f t="shared" si="260"/>
        <v>1</v>
      </c>
      <c r="CI253" s="149">
        <f t="shared" si="261"/>
        <v>1</v>
      </c>
      <c r="CJ253" s="149">
        <f t="shared" si="262"/>
        <v>1</v>
      </c>
      <c r="CK253" s="149">
        <f t="shared" si="263"/>
        <v>1</v>
      </c>
      <c r="CL253" s="149">
        <f t="shared" si="264"/>
        <v>1</v>
      </c>
      <c r="CM253" s="149">
        <f t="shared" si="265"/>
        <v>1</v>
      </c>
      <c r="CN253" s="149">
        <f t="shared" si="266"/>
        <v>1</v>
      </c>
      <c r="CO253" s="149">
        <f t="shared" si="267"/>
        <v>1</v>
      </c>
      <c r="CP253" s="149">
        <f t="shared" si="268"/>
        <v>1</v>
      </c>
      <c r="CQ253" s="149">
        <f t="shared" si="269"/>
        <v>1</v>
      </c>
      <c r="CR253" s="149">
        <f t="shared" si="270"/>
        <v>1</v>
      </c>
      <c r="CS253" s="149">
        <f t="shared" si="271"/>
        <v>1</v>
      </c>
      <c r="CT253" s="149">
        <f t="shared" si="272"/>
        <v>1</v>
      </c>
      <c r="CU253" s="149">
        <f t="shared" si="273"/>
        <v>1</v>
      </c>
      <c r="CV253" s="149">
        <f t="shared" si="274"/>
        <v>1</v>
      </c>
      <c r="CW253" s="149">
        <f t="shared" si="275"/>
        <v>1</v>
      </c>
      <c r="CX253" s="149">
        <f t="shared" si="276"/>
        <v>1</v>
      </c>
      <c r="CY253" s="149">
        <f t="shared" si="277"/>
        <v>1</v>
      </c>
      <c r="CZ253" s="149">
        <f t="shared" si="278"/>
        <v>1</v>
      </c>
      <c r="DA253" s="149">
        <f t="shared" si="279"/>
        <v>1</v>
      </c>
      <c r="DB253" s="149">
        <f t="shared" si="280"/>
        <v>1</v>
      </c>
      <c r="DG253" s="125">
        <f t="shared" si="241"/>
        <v>1</v>
      </c>
      <c r="DH253" s="125">
        <f t="shared" si="294"/>
        <v>2</v>
      </c>
      <c r="DI253" s="125">
        <f t="shared" si="294"/>
        <v>3</v>
      </c>
      <c r="DJ253" s="125">
        <f t="shared" si="294"/>
        <v>4</v>
      </c>
      <c r="DK253" s="125">
        <f t="shared" si="294"/>
        <v>5</v>
      </c>
      <c r="DL253" s="125">
        <f t="shared" si="294"/>
        <v>6</v>
      </c>
      <c r="DM253" s="125">
        <f t="shared" si="294"/>
        <v>7</v>
      </c>
      <c r="DN253" s="125">
        <f t="shared" si="294"/>
        <v>8</v>
      </c>
      <c r="DO253" s="125">
        <f t="shared" si="294"/>
        <v>9</v>
      </c>
      <c r="DP253" s="125">
        <f t="shared" si="294"/>
        <v>10</v>
      </c>
      <c r="DS253" s="137"/>
      <c r="DT253" s="137"/>
      <c r="DU253" s="137"/>
      <c r="DV253" s="137" t="b">
        <f t="shared" si="281"/>
        <v>0</v>
      </c>
      <c r="DW253" s="137" t="b">
        <f t="shared" si="282"/>
        <v>0</v>
      </c>
      <c r="DX253" s="137" t="b">
        <f t="shared" si="283"/>
        <v>1</v>
      </c>
      <c r="EB253" s="131">
        <f t="shared" si="292"/>
        <v>1</v>
      </c>
      <c r="EC253" s="137" t="b">
        <f t="shared" si="284"/>
        <v>0</v>
      </c>
      <c r="ED253" s="137" t="b">
        <f t="shared" si="285"/>
        <v>0</v>
      </c>
      <c r="EE253" s="137" t="b">
        <f t="shared" si="286"/>
        <v>1</v>
      </c>
      <c r="EF253" s="137"/>
      <c r="EG253" s="137"/>
      <c r="EH253" s="137"/>
      <c r="EI253" s="137"/>
      <c r="EJ253" s="137">
        <f t="shared" si="293"/>
        <v>1</v>
      </c>
      <c r="EK253" s="125">
        <f t="shared" si="287"/>
        <v>0</v>
      </c>
      <c r="EL253" s="125">
        <f t="shared" si="288"/>
        <v>0</v>
      </c>
    </row>
    <row r="254" spans="2:142" ht="15.75" x14ac:dyDescent="0.25">
      <c r="B254" s="160">
        <f t="shared" si="289"/>
        <v>224</v>
      </c>
      <c r="C254" s="283">
        <v>1001346584</v>
      </c>
      <c r="D254" s="289">
        <v>1001215908</v>
      </c>
      <c r="E254" s="281">
        <v>40235206</v>
      </c>
      <c r="F254" s="118">
        <f>IF(OR(J254="",H254=""),"",VLOOKUP(J254,'הזנה לסיווג רשויות'!$B$2:$D$301,2,0))</f>
        <v>20000127</v>
      </c>
      <c r="G254" s="118" t="str">
        <f>IF(OR(J254="",H254=""),"",VLOOKUP(J254,'הזנה לסיווג רשויות'!$B$2:$D$301,3,0))</f>
        <v>הגליל העליון</v>
      </c>
      <c r="H254" s="281" t="s">
        <v>711</v>
      </c>
      <c r="I254" s="201" t="s">
        <v>375</v>
      </c>
      <c r="J254" s="205">
        <v>1</v>
      </c>
      <c r="K254" s="161">
        <v>0</v>
      </c>
      <c r="L254" s="161">
        <v>1</v>
      </c>
      <c r="M254" s="161">
        <v>0</v>
      </c>
      <c r="N254" s="161">
        <v>0</v>
      </c>
      <c r="O254" s="161">
        <v>1</v>
      </c>
      <c r="P254" s="161">
        <v>1</v>
      </c>
      <c r="Q254" s="161">
        <v>1</v>
      </c>
      <c r="R254" s="201">
        <v>335101</v>
      </c>
      <c r="S254" s="201">
        <v>156910</v>
      </c>
      <c r="T254" s="160">
        <f>IF(G254="","",IFERROR(IF(S254/R254&gt;'פרמטרים לקריטריונים'!$C$20,1,0),0))</f>
        <v>1</v>
      </c>
      <c r="U254" s="201">
        <v>88192</v>
      </c>
      <c r="V254" s="160">
        <f>IF(G254="","",IFERROR(IF(U254/R254&gt;'פרמטרים לקריטריונים'!$C$21,1,IF(AND(I254=$BW$5,U254/R254&gt;'פרמטרים לקריטריונים'!$C$22),1,0)),0))</f>
        <v>1</v>
      </c>
      <c r="W254" s="161">
        <v>1</v>
      </c>
      <c r="X254" s="161">
        <v>1</v>
      </c>
      <c r="Y254" s="201">
        <v>60000</v>
      </c>
      <c r="Z254" s="201">
        <v>60000</v>
      </c>
      <c r="AA254" s="161">
        <f t="shared" si="290"/>
        <v>1</v>
      </c>
      <c r="AB254" s="161"/>
      <c r="AC254" s="161"/>
      <c r="AD254" s="161"/>
      <c r="AE254" s="161"/>
      <c r="AF254" s="161"/>
      <c r="AG254" s="161"/>
      <c r="AH254" s="161"/>
      <c r="AI254" s="161"/>
      <c r="AJ254" s="161"/>
      <c r="AK254" s="161"/>
      <c r="AL254" s="161"/>
      <c r="AM254" s="161"/>
      <c r="AN254" s="161"/>
      <c r="AO254" s="161"/>
      <c r="AP254" s="161"/>
      <c r="AQ254" s="161"/>
      <c r="AR254" s="161"/>
      <c r="AS254" s="161"/>
      <c r="AT254" s="161"/>
      <c r="AU254" s="161"/>
      <c r="AV254" s="161"/>
      <c r="AW254" s="160"/>
      <c r="AX254" s="161"/>
      <c r="AY254" s="161"/>
      <c r="AZ254" s="161"/>
      <c r="BA254" s="161"/>
      <c r="BB254" s="161"/>
      <c r="BC254" s="161"/>
      <c r="BD254" s="161"/>
      <c r="BE254" s="161"/>
      <c r="BF254" s="160" t="str">
        <f t="shared" si="291"/>
        <v/>
      </c>
      <c r="BG254" s="160"/>
      <c r="BH254" s="160"/>
      <c r="BI254" s="160"/>
      <c r="BJ254" s="160"/>
      <c r="BK254" s="160"/>
      <c r="BL254" s="162">
        <f t="shared" si="242"/>
        <v>1</v>
      </c>
      <c r="BM254" s="257"/>
      <c r="BN254" s="163"/>
      <c r="BO254" s="211" t="str">
        <f t="shared" si="243"/>
        <v>מוזיאון האדם הקדמוןמוזיאונים</v>
      </c>
      <c r="BP254" s="125">
        <f t="shared" si="244"/>
        <v>1</v>
      </c>
      <c r="BQ254" s="164">
        <v>0</v>
      </c>
      <c r="BR254" s="164">
        <v>1</v>
      </c>
      <c r="BS254" s="149">
        <f t="shared" si="245"/>
        <v>1</v>
      </c>
      <c r="BT254" s="149">
        <f t="shared" si="246"/>
        <v>1</v>
      </c>
      <c r="BU254" s="149">
        <f t="shared" si="247"/>
        <v>1</v>
      </c>
      <c r="BV254" s="149">
        <f t="shared" si="248"/>
        <v>1</v>
      </c>
      <c r="BW254" s="149">
        <f t="shared" si="249"/>
        <v>1</v>
      </c>
      <c r="BX254" s="149">
        <f t="shared" si="250"/>
        <v>1</v>
      </c>
      <c r="BY254" s="149">
        <f t="shared" si="251"/>
        <v>1</v>
      </c>
      <c r="BZ254" s="149">
        <f t="shared" si="252"/>
        <v>1</v>
      </c>
      <c r="CA254" s="149">
        <f t="shared" si="253"/>
        <v>1</v>
      </c>
      <c r="CB254" s="149">
        <f t="shared" si="254"/>
        <v>1</v>
      </c>
      <c r="CC254" s="149">
        <f t="shared" si="255"/>
        <v>1</v>
      </c>
      <c r="CD254" s="149">
        <f t="shared" si="256"/>
        <v>1</v>
      </c>
      <c r="CE254" s="149">
        <f t="shared" si="257"/>
        <v>1</v>
      </c>
      <c r="CF254" s="149">
        <f t="shared" si="258"/>
        <v>1</v>
      </c>
      <c r="CG254" s="149">
        <f t="shared" si="259"/>
        <v>1</v>
      </c>
      <c r="CH254" s="149">
        <f t="shared" si="260"/>
        <v>1</v>
      </c>
      <c r="CI254" s="149">
        <f t="shared" si="261"/>
        <v>1</v>
      </c>
      <c r="CJ254" s="149">
        <f t="shared" si="262"/>
        <v>1</v>
      </c>
      <c r="CK254" s="149">
        <f t="shared" si="263"/>
        <v>1</v>
      </c>
      <c r="CL254" s="149">
        <f t="shared" si="264"/>
        <v>1</v>
      </c>
      <c r="CM254" s="149">
        <f t="shared" si="265"/>
        <v>1</v>
      </c>
      <c r="CN254" s="149">
        <f t="shared" si="266"/>
        <v>1</v>
      </c>
      <c r="CO254" s="149">
        <f t="shared" si="267"/>
        <v>1</v>
      </c>
      <c r="CP254" s="149">
        <f t="shared" si="268"/>
        <v>1</v>
      </c>
      <c r="CQ254" s="149">
        <f t="shared" si="269"/>
        <v>1</v>
      </c>
      <c r="CR254" s="149">
        <f t="shared" si="270"/>
        <v>1</v>
      </c>
      <c r="CS254" s="149">
        <f t="shared" si="271"/>
        <v>1</v>
      </c>
      <c r="CT254" s="149">
        <f t="shared" si="272"/>
        <v>1</v>
      </c>
      <c r="CU254" s="149">
        <f t="shared" si="273"/>
        <v>1</v>
      </c>
      <c r="CV254" s="149">
        <f t="shared" si="274"/>
        <v>1</v>
      </c>
      <c r="CW254" s="149">
        <f t="shared" si="275"/>
        <v>1</v>
      </c>
      <c r="CX254" s="149">
        <f t="shared" si="276"/>
        <v>1</v>
      </c>
      <c r="CY254" s="149">
        <f t="shared" si="277"/>
        <v>1</v>
      </c>
      <c r="CZ254" s="149">
        <f t="shared" si="278"/>
        <v>1</v>
      </c>
      <c r="DA254" s="149">
        <f t="shared" si="279"/>
        <v>1</v>
      </c>
      <c r="DB254" s="149">
        <f t="shared" si="280"/>
        <v>1</v>
      </c>
      <c r="DG254" s="125">
        <f t="shared" si="241"/>
        <v>1</v>
      </c>
      <c r="DH254" s="125">
        <f t="shared" si="294"/>
        <v>2</v>
      </c>
      <c r="DI254" s="125">
        <f t="shared" si="294"/>
        <v>3</v>
      </c>
      <c r="DJ254" s="125">
        <f t="shared" si="294"/>
        <v>4</v>
      </c>
      <c r="DK254" s="125">
        <f t="shared" si="294"/>
        <v>5</v>
      </c>
      <c r="DL254" s="125">
        <f t="shared" si="294"/>
        <v>6</v>
      </c>
      <c r="DM254" s="125">
        <f t="shared" si="294"/>
        <v>7</v>
      </c>
      <c r="DN254" s="125">
        <f t="shared" si="294"/>
        <v>8</v>
      </c>
      <c r="DO254" s="125">
        <f t="shared" si="294"/>
        <v>9</v>
      </c>
      <c r="DP254" s="125">
        <f t="shared" si="294"/>
        <v>10</v>
      </c>
      <c r="DS254" s="137"/>
      <c r="DT254" s="137"/>
      <c r="DU254" s="137"/>
      <c r="DV254" s="137" t="b">
        <f t="shared" si="281"/>
        <v>0</v>
      </c>
      <c r="DW254" s="137" t="b">
        <f t="shared" si="282"/>
        <v>0</v>
      </c>
      <c r="DX254" s="137" t="b">
        <f t="shared" si="283"/>
        <v>1</v>
      </c>
      <c r="EB254" s="131">
        <f t="shared" si="292"/>
        <v>1</v>
      </c>
      <c r="EC254" s="137" t="b">
        <f t="shared" si="284"/>
        <v>0</v>
      </c>
      <c r="ED254" s="137" t="b">
        <f t="shared" si="285"/>
        <v>0</v>
      </c>
      <c r="EE254" s="137" t="b">
        <f t="shared" si="286"/>
        <v>1</v>
      </c>
      <c r="EF254" s="137"/>
      <c r="EG254" s="137"/>
      <c r="EH254" s="137"/>
      <c r="EI254" s="137"/>
      <c r="EJ254" s="137">
        <f t="shared" si="293"/>
        <v>1</v>
      </c>
      <c r="EK254" s="125">
        <f t="shared" si="287"/>
        <v>0</v>
      </c>
      <c r="EL254" s="125">
        <f t="shared" si="288"/>
        <v>0</v>
      </c>
    </row>
    <row r="255" spans="2:142" ht="15.75" x14ac:dyDescent="0.25">
      <c r="B255" s="160">
        <f t="shared" si="289"/>
        <v>225</v>
      </c>
      <c r="C255" s="283">
        <v>1001346661</v>
      </c>
      <c r="D255" s="283">
        <v>1001263558</v>
      </c>
      <c r="E255" s="281">
        <v>40000294</v>
      </c>
      <c r="F255" s="118">
        <f>IF(OR(J255="",H255=""),"",VLOOKUP(J255,'הזנה לסיווג רשויות'!$B$2:$D$301,2,0))</f>
        <v>20000201</v>
      </c>
      <c r="G255" s="118" t="str">
        <f>IF(OR(J255="",H255=""),"",VLOOKUP(J255,'הזנה לסיווג רשויות'!$B$2:$D$301,3,0))</f>
        <v>תל אביב -יפו</v>
      </c>
      <c r="H255" s="281" t="s">
        <v>712</v>
      </c>
      <c r="I255" s="201" t="s">
        <v>376</v>
      </c>
      <c r="J255" s="205">
        <v>5000</v>
      </c>
      <c r="K255" s="161">
        <v>0</v>
      </c>
      <c r="L255" s="161">
        <v>1</v>
      </c>
      <c r="M255" s="161">
        <v>0</v>
      </c>
      <c r="N255" s="161">
        <v>0</v>
      </c>
      <c r="O255" s="161">
        <v>1</v>
      </c>
      <c r="P255" s="161">
        <v>1</v>
      </c>
      <c r="Q255" s="161">
        <v>1</v>
      </c>
      <c r="R255" s="201">
        <v>69574000</v>
      </c>
      <c r="S255" s="201">
        <v>59154000</v>
      </c>
      <c r="T255" s="160">
        <f>IF(G255="","",IFERROR(IF(S255/R255&gt;'פרמטרים לקריטריונים'!$C$20,1,0),0))</f>
        <v>1</v>
      </c>
      <c r="U255" s="201">
        <v>41707000</v>
      </c>
      <c r="V255" s="160">
        <f>IF(G255="","",IFERROR(IF(U255/R255&gt;'פרמטרים לקריטריונים'!$C$21,1,IF(AND(I255=$BW$5,U255/R255&gt;'פרמטרים לקריטריונים'!$C$22),1,0)),0))</f>
        <v>1</v>
      </c>
      <c r="W255" s="161">
        <v>1</v>
      </c>
      <c r="X255" s="161">
        <v>1</v>
      </c>
      <c r="Y255" s="201">
        <v>30000000</v>
      </c>
      <c r="Z255" s="201">
        <v>15000000</v>
      </c>
      <c r="AA255" s="161">
        <f t="shared" si="290"/>
        <v>1</v>
      </c>
      <c r="AB255" s="161"/>
      <c r="AC255" s="161"/>
      <c r="AD255" s="161"/>
      <c r="AE255" s="161"/>
      <c r="AF255" s="161"/>
      <c r="AG255" s="161"/>
      <c r="AH255" s="161"/>
      <c r="AI255" s="161"/>
      <c r="AJ255" s="161"/>
      <c r="AK255" s="161"/>
      <c r="AL255" s="161"/>
      <c r="AM255" s="161"/>
      <c r="AN255" s="161"/>
      <c r="AO255" s="161"/>
      <c r="AP255" s="161"/>
      <c r="AQ255" s="161"/>
      <c r="AR255" s="161"/>
      <c r="AS255" s="161"/>
      <c r="AT255" s="161"/>
      <c r="AU255" s="161"/>
      <c r="AV255" s="161"/>
      <c r="AW255" s="160"/>
      <c r="AX255" s="161"/>
      <c r="AY255" s="161"/>
      <c r="AZ255" s="161"/>
      <c r="BA255" s="161"/>
      <c r="BB255" s="161"/>
      <c r="BC255" s="161"/>
      <c r="BD255" s="161"/>
      <c r="BE255" s="161"/>
      <c r="BF255" s="160" t="str">
        <f t="shared" si="291"/>
        <v/>
      </c>
      <c r="BG255" s="160"/>
      <c r="BH255" s="160"/>
      <c r="BI255" s="160"/>
      <c r="BJ255" s="160"/>
      <c r="BK255" s="160"/>
      <c r="BL255" s="162">
        <f t="shared" si="242"/>
        <v>1</v>
      </c>
      <c r="BM255" s="257"/>
      <c r="BN255" s="163"/>
      <c r="BO255" s="211" t="str">
        <f t="shared" si="243"/>
        <v>התזמורת הפילהרמונית הישראליתמוסיקה-גופים כליים</v>
      </c>
      <c r="BP255" s="125">
        <f t="shared" si="244"/>
        <v>1</v>
      </c>
      <c r="BQ255" s="164">
        <v>0</v>
      </c>
      <c r="BR255" s="164">
        <v>1</v>
      </c>
      <c r="BS255" s="149">
        <f t="shared" si="245"/>
        <v>1</v>
      </c>
      <c r="BT255" s="149">
        <f t="shared" si="246"/>
        <v>1</v>
      </c>
      <c r="BU255" s="149">
        <f t="shared" si="247"/>
        <v>1</v>
      </c>
      <c r="BV255" s="149">
        <f t="shared" si="248"/>
        <v>1</v>
      </c>
      <c r="BW255" s="149">
        <f t="shared" si="249"/>
        <v>1</v>
      </c>
      <c r="BX255" s="149">
        <f t="shared" si="250"/>
        <v>1</v>
      </c>
      <c r="BY255" s="149">
        <f t="shared" si="251"/>
        <v>1</v>
      </c>
      <c r="BZ255" s="149">
        <f t="shared" si="252"/>
        <v>1</v>
      </c>
      <c r="CA255" s="149">
        <f t="shared" si="253"/>
        <v>1</v>
      </c>
      <c r="CB255" s="149">
        <f t="shared" si="254"/>
        <v>1</v>
      </c>
      <c r="CC255" s="149">
        <f t="shared" si="255"/>
        <v>1</v>
      </c>
      <c r="CD255" s="149">
        <f t="shared" si="256"/>
        <v>1</v>
      </c>
      <c r="CE255" s="149">
        <f t="shared" si="257"/>
        <v>1</v>
      </c>
      <c r="CF255" s="149">
        <f t="shared" si="258"/>
        <v>1</v>
      </c>
      <c r="CG255" s="149">
        <f t="shared" si="259"/>
        <v>1</v>
      </c>
      <c r="CH255" s="149">
        <f t="shared" si="260"/>
        <v>1</v>
      </c>
      <c r="CI255" s="149">
        <f t="shared" si="261"/>
        <v>1</v>
      </c>
      <c r="CJ255" s="149">
        <f t="shared" si="262"/>
        <v>1</v>
      </c>
      <c r="CK255" s="149">
        <f t="shared" si="263"/>
        <v>1</v>
      </c>
      <c r="CL255" s="149">
        <f t="shared" si="264"/>
        <v>1</v>
      </c>
      <c r="CM255" s="149">
        <f t="shared" si="265"/>
        <v>1</v>
      </c>
      <c r="CN255" s="149">
        <f t="shared" si="266"/>
        <v>1</v>
      </c>
      <c r="CO255" s="149">
        <f t="shared" si="267"/>
        <v>1</v>
      </c>
      <c r="CP255" s="149">
        <f t="shared" si="268"/>
        <v>1</v>
      </c>
      <c r="CQ255" s="149">
        <f t="shared" si="269"/>
        <v>1</v>
      </c>
      <c r="CR255" s="149">
        <f t="shared" si="270"/>
        <v>1</v>
      </c>
      <c r="CS255" s="149">
        <f t="shared" si="271"/>
        <v>1</v>
      </c>
      <c r="CT255" s="149">
        <f t="shared" si="272"/>
        <v>1</v>
      </c>
      <c r="CU255" s="149">
        <f t="shared" si="273"/>
        <v>1</v>
      </c>
      <c r="CV255" s="149">
        <f t="shared" si="274"/>
        <v>1</v>
      </c>
      <c r="CW255" s="149">
        <f t="shared" si="275"/>
        <v>1</v>
      </c>
      <c r="CX255" s="149">
        <f t="shared" si="276"/>
        <v>1</v>
      </c>
      <c r="CY255" s="149">
        <f t="shared" si="277"/>
        <v>1</v>
      </c>
      <c r="CZ255" s="149">
        <f t="shared" si="278"/>
        <v>1</v>
      </c>
      <c r="DA255" s="149">
        <f t="shared" si="279"/>
        <v>1</v>
      </c>
      <c r="DB255" s="149">
        <f t="shared" si="280"/>
        <v>1</v>
      </c>
      <c r="DG255" s="125">
        <f t="shared" si="241"/>
        <v>1</v>
      </c>
      <c r="DH255" s="125">
        <f t="shared" si="294"/>
        <v>2</v>
      </c>
      <c r="DI255" s="125">
        <f t="shared" si="294"/>
        <v>3</v>
      </c>
      <c r="DJ255" s="125">
        <f t="shared" si="294"/>
        <v>4</v>
      </c>
      <c r="DK255" s="125">
        <f t="shared" si="294"/>
        <v>5</v>
      </c>
      <c r="DL255" s="125">
        <f t="shared" si="294"/>
        <v>6</v>
      </c>
      <c r="DM255" s="125">
        <f t="shared" si="294"/>
        <v>7</v>
      </c>
      <c r="DN255" s="125">
        <f t="shared" si="294"/>
        <v>8</v>
      </c>
      <c r="DO255" s="125">
        <f t="shared" si="294"/>
        <v>9</v>
      </c>
      <c r="DP255" s="125">
        <f t="shared" si="294"/>
        <v>10</v>
      </c>
      <c r="DS255" s="137"/>
      <c r="DT255" s="137"/>
      <c r="DU255" s="137"/>
      <c r="DV255" s="137" t="b">
        <f t="shared" si="281"/>
        <v>0</v>
      </c>
      <c r="DW255" s="137" t="b">
        <f t="shared" si="282"/>
        <v>0</v>
      </c>
      <c r="DX255" s="137" t="b">
        <f t="shared" si="283"/>
        <v>1</v>
      </c>
      <c r="EB255" s="131">
        <f t="shared" si="292"/>
        <v>1</v>
      </c>
      <c r="EC255" s="137" t="b">
        <f t="shared" si="284"/>
        <v>0</v>
      </c>
      <c r="ED255" s="137" t="b">
        <f t="shared" si="285"/>
        <v>0</v>
      </c>
      <c r="EE255" s="137" t="b">
        <f t="shared" si="286"/>
        <v>1</v>
      </c>
      <c r="EF255" s="137"/>
      <c r="EG255" s="137"/>
      <c r="EH255" s="137"/>
      <c r="EI255" s="137"/>
      <c r="EJ255" s="137">
        <f t="shared" si="293"/>
        <v>1</v>
      </c>
      <c r="EK255" s="125">
        <f t="shared" si="287"/>
        <v>0</v>
      </c>
      <c r="EL255" s="125">
        <f t="shared" si="288"/>
        <v>0</v>
      </c>
    </row>
    <row r="256" spans="2:142" ht="15.75" x14ac:dyDescent="0.25">
      <c r="B256" s="160">
        <f t="shared" si="289"/>
        <v>226</v>
      </c>
      <c r="C256" s="283">
        <v>1001347595</v>
      </c>
      <c r="D256" s="283">
        <v>1001267946</v>
      </c>
      <c r="E256" s="281">
        <v>40000345</v>
      </c>
      <c r="F256" s="118">
        <f>IF(OR(J256="",H256=""),"",VLOOKUP(J256,'הזנה לסיווג רשויות'!$B$2:$D$301,2,0))</f>
        <v>20000159</v>
      </c>
      <c r="G256" s="118" t="str">
        <f>IF(OR(J256="",H256=""),"",VLOOKUP(J256,'הזנה לסיווג רשויות'!$B$2:$D$301,3,0))</f>
        <v>ירושלים</v>
      </c>
      <c r="H256" s="281" t="s">
        <v>713</v>
      </c>
      <c r="I256" s="201" t="s">
        <v>375</v>
      </c>
      <c r="J256" s="205">
        <v>3000</v>
      </c>
      <c r="K256" s="161">
        <v>0</v>
      </c>
      <c r="L256" s="161">
        <v>1</v>
      </c>
      <c r="M256" s="161">
        <v>0</v>
      </c>
      <c r="N256" s="161">
        <v>1</v>
      </c>
      <c r="O256" s="161">
        <v>1</v>
      </c>
      <c r="P256" s="161">
        <v>1</v>
      </c>
      <c r="Q256" s="161">
        <v>1</v>
      </c>
      <c r="R256" s="201">
        <v>18906534</v>
      </c>
      <c r="S256" s="201">
        <v>15436361</v>
      </c>
      <c r="T256" s="160">
        <f>IF(G256="","",IFERROR(IF(S256/R256&gt;'פרמטרים לקריטריונים'!$C$20,1,0),0))</f>
        <v>1</v>
      </c>
      <c r="U256" s="201">
        <v>14280113</v>
      </c>
      <c r="V256" s="160">
        <f>IF(G256="","",IFERROR(IF(U256/R256&gt;'פרמטרים לקריטריונים'!$C$21,1,IF(AND(I256=$BW$5,U256/R256&gt;'פרמטרים לקריטריונים'!$C$22),1,0)),0))</f>
        <v>1</v>
      </c>
      <c r="W256" s="161">
        <v>1</v>
      </c>
      <c r="X256" s="161">
        <v>1</v>
      </c>
      <c r="Y256" s="201">
        <v>10000000</v>
      </c>
      <c r="Z256" s="201">
        <v>10000000</v>
      </c>
      <c r="AA256" s="161">
        <f t="shared" si="290"/>
        <v>1</v>
      </c>
      <c r="AB256" s="161"/>
      <c r="AC256" s="161"/>
      <c r="AD256" s="161"/>
      <c r="AE256" s="161"/>
      <c r="AF256" s="161"/>
      <c r="AG256" s="161"/>
      <c r="AH256" s="161"/>
      <c r="AI256" s="161"/>
      <c r="AJ256" s="161"/>
      <c r="AK256" s="161"/>
      <c r="AL256" s="161"/>
      <c r="AM256" s="161"/>
      <c r="AN256" s="161"/>
      <c r="AO256" s="161"/>
      <c r="AP256" s="161"/>
      <c r="AQ256" s="161"/>
      <c r="AR256" s="161"/>
      <c r="AS256" s="161"/>
      <c r="AT256" s="161"/>
      <c r="AU256" s="161"/>
      <c r="AV256" s="161"/>
      <c r="AW256" s="160"/>
      <c r="AX256" s="161"/>
      <c r="AY256" s="161"/>
      <c r="AZ256" s="161"/>
      <c r="BA256" s="161"/>
      <c r="BB256" s="161"/>
      <c r="BC256" s="161"/>
      <c r="BD256" s="161"/>
      <c r="BE256" s="161"/>
      <c r="BF256" s="160" t="str">
        <f t="shared" si="291"/>
        <v/>
      </c>
      <c r="BG256" s="160"/>
      <c r="BH256" s="160"/>
      <c r="BI256" s="160"/>
      <c r="BJ256" s="160"/>
      <c r="BK256" s="160"/>
      <c r="BL256" s="162">
        <f t="shared" si="242"/>
        <v>1</v>
      </c>
      <c r="BM256" s="257"/>
      <c r="BN256" s="163"/>
      <c r="BO256" s="211" t="str">
        <f t="shared" si="243"/>
        <v>מגדל דוד- מוזיאון לתולדות י-םמוזיאונים</v>
      </c>
      <c r="BP256" s="125">
        <f t="shared" si="244"/>
        <v>1</v>
      </c>
      <c r="BQ256" s="164">
        <v>0</v>
      </c>
      <c r="BR256" s="164">
        <v>1</v>
      </c>
      <c r="BS256" s="149">
        <f t="shared" si="245"/>
        <v>1</v>
      </c>
      <c r="BT256" s="149">
        <f t="shared" si="246"/>
        <v>1</v>
      </c>
      <c r="BU256" s="149">
        <f t="shared" si="247"/>
        <v>1</v>
      </c>
      <c r="BV256" s="149">
        <f t="shared" si="248"/>
        <v>1</v>
      </c>
      <c r="BW256" s="149">
        <f t="shared" si="249"/>
        <v>1</v>
      </c>
      <c r="BX256" s="149">
        <f t="shared" si="250"/>
        <v>1</v>
      </c>
      <c r="BY256" s="149">
        <f t="shared" si="251"/>
        <v>1</v>
      </c>
      <c r="BZ256" s="149">
        <f t="shared" si="252"/>
        <v>1</v>
      </c>
      <c r="CA256" s="149">
        <f t="shared" si="253"/>
        <v>1</v>
      </c>
      <c r="CB256" s="149">
        <f t="shared" si="254"/>
        <v>1</v>
      </c>
      <c r="CC256" s="149">
        <f t="shared" si="255"/>
        <v>1</v>
      </c>
      <c r="CD256" s="149">
        <f t="shared" si="256"/>
        <v>1</v>
      </c>
      <c r="CE256" s="149">
        <f t="shared" si="257"/>
        <v>1</v>
      </c>
      <c r="CF256" s="149">
        <f t="shared" si="258"/>
        <v>1</v>
      </c>
      <c r="CG256" s="149">
        <f t="shared" si="259"/>
        <v>1</v>
      </c>
      <c r="CH256" s="149">
        <f t="shared" si="260"/>
        <v>1</v>
      </c>
      <c r="CI256" s="149">
        <f t="shared" si="261"/>
        <v>1</v>
      </c>
      <c r="CJ256" s="149">
        <f t="shared" si="262"/>
        <v>1</v>
      </c>
      <c r="CK256" s="149">
        <f t="shared" si="263"/>
        <v>1</v>
      </c>
      <c r="CL256" s="149">
        <f t="shared" si="264"/>
        <v>1</v>
      </c>
      <c r="CM256" s="149">
        <f t="shared" si="265"/>
        <v>1</v>
      </c>
      <c r="CN256" s="149">
        <f t="shared" si="266"/>
        <v>1</v>
      </c>
      <c r="CO256" s="149">
        <f t="shared" si="267"/>
        <v>1</v>
      </c>
      <c r="CP256" s="149">
        <f t="shared" si="268"/>
        <v>1</v>
      </c>
      <c r="CQ256" s="149">
        <f t="shared" si="269"/>
        <v>1</v>
      </c>
      <c r="CR256" s="149">
        <f t="shared" si="270"/>
        <v>1</v>
      </c>
      <c r="CS256" s="149">
        <f t="shared" si="271"/>
        <v>1</v>
      </c>
      <c r="CT256" s="149">
        <f t="shared" si="272"/>
        <v>1</v>
      </c>
      <c r="CU256" s="149">
        <f t="shared" si="273"/>
        <v>1</v>
      </c>
      <c r="CV256" s="149">
        <f t="shared" si="274"/>
        <v>1</v>
      </c>
      <c r="CW256" s="149">
        <f t="shared" si="275"/>
        <v>1</v>
      </c>
      <c r="CX256" s="149">
        <f t="shared" si="276"/>
        <v>1</v>
      </c>
      <c r="CY256" s="149">
        <f t="shared" si="277"/>
        <v>1</v>
      </c>
      <c r="CZ256" s="149">
        <f t="shared" si="278"/>
        <v>1</v>
      </c>
      <c r="DA256" s="149">
        <f t="shared" si="279"/>
        <v>1</v>
      </c>
      <c r="DB256" s="149">
        <f t="shared" si="280"/>
        <v>1</v>
      </c>
      <c r="DG256" s="125">
        <f t="shared" si="241"/>
        <v>1</v>
      </c>
      <c r="DH256" s="125">
        <f t="shared" si="294"/>
        <v>2</v>
      </c>
      <c r="DI256" s="125">
        <f t="shared" si="294"/>
        <v>3</v>
      </c>
      <c r="DJ256" s="125">
        <f t="shared" si="294"/>
        <v>4</v>
      </c>
      <c r="DK256" s="125">
        <f t="shared" si="294"/>
        <v>5</v>
      </c>
      <c r="DL256" s="125">
        <f t="shared" si="294"/>
        <v>6</v>
      </c>
      <c r="DM256" s="125">
        <f t="shared" si="294"/>
        <v>7</v>
      </c>
      <c r="DN256" s="125">
        <f t="shared" si="294"/>
        <v>8</v>
      </c>
      <c r="DO256" s="125">
        <f t="shared" si="294"/>
        <v>9</v>
      </c>
      <c r="DP256" s="125">
        <f t="shared" si="294"/>
        <v>10</v>
      </c>
      <c r="DS256" s="137"/>
      <c r="DT256" s="137"/>
      <c r="DU256" s="137"/>
      <c r="DV256" s="137" t="b">
        <f t="shared" si="281"/>
        <v>0</v>
      </c>
      <c r="DW256" s="137" t="b">
        <f t="shared" si="282"/>
        <v>0</v>
      </c>
      <c r="DX256" s="137" t="b">
        <f t="shared" si="283"/>
        <v>1</v>
      </c>
      <c r="EB256" s="131">
        <f t="shared" si="292"/>
        <v>1</v>
      </c>
      <c r="EC256" s="137" t="b">
        <f t="shared" si="284"/>
        <v>0</v>
      </c>
      <c r="ED256" s="137" t="b">
        <f t="shared" si="285"/>
        <v>0</v>
      </c>
      <c r="EE256" s="137" t="b">
        <f t="shared" si="286"/>
        <v>1</v>
      </c>
      <c r="EF256" s="137"/>
      <c r="EG256" s="137"/>
      <c r="EH256" s="137"/>
      <c r="EI256" s="137"/>
      <c r="EJ256" s="137">
        <f t="shared" si="293"/>
        <v>1</v>
      </c>
      <c r="EK256" s="125">
        <f t="shared" si="287"/>
        <v>0</v>
      </c>
      <c r="EL256" s="125">
        <f t="shared" si="288"/>
        <v>0</v>
      </c>
    </row>
    <row r="257" spans="2:142" ht="15.75" x14ac:dyDescent="0.25">
      <c r="B257" s="160">
        <f t="shared" si="289"/>
        <v>227</v>
      </c>
      <c r="C257" s="283">
        <v>1001346662</v>
      </c>
      <c r="D257" s="283">
        <v>1001278692</v>
      </c>
      <c r="E257" s="281">
        <v>40000362</v>
      </c>
      <c r="F257" s="118">
        <f>IF(OR(J257="",H257=""),"",VLOOKUP(J257,'הזנה לסיווג רשויות'!$B$2:$D$301,2,0))</f>
        <v>20000159</v>
      </c>
      <c r="G257" s="118" t="str">
        <f>IF(OR(J257="",H257=""),"",VLOOKUP(J257,'הזנה לסיווג רשויות'!$B$2:$D$301,3,0))</f>
        <v>ירושלים</v>
      </c>
      <c r="H257" s="281" t="s">
        <v>714</v>
      </c>
      <c r="I257" s="201" t="s">
        <v>385</v>
      </c>
      <c r="J257" s="205">
        <v>3000</v>
      </c>
      <c r="K257" s="161">
        <v>0</v>
      </c>
      <c r="L257" s="161">
        <v>1</v>
      </c>
      <c r="M257" s="161">
        <v>0</v>
      </c>
      <c r="N257" s="161">
        <v>1</v>
      </c>
      <c r="O257" s="161">
        <v>1</v>
      </c>
      <c r="P257" s="161">
        <v>1</v>
      </c>
      <c r="Q257" s="161">
        <v>1</v>
      </c>
      <c r="R257" s="201">
        <v>606867</v>
      </c>
      <c r="S257" s="201">
        <v>341209</v>
      </c>
      <c r="T257" s="160">
        <f>IF(G257="","",IFERROR(IF(S257/R257&gt;'פרמטרים לקריטריונים'!$C$20,1,0),0))</f>
        <v>1</v>
      </c>
      <c r="U257" s="201">
        <v>244733</v>
      </c>
      <c r="V257" s="160">
        <f>IF(G257="","",IFERROR(IF(U257/R257&gt;'פרמטרים לקריטריונים'!$C$21,1,IF(AND(I257=$BW$5,U257/R257&gt;'פרמטרים לקריטריונים'!$C$22),1,0)),0))</f>
        <v>1</v>
      </c>
      <c r="W257" s="161">
        <v>1</v>
      </c>
      <c r="X257" s="161">
        <v>1</v>
      </c>
      <c r="Y257" s="201">
        <v>380000</v>
      </c>
      <c r="Z257" s="201">
        <v>380000</v>
      </c>
      <c r="AA257" s="161">
        <f t="shared" si="290"/>
        <v>1</v>
      </c>
      <c r="AB257" s="161"/>
      <c r="AC257" s="161"/>
      <c r="AD257" s="161"/>
      <c r="AE257" s="161"/>
      <c r="AF257" s="161"/>
      <c r="AG257" s="161"/>
      <c r="AH257" s="161"/>
      <c r="AI257" s="161"/>
      <c r="AJ257" s="161"/>
      <c r="AK257" s="161"/>
      <c r="AL257" s="161"/>
      <c r="AM257" s="161"/>
      <c r="AN257" s="161"/>
      <c r="AO257" s="161"/>
      <c r="AP257" s="161"/>
      <c r="AQ257" s="161"/>
      <c r="AR257" s="161"/>
      <c r="AS257" s="161"/>
      <c r="AT257" s="161"/>
      <c r="AU257" s="161"/>
      <c r="AV257" s="161"/>
      <c r="AW257" s="160"/>
      <c r="AX257" s="161"/>
      <c r="AY257" s="161"/>
      <c r="AZ257" s="161"/>
      <c r="BA257" s="161"/>
      <c r="BB257" s="161"/>
      <c r="BC257" s="161"/>
      <c r="BD257" s="161"/>
      <c r="BE257" s="161"/>
      <c r="BF257" s="160" t="str">
        <f t="shared" si="291"/>
        <v/>
      </c>
      <c r="BG257" s="160"/>
      <c r="BH257" s="160"/>
      <c r="BI257" s="160"/>
      <c r="BJ257" s="160"/>
      <c r="BK257" s="160"/>
      <c r="BL257" s="162">
        <f t="shared" si="242"/>
        <v>1</v>
      </c>
      <c r="BM257" s="257"/>
      <c r="BN257" s="163"/>
      <c r="BO257" s="211" t="str">
        <f t="shared" si="243"/>
        <v>מרכז עדן תמיר למוסיקהמרכזי מוסיקה</v>
      </c>
      <c r="BP257" s="125">
        <f t="shared" si="244"/>
        <v>1</v>
      </c>
      <c r="BQ257" s="164">
        <v>0</v>
      </c>
      <c r="BR257" s="164">
        <v>1</v>
      </c>
      <c r="BS257" s="149">
        <f t="shared" si="245"/>
        <v>1</v>
      </c>
      <c r="BT257" s="149">
        <f t="shared" si="246"/>
        <v>1</v>
      </c>
      <c r="BU257" s="149">
        <f t="shared" si="247"/>
        <v>1</v>
      </c>
      <c r="BV257" s="149">
        <f t="shared" si="248"/>
        <v>1</v>
      </c>
      <c r="BW257" s="149">
        <f t="shared" si="249"/>
        <v>1</v>
      </c>
      <c r="BX257" s="149">
        <f t="shared" si="250"/>
        <v>1</v>
      </c>
      <c r="BY257" s="149">
        <f t="shared" si="251"/>
        <v>1</v>
      </c>
      <c r="BZ257" s="149">
        <f t="shared" si="252"/>
        <v>1</v>
      </c>
      <c r="CA257" s="149">
        <f t="shared" si="253"/>
        <v>1</v>
      </c>
      <c r="CB257" s="149">
        <f t="shared" si="254"/>
        <v>1</v>
      </c>
      <c r="CC257" s="149">
        <f t="shared" si="255"/>
        <v>1</v>
      </c>
      <c r="CD257" s="149">
        <f t="shared" si="256"/>
        <v>1</v>
      </c>
      <c r="CE257" s="149">
        <f t="shared" si="257"/>
        <v>1</v>
      </c>
      <c r="CF257" s="149">
        <f t="shared" si="258"/>
        <v>1</v>
      </c>
      <c r="CG257" s="149">
        <f t="shared" si="259"/>
        <v>1</v>
      </c>
      <c r="CH257" s="149">
        <f t="shared" si="260"/>
        <v>1</v>
      </c>
      <c r="CI257" s="149">
        <f t="shared" si="261"/>
        <v>1</v>
      </c>
      <c r="CJ257" s="149">
        <f t="shared" si="262"/>
        <v>1</v>
      </c>
      <c r="CK257" s="149">
        <f t="shared" si="263"/>
        <v>1</v>
      </c>
      <c r="CL257" s="149">
        <f t="shared" si="264"/>
        <v>1</v>
      </c>
      <c r="CM257" s="149">
        <f t="shared" si="265"/>
        <v>1</v>
      </c>
      <c r="CN257" s="149">
        <f t="shared" si="266"/>
        <v>1</v>
      </c>
      <c r="CO257" s="149">
        <f t="shared" si="267"/>
        <v>1</v>
      </c>
      <c r="CP257" s="149">
        <f t="shared" si="268"/>
        <v>1</v>
      </c>
      <c r="CQ257" s="149">
        <f t="shared" si="269"/>
        <v>1</v>
      </c>
      <c r="CR257" s="149">
        <f t="shared" si="270"/>
        <v>1</v>
      </c>
      <c r="CS257" s="149">
        <f t="shared" si="271"/>
        <v>1</v>
      </c>
      <c r="CT257" s="149">
        <f t="shared" si="272"/>
        <v>1</v>
      </c>
      <c r="CU257" s="149">
        <f t="shared" si="273"/>
        <v>1</v>
      </c>
      <c r="CV257" s="149">
        <f t="shared" si="274"/>
        <v>1</v>
      </c>
      <c r="CW257" s="149">
        <f t="shared" si="275"/>
        <v>1</v>
      </c>
      <c r="CX257" s="149">
        <f t="shared" si="276"/>
        <v>1</v>
      </c>
      <c r="CY257" s="149">
        <f t="shared" si="277"/>
        <v>1</v>
      </c>
      <c r="CZ257" s="149">
        <f t="shared" si="278"/>
        <v>1</v>
      </c>
      <c r="DA257" s="149">
        <f t="shared" si="279"/>
        <v>1</v>
      </c>
      <c r="DB257" s="149">
        <f t="shared" si="280"/>
        <v>1</v>
      </c>
      <c r="DG257" s="125">
        <f t="shared" si="241"/>
        <v>1</v>
      </c>
      <c r="DH257" s="125">
        <f t="shared" si="294"/>
        <v>2</v>
      </c>
      <c r="DI257" s="125">
        <f t="shared" si="294"/>
        <v>3</v>
      </c>
      <c r="DJ257" s="125">
        <f t="shared" si="294"/>
        <v>4</v>
      </c>
      <c r="DK257" s="125">
        <f t="shared" si="294"/>
        <v>5</v>
      </c>
      <c r="DL257" s="125">
        <f t="shared" si="294"/>
        <v>6</v>
      </c>
      <c r="DM257" s="125">
        <f t="shared" si="294"/>
        <v>7</v>
      </c>
      <c r="DN257" s="125">
        <f t="shared" si="294"/>
        <v>8</v>
      </c>
      <c r="DO257" s="125">
        <f t="shared" si="294"/>
        <v>9</v>
      </c>
      <c r="DP257" s="125">
        <f t="shared" si="294"/>
        <v>10</v>
      </c>
      <c r="DS257" s="137"/>
      <c r="DT257" s="137"/>
      <c r="DU257" s="137"/>
      <c r="DV257" s="137" t="b">
        <f t="shared" si="281"/>
        <v>0</v>
      </c>
      <c r="DW257" s="137" t="b">
        <f t="shared" si="282"/>
        <v>0</v>
      </c>
      <c r="DX257" s="137" t="b">
        <f t="shared" si="283"/>
        <v>1</v>
      </c>
      <c r="EB257" s="131">
        <f t="shared" si="292"/>
        <v>1</v>
      </c>
      <c r="EC257" s="137" t="b">
        <f t="shared" si="284"/>
        <v>0</v>
      </c>
      <c r="ED257" s="137" t="b">
        <f t="shared" si="285"/>
        <v>0</v>
      </c>
      <c r="EE257" s="137" t="b">
        <f t="shared" si="286"/>
        <v>1</v>
      </c>
      <c r="EF257" s="137"/>
      <c r="EG257" s="137"/>
      <c r="EH257" s="137"/>
      <c r="EI257" s="137"/>
      <c r="EJ257" s="137">
        <f t="shared" si="293"/>
        <v>1</v>
      </c>
      <c r="EK257" s="125">
        <f t="shared" si="287"/>
        <v>0</v>
      </c>
      <c r="EL257" s="125">
        <f t="shared" si="288"/>
        <v>0</v>
      </c>
    </row>
    <row r="258" spans="2:142" ht="15.75" x14ac:dyDescent="0.25">
      <c r="B258" s="160">
        <f t="shared" si="289"/>
        <v>228</v>
      </c>
      <c r="C258" s="283">
        <v>1001348984</v>
      </c>
      <c r="D258" s="283">
        <v>1001299405</v>
      </c>
      <c r="E258" s="281">
        <v>40000699</v>
      </c>
      <c r="F258" s="118">
        <f>IF(OR(J258="",H258=""),"",VLOOKUP(J258,'הזנה לסיווג רשויות'!$B$2:$D$301,2,0))</f>
        <v>20000102</v>
      </c>
      <c r="G258" s="118" t="str">
        <f>IF(OR(J258="",H258=""),"",VLOOKUP(J258,'הזנה לסיווג רשויות'!$B$2:$D$301,3,0))</f>
        <v>מעלות-תרשיחא</v>
      </c>
      <c r="H258" s="281" t="s">
        <v>715</v>
      </c>
      <c r="I258" s="201" t="s">
        <v>564</v>
      </c>
      <c r="J258" s="205">
        <v>1063</v>
      </c>
      <c r="K258" s="161">
        <v>0</v>
      </c>
      <c r="L258" s="161">
        <v>1</v>
      </c>
      <c r="M258" s="161">
        <v>0</v>
      </c>
      <c r="N258" s="161">
        <v>0</v>
      </c>
      <c r="O258" s="161">
        <v>1</v>
      </c>
      <c r="P258" s="161">
        <v>1</v>
      </c>
      <c r="Q258" s="161">
        <v>1</v>
      </c>
      <c r="R258" s="201">
        <v>1083028</v>
      </c>
      <c r="S258" s="201">
        <v>603935</v>
      </c>
      <c r="T258" s="160">
        <f>IF(G258="","",IFERROR(IF(S258/R258&gt;'פרמטרים לקריטריונים'!$C$20,1,0),0))</f>
        <v>1</v>
      </c>
      <c r="U258" s="201">
        <v>263063</v>
      </c>
      <c r="V258" s="160">
        <f>IF(G258="","",IFERROR(IF(U258/R258&gt;'פרמטרים לקריטריונים'!$C$21,1,IF(AND(I258=$BW$5,U258/R258&gt;'פרמטרים לקריטריונים'!$C$22),1,0)),0))</f>
        <v>1</v>
      </c>
      <c r="W258" s="161">
        <v>1</v>
      </c>
      <c r="X258" s="161">
        <v>1</v>
      </c>
      <c r="Y258" s="201">
        <v>350000</v>
      </c>
      <c r="Z258" s="201">
        <v>350000</v>
      </c>
      <c r="AA258" s="161">
        <f t="shared" si="290"/>
        <v>1</v>
      </c>
      <c r="AB258" s="161"/>
      <c r="AC258" s="161"/>
      <c r="AD258" s="161"/>
      <c r="AE258" s="161"/>
      <c r="AF258" s="161"/>
      <c r="AG258" s="161"/>
      <c r="AH258" s="161"/>
      <c r="AI258" s="161"/>
      <c r="AJ258" s="161"/>
      <c r="AK258" s="161"/>
      <c r="AL258" s="161"/>
      <c r="AM258" s="161"/>
      <c r="AN258" s="161"/>
      <c r="AO258" s="161"/>
      <c r="AP258" s="161"/>
      <c r="AQ258" s="161"/>
      <c r="AR258" s="161"/>
      <c r="AS258" s="161"/>
      <c r="AT258" s="161"/>
      <c r="AU258" s="161"/>
      <c r="AV258" s="161"/>
      <c r="AW258" s="160"/>
      <c r="AX258" s="161"/>
      <c r="AY258" s="161"/>
      <c r="AZ258" s="161"/>
      <c r="BA258" s="161"/>
      <c r="BB258" s="161"/>
      <c r="BC258" s="161"/>
      <c r="BD258" s="161"/>
      <c r="BE258" s="161"/>
      <c r="BF258" s="160" t="str">
        <f t="shared" si="291"/>
        <v/>
      </c>
      <c r="BG258" s="160"/>
      <c r="BH258" s="160"/>
      <c r="BI258" s="160"/>
      <c r="BJ258" s="160"/>
      <c r="BK258" s="160"/>
      <c r="BL258" s="162">
        <f t="shared" si="242"/>
        <v>1</v>
      </c>
      <c r="BM258" s="257"/>
      <c r="BN258" s="163"/>
      <c r="BO258" s="211" t="str">
        <f t="shared" si="243"/>
        <v>"קתרין" לקידום המוסיקה, מחול ואומנואחר</v>
      </c>
      <c r="BP258" s="125">
        <f t="shared" si="244"/>
        <v>1</v>
      </c>
      <c r="BQ258" s="164">
        <v>0</v>
      </c>
      <c r="BR258" s="164">
        <v>1</v>
      </c>
      <c r="BS258" s="149">
        <f t="shared" si="245"/>
        <v>1</v>
      </c>
      <c r="BT258" s="149">
        <f t="shared" si="246"/>
        <v>1</v>
      </c>
      <c r="BU258" s="149">
        <f t="shared" si="247"/>
        <v>1</v>
      </c>
      <c r="BV258" s="149">
        <f t="shared" si="248"/>
        <v>1</v>
      </c>
      <c r="BW258" s="149">
        <f t="shared" si="249"/>
        <v>1</v>
      </c>
      <c r="BX258" s="149">
        <f t="shared" si="250"/>
        <v>1</v>
      </c>
      <c r="BY258" s="149">
        <f t="shared" si="251"/>
        <v>1</v>
      </c>
      <c r="BZ258" s="149">
        <f t="shared" si="252"/>
        <v>1</v>
      </c>
      <c r="CA258" s="149">
        <f t="shared" si="253"/>
        <v>1</v>
      </c>
      <c r="CB258" s="149">
        <f t="shared" si="254"/>
        <v>1</v>
      </c>
      <c r="CC258" s="149">
        <f t="shared" si="255"/>
        <v>1</v>
      </c>
      <c r="CD258" s="149">
        <f t="shared" si="256"/>
        <v>1</v>
      </c>
      <c r="CE258" s="149">
        <f t="shared" si="257"/>
        <v>1</v>
      </c>
      <c r="CF258" s="149">
        <f t="shared" si="258"/>
        <v>1</v>
      </c>
      <c r="CG258" s="149">
        <f t="shared" si="259"/>
        <v>1</v>
      </c>
      <c r="CH258" s="149">
        <f t="shared" si="260"/>
        <v>1</v>
      </c>
      <c r="CI258" s="149">
        <f t="shared" si="261"/>
        <v>1</v>
      </c>
      <c r="CJ258" s="149">
        <f t="shared" si="262"/>
        <v>1</v>
      </c>
      <c r="CK258" s="149">
        <f t="shared" si="263"/>
        <v>1</v>
      </c>
      <c r="CL258" s="149">
        <f t="shared" si="264"/>
        <v>1</v>
      </c>
      <c r="CM258" s="149">
        <f t="shared" si="265"/>
        <v>1</v>
      </c>
      <c r="CN258" s="149">
        <f t="shared" si="266"/>
        <v>1</v>
      </c>
      <c r="CO258" s="149">
        <f t="shared" si="267"/>
        <v>1</v>
      </c>
      <c r="CP258" s="149">
        <f t="shared" si="268"/>
        <v>1</v>
      </c>
      <c r="CQ258" s="149">
        <f t="shared" si="269"/>
        <v>1</v>
      </c>
      <c r="CR258" s="149">
        <f t="shared" si="270"/>
        <v>1</v>
      </c>
      <c r="CS258" s="149">
        <f t="shared" si="271"/>
        <v>1</v>
      </c>
      <c r="CT258" s="149">
        <f t="shared" si="272"/>
        <v>1</v>
      </c>
      <c r="CU258" s="149">
        <f t="shared" si="273"/>
        <v>1</v>
      </c>
      <c r="CV258" s="149">
        <f t="shared" si="274"/>
        <v>1</v>
      </c>
      <c r="CW258" s="149">
        <f t="shared" si="275"/>
        <v>1</v>
      </c>
      <c r="CX258" s="149">
        <f t="shared" si="276"/>
        <v>1</v>
      </c>
      <c r="CY258" s="149">
        <f t="shared" si="277"/>
        <v>1</v>
      </c>
      <c r="CZ258" s="149">
        <f t="shared" si="278"/>
        <v>1</v>
      </c>
      <c r="DA258" s="149">
        <f t="shared" si="279"/>
        <v>1</v>
      </c>
      <c r="DB258" s="149">
        <f t="shared" si="280"/>
        <v>1</v>
      </c>
      <c r="DG258" s="125">
        <f t="shared" si="241"/>
        <v>1</v>
      </c>
      <c r="DH258" s="125">
        <f t="shared" si="294"/>
        <v>2</v>
      </c>
      <c r="DI258" s="125">
        <f t="shared" si="294"/>
        <v>3</v>
      </c>
      <c r="DJ258" s="125">
        <f t="shared" si="294"/>
        <v>4</v>
      </c>
      <c r="DK258" s="125">
        <f t="shared" si="294"/>
        <v>5</v>
      </c>
      <c r="DL258" s="125">
        <f t="shared" si="294"/>
        <v>6</v>
      </c>
      <c r="DM258" s="125">
        <f t="shared" si="294"/>
        <v>7</v>
      </c>
      <c r="DN258" s="125">
        <f t="shared" si="294"/>
        <v>8</v>
      </c>
      <c r="DO258" s="125">
        <f t="shared" si="294"/>
        <v>9</v>
      </c>
      <c r="DP258" s="125">
        <f t="shared" si="294"/>
        <v>10</v>
      </c>
      <c r="DS258" s="137"/>
      <c r="DT258" s="137"/>
      <c r="DU258" s="137"/>
      <c r="DV258" s="137" t="b">
        <f t="shared" si="281"/>
        <v>0</v>
      </c>
      <c r="DW258" s="137" t="b">
        <f t="shared" si="282"/>
        <v>0</v>
      </c>
      <c r="DX258" s="137" t="b">
        <f t="shared" si="283"/>
        <v>1</v>
      </c>
      <c r="EB258" s="131">
        <f t="shared" si="292"/>
        <v>1</v>
      </c>
      <c r="EC258" s="137" t="b">
        <f t="shared" si="284"/>
        <v>0</v>
      </c>
      <c r="ED258" s="137" t="b">
        <f t="shared" si="285"/>
        <v>0</v>
      </c>
      <c r="EE258" s="137" t="b">
        <f t="shared" si="286"/>
        <v>1</v>
      </c>
      <c r="EF258" s="137"/>
      <c r="EG258" s="137"/>
      <c r="EH258" s="137"/>
      <c r="EI258" s="137"/>
      <c r="EJ258" s="137">
        <f t="shared" si="293"/>
        <v>1</v>
      </c>
      <c r="EK258" s="125">
        <f t="shared" si="287"/>
        <v>0</v>
      </c>
      <c r="EL258" s="125">
        <f t="shared" si="288"/>
        <v>0</v>
      </c>
    </row>
    <row r="259" spans="2:142" ht="15.75" x14ac:dyDescent="0.25">
      <c r="B259" s="160">
        <f t="shared" si="289"/>
        <v>229</v>
      </c>
      <c r="C259" s="283">
        <v>1001347694</v>
      </c>
      <c r="D259" s="283">
        <v>1001302279</v>
      </c>
      <c r="E259" s="281">
        <v>41968223</v>
      </c>
      <c r="F259" s="118">
        <f>IF(OR(J259="",H259=""),"",VLOOKUP(J259,'הזנה לסיווג רשויות'!$B$2:$D$301,2,0))</f>
        <v>20000150</v>
      </c>
      <c r="G259" s="118" t="str">
        <f>IF(OR(J259="",H259=""),"",VLOOKUP(J259,'הזנה לסיווג רשויות'!$B$2:$D$301,3,0))</f>
        <v>קריית גת</v>
      </c>
      <c r="H259" s="281" t="s">
        <v>716</v>
      </c>
      <c r="I259" s="201" t="s">
        <v>393</v>
      </c>
      <c r="J259" s="205">
        <v>2630</v>
      </c>
      <c r="K259" s="161">
        <v>0</v>
      </c>
      <c r="L259" s="161">
        <v>1</v>
      </c>
      <c r="M259" s="161">
        <v>0</v>
      </c>
      <c r="N259" s="161">
        <v>0</v>
      </c>
      <c r="O259" s="161">
        <v>1</v>
      </c>
      <c r="P259" s="161">
        <v>1</v>
      </c>
      <c r="Q259" s="161">
        <v>1</v>
      </c>
      <c r="R259" s="201">
        <v>345056</v>
      </c>
      <c r="S259" s="201">
        <v>345056</v>
      </c>
      <c r="T259" s="160">
        <f>IF(G259="","",IFERROR(IF(S259/R259&gt;'פרמטרים לקריטריונים'!$C$20,1,0),0))</f>
        <v>1</v>
      </c>
      <c r="U259" s="201">
        <v>345056</v>
      </c>
      <c r="V259" s="160">
        <f>IF(G259="","",IFERROR(IF(U259/R259&gt;'פרמטרים לקריטריונים'!$C$21,1,IF(AND(I259=$BW$5,U259/R259&gt;'פרמטרים לקריטריונים'!$C$22),1,0)),0))</f>
        <v>1</v>
      </c>
      <c r="W259" s="161">
        <v>1</v>
      </c>
      <c r="X259" s="161">
        <v>1</v>
      </c>
      <c r="Y259" s="201">
        <v>581500</v>
      </c>
      <c r="Z259" s="201">
        <v>250000</v>
      </c>
      <c r="AA259" s="161">
        <f t="shared" si="290"/>
        <v>1</v>
      </c>
      <c r="AB259" s="161"/>
      <c r="AC259" s="161"/>
      <c r="AD259" s="161"/>
      <c r="AE259" s="161"/>
      <c r="AF259" s="161"/>
      <c r="AG259" s="161"/>
      <c r="AH259" s="161"/>
      <c r="AI259" s="161"/>
      <c r="AJ259" s="161"/>
      <c r="AK259" s="161"/>
      <c r="AL259" s="161"/>
      <c r="AM259" s="161"/>
      <c r="AN259" s="161"/>
      <c r="AO259" s="161"/>
      <c r="AP259" s="161"/>
      <c r="AQ259" s="161"/>
      <c r="AR259" s="161"/>
      <c r="AS259" s="161"/>
      <c r="AT259" s="161"/>
      <c r="AU259" s="161"/>
      <c r="AV259" s="161"/>
      <c r="AW259" s="160"/>
      <c r="AX259" s="161"/>
      <c r="AY259" s="161"/>
      <c r="AZ259" s="161"/>
      <c r="BA259" s="161"/>
      <c r="BB259" s="161"/>
      <c r="BC259" s="161"/>
      <c r="BD259" s="161"/>
      <c r="BE259" s="161"/>
      <c r="BF259" s="160" t="str">
        <f t="shared" si="291"/>
        <v/>
      </c>
      <c r="BG259" s="160"/>
      <c r="BH259" s="160"/>
      <c r="BI259" s="160"/>
      <c r="BJ259" s="160"/>
      <c r="BK259" s="160"/>
      <c r="BL259" s="162">
        <f t="shared" si="242"/>
        <v>1</v>
      </c>
      <c r="BM259" s="257"/>
      <c r="BN259" s="163"/>
      <c r="BO259" s="211" t="str">
        <f t="shared" si="243"/>
        <v>מוזיקה פורטת גבולותתרבות בקהילה</v>
      </c>
      <c r="BP259" s="125">
        <f t="shared" si="244"/>
        <v>1</v>
      </c>
      <c r="BQ259" s="164">
        <v>0</v>
      </c>
      <c r="BR259" s="164">
        <v>1</v>
      </c>
      <c r="BS259" s="149">
        <f t="shared" si="245"/>
        <v>1</v>
      </c>
      <c r="BT259" s="149">
        <f t="shared" si="246"/>
        <v>1</v>
      </c>
      <c r="BU259" s="149">
        <f t="shared" si="247"/>
        <v>1</v>
      </c>
      <c r="BV259" s="149">
        <f t="shared" si="248"/>
        <v>1</v>
      </c>
      <c r="BW259" s="149">
        <f t="shared" si="249"/>
        <v>1</v>
      </c>
      <c r="BX259" s="149">
        <f t="shared" si="250"/>
        <v>1</v>
      </c>
      <c r="BY259" s="149">
        <f t="shared" si="251"/>
        <v>1</v>
      </c>
      <c r="BZ259" s="149">
        <f t="shared" si="252"/>
        <v>1</v>
      </c>
      <c r="CA259" s="149">
        <f t="shared" si="253"/>
        <v>1</v>
      </c>
      <c r="CB259" s="149">
        <f t="shared" si="254"/>
        <v>1</v>
      </c>
      <c r="CC259" s="149">
        <f t="shared" si="255"/>
        <v>1</v>
      </c>
      <c r="CD259" s="149">
        <f t="shared" si="256"/>
        <v>1</v>
      </c>
      <c r="CE259" s="149">
        <f t="shared" si="257"/>
        <v>1</v>
      </c>
      <c r="CF259" s="149">
        <f t="shared" si="258"/>
        <v>1</v>
      </c>
      <c r="CG259" s="149">
        <f t="shared" si="259"/>
        <v>1</v>
      </c>
      <c r="CH259" s="149">
        <f t="shared" si="260"/>
        <v>1</v>
      </c>
      <c r="CI259" s="149">
        <f t="shared" si="261"/>
        <v>1</v>
      </c>
      <c r="CJ259" s="149">
        <f t="shared" si="262"/>
        <v>1</v>
      </c>
      <c r="CK259" s="149">
        <f t="shared" si="263"/>
        <v>1</v>
      </c>
      <c r="CL259" s="149">
        <f t="shared" si="264"/>
        <v>1</v>
      </c>
      <c r="CM259" s="149">
        <f t="shared" si="265"/>
        <v>1</v>
      </c>
      <c r="CN259" s="149">
        <f t="shared" si="266"/>
        <v>1</v>
      </c>
      <c r="CO259" s="149">
        <f t="shared" si="267"/>
        <v>1</v>
      </c>
      <c r="CP259" s="149">
        <f t="shared" si="268"/>
        <v>1</v>
      </c>
      <c r="CQ259" s="149">
        <f t="shared" si="269"/>
        <v>1</v>
      </c>
      <c r="CR259" s="149">
        <f t="shared" si="270"/>
        <v>1</v>
      </c>
      <c r="CS259" s="149">
        <f t="shared" si="271"/>
        <v>1</v>
      </c>
      <c r="CT259" s="149">
        <f t="shared" si="272"/>
        <v>1</v>
      </c>
      <c r="CU259" s="149">
        <f t="shared" si="273"/>
        <v>1</v>
      </c>
      <c r="CV259" s="149">
        <f t="shared" si="274"/>
        <v>1</v>
      </c>
      <c r="CW259" s="149">
        <f t="shared" si="275"/>
        <v>1</v>
      </c>
      <c r="CX259" s="149">
        <f t="shared" si="276"/>
        <v>1</v>
      </c>
      <c r="CY259" s="149">
        <f t="shared" si="277"/>
        <v>1</v>
      </c>
      <c r="CZ259" s="149">
        <f t="shared" si="278"/>
        <v>1</v>
      </c>
      <c r="DA259" s="149">
        <f t="shared" si="279"/>
        <v>1</v>
      </c>
      <c r="DB259" s="149">
        <f t="shared" si="280"/>
        <v>1</v>
      </c>
      <c r="DG259" s="125">
        <f t="shared" si="241"/>
        <v>1</v>
      </c>
      <c r="DH259" s="125">
        <f t="shared" si="294"/>
        <v>2</v>
      </c>
      <c r="DI259" s="125">
        <f t="shared" si="294"/>
        <v>3</v>
      </c>
      <c r="DJ259" s="125">
        <f t="shared" si="294"/>
        <v>4</v>
      </c>
      <c r="DK259" s="125">
        <f t="shared" si="294"/>
        <v>5</v>
      </c>
      <c r="DL259" s="125">
        <f t="shared" si="294"/>
        <v>6</v>
      </c>
      <c r="DM259" s="125">
        <f t="shared" si="294"/>
        <v>7</v>
      </c>
      <c r="DN259" s="125">
        <f t="shared" si="294"/>
        <v>8</v>
      </c>
      <c r="DO259" s="125">
        <f t="shared" si="294"/>
        <v>9</v>
      </c>
      <c r="DP259" s="125">
        <f t="shared" si="294"/>
        <v>10</v>
      </c>
      <c r="DS259" s="137"/>
      <c r="DT259" s="137"/>
      <c r="DU259" s="137"/>
      <c r="DV259" s="137" t="b">
        <f t="shared" si="281"/>
        <v>0</v>
      </c>
      <c r="DW259" s="137" t="b">
        <f t="shared" si="282"/>
        <v>0</v>
      </c>
      <c r="DX259" s="137" t="b">
        <f t="shared" si="283"/>
        <v>1</v>
      </c>
      <c r="EB259" s="131">
        <f t="shared" si="292"/>
        <v>1</v>
      </c>
      <c r="EC259" s="137" t="b">
        <f t="shared" si="284"/>
        <v>0</v>
      </c>
      <c r="ED259" s="137" t="b">
        <f t="shared" si="285"/>
        <v>0</v>
      </c>
      <c r="EE259" s="137" t="b">
        <f t="shared" si="286"/>
        <v>1</v>
      </c>
      <c r="EF259" s="137"/>
      <c r="EG259" s="137"/>
      <c r="EH259" s="137"/>
      <c r="EI259" s="137"/>
      <c r="EJ259" s="137">
        <f t="shared" si="293"/>
        <v>1</v>
      </c>
      <c r="EK259" s="125">
        <f t="shared" si="287"/>
        <v>0</v>
      </c>
      <c r="EL259" s="125">
        <f t="shared" si="288"/>
        <v>0</v>
      </c>
    </row>
    <row r="260" spans="2:142" ht="15.75" x14ac:dyDescent="0.25">
      <c r="B260" s="160">
        <f t="shared" si="289"/>
        <v>230</v>
      </c>
      <c r="C260" s="283">
        <v>1001349548</v>
      </c>
      <c r="D260" s="283">
        <v>1001302223</v>
      </c>
      <c r="E260" s="281">
        <v>40221328</v>
      </c>
      <c r="F260" s="118">
        <f>IF(OR(J260="",H260=""),"",VLOOKUP(J260,'הזנה לסיווג רשויות'!$B$2:$D$301,2,0))</f>
        <v>20000035</v>
      </c>
      <c r="G260" s="118" t="str">
        <f>IF(OR(J260="",H260=""),"",VLOOKUP(J260,'הזנה לסיווג רשויות'!$B$2:$D$301,3,0))</f>
        <v>מגאר</v>
      </c>
      <c r="H260" s="281" t="s">
        <v>718</v>
      </c>
      <c r="I260" s="201" t="s">
        <v>373</v>
      </c>
      <c r="J260" s="205">
        <v>481</v>
      </c>
      <c r="K260" s="161">
        <v>0</v>
      </c>
      <c r="L260" s="161">
        <v>1</v>
      </c>
      <c r="M260" s="161">
        <v>0</v>
      </c>
      <c r="N260" s="161">
        <v>0</v>
      </c>
      <c r="O260" s="161">
        <v>1</v>
      </c>
      <c r="P260" s="161">
        <v>1</v>
      </c>
      <c r="Q260" s="161">
        <v>1</v>
      </c>
      <c r="R260" s="201">
        <v>664236</v>
      </c>
      <c r="S260" s="201">
        <v>262378</v>
      </c>
      <c r="T260" s="160">
        <f>IF(G260="","",IFERROR(IF(S260/R260&gt;'פרמטרים לקריטריונים'!$C$20,1,0),0))</f>
        <v>1</v>
      </c>
      <c r="U260" s="201">
        <v>262378</v>
      </c>
      <c r="V260" s="160">
        <f>IF(G260="","",IFERROR(IF(U260/R260&gt;'פרמטרים לקריטריונים'!$C$21,1,IF(AND(I260=$BW$5,U260/R260&gt;'פרמטרים לקריטריונים'!$C$22),1,0)),0))</f>
        <v>1</v>
      </c>
      <c r="W260" s="161">
        <v>1</v>
      </c>
      <c r="X260" s="161">
        <v>1</v>
      </c>
      <c r="Y260" s="201">
        <v>400000</v>
      </c>
      <c r="Z260" s="201">
        <v>200000</v>
      </c>
      <c r="AA260" s="161">
        <f t="shared" si="290"/>
        <v>1</v>
      </c>
      <c r="AB260" s="161"/>
      <c r="AC260" s="161"/>
      <c r="AD260" s="161"/>
      <c r="AE260" s="161"/>
      <c r="AF260" s="161"/>
      <c r="AG260" s="161"/>
      <c r="AH260" s="161"/>
      <c r="AI260" s="161"/>
      <c r="AJ260" s="161"/>
      <c r="AK260" s="161"/>
      <c r="AL260" s="161"/>
      <c r="AM260" s="161"/>
      <c r="AN260" s="161"/>
      <c r="AO260" s="161"/>
      <c r="AP260" s="161"/>
      <c r="AQ260" s="161"/>
      <c r="AR260" s="161"/>
      <c r="AS260" s="161"/>
      <c r="AT260" s="161"/>
      <c r="AU260" s="161"/>
      <c r="AV260" s="161"/>
      <c r="AW260" s="160"/>
      <c r="AX260" s="161"/>
      <c r="AY260" s="161"/>
      <c r="AZ260" s="161"/>
      <c r="BA260" s="161"/>
      <c r="BB260" s="161"/>
      <c r="BC260" s="161"/>
      <c r="BD260" s="161"/>
      <c r="BE260" s="161"/>
      <c r="BF260" s="160" t="str">
        <f t="shared" si="291"/>
        <v/>
      </c>
      <c r="BG260" s="160"/>
      <c r="BH260" s="160"/>
      <c r="BI260" s="160"/>
      <c r="BJ260" s="160"/>
      <c r="BK260" s="160"/>
      <c r="BL260" s="162">
        <f t="shared" si="242"/>
        <v>1</v>
      </c>
      <c r="BM260" s="257"/>
      <c r="BN260" s="163"/>
      <c r="BO260" s="211" t="str">
        <f t="shared" si="243"/>
        <v>תיאטרון הגליל הקהילתיתיאטרון</v>
      </c>
      <c r="BP260" s="125">
        <f t="shared" si="244"/>
        <v>1</v>
      </c>
      <c r="BQ260" s="164">
        <v>0</v>
      </c>
      <c r="BR260" s="164">
        <v>1</v>
      </c>
      <c r="BS260" s="149">
        <f t="shared" si="245"/>
        <v>1</v>
      </c>
      <c r="BT260" s="149">
        <f t="shared" si="246"/>
        <v>1</v>
      </c>
      <c r="BU260" s="149">
        <f t="shared" si="247"/>
        <v>1</v>
      </c>
      <c r="BV260" s="149">
        <f t="shared" si="248"/>
        <v>1</v>
      </c>
      <c r="BW260" s="149">
        <f t="shared" si="249"/>
        <v>1</v>
      </c>
      <c r="BX260" s="149">
        <f t="shared" si="250"/>
        <v>1</v>
      </c>
      <c r="BY260" s="149">
        <f t="shared" si="251"/>
        <v>1</v>
      </c>
      <c r="BZ260" s="149">
        <f t="shared" si="252"/>
        <v>1</v>
      </c>
      <c r="CA260" s="149">
        <f t="shared" si="253"/>
        <v>1</v>
      </c>
      <c r="CB260" s="149">
        <f t="shared" si="254"/>
        <v>1</v>
      </c>
      <c r="CC260" s="149">
        <f t="shared" si="255"/>
        <v>1</v>
      </c>
      <c r="CD260" s="149">
        <f t="shared" si="256"/>
        <v>1</v>
      </c>
      <c r="CE260" s="149">
        <f t="shared" si="257"/>
        <v>1</v>
      </c>
      <c r="CF260" s="149">
        <f t="shared" si="258"/>
        <v>1</v>
      </c>
      <c r="CG260" s="149">
        <f t="shared" si="259"/>
        <v>1</v>
      </c>
      <c r="CH260" s="149">
        <f t="shared" si="260"/>
        <v>1</v>
      </c>
      <c r="CI260" s="149">
        <f t="shared" si="261"/>
        <v>1</v>
      </c>
      <c r="CJ260" s="149">
        <f t="shared" si="262"/>
        <v>1</v>
      </c>
      <c r="CK260" s="149">
        <f t="shared" si="263"/>
        <v>1</v>
      </c>
      <c r="CL260" s="149">
        <f t="shared" si="264"/>
        <v>1</v>
      </c>
      <c r="CM260" s="149">
        <f t="shared" si="265"/>
        <v>1</v>
      </c>
      <c r="CN260" s="149">
        <f t="shared" si="266"/>
        <v>1</v>
      </c>
      <c r="CO260" s="149">
        <f t="shared" si="267"/>
        <v>1</v>
      </c>
      <c r="CP260" s="149">
        <f t="shared" si="268"/>
        <v>1</v>
      </c>
      <c r="CQ260" s="149">
        <f t="shared" si="269"/>
        <v>1</v>
      </c>
      <c r="CR260" s="149">
        <f t="shared" si="270"/>
        <v>1</v>
      </c>
      <c r="CS260" s="149">
        <f t="shared" si="271"/>
        <v>1</v>
      </c>
      <c r="CT260" s="149">
        <f t="shared" si="272"/>
        <v>1</v>
      </c>
      <c r="CU260" s="149">
        <f t="shared" si="273"/>
        <v>1</v>
      </c>
      <c r="CV260" s="149">
        <f t="shared" si="274"/>
        <v>1</v>
      </c>
      <c r="CW260" s="149">
        <f t="shared" si="275"/>
        <v>1</v>
      </c>
      <c r="CX260" s="149">
        <f t="shared" si="276"/>
        <v>1</v>
      </c>
      <c r="CY260" s="149">
        <f t="shared" si="277"/>
        <v>1</v>
      </c>
      <c r="CZ260" s="149">
        <f t="shared" si="278"/>
        <v>1</v>
      </c>
      <c r="DA260" s="149">
        <f t="shared" si="279"/>
        <v>1</v>
      </c>
      <c r="DB260" s="149">
        <f t="shared" si="280"/>
        <v>1</v>
      </c>
      <c r="DG260" s="125">
        <f t="shared" si="241"/>
        <v>1</v>
      </c>
      <c r="DH260" s="125">
        <f t="shared" si="294"/>
        <v>2</v>
      </c>
      <c r="DI260" s="125">
        <f t="shared" si="294"/>
        <v>3</v>
      </c>
      <c r="DJ260" s="125">
        <f t="shared" si="294"/>
        <v>4</v>
      </c>
      <c r="DK260" s="125">
        <f t="shared" si="294"/>
        <v>5</v>
      </c>
      <c r="DL260" s="125">
        <f t="shared" si="294"/>
        <v>6</v>
      </c>
      <c r="DM260" s="125">
        <f t="shared" si="294"/>
        <v>7</v>
      </c>
      <c r="DN260" s="125">
        <f t="shared" si="294"/>
        <v>8</v>
      </c>
      <c r="DO260" s="125">
        <f t="shared" si="294"/>
        <v>9</v>
      </c>
      <c r="DP260" s="125">
        <f t="shared" si="294"/>
        <v>10</v>
      </c>
      <c r="DS260" s="137"/>
      <c r="DT260" s="137"/>
      <c r="DU260" s="137"/>
      <c r="DV260" s="137" t="b">
        <f t="shared" si="281"/>
        <v>0</v>
      </c>
      <c r="DW260" s="137" t="b">
        <f t="shared" si="282"/>
        <v>0</v>
      </c>
      <c r="DX260" s="137" t="b">
        <f t="shared" si="283"/>
        <v>1</v>
      </c>
      <c r="EB260" s="131">
        <f t="shared" si="292"/>
        <v>1</v>
      </c>
      <c r="EC260" s="137" t="b">
        <f t="shared" si="284"/>
        <v>0</v>
      </c>
      <c r="ED260" s="137" t="b">
        <f t="shared" si="285"/>
        <v>0</v>
      </c>
      <c r="EE260" s="137" t="b">
        <f t="shared" si="286"/>
        <v>1</v>
      </c>
      <c r="EF260" s="137"/>
      <c r="EG260" s="137"/>
      <c r="EH260" s="137"/>
      <c r="EI260" s="137"/>
      <c r="EJ260" s="137">
        <f t="shared" si="293"/>
        <v>1</v>
      </c>
      <c r="EK260" s="125">
        <f t="shared" si="287"/>
        <v>0</v>
      </c>
      <c r="EL260" s="125">
        <f t="shared" si="288"/>
        <v>0</v>
      </c>
    </row>
    <row r="261" spans="2:142" ht="15.75" x14ac:dyDescent="0.25">
      <c r="B261" s="160">
        <f t="shared" si="289"/>
        <v>231</v>
      </c>
      <c r="C261" s="283">
        <v>1001347151</v>
      </c>
      <c r="D261" s="283">
        <v>1001273224</v>
      </c>
      <c r="E261" s="281">
        <v>41072447</v>
      </c>
      <c r="F261" s="118">
        <f>IF(OR(J261="",H261=""),"",VLOOKUP(J261,'הזנה לסיווג רשויות'!$B$2:$D$301,2,0))</f>
        <v>20000159</v>
      </c>
      <c r="G261" s="118" t="str">
        <f>IF(OR(J261="",H261=""),"",VLOOKUP(J261,'הזנה לסיווג רשויות'!$B$2:$D$301,3,0))</f>
        <v>ירושלים</v>
      </c>
      <c r="H261" s="281" t="s">
        <v>719</v>
      </c>
      <c r="I261" s="201" t="s">
        <v>386</v>
      </c>
      <c r="J261" s="205">
        <v>3000</v>
      </c>
      <c r="K261" s="161">
        <v>0</v>
      </c>
      <c r="L261" s="161">
        <v>1</v>
      </c>
      <c r="M261" s="161">
        <v>0</v>
      </c>
      <c r="N261" s="161">
        <v>1</v>
      </c>
      <c r="O261" s="161">
        <v>1</v>
      </c>
      <c r="P261" s="161">
        <v>1</v>
      </c>
      <c r="Q261" s="161">
        <v>1</v>
      </c>
      <c r="R261" s="201">
        <v>1450768</v>
      </c>
      <c r="S261" s="201">
        <v>692995</v>
      </c>
      <c r="T261" s="160">
        <f>IF(G261="","",IFERROR(IF(S261/R261&gt;'פרמטרים לקריטריונים'!$C$20,1,0),0))</f>
        <v>1</v>
      </c>
      <c r="U261" s="201">
        <v>298926</v>
      </c>
      <c r="V261" s="160">
        <f>IF(G261="","",IFERROR(IF(U261/R261&gt;'פרמטרים לקריטריונים'!$C$21,1,IF(AND(I261=$BW$5,U261/R261&gt;'פרמטרים לקריטריונים'!$C$22),1,0)),0))</f>
        <v>1</v>
      </c>
      <c r="W261" s="161">
        <v>1</v>
      </c>
      <c r="X261" s="161">
        <v>1</v>
      </c>
      <c r="Y261" s="201">
        <v>400000</v>
      </c>
      <c r="Z261" s="201">
        <v>400000</v>
      </c>
      <c r="AA261" s="161">
        <f t="shared" si="290"/>
        <v>1</v>
      </c>
      <c r="AB261" s="161"/>
      <c r="AC261" s="161"/>
      <c r="AD261" s="161"/>
      <c r="AE261" s="161"/>
      <c r="AF261" s="161"/>
      <c r="AG261" s="161"/>
      <c r="AH261" s="161"/>
      <c r="AI261" s="161"/>
      <c r="AJ261" s="161"/>
      <c r="AK261" s="161"/>
      <c r="AL261" s="161"/>
      <c r="AM261" s="161"/>
      <c r="AN261" s="161"/>
      <c r="AO261" s="161"/>
      <c r="AP261" s="161"/>
      <c r="AQ261" s="161"/>
      <c r="AR261" s="161"/>
      <c r="AS261" s="161"/>
      <c r="AT261" s="161"/>
      <c r="AU261" s="161"/>
      <c r="AV261" s="161"/>
      <c r="AW261" s="160"/>
      <c r="AX261" s="161"/>
      <c r="AY261" s="161"/>
      <c r="AZ261" s="161"/>
      <c r="BA261" s="161"/>
      <c r="BB261" s="161"/>
      <c r="BC261" s="161"/>
      <c r="BD261" s="161"/>
      <c r="BE261" s="161"/>
      <c r="BF261" s="160" t="str">
        <f t="shared" si="291"/>
        <v/>
      </c>
      <c r="BG261" s="160"/>
      <c r="BH261" s="160"/>
      <c r="BI261" s="160"/>
      <c r="BJ261" s="160"/>
      <c r="BK261" s="160"/>
      <c r="BL261" s="162">
        <f t="shared" si="242"/>
        <v>1</v>
      </c>
      <c r="BM261" s="257"/>
      <c r="BN261" s="163"/>
      <c r="BO261" s="211" t="str">
        <f t="shared" si="243"/>
        <v>מחול שלם - בית עכשווי למחול (ע"ר)מרכזי מחול</v>
      </c>
      <c r="BP261" s="125">
        <f t="shared" si="244"/>
        <v>1</v>
      </c>
      <c r="BQ261" s="164">
        <v>0</v>
      </c>
      <c r="BR261" s="164">
        <v>1</v>
      </c>
      <c r="BS261" s="149">
        <f t="shared" si="245"/>
        <v>1</v>
      </c>
      <c r="BT261" s="149">
        <f t="shared" si="246"/>
        <v>1</v>
      </c>
      <c r="BU261" s="149">
        <f t="shared" si="247"/>
        <v>1</v>
      </c>
      <c r="BV261" s="149">
        <f t="shared" si="248"/>
        <v>1</v>
      </c>
      <c r="BW261" s="149">
        <f t="shared" si="249"/>
        <v>1</v>
      </c>
      <c r="BX261" s="149">
        <f t="shared" si="250"/>
        <v>1</v>
      </c>
      <c r="BY261" s="149">
        <f t="shared" si="251"/>
        <v>1</v>
      </c>
      <c r="BZ261" s="149">
        <f t="shared" si="252"/>
        <v>1</v>
      </c>
      <c r="CA261" s="149">
        <f t="shared" si="253"/>
        <v>1</v>
      </c>
      <c r="CB261" s="149">
        <f t="shared" si="254"/>
        <v>1</v>
      </c>
      <c r="CC261" s="149">
        <f t="shared" si="255"/>
        <v>1</v>
      </c>
      <c r="CD261" s="149">
        <f t="shared" si="256"/>
        <v>1</v>
      </c>
      <c r="CE261" s="149">
        <f t="shared" si="257"/>
        <v>1</v>
      </c>
      <c r="CF261" s="149">
        <f t="shared" si="258"/>
        <v>1</v>
      </c>
      <c r="CG261" s="149">
        <f t="shared" si="259"/>
        <v>1</v>
      </c>
      <c r="CH261" s="149">
        <f t="shared" si="260"/>
        <v>1</v>
      </c>
      <c r="CI261" s="149">
        <f t="shared" si="261"/>
        <v>1</v>
      </c>
      <c r="CJ261" s="149">
        <f t="shared" si="262"/>
        <v>1</v>
      </c>
      <c r="CK261" s="149">
        <f t="shared" si="263"/>
        <v>1</v>
      </c>
      <c r="CL261" s="149">
        <f t="shared" si="264"/>
        <v>1</v>
      </c>
      <c r="CM261" s="149">
        <f t="shared" si="265"/>
        <v>1</v>
      </c>
      <c r="CN261" s="149">
        <f t="shared" si="266"/>
        <v>1</v>
      </c>
      <c r="CO261" s="149">
        <f t="shared" si="267"/>
        <v>1</v>
      </c>
      <c r="CP261" s="149">
        <f t="shared" si="268"/>
        <v>1</v>
      </c>
      <c r="CQ261" s="149">
        <f t="shared" si="269"/>
        <v>1</v>
      </c>
      <c r="CR261" s="149">
        <f t="shared" si="270"/>
        <v>1</v>
      </c>
      <c r="CS261" s="149">
        <f t="shared" si="271"/>
        <v>1</v>
      </c>
      <c r="CT261" s="149">
        <f t="shared" si="272"/>
        <v>1</v>
      </c>
      <c r="CU261" s="149">
        <f t="shared" si="273"/>
        <v>1</v>
      </c>
      <c r="CV261" s="149">
        <f t="shared" si="274"/>
        <v>1</v>
      </c>
      <c r="CW261" s="149">
        <f t="shared" si="275"/>
        <v>1</v>
      </c>
      <c r="CX261" s="149">
        <f t="shared" si="276"/>
        <v>1</v>
      </c>
      <c r="CY261" s="149">
        <f t="shared" si="277"/>
        <v>1</v>
      </c>
      <c r="CZ261" s="149">
        <f t="shared" si="278"/>
        <v>1</v>
      </c>
      <c r="DA261" s="149">
        <f t="shared" si="279"/>
        <v>1</v>
      </c>
      <c r="DB261" s="149">
        <f t="shared" si="280"/>
        <v>1</v>
      </c>
      <c r="DG261" s="125">
        <f t="shared" si="241"/>
        <v>1</v>
      </c>
      <c r="DH261" s="125">
        <f t="shared" si="294"/>
        <v>2</v>
      </c>
      <c r="DI261" s="125">
        <f t="shared" si="294"/>
        <v>3</v>
      </c>
      <c r="DJ261" s="125">
        <f t="shared" si="294"/>
        <v>4</v>
      </c>
      <c r="DK261" s="125">
        <f t="shared" si="294"/>
        <v>5</v>
      </c>
      <c r="DL261" s="125">
        <f t="shared" si="294"/>
        <v>6</v>
      </c>
      <c r="DM261" s="125">
        <f t="shared" si="294"/>
        <v>7</v>
      </c>
      <c r="DN261" s="125">
        <f t="shared" si="294"/>
        <v>8</v>
      </c>
      <c r="DO261" s="125">
        <f t="shared" si="294"/>
        <v>9</v>
      </c>
      <c r="DP261" s="125">
        <f t="shared" si="294"/>
        <v>10</v>
      </c>
      <c r="DS261" s="137"/>
      <c r="DT261" s="137"/>
      <c r="DU261" s="137"/>
      <c r="DV261" s="137" t="b">
        <f t="shared" si="281"/>
        <v>0</v>
      </c>
      <c r="DW261" s="137" t="b">
        <f t="shared" si="282"/>
        <v>0</v>
      </c>
      <c r="DX261" s="137" t="b">
        <f t="shared" si="283"/>
        <v>1</v>
      </c>
      <c r="EB261" s="131">
        <f t="shared" si="292"/>
        <v>1</v>
      </c>
      <c r="EC261" s="137" t="b">
        <f t="shared" si="284"/>
        <v>0</v>
      </c>
      <c r="ED261" s="137" t="b">
        <f t="shared" si="285"/>
        <v>0</v>
      </c>
      <c r="EE261" s="137" t="b">
        <f t="shared" si="286"/>
        <v>1</v>
      </c>
      <c r="EF261" s="137"/>
      <c r="EG261" s="137"/>
      <c r="EH261" s="137"/>
      <c r="EI261" s="137"/>
      <c r="EJ261" s="137">
        <f t="shared" si="293"/>
        <v>1</v>
      </c>
      <c r="EK261" s="125">
        <f t="shared" si="287"/>
        <v>0</v>
      </c>
      <c r="EL261" s="125">
        <f t="shared" si="288"/>
        <v>0</v>
      </c>
    </row>
    <row r="262" spans="2:142" ht="15.75" x14ac:dyDescent="0.25">
      <c r="B262" s="160">
        <f t="shared" si="289"/>
        <v>232</v>
      </c>
      <c r="C262" s="283">
        <v>1001347854</v>
      </c>
      <c r="D262" s="283">
        <v>1001302179</v>
      </c>
      <c r="E262" s="281">
        <v>41072447</v>
      </c>
      <c r="F262" s="118">
        <f>IF(OR(J262="",H262=""),"",VLOOKUP(J262,'הזנה לסיווג רשויות'!$B$2:$D$301,2,0))</f>
        <v>20000159</v>
      </c>
      <c r="G262" s="118" t="str">
        <f>IF(OR(J262="",H262=""),"",VLOOKUP(J262,'הזנה לסיווג רשויות'!$B$2:$D$301,3,0))</f>
        <v>ירושלים</v>
      </c>
      <c r="H262" s="281" t="s">
        <v>719</v>
      </c>
      <c r="I262" s="201" t="s">
        <v>374</v>
      </c>
      <c r="J262" s="205">
        <v>3000</v>
      </c>
      <c r="K262" s="161">
        <v>0</v>
      </c>
      <c r="L262" s="161">
        <v>1</v>
      </c>
      <c r="M262" s="161">
        <v>0</v>
      </c>
      <c r="N262" s="161">
        <v>1</v>
      </c>
      <c r="O262" s="161">
        <v>1</v>
      </c>
      <c r="P262" s="161">
        <v>1</v>
      </c>
      <c r="Q262" s="161">
        <v>1</v>
      </c>
      <c r="R262" s="201">
        <v>111884</v>
      </c>
      <c r="S262" s="201">
        <v>80905</v>
      </c>
      <c r="T262" s="160">
        <f>IF(G262="","",IFERROR(IF(S262/R262&gt;'פרמטרים לקריטריונים'!$C$20,1,0),0))</f>
        <v>1</v>
      </c>
      <c r="U262" s="201">
        <v>30979</v>
      </c>
      <c r="V262" s="160">
        <f>IF(G262="","",IFERROR(IF(U262/R262&gt;'פרמטרים לקריטריונים'!$C$21,1,IF(AND(I262=$BW$5,U262/R262&gt;'פרמטרים לקריטריונים'!$C$22),1,0)),0))</f>
        <v>1</v>
      </c>
      <c r="W262" s="161">
        <v>1</v>
      </c>
      <c r="X262" s="161">
        <v>1</v>
      </c>
      <c r="Y262" s="201">
        <v>350000</v>
      </c>
      <c r="Z262" s="201">
        <v>350000</v>
      </c>
      <c r="AA262" s="161">
        <f t="shared" si="290"/>
        <v>1</v>
      </c>
      <c r="AB262" s="161"/>
      <c r="AC262" s="161"/>
      <c r="AD262" s="161"/>
      <c r="AE262" s="161"/>
      <c r="AF262" s="161"/>
      <c r="AG262" s="161"/>
      <c r="AH262" s="161"/>
      <c r="AI262" s="161"/>
      <c r="AJ262" s="161"/>
      <c r="AK262" s="161"/>
      <c r="AL262" s="161"/>
      <c r="AM262" s="161"/>
      <c r="AN262" s="161"/>
      <c r="AO262" s="161"/>
      <c r="AP262" s="161"/>
      <c r="AQ262" s="161"/>
      <c r="AR262" s="161"/>
      <c r="AS262" s="161"/>
      <c r="AT262" s="161"/>
      <c r="AU262" s="161"/>
      <c r="AV262" s="161"/>
      <c r="AW262" s="160"/>
      <c r="AX262" s="161"/>
      <c r="AY262" s="161"/>
      <c r="AZ262" s="161"/>
      <c r="BA262" s="161"/>
      <c r="BB262" s="161"/>
      <c r="BC262" s="161"/>
      <c r="BD262" s="161"/>
      <c r="BE262" s="161"/>
      <c r="BF262" s="160" t="str">
        <f t="shared" si="291"/>
        <v/>
      </c>
      <c r="BG262" s="160"/>
      <c r="BH262" s="160"/>
      <c r="BI262" s="160"/>
      <c r="BJ262" s="160"/>
      <c r="BK262" s="160"/>
      <c r="BL262" s="162">
        <f t="shared" si="242"/>
        <v>1</v>
      </c>
      <c r="BM262" s="257"/>
      <c r="BN262" s="163"/>
      <c r="BO262" s="211" t="str">
        <f t="shared" si="243"/>
        <v>מחול שלם - בית עכשווי למחול (ע"ר)מחול</v>
      </c>
      <c r="BP262" s="125">
        <f t="shared" si="244"/>
        <v>1</v>
      </c>
      <c r="BQ262" s="164">
        <v>0</v>
      </c>
      <c r="BR262" s="164">
        <v>1</v>
      </c>
      <c r="BS262" s="149">
        <f t="shared" si="245"/>
        <v>1</v>
      </c>
      <c r="BT262" s="149">
        <f t="shared" si="246"/>
        <v>1</v>
      </c>
      <c r="BU262" s="149">
        <f t="shared" si="247"/>
        <v>1</v>
      </c>
      <c r="BV262" s="149">
        <f t="shared" si="248"/>
        <v>1</v>
      </c>
      <c r="BW262" s="149">
        <f t="shared" si="249"/>
        <v>1</v>
      </c>
      <c r="BX262" s="149">
        <f t="shared" si="250"/>
        <v>1</v>
      </c>
      <c r="BY262" s="149">
        <f t="shared" si="251"/>
        <v>1</v>
      </c>
      <c r="BZ262" s="149">
        <f t="shared" si="252"/>
        <v>1</v>
      </c>
      <c r="CA262" s="149">
        <f t="shared" si="253"/>
        <v>1</v>
      </c>
      <c r="CB262" s="149">
        <f t="shared" si="254"/>
        <v>1</v>
      </c>
      <c r="CC262" s="149">
        <f t="shared" si="255"/>
        <v>1</v>
      </c>
      <c r="CD262" s="149">
        <f t="shared" si="256"/>
        <v>1</v>
      </c>
      <c r="CE262" s="149">
        <f t="shared" si="257"/>
        <v>1</v>
      </c>
      <c r="CF262" s="149">
        <f t="shared" si="258"/>
        <v>1</v>
      </c>
      <c r="CG262" s="149">
        <f t="shared" si="259"/>
        <v>1</v>
      </c>
      <c r="CH262" s="149">
        <f t="shared" si="260"/>
        <v>1</v>
      </c>
      <c r="CI262" s="149">
        <f t="shared" si="261"/>
        <v>1</v>
      </c>
      <c r="CJ262" s="149">
        <f t="shared" si="262"/>
        <v>1</v>
      </c>
      <c r="CK262" s="149">
        <f t="shared" si="263"/>
        <v>1</v>
      </c>
      <c r="CL262" s="149">
        <f t="shared" si="264"/>
        <v>1</v>
      </c>
      <c r="CM262" s="149">
        <f t="shared" si="265"/>
        <v>1</v>
      </c>
      <c r="CN262" s="149">
        <f t="shared" si="266"/>
        <v>1</v>
      </c>
      <c r="CO262" s="149">
        <f t="shared" si="267"/>
        <v>1</v>
      </c>
      <c r="CP262" s="149">
        <f t="shared" si="268"/>
        <v>1</v>
      </c>
      <c r="CQ262" s="149">
        <f t="shared" si="269"/>
        <v>1</v>
      </c>
      <c r="CR262" s="149">
        <f t="shared" si="270"/>
        <v>1</v>
      </c>
      <c r="CS262" s="149">
        <f t="shared" si="271"/>
        <v>1</v>
      </c>
      <c r="CT262" s="149">
        <f t="shared" si="272"/>
        <v>1</v>
      </c>
      <c r="CU262" s="149">
        <f t="shared" si="273"/>
        <v>1</v>
      </c>
      <c r="CV262" s="149">
        <f t="shared" si="274"/>
        <v>1</v>
      </c>
      <c r="CW262" s="149">
        <f t="shared" si="275"/>
        <v>1</v>
      </c>
      <c r="CX262" s="149">
        <f t="shared" si="276"/>
        <v>1</v>
      </c>
      <c r="CY262" s="149">
        <f t="shared" si="277"/>
        <v>1</v>
      </c>
      <c r="CZ262" s="149">
        <f t="shared" si="278"/>
        <v>1</v>
      </c>
      <c r="DA262" s="149">
        <f t="shared" si="279"/>
        <v>1</v>
      </c>
      <c r="DB262" s="149">
        <f t="shared" si="280"/>
        <v>1</v>
      </c>
      <c r="DG262" s="125">
        <f t="shared" si="241"/>
        <v>1</v>
      </c>
      <c r="DH262" s="125">
        <f t="shared" si="294"/>
        <v>2</v>
      </c>
      <c r="DI262" s="125">
        <f t="shared" si="294"/>
        <v>3</v>
      </c>
      <c r="DJ262" s="125">
        <f t="shared" si="294"/>
        <v>4</v>
      </c>
      <c r="DK262" s="125">
        <f t="shared" si="294"/>
        <v>5</v>
      </c>
      <c r="DL262" s="125">
        <f t="shared" si="294"/>
        <v>6</v>
      </c>
      <c r="DM262" s="125">
        <f t="shared" si="294"/>
        <v>7</v>
      </c>
      <c r="DN262" s="125">
        <f t="shared" si="294"/>
        <v>8</v>
      </c>
      <c r="DO262" s="125">
        <f t="shared" si="294"/>
        <v>9</v>
      </c>
      <c r="DP262" s="125">
        <f t="shared" si="294"/>
        <v>10</v>
      </c>
      <c r="DS262" s="137"/>
      <c r="DT262" s="137"/>
      <c r="DU262" s="137"/>
      <c r="DV262" s="137" t="b">
        <f t="shared" si="281"/>
        <v>0</v>
      </c>
      <c r="DW262" s="137" t="b">
        <f t="shared" si="282"/>
        <v>0</v>
      </c>
      <c r="DX262" s="137" t="b">
        <f t="shared" si="283"/>
        <v>1</v>
      </c>
      <c r="EB262" s="131">
        <f t="shared" si="292"/>
        <v>1</v>
      </c>
      <c r="EC262" s="137" t="b">
        <f t="shared" si="284"/>
        <v>0</v>
      </c>
      <c r="ED262" s="137" t="b">
        <f t="shared" si="285"/>
        <v>0</v>
      </c>
      <c r="EE262" s="137" t="b">
        <f t="shared" si="286"/>
        <v>1</v>
      </c>
      <c r="EF262" s="137"/>
      <c r="EG262" s="137"/>
      <c r="EH262" s="137"/>
      <c r="EI262" s="137"/>
      <c r="EJ262" s="137">
        <f t="shared" si="293"/>
        <v>1</v>
      </c>
      <c r="EK262" s="125">
        <f t="shared" si="287"/>
        <v>0</v>
      </c>
      <c r="EL262" s="125">
        <f t="shared" si="288"/>
        <v>0</v>
      </c>
    </row>
    <row r="263" spans="2:142" ht="15.75" x14ac:dyDescent="0.25">
      <c r="B263" s="160">
        <f t="shared" si="289"/>
        <v>233</v>
      </c>
      <c r="C263" s="283">
        <v>1001347063</v>
      </c>
      <c r="D263" s="283">
        <v>1001290740</v>
      </c>
      <c r="E263" s="281">
        <v>41635660</v>
      </c>
      <c r="F263" s="118">
        <f>IF(OR(J263="",H263=""),"",VLOOKUP(J263,'הזנה לסיווג רשויות'!$B$2:$D$301,2,0))</f>
        <v>20000254</v>
      </c>
      <c r="G263" s="118" t="str">
        <f>IF(OR(J263="",H263=""),"",VLOOKUP(J263,'הזנה לסיווג רשויות'!$B$2:$D$301,3,0))</f>
        <v>באר שבע</v>
      </c>
      <c r="H263" s="281" t="s">
        <v>720</v>
      </c>
      <c r="I263" s="201" t="s">
        <v>374</v>
      </c>
      <c r="J263" s="205">
        <v>9000</v>
      </c>
      <c r="K263" s="161">
        <v>0</v>
      </c>
      <c r="L263" s="161">
        <v>1</v>
      </c>
      <c r="M263" s="161">
        <v>0</v>
      </c>
      <c r="N263" s="161">
        <v>0</v>
      </c>
      <c r="O263" s="161">
        <v>1</v>
      </c>
      <c r="P263" s="161">
        <v>1</v>
      </c>
      <c r="Q263" s="161">
        <v>1</v>
      </c>
      <c r="R263" s="201">
        <v>617299</v>
      </c>
      <c r="S263" s="201">
        <v>276585</v>
      </c>
      <c r="T263" s="160">
        <f>IF(G263="","",IFERROR(IF(S263/R263&gt;'פרמטרים לקריטריונים'!$C$20,1,0),0))</f>
        <v>1</v>
      </c>
      <c r="U263" s="201">
        <v>276585</v>
      </c>
      <c r="V263" s="160">
        <f>IF(G263="","",IFERROR(IF(U263/R263&gt;'פרמטרים לקריטריונים'!$C$21,1,IF(AND(I263=$BW$5,U263/R263&gt;'פרמטרים לקריטריונים'!$C$22),1,0)),0))</f>
        <v>1</v>
      </c>
      <c r="W263" s="161">
        <v>1</v>
      </c>
      <c r="X263" s="161">
        <v>1</v>
      </c>
      <c r="Y263" s="201">
        <v>1000000</v>
      </c>
      <c r="Z263" s="201">
        <v>230000</v>
      </c>
      <c r="AA263" s="161">
        <f t="shared" si="290"/>
        <v>1</v>
      </c>
      <c r="AB263" s="161"/>
      <c r="AC263" s="161"/>
      <c r="AD263" s="161"/>
      <c r="AE263" s="161"/>
      <c r="AF263" s="161"/>
      <c r="AG263" s="161"/>
      <c r="AH263" s="161"/>
      <c r="AI263" s="161"/>
      <c r="AJ263" s="161"/>
      <c r="AK263" s="161"/>
      <c r="AL263" s="161"/>
      <c r="AM263" s="161"/>
      <c r="AN263" s="161"/>
      <c r="AO263" s="161"/>
      <c r="AP263" s="161"/>
      <c r="AQ263" s="161"/>
      <c r="AR263" s="161"/>
      <c r="AS263" s="161"/>
      <c r="AT263" s="161"/>
      <c r="AU263" s="161"/>
      <c r="AV263" s="161"/>
      <c r="AW263" s="160"/>
      <c r="AX263" s="161"/>
      <c r="AY263" s="161"/>
      <c r="AZ263" s="161"/>
      <c r="BA263" s="161"/>
      <c r="BB263" s="161"/>
      <c r="BC263" s="161"/>
      <c r="BD263" s="161"/>
      <c r="BE263" s="161"/>
      <c r="BF263" s="160" t="str">
        <f t="shared" si="291"/>
        <v/>
      </c>
      <c r="BG263" s="160"/>
      <c r="BH263" s="160"/>
      <c r="BI263" s="160"/>
      <c r="BJ263" s="160"/>
      <c r="BK263" s="160"/>
      <c r="BL263" s="162">
        <f t="shared" si="242"/>
        <v>1</v>
      </c>
      <c r="BM263" s="257"/>
      <c r="BN263" s="163"/>
      <c r="BO263" s="211" t="str">
        <f t="shared" si="243"/>
        <v>עמותת הבית למחולמחול</v>
      </c>
      <c r="BP263" s="125">
        <f t="shared" si="244"/>
        <v>1</v>
      </c>
      <c r="BQ263" s="164">
        <v>0</v>
      </c>
      <c r="BR263" s="164">
        <v>1</v>
      </c>
      <c r="BS263" s="149">
        <f t="shared" si="245"/>
        <v>1</v>
      </c>
      <c r="BT263" s="149">
        <f t="shared" si="246"/>
        <v>1</v>
      </c>
      <c r="BU263" s="149">
        <f t="shared" si="247"/>
        <v>1</v>
      </c>
      <c r="BV263" s="149">
        <f t="shared" si="248"/>
        <v>1</v>
      </c>
      <c r="BW263" s="149">
        <f t="shared" si="249"/>
        <v>1</v>
      </c>
      <c r="BX263" s="149">
        <f t="shared" si="250"/>
        <v>1</v>
      </c>
      <c r="BY263" s="149">
        <f t="shared" si="251"/>
        <v>1</v>
      </c>
      <c r="BZ263" s="149">
        <f t="shared" si="252"/>
        <v>1</v>
      </c>
      <c r="CA263" s="149">
        <f t="shared" si="253"/>
        <v>1</v>
      </c>
      <c r="CB263" s="149">
        <f t="shared" si="254"/>
        <v>1</v>
      </c>
      <c r="CC263" s="149">
        <f t="shared" si="255"/>
        <v>1</v>
      </c>
      <c r="CD263" s="149">
        <f t="shared" si="256"/>
        <v>1</v>
      </c>
      <c r="CE263" s="149">
        <f t="shared" si="257"/>
        <v>1</v>
      </c>
      <c r="CF263" s="149">
        <f t="shared" si="258"/>
        <v>1</v>
      </c>
      <c r="CG263" s="149">
        <f t="shared" si="259"/>
        <v>1</v>
      </c>
      <c r="CH263" s="149">
        <f t="shared" si="260"/>
        <v>1</v>
      </c>
      <c r="CI263" s="149">
        <f t="shared" si="261"/>
        <v>1</v>
      </c>
      <c r="CJ263" s="149">
        <f t="shared" si="262"/>
        <v>1</v>
      </c>
      <c r="CK263" s="149">
        <f t="shared" si="263"/>
        <v>1</v>
      </c>
      <c r="CL263" s="149">
        <f t="shared" si="264"/>
        <v>1</v>
      </c>
      <c r="CM263" s="149">
        <f t="shared" si="265"/>
        <v>1</v>
      </c>
      <c r="CN263" s="149">
        <f t="shared" si="266"/>
        <v>1</v>
      </c>
      <c r="CO263" s="149">
        <f t="shared" si="267"/>
        <v>1</v>
      </c>
      <c r="CP263" s="149">
        <f t="shared" si="268"/>
        <v>1</v>
      </c>
      <c r="CQ263" s="149">
        <f t="shared" si="269"/>
        <v>1</v>
      </c>
      <c r="CR263" s="149">
        <f t="shared" si="270"/>
        <v>1</v>
      </c>
      <c r="CS263" s="149">
        <f t="shared" si="271"/>
        <v>1</v>
      </c>
      <c r="CT263" s="149">
        <f t="shared" si="272"/>
        <v>1</v>
      </c>
      <c r="CU263" s="149">
        <f t="shared" si="273"/>
        <v>1</v>
      </c>
      <c r="CV263" s="149">
        <f t="shared" si="274"/>
        <v>1</v>
      </c>
      <c r="CW263" s="149">
        <f t="shared" si="275"/>
        <v>1</v>
      </c>
      <c r="CX263" s="149">
        <f t="shared" si="276"/>
        <v>1</v>
      </c>
      <c r="CY263" s="149">
        <f t="shared" si="277"/>
        <v>1</v>
      </c>
      <c r="CZ263" s="149">
        <f t="shared" si="278"/>
        <v>1</v>
      </c>
      <c r="DA263" s="149">
        <f t="shared" si="279"/>
        <v>1</v>
      </c>
      <c r="DB263" s="149">
        <f t="shared" si="280"/>
        <v>1</v>
      </c>
      <c r="DG263" s="125">
        <f t="shared" si="241"/>
        <v>1</v>
      </c>
      <c r="DH263" s="125">
        <f t="shared" si="294"/>
        <v>2</v>
      </c>
      <c r="DI263" s="125">
        <f t="shared" si="294"/>
        <v>3</v>
      </c>
      <c r="DJ263" s="125">
        <f t="shared" si="294"/>
        <v>4</v>
      </c>
      <c r="DK263" s="125">
        <f t="shared" si="294"/>
        <v>5</v>
      </c>
      <c r="DL263" s="125">
        <f t="shared" si="294"/>
        <v>6</v>
      </c>
      <c r="DM263" s="125">
        <f t="shared" si="294"/>
        <v>7</v>
      </c>
      <c r="DN263" s="125">
        <f t="shared" si="294"/>
        <v>8</v>
      </c>
      <c r="DO263" s="125">
        <f t="shared" si="294"/>
        <v>9</v>
      </c>
      <c r="DP263" s="125">
        <f t="shared" si="294"/>
        <v>10</v>
      </c>
      <c r="DS263" s="137"/>
      <c r="DT263" s="137"/>
      <c r="DU263" s="137"/>
      <c r="DV263" s="137" t="b">
        <f t="shared" si="281"/>
        <v>0</v>
      </c>
      <c r="DW263" s="137" t="b">
        <f t="shared" si="282"/>
        <v>0</v>
      </c>
      <c r="DX263" s="137" t="b">
        <f t="shared" si="283"/>
        <v>1</v>
      </c>
      <c r="EB263" s="131">
        <f t="shared" si="292"/>
        <v>1</v>
      </c>
      <c r="EC263" s="137" t="b">
        <f t="shared" si="284"/>
        <v>0</v>
      </c>
      <c r="ED263" s="137" t="b">
        <f t="shared" si="285"/>
        <v>0</v>
      </c>
      <c r="EE263" s="137" t="b">
        <f t="shared" si="286"/>
        <v>1</v>
      </c>
      <c r="EF263" s="137"/>
      <c r="EG263" s="137"/>
      <c r="EH263" s="137"/>
      <c r="EI263" s="137"/>
      <c r="EJ263" s="137">
        <f t="shared" si="293"/>
        <v>1</v>
      </c>
      <c r="EK263" s="125">
        <f t="shared" si="287"/>
        <v>0</v>
      </c>
      <c r="EL263" s="125">
        <f t="shared" si="288"/>
        <v>0</v>
      </c>
    </row>
    <row r="264" spans="2:142" ht="15.75" x14ac:dyDescent="0.2">
      <c r="B264" s="160">
        <f t="shared" si="289"/>
        <v>234</v>
      </c>
      <c r="C264" s="290">
        <v>1001347315</v>
      </c>
      <c r="D264" s="291">
        <v>1001270643</v>
      </c>
      <c r="E264" s="290">
        <v>40000252</v>
      </c>
      <c r="F264" s="118">
        <f>IF(OR(J264="",H264=""),"",VLOOKUP(J264,'הזנה לסיווג רשויות'!$B$2:$D$301,2,0))</f>
        <v>20000182</v>
      </c>
      <c r="G264" s="118" t="str">
        <f>IF(OR(J264="",H264=""),"",VLOOKUP(J264,'הזנה לסיווג רשויות'!$B$2:$D$301,3,0))</f>
        <v>חיפה</v>
      </c>
      <c r="H264" s="293" t="s">
        <v>721</v>
      </c>
      <c r="I264" s="201" t="s">
        <v>564</v>
      </c>
      <c r="J264" s="294">
        <v>4000</v>
      </c>
      <c r="K264" s="161">
        <v>0</v>
      </c>
      <c r="L264" s="161">
        <v>1</v>
      </c>
      <c r="M264" s="161">
        <v>0</v>
      </c>
      <c r="N264" s="161">
        <v>1</v>
      </c>
      <c r="O264" s="161">
        <v>0</v>
      </c>
      <c r="P264" s="161">
        <v>1</v>
      </c>
      <c r="Q264" s="161">
        <v>1</v>
      </c>
      <c r="R264" s="201">
        <v>624000</v>
      </c>
      <c r="S264" s="201">
        <v>182000</v>
      </c>
      <c r="T264" s="160">
        <f>IF(G264="","",IFERROR(IF(S264/R264&gt;'פרמטרים לקריטריונים'!$C$20,1,0),0))</f>
        <v>1</v>
      </c>
      <c r="U264" s="296">
        <v>166000</v>
      </c>
      <c r="V264" s="160">
        <f>IF(G264="","",IFERROR(IF(U264/R264&gt;'פרמטרים לקריטריונים'!$C$21,1,IF(AND(I264=$BW$5,U264/R264&gt;'פרמטרים לקריטריונים'!$C$22),1,0)),0))</f>
        <v>1</v>
      </c>
      <c r="W264" s="161">
        <v>1</v>
      </c>
      <c r="X264" s="161">
        <v>1</v>
      </c>
      <c r="Y264" s="299">
        <v>130000</v>
      </c>
      <c r="Z264" s="300">
        <v>1</v>
      </c>
      <c r="AA264" s="161">
        <f t="shared" si="290"/>
        <v>1</v>
      </c>
      <c r="AB264" s="161"/>
      <c r="AC264" s="161"/>
      <c r="AD264" s="161"/>
      <c r="AE264" s="161"/>
      <c r="AF264" s="161"/>
      <c r="AG264" s="161"/>
      <c r="AH264" s="161"/>
      <c r="AI264" s="161"/>
      <c r="AJ264" s="161"/>
      <c r="AK264" s="161"/>
      <c r="AL264" s="161"/>
      <c r="AM264" s="161"/>
      <c r="AN264" s="161"/>
      <c r="AO264" s="161"/>
      <c r="AP264" s="161"/>
      <c r="AQ264" s="161"/>
      <c r="AR264" s="161"/>
      <c r="AS264" s="161"/>
      <c r="AT264" s="161"/>
      <c r="AU264" s="161"/>
      <c r="AV264" s="161"/>
      <c r="AW264" s="160"/>
      <c r="AX264" s="161"/>
      <c r="AY264" s="161"/>
      <c r="AZ264" s="161"/>
      <c r="BA264" s="161"/>
      <c r="BB264" s="161"/>
      <c r="BC264" s="161"/>
      <c r="BD264" s="161"/>
      <c r="BE264" s="161"/>
      <c r="BF264" s="160" t="str">
        <f t="shared" si="291"/>
        <v/>
      </c>
      <c r="BG264" s="160"/>
      <c r="BH264" s="160"/>
      <c r="BI264" s="160"/>
      <c r="BJ264" s="160"/>
      <c r="BK264" s="160"/>
      <c r="BL264" s="162">
        <f t="shared" si="242"/>
        <v>1</v>
      </c>
      <c r="BM264" s="257" t="s">
        <v>762</v>
      </c>
      <c r="BN264" s="163"/>
      <c r="BO264" s="211" t="str">
        <f t="shared" si="243"/>
        <v>אתו"ס - החברה לאומנות תרבות וספורטאחר</v>
      </c>
      <c r="BP264" s="125">
        <f t="shared" si="244"/>
        <v>1</v>
      </c>
      <c r="BQ264" s="164">
        <v>0</v>
      </c>
      <c r="BR264" s="164">
        <v>1</v>
      </c>
      <c r="BS264" s="149">
        <f t="shared" si="245"/>
        <v>1</v>
      </c>
      <c r="BT264" s="149">
        <f t="shared" si="246"/>
        <v>1</v>
      </c>
      <c r="BU264" s="149">
        <f t="shared" si="247"/>
        <v>1</v>
      </c>
      <c r="BV264" s="149">
        <f t="shared" si="248"/>
        <v>1</v>
      </c>
      <c r="BW264" s="149">
        <f t="shared" si="249"/>
        <v>1</v>
      </c>
      <c r="BX264" s="149">
        <f t="shared" si="250"/>
        <v>1</v>
      </c>
      <c r="BY264" s="149">
        <f t="shared" si="251"/>
        <v>1</v>
      </c>
      <c r="BZ264" s="149">
        <f t="shared" si="252"/>
        <v>1</v>
      </c>
      <c r="CA264" s="149">
        <f t="shared" si="253"/>
        <v>1</v>
      </c>
      <c r="CB264" s="149">
        <f t="shared" si="254"/>
        <v>1</v>
      </c>
      <c r="CC264" s="149">
        <f t="shared" si="255"/>
        <v>1</v>
      </c>
      <c r="CD264" s="149">
        <f t="shared" si="256"/>
        <v>1</v>
      </c>
      <c r="CE264" s="149">
        <f t="shared" si="257"/>
        <v>1</v>
      </c>
      <c r="CF264" s="149">
        <f t="shared" si="258"/>
        <v>1</v>
      </c>
      <c r="CG264" s="149">
        <f t="shared" si="259"/>
        <v>1</v>
      </c>
      <c r="CH264" s="149">
        <f t="shared" si="260"/>
        <v>1</v>
      </c>
      <c r="CI264" s="149">
        <f t="shared" si="261"/>
        <v>1</v>
      </c>
      <c r="CJ264" s="149">
        <f t="shared" si="262"/>
        <v>1</v>
      </c>
      <c r="CK264" s="149">
        <f t="shared" si="263"/>
        <v>1</v>
      </c>
      <c r="CL264" s="149">
        <f t="shared" si="264"/>
        <v>1</v>
      </c>
      <c r="CM264" s="149">
        <f t="shared" si="265"/>
        <v>1</v>
      </c>
      <c r="CN264" s="149">
        <f t="shared" si="266"/>
        <v>1</v>
      </c>
      <c r="CO264" s="149">
        <f t="shared" si="267"/>
        <v>1</v>
      </c>
      <c r="CP264" s="149">
        <f t="shared" si="268"/>
        <v>1</v>
      </c>
      <c r="CQ264" s="149">
        <f t="shared" si="269"/>
        <v>1</v>
      </c>
      <c r="CR264" s="149">
        <f t="shared" si="270"/>
        <v>1</v>
      </c>
      <c r="CS264" s="149">
        <f t="shared" si="271"/>
        <v>1</v>
      </c>
      <c r="CT264" s="149">
        <f t="shared" si="272"/>
        <v>1</v>
      </c>
      <c r="CU264" s="149">
        <f t="shared" si="273"/>
        <v>1</v>
      </c>
      <c r="CV264" s="149">
        <f t="shared" si="274"/>
        <v>1</v>
      </c>
      <c r="CW264" s="149">
        <f t="shared" si="275"/>
        <v>1</v>
      </c>
      <c r="CX264" s="149">
        <f t="shared" si="276"/>
        <v>1</v>
      </c>
      <c r="CY264" s="149">
        <f t="shared" si="277"/>
        <v>1</v>
      </c>
      <c r="CZ264" s="149">
        <f t="shared" si="278"/>
        <v>1</v>
      </c>
      <c r="DA264" s="149">
        <f t="shared" si="279"/>
        <v>1</v>
      </c>
      <c r="DB264" s="149">
        <f t="shared" si="280"/>
        <v>1</v>
      </c>
      <c r="DG264" s="125">
        <f t="shared" si="241"/>
        <v>1</v>
      </c>
      <c r="DH264" s="125">
        <f t="shared" si="294"/>
        <v>2</v>
      </c>
      <c r="DI264" s="125">
        <f t="shared" si="294"/>
        <v>3</v>
      </c>
      <c r="DJ264" s="125">
        <f t="shared" si="294"/>
        <v>4</v>
      </c>
      <c r="DK264" s="125">
        <f t="shared" si="294"/>
        <v>5</v>
      </c>
      <c r="DL264" s="125">
        <f t="shared" si="294"/>
        <v>6</v>
      </c>
      <c r="DM264" s="125">
        <f t="shared" si="294"/>
        <v>7</v>
      </c>
      <c r="DN264" s="125">
        <f t="shared" si="294"/>
        <v>8</v>
      </c>
      <c r="DO264" s="125">
        <f t="shared" ref="DH264:DP293" si="295">IF($G264="","",DO$30)</f>
        <v>9</v>
      </c>
      <c r="DP264" s="125">
        <f t="shared" si="295"/>
        <v>10</v>
      </c>
      <c r="DS264" s="137"/>
      <c r="DT264" s="137"/>
      <c r="DU264" s="137"/>
      <c r="DV264" s="137" t="b">
        <f t="shared" si="281"/>
        <v>0</v>
      </c>
      <c r="DW264" s="137" t="b">
        <f t="shared" si="282"/>
        <v>0</v>
      </c>
      <c r="DX264" s="137" t="b">
        <f t="shared" si="283"/>
        <v>1</v>
      </c>
      <c r="EB264" s="131">
        <f t="shared" si="292"/>
        <v>1</v>
      </c>
      <c r="EC264" s="137" t="b">
        <f t="shared" si="284"/>
        <v>0</v>
      </c>
      <c r="ED264" s="137" t="b">
        <f t="shared" si="285"/>
        <v>0</v>
      </c>
      <c r="EE264" s="137" t="b">
        <f t="shared" si="286"/>
        <v>1</v>
      </c>
      <c r="EF264" s="137"/>
      <c r="EG264" s="137"/>
      <c r="EH264" s="137"/>
      <c r="EI264" s="137"/>
      <c r="EJ264" s="137">
        <f t="shared" si="293"/>
        <v>1</v>
      </c>
      <c r="EK264" s="125">
        <f t="shared" si="287"/>
        <v>0</v>
      </c>
      <c r="EL264" s="125">
        <f t="shared" si="288"/>
        <v>0</v>
      </c>
    </row>
    <row r="265" spans="2:142" ht="15.75" x14ac:dyDescent="0.2">
      <c r="B265" s="160">
        <f t="shared" si="289"/>
        <v>235</v>
      </c>
      <c r="C265" s="290">
        <v>1001347608</v>
      </c>
      <c r="D265" s="291">
        <v>1001270721</v>
      </c>
      <c r="E265" s="290">
        <v>40000252</v>
      </c>
      <c r="F265" s="118">
        <f>IF(OR(J265="",H265=""),"",VLOOKUP(J265,'הזנה לסיווג רשויות'!$B$2:$D$301,2,0))</f>
        <v>20000182</v>
      </c>
      <c r="G265" s="118" t="str">
        <f>IF(OR(J265="",H265=""),"",VLOOKUP(J265,'הזנה לסיווג רשויות'!$B$2:$D$301,3,0))</f>
        <v>חיפה</v>
      </c>
      <c r="H265" s="293" t="s">
        <v>721</v>
      </c>
      <c r="I265" s="201" t="s">
        <v>381</v>
      </c>
      <c r="J265" s="294">
        <v>4000</v>
      </c>
      <c r="K265" s="161">
        <v>0</v>
      </c>
      <c r="L265" s="161">
        <v>1</v>
      </c>
      <c r="M265" s="161">
        <v>0</v>
      </c>
      <c r="N265" s="161">
        <v>1</v>
      </c>
      <c r="O265" s="161">
        <v>0</v>
      </c>
      <c r="P265" s="161">
        <v>1</v>
      </c>
      <c r="Q265" s="161">
        <v>1</v>
      </c>
      <c r="R265" s="201">
        <v>9776000</v>
      </c>
      <c r="S265" s="201">
        <v>3884000</v>
      </c>
      <c r="T265" s="160">
        <f>IF(G265="","",IFERROR(IF(S265/R265&gt;'פרמטרים לקריטריונים'!$C$20,1,0),0))</f>
        <v>1</v>
      </c>
      <c r="U265" s="296">
        <v>3271000</v>
      </c>
      <c r="V265" s="160">
        <f>IF(G265="","",IFERROR(IF(U265/R265&gt;'פרמטרים לקריטריונים'!$C$21,1,IF(AND(I265=$BW$5,U265/R265&gt;'פרמטרים לקריטריונים'!$C$22),1,0)),0))</f>
        <v>1</v>
      </c>
      <c r="W265" s="161">
        <v>1</v>
      </c>
      <c r="X265" s="161">
        <v>1</v>
      </c>
      <c r="Y265" s="299">
        <v>2500000</v>
      </c>
      <c r="Z265" s="300">
        <v>1</v>
      </c>
      <c r="AA265" s="161">
        <f t="shared" si="290"/>
        <v>1</v>
      </c>
      <c r="AB265" s="161"/>
      <c r="AC265" s="161"/>
      <c r="AD265" s="161"/>
      <c r="AE265" s="161"/>
      <c r="AF265" s="161"/>
      <c r="AG265" s="161"/>
      <c r="AH265" s="161"/>
      <c r="AI265" s="161"/>
      <c r="AJ265" s="161"/>
      <c r="AK265" s="161"/>
      <c r="AL265" s="161"/>
      <c r="AM265" s="161"/>
      <c r="AN265" s="161"/>
      <c r="AO265" s="161"/>
      <c r="AP265" s="161"/>
      <c r="AQ265" s="161"/>
      <c r="AR265" s="161"/>
      <c r="AS265" s="161"/>
      <c r="AT265" s="161"/>
      <c r="AU265" s="161"/>
      <c r="AV265" s="161"/>
      <c r="AW265" s="160"/>
      <c r="AX265" s="161"/>
      <c r="AY265" s="161"/>
      <c r="AZ265" s="161"/>
      <c r="BA265" s="161"/>
      <c r="BB265" s="161"/>
      <c r="BC265" s="161"/>
      <c r="BD265" s="161"/>
      <c r="BE265" s="161"/>
      <c r="BF265" s="160" t="str">
        <f t="shared" si="291"/>
        <v/>
      </c>
      <c r="BG265" s="160"/>
      <c r="BH265" s="160"/>
      <c r="BI265" s="160"/>
      <c r="BJ265" s="160"/>
      <c r="BK265" s="160"/>
      <c r="BL265" s="162">
        <f t="shared" si="242"/>
        <v>1</v>
      </c>
      <c r="BM265" s="257"/>
      <c r="BN265" s="163"/>
      <c r="BO265" s="211" t="str">
        <f t="shared" si="243"/>
        <v>אתו"ס - החברה לאומנות תרבות וספורטסינמטקים ופסטיבלים</v>
      </c>
      <c r="BP265" s="125">
        <f t="shared" si="244"/>
        <v>1</v>
      </c>
      <c r="BQ265" s="164">
        <v>0</v>
      </c>
      <c r="BR265" s="164">
        <v>1</v>
      </c>
      <c r="BS265" s="149">
        <f t="shared" si="245"/>
        <v>1</v>
      </c>
      <c r="BT265" s="149">
        <f t="shared" si="246"/>
        <v>1</v>
      </c>
      <c r="BU265" s="149">
        <f t="shared" si="247"/>
        <v>1</v>
      </c>
      <c r="BV265" s="149">
        <f t="shared" si="248"/>
        <v>1</v>
      </c>
      <c r="BW265" s="149">
        <f t="shared" si="249"/>
        <v>1</v>
      </c>
      <c r="BX265" s="149">
        <f t="shared" si="250"/>
        <v>1</v>
      </c>
      <c r="BY265" s="149">
        <f t="shared" si="251"/>
        <v>1</v>
      </c>
      <c r="BZ265" s="149">
        <f t="shared" si="252"/>
        <v>1</v>
      </c>
      <c r="CA265" s="149">
        <f t="shared" si="253"/>
        <v>1</v>
      </c>
      <c r="CB265" s="149">
        <f t="shared" si="254"/>
        <v>1</v>
      </c>
      <c r="CC265" s="149">
        <f t="shared" si="255"/>
        <v>1</v>
      </c>
      <c r="CD265" s="149">
        <f t="shared" si="256"/>
        <v>1</v>
      </c>
      <c r="CE265" s="149">
        <f t="shared" si="257"/>
        <v>1</v>
      </c>
      <c r="CF265" s="149">
        <f t="shared" si="258"/>
        <v>1</v>
      </c>
      <c r="CG265" s="149">
        <f t="shared" si="259"/>
        <v>1</v>
      </c>
      <c r="CH265" s="149">
        <f t="shared" si="260"/>
        <v>1</v>
      </c>
      <c r="CI265" s="149">
        <f t="shared" si="261"/>
        <v>1</v>
      </c>
      <c r="CJ265" s="149">
        <f t="shared" si="262"/>
        <v>1</v>
      </c>
      <c r="CK265" s="149">
        <f t="shared" si="263"/>
        <v>1</v>
      </c>
      <c r="CL265" s="149">
        <f t="shared" si="264"/>
        <v>1</v>
      </c>
      <c r="CM265" s="149">
        <f t="shared" si="265"/>
        <v>1</v>
      </c>
      <c r="CN265" s="149">
        <f t="shared" si="266"/>
        <v>1</v>
      </c>
      <c r="CO265" s="149">
        <f t="shared" si="267"/>
        <v>1</v>
      </c>
      <c r="CP265" s="149">
        <f t="shared" si="268"/>
        <v>1</v>
      </c>
      <c r="CQ265" s="149">
        <f t="shared" si="269"/>
        <v>1</v>
      </c>
      <c r="CR265" s="149">
        <f t="shared" si="270"/>
        <v>1</v>
      </c>
      <c r="CS265" s="149">
        <f t="shared" si="271"/>
        <v>1</v>
      </c>
      <c r="CT265" s="149">
        <f t="shared" si="272"/>
        <v>1</v>
      </c>
      <c r="CU265" s="149">
        <f t="shared" si="273"/>
        <v>1</v>
      </c>
      <c r="CV265" s="149">
        <f t="shared" si="274"/>
        <v>1</v>
      </c>
      <c r="CW265" s="149">
        <f t="shared" si="275"/>
        <v>1</v>
      </c>
      <c r="CX265" s="149">
        <f t="shared" si="276"/>
        <v>1</v>
      </c>
      <c r="CY265" s="149">
        <f t="shared" si="277"/>
        <v>1</v>
      </c>
      <c r="CZ265" s="149">
        <f t="shared" si="278"/>
        <v>1</v>
      </c>
      <c r="DA265" s="149">
        <f t="shared" si="279"/>
        <v>1</v>
      </c>
      <c r="DB265" s="149">
        <f t="shared" si="280"/>
        <v>1</v>
      </c>
      <c r="DG265" s="125">
        <f t="shared" si="241"/>
        <v>1</v>
      </c>
      <c r="DH265" s="125">
        <f t="shared" si="295"/>
        <v>2</v>
      </c>
      <c r="DI265" s="125">
        <f t="shared" si="295"/>
        <v>3</v>
      </c>
      <c r="DJ265" s="125">
        <f t="shared" si="295"/>
        <v>4</v>
      </c>
      <c r="DK265" s="125">
        <f t="shared" si="295"/>
        <v>5</v>
      </c>
      <c r="DL265" s="125">
        <f t="shared" si="295"/>
        <v>6</v>
      </c>
      <c r="DM265" s="125">
        <f t="shared" si="295"/>
        <v>7</v>
      </c>
      <c r="DN265" s="125">
        <f t="shared" si="295"/>
        <v>8</v>
      </c>
      <c r="DO265" s="125">
        <f t="shared" si="295"/>
        <v>9</v>
      </c>
      <c r="DP265" s="125">
        <f t="shared" si="295"/>
        <v>10</v>
      </c>
      <c r="DS265" s="137"/>
      <c r="DT265" s="137"/>
      <c r="DU265" s="137"/>
      <c r="DV265" s="137" t="b">
        <f t="shared" si="281"/>
        <v>0</v>
      </c>
      <c r="DW265" s="137" t="b">
        <f t="shared" si="282"/>
        <v>0</v>
      </c>
      <c r="DX265" s="137" t="b">
        <f t="shared" si="283"/>
        <v>1</v>
      </c>
      <c r="EB265" s="131">
        <f t="shared" si="292"/>
        <v>1</v>
      </c>
      <c r="EC265" s="137" t="b">
        <f t="shared" si="284"/>
        <v>0</v>
      </c>
      <c r="ED265" s="137" t="b">
        <f t="shared" si="285"/>
        <v>0</v>
      </c>
      <c r="EE265" s="137" t="b">
        <f t="shared" si="286"/>
        <v>1</v>
      </c>
      <c r="EF265" s="137"/>
      <c r="EG265" s="137"/>
      <c r="EH265" s="137"/>
      <c r="EI265" s="137"/>
      <c r="EJ265" s="137">
        <f t="shared" si="293"/>
        <v>1</v>
      </c>
      <c r="EK265" s="125">
        <f t="shared" si="287"/>
        <v>0</v>
      </c>
      <c r="EL265" s="125">
        <f t="shared" si="288"/>
        <v>0</v>
      </c>
    </row>
    <row r="266" spans="2:142" ht="15.75" x14ac:dyDescent="0.2">
      <c r="B266" s="160">
        <f t="shared" si="289"/>
        <v>236</v>
      </c>
      <c r="C266" s="290">
        <v>1001347621</v>
      </c>
      <c r="D266" s="291">
        <v>1001270688</v>
      </c>
      <c r="E266" s="290">
        <v>40000252</v>
      </c>
      <c r="F266" s="118">
        <f>IF(OR(J266="",H266=""),"",VLOOKUP(J266,'הזנה לסיווג רשויות'!$B$2:$D$301,2,0))</f>
        <v>20000182</v>
      </c>
      <c r="G266" s="118" t="str">
        <f>IF(OR(J266="",H266=""),"",VLOOKUP(J266,'הזנה לסיווג רשויות'!$B$2:$D$301,3,0))</f>
        <v>חיפה</v>
      </c>
      <c r="H266" s="293" t="s">
        <v>721</v>
      </c>
      <c r="I266" s="201" t="s">
        <v>381</v>
      </c>
      <c r="J266" s="294">
        <v>4000</v>
      </c>
      <c r="K266" s="161">
        <v>0</v>
      </c>
      <c r="L266" s="161">
        <v>1</v>
      </c>
      <c r="M266" s="161">
        <v>0</v>
      </c>
      <c r="N266" s="161">
        <v>1</v>
      </c>
      <c r="O266" s="161">
        <v>0</v>
      </c>
      <c r="P266" s="161">
        <v>1</v>
      </c>
      <c r="Q266" s="161">
        <v>1</v>
      </c>
      <c r="R266" s="201">
        <v>3607000</v>
      </c>
      <c r="S266" s="201">
        <v>1284000</v>
      </c>
      <c r="T266" s="160">
        <f>IF(G266="","",IFERROR(IF(S266/R266&gt;'פרמטרים לקריטריונים'!$C$20,1,0),0))</f>
        <v>1</v>
      </c>
      <c r="U266" s="296">
        <v>1069000</v>
      </c>
      <c r="V266" s="160">
        <f>IF(G266="","",IFERROR(IF(U266/R266&gt;'פרמטרים לקריטריונים'!$C$21,1,IF(AND(I266=$BW$5,U266/R266&gt;'פרמטרים לקריטריונים'!$C$22),1,0)),0))</f>
        <v>1</v>
      </c>
      <c r="W266" s="161">
        <v>1</v>
      </c>
      <c r="X266" s="161">
        <v>1</v>
      </c>
      <c r="Y266" s="299">
        <v>1490000</v>
      </c>
      <c r="Z266" s="300">
        <v>340000</v>
      </c>
      <c r="AA266" s="161">
        <f t="shared" si="290"/>
        <v>1</v>
      </c>
      <c r="AB266" s="161"/>
      <c r="AC266" s="161"/>
      <c r="AD266" s="161"/>
      <c r="AE266" s="161"/>
      <c r="AF266" s="161"/>
      <c r="AG266" s="161"/>
      <c r="AH266" s="161"/>
      <c r="AI266" s="161"/>
      <c r="AJ266" s="161"/>
      <c r="AK266" s="161"/>
      <c r="AL266" s="161"/>
      <c r="AM266" s="161"/>
      <c r="AN266" s="161"/>
      <c r="AO266" s="161"/>
      <c r="AP266" s="161"/>
      <c r="AQ266" s="161"/>
      <c r="AR266" s="161"/>
      <c r="AS266" s="161"/>
      <c r="AT266" s="161"/>
      <c r="AU266" s="161"/>
      <c r="AV266" s="161"/>
      <c r="AW266" s="160"/>
      <c r="AX266" s="161"/>
      <c r="AY266" s="161"/>
      <c r="AZ266" s="161"/>
      <c r="BA266" s="161"/>
      <c r="BB266" s="161"/>
      <c r="BC266" s="161"/>
      <c r="BD266" s="161"/>
      <c r="BE266" s="161"/>
      <c r="BF266" s="160" t="str">
        <f t="shared" si="291"/>
        <v/>
      </c>
      <c r="BG266" s="160"/>
      <c r="BH266" s="160"/>
      <c r="BI266" s="160"/>
      <c r="BJ266" s="160"/>
      <c r="BK266" s="160"/>
      <c r="BL266" s="162">
        <f t="shared" si="242"/>
        <v>1</v>
      </c>
      <c r="BM266" s="257"/>
      <c r="BN266" s="163"/>
      <c r="BO266" s="211" t="str">
        <f t="shared" si="243"/>
        <v>אתו"ס - החברה לאומנות תרבות וספורטסינמטקים ופסטיבלים</v>
      </c>
      <c r="BP266" s="125">
        <f t="shared" si="244"/>
        <v>1</v>
      </c>
      <c r="BQ266" s="164">
        <v>0</v>
      </c>
      <c r="BR266" s="164">
        <v>1</v>
      </c>
      <c r="BS266" s="149">
        <f t="shared" si="245"/>
        <v>1</v>
      </c>
      <c r="BT266" s="149">
        <f t="shared" si="246"/>
        <v>1</v>
      </c>
      <c r="BU266" s="149">
        <f t="shared" si="247"/>
        <v>1</v>
      </c>
      <c r="BV266" s="149">
        <f t="shared" si="248"/>
        <v>1</v>
      </c>
      <c r="BW266" s="149">
        <f t="shared" si="249"/>
        <v>1</v>
      </c>
      <c r="BX266" s="149">
        <f t="shared" si="250"/>
        <v>1</v>
      </c>
      <c r="BY266" s="149">
        <f t="shared" si="251"/>
        <v>1</v>
      </c>
      <c r="BZ266" s="149">
        <f t="shared" si="252"/>
        <v>1</v>
      </c>
      <c r="CA266" s="149">
        <f t="shared" si="253"/>
        <v>1</v>
      </c>
      <c r="CB266" s="149">
        <f t="shared" si="254"/>
        <v>1</v>
      </c>
      <c r="CC266" s="149">
        <f t="shared" si="255"/>
        <v>1</v>
      </c>
      <c r="CD266" s="149">
        <f t="shared" si="256"/>
        <v>1</v>
      </c>
      <c r="CE266" s="149">
        <f t="shared" si="257"/>
        <v>1</v>
      </c>
      <c r="CF266" s="149">
        <f t="shared" si="258"/>
        <v>1</v>
      </c>
      <c r="CG266" s="149">
        <f t="shared" si="259"/>
        <v>1</v>
      </c>
      <c r="CH266" s="149">
        <f t="shared" si="260"/>
        <v>1</v>
      </c>
      <c r="CI266" s="149">
        <f t="shared" si="261"/>
        <v>1</v>
      </c>
      <c r="CJ266" s="149">
        <f t="shared" si="262"/>
        <v>1</v>
      </c>
      <c r="CK266" s="149">
        <f t="shared" si="263"/>
        <v>1</v>
      </c>
      <c r="CL266" s="149">
        <f t="shared" si="264"/>
        <v>1</v>
      </c>
      <c r="CM266" s="149">
        <f t="shared" si="265"/>
        <v>1</v>
      </c>
      <c r="CN266" s="149">
        <f t="shared" si="266"/>
        <v>1</v>
      </c>
      <c r="CO266" s="149">
        <f t="shared" si="267"/>
        <v>1</v>
      </c>
      <c r="CP266" s="149">
        <f t="shared" si="268"/>
        <v>1</v>
      </c>
      <c r="CQ266" s="149">
        <f t="shared" si="269"/>
        <v>1</v>
      </c>
      <c r="CR266" s="149">
        <f t="shared" si="270"/>
        <v>1</v>
      </c>
      <c r="CS266" s="149">
        <f t="shared" si="271"/>
        <v>1</v>
      </c>
      <c r="CT266" s="149">
        <f t="shared" si="272"/>
        <v>1</v>
      </c>
      <c r="CU266" s="149">
        <f t="shared" si="273"/>
        <v>1</v>
      </c>
      <c r="CV266" s="149">
        <f t="shared" si="274"/>
        <v>1</v>
      </c>
      <c r="CW266" s="149">
        <f t="shared" si="275"/>
        <v>1</v>
      </c>
      <c r="CX266" s="149">
        <f t="shared" si="276"/>
        <v>1</v>
      </c>
      <c r="CY266" s="149">
        <f t="shared" si="277"/>
        <v>1</v>
      </c>
      <c r="CZ266" s="149">
        <f t="shared" si="278"/>
        <v>1</v>
      </c>
      <c r="DA266" s="149">
        <f t="shared" si="279"/>
        <v>1</v>
      </c>
      <c r="DB266" s="149">
        <f t="shared" si="280"/>
        <v>1</v>
      </c>
      <c r="DG266" s="125">
        <f t="shared" si="241"/>
        <v>1</v>
      </c>
      <c r="DH266" s="125">
        <f t="shared" si="295"/>
        <v>2</v>
      </c>
      <c r="DI266" s="125">
        <f t="shared" si="295"/>
        <v>3</v>
      </c>
      <c r="DJ266" s="125">
        <f t="shared" si="295"/>
        <v>4</v>
      </c>
      <c r="DK266" s="125">
        <f t="shared" si="295"/>
        <v>5</v>
      </c>
      <c r="DL266" s="125">
        <f t="shared" si="295"/>
        <v>6</v>
      </c>
      <c r="DM266" s="125">
        <f t="shared" si="295"/>
        <v>7</v>
      </c>
      <c r="DN266" s="125">
        <f t="shared" si="295"/>
        <v>8</v>
      </c>
      <c r="DO266" s="125">
        <f t="shared" si="295"/>
        <v>9</v>
      </c>
      <c r="DP266" s="125">
        <f t="shared" si="295"/>
        <v>10</v>
      </c>
      <c r="DS266" s="137"/>
      <c r="DT266" s="137"/>
      <c r="DU266" s="137"/>
      <c r="DV266" s="137" t="b">
        <f t="shared" si="281"/>
        <v>0</v>
      </c>
      <c r="DW266" s="137" t="b">
        <f t="shared" si="282"/>
        <v>0</v>
      </c>
      <c r="DX266" s="137" t="b">
        <f t="shared" si="283"/>
        <v>1</v>
      </c>
      <c r="EB266" s="131">
        <f t="shared" si="292"/>
        <v>1</v>
      </c>
      <c r="EC266" s="137" t="b">
        <f t="shared" si="284"/>
        <v>0</v>
      </c>
      <c r="ED266" s="137" t="b">
        <f t="shared" si="285"/>
        <v>0</v>
      </c>
      <c r="EE266" s="137" t="b">
        <f t="shared" si="286"/>
        <v>1</v>
      </c>
      <c r="EF266" s="137"/>
      <c r="EG266" s="137"/>
      <c r="EH266" s="137"/>
      <c r="EI266" s="137"/>
      <c r="EJ266" s="137">
        <f t="shared" si="293"/>
        <v>1</v>
      </c>
      <c r="EK266" s="125">
        <f t="shared" si="287"/>
        <v>0</v>
      </c>
      <c r="EL266" s="125">
        <f t="shared" si="288"/>
        <v>0</v>
      </c>
    </row>
    <row r="267" spans="2:142" ht="15.75" x14ac:dyDescent="0.2">
      <c r="B267" s="160">
        <f t="shared" si="289"/>
        <v>237</v>
      </c>
      <c r="C267" s="290">
        <v>1001342867</v>
      </c>
      <c r="D267" s="291">
        <v>1001274259</v>
      </c>
      <c r="E267" s="290">
        <v>40000254</v>
      </c>
      <c r="F267" s="118">
        <f>IF(OR(J267="",H267=""),"",VLOOKUP(J267,'הזנה לסיווג רשויות'!$B$2:$D$301,2,0))</f>
        <v>20000182</v>
      </c>
      <c r="G267" s="118" t="str">
        <f>IF(OR(J267="",H267=""),"",VLOOKUP(J267,'הזנה לסיווג רשויות'!$B$2:$D$301,3,0))</f>
        <v>חיפה</v>
      </c>
      <c r="H267" s="293" t="s">
        <v>722</v>
      </c>
      <c r="I267" s="201" t="s">
        <v>373</v>
      </c>
      <c r="J267" s="294">
        <v>4000</v>
      </c>
      <c r="K267" s="161">
        <v>0</v>
      </c>
      <c r="L267" s="161">
        <v>1</v>
      </c>
      <c r="M267" s="161">
        <v>0</v>
      </c>
      <c r="N267" s="161">
        <v>1</v>
      </c>
      <c r="O267" s="161">
        <v>0</v>
      </c>
      <c r="P267" s="161">
        <v>1</v>
      </c>
      <c r="Q267" s="161">
        <v>1</v>
      </c>
      <c r="R267" s="201">
        <v>24682000</v>
      </c>
      <c r="S267" s="201">
        <v>9815000</v>
      </c>
      <c r="T267" s="160">
        <f>IF(G267="","",IFERROR(IF(S267/R267&gt;'פרמטרים לקריטריונים'!$C$20,1,0),0))</f>
        <v>1</v>
      </c>
      <c r="U267" s="296">
        <v>8985000</v>
      </c>
      <c r="V267" s="160">
        <f>IF(G267="","",IFERROR(IF(U267/R267&gt;'פרמטרים לקריטריונים'!$C$21,1,IF(AND(I267=$BW$5,U267/R267&gt;'פרמטרים לקריטריונים'!$C$22),1,0)),0))</f>
        <v>1</v>
      </c>
      <c r="W267" s="161">
        <v>1</v>
      </c>
      <c r="X267" s="161">
        <v>1</v>
      </c>
      <c r="Y267" s="299">
        <v>5000000</v>
      </c>
      <c r="Z267" s="300">
        <v>1250000</v>
      </c>
      <c r="AA267" s="161">
        <f t="shared" si="290"/>
        <v>1</v>
      </c>
      <c r="AB267" s="161"/>
      <c r="AC267" s="161"/>
      <c r="AD267" s="161"/>
      <c r="AE267" s="161"/>
      <c r="AF267" s="161"/>
      <c r="AG267" s="161"/>
      <c r="AH267" s="161"/>
      <c r="AI267" s="161"/>
      <c r="AJ267" s="161"/>
      <c r="AK267" s="161"/>
      <c r="AL267" s="161"/>
      <c r="AM267" s="161"/>
      <c r="AN267" s="161"/>
      <c r="AO267" s="161"/>
      <c r="AP267" s="161"/>
      <c r="AQ267" s="161"/>
      <c r="AR267" s="161"/>
      <c r="AS267" s="161"/>
      <c r="AT267" s="161"/>
      <c r="AU267" s="161"/>
      <c r="AV267" s="161"/>
      <c r="AW267" s="160"/>
      <c r="AX267" s="161"/>
      <c r="AY267" s="161"/>
      <c r="AZ267" s="161"/>
      <c r="BA267" s="161"/>
      <c r="BB267" s="161"/>
      <c r="BC267" s="161"/>
      <c r="BD267" s="161"/>
      <c r="BE267" s="161"/>
      <c r="BF267" s="160" t="str">
        <f t="shared" si="291"/>
        <v/>
      </c>
      <c r="BG267" s="160"/>
      <c r="BH267" s="160"/>
      <c r="BI267" s="160"/>
      <c r="BJ267" s="160"/>
      <c r="BK267" s="160"/>
      <c r="BL267" s="162">
        <f t="shared" si="242"/>
        <v>1</v>
      </c>
      <c r="BM267" s="257"/>
      <c r="BN267" s="163"/>
      <c r="BO267" s="211" t="str">
        <f t="shared" si="243"/>
        <v>תיאטרון עירוני חיפה בע"מ (חל"צ)תיאטרון</v>
      </c>
      <c r="BP267" s="125">
        <f t="shared" si="244"/>
        <v>1</v>
      </c>
      <c r="BQ267" s="164">
        <v>0</v>
      </c>
      <c r="BR267" s="164">
        <v>1</v>
      </c>
      <c r="BS267" s="149">
        <f t="shared" si="245"/>
        <v>1</v>
      </c>
      <c r="BT267" s="149">
        <f t="shared" si="246"/>
        <v>1</v>
      </c>
      <c r="BU267" s="149">
        <f t="shared" si="247"/>
        <v>1</v>
      </c>
      <c r="BV267" s="149">
        <f t="shared" si="248"/>
        <v>1</v>
      </c>
      <c r="BW267" s="149">
        <f t="shared" si="249"/>
        <v>1</v>
      </c>
      <c r="BX267" s="149">
        <f t="shared" si="250"/>
        <v>1</v>
      </c>
      <c r="BY267" s="149">
        <f t="shared" si="251"/>
        <v>1</v>
      </c>
      <c r="BZ267" s="149">
        <f t="shared" si="252"/>
        <v>1</v>
      </c>
      <c r="CA267" s="149">
        <f t="shared" si="253"/>
        <v>1</v>
      </c>
      <c r="CB267" s="149">
        <f t="shared" si="254"/>
        <v>1</v>
      </c>
      <c r="CC267" s="149">
        <f t="shared" si="255"/>
        <v>1</v>
      </c>
      <c r="CD267" s="149">
        <f t="shared" si="256"/>
        <v>1</v>
      </c>
      <c r="CE267" s="149">
        <f t="shared" si="257"/>
        <v>1</v>
      </c>
      <c r="CF267" s="149">
        <f t="shared" si="258"/>
        <v>1</v>
      </c>
      <c r="CG267" s="149">
        <f t="shared" si="259"/>
        <v>1</v>
      </c>
      <c r="CH267" s="149">
        <f t="shared" si="260"/>
        <v>1</v>
      </c>
      <c r="CI267" s="149">
        <f t="shared" si="261"/>
        <v>1</v>
      </c>
      <c r="CJ267" s="149">
        <f t="shared" si="262"/>
        <v>1</v>
      </c>
      <c r="CK267" s="149">
        <f t="shared" si="263"/>
        <v>1</v>
      </c>
      <c r="CL267" s="149">
        <f t="shared" si="264"/>
        <v>1</v>
      </c>
      <c r="CM267" s="149">
        <f t="shared" si="265"/>
        <v>1</v>
      </c>
      <c r="CN267" s="149">
        <f t="shared" si="266"/>
        <v>1</v>
      </c>
      <c r="CO267" s="149">
        <f t="shared" si="267"/>
        <v>1</v>
      </c>
      <c r="CP267" s="149">
        <f t="shared" si="268"/>
        <v>1</v>
      </c>
      <c r="CQ267" s="149">
        <f t="shared" si="269"/>
        <v>1</v>
      </c>
      <c r="CR267" s="149">
        <f t="shared" si="270"/>
        <v>1</v>
      </c>
      <c r="CS267" s="149">
        <f t="shared" si="271"/>
        <v>1</v>
      </c>
      <c r="CT267" s="149">
        <f t="shared" si="272"/>
        <v>1</v>
      </c>
      <c r="CU267" s="149">
        <f t="shared" si="273"/>
        <v>1</v>
      </c>
      <c r="CV267" s="149">
        <f t="shared" si="274"/>
        <v>1</v>
      </c>
      <c r="CW267" s="149">
        <f t="shared" si="275"/>
        <v>1</v>
      </c>
      <c r="CX267" s="149">
        <f t="shared" si="276"/>
        <v>1</v>
      </c>
      <c r="CY267" s="149">
        <f t="shared" si="277"/>
        <v>1</v>
      </c>
      <c r="CZ267" s="149">
        <f t="shared" si="278"/>
        <v>1</v>
      </c>
      <c r="DA267" s="149">
        <f t="shared" si="279"/>
        <v>1</v>
      </c>
      <c r="DB267" s="149">
        <f t="shared" si="280"/>
        <v>1</v>
      </c>
      <c r="DG267" s="125">
        <f t="shared" si="241"/>
        <v>1</v>
      </c>
      <c r="DH267" s="125">
        <f t="shared" si="295"/>
        <v>2</v>
      </c>
      <c r="DI267" s="125">
        <f t="shared" si="295"/>
        <v>3</v>
      </c>
      <c r="DJ267" s="125">
        <f t="shared" si="295"/>
        <v>4</v>
      </c>
      <c r="DK267" s="125">
        <f t="shared" si="295"/>
        <v>5</v>
      </c>
      <c r="DL267" s="125">
        <f t="shared" si="295"/>
        <v>6</v>
      </c>
      <c r="DM267" s="125">
        <f t="shared" si="295"/>
        <v>7</v>
      </c>
      <c r="DN267" s="125">
        <f t="shared" si="295"/>
        <v>8</v>
      </c>
      <c r="DO267" s="125">
        <f t="shared" si="295"/>
        <v>9</v>
      </c>
      <c r="DP267" s="125">
        <f t="shared" si="295"/>
        <v>10</v>
      </c>
      <c r="DS267" s="137"/>
      <c r="DT267" s="137"/>
      <c r="DU267" s="137"/>
      <c r="DV267" s="137" t="b">
        <f t="shared" si="281"/>
        <v>0</v>
      </c>
      <c r="DW267" s="137" t="b">
        <f t="shared" si="282"/>
        <v>0</v>
      </c>
      <c r="DX267" s="137" t="b">
        <f t="shared" si="283"/>
        <v>1</v>
      </c>
      <c r="EB267" s="131">
        <f t="shared" si="292"/>
        <v>1</v>
      </c>
      <c r="EC267" s="137" t="b">
        <f t="shared" si="284"/>
        <v>0</v>
      </c>
      <c r="ED267" s="137" t="b">
        <f t="shared" si="285"/>
        <v>0</v>
      </c>
      <c r="EE267" s="137" t="b">
        <f t="shared" si="286"/>
        <v>1</v>
      </c>
      <c r="EF267" s="137"/>
      <c r="EG267" s="137"/>
      <c r="EH267" s="137"/>
      <c r="EI267" s="137"/>
      <c r="EJ267" s="137">
        <f t="shared" si="293"/>
        <v>1</v>
      </c>
      <c r="EK267" s="125">
        <f t="shared" si="287"/>
        <v>0</v>
      </c>
      <c r="EL267" s="125">
        <f t="shared" si="288"/>
        <v>0</v>
      </c>
    </row>
    <row r="268" spans="2:142" ht="15.75" x14ac:dyDescent="0.2">
      <c r="B268" s="160">
        <f t="shared" si="289"/>
        <v>238</v>
      </c>
      <c r="C268" s="290">
        <v>1001342869</v>
      </c>
      <c r="D268" s="290">
        <v>1001274254</v>
      </c>
      <c r="E268" s="290">
        <v>40000254</v>
      </c>
      <c r="F268" s="118">
        <f>IF(OR(J268="",H268=""),"",VLOOKUP(J268,'הזנה לסיווג רשויות'!$B$2:$D$301,2,0))</f>
        <v>20000182</v>
      </c>
      <c r="G268" s="118" t="str">
        <f>IF(OR(J268="",H268=""),"",VLOOKUP(J268,'הזנה לסיווג רשויות'!$B$2:$D$301,3,0))</f>
        <v>חיפה</v>
      </c>
      <c r="H268" s="293" t="s">
        <v>722</v>
      </c>
      <c r="I268" s="201" t="s">
        <v>381</v>
      </c>
      <c r="J268" s="294">
        <v>4000</v>
      </c>
      <c r="K268" s="161">
        <v>0</v>
      </c>
      <c r="L268" s="161">
        <v>1</v>
      </c>
      <c r="M268" s="161">
        <v>0</v>
      </c>
      <c r="N268" s="161">
        <v>1</v>
      </c>
      <c r="O268" s="161">
        <v>0</v>
      </c>
      <c r="P268" s="161">
        <v>1</v>
      </c>
      <c r="Q268" s="161">
        <v>1</v>
      </c>
      <c r="R268" s="201">
        <v>2661000</v>
      </c>
      <c r="S268" s="201">
        <v>913000</v>
      </c>
      <c r="T268" s="160">
        <f>IF(G268="","",IFERROR(IF(S268/R268&gt;'פרמטרים לקריטריונים'!$C$20,1,0),0))</f>
        <v>1</v>
      </c>
      <c r="U268" s="296">
        <v>737000</v>
      </c>
      <c r="V268" s="160">
        <f>IF(G268="","",IFERROR(IF(U268/R268&gt;'פרמטרים לקריטריונים'!$C$21,1,IF(AND(I268=$BW$5,U268/R268&gt;'פרמטרים לקריטריונים'!$C$22),1,0)),0))</f>
        <v>1</v>
      </c>
      <c r="W268" s="161">
        <v>1</v>
      </c>
      <c r="X268" s="161">
        <v>1</v>
      </c>
      <c r="Y268" s="299">
        <v>500000</v>
      </c>
      <c r="Z268" s="300">
        <v>500000</v>
      </c>
      <c r="AA268" s="161">
        <f t="shared" si="290"/>
        <v>1</v>
      </c>
      <c r="AB268" s="161"/>
      <c r="AC268" s="161"/>
      <c r="AD268" s="161"/>
      <c r="AE268" s="161"/>
      <c r="AF268" s="161"/>
      <c r="AG268" s="161"/>
      <c r="AH268" s="161"/>
      <c r="AI268" s="161"/>
      <c r="AJ268" s="161"/>
      <c r="AK268" s="161"/>
      <c r="AL268" s="161"/>
      <c r="AM268" s="161"/>
      <c r="AN268" s="161"/>
      <c r="AO268" s="161"/>
      <c r="AP268" s="161"/>
      <c r="AQ268" s="161"/>
      <c r="AR268" s="161"/>
      <c r="AS268" s="161"/>
      <c r="AT268" s="161"/>
      <c r="AU268" s="161"/>
      <c r="AV268" s="161"/>
      <c r="AW268" s="160"/>
      <c r="AX268" s="161"/>
      <c r="AY268" s="161"/>
      <c r="AZ268" s="161"/>
      <c r="BA268" s="161"/>
      <c r="BB268" s="161"/>
      <c r="BC268" s="161"/>
      <c r="BD268" s="161"/>
      <c r="BE268" s="161"/>
      <c r="BF268" s="160" t="str">
        <f t="shared" si="291"/>
        <v/>
      </c>
      <c r="BG268" s="160"/>
      <c r="BH268" s="160"/>
      <c r="BI268" s="160"/>
      <c r="BJ268" s="160"/>
      <c r="BK268" s="160"/>
      <c r="BL268" s="162">
        <f t="shared" si="242"/>
        <v>1</v>
      </c>
      <c r="BM268" s="257"/>
      <c r="BN268" s="163"/>
      <c r="BO268" s="211" t="str">
        <f t="shared" si="243"/>
        <v>תיאטרון עירוני חיפה בע"מ (חל"צ)סינמטקים ופסטיבלים</v>
      </c>
      <c r="BP268" s="125">
        <f t="shared" si="244"/>
        <v>1</v>
      </c>
      <c r="BQ268" s="164">
        <v>0</v>
      </c>
      <c r="BR268" s="164">
        <v>1</v>
      </c>
      <c r="BS268" s="149">
        <f t="shared" si="245"/>
        <v>1</v>
      </c>
      <c r="BT268" s="149">
        <f t="shared" si="246"/>
        <v>1</v>
      </c>
      <c r="BU268" s="149">
        <f t="shared" si="247"/>
        <v>1</v>
      </c>
      <c r="BV268" s="149">
        <f t="shared" si="248"/>
        <v>1</v>
      </c>
      <c r="BW268" s="149">
        <f t="shared" si="249"/>
        <v>1</v>
      </c>
      <c r="BX268" s="149">
        <f t="shared" si="250"/>
        <v>1</v>
      </c>
      <c r="BY268" s="149">
        <f t="shared" si="251"/>
        <v>1</v>
      </c>
      <c r="BZ268" s="149">
        <f t="shared" si="252"/>
        <v>1</v>
      </c>
      <c r="CA268" s="149">
        <f t="shared" si="253"/>
        <v>1</v>
      </c>
      <c r="CB268" s="149">
        <f t="shared" si="254"/>
        <v>1</v>
      </c>
      <c r="CC268" s="149">
        <f t="shared" si="255"/>
        <v>1</v>
      </c>
      <c r="CD268" s="149">
        <f t="shared" si="256"/>
        <v>1</v>
      </c>
      <c r="CE268" s="149">
        <f t="shared" si="257"/>
        <v>1</v>
      </c>
      <c r="CF268" s="149">
        <f t="shared" si="258"/>
        <v>1</v>
      </c>
      <c r="CG268" s="149">
        <f t="shared" si="259"/>
        <v>1</v>
      </c>
      <c r="CH268" s="149">
        <f t="shared" si="260"/>
        <v>1</v>
      </c>
      <c r="CI268" s="149">
        <f t="shared" si="261"/>
        <v>1</v>
      </c>
      <c r="CJ268" s="149">
        <f t="shared" si="262"/>
        <v>1</v>
      </c>
      <c r="CK268" s="149">
        <f t="shared" si="263"/>
        <v>1</v>
      </c>
      <c r="CL268" s="149">
        <f t="shared" si="264"/>
        <v>1</v>
      </c>
      <c r="CM268" s="149">
        <f t="shared" si="265"/>
        <v>1</v>
      </c>
      <c r="CN268" s="149">
        <f t="shared" si="266"/>
        <v>1</v>
      </c>
      <c r="CO268" s="149">
        <f t="shared" si="267"/>
        <v>1</v>
      </c>
      <c r="CP268" s="149">
        <f t="shared" si="268"/>
        <v>1</v>
      </c>
      <c r="CQ268" s="149">
        <f t="shared" si="269"/>
        <v>1</v>
      </c>
      <c r="CR268" s="149">
        <f t="shared" si="270"/>
        <v>1</v>
      </c>
      <c r="CS268" s="149">
        <f t="shared" si="271"/>
        <v>1</v>
      </c>
      <c r="CT268" s="149">
        <f t="shared" si="272"/>
        <v>1</v>
      </c>
      <c r="CU268" s="149">
        <f t="shared" si="273"/>
        <v>1</v>
      </c>
      <c r="CV268" s="149">
        <f t="shared" si="274"/>
        <v>1</v>
      </c>
      <c r="CW268" s="149">
        <f t="shared" si="275"/>
        <v>1</v>
      </c>
      <c r="CX268" s="149">
        <f t="shared" si="276"/>
        <v>1</v>
      </c>
      <c r="CY268" s="149">
        <f t="shared" si="277"/>
        <v>1</v>
      </c>
      <c r="CZ268" s="149">
        <f t="shared" si="278"/>
        <v>1</v>
      </c>
      <c r="DA268" s="149">
        <f t="shared" si="279"/>
        <v>1</v>
      </c>
      <c r="DB268" s="149">
        <f t="shared" si="280"/>
        <v>1</v>
      </c>
      <c r="DG268" s="125">
        <f t="shared" si="241"/>
        <v>1</v>
      </c>
      <c r="DH268" s="125">
        <f t="shared" si="295"/>
        <v>2</v>
      </c>
      <c r="DI268" s="125">
        <f t="shared" si="295"/>
        <v>3</v>
      </c>
      <c r="DJ268" s="125">
        <f t="shared" si="295"/>
        <v>4</v>
      </c>
      <c r="DK268" s="125">
        <f t="shared" si="295"/>
        <v>5</v>
      </c>
      <c r="DL268" s="125">
        <f t="shared" si="295"/>
        <v>6</v>
      </c>
      <c r="DM268" s="125">
        <f t="shared" si="295"/>
        <v>7</v>
      </c>
      <c r="DN268" s="125">
        <f t="shared" si="295"/>
        <v>8</v>
      </c>
      <c r="DO268" s="125">
        <f t="shared" si="295"/>
        <v>9</v>
      </c>
      <c r="DP268" s="125">
        <f t="shared" si="295"/>
        <v>10</v>
      </c>
      <c r="DS268" s="137"/>
      <c r="DT268" s="137"/>
      <c r="DU268" s="137"/>
      <c r="DV268" s="137" t="b">
        <f t="shared" si="281"/>
        <v>0</v>
      </c>
      <c r="DW268" s="137" t="b">
        <f t="shared" si="282"/>
        <v>0</v>
      </c>
      <c r="DX268" s="137" t="b">
        <f t="shared" si="283"/>
        <v>1</v>
      </c>
      <c r="EB268" s="131">
        <f t="shared" si="292"/>
        <v>1</v>
      </c>
      <c r="EC268" s="137" t="b">
        <f t="shared" si="284"/>
        <v>0</v>
      </c>
      <c r="ED268" s="137" t="b">
        <f t="shared" si="285"/>
        <v>0</v>
      </c>
      <c r="EE268" s="137" t="b">
        <f t="shared" si="286"/>
        <v>1</v>
      </c>
      <c r="EF268" s="137"/>
      <c r="EG268" s="137"/>
      <c r="EH268" s="137"/>
      <c r="EI268" s="137"/>
      <c r="EJ268" s="137">
        <f t="shared" si="293"/>
        <v>1</v>
      </c>
      <c r="EK268" s="125">
        <f t="shared" si="287"/>
        <v>0</v>
      </c>
      <c r="EL268" s="125">
        <f t="shared" si="288"/>
        <v>0</v>
      </c>
    </row>
    <row r="269" spans="2:142" ht="15.75" x14ac:dyDescent="0.2">
      <c r="B269" s="160">
        <f t="shared" si="289"/>
        <v>239</v>
      </c>
      <c r="C269" s="290">
        <v>1001347742</v>
      </c>
      <c r="D269" s="290">
        <v>1001266912</v>
      </c>
      <c r="E269" s="290">
        <v>40474818</v>
      </c>
      <c r="F269" s="118">
        <f>IF(OR(J269="",H269=""),"",VLOOKUP(J269,'הזנה לסיווג רשויות'!$B$2:$D$301,2,0))</f>
        <v>20000201</v>
      </c>
      <c r="G269" s="118" t="str">
        <f>IF(OR(J269="",H269=""),"",VLOOKUP(J269,'הזנה לסיווג רשויות'!$B$2:$D$301,3,0))</f>
        <v>תל אביב -יפו</v>
      </c>
      <c r="H269" s="293" t="s">
        <v>723</v>
      </c>
      <c r="I269" s="201" t="s">
        <v>392</v>
      </c>
      <c r="J269" s="294">
        <v>5000</v>
      </c>
      <c r="K269" s="161">
        <v>0</v>
      </c>
      <c r="L269" s="161">
        <v>1</v>
      </c>
      <c r="M269" s="161">
        <v>0</v>
      </c>
      <c r="N269" s="161">
        <v>1</v>
      </c>
      <c r="O269" s="161">
        <v>0</v>
      </c>
      <c r="P269" s="161">
        <v>1</v>
      </c>
      <c r="Q269" s="161">
        <v>1</v>
      </c>
      <c r="R269" s="201">
        <v>671056</v>
      </c>
      <c r="S269" s="201">
        <v>229423</v>
      </c>
      <c r="T269" s="160">
        <f>IF(G269="","",IFERROR(IF(S269/R269&gt;'פרמטרים לקריטריונים'!$C$20,1,0),0))</f>
        <v>1</v>
      </c>
      <c r="U269" s="296">
        <v>182465</v>
      </c>
      <c r="V269" s="160">
        <f>IF(G269="","",IFERROR(IF(U269/R269&gt;'פרמטרים לקריטריונים'!$C$21,1,IF(AND(I269=$BW$5,U269/R269&gt;'פרמטרים לקריטריונים'!$C$22),1,0)),0))</f>
        <v>1</v>
      </c>
      <c r="W269" s="161">
        <v>1</v>
      </c>
      <c r="X269" s="161">
        <v>1</v>
      </c>
      <c r="Y269" s="299">
        <v>1030000</v>
      </c>
      <c r="Z269" s="300">
        <v>1</v>
      </c>
      <c r="AA269" s="161">
        <f t="shared" si="290"/>
        <v>1</v>
      </c>
      <c r="AB269" s="161"/>
      <c r="AC269" s="161"/>
      <c r="AD269" s="161"/>
      <c r="AE269" s="161"/>
      <c r="AF269" s="161"/>
      <c r="AG269" s="161"/>
      <c r="AH269" s="161"/>
      <c r="AI269" s="161"/>
      <c r="AJ269" s="161"/>
      <c r="AK269" s="161"/>
      <c r="AL269" s="161"/>
      <c r="AM269" s="161"/>
      <c r="AN269" s="161"/>
      <c r="AO269" s="161"/>
      <c r="AP269" s="161"/>
      <c r="AQ269" s="161"/>
      <c r="AR269" s="161"/>
      <c r="AS269" s="161"/>
      <c r="AT269" s="161"/>
      <c r="AU269" s="161"/>
      <c r="AV269" s="161"/>
      <c r="AW269" s="160"/>
      <c r="AX269" s="161"/>
      <c r="AY269" s="161"/>
      <c r="AZ269" s="161"/>
      <c r="BA269" s="161"/>
      <c r="BB269" s="161"/>
      <c r="BC269" s="161"/>
      <c r="BD269" s="161"/>
      <c r="BE269" s="161"/>
      <c r="BF269" s="160" t="str">
        <f t="shared" si="291"/>
        <v/>
      </c>
      <c r="BG269" s="160"/>
      <c r="BH269" s="160"/>
      <c r="BI269" s="160"/>
      <c r="BJ269" s="160"/>
      <c r="BK269" s="160"/>
      <c r="BL269" s="162">
        <f t="shared" si="242"/>
        <v>1</v>
      </c>
      <c r="BM269" s="257"/>
      <c r="BN269" s="163" t="s">
        <v>763</v>
      </c>
      <c r="BO269" s="211" t="str">
        <f t="shared" si="243"/>
        <v>צוותא לתרבות מתקדמת בע"מ (חל"צ)ספרות</v>
      </c>
      <c r="BP269" s="125">
        <f t="shared" si="244"/>
        <v>1</v>
      </c>
      <c r="BQ269" s="164">
        <v>0</v>
      </c>
      <c r="BR269" s="164">
        <v>1</v>
      </c>
      <c r="BS269" s="149">
        <f t="shared" si="245"/>
        <v>1</v>
      </c>
      <c r="BT269" s="149">
        <f t="shared" si="246"/>
        <v>1</v>
      </c>
      <c r="BU269" s="149">
        <f t="shared" si="247"/>
        <v>1</v>
      </c>
      <c r="BV269" s="149">
        <f t="shared" si="248"/>
        <v>1</v>
      </c>
      <c r="BW269" s="149">
        <f t="shared" si="249"/>
        <v>1</v>
      </c>
      <c r="BX269" s="149">
        <f t="shared" si="250"/>
        <v>1</v>
      </c>
      <c r="BY269" s="149">
        <f t="shared" si="251"/>
        <v>1</v>
      </c>
      <c r="BZ269" s="149">
        <f t="shared" si="252"/>
        <v>1</v>
      </c>
      <c r="CA269" s="149">
        <f t="shared" si="253"/>
        <v>1</v>
      </c>
      <c r="CB269" s="149">
        <f t="shared" si="254"/>
        <v>1</v>
      </c>
      <c r="CC269" s="149">
        <f t="shared" si="255"/>
        <v>1</v>
      </c>
      <c r="CD269" s="149">
        <f t="shared" si="256"/>
        <v>1</v>
      </c>
      <c r="CE269" s="149">
        <f t="shared" si="257"/>
        <v>1</v>
      </c>
      <c r="CF269" s="149">
        <f t="shared" si="258"/>
        <v>1</v>
      </c>
      <c r="CG269" s="149">
        <f t="shared" si="259"/>
        <v>1</v>
      </c>
      <c r="CH269" s="149">
        <f t="shared" si="260"/>
        <v>1</v>
      </c>
      <c r="CI269" s="149">
        <f t="shared" si="261"/>
        <v>1</v>
      </c>
      <c r="CJ269" s="149">
        <f t="shared" si="262"/>
        <v>1</v>
      </c>
      <c r="CK269" s="149">
        <f t="shared" si="263"/>
        <v>1</v>
      </c>
      <c r="CL269" s="149">
        <f t="shared" si="264"/>
        <v>1</v>
      </c>
      <c r="CM269" s="149">
        <f t="shared" si="265"/>
        <v>1</v>
      </c>
      <c r="CN269" s="149">
        <f t="shared" si="266"/>
        <v>1</v>
      </c>
      <c r="CO269" s="149">
        <f t="shared" si="267"/>
        <v>1</v>
      </c>
      <c r="CP269" s="149">
        <f t="shared" si="268"/>
        <v>1</v>
      </c>
      <c r="CQ269" s="149">
        <f t="shared" si="269"/>
        <v>1</v>
      </c>
      <c r="CR269" s="149">
        <f t="shared" si="270"/>
        <v>1</v>
      </c>
      <c r="CS269" s="149">
        <f t="shared" si="271"/>
        <v>1</v>
      </c>
      <c r="CT269" s="149">
        <f t="shared" si="272"/>
        <v>1</v>
      </c>
      <c r="CU269" s="149">
        <f t="shared" si="273"/>
        <v>1</v>
      </c>
      <c r="CV269" s="149">
        <f t="shared" si="274"/>
        <v>1</v>
      </c>
      <c r="CW269" s="149">
        <f t="shared" si="275"/>
        <v>1</v>
      </c>
      <c r="CX269" s="149">
        <f t="shared" si="276"/>
        <v>1</v>
      </c>
      <c r="CY269" s="149">
        <f t="shared" si="277"/>
        <v>1</v>
      </c>
      <c r="CZ269" s="149">
        <f t="shared" si="278"/>
        <v>1</v>
      </c>
      <c r="DA269" s="149">
        <f t="shared" si="279"/>
        <v>1</v>
      </c>
      <c r="DB269" s="149">
        <f t="shared" si="280"/>
        <v>1</v>
      </c>
      <c r="DG269" s="125">
        <f t="shared" si="241"/>
        <v>1</v>
      </c>
      <c r="DH269" s="125">
        <f t="shared" si="295"/>
        <v>2</v>
      </c>
      <c r="DI269" s="125">
        <f t="shared" si="295"/>
        <v>3</v>
      </c>
      <c r="DJ269" s="125">
        <f t="shared" si="295"/>
        <v>4</v>
      </c>
      <c r="DK269" s="125">
        <f t="shared" si="295"/>
        <v>5</v>
      </c>
      <c r="DL269" s="125">
        <f t="shared" si="295"/>
        <v>6</v>
      </c>
      <c r="DM269" s="125">
        <f t="shared" si="295"/>
        <v>7</v>
      </c>
      <c r="DN269" s="125">
        <f t="shared" si="295"/>
        <v>8</v>
      </c>
      <c r="DO269" s="125">
        <f t="shared" si="295"/>
        <v>9</v>
      </c>
      <c r="DP269" s="125">
        <f t="shared" si="295"/>
        <v>10</v>
      </c>
      <c r="DS269" s="137"/>
      <c r="DT269" s="137"/>
      <c r="DU269" s="137"/>
      <c r="DV269" s="137" t="b">
        <f t="shared" si="281"/>
        <v>0</v>
      </c>
      <c r="DW269" s="137" t="b">
        <f t="shared" si="282"/>
        <v>0</v>
      </c>
      <c r="DX269" s="137" t="b">
        <f t="shared" si="283"/>
        <v>1</v>
      </c>
      <c r="EB269" s="131">
        <f t="shared" si="292"/>
        <v>1</v>
      </c>
      <c r="EC269" s="137" t="b">
        <f t="shared" si="284"/>
        <v>0</v>
      </c>
      <c r="ED269" s="137" t="b">
        <f t="shared" si="285"/>
        <v>0</v>
      </c>
      <c r="EE269" s="137" t="b">
        <f t="shared" si="286"/>
        <v>1</v>
      </c>
      <c r="EF269" s="137"/>
      <c r="EG269" s="137"/>
      <c r="EH269" s="137"/>
      <c r="EI269" s="137"/>
      <c r="EJ269" s="137">
        <f t="shared" si="293"/>
        <v>1</v>
      </c>
      <c r="EK269" s="125">
        <f t="shared" si="287"/>
        <v>0</v>
      </c>
      <c r="EL269" s="125">
        <f t="shared" si="288"/>
        <v>0</v>
      </c>
    </row>
    <row r="270" spans="2:142" ht="15.75" x14ac:dyDescent="0.2">
      <c r="B270" s="160">
        <f t="shared" si="289"/>
        <v>240</v>
      </c>
      <c r="C270" s="290">
        <v>1001349320</v>
      </c>
      <c r="D270" s="290">
        <v>1001266968</v>
      </c>
      <c r="E270" s="290">
        <v>40474818</v>
      </c>
      <c r="F270" s="118">
        <f>IF(OR(J270="",H270=""),"",VLOOKUP(J270,'הזנה לסיווג רשויות'!$B$2:$D$301,2,0))</f>
        <v>20000201</v>
      </c>
      <c r="G270" s="118" t="str">
        <f>IF(OR(J270="",H270=""),"",VLOOKUP(J270,'הזנה לסיווג רשויות'!$B$2:$D$301,3,0))</f>
        <v>תל אביב -יפו</v>
      </c>
      <c r="H270" s="293" t="s">
        <v>723</v>
      </c>
      <c r="I270" s="201" t="s">
        <v>384</v>
      </c>
      <c r="J270" s="294">
        <v>5000</v>
      </c>
      <c r="K270" s="161">
        <v>0</v>
      </c>
      <c r="L270" s="161">
        <v>1</v>
      </c>
      <c r="M270" s="161">
        <v>0</v>
      </c>
      <c r="N270" s="161">
        <v>1</v>
      </c>
      <c r="O270" s="161">
        <v>0</v>
      </c>
      <c r="P270" s="161">
        <v>1</v>
      </c>
      <c r="Q270" s="161">
        <v>1</v>
      </c>
      <c r="R270" s="201">
        <v>1358197</v>
      </c>
      <c r="S270" s="201">
        <v>758301</v>
      </c>
      <c r="T270" s="160">
        <f>IF(G270="","",IFERROR(IF(S270/R270&gt;'פרמטרים לקריטריונים'!$C$20,1,0),0))</f>
        <v>1</v>
      </c>
      <c r="U270" s="296">
        <v>362478</v>
      </c>
      <c r="V270" s="160">
        <f>IF(G270="","",IFERROR(IF(U270/R270&gt;'פרמטרים לקריטריונים'!$C$21,1,IF(AND(I270=$BW$5,U270/R270&gt;'פרמטרים לקריטריונים'!$C$22),1,0)),0))</f>
        <v>1</v>
      </c>
      <c r="W270" s="161">
        <v>1</v>
      </c>
      <c r="X270" s="161">
        <v>1</v>
      </c>
      <c r="Y270" s="299">
        <v>1050000</v>
      </c>
      <c r="Z270" s="300">
        <v>1</v>
      </c>
      <c r="AA270" s="161">
        <f t="shared" si="290"/>
        <v>1</v>
      </c>
      <c r="AB270" s="161"/>
      <c r="AC270" s="161"/>
      <c r="AD270" s="161"/>
      <c r="AE270" s="161"/>
      <c r="AF270" s="161"/>
      <c r="AG270" s="161"/>
      <c r="AH270" s="161"/>
      <c r="AI270" s="161"/>
      <c r="AJ270" s="161"/>
      <c r="AK270" s="161"/>
      <c r="AL270" s="161"/>
      <c r="AM270" s="161"/>
      <c r="AN270" s="161"/>
      <c r="AO270" s="161"/>
      <c r="AP270" s="161"/>
      <c r="AQ270" s="161"/>
      <c r="AR270" s="161"/>
      <c r="AS270" s="161"/>
      <c r="AT270" s="161"/>
      <c r="AU270" s="161"/>
      <c r="AV270" s="161"/>
      <c r="AW270" s="160"/>
      <c r="AX270" s="161"/>
      <c r="AY270" s="161"/>
      <c r="AZ270" s="161"/>
      <c r="BA270" s="161"/>
      <c r="BB270" s="161"/>
      <c r="BC270" s="161"/>
      <c r="BD270" s="161"/>
      <c r="BE270" s="161"/>
      <c r="BF270" s="160" t="str">
        <f t="shared" si="291"/>
        <v/>
      </c>
      <c r="BG270" s="160"/>
      <c r="BH270" s="160"/>
      <c r="BI270" s="160"/>
      <c r="BJ270" s="160"/>
      <c r="BK270" s="160"/>
      <c r="BL270" s="162">
        <f t="shared" si="242"/>
        <v>1</v>
      </c>
      <c r="BM270" s="257"/>
      <c r="BN270" s="163" t="s">
        <v>763</v>
      </c>
      <c r="BO270" s="211" t="str">
        <f t="shared" si="243"/>
        <v>צוותא לתרבות מתקדמת בע"מ (חל"צ)מרכזי פרינג'</v>
      </c>
      <c r="BP270" s="125">
        <f t="shared" si="244"/>
        <v>1</v>
      </c>
      <c r="BQ270" s="164">
        <v>0</v>
      </c>
      <c r="BR270" s="164">
        <v>1</v>
      </c>
      <c r="BS270" s="149">
        <f t="shared" si="245"/>
        <v>1</v>
      </c>
      <c r="BT270" s="149">
        <f t="shared" si="246"/>
        <v>1</v>
      </c>
      <c r="BU270" s="149">
        <f t="shared" si="247"/>
        <v>1</v>
      </c>
      <c r="BV270" s="149">
        <f t="shared" si="248"/>
        <v>1</v>
      </c>
      <c r="BW270" s="149">
        <f t="shared" si="249"/>
        <v>1</v>
      </c>
      <c r="BX270" s="149">
        <f t="shared" si="250"/>
        <v>1</v>
      </c>
      <c r="BY270" s="149">
        <f t="shared" si="251"/>
        <v>1</v>
      </c>
      <c r="BZ270" s="149">
        <f t="shared" si="252"/>
        <v>1</v>
      </c>
      <c r="CA270" s="149">
        <f t="shared" si="253"/>
        <v>1</v>
      </c>
      <c r="CB270" s="149">
        <f t="shared" si="254"/>
        <v>1</v>
      </c>
      <c r="CC270" s="149">
        <f t="shared" si="255"/>
        <v>1</v>
      </c>
      <c r="CD270" s="149">
        <f t="shared" si="256"/>
        <v>1</v>
      </c>
      <c r="CE270" s="149">
        <f t="shared" si="257"/>
        <v>1</v>
      </c>
      <c r="CF270" s="149">
        <f t="shared" si="258"/>
        <v>1</v>
      </c>
      <c r="CG270" s="149">
        <f t="shared" si="259"/>
        <v>1</v>
      </c>
      <c r="CH270" s="149">
        <f t="shared" si="260"/>
        <v>1</v>
      </c>
      <c r="CI270" s="149">
        <f t="shared" si="261"/>
        <v>1</v>
      </c>
      <c r="CJ270" s="149">
        <f t="shared" si="262"/>
        <v>1</v>
      </c>
      <c r="CK270" s="149">
        <f t="shared" si="263"/>
        <v>1</v>
      </c>
      <c r="CL270" s="149">
        <f t="shared" si="264"/>
        <v>1</v>
      </c>
      <c r="CM270" s="149">
        <f t="shared" si="265"/>
        <v>1</v>
      </c>
      <c r="CN270" s="149">
        <f t="shared" si="266"/>
        <v>1</v>
      </c>
      <c r="CO270" s="149">
        <f t="shared" si="267"/>
        <v>1</v>
      </c>
      <c r="CP270" s="149">
        <f t="shared" si="268"/>
        <v>1</v>
      </c>
      <c r="CQ270" s="149">
        <f t="shared" si="269"/>
        <v>1</v>
      </c>
      <c r="CR270" s="149">
        <f t="shared" si="270"/>
        <v>1</v>
      </c>
      <c r="CS270" s="149">
        <f t="shared" si="271"/>
        <v>1</v>
      </c>
      <c r="CT270" s="149">
        <f t="shared" si="272"/>
        <v>1</v>
      </c>
      <c r="CU270" s="149">
        <f t="shared" si="273"/>
        <v>1</v>
      </c>
      <c r="CV270" s="149">
        <f t="shared" si="274"/>
        <v>1</v>
      </c>
      <c r="CW270" s="149">
        <f t="shared" si="275"/>
        <v>1</v>
      </c>
      <c r="CX270" s="149">
        <f t="shared" si="276"/>
        <v>1</v>
      </c>
      <c r="CY270" s="149">
        <f t="shared" si="277"/>
        <v>1</v>
      </c>
      <c r="CZ270" s="149">
        <f t="shared" si="278"/>
        <v>1</v>
      </c>
      <c r="DA270" s="149">
        <f t="shared" si="279"/>
        <v>1</v>
      </c>
      <c r="DB270" s="149">
        <f t="shared" si="280"/>
        <v>1</v>
      </c>
      <c r="DG270" s="125">
        <f t="shared" si="241"/>
        <v>1</v>
      </c>
      <c r="DH270" s="125">
        <f t="shared" si="295"/>
        <v>2</v>
      </c>
      <c r="DI270" s="125">
        <f t="shared" si="295"/>
        <v>3</v>
      </c>
      <c r="DJ270" s="125">
        <f t="shared" si="295"/>
        <v>4</v>
      </c>
      <c r="DK270" s="125">
        <f t="shared" si="295"/>
        <v>5</v>
      </c>
      <c r="DL270" s="125">
        <f t="shared" si="295"/>
        <v>6</v>
      </c>
      <c r="DM270" s="125">
        <f t="shared" si="295"/>
        <v>7</v>
      </c>
      <c r="DN270" s="125">
        <f t="shared" si="295"/>
        <v>8</v>
      </c>
      <c r="DO270" s="125">
        <f t="shared" si="295"/>
        <v>9</v>
      </c>
      <c r="DP270" s="125">
        <f t="shared" si="295"/>
        <v>10</v>
      </c>
      <c r="DS270" s="137"/>
      <c r="DT270" s="137"/>
      <c r="DU270" s="137"/>
      <c r="DV270" s="137" t="b">
        <f t="shared" si="281"/>
        <v>0</v>
      </c>
      <c r="DW270" s="137" t="b">
        <f t="shared" si="282"/>
        <v>0</v>
      </c>
      <c r="DX270" s="137" t="b">
        <f t="shared" si="283"/>
        <v>1</v>
      </c>
      <c r="EB270" s="131">
        <f t="shared" si="292"/>
        <v>1</v>
      </c>
      <c r="EC270" s="137" t="b">
        <f t="shared" si="284"/>
        <v>0</v>
      </c>
      <c r="ED270" s="137" t="b">
        <f t="shared" si="285"/>
        <v>0</v>
      </c>
      <c r="EE270" s="137" t="b">
        <f t="shared" si="286"/>
        <v>1</v>
      </c>
      <c r="EF270" s="137"/>
      <c r="EG270" s="137"/>
      <c r="EH270" s="137"/>
      <c r="EI270" s="137"/>
      <c r="EJ270" s="137">
        <f t="shared" si="293"/>
        <v>1</v>
      </c>
      <c r="EK270" s="125">
        <f t="shared" si="287"/>
        <v>0</v>
      </c>
      <c r="EL270" s="125">
        <f t="shared" si="288"/>
        <v>0</v>
      </c>
    </row>
    <row r="271" spans="2:142" ht="15.75" x14ac:dyDescent="0.2">
      <c r="B271" s="160">
        <f t="shared" si="289"/>
        <v>241</v>
      </c>
      <c r="C271" s="290">
        <v>1001349321</v>
      </c>
      <c r="D271" s="290">
        <v>1001269429</v>
      </c>
      <c r="E271" s="290">
        <v>40474818</v>
      </c>
      <c r="F271" s="118">
        <f>IF(OR(J271="",H271=""),"",VLOOKUP(J271,'הזנה לסיווג רשויות'!$B$2:$D$301,2,0))</f>
        <v>20000201</v>
      </c>
      <c r="G271" s="118" t="str">
        <f>IF(OR(J271="",H271=""),"",VLOOKUP(J271,'הזנה לסיווג רשויות'!$B$2:$D$301,3,0))</f>
        <v>תל אביב -יפו</v>
      </c>
      <c r="H271" s="293" t="s">
        <v>723</v>
      </c>
      <c r="I271" s="201" t="s">
        <v>564</v>
      </c>
      <c r="J271" s="294">
        <v>5000</v>
      </c>
      <c r="K271" s="161">
        <v>0</v>
      </c>
      <c r="L271" s="161">
        <v>1</v>
      </c>
      <c r="M271" s="161">
        <v>0</v>
      </c>
      <c r="N271" s="161">
        <v>1</v>
      </c>
      <c r="O271" s="161">
        <v>0</v>
      </c>
      <c r="P271" s="161">
        <v>1</v>
      </c>
      <c r="Q271" s="161">
        <v>1</v>
      </c>
      <c r="R271" s="201">
        <v>137800</v>
      </c>
      <c r="S271" s="201">
        <v>62800</v>
      </c>
      <c r="T271" s="160">
        <f>IF(G271="","",IFERROR(IF(S271/R271&gt;'פרמטרים לקריטריונים'!$C$20,1,0),0))</f>
        <v>1</v>
      </c>
      <c r="U271" s="296">
        <v>56625</v>
      </c>
      <c r="V271" s="160">
        <f>IF(G271="","",IFERROR(IF(U271/R271&gt;'פרמטרים לקריטריונים'!$C$21,1,IF(AND(I271=$BW$5,U271/R271&gt;'פרמטרים לקריטריונים'!$C$22),1,0)),0))</f>
        <v>1</v>
      </c>
      <c r="W271" s="161">
        <v>1</v>
      </c>
      <c r="X271" s="161">
        <v>1</v>
      </c>
      <c r="Y271" s="299">
        <v>200000</v>
      </c>
      <c r="Z271" s="300">
        <v>1</v>
      </c>
      <c r="AA271" s="161">
        <f t="shared" si="290"/>
        <v>1</v>
      </c>
      <c r="AB271" s="161"/>
      <c r="AC271" s="161"/>
      <c r="AD271" s="161"/>
      <c r="AE271" s="161"/>
      <c r="AF271" s="161"/>
      <c r="AG271" s="161"/>
      <c r="AH271" s="161"/>
      <c r="AI271" s="161"/>
      <c r="AJ271" s="161"/>
      <c r="AK271" s="161"/>
      <c r="AL271" s="161"/>
      <c r="AM271" s="161"/>
      <c r="AN271" s="161"/>
      <c r="AO271" s="161"/>
      <c r="AP271" s="161"/>
      <c r="AQ271" s="161"/>
      <c r="AR271" s="161"/>
      <c r="AS271" s="161"/>
      <c r="AT271" s="161"/>
      <c r="AU271" s="161"/>
      <c r="AV271" s="161"/>
      <c r="AW271" s="160"/>
      <c r="AX271" s="161"/>
      <c r="AY271" s="161"/>
      <c r="AZ271" s="161"/>
      <c r="BA271" s="161"/>
      <c r="BB271" s="161"/>
      <c r="BC271" s="161"/>
      <c r="BD271" s="161"/>
      <c r="BE271" s="161"/>
      <c r="BF271" s="160" t="str">
        <f t="shared" si="291"/>
        <v/>
      </c>
      <c r="BG271" s="160"/>
      <c r="BH271" s="160"/>
      <c r="BI271" s="160"/>
      <c r="BJ271" s="160"/>
      <c r="BK271" s="160"/>
      <c r="BL271" s="162">
        <f t="shared" si="242"/>
        <v>1</v>
      </c>
      <c r="BM271" s="257" t="s">
        <v>764</v>
      </c>
      <c r="BN271" s="163" t="s">
        <v>763</v>
      </c>
      <c r="BO271" s="211" t="str">
        <f t="shared" si="243"/>
        <v>צוותא לתרבות מתקדמת בע"מ (חל"צ)אחר</v>
      </c>
      <c r="BP271" s="125">
        <f t="shared" si="244"/>
        <v>1</v>
      </c>
      <c r="BQ271" s="164">
        <v>0</v>
      </c>
      <c r="BR271" s="164">
        <v>1</v>
      </c>
      <c r="BS271" s="149">
        <f t="shared" si="245"/>
        <v>1</v>
      </c>
      <c r="BT271" s="149">
        <f t="shared" si="246"/>
        <v>1</v>
      </c>
      <c r="BU271" s="149">
        <f t="shared" si="247"/>
        <v>1</v>
      </c>
      <c r="BV271" s="149">
        <f t="shared" si="248"/>
        <v>1</v>
      </c>
      <c r="BW271" s="149">
        <f t="shared" si="249"/>
        <v>1</v>
      </c>
      <c r="BX271" s="149">
        <f t="shared" si="250"/>
        <v>1</v>
      </c>
      <c r="BY271" s="149">
        <f t="shared" si="251"/>
        <v>1</v>
      </c>
      <c r="BZ271" s="149">
        <f t="shared" si="252"/>
        <v>1</v>
      </c>
      <c r="CA271" s="149">
        <f t="shared" si="253"/>
        <v>1</v>
      </c>
      <c r="CB271" s="149">
        <f t="shared" si="254"/>
        <v>1</v>
      </c>
      <c r="CC271" s="149">
        <f t="shared" si="255"/>
        <v>1</v>
      </c>
      <c r="CD271" s="149">
        <f t="shared" si="256"/>
        <v>1</v>
      </c>
      <c r="CE271" s="149">
        <f t="shared" si="257"/>
        <v>1</v>
      </c>
      <c r="CF271" s="149">
        <f t="shared" si="258"/>
        <v>1</v>
      </c>
      <c r="CG271" s="149">
        <f t="shared" si="259"/>
        <v>1</v>
      </c>
      <c r="CH271" s="149">
        <f t="shared" si="260"/>
        <v>1</v>
      </c>
      <c r="CI271" s="149">
        <f t="shared" si="261"/>
        <v>1</v>
      </c>
      <c r="CJ271" s="149">
        <f t="shared" si="262"/>
        <v>1</v>
      </c>
      <c r="CK271" s="149">
        <f t="shared" si="263"/>
        <v>1</v>
      </c>
      <c r="CL271" s="149">
        <f t="shared" si="264"/>
        <v>1</v>
      </c>
      <c r="CM271" s="149">
        <f t="shared" si="265"/>
        <v>1</v>
      </c>
      <c r="CN271" s="149">
        <f t="shared" si="266"/>
        <v>1</v>
      </c>
      <c r="CO271" s="149">
        <f t="shared" si="267"/>
        <v>1</v>
      </c>
      <c r="CP271" s="149">
        <f t="shared" si="268"/>
        <v>1</v>
      </c>
      <c r="CQ271" s="149">
        <f t="shared" si="269"/>
        <v>1</v>
      </c>
      <c r="CR271" s="149">
        <f t="shared" si="270"/>
        <v>1</v>
      </c>
      <c r="CS271" s="149">
        <f t="shared" si="271"/>
        <v>1</v>
      </c>
      <c r="CT271" s="149">
        <f t="shared" si="272"/>
        <v>1</v>
      </c>
      <c r="CU271" s="149">
        <f t="shared" si="273"/>
        <v>1</v>
      </c>
      <c r="CV271" s="149">
        <f t="shared" si="274"/>
        <v>1</v>
      </c>
      <c r="CW271" s="149">
        <f t="shared" si="275"/>
        <v>1</v>
      </c>
      <c r="CX271" s="149">
        <f t="shared" si="276"/>
        <v>1</v>
      </c>
      <c r="CY271" s="149">
        <f t="shared" si="277"/>
        <v>1</v>
      </c>
      <c r="CZ271" s="149">
        <f t="shared" si="278"/>
        <v>1</v>
      </c>
      <c r="DA271" s="149">
        <f t="shared" si="279"/>
        <v>1</v>
      </c>
      <c r="DB271" s="149">
        <f t="shared" si="280"/>
        <v>1</v>
      </c>
      <c r="DG271" s="125">
        <f t="shared" si="241"/>
        <v>1</v>
      </c>
      <c r="DH271" s="125">
        <f t="shared" si="295"/>
        <v>2</v>
      </c>
      <c r="DI271" s="125">
        <f t="shared" si="295"/>
        <v>3</v>
      </c>
      <c r="DJ271" s="125">
        <f t="shared" si="295"/>
        <v>4</v>
      </c>
      <c r="DK271" s="125">
        <f t="shared" si="295"/>
        <v>5</v>
      </c>
      <c r="DL271" s="125">
        <f t="shared" si="295"/>
        <v>6</v>
      </c>
      <c r="DM271" s="125">
        <f t="shared" si="295"/>
        <v>7</v>
      </c>
      <c r="DN271" s="125">
        <f t="shared" si="295"/>
        <v>8</v>
      </c>
      <c r="DO271" s="125">
        <f t="shared" si="295"/>
        <v>9</v>
      </c>
      <c r="DP271" s="125">
        <f t="shared" si="295"/>
        <v>10</v>
      </c>
      <c r="DS271" s="137"/>
      <c r="DT271" s="137"/>
      <c r="DU271" s="137"/>
      <c r="DV271" s="137" t="b">
        <f t="shared" si="281"/>
        <v>0</v>
      </c>
      <c r="DW271" s="137" t="b">
        <f t="shared" si="282"/>
        <v>0</v>
      </c>
      <c r="DX271" s="137" t="b">
        <f t="shared" si="283"/>
        <v>1</v>
      </c>
      <c r="EB271" s="131">
        <f t="shared" si="292"/>
        <v>1</v>
      </c>
      <c r="EC271" s="137" t="b">
        <f t="shared" si="284"/>
        <v>0</v>
      </c>
      <c r="ED271" s="137" t="b">
        <f t="shared" si="285"/>
        <v>0</v>
      </c>
      <c r="EE271" s="137" t="b">
        <f t="shared" si="286"/>
        <v>1</v>
      </c>
      <c r="EF271" s="137"/>
      <c r="EG271" s="137"/>
      <c r="EH271" s="137"/>
      <c r="EI271" s="137"/>
      <c r="EJ271" s="137">
        <f t="shared" si="293"/>
        <v>1</v>
      </c>
      <c r="EK271" s="125">
        <f t="shared" si="287"/>
        <v>0</v>
      </c>
      <c r="EL271" s="125">
        <f t="shared" si="288"/>
        <v>0</v>
      </c>
    </row>
    <row r="272" spans="2:142" ht="15.75" x14ac:dyDescent="0.2">
      <c r="B272" s="160">
        <f t="shared" si="289"/>
        <v>242</v>
      </c>
      <c r="C272" s="290">
        <v>1001349324</v>
      </c>
      <c r="D272" s="290">
        <v>1001269399</v>
      </c>
      <c r="E272" s="290">
        <v>40474818</v>
      </c>
      <c r="F272" s="118">
        <f>IF(OR(J272="",H272=""),"",VLOOKUP(J272,'הזנה לסיווג רשויות'!$B$2:$D$301,2,0))</f>
        <v>20000201</v>
      </c>
      <c r="G272" s="118" t="str">
        <f>IF(OR(J272="",H272=""),"",VLOOKUP(J272,'הזנה לסיווג רשויות'!$B$2:$D$301,3,0))</f>
        <v>תל אביב -יפו</v>
      </c>
      <c r="H272" s="293" t="s">
        <v>723</v>
      </c>
      <c r="I272" s="201" t="s">
        <v>381</v>
      </c>
      <c r="J272" s="294">
        <v>5000</v>
      </c>
      <c r="K272" s="161">
        <v>0</v>
      </c>
      <c r="L272" s="161">
        <v>1</v>
      </c>
      <c r="M272" s="161">
        <v>0</v>
      </c>
      <c r="N272" s="161">
        <v>1</v>
      </c>
      <c r="O272" s="161">
        <v>0</v>
      </c>
      <c r="P272" s="161">
        <v>1</v>
      </c>
      <c r="Q272" s="161">
        <v>1</v>
      </c>
      <c r="R272" s="201">
        <v>130759</v>
      </c>
      <c r="S272" s="201">
        <v>96227</v>
      </c>
      <c r="T272" s="160">
        <f>IF(G272="","",IFERROR(IF(S272/R272&gt;'פרמטרים לקריטריונים'!$C$20,1,0),0))</f>
        <v>1</v>
      </c>
      <c r="U272" s="296">
        <v>53716</v>
      </c>
      <c r="V272" s="160">
        <f>IF(G272="","",IFERROR(IF(U272/R272&gt;'פרמטרים לקריטריונים'!$C$21,1,IF(AND(I272=$BW$5,U272/R272&gt;'פרמטרים לקריטריונים'!$C$22),1,0)),0))</f>
        <v>1</v>
      </c>
      <c r="W272" s="161">
        <v>1</v>
      </c>
      <c r="X272" s="161">
        <v>1</v>
      </c>
      <c r="Y272" s="299">
        <v>250000</v>
      </c>
      <c r="Z272" s="300">
        <v>1</v>
      </c>
      <c r="AA272" s="161">
        <f t="shared" si="290"/>
        <v>1</v>
      </c>
      <c r="AB272" s="161"/>
      <c r="AC272" s="161"/>
      <c r="AD272" s="161"/>
      <c r="AE272" s="161"/>
      <c r="AF272" s="161"/>
      <c r="AG272" s="161"/>
      <c r="AH272" s="161"/>
      <c r="AI272" s="161"/>
      <c r="AJ272" s="161"/>
      <c r="AK272" s="161"/>
      <c r="AL272" s="161"/>
      <c r="AM272" s="161"/>
      <c r="AN272" s="161"/>
      <c r="AO272" s="161"/>
      <c r="AP272" s="161"/>
      <c r="AQ272" s="161"/>
      <c r="AR272" s="161"/>
      <c r="AS272" s="161"/>
      <c r="AT272" s="161"/>
      <c r="AU272" s="161"/>
      <c r="AV272" s="161"/>
      <c r="AW272" s="160"/>
      <c r="AX272" s="161"/>
      <c r="AY272" s="161"/>
      <c r="AZ272" s="161"/>
      <c r="BA272" s="161"/>
      <c r="BB272" s="161"/>
      <c r="BC272" s="161"/>
      <c r="BD272" s="161"/>
      <c r="BE272" s="161"/>
      <c r="BF272" s="160" t="str">
        <f t="shared" si="291"/>
        <v/>
      </c>
      <c r="BG272" s="160"/>
      <c r="BH272" s="160"/>
      <c r="BI272" s="160"/>
      <c r="BJ272" s="160"/>
      <c r="BK272" s="160"/>
      <c r="BL272" s="162">
        <f t="shared" si="242"/>
        <v>1</v>
      </c>
      <c r="BM272" s="257"/>
      <c r="BN272" s="163" t="s">
        <v>763</v>
      </c>
      <c r="BO272" s="211" t="str">
        <f t="shared" si="243"/>
        <v>צוותא לתרבות מתקדמת בע"מ (חל"צ)סינמטקים ופסטיבלים</v>
      </c>
      <c r="BP272" s="125">
        <f t="shared" si="244"/>
        <v>1</v>
      </c>
      <c r="BQ272" s="164">
        <v>0</v>
      </c>
      <c r="BR272" s="164">
        <v>1</v>
      </c>
      <c r="BS272" s="149">
        <f t="shared" si="245"/>
        <v>1</v>
      </c>
      <c r="BT272" s="149">
        <f t="shared" si="246"/>
        <v>1</v>
      </c>
      <c r="BU272" s="149">
        <f t="shared" si="247"/>
        <v>1</v>
      </c>
      <c r="BV272" s="149">
        <f t="shared" si="248"/>
        <v>1</v>
      </c>
      <c r="BW272" s="149">
        <f t="shared" si="249"/>
        <v>1</v>
      </c>
      <c r="BX272" s="149">
        <f t="shared" si="250"/>
        <v>1</v>
      </c>
      <c r="BY272" s="149">
        <f t="shared" si="251"/>
        <v>1</v>
      </c>
      <c r="BZ272" s="149">
        <f t="shared" si="252"/>
        <v>1</v>
      </c>
      <c r="CA272" s="149">
        <f t="shared" si="253"/>
        <v>1</v>
      </c>
      <c r="CB272" s="149">
        <f t="shared" si="254"/>
        <v>1</v>
      </c>
      <c r="CC272" s="149">
        <f t="shared" si="255"/>
        <v>1</v>
      </c>
      <c r="CD272" s="149">
        <f t="shared" si="256"/>
        <v>1</v>
      </c>
      <c r="CE272" s="149">
        <f t="shared" si="257"/>
        <v>1</v>
      </c>
      <c r="CF272" s="149">
        <f t="shared" si="258"/>
        <v>1</v>
      </c>
      <c r="CG272" s="149">
        <f t="shared" si="259"/>
        <v>1</v>
      </c>
      <c r="CH272" s="149">
        <f t="shared" si="260"/>
        <v>1</v>
      </c>
      <c r="CI272" s="149">
        <f t="shared" si="261"/>
        <v>1</v>
      </c>
      <c r="CJ272" s="149">
        <f t="shared" si="262"/>
        <v>1</v>
      </c>
      <c r="CK272" s="149">
        <f t="shared" si="263"/>
        <v>1</v>
      </c>
      <c r="CL272" s="149">
        <f t="shared" si="264"/>
        <v>1</v>
      </c>
      <c r="CM272" s="149">
        <f t="shared" si="265"/>
        <v>1</v>
      </c>
      <c r="CN272" s="149">
        <f t="shared" si="266"/>
        <v>1</v>
      </c>
      <c r="CO272" s="149">
        <f t="shared" si="267"/>
        <v>1</v>
      </c>
      <c r="CP272" s="149">
        <f t="shared" si="268"/>
        <v>1</v>
      </c>
      <c r="CQ272" s="149">
        <f t="shared" si="269"/>
        <v>1</v>
      </c>
      <c r="CR272" s="149">
        <f t="shared" si="270"/>
        <v>1</v>
      </c>
      <c r="CS272" s="149">
        <f t="shared" si="271"/>
        <v>1</v>
      </c>
      <c r="CT272" s="149">
        <f t="shared" si="272"/>
        <v>1</v>
      </c>
      <c r="CU272" s="149">
        <f t="shared" si="273"/>
        <v>1</v>
      </c>
      <c r="CV272" s="149">
        <f t="shared" si="274"/>
        <v>1</v>
      </c>
      <c r="CW272" s="149">
        <f t="shared" si="275"/>
        <v>1</v>
      </c>
      <c r="CX272" s="149">
        <f t="shared" si="276"/>
        <v>1</v>
      </c>
      <c r="CY272" s="149">
        <f t="shared" si="277"/>
        <v>1</v>
      </c>
      <c r="CZ272" s="149">
        <f t="shared" si="278"/>
        <v>1</v>
      </c>
      <c r="DA272" s="149">
        <f t="shared" si="279"/>
        <v>1</v>
      </c>
      <c r="DB272" s="149">
        <f t="shared" si="280"/>
        <v>1</v>
      </c>
      <c r="DG272" s="125">
        <f t="shared" si="241"/>
        <v>1</v>
      </c>
      <c r="DH272" s="125">
        <f t="shared" si="295"/>
        <v>2</v>
      </c>
      <c r="DI272" s="125">
        <f t="shared" si="295"/>
        <v>3</v>
      </c>
      <c r="DJ272" s="125">
        <f t="shared" si="295"/>
        <v>4</v>
      </c>
      <c r="DK272" s="125">
        <f t="shared" si="295"/>
        <v>5</v>
      </c>
      <c r="DL272" s="125">
        <f t="shared" si="295"/>
        <v>6</v>
      </c>
      <c r="DM272" s="125">
        <f t="shared" si="295"/>
        <v>7</v>
      </c>
      <c r="DN272" s="125">
        <f t="shared" si="295"/>
        <v>8</v>
      </c>
      <c r="DO272" s="125">
        <f t="shared" si="295"/>
        <v>9</v>
      </c>
      <c r="DP272" s="125">
        <f t="shared" si="295"/>
        <v>10</v>
      </c>
      <c r="DS272" s="137"/>
      <c r="DT272" s="137"/>
      <c r="DU272" s="137"/>
      <c r="DV272" s="137" t="b">
        <f t="shared" si="281"/>
        <v>0</v>
      </c>
      <c r="DW272" s="137" t="b">
        <f t="shared" si="282"/>
        <v>0</v>
      </c>
      <c r="DX272" s="137" t="b">
        <f t="shared" si="283"/>
        <v>1</v>
      </c>
      <c r="EB272" s="131">
        <f t="shared" si="292"/>
        <v>1</v>
      </c>
      <c r="EC272" s="137" t="b">
        <f t="shared" si="284"/>
        <v>0</v>
      </c>
      <c r="ED272" s="137" t="b">
        <f t="shared" si="285"/>
        <v>0</v>
      </c>
      <c r="EE272" s="137" t="b">
        <f t="shared" si="286"/>
        <v>1</v>
      </c>
      <c r="EF272" s="137"/>
      <c r="EG272" s="137"/>
      <c r="EH272" s="137"/>
      <c r="EI272" s="137"/>
      <c r="EJ272" s="137">
        <f t="shared" si="293"/>
        <v>1</v>
      </c>
      <c r="EK272" s="125">
        <f t="shared" si="287"/>
        <v>0</v>
      </c>
      <c r="EL272" s="125">
        <f t="shared" si="288"/>
        <v>0</v>
      </c>
    </row>
    <row r="273" spans="2:142" ht="15.75" x14ac:dyDescent="0.2">
      <c r="B273" s="160">
        <f t="shared" si="289"/>
        <v>243</v>
      </c>
      <c r="C273" s="290">
        <v>1001349326</v>
      </c>
      <c r="D273" s="290">
        <v>1001268650</v>
      </c>
      <c r="E273" s="290">
        <v>40474818</v>
      </c>
      <c r="F273" s="118">
        <f>IF(OR(J273="",H273=""),"",VLOOKUP(J273,'הזנה לסיווג רשויות'!$B$2:$D$301,2,0))</f>
        <v>20000201</v>
      </c>
      <c r="G273" s="118" t="str">
        <f>IF(OR(J273="",H273=""),"",VLOOKUP(J273,'הזנה לסיווג רשויות'!$B$2:$D$301,3,0))</f>
        <v>תל אביב -יפו</v>
      </c>
      <c r="H273" s="293" t="s">
        <v>723</v>
      </c>
      <c r="I273" s="201" t="s">
        <v>381</v>
      </c>
      <c r="J273" s="294">
        <v>5000</v>
      </c>
      <c r="K273" s="161">
        <v>0</v>
      </c>
      <c r="L273" s="161">
        <v>1</v>
      </c>
      <c r="M273" s="161">
        <v>0</v>
      </c>
      <c r="N273" s="161">
        <v>1</v>
      </c>
      <c r="O273" s="161">
        <v>0</v>
      </c>
      <c r="P273" s="161">
        <v>1</v>
      </c>
      <c r="Q273" s="161">
        <v>1</v>
      </c>
      <c r="R273" s="201">
        <v>443519</v>
      </c>
      <c r="S273" s="201">
        <v>312898</v>
      </c>
      <c r="T273" s="160">
        <f>IF(G273="","",IFERROR(IF(S273/R273&gt;'פרמטרים לקריטריונים'!$C$20,1,0),0))</f>
        <v>1</v>
      </c>
      <c r="U273" s="296">
        <v>138115</v>
      </c>
      <c r="V273" s="160">
        <f>IF(G273="","",IFERROR(IF(U273/R273&gt;'פרמטרים לקריטריונים'!$C$21,1,IF(AND(I273=$BW$5,U273/R273&gt;'פרמטרים לקריטריונים'!$C$22),1,0)),0))</f>
        <v>1</v>
      </c>
      <c r="W273" s="161">
        <v>1</v>
      </c>
      <c r="X273" s="161">
        <v>1</v>
      </c>
      <c r="Y273" s="299">
        <v>450000</v>
      </c>
      <c r="Z273" s="300">
        <v>1</v>
      </c>
      <c r="AA273" s="161">
        <f t="shared" si="290"/>
        <v>1</v>
      </c>
      <c r="AB273" s="161"/>
      <c r="AC273" s="161"/>
      <c r="AD273" s="161"/>
      <c r="AE273" s="161"/>
      <c r="AF273" s="161"/>
      <c r="AG273" s="161"/>
      <c r="AH273" s="161"/>
      <c r="AI273" s="161"/>
      <c r="AJ273" s="161"/>
      <c r="AK273" s="161"/>
      <c r="AL273" s="161"/>
      <c r="AM273" s="161"/>
      <c r="AN273" s="161"/>
      <c r="AO273" s="161"/>
      <c r="AP273" s="161"/>
      <c r="AQ273" s="161"/>
      <c r="AR273" s="161"/>
      <c r="AS273" s="161"/>
      <c r="AT273" s="161"/>
      <c r="AU273" s="161"/>
      <c r="AV273" s="161"/>
      <c r="AW273" s="160"/>
      <c r="AX273" s="161"/>
      <c r="AY273" s="161"/>
      <c r="AZ273" s="161"/>
      <c r="BA273" s="161"/>
      <c r="BB273" s="161"/>
      <c r="BC273" s="161"/>
      <c r="BD273" s="161"/>
      <c r="BE273" s="161"/>
      <c r="BF273" s="160" t="str">
        <f t="shared" si="291"/>
        <v/>
      </c>
      <c r="BG273" s="160"/>
      <c r="BH273" s="160"/>
      <c r="BI273" s="160"/>
      <c r="BJ273" s="160"/>
      <c r="BK273" s="160"/>
      <c r="BL273" s="162">
        <f t="shared" si="242"/>
        <v>1</v>
      </c>
      <c r="BM273" s="257"/>
      <c r="BN273" s="163" t="s">
        <v>763</v>
      </c>
      <c r="BO273" s="211" t="str">
        <f t="shared" si="243"/>
        <v>צוותא לתרבות מתקדמת בע"מ (חל"צ)סינמטקים ופסטיבלים</v>
      </c>
      <c r="BP273" s="125">
        <f t="shared" si="244"/>
        <v>1</v>
      </c>
      <c r="BQ273" s="164">
        <v>0</v>
      </c>
      <c r="BR273" s="164">
        <v>1</v>
      </c>
      <c r="BS273" s="149">
        <f t="shared" si="245"/>
        <v>1</v>
      </c>
      <c r="BT273" s="149">
        <f t="shared" si="246"/>
        <v>1</v>
      </c>
      <c r="BU273" s="149">
        <f t="shared" si="247"/>
        <v>1</v>
      </c>
      <c r="BV273" s="149">
        <f t="shared" si="248"/>
        <v>1</v>
      </c>
      <c r="BW273" s="149">
        <f t="shared" si="249"/>
        <v>1</v>
      </c>
      <c r="BX273" s="149">
        <f t="shared" si="250"/>
        <v>1</v>
      </c>
      <c r="BY273" s="149">
        <f t="shared" si="251"/>
        <v>1</v>
      </c>
      <c r="BZ273" s="149">
        <f t="shared" si="252"/>
        <v>1</v>
      </c>
      <c r="CA273" s="149">
        <f t="shared" si="253"/>
        <v>1</v>
      </c>
      <c r="CB273" s="149">
        <f t="shared" si="254"/>
        <v>1</v>
      </c>
      <c r="CC273" s="149">
        <f t="shared" si="255"/>
        <v>1</v>
      </c>
      <c r="CD273" s="149">
        <f t="shared" si="256"/>
        <v>1</v>
      </c>
      <c r="CE273" s="149">
        <f t="shared" si="257"/>
        <v>1</v>
      </c>
      <c r="CF273" s="149">
        <f t="shared" si="258"/>
        <v>1</v>
      </c>
      <c r="CG273" s="149">
        <f t="shared" si="259"/>
        <v>1</v>
      </c>
      <c r="CH273" s="149">
        <f t="shared" si="260"/>
        <v>1</v>
      </c>
      <c r="CI273" s="149">
        <f t="shared" si="261"/>
        <v>1</v>
      </c>
      <c r="CJ273" s="149">
        <f t="shared" si="262"/>
        <v>1</v>
      </c>
      <c r="CK273" s="149">
        <f t="shared" si="263"/>
        <v>1</v>
      </c>
      <c r="CL273" s="149">
        <f t="shared" si="264"/>
        <v>1</v>
      </c>
      <c r="CM273" s="149">
        <f t="shared" si="265"/>
        <v>1</v>
      </c>
      <c r="CN273" s="149">
        <f t="shared" si="266"/>
        <v>1</v>
      </c>
      <c r="CO273" s="149">
        <f t="shared" si="267"/>
        <v>1</v>
      </c>
      <c r="CP273" s="149">
        <f t="shared" si="268"/>
        <v>1</v>
      </c>
      <c r="CQ273" s="149">
        <f t="shared" si="269"/>
        <v>1</v>
      </c>
      <c r="CR273" s="149">
        <f t="shared" si="270"/>
        <v>1</v>
      </c>
      <c r="CS273" s="149">
        <f t="shared" si="271"/>
        <v>1</v>
      </c>
      <c r="CT273" s="149">
        <f t="shared" si="272"/>
        <v>1</v>
      </c>
      <c r="CU273" s="149">
        <f t="shared" si="273"/>
        <v>1</v>
      </c>
      <c r="CV273" s="149">
        <f t="shared" si="274"/>
        <v>1</v>
      </c>
      <c r="CW273" s="149">
        <f t="shared" si="275"/>
        <v>1</v>
      </c>
      <c r="CX273" s="149">
        <f t="shared" si="276"/>
        <v>1</v>
      </c>
      <c r="CY273" s="149">
        <f t="shared" si="277"/>
        <v>1</v>
      </c>
      <c r="CZ273" s="149">
        <f t="shared" si="278"/>
        <v>1</v>
      </c>
      <c r="DA273" s="149">
        <f t="shared" si="279"/>
        <v>1</v>
      </c>
      <c r="DB273" s="149">
        <f t="shared" si="280"/>
        <v>1</v>
      </c>
      <c r="DG273" s="125">
        <f t="shared" si="241"/>
        <v>1</v>
      </c>
      <c r="DH273" s="125">
        <f t="shared" si="295"/>
        <v>2</v>
      </c>
      <c r="DI273" s="125">
        <f t="shared" si="295"/>
        <v>3</v>
      </c>
      <c r="DJ273" s="125">
        <f t="shared" si="295"/>
        <v>4</v>
      </c>
      <c r="DK273" s="125">
        <f t="shared" si="295"/>
        <v>5</v>
      </c>
      <c r="DL273" s="125">
        <f t="shared" si="295"/>
        <v>6</v>
      </c>
      <c r="DM273" s="125">
        <f t="shared" si="295"/>
        <v>7</v>
      </c>
      <c r="DN273" s="125">
        <f t="shared" si="295"/>
        <v>8</v>
      </c>
      <c r="DO273" s="125">
        <f t="shared" si="295"/>
        <v>9</v>
      </c>
      <c r="DP273" s="125">
        <f t="shared" si="295"/>
        <v>10</v>
      </c>
      <c r="DS273" s="137"/>
      <c r="DT273" s="137"/>
      <c r="DU273" s="137"/>
      <c r="DV273" s="137" t="b">
        <f t="shared" si="281"/>
        <v>0</v>
      </c>
      <c r="DW273" s="137" t="b">
        <f t="shared" si="282"/>
        <v>0</v>
      </c>
      <c r="DX273" s="137" t="b">
        <f t="shared" si="283"/>
        <v>1</v>
      </c>
      <c r="EB273" s="131">
        <f t="shared" si="292"/>
        <v>1</v>
      </c>
      <c r="EC273" s="137" t="b">
        <f t="shared" si="284"/>
        <v>0</v>
      </c>
      <c r="ED273" s="137" t="b">
        <f t="shared" si="285"/>
        <v>0</v>
      </c>
      <c r="EE273" s="137" t="b">
        <f t="shared" si="286"/>
        <v>1</v>
      </c>
      <c r="EF273" s="137"/>
      <c r="EG273" s="137"/>
      <c r="EH273" s="137"/>
      <c r="EI273" s="137"/>
      <c r="EJ273" s="137">
        <f t="shared" si="293"/>
        <v>1</v>
      </c>
      <c r="EK273" s="125">
        <f t="shared" si="287"/>
        <v>0</v>
      </c>
      <c r="EL273" s="125">
        <f t="shared" si="288"/>
        <v>0</v>
      </c>
    </row>
    <row r="274" spans="2:142" ht="15.75" x14ac:dyDescent="0.2">
      <c r="B274" s="160">
        <f t="shared" si="289"/>
        <v>244</v>
      </c>
      <c r="C274" s="290">
        <v>1001347844</v>
      </c>
      <c r="D274" s="290">
        <v>1001265161</v>
      </c>
      <c r="E274" s="290">
        <v>40000054</v>
      </c>
      <c r="F274" s="118">
        <f>IF(OR(J274="",H274=""),"",VLOOKUP(J274,'הזנה לסיווג רשויות'!$B$2:$D$301,2,0))</f>
        <v>20000159</v>
      </c>
      <c r="G274" s="118" t="str">
        <f>IF(OR(J274="",H274=""),"",VLOOKUP(J274,'הזנה לסיווג רשויות'!$B$2:$D$301,3,0))</f>
        <v>ירושלים</v>
      </c>
      <c r="H274" s="293" t="s">
        <v>724</v>
      </c>
      <c r="I274" s="201" t="s">
        <v>381</v>
      </c>
      <c r="J274" s="294">
        <v>3000</v>
      </c>
      <c r="K274" s="161">
        <v>0</v>
      </c>
      <c r="L274" s="161">
        <v>1</v>
      </c>
      <c r="M274" s="161">
        <v>0</v>
      </c>
      <c r="N274" s="161">
        <v>1</v>
      </c>
      <c r="O274" s="161">
        <v>0</v>
      </c>
      <c r="P274" s="161">
        <v>1</v>
      </c>
      <c r="Q274" s="161">
        <v>1</v>
      </c>
      <c r="R274" s="201">
        <v>1078298</v>
      </c>
      <c r="S274" s="201">
        <v>883822</v>
      </c>
      <c r="T274" s="160">
        <f>IF(G274="","",IFERROR(IF(S274/R274&gt;'פרמטרים לקריטריונים'!$C$20,1,0),0))</f>
        <v>1</v>
      </c>
      <c r="U274" s="296">
        <v>325368</v>
      </c>
      <c r="V274" s="160">
        <f>IF(G274="","",IFERROR(IF(U274/R274&gt;'פרמטרים לקריטריונים'!$C$21,1,IF(AND(I274=$BW$5,U274/R274&gt;'פרמטרים לקריטריונים'!$C$22),1,0)),0))</f>
        <v>1</v>
      </c>
      <c r="W274" s="161">
        <v>1</v>
      </c>
      <c r="X274" s="161">
        <v>1</v>
      </c>
      <c r="Y274" s="299">
        <v>651000</v>
      </c>
      <c r="Z274" s="300">
        <v>651000</v>
      </c>
      <c r="AA274" s="161">
        <f t="shared" si="290"/>
        <v>1</v>
      </c>
      <c r="AB274" s="161"/>
      <c r="AC274" s="161"/>
      <c r="AD274" s="161"/>
      <c r="AE274" s="161"/>
      <c r="AF274" s="161"/>
      <c r="AG274" s="161"/>
      <c r="AH274" s="161"/>
      <c r="AI274" s="161"/>
      <c r="AJ274" s="161"/>
      <c r="AK274" s="161"/>
      <c r="AL274" s="161"/>
      <c r="AM274" s="161"/>
      <c r="AN274" s="161"/>
      <c r="AO274" s="161"/>
      <c r="AP274" s="161"/>
      <c r="AQ274" s="161"/>
      <c r="AR274" s="161"/>
      <c r="AS274" s="161"/>
      <c r="AT274" s="161"/>
      <c r="AU274" s="161"/>
      <c r="AV274" s="161"/>
      <c r="AW274" s="160"/>
      <c r="AX274" s="161"/>
      <c r="AY274" s="161"/>
      <c r="AZ274" s="161"/>
      <c r="BA274" s="161"/>
      <c r="BB274" s="161"/>
      <c r="BC274" s="161"/>
      <c r="BD274" s="161"/>
      <c r="BE274" s="161"/>
      <c r="BF274" s="160" t="str">
        <f t="shared" si="291"/>
        <v/>
      </c>
      <c r="BG274" s="160"/>
      <c r="BH274" s="160"/>
      <c r="BI274" s="160"/>
      <c r="BJ274" s="160"/>
      <c r="BK274" s="160"/>
      <c r="BL274" s="162">
        <f t="shared" si="242"/>
        <v>1</v>
      </c>
      <c r="BM274" s="257"/>
      <c r="BN274" s="163"/>
      <c r="BO274" s="211" t="str">
        <f t="shared" si="243"/>
        <v>פסטיבל ישראל ירושליםסינמטקים ופסטיבלים</v>
      </c>
      <c r="BP274" s="125">
        <f t="shared" si="244"/>
        <v>1</v>
      </c>
      <c r="BQ274" s="164">
        <v>0</v>
      </c>
      <c r="BR274" s="164">
        <v>1</v>
      </c>
      <c r="BS274" s="149">
        <f t="shared" si="245"/>
        <v>1</v>
      </c>
      <c r="BT274" s="149">
        <f t="shared" si="246"/>
        <v>1</v>
      </c>
      <c r="BU274" s="149">
        <f t="shared" si="247"/>
        <v>1</v>
      </c>
      <c r="BV274" s="149">
        <f t="shared" si="248"/>
        <v>1</v>
      </c>
      <c r="BW274" s="149">
        <f t="shared" si="249"/>
        <v>1</v>
      </c>
      <c r="BX274" s="149">
        <f t="shared" si="250"/>
        <v>1</v>
      </c>
      <c r="BY274" s="149">
        <f t="shared" si="251"/>
        <v>1</v>
      </c>
      <c r="BZ274" s="149">
        <f t="shared" si="252"/>
        <v>1</v>
      </c>
      <c r="CA274" s="149">
        <f t="shared" si="253"/>
        <v>1</v>
      </c>
      <c r="CB274" s="149">
        <f t="shared" si="254"/>
        <v>1</v>
      </c>
      <c r="CC274" s="149">
        <f t="shared" si="255"/>
        <v>1</v>
      </c>
      <c r="CD274" s="149">
        <f t="shared" si="256"/>
        <v>1</v>
      </c>
      <c r="CE274" s="149">
        <f t="shared" si="257"/>
        <v>1</v>
      </c>
      <c r="CF274" s="149">
        <f t="shared" si="258"/>
        <v>1</v>
      </c>
      <c r="CG274" s="149">
        <f t="shared" si="259"/>
        <v>1</v>
      </c>
      <c r="CH274" s="149">
        <f t="shared" si="260"/>
        <v>1</v>
      </c>
      <c r="CI274" s="149">
        <f t="shared" si="261"/>
        <v>1</v>
      </c>
      <c r="CJ274" s="149">
        <f t="shared" si="262"/>
        <v>1</v>
      </c>
      <c r="CK274" s="149">
        <f t="shared" si="263"/>
        <v>1</v>
      </c>
      <c r="CL274" s="149">
        <f t="shared" si="264"/>
        <v>1</v>
      </c>
      <c r="CM274" s="149">
        <f t="shared" si="265"/>
        <v>1</v>
      </c>
      <c r="CN274" s="149">
        <f t="shared" si="266"/>
        <v>1</v>
      </c>
      <c r="CO274" s="149">
        <f t="shared" si="267"/>
        <v>1</v>
      </c>
      <c r="CP274" s="149">
        <f t="shared" si="268"/>
        <v>1</v>
      </c>
      <c r="CQ274" s="149">
        <f t="shared" si="269"/>
        <v>1</v>
      </c>
      <c r="CR274" s="149">
        <f t="shared" si="270"/>
        <v>1</v>
      </c>
      <c r="CS274" s="149">
        <f t="shared" si="271"/>
        <v>1</v>
      </c>
      <c r="CT274" s="149">
        <f t="shared" si="272"/>
        <v>1</v>
      </c>
      <c r="CU274" s="149">
        <f t="shared" si="273"/>
        <v>1</v>
      </c>
      <c r="CV274" s="149">
        <f t="shared" si="274"/>
        <v>1</v>
      </c>
      <c r="CW274" s="149">
        <f t="shared" si="275"/>
        <v>1</v>
      </c>
      <c r="CX274" s="149">
        <f t="shared" si="276"/>
        <v>1</v>
      </c>
      <c r="CY274" s="149">
        <f t="shared" si="277"/>
        <v>1</v>
      </c>
      <c r="CZ274" s="149">
        <f t="shared" si="278"/>
        <v>1</v>
      </c>
      <c r="DA274" s="149">
        <f t="shared" si="279"/>
        <v>1</v>
      </c>
      <c r="DB274" s="149">
        <f t="shared" si="280"/>
        <v>1</v>
      </c>
      <c r="DG274" s="125">
        <f t="shared" si="241"/>
        <v>1</v>
      </c>
      <c r="DH274" s="125">
        <f t="shared" si="295"/>
        <v>2</v>
      </c>
      <c r="DI274" s="125">
        <f t="shared" si="295"/>
        <v>3</v>
      </c>
      <c r="DJ274" s="125">
        <f t="shared" si="295"/>
        <v>4</v>
      </c>
      <c r="DK274" s="125">
        <f t="shared" si="295"/>
        <v>5</v>
      </c>
      <c r="DL274" s="125">
        <f t="shared" si="295"/>
        <v>6</v>
      </c>
      <c r="DM274" s="125">
        <f t="shared" si="295"/>
        <v>7</v>
      </c>
      <c r="DN274" s="125">
        <f t="shared" si="295"/>
        <v>8</v>
      </c>
      <c r="DO274" s="125">
        <f t="shared" si="295"/>
        <v>9</v>
      </c>
      <c r="DP274" s="125">
        <f t="shared" si="295"/>
        <v>10</v>
      </c>
      <c r="DS274" s="137"/>
      <c r="DT274" s="137"/>
      <c r="DU274" s="137"/>
      <c r="DV274" s="137" t="b">
        <f t="shared" si="281"/>
        <v>0</v>
      </c>
      <c r="DW274" s="137" t="b">
        <f t="shared" si="282"/>
        <v>0</v>
      </c>
      <c r="DX274" s="137" t="b">
        <f t="shared" si="283"/>
        <v>1</v>
      </c>
      <c r="EB274" s="131">
        <f t="shared" si="292"/>
        <v>1</v>
      </c>
      <c r="EC274" s="137" t="b">
        <f t="shared" si="284"/>
        <v>0</v>
      </c>
      <c r="ED274" s="137" t="b">
        <f t="shared" si="285"/>
        <v>0</v>
      </c>
      <c r="EE274" s="137" t="b">
        <f t="shared" si="286"/>
        <v>1</v>
      </c>
      <c r="EF274" s="137"/>
      <c r="EG274" s="137"/>
      <c r="EH274" s="137"/>
      <c r="EI274" s="137"/>
      <c r="EJ274" s="137">
        <f t="shared" si="293"/>
        <v>1</v>
      </c>
      <c r="EK274" s="125">
        <f t="shared" si="287"/>
        <v>0</v>
      </c>
      <c r="EL274" s="125">
        <f t="shared" si="288"/>
        <v>0</v>
      </c>
    </row>
    <row r="275" spans="2:142" ht="15.75" x14ac:dyDescent="0.2">
      <c r="B275" s="160">
        <f t="shared" si="289"/>
        <v>245</v>
      </c>
      <c r="C275" s="290">
        <v>1001347086</v>
      </c>
      <c r="D275" s="290">
        <v>1001265107</v>
      </c>
      <c r="E275" s="290">
        <v>40000054</v>
      </c>
      <c r="F275" s="118">
        <f>IF(OR(J275="",H275=""),"",VLOOKUP(J275,'הזנה לסיווג רשויות'!$B$2:$D$301,2,0))</f>
        <v>20000159</v>
      </c>
      <c r="G275" s="118" t="str">
        <f>IF(OR(J275="",H275=""),"",VLOOKUP(J275,'הזנה לסיווג רשויות'!$B$2:$D$301,3,0))</f>
        <v>ירושלים</v>
      </c>
      <c r="H275" s="293" t="s">
        <v>725</v>
      </c>
      <c r="I275" s="201" t="s">
        <v>381</v>
      </c>
      <c r="J275" s="294">
        <v>3000</v>
      </c>
      <c r="K275" s="161">
        <v>0</v>
      </c>
      <c r="L275" s="161">
        <v>1</v>
      </c>
      <c r="M275" s="161">
        <v>0</v>
      </c>
      <c r="N275" s="161">
        <v>1</v>
      </c>
      <c r="O275" s="161">
        <v>0</v>
      </c>
      <c r="P275" s="161">
        <v>1</v>
      </c>
      <c r="Q275" s="161">
        <v>1</v>
      </c>
      <c r="R275" s="201">
        <v>8314269</v>
      </c>
      <c r="S275" s="201">
        <v>3190088</v>
      </c>
      <c r="T275" s="160">
        <f>IF(G275="","",IFERROR(IF(S275/R275&gt;'פרמטרים לקריטריונים'!$C$20,1,0),0))</f>
        <v>1</v>
      </c>
      <c r="U275" s="296">
        <v>1406158</v>
      </c>
      <c r="V275" s="160">
        <f>IF(G275="","",IFERROR(IF(U275/R275&gt;'פרמטרים לקריטריונים'!$C$21,1,IF(AND(I275=$BW$5,U275/R275&gt;'פרמטרים לקריטריונים'!$C$22),1,0)),0))</f>
        <v>0</v>
      </c>
      <c r="W275" s="161">
        <v>1</v>
      </c>
      <c r="X275" s="161">
        <v>1</v>
      </c>
      <c r="Y275" s="299">
        <v>4900000</v>
      </c>
      <c r="Z275" s="300">
        <v>651000</v>
      </c>
      <c r="AA275" s="161">
        <f t="shared" si="290"/>
        <v>1</v>
      </c>
      <c r="AB275" s="161"/>
      <c r="AC275" s="161"/>
      <c r="AD275" s="161"/>
      <c r="AE275" s="161"/>
      <c r="AF275" s="161"/>
      <c r="AG275" s="161"/>
      <c r="AH275" s="161"/>
      <c r="AI275" s="161"/>
      <c r="AJ275" s="161"/>
      <c r="AK275" s="161"/>
      <c r="AL275" s="161"/>
      <c r="AM275" s="161"/>
      <c r="AN275" s="161"/>
      <c r="AO275" s="161"/>
      <c r="AP275" s="161"/>
      <c r="AQ275" s="161"/>
      <c r="AR275" s="161"/>
      <c r="AS275" s="161"/>
      <c r="AT275" s="161"/>
      <c r="AU275" s="161"/>
      <c r="AV275" s="161"/>
      <c r="AW275" s="160"/>
      <c r="AX275" s="161"/>
      <c r="AY275" s="161"/>
      <c r="AZ275" s="161"/>
      <c r="BA275" s="161"/>
      <c r="BB275" s="161"/>
      <c r="BC275" s="161"/>
      <c r="BD275" s="161"/>
      <c r="BE275" s="161"/>
      <c r="BF275" s="160" t="str">
        <f t="shared" si="291"/>
        <v/>
      </c>
      <c r="BG275" s="160"/>
      <c r="BH275" s="160"/>
      <c r="BI275" s="160"/>
      <c r="BJ275" s="160"/>
      <c r="BK275" s="160"/>
      <c r="BL275" s="162">
        <f t="shared" si="242"/>
        <v>0</v>
      </c>
      <c r="BM275" s="257" t="s">
        <v>765</v>
      </c>
      <c r="BN275" s="163"/>
      <c r="BO275" s="211" t="str">
        <f t="shared" si="243"/>
        <v>פסטיבל ישראל, ירושלים (ע"ר)סינמטקים ופסטיבלים</v>
      </c>
      <c r="BP275" s="125">
        <f t="shared" si="244"/>
        <v>1</v>
      </c>
      <c r="BQ275" s="164">
        <v>0</v>
      </c>
      <c r="BR275" s="164">
        <v>1</v>
      </c>
      <c r="BS275" s="149">
        <f t="shared" si="245"/>
        <v>1</v>
      </c>
      <c r="BT275" s="149">
        <f t="shared" si="246"/>
        <v>1</v>
      </c>
      <c r="BU275" s="149">
        <f t="shared" si="247"/>
        <v>1</v>
      </c>
      <c r="BV275" s="149">
        <f t="shared" si="248"/>
        <v>1</v>
      </c>
      <c r="BW275" s="149">
        <f t="shared" si="249"/>
        <v>1</v>
      </c>
      <c r="BX275" s="149">
        <f t="shared" si="250"/>
        <v>1</v>
      </c>
      <c r="BY275" s="149">
        <f t="shared" si="251"/>
        <v>1</v>
      </c>
      <c r="BZ275" s="149">
        <f t="shared" si="252"/>
        <v>1</v>
      </c>
      <c r="CA275" s="149">
        <f t="shared" si="253"/>
        <v>1</v>
      </c>
      <c r="CB275" s="149">
        <f t="shared" si="254"/>
        <v>1</v>
      </c>
      <c r="CC275" s="149">
        <f t="shared" si="255"/>
        <v>1</v>
      </c>
      <c r="CD275" s="149">
        <f t="shared" si="256"/>
        <v>1</v>
      </c>
      <c r="CE275" s="149">
        <f t="shared" si="257"/>
        <v>1</v>
      </c>
      <c r="CF275" s="149">
        <f t="shared" si="258"/>
        <v>1</v>
      </c>
      <c r="CG275" s="149">
        <f t="shared" si="259"/>
        <v>1</v>
      </c>
      <c r="CH275" s="149">
        <f t="shared" si="260"/>
        <v>1</v>
      </c>
      <c r="CI275" s="149">
        <f t="shared" si="261"/>
        <v>1</v>
      </c>
      <c r="CJ275" s="149">
        <f t="shared" si="262"/>
        <v>1</v>
      </c>
      <c r="CK275" s="149">
        <f t="shared" si="263"/>
        <v>1</v>
      </c>
      <c r="CL275" s="149">
        <f t="shared" si="264"/>
        <v>1</v>
      </c>
      <c r="CM275" s="149">
        <f t="shared" si="265"/>
        <v>1</v>
      </c>
      <c r="CN275" s="149">
        <f t="shared" si="266"/>
        <v>1</v>
      </c>
      <c r="CO275" s="149">
        <f t="shared" si="267"/>
        <v>1</v>
      </c>
      <c r="CP275" s="149">
        <f t="shared" si="268"/>
        <v>1</v>
      </c>
      <c r="CQ275" s="149">
        <f t="shared" si="269"/>
        <v>1</v>
      </c>
      <c r="CR275" s="149">
        <f t="shared" si="270"/>
        <v>1</v>
      </c>
      <c r="CS275" s="149">
        <f t="shared" si="271"/>
        <v>1</v>
      </c>
      <c r="CT275" s="149">
        <f t="shared" si="272"/>
        <v>1</v>
      </c>
      <c r="CU275" s="149">
        <f t="shared" si="273"/>
        <v>1</v>
      </c>
      <c r="CV275" s="149">
        <f t="shared" si="274"/>
        <v>1</v>
      </c>
      <c r="CW275" s="149">
        <f t="shared" si="275"/>
        <v>1</v>
      </c>
      <c r="CX275" s="149">
        <f t="shared" si="276"/>
        <v>1</v>
      </c>
      <c r="CY275" s="149">
        <f t="shared" si="277"/>
        <v>1</v>
      </c>
      <c r="CZ275" s="149">
        <f t="shared" si="278"/>
        <v>1</v>
      </c>
      <c r="DA275" s="149">
        <f t="shared" si="279"/>
        <v>1</v>
      </c>
      <c r="DB275" s="149">
        <f t="shared" si="280"/>
        <v>1</v>
      </c>
      <c r="DG275" s="125">
        <f t="shared" si="241"/>
        <v>1</v>
      </c>
      <c r="DH275" s="125">
        <f t="shared" si="295"/>
        <v>2</v>
      </c>
      <c r="DI275" s="125">
        <f t="shared" si="295"/>
        <v>3</v>
      </c>
      <c r="DJ275" s="125">
        <f t="shared" si="295"/>
        <v>4</v>
      </c>
      <c r="DK275" s="125">
        <f t="shared" si="295"/>
        <v>5</v>
      </c>
      <c r="DL275" s="125">
        <f t="shared" si="295"/>
        <v>6</v>
      </c>
      <c r="DM275" s="125">
        <f t="shared" si="295"/>
        <v>7</v>
      </c>
      <c r="DN275" s="125">
        <f t="shared" si="295"/>
        <v>8</v>
      </c>
      <c r="DO275" s="125">
        <f t="shared" si="295"/>
        <v>9</v>
      </c>
      <c r="DP275" s="125">
        <f t="shared" si="295"/>
        <v>10</v>
      </c>
      <c r="DS275" s="137"/>
      <c r="DT275" s="137"/>
      <c r="DU275" s="137"/>
      <c r="DV275" s="137" t="b">
        <f t="shared" si="281"/>
        <v>0</v>
      </c>
      <c r="DW275" s="137" t="b">
        <f t="shared" si="282"/>
        <v>0</v>
      </c>
      <c r="DX275" s="137" t="b">
        <f t="shared" si="283"/>
        <v>1</v>
      </c>
      <c r="EB275" s="131">
        <f t="shared" si="292"/>
        <v>1</v>
      </c>
      <c r="EC275" s="137" t="b">
        <f t="shared" si="284"/>
        <v>0</v>
      </c>
      <c r="ED275" s="137" t="b">
        <f t="shared" si="285"/>
        <v>0</v>
      </c>
      <c r="EE275" s="137" t="b">
        <f t="shared" si="286"/>
        <v>1</v>
      </c>
      <c r="EF275" s="137"/>
      <c r="EG275" s="137"/>
      <c r="EH275" s="137"/>
      <c r="EI275" s="137"/>
      <c r="EJ275" s="137">
        <f t="shared" si="293"/>
        <v>1</v>
      </c>
      <c r="EK275" s="125">
        <f t="shared" si="287"/>
        <v>0</v>
      </c>
      <c r="EL275" s="125">
        <f t="shared" si="288"/>
        <v>0</v>
      </c>
    </row>
    <row r="276" spans="2:142" ht="15.75" x14ac:dyDescent="0.2">
      <c r="B276" s="160">
        <f t="shared" si="289"/>
        <v>246</v>
      </c>
      <c r="C276" s="290">
        <v>1001346748</v>
      </c>
      <c r="D276" s="290">
        <v>1001272517</v>
      </c>
      <c r="E276" s="290">
        <v>40000171</v>
      </c>
      <c r="F276" s="118">
        <f>IF(OR(J276="",H276=""),"",VLOOKUP(J276,'הזנה לסיווג רשויות'!$B$2:$D$301,2,0))</f>
        <v>20000201</v>
      </c>
      <c r="G276" s="118" t="str">
        <f>IF(OR(J276="",H276=""),"",VLOOKUP(J276,'הזנה לסיווג רשויות'!$B$2:$D$301,3,0))</f>
        <v>תל אביב -יפו</v>
      </c>
      <c r="H276" s="293" t="s">
        <v>726</v>
      </c>
      <c r="I276" s="201" t="s">
        <v>373</v>
      </c>
      <c r="J276" s="294">
        <v>5000</v>
      </c>
      <c r="K276" s="161">
        <v>0</v>
      </c>
      <c r="L276" s="161">
        <v>1</v>
      </c>
      <c r="M276" s="161">
        <v>0</v>
      </c>
      <c r="N276" s="161">
        <v>1</v>
      </c>
      <c r="O276" s="161">
        <v>0</v>
      </c>
      <c r="P276" s="161">
        <v>1</v>
      </c>
      <c r="Q276" s="161">
        <v>1</v>
      </c>
      <c r="R276" s="201">
        <v>26991000</v>
      </c>
      <c r="S276" s="201">
        <v>17655000</v>
      </c>
      <c r="T276" s="160">
        <f>IF(G276="","",IFERROR(IF(S276/R276&gt;'פרמטרים לקריטריונים'!$C$20,1,0),0))</f>
        <v>1</v>
      </c>
      <c r="U276" s="296">
        <v>14196000</v>
      </c>
      <c r="V276" s="160">
        <f>IF(G276="","",IFERROR(IF(U276/R276&gt;'פרמטרים לקריטריונים'!$C$21,1,IF(AND(I276=$BW$5,U276/R276&gt;'פרמטרים לקריטריונים'!$C$22),1,0)),0))</f>
        <v>1</v>
      </c>
      <c r="W276" s="161">
        <v>1</v>
      </c>
      <c r="X276" s="161">
        <v>1</v>
      </c>
      <c r="Y276" s="299">
        <v>6000000</v>
      </c>
      <c r="Z276" s="300">
        <v>3000000</v>
      </c>
      <c r="AA276" s="161">
        <f t="shared" si="290"/>
        <v>1</v>
      </c>
      <c r="AB276" s="161"/>
      <c r="AC276" s="161"/>
      <c r="AD276" s="161"/>
      <c r="AE276" s="161"/>
      <c r="AF276" s="161"/>
      <c r="AG276" s="161"/>
      <c r="AH276" s="161"/>
      <c r="AI276" s="161"/>
      <c r="AJ276" s="161"/>
      <c r="AK276" s="161"/>
      <c r="AL276" s="161"/>
      <c r="AM276" s="161"/>
      <c r="AN276" s="161"/>
      <c r="AO276" s="161"/>
      <c r="AP276" s="161"/>
      <c r="AQ276" s="161"/>
      <c r="AR276" s="161"/>
      <c r="AS276" s="161"/>
      <c r="AT276" s="161"/>
      <c r="AU276" s="161"/>
      <c r="AV276" s="161"/>
      <c r="AW276" s="160"/>
      <c r="AX276" s="161"/>
      <c r="AY276" s="161"/>
      <c r="AZ276" s="161"/>
      <c r="BA276" s="161"/>
      <c r="BB276" s="161"/>
      <c r="BC276" s="161"/>
      <c r="BD276" s="161"/>
      <c r="BE276" s="161"/>
      <c r="BF276" s="160" t="str">
        <f t="shared" si="291"/>
        <v/>
      </c>
      <c r="BG276" s="160"/>
      <c r="BH276" s="160"/>
      <c r="BI276" s="160"/>
      <c r="BJ276" s="160"/>
      <c r="BK276" s="160"/>
      <c r="BL276" s="162">
        <f t="shared" si="242"/>
        <v>1</v>
      </c>
      <c r="BM276" s="257"/>
      <c r="BN276" s="163"/>
      <c r="BO276" s="211" t="str">
        <f t="shared" si="243"/>
        <v>תיאטרון "גשר"תיאטרון</v>
      </c>
      <c r="BP276" s="125">
        <f t="shared" si="244"/>
        <v>1</v>
      </c>
      <c r="BQ276" s="164">
        <v>0</v>
      </c>
      <c r="BR276" s="164">
        <v>1</v>
      </c>
      <c r="BS276" s="149">
        <f t="shared" si="245"/>
        <v>1</v>
      </c>
      <c r="BT276" s="149">
        <f t="shared" si="246"/>
        <v>1</v>
      </c>
      <c r="BU276" s="149">
        <f t="shared" si="247"/>
        <v>1</v>
      </c>
      <c r="BV276" s="149">
        <f t="shared" si="248"/>
        <v>1</v>
      </c>
      <c r="BW276" s="149">
        <f t="shared" si="249"/>
        <v>1</v>
      </c>
      <c r="BX276" s="149">
        <f t="shared" si="250"/>
        <v>1</v>
      </c>
      <c r="BY276" s="149">
        <f t="shared" si="251"/>
        <v>1</v>
      </c>
      <c r="BZ276" s="149">
        <f t="shared" si="252"/>
        <v>1</v>
      </c>
      <c r="CA276" s="149">
        <f t="shared" si="253"/>
        <v>1</v>
      </c>
      <c r="CB276" s="149">
        <f t="shared" si="254"/>
        <v>1</v>
      </c>
      <c r="CC276" s="149">
        <f t="shared" si="255"/>
        <v>1</v>
      </c>
      <c r="CD276" s="149">
        <f t="shared" si="256"/>
        <v>1</v>
      </c>
      <c r="CE276" s="149">
        <f t="shared" si="257"/>
        <v>1</v>
      </c>
      <c r="CF276" s="149">
        <f t="shared" si="258"/>
        <v>1</v>
      </c>
      <c r="CG276" s="149">
        <f t="shared" si="259"/>
        <v>1</v>
      </c>
      <c r="CH276" s="149">
        <f t="shared" si="260"/>
        <v>1</v>
      </c>
      <c r="CI276" s="149">
        <f t="shared" si="261"/>
        <v>1</v>
      </c>
      <c r="CJ276" s="149">
        <f t="shared" si="262"/>
        <v>1</v>
      </c>
      <c r="CK276" s="149">
        <f t="shared" si="263"/>
        <v>1</v>
      </c>
      <c r="CL276" s="149">
        <f t="shared" si="264"/>
        <v>1</v>
      </c>
      <c r="CM276" s="149">
        <f t="shared" si="265"/>
        <v>1</v>
      </c>
      <c r="CN276" s="149">
        <f t="shared" si="266"/>
        <v>1</v>
      </c>
      <c r="CO276" s="149">
        <f t="shared" si="267"/>
        <v>1</v>
      </c>
      <c r="CP276" s="149">
        <f t="shared" si="268"/>
        <v>1</v>
      </c>
      <c r="CQ276" s="149">
        <f t="shared" si="269"/>
        <v>1</v>
      </c>
      <c r="CR276" s="149">
        <f t="shared" si="270"/>
        <v>1</v>
      </c>
      <c r="CS276" s="149">
        <f t="shared" si="271"/>
        <v>1</v>
      </c>
      <c r="CT276" s="149">
        <f t="shared" si="272"/>
        <v>1</v>
      </c>
      <c r="CU276" s="149">
        <f t="shared" si="273"/>
        <v>1</v>
      </c>
      <c r="CV276" s="149">
        <f t="shared" si="274"/>
        <v>1</v>
      </c>
      <c r="CW276" s="149">
        <f t="shared" si="275"/>
        <v>1</v>
      </c>
      <c r="CX276" s="149">
        <f t="shared" si="276"/>
        <v>1</v>
      </c>
      <c r="CY276" s="149">
        <f t="shared" si="277"/>
        <v>1</v>
      </c>
      <c r="CZ276" s="149">
        <f t="shared" si="278"/>
        <v>1</v>
      </c>
      <c r="DA276" s="149">
        <f t="shared" si="279"/>
        <v>1</v>
      </c>
      <c r="DB276" s="149">
        <f t="shared" si="280"/>
        <v>1</v>
      </c>
      <c r="DG276" s="125">
        <f t="shared" si="241"/>
        <v>1</v>
      </c>
      <c r="DH276" s="125">
        <f t="shared" si="295"/>
        <v>2</v>
      </c>
      <c r="DI276" s="125">
        <f t="shared" si="295"/>
        <v>3</v>
      </c>
      <c r="DJ276" s="125">
        <f t="shared" si="295"/>
        <v>4</v>
      </c>
      <c r="DK276" s="125">
        <f t="shared" si="295"/>
        <v>5</v>
      </c>
      <c r="DL276" s="125">
        <f t="shared" si="295"/>
        <v>6</v>
      </c>
      <c r="DM276" s="125">
        <f t="shared" si="295"/>
        <v>7</v>
      </c>
      <c r="DN276" s="125">
        <f t="shared" si="295"/>
        <v>8</v>
      </c>
      <c r="DO276" s="125">
        <f t="shared" si="295"/>
        <v>9</v>
      </c>
      <c r="DP276" s="125">
        <f t="shared" si="295"/>
        <v>10</v>
      </c>
      <c r="DS276" s="137"/>
      <c r="DT276" s="137"/>
      <c r="DU276" s="137"/>
      <c r="DV276" s="137" t="b">
        <f t="shared" si="281"/>
        <v>0</v>
      </c>
      <c r="DW276" s="137" t="b">
        <f t="shared" si="282"/>
        <v>0</v>
      </c>
      <c r="DX276" s="137" t="b">
        <f t="shared" si="283"/>
        <v>1</v>
      </c>
      <c r="EB276" s="131">
        <f t="shared" si="292"/>
        <v>1</v>
      </c>
      <c r="EC276" s="137" t="b">
        <f t="shared" si="284"/>
        <v>0</v>
      </c>
      <c r="ED276" s="137" t="b">
        <f t="shared" si="285"/>
        <v>0</v>
      </c>
      <c r="EE276" s="137" t="b">
        <f t="shared" si="286"/>
        <v>1</v>
      </c>
      <c r="EF276" s="137"/>
      <c r="EG276" s="137"/>
      <c r="EH276" s="137"/>
      <c r="EI276" s="137"/>
      <c r="EJ276" s="137">
        <f t="shared" si="293"/>
        <v>1</v>
      </c>
      <c r="EK276" s="125">
        <f t="shared" si="287"/>
        <v>0</v>
      </c>
      <c r="EL276" s="125">
        <f t="shared" si="288"/>
        <v>0</v>
      </c>
    </row>
    <row r="277" spans="2:142" ht="15.75" x14ac:dyDescent="0.2">
      <c r="B277" s="160">
        <f t="shared" si="289"/>
        <v>247</v>
      </c>
      <c r="C277" s="290">
        <v>1001346760</v>
      </c>
      <c r="D277" s="290">
        <v>1001272518</v>
      </c>
      <c r="E277" s="290">
        <v>40000171</v>
      </c>
      <c r="F277" s="118">
        <f>IF(OR(J277="",H277=""),"",VLOOKUP(J277,'הזנה לסיווג רשויות'!$B$2:$D$301,2,0))</f>
        <v>20000201</v>
      </c>
      <c r="G277" s="118" t="str">
        <f>IF(OR(J277="",H277=""),"",VLOOKUP(J277,'הזנה לסיווג רשויות'!$B$2:$D$301,3,0))</f>
        <v>תל אביב -יפו</v>
      </c>
      <c r="H277" s="293" t="s">
        <v>726</v>
      </c>
      <c r="I277" s="201" t="s">
        <v>381</v>
      </c>
      <c r="J277" s="294">
        <v>5000</v>
      </c>
      <c r="K277" s="161">
        <v>0</v>
      </c>
      <c r="L277" s="161">
        <v>1</v>
      </c>
      <c r="M277" s="161">
        <v>0</v>
      </c>
      <c r="N277" s="161">
        <v>1</v>
      </c>
      <c r="O277" s="161">
        <v>0</v>
      </c>
      <c r="P277" s="161">
        <v>1</v>
      </c>
      <c r="Q277" s="161">
        <v>1</v>
      </c>
      <c r="R277" s="201">
        <v>1940000</v>
      </c>
      <c r="S277" s="201">
        <v>1158000</v>
      </c>
      <c r="T277" s="160">
        <f>IF(G277="","",IFERROR(IF(S277/R277&gt;'פרמטרים לקריטריונים'!$C$20,1,0),0))</f>
        <v>1</v>
      </c>
      <c r="U277" s="296">
        <v>1158000</v>
      </c>
      <c r="V277" s="160">
        <f>IF(G277="","",IFERROR(IF(U277/R277&gt;'פרמטרים לקריטריונים'!$C$21,1,IF(AND(I277=$BW$5,U277/R277&gt;'פרמטרים לקריטריונים'!$C$22),1,0)),0))</f>
        <v>1</v>
      </c>
      <c r="W277" s="161">
        <v>1</v>
      </c>
      <c r="X277" s="161">
        <v>1</v>
      </c>
      <c r="Y277" s="299">
        <v>300000</v>
      </c>
      <c r="Z277" s="300">
        <v>200000</v>
      </c>
      <c r="AA277" s="161">
        <f t="shared" si="290"/>
        <v>1</v>
      </c>
      <c r="AB277" s="161"/>
      <c r="AC277" s="161"/>
      <c r="AD277" s="161"/>
      <c r="AE277" s="161"/>
      <c r="AF277" s="161"/>
      <c r="AG277" s="161"/>
      <c r="AH277" s="161"/>
      <c r="AI277" s="161"/>
      <c r="AJ277" s="161"/>
      <c r="AK277" s="161"/>
      <c r="AL277" s="161"/>
      <c r="AM277" s="161"/>
      <c r="AN277" s="161"/>
      <c r="AO277" s="161"/>
      <c r="AP277" s="161"/>
      <c r="AQ277" s="161"/>
      <c r="AR277" s="161"/>
      <c r="AS277" s="161"/>
      <c r="AT277" s="161"/>
      <c r="AU277" s="161"/>
      <c r="AV277" s="161"/>
      <c r="AW277" s="160"/>
      <c r="AX277" s="161"/>
      <c r="AY277" s="161"/>
      <c r="AZ277" s="161"/>
      <c r="BA277" s="161"/>
      <c r="BB277" s="161"/>
      <c r="BC277" s="161"/>
      <c r="BD277" s="161"/>
      <c r="BE277" s="161"/>
      <c r="BF277" s="160" t="str">
        <f t="shared" si="291"/>
        <v/>
      </c>
      <c r="BG277" s="160"/>
      <c r="BH277" s="160"/>
      <c r="BI277" s="160"/>
      <c r="BJ277" s="160"/>
      <c r="BK277" s="160"/>
      <c r="BL277" s="162">
        <f t="shared" si="242"/>
        <v>1</v>
      </c>
      <c r="BM277" s="257"/>
      <c r="BN277" s="163"/>
      <c r="BO277" s="211" t="str">
        <f t="shared" si="243"/>
        <v>תיאטרון "גשר"סינמטקים ופסטיבלים</v>
      </c>
      <c r="BP277" s="125">
        <f t="shared" si="244"/>
        <v>1</v>
      </c>
      <c r="BQ277" s="164">
        <v>0</v>
      </c>
      <c r="BR277" s="164">
        <v>1</v>
      </c>
      <c r="BS277" s="149">
        <f t="shared" si="245"/>
        <v>1</v>
      </c>
      <c r="BT277" s="149">
        <f t="shared" si="246"/>
        <v>1</v>
      </c>
      <c r="BU277" s="149">
        <f t="shared" si="247"/>
        <v>1</v>
      </c>
      <c r="BV277" s="149">
        <f t="shared" si="248"/>
        <v>1</v>
      </c>
      <c r="BW277" s="149">
        <f t="shared" si="249"/>
        <v>1</v>
      </c>
      <c r="BX277" s="149">
        <f t="shared" si="250"/>
        <v>1</v>
      </c>
      <c r="BY277" s="149">
        <f t="shared" si="251"/>
        <v>1</v>
      </c>
      <c r="BZ277" s="149">
        <f t="shared" si="252"/>
        <v>1</v>
      </c>
      <c r="CA277" s="149">
        <f t="shared" si="253"/>
        <v>1</v>
      </c>
      <c r="CB277" s="149">
        <f t="shared" si="254"/>
        <v>1</v>
      </c>
      <c r="CC277" s="149">
        <f t="shared" si="255"/>
        <v>1</v>
      </c>
      <c r="CD277" s="149">
        <f t="shared" si="256"/>
        <v>1</v>
      </c>
      <c r="CE277" s="149">
        <f t="shared" si="257"/>
        <v>1</v>
      </c>
      <c r="CF277" s="149">
        <f t="shared" si="258"/>
        <v>1</v>
      </c>
      <c r="CG277" s="149">
        <f t="shared" si="259"/>
        <v>1</v>
      </c>
      <c r="CH277" s="149">
        <f t="shared" si="260"/>
        <v>1</v>
      </c>
      <c r="CI277" s="149">
        <f t="shared" si="261"/>
        <v>1</v>
      </c>
      <c r="CJ277" s="149">
        <f t="shared" si="262"/>
        <v>1</v>
      </c>
      <c r="CK277" s="149">
        <f t="shared" si="263"/>
        <v>1</v>
      </c>
      <c r="CL277" s="149">
        <f t="shared" si="264"/>
        <v>1</v>
      </c>
      <c r="CM277" s="149">
        <f t="shared" si="265"/>
        <v>1</v>
      </c>
      <c r="CN277" s="149">
        <f t="shared" si="266"/>
        <v>1</v>
      </c>
      <c r="CO277" s="149">
        <f t="shared" si="267"/>
        <v>1</v>
      </c>
      <c r="CP277" s="149">
        <f t="shared" si="268"/>
        <v>1</v>
      </c>
      <c r="CQ277" s="149">
        <f t="shared" si="269"/>
        <v>1</v>
      </c>
      <c r="CR277" s="149">
        <f t="shared" si="270"/>
        <v>1</v>
      </c>
      <c r="CS277" s="149">
        <f t="shared" si="271"/>
        <v>1</v>
      </c>
      <c r="CT277" s="149">
        <f t="shared" si="272"/>
        <v>1</v>
      </c>
      <c r="CU277" s="149">
        <f t="shared" si="273"/>
        <v>1</v>
      </c>
      <c r="CV277" s="149">
        <f t="shared" si="274"/>
        <v>1</v>
      </c>
      <c r="CW277" s="149">
        <f t="shared" si="275"/>
        <v>1</v>
      </c>
      <c r="CX277" s="149">
        <f t="shared" si="276"/>
        <v>1</v>
      </c>
      <c r="CY277" s="149">
        <f t="shared" si="277"/>
        <v>1</v>
      </c>
      <c r="CZ277" s="149">
        <f t="shared" si="278"/>
        <v>1</v>
      </c>
      <c r="DA277" s="149">
        <f t="shared" si="279"/>
        <v>1</v>
      </c>
      <c r="DB277" s="149">
        <f t="shared" si="280"/>
        <v>1</v>
      </c>
      <c r="DG277" s="125">
        <f t="shared" si="241"/>
        <v>1</v>
      </c>
      <c r="DH277" s="125">
        <f t="shared" si="295"/>
        <v>2</v>
      </c>
      <c r="DI277" s="125">
        <f t="shared" si="295"/>
        <v>3</v>
      </c>
      <c r="DJ277" s="125">
        <f t="shared" si="295"/>
        <v>4</v>
      </c>
      <c r="DK277" s="125">
        <f t="shared" si="295"/>
        <v>5</v>
      </c>
      <c r="DL277" s="125">
        <f t="shared" si="295"/>
        <v>6</v>
      </c>
      <c r="DM277" s="125">
        <f t="shared" si="295"/>
        <v>7</v>
      </c>
      <c r="DN277" s="125">
        <f t="shared" si="295"/>
        <v>8</v>
      </c>
      <c r="DO277" s="125">
        <f t="shared" si="295"/>
        <v>9</v>
      </c>
      <c r="DP277" s="125">
        <f t="shared" si="295"/>
        <v>10</v>
      </c>
      <c r="DS277" s="137"/>
      <c r="DT277" s="137"/>
      <c r="DU277" s="137"/>
      <c r="DV277" s="137" t="b">
        <f t="shared" si="281"/>
        <v>0</v>
      </c>
      <c r="DW277" s="137" t="b">
        <f t="shared" si="282"/>
        <v>0</v>
      </c>
      <c r="DX277" s="137" t="b">
        <f t="shared" si="283"/>
        <v>1</v>
      </c>
      <c r="EB277" s="131">
        <f t="shared" si="292"/>
        <v>1</v>
      </c>
      <c r="EC277" s="137" t="b">
        <f t="shared" si="284"/>
        <v>0</v>
      </c>
      <c r="ED277" s="137" t="b">
        <f t="shared" si="285"/>
        <v>0</v>
      </c>
      <c r="EE277" s="137" t="b">
        <f t="shared" si="286"/>
        <v>1</v>
      </c>
      <c r="EF277" s="137"/>
      <c r="EG277" s="137"/>
      <c r="EH277" s="137"/>
      <c r="EI277" s="137"/>
      <c r="EJ277" s="137">
        <f t="shared" si="293"/>
        <v>1</v>
      </c>
      <c r="EK277" s="125">
        <f t="shared" si="287"/>
        <v>0</v>
      </c>
      <c r="EL277" s="125">
        <f t="shared" si="288"/>
        <v>0</v>
      </c>
    </row>
    <row r="278" spans="2:142" ht="15.75" x14ac:dyDescent="0.2">
      <c r="B278" s="160">
        <f t="shared" si="289"/>
        <v>248</v>
      </c>
      <c r="C278" s="292">
        <v>1001348549</v>
      </c>
      <c r="D278" s="290">
        <v>1001274935</v>
      </c>
      <c r="E278" s="292">
        <v>40000173</v>
      </c>
      <c r="F278" s="118">
        <f>IF(OR(J278="",H278=""),"",VLOOKUP(J278,'הזנה לסיווג רשויות'!$B$2:$D$301,2,0))</f>
        <v>20000251</v>
      </c>
      <c r="G278" s="118" t="str">
        <f>IF(OR(J278="",H278=""),"",VLOOKUP(J278,'הזנה לסיווג רשויות'!$B$2:$D$301,3,0))</f>
        <v>רעננה</v>
      </c>
      <c r="H278" s="295" t="s">
        <v>727</v>
      </c>
      <c r="I278" s="201" t="s">
        <v>564</v>
      </c>
      <c r="J278" s="294">
        <v>8700</v>
      </c>
      <c r="K278" s="161">
        <v>0</v>
      </c>
      <c r="L278" s="161">
        <v>1</v>
      </c>
      <c r="M278" s="161">
        <v>0</v>
      </c>
      <c r="N278" s="161">
        <v>0</v>
      </c>
      <c r="O278" s="161">
        <v>1</v>
      </c>
      <c r="P278" s="161">
        <v>1</v>
      </c>
      <c r="Q278" s="161">
        <v>1</v>
      </c>
      <c r="R278" s="201">
        <v>9164000</v>
      </c>
      <c r="S278" s="201">
        <v>4682000</v>
      </c>
      <c r="T278" s="160">
        <f>IF(G278="","",IFERROR(IF(S278/R278&gt;'פרמטרים לקריטריונים'!$C$20,1,0),0))</f>
        <v>1</v>
      </c>
      <c r="U278" s="297">
        <v>4549000</v>
      </c>
      <c r="V278" s="160">
        <f>IF(G278="","",IFERROR(IF(U278/R278&gt;'פרמטרים לקריטריונים'!$C$21,1,IF(AND(I278=$BW$5,U278/R278&gt;'פרמטרים לקריטריונים'!$C$22),1,0)),0))</f>
        <v>1</v>
      </c>
      <c r="W278" s="161">
        <v>1</v>
      </c>
      <c r="X278" s="161">
        <v>1</v>
      </c>
      <c r="Y278" s="301">
        <v>1750000</v>
      </c>
      <c r="Z278" s="302">
        <v>145000</v>
      </c>
      <c r="AA278" s="161">
        <f t="shared" si="290"/>
        <v>1</v>
      </c>
      <c r="AB278" s="161"/>
      <c r="AC278" s="161"/>
      <c r="AD278" s="161"/>
      <c r="AE278" s="161"/>
      <c r="AF278" s="161"/>
      <c r="AG278" s="161"/>
      <c r="AH278" s="161"/>
      <c r="AI278" s="161"/>
      <c r="AJ278" s="161"/>
      <c r="AK278" s="161"/>
      <c r="AL278" s="161"/>
      <c r="AM278" s="161"/>
      <c r="AN278" s="161"/>
      <c r="AO278" s="161"/>
      <c r="AP278" s="161"/>
      <c r="AQ278" s="161"/>
      <c r="AR278" s="161"/>
      <c r="AS278" s="161"/>
      <c r="AT278" s="161"/>
      <c r="AU278" s="161"/>
      <c r="AV278" s="161"/>
      <c r="AW278" s="160"/>
      <c r="AX278" s="161"/>
      <c r="AY278" s="161"/>
      <c r="AZ278" s="161"/>
      <c r="BA278" s="161"/>
      <c r="BB278" s="161"/>
      <c r="BC278" s="161"/>
      <c r="BD278" s="161"/>
      <c r="BE278" s="161"/>
      <c r="BF278" s="160" t="str">
        <f t="shared" si="291"/>
        <v/>
      </c>
      <c r="BG278" s="160"/>
      <c r="BH278" s="160"/>
      <c r="BI278" s="160"/>
      <c r="BJ278" s="160"/>
      <c r="BK278" s="160"/>
      <c r="BL278" s="162">
        <f t="shared" si="242"/>
        <v>1</v>
      </c>
      <c r="BM278" s="257" t="s">
        <v>766</v>
      </c>
      <c r="BN278" s="163"/>
      <c r="BO278" s="211" t="str">
        <f t="shared" si="243"/>
        <v>עמותת תזמורת סימפונט רעננהאחר</v>
      </c>
      <c r="BP278" s="125">
        <f t="shared" si="244"/>
        <v>1</v>
      </c>
      <c r="BQ278" s="164">
        <v>0</v>
      </c>
      <c r="BR278" s="164">
        <v>1</v>
      </c>
      <c r="BS278" s="149">
        <f t="shared" si="245"/>
        <v>1</v>
      </c>
      <c r="BT278" s="149">
        <f t="shared" si="246"/>
        <v>1</v>
      </c>
      <c r="BU278" s="149">
        <f t="shared" si="247"/>
        <v>1</v>
      </c>
      <c r="BV278" s="149">
        <f t="shared" si="248"/>
        <v>1</v>
      </c>
      <c r="BW278" s="149">
        <f t="shared" si="249"/>
        <v>1</v>
      </c>
      <c r="BX278" s="149">
        <f t="shared" si="250"/>
        <v>1</v>
      </c>
      <c r="BY278" s="149">
        <f t="shared" si="251"/>
        <v>1</v>
      </c>
      <c r="BZ278" s="149">
        <f t="shared" si="252"/>
        <v>1</v>
      </c>
      <c r="CA278" s="149">
        <f t="shared" si="253"/>
        <v>1</v>
      </c>
      <c r="CB278" s="149">
        <f t="shared" si="254"/>
        <v>1</v>
      </c>
      <c r="CC278" s="149">
        <f t="shared" si="255"/>
        <v>1</v>
      </c>
      <c r="CD278" s="149">
        <f t="shared" si="256"/>
        <v>1</v>
      </c>
      <c r="CE278" s="149">
        <f t="shared" si="257"/>
        <v>1</v>
      </c>
      <c r="CF278" s="149">
        <f t="shared" si="258"/>
        <v>1</v>
      </c>
      <c r="CG278" s="149">
        <f t="shared" si="259"/>
        <v>1</v>
      </c>
      <c r="CH278" s="149">
        <f t="shared" si="260"/>
        <v>1</v>
      </c>
      <c r="CI278" s="149">
        <f t="shared" si="261"/>
        <v>1</v>
      </c>
      <c r="CJ278" s="149">
        <f t="shared" si="262"/>
        <v>1</v>
      </c>
      <c r="CK278" s="149">
        <f t="shared" si="263"/>
        <v>1</v>
      </c>
      <c r="CL278" s="149">
        <f t="shared" si="264"/>
        <v>1</v>
      </c>
      <c r="CM278" s="149">
        <f t="shared" si="265"/>
        <v>1</v>
      </c>
      <c r="CN278" s="149">
        <f t="shared" si="266"/>
        <v>1</v>
      </c>
      <c r="CO278" s="149">
        <f t="shared" si="267"/>
        <v>1</v>
      </c>
      <c r="CP278" s="149">
        <f t="shared" si="268"/>
        <v>1</v>
      </c>
      <c r="CQ278" s="149">
        <f t="shared" si="269"/>
        <v>1</v>
      </c>
      <c r="CR278" s="149">
        <f t="shared" si="270"/>
        <v>1</v>
      </c>
      <c r="CS278" s="149">
        <f t="shared" si="271"/>
        <v>1</v>
      </c>
      <c r="CT278" s="149">
        <f t="shared" si="272"/>
        <v>1</v>
      </c>
      <c r="CU278" s="149">
        <f t="shared" si="273"/>
        <v>1</v>
      </c>
      <c r="CV278" s="149">
        <f t="shared" si="274"/>
        <v>1</v>
      </c>
      <c r="CW278" s="149">
        <f t="shared" si="275"/>
        <v>1</v>
      </c>
      <c r="CX278" s="149">
        <f t="shared" si="276"/>
        <v>1</v>
      </c>
      <c r="CY278" s="149">
        <f t="shared" si="277"/>
        <v>1</v>
      </c>
      <c r="CZ278" s="149">
        <f t="shared" si="278"/>
        <v>1</v>
      </c>
      <c r="DA278" s="149">
        <f t="shared" si="279"/>
        <v>1</v>
      </c>
      <c r="DB278" s="149">
        <f t="shared" si="280"/>
        <v>1</v>
      </c>
      <c r="DG278" s="125">
        <f t="shared" si="241"/>
        <v>1</v>
      </c>
      <c r="DH278" s="125">
        <f t="shared" si="295"/>
        <v>2</v>
      </c>
      <c r="DI278" s="125">
        <f t="shared" si="295"/>
        <v>3</v>
      </c>
      <c r="DJ278" s="125">
        <f t="shared" si="295"/>
        <v>4</v>
      </c>
      <c r="DK278" s="125">
        <f t="shared" si="295"/>
        <v>5</v>
      </c>
      <c r="DL278" s="125">
        <f t="shared" si="295"/>
        <v>6</v>
      </c>
      <c r="DM278" s="125">
        <f t="shared" si="295"/>
        <v>7</v>
      </c>
      <c r="DN278" s="125">
        <f t="shared" si="295"/>
        <v>8</v>
      </c>
      <c r="DO278" s="125">
        <f t="shared" si="295"/>
        <v>9</v>
      </c>
      <c r="DP278" s="125">
        <f t="shared" si="295"/>
        <v>10</v>
      </c>
      <c r="DS278" s="137"/>
      <c r="DT278" s="137"/>
      <c r="DU278" s="137"/>
      <c r="DV278" s="137" t="b">
        <f t="shared" si="281"/>
        <v>0</v>
      </c>
      <c r="DW278" s="137" t="b">
        <f t="shared" si="282"/>
        <v>0</v>
      </c>
      <c r="DX278" s="137" t="b">
        <f t="shared" si="283"/>
        <v>1</v>
      </c>
      <c r="EB278" s="131">
        <f t="shared" si="292"/>
        <v>1</v>
      </c>
      <c r="EC278" s="137" t="b">
        <f t="shared" si="284"/>
        <v>0</v>
      </c>
      <c r="ED278" s="137" t="b">
        <f t="shared" si="285"/>
        <v>0</v>
      </c>
      <c r="EE278" s="137" t="b">
        <f t="shared" si="286"/>
        <v>1</v>
      </c>
      <c r="EF278" s="137"/>
      <c r="EG278" s="137"/>
      <c r="EH278" s="137"/>
      <c r="EI278" s="137"/>
      <c r="EJ278" s="137">
        <f t="shared" si="293"/>
        <v>1</v>
      </c>
      <c r="EK278" s="125">
        <f t="shared" si="287"/>
        <v>0</v>
      </c>
      <c r="EL278" s="125">
        <f t="shared" si="288"/>
        <v>0</v>
      </c>
    </row>
    <row r="279" spans="2:142" ht="15.75" x14ac:dyDescent="0.2">
      <c r="B279" s="160">
        <f t="shared" si="289"/>
        <v>249</v>
      </c>
      <c r="C279" s="292">
        <v>1001348971</v>
      </c>
      <c r="D279" s="290">
        <v>1001274750</v>
      </c>
      <c r="E279" s="292">
        <v>40000174</v>
      </c>
      <c r="F279" s="118">
        <f>IF(OR(J279="",H279=""),"",VLOOKUP(J279,'הזנה לסיווג רשויות'!$B$2:$D$301,2,0))</f>
        <v>20000201</v>
      </c>
      <c r="G279" s="118" t="str">
        <f>IF(OR(J279="",H279=""),"",VLOOKUP(J279,'הזנה לסיווג רשויות'!$B$2:$D$301,3,0))</f>
        <v>תל אביב -יפו</v>
      </c>
      <c r="H279" s="295" t="s">
        <v>728</v>
      </c>
      <c r="I279" s="201" t="s">
        <v>374</v>
      </c>
      <c r="J279" s="294">
        <v>5000</v>
      </c>
      <c r="K279" s="161">
        <v>0</v>
      </c>
      <c r="L279" s="161">
        <v>1</v>
      </c>
      <c r="M279" s="161">
        <v>0</v>
      </c>
      <c r="N279" s="161">
        <v>1</v>
      </c>
      <c r="O279" s="161">
        <v>0</v>
      </c>
      <c r="P279" s="161">
        <v>1</v>
      </c>
      <c r="Q279" s="161">
        <v>1</v>
      </c>
      <c r="R279" s="201">
        <v>390869</v>
      </c>
      <c r="S279" s="201">
        <v>210244</v>
      </c>
      <c r="T279" s="160">
        <f>IF(G279="","",IFERROR(IF(S279/R279&gt;'פרמטרים לקריטריונים'!$C$20,1,0),0))</f>
        <v>1</v>
      </c>
      <c r="U279" s="297">
        <v>210244</v>
      </c>
      <c r="V279" s="160">
        <f>IF(G279="","",IFERROR(IF(U279/R279&gt;'פרמטרים לקריטריונים'!$C$21,1,IF(AND(I279=$BW$5,U279/R279&gt;'פרמטרים לקריטריונים'!$C$22),1,0)),0))</f>
        <v>1</v>
      </c>
      <c r="W279" s="161">
        <v>1</v>
      </c>
      <c r="X279" s="161">
        <v>1</v>
      </c>
      <c r="Y279" s="301">
        <v>50000</v>
      </c>
      <c r="Z279" s="302">
        <v>30000</v>
      </c>
      <c r="AA279" s="161">
        <f t="shared" si="290"/>
        <v>1</v>
      </c>
      <c r="AB279" s="161"/>
      <c r="AC279" s="161"/>
      <c r="AD279" s="161"/>
      <c r="AE279" s="161"/>
      <c r="AF279" s="161"/>
      <c r="AG279" s="161"/>
      <c r="AH279" s="161"/>
      <c r="AI279" s="161"/>
      <c r="AJ279" s="161"/>
      <c r="AK279" s="161"/>
      <c r="AL279" s="161"/>
      <c r="AM279" s="161"/>
      <c r="AN279" s="161"/>
      <c r="AO279" s="161"/>
      <c r="AP279" s="161"/>
      <c r="AQ279" s="161"/>
      <c r="AR279" s="161"/>
      <c r="AS279" s="161"/>
      <c r="AT279" s="161"/>
      <c r="AU279" s="161"/>
      <c r="AV279" s="161"/>
      <c r="AW279" s="160"/>
      <c r="AX279" s="161"/>
      <c r="AY279" s="161"/>
      <c r="AZ279" s="161"/>
      <c r="BA279" s="161"/>
      <c r="BB279" s="161"/>
      <c r="BC279" s="161"/>
      <c r="BD279" s="161"/>
      <c r="BE279" s="161"/>
      <c r="BF279" s="160" t="str">
        <f t="shared" si="291"/>
        <v/>
      </c>
      <c r="BG279" s="160"/>
      <c r="BH279" s="160"/>
      <c r="BI279" s="160"/>
      <c r="BJ279" s="160"/>
      <c r="BK279" s="160"/>
      <c r="BL279" s="162">
        <f t="shared" si="242"/>
        <v>1</v>
      </c>
      <c r="BM279" s="257"/>
      <c r="BN279" s="163"/>
      <c r="BO279" s="211" t="str">
        <f t="shared" si="243"/>
        <v>פרויקטים במחול - שליד תיאטרון מחולמחול</v>
      </c>
      <c r="BP279" s="125">
        <f t="shared" si="244"/>
        <v>1</v>
      </c>
      <c r="BQ279" s="164">
        <v>0</v>
      </c>
      <c r="BR279" s="164">
        <v>1</v>
      </c>
      <c r="BS279" s="149">
        <f t="shared" si="245"/>
        <v>1</v>
      </c>
      <c r="BT279" s="149">
        <f t="shared" si="246"/>
        <v>1</v>
      </c>
      <c r="BU279" s="149">
        <f t="shared" si="247"/>
        <v>1</v>
      </c>
      <c r="BV279" s="149">
        <f t="shared" si="248"/>
        <v>1</v>
      </c>
      <c r="BW279" s="149">
        <f t="shared" si="249"/>
        <v>1</v>
      </c>
      <c r="BX279" s="149">
        <f t="shared" si="250"/>
        <v>1</v>
      </c>
      <c r="BY279" s="149">
        <f t="shared" si="251"/>
        <v>1</v>
      </c>
      <c r="BZ279" s="149">
        <f t="shared" si="252"/>
        <v>1</v>
      </c>
      <c r="CA279" s="149">
        <f t="shared" si="253"/>
        <v>1</v>
      </c>
      <c r="CB279" s="149">
        <f t="shared" si="254"/>
        <v>1</v>
      </c>
      <c r="CC279" s="149">
        <f t="shared" si="255"/>
        <v>1</v>
      </c>
      <c r="CD279" s="149">
        <f t="shared" si="256"/>
        <v>1</v>
      </c>
      <c r="CE279" s="149">
        <f t="shared" si="257"/>
        <v>1</v>
      </c>
      <c r="CF279" s="149">
        <f t="shared" si="258"/>
        <v>1</v>
      </c>
      <c r="CG279" s="149">
        <f t="shared" si="259"/>
        <v>1</v>
      </c>
      <c r="CH279" s="149">
        <f t="shared" si="260"/>
        <v>1</v>
      </c>
      <c r="CI279" s="149">
        <f t="shared" si="261"/>
        <v>1</v>
      </c>
      <c r="CJ279" s="149">
        <f t="shared" si="262"/>
        <v>1</v>
      </c>
      <c r="CK279" s="149">
        <f t="shared" si="263"/>
        <v>1</v>
      </c>
      <c r="CL279" s="149">
        <f t="shared" si="264"/>
        <v>1</v>
      </c>
      <c r="CM279" s="149">
        <f t="shared" si="265"/>
        <v>1</v>
      </c>
      <c r="CN279" s="149">
        <f t="shared" si="266"/>
        <v>1</v>
      </c>
      <c r="CO279" s="149">
        <f t="shared" si="267"/>
        <v>1</v>
      </c>
      <c r="CP279" s="149">
        <f t="shared" si="268"/>
        <v>1</v>
      </c>
      <c r="CQ279" s="149">
        <f t="shared" si="269"/>
        <v>1</v>
      </c>
      <c r="CR279" s="149">
        <f t="shared" si="270"/>
        <v>1</v>
      </c>
      <c r="CS279" s="149">
        <f t="shared" si="271"/>
        <v>1</v>
      </c>
      <c r="CT279" s="149">
        <f t="shared" si="272"/>
        <v>1</v>
      </c>
      <c r="CU279" s="149">
        <f t="shared" si="273"/>
        <v>1</v>
      </c>
      <c r="CV279" s="149">
        <f t="shared" si="274"/>
        <v>1</v>
      </c>
      <c r="CW279" s="149">
        <f t="shared" si="275"/>
        <v>1</v>
      </c>
      <c r="CX279" s="149">
        <f t="shared" si="276"/>
        <v>1</v>
      </c>
      <c r="CY279" s="149">
        <f t="shared" si="277"/>
        <v>1</v>
      </c>
      <c r="CZ279" s="149">
        <f t="shared" si="278"/>
        <v>1</v>
      </c>
      <c r="DA279" s="149">
        <f t="shared" si="279"/>
        <v>1</v>
      </c>
      <c r="DB279" s="149">
        <f t="shared" si="280"/>
        <v>1</v>
      </c>
      <c r="DG279" s="125">
        <f t="shared" si="241"/>
        <v>1</v>
      </c>
      <c r="DH279" s="125">
        <f t="shared" si="295"/>
        <v>2</v>
      </c>
      <c r="DI279" s="125">
        <f t="shared" si="295"/>
        <v>3</v>
      </c>
      <c r="DJ279" s="125">
        <f t="shared" si="295"/>
        <v>4</v>
      </c>
      <c r="DK279" s="125">
        <f t="shared" si="295"/>
        <v>5</v>
      </c>
      <c r="DL279" s="125">
        <f t="shared" si="295"/>
        <v>6</v>
      </c>
      <c r="DM279" s="125">
        <f t="shared" si="295"/>
        <v>7</v>
      </c>
      <c r="DN279" s="125">
        <f t="shared" si="295"/>
        <v>8</v>
      </c>
      <c r="DO279" s="125">
        <f t="shared" si="295"/>
        <v>9</v>
      </c>
      <c r="DP279" s="125">
        <f t="shared" si="295"/>
        <v>10</v>
      </c>
      <c r="DS279" s="137"/>
      <c r="DT279" s="137"/>
      <c r="DU279" s="137"/>
      <c r="DV279" s="137" t="b">
        <f t="shared" si="281"/>
        <v>0</v>
      </c>
      <c r="DW279" s="137" t="b">
        <f t="shared" si="282"/>
        <v>0</v>
      </c>
      <c r="DX279" s="137" t="b">
        <f t="shared" si="283"/>
        <v>1</v>
      </c>
      <c r="EB279" s="131">
        <f t="shared" si="292"/>
        <v>1</v>
      </c>
      <c r="EC279" s="137" t="b">
        <f t="shared" si="284"/>
        <v>0</v>
      </c>
      <c r="ED279" s="137" t="b">
        <f t="shared" si="285"/>
        <v>0</v>
      </c>
      <c r="EE279" s="137" t="b">
        <f t="shared" si="286"/>
        <v>1</v>
      </c>
      <c r="EF279" s="137"/>
      <c r="EG279" s="137"/>
      <c r="EH279" s="137"/>
      <c r="EI279" s="137"/>
      <c r="EJ279" s="137">
        <f t="shared" si="293"/>
        <v>1</v>
      </c>
      <c r="EK279" s="125">
        <f t="shared" si="287"/>
        <v>0</v>
      </c>
      <c r="EL279" s="125">
        <f t="shared" si="288"/>
        <v>0</v>
      </c>
    </row>
    <row r="280" spans="2:142" ht="15.75" x14ac:dyDescent="0.2">
      <c r="B280" s="160">
        <f t="shared" si="289"/>
        <v>250</v>
      </c>
      <c r="C280" s="292">
        <v>1001350351</v>
      </c>
      <c r="D280" s="290">
        <v>1001269665</v>
      </c>
      <c r="E280" s="292">
        <v>40000176</v>
      </c>
      <c r="F280" s="118">
        <f>IF(OR(J280="",H280=""),"",VLOOKUP(J280,'הזנה לסיווג רשויות'!$B$2:$D$301,2,0))</f>
        <v>20000201</v>
      </c>
      <c r="G280" s="118" t="str">
        <f>IF(OR(J280="",H280=""),"",VLOOKUP(J280,'הזנה לסיווג רשויות'!$B$2:$D$301,3,0))</f>
        <v>תל אביב -יפו</v>
      </c>
      <c r="H280" s="295" t="s">
        <v>729</v>
      </c>
      <c r="I280" s="201" t="s">
        <v>373</v>
      </c>
      <c r="J280" s="294">
        <v>5000</v>
      </c>
      <c r="K280" s="161">
        <v>0</v>
      </c>
      <c r="L280" s="161">
        <v>1</v>
      </c>
      <c r="M280" s="161">
        <v>0</v>
      </c>
      <c r="N280" s="161">
        <v>1</v>
      </c>
      <c r="O280" s="161">
        <v>0</v>
      </c>
      <c r="P280" s="161">
        <v>1</v>
      </c>
      <c r="Q280" s="161">
        <v>1</v>
      </c>
      <c r="R280" s="201">
        <v>918887</v>
      </c>
      <c r="S280" s="201">
        <v>264702</v>
      </c>
      <c r="T280" s="160">
        <f>IF(G280="","",IFERROR(IF(S280/R280&gt;'פרמטרים לקריטריונים'!$C$20,1,0),0))</f>
        <v>1</v>
      </c>
      <c r="U280" s="297">
        <v>264702</v>
      </c>
      <c r="V280" s="160">
        <f>IF(G280="","",IFERROR(IF(U280/R280&gt;'פרמטרים לקריטריונים'!$C$21,1,IF(AND(I280=$BW$5,U280/R280&gt;'פרמטרים לקריטריונים'!$C$22),1,0)),0))</f>
        <v>1</v>
      </c>
      <c r="W280" s="161">
        <v>1</v>
      </c>
      <c r="X280" s="161">
        <v>1</v>
      </c>
      <c r="Y280" s="301">
        <v>1200000</v>
      </c>
      <c r="Z280" s="302">
        <v>30000</v>
      </c>
      <c r="AA280" s="161">
        <f t="shared" si="290"/>
        <v>1</v>
      </c>
      <c r="AB280" s="161"/>
      <c r="AC280" s="161"/>
      <c r="AD280" s="161"/>
      <c r="AE280" s="161"/>
      <c r="AF280" s="161"/>
      <c r="AG280" s="161"/>
      <c r="AH280" s="161"/>
      <c r="AI280" s="161"/>
      <c r="AJ280" s="161"/>
      <c r="AK280" s="161"/>
      <c r="AL280" s="161"/>
      <c r="AM280" s="161"/>
      <c r="AN280" s="161"/>
      <c r="AO280" s="161"/>
      <c r="AP280" s="161"/>
      <c r="AQ280" s="161"/>
      <c r="AR280" s="161"/>
      <c r="AS280" s="161"/>
      <c r="AT280" s="161"/>
      <c r="AU280" s="161"/>
      <c r="AV280" s="161"/>
      <c r="AW280" s="160"/>
      <c r="AX280" s="161"/>
      <c r="AY280" s="161"/>
      <c r="AZ280" s="161"/>
      <c r="BA280" s="161"/>
      <c r="BB280" s="161"/>
      <c r="BC280" s="161"/>
      <c r="BD280" s="161"/>
      <c r="BE280" s="161"/>
      <c r="BF280" s="160" t="str">
        <f t="shared" si="291"/>
        <v/>
      </c>
      <c r="BG280" s="160"/>
      <c r="BH280" s="160"/>
      <c r="BI280" s="160"/>
      <c r="BJ280" s="160"/>
      <c r="BK280" s="160"/>
      <c r="BL280" s="162">
        <f t="shared" si="242"/>
        <v>1</v>
      </c>
      <c r="BM280" s="257"/>
      <c r="BN280" s="163"/>
      <c r="BO280" s="211" t="str">
        <f t="shared" si="243"/>
        <v>אנסמבל עתיםתיאטרון</v>
      </c>
      <c r="BP280" s="125">
        <f t="shared" si="244"/>
        <v>1</v>
      </c>
      <c r="BQ280" s="164">
        <v>0</v>
      </c>
      <c r="BR280" s="164">
        <v>1</v>
      </c>
      <c r="BS280" s="149">
        <f t="shared" si="245"/>
        <v>1</v>
      </c>
      <c r="BT280" s="149">
        <f t="shared" si="246"/>
        <v>1</v>
      </c>
      <c r="BU280" s="149">
        <f t="shared" si="247"/>
        <v>1</v>
      </c>
      <c r="BV280" s="149">
        <f t="shared" si="248"/>
        <v>1</v>
      </c>
      <c r="BW280" s="149">
        <f t="shared" si="249"/>
        <v>1</v>
      </c>
      <c r="BX280" s="149">
        <f t="shared" si="250"/>
        <v>1</v>
      </c>
      <c r="BY280" s="149">
        <f t="shared" si="251"/>
        <v>1</v>
      </c>
      <c r="BZ280" s="149">
        <f t="shared" si="252"/>
        <v>1</v>
      </c>
      <c r="CA280" s="149">
        <f t="shared" si="253"/>
        <v>1</v>
      </c>
      <c r="CB280" s="149">
        <f t="shared" si="254"/>
        <v>1</v>
      </c>
      <c r="CC280" s="149">
        <f t="shared" si="255"/>
        <v>1</v>
      </c>
      <c r="CD280" s="149">
        <f t="shared" si="256"/>
        <v>1</v>
      </c>
      <c r="CE280" s="149">
        <f t="shared" si="257"/>
        <v>1</v>
      </c>
      <c r="CF280" s="149">
        <f t="shared" si="258"/>
        <v>1</v>
      </c>
      <c r="CG280" s="149">
        <f t="shared" si="259"/>
        <v>1</v>
      </c>
      <c r="CH280" s="149">
        <f t="shared" si="260"/>
        <v>1</v>
      </c>
      <c r="CI280" s="149">
        <f t="shared" si="261"/>
        <v>1</v>
      </c>
      <c r="CJ280" s="149">
        <f t="shared" si="262"/>
        <v>1</v>
      </c>
      <c r="CK280" s="149">
        <f t="shared" si="263"/>
        <v>1</v>
      </c>
      <c r="CL280" s="149">
        <f t="shared" si="264"/>
        <v>1</v>
      </c>
      <c r="CM280" s="149">
        <f t="shared" si="265"/>
        <v>1</v>
      </c>
      <c r="CN280" s="149">
        <f t="shared" si="266"/>
        <v>1</v>
      </c>
      <c r="CO280" s="149">
        <f t="shared" si="267"/>
        <v>1</v>
      </c>
      <c r="CP280" s="149">
        <f t="shared" si="268"/>
        <v>1</v>
      </c>
      <c r="CQ280" s="149">
        <f t="shared" si="269"/>
        <v>1</v>
      </c>
      <c r="CR280" s="149">
        <f t="shared" si="270"/>
        <v>1</v>
      </c>
      <c r="CS280" s="149">
        <f t="shared" si="271"/>
        <v>1</v>
      </c>
      <c r="CT280" s="149">
        <f t="shared" si="272"/>
        <v>1</v>
      </c>
      <c r="CU280" s="149">
        <f t="shared" si="273"/>
        <v>1</v>
      </c>
      <c r="CV280" s="149">
        <f t="shared" si="274"/>
        <v>1</v>
      </c>
      <c r="CW280" s="149">
        <f t="shared" si="275"/>
        <v>1</v>
      </c>
      <c r="CX280" s="149">
        <f t="shared" si="276"/>
        <v>1</v>
      </c>
      <c r="CY280" s="149">
        <f t="shared" si="277"/>
        <v>1</v>
      </c>
      <c r="CZ280" s="149">
        <f t="shared" si="278"/>
        <v>1</v>
      </c>
      <c r="DA280" s="149">
        <f t="shared" si="279"/>
        <v>1</v>
      </c>
      <c r="DB280" s="149">
        <f t="shared" si="280"/>
        <v>1</v>
      </c>
      <c r="DG280" s="125">
        <f t="shared" ref="DG280:DG500" si="296">IF($G280="","",DG$30)</f>
        <v>1</v>
      </c>
      <c r="DH280" s="125">
        <f t="shared" si="295"/>
        <v>2</v>
      </c>
      <c r="DI280" s="125">
        <f t="shared" si="295"/>
        <v>3</v>
      </c>
      <c r="DJ280" s="125">
        <f t="shared" si="295"/>
        <v>4</v>
      </c>
      <c r="DK280" s="125">
        <f t="shared" si="295"/>
        <v>5</v>
      </c>
      <c r="DL280" s="125">
        <f t="shared" si="295"/>
        <v>6</v>
      </c>
      <c r="DM280" s="125">
        <f t="shared" si="295"/>
        <v>7</v>
      </c>
      <c r="DN280" s="125">
        <f t="shared" si="295"/>
        <v>8</v>
      </c>
      <c r="DO280" s="125">
        <f t="shared" si="295"/>
        <v>9</v>
      </c>
      <c r="DP280" s="125">
        <f t="shared" si="295"/>
        <v>10</v>
      </c>
      <c r="DS280" s="137"/>
      <c r="DT280" s="137"/>
      <c r="DU280" s="137"/>
      <c r="DV280" s="137" t="b">
        <f t="shared" si="281"/>
        <v>0</v>
      </c>
      <c r="DW280" s="137" t="b">
        <f t="shared" si="282"/>
        <v>0</v>
      </c>
      <c r="DX280" s="137" t="b">
        <f t="shared" si="283"/>
        <v>1</v>
      </c>
      <c r="EB280" s="131">
        <f t="shared" si="292"/>
        <v>1</v>
      </c>
      <c r="EC280" s="137" t="b">
        <f t="shared" si="284"/>
        <v>0</v>
      </c>
      <c r="ED280" s="137" t="b">
        <f t="shared" si="285"/>
        <v>0</v>
      </c>
      <c r="EE280" s="137" t="b">
        <f t="shared" si="286"/>
        <v>1</v>
      </c>
      <c r="EF280" s="137"/>
      <c r="EG280" s="137"/>
      <c r="EH280" s="137"/>
      <c r="EI280" s="137"/>
      <c r="EJ280" s="137">
        <f t="shared" si="293"/>
        <v>1</v>
      </c>
      <c r="EK280" s="125">
        <f t="shared" si="287"/>
        <v>0</v>
      </c>
      <c r="EL280" s="125">
        <f t="shared" si="288"/>
        <v>0</v>
      </c>
    </row>
    <row r="281" spans="2:142" ht="15.75" x14ac:dyDescent="0.2">
      <c r="B281" s="160">
        <f t="shared" si="289"/>
        <v>251</v>
      </c>
      <c r="C281" s="292">
        <v>1001348862</v>
      </c>
      <c r="D281" s="290">
        <v>1001270324</v>
      </c>
      <c r="E281" s="292">
        <v>40000179</v>
      </c>
      <c r="F281" s="118">
        <f>IF(OR(J281="",H281=""),"",VLOOKUP(J281,'הזנה לסיווג רשויות'!$B$2:$D$301,2,0))</f>
        <v>20000201</v>
      </c>
      <c r="G281" s="118" t="str">
        <f>IF(OR(J281="",H281=""),"",VLOOKUP(J281,'הזנה לסיווג רשויות'!$B$2:$D$301,3,0))</f>
        <v>תל אביב -יפו</v>
      </c>
      <c r="H281" s="295" t="s">
        <v>730</v>
      </c>
      <c r="I281" s="201" t="s">
        <v>385</v>
      </c>
      <c r="J281" s="294">
        <v>5000</v>
      </c>
      <c r="K281" s="161">
        <v>0</v>
      </c>
      <c r="L281" s="161">
        <v>1</v>
      </c>
      <c r="M281" s="161">
        <v>0</v>
      </c>
      <c r="N281" s="161">
        <v>1</v>
      </c>
      <c r="O281" s="161">
        <v>0</v>
      </c>
      <c r="P281" s="161">
        <v>1</v>
      </c>
      <c r="Q281" s="161">
        <v>1</v>
      </c>
      <c r="R281" s="201">
        <v>355101</v>
      </c>
      <c r="S281" s="201">
        <v>104261</v>
      </c>
      <c r="T281" s="160">
        <f>IF(G281="","",IFERROR(IF(S281/R281&gt;'פרמטרים לקריטריונים'!$C$20,1,0),0))</f>
        <v>1</v>
      </c>
      <c r="U281" s="297">
        <v>104261</v>
      </c>
      <c r="V281" s="160">
        <f>IF(G281="","",IFERROR(IF(U281/R281&gt;'פרמטרים לקריטריונים'!$C$21,1,IF(AND(I281=$BW$5,U281/R281&gt;'פרמטרים לקריטריונים'!$C$22),1,0)),0))</f>
        <v>1</v>
      </c>
      <c r="W281" s="161">
        <v>1</v>
      </c>
      <c r="X281" s="161">
        <v>1</v>
      </c>
      <c r="Y281" s="301">
        <v>150000</v>
      </c>
      <c r="Z281" s="300">
        <v>150000</v>
      </c>
      <c r="AA281" s="161">
        <f t="shared" si="290"/>
        <v>1</v>
      </c>
      <c r="AB281" s="161"/>
      <c r="AC281" s="161"/>
      <c r="AD281" s="161"/>
      <c r="AE281" s="161"/>
      <c r="AF281" s="161"/>
      <c r="AG281" s="161"/>
      <c r="AH281" s="161"/>
      <c r="AI281" s="161"/>
      <c r="AJ281" s="161"/>
      <c r="AK281" s="161"/>
      <c r="AL281" s="161"/>
      <c r="AM281" s="161"/>
      <c r="AN281" s="161"/>
      <c r="AO281" s="161"/>
      <c r="AP281" s="161"/>
      <c r="AQ281" s="161"/>
      <c r="AR281" s="161"/>
      <c r="AS281" s="161"/>
      <c r="AT281" s="161"/>
      <c r="AU281" s="161"/>
      <c r="AV281" s="161"/>
      <c r="AW281" s="160"/>
      <c r="AX281" s="161"/>
      <c r="AY281" s="161"/>
      <c r="AZ281" s="161"/>
      <c r="BA281" s="161"/>
      <c r="BB281" s="161"/>
      <c r="BC281" s="161"/>
      <c r="BD281" s="161"/>
      <c r="BE281" s="161"/>
      <c r="BF281" s="160" t="str">
        <f t="shared" si="291"/>
        <v/>
      </c>
      <c r="BG281" s="160"/>
      <c r="BH281" s="160"/>
      <c r="BI281" s="160"/>
      <c r="BJ281" s="160"/>
      <c r="BK281" s="160"/>
      <c r="BL281" s="162">
        <f t="shared" si="242"/>
        <v>1</v>
      </c>
      <c r="BM281" s="257"/>
      <c r="BN281" s="163"/>
      <c r="BO281" s="211" t="str">
        <f t="shared" si="243"/>
        <v>מקשבמרכזי מוסיקה</v>
      </c>
      <c r="BP281" s="125">
        <f t="shared" si="244"/>
        <v>1</v>
      </c>
      <c r="BQ281" s="164">
        <v>0</v>
      </c>
      <c r="BR281" s="164">
        <v>1</v>
      </c>
      <c r="BS281" s="149">
        <f t="shared" si="245"/>
        <v>1</v>
      </c>
      <c r="BT281" s="149">
        <f t="shared" si="246"/>
        <v>1</v>
      </c>
      <c r="BU281" s="149">
        <f t="shared" si="247"/>
        <v>1</v>
      </c>
      <c r="BV281" s="149">
        <f t="shared" si="248"/>
        <v>1</v>
      </c>
      <c r="BW281" s="149">
        <f t="shared" si="249"/>
        <v>1</v>
      </c>
      <c r="BX281" s="149">
        <f t="shared" si="250"/>
        <v>1</v>
      </c>
      <c r="BY281" s="149">
        <f t="shared" si="251"/>
        <v>1</v>
      </c>
      <c r="BZ281" s="149">
        <f t="shared" si="252"/>
        <v>1</v>
      </c>
      <c r="CA281" s="149">
        <f t="shared" si="253"/>
        <v>1</v>
      </c>
      <c r="CB281" s="149">
        <f t="shared" si="254"/>
        <v>1</v>
      </c>
      <c r="CC281" s="149">
        <f t="shared" si="255"/>
        <v>1</v>
      </c>
      <c r="CD281" s="149">
        <f t="shared" si="256"/>
        <v>1</v>
      </c>
      <c r="CE281" s="149">
        <f t="shared" si="257"/>
        <v>1</v>
      </c>
      <c r="CF281" s="149">
        <f t="shared" si="258"/>
        <v>1</v>
      </c>
      <c r="CG281" s="149">
        <f t="shared" si="259"/>
        <v>1</v>
      </c>
      <c r="CH281" s="149">
        <f t="shared" si="260"/>
        <v>1</v>
      </c>
      <c r="CI281" s="149">
        <f t="shared" si="261"/>
        <v>1</v>
      </c>
      <c r="CJ281" s="149">
        <f t="shared" si="262"/>
        <v>1</v>
      </c>
      <c r="CK281" s="149">
        <f t="shared" si="263"/>
        <v>1</v>
      </c>
      <c r="CL281" s="149">
        <f t="shared" si="264"/>
        <v>1</v>
      </c>
      <c r="CM281" s="149">
        <f t="shared" si="265"/>
        <v>1</v>
      </c>
      <c r="CN281" s="149">
        <f t="shared" si="266"/>
        <v>1</v>
      </c>
      <c r="CO281" s="149">
        <f t="shared" si="267"/>
        <v>1</v>
      </c>
      <c r="CP281" s="149">
        <f t="shared" si="268"/>
        <v>1</v>
      </c>
      <c r="CQ281" s="149">
        <f t="shared" si="269"/>
        <v>1</v>
      </c>
      <c r="CR281" s="149">
        <f t="shared" si="270"/>
        <v>1</v>
      </c>
      <c r="CS281" s="149">
        <f t="shared" si="271"/>
        <v>1</v>
      </c>
      <c r="CT281" s="149">
        <f t="shared" si="272"/>
        <v>1</v>
      </c>
      <c r="CU281" s="149">
        <f t="shared" si="273"/>
        <v>1</v>
      </c>
      <c r="CV281" s="149">
        <f t="shared" si="274"/>
        <v>1</v>
      </c>
      <c r="CW281" s="149">
        <f t="shared" si="275"/>
        <v>1</v>
      </c>
      <c r="CX281" s="149">
        <f t="shared" si="276"/>
        <v>1</v>
      </c>
      <c r="CY281" s="149">
        <f t="shared" si="277"/>
        <v>1</v>
      </c>
      <c r="CZ281" s="149">
        <f t="shared" si="278"/>
        <v>1</v>
      </c>
      <c r="DA281" s="149">
        <f t="shared" si="279"/>
        <v>1</v>
      </c>
      <c r="DB281" s="149">
        <f t="shared" si="280"/>
        <v>1</v>
      </c>
      <c r="DG281" s="125">
        <f t="shared" si="296"/>
        <v>1</v>
      </c>
      <c r="DH281" s="125">
        <f t="shared" si="295"/>
        <v>2</v>
      </c>
      <c r="DI281" s="125">
        <f t="shared" si="295"/>
        <v>3</v>
      </c>
      <c r="DJ281" s="125">
        <f t="shared" si="295"/>
        <v>4</v>
      </c>
      <c r="DK281" s="125">
        <f t="shared" si="295"/>
        <v>5</v>
      </c>
      <c r="DL281" s="125">
        <f t="shared" si="295"/>
        <v>6</v>
      </c>
      <c r="DM281" s="125">
        <f t="shared" si="295"/>
        <v>7</v>
      </c>
      <c r="DN281" s="125">
        <f t="shared" si="295"/>
        <v>8</v>
      </c>
      <c r="DO281" s="125">
        <f t="shared" si="295"/>
        <v>9</v>
      </c>
      <c r="DP281" s="125">
        <f t="shared" si="295"/>
        <v>10</v>
      </c>
      <c r="DS281" s="137"/>
      <c r="DT281" s="137"/>
      <c r="DU281" s="137"/>
      <c r="DV281" s="137" t="b">
        <f t="shared" si="281"/>
        <v>0</v>
      </c>
      <c r="DW281" s="137" t="b">
        <f t="shared" si="282"/>
        <v>0</v>
      </c>
      <c r="DX281" s="137" t="b">
        <f t="shared" si="283"/>
        <v>1</v>
      </c>
      <c r="EB281" s="131">
        <f t="shared" si="292"/>
        <v>1</v>
      </c>
      <c r="EC281" s="137" t="b">
        <f t="shared" si="284"/>
        <v>0</v>
      </c>
      <c r="ED281" s="137" t="b">
        <f t="shared" si="285"/>
        <v>0</v>
      </c>
      <c r="EE281" s="137" t="b">
        <f t="shared" si="286"/>
        <v>1</v>
      </c>
      <c r="EF281" s="137"/>
      <c r="EG281" s="137"/>
      <c r="EH281" s="137"/>
      <c r="EI281" s="137"/>
      <c r="EJ281" s="137">
        <f t="shared" si="293"/>
        <v>1</v>
      </c>
      <c r="EK281" s="125">
        <f t="shared" si="287"/>
        <v>0</v>
      </c>
      <c r="EL281" s="125">
        <f t="shared" si="288"/>
        <v>0</v>
      </c>
    </row>
    <row r="282" spans="2:142" ht="15.75" x14ac:dyDescent="0.2">
      <c r="B282" s="160">
        <f t="shared" si="289"/>
        <v>252</v>
      </c>
      <c r="C282" s="290">
        <v>1001348072</v>
      </c>
      <c r="D282" s="290">
        <v>1001272584</v>
      </c>
      <c r="E282" s="290">
        <v>40000564</v>
      </c>
      <c r="F282" s="118">
        <f>IF(OR(J282="",H282=""),"",VLOOKUP(J282,'הזנה לסיווג רשויות'!$B$2:$D$301,2,0))</f>
        <v>20000201</v>
      </c>
      <c r="G282" s="118" t="str">
        <f>IF(OR(J282="",H282=""),"",VLOOKUP(J282,'הזנה לסיווג רשויות'!$B$2:$D$301,3,0))</f>
        <v>תל אביב -יפו</v>
      </c>
      <c r="H282" s="293" t="s">
        <v>731</v>
      </c>
      <c r="I282" s="201" t="s">
        <v>379</v>
      </c>
      <c r="J282" s="294">
        <v>5000</v>
      </c>
      <c r="K282" s="161">
        <v>0</v>
      </c>
      <c r="L282" s="161">
        <v>1</v>
      </c>
      <c r="M282" s="161">
        <v>0</v>
      </c>
      <c r="N282" s="161">
        <v>0</v>
      </c>
      <c r="O282" s="161">
        <v>1</v>
      </c>
      <c r="P282" s="161">
        <v>1</v>
      </c>
      <c r="Q282" s="161">
        <v>1</v>
      </c>
      <c r="R282" s="201">
        <v>150968</v>
      </c>
      <c r="S282" s="201">
        <v>51494</v>
      </c>
      <c r="T282" s="160">
        <f>IF(G282="","",IFERROR(IF(S282/R282&gt;'פרמטרים לקריטריונים'!$C$20,1,0),0))</f>
        <v>1</v>
      </c>
      <c r="U282" s="296">
        <v>31236</v>
      </c>
      <c r="V282" s="160">
        <f>IF(G282="","",IFERROR(IF(U282/R282&gt;'פרמטרים לקריטריונים'!$C$21,1,IF(AND(I282=$BW$5,U282/R282&gt;'פרמטרים לקריטריונים'!$C$22),1,0)),0))</f>
        <v>1</v>
      </c>
      <c r="W282" s="161">
        <v>1</v>
      </c>
      <c r="X282" s="161">
        <v>1</v>
      </c>
      <c r="Y282" s="299">
        <v>150000</v>
      </c>
      <c r="Z282" s="300">
        <v>150000</v>
      </c>
      <c r="AA282" s="161">
        <f t="shared" si="290"/>
        <v>1</v>
      </c>
      <c r="AB282" s="161"/>
      <c r="AC282" s="161"/>
      <c r="AD282" s="161"/>
      <c r="AE282" s="161"/>
      <c r="AF282" s="161"/>
      <c r="AG282" s="161"/>
      <c r="AH282" s="161"/>
      <c r="AI282" s="161"/>
      <c r="AJ282" s="161"/>
      <c r="AK282" s="161"/>
      <c r="AL282" s="161"/>
      <c r="AM282" s="161"/>
      <c r="AN282" s="161"/>
      <c r="AO282" s="161"/>
      <c r="AP282" s="161"/>
      <c r="AQ282" s="161"/>
      <c r="AR282" s="161"/>
      <c r="AS282" s="161"/>
      <c r="AT282" s="161"/>
      <c r="AU282" s="161"/>
      <c r="AV282" s="161"/>
      <c r="AW282" s="160"/>
      <c r="AX282" s="161"/>
      <c r="AY282" s="161"/>
      <c r="AZ282" s="161"/>
      <c r="BA282" s="161"/>
      <c r="BB282" s="161"/>
      <c r="BC282" s="161"/>
      <c r="BD282" s="161"/>
      <c r="BE282" s="161"/>
      <c r="BF282" s="160" t="str">
        <f t="shared" si="291"/>
        <v/>
      </c>
      <c r="BG282" s="160"/>
      <c r="BH282" s="160"/>
      <c r="BI282" s="160"/>
      <c r="BJ282" s="160"/>
      <c r="BK282" s="160"/>
      <c r="BL282" s="162">
        <f t="shared" si="242"/>
        <v>1</v>
      </c>
      <c r="BM282" s="257"/>
      <c r="BN282" s="163"/>
      <c r="BO282" s="211" t="str">
        <f t="shared" si="243"/>
        <v>עמותת הכוריאוגרפים (ע"ר)יוצרים עצמאיים במחול</v>
      </c>
      <c r="BP282" s="125">
        <f t="shared" si="244"/>
        <v>1</v>
      </c>
      <c r="BQ282" s="164">
        <v>0</v>
      </c>
      <c r="BR282" s="164">
        <v>1</v>
      </c>
      <c r="BS282" s="149">
        <f t="shared" si="245"/>
        <v>1</v>
      </c>
      <c r="BT282" s="149">
        <f t="shared" si="246"/>
        <v>1</v>
      </c>
      <c r="BU282" s="149">
        <f t="shared" si="247"/>
        <v>1</v>
      </c>
      <c r="BV282" s="149">
        <f t="shared" si="248"/>
        <v>1</v>
      </c>
      <c r="BW282" s="149">
        <f t="shared" si="249"/>
        <v>1</v>
      </c>
      <c r="BX282" s="149">
        <f t="shared" si="250"/>
        <v>1</v>
      </c>
      <c r="BY282" s="149">
        <f t="shared" si="251"/>
        <v>1</v>
      </c>
      <c r="BZ282" s="149">
        <f t="shared" si="252"/>
        <v>1</v>
      </c>
      <c r="CA282" s="149">
        <f t="shared" si="253"/>
        <v>1</v>
      </c>
      <c r="CB282" s="149">
        <f t="shared" si="254"/>
        <v>1</v>
      </c>
      <c r="CC282" s="149">
        <f t="shared" si="255"/>
        <v>1</v>
      </c>
      <c r="CD282" s="149">
        <f t="shared" si="256"/>
        <v>1</v>
      </c>
      <c r="CE282" s="149">
        <f t="shared" si="257"/>
        <v>1</v>
      </c>
      <c r="CF282" s="149">
        <f t="shared" si="258"/>
        <v>1</v>
      </c>
      <c r="CG282" s="149">
        <f t="shared" si="259"/>
        <v>1</v>
      </c>
      <c r="CH282" s="149">
        <f t="shared" si="260"/>
        <v>1</v>
      </c>
      <c r="CI282" s="149">
        <f t="shared" si="261"/>
        <v>1</v>
      </c>
      <c r="CJ282" s="149">
        <f t="shared" si="262"/>
        <v>1</v>
      </c>
      <c r="CK282" s="149">
        <f t="shared" si="263"/>
        <v>1</v>
      </c>
      <c r="CL282" s="149">
        <f t="shared" si="264"/>
        <v>1</v>
      </c>
      <c r="CM282" s="149">
        <f t="shared" si="265"/>
        <v>1</v>
      </c>
      <c r="CN282" s="149">
        <f t="shared" si="266"/>
        <v>1</v>
      </c>
      <c r="CO282" s="149">
        <f t="shared" si="267"/>
        <v>1</v>
      </c>
      <c r="CP282" s="149">
        <f t="shared" si="268"/>
        <v>1</v>
      </c>
      <c r="CQ282" s="149">
        <f t="shared" si="269"/>
        <v>1</v>
      </c>
      <c r="CR282" s="149">
        <f t="shared" si="270"/>
        <v>1</v>
      </c>
      <c r="CS282" s="149">
        <f t="shared" si="271"/>
        <v>1</v>
      </c>
      <c r="CT282" s="149">
        <f t="shared" si="272"/>
        <v>1</v>
      </c>
      <c r="CU282" s="149">
        <f t="shared" si="273"/>
        <v>1</v>
      </c>
      <c r="CV282" s="149">
        <f t="shared" si="274"/>
        <v>1</v>
      </c>
      <c r="CW282" s="149">
        <f t="shared" si="275"/>
        <v>1</v>
      </c>
      <c r="CX282" s="149">
        <f t="shared" si="276"/>
        <v>1</v>
      </c>
      <c r="CY282" s="149">
        <f t="shared" si="277"/>
        <v>1</v>
      </c>
      <c r="CZ282" s="149">
        <f t="shared" si="278"/>
        <v>1</v>
      </c>
      <c r="DA282" s="149">
        <f t="shared" si="279"/>
        <v>1</v>
      </c>
      <c r="DB282" s="149">
        <f t="shared" si="280"/>
        <v>1</v>
      </c>
      <c r="DG282" s="125">
        <f t="shared" si="296"/>
        <v>1</v>
      </c>
      <c r="DH282" s="125">
        <f t="shared" si="295"/>
        <v>2</v>
      </c>
      <c r="DI282" s="125">
        <f t="shared" si="295"/>
        <v>3</v>
      </c>
      <c r="DJ282" s="125">
        <f t="shared" si="295"/>
        <v>4</v>
      </c>
      <c r="DK282" s="125">
        <f t="shared" si="295"/>
        <v>5</v>
      </c>
      <c r="DL282" s="125">
        <f t="shared" si="295"/>
        <v>6</v>
      </c>
      <c r="DM282" s="125">
        <f t="shared" si="295"/>
        <v>7</v>
      </c>
      <c r="DN282" s="125">
        <f t="shared" si="295"/>
        <v>8</v>
      </c>
      <c r="DO282" s="125">
        <f t="shared" si="295"/>
        <v>9</v>
      </c>
      <c r="DP282" s="125">
        <f t="shared" si="295"/>
        <v>10</v>
      </c>
      <c r="DS282" s="137"/>
      <c r="DT282" s="137"/>
      <c r="DU282" s="137"/>
      <c r="DV282" s="137" t="b">
        <f t="shared" si="281"/>
        <v>0</v>
      </c>
      <c r="DW282" s="137" t="b">
        <f t="shared" si="282"/>
        <v>0</v>
      </c>
      <c r="DX282" s="137" t="b">
        <f t="shared" si="283"/>
        <v>1</v>
      </c>
      <c r="EB282" s="131">
        <f t="shared" si="292"/>
        <v>1</v>
      </c>
      <c r="EC282" s="137" t="b">
        <f t="shared" si="284"/>
        <v>0</v>
      </c>
      <c r="ED282" s="137" t="b">
        <f t="shared" si="285"/>
        <v>0</v>
      </c>
      <c r="EE282" s="137" t="b">
        <f t="shared" si="286"/>
        <v>1</v>
      </c>
      <c r="EF282" s="137"/>
      <c r="EG282" s="137"/>
      <c r="EH282" s="137"/>
      <c r="EI282" s="137"/>
      <c r="EJ282" s="137">
        <f t="shared" si="293"/>
        <v>1</v>
      </c>
      <c r="EK282" s="125">
        <f t="shared" si="287"/>
        <v>0</v>
      </c>
      <c r="EL282" s="125">
        <f t="shared" si="288"/>
        <v>0</v>
      </c>
    </row>
    <row r="283" spans="2:142" ht="15.75" x14ac:dyDescent="0.2">
      <c r="B283" s="160">
        <f t="shared" si="289"/>
        <v>253</v>
      </c>
      <c r="C283" s="290">
        <v>1001348120</v>
      </c>
      <c r="D283" s="290">
        <v>1001276731</v>
      </c>
      <c r="E283" s="290">
        <v>40000564</v>
      </c>
      <c r="F283" s="118">
        <f>IF(OR(J283="",H283=""),"",VLOOKUP(J283,'הזנה לסיווג רשויות'!$B$2:$D$301,2,0))</f>
        <v>20000201</v>
      </c>
      <c r="G283" s="118" t="str">
        <f>IF(OR(J283="",H283=""),"",VLOOKUP(J283,'הזנה לסיווג רשויות'!$B$2:$D$301,3,0))</f>
        <v>תל אביב -יפו</v>
      </c>
      <c r="H283" s="293" t="s">
        <v>731</v>
      </c>
      <c r="I283" s="201" t="s">
        <v>379</v>
      </c>
      <c r="J283" s="294">
        <v>5000</v>
      </c>
      <c r="K283" s="161">
        <v>0</v>
      </c>
      <c r="L283" s="161">
        <v>1</v>
      </c>
      <c r="M283" s="161">
        <v>0</v>
      </c>
      <c r="N283" s="161">
        <v>0</v>
      </c>
      <c r="O283" s="161">
        <v>1</v>
      </c>
      <c r="P283" s="161">
        <v>1</v>
      </c>
      <c r="Q283" s="161">
        <v>1</v>
      </c>
      <c r="R283" s="201">
        <v>90373</v>
      </c>
      <c r="S283" s="201">
        <v>50373</v>
      </c>
      <c r="T283" s="160">
        <f>IF(G283="","",IFERROR(IF(S283/R283&gt;'פרמטרים לקריטריונים'!$C$20,1,0),0))</f>
        <v>1</v>
      </c>
      <c r="U283" s="296">
        <v>38823</v>
      </c>
      <c r="V283" s="160">
        <f>IF(G283="","",IFERROR(IF(U283/R283&gt;'פרמטרים לקריטריונים'!$C$21,1,IF(AND(I283=$BW$5,U283/R283&gt;'פרמטרים לקריטריונים'!$C$22),1,0)),0))</f>
        <v>1</v>
      </c>
      <c r="W283" s="161">
        <v>1</v>
      </c>
      <c r="X283" s="161">
        <v>1</v>
      </c>
      <c r="Y283" s="299">
        <v>150000</v>
      </c>
      <c r="Z283" s="300">
        <v>150000</v>
      </c>
      <c r="AA283" s="161">
        <f t="shared" si="290"/>
        <v>1</v>
      </c>
      <c r="AB283" s="161"/>
      <c r="AC283" s="161"/>
      <c r="AD283" s="161"/>
      <c r="AE283" s="161"/>
      <c r="AF283" s="161"/>
      <c r="AG283" s="161"/>
      <c r="AH283" s="161"/>
      <c r="AI283" s="161"/>
      <c r="AJ283" s="161"/>
      <c r="AK283" s="161"/>
      <c r="AL283" s="161"/>
      <c r="AM283" s="161"/>
      <c r="AN283" s="161"/>
      <c r="AO283" s="161"/>
      <c r="AP283" s="161"/>
      <c r="AQ283" s="161"/>
      <c r="AR283" s="161"/>
      <c r="AS283" s="161"/>
      <c r="AT283" s="161"/>
      <c r="AU283" s="161"/>
      <c r="AV283" s="161"/>
      <c r="AW283" s="160"/>
      <c r="AX283" s="161"/>
      <c r="AY283" s="161"/>
      <c r="AZ283" s="161"/>
      <c r="BA283" s="161"/>
      <c r="BB283" s="161"/>
      <c r="BC283" s="161"/>
      <c r="BD283" s="161"/>
      <c r="BE283" s="161"/>
      <c r="BF283" s="160" t="str">
        <f t="shared" si="291"/>
        <v/>
      </c>
      <c r="BG283" s="160"/>
      <c r="BH283" s="160"/>
      <c r="BI283" s="160"/>
      <c r="BJ283" s="160"/>
      <c r="BK283" s="160"/>
      <c r="BL283" s="162">
        <f t="shared" si="242"/>
        <v>1</v>
      </c>
      <c r="BM283" s="257"/>
      <c r="BN283" s="163"/>
      <c r="BO283" s="211" t="str">
        <f t="shared" si="243"/>
        <v>עמותת הכוריאוגרפים (ע"ר)יוצרים עצמאיים במחול</v>
      </c>
      <c r="BP283" s="125">
        <f t="shared" si="244"/>
        <v>1</v>
      </c>
      <c r="BQ283" s="164">
        <v>0</v>
      </c>
      <c r="BR283" s="164">
        <v>1</v>
      </c>
      <c r="BS283" s="149">
        <f t="shared" si="245"/>
        <v>1</v>
      </c>
      <c r="BT283" s="149">
        <f t="shared" si="246"/>
        <v>1</v>
      </c>
      <c r="BU283" s="149">
        <f t="shared" si="247"/>
        <v>1</v>
      </c>
      <c r="BV283" s="149">
        <f t="shared" si="248"/>
        <v>1</v>
      </c>
      <c r="BW283" s="149">
        <f t="shared" si="249"/>
        <v>1</v>
      </c>
      <c r="BX283" s="149">
        <f t="shared" si="250"/>
        <v>1</v>
      </c>
      <c r="BY283" s="149">
        <f t="shared" si="251"/>
        <v>1</v>
      </c>
      <c r="BZ283" s="149">
        <f t="shared" si="252"/>
        <v>1</v>
      </c>
      <c r="CA283" s="149">
        <f t="shared" si="253"/>
        <v>1</v>
      </c>
      <c r="CB283" s="149">
        <f t="shared" si="254"/>
        <v>1</v>
      </c>
      <c r="CC283" s="149">
        <f t="shared" si="255"/>
        <v>1</v>
      </c>
      <c r="CD283" s="149">
        <f t="shared" si="256"/>
        <v>1</v>
      </c>
      <c r="CE283" s="149">
        <f t="shared" si="257"/>
        <v>1</v>
      </c>
      <c r="CF283" s="149">
        <f t="shared" si="258"/>
        <v>1</v>
      </c>
      <c r="CG283" s="149">
        <f t="shared" si="259"/>
        <v>1</v>
      </c>
      <c r="CH283" s="149">
        <f t="shared" si="260"/>
        <v>1</v>
      </c>
      <c r="CI283" s="149">
        <f t="shared" si="261"/>
        <v>1</v>
      </c>
      <c r="CJ283" s="149">
        <f t="shared" si="262"/>
        <v>1</v>
      </c>
      <c r="CK283" s="149">
        <f t="shared" si="263"/>
        <v>1</v>
      </c>
      <c r="CL283" s="149">
        <f t="shared" si="264"/>
        <v>1</v>
      </c>
      <c r="CM283" s="149">
        <f t="shared" si="265"/>
        <v>1</v>
      </c>
      <c r="CN283" s="149">
        <f t="shared" si="266"/>
        <v>1</v>
      </c>
      <c r="CO283" s="149">
        <f t="shared" si="267"/>
        <v>1</v>
      </c>
      <c r="CP283" s="149">
        <f t="shared" si="268"/>
        <v>1</v>
      </c>
      <c r="CQ283" s="149">
        <f t="shared" si="269"/>
        <v>1</v>
      </c>
      <c r="CR283" s="149">
        <f t="shared" si="270"/>
        <v>1</v>
      </c>
      <c r="CS283" s="149">
        <f t="shared" si="271"/>
        <v>1</v>
      </c>
      <c r="CT283" s="149">
        <f t="shared" si="272"/>
        <v>1</v>
      </c>
      <c r="CU283" s="149">
        <f t="shared" si="273"/>
        <v>1</v>
      </c>
      <c r="CV283" s="149">
        <f t="shared" si="274"/>
        <v>1</v>
      </c>
      <c r="CW283" s="149">
        <f t="shared" si="275"/>
        <v>1</v>
      </c>
      <c r="CX283" s="149">
        <f t="shared" si="276"/>
        <v>1</v>
      </c>
      <c r="CY283" s="149">
        <f t="shared" si="277"/>
        <v>1</v>
      </c>
      <c r="CZ283" s="149">
        <f t="shared" si="278"/>
        <v>1</v>
      </c>
      <c r="DA283" s="149">
        <f t="shared" si="279"/>
        <v>1</v>
      </c>
      <c r="DB283" s="149">
        <f t="shared" si="280"/>
        <v>1</v>
      </c>
      <c r="DG283" s="125">
        <f t="shared" si="296"/>
        <v>1</v>
      </c>
      <c r="DH283" s="125">
        <f t="shared" si="295"/>
        <v>2</v>
      </c>
      <c r="DI283" s="125">
        <f t="shared" si="295"/>
        <v>3</v>
      </c>
      <c r="DJ283" s="125">
        <f t="shared" si="295"/>
        <v>4</v>
      </c>
      <c r="DK283" s="125">
        <f t="shared" si="295"/>
        <v>5</v>
      </c>
      <c r="DL283" s="125">
        <f t="shared" si="295"/>
        <v>6</v>
      </c>
      <c r="DM283" s="125">
        <f t="shared" si="295"/>
        <v>7</v>
      </c>
      <c r="DN283" s="125">
        <f t="shared" si="295"/>
        <v>8</v>
      </c>
      <c r="DO283" s="125">
        <f t="shared" si="295"/>
        <v>9</v>
      </c>
      <c r="DP283" s="125">
        <f t="shared" si="295"/>
        <v>10</v>
      </c>
      <c r="DS283" s="137"/>
      <c r="DT283" s="137"/>
      <c r="DU283" s="137"/>
      <c r="DV283" s="137" t="b">
        <f t="shared" si="281"/>
        <v>0</v>
      </c>
      <c r="DW283" s="137" t="b">
        <f t="shared" si="282"/>
        <v>0</v>
      </c>
      <c r="DX283" s="137" t="b">
        <f t="shared" si="283"/>
        <v>1</v>
      </c>
      <c r="EB283" s="131">
        <f t="shared" si="292"/>
        <v>1</v>
      </c>
      <c r="EC283" s="137" t="b">
        <f t="shared" si="284"/>
        <v>0</v>
      </c>
      <c r="ED283" s="137" t="b">
        <f t="shared" si="285"/>
        <v>0</v>
      </c>
      <c r="EE283" s="137" t="b">
        <f t="shared" si="286"/>
        <v>1</v>
      </c>
      <c r="EF283" s="137"/>
      <c r="EG283" s="137"/>
      <c r="EH283" s="137"/>
      <c r="EI283" s="137"/>
      <c r="EJ283" s="137">
        <f t="shared" si="293"/>
        <v>1</v>
      </c>
      <c r="EK283" s="125">
        <f t="shared" si="287"/>
        <v>0</v>
      </c>
      <c r="EL283" s="125">
        <f t="shared" si="288"/>
        <v>0</v>
      </c>
    </row>
    <row r="284" spans="2:142" ht="15.75" x14ac:dyDescent="0.2">
      <c r="B284" s="160">
        <f t="shared" si="289"/>
        <v>254</v>
      </c>
      <c r="C284" s="290">
        <v>1001348124</v>
      </c>
      <c r="D284" s="290">
        <v>1001276699</v>
      </c>
      <c r="E284" s="290">
        <v>40000564</v>
      </c>
      <c r="F284" s="118">
        <f>IF(OR(J284="",H284=""),"",VLOOKUP(J284,'הזנה לסיווג רשויות'!$B$2:$D$301,2,0))</f>
        <v>20000201</v>
      </c>
      <c r="G284" s="118" t="str">
        <f>IF(OR(J284="",H284=""),"",VLOOKUP(J284,'הזנה לסיווג רשויות'!$B$2:$D$301,3,0))</f>
        <v>תל אביב -יפו</v>
      </c>
      <c r="H284" s="293" t="s">
        <v>731</v>
      </c>
      <c r="I284" s="201" t="s">
        <v>379</v>
      </c>
      <c r="J284" s="294">
        <v>5000</v>
      </c>
      <c r="K284" s="161">
        <v>0</v>
      </c>
      <c r="L284" s="161">
        <v>1</v>
      </c>
      <c r="M284" s="161">
        <v>0</v>
      </c>
      <c r="N284" s="161">
        <v>0</v>
      </c>
      <c r="O284" s="161">
        <v>1</v>
      </c>
      <c r="P284" s="161">
        <v>1</v>
      </c>
      <c r="Q284" s="161">
        <v>1</v>
      </c>
      <c r="R284" s="201">
        <v>264047</v>
      </c>
      <c r="S284" s="201">
        <v>160412</v>
      </c>
      <c r="T284" s="160">
        <f>IF(G284="","",IFERROR(IF(S284/R284&gt;'פרמטרים לקריטריונים'!$C$20,1,0),0))</f>
        <v>1</v>
      </c>
      <c r="U284" s="296">
        <v>116411</v>
      </c>
      <c r="V284" s="160">
        <f>IF(G284="","",IFERROR(IF(U284/R284&gt;'פרמטרים לקריטריונים'!$C$21,1,IF(AND(I284=$BW$5,U284/R284&gt;'פרמטרים לקריטריונים'!$C$22),1,0)),0))</f>
        <v>1</v>
      </c>
      <c r="W284" s="161">
        <v>1</v>
      </c>
      <c r="X284" s="161">
        <v>1</v>
      </c>
      <c r="Y284" s="299">
        <v>150000</v>
      </c>
      <c r="Z284" s="300">
        <v>150000</v>
      </c>
      <c r="AA284" s="161">
        <f t="shared" si="290"/>
        <v>1</v>
      </c>
      <c r="AB284" s="161"/>
      <c r="AC284" s="161"/>
      <c r="AD284" s="161"/>
      <c r="AE284" s="161"/>
      <c r="AF284" s="161"/>
      <c r="AG284" s="161"/>
      <c r="AH284" s="161"/>
      <c r="AI284" s="161"/>
      <c r="AJ284" s="161"/>
      <c r="AK284" s="161"/>
      <c r="AL284" s="161"/>
      <c r="AM284" s="161"/>
      <c r="AN284" s="161"/>
      <c r="AO284" s="161"/>
      <c r="AP284" s="161"/>
      <c r="AQ284" s="161"/>
      <c r="AR284" s="161"/>
      <c r="AS284" s="161"/>
      <c r="AT284" s="161"/>
      <c r="AU284" s="161"/>
      <c r="AV284" s="161"/>
      <c r="AW284" s="160"/>
      <c r="AX284" s="161"/>
      <c r="AY284" s="161"/>
      <c r="AZ284" s="161"/>
      <c r="BA284" s="161"/>
      <c r="BB284" s="161"/>
      <c r="BC284" s="161"/>
      <c r="BD284" s="161"/>
      <c r="BE284" s="161"/>
      <c r="BF284" s="160" t="str">
        <f t="shared" si="291"/>
        <v/>
      </c>
      <c r="BG284" s="160"/>
      <c r="BH284" s="160"/>
      <c r="BI284" s="160"/>
      <c r="BJ284" s="160"/>
      <c r="BK284" s="160"/>
      <c r="BL284" s="162">
        <f t="shared" si="242"/>
        <v>1</v>
      </c>
      <c r="BM284" s="257"/>
      <c r="BN284" s="163"/>
      <c r="BO284" s="211" t="str">
        <f t="shared" si="243"/>
        <v>עמותת הכוריאוגרפים (ע"ר)יוצרים עצמאיים במחול</v>
      </c>
      <c r="BP284" s="125">
        <f t="shared" si="244"/>
        <v>1</v>
      </c>
      <c r="BQ284" s="164">
        <v>0</v>
      </c>
      <c r="BR284" s="164">
        <v>1</v>
      </c>
      <c r="BS284" s="149">
        <f t="shared" si="245"/>
        <v>1</v>
      </c>
      <c r="BT284" s="149">
        <f t="shared" si="246"/>
        <v>1</v>
      </c>
      <c r="BU284" s="149">
        <f t="shared" si="247"/>
        <v>1</v>
      </c>
      <c r="BV284" s="149">
        <f t="shared" si="248"/>
        <v>1</v>
      </c>
      <c r="BW284" s="149">
        <f t="shared" si="249"/>
        <v>1</v>
      </c>
      <c r="BX284" s="149">
        <f t="shared" si="250"/>
        <v>1</v>
      </c>
      <c r="BY284" s="149">
        <f t="shared" si="251"/>
        <v>1</v>
      </c>
      <c r="BZ284" s="149">
        <f t="shared" si="252"/>
        <v>1</v>
      </c>
      <c r="CA284" s="149">
        <f t="shared" si="253"/>
        <v>1</v>
      </c>
      <c r="CB284" s="149">
        <f t="shared" si="254"/>
        <v>1</v>
      </c>
      <c r="CC284" s="149">
        <f t="shared" si="255"/>
        <v>1</v>
      </c>
      <c r="CD284" s="149">
        <f t="shared" si="256"/>
        <v>1</v>
      </c>
      <c r="CE284" s="149">
        <f t="shared" si="257"/>
        <v>1</v>
      </c>
      <c r="CF284" s="149">
        <f t="shared" si="258"/>
        <v>1</v>
      </c>
      <c r="CG284" s="149">
        <f t="shared" si="259"/>
        <v>1</v>
      </c>
      <c r="CH284" s="149">
        <f t="shared" si="260"/>
        <v>1</v>
      </c>
      <c r="CI284" s="149">
        <f t="shared" si="261"/>
        <v>1</v>
      </c>
      <c r="CJ284" s="149">
        <f t="shared" si="262"/>
        <v>1</v>
      </c>
      <c r="CK284" s="149">
        <f t="shared" si="263"/>
        <v>1</v>
      </c>
      <c r="CL284" s="149">
        <f t="shared" si="264"/>
        <v>1</v>
      </c>
      <c r="CM284" s="149">
        <f t="shared" si="265"/>
        <v>1</v>
      </c>
      <c r="CN284" s="149">
        <f t="shared" si="266"/>
        <v>1</v>
      </c>
      <c r="CO284" s="149">
        <f t="shared" si="267"/>
        <v>1</v>
      </c>
      <c r="CP284" s="149">
        <f t="shared" si="268"/>
        <v>1</v>
      </c>
      <c r="CQ284" s="149">
        <f t="shared" si="269"/>
        <v>1</v>
      </c>
      <c r="CR284" s="149">
        <f t="shared" si="270"/>
        <v>1</v>
      </c>
      <c r="CS284" s="149">
        <f t="shared" si="271"/>
        <v>1</v>
      </c>
      <c r="CT284" s="149">
        <f t="shared" si="272"/>
        <v>1</v>
      </c>
      <c r="CU284" s="149">
        <f t="shared" si="273"/>
        <v>1</v>
      </c>
      <c r="CV284" s="149">
        <f t="shared" si="274"/>
        <v>1</v>
      </c>
      <c r="CW284" s="149">
        <f t="shared" si="275"/>
        <v>1</v>
      </c>
      <c r="CX284" s="149">
        <f t="shared" si="276"/>
        <v>1</v>
      </c>
      <c r="CY284" s="149">
        <f t="shared" si="277"/>
        <v>1</v>
      </c>
      <c r="CZ284" s="149">
        <f t="shared" si="278"/>
        <v>1</v>
      </c>
      <c r="DA284" s="149">
        <f t="shared" si="279"/>
        <v>1</v>
      </c>
      <c r="DB284" s="149">
        <f t="shared" si="280"/>
        <v>1</v>
      </c>
      <c r="DG284" s="125">
        <f t="shared" si="296"/>
        <v>1</v>
      </c>
      <c r="DH284" s="125">
        <f t="shared" si="295"/>
        <v>2</v>
      </c>
      <c r="DI284" s="125">
        <f t="shared" si="295"/>
        <v>3</v>
      </c>
      <c r="DJ284" s="125">
        <f t="shared" si="295"/>
        <v>4</v>
      </c>
      <c r="DK284" s="125">
        <f t="shared" si="295"/>
        <v>5</v>
      </c>
      <c r="DL284" s="125">
        <f t="shared" si="295"/>
        <v>6</v>
      </c>
      <c r="DM284" s="125">
        <f t="shared" si="295"/>
        <v>7</v>
      </c>
      <c r="DN284" s="125">
        <f t="shared" si="295"/>
        <v>8</v>
      </c>
      <c r="DO284" s="125">
        <f t="shared" si="295"/>
        <v>9</v>
      </c>
      <c r="DP284" s="125">
        <f t="shared" si="295"/>
        <v>10</v>
      </c>
      <c r="DS284" s="137"/>
      <c r="DT284" s="137"/>
      <c r="DU284" s="137"/>
      <c r="DV284" s="137" t="b">
        <f t="shared" si="281"/>
        <v>0</v>
      </c>
      <c r="DW284" s="137" t="b">
        <f t="shared" si="282"/>
        <v>0</v>
      </c>
      <c r="DX284" s="137" t="b">
        <f t="shared" si="283"/>
        <v>1</v>
      </c>
      <c r="EB284" s="131">
        <f t="shared" si="292"/>
        <v>1</v>
      </c>
      <c r="EC284" s="137" t="b">
        <f t="shared" si="284"/>
        <v>0</v>
      </c>
      <c r="ED284" s="137" t="b">
        <f t="shared" si="285"/>
        <v>0</v>
      </c>
      <c r="EE284" s="137" t="b">
        <f t="shared" si="286"/>
        <v>1</v>
      </c>
      <c r="EF284" s="137"/>
      <c r="EG284" s="137"/>
      <c r="EH284" s="137"/>
      <c r="EI284" s="137"/>
      <c r="EJ284" s="137">
        <f t="shared" si="293"/>
        <v>1</v>
      </c>
      <c r="EK284" s="125">
        <f t="shared" si="287"/>
        <v>0</v>
      </c>
      <c r="EL284" s="125">
        <f t="shared" si="288"/>
        <v>0</v>
      </c>
    </row>
    <row r="285" spans="2:142" ht="15.75" x14ac:dyDescent="0.2">
      <c r="B285" s="160">
        <f t="shared" si="289"/>
        <v>255</v>
      </c>
      <c r="C285" s="290">
        <v>1001348125</v>
      </c>
      <c r="D285" s="290">
        <v>1001276698</v>
      </c>
      <c r="E285" s="290">
        <v>40000564</v>
      </c>
      <c r="F285" s="118">
        <f>IF(OR(J285="",H285=""),"",VLOOKUP(J285,'הזנה לסיווג רשויות'!$B$2:$D$301,2,0))</f>
        <v>20000201</v>
      </c>
      <c r="G285" s="118" t="str">
        <f>IF(OR(J285="",H285=""),"",VLOOKUP(J285,'הזנה לסיווג רשויות'!$B$2:$D$301,3,0))</f>
        <v>תל אביב -יפו</v>
      </c>
      <c r="H285" s="293" t="s">
        <v>731</v>
      </c>
      <c r="I285" s="201" t="s">
        <v>379</v>
      </c>
      <c r="J285" s="294">
        <v>5000</v>
      </c>
      <c r="K285" s="161">
        <v>0</v>
      </c>
      <c r="L285" s="161">
        <v>1</v>
      </c>
      <c r="M285" s="161">
        <v>0</v>
      </c>
      <c r="N285" s="161">
        <v>0</v>
      </c>
      <c r="O285" s="161">
        <v>1</v>
      </c>
      <c r="P285" s="161">
        <v>1</v>
      </c>
      <c r="Q285" s="161">
        <v>1</v>
      </c>
      <c r="R285" s="201">
        <v>67768</v>
      </c>
      <c r="S285" s="201">
        <v>42161</v>
      </c>
      <c r="T285" s="160">
        <f>IF(G285="","",IFERROR(IF(S285/R285&gt;'פרמטרים לקריטריונים'!$C$20,1,0),0))</f>
        <v>1</v>
      </c>
      <c r="U285" s="296">
        <v>30161</v>
      </c>
      <c r="V285" s="160">
        <f>IF(G285="","",IFERROR(IF(U285/R285&gt;'פרמטרים לקריטריונים'!$C$21,1,IF(AND(I285=$BW$5,U285/R285&gt;'פרמטרים לקריטריונים'!$C$22),1,0)),0))</f>
        <v>1</v>
      </c>
      <c r="W285" s="161">
        <v>1</v>
      </c>
      <c r="X285" s="161">
        <v>1</v>
      </c>
      <c r="Y285" s="299">
        <v>150000</v>
      </c>
      <c r="Z285" s="300">
        <v>150000</v>
      </c>
      <c r="AA285" s="161">
        <f t="shared" si="290"/>
        <v>1</v>
      </c>
      <c r="AB285" s="161"/>
      <c r="AC285" s="161"/>
      <c r="AD285" s="161"/>
      <c r="AE285" s="161"/>
      <c r="AF285" s="161"/>
      <c r="AG285" s="161"/>
      <c r="AH285" s="161"/>
      <c r="AI285" s="161"/>
      <c r="AJ285" s="161"/>
      <c r="AK285" s="161"/>
      <c r="AL285" s="161"/>
      <c r="AM285" s="161"/>
      <c r="AN285" s="161"/>
      <c r="AO285" s="161"/>
      <c r="AP285" s="161"/>
      <c r="AQ285" s="161"/>
      <c r="AR285" s="161"/>
      <c r="AS285" s="161"/>
      <c r="AT285" s="161"/>
      <c r="AU285" s="161"/>
      <c r="AV285" s="161"/>
      <c r="AW285" s="160"/>
      <c r="AX285" s="161"/>
      <c r="AY285" s="161"/>
      <c r="AZ285" s="161"/>
      <c r="BA285" s="161"/>
      <c r="BB285" s="161"/>
      <c r="BC285" s="161"/>
      <c r="BD285" s="161"/>
      <c r="BE285" s="161"/>
      <c r="BF285" s="160" t="str">
        <f t="shared" si="291"/>
        <v/>
      </c>
      <c r="BG285" s="160"/>
      <c r="BH285" s="160"/>
      <c r="BI285" s="160"/>
      <c r="BJ285" s="160"/>
      <c r="BK285" s="160"/>
      <c r="BL285" s="162">
        <f t="shared" si="242"/>
        <v>1</v>
      </c>
      <c r="BM285" s="257"/>
      <c r="BN285" s="163"/>
      <c r="BO285" s="211" t="str">
        <f t="shared" si="243"/>
        <v>עמותת הכוריאוגרפים (ע"ר)יוצרים עצמאיים במחול</v>
      </c>
      <c r="BP285" s="125">
        <f t="shared" si="244"/>
        <v>1</v>
      </c>
      <c r="BQ285" s="164">
        <v>0</v>
      </c>
      <c r="BR285" s="164">
        <v>1</v>
      </c>
      <c r="BS285" s="149">
        <f t="shared" si="245"/>
        <v>1</v>
      </c>
      <c r="BT285" s="149">
        <f t="shared" si="246"/>
        <v>1</v>
      </c>
      <c r="BU285" s="149">
        <f t="shared" si="247"/>
        <v>1</v>
      </c>
      <c r="BV285" s="149">
        <f t="shared" si="248"/>
        <v>1</v>
      </c>
      <c r="BW285" s="149">
        <f t="shared" si="249"/>
        <v>1</v>
      </c>
      <c r="BX285" s="149">
        <f t="shared" si="250"/>
        <v>1</v>
      </c>
      <c r="BY285" s="149">
        <f t="shared" si="251"/>
        <v>1</v>
      </c>
      <c r="BZ285" s="149">
        <f t="shared" si="252"/>
        <v>1</v>
      </c>
      <c r="CA285" s="149">
        <f t="shared" si="253"/>
        <v>1</v>
      </c>
      <c r="CB285" s="149">
        <f t="shared" si="254"/>
        <v>1</v>
      </c>
      <c r="CC285" s="149">
        <f t="shared" si="255"/>
        <v>1</v>
      </c>
      <c r="CD285" s="149">
        <f t="shared" si="256"/>
        <v>1</v>
      </c>
      <c r="CE285" s="149">
        <f t="shared" si="257"/>
        <v>1</v>
      </c>
      <c r="CF285" s="149">
        <f t="shared" si="258"/>
        <v>1</v>
      </c>
      <c r="CG285" s="149">
        <f t="shared" si="259"/>
        <v>1</v>
      </c>
      <c r="CH285" s="149">
        <f t="shared" si="260"/>
        <v>1</v>
      </c>
      <c r="CI285" s="149">
        <f t="shared" si="261"/>
        <v>1</v>
      </c>
      <c r="CJ285" s="149">
        <f t="shared" si="262"/>
        <v>1</v>
      </c>
      <c r="CK285" s="149">
        <f t="shared" si="263"/>
        <v>1</v>
      </c>
      <c r="CL285" s="149">
        <f t="shared" si="264"/>
        <v>1</v>
      </c>
      <c r="CM285" s="149">
        <f t="shared" si="265"/>
        <v>1</v>
      </c>
      <c r="CN285" s="149">
        <f t="shared" si="266"/>
        <v>1</v>
      </c>
      <c r="CO285" s="149">
        <f t="shared" si="267"/>
        <v>1</v>
      </c>
      <c r="CP285" s="149">
        <f t="shared" si="268"/>
        <v>1</v>
      </c>
      <c r="CQ285" s="149">
        <f t="shared" si="269"/>
        <v>1</v>
      </c>
      <c r="CR285" s="149">
        <f t="shared" si="270"/>
        <v>1</v>
      </c>
      <c r="CS285" s="149">
        <f t="shared" si="271"/>
        <v>1</v>
      </c>
      <c r="CT285" s="149">
        <f t="shared" si="272"/>
        <v>1</v>
      </c>
      <c r="CU285" s="149">
        <f t="shared" si="273"/>
        <v>1</v>
      </c>
      <c r="CV285" s="149">
        <f t="shared" si="274"/>
        <v>1</v>
      </c>
      <c r="CW285" s="149">
        <f t="shared" si="275"/>
        <v>1</v>
      </c>
      <c r="CX285" s="149">
        <f t="shared" si="276"/>
        <v>1</v>
      </c>
      <c r="CY285" s="149">
        <f t="shared" si="277"/>
        <v>1</v>
      </c>
      <c r="CZ285" s="149">
        <f t="shared" si="278"/>
        <v>1</v>
      </c>
      <c r="DA285" s="149">
        <f t="shared" si="279"/>
        <v>1</v>
      </c>
      <c r="DB285" s="149">
        <f t="shared" si="280"/>
        <v>1</v>
      </c>
      <c r="DG285" s="125">
        <f t="shared" si="296"/>
        <v>1</v>
      </c>
      <c r="DH285" s="125">
        <f t="shared" si="295"/>
        <v>2</v>
      </c>
      <c r="DI285" s="125">
        <f t="shared" si="295"/>
        <v>3</v>
      </c>
      <c r="DJ285" s="125">
        <f t="shared" si="295"/>
        <v>4</v>
      </c>
      <c r="DK285" s="125">
        <f t="shared" si="295"/>
        <v>5</v>
      </c>
      <c r="DL285" s="125">
        <f t="shared" si="295"/>
        <v>6</v>
      </c>
      <c r="DM285" s="125">
        <f t="shared" si="295"/>
        <v>7</v>
      </c>
      <c r="DN285" s="125">
        <f t="shared" si="295"/>
        <v>8</v>
      </c>
      <c r="DO285" s="125">
        <f t="shared" si="295"/>
        <v>9</v>
      </c>
      <c r="DP285" s="125">
        <f t="shared" si="295"/>
        <v>10</v>
      </c>
      <c r="DS285" s="137"/>
      <c r="DT285" s="137"/>
      <c r="DU285" s="137"/>
      <c r="DV285" s="137" t="b">
        <f t="shared" si="281"/>
        <v>0</v>
      </c>
      <c r="DW285" s="137" t="b">
        <f t="shared" si="282"/>
        <v>0</v>
      </c>
      <c r="DX285" s="137" t="b">
        <f t="shared" si="283"/>
        <v>1</v>
      </c>
      <c r="EB285" s="131">
        <f t="shared" si="292"/>
        <v>1</v>
      </c>
      <c r="EC285" s="137" t="b">
        <f t="shared" si="284"/>
        <v>0</v>
      </c>
      <c r="ED285" s="137" t="b">
        <f t="shared" si="285"/>
        <v>0</v>
      </c>
      <c r="EE285" s="137" t="b">
        <f t="shared" si="286"/>
        <v>1</v>
      </c>
      <c r="EF285" s="137"/>
      <c r="EG285" s="137"/>
      <c r="EH285" s="137"/>
      <c r="EI285" s="137"/>
      <c r="EJ285" s="137">
        <f t="shared" si="293"/>
        <v>1</v>
      </c>
      <c r="EK285" s="125">
        <f t="shared" si="287"/>
        <v>0</v>
      </c>
      <c r="EL285" s="125">
        <f t="shared" si="288"/>
        <v>0</v>
      </c>
    </row>
    <row r="286" spans="2:142" ht="15.75" x14ac:dyDescent="0.2">
      <c r="B286" s="160">
        <f t="shared" si="289"/>
        <v>256</v>
      </c>
      <c r="C286" s="290">
        <v>1001348128</v>
      </c>
      <c r="D286" s="290">
        <v>1001273596</v>
      </c>
      <c r="E286" s="290">
        <v>40000564</v>
      </c>
      <c r="F286" s="118">
        <f>IF(OR(J286="",H286=""),"",VLOOKUP(J286,'הזנה לסיווג רשויות'!$B$2:$D$301,2,0))</f>
        <v>20000201</v>
      </c>
      <c r="G286" s="118" t="str">
        <f>IF(OR(J286="",H286=""),"",VLOOKUP(J286,'הזנה לסיווג רשויות'!$B$2:$D$301,3,0))</f>
        <v>תל אביב -יפו</v>
      </c>
      <c r="H286" s="293" t="s">
        <v>731</v>
      </c>
      <c r="I286" s="201" t="s">
        <v>379</v>
      </c>
      <c r="J286" s="294">
        <v>5000</v>
      </c>
      <c r="K286" s="161">
        <v>0</v>
      </c>
      <c r="L286" s="161">
        <v>1</v>
      </c>
      <c r="M286" s="161">
        <v>0</v>
      </c>
      <c r="N286" s="161">
        <v>0</v>
      </c>
      <c r="O286" s="161">
        <v>1</v>
      </c>
      <c r="P286" s="161">
        <v>1</v>
      </c>
      <c r="Q286" s="161">
        <v>1</v>
      </c>
      <c r="R286" s="201">
        <v>114212</v>
      </c>
      <c r="S286" s="201">
        <v>55052</v>
      </c>
      <c r="T286" s="160">
        <f>IF(G286="","",IFERROR(IF(S286/R286&gt;'פרמטרים לקריטריונים'!$C$20,1,0),0))</f>
        <v>1</v>
      </c>
      <c r="U286" s="296">
        <v>29652</v>
      </c>
      <c r="V286" s="160">
        <f>IF(G286="","",IFERROR(IF(U286/R286&gt;'פרמטרים לקריטריונים'!$C$21,1,IF(AND(I286=$BW$5,U286/R286&gt;'פרמטרים לקריטריונים'!$C$22),1,0)),0))</f>
        <v>1</v>
      </c>
      <c r="W286" s="161">
        <v>1</v>
      </c>
      <c r="X286" s="161">
        <v>1</v>
      </c>
      <c r="Y286" s="299">
        <v>150000</v>
      </c>
      <c r="Z286" s="300">
        <v>150000</v>
      </c>
      <c r="AA286" s="161">
        <f t="shared" si="290"/>
        <v>1</v>
      </c>
      <c r="AB286" s="161"/>
      <c r="AC286" s="161"/>
      <c r="AD286" s="161"/>
      <c r="AE286" s="161"/>
      <c r="AF286" s="161"/>
      <c r="AG286" s="161"/>
      <c r="AH286" s="161"/>
      <c r="AI286" s="161"/>
      <c r="AJ286" s="161"/>
      <c r="AK286" s="161"/>
      <c r="AL286" s="161"/>
      <c r="AM286" s="161"/>
      <c r="AN286" s="161"/>
      <c r="AO286" s="161"/>
      <c r="AP286" s="161"/>
      <c r="AQ286" s="161"/>
      <c r="AR286" s="161"/>
      <c r="AS286" s="161"/>
      <c r="AT286" s="161"/>
      <c r="AU286" s="161"/>
      <c r="AV286" s="161"/>
      <c r="AW286" s="160"/>
      <c r="AX286" s="161"/>
      <c r="AY286" s="161"/>
      <c r="AZ286" s="161"/>
      <c r="BA286" s="161"/>
      <c r="BB286" s="161"/>
      <c r="BC286" s="161"/>
      <c r="BD286" s="161"/>
      <c r="BE286" s="161"/>
      <c r="BF286" s="160" t="str">
        <f t="shared" si="291"/>
        <v/>
      </c>
      <c r="BG286" s="160"/>
      <c r="BH286" s="160"/>
      <c r="BI286" s="160"/>
      <c r="BJ286" s="160"/>
      <c r="BK286" s="160"/>
      <c r="BL286" s="162">
        <f t="shared" si="242"/>
        <v>1</v>
      </c>
      <c r="BM286" s="257"/>
      <c r="BN286" s="163"/>
      <c r="BO286" s="211" t="str">
        <f t="shared" si="243"/>
        <v>עמותת הכוריאוגרפים (ע"ר)יוצרים עצמאיים במחול</v>
      </c>
      <c r="BP286" s="125">
        <f t="shared" si="244"/>
        <v>1</v>
      </c>
      <c r="BQ286" s="164">
        <v>0</v>
      </c>
      <c r="BR286" s="164">
        <v>1</v>
      </c>
      <c r="BS286" s="149">
        <f t="shared" si="245"/>
        <v>1</v>
      </c>
      <c r="BT286" s="149">
        <f t="shared" si="246"/>
        <v>1</v>
      </c>
      <c r="BU286" s="149">
        <f t="shared" si="247"/>
        <v>1</v>
      </c>
      <c r="BV286" s="149">
        <f t="shared" si="248"/>
        <v>1</v>
      </c>
      <c r="BW286" s="149">
        <f t="shared" si="249"/>
        <v>1</v>
      </c>
      <c r="BX286" s="149">
        <f t="shared" si="250"/>
        <v>1</v>
      </c>
      <c r="BY286" s="149">
        <f t="shared" si="251"/>
        <v>1</v>
      </c>
      <c r="BZ286" s="149">
        <f t="shared" si="252"/>
        <v>1</v>
      </c>
      <c r="CA286" s="149">
        <f t="shared" si="253"/>
        <v>1</v>
      </c>
      <c r="CB286" s="149">
        <f t="shared" si="254"/>
        <v>1</v>
      </c>
      <c r="CC286" s="149">
        <f t="shared" si="255"/>
        <v>1</v>
      </c>
      <c r="CD286" s="149">
        <f t="shared" si="256"/>
        <v>1</v>
      </c>
      <c r="CE286" s="149">
        <f t="shared" si="257"/>
        <v>1</v>
      </c>
      <c r="CF286" s="149">
        <f t="shared" si="258"/>
        <v>1</v>
      </c>
      <c r="CG286" s="149">
        <f t="shared" si="259"/>
        <v>1</v>
      </c>
      <c r="CH286" s="149">
        <f t="shared" si="260"/>
        <v>1</v>
      </c>
      <c r="CI286" s="149">
        <f t="shared" si="261"/>
        <v>1</v>
      </c>
      <c r="CJ286" s="149">
        <f t="shared" si="262"/>
        <v>1</v>
      </c>
      <c r="CK286" s="149">
        <f t="shared" si="263"/>
        <v>1</v>
      </c>
      <c r="CL286" s="149">
        <f t="shared" si="264"/>
        <v>1</v>
      </c>
      <c r="CM286" s="149">
        <f t="shared" si="265"/>
        <v>1</v>
      </c>
      <c r="CN286" s="149">
        <f t="shared" si="266"/>
        <v>1</v>
      </c>
      <c r="CO286" s="149">
        <f t="shared" si="267"/>
        <v>1</v>
      </c>
      <c r="CP286" s="149">
        <f t="shared" si="268"/>
        <v>1</v>
      </c>
      <c r="CQ286" s="149">
        <f t="shared" si="269"/>
        <v>1</v>
      </c>
      <c r="CR286" s="149">
        <f t="shared" si="270"/>
        <v>1</v>
      </c>
      <c r="CS286" s="149">
        <f t="shared" si="271"/>
        <v>1</v>
      </c>
      <c r="CT286" s="149">
        <f t="shared" si="272"/>
        <v>1</v>
      </c>
      <c r="CU286" s="149">
        <f t="shared" si="273"/>
        <v>1</v>
      </c>
      <c r="CV286" s="149">
        <f t="shared" si="274"/>
        <v>1</v>
      </c>
      <c r="CW286" s="149">
        <f t="shared" si="275"/>
        <v>1</v>
      </c>
      <c r="CX286" s="149">
        <f t="shared" si="276"/>
        <v>1</v>
      </c>
      <c r="CY286" s="149">
        <f t="shared" si="277"/>
        <v>1</v>
      </c>
      <c r="CZ286" s="149">
        <f t="shared" si="278"/>
        <v>1</v>
      </c>
      <c r="DA286" s="149">
        <f t="shared" si="279"/>
        <v>1</v>
      </c>
      <c r="DB286" s="149">
        <f t="shared" si="280"/>
        <v>1</v>
      </c>
      <c r="DG286" s="125">
        <f t="shared" si="296"/>
        <v>1</v>
      </c>
      <c r="DH286" s="125">
        <f t="shared" si="295"/>
        <v>2</v>
      </c>
      <c r="DI286" s="125">
        <f t="shared" si="295"/>
        <v>3</v>
      </c>
      <c r="DJ286" s="125">
        <f t="shared" si="295"/>
        <v>4</v>
      </c>
      <c r="DK286" s="125">
        <f t="shared" si="295"/>
        <v>5</v>
      </c>
      <c r="DL286" s="125">
        <f t="shared" si="295"/>
        <v>6</v>
      </c>
      <c r="DM286" s="125">
        <f t="shared" si="295"/>
        <v>7</v>
      </c>
      <c r="DN286" s="125">
        <f t="shared" si="295"/>
        <v>8</v>
      </c>
      <c r="DO286" s="125">
        <f t="shared" si="295"/>
        <v>9</v>
      </c>
      <c r="DP286" s="125">
        <f t="shared" si="295"/>
        <v>10</v>
      </c>
      <c r="DS286" s="137"/>
      <c r="DT286" s="137"/>
      <c r="DU286" s="137"/>
      <c r="DV286" s="137" t="b">
        <f t="shared" si="281"/>
        <v>0</v>
      </c>
      <c r="DW286" s="137" t="b">
        <f t="shared" si="282"/>
        <v>0</v>
      </c>
      <c r="DX286" s="137" t="b">
        <f t="shared" si="283"/>
        <v>1</v>
      </c>
      <c r="EB286" s="131">
        <f t="shared" si="292"/>
        <v>1</v>
      </c>
      <c r="EC286" s="137" t="b">
        <f t="shared" si="284"/>
        <v>0</v>
      </c>
      <c r="ED286" s="137" t="b">
        <f t="shared" si="285"/>
        <v>0</v>
      </c>
      <c r="EE286" s="137" t="b">
        <f t="shared" si="286"/>
        <v>1</v>
      </c>
      <c r="EF286" s="137"/>
      <c r="EG286" s="137"/>
      <c r="EH286" s="137"/>
      <c r="EI286" s="137"/>
      <c r="EJ286" s="137">
        <f t="shared" si="293"/>
        <v>1</v>
      </c>
      <c r="EK286" s="125">
        <f t="shared" si="287"/>
        <v>0</v>
      </c>
      <c r="EL286" s="125">
        <f t="shared" si="288"/>
        <v>0</v>
      </c>
    </row>
    <row r="287" spans="2:142" ht="15.75" x14ac:dyDescent="0.2">
      <c r="B287" s="160">
        <f t="shared" si="289"/>
        <v>257</v>
      </c>
      <c r="C287" s="290">
        <v>1001348129</v>
      </c>
      <c r="D287" s="290">
        <v>1001276685</v>
      </c>
      <c r="E287" s="290">
        <v>40000564</v>
      </c>
      <c r="F287" s="118">
        <f>IF(OR(J287="",H287=""),"",VLOOKUP(J287,'הזנה לסיווג רשויות'!$B$2:$D$301,2,0))</f>
        <v>20000201</v>
      </c>
      <c r="G287" s="118" t="str">
        <f>IF(OR(J287="",H287=""),"",VLOOKUP(J287,'הזנה לסיווג רשויות'!$B$2:$D$301,3,0))</f>
        <v>תל אביב -יפו</v>
      </c>
      <c r="H287" s="293" t="s">
        <v>731</v>
      </c>
      <c r="I287" s="201" t="s">
        <v>379</v>
      </c>
      <c r="J287" s="294">
        <v>5000</v>
      </c>
      <c r="K287" s="161">
        <v>0</v>
      </c>
      <c r="L287" s="161">
        <v>1</v>
      </c>
      <c r="M287" s="161">
        <v>0</v>
      </c>
      <c r="N287" s="161">
        <v>0</v>
      </c>
      <c r="O287" s="161">
        <v>1</v>
      </c>
      <c r="P287" s="161">
        <v>1</v>
      </c>
      <c r="Q287" s="161">
        <v>1</v>
      </c>
      <c r="R287" s="201">
        <v>165009</v>
      </c>
      <c r="S287" s="201">
        <v>100009</v>
      </c>
      <c r="T287" s="160">
        <f>IF(G287="","",IFERROR(IF(S287/R287&gt;'פרמטרים לקריטריונים'!$C$20,1,0),0))</f>
        <v>1</v>
      </c>
      <c r="U287" s="296">
        <v>60009</v>
      </c>
      <c r="V287" s="160">
        <f>IF(G287="","",IFERROR(IF(U287/R287&gt;'פרמטרים לקריטריונים'!$C$21,1,IF(AND(I287=$BW$5,U287/R287&gt;'פרמטרים לקריטריונים'!$C$22),1,0)),0))</f>
        <v>1</v>
      </c>
      <c r="W287" s="161">
        <v>1</v>
      </c>
      <c r="X287" s="161">
        <v>1</v>
      </c>
      <c r="Y287" s="299">
        <v>150000</v>
      </c>
      <c r="Z287" s="300">
        <v>150000</v>
      </c>
      <c r="AA287" s="161">
        <f t="shared" si="290"/>
        <v>1</v>
      </c>
      <c r="AB287" s="161"/>
      <c r="AC287" s="161"/>
      <c r="AD287" s="161"/>
      <c r="AE287" s="161"/>
      <c r="AF287" s="161"/>
      <c r="AG287" s="161"/>
      <c r="AH287" s="161"/>
      <c r="AI287" s="161"/>
      <c r="AJ287" s="161"/>
      <c r="AK287" s="161"/>
      <c r="AL287" s="161"/>
      <c r="AM287" s="161"/>
      <c r="AN287" s="161"/>
      <c r="AO287" s="161"/>
      <c r="AP287" s="161"/>
      <c r="AQ287" s="161"/>
      <c r="AR287" s="161"/>
      <c r="AS287" s="161"/>
      <c r="AT287" s="161"/>
      <c r="AU287" s="161"/>
      <c r="AV287" s="161"/>
      <c r="AW287" s="160"/>
      <c r="AX287" s="161"/>
      <c r="AY287" s="161"/>
      <c r="AZ287" s="161"/>
      <c r="BA287" s="161"/>
      <c r="BB287" s="161"/>
      <c r="BC287" s="161"/>
      <c r="BD287" s="161"/>
      <c r="BE287" s="161"/>
      <c r="BF287" s="160" t="str">
        <f t="shared" si="291"/>
        <v/>
      </c>
      <c r="BG287" s="160"/>
      <c r="BH287" s="160"/>
      <c r="BI287" s="160"/>
      <c r="BJ287" s="160"/>
      <c r="BK287" s="160"/>
      <c r="BL287" s="162">
        <f t="shared" ref="BL287:BL329" si="297">IF($G287="","",IF(SUM(N287:O287)=0,0,IF(OR(H287="",I287="",J287="",AA287=0,Y287=""),$BQ$1,IF(BP287&lt;&gt;1,$BQ$1,IF(SUMPRODUCT(--(K287:BG287&gt;=$K$5:$BG$5)*($K$5:$BG$5&lt;&gt;"")*($K$4:$BG$4=1))=COUNTIF($K$4:$BG$4,1),1,0)))))</f>
        <v>1</v>
      </c>
      <c r="BM287" s="257"/>
      <c r="BN287" s="163"/>
      <c r="BO287" s="211" t="str">
        <f t="shared" ref="BO287:BO329" si="298">CONCATENATE(H287,I287)</f>
        <v>עמותת הכוריאוגרפים (ע"ר)יוצרים עצמאיים במחול</v>
      </c>
      <c r="BP287" s="125">
        <f t="shared" ref="BP287:BP329" si="299">IF(OR(SUM(BS287:DB287)&lt;&gt;COUNT(BS287:DB287),SUMPRODUCT(--(N287:BG287=$BQ$1))&lt;&gt;0),0,1)</f>
        <v>1</v>
      </c>
      <c r="BQ287" s="164">
        <v>0</v>
      </c>
      <c r="BR287" s="164">
        <v>1</v>
      </c>
      <c r="BS287" s="149">
        <f t="shared" ref="BS287:BS329" si="300">IF(OR(K$30="",K$4=99),1,IF(K287="",0,IFERROR(CHOOSE(BS$28,IF(ISNA(MATCH(K287,$BQ$30:$BR$30,0)),0,1),IF(ISNUMBER(K287),1,0),IF(K287=TRUNC(K287),1,0),IF(AND(K287*1=K287,K287&gt;=0),1,0),IF(AND(K287=TRUNC(K287),K287&gt;=0),1,0),IF(AND(K287*1=K287,K287&gt;0),1,0),IF(AND(K287=TRUNC(K287),K287&gt;0),1,0),1,IF(ISNA(HLOOKUP(K287,$BT$4:$CD$4,1,0)),0,1)),0)))</f>
        <v>1</v>
      </c>
      <c r="BT287" s="149">
        <f t="shared" ref="BT287:BT329" si="301">IF(OR(L$30="",L$4=99),1,IF(L287="",0,IFERROR(CHOOSE(BT$28,IF(ISNA(MATCH(L287,$BQ$30:$BR$30,0)),0,1),IF(ISNUMBER(L287),1,0),IF(L287=TRUNC(L287),1,0),IF(AND(L287*1=L287,L287&gt;=0),1,0),IF(AND(L287=TRUNC(L287),L287&gt;=0),1,0),IF(AND(L287*1=L287,L287&gt;0),1,0),IF(AND(L287=TRUNC(L287),L287&gt;0),1,0),1,IF(ISNA(HLOOKUP(L287,$BT$4:$CD$4,1,0)),0,1)),0)))</f>
        <v>1</v>
      </c>
      <c r="BU287" s="149">
        <f t="shared" ref="BU287:BU329" si="302">IF(OR(M$30="",M$4=99),1,IF(M287="",0,IFERROR(CHOOSE(BU$28,IF(ISNA(MATCH(M287,$BQ$30:$BR$30,0)),0,1),IF(ISNUMBER(M287),1,0),IF(M287=TRUNC(M287),1,0),IF(AND(M287*1=M287,M287&gt;=0),1,0),IF(AND(M287=TRUNC(M287),M287&gt;=0),1,0),IF(AND(M287*1=M287,M287&gt;0),1,0),IF(AND(M287=TRUNC(M287),M287&gt;0),1,0),1,IF(ISNA(HLOOKUP(M287,$BT$4:$CD$4,1,0)),0,1)),0)))</f>
        <v>1</v>
      </c>
      <c r="BV287" s="149">
        <f t="shared" ref="BV287:BV329" si="303">IF(OR(N$30="",N$4=99),1,IF(N287="",0,IFERROR(CHOOSE(BV$28,IF(ISNA(MATCH(N287,$BQ$30:$BR$30,0)),0,1),IF(ISNUMBER(N287),1,0),IF(N287=TRUNC(N287),1,0),IF(AND(N287*1=N287,N287&gt;=0),1,0),IF(AND(N287=TRUNC(N287),N287&gt;=0),1,0),IF(AND(N287*1=N287,N287&gt;0),1,0),IF(AND(N287=TRUNC(N287),N287&gt;0),1,0),1,IF(ISNA(HLOOKUP(N287,$BT$4:$CD$4,1,0)),0,1)),0)))</f>
        <v>1</v>
      </c>
      <c r="BW287" s="149">
        <f t="shared" ref="BW287:BW329" si="304">IF(OR(O$30="",O$4=99),1,IF(O287="",0,IFERROR(CHOOSE(BW$28,IF(ISNA(MATCH(O287,$BQ$30:$BR$30,0)),0,1),IF(ISNUMBER(O287),1,0),IF(O287=TRUNC(O287),1,0),IF(AND(O287*1=O287,O287&gt;=0),1,0),IF(AND(O287=TRUNC(O287),O287&gt;=0),1,0),IF(AND(O287*1=O287,O287&gt;0),1,0),IF(AND(O287=TRUNC(O287),O287&gt;0),1,0),1,IF(ISNA(HLOOKUP(O287,$BT$4:$CD$4,1,0)),0,1)),0)))</f>
        <v>1</v>
      </c>
      <c r="BX287" s="149">
        <f t="shared" ref="BX287:BX329" si="305">IF(OR(P$30="",P$4=99),1,IF(P287="",0,IFERROR(CHOOSE(BX$28,IF(ISNA(MATCH(P287,$BQ$30:$BR$30,0)),0,1),IF(ISNUMBER(P287),1,0),IF(P287=TRUNC(P287),1,0),IF(AND(P287*1=P287,P287&gt;=0),1,0),IF(AND(P287=TRUNC(P287),P287&gt;=0),1,0),IF(AND(P287*1=P287,P287&gt;0),1,0),IF(AND(P287=TRUNC(P287),P287&gt;0),1,0),1,IF(ISNA(HLOOKUP(P287,$BT$4:$CD$4,1,0)),0,1)),0)))</f>
        <v>1</v>
      </c>
      <c r="BY287" s="149">
        <f t="shared" ref="BY287:BY329" si="306">IF(OR(Q$30="",Q$4=99),1,IF(Q287="",0,IFERROR(CHOOSE(BY$28,IF(ISNA(MATCH(Q287,$BQ$30:$BR$30,0)),0,1),IF(ISNUMBER(Q287),1,0),IF(Q287=TRUNC(Q287),1,0),IF(AND(Q287*1=Q287,Q287&gt;=0),1,0),IF(AND(Q287=TRUNC(Q287),Q287&gt;=0),1,0),IF(AND(Q287*1=Q287,Q287&gt;0),1,0),IF(AND(Q287=TRUNC(Q287),Q287&gt;0),1,0),1,IF(ISNA(HLOOKUP(Q287,$BT$4:$CD$4,1,0)),0,1)),0)))</f>
        <v>1</v>
      </c>
      <c r="BZ287" s="149">
        <f t="shared" ref="BZ287:BZ329" si="307">IF(OR(R$30="",R$4=99),1,IF(R287="",0,IFERROR(CHOOSE(BZ$28,IF(ISNA(MATCH(R287,$BQ$30:$BR$30,0)),0,1),IF(ISNUMBER(R287),1,0),IF(R287=TRUNC(R287),1,0),IF(AND(R287*1=R287,R287&gt;=0),1,0),IF(AND(R287=TRUNC(R287),R287&gt;=0),1,0),IF(AND(R287*1=R287,R287&gt;0),1,0),IF(AND(R287=TRUNC(R287),R287&gt;0),1,0),1,IF(ISNA(HLOOKUP(R287,$BT$4:$CD$4,1,0)),0,1)),0)))</f>
        <v>1</v>
      </c>
      <c r="CA287" s="149">
        <f t="shared" ref="CA287:CA329" si="308">IF(OR(S$30="",S$4=99),1,IF(S287="",0,IFERROR(CHOOSE(CA$28,IF(ISNA(MATCH(S287,$BQ$30:$BR$30,0)),0,1),IF(ISNUMBER(S287),1,0),IF(S287=TRUNC(S287),1,0),IF(AND(S287*1=S287,S287&gt;=0),1,0),IF(AND(S287=TRUNC(S287),S287&gt;=0),1,0),IF(AND(S287*1=S287,S287&gt;0),1,0),IF(AND(S287=TRUNC(S287),S287&gt;0),1,0),1,IF(ISNA(HLOOKUP(S287,$BT$4:$CD$4,1,0)),0,1)),0)))</f>
        <v>1</v>
      </c>
      <c r="CB287" s="149">
        <f t="shared" ref="CB287:CB329" si="309">IF(OR(T$30="",T$4=99),1,IF(T287="",0,IFERROR(CHOOSE(CB$28,IF(ISNA(MATCH(T287,$BQ$30:$BR$30,0)),0,1),IF(ISNUMBER(T287),1,0),IF(T287=TRUNC(T287),1,0),IF(AND(T287*1=T287,T287&gt;=0),1,0),IF(AND(T287=TRUNC(T287),T287&gt;=0),1,0),IF(AND(T287*1=T287,T287&gt;0),1,0),IF(AND(T287=TRUNC(T287),T287&gt;0),1,0),1,IF(ISNA(HLOOKUP(T287,$BT$4:$CD$4,1,0)),0,1)),0)))</f>
        <v>1</v>
      </c>
      <c r="CC287" s="149">
        <f t="shared" ref="CC287:CC329" si="310">IF(OR(U$30="",U$4=99),1,IF(U287="",0,IFERROR(CHOOSE(CC$28,IF(ISNA(MATCH(U287,$BQ$30:$BR$30,0)),0,1),IF(ISNUMBER(U287),1,0),IF(U287=TRUNC(U287),1,0),IF(AND(U287*1=U287,U287&gt;=0),1,0),IF(AND(U287=TRUNC(U287),U287&gt;=0),1,0),IF(AND(U287*1=U287,U287&gt;0),1,0),IF(AND(U287=TRUNC(U287),U287&gt;0),1,0),1,IF(ISNA(HLOOKUP(U287,$BT$4:$CD$4,1,0)),0,1)),0)))</f>
        <v>1</v>
      </c>
      <c r="CD287" s="149">
        <f t="shared" ref="CD287:CD329" si="311">IF(OR(V$30="",V$4=99),1,IF(V287="",0,IFERROR(CHOOSE(CD$28,IF(ISNA(MATCH(V287,$BQ$30:$BR$30,0)),0,1),IF(ISNUMBER(V287),1,0),IF(V287=TRUNC(V287),1,0),IF(AND(V287*1=V287,V287&gt;=0),1,0),IF(AND(V287=TRUNC(V287),V287&gt;=0),1,0),IF(AND(V287*1=V287,V287&gt;0),1,0),IF(AND(V287=TRUNC(V287),V287&gt;0),1,0),1,IF(ISNA(HLOOKUP(V287,$BT$4:$CD$4,1,0)),0,1)),0)))</f>
        <v>1</v>
      </c>
      <c r="CE287" s="149">
        <f t="shared" ref="CE287:CE329" si="312">IF(OR(W$30="",W$4=99),1,IF(W287="",0,IFERROR(CHOOSE(CE$28,IF(ISNA(MATCH(W287,$BQ$30:$BR$30,0)),0,1),IF(ISNUMBER(W287),1,0),IF(W287=TRUNC(W287),1,0),IF(AND(W287*1=W287,W287&gt;=0),1,0),IF(AND(W287=TRUNC(W287),W287&gt;=0),1,0),IF(AND(W287*1=W287,W287&gt;0),1,0),IF(AND(W287=TRUNC(W287),W287&gt;0),1,0),1,IF(ISNA(HLOOKUP(W287,$BT$4:$CD$4,1,0)),0,1)),0)))</f>
        <v>1</v>
      </c>
      <c r="CF287" s="149">
        <f t="shared" ref="CF287:CF329" si="313">IF(OR(X$30="",X$4=99),1,IF(X287="",0,IFERROR(CHOOSE(CF$28,IF(ISNA(MATCH(X287,$BQ$30:$BR$30,0)),0,1),IF(ISNUMBER(X287),1,0),IF(X287=TRUNC(X287),1,0),IF(AND(X287*1=X287,X287&gt;=0),1,0),IF(AND(X287=TRUNC(X287),X287&gt;=0),1,0),IF(AND(X287*1=X287,X287&gt;0),1,0),IF(AND(X287=TRUNC(X287),X287&gt;0),1,0),1,IF(ISNA(HLOOKUP(X287,$BT$4:$CD$4,1,0)),0,1)),0)))</f>
        <v>1</v>
      </c>
      <c r="CG287" s="149">
        <f t="shared" ref="CG287:CG329" si="314">IF(OR(Y$30="",Y$4=99),1,IF(Y287="",0,IFERROR(CHOOSE(CG$28,IF(ISNA(MATCH(Y287,$BQ$30:$BR$30,0)),0,1),IF(ISNUMBER(Y287),1,0),IF(Y287=TRUNC(Y287),1,0),IF(AND(Y287*1=Y287,Y287&gt;=0),1,0),IF(AND(Y287=TRUNC(Y287),Y287&gt;=0),1,0),IF(AND(Y287*1=Y287,Y287&gt;0),1,0),IF(AND(Y287=TRUNC(Y287),Y287&gt;0),1,0),1,IF(ISNA(HLOOKUP(Y287,$BT$4:$CD$4,1,0)),0,1)),0)))</f>
        <v>1</v>
      </c>
      <c r="CH287" s="149">
        <f t="shared" ref="CH287:CH329" si="315">IF(OR(Z$30="",Z$4=99),1,IF(Z287="",0,IFERROR(CHOOSE(CH$28,IF(ISNA(MATCH(Z287,$BQ$30:$BR$30,0)),0,1),IF(ISNUMBER(Z287),1,0),IF(Z287=TRUNC(Z287),1,0),IF(AND(Z287*1=Z287,Z287&gt;=0),1,0),IF(AND(Z287=TRUNC(Z287),Z287&gt;=0),1,0),IF(AND(Z287*1=Z287,Z287&gt;0),1,0),IF(AND(Z287=TRUNC(Z287),Z287&gt;0),1,0),1,IF(ISNA(HLOOKUP(Z287,$BT$4:$CD$4,1,0)),0,1)),0)))</f>
        <v>1</v>
      </c>
      <c r="CI287" s="149">
        <f t="shared" ref="CI287:CI329" si="316">IF(OR(AA$30="",AA$4=99),1,IF(AA287="",0,IFERROR(CHOOSE(CI$28,IF(ISNA(MATCH(AA287,$BQ$30:$BR$30,0)),0,1),IF(ISNUMBER(AA287),1,0),IF(AA287=TRUNC(AA287),1,0),IF(AND(AA287*1=AA287,AA287&gt;=0),1,0),IF(AND(AA287=TRUNC(AA287),AA287&gt;=0),1,0),IF(AND(AA287*1=AA287,AA287&gt;0),1,0),IF(AND(AA287=TRUNC(AA287),AA287&gt;0),1,0),1,IF(ISNA(HLOOKUP(AA287,$BT$4:$CD$4,1,0)),0,1)),0)))</f>
        <v>1</v>
      </c>
      <c r="CJ287" s="149">
        <f t="shared" ref="CJ287:CJ329" si="317">IF(OR(AB$30="",AB$4=99),1,IF(AB287="",0,IFERROR(CHOOSE(CJ$28,IF(ISNA(MATCH(AB287,$BQ$30:$BR$30,0)),0,1),IF(ISNUMBER(AB287),1,0),IF(AB287=TRUNC(AB287),1,0),IF(AND(AB287*1=AB287,AB287&gt;=0),1,0),IF(AND(AB287=TRUNC(AB287),AB287&gt;=0),1,0),IF(AND(AB287*1=AB287,AB287&gt;0),1,0),IF(AND(AB287=TRUNC(AB287),AB287&gt;0),1,0),1,IF(ISNA(HLOOKUP(AB287,$BT$4:$CD$4,1,0)),0,1)),0)))</f>
        <v>1</v>
      </c>
      <c r="CK287" s="149">
        <f t="shared" ref="CK287:CK329" si="318">IF(OR(AC$30="",AC$4=99),1,IF(AC287="",0,IFERROR(CHOOSE(CK$28,IF(ISNA(MATCH(AC287,$BQ$30:$BR$30,0)),0,1),IF(ISNUMBER(AC287),1,0),IF(AC287=TRUNC(AC287),1,0),IF(AND(AC287*1=AC287,AC287&gt;=0),1,0),IF(AND(AC287=TRUNC(AC287),AC287&gt;=0),1,0),IF(AND(AC287*1=AC287,AC287&gt;0),1,0),IF(AND(AC287=TRUNC(AC287),AC287&gt;0),1,0),1,IF(ISNA(HLOOKUP(AC287,$BT$4:$CD$4,1,0)),0,1)),0)))</f>
        <v>1</v>
      </c>
      <c r="CL287" s="149">
        <f t="shared" ref="CL287:CL329" si="319">IF(OR(AD$30="",AD$4=99),1,IF(AD287="",0,IFERROR(CHOOSE(CL$28,IF(ISNA(MATCH(AD287,$BQ$30:$BR$30,0)),0,1),IF(ISNUMBER(AD287),1,0),IF(AD287=TRUNC(AD287),1,0),IF(AND(AD287*1=AD287,AD287&gt;=0),1,0),IF(AND(AD287=TRUNC(AD287),AD287&gt;=0),1,0),IF(AND(AD287*1=AD287,AD287&gt;0),1,0),IF(AND(AD287=TRUNC(AD287),AD287&gt;0),1,0),1,IF(ISNA(HLOOKUP(AD287,$BT$4:$CD$4,1,0)),0,1)),0)))</f>
        <v>1</v>
      </c>
      <c r="CM287" s="149">
        <f t="shared" ref="CM287:CM329" si="320">IF(OR(AE$30="",AE$4=99),1,IF(AE287="",0,IFERROR(CHOOSE(CM$28,IF(ISNA(MATCH(AE287,$BQ$30:$BR$30,0)),0,1),IF(ISNUMBER(AE287),1,0),IF(AE287=TRUNC(AE287),1,0),IF(AND(AE287*1=AE287,AE287&gt;=0),1,0),IF(AND(AE287=TRUNC(AE287),AE287&gt;=0),1,0),IF(AND(AE287*1=AE287,AE287&gt;0),1,0),IF(AND(AE287=TRUNC(AE287),AE287&gt;0),1,0),1,IF(ISNA(HLOOKUP(AE287,$BT$4:$CD$4,1,0)),0,1)),0)))</f>
        <v>1</v>
      </c>
      <c r="CN287" s="149">
        <f t="shared" ref="CN287:CN329" si="321">IF(OR(AF$30="",AF$4=99),1,IF(AF287="",0,IFERROR(CHOOSE(CN$28,IF(ISNA(MATCH(AF287,$BQ$30:$BR$30,0)),0,1),IF(ISNUMBER(AF287),1,0),IF(AF287=TRUNC(AF287),1,0),IF(AND(AF287*1=AF287,AF287&gt;=0),1,0),IF(AND(AF287=TRUNC(AF287),AF287&gt;=0),1,0),IF(AND(AF287*1=AF287,AF287&gt;0),1,0),IF(AND(AF287=TRUNC(AF287),AF287&gt;0),1,0),1,IF(ISNA(HLOOKUP(AF287,$BT$4:$CD$4,1,0)),0,1)),0)))</f>
        <v>1</v>
      </c>
      <c r="CO287" s="149">
        <f t="shared" ref="CO287:CO329" si="322">IF(OR(AG$30="",AG$4=99),1,IF(AG287="",0,IFERROR(CHOOSE(CO$28,IF(ISNA(MATCH(AG287,$BQ$30:$BR$30,0)),0,1),IF(ISNUMBER(AG287),1,0),IF(AG287=TRUNC(AG287),1,0),IF(AND(AG287*1=AG287,AG287&gt;=0),1,0),IF(AND(AG287=TRUNC(AG287),AG287&gt;=0),1,0),IF(AND(AG287*1=AG287,AG287&gt;0),1,0),IF(AND(AG287=TRUNC(AG287),AG287&gt;0),1,0),1,IF(ISNA(HLOOKUP(AG287,$BT$4:$CD$4,1,0)),0,1)),0)))</f>
        <v>1</v>
      </c>
      <c r="CP287" s="149">
        <f t="shared" ref="CP287:CP329" si="323">IF(OR(AH$30="",AH$4=99),1,IF(AH287="",0,IFERROR(CHOOSE(CP$28,IF(ISNA(MATCH(AH287,$BQ$30:$BR$30,0)),0,1),IF(ISNUMBER(AH287),1,0),IF(AH287=TRUNC(AH287),1,0),IF(AND(AH287*1=AH287,AH287&gt;=0),1,0),IF(AND(AH287=TRUNC(AH287),AH287&gt;=0),1,0),IF(AND(AH287*1=AH287,AH287&gt;0),1,0),IF(AND(AH287=TRUNC(AH287),AH287&gt;0),1,0),1,IF(ISNA(HLOOKUP(AH287,$BT$4:$CD$4,1,0)),0,1)),0)))</f>
        <v>1</v>
      </c>
      <c r="CQ287" s="149">
        <f t="shared" ref="CQ287:CQ329" si="324">IF(OR(AI$30="",AI$4=99),1,IF(AI287="",0,IFERROR(CHOOSE(CQ$28,IF(ISNA(MATCH(AI287,$BQ$30:$BR$30,0)),0,1),IF(ISNUMBER(AI287),1,0),IF(AI287=TRUNC(AI287),1,0),IF(AND(AI287*1=AI287,AI287&gt;=0),1,0),IF(AND(AI287=TRUNC(AI287),AI287&gt;=0),1,0),IF(AND(AI287*1=AI287,AI287&gt;0),1,0),IF(AND(AI287=TRUNC(AI287),AI287&gt;0),1,0),1,IF(ISNA(HLOOKUP(AI287,$BT$4:$CD$4,1,0)),0,1)),0)))</f>
        <v>1</v>
      </c>
      <c r="CR287" s="149">
        <f t="shared" ref="CR287:CR329" si="325">IF(OR(AJ$30="",AJ$4=99),1,IF(AJ287="",0,IFERROR(CHOOSE(CR$28,IF(ISNA(MATCH(AJ287,$BQ$30:$BR$30,0)),0,1),IF(ISNUMBER(AJ287),1,0),IF(AJ287=TRUNC(AJ287),1,0),IF(AND(AJ287*1=AJ287,AJ287&gt;=0),1,0),IF(AND(AJ287=TRUNC(AJ287),AJ287&gt;=0),1,0),IF(AND(AJ287*1=AJ287,AJ287&gt;0),1,0),IF(AND(AJ287=TRUNC(AJ287),AJ287&gt;0),1,0),1,IF(ISNA(HLOOKUP(AJ287,$BT$4:$CD$4,1,0)),0,1)),0)))</f>
        <v>1</v>
      </c>
      <c r="CS287" s="149">
        <f t="shared" ref="CS287:CS329" si="326">IF(OR(AK$30="",AK$4=99),1,IF(AK287="",0,IFERROR(CHOOSE(CS$28,IF(ISNA(MATCH(AK287,$BQ$30:$BR$30,0)),0,1),IF(ISNUMBER(AK287),1,0),IF(AK287=TRUNC(AK287),1,0),IF(AND(AK287*1=AK287,AK287&gt;=0),1,0),IF(AND(AK287=TRUNC(AK287),AK287&gt;=0),1,0),IF(AND(AK287*1=AK287,AK287&gt;0),1,0),IF(AND(AK287=TRUNC(AK287),AK287&gt;0),1,0),1,IF(ISNA(HLOOKUP(AK287,$BT$4:$CD$4,1,0)),0,1)),0)))</f>
        <v>1</v>
      </c>
      <c r="CT287" s="149">
        <f t="shared" ref="CT287:CT329" si="327">IF(OR(AL$30="",AL$4=99),1,IF(AL287="",0,IFERROR(CHOOSE(CT$28,IF(ISNA(MATCH(AL287,$BQ$30:$BR$30,0)),0,1),IF(ISNUMBER(AL287),1,0),IF(AL287=TRUNC(AL287),1,0),IF(AND(AL287*1=AL287,AL287&gt;=0),1,0),IF(AND(AL287=TRUNC(AL287),AL287&gt;=0),1,0),IF(AND(AL287*1=AL287,AL287&gt;0),1,0),IF(AND(AL287=TRUNC(AL287),AL287&gt;0),1,0),1,IF(ISNA(HLOOKUP(AL287,$BT$4:$CD$4,1,0)),0,1)),0)))</f>
        <v>1</v>
      </c>
      <c r="CU287" s="149">
        <f t="shared" ref="CU287:CU329" si="328">IF(OR(AM$30="",AM$4=99),1,IF(AM287="",0,IFERROR(CHOOSE(CU$28,IF(ISNA(MATCH(AM287,$BQ$30:$BR$30,0)),0,1),IF(ISNUMBER(AM287),1,0),IF(AM287=TRUNC(AM287),1,0),IF(AND(AM287*1=AM287,AM287&gt;=0),1,0),IF(AND(AM287=TRUNC(AM287),AM287&gt;=0),1,0),IF(AND(AM287*1=AM287,AM287&gt;0),1,0),IF(AND(AM287=TRUNC(AM287),AM287&gt;0),1,0),1,IF(ISNA(HLOOKUP(AM287,$BT$4:$CD$4,1,0)),0,1)),0)))</f>
        <v>1</v>
      </c>
      <c r="CV287" s="149">
        <f t="shared" ref="CV287:CV329" si="329">IF(OR(AN$30="",AN$4=99),1,IF(AN287="",0,IFERROR(CHOOSE(CV$28,IF(ISNA(MATCH(AN287,$BQ$30:$BR$30,0)),0,1),IF(ISNUMBER(AN287),1,0),IF(AN287=TRUNC(AN287),1,0),IF(AND(AN287*1=AN287,AN287&gt;=0),1,0),IF(AND(AN287=TRUNC(AN287),AN287&gt;=0),1,0),IF(AND(AN287*1=AN287,AN287&gt;0),1,0),IF(AND(AN287=TRUNC(AN287),AN287&gt;0),1,0),1,IF(ISNA(HLOOKUP(AN287,$BT$4:$CD$4,1,0)),0,1)),0)))</f>
        <v>1</v>
      </c>
      <c r="CW287" s="149">
        <f t="shared" ref="CW287:CW329" si="330">IF(OR(AO$30="",AO$4=99),1,IF(AO287="",0,IFERROR(CHOOSE(CW$28,IF(ISNA(MATCH(AO287,$BQ$30:$BR$30,0)),0,1),IF(ISNUMBER(AO287),1,0),IF(AO287=TRUNC(AO287),1,0),IF(AND(AO287*1=AO287,AO287&gt;=0),1,0),IF(AND(AO287=TRUNC(AO287),AO287&gt;=0),1,0),IF(AND(AO287*1=AO287,AO287&gt;0),1,0),IF(AND(AO287=TRUNC(AO287),AO287&gt;0),1,0),1,IF(ISNA(HLOOKUP(AO287,$BT$4:$CD$4,1,0)),0,1)),0)))</f>
        <v>1</v>
      </c>
      <c r="CX287" s="149">
        <f t="shared" ref="CX287:CX329" si="331">IF(OR(AP$30="",AP$4=99),1,IF(AP287="",0,IFERROR(CHOOSE(CX$28,IF(ISNA(MATCH(AP287,$BQ$30:$BR$30,0)),0,1),IF(ISNUMBER(AP287),1,0),IF(AP287=TRUNC(AP287),1,0),IF(AND(AP287*1=AP287,AP287&gt;=0),1,0),IF(AND(AP287=TRUNC(AP287),AP287&gt;=0),1,0),IF(AND(AP287*1=AP287,AP287&gt;0),1,0),IF(AND(AP287=TRUNC(AP287),AP287&gt;0),1,0),1,IF(ISNA(HLOOKUP(AP287,$BT$4:$CD$4,1,0)),0,1)),0)))</f>
        <v>1</v>
      </c>
      <c r="CY287" s="149">
        <f t="shared" ref="CY287:CY329" si="332">IF(OR(AQ$30="",AQ$4=99),1,IF(AQ287="",0,IFERROR(CHOOSE(CY$28,IF(ISNA(MATCH(AQ287,$BQ$30:$BR$30,0)),0,1),IF(ISNUMBER(AQ287),1,0),IF(AQ287=TRUNC(AQ287),1,0),IF(AND(AQ287*1=AQ287,AQ287&gt;=0),1,0),IF(AND(AQ287=TRUNC(AQ287),AQ287&gt;=0),1,0),IF(AND(AQ287*1=AQ287,AQ287&gt;0),1,0),IF(AND(AQ287=TRUNC(AQ287),AQ287&gt;0),1,0),1,IF(ISNA(HLOOKUP(AQ287,$BT$4:$CD$4,1,0)),0,1)),0)))</f>
        <v>1</v>
      </c>
      <c r="CZ287" s="149">
        <f t="shared" ref="CZ287:CZ329" si="333">IF(OR(AR$30="",AR$4=99),1,IF(AR287="",0,IFERROR(CHOOSE(CZ$28,IF(ISNA(MATCH(AR287,$BQ$30:$BR$30,0)),0,1),IF(ISNUMBER(AR287),1,0),IF(AR287=TRUNC(AR287),1,0),IF(AND(AR287*1=AR287,AR287&gt;=0),1,0),IF(AND(AR287=TRUNC(AR287),AR287&gt;=0),1,0),IF(AND(AR287*1=AR287,AR287&gt;0),1,0),IF(AND(AR287=TRUNC(AR287),AR287&gt;0),1,0),1,IF(ISNA(HLOOKUP(AR287,$BT$4:$CD$4,1,0)),0,1)),0)))</f>
        <v>1</v>
      </c>
      <c r="DA287" s="149">
        <f t="shared" ref="DA287:DA329" si="334">IF(OR(AS$30="",AS$4=99),1,IF(AS287="",0,IFERROR(CHOOSE(DA$28,IF(ISNA(MATCH(AS287,$BQ$30:$BR$30,0)),0,1),IF(ISNUMBER(AS287),1,0),IF(AS287=TRUNC(AS287),1,0),IF(AND(AS287*1=AS287,AS287&gt;=0),1,0),IF(AND(AS287=TRUNC(AS287),AS287&gt;=0),1,0),IF(AND(AS287*1=AS287,AS287&gt;0),1,0),IF(AND(AS287=TRUNC(AS287),AS287&gt;0),1,0),1,IF(ISNA(HLOOKUP(AS287,$BT$4:$CD$4,1,0)),0,1)),0)))</f>
        <v>1</v>
      </c>
      <c r="DB287" s="149">
        <f t="shared" ref="DB287:DB329" si="335">IF(OR(AT$30="",AT$4=99),1,IF(AT287="",0,IFERROR(CHOOSE(DB$28,IF(ISNA(MATCH(AT287,$BQ$30:$BR$30,0)),0,1),IF(ISNUMBER(AT287),1,0),IF(AT287=TRUNC(AT287),1,0),IF(AND(AT287*1=AT287,AT287&gt;=0),1,0),IF(AND(AT287=TRUNC(AT287),AT287&gt;=0),1,0),IF(AND(AT287*1=AT287,AT287&gt;0),1,0),IF(AND(AT287=TRUNC(AT287),AT287&gt;0),1,0),1,IF(ISNA(HLOOKUP(AT287,$BT$4:$CD$4,1,0)),0,1)),0)))</f>
        <v>1</v>
      </c>
      <c r="DG287" s="125">
        <f t="shared" si="296"/>
        <v>1</v>
      </c>
      <c r="DH287" s="125">
        <f t="shared" si="295"/>
        <v>2</v>
      </c>
      <c r="DI287" s="125">
        <f t="shared" si="295"/>
        <v>3</v>
      </c>
      <c r="DJ287" s="125">
        <f t="shared" si="295"/>
        <v>4</v>
      </c>
      <c r="DK287" s="125">
        <f t="shared" si="295"/>
        <v>5</v>
      </c>
      <c r="DL287" s="125">
        <f t="shared" si="295"/>
        <v>6</v>
      </c>
      <c r="DM287" s="125">
        <f t="shared" si="295"/>
        <v>7</v>
      </c>
      <c r="DN287" s="125">
        <f t="shared" si="295"/>
        <v>8</v>
      </c>
      <c r="DO287" s="125">
        <f t="shared" si="295"/>
        <v>9</v>
      </c>
      <c r="DP287" s="125">
        <f t="shared" si="295"/>
        <v>10</v>
      </c>
      <c r="DS287" s="137"/>
      <c r="DT287" s="137"/>
      <c r="DU287" s="137"/>
      <c r="DV287" s="137" t="b">
        <f t="shared" ref="DV287:DV329" si="336">AK287&gt;=DU$5</f>
        <v>0</v>
      </c>
      <c r="DW287" s="137" t="b">
        <f t="shared" ref="DW287:DW329" si="337">AM287&gt;=DV$5</f>
        <v>0</v>
      </c>
      <c r="DX287" s="137" t="b">
        <f t="shared" ref="DX287:DX329" si="338">AP287&gt;=DW$5</f>
        <v>1</v>
      </c>
      <c r="EB287" s="131">
        <f t="shared" si="292"/>
        <v>1</v>
      </c>
      <c r="EC287" s="137" t="b">
        <f t="shared" ref="EC287:EC329" si="339">AK287&gt;=EB$5</f>
        <v>0</v>
      </c>
      <c r="ED287" s="137" t="b">
        <f t="shared" ref="ED287:ED329" si="340">AM287&gt;=EC$5</f>
        <v>0</v>
      </c>
      <c r="EE287" s="137" t="b">
        <f t="shared" ref="EE287:EE329" si="341">AP287&gt;=ED$5</f>
        <v>1</v>
      </c>
      <c r="EF287" s="137"/>
      <c r="EG287" s="137"/>
      <c r="EH287" s="137"/>
      <c r="EI287" s="137"/>
      <c r="EJ287" s="137">
        <f t="shared" si="293"/>
        <v>1</v>
      </c>
      <c r="EK287" s="125">
        <f t="shared" ref="EK287:EK329" si="342">IF($G287="","",IF(EB287=$DV$3,1,0))</f>
        <v>0</v>
      </c>
      <c r="EL287" s="125">
        <f t="shared" ref="EL287:EL329" si="343">IF($G287="","",IF(AND(EJ287=$DV$3,EJ287-EB287&lt;=$EC$3),1,0))</f>
        <v>0</v>
      </c>
    </row>
    <row r="288" spans="2:142" ht="15.75" x14ac:dyDescent="0.2">
      <c r="B288" s="160">
        <f t="shared" ref="B288:B329" si="344">IF(G288="","",ROW()-30)</f>
        <v>258</v>
      </c>
      <c r="C288" s="290">
        <v>1001348132</v>
      </c>
      <c r="D288" s="290">
        <v>1001276680</v>
      </c>
      <c r="E288" s="290">
        <v>40000564</v>
      </c>
      <c r="F288" s="118">
        <f>IF(OR(J288="",H288=""),"",VLOOKUP(J288,'הזנה לסיווג רשויות'!$B$2:$D$301,2,0))</f>
        <v>20000201</v>
      </c>
      <c r="G288" s="118" t="str">
        <f>IF(OR(J288="",H288=""),"",VLOOKUP(J288,'הזנה לסיווג רשויות'!$B$2:$D$301,3,0))</f>
        <v>תל אביב -יפו</v>
      </c>
      <c r="H288" s="293" t="s">
        <v>731</v>
      </c>
      <c r="I288" s="201" t="s">
        <v>379</v>
      </c>
      <c r="J288" s="294">
        <v>5000</v>
      </c>
      <c r="K288" s="161">
        <v>0</v>
      </c>
      <c r="L288" s="161">
        <v>1</v>
      </c>
      <c r="M288" s="161">
        <v>0</v>
      </c>
      <c r="N288" s="161">
        <v>0</v>
      </c>
      <c r="O288" s="161">
        <v>1</v>
      </c>
      <c r="P288" s="161">
        <v>1</v>
      </c>
      <c r="Q288" s="161">
        <v>1</v>
      </c>
      <c r="R288" s="201">
        <v>227699</v>
      </c>
      <c r="S288" s="201">
        <v>137852</v>
      </c>
      <c r="T288" s="160">
        <f>IF(G288="","",IFERROR(IF(S288/R288&gt;'פרמטרים לקריטריונים'!$C$20,1,0),0))</f>
        <v>1</v>
      </c>
      <c r="U288" s="296">
        <v>109852</v>
      </c>
      <c r="V288" s="160">
        <f>IF(G288="","",IFERROR(IF(U288/R288&gt;'פרמטרים לקריטריונים'!$C$21,1,IF(AND(I288=$BW$5,U288/R288&gt;'פרמטרים לקריטריונים'!$C$22),1,0)),0))</f>
        <v>1</v>
      </c>
      <c r="W288" s="161">
        <v>1</v>
      </c>
      <c r="X288" s="161">
        <v>1</v>
      </c>
      <c r="Y288" s="299">
        <v>150000</v>
      </c>
      <c r="Z288" s="300">
        <v>150000</v>
      </c>
      <c r="AA288" s="161">
        <f t="shared" ref="AA288:AA351" si="345">IF(G288="","",IF(COUNTIF($D$31:$D$500,D288)=1,1,0))</f>
        <v>1</v>
      </c>
      <c r="AB288" s="161"/>
      <c r="AC288" s="161"/>
      <c r="AD288" s="161"/>
      <c r="AE288" s="161"/>
      <c r="AF288" s="161"/>
      <c r="AG288" s="161"/>
      <c r="AH288" s="161"/>
      <c r="AI288" s="161"/>
      <c r="AJ288" s="161"/>
      <c r="AK288" s="161"/>
      <c r="AL288" s="161"/>
      <c r="AM288" s="161"/>
      <c r="AN288" s="161"/>
      <c r="AO288" s="161"/>
      <c r="AP288" s="161"/>
      <c r="AQ288" s="161"/>
      <c r="AR288" s="161"/>
      <c r="AS288" s="161"/>
      <c r="AT288" s="161"/>
      <c r="AU288" s="161"/>
      <c r="AV288" s="161"/>
      <c r="AW288" s="160"/>
      <c r="AX288" s="161"/>
      <c r="AY288" s="161"/>
      <c r="AZ288" s="161"/>
      <c r="BA288" s="161"/>
      <c r="BB288" s="161"/>
      <c r="BC288" s="161"/>
      <c r="BD288" s="161"/>
      <c r="BE288" s="161"/>
      <c r="BF288" s="160" t="str">
        <f t="shared" ref="BF288:BF329" si="346">IFERROR(SUM(AZ288:BE288)/COUNT(AZ288:BE288),"")</f>
        <v/>
      </c>
      <c r="BG288" s="160"/>
      <c r="BH288" s="160"/>
      <c r="BI288" s="160"/>
      <c r="BJ288" s="160"/>
      <c r="BK288" s="160"/>
      <c r="BL288" s="162">
        <f t="shared" si="297"/>
        <v>1</v>
      </c>
      <c r="BM288" s="257"/>
      <c r="BN288" s="163"/>
      <c r="BO288" s="211" t="str">
        <f t="shared" si="298"/>
        <v>עמותת הכוריאוגרפים (ע"ר)יוצרים עצמאיים במחול</v>
      </c>
      <c r="BP288" s="125">
        <f t="shared" si="299"/>
        <v>1</v>
      </c>
      <c r="BQ288" s="164">
        <v>0</v>
      </c>
      <c r="BR288" s="164">
        <v>1</v>
      </c>
      <c r="BS288" s="149">
        <f t="shared" si="300"/>
        <v>1</v>
      </c>
      <c r="BT288" s="149">
        <f t="shared" si="301"/>
        <v>1</v>
      </c>
      <c r="BU288" s="149">
        <f t="shared" si="302"/>
        <v>1</v>
      </c>
      <c r="BV288" s="149">
        <f t="shared" si="303"/>
        <v>1</v>
      </c>
      <c r="BW288" s="149">
        <f t="shared" si="304"/>
        <v>1</v>
      </c>
      <c r="BX288" s="149">
        <f t="shared" si="305"/>
        <v>1</v>
      </c>
      <c r="BY288" s="149">
        <f t="shared" si="306"/>
        <v>1</v>
      </c>
      <c r="BZ288" s="149">
        <f t="shared" si="307"/>
        <v>1</v>
      </c>
      <c r="CA288" s="149">
        <f t="shared" si="308"/>
        <v>1</v>
      </c>
      <c r="CB288" s="149">
        <f t="shared" si="309"/>
        <v>1</v>
      </c>
      <c r="CC288" s="149">
        <f t="shared" si="310"/>
        <v>1</v>
      </c>
      <c r="CD288" s="149">
        <f t="shared" si="311"/>
        <v>1</v>
      </c>
      <c r="CE288" s="149">
        <f t="shared" si="312"/>
        <v>1</v>
      </c>
      <c r="CF288" s="149">
        <f t="shared" si="313"/>
        <v>1</v>
      </c>
      <c r="CG288" s="149">
        <f t="shared" si="314"/>
        <v>1</v>
      </c>
      <c r="CH288" s="149">
        <f t="shared" si="315"/>
        <v>1</v>
      </c>
      <c r="CI288" s="149">
        <f t="shared" si="316"/>
        <v>1</v>
      </c>
      <c r="CJ288" s="149">
        <f t="shared" si="317"/>
        <v>1</v>
      </c>
      <c r="CK288" s="149">
        <f t="shared" si="318"/>
        <v>1</v>
      </c>
      <c r="CL288" s="149">
        <f t="shared" si="319"/>
        <v>1</v>
      </c>
      <c r="CM288" s="149">
        <f t="shared" si="320"/>
        <v>1</v>
      </c>
      <c r="CN288" s="149">
        <f t="shared" si="321"/>
        <v>1</v>
      </c>
      <c r="CO288" s="149">
        <f t="shared" si="322"/>
        <v>1</v>
      </c>
      <c r="CP288" s="149">
        <f t="shared" si="323"/>
        <v>1</v>
      </c>
      <c r="CQ288" s="149">
        <f t="shared" si="324"/>
        <v>1</v>
      </c>
      <c r="CR288" s="149">
        <f t="shared" si="325"/>
        <v>1</v>
      </c>
      <c r="CS288" s="149">
        <f t="shared" si="326"/>
        <v>1</v>
      </c>
      <c r="CT288" s="149">
        <f t="shared" si="327"/>
        <v>1</v>
      </c>
      <c r="CU288" s="149">
        <f t="shared" si="328"/>
        <v>1</v>
      </c>
      <c r="CV288" s="149">
        <f t="shared" si="329"/>
        <v>1</v>
      </c>
      <c r="CW288" s="149">
        <f t="shared" si="330"/>
        <v>1</v>
      </c>
      <c r="CX288" s="149">
        <f t="shared" si="331"/>
        <v>1</v>
      </c>
      <c r="CY288" s="149">
        <f t="shared" si="332"/>
        <v>1</v>
      </c>
      <c r="CZ288" s="149">
        <f t="shared" si="333"/>
        <v>1</v>
      </c>
      <c r="DA288" s="149">
        <f t="shared" si="334"/>
        <v>1</v>
      </c>
      <c r="DB288" s="149">
        <f t="shared" si="335"/>
        <v>1</v>
      </c>
      <c r="DG288" s="125">
        <f t="shared" si="296"/>
        <v>1</v>
      </c>
      <c r="DH288" s="125">
        <f t="shared" si="295"/>
        <v>2</v>
      </c>
      <c r="DI288" s="125">
        <f t="shared" si="295"/>
        <v>3</v>
      </c>
      <c r="DJ288" s="125">
        <f t="shared" si="295"/>
        <v>4</v>
      </c>
      <c r="DK288" s="125">
        <f t="shared" si="295"/>
        <v>5</v>
      </c>
      <c r="DL288" s="125">
        <f t="shared" si="295"/>
        <v>6</v>
      </c>
      <c r="DM288" s="125">
        <f t="shared" si="295"/>
        <v>7</v>
      </c>
      <c r="DN288" s="125">
        <f t="shared" si="295"/>
        <v>8</v>
      </c>
      <c r="DO288" s="125">
        <f t="shared" si="295"/>
        <v>9</v>
      </c>
      <c r="DP288" s="125">
        <f t="shared" si="295"/>
        <v>10</v>
      </c>
      <c r="DS288" s="137"/>
      <c r="DT288" s="137"/>
      <c r="DU288" s="137"/>
      <c r="DV288" s="137" t="b">
        <f t="shared" si="336"/>
        <v>0</v>
      </c>
      <c r="DW288" s="137" t="b">
        <f t="shared" si="337"/>
        <v>0</v>
      </c>
      <c r="DX288" s="137" t="b">
        <f t="shared" si="338"/>
        <v>1</v>
      </c>
      <c r="EB288" s="131">
        <f t="shared" ref="EB288:EB329" si="347">COUNTIF(DV288:DZ288,TRUE)</f>
        <v>1</v>
      </c>
      <c r="EC288" s="137" t="b">
        <f t="shared" si="339"/>
        <v>0</v>
      </c>
      <c r="ED288" s="137" t="b">
        <f t="shared" si="340"/>
        <v>0</v>
      </c>
      <c r="EE288" s="137" t="b">
        <f t="shared" si="341"/>
        <v>1</v>
      </c>
      <c r="EF288" s="137"/>
      <c r="EG288" s="137"/>
      <c r="EH288" s="137"/>
      <c r="EI288" s="137"/>
      <c r="EJ288" s="137">
        <f t="shared" ref="EJ288:EJ329" si="348">COUNTIF(EC288:EI288,TRUE)</f>
        <v>1</v>
      </c>
      <c r="EK288" s="125">
        <f t="shared" si="342"/>
        <v>0</v>
      </c>
      <c r="EL288" s="125">
        <f t="shared" si="343"/>
        <v>0</v>
      </c>
    </row>
    <row r="289" spans="2:142" ht="15.75" x14ac:dyDescent="0.2">
      <c r="B289" s="160">
        <f t="shared" si="344"/>
        <v>259</v>
      </c>
      <c r="C289" s="290">
        <v>1001348134</v>
      </c>
      <c r="D289" s="290">
        <v>1001276630</v>
      </c>
      <c r="E289" s="290">
        <v>40000564</v>
      </c>
      <c r="F289" s="118">
        <f>IF(OR(J289="",H289=""),"",VLOOKUP(J289,'הזנה לסיווג רשויות'!$B$2:$D$301,2,0))</f>
        <v>20000201</v>
      </c>
      <c r="G289" s="118" t="str">
        <f>IF(OR(J289="",H289=""),"",VLOOKUP(J289,'הזנה לסיווג רשויות'!$B$2:$D$301,3,0))</f>
        <v>תל אביב -יפו</v>
      </c>
      <c r="H289" s="293" t="s">
        <v>731</v>
      </c>
      <c r="I289" s="201" t="s">
        <v>379</v>
      </c>
      <c r="J289" s="294">
        <v>5000</v>
      </c>
      <c r="K289" s="161">
        <v>0</v>
      </c>
      <c r="L289" s="161">
        <v>1</v>
      </c>
      <c r="M289" s="161">
        <v>0</v>
      </c>
      <c r="N289" s="161">
        <v>0</v>
      </c>
      <c r="O289" s="161">
        <v>1</v>
      </c>
      <c r="P289" s="161">
        <v>1</v>
      </c>
      <c r="Q289" s="161">
        <v>1</v>
      </c>
      <c r="R289" s="201">
        <v>167379</v>
      </c>
      <c r="S289" s="201">
        <v>167379</v>
      </c>
      <c r="T289" s="160">
        <f>IF(G289="","",IFERROR(IF(S289/R289&gt;'פרמטרים לקריטריונים'!$C$20,1,0),0))</f>
        <v>1</v>
      </c>
      <c r="U289" s="296">
        <v>167379</v>
      </c>
      <c r="V289" s="160">
        <f>IF(G289="","",IFERROR(IF(U289/R289&gt;'פרמטרים לקריטריונים'!$C$21,1,IF(AND(I289=$BW$5,U289/R289&gt;'פרמטרים לקריטריונים'!$C$22),1,0)),0))</f>
        <v>1</v>
      </c>
      <c r="W289" s="161">
        <v>1</v>
      </c>
      <c r="X289" s="161">
        <v>1</v>
      </c>
      <c r="Y289" s="299">
        <v>150000</v>
      </c>
      <c r="Z289" s="300">
        <v>150000</v>
      </c>
      <c r="AA289" s="161">
        <f t="shared" si="345"/>
        <v>1</v>
      </c>
      <c r="AB289" s="161"/>
      <c r="AC289" s="161"/>
      <c r="AD289" s="161"/>
      <c r="AE289" s="161"/>
      <c r="AF289" s="161"/>
      <c r="AG289" s="161"/>
      <c r="AH289" s="161"/>
      <c r="AI289" s="161"/>
      <c r="AJ289" s="161"/>
      <c r="AK289" s="161"/>
      <c r="AL289" s="161"/>
      <c r="AM289" s="161"/>
      <c r="AN289" s="161"/>
      <c r="AO289" s="161"/>
      <c r="AP289" s="161"/>
      <c r="AQ289" s="161"/>
      <c r="AR289" s="161"/>
      <c r="AS289" s="161"/>
      <c r="AT289" s="161"/>
      <c r="AU289" s="161"/>
      <c r="AV289" s="161"/>
      <c r="AW289" s="160"/>
      <c r="AX289" s="161"/>
      <c r="AY289" s="161"/>
      <c r="AZ289" s="161"/>
      <c r="BA289" s="161"/>
      <c r="BB289" s="161"/>
      <c r="BC289" s="161"/>
      <c r="BD289" s="161"/>
      <c r="BE289" s="161"/>
      <c r="BF289" s="160" t="str">
        <f t="shared" si="346"/>
        <v/>
      </c>
      <c r="BG289" s="160"/>
      <c r="BH289" s="160"/>
      <c r="BI289" s="160"/>
      <c r="BJ289" s="160"/>
      <c r="BK289" s="160"/>
      <c r="BL289" s="162">
        <f t="shared" si="297"/>
        <v>1</v>
      </c>
      <c r="BM289" s="257"/>
      <c r="BN289" s="163"/>
      <c r="BO289" s="211" t="str">
        <f t="shared" si="298"/>
        <v>עמותת הכוריאוגרפים (ע"ר)יוצרים עצמאיים במחול</v>
      </c>
      <c r="BP289" s="125">
        <f t="shared" si="299"/>
        <v>1</v>
      </c>
      <c r="BQ289" s="164">
        <v>0</v>
      </c>
      <c r="BR289" s="164">
        <v>1</v>
      </c>
      <c r="BS289" s="149">
        <f t="shared" si="300"/>
        <v>1</v>
      </c>
      <c r="BT289" s="149">
        <f t="shared" si="301"/>
        <v>1</v>
      </c>
      <c r="BU289" s="149">
        <f t="shared" si="302"/>
        <v>1</v>
      </c>
      <c r="BV289" s="149">
        <f t="shared" si="303"/>
        <v>1</v>
      </c>
      <c r="BW289" s="149">
        <f t="shared" si="304"/>
        <v>1</v>
      </c>
      <c r="BX289" s="149">
        <f t="shared" si="305"/>
        <v>1</v>
      </c>
      <c r="BY289" s="149">
        <f t="shared" si="306"/>
        <v>1</v>
      </c>
      <c r="BZ289" s="149">
        <f t="shared" si="307"/>
        <v>1</v>
      </c>
      <c r="CA289" s="149">
        <f t="shared" si="308"/>
        <v>1</v>
      </c>
      <c r="CB289" s="149">
        <f t="shared" si="309"/>
        <v>1</v>
      </c>
      <c r="CC289" s="149">
        <f t="shared" si="310"/>
        <v>1</v>
      </c>
      <c r="CD289" s="149">
        <f t="shared" si="311"/>
        <v>1</v>
      </c>
      <c r="CE289" s="149">
        <f t="shared" si="312"/>
        <v>1</v>
      </c>
      <c r="CF289" s="149">
        <f t="shared" si="313"/>
        <v>1</v>
      </c>
      <c r="CG289" s="149">
        <f t="shared" si="314"/>
        <v>1</v>
      </c>
      <c r="CH289" s="149">
        <f t="shared" si="315"/>
        <v>1</v>
      </c>
      <c r="CI289" s="149">
        <f t="shared" si="316"/>
        <v>1</v>
      </c>
      <c r="CJ289" s="149">
        <f t="shared" si="317"/>
        <v>1</v>
      </c>
      <c r="CK289" s="149">
        <f t="shared" si="318"/>
        <v>1</v>
      </c>
      <c r="CL289" s="149">
        <f t="shared" si="319"/>
        <v>1</v>
      </c>
      <c r="CM289" s="149">
        <f t="shared" si="320"/>
        <v>1</v>
      </c>
      <c r="CN289" s="149">
        <f t="shared" si="321"/>
        <v>1</v>
      </c>
      <c r="CO289" s="149">
        <f t="shared" si="322"/>
        <v>1</v>
      </c>
      <c r="CP289" s="149">
        <f t="shared" si="323"/>
        <v>1</v>
      </c>
      <c r="CQ289" s="149">
        <f t="shared" si="324"/>
        <v>1</v>
      </c>
      <c r="CR289" s="149">
        <f t="shared" si="325"/>
        <v>1</v>
      </c>
      <c r="CS289" s="149">
        <f t="shared" si="326"/>
        <v>1</v>
      </c>
      <c r="CT289" s="149">
        <f t="shared" si="327"/>
        <v>1</v>
      </c>
      <c r="CU289" s="149">
        <f t="shared" si="328"/>
        <v>1</v>
      </c>
      <c r="CV289" s="149">
        <f t="shared" si="329"/>
        <v>1</v>
      </c>
      <c r="CW289" s="149">
        <f t="shared" si="330"/>
        <v>1</v>
      </c>
      <c r="CX289" s="149">
        <f t="shared" si="331"/>
        <v>1</v>
      </c>
      <c r="CY289" s="149">
        <f t="shared" si="332"/>
        <v>1</v>
      </c>
      <c r="CZ289" s="149">
        <f t="shared" si="333"/>
        <v>1</v>
      </c>
      <c r="DA289" s="149">
        <f t="shared" si="334"/>
        <v>1</v>
      </c>
      <c r="DB289" s="149">
        <f t="shared" si="335"/>
        <v>1</v>
      </c>
      <c r="DG289" s="125">
        <f t="shared" si="296"/>
        <v>1</v>
      </c>
      <c r="DH289" s="125">
        <f t="shared" si="295"/>
        <v>2</v>
      </c>
      <c r="DI289" s="125">
        <f t="shared" si="295"/>
        <v>3</v>
      </c>
      <c r="DJ289" s="125">
        <f t="shared" si="295"/>
        <v>4</v>
      </c>
      <c r="DK289" s="125">
        <f t="shared" si="295"/>
        <v>5</v>
      </c>
      <c r="DL289" s="125">
        <f t="shared" si="295"/>
        <v>6</v>
      </c>
      <c r="DM289" s="125">
        <f t="shared" si="295"/>
        <v>7</v>
      </c>
      <c r="DN289" s="125">
        <f t="shared" si="295"/>
        <v>8</v>
      </c>
      <c r="DO289" s="125">
        <f t="shared" si="295"/>
        <v>9</v>
      </c>
      <c r="DP289" s="125">
        <f t="shared" si="295"/>
        <v>10</v>
      </c>
      <c r="DS289" s="137"/>
      <c r="DT289" s="137"/>
      <c r="DU289" s="137"/>
      <c r="DV289" s="137" t="b">
        <f t="shared" si="336"/>
        <v>0</v>
      </c>
      <c r="DW289" s="137" t="b">
        <f t="shared" si="337"/>
        <v>0</v>
      </c>
      <c r="DX289" s="137" t="b">
        <f t="shared" si="338"/>
        <v>1</v>
      </c>
      <c r="EB289" s="131">
        <f t="shared" si="347"/>
        <v>1</v>
      </c>
      <c r="EC289" s="137" t="b">
        <f t="shared" si="339"/>
        <v>0</v>
      </c>
      <c r="ED289" s="137" t="b">
        <f t="shared" si="340"/>
        <v>0</v>
      </c>
      <c r="EE289" s="137" t="b">
        <f t="shared" si="341"/>
        <v>1</v>
      </c>
      <c r="EF289" s="137"/>
      <c r="EG289" s="137"/>
      <c r="EH289" s="137"/>
      <c r="EI289" s="137"/>
      <c r="EJ289" s="137">
        <f t="shared" si="348"/>
        <v>1</v>
      </c>
      <c r="EK289" s="125">
        <f t="shared" si="342"/>
        <v>0</v>
      </c>
      <c r="EL289" s="125">
        <f t="shared" si="343"/>
        <v>0</v>
      </c>
    </row>
    <row r="290" spans="2:142" ht="15.75" x14ac:dyDescent="0.2">
      <c r="B290" s="160">
        <f t="shared" si="344"/>
        <v>260</v>
      </c>
      <c r="C290" s="290">
        <v>1001348135</v>
      </c>
      <c r="D290" s="290">
        <v>1001275688</v>
      </c>
      <c r="E290" s="290">
        <v>40000564</v>
      </c>
      <c r="F290" s="118">
        <f>IF(OR(J290="",H290=""),"",VLOOKUP(J290,'הזנה לסיווג רשויות'!$B$2:$D$301,2,0))</f>
        <v>20000201</v>
      </c>
      <c r="G290" s="118" t="str">
        <f>IF(OR(J290="",H290=""),"",VLOOKUP(J290,'הזנה לסיווג רשויות'!$B$2:$D$301,3,0))</f>
        <v>תל אביב -יפו</v>
      </c>
      <c r="H290" s="293" t="s">
        <v>731</v>
      </c>
      <c r="I290" s="201" t="s">
        <v>379</v>
      </c>
      <c r="J290" s="294">
        <v>5000</v>
      </c>
      <c r="K290" s="161">
        <v>0</v>
      </c>
      <c r="L290" s="161">
        <v>1</v>
      </c>
      <c r="M290" s="161">
        <v>0</v>
      </c>
      <c r="N290" s="161">
        <v>0</v>
      </c>
      <c r="O290" s="161">
        <v>1</v>
      </c>
      <c r="P290" s="161">
        <v>1</v>
      </c>
      <c r="Q290" s="161">
        <v>1</v>
      </c>
      <c r="R290" s="201">
        <v>231235</v>
      </c>
      <c r="S290" s="201">
        <v>84485</v>
      </c>
      <c r="T290" s="160">
        <f>IF(G290="","",IFERROR(IF(S290/R290&gt;'פרמטרים לקריטריונים'!$C$20,1,0),0))</f>
        <v>1</v>
      </c>
      <c r="U290" s="296">
        <v>84485</v>
      </c>
      <c r="V290" s="160">
        <f>IF(G290="","",IFERROR(IF(U290/R290&gt;'פרמטרים לקריטריונים'!$C$21,1,IF(AND(I290=$BW$5,U290/R290&gt;'פרמטרים לקריטריונים'!$C$22),1,0)),0))</f>
        <v>1</v>
      </c>
      <c r="W290" s="161">
        <v>1</v>
      </c>
      <c r="X290" s="161">
        <v>1</v>
      </c>
      <c r="Y290" s="299">
        <v>150000</v>
      </c>
      <c r="Z290" s="300">
        <v>150000</v>
      </c>
      <c r="AA290" s="161">
        <f t="shared" si="345"/>
        <v>1</v>
      </c>
      <c r="AB290" s="161"/>
      <c r="AC290" s="161"/>
      <c r="AD290" s="161"/>
      <c r="AE290" s="161"/>
      <c r="AF290" s="161"/>
      <c r="AG290" s="161"/>
      <c r="AH290" s="161"/>
      <c r="AI290" s="161"/>
      <c r="AJ290" s="161"/>
      <c r="AK290" s="161"/>
      <c r="AL290" s="161"/>
      <c r="AM290" s="161"/>
      <c r="AN290" s="161"/>
      <c r="AO290" s="161"/>
      <c r="AP290" s="161"/>
      <c r="AQ290" s="161"/>
      <c r="AR290" s="161"/>
      <c r="AS290" s="161"/>
      <c r="AT290" s="161"/>
      <c r="AU290" s="161"/>
      <c r="AV290" s="161"/>
      <c r="AW290" s="160"/>
      <c r="AX290" s="161"/>
      <c r="AY290" s="161"/>
      <c r="AZ290" s="161"/>
      <c r="BA290" s="161"/>
      <c r="BB290" s="161"/>
      <c r="BC290" s="161"/>
      <c r="BD290" s="161"/>
      <c r="BE290" s="161"/>
      <c r="BF290" s="160" t="str">
        <f t="shared" si="346"/>
        <v/>
      </c>
      <c r="BG290" s="160"/>
      <c r="BH290" s="160"/>
      <c r="BI290" s="160"/>
      <c r="BJ290" s="160"/>
      <c r="BK290" s="160"/>
      <c r="BL290" s="162">
        <f t="shared" si="297"/>
        <v>1</v>
      </c>
      <c r="BM290" s="257"/>
      <c r="BN290" s="163"/>
      <c r="BO290" s="211" t="str">
        <f t="shared" si="298"/>
        <v>עמותת הכוריאוגרפים (ע"ר)יוצרים עצמאיים במחול</v>
      </c>
      <c r="BP290" s="125">
        <f t="shared" si="299"/>
        <v>1</v>
      </c>
      <c r="BQ290" s="164">
        <v>0</v>
      </c>
      <c r="BR290" s="164">
        <v>1</v>
      </c>
      <c r="BS290" s="149">
        <f t="shared" si="300"/>
        <v>1</v>
      </c>
      <c r="BT290" s="149">
        <f t="shared" si="301"/>
        <v>1</v>
      </c>
      <c r="BU290" s="149">
        <f t="shared" si="302"/>
        <v>1</v>
      </c>
      <c r="BV290" s="149">
        <f t="shared" si="303"/>
        <v>1</v>
      </c>
      <c r="BW290" s="149">
        <f t="shared" si="304"/>
        <v>1</v>
      </c>
      <c r="BX290" s="149">
        <f t="shared" si="305"/>
        <v>1</v>
      </c>
      <c r="BY290" s="149">
        <f t="shared" si="306"/>
        <v>1</v>
      </c>
      <c r="BZ290" s="149">
        <f t="shared" si="307"/>
        <v>1</v>
      </c>
      <c r="CA290" s="149">
        <f t="shared" si="308"/>
        <v>1</v>
      </c>
      <c r="CB290" s="149">
        <f t="shared" si="309"/>
        <v>1</v>
      </c>
      <c r="CC290" s="149">
        <f t="shared" si="310"/>
        <v>1</v>
      </c>
      <c r="CD290" s="149">
        <f t="shared" si="311"/>
        <v>1</v>
      </c>
      <c r="CE290" s="149">
        <f t="shared" si="312"/>
        <v>1</v>
      </c>
      <c r="CF290" s="149">
        <f t="shared" si="313"/>
        <v>1</v>
      </c>
      <c r="CG290" s="149">
        <f t="shared" si="314"/>
        <v>1</v>
      </c>
      <c r="CH290" s="149">
        <f t="shared" si="315"/>
        <v>1</v>
      </c>
      <c r="CI290" s="149">
        <f t="shared" si="316"/>
        <v>1</v>
      </c>
      <c r="CJ290" s="149">
        <f t="shared" si="317"/>
        <v>1</v>
      </c>
      <c r="CK290" s="149">
        <f t="shared" si="318"/>
        <v>1</v>
      </c>
      <c r="CL290" s="149">
        <f t="shared" si="319"/>
        <v>1</v>
      </c>
      <c r="CM290" s="149">
        <f t="shared" si="320"/>
        <v>1</v>
      </c>
      <c r="CN290" s="149">
        <f t="shared" si="321"/>
        <v>1</v>
      </c>
      <c r="CO290" s="149">
        <f t="shared" si="322"/>
        <v>1</v>
      </c>
      <c r="CP290" s="149">
        <f t="shared" si="323"/>
        <v>1</v>
      </c>
      <c r="CQ290" s="149">
        <f t="shared" si="324"/>
        <v>1</v>
      </c>
      <c r="CR290" s="149">
        <f t="shared" si="325"/>
        <v>1</v>
      </c>
      <c r="CS290" s="149">
        <f t="shared" si="326"/>
        <v>1</v>
      </c>
      <c r="CT290" s="149">
        <f t="shared" si="327"/>
        <v>1</v>
      </c>
      <c r="CU290" s="149">
        <f t="shared" si="328"/>
        <v>1</v>
      </c>
      <c r="CV290" s="149">
        <f t="shared" si="329"/>
        <v>1</v>
      </c>
      <c r="CW290" s="149">
        <f t="shared" si="330"/>
        <v>1</v>
      </c>
      <c r="CX290" s="149">
        <f t="shared" si="331"/>
        <v>1</v>
      </c>
      <c r="CY290" s="149">
        <f t="shared" si="332"/>
        <v>1</v>
      </c>
      <c r="CZ290" s="149">
        <f t="shared" si="333"/>
        <v>1</v>
      </c>
      <c r="DA290" s="149">
        <f t="shared" si="334"/>
        <v>1</v>
      </c>
      <c r="DB290" s="149">
        <f t="shared" si="335"/>
        <v>1</v>
      </c>
      <c r="DG290" s="125">
        <f t="shared" si="296"/>
        <v>1</v>
      </c>
      <c r="DH290" s="125">
        <f t="shared" si="295"/>
        <v>2</v>
      </c>
      <c r="DI290" s="125">
        <f t="shared" si="295"/>
        <v>3</v>
      </c>
      <c r="DJ290" s="125">
        <f t="shared" si="295"/>
        <v>4</v>
      </c>
      <c r="DK290" s="125">
        <f t="shared" si="295"/>
        <v>5</v>
      </c>
      <c r="DL290" s="125">
        <f t="shared" si="295"/>
        <v>6</v>
      </c>
      <c r="DM290" s="125">
        <f t="shared" si="295"/>
        <v>7</v>
      </c>
      <c r="DN290" s="125">
        <f t="shared" si="295"/>
        <v>8</v>
      </c>
      <c r="DO290" s="125">
        <f t="shared" si="295"/>
        <v>9</v>
      </c>
      <c r="DP290" s="125">
        <f t="shared" si="295"/>
        <v>10</v>
      </c>
      <c r="DS290" s="137"/>
      <c r="DT290" s="137"/>
      <c r="DU290" s="137"/>
      <c r="DV290" s="137" t="b">
        <f t="shared" si="336"/>
        <v>0</v>
      </c>
      <c r="DW290" s="137" t="b">
        <f t="shared" si="337"/>
        <v>0</v>
      </c>
      <c r="DX290" s="137" t="b">
        <f t="shared" si="338"/>
        <v>1</v>
      </c>
      <c r="EB290" s="131">
        <f t="shared" si="347"/>
        <v>1</v>
      </c>
      <c r="EC290" s="137" t="b">
        <f t="shared" si="339"/>
        <v>0</v>
      </c>
      <c r="ED290" s="137" t="b">
        <f t="shared" si="340"/>
        <v>0</v>
      </c>
      <c r="EE290" s="137" t="b">
        <f t="shared" si="341"/>
        <v>1</v>
      </c>
      <c r="EF290" s="137"/>
      <c r="EG290" s="137"/>
      <c r="EH290" s="137"/>
      <c r="EI290" s="137"/>
      <c r="EJ290" s="137">
        <f t="shared" si="348"/>
        <v>1</v>
      </c>
      <c r="EK290" s="125">
        <f t="shared" si="342"/>
        <v>0</v>
      </c>
      <c r="EL290" s="125">
        <f t="shared" si="343"/>
        <v>0</v>
      </c>
    </row>
    <row r="291" spans="2:142" ht="15.75" x14ac:dyDescent="0.2">
      <c r="B291" s="160">
        <f t="shared" si="344"/>
        <v>261</v>
      </c>
      <c r="C291" s="290">
        <v>1001348136</v>
      </c>
      <c r="D291" s="290">
        <v>1001275686</v>
      </c>
      <c r="E291" s="290">
        <v>40000564</v>
      </c>
      <c r="F291" s="118">
        <f>IF(OR(J291="",H291=""),"",VLOOKUP(J291,'הזנה לסיווג רשויות'!$B$2:$D$301,2,0))</f>
        <v>20000201</v>
      </c>
      <c r="G291" s="118" t="str">
        <f>IF(OR(J291="",H291=""),"",VLOOKUP(J291,'הזנה לסיווג רשויות'!$B$2:$D$301,3,0))</f>
        <v>תל אביב -יפו</v>
      </c>
      <c r="H291" s="293" t="s">
        <v>731</v>
      </c>
      <c r="I291" s="201" t="s">
        <v>379</v>
      </c>
      <c r="J291" s="294">
        <v>5000</v>
      </c>
      <c r="K291" s="161">
        <v>0</v>
      </c>
      <c r="L291" s="161">
        <v>1</v>
      </c>
      <c r="M291" s="161">
        <v>0</v>
      </c>
      <c r="N291" s="161">
        <v>0</v>
      </c>
      <c r="O291" s="161">
        <v>1</v>
      </c>
      <c r="P291" s="161">
        <v>1</v>
      </c>
      <c r="Q291" s="161">
        <v>1</v>
      </c>
      <c r="R291" s="201">
        <v>76434</v>
      </c>
      <c r="S291" s="201">
        <v>44459</v>
      </c>
      <c r="T291" s="160">
        <f>IF(G291="","",IFERROR(IF(S291/R291&gt;'פרמטרים לקריטריונים'!$C$20,1,0),0))</f>
        <v>1</v>
      </c>
      <c r="U291" s="296">
        <v>44459</v>
      </c>
      <c r="V291" s="160">
        <f>IF(G291="","",IFERROR(IF(U291/R291&gt;'פרמטרים לקריטריונים'!$C$21,1,IF(AND(I291=$BW$5,U291/R291&gt;'פרמטרים לקריטריונים'!$C$22),1,0)),0))</f>
        <v>1</v>
      </c>
      <c r="W291" s="161">
        <v>1</v>
      </c>
      <c r="X291" s="161">
        <v>1</v>
      </c>
      <c r="Y291" s="299">
        <v>150000</v>
      </c>
      <c r="Z291" s="300">
        <v>150000</v>
      </c>
      <c r="AA291" s="161">
        <f t="shared" si="345"/>
        <v>1</v>
      </c>
      <c r="AB291" s="161"/>
      <c r="AC291" s="161"/>
      <c r="AD291" s="161"/>
      <c r="AE291" s="161"/>
      <c r="AF291" s="161"/>
      <c r="AG291" s="161"/>
      <c r="AH291" s="161"/>
      <c r="AI291" s="161"/>
      <c r="AJ291" s="161"/>
      <c r="AK291" s="161"/>
      <c r="AL291" s="161"/>
      <c r="AM291" s="161"/>
      <c r="AN291" s="161"/>
      <c r="AO291" s="161"/>
      <c r="AP291" s="161"/>
      <c r="AQ291" s="161"/>
      <c r="AR291" s="161"/>
      <c r="AS291" s="161"/>
      <c r="AT291" s="161"/>
      <c r="AU291" s="161"/>
      <c r="AV291" s="161"/>
      <c r="AW291" s="160"/>
      <c r="AX291" s="161"/>
      <c r="AY291" s="161"/>
      <c r="AZ291" s="161"/>
      <c r="BA291" s="161"/>
      <c r="BB291" s="161"/>
      <c r="BC291" s="161"/>
      <c r="BD291" s="161"/>
      <c r="BE291" s="161"/>
      <c r="BF291" s="160" t="str">
        <f t="shared" si="346"/>
        <v/>
      </c>
      <c r="BG291" s="160"/>
      <c r="BH291" s="160"/>
      <c r="BI291" s="160"/>
      <c r="BJ291" s="160"/>
      <c r="BK291" s="160"/>
      <c r="BL291" s="162">
        <f t="shared" si="297"/>
        <v>1</v>
      </c>
      <c r="BM291" s="257"/>
      <c r="BN291" s="163"/>
      <c r="BO291" s="211" t="str">
        <f t="shared" si="298"/>
        <v>עמותת הכוריאוגרפים (ע"ר)יוצרים עצמאיים במחול</v>
      </c>
      <c r="BP291" s="125">
        <f t="shared" si="299"/>
        <v>1</v>
      </c>
      <c r="BQ291" s="164">
        <v>0</v>
      </c>
      <c r="BR291" s="164">
        <v>1</v>
      </c>
      <c r="BS291" s="149">
        <f t="shared" si="300"/>
        <v>1</v>
      </c>
      <c r="BT291" s="149">
        <f t="shared" si="301"/>
        <v>1</v>
      </c>
      <c r="BU291" s="149">
        <f t="shared" si="302"/>
        <v>1</v>
      </c>
      <c r="BV291" s="149">
        <f t="shared" si="303"/>
        <v>1</v>
      </c>
      <c r="BW291" s="149">
        <f t="shared" si="304"/>
        <v>1</v>
      </c>
      <c r="BX291" s="149">
        <f t="shared" si="305"/>
        <v>1</v>
      </c>
      <c r="BY291" s="149">
        <f t="shared" si="306"/>
        <v>1</v>
      </c>
      <c r="BZ291" s="149">
        <f t="shared" si="307"/>
        <v>1</v>
      </c>
      <c r="CA291" s="149">
        <f t="shared" si="308"/>
        <v>1</v>
      </c>
      <c r="CB291" s="149">
        <f t="shared" si="309"/>
        <v>1</v>
      </c>
      <c r="CC291" s="149">
        <f t="shared" si="310"/>
        <v>1</v>
      </c>
      <c r="CD291" s="149">
        <f t="shared" si="311"/>
        <v>1</v>
      </c>
      <c r="CE291" s="149">
        <f t="shared" si="312"/>
        <v>1</v>
      </c>
      <c r="CF291" s="149">
        <f t="shared" si="313"/>
        <v>1</v>
      </c>
      <c r="CG291" s="149">
        <f t="shared" si="314"/>
        <v>1</v>
      </c>
      <c r="CH291" s="149">
        <f t="shared" si="315"/>
        <v>1</v>
      </c>
      <c r="CI291" s="149">
        <f t="shared" si="316"/>
        <v>1</v>
      </c>
      <c r="CJ291" s="149">
        <f t="shared" si="317"/>
        <v>1</v>
      </c>
      <c r="CK291" s="149">
        <f t="shared" si="318"/>
        <v>1</v>
      </c>
      <c r="CL291" s="149">
        <f t="shared" si="319"/>
        <v>1</v>
      </c>
      <c r="CM291" s="149">
        <f t="shared" si="320"/>
        <v>1</v>
      </c>
      <c r="CN291" s="149">
        <f t="shared" si="321"/>
        <v>1</v>
      </c>
      <c r="CO291" s="149">
        <f t="shared" si="322"/>
        <v>1</v>
      </c>
      <c r="CP291" s="149">
        <f t="shared" si="323"/>
        <v>1</v>
      </c>
      <c r="CQ291" s="149">
        <f t="shared" si="324"/>
        <v>1</v>
      </c>
      <c r="CR291" s="149">
        <f t="shared" si="325"/>
        <v>1</v>
      </c>
      <c r="CS291" s="149">
        <f t="shared" si="326"/>
        <v>1</v>
      </c>
      <c r="CT291" s="149">
        <f t="shared" si="327"/>
        <v>1</v>
      </c>
      <c r="CU291" s="149">
        <f t="shared" si="328"/>
        <v>1</v>
      </c>
      <c r="CV291" s="149">
        <f t="shared" si="329"/>
        <v>1</v>
      </c>
      <c r="CW291" s="149">
        <f t="shared" si="330"/>
        <v>1</v>
      </c>
      <c r="CX291" s="149">
        <f t="shared" si="331"/>
        <v>1</v>
      </c>
      <c r="CY291" s="149">
        <f t="shared" si="332"/>
        <v>1</v>
      </c>
      <c r="CZ291" s="149">
        <f t="shared" si="333"/>
        <v>1</v>
      </c>
      <c r="DA291" s="149">
        <f t="shared" si="334"/>
        <v>1</v>
      </c>
      <c r="DB291" s="149">
        <f t="shared" si="335"/>
        <v>1</v>
      </c>
      <c r="DG291" s="125">
        <f t="shared" si="296"/>
        <v>1</v>
      </c>
      <c r="DH291" s="125">
        <f t="shared" si="295"/>
        <v>2</v>
      </c>
      <c r="DI291" s="125">
        <f t="shared" si="295"/>
        <v>3</v>
      </c>
      <c r="DJ291" s="125">
        <f t="shared" si="295"/>
        <v>4</v>
      </c>
      <c r="DK291" s="125">
        <f t="shared" si="295"/>
        <v>5</v>
      </c>
      <c r="DL291" s="125">
        <f t="shared" si="295"/>
        <v>6</v>
      </c>
      <c r="DM291" s="125">
        <f t="shared" si="295"/>
        <v>7</v>
      </c>
      <c r="DN291" s="125">
        <f t="shared" si="295"/>
        <v>8</v>
      </c>
      <c r="DO291" s="125">
        <f t="shared" si="295"/>
        <v>9</v>
      </c>
      <c r="DP291" s="125">
        <f t="shared" si="295"/>
        <v>10</v>
      </c>
      <c r="DS291" s="137"/>
      <c r="DT291" s="137"/>
      <c r="DU291" s="137"/>
      <c r="DV291" s="137" t="b">
        <f t="shared" si="336"/>
        <v>0</v>
      </c>
      <c r="DW291" s="137" t="b">
        <f t="shared" si="337"/>
        <v>0</v>
      </c>
      <c r="DX291" s="137" t="b">
        <f t="shared" si="338"/>
        <v>1</v>
      </c>
      <c r="EB291" s="131">
        <f t="shared" si="347"/>
        <v>1</v>
      </c>
      <c r="EC291" s="137" t="b">
        <f t="shared" si="339"/>
        <v>0</v>
      </c>
      <c r="ED291" s="137" t="b">
        <f t="shared" si="340"/>
        <v>0</v>
      </c>
      <c r="EE291" s="137" t="b">
        <f t="shared" si="341"/>
        <v>1</v>
      </c>
      <c r="EF291" s="137"/>
      <c r="EG291" s="137"/>
      <c r="EH291" s="137"/>
      <c r="EI291" s="137"/>
      <c r="EJ291" s="137">
        <f t="shared" si="348"/>
        <v>1</v>
      </c>
      <c r="EK291" s="125">
        <f t="shared" si="342"/>
        <v>0</v>
      </c>
      <c r="EL291" s="125">
        <f t="shared" si="343"/>
        <v>0</v>
      </c>
    </row>
    <row r="292" spans="2:142" ht="15.75" x14ac:dyDescent="0.2">
      <c r="B292" s="160">
        <f t="shared" si="344"/>
        <v>262</v>
      </c>
      <c r="C292" s="290">
        <v>1001348137</v>
      </c>
      <c r="D292" s="290">
        <v>1001275685</v>
      </c>
      <c r="E292" s="290">
        <v>40000564</v>
      </c>
      <c r="F292" s="118">
        <f>IF(OR(J292="",H292=""),"",VLOOKUP(J292,'הזנה לסיווג רשויות'!$B$2:$D$301,2,0))</f>
        <v>20000201</v>
      </c>
      <c r="G292" s="118" t="str">
        <f>IF(OR(J292="",H292=""),"",VLOOKUP(J292,'הזנה לסיווג רשויות'!$B$2:$D$301,3,0))</f>
        <v>תל אביב -יפו</v>
      </c>
      <c r="H292" s="293" t="s">
        <v>731</v>
      </c>
      <c r="I292" s="201" t="s">
        <v>379</v>
      </c>
      <c r="J292" s="294">
        <v>5000</v>
      </c>
      <c r="K292" s="161">
        <v>0</v>
      </c>
      <c r="L292" s="161">
        <v>1</v>
      </c>
      <c r="M292" s="161">
        <v>0</v>
      </c>
      <c r="N292" s="161">
        <v>0</v>
      </c>
      <c r="O292" s="161">
        <v>1</v>
      </c>
      <c r="P292" s="161">
        <v>1</v>
      </c>
      <c r="Q292" s="161">
        <v>1</v>
      </c>
      <c r="R292" s="201">
        <v>250659</v>
      </c>
      <c r="S292" s="201">
        <v>132987</v>
      </c>
      <c r="T292" s="160">
        <f>IF(G292="","",IFERROR(IF(S292/R292&gt;'פרמטרים לקריטריונים'!$C$20,1,0),0))</f>
        <v>1</v>
      </c>
      <c r="U292" s="296">
        <v>109986</v>
      </c>
      <c r="V292" s="160">
        <f>IF(G292="","",IFERROR(IF(U292/R292&gt;'פרמטרים לקריטריונים'!$C$21,1,IF(AND(I292=$BW$5,U292/R292&gt;'פרמטרים לקריטריונים'!$C$22),1,0)),0))</f>
        <v>1</v>
      </c>
      <c r="W292" s="161">
        <v>1</v>
      </c>
      <c r="X292" s="161">
        <v>1</v>
      </c>
      <c r="Y292" s="299">
        <v>150000</v>
      </c>
      <c r="Z292" s="300">
        <v>150000</v>
      </c>
      <c r="AA292" s="161">
        <f t="shared" si="345"/>
        <v>1</v>
      </c>
      <c r="AB292" s="161"/>
      <c r="AC292" s="161"/>
      <c r="AD292" s="161"/>
      <c r="AE292" s="161"/>
      <c r="AF292" s="161"/>
      <c r="AG292" s="161"/>
      <c r="AH292" s="161"/>
      <c r="AI292" s="161"/>
      <c r="AJ292" s="161"/>
      <c r="AK292" s="161"/>
      <c r="AL292" s="161"/>
      <c r="AM292" s="161"/>
      <c r="AN292" s="161"/>
      <c r="AO292" s="161"/>
      <c r="AP292" s="161"/>
      <c r="AQ292" s="161"/>
      <c r="AR292" s="161"/>
      <c r="AS292" s="161"/>
      <c r="AT292" s="161"/>
      <c r="AU292" s="161"/>
      <c r="AV292" s="161"/>
      <c r="AW292" s="160"/>
      <c r="AX292" s="161"/>
      <c r="AY292" s="161"/>
      <c r="AZ292" s="161"/>
      <c r="BA292" s="161"/>
      <c r="BB292" s="161"/>
      <c r="BC292" s="161"/>
      <c r="BD292" s="161"/>
      <c r="BE292" s="161"/>
      <c r="BF292" s="160" t="str">
        <f t="shared" si="346"/>
        <v/>
      </c>
      <c r="BG292" s="160"/>
      <c r="BH292" s="160"/>
      <c r="BI292" s="160"/>
      <c r="BJ292" s="160"/>
      <c r="BK292" s="160"/>
      <c r="BL292" s="162">
        <f t="shared" si="297"/>
        <v>1</v>
      </c>
      <c r="BM292" s="257"/>
      <c r="BN292" s="163"/>
      <c r="BO292" s="211" t="str">
        <f t="shared" si="298"/>
        <v>עמותת הכוריאוגרפים (ע"ר)יוצרים עצמאיים במחול</v>
      </c>
      <c r="BP292" s="125">
        <f t="shared" si="299"/>
        <v>1</v>
      </c>
      <c r="BQ292" s="164">
        <v>0</v>
      </c>
      <c r="BR292" s="164">
        <v>1</v>
      </c>
      <c r="BS292" s="149">
        <f t="shared" si="300"/>
        <v>1</v>
      </c>
      <c r="BT292" s="149">
        <f t="shared" si="301"/>
        <v>1</v>
      </c>
      <c r="BU292" s="149">
        <f t="shared" si="302"/>
        <v>1</v>
      </c>
      <c r="BV292" s="149">
        <f t="shared" si="303"/>
        <v>1</v>
      </c>
      <c r="BW292" s="149">
        <f t="shared" si="304"/>
        <v>1</v>
      </c>
      <c r="BX292" s="149">
        <f t="shared" si="305"/>
        <v>1</v>
      </c>
      <c r="BY292" s="149">
        <f t="shared" si="306"/>
        <v>1</v>
      </c>
      <c r="BZ292" s="149">
        <f t="shared" si="307"/>
        <v>1</v>
      </c>
      <c r="CA292" s="149">
        <f t="shared" si="308"/>
        <v>1</v>
      </c>
      <c r="CB292" s="149">
        <f t="shared" si="309"/>
        <v>1</v>
      </c>
      <c r="CC292" s="149">
        <f t="shared" si="310"/>
        <v>1</v>
      </c>
      <c r="CD292" s="149">
        <f t="shared" si="311"/>
        <v>1</v>
      </c>
      <c r="CE292" s="149">
        <f t="shared" si="312"/>
        <v>1</v>
      </c>
      <c r="CF292" s="149">
        <f t="shared" si="313"/>
        <v>1</v>
      </c>
      <c r="CG292" s="149">
        <f t="shared" si="314"/>
        <v>1</v>
      </c>
      <c r="CH292" s="149">
        <f t="shared" si="315"/>
        <v>1</v>
      </c>
      <c r="CI292" s="149">
        <f t="shared" si="316"/>
        <v>1</v>
      </c>
      <c r="CJ292" s="149">
        <f t="shared" si="317"/>
        <v>1</v>
      </c>
      <c r="CK292" s="149">
        <f t="shared" si="318"/>
        <v>1</v>
      </c>
      <c r="CL292" s="149">
        <f t="shared" si="319"/>
        <v>1</v>
      </c>
      <c r="CM292" s="149">
        <f t="shared" si="320"/>
        <v>1</v>
      </c>
      <c r="CN292" s="149">
        <f t="shared" si="321"/>
        <v>1</v>
      </c>
      <c r="CO292" s="149">
        <f t="shared" si="322"/>
        <v>1</v>
      </c>
      <c r="CP292" s="149">
        <f t="shared" si="323"/>
        <v>1</v>
      </c>
      <c r="CQ292" s="149">
        <f t="shared" si="324"/>
        <v>1</v>
      </c>
      <c r="CR292" s="149">
        <f t="shared" si="325"/>
        <v>1</v>
      </c>
      <c r="CS292" s="149">
        <f t="shared" si="326"/>
        <v>1</v>
      </c>
      <c r="CT292" s="149">
        <f t="shared" si="327"/>
        <v>1</v>
      </c>
      <c r="CU292" s="149">
        <f t="shared" si="328"/>
        <v>1</v>
      </c>
      <c r="CV292" s="149">
        <f t="shared" si="329"/>
        <v>1</v>
      </c>
      <c r="CW292" s="149">
        <f t="shared" si="330"/>
        <v>1</v>
      </c>
      <c r="CX292" s="149">
        <f t="shared" si="331"/>
        <v>1</v>
      </c>
      <c r="CY292" s="149">
        <f t="shared" si="332"/>
        <v>1</v>
      </c>
      <c r="CZ292" s="149">
        <f t="shared" si="333"/>
        <v>1</v>
      </c>
      <c r="DA292" s="149">
        <f t="shared" si="334"/>
        <v>1</v>
      </c>
      <c r="DB292" s="149">
        <f t="shared" si="335"/>
        <v>1</v>
      </c>
      <c r="DG292" s="125">
        <f t="shared" si="296"/>
        <v>1</v>
      </c>
      <c r="DH292" s="125">
        <f t="shared" si="295"/>
        <v>2</v>
      </c>
      <c r="DI292" s="125">
        <f t="shared" si="295"/>
        <v>3</v>
      </c>
      <c r="DJ292" s="125">
        <f t="shared" si="295"/>
        <v>4</v>
      </c>
      <c r="DK292" s="125">
        <f t="shared" si="295"/>
        <v>5</v>
      </c>
      <c r="DL292" s="125">
        <f t="shared" si="295"/>
        <v>6</v>
      </c>
      <c r="DM292" s="125">
        <f t="shared" si="295"/>
        <v>7</v>
      </c>
      <c r="DN292" s="125">
        <f t="shared" si="295"/>
        <v>8</v>
      </c>
      <c r="DO292" s="125">
        <f t="shared" si="295"/>
        <v>9</v>
      </c>
      <c r="DP292" s="125">
        <f t="shared" si="295"/>
        <v>10</v>
      </c>
      <c r="DS292" s="137"/>
      <c r="DT292" s="137"/>
      <c r="DU292" s="137"/>
      <c r="DV292" s="137" t="b">
        <f t="shared" si="336"/>
        <v>0</v>
      </c>
      <c r="DW292" s="137" t="b">
        <f t="shared" si="337"/>
        <v>0</v>
      </c>
      <c r="DX292" s="137" t="b">
        <f t="shared" si="338"/>
        <v>1</v>
      </c>
      <c r="EB292" s="131">
        <f t="shared" si="347"/>
        <v>1</v>
      </c>
      <c r="EC292" s="137" t="b">
        <f t="shared" si="339"/>
        <v>0</v>
      </c>
      <c r="ED292" s="137" t="b">
        <f t="shared" si="340"/>
        <v>0</v>
      </c>
      <c r="EE292" s="137" t="b">
        <f t="shared" si="341"/>
        <v>1</v>
      </c>
      <c r="EF292" s="137"/>
      <c r="EG292" s="137"/>
      <c r="EH292" s="137"/>
      <c r="EI292" s="137"/>
      <c r="EJ292" s="137">
        <f t="shared" si="348"/>
        <v>1</v>
      </c>
      <c r="EK292" s="125">
        <f t="shared" si="342"/>
        <v>0</v>
      </c>
      <c r="EL292" s="125">
        <f t="shared" si="343"/>
        <v>0</v>
      </c>
    </row>
    <row r="293" spans="2:142" ht="15.75" x14ac:dyDescent="0.2">
      <c r="B293" s="160">
        <f t="shared" si="344"/>
        <v>263</v>
      </c>
      <c r="C293" s="290">
        <v>1001348138</v>
      </c>
      <c r="D293" s="290">
        <v>1001275682</v>
      </c>
      <c r="E293" s="290">
        <v>40000564</v>
      </c>
      <c r="F293" s="118">
        <f>IF(OR(J293="",H293=""),"",VLOOKUP(J293,'הזנה לסיווג רשויות'!$B$2:$D$301,2,0))</f>
        <v>20000201</v>
      </c>
      <c r="G293" s="118" t="str">
        <f>IF(OR(J293="",H293=""),"",VLOOKUP(J293,'הזנה לסיווג רשויות'!$B$2:$D$301,3,0))</f>
        <v>תל אביב -יפו</v>
      </c>
      <c r="H293" s="293" t="s">
        <v>731</v>
      </c>
      <c r="I293" s="201" t="s">
        <v>379</v>
      </c>
      <c r="J293" s="294">
        <v>5000</v>
      </c>
      <c r="K293" s="161">
        <v>0</v>
      </c>
      <c r="L293" s="161">
        <v>1</v>
      </c>
      <c r="M293" s="161">
        <v>0</v>
      </c>
      <c r="N293" s="161">
        <v>0</v>
      </c>
      <c r="O293" s="161">
        <v>1</v>
      </c>
      <c r="P293" s="161">
        <v>1</v>
      </c>
      <c r="Q293" s="161">
        <v>1</v>
      </c>
      <c r="R293" s="201">
        <v>251907</v>
      </c>
      <c r="S293" s="201">
        <v>163492</v>
      </c>
      <c r="T293" s="160">
        <f>IF(G293="","",IFERROR(IF(S293/R293&gt;'פרמטרים לקריטריונים'!$C$20,1,0),0))</f>
        <v>1</v>
      </c>
      <c r="U293" s="296">
        <v>163492</v>
      </c>
      <c r="V293" s="160">
        <f>IF(G293="","",IFERROR(IF(U293/R293&gt;'פרמטרים לקריטריונים'!$C$21,1,IF(AND(I293=$BW$5,U293/R293&gt;'פרמטרים לקריטריונים'!$C$22),1,0)),0))</f>
        <v>1</v>
      </c>
      <c r="W293" s="161">
        <v>1</v>
      </c>
      <c r="X293" s="161">
        <v>1</v>
      </c>
      <c r="Y293" s="299">
        <v>150000</v>
      </c>
      <c r="Z293" s="300">
        <v>150000</v>
      </c>
      <c r="AA293" s="161">
        <f t="shared" si="345"/>
        <v>1</v>
      </c>
      <c r="AB293" s="161"/>
      <c r="AC293" s="161"/>
      <c r="AD293" s="161"/>
      <c r="AE293" s="161"/>
      <c r="AF293" s="161"/>
      <c r="AG293" s="161"/>
      <c r="AH293" s="161"/>
      <c r="AI293" s="161"/>
      <c r="AJ293" s="161"/>
      <c r="AK293" s="161"/>
      <c r="AL293" s="161"/>
      <c r="AM293" s="161"/>
      <c r="AN293" s="161"/>
      <c r="AO293" s="161"/>
      <c r="AP293" s="161"/>
      <c r="AQ293" s="161"/>
      <c r="AR293" s="161"/>
      <c r="AS293" s="161"/>
      <c r="AT293" s="161"/>
      <c r="AU293" s="161"/>
      <c r="AV293" s="161"/>
      <c r="AW293" s="160"/>
      <c r="AX293" s="161"/>
      <c r="AY293" s="161"/>
      <c r="AZ293" s="161"/>
      <c r="BA293" s="161"/>
      <c r="BB293" s="161"/>
      <c r="BC293" s="161"/>
      <c r="BD293" s="161"/>
      <c r="BE293" s="161"/>
      <c r="BF293" s="160" t="str">
        <f t="shared" si="346"/>
        <v/>
      </c>
      <c r="BG293" s="160"/>
      <c r="BH293" s="160"/>
      <c r="BI293" s="160"/>
      <c r="BJ293" s="160"/>
      <c r="BK293" s="160"/>
      <c r="BL293" s="162">
        <f t="shared" si="297"/>
        <v>1</v>
      </c>
      <c r="BM293" s="257"/>
      <c r="BN293" s="163"/>
      <c r="BO293" s="211" t="str">
        <f t="shared" si="298"/>
        <v>עמותת הכוריאוגרפים (ע"ר)יוצרים עצמאיים במחול</v>
      </c>
      <c r="BP293" s="125">
        <f t="shared" si="299"/>
        <v>1</v>
      </c>
      <c r="BQ293" s="164">
        <v>0</v>
      </c>
      <c r="BR293" s="164">
        <v>1</v>
      </c>
      <c r="BS293" s="149">
        <f t="shared" si="300"/>
        <v>1</v>
      </c>
      <c r="BT293" s="149">
        <f t="shared" si="301"/>
        <v>1</v>
      </c>
      <c r="BU293" s="149">
        <f t="shared" si="302"/>
        <v>1</v>
      </c>
      <c r="BV293" s="149">
        <f t="shared" si="303"/>
        <v>1</v>
      </c>
      <c r="BW293" s="149">
        <f t="shared" si="304"/>
        <v>1</v>
      </c>
      <c r="BX293" s="149">
        <f t="shared" si="305"/>
        <v>1</v>
      </c>
      <c r="BY293" s="149">
        <f t="shared" si="306"/>
        <v>1</v>
      </c>
      <c r="BZ293" s="149">
        <f t="shared" si="307"/>
        <v>1</v>
      </c>
      <c r="CA293" s="149">
        <f t="shared" si="308"/>
        <v>1</v>
      </c>
      <c r="CB293" s="149">
        <f t="shared" si="309"/>
        <v>1</v>
      </c>
      <c r="CC293" s="149">
        <f t="shared" si="310"/>
        <v>1</v>
      </c>
      <c r="CD293" s="149">
        <f t="shared" si="311"/>
        <v>1</v>
      </c>
      <c r="CE293" s="149">
        <f t="shared" si="312"/>
        <v>1</v>
      </c>
      <c r="CF293" s="149">
        <f t="shared" si="313"/>
        <v>1</v>
      </c>
      <c r="CG293" s="149">
        <f t="shared" si="314"/>
        <v>1</v>
      </c>
      <c r="CH293" s="149">
        <f t="shared" si="315"/>
        <v>1</v>
      </c>
      <c r="CI293" s="149">
        <f t="shared" si="316"/>
        <v>1</v>
      </c>
      <c r="CJ293" s="149">
        <f t="shared" si="317"/>
        <v>1</v>
      </c>
      <c r="CK293" s="149">
        <f t="shared" si="318"/>
        <v>1</v>
      </c>
      <c r="CL293" s="149">
        <f t="shared" si="319"/>
        <v>1</v>
      </c>
      <c r="CM293" s="149">
        <f t="shared" si="320"/>
        <v>1</v>
      </c>
      <c r="CN293" s="149">
        <f t="shared" si="321"/>
        <v>1</v>
      </c>
      <c r="CO293" s="149">
        <f t="shared" si="322"/>
        <v>1</v>
      </c>
      <c r="CP293" s="149">
        <f t="shared" si="323"/>
        <v>1</v>
      </c>
      <c r="CQ293" s="149">
        <f t="shared" si="324"/>
        <v>1</v>
      </c>
      <c r="CR293" s="149">
        <f t="shared" si="325"/>
        <v>1</v>
      </c>
      <c r="CS293" s="149">
        <f t="shared" si="326"/>
        <v>1</v>
      </c>
      <c r="CT293" s="149">
        <f t="shared" si="327"/>
        <v>1</v>
      </c>
      <c r="CU293" s="149">
        <f t="shared" si="328"/>
        <v>1</v>
      </c>
      <c r="CV293" s="149">
        <f t="shared" si="329"/>
        <v>1</v>
      </c>
      <c r="CW293" s="149">
        <f t="shared" si="330"/>
        <v>1</v>
      </c>
      <c r="CX293" s="149">
        <f t="shared" si="331"/>
        <v>1</v>
      </c>
      <c r="CY293" s="149">
        <f t="shared" si="332"/>
        <v>1</v>
      </c>
      <c r="CZ293" s="149">
        <f t="shared" si="333"/>
        <v>1</v>
      </c>
      <c r="DA293" s="149">
        <f t="shared" si="334"/>
        <v>1</v>
      </c>
      <c r="DB293" s="149">
        <f t="shared" si="335"/>
        <v>1</v>
      </c>
      <c r="DG293" s="125">
        <f t="shared" si="296"/>
        <v>1</v>
      </c>
      <c r="DH293" s="125">
        <f t="shared" si="295"/>
        <v>2</v>
      </c>
      <c r="DI293" s="125">
        <f t="shared" ref="DH293:DP321" si="349">IF($G293="","",DI$30)</f>
        <v>3</v>
      </c>
      <c r="DJ293" s="125">
        <f t="shared" si="349"/>
        <v>4</v>
      </c>
      <c r="DK293" s="125">
        <f t="shared" si="349"/>
        <v>5</v>
      </c>
      <c r="DL293" s="125">
        <f t="shared" si="349"/>
        <v>6</v>
      </c>
      <c r="DM293" s="125">
        <f t="shared" si="349"/>
        <v>7</v>
      </c>
      <c r="DN293" s="125">
        <f t="shared" si="349"/>
        <v>8</v>
      </c>
      <c r="DO293" s="125">
        <f t="shared" si="349"/>
        <v>9</v>
      </c>
      <c r="DP293" s="125">
        <f t="shared" si="349"/>
        <v>10</v>
      </c>
      <c r="DS293" s="137"/>
      <c r="DT293" s="137"/>
      <c r="DU293" s="137"/>
      <c r="DV293" s="137" t="b">
        <f t="shared" si="336"/>
        <v>0</v>
      </c>
      <c r="DW293" s="137" t="b">
        <f t="shared" si="337"/>
        <v>0</v>
      </c>
      <c r="DX293" s="137" t="b">
        <f t="shared" si="338"/>
        <v>1</v>
      </c>
      <c r="EB293" s="131">
        <f t="shared" si="347"/>
        <v>1</v>
      </c>
      <c r="EC293" s="137" t="b">
        <f t="shared" si="339"/>
        <v>0</v>
      </c>
      <c r="ED293" s="137" t="b">
        <f t="shared" si="340"/>
        <v>0</v>
      </c>
      <c r="EE293" s="137" t="b">
        <f t="shared" si="341"/>
        <v>1</v>
      </c>
      <c r="EF293" s="137"/>
      <c r="EG293" s="137"/>
      <c r="EH293" s="137"/>
      <c r="EI293" s="137"/>
      <c r="EJ293" s="137">
        <f t="shared" si="348"/>
        <v>1</v>
      </c>
      <c r="EK293" s="125">
        <f t="shared" si="342"/>
        <v>0</v>
      </c>
      <c r="EL293" s="125">
        <f t="shared" si="343"/>
        <v>0</v>
      </c>
    </row>
    <row r="294" spans="2:142" ht="15.75" x14ac:dyDescent="0.2">
      <c r="B294" s="160">
        <f t="shared" si="344"/>
        <v>264</v>
      </c>
      <c r="C294" s="290">
        <v>1001348139</v>
      </c>
      <c r="D294" s="290">
        <v>1001275678</v>
      </c>
      <c r="E294" s="290">
        <v>40000564</v>
      </c>
      <c r="F294" s="118">
        <f>IF(OR(J294="",H294=""),"",VLOOKUP(J294,'הזנה לסיווג רשויות'!$B$2:$D$301,2,0))</f>
        <v>20000201</v>
      </c>
      <c r="G294" s="118" t="str">
        <f>IF(OR(J294="",H294=""),"",VLOOKUP(J294,'הזנה לסיווג רשויות'!$B$2:$D$301,3,0))</f>
        <v>תל אביב -יפו</v>
      </c>
      <c r="H294" s="293" t="s">
        <v>731</v>
      </c>
      <c r="I294" s="201" t="s">
        <v>379</v>
      </c>
      <c r="J294" s="294">
        <v>5000</v>
      </c>
      <c r="K294" s="161">
        <v>0</v>
      </c>
      <c r="L294" s="161">
        <v>1</v>
      </c>
      <c r="M294" s="161">
        <v>0</v>
      </c>
      <c r="N294" s="161">
        <v>0</v>
      </c>
      <c r="O294" s="161">
        <v>1</v>
      </c>
      <c r="P294" s="161">
        <v>1</v>
      </c>
      <c r="Q294" s="161">
        <v>1</v>
      </c>
      <c r="R294" s="201">
        <v>365452</v>
      </c>
      <c r="S294" s="201">
        <v>142319</v>
      </c>
      <c r="T294" s="160">
        <f>IF(G294="","",IFERROR(IF(S294/R294&gt;'פרמטרים לקריטריונים'!$C$20,1,0),0))</f>
        <v>1</v>
      </c>
      <c r="U294" s="296">
        <v>142319</v>
      </c>
      <c r="V294" s="160">
        <f>IF(G294="","",IFERROR(IF(U294/R294&gt;'פרמטרים לקריטריונים'!$C$21,1,IF(AND(I294=$BW$5,U294/R294&gt;'פרמטרים לקריטריונים'!$C$22),1,0)),0))</f>
        <v>1</v>
      </c>
      <c r="W294" s="161">
        <v>1</v>
      </c>
      <c r="X294" s="161">
        <v>1</v>
      </c>
      <c r="Y294" s="299">
        <v>150000</v>
      </c>
      <c r="Z294" s="300">
        <v>150000</v>
      </c>
      <c r="AA294" s="161">
        <f t="shared" si="345"/>
        <v>1</v>
      </c>
      <c r="AB294" s="161"/>
      <c r="AC294" s="161"/>
      <c r="AD294" s="161"/>
      <c r="AE294" s="161"/>
      <c r="AF294" s="161"/>
      <c r="AG294" s="161"/>
      <c r="AH294" s="161"/>
      <c r="AI294" s="161"/>
      <c r="AJ294" s="161"/>
      <c r="AK294" s="161"/>
      <c r="AL294" s="161"/>
      <c r="AM294" s="161"/>
      <c r="AN294" s="161"/>
      <c r="AO294" s="161"/>
      <c r="AP294" s="161"/>
      <c r="AQ294" s="161"/>
      <c r="AR294" s="161"/>
      <c r="AS294" s="161"/>
      <c r="AT294" s="161"/>
      <c r="AU294" s="161"/>
      <c r="AV294" s="161"/>
      <c r="AW294" s="160"/>
      <c r="AX294" s="161"/>
      <c r="AY294" s="161"/>
      <c r="AZ294" s="161"/>
      <c r="BA294" s="161"/>
      <c r="BB294" s="161"/>
      <c r="BC294" s="161"/>
      <c r="BD294" s="161"/>
      <c r="BE294" s="161"/>
      <c r="BF294" s="160" t="str">
        <f t="shared" si="346"/>
        <v/>
      </c>
      <c r="BG294" s="160"/>
      <c r="BH294" s="160"/>
      <c r="BI294" s="160"/>
      <c r="BJ294" s="160"/>
      <c r="BK294" s="160"/>
      <c r="BL294" s="162">
        <f t="shared" si="297"/>
        <v>1</v>
      </c>
      <c r="BM294" s="257"/>
      <c r="BN294" s="163"/>
      <c r="BO294" s="211" t="str">
        <f t="shared" si="298"/>
        <v>עמותת הכוריאוגרפים (ע"ר)יוצרים עצמאיים במחול</v>
      </c>
      <c r="BP294" s="125">
        <f t="shared" si="299"/>
        <v>1</v>
      </c>
      <c r="BQ294" s="164">
        <v>0</v>
      </c>
      <c r="BR294" s="164">
        <v>1</v>
      </c>
      <c r="BS294" s="149">
        <f t="shared" si="300"/>
        <v>1</v>
      </c>
      <c r="BT294" s="149">
        <f t="shared" si="301"/>
        <v>1</v>
      </c>
      <c r="BU294" s="149">
        <f t="shared" si="302"/>
        <v>1</v>
      </c>
      <c r="BV294" s="149">
        <f t="shared" si="303"/>
        <v>1</v>
      </c>
      <c r="BW294" s="149">
        <f t="shared" si="304"/>
        <v>1</v>
      </c>
      <c r="BX294" s="149">
        <f t="shared" si="305"/>
        <v>1</v>
      </c>
      <c r="BY294" s="149">
        <f t="shared" si="306"/>
        <v>1</v>
      </c>
      <c r="BZ294" s="149">
        <f t="shared" si="307"/>
        <v>1</v>
      </c>
      <c r="CA294" s="149">
        <f t="shared" si="308"/>
        <v>1</v>
      </c>
      <c r="CB294" s="149">
        <f t="shared" si="309"/>
        <v>1</v>
      </c>
      <c r="CC294" s="149">
        <f t="shared" si="310"/>
        <v>1</v>
      </c>
      <c r="CD294" s="149">
        <f t="shared" si="311"/>
        <v>1</v>
      </c>
      <c r="CE294" s="149">
        <f t="shared" si="312"/>
        <v>1</v>
      </c>
      <c r="CF294" s="149">
        <f t="shared" si="313"/>
        <v>1</v>
      </c>
      <c r="CG294" s="149">
        <f t="shared" si="314"/>
        <v>1</v>
      </c>
      <c r="CH294" s="149">
        <f t="shared" si="315"/>
        <v>1</v>
      </c>
      <c r="CI294" s="149">
        <f t="shared" si="316"/>
        <v>1</v>
      </c>
      <c r="CJ294" s="149">
        <f t="shared" si="317"/>
        <v>1</v>
      </c>
      <c r="CK294" s="149">
        <f t="shared" si="318"/>
        <v>1</v>
      </c>
      <c r="CL294" s="149">
        <f t="shared" si="319"/>
        <v>1</v>
      </c>
      <c r="CM294" s="149">
        <f t="shared" si="320"/>
        <v>1</v>
      </c>
      <c r="CN294" s="149">
        <f t="shared" si="321"/>
        <v>1</v>
      </c>
      <c r="CO294" s="149">
        <f t="shared" si="322"/>
        <v>1</v>
      </c>
      <c r="CP294" s="149">
        <f t="shared" si="323"/>
        <v>1</v>
      </c>
      <c r="CQ294" s="149">
        <f t="shared" si="324"/>
        <v>1</v>
      </c>
      <c r="CR294" s="149">
        <f t="shared" si="325"/>
        <v>1</v>
      </c>
      <c r="CS294" s="149">
        <f t="shared" si="326"/>
        <v>1</v>
      </c>
      <c r="CT294" s="149">
        <f t="shared" si="327"/>
        <v>1</v>
      </c>
      <c r="CU294" s="149">
        <f t="shared" si="328"/>
        <v>1</v>
      </c>
      <c r="CV294" s="149">
        <f t="shared" si="329"/>
        <v>1</v>
      </c>
      <c r="CW294" s="149">
        <f t="shared" si="330"/>
        <v>1</v>
      </c>
      <c r="CX294" s="149">
        <f t="shared" si="331"/>
        <v>1</v>
      </c>
      <c r="CY294" s="149">
        <f t="shared" si="332"/>
        <v>1</v>
      </c>
      <c r="CZ294" s="149">
        <f t="shared" si="333"/>
        <v>1</v>
      </c>
      <c r="DA294" s="149">
        <f t="shared" si="334"/>
        <v>1</v>
      </c>
      <c r="DB294" s="149">
        <f t="shared" si="335"/>
        <v>1</v>
      </c>
      <c r="DG294" s="125">
        <f t="shared" si="296"/>
        <v>1</v>
      </c>
      <c r="DH294" s="125">
        <f t="shared" si="349"/>
        <v>2</v>
      </c>
      <c r="DI294" s="125">
        <f t="shared" si="349"/>
        <v>3</v>
      </c>
      <c r="DJ294" s="125">
        <f t="shared" si="349"/>
        <v>4</v>
      </c>
      <c r="DK294" s="125">
        <f t="shared" si="349"/>
        <v>5</v>
      </c>
      <c r="DL294" s="125">
        <f t="shared" si="349"/>
        <v>6</v>
      </c>
      <c r="DM294" s="125">
        <f t="shared" si="349"/>
        <v>7</v>
      </c>
      <c r="DN294" s="125">
        <f t="shared" si="349"/>
        <v>8</v>
      </c>
      <c r="DO294" s="125">
        <f t="shared" si="349"/>
        <v>9</v>
      </c>
      <c r="DP294" s="125">
        <f t="shared" si="349"/>
        <v>10</v>
      </c>
      <c r="DS294" s="137"/>
      <c r="DT294" s="137"/>
      <c r="DU294" s="137"/>
      <c r="DV294" s="137" t="b">
        <f t="shared" si="336"/>
        <v>0</v>
      </c>
      <c r="DW294" s="137" t="b">
        <f t="shared" si="337"/>
        <v>0</v>
      </c>
      <c r="DX294" s="137" t="b">
        <f t="shared" si="338"/>
        <v>1</v>
      </c>
      <c r="EB294" s="131">
        <f t="shared" si="347"/>
        <v>1</v>
      </c>
      <c r="EC294" s="137" t="b">
        <f t="shared" si="339"/>
        <v>0</v>
      </c>
      <c r="ED294" s="137" t="b">
        <f t="shared" si="340"/>
        <v>0</v>
      </c>
      <c r="EE294" s="137" t="b">
        <f t="shared" si="341"/>
        <v>1</v>
      </c>
      <c r="EF294" s="137"/>
      <c r="EG294" s="137"/>
      <c r="EH294" s="137"/>
      <c r="EI294" s="137"/>
      <c r="EJ294" s="137">
        <f t="shared" si="348"/>
        <v>1</v>
      </c>
      <c r="EK294" s="125">
        <f t="shared" si="342"/>
        <v>0</v>
      </c>
      <c r="EL294" s="125">
        <f t="shared" si="343"/>
        <v>0</v>
      </c>
    </row>
    <row r="295" spans="2:142" ht="15.75" x14ac:dyDescent="0.2">
      <c r="B295" s="160">
        <f t="shared" si="344"/>
        <v>265</v>
      </c>
      <c r="C295" s="290">
        <v>1001348145</v>
      </c>
      <c r="D295" s="290">
        <v>1001275675</v>
      </c>
      <c r="E295" s="290">
        <v>40000564</v>
      </c>
      <c r="F295" s="118">
        <f>IF(OR(J295="",H295=""),"",VLOOKUP(J295,'הזנה לסיווג רשויות'!$B$2:$D$301,2,0))</f>
        <v>20000201</v>
      </c>
      <c r="G295" s="118" t="str">
        <f>IF(OR(J295="",H295=""),"",VLOOKUP(J295,'הזנה לסיווג רשויות'!$B$2:$D$301,3,0))</f>
        <v>תל אביב -יפו</v>
      </c>
      <c r="H295" s="293" t="s">
        <v>731</v>
      </c>
      <c r="I295" s="201" t="s">
        <v>379</v>
      </c>
      <c r="J295" s="294">
        <v>5000</v>
      </c>
      <c r="K295" s="161">
        <v>0</v>
      </c>
      <c r="L295" s="161">
        <v>1</v>
      </c>
      <c r="M295" s="161">
        <v>0</v>
      </c>
      <c r="N295" s="161">
        <v>0</v>
      </c>
      <c r="O295" s="161">
        <v>1</v>
      </c>
      <c r="P295" s="161">
        <v>1</v>
      </c>
      <c r="Q295" s="161">
        <v>1</v>
      </c>
      <c r="R295" s="201">
        <v>293774</v>
      </c>
      <c r="S295" s="201">
        <v>176239</v>
      </c>
      <c r="T295" s="160">
        <f>IF(G295="","",IFERROR(IF(S295/R295&gt;'פרמטרים לקריטריונים'!$C$20,1,0),0))</f>
        <v>1</v>
      </c>
      <c r="U295" s="296">
        <v>176238</v>
      </c>
      <c r="V295" s="160">
        <f>IF(G295="","",IFERROR(IF(U295/R295&gt;'פרמטרים לקריטריונים'!$C$21,1,IF(AND(I295=$BW$5,U295/R295&gt;'פרמטרים לקריטריונים'!$C$22),1,0)),0))</f>
        <v>1</v>
      </c>
      <c r="W295" s="161">
        <v>1</v>
      </c>
      <c r="X295" s="161">
        <v>1</v>
      </c>
      <c r="Y295" s="299">
        <v>150000</v>
      </c>
      <c r="Z295" s="300">
        <v>150000</v>
      </c>
      <c r="AA295" s="161">
        <f t="shared" si="345"/>
        <v>1</v>
      </c>
      <c r="AB295" s="161"/>
      <c r="AC295" s="161"/>
      <c r="AD295" s="161"/>
      <c r="AE295" s="161"/>
      <c r="AF295" s="161"/>
      <c r="AG295" s="161"/>
      <c r="AH295" s="161"/>
      <c r="AI295" s="161"/>
      <c r="AJ295" s="161"/>
      <c r="AK295" s="161"/>
      <c r="AL295" s="161"/>
      <c r="AM295" s="161"/>
      <c r="AN295" s="161"/>
      <c r="AO295" s="161"/>
      <c r="AP295" s="161"/>
      <c r="AQ295" s="161"/>
      <c r="AR295" s="161"/>
      <c r="AS295" s="161"/>
      <c r="AT295" s="161"/>
      <c r="AU295" s="161"/>
      <c r="AV295" s="161"/>
      <c r="AW295" s="160"/>
      <c r="AX295" s="161"/>
      <c r="AY295" s="161"/>
      <c r="AZ295" s="161"/>
      <c r="BA295" s="161"/>
      <c r="BB295" s="161"/>
      <c r="BC295" s="161"/>
      <c r="BD295" s="161"/>
      <c r="BE295" s="161"/>
      <c r="BF295" s="160" t="str">
        <f t="shared" si="346"/>
        <v/>
      </c>
      <c r="BG295" s="160"/>
      <c r="BH295" s="160"/>
      <c r="BI295" s="160"/>
      <c r="BJ295" s="160"/>
      <c r="BK295" s="160"/>
      <c r="BL295" s="162">
        <f t="shared" si="297"/>
        <v>1</v>
      </c>
      <c r="BM295" s="257"/>
      <c r="BN295" s="163"/>
      <c r="BO295" s="211" t="str">
        <f t="shared" si="298"/>
        <v>עמותת הכוריאוגרפים (ע"ר)יוצרים עצמאיים במחול</v>
      </c>
      <c r="BP295" s="125">
        <f t="shared" si="299"/>
        <v>1</v>
      </c>
      <c r="BQ295" s="164">
        <v>0</v>
      </c>
      <c r="BR295" s="164">
        <v>1</v>
      </c>
      <c r="BS295" s="149">
        <f t="shared" si="300"/>
        <v>1</v>
      </c>
      <c r="BT295" s="149">
        <f t="shared" si="301"/>
        <v>1</v>
      </c>
      <c r="BU295" s="149">
        <f t="shared" si="302"/>
        <v>1</v>
      </c>
      <c r="BV295" s="149">
        <f t="shared" si="303"/>
        <v>1</v>
      </c>
      <c r="BW295" s="149">
        <f t="shared" si="304"/>
        <v>1</v>
      </c>
      <c r="BX295" s="149">
        <f t="shared" si="305"/>
        <v>1</v>
      </c>
      <c r="BY295" s="149">
        <f t="shared" si="306"/>
        <v>1</v>
      </c>
      <c r="BZ295" s="149">
        <f t="shared" si="307"/>
        <v>1</v>
      </c>
      <c r="CA295" s="149">
        <f t="shared" si="308"/>
        <v>1</v>
      </c>
      <c r="CB295" s="149">
        <f t="shared" si="309"/>
        <v>1</v>
      </c>
      <c r="CC295" s="149">
        <f t="shared" si="310"/>
        <v>1</v>
      </c>
      <c r="CD295" s="149">
        <f t="shared" si="311"/>
        <v>1</v>
      </c>
      <c r="CE295" s="149">
        <f t="shared" si="312"/>
        <v>1</v>
      </c>
      <c r="CF295" s="149">
        <f t="shared" si="313"/>
        <v>1</v>
      </c>
      <c r="CG295" s="149">
        <f t="shared" si="314"/>
        <v>1</v>
      </c>
      <c r="CH295" s="149">
        <f t="shared" si="315"/>
        <v>1</v>
      </c>
      <c r="CI295" s="149">
        <f t="shared" si="316"/>
        <v>1</v>
      </c>
      <c r="CJ295" s="149">
        <f t="shared" si="317"/>
        <v>1</v>
      </c>
      <c r="CK295" s="149">
        <f t="shared" si="318"/>
        <v>1</v>
      </c>
      <c r="CL295" s="149">
        <f t="shared" si="319"/>
        <v>1</v>
      </c>
      <c r="CM295" s="149">
        <f t="shared" si="320"/>
        <v>1</v>
      </c>
      <c r="CN295" s="149">
        <f t="shared" si="321"/>
        <v>1</v>
      </c>
      <c r="CO295" s="149">
        <f t="shared" si="322"/>
        <v>1</v>
      </c>
      <c r="CP295" s="149">
        <f t="shared" si="323"/>
        <v>1</v>
      </c>
      <c r="CQ295" s="149">
        <f t="shared" si="324"/>
        <v>1</v>
      </c>
      <c r="CR295" s="149">
        <f t="shared" si="325"/>
        <v>1</v>
      </c>
      <c r="CS295" s="149">
        <f t="shared" si="326"/>
        <v>1</v>
      </c>
      <c r="CT295" s="149">
        <f t="shared" si="327"/>
        <v>1</v>
      </c>
      <c r="CU295" s="149">
        <f t="shared" si="328"/>
        <v>1</v>
      </c>
      <c r="CV295" s="149">
        <f t="shared" si="329"/>
        <v>1</v>
      </c>
      <c r="CW295" s="149">
        <f t="shared" si="330"/>
        <v>1</v>
      </c>
      <c r="CX295" s="149">
        <f t="shared" si="331"/>
        <v>1</v>
      </c>
      <c r="CY295" s="149">
        <f t="shared" si="332"/>
        <v>1</v>
      </c>
      <c r="CZ295" s="149">
        <f t="shared" si="333"/>
        <v>1</v>
      </c>
      <c r="DA295" s="149">
        <f t="shared" si="334"/>
        <v>1</v>
      </c>
      <c r="DB295" s="149">
        <f t="shared" si="335"/>
        <v>1</v>
      </c>
      <c r="DG295" s="125">
        <f t="shared" si="296"/>
        <v>1</v>
      </c>
      <c r="DH295" s="125">
        <f t="shared" si="349"/>
        <v>2</v>
      </c>
      <c r="DI295" s="125">
        <f t="shared" si="349"/>
        <v>3</v>
      </c>
      <c r="DJ295" s="125">
        <f t="shared" si="349"/>
        <v>4</v>
      </c>
      <c r="DK295" s="125">
        <f t="shared" si="349"/>
        <v>5</v>
      </c>
      <c r="DL295" s="125">
        <f t="shared" si="349"/>
        <v>6</v>
      </c>
      <c r="DM295" s="125">
        <f t="shared" si="349"/>
        <v>7</v>
      </c>
      <c r="DN295" s="125">
        <f t="shared" si="349"/>
        <v>8</v>
      </c>
      <c r="DO295" s="125">
        <f t="shared" si="349"/>
        <v>9</v>
      </c>
      <c r="DP295" s="125">
        <f t="shared" si="349"/>
        <v>10</v>
      </c>
      <c r="DS295" s="137"/>
      <c r="DT295" s="137"/>
      <c r="DU295" s="137"/>
      <c r="DV295" s="137" t="b">
        <f t="shared" si="336"/>
        <v>0</v>
      </c>
      <c r="DW295" s="137" t="b">
        <f t="shared" si="337"/>
        <v>0</v>
      </c>
      <c r="DX295" s="137" t="b">
        <f t="shared" si="338"/>
        <v>1</v>
      </c>
      <c r="EB295" s="131">
        <f t="shared" si="347"/>
        <v>1</v>
      </c>
      <c r="EC295" s="137" t="b">
        <f t="shared" si="339"/>
        <v>0</v>
      </c>
      <c r="ED295" s="137" t="b">
        <f t="shared" si="340"/>
        <v>0</v>
      </c>
      <c r="EE295" s="137" t="b">
        <f t="shared" si="341"/>
        <v>1</v>
      </c>
      <c r="EF295" s="137"/>
      <c r="EG295" s="137"/>
      <c r="EH295" s="137"/>
      <c r="EI295" s="137"/>
      <c r="EJ295" s="137">
        <f t="shared" si="348"/>
        <v>1</v>
      </c>
      <c r="EK295" s="125">
        <f t="shared" si="342"/>
        <v>0</v>
      </c>
      <c r="EL295" s="125">
        <f t="shared" si="343"/>
        <v>0</v>
      </c>
    </row>
    <row r="296" spans="2:142" ht="15.75" x14ac:dyDescent="0.2">
      <c r="B296" s="160">
        <f t="shared" si="344"/>
        <v>266</v>
      </c>
      <c r="C296" s="290">
        <v>1001348146</v>
      </c>
      <c r="D296" s="290">
        <v>1001275667</v>
      </c>
      <c r="E296" s="290">
        <v>40000564</v>
      </c>
      <c r="F296" s="118">
        <f>IF(OR(J296="",H296=""),"",VLOOKUP(J296,'הזנה לסיווג רשויות'!$B$2:$D$301,2,0))</f>
        <v>20000201</v>
      </c>
      <c r="G296" s="118" t="str">
        <f>IF(OR(J296="",H296=""),"",VLOOKUP(J296,'הזנה לסיווג רשויות'!$B$2:$D$301,3,0))</f>
        <v>תל אביב -יפו</v>
      </c>
      <c r="H296" s="293" t="s">
        <v>731</v>
      </c>
      <c r="I296" s="201" t="s">
        <v>379</v>
      </c>
      <c r="J296" s="294">
        <v>5000</v>
      </c>
      <c r="K296" s="161">
        <v>0</v>
      </c>
      <c r="L296" s="161">
        <v>1</v>
      </c>
      <c r="M296" s="161">
        <v>0</v>
      </c>
      <c r="N296" s="161">
        <v>0</v>
      </c>
      <c r="O296" s="161">
        <v>1</v>
      </c>
      <c r="P296" s="161">
        <v>1</v>
      </c>
      <c r="Q296" s="161">
        <v>1</v>
      </c>
      <c r="R296" s="201">
        <v>139582</v>
      </c>
      <c r="S296" s="201">
        <v>44453</v>
      </c>
      <c r="T296" s="160">
        <f>IF(G296="","",IFERROR(IF(S296/R296&gt;'פרמטרים לקריטריונים'!$C$20,1,0),0))</f>
        <v>1</v>
      </c>
      <c r="U296" s="296">
        <v>36141</v>
      </c>
      <c r="V296" s="160">
        <f>IF(G296="","",IFERROR(IF(U296/R296&gt;'פרמטרים לקריטריונים'!$C$21,1,IF(AND(I296=$BW$5,U296/R296&gt;'פרמטרים לקריטריונים'!$C$22),1,0)),0))</f>
        <v>1</v>
      </c>
      <c r="W296" s="161">
        <v>1</v>
      </c>
      <c r="X296" s="161">
        <v>1</v>
      </c>
      <c r="Y296" s="299">
        <v>150000</v>
      </c>
      <c r="Z296" s="300">
        <v>150000</v>
      </c>
      <c r="AA296" s="161">
        <f t="shared" si="345"/>
        <v>1</v>
      </c>
      <c r="AB296" s="161"/>
      <c r="AC296" s="161"/>
      <c r="AD296" s="161"/>
      <c r="AE296" s="161"/>
      <c r="AF296" s="161"/>
      <c r="AG296" s="161"/>
      <c r="AH296" s="161"/>
      <c r="AI296" s="161"/>
      <c r="AJ296" s="161"/>
      <c r="AK296" s="161"/>
      <c r="AL296" s="161"/>
      <c r="AM296" s="161"/>
      <c r="AN296" s="161"/>
      <c r="AO296" s="161"/>
      <c r="AP296" s="161"/>
      <c r="AQ296" s="161"/>
      <c r="AR296" s="161"/>
      <c r="AS296" s="161"/>
      <c r="AT296" s="161"/>
      <c r="AU296" s="161"/>
      <c r="AV296" s="161"/>
      <c r="AW296" s="160"/>
      <c r="AX296" s="161"/>
      <c r="AY296" s="161"/>
      <c r="AZ296" s="161"/>
      <c r="BA296" s="161"/>
      <c r="BB296" s="161"/>
      <c r="BC296" s="161"/>
      <c r="BD296" s="161"/>
      <c r="BE296" s="161"/>
      <c r="BF296" s="160" t="str">
        <f t="shared" si="346"/>
        <v/>
      </c>
      <c r="BG296" s="160"/>
      <c r="BH296" s="160"/>
      <c r="BI296" s="160"/>
      <c r="BJ296" s="160"/>
      <c r="BK296" s="160"/>
      <c r="BL296" s="162">
        <f t="shared" si="297"/>
        <v>1</v>
      </c>
      <c r="BM296" s="257"/>
      <c r="BN296" s="163"/>
      <c r="BO296" s="211" t="str">
        <f t="shared" si="298"/>
        <v>עמותת הכוריאוגרפים (ע"ר)יוצרים עצמאיים במחול</v>
      </c>
      <c r="BP296" s="125">
        <f t="shared" si="299"/>
        <v>1</v>
      </c>
      <c r="BQ296" s="164">
        <v>0</v>
      </c>
      <c r="BR296" s="164">
        <v>1</v>
      </c>
      <c r="BS296" s="149">
        <f t="shared" si="300"/>
        <v>1</v>
      </c>
      <c r="BT296" s="149">
        <f t="shared" si="301"/>
        <v>1</v>
      </c>
      <c r="BU296" s="149">
        <f t="shared" si="302"/>
        <v>1</v>
      </c>
      <c r="BV296" s="149">
        <f t="shared" si="303"/>
        <v>1</v>
      </c>
      <c r="BW296" s="149">
        <f t="shared" si="304"/>
        <v>1</v>
      </c>
      <c r="BX296" s="149">
        <f t="shared" si="305"/>
        <v>1</v>
      </c>
      <c r="BY296" s="149">
        <f t="shared" si="306"/>
        <v>1</v>
      </c>
      <c r="BZ296" s="149">
        <f t="shared" si="307"/>
        <v>1</v>
      </c>
      <c r="CA296" s="149">
        <f t="shared" si="308"/>
        <v>1</v>
      </c>
      <c r="CB296" s="149">
        <f t="shared" si="309"/>
        <v>1</v>
      </c>
      <c r="CC296" s="149">
        <f t="shared" si="310"/>
        <v>1</v>
      </c>
      <c r="CD296" s="149">
        <f t="shared" si="311"/>
        <v>1</v>
      </c>
      <c r="CE296" s="149">
        <f t="shared" si="312"/>
        <v>1</v>
      </c>
      <c r="CF296" s="149">
        <f t="shared" si="313"/>
        <v>1</v>
      </c>
      <c r="CG296" s="149">
        <f t="shared" si="314"/>
        <v>1</v>
      </c>
      <c r="CH296" s="149">
        <f t="shared" si="315"/>
        <v>1</v>
      </c>
      <c r="CI296" s="149">
        <f t="shared" si="316"/>
        <v>1</v>
      </c>
      <c r="CJ296" s="149">
        <f t="shared" si="317"/>
        <v>1</v>
      </c>
      <c r="CK296" s="149">
        <f t="shared" si="318"/>
        <v>1</v>
      </c>
      <c r="CL296" s="149">
        <f t="shared" si="319"/>
        <v>1</v>
      </c>
      <c r="CM296" s="149">
        <f t="shared" si="320"/>
        <v>1</v>
      </c>
      <c r="CN296" s="149">
        <f t="shared" si="321"/>
        <v>1</v>
      </c>
      <c r="CO296" s="149">
        <f t="shared" si="322"/>
        <v>1</v>
      </c>
      <c r="CP296" s="149">
        <f t="shared" si="323"/>
        <v>1</v>
      </c>
      <c r="CQ296" s="149">
        <f t="shared" si="324"/>
        <v>1</v>
      </c>
      <c r="CR296" s="149">
        <f t="shared" si="325"/>
        <v>1</v>
      </c>
      <c r="CS296" s="149">
        <f t="shared" si="326"/>
        <v>1</v>
      </c>
      <c r="CT296" s="149">
        <f t="shared" si="327"/>
        <v>1</v>
      </c>
      <c r="CU296" s="149">
        <f t="shared" si="328"/>
        <v>1</v>
      </c>
      <c r="CV296" s="149">
        <f t="shared" si="329"/>
        <v>1</v>
      </c>
      <c r="CW296" s="149">
        <f t="shared" si="330"/>
        <v>1</v>
      </c>
      <c r="CX296" s="149">
        <f t="shared" si="331"/>
        <v>1</v>
      </c>
      <c r="CY296" s="149">
        <f t="shared" si="332"/>
        <v>1</v>
      </c>
      <c r="CZ296" s="149">
        <f t="shared" si="333"/>
        <v>1</v>
      </c>
      <c r="DA296" s="149">
        <f t="shared" si="334"/>
        <v>1</v>
      </c>
      <c r="DB296" s="149">
        <f t="shared" si="335"/>
        <v>1</v>
      </c>
      <c r="DG296" s="125">
        <f t="shared" si="296"/>
        <v>1</v>
      </c>
      <c r="DH296" s="125">
        <f t="shared" si="349"/>
        <v>2</v>
      </c>
      <c r="DI296" s="125">
        <f t="shared" si="349"/>
        <v>3</v>
      </c>
      <c r="DJ296" s="125">
        <f t="shared" si="349"/>
        <v>4</v>
      </c>
      <c r="DK296" s="125">
        <f t="shared" si="349"/>
        <v>5</v>
      </c>
      <c r="DL296" s="125">
        <f t="shared" si="349"/>
        <v>6</v>
      </c>
      <c r="DM296" s="125">
        <f t="shared" si="349"/>
        <v>7</v>
      </c>
      <c r="DN296" s="125">
        <f t="shared" si="349"/>
        <v>8</v>
      </c>
      <c r="DO296" s="125">
        <f t="shared" si="349"/>
        <v>9</v>
      </c>
      <c r="DP296" s="125">
        <f t="shared" si="349"/>
        <v>10</v>
      </c>
      <c r="DS296" s="137"/>
      <c r="DT296" s="137"/>
      <c r="DU296" s="137"/>
      <c r="DV296" s="137" t="b">
        <f t="shared" si="336"/>
        <v>0</v>
      </c>
      <c r="DW296" s="137" t="b">
        <f t="shared" si="337"/>
        <v>0</v>
      </c>
      <c r="DX296" s="137" t="b">
        <f t="shared" si="338"/>
        <v>1</v>
      </c>
      <c r="EB296" s="131">
        <f t="shared" si="347"/>
        <v>1</v>
      </c>
      <c r="EC296" s="137" t="b">
        <f t="shared" si="339"/>
        <v>0</v>
      </c>
      <c r="ED296" s="137" t="b">
        <f t="shared" si="340"/>
        <v>0</v>
      </c>
      <c r="EE296" s="137" t="b">
        <f t="shared" si="341"/>
        <v>1</v>
      </c>
      <c r="EF296" s="137"/>
      <c r="EG296" s="137"/>
      <c r="EH296" s="137"/>
      <c r="EI296" s="137"/>
      <c r="EJ296" s="137">
        <f t="shared" si="348"/>
        <v>1</v>
      </c>
      <c r="EK296" s="125">
        <f t="shared" si="342"/>
        <v>0</v>
      </c>
      <c r="EL296" s="125">
        <f t="shared" si="343"/>
        <v>0</v>
      </c>
    </row>
    <row r="297" spans="2:142" ht="15.75" x14ac:dyDescent="0.2">
      <c r="B297" s="160">
        <f t="shared" si="344"/>
        <v>267</v>
      </c>
      <c r="C297" s="290">
        <v>1001348148</v>
      </c>
      <c r="D297" s="290">
        <v>1001275666</v>
      </c>
      <c r="E297" s="290">
        <v>40000564</v>
      </c>
      <c r="F297" s="118">
        <f>IF(OR(J297="",H297=""),"",VLOOKUP(J297,'הזנה לסיווג רשויות'!$B$2:$D$301,2,0))</f>
        <v>20000201</v>
      </c>
      <c r="G297" s="118" t="str">
        <f>IF(OR(J297="",H297=""),"",VLOOKUP(J297,'הזנה לסיווג רשויות'!$B$2:$D$301,3,0))</f>
        <v>תל אביב -יפו</v>
      </c>
      <c r="H297" s="293" t="s">
        <v>731</v>
      </c>
      <c r="I297" s="201" t="s">
        <v>379</v>
      </c>
      <c r="J297" s="294">
        <v>5000</v>
      </c>
      <c r="K297" s="161">
        <v>0</v>
      </c>
      <c r="L297" s="161">
        <v>1</v>
      </c>
      <c r="M297" s="161">
        <v>0</v>
      </c>
      <c r="N297" s="161">
        <v>0</v>
      </c>
      <c r="O297" s="161">
        <v>1</v>
      </c>
      <c r="P297" s="161">
        <v>1</v>
      </c>
      <c r="Q297" s="161">
        <v>1</v>
      </c>
      <c r="R297" s="201">
        <v>46428</v>
      </c>
      <c r="S297" s="201">
        <v>46428</v>
      </c>
      <c r="T297" s="160">
        <f>IF(G297="","",IFERROR(IF(S297/R297&gt;'פרמטרים לקריטריונים'!$C$20,1,0),0))</f>
        <v>1</v>
      </c>
      <c r="U297" s="296">
        <v>46427</v>
      </c>
      <c r="V297" s="160">
        <f>IF(G297="","",IFERROR(IF(U297/R297&gt;'פרמטרים לקריטריונים'!$C$21,1,IF(AND(I297=$BW$5,U297/R297&gt;'פרמטרים לקריטריונים'!$C$22),1,0)),0))</f>
        <v>1</v>
      </c>
      <c r="W297" s="161">
        <v>1</v>
      </c>
      <c r="X297" s="161">
        <v>1</v>
      </c>
      <c r="Y297" s="299">
        <v>150000</v>
      </c>
      <c r="Z297" s="300">
        <v>150000</v>
      </c>
      <c r="AA297" s="161">
        <f t="shared" si="345"/>
        <v>1</v>
      </c>
      <c r="AB297" s="161"/>
      <c r="AC297" s="161"/>
      <c r="AD297" s="161"/>
      <c r="AE297" s="161"/>
      <c r="AF297" s="161"/>
      <c r="AG297" s="161"/>
      <c r="AH297" s="161"/>
      <c r="AI297" s="161"/>
      <c r="AJ297" s="161"/>
      <c r="AK297" s="161"/>
      <c r="AL297" s="161"/>
      <c r="AM297" s="161"/>
      <c r="AN297" s="161"/>
      <c r="AO297" s="161"/>
      <c r="AP297" s="161"/>
      <c r="AQ297" s="161"/>
      <c r="AR297" s="161"/>
      <c r="AS297" s="161"/>
      <c r="AT297" s="161"/>
      <c r="AU297" s="161"/>
      <c r="AV297" s="161"/>
      <c r="AW297" s="160"/>
      <c r="AX297" s="161"/>
      <c r="AY297" s="161"/>
      <c r="AZ297" s="161"/>
      <c r="BA297" s="161"/>
      <c r="BB297" s="161"/>
      <c r="BC297" s="161"/>
      <c r="BD297" s="161"/>
      <c r="BE297" s="161"/>
      <c r="BF297" s="160" t="str">
        <f t="shared" si="346"/>
        <v/>
      </c>
      <c r="BG297" s="160"/>
      <c r="BH297" s="160"/>
      <c r="BI297" s="160"/>
      <c r="BJ297" s="160"/>
      <c r="BK297" s="160"/>
      <c r="BL297" s="162">
        <f t="shared" si="297"/>
        <v>1</v>
      </c>
      <c r="BM297" s="257"/>
      <c r="BN297" s="163"/>
      <c r="BO297" s="211" t="str">
        <f t="shared" si="298"/>
        <v>עמותת הכוריאוגרפים (ע"ר)יוצרים עצמאיים במחול</v>
      </c>
      <c r="BP297" s="125">
        <f t="shared" si="299"/>
        <v>1</v>
      </c>
      <c r="BQ297" s="164">
        <v>0</v>
      </c>
      <c r="BR297" s="164">
        <v>1</v>
      </c>
      <c r="BS297" s="149">
        <f t="shared" si="300"/>
        <v>1</v>
      </c>
      <c r="BT297" s="149">
        <f t="shared" si="301"/>
        <v>1</v>
      </c>
      <c r="BU297" s="149">
        <f t="shared" si="302"/>
        <v>1</v>
      </c>
      <c r="BV297" s="149">
        <f t="shared" si="303"/>
        <v>1</v>
      </c>
      <c r="BW297" s="149">
        <f t="shared" si="304"/>
        <v>1</v>
      </c>
      <c r="BX297" s="149">
        <f t="shared" si="305"/>
        <v>1</v>
      </c>
      <c r="BY297" s="149">
        <f t="shared" si="306"/>
        <v>1</v>
      </c>
      <c r="BZ297" s="149">
        <f t="shared" si="307"/>
        <v>1</v>
      </c>
      <c r="CA297" s="149">
        <f t="shared" si="308"/>
        <v>1</v>
      </c>
      <c r="CB297" s="149">
        <f t="shared" si="309"/>
        <v>1</v>
      </c>
      <c r="CC297" s="149">
        <f t="shared" si="310"/>
        <v>1</v>
      </c>
      <c r="CD297" s="149">
        <f t="shared" si="311"/>
        <v>1</v>
      </c>
      <c r="CE297" s="149">
        <f t="shared" si="312"/>
        <v>1</v>
      </c>
      <c r="CF297" s="149">
        <f t="shared" si="313"/>
        <v>1</v>
      </c>
      <c r="CG297" s="149">
        <f t="shared" si="314"/>
        <v>1</v>
      </c>
      <c r="CH297" s="149">
        <f t="shared" si="315"/>
        <v>1</v>
      </c>
      <c r="CI297" s="149">
        <f t="shared" si="316"/>
        <v>1</v>
      </c>
      <c r="CJ297" s="149">
        <f t="shared" si="317"/>
        <v>1</v>
      </c>
      <c r="CK297" s="149">
        <f t="shared" si="318"/>
        <v>1</v>
      </c>
      <c r="CL297" s="149">
        <f t="shared" si="319"/>
        <v>1</v>
      </c>
      <c r="CM297" s="149">
        <f t="shared" si="320"/>
        <v>1</v>
      </c>
      <c r="CN297" s="149">
        <f t="shared" si="321"/>
        <v>1</v>
      </c>
      <c r="CO297" s="149">
        <f t="shared" si="322"/>
        <v>1</v>
      </c>
      <c r="CP297" s="149">
        <f t="shared" si="323"/>
        <v>1</v>
      </c>
      <c r="CQ297" s="149">
        <f t="shared" si="324"/>
        <v>1</v>
      </c>
      <c r="CR297" s="149">
        <f t="shared" si="325"/>
        <v>1</v>
      </c>
      <c r="CS297" s="149">
        <f t="shared" si="326"/>
        <v>1</v>
      </c>
      <c r="CT297" s="149">
        <f t="shared" si="327"/>
        <v>1</v>
      </c>
      <c r="CU297" s="149">
        <f t="shared" si="328"/>
        <v>1</v>
      </c>
      <c r="CV297" s="149">
        <f t="shared" si="329"/>
        <v>1</v>
      </c>
      <c r="CW297" s="149">
        <f t="shared" si="330"/>
        <v>1</v>
      </c>
      <c r="CX297" s="149">
        <f t="shared" si="331"/>
        <v>1</v>
      </c>
      <c r="CY297" s="149">
        <f t="shared" si="332"/>
        <v>1</v>
      </c>
      <c r="CZ297" s="149">
        <f t="shared" si="333"/>
        <v>1</v>
      </c>
      <c r="DA297" s="149">
        <f t="shared" si="334"/>
        <v>1</v>
      </c>
      <c r="DB297" s="149">
        <f t="shared" si="335"/>
        <v>1</v>
      </c>
      <c r="DG297" s="125">
        <f t="shared" si="296"/>
        <v>1</v>
      </c>
      <c r="DH297" s="125">
        <f t="shared" si="349"/>
        <v>2</v>
      </c>
      <c r="DI297" s="125">
        <f t="shared" si="349"/>
        <v>3</v>
      </c>
      <c r="DJ297" s="125">
        <f t="shared" si="349"/>
        <v>4</v>
      </c>
      <c r="DK297" s="125">
        <f t="shared" si="349"/>
        <v>5</v>
      </c>
      <c r="DL297" s="125">
        <f t="shared" si="349"/>
        <v>6</v>
      </c>
      <c r="DM297" s="125">
        <f t="shared" si="349"/>
        <v>7</v>
      </c>
      <c r="DN297" s="125">
        <f t="shared" si="349"/>
        <v>8</v>
      </c>
      <c r="DO297" s="125">
        <f t="shared" si="349"/>
        <v>9</v>
      </c>
      <c r="DP297" s="125">
        <f t="shared" si="349"/>
        <v>10</v>
      </c>
      <c r="DS297" s="137"/>
      <c r="DT297" s="137"/>
      <c r="DU297" s="137"/>
      <c r="DV297" s="137" t="b">
        <f t="shared" si="336"/>
        <v>0</v>
      </c>
      <c r="DW297" s="137" t="b">
        <f t="shared" si="337"/>
        <v>0</v>
      </c>
      <c r="DX297" s="137" t="b">
        <f t="shared" si="338"/>
        <v>1</v>
      </c>
      <c r="EB297" s="131">
        <f t="shared" si="347"/>
        <v>1</v>
      </c>
      <c r="EC297" s="137" t="b">
        <f t="shared" si="339"/>
        <v>0</v>
      </c>
      <c r="ED297" s="137" t="b">
        <f t="shared" si="340"/>
        <v>0</v>
      </c>
      <c r="EE297" s="137" t="b">
        <f t="shared" si="341"/>
        <v>1</v>
      </c>
      <c r="EF297" s="137"/>
      <c r="EG297" s="137"/>
      <c r="EH297" s="137"/>
      <c r="EI297" s="137"/>
      <c r="EJ297" s="137">
        <f t="shared" si="348"/>
        <v>1</v>
      </c>
      <c r="EK297" s="125">
        <f t="shared" si="342"/>
        <v>0</v>
      </c>
      <c r="EL297" s="125">
        <f t="shared" si="343"/>
        <v>0</v>
      </c>
    </row>
    <row r="298" spans="2:142" ht="15.75" x14ac:dyDescent="0.2">
      <c r="B298" s="160">
        <f t="shared" si="344"/>
        <v>268</v>
      </c>
      <c r="C298" s="290">
        <v>1001348157</v>
      </c>
      <c r="D298" s="290">
        <v>1001275663</v>
      </c>
      <c r="E298" s="290">
        <v>40000564</v>
      </c>
      <c r="F298" s="118">
        <f>IF(OR(J298="",H298=""),"",VLOOKUP(J298,'הזנה לסיווג רשויות'!$B$2:$D$301,2,0))</f>
        <v>20000201</v>
      </c>
      <c r="G298" s="118" t="str">
        <f>IF(OR(J298="",H298=""),"",VLOOKUP(J298,'הזנה לסיווג רשויות'!$B$2:$D$301,3,0))</f>
        <v>תל אביב -יפו</v>
      </c>
      <c r="H298" s="293" t="s">
        <v>731</v>
      </c>
      <c r="I298" s="201" t="s">
        <v>379</v>
      </c>
      <c r="J298" s="294">
        <v>5000</v>
      </c>
      <c r="K298" s="161">
        <v>0</v>
      </c>
      <c r="L298" s="161">
        <v>1</v>
      </c>
      <c r="M298" s="161">
        <v>0</v>
      </c>
      <c r="N298" s="161">
        <v>0</v>
      </c>
      <c r="O298" s="161">
        <v>1</v>
      </c>
      <c r="P298" s="161">
        <v>1</v>
      </c>
      <c r="Q298" s="161">
        <v>1</v>
      </c>
      <c r="R298" s="201">
        <v>153422</v>
      </c>
      <c r="S298" s="201">
        <v>75820</v>
      </c>
      <c r="T298" s="160">
        <f>IF(G298="","",IFERROR(IF(S298/R298&gt;'פרמטרים לקריטריונים'!$C$20,1,0),0))</f>
        <v>1</v>
      </c>
      <c r="U298" s="296">
        <v>75820</v>
      </c>
      <c r="V298" s="160">
        <f>IF(G298="","",IFERROR(IF(U298/R298&gt;'פרמטרים לקריטריונים'!$C$21,1,IF(AND(I298=$BW$5,U298/R298&gt;'פרמטרים לקריטריונים'!$C$22),1,0)),0))</f>
        <v>1</v>
      </c>
      <c r="W298" s="161">
        <v>1</v>
      </c>
      <c r="X298" s="161">
        <v>1</v>
      </c>
      <c r="Y298" s="299">
        <v>150000</v>
      </c>
      <c r="Z298" s="300">
        <v>150000</v>
      </c>
      <c r="AA298" s="161">
        <f t="shared" si="345"/>
        <v>1</v>
      </c>
      <c r="AB298" s="161"/>
      <c r="AC298" s="161"/>
      <c r="AD298" s="161"/>
      <c r="AE298" s="161"/>
      <c r="AF298" s="161"/>
      <c r="AG298" s="161"/>
      <c r="AH298" s="161"/>
      <c r="AI298" s="161"/>
      <c r="AJ298" s="161"/>
      <c r="AK298" s="161"/>
      <c r="AL298" s="161"/>
      <c r="AM298" s="161"/>
      <c r="AN298" s="161"/>
      <c r="AO298" s="161"/>
      <c r="AP298" s="161"/>
      <c r="AQ298" s="161"/>
      <c r="AR298" s="161"/>
      <c r="AS298" s="161"/>
      <c r="AT298" s="161"/>
      <c r="AU298" s="161"/>
      <c r="AV298" s="161"/>
      <c r="AW298" s="160"/>
      <c r="AX298" s="161"/>
      <c r="AY298" s="161"/>
      <c r="AZ298" s="161"/>
      <c r="BA298" s="161"/>
      <c r="BB298" s="161"/>
      <c r="BC298" s="161"/>
      <c r="BD298" s="161"/>
      <c r="BE298" s="161"/>
      <c r="BF298" s="160" t="str">
        <f t="shared" si="346"/>
        <v/>
      </c>
      <c r="BG298" s="160"/>
      <c r="BH298" s="160"/>
      <c r="BI298" s="160"/>
      <c r="BJ298" s="160"/>
      <c r="BK298" s="160"/>
      <c r="BL298" s="162">
        <f t="shared" si="297"/>
        <v>1</v>
      </c>
      <c r="BM298" s="257"/>
      <c r="BN298" s="163"/>
      <c r="BO298" s="211" t="str">
        <f t="shared" si="298"/>
        <v>עמותת הכוריאוגרפים (ע"ר)יוצרים עצמאיים במחול</v>
      </c>
      <c r="BP298" s="125">
        <f t="shared" si="299"/>
        <v>1</v>
      </c>
      <c r="BQ298" s="164">
        <v>0</v>
      </c>
      <c r="BR298" s="164">
        <v>1</v>
      </c>
      <c r="BS298" s="149">
        <f t="shared" si="300"/>
        <v>1</v>
      </c>
      <c r="BT298" s="149">
        <f t="shared" si="301"/>
        <v>1</v>
      </c>
      <c r="BU298" s="149">
        <f t="shared" si="302"/>
        <v>1</v>
      </c>
      <c r="BV298" s="149">
        <f t="shared" si="303"/>
        <v>1</v>
      </c>
      <c r="BW298" s="149">
        <f t="shared" si="304"/>
        <v>1</v>
      </c>
      <c r="BX298" s="149">
        <f t="shared" si="305"/>
        <v>1</v>
      </c>
      <c r="BY298" s="149">
        <f t="shared" si="306"/>
        <v>1</v>
      </c>
      <c r="BZ298" s="149">
        <f t="shared" si="307"/>
        <v>1</v>
      </c>
      <c r="CA298" s="149">
        <f t="shared" si="308"/>
        <v>1</v>
      </c>
      <c r="CB298" s="149">
        <f t="shared" si="309"/>
        <v>1</v>
      </c>
      <c r="CC298" s="149">
        <f t="shared" si="310"/>
        <v>1</v>
      </c>
      <c r="CD298" s="149">
        <f t="shared" si="311"/>
        <v>1</v>
      </c>
      <c r="CE298" s="149">
        <f t="shared" si="312"/>
        <v>1</v>
      </c>
      <c r="CF298" s="149">
        <f t="shared" si="313"/>
        <v>1</v>
      </c>
      <c r="CG298" s="149">
        <f t="shared" si="314"/>
        <v>1</v>
      </c>
      <c r="CH298" s="149">
        <f t="shared" si="315"/>
        <v>1</v>
      </c>
      <c r="CI298" s="149">
        <f t="shared" si="316"/>
        <v>1</v>
      </c>
      <c r="CJ298" s="149">
        <f t="shared" si="317"/>
        <v>1</v>
      </c>
      <c r="CK298" s="149">
        <f t="shared" si="318"/>
        <v>1</v>
      </c>
      <c r="CL298" s="149">
        <f t="shared" si="319"/>
        <v>1</v>
      </c>
      <c r="CM298" s="149">
        <f t="shared" si="320"/>
        <v>1</v>
      </c>
      <c r="CN298" s="149">
        <f t="shared" si="321"/>
        <v>1</v>
      </c>
      <c r="CO298" s="149">
        <f t="shared" si="322"/>
        <v>1</v>
      </c>
      <c r="CP298" s="149">
        <f t="shared" si="323"/>
        <v>1</v>
      </c>
      <c r="CQ298" s="149">
        <f t="shared" si="324"/>
        <v>1</v>
      </c>
      <c r="CR298" s="149">
        <f t="shared" si="325"/>
        <v>1</v>
      </c>
      <c r="CS298" s="149">
        <f t="shared" si="326"/>
        <v>1</v>
      </c>
      <c r="CT298" s="149">
        <f t="shared" si="327"/>
        <v>1</v>
      </c>
      <c r="CU298" s="149">
        <f t="shared" si="328"/>
        <v>1</v>
      </c>
      <c r="CV298" s="149">
        <f t="shared" si="329"/>
        <v>1</v>
      </c>
      <c r="CW298" s="149">
        <f t="shared" si="330"/>
        <v>1</v>
      </c>
      <c r="CX298" s="149">
        <f t="shared" si="331"/>
        <v>1</v>
      </c>
      <c r="CY298" s="149">
        <f t="shared" si="332"/>
        <v>1</v>
      </c>
      <c r="CZ298" s="149">
        <f t="shared" si="333"/>
        <v>1</v>
      </c>
      <c r="DA298" s="149">
        <f t="shared" si="334"/>
        <v>1</v>
      </c>
      <c r="DB298" s="149">
        <f t="shared" si="335"/>
        <v>1</v>
      </c>
      <c r="DG298" s="125">
        <f t="shared" si="296"/>
        <v>1</v>
      </c>
      <c r="DH298" s="125">
        <f t="shared" si="349"/>
        <v>2</v>
      </c>
      <c r="DI298" s="125">
        <f t="shared" si="349"/>
        <v>3</v>
      </c>
      <c r="DJ298" s="125">
        <f t="shared" si="349"/>
        <v>4</v>
      </c>
      <c r="DK298" s="125">
        <f t="shared" si="349"/>
        <v>5</v>
      </c>
      <c r="DL298" s="125">
        <f t="shared" si="349"/>
        <v>6</v>
      </c>
      <c r="DM298" s="125">
        <f t="shared" si="349"/>
        <v>7</v>
      </c>
      <c r="DN298" s="125">
        <f t="shared" si="349"/>
        <v>8</v>
      </c>
      <c r="DO298" s="125">
        <f t="shared" si="349"/>
        <v>9</v>
      </c>
      <c r="DP298" s="125">
        <f t="shared" si="349"/>
        <v>10</v>
      </c>
      <c r="DS298" s="137"/>
      <c r="DT298" s="137"/>
      <c r="DU298" s="137"/>
      <c r="DV298" s="137" t="b">
        <f t="shared" si="336"/>
        <v>0</v>
      </c>
      <c r="DW298" s="137" t="b">
        <f t="shared" si="337"/>
        <v>0</v>
      </c>
      <c r="DX298" s="137" t="b">
        <f t="shared" si="338"/>
        <v>1</v>
      </c>
      <c r="EB298" s="131">
        <f t="shared" si="347"/>
        <v>1</v>
      </c>
      <c r="EC298" s="137" t="b">
        <f t="shared" si="339"/>
        <v>0</v>
      </c>
      <c r="ED298" s="137" t="b">
        <f t="shared" si="340"/>
        <v>0</v>
      </c>
      <c r="EE298" s="137" t="b">
        <f t="shared" si="341"/>
        <v>1</v>
      </c>
      <c r="EF298" s="137"/>
      <c r="EG298" s="137"/>
      <c r="EH298" s="137"/>
      <c r="EI298" s="137"/>
      <c r="EJ298" s="137">
        <f t="shared" si="348"/>
        <v>1</v>
      </c>
      <c r="EK298" s="125">
        <f t="shared" si="342"/>
        <v>0</v>
      </c>
      <c r="EL298" s="125">
        <f t="shared" si="343"/>
        <v>0</v>
      </c>
    </row>
    <row r="299" spans="2:142" ht="15.75" x14ac:dyDescent="0.2">
      <c r="B299" s="160">
        <f t="shared" si="344"/>
        <v>269</v>
      </c>
      <c r="C299" s="290">
        <v>1001348158</v>
      </c>
      <c r="D299" s="290">
        <v>1001275662</v>
      </c>
      <c r="E299" s="290">
        <v>40000564</v>
      </c>
      <c r="F299" s="118">
        <f>IF(OR(J299="",H299=""),"",VLOOKUP(J299,'הזנה לסיווג רשויות'!$B$2:$D$301,2,0))</f>
        <v>20000201</v>
      </c>
      <c r="G299" s="118" t="str">
        <f>IF(OR(J299="",H299=""),"",VLOOKUP(J299,'הזנה לסיווג רשויות'!$B$2:$D$301,3,0))</f>
        <v>תל אביב -יפו</v>
      </c>
      <c r="H299" s="293" t="s">
        <v>731</v>
      </c>
      <c r="I299" s="201" t="s">
        <v>379</v>
      </c>
      <c r="J299" s="294">
        <v>5000</v>
      </c>
      <c r="K299" s="161">
        <v>0</v>
      </c>
      <c r="L299" s="161">
        <v>1</v>
      </c>
      <c r="M299" s="161">
        <v>0</v>
      </c>
      <c r="N299" s="161">
        <v>0</v>
      </c>
      <c r="O299" s="161">
        <v>1</v>
      </c>
      <c r="P299" s="161">
        <v>1</v>
      </c>
      <c r="Q299" s="161">
        <v>1</v>
      </c>
      <c r="R299" s="201">
        <v>18842</v>
      </c>
      <c r="S299" s="201">
        <v>18842</v>
      </c>
      <c r="T299" s="160">
        <f>IF(G299="","",IFERROR(IF(S299/R299&gt;'פרמטרים לקריטריונים'!$C$20,1,0),0))</f>
        <v>1</v>
      </c>
      <c r="U299" s="296">
        <v>18842</v>
      </c>
      <c r="V299" s="160">
        <f>IF(G299="","",IFERROR(IF(U299/R299&gt;'פרמטרים לקריטריונים'!$C$21,1,IF(AND(I299=$BW$5,U299/R299&gt;'פרמטרים לקריטריונים'!$C$22),1,0)),0))</f>
        <v>1</v>
      </c>
      <c r="W299" s="161">
        <v>1</v>
      </c>
      <c r="X299" s="161">
        <v>1</v>
      </c>
      <c r="Y299" s="299">
        <v>150000</v>
      </c>
      <c r="Z299" s="300">
        <v>150000</v>
      </c>
      <c r="AA299" s="161">
        <f t="shared" si="345"/>
        <v>1</v>
      </c>
      <c r="AB299" s="161"/>
      <c r="AC299" s="161"/>
      <c r="AD299" s="161"/>
      <c r="AE299" s="161"/>
      <c r="AF299" s="161"/>
      <c r="AG299" s="161"/>
      <c r="AH299" s="161"/>
      <c r="AI299" s="161"/>
      <c r="AJ299" s="161"/>
      <c r="AK299" s="161"/>
      <c r="AL299" s="161"/>
      <c r="AM299" s="161"/>
      <c r="AN299" s="161"/>
      <c r="AO299" s="161"/>
      <c r="AP299" s="161"/>
      <c r="AQ299" s="161"/>
      <c r="AR299" s="161"/>
      <c r="AS299" s="161"/>
      <c r="AT299" s="161"/>
      <c r="AU299" s="161"/>
      <c r="AV299" s="161"/>
      <c r="AW299" s="160"/>
      <c r="AX299" s="161"/>
      <c r="AY299" s="161"/>
      <c r="AZ299" s="161"/>
      <c r="BA299" s="161"/>
      <c r="BB299" s="161"/>
      <c r="BC299" s="161"/>
      <c r="BD299" s="161"/>
      <c r="BE299" s="161"/>
      <c r="BF299" s="160" t="str">
        <f t="shared" si="346"/>
        <v/>
      </c>
      <c r="BG299" s="160"/>
      <c r="BH299" s="160"/>
      <c r="BI299" s="160"/>
      <c r="BJ299" s="160"/>
      <c r="BK299" s="160"/>
      <c r="BL299" s="162">
        <f t="shared" si="297"/>
        <v>1</v>
      </c>
      <c r="BM299" s="257"/>
      <c r="BN299" s="163"/>
      <c r="BO299" s="211" t="str">
        <f t="shared" si="298"/>
        <v>עמותת הכוריאוגרפים (ע"ר)יוצרים עצמאיים במחול</v>
      </c>
      <c r="BP299" s="125">
        <f t="shared" si="299"/>
        <v>1</v>
      </c>
      <c r="BQ299" s="164">
        <v>0</v>
      </c>
      <c r="BR299" s="164">
        <v>1</v>
      </c>
      <c r="BS299" s="149">
        <f t="shared" si="300"/>
        <v>1</v>
      </c>
      <c r="BT299" s="149">
        <f t="shared" si="301"/>
        <v>1</v>
      </c>
      <c r="BU299" s="149">
        <f t="shared" si="302"/>
        <v>1</v>
      </c>
      <c r="BV299" s="149">
        <f t="shared" si="303"/>
        <v>1</v>
      </c>
      <c r="BW299" s="149">
        <f t="shared" si="304"/>
        <v>1</v>
      </c>
      <c r="BX299" s="149">
        <f t="shared" si="305"/>
        <v>1</v>
      </c>
      <c r="BY299" s="149">
        <f t="shared" si="306"/>
        <v>1</v>
      </c>
      <c r="BZ299" s="149">
        <f t="shared" si="307"/>
        <v>1</v>
      </c>
      <c r="CA299" s="149">
        <f t="shared" si="308"/>
        <v>1</v>
      </c>
      <c r="CB299" s="149">
        <f t="shared" si="309"/>
        <v>1</v>
      </c>
      <c r="CC299" s="149">
        <f t="shared" si="310"/>
        <v>1</v>
      </c>
      <c r="CD299" s="149">
        <f t="shared" si="311"/>
        <v>1</v>
      </c>
      <c r="CE299" s="149">
        <f t="shared" si="312"/>
        <v>1</v>
      </c>
      <c r="CF299" s="149">
        <f t="shared" si="313"/>
        <v>1</v>
      </c>
      <c r="CG299" s="149">
        <f t="shared" si="314"/>
        <v>1</v>
      </c>
      <c r="CH299" s="149">
        <f t="shared" si="315"/>
        <v>1</v>
      </c>
      <c r="CI299" s="149">
        <f t="shared" si="316"/>
        <v>1</v>
      </c>
      <c r="CJ299" s="149">
        <f t="shared" si="317"/>
        <v>1</v>
      </c>
      <c r="CK299" s="149">
        <f t="shared" si="318"/>
        <v>1</v>
      </c>
      <c r="CL299" s="149">
        <f t="shared" si="319"/>
        <v>1</v>
      </c>
      <c r="CM299" s="149">
        <f t="shared" si="320"/>
        <v>1</v>
      </c>
      <c r="CN299" s="149">
        <f t="shared" si="321"/>
        <v>1</v>
      </c>
      <c r="CO299" s="149">
        <f t="shared" si="322"/>
        <v>1</v>
      </c>
      <c r="CP299" s="149">
        <f t="shared" si="323"/>
        <v>1</v>
      </c>
      <c r="CQ299" s="149">
        <f t="shared" si="324"/>
        <v>1</v>
      </c>
      <c r="CR299" s="149">
        <f t="shared" si="325"/>
        <v>1</v>
      </c>
      <c r="CS299" s="149">
        <f t="shared" si="326"/>
        <v>1</v>
      </c>
      <c r="CT299" s="149">
        <f t="shared" si="327"/>
        <v>1</v>
      </c>
      <c r="CU299" s="149">
        <f t="shared" si="328"/>
        <v>1</v>
      </c>
      <c r="CV299" s="149">
        <f t="shared" si="329"/>
        <v>1</v>
      </c>
      <c r="CW299" s="149">
        <f t="shared" si="330"/>
        <v>1</v>
      </c>
      <c r="CX299" s="149">
        <f t="shared" si="331"/>
        <v>1</v>
      </c>
      <c r="CY299" s="149">
        <f t="shared" si="332"/>
        <v>1</v>
      </c>
      <c r="CZ299" s="149">
        <f t="shared" si="333"/>
        <v>1</v>
      </c>
      <c r="DA299" s="149">
        <f t="shared" si="334"/>
        <v>1</v>
      </c>
      <c r="DB299" s="149">
        <f t="shared" si="335"/>
        <v>1</v>
      </c>
      <c r="DG299" s="125">
        <f t="shared" si="296"/>
        <v>1</v>
      </c>
      <c r="DH299" s="125">
        <f t="shared" si="349"/>
        <v>2</v>
      </c>
      <c r="DI299" s="125">
        <f t="shared" si="349"/>
        <v>3</v>
      </c>
      <c r="DJ299" s="125">
        <f t="shared" si="349"/>
        <v>4</v>
      </c>
      <c r="DK299" s="125">
        <f t="shared" si="349"/>
        <v>5</v>
      </c>
      <c r="DL299" s="125">
        <f t="shared" si="349"/>
        <v>6</v>
      </c>
      <c r="DM299" s="125">
        <f t="shared" si="349"/>
        <v>7</v>
      </c>
      <c r="DN299" s="125">
        <f t="shared" si="349"/>
        <v>8</v>
      </c>
      <c r="DO299" s="125">
        <f t="shared" si="349"/>
        <v>9</v>
      </c>
      <c r="DP299" s="125">
        <f t="shared" si="349"/>
        <v>10</v>
      </c>
      <c r="DS299" s="137"/>
      <c r="DT299" s="137"/>
      <c r="DU299" s="137"/>
      <c r="DV299" s="137" t="b">
        <f t="shared" si="336"/>
        <v>0</v>
      </c>
      <c r="DW299" s="137" t="b">
        <f t="shared" si="337"/>
        <v>0</v>
      </c>
      <c r="DX299" s="137" t="b">
        <f t="shared" si="338"/>
        <v>1</v>
      </c>
      <c r="EB299" s="131">
        <f t="shared" si="347"/>
        <v>1</v>
      </c>
      <c r="EC299" s="137" t="b">
        <f t="shared" si="339"/>
        <v>0</v>
      </c>
      <c r="ED299" s="137" t="b">
        <f t="shared" si="340"/>
        <v>0</v>
      </c>
      <c r="EE299" s="137" t="b">
        <f t="shared" si="341"/>
        <v>1</v>
      </c>
      <c r="EF299" s="137"/>
      <c r="EG299" s="137"/>
      <c r="EH299" s="137"/>
      <c r="EI299" s="137"/>
      <c r="EJ299" s="137">
        <f t="shared" si="348"/>
        <v>1</v>
      </c>
      <c r="EK299" s="125">
        <f t="shared" si="342"/>
        <v>0</v>
      </c>
      <c r="EL299" s="125">
        <f t="shared" si="343"/>
        <v>0</v>
      </c>
    </row>
    <row r="300" spans="2:142" ht="15.75" x14ac:dyDescent="0.2">
      <c r="B300" s="160">
        <f t="shared" si="344"/>
        <v>270</v>
      </c>
      <c r="C300" s="290">
        <v>1001348159</v>
      </c>
      <c r="D300" s="290">
        <v>1001275661</v>
      </c>
      <c r="E300" s="290">
        <v>40000564</v>
      </c>
      <c r="F300" s="118">
        <f>IF(OR(J300="",H300=""),"",VLOOKUP(J300,'הזנה לסיווג רשויות'!$B$2:$D$301,2,0))</f>
        <v>20000201</v>
      </c>
      <c r="G300" s="118" t="str">
        <f>IF(OR(J300="",H300=""),"",VLOOKUP(J300,'הזנה לסיווג רשויות'!$B$2:$D$301,3,0))</f>
        <v>תל אביב -יפו</v>
      </c>
      <c r="H300" s="293" t="s">
        <v>731</v>
      </c>
      <c r="I300" s="201" t="s">
        <v>379</v>
      </c>
      <c r="J300" s="294">
        <v>5000</v>
      </c>
      <c r="K300" s="161">
        <v>0</v>
      </c>
      <c r="L300" s="161">
        <v>1</v>
      </c>
      <c r="M300" s="161">
        <v>0</v>
      </c>
      <c r="N300" s="161">
        <v>0</v>
      </c>
      <c r="O300" s="161">
        <v>1</v>
      </c>
      <c r="P300" s="161">
        <v>1</v>
      </c>
      <c r="Q300" s="161">
        <v>1</v>
      </c>
      <c r="R300" s="201">
        <v>88186</v>
      </c>
      <c r="S300" s="201">
        <v>35987</v>
      </c>
      <c r="T300" s="160">
        <f>IF(G300="","",IFERROR(IF(S300/R300&gt;'פרמטרים לקריטריונים'!$C$20,1,0),0))</f>
        <v>1</v>
      </c>
      <c r="U300" s="296">
        <v>18987</v>
      </c>
      <c r="V300" s="160">
        <f>IF(G300="","",IFERROR(IF(U300/R300&gt;'פרמטרים לקריטריונים'!$C$21,1,IF(AND(I300=$BW$5,U300/R300&gt;'פרמטרים לקריטריונים'!$C$22),1,0)),0))</f>
        <v>1</v>
      </c>
      <c r="W300" s="161">
        <v>1</v>
      </c>
      <c r="X300" s="161">
        <v>1</v>
      </c>
      <c r="Y300" s="299">
        <v>150000</v>
      </c>
      <c r="Z300" s="300">
        <v>150000</v>
      </c>
      <c r="AA300" s="161">
        <f t="shared" si="345"/>
        <v>1</v>
      </c>
      <c r="AB300" s="161"/>
      <c r="AC300" s="161"/>
      <c r="AD300" s="161"/>
      <c r="AE300" s="161"/>
      <c r="AF300" s="161"/>
      <c r="AG300" s="161"/>
      <c r="AH300" s="161"/>
      <c r="AI300" s="161"/>
      <c r="AJ300" s="161"/>
      <c r="AK300" s="161"/>
      <c r="AL300" s="161"/>
      <c r="AM300" s="161"/>
      <c r="AN300" s="161"/>
      <c r="AO300" s="161"/>
      <c r="AP300" s="161"/>
      <c r="AQ300" s="161"/>
      <c r="AR300" s="161"/>
      <c r="AS300" s="161"/>
      <c r="AT300" s="161"/>
      <c r="AU300" s="161"/>
      <c r="AV300" s="161"/>
      <c r="AW300" s="160"/>
      <c r="AX300" s="161"/>
      <c r="AY300" s="161"/>
      <c r="AZ300" s="161"/>
      <c r="BA300" s="161"/>
      <c r="BB300" s="161"/>
      <c r="BC300" s="161"/>
      <c r="BD300" s="161"/>
      <c r="BE300" s="161"/>
      <c r="BF300" s="160" t="str">
        <f t="shared" si="346"/>
        <v/>
      </c>
      <c r="BG300" s="160"/>
      <c r="BH300" s="160"/>
      <c r="BI300" s="160"/>
      <c r="BJ300" s="160"/>
      <c r="BK300" s="160"/>
      <c r="BL300" s="162">
        <f t="shared" si="297"/>
        <v>1</v>
      </c>
      <c r="BM300" s="257"/>
      <c r="BN300" s="163"/>
      <c r="BO300" s="211" t="str">
        <f t="shared" si="298"/>
        <v>עמותת הכוריאוגרפים (ע"ר)יוצרים עצמאיים במחול</v>
      </c>
      <c r="BP300" s="125">
        <f t="shared" si="299"/>
        <v>1</v>
      </c>
      <c r="BQ300" s="164">
        <v>0</v>
      </c>
      <c r="BR300" s="164">
        <v>1</v>
      </c>
      <c r="BS300" s="149">
        <f t="shared" si="300"/>
        <v>1</v>
      </c>
      <c r="BT300" s="149">
        <f t="shared" si="301"/>
        <v>1</v>
      </c>
      <c r="BU300" s="149">
        <f t="shared" si="302"/>
        <v>1</v>
      </c>
      <c r="BV300" s="149">
        <f t="shared" si="303"/>
        <v>1</v>
      </c>
      <c r="BW300" s="149">
        <f t="shared" si="304"/>
        <v>1</v>
      </c>
      <c r="BX300" s="149">
        <f t="shared" si="305"/>
        <v>1</v>
      </c>
      <c r="BY300" s="149">
        <f t="shared" si="306"/>
        <v>1</v>
      </c>
      <c r="BZ300" s="149">
        <f t="shared" si="307"/>
        <v>1</v>
      </c>
      <c r="CA300" s="149">
        <f t="shared" si="308"/>
        <v>1</v>
      </c>
      <c r="CB300" s="149">
        <f t="shared" si="309"/>
        <v>1</v>
      </c>
      <c r="CC300" s="149">
        <f t="shared" si="310"/>
        <v>1</v>
      </c>
      <c r="CD300" s="149">
        <f t="shared" si="311"/>
        <v>1</v>
      </c>
      <c r="CE300" s="149">
        <f t="shared" si="312"/>
        <v>1</v>
      </c>
      <c r="CF300" s="149">
        <f t="shared" si="313"/>
        <v>1</v>
      </c>
      <c r="CG300" s="149">
        <f t="shared" si="314"/>
        <v>1</v>
      </c>
      <c r="CH300" s="149">
        <f t="shared" si="315"/>
        <v>1</v>
      </c>
      <c r="CI300" s="149">
        <f t="shared" si="316"/>
        <v>1</v>
      </c>
      <c r="CJ300" s="149">
        <f t="shared" si="317"/>
        <v>1</v>
      </c>
      <c r="CK300" s="149">
        <f t="shared" si="318"/>
        <v>1</v>
      </c>
      <c r="CL300" s="149">
        <f t="shared" si="319"/>
        <v>1</v>
      </c>
      <c r="CM300" s="149">
        <f t="shared" si="320"/>
        <v>1</v>
      </c>
      <c r="CN300" s="149">
        <f t="shared" si="321"/>
        <v>1</v>
      </c>
      <c r="CO300" s="149">
        <f t="shared" si="322"/>
        <v>1</v>
      </c>
      <c r="CP300" s="149">
        <f t="shared" si="323"/>
        <v>1</v>
      </c>
      <c r="CQ300" s="149">
        <f t="shared" si="324"/>
        <v>1</v>
      </c>
      <c r="CR300" s="149">
        <f t="shared" si="325"/>
        <v>1</v>
      </c>
      <c r="CS300" s="149">
        <f t="shared" si="326"/>
        <v>1</v>
      </c>
      <c r="CT300" s="149">
        <f t="shared" si="327"/>
        <v>1</v>
      </c>
      <c r="CU300" s="149">
        <f t="shared" si="328"/>
        <v>1</v>
      </c>
      <c r="CV300" s="149">
        <f t="shared" si="329"/>
        <v>1</v>
      </c>
      <c r="CW300" s="149">
        <f t="shared" si="330"/>
        <v>1</v>
      </c>
      <c r="CX300" s="149">
        <f t="shared" si="331"/>
        <v>1</v>
      </c>
      <c r="CY300" s="149">
        <f t="shared" si="332"/>
        <v>1</v>
      </c>
      <c r="CZ300" s="149">
        <f t="shared" si="333"/>
        <v>1</v>
      </c>
      <c r="DA300" s="149">
        <f t="shared" si="334"/>
        <v>1</v>
      </c>
      <c r="DB300" s="149">
        <f t="shared" si="335"/>
        <v>1</v>
      </c>
      <c r="DG300" s="125">
        <f t="shared" si="296"/>
        <v>1</v>
      </c>
      <c r="DH300" s="125">
        <f t="shared" si="349"/>
        <v>2</v>
      </c>
      <c r="DI300" s="125">
        <f t="shared" si="349"/>
        <v>3</v>
      </c>
      <c r="DJ300" s="125">
        <f t="shared" si="349"/>
        <v>4</v>
      </c>
      <c r="DK300" s="125">
        <f t="shared" si="349"/>
        <v>5</v>
      </c>
      <c r="DL300" s="125">
        <f t="shared" si="349"/>
        <v>6</v>
      </c>
      <c r="DM300" s="125">
        <f t="shared" si="349"/>
        <v>7</v>
      </c>
      <c r="DN300" s="125">
        <f t="shared" si="349"/>
        <v>8</v>
      </c>
      <c r="DO300" s="125">
        <f t="shared" si="349"/>
        <v>9</v>
      </c>
      <c r="DP300" s="125">
        <f t="shared" si="349"/>
        <v>10</v>
      </c>
      <c r="DS300" s="137"/>
      <c r="DT300" s="137"/>
      <c r="DU300" s="137"/>
      <c r="DV300" s="137" t="b">
        <f t="shared" si="336"/>
        <v>0</v>
      </c>
      <c r="DW300" s="137" t="b">
        <f t="shared" si="337"/>
        <v>0</v>
      </c>
      <c r="DX300" s="137" t="b">
        <f t="shared" si="338"/>
        <v>1</v>
      </c>
      <c r="EB300" s="131">
        <f t="shared" si="347"/>
        <v>1</v>
      </c>
      <c r="EC300" s="137" t="b">
        <f t="shared" si="339"/>
        <v>0</v>
      </c>
      <c r="ED300" s="137" t="b">
        <f t="shared" si="340"/>
        <v>0</v>
      </c>
      <c r="EE300" s="137" t="b">
        <f t="shared" si="341"/>
        <v>1</v>
      </c>
      <c r="EF300" s="137"/>
      <c r="EG300" s="137"/>
      <c r="EH300" s="137"/>
      <c r="EI300" s="137"/>
      <c r="EJ300" s="137">
        <f t="shared" si="348"/>
        <v>1</v>
      </c>
      <c r="EK300" s="125">
        <f t="shared" si="342"/>
        <v>0</v>
      </c>
      <c r="EL300" s="125">
        <f t="shared" si="343"/>
        <v>0</v>
      </c>
    </row>
    <row r="301" spans="2:142" ht="15.75" x14ac:dyDescent="0.2">
      <c r="B301" s="160">
        <f t="shared" si="344"/>
        <v>271</v>
      </c>
      <c r="C301" s="290">
        <v>1001348160</v>
      </c>
      <c r="D301" s="290">
        <v>1001275660</v>
      </c>
      <c r="E301" s="290">
        <v>40000564</v>
      </c>
      <c r="F301" s="118">
        <f>IF(OR(J301="",H301=""),"",VLOOKUP(J301,'הזנה לסיווג רשויות'!$B$2:$D$301,2,0))</f>
        <v>20000201</v>
      </c>
      <c r="G301" s="118" t="str">
        <f>IF(OR(J301="",H301=""),"",VLOOKUP(J301,'הזנה לסיווג רשויות'!$B$2:$D$301,3,0))</f>
        <v>תל אביב -יפו</v>
      </c>
      <c r="H301" s="293" t="s">
        <v>731</v>
      </c>
      <c r="I301" s="201" t="s">
        <v>379</v>
      </c>
      <c r="J301" s="294">
        <v>5000</v>
      </c>
      <c r="K301" s="161">
        <v>0</v>
      </c>
      <c r="L301" s="161">
        <v>1</v>
      </c>
      <c r="M301" s="161">
        <v>0</v>
      </c>
      <c r="N301" s="161">
        <v>0</v>
      </c>
      <c r="O301" s="161">
        <v>1</v>
      </c>
      <c r="P301" s="161">
        <v>1</v>
      </c>
      <c r="Q301" s="161">
        <v>1</v>
      </c>
      <c r="R301" s="201">
        <v>299606</v>
      </c>
      <c r="S301" s="201">
        <v>141012</v>
      </c>
      <c r="T301" s="160">
        <f>IF(G301="","",IFERROR(IF(S301/R301&gt;'פרמטרים לקריטריונים'!$C$20,1,0),0))</f>
        <v>1</v>
      </c>
      <c r="U301" s="296">
        <v>59012</v>
      </c>
      <c r="V301" s="160">
        <f>IF(G301="","",IFERROR(IF(U301/R301&gt;'פרמטרים לקריטריונים'!$C$21,1,IF(AND(I301=$BW$5,U301/R301&gt;'פרמטרים לקריטריונים'!$C$22),1,0)),0))</f>
        <v>0</v>
      </c>
      <c r="W301" s="161">
        <v>1</v>
      </c>
      <c r="X301" s="161">
        <v>1</v>
      </c>
      <c r="Y301" s="299">
        <v>150000</v>
      </c>
      <c r="Z301" s="300">
        <v>150000</v>
      </c>
      <c r="AA301" s="161">
        <f t="shared" si="345"/>
        <v>1</v>
      </c>
      <c r="AB301" s="161"/>
      <c r="AC301" s="161"/>
      <c r="AD301" s="161"/>
      <c r="AE301" s="161"/>
      <c r="AF301" s="161"/>
      <c r="AG301" s="161"/>
      <c r="AH301" s="161"/>
      <c r="AI301" s="161"/>
      <c r="AJ301" s="161"/>
      <c r="AK301" s="161"/>
      <c r="AL301" s="161"/>
      <c r="AM301" s="161"/>
      <c r="AN301" s="161"/>
      <c r="AO301" s="161"/>
      <c r="AP301" s="161"/>
      <c r="AQ301" s="161"/>
      <c r="AR301" s="161"/>
      <c r="AS301" s="161"/>
      <c r="AT301" s="161"/>
      <c r="AU301" s="161"/>
      <c r="AV301" s="161"/>
      <c r="AW301" s="160"/>
      <c r="AX301" s="161"/>
      <c r="AY301" s="161"/>
      <c r="AZ301" s="161"/>
      <c r="BA301" s="161"/>
      <c r="BB301" s="161"/>
      <c r="BC301" s="161"/>
      <c r="BD301" s="161"/>
      <c r="BE301" s="161"/>
      <c r="BF301" s="160" t="str">
        <f t="shared" si="346"/>
        <v/>
      </c>
      <c r="BG301" s="160"/>
      <c r="BH301" s="160"/>
      <c r="BI301" s="160"/>
      <c r="BJ301" s="160"/>
      <c r="BK301" s="160"/>
      <c r="BL301" s="162">
        <f t="shared" si="297"/>
        <v>0</v>
      </c>
      <c r="BM301" s="257"/>
      <c r="BN301" s="163"/>
      <c r="BO301" s="211" t="str">
        <f t="shared" si="298"/>
        <v>עמותת הכוריאוגרפים (ע"ר)יוצרים עצמאיים במחול</v>
      </c>
      <c r="BP301" s="125">
        <f t="shared" si="299"/>
        <v>1</v>
      </c>
      <c r="BQ301" s="164">
        <v>0</v>
      </c>
      <c r="BR301" s="164">
        <v>1</v>
      </c>
      <c r="BS301" s="149">
        <f t="shared" si="300"/>
        <v>1</v>
      </c>
      <c r="BT301" s="149">
        <f t="shared" si="301"/>
        <v>1</v>
      </c>
      <c r="BU301" s="149">
        <f t="shared" si="302"/>
        <v>1</v>
      </c>
      <c r="BV301" s="149">
        <f t="shared" si="303"/>
        <v>1</v>
      </c>
      <c r="BW301" s="149">
        <f t="shared" si="304"/>
        <v>1</v>
      </c>
      <c r="BX301" s="149">
        <f t="shared" si="305"/>
        <v>1</v>
      </c>
      <c r="BY301" s="149">
        <f t="shared" si="306"/>
        <v>1</v>
      </c>
      <c r="BZ301" s="149">
        <f t="shared" si="307"/>
        <v>1</v>
      </c>
      <c r="CA301" s="149">
        <f t="shared" si="308"/>
        <v>1</v>
      </c>
      <c r="CB301" s="149">
        <f t="shared" si="309"/>
        <v>1</v>
      </c>
      <c r="CC301" s="149">
        <f t="shared" si="310"/>
        <v>1</v>
      </c>
      <c r="CD301" s="149">
        <f t="shared" si="311"/>
        <v>1</v>
      </c>
      <c r="CE301" s="149">
        <f t="shared" si="312"/>
        <v>1</v>
      </c>
      <c r="CF301" s="149">
        <f t="shared" si="313"/>
        <v>1</v>
      </c>
      <c r="CG301" s="149">
        <f t="shared" si="314"/>
        <v>1</v>
      </c>
      <c r="CH301" s="149">
        <f t="shared" si="315"/>
        <v>1</v>
      </c>
      <c r="CI301" s="149">
        <f t="shared" si="316"/>
        <v>1</v>
      </c>
      <c r="CJ301" s="149">
        <f t="shared" si="317"/>
        <v>1</v>
      </c>
      <c r="CK301" s="149">
        <f t="shared" si="318"/>
        <v>1</v>
      </c>
      <c r="CL301" s="149">
        <f t="shared" si="319"/>
        <v>1</v>
      </c>
      <c r="CM301" s="149">
        <f t="shared" si="320"/>
        <v>1</v>
      </c>
      <c r="CN301" s="149">
        <f t="shared" si="321"/>
        <v>1</v>
      </c>
      <c r="CO301" s="149">
        <f t="shared" si="322"/>
        <v>1</v>
      </c>
      <c r="CP301" s="149">
        <f t="shared" si="323"/>
        <v>1</v>
      </c>
      <c r="CQ301" s="149">
        <f t="shared" si="324"/>
        <v>1</v>
      </c>
      <c r="CR301" s="149">
        <f t="shared" si="325"/>
        <v>1</v>
      </c>
      <c r="CS301" s="149">
        <f t="shared" si="326"/>
        <v>1</v>
      </c>
      <c r="CT301" s="149">
        <f t="shared" si="327"/>
        <v>1</v>
      </c>
      <c r="CU301" s="149">
        <f t="shared" si="328"/>
        <v>1</v>
      </c>
      <c r="CV301" s="149">
        <f t="shared" si="329"/>
        <v>1</v>
      </c>
      <c r="CW301" s="149">
        <f t="shared" si="330"/>
        <v>1</v>
      </c>
      <c r="CX301" s="149">
        <f t="shared" si="331"/>
        <v>1</v>
      </c>
      <c r="CY301" s="149">
        <f t="shared" si="332"/>
        <v>1</v>
      </c>
      <c r="CZ301" s="149">
        <f t="shared" si="333"/>
        <v>1</v>
      </c>
      <c r="DA301" s="149">
        <f t="shared" si="334"/>
        <v>1</v>
      </c>
      <c r="DB301" s="149">
        <f t="shared" si="335"/>
        <v>1</v>
      </c>
      <c r="DG301" s="125">
        <f t="shared" si="296"/>
        <v>1</v>
      </c>
      <c r="DH301" s="125">
        <f t="shared" si="349"/>
        <v>2</v>
      </c>
      <c r="DI301" s="125">
        <f t="shared" si="349"/>
        <v>3</v>
      </c>
      <c r="DJ301" s="125">
        <f t="shared" si="349"/>
        <v>4</v>
      </c>
      <c r="DK301" s="125">
        <f t="shared" si="349"/>
        <v>5</v>
      </c>
      <c r="DL301" s="125">
        <f t="shared" si="349"/>
        <v>6</v>
      </c>
      <c r="DM301" s="125">
        <f t="shared" si="349"/>
        <v>7</v>
      </c>
      <c r="DN301" s="125">
        <f t="shared" si="349"/>
        <v>8</v>
      </c>
      <c r="DO301" s="125">
        <f t="shared" si="349"/>
        <v>9</v>
      </c>
      <c r="DP301" s="125">
        <f t="shared" si="349"/>
        <v>10</v>
      </c>
      <c r="DS301" s="137"/>
      <c r="DT301" s="137"/>
      <c r="DU301" s="137"/>
      <c r="DV301" s="137" t="b">
        <f t="shared" si="336"/>
        <v>0</v>
      </c>
      <c r="DW301" s="137" t="b">
        <f t="shared" si="337"/>
        <v>0</v>
      </c>
      <c r="DX301" s="137" t="b">
        <f t="shared" si="338"/>
        <v>1</v>
      </c>
      <c r="EB301" s="131">
        <f t="shared" si="347"/>
        <v>1</v>
      </c>
      <c r="EC301" s="137" t="b">
        <f t="shared" si="339"/>
        <v>0</v>
      </c>
      <c r="ED301" s="137" t="b">
        <f t="shared" si="340"/>
        <v>0</v>
      </c>
      <c r="EE301" s="137" t="b">
        <f t="shared" si="341"/>
        <v>1</v>
      </c>
      <c r="EF301" s="137"/>
      <c r="EG301" s="137"/>
      <c r="EH301" s="137"/>
      <c r="EI301" s="137"/>
      <c r="EJ301" s="137">
        <f t="shared" si="348"/>
        <v>1</v>
      </c>
      <c r="EK301" s="125">
        <f t="shared" si="342"/>
        <v>0</v>
      </c>
      <c r="EL301" s="125">
        <f t="shared" si="343"/>
        <v>0</v>
      </c>
    </row>
    <row r="302" spans="2:142" ht="15.75" x14ac:dyDescent="0.2">
      <c r="B302" s="160">
        <f t="shared" si="344"/>
        <v>272</v>
      </c>
      <c r="C302" s="290">
        <v>1001348161</v>
      </c>
      <c r="D302" s="290">
        <v>1001275647</v>
      </c>
      <c r="E302" s="290">
        <v>40000564</v>
      </c>
      <c r="F302" s="118">
        <f>IF(OR(J302="",H302=""),"",VLOOKUP(J302,'הזנה לסיווג רשויות'!$B$2:$D$301,2,0))</f>
        <v>20000201</v>
      </c>
      <c r="G302" s="118" t="str">
        <f>IF(OR(J302="",H302=""),"",VLOOKUP(J302,'הזנה לסיווג רשויות'!$B$2:$D$301,3,0))</f>
        <v>תל אביב -יפו</v>
      </c>
      <c r="H302" s="293" t="s">
        <v>731</v>
      </c>
      <c r="I302" s="201" t="s">
        <v>379</v>
      </c>
      <c r="J302" s="294">
        <v>5000</v>
      </c>
      <c r="K302" s="161">
        <v>0</v>
      </c>
      <c r="L302" s="161">
        <v>1</v>
      </c>
      <c r="M302" s="161">
        <v>0</v>
      </c>
      <c r="N302" s="161">
        <v>0</v>
      </c>
      <c r="O302" s="161">
        <v>1</v>
      </c>
      <c r="P302" s="161">
        <v>1</v>
      </c>
      <c r="Q302" s="161">
        <v>1</v>
      </c>
      <c r="R302" s="201">
        <v>222496</v>
      </c>
      <c r="S302" s="201">
        <v>133965</v>
      </c>
      <c r="T302" s="160">
        <f>IF(G302="","",IFERROR(IF(S302/R302&gt;'פרמטרים לקריטריונים'!$C$20,1,0),0))</f>
        <v>1</v>
      </c>
      <c r="U302" s="296">
        <v>93965</v>
      </c>
      <c r="V302" s="160">
        <f>IF(G302="","",IFERROR(IF(U302/R302&gt;'פרמטרים לקריטריונים'!$C$21,1,IF(AND(I302=$BW$5,U302/R302&gt;'פרמטרים לקריטריונים'!$C$22),1,0)),0))</f>
        <v>1</v>
      </c>
      <c r="W302" s="161">
        <v>1</v>
      </c>
      <c r="X302" s="161">
        <v>1</v>
      </c>
      <c r="Y302" s="299">
        <v>150000</v>
      </c>
      <c r="Z302" s="300">
        <v>150000</v>
      </c>
      <c r="AA302" s="161">
        <f t="shared" si="345"/>
        <v>1</v>
      </c>
      <c r="AB302" s="161"/>
      <c r="AC302" s="161"/>
      <c r="AD302" s="161"/>
      <c r="AE302" s="161"/>
      <c r="AF302" s="161"/>
      <c r="AG302" s="161"/>
      <c r="AH302" s="161"/>
      <c r="AI302" s="161"/>
      <c r="AJ302" s="161"/>
      <c r="AK302" s="161"/>
      <c r="AL302" s="161"/>
      <c r="AM302" s="161"/>
      <c r="AN302" s="161"/>
      <c r="AO302" s="161"/>
      <c r="AP302" s="161"/>
      <c r="AQ302" s="161"/>
      <c r="AR302" s="161"/>
      <c r="AS302" s="161"/>
      <c r="AT302" s="161"/>
      <c r="AU302" s="161"/>
      <c r="AV302" s="161"/>
      <c r="AW302" s="160"/>
      <c r="AX302" s="161"/>
      <c r="AY302" s="161"/>
      <c r="AZ302" s="161"/>
      <c r="BA302" s="161"/>
      <c r="BB302" s="161"/>
      <c r="BC302" s="161"/>
      <c r="BD302" s="161"/>
      <c r="BE302" s="161"/>
      <c r="BF302" s="160" t="str">
        <f t="shared" si="346"/>
        <v/>
      </c>
      <c r="BG302" s="160"/>
      <c r="BH302" s="160"/>
      <c r="BI302" s="160"/>
      <c r="BJ302" s="160"/>
      <c r="BK302" s="160"/>
      <c r="BL302" s="162">
        <f t="shared" si="297"/>
        <v>1</v>
      </c>
      <c r="BM302" s="257"/>
      <c r="BN302" s="163"/>
      <c r="BO302" s="211" t="str">
        <f t="shared" si="298"/>
        <v>עמותת הכוריאוגרפים (ע"ר)יוצרים עצמאיים במחול</v>
      </c>
      <c r="BP302" s="125">
        <f t="shared" si="299"/>
        <v>1</v>
      </c>
      <c r="BQ302" s="164">
        <v>0</v>
      </c>
      <c r="BR302" s="164">
        <v>1</v>
      </c>
      <c r="BS302" s="149">
        <f t="shared" si="300"/>
        <v>1</v>
      </c>
      <c r="BT302" s="149">
        <f t="shared" si="301"/>
        <v>1</v>
      </c>
      <c r="BU302" s="149">
        <f t="shared" si="302"/>
        <v>1</v>
      </c>
      <c r="BV302" s="149">
        <f t="shared" si="303"/>
        <v>1</v>
      </c>
      <c r="BW302" s="149">
        <f t="shared" si="304"/>
        <v>1</v>
      </c>
      <c r="BX302" s="149">
        <f t="shared" si="305"/>
        <v>1</v>
      </c>
      <c r="BY302" s="149">
        <f t="shared" si="306"/>
        <v>1</v>
      </c>
      <c r="BZ302" s="149">
        <f t="shared" si="307"/>
        <v>1</v>
      </c>
      <c r="CA302" s="149">
        <f t="shared" si="308"/>
        <v>1</v>
      </c>
      <c r="CB302" s="149">
        <f t="shared" si="309"/>
        <v>1</v>
      </c>
      <c r="CC302" s="149">
        <f t="shared" si="310"/>
        <v>1</v>
      </c>
      <c r="CD302" s="149">
        <f t="shared" si="311"/>
        <v>1</v>
      </c>
      <c r="CE302" s="149">
        <f t="shared" si="312"/>
        <v>1</v>
      </c>
      <c r="CF302" s="149">
        <f t="shared" si="313"/>
        <v>1</v>
      </c>
      <c r="CG302" s="149">
        <f t="shared" si="314"/>
        <v>1</v>
      </c>
      <c r="CH302" s="149">
        <f t="shared" si="315"/>
        <v>1</v>
      </c>
      <c r="CI302" s="149">
        <f t="shared" si="316"/>
        <v>1</v>
      </c>
      <c r="CJ302" s="149">
        <f t="shared" si="317"/>
        <v>1</v>
      </c>
      <c r="CK302" s="149">
        <f t="shared" si="318"/>
        <v>1</v>
      </c>
      <c r="CL302" s="149">
        <f t="shared" si="319"/>
        <v>1</v>
      </c>
      <c r="CM302" s="149">
        <f t="shared" si="320"/>
        <v>1</v>
      </c>
      <c r="CN302" s="149">
        <f t="shared" si="321"/>
        <v>1</v>
      </c>
      <c r="CO302" s="149">
        <f t="shared" si="322"/>
        <v>1</v>
      </c>
      <c r="CP302" s="149">
        <f t="shared" si="323"/>
        <v>1</v>
      </c>
      <c r="CQ302" s="149">
        <f t="shared" si="324"/>
        <v>1</v>
      </c>
      <c r="CR302" s="149">
        <f t="shared" si="325"/>
        <v>1</v>
      </c>
      <c r="CS302" s="149">
        <f t="shared" si="326"/>
        <v>1</v>
      </c>
      <c r="CT302" s="149">
        <f t="shared" si="327"/>
        <v>1</v>
      </c>
      <c r="CU302" s="149">
        <f t="shared" si="328"/>
        <v>1</v>
      </c>
      <c r="CV302" s="149">
        <f t="shared" si="329"/>
        <v>1</v>
      </c>
      <c r="CW302" s="149">
        <f t="shared" si="330"/>
        <v>1</v>
      </c>
      <c r="CX302" s="149">
        <f t="shared" si="331"/>
        <v>1</v>
      </c>
      <c r="CY302" s="149">
        <f t="shared" si="332"/>
        <v>1</v>
      </c>
      <c r="CZ302" s="149">
        <f t="shared" si="333"/>
        <v>1</v>
      </c>
      <c r="DA302" s="149">
        <f t="shared" si="334"/>
        <v>1</v>
      </c>
      <c r="DB302" s="149">
        <f t="shared" si="335"/>
        <v>1</v>
      </c>
      <c r="DG302" s="125">
        <f t="shared" si="296"/>
        <v>1</v>
      </c>
      <c r="DH302" s="125">
        <f t="shared" si="349"/>
        <v>2</v>
      </c>
      <c r="DI302" s="125">
        <f t="shared" si="349"/>
        <v>3</v>
      </c>
      <c r="DJ302" s="125">
        <f t="shared" si="349"/>
        <v>4</v>
      </c>
      <c r="DK302" s="125">
        <f t="shared" si="349"/>
        <v>5</v>
      </c>
      <c r="DL302" s="125">
        <f t="shared" si="349"/>
        <v>6</v>
      </c>
      <c r="DM302" s="125">
        <f t="shared" si="349"/>
        <v>7</v>
      </c>
      <c r="DN302" s="125">
        <f t="shared" si="349"/>
        <v>8</v>
      </c>
      <c r="DO302" s="125">
        <f t="shared" si="349"/>
        <v>9</v>
      </c>
      <c r="DP302" s="125">
        <f t="shared" si="349"/>
        <v>10</v>
      </c>
      <c r="DS302" s="137"/>
      <c r="DT302" s="137"/>
      <c r="DU302" s="137"/>
      <c r="DV302" s="137" t="b">
        <f t="shared" si="336"/>
        <v>0</v>
      </c>
      <c r="DW302" s="137" t="b">
        <f t="shared" si="337"/>
        <v>0</v>
      </c>
      <c r="DX302" s="137" t="b">
        <f t="shared" si="338"/>
        <v>1</v>
      </c>
      <c r="EB302" s="131">
        <f t="shared" si="347"/>
        <v>1</v>
      </c>
      <c r="EC302" s="137" t="b">
        <f t="shared" si="339"/>
        <v>0</v>
      </c>
      <c r="ED302" s="137" t="b">
        <f t="shared" si="340"/>
        <v>0</v>
      </c>
      <c r="EE302" s="137" t="b">
        <f t="shared" si="341"/>
        <v>1</v>
      </c>
      <c r="EF302" s="137"/>
      <c r="EG302" s="137"/>
      <c r="EH302" s="137"/>
      <c r="EI302" s="137"/>
      <c r="EJ302" s="137">
        <f t="shared" si="348"/>
        <v>1</v>
      </c>
      <c r="EK302" s="125">
        <f t="shared" si="342"/>
        <v>0</v>
      </c>
      <c r="EL302" s="125">
        <f t="shared" si="343"/>
        <v>0</v>
      </c>
    </row>
    <row r="303" spans="2:142" ht="15.75" x14ac:dyDescent="0.2">
      <c r="B303" s="160">
        <f t="shared" si="344"/>
        <v>273</v>
      </c>
      <c r="C303" s="290">
        <v>1001348162</v>
      </c>
      <c r="D303" s="290">
        <v>1001275646</v>
      </c>
      <c r="E303" s="290">
        <v>40000564</v>
      </c>
      <c r="F303" s="118">
        <f>IF(OR(J303="",H303=""),"",VLOOKUP(J303,'הזנה לסיווג רשויות'!$B$2:$D$301,2,0))</f>
        <v>20000201</v>
      </c>
      <c r="G303" s="118" t="str">
        <f>IF(OR(J303="",H303=""),"",VLOOKUP(J303,'הזנה לסיווג רשויות'!$B$2:$D$301,3,0))</f>
        <v>תל אביב -יפו</v>
      </c>
      <c r="H303" s="293" t="s">
        <v>731</v>
      </c>
      <c r="I303" s="201" t="s">
        <v>379</v>
      </c>
      <c r="J303" s="294">
        <v>5000</v>
      </c>
      <c r="K303" s="161">
        <v>0</v>
      </c>
      <c r="L303" s="161">
        <v>1</v>
      </c>
      <c r="M303" s="161">
        <v>0</v>
      </c>
      <c r="N303" s="161">
        <v>0</v>
      </c>
      <c r="O303" s="161">
        <v>1</v>
      </c>
      <c r="P303" s="161">
        <v>1</v>
      </c>
      <c r="Q303" s="161">
        <v>1</v>
      </c>
      <c r="R303" s="201">
        <v>140431</v>
      </c>
      <c r="S303" s="201">
        <v>59554</v>
      </c>
      <c r="T303" s="160">
        <f>IF(G303="","",IFERROR(IF(S303/R303&gt;'פרמטרים לקריטריונים'!$C$20,1,0),0))</f>
        <v>1</v>
      </c>
      <c r="U303" s="296">
        <v>30554</v>
      </c>
      <c r="V303" s="160">
        <f>IF(G303="","",IFERROR(IF(U303/R303&gt;'פרמטרים לקריטריונים'!$C$21,1,IF(AND(I303=$BW$5,U303/R303&gt;'פרמטרים לקריטריונים'!$C$22),1,0)),0))</f>
        <v>1</v>
      </c>
      <c r="W303" s="161">
        <v>1</v>
      </c>
      <c r="X303" s="161">
        <v>1</v>
      </c>
      <c r="Y303" s="299">
        <v>150000</v>
      </c>
      <c r="Z303" s="300">
        <v>150000</v>
      </c>
      <c r="AA303" s="161">
        <f t="shared" si="345"/>
        <v>1</v>
      </c>
      <c r="AB303" s="161"/>
      <c r="AC303" s="161"/>
      <c r="AD303" s="161"/>
      <c r="AE303" s="161"/>
      <c r="AF303" s="161"/>
      <c r="AG303" s="161"/>
      <c r="AH303" s="161"/>
      <c r="AI303" s="161"/>
      <c r="AJ303" s="161"/>
      <c r="AK303" s="161"/>
      <c r="AL303" s="161"/>
      <c r="AM303" s="161"/>
      <c r="AN303" s="161"/>
      <c r="AO303" s="161"/>
      <c r="AP303" s="161"/>
      <c r="AQ303" s="161"/>
      <c r="AR303" s="161"/>
      <c r="AS303" s="161"/>
      <c r="AT303" s="161"/>
      <c r="AU303" s="161"/>
      <c r="AV303" s="161"/>
      <c r="AW303" s="160"/>
      <c r="AX303" s="161"/>
      <c r="AY303" s="161"/>
      <c r="AZ303" s="161"/>
      <c r="BA303" s="161"/>
      <c r="BB303" s="161"/>
      <c r="BC303" s="161"/>
      <c r="BD303" s="161"/>
      <c r="BE303" s="161"/>
      <c r="BF303" s="160" t="str">
        <f t="shared" si="346"/>
        <v/>
      </c>
      <c r="BG303" s="160"/>
      <c r="BH303" s="160"/>
      <c r="BI303" s="160"/>
      <c r="BJ303" s="160"/>
      <c r="BK303" s="160"/>
      <c r="BL303" s="162">
        <f t="shared" si="297"/>
        <v>1</v>
      </c>
      <c r="BM303" s="257"/>
      <c r="BN303" s="163"/>
      <c r="BO303" s="211" t="str">
        <f t="shared" si="298"/>
        <v>עמותת הכוריאוגרפים (ע"ר)יוצרים עצמאיים במחול</v>
      </c>
      <c r="BP303" s="125">
        <f t="shared" si="299"/>
        <v>1</v>
      </c>
      <c r="BQ303" s="164">
        <v>0</v>
      </c>
      <c r="BR303" s="164">
        <v>1</v>
      </c>
      <c r="BS303" s="149">
        <f t="shared" si="300"/>
        <v>1</v>
      </c>
      <c r="BT303" s="149">
        <f t="shared" si="301"/>
        <v>1</v>
      </c>
      <c r="BU303" s="149">
        <f t="shared" si="302"/>
        <v>1</v>
      </c>
      <c r="BV303" s="149">
        <f t="shared" si="303"/>
        <v>1</v>
      </c>
      <c r="BW303" s="149">
        <f t="shared" si="304"/>
        <v>1</v>
      </c>
      <c r="BX303" s="149">
        <f t="shared" si="305"/>
        <v>1</v>
      </c>
      <c r="BY303" s="149">
        <f t="shared" si="306"/>
        <v>1</v>
      </c>
      <c r="BZ303" s="149">
        <f t="shared" si="307"/>
        <v>1</v>
      </c>
      <c r="CA303" s="149">
        <f t="shared" si="308"/>
        <v>1</v>
      </c>
      <c r="CB303" s="149">
        <f t="shared" si="309"/>
        <v>1</v>
      </c>
      <c r="CC303" s="149">
        <f t="shared" si="310"/>
        <v>1</v>
      </c>
      <c r="CD303" s="149">
        <f t="shared" si="311"/>
        <v>1</v>
      </c>
      <c r="CE303" s="149">
        <f t="shared" si="312"/>
        <v>1</v>
      </c>
      <c r="CF303" s="149">
        <f t="shared" si="313"/>
        <v>1</v>
      </c>
      <c r="CG303" s="149">
        <f t="shared" si="314"/>
        <v>1</v>
      </c>
      <c r="CH303" s="149">
        <f t="shared" si="315"/>
        <v>1</v>
      </c>
      <c r="CI303" s="149">
        <f t="shared" si="316"/>
        <v>1</v>
      </c>
      <c r="CJ303" s="149">
        <f t="shared" si="317"/>
        <v>1</v>
      </c>
      <c r="CK303" s="149">
        <f t="shared" si="318"/>
        <v>1</v>
      </c>
      <c r="CL303" s="149">
        <f t="shared" si="319"/>
        <v>1</v>
      </c>
      <c r="CM303" s="149">
        <f t="shared" si="320"/>
        <v>1</v>
      </c>
      <c r="CN303" s="149">
        <f t="shared" si="321"/>
        <v>1</v>
      </c>
      <c r="CO303" s="149">
        <f t="shared" si="322"/>
        <v>1</v>
      </c>
      <c r="CP303" s="149">
        <f t="shared" si="323"/>
        <v>1</v>
      </c>
      <c r="CQ303" s="149">
        <f t="shared" si="324"/>
        <v>1</v>
      </c>
      <c r="CR303" s="149">
        <f t="shared" si="325"/>
        <v>1</v>
      </c>
      <c r="CS303" s="149">
        <f t="shared" si="326"/>
        <v>1</v>
      </c>
      <c r="CT303" s="149">
        <f t="shared" si="327"/>
        <v>1</v>
      </c>
      <c r="CU303" s="149">
        <f t="shared" si="328"/>
        <v>1</v>
      </c>
      <c r="CV303" s="149">
        <f t="shared" si="329"/>
        <v>1</v>
      </c>
      <c r="CW303" s="149">
        <f t="shared" si="330"/>
        <v>1</v>
      </c>
      <c r="CX303" s="149">
        <f t="shared" si="331"/>
        <v>1</v>
      </c>
      <c r="CY303" s="149">
        <f t="shared" si="332"/>
        <v>1</v>
      </c>
      <c r="CZ303" s="149">
        <f t="shared" si="333"/>
        <v>1</v>
      </c>
      <c r="DA303" s="149">
        <f t="shared" si="334"/>
        <v>1</v>
      </c>
      <c r="DB303" s="149">
        <f t="shared" si="335"/>
        <v>1</v>
      </c>
      <c r="DG303" s="125">
        <f t="shared" si="296"/>
        <v>1</v>
      </c>
      <c r="DH303" s="125">
        <f t="shared" si="349"/>
        <v>2</v>
      </c>
      <c r="DI303" s="125">
        <f t="shared" si="349"/>
        <v>3</v>
      </c>
      <c r="DJ303" s="125">
        <f t="shared" si="349"/>
        <v>4</v>
      </c>
      <c r="DK303" s="125">
        <f t="shared" si="349"/>
        <v>5</v>
      </c>
      <c r="DL303" s="125">
        <f t="shared" si="349"/>
        <v>6</v>
      </c>
      <c r="DM303" s="125">
        <f t="shared" si="349"/>
        <v>7</v>
      </c>
      <c r="DN303" s="125">
        <f t="shared" si="349"/>
        <v>8</v>
      </c>
      <c r="DO303" s="125">
        <f t="shared" si="349"/>
        <v>9</v>
      </c>
      <c r="DP303" s="125">
        <f t="shared" si="349"/>
        <v>10</v>
      </c>
      <c r="DS303" s="137"/>
      <c r="DT303" s="137"/>
      <c r="DU303" s="137"/>
      <c r="DV303" s="137" t="b">
        <f t="shared" si="336"/>
        <v>0</v>
      </c>
      <c r="DW303" s="137" t="b">
        <f t="shared" si="337"/>
        <v>0</v>
      </c>
      <c r="DX303" s="137" t="b">
        <f t="shared" si="338"/>
        <v>1</v>
      </c>
      <c r="EB303" s="131">
        <f t="shared" si="347"/>
        <v>1</v>
      </c>
      <c r="EC303" s="137" t="b">
        <f t="shared" si="339"/>
        <v>0</v>
      </c>
      <c r="ED303" s="137" t="b">
        <f t="shared" si="340"/>
        <v>0</v>
      </c>
      <c r="EE303" s="137" t="b">
        <f t="shared" si="341"/>
        <v>1</v>
      </c>
      <c r="EF303" s="137"/>
      <c r="EG303" s="137"/>
      <c r="EH303" s="137"/>
      <c r="EI303" s="137"/>
      <c r="EJ303" s="137">
        <f t="shared" si="348"/>
        <v>1</v>
      </c>
      <c r="EK303" s="125">
        <f t="shared" si="342"/>
        <v>0</v>
      </c>
      <c r="EL303" s="125">
        <f t="shared" si="343"/>
        <v>0</v>
      </c>
    </row>
    <row r="304" spans="2:142" ht="15.75" x14ac:dyDescent="0.2">
      <c r="B304" s="160">
        <f t="shared" si="344"/>
        <v>274</v>
      </c>
      <c r="C304" s="290">
        <v>1001348163</v>
      </c>
      <c r="D304" s="290">
        <v>1001275645</v>
      </c>
      <c r="E304" s="290">
        <v>40000564</v>
      </c>
      <c r="F304" s="118">
        <f>IF(OR(J304="",H304=""),"",VLOOKUP(J304,'הזנה לסיווג רשויות'!$B$2:$D$301,2,0))</f>
        <v>20000201</v>
      </c>
      <c r="G304" s="118" t="str">
        <f>IF(OR(J304="",H304=""),"",VLOOKUP(J304,'הזנה לסיווג רשויות'!$B$2:$D$301,3,0))</f>
        <v>תל אביב -יפו</v>
      </c>
      <c r="H304" s="293" t="s">
        <v>731</v>
      </c>
      <c r="I304" s="201" t="s">
        <v>379</v>
      </c>
      <c r="J304" s="294">
        <v>5000</v>
      </c>
      <c r="K304" s="161">
        <v>0</v>
      </c>
      <c r="L304" s="161">
        <v>1</v>
      </c>
      <c r="M304" s="161">
        <v>0</v>
      </c>
      <c r="N304" s="161">
        <v>0</v>
      </c>
      <c r="O304" s="161">
        <v>1</v>
      </c>
      <c r="P304" s="161">
        <v>1</v>
      </c>
      <c r="Q304" s="161">
        <v>1</v>
      </c>
      <c r="R304" s="201">
        <v>183909</v>
      </c>
      <c r="S304" s="201">
        <v>85140</v>
      </c>
      <c r="T304" s="160">
        <f>IF(G304="","",IFERROR(IF(S304/R304&gt;'פרמטרים לקריטריונים'!$C$20,1,0),0))</f>
        <v>1</v>
      </c>
      <c r="U304" s="296">
        <v>76790</v>
      </c>
      <c r="V304" s="160">
        <f>IF(G304="","",IFERROR(IF(U304/R304&gt;'פרמטרים לקריטריונים'!$C$21,1,IF(AND(I304=$BW$5,U304/R304&gt;'פרמטרים לקריטריונים'!$C$22),1,0)),0))</f>
        <v>1</v>
      </c>
      <c r="W304" s="161">
        <v>1</v>
      </c>
      <c r="X304" s="161">
        <v>1</v>
      </c>
      <c r="Y304" s="299">
        <v>150000</v>
      </c>
      <c r="Z304" s="300">
        <v>150000</v>
      </c>
      <c r="AA304" s="161">
        <f t="shared" si="345"/>
        <v>1</v>
      </c>
      <c r="AB304" s="161"/>
      <c r="AC304" s="161"/>
      <c r="AD304" s="161"/>
      <c r="AE304" s="161"/>
      <c r="AF304" s="161"/>
      <c r="AG304" s="161"/>
      <c r="AH304" s="161"/>
      <c r="AI304" s="161"/>
      <c r="AJ304" s="161"/>
      <c r="AK304" s="161"/>
      <c r="AL304" s="161"/>
      <c r="AM304" s="161"/>
      <c r="AN304" s="161"/>
      <c r="AO304" s="161"/>
      <c r="AP304" s="161"/>
      <c r="AQ304" s="161"/>
      <c r="AR304" s="161"/>
      <c r="AS304" s="161"/>
      <c r="AT304" s="161"/>
      <c r="AU304" s="161"/>
      <c r="AV304" s="161"/>
      <c r="AW304" s="160"/>
      <c r="AX304" s="161"/>
      <c r="AY304" s="161"/>
      <c r="AZ304" s="161"/>
      <c r="BA304" s="161"/>
      <c r="BB304" s="161"/>
      <c r="BC304" s="161"/>
      <c r="BD304" s="161"/>
      <c r="BE304" s="161"/>
      <c r="BF304" s="160" t="str">
        <f t="shared" si="346"/>
        <v/>
      </c>
      <c r="BG304" s="160"/>
      <c r="BH304" s="160"/>
      <c r="BI304" s="160"/>
      <c r="BJ304" s="160"/>
      <c r="BK304" s="160"/>
      <c r="BL304" s="162">
        <f t="shared" si="297"/>
        <v>1</v>
      </c>
      <c r="BM304" s="257"/>
      <c r="BN304" s="163"/>
      <c r="BO304" s="211" t="str">
        <f t="shared" si="298"/>
        <v>עמותת הכוריאוגרפים (ע"ר)יוצרים עצמאיים במחול</v>
      </c>
      <c r="BP304" s="125">
        <f t="shared" si="299"/>
        <v>1</v>
      </c>
      <c r="BQ304" s="164">
        <v>0</v>
      </c>
      <c r="BR304" s="164">
        <v>1</v>
      </c>
      <c r="BS304" s="149">
        <f t="shared" si="300"/>
        <v>1</v>
      </c>
      <c r="BT304" s="149">
        <f t="shared" si="301"/>
        <v>1</v>
      </c>
      <c r="BU304" s="149">
        <f t="shared" si="302"/>
        <v>1</v>
      </c>
      <c r="BV304" s="149">
        <f t="shared" si="303"/>
        <v>1</v>
      </c>
      <c r="BW304" s="149">
        <f t="shared" si="304"/>
        <v>1</v>
      </c>
      <c r="BX304" s="149">
        <f t="shared" si="305"/>
        <v>1</v>
      </c>
      <c r="BY304" s="149">
        <f t="shared" si="306"/>
        <v>1</v>
      </c>
      <c r="BZ304" s="149">
        <f t="shared" si="307"/>
        <v>1</v>
      </c>
      <c r="CA304" s="149">
        <f t="shared" si="308"/>
        <v>1</v>
      </c>
      <c r="CB304" s="149">
        <f t="shared" si="309"/>
        <v>1</v>
      </c>
      <c r="CC304" s="149">
        <f t="shared" si="310"/>
        <v>1</v>
      </c>
      <c r="CD304" s="149">
        <f t="shared" si="311"/>
        <v>1</v>
      </c>
      <c r="CE304" s="149">
        <f t="shared" si="312"/>
        <v>1</v>
      </c>
      <c r="CF304" s="149">
        <f t="shared" si="313"/>
        <v>1</v>
      </c>
      <c r="CG304" s="149">
        <f t="shared" si="314"/>
        <v>1</v>
      </c>
      <c r="CH304" s="149">
        <f t="shared" si="315"/>
        <v>1</v>
      </c>
      <c r="CI304" s="149">
        <f t="shared" si="316"/>
        <v>1</v>
      </c>
      <c r="CJ304" s="149">
        <f t="shared" si="317"/>
        <v>1</v>
      </c>
      <c r="CK304" s="149">
        <f t="shared" si="318"/>
        <v>1</v>
      </c>
      <c r="CL304" s="149">
        <f t="shared" si="319"/>
        <v>1</v>
      </c>
      <c r="CM304" s="149">
        <f t="shared" si="320"/>
        <v>1</v>
      </c>
      <c r="CN304" s="149">
        <f t="shared" si="321"/>
        <v>1</v>
      </c>
      <c r="CO304" s="149">
        <f t="shared" si="322"/>
        <v>1</v>
      </c>
      <c r="CP304" s="149">
        <f t="shared" si="323"/>
        <v>1</v>
      </c>
      <c r="CQ304" s="149">
        <f t="shared" si="324"/>
        <v>1</v>
      </c>
      <c r="CR304" s="149">
        <f t="shared" si="325"/>
        <v>1</v>
      </c>
      <c r="CS304" s="149">
        <f t="shared" si="326"/>
        <v>1</v>
      </c>
      <c r="CT304" s="149">
        <f t="shared" si="327"/>
        <v>1</v>
      </c>
      <c r="CU304" s="149">
        <f t="shared" si="328"/>
        <v>1</v>
      </c>
      <c r="CV304" s="149">
        <f t="shared" si="329"/>
        <v>1</v>
      </c>
      <c r="CW304" s="149">
        <f t="shared" si="330"/>
        <v>1</v>
      </c>
      <c r="CX304" s="149">
        <f t="shared" si="331"/>
        <v>1</v>
      </c>
      <c r="CY304" s="149">
        <f t="shared" si="332"/>
        <v>1</v>
      </c>
      <c r="CZ304" s="149">
        <f t="shared" si="333"/>
        <v>1</v>
      </c>
      <c r="DA304" s="149">
        <f t="shared" si="334"/>
        <v>1</v>
      </c>
      <c r="DB304" s="149">
        <f t="shared" si="335"/>
        <v>1</v>
      </c>
      <c r="DG304" s="125">
        <f t="shared" si="296"/>
        <v>1</v>
      </c>
      <c r="DH304" s="125">
        <f t="shared" si="349"/>
        <v>2</v>
      </c>
      <c r="DI304" s="125">
        <f t="shared" si="349"/>
        <v>3</v>
      </c>
      <c r="DJ304" s="125">
        <f t="shared" si="349"/>
        <v>4</v>
      </c>
      <c r="DK304" s="125">
        <f t="shared" si="349"/>
        <v>5</v>
      </c>
      <c r="DL304" s="125">
        <f t="shared" si="349"/>
        <v>6</v>
      </c>
      <c r="DM304" s="125">
        <f t="shared" si="349"/>
        <v>7</v>
      </c>
      <c r="DN304" s="125">
        <f t="shared" si="349"/>
        <v>8</v>
      </c>
      <c r="DO304" s="125">
        <f t="shared" si="349"/>
        <v>9</v>
      </c>
      <c r="DP304" s="125">
        <f t="shared" si="349"/>
        <v>10</v>
      </c>
      <c r="DS304" s="137"/>
      <c r="DT304" s="137"/>
      <c r="DU304" s="137"/>
      <c r="DV304" s="137" t="b">
        <f t="shared" si="336"/>
        <v>0</v>
      </c>
      <c r="DW304" s="137" t="b">
        <f t="shared" si="337"/>
        <v>0</v>
      </c>
      <c r="DX304" s="137" t="b">
        <f t="shared" si="338"/>
        <v>1</v>
      </c>
      <c r="EB304" s="131">
        <f t="shared" si="347"/>
        <v>1</v>
      </c>
      <c r="EC304" s="137" t="b">
        <f t="shared" si="339"/>
        <v>0</v>
      </c>
      <c r="ED304" s="137" t="b">
        <f t="shared" si="340"/>
        <v>0</v>
      </c>
      <c r="EE304" s="137" t="b">
        <f t="shared" si="341"/>
        <v>1</v>
      </c>
      <c r="EF304" s="137"/>
      <c r="EG304" s="137"/>
      <c r="EH304" s="137"/>
      <c r="EI304" s="137"/>
      <c r="EJ304" s="137">
        <f t="shared" si="348"/>
        <v>1</v>
      </c>
      <c r="EK304" s="125">
        <f t="shared" si="342"/>
        <v>0</v>
      </c>
      <c r="EL304" s="125">
        <f t="shared" si="343"/>
        <v>0</v>
      </c>
    </row>
    <row r="305" spans="2:142" ht="15.75" x14ac:dyDescent="0.2">
      <c r="B305" s="160">
        <f t="shared" si="344"/>
        <v>275</v>
      </c>
      <c r="C305" s="290">
        <v>1001348165</v>
      </c>
      <c r="D305" s="290">
        <v>1001273681</v>
      </c>
      <c r="E305" s="290">
        <v>40000564</v>
      </c>
      <c r="F305" s="118">
        <f>IF(OR(J305="",H305=""),"",VLOOKUP(J305,'הזנה לסיווג רשויות'!$B$2:$D$301,2,0))</f>
        <v>20000201</v>
      </c>
      <c r="G305" s="118" t="str">
        <f>IF(OR(J305="",H305=""),"",VLOOKUP(J305,'הזנה לסיווג רשויות'!$B$2:$D$301,3,0))</f>
        <v>תל אביב -יפו</v>
      </c>
      <c r="H305" s="293" t="s">
        <v>731</v>
      </c>
      <c r="I305" s="201" t="s">
        <v>379</v>
      </c>
      <c r="J305" s="294">
        <v>5000</v>
      </c>
      <c r="K305" s="161">
        <v>0</v>
      </c>
      <c r="L305" s="161">
        <v>1</v>
      </c>
      <c r="M305" s="161">
        <v>0</v>
      </c>
      <c r="N305" s="161">
        <v>0</v>
      </c>
      <c r="O305" s="161">
        <v>1</v>
      </c>
      <c r="P305" s="161">
        <v>1</v>
      </c>
      <c r="Q305" s="161">
        <v>1</v>
      </c>
      <c r="R305" s="201">
        <v>219342</v>
      </c>
      <c r="S305" s="201">
        <v>138321</v>
      </c>
      <c r="T305" s="160">
        <f>IF(G305="","",IFERROR(IF(S305/R305&gt;'פרמטרים לקריטריונים'!$C$20,1,0),0))</f>
        <v>1</v>
      </c>
      <c r="U305" s="296">
        <v>138320</v>
      </c>
      <c r="V305" s="160">
        <f>IF(G305="","",IFERROR(IF(U305/R305&gt;'פרמטרים לקריטריונים'!$C$21,1,IF(AND(I305=$BW$5,U305/R305&gt;'פרמטרים לקריטריונים'!$C$22),1,0)),0))</f>
        <v>1</v>
      </c>
      <c r="W305" s="161">
        <v>1</v>
      </c>
      <c r="X305" s="161">
        <v>1</v>
      </c>
      <c r="Y305" s="299">
        <v>150000</v>
      </c>
      <c r="Z305" s="300">
        <v>150000</v>
      </c>
      <c r="AA305" s="161">
        <f t="shared" si="345"/>
        <v>1</v>
      </c>
      <c r="AB305" s="161"/>
      <c r="AC305" s="161"/>
      <c r="AD305" s="161"/>
      <c r="AE305" s="161"/>
      <c r="AF305" s="161"/>
      <c r="AG305" s="161"/>
      <c r="AH305" s="161"/>
      <c r="AI305" s="161"/>
      <c r="AJ305" s="161"/>
      <c r="AK305" s="161"/>
      <c r="AL305" s="161"/>
      <c r="AM305" s="161"/>
      <c r="AN305" s="161"/>
      <c r="AO305" s="161"/>
      <c r="AP305" s="161"/>
      <c r="AQ305" s="161"/>
      <c r="AR305" s="161"/>
      <c r="AS305" s="161"/>
      <c r="AT305" s="161"/>
      <c r="AU305" s="161"/>
      <c r="AV305" s="161"/>
      <c r="AW305" s="160"/>
      <c r="AX305" s="161"/>
      <c r="AY305" s="161"/>
      <c r="AZ305" s="161"/>
      <c r="BA305" s="161"/>
      <c r="BB305" s="161"/>
      <c r="BC305" s="161"/>
      <c r="BD305" s="161"/>
      <c r="BE305" s="161"/>
      <c r="BF305" s="160" t="str">
        <f t="shared" si="346"/>
        <v/>
      </c>
      <c r="BG305" s="160"/>
      <c r="BH305" s="160"/>
      <c r="BI305" s="160"/>
      <c r="BJ305" s="160"/>
      <c r="BK305" s="160"/>
      <c r="BL305" s="162">
        <f t="shared" si="297"/>
        <v>1</v>
      </c>
      <c r="BM305" s="257"/>
      <c r="BN305" s="163"/>
      <c r="BO305" s="211" t="str">
        <f t="shared" si="298"/>
        <v>עמותת הכוריאוגרפים (ע"ר)יוצרים עצמאיים במחול</v>
      </c>
      <c r="BP305" s="125">
        <f t="shared" si="299"/>
        <v>1</v>
      </c>
      <c r="BQ305" s="164">
        <v>0</v>
      </c>
      <c r="BR305" s="164">
        <v>1</v>
      </c>
      <c r="BS305" s="149">
        <f t="shared" si="300"/>
        <v>1</v>
      </c>
      <c r="BT305" s="149">
        <f t="shared" si="301"/>
        <v>1</v>
      </c>
      <c r="BU305" s="149">
        <f t="shared" si="302"/>
        <v>1</v>
      </c>
      <c r="BV305" s="149">
        <f t="shared" si="303"/>
        <v>1</v>
      </c>
      <c r="BW305" s="149">
        <f t="shared" si="304"/>
        <v>1</v>
      </c>
      <c r="BX305" s="149">
        <f t="shared" si="305"/>
        <v>1</v>
      </c>
      <c r="BY305" s="149">
        <f t="shared" si="306"/>
        <v>1</v>
      </c>
      <c r="BZ305" s="149">
        <f t="shared" si="307"/>
        <v>1</v>
      </c>
      <c r="CA305" s="149">
        <f t="shared" si="308"/>
        <v>1</v>
      </c>
      <c r="CB305" s="149">
        <f t="shared" si="309"/>
        <v>1</v>
      </c>
      <c r="CC305" s="149">
        <f t="shared" si="310"/>
        <v>1</v>
      </c>
      <c r="CD305" s="149">
        <f t="shared" si="311"/>
        <v>1</v>
      </c>
      <c r="CE305" s="149">
        <f t="shared" si="312"/>
        <v>1</v>
      </c>
      <c r="CF305" s="149">
        <f t="shared" si="313"/>
        <v>1</v>
      </c>
      <c r="CG305" s="149">
        <f t="shared" si="314"/>
        <v>1</v>
      </c>
      <c r="CH305" s="149">
        <f t="shared" si="315"/>
        <v>1</v>
      </c>
      <c r="CI305" s="149">
        <f t="shared" si="316"/>
        <v>1</v>
      </c>
      <c r="CJ305" s="149">
        <f t="shared" si="317"/>
        <v>1</v>
      </c>
      <c r="CK305" s="149">
        <f t="shared" si="318"/>
        <v>1</v>
      </c>
      <c r="CL305" s="149">
        <f t="shared" si="319"/>
        <v>1</v>
      </c>
      <c r="CM305" s="149">
        <f t="shared" si="320"/>
        <v>1</v>
      </c>
      <c r="CN305" s="149">
        <f t="shared" si="321"/>
        <v>1</v>
      </c>
      <c r="CO305" s="149">
        <f t="shared" si="322"/>
        <v>1</v>
      </c>
      <c r="CP305" s="149">
        <f t="shared" si="323"/>
        <v>1</v>
      </c>
      <c r="CQ305" s="149">
        <f t="shared" si="324"/>
        <v>1</v>
      </c>
      <c r="CR305" s="149">
        <f t="shared" si="325"/>
        <v>1</v>
      </c>
      <c r="CS305" s="149">
        <f t="shared" si="326"/>
        <v>1</v>
      </c>
      <c r="CT305" s="149">
        <f t="shared" si="327"/>
        <v>1</v>
      </c>
      <c r="CU305" s="149">
        <f t="shared" si="328"/>
        <v>1</v>
      </c>
      <c r="CV305" s="149">
        <f t="shared" si="329"/>
        <v>1</v>
      </c>
      <c r="CW305" s="149">
        <f t="shared" si="330"/>
        <v>1</v>
      </c>
      <c r="CX305" s="149">
        <f t="shared" si="331"/>
        <v>1</v>
      </c>
      <c r="CY305" s="149">
        <f t="shared" si="332"/>
        <v>1</v>
      </c>
      <c r="CZ305" s="149">
        <f t="shared" si="333"/>
        <v>1</v>
      </c>
      <c r="DA305" s="149">
        <f t="shared" si="334"/>
        <v>1</v>
      </c>
      <c r="DB305" s="149">
        <f t="shared" si="335"/>
        <v>1</v>
      </c>
      <c r="DG305" s="125">
        <f t="shared" si="296"/>
        <v>1</v>
      </c>
      <c r="DH305" s="125">
        <f t="shared" si="349"/>
        <v>2</v>
      </c>
      <c r="DI305" s="125">
        <f t="shared" si="349"/>
        <v>3</v>
      </c>
      <c r="DJ305" s="125">
        <f t="shared" si="349"/>
        <v>4</v>
      </c>
      <c r="DK305" s="125">
        <f t="shared" si="349"/>
        <v>5</v>
      </c>
      <c r="DL305" s="125">
        <f t="shared" si="349"/>
        <v>6</v>
      </c>
      <c r="DM305" s="125">
        <f t="shared" si="349"/>
        <v>7</v>
      </c>
      <c r="DN305" s="125">
        <f t="shared" si="349"/>
        <v>8</v>
      </c>
      <c r="DO305" s="125">
        <f t="shared" si="349"/>
        <v>9</v>
      </c>
      <c r="DP305" s="125">
        <f t="shared" si="349"/>
        <v>10</v>
      </c>
      <c r="DS305" s="137"/>
      <c r="DT305" s="137"/>
      <c r="DU305" s="137"/>
      <c r="DV305" s="137" t="b">
        <f t="shared" si="336"/>
        <v>0</v>
      </c>
      <c r="DW305" s="137" t="b">
        <f t="shared" si="337"/>
        <v>0</v>
      </c>
      <c r="DX305" s="137" t="b">
        <f t="shared" si="338"/>
        <v>1</v>
      </c>
      <c r="EB305" s="131">
        <f t="shared" si="347"/>
        <v>1</v>
      </c>
      <c r="EC305" s="137" t="b">
        <f t="shared" si="339"/>
        <v>0</v>
      </c>
      <c r="ED305" s="137" t="b">
        <f t="shared" si="340"/>
        <v>0</v>
      </c>
      <c r="EE305" s="137" t="b">
        <f t="shared" si="341"/>
        <v>1</v>
      </c>
      <c r="EF305" s="137"/>
      <c r="EG305" s="137"/>
      <c r="EH305" s="137"/>
      <c r="EI305" s="137"/>
      <c r="EJ305" s="137">
        <f t="shared" si="348"/>
        <v>1</v>
      </c>
      <c r="EK305" s="125">
        <f t="shared" si="342"/>
        <v>0</v>
      </c>
      <c r="EL305" s="125">
        <f t="shared" si="343"/>
        <v>0</v>
      </c>
    </row>
    <row r="306" spans="2:142" ht="15.75" x14ac:dyDescent="0.2">
      <c r="B306" s="160">
        <f t="shared" si="344"/>
        <v>276</v>
      </c>
      <c r="C306" s="290">
        <v>1001348166</v>
      </c>
      <c r="D306" s="290">
        <v>1001273680</v>
      </c>
      <c r="E306" s="290">
        <v>40000564</v>
      </c>
      <c r="F306" s="118">
        <f>IF(OR(J306="",H306=""),"",VLOOKUP(J306,'הזנה לסיווג רשויות'!$B$2:$D$301,2,0))</f>
        <v>20000201</v>
      </c>
      <c r="G306" s="118" t="str">
        <f>IF(OR(J306="",H306=""),"",VLOOKUP(J306,'הזנה לסיווג רשויות'!$B$2:$D$301,3,0))</f>
        <v>תל אביב -יפו</v>
      </c>
      <c r="H306" s="293" t="s">
        <v>731</v>
      </c>
      <c r="I306" s="201" t="s">
        <v>379</v>
      </c>
      <c r="J306" s="294">
        <v>5000</v>
      </c>
      <c r="K306" s="161">
        <v>0</v>
      </c>
      <c r="L306" s="161">
        <v>1</v>
      </c>
      <c r="M306" s="161">
        <v>0</v>
      </c>
      <c r="N306" s="161">
        <v>0</v>
      </c>
      <c r="O306" s="161">
        <v>1</v>
      </c>
      <c r="P306" s="161">
        <v>1</v>
      </c>
      <c r="Q306" s="161">
        <v>1</v>
      </c>
      <c r="R306" s="201">
        <v>224137</v>
      </c>
      <c r="S306" s="201">
        <v>104802</v>
      </c>
      <c r="T306" s="160">
        <f>IF(G306="","",IFERROR(IF(S306/R306&gt;'פרמטרים לקריטריונים'!$C$20,1,0),0))</f>
        <v>1</v>
      </c>
      <c r="U306" s="296">
        <v>63802</v>
      </c>
      <c r="V306" s="160">
        <f>IF(G306="","",IFERROR(IF(U306/R306&gt;'פרמטרים לקריטריונים'!$C$21,1,IF(AND(I306=$BW$5,U306/R306&gt;'פרמטרים לקריטריונים'!$C$22),1,0)),0))</f>
        <v>1</v>
      </c>
      <c r="W306" s="161">
        <v>1</v>
      </c>
      <c r="X306" s="161">
        <v>1</v>
      </c>
      <c r="Y306" s="299">
        <v>150000</v>
      </c>
      <c r="Z306" s="300">
        <v>150000</v>
      </c>
      <c r="AA306" s="161">
        <f t="shared" si="345"/>
        <v>1</v>
      </c>
      <c r="AB306" s="161"/>
      <c r="AC306" s="161"/>
      <c r="AD306" s="161"/>
      <c r="AE306" s="161"/>
      <c r="AF306" s="161"/>
      <c r="AG306" s="161"/>
      <c r="AH306" s="161"/>
      <c r="AI306" s="161"/>
      <c r="AJ306" s="161"/>
      <c r="AK306" s="161"/>
      <c r="AL306" s="161"/>
      <c r="AM306" s="161"/>
      <c r="AN306" s="161"/>
      <c r="AO306" s="161"/>
      <c r="AP306" s="161"/>
      <c r="AQ306" s="161"/>
      <c r="AR306" s="161"/>
      <c r="AS306" s="161"/>
      <c r="AT306" s="161"/>
      <c r="AU306" s="161"/>
      <c r="AV306" s="161"/>
      <c r="AW306" s="160"/>
      <c r="AX306" s="161"/>
      <c r="AY306" s="161"/>
      <c r="AZ306" s="161"/>
      <c r="BA306" s="161"/>
      <c r="BB306" s="161"/>
      <c r="BC306" s="161"/>
      <c r="BD306" s="161"/>
      <c r="BE306" s="161"/>
      <c r="BF306" s="160" t="str">
        <f t="shared" si="346"/>
        <v/>
      </c>
      <c r="BG306" s="160"/>
      <c r="BH306" s="160"/>
      <c r="BI306" s="160"/>
      <c r="BJ306" s="160"/>
      <c r="BK306" s="160"/>
      <c r="BL306" s="162">
        <f t="shared" si="297"/>
        <v>1</v>
      </c>
      <c r="BM306" s="257"/>
      <c r="BN306" s="163"/>
      <c r="BO306" s="211" t="str">
        <f t="shared" si="298"/>
        <v>עמותת הכוריאוגרפים (ע"ר)יוצרים עצמאיים במחול</v>
      </c>
      <c r="BP306" s="125">
        <f t="shared" si="299"/>
        <v>1</v>
      </c>
      <c r="BQ306" s="164">
        <v>0</v>
      </c>
      <c r="BR306" s="164">
        <v>1</v>
      </c>
      <c r="BS306" s="149">
        <f t="shared" si="300"/>
        <v>1</v>
      </c>
      <c r="BT306" s="149">
        <f t="shared" si="301"/>
        <v>1</v>
      </c>
      <c r="BU306" s="149">
        <f t="shared" si="302"/>
        <v>1</v>
      </c>
      <c r="BV306" s="149">
        <f t="shared" si="303"/>
        <v>1</v>
      </c>
      <c r="BW306" s="149">
        <f t="shared" si="304"/>
        <v>1</v>
      </c>
      <c r="BX306" s="149">
        <f t="shared" si="305"/>
        <v>1</v>
      </c>
      <c r="BY306" s="149">
        <f t="shared" si="306"/>
        <v>1</v>
      </c>
      <c r="BZ306" s="149">
        <f t="shared" si="307"/>
        <v>1</v>
      </c>
      <c r="CA306" s="149">
        <f t="shared" si="308"/>
        <v>1</v>
      </c>
      <c r="CB306" s="149">
        <f t="shared" si="309"/>
        <v>1</v>
      </c>
      <c r="CC306" s="149">
        <f t="shared" si="310"/>
        <v>1</v>
      </c>
      <c r="CD306" s="149">
        <f t="shared" si="311"/>
        <v>1</v>
      </c>
      <c r="CE306" s="149">
        <f t="shared" si="312"/>
        <v>1</v>
      </c>
      <c r="CF306" s="149">
        <f t="shared" si="313"/>
        <v>1</v>
      </c>
      <c r="CG306" s="149">
        <f t="shared" si="314"/>
        <v>1</v>
      </c>
      <c r="CH306" s="149">
        <f t="shared" si="315"/>
        <v>1</v>
      </c>
      <c r="CI306" s="149">
        <f t="shared" si="316"/>
        <v>1</v>
      </c>
      <c r="CJ306" s="149">
        <f t="shared" si="317"/>
        <v>1</v>
      </c>
      <c r="CK306" s="149">
        <f t="shared" si="318"/>
        <v>1</v>
      </c>
      <c r="CL306" s="149">
        <f t="shared" si="319"/>
        <v>1</v>
      </c>
      <c r="CM306" s="149">
        <f t="shared" si="320"/>
        <v>1</v>
      </c>
      <c r="CN306" s="149">
        <f t="shared" si="321"/>
        <v>1</v>
      </c>
      <c r="CO306" s="149">
        <f t="shared" si="322"/>
        <v>1</v>
      </c>
      <c r="CP306" s="149">
        <f t="shared" si="323"/>
        <v>1</v>
      </c>
      <c r="CQ306" s="149">
        <f t="shared" si="324"/>
        <v>1</v>
      </c>
      <c r="CR306" s="149">
        <f t="shared" si="325"/>
        <v>1</v>
      </c>
      <c r="CS306" s="149">
        <f t="shared" si="326"/>
        <v>1</v>
      </c>
      <c r="CT306" s="149">
        <f t="shared" si="327"/>
        <v>1</v>
      </c>
      <c r="CU306" s="149">
        <f t="shared" si="328"/>
        <v>1</v>
      </c>
      <c r="CV306" s="149">
        <f t="shared" si="329"/>
        <v>1</v>
      </c>
      <c r="CW306" s="149">
        <f t="shared" si="330"/>
        <v>1</v>
      </c>
      <c r="CX306" s="149">
        <f t="shared" si="331"/>
        <v>1</v>
      </c>
      <c r="CY306" s="149">
        <f t="shared" si="332"/>
        <v>1</v>
      </c>
      <c r="CZ306" s="149">
        <f t="shared" si="333"/>
        <v>1</v>
      </c>
      <c r="DA306" s="149">
        <f t="shared" si="334"/>
        <v>1</v>
      </c>
      <c r="DB306" s="149">
        <f t="shared" si="335"/>
        <v>1</v>
      </c>
      <c r="DG306" s="125">
        <f t="shared" si="296"/>
        <v>1</v>
      </c>
      <c r="DH306" s="125">
        <f t="shared" si="349"/>
        <v>2</v>
      </c>
      <c r="DI306" s="125">
        <f t="shared" si="349"/>
        <v>3</v>
      </c>
      <c r="DJ306" s="125">
        <f t="shared" si="349"/>
        <v>4</v>
      </c>
      <c r="DK306" s="125">
        <f t="shared" si="349"/>
        <v>5</v>
      </c>
      <c r="DL306" s="125">
        <f t="shared" si="349"/>
        <v>6</v>
      </c>
      <c r="DM306" s="125">
        <f t="shared" si="349"/>
        <v>7</v>
      </c>
      <c r="DN306" s="125">
        <f t="shared" si="349"/>
        <v>8</v>
      </c>
      <c r="DO306" s="125">
        <f t="shared" si="349"/>
        <v>9</v>
      </c>
      <c r="DP306" s="125">
        <f t="shared" si="349"/>
        <v>10</v>
      </c>
      <c r="DS306" s="137"/>
      <c r="DT306" s="137"/>
      <c r="DU306" s="137"/>
      <c r="DV306" s="137" t="b">
        <f t="shared" si="336"/>
        <v>0</v>
      </c>
      <c r="DW306" s="137" t="b">
        <f t="shared" si="337"/>
        <v>0</v>
      </c>
      <c r="DX306" s="137" t="b">
        <f t="shared" si="338"/>
        <v>1</v>
      </c>
      <c r="EB306" s="131">
        <f t="shared" si="347"/>
        <v>1</v>
      </c>
      <c r="EC306" s="137" t="b">
        <f t="shared" si="339"/>
        <v>0</v>
      </c>
      <c r="ED306" s="137" t="b">
        <f t="shared" si="340"/>
        <v>0</v>
      </c>
      <c r="EE306" s="137" t="b">
        <f t="shared" si="341"/>
        <v>1</v>
      </c>
      <c r="EF306" s="137"/>
      <c r="EG306" s="137"/>
      <c r="EH306" s="137"/>
      <c r="EI306" s="137"/>
      <c r="EJ306" s="137">
        <f t="shared" si="348"/>
        <v>1</v>
      </c>
      <c r="EK306" s="125">
        <f t="shared" si="342"/>
        <v>0</v>
      </c>
      <c r="EL306" s="125">
        <f t="shared" si="343"/>
        <v>0</v>
      </c>
    </row>
    <row r="307" spans="2:142" ht="15.75" x14ac:dyDescent="0.2">
      <c r="B307" s="160">
        <f t="shared" si="344"/>
        <v>277</v>
      </c>
      <c r="C307" s="290">
        <v>1001348167</v>
      </c>
      <c r="D307" s="290">
        <v>1001273659</v>
      </c>
      <c r="E307" s="290">
        <v>40000564</v>
      </c>
      <c r="F307" s="118">
        <f>IF(OR(J307="",H307=""),"",VLOOKUP(J307,'הזנה לסיווג רשויות'!$B$2:$D$301,2,0))</f>
        <v>20000201</v>
      </c>
      <c r="G307" s="118" t="str">
        <f>IF(OR(J307="",H307=""),"",VLOOKUP(J307,'הזנה לסיווג רשויות'!$B$2:$D$301,3,0))</f>
        <v>תל אביב -יפו</v>
      </c>
      <c r="H307" s="293" t="s">
        <v>731</v>
      </c>
      <c r="I307" s="201" t="s">
        <v>379</v>
      </c>
      <c r="J307" s="294">
        <v>5000</v>
      </c>
      <c r="K307" s="161">
        <v>0</v>
      </c>
      <c r="L307" s="161">
        <v>1</v>
      </c>
      <c r="M307" s="161">
        <v>0</v>
      </c>
      <c r="N307" s="161">
        <v>0</v>
      </c>
      <c r="O307" s="161">
        <v>1</v>
      </c>
      <c r="P307" s="161">
        <v>1</v>
      </c>
      <c r="Q307" s="161">
        <v>1</v>
      </c>
      <c r="R307" s="201">
        <v>161568</v>
      </c>
      <c r="S307" s="201">
        <v>88054</v>
      </c>
      <c r="T307" s="160">
        <f>IF(G307="","",IFERROR(IF(S307/R307&gt;'פרמטרים לקריטריונים'!$C$20,1,0),0))</f>
        <v>1</v>
      </c>
      <c r="U307" s="296">
        <v>88054</v>
      </c>
      <c r="V307" s="160">
        <f>IF(G307="","",IFERROR(IF(U307/R307&gt;'פרמטרים לקריטריונים'!$C$21,1,IF(AND(I307=$BW$5,U307/R307&gt;'פרמטרים לקריטריונים'!$C$22),1,0)),0))</f>
        <v>1</v>
      </c>
      <c r="W307" s="161">
        <v>1</v>
      </c>
      <c r="X307" s="161">
        <v>1</v>
      </c>
      <c r="Y307" s="299">
        <v>150000</v>
      </c>
      <c r="Z307" s="300">
        <v>150000</v>
      </c>
      <c r="AA307" s="161">
        <f t="shared" si="345"/>
        <v>1</v>
      </c>
      <c r="AB307" s="161"/>
      <c r="AC307" s="161"/>
      <c r="AD307" s="161"/>
      <c r="AE307" s="161"/>
      <c r="AF307" s="161"/>
      <c r="AG307" s="161"/>
      <c r="AH307" s="161"/>
      <c r="AI307" s="161"/>
      <c r="AJ307" s="161"/>
      <c r="AK307" s="161"/>
      <c r="AL307" s="161"/>
      <c r="AM307" s="161"/>
      <c r="AN307" s="161"/>
      <c r="AO307" s="161"/>
      <c r="AP307" s="161"/>
      <c r="AQ307" s="161"/>
      <c r="AR307" s="161"/>
      <c r="AS307" s="161"/>
      <c r="AT307" s="161"/>
      <c r="AU307" s="161"/>
      <c r="AV307" s="161"/>
      <c r="AW307" s="160"/>
      <c r="AX307" s="161"/>
      <c r="AY307" s="161"/>
      <c r="AZ307" s="161"/>
      <c r="BA307" s="161"/>
      <c r="BB307" s="161"/>
      <c r="BC307" s="161"/>
      <c r="BD307" s="161"/>
      <c r="BE307" s="161"/>
      <c r="BF307" s="160" t="str">
        <f t="shared" si="346"/>
        <v/>
      </c>
      <c r="BG307" s="160"/>
      <c r="BH307" s="160"/>
      <c r="BI307" s="160"/>
      <c r="BJ307" s="160"/>
      <c r="BK307" s="160"/>
      <c r="BL307" s="162">
        <f t="shared" si="297"/>
        <v>1</v>
      </c>
      <c r="BM307" s="257"/>
      <c r="BN307" s="163"/>
      <c r="BO307" s="211" t="str">
        <f t="shared" si="298"/>
        <v>עמותת הכוריאוגרפים (ע"ר)יוצרים עצמאיים במחול</v>
      </c>
      <c r="BP307" s="125">
        <f t="shared" si="299"/>
        <v>1</v>
      </c>
      <c r="BQ307" s="164">
        <v>0</v>
      </c>
      <c r="BR307" s="164">
        <v>1</v>
      </c>
      <c r="BS307" s="149">
        <f t="shared" si="300"/>
        <v>1</v>
      </c>
      <c r="BT307" s="149">
        <f t="shared" si="301"/>
        <v>1</v>
      </c>
      <c r="BU307" s="149">
        <f t="shared" si="302"/>
        <v>1</v>
      </c>
      <c r="BV307" s="149">
        <f t="shared" si="303"/>
        <v>1</v>
      </c>
      <c r="BW307" s="149">
        <f t="shared" si="304"/>
        <v>1</v>
      </c>
      <c r="BX307" s="149">
        <f t="shared" si="305"/>
        <v>1</v>
      </c>
      <c r="BY307" s="149">
        <f t="shared" si="306"/>
        <v>1</v>
      </c>
      <c r="BZ307" s="149">
        <f t="shared" si="307"/>
        <v>1</v>
      </c>
      <c r="CA307" s="149">
        <f t="shared" si="308"/>
        <v>1</v>
      </c>
      <c r="CB307" s="149">
        <f t="shared" si="309"/>
        <v>1</v>
      </c>
      <c r="CC307" s="149">
        <f t="shared" si="310"/>
        <v>1</v>
      </c>
      <c r="CD307" s="149">
        <f t="shared" si="311"/>
        <v>1</v>
      </c>
      <c r="CE307" s="149">
        <f t="shared" si="312"/>
        <v>1</v>
      </c>
      <c r="CF307" s="149">
        <f t="shared" si="313"/>
        <v>1</v>
      </c>
      <c r="CG307" s="149">
        <f t="shared" si="314"/>
        <v>1</v>
      </c>
      <c r="CH307" s="149">
        <f t="shared" si="315"/>
        <v>1</v>
      </c>
      <c r="CI307" s="149">
        <f t="shared" si="316"/>
        <v>1</v>
      </c>
      <c r="CJ307" s="149">
        <f t="shared" si="317"/>
        <v>1</v>
      </c>
      <c r="CK307" s="149">
        <f t="shared" si="318"/>
        <v>1</v>
      </c>
      <c r="CL307" s="149">
        <f t="shared" si="319"/>
        <v>1</v>
      </c>
      <c r="CM307" s="149">
        <f t="shared" si="320"/>
        <v>1</v>
      </c>
      <c r="CN307" s="149">
        <f t="shared" si="321"/>
        <v>1</v>
      </c>
      <c r="CO307" s="149">
        <f t="shared" si="322"/>
        <v>1</v>
      </c>
      <c r="CP307" s="149">
        <f t="shared" si="323"/>
        <v>1</v>
      </c>
      <c r="CQ307" s="149">
        <f t="shared" si="324"/>
        <v>1</v>
      </c>
      <c r="CR307" s="149">
        <f t="shared" si="325"/>
        <v>1</v>
      </c>
      <c r="CS307" s="149">
        <f t="shared" si="326"/>
        <v>1</v>
      </c>
      <c r="CT307" s="149">
        <f t="shared" si="327"/>
        <v>1</v>
      </c>
      <c r="CU307" s="149">
        <f t="shared" si="328"/>
        <v>1</v>
      </c>
      <c r="CV307" s="149">
        <f t="shared" si="329"/>
        <v>1</v>
      </c>
      <c r="CW307" s="149">
        <f t="shared" si="330"/>
        <v>1</v>
      </c>
      <c r="CX307" s="149">
        <f t="shared" si="331"/>
        <v>1</v>
      </c>
      <c r="CY307" s="149">
        <f t="shared" si="332"/>
        <v>1</v>
      </c>
      <c r="CZ307" s="149">
        <f t="shared" si="333"/>
        <v>1</v>
      </c>
      <c r="DA307" s="149">
        <f t="shared" si="334"/>
        <v>1</v>
      </c>
      <c r="DB307" s="149">
        <f t="shared" si="335"/>
        <v>1</v>
      </c>
      <c r="DG307" s="125">
        <f t="shared" si="296"/>
        <v>1</v>
      </c>
      <c r="DH307" s="125">
        <f t="shared" si="349"/>
        <v>2</v>
      </c>
      <c r="DI307" s="125">
        <f t="shared" si="349"/>
        <v>3</v>
      </c>
      <c r="DJ307" s="125">
        <f t="shared" si="349"/>
        <v>4</v>
      </c>
      <c r="DK307" s="125">
        <f t="shared" si="349"/>
        <v>5</v>
      </c>
      <c r="DL307" s="125">
        <f t="shared" si="349"/>
        <v>6</v>
      </c>
      <c r="DM307" s="125">
        <f t="shared" si="349"/>
        <v>7</v>
      </c>
      <c r="DN307" s="125">
        <f t="shared" si="349"/>
        <v>8</v>
      </c>
      <c r="DO307" s="125">
        <f t="shared" si="349"/>
        <v>9</v>
      </c>
      <c r="DP307" s="125">
        <f t="shared" si="349"/>
        <v>10</v>
      </c>
      <c r="DS307" s="137"/>
      <c r="DT307" s="137"/>
      <c r="DU307" s="137"/>
      <c r="DV307" s="137" t="b">
        <f t="shared" si="336"/>
        <v>0</v>
      </c>
      <c r="DW307" s="137" t="b">
        <f t="shared" si="337"/>
        <v>0</v>
      </c>
      <c r="DX307" s="137" t="b">
        <f t="shared" si="338"/>
        <v>1</v>
      </c>
      <c r="EB307" s="131">
        <f t="shared" si="347"/>
        <v>1</v>
      </c>
      <c r="EC307" s="137" t="b">
        <f t="shared" si="339"/>
        <v>0</v>
      </c>
      <c r="ED307" s="137" t="b">
        <f t="shared" si="340"/>
        <v>0</v>
      </c>
      <c r="EE307" s="137" t="b">
        <f t="shared" si="341"/>
        <v>1</v>
      </c>
      <c r="EF307" s="137"/>
      <c r="EG307" s="137"/>
      <c r="EH307" s="137"/>
      <c r="EI307" s="137"/>
      <c r="EJ307" s="137">
        <f t="shared" si="348"/>
        <v>1</v>
      </c>
      <c r="EK307" s="125">
        <f t="shared" si="342"/>
        <v>0</v>
      </c>
      <c r="EL307" s="125">
        <f t="shared" si="343"/>
        <v>0</v>
      </c>
    </row>
    <row r="308" spans="2:142" ht="15.75" x14ac:dyDescent="0.2">
      <c r="B308" s="160">
        <f t="shared" si="344"/>
        <v>278</v>
      </c>
      <c r="C308" s="290">
        <v>1001348168</v>
      </c>
      <c r="D308" s="290">
        <v>1001273658</v>
      </c>
      <c r="E308" s="290">
        <v>40000564</v>
      </c>
      <c r="F308" s="118">
        <f>IF(OR(J308="",H308=""),"",VLOOKUP(J308,'הזנה לסיווג רשויות'!$B$2:$D$301,2,0))</f>
        <v>20000201</v>
      </c>
      <c r="G308" s="118" t="str">
        <f>IF(OR(J308="",H308=""),"",VLOOKUP(J308,'הזנה לסיווג רשויות'!$B$2:$D$301,3,0))</f>
        <v>תל אביב -יפו</v>
      </c>
      <c r="H308" s="293" t="s">
        <v>731</v>
      </c>
      <c r="I308" s="201" t="s">
        <v>379</v>
      </c>
      <c r="J308" s="294">
        <v>5000</v>
      </c>
      <c r="K308" s="161">
        <v>0</v>
      </c>
      <c r="L308" s="161">
        <v>1</v>
      </c>
      <c r="M308" s="161">
        <v>0</v>
      </c>
      <c r="N308" s="161">
        <v>0</v>
      </c>
      <c r="O308" s="161">
        <v>1</v>
      </c>
      <c r="P308" s="161">
        <v>1</v>
      </c>
      <c r="Q308" s="161">
        <v>1</v>
      </c>
      <c r="R308" s="201">
        <v>168598</v>
      </c>
      <c r="S308" s="201">
        <v>115120</v>
      </c>
      <c r="T308" s="160">
        <f>IF(G308="","",IFERROR(IF(S308/R308&gt;'פרמטרים לקריטריונים'!$C$20,1,0),0))</f>
        <v>1</v>
      </c>
      <c r="U308" s="296">
        <v>115120</v>
      </c>
      <c r="V308" s="160">
        <f>IF(G308="","",IFERROR(IF(U308/R308&gt;'פרמטרים לקריטריונים'!$C$21,1,IF(AND(I308=$BW$5,U308/R308&gt;'פרמטרים לקריטריונים'!$C$22),1,0)),0))</f>
        <v>1</v>
      </c>
      <c r="W308" s="161">
        <v>1</v>
      </c>
      <c r="X308" s="161">
        <v>1</v>
      </c>
      <c r="Y308" s="299">
        <v>150000</v>
      </c>
      <c r="Z308" s="300">
        <v>150000</v>
      </c>
      <c r="AA308" s="161">
        <f t="shared" si="345"/>
        <v>1</v>
      </c>
      <c r="AB308" s="161"/>
      <c r="AC308" s="161"/>
      <c r="AD308" s="161"/>
      <c r="AE308" s="161"/>
      <c r="AF308" s="161"/>
      <c r="AG308" s="161"/>
      <c r="AH308" s="161"/>
      <c r="AI308" s="161"/>
      <c r="AJ308" s="161"/>
      <c r="AK308" s="161"/>
      <c r="AL308" s="161"/>
      <c r="AM308" s="161"/>
      <c r="AN308" s="161"/>
      <c r="AO308" s="161"/>
      <c r="AP308" s="161"/>
      <c r="AQ308" s="161"/>
      <c r="AR308" s="161"/>
      <c r="AS308" s="161"/>
      <c r="AT308" s="161"/>
      <c r="AU308" s="161"/>
      <c r="AV308" s="161"/>
      <c r="AW308" s="160"/>
      <c r="AX308" s="161"/>
      <c r="AY308" s="161"/>
      <c r="AZ308" s="161"/>
      <c r="BA308" s="161"/>
      <c r="BB308" s="161"/>
      <c r="BC308" s="161"/>
      <c r="BD308" s="161"/>
      <c r="BE308" s="161"/>
      <c r="BF308" s="160" t="str">
        <f t="shared" si="346"/>
        <v/>
      </c>
      <c r="BG308" s="160"/>
      <c r="BH308" s="160"/>
      <c r="BI308" s="160"/>
      <c r="BJ308" s="160"/>
      <c r="BK308" s="160"/>
      <c r="BL308" s="162">
        <f t="shared" si="297"/>
        <v>1</v>
      </c>
      <c r="BM308" s="257"/>
      <c r="BN308" s="163"/>
      <c r="BO308" s="211" t="str">
        <f t="shared" si="298"/>
        <v>עמותת הכוריאוגרפים (ע"ר)יוצרים עצמאיים במחול</v>
      </c>
      <c r="BP308" s="125">
        <f t="shared" si="299"/>
        <v>1</v>
      </c>
      <c r="BQ308" s="164">
        <v>0</v>
      </c>
      <c r="BR308" s="164">
        <v>1</v>
      </c>
      <c r="BS308" s="149">
        <f t="shared" si="300"/>
        <v>1</v>
      </c>
      <c r="BT308" s="149">
        <f t="shared" si="301"/>
        <v>1</v>
      </c>
      <c r="BU308" s="149">
        <f t="shared" si="302"/>
        <v>1</v>
      </c>
      <c r="BV308" s="149">
        <f t="shared" si="303"/>
        <v>1</v>
      </c>
      <c r="BW308" s="149">
        <f t="shared" si="304"/>
        <v>1</v>
      </c>
      <c r="BX308" s="149">
        <f t="shared" si="305"/>
        <v>1</v>
      </c>
      <c r="BY308" s="149">
        <f t="shared" si="306"/>
        <v>1</v>
      </c>
      <c r="BZ308" s="149">
        <f t="shared" si="307"/>
        <v>1</v>
      </c>
      <c r="CA308" s="149">
        <f t="shared" si="308"/>
        <v>1</v>
      </c>
      <c r="CB308" s="149">
        <f t="shared" si="309"/>
        <v>1</v>
      </c>
      <c r="CC308" s="149">
        <f t="shared" si="310"/>
        <v>1</v>
      </c>
      <c r="CD308" s="149">
        <f t="shared" si="311"/>
        <v>1</v>
      </c>
      <c r="CE308" s="149">
        <f t="shared" si="312"/>
        <v>1</v>
      </c>
      <c r="CF308" s="149">
        <f t="shared" si="313"/>
        <v>1</v>
      </c>
      <c r="CG308" s="149">
        <f t="shared" si="314"/>
        <v>1</v>
      </c>
      <c r="CH308" s="149">
        <f t="shared" si="315"/>
        <v>1</v>
      </c>
      <c r="CI308" s="149">
        <f t="shared" si="316"/>
        <v>1</v>
      </c>
      <c r="CJ308" s="149">
        <f t="shared" si="317"/>
        <v>1</v>
      </c>
      <c r="CK308" s="149">
        <f t="shared" si="318"/>
        <v>1</v>
      </c>
      <c r="CL308" s="149">
        <f t="shared" si="319"/>
        <v>1</v>
      </c>
      <c r="CM308" s="149">
        <f t="shared" si="320"/>
        <v>1</v>
      </c>
      <c r="CN308" s="149">
        <f t="shared" si="321"/>
        <v>1</v>
      </c>
      <c r="CO308" s="149">
        <f t="shared" si="322"/>
        <v>1</v>
      </c>
      <c r="CP308" s="149">
        <f t="shared" si="323"/>
        <v>1</v>
      </c>
      <c r="CQ308" s="149">
        <f t="shared" si="324"/>
        <v>1</v>
      </c>
      <c r="CR308" s="149">
        <f t="shared" si="325"/>
        <v>1</v>
      </c>
      <c r="CS308" s="149">
        <f t="shared" si="326"/>
        <v>1</v>
      </c>
      <c r="CT308" s="149">
        <f t="shared" si="327"/>
        <v>1</v>
      </c>
      <c r="CU308" s="149">
        <f t="shared" si="328"/>
        <v>1</v>
      </c>
      <c r="CV308" s="149">
        <f t="shared" si="329"/>
        <v>1</v>
      </c>
      <c r="CW308" s="149">
        <f t="shared" si="330"/>
        <v>1</v>
      </c>
      <c r="CX308" s="149">
        <f t="shared" si="331"/>
        <v>1</v>
      </c>
      <c r="CY308" s="149">
        <f t="shared" si="332"/>
        <v>1</v>
      </c>
      <c r="CZ308" s="149">
        <f t="shared" si="333"/>
        <v>1</v>
      </c>
      <c r="DA308" s="149">
        <f t="shared" si="334"/>
        <v>1</v>
      </c>
      <c r="DB308" s="149">
        <f t="shared" si="335"/>
        <v>1</v>
      </c>
      <c r="DG308" s="125">
        <f t="shared" si="296"/>
        <v>1</v>
      </c>
      <c r="DH308" s="125">
        <f t="shared" si="349"/>
        <v>2</v>
      </c>
      <c r="DI308" s="125">
        <f t="shared" si="349"/>
        <v>3</v>
      </c>
      <c r="DJ308" s="125">
        <f t="shared" si="349"/>
        <v>4</v>
      </c>
      <c r="DK308" s="125">
        <f t="shared" si="349"/>
        <v>5</v>
      </c>
      <c r="DL308" s="125">
        <f t="shared" si="349"/>
        <v>6</v>
      </c>
      <c r="DM308" s="125">
        <f t="shared" si="349"/>
        <v>7</v>
      </c>
      <c r="DN308" s="125">
        <f t="shared" si="349"/>
        <v>8</v>
      </c>
      <c r="DO308" s="125">
        <f t="shared" si="349"/>
        <v>9</v>
      </c>
      <c r="DP308" s="125">
        <f t="shared" si="349"/>
        <v>10</v>
      </c>
      <c r="DS308" s="137"/>
      <c r="DT308" s="137"/>
      <c r="DU308" s="137"/>
      <c r="DV308" s="137" t="b">
        <f t="shared" si="336"/>
        <v>0</v>
      </c>
      <c r="DW308" s="137" t="b">
        <f t="shared" si="337"/>
        <v>0</v>
      </c>
      <c r="DX308" s="137" t="b">
        <f t="shared" si="338"/>
        <v>1</v>
      </c>
      <c r="EB308" s="131">
        <f t="shared" si="347"/>
        <v>1</v>
      </c>
      <c r="EC308" s="137" t="b">
        <f t="shared" si="339"/>
        <v>0</v>
      </c>
      <c r="ED308" s="137" t="b">
        <f t="shared" si="340"/>
        <v>0</v>
      </c>
      <c r="EE308" s="137" t="b">
        <f t="shared" si="341"/>
        <v>1</v>
      </c>
      <c r="EF308" s="137"/>
      <c r="EG308" s="137"/>
      <c r="EH308" s="137"/>
      <c r="EI308" s="137"/>
      <c r="EJ308" s="137">
        <f t="shared" si="348"/>
        <v>1</v>
      </c>
      <c r="EK308" s="125">
        <f t="shared" si="342"/>
        <v>0</v>
      </c>
      <c r="EL308" s="125">
        <f t="shared" si="343"/>
        <v>0</v>
      </c>
    </row>
    <row r="309" spans="2:142" ht="15.75" x14ac:dyDescent="0.2">
      <c r="B309" s="160">
        <f t="shared" si="344"/>
        <v>279</v>
      </c>
      <c r="C309" s="290">
        <v>1001348169</v>
      </c>
      <c r="D309" s="290">
        <v>1001273657</v>
      </c>
      <c r="E309" s="290">
        <v>40000564</v>
      </c>
      <c r="F309" s="118">
        <f>IF(OR(J309="",H309=""),"",VLOOKUP(J309,'הזנה לסיווג רשויות'!$B$2:$D$301,2,0))</f>
        <v>20000201</v>
      </c>
      <c r="G309" s="118" t="str">
        <f>IF(OR(J309="",H309=""),"",VLOOKUP(J309,'הזנה לסיווג רשויות'!$B$2:$D$301,3,0))</f>
        <v>תל אביב -יפו</v>
      </c>
      <c r="H309" s="293" t="s">
        <v>731</v>
      </c>
      <c r="I309" s="201" t="s">
        <v>379</v>
      </c>
      <c r="J309" s="294">
        <v>5000</v>
      </c>
      <c r="K309" s="161">
        <v>0</v>
      </c>
      <c r="L309" s="161">
        <v>1</v>
      </c>
      <c r="M309" s="161">
        <v>0</v>
      </c>
      <c r="N309" s="161">
        <v>0</v>
      </c>
      <c r="O309" s="161">
        <v>1</v>
      </c>
      <c r="P309" s="161">
        <v>1</v>
      </c>
      <c r="Q309" s="161">
        <v>1</v>
      </c>
      <c r="R309" s="201">
        <v>108326</v>
      </c>
      <c r="S309" s="201">
        <v>41609</v>
      </c>
      <c r="T309" s="160">
        <f>IF(G309="","",IFERROR(IF(S309/R309&gt;'פרמטרים לקריטריונים'!$C$20,1,0),0))</f>
        <v>1</v>
      </c>
      <c r="U309" s="296">
        <v>41609</v>
      </c>
      <c r="V309" s="160">
        <f>IF(G309="","",IFERROR(IF(U309/R309&gt;'פרמטרים לקריטריונים'!$C$21,1,IF(AND(I309=$BW$5,U309/R309&gt;'פרמטרים לקריטריונים'!$C$22),1,0)),0))</f>
        <v>1</v>
      </c>
      <c r="W309" s="161">
        <v>1</v>
      </c>
      <c r="X309" s="161">
        <v>1</v>
      </c>
      <c r="Y309" s="299">
        <v>150000</v>
      </c>
      <c r="Z309" s="300">
        <v>150000</v>
      </c>
      <c r="AA309" s="161">
        <f t="shared" si="345"/>
        <v>1</v>
      </c>
      <c r="AB309" s="161"/>
      <c r="AC309" s="161"/>
      <c r="AD309" s="161"/>
      <c r="AE309" s="161"/>
      <c r="AF309" s="161"/>
      <c r="AG309" s="161"/>
      <c r="AH309" s="161"/>
      <c r="AI309" s="161"/>
      <c r="AJ309" s="161"/>
      <c r="AK309" s="161"/>
      <c r="AL309" s="161"/>
      <c r="AM309" s="161"/>
      <c r="AN309" s="161"/>
      <c r="AO309" s="161"/>
      <c r="AP309" s="161"/>
      <c r="AQ309" s="161"/>
      <c r="AR309" s="161"/>
      <c r="AS309" s="161"/>
      <c r="AT309" s="161"/>
      <c r="AU309" s="161"/>
      <c r="AV309" s="161"/>
      <c r="AW309" s="160"/>
      <c r="AX309" s="161"/>
      <c r="AY309" s="161"/>
      <c r="AZ309" s="161"/>
      <c r="BA309" s="161"/>
      <c r="BB309" s="161"/>
      <c r="BC309" s="161"/>
      <c r="BD309" s="161"/>
      <c r="BE309" s="161"/>
      <c r="BF309" s="160" t="str">
        <f t="shared" si="346"/>
        <v/>
      </c>
      <c r="BG309" s="160"/>
      <c r="BH309" s="160"/>
      <c r="BI309" s="160"/>
      <c r="BJ309" s="160"/>
      <c r="BK309" s="160"/>
      <c r="BL309" s="162">
        <f t="shared" si="297"/>
        <v>1</v>
      </c>
      <c r="BM309" s="257"/>
      <c r="BN309" s="163"/>
      <c r="BO309" s="211" t="str">
        <f t="shared" si="298"/>
        <v>עמותת הכוריאוגרפים (ע"ר)יוצרים עצמאיים במחול</v>
      </c>
      <c r="BP309" s="125">
        <f t="shared" si="299"/>
        <v>1</v>
      </c>
      <c r="BQ309" s="164">
        <v>0</v>
      </c>
      <c r="BR309" s="164">
        <v>1</v>
      </c>
      <c r="BS309" s="149">
        <f t="shared" si="300"/>
        <v>1</v>
      </c>
      <c r="BT309" s="149">
        <f t="shared" si="301"/>
        <v>1</v>
      </c>
      <c r="BU309" s="149">
        <f t="shared" si="302"/>
        <v>1</v>
      </c>
      <c r="BV309" s="149">
        <f t="shared" si="303"/>
        <v>1</v>
      </c>
      <c r="BW309" s="149">
        <f t="shared" si="304"/>
        <v>1</v>
      </c>
      <c r="BX309" s="149">
        <f t="shared" si="305"/>
        <v>1</v>
      </c>
      <c r="BY309" s="149">
        <f t="shared" si="306"/>
        <v>1</v>
      </c>
      <c r="BZ309" s="149">
        <f t="shared" si="307"/>
        <v>1</v>
      </c>
      <c r="CA309" s="149">
        <f t="shared" si="308"/>
        <v>1</v>
      </c>
      <c r="CB309" s="149">
        <f t="shared" si="309"/>
        <v>1</v>
      </c>
      <c r="CC309" s="149">
        <f t="shared" si="310"/>
        <v>1</v>
      </c>
      <c r="CD309" s="149">
        <f t="shared" si="311"/>
        <v>1</v>
      </c>
      <c r="CE309" s="149">
        <f t="shared" si="312"/>
        <v>1</v>
      </c>
      <c r="CF309" s="149">
        <f t="shared" si="313"/>
        <v>1</v>
      </c>
      <c r="CG309" s="149">
        <f t="shared" si="314"/>
        <v>1</v>
      </c>
      <c r="CH309" s="149">
        <f t="shared" si="315"/>
        <v>1</v>
      </c>
      <c r="CI309" s="149">
        <f t="shared" si="316"/>
        <v>1</v>
      </c>
      <c r="CJ309" s="149">
        <f t="shared" si="317"/>
        <v>1</v>
      </c>
      <c r="CK309" s="149">
        <f t="shared" si="318"/>
        <v>1</v>
      </c>
      <c r="CL309" s="149">
        <f t="shared" si="319"/>
        <v>1</v>
      </c>
      <c r="CM309" s="149">
        <f t="shared" si="320"/>
        <v>1</v>
      </c>
      <c r="CN309" s="149">
        <f t="shared" si="321"/>
        <v>1</v>
      </c>
      <c r="CO309" s="149">
        <f t="shared" si="322"/>
        <v>1</v>
      </c>
      <c r="CP309" s="149">
        <f t="shared" si="323"/>
        <v>1</v>
      </c>
      <c r="CQ309" s="149">
        <f t="shared" si="324"/>
        <v>1</v>
      </c>
      <c r="CR309" s="149">
        <f t="shared" si="325"/>
        <v>1</v>
      </c>
      <c r="CS309" s="149">
        <f t="shared" si="326"/>
        <v>1</v>
      </c>
      <c r="CT309" s="149">
        <f t="shared" si="327"/>
        <v>1</v>
      </c>
      <c r="CU309" s="149">
        <f t="shared" si="328"/>
        <v>1</v>
      </c>
      <c r="CV309" s="149">
        <f t="shared" si="329"/>
        <v>1</v>
      </c>
      <c r="CW309" s="149">
        <f t="shared" si="330"/>
        <v>1</v>
      </c>
      <c r="CX309" s="149">
        <f t="shared" si="331"/>
        <v>1</v>
      </c>
      <c r="CY309" s="149">
        <f t="shared" si="332"/>
        <v>1</v>
      </c>
      <c r="CZ309" s="149">
        <f t="shared" si="333"/>
        <v>1</v>
      </c>
      <c r="DA309" s="149">
        <f t="shared" si="334"/>
        <v>1</v>
      </c>
      <c r="DB309" s="149">
        <f t="shared" si="335"/>
        <v>1</v>
      </c>
      <c r="DG309" s="125">
        <f t="shared" si="296"/>
        <v>1</v>
      </c>
      <c r="DH309" s="125">
        <f t="shared" si="349"/>
        <v>2</v>
      </c>
      <c r="DI309" s="125">
        <f t="shared" si="349"/>
        <v>3</v>
      </c>
      <c r="DJ309" s="125">
        <f t="shared" si="349"/>
        <v>4</v>
      </c>
      <c r="DK309" s="125">
        <f t="shared" si="349"/>
        <v>5</v>
      </c>
      <c r="DL309" s="125">
        <f t="shared" si="349"/>
        <v>6</v>
      </c>
      <c r="DM309" s="125">
        <f t="shared" si="349"/>
        <v>7</v>
      </c>
      <c r="DN309" s="125">
        <f t="shared" si="349"/>
        <v>8</v>
      </c>
      <c r="DO309" s="125">
        <f t="shared" si="349"/>
        <v>9</v>
      </c>
      <c r="DP309" s="125">
        <f t="shared" si="349"/>
        <v>10</v>
      </c>
      <c r="DS309" s="137"/>
      <c r="DT309" s="137"/>
      <c r="DU309" s="137"/>
      <c r="DV309" s="137" t="b">
        <f t="shared" si="336"/>
        <v>0</v>
      </c>
      <c r="DW309" s="137" t="b">
        <f t="shared" si="337"/>
        <v>0</v>
      </c>
      <c r="DX309" s="137" t="b">
        <f t="shared" si="338"/>
        <v>1</v>
      </c>
      <c r="EB309" s="131">
        <f t="shared" si="347"/>
        <v>1</v>
      </c>
      <c r="EC309" s="137" t="b">
        <f t="shared" si="339"/>
        <v>0</v>
      </c>
      <c r="ED309" s="137" t="b">
        <f t="shared" si="340"/>
        <v>0</v>
      </c>
      <c r="EE309" s="137" t="b">
        <f t="shared" si="341"/>
        <v>1</v>
      </c>
      <c r="EF309" s="137"/>
      <c r="EG309" s="137"/>
      <c r="EH309" s="137"/>
      <c r="EI309" s="137"/>
      <c r="EJ309" s="137">
        <f t="shared" si="348"/>
        <v>1</v>
      </c>
      <c r="EK309" s="125">
        <f t="shared" si="342"/>
        <v>0</v>
      </c>
      <c r="EL309" s="125">
        <f t="shared" si="343"/>
        <v>0</v>
      </c>
    </row>
    <row r="310" spans="2:142" ht="15.75" x14ac:dyDescent="0.2">
      <c r="B310" s="160">
        <f t="shared" si="344"/>
        <v>280</v>
      </c>
      <c r="C310" s="290">
        <v>1001348170</v>
      </c>
      <c r="D310" s="290">
        <v>1001273655</v>
      </c>
      <c r="E310" s="290">
        <v>40000564</v>
      </c>
      <c r="F310" s="118">
        <f>IF(OR(J310="",H310=""),"",VLOOKUP(J310,'הזנה לסיווג רשויות'!$B$2:$D$301,2,0))</f>
        <v>20000201</v>
      </c>
      <c r="G310" s="118" t="str">
        <f>IF(OR(J310="",H310=""),"",VLOOKUP(J310,'הזנה לסיווג רשויות'!$B$2:$D$301,3,0))</f>
        <v>תל אביב -יפו</v>
      </c>
      <c r="H310" s="293" t="s">
        <v>731</v>
      </c>
      <c r="I310" s="201" t="s">
        <v>379</v>
      </c>
      <c r="J310" s="294">
        <v>5000</v>
      </c>
      <c r="K310" s="161">
        <v>0</v>
      </c>
      <c r="L310" s="161">
        <v>1</v>
      </c>
      <c r="M310" s="161">
        <v>0</v>
      </c>
      <c r="N310" s="161">
        <v>0</v>
      </c>
      <c r="O310" s="161">
        <v>1</v>
      </c>
      <c r="P310" s="161">
        <v>1</v>
      </c>
      <c r="Q310" s="161">
        <v>1</v>
      </c>
      <c r="R310" s="201">
        <v>265843</v>
      </c>
      <c r="S310" s="201">
        <v>98541</v>
      </c>
      <c r="T310" s="160">
        <f>IF(G310="","",IFERROR(IF(S310/R310&gt;'פרמטרים לקריטריונים'!$C$20,1,0),0))</f>
        <v>1</v>
      </c>
      <c r="U310" s="296">
        <v>98541</v>
      </c>
      <c r="V310" s="160">
        <f>IF(G310="","",IFERROR(IF(U310/R310&gt;'פרמטרים לקריטריונים'!$C$21,1,IF(AND(I310=$BW$5,U310/R310&gt;'פרמטרים לקריטריונים'!$C$22),1,0)),0))</f>
        <v>1</v>
      </c>
      <c r="W310" s="161">
        <v>1</v>
      </c>
      <c r="X310" s="161">
        <v>1</v>
      </c>
      <c r="Y310" s="299">
        <v>150000</v>
      </c>
      <c r="Z310" s="300">
        <v>150000</v>
      </c>
      <c r="AA310" s="161">
        <f t="shared" si="345"/>
        <v>1</v>
      </c>
      <c r="AB310" s="161"/>
      <c r="AC310" s="161"/>
      <c r="AD310" s="161"/>
      <c r="AE310" s="161"/>
      <c r="AF310" s="161"/>
      <c r="AG310" s="161"/>
      <c r="AH310" s="161"/>
      <c r="AI310" s="161"/>
      <c r="AJ310" s="161"/>
      <c r="AK310" s="161"/>
      <c r="AL310" s="161"/>
      <c r="AM310" s="161"/>
      <c r="AN310" s="161"/>
      <c r="AO310" s="161"/>
      <c r="AP310" s="161"/>
      <c r="AQ310" s="161"/>
      <c r="AR310" s="161"/>
      <c r="AS310" s="161"/>
      <c r="AT310" s="161"/>
      <c r="AU310" s="161"/>
      <c r="AV310" s="161"/>
      <c r="AW310" s="160"/>
      <c r="AX310" s="161"/>
      <c r="AY310" s="161"/>
      <c r="AZ310" s="161"/>
      <c r="BA310" s="161"/>
      <c r="BB310" s="161"/>
      <c r="BC310" s="161"/>
      <c r="BD310" s="161"/>
      <c r="BE310" s="161"/>
      <c r="BF310" s="160" t="str">
        <f t="shared" si="346"/>
        <v/>
      </c>
      <c r="BG310" s="160"/>
      <c r="BH310" s="160"/>
      <c r="BI310" s="160"/>
      <c r="BJ310" s="160"/>
      <c r="BK310" s="160"/>
      <c r="BL310" s="162">
        <f t="shared" si="297"/>
        <v>1</v>
      </c>
      <c r="BM310" s="257"/>
      <c r="BN310" s="163"/>
      <c r="BO310" s="211" t="str">
        <f t="shared" si="298"/>
        <v>עמותת הכוריאוגרפים (ע"ר)יוצרים עצמאיים במחול</v>
      </c>
      <c r="BP310" s="125">
        <f t="shared" si="299"/>
        <v>1</v>
      </c>
      <c r="BQ310" s="164">
        <v>0</v>
      </c>
      <c r="BR310" s="164">
        <v>1</v>
      </c>
      <c r="BS310" s="149">
        <f t="shared" si="300"/>
        <v>1</v>
      </c>
      <c r="BT310" s="149">
        <f t="shared" si="301"/>
        <v>1</v>
      </c>
      <c r="BU310" s="149">
        <f t="shared" si="302"/>
        <v>1</v>
      </c>
      <c r="BV310" s="149">
        <f t="shared" si="303"/>
        <v>1</v>
      </c>
      <c r="BW310" s="149">
        <f t="shared" si="304"/>
        <v>1</v>
      </c>
      <c r="BX310" s="149">
        <f t="shared" si="305"/>
        <v>1</v>
      </c>
      <c r="BY310" s="149">
        <f t="shared" si="306"/>
        <v>1</v>
      </c>
      <c r="BZ310" s="149">
        <f t="shared" si="307"/>
        <v>1</v>
      </c>
      <c r="CA310" s="149">
        <f t="shared" si="308"/>
        <v>1</v>
      </c>
      <c r="CB310" s="149">
        <f t="shared" si="309"/>
        <v>1</v>
      </c>
      <c r="CC310" s="149">
        <f t="shared" si="310"/>
        <v>1</v>
      </c>
      <c r="CD310" s="149">
        <f t="shared" si="311"/>
        <v>1</v>
      </c>
      <c r="CE310" s="149">
        <f t="shared" si="312"/>
        <v>1</v>
      </c>
      <c r="CF310" s="149">
        <f t="shared" si="313"/>
        <v>1</v>
      </c>
      <c r="CG310" s="149">
        <f t="shared" si="314"/>
        <v>1</v>
      </c>
      <c r="CH310" s="149">
        <f t="shared" si="315"/>
        <v>1</v>
      </c>
      <c r="CI310" s="149">
        <f t="shared" si="316"/>
        <v>1</v>
      </c>
      <c r="CJ310" s="149">
        <f t="shared" si="317"/>
        <v>1</v>
      </c>
      <c r="CK310" s="149">
        <f t="shared" si="318"/>
        <v>1</v>
      </c>
      <c r="CL310" s="149">
        <f t="shared" si="319"/>
        <v>1</v>
      </c>
      <c r="CM310" s="149">
        <f t="shared" si="320"/>
        <v>1</v>
      </c>
      <c r="CN310" s="149">
        <f t="shared" si="321"/>
        <v>1</v>
      </c>
      <c r="CO310" s="149">
        <f t="shared" si="322"/>
        <v>1</v>
      </c>
      <c r="CP310" s="149">
        <f t="shared" si="323"/>
        <v>1</v>
      </c>
      <c r="CQ310" s="149">
        <f t="shared" si="324"/>
        <v>1</v>
      </c>
      <c r="CR310" s="149">
        <f t="shared" si="325"/>
        <v>1</v>
      </c>
      <c r="CS310" s="149">
        <f t="shared" si="326"/>
        <v>1</v>
      </c>
      <c r="CT310" s="149">
        <f t="shared" si="327"/>
        <v>1</v>
      </c>
      <c r="CU310" s="149">
        <f t="shared" si="328"/>
        <v>1</v>
      </c>
      <c r="CV310" s="149">
        <f t="shared" si="329"/>
        <v>1</v>
      </c>
      <c r="CW310" s="149">
        <f t="shared" si="330"/>
        <v>1</v>
      </c>
      <c r="CX310" s="149">
        <f t="shared" si="331"/>
        <v>1</v>
      </c>
      <c r="CY310" s="149">
        <f t="shared" si="332"/>
        <v>1</v>
      </c>
      <c r="CZ310" s="149">
        <f t="shared" si="333"/>
        <v>1</v>
      </c>
      <c r="DA310" s="149">
        <f t="shared" si="334"/>
        <v>1</v>
      </c>
      <c r="DB310" s="149">
        <f t="shared" si="335"/>
        <v>1</v>
      </c>
      <c r="DG310" s="125">
        <f t="shared" si="296"/>
        <v>1</v>
      </c>
      <c r="DH310" s="125">
        <f t="shared" si="349"/>
        <v>2</v>
      </c>
      <c r="DI310" s="125">
        <f t="shared" si="349"/>
        <v>3</v>
      </c>
      <c r="DJ310" s="125">
        <f t="shared" si="349"/>
        <v>4</v>
      </c>
      <c r="DK310" s="125">
        <f t="shared" si="349"/>
        <v>5</v>
      </c>
      <c r="DL310" s="125">
        <f t="shared" si="349"/>
        <v>6</v>
      </c>
      <c r="DM310" s="125">
        <f t="shared" si="349"/>
        <v>7</v>
      </c>
      <c r="DN310" s="125">
        <f t="shared" si="349"/>
        <v>8</v>
      </c>
      <c r="DO310" s="125">
        <f t="shared" si="349"/>
        <v>9</v>
      </c>
      <c r="DP310" s="125">
        <f t="shared" si="349"/>
        <v>10</v>
      </c>
      <c r="DS310" s="137"/>
      <c r="DT310" s="137"/>
      <c r="DU310" s="137"/>
      <c r="DV310" s="137" t="b">
        <f t="shared" si="336"/>
        <v>0</v>
      </c>
      <c r="DW310" s="137" t="b">
        <f t="shared" si="337"/>
        <v>0</v>
      </c>
      <c r="DX310" s="137" t="b">
        <f t="shared" si="338"/>
        <v>1</v>
      </c>
      <c r="EB310" s="131">
        <f t="shared" si="347"/>
        <v>1</v>
      </c>
      <c r="EC310" s="137" t="b">
        <f t="shared" si="339"/>
        <v>0</v>
      </c>
      <c r="ED310" s="137" t="b">
        <f t="shared" si="340"/>
        <v>0</v>
      </c>
      <c r="EE310" s="137" t="b">
        <f t="shared" si="341"/>
        <v>1</v>
      </c>
      <c r="EF310" s="137"/>
      <c r="EG310" s="137"/>
      <c r="EH310" s="137"/>
      <c r="EI310" s="137"/>
      <c r="EJ310" s="137">
        <f t="shared" si="348"/>
        <v>1</v>
      </c>
      <c r="EK310" s="125">
        <f t="shared" si="342"/>
        <v>0</v>
      </c>
      <c r="EL310" s="125">
        <f t="shared" si="343"/>
        <v>0</v>
      </c>
    </row>
    <row r="311" spans="2:142" ht="15.75" x14ac:dyDescent="0.2">
      <c r="B311" s="160">
        <f t="shared" si="344"/>
        <v>281</v>
      </c>
      <c r="C311" s="290">
        <v>1001348171</v>
      </c>
      <c r="D311" s="290">
        <v>1001273653</v>
      </c>
      <c r="E311" s="290">
        <v>40000564</v>
      </c>
      <c r="F311" s="118">
        <f>IF(OR(J311="",H311=""),"",VLOOKUP(J311,'הזנה לסיווג רשויות'!$B$2:$D$301,2,0))</f>
        <v>20000201</v>
      </c>
      <c r="G311" s="118" t="str">
        <f>IF(OR(J311="",H311=""),"",VLOOKUP(J311,'הזנה לסיווג רשויות'!$B$2:$D$301,3,0))</f>
        <v>תל אביב -יפו</v>
      </c>
      <c r="H311" s="293" t="s">
        <v>731</v>
      </c>
      <c r="I311" s="201" t="s">
        <v>379</v>
      </c>
      <c r="J311" s="294">
        <v>5000</v>
      </c>
      <c r="K311" s="161">
        <v>0</v>
      </c>
      <c r="L311" s="161">
        <v>1</v>
      </c>
      <c r="M311" s="161">
        <v>0</v>
      </c>
      <c r="N311" s="161">
        <v>0</v>
      </c>
      <c r="O311" s="161">
        <v>1</v>
      </c>
      <c r="P311" s="161">
        <v>1</v>
      </c>
      <c r="Q311" s="161">
        <v>1</v>
      </c>
      <c r="R311" s="201">
        <v>191421</v>
      </c>
      <c r="S311" s="201">
        <v>102769</v>
      </c>
      <c r="T311" s="160">
        <f>IF(G311="","",IFERROR(IF(S311/R311&gt;'פרמטרים לקריטריונים'!$C$20,1,0),0))</f>
        <v>1</v>
      </c>
      <c r="U311" s="296">
        <v>70168</v>
      </c>
      <c r="V311" s="160">
        <f>IF(G311="","",IFERROR(IF(U311/R311&gt;'פרמטרים לקריטריונים'!$C$21,1,IF(AND(I311=$BW$5,U311/R311&gt;'פרמטרים לקריטריונים'!$C$22),1,0)),0))</f>
        <v>1</v>
      </c>
      <c r="W311" s="161">
        <v>1</v>
      </c>
      <c r="X311" s="161">
        <v>1</v>
      </c>
      <c r="Y311" s="299">
        <v>150000</v>
      </c>
      <c r="Z311" s="300">
        <v>150000</v>
      </c>
      <c r="AA311" s="161">
        <f t="shared" si="345"/>
        <v>1</v>
      </c>
      <c r="AB311" s="161"/>
      <c r="AC311" s="161"/>
      <c r="AD311" s="161"/>
      <c r="AE311" s="161"/>
      <c r="AF311" s="161"/>
      <c r="AG311" s="161"/>
      <c r="AH311" s="161"/>
      <c r="AI311" s="161"/>
      <c r="AJ311" s="161"/>
      <c r="AK311" s="161"/>
      <c r="AL311" s="161"/>
      <c r="AM311" s="161"/>
      <c r="AN311" s="161"/>
      <c r="AO311" s="161"/>
      <c r="AP311" s="161"/>
      <c r="AQ311" s="161"/>
      <c r="AR311" s="161"/>
      <c r="AS311" s="161"/>
      <c r="AT311" s="161"/>
      <c r="AU311" s="161"/>
      <c r="AV311" s="161"/>
      <c r="AW311" s="160"/>
      <c r="AX311" s="161"/>
      <c r="AY311" s="161"/>
      <c r="AZ311" s="161"/>
      <c r="BA311" s="161"/>
      <c r="BB311" s="161"/>
      <c r="BC311" s="161"/>
      <c r="BD311" s="161"/>
      <c r="BE311" s="161"/>
      <c r="BF311" s="160" t="str">
        <f t="shared" si="346"/>
        <v/>
      </c>
      <c r="BG311" s="160"/>
      <c r="BH311" s="160"/>
      <c r="BI311" s="160"/>
      <c r="BJ311" s="160"/>
      <c r="BK311" s="160"/>
      <c r="BL311" s="162">
        <f t="shared" si="297"/>
        <v>1</v>
      </c>
      <c r="BM311" s="257"/>
      <c r="BN311" s="163"/>
      <c r="BO311" s="211" t="str">
        <f t="shared" si="298"/>
        <v>עמותת הכוריאוגרפים (ע"ר)יוצרים עצמאיים במחול</v>
      </c>
      <c r="BP311" s="125">
        <f t="shared" si="299"/>
        <v>1</v>
      </c>
      <c r="BQ311" s="164">
        <v>0</v>
      </c>
      <c r="BR311" s="164">
        <v>1</v>
      </c>
      <c r="BS311" s="149">
        <f t="shared" si="300"/>
        <v>1</v>
      </c>
      <c r="BT311" s="149">
        <f t="shared" si="301"/>
        <v>1</v>
      </c>
      <c r="BU311" s="149">
        <f t="shared" si="302"/>
        <v>1</v>
      </c>
      <c r="BV311" s="149">
        <f t="shared" si="303"/>
        <v>1</v>
      </c>
      <c r="BW311" s="149">
        <f t="shared" si="304"/>
        <v>1</v>
      </c>
      <c r="BX311" s="149">
        <f t="shared" si="305"/>
        <v>1</v>
      </c>
      <c r="BY311" s="149">
        <f t="shared" si="306"/>
        <v>1</v>
      </c>
      <c r="BZ311" s="149">
        <f t="shared" si="307"/>
        <v>1</v>
      </c>
      <c r="CA311" s="149">
        <f t="shared" si="308"/>
        <v>1</v>
      </c>
      <c r="CB311" s="149">
        <f t="shared" si="309"/>
        <v>1</v>
      </c>
      <c r="CC311" s="149">
        <f t="shared" si="310"/>
        <v>1</v>
      </c>
      <c r="CD311" s="149">
        <f t="shared" si="311"/>
        <v>1</v>
      </c>
      <c r="CE311" s="149">
        <f t="shared" si="312"/>
        <v>1</v>
      </c>
      <c r="CF311" s="149">
        <f t="shared" si="313"/>
        <v>1</v>
      </c>
      <c r="CG311" s="149">
        <f t="shared" si="314"/>
        <v>1</v>
      </c>
      <c r="CH311" s="149">
        <f t="shared" si="315"/>
        <v>1</v>
      </c>
      <c r="CI311" s="149">
        <f t="shared" si="316"/>
        <v>1</v>
      </c>
      <c r="CJ311" s="149">
        <f t="shared" si="317"/>
        <v>1</v>
      </c>
      <c r="CK311" s="149">
        <f t="shared" si="318"/>
        <v>1</v>
      </c>
      <c r="CL311" s="149">
        <f t="shared" si="319"/>
        <v>1</v>
      </c>
      <c r="CM311" s="149">
        <f t="shared" si="320"/>
        <v>1</v>
      </c>
      <c r="CN311" s="149">
        <f t="shared" si="321"/>
        <v>1</v>
      </c>
      <c r="CO311" s="149">
        <f t="shared" si="322"/>
        <v>1</v>
      </c>
      <c r="CP311" s="149">
        <f t="shared" si="323"/>
        <v>1</v>
      </c>
      <c r="CQ311" s="149">
        <f t="shared" si="324"/>
        <v>1</v>
      </c>
      <c r="CR311" s="149">
        <f t="shared" si="325"/>
        <v>1</v>
      </c>
      <c r="CS311" s="149">
        <f t="shared" si="326"/>
        <v>1</v>
      </c>
      <c r="CT311" s="149">
        <f t="shared" si="327"/>
        <v>1</v>
      </c>
      <c r="CU311" s="149">
        <f t="shared" si="328"/>
        <v>1</v>
      </c>
      <c r="CV311" s="149">
        <f t="shared" si="329"/>
        <v>1</v>
      </c>
      <c r="CW311" s="149">
        <f t="shared" si="330"/>
        <v>1</v>
      </c>
      <c r="CX311" s="149">
        <f t="shared" si="331"/>
        <v>1</v>
      </c>
      <c r="CY311" s="149">
        <f t="shared" si="332"/>
        <v>1</v>
      </c>
      <c r="CZ311" s="149">
        <f t="shared" si="333"/>
        <v>1</v>
      </c>
      <c r="DA311" s="149">
        <f t="shared" si="334"/>
        <v>1</v>
      </c>
      <c r="DB311" s="149">
        <f t="shared" si="335"/>
        <v>1</v>
      </c>
      <c r="DG311" s="125">
        <f t="shared" si="296"/>
        <v>1</v>
      </c>
      <c r="DH311" s="125">
        <f t="shared" si="349"/>
        <v>2</v>
      </c>
      <c r="DI311" s="125">
        <f t="shared" si="349"/>
        <v>3</v>
      </c>
      <c r="DJ311" s="125">
        <f t="shared" si="349"/>
        <v>4</v>
      </c>
      <c r="DK311" s="125">
        <f t="shared" si="349"/>
        <v>5</v>
      </c>
      <c r="DL311" s="125">
        <f t="shared" si="349"/>
        <v>6</v>
      </c>
      <c r="DM311" s="125">
        <f t="shared" si="349"/>
        <v>7</v>
      </c>
      <c r="DN311" s="125">
        <f t="shared" si="349"/>
        <v>8</v>
      </c>
      <c r="DO311" s="125">
        <f t="shared" si="349"/>
        <v>9</v>
      </c>
      <c r="DP311" s="125">
        <f t="shared" si="349"/>
        <v>10</v>
      </c>
      <c r="DS311" s="137"/>
      <c r="DT311" s="137"/>
      <c r="DU311" s="137"/>
      <c r="DV311" s="137" t="b">
        <f t="shared" si="336"/>
        <v>0</v>
      </c>
      <c r="DW311" s="137" t="b">
        <f t="shared" si="337"/>
        <v>0</v>
      </c>
      <c r="DX311" s="137" t="b">
        <f t="shared" si="338"/>
        <v>1</v>
      </c>
      <c r="EB311" s="131">
        <f t="shared" si="347"/>
        <v>1</v>
      </c>
      <c r="EC311" s="137" t="b">
        <f t="shared" si="339"/>
        <v>0</v>
      </c>
      <c r="ED311" s="137" t="b">
        <f t="shared" si="340"/>
        <v>0</v>
      </c>
      <c r="EE311" s="137" t="b">
        <f t="shared" si="341"/>
        <v>1</v>
      </c>
      <c r="EF311" s="137"/>
      <c r="EG311" s="137"/>
      <c r="EH311" s="137"/>
      <c r="EI311" s="137"/>
      <c r="EJ311" s="137">
        <f t="shared" si="348"/>
        <v>1</v>
      </c>
      <c r="EK311" s="125">
        <f t="shared" si="342"/>
        <v>0</v>
      </c>
      <c r="EL311" s="125">
        <f t="shared" si="343"/>
        <v>0</v>
      </c>
    </row>
    <row r="312" spans="2:142" ht="15.75" x14ac:dyDescent="0.2">
      <c r="B312" s="160">
        <f t="shared" si="344"/>
        <v>282</v>
      </c>
      <c r="C312" s="290">
        <v>1001348172</v>
      </c>
      <c r="D312" s="290">
        <v>1001273649</v>
      </c>
      <c r="E312" s="290">
        <v>40000564</v>
      </c>
      <c r="F312" s="118">
        <f>IF(OR(J312="",H312=""),"",VLOOKUP(J312,'הזנה לסיווג רשויות'!$B$2:$D$301,2,0))</f>
        <v>20000201</v>
      </c>
      <c r="G312" s="118" t="str">
        <f>IF(OR(J312="",H312=""),"",VLOOKUP(J312,'הזנה לסיווג רשויות'!$B$2:$D$301,3,0))</f>
        <v>תל אביב -יפו</v>
      </c>
      <c r="H312" s="293" t="s">
        <v>731</v>
      </c>
      <c r="I312" s="201" t="s">
        <v>379</v>
      </c>
      <c r="J312" s="294">
        <v>5000</v>
      </c>
      <c r="K312" s="161">
        <v>0</v>
      </c>
      <c r="L312" s="161">
        <v>1</v>
      </c>
      <c r="M312" s="161">
        <v>0</v>
      </c>
      <c r="N312" s="161">
        <v>0</v>
      </c>
      <c r="O312" s="161">
        <v>1</v>
      </c>
      <c r="P312" s="161">
        <v>1</v>
      </c>
      <c r="Q312" s="161">
        <v>1</v>
      </c>
      <c r="R312" s="201">
        <v>176970</v>
      </c>
      <c r="S312" s="201">
        <v>96928</v>
      </c>
      <c r="T312" s="160">
        <f>IF(G312="","",IFERROR(IF(S312/R312&gt;'פרמטרים לקריטריונים'!$C$20,1,0),0))</f>
        <v>1</v>
      </c>
      <c r="U312" s="296">
        <v>59928</v>
      </c>
      <c r="V312" s="160">
        <f>IF(G312="","",IFERROR(IF(U312/R312&gt;'פרמטרים לקריטריונים'!$C$21,1,IF(AND(I312=$BW$5,U312/R312&gt;'פרמטרים לקריטריונים'!$C$22),1,0)),0))</f>
        <v>1</v>
      </c>
      <c r="W312" s="161">
        <v>1</v>
      </c>
      <c r="X312" s="161">
        <v>1</v>
      </c>
      <c r="Y312" s="299">
        <v>150000</v>
      </c>
      <c r="Z312" s="300">
        <v>150000</v>
      </c>
      <c r="AA312" s="161">
        <f t="shared" si="345"/>
        <v>1</v>
      </c>
      <c r="AB312" s="161"/>
      <c r="AC312" s="161"/>
      <c r="AD312" s="161"/>
      <c r="AE312" s="161"/>
      <c r="AF312" s="161"/>
      <c r="AG312" s="161"/>
      <c r="AH312" s="161"/>
      <c r="AI312" s="161"/>
      <c r="AJ312" s="161"/>
      <c r="AK312" s="161"/>
      <c r="AL312" s="161"/>
      <c r="AM312" s="161"/>
      <c r="AN312" s="161"/>
      <c r="AO312" s="161"/>
      <c r="AP312" s="161"/>
      <c r="AQ312" s="161"/>
      <c r="AR312" s="161"/>
      <c r="AS312" s="161"/>
      <c r="AT312" s="161"/>
      <c r="AU312" s="161"/>
      <c r="AV312" s="161"/>
      <c r="AW312" s="160"/>
      <c r="AX312" s="161"/>
      <c r="AY312" s="161"/>
      <c r="AZ312" s="161"/>
      <c r="BA312" s="161"/>
      <c r="BB312" s="161"/>
      <c r="BC312" s="161"/>
      <c r="BD312" s="161"/>
      <c r="BE312" s="161"/>
      <c r="BF312" s="160" t="str">
        <f t="shared" si="346"/>
        <v/>
      </c>
      <c r="BG312" s="160"/>
      <c r="BH312" s="160"/>
      <c r="BI312" s="160"/>
      <c r="BJ312" s="160"/>
      <c r="BK312" s="160"/>
      <c r="BL312" s="162">
        <f t="shared" si="297"/>
        <v>1</v>
      </c>
      <c r="BM312" s="257"/>
      <c r="BN312" s="163"/>
      <c r="BO312" s="211" t="str">
        <f t="shared" si="298"/>
        <v>עמותת הכוריאוגרפים (ע"ר)יוצרים עצמאיים במחול</v>
      </c>
      <c r="BP312" s="125">
        <f t="shared" si="299"/>
        <v>1</v>
      </c>
      <c r="BQ312" s="164">
        <v>0</v>
      </c>
      <c r="BR312" s="164">
        <v>1</v>
      </c>
      <c r="BS312" s="149">
        <f t="shared" si="300"/>
        <v>1</v>
      </c>
      <c r="BT312" s="149">
        <f t="shared" si="301"/>
        <v>1</v>
      </c>
      <c r="BU312" s="149">
        <f t="shared" si="302"/>
        <v>1</v>
      </c>
      <c r="BV312" s="149">
        <f t="shared" si="303"/>
        <v>1</v>
      </c>
      <c r="BW312" s="149">
        <f t="shared" si="304"/>
        <v>1</v>
      </c>
      <c r="BX312" s="149">
        <f t="shared" si="305"/>
        <v>1</v>
      </c>
      <c r="BY312" s="149">
        <f t="shared" si="306"/>
        <v>1</v>
      </c>
      <c r="BZ312" s="149">
        <f t="shared" si="307"/>
        <v>1</v>
      </c>
      <c r="CA312" s="149">
        <f t="shared" si="308"/>
        <v>1</v>
      </c>
      <c r="CB312" s="149">
        <f t="shared" si="309"/>
        <v>1</v>
      </c>
      <c r="CC312" s="149">
        <f t="shared" si="310"/>
        <v>1</v>
      </c>
      <c r="CD312" s="149">
        <f t="shared" si="311"/>
        <v>1</v>
      </c>
      <c r="CE312" s="149">
        <f t="shared" si="312"/>
        <v>1</v>
      </c>
      <c r="CF312" s="149">
        <f t="shared" si="313"/>
        <v>1</v>
      </c>
      <c r="CG312" s="149">
        <f t="shared" si="314"/>
        <v>1</v>
      </c>
      <c r="CH312" s="149">
        <f t="shared" si="315"/>
        <v>1</v>
      </c>
      <c r="CI312" s="149">
        <f t="shared" si="316"/>
        <v>1</v>
      </c>
      <c r="CJ312" s="149">
        <f t="shared" si="317"/>
        <v>1</v>
      </c>
      <c r="CK312" s="149">
        <f t="shared" si="318"/>
        <v>1</v>
      </c>
      <c r="CL312" s="149">
        <f t="shared" si="319"/>
        <v>1</v>
      </c>
      <c r="CM312" s="149">
        <f t="shared" si="320"/>
        <v>1</v>
      </c>
      <c r="CN312" s="149">
        <f t="shared" si="321"/>
        <v>1</v>
      </c>
      <c r="CO312" s="149">
        <f t="shared" si="322"/>
        <v>1</v>
      </c>
      <c r="CP312" s="149">
        <f t="shared" si="323"/>
        <v>1</v>
      </c>
      <c r="CQ312" s="149">
        <f t="shared" si="324"/>
        <v>1</v>
      </c>
      <c r="CR312" s="149">
        <f t="shared" si="325"/>
        <v>1</v>
      </c>
      <c r="CS312" s="149">
        <f t="shared" si="326"/>
        <v>1</v>
      </c>
      <c r="CT312" s="149">
        <f t="shared" si="327"/>
        <v>1</v>
      </c>
      <c r="CU312" s="149">
        <f t="shared" si="328"/>
        <v>1</v>
      </c>
      <c r="CV312" s="149">
        <f t="shared" si="329"/>
        <v>1</v>
      </c>
      <c r="CW312" s="149">
        <f t="shared" si="330"/>
        <v>1</v>
      </c>
      <c r="CX312" s="149">
        <f t="shared" si="331"/>
        <v>1</v>
      </c>
      <c r="CY312" s="149">
        <f t="shared" si="332"/>
        <v>1</v>
      </c>
      <c r="CZ312" s="149">
        <f t="shared" si="333"/>
        <v>1</v>
      </c>
      <c r="DA312" s="149">
        <f t="shared" si="334"/>
        <v>1</v>
      </c>
      <c r="DB312" s="149">
        <f t="shared" si="335"/>
        <v>1</v>
      </c>
      <c r="DG312" s="125">
        <f t="shared" si="296"/>
        <v>1</v>
      </c>
      <c r="DH312" s="125">
        <f t="shared" si="349"/>
        <v>2</v>
      </c>
      <c r="DI312" s="125">
        <f t="shared" si="349"/>
        <v>3</v>
      </c>
      <c r="DJ312" s="125">
        <f t="shared" si="349"/>
        <v>4</v>
      </c>
      <c r="DK312" s="125">
        <f t="shared" si="349"/>
        <v>5</v>
      </c>
      <c r="DL312" s="125">
        <f t="shared" si="349"/>
        <v>6</v>
      </c>
      <c r="DM312" s="125">
        <f t="shared" si="349"/>
        <v>7</v>
      </c>
      <c r="DN312" s="125">
        <f t="shared" si="349"/>
        <v>8</v>
      </c>
      <c r="DO312" s="125">
        <f t="shared" si="349"/>
        <v>9</v>
      </c>
      <c r="DP312" s="125">
        <f t="shared" si="349"/>
        <v>10</v>
      </c>
      <c r="DS312" s="137"/>
      <c r="DT312" s="137"/>
      <c r="DU312" s="137"/>
      <c r="DV312" s="137" t="b">
        <f t="shared" si="336"/>
        <v>0</v>
      </c>
      <c r="DW312" s="137" t="b">
        <f t="shared" si="337"/>
        <v>0</v>
      </c>
      <c r="DX312" s="137" t="b">
        <f t="shared" si="338"/>
        <v>1</v>
      </c>
      <c r="EB312" s="131">
        <f t="shared" si="347"/>
        <v>1</v>
      </c>
      <c r="EC312" s="137" t="b">
        <f t="shared" si="339"/>
        <v>0</v>
      </c>
      <c r="ED312" s="137" t="b">
        <f t="shared" si="340"/>
        <v>0</v>
      </c>
      <c r="EE312" s="137" t="b">
        <f t="shared" si="341"/>
        <v>1</v>
      </c>
      <c r="EF312" s="137"/>
      <c r="EG312" s="137"/>
      <c r="EH312" s="137"/>
      <c r="EI312" s="137"/>
      <c r="EJ312" s="137">
        <f t="shared" si="348"/>
        <v>1</v>
      </c>
      <c r="EK312" s="125">
        <f t="shared" si="342"/>
        <v>0</v>
      </c>
      <c r="EL312" s="125">
        <f t="shared" si="343"/>
        <v>0</v>
      </c>
    </row>
    <row r="313" spans="2:142" ht="15.75" x14ac:dyDescent="0.2">
      <c r="B313" s="160">
        <f t="shared" si="344"/>
        <v>283</v>
      </c>
      <c r="C313" s="290">
        <v>1001348173</v>
      </c>
      <c r="D313" s="290">
        <v>1001273634</v>
      </c>
      <c r="E313" s="290">
        <v>40000564</v>
      </c>
      <c r="F313" s="118">
        <f>IF(OR(J313="",H313=""),"",VLOOKUP(J313,'הזנה לסיווג רשויות'!$B$2:$D$301,2,0))</f>
        <v>20000201</v>
      </c>
      <c r="G313" s="118" t="str">
        <f>IF(OR(J313="",H313=""),"",VLOOKUP(J313,'הזנה לסיווג רשויות'!$B$2:$D$301,3,0))</f>
        <v>תל אביב -יפו</v>
      </c>
      <c r="H313" s="293" t="s">
        <v>731</v>
      </c>
      <c r="I313" s="201" t="s">
        <v>379</v>
      </c>
      <c r="J313" s="294">
        <v>5000</v>
      </c>
      <c r="K313" s="161">
        <v>0</v>
      </c>
      <c r="L313" s="161">
        <v>1</v>
      </c>
      <c r="M313" s="161">
        <v>0</v>
      </c>
      <c r="N313" s="161">
        <v>0</v>
      </c>
      <c r="O313" s="161">
        <v>1</v>
      </c>
      <c r="P313" s="161">
        <v>1</v>
      </c>
      <c r="Q313" s="161">
        <v>1</v>
      </c>
      <c r="R313" s="201">
        <v>259656</v>
      </c>
      <c r="S313" s="201">
        <v>115222</v>
      </c>
      <c r="T313" s="160">
        <f>IF(G313="","",IFERROR(IF(S313/R313&gt;'פרמטרים לקריטריונים'!$C$20,1,0),0))</f>
        <v>1</v>
      </c>
      <c r="U313" s="296">
        <v>115222</v>
      </c>
      <c r="V313" s="160">
        <f>IF(G313="","",IFERROR(IF(U313/R313&gt;'פרמטרים לקריטריונים'!$C$21,1,IF(AND(I313=$BW$5,U313/R313&gt;'פרמטרים לקריטריונים'!$C$22),1,0)),0))</f>
        <v>1</v>
      </c>
      <c r="W313" s="161">
        <v>1</v>
      </c>
      <c r="X313" s="161">
        <v>1</v>
      </c>
      <c r="Y313" s="299">
        <v>150000</v>
      </c>
      <c r="Z313" s="300">
        <v>150000</v>
      </c>
      <c r="AA313" s="161">
        <f t="shared" si="345"/>
        <v>1</v>
      </c>
      <c r="AB313" s="161"/>
      <c r="AC313" s="161"/>
      <c r="AD313" s="161"/>
      <c r="AE313" s="161"/>
      <c r="AF313" s="161"/>
      <c r="AG313" s="161"/>
      <c r="AH313" s="161"/>
      <c r="AI313" s="161"/>
      <c r="AJ313" s="161"/>
      <c r="AK313" s="161"/>
      <c r="AL313" s="161"/>
      <c r="AM313" s="161"/>
      <c r="AN313" s="161"/>
      <c r="AO313" s="161"/>
      <c r="AP313" s="161"/>
      <c r="AQ313" s="161"/>
      <c r="AR313" s="161"/>
      <c r="AS313" s="161"/>
      <c r="AT313" s="161"/>
      <c r="AU313" s="161"/>
      <c r="AV313" s="161"/>
      <c r="AW313" s="160"/>
      <c r="AX313" s="161"/>
      <c r="AY313" s="161"/>
      <c r="AZ313" s="161"/>
      <c r="BA313" s="161"/>
      <c r="BB313" s="161"/>
      <c r="BC313" s="161"/>
      <c r="BD313" s="161"/>
      <c r="BE313" s="161"/>
      <c r="BF313" s="160" t="str">
        <f t="shared" si="346"/>
        <v/>
      </c>
      <c r="BG313" s="160"/>
      <c r="BH313" s="160"/>
      <c r="BI313" s="160"/>
      <c r="BJ313" s="160"/>
      <c r="BK313" s="160"/>
      <c r="BL313" s="162">
        <f t="shared" si="297"/>
        <v>1</v>
      </c>
      <c r="BM313" s="257"/>
      <c r="BN313" s="163"/>
      <c r="BO313" s="211" t="str">
        <f t="shared" si="298"/>
        <v>עמותת הכוריאוגרפים (ע"ר)יוצרים עצמאיים במחול</v>
      </c>
      <c r="BP313" s="125">
        <f t="shared" si="299"/>
        <v>1</v>
      </c>
      <c r="BQ313" s="164">
        <v>0</v>
      </c>
      <c r="BR313" s="164">
        <v>1</v>
      </c>
      <c r="BS313" s="149">
        <f t="shared" si="300"/>
        <v>1</v>
      </c>
      <c r="BT313" s="149">
        <f t="shared" si="301"/>
        <v>1</v>
      </c>
      <c r="BU313" s="149">
        <f t="shared" si="302"/>
        <v>1</v>
      </c>
      <c r="BV313" s="149">
        <f t="shared" si="303"/>
        <v>1</v>
      </c>
      <c r="BW313" s="149">
        <f t="shared" si="304"/>
        <v>1</v>
      </c>
      <c r="BX313" s="149">
        <f t="shared" si="305"/>
        <v>1</v>
      </c>
      <c r="BY313" s="149">
        <f t="shared" si="306"/>
        <v>1</v>
      </c>
      <c r="BZ313" s="149">
        <f t="shared" si="307"/>
        <v>1</v>
      </c>
      <c r="CA313" s="149">
        <f t="shared" si="308"/>
        <v>1</v>
      </c>
      <c r="CB313" s="149">
        <f t="shared" si="309"/>
        <v>1</v>
      </c>
      <c r="CC313" s="149">
        <f t="shared" si="310"/>
        <v>1</v>
      </c>
      <c r="CD313" s="149">
        <f t="shared" si="311"/>
        <v>1</v>
      </c>
      <c r="CE313" s="149">
        <f t="shared" si="312"/>
        <v>1</v>
      </c>
      <c r="CF313" s="149">
        <f t="shared" si="313"/>
        <v>1</v>
      </c>
      <c r="CG313" s="149">
        <f t="shared" si="314"/>
        <v>1</v>
      </c>
      <c r="CH313" s="149">
        <f t="shared" si="315"/>
        <v>1</v>
      </c>
      <c r="CI313" s="149">
        <f t="shared" si="316"/>
        <v>1</v>
      </c>
      <c r="CJ313" s="149">
        <f t="shared" si="317"/>
        <v>1</v>
      </c>
      <c r="CK313" s="149">
        <f t="shared" si="318"/>
        <v>1</v>
      </c>
      <c r="CL313" s="149">
        <f t="shared" si="319"/>
        <v>1</v>
      </c>
      <c r="CM313" s="149">
        <f t="shared" si="320"/>
        <v>1</v>
      </c>
      <c r="CN313" s="149">
        <f t="shared" si="321"/>
        <v>1</v>
      </c>
      <c r="CO313" s="149">
        <f t="shared" si="322"/>
        <v>1</v>
      </c>
      <c r="CP313" s="149">
        <f t="shared" si="323"/>
        <v>1</v>
      </c>
      <c r="CQ313" s="149">
        <f t="shared" si="324"/>
        <v>1</v>
      </c>
      <c r="CR313" s="149">
        <f t="shared" si="325"/>
        <v>1</v>
      </c>
      <c r="CS313" s="149">
        <f t="shared" si="326"/>
        <v>1</v>
      </c>
      <c r="CT313" s="149">
        <f t="shared" si="327"/>
        <v>1</v>
      </c>
      <c r="CU313" s="149">
        <f t="shared" si="328"/>
        <v>1</v>
      </c>
      <c r="CV313" s="149">
        <f t="shared" si="329"/>
        <v>1</v>
      </c>
      <c r="CW313" s="149">
        <f t="shared" si="330"/>
        <v>1</v>
      </c>
      <c r="CX313" s="149">
        <f t="shared" si="331"/>
        <v>1</v>
      </c>
      <c r="CY313" s="149">
        <f t="shared" si="332"/>
        <v>1</v>
      </c>
      <c r="CZ313" s="149">
        <f t="shared" si="333"/>
        <v>1</v>
      </c>
      <c r="DA313" s="149">
        <f t="shared" si="334"/>
        <v>1</v>
      </c>
      <c r="DB313" s="149">
        <f t="shared" si="335"/>
        <v>1</v>
      </c>
      <c r="DG313" s="125">
        <f t="shared" si="296"/>
        <v>1</v>
      </c>
      <c r="DH313" s="125">
        <f t="shared" si="349"/>
        <v>2</v>
      </c>
      <c r="DI313" s="125">
        <f t="shared" si="349"/>
        <v>3</v>
      </c>
      <c r="DJ313" s="125">
        <f t="shared" si="349"/>
        <v>4</v>
      </c>
      <c r="DK313" s="125">
        <f t="shared" si="349"/>
        <v>5</v>
      </c>
      <c r="DL313" s="125">
        <f t="shared" si="349"/>
        <v>6</v>
      </c>
      <c r="DM313" s="125">
        <f t="shared" si="349"/>
        <v>7</v>
      </c>
      <c r="DN313" s="125">
        <f t="shared" si="349"/>
        <v>8</v>
      </c>
      <c r="DO313" s="125">
        <f t="shared" si="349"/>
        <v>9</v>
      </c>
      <c r="DP313" s="125">
        <f t="shared" si="349"/>
        <v>10</v>
      </c>
      <c r="DS313" s="137"/>
      <c r="DT313" s="137"/>
      <c r="DU313" s="137"/>
      <c r="DV313" s="137" t="b">
        <f t="shared" si="336"/>
        <v>0</v>
      </c>
      <c r="DW313" s="137" t="b">
        <f t="shared" si="337"/>
        <v>0</v>
      </c>
      <c r="DX313" s="137" t="b">
        <f t="shared" si="338"/>
        <v>1</v>
      </c>
      <c r="EB313" s="131">
        <f t="shared" si="347"/>
        <v>1</v>
      </c>
      <c r="EC313" s="137" t="b">
        <f t="shared" si="339"/>
        <v>0</v>
      </c>
      <c r="ED313" s="137" t="b">
        <f t="shared" si="340"/>
        <v>0</v>
      </c>
      <c r="EE313" s="137" t="b">
        <f t="shared" si="341"/>
        <v>1</v>
      </c>
      <c r="EF313" s="137"/>
      <c r="EG313" s="137"/>
      <c r="EH313" s="137"/>
      <c r="EI313" s="137"/>
      <c r="EJ313" s="137">
        <f t="shared" si="348"/>
        <v>1</v>
      </c>
      <c r="EK313" s="125">
        <f t="shared" si="342"/>
        <v>0</v>
      </c>
      <c r="EL313" s="125">
        <f t="shared" si="343"/>
        <v>0</v>
      </c>
    </row>
    <row r="314" spans="2:142" ht="15.75" x14ac:dyDescent="0.2">
      <c r="B314" s="160">
        <f t="shared" si="344"/>
        <v>284</v>
      </c>
      <c r="C314" s="290">
        <v>1001348174</v>
      </c>
      <c r="D314" s="290">
        <v>1001273636</v>
      </c>
      <c r="E314" s="290">
        <v>40000564</v>
      </c>
      <c r="F314" s="118">
        <f>IF(OR(J314="",H314=""),"",VLOOKUP(J314,'הזנה לסיווג רשויות'!$B$2:$D$301,2,0))</f>
        <v>20000201</v>
      </c>
      <c r="G314" s="118" t="str">
        <f>IF(OR(J314="",H314=""),"",VLOOKUP(J314,'הזנה לסיווג רשויות'!$B$2:$D$301,3,0))</f>
        <v>תל אביב -יפו</v>
      </c>
      <c r="H314" s="293" t="s">
        <v>731</v>
      </c>
      <c r="I314" s="201" t="s">
        <v>379</v>
      </c>
      <c r="J314" s="294">
        <v>5000</v>
      </c>
      <c r="K314" s="161">
        <v>0</v>
      </c>
      <c r="L314" s="161">
        <v>1</v>
      </c>
      <c r="M314" s="161">
        <v>0</v>
      </c>
      <c r="N314" s="161">
        <v>0</v>
      </c>
      <c r="O314" s="161">
        <v>1</v>
      </c>
      <c r="P314" s="161">
        <v>1</v>
      </c>
      <c r="Q314" s="161">
        <v>1</v>
      </c>
      <c r="R314" s="201">
        <v>216192</v>
      </c>
      <c r="S314" s="201">
        <v>74574</v>
      </c>
      <c r="T314" s="160">
        <f>IF(G314="","",IFERROR(IF(S314/R314&gt;'פרמטרים לקריטריונים'!$C$20,1,0),0))</f>
        <v>1</v>
      </c>
      <c r="U314" s="296">
        <v>74574</v>
      </c>
      <c r="V314" s="160">
        <f>IF(G314="","",IFERROR(IF(U314/R314&gt;'פרמטרים לקריטריונים'!$C$21,1,IF(AND(I314=$BW$5,U314/R314&gt;'פרמטרים לקריטריונים'!$C$22),1,0)),0))</f>
        <v>1</v>
      </c>
      <c r="W314" s="161">
        <v>1</v>
      </c>
      <c r="X314" s="161">
        <v>1</v>
      </c>
      <c r="Y314" s="299">
        <v>150000</v>
      </c>
      <c r="Z314" s="300">
        <v>150000</v>
      </c>
      <c r="AA314" s="161">
        <f t="shared" si="345"/>
        <v>1</v>
      </c>
      <c r="AB314" s="161"/>
      <c r="AC314" s="161"/>
      <c r="AD314" s="161"/>
      <c r="AE314" s="161"/>
      <c r="AF314" s="161"/>
      <c r="AG314" s="161"/>
      <c r="AH314" s="161"/>
      <c r="AI314" s="161"/>
      <c r="AJ314" s="161"/>
      <c r="AK314" s="161"/>
      <c r="AL314" s="161"/>
      <c r="AM314" s="161"/>
      <c r="AN314" s="161"/>
      <c r="AO314" s="161"/>
      <c r="AP314" s="161"/>
      <c r="AQ314" s="161"/>
      <c r="AR314" s="161"/>
      <c r="AS314" s="161"/>
      <c r="AT314" s="161"/>
      <c r="AU314" s="161"/>
      <c r="AV314" s="161"/>
      <c r="AW314" s="160"/>
      <c r="AX314" s="161"/>
      <c r="AY314" s="161"/>
      <c r="AZ314" s="161"/>
      <c r="BA314" s="161"/>
      <c r="BB314" s="161"/>
      <c r="BC314" s="161"/>
      <c r="BD314" s="161"/>
      <c r="BE314" s="161"/>
      <c r="BF314" s="160" t="str">
        <f t="shared" si="346"/>
        <v/>
      </c>
      <c r="BG314" s="160"/>
      <c r="BH314" s="160"/>
      <c r="BI314" s="160"/>
      <c r="BJ314" s="160"/>
      <c r="BK314" s="160"/>
      <c r="BL314" s="162">
        <f t="shared" si="297"/>
        <v>1</v>
      </c>
      <c r="BM314" s="257"/>
      <c r="BN314" s="163"/>
      <c r="BO314" s="211" t="str">
        <f t="shared" si="298"/>
        <v>עמותת הכוריאוגרפים (ע"ר)יוצרים עצמאיים במחול</v>
      </c>
      <c r="BP314" s="125">
        <f t="shared" si="299"/>
        <v>1</v>
      </c>
      <c r="BQ314" s="164">
        <v>0</v>
      </c>
      <c r="BR314" s="164">
        <v>1</v>
      </c>
      <c r="BS314" s="149">
        <f t="shared" si="300"/>
        <v>1</v>
      </c>
      <c r="BT314" s="149">
        <f t="shared" si="301"/>
        <v>1</v>
      </c>
      <c r="BU314" s="149">
        <f t="shared" si="302"/>
        <v>1</v>
      </c>
      <c r="BV314" s="149">
        <f t="shared" si="303"/>
        <v>1</v>
      </c>
      <c r="BW314" s="149">
        <f t="shared" si="304"/>
        <v>1</v>
      </c>
      <c r="BX314" s="149">
        <f t="shared" si="305"/>
        <v>1</v>
      </c>
      <c r="BY314" s="149">
        <f t="shared" si="306"/>
        <v>1</v>
      </c>
      <c r="BZ314" s="149">
        <f t="shared" si="307"/>
        <v>1</v>
      </c>
      <c r="CA314" s="149">
        <f t="shared" si="308"/>
        <v>1</v>
      </c>
      <c r="CB314" s="149">
        <f t="shared" si="309"/>
        <v>1</v>
      </c>
      <c r="CC314" s="149">
        <f t="shared" si="310"/>
        <v>1</v>
      </c>
      <c r="CD314" s="149">
        <f t="shared" si="311"/>
        <v>1</v>
      </c>
      <c r="CE314" s="149">
        <f t="shared" si="312"/>
        <v>1</v>
      </c>
      <c r="CF314" s="149">
        <f t="shared" si="313"/>
        <v>1</v>
      </c>
      <c r="CG314" s="149">
        <f t="shared" si="314"/>
        <v>1</v>
      </c>
      <c r="CH314" s="149">
        <f t="shared" si="315"/>
        <v>1</v>
      </c>
      <c r="CI314" s="149">
        <f t="shared" si="316"/>
        <v>1</v>
      </c>
      <c r="CJ314" s="149">
        <f t="shared" si="317"/>
        <v>1</v>
      </c>
      <c r="CK314" s="149">
        <f t="shared" si="318"/>
        <v>1</v>
      </c>
      <c r="CL314" s="149">
        <f t="shared" si="319"/>
        <v>1</v>
      </c>
      <c r="CM314" s="149">
        <f t="shared" si="320"/>
        <v>1</v>
      </c>
      <c r="CN314" s="149">
        <f t="shared" si="321"/>
        <v>1</v>
      </c>
      <c r="CO314" s="149">
        <f t="shared" si="322"/>
        <v>1</v>
      </c>
      <c r="CP314" s="149">
        <f t="shared" si="323"/>
        <v>1</v>
      </c>
      <c r="CQ314" s="149">
        <f t="shared" si="324"/>
        <v>1</v>
      </c>
      <c r="CR314" s="149">
        <f t="shared" si="325"/>
        <v>1</v>
      </c>
      <c r="CS314" s="149">
        <f t="shared" si="326"/>
        <v>1</v>
      </c>
      <c r="CT314" s="149">
        <f t="shared" si="327"/>
        <v>1</v>
      </c>
      <c r="CU314" s="149">
        <f t="shared" si="328"/>
        <v>1</v>
      </c>
      <c r="CV314" s="149">
        <f t="shared" si="329"/>
        <v>1</v>
      </c>
      <c r="CW314" s="149">
        <f t="shared" si="330"/>
        <v>1</v>
      </c>
      <c r="CX314" s="149">
        <f t="shared" si="331"/>
        <v>1</v>
      </c>
      <c r="CY314" s="149">
        <f t="shared" si="332"/>
        <v>1</v>
      </c>
      <c r="CZ314" s="149">
        <f t="shared" si="333"/>
        <v>1</v>
      </c>
      <c r="DA314" s="149">
        <f t="shared" si="334"/>
        <v>1</v>
      </c>
      <c r="DB314" s="149">
        <f t="shared" si="335"/>
        <v>1</v>
      </c>
      <c r="DG314" s="125">
        <f t="shared" si="296"/>
        <v>1</v>
      </c>
      <c r="DH314" s="125">
        <f t="shared" si="349"/>
        <v>2</v>
      </c>
      <c r="DI314" s="125">
        <f t="shared" si="349"/>
        <v>3</v>
      </c>
      <c r="DJ314" s="125">
        <f t="shared" si="349"/>
        <v>4</v>
      </c>
      <c r="DK314" s="125">
        <f t="shared" si="349"/>
        <v>5</v>
      </c>
      <c r="DL314" s="125">
        <f t="shared" si="349"/>
        <v>6</v>
      </c>
      <c r="DM314" s="125">
        <f t="shared" si="349"/>
        <v>7</v>
      </c>
      <c r="DN314" s="125">
        <f t="shared" si="349"/>
        <v>8</v>
      </c>
      <c r="DO314" s="125">
        <f t="shared" si="349"/>
        <v>9</v>
      </c>
      <c r="DP314" s="125">
        <f t="shared" si="349"/>
        <v>10</v>
      </c>
      <c r="DS314" s="137"/>
      <c r="DT314" s="137"/>
      <c r="DU314" s="137"/>
      <c r="DV314" s="137" t="b">
        <f t="shared" si="336"/>
        <v>0</v>
      </c>
      <c r="DW314" s="137" t="b">
        <f t="shared" si="337"/>
        <v>0</v>
      </c>
      <c r="DX314" s="137" t="b">
        <f t="shared" si="338"/>
        <v>1</v>
      </c>
      <c r="EB314" s="131">
        <f t="shared" si="347"/>
        <v>1</v>
      </c>
      <c r="EC314" s="137" t="b">
        <f t="shared" si="339"/>
        <v>0</v>
      </c>
      <c r="ED314" s="137" t="b">
        <f t="shared" si="340"/>
        <v>0</v>
      </c>
      <c r="EE314" s="137" t="b">
        <f t="shared" si="341"/>
        <v>1</v>
      </c>
      <c r="EF314" s="137"/>
      <c r="EG314" s="137"/>
      <c r="EH314" s="137"/>
      <c r="EI314" s="137"/>
      <c r="EJ314" s="137">
        <f t="shared" si="348"/>
        <v>1</v>
      </c>
      <c r="EK314" s="125">
        <f t="shared" si="342"/>
        <v>0</v>
      </c>
      <c r="EL314" s="125">
        <f t="shared" si="343"/>
        <v>0</v>
      </c>
    </row>
    <row r="315" spans="2:142" ht="15.75" x14ac:dyDescent="0.2">
      <c r="B315" s="160">
        <f t="shared" si="344"/>
        <v>285</v>
      </c>
      <c r="C315" s="290">
        <v>1001348175</v>
      </c>
      <c r="D315" s="290">
        <v>1001273638</v>
      </c>
      <c r="E315" s="290">
        <v>40000564</v>
      </c>
      <c r="F315" s="118">
        <f>IF(OR(J315="",H315=""),"",VLOOKUP(J315,'הזנה לסיווג רשויות'!$B$2:$D$301,2,0))</f>
        <v>20000201</v>
      </c>
      <c r="G315" s="118" t="str">
        <f>IF(OR(J315="",H315=""),"",VLOOKUP(J315,'הזנה לסיווג רשויות'!$B$2:$D$301,3,0))</f>
        <v>תל אביב -יפו</v>
      </c>
      <c r="H315" s="293" t="s">
        <v>731</v>
      </c>
      <c r="I315" s="201" t="s">
        <v>379</v>
      </c>
      <c r="J315" s="294">
        <v>5000</v>
      </c>
      <c r="K315" s="161">
        <v>0</v>
      </c>
      <c r="L315" s="161">
        <v>1</v>
      </c>
      <c r="M315" s="161">
        <v>0</v>
      </c>
      <c r="N315" s="161">
        <v>0</v>
      </c>
      <c r="O315" s="161">
        <v>1</v>
      </c>
      <c r="P315" s="161">
        <v>1</v>
      </c>
      <c r="Q315" s="161">
        <v>1</v>
      </c>
      <c r="R315" s="201">
        <v>389160</v>
      </c>
      <c r="S315" s="201">
        <v>175215</v>
      </c>
      <c r="T315" s="160">
        <f>IF(G315="","",IFERROR(IF(S315/R315&gt;'פרמטרים לקריטריונים'!$C$20,1,0),0))</f>
        <v>1</v>
      </c>
      <c r="U315" s="296">
        <v>168715</v>
      </c>
      <c r="V315" s="160">
        <f>IF(G315="","",IFERROR(IF(U315/R315&gt;'פרמטרים לקריטריונים'!$C$21,1,IF(AND(I315=$BW$5,U315/R315&gt;'פרמטרים לקריטריונים'!$C$22),1,0)),0))</f>
        <v>1</v>
      </c>
      <c r="W315" s="161">
        <v>1</v>
      </c>
      <c r="X315" s="161">
        <v>1</v>
      </c>
      <c r="Y315" s="299">
        <v>150000</v>
      </c>
      <c r="Z315" s="300">
        <v>150000</v>
      </c>
      <c r="AA315" s="161">
        <f t="shared" si="345"/>
        <v>1</v>
      </c>
      <c r="AB315" s="161"/>
      <c r="AC315" s="161"/>
      <c r="AD315" s="161"/>
      <c r="AE315" s="161"/>
      <c r="AF315" s="161"/>
      <c r="AG315" s="161"/>
      <c r="AH315" s="161"/>
      <c r="AI315" s="161"/>
      <c r="AJ315" s="161"/>
      <c r="AK315" s="161"/>
      <c r="AL315" s="161"/>
      <c r="AM315" s="161"/>
      <c r="AN315" s="161"/>
      <c r="AO315" s="161"/>
      <c r="AP315" s="161"/>
      <c r="AQ315" s="161"/>
      <c r="AR315" s="161"/>
      <c r="AS315" s="161"/>
      <c r="AT315" s="161"/>
      <c r="AU315" s="161"/>
      <c r="AV315" s="161"/>
      <c r="AW315" s="160"/>
      <c r="AX315" s="161"/>
      <c r="AY315" s="161"/>
      <c r="AZ315" s="161"/>
      <c r="BA315" s="161"/>
      <c r="BB315" s="161"/>
      <c r="BC315" s="161"/>
      <c r="BD315" s="161"/>
      <c r="BE315" s="161"/>
      <c r="BF315" s="160" t="str">
        <f t="shared" si="346"/>
        <v/>
      </c>
      <c r="BG315" s="160"/>
      <c r="BH315" s="160"/>
      <c r="BI315" s="160"/>
      <c r="BJ315" s="160"/>
      <c r="BK315" s="160"/>
      <c r="BL315" s="162">
        <f t="shared" si="297"/>
        <v>1</v>
      </c>
      <c r="BM315" s="257"/>
      <c r="BN315" s="163"/>
      <c r="BO315" s="211" t="str">
        <f t="shared" si="298"/>
        <v>עמותת הכוריאוגרפים (ע"ר)יוצרים עצמאיים במחול</v>
      </c>
      <c r="BP315" s="125">
        <f t="shared" si="299"/>
        <v>1</v>
      </c>
      <c r="BQ315" s="164">
        <v>0</v>
      </c>
      <c r="BR315" s="164">
        <v>1</v>
      </c>
      <c r="BS315" s="149">
        <f t="shared" si="300"/>
        <v>1</v>
      </c>
      <c r="BT315" s="149">
        <f t="shared" si="301"/>
        <v>1</v>
      </c>
      <c r="BU315" s="149">
        <f t="shared" si="302"/>
        <v>1</v>
      </c>
      <c r="BV315" s="149">
        <f t="shared" si="303"/>
        <v>1</v>
      </c>
      <c r="BW315" s="149">
        <f t="shared" si="304"/>
        <v>1</v>
      </c>
      <c r="BX315" s="149">
        <f t="shared" si="305"/>
        <v>1</v>
      </c>
      <c r="BY315" s="149">
        <f t="shared" si="306"/>
        <v>1</v>
      </c>
      <c r="BZ315" s="149">
        <f t="shared" si="307"/>
        <v>1</v>
      </c>
      <c r="CA315" s="149">
        <f t="shared" si="308"/>
        <v>1</v>
      </c>
      <c r="CB315" s="149">
        <f t="shared" si="309"/>
        <v>1</v>
      </c>
      <c r="CC315" s="149">
        <f t="shared" si="310"/>
        <v>1</v>
      </c>
      <c r="CD315" s="149">
        <f t="shared" si="311"/>
        <v>1</v>
      </c>
      <c r="CE315" s="149">
        <f t="shared" si="312"/>
        <v>1</v>
      </c>
      <c r="CF315" s="149">
        <f t="shared" si="313"/>
        <v>1</v>
      </c>
      <c r="CG315" s="149">
        <f t="shared" si="314"/>
        <v>1</v>
      </c>
      <c r="CH315" s="149">
        <f t="shared" si="315"/>
        <v>1</v>
      </c>
      <c r="CI315" s="149">
        <f t="shared" si="316"/>
        <v>1</v>
      </c>
      <c r="CJ315" s="149">
        <f t="shared" si="317"/>
        <v>1</v>
      </c>
      <c r="CK315" s="149">
        <f t="shared" si="318"/>
        <v>1</v>
      </c>
      <c r="CL315" s="149">
        <f t="shared" si="319"/>
        <v>1</v>
      </c>
      <c r="CM315" s="149">
        <f t="shared" si="320"/>
        <v>1</v>
      </c>
      <c r="CN315" s="149">
        <f t="shared" si="321"/>
        <v>1</v>
      </c>
      <c r="CO315" s="149">
        <f t="shared" si="322"/>
        <v>1</v>
      </c>
      <c r="CP315" s="149">
        <f t="shared" si="323"/>
        <v>1</v>
      </c>
      <c r="CQ315" s="149">
        <f t="shared" si="324"/>
        <v>1</v>
      </c>
      <c r="CR315" s="149">
        <f t="shared" si="325"/>
        <v>1</v>
      </c>
      <c r="CS315" s="149">
        <f t="shared" si="326"/>
        <v>1</v>
      </c>
      <c r="CT315" s="149">
        <f t="shared" si="327"/>
        <v>1</v>
      </c>
      <c r="CU315" s="149">
        <f t="shared" si="328"/>
        <v>1</v>
      </c>
      <c r="CV315" s="149">
        <f t="shared" si="329"/>
        <v>1</v>
      </c>
      <c r="CW315" s="149">
        <f t="shared" si="330"/>
        <v>1</v>
      </c>
      <c r="CX315" s="149">
        <f t="shared" si="331"/>
        <v>1</v>
      </c>
      <c r="CY315" s="149">
        <f t="shared" si="332"/>
        <v>1</v>
      </c>
      <c r="CZ315" s="149">
        <f t="shared" si="333"/>
        <v>1</v>
      </c>
      <c r="DA315" s="149">
        <f t="shared" si="334"/>
        <v>1</v>
      </c>
      <c r="DB315" s="149">
        <f t="shared" si="335"/>
        <v>1</v>
      </c>
      <c r="DG315" s="125">
        <f t="shared" si="296"/>
        <v>1</v>
      </c>
      <c r="DH315" s="125">
        <f t="shared" si="349"/>
        <v>2</v>
      </c>
      <c r="DI315" s="125">
        <f t="shared" si="349"/>
        <v>3</v>
      </c>
      <c r="DJ315" s="125">
        <f t="shared" si="349"/>
        <v>4</v>
      </c>
      <c r="DK315" s="125">
        <f t="shared" si="349"/>
        <v>5</v>
      </c>
      <c r="DL315" s="125">
        <f t="shared" si="349"/>
        <v>6</v>
      </c>
      <c r="DM315" s="125">
        <f t="shared" si="349"/>
        <v>7</v>
      </c>
      <c r="DN315" s="125">
        <f t="shared" si="349"/>
        <v>8</v>
      </c>
      <c r="DO315" s="125">
        <f t="shared" si="349"/>
        <v>9</v>
      </c>
      <c r="DP315" s="125">
        <f t="shared" si="349"/>
        <v>10</v>
      </c>
      <c r="DS315" s="137"/>
      <c r="DT315" s="137"/>
      <c r="DU315" s="137"/>
      <c r="DV315" s="137" t="b">
        <f t="shared" si="336"/>
        <v>0</v>
      </c>
      <c r="DW315" s="137" t="b">
        <f t="shared" si="337"/>
        <v>0</v>
      </c>
      <c r="DX315" s="137" t="b">
        <f t="shared" si="338"/>
        <v>1</v>
      </c>
      <c r="EB315" s="131">
        <f t="shared" si="347"/>
        <v>1</v>
      </c>
      <c r="EC315" s="137" t="b">
        <f t="shared" si="339"/>
        <v>0</v>
      </c>
      <c r="ED315" s="137" t="b">
        <f t="shared" si="340"/>
        <v>0</v>
      </c>
      <c r="EE315" s="137" t="b">
        <f t="shared" si="341"/>
        <v>1</v>
      </c>
      <c r="EF315" s="137"/>
      <c r="EG315" s="137"/>
      <c r="EH315" s="137"/>
      <c r="EI315" s="137"/>
      <c r="EJ315" s="137">
        <f t="shared" si="348"/>
        <v>1</v>
      </c>
      <c r="EK315" s="125">
        <f t="shared" si="342"/>
        <v>0</v>
      </c>
      <c r="EL315" s="125">
        <f t="shared" si="343"/>
        <v>0</v>
      </c>
    </row>
    <row r="316" spans="2:142" ht="15.75" x14ac:dyDescent="0.2">
      <c r="B316" s="160">
        <f t="shared" si="344"/>
        <v>286</v>
      </c>
      <c r="C316" s="290">
        <v>1001348176</v>
      </c>
      <c r="D316" s="290">
        <v>1001273641</v>
      </c>
      <c r="E316" s="290">
        <v>40000564</v>
      </c>
      <c r="F316" s="118">
        <f>IF(OR(J316="",H316=""),"",VLOOKUP(J316,'הזנה לסיווג רשויות'!$B$2:$D$301,2,0))</f>
        <v>20000201</v>
      </c>
      <c r="G316" s="118" t="str">
        <f>IF(OR(J316="",H316=""),"",VLOOKUP(J316,'הזנה לסיווג רשויות'!$B$2:$D$301,3,0))</f>
        <v>תל אביב -יפו</v>
      </c>
      <c r="H316" s="293" t="s">
        <v>731</v>
      </c>
      <c r="I316" s="201" t="s">
        <v>379</v>
      </c>
      <c r="J316" s="294">
        <v>5000</v>
      </c>
      <c r="K316" s="161">
        <v>0</v>
      </c>
      <c r="L316" s="161">
        <v>1</v>
      </c>
      <c r="M316" s="161">
        <v>0</v>
      </c>
      <c r="N316" s="161">
        <v>0</v>
      </c>
      <c r="O316" s="161">
        <v>1</v>
      </c>
      <c r="P316" s="161">
        <v>1</v>
      </c>
      <c r="Q316" s="161">
        <v>1</v>
      </c>
      <c r="R316" s="201">
        <v>277847</v>
      </c>
      <c r="S316" s="201">
        <v>179529</v>
      </c>
      <c r="T316" s="160">
        <f>IF(G316="","",IFERROR(IF(S316/R316&gt;'פרמטרים לקריטריונים'!$C$20,1,0),0))</f>
        <v>1</v>
      </c>
      <c r="U316" s="296">
        <v>179529</v>
      </c>
      <c r="V316" s="160">
        <f>IF(G316="","",IFERROR(IF(U316/R316&gt;'פרמטרים לקריטריונים'!$C$21,1,IF(AND(I316=$BW$5,U316/R316&gt;'פרמטרים לקריטריונים'!$C$22),1,0)),0))</f>
        <v>1</v>
      </c>
      <c r="W316" s="161">
        <v>1</v>
      </c>
      <c r="X316" s="161">
        <v>1</v>
      </c>
      <c r="Y316" s="299">
        <v>150000</v>
      </c>
      <c r="Z316" s="300">
        <v>150000</v>
      </c>
      <c r="AA316" s="161">
        <f t="shared" si="345"/>
        <v>1</v>
      </c>
      <c r="AB316" s="161"/>
      <c r="AC316" s="161"/>
      <c r="AD316" s="161"/>
      <c r="AE316" s="161"/>
      <c r="AF316" s="161"/>
      <c r="AG316" s="161"/>
      <c r="AH316" s="161"/>
      <c r="AI316" s="161"/>
      <c r="AJ316" s="161"/>
      <c r="AK316" s="161"/>
      <c r="AL316" s="161"/>
      <c r="AM316" s="161"/>
      <c r="AN316" s="161"/>
      <c r="AO316" s="161"/>
      <c r="AP316" s="161"/>
      <c r="AQ316" s="161"/>
      <c r="AR316" s="161"/>
      <c r="AS316" s="161"/>
      <c r="AT316" s="161"/>
      <c r="AU316" s="161"/>
      <c r="AV316" s="161"/>
      <c r="AW316" s="160"/>
      <c r="AX316" s="161"/>
      <c r="AY316" s="161"/>
      <c r="AZ316" s="161"/>
      <c r="BA316" s="161"/>
      <c r="BB316" s="161"/>
      <c r="BC316" s="161"/>
      <c r="BD316" s="161"/>
      <c r="BE316" s="161"/>
      <c r="BF316" s="160" t="str">
        <f t="shared" si="346"/>
        <v/>
      </c>
      <c r="BG316" s="160"/>
      <c r="BH316" s="160"/>
      <c r="BI316" s="160"/>
      <c r="BJ316" s="160"/>
      <c r="BK316" s="160"/>
      <c r="BL316" s="162">
        <f t="shared" si="297"/>
        <v>1</v>
      </c>
      <c r="BM316" s="257"/>
      <c r="BN316" s="163"/>
      <c r="BO316" s="211" t="str">
        <f t="shared" si="298"/>
        <v>עמותת הכוריאוגרפים (ע"ר)יוצרים עצמאיים במחול</v>
      </c>
      <c r="BP316" s="125">
        <f t="shared" si="299"/>
        <v>1</v>
      </c>
      <c r="BQ316" s="164">
        <v>0</v>
      </c>
      <c r="BR316" s="164">
        <v>1</v>
      </c>
      <c r="BS316" s="149">
        <f t="shared" si="300"/>
        <v>1</v>
      </c>
      <c r="BT316" s="149">
        <f t="shared" si="301"/>
        <v>1</v>
      </c>
      <c r="BU316" s="149">
        <f t="shared" si="302"/>
        <v>1</v>
      </c>
      <c r="BV316" s="149">
        <f t="shared" si="303"/>
        <v>1</v>
      </c>
      <c r="BW316" s="149">
        <f t="shared" si="304"/>
        <v>1</v>
      </c>
      <c r="BX316" s="149">
        <f t="shared" si="305"/>
        <v>1</v>
      </c>
      <c r="BY316" s="149">
        <f t="shared" si="306"/>
        <v>1</v>
      </c>
      <c r="BZ316" s="149">
        <f t="shared" si="307"/>
        <v>1</v>
      </c>
      <c r="CA316" s="149">
        <f t="shared" si="308"/>
        <v>1</v>
      </c>
      <c r="CB316" s="149">
        <f t="shared" si="309"/>
        <v>1</v>
      </c>
      <c r="CC316" s="149">
        <f t="shared" si="310"/>
        <v>1</v>
      </c>
      <c r="CD316" s="149">
        <f t="shared" si="311"/>
        <v>1</v>
      </c>
      <c r="CE316" s="149">
        <f t="shared" si="312"/>
        <v>1</v>
      </c>
      <c r="CF316" s="149">
        <f t="shared" si="313"/>
        <v>1</v>
      </c>
      <c r="CG316" s="149">
        <f t="shared" si="314"/>
        <v>1</v>
      </c>
      <c r="CH316" s="149">
        <f t="shared" si="315"/>
        <v>1</v>
      </c>
      <c r="CI316" s="149">
        <f t="shared" si="316"/>
        <v>1</v>
      </c>
      <c r="CJ316" s="149">
        <f t="shared" si="317"/>
        <v>1</v>
      </c>
      <c r="CK316" s="149">
        <f t="shared" si="318"/>
        <v>1</v>
      </c>
      <c r="CL316" s="149">
        <f t="shared" si="319"/>
        <v>1</v>
      </c>
      <c r="CM316" s="149">
        <f t="shared" si="320"/>
        <v>1</v>
      </c>
      <c r="CN316" s="149">
        <f t="shared" si="321"/>
        <v>1</v>
      </c>
      <c r="CO316" s="149">
        <f t="shared" si="322"/>
        <v>1</v>
      </c>
      <c r="CP316" s="149">
        <f t="shared" si="323"/>
        <v>1</v>
      </c>
      <c r="CQ316" s="149">
        <f t="shared" si="324"/>
        <v>1</v>
      </c>
      <c r="CR316" s="149">
        <f t="shared" si="325"/>
        <v>1</v>
      </c>
      <c r="CS316" s="149">
        <f t="shared" si="326"/>
        <v>1</v>
      </c>
      <c r="CT316" s="149">
        <f t="shared" si="327"/>
        <v>1</v>
      </c>
      <c r="CU316" s="149">
        <f t="shared" si="328"/>
        <v>1</v>
      </c>
      <c r="CV316" s="149">
        <f t="shared" si="329"/>
        <v>1</v>
      </c>
      <c r="CW316" s="149">
        <f t="shared" si="330"/>
        <v>1</v>
      </c>
      <c r="CX316" s="149">
        <f t="shared" si="331"/>
        <v>1</v>
      </c>
      <c r="CY316" s="149">
        <f t="shared" si="332"/>
        <v>1</v>
      </c>
      <c r="CZ316" s="149">
        <f t="shared" si="333"/>
        <v>1</v>
      </c>
      <c r="DA316" s="149">
        <f t="shared" si="334"/>
        <v>1</v>
      </c>
      <c r="DB316" s="149">
        <f t="shared" si="335"/>
        <v>1</v>
      </c>
      <c r="DG316" s="125">
        <f t="shared" si="296"/>
        <v>1</v>
      </c>
      <c r="DH316" s="125">
        <f t="shared" si="349"/>
        <v>2</v>
      </c>
      <c r="DI316" s="125">
        <f t="shared" si="349"/>
        <v>3</v>
      </c>
      <c r="DJ316" s="125">
        <f t="shared" si="349"/>
        <v>4</v>
      </c>
      <c r="DK316" s="125">
        <f t="shared" si="349"/>
        <v>5</v>
      </c>
      <c r="DL316" s="125">
        <f t="shared" si="349"/>
        <v>6</v>
      </c>
      <c r="DM316" s="125">
        <f t="shared" si="349"/>
        <v>7</v>
      </c>
      <c r="DN316" s="125">
        <f t="shared" si="349"/>
        <v>8</v>
      </c>
      <c r="DO316" s="125">
        <f t="shared" si="349"/>
        <v>9</v>
      </c>
      <c r="DP316" s="125">
        <f t="shared" si="349"/>
        <v>10</v>
      </c>
      <c r="DS316" s="137"/>
      <c r="DT316" s="137"/>
      <c r="DU316" s="137"/>
      <c r="DV316" s="137" t="b">
        <f t="shared" si="336"/>
        <v>0</v>
      </c>
      <c r="DW316" s="137" t="b">
        <f t="shared" si="337"/>
        <v>0</v>
      </c>
      <c r="DX316" s="137" t="b">
        <f t="shared" si="338"/>
        <v>1</v>
      </c>
      <c r="EB316" s="131">
        <f t="shared" si="347"/>
        <v>1</v>
      </c>
      <c r="EC316" s="137" t="b">
        <f t="shared" si="339"/>
        <v>0</v>
      </c>
      <c r="ED316" s="137" t="b">
        <f t="shared" si="340"/>
        <v>0</v>
      </c>
      <c r="EE316" s="137" t="b">
        <f t="shared" si="341"/>
        <v>1</v>
      </c>
      <c r="EF316" s="137"/>
      <c r="EG316" s="137"/>
      <c r="EH316" s="137"/>
      <c r="EI316" s="137"/>
      <c r="EJ316" s="137">
        <f t="shared" si="348"/>
        <v>1</v>
      </c>
      <c r="EK316" s="125">
        <f t="shared" si="342"/>
        <v>0</v>
      </c>
      <c r="EL316" s="125">
        <f t="shared" si="343"/>
        <v>0</v>
      </c>
    </row>
    <row r="317" spans="2:142" ht="15.75" x14ac:dyDescent="0.2">
      <c r="B317" s="160">
        <f t="shared" si="344"/>
        <v>287</v>
      </c>
      <c r="C317" s="290">
        <v>1001348177</v>
      </c>
      <c r="D317" s="290">
        <v>1001273591</v>
      </c>
      <c r="E317" s="290">
        <v>40000564</v>
      </c>
      <c r="F317" s="118">
        <f>IF(OR(J317="",H317=""),"",VLOOKUP(J317,'הזנה לסיווג רשויות'!$B$2:$D$301,2,0))</f>
        <v>20000201</v>
      </c>
      <c r="G317" s="118" t="str">
        <f>IF(OR(J317="",H317=""),"",VLOOKUP(J317,'הזנה לסיווג רשויות'!$B$2:$D$301,3,0))</f>
        <v>תל אביב -יפו</v>
      </c>
      <c r="H317" s="293" t="s">
        <v>731</v>
      </c>
      <c r="I317" s="201" t="s">
        <v>379</v>
      </c>
      <c r="J317" s="294">
        <v>5000</v>
      </c>
      <c r="K317" s="161">
        <v>0</v>
      </c>
      <c r="L317" s="161">
        <v>1</v>
      </c>
      <c r="M317" s="161">
        <v>0</v>
      </c>
      <c r="N317" s="161">
        <v>0</v>
      </c>
      <c r="O317" s="161">
        <v>1</v>
      </c>
      <c r="P317" s="161">
        <v>1</v>
      </c>
      <c r="Q317" s="161">
        <v>1</v>
      </c>
      <c r="R317" s="201">
        <v>78897</v>
      </c>
      <c r="S317" s="201">
        <v>55622</v>
      </c>
      <c r="T317" s="160">
        <f>IF(G317="","",IFERROR(IF(S317/R317&gt;'פרמטרים לקריטריונים'!$C$20,1,0),0))</f>
        <v>1</v>
      </c>
      <c r="U317" s="296">
        <v>55622</v>
      </c>
      <c r="V317" s="160">
        <f>IF(G317="","",IFERROR(IF(U317/R317&gt;'פרמטרים לקריטריונים'!$C$21,1,IF(AND(I317=$BW$5,U317/R317&gt;'פרמטרים לקריטריונים'!$C$22),1,0)),0))</f>
        <v>1</v>
      </c>
      <c r="W317" s="161">
        <v>1</v>
      </c>
      <c r="X317" s="161">
        <v>1</v>
      </c>
      <c r="Y317" s="299">
        <v>150000</v>
      </c>
      <c r="Z317" s="300">
        <v>150000</v>
      </c>
      <c r="AA317" s="161">
        <f t="shared" si="345"/>
        <v>1</v>
      </c>
      <c r="AB317" s="161"/>
      <c r="AC317" s="161"/>
      <c r="AD317" s="161"/>
      <c r="AE317" s="161"/>
      <c r="AF317" s="161"/>
      <c r="AG317" s="161"/>
      <c r="AH317" s="161"/>
      <c r="AI317" s="161"/>
      <c r="AJ317" s="161"/>
      <c r="AK317" s="161"/>
      <c r="AL317" s="161"/>
      <c r="AM317" s="161"/>
      <c r="AN317" s="161"/>
      <c r="AO317" s="161"/>
      <c r="AP317" s="161"/>
      <c r="AQ317" s="161"/>
      <c r="AR317" s="161"/>
      <c r="AS317" s="161"/>
      <c r="AT317" s="161"/>
      <c r="AU317" s="161"/>
      <c r="AV317" s="161"/>
      <c r="AW317" s="160"/>
      <c r="AX317" s="161"/>
      <c r="AY317" s="161"/>
      <c r="AZ317" s="161"/>
      <c r="BA317" s="161"/>
      <c r="BB317" s="161"/>
      <c r="BC317" s="161"/>
      <c r="BD317" s="161"/>
      <c r="BE317" s="161"/>
      <c r="BF317" s="160" t="str">
        <f t="shared" si="346"/>
        <v/>
      </c>
      <c r="BG317" s="160"/>
      <c r="BH317" s="160"/>
      <c r="BI317" s="160"/>
      <c r="BJ317" s="160"/>
      <c r="BK317" s="160"/>
      <c r="BL317" s="162">
        <f t="shared" si="297"/>
        <v>1</v>
      </c>
      <c r="BM317" s="257"/>
      <c r="BN317" s="163"/>
      <c r="BO317" s="211" t="str">
        <f t="shared" si="298"/>
        <v>עמותת הכוריאוגרפים (ע"ר)יוצרים עצמאיים במחול</v>
      </c>
      <c r="BP317" s="125">
        <f t="shared" si="299"/>
        <v>1</v>
      </c>
      <c r="BQ317" s="164">
        <v>0</v>
      </c>
      <c r="BR317" s="164">
        <v>1</v>
      </c>
      <c r="BS317" s="149">
        <f t="shared" si="300"/>
        <v>1</v>
      </c>
      <c r="BT317" s="149">
        <f t="shared" si="301"/>
        <v>1</v>
      </c>
      <c r="BU317" s="149">
        <f t="shared" si="302"/>
        <v>1</v>
      </c>
      <c r="BV317" s="149">
        <f t="shared" si="303"/>
        <v>1</v>
      </c>
      <c r="BW317" s="149">
        <f t="shared" si="304"/>
        <v>1</v>
      </c>
      <c r="BX317" s="149">
        <f t="shared" si="305"/>
        <v>1</v>
      </c>
      <c r="BY317" s="149">
        <f t="shared" si="306"/>
        <v>1</v>
      </c>
      <c r="BZ317" s="149">
        <f t="shared" si="307"/>
        <v>1</v>
      </c>
      <c r="CA317" s="149">
        <f t="shared" si="308"/>
        <v>1</v>
      </c>
      <c r="CB317" s="149">
        <f t="shared" si="309"/>
        <v>1</v>
      </c>
      <c r="CC317" s="149">
        <f t="shared" si="310"/>
        <v>1</v>
      </c>
      <c r="CD317" s="149">
        <f t="shared" si="311"/>
        <v>1</v>
      </c>
      <c r="CE317" s="149">
        <f t="shared" si="312"/>
        <v>1</v>
      </c>
      <c r="CF317" s="149">
        <f t="shared" si="313"/>
        <v>1</v>
      </c>
      <c r="CG317" s="149">
        <f t="shared" si="314"/>
        <v>1</v>
      </c>
      <c r="CH317" s="149">
        <f t="shared" si="315"/>
        <v>1</v>
      </c>
      <c r="CI317" s="149">
        <f t="shared" si="316"/>
        <v>1</v>
      </c>
      <c r="CJ317" s="149">
        <f t="shared" si="317"/>
        <v>1</v>
      </c>
      <c r="CK317" s="149">
        <f t="shared" si="318"/>
        <v>1</v>
      </c>
      <c r="CL317" s="149">
        <f t="shared" si="319"/>
        <v>1</v>
      </c>
      <c r="CM317" s="149">
        <f t="shared" si="320"/>
        <v>1</v>
      </c>
      <c r="CN317" s="149">
        <f t="shared" si="321"/>
        <v>1</v>
      </c>
      <c r="CO317" s="149">
        <f t="shared" si="322"/>
        <v>1</v>
      </c>
      <c r="CP317" s="149">
        <f t="shared" si="323"/>
        <v>1</v>
      </c>
      <c r="CQ317" s="149">
        <f t="shared" si="324"/>
        <v>1</v>
      </c>
      <c r="CR317" s="149">
        <f t="shared" si="325"/>
        <v>1</v>
      </c>
      <c r="CS317" s="149">
        <f t="shared" si="326"/>
        <v>1</v>
      </c>
      <c r="CT317" s="149">
        <f t="shared" si="327"/>
        <v>1</v>
      </c>
      <c r="CU317" s="149">
        <f t="shared" si="328"/>
        <v>1</v>
      </c>
      <c r="CV317" s="149">
        <f t="shared" si="329"/>
        <v>1</v>
      </c>
      <c r="CW317" s="149">
        <f t="shared" si="330"/>
        <v>1</v>
      </c>
      <c r="CX317" s="149">
        <f t="shared" si="331"/>
        <v>1</v>
      </c>
      <c r="CY317" s="149">
        <f t="shared" si="332"/>
        <v>1</v>
      </c>
      <c r="CZ317" s="149">
        <f t="shared" si="333"/>
        <v>1</v>
      </c>
      <c r="DA317" s="149">
        <f t="shared" si="334"/>
        <v>1</v>
      </c>
      <c r="DB317" s="149">
        <f t="shared" si="335"/>
        <v>1</v>
      </c>
      <c r="DG317" s="125">
        <f t="shared" si="296"/>
        <v>1</v>
      </c>
      <c r="DH317" s="125">
        <f t="shared" si="349"/>
        <v>2</v>
      </c>
      <c r="DI317" s="125">
        <f t="shared" si="349"/>
        <v>3</v>
      </c>
      <c r="DJ317" s="125">
        <f t="shared" si="349"/>
        <v>4</v>
      </c>
      <c r="DK317" s="125">
        <f t="shared" si="349"/>
        <v>5</v>
      </c>
      <c r="DL317" s="125">
        <f t="shared" si="349"/>
        <v>6</v>
      </c>
      <c r="DM317" s="125">
        <f t="shared" si="349"/>
        <v>7</v>
      </c>
      <c r="DN317" s="125">
        <f t="shared" si="349"/>
        <v>8</v>
      </c>
      <c r="DO317" s="125">
        <f t="shared" si="349"/>
        <v>9</v>
      </c>
      <c r="DP317" s="125">
        <f t="shared" si="349"/>
        <v>10</v>
      </c>
      <c r="DS317" s="137"/>
      <c r="DT317" s="137"/>
      <c r="DU317" s="137"/>
      <c r="DV317" s="137" t="b">
        <f t="shared" si="336"/>
        <v>0</v>
      </c>
      <c r="DW317" s="137" t="b">
        <f t="shared" si="337"/>
        <v>0</v>
      </c>
      <c r="DX317" s="137" t="b">
        <f t="shared" si="338"/>
        <v>1</v>
      </c>
      <c r="EB317" s="131">
        <f t="shared" si="347"/>
        <v>1</v>
      </c>
      <c r="EC317" s="137" t="b">
        <f t="shared" si="339"/>
        <v>0</v>
      </c>
      <c r="ED317" s="137" t="b">
        <f t="shared" si="340"/>
        <v>0</v>
      </c>
      <c r="EE317" s="137" t="b">
        <f t="shared" si="341"/>
        <v>1</v>
      </c>
      <c r="EF317" s="137"/>
      <c r="EG317" s="137"/>
      <c r="EH317" s="137"/>
      <c r="EI317" s="137"/>
      <c r="EJ317" s="137">
        <f t="shared" si="348"/>
        <v>1</v>
      </c>
      <c r="EK317" s="125">
        <f t="shared" si="342"/>
        <v>0</v>
      </c>
      <c r="EL317" s="125">
        <f t="shared" si="343"/>
        <v>0</v>
      </c>
    </row>
    <row r="318" spans="2:142" ht="15.75" x14ac:dyDescent="0.2">
      <c r="B318" s="160">
        <f t="shared" si="344"/>
        <v>288</v>
      </c>
      <c r="C318" s="290">
        <v>1001348178</v>
      </c>
      <c r="D318" s="290">
        <v>1001273593</v>
      </c>
      <c r="E318" s="290">
        <v>40000564</v>
      </c>
      <c r="F318" s="118">
        <f>IF(OR(J318="",H318=""),"",VLOOKUP(J318,'הזנה לסיווג רשויות'!$B$2:$D$301,2,0))</f>
        <v>20000201</v>
      </c>
      <c r="G318" s="118" t="str">
        <f>IF(OR(J318="",H318=""),"",VLOOKUP(J318,'הזנה לסיווג רשויות'!$B$2:$D$301,3,0))</f>
        <v>תל אביב -יפו</v>
      </c>
      <c r="H318" s="293" t="s">
        <v>731</v>
      </c>
      <c r="I318" s="201" t="s">
        <v>379</v>
      </c>
      <c r="J318" s="294">
        <v>5000</v>
      </c>
      <c r="K318" s="161">
        <v>0</v>
      </c>
      <c r="L318" s="161">
        <v>1</v>
      </c>
      <c r="M318" s="161">
        <v>0</v>
      </c>
      <c r="N318" s="161">
        <v>0</v>
      </c>
      <c r="O318" s="161">
        <v>1</v>
      </c>
      <c r="P318" s="161">
        <v>1</v>
      </c>
      <c r="Q318" s="161">
        <v>1</v>
      </c>
      <c r="R318" s="201">
        <v>262991</v>
      </c>
      <c r="S318" s="201">
        <v>155738</v>
      </c>
      <c r="T318" s="160">
        <f>IF(G318="","",IFERROR(IF(S318/R318&gt;'פרמטרים לקריטריונים'!$C$20,1,0),0))</f>
        <v>1</v>
      </c>
      <c r="U318" s="296">
        <v>131738</v>
      </c>
      <c r="V318" s="160">
        <f>IF(G318="","",IFERROR(IF(U318/R318&gt;'פרמטרים לקריטריונים'!$C$21,1,IF(AND(I318=$BW$5,U318/R318&gt;'פרמטרים לקריטריונים'!$C$22),1,0)),0))</f>
        <v>1</v>
      </c>
      <c r="W318" s="161">
        <v>1</v>
      </c>
      <c r="X318" s="161">
        <v>1</v>
      </c>
      <c r="Y318" s="299">
        <v>150000</v>
      </c>
      <c r="Z318" s="300">
        <v>150000</v>
      </c>
      <c r="AA318" s="161">
        <f t="shared" si="345"/>
        <v>1</v>
      </c>
      <c r="AB318" s="161"/>
      <c r="AC318" s="161"/>
      <c r="AD318" s="161"/>
      <c r="AE318" s="161"/>
      <c r="AF318" s="161"/>
      <c r="AG318" s="161"/>
      <c r="AH318" s="161"/>
      <c r="AI318" s="161"/>
      <c r="AJ318" s="161"/>
      <c r="AK318" s="161"/>
      <c r="AL318" s="161"/>
      <c r="AM318" s="161"/>
      <c r="AN318" s="161"/>
      <c r="AO318" s="161"/>
      <c r="AP318" s="161"/>
      <c r="AQ318" s="161"/>
      <c r="AR318" s="161"/>
      <c r="AS318" s="161"/>
      <c r="AT318" s="161"/>
      <c r="AU318" s="161"/>
      <c r="AV318" s="161"/>
      <c r="AW318" s="160"/>
      <c r="AX318" s="161"/>
      <c r="AY318" s="161"/>
      <c r="AZ318" s="161"/>
      <c r="BA318" s="161"/>
      <c r="BB318" s="161"/>
      <c r="BC318" s="161"/>
      <c r="BD318" s="161"/>
      <c r="BE318" s="161"/>
      <c r="BF318" s="160" t="str">
        <f t="shared" si="346"/>
        <v/>
      </c>
      <c r="BG318" s="160"/>
      <c r="BH318" s="160"/>
      <c r="BI318" s="160"/>
      <c r="BJ318" s="160"/>
      <c r="BK318" s="160"/>
      <c r="BL318" s="162">
        <f t="shared" si="297"/>
        <v>1</v>
      </c>
      <c r="BM318" s="257"/>
      <c r="BN318" s="163"/>
      <c r="BO318" s="211" t="str">
        <f t="shared" si="298"/>
        <v>עמותת הכוריאוגרפים (ע"ר)יוצרים עצמאיים במחול</v>
      </c>
      <c r="BP318" s="125">
        <f t="shared" si="299"/>
        <v>1</v>
      </c>
      <c r="BQ318" s="164">
        <v>0</v>
      </c>
      <c r="BR318" s="164">
        <v>1</v>
      </c>
      <c r="BS318" s="149">
        <f t="shared" si="300"/>
        <v>1</v>
      </c>
      <c r="BT318" s="149">
        <f t="shared" si="301"/>
        <v>1</v>
      </c>
      <c r="BU318" s="149">
        <f t="shared" si="302"/>
        <v>1</v>
      </c>
      <c r="BV318" s="149">
        <f t="shared" si="303"/>
        <v>1</v>
      </c>
      <c r="BW318" s="149">
        <f t="shared" si="304"/>
        <v>1</v>
      </c>
      <c r="BX318" s="149">
        <f t="shared" si="305"/>
        <v>1</v>
      </c>
      <c r="BY318" s="149">
        <f t="shared" si="306"/>
        <v>1</v>
      </c>
      <c r="BZ318" s="149">
        <f t="shared" si="307"/>
        <v>1</v>
      </c>
      <c r="CA318" s="149">
        <f t="shared" si="308"/>
        <v>1</v>
      </c>
      <c r="CB318" s="149">
        <f t="shared" si="309"/>
        <v>1</v>
      </c>
      <c r="CC318" s="149">
        <f t="shared" si="310"/>
        <v>1</v>
      </c>
      <c r="CD318" s="149">
        <f t="shared" si="311"/>
        <v>1</v>
      </c>
      <c r="CE318" s="149">
        <f t="shared" si="312"/>
        <v>1</v>
      </c>
      <c r="CF318" s="149">
        <f t="shared" si="313"/>
        <v>1</v>
      </c>
      <c r="CG318" s="149">
        <f t="shared" si="314"/>
        <v>1</v>
      </c>
      <c r="CH318" s="149">
        <f t="shared" si="315"/>
        <v>1</v>
      </c>
      <c r="CI318" s="149">
        <f t="shared" si="316"/>
        <v>1</v>
      </c>
      <c r="CJ318" s="149">
        <f t="shared" si="317"/>
        <v>1</v>
      </c>
      <c r="CK318" s="149">
        <f t="shared" si="318"/>
        <v>1</v>
      </c>
      <c r="CL318" s="149">
        <f t="shared" si="319"/>
        <v>1</v>
      </c>
      <c r="CM318" s="149">
        <f t="shared" si="320"/>
        <v>1</v>
      </c>
      <c r="CN318" s="149">
        <f t="shared" si="321"/>
        <v>1</v>
      </c>
      <c r="CO318" s="149">
        <f t="shared" si="322"/>
        <v>1</v>
      </c>
      <c r="CP318" s="149">
        <f t="shared" si="323"/>
        <v>1</v>
      </c>
      <c r="CQ318" s="149">
        <f t="shared" si="324"/>
        <v>1</v>
      </c>
      <c r="CR318" s="149">
        <f t="shared" si="325"/>
        <v>1</v>
      </c>
      <c r="CS318" s="149">
        <f t="shared" si="326"/>
        <v>1</v>
      </c>
      <c r="CT318" s="149">
        <f t="shared" si="327"/>
        <v>1</v>
      </c>
      <c r="CU318" s="149">
        <f t="shared" si="328"/>
        <v>1</v>
      </c>
      <c r="CV318" s="149">
        <f t="shared" si="329"/>
        <v>1</v>
      </c>
      <c r="CW318" s="149">
        <f t="shared" si="330"/>
        <v>1</v>
      </c>
      <c r="CX318" s="149">
        <f t="shared" si="331"/>
        <v>1</v>
      </c>
      <c r="CY318" s="149">
        <f t="shared" si="332"/>
        <v>1</v>
      </c>
      <c r="CZ318" s="149">
        <f t="shared" si="333"/>
        <v>1</v>
      </c>
      <c r="DA318" s="149">
        <f t="shared" si="334"/>
        <v>1</v>
      </c>
      <c r="DB318" s="149">
        <f t="shared" si="335"/>
        <v>1</v>
      </c>
      <c r="DG318" s="125">
        <f t="shared" si="296"/>
        <v>1</v>
      </c>
      <c r="DH318" s="125">
        <f t="shared" si="349"/>
        <v>2</v>
      </c>
      <c r="DI318" s="125">
        <f t="shared" si="349"/>
        <v>3</v>
      </c>
      <c r="DJ318" s="125">
        <f t="shared" si="349"/>
        <v>4</v>
      </c>
      <c r="DK318" s="125">
        <f t="shared" si="349"/>
        <v>5</v>
      </c>
      <c r="DL318" s="125">
        <f t="shared" si="349"/>
        <v>6</v>
      </c>
      <c r="DM318" s="125">
        <f t="shared" si="349"/>
        <v>7</v>
      </c>
      <c r="DN318" s="125">
        <f t="shared" si="349"/>
        <v>8</v>
      </c>
      <c r="DO318" s="125">
        <f t="shared" si="349"/>
        <v>9</v>
      </c>
      <c r="DP318" s="125">
        <f t="shared" si="349"/>
        <v>10</v>
      </c>
      <c r="DS318" s="137"/>
      <c r="DT318" s="137"/>
      <c r="DU318" s="137"/>
      <c r="DV318" s="137" t="b">
        <f t="shared" si="336"/>
        <v>0</v>
      </c>
      <c r="DW318" s="137" t="b">
        <f t="shared" si="337"/>
        <v>0</v>
      </c>
      <c r="DX318" s="137" t="b">
        <f t="shared" si="338"/>
        <v>1</v>
      </c>
      <c r="EB318" s="131">
        <f t="shared" si="347"/>
        <v>1</v>
      </c>
      <c r="EC318" s="137" t="b">
        <f t="shared" si="339"/>
        <v>0</v>
      </c>
      <c r="ED318" s="137" t="b">
        <f t="shared" si="340"/>
        <v>0</v>
      </c>
      <c r="EE318" s="137" t="b">
        <f t="shared" si="341"/>
        <v>1</v>
      </c>
      <c r="EF318" s="137"/>
      <c r="EG318" s="137"/>
      <c r="EH318" s="137"/>
      <c r="EI318" s="137"/>
      <c r="EJ318" s="137">
        <f t="shared" si="348"/>
        <v>1</v>
      </c>
      <c r="EK318" s="125">
        <f t="shared" si="342"/>
        <v>0</v>
      </c>
      <c r="EL318" s="125">
        <f t="shared" si="343"/>
        <v>0</v>
      </c>
    </row>
    <row r="319" spans="2:142" ht="15.75" x14ac:dyDescent="0.2">
      <c r="B319" s="160">
        <f t="shared" si="344"/>
        <v>289</v>
      </c>
      <c r="C319" s="290">
        <v>1001348197</v>
      </c>
      <c r="D319" s="290">
        <v>1001273523</v>
      </c>
      <c r="E319" s="290">
        <v>40000564</v>
      </c>
      <c r="F319" s="118">
        <f>IF(OR(J319="",H319=""),"",VLOOKUP(J319,'הזנה לסיווג רשויות'!$B$2:$D$301,2,0))</f>
        <v>20000201</v>
      </c>
      <c r="G319" s="118" t="str">
        <f>IF(OR(J319="",H319=""),"",VLOOKUP(J319,'הזנה לסיווג רשויות'!$B$2:$D$301,3,0))</f>
        <v>תל אביב -יפו</v>
      </c>
      <c r="H319" s="293" t="s">
        <v>731</v>
      </c>
      <c r="I319" s="201" t="s">
        <v>379</v>
      </c>
      <c r="J319" s="294">
        <v>5000</v>
      </c>
      <c r="K319" s="161">
        <v>0</v>
      </c>
      <c r="L319" s="161">
        <v>1</v>
      </c>
      <c r="M319" s="161">
        <v>0</v>
      </c>
      <c r="N319" s="161">
        <v>0</v>
      </c>
      <c r="O319" s="161">
        <v>1</v>
      </c>
      <c r="P319" s="161">
        <v>1</v>
      </c>
      <c r="Q319" s="161">
        <v>1</v>
      </c>
      <c r="R319" s="201">
        <v>273746</v>
      </c>
      <c r="S319" s="201">
        <v>218181</v>
      </c>
      <c r="T319" s="160">
        <f>IF(G319="","",IFERROR(IF(S319/R319&gt;'פרמטרים לקריטריונים'!$C$20,1,0),0))</f>
        <v>1</v>
      </c>
      <c r="U319" s="296">
        <v>198181</v>
      </c>
      <c r="V319" s="160">
        <f>IF(G319="","",IFERROR(IF(U319/R319&gt;'פרמטרים לקריטריונים'!$C$21,1,IF(AND(I319=$BW$5,U319/R319&gt;'פרמטרים לקריטריונים'!$C$22),1,0)),0))</f>
        <v>1</v>
      </c>
      <c r="W319" s="161">
        <v>1</v>
      </c>
      <c r="X319" s="161">
        <v>1</v>
      </c>
      <c r="Y319" s="299">
        <v>150000</v>
      </c>
      <c r="Z319" s="300">
        <v>150000</v>
      </c>
      <c r="AA319" s="161">
        <f t="shared" si="345"/>
        <v>1</v>
      </c>
      <c r="AB319" s="161"/>
      <c r="AC319" s="161"/>
      <c r="AD319" s="161"/>
      <c r="AE319" s="161"/>
      <c r="AF319" s="161"/>
      <c r="AG319" s="161"/>
      <c r="AH319" s="161"/>
      <c r="AI319" s="161"/>
      <c r="AJ319" s="161"/>
      <c r="AK319" s="161"/>
      <c r="AL319" s="161"/>
      <c r="AM319" s="161"/>
      <c r="AN319" s="161"/>
      <c r="AO319" s="161"/>
      <c r="AP319" s="161"/>
      <c r="AQ319" s="161"/>
      <c r="AR319" s="161"/>
      <c r="AS319" s="161"/>
      <c r="AT319" s="161"/>
      <c r="AU319" s="161"/>
      <c r="AV319" s="161"/>
      <c r="AW319" s="160"/>
      <c r="AX319" s="161"/>
      <c r="AY319" s="161"/>
      <c r="AZ319" s="161"/>
      <c r="BA319" s="161"/>
      <c r="BB319" s="161"/>
      <c r="BC319" s="161"/>
      <c r="BD319" s="161"/>
      <c r="BE319" s="161"/>
      <c r="BF319" s="160" t="str">
        <f t="shared" si="346"/>
        <v/>
      </c>
      <c r="BG319" s="160"/>
      <c r="BH319" s="160"/>
      <c r="BI319" s="160"/>
      <c r="BJ319" s="160"/>
      <c r="BK319" s="160"/>
      <c r="BL319" s="162">
        <f t="shared" si="297"/>
        <v>1</v>
      </c>
      <c r="BM319" s="257"/>
      <c r="BN319" s="163"/>
      <c r="BO319" s="211" t="str">
        <f t="shared" si="298"/>
        <v>עמותת הכוריאוגרפים (ע"ר)יוצרים עצמאיים במחול</v>
      </c>
      <c r="BP319" s="125">
        <f t="shared" si="299"/>
        <v>1</v>
      </c>
      <c r="BQ319" s="164">
        <v>0</v>
      </c>
      <c r="BR319" s="164">
        <v>1</v>
      </c>
      <c r="BS319" s="149">
        <f t="shared" si="300"/>
        <v>1</v>
      </c>
      <c r="BT319" s="149">
        <f t="shared" si="301"/>
        <v>1</v>
      </c>
      <c r="BU319" s="149">
        <f t="shared" si="302"/>
        <v>1</v>
      </c>
      <c r="BV319" s="149">
        <f t="shared" si="303"/>
        <v>1</v>
      </c>
      <c r="BW319" s="149">
        <f t="shared" si="304"/>
        <v>1</v>
      </c>
      <c r="BX319" s="149">
        <f t="shared" si="305"/>
        <v>1</v>
      </c>
      <c r="BY319" s="149">
        <f t="shared" si="306"/>
        <v>1</v>
      </c>
      <c r="BZ319" s="149">
        <f t="shared" si="307"/>
        <v>1</v>
      </c>
      <c r="CA319" s="149">
        <f t="shared" si="308"/>
        <v>1</v>
      </c>
      <c r="CB319" s="149">
        <f t="shared" si="309"/>
        <v>1</v>
      </c>
      <c r="CC319" s="149">
        <f t="shared" si="310"/>
        <v>1</v>
      </c>
      <c r="CD319" s="149">
        <f t="shared" si="311"/>
        <v>1</v>
      </c>
      <c r="CE319" s="149">
        <f t="shared" si="312"/>
        <v>1</v>
      </c>
      <c r="CF319" s="149">
        <f t="shared" si="313"/>
        <v>1</v>
      </c>
      <c r="CG319" s="149">
        <f t="shared" si="314"/>
        <v>1</v>
      </c>
      <c r="CH319" s="149">
        <f t="shared" si="315"/>
        <v>1</v>
      </c>
      <c r="CI319" s="149">
        <f t="shared" si="316"/>
        <v>1</v>
      </c>
      <c r="CJ319" s="149">
        <f t="shared" si="317"/>
        <v>1</v>
      </c>
      <c r="CK319" s="149">
        <f t="shared" si="318"/>
        <v>1</v>
      </c>
      <c r="CL319" s="149">
        <f t="shared" si="319"/>
        <v>1</v>
      </c>
      <c r="CM319" s="149">
        <f t="shared" si="320"/>
        <v>1</v>
      </c>
      <c r="CN319" s="149">
        <f t="shared" si="321"/>
        <v>1</v>
      </c>
      <c r="CO319" s="149">
        <f t="shared" si="322"/>
        <v>1</v>
      </c>
      <c r="CP319" s="149">
        <f t="shared" si="323"/>
        <v>1</v>
      </c>
      <c r="CQ319" s="149">
        <f t="shared" si="324"/>
        <v>1</v>
      </c>
      <c r="CR319" s="149">
        <f t="shared" si="325"/>
        <v>1</v>
      </c>
      <c r="CS319" s="149">
        <f t="shared" si="326"/>
        <v>1</v>
      </c>
      <c r="CT319" s="149">
        <f t="shared" si="327"/>
        <v>1</v>
      </c>
      <c r="CU319" s="149">
        <f t="shared" si="328"/>
        <v>1</v>
      </c>
      <c r="CV319" s="149">
        <f t="shared" si="329"/>
        <v>1</v>
      </c>
      <c r="CW319" s="149">
        <f t="shared" si="330"/>
        <v>1</v>
      </c>
      <c r="CX319" s="149">
        <f t="shared" si="331"/>
        <v>1</v>
      </c>
      <c r="CY319" s="149">
        <f t="shared" si="332"/>
        <v>1</v>
      </c>
      <c r="CZ319" s="149">
        <f t="shared" si="333"/>
        <v>1</v>
      </c>
      <c r="DA319" s="149">
        <f t="shared" si="334"/>
        <v>1</v>
      </c>
      <c r="DB319" s="149">
        <f t="shared" si="335"/>
        <v>1</v>
      </c>
      <c r="DG319" s="125">
        <f t="shared" si="296"/>
        <v>1</v>
      </c>
      <c r="DH319" s="125">
        <f t="shared" si="349"/>
        <v>2</v>
      </c>
      <c r="DI319" s="125">
        <f t="shared" si="349"/>
        <v>3</v>
      </c>
      <c r="DJ319" s="125">
        <f t="shared" si="349"/>
        <v>4</v>
      </c>
      <c r="DK319" s="125">
        <f t="shared" si="349"/>
        <v>5</v>
      </c>
      <c r="DL319" s="125">
        <f t="shared" si="349"/>
        <v>6</v>
      </c>
      <c r="DM319" s="125">
        <f t="shared" si="349"/>
        <v>7</v>
      </c>
      <c r="DN319" s="125">
        <f t="shared" si="349"/>
        <v>8</v>
      </c>
      <c r="DO319" s="125">
        <f t="shared" si="349"/>
        <v>9</v>
      </c>
      <c r="DP319" s="125">
        <f t="shared" si="349"/>
        <v>10</v>
      </c>
      <c r="DS319" s="137"/>
      <c r="DT319" s="137"/>
      <c r="DU319" s="137"/>
      <c r="DV319" s="137" t="b">
        <f t="shared" si="336"/>
        <v>0</v>
      </c>
      <c r="DW319" s="137" t="b">
        <f t="shared" si="337"/>
        <v>0</v>
      </c>
      <c r="DX319" s="137" t="b">
        <f t="shared" si="338"/>
        <v>1</v>
      </c>
      <c r="EB319" s="131">
        <f t="shared" si="347"/>
        <v>1</v>
      </c>
      <c r="EC319" s="137" t="b">
        <f t="shared" si="339"/>
        <v>0</v>
      </c>
      <c r="ED319" s="137" t="b">
        <f t="shared" si="340"/>
        <v>0</v>
      </c>
      <c r="EE319" s="137" t="b">
        <f t="shared" si="341"/>
        <v>1</v>
      </c>
      <c r="EF319" s="137"/>
      <c r="EG319" s="137"/>
      <c r="EH319" s="137"/>
      <c r="EI319" s="137"/>
      <c r="EJ319" s="137">
        <f t="shared" si="348"/>
        <v>1</v>
      </c>
      <c r="EK319" s="125">
        <f t="shared" si="342"/>
        <v>0</v>
      </c>
      <c r="EL319" s="125">
        <f t="shared" si="343"/>
        <v>0</v>
      </c>
    </row>
    <row r="320" spans="2:142" ht="15.75" x14ac:dyDescent="0.2">
      <c r="B320" s="160">
        <f t="shared" si="344"/>
        <v>290</v>
      </c>
      <c r="C320" s="290">
        <v>1001348198</v>
      </c>
      <c r="D320" s="290">
        <v>1001273524</v>
      </c>
      <c r="E320" s="290">
        <v>40000564</v>
      </c>
      <c r="F320" s="118">
        <f>IF(OR(J320="",H320=""),"",VLOOKUP(J320,'הזנה לסיווג רשויות'!$B$2:$D$301,2,0))</f>
        <v>20000201</v>
      </c>
      <c r="G320" s="118" t="str">
        <f>IF(OR(J320="",H320=""),"",VLOOKUP(J320,'הזנה לסיווג רשויות'!$B$2:$D$301,3,0))</f>
        <v>תל אביב -יפו</v>
      </c>
      <c r="H320" s="293" t="s">
        <v>731</v>
      </c>
      <c r="I320" s="201" t="s">
        <v>379</v>
      </c>
      <c r="J320" s="294">
        <v>5000</v>
      </c>
      <c r="K320" s="161">
        <v>0</v>
      </c>
      <c r="L320" s="161">
        <v>1</v>
      </c>
      <c r="M320" s="161">
        <v>0</v>
      </c>
      <c r="N320" s="161">
        <v>0</v>
      </c>
      <c r="O320" s="161">
        <v>1</v>
      </c>
      <c r="P320" s="161">
        <v>1</v>
      </c>
      <c r="Q320" s="161">
        <v>1</v>
      </c>
      <c r="R320" s="201">
        <v>224773</v>
      </c>
      <c r="S320" s="201">
        <v>153225</v>
      </c>
      <c r="T320" s="160">
        <f>IF(G320="","",IFERROR(IF(S320/R320&gt;'פרמטרים לקריטריונים'!$C$20,1,0),0))</f>
        <v>1</v>
      </c>
      <c r="U320" s="296">
        <v>63485</v>
      </c>
      <c r="V320" s="160">
        <f>IF(G320="","",IFERROR(IF(U320/R320&gt;'פרמטרים לקריטריונים'!$C$21,1,IF(AND(I320=$BW$5,U320/R320&gt;'פרמטרים לקריטריונים'!$C$22),1,0)),0))</f>
        <v>1</v>
      </c>
      <c r="W320" s="161">
        <v>1</v>
      </c>
      <c r="X320" s="161">
        <v>1</v>
      </c>
      <c r="Y320" s="299">
        <v>150000</v>
      </c>
      <c r="Z320" s="300">
        <v>150000</v>
      </c>
      <c r="AA320" s="161">
        <f t="shared" si="345"/>
        <v>1</v>
      </c>
      <c r="AB320" s="161"/>
      <c r="AC320" s="161"/>
      <c r="AD320" s="161"/>
      <c r="AE320" s="161"/>
      <c r="AF320" s="161"/>
      <c r="AG320" s="161"/>
      <c r="AH320" s="161"/>
      <c r="AI320" s="161"/>
      <c r="AJ320" s="161"/>
      <c r="AK320" s="161"/>
      <c r="AL320" s="161"/>
      <c r="AM320" s="161"/>
      <c r="AN320" s="161"/>
      <c r="AO320" s="161"/>
      <c r="AP320" s="161"/>
      <c r="AQ320" s="161"/>
      <c r="AR320" s="161"/>
      <c r="AS320" s="161"/>
      <c r="AT320" s="161"/>
      <c r="AU320" s="161"/>
      <c r="AV320" s="161"/>
      <c r="AW320" s="160"/>
      <c r="AX320" s="161"/>
      <c r="AY320" s="161"/>
      <c r="AZ320" s="161"/>
      <c r="BA320" s="161"/>
      <c r="BB320" s="161"/>
      <c r="BC320" s="161"/>
      <c r="BD320" s="161"/>
      <c r="BE320" s="161"/>
      <c r="BF320" s="160" t="str">
        <f t="shared" si="346"/>
        <v/>
      </c>
      <c r="BG320" s="160"/>
      <c r="BH320" s="160"/>
      <c r="BI320" s="160"/>
      <c r="BJ320" s="160"/>
      <c r="BK320" s="160"/>
      <c r="BL320" s="162">
        <f t="shared" si="297"/>
        <v>1</v>
      </c>
      <c r="BM320" s="257"/>
      <c r="BN320" s="163"/>
      <c r="BO320" s="211" t="str">
        <f t="shared" si="298"/>
        <v>עמותת הכוריאוגרפים (ע"ר)יוצרים עצמאיים במחול</v>
      </c>
      <c r="BP320" s="125">
        <f t="shared" si="299"/>
        <v>1</v>
      </c>
      <c r="BQ320" s="164">
        <v>0</v>
      </c>
      <c r="BR320" s="164">
        <v>1</v>
      </c>
      <c r="BS320" s="149">
        <f t="shared" si="300"/>
        <v>1</v>
      </c>
      <c r="BT320" s="149">
        <f t="shared" si="301"/>
        <v>1</v>
      </c>
      <c r="BU320" s="149">
        <f t="shared" si="302"/>
        <v>1</v>
      </c>
      <c r="BV320" s="149">
        <f t="shared" si="303"/>
        <v>1</v>
      </c>
      <c r="BW320" s="149">
        <f t="shared" si="304"/>
        <v>1</v>
      </c>
      <c r="BX320" s="149">
        <f t="shared" si="305"/>
        <v>1</v>
      </c>
      <c r="BY320" s="149">
        <f t="shared" si="306"/>
        <v>1</v>
      </c>
      <c r="BZ320" s="149">
        <f t="shared" si="307"/>
        <v>1</v>
      </c>
      <c r="CA320" s="149">
        <f t="shared" si="308"/>
        <v>1</v>
      </c>
      <c r="CB320" s="149">
        <f t="shared" si="309"/>
        <v>1</v>
      </c>
      <c r="CC320" s="149">
        <f t="shared" si="310"/>
        <v>1</v>
      </c>
      <c r="CD320" s="149">
        <f t="shared" si="311"/>
        <v>1</v>
      </c>
      <c r="CE320" s="149">
        <f t="shared" si="312"/>
        <v>1</v>
      </c>
      <c r="CF320" s="149">
        <f t="shared" si="313"/>
        <v>1</v>
      </c>
      <c r="CG320" s="149">
        <f t="shared" si="314"/>
        <v>1</v>
      </c>
      <c r="CH320" s="149">
        <f t="shared" si="315"/>
        <v>1</v>
      </c>
      <c r="CI320" s="149">
        <f t="shared" si="316"/>
        <v>1</v>
      </c>
      <c r="CJ320" s="149">
        <f t="shared" si="317"/>
        <v>1</v>
      </c>
      <c r="CK320" s="149">
        <f t="shared" si="318"/>
        <v>1</v>
      </c>
      <c r="CL320" s="149">
        <f t="shared" si="319"/>
        <v>1</v>
      </c>
      <c r="CM320" s="149">
        <f t="shared" si="320"/>
        <v>1</v>
      </c>
      <c r="CN320" s="149">
        <f t="shared" si="321"/>
        <v>1</v>
      </c>
      <c r="CO320" s="149">
        <f t="shared" si="322"/>
        <v>1</v>
      </c>
      <c r="CP320" s="149">
        <f t="shared" si="323"/>
        <v>1</v>
      </c>
      <c r="CQ320" s="149">
        <f t="shared" si="324"/>
        <v>1</v>
      </c>
      <c r="CR320" s="149">
        <f t="shared" si="325"/>
        <v>1</v>
      </c>
      <c r="CS320" s="149">
        <f t="shared" si="326"/>
        <v>1</v>
      </c>
      <c r="CT320" s="149">
        <f t="shared" si="327"/>
        <v>1</v>
      </c>
      <c r="CU320" s="149">
        <f t="shared" si="328"/>
        <v>1</v>
      </c>
      <c r="CV320" s="149">
        <f t="shared" si="329"/>
        <v>1</v>
      </c>
      <c r="CW320" s="149">
        <f t="shared" si="330"/>
        <v>1</v>
      </c>
      <c r="CX320" s="149">
        <f t="shared" si="331"/>
        <v>1</v>
      </c>
      <c r="CY320" s="149">
        <f t="shared" si="332"/>
        <v>1</v>
      </c>
      <c r="CZ320" s="149">
        <f t="shared" si="333"/>
        <v>1</v>
      </c>
      <c r="DA320" s="149">
        <f t="shared" si="334"/>
        <v>1</v>
      </c>
      <c r="DB320" s="149">
        <f t="shared" si="335"/>
        <v>1</v>
      </c>
      <c r="DG320" s="125">
        <f t="shared" si="296"/>
        <v>1</v>
      </c>
      <c r="DH320" s="125">
        <f t="shared" si="349"/>
        <v>2</v>
      </c>
      <c r="DI320" s="125">
        <f t="shared" si="349"/>
        <v>3</v>
      </c>
      <c r="DJ320" s="125">
        <f t="shared" si="349"/>
        <v>4</v>
      </c>
      <c r="DK320" s="125">
        <f t="shared" si="349"/>
        <v>5</v>
      </c>
      <c r="DL320" s="125">
        <f t="shared" si="349"/>
        <v>6</v>
      </c>
      <c r="DM320" s="125">
        <f t="shared" si="349"/>
        <v>7</v>
      </c>
      <c r="DN320" s="125">
        <f t="shared" si="349"/>
        <v>8</v>
      </c>
      <c r="DO320" s="125">
        <f t="shared" si="349"/>
        <v>9</v>
      </c>
      <c r="DP320" s="125">
        <f t="shared" si="349"/>
        <v>10</v>
      </c>
      <c r="DS320" s="137"/>
      <c r="DT320" s="137"/>
      <c r="DU320" s="137"/>
      <c r="DV320" s="137" t="b">
        <f t="shared" si="336"/>
        <v>0</v>
      </c>
      <c r="DW320" s="137" t="b">
        <f t="shared" si="337"/>
        <v>0</v>
      </c>
      <c r="DX320" s="137" t="b">
        <f t="shared" si="338"/>
        <v>1</v>
      </c>
      <c r="EB320" s="131">
        <f t="shared" si="347"/>
        <v>1</v>
      </c>
      <c r="EC320" s="137" t="b">
        <f t="shared" si="339"/>
        <v>0</v>
      </c>
      <c r="ED320" s="137" t="b">
        <f t="shared" si="340"/>
        <v>0</v>
      </c>
      <c r="EE320" s="137" t="b">
        <f t="shared" si="341"/>
        <v>1</v>
      </c>
      <c r="EF320" s="137"/>
      <c r="EG320" s="137"/>
      <c r="EH320" s="137"/>
      <c r="EI320" s="137"/>
      <c r="EJ320" s="137">
        <f t="shared" si="348"/>
        <v>1</v>
      </c>
      <c r="EK320" s="125">
        <f t="shared" si="342"/>
        <v>0</v>
      </c>
      <c r="EL320" s="125">
        <f t="shared" si="343"/>
        <v>0</v>
      </c>
    </row>
    <row r="321" spans="2:142" ht="15.75" x14ac:dyDescent="0.2">
      <c r="B321" s="160">
        <f t="shared" si="344"/>
        <v>291</v>
      </c>
      <c r="C321" s="290">
        <v>1001348199</v>
      </c>
      <c r="D321" s="290">
        <v>1001273525</v>
      </c>
      <c r="E321" s="290">
        <v>40000564</v>
      </c>
      <c r="F321" s="118">
        <f>IF(OR(J321="",H321=""),"",VLOOKUP(J321,'הזנה לסיווג רשויות'!$B$2:$D$301,2,0))</f>
        <v>20000201</v>
      </c>
      <c r="G321" s="118" t="str">
        <f>IF(OR(J321="",H321=""),"",VLOOKUP(J321,'הזנה לסיווג רשויות'!$B$2:$D$301,3,0))</f>
        <v>תל אביב -יפו</v>
      </c>
      <c r="H321" s="293" t="s">
        <v>731</v>
      </c>
      <c r="I321" s="201" t="s">
        <v>379</v>
      </c>
      <c r="J321" s="294">
        <v>5000</v>
      </c>
      <c r="K321" s="161">
        <v>0</v>
      </c>
      <c r="L321" s="161">
        <v>1</v>
      </c>
      <c r="M321" s="161">
        <v>0</v>
      </c>
      <c r="N321" s="161">
        <v>0</v>
      </c>
      <c r="O321" s="161">
        <v>1</v>
      </c>
      <c r="P321" s="161">
        <v>1</v>
      </c>
      <c r="Q321" s="161">
        <v>1</v>
      </c>
      <c r="R321" s="201">
        <v>312296</v>
      </c>
      <c r="S321" s="201">
        <v>122007</v>
      </c>
      <c r="T321" s="160">
        <f>IF(G321="","",IFERROR(IF(S321/R321&gt;'פרמטרים לקריטריונים'!$C$20,1,0),0))</f>
        <v>1</v>
      </c>
      <c r="U321" s="296">
        <v>106107</v>
      </c>
      <c r="V321" s="160">
        <f>IF(G321="","",IFERROR(IF(U321/R321&gt;'פרמטרים לקריטריונים'!$C$21,1,IF(AND(I321=$BW$5,U321/R321&gt;'פרמטרים לקריטריונים'!$C$22),1,0)),0))</f>
        <v>1</v>
      </c>
      <c r="W321" s="161">
        <v>1</v>
      </c>
      <c r="X321" s="161">
        <v>1</v>
      </c>
      <c r="Y321" s="299">
        <v>150000</v>
      </c>
      <c r="Z321" s="300">
        <v>150000</v>
      </c>
      <c r="AA321" s="161">
        <f t="shared" si="345"/>
        <v>1</v>
      </c>
      <c r="AB321" s="161"/>
      <c r="AC321" s="161"/>
      <c r="AD321" s="161"/>
      <c r="AE321" s="161"/>
      <c r="AF321" s="161"/>
      <c r="AG321" s="161"/>
      <c r="AH321" s="161"/>
      <c r="AI321" s="161"/>
      <c r="AJ321" s="161"/>
      <c r="AK321" s="161"/>
      <c r="AL321" s="161"/>
      <c r="AM321" s="161"/>
      <c r="AN321" s="161"/>
      <c r="AO321" s="161"/>
      <c r="AP321" s="161"/>
      <c r="AQ321" s="161"/>
      <c r="AR321" s="161"/>
      <c r="AS321" s="161"/>
      <c r="AT321" s="161"/>
      <c r="AU321" s="161"/>
      <c r="AV321" s="161"/>
      <c r="AW321" s="160"/>
      <c r="AX321" s="161"/>
      <c r="AY321" s="161"/>
      <c r="AZ321" s="161"/>
      <c r="BA321" s="161"/>
      <c r="BB321" s="161"/>
      <c r="BC321" s="161"/>
      <c r="BD321" s="161"/>
      <c r="BE321" s="161"/>
      <c r="BF321" s="160" t="str">
        <f t="shared" si="346"/>
        <v/>
      </c>
      <c r="BG321" s="160"/>
      <c r="BH321" s="160"/>
      <c r="BI321" s="160"/>
      <c r="BJ321" s="160"/>
      <c r="BK321" s="160"/>
      <c r="BL321" s="162">
        <f t="shared" si="297"/>
        <v>1</v>
      </c>
      <c r="BM321" s="257"/>
      <c r="BN321" s="163"/>
      <c r="BO321" s="211" t="str">
        <f t="shared" si="298"/>
        <v>עמותת הכוריאוגרפים (ע"ר)יוצרים עצמאיים במחול</v>
      </c>
      <c r="BP321" s="125">
        <f t="shared" si="299"/>
        <v>1</v>
      </c>
      <c r="BQ321" s="164">
        <v>0</v>
      </c>
      <c r="BR321" s="164">
        <v>1</v>
      </c>
      <c r="BS321" s="149">
        <f t="shared" si="300"/>
        <v>1</v>
      </c>
      <c r="BT321" s="149">
        <f t="shared" si="301"/>
        <v>1</v>
      </c>
      <c r="BU321" s="149">
        <f t="shared" si="302"/>
        <v>1</v>
      </c>
      <c r="BV321" s="149">
        <f t="shared" si="303"/>
        <v>1</v>
      </c>
      <c r="BW321" s="149">
        <f t="shared" si="304"/>
        <v>1</v>
      </c>
      <c r="BX321" s="149">
        <f t="shared" si="305"/>
        <v>1</v>
      </c>
      <c r="BY321" s="149">
        <f t="shared" si="306"/>
        <v>1</v>
      </c>
      <c r="BZ321" s="149">
        <f t="shared" si="307"/>
        <v>1</v>
      </c>
      <c r="CA321" s="149">
        <f t="shared" si="308"/>
        <v>1</v>
      </c>
      <c r="CB321" s="149">
        <f t="shared" si="309"/>
        <v>1</v>
      </c>
      <c r="CC321" s="149">
        <f t="shared" si="310"/>
        <v>1</v>
      </c>
      <c r="CD321" s="149">
        <f t="shared" si="311"/>
        <v>1</v>
      </c>
      <c r="CE321" s="149">
        <f t="shared" si="312"/>
        <v>1</v>
      </c>
      <c r="CF321" s="149">
        <f t="shared" si="313"/>
        <v>1</v>
      </c>
      <c r="CG321" s="149">
        <f t="shared" si="314"/>
        <v>1</v>
      </c>
      <c r="CH321" s="149">
        <f t="shared" si="315"/>
        <v>1</v>
      </c>
      <c r="CI321" s="149">
        <f t="shared" si="316"/>
        <v>1</v>
      </c>
      <c r="CJ321" s="149">
        <f t="shared" si="317"/>
        <v>1</v>
      </c>
      <c r="CK321" s="149">
        <f t="shared" si="318"/>
        <v>1</v>
      </c>
      <c r="CL321" s="149">
        <f t="shared" si="319"/>
        <v>1</v>
      </c>
      <c r="CM321" s="149">
        <f t="shared" si="320"/>
        <v>1</v>
      </c>
      <c r="CN321" s="149">
        <f t="shared" si="321"/>
        <v>1</v>
      </c>
      <c r="CO321" s="149">
        <f t="shared" si="322"/>
        <v>1</v>
      </c>
      <c r="CP321" s="149">
        <f t="shared" si="323"/>
        <v>1</v>
      </c>
      <c r="CQ321" s="149">
        <f t="shared" si="324"/>
        <v>1</v>
      </c>
      <c r="CR321" s="149">
        <f t="shared" si="325"/>
        <v>1</v>
      </c>
      <c r="CS321" s="149">
        <f t="shared" si="326"/>
        <v>1</v>
      </c>
      <c r="CT321" s="149">
        <f t="shared" si="327"/>
        <v>1</v>
      </c>
      <c r="CU321" s="149">
        <f t="shared" si="328"/>
        <v>1</v>
      </c>
      <c r="CV321" s="149">
        <f t="shared" si="329"/>
        <v>1</v>
      </c>
      <c r="CW321" s="149">
        <f t="shared" si="330"/>
        <v>1</v>
      </c>
      <c r="CX321" s="149">
        <f t="shared" si="331"/>
        <v>1</v>
      </c>
      <c r="CY321" s="149">
        <f t="shared" si="332"/>
        <v>1</v>
      </c>
      <c r="CZ321" s="149">
        <f t="shared" si="333"/>
        <v>1</v>
      </c>
      <c r="DA321" s="149">
        <f t="shared" si="334"/>
        <v>1</v>
      </c>
      <c r="DB321" s="149">
        <f t="shared" si="335"/>
        <v>1</v>
      </c>
      <c r="DG321" s="125">
        <f t="shared" si="296"/>
        <v>1</v>
      </c>
      <c r="DH321" s="125">
        <f t="shared" si="349"/>
        <v>2</v>
      </c>
      <c r="DI321" s="125">
        <f t="shared" si="349"/>
        <v>3</v>
      </c>
      <c r="DJ321" s="125">
        <f t="shared" si="349"/>
        <v>4</v>
      </c>
      <c r="DK321" s="125">
        <f t="shared" si="349"/>
        <v>5</v>
      </c>
      <c r="DL321" s="125">
        <f t="shared" ref="DH321:DP348" si="350">IF($G321="","",DL$30)</f>
        <v>6</v>
      </c>
      <c r="DM321" s="125">
        <f t="shared" si="350"/>
        <v>7</v>
      </c>
      <c r="DN321" s="125">
        <f t="shared" si="350"/>
        <v>8</v>
      </c>
      <c r="DO321" s="125">
        <f t="shared" si="350"/>
        <v>9</v>
      </c>
      <c r="DP321" s="125">
        <f t="shared" si="350"/>
        <v>10</v>
      </c>
      <c r="DS321" s="137"/>
      <c r="DT321" s="137"/>
      <c r="DU321" s="137"/>
      <c r="DV321" s="137" t="b">
        <f t="shared" si="336"/>
        <v>0</v>
      </c>
      <c r="DW321" s="137" t="b">
        <f t="shared" si="337"/>
        <v>0</v>
      </c>
      <c r="DX321" s="137" t="b">
        <f t="shared" si="338"/>
        <v>1</v>
      </c>
      <c r="EB321" s="131">
        <f t="shared" si="347"/>
        <v>1</v>
      </c>
      <c r="EC321" s="137" t="b">
        <f t="shared" si="339"/>
        <v>0</v>
      </c>
      <c r="ED321" s="137" t="b">
        <f t="shared" si="340"/>
        <v>0</v>
      </c>
      <c r="EE321" s="137" t="b">
        <f t="shared" si="341"/>
        <v>1</v>
      </c>
      <c r="EF321" s="137"/>
      <c r="EG321" s="137"/>
      <c r="EH321" s="137"/>
      <c r="EI321" s="137"/>
      <c r="EJ321" s="137">
        <f t="shared" si="348"/>
        <v>1</v>
      </c>
      <c r="EK321" s="125">
        <f t="shared" si="342"/>
        <v>0</v>
      </c>
      <c r="EL321" s="125">
        <f t="shared" si="343"/>
        <v>0</v>
      </c>
    </row>
    <row r="322" spans="2:142" ht="15.75" x14ac:dyDescent="0.2">
      <c r="B322" s="160">
        <f t="shared" si="344"/>
        <v>292</v>
      </c>
      <c r="C322" s="290">
        <v>1001348210</v>
      </c>
      <c r="D322" s="290">
        <v>1001273526</v>
      </c>
      <c r="E322" s="290">
        <v>40000564</v>
      </c>
      <c r="F322" s="118">
        <f>IF(OR(J322="",H322=""),"",VLOOKUP(J322,'הזנה לסיווג רשויות'!$B$2:$D$301,2,0))</f>
        <v>20000201</v>
      </c>
      <c r="G322" s="118" t="str">
        <f>IF(OR(J322="",H322=""),"",VLOOKUP(J322,'הזנה לסיווג רשויות'!$B$2:$D$301,3,0))</f>
        <v>תל אביב -יפו</v>
      </c>
      <c r="H322" s="293" t="s">
        <v>731</v>
      </c>
      <c r="I322" s="201" t="s">
        <v>379</v>
      </c>
      <c r="J322" s="294">
        <v>5000</v>
      </c>
      <c r="K322" s="161">
        <v>0</v>
      </c>
      <c r="L322" s="161">
        <v>1</v>
      </c>
      <c r="M322" s="161">
        <v>0</v>
      </c>
      <c r="N322" s="161">
        <v>0</v>
      </c>
      <c r="O322" s="161">
        <v>1</v>
      </c>
      <c r="P322" s="161">
        <v>1</v>
      </c>
      <c r="Q322" s="161">
        <v>1</v>
      </c>
      <c r="R322" s="201">
        <v>258992</v>
      </c>
      <c r="S322" s="201">
        <v>125838</v>
      </c>
      <c r="T322" s="160">
        <f>IF(G322="","",IFERROR(IF(S322/R322&gt;'פרמטרים לקריטריונים'!$C$20,1,0),0))</f>
        <v>1</v>
      </c>
      <c r="U322" s="296">
        <v>100837</v>
      </c>
      <c r="V322" s="160">
        <f>IF(G322="","",IFERROR(IF(U322/R322&gt;'פרמטרים לקריטריונים'!$C$21,1,IF(AND(I322=$BW$5,U322/R322&gt;'פרמטרים לקריטריונים'!$C$22),1,0)),0))</f>
        <v>1</v>
      </c>
      <c r="W322" s="161">
        <v>1</v>
      </c>
      <c r="X322" s="161">
        <v>1</v>
      </c>
      <c r="Y322" s="299">
        <v>150000</v>
      </c>
      <c r="Z322" s="300">
        <v>150000</v>
      </c>
      <c r="AA322" s="161">
        <f t="shared" si="345"/>
        <v>1</v>
      </c>
      <c r="AB322" s="161"/>
      <c r="AC322" s="161"/>
      <c r="AD322" s="161"/>
      <c r="AE322" s="161"/>
      <c r="AF322" s="161"/>
      <c r="AG322" s="161"/>
      <c r="AH322" s="161"/>
      <c r="AI322" s="161"/>
      <c r="AJ322" s="161"/>
      <c r="AK322" s="161"/>
      <c r="AL322" s="161"/>
      <c r="AM322" s="161"/>
      <c r="AN322" s="161"/>
      <c r="AO322" s="161"/>
      <c r="AP322" s="161"/>
      <c r="AQ322" s="161"/>
      <c r="AR322" s="161"/>
      <c r="AS322" s="161"/>
      <c r="AT322" s="161"/>
      <c r="AU322" s="161"/>
      <c r="AV322" s="161"/>
      <c r="AW322" s="160"/>
      <c r="AX322" s="161"/>
      <c r="AY322" s="161"/>
      <c r="AZ322" s="161"/>
      <c r="BA322" s="161"/>
      <c r="BB322" s="161"/>
      <c r="BC322" s="161"/>
      <c r="BD322" s="161"/>
      <c r="BE322" s="161"/>
      <c r="BF322" s="160" t="str">
        <f t="shared" si="346"/>
        <v/>
      </c>
      <c r="BG322" s="160"/>
      <c r="BH322" s="160"/>
      <c r="BI322" s="160"/>
      <c r="BJ322" s="160"/>
      <c r="BK322" s="160"/>
      <c r="BL322" s="162">
        <f t="shared" si="297"/>
        <v>1</v>
      </c>
      <c r="BM322" s="257"/>
      <c r="BN322" s="163"/>
      <c r="BO322" s="211" t="str">
        <f t="shared" si="298"/>
        <v>עמותת הכוריאוגרפים (ע"ר)יוצרים עצמאיים במחול</v>
      </c>
      <c r="BP322" s="125">
        <f t="shared" si="299"/>
        <v>1</v>
      </c>
      <c r="BQ322" s="164">
        <v>0</v>
      </c>
      <c r="BR322" s="164">
        <v>1</v>
      </c>
      <c r="BS322" s="149">
        <f t="shared" si="300"/>
        <v>1</v>
      </c>
      <c r="BT322" s="149">
        <f t="shared" si="301"/>
        <v>1</v>
      </c>
      <c r="BU322" s="149">
        <f t="shared" si="302"/>
        <v>1</v>
      </c>
      <c r="BV322" s="149">
        <f t="shared" si="303"/>
        <v>1</v>
      </c>
      <c r="BW322" s="149">
        <f t="shared" si="304"/>
        <v>1</v>
      </c>
      <c r="BX322" s="149">
        <f t="shared" si="305"/>
        <v>1</v>
      </c>
      <c r="BY322" s="149">
        <f t="shared" si="306"/>
        <v>1</v>
      </c>
      <c r="BZ322" s="149">
        <f t="shared" si="307"/>
        <v>1</v>
      </c>
      <c r="CA322" s="149">
        <f t="shared" si="308"/>
        <v>1</v>
      </c>
      <c r="CB322" s="149">
        <f t="shared" si="309"/>
        <v>1</v>
      </c>
      <c r="CC322" s="149">
        <f t="shared" si="310"/>
        <v>1</v>
      </c>
      <c r="CD322" s="149">
        <f t="shared" si="311"/>
        <v>1</v>
      </c>
      <c r="CE322" s="149">
        <f t="shared" si="312"/>
        <v>1</v>
      </c>
      <c r="CF322" s="149">
        <f t="shared" si="313"/>
        <v>1</v>
      </c>
      <c r="CG322" s="149">
        <f t="shared" si="314"/>
        <v>1</v>
      </c>
      <c r="CH322" s="149">
        <f t="shared" si="315"/>
        <v>1</v>
      </c>
      <c r="CI322" s="149">
        <f t="shared" si="316"/>
        <v>1</v>
      </c>
      <c r="CJ322" s="149">
        <f t="shared" si="317"/>
        <v>1</v>
      </c>
      <c r="CK322" s="149">
        <f t="shared" si="318"/>
        <v>1</v>
      </c>
      <c r="CL322" s="149">
        <f t="shared" si="319"/>
        <v>1</v>
      </c>
      <c r="CM322" s="149">
        <f t="shared" si="320"/>
        <v>1</v>
      </c>
      <c r="CN322" s="149">
        <f t="shared" si="321"/>
        <v>1</v>
      </c>
      <c r="CO322" s="149">
        <f t="shared" si="322"/>
        <v>1</v>
      </c>
      <c r="CP322" s="149">
        <f t="shared" si="323"/>
        <v>1</v>
      </c>
      <c r="CQ322" s="149">
        <f t="shared" si="324"/>
        <v>1</v>
      </c>
      <c r="CR322" s="149">
        <f t="shared" si="325"/>
        <v>1</v>
      </c>
      <c r="CS322" s="149">
        <f t="shared" si="326"/>
        <v>1</v>
      </c>
      <c r="CT322" s="149">
        <f t="shared" si="327"/>
        <v>1</v>
      </c>
      <c r="CU322" s="149">
        <f t="shared" si="328"/>
        <v>1</v>
      </c>
      <c r="CV322" s="149">
        <f t="shared" si="329"/>
        <v>1</v>
      </c>
      <c r="CW322" s="149">
        <f t="shared" si="330"/>
        <v>1</v>
      </c>
      <c r="CX322" s="149">
        <f t="shared" si="331"/>
        <v>1</v>
      </c>
      <c r="CY322" s="149">
        <f t="shared" si="332"/>
        <v>1</v>
      </c>
      <c r="CZ322" s="149">
        <f t="shared" si="333"/>
        <v>1</v>
      </c>
      <c r="DA322" s="149">
        <f t="shared" si="334"/>
        <v>1</v>
      </c>
      <c r="DB322" s="149">
        <f t="shared" si="335"/>
        <v>1</v>
      </c>
      <c r="DG322" s="125">
        <f t="shared" si="296"/>
        <v>1</v>
      </c>
      <c r="DH322" s="125">
        <f t="shared" si="350"/>
        <v>2</v>
      </c>
      <c r="DI322" s="125">
        <f t="shared" si="350"/>
        <v>3</v>
      </c>
      <c r="DJ322" s="125">
        <f t="shared" si="350"/>
        <v>4</v>
      </c>
      <c r="DK322" s="125">
        <f t="shared" si="350"/>
        <v>5</v>
      </c>
      <c r="DL322" s="125">
        <f t="shared" si="350"/>
        <v>6</v>
      </c>
      <c r="DM322" s="125">
        <f t="shared" si="350"/>
        <v>7</v>
      </c>
      <c r="DN322" s="125">
        <f t="shared" si="350"/>
        <v>8</v>
      </c>
      <c r="DO322" s="125">
        <f t="shared" si="350"/>
        <v>9</v>
      </c>
      <c r="DP322" s="125">
        <f t="shared" si="350"/>
        <v>10</v>
      </c>
      <c r="DS322" s="137"/>
      <c r="DT322" s="137"/>
      <c r="DU322" s="137"/>
      <c r="DV322" s="137" t="b">
        <f t="shared" si="336"/>
        <v>0</v>
      </c>
      <c r="DW322" s="137" t="b">
        <f t="shared" si="337"/>
        <v>0</v>
      </c>
      <c r="DX322" s="137" t="b">
        <f t="shared" si="338"/>
        <v>1</v>
      </c>
      <c r="EB322" s="131">
        <f t="shared" si="347"/>
        <v>1</v>
      </c>
      <c r="EC322" s="137" t="b">
        <f t="shared" si="339"/>
        <v>0</v>
      </c>
      <c r="ED322" s="137" t="b">
        <f t="shared" si="340"/>
        <v>0</v>
      </c>
      <c r="EE322" s="137" t="b">
        <f t="shared" si="341"/>
        <v>1</v>
      </c>
      <c r="EF322" s="137"/>
      <c r="EG322" s="137"/>
      <c r="EH322" s="137"/>
      <c r="EI322" s="137"/>
      <c r="EJ322" s="137">
        <f t="shared" si="348"/>
        <v>1</v>
      </c>
      <c r="EK322" s="125">
        <f t="shared" si="342"/>
        <v>0</v>
      </c>
      <c r="EL322" s="125">
        <f t="shared" si="343"/>
        <v>0</v>
      </c>
    </row>
    <row r="323" spans="2:142" ht="15.75" x14ac:dyDescent="0.2">
      <c r="B323" s="160">
        <f t="shared" si="344"/>
        <v>293</v>
      </c>
      <c r="C323" s="290">
        <v>1001348211</v>
      </c>
      <c r="D323" s="290">
        <v>1001273529</v>
      </c>
      <c r="E323" s="290">
        <v>40000564</v>
      </c>
      <c r="F323" s="118">
        <f>IF(OR(J323="",H323=""),"",VLOOKUP(J323,'הזנה לסיווג רשויות'!$B$2:$D$301,2,0))</f>
        <v>20000201</v>
      </c>
      <c r="G323" s="118" t="str">
        <f>IF(OR(J323="",H323=""),"",VLOOKUP(J323,'הזנה לסיווג רשויות'!$B$2:$D$301,3,0))</f>
        <v>תל אביב -יפו</v>
      </c>
      <c r="H323" s="293" t="s">
        <v>731</v>
      </c>
      <c r="I323" s="201" t="s">
        <v>379</v>
      </c>
      <c r="J323" s="294">
        <v>5000</v>
      </c>
      <c r="K323" s="161">
        <v>0</v>
      </c>
      <c r="L323" s="161">
        <v>1</v>
      </c>
      <c r="M323" s="161">
        <v>0</v>
      </c>
      <c r="N323" s="161">
        <v>0</v>
      </c>
      <c r="O323" s="161">
        <v>1</v>
      </c>
      <c r="P323" s="161">
        <v>1</v>
      </c>
      <c r="Q323" s="161">
        <v>1</v>
      </c>
      <c r="R323" s="201">
        <v>342156</v>
      </c>
      <c r="S323" s="201">
        <v>219850</v>
      </c>
      <c r="T323" s="160">
        <f>IF(G323="","",IFERROR(IF(S323/R323&gt;'פרמטרים לקריטריונים'!$C$20,1,0),0))</f>
        <v>1</v>
      </c>
      <c r="U323" s="296">
        <v>185349</v>
      </c>
      <c r="V323" s="160">
        <f>IF(G323="","",IFERROR(IF(U323/R323&gt;'פרמטרים לקריטריונים'!$C$21,1,IF(AND(I323=$BW$5,U323/R323&gt;'פרמטרים לקריטריונים'!$C$22),1,0)),0))</f>
        <v>1</v>
      </c>
      <c r="W323" s="161">
        <v>1</v>
      </c>
      <c r="X323" s="161">
        <v>1</v>
      </c>
      <c r="Y323" s="299">
        <v>150000</v>
      </c>
      <c r="Z323" s="300">
        <v>150000</v>
      </c>
      <c r="AA323" s="161">
        <f t="shared" si="345"/>
        <v>1</v>
      </c>
      <c r="AB323" s="161"/>
      <c r="AC323" s="161"/>
      <c r="AD323" s="161"/>
      <c r="AE323" s="161"/>
      <c r="AF323" s="161"/>
      <c r="AG323" s="161"/>
      <c r="AH323" s="161"/>
      <c r="AI323" s="161"/>
      <c r="AJ323" s="161"/>
      <c r="AK323" s="161"/>
      <c r="AL323" s="161"/>
      <c r="AM323" s="161"/>
      <c r="AN323" s="161"/>
      <c r="AO323" s="161"/>
      <c r="AP323" s="161"/>
      <c r="AQ323" s="161"/>
      <c r="AR323" s="161"/>
      <c r="AS323" s="161"/>
      <c r="AT323" s="161"/>
      <c r="AU323" s="161"/>
      <c r="AV323" s="161"/>
      <c r="AW323" s="160"/>
      <c r="AX323" s="161"/>
      <c r="AY323" s="161"/>
      <c r="AZ323" s="161"/>
      <c r="BA323" s="161"/>
      <c r="BB323" s="161"/>
      <c r="BC323" s="161"/>
      <c r="BD323" s="161"/>
      <c r="BE323" s="161"/>
      <c r="BF323" s="160" t="str">
        <f t="shared" si="346"/>
        <v/>
      </c>
      <c r="BG323" s="160"/>
      <c r="BH323" s="160"/>
      <c r="BI323" s="160"/>
      <c r="BJ323" s="160"/>
      <c r="BK323" s="160"/>
      <c r="BL323" s="162">
        <f t="shared" si="297"/>
        <v>1</v>
      </c>
      <c r="BM323" s="257"/>
      <c r="BN323" s="163"/>
      <c r="BO323" s="211" t="str">
        <f t="shared" si="298"/>
        <v>עמותת הכוריאוגרפים (ע"ר)יוצרים עצמאיים במחול</v>
      </c>
      <c r="BP323" s="125">
        <f t="shared" si="299"/>
        <v>1</v>
      </c>
      <c r="BQ323" s="164">
        <v>0</v>
      </c>
      <c r="BR323" s="164">
        <v>1</v>
      </c>
      <c r="BS323" s="149">
        <f t="shared" si="300"/>
        <v>1</v>
      </c>
      <c r="BT323" s="149">
        <f t="shared" si="301"/>
        <v>1</v>
      </c>
      <c r="BU323" s="149">
        <f t="shared" si="302"/>
        <v>1</v>
      </c>
      <c r="BV323" s="149">
        <f t="shared" si="303"/>
        <v>1</v>
      </c>
      <c r="BW323" s="149">
        <f t="shared" si="304"/>
        <v>1</v>
      </c>
      <c r="BX323" s="149">
        <f t="shared" si="305"/>
        <v>1</v>
      </c>
      <c r="BY323" s="149">
        <f t="shared" si="306"/>
        <v>1</v>
      </c>
      <c r="BZ323" s="149">
        <f t="shared" si="307"/>
        <v>1</v>
      </c>
      <c r="CA323" s="149">
        <f t="shared" si="308"/>
        <v>1</v>
      </c>
      <c r="CB323" s="149">
        <f t="shared" si="309"/>
        <v>1</v>
      </c>
      <c r="CC323" s="149">
        <f t="shared" si="310"/>
        <v>1</v>
      </c>
      <c r="CD323" s="149">
        <f t="shared" si="311"/>
        <v>1</v>
      </c>
      <c r="CE323" s="149">
        <f t="shared" si="312"/>
        <v>1</v>
      </c>
      <c r="CF323" s="149">
        <f t="shared" si="313"/>
        <v>1</v>
      </c>
      <c r="CG323" s="149">
        <f t="shared" si="314"/>
        <v>1</v>
      </c>
      <c r="CH323" s="149">
        <f t="shared" si="315"/>
        <v>1</v>
      </c>
      <c r="CI323" s="149">
        <f t="shared" si="316"/>
        <v>1</v>
      </c>
      <c r="CJ323" s="149">
        <f t="shared" si="317"/>
        <v>1</v>
      </c>
      <c r="CK323" s="149">
        <f t="shared" si="318"/>
        <v>1</v>
      </c>
      <c r="CL323" s="149">
        <f t="shared" si="319"/>
        <v>1</v>
      </c>
      <c r="CM323" s="149">
        <f t="shared" si="320"/>
        <v>1</v>
      </c>
      <c r="CN323" s="149">
        <f t="shared" si="321"/>
        <v>1</v>
      </c>
      <c r="CO323" s="149">
        <f t="shared" si="322"/>
        <v>1</v>
      </c>
      <c r="CP323" s="149">
        <f t="shared" si="323"/>
        <v>1</v>
      </c>
      <c r="CQ323" s="149">
        <f t="shared" si="324"/>
        <v>1</v>
      </c>
      <c r="CR323" s="149">
        <f t="shared" si="325"/>
        <v>1</v>
      </c>
      <c r="CS323" s="149">
        <f t="shared" si="326"/>
        <v>1</v>
      </c>
      <c r="CT323" s="149">
        <f t="shared" si="327"/>
        <v>1</v>
      </c>
      <c r="CU323" s="149">
        <f t="shared" si="328"/>
        <v>1</v>
      </c>
      <c r="CV323" s="149">
        <f t="shared" si="329"/>
        <v>1</v>
      </c>
      <c r="CW323" s="149">
        <f t="shared" si="330"/>
        <v>1</v>
      </c>
      <c r="CX323" s="149">
        <f t="shared" si="331"/>
        <v>1</v>
      </c>
      <c r="CY323" s="149">
        <f t="shared" si="332"/>
        <v>1</v>
      </c>
      <c r="CZ323" s="149">
        <f t="shared" si="333"/>
        <v>1</v>
      </c>
      <c r="DA323" s="149">
        <f t="shared" si="334"/>
        <v>1</v>
      </c>
      <c r="DB323" s="149">
        <f t="shared" si="335"/>
        <v>1</v>
      </c>
      <c r="DG323" s="125">
        <f t="shared" si="296"/>
        <v>1</v>
      </c>
      <c r="DH323" s="125">
        <f t="shared" si="350"/>
        <v>2</v>
      </c>
      <c r="DI323" s="125">
        <f t="shared" si="350"/>
        <v>3</v>
      </c>
      <c r="DJ323" s="125">
        <f t="shared" si="350"/>
        <v>4</v>
      </c>
      <c r="DK323" s="125">
        <f t="shared" si="350"/>
        <v>5</v>
      </c>
      <c r="DL323" s="125">
        <f t="shared" si="350"/>
        <v>6</v>
      </c>
      <c r="DM323" s="125">
        <f t="shared" si="350"/>
        <v>7</v>
      </c>
      <c r="DN323" s="125">
        <f t="shared" si="350"/>
        <v>8</v>
      </c>
      <c r="DO323" s="125">
        <f t="shared" si="350"/>
        <v>9</v>
      </c>
      <c r="DP323" s="125">
        <f t="shared" si="350"/>
        <v>10</v>
      </c>
      <c r="DS323" s="137"/>
      <c r="DT323" s="137"/>
      <c r="DU323" s="137"/>
      <c r="DV323" s="137" t="b">
        <f t="shared" si="336"/>
        <v>0</v>
      </c>
      <c r="DW323" s="137" t="b">
        <f t="shared" si="337"/>
        <v>0</v>
      </c>
      <c r="DX323" s="137" t="b">
        <f t="shared" si="338"/>
        <v>1</v>
      </c>
      <c r="EB323" s="131">
        <f t="shared" si="347"/>
        <v>1</v>
      </c>
      <c r="EC323" s="137" t="b">
        <f t="shared" si="339"/>
        <v>0</v>
      </c>
      <c r="ED323" s="137" t="b">
        <f t="shared" si="340"/>
        <v>0</v>
      </c>
      <c r="EE323" s="137" t="b">
        <f t="shared" si="341"/>
        <v>1</v>
      </c>
      <c r="EF323" s="137"/>
      <c r="EG323" s="137"/>
      <c r="EH323" s="137"/>
      <c r="EI323" s="137"/>
      <c r="EJ323" s="137">
        <f t="shared" si="348"/>
        <v>1</v>
      </c>
      <c r="EK323" s="125">
        <f t="shared" si="342"/>
        <v>0</v>
      </c>
      <c r="EL323" s="125">
        <f t="shared" si="343"/>
        <v>0</v>
      </c>
    </row>
    <row r="324" spans="2:142" ht="15.75" x14ac:dyDescent="0.2">
      <c r="B324" s="160">
        <f t="shared" si="344"/>
        <v>294</v>
      </c>
      <c r="C324" s="290">
        <v>1001348212</v>
      </c>
      <c r="D324" s="290">
        <v>1001273573</v>
      </c>
      <c r="E324" s="290">
        <v>40000564</v>
      </c>
      <c r="F324" s="118">
        <f>IF(OR(J324="",H324=""),"",VLOOKUP(J324,'הזנה לסיווג רשויות'!$B$2:$D$301,2,0))</f>
        <v>20000201</v>
      </c>
      <c r="G324" s="118" t="str">
        <f>IF(OR(J324="",H324=""),"",VLOOKUP(J324,'הזנה לסיווג רשויות'!$B$2:$D$301,3,0))</f>
        <v>תל אביב -יפו</v>
      </c>
      <c r="H324" s="293" t="s">
        <v>731</v>
      </c>
      <c r="I324" s="201" t="s">
        <v>379</v>
      </c>
      <c r="J324" s="294">
        <v>5000</v>
      </c>
      <c r="K324" s="161">
        <v>0</v>
      </c>
      <c r="L324" s="161">
        <v>1</v>
      </c>
      <c r="M324" s="161">
        <v>0</v>
      </c>
      <c r="N324" s="161">
        <v>0</v>
      </c>
      <c r="O324" s="161">
        <v>1</v>
      </c>
      <c r="P324" s="161">
        <v>1</v>
      </c>
      <c r="Q324" s="161">
        <v>1</v>
      </c>
      <c r="R324" s="201">
        <v>446870</v>
      </c>
      <c r="S324" s="201">
        <v>296495</v>
      </c>
      <c r="T324" s="160">
        <f>IF(G324="","",IFERROR(IF(S324/R324&gt;'פרמטרים לקריטריונים'!$C$20,1,0),0))</f>
        <v>1</v>
      </c>
      <c r="U324" s="296">
        <v>296495</v>
      </c>
      <c r="V324" s="160">
        <f>IF(G324="","",IFERROR(IF(U324/R324&gt;'פרמטרים לקריטריונים'!$C$21,1,IF(AND(I324=$BW$5,U324/R324&gt;'פרמטרים לקריטריונים'!$C$22),1,0)),0))</f>
        <v>1</v>
      </c>
      <c r="W324" s="161">
        <v>1</v>
      </c>
      <c r="X324" s="161">
        <v>1</v>
      </c>
      <c r="Y324" s="299">
        <v>150000</v>
      </c>
      <c r="Z324" s="300">
        <v>150000</v>
      </c>
      <c r="AA324" s="161">
        <f t="shared" si="345"/>
        <v>1</v>
      </c>
      <c r="AB324" s="161"/>
      <c r="AC324" s="161"/>
      <c r="AD324" s="161"/>
      <c r="AE324" s="161"/>
      <c r="AF324" s="161"/>
      <c r="AG324" s="161"/>
      <c r="AH324" s="161"/>
      <c r="AI324" s="161"/>
      <c r="AJ324" s="161"/>
      <c r="AK324" s="161"/>
      <c r="AL324" s="161"/>
      <c r="AM324" s="161"/>
      <c r="AN324" s="161"/>
      <c r="AO324" s="161"/>
      <c r="AP324" s="161"/>
      <c r="AQ324" s="161"/>
      <c r="AR324" s="161"/>
      <c r="AS324" s="161"/>
      <c r="AT324" s="161"/>
      <c r="AU324" s="161"/>
      <c r="AV324" s="161"/>
      <c r="AW324" s="160"/>
      <c r="AX324" s="161"/>
      <c r="AY324" s="161"/>
      <c r="AZ324" s="161"/>
      <c r="BA324" s="161"/>
      <c r="BB324" s="161"/>
      <c r="BC324" s="161"/>
      <c r="BD324" s="161"/>
      <c r="BE324" s="161"/>
      <c r="BF324" s="160" t="str">
        <f t="shared" si="346"/>
        <v/>
      </c>
      <c r="BG324" s="160"/>
      <c r="BH324" s="160"/>
      <c r="BI324" s="160"/>
      <c r="BJ324" s="160"/>
      <c r="BK324" s="160"/>
      <c r="BL324" s="162">
        <f t="shared" si="297"/>
        <v>1</v>
      </c>
      <c r="BM324" s="257"/>
      <c r="BN324" s="163"/>
      <c r="BO324" s="211" t="str">
        <f t="shared" si="298"/>
        <v>עמותת הכוריאוגרפים (ע"ר)יוצרים עצמאיים במחול</v>
      </c>
      <c r="BP324" s="125">
        <f t="shared" si="299"/>
        <v>1</v>
      </c>
      <c r="BQ324" s="164">
        <v>0</v>
      </c>
      <c r="BR324" s="164">
        <v>1</v>
      </c>
      <c r="BS324" s="149">
        <f t="shared" si="300"/>
        <v>1</v>
      </c>
      <c r="BT324" s="149">
        <f t="shared" si="301"/>
        <v>1</v>
      </c>
      <c r="BU324" s="149">
        <f t="shared" si="302"/>
        <v>1</v>
      </c>
      <c r="BV324" s="149">
        <f t="shared" si="303"/>
        <v>1</v>
      </c>
      <c r="BW324" s="149">
        <f t="shared" si="304"/>
        <v>1</v>
      </c>
      <c r="BX324" s="149">
        <f t="shared" si="305"/>
        <v>1</v>
      </c>
      <c r="BY324" s="149">
        <f t="shared" si="306"/>
        <v>1</v>
      </c>
      <c r="BZ324" s="149">
        <f t="shared" si="307"/>
        <v>1</v>
      </c>
      <c r="CA324" s="149">
        <f t="shared" si="308"/>
        <v>1</v>
      </c>
      <c r="CB324" s="149">
        <f t="shared" si="309"/>
        <v>1</v>
      </c>
      <c r="CC324" s="149">
        <f t="shared" si="310"/>
        <v>1</v>
      </c>
      <c r="CD324" s="149">
        <f t="shared" si="311"/>
        <v>1</v>
      </c>
      <c r="CE324" s="149">
        <f t="shared" si="312"/>
        <v>1</v>
      </c>
      <c r="CF324" s="149">
        <f t="shared" si="313"/>
        <v>1</v>
      </c>
      <c r="CG324" s="149">
        <f t="shared" si="314"/>
        <v>1</v>
      </c>
      <c r="CH324" s="149">
        <f t="shared" si="315"/>
        <v>1</v>
      </c>
      <c r="CI324" s="149">
        <f t="shared" si="316"/>
        <v>1</v>
      </c>
      <c r="CJ324" s="149">
        <f t="shared" si="317"/>
        <v>1</v>
      </c>
      <c r="CK324" s="149">
        <f t="shared" si="318"/>
        <v>1</v>
      </c>
      <c r="CL324" s="149">
        <f t="shared" si="319"/>
        <v>1</v>
      </c>
      <c r="CM324" s="149">
        <f t="shared" si="320"/>
        <v>1</v>
      </c>
      <c r="CN324" s="149">
        <f t="shared" si="321"/>
        <v>1</v>
      </c>
      <c r="CO324" s="149">
        <f t="shared" si="322"/>
        <v>1</v>
      </c>
      <c r="CP324" s="149">
        <f t="shared" si="323"/>
        <v>1</v>
      </c>
      <c r="CQ324" s="149">
        <f t="shared" si="324"/>
        <v>1</v>
      </c>
      <c r="CR324" s="149">
        <f t="shared" si="325"/>
        <v>1</v>
      </c>
      <c r="CS324" s="149">
        <f t="shared" si="326"/>
        <v>1</v>
      </c>
      <c r="CT324" s="149">
        <f t="shared" si="327"/>
        <v>1</v>
      </c>
      <c r="CU324" s="149">
        <f t="shared" si="328"/>
        <v>1</v>
      </c>
      <c r="CV324" s="149">
        <f t="shared" si="329"/>
        <v>1</v>
      </c>
      <c r="CW324" s="149">
        <f t="shared" si="330"/>
        <v>1</v>
      </c>
      <c r="CX324" s="149">
        <f t="shared" si="331"/>
        <v>1</v>
      </c>
      <c r="CY324" s="149">
        <f t="shared" si="332"/>
        <v>1</v>
      </c>
      <c r="CZ324" s="149">
        <f t="shared" si="333"/>
        <v>1</v>
      </c>
      <c r="DA324" s="149">
        <f t="shared" si="334"/>
        <v>1</v>
      </c>
      <c r="DB324" s="149">
        <f t="shared" si="335"/>
        <v>1</v>
      </c>
      <c r="DG324" s="125">
        <f t="shared" si="296"/>
        <v>1</v>
      </c>
      <c r="DH324" s="125">
        <f t="shared" si="350"/>
        <v>2</v>
      </c>
      <c r="DI324" s="125">
        <f t="shared" si="350"/>
        <v>3</v>
      </c>
      <c r="DJ324" s="125">
        <f t="shared" si="350"/>
        <v>4</v>
      </c>
      <c r="DK324" s="125">
        <f t="shared" si="350"/>
        <v>5</v>
      </c>
      <c r="DL324" s="125">
        <f t="shared" si="350"/>
        <v>6</v>
      </c>
      <c r="DM324" s="125">
        <f t="shared" si="350"/>
        <v>7</v>
      </c>
      <c r="DN324" s="125">
        <f t="shared" si="350"/>
        <v>8</v>
      </c>
      <c r="DO324" s="125">
        <f t="shared" si="350"/>
        <v>9</v>
      </c>
      <c r="DP324" s="125">
        <f t="shared" si="350"/>
        <v>10</v>
      </c>
      <c r="DS324" s="137"/>
      <c r="DT324" s="137"/>
      <c r="DU324" s="137"/>
      <c r="DV324" s="137" t="b">
        <f t="shared" si="336"/>
        <v>0</v>
      </c>
      <c r="DW324" s="137" t="b">
        <f t="shared" si="337"/>
        <v>0</v>
      </c>
      <c r="DX324" s="137" t="b">
        <f t="shared" si="338"/>
        <v>1</v>
      </c>
      <c r="EB324" s="131">
        <f t="shared" si="347"/>
        <v>1</v>
      </c>
      <c r="EC324" s="137" t="b">
        <f t="shared" si="339"/>
        <v>0</v>
      </c>
      <c r="ED324" s="137" t="b">
        <f t="shared" si="340"/>
        <v>0</v>
      </c>
      <c r="EE324" s="137" t="b">
        <f t="shared" si="341"/>
        <v>1</v>
      </c>
      <c r="EF324" s="137"/>
      <c r="EG324" s="137"/>
      <c r="EH324" s="137"/>
      <c r="EI324" s="137"/>
      <c r="EJ324" s="137">
        <f t="shared" si="348"/>
        <v>1</v>
      </c>
      <c r="EK324" s="125">
        <f t="shared" si="342"/>
        <v>0</v>
      </c>
      <c r="EL324" s="125">
        <f t="shared" si="343"/>
        <v>0</v>
      </c>
    </row>
    <row r="325" spans="2:142" ht="15.75" x14ac:dyDescent="0.2">
      <c r="B325" s="160">
        <f t="shared" si="344"/>
        <v>295</v>
      </c>
      <c r="C325" s="290">
        <v>1001348213</v>
      </c>
      <c r="D325" s="290">
        <v>1001273578</v>
      </c>
      <c r="E325" s="290">
        <v>40000564</v>
      </c>
      <c r="F325" s="118">
        <f>IF(OR(J325="",H325=""),"",VLOOKUP(J325,'הזנה לסיווג רשויות'!$B$2:$D$301,2,0))</f>
        <v>20000201</v>
      </c>
      <c r="G325" s="118" t="str">
        <f>IF(OR(J325="",H325=""),"",VLOOKUP(J325,'הזנה לסיווג רשויות'!$B$2:$D$301,3,0))</f>
        <v>תל אביב -יפו</v>
      </c>
      <c r="H325" s="293" t="s">
        <v>731</v>
      </c>
      <c r="I325" s="201" t="s">
        <v>379</v>
      </c>
      <c r="J325" s="294">
        <v>5000</v>
      </c>
      <c r="K325" s="161">
        <v>0</v>
      </c>
      <c r="L325" s="161">
        <v>1</v>
      </c>
      <c r="M325" s="161">
        <v>0</v>
      </c>
      <c r="N325" s="161">
        <v>0</v>
      </c>
      <c r="O325" s="161">
        <v>1</v>
      </c>
      <c r="P325" s="161">
        <v>1</v>
      </c>
      <c r="Q325" s="161">
        <v>1</v>
      </c>
      <c r="R325" s="201">
        <v>41887</v>
      </c>
      <c r="S325" s="201">
        <v>41887</v>
      </c>
      <c r="T325" s="160">
        <f>IF(G325="","",IFERROR(IF(S325/R325&gt;'פרמטרים לקריטריונים'!$C$20,1,0),0))</f>
        <v>1</v>
      </c>
      <c r="U325" s="296">
        <v>41657</v>
      </c>
      <c r="V325" s="160">
        <f>IF(G325="","",IFERROR(IF(U325/R325&gt;'פרמטרים לקריטריונים'!$C$21,1,IF(AND(I325=$BW$5,U325/R325&gt;'פרמטרים לקריטריונים'!$C$22),1,0)),0))</f>
        <v>1</v>
      </c>
      <c r="W325" s="161">
        <v>1</v>
      </c>
      <c r="X325" s="161">
        <v>1</v>
      </c>
      <c r="Y325" s="299">
        <v>150000</v>
      </c>
      <c r="Z325" s="300">
        <v>150000</v>
      </c>
      <c r="AA325" s="161">
        <f t="shared" si="345"/>
        <v>1</v>
      </c>
      <c r="AB325" s="161"/>
      <c r="AC325" s="161"/>
      <c r="AD325" s="161"/>
      <c r="AE325" s="161"/>
      <c r="AF325" s="161"/>
      <c r="AG325" s="161"/>
      <c r="AH325" s="161"/>
      <c r="AI325" s="161"/>
      <c r="AJ325" s="161"/>
      <c r="AK325" s="161"/>
      <c r="AL325" s="161"/>
      <c r="AM325" s="161"/>
      <c r="AN325" s="161"/>
      <c r="AO325" s="161"/>
      <c r="AP325" s="161"/>
      <c r="AQ325" s="161"/>
      <c r="AR325" s="161"/>
      <c r="AS325" s="161"/>
      <c r="AT325" s="161"/>
      <c r="AU325" s="161"/>
      <c r="AV325" s="161"/>
      <c r="AW325" s="160"/>
      <c r="AX325" s="161"/>
      <c r="AY325" s="161"/>
      <c r="AZ325" s="161"/>
      <c r="BA325" s="161"/>
      <c r="BB325" s="161"/>
      <c r="BC325" s="161"/>
      <c r="BD325" s="161"/>
      <c r="BE325" s="161"/>
      <c r="BF325" s="160" t="str">
        <f t="shared" si="346"/>
        <v/>
      </c>
      <c r="BG325" s="160"/>
      <c r="BH325" s="160"/>
      <c r="BI325" s="160"/>
      <c r="BJ325" s="160"/>
      <c r="BK325" s="160"/>
      <c r="BL325" s="162">
        <f t="shared" si="297"/>
        <v>1</v>
      </c>
      <c r="BM325" s="257"/>
      <c r="BN325" s="163"/>
      <c r="BO325" s="211" t="str">
        <f t="shared" si="298"/>
        <v>עמותת הכוריאוגרפים (ע"ר)יוצרים עצמאיים במחול</v>
      </c>
      <c r="BP325" s="125">
        <f t="shared" si="299"/>
        <v>1</v>
      </c>
      <c r="BQ325" s="164">
        <v>0</v>
      </c>
      <c r="BR325" s="164">
        <v>1</v>
      </c>
      <c r="BS325" s="149">
        <f t="shared" si="300"/>
        <v>1</v>
      </c>
      <c r="BT325" s="149">
        <f t="shared" si="301"/>
        <v>1</v>
      </c>
      <c r="BU325" s="149">
        <f t="shared" si="302"/>
        <v>1</v>
      </c>
      <c r="BV325" s="149">
        <f t="shared" si="303"/>
        <v>1</v>
      </c>
      <c r="BW325" s="149">
        <f t="shared" si="304"/>
        <v>1</v>
      </c>
      <c r="BX325" s="149">
        <f t="shared" si="305"/>
        <v>1</v>
      </c>
      <c r="BY325" s="149">
        <f t="shared" si="306"/>
        <v>1</v>
      </c>
      <c r="BZ325" s="149">
        <f t="shared" si="307"/>
        <v>1</v>
      </c>
      <c r="CA325" s="149">
        <f t="shared" si="308"/>
        <v>1</v>
      </c>
      <c r="CB325" s="149">
        <f t="shared" si="309"/>
        <v>1</v>
      </c>
      <c r="CC325" s="149">
        <f t="shared" si="310"/>
        <v>1</v>
      </c>
      <c r="CD325" s="149">
        <f t="shared" si="311"/>
        <v>1</v>
      </c>
      <c r="CE325" s="149">
        <f t="shared" si="312"/>
        <v>1</v>
      </c>
      <c r="CF325" s="149">
        <f t="shared" si="313"/>
        <v>1</v>
      </c>
      <c r="CG325" s="149">
        <f t="shared" si="314"/>
        <v>1</v>
      </c>
      <c r="CH325" s="149">
        <f t="shared" si="315"/>
        <v>1</v>
      </c>
      <c r="CI325" s="149">
        <f t="shared" si="316"/>
        <v>1</v>
      </c>
      <c r="CJ325" s="149">
        <f t="shared" si="317"/>
        <v>1</v>
      </c>
      <c r="CK325" s="149">
        <f t="shared" si="318"/>
        <v>1</v>
      </c>
      <c r="CL325" s="149">
        <f t="shared" si="319"/>
        <v>1</v>
      </c>
      <c r="CM325" s="149">
        <f t="shared" si="320"/>
        <v>1</v>
      </c>
      <c r="CN325" s="149">
        <f t="shared" si="321"/>
        <v>1</v>
      </c>
      <c r="CO325" s="149">
        <f t="shared" si="322"/>
        <v>1</v>
      </c>
      <c r="CP325" s="149">
        <f t="shared" si="323"/>
        <v>1</v>
      </c>
      <c r="CQ325" s="149">
        <f t="shared" si="324"/>
        <v>1</v>
      </c>
      <c r="CR325" s="149">
        <f t="shared" si="325"/>
        <v>1</v>
      </c>
      <c r="CS325" s="149">
        <f t="shared" si="326"/>
        <v>1</v>
      </c>
      <c r="CT325" s="149">
        <f t="shared" si="327"/>
        <v>1</v>
      </c>
      <c r="CU325" s="149">
        <f t="shared" si="328"/>
        <v>1</v>
      </c>
      <c r="CV325" s="149">
        <f t="shared" si="329"/>
        <v>1</v>
      </c>
      <c r="CW325" s="149">
        <f t="shared" si="330"/>
        <v>1</v>
      </c>
      <c r="CX325" s="149">
        <f t="shared" si="331"/>
        <v>1</v>
      </c>
      <c r="CY325" s="149">
        <f t="shared" si="332"/>
        <v>1</v>
      </c>
      <c r="CZ325" s="149">
        <f t="shared" si="333"/>
        <v>1</v>
      </c>
      <c r="DA325" s="149">
        <f t="shared" si="334"/>
        <v>1</v>
      </c>
      <c r="DB325" s="149">
        <f t="shared" si="335"/>
        <v>1</v>
      </c>
      <c r="DG325" s="125">
        <f t="shared" si="296"/>
        <v>1</v>
      </c>
      <c r="DH325" s="125">
        <f t="shared" si="350"/>
        <v>2</v>
      </c>
      <c r="DI325" s="125">
        <f t="shared" si="350"/>
        <v>3</v>
      </c>
      <c r="DJ325" s="125">
        <f t="shared" si="350"/>
        <v>4</v>
      </c>
      <c r="DK325" s="125">
        <f t="shared" si="350"/>
        <v>5</v>
      </c>
      <c r="DL325" s="125">
        <f t="shared" si="350"/>
        <v>6</v>
      </c>
      <c r="DM325" s="125">
        <f t="shared" si="350"/>
        <v>7</v>
      </c>
      <c r="DN325" s="125">
        <f t="shared" si="350"/>
        <v>8</v>
      </c>
      <c r="DO325" s="125">
        <f t="shared" si="350"/>
        <v>9</v>
      </c>
      <c r="DP325" s="125">
        <f t="shared" si="350"/>
        <v>10</v>
      </c>
      <c r="DS325" s="137"/>
      <c r="DT325" s="137"/>
      <c r="DU325" s="137"/>
      <c r="DV325" s="137" t="b">
        <f t="shared" si="336"/>
        <v>0</v>
      </c>
      <c r="DW325" s="137" t="b">
        <f t="shared" si="337"/>
        <v>0</v>
      </c>
      <c r="DX325" s="137" t="b">
        <f t="shared" si="338"/>
        <v>1</v>
      </c>
      <c r="EB325" s="131">
        <f t="shared" si="347"/>
        <v>1</v>
      </c>
      <c r="EC325" s="137" t="b">
        <f t="shared" si="339"/>
        <v>0</v>
      </c>
      <c r="ED325" s="137" t="b">
        <f t="shared" si="340"/>
        <v>0</v>
      </c>
      <c r="EE325" s="137" t="b">
        <f t="shared" si="341"/>
        <v>1</v>
      </c>
      <c r="EF325" s="137"/>
      <c r="EG325" s="137"/>
      <c r="EH325" s="137"/>
      <c r="EI325" s="137"/>
      <c r="EJ325" s="137">
        <f t="shared" si="348"/>
        <v>1</v>
      </c>
      <c r="EK325" s="125">
        <f t="shared" si="342"/>
        <v>0</v>
      </c>
      <c r="EL325" s="125">
        <f t="shared" si="343"/>
        <v>0</v>
      </c>
    </row>
    <row r="326" spans="2:142" ht="15.75" x14ac:dyDescent="0.2">
      <c r="B326" s="160">
        <f t="shared" si="344"/>
        <v>296</v>
      </c>
      <c r="C326" s="290">
        <v>1001348214</v>
      </c>
      <c r="D326" s="290">
        <v>1001273579</v>
      </c>
      <c r="E326" s="290">
        <v>40000564</v>
      </c>
      <c r="F326" s="118">
        <f>IF(OR(J326="",H326=""),"",VLOOKUP(J326,'הזנה לסיווג רשויות'!$B$2:$D$301,2,0))</f>
        <v>20000201</v>
      </c>
      <c r="G326" s="118" t="str">
        <f>IF(OR(J326="",H326=""),"",VLOOKUP(J326,'הזנה לסיווג רשויות'!$B$2:$D$301,3,0))</f>
        <v>תל אביב -יפו</v>
      </c>
      <c r="H326" s="293" t="s">
        <v>731</v>
      </c>
      <c r="I326" s="201" t="s">
        <v>379</v>
      </c>
      <c r="J326" s="294">
        <v>5000</v>
      </c>
      <c r="K326" s="161">
        <v>0</v>
      </c>
      <c r="L326" s="161">
        <v>1</v>
      </c>
      <c r="M326" s="161">
        <v>0</v>
      </c>
      <c r="N326" s="161">
        <v>0</v>
      </c>
      <c r="O326" s="161">
        <v>1</v>
      </c>
      <c r="P326" s="161">
        <v>1</v>
      </c>
      <c r="Q326" s="161">
        <v>1</v>
      </c>
      <c r="R326" s="201">
        <v>111467</v>
      </c>
      <c r="S326" s="201">
        <v>41788</v>
      </c>
      <c r="T326" s="160">
        <f>IF(G326="","",IFERROR(IF(S326/R326&gt;'פרמטרים לקריטריונים'!$C$20,1,0),0))</f>
        <v>1</v>
      </c>
      <c r="U326" s="296">
        <v>34288</v>
      </c>
      <c r="V326" s="160">
        <f>IF(G326="","",IFERROR(IF(U326/R326&gt;'פרמטרים לקריטריונים'!$C$21,1,IF(AND(I326=$BW$5,U326/R326&gt;'פרמטרים לקריטריונים'!$C$22),1,0)),0))</f>
        <v>1</v>
      </c>
      <c r="W326" s="161">
        <v>1</v>
      </c>
      <c r="X326" s="161">
        <v>1</v>
      </c>
      <c r="Y326" s="299">
        <v>150000</v>
      </c>
      <c r="Z326" s="300">
        <v>150000</v>
      </c>
      <c r="AA326" s="161">
        <f t="shared" si="345"/>
        <v>1</v>
      </c>
      <c r="AB326" s="161"/>
      <c r="AC326" s="161"/>
      <c r="AD326" s="161"/>
      <c r="AE326" s="161"/>
      <c r="AF326" s="161"/>
      <c r="AG326" s="161"/>
      <c r="AH326" s="161"/>
      <c r="AI326" s="161"/>
      <c r="AJ326" s="161"/>
      <c r="AK326" s="161"/>
      <c r="AL326" s="161"/>
      <c r="AM326" s="161"/>
      <c r="AN326" s="161"/>
      <c r="AO326" s="161"/>
      <c r="AP326" s="161"/>
      <c r="AQ326" s="161"/>
      <c r="AR326" s="161"/>
      <c r="AS326" s="161"/>
      <c r="AT326" s="161"/>
      <c r="AU326" s="161"/>
      <c r="AV326" s="161"/>
      <c r="AW326" s="160"/>
      <c r="AX326" s="161"/>
      <c r="AY326" s="161"/>
      <c r="AZ326" s="161"/>
      <c r="BA326" s="161"/>
      <c r="BB326" s="161"/>
      <c r="BC326" s="161"/>
      <c r="BD326" s="161"/>
      <c r="BE326" s="161"/>
      <c r="BF326" s="160" t="str">
        <f t="shared" si="346"/>
        <v/>
      </c>
      <c r="BG326" s="160"/>
      <c r="BH326" s="160"/>
      <c r="BI326" s="160"/>
      <c r="BJ326" s="160"/>
      <c r="BK326" s="160"/>
      <c r="BL326" s="162">
        <f t="shared" si="297"/>
        <v>1</v>
      </c>
      <c r="BM326" s="257"/>
      <c r="BN326" s="163"/>
      <c r="BO326" s="211" t="str">
        <f t="shared" si="298"/>
        <v>עמותת הכוריאוגרפים (ע"ר)יוצרים עצמאיים במחול</v>
      </c>
      <c r="BP326" s="125">
        <f t="shared" si="299"/>
        <v>1</v>
      </c>
      <c r="BQ326" s="164">
        <v>0</v>
      </c>
      <c r="BR326" s="164">
        <v>1</v>
      </c>
      <c r="BS326" s="149">
        <f t="shared" si="300"/>
        <v>1</v>
      </c>
      <c r="BT326" s="149">
        <f t="shared" si="301"/>
        <v>1</v>
      </c>
      <c r="BU326" s="149">
        <f t="shared" si="302"/>
        <v>1</v>
      </c>
      <c r="BV326" s="149">
        <f t="shared" si="303"/>
        <v>1</v>
      </c>
      <c r="BW326" s="149">
        <f t="shared" si="304"/>
        <v>1</v>
      </c>
      <c r="BX326" s="149">
        <f t="shared" si="305"/>
        <v>1</v>
      </c>
      <c r="BY326" s="149">
        <f t="shared" si="306"/>
        <v>1</v>
      </c>
      <c r="BZ326" s="149">
        <f t="shared" si="307"/>
        <v>1</v>
      </c>
      <c r="CA326" s="149">
        <f t="shared" si="308"/>
        <v>1</v>
      </c>
      <c r="CB326" s="149">
        <f t="shared" si="309"/>
        <v>1</v>
      </c>
      <c r="CC326" s="149">
        <f t="shared" si="310"/>
        <v>1</v>
      </c>
      <c r="CD326" s="149">
        <f t="shared" si="311"/>
        <v>1</v>
      </c>
      <c r="CE326" s="149">
        <f t="shared" si="312"/>
        <v>1</v>
      </c>
      <c r="CF326" s="149">
        <f t="shared" si="313"/>
        <v>1</v>
      </c>
      <c r="CG326" s="149">
        <f t="shared" si="314"/>
        <v>1</v>
      </c>
      <c r="CH326" s="149">
        <f t="shared" si="315"/>
        <v>1</v>
      </c>
      <c r="CI326" s="149">
        <f t="shared" si="316"/>
        <v>1</v>
      </c>
      <c r="CJ326" s="149">
        <f t="shared" si="317"/>
        <v>1</v>
      </c>
      <c r="CK326" s="149">
        <f t="shared" si="318"/>
        <v>1</v>
      </c>
      <c r="CL326" s="149">
        <f t="shared" si="319"/>
        <v>1</v>
      </c>
      <c r="CM326" s="149">
        <f t="shared" si="320"/>
        <v>1</v>
      </c>
      <c r="CN326" s="149">
        <f t="shared" si="321"/>
        <v>1</v>
      </c>
      <c r="CO326" s="149">
        <f t="shared" si="322"/>
        <v>1</v>
      </c>
      <c r="CP326" s="149">
        <f t="shared" si="323"/>
        <v>1</v>
      </c>
      <c r="CQ326" s="149">
        <f t="shared" si="324"/>
        <v>1</v>
      </c>
      <c r="CR326" s="149">
        <f t="shared" si="325"/>
        <v>1</v>
      </c>
      <c r="CS326" s="149">
        <f t="shared" si="326"/>
        <v>1</v>
      </c>
      <c r="CT326" s="149">
        <f t="shared" si="327"/>
        <v>1</v>
      </c>
      <c r="CU326" s="149">
        <f t="shared" si="328"/>
        <v>1</v>
      </c>
      <c r="CV326" s="149">
        <f t="shared" si="329"/>
        <v>1</v>
      </c>
      <c r="CW326" s="149">
        <f t="shared" si="330"/>
        <v>1</v>
      </c>
      <c r="CX326" s="149">
        <f t="shared" si="331"/>
        <v>1</v>
      </c>
      <c r="CY326" s="149">
        <f t="shared" si="332"/>
        <v>1</v>
      </c>
      <c r="CZ326" s="149">
        <f t="shared" si="333"/>
        <v>1</v>
      </c>
      <c r="DA326" s="149">
        <f t="shared" si="334"/>
        <v>1</v>
      </c>
      <c r="DB326" s="149">
        <f t="shared" si="335"/>
        <v>1</v>
      </c>
      <c r="DG326" s="125">
        <f t="shared" si="296"/>
        <v>1</v>
      </c>
      <c r="DH326" s="125">
        <f t="shared" si="350"/>
        <v>2</v>
      </c>
      <c r="DI326" s="125">
        <f t="shared" si="350"/>
        <v>3</v>
      </c>
      <c r="DJ326" s="125">
        <f t="shared" si="350"/>
        <v>4</v>
      </c>
      <c r="DK326" s="125">
        <f t="shared" si="350"/>
        <v>5</v>
      </c>
      <c r="DL326" s="125">
        <f t="shared" si="350"/>
        <v>6</v>
      </c>
      <c r="DM326" s="125">
        <f t="shared" si="350"/>
        <v>7</v>
      </c>
      <c r="DN326" s="125">
        <f t="shared" si="350"/>
        <v>8</v>
      </c>
      <c r="DO326" s="125">
        <f t="shared" si="350"/>
        <v>9</v>
      </c>
      <c r="DP326" s="125">
        <f t="shared" si="350"/>
        <v>10</v>
      </c>
      <c r="DS326" s="137"/>
      <c r="DT326" s="137"/>
      <c r="DU326" s="137"/>
      <c r="DV326" s="137" t="b">
        <f t="shared" si="336"/>
        <v>0</v>
      </c>
      <c r="DW326" s="137" t="b">
        <f t="shared" si="337"/>
        <v>0</v>
      </c>
      <c r="DX326" s="137" t="b">
        <f t="shared" si="338"/>
        <v>1</v>
      </c>
      <c r="EB326" s="131">
        <f t="shared" si="347"/>
        <v>1</v>
      </c>
      <c r="EC326" s="137" t="b">
        <f t="shared" si="339"/>
        <v>0</v>
      </c>
      <c r="ED326" s="137" t="b">
        <f t="shared" si="340"/>
        <v>0</v>
      </c>
      <c r="EE326" s="137" t="b">
        <f t="shared" si="341"/>
        <v>1</v>
      </c>
      <c r="EF326" s="137"/>
      <c r="EG326" s="137"/>
      <c r="EH326" s="137"/>
      <c r="EI326" s="137"/>
      <c r="EJ326" s="137">
        <f t="shared" si="348"/>
        <v>1</v>
      </c>
      <c r="EK326" s="125">
        <f t="shared" si="342"/>
        <v>0</v>
      </c>
      <c r="EL326" s="125">
        <f t="shared" si="343"/>
        <v>0</v>
      </c>
    </row>
    <row r="327" spans="2:142" ht="15.75" x14ac:dyDescent="0.2">
      <c r="B327" s="160">
        <f t="shared" si="344"/>
        <v>297</v>
      </c>
      <c r="C327" s="290">
        <v>1001348215</v>
      </c>
      <c r="D327" s="290">
        <v>1001275690</v>
      </c>
      <c r="E327" s="290">
        <v>40000564</v>
      </c>
      <c r="F327" s="118">
        <f>IF(OR(J327="",H327=""),"",VLOOKUP(J327,'הזנה לסיווג רשויות'!$B$2:$D$301,2,0))</f>
        <v>20000201</v>
      </c>
      <c r="G327" s="118" t="str">
        <f>IF(OR(J327="",H327=""),"",VLOOKUP(J327,'הזנה לסיווג רשויות'!$B$2:$D$301,3,0))</f>
        <v>תל אביב -יפו</v>
      </c>
      <c r="H327" s="293" t="s">
        <v>731</v>
      </c>
      <c r="I327" s="201" t="s">
        <v>379</v>
      </c>
      <c r="J327" s="294">
        <v>5000</v>
      </c>
      <c r="K327" s="161">
        <v>0</v>
      </c>
      <c r="L327" s="161">
        <v>1</v>
      </c>
      <c r="M327" s="161">
        <v>0</v>
      </c>
      <c r="N327" s="161">
        <v>0</v>
      </c>
      <c r="O327" s="161">
        <v>1</v>
      </c>
      <c r="P327" s="161">
        <v>1</v>
      </c>
      <c r="Q327" s="161">
        <v>1</v>
      </c>
      <c r="R327" s="201">
        <v>49871</v>
      </c>
      <c r="S327" s="201">
        <v>49871</v>
      </c>
      <c r="T327" s="160">
        <f>IF(G327="","",IFERROR(IF(S327/R327&gt;'פרמטרים לקריטריונים'!$C$20,1,0),0))</f>
        <v>1</v>
      </c>
      <c r="U327" s="296">
        <v>16231</v>
      </c>
      <c r="V327" s="160">
        <f>IF(G327="","",IFERROR(IF(U327/R327&gt;'פרמטרים לקריטריונים'!$C$21,1,IF(AND(I327=$BW$5,U327/R327&gt;'פרמטרים לקריטריונים'!$C$22),1,0)),0))</f>
        <v>1</v>
      </c>
      <c r="W327" s="161">
        <v>1</v>
      </c>
      <c r="X327" s="161">
        <v>1</v>
      </c>
      <c r="Y327" s="299">
        <v>150000</v>
      </c>
      <c r="Z327" s="300">
        <v>150000</v>
      </c>
      <c r="AA327" s="161">
        <f t="shared" si="345"/>
        <v>1</v>
      </c>
      <c r="AB327" s="161"/>
      <c r="AC327" s="161"/>
      <c r="AD327" s="161"/>
      <c r="AE327" s="161"/>
      <c r="AF327" s="161"/>
      <c r="AG327" s="161"/>
      <c r="AH327" s="161"/>
      <c r="AI327" s="161"/>
      <c r="AJ327" s="161"/>
      <c r="AK327" s="161"/>
      <c r="AL327" s="161"/>
      <c r="AM327" s="161"/>
      <c r="AN327" s="161"/>
      <c r="AO327" s="161"/>
      <c r="AP327" s="161"/>
      <c r="AQ327" s="161"/>
      <c r="AR327" s="161"/>
      <c r="AS327" s="161"/>
      <c r="AT327" s="161"/>
      <c r="AU327" s="161"/>
      <c r="AV327" s="161"/>
      <c r="AW327" s="160"/>
      <c r="AX327" s="161"/>
      <c r="AY327" s="161"/>
      <c r="AZ327" s="161"/>
      <c r="BA327" s="161"/>
      <c r="BB327" s="161"/>
      <c r="BC327" s="161"/>
      <c r="BD327" s="161"/>
      <c r="BE327" s="161"/>
      <c r="BF327" s="160" t="str">
        <f t="shared" si="346"/>
        <v/>
      </c>
      <c r="BG327" s="160"/>
      <c r="BH327" s="160"/>
      <c r="BI327" s="160"/>
      <c r="BJ327" s="160"/>
      <c r="BK327" s="160"/>
      <c r="BL327" s="162">
        <f t="shared" si="297"/>
        <v>1</v>
      </c>
      <c r="BM327" s="257"/>
      <c r="BN327" s="163"/>
      <c r="BO327" s="211" t="str">
        <f t="shared" si="298"/>
        <v>עמותת הכוריאוגרפים (ע"ר)יוצרים עצמאיים במחול</v>
      </c>
      <c r="BP327" s="125">
        <f t="shared" si="299"/>
        <v>1</v>
      </c>
      <c r="BQ327" s="164">
        <v>0</v>
      </c>
      <c r="BR327" s="164">
        <v>1</v>
      </c>
      <c r="BS327" s="149">
        <f t="shared" si="300"/>
        <v>1</v>
      </c>
      <c r="BT327" s="149">
        <f t="shared" si="301"/>
        <v>1</v>
      </c>
      <c r="BU327" s="149">
        <f t="shared" si="302"/>
        <v>1</v>
      </c>
      <c r="BV327" s="149">
        <f t="shared" si="303"/>
        <v>1</v>
      </c>
      <c r="BW327" s="149">
        <f t="shared" si="304"/>
        <v>1</v>
      </c>
      <c r="BX327" s="149">
        <f t="shared" si="305"/>
        <v>1</v>
      </c>
      <c r="BY327" s="149">
        <f t="shared" si="306"/>
        <v>1</v>
      </c>
      <c r="BZ327" s="149">
        <f t="shared" si="307"/>
        <v>1</v>
      </c>
      <c r="CA327" s="149">
        <f t="shared" si="308"/>
        <v>1</v>
      </c>
      <c r="CB327" s="149">
        <f t="shared" si="309"/>
        <v>1</v>
      </c>
      <c r="CC327" s="149">
        <f t="shared" si="310"/>
        <v>1</v>
      </c>
      <c r="CD327" s="149">
        <f t="shared" si="311"/>
        <v>1</v>
      </c>
      <c r="CE327" s="149">
        <f t="shared" si="312"/>
        <v>1</v>
      </c>
      <c r="CF327" s="149">
        <f t="shared" si="313"/>
        <v>1</v>
      </c>
      <c r="CG327" s="149">
        <f t="shared" si="314"/>
        <v>1</v>
      </c>
      <c r="CH327" s="149">
        <f t="shared" si="315"/>
        <v>1</v>
      </c>
      <c r="CI327" s="149">
        <f t="shared" si="316"/>
        <v>1</v>
      </c>
      <c r="CJ327" s="149">
        <f t="shared" si="317"/>
        <v>1</v>
      </c>
      <c r="CK327" s="149">
        <f t="shared" si="318"/>
        <v>1</v>
      </c>
      <c r="CL327" s="149">
        <f t="shared" si="319"/>
        <v>1</v>
      </c>
      <c r="CM327" s="149">
        <f t="shared" si="320"/>
        <v>1</v>
      </c>
      <c r="CN327" s="149">
        <f t="shared" si="321"/>
        <v>1</v>
      </c>
      <c r="CO327" s="149">
        <f t="shared" si="322"/>
        <v>1</v>
      </c>
      <c r="CP327" s="149">
        <f t="shared" si="323"/>
        <v>1</v>
      </c>
      <c r="CQ327" s="149">
        <f t="shared" si="324"/>
        <v>1</v>
      </c>
      <c r="CR327" s="149">
        <f t="shared" si="325"/>
        <v>1</v>
      </c>
      <c r="CS327" s="149">
        <f t="shared" si="326"/>
        <v>1</v>
      </c>
      <c r="CT327" s="149">
        <f t="shared" si="327"/>
        <v>1</v>
      </c>
      <c r="CU327" s="149">
        <f t="shared" si="328"/>
        <v>1</v>
      </c>
      <c r="CV327" s="149">
        <f t="shared" si="329"/>
        <v>1</v>
      </c>
      <c r="CW327" s="149">
        <f t="shared" si="330"/>
        <v>1</v>
      </c>
      <c r="CX327" s="149">
        <f t="shared" si="331"/>
        <v>1</v>
      </c>
      <c r="CY327" s="149">
        <f t="shared" si="332"/>
        <v>1</v>
      </c>
      <c r="CZ327" s="149">
        <f t="shared" si="333"/>
        <v>1</v>
      </c>
      <c r="DA327" s="149">
        <f t="shared" si="334"/>
        <v>1</v>
      </c>
      <c r="DB327" s="149">
        <f t="shared" si="335"/>
        <v>1</v>
      </c>
      <c r="DG327" s="125">
        <f t="shared" si="296"/>
        <v>1</v>
      </c>
      <c r="DH327" s="125">
        <f t="shared" si="350"/>
        <v>2</v>
      </c>
      <c r="DI327" s="125">
        <f t="shared" si="350"/>
        <v>3</v>
      </c>
      <c r="DJ327" s="125">
        <f t="shared" si="350"/>
        <v>4</v>
      </c>
      <c r="DK327" s="125">
        <f t="shared" si="350"/>
        <v>5</v>
      </c>
      <c r="DL327" s="125">
        <f t="shared" si="350"/>
        <v>6</v>
      </c>
      <c r="DM327" s="125">
        <f t="shared" si="350"/>
        <v>7</v>
      </c>
      <c r="DN327" s="125">
        <f t="shared" si="350"/>
        <v>8</v>
      </c>
      <c r="DO327" s="125">
        <f t="shared" si="350"/>
        <v>9</v>
      </c>
      <c r="DP327" s="125">
        <f t="shared" si="350"/>
        <v>10</v>
      </c>
      <c r="DS327" s="137"/>
      <c r="DT327" s="137"/>
      <c r="DU327" s="137"/>
      <c r="DV327" s="137" t="b">
        <f t="shared" si="336"/>
        <v>0</v>
      </c>
      <c r="DW327" s="137" t="b">
        <f t="shared" si="337"/>
        <v>0</v>
      </c>
      <c r="DX327" s="137" t="b">
        <f t="shared" si="338"/>
        <v>1</v>
      </c>
      <c r="EB327" s="131">
        <f t="shared" si="347"/>
        <v>1</v>
      </c>
      <c r="EC327" s="137" t="b">
        <f t="shared" si="339"/>
        <v>0</v>
      </c>
      <c r="ED327" s="137" t="b">
        <f t="shared" si="340"/>
        <v>0</v>
      </c>
      <c r="EE327" s="137" t="b">
        <f t="shared" si="341"/>
        <v>1</v>
      </c>
      <c r="EF327" s="137"/>
      <c r="EG327" s="137"/>
      <c r="EH327" s="137"/>
      <c r="EI327" s="137"/>
      <c r="EJ327" s="137">
        <f t="shared" si="348"/>
        <v>1</v>
      </c>
      <c r="EK327" s="125">
        <f t="shared" si="342"/>
        <v>0</v>
      </c>
      <c r="EL327" s="125">
        <f t="shared" si="343"/>
        <v>0</v>
      </c>
    </row>
    <row r="328" spans="2:142" ht="15.75" x14ac:dyDescent="0.2">
      <c r="B328" s="160">
        <f t="shared" si="344"/>
        <v>298</v>
      </c>
      <c r="C328" s="290">
        <v>1001348216</v>
      </c>
      <c r="D328" s="290">
        <v>1001273592</v>
      </c>
      <c r="E328" s="290">
        <v>40000564</v>
      </c>
      <c r="F328" s="118">
        <f>IF(OR(J328="",H328=""),"",VLOOKUP(J328,'הזנה לסיווג רשויות'!$B$2:$D$301,2,0))</f>
        <v>20000201</v>
      </c>
      <c r="G328" s="118" t="str">
        <f>IF(OR(J328="",H328=""),"",VLOOKUP(J328,'הזנה לסיווג רשויות'!$B$2:$D$301,3,0))</f>
        <v>תל אביב -יפו</v>
      </c>
      <c r="H328" s="293" t="s">
        <v>731</v>
      </c>
      <c r="I328" s="201" t="s">
        <v>379</v>
      </c>
      <c r="J328" s="294">
        <v>5000</v>
      </c>
      <c r="K328" s="161">
        <v>0</v>
      </c>
      <c r="L328" s="161">
        <v>1</v>
      </c>
      <c r="M328" s="161">
        <v>0</v>
      </c>
      <c r="N328" s="161">
        <v>0</v>
      </c>
      <c r="O328" s="161">
        <v>1</v>
      </c>
      <c r="P328" s="161">
        <v>1</v>
      </c>
      <c r="Q328" s="161">
        <v>1</v>
      </c>
      <c r="R328" s="201">
        <v>157939</v>
      </c>
      <c r="S328" s="201">
        <v>53335</v>
      </c>
      <c r="T328" s="160">
        <f>IF(G328="","",IFERROR(IF(S328/R328&gt;'פרמטרים לקריטריונים'!$C$20,1,0),0))</f>
        <v>1</v>
      </c>
      <c r="U328" s="296">
        <v>53335</v>
      </c>
      <c r="V328" s="160">
        <f>IF(G328="","",IFERROR(IF(U328/R328&gt;'פרמטרים לקריטריונים'!$C$21,1,IF(AND(I328=$BW$5,U328/R328&gt;'פרמטרים לקריטריונים'!$C$22),1,0)),0))</f>
        <v>1</v>
      </c>
      <c r="W328" s="161">
        <v>1</v>
      </c>
      <c r="X328" s="161">
        <v>1</v>
      </c>
      <c r="Y328" s="299">
        <v>150000</v>
      </c>
      <c r="Z328" s="300">
        <v>150000</v>
      </c>
      <c r="AA328" s="161">
        <f t="shared" si="345"/>
        <v>1</v>
      </c>
      <c r="AB328" s="161"/>
      <c r="AC328" s="161"/>
      <c r="AD328" s="161"/>
      <c r="AE328" s="161"/>
      <c r="AF328" s="161"/>
      <c r="AG328" s="161"/>
      <c r="AH328" s="161"/>
      <c r="AI328" s="161"/>
      <c r="AJ328" s="161"/>
      <c r="AK328" s="161"/>
      <c r="AL328" s="161"/>
      <c r="AM328" s="161"/>
      <c r="AN328" s="161"/>
      <c r="AO328" s="161"/>
      <c r="AP328" s="161"/>
      <c r="AQ328" s="161"/>
      <c r="AR328" s="161"/>
      <c r="AS328" s="161"/>
      <c r="AT328" s="161"/>
      <c r="AU328" s="161"/>
      <c r="AV328" s="161"/>
      <c r="AW328" s="160"/>
      <c r="AX328" s="161"/>
      <c r="AY328" s="161"/>
      <c r="AZ328" s="161"/>
      <c r="BA328" s="161"/>
      <c r="BB328" s="161"/>
      <c r="BC328" s="161"/>
      <c r="BD328" s="161"/>
      <c r="BE328" s="161"/>
      <c r="BF328" s="160" t="str">
        <f t="shared" si="346"/>
        <v/>
      </c>
      <c r="BG328" s="160"/>
      <c r="BH328" s="160"/>
      <c r="BI328" s="160"/>
      <c r="BJ328" s="160"/>
      <c r="BK328" s="160"/>
      <c r="BL328" s="162">
        <f t="shared" si="297"/>
        <v>1</v>
      </c>
      <c r="BM328" s="257"/>
      <c r="BN328" s="163"/>
      <c r="BO328" s="211" t="str">
        <f t="shared" si="298"/>
        <v>עמותת הכוריאוגרפים (ע"ר)יוצרים עצמאיים במחול</v>
      </c>
      <c r="BP328" s="125">
        <f t="shared" si="299"/>
        <v>1</v>
      </c>
      <c r="BQ328" s="164">
        <v>0</v>
      </c>
      <c r="BR328" s="164">
        <v>1</v>
      </c>
      <c r="BS328" s="149">
        <f t="shared" si="300"/>
        <v>1</v>
      </c>
      <c r="BT328" s="149">
        <f t="shared" si="301"/>
        <v>1</v>
      </c>
      <c r="BU328" s="149">
        <f t="shared" si="302"/>
        <v>1</v>
      </c>
      <c r="BV328" s="149">
        <f t="shared" si="303"/>
        <v>1</v>
      </c>
      <c r="BW328" s="149">
        <f t="shared" si="304"/>
        <v>1</v>
      </c>
      <c r="BX328" s="149">
        <f t="shared" si="305"/>
        <v>1</v>
      </c>
      <c r="BY328" s="149">
        <f t="shared" si="306"/>
        <v>1</v>
      </c>
      <c r="BZ328" s="149">
        <f t="shared" si="307"/>
        <v>1</v>
      </c>
      <c r="CA328" s="149">
        <f t="shared" si="308"/>
        <v>1</v>
      </c>
      <c r="CB328" s="149">
        <f t="shared" si="309"/>
        <v>1</v>
      </c>
      <c r="CC328" s="149">
        <f t="shared" si="310"/>
        <v>1</v>
      </c>
      <c r="CD328" s="149">
        <f t="shared" si="311"/>
        <v>1</v>
      </c>
      <c r="CE328" s="149">
        <f t="shared" si="312"/>
        <v>1</v>
      </c>
      <c r="CF328" s="149">
        <f t="shared" si="313"/>
        <v>1</v>
      </c>
      <c r="CG328" s="149">
        <f t="shared" si="314"/>
        <v>1</v>
      </c>
      <c r="CH328" s="149">
        <f t="shared" si="315"/>
        <v>1</v>
      </c>
      <c r="CI328" s="149">
        <f t="shared" si="316"/>
        <v>1</v>
      </c>
      <c r="CJ328" s="149">
        <f t="shared" si="317"/>
        <v>1</v>
      </c>
      <c r="CK328" s="149">
        <f t="shared" si="318"/>
        <v>1</v>
      </c>
      <c r="CL328" s="149">
        <f t="shared" si="319"/>
        <v>1</v>
      </c>
      <c r="CM328" s="149">
        <f t="shared" si="320"/>
        <v>1</v>
      </c>
      <c r="CN328" s="149">
        <f t="shared" si="321"/>
        <v>1</v>
      </c>
      <c r="CO328" s="149">
        <f t="shared" si="322"/>
        <v>1</v>
      </c>
      <c r="CP328" s="149">
        <f t="shared" si="323"/>
        <v>1</v>
      </c>
      <c r="CQ328" s="149">
        <f t="shared" si="324"/>
        <v>1</v>
      </c>
      <c r="CR328" s="149">
        <f t="shared" si="325"/>
        <v>1</v>
      </c>
      <c r="CS328" s="149">
        <f t="shared" si="326"/>
        <v>1</v>
      </c>
      <c r="CT328" s="149">
        <f t="shared" si="327"/>
        <v>1</v>
      </c>
      <c r="CU328" s="149">
        <f t="shared" si="328"/>
        <v>1</v>
      </c>
      <c r="CV328" s="149">
        <f t="shared" si="329"/>
        <v>1</v>
      </c>
      <c r="CW328" s="149">
        <f t="shared" si="330"/>
        <v>1</v>
      </c>
      <c r="CX328" s="149">
        <f t="shared" si="331"/>
        <v>1</v>
      </c>
      <c r="CY328" s="149">
        <f t="shared" si="332"/>
        <v>1</v>
      </c>
      <c r="CZ328" s="149">
        <f t="shared" si="333"/>
        <v>1</v>
      </c>
      <c r="DA328" s="149">
        <f t="shared" si="334"/>
        <v>1</v>
      </c>
      <c r="DB328" s="149">
        <f t="shared" si="335"/>
        <v>1</v>
      </c>
      <c r="DG328" s="125">
        <f t="shared" si="296"/>
        <v>1</v>
      </c>
      <c r="DH328" s="125">
        <f t="shared" si="350"/>
        <v>2</v>
      </c>
      <c r="DI328" s="125">
        <f t="shared" si="350"/>
        <v>3</v>
      </c>
      <c r="DJ328" s="125">
        <f t="shared" si="350"/>
        <v>4</v>
      </c>
      <c r="DK328" s="125">
        <f t="shared" si="350"/>
        <v>5</v>
      </c>
      <c r="DL328" s="125">
        <f t="shared" si="350"/>
        <v>6</v>
      </c>
      <c r="DM328" s="125">
        <f t="shared" si="350"/>
        <v>7</v>
      </c>
      <c r="DN328" s="125">
        <f t="shared" si="350"/>
        <v>8</v>
      </c>
      <c r="DO328" s="125">
        <f t="shared" si="350"/>
        <v>9</v>
      </c>
      <c r="DP328" s="125">
        <f t="shared" si="350"/>
        <v>10</v>
      </c>
      <c r="DS328" s="137"/>
      <c r="DT328" s="137"/>
      <c r="DU328" s="137"/>
      <c r="DV328" s="137" t="b">
        <f t="shared" si="336"/>
        <v>0</v>
      </c>
      <c r="DW328" s="137" t="b">
        <f t="shared" si="337"/>
        <v>0</v>
      </c>
      <c r="DX328" s="137" t="b">
        <f t="shared" si="338"/>
        <v>1</v>
      </c>
      <c r="EB328" s="131">
        <f t="shared" si="347"/>
        <v>1</v>
      </c>
      <c r="EC328" s="137" t="b">
        <f t="shared" si="339"/>
        <v>0</v>
      </c>
      <c r="ED328" s="137" t="b">
        <f t="shared" si="340"/>
        <v>0</v>
      </c>
      <c r="EE328" s="137" t="b">
        <f t="shared" si="341"/>
        <v>1</v>
      </c>
      <c r="EF328" s="137"/>
      <c r="EG328" s="137"/>
      <c r="EH328" s="137"/>
      <c r="EI328" s="137"/>
      <c r="EJ328" s="137">
        <f t="shared" si="348"/>
        <v>1</v>
      </c>
      <c r="EK328" s="125">
        <f t="shared" si="342"/>
        <v>0</v>
      </c>
      <c r="EL328" s="125">
        <f t="shared" si="343"/>
        <v>0</v>
      </c>
    </row>
    <row r="329" spans="2:142" ht="15.75" x14ac:dyDescent="0.2">
      <c r="B329" s="160">
        <f t="shared" si="344"/>
        <v>299</v>
      </c>
      <c r="C329" s="290">
        <v>1001348217</v>
      </c>
      <c r="D329" s="290">
        <v>1001272602</v>
      </c>
      <c r="E329" s="290">
        <v>40000564</v>
      </c>
      <c r="F329" s="118">
        <f>IF(OR(J329="",H329=""),"",VLOOKUP(J329,'הזנה לסיווג רשויות'!$B$2:$D$301,2,0))</f>
        <v>20000201</v>
      </c>
      <c r="G329" s="118" t="str">
        <f>IF(OR(J329="",H329=""),"",VLOOKUP(J329,'הזנה לסיווג רשויות'!$B$2:$D$301,3,0))</f>
        <v>תל אביב -יפו</v>
      </c>
      <c r="H329" s="293" t="s">
        <v>731</v>
      </c>
      <c r="I329" s="201" t="s">
        <v>379</v>
      </c>
      <c r="J329" s="294">
        <v>5000</v>
      </c>
      <c r="K329" s="161">
        <v>0</v>
      </c>
      <c r="L329" s="161">
        <v>1</v>
      </c>
      <c r="M329" s="161">
        <v>0</v>
      </c>
      <c r="N329" s="161">
        <v>0</v>
      </c>
      <c r="O329" s="161">
        <v>1</v>
      </c>
      <c r="P329" s="161">
        <v>1</v>
      </c>
      <c r="Q329" s="161">
        <v>1</v>
      </c>
      <c r="R329" s="201">
        <v>318653</v>
      </c>
      <c r="S329" s="201">
        <v>240541</v>
      </c>
      <c r="T329" s="160">
        <f>IF(G329="","",IFERROR(IF(S329/R329&gt;'פרמטרים לקריטריונים'!$C$20,1,0),0))</f>
        <v>1</v>
      </c>
      <c r="U329" s="296">
        <v>240541</v>
      </c>
      <c r="V329" s="160">
        <f>IF(G329="","",IFERROR(IF(U329/R329&gt;'פרמטרים לקריטריונים'!$C$21,1,IF(AND(I329=$BW$5,U329/R329&gt;'פרמטרים לקריטריונים'!$C$22),1,0)),0))</f>
        <v>1</v>
      </c>
      <c r="W329" s="161">
        <v>1</v>
      </c>
      <c r="X329" s="161">
        <v>1</v>
      </c>
      <c r="Y329" s="299">
        <v>150000</v>
      </c>
      <c r="Z329" s="300">
        <v>150000</v>
      </c>
      <c r="AA329" s="161">
        <f t="shared" si="345"/>
        <v>1</v>
      </c>
      <c r="AB329" s="161"/>
      <c r="AC329" s="161"/>
      <c r="AD329" s="161"/>
      <c r="AE329" s="161"/>
      <c r="AF329" s="161"/>
      <c r="AG329" s="161"/>
      <c r="AH329" s="161"/>
      <c r="AI329" s="161"/>
      <c r="AJ329" s="161"/>
      <c r="AK329" s="161"/>
      <c r="AL329" s="161"/>
      <c r="AM329" s="161"/>
      <c r="AN329" s="161"/>
      <c r="AO329" s="161"/>
      <c r="AP329" s="161"/>
      <c r="AQ329" s="161"/>
      <c r="AR329" s="161"/>
      <c r="AS329" s="161"/>
      <c r="AT329" s="161"/>
      <c r="AU329" s="161"/>
      <c r="AV329" s="161"/>
      <c r="AW329" s="160"/>
      <c r="AX329" s="161"/>
      <c r="AY329" s="161"/>
      <c r="AZ329" s="161"/>
      <c r="BA329" s="161"/>
      <c r="BB329" s="161"/>
      <c r="BC329" s="161"/>
      <c r="BD329" s="161"/>
      <c r="BE329" s="161"/>
      <c r="BF329" s="160" t="str">
        <f t="shared" si="346"/>
        <v/>
      </c>
      <c r="BG329" s="160"/>
      <c r="BH329" s="160"/>
      <c r="BI329" s="160"/>
      <c r="BJ329" s="160"/>
      <c r="BK329" s="160"/>
      <c r="BL329" s="162">
        <f t="shared" si="297"/>
        <v>1</v>
      </c>
      <c r="BM329" s="257"/>
      <c r="BN329" s="163"/>
      <c r="BO329" s="211" t="str">
        <f t="shared" si="298"/>
        <v>עמותת הכוריאוגרפים (ע"ר)יוצרים עצמאיים במחול</v>
      </c>
      <c r="BP329" s="125">
        <f t="shared" si="299"/>
        <v>1</v>
      </c>
      <c r="BQ329" s="164">
        <v>0</v>
      </c>
      <c r="BR329" s="164">
        <v>1</v>
      </c>
      <c r="BS329" s="149">
        <f t="shared" si="300"/>
        <v>1</v>
      </c>
      <c r="BT329" s="149">
        <f t="shared" si="301"/>
        <v>1</v>
      </c>
      <c r="BU329" s="149">
        <f t="shared" si="302"/>
        <v>1</v>
      </c>
      <c r="BV329" s="149">
        <f t="shared" si="303"/>
        <v>1</v>
      </c>
      <c r="BW329" s="149">
        <f t="shared" si="304"/>
        <v>1</v>
      </c>
      <c r="BX329" s="149">
        <f t="shared" si="305"/>
        <v>1</v>
      </c>
      <c r="BY329" s="149">
        <f t="shared" si="306"/>
        <v>1</v>
      </c>
      <c r="BZ329" s="149">
        <f t="shared" si="307"/>
        <v>1</v>
      </c>
      <c r="CA329" s="149">
        <f t="shared" si="308"/>
        <v>1</v>
      </c>
      <c r="CB329" s="149">
        <f t="shared" si="309"/>
        <v>1</v>
      </c>
      <c r="CC329" s="149">
        <f t="shared" si="310"/>
        <v>1</v>
      </c>
      <c r="CD329" s="149">
        <f t="shared" si="311"/>
        <v>1</v>
      </c>
      <c r="CE329" s="149">
        <f t="shared" si="312"/>
        <v>1</v>
      </c>
      <c r="CF329" s="149">
        <f t="shared" si="313"/>
        <v>1</v>
      </c>
      <c r="CG329" s="149">
        <f t="shared" si="314"/>
        <v>1</v>
      </c>
      <c r="CH329" s="149">
        <f t="shared" si="315"/>
        <v>1</v>
      </c>
      <c r="CI329" s="149">
        <f t="shared" si="316"/>
        <v>1</v>
      </c>
      <c r="CJ329" s="149">
        <f t="shared" si="317"/>
        <v>1</v>
      </c>
      <c r="CK329" s="149">
        <f t="shared" si="318"/>
        <v>1</v>
      </c>
      <c r="CL329" s="149">
        <f t="shared" si="319"/>
        <v>1</v>
      </c>
      <c r="CM329" s="149">
        <f t="shared" si="320"/>
        <v>1</v>
      </c>
      <c r="CN329" s="149">
        <f t="shared" si="321"/>
        <v>1</v>
      </c>
      <c r="CO329" s="149">
        <f t="shared" si="322"/>
        <v>1</v>
      </c>
      <c r="CP329" s="149">
        <f t="shared" si="323"/>
        <v>1</v>
      </c>
      <c r="CQ329" s="149">
        <f t="shared" si="324"/>
        <v>1</v>
      </c>
      <c r="CR329" s="149">
        <f t="shared" si="325"/>
        <v>1</v>
      </c>
      <c r="CS329" s="149">
        <f t="shared" si="326"/>
        <v>1</v>
      </c>
      <c r="CT329" s="149">
        <f t="shared" si="327"/>
        <v>1</v>
      </c>
      <c r="CU329" s="149">
        <f t="shared" si="328"/>
        <v>1</v>
      </c>
      <c r="CV329" s="149">
        <f t="shared" si="329"/>
        <v>1</v>
      </c>
      <c r="CW329" s="149">
        <f t="shared" si="330"/>
        <v>1</v>
      </c>
      <c r="CX329" s="149">
        <f t="shared" si="331"/>
        <v>1</v>
      </c>
      <c r="CY329" s="149">
        <f t="shared" si="332"/>
        <v>1</v>
      </c>
      <c r="CZ329" s="149">
        <f t="shared" si="333"/>
        <v>1</v>
      </c>
      <c r="DA329" s="149">
        <f t="shared" si="334"/>
        <v>1</v>
      </c>
      <c r="DB329" s="149">
        <f t="shared" si="335"/>
        <v>1</v>
      </c>
      <c r="DG329" s="125">
        <f t="shared" si="296"/>
        <v>1</v>
      </c>
      <c r="DH329" s="125">
        <f t="shared" si="350"/>
        <v>2</v>
      </c>
      <c r="DI329" s="125">
        <f t="shared" si="350"/>
        <v>3</v>
      </c>
      <c r="DJ329" s="125">
        <f t="shared" si="350"/>
        <v>4</v>
      </c>
      <c r="DK329" s="125">
        <f t="shared" si="350"/>
        <v>5</v>
      </c>
      <c r="DL329" s="125">
        <f t="shared" si="350"/>
        <v>6</v>
      </c>
      <c r="DM329" s="125">
        <f t="shared" si="350"/>
        <v>7</v>
      </c>
      <c r="DN329" s="125">
        <f t="shared" si="350"/>
        <v>8</v>
      </c>
      <c r="DO329" s="125">
        <f t="shared" si="350"/>
        <v>9</v>
      </c>
      <c r="DP329" s="125">
        <f t="shared" si="350"/>
        <v>10</v>
      </c>
      <c r="DS329" s="137"/>
      <c r="DT329" s="137"/>
      <c r="DU329" s="137"/>
      <c r="DV329" s="137" t="b">
        <f t="shared" si="336"/>
        <v>0</v>
      </c>
      <c r="DW329" s="137" t="b">
        <f t="shared" si="337"/>
        <v>0</v>
      </c>
      <c r="DX329" s="137" t="b">
        <f t="shared" si="338"/>
        <v>1</v>
      </c>
      <c r="EB329" s="131">
        <f t="shared" si="347"/>
        <v>1</v>
      </c>
      <c r="EC329" s="137" t="b">
        <f t="shared" si="339"/>
        <v>0</v>
      </c>
      <c r="ED329" s="137" t="b">
        <f t="shared" si="340"/>
        <v>0</v>
      </c>
      <c r="EE329" s="137" t="b">
        <f t="shared" si="341"/>
        <v>1</v>
      </c>
      <c r="EF329" s="137"/>
      <c r="EG329" s="137"/>
      <c r="EH329" s="137"/>
      <c r="EI329" s="137"/>
      <c r="EJ329" s="137">
        <f t="shared" si="348"/>
        <v>1</v>
      </c>
      <c r="EK329" s="125">
        <f t="shared" si="342"/>
        <v>0</v>
      </c>
      <c r="EL329" s="125">
        <f t="shared" si="343"/>
        <v>0</v>
      </c>
    </row>
    <row r="330" spans="2:142" ht="15.75" x14ac:dyDescent="0.2">
      <c r="B330" s="160">
        <f t="shared" ref="B330:B393" si="351">IF(G330="","",ROW()-30)</f>
        <v>300</v>
      </c>
      <c r="C330" s="290">
        <v>1001348219</v>
      </c>
      <c r="D330" s="290">
        <v>1001272603</v>
      </c>
      <c r="E330" s="290">
        <v>40000564</v>
      </c>
      <c r="F330" s="118">
        <f>IF(OR(J330="",H330=""),"",VLOOKUP(J330,'הזנה לסיווג רשויות'!$B$2:$D$301,2,0))</f>
        <v>20000201</v>
      </c>
      <c r="G330" s="118" t="str">
        <f>IF(OR(J330="",H330=""),"",VLOOKUP(J330,'הזנה לסיווג רשויות'!$B$2:$D$301,3,0))</f>
        <v>תל אביב -יפו</v>
      </c>
      <c r="H330" s="293" t="s">
        <v>731</v>
      </c>
      <c r="I330" s="201" t="s">
        <v>379</v>
      </c>
      <c r="J330" s="294">
        <v>5000</v>
      </c>
      <c r="K330" s="161">
        <v>0</v>
      </c>
      <c r="L330" s="161">
        <v>1</v>
      </c>
      <c r="M330" s="161">
        <v>0</v>
      </c>
      <c r="N330" s="161">
        <v>0</v>
      </c>
      <c r="O330" s="161">
        <v>1</v>
      </c>
      <c r="P330" s="161">
        <v>1</v>
      </c>
      <c r="Q330" s="161">
        <v>1</v>
      </c>
      <c r="R330" s="201">
        <v>75112</v>
      </c>
      <c r="S330" s="201">
        <v>75112</v>
      </c>
      <c r="T330" s="160">
        <f>IF(G330="","",IFERROR(IF(S330/R330&gt;'פרמטרים לקריטריונים'!$C$20,1,0),0))</f>
        <v>1</v>
      </c>
      <c r="U330" s="296">
        <v>41764</v>
      </c>
      <c r="V330" s="160">
        <f>IF(G330="","",IFERROR(IF(U330/R330&gt;'פרמטרים לקריטריונים'!$C$21,1,IF(AND(I330=$BW$5,U330/R330&gt;'פרמטרים לקריטריונים'!$C$22),1,0)),0))</f>
        <v>1</v>
      </c>
      <c r="W330" s="161">
        <v>1</v>
      </c>
      <c r="X330" s="161">
        <v>1</v>
      </c>
      <c r="Y330" s="299">
        <v>150000</v>
      </c>
      <c r="Z330" s="300">
        <v>150000</v>
      </c>
      <c r="AA330" s="161">
        <f t="shared" si="345"/>
        <v>1</v>
      </c>
      <c r="AB330" s="161"/>
      <c r="AC330" s="161"/>
      <c r="AD330" s="161"/>
      <c r="AE330" s="161"/>
      <c r="AF330" s="161"/>
      <c r="AG330" s="161"/>
      <c r="AH330" s="161"/>
      <c r="AI330" s="161"/>
      <c r="AJ330" s="161"/>
      <c r="AK330" s="161"/>
      <c r="AL330" s="161"/>
      <c r="AM330" s="161"/>
      <c r="AN330" s="161"/>
      <c r="AO330" s="161"/>
      <c r="AP330" s="161"/>
      <c r="AQ330" s="161"/>
      <c r="AR330" s="161"/>
      <c r="AS330" s="161"/>
      <c r="AT330" s="161"/>
      <c r="AU330" s="161"/>
      <c r="AV330" s="161"/>
      <c r="AW330" s="160"/>
      <c r="AX330" s="161"/>
      <c r="AY330" s="161"/>
      <c r="AZ330" s="161"/>
      <c r="BA330" s="161"/>
      <c r="BB330" s="161"/>
      <c r="BC330" s="161"/>
      <c r="BD330" s="161"/>
      <c r="BE330" s="161"/>
      <c r="BF330" s="160" t="str">
        <f t="shared" ref="BF330:BF393" si="352">IFERROR(SUM(AZ330:BE330)/COUNT(AZ330:BE330),"")</f>
        <v/>
      </c>
      <c r="BG330" s="160"/>
      <c r="BH330" s="160"/>
      <c r="BI330" s="160"/>
      <c r="BJ330" s="160"/>
      <c r="BK330" s="160"/>
      <c r="BL330" s="162">
        <f t="shared" ref="BL330:BL393" si="353">IF($G330="","",IF(SUM(N330:O330)=0,0,IF(OR(H330="",I330="",J330="",AA330=0,Y330=""),$BQ$1,IF(BP330&lt;&gt;1,$BQ$1,IF(SUMPRODUCT(--(K330:BG330&gt;=$K$5:$BG$5)*($K$5:$BG$5&lt;&gt;"")*($K$4:$BG$4=1))=COUNTIF($K$4:$BG$4,1),1,0)))))</f>
        <v>1</v>
      </c>
      <c r="BM330" s="257"/>
      <c r="BN330" s="163"/>
      <c r="BO330" s="211" t="str">
        <f t="shared" ref="BO330:BO393" si="354">CONCATENATE(H330,I330)</f>
        <v>עמותת הכוריאוגרפים (ע"ר)יוצרים עצמאיים במחול</v>
      </c>
      <c r="BP330" s="125">
        <f t="shared" ref="BP330:BP393" si="355">IF(OR(SUM(BS330:DB330)&lt;&gt;COUNT(BS330:DB330),SUMPRODUCT(--(N330:BG330=$BQ$1))&lt;&gt;0),0,1)</f>
        <v>1</v>
      </c>
      <c r="BQ330" s="164">
        <v>0</v>
      </c>
      <c r="BR330" s="164">
        <v>1</v>
      </c>
      <c r="BS330" s="149">
        <f t="shared" ref="BS330:BS393" si="356">IF(OR(K$30="",K$4=99),1,IF(K330="",0,IFERROR(CHOOSE(BS$28,IF(ISNA(MATCH(K330,$BQ$30:$BR$30,0)),0,1),IF(ISNUMBER(K330),1,0),IF(K330=TRUNC(K330),1,0),IF(AND(K330*1=K330,K330&gt;=0),1,0),IF(AND(K330=TRUNC(K330),K330&gt;=0),1,0),IF(AND(K330*1=K330,K330&gt;0),1,0),IF(AND(K330=TRUNC(K330),K330&gt;0),1,0),1,IF(ISNA(HLOOKUP(K330,$BT$4:$CD$4,1,0)),0,1)),0)))</f>
        <v>1</v>
      </c>
      <c r="BT330" s="149">
        <f t="shared" ref="BT330:BT393" si="357">IF(OR(L$30="",L$4=99),1,IF(L330="",0,IFERROR(CHOOSE(BT$28,IF(ISNA(MATCH(L330,$BQ$30:$BR$30,0)),0,1),IF(ISNUMBER(L330),1,0),IF(L330=TRUNC(L330),1,0),IF(AND(L330*1=L330,L330&gt;=0),1,0),IF(AND(L330=TRUNC(L330),L330&gt;=0),1,0),IF(AND(L330*1=L330,L330&gt;0),1,0),IF(AND(L330=TRUNC(L330),L330&gt;0),1,0),1,IF(ISNA(HLOOKUP(L330,$BT$4:$CD$4,1,0)),0,1)),0)))</f>
        <v>1</v>
      </c>
      <c r="BU330" s="149">
        <f t="shared" ref="BU330:BU393" si="358">IF(OR(M$30="",M$4=99),1,IF(M330="",0,IFERROR(CHOOSE(BU$28,IF(ISNA(MATCH(M330,$BQ$30:$BR$30,0)),0,1),IF(ISNUMBER(M330),1,0),IF(M330=TRUNC(M330),1,0),IF(AND(M330*1=M330,M330&gt;=0),1,0),IF(AND(M330=TRUNC(M330),M330&gt;=0),1,0),IF(AND(M330*1=M330,M330&gt;0),1,0),IF(AND(M330=TRUNC(M330),M330&gt;0),1,0),1,IF(ISNA(HLOOKUP(M330,$BT$4:$CD$4,1,0)),0,1)),0)))</f>
        <v>1</v>
      </c>
      <c r="BV330" s="149">
        <f t="shared" ref="BV330:BV393" si="359">IF(OR(N$30="",N$4=99),1,IF(N330="",0,IFERROR(CHOOSE(BV$28,IF(ISNA(MATCH(N330,$BQ$30:$BR$30,0)),0,1),IF(ISNUMBER(N330),1,0),IF(N330=TRUNC(N330),1,0),IF(AND(N330*1=N330,N330&gt;=0),1,0),IF(AND(N330=TRUNC(N330),N330&gt;=0),1,0),IF(AND(N330*1=N330,N330&gt;0),1,0),IF(AND(N330=TRUNC(N330),N330&gt;0),1,0),1,IF(ISNA(HLOOKUP(N330,$BT$4:$CD$4,1,0)),0,1)),0)))</f>
        <v>1</v>
      </c>
      <c r="BW330" s="149">
        <f t="shared" ref="BW330:BW393" si="360">IF(OR(O$30="",O$4=99),1,IF(O330="",0,IFERROR(CHOOSE(BW$28,IF(ISNA(MATCH(O330,$BQ$30:$BR$30,0)),0,1),IF(ISNUMBER(O330),1,0),IF(O330=TRUNC(O330),1,0),IF(AND(O330*1=O330,O330&gt;=0),1,0),IF(AND(O330=TRUNC(O330),O330&gt;=0),1,0),IF(AND(O330*1=O330,O330&gt;0),1,0),IF(AND(O330=TRUNC(O330),O330&gt;0),1,0),1,IF(ISNA(HLOOKUP(O330,$BT$4:$CD$4,1,0)),0,1)),0)))</f>
        <v>1</v>
      </c>
      <c r="BX330" s="149">
        <f t="shared" ref="BX330:BX393" si="361">IF(OR(P$30="",P$4=99),1,IF(P330="",0,IFERROR(CHOOSE(BX$28,IF(ISNA(MATCH(P330,$BQ$30:$BR$30,0)),0,1),IF(ISNUMBER(P330),1,0),IF(P330=TRUNC(P330),1,0),IF(AND(P330*1=P330,P330&gt;=0),1,0),IF(AND(P330=TRUNC(P330),P330&gt;=0),1,0),IF(AND(P330*1=P330,P330&gt;0),1,0),IF(AND(P330=TRUNC(P330),P330&gt;0),1,0),1,IF(ISNA(HLOOKUP(P330,$BT$4:$CD$4,1,0)),0,1)),0)))</f>
        <v>1</v>
      </c>
      <c r="BY330" s="149">
        <f t="shared" ref="BY330:BY393" si="362">IF(OR(Q$30="",Q$4=99),1,IF(Q330="",0,IFERROR(CHOOSE(BY$28,IF(ISNA(MATCH(Q330,$BQ$30:$BR$30,0)),0,1),IF(ISNUMBER(Q330),1,0),IF(Q330=TRUNC(Q330),1,0),IF(AND(Q330*1=Q330,Q330&gt;=0),1,0),IF(AND(Q330=TRUNC(Q330),Q330&gt;=0),1,0),IF(AND(Q330*1=Q330,Q330&gt;0),1,0),IF(AND(Q330=TRUNC(Q330),Q330&gt;0),1,0),1,IF(ISNA(HLOOKUP(Q330,$BT$4:$CD$4,1,0)),0,1)),0)))</f>
        <v>1</v>
      </c>
      <c r="BZ330" s="149">
        <f t="shared" ref="BZ330:BZ393" si="363">IF(OR(R$30="",R$4=99),1,IF(R330="",0,IFERROR(CHOOSE(BZ$28,IF(ISNA(MATCH(R330,$BQ$30:$BR$30,0)),0,1),IF(ISNUMBER(R330),1,0),IF(R330=TRUNC(R330),1,0),IF(AND(R330*1=R330,R330&gt;=0),1,0),IF(AND(R330=TRUNC(R330),R330&gt;=0),1,0),IF(AND(R330*1=R330,R330&gt;0),1,0),IF(AND(R330=TRUNC(R330),R330&gt;0),1,0),1,IF(ISNA(HLOOKUP(R330,$BT$4:$CD$4,1,0)),0,1)),0)))</f>
        <v>1</v>
      </c>
      <c r="CA330" s="149">
        <f t="shared" ref="CA330:CA393" si="364">IF(OR(S$30="",S$4=99),1,IF(S330="",0,IFERROR(CHOOSE(CA$28,IF(ISNA(MATCH(S330,$BQ$30:$BR$30,0)),0,1),IF(ISNUMBER(S330),1,0),IF(S330=TRUNC(S330),1,0),IF(AND(S330*1=S330,S330&gt;=0),1,0),IF(AND(S330=TRUNC(S330),S330&gt;=0),1,0),IF(AND(S330*1=S330,S330&gt;0),1,0),IF(AND(S330=TRUNC(S330),S330&gt;0),1,0),1,IF(ISNA(HLOOKUP(S330,$BT$4:$CD$4,1,0)),0,1)),0)))</f>
        <v>1</v>
      </c>
      <c r="CB330" s="149">
        <f t="shared" ref="CB330:CB393" si="365">IF(OR(T$30="",T$4=99),1,IF(T330="",0,IFERROR(CHOOSE(CB$28,IF(ISNA(MATCH(T330,$BQ$30:$BR$30,0)),0,1),IF(ISNUMBER(T330),1,0),IF(T330=TRUNC(T330),1,0),IF(AND(T330*1=T330,T330&gt;=0),1,0),IF(AND(T330=TRUNC(T330),T330&gt;=0),1,0),IF(AND(T330*1=T330,T330&gt;0),1,0),IF(AND(T330=TRUNC(T330),T330&gt;0),1,0),1,IF(ISNA(HLOOKUP(T330,$BT$4:$CD$4,1,0)),0,1)),0)))</f>
        <v>1</v>
      </c>
      <c r="CC330" s="149">
        <f t="shared" ref="CC330:CC393" si="366">IF(OR(U$30="",U$4=99),1,IF(U330="",0,IFERROR(CHOOSE(CC$28,IF(ISNA(MATCH(U330,$BQ$30:$BR$30,0)),0,1),IF(ISNUMBER(U330),1,0),IF(U330=TRUNC(U330),1,0),IF(AND(U330*1=U330,U330&gt;=0),1,0),IF(AND(U330=TRUNC(U330),U330&gt;=0),1,0),IF(AND(U330*1=U330,U330&gt;0),1,0),IF(AND(U330=TRUNC(U330),U330&gt;0),1,0),1,IF(ISNA(HLOOKUP(U330,$BT$4:$CD$4,1,0)),0,1)),0)))</f>
        <v>1</v>
      </c>
      <c r="CD330" s="149">
        <f t="shared" ref="CD330:CD393" si="367">IF(OR(V$30="",V$4=99),1,IF(V330="",0,IFERROR(CHOOSE(CD$28,IF(ISNA(MATCH(V330,$BQ$30:$BR$30,0)),0,1),IF(ISNUMBER(V330),1,0),IF(V330=TRUNC(V330),1,0),IF(AND(V330*1=V330,V330&gt;=0),1,0),IF(AND(V330=TRUNC(V330),V330&gt;=0),1,0),IF(AND(V330*1=V330,V330&gt;0),1,0),IF(AND(V330=TRUNC(V330),V330&gt;0),1,0),1,IF(ISNA(HLOOKUP(V330,$BT$4:$CD$4,1,0)),0,1)),0)))</f>
        <v>1</v>
      </c>
      <c r="CE330" s="149">
        <f t="shared" ref="CE330:CE393" si="368">IF(OR(W$30="",W$4=99),1,IF(W330="",0,IFERROR(CHOOSE(CE$28,IF(ISNA(MATCH(W330,$BQ$30:$BR$30,0)),0,1),IF(ISNUMBER(W330),1,0),IF(W330=TRUNC(W330),1,0),IF(AND(W330*1=W330,W330&gt;=0),1,0),IF(AND(W330=TRUNC(W330),W330&gt;=0),1,0),IF(AND(W330*1=W330,W330&gt;0),1,0),IF(AND(W330=TRUNC(W330),W330&gt;0),1,0),1,IF(ISNA(HLOOKUP(W330,$BT$4:$CD$4,1,0)),0,1)),0)))</f>
        <v>1</v>
      </c>
      <c r="CF330" s="149">
        <f t="shared" ref="CF330:CF393" si="369">IF(OR(X$30="",X$4=99),1,IF(X330="",0,IFERROR(CHOOSE(CF$28,IF(ISNA(MATCH(X330,$BQ$30:$BR$30,0)),0,1),IF(ISNUMBER(X330),1,0),IF(X330=TRUNC(X330),1,0),IF(AND(X330*1=X330,X330&gt;=0),1,0),IF(AND(X330=TRUNC(X330),X330&gt;=0),1,0),IF(AND(X330*1=X330,X330&gt;0),1,0),IF(AND(X330=TRUNC(X330),X330&gt;0),1,0),1,IF(ISNA(HLOOKUP(X330,$BT$4:$CD$4,1,0)),0,1)),0)))</f>
        <v>1</v>
      </c>
      <c r="CG330" s="149">
        <f t="shared" ref="CG330:CG393" si="370">IF(OR(Y$30="",Y$4=99),1,IF(Y330="",0,IFERROR(CHOOSE(CG$28,IF(ISNA(MATCH(Y330,$BQ$30:$BR$30,0)),0,1),IF(ISNUMBER(Y330),1,0),IF(Y330=TRUNC(Y330),1,0),IF(AND(Y330*1=Y330,Y330&gt;=0),1,0),IF(AND(Y330=TRUNC(Y330),Y330&gt;=0),1,0),IF(AND(Y330*1=Y330,Y330&gt;0),1,0),IF(AND(Y330=TRUNC(Y330),Y330&gt;0),1,0),1,IF(ISNA(HLOOKUP(Y330,$BT$4:$CD$4,1,0)),0,1)),0)))</f>
        <v>1</v>
      </c>
      <c r="CH330" s="149">
        <f t="shared" ref="CH330:CH393" si="371">IF(OR(Z$30="",Z$4=99),1,IF(Z330="",0,IFERROR(CHOOSE(CH$28,IF(ISNA(MATCH(Z330,$BQ$30:$BR$30,0)),0,1),IF(ISNUMBER(Z330),1,0),IF(Z330=TRUNC(Z330),1,0),IF(AND(Z330*1=Z330,Z330&gt;=0),1,0),IF(AND(Z330=TRUNC(Z330),Z330&gt;=0),1,0),IF(AND(Z330*1=Z330,Z330&gt;0),1,0),IF(AND(Z330=TRUNC(Z330),Z330&gt;0),1,0),1,IF(ISNA(HLOOKUP(Z330,$BT$4:$CD$4,1,0)),0,1)),0)))</f>
        <v>1</v>
      </c>
      <c r="CI330" s="149">
        <f t="shared" ref="CI330:CI393" si="372">IF(OR(AA$30="",AA$4=99),1,IF(AA330="",0,IFERROR(CHOOSE(CI$28,IF(ISNA(MATCH(AA330,$BQ$30:$BR$30,0)),0,1),IF(ISNUMBER(AA330),1,0),IF(AA330=TRUNC(AA330),1,0),IF(AND(AA330*1=AA330,AA330&gt;=0),1,0),IF(AND(AA330=TRUNC(AA330),AA330&gt;=0),1,0),IF(AND(AA330*1=AA330,AA330&gt;0),1,0),IF(AND(AA330=TRUNC(AA330),AA330&gt;0),1,0),1,IF(ISNA(HLOOKUP(AA330,$BT$4:$CD$4,1,0)),0,1)),0)))</f>
        <v>1</v>
      </c>
      <c r="CJ330" s="149">
        <f t="shared" ref="CJ330:CJ393" si="373">IF(OR(AB$30="",AB$4=99),1,IF(AB330="",0,IFERROR(CHOOSE(CJ$28,IF(ISNA(MATCH(AB330,$BQ$30:$BR$30,0)),0,1),IF(ISNUMBER(AB330),1,0),IF(AB330=TRUNC(AB330),1,0),IF(AND(AB330*1=AB330,AB330&gt;=0),1,0),IF(AND(AB330=TRUNC(AB330),AB330&gt;=0),1,0),IF(AND(AB330*1=AB330,AB330&gt;0),1,0),IF(AND(AB330=TRUNC(AB330),AB330&gt;0),1,0),1,IF(ISNA(HLOOKUP(AB330,$BT$4:$CD$4,1,0)),0,1)),0)))</f>
        <v>1</v>
      </c>
      <c r="CK330" s="149">
        <f t="shared" ref="CK330:CK393" si="374">IF(OR(AC$30="",AC$4=99),1,IF(AC330="",0,IFERROR(CHOOSE(CK$28,IF(ISNA(MATCH(AC330,$BQ$30:$BR$30,0)),0,1),IF(ISNUMBER(AC330),1,0),IF(AC330=TRUNC(AC330),1,0),IF(AND(AC330*1=AC330,AC330&gt;=0),1,0),IF(AND(AC330=TRUNC(AC330),AC330&gt;=0),1,0),IF(AND(AC330*1=AC330,AC330&gt;0),1,0),IF(AND(AC330=TRUNC(AC330),AC330&gt;0),1,0),1,IF(ISNA(HLOOKUP(AC330,$BT$4:$CD$4,1,0)),0,1)),0)))</f>
        <v>1</v>
      </c>
      <c r="CL330" s="149">
        <f t="shared" ref="CL330:CL393" si="375">IF(OR(AD$30="",AD$4=99),1,IF(AD330="",0,IFERROR(CHOOSE(CL$28,IF(ISNA(MATCH(AD330,$BQ$30:$BR$30,0)),0,1),IF(ISNUMBER(AD330),1,0),IF(AD330=TRUNC(AD330),1,0),IF(AND(AD330*1=AD330,AD330&gt;=0),1,0),IF(AND(AD330=TRUNC(AD330),AD330&gt;=0),1,0),IF(AND(AD330*1=AD330,AD330&gt;0),1,0),IF(AND(AD330=TRUNC(AD330),AD330&gt;0),1,0),1,IF(ISNA(HLOOKUP(AD330,$BT$4:$CD$4,1,0)),0,1)),0)))</f>
        <v>1</v>
      </c>
      <c r="CM330" s="149">
        <f t="shared" ref="CM330:CM393" si="376">IF(OR(AE$30="",AE$4=99),1,IF(AE330="",0,IFERROR(CHOOSE(CM$28,IF(ISNA(MATCH(AE330,$BQ$30:$BR$30,0)),0,1),IF(ISNUMBER(AE330),1,0),IF(AE330=TRUNC(AE330),1,0),IF(AND(AE330*1=AE330,AE330&gt;=0),1,0),IF(AND(AE330=TRUNC(AE330),AE330&gt;=0),1,0),IF(AND(AE330*1=AE330,AE330&gt;0),1,0),IF(AND(AE330=TRUNC(AE330),AE330&gt;0),1,0),1,IF(ISNA(HLOOKUP(AE330,$BT$4:$CD$4,1,0)),0,1)),0)))</f>
        <v>1</v>
      </c>
      <c r="CN330" s="149">
        <f t="shared" ref="CN330:CN393" si="377">IF(OR(AF$30="",AF$4=99),1,IF(AF330="",0,IFERROR(CHOOSE(CN$28,IF(ISNA(MATCH(AF330,$BQ$30:$BR$30,0)),0,1),IF(ISNUMBER(AF330),1,0),IF(AF330=TRUNC(AF330),1,0),IF(AND(AF330*1=AF330,AF330&gt;=0),1,0),IF(AND(AF330=TRUNC(AF330),AF330&gt;=0),1,0),IF(AND(AF330*1=AF330,AF330&gt;0),1,0),IF(AND(AF330=TRUNC(AF330),AF330&gt;0),1,0),1,IF(ISNA(HLOOKUP(AF330,$BT$4:$CD$4,1,0)),0,1)),0)))</f>
        <v>1</v>
      </c>
      <c r="CO330" s="149">
        <f t="shared" ref="CO330:CO393" si="378">IF(OR(AG$30="",AG$4=99),1,IF(AG330="",0,IFERROR(CHOOSE(CO$28,IF(ISNA(MATCH(AG330,$BQ$30:$BR$30,0)),0,1),IF(ISNUMBER(AG330),1,0),IF(AG330=TRUNC(AG330),1,0),IF(AND(AG330*1=AG330,AG330&gt;=0),1,0),IF(AND(AG330=TRUNC(AG330),AG330&gt;=0),1,0),IF(AND(AG330*1=AG330,AG330&gt;0),1,0),IF(AND(AG330=TRUNC(AG330),AG330&gt;0),1,0),1,IF(ISNA(HLOOKUP(AG330,$BT$4:$CD$4,1,0)),0,1)),0)))</f>
        <v>1</v>
      </c>
      <c r="CP330" s="149">
        <f t="shared" ref="CP330:CP393" si="379">IF(OR(AH$30="",AH$4=99),1,IF(AH330="",0,IFERROR(CHOOSE(CP$28,IF(ISNA(MATCH(AH330,$BQ$30:$BR$30,0)),0,1),IF(ISNUMBER(AH330),1,0),IF(AH330=TRUNC(AH330),1,0),IF(AND(AH330*1=AH330,AH330&gt;=0),1,0),IF(AND(AH330=TRUNC(AH330),AH330&gt;=0),1,0),IF(AND(AH330*1=AH330,AH330&gt;0),1,0),IF(AND(AH330=TRUNC(AH330),AH330&gt;0),1,0),1,IF(ISNA(HLOOKUP(AH330,$BT$4:$CD$4,1,0)),0,1)),0)))</f>
        <v>1</v>
      </c>
      <c r="CQ330" s="149">
        <f t="shared" ref="CQ330:CQ393" si="380">IF(OR(AI$30="",AI$4=99),1,IF(AI330="",0,IFERROR(CHOOSE(CQ$28,IF(ISNA(MATCH(AI330,$BQ$30:$BR$30,0)),0,1),IF(ISNUMBER(AI330),1,0),IF(AI330=TRUNC(AI330),1,0),IF(AND(AI330*1=AI330,AI330&gt;=0),1,0),IF(AND(AI330=TRUNC(AI330),AI330&gt;=0),1,0),IF(AND(AI330*1=AI330,AI330&gt;0),1,0),IF(AND(AI330=TRUNC(AI330),AI330&gt;0),1,0),1,IF(ISNA(HLOOKUP(AI330,$BT$4:$CD$4,1,0)),0,1)),0)))</f>
        <v>1</v>
      </c>
      <c r="CR330" s="149">
        <f t="shared" ref="CR330:CR393" si="381">IF(OR(AJ$30="",AJ$4=99),1,IF(AJ330="",0,IFERROR(CHOOSE(CR$28,IF(ISNA(MATCH(AJ330,$BQ$30:$BR$30,0)),0,1),IF(ISNUMBER(AJ330),1,0),IF(AJ330=TRUNC(AJ330),1,0),IF(AND(AJ330*1=AJ330,AJ330&gt;=0),1,0),IF(AND(AJ330=TRUNC(AJ330),AJ330&gt;=0),1,0),IF(AND(AJ330*1=AJ330,AJ330&gt;0),1,0),IF(AND(AJ330=TRUNC(AJ330),AJ330&gt;0),1,0),1,IF(ISNA(HLOOKUP(AJ330,$BT$4:$CD$4,1,0)),0,1)),0)))</f>
        <v>1</v>
      </c>
      <c r="CS330" s="149">
        <f t="shared" ref="CS330:CS393" si="382">IF(OR(AK$30="",AK$4=99),1,IF(AK330="",0,IFERROR(CHOOSE(CS$28,IF(ISNA(MATCH(AK330,$BQ$30:$BR$30,0)),0,1),IF(ISNUMBER(AK330),1,0),IF(AK330=TRUNC(AK330),1,0),IF(AND(AK330*1=AK330,AK330&gt;=0),1,0),IF(AND(AK330=TRUNC(AK330),AK330&gt;=0),1,0),IF(AND(AK330*1=AK330,AK330&gt;0),1,0),IF(AND(AK330=TRUNC(AK330),AK330&gt;0),1,0),1,IF(ISNA(HLOOKUP(AK330,$BT$4:$CD$4,1,0)),0,1)),0)))</f>
        <v>1</v>
      </c>
      <c r="CT330" s="149">
        <f t="shared" ref="CT330:CT393" si="383">IF(OR(AL$30="",AL$4=99),1,IF(AL330="",0,IFERROR(CHOOSE(CT$28,IF(ISNA(MATCH(AL330,$BQ$30:$BR$30,0)),0,1),IF(ISNUMBER(AL330),1,0),IF(AL330=TRUNC(AL330),1,0),IF(AND(AL330*1=AL330,AL330&gt;=0),1,0),IF(AND(AL330=TRUNC(AL330),AL330&gt;=0),1,0),IF(AND(AL330*1=AL330,AL330&gt;0),1,0),IF(AND(AL330=TRUNC(AL330),AL330&gt;0),1,0),1,IF(ISNA(HLOOKUP(AL330,$BT$4:$CD$4,1,0)),0,1)),0)))</f>
        <v>1</v>
      </c>
      <c r="CU330" s="149">
        <f t="shared" ref="CU330:CU393" si="384">IF(OR(AM$30="",AM$4=99),1,IF(AM330="",0,IFERROR(CHOOSE(CU$28,IF(ISNA(MATCH(AM330,$BQ$30:$BR$30,0)),0,1),IF(ISNUMBER(AM330),1,0),IF(AM330=TRUNC(AM330),1,0),IF(AND(AM330*1=AM330,AM330&gt;=0),1,0),IF(AND(AM330=TRUNC(AM330),AM330&gt;=0),1,0),IF(AND(AM330*1=AM330,AM330&gt;0),1,0),IF(AND(AM330=TRUNC(AM330),AM330&gt;0),1,0),1,IF(ISNA(HLOOKUP(AM330,$BT$4:$CD$4,1,0)),0,1)),0)))</f>
        <v>1</v>
      </c>
      <c r="CV330" s="149">
        <f t="shared" ref="CV330:CV393" si="385">IF(OR(AN$30="",AN$4=99),1,IF(AN330="",0,IFERROR(CHOOSE(CV$28,IF(ISNA(MATCH(AN330,$BQ$30:$BR$30,0)),0,1),IF(ISNUMBER(AN330),1,0),IF(AN330=TRUNC(AN330),1,0),IF(AND(AN330*1=AN330,AN330&gt;=0),1,0),IF(AND(AN330=TRUNC(AN330),AN330&gt;=0),1,0),IF(AND(AN330*1=AN330,AN330&gt;0),1,0),IF(AND(AN330=TRUNC(AN330),AN330&gt;0),1,0),1,IF(ISNA(HLOOKUP(AN330,$BT$4:$CD$4,1,0)),0,1)),0)))</f>
        <v>1</v>
      </c>
      <c r="CW330" s="149">
        <f t="shared" ref="CW330:CW393" si="386">IF(OR(AO$30="",AO$4=99),1,IF(AO330="",0,IFERROR(CHOOSE(CW$28,IF(ISNA(MATCH(AO330,$BQ$30:$BR$30,0)),0,1),IF(ISNUMBER(AO330),1,0),IF(AO330=TRUNC(AO330),1,0),IF(AND(AO330*1=AO330,AO330&gt;=0),1,0),IF(AND(AO330=TRUNC(AO330),AO330&gt;=0),1,0),IF(AND(AO330*1=AO330,AO330&gt;0),1,0),IF(AND(AO330=TRUNC(AO330),AO330&gt;0),1,0),1,IF(ISNA(HLOOKUP(AO330,$BT$4:$CD$4,1,0)),0,1)),0)))</f>
        <v>1</v>
      </c>
      <c r="CX330" s="149">
        <f t="shared" ref="CX330:CX393" si="387">IF(OR(AP$30="",AP$4=99),1,IF(AP330="",0,IFERROR(CHOOSE(CX$28,IF(ISNA(MATCH(AP330,$BQ$30:$BR$30,0)),0,1),IF(ISNUMBER(AP330),1,0),IF(AP330=TRUNC(AP330),1,0),IF(AND(AP330*1=AP330,AP330&gt;=0),1,0),IF(AND(AP330=TRUNC(AP330),AP330&gt;=0),1,0),IF(AND(AP330*1=AP330,AP330&gt;0),1,0),IF(AND(AP330=TRUNC(AP330),AP330&gt;0),1,0),1,IF(ISNA(HLOOKUP(AP330,$BT$4:$CD$4,1,0)),0,1)),0)))</f>
        <v>1</v>
      </c>
      <c r="CY330" s="149">
        <f t="shared" ref="CY330:CY393" si="388">IF(OR(AQ$30="",AQ$4=99),1,IF(AQ330="",0,IFERROR(CHOOSE(CY$28,IF(ISNA(MATCH(AQ330,$BQ$30:$BR$30,0)),0,1),IF(ISNUMBER(AQ330),1,0),IF(AQ330=TRUNC(AQ330),1,0),IF(AND(AQ330*1=AQ330,AQ330&gt;=0),1,0),IF(AND(AQ330=TRUNC(AQ330),AQ330&gt;=0),1,0),IF(AND(AQ330*1=AQ330,AQ330&gt;0),1,0),IF(AND(AQ330=TRUNC(AQ330),AQ330&gt;0),1,0),1,IF(ISNA(HLOOKUP(AQ330,$BT$4:$CD$4,1,0)),0,1)),0)))</f>
        <v>1</v>
      </c>
      <c r="CZ330" s="149">
        <f t="shared" ref="CZ330:CZ393" si="389">IF(OR(AR$30="",AR$4=99),1,IF(AR330="",0,IFERROR(CHOOSE(CZ$28,IF(ISNA(MATCH(AR330,$BQ$30:$BR$30,0)),0,1),IF(ISNUMBER(AR330),1,0),IF(AR330=TRUNC(AR330),1,0),IF(AND(AR330*1=AR330,AR330&gt;=0),1,0),IF(AND(AR330=TRUNC(AR330),AR330&gt;=0),1,0),IF(AND(AR330*1=AR330,AR330&gt;0),1,0),IF(AND(AR330=TRUNC(AR330),AR330&gt;0),1,0),1,IF(ISNA(HLOOKUP(AR330,$BT$4:$CD$4,1,0)),0,1)),0)))</f>
        <v>1</v>
      </c>
      <c r="DA330" s="149">
        <f t="shared" ref="DA330:DA393" si="390">IF(OR(AS$30="",AS$4=99),1,IF(AS330="",0,IFERROR(CHOOSE(DA$28,IF(ISNA(MATCH(AS330,$BQ$30:$BR$30,0)),0,1),IF(ISNUMBER(AS330),1,0),IF(AS330=TRUNC(AS330),1,0),IF(AND(AS330*1=AS330,AS330&gt;=0),1,0),IF(AND(AS330=TRUNC(AS330),AS330&gt;=0),1,0),IF(AND(AS330*1=AS330,AS330&gt;0),1,0),IF(AND(AS330=TRUNC(AS330),AS330&gt;0),1,0),1,IF(ISNA(HLOOKUP(AS330,$BT$4:$CD$4,1,0)),0,1)),0)))</f>
        <v>1</v>
      </c>
      <c r="DB330" s="149">
        <f t="shared" ref="DB330:DB393" si="391">IF(OR(AT$30="",AT$4=99),1,IF(AT330="",0,IFERROR(CHOOSE(DB$28,IF(ISNA(MATCH(AT330,$BQ$30:$BR$30,0)),0,1),IF(ISNUMBER(AT330),1,0),IF(AT330=TRUNC(AT330),1,0),IF(AND(AT330*1=AT330,AT330&gt;=0),1,0),IF(AND(AT330=TRUNC(AT330),AT330&gt;=0),1,0),IF(AND(AT330*1=AT330,AT330&gt;0),1,0),IF(AND(AT330=TRUNC(AT330),AT330&gt;0),1,0),1,IF(ISNA(HLOOKUP(AT330,$BT$4:$CD$4,1,0)),0,1)),0)))</f>
        <v>1</v>
      </c>
      <c r="DG330" s="125">
        <f t="shared" si="296"/>
        <v>1</v>
      </c>
      <c r="DH330" s="125">
        <f t="shared" si="350"/>
        <v>2</v>
      </c>
      <c r="DI330" s="125">
        <f t="shared" si="350"/>
        <v>3</v>
      </c>
      <c r="DJ330" s="125">
        <f t="shared" si="350"/>
        <v>4</v>
      </c>
      <c r="DK330" s="125">
        <f t="shared" si="350"/>
        <v>5</v>
      </c>
      <c r="DL330" s="125">
        <f t="shared" si="350"/>
        <v>6</v>
      </c>
      <c r="DM330" s="125">
        <f t="shared" si="350"/>
        <v>7</v>
      </c>
      <c r="DN330" s="125">
        <f t="shared" si="350"/>
        <v>8</v>
      </c>
      <c r="DO330" s="125">
        <f t="shared" si="350"/>
        <v>9</v>
      </c>
      <c r="DP330" s="125">
        <f t="shared" si="350"/>
        <v>10</v>
      </c>
      <c r="DS330" s="137"/>
      <c r="DT330" s="137"/>
      <c r="DU330" s="137"/>
      <c r="DV330" s="137" t="b">
        <f t="shared" ref="DV330:DV393" si="392">AK330&gt;=DU$5</f>
        <v>0</v>
      </c>
      <c r="DW330" s="137" t="b">
        <f t="shared" ref="DW330:DW393" si="393">AM330&gt;=DV$5</f>
        <v>0</v>
      </c>
      <c r="DX330" s="137" t="b">
        <f t="shared" ref="DX330:DX393" si="394">AP330&gt;=DW$5</f>
        <v>1</v>
      </c>
      <c r="EB330" s="131">
        <f t="shared" ref="EB330:EB393" si="395">COUNTIF(DV330:DZ330,TRUE)</f>
        <v>1</v>
      </c>
      <c r="EC330" s="137" t="b">
        <f t="shared" ref="EC330:EC393" si="396">AK330&gt;=EB$5</f>
        <v>0</v>
      </c>
      <c r="ED330" s="137" t="b">
        <f t="shared" ref="ED330:ED393" si="397">AM330&gt;=EC$5</f>
        <v>0</v>
      </c>
      <c r="EE330" s="137" t="b">
        <f t="shared" ref="EE330:EE393" si="398">AP330&gt;=ED$5</f>
        <v>1</v>
      </c>
      <c r="EF330" s="137"/>
      <c r="EG330" s="137"/>
      <c r="EH330" s="137"/>
      <c r="EI330" s="137"/>
      <c r="EJ330" s="137">
        <f t="shared" ref="EJ330:EJ393" si="399">COUNTIF(EC330:EI330,TRUE)</f>
        <v>1</v>
      </c>
      <c r="EK330" s="125">
        <f t="shared" ref="EK330:EK393" si="400">IF($G330="","",IF(EB330=$DV$3,1,0))</f>
        <v>0</v>
      </c>
      <c r="EL330" s="125">
        <f t="shared" ref="EL330:EL393" si="401">IF($G330="","",IF(AND(EJ330=$DV$3,EJ330-EB330&lt;=$EC$3),1,0))</f>
        <v>0</v>
      </c>
    </row>
    <row r="331" spans="2:142" ht="15.75" x14ac:dyDescent="0.2">
      <c r="B331" s="160">
        <f t="shared" si="351"/>
        <v>301</v>
      </c>
      <c r="C331" s="290">
        <v>1001348220</v>
      </c>
      <c r="D331" s="290">
        <v>1001272604</v>
      </c>
      <c r="E331" s="290">
        <v>40000564</v>
      </c>
      <c r="F331" s="118">
        <f>IF(OR(J331="",H331=""),"",VLOOKUP(J331,'הזנה לסיווג רשויות'!$B$2:$D$301,2,0))</f>
        <v>20000201</v>
      </c>
      <c r="G331" s="118" t="str">
        <f>IF(OR(J331="",H331=""),"",VLOOKUP(J331,'הזנה לסיווג רשויות'!$B$2:$D$301,3,0))</f>
        <v>תל אביב -יפו</v>
      </c>
      <c r="H331" s="293" t="s">
        <v>731</v>
      </c>
      <c r="I331" s="201" t="s">
        <v>379</v>
      </c>
      <c r="J331" s="294">
        <v>5000</v>
      </c>
      <c r="K331" s="161">
        <v>0</v>
      </c>
      <c r="L331" s="161">
        <v>1</v>
      </c>
      <c r="M331" s="161">
        <v>0</v>
      </c>
      <c r="N331" s="161">
        <v>0</v>
      </c>
      <c r="O331" s="161">
        <v>1</v>
      </c>
      <c r="P331" s="161">
        <v>1</v>
      </c>
      <c r="Q331" s="161">
        <v>1</v>
      </c>
      <c r="R331" s="201">
        <v>209018</v>
      </c>
      <c r="S331" s="201">
        <v>104440</v>
      </c>
      <c r="T331" s="160">
        <f>IF(G331="","",IFERROR(IF(S331/R331&gt;'פרמטרים לקריטריונים'!$C$20,1,0),0))</f>
        <v>1</v>
      </c>
      <c r="U331" s="296">
        <v>84440</v>
      </c>
      <c r="V331" s="160">
        <f>IF(G331="","",IFERROR(IF(U331/R331&gt;'פרמטרים לקריטריונים'!$C$21,1,IF(AND(I331=$BW$5,U331/R331&gt;'פרמטרים לקריטריונים'!$C$22),1,0)),0))</f>
        <v>1</v>
      </c>
      <c r="W331" s="161">
        <v>1</v>
      </c>
      <c r="X331" s="161">
        <v>1</v>
      </c>
      <c r="Y331" s="299">
        <v>150000</v>
      </c>
      <c r="Z331" s="300">
        <v>150000</v>
      </c>
      <c r="AA331" s="161">
        <f t="shared" si="345"/>
        <v>1</v>
      </c>
      <c r="AB331" s="161"/>
      <c r="AC331" s="161"/>
      <c r="AD331" s="161"/>
      <c r="AE331" s="161"/>
      <c r="AF331" s="161"/>
      <c r="AG331" s="161"/>
      <c r="AH331" s="161"/>
      <c r="AI331" s="161"/>
      <c r="AJ331" s="161"/>
      <c r="AK331" s="161"/>
      <c r="AL331" s="161"/>
      <c r="AM331" s="161"/>
      <c r="AN331" s="161"/>
      <c r="AO331" s="161"/>
      <c r="AP331" s="161"/>
      <c r="AQ331" s="161"/>
      <c r="AR331" s="161"/>
      <c r="AS331" s="161"/>
      <c r="AT331" s="161"/>
      <c r="AU331" s="161"/>
      <c r="AV331" s="161"/>
      <c r="AW331" s="160"/>
      <c r="AX331" s="161"/>
      <c r="AY331" s="161"/>
      <c r="AZ331" s="161"/>
      <c r="BA331" s="161"/>
      <c r="BB331" s="161"/>
      <c r="BC331" s="161"/>
      <c r="BD331" s="161"/>
      <c r="BE331" s="161"/>
      <c r="BF331" s="160" t="str">
        <f t="shared" si="352"/>
        <v/>
      </c>
      <c r="BG331" s="160"/>
      <c r="BH331" s="160"/>
      <c r="BI331" s="160"/>
      <c r="BJ331" s="160"/>
      <c r="BK331" s="160"/>
      <c r="BL331" s="162">
        <f t="shared" si="353"/>
        <v>1</v>
      </c>
      <c r="BM331" s="257"/>
      <c r="BN331" s="163"/>
      <c r="BO331" s="211" t="str">
        <f t="shared" si="354"/>
        <v>עמותת הכוריאוגרפים (ע"ר)יוצרים עצמאיים במחול</v>
      </c>
      <c r="BP331" s="125">
        <f t="shared" si="355"/>
        <v>1</v>
      </c>
      <c r="BQ331" s="164">
        <v>0</v>
      </c>
      <c r="BR331" s="164">
        <v>1</v>
      </c>
      <c r="BS331" s="149">
        <f t="shared" si="356"/>
        <v>1</v>
      </c>
      <c r="BT331" s="149">
        <f t="shared" si="357"/>
        <v>1</v>
      </c>
      <c r="BU331" s="149">
        <f t="shared" si="358"/>
        <v>1</v>
      </c>
      <c r="BV331" s="149">
        <f t="shared" si="359"/>
        <v>1</v>
      </c>
      <c r="BW331" s="149">
        <f t="shared" si="360"/>
        <v>1</v>
      </c>
      <c r="BX331" s="149">
        <f t="shared" si="361"/>
        <v>1</v>
      </c>
      <c r="BY331" s="149">
        <f t="shared" si="362"/>
        <v>1</v>
      </c>
      <c r="BZ331" s="149">
        <f t="shared" si="363"/>
        <v>1</v>
      </c>
      <c r="CA331" s="149">
        <f t="shared" si="364"/>
        <v>1</v>
      </c>
      <c r="CB331" s="149">
        <f t="shared" si="365"/>
        <v>1</v>
      </c>
      <c r="CC331" s="149">
        <f t="shared" si="366"/>
        <v>1</v>
      </c>
      <c r="CD331" s="149">
        <f t="shared" si="367"/>
        <v>1</v>
      </c>
      <c r="CE331" s="149">
        <f t="shared" si="368"/>
        <v>1</v>
      </c>
      <c r="CF331" s="149">
        <f t="shared" si="369"/>
        <v>1</v>
      </c>
      <c r="CG331" s="149">
        <f t="shared" si="370"/>
        <v>1</v>
      </c>
      <c r="CH331" s="149">
        <f t="shared" si="371"/>
        <v>1</v>
      </c>
      <c r="CI331" s="149">
        <f t="shared" si="372"/>
        <v>1</v>
      </c>
      <c r="CJ331" s="149">
        <f t="shared" si="373"/>
        <v>1</v>
      </c>
      <c r="CK331" s="149">
        <f t="shared" si="374"/>
        <v>1</v>
      </c>
      <c r="CL331" s="149">
        <f t="shared" si="375"/>
        <v>1</v>
      </c>
      <c r="CM331" s="149">
        <f t="shared" si="376"/>
        <v>1</v>
      </c>
      <c r="CN331" s="149">
        <f t="shared" si="377"/>
        <v>1</v>
      </c>
      <c r="CO331" s="149">
        <f t="shared" si="378"/>
        <v>1</v>
      </c>
      <c r="CP331" s="149">
        <f t="shared" si="379"/>
        <v>1</v>
      </c>
      <c r="CQ331" s="149">
        <f t="shared" si="380"/>
        <v>1</v>
      </c>
      <c r="CR331" s="149">
        <f t="shared" si="381"/>
        <v>1</v>
      </c>
      <c r="CS331" s="149">
        <f t="shared" si="382"/>
        <v>1</v>
      </c>
      <c r="CT331" s="149">
        <f t="shared" si="383"/>
        <v>1</v>
      </c>
      <c r="CU331" s="149">
        <f t="shared" si="384"/>
        <v>1</v>
      </c>
      <c r="CV331" s="149">
        <f t="shared" si="385"/>
        <v>1</v>
      </c>
      <c r="CW331" s="149">
        <f t="shared" si="386"/>
        <v>1</v>
      </c>
      <c r="CX331" s="149">
        <f t="shared" si="387"/>
        <v>1</v>
      </c>
      <c r="CY331" s="149">
        <f t="shared" si="388"/>
        <v>1</v>
      </c>
      <c r="CZ331" s="149">
        <f t="shared" si="389"/>
        <v>1</v>
      </c>
      <c r="DA331" s="149">
        <f t="shared" si="390"/>
        <v>1</v>
      </c>
      <c r="DB331" s="149">
        <f t="shared" si="391"/>
        <v>1</v>
      </c>
      <c r="DG331" s="125">
        <f t="shared" si="296"/>
        <v>1</v>
      </c>
      <c r="DH331" s="125">
        <f t="shared" si="350"/>
        <v>2</v>
      </c>
      <c r="DI331" s="125">
        <f t="shared" si="350"/>
        <v>3</v>
      </c>
      <c r="DJ331" s="125">
        <f t="shared" si="350"/>
        <v>4</v>
      </c>
      <c r="DK331" s="125">
        <f t="shared" si="350"/>
        <v>5</v>
      </c>
      <c r="DL331" s="125">
        <f t="shared" si="350"/>
        <v>6</v>
      </c>
      <c r="DM331" s="125">
        <f t="shared" si="350"/>
        <v>7</v>
      </c>
      <c r="DN331" s="125">
        <f t="shared" si="350"/>
        <v>8</v>
      </c>
      <c r="DO331" s="125">
        <f t="shared" si="350"/>
        <v>9</v>
      </c>
      <c r="DP331" s="125">
        <f t="shared" si="350"/>
        <v>10</v>
      </c>
      <c r="DS331" s="137"/>
      <c r="DT331" s="137"/>
      <c r="DU331" s="137"/>
      <c r="DV331" s="137" t="b">
        <f t="shared" si="392"/>
        <v>0</v>
      </c>
      <c r="DW331" s="137" t="b">
        <f t="shared" si="393"/>
        <v>0</v>
      </c>
      <c r="DX331" s="137" t="b">
        <f t="shared" si="394"/>
        <v>1</v>
      </c>
      <c r="EB331" s="131">
        <f t="shared" si="395"/>
        <v>1</v>
      </c>
      <c r="EC331" s="137" t="b">
        <f t="shared" si="396"/>
        <v>0</v>
      </c>
      <c r="ED331" s="137" t="b">
        <f t="shared" si="397"/>
        <v>0</v>
      </c>
      <c r="EE331" s="137" t="b">
        <f t="shared" si="398"/>
        <v>1</v>
      </c>
      <c r="EF331" s="137"/>
      <c r="EG331" s="137"/>
      <c r="EH331" s="137"/>
      <c r="EI331" s="137"/>
      <c r="EJ331" s="137">
        <f t="shared" si="399"/>
        <v>1</v>
      </c>
      <c r="EK331" s="125">
        <f t="shared" si="400"/>
        <v>0</v>
      </c>
      <c r="EL331" s="125">
        <f t="shared" si="401"/>
        <v>0</v>
      </c>
    </row>
    <row r="332" spans="2:142" ht="15.75" x14ac:dyDescent="0.2">
      <c r="B332" s="160">
        <f t="shared" si="351"/>
        <v>302</v>
      </c>
      <c r="C332" s="290">
        <v>1001348222</v>
      </c>
      <c r="D332" s="290">
        <v>1001272607</v>
      </c>
      <c r="E332" s="290">
        <v>40000564</v>
      </c>
      <c r="F332" s="118">
        <f>IF(OR(J332="",H332=""),"",VLOOKUP(J332,'הזנה לסיווג רשויות'!$B$2:$D$301,2,0))</f>
        <v>20000201</v>
      </c>
      <c r="G332" s="118" t="str">
        <f>IF(OR(J332="",H332=""),"",VLOOKUP(J332,'הזנה לסיווג רשויות'!$B$2:$D$301,3,0))</f>
        <v>תל אביב -יפו</v>
      </c>
      <c r="H332" s="293" t="s">
        <v>731</v>
      </c>
      <c r="I332" s="201" t="s">
        <v>379</v>
      </c>
      <c r="J332" s="294">
        <v>5000</v>
      </c>
      <c r="K332" s="161">
        <v>0</v>
      </c>
      <c r="L332" s="161">
        <v>1</v>
      </c>
      <c r="M332" s="161">
        <v>0</v>
      </c>
      <c r="N332" s="161">
        <v>0</v>
      </c>
      <c r="O332" s="161">
        <v>1</v>
      </c>
      <c r="P332" s="161">
        <v>1</v>
      </c>
      <c r="Q332" s="161">
        <v>1</v>
      </c>
      <c r="R332" s="201">
        <v>138688</v>
      </c>
      <c r="S332" s="201">
        <v>138688</v>
      </c>
      <c r="T332" s="160">
        <f>IF(G332="","",IFERROR(IF(S332/R332&gt;'פרמטרים לקריטריונים'!$C$20,1,0),0))</f>
        <v>1</v>
      </c>
      <c r="U332" s="296">
        <v>138688</v>
      </c>
      <c r="V332" s="160">
        <f>IF(G332="","",IFERROR(IF(U332/R332&gt;'פרמטרים לקריטריונים'!$C$21,1,IF(AND(I332=$BW$5,U332/R332&gt;'פרמטרים לקריטריונים'!$C$22),1,0)),0))</f>
        <v>1</v>
      </c>
      <c r="W332" s="161">
        <v>1</v>
      </c>
      <c r="X332" s="161">
        <v>1</v>
      </c>
      <c r="Y332" s="299">
        <v>150000</v>
      </c>
      <c r="Z332" s="300">
        <v>150000</v>
      </c>
      <c r="AA332" s="161">
        <f t="shared" si="345"/>
        <v>1</v>
      </c>
      <c r="AB332" s="161"/>
      <c r="AC332" s="161"/>
      <c r="AD332" s="161"/>
      <c r="AE332" s="161"/>
      <c r="AF332" s="161"/>
      <c r="AG332" s="161"/>
      <c r="AH332" s="161"/>
      <c r="AI332" s="161"/>
      <c r="AJ332" s="161"/>
      <c r="AK332" s="161"/>
      <c r="AL332" s="161"/>
      <c r="AM332" s="161"/>
      <c r="AN332" s="161"/>
      <c r="AO332" s="161"/>
      <c r="AP332" s="161"/>
      <c r="AQ332" s="161"/>
      <c r="AR332" s="161"/>
      <c r="AS332" s="161"/>
      <c r="AT332" s="161"/>
      <c r="AU332" s="161"/>
      <c r="AV332" s="161"/>
      <c r="AW332" s="160"/>
      <c r="AX332" s="161"/>
      <c r="AY332" s="161"/>
      <c r="AZ332" s="161"/>
      <c r="BA332" s="161"/>
      <c r="BB332" s="161"/>
      <c r="BC332" s="161"/>
      <c r="BD332" s="161"/>
      <c r="BE332" s="161"/>
      <c r="BF332" s="160" t="str">
        <f t="shared" si="352"/>
        <v/>
      </c>
      <c r="BG332" s="160"/>
      <c r="BH332" s="160"/>
      <c r="BI332" s="160"/>
      <c r="BJ332" s="160"/>
      <c r="BK332" s="160"/>
      <c r="BL332" s="162">
        <f t="shared" si="353"/>
        <v>1</v>
      </c>
      <c r="BM332" s="257"/>
      <c r="BN332" s="163"/>
      <c r="BO332" s="211" t="str">
        <f t="shared" si="354"/>
        <v>עמותת הכוריאוגרפים (ע"ר)יוצרים עצמאיים במחול</v>
      </c>
      <c r="BP332" s="125">
        <f t="shared" si="355"/>
        <v>1</v>
      </c>
      <c r="BQ332" s="164">
        <v>0</v>
      </c>
      <c r="BR332" s="164">
        <v>1</v>
      </c>
      <c r="BS332" s="149">
        <f t="shared" si="356"/>
        <v>1</v>
      </c>
      <c r="BT332" s="149">
        <f t="shared" si="357"/>
        <v>1</v>
      </c>
      <c r="BU332" s="149">
        <f t="shared" si="358"/>
        <v>1</v>
      </c>
      <c r="BV332" s="149">
        <f t="shared" si="359"/>
        <v>1</v>
      </c>
      <c r="BW332" s="149">
        <f t="shared" si="360"/>
        <v>1</v>
      </c>
      <c r="BX332" s="149">
        <f t="shared" si="361"/>
        <v>1</v>
      </c>
      <c r="BY332" s="149">
        <f t="shared" si="362"/>
        <v>1</v>
      </c>
      <c r="BZ332" s="149">
        <f t="shared" si="363"/>
        <v>1</v>
      </c>
      <c r="CA332" s="149">
        <f t="shared" si="364"/>
        <v>1</v>
      </c>
      <c r="CB332" s="149">
        <f t="shared" si="365"/>
        <v>1</v>
      </c>
      <c r="CC332" s="149">
        <f t="shared" si="366"/>
        <v>1</v>
      </c>
      <c r="CD332" s="149">
        <f t="shared" si="367"/>
        <v>1</v>
      </c>
      <c r="CE332" s="149">
        <f t="shared" si="368"/>
        <v>1</v>
      </c>
      <c r="CF332" s="149">
        <f t="shared" si="369"/>
        <v>1</v>
      </c>
      <c r="CG332" s="149">
        <f t="shared" si="370"/>
        <v>1</v>
      </c>
      <c r="CH332" s="149">
        <f t="shared" si="371"/>
        <v>1</v>
      </c>
      <c r="CI332" s="149">
        <f t="shared" si="372"/>
        <v>1</v>
      </c>
      <c r="CJ332" s="149">
        <f t="shared" si="373"/>
        <v>1</v>
      </c>
      <c r="CK332" s="149">
        <f t="shared" si="374"/>
        <v>1</v>
      </c>
      <c r="CL332" s="149">
        <f t="shared" si="375"/>
        <v>1</v>
      </c>
      <c r="CM332" s="149">
        <f t="shared" si="376"/>
        <v>1</v>
      </c>
      <c r="CN332" s="149">
        <f t="shared" si="377"/>
        <v>1</v>
      </c>
      <c r="CO332" s="149">
        <f t="shared" si="378"/>
        <v>1</v>
      </c>
      <c r="CP332" s="149">
        <f t="shared" si="379"/>
        <v>1</v>
      </c>
      <c r="CQ332" s="149">
        <f t="shared" si="380"/>
        <v>1</v>
      </c>
      <c r="CR332" s="149">
        <f t="shared" si="381"/>
        <v>1</v>
      </c>
      <c r="CS332" s="149">
        <f t="shared" si="382"/>
        <v>1</v>
      </c>
      <c r="CT332" s="149">
        <f t="shared" si="383"/>
        <v>1</v>
      </c>
      <c r="CU332" s="149">
        <f t="shared" si="384"/>
        <v>1</v>
      </c>
      <c r="CV332" s="149">
        <f t="shared" si="385"/>
        <v>1</v>
      </c>
      <c r="CW332" s="149">
        <f t="shared" si="386"/>
        <v>1</v>
      </c>
      <c r="CX332" s="149">
        <f t="shared" si="387"/>
        <v>1</v>
      </c>
      <c r="CY332" s="149">
        <f t="shared" si="388"/>
        <v>1</v>
      </c>
      <c r="CZ332" s="149">
        <f t="shared" si="389"/>
        <v>1</v>
      </c>
      <c r="DA332" s="149">
        <f t="shared" si="390"/>
        <v>1</v>
      </c>
      <c r="DB332" s="149">
        <f t="shared" si="391"/>
        <v>1</v>
      </c>
      <c r="DG332" s="125">
        <f t="shared" si="296"/>
        <v>1</v>
      </c>
      <c r="DH332" s="125">
        <f t="shared" si="350"/>
        <v>2</v>
      </c>
      <c r="DI332" s="125">
        <f t="shared" si="350"/>
        <v>3</v>
      </c>
      <c r="DJ332" s="125">
        <f t="shared" si="350"/>
        <v>4</v>
      </c>
      <c r="DK332" s="125">
        <f t="shared" si="350"/>
        <v>5</v>
      </c>
      <c r="DL332" s="125">
        <f t="shared" si="350"/>
        <v>6</v>
      </c>
      <c r="DM332" s="125">
        <f t="shared" si="350"/>
        <v>7</v>
      </c>
      <c r="DN332" s="125">
        <f t="shared" si="350"/>
        <v>8</v>
      </c>
      <c r="DO332" s="125">
        <f t="shared" si="350"/>
        <v>9</v>
      </c>
      <c r="DP332" s="125">
        <f t="shared" si="350"/>
        <v>10</v>
      </c>
      <c r="DS332" s="137"/>
      <c r="DT332" s="137"/>
      <c r="DU332" s="137"/>
      <c r="DV332" s="137" t="b">
        <f t="shared" si="392"/>
        <v>0</v>
      </c>
      <c r="DW332" s="137" t="b">
        <f t="shared" si="393"/>
        <v>0</v>
      </c>
      <c r="DX332" s="137" t="b">
        <f t="shared" si="394"/>
        <v>1</v>
      </c>
      <c r="EB332" s="131">
        <f t="shared" si="395"/>
        <v>1</v>
      </c>
      <c r="EC332" s="137" t="b">
        <f t="shared" si="396"/>
        <v>0</v>
      </c>
      <c r="ED332" s="137" t="b">
        <f t="shared" si="397"/>
        <v>0</v>
      </c>
      <c r="EE332" s="137" t="b">
        <f t="shared" si="398"/>
        <v>1</v>
      </c>
      <c r="EF332" s="137"/>
      <c r="EG332" s="137"/>
      <c r="EH332" s="137"/>
      <c r="EI332" s="137"/>
      <c r="EJ332" s="137">
        <f t="shared" si="399"/>
        <v>1</v>
      </c>
      <c r="EK332" s="125">
        <f t="shared" si="400"/>
        <v>0</v>
      </c>
      <c r="EL332" s="125">
        <f t="shared" si="401"/>
        <v>0</v>
      </c>
    </row>
    <row r="333" spans="2:142" ht="15.75" x14ac:dyDescent="0.2">
      <c r="B333" s="160">
        <f t="shared" si="351"/>
        <v>303</v>
      </c>
      <c r="C333" s="290">
        <v>1001348223</v>
      </c>
      <c r="D333" s="290">
        <v>1001273498</v>
      </c>
      <c r="E333" s="290">
        <v>40000564</v>
      </c>
      <c r="F333" s="118">
        <f>IF(OR(J333="",H333=""),"",VLOOKUP(J333,'הזנה לסיווג רשויות'!$B$2:$D$301,2,0))</f>
        <v>20000201</v>
      </c>
      <c r="G333" s="118" t="str">
        <f>IF(OR(J333="",H333=""),"",VLOOKUP(J333,'הזנה לסיווג רשויות'!$B$2:$D$301,3,0))</f>
        <v>תל אביב -יפו</v>
      </c>
      <c r="H333" s="293" t="s">
        <v>731</v>
      </c>
      <c r="I333" s="201" t="s">
        <v>379</v>
      </c>
      <c r="J333" s="294">
        <v>5000</v>
      </c>
      <c r="K333" s="161">
        <v>0</v>
      </c>
      <c r="L333" s="161">
        <v>1</v>
      </c>
      <c r="M333" s="161">
        <v>0</v>
      </c>
      <c r="N333" s="161">
        <v>0</v>
      </c>
      <c r="O333" s="161">
        <v>1</v>
      </c>
      <c r="P333" s="161">
        <v>1</v>
      </c>
      <c r="Q333" s="161">
        <v>1</v>
      </c>
      <c r="R333" s="201">
        <v>75923</v>
      </c>
      <c r="S333" s="201">
        <v>44828</v>
      </c>
      <c r="T333" s="160">
        <f>IF(G333="","",IFERROR(IF(S333/R333&gt;'פרמטרים לקריטריונים'!$C$20,1,0),0))</f>
        <v>1</v>
      </c>
      <c r="U333" s="296">
        <v>25928</v>
      </c>
      <c r="V333" s="160">
        <f>IF(G333="","",IFERROR(IF(U333/R333&gt;'פרמטרים לקריטריונים'!$C$21,1,IF(AND(I333=$BW$5,U333/R333&gt;'פרמטרים לקריטריונים'!$C$22),1,0)),0))</f>
        <v>1</v>
      </c>
      <c r="W333" s="161">
        <v>1</v>
      </c>
      <c r="X333" s="161">
        <v>1</v>
      </c>
      <c r="Y333" s="299">
        <v>150000</v>
      </c>
      <c r="Z333" s="300">
        <v>150000</v>
      </c>
      <c r="AA333" s="161">
        <f t="shared" si="345"/>
        <v>1</v>
      </c>
      <c r="AB333" s="161"/>
      <c r="AC333" s="161"/>
      <c r="AD333" s="161"/>
      <c r="AE333" s="161"/>
      <c r="AF333" s="161"/>
      <c r="AG333" s="161"/>
      <c r="AH333" s="161"/>
      <c r="AI333" s="161"/>
      <c r="AJ333" s="161"/>
      <c r="AK333" s="161"/>
      <c r="AL333" s="161"/>
      <c r="AM333" s="161"/>
      <c r="AN333" s="161"/>
      <c r="AO333" s="161"/>
      <c r="AP333" s="161"/>
      <c r="AQ333" s="161"/>
      <c r="AR333" s="161"/>
      <c r="AS333" s="161"/>
      <c r="AT333" s="161"/>
      <c r="AU333" s="161"/>
      <c r="AV333" s="161"/>
      <c r="AW333" s="160"/>
      <c r="AX333" s="161"/>
      <c r="AY333" s="161"/>
      <c r="AZ333" s="161"/>
      <c r="BA333" s="161"/>
      <c r="BB333" s="161"/>
      <c r="BC333" s="161"/>
      <c r="BD333" s="161"/>
      <c r="BE333" s="161"/>
      <c r="BF333" s="160" t="str">
        <f t="shared" si="352"/>
        <v/>
      </c>
      <c r="BG333" s="160"/>
      <c r="BH333" s="160"/>
      <c r="BI333" s="160"/>
      <c r="BJ333" s="160"/>
      <c r="BK333" s="160"/>
      <c r="BL333" s="162">
        <f t="shared" si="353"/>
        <v>1</v>
      </c>
      <c r="BM333" s="257"/>
      <c r="BN333" s="163"/>
      <c r="BO333" s="211" t="str">
        <f t="shared" si="354"/>
        <v>עמותת הכוריאוגרפים (ע"ר)יוצרים עצמאיים במחול</v>
      </c>
      <c r="BP333" s="125">
        <f t="shared" si="355"/>
        <v>1</v>
      </c>
      <c r="BQ333" s="164">
        <v>0</v>
      </c>
      <c r="BR333" s="164">
        <v>1</v>
      </c>
      <c r="BS333" s="149">
        <f t="shared" si="356"/>
        <v>1</v>
      </c>
      <c r="BT333" s="149">
        <f t="shared" si="357"/>
        <v>1</v>
      </c>
      <c r="BU333" s="149">
        <f t="shared" si="358"/>
        <v>1</v>
      </c>
      <c r="BV333" s="149">
        <f t="shared" si="359"/>
        <v>1</v>
      </c>
      <c r="BW333" s="149">
        <f t="shared" si="360"/>
        <v>1</v>
      </c>
      <c r="BX333" s="149">
        <f t="shared" si="361"/>
        <v>1</v>
      </c>
      <c r="BY333" s="149">
        <f t="shared" si="362"/>
        <v>1</v>
      </c>
      <c r="BZ333" s="149">
        <f t="shared" si="363"/>
        <v>1</v>
      </c>
      <c r="CA333" s="149">
        <f t="shared" si="364"/>
        <v>1</v>
      </c>
      <c r="CB333" s="149">
        <f t="shared" si="365"/>
        <v>1</v>
      </c>
      <c r="CC333" s="149">
        <f t="shared" si="366"/>
        <v>1</v>
      </c>
      <c r="CD333" s="149">
        <f t="shared" si="367"/>
        <v>1</v>
      </c>
      <c r="CE333" s="149">
        <f t="shared" si="368"/>
        <v>1</v>
      </c>
      <c r="CF333" s="149">
        <f t="shared" si="369"/>
        <v>1</v>
      </c>
      <c r="CG333" s="149">
        <f t="shared" si="370"/>
        <v>1</v>
      </c>
      <c r="CH333" s="149">
        <f t="shared" si="371"/>
        <v>1</v>
      </c>
      <c r="CI333" s="149">
        <f t="shared" si="372"/>
        <v>1</v>
      </c>
      <c r="CJ333" s="149">
        <f t="shared" si="373"/>
        <v>1</v>
      </c>
      <c r="CK333" s="149">
        <f t="shared" si="374"/>
        <v>1</v>
      </c>
      <c r="CL333" s="149">
        <f t="shared" si="375"/>
        <v>1</v>
      </c>
      <c r="CM333" s="149">
        <f t="shared" si="376"/>
        <v>1</v>
      </c>
      <c r="CN333" s="149">
        <f t="shared" si="377"/>
        <v>1</v>
      </c>
      <c r="CO333" s="149">
        <f t="shared" si="378"/>
        <v>1</v>
      </c>
      <c r="CP333" s="149">
        <f t="shared" si="379"/>
        <v>1</v>
      </c>
      <c r="CQ333" s="149">
        <f t="shared" si="380"/>
        <v>1</v>
      </c>
      <c r="CR333" s="149">
        <f t="shared" si="381"/>
        <v>1</v>
      </c>
      <c r="CS333" s="149">
        <f t="shared" si="382"/>
        <v>1</v>
      </c>
      <c r="CT333" s="149">
        <f t="shared" si="383"/>
        <v>1</v>
      </c>
      <c r="CU333" s="149">
        <f t="shared" si="384"/>
        <v>1</v>
      </c>
      <c r="CV333" s="149">
        <f t="shared" si="385"/>
        <v>1</v>
      </c>
      <c r="CW333" s="149">
        <f t="shared" si="386"/>
        <v>1</v>
      </c>
      <c r="CX333" s="149">
        <f t="shared" si="387"/>
        <v>1</v>
      </c>
      <c r="CY333" s="149">
        <f t="shared" si="388"/>
        <v>1</v>
      </c>
      <c r="CZ333" s="149">
        <f t="shared" si="389"/>
        <v>1</v>
      </c>
      <c r="DA333" s="149">
        <f t="shared" si="390"/>
        <v>1</v>
      </c>
      <c r="DB333" s="149">
        <f t="shared" si="391"/>
        <v>1</v>
      </c>
      <c r="DG333" s="125">
        <f t="shared" si="296"/>
        <v>1</v>
      </c>
      <c r="DH333" s="125">
        <f t="shared" si="350"/>
        <v>2</v>
      </c>
      <c r="DI333" s="125">
        <f t="shared" si="350"/>
        <v>3</v>
      </c>
      <c r="DJ333" s="125">
        <f t="shared" si="350"/>
        <v>4</v>
      </c>
      <c r="DK333" s="125">
        <f t="shared" si="350"/>
        <v>5</v>
      </c>
      <c r="DL333" s="125">
        <f t="shared" si="350"/>
        <v>6</v>
      </c>
      <c r="DM333" s="125">
        <f t="shared" si="350"/>
        <v>7</v>
      </c>
      <c r="DN333" s="125">
        <f t="shared" si="350"/>
        <v>8</v>
      </c>
      <c r="DO333" s="125">
        <f t="shared" si="350"/>
        <v>9</v>
      </c>
      <c r="DP333" s="125">
        <f t="shared" si="350"/>
        <v>10</v>
      </c>
      <c r="DS333" s="137"/>
      <c r="DT333" s="137"/>
      <c r="DU333" s="137"/>
      <c r="DV333" s="137" t="b">
        <f t="shared" si="392"/>
        <v>0</v>
      </c>
      <c r="DW333" s="137" t="b">
        <f t="shared" si="393"/>
        <v>0</v>
      </c>
      <c r="DX333" s="137" t="b">
        <f t="shared" si="394"/>
        <v>1</v>
      </c>
      <c r="EB333" s="131">
        <f t="shared" si="395"/>
        <v>1</v>
      </c>
      <c r="EC333" s="137" t="b">
        <f t="shared" si="396"/>
        <v>0</v>
      </c>
      <c r="ED333" s="137" t="b">
        <f t="shared" si="397"/>
        <v>0</v>
      </c>
      <c r="EE333" s="137" t="b">
        <f t="shared" si="398"/>
        <v>1</v>
      </c>
      <c r="EF333" s="137"/>
      <c r="EG333" s="137"/>
      <c r="EH333" s="137"/>
      <c r="EI333" s="137"/>
      <c r="EJ333" s="137">
        <f t="shared" si="399"/>
        <v>1</v>
      </c>
      <c r="EK333" s="125">
        <f t="shared" si="400"/>
        <v>0</v>
      </c>
      <c r="EL333" s="125">
        <f t="shared" si="401"/>
        <v>0</v>
      </c>
    </row>
    <row r="334" spans="2:142" ht="15.75" x14ac:dyDescent="0.2">
      <c r="B334" s="160">
        <f t="shared" si="351"/>
        <v>304</v>
      </c>
      <c r="C334" s="290">
        <v>1001348230</v>
      </c>
      <c r="D334" s="290">
        <v>1001273594</v>
      </c>
      <c r="E334" s="290">
        <v>40000564</v>
      </c>
      <c r="F334" s="118">
        <f>IF(OR(J334="",H334=""),"",VLOOKUP(J334,'הזנה לסיווג רשויות'!$B$2:$D$301,2,0))</f>
        <v>20000201</v>
      </c>
      <c r="G334" s="118" t="str">
        <f>IF(OR(J334="",H334=""),"",VLOOKUP(J334,'הזנה לסיווג רשויות'!$B$2:$D$301,3,0))</f>
        <v>תל אביב -יפו</v>
      </c>
      <c r="H334" s="293" t="s">
        <v>731</v>
      </c>
      <c r="I334" s="201" t="s">
        <v>379</v>
      </c>
      <c r="J334" s="294">
        <v>5000</v>
      </c>
      <c r="K334" s="161">
        <v>0</v>
      </c>
      <c r="L334" s="161">
        <v>1</v>
      </c>
      <c r="M334" s="161">
        <v>0</v>
      </c>
      <c r="N334" s="161">
        <v>0</v>
      </c>
      <c r="O334" s="161">
        <v>1</v>
      </c>
      <c r="P334" s="161">
        <v>1</v>
      </c>
      <c r="Q334" s="161">
        <v>1</v>
      </c>
      <c r="R334" s="201">
        <v>80992</v>
      </c>
      <c r="S334" s="201">
        <v>64932</v>
      </c>
      <c r="T334" s="160">
        <f>IF(G334="","",IFERROR(IF(S334/R334&gt;'פרמטרים לקריטריונים'!$C$20,1,0),0))</f>
        <v>1</v>
      </c>
      <c r="U334" s="296">
        <v>64932</v>
      </c>
      <c r="V334" s="160">
        <f>IF(G334="","",IFERROR(IF(U334/R334&gt;'פרמטרים לקריטריונים'!$C$21,1,IF(AND(I334=$BW$5,U334/R334&gt;'פרמטרים לקריטריונים'!$C$22),1,0)),0))</f>
        <v>1</v>
      </c>
      <c r="W334" s="161">
        <v>1</v>
      </c>
      <c r="X334" s="161">
        <v>1</v>
      </c>
      <c r="Y334" s="299">
        <v>150000</v>
      </c>
      <c r="Z334" s="300">
        <v>150000</v>
      </c>
      <c r="AA334" s="161">
        <f t="shared" si="345"/>
        <v>1</v>
      </c>
      <c r="AB334" s="161"/>
      <c r="AC334" s="161"/>
      <c r="AD334" s="161"/>
      <c r="AE334" s="161"/>
      <c r="AF334" s="161"/>
      <c r="AG334" s="161"/>
      <c r="AH334" s="161"/>
      <c r="AI334" s="161"/>
      <c r="AJ334" s="161"/>
      <c r="AK334" s="161"/>
      <c r="AL334" s="161"/>
      <c r="AM334" s="161"/>
      <c r="AN334" s="161"/>
      <c r="AO334" s="161"/>
      <c r="AP334" s="161"/>
      <c r="AQ334" s="161"/>
      <c r="AR334" s="161"/>
      <c r="AS334" s="161"/>
      <c r="AT334" s="161"/>
      <c r="AU334" s="161"/>
      <c r="AV334" s="161"/>
      <c r="AW334" s="160"/>
      <c r="AX334" s="161"/>
      <c r="AY334" s="161"/>
      <c r="AZ334" s="161"/>
      <c r="BA334" s="161"/>
      <c r="BB334" s="161"/>
      <c r="BC334" s="161"/>
      <c r="BD334" s="161"/>
      <c r="BE334" s="161"/>
      <c r="BF334" s="160" t="str">
        <f t="shared" si="352"/>
        <v/>
      </c>
      <c r="BG334" s="160"/>
      <c r="BH334" s="160"/>
      <c r="BI334" s="160"/>
      <c r="BJ334" s="160"/>
      <c r="BK334" s="160"/>
      <c r="BL334" s="162">
        <f t="shared" si="353"/>
        <v>1</v>
      </c>
      <c r="BM334" s="257"/>
      <c r="BN334" s="163"/>
      <c r="BO334" s="211" t="str">
        <f t="shared" si="354"/>
        <v>עמותת הכוריאוגרפים (ע"ר)יוצרים עצמאיים במחול</v>
      </c>
      <c r="BP334" s="125">
        <f t="shared" si="355"/>
        <v>1</v>
      </c>
      <c r="BQ334" s="164">
        <v>0</v>
      </c>
      <c r="BR334" s="164">
        <v>1</v>
      </c>
      <c r="BS334" s="149">
        <f t="shared" si="356"/>
        <v>1</v>
      </c>
      <c r="BT334" s="149">
        <f t="shared" si="357"/>
        <v>1</v>
      </c>
      <c r="BU334" s="149">
        <f t="shared" si="358"/>
        <v>1</v>
      </c>
      <c r="BV334" s="149">
        <f t="shared" si="359"/>
        <v>1</v>
      </c>
      <c r="BW334" s="149">
        <f t="shared" si="360"/>
        <v>1</v>
      </c>
      <c r="BX334" s="149">
        <f t="shared" si="361"/>
        <v>1</v>
      </c>
      <c r="BY334" s="149">
        <f t="shared" si="362"/>
        <v>1</v>
      </c>
      <c r="BZ334" s="149">
        <f t="shared" si="363"/>
        <v>1</v>
      </c>
      <c r="CA334" s="149">
        <f t="shared" si="364"/>
        <v>1</v>
      </c>
      <c r="CB334" s="149">
        <f t="shared" si="365"/>
        <v>1</v>
      </c>
      <c r="CC334" s="149">
        <f t="shared" si="366"/>
        <v>1</v>
      </c>
      <c r="CD334" s="149">
        <f t="shared" si="367"/>
        <v>1</v>
      </c>
      <c r="CE334" s="149">
        <f t="shared" si="368"/>
        <v>1</v>
      </c>
      <c r="CF334" s="149">
        <f t="shared" si="369"/>
        <v>1</v>
      </c>
      <c r="CG334" s="149">
        <f t="shared" si="370"/>
        <v>1</v>
      </c>
      <c r="CH334" s="149">
        <f t="shared" si="371"/>
        <v>1</v>
      </c>
      <c r="CI334" s="149">
        <f t="shared" si="372"/>
        <v>1</v>
      </c>
      <c r="CJ334" s="149">
        <f t="shared" si="373"/>
        <v>1</v>
      </c>
      <c r="CK334" s="149">
        <f t="shared" si="374"/>
        <v>1</v>
      </c>
      <c r="CL334" s="149">
        <f t="shared" si="375"/>
        <v>1</v>
      </c>
      <c r="CM334" s="149">
        <f t="shared" si="376"/>
        <v>1</v>
      </c>
      <c r="CN334" s="149">
        <f t="shared" si="377"/>
        <v>1</v>
      </c>
      <c r="CO334" s="149">
        <f t="shared" si="378"/>
        <v>1</v>
      </c>
      <c r="CP334" s="149">
        <f t="shared" si="379"/>
        <v>1</v>
      </c>
      <c r="CQ334" s="149">
        <f t="shared" si="380"/>
        <v>1</v>
      </c>
      <c r="CR334" s="149">
        <f t="shared" si="381"/>
        <v>1</v>
      </c>
      <c r="CS334" s="149">
        <f t="shared" si="382"/>
        <v>1</v>
      </c>
      <c r="CT334" s="149">
        <f t="shared" si="383"/>
        <v>1</v>
      </c>
      <c r="CU334" s="149">
        <f t="shared" si="384"/>
        <v>1</v>
      </c>
      <c r="CV334" s="149">
        <f t="shared" si="385"/>
        <v>1</v>
      </c>
      <c r="CW334" s="149">
        <f t="shared" si="386"/>
        <v>1</v>
      </c>
      <c r="CX334" s="149">
        <f t="shared" si="387"/>
        <v>1</v>
      </c>
      <c r="CY334" s="149">
        <f t="shared" si="388"/>
        <v>1</v>
      </c>
      <c r="CZ334" s="149">
        <f t="shared" si="389"/>
        <v>1</v>
      </c>
      <c r="DA334" s="149">
        <f t="shared" si="390"/>
        <v>1</v>
      </c>
      <c r="DB334" s="149">
        <f t="shared" si="391"/>
        <v>1</v>
      </c>
      <c r="DG334" s="125">
        <f t="shared" si="296"/>
        <v>1</v>
      </c>
      <c r="DH334" s="125">
        <f t="shared" si="350"/>
        <v>2</v>
      </c>
      <c r="DI334" s="125">
        <f t="shared" si="350"/>
        <v>3</v>
      </c>
      <c r="DJ334" s="125">
        <f t="shared" si="350"/>
        <v>4</v>
      </c>
      <c r="DK334" s="125">
        <f t="shared" si="350"/>
        <v>5</v>
      </c>
      <c r="DL334" s="125">
        <f t="shared" si="350"/>
        <v>6</v>
      </c>
      <c r="DM334" s="125">
        <f t="shared" si="350"/>
        <v>7</v>
      </c>
      <c r="DN334" s="125">
        <f t="shared" si="350"/>
        <v>8</v>
      </c>
      <c r="DO334" s="125">
        <f t="shared" si="350"/>
        <v>9</v>
      </c>
      <c r="DP334" s="125">
        <f t="shared" si="350"/>
        <v>10</v>
      </c>
      <c r="DS334" s="137"/>
      <c r="DT334" s="137"/>
      <c r="DU334" s="137"/>
      <c r="DV334" s="137" t="b">
        <f t="shared" si="392"/>
        <v>0</v>
      </c>
      <c r="DW334" s="137" t="b">
        <f t="shared" si="393"/>
        <v>0</v>
      </c>
      <c r="DX334" s="137" t="b">
        <f t="shared" si="394"/>
        <v>1</v>
      </c>
      <c r="EB334" s="131">
        <f t="shared" si="395"/>
        <v>1</v>
      </c>
      <c r="EC334" s="137" t="b">
        <f t="shared" si="396"/>
        <v>0</v>
      </c>
      <c r="ED334" s="137" t="b">
        <f t="shared" si="397"/>
        <v>0</v>
      </c>
      <c r="EE334" s="137" t="b">
        <f t="shared" si="398"/>
        <v>1</v>
      </c>
      <c r="EF334" s="137"/>
      <c r="EG334" s="137"/>
      <c r="EH334" s="137"/>
      <c r="EI334" s="137"/>
      <c r="EJ334" s="137">
        <f t="shared" si="399"/>
        <v>1</v>
      </c>
      <c r="EK334" s="125">
        <f t="shared" si="400"/>
        <v>0</v>
      </c>
      <c r="EL334" s="125">
        <f t="shared" si="401"/>
        <v>0</v>
      </c>
    </row>
    <row r="335" spans="2:142" ht="15.75" x14ac:dyDescent="0.2">
      <c r="B335" s="160">
        <f t="shared" si="351"/>
        <v>305</v>
      </c>
      <c r="C335" s="290">
        <v>1001348231</v>
      </c>
      <c r="D335" s="290">
        <v>1001273598</v>
      </c>
      <c r="E335" s="290">
        <v>40000564</v>
      </c>
      <c r="F335" s="118">
        <f>IF(OR(J335="",H335=""),"",VLOOKUP(J335,'הזנה לסיווג רשויות'!$B$2:$D$301,2,0))</f>
        <v>20000201</v>
      </c>
      <c r="G335" s="118" t="str">
        <f>IF(OR(J335="",H335=""),"",VLOOKUP(J335,'הזנה לסיווג רשויות'!$B$2:$D$301,3,0))</f>
        <v>תל אביב -יפו</v>
      </c>
      <c r="H335" s="293" t="s">
        <v>731</v>
      </c>
      <c r="I335" s="201" t="s">
        <v>379</v>
      </c>
      <c r="J335" s="294">
        <v>5000</v>
      </c>
      <c r="K335" s="161">
        <v>0</v>
      </c>
      <c r="L335" s="161">
        <v>1</v>
      </c>
      <c r="M335" s="161">
        <v>0</v>
      </c>
      <c r="N335" s="161">
        <v>0</v>
      </c>
      <c r="O335" s="161">
        <v>1</v>
      </c>
      <c r="P335" s="161">
        <v>1</v>
      </c>
      <c r="Q335" s="161">
        <v>1</v>
      </c>
      <c r="R335" s="201">
        <v>315471</v>
      </c>
      <c r="S335" s="201">
        <v>235471</v>
      </c>
      <c r="T335" s="160">
        <f>IF(G335="","",IFERROR(IF(S335/R335&gt;'פרמטרים לקריטריונים'!$C$20,1,0),0))</f>
        <v>1</v>
      </c>
      <c r="U335" s="296">
        <v>235471</v>
      </c>
      <c r="V335" s="160">
        <f>IF(G335="","",IFERROR(IF(U335/R335&gt;'פרמטרים לקריטריונים'!$C$21,1,IF(AND(I335=$BW$5,U335/R335&gt;'פרמטרים לקריטריונים'!$C$22),1,0)),0))</f>
        <v>1</v>
      </c>
      <c r="W335" s="161">
        <v>1</v>
      </c>
      <c r="X335" s="161">
        <v>1</v>
      </c>
      <c r="Y335" s="299">
        <v>150000</v>
      </c>
      <c r="Z335" s="300">
        <v>150000</v>
      </c>
      <c r="AA335" s="161">
        <f t="shared" si="345"/>
        <v>1</v>
      </c>
      <c r="AB335" s="161"/>
      <c r="AC335" s="161"/>
      <c r="AD335" s="161"/>
      <c r="AE335" s="161"/>
      <c r="AF335" s="161"/>
      <c r="AG335" s="161"/>
      <c r="AH335" s="161"/>
      <c r="AI335" s="161"/>
      <c r="AJ335" s="161"/>
      <c r="AK335" s="161"/>
      <c r="AL335" s="161"/>
      <c r="AM335" s="161"/>
      <c r="AN335" s="161"/>
      <c r="AO335" s="161"/>
      <c r="AP335" s="161"/>
      <c r="AQ335" s="161"/>
      <c r="AR335" s="161"/>
      <c r="AS335" s="161"/>
      <c r="AT335" s="161"/>
      <c r="AU335" s="161"/>
      <c r="AV335" s="161"/>
      <c r="AW335" s="160"/>
      <c r="AX335" s="161"/>
      <c r="AY335" s="161"/>
      <c r="AZ335" s="161"/>
      <c r="BA335" s="161"/>
      <c r="BB335" s="161"/>
      <c r="BC335" s="161"/>
      <c r="BD335" s="161"/>
      <c r="BE335" s="161"/>
      <c r="BF335" s="160" t="str">
        <f t="shared" si="352"/>
        <v/>
      </c>
      <c r="BG335" s="160"/>
      <c r="BH335" s="160"/>
      <c r="BI335" s="160"/>
      <c r="BJ335" s="160"/>
      <c r="BK335" s="160"/>
      <c r="BL335" s="162">
        <f t="shared" si="353"/>
        <v>1</v>
      </c>
      <c r="BM335" s="257"/>
      <c r="BN335" s="163"/>
      <c r="BO335" s="211" t="str">
        <f t="shared" si="354"/>
        <v>עמותת הכוריאוגרפים (ע"ר)יוצרים עצמאיים במחול</v>
      </c>
      <c r="BP335" s="125">
        <f t="shared" si="355"/>
        <v>1</v>
      </c>
      <c r="BQ335" s="164">
        <v>0</v>
      </c>
      <c r="BR335" s="164">
        <v>1</v>
      </c>
      <c r="BS335" s="149">
        <f t="shared" si="356"/>
        <v>1</v>
      </c>
      <c r="BT335" s="149">
        <f t="shared" si="357"/>
        <v>1</v>
      </c>
      <c r="BU335" s="149">
        <f t="shared" si="358"/>
        <v>1</v>
      </c>
      <c r="BV335" s="149">
        <f t="shared" si="359"/>
        <v>1</v>
      </c>
      <c r="BW335" s="149">
        <f t="shared" si="360"/>
        <v>1</v>
      </c>
      <c r="BX335" s="149">
        <f t="shared" si="361"/>
        <v>1</v>
      </c>
      <c r="BY335" s="149">
        <f t="shared" si="362"/>
        <v>1</v>
      </c>
      <c r="BZ335" s="149">
        <f t="shared" si="363"/>
        <v>1</v>
      </c>
      <c r="CA335" s="149">
        <f t="shared" si="364"/>
        <v>1</v>
      </c>
      <c r="CB335" s="149">
        <f t="shared" si="365"/>
        <v>1</v>
      </c>
      <c r="CC335" s="149">
        <f t="shared" si="366"/>
        <v>1</v>
      </c>
      <c r="CD335" s="149">
        <f t="shared" si="367"/>
        <v>1</v>
      </c>
      <c r="CE335" s="149">
        <f t="shared" si="368"/>
        <v>1</v>
      </c>
      <c r="CF335" s="149">
        <f t="shared" si="369"/>
        <v>1</v>
      </c>
      <c r="CG335" s="149">
        <f t="shared" si="370"/>
        <v>1</v>
      </c>
      <c r="CH335" s="149">
        <f t="shared" si="371"/>
        <v>1</v>
      </c>
      <c r="CI335" s="149">
        <f t="shared" si="372"/>
        <v>1</v>
      </c>
      <c r="CJ335" s="149">
        <f t="shared" si="373"/>
        <v>1</v>
      </c>
      <c r="CK335" s="149">
        <f t="shared" si="374"/>
        <v>1</v>
      </c>
      <c r="CL335" s="149">
        <f t="shared" si="375"/>
        <v>1</v>
      </c>
      <c r="CM335" s="149">
        <f t="shared" si="376"/>
        <v>1</v>
      </c>
      <c r="CN335" s="149">
        <f t="shared" si="377"/>
        <v>1</v>
      </c>
      <c r="CO335" s="149">
        <f t="shared" si="378"/>
        <v>1</v>
      </c>
      <c r="CP335" s="149">
        <f t="shared" si="379"/>
        <v>1</v>
      </c>
      <c r="CQ335" s="149">
        <f t="shared" si="380"/>
        <v>1</v>
      </c>
      <c r="CR335" s="149">
        <f t="shared" si="381"/>
        <v>1</v>
      </c>
      <c r="CS335" s="149">
        <f t="shared" si="382"/>
        <v>1</v>
      </c>
      <c r="CT335" s="149">
        <f t="shared" si="383"/>
        <v>1</v>
      </c>
      <c r="CU335" s="149">
        <f t="shared" si="384"/>
        <v>1</v>
      </c>
      <c r="CV335" s="149">
        <f t="shared" si="385"/>
        <v>1</v>
      </c>
      <c r="CW335" s="149">
        <f t="shared" si="386"/>
        <v>1</v>
      </c>
      <c r="CX335" s="149">
        <f t="shared" si="387"/>
        <v>1</v>
      </c>
      <c r="CY335" s="149">
        <f t="shared" si="388"/>
        <v>1</v>
      </c>
      <c r="CZ335" s="149">
        <f t="shared" si="389"/>
        <v>1</v>
      </c>
      <c r="DA335" s="149">
        <f t="shared" si="390"/>
        <v>1</v>
      </c>
      <c r="DB335" s="149">
        <f t="shared" si="391"/>
        <v>1</v>
      </c>
      <c r="DG335" s="125">
        <f t="shared" si="296"/>
        <v>1</v>
      </c>
      <c r="DH335" s="125">
        <f t="shared" si="350"/>
        <v>2</v>
      </c>
      <c r="DI335" s="125">
        <f t="shared" si="350"/>
        <v>3</v>
      </c>
      <c r="DJ335" s="125">
        <f t="shared" si="350"/>
        <v>4</v>
      </c>
      <c r="DK335" s="125">
        <f t="shared" si="350"/>
        <v>5</v>
      </c>
      <c r="DL335" s="125">
        <f t="shared" si="350"/>
        <v>6</v>
      </c>
      <c r="DM335" s="125">
        <f t="shared" si="350"/>
        <v>7</v>
      </c>
      <c r="DN335" s="125">
        <f t="shared" si="350"/>
        <v>8</v>
      </c>
      <c r="DO335" s="125">
        <f t="shared" si="350"/>
        <v>9</v>
      </c>
      <c r="DP335" s="125">
        <f t="shared" si="350"/>
        <v>10</v>
      </c>
      <c r="DS335" s="137"/>
      <c r="DT335" s="137"/>
      <c r="DU335" s="137"/>
      <c r="DV335" s="137" t="b">
        <f t="shared" si="392"/>
        <v>0</v>
      </c>
      <c r="DW335" s="137" t="b">
        <f t="shared" si="393"/>
        <v>0</v>
      </c>
      <c r="DX335" s="137" t="b">
        <f t="shared" si="394"/>
        <v>1</v>
      </c>
      <c r="EB335" s="131">
        <f t="shared" si="395"/>
        <v>1</v>
      </c>
      <c r="EC335" s="137" t="b">
        <f t="shared" si="396"/>
        <v>0</v>
      </c>
      <c r="ED335" s="137" t="b">
        <f t="shared" si="397"/>
        <v>0</v>
      </c>
      <c r="EE335" s="137" t="b">
        <f t="shared" si="398"/>
        <v>1</v>
      </c>
      <c r="EF335" s="137"/>
      <c r="EG335" s="137"/>
      <c r="EH335" s="137"/>
      <c r="EI335" s="137"/>
      <c r="EJ335" s="137">
        <f t="shared" si="399"/>
        <v>1</v>
      </c>
      <c r="EK335" s="125">
        <f t="shared" si="400"/>
        <v>0</v>
      </c>
      <c r="EL335" s="125">
        <f t="shared" si="401"/>
        <v>0</v>
      </c>
    </row>
    <row r="336" spans="2:142" ht="15.75" x14ac:dyDescent="0.2">
      <c r="B336" s="160">
        <f t="shared" si="351"/>
        <v>306</v>
      </c>
      <c r="C336" s="290">
        <v>1001348232</v>
      </c>
      <c r="D336" s="290">
        <v>1001273521</v>
      </c>
      <c r="E336" s="290">
        <v>40000564</v>
      </c>
      <c r="F336" s="118">
        <f>IF(OR(J336="",H336=""),"",VLOOKUP(J336,'הזנה לסיווג רשויות'!$B$2:$D$301,2,0))</f>
        <v>20000201</v>
      </c>
      <c r="G336" s="118" t="str">
        <f>IF(OR(J336="",H336=""),"",VLOOKUP(J336,'הזנה לסיווג רשויות'!$B$2:$D$301,3,0))</f>
        <v>תל אביב -יפו</v>
      </c>
      <c r="H336" s="293" t="s">
        <v>731</v>
      </c>
      <c r="I336" s="201" t="s">
        <v>379</v>
      </c>
      <c r="J336" s="294">
        <v>5000</v>
      </c>
      <c r="K336" s="161">
        <v>0</v>
      </c>
      <c r="L336" s="161">
        <v>1</v>
      </c>
      <c r="M336" s="161">
        <v>0</v>
      </c>
      <c r="N336" s="161">
        <v>0</v>
      </c>
      <c r="O336" s="161">
        <v>1</v>
      </c>
      <c r="P336" s="161">
        <v>1</v>
      </c>
      <c r="Q336" s="161">
        <v>1</v>
      </c>
      <c r="R336" s="201">
        <v>120851</v>
      </c>
      <c r="S336" s="201">
        <v>52236</v>
      </c>
      <c r="T336" s="160">
        <f>IF(G336="","",IFERROR(IF(S336/R336&gt;'פרמטרים לקריטריונים'!$C$20,1,0),0))</f>
        <v>1</v>
      </c>
      <c r="U336" s="296">
        <v>52236</v>
      </c>
      <c r="V336" s="160">
        <f>IF(G336="","",IFERROR(IF(U336/R336&gt;'פרמטרים לקריטריונים'!$C$21,1,IF(AND(I336=$BW$5,U336/R336&gt;'פרמטרים לקריטריונים'!$C$22),1,0)),0))</f>
        <v>1</v>
      </c>
      <c r="W336" s="161">
        <v>1</v>
      </c>
      <c r="X336" s="161">
        <v>1</v>
      </c>
      <c r="Y336" s="299">
        <v>150000</v>
      </c>
      <c r="Z336" s="300">
        <v>150000</v>
      </c>
      <c r="AA336" s="161">
        <f t="shared" si="345"/>
        <v>1</v>
      </c>
      <c r="AB336" s="161"/>
      <c r="AC336" s="161"/>
      <c r="AD336" s="161"/>
      <c r="AE336" s="161"/>
      <c r="AF336" s="161"/>
      <c r="AG336" s="161"/>
      <c r="AH336" s="161"/>
      <c r="AI336" s="161"/>
      <c r="AJ336" s="161"/>
      <c r="AK336" s="161"/>
      <c r="AL336" s="161"/>
      <c r="AM336" s="161"/>
      <c r="AN336" s="161"/>
      <c r="AO336" s="161"/>
      <c r="AP336" s="161"/>
      <c r="AQ336" s="161"/>
      <c r="AR336" s="161"/>
      <c r="AS336" s="161"/>
      <c r="AT336" s="161"/>
      <c r="AU336" s="161"/>
      <c r="AV336" s="161"/>
      <c r="AW336" s="160"/>
      <c r="AX336" s="161"/>
      <c r="AY336" s="161"/>
      <c r="AZ336" s="161"/>
      <c r="BA336" s="161"/>
      <c r="BB336" s="161"/>
      <c r="BC336" s="161"/>
      <c r="BD336" s="161"/>
      <c r="BE336" s="161"/>
      <c r="BF336" s="160" t="str">
        <f t="shared" si="352"/>
        <v/>
      </c>
      <c r="BG336" s="160"/>
      <c r="BH336" s="160"/>
      <c r="BI336" s="160"/>
      <c r="BJ336" s="160"/>
      <c r="BK336" s="160"/>
      <c r="BL336" s="162">
        <f t="shared" si="353"/>
        <v>1</v>
      </c>
      <c r="BM336" s="257"/>
      <c r="BN336" s="163"/>
      <c r="BO336" s="211" t="str">
        <f t="shared" si="354"/>
        <v>עמותת הכוריאוגרפים (ע"ר)יוצרים עצמאיים במחול</v>
      </c>
      <c r="BP336" s="125">
        <f t="shared" si="355"/>
        <v>1</v>
      </c>
      <c r="BQ336" s="164">
        <v>0</v>
      </c>
      <c r="BR336" s="164">
        <v>1</v>
      </c>
      <c r="BS336" s="149">
        <f t="shared" si="356"/>
        <v>1</v>
      </c>
      <c r="BT336" s="149">
        <f t="shared" si="357"/>
        <v>1</v>
      </c>
      <c r="BU336" s="149">
        <f t="shared" si="358"/>
        <v>1</v>
      </c>
      <c r="BV336" s="149">
        <f t="shared" si="359"/>
        <v>1</v>
      </c>
      <c r="BW336" s="149">
        <f t="shared" si="360"/>
        <v>1</v>
      </c>
      <c r="BX336" s="149">
        <f t="shared" si="361"/>
        <v>1</v>
      </c>
      <c r="BY336" s="149">
        <f t="shared" si="362"/>
        <v>1</v>
      </c>
      <c r="BZ336" s="149">
        <f t="shared" si="363"/>
        <v>1</v>
      </c>
      <c r="CA336" s="149">
        <f t="shared" si="364"/>
        <v>1</v>
      </c>
      <c r="CB336" s="149">
        <f t="shared" si="365"/>
        <v>1</v>
      </c>
      <c r="CC336" s="149">
        <f t="shared" si="366"/>
        <v>1</v>
      </c>
      <c r="CD336" s="149">
        <f t="shared" si="367"/>
        <v>1</v>
      </c>
      <c r="CE336" s="149">
        <f t="shared" si="368"/>
        <v>1</v>
      </c>
      <c r="CF336" s="149">
        <f t="shared" si="369"/>
        <v>1</v>
      </c>
      <c r="CG336" s="149">
        <f t="shared" si="370"/>
        <v>1</v>
      </c>
      <c r="CH336" s="149">
        <f t="shared" si="371"/>
        <v>1</v>
      </c>
      <c r="CI336" s="149">
        <f t="shared" si="372"/>
        <v>1</v>
      </c>
      <c r="CJ336" s="149">
        <f t="shared" si="373"/>
        <v>1</v>
      </c>
      <c r="CK336" s="149">
        <f t="shared" si="374"/>
        <v>1</v>
      </c>
      <c r="CL336" s="149">
        <f t="shared" si="375"/>
        <v>1</v>
      </c>
      <c r="CM336" s="149">
        <f t="shared" si="376"/>
        <v>1</v>
      </c>
      <c r="CN336" s="149">
        <f t="shared" si="377"/>
        <v>1</v>
      </c>
      <c r="CO336" s="149">
        <f t="shared" si="378"/>
        <v>1</v>
      </c>
      <c r="CP336" s="149">
        <f t="shared" si="379"/>
        <v>1</v>
      </c>
      <c r="CQ336" s="149">
        <f t="shared" si="380"/>
        <v>1</v>
      </c>
      <c r="CR336" s="149">
        <f t="shared" si="381"/>
        <v>1</v>
      </c>
      <c r="CS336" s="149">
        <f t="shared" si="382"/>
        <v>1</v>
      </c>
      <c r="CT336" s="149">
        <f t="shared" si="383"/>
        <v>1</v>
      </c>
      <c r="CU336" s="149">
        <f t="shared" si="384"/>
        <v>1</v>
      </c>
      <c r="CV336" s="149">
        <f t="shared" si="385"/>
        <v>1</v>
      </c>
      <c r="CW336" s="149">
        <f t="shared" si="386"/>
        <v>1</v>
      </c>
      <c r="CX336" s="149">
        <f t="shared" si="387"/>
        <v>1</v>
      </c>
      <c r="CY336" s="149">
        <f t="shared" si="388"/>
        <v>1</v>
      </c>
      <c r="CZ336" s="149">
        <f t="shared" si="389"/>
        <v>1</v>
      </c>
      <c r="DA336" s="149">
        <f t="shared" si="390"/>
        <v>1</v>
      </c>
      <c r="DB336" s="149">
        <f t="shared" si="391"/>
        <v>1</v>
      </c>
      <c r="DG336" s="125">
        <f t="shared" si="296"/>
        <v>1</v>
      </c>
      <c r="DH336" s="125">
        <f t="shared" si="350"/>
        <v>2</v>
      </c>
      <c r="DI336" s="125">
        <f t="shared" si="350"/>
        <v>3</v>
      </c>
      <c r="DJ336" s="125">
        <f t="shared" si="350"/>
        <v>4</v>
      </c>
      <c r="DK336" s="125">
        <f t="shared" si="350"/>
        <v>5</v>
      </c>
      <c r="DL336" s="125">
        <f t="shared" si="350"/>
        <v>6</v>
      </c>
      <c r="DM336" s="125">
        <f t="shared" si="350"/>
        <v>7</v>
      </c>
      <c r="DN336" s="125">
        <f t="shared" si="350"/>
        <v>8</v>
      </c>
      <c r="DO336" s="125">
        <f t="shared" si="350"/>
        <v>9</v>
      </c>
      <c r="DP336" s="125">
        <f t="shared" si="350"/>
        <v>10</v>
      </c>
      <c r="DS336" s="137"/>
      <c r="DT336" s="137"/>
      <c r="DU336" s="137"/>
      <c r="DV336" s="137" t="b">
        <f t="shared" si="392"/>
        <v>0</v>
      </c>
      <c r="DW336" s="137" t="b">
        <f t="shared" si="393"/>
        <v>0</v>
      </c>
      <c r="DX336" s="137" t="b">
        <f t="shared" si="394"/>
        <v>1</v>
      </c>
      <c r="EB336" s="131">
        <f t="shared" si="395"/>
        <v>1</v>
      </c>
      <c r="EC336" s="137" t="b">
        <f t="shared" si="396"/>
        <v>0</v>
      </c>
      <c r="ED336" s="137" t="b">
        <f t="shared" si="397"/>
        <v>0</v>
      </c>
      <c r="EE336" s="137" t="b">
        <f t="shared" si="398"/>
        <v>1</v>
      </c>
      <c r="EF336" s="137"/>
      <c r="EG336" s="137"/>
      <c r="EH336" s="137"/>
      <c r="EI336" s="137"/>
      <c r="EJ336" s="137">
        <f t="shared" si="399"/>
        <v>1</v>
      </c>
      <c r="EK336" s="125">
        <f t="shared" si="400"/>
        <v>0</v>
      </c>
      <c r="EL336" s="125">
        <f t="shared" si="401"/>
        <v>0</v>
      </c>
    </row>
    <row r="337" spans="2:142" ht="15.75" x14ac:dyDescent="0.2">
      <c r="B337" s="160">
        <f t="shared" si="351"/>
        <v>307</v>
      </c>
      <c r="C337" s="290">
        <v>1001348233</v>
      </c>
      <c r="D337" s="290">
        <v>1001272589</v>
      </c>
      <c r="E337" s="290">
        <v>40000564</v>
      </c>
      <c r="F337" s="118">
        <f>IF(OR(J337="",H337=""),"",VLOOKUP(J337,'הזנה לסיווג רשויות'!$B$2:$D$301,2,0))</f>
        <v>20000201</v>
      </c>
      <c r="G337" s="118" t="str">
        <f>IF(OR(J337="",H337=""),"",VLOOKUP(J337,'הזנה לסיווג רשויות'!$B$2:$D$301,3,0))</f>
        <v>תל אביב -יפו</v>
      </c>
      <c r="H337" s="293" t="s">
        <v>731</v>
      </c>
      <c r="I337" s="201" t="s">
        <v>379</v>
      </c>
      <c r="J337" s="294">
        <v>5000</v>
      </c>
      <c r="K337" s="161">
        <v>0</v>
      </c>
      <c r="L337" s="161">
        <v>1</v>
      </c>
      <c r="M337" s="161">
        <v>0</v>
      </c>
      <c r="N337" s="161">
        <v>0</v>
      </c>
      <c r="O337" s="161">
        <v>1</v>
      </c>
      <c r="P337" s="161">
        <v>1</v>
      </c>
      <c r="Q337" s="161">
        <v>1</v>
      </c>
      <c r="R337" s="201">
        <v>132971</v>
      </c>
      <c r="S337" s="201">
        <v>75871</v>
      </c>
      <c r="T337" s="160">
        <f>IF(G337="","",IFERROR(IF(S337/R337&gt;'פרמטרים לקריטריונים'!$C$20,1,0),0))</f>
        <v>1</v>
      </c>
      <c r="U337" s="296">
        <v>42171</v>
      </c>
      <c r="V337" s="160">
        <f>IF(G337="","",IFERROR(IF(U337/R337&gt;'פרמטרים לקריטריונים'!$C$21,1,IF(AND(I337=$BW$5,U337/R337&gt;'פרמטרים לקריטריונים'!$C$22),1,0)),0))</f>
        <v>1</v>
      </c>
      <c r="W337" s="161">
        <v>1</v>
      </c>
      <c r="X337" s="161">
        <v>1</v>
      </c>
      <c r="Y337" s="299">
        <v>150000</v>
      </c>
      <c r="Z337" s="300">
        <v>150000</v>
      </c>
      <c r="AA337" s="161">
        <f t="shared" si="345"/>
        <v>1</v>
      </c>
      <c r="AB337" s="161"/>
      <c r="AC337" s="161"/>
      <c r="AD337" s="161"/>
      <c r="AE337" s="161"/>
      <c r="AF337" s="161"/>
      <c r="AG337" s="161"/>
      <c r="AH337" s="161"/>
      <c r="AI337" s="161"/>
      <c r="AJ337" s="161"/>
      <c r="AK337" s="161"/>
      <c r="AL337" s="161"/>
      <c r="AM337" s="161"/>
      <c r="AN337" s="161"/>
      <c r="AO337" s="161"/>
      <c r="AP337" s="161"/>
      <c r="AQ337" s="161"/>
      <c r="AR337" s="161"/>
      <c r="AS337" s="161"/>
      <c r="AT337" s="161"/>
      <c r="AU337" s="161"/>
      <c r="AV337" s="161"/>
      <c r="AW337" s="160"/>
      <c r="AX337" s="161"/>
      <c r="AY337" s="161"/>
      <c r="AZ337" s="161"/>
      <c r="BA337" s="161"/>
      <c r="BB337" s="161"/>
      <c r="BC337" s="161"/>
      <c r="BD337" s="161"/>
      <c r="BE337" s="161"/>
      <c r="BF337" s="160" t="str">
        <f t="shared" si="352"/>
        <v/>
      </c>
      <c r="BG337" s="160"/>
      <c r="BH337" s="160"/>
      <c r="BI337" s="160"/>
      <c r="BJ337" s="160"/>
      <c r="BK337" s="160"/>
      <c r="BL337" s="162">
        <f t="shared" si="353"/>
        <v>1</v>
      </c>
      <c r="BM337" s="257"/>
      <c r="BN337" s="163"/>
      <c r="BO337" s="211" t="str">
        <f t="shared" si="354"/>
        <v>עמותת הכוריאוגרפים (ע"ר)יוצרים עצמאיים במחול</v>
      </c>
      <c r="BP337" s="125">
        <f t="shared" si="355"/>
        <v>1</v>
      </c>
      <c r="BQ337" s="164">
        <v>0</v>
      </c>
      <c r="BR337" s="164">
        <v>1</v>
      </c>
      <c r="BS337" s="149">
        <f t="shared" si="356"/>
        <v>1</v>
      </c>
      <c r="BT337" s="149">
        <f t="shared" si="357"/>
        <v>1</v>
      </c>
      <c r="BU337" s="149">
        <f t="shared" si="358"/>
        <v>1</v>
      </c>
      <c r="BV337" s="149">
        <f t="shared" si="359"/>
        <v>1</v>
      </c>
      <c r="BW337" s="149">
        <f t="shared" si="360"/>
        <v>1</v>
      </c>
      <c r="BX337" s="149">
        <f t="shared" si="361"/>
        <v>1</v>
      </c>
      <c r="BY337" s="149">
        <f t="shared" si="362"/>
        <v>1</v>
      </c>
      <c r="BZ337" s="149">
        <f t="shared" si="363"/>
        <v>1</v>
      </c>
      <c r="CA337" s="149">
        <f t="shared" si="364"/>
        <v>1</v>
      </c>
      <c r="CB337" s="149">
        <f t="shared" si="365"/>
        <v>1</v>
      </c>
      <c r="CC337" s="149">
        <f t="shared" si="366"/>
        <v>1</v>
      </c>
      <c r="CD337" s="149">
        <f t="shared" si="367"/>
        <v>1</v>
      </c>
      <c r="CE337" s="149">
        <f t="shared" si="368"/>
        <v>1</v>
      </c>
      <c r="CF337" s="149">
        <f t="shared" si="369"/>
        <v>1</v>
      </c>
      <c r="CG337" s="149">
        <f t="shared" si="370"/>
        <v>1</v>
      </c>
      <c r="CH337" s="149">
        <f t="shared" si="371"/>
        <v>1</v>
      </c>
      <c r="CI337" s="149">
        <f t="shared" si="372"/>
        <v>1</v>
      </c>
      <c r="CJ337" s="149">
        <f t="shared" si="373"/>
        <v>1</v>
      </c>
      <c r="CK337" s="149">
        <f t="shared" si="374"/>
        <v>1</v>
      </c>
      <c r="CL337" s="149">
        <f t="shared" si="375"/>
        <v>1</v>
      </c>
      <c r="CM337" s="149">
        <f t="shared" si="376"/>
        <v>1</v>
      </c>
      <c r="CN337" s="149">
        <f t="shared" si="377"/>
        <v>1</v>
      </c>
      <c r="CO337" s="149">
        <f t="shared" si="378"/>
        <v>1</v>
      </c>
      <c r="CP337" s="149">
        <f t="shared" si="379"/>
        <v>1</v>
      </c>
      <c r="CQ337" s="149">
        <f t="shared" si="380"/>
        <v>1</v>
      </c>
      <c r="CR337" s="149">
        <f t="shared" si="381"/>
        <v>1</v>
      </c>
      <c r="CS337" s="149">
        <f t="shared" si="382"/>
        <v>1</v>
      </c>
      <c r="CT337" s="149">
        <f t="shared" si="383"/>
        <v>1</v>
      </c>
      <c r="CU337" s="149">
        <f t="shared" si="384"/>
        <v>1</v>
      </c>
      <c r="CV337" s="149">
        <f t="shared" si="385"/>
        <v>1</v>
      </c>
      <c r="CW337" s="149">
        <f t="shared" si="386"/>
        <v>1</v>
      </c>
      <c r="CX337" s="149">
        <f t="shared" si="387"/>
        <v>1</v>
      </c>
      <c r="CY337" s="149">
        <f t="shared" si="388"/>
        <v>1</v>
      </c>
      <c r="CZ337" s="149">
        <f t="shared" si="389"/>
        <v>1</v>
      </c>
      <c r="DA337" s="149">
        <f t="shared" si="390"/>
        <v>1</v>
      </c>
      <c r="DB337" s="149">
        <f t="shared" si="391"/>
        <v>1</v>
      </c>
      <c r="DG337" s="125">
        <f t="shared" si="296"/>
        <v>1</v>
      </c>
      <c r="DH337" s="125">
        <f t="shared" si="350"/>
        <v>2</v>
      </c>
      <c r="DI337" s="125">
        <f t="shared" si="350"/>
        <v>3</v>
      </c>
      <c r="DJ337" s="125">
        <f t="shared" si="350"/>
        <v>4</v>
      </c>
      <c r="DK337" s="125">
        <f t="shared" si="350"/>
        <v>5</v>
      </c>
      <c r="DL337" s="125">
        <f t="shared" si="350"/>
        <v>6</v>
      </c>
      <c r="DM337" s="125">
        <f t="shared" si="350"/>
        <v>7</v>
      </c>
      <c r="DN337" s="125">
        <f t="shared" si="350"/>
        <v>8</v>
      </c>
      <c r="DO337" s="125">
        <f t="shared" si="350"/>
        <v>9</v>
      </c>
      <c r="DP337" s="125">
        <f t="shared" si="350"/>
        <v>10</v>
      </c>
      <c r="DS337" s="137"/>
      <c r="DT337" s="137"/>
      <c r="DU337" s="137"/>
      <c r="DV337" s="137" t="b">
        <f t="shared" si="392"/>
        <v>0</v>
      </c>
      <c r="DW337" s="137" t="b">
        <f t="shared" si="393"/>
        <v>0</v>
      </c>
      <c r="DX337" s="137" t="b">
        <f t="shared" si="394"/>
        <v>1</v>
      </c>
      <c r="EB337" s="131">
        <f t="shared" si="395"/>
        <v>1</v>
      </c>
      <c r="EC337" s="137" t="b">
        <f t="shared" si="396"/>
        <v>0</v>
      </c>
      <c r="ED337" s="137" t="b">
        <f t="shared" si="397"/>
        <v>0</v>
      </c>
      <c r="EE337" s="137" t="b">
        <f t="shared" si="398"/>
        <v>1</v>
      </c>
      <c r="EF337" s="137"/>
      <c r="EG337" s="137"/>
      <c r="EH337" s="137"/>
      <c r="EI337" s="137"/>
      <c r="EJ337" s="137">
        <f t="shared" si="399"/>
        <v>1</v>
      </c>
      <c r="EK337" s="125">
        <f t="shared" si="400"/>
        <v>0</v>
      </c>
      <c r="EL337" s="125">
        <f t="shared" si="401"/>
        <v>0</v>
      </c>
    </row>
    <row r="338" spans="2:142" ht="15.75" x14ac:dyDescent="0.2">
      <c r="B338" s="160">
        <f t="shared" si="351"/>
        <v>308</v>
      </c>
      <c r="C338" s="290">
        <v>1001348234</v>
      </c>
      <c r="D338" s="290">
        <v>1001272587</v>
      </c>
      <c r="E338" s="290">
        <v>40000564</v>
      </c>
      <c r="F338" s="118">
        <f>IF(OR(J338="",H338=""),"",VLOOKUP(J338,'הזנה לסיווג רשויות'!$B$2:$D$301,2,0))</f>
        <v>20000201</v>
      </c>
      <c r="G338" s="118" t="str">
        <f>IF(OR(J338="",H338=""),"",VLOOKUP(J338,'הזנה לסיווג רשויות'!$B$2:$D$301,3,0))</f>
        <v>תל אביב -יפו</v>
      </c>
      <c r="H338" s="293" t="s">
        <v>731</v>
      </c>
      <c r="I338" s="201" t="s">
        <v>379</v>
      </c>
      <c r="J338" s="294">
        <v>5000</v>
      </c>
      <c r="K338" s="161">
        <v>0</v>
      </c>
      <c r="L338" s="161">
        <v>1</v>
      </c>
      <c r="M338" s="161">
        <v>0</v>
      </c>
      <c r="N338" s="161">
        <v>0</v>
      </c>
      <c r="O338" s="161">
        <v>1</v>
      </c>
      <c r="P338" s="161">
        <v>1</v>
      </c>
      <c r="Q338" s="161">
        <v>1</v>
      </c>
      <c r="R338" s="201">
        <v>97591</v>
      </c>
      <c r="S338" s="201">
        <v>38065</v>
      </c>
      <c r="T338" s="160">
        <f>IF(G338="","",IFERROR(IF(S338/R338&gt;'פרמטרים לקריטריונים'!$C$20,1,0),0))</f>
        <v>1</v>
      </c>
      <c r="U338" s="296">
        <v>38065</v>
      </c>
      <c r="V338" s="160">
        <f>IF(G338="","",IFERROR(IF(U338/R338&gt;'פרמטרים לקריטריונים'!$C$21,1,IF(AND(I338=$BW$5,U338/R338&gt;'פרמטרים לקריטריונים'!$C$22),1,0)),0))</f>
        <v>1</v>
      </c>
      <c r="W338" s="161">
        <v>1</v>
      </c>
      <c r="X338" s="161">
        <v>1</v>
      </c>
      <c r="Y338" s="299">
        <v>150000</v>
      </c>
      <c r="Z338" s="300">
        <v>150000</v>
      </c>
      <c r="AA338" s="161">
        <f t="shared" si="345"/>
        <v>1</v>
      </c>
      <c r="AB338" s="161"/>
      <c r="AC338" s="161"/>
      <c r="AD338" s="161"/>
      <c r="AE338" s="161"/>
      <c r="AF338" s="161"/>
      <c r="AG338" s="161"/>
      <c r="AH338" s="161"/>
      <c r="AI338" s="161"/>
      <c r="AJ338" s="161"/>
      <c r="AK338" s="161"/>
      <c r="AL338" s="161"/>
      <c r="AM338" s="161"/>
      <c r="AN338" s="161"/>
      <c r="AO338" s="161"/>
      <c r="AP338" s="161"/>
      <c r="AQ338" s="161"/>
      <c r="AR338" s="161"/>
      <c r="AS338" s="161"/>
      <c r="AT338" s="161"/>
      <c r="AU338" s="161"/>
      <c r="AV338" s="161"/>
      <c r="AW338" s="160"/>
      <c r="AX338" s="161"/>
      <c r="AY338" s="161"/>
      <c r="AZ338" s="161"/>
      <c r="BA338" s="161"/>
      <c r="BB338" s="161"/>
      <c r="BC338" s="161"/>
      <c r="BD338" s="161"/>
      <c r="BE338" s="161"/>
      <c r="BF338" s="160" t="str">
        <f t="shared" si="352"/>
        <v/>
      </c>
      <c r="BG338" s="160"/>
      <c r="BH338" s="160"/>
      <c r="BI338" s="160"/>
      <c r="BJ338" s="160"/>
      <c r="BK338" s="160"/>
      <c r="BL338" s="162">
        <f t="shared" si="353"/>
        <v>1</v>
      </c>
      <c r="BM338" s="257"/>
      <c r="BN338" s="163"/>
      <c r="BO338" s="211" t="str">
        <f t="shared" si="354"/>
        <v>עמותת הכוריאוגרפים (ע"ר)יוצרים עצמאיים במחול</v>
      </c>
      <c r="BP338" s="125">
        <f t="shared" si="355"/>
        <v>1</v>
      </c>
      <c r="BQ338" s="164">
        <v>0</v>
      </c>
      <c r="BR338" s="164">
        <v>1</v>
      </c>
      <c r="BS338" s="149">
        <f t="shared" si="356"/>
        <v>1</v>
      </c>
      <c r="BT338" s="149">
        <f t="shared" si="357"/>
        <v>1</v>
      </c>
      <c r="BU338" s="149">
        <f t="shared" si="358"/>
        <v>1</v>
      </c>
      <c r="BV338" s="149">
        <f t="shared" si="359"/>
        <v>1</v>
      </c>
      <c r="BW338" s="149">
        <f t="shared" si="360"/>
        <v>1</v>
      </c>
      <c r="BX338" s="149">
        <f t="shared" si="361"/>
        <v>1</v>
      </c>
      <c r="BY338" s="149">
        <f t="shared" si="362"/>
        <v>1</v>
      </c>
      <c r="BZ338" s="149">
        <f t="shared" si="363"/>
        <v>1</v>
      </c>
      <c r="CA338" s="149">
        <f t="shared" si="364"/>
        <v>1</v>
      </c>
      <c r="CB338" s="149">
        <f t="shared" si="365"/>
        <v>1</v>
      </c>
      <c r="CC338" s="149">
        <f t="shared" si="366"/>
        <v>1</v>
      </c>
      <c r="CD338" s="149">
        <f t="shared" si="367"/>
        <v>1</v>
      </c>
      <c r="CE338" s="149">
        <f t="shared" si="368"/>
        <v>1</v>
      </c>
      <c r="CF338" s="149">
        <f t="shared" si="369"/>
        <v>1</v>
      </c>
      <c r="CG338" s="149">
        <f t="shared" si="370"/>
        <v>1</v>
      </c>
      <c r="CH338" s="149">
        <f t="shared" si="371"/>
        <v>1</v>
      </c>
      <c r="CI338" s="149">
        <f t="shared" si="372"/>
        <v>1</v>
      </c>
      <c r="CJ338" s="149">
        <f t="shared" si="373"/>
        <v>1</v>
      </c>
      <c r="CK338" s="149">
        <f t="shared" si="374"/>
        <v>1</v>
      </c>
      <c r="CL338" s="149">
        <f t="shared" si="375"/>
        <v>1</v>
      </c>
      <c r="CM338" s="149">
        <f t="shared" si="376"/>
        <v>1</v>
      </c>
      <c r="CN338" s="149">
        <f t="shared" si="377"/>
        <v>1</v>
      </c>
      <c r="CO338" s="149">
        <f t="shared" si="378"/>
        <v>1</v>
      </c>
      <c r="CP338" s="149">
        <f t="shared" si="379"/>
        <v>1</v>
      </c>
      <c r="CQ338" s="149">
        <f t="shared" si="380"/>
        <v>1</v>
      </c>
      <c r="CR338" s="149">
        <f t="shared" si="381"/>
        <v>1</v>
      </c>
      <c r="CS338" s="149">
        <f t="shared" si="382"/>
        <v>1</v>
      </c>
      <c r="CT338" s="149">
        <f t="shared" si="383"/>
        <v>1</v>
      </c>
      <c r="CU338" s="149">
        <f t="shared" si="384"/>
        <v>1</v>
      </c>
      <c r="CV338" s="149">
        <f t="shared" si="385"/>
        <v>1</v>
      </c>
      <c r="CW338" s="149">
        <f t="shared" si="386"/>
        <v>1</v>
      </c>
      <c r="CX338" s="149">
        <f t="shared" si="387"/>
        <v>1</v>
      </c>
      <c r="CY338" s="149">
        <f t="shared" si="388"/>
        <v>1</v>
      </c>
      <c r="CZ338" s="149">
        <f t="shared" si="389"/>
        <v>1</v>
      </c>
      <c r="DA338" s="149">
        <f t="shared" si="390"/>
        <v>1</v>
      </c>
      <c r="DB338" s="149">
        <f t="shared" si="391"/>
        <v>1</v>
      </c>
      <c r="DG338" s="125">
        <f t="shared" si="296"/>
        <v>1</v>
      </c>
      <c r="DH338" s="125">
        <f t="shared" si="350"/>
        <v>2</v>
      </c>
      <c r="DI338" s="125">
        <f t="shared" si="350"/>
        <v>3</v>
      </c>
      <c r="DJ338" s="125">
        <f t="shared" si="350"/>
        <v>4</v>
      </c>
      <c r="DK338" s="125">
        <f t="shared" si="350"/>
        <v>5</v>
      </c>
      <c r="DL338" s="125">
        <f t="shared" si="350"/>
        <v>6</v>
      </c>
      <c r="DM338" s="125">
        <f t="shared" si="350"/>
        <v>7</v>
      </c>
      <c r="DN338" s="125">
        <f t="shared" si="350"/>
        <v>8</v>
      </c>
      <c r="DO338" s="125">
        <f t="shared" si="350"/>
        <v>9</v>
      </c>
      <c r="DP338" s="125">
        <f t="shared" si="350"/>
        <v>10</v>
      </c>
      <c r="DS338" s="137"/>
      <c r="DT338" s="137"/>
      <c r="DU338" s="137"/>
      <c r="DV338" s="137" t="b">
        <f t="shared" si="392"/>
        <v>0</v>
      </c>
      <c r="DW338" s="137" t="b">
        <f t="shared" si="393"/>
        <v>0</v>
      </c>
      <c r="DX338" s="137" t="b">
        <f t="shared" si="394"/>
        <v>1</v>
      </c>
      <c r="EB338" s="131">
        <f t="shared" si="395"/>
        <v>1</v>
      </c>
      <c r="EC338" s="137" t="b">
        <f t="shared" si="396"/>
        <v>0</v>
      </c>
      <c r="ED338" s="137" t="b">
        <f t="shared" si="397"/>
        <v>0</v>
      </c>
      <c r="EE338" s="137" t="b">
        <f t="shared" si="398"/>
        <v>1</v>
      </c>
      <c r="EF338" s="137"/>
      <c r="EG338" s="137"/>
      <c r="EH338" s="137"/>
      <c r="EI338" s="137"/>
      <c r="EJ338" s="137">
        <f t="shared" si="399"/>
        <v>1</v>
      </c>
      <c r="EK338" s="125">
        <f t="shared" si="400"/>
        <v>0</v>
      </c>
      <c r="EL338" s="125">
        <f t="shared" si="401"/>
        <v>0</v>
      </c>
    </row>
    <row r="339" spans="2:142" ht="15.75" x14ac:dyDescent="0.2">
      <c r="B339" s="160">
        <f t="shared" si="351"/>
        <v>309</v>
      </c>
      <c r="C339" s="290">
        <v>1001348235</v>
      </c>
      <c r="D339" s="290">
        <v>1001272585</v>
      </c>
      <c r="E339" s="290">
        <v>40000564</v>
      </c>
      <c r="F339" s="118">
        <f>IF(OR(J339="",H339=""),"",VLOOKUP(J339,'הזנה לסיווג רשויות'!$B$2:$D$301,2,0))</f>
        <v>20000201</v>
      </c>
      <c r="G339" s="118" t="str">
        <f>IF(OR(J339="",H339=""),"",VLOOKUP(J339,'הזנה לסיווג רשויות'!$B$2:$D$301,3,0))</f>
        <v>תל אביב -יפו</v>
      </c>
      <c r="H339" s="293" t="s">
        <v>731</v>
      </c>
      <c r="I339" s="201" t="s">
        <v>379</v>
      </c>
      <c r="J339" s="294">
        <v>5000</v>
      </c>
      <c r="K339" s="161">
        <v>0</v>
      </c>
      <c r="L339" s="161">
        <v>1</v>
      </c>
      <c r="M339" s="161">
        <v>0</v>
      </c>
      <c r="N339" s="161">
        <v>0</v>
      </c>
      <c r="O339" s="161">
        <v>1</v>
      </c>
      <c r="P339" s="161">
        <v>1</v>
      </c>
      <c r="Q339" s="161">
        <v>1</v>
      </c>
      <c r="R339" s="201">
        <v>47332</v>
      </c>
      <c r="S339" s="201">
        <v>47332</v>
      </c>
      <c r="T339" s="160">
        <f>IF(G339="","",IFERROR(IF(S339/R339&gt;'פרמטרים לקריטריונים'!$C$20,1,0),0))</f>
        <v>1</v>
      </c>
      <c r="U339" s="296">
        <v>38832</v>
      </c>
      <c r="V339" s="160">
        <f>IF(G339="","",IFERROR(IF(U339/R339&gt;'פרמטרים לקריטריונים'!$C$21,1,IF(AND(I339=$BW$5,U339/R339&gt;'פרמטרים לקריטריונים'!$C$22),1,0)),0))</f>
        <v>1</v>
      </c>
      <c r="W339" s="161">
        <v>1</v>
      </c>
      <c r="X339" s="161">
        <v>1</v>
      </c>
      <c r="Y339" s="299">
        <v>150000</v>
      </c>
      <c r="Z339" s="300">
        <v>150000</v>
      </c>
      <c r="AA339" s="161">
        <f t="shared" si="345"/>
        <v>1</v>
      </c>
      <c r="AB339" s="161"/>
      <c r="AC339" s="161"/>
      <c r="AD339" s="161"/>
      <c r="AE339" s="161"/>
      <c r="AF339" s="161"/>
      <c r="AG339" s="161"/>
      <c r="AH339" s="161"/>
      <c r="AI339" s="161"/>
      <c r="AJ339" s="161"/>
      <c r="AK339" s="161"/>
      <c r="AL339" s="161"/>
      <c r="AM339" s="161"/>
      <c r="AN339" s="161"/>
      <c r="AO339" s="161"/>
      <c r="AP339" s="161"/>
      <c r="AQ339" s="161"/>
      <c r="AR339" s="161"/>
      <c r="AS339" s="161"/>
      <c r="AT339" s="161"/>
      <c r="AU339" s="161"/>
      <c r="AV339" s="161"/>
      <c r="AW339" s="160"/>
      <c r="AX339" s="161"/>
      <c r="AY339" s="161"/>
      <c r="AZ339" s="161"/>
      <c r="BA339" s="161"/>
      <c r="BB339" s="161"/>
      <c r="BC339" s="161"/>
      <c r="BD339" s="161"/>
      <c r="BE339" s="161"/>
      <c r="BF339" s="160" t="str">
        <f t="shared" si="352"/>
        <v/>
      </c>
      <c r="BG339" s="160"/>
      <c r="BH339" s="160"/>
      <c r="BI339" s="160"/>
      <c r="BJ339" s="160"/>
      <c r="BK339" s="160"/>
      <c r="BL339" s="162">
        <f t="shared" si="353"/>
        <v>1</v>
      </c>
      <c r="BM339" s="257"/>
      <c r="BN339" s="163"/>
      <c r="BO339" s="211" t="str">
        <f t="shared" si="354"/>
        <v>עמותת הכוריאוגרפים (ע"ר)יוצרים עצמאיים במחול</v>
      </c>
      <c r="BP339" s="125">
        <f t="shared" si="355"/>
        <v>1</v>
      </c>
      <c r="BQ339" s="164">
        <v>0</v>
      </c>
      <c r="BR339" s="164">
        <v>1</v>
      </c>
      <c r="BS339" s="149">
        <f t="shared" si="356"/>
        <v>1</v>
      </c>
      <c r="BT339" s="149">
        <f t="shared" si="357"/>
        <v>1</v>
      </c>
      <c r="BU339" s="149">
        <f t="shared" si="358"/>
        <v>1</v>
      </c>
      <c r="BV339" s="149">
        <f t="shared" si="359"/>
        <v>1</v>
      </c>
      <c r="BW339" s="149">
        <f t="shared" si="360"/>
        <v>1</v>
      </c>
      <c r="BX339" s="149">
        <f t="shared" si="361"/>
        <v>1</v>
      </c>
      <c r="BY339" s="149">
        <f t="shared" si="362"/>
        <v>1</v>
      </c>
      <c r="BZ339" s="149">
        <f t="shared" si="363"/>
        <v>1</v>
      </c>
      <c r="CA339" s="149">
        <f t="shared" si="364"/>
        <v>1</v>
      </c>
      <c r="CB339" s="149">
        <f t="shared" si="365"/>
        <v>1</v>
      </c>
      <c r="CC339" s="149">
        <f t="shared" si="366"/>
        <v>1</v>
      </c>
      <c r="CD339" s="149">
        <f t="shared" si="367"/>
        <v>1</v>
      </c>
      <c r="CE339" s="149">
        <f t="shared" si="368"/>
        <v>1</v>
      </c>
      <c r="CF339" s="149">
        <f t="shared" si="369"/>
        <v>1</v>
      </c>
      <c r="CG339" s="149">
        <f t="shared" si="370"/>
        <v>1</v>
      </c>
      <c r="CH339" s="149">
        <f t="shared" si="371"/>
        <v>1</v>
      </c>
      <c r="CI339" s="149">
        <f t="shared" si="372"/>
        <v>1</v>
      </c>
      <c r="CJ339" s="149">
        <f t="shared" si="373"/>
        <v>1</v>
      </c>
      <c r="CK339" s="149">
        <f t="shared" si="374"/>
        <v>1</v>
      </c>
      <c r="CL339" s="149">
        <f t="shared" si="375"/>
        <v>1</v>
      </c>
      <c r="CM339" s="149">
        <f t="shared" si="376"/>
        <v>1</v>
      </c>
      <c r="CN339" s="149">
        <f t="shared" si="377"/>
        <v>1</v>
      </c>
      <c r="CO339" s="149">
        <f t="shared" si="378"/>
        <v>1</v>
      </c>
      <c r="CP339" s="149">
        <f t="shared" si="379"/>
        <v>1</v>
      </c>
      <c r="CQ339" s="149">
        <f t="shared" si="380"/>
        <v>1</v>
      </c>
      <c r="CR339" s="149">
        <f t="shared" si="381"/>
        <v>1</v>
      </c>
      <c r="CS339" s="149">
        <f t="shared" si="382"/>
        <v>1</v>
      </c>
      <c r="CT339" s="149">
        <f t="shared" si="383"/>
        <v>1</v>
      </c>
      <c r="CU339" s="149">
        <f t="shared" si="384"/>
        <v>1</v>
      </c>
      <c r="CV339" s="149">
        <f t="shared" si="385"/>
        <v>1</v>
      </c>
      <c r="CW339" s="149">
        <f t="shared" si="386"/>
        <v>1</v>
      </c>
      <c r="CX339" s="149">
        <f t="shared" si="387"/>
        <v>1</v>
      </c>
      <c r="CY339" s="149">
        <f t="shared" si="388"/>
        <v>1</v>
      </c>
      <c r="CZ339" s="149">
        <f t="shared" si="389"/>
        <v>1</v>
      </c>
      <c r="DA339" s="149">
        <f t="shared" si="390"/>
        <v>1</v>
      </c>
      <c r="DB339" s="149">
        <f t="shared" si="391"/>
        <v>1</v>
      </c>
      <c r="DG339" s="125">
        <f t="shared" si="296"/>
        <v>1</v>
      </c>
      <c r="DH339" s="125">
        <f t="shared" si="350"/>
        <v>2</v>
      </c>
      <c r="DI339" s="125">
        <f t="shared" si="350"/>
        <v>3</v>
      </c>
      <c r="DJ339" s="125">
        <f t="shared" si="350"/>
        <v>4</v>
      </c>
      <c r="DK339" s="125">
        <f t="shared" si="350"/>
        <v>5</v>
      </c>
      <c r="DL339" s="125">
        <f t="shared" si="350"/>
        <v>6</v>
      </c>
      <c r="DM339" s="125">
        <f t="shared" si="350"/>
        <v>7</v>
      </c>
      <c r="DN339" s="125">
        <f t="shared" si="350"/>
        <v>8</v>
      </c>
      <c r="DO339" s="125">
        <f t="shared" si="350"/>
        <v>9</v>
      </c>
      <c r="DP339" s="125">
        <f t="shared" si="350"/>
        <v>10</v>
      </c>
      <c r="DS339" s="137"/>
      <c r="DT339" s="137"/>
      <c r="DU339" s="137"/>
      <c r="DV339" s="137" t="b">
        <f t="shared" si="392"/>
        <v>0</v>
      </c>
      <c r="DW339" s="137" t="b">
        <f t="shared" si="393"/>
        <v>0</v>
      </c>
      <c r="DX339" s="137" t="b">
        <f t="shared" si="394"/>
        <v>1</v>
      </c>
      <c r="EB339" s="131">
        <f t="shared" si="395"/>
        <v>1</v>
      </c>
      <c r="EC339" s="137" t="b">
        <f t="shared" si="396"/>
        <v>0</v>
      </c>
      <c r="ED339" s="137" t="b">
        <f t="shared" si="397"/>
        <v>0</v>
      </c>
      <c r="EE339" s="137" t="b">
        <f t="shared" si="398"/>
        <v>1</v>
      </c>
      <c r="EF339" s="137"/>
      <c r="EG339" s="137"/>
      <c r="EH339" s="137"/>
      <c r="EI339" s="137"/>
      <c r="EJ339" s="137">
        <f t="shared" si="399"/>
        <v>1</v>
      </c>
      <c r="EK339" s="125">
        <f t="shared" si="400"/>
        <v>0</v>
      </c>
      <c r="EL339" s="125">
        <f t="shared" si="401"/>
        <v>0</v>
      </c>
    </row>
    <row r="340" spans="2:142" ht="15.75" x14ac:dyDescent="0.2">
      <c r="B340" s="160">
        <f t="shared" si="351"/>
        <v>310</v>
      </c>
      <c r="C340" s="290">
        <v>1001348236</v>
      </c>
      <c r="D340" s="290">
        <v>1001272586</v>
      </c>
      <c r="E340" s="290">
        <v>40000564</v>
      </c>
      <c r="F340" s="118">
        <f>IF(OR(J340="",H340=""),"",VLOOKUP(J340,'הזנה לסיווג רשויות'!$B$2:$D$301,2,0))</f>
        <v>20000201</v>
      </c>
      <c r="G340" s="118" t="str">
        <f>IF(OR(J340="",H340=""),"",VLOOKUP(J340,'הזנה לסיווג רשויות'!$B$2:$D$301,3,0))</f>
        <v>תל אביב -יפו</v>
      </c>
      <c r="H340" s="293" t="s">
        <v>731</v>
      </c>
      <c r="I340" s="201" t="s">
        <v>379</v>
      </c>
      <c r="J340" s="294">
        <v>5000</v>
      </c>
      <c r="K340" s="161">
        <v>0</v>
      </c>
      <c r="L340" s="161">
        <v>1</v>
      </c>
      <c r="M340" s="161">
        <v>0</v>
      </c>
      <c r="N340" s="161">
        <v>0</v>
      </c>
      <c r="O340" s="161">
        <v>1</v>
      </c>
      <c r="P340" s="161">
        <v>1</v>
      </c>
      <c r="Q340" s="161">
        <v>1</v>
      </c>
      <c r="R340" s="201">
        <v>41582</v>
      </c>
      <c r="S340" s="201">
        <v>41582</v>
      </c>
      <c r="T340" s="160">
        <f>IF(G340="","",IFERROR(IF(S340/R340&gt;'פרמטרים לקריטריונים'!$C$20,1,0),0))</f>
        <v>1</v>
      </c>
      <c r="U340" s="296">
        <v>41582</v>
      </c>
      <c r="V340" s="160">
        <f>IF(G340="","",IFERROR(IF(U340/R340&gt;'פרמטרים לקריטריונים'!$C$21,1,IF(AND(I340=$BW$5,U340/R340&gt;'פרמטרים לקריטריונים'!$C$22),1,0)),0))</f>
        <v>1</v>
      </c>
      <c r="W340" s="161">
        <v>1</v>
      </c>
      <c r="X340" s="161">
        <v>1</v>
      </c>
      <c r="Y340" s="299">
        <v>150000</v>
      </c>
      <c r="Z340" s="300">
        <v>150000</v>
      </c>
      <c r="AA340" s="161">
        <f t="shared" si="345"/>
        <v>1</v>
      </c>
      <c r="AB340" s="161"/>
      <c r="AC340" s="161"/>
      <c r="AD340" s="161"/>
      <c r="AE340" s="161"/>
      <c r="AF340" s="161"/>
      <c r="AG340" s="161"/>
      <c r="AH340" s="161"/>
      <c r="AI340" s="161"/>
      <c r="AJ340" s="161"/>
      <c r="AK340" s="161"/>
      <c r="AL340" s="161"/>
      <c r="AM340" s="161"/>
      <c r="AN340" s="161"/>
      <c r="AO340" s="161"/>
      <c r="AP340" s="161"/>
      <c r="AQ340" s="161"/>
      <c r="AR340" s="161"/>
      <c r="AS340" s="161"/>
      <c r="AT340" s="161"/>
      <c r="AU340" s="161"/>
      <c r="AV340" s="161"/>
      <c r="AW340" s="160"/>
      <c r="AX340" s="161"/>
      <c r="AY340" s="161"/>
      <c r="AZ340" s="161"/>
      <c r="BA340" s="161"/>
      <c r="BB340" s="161"/>
      <c r="BC340" s="161"/>
      <c r="BD340" s="161"/>
      <c r="BE340" s="161"/>
      <c r="BF340" s="160" t="str">
        <f t="shared" si="352"/>
        <v/>
      </c>
      <c r="BG340" s="160"/>
      <c r="BH340" s="160"/>
      <c r="BI340" s="160"/>
      <c r="BJ340" s="160"/>
      <c r="BK340" s="160"/>
      <c r="BL340" s="162">
        <f t="shared" si="353"/>
        <v>1</v>
      </c>
      <c r="BM340" s="257"/>
      <c r="BN340" s="163"/>
      <c r="BO340" s="211" t="str">
        <f t="shared" si="354"/>
        <v>עמותת הכוריאוגרפים (ע"ר)יוצרים עצמאיים במחול</v>
      </c>
      <c r="BP340" s="125">
        <f t="shared" si="355"/>
        <v>1</v>
      </c>
      <c r="BQ340" s="164">
        <v>0</v>
      </c>
      <c r="BR340" s="164">
        <v>1</v>
      </c>
      <c r="BS340" s="149">
        <f t="shared" si="356"/>
        <v>1</v>
      </c>
      <c r="BT340" s="149">
        <f t="shared" si="357"/>
        <v>1</v>
      </c>
      <c r="BU340" s="149">
        <f t="shared" si="358"/>
        <v>1</v>
      </c>
      <c r="BV340" s="149">
        <f t="shared" si="359"/>
        <v>1</v>
      </c>
      <c r="BW340" s="149">
        <f t="shared" si="360"/>
        <v>1</v>
      </c>
      <c r="BX340" s="149">
        <f t="shared" si="361"/>
        <v>1</v>
      </c>
      <c r="BY340" s="149">
        <f t="shared" si="362"/>
        <v>1</v>
      </c>
      <c r="BZ340" s="149">
        <f t="shared" si="363"/>
        <v>1</v>
      </c>
      <c r="CA340" s="149">
        <f t="shared" si="364"/>
        <v>1</v>
      </c>
      <c r="CB340" s="149">
        <f t="shared" si="365"/>
        <v>1</v>
      </c>
      <c r="CC340" s="149">
        <f t="shared" si="366"/>
        <v>1</v>
      </c>
      <c r="CD340" s="149">
        <f t="shared" si="367"/>
        <v>1</v>
      </c>
      <c r="CE340" s="149">
        <f t="shared" si="368"/>
        <v>1</v>
      </c>
      <c r="CF340" s="149">
        <f t="shared" si="369"/>
        <v>1</v>
      </c>
      <c r="CG340" s="149">
        <f t="shared" si="370"/>
        <v>1</v>
      </c>
      <c r="CH340" s="149">
        <f t="shared" si="371"/>
        <v>1</v>
      </c>
      <c r="CI340" s="149">
        <f t="shared" si="372"/>
        <v>1</v>
      </c>
      <c r="CJ340" s="149">
        <f t="shared" si="373"/>
        <v>1</v>
      </c>
      <c r="CK340" s="149">
        <f t="shared" si="374"/>
        <v>1</v>
      </c>
      <c r="CL340" s="149">
        <f t="shared" si="375"/>
        <v>1</v>
      </c>
      <c r="CM340" s="149">
        <f t="shared" si="376"/>
        <v>1</v>
      </c>
      <c r="CN340" s="149">
        <f t="shared" si="377"/>
        <v>1</v>
      </c>
      <c r="CO340" s="149">
        <f t="shared" si="378"/>
        <v>1</v>
      </c>
      <c r="CP340" s="149">
        <f t="shared" si="379"/>
        <v>1</v>
      </c>
      <c r="CQ340" s="149">
        <f t="shared" si="380"/>
        <v>1</v>
      </c>
      <c r="CR340" s="149">
        <f t="shared" si="381"/>
        <v>1</v>
      </c>
      <c r="CS340" s="149">
        <f t="shared" si="382"/>
        <v>1</v>
      </c>
      <c r="CT340" s="149">
        <f t="shared" si="383"/>
        <v>1</v>
      </c>
      <c r="CU340" s="149">
        <f t="shared" si="384"/>
        <v>1</v>
      </c>
      <c r="CV340" s="149">
        <f t="shared" si="385"/>
        <v>1</v>
      </c>
      <c r="CW340" s="149">
        <f t="shared" si="386"/>
        <v>1</v>
      </c>
      <c r="CX340" s="149">
        <f t="shared" si="387"/>
        <v>1</v>
      </c>
      <c r="CY340" s="149">
        <f t="shared" si="388"/>
        <v>1</v>
      </c>
      <c r="CZ340" s="149">
        <f t="shared" si="389"/>
        <v>1</v>
      </c>
      <c r="DA340" s="149">
        <f t="shared" si="390"/>
        <v>1</v>
      </c>
      <c r="DB340" s="149">
        <f t="shared" si="391"/>
        <v>1</v>
      </c>
      <c r="DG340" s="125">
        <f t="shared" si="296"/>
        <v>1</v>
      </c>
      <c r="DH340" s="125">
        <f t="shared" si="350"/>
        <v>2</v>
      </c>
      <c r="DI340" s="125">
        <f t="shared" si="350"/>
        <v>3</v>
      </c>
      <c r="DJ340" s="125">
        <f t="shared" si="350"/>
        <v>4</v>
      </c>
      <c r="DK340" s="125">
        <f t="shared" si="350"/>
        <v>5</v>
      </c>
      <c r="DL340" s="125">
        <f t="shared" si="350"/>
        <v>6</v>
      </c>
      <c r="DM340" s="125">
        <f t="shared" si="350"/>
        <v>7</v>
      </c>
      <c r="DN340" s="125">
        <f t="shared" si="350"/>
        <v>8</v>
      </c>
      <c r="DO340" s="125">
        <f t="shared" si="350"/>
        <v>9</v>
      </c>
      <c r="DP340" s="125">
        <f t="shared" si="350"/>
        <v>10</v>
      </c>
      <c r="DS340" s="137"/>
      <c r="DT340" s="137"/>
      <c r="DU340" s="137"/>
      <c r="DV340" s="137" t="b">
        <f t="shared" si="392"/>
        <v>0</v>
      </c>
      <c r="DW340" s="137" t="b">
        <f t="shared" si="393"/>
        <v>0</v>
      </c>
      <c r="DX340" s="137" t="b">
        <f t="shared" si="394"/>
        <v>1</v>
      </c>
      <c r="EB340" s="131">
        <f t="shared" si="395"/>
        <v>1</v>
      </c>
      <c r="EC340" s="137" t="b">
        <f t="shared" si="396"/>
        <v>0</v>
      </c>
      <c r="ED340" s="137" t="b">
        <f t="shared" si="397"/>
        <v>0</v>
      </c>
      <c r="EE340" s="137" t="b">
        <f t="shared" si="398"/>
        <v>1</v>
      </c>
      <c r="EF340" s="137"/>
      <c r="EG340" s="137"/>
      <c r="EH340" s="137"/>
      <c r="EI340" s="137"/>
      <c r="EJ340" s="137">
        <f t="shared" si="399"/>
        <v>1</v>
      </c>
      <c r="EK340" s="125">
        <f t="shared" si="400"/>
        <v>0</v>
      </c>
      <c r="EL340" s="125">
        <f t="shared" si="401"/>
        <v>0</v>
      </c>
    </row>
    <row r="341" spans="2:142" ht="15.75" x14ac:dyDescent="0.2">
      <c r="B341" s="160">
        <f t="shared" si="351"/>
        <v>311</v>
      </c>
      <c r="C341" s="290">
        <v>1001348240</v>
      </c>
      <c r="D341" s="290">
        <v>1001270940</v>
      </c>
      <c r="E341" s="290">
        <v>40000564</v>
      </c>
      <c r="F341" s="118">
        <f>IF(OR(J341="",H341=""),"",VLOOKUP(J341,'הזנה לסיווג רשויות'!$B$2:$D$301,2,0))</f>
        <v>20000201</v>
      </c>
      <c r="G341" s="118" t="str">
        <f>IF(OR(J341="",H341=""),"",VLOOKUP(J341,'הזנה לסיווג רשויות'!$B$2:$D$301,3,0))</f>
        <v>תל אביב -יפו</v>
      </c>
      <c r="H341" s="293" t="s">
        <v>731</v>
      </c>
      <c r="I341" s="201" t="s">
        <v>379</v>
      </c>
      <c r="J341" s="294">
        <v>5000</v>
      </c>
      <c r="K341" s="161">
        <v>0</v>
      </c>
      <c r="L341" s="161">
        <v>1</v>
      </c>
      <c r="M341" s="161">
        <v>0</v>
      </c>
      <c r="N341" s="161">
        <v>0</v>
      </c>
      <c r="O341" s="161">
        <v>1</v>
      </c>
      <c r="P341" s="161">
        <v>1</v>
      </c>
      <c r="Q341" s="161">
        <v>1</v>
      </c>
      <c r="R341" s="201">
        <v>186183</v>
      </c>
      <c r="S341" s="201">
        <v>52044</v>
      </c>
      <c r="T341" s="160">
        <f>IF(G341="","",IFERROR(IF(S341/R341&gt;'פרמטרים לקריטריונים'!$C$20,1,0),0))</f>
        <v>1</v>
      </c>
      <c r="U341" s="296">
        <v>52044</v>
      </c>
      <c r="V341" s="160">
        <f>IF(G341="","",IFERROR(IF(U341/R341&gt;'פרמטרים לקריטריונים'!$C$21,1,IF(AND(I341=$BW$5,U341/R341&gt;'פרמטרים לקריטריונים'!$C$22),1,0)),0))</f>
        <v>1</v>
      </c>
      <c r="W341" s="161">
        <v>1</v>
      </c>
      <c r="X341" s="161">
        <v>1</v>
      </c>
      <c r="Y341" s="299">
        <v>150000</v>
      </c>
      <c r="Z341" s="300">
        <v>150000</v>
      </c>
      <c r="AA341" s="161">
        <f t="shared" si="345"/>
        <v>1</v>
      </c>
      <c r="AB341" s="161"/>
      <c r="AC341" s="161"/>
      <c r="AD341" s="161"/>
      <c r="AE341" s="161"/>
      <c r="AF341" s="161"/>
      <c r="AG341" s="161"/>
      <c r="AH341" s="161"/>
      <c r="AI341" s="161"/>
      <c r="AJ341" s="161"/>
      <c r="AK341" s="161"/>
      <c r="AL341" s="161"/>
      <c r="AM341" s="161"/>
      <c r="AN341" s="161"/>
      <c r="AO341" s="161"/>
      <c r="AP341" s="161"/>
      <c r="AQ341" s="161"/>
      <c r="AR341" s="161"/>
      <c r="AS341" s="161"/>
      <c r="AT341" s="161"/>
      <c r="AU341" s="161"/>
      <c r="AV341" s="161"/>
      <c r="AW341" s="160"/>
      <c r="AX341" s="161"/>
      <c r="AY341" s="161"/>
      <c r="AZ341" s="161"/>
      <c r="BA341" s="161"/>
      <c r="BB341" s="161"/>
      <c r="BC341" s="161"/>
      <c r="BD341" s="161"/>
      <c r="BE341" s="161"/>
      <c r="BF341" s="160" t="str">
        <f t="shared" si="352"/>
        <v/>
      </c>
      <c r="BG341" s="160"/>
      <c r="BH341" s="160"/>
      <c r="BI341" s="160"/>
      <c r="BJ341" s="160"/>
      <c r="BK341" s="160"/>
      <c r="BL341" s="162">
        <f t="shared" si="353"/>
        <v>1</v>
      </c>
      <c r="BM341" s="257"/>
      <c r="BN341" s="163"/>
      <c r="BO341" s="211" t="str">
        <f t="shared" si="354"/>
        <v>עמותת הכוריאוגרפים (ע"ר)יוצרים עצמאיים במחול</v>
      </c>
      <c r="BP341" s="125">
        <f t="shared" si="355"/>
        <v>1</v>
      </c>
      <c r="BQ341" s="164">
        <v>0</v>
      </c>
      <c r="BR341" s="164">
        <v>1</v>
      </c>
      <c r="BS341" s="149">
        <f t="shared" si="356"/>
        <v>1</v>
      </c>
      <c r="BT341" s="149">
        <f t="shared" si="357"/>
        <v>1</v>
      </c>
      <c r="BU341" s="149">
        <f t="shared" si="358"/>
        <v>1</v>
      </c>
      <c r="BV341" s="149">
        <f t="shared" si="359"/>
        <v>1</v>
      </c>
      <c r="BW341" s="149">
        <f t="shared" si="360"/>
        <v>1</v>
      </c>
      <c r="BX341" s="149">
        <f t="shared" si="361"/>
        <v>1</v>
      </c>
      <c r="BY341" s="149">
        <f t="shared" si="362"/>
        <v>1</v>
      </c>
      <c r="BZ341" s="149">
        <f t="shared" si="363"/>
        <v>1</v>
      </c>
      <c r="CA341" s="149">
        <f t="shared" si="364"/>
        <v>1</v>
      </c>
      <c r="CB341" s="149">
        <f t="shared" si="365"/>
        <v>1</v>
      </c>
      <c r="CC341" s="149">
        <f t="shared" si="366"/>
        <v>1</v>
      </c>
      <c r="CD341" s="149">
        <f t="shared" si="367"/>
        <v>1</v>
      </c>
      <c r="CE341" s="149">
        <f t="shared" si="368"/>
        <v>1</v>
      </c>
      <c r="CF341" s="149">
        <f t="shared" si="369"/>
        <v>1</v>
      </c>
      <c r="CG341" s="149">
        <f t="shared" si="370"/>
        <v>1</v>
      </c>
      <c r="CH341" s="149">
        <f t="shared" si="371"/>
        <v>1</v>
      </c>
      <c r="CI341" s="149">
        <f t="shared" si="372"/>
        <v>1</v>
      </c>
      <c r="CJ341" s="149">
        <f t="shared" si="373"/>
        <v>1</v>
      </c>
      <c r="CK341" s="149">
        <f t="shared" si="374"/>
        <v>1</v>
      </c>
      <c r="CL341" s="149">
        <f t="shared" si="375"/>
        <v>1</v>
      </c>
      <c r="CM341" s="149">
        <f t="shared" si="376"/>
        <v>1</v>
      </c>
      <c r="CN341" s="149">
        <f t="shared" si="377"/>
        <v>1</v>
      </c>
      <c r="CO341" s="149">
        <f t="shared" si="378"/>
        <v>1</v>
      </c>
      <c r="CP341" s="149">
        <f t="shared" si="379"/>
        <v>1</v>
      </c>
      <c r="CQ341" s="149">
        <f t="shared" si="380"/>
        <v>1</v>
      </c>
      <c r="CR341" s="149">
        <f t="shared" si="381"/>
        <v>1</v>
      </c>
      <c r="CS341" s="149">
        <f t="shared" si="382"/>
        <v>1</v>
      </c>
      <c r="CT341" s="149">
        <f t="shared" si="383"/>
        <v>1</v>
      </c>
      <c r="CU341" s="149">
        <f t="shared" si="384"/>
        <v>1</v>
      </c>
      <c r="CV341" s="149">
        <f t="shared" si="385"/>
        <v>1</v>
      </c>
      <c r="CW341" s="149">
        <f t="shared" si="386"/>
        <v>1</v>
      </c>
      <c r="CX341" s="149">
        <f t="shared" si="387"/>
        <v>1</v>
      </c>
      <c r="CY341" s="149">
        <f t="shared" si="388"/>
        <v>1</v>
      </c>
      <c r="CZ341" s="149">
        <f t="shared" si="389"/>
        <v>1</v>
      </c>
      <c r="DA341" s="149">
        <f t="shared" si="390"/>
        <v>1</v>
      </c>
      <c r="DB341" s="149">
        <f t="shared" si="391"/>
        <v>1</v>
      </c>
      <c r="DG341" s="125">
        <f t="shared" si="296"/>
        <v>1</v>
      </c>
      <c r="DH341" s="125">
        <f t="shared" si="350"/>
        <v>2</v>
      </c>
      <c r="DI341" s="125">
        <f t="shared" si="350"/>
        <v>3</v>
      </c>
      <c r="DJ341" s="125">
        <f t="shared" si="350"/>
        <v>4</v>
      </c>
      <c r="DK341" s="125">
        <f t="shared" si="350"/>
        <v>5</v>
      </c>
      <c r="DL341" s="125">
        <f t="shared" si="350"/>
        <v>6</v>
      </c>
      <c r="DM341" s="125">
        <f t="shared" si="350"/>
        <v>7</v>
      </c>
      <c r="DN341" s="125">
        <f t="shared" si="350"/>
        <v>8</v>
      </c>
      <c r="DO341" s="125">
        <f t="shared" si="350"/>
        <v>9</v>
      </c>
      <c r="DP341" s="125">
        <f t="shared" si="350"/>
        <v>10</v>
      </c>
      <c r="DS341" s="137"/>
      <c r="DT341" s="137"/>
      <c r="DU341" s="137"/>
      <c r="DV341" s="137" t="b">
        <f t="shared" si="392"/>
        <v>0</v>
      </c>
      <c r="DW341" s="137" t="b">
        <f t="shared" si="393"/>
        <v>0</v>
      </c>
      <c r="DX341" s="137" t="b">
        <f t="shared" si="394"/>
        <v>1</v>
      </c>
      <c r="EB341" s="131">
        <f t="shared" si="395"/>
        <v>1</v>
      </c>
      <c r="EC341" s="137" t="b">
        <f t="shared" si="396"/>
        <v>0</v>
      </c>
      <c r="ED341" s="137" t="b">
        <f t="shared" si="397"/>
        <v>0</v>
      </c>
      <c r="EE341" s="137" t="b">
        <f t="shared" si="398"/>
        <v>1</v>
      </c>
      <c r="EF341" s="137"/>
      <c r="EG341" s="137"/>
      <c r="EH341" s="137"/>
      <c r="EI341" s="137"/>
      <c r="EJ341" s="137">
        <f t="shared" si="399"/>
        <v>1</v>
      </c>
      <c r="EK341" s="125">
        <f t="shared" si="400"/>
        <v>0</v>
      </c>
      <c r="EL341" s="125">
        <f t="shared" si="401"/>
        <v>0</v>
      </c>
    </row>
    <row r="342" spans="2:142" ht="15.75" x14ac:dyDescent="0.2">
      <c r="B342" s="160">
        <f t="shared" si="351"/>
        <v>312</v>
      </c>
      <c r="C342" s="290">
        <v>1001348241</v>
      </c>
      <c r="D342" s="290">
        <v>1001272574</v>
      </c>
      <c r="E342" s="290">
        <v>40000564</v>
      </c>
      <c r="F342" s="118">
        <f>IF(OR(J342="",H342=""),"",VLOOKUP(J342,'הזנה לסיווג רשויות'!$B$2:$D$301,2,0))</f>
        <v>20000201</v>
      </c>
      <c r="G342" s="118" t="str">
        <f>IF(OR(J342="",H342=""),"",VLOOKUP(J342,'הזנה לסיווג רשויות'!$B$2:$D$301,3,0))</f>
        <v>תל אביב -יפו</v>
      </c>
      <c r="H342" s="293" t="s">
        <v>731</v>
      </c>
      <c r="I342" s="201" t="s">
        <v>379</v>
      </c>
      <c r="J342" s="294">
        <v>5000</v>
      </c>
      <c r="K342" s="161">
        <v>0</v>
      </c>
      <c r="L342" s="161">
        <v>1</v>
      </c>
      <c r="M342" s="161">
        <v>0</v>
      </c>
      <c r="N342" s="161">
        <v>0</v>
      </c>
      <c r="O342" s="161">
        <v>1</v>
      </c>
      <c r="P342" s="161">
        <v>1</v>
      </c>
      <c r="Q342" s="161">
        <v>1</v>
      </c>
      <c r="R342" s="201">
        <v>215650</v>
      </c>
      <c r="S342" s="201">
        <v>166975</v>
      </c>
      <c r="T342" s="160">
        <f>IF(G342="","",IFERROR(IF(S342/R342&gt;'פרמטרים לקריטריונים'!$C$20,1,0),0))</f>
        <v>1</v>
      </c>
      <c r="U342" s="296">
        <v>159975</v>
      </c>
      <c r="V342" s="160">
        <f>IF(G342="","",IFERROR(IF(U342/R342&gt;'פרמטרים לקריטריונים'!$C$21,1,IF(AND(I342=$BW$5,U342/R342&gt;'פרמטרים לקריטריונים'!$C$22),1,0)),0))</f>
        <v>1</v>
      </c>
      <c r="W342" s="161">
        <v>1</v>
      </c>
      <c r="X342" s="161">
        <v>1</v>
      </c>
      <c r="Y342" s="299">
        <v>150000</v>
      </c>
      <c r="Z342" s="300">
        <v>150000</v>
      </c>
      <c r="AA342" s="161">
        <f t="shared" si="345"/>
        <v>1</v>
      </c>
      <c r="AB342" s="161"/>
      <c r="AC342" s="161"/>
      <c r="AD342" s="161"/>
      <c r="AE342" s="161"/>
      <c r="AF342" s="161"/>
      <c r="AG342" s="161"/>
      <c r="AH342" s="161"/>
      <c r="AI342" s="161"/>
      <c r="AJ342" s="161"/>
      <c r="AK342" s="161"/>
      <c r="AL342" s="161"/>
      <c r="AM342" s="161"/>
      <c r="AN342" s="161"/>
      <c r="AO342" s="161"/>
      <c r="AP342" s="161"/>
      <c r="AQ342" s="161"/>
      <c r="AR342" s="161"/>
      <c r="AS342" s="161"/>
      <c r="AT342" s="161"/>
      <c r="AU342" s="161"/>
      <c r="AV342" s="161"/>
      <c r="AW342" s="160"/>
      <c r="AX342" s="161"/>
      <c r="AY342" s="161"/>
      <c r="AZ342" s="161"/>
      <c r="BA342" s="161"/>
      <c r="BB342" s="161"/>
      <c r="BC342" s="161"/>
      <c r="BD342" s="161"/>
      <c r="BE342" s="161"/>
      <c r="BF342" s="160" t="str">
        <f t="shared" si="352"/>
        <v/>
      </c>
      <c r="BG342" s="160"/>
      <c r="BH342" s="160"/>
      <c r="BI342" s="160"/>
      <c r="BJ342" s="160"/>
      <c r="BK342" s="160"/>
      <c r="BL342" s="162">
        <f t="shared" si="353"/>
        <v>1</v>
      </c>
      <c r="BM342" s="257"/>
      <c r="BN342" s="163"/>
      <c r="BO342" s="211" t="str">
        <f t="shared" si="354"/>
        <v>עמותת הכוריאוגרפים (ע"ר)יוצרים עצמאיים במחול</v>
      </c>
      <c r="BP342" s="125">
        <f t="shared" si="355"/>
        <v>1</v>
      </c>
      <c r="BQ342" s="164">
        <v>0</v>
      </c>
      <c r="BR342" s="164">
        <v>1</v>
      </c>
      <c r="BS342" s="149">
        <f t="shared" si="356"/>
        <v>1</v>
      </c>
      <c r="BT342" s="149">
        <f t="shared" si="357"/>
        <v>1</v>
      </c>
      <c r="BU342" s="149">
        <f t="shared" si="358"/>
        <v>1</v>
      </c>
      <c r="BV342" s="149">
        <f t="shared" si="359"/>
        <v>1</v>
      </c>
      <c r="BW342" s="149">
        <f t="shared" si="360"/>
        <v>1</v>
      </c>
      <c r="BX342" s="149">
        <f t="shared" si="361"/>
        <v>1</v>
      </c>
      <c r="BY342" s="149">
        <f t="shared" si="362"/>
        <v>1</v>
      </c>
      <c r="BZ342" s="149">
        <f t="shared" si="363"/>
        <v>1</v>
      </c>
      <c r="CA342" s="149">
        <f t="shared" si="364"/>
        <v>1</v>
      </c>
      <c r="CB342" s="149">
        <f t="shared" si="365"/>
        <v>1</v>
      </c>
      <c r="CC342" s="149">
        <f t="shared" si="366"/>
        <v>1</v>
      </c>
      <c r="CD342" s="149">
        <f t="shared" si="367"/>
        <v>1</v>
      </c>
      <c r="CE342" s="149">
        <f t="shared" si="368"/>
        <v>1</v>
      </c>
      <c r="CF342" s="149">
        <f t="shared" si="369"/>
        <v>1</v>
      </c>
      <c r="CG342" s="149">
        <f t="shared" si="370"/>
        <v>1</v>
      </c>
      <c r="CH342" s="149">
        <f t="shared" si="371"/>
        <v>1</v>
      </c>
      <c r="CI342" s="149">
        <f t="shared" si="372"/>
        <v>1</v>
      </c>
      <c r="CJ342" s="149">
        <f t="shared" si="373"/>
        <v>1</v>
      </c>
      <c r="CK342" s="149">
        <f t="shared" si="374"/>
        <v>1</v>
      </c>
      <c r="CL342" s="149">
        <f t="shared" si="375"/>
        <v>1</v>
      </c>
      <c r="CM342" s="149">
        <f t="shared" si="376"/>
        <v>1</v>
      </c>
      <c r="CN342" s="149">
        <f t="shared" si="377"/>
        <v>1</v>
      </c>
      <c r="CO342" s="149">
        <f t="shared" si="378"/>
        <v>1</v>
      </c>
      <c r="CP342" s="149">
        <f t="shared" si="379"/>
        <v>1</v>
      </c>
      <c r="CQ342" s="149">
        <f t="shared" si="380"/>
        <v>1</v>
      </c>
      <c r="CR342" s="149">
        <f t="shared" si="381"/>
        <v>1</v>
      </c>
      <c r="CS342" s="149">
        <f t="shared" si="382"/>
        <v>1</v>
      </c>
      <c r="CT342" s="149">
        <f t="shared" si="383"/>
        <v>1</v>
      </c>
      <c r="CU342" s="149">
        <f t="shared" si="384"/>
        <v>1</v>
      </c>
      <c r="CV342" s="149">
        <f t="shared" si="385"/>
        <v>1</v>
      </c>
      <c r="CW342" s="149">
        <f t="shared" si="386"/>
        <v>1</v>
      </c>
      <c r="CX342" s="149">
        <f t="shared" si="387"/>
        <v>1</v>
      </c>
      <c r="CY342" s="149">
        <f t="shared" si="388"/>
        <v>1</v>
      </c>
      <c r="CZ342" s="149">
        <f t="shared" si="389"/>
        <v>1</v>
      </c>
      <c r="DA342" s="149">
        <f t="shared" si="390"/>
        <v>1</v>
      </c>
      <c r="DB342" s="149">
        <f t="shared" si="391"/>
        <v>1</v>
      </c>
      <c r="DG342" s="125">
        <f t="shared" si="296"/>
        <v>1</v>
      </c>
      <c r="DH342" s="125">
        <f t="shared" si="350"/>
        <v>2</v>
      </c>
      <c r="DI342" s="125">
        <f t="shared" si="350"/>
        <v>3</v>
      </c>
      <c r="DJ342" s="125">
        <f t="shared" si="350"/>
        <v>4</v>
      </c>
      <c r="DK342" s="125">
        <f t="shared" si="350"/>
        <v>5</v>
      </c>
      <c r="DL342" s="125">
        <f t="shared" si="350"/>
        <v>6</v>
      </c>
      <c r="DM342" s="125">
        <f t="shared" si="350"/>
        <v>7</v>
      </c>
      <c r="DN342" s="125">
        <f t="shared" si="350"/>
        <v>8</v>
      </c>
      <c r="DO342" s="125">
        <f t="shared" si="350"/>
        <v>9</v>
      </c>
      <c r="DP342" s="125">
        <f t="shared" si="350"/>
        <v>10</v>
      </c>
      <c r="DS342" s="137"/>
      <c r="DT342" s="137"/>
      <c r="DU342" s="137"/>
      <c r="DV342" s="137" t="b">
        <f t="shared" si="392"/>
        <v>0</v>
      </c>
      <c r="DW342" s="137" t="b">
        <f t="shared" si="393"/>
        <v>0</v>
      </c>
      <c r="DX342" s="137" t="b">
        <f t="shared" si="394"/>
        <v>1</v>
      </c>
      <c r="EB342" s="131">
        <f t="shared" si="395"/>
        <v>1</v>
      </c>
      <c r="EC342" s="137" t="b">
        <f t="shared" si="396"/>
        <v>0</v>
      </c>
      <c r="ED342" s="137" t="b">
        <f t="shared" si="397"/>
        <v>0</v>
      </c>
      <c r="EE342" s="137" t="b">
        <f t="shared" si="398"/>
        <v>1</v>
      </c>
      <c r="EF342" s="137"/>
      <c r="EG342" s="137"/>
      <c r="EH342" s="137"/>
      <c r="EI342" s="137"/>
      <c r="EJ342" s="137">
        <f t="shared" si="399"/>
        <v>1</v>
      </c>
      <c r="EK342" s="125">
        <f t="shared" si="400"/>
        <v>0</v>
      </c>
      <c r="EL342" s="125">
        <f t="shared" si="401"/>
        <v>0</v>
      </c>
    </row>
    <row r="343" spans="2:142" ht="15.75" x14ac:dyDescent="0.2">
      <c r="B343" s="160">
        <f t="shared" si="351"/>
        <v>313</v>
      </c>
      <c r="C343" s="290">
        <v>1001348248</v>
      </c>
      <c r="D343" s="290">
        <v>1001272582</v>
      </c>
      <c r="E343" s="290">
        <v>40000564</v>
      </c>
      <c r="F343" s="118">
        <f>IF(OR(J343="",H343=""),"",VLOOKUP(J343,'הזנה לסיווג רשויות'!$B$2:$D$301,2,0))</f>
        <v>20000201</v>
      </c>
      <c r="G343" s="118" t="str">
        <f>IF(OR(J343="",H343=""),"",VLOOKUP(J343,'הזנה לסיווג רשויות'!$B$2:$D$301,3,0))</f>
        <v>תל אביב -יפו</v>
      </c>
      <c r="H343" s="293" t="s">
        <v>731</v>
      </c>
      <c r="I343" s="201" t="s">
        <v>379</v>
      </c>
      <c r="J343" s="294">
        <v>5000</v>
      </c>
      <c r="K343" s="161">
        <v>0</v>
      </c>
      <c r="L343" s="161">
        <v>1</v>
      </c>
      <c r="M343" s="161">
        <v>0</v>
      </c>
      <c r="N343" s="161">
        <v>0</v>
      </c>
      <c r="O343" s="161">
        <v>1</v>
      </c>
      <c r="P343" s="161">
        <v>1</v>
      </c>
      <c r="Q343" s="161">
        <v>1</v>
      </c>
      <c r="R343" s="201">
        <v>349701</v>
      </c>
      <c r="S343" s="201">
        <v>349701</v>
      </c>
      <c r="T343" s="160">
        <f>IF(G343="","",IFERROR(IF(S343/R343&gt;'פרמטרים לקריטריונים'!$C$20,1,0),0))</f>
        <v>1</v>
      </c>
      <c r="U343" s="296">
        <v>349701</v>
      </c>
      <c r="V343" s="160">
        <f>IF(G343="","",IFERROR(IF(U343/R343&gt;'פרמטרים לקריטריונים'!$C$21,1,IF(AND(I343=$BW$5,U343/R343&gt;'פרמטרים לקריטריונים'!$C$22),1,0)),0))</f>
        <v>1</v>
      </c>
      <c r="W343" s="161">
        <v>1</v>
      </c>
      <c r="X343" s="161">
        <v>1</v>
      </c>
      <c r="Y343" s="299">
        <v>150000</v>
      </c>
      <c r="Z343" s="300">
        <v>150000</v>
      </c>
      <c r="AA343" s="161">
        <f t="shared" si="345"/>
        <v>1</v>
      </c>
      <c r="AB343" s="161"/>
      <c r="AC343" s="161"/>
      <c r="AD343" s="161"/>
      <c r="AE343" s="161"/>
      <c r="AF343" s="161"/>
      <c r="AG343" s="161"/>
      <c r="AH343" s="161"/>
      <c r="AI343" s="161"/>
      <c r="AJ343" s="161"/>
      <c r="AK343" s="161"/>
      <c r="AL343" s="161"/>
      <c r="AM343" s="161"/>
      <c r="AN343" s="161"/>
      <c r="AO343" s="161"/>
      <c r="AP343" s="161"/>
      <c r="AQ343" s="161"/>
      <c r="AR343" s="161"/>
      <c r="AS343" s="161"/>
      <c r="AT343" s="161"/>
      <c r="AU343" s="161"/>
      <c r="AV343" s="161"/>
      <c r="AW343" s="160"/>
      <c r="AX343" s="161"/>
      <c r="AY343" s="161"/>
      <c r="AZ343" s="161"/>
      <c r="BA343" s="161"/>
      <c r="BB343" s="161"/>
      <c r="BC343" s="161"/>
      <c r="BD343" s="161"/>
      <c r="BE343" s="161"/>
      <c r="BF343" s="160" t="str">
        <f t="shared" si="352"/>
        <v/>
      </c>
      <c r="BG343" s="160"/>
      <c r="BH343" s="160"/>
      <c r="BI343" s="160"/>
      <c r="BJ343" s="160"/>
      <c r="BK343" s="160"/>
      <c r="BL343" s="162">
        <f t="shared" si="353"/>
        <v>1</v>
      </c>
      <c r="BM343" s="257"/>
      <c r="BN343" s="163" t="s">
        <v>767</v>
      </c>
      <c r="BO343" s="211" t="str">
        <f t="shared" si="354"/>
        <v>עמותת הכוריאוגרפים (ע"ר)יוצרים עצמאיים במחול</v>
      </c>
      <c r="BP343" s="125">
        <f t="shared" si="355"/>
        <v>1</v>
      </c>
      <c r="BQ343" s="164">
        <v>0</v>
      </c>
      <c r="BR343" s="164">
        <v>1</v>
      </c>
      <c r="BS343" s="149">
        <f t="shared" si="356"/>
        <v>1</v>
      </c>
      <c r="BT343" s="149">
        <f t="shared" si="357"/>
        <v>1</v>
      </c>
      <c r="BU343" s="149">
        <f t="shared" si="358"/>
        <v>1</v>
      </c>
      <c r="BV343" s="149">
        <f t="shared" si="359"/>
        <v>1</v>
      </c>
      <c r="BW343" s="149">
        <f t="shared" si="360"/>
        <v>1</v>
      </c>
      <c r="BX343" s="149">
        <f t="shared" si="361"/>
        <v>1</v>
      </c>
      <c r="BY343" s="149">
        <f t="shared" si="362"/>
        <v>1</v>
      </c>
      <c r="BZ343" s="149">
        <f t="shared" si="363"/>
        <v>1</v>
      </c>
      <c r="CA343" s="149">
        <f t="shared" si="364"/>
        <v>1</v>
      </c>
      <c r="CB343" s="149">
        <f t="shared" si="365"/>
        <v>1</v>
      </c>
      <c r="CC343" s="149">
        <f t="shared" si="366"/>
        <v>1</v>
      </c>
      <c r="CD343" s="149">
        <f t="shared" si="367"/>
        <v>1</v>
      </c>
      <c r="CE343" s="149">
        <f t="shared" si="368"/>
        <v>1</v>
      </c>
      <c r="CF343" s="149">
        <f t="shared" si="369"/>
        <v>1</v>
      </c>
      <c r="CG343" s="149">
        <f t="shared" si="370"/>
        <v>1</v>
      </c>
      <c r="CH343" s="149">
        <f t="shared" si="371"/>
        <v>1</v>
      </c>
      <c r="CI343" s="149">
        <f t="shared" si="372"/>
        <v>1</v>
      </c>
      <c r="CJ343" s="149">
        <f t="shared" si="373"/>
        <v>1</v>
      </c>
      <c r="CK343" s="149">
        <f t="shared" si="374"/>
        <v>1</v>
      </c>
      <c r="CL343" s="149">
        <f t="shared" si="375"/>
        <v>1</v>
      </c>
      <c r="CM343" s="149">
        <f t="shared" si="376"/>
        <v>1</v>
      </c>
      <c r="CN343" s="149">
        <f t="shared" si="377"/>
        <v>1</v>
      </c>
      <c r="CO343" s="149">
        <f t="shared" si="378"/>
        <v>1</v>
      </c>
      <c r="CP343" s="149">
        <f t="shared" si="379"/>
        <v>1</v>
      </c>
      <c r="CQ343" s="149">
        <f t="shared" si="380"/>
        <v>1</v>
      </c>
      <c r="CR343" s="149">
        <f t="shared" si="381"/>
        <v>1</v>
      </c>
      <c r="CS343" s="149">
        <f t="shared" si="382"/>
        <v>1</v>
      </c>
      <c r="CT343" s="149">
        <f t="shared" si="383"/>
        <v>1</v>
      </c>
      <c r="CU343" s="149">
        <f t="shared" si="384"/>
        <v>1</v>
      </c>
      <c r="CV343" s="149">
        <f t="shared" si="385"/>
        <v>1</v>
      </c>
      <c r="CW343" s="149">
        <f t="shared" si="386"/>
        <v>1</v>
      </c>
      <c r="CX343" s="149">
        <f t="shared" si="387"/>
        <v>1</v>
      </c>
      <c r="CY343" s="149">
        <f t="shared" si="388"/>
        <v>1</v>
      </c>
      <c r="CZ343" s="149">
        <f t="shared" si="389"/>
        <v>1</v>
      </c>
      <c r="DA343" s="149">
        <f t="shared" si="390"/>
        <v>1</v>
      </c>
      <c r="DB343" s="149">
        <f t="shared" si="391"/>
        <v>1</v>
      </c>
      <c r="DG343" s="125">
        <f t="shared" si="296"/>
        <v>1</v>
      </c>
      <c r="DH343" s="125">
        <f t="shared" si="350"/>
        <v>2</v>
      </c>
      <c r="DI343" s="125">
        <f t="shared" si="350"/>
        <v>3</v>
      </c>
      <c r="DJ343" s="125">
        <f t="shared" si="350"/>
        <v>4</v>
      </c>
      <c r="DK343" s="125">
        <f t="shared" si="350"/>
        <v>5</v>
      </c>
      <c r="DL343" s="125">
        <f t="shared" si="350"/>
        <v>6</v>
      </c>
      <c r="DM343" s="125">
        <f t="shared" si="350"/>
        <v>7</v>
      </c>
      <c r="DN343" s="125">
        <f t="shared" si="350"/>
        <v>8</v>
      </c>
      <c r="DO343" s="125">
        <f t="shared" si="350"/>
        <v>9</v>
      </c>
      <c r="DP343" s="125">
        <f t="shared" si="350"/>
        <v>10</v>
      </c>
      <c r="DS343" s="137"/>
      <c r="DT343" s="137"/>
      <c r="DU343" s="137"/>
      <c r="DV343" s="137" t="b">
        <f t="shared" si="392"/>
        <v>0</v>
      </c>
      <c r="DW343" s="137" t="b">
        <f t="shared" si="393"/>
        <v>0</v>
      </c>
      <c r="DX343" s="137" t="b">
        <f t="shared" si="394"/>
        <v>1</v>
      </c>
      <c r="EB343" s="131">
        <f t="shared" si="395"/>
        <v>1</v>
      </c>
      <c r="EC343" s="137" t="b">
        <f t="shared" si="396"/>
        <v>0</v>
      </c>
      <c r="ED343" s="137" t="b">
        <f t="shared" si="397"/>
        <v>0</v>
      </c>
      <c r="EE343" s="137" t="b">
        <f t="shared" si="398"/>
        <v>1</v>
      </c>
      <c r="EF343" s="137"/>
      <c r="EG343" s="137"/>
      <c r="EH343" s="137"/>
      <c r="EI343" s="137"/>
      <c r="EJ343" s="137">
        <f t="shared" si="399"/>
        <v>1</v>
      </c>
      <c r="EK343" s="125">
        <f t="shared" si="400"/>
        <v>0</v>
      </c>
      <c r="EL343" s="125">
        <f t="shared" si="401"/>
        <v>0</v>
      </c>
    </row>
    <row r="344" spans="2:142" ht="15.75" x14ac:dyDescent="0.2">
      <c r="B344" s="160">
        <f t="shared" si="351"/>
        <v>314</v>
      </c>
      <c r="C344" s="290">
        <v>1001348257</v>
      </c>
      <c r="D344" s="290">
        <v>1001272579</v>
      </c>
      <c r="E344" s="290">
        <v>40000564</v>
      </c>
      <c r="F344" s="118">
        <f>IF(OR(J344="",H344=""),"",VLOOKUP(J344,'הזנה לסיווג רשויות'!$B$2:$D$301,2,0))</f>
        <v>20000201</v>
      </c>
      <c r="G344" s="118" t="str">
        <f>IF(OR(J344="",H344=""),"",VLOOKUP(J344,'הזנה לסיווג רשויות'!$B$2:$D$301,3,0))</f>
        <v>תל אביב -יפו</v>
      </c>
      <c r="H344" s="293" t="s">
        <v>731</v>
      </c>
      <c r="I344" s="201" t="s">
        <v>379</v>
      </c>
      <c r="J344" s="294">
        <v>5000</v>
      </c>
      <c r="K344" s="161">
        <v>0</v>
      </c>
      <c r="L344" s="161">
        <v>1</v>
      </c>
      <c r="M344" s="161">
        <v>0</v>
      </c>
      <c r="N344" s="161">
        <v>0</v>
      </c>
      <c r="O344" s="161">
        <v>1</v>
      </c>
      <c r="P344" s="161">
        <v>1</v>
      </c>
      <c r="Q344" s="161">
        <v>1</v>
      </c>
      <c r="R344" s="201">
        <v>106279</v>
      </c>
      <c r="S344" s="201">
        <v>106279</v>
      </c>
      <c r="T344" s="160">
        <f>IF(G344="","",IFERROR(IF(S344/R344&gt;'פרמטרים לקריטריונים'!$C$20,1,0),0))</f>
        <v>1</v>
      </c>
      <c r="U344" s="296">
        <v>106279</v>
      </c>
      <c r="V344" s="160">
        <f>IF(G344="","",IFERROR(IF(U344/R344&gt;'פרמטרים לקריטריונים'!$C$21,1,IF(AND(I344=$BW$5,U344/R344&gt;'פרמטרים לקריטריונים'!$C$22),1,0)),0))</f>
        <v>1</v>
      </c>
      <c r="W344" s="161">
        <v>1</v>
      </c>
      <c r="X344" s="161">
        <v>1</v>
      </c>
      <c r="Y344" s="299">
        <v>150000</v>
      </c>
      <c r="Z344" s="300">
        <v>150000</v>
      </c>
      <c r="AA344" s="161">
        <f t="shared" si="345"/>
        <v>1</v>
      </c>
      <c r="AB344" s="161"/>
      <c r="AC344" s="161"/>
      <c r="AD344" s="161"/>
      <c r="AE344" s="161"/>
      <c r="AF344" s="161"/>
      <c r="AG344" s="161"/>
      <c r="AH344" s="161"/>
      <c r="AI344" s="161"/>
      <c r="AJ344" s="161"/>
      <c r="AK344" s="161"/>
      <c r="AL344" s="161"/>
      <c r="AM344" s="161"/>
      <c r="AN344" s="161"/>
      <c r="AO344" s="161"/>
      <c r="AP344" s="161"/>
      <c r="AQ344" s="161"/>
      <c r="AR344" s="161"/>
      <c r="AS344" s="161"/>
      <c r="AT344" s="161"/>
      <c r="AU344" s="161"/>
      <c r="AV344" s="161"/>
      <c r="AW344" s="160"/>
      <c r="AX344" s="161"/>
      <c r="AY344" s="161"/>
      <c r="AZ344" s="161"/>
      <c r="BA344" s="161"/>
      <c r="BB344" s="161"/>
      <c r="BC344" s="161"/>
      <c r="BD344" s="161"/>
      <c r="BE344" s="161"/>
      <c r="BF344" s="160" t="str">
        <f t="shared" si="352"/>
        <v/>
      </c>
      <c r="BG344" s="160"/>
      <c r="BH344" s="160"/>
      <c r="BI344" s="160"/>
      <c r="BJ344" s="160"/>
      <c r="BK344" s="160"/>
      <c r="BL344" s="162">
        <f t="shared" si="353"/>
        <v>1</v>
      </c>
      <c r="BM344" s="257"/>
      <c r="BN344" s="163"/>
      <c r="BO344" s="211" t="str">
        <f t="shared" si="354"/>
        <v>עמותת הכוריאוגרפים (ע"ר)יוצרים עצמאיים במחול</v>
      </c>
      <c r="BP344" s="125">
        <f t="shared" si="355"/>
        <v>1</v>
      </c>
      <c r="BQ344" s="164">
        <v>0</v>
      </c>
      <c r="BR344" s="164">
        <v>1</v>
      </c>
      <c r="BS344" s="149">
        <f t="shared" si="356"/>
        <v>1</v>
      </c>
      <c r="BT344" s="149">
        <f t="shared" si="357"/>
        <v>1</v>
      </c>
      <c r="BU344" s="149">
        <f t="shared" si="358"/>
        <v>1</v>
      </c>
      <c r="BV344" s="149">
        <f t="shared" si="359"/>
        <v>1</v>
      </c>
      <c r="BW344" s="149">
        <f t="shared" si="360"/>
        <v>1</v>
      </c>
      <c r="BX344" s="149">
        <f t="shared" si="361"/>
        <v>1</v>
      </c>
      <c r="BY344" s="149">
        <f t="shared" si="362"/>
        <v>1</v>
      </c>
      <c r="BZ344" s="149">
        <f t="shared" si="363"/>
        <v>1</v>
      </c>
      <c r="CA344" s="149">
        <f t="shared" si="364"/>
        <v>1</v>
      </c>
      <c r="CB344" s="149">
        <f t="shared" si="365"/>
        <v>1</v>
      </c>
      <c r="CC344" s="149">
        <f t="shared" si="366"/>
        <v>1</v>
      </c>
      <c r="CD344" s="149">
        <f t="shared" si="367"/>
        <v>1</v>
      </c>
      <c r="CE344" s="149">
        <f t="shared" si="368"/>
        <v>1</v>
      </c>
      <c r="CF344" s="149">
        <f t="shared" si="369"/>
        <v>1</v>
      </c>
      <c r="CG344" s="149">
        <f t="shared" si="370"/>
        <v>1</v>
      </c>
      <c r="CH344" s="149">
        <f t="shared" si="371"/>
        <v>1</v>
      </c>
      <c r="CI344" s="149">
        <f t="shared" si="372"/>
        <v>1</v>
      </c>
      <c r="CJ344" s="149">
        <f t="shared" si="373"/>
        <v>1</v>
      </c>
      <c r="CK344" s="149">
        <f t="shared" si="374"/>
        <v>1</v>
      </c>
      <c r="CL344" s="149">
        <f t="shared" si="375"/>
        <v>1</v>
      </c>
      <c r="CM344" s="149">
        <f t="shared" si="376"/>
        <v>1</v>
      </c>
      <c r="CN344" s="149">
        <f t="shared" si="377"/>
        <v>1</v>
      </c>
      <c r="CO344" s="149">
        <f t="shared" si="378"/>
        <v>1</v>
      </c>
      <c r="CP344" s="149">
        <f t="shared" si="379"/>
        <v>1</v>
      </c>
      <c r="CQ344" s="149">
        <f t="shared" si="380"/>
        <v>1</v>
      </c>
      <c r="CR344" s="149">
        <f t="shared" si="381"/>
        <v>1</v>
      </c>
      <c r="CS344" s="149">
        <f t="shared" si="382"/>
        <v>1</v>
      </c>
      <c r="CT344" s="149">
        <f t="shared" si="383"/>
        <v>1</v>
      </c>
      <c r="CU344" s="149">
        <f t="shared" si="384"/>
        <v>1</v>
      </c>
      <c r="CV344" s="149">
        <f t="shared" si="385"/>
        <v>1</v>
      </c>
      <c r="CW344" s="149">
        <f t="shared" si="386"/>
        <v>1</v>
      </c>
      <c r="CX344" s="149">
        <f t="shared" si="387"/>
        <v>1</v>
      </c>
      <c r="CY344" s="149">
        <f t="shared" si="388"/>
        <v>1</v>
      </c>
      <c r="CZ344" s="149">
        <f t="shared" si="389"/>
        <v>1</v>
      </c>
      <c r="DA344" s="149">
        <f t="shared" si="390"/>
        <v>1</v>
      </c>
      <c r="DB344" s="149">
        <f t="shared" si="391"/>
        <v>1</v>
      </c>
      <c r="DG344" s="125">
        <f t="shared" si="296"/>
        <v>1</v>
      </c>
      <c r="DH344" s="125">
        <f t="shared" si="350"/>
        <v>2</v>
      </c>
      <c r="DI344" s="125">
        <f t="shared" si="350"/>
        <v>3</v>
      </c>
      <c r="DJ344" s="125">
        <f t="shared" si="350"/>
        <v>4</v>
      </c>
      <c r="DK344" s="125">
        <f t="shared" si="350"/>
        <v>5</v>
      </c>
      <c r="DL344" s="125">
        <f t="shared" si="350"/>
        <v>6</v>
      </c>
      <c r="DM344" s="125">
        <f t="shared" si="350"/>
        <v>7</v>
      </c>
      <c r="DN344" s="125">
        <f t="shared" si="350"/>
        <v>8</v>
      </c>
      <c r="DO344" s="125">
        <f t="shared" si="350"/>
        <v>9</v>
      </c>
      <c r="DP344" s="125">
        <f t="shared" si="350"/>
        <v>10</v>
      </c>
      <c r="DS344" s="137"/>
      <c r="DT344" s="137"/>
      <c r="DU344" s="137"/>
      <c r="DV344" s="137" t="b">
        <f t="shared" si="392"/>
        <v>0</v>
      </c>
      <c r="DW344" s="137" t="b">
        <f t="shared" si="393"/>
        <v>0</v>
      </c>
      <c r="DX344" s="137" t="b">
        <f t="shared" si="394"/>
        <v>1</v>
      </c>
      <c r="EB344" s="131">
        <f t="shared" si="395"/>
        <v>1</v>
      </c>
      <c r="EC344" s="137" t="b">
        <f t="shared" si="396"/>
        <v>0</v>
      </c>
      <c r="ED344" s="137" t="b">
        <f t="shared" si="397"/>
        <v>0</v>
      </c>
      <c r="EE344" s="137" t="b">
        <f t="shared" si="398"/>
        <v>1</v>
      </c>
      <c r="EF344" s="137"/>
      <c r="EG344" s="137"/>
      <c r="EH344" s="137"/>
      <c r="EI344" s="137"/>
      <c r="EJ344" s="137">
        <f t="shared" si="399"/>
        <v>1</v>
      </c>
      <c r="EK344" s="125">
        <f t="shared" si="400"/>
        <v>0</v>
      </c>
      <c r="EL344" s="125">
        <f t="shared" si="401"/>
        <v>0</v>
      </c>
    </row>
    <row r="345" spans="2:142" ht="15.75" x14ac:dyDescent="0.2">
      <c r="B345" s="160">
        <f t="shared" si="351"/>
        <v>315</v>
      </c>
      <c r="C345" s="290">
        <v>1001349448</v>
      </c>
      <c r="D345" s="290">
        <v>1001272605</v>
      </c>
      <c r="E345" s="290">
        <v>40000564</v>
      </c>
      <c r="F345" s="118">
        <f>IF(OR(J345="",H345=""),"",VLOOKUP(J345,'הזנה לסיווג רשויות'!$B$2:$D$301,2,0))</f>
        <v>20000201</v>
      </c>
      <c r="G345" s="118" t="str">
        <f>IF(OR(J345="",H345=""),"",VLOOKUP(J345,'הזנה לסיווג רשויות'!$B$2:$D$301,3,0))</f>
        <v>תל אביב -יפו</v>
      </c>
      <c r="H345" s="293" t="s">
        <v>731</v>
      </c>
      <c r="I345" s="201" t="s">
        <v>379</v>
      </c>
      <c r="J345" s="294">
        <v>5000</v>
      </c>
      <c r="K345" s="161">
        <v>0</v>
      </c>
      <c r="L345" s="161">
        <v>1</v>
      </c>
      <c r="M345" s="161">
        <v>0</v>
      </c>
      <c r="N345" s="161">
        <v>0</v>
      </c>
      <c r="O345" s="161">
        <v>1</v>
      </c>
      <c r="P345" s="161">
        <v>1</v>
      </c>
      <c r="Q345" s="161">
        <v>1</v>
      </c>
      <c r="R345" s="201">
        <v>45591</v>
      </c>
      <c r="S345" s="201">
        <v>45591</v>
      </c>
      <c r="T345" s="160">
        <f>IF(G345="","",IFERROR(IF(S345/R345&gt;'פרמטרים לקריטריונים'!$C$20,1,0),0))</f>
        <v>1</v>
      </c>
      <c r="U345" s="296">
        <v>38591</v>
      </c>
      <c r="V345" s="160">
        <f>IF(G345="","",IFERROR(IF(U345/R345&gt;'פרמטרים לקריטריונים'!$C$21,1,IF(AND(I345=$BW$5,U345/R345&gt;'פרמטרים לקריטריונים'!$C$22),1,0)),0))</f>
        <v>1</v>
      </c>
      <c r="W345" s="161">
        <v>1</v>
      </c>
      <c r="X345" s="161">
        <v>1</v>
      </c>
      <c r="Y345" s="299">
        <v>150000</v>
      </c>
      <c r="Z345" s="300">
        <v>150000</v>
      </c>
      <c r="AA345" s="161">
        <f t="shared" si="345"/>
        <v>1</v>
      </c>
      <c r="AB345" s="161"/>
      <c r="AC345" s="161"/>
      <c r="AD345" s="161"/>
      <c r="AE345" s="161"/>
      <c r="AF345" s="161"/>
      <c r="AG345" s="161"/>
      <c r="AH345" s="161"/>
      <c r="AI345" s="161"/>
      <c r="AJ345" s="161"/>
      <c r="AK345" s="161"/>
      <c r="AL345" s="161"/>
      <c r="AM345" s="161"/>
      <c r="AN345" s="161"/>
      <c r="AO345" s="161"/>
      <c r="AP345" s="161"/>
      <c r="AQ345" s="161"/>
      <c r="AR345" s="161"/>
      <c r="AS345" s="161"/>
      <c r="AT345" s="161"/>
      <c r="AU345" s="161"/>
      <c r="AV345" s="161"/>
      <c r="AW345" s="160"/>
      <c r="AX345" s="161"/>
      <c r="AY345" s="161"/>
      <c r="AZ345" s="161"/>
      <c r="BA345" s="161"/>
      <c r="BB345" s="161"/>
      <c r="BC345" s="161"/>
      <c r="BD345" s="161"/>
      <c r="BE345" s="161"/>
      <c r="BF345" s="160" t="str">
        <f t="shared" si="352"/>
        <v/>
      </c>
      <c r="BG345" s="160"/>
      <c r="BH345" s="160"/>
      <c r="BI345" s="160"/>
      <c r="BJ345" s="160"/>
      <c r="BK345" s="160"/>
      <c r="BL345" s="162">
        <f t="shared" si="353"/>
        <v>1</v>
      </c>
      <c r="BM345" s="257"/>
      <c r="BN345" s="163"/>
      <c r="BO345" s="211" t="str">
        <f t="shared" si="354"/>
        <v>עמותת הכוריאוגרפים (ע"ר)יוצרים עצמאיים במחול</v>
      </c>
      <c r="BP345" s="125">
        <f t="shared" si="355"/>
        <v>1</v>
      </c>
      <c r="BQ345" s="164">
        <v>0</v>
      </c>
      <c r="BR345" s="164">
        <v>1</v>
      </c>
      <c r="BS345" s="149">
        <f t="shared" si="356"/>
        <v>1</v>
      </c>
      <c r="BT345" s="149">
        <f t="shared" si="357"/>
        <v>1</v>
      </c>
      <c r="BU345" s="149">
        <f t="shared" si="358"/>
        <v>1</v>
      </c>
      <c r="BV345" s="149">
        <f t="shared" si="359"/>
        <v>1</v>
      </c>
      <c r="BW345" s="149">
        <f t="shared" si="360"/>
        <v>1</v>
      </c>
      <c r="BX345" s="149">
        <f t="shared" si="361"/>
        <v>1</v>
      </c>
      <c r="BY345" s="149">
        <f t="shared" si="362"/>
        <v>1</v>
      </c>
      <c r="BZ345" s="149">
        <f t="shared" si="363"/>
        <v>1</v>
      </c>
      <c r="CA345" s="149">
        <f t="shared" si="364"/>
        <v>1</v>
      </c>
      <c r="CB345" s="149">
        <f t="shared" si="365"/>
        <v>1</v>
      </c>
      <c r="CC345" s="149">
        <f t="shared" si="366"/>
        <v>1</v>
      </c>
      <c r="CD345" s="149">
        <f t="shared" si="367"/>
        <v>1</v>
      </c>
      <c r="CE345" s="149">
        <f t="shared" si="368"/>
        <v>1</v>
      </c>
      <c r="CF345" s="149">
        <f t="shared" si="369"/>
        <v>1</v>
      </c>
      <c r="CG345" s="149">
        <f t="shared" si="370"/>
        <v>1</v>
      </c>
      <c r="CH345" s="149">
        <f t="shared" si="371"/>
        <v>1</v>
      </c>
      <c r="CI345" s="149">
        <f t="shared" si="372"/>
        <v>1</v>
      </c>
      <c r="CJ345" s="149">
        <f t="shared" si="373"/>
        <v>1</v>
      </c>
      <c r="CK345" s="149">
        <f t="shared" si="374"/>
        <v>1</v>
      </c>
      <c r="CL345" s="149">
        <f t="shared" si="375"/>
        <v>1</v>
      </c>
      <c r="CM345" s="149">
        <f t="shared" si="376"/>
        <v>1</v>
      </c>
      <c r="CN345" s="149">
        <f t="shared" si="377"/>
        <v>1</v>
      </c>
      <c r="CO345" s="149">
        <f t="shared" si="378"/>
        <v>1</v>
      </c>
      <c r="CP345" s="149">
        <f t="shared" si="379"/>
        <v>1</v>
      </c>
      <c r="CQ345" s="149">
        <f t="shared" si="380"/>
        <v>1</v>
      </c>
      <c r="CR345" s="149">
        <f t="shared" si="381"/>
        <v>1</v>
      </c>
      <c r="CS345" s="149">
        <f t="shared" si="382"/>
        <v>1</v>
      </c>
      <c r="CT345" s="149">
        <f t="shared" si="383"/>
        <v>1</v>
      </c>
      <c r="CU345" s="149">
        <f t="shared" si="384"/>
        <v>1</v>
      </c>
      <c r="CV345" s="149">
        <f t="shared" si="385"/>
        <v>1</v>
      </c>
      <c r="CW345" s="149">
        <f t="shared" si="386"/>
        <v>1</v>
      </c>
      <c r="CX345" s="149">
        <f t="shared" si="387"/>
        <v>1</v>
      </c>
      <c r="CY345" s="149">
        <f t="shared" si="388"/>
        <v>1</v>
      </c>
      <c r="CZ345" s="149">
        <f t="shared" si="389"/>
        <v>1</v>
      </c>
      <c r="DA345" s="149">
        <f t="shared" si="390"/>
        <v>1</v>
      </c>
      <c r="DB345" s="149">
        <f t="shared" si="391"/>
        <v>1</v>
      </c>
      <c r="DG345" s="125">
        <f t="shared" si="296"/>
        <v>1</v>
      </c>
      <c r="DH345" s="125">
        <f t="shared" si="350"/>
        <v>2</v>
      </c>
      <c r="DI345" s="125">
        <f t="shared" si="350"/>
        <v>3</v>
      </c>
      <c r="DJ345" s="125">
        <f t="shared" si="350"/>
        <v>4</v>
      </c>
      <c r="DK345" s="125">
        <f t="shared" si="350"/>
        <v>5</v>
      </c>
      <c r="DL345" s="125">
        <f t="shared" si="350"/>
        <v>6</v>
      </c>
      <c r="DM345" s="125">
        <f t="shared" si="350"/>
        <v>7</v>
      </c>
      <c r="DN345" s="125">
        <f t="shared" si="350"/>
        <v>8</v>
      </c>
      <c r="DO345" s="125">
        <f t="shared" si="350"/>
        <v>9</v>
      </c>
      <c r="DP345" s="125">
        <f t="shared" si="350"/>
        <v>10</v>
      </c>
      <c r="DS345" s="137"/>
      <c r="DT345" s="137"/>
      <c r="DU345" s="137"/>
      <c r="DV345" s="137" t="b">
        <f t="shared" si="392"/>
        <v>0</v>
      </c>
      <c r="DW345" s="137" t="b">
        <f t="shared" si="393"/>
        <v>0</v>
      </c>
      <c r="DX345" s="137" t="b">
        <f t="shared" si="394"/>
        <v>1</v>
      </c>
      <c r="EB345" s="131">
        <f t="shared" si="395"/>
        <v>1</v>
      </c>
      <c r="EC345" s="137" t="b">
        <f t="shared" si="396"/>
        <v>0</v>
      </c>
      <c r="ED345" s="137" t="b">
        <f t="shared" si="397"/>
        <v>0</v>
      </c>
      <c r="EE345" s="137" t="b">
        <f t="shared" si="398"/>
        <v>1</v>
      </c>
      <c r="EF345" s="137"/>
      <c r="EG345" s="137"/>
      <c r="EH345" s="137"/>
      <c r="EI345" s="137"/>
      <c r="EJ345" s="137">
        <f t="shared" si="399"/>
        <v>1</v>
      </c>
      <c r="EK345" s="125">
        <f t="shared" si="400"/>
        <v>0</v>
      </c>
      <c r="EL345" s="125">
        <f t="shared" si="401"/>
        <v>0</v>
      </c>
    </row>
    <row r="346" spans="2:142" ht="15.75" x14ac:dyDescent="0.2">
      <c r="B346" s="160">
        <f t="shared" si="351"/>
        <v>316</v>
      </c>
      <c r="C346" s="290">
        <v>1001349449</v>
      </c>
      <c r="D346" s="290">
        <v>1001273656</v>
      </c>
      <c r="E346" s="290">
        <v>40000564</v>
      </c>
      <c r="F346" s="118">
        <f>IF(OR(J346="",H346=""),"",VLOOKUP(J346,'הזנה לסיווג רשויות'!$B$2:$D$301,2,0))</f>
        <v>20000201</v>
      </c>
      <c r="G346" s="118" t="str">
        <f>IF(OR(J346="",H346=""),"",VLOOKUP(J346,'הזנה לסיווג רשויות'!$B$2:$D$301,3,0))</f>
        <v>תל אביב -יפו</v>
      </c>
      <c r="H346" s="293" t="s">
        <v>731</v>
      </c>
      <c r="I346" s="201" t="s">
        <v>379</v>
      </c>
      <c r="J346" s="294">
        <v>5000</v>
      </c>
      <c r="K346" s="161">
        <v>0</v>
      </c>
      <c r="L346" s="161">
        <v>1</v>
      </c>
      <c r="M346" s="161">
        <v>0</v>
      </c>
      <c r="N346" s="161">
        <v>0</v>
      </c>
      <c r="O346" s="161">
        <v>1</v>
      </c>
      <c r="P346" s="161">
        <v>1</v>
      </c>
      <c r="Q346" s="161">
        <v>1</v>
      </c>
      <c r="R346" s="201">
        <v>57620</v>
      </c>
      <c r="S346" s="201">
        <v>57620</v>
      </c>
      <c r="T346" s="160">
        <f>IF(G346="","",IFERROR(IF(S346/R346&gt;'פרמטרים לקריטריונים'!$C$20,1,0),0))</f>
        <v>1</v>
      </c>
      <c r="U346" s="296">
        <v>37620</v>
      </c>
      <c r="V346" s="160">
        <f>IF(G346="","",IFERROR(IF(U346/R346&gt;'פרמטרים לקריטריונים'!$C$21,1,IF(AND(I346=$BW$5,U346/R346&gt;'פרמטרים לקריטריונים'!$C$22),1,0)),0))</f>
        <v>1</v>
      </c>
      <c r="W346" s="161">
        <v>1</v>
      </c>
      <c r="X346" s="161">
        <v>1</v>
      </c>
      <c r="Y346" s="299">
        <v>150000</v>
      </c>
      <c r="Z346" s="300">
        <v>150000</v>
      </c>
      <c r="AA346" s="161">
        <f t="shared" si="345"/>
        <v>1</v>
      </c>
      <c r="AB346" s="161"/>
      <c r="AC346" s="161"/>
      <c r="AD346" s="161"/>
      <c r="AE346" s="161"/>
      <c r="AF346" s="161"/>
      <c r="AG346" s="161"/>
      <c r="AH346" s="161"/>
      <c r="AI346" s="161"/>
      <c r="AJ346" s="161"/>
      <c r="AK346" s="161"/>
      <c r="AL346" s="161"/>
      <c r="AM346" s="161"/>
      <c r="AN346" s="161"/>
      <c r="AO346" s="161"/>
      <c r="AP346" s="161"/>
      <c r="AQ346" s="161"/>
      <c r="AR346" s="161"/>
      <c r="AS346" s="161"/>
      <c r="AT346" s="161"/>
      <c r="AU346" s="161"/>
      <c r="AV346" s="161"/>
      <c r="AW346" s="160"/>
      <c r="AX346" s="161"/>
      <c r="AY346" s="161"/>
      <c r="AZ346" s="161"/>
      <c r="BA346" s="161"/>
      <c r="BB346" s="161"/>
      <c r="BC346" s="161"/>
      <c r="BD346" s="161"/>
      <c r="BE346" s="161"/>
      <c r="BF346" s="160" t="str">
        <f t="shared" si="352"/>
        <v/>
      </c>
      <c r="BG346" s="160"/>
      <c r="BH346" s="160"/>
      <c r="BI346" s="160"/>
      <c r="BJ346" s="160"/>
      <c r="BK346" s="160"/>
      <c r="BL346" s="162">
        <f t="shared" si="353"/>
        <v>1</v>
      </c>
      <c r="BM346" s="257"/>
      <c r="BN346" s="163"/>
      <c r="BO346" s="211" t="str">
        <f t="shared" si="354"/>
        <v>עמותת הכוריאוגרפים (ע"ר)יוצרים עצמאיים במחול</v>
      </c>
      <c r="BP346" s="125">
        <f t="shared" si="355"/>
        <v>1</v>
      </c>
      <c r="BQ346" s="164">
        <v>0</v>
      </c>
      <c r="BR346" s="164">
        <v>1</v>
      </c>
      <c r="BS346" s="149">
        <f t="shared" si="356"/>
        <v>1</v>
      </c>
      <c r="BT346" s="149">
        <f t="shared" si="357"/>
        <v>1</v>
      </c>
      <c r="BU346" s="149">
        <f t="shared" si="358"/>
        <v>1</v>
      </c>
      <c r="BV346" s="149">
        <f t="shared" si="359"/>
        <v>1</v>
      </c>
      <c r="BW346" s="149">
        <f t="shared" si="360"/>
        <v>1</v>
      </c>
      <c r="BX346" s="149">
        <f t="shared" si="361"/>
        <v>1</v>
      </c>
      <c r="BY346" s="149">
        <f t="shared" si="362"/>
        <v>1</v>
      </c>
      <c r="BZ346" s="149">
        <f t="shared" si="363"/>
        <v>1</v>
      </c>
      <c r="CA346" s="149">
        <f t="shared" si="364"/>
        <v>1</v>
      </c>
      <c r="CB346" s="149">
        <f t="shared" si="365"/>
        <v>1</v>
      </c>
      <c r="CC346" s="149">
        <f t="shared" si="366"/>
        <v>1</v>
      </c>
      <c r="CD346" s="149">
        <f t="shared" si="367"/>
        <v>1</v>
      </c>
      <c r="CE346" s="149">
        <f t="shared" si="368"/>
        <v>1</v>
      </c>
      <c r="CF346" s="149">
        <f t="shared" si="369"/>
        <v>1</v>
      </c>
      <c r="CG346" s="149">
        <f t="shared" si="370"/>
        <v>1</v>
      </c>
      <c r="CH346" s="149">
        <f t="shared" si="371"/>
        <v>1</v>
      </c>
      <c r="CI346" s="149">
        <f t="shared" si="372"/>
        <v>1</v>
      </c>
      <c r="CJ346" s="149">
        <f t="shared" si="373"/>
        <v>1</v>
      </c>
      <c r="CK346" s="149">
        <f t="shared" si="374"/>
        <v>1</v>
      </c>
      <c r="CL346" s="149">
        <f t="shared" si="375"/>
        <v>1</v>
      </c>
      <c r="CM346" s="149">
        <f t="shared" si="376"/>
        <v>1</v>
      </c>
      <c r="CN346" s="149">
        <f t="shared" si="377"/>
        <v>1</v>
      </c>
      <c r="CO346" s="149">
        <f t="shared" si="378"/>
        <v>1</v>
      </c>
      <c r="CP346" s="149">
        <f t="shared" si="379"/>
        <v>1</v>
      </c>
      <c r="CQ346" s="149">
        <f t="shared" si="380"/>
        <v>1</v>
      </c>
      <c r="CR346" s="149">
        <f t="shared" si="381"/>
        <v>1</v>
      </c>
      <c r="CS346" s="149">
        <f t="shared" si="382"/>
        <v>1</v>
      </c>
      <c r="CT346" s="149">
        <f t="shared" si="383"/>
        <v>1</v>
      </c>
      <c r="CU346" s="149">
        <f t="shared" si="384"/>
        <v>1</v>
      </c>
      <c r="CV346" s="149">
        <f t="shared" si="385"/>
        <v>1</v>
      </c>
      <c r="CW346" s="149">
        <f t="shared" si="386"/>
        <v>1</v>
      </c>
      <c r="CX346" s="149">
        <f t="shared" si="387"/>
        <v>1</v>
      </c>
      <c r="CY346" s="149">
        <f t="shared" si="388"/>
        <v>1</v>
      </c>
      <c r="CZ346" s="149">
        <f t="shared" si="389"/>
        <v>1</v>
      </c>
      <c r="DA346" s="149">
        <f t="shared" si="390"/>
        <v>1</v>
      </c>
      <c r="DB346" s="149">
        <f t="shared" si="391"/>
        <v>1</v>
      </c>
      <c r="DG346" s="125">
        <f t="shared" si="296"/>
        <v>1</v>
      </c>
      <c r="DH346" s="125">
        <f t="shared" si="350"/>
        <v>2</v>
      </c>
      <c r="DI346" s="125">
        <f t="shared" si="350"/>
        <v>3</v>
      </c>
      <c r="DJ346" s="125">
        <f t="shared" si="350"/>
        <v>4</v>
      </c>
      <c r="DK346" s="125">
        <f t="shared" si="350"/>
        <v>5</v>
      </c>
      <c r="DL346" s="125">
        <f t="shared" si="350"/>
        <v>6</v>
      </c>
      <c r="DM346" s="125">
        <f t="shared" si="350"/>
        <v>7</v>
      </c>
      <c r="DN346" s="125">
        <f t="shared" si="350"/>
        <v>8</v>
      </c>
      <c r="DO346" s="125">
        <f t="shared" si="350"/>
        <v>9</v>
      </c>
      <c r="DP346" s="125">
        <f t="shared" si="350"/>
        <v>10</v>
      </c>
      <c r="DS346" s="137"/>
      <c r="DT346" s="137"/>
      <c r="DU346" s="137"/>
      <c r="DV346" s="137" t="b">
        <f t="shared" si="392"/>
        <v>0</v>
      </c>
      <c r="DW346" s="137" t="b">
        <f t="shared" si="393"/>
        <v>0</v>
      </c>
      <c r="DX346" s="137" t="b">
        <f t="shared" si="394"/>
        <v>1</v>
      </c>
      <c r="EB346" s="131">
        <f t="shared" si="395"/>
        <v>1</v>
      </c>
      <c r="EC346" s="137" t="b">
        <f t="shared" si="396"/>
        <v>0</v>
      </c>
      <c r="ED346" s="137" t="b">
        <f t="shared" si="397"/>
        <v>0</v>
      </c>
      <c r="EE346" s="137" t="b">
        <f t="shared" si="398"/>
        <v>1</v>
      </c>
      <c r="EF346" s="137"/>
      <c r="EG346" s="137"/>
      <c r="EH346" s="137"/>
      <c r="EI346" s="137"/>
      <c r="EJ346" s="137">
        <f t="shared" si="399"/>
        <v>1</v>
      </c>
      <c r="EK346" s="125">
        <f t="shared" si="400"/>
        <v>0</v>
      </c>
      <c r="EL346" s="125">
        <f t="shared" si="401"/>
        <v>0</v>
      </c>
    </row>
    <row r="347" spans="2:142" ht="15.75" x14ac:dyDescent="0.2">
      <c r="B347" s="160">
        <f t="shared" si="351"/>
        <v>317</v>
      </c>
      <c r="C347" s="290">
        <v>1001349480</v>
      </c>
      <c r="D347" s="290">
        <v>1001272601</v>
      </c>
      <c r="E347" s="290">
        <v>40000564</v>
      </c>
      <c r="F347" s="118">
        <f>IF(OR(J347="",H347=""),"",VLOOKUP(J347,'הזנה לסיווג רשויות'!$B$2:$D$301,2,0))</f>
        <v>20000201</v>
      </c>
      <c r="G347" s="118" t="str">
        <f>IF(OR(J347="",H347=""),"",VLOOKUP(J347,'הזנה לסיווג רשויות'!$B$2:$D$301,3,0))</f>
        <v>תל אביב -יפו</v>
      </c>
      <c r="H347" s="293" t="s">
        <v>731</v>
      </c>
      <c r="I347" s="201" t="s">
        <v>379</v>
      </c>
      <c r="J347" s="294">
        <v>5000</v>
      </c>
      <c r="K347" s="161">
        <v>0</v>
      </c>
      <c r="L347" s="161">
        <v>1</v>
      </c>
      <c r="M347" s="161">
        <v>0</v>
      </c>
      <c r="N347" s="161">
        <v>0</v>
      </c>
      <c r="O347" s="161">
        <v>1</v>
      </c>
      <c r="P347" s="161">
        <v>1</v>
      </c>
      <c r="Q347" s="161">
        <v>1</v>
      </c>
      <c r="R347" s="201">
        <v>45448</v>
      </c>
      <c r="S347" s="201">
        <v>45448</v>
      </c>
      <c r="T347" s="160">
        <f>IF(G347="","",IFERROR(IF(S347/R347&gt;'פרמטרים לקריטריונים'!$C$20,1,0),0))</f>
        <v>1</v>
      </c>
      <c r="U347" s="296">
        <v>21289</v>
      </c>
      <c r="V347" s="160">
        <f>IF(G347="","",IFERROR(IF(U347/R347&gt;'פרמטרים לקריטריונים'!$C$21,1,IF(AND(I347=$BW$5,U347/R347&gt;'פרמטרים לקריטריונים'!$C$22),1,0)),0))</f>
        <v>1</v>
      </c>
      <c r="W347" s="161">
        <v>1</v>
      </c>
      <c r="X347" s="161">
        <v>1</v>
      </c>
      <c r="Y347" s="299">
        <v>150000</v>
      </c>
      <c r="Z347" s="300">
        <v>150000</v>
      </c>
      <c r="AA347" s="161">
        <f t="shared" si="345"/>
        <v>1</v>
      </c>
      <c r="AB347" s="161"/>
      <c r="AC347" s="161"/>
      <c r="AD347" s="161"/>
      <c r="AE347" s="161"/>
      <c r="AF347" s="161"/>
      <c r="AG347" s="161"/>
      <c r="AH347" s="161"/>
      <c r="AI347" s="161"/>
      <c r="AJ347" s="161"/>
      <c r="AK347" s="161"/>
      <c r="AL347" s="161"/>
      <c r="AM347" s="161"/>
      <c r="AN347" s="161"/>
      <c r="AO347" s="161"/>
      <c r="AP347" s="161"/>
      <c r="AQ347" s="161"/>
      <c r="AR347" s="161"/>
      <c r="AS347" s="161"/>
      <c r="AT347" s="161"/>
      <c r="AU347" s="161"/>
      <c r="AV347" s="161"/>
      <c r="AW347" s="160"/>
      <c r="AX347" s="161"/>
      <c r="AY347" s="161"/>
      <c r="AZ347" s="161"/>
      <c r="BA347" s="161"/>
      <c r="BB347" s="161"/>
      <c r="BC347" s="161"/>
      <c r="BD347" s="161"/>
      <c r="BE347" s="161"/>
      <c r="BF347" s="160" t="str">
        <f t="shared" si="352"/>
        <v/>
      </c>
      <c r="BG347" s="160"/>
      <c r="BH347" s="160"/>
      <c r="BI347" s="160"/>
      <c r="BJ347" s="160"/>
      <c r="BK347" s="160"/>
      <c r="BL347" s="162">
        <f t="shared" si="353"/>
        <v>1</v>
      </c>
      <c r="BM347" s="257"/>
      <c r="BN347" s="163" t="s">
        <v>767</v>
      </c>
      <c r="BO347" s="211" t="str">
        <f t="shared" si="354"/>
        <v>עמותת הכוריאוגרפים (ע"ר)יוצרים עצמאיים במחול</v>
      </c>
      <c r="BP347" s="125">
        <f t="shared" si="355"/>
        <v>1</v>
      </c>
      <c r="BQ347" s="164">
        <v>0</v>
      </c>
      <c r="BR347" s="164">
        <v>1</v>
      </c>
      <c r="BS347" s="149">
        <f t="shared" si="356"/>
        <v>1</v>
      </c>
      <c r="BT347" s="149">
        <f t="shared" si="357"/>
        <v>1</v>
      </c>
      <c r="BU347" s="149">
        <f t="shared" si="358"/>
        <v>1</v>
      </c>
      <c r="BV347" s="149">
        <f t="shared" si="359"/>
        <v>1</v>
      </c>
      <c r="BW347" s="149">
        <f t="shared" si="360"/>
        <v>1</v>
      </c>
      <c r="BX347" s="149">
        <f t="shared" si="361"/>
        <v>1</v>
      </c>
      <c r="BY347" s="149">
        <f t="shared" si="362"/>
        <v>1</v>
      </c>
      <c r="BZ347" s="149">
        <f t="shared" si="363"/>
        <v>1</v>
      </c>
      <c r="CA347" s="149">
        <f t="shared" si="364"/>
        <v>1</v>
      </c>
      <c r="CB347" s="149">
        <f t="shared" si="365"/>
        <v>1</v>
      </c>
      <c r="CC347" s="149">
        <f t="shared" si="366"/>
        <v>1</v>
      </c>
      <c r="CD347" s="149">
        <f t="shared" si="367"/>
        <v>1</v>
      </c>
      <c r="CE347" s="149">
        <f t="shared" si="368"/>
        <v>1</v>
      </c>
      <c r="CF347" s="149">
        <f t="shared" si="369"/>
        <v>1</v>
      </c>
      <c r="CG347" s="149">
        <f t="shared" si="370"/>
        <v>1</v>
      </c>
      <c r="CH347" s="149">
        <f t="shared" si="371"/>
        <v>1</v>
      </c>
      <c r="CI347" s="149">
        <f t="shared" si="372"/>
        <v>1</v>
      </c>
      <c r="CJ347" s="149">
        <f t="shared" si="373"/>
        <v>1</v>
      </c>
      <c r="CK347" s="149">
        <f t="shared" si="374"/>
        <v>1</v>
      </c>
      <c r="CL347" s="149">
        <f t="shared" si="375"/>
        <v>1</v>
      </c>
      <c r="CM347" s="149">
        <f t="shared" si="376"/>
        <v>1</v>
      </c>
      <c r="CN347" s="149">
        <f t="shared" si="377"/>
        <v>1</v>
      </c>
      <c r="CO347" s="149">
        <f t="shared" si="378"/>
        <v>1</v>
      </c>
      <c r="CP347" s="149">
        <f t="shared" si="379"/>
        <v>1</v>
      </c>
      <c r="CQ347" s="149">
        <f t="shared" si="380"/>
        <v>1</v>
      </c>
      <c r="CR347" s="149">
        <f t="shared" si="381"/>
        <v>1</v>
      </c>
      <c r="CS347" s="149">
        <f t="shared" si="382"/>
        <v>1</v>
      </c>
      <c r="CT347" s="149">
        <f t="shared" si="383"/>
        <v>1</v>
      </c>
      <c r="CU347" s="149">
        <f t="shared" si="384"/>
        <v>1</v>
      </c>
      <c r="CV347" s="149">
        <f t="shared" si="385"/>
        <v>1</v>
      </c>
      <c r="CW347" s="149">
        <f t="shared" si="386"/>
        <v>1</v>
      </c>
      <c r="CX347" s="149">
        <f t="shared" si="387"/>
        <v>1</v>
      </c>
      <c r="CY347" s="149">
        <f t="shared" si="388"/>
        <v>1</v>
      </c>
      <c r="CZ347" s="149">
        <f t="shared" si="389"/>
        <v>1</v>
      </c>
      <c r="DA347" s="149">
        <f t="shared" si="390"/>
        <v>1</v>
      </c>
      <c r="DB347" s="149">
        <f t="shared" si="391"/>
        <v>1</v>
      </c>
      <c r="DG347" s="125">
        <f t="shared" si="296"/>
        <v>1</v>
      </c>
      <c r="DH347" s="125">
        <f t="shared" si="350"/>
        <v>2</v>
      </c>
      <c r="DI347" s="125">
        <f t="shared" si="350"/>
        <v>3</v>
      </c>
      <c r="DJ347" s="125">
        <f t="shared" si="350"/>
        <v>4</v>
      </c>
      <c r="DK347" s="125">
        <f t="shared" si="350"/>
        <v>5</v>
      </c>
      <c r="DL347" s="125">
        <f t="shared" si="350"/>
        <v>6</v>
      </c>
      <c r="DM347" s="125">
        <f t="shared" si="350"/>
        <v>7</v>
      </c>
      <c r="DN347" s="125">
        <f t="shared" si="350"/>
        <v>8</v>
      </c>
      <c r="DO347" s="125">
        <f t="shared" si="350"/>
        <v>9</v>
      </c>
      <c r="DP347" s="125">
        <f t="shared" si="350"/>
        <v>10</v>
      </c>
      <c r="DS347" s="137"/>
      <c r="DT347" s="137"/>
      <c r="DU347" s="137"/>
      <c r="DV347" s="137" t="b">
        <f t="shared" si="392"/>
        <v>0</v>
      </c>
      <c r="DW347" s="137" t="b">
        <f t="shared" si="393"/>
        <v>0</v>
      </c>
      <c r="DX347" s="137" t="b">
        <f t="shared" si="394"/>
        <v>1</v>
      </c>
      <c r="EB347" s="131">
        <f t="shared" si="395"/>
        <v>1</v>
      </c>
      <c r="EC347" s="137" t="b">
        <f t="shared" si="396"/>
        <v>0</v>
      </c>
      <c r="ED347" s="137" t="b">
        <f t="shared" si="397"/>
        <v>0</v>
      </c>
      <c r="EE347" s="137" t="b">
        <f t="shared" si="398"/>
        <v>1</v>
      </c>
      <c r="EF347" s="137"/>
      <c r="EG347" s="137"/>
      <c r="EH347" s="137"/>
      <c r="EI347" s="137"/>
      <c r="EJ347" s="137">
        <f t="shared" si="399"/>
        <v>1</v>
      </c>
      <c r="EK347" s="125">
        <f t="shared" si="400"/>
        <v>0</v>
      </c>
      <c r="EL347" s="125">
        <f t="shared" si="401"/>
        <v>0</v>
      </c>
    </row>
    <row r="348" spans="2:142" ht="15.75" x14ac:dyDescent="0.2">
      <c r="B348" s="160">
        <f t="shared" si="351"/>
        <v>318</v>
      </c>
      <c r="C348" s="290">
        <v>1001349483</v>
      </c>
      <c r="D348" s="290">
        <v>1001276682</v>
      </c>
      <c r="E348" s="290">
        <v>40000564</v>
      </c>
      <c r="F348" s="118">
        <f>IF(OR(J348="",H348=""),"",VLOOKUP(J348,'הזנה לסיווג רשויות'!$B$2:$D$301,2,0))</f>
        <v>20000201</v>
      </c>
      <c r="G348" s="118" t="str">
        <f>IF(OR(J348="",H348=""),"",VLOOKUP(J348,'הזנה לסיווג רשויות'!$B$2:$D$301,3,0))</f>
        <v>תל אביב -יפו</v>
      </c>
      <c r="H348" s="293" t="s">
        <v>731</v>
      </c>
      <c r="I348" s="201" t="s">
        <v>379</v>
      </c>
      <c r="J348" s="294">
        <v>5000</v>
      </c>
      <c r="K348" s="161">
        <v>0</v>
      </c>
      <c r="L348" s="161">
        <v>1</v>
      </c>
      <c r="M348" s="161">
        <v>0</v>
      </c>
      <c r="N348" s="161">
        <v>0</v>
      </c>
      <c r="O348" s="161">
        <v>1</v>
      </c>
      <c r="P348" s="161">
        <v>1</v>
      </c>
      <c r="Q348" s="161">
        <v>1</v>
      </c>
      <c r="R348" s="201">
        <v>69327</v>
      </c>
      <c r="S348" s="201">
        <v>69327</v>
      </c>
      <c r="T348" s="160">
        <f>IF(G348="","",IFERROR(IF(S348/R348&gt;'פרמטרים לקריטריונים'!$C$20,1,0),0))</f>
        <v>1</v>
      </c>
      <c r="U348" s="296">
        <v>46527</v>
      </c>
      <c r="V348" s="160">
        <f>IF(G348="","",IFERROR(IF(U348/R348&gt;'פרמטרים לקריטריונים'!$C$21,1,IF(AND(I348=$BW$5,U348/R348&gt;'פרמטרים לקריטריונים'!$C$22),1,0)),0))</f>
        <v>1</v>
      </c>
      <c r="W348" s="161">
        <v>1</v>
      </c>
      <c r="X348" s="161">
        <v>1</v>
      </c>
      <c r="Y348" s="299">
        <v>150000</v>
      </c>
      <c r="Z348" s="300">
        <v>150000</v>
      </c>
      <c r="AA348" s="161">
        <f t="shared" si="345"/>
        <v>1</v>
      </c>
      <c r="AB348" s="161"/>
      <c r="AC348" s="161"/>
      <c r="AD348" s="161"/>
      <c r="AE348" s="161"/>
      <c r="AF348" s="161"/>
      <c r="AG348" s="161"/>
      <c r="AH348" s="161"/>
      <c r="AI348" s="161"/>
      <c r="AJ348" s="161"/>
      <c r="AK348" s="161"/>
      <c r="AL348" s="161"/>
      <c r="AM348" s="161"/>
      <c r="AN348" s="161"/>
      <c r="AO348" s="161"/>
      <c r="AP348" s="161"/>
      <c r="AQ348" s="161"/>
      <c r="AR348" s="161"/>
      <c r="AS348" s="161"/>
      <c r="AT348" s="161"/>
      <c r="AU348" s="161"/>
      <c r="AV348" s="161"/>
      <c r="AW348" s="160"/>
      <c r="AX348" s="161"/>
      <c r="AY348" s="161"/>
      <c r="AZ348" s="161"/>
      <c r="BA348" s="161"/>
      <c r="BB348" s="161"/>
      <c r="BC348" s="161"/>
      <c r="BD348" s="161"/>
      <c r="BE348" s="161"/>
      <c r="BF348" s="160" t="str">
        <f t="shared" si="352"/>
        <v/>
      </c>
      <c r="BG348" s="160"/>
      <c r="BH348" s="160"/>
      <c r="BI348" s="160"/>
      <c r="BJ348" s="160"/>
      <c r="BK348" s="160"/>
      <c r="BL348" s="162">
        <f t="shared" si="353"/>
        <v>1</v>
      </c>
      <c r="BM348" s="257"/>
      <c r="BN348" s="163" t="s">
        <v>767</v>
      </c>
      <c r="BO348" s="211" t="str">
        <f t="shared" si="354"/>
        <v>עמותת הכוריאוגרפים (ע"ר)יוצרים עצמאיים במחול</v>
      </c>
      <c r="BP348" s="125">
        <f t="shared" si="355"/>
        <v>1</v>
      </c>
      <c r="BQ348" s="164">
        <v>0</v>
      </c>
      <c r="BR348" s="164">
        <v>1</v>
      </c>
      <c r="BS348" s="149">
        <f t="shared" si="356"/>
        <v>1</v>
      </c>
      <c r="BT348" s="149">
        <f t="shared" si="357"/>
        <v>1</v>
      </c>
      <c r="BU348" s="149">
        <f t="shared" si="358"/>
        <v>1</v>
      </c>
      <c r="BV348" s="149">
        <f t="shared" si="359"/>
        <v>1</v>
      </c>
      <c r="BW348" s="149">
        <f t="shared" si="360"/>
        <v>1</v>
      </c>
      <c r="BX348" s="149">
        <f t="shared" si="361"/>
        <v>1</v>
      </c>
      <c r="BY348" s="149">
        <f t="shared" si="362"/>
        <v>1</v>
      </c>
      <c r="BZ348" s="149">
        <f t="shared" si="363"/>
        <v>1</v>
      </c>
      <c r="CA348" s="149">
        <f t="shared" si="364"/>
        <v>1</v>
      </c>
      <c r="CB348" s="149">
        <f t="shared" si="365"/>
        <v>1</v>
      </c>
      <c r="CC348" s="149">
        <f t="shared" si="366"/>
        <v>1</v>
      </c>
      <c r="CD348" s="149">
        <f t="shared" si="367"/>
        <v>1</v>
      </c>
      <c r="CE348" s="149">
        <f t="shared" si="368"/>
        <v>1</v>
      </c>
      <c r="CF348" s="149">
        <f t="shared" si="369"/>
        <v>1</v>
      </c>
      <c r="CG348" s="149">
        <f t="shared" si="370"/>
        <v>1</v>
      </c>
      <c r="CH348" s="149">
        <f t="shared" si="371"/>
        <v>1</v>
      </c>
      <c r="CI348" s="149">
        <f t="shared" si="372"/>
        <v>1</v>
      </c>
      <c r="CJ348" s="149">
        <f t="shared" si="373"/>
        <v>1</v>
      </c>
      <c r="CK348" s="149">
        <f t="shared" si="374"/>
        <v>1</v>
      </c>
      <c r="CL348" s="149">
        <f t="shared" si="375"/>
        <v>1</v>
      </c>
      <c r="CM348" s="149">
        <f t="shared" si="376"/>
        <v>1</v>
      </c>
      <c r="CN348" s="149">
        <f t="shared" si="377"/>
        <v>1</v>
      </c>
      <c r="CO348" s="149">
        <f t="shared" si="378"/>
        <v>1</v>
      </c>
      <c r="CP348" s="149">
        <f t="shared" si="379"/>
        <v>1</v>
      </c>
      <c r="CQ348" s="149">
        <f t="shared" si="380"/>
        <v>1</v>
      </c>
      <c r="CR348" s="149">
        <f t="shared" si="381"/>
        <v>1</v>
      </c>
      <c r="CS348" s="149">
        <f t="shared" si="382"/>
        <v>1</v>
      </c>
      <c r="CT348" s="149">
        <f t="shared" si="383"/>
        <v>1</v>
      </c>
      <c r="CU348" s="149">
        <f t="shared" si="384"/>
        <v>1</v>
      </c>
      <c r="CV348" s="149">
        <f t="shared" si="385"/>
        <v>1</v>
      </c>
      <c r="CW348" s="149">
        <f t="shared" si="386"/>
        <v>1</v>
      </c>
      <c r="CX348" s="149">
        <f t="shared" si="387"/>
        <v>1</v>
      </c>
      <c r="CY348" s="149">
        <f t="shared" si="388"/>
        <v>1</v>
      </c>
      <c r="CZ348" s="149">
        <f t="shared" si="389"/>
        <v>1</v>
      </c>
      <c r="DA348" s="149">
        <f t="shared" si="390"/>
        <v>1</v>
      </c>
      <c r="DB348" s="149">
        <f t="shared" si="391"/>
        <v>1</v>
      </c>
      <c r="DG348" s="125">
        <f t="shared" si="296"/>
        <v>1</v>
      </c>
      <c r="DH348" s="125">
        <f t="shared" si="350"/>
        <v>2</v>
      </c>
      <c r="DI348" s="125">
        <f t="shared" si="350"/>
        <v>3</v>
      </c>
      <c r="DJ348" s="125">
        <f t="shared" si="350"/>
        <v>4</v>
      </c>
      <c r="DK348" s="125">
        <f t="shared" si="350"/>
        <v>5</v>
      </c>
      <c r="DL348" s="125">
        <f t="shared" si="350"/>
        <v>6</v>
      </c>
      <c r="DM348" s="125">
        <f t="shared" si="350"/>
        <v>7</v>
      </c>
      <c r="DN348" s="125">
        <f t="shared" si="350"/>
        <v>8</v>
      </c>
      <c r="DO348" s="125">
        <f t="shared" ref="DH348:DP377" si="402">IF($G348="","",DO$30)</f>
        <v>9</v>
      </c>
      <c r="DP348" s="125">
        <f t="shared" si="402"/>
        <v>10</v>
      </c>
      <c r="DS348" s="137"/>
      <c r="DT348" s="137"/>
      <c r="DU348" s="137"/>
      <c r="DV348" s="137" t="b">
        <f t="shared" si="392"/>
        <v>0</v>
      </c>
      <c r="DW348" s="137" t="b">
        <f t="shared" si="393"/>
        <v>0</v>
      </c>
      <c r="DX348" s="137" t="b">
        <f t="shared" si="394"/>
        <v>1</v>
      </c>
      <c r="EB348" s="131">
        <f t="shared" si="395"/>
        <v>1</v>
      </c>
      <c r="EC348" s="137" t="b">
        <f t="shared" si="396"/>
        <v>0</v>
      </c>
      <c r="ED348" s="137" t="b">
        <f t="shared" si="397"/>
        <v>0</v>
      </c>
      <c r="EE348" s="137" t="b">
        <f t="shared" si="398"/>
        <v>1</v>
      </c>
      <c r="EF348" s="137"/>
      <c r="EG348" s="137"/>
      <c r="EH348" s="137"/>
      <c r="EI348" s="137"/>
      <c r="EJ348" s="137">
        <f t="shared" si="399"/>
        <v>1</v>
      </c>
      <c r="EK348" s="125">
        <f t="shared" si="400"/>
        <v>0</v>
      </c>
      <c r="EL348" s="125">
        <f t="shared" si="401"/>
        <v>0</v>
      </c>
    </row>
    <row r="349" spans="2:142" ht="15.75" x14ac:dyDescent="0.2">
      <c r="B349" s="160">
        <f t="shared" si="351"/>
        <v>319</v>
      </c>
      <c r="C349" s="292">
        <v>1001349487</v>
      </c>
      <c r="D349" s="290">
        <v>1001263329</v>
      </c>
      <c r="E349" s="292">
        <v>40000567</v>
      </c>
      <c r="F349" s="118">
        <f>IF(OR(J349="",H349=""),"",VLOOKUP(J349,'הזנה לסיווג רשויות'!$B$2:$D$301,2,0))</f>
        <v>20000201</v>
      </c>
      <c r="G349" s="118" t="str">
        <f>IF(OR(J349="",H349=""),"",VLOOKUP(J349,'הזנה לסיווג רשויות'!$B$2:$D$301,3,0))</f>
        <v>תל אביב -יפו</v>
      </c>
      <c r="H349" s="295" t="s">
        <v>732</v>
      </c>
      <c r="I349" s="201" t="s">
        <v>373</v>
      </c>
      <c r="J349" s="294">
        <v>5000</v>
      </c>
      <c r="K349" s="161">
        <v>0</v>
      </c>
      <c r="L349" s="161">
        <v>1</v>
      </c>
      <c r="M349" s="161">
        <v>0</v>
      </c>
      <c r="N349" s="161">
        <v>1</v>
      </c>
      <c r="O349" s="161">
        <v>0</v>
      </c>
      <c r="P349" s="161">
        <v>1</v>
      </c>
      <c r="Q349" s="161">
        <v>1</v>
      </c>
      <c r="R349" s="201">
        <v>14324540</v>
      </c>
      <c r="S349" s="201">
        <v>10240674</v>
      </c>
      <c r="T349" s="160">
        <f>IF(G349="","",IFERROR(IF(S349/R349&gt;'פרמטרים לקריטריונים'!$C$20,1,0),0))</f>
        <v>1</v>
      </c>
      <c r="U349" s="297">
        <v>10153674</v>
      </c>
      <c r="V349" s="160">
        <f>IF(G349="","",IFERROR(IF(U349/R349&gt;'פרמטרים לקריטריונים'!$C$21,1,IF(AND(I349=$BW$5,U349/R349&gt;'פרמטרים לקריטריונים'!$C$22),1,0)),0))</f>
        <v>1</v>
      </c>
      <c r="W349" s="161">
        <v>1</v>
      </c>
      <c r="X349" s="161">
        <v>1</v>
      </c>
      <c r="Y349" s="301">
        <v>1900000</v>
      </c>
      <c r="Z349" s="302">
        <v>900000</v>
      </c>
      <c r="AA349" s="161">
        <f t="shared" si="345"/>
        <v>1</v>
      </c>
      <c r="AB349" s="161"/>
      <c r="AC349" s="161"/>
      <c r="AD349" s="161"/>
      <c r="AE349" s="161"/>
      <c r="AF349" s="161"/>
      <c r="AG349" s="161"/>
      <c r="AH349" s="161"/>
      <c r="AI349" s="161"/>
      <c r="AJ349" s="161"/>
      <c r="AK349" s="161"/>
      <c r="AL349" s="161"/>
      <c r="AM349" s="161"/>
      <c r="AN349" s="161"/>
      <c r="AO349" s="161"/>
      <c r="AP349" s="161"/>
      <c r="AQ349" s="161"/>
      <c r="AR349" s="161"/>
      <c r="AS349" s="161"/>
      <c r="AT349" s="161"/>
      <c r="AU349" s="161"/>
      <c r="AV349" s="161"/>
      <c r="AW349" s="160"/>
      <c r="AX349" s="161"/>
      <c r="AY349" s="161"/>
      <c r="AZ349" s="161"/>
      <c r="BA349" s="161"/>
      <c r="BB349" s="161"/>
      <c r="BC349" s="161"/>
      <c r="BD349" s="161"/>
      <c r="BE349" s="161"/>
      <c r="BF349" s="160" t="str">
        <f t="shared" si="352"/>
        <v/>
      </c>
      <c r="BG349" s="160"/>
      <c r="BH349" s="160"/>
      <c r="BI349" s="160"/>
      <c r="BJ349" s="160"/>
      <c r="BK349" s="160"/>
      <c r="BL349" s="162">
        <f t="shared" si="353"/>
        <v>1</v>
      </c>
      <c r="BM349" s="257" t="s">
        <v>768</v>
      </c>
      <c r="BN349" s="163"/>
      <c r="BO349" s="211" t="str">
        <f t="shared" si="354"/>
        <v>תיאטרון ארצי לילדים ונוער (ע"ר)תיאטרון</v>
      </c>
      <c r="BP349" s="125">
        <f t="shared" si="355"/>
        <v>1</v>
      </c>
      <c r="BQ349" s="164">
        <v>0</v>
      </c>
      <c r="BR349" s="164">
        <v>1</v>
      </c>
      <c r="BS349" s="149">
        <f t="shared" si="356"/>
        <v>1</v>
      </c>
      <c r="BT349" s="149">
        <f t="shared" si="357"/>
        <v>1</v>
      </c>
      <c r="BU349" s="149">
        <f t="shared" si="358"/>
        <v>1</v>
      </c>
      <c r="BV349" s="149">
        <f t="shared" si="359"/>
        <v>1</v>
      </c>
      <c r="BW349" s="149">
        <f t="shared" si="360"/>
        <v>1</v>
      </c>
      <c r="BX349" s="149">
        <f t="shared" si="361"/>
        <v>1</v>
      </c>
      <c r="BY349" s="149">
        <f t="shared" si="362"/>
        <v>1</v>
      </c>
      <c r="BZ349" s="149">
        <f t="shared" si="363"/>
        <v>1</v>
      </c>
      <c r="CA349" s="149">
        <f t="shared" si="364"/>
        <v>1</v>
      </c>
      <c r="CB349" s="149">
        <f t="shared" si="365"/>
        <v>1</v>
      </c>
      <c r="CC349" s="149">
        <f t="shared" si="366"/>
        <v>1</v>
      </c>
      <c r="CD349" s="149">
        <f t="shared" si="367"/>
        <v>1</v>
      </c>
      <c r="CE349" s="149">
        <f t="shared" si="368"/>
        <v>1</v>
      </c>
      <c r="CF349" s="149">
        <f t="shared" si="369"/>
        <v>1</v>
      </c>
      <c r="CG349" s="149">
        <f t="shared" si="370"/>
        <v>1</v>
      </c>
      <c r="CH349" s="149">
        <f t="shared" si="371"/>
        <v>1</v>
      </c>
      <c r="CI349" s="149">
        <f t="shared" si="372"/>
        <v>1</v>
      </c>
      <c r="CJ349" s="149">
        <f t="shared" si="373"/>
        <v>1</v>
      </c>
      <c r="CK349" s="149">
        <f t="shared" si="374"/>
        <v>1</v>
      </c>
      <c r="CL349" s="149">
        <f t="shared" si="375"/>
        <v>1</v>
      </c>
      <c r="CM349" s="149">
        <f t="shared" si="376"/>
        <v>1</v>
      </c>
      <c r="CN349" s="149">
        <f t="shared" si="377"/>
        <v>1</v>
      </c>
      <c r="CO349" s="149">
        <f t="shared" si="378"/>
        <v>1</v>
      </c>
      <c r="CP349" s="149">
        <f t="shared" si="379"/>
        <v>1</v>
      </c>
      <c r="CQ349" s="149">
        <f t="shared" si="380"/>
        <v>1</v>
      </c>
      <c r="CR349" s="149">
        <f t="shared" si="381"/>
        <v>1</v>
      </c>
      <c r="CS349" s="149">
        <f t="shared" si="382"/>
        <v>1</v>
      </c>
      <c r="CT349" s="149">
        <f t="shared" si="383"/>
        <v>1</v>
      </c>
      <c r="CU349" s="149">
        <f t="shared" si="384"/>
        <v>1</v>
      </c>
      <c r="CV349" s="149">
        <f t="shared" si="385"/>
        <v>1</v>
      </c>
      <c r="CW349" s="149">
        <f t="shared" si="386"/>
        <v>1</v>
      </c>
      <c r="CX349" s="149">
        <f t="shared" si="387"/>
        <v>1</v>
      </c>
      <c r="CY349" s="149">
        <f t="shared" si="388"/>
        <v>1</v>
      </c>
      <c r="CZ349" s="149">
        <f t="shared" si="389"/>
        <v>1</v>
      </c>
      <c r="DA349" s="149">
        <f t="shared" si="390"/>
        <v>1</v>
      </c>
      <c r="DB349" s="149">
        <f t="shared" si="391"/>
        <v>1</v>
      </c>
      <c r="DG349" s="125">
        <f t="shared" si="296"/>
        <v>1</v>
      </c>
      <c r="DH349" s="125">
        <f t="shared" si="402"/>
        <v>2</v>
      </c>
      <c r="DI349" s="125">
        <f t="shared" si="402"/>
        <v>3</v>
      </c>
      <c r="DJ349" s="125">
        <f t="shared" si="402"/>
        <v>4</v>
      </c>
      <c r="DK349" s="125">
        <f t="shared" si="402"/>
        <v>5</v>
      </c>
      <c r="DL349" s="125">
        <f t="shared" si="402"/>
        <v>6</v>
      </c>
      <c r="DM349" s="125">
        <f t="shared" si="402"/>
        <v>7</v>
      </c>
      <c r="DN349" s="125">
        <f t="shared" si="402"/>
        <v>8</v>
      </c>
      <c r="DO349" s="125">
        <f t="shared" si="402"/>
        <v>9</v>
      </c>
      <c r="DP349" s="125">
        <f t="shared" si="402"/>
        <v>10</v>
      </c>
      <c r="DS349" s="137"/>
      <c r="DT349" s="137"/>
      <c r="DU349" s="137"/>
      <c r="DV349" s="137" t="b">
        <f t="shared" si="392"/>
        <v>0</v>
      </c>
      <c r="DW349" s="137" t="b">
        <f t="shared" si="393"/>
        <v>0</v>
      </c>
      <c r="DX349" s="137" t="b">
        <f t="shared" si="394"/>
        <v>1</v>
      </c>
      <c r="EB349" s="131">
        <f t="shared" si="395"/>
        <v>1</v>
      </c>
      <c r="EC349" s="137" t="b">
        <f t="shared" si="396"/>
        <v>0</v>
      </c>
      <c r="ED349" s="137" t="b">
        <f t="shared" si="397"/>
        <v>0</v>
      </c>
      <c r="EE349" s="137" t="b">
        <f t="shared" si="398"/>
        <v>1</v>
      </c>
      <c r="EF349" s="137"/>
      <c r="EG349" s="137"/>
      <c r="EH349" s="137"/>
      <c r="EI349" s="137"/>
      <c r="EJ349" s="137">
        <f t="shared" si="399"/>
        <v>1</v>
      </c>
      <c r="EK349" s="125">
        <f t="shared" si="400"/>
        <v>0</v>
      </c>
      <c r="EL349" s="125">
        <f t="shared" si="401"/>
        <v>0</v>
      </c>
    </row>
    <row r="350" spans="2:142" ht="15.75" x14ac:dyDescent="0.2">
      <c r="B350" s="160">
        <f t="shared" si="351"/>
        <v>320</v>
      </c>
      <c r="C350" s="290">
        <v>1001347578</v>
      </c>
      <c r="D350" s="290">
        <v>1001275925</v>
      </c>
      <c r="E350" s="290">
        <v>40000632</v>
      </c>
      <c r="F350" s="118">
        <f>IF(OR(J350="",H350=""),"",VLOOKUP(J350,'הזנה לסיווג רשויות'!$B$2:$D$301,2,0))</f>
        <v>20000201</v>
      </c>
      <c r="G350" s="118" t="str">
        <f>IF(OR(J350="",H350=""),"",VLOOKUP(J350,'הזנה לסיווג רשויות'!$B$2:$D$301,3,0))</f>
        <v>תל אביב -יפו</v>
      </c>
      <c r="H350" s="293" t="s">
        <v>733</v>
      </c>
      <c r="I350" s="201" t="s">
        <v>564</v>
      </c>
      <c r="J350" s="294">
        <v>5000</v>
      </c>
      <c r="K350" s="161">
        <v>0</v>
      </c>
      <c r="L350" s="161">
        <v>1</v>
      </c>
      <c r="M350" s="161">
        <v>0</v>
      </c>
      <c r="N350" s="161">
        <v>1</v>
      </c>
      <c r="O350" s="161">
        <v>0</v>
      </c>
      <c r="P350" s="161">
        <v>1</v>
      </c>
      <c r="Q350" s="161">
        <v>1</v>
      </c>
      <c r="R350" s="201">
        <v>1667383</v>
      </c>
      <c r="S350" s="201">
        <v>700434</v>
      </c>
      <c r="T350" s="160">
        <f>IF(G350="","",IFERROR(IF(S350/R350&gt;'פרמטרים לקריטריונים'!$C$20,1,0),0))</f>
        <v>1</v>
      </c>
      <c r="U350" s="296">
        <v>658252</v>
      </c>
      <c r="V350" s="160">
        <f>IF(G350="","",IFERROR(IF(U350/R350&gt;'פרמטרים לקריטריונים'!$C$21,1,IF(AND(I350=$BW$5,U350/R350&gt;'פרמטרים לקריטריונים'!$C$22),1,0)),0))</f>
        <v>1</v>
      </c>
      <c r="W350" s="161">
        <v>1</v>
      </c>
      <c r="X350" s="161">
        <v>1</v>
      </c>
      <c r="Y350" s="299">
        <v>650000</v>
      </c>
      <c r="Z350" s="300">
        <v>130000</v>
      </c>
      <c r="AA350" s="161">
        <f t="shared" si="345"/>
        <v>1</v>
      </c>
      <c r="AB350" s="161"/>
      <c r="AC350" s="161"/>
      <c r="AD350" s="161"/>
      <c r="AE350" s="161"/>
      <c r="AF350" s="161"/>
      <c r="AG350" s="161"/>
      <c r="AH350" s="161"/>
      <c r="AI350" s="161"/>
      <c r="AJ350" s="161"/>
      <c r="AK350" s="161"/>
      <c r="AL350" s="161"/>
      <c r="AM350" s="161"/>
      <c r="AN350" s="161"/>
      <c r="AO350" s="161"/>
      <c r="AP350" s="161"/>
      <c r="AQ350" s="161"/>
      <c r="AR350" s="161"/>
      <c r="AS350" s="161"/>
      <c r="AT350" s="161"/>
      <c r="AU350" s="161"/>
      <c r="AV350" s="161"/>
      <c r="AW350" s="160"/>
      <c r="AX350" s="161"/>
      <c r="AY350" s="161"/>
      <c r="AZ350" s="161"/>
      <c r="BA350" s="161"/>
      <c r="BB350" s="161"/>
      <c r="BC350" s="161"/>
      <c r="BD350" s="161"/>
      <c r="BE350" s="161"/>
      <c r="BF350" s="160" t="str">
        <f t="shared" si="352"/>
        <v/>
      </c>
      <c r="BG350" s="160"/>
      <c r="BH350" s="160"/>
      <c r="BI350" s="160"/>
      <c r="BJ350" s="160"/>
      <c r="BK350" s="160"/>
      <c r="BL350" s="162">
        <f t="shared" si="353"/>
        <v>1</v>
      </c>
      <c r="BM350" s="257" t="s">
        <v>769</v>
      </c>
      <c r="BN350" s="163"/>
      <c r="BO350" s="211" t="str">
        <f t="shared" si="354"/>
        <v>האנסמבל הקולי הישראלי (1995) (ע"ר)אחר</v>
      </c>
      <c r="BP350" s="125">
        <f t="shared" si="355"/>
        <v>1</v>
      </c>
      <c r="BQ350" s="164">
        <v>0</v>
      </c>
      <c r="BR350" s="164">
        <v>1</v>
      </c>
      <c r="BS350" s="149">
        <f t="shared" si="356"/>
        <v>1</v>
      </c>
      <c r="BT350" s="149">
        <f t="shared" si="357"/>
        <v>1</v>
      </c>
      <c r="BU350" s="149">
        <f t="shared" si="358"/>
        <v>1</v>
      </c>
      <c r="BV350" s="149">
        <f t="shared" si="359"/>
        <v>1</v>
      </c>
      <c r="BW350" s="149">
        <f t="shared" si="360"/>
        <v>1</v>
      </c>
      <c r="BX350" s="149">
        <f t="shared" si="361"/>
        <v>1</v>
      </c>
      <c r="BY350" s="149">
        <f t="shared" si="362"/>
        <v>1</v>
      </c>
      <c r="BZ350" s="149">
        <f t="shared" si="363"/>
        <v>1</v>
      </c>
      <c r="CA350" s="149">
        <f t="shared" si="364"/>
        <v>1</v>
      </c>
      <c r="CB350" s="149">
        <f t="shared" si="365"/>
        <v>1</v>
      </c>
      <c r="CC350" s="149">
        <f t="shared" si="366"/>
        <v>1</v>
      </c>
      <c r="CD350" s="149">
        <f t="shared" si="367"/>
        <v>1</v>
      </c>
      <c r="CE350" s="149">
        <f t="shared" si="368"/>
        <v>1</v>
      </c>
      <c r="CF350" s="149">
        <f t="shared" si="369"/>
        <v>1</v>
      </c>
      <c r="CG350" s="149">
        <f t="shared" si="370"/>
        <v>1</v>
      </c>
      <c r="CH350" s="149">
        <f t="shared" si="371"/>
        <v>1</v>
      </c>
      <c r="CI350" s="149">
        <f t="shared" si="372"/>
        <v>1</v>
      </c>
      <c r="CJ350" s="149">
        <f t="shared" si="373"/>
        <v>1</v>
      </c>
      <c r="CK350" s="149">
        <f t="shared" si="374"/>
        <v>1</v>
      </c>
      <c r="CL350" s="149">
        <f t="shared" si="375"/>
        <v>1</v>
      </c>
      <c r="CM350" s="149">
        <f t="shared" si="376"/>
        <v>1</v>
      </c>
      <c r="CN350" s="149">
        <f t="shared" si="377"/>
        <v>1</v>
      </c>
      <c r="CO350" s="149">
        <f t="shared" si="378"/>
        <v>1</v>
      </c>
      <c r="CP350" s="149">
        <f t="shared" si="379"/>
        <v>1</v>
      </c>
      <c r="CQ350" s="149">
        <f t="shared" si="380"/>
        <v>1</v>
      </c>
      <c r="CR350" s="149">
        <f t="shared" si="381"/>
        <v>1</v>
      </c>
      <c r="CS350" s="149">
        <f t="shared" si="382"/>
        <v>1</v>
      </c>
      <c r="CT350" s="149">
        <f t="shared" si="383"/>
        <v>1</v>
      </c>
      <c r="CU350" s="149">
        <f t="shared" si="384"/>
        <v>1</v>
      </c>
      <c r="CV350" s="149">
        <f t="shared" si="385"/>
        <v>1</v>
      </c>
      <c r="CW350" s="149">
        <f t="shared" si="386"/>
        <v>1</v>
      </c>
      <c r="CX350" s="149">
        <f t="shared" si="387"/>
        <v>1</v>
      </c>
      <c r="CY350" s="149">
        <f t="shared" si="388"/>
        <v>1</v>
      </c>
      <c r="CZ350" s="149">
        <f t="shared" si="389"/>
        <v>1</v>
      </c>
      <c r="DA350" s="149">
        <f t="shared" si="390"/>
        <v>1</v>
      </c>
      <c r="DB350" s="149">
        <f t="shared" si="391"/>
        <v>1</v>
      </c>
      <c r="DG350" s="125">
        <f t="shared" si="296"/>
        <v>1</v>
      </c>
      <c r="DH350" s="125">
        <f t="shared" si="402"/>
        <v>2</v>
      </c>
      <c r="DI350" s="125">
        <f t="shared" si="402"/>
        <v>3</v>
      </c>
      <c r="DJ350" s="125">
        <f t="shared" si="402"/>
        <v>4</v>
      </c>
      <c r="DK350" s="125">
        <f t="shared" si="402"/>
        <v>5</v>
      </c>
      <c r="DL350" s="125">
        <f t="shared" si="402"/>
        <v>6</v>
      </c>
      <c r="DM350" s="125">
        <f t="shared" si="402"/>
        <v>7</v>
      </c>
      <c r="DN350" s="125">
        <f t="shared" si="402"/>
        <v>8</v>
      </c>
      <c r="DO350" s="125">
        <f t="shared" si="402"/>
        <v>9</v>
      </c>
      <c r="DP350" s="125">
        <f t="shared" si="402"/>
        <v>10</v>
      </c>
      <c r="DS350" s="137"/>
      <c r="DT350" s="137"/>
      <c r="DU350" s="137"/>
      <c r="DV350" s="137" t="b">
        <f t="shared" si="392"/>
        <v>0</v>
      </c>
      <c r="DW350" s="137" t="b">
        <f t="shared" si="393"/>
        <v>0</v>
      </c>
      <c r="DX350" s="137" t="b">
        <f t="shared" si="394"/>
        <v>1</v>
      </c>
      <c r="EB350" s="131">
        <f t="shared" si="395"/>
        <v>1</v>
      </c>
      <c r="EC350" s="137" t="b">
        <f t="shared" si="396"/>
        <v>0</v>
      </c>
      <c r="ED350" s="137" t="b">
        <f t="shared" si="397"/>
        <v>0</v>
      </c>
      <c r="EE350" s="137" t="b">
        <f t="shared" si="398"/>
        <v>1</v>
      </c>
      <c r="EF350" s="137"/>
      <c r="EG350" s="137"/>
      <c r="EH350" s="137"/>
      <c r="EI350" s="137"/>
      <c r="EJ350" s="137">
        <f t="shared" si="399"/>
        <v>1</v>
      </c>
      <c r="EK350" s="125">
        <f t="shared" si="400"/>
        <v>0</v>
      </c>
      <c r="EL350" s="125">
        <f t="shared" si="401"/>
        <v>0</v>
      </c>
    </row>
    <row r="351" spans="2:142" ht="15.75" x14ac:dyDescent="0.2">
      <c r="B351" s="160">
        <f t="shared" si="351"/>
        <v>321</v>
      </c>
      <c r="C351" s="290">
        <v>1001349109</v>
      </c>
      <c r="D351" s="290">
        <v>1001289001</v>
      </c>
      <c r="E351" s="290">
        <v>40000632</v>
      </c>
      <c r="F351" s="118">
        <f>IF(OR(J351="",H351=""),"",VLOOKUP(J351,'הזנה לסיווג רשויות'!$B$2:$D$301,2,0))</f>
        <v>20000201</v>
      </c>
      <c r="G351" s="118" t="str">
        <f>IF(OR(J351="",H351=""),"",VLOOKUP(J351,'הזנה לסיווג רשויות'!$B$2:$D$301,3,0))</f>
        <v>תל אביב -יפו</v>
      </c>
      <c r="H351" s="293" t="s">
        <v>733</v>
      </c>
      <c r="I351" s="201" t="s">
        <v>378</v>
      </c>
      <c r="J351" s="294">
        <v>5000</v>
      </c>
      <c r="K351" s="161">
        <v>0</v>
      </c>
      <c r="L351" s="161">
        <v>1</v>
      </c>
      <c r="M351" s="161">
        <v>0</v>
      </c>
      <c r="N351" s="161">
        <v>0</v>
      </c>
      <c r="O351" s="161">
        <v>1</v>
      </c>
      <c r="P351" s="161">
        <v>1</v>
      </c>
      <c r="Q351" s="161">
        <v>1</v>
      </c>
      <c r="R351" s="201">
        <v>55277</v>
      </c>
      <c r="S351" s="201">
        <v>23550</v>
      </c>
      <c r="T351" s="160">
        <f>IF(G351="","",IFERROR(IF(S351/R351&gt;'פרמטרים לקריטריונים'!$C$20,1,0),0))</f>
        <v>1</v>
      </c>
      <c r="U351" s="296">
        <v>23550</v>
      </c>
      <c r="V351" s="160">
        <f>IF(G351="","",IFERROR(IF(U351/R351&gt;'פרמטרים לקריטריונים'!$C$21,1,IF(AND(I351=$BW$5,U351/R351&gt;'פרמטרים לקריטריונים'!$C$22),1,0)),0))</f>
        <v>1</v>
      </c>
      <c r="W351" s="161">
        <v>1</v>
      </c>
      <c r="X351" s="161">
        <v>1</v>
      </c>
      <c r="Y351" s="299">
        <v>10000</v>
      </c>
      <c r="Z351" s="300">
        <v>1000</v>
      </c>
      <c r="AA351" s="161">
        <f t="shared" si="345"/>
        <v>1</v>
      </c>
      <c r="AB351" s="161"/>
      <c r="AC351" s="161"/>
      <c r="AD351" s="161"/>
      <c r="AE351" s="161"/>
      <c r="AF351" s="161"/>
      <c r="AG351" s="161"/>
      <c r="AH351" s="161"/>
      <c r="AI351" s="161"/>
      <c r="AJ351" s="161"/>
      <c r="AK351" s="161"/>
      <c r="AL351" s="161"/>
      <c r="AM351" s="161"/>
      <c r="AN351" s="161"/>
      <c r="AO351" s="161"/>
      <c r="AP351" s="161"/>
      <c r="AQ351" s="161"/>
      <c r="AR351" s="161"/>
      <c r="AS351" s="161"/>
      <c r="AT351" s="161"/>
      <c r="AU351" s="161"/>
      <c r="AV351" s="161"/>
      <c r="AW351" s="160"/>
      <c r="AX351" s="161"/>
      <c r="AY351" s="161"/>
      <c r="AZ351" s="161"/>
      <c r="BA351" s="161"/>
      <c r="BB351" s="161"/>
      <c r="BC351" s="161"/>
      <c r="BD351" s="161"/>
      <c r="BE351" s="161"/>
      <c r="BF351" s="160" t="str">
        <f t="shared" si="352"/>
        <v/>
      </c>
      <c r="BG351" s="160"/>
      <c r="BH351" s="160"/>
      <c r="BI351" s="160"/>
      <c r="BJ351" s="160"/>
      <c r="BK351" s="160"/>
      <c r="BL351" s="162">
        <f t="shared" si="353"/>
        <v>1</v>
      </c>
      <c r="BM351" s="257"/>
      <c r="BN351" s="163"/>
      <c r="BO351" s="211" t="str">
        <f t="shared" si="354"/>
        <v>האנסמבל הקולי הישראלי (1995) (ע"ר)מקהלות</v>
      </c>
      <c r="BP351" s="125">
        <f t="shared" si="355"/>
        <v>1</v>
      </c>
      <c r="BQ351" s="164">
        <v>0</v>
      </c>
      <c r="BR351" s="164">
        <v>1</v>
      </c>
      <c r="BS351" s="149">
        <f t="shared" si="356"/>
        <v>1</v>
      </c>
      <c r="BT351" s="149">
        <f t="shared" si="357"/>
        <v>1</v>
      </c>
      <c r="BU351" s="149">
        <f t="shared" si="358"/>
        <v>1</v>
      </c>
      <c r="BV351" s="149">
        <f t="shared" si="359"/>
        <v>1</v>
      </c>
      <c r="BW351" s="149">
        <f t="shared" si="360"/>
        <v>1</v>
      </c>
      <c r="BX351" s="149">
        <f t="shared" si="361"/>
        <v>1</v>
      </c>
      <c r="BY351" s="149">
        <f t="shared" si="362"/>
        <v>1</v>
      </c>
      <c r="BZ351" s="149">
        <f t="shared" si="363"/>
        <v>1</v>
      </c>
      <c r="CA351" s="149">
        <f t="shared" si="364"/>
        <v>1</v>
      </c>
      <c r="CB351" s="149">
        <f t="shared" si="365"/>
        <v>1</v>
      </c>
      <c r="CC351" s="149">
        <f t="shared" si="366"/>
        <v>1</v>
      </c>
      <c r="CD351" s="149">
        <f t="shared" si="367"/>
        <v>1</v>
      </c>
      <c r="CE351" s="149">
        <f t="shared" si="368"/>
        <v>1</v>
      </c>
      <c r="CF351" s="149">
        <f t="shared" si="369"/>
        <v>1</v>
      </c>
      <c r="CG351" s="149">
        <f t="shared" si="370"/>
        <v>1</v>
      </c>
      <c r="CH351" s="149">
        <f t="shared" si="371"/>
        <v>1</v>
      </c>
      <c r="CI351" s="149">
        <f t="shared" si="372"/>
        <v>1</v>
      </c>
      <c r="CJ351" s="149">
        <f t="shared" si="373"/>
        <v>1</v>
      </c>
      <c r="CK351" s="149">
        <f t="shared" si="374"/>
        <v>1</v>
      </c>
      <c r="CL351" s="149">
        <f t="shared" si="375"/>
        <v>1</v>
      </c>
      <c r="CM351" s="149">
        <f t="shared" si="376"/>
        <v>1</v>
      </c>
      <c r="CN351" s="149">
        <f t="shared" si="377"/>
        <v>1</v>
      </c>
      <c r="CO351" s="149">
        <f t="shared" si="378"/>
        <v>1</v>
      </c>
      <c r="CP351" s="149">
        <f t="shared" si="379"/>
        <v>1</v>
      </c>
      <c r="CQ351" s="149">
        <f t="shared" si="380"/>
        <v>1</v>
      </c>
      <c r="CR351" s="149">
        <f t="shared" si="381"/>
        <v>1</v>
      </c>
      <c r="CS351" s="149">
        <f t="shared" si="382"/>
        <v>1</v>
      </c>
      <c r="CT351" s="149">
        <f t="shared" si="383"/>
        <v>1</v>
      </c>
      <c r="CU351" s="149">
        <f t="shared" si="384"/>
        <v>1</v>
      </c>
      <c r="CV351" s="149">
        <f t="shared" si="385"/>
        <v>1</v>
      </c>
      <c r="CW351" s="149">
        <f t="shared" si="386"/>
        <v>1</v>
      </c>
      <c r="CX351" s="149">
        <f t="shared" si="387"/>
        <v>1</v>
      </c>
      <c r="CY351" s="149">
        <f t="shared" si="388"/>
        <v>1</v>
      </c>
      <c r="CZ351" s="149">
        <f t="shared" si="389"/>
        <v>1</v>
      </c>
      <c r="DA351" s="149">
        <f t="shared" si="390"/>
        <v>1</v>
      </c>
      <c r="DB351" s="149">
        <f t="shared" si="391"/>
        <v>1</v>
      </c>
      <c r="DG351" s="125">
        <f t="shared" si="296"/>
        <v>1</v>
      </c>
      <c r="DH351" s="125">
        <f t="shared" si="402"/>
        <v>2</v>
      </c>
      <c r="DI351" s="125">
        <f t="shared" si="402"/>
        <v>3</v>
      </c>
      <c r="DJ351" s="125">
        <f t="shared" si="402"/>
        <v>4</v>
      </c>
      <c r="DK351" s="125">
        <f t="shared" si="402"/>
        <v>5</v>
      </c>
      <c r="DL351" s="125">
        <f t="shared" si="402"/>
        <v>6</v>
      </c>
      <c r="DM351" s="125">
        <f t="shared" si="402"/>
        <v>7</v>
      </c>
      <c r="DN351" s="125">
        <f t="shared" si="402"/>
        <v>8</v>
      </c>
      <c r="DO351" s="125">
        <f t="shared" si="402"/>
        <v>9</v>
      </c>
      <c r="DP351" s="125">
        <f t="shared" si="402"/>
        <v>10</v>
      </c>
      <c r="DS351" s="137"/>
      <c r="DT351" s="137"/>
      <c r="DU351" s="137"/>
      <c r="DV351" s="137" t="b">
        <f t="shared" si="392"/>
        <v>0</v>
      </c>
      <c r="DW351" s="137" t="b">
        <f t="shared" si="393"/>
        <v>0</v>
      </c>
      <c r="DX351" s="137" t="b">
        <f t="shared" si="394"/>
        <v>1</v>
      </c>
      <c r="EB351" s="131">
        <f t="shared" si="395"/>
        <v>1</v>
      </c>
      <c r="EC351" s="137" t="b">
        <f t="shared" si="396"/>
        <v>0</v>
      </c>
      <c r="ED351" s="137" t="b">
        <f t="shared" si="397"/>
        <v>0</v>
      </c>
      <c r="EE351" s="137" t="b">
        <f t="shared" si="398"/>
        <v>1</v>
      </c>
      <c r="EF351" s="137"/>
      <c r="EG351" s="137"/>
      <c r="EH351" s="137"/>
      <c r="EI351" s="137"/>
      <c r="EJ351" s="137">
        <f t="shared" si="399"/>
        <v>1</v>
      </c>
      <c r="EK351" s="125">
        <f t="shared" si="400"/>
        <v>0</v>
      </c>
      <c r="EL351" s="125">
        <f t="shared" si="401"/>
        <v>0</v>
      </c>
    </row>
    <row r="352" spans="2:142" ht="15.75" x14ac:dyDescent="0.2">
      <c r="B352" s="160">
        <f t="shared" si="351"/>
        <v>322</v>
      </c>
      <c r="C352" s="292">
        <v>1001348981</v>
      </c>
      <c r="D352" s="290">
        <v>1001276716</v>
      </c>
      <c r="E352" s="292">
        <v>40000644</v>
      </c>
      <c r="F352" s="118">
        <f>IF(OR(J352="",H352=""),"",VLOOKUP(J352,'הזנה לסיווג רשויות'!$B$2:$D$301,2,0))</f>
        <v>20000201</v>
      </c>
      <c r="G352" s="118" t="str">
        <f>IF(OR(J352="",H352=""),"",VLOOKUP(J352,'הזנה לסיווג רשויות'!$B$2:$D$301,3,0))</f>
        <v>תל אביב -יפו</v>
      </c>
      <c r="H352" s="295" t="s">
        <v>734</v>
      </c>
      <c r="I352" s="201" t="s">
        <v>373</v>
      </c>
      <c r="J352" s="294">
        <v>5000</v>
      </c>
      <c r="K352" s="161">
        <v>0</v>
      </c>
      <c r="L352" s="161">
        <v>1</v>
      </c>
      <c r="M352" s="161">
        <v>0</v>
      </c>
      <c r="N352" s="161">
        <v>1</v>
      </c>
      <c r="O352" s="161">
        <v>0</v>
      </c>
      <c r="P352" s="161">
        <v>1</v>
      </c>
      <c r="Q352" s="161">
        <v>1</v>
      </c>
      <c r="R352" s="201">
        <v>20778977</v>
      </c>
      <c r="S352" s="201">
        <v>16614428</v>
      </c>
      <c r="T352" s="160">
        <f>IF(G352="","",IFERROR(IF(S352/R352&gt;'פרמטרים לקריטריונים'!$C$20,1,0),0))</f>
        <v>1</v>
      </c>
      <c r="U352" s="298">
        <v>16614428</v>
      </c>
      <c r="V352" s="160">
        <f>IF(G352="","",IFERROR(IF(U352/R352&gt;'פרמטרים לקריטריונים'!$C$21,1,IF(AND(I352=$BW$5,U352/R352&gt;'פרמטרים לקריטריונים'!$C$22),1,0)),0))</f>
        <v>1</v>
      </c>
      <c r="W352" s="161">
        <v>1</v>
      </c>
      <c r="X352" s="161">
        <v>1</v>
      </c>
      <c r="Y352" s="301">
        <v>1300000</v>
      </c>
      <c r="Z352" s="302">
        <v>1500000</v>
      </c>
      <c r="AA352" s="161">
        <f t="shared" ref="AA352:AA415" si="403">IF(G352="","",IF(COUNTIF($D$31:$D$500,D352)=1,1,0))</f>
        <v>1</v>
      </c>
      <c r="AB352" s="161"/>
      <c r="AC352" s="161"/>
      <c r="AD352" s="161"/>
      <c r="AE352" s="161"/>
      <c r="AF352" s="161"/>
      <c r="AG352" s="161"/>
      <c r="AH352" s="161"/>
      <c r="AI352" s="161"/>
      <c r="AJ352" s="161"/>
      <c r="AK352" s="161"/>
      <c r="AL352" s="161"/>
      <c r="AM352" s="161"/>
      <c r="AN352" s="161"/>
      <c r="AO352" s="161"/>
      <c r="AP352" s="161"/>
      <c r="AQ352" s="161"/>
      <c r="AR352" s="161"/>
      <c r="AS352" s="161"/>
      <c r="AT352" s="161"/>
      <c r="AU352" s="161"/>
      <c r="AV352" s="161"/>
      <c r="AW352" s="160"/>
      <c r="AX352" s="161"/>
      <c r="AY352" s="161"/>
      <c r="AZ352" s="161"/>
      <c r="BA352" s="161"/>
      <c r="BB352" s="161"/>
      <c r="BC352" s="161"/>
      <c r="BD352" s="161"/>
      <c r="BE352" s="161"/>
      <c r="BF352" s="160" t="str">
        <f t="shared" si="352"/>
        <v/>
      </c>
      <c r="BG352" s="160"/>
      <c r="BH352" s="160"/>
      <c r="BI352" s="160"/>
      <c r="BJ352" s="160"/>
      <c r="BK352" s="160"/>
      <c r="BL352" s="162">
        <f t="shared" si="353"/>
        <v>1</v>
      </c>
      <c r="BM352" s="257"/>
      <c r="BN352" s="163"/>
      <c r="BO352" s="211" t="str">
        <f t="shared" si="354"/>
        <v>תיאטרון השעה הישראלי (ע"ר)תיאטרון</v>
      </c>
      <c r="BP352" s="125">
        <f t="shared" si="355"/>
        <v>1</v>
      </c>
      <c r="BQ352" s="164">
        <v>0</v>
      </c>
      <c r="BR352" s="164">
        <v>1</v>
      </c>
      <c r="BS352" s="149">
        <f t="shared" si="356"/>
        <v>1</v>
      </c>
      <c r="BT352" s="149">
        <f t="shared" si="357"/>
        <v>1</v>
      </c>
      <c r="BU352" s="149">
        <f t="shared" si="358"/>
        <v>1</v>
      </c>
      <c r="BV352" s="149">
        <f t="shared" si="359"/>
        <v>1</v>
      </c>
      <c r="BW352" s="149">
        <f t="shared" si="360"/>
        <v>1</v>
      </c>
      <c r="BX352" s="149">
        <f t="shared" si="361"/>
        <v>1</v>
      </c>
      <c r="BY352" s="149">
        <f t="shared" si="362"/>
        <v>1</v>
      </c>
      <c r="BZ352" s="149">
        <f t="shared" si="363"/>
        <v>1</v>
      </c>
      <c r="CA352" s="149">
        <f t="shared" si="364"/>
        <v>1</v>
      </c>
      <c r="CB352" s="149">
        <f t="shared" si="365"/>
        <v>1</v>
      </c>
      <c r="CC352" s="149">
        <f t="shared" si="366"/>
        <v>1</v>
      </c>
      <c r="CD352" s="149">
        <f t="shared" si="367"/>
        <v>1</v>
      </c>
      <c r="CE352" s="149">
        <f t="shared" si="368"/>
        <v>1</v>
      </c>
      <c r="CF352" s="149">
        <f t="shared" si="369"/>
        <v>1</v>
      </c>
      <c r="CG352" s="149">
        <f t="shared" si="370"/>
        <v>1</v>
      </c>
      <c r="CH352" s="149">
        <f t="shared" si="371"/>
        <v>1</v>
      </c>
      <c r="CI352" s="149">
        <f t="shared" si="372"/>
        <v>1</v>
      </c>
      <c r="CJ352" s="149">
        <f t="shared" si="373"/>
        <v>1</v>
      </c>
      <c r="CK352" s="149">
        <f t="shared" si="374"/>
        <v>1</v>
      </c>
      <c r="CL352" s="149">
        <f t="shared" si="375"/>
        <v>1</v>
      </c>
      <c r="CM352" s="149">
        <f t="shared" si="376"/>
        <v>1</v>
      </c>
      <c r="CN352" s="149">
        <f t="shared" si="377"/>
        <v>1</v>
      </c>
      <c r="CO352" s="149">
        <f t="shared" si="378"/>
        <v>1</v>
      </c>
      <c r="CP352" s="149">
        <f t="shared" si="379"/>
        <v>1</v>
      </c>
      <c r="CQ352" s="149">
        <f t="shared" si="380"/>
        <v>1</v>
      </c>
      <c r="CR352" s="149">
        <f t="shared" si="381"/>
        <v>1</v>
      </c>
      <c r="CS352" s="149">
        <f t="shared" si="382"/>
        <v>1</v>
      </c>
      <c r="CT352" s="149">
        <f t="shared" si="383"/>
        <v>1</v>
      </c>
      <c r="CU352" s="149">
        <f t="shared" si="384"/>
        <v>1</v>
      </c>
      <c r="CV352" s="149">
        <f t="shared" si="385"/>
        <v>1</v>
      </c>
      <c r="CW352" s="149">
        <f t="shared" si="386"/>
        <v>1</v>
      </c>
      <c r="CX352" s="149">
        <f t="shared" si="387"/>
        <v>1</v>
      </c>
      <c r="CY352" s="149">
        <f t="shared" si="388"/>
        <v>1</v>
      </c>
      <c r="CZ352" s="149">
        <f t="shared" si="389"/>
        <v>1</v>
      </c>
      <c r="DA352" s="149">
        <f t="shared" si="390"/>
        <v>1</v>
      </c>
      <c r="DB352" s="149">
        <f t="shared" si="391"/>
        <v>1</v>
      </c>
      <c r="DG352" s="125">
        <f t="shared" si="296"/>
        <v>1</v>
      </c>
      <c r="DH352" s="125">
        <f t="shared" si="402"/>
        <v>2</v>
      </c>
      <c r="DI352" s="125">
        <f t="shared" si="402"/>
        <v>3</v>
      </c>
      <c r="DJ352" s="125">
        <f t="shared" si="402"/>
        <v>4</v>
      </c>
      <c r="DK352" s="125">
        <f t="shared" si="402"/>
        <v>5</v>
      </c>
      <c r="DL352" s="125">
        <f t="shared" si="402"/>
        <v>6</v>
      </c>
      <c r="DM352" s="125">
        <f t="shared" si="402"/>
        <v>7</v>
      </c>
      <c r="DN352" s="125">
        <f t="shared" si="402"/>
        <v>8</v>
      </c>
      <c r="DO352" s="125">
        <f t="shared" si="402"/>
        <v>9</v>
      </c>
      <c r="DP352" s="125">
        <f t="shared" si="402"/>
        <v>10</v>
      </c>
      <c r="DS352" s="137"/>
      <c r="DT352" s="137"/>
      <c r="DU352" s="137"/>
      <c r="DV352" s="137" t="b">
        <f t="shared" si="392"/>
        <v>0</v>
      </c>
      <c r="DW352" s="137" t="b">
        <f t="shared" si="393"/>
        <v>0</v>
      </c>
      <c r="DX352" s="137" t="b">
        <f t="shared" si="394"/>
        <v>1</v>
      </c>
      <c r="EB352" s="131">
        <f t="shared" si="395"/>
        <v>1</v>
      </c>
      <c r="EC352" s="137" t="b">
        <f t="shared" si="396"/>
        <v>0</v>
      </c>
      <c r="ED352" s="137" t="b">
        <f t="shared" si="397"/>
        <v>0</v>
      </c>
      <c r="EE352" s="137" t="b">
        <f t="shared" si="398"/>
        <v>1</v>
      </c>
      <c r="EF352" s="137"/>
      <c r="EG352" s="137"/>
      <c r="EH352" s="137"/>
      <c r="EI352" s="137"/>
      <c r="EJ352" s="137">
        <f t="shared" si="399"/>
        <v>1</v>
      </c>
      <c r="EK352" s="125">
        <f t="shared" si="400"/>
        <v>0</v>
      </c>
      <c r="EL352" s="125">
        <f t="shared" si="401"/>
        <v>0</v>
      </c>
    </row>
    <row r="353" spans="2:142" ht="15.75" x14ac:dyDescent="0.2">
      <c r="B353" s="160">
        <f t="shared" si="351"/>
        <v>323</v>
      </c>
      <c r="C353" s="290">
        <v>1001346859</v>
      </c>
      <c r="D353" s="290">
        <v>1001272664</v>
      </c>
      <c r="E353" s="290">
        <v>40000655</v>
      </c>
      <c r="F353" s="118">
        <f>IF(OR(J353="",H353=""),"",VLOOKUP(J353,'הזנה לסיווג רשויות'!$B$2:$D$301,2,0))</f>
        <v>20000159</v>
      </c>
      <c r="G353" s="118" t="str">
        <f>IF(OR(J353="",H353=""),"",VLOOKUP(J353,'הזנה לסיווג רשויות'!$B$2:$D$301,3,0))</f>
        <v>ירושלים</v>
      </c>
      <c r="H353" s="293" t="s">
        <v>735</v>
      </c>
      <c r="I353" s="201" t="s">
        <v>378</v>
      </c>
      <c r="J353" s="294">
        <v>3000</v>
      </c>
      <c r="K353" s="161">
        <v>0</v>
      </c>
      <c r="L353" s="161">
        <v>1</v>
      </c>
      <c r="M353" s="161">
        <v>0</v>
      </c>
      <c r="N353" s="161">
        <v>1</v>
      </c>
      <c r="O353" s="161">
        <v>0</v>
      </c>
      <c r="P353" s="161">
        <v>1</v>
      </c>
      <c r="Q353" s="161">
        <v>1</v>
      </c>
      <c r="R353" s="201">
        <v>451568</v>
      </c>
      <c r="S353" s="201">
        <v>104764</v>
      </c>
      <c r="T353" s="160">
        <f>IF(G353="","",IFERROR(IF(S353/R353&gt;'פרמטרים לקריטריונים'!$C$20,1,0),0))</f>
        <v>0</v>
      </c>
      <c r="U353" s="296">
        <v>104764</v>
      </c>
      <c r="V353" s="160">
        <f>IF(G353="","",IFERROR(IF(U353/R353&gt;'פרמטרים לקריטריונים'!$C$21,1,IF(AND(I353=$BW$5,U353/R353&gt;'פרמטרים לקריטריונים'!$C$22),1,0)),0))</f>
        <v>1</v>
      </c>
      <c r="W353" s="161">
        <v>1</v>
      </c>
      <c r="X353" s="161">
        <v>1</v>
      </c>
      <c r="Y353" s="299">
        <v>800000</v>
      </c>
      <c r="Z353" s="300">
        <v>1</v>
      </c>
      <c r="AA353" s="161">
        <f t="shared" si="403"/>
        <v>1</v>
      </c>
      <c r="AB353" s="161"/>
      <c r="AC353" s="161"/>
      <c r="AD353" s="161"/>
      <c r="AE353" s="161"/>
      <c r="AF353" s="161"/>
      <c r="AG353" s="161"/>
      <c r="AH353" s="161"/>
      <c r="AI353" s="161"/>
      <c r="AJ353" s="161"/>
      <c r="AK353" s="161"/>
      <c r="AL353" s="161"/>
      <c r="AM353" s="161"/>
      <c r="AN353" s="161"/>
      <c r="AO353" s="161"/>
      <c r="AP353" s="161"/>
      <c r="AQ353" s="161"/>
      <c r="AR353" s="161"/>
      <c r="AS353" s="161"/>
      <c r="AT353" s="161"/>
      <c r="AU353" s="161"/>
      <c r="AV353" s="161"/>
      <c r="AW353" s="160"/>
      <c r="AX353" s="161"/>
      <c r="AY353" s="161"/>
      <c r="AZ353" s="161"/>
      <c r="BA353" s="161"/>
      <c r="BB353" s="161"/>
      <c r="BC353" s="161"/>
      <c r="BD353" s="161"/>
      <c r="BE353" s="161"/>
      <c r="BF353" s="160" t="str">
        <f t="shared" si="352"/>
        <v/>
      </c>
      <c r="BG353" s="160"/>
      <c r="BH353" s="160"/>
      <c r="BI353" s="160"/>
      <c r="BJ353" s="160"/>
      <c r="BK353" s="160"/>
      <c r="BL353" s="162">
        <f t="shared" si="353"/>
        <v>0</v>
      </c>
      <c r="BM353" s="257" t="s">
        <v>770</v>
      </c>
      <c r="BN353" s="163"/>
      <c r="BO353" s="211" t="str">
        <f t="shared" si="354"/>
        <v>''קשת אמנויות'' (ע''ר)מקהלות</v>
      </c>
      <c r="BP353" s="125">
        <f t="shared" si="355"/>
        <v>1</v>
      </c>
      <c r="BQ353" s="164">
        <v>0</v>
      </c>
      <c r="BR353" s="164">
        <v>1</v>
      </c>
      <c r="BS353" s="149">
        <f t="shared" si="356"/>
        <v>1</v>
      </c>
      <c r="BT353" s="149">
        <f t="shared" si="357"/>
        <v>1</v>
      </c>
      <c r="BU353" s="149">
        <f t="shared" si="358"/>
        <v>1</v>
      </c>
      <c r="BV353" s="149">
        <f t="shared" si="359"/>
        <v>1</v>
      </c>
      <c r="BW353" s="149">
        <f t="shared" si="360"/>
        <v>1</v>
      </c>
      <c r="BX353" s="149">
        <f t="shared" si="361"/>
        <v>1</v>
      </c>
      <c r="BY353" s="149">
        <f t="shared" si="362"/>
        <v>1</v>
      </c>
      <c r="BZ353" s="149">
        <f t="shared" si="363"/>
        <v>1</v>
      </c>
      <c r="CA353" s="149">
        <f t="shared" si="364"/>
        <v>1</v>
      </c>
      <c r="CB353" s="149">
        <f t="shared" si="365"/>
        <v>1</v>
      </c>
      <c r="CC353" s="149">
        <f t="shared" si="366"/>
        <v>1</v>
      </c>
      <c r="CD353" s="149">
        <f t="shared" si="367"/>
        <v>1</v>
      </c>
      <c r="CE353" s="149">
        <f t="shared" si="368"/>
        <v>1</v>
      </c>
      <c r="CF353" s="149">
        <f t="shared" si="369"/>
        <v>1</v>
      </c>
      <c r="CG353" s="149">
        <f t="shared" si="370"/>
        <v>1</v>
      </c>
      <c r="CH353" s="149">
        <f t="shared" si="371"/>
        <v>1</v>
      </c>
      <c r="CI353" s="149">
        <f t="shared" si="372"/>
        <v>1</v>
      </c>
      <c r="CJ353" s="149">
        <f t="shared" si="373"/>
        <v>1</v>
      </c>
      <c r="CK353" s="149">
        <f t="shared" si="374"/>
        <v>1</v>
      </c>
      <c r="CL353" s="149">
        <f t="shared" si="375"/>
        <v>1</v>
      </c>
      <c r="CM353" s="149">
        <f t="shared" si="376"/>
        <v>1</v>
      </c>
      <c r="CN353" s="149">
        <f t="shared" si="377"/>
        <v>1</v>
      </c>
      <c r="CO353" s="149">
        <f t="shared" si="378"/>
        <v>1</v>
      </c>
      <c r="CP353" s="149">
        <f t="shared" si="379"/>
        <v>1</v>
      </c>
      <c r="CQ353" s="149">
        <f t="shared" si="380"/>
        <v>1</v>
      </c>
      <c r="CR353" s="149">
        <f t="shared" si="381"/>
        <v>1</v>
      </c>
      <c r="CS353" s="149">
        <f t="shared" si="382"/>
        <v>1</v>
      </c>
      <c r="CT353" s="149">
        <f t="shared" si="383"/>
        <v>1</v>
      </c>
      <c r="CU353" s="149">
        <f t="shared" si="384"/>
        <v>1</v>
      </c>
      <c r="CV353" s="149">
        <f t="shared" si="385"/>
        <v>1</v>
      </c>
      <c r="CW353" s="149">
        <f t="shared" si="386"/>
        <v>1</v>
      </c>
      <c r="CX353" s="149">
        <f t="shared" si="387"/>
        <v>1</v>
      </c>
      <c r="CY353" s="149">
        <f t="shared" si="388"/>
        <v>1</v>
      </c>
      <c r="CZ353" s="149">
        <f t="shared" si="389"/>
        <v>1</v>
      </c>
      <c r="DA353" s="149">
        <f t="shared" si="390"/>
        <v>1</v>
      </c>
      <c r="DB353" s="149">
        <f t="shared" si="391"/>
        <v>1</v>
      </c>
      <c r="DG353" s="125">
        <f t="shared" si="296"/>
        <v>1</v>
      </c>
      <c r="DH353" s="125">
        <f t="shared" si="402"/>
        <v>2</v>
      </c>
      <c r="DI353" s="125">
        <f t="shared" si="402"/>
        <v>3</v>
      </c>
      <c r="DJ353" s="125">
        <f t="shared" si="402"/>
        <v>4</v>
      </c>
      <c r="DK353" s="125">
        <f t="shared" si="402"/>
        <v>5</v>
      </c>
      <c r="DL353" s="125">
        <f t="shared" si="402"/>
        <v>6</v>
      </c>
      <c r="DM353" s="125">
        <f t="shared" si="402"/>
        <v>7</v>
      </c>
      <c r="DN353" s="125">
        <f t="shared" si="402"/>
        <v>8</v>
      </c>
      <c r="DO353" s="125">
        <f t="shared" si="402"/>
        <v>9</v>
      </c>
      <c r="DP353" s="125">
        <f t="shared" si="402"/>
        <v>10</v>
      </c>
      <c r="DS353" s="137"/>
      <c r="DT353" s="137"/>
      <c r="DU353" s="137"/>
      <c r="DV353" s="137" t="b">
        <f t="shared" si="392"/>
        <v>0</v>
      </c>
      <c r="DW353" s="137" t="b">
        <f t="shared" si="393"/>
        <v>0</v>
      </c>
      <c r="DX353" s="137" t="b">
        <f t="shared" si="394"/>
        <v>1</v>
      </c>
      <c r="EB353" s="131">
        <f t="shared" si="395"/>
        <v>1</v>
      </c>
      <c r="EC353" s="137" t="b">
        <f t="shared" si="396"/>
        <v>0</v>
      </c>
      <c r="ED353" s="137" t="b">
        <f t="shared" si="397"/>
        <v>0</v>
      </c>
      <c r="EE353" s="137" t="b">
        <f t="shared" si="398"/>
        <v>1</v>
      </c>
      <c r="EF353" s="137"/>
      <c r="EG353" s="137"/>
      <c r="EH353" s="137"/>
      <c r="EI353" s="137"/>
      <c r="EJ353" s="137">
        <f t="shared" si="399"/>
        <v>1</v>
      </c>
      <c r="EK353" s="125">
        <f t="shared" si="400"/>
        <v>0</v>
      </c>
      <c r="EL353" s="125">
        <f t="shared" si="401"/>
        <v>0</v>
      </c>
    </row>
    <row r="354" spans="2:142" ht="15.75" x14ac:dyDescent="0.2">
      <c r="B354" s="160">
        <f t="shared" si="351"/>
        <v>324</v>
      </c>
      <c r="C354" s="292">
        <v>1001349067</v>
      </c>
      <c r="D354" s="290">
        <v>1001302269</v>
      </c>
      <c r="E354" s="292">
        <v>40000662</v>
      </c>
      <c r="F354" s="118">
        <f>IF(OR(J354="",H354=""),"",VLOOKUP(J354,'הזנה לסיווג רשויות'!$B$2:$D$301,2,0))</f>
        <v>20000095</v>
      </c>
      <c r="G354" s="118" t="str">
        <f>IF(OR(J354="",H354=""),"",VLOOKUP(J354,'הזנה לסיווג רשויות'!$B$2:$D$301,3,0))</f>
        <v>מטה יהודה</v>
      </c>
      <c r="H354" s="295" t="s">
        <v>736</v>
      </c>
      <c r="I354" s="201" t="s">
        <v>564</v>
      </c>
      <c r="J354" s="294">
        <v>26</v>
      </c>
      <c r="K354" s="161">
        <v>0</v>
      </c>
      <c r="L354" s="161">
        <v>1</v>
      </c>
      <c r="M354" s="161">
        <v>0</v>
      </c>
      <c r="N354" s="161">
        <v>0</v>
      </c>
      <c r="O354" s="161">
        <v>1</v>
      </c>
      <c r="P354" s="161">
        <v>1</v>
      </c>
      <c r="Q354" s="161">
        <v>1</v>
      </c>
      <c r="R354" s="201">
        <v>1189113</v>
      </c>
      <c r="S354" s="201">
        <v>536181</v>
      </c>
      <c r="T354" s="160">
        <f>IF(G354="","",IFERROR(IF(S354/R354&gt;'פרמטרים לקריטריונים'!$C$20,1,0),0))</f>
        <v>1</v>
      </c>
      <c r="U354" s="297">
        <v>502837</v>
      </c>
      <c r="V354" s="160">
        <f>IF(G354="","",IFERROR(IF(U354/R354&gt;'פרמטרים לקריטריונים'!$C$21,1,IF(AND(I354=$BW$5,U354/R354&gt;'פרמטרים לקריטריונים'!$C$22),1,0)),0))</f>
        <v>1</v>
      </c>
      <c r="W354" s="161">
        <v>1</v>
      </c>
      <c r="X354" s="161">
        <v>1</v>
      </c>
      <c r="Y354" s="301">
        <v>550000</v>
      </c>
      <c r="Z354" s="302">
        <v>534615</v>
      </c>
      <c r="AA354" s="161">
        <f t="shared" si="403"/>
        <v>1</v>
      </c>
      <c r="AB354" s="161"/>
      <c r="AC354" s="161"/>
      <c r="AD354" s="161"/>
      <c r="AE354" s="161"/>
      <c r="AF354" s="161"/>
      <c r="AG354" s="161"/>
      <c r="AH354" s="161"/>
      <c r="AI354" s="161"/>
      <c r="AJ354" s="161"/>
      <c r="AK354" s="161"/>
      <c r="AL354" s="161"/>
      <c r="AM354" s="161"/>
      <c r="AN354" s="161"/>
      <c r="AO354" s="161"/>
      <c r="AP354" s="161"/>
      <c r="AQ354" s="161"/>
      <c r="AR354" s="161"/>
      <c r="AS354" s="161"/>
      <c r="AT354" s="161"/>
      <c r="AU354" s="161"/>
      <c r="AV354" s="161"/>
      <c r="AW354" s="160"/>
      <c r="AX354" s="161"/>
      <c r="AY354" s="161"/>
      <c r="AZ354" s="161"/>
      <c r="BA354" s="161"/>
      <c r="BB354" s="161"/>
      <c r="BC354" s="161"/>
      <c r="BD354" s="161"/>
      <c r="BE354" s="161"/>
      <c r="BF354" s="160" t="str">
        <f t="shared" si="352"/>
        <v/>
      </c>
      <c r="BG354" s="160"/>
      <c r="BH354" s="160"/>
      <c r="BI354" s="160"/>
      <c r="BJ354" s="160"/>
      <c r="BK354" s="160"/>
      <c r="BL354" s="162">
        <f t="shared" si="353"/>
        <v>1</v>
      </c>
      <c r="BM354" s="257" t="s">
        <v>771</v>
      </c>
      <c r="BN354" s="163" t="s">
        <v>772</v>
      </c>
      <c r="BO354" s="211" t="str">
        <f t="shared" si="354"/>
        <v>תזמורת יד-חריף (ע"ר)אחר</v>
      </c>
      <c r="BP354" s="125">
        <f t="shared" si="355"/>
        <v>1</v>
      </c>
      <c r="BQ354" s="164">
        <v>0</v>
      </c>
      <c r="BR354" s="164">
        <v>1</v>
      </c>
      <c r="BS354" s="149">
        <f t="shared" si="356"/>
        <v>1</v>
      </c>
      <c r="BT354" s="149">
        <f t="shared" si="357"/>
        <v>1</v>
      </c>
      <c r="BU354" s="149">
        <f t="shared" si="358"/>
        <v>1</v>
      </c>
      <c r="BV354" s="149">
        <f t="shared" si="359"/>
        <v>1</v>
      </c>
      <c r="BW354" s="149">
        <f t="shared" si="360"/>
        <v>1</v>
      </c>
      <c r="BX354" s="149">
        <f t="shared" si="361"/>
        <v>1</v>
      </c>
      <c r="BY354" s="149">
        <f t="shared" si="362"/>
        <v>1</v>
      </c>
      <c r="BZ354" s="149">
        <f t="shared" si="363"/>
        <v>1</v>
      </c>
      <c r="CA354" s="149">
        <f t="shared" si="364"/>
        <v>1</v>
      </c>
      <c r="CB354" s="149">
        <f t="shared" si="365"/>
        <v>1</v>
      </c>
      <c r="CC354" s="149">
        <f t="shared" si="366"/>
        <v>1</v>
      </c>
      <c r="CD354" s="149">
        <f t="shared" si="367"/>
        <v>1</v>
      </c>
      <c r="CE354" s="149">
        <f t="shared" si="368"/>
        <v>1</v>
      </c>
      <c r="CF354" s="149">
        <f t="shared" si="369"/>
        <v>1</v>
      </c>
      <c r="CG354" s="149">
        <f t="shared" si="370"/>
        <v>1</v>
      </c>
      <c r="CH354" s="149">
        <f t="shared" si="371"/>
        <v>1</v>
      </c>
      <c r="CI354" s="149">
        <f t="shared" si="372"/>
        <v>1</v>
      </c>
      <c r="CJ354" s="149">
        <f t="shared" si="373"/>
        <v>1</v>
      </c>
      <c r="CK354" s="149">
        <f t="shared" si="374"/>
        <v>1</v>
      </c>
      <c r="CL354" s="149">
        <f t="shared" si="375"/>
        <v>1</v>
      </c>
      <c r="CM354" s="149">
        <f t="shared" si="376"/>
        <v>1</v>
      </c>
      <c r="CN354" s="149">
        <f t="shared" si="377"/>
        <v>1</v>
      </c>
      <c r="CO354" s="149">
        <f t="shared" si="378"/>
        <v>1</v>
      </c>
      <c r="CP354" s="149">
        <f t="shared" si="379"/>
        <v>1</v>
      </c>
      <c r="CQ354" s="149">
        <f t="shared" si="380"/>
        <v>1</v>
      </c>
      <c r="CR354" s="149">
        <f t="shared" si="381"/>
        <v>1</v>
      </c>
      <c r="CS354" s="149">
        <f t="shared" si="382"/>
        <v>1</v>
      </c>
      <c r="CT354" s="149">
        <f t="shared" si="383"/>
        <v>1</v>
      </c>
      <c r="CU354" s="149">
        <f t="shared" si="384"/>
        <v>1</v>
      </c>
      <c r="CV354" s="149">
        <f t="shared" si="385"/>
        <v>1</v>
      </c>
      <c r="CW354" s="149">
        <f t="shared" si="386"/>
        <v>1</v>
      </c>
      <c r="CX354" s="149">
        <f t="shared" si="387"/>
        <v>1</v>
      </c>
      <c r="CY354" s="149">
        <f t="shared" si="388"/>
        <v>1</v>
      </c>
      <c r="CZ354" s="149">
        <f t="shared" si="389"/>
        <v>1</v>
      </c>
      <c r="DA354" s="149">
        <f t="shared" si="390"/>
        <v>1</v>
      </c>
      <c r="DB354" s="149">
        <f t="shared" si="391"/>
        <v>1</v>
      </c>
      <c r="DG354" s="125">
        <f t="shared" si="296"/>
        <v>1</v>
      </c>
      <c r="DH354" s="125">
        <f t="shared" si="402"/>
        <v>2</v>
      </c>
      <c r="DI354" s="125">
        <f t="shared" si="402"/>
        <v>3</v>
      </c>
      <c r="DJ354" s="125">
        <f t="shared" si="402"/>
        <v>4</v>
      </c>
      <c r="DK354" s="125">
        <f t="shared" si="402"/>
        <v>5</v>
      </c>
      <c r="DL354" s="125">
        <f t="shared" si="402"/>
        <v>6</v>
      </c>
      <c r="DM354" s="125">
        <f t="shared" si="402"/>
        <v>7</v>
      </c>
      <c r="DN354" s="125">
        <f t="shared" si="402"/>
        <v>8</v>
      </c>
      <c r="DO354" s="125">
        <f t="shared" si="402"/>
        <v>9</v>
      </c>
      <c r="DP354" s="125">
        <f t="shared" si="402"/>
        <v>10</v>
      </c>
      <c r="DS354" s="137"/>
      <c r="DT354" s="137"/>
      <c r="DU354" s="137"/>
      <c r="DV354" s="137" t="b">
        <f t="shared" si="392"/>
        <v>0</v>
      </c>
      <c r="DW354" s="137" t="b">
        <f t="shared" si="393"/>
        <v>0</v>
      </c>
      <c r="DX354" s="137" t="b">
        <f t="shared" si="394"/>
        <v>1</v>
      </c>
      <c r="EB354" s="131">
        <f t="shared" si="395"/>
        <v>1</v>
      </c>
      <c r="EC354" s="137" t="b">
        <f t="shared" si="396"/>
        <v>0</v>
      </c>
      <c r="ED354" s="137" t="b">
        <f t="shared" si="397"/>
        <v>0</v>
      </c>
      <c r="EE354" s="137" t="b">
        <f t="shared" si="398"/>
        <v>1</v>
      </c>
      <c r="EF354" s="137"/>
      <c r="EG354" s="137"/>
      <c r="EH354" s="137"/>
      <c r="EI354" s="137"/>
      <c r="EJ354" s="137">
        <f t="shared" si="399"/>
        <v>1</v>
      </c>
      <c r="EK354" s="125">
        <f t="shared" si="400"/>
        <v>0</v>
      </c>
      <c r="EL354" s="125">
        <f t="shared" si="401"/>
        <v>0</v>
      </c>
    </row>
    <row r="355" spans="2:142" ht="15.75" x14ac:dyDescent="0.2">
      <c r="B355" s="160">
        <f t="shared" si="351"/>
        <v>325</v>
      </c>
      <c r="C355" s="292">
        <v>1001347016</v>
      </c>
      <c r="D355" s="290">
        <v>1001288832</v>
      </c>
      <c r="E355" s="292">
        <v>40000665</v>
      </c>
      <c r="F355" s="118">
        <f>IF(OR(J355="",H355=""),"",VLOOKUP(J355,'הזנה לסיווג רשויות'!$B$2:$D$301,2,0))</f>
        <v>20000201</v>
      </c>
      <c r="G355" s="118" t="str">
        <f>IF(OR(J355="",H355=""),"",VLOOKUP(J355,'הזנה לסיווג רשויות'!$B$2:$D$301,3,0))</f>
        <v>תל אביב -יפו</v>
      </c>
      <c r="H355" s="295" t="s">
        <v>737</v>
      </c>
      <c r="I355" s="201" t="s">
        <v>373</v>
      </c>
      <c r="J355" s="294">
        <v>5000</v>
      </c>
      <c r="K355" s="161">
        <v>0</v>
      </c>
      <c r="L355" s="161">
        <v>1</v>
      </c>
      <c r="M355" s="161">
        <v>0</v>
      </c>
      <c r="N355" s="161">
        <v>1</v>
      </c>
      <c r="O355" s="161">
        <v>0</v>
      </c>
      <c r="P355" s="161">
        <v>1</v>
      </c>
      <c r="Q355" s="161">
        <v>1</v>
      </c>
      <c r="R355" s="201">
        <f>1067416+23000</f>
        <v>1090416</v>
      </c>
      <c r="S355" s="201">
        <v>357246</v>
      </c>
      <c r="T355" s="160">
        <f>IF(G355="","",IFERROR(IF(S355/R355&gt;'פרמטרים לקריטריונים'!$C$20,1,0),0))</f>
        <v>1</v>
      </c>
      <c r="U355" s="297">
        <v>321520</v>
      </c>
      <c r="V355" s="160">
        <f>IF(G355="","",IFERROR(IF(U355/R355&gt;'פרמטרים לקריטריונים'!$C$21,1,IF(AND(I355=$BW$5,U355/R355&gt;'פרמטרים לקריטריונים'!$C$22),1,0)),0))</f>
        <v>1</v>
      </c>
      <c r="W355" s="161">
        <v>1</v>
      </c>
      <c r="X355" s="161">
        <v>1</v>
      </c>
      <c r="Y355" s="301">
        <v>300000</v>
      </c>
      <c r="Z355" s="302">
        <v>1</v>
      </c>
      <c r="AA355" s="161">
        <f t="shared" si="403"/>
        <v>1</v>
      </c>
      <c r="AB355" s="161"/>
      <c r="AC355" s="161"/>
      <c r="AD355" s="161"/>
      <c r="AE355" s="161"/>
      <c r="AF355" s="161"/>
      <c r="AG355" s="161"/>
      <c r="AH355" s="161"/>
      <c r="AI355" s="161"/>
      <c r="AJ355" s="161"/>
      <c r="AK355" s="161"/>
      <c r="AL355" s="161"/>
      <c r="AM355" s="161"/>
      <c r="AN355" s="161"/>
      <c r="AO355" s="161"/>
      <c r="AP355" s="161"/>
      <c r="AQ355" s="161"/>
      <c r="AR355" s="161"/>
      <c r="AS355" s="161"/>
      <c r="AT355" s="161"/>
      <c r="AU355" s="161"/>
      <c r="AV355" s="161"/>
      <c r="AW355" s="160"/>
      <c r="AX355" s="161"/>
      <c r="AY355" s="161"/>
      <c r="AZ355" s="161"/>
      <c r="BA355" s="161"/>
      <c r="BB355" s="161"/>
      <c r="BC355" s="161"/>
      <c r="BD355" s="161"/>
      <c r="BE355" s="161"/>
      <c r="BF355" s="160" t="str">
        <f t="shared" si="352"/>
        <v/>
      </c>
      <c r="BG355" s="160"/>
      <c r="BH355" s="160"/>
      <c r="BI355" s="160"/>
      <c r="BJ355" s="160"/>
      <c r="BK355" s="160"/>
      <c r="BL355" s="162">
        <f t="shared" si="353"/>
        <v>1</v>
      </c>
      <c r="BM355" s="257" t="s">
        <v>773</v>
      </c>
      <c r="BN355" s="163"/>
      <c r="BO355" s="211" t="str">
        <f t="shared" si="354"/>
        <v>תיאטרון "אלסראיא" הערבי - יפו (ע"ר)תיאטרון</v>
      </c>
      <c r="BP355" s="125">
        <f t="shared" si="355"/>
        <v>1</v>
      </c>
      <c r="BQ355" s="164">
        <v>0</v>
      </c>
      <c r="BR355" s="164">
        <v>1</v>
      </c>
      <c r="BS355" s="149">
        <f t="shared" si="356"/>
        <v>1</v>
      </c>
      <c r="BT355" s="149">
        <f t="shared" si="357"/>
        <v>1</v>
      </c>
      <c r="BU355" s="149">
        <f t="shared" si="358"/>
        <v>1</v>
      </c>
      <c r="BV355" s="149">
        <f t="shared" si="359"/>
        <v>1</v>
      </c>
      <c r="BW355" s="149">
        <f t="shared" si="360"/>
        <v>1</v>
      </c>
      <c r="BX355" s="149">
        <f t="shared" si="361"/>
        <v>1</v>
      </c>
      <c r="BY355" s="149">
        <f t="shared" si="362"/>
        <v>1</v>
      </c>
      <c r="BZ355" s="149">
        <f t="shared" si="363"/>
        <v>1</v>
      </c>
      <c r="CA355" s="149">
        <f t="shared" si="364"/>
        <v>1</v>
      </c>
      <c r="CB355" s="149">
        <f t="shared" si="365"/>
        <v>1</v>
      </c>
      <c r="CC355" s="149">
        <f t="shared" si="366"/>
        <v>1</v>
      </c>
      <c r="CD355" s="149">
        <f t="shared" si="367"/>
        <v>1</v>
      </c>
      <c r="CE355" s="149">
        <f t="shared" si="368"/>
        <v>1</v>
      </c>
      <c r="CF355" s="149">
        <f t="shared" si="369"/>
        <v>1</v>
      </c>
      <c r="CG355" s="149">
        <f t="shared" si="370"/>
        <v>1</v>
      </c>
      <c r="CH355" s="149">
        <f t="shared" si="371"/>
        <v>1</v>
      </c>
      <c r="CI355" s="149">
        <f t="shared" si="372"/>
        <v>1</v>
      </c>
      <c r="CJ355" s="149">
        <f t="shared" si="373"/>
        <v>1</v>
      </c>
      <c r="CK355" s="149">
        <f t="shared" si="374"/>
        <v>1</v>
      </c>
      <c r="CL355" s="149">
        <f t="shared" si="375"/>
        <v>1</v>
      </c>
      <c r="CM355" s="149">
        <f t="shared" si="376"/>
        <v>1</v>
      </c>
      <c r="CN355" s="149">
        <f t="shared" si="377"/>
        <v>1</v>
      </c>
      <c r="CO355" s="149">
        <f t="shared" si="378"/>
        <v>1</v>
      </c>
      <c r="CP355" s="149">
        <f t="shared" si="379"/>
        <v>1</v>
      </c>
      <c r="CQ355" s="149">
        <f t="shared" si="380"/>
        <v>1</v>
      </c>
      <c r="CR355" s="149">
        <f t="shared" si="381"/>
        <v>1</v>
      </c>
      <c r="CS355" s="149">
        <f t="shared" si="382"/>
        <v>1</v>
      </c>
      <c r="CT355" s="149">
        <f t="shared" si="383"/>
        <v>1</v>
      </c>
      <c r="CU355" s="149">
        <f t="shared" si="384"/>
        <v>1</v>
      </c>
      <c r="CV355" s="149">
        <f t="shared" si="385"/>
        <v>1</v>
      </c>
      <c r="CW355" s="149">
        <f t="shared" si="386"/>
        <v>1</v>
      </c>
      <c r="CX355" s="149">
        <f t="shared" si="387"/>
        <v>1</v>
      </c>
      <c r="CY355" s="149">
        <f t="shared" si="388"/>
        <v>1</v>
      </c>
      <c r="CZ355" s="149">
        <f t="shared" si="389"/>
        <v>1</v>
      </c>
      <c r="DA355" s="149">
        <f t="shared" si="390"/>
        <v>1</v>
      </c>
      <c r="DB355" s="149">
        <f t="shared" si="391"/>
        <v>1</v>
      </c>
      <c r="DG355" s="125">
        <f t="shared" si="296"/>
        <v>1</v>
      </c>
      <c r="DH355" s="125">
        <f t="shared" si="402"/>
        <v>2</v>
      </c>
      <c r="DI355" s="125">
        <f t="shared" si="402"/>
        <v>3</v>
      </c>
      <c r="DJ355" s="125">
        <f t="shared" si="402"/>
        <v>4</v>
      </c>
      <c r="DK355" s="125">
        <f t="shared" si="402"/>
        <v>5</v>
      </c>
      <c r="DL355" s="125">
        <f t="shared" si="402"/>
        <v>6</v>
      </c>
      <c r="DM355" s="125">
        <f t="shared" si="402"/>
        <v>7</v>
      </c>
      <c r="DN355" s="125">
        <f t="shared" si="402"/>
        <v>8</v>
      </c>
      <c r="DO355" s="125">
        <f t="shared" si="402"/>
        <v>9</v>
      </c>
      <c r="DP355" s="125">
        <f t="shared" si="402"/>
        <v>10</v>
      </c>
      <c r="DS355" s="137"/>
      <c r="DT355" s="137"/>
      <c r="DU355" s="137"/>
      <c r="DV355" s="137" t="b">
        <f t="shared" si="392"/>
        <v>0</v>
      </c>
      <c r="DW355" s="137" t="b">
        <f t="shared" si="393"/>
        <v>0</v>
      </c>
      <c r="DX355" s="137" t="b">
        <f t="shared" si="394"/>
        <v>1</v>
      </c>
      <c r="EB355" s="131">
        <f t="shared" si="395"/>
        <v>1</v>
      </c>
      <c r="EC355" s="137" t="b">
        <f t="shared" si="396"/>
        <v>0</v>
      </c>
      <c r="ED355" s="137" t="b">
        <f t="shared" si="397"/>
        <v>0</v>
      </c>
      <c r="EE355" s="137" t="b">
        <f t="shared" si="398"/>
        <v>1</v>
      </c>
      <c r="EF355" s="137"/>
      <c r="EG355" s="137"/>
      <c r="EH355" s="137"/>
      <c r="EI355" s="137"/>
      <c r="EJ355" s="137">
        <f t="shared" si="399"/>
        <v>1</v>
      </c>
      <c r="EK355" s="125">
        <f t="shared" si="400"/>
        <v>0</v>
      </c>
      <c r="EL355" s="125">
        <f t="shared" si="401"/>
        <v>0</v>
      </c>
    </row>
    <row r="356" spans="2:142" ht="15.75" x14ac:dyDescent="0.2">
      <c r="B356" s="160">
        <f t="shared" si="351"/>
        <v>326</v>
      </c>
      <c r="C356" s="292">
        <v>1001349530</v>
      </c>
      <c r="D356" s="290">
        <v>1001263122</v>
      </c>
      <c r="E356" s="292">
        <v>40000667</v>
      </c>
      <c r="F356" s="118">
        <f>IF(OR(J356="",H356=""),"",VLOOKUP(J356,'הזנה לסיווג רשויות'!$B$2:$D$301,2,0))</f>
        <v>20000235</v>
      </c>
      <c r="G356" s="118" t="str">
        <f>IF(OR(J356="",H356=""),"",VLOOKUP(J356,'הזנה לסיווג רשויות'!$B$2:$D$301,3,0))</f>
        <v>סח'נין</v>
      </c>
      <c r="H356" s="295" t="s">
        <v>738</v>
      </c>
      <c r="I356" s="201" t="s">
        <v>373</v>
      </c>
      <c r="J356" s="294">
        <v>7500</v>
      </c>
      <c r="K356" s="161">
        <v>0</v>
      </c>
      <c r="L356" s="161">
        <v>1</v>
      </c>
      <c r="M356" s="161">
        <v>0</v>
      </c>
      <c r="N356" s="161">
        <v>0</v>
      </c>
      <c r="O356" s="161">
        <v>1</v>
      </c>
      <c r="P356" s="161">
        <v>1</v>
      </c>
      <c r="Q356" s="161">
        <v>1</v>
      </c>
      <c r="R356" s="201">
        <v>1431653</v>
      </c>
      <c r="S356" s="201">
        <v>477820</v>
      </c>
      <c r="T356" s="160">
        <f>IF(G356="","",IFERROR(IF(S356/R356&gt;'פרמטרים לקריטריונים'!$C$20,1,0),0))</f>
        <v>1</v>
      </c>
      <c r="U356" s="297">
        <v>477820</v>
      </c>
      <c r="V356" s="160">
        <f>IF(G356="","",IFERROR(IF(U356/R356&gt;'פרמטרים לקריטריונים'!$C$21,1,IF(AND(I356=$BW$5,U356/R356&gt;'פרמטרים לקריטריונים'!$C$22),1,0)),0))</f>
        <v>1</v>
      </c>
      <c r="W356" s="161">
        <v>1</v>
      </c>
      <c r="X356" s="161">
        <v>1</v>
      </c>
      <c r="Y356" s="301">
        <v>380000</v>
      </c>
      <c r="Z356" s="302">
        <v>100000</v>
      </c>
      <c r="AA356" s="161">
        <f t="shared" si="403"/>
        <v>1</v>
      </c>
      <c r="AB356" s="161"/>
      <c r="AC356" s="161"/>
      <c r="AD356" s="161"/>
      <c r="AE356" s="161"/>
      <c r="AF356" s="161"/>
      <c r="AG356" s="161"/>
      <c r="AH356" s="161"/>
      <c r="AI356" s="161"/>
      <c r="AJ356" s="161"/>
      <c r="AK356" s="161"/>
      <c r="AL356" s="161"/>
      <c r="AM356" s="161"/>
      <c r="AN356" s="161"/>
      <c r="AO356" s="161"/>
      <c r="AP356" s="161"/>
      <c r="AQ356" s="161"/>
      <c r="AR356" s="161"/>
      <c r="AS356" s="161"/>
      <c r="AT356" s="161"/>
      <c r="AU356" s="161"/>
      <c r="AV356" s="161"/>
      <c r="AW356" s="160"/>
      <c r="AX356" s="161"/>
      <c r="AY356" s="161"/>
      <c r="AZ356" s="161"/>
      <c r="BA356" s="161"/>
      <c r="BB356" s="161"/>
      <c r="BC356" s="161"/>
      <c r="BD356" s="161"/>
      <c r="BE356" s="161"/>
      <c r="BF356" s="160" t="str">
        <f t="shared" si="352"/>
        <v/>
      </c>
      <c r="BG356" s="160"/>
      <c r="BH356" s="160"/>
      <c r="BI356" s="160"/>
      <c r="BJ356" s="160"/>
      <c r="BK356" s="160"/>
      <c r="BL356" s="162">
        <f t="shared" si="353"/>
        <v>1</v>
      </c>
      <c r="BM356" s="257"/>
      <c r="BN356" s="163"/>
      <c r="BO356" s="211" t="str">
        <f t="shared" si="354"/>
        <v>אלג'ואל אלבלדי (ע"ר)תיאטרון</v>
      </c>
      <c r="BP356" s="125">
        <f t="shared" si="355"/>
        <v>1</v>
      </c>
      <c r="BQ356" s="164">
        <v>0</v>
      </c>
      <c r="BR356" s="164">
        <v>1</v>
      </c>
      <c r="BS356" s="149">
        <f t="shared" si="356"/>
        <v>1</v>
      </c>
      <c r="BT356" s="149">
        <f t="shared" si="357"/>
        <v>1</v>
      </c>
      <c r="BU356" s="149">
        <f t="shared" si="358"/>
        <v>1</v>
      </c>
      <c r="BV356" s="149">
        <f t="shared" si="359"/>
        <v>1</v>
      </c>
      <c r="BW356" s="149">
        <f t="shared" si="360"/>
        <v>1</v>
      </c>
      <c r="BX356" s="149">
        <f t="shared" si="361"/>
        <v>1</v>
      </c>
      <c r="BY356" s="149">
        <f t="shared" si="362"/>
        <v>1</v>
      </c>
      <c r="BZ356" s="149">
        <f t="shared" si="363"/>
        <v>1</v>
      </c>
      <c r="CA356" s="149">
        <f t="shared" si="364"/>
        <v>1</v>
      </c>
      <c r="CB356" s="149">
        <f t="shared" si="365"/>
        <v>1</v>
      </c>
      <c r="CC356" s="149">
        <f t="shared" si="366"/>
        <v>1</v>
      </c>
      <c r="CD356" s="149">
        <f t="shared" si="367"/>
        <v>1</v>
      </c>
      <c r="CE356" s="149">
        <f t="shared" si="368"/>
        <v>1</v>
      </c>
      <c r="CF356" s="149">
        <f t="shared" si="369"/>
        <v>1</v>
      </c>
      <c r="CG356" s="149">
        <f t="shared" si="370"/>
        <v>1</v>
      </c>
      <c r="CH356" s="149">
        <f t="shared" si="371"/>
        <v>1</v>
      </c>
      <c r="CI356" s="149">
        <f t="shared" si="372"/>
        <v>1</v>
      </c>
      <c r="CJ356" s="149">
        <f t="shared" si="373"/>
        <v>1</v>
      </c>
      <c r="CK356" s="149">
        <f t="shared" si="374"/>
        <v>1</v>
      </c>
      <c r="CL356" s="149">
        <f t="shared" si="375"/>
        <v>1</v>
      </c>
      <c r="CM356" s="149">
        <f t="shared" si="376"/>
        <v>1</v>
      </c>
      <c r="CN356" s="149">
        <f t="shared" si="377"/>
        <v>1</v>
      </c>
      <c r="CO356" s="149">
        <f t="shared" si="378"/>
        <v>1</v>
      </c>
      <c r="CP356" s="149">
        <f t="shared" si="379"/>
        <v>1</v>
      </c>
      <c r="CQ356" s="149">
        <f t="shared" si="380"/>
        <v>1</v>
      </c>
      <c r="CR356" s="149">
        <f t="shared" si="381"/>
        <v>1</v>
      </c>
      <c r="CS356" s="149">
        <f t="shared" si="382"/>
        <v>1</v>
      </c>
      <c r="CT356" s="149">
        <f t="shared" si="383"/>
        <v>1</v>
      </c>
      <c r="CU356" s="149">
        <f t="shared" si="384"/>
        <v>1</v>
      </c>
      <c r="CV356" s="149">
        <f t="shared" si="385"/>
        <v>1</v>
      </c>
      <c r="CW356" s="149">
        <f t="shared" si="386"/>
        <v>1</v>
      </c>
      <c r="CX356" s="149">
        <f t="shared" si="387"/>
        <v>1</v>
      </c>
      <c r="CY356" s="149">
        <f t="shared" si="388"/>
        <v>1</v>
      </c>
      <c r="CZ356" s="149">
        <f t="shared" si="389"/>
        <v>1</v>
      </c>
      <c r="DA356" s="149">
        <f t="shared" si="390"/>
        <v>1</v>
      </c>
      <c r="DB356" s="149">
        <f t="shared" si="391"/>
        <v>1</v>
      </c>
      <c r="DG356" s="125">
        <f t="shared" si="296"/>
        <v>1</v>
      </c>
      <c r="DH356" s="125">
        <f t="shared" si="402"/>
        <v>2</v>
      </c>
      <c r="DI356" s="125">
        <f t="shared" si="402"/>
        <v>3</v>
      </c>
      <c r="DJ356" s="125">
        <f t="shared" si="402"/>
        <v>4</v>
      </c>
      <c r="DK356" s="125">
        <f t="shared" si="402"/>
        <v>5</v>
      </c>
      <c r="DL356" s="125">
        <f t="shared" si="402"/>
        <v>6</v>
      </c>
      <c r="DM356" s="125">
        <f t="shared" si="402"/>
        <v>7</v>
      </c>
      <c r="DN356" s="125">
        <f t="shared" si="402"/>
        <v>8</v>
      </c>
      <c r="DO356" s="125">
        <f t="shared" si="402"/>
        <v>9</v>
      </c>
      <c r="DP356" s="125">
        <f t="shared" si="402"/>
        <v>10</v>
      </c>
      <c r="DS356" s="137"/>
      <c r="DT356" s="137"/>
      <c r="DU356" s="137"/>
      <c r="DV356" s="137" t="b">
        <f t="shared" si="392"/>
        <v>0</v>
      </c>
      <c r="DW356" s="137" t="b">
        <f t="shared" si="393"/>
        <v>0</v>
      </c>
      <c r="DX356" s="137" t="b">
        <f t="shared" si="394"/>
        <v>1</v>
      </c>
      <c r="EB356" s="131">
        <f t="shared" si="395"/>
        <v>1</v>
      </c>
      <c r="EC356" s="137" t="b">
        <f t="shared" si="396"/>
        <v>0</v>
      </c>
      <c r="ED356" s="137" t="b">
        <f t="shared" si="397"/>
        <v>0</v>
      </c>
      <c r="EE356" s="137" t="b">
        <f t="shared" si="398"/>
        <v>1</v>
      </c>
      <c r="EF356" s="137"/>
      <c r="EG356" s="137"/>
      <c r="EH356" s="137"/>
      <c r="EI356" s="137"/>
      <c r="EJ356" s="137">
        <f t="shared" si="399"/>
        <v>1</v>
      </c>
      <c r="EK356" s="125">
        <f t="shared" si="400"/>
        <v>0</v>
      </c>
      <c r="EL356" s="125">
        <f t="shared" si="401"/>
        <v>0</v>
      </c>
    </row>
    <row r="357" spans="2:142" ht="15.75" x14ac:dyDescent="0.2">
      <c r="B357" s="160">
        <f t="shared" si="351"/>
        <v>327</v>
      </c>
      <c r="C357" s="292">
        <v>1001348825</v>
      </c>
      <c r="D357" s="290">
        <v>1001270277</v>
      </c>
      <c r="E357" s="292">
        <v>40000678</v>
      </c>
      <c r="F357" s="118">
        <f>IF(OR(J357="",H357=""),"",VLOOKUP(J357,'הזנה לסיווג רשויות'!$B$2:$D$301,2,0))</f>
        <v>20000201</v>
      </c>
      <c r="G357" s="118" t="str">
        <f>IF(OR(J357="",H357=""),"",VLOOKUP(J357,'הזנה לסיווג רשויות'!$B$2:$D$301,3,0))</f>
        <v>תל אביב -יפו</v>
      </c>
      <c r="H357" s="295" t="s">
        <v>739</v>
      </c>
      <c r="I357" s="201" t="s">
        <v>373</v>
      </c>
      <c r="J357" s="294">
        <v>5000</v>
      </c>
      <c r="K357" s="161">
        <v>0</v>
      </c>
      <c r="L357" s="161">
        <v>1</v>
      </c>
      <c r="M357" s="161">
        <v>0</v>
      </c>
      <c r="N357" s="161">
        <v>1</v>
      </c>
      <c r="O357" s="161">
        <v>0</v>
      </c>
      <c r="P357" s="161">
        <v>1</v>
      </c>
      <c r="Q357" s="161">
        <v>1</v>
      </c>
      <c r="R357" s="201">
        <v>2022689</v>
      </c>
      <c r="S357" s="201">
        <v>663703</v>
      </c>
      <c r="T357" s="160">
        <f>IF(G357="","",IFERROR(IF(S357/R357&gt;'פרמטרים לקריטריונים'!$C$20,1,0),0))</f>
        <v>1</v>
      </c>
      <c r="U357" s="297">
        <v>472862</v>
      </c>
      <c r="V357" s="160">
        <f>IF(G357="","",IFERROR(IF(U357/R357&gt;'פרמטרים לקריטריונים'!$C$21,1,IF(AND(I357=$BW$5,U357/R357&gt;'פרמטרים לקריטריונים'!$C$22),1,0)),0))</f>
        <v>1</v>
      </c>
      <c r="W357" s="161">
        <v>1</v>
      </c>
      <c r="X357" s="161">
        <v>1</v>
      </c>
      <c r="Y357" s="301">
        <v>1000000</v>
      </c>
      <c r="Z357" s="302">
        <v>1</v>
      </c>
      <c r="AA357" s="161">
        <f t="shared" si="403"/>
        <v>1</v>
      </c>
      <c r="AB357" s="161"/>
      <c r="AC357" s="161"/>
      <c r="AD357" s="161"/>
      <c r="AE357" s="161"/>
      <c r="AF357" s="161"/>
      <c r="AG357" s="161"/>
      <c r="AH357" s="161"/>
      <c r="AI357" s="161"/>
      <c r="AJ357" s="161"/>
      <c r="AK357" s="161"/>
      <c r="AL357" s="161"/>
      <c r="AM357" s="161"/>
      <c r="AN357" s="161"/>
      <c r="AO357" s="161"/>
      <c r="AP357" s="161"/>
      <c r="AQ357" s="161"/>
      <c r="AR357" s="161"/>
      <c r="AS357" s="161"/>
      <c r="AT357" s="161"/>
      <c r="AU357" s="161"/>
      <c r="AV357" s="161"/>
      <c r="AW357" s="160"/>
      <c r="AX357" s="161"/>
      <c r="AY357" s="161"/>
      <c r="AZ357" s="161"/>
      <c r="BA357" s="161"/>
      <c r="BB357" s="161"/>
      <c r="BC357" s="161"/>
      <c r="BD357" s="161"/>
      <c r="BE357" s="161"/>
      <c r="BF357" s="160" t="str">
        <f t="shared" si="352"/>
        <v/>
      </c>
      <c r="BG357" s="160"/>
      <c r="BH357" s="160"/>
      <c r="BI357" s="160"/>
      <c r="BJ357" s="160"/>
      <c r="BK357" s="160"/>
      <c r="BL357" s="162">
        <f t="shared" si="353"/>
        <v>1</v>
      </c>
      <c r="BM357" s="257"/>
      <c r="BN357" s="163"/>
      <c r="BO357" s="211" t="str">
        <f t="shared" si="354"/>
        <v>תיאטרון מחול קליפה (ע"ר)תיאטרון</v>
      </c>
      <c r="BP357" s="125">
        <f t="shared" si="355"/>
        <v>1</v>
      </c>
      <c r="BQ357" s="164">
        <v>0</v>
      </c>
      <c r="BR357" s="164">
        <v>1</v>
      </c>
      <c r="BS357" s="149">
        <f t="shared" si="356"/>
        <v>1</v>
      </c>
      <c r="BT357" s="149">
        <f t="shared" si="357"/>
        <v>1</v>
      </c>
      <c r="BU357" s="149">
        <f t="shared" si="358"/>
        <v>1</v>
      </c>
      <c r="BV357" s="149">
        <f t="shared" si="359"/>
        <v>1</v>
      </c>
      <c r="BW357" s="149">
        <f t="shared" si="360"/>
        <v>1</v>
      </c>
      <c r="BX357" s="149">
        <f t="shared" si="361"/>
        <v>1</v>
      </c>
      <c r="BY357" s="149">
        <f t="shared" si="362"/>
        <v>1</v>
      </c>
      <c r="BZ357" s="149">
        <f t="shared" si="363"/>
        <v>1</v>
      </c>
      <c r="CA357" s="149">
        <f t="shared" si="364"/>
        <v>1</v>
      </c>
      <c r="CB357" s="149">
        <f t="shared" si="365"/>
        <v>1</v>
      </c>
      <c r="CC357" s="149">
        <f t="shared" si="366"/>
        <v>1</v>
      </c>
      <c r="CD357" s="149">
        <f t="shared" si="367"/>
        <v>1</v>
      </c>
      <c r="CE357" s="149">
        <f t="shared" si="368"/>
        <v>1</v>
      </c>
      <c r="CF357" s="149">
        <f t="shared" si="369"/>
        <v>1</v>
      </c>
      <c r="CG357" s="149">
        <f t="shared" si="370"/>
        <v>1</v>
      </c>
      <c r="CH357" s="149">
        <f t="shared" si="371"/>
        <v>1</v>
      </c>
      <c r="CI357" s="149">
        <f t="shared" si="372"/>
        <v>1</v>
      </c>
      <c r="CJ357" s="149">
        <f t="shared" si="373"/>
        <v>1</v>
      </c>
      <c r="CK357" s="149">
        <f t="shared" si="374"/>
        <v>1</v>
      </c>
      <c r="CL357" s="149">
        <f t="shared" si="375"/>
        <v>1</v>
      </c>
      <c r="CM357" s="149">
        <f t="shared" si="376"/>
        <v>1</v>
      </c>
      <c r="CN357" s="149">
        <f t="shared" si="377"/>
        <v>1</v>
      </c>
      <c r="CO357" s="149">
        <f t="shared" si="378"/>
        <v>1</v>
      </c>
      <c r="CP357" s="149">
        <f t="shared" si="379"/>
        <v>1</v>
      </c>
      <c r="CQ357" s="149">
        <f t="shared" si="380"/>
        <v>1</v>
      </c>
      <c r="CR357" s="149">
        <f t="shared" si="381"/>
        <v>1</v>
      </c>
      <c r="CS357" s="149">
        <f t="shared" si="382"/>
        <v>1</v>
      </c>
      <c r="CT357" s="149">
        <f t="shared" si="383"/>
        <v>1</v>
      </c>
      <c r="CU357" s="149">
        <f t="shared" si="384"/>
        <v>1</v>
      </c>
      <c r="CV357" s="149">
        <f t="shared" si="385"/>
        <v>1</v>
      </c>
      <c r="CW357" s="149">
        <f t="shared" si="386"/>
        <v>1</v>
      </c>
      <c r="CX357" s="149">
        <f t="shared" si="387"/>
        <v>1</v>
      </c>
      <c r="CY357" s="149">
        <f t="shared" si="388"/>
        <v>1</v>
      </c>
      <c r="CZ357" s="149">
        <f t="shared" si="389"/>
        <v>1</v>
      </c>
      <c r="DA357" s="149">
        <f t="shared" si="390"/>
        <v>1</v>
      </c>
      <c r="DB357" s="149">
        <f t="shared" si="391"/>
        <v>1</v>
      </c>
      <c r="DG357" s="125">
        <f t="shared" si="296"/>
        <v>1</v>
      </c>
      <c r="DH357" s="125">
        <f t="shared" si="402"/>
        <v>2</v>
      </c>
      <c r="DI357" s="125">
        <f t="shared" si="402"/>
        <v>3</v>
      </c>
      <c r="DJ357" s="125">
        <f t="shared" si="402"/>
        <v>4</v>
      </c>
      <c r="DK357" s="125">
        <f t="shared" si="402"/>
        <v>5</v>
      </c>
      <c r="DL357" s="125">
        <f t="shared" si="402"/>
        <v>6</v>
      </c>
      <c r="DM357" s="125">
        <f t="shared" si="402"/>
        <v>7</v>
      </c>
      <c r="DN357" s="125">
        <f t="shared" si="402"/>
        <v>8</v>
      </c>
      <c r="DO357" s="125">
        <f t="shared" si="402"/>
        <v>9</v>
      </c>
      <c r="DP357" s="125">
        <f t="shared" si="402"/>
        <v>10</v>
      </c>
      <c r="DS357" s="137"/>
      <c r="DT357" s="137"/>
      <c r="DU357" s="137"/>
      <c r="DV357" s="137" t="b">
        <f t="shared" si="392"/>
        <v>0</v>
      </c>
      <c r="DW357" s="137" t="b">
        <f t="shared" si="393"/>
        <v>0</v>
      </c>
      <c r="DX357" s="137" t="b">
        <f t="shared" si="394"/>
        <v>1</v>
      </c>
      <c r="EB357" s="131">
        <f t="shared" si="395"/>
        <v>1</v>
      </c>
      <c r="EC357" s="137" t="b">
        <f t="shared" si="396"/>
        <v>0</v>
      </c>
      <c r="ED357" s="137" t="b">
        <f t="shared" si="397"/>
        <v>0</v>
      </c>
      <c r="EE357" s="137" t="b">
        <f t="shared" si="398"/>
        <v>1</v>
      </c>
      <c r="EF357" s="137"/>
      <c r="EG357" s="137"/>
      <c r="EH357" s="137"/>
      <c r="EI357" s="137"/>
      <c r="EJ357" s="137">
        <f t="shared" si="399"/>
        <v>1</v>
      </c>
      <c r="EK357" s="125">
        <f t="shared" si="400"/>
        <v>0</v>
      </c>
      <c r="EL357" s="125">
        <f t="shared" si="401"/>
        <v>0</v>
      </c>
    </row>
    <row r="358" spans="2:142" ht="15.75" x14ac:dyDescent="0.2">
      <c r="B358" s="160">
        <f t="shared" si="351"/>
        <v>328</v>
      </c>
      <c r="C358" s="290">
        <v>1001346996</v>
      </c>
      <c r="D358" s="290">
        <v>1001262285</v>
      </c>
      <c r="E358" s="290">
        <v>40000234</v>
      </c>
      <c r="F358" s="118">
        <f>IF(OR(J358="",H358=""),"",VLOOKUP(J358,'הזנה לסיווג רשויות'!$B$2:$D$301,2,0))</f>
        <v>20000159</v>
      </c>
      <c r="G358" s="118" t="str">
        <f>IF(OR(J358="",H358=""),"",VLOOKUP(J358,'הזנה לסיווג רשויות'!$B$2:$D$301,3,0))</f>
        <v>ירושלים</v>
      </c>
      <c r="H358" s="293" t="s">
        <v>740</v>
      </c>
      <c r="I358" s="201" t="s">
        <v>374</v>
      </c>
      <c r="J358" s="294">
        <v>3000</v>
      </c>
      <c r="K358" s="161">
        <v>0</v>
      </c>
      <c r="L358" s="161">
        <v>1</v>
      </c>
      <c r="M358" s="161">
        <v>0</v>
      </c>
      <c r="N358" s="161">
        <v>1</v>
      </c>
      <c r="O358" s="161">
        <v>0</v>
      </c>
      <c r="P358" s="161">
        <v>1</v>
      </c>
      <c r="Q358" s="161">
        <v>1</v>
      </c>
      <c r="R358" s="201">
        <v>9784688</v>
      </c>
      <c r="S358" s="201">
        <v>4557272</v>
      </c>
      <c r="T358" s="160">
        <f>IF(G358="","",IFERROR(IF(S358/R358&gt;'פרמטרים לקריטריונים'!$C$20,1,0),0))</f>
        <v>1</v>
      </c>
      <c r="U358" s="296">
        <v>4031199</v>
      </c>
      <c r="V358" s="160">
        <f>IF(G358="","",IFERROR(IF(U358/R358&gt;'פרמטרים לקריטריונים'!$C$21,1,IF(AND(I358=$BW$5,U358/R358&gt;'פרמטרים לקריטריונים'!$C$22),1,0)),0))</f>
        <v>1</v>
      </c>
      <c r="W358" s="161">
        <v>1</v>
      </c>
      <c r="X358" s="161">
        <v>1</v>
      </c>
      <c r="Y358" s="299">
        <v>9000000</v>
      </c>
      <c r="Z358" s="300">
        <v>4500000</v>
      </c>
      <c r="AA358" s="161">
        <f t="shared" si="403"/>
        <v>1</v>
      </c>
      <c r="AB358" s="161"/>
      <c r="AC358" s="161"/>
      <c r="AD358" s="161"/>
      <c r="AE358" s="161"/>
      <c r="AF358" s="161"/>
      <c r="AG358" s="161"/>
      <c r="AH358" s="161"/>
      <c r="AI358" s="161"/>
      <c r="AJ358" s="161"/>
      <c r="AK358" s="161"/>
      <c r="AL358" s="161"/>
      <c r="AM358" s="161"/>
      <c r="AN358" s="161"/>
      <c r="AO358" s="161"/>
      <c r="AP358" s="161"/>
      <c r="AQ358" s="161"/>
      <c r="AR358" s="161"/>
      <c r="AS358" s="161"/>
      <c r="AT358" s="161"/>
      <c r="AU358" s="161"/>
      <c r="AV358" s="161"/>
      <c r="AW358" s="160"/>
      <c r="AX358" s="161"/>
      <c r="AY358" s="161"/>
      <c r="AZ358" s="161"/>
      <c r="BA358" s="161"/>
      <c r="BB358" s="161"/>
      <c r="BC358" s="161"/>
      <c r="BD358" s="161"/>
      <c r="BE358" s="161"/>
      <c r="BF358" s="160" t="str">
        <f t="shared" si="352"/>
        <v/>
      </c>
      <c r="BG358" s="160"/>
      <c r="BH358" s="160"/>
      <c r="BI358" s="160"/>
      <c r="BJ358" s="160"/>
      <c r="BK358" s="160"/>
      <c r="BL358" s="162">
        <f t="shared" si="353"/>
        <v>1</v>
      </c>
      <c r="BM358" s="257"/>
      <c r="BN358" s="163"/>
      <c r="BO358" s="211" t="str">
        <f t="shared" si="354"/>
        <v>עמותת ורטיגו למחול - ירושלים (ע"ר)מחול</v>
      </c>
      <c r="BP358" s="125">
        <f t="shared" si="355"/>
        <v>1</v>
      </c>
      <c r="BQ358" s="164">
        <v>0</v>
      </c>
      <c r="BR358" s="164">
        <v>1</v>
      </c>
      <c r="BS358" s="149">
        <f t="shared" si="356"/>
        <v>1</v>
      </c>
      <c r="BT358" s="149">
        <f t="shared" si="357"/>
        <v>1</v>
      </c>
      <c r="BU358" s="149">
        <f t="shared" si="358"/>
        <v>1</v>
      </c>
      <c r="BV358" s="149">
        <f t="shared" si="359"/>
        <v>1</v>
      </c>
      <c r="BW358" s="149">
        <f t="shared" si="360"/>
        <v>1</v>
      </c>
      <c r="BX358" s="149">
        <f t="shared" si="361"/>
        <v>1</v>
      </c>
      <c r="BY358" s="149">
        <f t="shared" si="362"/>
        <v>1</v>
      </c>
      <c r="BZ358" s="149">
        <f t="shared" si="363"/>
        <v>1</v>
      </c>
      <c r="CA358" s="149">
        <f t="shared" si="364"/>
        <v>1</v>
      </c>
      <c r="CB358" s="149">
        <f t="shared" si="365"/>
        <v>1</v>
      </c>
      <c r="CC358" s="149">
        <f t="shared" si="366"/>
        <v>1</v>
      </c>
      <c r="CD358" s="149">
        <f t="shared" si="367"/>
        <v>1</v>
      </c>
      <c r="CE358" s="149">
        <f t="shared" si="368"/>
        <v>1</v>
      </c>
      <c r="CF358" s="149">
        <f t="shared" si="369"/>
        <v>1</v>
      </c>
      <c r="CG358" s="149">
        <f t="shared" si="370"/>
        <v>1</v>
      </c>
      <c r="CH358" s="149">
        <f t="shared" si="371"/>
        <v>1</v>
      </c>
      <c r="CI358" s="149">
        <f t="shared" si="372"/>
        <v>1</v>
      </c>
      <c r="CJ358" s="149">
        <f t="shared" si="373"/>
        <v>1</v>
      </c>
      <c r="CK358" s="149">
        <f t="shared" si="374"/>
        <v>1</v>
      </c>
      <c r="CL358" s="149">
        <f t="shared" si="375"/>
        <v>1</v>
      </c>
      <c r="CM358" s="149">
        <f t="shared" si="376"/>
        <v>1</v>
      </c>
      <c r="CN358" s="149">
        <f t="shared" si="377"/>
        <v>1</v>
      </c>
      <c r="CO358" s="149">
        <f t="shared" si="378"/>
        <v>1</v>
      </c>
      <c r="CP358" s="149">
        <f t="shared" si="379"/>
        <v>1</v>
      </c>
      <c r="CQ358" s="149">
        <f t="shared" si="380"/>
        <v>1</v>
      </c>
      <c r="CR358" s="149">
        <f t="shared" si="381"/>
        <v>1</v>
      </c>
      <c r="CS358" s="149">
        <f t="shared" si="382"/>
        <v>1</v>
      </c>
      <c r="CT358" s="149">
        <f t="shared" si="383"/>
        <v>1</v>
      </c>
      <c r="CU358" s="149">
        <f t="shared" si="384"/>
        <v>1</v>
      </c>
      <c r="CV358" s="149">
        <f t="shared" si="385"/>
        <v>1</v>
      </c>
      <c r="CW358" s="149">
        <f t="shared" si="386"/>
        <v>1</v>
      </c>
      <c r="CX358" s="149">
        <f t="shared" si="387"/>
        <v>1</v>
      </c>
      <c r="CY358" s="149">
        <f t="shared" si="388"/>
        <v>1</v>
      </c>
      <c r="CZ358" s="149">
        <f t="shared" si="389"/>
        <v>1</v>
      </c>
      <c r="DA358" s="149">
        <f t="shared" si="390"/>
        <v>1</v>
      </c>
      <c r="DB358" s="149">
        <f t="shared" si="391"/>
        <v>1</v>
      </c>
      <c r="DG358" s="125">
        <f t="shared" si="296"/>
        <v>1</v>
      </c>
      <c r="DH358" s="125">
        <f t="shared" si="402"/>
        <v>2</v>
      </c>
      <c r="DI358" s="125">
        <f t="shared" si="402"/>
        <v>3</v>
      </c>
      <c r="DJ358" s="125">
        <f t="shared" si="402"/>
        <v>4</v>
      </c>
      <c r="DK358" s="125">
        <f t="shared" si="402"/>
        <v>5</v>
      </c>
      <c r="DL358" s="125">
        <f t="shared" si="402"/>
        <v>6</v>
      </c>
      <c r="DM358" s="125">
        <f t="shared" si="402"/>
        <v>7</v>
      </c>
      <c r="DN358" s="125">
        <f t="shared" si="402"/>
        <v>8</v>
      </c>
      <c r="DO358" s="125">
        <f t="shared" si="402"/>
        <v>9</v>
      </c>
      <c r="DP358" s="125">
        <f t="shared" si="402"/>
        <v>10</v>
      </c>
      <c r="DS358" s="137"/>
      <c r="DT358" s="137"/>
      <c r="DU358" s="137"/>
      <c r="DV358" s="137" t="b">
        <f t="shared" si="392"/>
        <v>0</v>
      </c>
      <c r="DW358" s="137" t="b">
        <f t="shared" si="393"/>
        <v>0</v>
      </c>
      <c r="DX358" s="137" t="b">
        <f t="shared" si="394"/>
        <v>1</v>
      </c>
      <c r="EB358" s="131">
        <f t="shared" si="395"/>
        <v>1</v>
      </c>
      <c r="EC358" s="137" t="b">
        <f t="shared" si="396"/>
        <v>0</v>
      </c>
      <c r="ED358" s="137" t="b">
        <f t="shared" si="397"/>
        <v>0</v>
      </c>
      <c r="EE358" s="137" t="b">
        <f t="shared" si="398"/>
        <v>1</v>
      </c>
      <c r="EF358" s="137"/>
      <c r="EG358" s="137"/>
      <c r="EH358" s="137"/>
      <c r="EI358" s="137"/>
      <c r="EJ358" s="137">
        <f t="shared" si="399"/>
        <v>1</v>
      </c>
      <c r="EK358" s="125">
        <f t="shared" si="400"/>
        <v>0</v>
      </c>
      <c r="EL358" s="125">
        <f t="shared" si="401"/>
        <v>0</v>
      </c>
    </row>
    <row r="359" spans="2:142" ht="15.75" x14ac:dyDescent="0.2">
      <c r="B359" s="160">
        <f t="shared" si="351"/>
        <v>329</v>
      </c>
      <c r="C359" s="290">
        <v>1001347696</v>
      </c>
      <c r="D359" s="290">
        <v>1001262291</v>
      </c>
      <c r="E359" s="290">
        <v>40000234</v>
      </c>
      <c r="F359" s="118">
        <f>IF(OR(J359="",H359=""),"",VLOOKUP(J359,'הזנה לסיווג רשויות'!$B$2:$D$301,2,0))</f>
        <v>20000159</v>
      </c>
      <c r="G359" s="118" t="str">
        <f>IF(OR(J359="",H359=""),"",VLOOKUP(J359,'הזנה לסיווג רשויות'!$B$2:$D$301,3,0))</f>
        <v>ירושלים</v>
      </c>
      <c r="H359" s="293" t="s">
        <v>740</v>
      </c>
      <c r="I359" s="201" t="s">
        <v>374</v>
      </c>
      <c r="J359" s="294">
        <v>3000</v>
      </c>
      <c r="K359" s="161">
        <v>0</v>
      </c>
      <c r="L359" s="161">
        <v>1</v>
      </c>
      <c r="M359" s="161">
        <v>0</v>
      </c>
      <c r="N359" s="161">
        <v>0</v>
      </c>
      <c r="O359" s="161">
        <v>1</v>
      </c>
      <c r="P359" s="161">
        <v>1</v>
      </c>
      <c r="Q359" s="161">
        <v>1</v>
      </c>
      <c r="R359" s="201">
        <v>1426689</v>
      </c>
      <c r="S359" s="201">
        <v>826689</v>
      </c>
      <c r="T359" s="160">
        <f>IF(G359="","",IFERROR(IF(S359/R359&gt;'פרמטרים לקריטריונים'!$C$20,1,0),0))</f>
        <v>1</v>
      </c>
      <c r="U359" s="296">
        <v>684622</v>
      </c>
      <c r="V359" s="160">
        <f>IF(G359="","",IFERROR(IF(U359/R359&gt;'פרמטרים לקריטריונים'!$C$21,1,IF(AND(I359=$BW$5,U359/R359&gt;'פרמטרים לקריטריונים'!$C$22),1,0)),0))</f>
        <v>1</v>
      </c>
      <c r="W359" s="161">
        <v>1</v>
      </c>
      <c r="X359" s="161">
        <v>1</v>
      </c>
      <c r="Y359" s="299">
        <v>2000000</v>
      </c>
      <c r="Z359" s="300">
        <v>1000000</v>
      </c>
      <c r="AA359" s="161">
        <f t="shared" si="403"/>
        <v>1</v>
      </c>
      <c r="AB359" s="161"/>
      <c r="AC359" s="161"/>
      <c r="AD359" s="161"/>
      <c r="AE359" s="161"/>
      <c r="AF359" s="161"/>
      <c r="AG359" s="161"/>
      <c r="AH359" s="161"/>
      <c r="AI359" s="161"/>
      <c r="AJ359" s="161"/>
      <c r="AK359" s="161"/>
      <c r="AL359" s="161"/>
      <c r="AM359" s="161"/>
      <c r="AN359" s="161"/>
      <c r="AO359" s="161"/>
      <c r="AP359" s="161"/>
      <c r="AQ359" s="161"/>
      <c r="AR359" s="161"/>
      <c r="AS359" s="161"/>
      <c r="AT359" s="161"/>
      <c r="AU359" s="161"/>
      <c r="AV359" s="161"/>
      <c r="AW359" s="160"/>
      <c r="AX359" s="161"/>
      <c r="AY359" s="161"/>
      <c r="AZ359" s="161"/>
      <c r="BA359" s="161"/>
      <c r="BB359" s="161"/>
      <c r="BC359" s="161"/>
      <c r="BD359" s="161"/>
      <c r="BE359" s="161"/>
      <c r="BF359" s="160" t="str">
        <f t="shared" si="352"/>
        <v/>
      </c>
      <c r="BG359" s="160"/>
      <c r="BH359" s="160"/>
      <c r="BI359" s="160"/>
      <c r="BJ359" s="160"/>
      <c r="BK359" s="160"/>
      <c r="BL359" s="162">
        <f t="shared" si="353"/>
        <v>1</v>
      </c>
      <c r="BM359" s="257"/>
      <c r="BN359" s="163"/>
      <c r="BO359" s="211" t="str">
        <f t="shared" si="354"/>
        <v>עמותת ורטיגו למחול - ירושלים (ע"ר)מחול</v>
      </c>
      <c r="BP359" s="125">
        <f t="shared" si="355"/>
        <v>1</v>
      </c>
      <c r="BQ359" s="164">
        <v>0</v>
      </c>
      <c r="BR359" s="164">
        <v>1</v>
      </c>
      <c r="BS359" s="149">
        <f t="shared" si="356"/>
        <v>1</v>
      </c>
      <c r="BT359" s="149">
        <f t="shared" si="357"/>
        <v>1</v>
      </c>
      <c r="BU359" s="149">
        <f t="shared" si="358"/>
        <v>1</v>
      </c>
      <c r="BV359" s="149">
        <f t="shared" si="359"/>
        <v>1</v>
      </c>
      <c r="BW359" s="149">
        <f t="shared" si="360"/>
        <v>1</v>
      </c>
      <c r="BX359" s="149">
        <f t="shared" si="361"/>
        <v>1</v>
      </c>
      <c r="BY359" s="149">
        <f t="shared" si="362"/>
        <v>1</v>
      </c>
      <c r="BZ359" s="149">
        <f t="shared" si="363"/>
        <v>1</v>
      </c>
      <c r="CA359" s="149">
        <f t="shared" si="364"/>
        <v>1</v>
      </c>
      <c r="CB359" s="149">
        <f t="shared" si="365"/>
        <v>1</v>
      </c>
      <c r="CC359" s="149">
        <f t="shared" si="366"/>
        <v>1</v>
      </c>
      <c r="CD359" s="149">
        <f t="shared" si="367"/>
        <v>1</v>
      </c>
      <c r="CE359" s="149">
        <f t="shared" si="368"/>
        <v>1</v>
      </c>
      <c r="CF359" s="149">
        <f t="shared" si="369"/>
        <v>1</v>
      </c>
      <c r="CG359" s="149">
        <f t="shared" si="370"/>
        <v>1</v>
      </c>
      <c r="CH359" s="149">
        <f t="shared" si="371"/>
        <v>1</v>
      </c>
      <c r="CI359" s="149">
        <f t="shared" si="372"/>
        <v>1</v>
      </c>
      <c r="CJ359" s="149">
        <f t="shared" si="373"/>
        <v>1</v>
      </c>
      <c r="CK359" s="149">
        <f t="shared" si="374"/>
        <v>1</v>
      </c>
      <c r="CL359" s="149">
        <f t="shared" si="375"/>
        <v>1</v>
      </c>
      <c r="CM359" s="149">
        <f t="shared" si="376"/>
        <v>1</v>
      </c>
      <c r="CN359" s="149">
        <f t="shared" si="377"/>
        <v>1</v>
      </c>
      <c r="CO359" s="149">
        <f t="shared" si="378"/>
        <v>1</v>
      </c>
      <c r="CP359" s="149">
        <f t="shared" si="379"/>
        <v>1</v>
      </c>
      <c r="CQ359" s="149">
        <f t="shared" si="380"/>
        <v>1</v>
      </c>
      <c r="CR359" s="149">
        <f t="shared" si="381"/>
        <v>1</v>
      </c>
      <c r="CS359" s="149">
        <f t="shared" si="382"/>
        <v>1</v>
      </c>
      <c r="CT359" s="149">
        <f t="shared" si="383"/>
        <v>1</v>
      </c>
      <c r="CU359" s="149">
        <f t="shared" si="384"/>
        <v>1</v>
      </c>
      <c r="CV359" s="149">
        <f t="shared" si="385"/>
        <v>1</v>
      </c>
      <c r="CW359" s="149">
        <f t="shared" si="386"/>
        <v>1</v>
      </c>
      <c r="CX359" s="149">
        <f t="shared" si="387"/>
        <v>1</v>
      </c>
      <c r="CY359" s="149">
        <f t="shared" si="388"/>
        <v>1</v>
      </c>
      <c r="CZ359" s="149">
        <f t="shared" si="389"/>
        <v>1</v>
      </c>
      <c r="DA359" s="149">
        <f t="shared" si="390"/>
        <v>1</v>
      </c>
      <c r="DB359" s="149">
        <f t="shared" si="391"/>
        <v>1</v>
      </c>
      <c r="DG359" s="125">
        <f t="shared" si="296"/>
        <v>1</v>
      </c>
      <c r="DH359" s="125">
        <f t="shared" si="402"/>
        <v>2</v>
      </c>
      <c r="DI359" s="125">
        <f t="shared" si="402"/>
        <v>3</v>
      </c>
      <c r="DJ359" s="125">
        <f t="shared" si="402"/>
        <v>4</v>
      </c>
      <c r="DK359" s="125">
        <f t="shared" si="402"/>
        <v>5</v>
      </c>
      <c r="DL359" s="125">
        <f t="shared" si="402"/>
        <v>6</v>
      </c>
      <c r="DM359" s="125">
        <f t="shared" si="402"/>
        <v>7</v>
      </c>
      <c r="DN359" s="125">
        <f t="shared" si="402"/>
        <v>8</v>
      </c>
      <c r="DO359" s="125">
        <f t="shared" si="402"/>
        <v>9</v>
      </c>
      <c r="DP359" s="125">
        <f t="shared" si="402"/>
        <v>10</v>
      </c>
      <c r="DS359" s="137"/>
      <c r="DT359" s="137"/>
      <c r="DU359" s="137"/>
      <c r="DV359" s="137" t="b">
        <f t="shared" si="392"/>
        <v>0</v>
      </c>
      <c r="DW359" s="137" t="b">
        <f t="shared" si="393"/>
        <v>0</v>
      </c>
      <c r="DX359" s="137" t="b">
        <f t="shared" si="394"/>
        <v>1</v>
      </c>
      <c r="EB359" s="131">
        <f t="shared" si="395"/>
        <v>1</v>
      </c>
      <c r="EC359" s="137" t="b">
        <f t="shared" si="396"/>
        <v>0</v>
      </c>
      <c r="ED359" s="137" t="b">
        <f t="shared" si="397"/>
        <v>0</v>
      </c>
      <c r="EE359" s="137" t="b">
        <f t="shared" si="398"/>
        <v>1</v>
      </c>
      <c r="EF359" s="137"/>
      <c r="EG359" s="137"/>
      <c r="EH359" s="137"/>
      <c r="EI359" s="137"/>
      <c r="EJ359" s="137">
        <f t="shared" si="399"/>
        <v>1</v>
      </c>
      <c r="EK359" s="125">
        <f t="shared" si="400"/>
        <v>0</v>
      </c>
      <c r="EL359" s="125">
        <f t="shared" si="401"/>
        <v>0</v>
      </c>
    </row>
    <row r="360" spans="2:142" ht="15.75" x14ac:dyDescent="0.2">
      <c r="B360" s="160">
        <f t="shared" si="351"/>
        <v>330</v>
      </c>
      <c r="C360" s="290">
        <v>1001348126</v>
      </c>
      <c r="D360" s="290">
        <v>1001263224</v>
      </c>
      <c r="E360" s="290">
        <v>40000681</v>
      </c>
      <c r="F360" s="118">
        <f>IF(OR(J360="",H360=""),"",VLOOKUP(J360,'הזנה לסיווג רשויות'!$B$2:$D$301,2,0))</f>
        <v>20000201</v>
      </c>
      <c r="G360" s="118" t="str">
        <f>IF(OR(J360="",H360=""),"",VLOOKUP(J360,'הזנה לסיווג רשויות'!$B$2:$D$301,3,0))</f>
        <v>תל אביב -יפו</v>
      </c>
      <c r="H360" s="293" t="s">
        <v>741</v>
      </c>
      <c r="I360" s="201" t="s">
        <v>381</v>
      </c>
      <c r="J360" s="294">
        <v>5000</v>
      </c>
      <c r="K360" s="161">
        <v>0</v>
      </c>
      <c r="L360" s="161">
        <v>1</v>
      </c>
      <c r="M360" s="161">
        <v>0</v>
      </c>
      <c r="N360" s="161">
        <v>1</v>
      </c>
      <c r="O360" s="161">
        <v>0</v>
      </c>
      <c r="P360" s="161">
        <v>1</v>
      </c>
      <c r="Q360" s="161">
        <v>1</v>
      </c>
      <c r="R360" s="201">
        <v>4352777</v>
      </c>
      <c r="S360" s="201">
        <v>3412378</v>
      </c>
      <c r="T360" s="160">
        <f>IF(G360="","",IFERROR(IF(S360/R360&gt;'פרמטרים לקריטריונים'!$C$20,1,0),0))</f>
        <v>1</v>
      </c>
      <c r="U360" s="296">
        <v>1390992</v>
      </c>
      <c r="V360" s="160">
        <f>IF(G360="","",IFERROR(IF(U360/R360&gt;'פרמטרים לקריטריונים'!$C$21,1,IF(AND(I360=$BW$5,U360/R360&gt;'פרמטרים לקריטריונים'!$C$22),1,0)),0))</f>
        <v>1</v>
      </c>
      <c r="W360" s="161">
        <v>1</v>
      </c>
      <c r="X360" s="161">
        <v>1</v>
      </c>
      <c r="Y360" s="299">
        <v>950000</v>
      </c>
      <c r="Z360" s="300">
        <v>1500000</v>
      </c>
      <c r="AA360" s="161">
        <f t="shared" si="403"/>
        <v>1</v>
      </c>
      <c r="AB360" s="161"/>
      <c r="AC360" s="161"/>
      <c r="AD360" s="161"/>
      <c r="AE360" s="161"/>
      <c r="AF360" s="161"/>
      <c r="AG360" s="161"/>
      <c r="AH360" s="161"/>
      <c r="AI360" s="161"/>
      <c r="AJ360" s="161"/>
      <c r="AK360" s="161"/>
      <c r="AL360" s="161"/>
      <c r="AM360" s="161"/>
      <c r="AN360" s="161"/>
      <c r="AO360" s="161"/>
      <c r="AP360" s="161"/>
      <c r="AQ360" s="161"/>
      <c r="AR360" s="161"/>
      <c r="AS360" s="161"/>
      <c r="AT360" s="161"/>
      <c r="AU360" s="161"/>
      <c r="AV360" s="161"/>
      <c r="AW360" s="160"/>
      <c r="AX360" s="161"/>
      <c r="AY360" s="161"/>
      <c r="AZ360" s="161"/>
      <c r="BA360" s="161"/>
      <c r="BB360" s="161"/>
      <c r="BC360" s="161"/>
      <c r="BD360" s="161"/>
      <c r="BE360" s="161"/>
      <c r="BF360" s="160" t="str">
        <f t="shared" si="352"/>
        <v/>
      </c>
      <c r="BG360" s="160"/>
      <c r="BH360" s="160"/>
      <c r="BI360" s="160"/>
      <c r="BJ360" s="160"/>
      <c r="BK360" s="160"/>
      <c r="BL360" s="162">
        <f t="shared" si="353"/>
        <v>1</v>
      </c>
      <c r="BM360" s="257"/>
      <c r="BN360" s="163"/>
      <c r="BO360" s="211" t="str">
        <f t="shared" si="354"/>
        <v>דוקאביב - העמותה לקידום הסרט הדוקומסינמטקים ופסטיבלים</v>
      </c>
      <c r="BP360" s="125">
        <f t="shared" si="355"/>
        <v>1</v>
      </c>
      <c r="BQ360" s="164">
        <v>0</v>
      </c>
      <c r="BR360" s="164">
        <v>1</v>
      </c>
      <c r="BS360" s="149">
        <f t="shared" si="356"/>
        <v>1</v>
      </c>
      <c r="BT360" s="149">
        <f t="shared" si="357"/>
        <v>1</v>
      </c>
      <c r="BU360" s="149">
        <f t="shared" si="358"/>
        <v>1</v>
      </c>
      <c r="BV360" s="149">
        <f t="shared" si="359"/>
        <v>1</v>
      </c>
      <c r="BW360" s="149">
        <f t="shared" si="360"/>
        <v>1</v>
      </c>
      <c r="BX360" s="149">
        <f t="shared" si="361"/>
        <v>1</v>
      </c>
      <c r="BY360" s="149">
        <f t="shared" si="362"/>
        <v>1</v>
      </c>
      <c r="BZ360" s="149">
        <f t="shared" si="363"/>
        <v>1</v>
      </c>
      <c r="CA360" s="149">
        <f t="shared" si="364"/>
        <v>1</v>
      </c>
      <c r="CB360" s="149">
        <f t="shared" si="365"/>
        <v>1</v>
      </c>
      <c r="CC360" s="149">
        <f t="shared" si="366"/>
        <v>1</v>
      </c>
      <c r="CD360" s="149">
        <f t="shared" si="367"/>
        <v>1</v>
      </c>
      <c r="CE360" s="149">
        <f t="shared" si="368"/>
        <v>1</v>
      </c>
      <c r="CF360" s="149">
        <f t="shared" si="369"/>
        <v>1</v>
      </c>
      <c r="CG360" s="149">
        <f t="shared" si="370"/>
        <v>1</v>
      </c>
      <c r="CH360" s="149">
        <f t="shared" si="371"/>
        <v>1</v>
      </c>
      <c r="CI360" s="149">
        <f t="shared" si="372"/>
        <v>1</v>
      </c>
      <c r="CJ360" s="149">
        <f t="shared" si="373"/>
        <v>1</v>
      </c>
      <c r="CK360" s="149">
        <f t="shared" si="374"/>
        <v>1</v>
      </c>
      <c r="CL360" s="149">
        <f t="shared" si="375"/>
        <v>1</v>
      </c>
      <c r="CM360" s="149">
        <f t="shared" si="376"/>
        <v>1</v>
      </c>
      <c r="CN360" s="149">
        <f t="shared" si="377"/>
        <v>1</v>
      </c>
      <c r="CO360" s="149">
        <f t="shared" si="378"/>
        <v>1</v>
      </c>
      <c r="CP360" s="149">
        <f t="shared" si="379"/>
        <v>1</v>
      </c>
      <c r="CQ360" s="149">
        <f t="shared" si="380"/>
        <v>1</v>
      </c>
      <c r="CR360" s="149">
        <f t="shared" si="381"/>
        <v>1</v>
      </c>
      <c r="CS360" s="149">
        <f t="shared" si="382"/>
        <v>1</v>
      </c>
      <c r="CT360" s="149">
        <f t="shared" si="383"/>
        <v>1</v>
      </c>
      <c r="CU360" s="149">
        <f t="shared" si="384"/>
        <v>1</v>
      </c>
      <c r="CV360" s="149">
        <f t="shared" si="385"/>
        <v>1</v>
      </c>
      <c r="CW360" s="149">
        <f t="shared" si="386"/>
        <v>1</v>
      </c>
      <c r="CX360" s="149">
        <f t="shared" si="387"/>
        <v>1</v>
      </c>
      <c r="CY360" s="149">
        <f t="shared" si="388"/>
        <v>1</v>
      </c>
      <c r="CZ360" s="149">
        <f t="shared" si="389"/>
        <v>1</v>
      </c>
      <c r="DA360" s="149">
        <f t="shared" si="390"/>
        <v>1</v>
      </c>
      <c r="DB360" s="149">
        <f t="shared" si="391"/>
        <v>1</v>
      </c>
      <c r="DG360" s="125">
        <f t="shared" si="296"/>
        <v>1</v>
      </c>
      <c r="DH360" s="125">
        <f t="shared" si="402"/>
        <v>2</v>
      </c>
      <c r="DI360" s="125">
        <f t="shared" si="402"/>
        <v>3</v>
      </c>
      <c r="DJ360" s="125">
        <f t="shared" si="402"/>
        <v>4</v>
      </c>
      <c r="DK360" s="125">
        <f t="shared" si="402"/>
        <v>5</v>
      </c>
      <c r="DL360" s="125">
        <f t="shared" si="402"/>
        <v>6</v>
      </c>
      <c r="DM360" s="125">
        <f t="shared" si="402"/>
        <v>7</v>
      </c>
      <c r="DN360" s="125">
        <f t="shared" si="402"/>
        <v>8</v>
      </c>
      <c r="DO360" s="125">
        <f t="shared" si="402"/>
        <v>9</v>
      </c>
      <c r="DP360" s="125">
        <f t="shared" si="402"/>
        <v>10</v>
      </c>
      <c r="DS360" s="137"/>
      <c r="DT360" s="137"/>
      <c r="DU360" s="137"/>
      <c r="DV360" s="137" t="b">
        <f t="shared" si="392"/>
        <v>0</v>
      </c>
      <c r="DW360" s="137" t="b">
        <f t="shared" si="393"/>
        <v>0</v>
      </c>
      <c r="DX360" s="137" t="b">
        <f t="shared" si="394"/>
        <v>1</v>
      </c>
      <c r="EB360" s="131">
        <f t="shared" si="395"/>
        <v>1</v>
      </c>
      <c r="EC360" s="137" t="b">
        <f t="shared" si="396"/>
        <v>0</v>
      </c>
      <c r="ED360" s="137" t="b">
        <f t="shared" si="397"/>
        <v>0</v>
      </c>
      <c r="EE360" s="137" t="b">
        <f t="shared" si="398"/>
        <v>1</v>
      </c>
      <c r="EF360" s="137"/>
      <c r="EG360" s="137"/>
      <c r="EH360" s="137"/>
      <c r="EI360" s="137"/>
      <c r="EJ360" s="137">
        <f t="shared" si="399"/>
        <v>1</v>
      </c>
      <c r="EK360" s="125">
        <f t="shared" si="400"/>
        <v>0</v>
      </c>
      <c r="EL360" s="125">
        <f t="shared" si="401"/>
        <v>0</v>
      </c>
    </row>
    <row r="361" spans="2:142" ht="15.75" x14ac:dyDescent="0.2">
      <c r="B361" s="160">
        <f t="shared" si="351"/>
        <v>331</v>
      </c>
      <c r="C361" s="290">
        <v>1001349307</v>
      </c>
      <c r="D361" s="290">
        <v>1001272417</v>
      </c>
      <c r="E361" s="290">
        <v>40000681</v>
      </c>
      <c r="F361" s="118">
        <f>IF(OR(J361="",H361=""),"",VLOOKUP(J361,'הזנה לסיווג רשויות'!$B$2:$D$301,2,0))</f>
        <v>20000102</v>
      </c>
      <c r="G361" s="118" t="str">
        <f>IF(OR(J361="",H361=""),"",VLOOKUP(J361,'הזנה לסיווג רשויות'!$B$2:$D$301,3,0))</f>
        <v>מעלות-תרשיחא</v>
      </c>
      <c r="H361" s="293" t="s">
        <v>741</v>
      </c>
      <c r="I361" s="201" t="s">
        <v>381</v>
      </c>
      <c r="J361" s="294">
        <v>1063</v>
      </c>
      <c r="K361" s="161">
        <v>0</v>
      </c>
      <c r="L361" s="161">
        <v>1</v>
      </c>
      <c r="M361" s="161">
        <v>0</v>
      </c>
      <c r="N361" s="161">
        <v>0</v>
      </c>
      <c r="O361" s="161">
        <v>1</v>
      </c>
      <c r="P361" s="161">
        <v>1</v>
      </c>
      <c r="Q361" s="161">
        <v>1</v>
      </c>
      <c r="R361" s="201">
        <v>441281</v>
      </c>
      <c r="S361" s="201">
        <v>250571</v>
      </c>
      <c r="T361" s="160">
        <f>IF(G361="","",IFERROR(IF(S361/R361&gt;'פרמטרים לקריטריונים'!$C$20,1,0),0))</f>
        <v>1</v>
      </c>
      <c r="U361" s="296">
        <v>62870</v>
      </c>
      <c r="V361" s="160">
        <f>IF(G361="","",IFERROR(IF(U361/R361&gt;'פרמטרים לקריטריונים'!$C$21,1,IF(AND(I361=$BW$5,U361/R361&gt;'פרמטרים לקריטריונים'!$C$22),1,0)),0))</f>
        <v>0</v>
      </c>
      <c r="W361" s="161">
        <v>1</v>
      </c>
      <c r="X361" s="161">
        <v>1</v>
      </c>
      <c r="Y361" s="299">
        <v>280000</v>
      </c>
      <c r="Z361" s="300">
        <v>500000</v>
      </c>
      <c r="AA361" s="161">
        <f t="shared" si="403"/>
        <v>1</v>
      </c>
      <c r="AB361" s="161"/>
      <c r="AC361" s="161"/>
      <c r="AD361" s="161"/>
      <c r="AE361" s="161"/>
      <c r="AF361" s="161"/>
      <c r="AG361" s="161"/>
      <c r="AH361" s="161"/>
      <c r="AI361" s="161"/>
      <c r="AJ361" s="161"/>
      <c r="AK361" s="161"/>
      <c r="AL361" s="161"/>
      <c r="AM361" s="161"/>
      <c r="AN361" s="161"/>
      <c r="AO361" s="161"/>
      <c r="AP361" s="161"/>
      <c r="AQ361" s="161"/>
      <c r="AR361" s="161"/>
      <c r="AS361" s="161"/>
      <c r="AT361" s="161"/>
      <c r="AU361" s="161"/>
      <c r="AV361" s="161"/>
      <c r="AW361" s="160"/>
      <c r="AX361" s="161"/>
      <c r="AY361" s="161"/>
      <c r="AZ361" s="161"/>
      <c r="BA361" s="161"/>
      <c r="BB361" s="161"/>
      <c r="BC361" s="161"/>
      <c r="BD361" s="161"/>
      <c r="BE361" s="161"/>
      <c r="BF361" s="160" t="str">
        <f t="shared" si="352"/>
        <v/>
      </c>
      <c r="BG361" s="160"/>
      <c r="BH361" s="160"/>
      <c r="BI361" s="160"/>
      <c r="BJ361" s="160"/>
      <c r="BK361" s="160"/>
      <c r="BL361" s="162">
        <f t="shared" si="353"/>
        <v>0</v>
      </c>
      <c r="BM361" s="257"/>
      <c r="BN361" s="163"/>
      <c r="BO361" s="211" t="str">
        <f t="shared" si="354"/>
        <v>דוקאביב - העמותה לקידום הסרט הדוקומסינמטקים ופסטיבלים</v>
      </c>
      <c r="BP361" s="125">
        <f t="shared" si="355"/>
        <v>1</v>
      </c>
      <c r="BQ361" s="164">
        <v>0</v>
      </c>
      <c r="BR361" s="164">
        <v>1</v>
      </c>
      <c r="BS361" s="149">
        <f t="shared" si="356"/>
        <v>1</v>
      </c>
      <c r="BT361" s="149">
        <f t="shared" si="357"/>
        <v>1</v>
      </c>
      <c r="BU361" s="149">
        <f t="shared" si="358"/>
        <v>1</v>
      </c>
      <c r="BV361" s="149">
        <f t="shared" si="359"/>
        <v>1</v>
      </c>
      <c r="BW361" s="149">
        <f t="shared" si="360"/>
        <v>1</v>
      </c>
      <c r="BX361" s="149">
        <f t="shared" si="361"/>
        <v>1</v>
      </c>
      <c r="BY361" s="149">
        <f t="shared" si="362"/>
        <v>1</v>
      </c>
      <c r="BZ361" s="149">
        <f t="shared" si="363"/>
        <v>1</v>
      </c>
      <c r="CA361" s="149">
        <f t="shared" si="364"/>
        <v>1</v>
      </c>
      <c r="CB361" s="149">
        <f t="shared" si="365"/>
        <v>1</v>
      </c>
      <c r="CC361" s="149">
        <f t="shared" si="366"/>
        <v>1</v>
      </c>
      <c r="CD361" s="149">
        <f t="shared" si="367"/>
        <v>1</v>
      </c>
      <c r="CE361" s="149">
        <f t="shared" si="368"/>
        <v>1</v>
      </c>
      <c r="CF361" s="149">
        <f t="shared" si="369"/>
        <v>1</v>
      </c>
      <c r="CG361" s="149">
        <f t="shared" si="370"/>
        <v>1</v>
      </c>
      <c r="CH361" s="149">
        <f t="shared" si="371"/>
        <v>1</v>
      </c>
      <c r="CI361" s="149">
        <f t="shared" si="372"/>
        <v>1</v>
      </c>
      <c r="CJ361" s="149">
        <f t="shared" si="373"/>
        <v>1</v>
      </c>
      <c r="CK361" s="149">
        <f t="shared" si="374"/>
        <v>1</v>
      </c>
      <c r="CL361" s="149">
        <f t="shared" si="375"/>
        <v>1</v>
      </c>
      <c r="CM361" s="149">
        <f t="shared" si="376"/>
        <v>1</v>
      </c>
      <c r="CN361" s="149">
        <f t="shared" si="377"/>
        <v>1</v>
      </c>
      <c r="CO361" s="149">
        <f t="shared" si="378"/>
        <v>1</v>
      </c>
      <c r="CP361" s="149">
        <f t="shared" si="379"/>
        <v>1</v>
      </c>
      <c r="CQ361" s="149">
        <f t="shared" si="380"/>
        <v>1</v>
      </c>
      <c r="CR361" s="149">
        <f t="shared" si="381"/>
        <v>1</v>
      </c>
      <c r="CS361" s="149">
        <f t="shared" si="382"/>
        <v>1</v>
      </c>
      <c r="CT361" s="149">
        <f t="shared" si="383"/>
        <v>1</v>
      </c>
      <c r="CU361" s="149">
        <f t="shared" si="384"/>
        <v>1</v>
      </c>
      <c r="CV361" s="149">
        <f t="shared" si="385"/>
        <v>1</v>
      </c>
      <c r="CW361" s="149">
        <f t="shared" si="386"/>
        <v>1</v>
      </c>
      <c r="CX361" s="149">
        <f t="shared" si="387"/>
        <v>1</v>
      </c>
      <c r="CY361" s="149">
        <f t="shared" si="388"/>
        <v>1</v>
      </c>
      <c r="CZ361" s="149">
        <f t="shared" si="389"/>
        <v>1</v>
      </c>
      <c r="DA361" s="149">
        <f t="shared" si="390"/>
        <v>1</v>
      </c>
      <c r="DB361" s="149">
        <f t="shared" si="391"/>
        <v>1</v>
      </c>
      <c r="DG361" s="125">
        <f t="shared" si="296"/>
        <v>1</v>
      </c>
      <c r="DH361" s="125">
        <f t="shared" si="402"/>
        <v>2</v>
      </c>
      <c r="DI361" s="125">
        <f t="shared" si="402"/>
        <v>3</v>
      </c>
      <c r="DJ361" s="125">
        <f t="shared" si="402"/>
        <v>4</v>
      </c>
      <c r="DK361" s="125">
        <f t="shared" si="402"/>
        <v>5</v>
      </c>
      <c r="DL361" s="125">
        <f t="shared" si="402"/>
        <v>6</v>
      </c>
      <c r="DM361" s="125">
        <f t="shared" si="402"/>
        <v>7</v>
      </c>
      <c r="DN361" s="125">
        <f t="shared" si="402"/>
        <v>8</v>
      </c>
      <c r="DO361" s="125">
        <f t="shared" si="402"/>
        <v>9</v>
      </c>
      <c r="DP361" s="125">
        <f t="shared" si="402"/>
        <v>10</v>
      </c>
      <c r="DS361" s="137"/>
      <c r="DT361" s="137"/>
      <c r="DU361" s="137"/>
      <c r="DV361" s="137" t="b">
        <f t="shared" si="392"/>
        <v>0</v>
      </c>
      <c r="DW361" s="137" t="b">
        <f t="shared" si="393"/>
        <v>0</v>
      </c>
      <c r="DX361" s="137" t="b">
        <f t="shared" si="394"/>
        <v>1</v>
      </c>
      <c r="EB361" s="131">
        <f t="shared" si="395"/>
        <v>1</v>
      </c>
      <c r="EC361" s="137" t="b">
        <f t="shared" si="396"/>
        <v>0</v>
      </c>
      <c r="ED361" s="137" t="b">
        <f t="shared" si="397"/>
        <v>0</v>
      </c>
      <c r="EE361" s="137" t="b">
        <f t="shared" si="398"/>
        <v>1</v>
      </c>
      <c r="EF361" s="137"/>
      <c r="EG361" s="137"/>
      <c r="EH361" s="137"/>
      <c r="EI361" s="137"/>
      <c r="EJ361" s="137">
        <f t="shared" si="399"/>
        <v>1</v>
      </c>
      <c r="EK361" s="125">
        <f t="shared" si="400"/>
        <v>0</v>
      </c>
      <c r="EL361" s="125">
        <f t="shared" si="401"/>
        <v>0</v>
      </c>
    </row>
    <row r="362" spans="2:142" ht="15.75" x14ac:dyDescent="0.2">
      <c r="B362" s="160">
        <f t="shared" si="351"/>
        <v>332</v>
      </c>
      <c r="C362" s="292">
        <v>1001346979</v>
      </c>
      <c r="D362" s="290">
        <v>1001273202</v>
      </c>
      <c r="E362" s="292">
        <v>40000237</v>
      </c>
      <c r="F362" s="118">
        <f>IF(OR(J362="",H362=""),"",VLOOKUP(J362,'הזנה לסיווג רשויות'!$B$2:$D$301,2,0))</f>
        <v>20000248</v>
      </c>
      <c r="G362" s="118" t="str">
        <f>IF(OR(J362="",H362=""),"",VLOOKUP(J362,'הזנה לסיווג רשויות'!$B$2:$D$301,3,0))</f>
        <v>רחובות</v>
      </c>
      <c r="H362" s="295" t="s">
        <v>742</v>
      </c>
      <c r="I362" s="201" t="s">
        <v>382</v>
      </c>
      <c r="J362" s="87">
        <v>8400</v>
      </c>
      <c r="K362" s="161">
        <v>0</v>
      </c>
      <c r="L362" s="161">
        <v>1</v>
      </c>
      <c r="M362" s="161">
        <v>0</v>
      </c>
      <c r="N362" s="161">
        <v>0</v>
      </c>
      <c r="O362" s="161">
        <v>1</v>
      </c>
      <c r="P362" s="161">
        <v>1</v>
      </c>
      <c r="Q362" s="161">
        <v>1</v>
      </c>
      <c r="R362" s="201">
        <v>23690638</v>
      </c>
      <c r="S362" s="201">
        <v>8603966</v>
      </c>
      <c r="T362" s="160">
        <f>IF(G362="","",IFERROR(IF(S362/R362&gt;'פרמטרים לקריטריונים'!$C$20,1,0),0))</f>
        <v>1</v>
      </c>
      <c r="U362" s="297">
        <v>8503716</v>
      </c>
      <c r="V362" s="160">
        <f>IF(G362="","",IFERROR(IF(U362/R362&gt;'פרמטרים לקריטריונים'!$C$21,1,IF(AND(I362=$BW$5,U362/R362&gt;'פרמטרים לקריטריונים'!$C$22),1,0)),0))</f>
        <v>1</v>
      </c>
      <c r="W362" s="161">
        <v>1</v>
      </c>
      <c r="X362" s="161">
        <v>1</v>
      </c>
      <c r="Y362" s="301">
        <v>3000000</v>
      </c>
      <c r="Z362" s="302">
        <v>1</v>
      </c>
      <c r="AA362" s="161">
        <f t="shared" si="403"/>
        <v>1</v>
      </c>
      <c r="AB362" s="161"/>
      <c r="AC362" s="161"/>
      <c r="AD362" s="161"/>
      <c r="AE362" s="161"/>
      <c r="AF362" s="161"/>
      <c r="AG362" s="161"/>
      <c r="AH362" s="161"/>
      <c r="AI362" s="161"/>
      <c r="AJ362" s="161"/>
      <c r="AK362" s="161"/>
      <c r="AL362" s="161"/>
      <c r="AM362" s="161"/>
      <c r="AN362" s="161"/>
      <c r="AO362" s="161"/>
      <c r="AP362" s="161"/>
      <c r="AQ362" s="161"/>
      <c r="AR362" s="161"/>
      <c r="AS362" s="161"/>
      <c r="AT362" s="161"/>
      <c r="AU362" s="161"/>
      <c r="AV362" s="161"/>
      <c r="AW362" s="160"/>
      <c r="AX362" s="161"/>
      <c r="AY362" s="161"/>
      <c r="AZ362" s="161"/>
      <c r="BA362" s="161"/>
      <c r="BB362" s="161"/>
      <c r="BC362" s="161"/>
      <c r="BD362" s="161"/>
      <c r="BE362" s="161"/>
      <c r="BF362" s="160" t="str">
        <f t="shared" si="352"/>
        <v/>
      </c>
      <c r="BG362" s="160"/>
      <c r="BH362" s="160"/>
      <c r="BI362" s="160"/>
      <c r="BJ362" s="160"/>
      <c r="BK362" s="160"/>
      <c r="BL362" s="162">
        <f t="shared" si="353"/>
        <v>1</v>
      </c>
      <c r="BM362" s="257"/>
      <c r="BN362" s="163"/>
      <c r="BO362" s="211" t="str">
        <f t="shared" si="354"/>
        <v>מועצה לשימור אתרי מורשת בישראל (ע"רמועצה לשימור אתרים</v>
      </c>
      <c r="BP362" s="125">
        <f t="shared" si="355"/>
        <v>1</v>
      </c>
      <c r="BQ362" s="164">
        <v>0</v>
      </c>
      <c r="BR362" s="164">
        <v>1</v>
      </c>
      <c r="BS362" s="149">
        <f t="shared" si="356"/>
        <v>1</v>
      </c>
      <c r="BT362" s="149">
        <f t="shared" si="357"/>
        <v>1</v>
      </c>
      <c r="BU362" s="149">
        <f t="shared" si="358"/>
        <v>1</v>
      </c>
      <c r="BV362" s="149">
        <f t="shared" si="359"/>
        <v>1</v>
      </c>
      <c r="BW362" s="149">
        <f t="shared" si="360"/>
        <v>1</v>
      </c>
      <c r="BX362" s="149">
        <f t="shared" si="361"/>
        <v>1</v>
      </c>
      <c r="BY362" s="149">
        <f t="shared" si="362"/>
        <v>1</v>
      </c>
      <c r="BZ362" s="149">
        <f t="shared" si="363"/>
        <v>1</v>
      </c>
      <c r="CA362" s="149">
        <f t="shared" si="364"/>
        <v>1</v>
      </c>
      <c r="CB362" s="149">
        <f t="shared" si="365"/>
        <v>1</v>
      </c>
      <c r="CC362" s="149">
        <f t="shared" si="366"/>
        <v>1</v>
      </c>
      <c r="CD362" s="149">
        <f t="shared" si="367"/>
        <v>1</v>
      </c>
      <c r="CE362" s="149">
        <f t="shared" si="368"/>
        <v>1</v>
      </c>
      <c r="CF362" s="149">
        <f t="shared" si="369"/>
        <v>1</v>
      </c>
      <c r="CG362" s="149">
        <f t="shared" si="370"/>
        <v>1</v>
      </c>
      <c r="CH362" s="149">
        <f t="shared" si="371"/>
        <v>1</v>
      </c>
      <c r="CI362" s="149">
        <f t="shared" si="372"/>
        <v>1</v>
      </c>
      <c r="CJ362" s="149">
        <f t="shared" si="373"/>
        <v>1</v>
      </c>
      <c r="CK362" s="149">
        <f t="shared" si="374"/>
        <v>1</v>
      </c>
      <c r="CL362" s="149">
        <f t="shared" si="375"/>
        <v>1</v>
      </c>
      <c r="CM362" s="149">
        <f t="shared" si="376"/>
        <v>1</v>
      </c>
      <c r="CN362" s="149">
        <f t="shared" si="377"/>
        <v>1</v>
      </c>
      <c r="CO362" s="149">
        <f t="shared" si="378"/>
        <v>1</v>
      </c>
      <c r="CP362" s="149">
        <f t="shared" si="379"/>
        <v>1</v>
      </c>
      <c r="CQ362" s="149">
        <f t="shared" si="380"/>
        <v>1</v>
      </c>
      <c r="CR362" s="149">
        <f t="shared" si="381"/>
        <v>1</v>
      </c>
      <c r="CS362" s="149">
        <f t="shared" si="382"/>
        <v>1</v>
      </c>
      <c r="CT362" s="149">
        <f t="shared" si="383"/>
        <v>1</v>
      </c>
      <c r="CU362" s="149">
        <f t="shared" si="384"/>
        <v>1</v>
      </c>
      <c r="CV362" s="149">
        <f t="shared" si="385"/>
        <v>1</v>
      </c>
      <c r="CW362" s="149">
        <f t="shared" si="386"/>
        <v>1</v>
      </c>
      <c r="CX362" s="149">
        <f t="shared" si="387"/>
        <v>1</v>
      </c>
      <c r="CY362" s="149">
        <f t="shared" si="388"/>
        <v>1</v>
      </c>
      <c r="CZ362" s="149">
        <f t="shared" si="389"/>
        <v>1</v>
      </c>
      <c r="DA362" s="149">
        <f t="shared" si="390"/>
        <v>1</v>
      </c>
      <c r="DB362" s="149">
        <f t="shared" si="391"/>
        <v>1</v>
      </c>
      <c r="DG362" s="125">
        <f t="shared" si="296"/>
        <v>1</v>
      </c>
      <c r="DH362" s="125">
        <f t="shared" si="402"/>
        <v>2</v>
      </c>
      <c r="DI362" s="125">
        <f t="shared" si="402"/>
        <v>3</v>
      </c>
      <c r="DJ362" s="125">
        <f t="shared" si="402"/>
        <v>4</v>
      </c>
      <c r="DK362" s="125">
        <f t="shared" si="402"/>
        <v>5</v>
      </c>
      <c r="DL362" s="125">
        <f t="shared" si="402"/>
        <v>6</v>
      </c>
      <c r="DM362" s="125">
        <f t="shared" si="402"/>
        <v>7</v>
      </c>
      <c r="DN362" s="125">
        <f t="shared" si="402"/>
        <v>8</v>
      </c>
      <c r="DO362" s="125">
        <f t="shared" si="402"/>
        <v>9</v>
      </c>
      <c r="DP362" s="125">
        <f t="shared" si="402"/>
        <v>10</v>
      </c>
      <c r="DS362" s="137"/>
      <c r="DT362" s="137"/>
      <c r="DU362" s="137"/>
      <c r="DV362" s="137" t="b">
        <f t="shared" si="392"/>
        <v>0</v>
      </c>
      <c r="DW362" s="137" t="b">
        <f t="shared" si="393"/>
        <v>0</v>
      </c>
      <c r="DX362" s="137" t="b">
        <f t="shared" si="394"/>
        <v>1</v>
      </c>
      <c r="EB362" s="131">
        <f t="shared" si="395"/>
        <v>1</v>
      </c>
      <c r="EC362" s="137" t="b">
        <f t="shared" si="396"/>
        <v>0</v>
      </c>
      <c r="ED362" s="137" t="b">
        <f t="shared" si="397"/>
        <v>0</v>
      </c>
      <c r="EE362" s="137" t="b">
        <f t="shared" si="398"/>
        <v>1</v>
      </c>
      <c r="EF362" s="137"/>
      <c r="EG362" s="137"/>
      <c r="EH362" s="137"/>
      <c r="EI362" s="137"/>
      <c r="EJ362" s="137">
        <f t="shared" si="399"/>
        <v>1</v>
      </c>
      <c r="EK362" s="125">
        <f t="shared" si="400"/>
        <v>0</v>
      </c>
      <c r="EL362" s="125">
        <f t="shared" si="401"/>
        <v>0</v>
      </c>
    </row>
    <row r="363" spans="2:142" ht="15.75" x14ac:dyDescent="0.2">
      <c r="B363" s="160">
        <f t="shared" si="351"/>
        <v>333</v>
      </c>
      <c r="C363" s="290">
        <v>1001348103</v>
      </c>
      <c r="D363" s="290">
        <v>1001263126</v>
      </c>
      <c r="E363" s="290">
        <v>40000242</v>
      </c>
      <c r="F363" s="118">
        <f>IF(OR(J363="",H363=""),"",VLOOKUP(J363,'הזנה לסיווג רשויות'!$B$2:$D$301,2,0))</f>
        <v>20000159</v>
      </c>
      <c r="G363" s="118" t="str">
        <f>IF(OR(J363="",H363=""),"",VLOOKUP(J363,'הזנה לסיווג רשויות'!$B$2:$D$301,3,0))</f>
        <v>ירושלים</v>
      </c>
      <c r="H363" s="293" t="s">
        <v>743</v>
      </c>
      <c r="I363" s="201" t="s">
        <v>373</v>
      </c>
      <c r="J363" s="294">
        <v>3000</v>
      </c>
      <c r="K363" s="161">
        <v>0</v>
      </c>
      <c r="L363" s="161">
        <v>1</v>
      </c>
      <c r="M363" s="161">
        <v>0</v>
      </c>
      <c r="N363" s="161">
        <v>1</v>
      </c>
      <c r="O363" s="161">
        <v>0</v>
      </c>
      <c r="P363" s="161">
        <v>1</v>
      </c>
      <c r="Q363" s="161">
        <v>1</v>
      </c>
      <c r="R363" s="201">
        <v>2390646</v>
      </c>
      <c r="S363" s="201">
        <v>941707</v>
      </c>
      <c r="T363" s="160">
        <f>IF(G363="","",IFERROR(IF(S363/R363&gt;'פרמטרים לקריטריונים'!$C$20,1,0),0))</f>
        <v>1</v>
      </c>
      <c r="U363" s="296">
        <v>817707</v>
      </c>
      <c r="V363" s="160">
        <f>IF(G363="","",IFERROR(IF(U363/R363&gt;'פרמטרים לקריטריונים'!$C$21,1,IF(AND(I363=$BW$5,U363/R363&gt;'פרמטרים לקריטריונים'!$C$22),1,0)),0))</f>
        <v>1</v>
      </c>
      <c r="W363" s="161">
        <v>1</v>
      </c>
      <c r="X363" s="161">
        <v>1</v>
      </c>
      <c r="Y363" s="299">
        <v>800000</v>
      </c>
      <c r="Z363" s="300">
        <v>20000</v>
      </c>
      <c r="AA363" s="161">
        <f t="shared" si="403"/>
        <v>1</v>
      </c>
      <c r="AB363" s="161"/>
      <c r="AC363" s="161"/>
      <c r="AD363" s="161"/>
      <c r="AE363" s="161"/>
      <c r="AF363" s="161"/>
      <c r="AG363" s="161"/>
      <c r="AH363" s="161"/>
      <c r="AI363" s="161"/>
      <c r="AJ363" s="161"/>
      <c r="AK363" s="161"/>
      <c r="AL363" s="161"/>
      <c r="AM363" s="161"/>
      <c r="AN363" s="161"/>
      <c r="AO363" s="161"/>
      <c r="AP363" s="161"/>
      <c r="AQ363" s="161"/>
      <c r="AR363" s="161"/>
      <c r="AS363" s="161"/>
      <c r="AT363" s="161"/>
      <c r="AU363" s="161"/>
      <c r="AV363" s="161"/>
      <c r="AW363" s="160"/>
      <c r="AX363" s="161"/>
      <c r="AY363" s="161"/>
      <c r="AZ363" s="161"/>
      <c r="BA363" s="161"/>
      <c r="BB363" s="161"/>
      <c r="BC363" s="161"/>
      <c r="BD363" s="161"/>
      <c r="BE363" s="161"/>
      <c r="BF363" s="160" t="str">
        <f t="shared" si="352"/>
        <v/>
      </c>
      <c r="BG363" s="160"/>
      <c r="BH363" s="160"/>
      <c r="BI363" s="160"/>
      <c r="BJ363" s="160"/>
      <c r="BK363" s="160"/>
      <c r="BL363" s="162">
        <f t="shared" si="353"/>
        <v>1</v>
      </c>
      <c r="BM363" s="257"/>
      <c r="BN363" s="163"/>
      <c r="BO363" s="211" t="str">
        <f t="shared" si="354"/>
        <v>הזירה הבין-תחומית (ע"ר)תיאטרון</v>
      </c>
      <c r="BP363" s="125">
        <f t="shared" si="355"/>
        <v>1</v>
      </c>
      <c r="BQ363" s="164">
        <v>0</v>
      </c>
      <c r="BR363" s="164">
        <v>1</v>
      </c>
      <c r="BS363" s="149">
        <f t="shared" si="356"/>
        <v>1</v>
      </c>
      <c r="BT363" s="149">
        <f t="shared" si="357"/>
        <v>1</v>
      </c>
      <c r="BU363" s="149">
        <f t="shared" si="358"/>
        <v>1</v>
      </c>
      <c r="BV363" s="149">
        <f t="shared" si="359"/>
        <v>1</v>
      </c>
      <c r="BW363" s="149">
        <f t="shared" si="360"/>
        <v>1</v>
      </c>
      <c r="BX363" s="149">
        <f t="shared" si="361"/>
        <v>1</v>
      </c>
      <c r="BY363" s="149">
        <f t="shared" si="362"/>
        <v>1</v>
      </c>
      <c r="BZ363" s="149">
        <f t="shared" si="363"/>
        <v>1</v>
      </c>
      <c r="CA363" s="149">
        <f t="shared" si="364"/>
        <v>1</v>
      </c>
      <c r="CB363" s="149">
        <f t="shared" si="365"/>
        <v>1</v>
      </c>
      <c r="CC363" s="149">
        <f t="shared" si="366"/>
        <v>1</v>
      </c>
      <c r="CD363" s="149">
        <f t="shared" si="367"/>
        <v>1</v>
      </c>
      <c r="CE363" s="149">
        <f t="shared" si="368"/>
        <v>1</v>
      </c>
      <c r="CF363" s="149">
        <f t="shared" si="369"/>
        <v>1</v>
      </c>
      <c r="CG363" s="149">
        <f t="shared" si="370"/>
        <v>1</v>
      </c>
      <c r="CH363" s="149">
        <f t="shared" si="371"/>
        <v>1</v>
      </c>
      <c r="CI363" s="149">
        <f t="shared" si="372"/>
        <v>1</v>
      </c>
      <c r="CJ363" s="149">
        <f t="shared" si="373"/>
        <v>1</v>
      </c>
      <c r="CK363" s="149">
        <f t="shared" si="374"/>
        <v>1</v>
      </c>
      <c r="CL363" s="149">
        <f t="shared" si="375"/>
        <v>1</v>
      </c>
      <c r="CM363" s="149">
        <f t="shared" si="376"/>
        <v>1</v>
      </c>
      <c r="CN363" s="149">
        <f t="shared" si="377"/>
        <v>1</v>
      </c>
      <c r="CO363" s="149">
        <f t="shared" si="378"/>
        <v>1</v>
      </c>
      <c r="CP363" s="149">
        <f t="shared" si="379"/>
        <v>1</v>
      </c>
      <c r="CQ363" s="149">
        <f t="shared" si="380"/>
        <v>1</v>
      </c>
      <c r="CR363" s="149">
        <f t="shared" si="381"/>
        <v>1</v>
      </c>
      <c r="CS363" s="149">
        <f t="shared" si="382"/>
        <v>1</v>
      </c>
      <c r="CT363" s="149">
        <f t="shared" si="383"/>
        <v>1</v>
      </c>
      <c r="CU363" s="149">
        <f t="shared" si="384"/>
        <v>1</v>
      </c>
      <c r="CV363" s="149">
        <f t="shared" si="385"/>
        <v>1</v>
      </c>
      <c r="CW363" s="149">
        <f t="shared" si="386"/>
        <v>1</v>
      </c>
      <c r="CX363" s="149">
        <f t="shared" si="387"/>
        <v>1</v>
      </c>
      <c r="CY363" s="149">
        <f t="shared" si="388"/>
        <v>1</v>
      </c>
      <c r="CZ363" s="149">
        <f t="shared" si="389"/>
        <v>1</v>
      </c>
      <c r="DA363" s="149">
        <f t="shared" si="390"/>
        <v>1</v>
      </c>
      <c r="DB363" s="149">
        <f t="shared" si="391"/>
        <v>1</v>
      </c>
      <c r="DG363" s="125">
        <f t="shared" si="296"/>
        <v>1</v>
      </c>
      <c r="DH363" s="125">
        <f t="shared" si="402"/>
        <v>2</v>
      </c>
      <c r="DI363" s="125">
        <f t="shared" si="402"/>
        <v>3</v>
      </c>
      <c r="DJ363" s="125">
        <f t="shared" si="402"/>
        <v>4</v>
      </c>
      <c r="DK363" s="125">
        <f t="shared" si="402"/>
        <v>5</v>
      </c>
      <c r="DL363" s="125">
        <f t="shared" si="402"/>
        <v>6</v>
      </c>
      <c r="DM363" s="125">
        <f t="shared" si="402"/>
        <v>7</v>
      </c>
      <c r="DN363" s="125">
        <f t="shared" si="402"/>
        <v>8</v>
      </c>
      <c r="DO363" s="125">
        <f t="shared" si="402"/>
        <v>9</v>
      </c>
      <c r="DP363" s="125">
        <f t="shared" si="402"/>
        <v>10</v>
      </c>
      <c r="DS363" s="137"/>
      <c r="DT363" s="137"/>
      <c r="DU363" s="137"/>
      <c r="DV363" s="137" t="b">
        <f t="shared" si="392"/>
        <v>0</v>
      </c>
      <c r="DW363" s="137" t="b">
        <f t="shared" si="393"/>
        <v>0</v>
      </c>
      <c r="DX363" s="137" t="b">
        <f t="shared" si="394"/>
        <v>1</v>
      </c>
      <c r="EB363" s="131">
        <f t="shared" si="395"/>
        <v>1</v>
      </c>
      <c r="EC363" s="137" t="b">
        <f t="shared" si="396"/>
        <v>0</v>
      </c>
      <c r="ED363" s="137" t="b">
        <f t="shared" si="397"/>
        <v>0</v>
      </c>
      <c r="EE363" s="137" t="b">
        <f t="shared" si="398"/>
        <v>1</v>
      </c>
      <c r="EF363" s="137"/>
      <c r="EG363" s="137"/>
      <c r="EH363" s="137"/>
      <c r="EI363" s="137"/>
      <c r="EJ363" s="137">
        <f t="shared" si="399"/>
        <v>1</v>
      </c>
      <c r="EK363" s="125">
        <f t="shared" si="400"/>
        <v>0</v>
      </c>
      <c r="EL363" s="125">
        <f t="shared" si="401"/>
        <v>0</v>
      </c>
    </row>
    <row r="364" spans="2:142" ht="15.75" x14ac:dyDescent="0.2">
      <c r="B364" s="160">
        <f t="shared" si="351"/>
        <v>334</v>
      </c>
      <c r="C364" s="290">
        <v>1001348542</v>
      </c>
      <c r="D364" s="290">
        <v>1001268714</v>
      </c>
      <c r="E364" s="290">
        <v>40000242</v>
      </c>
      <c r="F364" s="118">
        <f>IF(OR(J364="",H364=""),"",VLOOKUP(J364,'הזנה לסיווג רשויות'!$B$2:$D$301,2,0))</f>
        <v>20000159</v>
      </c>
      <c r="G364" s="118" t="str">
        <f>IF(OR(J364="",H364=""),"",VLOOKUP(J364,'הזנה לסיווג רשויות'!$B$2:$D$301,3,0))</f>
        <v>ירושלים</v>
      </c>
      <c r="H364" s="293" t="s">
        <v>743</v>
      </c>
      <c r="I364" s="201" t="s">
        <v>564</v>
      </c>
      <c r="J364" s="294">
        <v>3000</v>
      </c>
      <c r="K364" s="161">
        <v>0</v>
      </c>
      <c r="L364" s="161">
        <v>1</v>
      </c>
      <c r="M364" s="161">
        <v>0</v>
      </c>
      <c r="N364" s="161">
        <v>1</v>
      </c>
      <c r="O364" s="161">
        <v>0</v>
      </c>
      <c r="P364" s="161">
        <v>1</v>
      </c>
      <c r="Q364" s="161">
        <v>1</v>
      </c>
      <c r="R364" s="201">
        <v>72379</v>
      </c>
      <c r="S364" s="201">
        <v>22000</v>
      </c>
      <c r="T364" s="160">
        <f>IF(G364="","",IFERROR(IF(S364/R364&gt;'פרמטרים לקריטריונים'!$C$20,1,0),0))</f>
        <v>1</v>
      </c>
      <c r="U364" s="296">
        <v>22000</v>
      </c>
      <c r="V364" s="160">
        <f>IF(G364="","",IFERROR(IF(U364/R364&gt;'פרמטרים לקריטריונים'!$C$21,1,IF(AND(I364=$BW$5,U364/R364&gt;'פרמטרים לקריטריונים'!$C$22),1,0)),0))</f>
        <v>1</v>
      </c>
      <c r="W364" s="161">
        <v>1</v>
      </c>
      <c r="X364" s="161">
        <v>1</v>
      </c>
      <c r="Y364" s="299">
        <v>50000</v>
      </c>
      <c r="Z364" s="300">
        <v>10000</v>
      </c>
      <c r="AA364" s="161">
        <f t="shared" si="403"/>
        <v>1</v>
      </c>
      <c r="AB364" s="161"/>
      <c r="AC364" s="161"/>
      <c r="AD364" s="161"/>
      <c r="AE364" s="161"/>
      <c r="AF364" s="161"/>
      <c r="AG364" s="161"/>
      <c r="AH364" s="161"/>
      <c r="AI364" s="161"/>
      <c r="AJ364" s="161"/>
      <c r="AK364" s="161"/>
      <c r="AL364" s="161"/>
      <c r="AM364" s="161"/>
      <c r="AN364" s="161"/>
      <c r="AO364" s="161"/>
      <c r="AP364" s="161"/>
      <c r="AQ364" s="161"/>
      <c r="AR364" s="161"/>
      <c r="AS364" s="161"/>
      <c r="AT364" s="161"/>
      <c r="AU364" s="161"/>
      <c r="AV364" s="161"/>
      <c r="AW364" s="160"/>
      <c r="AX364" s="161"/>
      <c r="AY364" s="161"/>
      <c r="AZ364" s="161"/>
      <c r="BA364" s="161"/>
      <c r="BB364" s="161"/>
      <c r="BC364" s="161"/>
      <c r="BD364" s="161"/>
      <c r="BE364" s="161"/>
      <c r="BF364" s="160" t="str">
        <f t="shared" si="352"/>
        <v/>
      </c>
      <c r="BG364" s="160"/>
      <c r="BH364" s="160"/>
      <c r="BI364" s="160"/>
      <c r="BJ364" s="160"/>
      <c r="BK364" s="160"/>
      <c r="BL364" s="162">
        <f t="shared" si="353"/>
        <v>1</v>
      </c>
      <c r="BM364" s="257" t="s">
        <v>774</v>
      </c>
      <c r="BN364" s="163"/>
      <c r="BO364" s="211" t="str">
        <f t="shared" si="354"/>
        <v>הזירה הבין-תחומית (ע"ר)אחר</v>
      </c>
      <c r="BP364" s="125">
        <f t="shared" si="355"/>
        <v>1</v>
      </c>
      <c r="BQ364" s="164">
        <v>0</v>
      </c>
      <c r="BR364" s="164">
        <v>1</v>
      </c>
      <c r="BS364" s="149">
        <f t="shared" si="356"/>
        <v>1</v>
      </c>
      <c r="BT364" s="149">
        <f t="shared" si="357"/>
        <v>1</v>
      </c>
      <c r="BU364" s="149">
        <f t="shared" si="358"/>
        <v>1</v>
      </c>
      <c r="BV364" s="149">
        <f t="shared" si="359"/>
        <v>1</v>
      </c>
      <c r="BW364" s="149">
        <f t="shared" si="360"/>
        <v>1</v>
      </c>
      <c r="BX364" s="149">
        <f t="shared" si="361"/>
        <v>1</v>
      </c>
      <c r="BY364" s="149">
        <f t="shared" si="362"/>
        <v>1</v>
      </c>
      <c r="BZ364" s="149">
        <f t="shared" si="363"/>
        <v>1</v>
      </c>
      <c r="CA364" s="149">
        <f t="shared" si="364"/>
        <v>1</v>
      </c>
      <c r="CB364" s="149">
        <f t="shared" si="365"/>
        <v>1</v>
      </c>
      <c r="CC364" s="149">
        <f t="shared" si="366"/>
        <v>1</v>
      </c>
      <c r="CD364" s="149">
        <f t="shared" si="367"/>
        <v>1</v>
      </c>
      <c r="CE364" s="149">
        <f t="shared" si="368"/>
        <v>1</v>
      </c>
      <c r="CF364" s="149">
        <f t="shared" si="369"/>
        <v>1</v>
      </c>
      <c r="CG364" s="149">
        <f t="shared" si="370"/>
        <v>1</v>
      </c>
      <c r="CH364" s="149">
        <f t="shared" si="371"/>
        <v>1</v>
      </c>
      <c r="CI364" s="149">
        <f t="shared" si="372"/>
        <v>1</v>
      </c>
      <c r="CJ364" s="149">
        <f t="shared" si="373"/>
        <v>1</v>
      </c>
      <c r="CK364" s="149">
        <f t="shared" si="374"/>
        <v>1</v>
      </c>
      <c r="CL364" s="149">
        <f t="shared" si="375"/>
        <v>1</v>
      </c>
      <c r="CM364" s="149">
        <f t="shared" si="376"/>
        <v>1</v>
      </c>
      <c r="CN364" s="149">
        <f t="shared" si="377"/>
        <v>1</v>
      </c>
      <c r="CO364" s="149">
        <f t="shared" si="378"/>
        <v>1</v>
      </c>
      <c r="CP364" s="149">
        <f t="shared" si="379"/>
        <v>1</v>
      </c>
      <c r="CQ364" s="149">
        <f t="shared" si="380"/>
        <v>1</v>
      </c>
      <c r="CR364" s="149">
        <f t="shared" si="381"/>
        <v>1</v>
      </c>
      <c r="CS364" s="149">
        <f t="shared" si="382"/>
        <v>1</v>
      </c>
      <c r="CT364" s="149">
        <f t="shared" si="383"/>
        <v>1</v>
      </c>
      <c r="CU364" s="149">
        <f t="shared" si="384"/>
        <v>1</v>
      </c>
      <c r="CV364" s="149">
        <f t="shared" si="385"/>
        <v>1</v>
      </c>
      <c r="CW364" s="149">
        <f t="shared" si="386"/>
        <v>1</v>
      </c>
      <c r="CX364" s="149">
        <f t="shared" si="387"/>
        <v>1</v>
      </c>
      <c r="CY364" s="149">
        <f t="shared" si="388"/>
        <v>1</v>
      </c>
      <c r="CZ364" s="149">
        <f t="shared" si="389"/>
        <v>1</v>
      </c>
      <c r="DA364" s="149">
        <f t="shared" si="390"/>
        <v>1</v>
      </c>
      <c r="DB364" s="149">
        <f t="shared" si="391"/>
        <v>1</v>
      </c>
      <c r="DG364" s="125">
        <f t="shared" si="296"/>
        <v>1</v>
      </c>
      <c r="DH364" s="125">
        <f t="shared" si="402"/>
        <v>2</v>
      </c>
      <c r="DI364" s="125">
        <f t="shared" si="402"/>
        <v>3</v>
      </c>
      <c r="DJ364" s="125">
        <f t="shared" si="402"/>
        <v>4</v>
      </c>
      <c r="DK364" s="125">
        <f t="shared" si="402"/>
        <v>5</v>
      </c>
      <c r="DL364" s="125">
        <f t="shared" si="402"/>
        <v>6</v>
      </c>
      <c r="DM364" s="125">
        <f t="shared" si="402"/>
        <v>7</v>
      </c>
      <c r="DN364" s="125">
        <f t="shared" si="402"/>
        <v>8</v>
      </c>
      <c r="DO364" s="125">
        <f t="shared" si="402"/>
        <v>9</v>
      </c>
      <c r="DP364" s="125">
        <f t="shared" si="402"/>
        <v>10</v>
      </c>
      <c r="DS364" s="137"/>
      <c r="DT364" s="137"/>
      <c r="DU364" s="137"/>
      <c r="DV364" s="137" t="b">
        <f t="shared" si="392"/>
        <v>0</v>
      </c>
      <c r="DW364" s="137" t="b">
        <f t="shared" si="393"/>
        <v>0</v>
      </c>
      <c r="DX364" s="137" t="b">
        <f t="shared" si="394"/>
        <v>1</v>
      </c>
      <c r="EB364" s="131">
        <f t="shared" si="395"/>
        <v>1</v>
      </c>
      <c r="EC364" s="137" t="b">
        <f t="shared" si="396"/>
        <v>0</v>
      </c>
      <c r="ED364" s="137" t="b">
        <f t="shared" si="397"/>
        <v>0</v>
      </c>
      <c r="EE364" s="137" t="b">
        <f t="shared" si="398"/>
        <v>1</v>
      </c>
      <c r="EF364" s="137"/>
      <c r="EG364" s="137"/>
      <c r="EH364" s="137"/>
      <c r="EI364" s="137"/>
      <c r="EJ364" s="137">
        <f t="shared" si="399"/>
        <v>1</v>
      </c>
      <c r="EK364" s="125">
        <f t="shared" si="400"/>
        <v>0</v>
      </c>
      <c r="EL364" s="125">
        <f t="shared" si="401"/>
        <v>0</v>
      </c>
    </row>
    <row r="365" spans="2:142" ht="15.75" x14ac:dyDescent="0.2">
      <c r="B365" s="160">
        <f t="shared" si="351"/>
        <v>335</v>
      </c>
      <c r="C365" s="292">
        <v>1001349846</v>
      </c>
      <c r="D365" s="290">
        <v>1001271631</v>
      </c>
      <c r="E365" s="292">
        <v>40216086</v>
      </c>
      <c r="F365" s="118">
        <f>IF(OR(J365="",H365=""),"",VLOOKUP(J365,'הזנה לסיווג רשויות'!$B$2:$D$301,2,0))</f>
        <v>20000159</v>
      </c>
      <c r="G365" s="118" t="str">
        <f>IF(OR(J365="",H365=""),"",VLOOKUP(J365,'הזנה לסיווג רשויות'!$B$2:$D$301,3,0))</f>
        <v>ירושלים</v>
      </c>
      <c r="H365" s="295" t="s">
        <v>744</v>
      </c>
      <c r="I365" s="201" t="s">
        <v>393</v>
      </c>
      <c r="J365" s="294">
        <v>3000</v>
      </c>
      <c r="K365" s="161">
        <v>0</v>
      </c>
      <c r="L365" s="161">
        <v>1</v>
      </c>
      <c r="M365" s="161">
        <v>0</v>
      </c>
      <c r="N365" s="161">
        <v>1</v>
      </c>
      <c r="O365" s="161">
        <v>0</v>
      </c>
      <c r="P365" s="161">
        <v>1</v>
      </c>
      <c r="Q365" s="161">
        <v>1</v>
      </c>
      <c r="R365" s="201">
        <v>771880</v>
      </c>
      <c r="S365" s="201">
        <v>483703</v>
      </c>
      <c r="T365" s="160">
        <f>IF(G365="","",IFERROR(IF(S365/R365&gt;'פרמטרים לקריטריונים'!$C$20,1,0),0))</f>
        <v>1</v>
      </c>
      <c r="U365" s="297">
        <v>150653</v>
      </c>
      <c r="V365" s="160">
        <f>IF(G365="","",IFERROR(IF(U365/R365&gt;'פרמטרים לקריטריונים'!$C$21,1,IF(AND(I365=$BW$5,U365/R365&gt;'פרמטרים לקריטריונים'!$C$22),1,0)),0))</f>
        <v>0</v>
      </c>
      <c r="W365" s="161">
        <v>1</v>
      </c>
      <c r="X365" s="161">
        <v>1</v>
      </c>
      <c r="Y365" s="301">
        <v>800000</v>
      </c>
      <c r="Z365" s="302">
        <v>20000</v>
      </c>
      <c r="AA365" s="161">
        <f t="shared" si="403"/>
        <v>1</v>
      </c>
      <c r="AB365" s="161"/>
      <c r="AC365" s="161"/>
      <c r="AD365" s="161"/>
      <c r="AE365" s="161"/>
      <c r="AF365" s="161"/>
      <c r="AG365" s="161"/>
      <c r="AH365" s="161"/>
      <c r="AI365" s="161"/>
      <c r="AJ365" s="161"/>
      <c r="AK365" s="161"/>
      <c r="AL365" s="161"/>
      <c r="AM365" s="161"/>
      <c r="AN365" s="161"/>
      <c r="AO365" s="161"/>
      <c r="AP365" s="161"/>
      <c r="AQ365" s="161"/>
      <c r="AR365" s="161"/>
      <c r="AS365" s="161"/>
      <c r="AT365" s="161"/>
      <c r="AU365" s="161"/>
      <c r="AV365" s="161"/>
      <c r="AW365" s="160"/>
      <c r="AX365" s="161"/>
      <c r="AY365" s="161"/>
      <c r="AZ365" s="161"/>
      <c r="BA365" s="161"/>
      <c r="BB365" s="161"/>
      <c r="BC365" s="161"/>
      <c r="BD365" s="161"/>
      <c r="BE365" s="161"/>
      <c r="BF365" s="160" t="str">
        <f t="shared" si="352"/>
        <v/>
      </c>
      <c r="BG365" s="160"/>
      <c r="BH365" s="160"/>
      <c r="BI365" s="160"/>
      <c r="BJ365" s="160"/>
      <c r="BK365" s="160"/>
      <c r="BL365" s="162">
        <f t="shared" si="353"/>
        <v>0</v>
      </c>
      <c r="BM365" s="257"/>
      <c r="BN365" s="163"/>
      <c r="BO365" s="211" t="str">
        <f t="shared" si="354"/>
        <v>מקהלת אורטוריו ירושלים (ע"ר)תרבות בקהילה</v>
      </c>
      <c r="BP365" s="125">
        <f t="shared" si="355"/>
        <v>1</v>
      </c>
      <c r="BQ365" s="164">
        <v>0</v>
      </c>
      <c r="BR365" s="164">
        <v>1</v>
      </c>
      <c r="BS365" s="149">
        <f t="shared" si="356"/>
        <v>1</v>
      </c>
      <c r="BT365" s="149">
        <f t="shared" si="357"/>
        <v>1</v>
      </c>
      <c r="BU365" s="149">
        <f t="shared" si="358"/>
        <v>1</v>
      </c>
      <c r="BV365" s="149">
        <f t="shared" si="359"/>
        <v>1</v>
      </c>
      <c r="BW365" s="149">
        <f t="shared" si="360"/>
        <v>1</v>
      </c>
      <c r="BX365" s="149">
        <f t="shared" si="361"/>
        <v>1</v>
      </c>
      <c r="BY365" s="149">
        <f t="shared" si="362"/>
        <v>1</v>
      </c>
      <c r="BZ365" s="149">
        <f t="shared" si="363"/>
        <v>1</v>
      </c>
      <c r="CA365" s="149">
        <f t="shared" si="364"/>
        <v>1</v>
      </c>
      <c r="CB365" s="149">
        <f t="shared" si="365"/>
        <v>1</v>
      </c>
      <c r="CC365" s="149">
        <f t="shared" si="366"/>
        <v>1</v>
      </c>
      <c r="CD365" s="149">
        <f t="shared" si="367"/>
        <v>1</v>
      </c>
      <c r="CE365" s="149">
        <f t="shared" si="368"/>
        <v>1</v>
      </c>
      <c r="CF365" s="149">
        <f t="shared" si="369"/>
        <v>1</v>
      </c>
      <c r="CG365" s="149">
        <f t="shared" si="370"/>
        <v>1</v>
      </c>
      <c r="CH365" s="149">
        <f t="shared" si="371"/>
        <v>1</v>
      </c>
      <c r="CI365" s="149">
        <f t="shared" si="372"/>
        <v>1</v>
      </c>
      <c r="CJ365" s="149">
        <f t="shared" si="373"/>
        <v>1</v>
      </c>
      <c r="CK365" s="149">
        <f t="shared" si="374"/>
        <v>1</v>
      </c>
      <c r="CL365" s="149">
        <f t="shared" si="375"/>
        <v>1</v>
      </c>
      <c r="CM365" s="149">
        <f t="shared" si="376"/>
        <v>1</v>
      </c>
      <c r="CN365" s="149">
        <f t="shared" si="377"/>
        <v>1</v>
      </c>
      <c r="CO365" s="149">
        <f t="shared" si="378"/>
        <v>1</v>
      </c>
      <c r="CP365" s="149">
        <f t="shared" si="379"/>
        <v>1</v>
      </c>
      <c r="CQ365" s="149">
        <f t="shared" si="380"/>
        <v>1</v>
      </c>
      <c r="CR365" s="149">
        <f t="shared" si="381"/>
        <v>1</v>
      </c>
      <c r="CS365" s="149">
        <f t="shared" si="382"/>
        <v>1</v>
      </c>
      <c r="CT365" s="149">
        <f t="shared" si="383"/>
        <v>1</v>
      </c>
      <c r="CU365" s="149">
        <f t="shared" si="384"/>
        <v>1</v>
      </c>
      <c r="CV365" s="149">
        <f t="shared" si="385"/>
        <v>1</v>
      </c>
      <c r="CW365" s="149">
        <f t="shared" si="386"/>
        <v>1</v>
      </c>
      <c r="CX365" s="149">
        <f t="shared" si="387"/>
        <v>1</v>
      </c>
      <c r="CY365" s="149">
        <f t="shared" si="388"/>
        <v>1</v>
      </c>
      <c r="CZ365" s="149">
        <f t="shared" si="389"/>
        <v>1</v>
      </c>
      <c r="DA365" s="149">
        <f t="shared" si="390"/>
        <v>1</v>
      </c>
      <c r="DB365" s="149">
        <f t="shared" si="391"/>
        <v>1</v>
      </c>
      <c r="DG365" s="125">
        <f t="shared" si="296"/>
        <v>1</v>
      </c>
      <c r="DH365" s="125">
        <f t="shared" si="402"/>
        <v>2</v>
      </c>
      <c r="DI365" s="125">
        <f t="shared" si="402"/>
        <v>3</v>
      </c>
      <c r="DJ365" s="125">
        <f t="shared" si="402"/>
        <v>4</v>
      </c>
      <c r="DK365" s="125">
        <f t="shared" si="402"/>
        <v>5</v>
      </c>
      <c r="DL365" s="125">
        <f t="shared" si="402"/>
        <v>6</v>
      </c>
      <c r="DM365" s="125">
        <f t="shared" si="402"/>
        <v>7</v>
      </c>
      <c r="DN365" s="125">
        <f t="shared" si="402"/>
        <v>8</v>
      </c>
      <c r="DO365" s="125">
        <f t="shared" si="402"/>
        <v>9</v>
      </c>
      <c r="DP365" s="125">
        <f t="shared" si="402"/>
        <v>10</v>
      </c>
      <c r="DS365" s="137"/>
      <c r="DT365" s="137"/>
      <c r="DU365" s="137"/>
      <c r="DV365" s="137" t="b">
        <f t="shared" si="392"/>
        <v>0</v>
      </c>
      <c r="DW365" s="137" t="b">
        <f t="shared" si="393"/>
        <v>0</v>
      </c>
      <c r="DX365" s="137" t="b">
        <f t="shared" si="394"/>
        <v>1</v>
      </c>
      <c r="EB365" s="131">
        <f t="shared" si="395"/>
        <v>1</v>
      </c>
      <c r="EC365" s="137" t="b">
        <f t="shared" si="396"/>
        <v>0</v>
      </c>
      <c r="ED365" s="137" t="b">
        <f t="shared" si="397"/>
        <v>0</v>
      </c>
      <c r="EE365" s="137" t="b">
        <f t="shared" si="398"/>
        <v>1</v>
      </c>
      <c r="EF365" s="137"/>
      <c r="EG365" s="137"/>
      <c r="EH365" s="137"/>
      <c r="EI365" s="137"/>
      <c r="EJ365" s="137">
        <f t="shared" si="399"/>
        <v>1</v>
      </c>
      <c r="EK365" s="125">
        <f t="shared" si="400"/>
        <v>0</v>
      </c>
      <c r="EL365" s="125">
        <f t="shared" si="401"/>
        <v>0</v>
      </c>
    </row>
    <row r="366" spans="2:142" ht="15.75" x14ac:dyDescent="0.2">
      <c r="B366" s="160">
        <f t="shared" si="351"/>
        <v>336</v>
      </c>
      <c r="C366" s="290">
        <v>1001349555</v>
      </c>
      <c r="D366" s="290">
        <v>1001262287</v>
      </c>
      <c r="E366" s="290">
        <v>41099000</v>
      </c>
      <c r="F366" s="118">
        <f>IF(OR(J366="",H366=""),"",VLOOKUP(J366,'הזנה לסיווג רשויות'!$B$2:$D$301,2,0))</f>
        <v>20000159</v>
      </c>
      <c r="G366" s="118" t="str">
        <f>IF(OR(J366="",H366=""),"",VLOOKUP(J366,'הזנה לסיווג רשויות'!$B$2:$D$301,3,0))</f>
        <v>ירושלים</v>
      </c>
      <c r="H366" s="293" t="s">
        <v>745</v>
      </c>
      <c r="I366" s="201" t="s">
        <v>564</v>
      </c>
      <c r="J366" s="294">
        <v>3000</v>
      </c>
      <c r="K366" s="161">
        <v>0</v>
      </c>
      <c r="L366" s="161">
        <v>1</v>
      </c>
      <c r="M366" s="161">
        <v>0</v>
      </c>
      <c r="N366" s="161">
        <v>1</v>
      </c>
      <c r="O366" s="161">
        <v>0</v>
      </c>
      <c r="P366" s="161">
        <v>1</v>
      </c>
      <c r="Q366" s="161">
        <v>1</v>
      </c>
      <c r="R366" s="201">
        <v>293978</v>
      </c>
      <c r="S366" s="201">
        <v>73978</v>
      </c>
      <c r="T366" s="160">
        <f>IF(G366="","",IFERROR(IF(S366/R366&gt;'פרמטרים לקריטריונים'!$C$20,1,0),0))</f>
        <v>1</v>
      </c>
      <c r="U366" s="296">
        <v>50146</v>
      </c>
      <c r="V366" s="160">
        <f>IF(G366="","",IFERROR(IF(U366/R366&gt;'פרמטרים לקריטריונים'!$C$21,1,IF(AND(I366=$BW$5,U366/R366&gt;'פרמטרים לקריטריונים'!$C$22),1,0)),0))</f>
        <v>0</v>
      </c>
      <c r="W366" s="161">
        <v>1</v>
      </c>
      <c r="X366" s="161">
        <v>1</v>
      </c>
      <c r="Y366" s="299">
        <v>228007</v>
      </c>
      <c r="Z366" s="300">
        <v>228007</v>
      </c>
      <c r="AA366" s="161">
        <f t="shared" si="403"/>
        <v>1</v>
      </c>
      <c r="AB366" s="161"/>
      <c r="AC366" s="161"/>
      <c r="AD366" s="161"/>
      <c r="AE366" s="161"/>
      <c r="AF366" s="161"/>
      <c r="AG366" s="161"/>
      <c r="AH366" s="161"/>
      <c r="AI366" s="161"/>
      <c r="AJ366" s="161"/>
      <c r="AK366" s="161"/>
      <c r="AL366" s="161"/>
      <c r="AM366" s="161"/>
      <c r="AN366" s="161"/>
      <c r="AO366" s="161"/>
      <c r="AP366" s="161"/>
      <c r="AQ366" s="161"/>
      <c r="AR366" s="161"/>
      <c r="AS366" s="161"/>
      <c r="AT366" s="161"/>
      <c r="AU366" s="161"/>
      <c r="AV366" s="161"/>
      <c r="AW366" s="160"/>
      <c r="AX366" s="161"/>
      <c r="AY366" s="161"/>
      <c r="AZ366" s="161"/>
      <c r="BA366" s="161"/>
      <c r="BB366" s="161"/>
      <c r="BC366" s="161"/>
      <c r="BD366" s="161"/>
      <c r="BE366" s="161"/>
      <c r="BF366" s="160" t="str">
        <f t="shared" si="352"/>
        <v/>
      </c>
      <c r="BG366" s="160"/>
      <c r="BH366" s="160"/>
      <c r="BI366" s="160"/>
      <c r="BJ366" s="160"/>
      <c r="BK366" s="160"/>
      <c r="BL366" s="162">
        <f t="shared" si="353"/>
        <v>0</v>
      </c>
      <c r="BM366" s="163" t="s">
        <v>775</v>
      </c>
      <c r="BN366" s="163"/>
      <c r="BO366" s="211" t="str">
        <f t="shared" si="354"/>
        <v>בר-קיימא לתרבות, אמנות, מוסיקה ושלואחר</v>
      </c>
      <c r="BP366" s="125">
        <f t="shared" si="355"/>
        <v>1</v>
      </c>
      <c r="BQ366" s="164">
        <v>0</v>
      </c>
      <c r="BR366" s="164">
        <v>1</v>
      </c>
      <c r="BS366" s="149">
        <f t="shared" si="356"/>
        <v>1</v>
      </c>
      <c r="BT366" s="149">
        <f t="shared" si="357"/>
        <v>1</v>
      </c>
      <c r="BU366" s="149">
        <f t="shared" si="358"/>
        <v>1</v>
      </c>
      <c r="BV366" s="149">
        <f t="shared" si="359"/>
        <v>1</v>
      </c>
      <c r="BW366" s="149">
        <f t="shared" si="360"/>
        <v>1</v>
      </c>
      <c r="BX366" s="149">
        <f t="shared" si="361"/>
        <v>1</v>
      </c>
      <c r="BY366" s="149">
        <f t="shared" si="362"/>
        <v>1</v>
      </c>
      <c r="BZ366" s="149">
        <f t="shared" si="363"/>
        <v>1</v>
      </c>
      <c r="CA366" s="149">
        <f t="shared" si="364"/>
        <v>1</v>
      </c>
      <c r="CB366" s="149">
        <f t="shared" si="365"/>
        <v>1</v>
      </c>
      <c r="CC366" s="149">
        <f t="shared" si="366"/>
        <v>1</v>
      </c>
      <c r="CD366" s="149">
        <f t="shared" si="367"/>
        <v>1</v>
      </c>
      <c r="CE366" s="149">
        <f t="shared" si="368"/>
        <v>1</v>
      </c>
      <c r="CF366" s="149">
        <f t="shared" si="369"/>
        <v>1</v>
      </c>
      <c r="CG366" s="149">
        <f t="shared" si="370"/>
        <v>1</v>
      </c>
      <c r="CH366" s="149">
        <f t="shared" si="371"/>
        <v>1</v>
      </c>
      <c r="CI366" s="149">
        <f t="shared" si="372"/>
        <v>1</v>
      </c>
      <c r="CJ366" s="149">
        <f t="shared" si="373"/>
        <v>1</v>
      </c>
      <c r="CK366" s="149">
        <f t="shared" si="374"/>
        <v>1</v>
      </c>
      <c r="CL366" s="149">
        <f t="shared" si="375"/>
        <v>1</v>
      </c>
      <c r="CM366" s="149">
        <f t="shared" si="376"/>
        <v>1</v>
      </c>
      <c r="CN366" s="149">
        <f t="shared" si="377"/>
        <v>1</v>
      </c>
      <c r="CO366" s="149">
        <f t="shared" si="378"/>
        <v>1</v>
      </c>
      <c r="CP366" s="149">
        <f t="shared" si="379"/>
        <v>1</v>
      </c>
      <c r="CQ366" s="149">
        <f t="shared" si="380"/>
        <v>1</v>
      </c>
      <c r="CR366" s="149">
        <f t="shared" si="381"/>
        <v>1</v>
      </c>
      <c r="CS366" s="149">
        <f t="shared" si="382"/>
        <v>1</v>
      </c>
      <c r="CT366" s="149">
        <f t="shared" si="383"/>
        <v>1</v>
      </c>
      <c r="CU366" s="149">
        <f t="shared" si="384"/>
        <v>1</v>
      </c>
      <c r="CV366" s="149">
        <f t="shared" si="385"/>
        <v>1</v>
      </c>
      <c r="CW366" s="149">
        <f t="shared" si="386"/>
        <v>1</v>
      </c>
      <c r="CX366" s="149">
        <f t="shared" si="387"/>
        <v>1</v>
      </c>
      <c r="CY366" s="149">
        <f t="shared" si="388"/>
        <v>1</v>
      </c>
      <c r="CZ366" s="149">
        <f t="shared" si="389"/>
        <v>1</v>
      </c>
      <c r="DA366" s="149">
        <f t="shared" si="390"/>
        <v>1</v>
      </c>
      <c r="DB366" s="149">
        <f t="shared" si="391"/>
        <v>1</v>
      </c>
      <c r="DG366" s="125">
        <f t="shared" si="296"/>
        <v>1</v>
      </c>
      <c r="DH366" s="125">
        <f t="shared" si="402"/>
        <v>2</v>
      </c>
      <c r="DI366" s="125">
        <f t="shared" si="402"/>
        <v>3</v>
      </c>
      <c r="DJ366" s="125">
        <f t="shared" si="402"/>
        <v>4</v>
      </c>
      <c r="DK366" s="125">
        <f t="shared" si="402"/>
        <v>5</v>
      </c>
      <c r="DL366" s="125">
        <f t="shared" si="402"/>
        <v>6</v>
      </c>
      <c r="DM366" s="125">
        <f t="shared" si="402"/>
        <v>7</v>
      </c>
      <c r="DN366" s="125">
        <f t="shared" si="402"/>
        <v>8</v>
      </c>
      <c r="DO366" s="125">
        <f t="shared" si="402"/>
        <v>9</v>
      </c>
      <c r="DP366" s="125">
        <f t="shared" si="402"/>
        <v>10</v>
      </c>
      <c r="DS366" s="137"/>
      <c r="DT366" s="137"/>
      <c r="DU366" s="137"/>
      <c r="DV366" s="137" t="b">
        <f t="shared" si="392"/>
        <v>0</v>
      </c>
      <c r="DW366" s="137" t="b">
        <f t="shared" si="393"/>
        <v>0</v>
      </c>
      <c r="DX366" s="137" t="b">
        <f t="shared" si="394"/>
        <v>1</v>
      </c>
      <c r="EB366" s="131">
        <f t="shared" si="395"/>
        <v>1</v>
      </c>
      <c r="EC366" s="137" t="b">
        <f t="shared" si="396"/>
        <v>0</v>
      </c>
      <c r="ED366" s="137" t="b">
        <f t="shared" si="397"/>
        <v>0</v>
      </c>
      <c r="EE366" s="137" t="b">
        <f t="shared" si="398"/>
        <v>1</v>
      </c>
      <c r="EF366" s="137"/>
      <c r="EG366" s="137"/>
      <c r="EH366" s="137"/>
      <c r="EI366" s="137"/>
      <c r="EJ366" s="137">
        <f t="shared" si="399"/>
        <v>1</v>
      </c>
      <c r="EK366" s="125">
        <f t="shared" si="400"/>
        <v>0</v>
      </c>
      <c r="EL366" s="125">
        <f t="shared" si="401"/>
        <v>0</v>
      </c>
    </row>
    <row r="367" spans="2:142" ht="15.75" x14ac:dyDescent="0.2">
      <c r="B367" s="160">
        <f t="shared" si="351"/>
        <v>337</v>
      </c>
      <c r="C367" s="290">
        <v>1001349557</v>
      </c>
      <c r="D367" s="290">
        <v>1001262290</v>
      </c>
      <c r="E367" s="290">
        <v>41099000</v>
      </c>
      <c r="F367" s="118">
        <f>IF(OR(J367="",H367=""),"",VLOOKUP(J367,'הזנה לסיווג רשויות'!$B$2:$D$301,2,0))</f>
        <v>20000159</v>
      </c>
      <c r="G367" s="118" t="str">
        <f>IF(OR(J367="",H367=""),"",VLOOKUP(J367,'הזנה לסיווג רשויות'!$B$2:$D$301,3,0))</f>
        <v>ירושלים</v>
      </c>
      <c r="H367" s="293" t="s">
        <v>745</v>
      </c>
      <c r="I367" s="201" t="s">
        <v>564</v>
      </c>
      <c r="J367" s="294">
        <v>3000</v>
      </c>
      <c r="K367" s="161">
        <v>0</v>
      </c>
      <c r="L367" s="161">
        <v>1</v>
      </c>
      <c r="M367" s="161">
        <v>0</v>
      </c>
      <c r="N367" s="161">
        <v>1</v>
      </c>
      <c r="O367" s="161">
        <v>0</v>
      </c>
      <c r="P367" s="161">
        <v>1</v>
      </c>
      <c r="Q367" s="161">
        <v>1</v>
      </c>
      <c r="R367" s="201">
        <v>574510</v>
      </c>
      <c r="S367" s="201">
        <v>290043</v>
      </c>
      <c r="T367" s="160">
        <f>IF(G367="","",IFERROR(IF(S367/R367&gt;'פרמטרים לקריטריונים'!$C$20,1,0),0))</f>
        <v>1</v>
      </c>
      <c r="U367" s="296">
        <v>276653</v>
      </c>
      <c r="V367" s="160">
        <f>IF(G367="","",IFERROR(IF(U367/R367&gt;'פרמטרים לקריטריונים'!$C$21,1,IF(AND(I367=$BW$5,U367/R367&gt;'פרמטרים לקריטריונים'!$C$22),1,0)),0))</f>
        <v>1</v>
      </c>
      <c r="W367" s="161">
        <v>1</v>
      </c>
      <c r="X367" s="161">
        <v>1</v>
      </c>
      <c r="Y367" s="299">
        <v>463494</v>
      </c>
      <c r="Z367" s="300">
        <v>463494</v>
      </c>
      <c r="AA367" s="161">
        <f t="shared" si="403"/>
        <v>1</v>
      </c>
      <c r="AB367" s="161"/>
      <c r="AC367" s="161"/>
      <c r="AD367" s="161"/>
      <c r="AE367" s="161"/>
      <c r="AF367" s="161"/>
      <c r="AG367" s="161"/>
      <c r="AH367" s="161"/>
      <c r="AI367" s="161"/>
      <c r="AJ367" s="161"/>
      <c r="AK367" s="161"/>
      <c r="AL367" s="161"/>
      <c r="AM367" s="161"/>
      <c r="AN367" s="161"/>
      <c r="AO367" s="161"/>
      <c r="AP367" s="161"/>
      <c r="AQ367" s="161"/>
      <c r="AR367" s="161"/>
      <c r="AS367" s="161"/>
      <c r="AT367" s="161"/>
      <c r="AU367" s="161"/>
      <c r="AV367" s="161"/>
      <c r="AW367" s="160"/>
      <c r="AX367" s="161"/>
      <c r="AY367" s="161"/>
      <c r="AZ367" s="161"/>
      <c r="BA367" s="161"/>
      <c r="BB367" s="161"/>
      <c r="BC367" s="161"/>
      <c r="BD367" s="161"/>
      <c r="BE367" s="161"/>
      <c r="BF367" s="160" t="str">
        <f t="shared" si="352"/>
        <v/>
      </c>
      <c r="BG367" s="160"/>
      <c r="BH367" s="160"/>
      <c r="BI367" s="160"/>
      <c r="BJ367" s="160"/>
      <c r="BK367" s="160"/>
      <c r="BL367" s="162">
        <f t="shared" si="353"/>
        <v>1</v>
      </c>
      <c r="BM367" s="163" t="s">
        <v>776</v>
      </c>
      <c r="BN367" s="163"/>
      <c r="BO367" s="211" t="str">
        <f t="shared" si="354"/>
        <v>בר-קיימא לתרבות, אמנות, מוסיקה ושלואחר</v>
      </c>
      <c r="BP367" s="125">
        <f t="shared" si="355"/>
        <v>1</v>
      </c>
      <c r="BQ367" s="164">
        <v>0</v>
      </c>
      <c r="BR367" s="164">
        <v>1</v>
      </c>
      <c r="BS367" s="149">
        <f t="shared" si="356"/>
        <v>1</v>
      </c>
      <c r="BT367" s="149">
        <f t="shared" si="357"/>
        <v>1</v>
      </c>
      <c r="BU367" s="149">
        <f t="shared" si="358"/>
        <v>1</v>
      </c>
      <c r="BV367" s="149">
        <f t="shared" si="359"/>
        <v>1</v>
      </c>
      <c r="BW367" s="149">
        <f t="shared" si="360"/>
        <v>1</v>
      </c>
      <c r="BX367" s="149">
        <f t="shared" si="361"/>
        <v>1</v>
      </c>
      <c r="BY367" s="149">
        <f t="shared" si="362"/>
        <v>1</v>
      </c>
      <c r="BZ367" s="149">
        <f t="shared" si="363"/>
        <v>1</v>
      </c>
      <c r="CA367" s="149">
        <f t="shared" si="364"/>
        <v>1</v>
      </c>
      <c r="CB367" s="149">
        <f t="shared" si="365"/>
        <v>1</v>
      </c>
      <c r="CC367" s="149">
        <f t="shared" si="366"/>
        <v>1</v>
      </c>
      <c r="CD367" s="149">
        <f t="shared" si="367"/>
        <v>1</v>
      </c>
      <c r="CE367" s="149">
        <f t="shared" si="368"/>
        <v>1</v>
      </c>
      <c r="CF367" s="149">
        <f t="shared" si="369"/>
        <v>1</v>
      </c>
      <c r="CG367" s="149">
        <f t="shared" si="370"/>
        <v>1</v>
      </c>
      <c r="CH367" s="149">
        <f t="shared" si="371"/>
        <v>1</v>
      </c>
      <c r="CI367" s="149">
        <f t="shared" si="372"/>
        <v>1</v>
      </c>
      <c r="CJ367" s="149">
        <f t="shared" si="373"/>
        <v>1</v>
      </c>
      <c r="CK367" s="149">
        <f t="shared" si="374"/>
        <v>1</v>
      </c>
      <c r="CL367" s="149">
        <f t="shared" si="375"/>
        <v>1</v>
      </c>
      <c r="CM367" s="149">
        <f t="shared" si="376"/>
        <v>1</v>
      </c>
      <c r="CN367" s="149">
        <f t="shared" si="377"/>
        <v>1</v>
      </c>
      <c r="CO367" s="149">
        <f t="shared" si="378"/>
        <v>1</v>
      </c>
      <c r="CP367" s="149">
        <f t="shared" si="379"/>
        <v>1</v>
      </c>
      <c r="CQ367" s="149">
        <f t="shared" si="380"/>
        <v>1</v>
      </c>
      <c r="CR367" s="149">
        <f t="shared" si="381"/>
        <v>1</v>
      </c>
      <c r="CS367" s="149">
        <f t="shared" si="382"/>
        <v>1</v>
      </c>
      <c r="CT367" s="149">
        <f t="shared" si="383"/>
        <v>1</v>
      </c>
      <c r="CU367" s="149">
        <f t="shared" si="384"/>
        <v>1</v>
      </c>
      <c r="CV367" s="149">
        <f t="shared" si="385"/>
        <v>1</v>
      </c>
      <c r="CW367" s="149">
        <f t="shared" si="386"/>
        <v>1</v>
      </c>
      <c r="CX367" s="149">
        <f t="shared" si="387"/>
        <v>1</v>
      </c>
      <c r="CY367" s="149">
        <f t="shared" si="388"/>
        <v>1</v>
      </c>
      <c r="CZ367" s="149">
        <f t="shared" si="389"/>
        <v>1</v>
      </c>
      <c r="DA367" s="149">
        <f t="shared" si="390"/>
        <v>1</v>
      </c>
      <c r="DB367" s="149">
        <f t="shared" si="391"/>
        <v>1</v>
      </c>
      <c r="DG367" s="125">
        <f t="shared" si="296"/>
        <v>1</v>
      </c>
      <c r="DH367" s="125">
        <f t="shared" si="402"/>
        <v>2</v>
      </c>
      <c r="DI367" s="125">
        <f t="shared" si="402"/>
        <v>3</v>
      </c>
      <c r="DJ367" s="125">
        <f t="shared" si="402"/>
        <v>4</v>
      </c>
      <c r="DK367" s="125">
        <f t="shared" si="402"/>
        <v>5</v>
      </c>
      <c r="DL367" s="125">
        <f t="shared" si="402"/>
        <v>6</v>
      </c>
      <c r="DM367" s="125">
        <f t="shared" si="402"/>
        <v>7</v>
      </c>
      <c r="DN367" s="125">
        <f t="shared" si="402"/>
        <v>8</v>
      </c>
      <c r="DO367" s="125">
        <f t="shared" si="402"/>
        <v>9</v>
      </c>
      <c r="DP367" s="125">
        <f t="shared" si="402"/>
        <v>10</v>
      </c>
      <c r="DS367" s="137"/>
      <c r="DT367" s="137"/>
      <c r="DU367" s="137"/>
      <c r="DV367" s="137" t="b">
        <f t="shared" si="392"/>
        <v>0</v>
      </c>
      <c r="DW367" s="137" t="b">
        <f t="shared" si="393"/>
        <v>0</v>
      </c>
      <c r="DX367" s="137" t="b">
        <f t="shared" si="394"/>
        <v>1</v>
      </c>
      <c r="EB367" s="131">
        <f t="shared" si="395"/>
        <v>1</v>
      </c>
      <c r="EC367" s="137" t="b">
        <f t="shared" si="396"/>
        <v>0</v>
      </c>
      <c r="ED367" s="137" t="b">
        <f t="shared" si="397"/>
        <v>0</v>
      </c>
      <c r="EE367" s="137" t="b">
        <f t="shared" si="398"/>
        <v>1</v>
      </c>
      <c r="EF367" s="137"/>
      <c r="EG367" s="137"/>
      <c r="EH367" s="137"/>
      <c r="EI367" s="137"/>
      <c r="EJ367" s="137">
        <f t="shared" si="399"/>
        <v>1</v>
      </c>
      <c r="EK367" s="125">
        <f t="shared" si="400"/>
        <v>0</v>
      </c>
      <c r="EL367" s="125">
        <f t="shared" si="401"/>
        <v>0</v>
      </c>
    </row>
    <row r="368" spans="2:142" ht="15.75" x14ac:dyDescent="0.2">
      <c r="B368" s="160">
        <f t="shared" si="351"/>
        <v>338</v>
      </c>
      <c r="C368" s="290">
        <v>1001349558</v>
      </c>
      <c r="D368" s="290">
        <v>1001262294</v>
      </c>
      <c r="E368" s="290">
        <v>41099000</v>
      </c>
      <c r="F368" s="118">
        <f>IF(OR(J368="",H368=""),"",VLOOKUP(J368,'הזנה לסיווג רשויות'!$B$2:$D$301,2,0))</f>
        <v>20000159</v>
      </c>
      <c r="G368" s="118" t="str">
        <f>IF(OR(J368="",H368=""),"",VLOOKUP(J368,'הזנה לסיווג רשויות'!$B$2:$D$301,3,0))</f>
        <v>ירושלים</v>
      </c>
      <c r="H368" s="293" t="s">
        <v>745</v>
      </c>
      <c r="I368" s="201" t="s">
        <v>564</v>
      </c>
      <c r="J368" s="294">
        <v>3000</v>
      </c>
      <c r="K368" s="161">
        <v>0</v>
      </c>
      <c r="L368" s="161">
        <v>1</v>
      </c>
      <c r="M368" s="161">
        <v>0</v>
      </c>
      <c r="N368" s="161">
        <v>1</v>
      </c>
      <c r="O368" s="161">
        <v>0</v>
      </c>
      <c r="P368" s="161">
        <v>1</v>
      </c>
      <c r="Q368" s="161">
        <v>1</v>
      </c>
      <c r="R368" s="201">
        <v>333818</v>
      </c>
      <c r="S368" s="201">
        <v>216741</v>
      </c>
      <c r="T368" s="160">
        <f>IF(G368="","",IFERROR(IF(S368/R368&gt;'פרמטרים לקריטריונים'!$C$20,1,0),0))</f>
        <v>1</v>
      </c>
      <c r="U368" s="296">
        <v>102936</v>
      </c>
      <c r="V368" s="160">
        <f>IF(G368="","",IFERROR(IF(U368/R368&gt;'פרמטרים לקריטריונים'!$C$21,1,IF(AND(I368=$BW$5,U368/R368&gt;'פרמטרים לקריטריונים'!$C$22),1,0)),0))</f>
        <v>1</v>
      </c>
      <c r="W368" s="161">
        <v>1</v>
      </c>
      <c r="X368" s="161">
        <v>1</v>
      </c>
      <c r="Y368" s="299">
        <v>356384</v>
      </c>
      <c r="Z368" s="300">
        <v>1</v>
      </c>
      <c r="AA368" s="161">
        <f t="shared" si="403"/>
        <v>1</v>
      </c>
      <c r="AB368" s="161"/>
      <c r="AC368" s="161"/>
      <c r="AD368" s="161"/>
      <c r="AE368" s="161"/>
      <c r="AF368" s="161"/>
      <c r="AG368" s="161"/>
      <c r="AH368" s="161"/>
      <c r="AI368" s="161"/>
      <c r="AJ368" s="161"/>
      <c r="AK368" s="161"/>
      <c r="AL368" s="161"/>
      <c r="AM368" s="161"/>
      <c r="AN368" s="161"/>
      <c r="AO368" s="161"/>
      <c r="AP368" s="161"/>
      <c r="AQ368" s="161"/>
      <c r="AR368" s="161"/>
      <c r="AS368" s="161"/>
      <c r="AT368" s="161"/>
      <c r="AU368" s="161"/>
      <c r="AV368" s="161"/>
      <c r="AW368" s="160"/>
      <c r="AX368" s="161"/>
      <c r="AY368" s="161"/>
      <c r="AZ368" s="161"/>
      <c r="BA368" s="161"/>
      <c r="BB368" s="161"/>
      <c r="BC368" s="161"/>
      <c r="BD368" s="161"/>
      <c r="BE368" s="161"/>
      <c r="BF368" s="160" t="str">
        <f t="shared" si="352"/>
        <v/>
      </c>
      <c r="BG368" s="160"/>
      <c r="BH368" s="160"/>
      <c r="BI368" s="160"/>
      <c r="BJ368" s="160"/>
      <c r="BK368" s="160"/>
      <c r="BL368" s="162">
        <f t="shared" si="353"/>
        <v>1</v>
      </c>
      <c r="BM368" s="257" t="s">
        <v>777</v>
      </c>
      <c r="BN368" s="163" t="s">
        <v>778</v>
      </c>
      <c r="BO368" s="211" t="str">
        <f t="shared" si="354"/>
        <v>בר-קיימא לתרבות, אמנות, מוסיקה ושלואחר</v>
      </c>
      <c r="BP368" s="125">
        <f t="shared" si="355"/>
        <v>1</v>
      </c>
      <c r="BQ368" s="164">
        <v>0</v>
      </c>
      <c r="BR368" s="164">
        <v>1</v>
      </c>
      <c r="BS368" s="149">
        <f t="shared" si="356"/>
        <v>1</v>
      </c>
      <c r="BT368" s="149">
        <f t="shared" si="357"/>
        <v>1</v>
      </c>
      <c r="BU368" s="149">
        <f t="shared" si="358"/>
        <v>1</v>
      </c>
      <c r="BV368" s="149">
        <f t="shared" si="359"/>
        <v>1</v>
      </c>
      <c r="BW368" s="149">
        <f t="shared" si="360"/>
        <v>1</v>
      </c>
      <c r="BX368" s="149">
        <f t="shared" si="361"/>
        <v>1</v>
      </c>
      <c r="BY368" s="149">
        <f t="shared" si="362"/>
        <v>1</v>
      </c>
      <c r="BZ368" s="149">
        <f t="shared" si="363"/>
        <v>1</v>
      </c>
      <c r="CA368" s="149">
        <f t="shared" si="364"/>
        <v>1</v>
      </c>
      <c r="CB368" s="149">
        <f t="shared" si="365"/>
        <v>1</v>
      </c>
      <c r="CC368" s="149">
        <f t="shared" si="366"/>
        <v>1</v>
      </c>
      <c r="CD368" s="149">
        <f t="shared" si="367"/>
        <v>1</v>
      </c>
      <c r="CE368" s="149">
        <f t="shared" si="368"/>
        <v>1</v>
      </c>
      <c r="CF368" s="149">
        <f t="shared" si="369"/>
        <v>1</v>
      </c>
      <c r="CG368" s="149">
        <f t="shared" si="370"/>
        <v>1</v>
      </c>
      <c r="CH368" s="149">
        <f t="shared" si="371"/>
        <v>1</v>
      </c>
      <c r="CI368" s="149">
        <f t="shared" si="372"/>
        <v>1</v>
      </c>
      <c r="CJ368" s="149">
        <f t="shared" si="373"/>
        <v>1</v>
      </c>
      <c r="CK368" s="149">
        <f t="shared" si="374"/>
        <v>1</v>
      </c>
      <c r="CL368" s="149">
        <f t="shared" si="375"/>
        <v>1</v>
      </c>
      <c r="CM368" s="149">
        <f t="shared" si="376"/>
        <v>1</v>
      </c>
      <c r="CN368" s="149">
        <f t="shared" si="377"/>
        <v>1</v>
      </c>
      <c r="CO368" s="149">
        <f t="shared" si="378"/>
        <v>1</v>
      </c>
      <c r="CP368" s="149">
        <f t="shared" si="379"/>
        <v>1</v>
      </c>
      <c r="CQ368" s="149">
        <f t="shared" si="380"/>
        <v>1</v>
      </c>
      <c r="CR368" s="149">
        <f t="shared" si="381"/>
        <v>1</v>
      </c>
      <c r="CS368" s="149">
        <f t="shared" si="382"/>
        <v>1</v>
      </c>
      <c r="CT368" s="149">
        <f t="shared" si="383"/>
        <v>1</v>
      </c>
      <c r="CU368" s="149">
        <f t="shared" si="384"/>
        <v>1</v>
      </c>
      <c r="CV368" s="149">
        <f t="shared" si="385"/>
        <v>1</v>
      </c>
      <c r="CW368" s="149">
        <f t="shared" si="386"/>
        <v>1</v>
      </c>
      <c r="CX368" s="149">
        <f t="shared" si="387"/>
        <v>1</v>
      </c>
      <c r="CY368" s="149">
        <f t="shared" si="388"/>
        <v>1</v>
      </c>
      <c r="CZ368" s="149">
        <f t="shared" si="389"/>
        <v>1</v>
      </c>
      <c r="DA368" s="149">
        <f t="shared" si="390"/>
        <v>1</v>
      </c>
      <c r="DB368" s="149">
        <f t="shared" si="391"/>
        <v>1</v>
      </c>
      <c r="DG368" s="125">
        <f t="shared" si="296"/>
        <v>1</v>
      </c>
      <c r="DH368" s="125">
        <f t="shared" si="402"/>
        <v>2</v>
      </c>
      <c r="DI368" s="125">
        <f t="shared" si="402"/>
        <v>3</v>
      </c>
      <c r="DJ368" s="125">
        <f t="shared" si="402"/>
        <v>4</v>
      </c>
      <c r="DK368" s="125">
        <f t="shared" si="402"/>
        <v>5</v>
      </c>
      <c r="DL368" s="125">
        <f t="shared" si="402"/>
        <v>6</v>
      </c>
      <c r="DM368" s="125">
        <f t="shared" si="402"/>
        <v>7</v>
      </c>
      <c r="DN368" s="125">
        <f t="shared" si="402"/>
        <v>8</v>
      </c>
      <c r="DO368" s="125">
        <f t="shared" si="402"/>
        <v>9</v>
      </c>
      <c r="DP368" s="125">
        <f t="shared" si="402"/>
        <v>10</v>
      </c>
      <c r="DS368" s="137"/>
      <c r="DT368" s="137"/>
      <c r="DU368" s="137"/>
      <c r="DV368" s="137" t="b">
        <f t="shared" si="392"/>
        <v>0</v>
      </c>
      <c r="DW368" s="137" t="b">
        <f t="shared" si="393"/>
        <v>0</v>
      </c>
      <c r="DX368" s="137" t="b">
        <f t="shared" si="394"/>
        <v>1</v>
      </c>
      <c r="EB368" s="131">
        <f t="shared" si="395"/>
        <v>1</v>
      </c>
      <c r="EC368" s="137" t="b">
        <f t="shared" si="396"/>
        <v>0</v>
      </c>
      <c r="ED368" s="137" t="b">
        <f t="shared" si="397"/>
        <v>0</v>
      </c>
      <c r="EE368" s="137" t="b">
        <f t="shared" si="398"/>
        <v>1</v>
      </c>
      <c r="EF368" s="137"/>
      <c r="EG368" s="137"/>
      <c r="EH368" s="137"/>
      <c r="EI368" s="137"/>
      <c r="EJ368" s="137">
        <f t="shared" si="399"/>
        <v>1</v>
      </c>
      <c r="EK368" s="125">
        <f t="shared" si="400"/>
        <v>0</v>
      </c>
      <c r="EL368" s="125">
        <f t="shared" si="401"/>
        <v>0</v>
      </c>
    </row>
    <row r="369" spans="2:142" ht="15.75" x14ac:dyDescent="0.2">
      <c r="B369" s="160">
        <f t="shared" si="351"/>
        <v>339</v>
      </c>
      <c r="C369" s="290">
        <v>1001349559</v>
      </c>
      <c r="D369" s="290">
        <v>1001262292</v>
      </c>
      <c r="E369" s="290">
        <v>41099000</v>
      </c>
      <c r="F369" s="118">
        <f>IF(OR(J369="",H369=""),"",VLOOKUP(J369,'הזנה לסיווג רשויות'!$B$2:$D$301,2,0))</f>
        <v>20000159</v>
      </c>
      <c r="G369" s="118" t="str">
        <f>IF(OR(J369="",H369=""),"",VLOOKUP(J369,'הזנה לסיווג רשויות'!$B$2:$D$301,3,0))</f>
        <v>ירושלים</v>
      </c>
      <c r="H369" s="293" t="s">
        <v>745</v>
      </c>
      <c r="I369" s="201" t="s">
        <v>381</v>
      </c>
      <c r="J369" s="294">
        <v>3000</v>
      </c>
      <c r="K369" s="161">
        <v>0</v>
      </c>
      <c r="L369" s="161">
        <v>1</v>
      </c>
      <c r="M369" s="161">
        <v>0</v>
      </c>
      <c r="N369" s="161">
        <v>0</v>
      </c>
      <c r="O369" s="161">
        <v>1</v>
      </c>
      <c r="P369" s="161">
        <v>1</v>
      </c>
      <c r="Q369" s="161">
        <v>1</v>
      </c>
      <c r="R369" s="201">
        <v>362717</v>
      </c>
      <c r="S369" s="201">
        <v>362717</v>
      </c>
      <c r="T369" s="160">
        <f>IF(G369="","",IFERROR(IF(S369/R369&gt;'פרמטרים לקריטריונים'!$C$20,1,0),0))</f>
        <v>1</v>
      </c>
      <c r="U369" s="296">
        <v>317317</v>
      </c>
      <c r="V369" s="160">
        <f>IF(G369="","",IFERROR(IF(U369/R369&gt;'פרמטרים לקריטריונים'!$C$21,1,IF(AND(I369=$BW$5,U369/R369&gt;'פרמטרים לקריטריונים'!$C$22),1,0)),0))</f>
        <v>1</v>
      </c>
      <c r="W369" s="161">
        <v>1</v>
      </c>
      <c r="X369" s="161">
        <v>1</v>
      </c>
      <c r="Y369" s="299">
        <v>1892853</v>
      </c>
      <c r="Z369" s="300">
        <v>1</v>
      </c>
      <c r="AA369" s="161">
        <f t="shared" si="403"/>
        <v>1</v>
      </c>
      <c r="AB369" s="161"/>
      <c r="AC369" s="161"/>
      <c r="AD369" s="161"/>
      <c r="AE369" s="161"/>
      <c r="AF369" s="161"/>
      <c r="AG369" s="161"/>
      <c r="AH369" s="161"/>
      <c r="AI369" s="161"/>
      <c r="AJ369" s="161"/>
      <c r="AK369" s="161"/>
      <c r="AL369" s="161"/>
      <c r="AM369" s="161"/>
      <c r="AN369" s="161"/>
      <c r="AO369" s="161"/>
      <c r="AP369" s="161"/>
      <c r="AQ369" s="161"/>
      <c r="AR369" s="161"/>
      <c r="AS369" s="161"/>
      <c r="AT369" s="161"/>
      <c r="AU369" s="161"/>
      <c r="AV369" s="161"/>
      <c r="AW369" s="160"/>
      <c r="AX369" s="161"/>
      <c r="AY369" s="161"/>
      <c r="AZ369" s="161"/>
      <c r="BA369" s="161"/>
      <c r="BB369" s="161"/>
      <c r="BC369" s="161"/>
      <c r="BD369" s="161"/>
      <c r="BE369" s="161"/>
      <c r="BF369" s="160" t="str">
        <f t="shared" si="352"/>
        <v/>
      </c>
      <c r="BG369" s="160"/>
      <c r="BH369" s="160"/>
      <c r="BI369" s="160"/>
      <c r="BJ369" s="160"/>
      <c r="BK369" s="160"/>
      <c r="BL369" s="162">
        <f t="shared" si="353"/>
        <v>1</v>
      </c>
      <c r="BM369" s="257" t="s">
        <v>779</v>
      </c>
      <c r="BN369" s="163" t="s">
        <v>780</v>
      </c>
      <c r="BO369" s="211" t="str">
        <f t="shared" si="354"/>
        <v>בר-קיימא לתרבות, אמנות, מוסיקה ושלוסינמטקים ופסטיבלים</v>
      </c>
      <c r="BP369" s="125">
        <f t="shared" si="355"/>
        <v>1</v>
      </c>
      <c r="BQ369" s="164">
        <v>0</v>
      </c>
      <c r="BR369" s="164">
        <v>1</v>
      </c>
      <c r="BS369" s="149">
        <f t="shared" si="356"/>
        <v>1</v>
      </c>
      <c r="BT369" s="149">
        <f t="shared" si="357"/>
        <v>1</v>
      </c>
      <c r="BU369" s="149">
        <f t="shared" si="358"/>
        <v>1</v>
      </c>
      <c r="BV369" s="149">
        <f t="shared" si="359"/>
        <v>1</v>
      </c>
      <c r="BW369" s="149">
        <f t="shared" si="360"/>
        <v>1</v>
      </c>
      <c r="BX369" s="149">
        <f t="shared" si="361"/>
        <v>1</v>
      </c>
      <c r="BY369" s="149">
        <f t="shared" si="362"/>
        <v>1</v>
      </c>
      <c r="BZ369" s="149">
        <f t="shared" si="363"/>
        <v>1</v>
      </c>
      <c r="CA369" s="149">
        <f t="shared" si="364"/>
        <v>1</v>
      </c>
      <c r="CB369" s="149">
        <f t="shared" si="365"/>
        <v>1</v>
      </c>
      <c r="CC369" s="149">
        <f t="shared" si="366"/>
        <v>1</v>
      </c>
      <c r="CD369" s="149">
        <f t="shared" si="367"/>
        <v>1</v>
      </c>
      <c r="CE369" s="149">
        <f t="shared" si="368"/>
        <v>1</v>
      </c>
      <c r="CF369" s="149">
        <f t="shared" si="369"/>
        <v>1</v>
      </c>
      <c r="CG369" s="149">
        <f t="shared" si="370"/>
        <v>1</v>
      </c>
      <c r="CH369" s="149">
        <f t="shared" si="371"/>
        <v>1</v>
      </c>
      <c r="CI369" s="149">
        <f t="shared" si="372"/>
        <v>1</v>
      </c>
      <c r="CJ369" s="149">
        <f t="shared" si="373"/>
        <v>1</v>
      </c>
      <c r="CK369" s="149">
        <f t="shared" si="374"/>
        <v>1</v>
      </c>
      <c r="CL369" s="149">
        <f t="shared" si="375"/>
        <v>1</v>
      </c>
      <c r="CM369" s="149">
        <f t="shared" si="376"/>
        <v>1</v>
      </c>
      <c r="CN369" s="149">
        <f t="shared" si="377"/>
        <v>1</v>
      </c>
      <c r="CO369" s="149">
        <f t="shared" si="378"/>
        <v>1</v>
      </c>
      <c r="CP369" s="149">
        <f t="shared" si="379"/>
        <v>1</v>
      </c>
      <c r="CQ369" s="149">
        <f t="shared" si="380"/>
        <v>1</v>
      </c>
      <c r="CR369" s="149">
        <f t="shared" si="381"/>
        <v>1</v>
      </c>
      <c r="CS369" s="149">
        <f t="shared" si="382"/>
        <v>1</v>
      </c>
      <c r="CT369" s="149">
        <f t="shared" si="383"/>
        <v>1</v>
      </c>
      <c r="CU369" s="149">
        <f t="shared" si="384"/>
        <v>1</v>
      </c>
      <c r="CV369" s="149">
        <f t="shared" si="385"/>
        <v>1</v>
      </c>
      <c r="CW369" s="149">
        <f t="shared" si="386"/>
        <v>1</v>
      </c>
      <c r="CX369" s="149">
        <f t="shared" si="387"/>
        <v>1</v>
      </c>
      <c r="CY369" s="149">
        <f t="shared" si="388"/>
        <v>1</v>
      </c>
      <c r="CZ369" s="149">
        <f t="shared" si="389"/>
        <v>1</v>
      </c>
      <c r="DA369" s="149">
        <f t="shared" si="390"/>
        <v>1</v>
      </c>
      <c r="DB369" s="149">
        <f t="shared" si="391"/>
        <v>1</v>
      </c>
      <c r="DG369" s="125">
        <f t="shared" si="296"/>
        <v>1</v>
      </c>
      <c r="DH369" s="125">
        <f t="shared" si="402"/>
        <v>2</v>
      </c>
      <c r="DI369" s="125">
        <f t="shared" si="402"/>
        <v>3</v>
      </c>
      <c r="DJ369" s="125">
        <f t="shared" si="402"/>
        <v>4</v>
      </c>
      <c r="DK369" s="125">
        <f t="shared" si="402"/>
        <v>5</v>
      </c>
      <c r="DL369" s="125">
        <f t="shared" si="402"/>
        <v>6</v>
      </c>
      <c r="DM369" s="125">
        <f t="shared" si="402"/>
        <v>7</v>
      </c>
      <c r="DN369" s="125">
        <f t="shared" si="402"/>
        <v>8</v>
      </c>
      <c r="DO369" s="125">
        <f t="shared" si="402"/>
        <v>9</v>
      </c>
      <c r="DP369" s="125">
        <f t="shared" si="402"/>
        <v>10</v>
      </c>
      <c r="DS369" s="137"/>
      <c r="DT369" s="137"/>
      <c r="DU369" s="137"/>
      <c r="DV369" s="137" t="b">
        <f t="shared" si="392"/>
        <v>0</v>
      </c>
      <c r="DW369" s="137" t="b">
        <f t="shared" si="393"/>
        <v>0</v>
      </c>
      <c r="DX369" s="137" t="b">
        <f t="shared" si="394"/>
        <v>1</v>
      </c>
      <c r="EB369" s="131">
        <f t="shared" si="395"/>
        <v>1</v>
      </c>
      <c r="EC369" s="137" t="b">
        <f t="shared" si="396"/>
        <v>0</v>
      </c>
      <c r="ED369" s="137" t="b">
        <f t="shared" si="397"/>
        <v>0</v>
      </c>
      <c r="EE369" s="137" t="b">
        <f t="shared" si="398"/>
        <v>1</v>
      </c>
      <c r="EF369" s="137"/>
      <c r="EG369" s="137"/>
      <c r="EH369" s="137"/>
      <c r="EI369" s="137"/>
      <c r="EJ369" s="137">
        <f t="shared" si="399"/>
        <v>1</v>
      </c>
      <c r="EK369" s="125">
        <f t="shared" si="400"/>
        <v>0</v>
      </c>
      <c r="EL369" s="125">
        <f t="shared" si="401"/>
        <v>0</v>
      </c>
    </row>
    <row r="370" spans="2:142" ht="15.75" x14ac:dyDescent="0.2">
      <c r="B370" s="160">
        <f t="shared" si="351"/>
        <v>340</v>
      </c>
      <c r="C370" s="290">
        <v>1001349660</v>
      </c>
      <c r="D370" s="290">
        <v>1001262293</v>
      </c>
      <c r="E370" s="290">
        <v>41099000</v>
      </c>
      <c r="F370" s="118">
        <f>IF(OR(J370="",H370=""),"",VLOOKUP(J370,'הזנה לסיווג רשויות'!$B$2:$D$301,2,0))</f>
        <v>20000159</v>
      </c>
      <c r="G370" s="118" t="str">
        <f>IF(OR(J370="",H370=""),"",VLOOKUP(J370,'הזנה לסיווג רשויות'!$B$2:$D$301,3,0))</f>
        <v>ירושלים</v>
      </c>
      <c r="H370" s="293" t="s">
        <v>745</v>
      </c>
      <c r="I370" s="201" t="s">
        <v>381</v>
      </c>
      <c r="J370" s="294">
        <v>3000</v>
      </c>
      <c r="K370" s="161">
        <v>0</v>
      </c>
      <c r="L370" s="161">
        <v>1</v>
      </c>
      <c r="M370" s="161">
        <v>0</v>
      </c>
      <c r="N370" s="161">
        <v>0</v>
      </c>
      <c r="O370" s="161">
        <v>1</v>
      </c>
      <c r="P370" s="161">
        <v>1</v>
      </c>
      <c r="Q370" s="161">
        <v>1</v>
      </c>
      <c r="R370" s="201">
        <v>29480</v>
      </c>
      <c r="S370" s="201">
        <v>29480</v>
      </c>
      <c r="T370" s="160">
        <f>IF(G370="","",IFERROR(IF(S370/R370&gt;'פרמטרים לקריטריונים'!$C$20,1,0),0))</f>
        <v>1</v>
      </c>
      <c r="U370" s="296">
        <v>29480</v>
      </c>
      <c r="V370" s="160">
        <f>IF(G370="","",IFERROR(IF(U370/R370&gt;'פרמטרים לקריטריונים'!$C$21,1,IF(AND(I370=$BW$5,U370/R370&gt;'פרמטרים לקריטריונים'!$C$22),1,0)),0))</f>
        <v>1</v>
      </c>
      <c r="W370" s="161">
        <v>1</v>
      </c>
      <c r="X370" s="161">
        <v>1</v>
      </c>
      <c r="Y370" s="299">
        <v>856695</v>
      </c>
      <c r="Z370" s="300">
        <v>856695</v>
      </c>
      <c r="AA370" s="161">
        <f t="shared" si="403"/>
        <v>1</v>
      </c>
      <c r="AB370" s="161"/>
      <c r="AC370" s="161"/>
      <c r="AD370" s="161"/>
      <c r="AE370" s="161"/>
      <c r="AF370" s="161"/>
      <c r="AG370" s="161"/>
      <c r="AH370" s="161"/>
      <c r="AI370" s="161"/>
      <c r="AJ370" s="161"/>
      <c r="AK370" s="161"/>
      <c r="AL370" s="161"/>
      <c r="AM370" s="161"/>
      <c r="AN370" s="161"/>
      <c r="AO370" s="161"/>
      <c r="AP370" s="161"/>
      <c r="AQ370" s="161"/>
      <c r="AR370" s="161"/>
      <c r="AS370" s="161"/>
      <c r="AT370" s="161"/>
      <c r="AU370" s="161"/>
      <c r="AV370" s="161"/>
      <c r="AW370" s="160"/>
      <c r="AX370" s="161"/>
      <c r="AY370" s="161"/>
      <c r="AZ370" s="161"/>
      <c r="BA370" s="161"/>
      <c r="BB370" s="161"/>
      <c r="BC370" s="161"/>
      <c r="BD370" s="161"/>
      <c r="BE370" s="161"/>
      <c r="BF370" s="160" t="str">
        <f t="shared" si="352"/>
        <v/>
      </c>
      <c r="BG370" s="160"/>
      <c r="BH370" s="160"/>
      <c r="BI370" s="160"/>
      <c r="BJ370" s="160"/>
      <c r="BK370" s="160"/>
      <c r="BL370" s="162">
        <f t="shared" si="353"/>
        <v>1</v>
      </c>
      <c r="BM370" s="257" t="s">
        <v>781</v>
      </c>
      <c r="BN370" s="163" t="s">
        <v>782</v>
      </c>
      <c r="BO370" s="211" t="str">
        <f t="shared" si="354"/>
        <v>בר-קיימא לתרבות, אמנות, מוסיקה ושלוסינמטקים ופסטיבלים</v>
      </c>
      <c r="BP370" s="125">
        <f t="shared" si="355"/>
        <v>1</v>
      </c>
      <c r="BQ370" s="164">
        <v>0</v>
      </c>
      <c r="BR370" s="164">
        <v>1</v>
      </c>
      <c r="BS370" s="149">
        <f t="shared" si="356"/>
        <v>1</v>
      </c>
      <c r="BT370" s="149">
        <f t="shared" si="357"/>
        <v>1</v>
      </c>
      <c r="BU370" s="149">
        <f t="shared" si="358"/>
        <v>1</v>
      </c>
      <c r="BV370" s="149">
        <f t="shared" si="359"/>
        <v>1</v>
      </c>
      <c r="BW370" s="149">
        <f t="shared" si="360"/>
        <v>1</v>
      </c>
      <c r="BX370" s="149">
        <f t="shared" si="361"/>
        <v>1</v>
      </c>
      <c r="BY370" s="149">
        <f t="shared" si="362"/>
        <v>1</v>
      </c>
      <c r="BZ370" s="149">
        <f t="shared" si="363"/>
        <v>1</v>
      </c>
      <c r="CA370" s="149">
        <f t="shared" si="364"/>
        <v>1</v>
      </c>
      <c r="CB370" s="149">
        <f t="shared" si="365"/>
        <v>1</v>
      </c>
      <c r="CC370" s="149">
        <f t="shared" si="366"/>
        <v>1</v>
      </c>
      <c r="CD370" s="149">
        <f t="shared" si="367"/>
        <v>1</v>
      </c>
      <c r="CE370" s="149">
        <f t="shared" si="368"/>
        <v>1</v>
      </c>
      <c r="CF370" s="149">
        <f t="shared" si="369"/>
        <v>1</v>
      </c>
      <c r="CG370" s="149">
        <f t="shared" si="370"/>
        <v>1</v>
      </c>
      <c r="CH370" s="149">
        <f t="shared" si="371"/>
        <v>1</v>
      </c>
      <c r="CI370" s="149">
        <f t="shared" si="372"/>
        <v>1</v>
      </c>
      <c r="CJ370" s="149">
        <f t="shared" si="373"/>
        <v>1</v>
      </c>
      <c r="CK370" s="149">
        <f t="shared" si="374"/>
        <v>1</v>
      </c>
      <c r="CL370" s="149">
        <f t="shared" si="375"/>
        <v>1</v>
      </c>
      <c r="CM370" s="149">
        <f t="shared" si="376"/>
        <v>1</v>
      </c>
      <c r="CN370" s="149">
        <f t="shared" si="377"/>
        <v>1</v>
      </c>
      <c r="CO370" s="149">
        <f t="shared" si="378"/>
        <v>1</v>
      </c>
      <c r="CP370" s="149">
        <f t="shared" si="379"/>
        <v>1</v>
      </c>
      <c r="CQ370" s="149">
        <f t="shared" si="380"/>
        <v>1</v>
      </c>
      <c r="CR370" s="149">
        <f t="shared" si="381"/>
        <v>1</v>
      </c>
      <c r="CS370" s="149">
        <f t="shared" si="382"/>
        <v>1</v>
      </c>
      <c r="CT370" s="149">
        <f t="shared" si="383"/>
        <v>1</v>
      </c>
      <c r="CU370" s="149">
        <f t="shared" si="384"/>
        <v>1</v>
      </c>
      <c r="CV370" s="149">
        <f t="shared" si="385"/>
        <v>1</v>
      </c>
      <c r="CW370" s="149">
        <f t="shared" si="386"/>
        <v>1</v>
      </c>
      <c r="CX370" s="149">
        <f t="shared" si="387"/>
        <v>1</v>
      </c>
      <c r="CY370" s="149">
        <f t="shared" si="388"/>
        <v>1</v>
      </c>
      <c r="CZ370" s="149">
        <f t="shared" si="389"/>
        <v>1</v>
      </c>
      <c r="DA370" s="149">
        <f t="shared" si="390"/>
        <v>1</v>
      </c>
      <c r="DB370" s="149">
        <f t="shared" si="391"/>
        <v>1</v>
      </c>
      <c r="DG370" s="125">
        <f t="shared" si="296"/>
        <v>1</v>
      </c>
      <c r="DH370" s="125">
        <f t="shared" si="402"/>
        <v>2</v>
      </c>
      <c r="DI370" s="125">
        <f t="shared" si="402"/>
        <v>3</v>
      </c>
      <c r="DJ370" s="125">
        <f t="shared" si="402"/>
        <v>4</v>
      </c>
      <c r="DK370" s="125">
        <f t="shared" si="402"/>
        <v>5</v>
      </c>
      <c r="DL370" s="125">
        <f t="shared" si="402"/>
        <v>6</v>
      </c>
      <c r="DM370" s="125">
        <f t="shared" si="402"/>
        <v>7</v>
      </c>
      <c r="DN370" s="125">
        <f t="shared" si="402"/>
        <v>8</v>
      </c>
      <c r="DO370" s="125">
        <f t="shared" si="402"/>
        <v>9</v>
      </c>
      <c r="DP370" s="125">
        <f t="shared" si="402"/>
        <v>10</v>
      </c>
      <c r="DS370" s="137"/>
      <c r="DT370" s="137"/>
      <c r="DU370" s="137"/>
      <c r="DV370" s="137" t="b">
        <f t="shared" si="392"/>
        <v>0</v>
      </c>
      <c r="DW370" s="137" t="b">
        <f t="shared" si="393"/>
        <v>0</v>
      </c>
      <c r="DX370" s="137" t="b">
        <f t="shared" si="394"/>
        <v>1</v>
      </c>
      <c r="EB370" s="131">
        <f t="shared" si="395"/>
        <v>1</v>
      </c>
      <c r="EC370" s="137" t="b">
        <f t="shared" si="396"/>
        <v>0</v>
      </c>
      <c r="ED370" s="137" t="b">
        <f t="shared" si="397"/>
        <v>0</v>
      </c>
      <c r="EE370" s="137" t="b">
        <f t="shared" si="398"/>
        <v>1</v>
      </c>
      <c r="EF370" s="137"/>
      <c r="EG370" s="137"/>
      <c r="EH370" s="137"/>
      <c r="EI370" s="137"/>
      <c r="EJ370" s="137">
        <f t="shared" si="399"/>
        <v>1</v>
      </c>
      <c r="EK370" s="125">
        <f t="shared" si="400"/>
        <v>0</v>
      </c>
      <c r="EL370" s="125">
        <f t="shared" si="401"/>
        <v>0</v>
      </c>
    </row>
    <row r="371" spans="2:142" ht="15.75" x14ac:dyDescent="0.2">
      <c r="B371" s="160">
        <f t="shared" si="351"/>
        <v>341</v>
      </c>
      <c r="C371" s="290">
        <v>1001346562</v>
      </c>
      <c r="D371" s="290">
        <v>1001268829</v>
      </c>
      <c r="E371" s="290">
        <v>40371504</v>
      </c>
      <c r="F371" s="118">
        <f>IF(OR(J371="",H371=""),"",VLOOKUP(J371,'הזנה לסיווג רשויות'!$B$2:$D$301,2,0))</f>
        <v>20000253</v>
      </c>
      <c r="G371" s="118" t="str">
        <f>IF(OR(J371="",H371=""),"",VLOOKUP(J371,'הזנה לסיווג רשויות'!$B$2:$D$301,3,0))</f>
        <v>טמרה</v>
      </c>
      <c r="H371" s="293" t="s">
        <v>746</v>
      </c>
      <c r="I371" s="201" t="s">
        <v>373</v>
      </c>
      <c r="J371" s="87">
        <v>8900</v>
      </c>
      <c r="K371" s="161">
        <v>0</v>
      </c>
      <c r="L371" s="161">
        <v>1</v>
      </c>
      <c r="M371" s="161">
        <v>0</v>
      </c>
      <c r="N371" s="161">
        <v>0</v>
      </c>
      <c r="O371" s="161">
        <v>1</v>
      </c>
      <c r="P371" s="161">
        <v>1</v>
      </c>
      <c r="Q371" s="161">
        <v>1</v>
      </c>
      <c r="R371" s="201">
        <v>1403024</v>
      </c>
      <c r="S371" s="201">
        <v>602738</v>
      </c>
      <c r="T371" s="160">
        <f>IF(G371="","",IFERROR(IF(S371/R371&gt;'פרמטרים לקריטריונים'!$C$20,1,0),0))</f>
        <v>1</v>
      </c>
      <c r="U371" s="296">
        <v>602738</v>
      </c>
      <c r="V371" s="160">
        <f>IF(G371="","",IFERROR(IF(U371/R371&gt;'פרמטרים לקריטריונים'!$C$21,1,IF(AND(I371=$BW$5,U371/R371&gt;'פרמטרים לקריטריונים'!$C$22),1,0)),0))</f>
        <v>1</v>
      </c>
      <c r="W371" s="161">
        <v>1</v>
      </c>
      <c r="X371" s="161">
        <v>1</v>
      </c>
      <c r="Y371" s="299">
        <v>1200000</v>
      </c>
      <c r="Z371" s="300">
        <v>600000</v>
      </c>
      <c r="AA371" s="161">
        <f t="shared" si="403"/>
        <v>1</v>
      </c>
      <c r="AB371" s="161"/>
      <c r="AC371" s="161"/>
      <c r="AD371" s="161"/>
      <c r="AE371" s="161"/>
      <c r="AF371" s="161"/>
      <c r="AG371" s="161"/>
      <c r="AH371" s="161"/>
      <c r="AI371" s="161"/>
      <c r="AJ371" s="161"/>
      <c r="AK371" s="161"/>
      <c r="AL371" s="161"/>
      <c r="AM371" s="161"/>
      <c r="AN371" s="161"/>
      <c r="AO371" s="161"/>
      <c r="AP371" s="161"/>
      <c r="AQ371" s="161"/>
      <c r="AR371" s="161"/>
      <c r="AS371" s="161"/>
      <c r="AT371" s="161"/>
      <c r="AU371" s="161"/>
      <c r="AV371" s="161"/>
      <c r="AW371" s="160"/>
      <c r="AX371" s="161"/>
      <c r="AY371" s="161"/>
      <c r="AZ371" s="161"/>
      <c r="BA371" s="161"/>
      <c r="BB371" s="161"/>
      <c r="BC371" s="161"/>
      <c r="BD371" s="161"/>
      <c r="BE371" s="161"/>
      <c r="BF371" s="160" t="str">
        <f t="shared" si="352"/>
        <v/>
      </c>
      <c r="BG371" s="160"/>
      <c r="BH371" s="160"/>
      <c r="BI371" s="160"/>
      <c r="BJ371" s="160"/>
      <c r="BK371" s="160"/>
      <c r="BL371" s="162">
        <f t="shared" si="353"/>
        <v>1</v>
      </c>
      <c r="BM371" s="257"/>
      <c r="BN371" s="163"/>
      <c r="BO371" s="211" t="str">
        <f t="shared" si="354"/>
        <v>סינמה דרמה (ע"ר)תיאטרון</v>
      </c>
      <c r="BP371" s="125">
        <f t="shared" si="355"/>
        <v>1</v>
      </c>
      <c r="BQ371" s="164">
        <v>0</v>
      </c>
      <c r="BR371" s="164">
        <v>1</v>
      </c>
      <c r="BS371" s="149">
        <f t="shared" si="356"/>
        <v>1</v>
      </c>
      <c r="BT371" s="149">
        <f t="shared" si="357"/>
        <v>1</v>
      </c>
      <c r="BU371" s="149">
        <f t="shared" si="358"/>
        <v>1</v>
      </c>
      <c r="BV371" s="149">
        <f t="shared" si="359"/>
        <v>1</v>
      </c>
      <c r="BW371" s="149">
        <f t="shared" si="360"/>
        <v>1</v>
      </c>
      <c r="BX371" s="149">
        <f t="shared" si="361"/>
        <v>1</v>
      </c>
      <c r="BY371" s="149">
        <f t="shared" si="362"/>
        <v>1</v>
      </c>
      <c r="BZ371" s="149">
        <f t="shared" si="363"/>
        <v>1</v>
      </c>
      <c r="CA371" s="149">
        <f t="shared" si="364"/>
        <v>1</v>
      </c>
      <c r="CB371" s="149">
        <f t="shared" si="365"/>
        <v>1</v>
      </c>
      <c r="CC371" s="149">
        <f t="shared" si="366"/>
        <v>1</v>
      </c>
      <c r="CD371" s="149">
        <f t="shared" si="367"/>
        <v>1</v>
      </c>
      <c r="CE371" s="149">
        <f t="shared" si="368"/>
        <v>1</v>
      </c>
      <c r="CF371" s="149">
        <f t="shared" si="369"/>
        <v>1</v>
      </c>
      <c r="CG371" s="149">
        <f t="shared" si="370"/>
        <v>1</v>
      </c>
      <c r="CH371" s="149">
        <f t="shared" si="371"/>
        <v>1</v>
      </c>
      <c r="CI371" s="149">
        <f t="shared" si="372"/>
        <v>1</v>
      </c>
      <c r="CJ371" s="149">
        <f t="shared" si="373"/>
        <v>1</v>
      </c>
      <c r="CK371" s="149">
        <f t="shared" si="374"/>
        <v>1</v>
      </c>
      <c r="CL371" s="149">
        <f t="shared" si="375"/>
        <v>1</v>
      </c>
      <c r="CM371" s="149">
        <f t="shared" si="376"/>
        <v>1</v>
      </c>
      <c r="CN371" s="149">
        <f t="shared" si="377"/>
        <v>1</v>
      </c>
      <c r="CO371" s="149">
        <f t="shared" si="378"/>
        <v>1</v>
      </c>
      <c r="CP371" s="149">
        <f t="shared" si="379"/>
        <v>1</v>
      </c>
      <c r="CQ371" s="149">
        <f t="shared" si="380"/>
        <v>1</v>
      </c>
      <c r="CR371" s="149">
        <f t="shared" si="381"/>
        <v>1</v>
      </c>
      <c r="CS371" s="149">
        <f t="shared" si="382"/>
        <v>1</v>
      </c>
      <c r="CT371" s="149">
        <f t="shared" si="383"/>
        <v>1</v>
      </c>
      <c r="CU371" s="149">
        <f t="shared" si="384"/>
        <v>1</v>
      </c>
      <c r="CV371" s="149">
        <f t="shared" si="385"/>
        <v>1</v>
      </c>
      <c r="CW371" s="149">
        <f t="shared" si="386"/>
        <v>1</v>
      </c>
      <c r="CX371" s="149">
        <f t="shared" si="387"/>
        <v>1</v>
      </c>
      <c r="CY371" s="149">
        <f t="shared" si="388"/>
        <v>1</v>
      </c>
      <c r="CZ371" s="149">
        <f t="shared" si="389"/>
        <v>1</v>
      </c>
      <c r="DA371" s="149">
        <f t="shared" si="390"/>
        <v>1</v>
      </c>
      <c r="DB371" s="149">
        <f t="shared" si="391"/>
        <v>1</v>
      </c>
      <c r="DG371" s="125">
        <f t="shared" si="296"/>
        <v>1</v>
      </c>
      <c r="DH371" s="125">
        <f t="shared" si="402"/>
        <v>2</v>
      </c>
      <c r="DI371" s="125">
        <f t="shared" si="402"/>
        <v>3</v>
      </c>
      <c r="DJ371" s="125">
        <f t="shared" si="402"/>
        <v>4</v>
      </c>
      <c r="DK371" s="125">
        <f t="shared" si="402"/>
        <v>5</v>
      </c>
      <c r="DL371" s="125">
        <f t="shared" si="402"/>
        <v>6</v>
      </c>
      <c r="DM371" s="125">
        <f t="shared" si="402"/>
        <v>7</v>
      </c>
      <c r="DN371" s="125">
        <f t="shared" si="402"/>
        <v>8</v>
      </c>
      <c r="DO371" s="125">
        <f t="shared" si="402"/>
        <v>9</v>
      </c>
      <c r="DP371" s="125">
        <f t="shared" si="402"/>
        <v>10</v>
      </c>
      <c r="DS371" s="137"/>
      <c r="DT371" s="137"/>
      <c r="DU371" s="137"/>
      <c r="DV371" s="137" t="b">
        <f t="shared" si="392"/>
        <v>0</v>
      </c>
      <c r="DW371" s="137" t="b">
        <f t="shared" si="393"/>
        <v>0</v>
      </c>
      <c r="DX371" s="137" t="b">
        <f t="shared" si="394"/>
        <v>1</v>
      </c>
      <c r="EB371" s="131">
        <f t="shared" si="395"/>
        <v>1</v>
      </c>
      <c r="EC371" s="137" t="b">
        <f t="shared" si="396"/>
        <v>0</v>
      </c>
      <c r="ED371" s="137" t="b">
        <f t="shared" si="397"/>
        <v>0</v>
      </c>
      <c r="EE371" s="137" t="b">
        <f t="shared" si="398"/>
        <v>1</v>
      </c>
      <c r="EF371" s="137"/>
      <c r="EG371" s="137"/>
      <c r="EH371" s="137"/>
      <c r="EI371" s="137"/>
      <c r="EJ371" s="137">
        <f t="shared" si="399"/>
        <v>1</v>
      </c>
      <c r="EK371" s="125">
        <f t="shared" si="400"/>
        <v>0</v>
      </c>
      <c r="EL371" s="125">
        <f t="shared" si="401"/>
        <v>0</v>
      </c>
    </row>
    <row r="372" spans="2:142" ht="15.75" x14ac:dyDescent="0.2">
      <c r="B372" s="160">
        <f t="shared" si="351"/>
        <v>342</v>
      </c>
      <c r="C372" s="290">
        <v>1001349210</v>
      </c>
      <c r="D372" s="290">
        <v>1001288841</v>
      </c>
      <c r="E372" s="290">
        <v>40465932</v>
      </c>
      <c r="F372" s="118">
        <f>IF(OR(J372="",H372=""),"",VLOOKUP(J372,'הזנה לסיווג רשויות'!$B$2:$D$301,2,0))</f>
        <v>20000159</v>
      </c>
      <c r="G372" s="118" t="str">
        <f>IF(OR(J372="",H372=""),"",VLOOKUP(J372,'הזנה לסיווג רשויות'!$B$2:$D$301,3,0))</f>
        <v>ירושלים</v>
      </c>
      <c r="H372" s="293" t="s">
        <v>747</v>
      </c>
      <c r="I372" s="201" t="s">
        <v>373</v>
      </c>
      <c r="J372" s="294">
        <v>3000</v>
      </c>
      <c r="K372" s="161">
        <v>0</v>
      </c>
      <c r="L372" s="161">
        <v>1</v>
      </c>
      <c r="M372" s="161">
        <v>0</v>
      </c>
      <c r="N372" s="161">
        <v>1</v>
      </c>
      <c r="O372" s="161">
        <v>0</v>
      </c>
      <c r="P372" s="161">
        <v>1</v>
      </c>
      <c r="Q372" s="161">
        <v>1</v>
      </c>
      <c r="R372" s="201">
        <v>5829172</v>
      </c>
      <c r="S372" s="201">
        <v>2617067</v>
      </c>
      <c r="T372" s="160">
        <f>IF(G372="","",IFERROR(IF(S372/R372&gt;'פרמטרים לקריטריונים'!$C$20,1,0),0))</f>
        <v>1</v>
      </c>
      <c r="U372" s="296">
        <v>2617067</v>
      </c>
      <c r="V372" s="160">
        <f>IF(G372="","",IFERROR(IF(U372/R372&gt;'פרמטרים לקריטריונים'!$C$21,1,IF(AND(I372=$BW$5,U372/R372&gt;'פרמטרים לקריטריונים'!$C$22),1,0)),0))</f>
        <v>1</v>
      </c>
      <c r="W372" s="161">
        <v>1</v>
      </c>
      <c r="X372" s="161">
        <v>1</v>
      </c>
      <c r="Y372" s="299">
        <v>800000</v>
      </c>
      <c r="Z372" s="300">
        <v>1</v>
      </c>
      <c r="AA372" s="161">
        <f t="shared" si="403"/>
        <v>1</v>
      </c>
      <c r="AB372" s="161"/>
      <c r="AC372" s="161"/>
      <c r="AD372" s="161"/>
      <c r="AE372" s="161"/>
      <c r="AF372" s="161"/>
      <c r="AG372" s="161"/>
      <c r="AH372" s="161"/>
      <c r="AI372" s="161"/>
      <c r="AJ372" s="161"/>
      <c r="AK372" s="161"/>
      <c r="AL372" s="161"/>
      <c r="AM372" s="161"/>
      <c r="AN372" s="161"/>
      <c r="AO372" s="161"/>
      <c r="AP372" s="161"/>
      <c r="AQ372" s="161"/>
      <c r="AR372" s="161"/>
      <c r="AS372" s="161"/>
      <c r="AT372" s="161"/>
      <c r="AU372" s="161"/>
      <c r="AV372" s="161"/>
      <c r="AW372" s="160"/>
      <c r="AX372" s="161"/>
      <c r="AY372" s="161"/>
      <c r="AZ372" s="161"/>
      <c r="BA372" s="161"/>
      <c r="BB372" s="161"/>
      <c r="BC372" s="161"/>
      <c r="BD372" s="161"/>
      <c r="BE372" s="161"/>
      <c r="BF372" s="160" t="str">
        <f t="shared" si="352"/>
        <v/>
      </c>
      <c r="BG372" s="160"/>
      <c r="BH372" s="160"/>
      <c r="BI372" s="160"/>
      <c r="BJ372" s="160"/>
      <c r="BK372" s="160"/>
      <c r="BL372" s="162">
        <f t="shared" si="353"/>
        <v>1</v>
      </c>
      <c r="BM372" s="257"/>
      <c r="BN372" s="163"/>
      <c r="BO372" s="211" t="str">
        <f t="shared" si="354"/>
        <v>תיאטרון האינקובטור (ע"ר)תיאטרון</v>
      </c>
      <c r="BP372" s="125">
        <f t="shared" si="355"/>
        <v>1</v>
      </c>
      <c r="BQ372" s="164">
        <v>0</v>
      </c>
      <c r="BR372" s="164">
        <v>1</v>
      </c>
      <c r="BS372" s="149">
        <f t="shared" si="356"/>
        <v>1</v>
      </c>
      <c r="BT372" s="149">
        <f t="shared" si="357"/>
        <v>1</v>
      </c>
      <c r="BU372" s="149">
        <f t="shared" si="358"/>
        <v>1</v>
      </c>
      <c r="BV372" s="149">
        <f t="shared" si="359"/>
        <v>1</v>
      </c>
      <c r="BW372" s="149">
        <f t="shared" si="360"/>
        <v>1</v>
      </c>
      <c r="BX372" s="149">
        <f t="shared" si="361"/>
        <v>1</v>
      </c>
      <c r="BY372" s="149">
        <f t="shared" si="362"/>
        <v>1</v>
      </c>
      <c r="BZ372" s="149">
        <f t="shared" si="363"/>
        <v>1</v>
      </c>
      <c r="CA372" s="149">
        <f t="shared" si="364"/>
        <v>1</v>
      </c>
      <c r="CB372" s="149">
        <f t="shared" si="365"/>
        <v>1</v>
      </c>
      <c r="CC372" s="149">
        <f t="shared" si="366"/>
        <v>1</v>
      </c>
      <c r="CD372" s="149">
        <f t="shared" si="367"/>
        <v>1</v>
      </c>
      <c r="CE372" s="149">
        <f t="shared" si="368"/>
        <v>1</v>
      </c>
      <c r="CF372" s="149">
        <f t="shared" si="369"/>
        <v>1</v>
      </c>
      <c r="CG372" s="149">
        <f t="shared" si="370"/>
        <v>1</v>
      </c>
      <c r="CH372" s="149">
        <f t="shared" si="371"/>
        <v>1</v>
      </c>
      <c r="CI372" s="149">
        <f t="shared" si="372"/>
        <v>1</v>
      </c>
      <c r="CJ372" s="149">
        <f t="shared" si="373"/>
        <v>1</v>
      </c>
      <c r="CK372" s="149">
        <f t="shared" si="374"/>
        <v>1</v>
      </c>
      <c r="CL372" s="149">
        <f t="shared" si="375"/>
        <v>1</v>
      </c>
      <c r="CM372" s="149">
        <f t="shared" si="376"/>
        <v>1</v>
      </c>
      <c r="CN372" s="149">
        <f t="shared" si="377"/>
        <v>1</v>
      </c>
      <c r="CO372" s="149">
        <f t="shared" si="378"/>
        <v>1</v>
      </c>
      <c r="CP372" s="149">
        <f t="shared" si="379"/>
        <v>1</v>
      </c>
      <c r="CQ372" s="149">
        <f t="shared" si="380"/>
        <v>1</v>
      </c>
      <c r="CR372" s="149">
        <f t="shared" si="381"/>
        <v>1</v>
      </c>
      <c r="CS372" s="149">
        <f t="shared" si="382"/>
        <v>1</v>
      </c>
      <c r="CT372" s="149">
        <f t="shared" si="383"/>
        <v>1</v>
      </c>
      <c r="CU372" s="149">
        <f t="shared" si="384"/>
        <v>1</v>
      </c>
      <c r="CV372" s="149">
        <f t="shared" si="385"/>
        <v>1</v>
      </c>
      <c r="CW372" s="149">
        <f t="shared" si="386"/>
        <v>1</v>
      </c>
      <c r="CX372" s="149">
        <f t="shared" si="387"/>
        <v>1</v>
      </c>
      <c r="CY372" s="149">
        <f t="shared" si="388"/>
        <v>1</v>
      </c>
      <c r="CZ372" s="149">
        <f t="shared" si="389"/>
        <v>1</v>
      </c>
      <c r="DA372" s="149">
        <f t="shared" si="390"/>
        <v>1</v>
      </c>
      <c r="DB372" s="149">
        <f t="shared" si="391"/>
        <v>1</v>
      </c>
      <c r="DG372" s="125">
        <f t="shared" si="296"/>
        <v>1</v>
      </c>
      <c r="DH372" s="125">
        <f t="shared" si="402"/>
        <v>2</v>
      </c>
      <c r="DI372" s="125">
        <f t="shared" si="402"/>
        <v>3</v>
      </c>
      <c r="DJ372" s="125">
        <f t="shared" si="402"/>
        <v>4</v>
      </c>
      <c r="DK372" s="125">
        <f t="shared" si="402"/>
        <v>5</v>
      </c>
      <c r="DL372" s="125">
        <f t="shared" si="402"/>
        <v>6</v>
      </c>
      <c r="DM372" s="125">
        <f t="shared" si="402"/>
        <v>7</v>
      </c>
      <c r="DN372" s="125">
        <f t="shared" si="402"/>
        <v>8</v>
      </c>
      <c r="DO372" s="125">
        <f t="shared" si="402"/>
        <v>9</v>
      </c>
      <c r="DP372" s="125">
        <f t="shared" si="402"/>
        <v>10</v>
      </c>
      <c r="DS372" s="137"/>
      <c r="DT372" s="137"/>
      <c r="DU372" s="137"/>
      <c r="DV372" s="137" t="b">
        <f t="shared" si="392"/>
        <v>0</v>
      </c>
      <c r="DW372" s="137" t="b">
        <f t="shared" si="393"/>
        <v>0</v>
      </c>
      <c r="DX372" s="137" t="b">
        <f t="shared" si="394"/>
        <v>1</v>
      </c>
      <c r="EB372" s="131">
        <f t="shared" si="395"/>
        <v>1</v>
      </c>
      <c r="EC372" s="137" t="b">
        <f t="shared" si="396"/>
        <v>0</v>
      </c>
      <c r="ED372" s="137" t="b">
        <f t="shared" si="397"/>
        <v>0</v>
      </c>
      <c r="EE372" s="137" t="b">
        <f t="shared" si="398"/>
        <v>1</v>
      </c>
      <c r="EF372" s="137"/>
      <c r="EG372" s="137"/>
      <c r="EH372" s="137"/>
      <c r="EI372" s="137"/>
      <c r="EJ372" s="137">
        <f t="shared" si="399"/>
        <v>1</v>
      </c>
      <c r="EK372" s="125">
        <f t="shared" si="400"/>
        <v>0</v>
      </c>
      <c r="EL372" s="125">
        <f t="shared" si="401"/>
        <v>0</v>
      </c>
    </row>
    <row r="373" spans="2:142" ht="15.75" x14ac:dyDescent="0.2">
      <c r="B373" s="160">
        <f t="shared" si="351"/>
        <v>343</v>
      </c>
      <c r="C373" s="290">
        <v>1001349220</v>
      </c>
      <c r="D373" s="290">
        <v>1001280749</v>
      </c>
      <c r="E373" s="290">
        <v>40465932</v>
      </c>
      <c r="F373" s="118">
        <f>IF(OR(J373="",H373=""),"",VLOOKUP(J373,'הזנה לסיווג רשויות'!$B$2:$D$301,2,0))</f>
        <v>20000159</v>
      </c>
      <c r="G373" s="118" t="str">
        <f>IF(OR(J373="",H373=""),"",VLOOKUP(J373,'הזנה לסיווג רשויות'!$B$2:$D$301,3,0))</f>
        <v>ירושלים</v>
      </c>
      <c r="H373" s="293" t="s">
        <v>747</v>
      </c>
      <c r="I373" s="201" t="s">
        <v>392</v>
      </c>
      <c r="J373" s="294">
        <v>3000</v>
      </c>
      <c r="K373" s="161">
        <v>0</v>
      </c>
      <c r="L373" s="161">
        <v>1</v>
      </c>
      <c r="M373" s="161">
        <v>0</v>
      </c>
      <c r="N373" s="161">
        <v>1</v>
      </c>
      <c r="O373" s="161">
        <v>0</v>
      </c>
      <c r="P373" s="161">
        <v>1</v>
      </c>
      <c r="Q373" s="161">
        <v>1</v>
      </c>
      <c r="R373" s="201">
        <v>2338931</v>
      </c>
      <c r="S373" s="201">
        <v>1732151</v>
      </c>
      <c r="T373" s="160">
        <f>IF(G373="","",IFERROR(IF(S373/R373&gt;'פרמטרים לקריטריונים'!$C$20,1,0),0))</f>
        <v>1</v>
      </c>
      <c r="U373" s="296">
        <v>1732151</v>
      </c>
      <c r="V373" s="160">
        <f>IF(G373="","",IFERROR(IF(U373/R373&gt;'פרמטרים לקריטריונים'!$C$21,1,IF(AND(I373=$BW$5,U373/R373&gt;'פרמטרים לקריטריונים'!$C$22),1,0)),0))</f>
        <v>1</v>
      </c>
      <c r="W373" s="161">
        <v>1</v>
      </c>
      <c r="X373" s="161">
        <v>1</v>
      </c>
      <c r="Y373" s="299">
        <v>500000</v>
      </c>
      <c r="Z373" s="300">
        <v>1</v>
      </c>
      <c r="AA373" s="161">
        <f t="shared" si="403"/>
        <v>1</v>
      </c>
      <c r="AB373" s="161"/>
      <c r="AC373" s="161"/>
      <c r="AD373" s="161"/>
      <c r="AE373" s="161"/>
      <c r="AF373" s="161"/>
      <c r="AG373" s="161"/>
      <c r="AH373" s="161"/>
      <c r="AI373" s="161"/>
      <c r="AJ373" s="161"/>
      <c r="AK373" s="161"/>
      <c r="AL373" s="161"/>
      <c r="AM373" s="161"/>
      <c r="AN373" s="161"/>
      <c r="AO373" s="161"/>
      <c r="AP373" s="161"/>
      <c r="AQ373" s="161"/>
      <c r="AR373" s="161"/>
      <c r="AS373" s="161"/>
      <c r="AT373" s="161"/>
      <c r="AU373" s="161"/>
      <c r="AV373" s="161"/>
      <c r="AW373" s="160"/>
      <c r="AX373" s="161"/>
      <c r="AY373" s="161"/>
      <c r="AZ373" s="161"/>
      <c r="BA373" s="161"/>
      <c r="BB373" s="161"/>
      <c r="BC373" s="161"/>
      <c r="BD373" s="161"/>
      <c r="BE373" s="161"/>
      <c r="BF373" s="160" t="str">
        <f t="shared" si="352"/>
        <v/>
      </c>
      <c r="BG373" s="160"/>
      <c r="BH373" s="160"/>
      <c r="BI373" s="160"/>
      <c r="BJ373" s="160"/>
      <c r="BK373" s="160"/>
      <c r="BL373" s="162">
        <f t="shared" si="353"/>
        <v>1</v>
      </c>
      <c r="BM373" s="257"/>
      <c r="BN373" s="163"/>
      <c r="BO373" s="211" t="str">
        <f t="shared" si="354"/>
        <v>תיאטרון האינקובטור (ע"ר)ספרות</v>
      </c>
      <c r="BP373" s="125">
        <f t="shared" si="355"/>
        <v>1</v>
      </c>
      <c r="BQ373" s="164">
        <v>0</v>
      </c>
      <c r="BR373" s="164">
        <v>1</v>
      </c>
      <c r="BS373" s="149">
        <f t="shared" si="356"/>
        <v>1</v>
      </c>
      <c r="BT373" s="149">
        <f t="shared" si="357"/>
        <v>1</v>
      </c>
      <c r="BU373" s="149">
        <f t="shared" si="358"/>
        <v>1</v>
      </c>
      <c r="BV373" s="149">
        <f t="shared" si="359"/>
        <v>1</v>
      </c>
      <c r="BW373" s="149">
        <f t="shared" si="360"/>
        <v>1</v>
      </c>
      <c r="BX373" s="149">
        <f t="shared" si="361"/>
        <v>1</v>
      </c>
      <c r="BY373" s="149">
        <f t="shared" si="362"/>
        <v>1</v>
      </c>
      <c r="BZ373" s="149">
        <f t="shared" si="363"/>
        <v>1</v>
      </c>
      <c r="CA373" s="149">
        <f t="shared" si="364"/>
        <v>1</v>
      </c>
      <c r="CB373" s="149">
        <f t="shared" si="365"/>
        <v>1</v>
      </c>
      <c r="CC373" s="149">
        <f t="shared" si="366"/>
        <v>1</v>
      </c>
      <c r="CD373" s="149">
        <f t="shared" si="367"/>
        <v>1</v>
      </c>
      <c r="CE373" s="149">
        <f t="shared" si="368"/>
        <v>1</v>
      </c>
      <c r="CF373" s="149">
        <f t="shared" si="369"/>
        <v>1</v>
      </c>
      <c r="CG373" s="149">
        <f t="shared" si="370"/>
        <v>1</v>
      </c>
      <c r="CH373" s="149">
        <f t="shared" si="371"/>
        <v>1</v>
      </c>
      <c r="CI373" s="149">
        <f t="shared" si="372"/>
        <v>1</v>
      </c>
      <c r="CJ373" s="149">
        <f t="shared" si="373"/>
        <v>1</v>
      </c>
      <c r="CK373" s="149">
        <f t="shared" si="374"/>
        <v>1</v>
      </c>
      <c r="CL373" s="149">
        <f t="shared" si="375"/>
        <v>1</v>
      </c>
      <c r="CM373" s="149">
        <f t="shared" si="376"/>
        <v>1</v>
      </c>
      <c r="CN373" s="149">
        <f t="shared" si="377"/>
        <v>1</v>
      </c>
      <c r="CO373" s="149">
        <f t="shared" si="378"/>
        <v>1</v>
      </c>
      <c r="CP373" s="149">
        <f t="shared" si="379"/>
        <v>1</v>
      </c>
      <c r="CQ373" s="149">
        <f t="shared" si="380"/>
        <v>1</v>
      </c>
      <c r="CR373" s="149">
        <f t="shared" si="381"/>
        <v>1</v>
      </c>
      <c r="CS373" s="149">
        <f t="shared" si="382"/>
        <v>1</v>
      </c>
      <c r="CT373" s="149">
        <f t="shared" si="383"/>
        <v>1</v>
      </c>
      <c r="CU373" s="149">
        <f t="shared" si="384"/>
        <v>1</v>
      </c>
      <c r="CV373" s="149">
        <f t="shared" si="385"/>
        <v>1</v>
      </c>
      <c r="CW373" s="149">
        <f t="shared" si="386"/>
        <v>1</v>
      </c>
      <c r="CX373" s="149">
        <f t="shared" si="387"/>
        <v>1</v>
      </c>
      <c r="CY373" s="149">
        <f t="shared" si="388"/>
        <v>1</v>
      </c>
      <c r="CZ373" s="149">
        <f t="shared" si="389"/>
        <v>1</v>
      </c>
      <c r="DA373" s="149">
        <f t="shared" si="390"/>
        <v>1</v>
      </c>
      <c r="DB373" s="149">
        <f t="shared" si="391"/>
        <v>1</v>
      </c>
      <c r="DG373" s="125">
        <f t="shared" si="296"/>
        <v>1</v>
      </c>
      <c r="DH373" s="125">
        <f t="shared" si="402"/>
        <v>2</v>
      </c>
      <c r="DI373" s="125">
        <f t="shared" si="402"/>
        <v>3</v>
      </c>
      <c r="DJ373" s="125">
        <f t="shared" si="402"/>
        <v>4</v>
      </c>
      <c r="DK373" s="125">
        <f t="shared" si="402"/>
        <v>5</v>
      </c>
      <c r="DL373" s="125">
        <f t="shared" si="402"/>
        <v>6</v>
      </c>
      <c r="DM373" s="125">
        <f t="shared" si="402"/>
        <v>7</v>
      </c>
      <c r="DN373" s="125">
        <f t="shared" si="402"/>
        <v>8</v>
      </c>
      <c r="DO373" s="125">
        <f t="shared" si="402"/>
        <v>9</v>
      </c>
      <c r="DP373" s="125">
        <f t="shared" si="402"/>
        <v>10</v>
      </c>
      <c r="DS373" s="137"/>
      <c r="DT373" s="137"/>
      <c r="DU373" s="137"/>
      <c r="DV373" s="137" t="b">
        <f t="shared" si="392"/>
        <v>0</v>
      </c>
      <c r="DW373" s="137" t="b">
        <f t="shared" si="393"/>
        <v>0</v>
      </c>
      <c r="DX373" s="137" t="b">
        <f t="shared" si="394"/>
        <v>1</v>
      </c>
      <c r="EB373" s="131">
        <f t="shared" si="395"/>
        <v>1</v>
      </c>
      <c r="EC373" s="137" t="b">
        <f t="shared" si="396"/>
        <v>0</v>
      </c>
      <c r="ED373" s="137" t="b">
        <f t="shared" si="397"/>
        <v>0</v>
      </c>
      <c r="EE373" s="137" t="b">
        <f t="shared" si="398"/>
        <v>1</v>
      </c>
      <c r="EF373" s="137"/>
      <c r="EG373" s="137"/>
      <c r="EH373" s="137"/>
      <c r="EI373" s="137"/>
      <c r="EJ373" s="137">
        <f t="shared" si="399"/>
        <v>1</v>
      </c>
      <c r="EK373" s="125">
        <f t="shared" si="400"/>
        <v>0</v>
      </c>
      <c r="EL373" s="125">
        <f t="shared" si="401"/>
        <v>0</v>
      </c>
    </row>
    <row r="374" spans="2:142" ht="15.75" x14ac:dyDescent="0.2">
      <c r="B374" s="160">
        <f t="shared" si="351"/>
        <v>344</v>
      </c>
      <c r="C374" s="290">
        <v>1001350587</v>
      </c>
      <c r="D374" s="290">
        <v>1001302052</v>
      </c>
      <c r="E374" s="290">
        <v>40822203</v>
      </c>
      <c r="F374" s="118">
        <f>IF(OR(J374="",H374=""),"",VLOOKUP(J374,'הזנה לסיווג רשויות'!$B$2:$D$301,2,0))</f>
        <v>20000159</v>
      </c>
      <c r="G374" s="118" t="str">
        <f>IF(OR(J374="",H374=""),"",VLOOKUP(J374,'הזנה לסיווג רשויות'!$B$2:$D$301,3,0))</f>
        <v>ירושלים</v>
      </c>
      <c r="H374" s="293" t="s">
        <v>748</v>
      </c>
      <c r="I374" s="201" t="s">
        <v>378</v>
      </c>
      <c r="J374" s="294">
        <v>3000</v>
      </c>
      <c r="K374" s="161">
        <v>0</v>
      </c>
      <c r="L374" s="161">
        <v>1</v>
      </c>
      <c r="M374" s="161">
        <v>0</v>
      </c>
      <c r="N374" s="161">
        <v>1</v>
      </c>
      <c r="O374" s="161">
        <v>0</v>
      </c>
      <c r="P374" s="161">
        <v>1</v>
      </c>
      <c r="Q374" s="161">
        <v>1</v>
      </c>
      <c r="R374" s="201">
        <v>182000</v>
      </c>
      <c r="S374" s="201">
        <v>58955</v>
      </c>
      <c r="T374" s="160">
        <f>IF(G374="","",IFERROR(IF(S374/R374&gt;'פרמטרים לקריטריונים'!$C$20,1,0),0))</f>
        <v>1</v>
      </c>
      <c r="U374" s="296">
        <v>58955</v>
      </c>
      <c r="V374" s="160">
        <f>IF(G374="","",IFERROR(IF(U374/R374&gt;'פרמטרים לקריטריונים'!$C$21,1,IF(AND(I374=$BW$5,U374/R374&gt;'פרמטרים לקריטריונים'!$C$22),1,0)),0))</f>
        <v>1</v>
      </c>
      <c r="W374" s="161">
        <v>1</v>
      </c>
      <c r="X374" s="161">
        <v>1</v>
      </c>
      <c r="Y374" s="299">
        <v>280000</v>
      </c>
      <c r="Z374" s="300">
        <v>280000</v>
      </c>
      <c r="AA374" s="161">
        <f t="shared" si="403"/>
        <v>1</v>
      </c>
      <c r="AB374" s="161"/>
      <c r="AC374" s="161"/>
      <c r="AD374" s="161"/>
      <c r="AE374" s="161"/>
      <c r="AF374" s="161"/>
      <c r="AG374" s="161"/>
      <c r="AH374" s="161"/>
      <c r="AI374" s="161"/>
      <c r="AJ374" s="161"/>
      <c r="AK374" s="161"/>
      <c r="AL374" s="161"/>
      <c r="AM374" s="161"/>
      <c r="AN374" s="161"/>
      <c r="AO374" s="161"/>
      <c r="AP374" s="161"/>
      <c r="AQ374" s="161"/>
      <c r="AR374" s="161"/>
      <c r="AS374" s="161"/>
      <c r="AT374" s="161"/>
      <c r="AU374" s="161"/>
      <c r="AV374" s="161"/>
      <c r="AW374" s="160"/>
      <c r="AX374" s="161"/>
      <c r="AY374" s="161"/>
      <c r="AZ374" s="161"/>
      <c r="BA374" s="161"/>
      <c r="BB374" s="161"/>
      <c r="BC374" s="161"/>
      <c r="BD374" s="161"/>
      <c r="BE374" s="161"/>
      <c r="BF374" s="160" t="str">
        <f t="shared" si="352"/>
        <v/>
      </c>
      <c r="BG374" s="160"/>
      <c r="BH374" s="160"/>
      <c r="BI374" s="160"/>
      <c r="BJ374" s="160"/>
      <c r="BK374" s="160"/>
      <c r="BL374" s="162">
        <f t="shared" si="353"/>
        <v>1</v>
      </c>
      <c r="BM374" s="257"/>
      <c r="BN374" s="163"/>
      <c r="BO374" s="211" t="str">
        <f t="shared" si="354"/>
        <v>הערת שוליים (ע"ר)מקהלות</v>
      </c>
      <c r="BP374" s="125">
        <f t="shared" si="355"/>
        <v>1</v>
      </c>
      <c r="BQ374" s="164">
        <v>0</v>
      </c>
      <c r="BR374" s="164">
        <v>1</v>
      </c>
      <c r="BS374" s="149">
        <f t="shared" si="356"/>
        <v>1</v>
      </c>
      <c r="BT374" s="149">
        <f t="shared" si="357"/>
        <v>1</v>
      </c>
      <c r="BU374" s="149">
        <f t="shared" si="358"/>
        <v>1</v>
      </c>
      <c r="BV374" s="149">
        <f t="shared" si="359"/>
        <v>1</v>
      </c>
      <c r="BW374" s="149">
        <f t="shared" si="360"/>
        <v>1</v>
      </c>
      <c r="BX374" s="149">
        <f t="shared" si="361"/>
        <v>1</v>
      </c>
      <c r="BY374" s="149">
        <f t="shared" si="362"/>
        <v>1</v>
      </c>
      <c r="BZ374" s="149">
        <f t="shared" si="363"/>
        <v>1</v>
      </c>
      <c r="CA374" s="149">
        <f t="shared" si="364"/>
        <v>1</v>
      </c>
      <c r="CB374" s="149">
        <f t="shared" si="365"/>
        <v>1</v>
      </c>
      <c r="CC374" s="149">
        <f t="shared" si="366"/>
        <v>1</v>
      </c>
      <c r="CD374" s="149">
        <f t="shared" si="367"/>
        <v>1</v>
      </c>
      <c r="CE374" s="149">
        <f t="shared" si="368"/>
        <v>1</v>
      </c>
      <c r="CF374" s="149">
        <f t="shared" si="369"/>
        <v>1</v>
      </c>
      <c r="CG374" s="149">
        <f t="shared" si="370"/>
        <v>1</v>
      </c>
      <c r="CH374" s="149">
        <f t="shared" si="371"/>
        <v>1</v>
      </c>
      <c r="CI374" s="149">
        <f t="shared" si="372"/>
        <v>1</v>
      </c>
      <c r="CJ374" s="149">
        <f t="shared" si="373"/>
        <v>1</v>
      </c>
      <c r="CK374" s="149">
        <f t="shared" si="374"/>
        <v>1</v>
      </c>
      <c r="CL374" s="149">
        <f t="shared" si="375"/>
        <v>1</v>
      </c>
      <c r="CM374" s="149">
        <f t="shared" si="376"/>
        <v>1</v>
      </c>
      <c r="CN374" s="149">
        <f t="shared" si="377"/>
        <v>1</v>
      </c>
      <c r="CO374" s="149">
        <f t="shared" si="378"/>
        <v>1</v>
      </c>
      <c r="CP374" s="149">
        <f t="shared" si="379"/>
        <v>1</v>
      </c>
      <c r="CQ374" s="149">
        <f t="shared" si="380"/>
        <v>1</v>
      </c>
      <c r="CR374" s="149">
        <f t="shared" si="381"/>
        <v>1</v>
      </c>
      <c r="CS374" s="149">
        <f t="shared" si="382"/>
        <v>1</v>
      </c>
      <c r="CT374" s="149">
        <f t="shared" si="383"/>
        <v>1</v>
      </c>
      <c r="CU374" s="149">
        <f t="shared" si="384"/>
        <v>1</v>
      </c>
      <c r="CV374" s="149">
        <f t="shared" si="385"/>
        <v>1</v>
      </c>
      <c r="CW374" s="149">
        <f t="shared" si="386"/>
        <v>1</v>
      </c>
      <c r="CX374" s="149">
        <f t="shared" si="387"/>
        <v>1</v>
      </c>
      <c r="CY374" s="149">
        <f t="shared" si="388"/>
        <v>1</v>
      </c>
      <c r="CZ374" s="149">
        <f t="shared" si="389"/>
        <v>1</v>
      </c>
      <c r="DA374" s="149">
        <f t="shared" si="390"/>
        <v>1</v>
      </c>
      <c r="DB374" s="149">
        <f t="shared" si="391"/>
        <v>1</v>
      </c>
      <c r="DG374" s="125">
        <f t="shared" si="296"/>
        <v>1</v>
      </c>
      <c r="DH374" s="125">
        <f t="shared" si="402"/>
        <v>2</v>
      </c>
      <c r="DI374" s="125">
        <f t="shared" si="402"/>
        <v>3</v>
      </c>
      <c r="DJ374" s="125">
        <f t="shared" si="402"/>
        <v>4</v>
      </c>
      <c r="DK374" s="125">
        <f t="shared" si="402"/>
        <v>5</v>
      </c>
      <c r="DL374" s="125">
        <f t="shared" si="402"/>
        <v>6</v>
      </c>
      <c r="DM374" s="125">
        <f t="shared" si="402"/>
        <v>7</v>
      </c>
      <c r="DN374" s="125">
        <f t="shared" si="402"/>
        <v>8</v>
      </c>
      <c r="DO374" s="125">
        <f t="shared" si="402"/>
        <v>9</v>
      </c>
      <c r="DP374" s="125">
        <f t="shared" si="402"/>
        <v>10</v>
      </c>
      <c r="DS374" s="137"/>
      <c r="DT374" s="137"/>
      <c r="DU374" s="137"/>
      <c r="DV374" s="137" t="b">
        <f t="shared" si="392"/>
        <v>0</v>
      </c>
      <c r="DW374" s="137" t="b">
        <f t="shared" si="393"/>
        <v>0</v>
      </c>
      <c r="DX374" s="137" t="b">
        <f t="shared" si="394"/>
        <v>1</v>
      </c>
      <c r="EB374" s="131">
        <f t="shared" si="395"/>
        <v>1</v>
      </c>
      <c r="EC374" s="137" t="b">
        <f t="shared" si="396"/>
        <v>0</v>
      </c>
      <c r="ED374" s="137" t="b">
        <f t="shared" si="397"/>
        <v>0</v>
      </c>
      <c r="EE374" s="137" t="b">
        <f t="shared" si="398"/>
        <v>1</v>
      </c>
      <c r="EF374" s="137"/>
      <c r="EG374" s="137"/>
      <c r="EH374" s="137"/>
      <c r="EI374" s="137"/>
      <c r="EJ374" s="137">
        <f t="shared" si="399"/>
        <v>1</v>
      </c>
      <c r="EK374" s="125">
        <f t="shared" si="400"/>
        <v>0</v>
      </c>
      <c r="EL374" s="125">
        <f t="shared" si="401"/>
        <v>0</v>
      </c>
    </row>
    <row r="375" spans="2:142" ht="15.75" x14ac:dyDescent="0.2">
      <c r="B375" s="160">
        <f t="shared" si="351"/>
        <v>345</v>
      </c>
      <c r="C375" s="290">
        <v>1001347740</v>
      </c>
      <c r="D375" s="290">
        <v>1001265444</v>
      </c>
      <c r="E375" s="290">
        <v>41376759</v>
      </c>
      <c r="F375" s="118">
        <f>IF(OR(J375="",H375=""),"",VLOOKUP(J375,'הזנה לסיווג רשויות'!$B$2:$D$301,2,0))</f>
        <v>20000159</v>
      </c>
      <c r="G375" s="118" t="str">
        <f>IF(OR(J375="",H375=""),"",VLOOKUP(J375,'הזנה לסיווג רשויות'!$B$2:$D$301,3,0))</f>
        <v>ירושלים</v>
      </c>
      <c r="H375" s="293" t="s">
        <v>749</v>
      </c>
      <c r="I375" s="201" t="s">
        <v>374</v>
      </c>
      <c r="J375" s="294">
        <v>3000</v>
      </c>
      <c r="K375" s="161">
        <v>0</v>
      </c>
      <c r="L375" s="161">
        <v>1</v>
      </c>
      <c r="M375" s="161">
        <v>0</v>
      </c>
      <c r="N375" s="161">
        <v>1</v>
      </c>
      <c r="O375" s="161">
        <v>0</v>
      </c>
      <c r="P375" s="161">
        <v>1</v>
      </c>
      <c r="Q375" s="161">
        <v>1</v>
      </c>
      <c r="R375" s="201">
        <v>693022</v>
      </c>
      <c r="S375" s="201">
        <v>451883</v>
      </c>
      <c r="T375" s="160">
        <f>IF(G375="","",IFERROR(IF(S375/R375&gt;'פרמטרים לקריטריונים'!$C$20,1,0),0))</f>
        <v>1</v>
      </c>
      <c r="U375" s="296">
        <v>325178</v>
      </c>
      <c r="V375" s="160">
        <f>IF(G375="","",IFERROR(IF(U375/R375&gt;'פרמטרים לקריטריונים'!$C$21,1,IF(AND(I375=$BW$5,U375/R375&gt;'פרמטרים לקריטריונים'!$C$22),1,0)),0))</f>
        <v>1</v>
      </c>
      <c r="W375" s="161">
        <v>1</v>
      </c>
      <c r="X375" s="161">
        <v>1</v>
      </c>
      <c r="Y375" s="299">
        <v>600000</v>
      </c>
      <c r="Z375" s="300">
        <v>120000</v>
      </c>
      <c r="AA375" s="161">
        <f t="shared" si="403"/>
        <v>1</v>
      </c>
      <c r="AB375" s="161"/>
      <c r="AC375" s="161"/>
      <c r="AD375" s="161"/>
      <c r="AE375" s="161"/>
      <c r="AF375" s="161"/>
      <c r="AG375" s="161"/>
      <c r="AH375" s="161"/>
      <c r="AI375" s="161"/>
      <c r="AJ375" s="161"/>
      <c r="AK375" s="161"/>
      <c r="AL375" s="161"/>
      <c r="AM375" s="161"/>
      <c r="AN375" s="161"/>
      <c r="AO375" s="161"/>
      <c r="AP375" s="161"/>
      <c r="AQ375" s="161"/>
      <c r="AR375" s="161"/>
      <c r="AS375" s="161"/>
      <c r="AT375" s="161"/>
      <c r="AU375" s="161"/>
      <c r="AV375" s="161"/>
      <c r="AW375" s="160"/>
      <c r="AX375" s="161"/>
      <c r="AY375" s="161"/>
      <c r="AZ375" s="161"/>
      <c r="BA375" s="161"/>
      <c r="BB375" s="161"/>
      <c r="BC375" s="161"/>
      <c r="BD375" s="161"/>
      <c r="BE375" s="161"/>
      <c r="BF375" s="160" t="str">
        <f t="shared" si="352"/>
        <v/>
      </c>
      <c r="BG375" s="160"/>
      <c r="BH375" s="160"/>
      <c r="BI375" s="160"/>
      <c r="BJ375" s="160"/>
      <c r="BK375" s="160"/>
      <c r="BL375" s="162">
        <f t="shared" si="353"/>
        <v>1</v>
      </c>
      <c r="BM375" s="257"/>
      <c r="BN375" s="163"/>
      <c r="BO375" s="211" t="str">
        <f t="shared" si="354"/>
        <v>בין שמיים לארץ (ע"ר)מחול</v>
      </c>
      <c r="BP375" s="125">
        <f t="shared" si="355"/>
        <v>1</v>
      </c>
      <c r="BQ375" s="164">
        <v>0</v>
      </c>
      <c r="BR375" s="164">
        <v>1</v>
      </c>
      <c r="BS375" s="149">
        <f t="shared" si="356"/>
        <v>1</v>
      </c>
      <c r="BT375" s="149">
        <f t="shared" si="357"/>
        <v>1</v>
      </c>
      <c r="BU375" s="149">
        <f t="shared" si="358"/>
        <v>1</v>
      </c>
      <c r="BV375" s="149">
        <f t="shared" si="359"/>
        <v>1</v>
      </c>
      <c r="BW375" s="149">
        <f t="shared" si="360"/>
        <v>1</v>
      </c>
      <c r="BX375" s="149">
        <f t="shared" si="361"/>
        <v>1</v>
      </c>
      <c r="BY375" s="149">
        <f t="shared" si="362"/>
        <v>1</v>
      </c>
      <c r="BZ375" s="149">
        <f t="shared" si="363"/>
        <v>1</v>
      </c>
      <c r="CA375" s="149">
        <f t="shared" si="364"/>
        <v>1</v>
      </c>
      <c r="CB375" s="149">
        <f t="shared" si="365"/>
        <v>1</v>
      </c>
      <c r="CC375" s="149">
        <f t="shared" si="366"/>
        <v>1</v>
      </c>
      <c r="CD375" s="149">
        <f t="shared" si="367"/>
        <v>1</v>
      </c>
      <c r="CE375" s="149">
        <f t="shared" si="368"/>
        <v>1</v>
      </c>
      <c r="CF375" s="149">
        <f t="shared" si="369"/>
        <v>1</v>
      </c>
      <c r="CG375" s="149">
        <f t="shared" si="370"/>
        <v>1</v>
      </c>
      <c r="CH375" s="149">
        <f t="shared" si="371"/>
        <v>1</v>
      </c>
      <c r="CI375" s="149">
        <f t="shared" si="372"/>
        <v>1</v>
      </c>
      <c r="CJ375" s="149">
        <f t="shared" si="373"/>
        <v>1</v>
      </c>
      <c r="CK375" s="149">
        <f t="shared" si="374"/>
        <v>1</v>
      </c>
      <c r="CL375" s="149">
        <f t="shared" si="375"/>
        <v>1</v>
      </c>
      <c r="CM375" s="149">
        <f t="shared" si="376"/>
        <v>1</v>
      </c>
      <c r="CN375" s="149">
        <f t="shared" si="377"/>
        <v>1</v>
      </c>
      <c r="CO375" s="149">
        <f t="shared" si="378"/>
        <v>1</v>
      </c>
      <c r="CP375" s="149">
        <f t="shared" si="379"/>
        <v>1</v>
      </c>
      <c r="CQ375" s="149">
        <f t="shared" si="380"/>
        <v>1</v>
      </c>
      <c r="CR375" s="149">
        <f t="shared" si="381"/>
        <v>1</v>
      </c>
      <c r="CS375" s="149">
        <f t="shared" si="382"/>
        <v>1</v>
      </c>
      <c r="CT375" s="149">
        <f t="shared" si="383"/>
        <v>1</v>
      </c>
      <c r="CU375" s="149">
        <f t="shared" si="384"/>
        <v>1</v>
      </c>
      <c r="CV375" s="149">
        <f t="shared" si="385"/>
        <v>1</v>
      </c>
      <c r="CW375" s="149">
        <f t="shared" si="386"/>
        <v>1</v>
      </c>
      <c r="CX375" s="149">
        <f t="shared" si="387"/>
        <v>1</v>
      </c>
      <c r="CY375" s="149">
        <f t="shared" si="388"/>
        <v>1</v>
      </c>
      <c r="CZ375" s="149">
        <f t="shared" si="389"/>
        <v>1</v>
      </c>
      <c r="DA375" s="149">
        <f t="shared" si="390"/>
        <v>1</v>
      </c>
      <c r="DB375" s="149">
        <f t="shared" si="391"/>
        <v>1</v>
      </c>
      <c r="DG375" s="125">
        <f t="shared" si="296"/>
        <v>1</v>
      </c>
      <c r="DH375" s="125">
        <f t="shared" si="402"/>
        <v>2</v>
      </c>
      <c r="DI375" s="125">
        <f t="shared" si="402"/>
        <v>3</v>
      </c>
      <c r="DJ375" s="125">
        <f t="shared" si="402"/>
        <v>4</v>
      </c>
      <c r="DK375" s="125">
        <f t="shared" si="402"/>
        <v>5</v>
      </c>
      <c r="DL375" s="125">
        <f t="shared" si="402"/>
        <v>6</v>
      </c>
      <c r="DM375" s="125">
        <f t="shared" si="402"/>
        <v>7</v>
      </c>
      <c r="DN375" s="125">
        <f t="shared" si="402"/>
        <v>8</v>
      </c>
      <c r="DO375" s="125">
        <f t="shared" si="402"/>
        <v>9</v>
      </c>
      <c r="DP375" s="125">
        <f t="shared" si="402"/>
        <v>10</v>
      </c>
      <c r="DS375" s="137"/>
      <c r="DT375" s="137"/>
      <c r="DU375" s="137"/>
      <c r="DV375" s="137" t="b">
        <f t="shared" si="392"/>
        <v>0</v>
      </c>
      <c r="DW375" s="137" t="b">
        <f t="shared" si="393"/>
        <v>0</v>
      </c>
      <c r="DX375" s="137" t="b">
        <f t="shared" si="394"/>
        <v>1</v>
      </c>
      <c r="EB375" s="131">
        <f t="shared" si="395"/>
        <v>1</v>
      </c>
      <c r="EC375" s="137" t="b">
        <f t="shared" si="396"/>
        <v>0</v>
      </c>
      <c r="ED375" s="137" t="b">
        <f t="shared" si="397"/>
        <v>0</v>
      </c>
      <c r="EE375" s="137" t="b">
        <f t="shared" si="398"/>
        <v>1</v>
      </c>
      <c r="EF375" s="137"/>
      <c r="EG375" s="137"/>
      <c r="EH375" s="137"/>
      <c r="EI375" s="137"/>
      <c r="EJ375" s="137">
        <f t="shared" si="399"/>
        <v>1</v>
      </c>
      <c r="EK375" s="125">
        <f t="shared" si="400"/>
        <v>0</v>
      </c>
      <c r="EL375" s="125">
        <f t="shared" si="401"/>
        <v>0</v>
      </c>
    </row>
    <row r="376" spans="2:142" ht="15.75" x14ac:dyDescent="0.2">
      <c r="B376" s="160">
        <f t="shared" si="351"/>
        <v>346</v>
      </c>
      <c r="C376" s="290">
        <v>1001348720</v>
      </c>
      <c r="D376" s="290">
        <v>1001266717</v>
      </c>
      <c r="E376" s="290">
        <v>41376759</v>
      </c>
      <c r="F376" s="118">
        <f>IF(OR(J376="",H376=""),"",VLOOKUP(J376,'הזנה לסיווג רשויות'!$B$2:$D$301,2,0))</f>
        <v>20000159</v>
      </c>
      <c r="G376" s="118" t="str">
        <f>IF(OR(J376="",H376=""),"",VLOOKUP(J376,'הזנה לסיווג רשויות'!$B$2:$D$301,3,0))</f>
        <v>ירושלים</v>
      </c>
      <c r="H376" s="293" t="s">
        <v>749</v>
      </c>
      <c r="I376" s="201" t="s">
        <v>379</v>
      </c>
      <c r="J376" s="294">
        <v>3000</v>
      </c>
      <c r="K376" s="161">
        <v>0</v>
      </c>
      <c r="L376" s="161">
        <v>1</v>
      </c>
      <c r="M376" s="161">
        <v>0</v>
      </c>
      <c r="N376" s="161">
        <v>1</v>
      </c>
      <c r="O376" s="161">
        <v>0</v>
      </c>
      <c r="P376" s="161">
        <v>1</v>
      </c>
      <c r="Q376" s="161">
        <v>1</v>
      </c>
      <c r="R376" s="201">
        <v>267825</v>
      </c>
      <c r="S376" s="201">
        <v>103937</v>
      </c>
      <c r="T376" s="160">
        <f>IF(G376="","",IFERROR(IF(S376/R376&gt;'פרמטרים לקריטריונים'!$C$20,1,0),0))</f>
        <v>1</v>
      </c>
      <c r="U376" s="296">
        <v>76462</v>
      </c>
      <c r="V376" s="160">
        <f>IF(G376="","",IFERROR(IF(U376/R376&gt;'פרמטרים לקריטריונים'!$C$21,1,IF(AND(I376=$BW$5,U376/R376&gt;'פרמטרים לקריטריונים'!$C$22),1,0)),0))</f>
        <v>1</v>
      </c>
      <c r="W376" s="161">
        <v>1</v>
      </c>
      <c r="X376" s="161">
        <v>1</v>
      </c>
      <c r="Y376" s="299">
        <v>400000</v>
      </c>
      <c r="Z376" s="300">
        <v>80000</v>
      </c>
      <c r="AA376" s="161">
        <f t="shared" si="403"/>
        <v>1</v>
      </c>
      <c r="AB376" s="161"/>
      <c r="AC376" s="161"/>
      <c r="AD376" s="161"/>
      <c r="AE376" s="161"/>
      <c r="AF376" s="161"/>
      <c r="AG376" s="161"/>
      <c r="AH376" s="161"/>
      <c r="AI376" s="161"/>
      <c r="AJ376" s="161"/>
      <c r="AK376" s="161"/>
      <c r="AL376" s="161"/>
      <c r="AM376" s="161"/>
      <c r="AN376" s="161"/>
      <c r="AO376" s="161"/>
      <c r="AP376" s="161"/>
      <c r="AQ376" s="161"/>
      <c r="AR376" s="161"/>
      <c r="AS376" s="161"/>
      <c r="AT376" s="161"/>
      <c r="AU376" s="161"/>
      <c r="AV376" s="161"/>
      <c r="AW376" s="160"/>
      <c r="AX376" s="161"/>
      <c r="AY376" s="161"/>
      <c r="AZ376" s="161"/>
      <c r="BA376" s="161"/>
      <c r="BB376" s="161"/>
      <c r="BC376" s="161"/>
      <c r="BD376" s="161"/>
      <c r="BE376" s="161"/>
      <c r="BF376" s="160" t="str">
        <f t="shared" si="352"/>
        <v/>
      </c>
      <c r="BG376" s="160"/>
      <c r="BH376" s="160"/>
      <c r="BI376" s="160"/>
      <c r="BJ376" s="160"/>
      <c r="BK376" s="160"/>
      <c r="BL376" s="162">
        <f t="shared" si="353"/>
        <v>1</v>
      </c>
      <c r="BM376" s="257"/>
      <c r="BN376" s="163"/>
      <c r="BO376" s="211" t="str">
        <f t="shared" si="354"/>
        <v>בין שמיים לארץ (ע"ר)יוצרים עצמאיים במחול</v>
      </c>
      <c r="BP376" s="125">
        <f t="shared" si="355"/>
        <v>1</v>
      </c>
      <c r="BQ376" s="164">
        <v>0</v>
      </c>
      <c r="BR376" s="164">
        <v>1</v>
      </c>
      <c r="BS376" s="149">
        <f t="shared" si="356"/>
        <v>1</v>
      </c>
      <c r="BT376" s="149">
        <f t="shared" si="357"/>
        <v>1</v>
      </c>
      <c r="BU376" s="149">
        <f t="shared" si="358"/>
        <v>1</v>
      </c>
      <c r="BV376" s="149">
        <f t="shared" si="359"/>
        <v>1</v>
      </c>
      <c r="BW376" s="149">
        <f t="shared" si="360"/>
        <v>1</v>
      </c>
      <c r="BX376" s="149">
        <f t="shared" si="361"/>
        <v>1</v>
      </c>
      <c r="BY376" s="149">
        <f t="shared" si="362"/>
        <v>1</v>
      </c>
      <c r="BZ376" s="149">
        <f t="shared" si="363"/>
        <v>1</v>
      </c>
      <c r="CA376" s="149">
        <f t="shared" si="364"/>
        <v>1</v>
      </c>
      <c r="CB376" s="149">
        <f t="shared" si="365"/>
        <v>1</v>
      </c>
      <c r="CC376" s="149">
        <f t="shared" si="366"/>
        <v>1</v>
      </c>
      <c r="CD376" s="149">
        <f t="shared" si="367"/>
        <v>1</v>
      </c>
      <c r="CE376" s="149">
        <f t="shared" si="368"/>
        <v>1</v>
      </c>
      <c r="CF376" s="149">
        <f t="shared" si="369"/>
        <v>1</v>
      </c>
      <c r="CG376" s="149">
        <f t="shared" si="370"/>
        <v>1</v>
      </c>
      <c r="CH376" s="149">
        <f t="shared" si="371"/>
        <v>1</v>
      </c>
      <c r="CI376" s="149">
        <f t="shared" si="372"/>
        <v>1</v>
      </c>
      <c r="CJ376" s="149">
        <f t="shared" si="373"/>
        <v>1</v>
      </c>
      <c r="CK376" s="149">
        <f t="shared" si="374"/>
        <v>1</v>
      </c>
      <c r="CL376" s="149">
        <f t="shared" si="375"/>
        <v>1</v>
      </c>
      <c r="CM376" s="149">
        <f t="shared" si="376"/>
        <v>1</v>
      </c>
      <c r="CN376" s="149">
        <f t="shared" si="377"/>
        <v>1</v>
      </c>
      <c r="CO376" s="149">
        <f t="shared" si="378"/>
        <v>1</v>
      </c>
      <c r="CP376" s="149">
        <f t="shared" si="379"/>
        <v>1</v>
      </c>
      <c r="CQ376" s="149">
        <f t="shared" si="380"/>
        <v>1</v>
      </c>
      <c r="CR376" s="149">
        <f t="shared" si="381"/>
        <v>1</v>
      </c>
      <c r="CS376" s="149">
        <f t="shared" si="382"/>
        <v>1</v>
      </c>
      <c r="CT376" s="149">
        <f t="shared" si="383"/>
        <v>1</v>
      </c>
      <c r="CU376" s="149">
        <f t="shared" si="384"/>
        <v>1</v>
      </c>
      <c r="CV376" s="149">
        <f t="shared" si="385"/>
        <v>1</v>
      </c>
      <c r="CW376" s="149">
        <f t="shared" si="386"/>
        <v>1</v>
      </c>
      <c r="CX376" s="149">
        <f t="shared" si="387"/>
        <v>1</v>
      </c>
      <c r="CY376" s="149">
        <f t="shared" si="388"/>
        <v>1</v>
      </c>
      <c r="CZ376" s="149">
        <f t="shared" si="389"/>
        <v>1</v>
      </c>
      <c r="DA376" s="149">
        <f t="shared" si="390"/>
        <v>1</v>
      </c>
      <c r="DB376" s="149">
        <f t="shared" si="391"/>
        <v>1</v>
      </c>
      <c r="DG376" s="125">
        <f t="shared" si="296"/>
        <v>1</v>
      </c>
      <c r="DH376" s="125">
        <f t="shared" si="402"/>
        <v>2</v>
      </c>
      <c r="DI376" s="125">
        <f t="shared" si="402"/>
        <v>3</v>
      </c>
      <c r="DJ376" s="125">
        <f t="shared" si="402"/>
        <v>4</v>
      </c>
      <c r="DK376" s="125">
        <f t="shared" si="402"/>
        <v>5</v>
      </c>
      <c r="DL376" s="125">
        <f t="shared" si="402"/>
        <v>6</v>
      </c>
      <c r="DM376" s="125">
        <f t="shared" si="402"/>
        <v>7</v>
      </c>
      <c r="DN376" s="125">
        <f t="shared" si="402"/>
        <v>8</v>
      </c>
      <c r="DO376" s="125">
        <f t="shared" si="402"/>
        <v>9</v>
      </c>
      <c r="DP376" s="125">
        <f t="shared" si="402"/>
        <v>10</v>
      </c>
      <c r="DS376" s="137"/>
      <c r="DT376" s="137"/>
      <c r="DU376" s="137"/>
      <c r="DV376" s="137" t="b">
        <f t="shared" si="392"/>
        <v>0</v>
      </c>
      <c r="DW376" s="137" t="b">
        <f t="shared" si="393"/>
        <v>0</v>
      </c>
      <c r="DX376" s="137" t="b">
        <f t="shared" si="394"/>
        <v>1</v>
      </c>
      <c r="EB376" s="131">
        <f t="shared" si="395"/>
        <v>1</v>
      </c>
      <c r="EC376" s="137" t="b">
        <f t="shared" si="396"/>
        <v>0</v>
      </c>
      <c r="ED376" s="137" t="b">
        <f t="shared" si="397"/>
        <v>0</v>
      </c>
      <c r="EE376" s="137" t="b">
        <f t="shared" si="398"/>
        <v>1</v>
      </c>
      <c r="EF376" s="137"/>
      <c r="EG376" s="137"/>
      <c r="EH376" s="137"/>
      <c r="EI376" s="137"/>
      <c r="EJ376" s="137">
        <f t="shared" si="399"/>
        <v>1</v>
      </c>
      <c r="EK376" s="125">
        <f t="shared" si="400"/>
        <v>0</v>
      </c>
      <c r="EL376" s="125">
        <f t="shared" si="401"/>
        <v>0</v>
      </c>
    </row>
    <row r="377" spans="2:142" ht="15.75" x14ac:dyDescent="0.2">
      <c r="B377" s="160">
        <f t="shared" si="351"/>
        <v>347</v>
      </c>
      <c r="C377" s="290">
        <v>1001348726</v>
      </c>
      <c r="D377" s="290">
        <v>1001266714</v>
      </c>
      <c r="E377" s="290">
        <v>41376759</v>
      </c>
      <c r="F377" s="118">
        <f>IF(OR(J377="",H377=""),"",VLOOKUP(J377,'הזנה לסיווג רשויות'!$B$2:$D$301,2,0))</f>
        <v>20000159</v>
      </c>
      <c r="G377" s="118" t="str">
        <f>IF(OR(J377="",H377=""),"",VLOOKUP(J377,'הזנה לסיווג רשויות'!$B$2:$D$301,3,0))</f>
        <v>ירושלים</v>
      </c>
      <c r="H377" s="293" t="s">
        <v>749</v>
      </c>
      <c r="I377" s="201" t="s">
        <v>381</v>
      </c>
      <c r="J377" s="294">
        <v>3000</v>
      </c>
      <c r="K377" s="161">
        <v>0</v>
      </c>
      <c r="L377" s="161">
        <v>1</v>
      </c>
      <c r="M377" s="161">
        <v>0</v>
      </c>
      <c r="N377" s="161">
        <v>1</v>
      </c>
      <c r="O377" s="161">
        <v>0</v>
      </c>
      <c r="P377" s="161">
        <v>1</v>
      </c>
      <c r="Q377" s="161">
        <v>1</v>
      </c>
      <c r="R377" s="201">
        <v>369597</v>
      </c>
      <c r="S377" s="201">
        <v>198777</v>
      </c>
      <c r="T377" s="160">
        <f>IF(G377="","",IFERROR(IF(S377/R377&gt;'פרמטרים לקריטריונים'!$C$20,1,0),0))</f>
        <v>1</v>
      </c>
      <c r="U377" s="296">
        <v>128847</v>
      </c>
      <c r="V377" s="160">
        <f>IF(G377="","",IFERROR(IF(U377/R377&gt;'פרמטרים לקריטריונים'!$C$21,1,IF(AND(I377=$BW$5,U377/R377&gt;'פרמטרים לקריטריונים'!$C$22),1,0)),0))</f>
        <v>1</v>
      </c>
      <c r="W377" s="161">
        <v>1</v>
      </c>
      <c r="X377" s="161">
        <v>1</v>
      </c>
      <c r="Y377" s="299">
        <v>400000</v>
      </c>
      <c r="Z377" s="300">
        <v>80000</v>
      </c>
      <c r="AA377" s="161">
        <f t="shared" si="403"/>
        <v>1</v>
      </c>
      <c r="AB377" s="161"/>
      <c r="AC377" s="161"/>
      <c r="AD377" s="161"/>
      <c r="AE377" s="161"/>
      <c r="AF377" s="161"/>
      <c r="AG377" s="161"/>
      <c r="AH377" s="161"/>
      <c r="AI377" s="161"/>
      <c r="AJ377" s="161"/>
      <c r="AK377" s="161"/>
      <c r="AL377" s="161"/>
      <c r="AM377" s="161"/>
      <c r="AN377" s="161"/>
      <c r="AO377" s="161"/>
      <c r="AP377" s="161"/>
      <c r="AQ377" s="161"/>
      <c r="AR377" s="161"/>
      <c r="AS377" s="161"/>
      <c r="AT377" s="161"/>
      <c r="AU377" s="161"/>
      <c r="AV377" s="161"/>
      <c r="AW377" s="160"/>
      <c r="AX377" s="161"/>
      <c r="AY377" s="161"/>
      <c r="AZ377" s="161"/>
      <c r="BA377" s="161"/>
      <c r="BB377" s="161"/>
      <c r="BC377" s="161"/>
      <c r="BD377" s="161"/>
      <c r="BE377" s="161"/>
      <c r="BF377" s="160" t="str">
        <f t="shared" si="352"/>
        <v/>
      </c>
      <c r="BG377" s="160"/>
      <c r="BH377" s="160"/>
      <c r="BI377" s="160"/>
      <c r="BJ377" s="160"/>
      <c r="BK377" s="160"/>
      <c r="BL377" s="162">
        <f t="shared" si="353"/>
        <v>1</v>
      </c>
      <c r="BM377" s="257"/>
      <c r="BN377" s="163"/>
      <c r="BO377" s="211" t="str">
        <f t="shared" si="354"/>
        <v>בין שמיים לארץ (ע"ר)סינמטקים ופסטיבלים</v>
      </c>
      <c r="BP377" s="125">
        <f t="shared" si="355"/>
        <v>1</v>
      </c>
      <c r="BQ377" s="164">
        <v>0</v>
      </c>
      <c r="BR377" s="164">
        <v>1</v>
      </c>
      <c r="BS377" s="149">
        <f t="shared" si="356"/>
        <v>1</v>
      </c>
      <c r="BT377" s="149">
        <f t="shared" si="357"/>
        <v>1</v>
      </c>
      <c r="BU377" s="149">
        <f t="shared" si="358"/>
        <v>1</v>
      </c>
      <c r="BV377" s="149">
        <f t="shared" si="359"/>
        <v>1</v>
      </c>
      <c r="BW377" s="149">
        <f t="shared" si="360"/>
        <v>1</v>
      </c>
      <c r="BX377" s="149">
        <f t="shared" si="361"/>
        <v>1</v>
      </c>
      <c r="BY377" s="149">
        <f t="shared" si="362"/>
        <v>1</v>
      </c>
      <c r="BZ377" s="149">
        <f t="shared" si="363"/>
        <v>1</v>
      </c>
      <c r="CA377" s="149">
        <f t="shared" si="364"/>
        <v>1</v>
      </c>
      <c r="CB377" s="149">
        <f t="shared" si="365"/>
        <v>1</v>
      </c>
      <c r="CC377" s="149">
        <f t="shared" si="366"/>
        <v>1</v>
      </c>
      <c r="CD377" s="149">
        <f t="shared" si="367"/>
        <v>1</v>
      </c>
      <c r="CE377" s="149">
        <f t="shared" si="368"/>
        <v>1</v>
      </c>
      <c r="CF377" s="149">
        <f t="shared" si="369"/>
        <v>1</v>
      </c>
      <c r="CG377" s="149">
        <f t="shared" si="370"/>
        <v>1</v>
      </c>
      <c r="CH377" s="149">
        <f t="shared" si="371"/>
        <v>1</v>
      </c>
      <c r="CI377" s="149">
        <f t="shared" si="372"/>
        <v>1</v>
      </c>
      <c r="CJ377" s="149">
        <f t="shared" si="373"/>
        <v>1</v>
      </c>
      <c r="CK377" s="149">
        <f t="shared" si="374"/>
        <v>1</v>
      </c>
      <c r="CL377" s="149">
        <f t="shared" si="375"/>
        <v>1</v>
      </c>
      <c r="CM377" s="149">
        <f t="shared" si="376"/>
        <v>1</v>
      </c>
      <c r="CN377" s="149">
        <f t="shared" si="377"/>
        <v>1</v>
      </c>
      <c r="CO377" s="149">
        <f t="shared" si="378"/>
        <v>1</v>
      </c>
      <c r="CP377" s="149">
        <f t="shared" si="379"/>
        <v>1</v>
      </c>
      <c r="CQ377" s="149">
        <f t="shared" si="380"/>
        <v>1</v>
      </c>
      <c r="CR377" s="149">
        <f t="shared" si="381"/>
        <v>1</v>
      </c>
      <c r="CS377" s="149">
        <f t="shared" si="382"/>
        <v>1</v>
      </c>
      <c r="CT377" s="149">
        <f t="shared" si="383"/>
        <v>1</v>
      </c>
      <c r="CU377" s="149">
        <f t="shared" si="384"/>
        <v>1</v>
      </c>
      <c r="CV377" s="149">
        <f t="shared" si="385"/>
        <v>1</v>
      </c>
      <c r="CW377" s="149">
        <f t="shared" si="386"/>
        <v>1</v>
      </c>
      <c r="CX377" s="149">
        <f t="shared" si="387"/>
        <v>1</v>
      </c>
      <c r="CY377" s="149">
        <f t="shared" si="388"/>
        <v>1</v>
      </c>
      <c r="CZ377" s="149">
        <f t="shared" si="389"/>
        <v>1</v>
      </c>
      <c r="DA377" s="149">
        <f t="shared" si="390"/>
        <v>1</v>
      </c>
      <c r="DB377" s="149">
        <f t="shared" si="391"/>
        <v>1</v>
      </c>
      <c r="DG377" s="125">
        <f t="shared" si="296"/>
        <v>1</v>
      </c>
      <c r="DH377" s="125">
        <f t="shared" si="402"/>
        <v>2</v>
      </c>
      <c r="DI377" s="125">
        <f t="shared" ref="DH377:DP405" si="404">IF($G377="","",DI$30)</f>
        <v>3</v>
      </c>
      <c r="DJ377" s="125">
        <f t="shared" si="404"/>
        <v>4</v>
      </c>
      <c r="DK377" s="125">
        <f t="shared" si="404"/>
        <v>5</v>
      </c>
      <c r="DL377" s="125">
        <f t="shared" si="404"/>
        <v>6</v>
      </c>
      <c r="DM377" s="125">
        <f t="shared" si="404"/>
        <v>7</v>
      </c>
      <c r="DN377" s="125">
        <f t="shared" si="404"/>
        <v>8</v>
      </c>
      <c r="DO377" s="125">
        <f t="shared" si="404"/>
        <v>9</v>
      </c>
      <c r="DP377" s="125">
        <f t="shared" si="404"/>
        <v>10</v>
      </c>
      <c r="DS377" s="137"/>
      <c r="DT377" s="137"/>
      <c r="DU377" s="137"/>
      <c r="DV377" s="137" t="b">
        <f t="shared" si="392"/>
        <v>0</v>
      </c>
      <c r="DW377" s="137" t="b">
        <f t="shared" si="393"/>
        <v>0</v>
      </c>
      <c r="DX377" s="137" t="b">
        <f t="shared" si="394"/>
        <v>1</v>
      </c>
      <c r="EB377" s="131">
        <f t="shared" si="395"/>
        <v>1</v>
      </c>
      <c r="EC377" s="137" t="b">
        <f t="shared" si="396"/>
        <v>0</v>
      </c>
      <c r="ED377" s="137" t="b">
        <f t="shared" si="397"/>
        <v>0</v>
      </c>
      <c r="EE377" s="137" t="b">
        <f t="shared" si="398"/>
        <v>1</v>
      </c>
      <c r="EF377" s="137"/>
      <c r="EG377" s="137"/>
      <c r="EH377" s="137"/>
      <c r="EI377" s="137"/>
      <c r="EJ377" s="137">
        <f t="shared" si="399"/>
        <v>1</v>
      </c>
      <c r="EK377" s="125">
        <f t="shared" si="400"/>
        <v>0</v>
      </c>
      <c r="EL377" s="125">
        <f t="shared" si="401"/>
        <v>0</v>
      </c>
    </row>
    <row r="378" spans="2:142" ht="15.75" x14ac:dyDescent="0.2">
      <c r="B378" s="160">
        <f t="shared" si="351"/>
        <v>348</v>
      </c>
      <c r="C378" s="290">
        <v>1001348730</v>
      </c>
      <c r="D378" s="290">
        <v>1001266783</v>
      </c>
      <c r="E378" s="290">
        <v>41376759</v>
      </c>
      <c r="F378" s="118">
        <f>IF(OR(J378="",H378=""),"",VLOOKUP(J378,'הזנה לסיווג רשויות'!$B$2:$D$301,2,0))</f>
        <v>20000159</v>
      </c>
      <c r="G378" s="118" t="str">
        <f>IF(OR(J378="",H378=""),"",VLOOKUP(J378,'הזנה לסיווג רשויות'!$B$2:$D$301,3,0))</f>
        <v>ירושלים</v>
      </c>
      <c r="H378" s="293" t="s">
        <v>749</v>
      </c>
      <c r="I378" s="201" t="s">
        <v>564</v>
      </c>
      <c r="J378" s="294">
        <v>3000</v>
      </c>
      <c r="K378" s="161">
        <v>0</v>
      </c>
      <c r="L378" s="161">
        <v>1</v>
      </c>
      <c r="M378" s="161">
        <v>0</v>
      </c>
      <c r="N378" s="161">
        <v>1</v>
      </c>
      <c r="O378" s="161">
        <v>0</v>
      </c>
      <c r="P378" s="161">
        <v>1</v>
      </c>
      <c r="Q378" s="161">
        <v>1</v>
      </c>
      <c r="R378" s="201">
        <v>63184</v>
      </c>
      <c r="S378" s="201">
        <v>31282</v>
      </c>
      <c r="T378" s="160">
        <f>IF(G378="","",IFERROR(IF(S378/R378&gt;'פרמטרים לקריטריונים'!$C$20,1,0),0))</f>
        <v>1</v>
      </c>
      <c r="U378" s="296">
        <v>21782</v>
      </c>
      <c r="V378" s="160">
        <f>IF(G378="","",IFERROR(IF(U378/R378&gt;'פרמטרים לקריטריונים'!$C$21,1,IF(AND(I378=$BW$5,U378/R378&gt;'פרמטרים לקריטריונים'!$C$22),1,0)),0))</f>
        <v>1</v>
      </c>
      <c r="W378" s="161">
        <v>1</v>
      </c>
      <c r="X378" s="161">
        <v>1</v>
      </c>
      <c r="Y378" s="299">
        <v>100000</v>
      </c>
      <c r="Z378" s="300">
        <v>20000</v>
      </c>
      <c r="AA378" s="161">
        <f t="shared" si="403"/>
        <v>1</v>
      </c>
      <c r="AB378" s="161"/>
      <c r="AC378" s="161"/>
      <c r="AD378" s="161"/>
      <c r="AE378" s="161"/>
      <c r="AF378" s="161"/>
      <c r="AG378" s="161"/>
      <c r="AH378" s="161"/>
      <c r="AI378" s="161"/>
      <c r="AJ378" s="161"/>
      <c r="AK378" s="161"/>
      <c r="AL378" s="161"/>
      <c r="AM378" s="161"/>
      <c r="AN378" s="161"/>
      <c r="AO378" s="161"/>
      <c r="AP378" s="161"/>
      <c r="AQ378" s="161"/>
      <c r="AR378" s="161"/>
      <c r="AS378" s="161"/>
      <c r="AT378" s="161"/>
      <c r="AU378" s="161"/>
      <c r="AV378" s="161"/>
      <c r="AW378" s="160"/>
      <c r="AX378" s="161"/>
      <c r="AY378" s="161"/>
      <c r="AZ378" s="161"/>
      <c r="BA378" s="161"/>
      <c r="BB378" s="161"/>
      <c r="BC378" s="161"/>
      <c r="BD378" s="161"/>
      <c r="BE378" s="161"/>
      <c r="BF378" s="160" t="str">
        <f t="shared" si="352"/>
        <v/>
      </c>
      <c r="BG378" s="160"/>
      <c r="BH378" s="160"/>
      <c r="BI378" s="160"/>
      <c r="BJ378" s="160"/>
      <c r="BK378" s="160"/>
      <c r="BL378" s="162">
        <f t="shared" si="353"/>
        <v>1</v>
      </c>
      <c r="BM378" s="257" t="s">
        <v>783</v>
      </c>
      <c r="BN378" s="163"/>
      <c r="BO378" s="211" t="str">
        <f t="shared" si="354"/>
        <v>בין שמיים לארץ (ע"ר)אחר</v>
      </c>
      <c r="BP378" s="125">
        <f t="shared" si="355"/>
        <v>1</v>
      </c>
      <c r="BQ378" s="164">
        <v>0</v>
      </c>
      <c r="BR378" s="164">
        <v>1</v>
      </c>
      <c r="BS378" s="149">
        <f t="shared" si="356"/>
        <v>1</v>
      </c>
      <c r="BT378" s="149">
        <f t="shared" si="357"/>
        <v>1</v>
      </c>
      <c r="BU378" s="149">
        <f t="shared" si="358"/>
        <v>1</v>
      </c>
      <c r="BV378" s="149">
        <f t="shared" si="359"/>
        <v>1</v>
      </c>
      <c r="BW378" s="149">
        <f t="shared" si="360"/>
        <v>1</v>
      </c>
      <c r="BX378" s="149">
        <f t="shared" si="361"/>
        <v>1</v>
      </c>
      <c r="BY378" s="149">
        <f t="shared" si="362"/>
        <v>1</v>
      </c>
      <c r="BZ378" s="149">
        <f t="shared" si="363"/>
        <v>1</v>
      </c>
      <c r="CA378" s="149">
        <f t="shared" si="364"/>
        <v>1</v>
      </c>
      <c r="CB378" s="149">
        <f t="shared" si="365"/>
        <v>1</v>
      </c>
      <c r="CC378" s="149">
        <f t="shared" si="366"/>
        <v>1</v>
      </c>
      <c r="CD378" s="149">
        <f t="shared" si="367"/>
        <v>1</v>
      </c>
      <c r="CE378" s="149">
        <f t="shared" si="368"/>
        <v>1</v>
      </c>
      <c r="CF378" s="149">
        <f t="shared" si="369"/>
        <v>1</v>
      </c>
      <c r="CG378" s="149">
        <f t="shared" si="370"/>
        <v>1</v>
      </c>
      <c r="CH378" s="149">
        <f t="shared" si="371"/>
        <v>1</v>
      </c>
      <c r="CI378" s="149">
        <f t="shared" si="372"/>
        <v>1</v>
      </c>
      <c r="CJ378" s="149">
        <f t="shared" si="373"/>
        <v>1</v>
      </c>
      <c r="CK378" s="149">
        <f t="shared" si="374"/>
        <v>1</v>
      </c>
      <c r="CL378" s="149">
        <f t="shared" si="375"/>
        <v>1</v>
      </c>
      <c r="CM378" s="149">
        <f t="shared" si="376"/>
        <v>1</v>
      </c>
      <c r="CN378" s="149">
        <f t="shared" si="377"/>
        <v>1</v>
      </c>
      <c r="CO378" s="149">
        <f t="shared" si="378"/>
        <v>1</v>
      </c>
      <c r="CP378" s="149">
        <f t="shared" si="379"/>
        <v>1</v>
      </c>
      <c r="CQ378" s="149">
        <f t="shared" si="380"/>
        <v>1</v>
      </c>
      <c r="CR378" s="149">
        <f t="shared" si="381"/>
        <v>1</v>
      </c>
      <c r="CS378" s="149">
        <f t="shared" si="382"/>
        <v>1</v>
      </c>
      <c r="CT378" s="149">
        <f t="shared" si="383"/>
        <v>1</v>
      </c>
      <c r="CU378" s="149">
        <f t="shared" si="384"/>
        <v>1</v>
      </c>
      <c r="CV378" s="149">
        <f t="shared" si="385"/>
        <v>1</v>
      </c>
      <c r="CW378" s="149">
        <f t="shared" si="386"/>
        <v>1</v>
      </c>
      <c r="CX378" s="149">
        <f t="shared" si="387"/>
        <v>1</v>
      </c>
      <c r="CY378" s="149">
        <f t="shared" si="388"/>
        <v>1</v>
      </c>
      <c r="CZ378" s="149">
        <f t="shared" si="389"/>
        <v>1</v>
      </c>
      <c r="DA378" s="149">
        <f t="shared" si="390"/>
        <v>1</v>
      </c>
      <c r="DB378" s="149">
        <f t="shared" si="391"/>
        <v>1</v>
      </c>
      <c r="DG378" s="125">
        <f t="shared" si="296"/>
        <v>1</v>
      </c>
      <c r="DH378" s="125">
        <f t="shared" si="404"/>
        <v>2</v>
      </c>
      <c r="DI378" s="125">
        <f t="shared" si="404"/>
        <v>3</v>
      </c>
      <c r="DJ378" s="125">
        <f t="shared" si="404"/>
        <v>4</v>
      </c>
      <c r="DK378" s="125">
        <f t="shared" si="404"/>
        <v>5</v>
      </c>
      <c r="DL378" s="125">
        <f t="shared" si="404"/>
        <v>6</v>
      </c>
      <c r="DM378" s="125">
        <f t="shared" si="404"/>
        <v>7</v>
      </c>
      <c r="DN378" s="125">
        <f t="shared" si="404"/>
        <v>8</v>
      </c>
      <c r="DO378" s="125">
        <f t="shared" si="404"/>
        <v>9</v>
      </c>
      <c r="DP378" s="125">
        <f t="shared" si="404"/>
        <v>10</v>
      </c>
      <c r="DS378" s="137"/>
      <c r="DT378" s="137"/>
      <c r="DU378" s="137"/>
      <c r="DV378" s="137" t="b">
        <f t="shared" si="392"/>
        <v>0</v>
      </c>
      <c r="DW378" s="137" t="b">
        <f t="shared" si="393"/>
        <v>0</v>
      </c>
      <c r="DX378" s="137" t="b">
        <f t="shared" si="394"/>
        <v>1</v>
      </c>
      <c r="EB378" s="131">
        <f t="shared" si="395"/>
        <v>1</v>
      </c>
      <c r="EC378" s="137" t="b">
        <f t="shared" si="396"/>
        <v>0</v>
      </c>
      <c r="ED378" s="137" t="b">
        <f t="shared" si="397"/>
        <v>0</v>
      </c>
      <c r="EE378" s="137" t="b">
        <f t="shared" si="398"/>
        <v>1</v>
      </c>
      <c r="EF378" s="137"/>
      <c r="EG378" s="137"/>
      <c r="EH378" s="137"/>
      <c r="EI378" s="137"/>
      <c r="EJ378" s="137">
        <f t="shared" si="399"/>
        <v>1</v>
      </c>
      <c r="EK378" s="125">
        <f t="shared" si="400"/>
        <v>0</v>
      </c>
      <c r="EL378" s="125">
        <f t="shared" si="401"/>
        <v>0</v>
      </c>
    </row>
    <row r="379" spans="2:142" ht="15.75" x14ac:dyDescent="0.2">
      <c r="B379" s="160">
        <f t="shared" si="351"/>
        <v>349</v>
      </c>
      <c r="C379" s="290">
        <v>1001350095</v>
      </c>
      <c r="D379" s="290">
        <v>1001271678</v>
      </c>
      <c r="E379" s="290">
        <v>41556504</v>
      </c>
      <c r="F379" s="118">
        <f>IF(OR(J379="",H379=""),"",VLOOKUP(J379,'הזנה לסיווג רשויות'!$B$2:$D$301,2,0))</f>
        <v>20000254</v>
      </c>
      <c r="G379" s="118" t="str">
        <f>IF(OR(J379="",H379=""),"",VLOOKUP(J379,'הזנה לסיווג רשויות'!$B$2:$D$301,3,0))</f>
        <v>באר שבע</v>
      </c>
      <c r="H379" s="293" t="s">
        <v>750</v>
      </c>
      <c r="I379" s="201" t="s">
        <v>373</v>
      </c>
      <c r="J379" s="294">
        <v>9000</v>
      </c>
      <c r="K379" s="161">
        <v>0</v>
      </c>
      <c r="L379" s="161">
        <v>1</v>
      </c>
      <c r="M379" s="161">
        <v>0</v>
      </c>
      <c r="N379" s="161">
        <v>1</v>
      </c>
      <c r="O379" s="161">
        <v>0</v>
      </c>
      <c r="P379" s="161">
        <v>1</v>
      </c>
      <c r="Q379" s="161">
        <v>1</v>
      </c>
      <c r="R379" s="201">
        <v>2974576</v>
      </c>
      <c r="S379" s="201">
        <v>2974576</v>
      </c>
      <c r="T379" s="160">
        <f>IF(G379="","",IFERROR(IF(S379/R379&gt;'פרמטרים לקריטריונים'!$C$20,1,0),0))</f>
        <v>1</v>
      </c>
      <c r="U379" s="296">
        <v>1208011</v>
      </c>
      <c r="V379" s="160">
        <f>IF(G379="","",IFERROR(IF(U379/R379&gt;'פרמטרים לקריטריונים'!$C$21,1,IF(AND(I379=$BW$5,U379/R379&gt;'פרמטרים לקריטריונים'!$C$22),1,0)),0))</f>
        <v>1</v>
      </c>
      <c r="W379" s="161">
        <v>1</v>
      </c>
      <c r="X379" s="161">
        <v>1</v>
      </c>
      <c r="Y379" s="299">
        <v>2000000</v>
      </c>
      <c r="Z379" s="300">
        <v>80000</v>
      </c>
      <c r="AA379" s="161">
        <f t="shared" si="403"/>
        <v>1</v>
      </c>
      <c r="AB379" s="161"/>
      <c r="AC379" s="161"/>
      <c r="AD379" s="161"/>
      <c r="AE379" s="161"/>
      <c r="AF379" s="161"/>
      <c r="AG379" s="161"/>
      <c r="AH379" s="161"/>
      <c r="AI379" s="161"/>
      <c r="AJ379" s="161"/>
      <c r="AK379" s="161"/>
      <c r="AL379" s="161"/>
      <c r="AM379" s="161"/>
      <c r="AN379" s="161"/>
      <c r="AO379" s="161"/>
      <c r="AP379" s="161"/>
      <c r="AQ379" s="161"/>
      <c r="AR379" s="161"/>
      <c r="AS379" s="161"/>
      <c r="AT379" s="161"/>
      <c r="AU379" s="161"/>
      <c r="AV379" s="161"/>
      <c r="AW379" s="160"/>
      <c r="AX379" s="161"/>
      <c r="AY379" s="161"/>
      <c r="AZ379" s="161"/>
      <c r="BA379" s="161"/>
      <c r="BB379" s="161"/>
      <c r="BC379" s="161"/>
      <c r="BD379" s="161"/>
      <c r="BE379" s="161"/>
      <c r="BF379" s="160" t="str">
        <f t="shared" si="352"/>
        <v/>
      </c>
      <c r="BG379" s="160"/>
      <c r="BH379" s="160"/>
      <c r="BI379" s="160"/>
      <c r="BJ379" s="160"/>
      <c r="BK379" s="160"/>
      <c r="BL379" s="162">
        <f t="shared" si="353"/>
        <v>1</v>
      </c>
      <c r="BM379" s="257"/>
      <c r="BN379" s="163"/>
      <c r="BO379" s="211" t="str">
        <f t="shared" si="354"/>
        <v>תיאטרון לילדים ולנוער באר - שבע (ע"תיאטרון</v>
      </c>
      <c r="BP379" s="125">
        <f t="shared" si="355"/>
        <v>1</v>
      </c>
      <c r="BQ379" s="164">
        <v>0</v>
      </c>
      <c r="BR379" s="164">
        <v>1</v>
      </c>
      <c r="BS379" s="149">
        <f t="shared" si="356"/>
        <v>1</v>
      </c>
      <c r="BT379" s="149">
        <f t="shared" si="357"/>
        <v>1</v>
      </c>
      <c r="BU379" s="149">
        <f t="shared" si="358"/>
        <v>1</v>
      </c>
      <c r="BV379" s="149">
        <f t="shared" si="359"/>
        <v>1</v>
      </c>
      <c r="BW379" s="149">
        <f t="shared" si="360"/>
        <v>1</v>
      </c>
      <c r="BX379" s="149">
        <f t="shared" si="361"/>
        <v>1</v>
      </c>
      <c r="BY379" s="149">
        <f t="shared" si="362"/>
        <v>1</v>
      </c>
      <c r="BZ379" s="149">
        <f t="shared" si="363"/>
        <v>1</v>
      </c>
      <c r="CA379" s="149">
        <f t="shared" si="364"/>
        <v>1</v>
      </c>
      <c r="CB379" s="149">
        <f t="shared" si="365"/>
        <v>1</v>
      </c>
      <c r="CC379" s="149">
        <f t="shared" si="366"/>
        <v>1</v>
      </c>
      <c r="CD379" s="149">
        <f t="shared" si="367"/>
        <v>1</v>
      </c>
      <c r="CE379" s="149">
        <f t="shared" si="368"/>
        <v>1</v>
      </c>
      <c r="CF379" s="149">
        <f t="shared" si="369"/>
        <v>1</v>
      </c>
      <c r="CG379" s="149">
        <f t="shared" si="370"/>
        <v>1</v>
      </c>
      <c r="CH379" s="149">
        <f t="shared" si="371"/>
        <v>1</v>
      </c>
      <c r="CI379" s="149">
        <f t="shared" si="372"/>
        <v>1</v>
      </c>
      <c r="CJ379" s="149">
        <f t="shared" si="373"/>
        <v>1</v>
      </c>
      <c r="CK379" s="149">
        <f t="shared" si="374"/>
        <v>1</v>
      </c>
      <c r="CL379" s="149">
        <f t="shared" si="375"/>
        <v>1</v>
      </c>
      <c r="CM379" s="149">
        <f t="shared" si="376"/>
        <v>1</v>
      </c>
      <c r="CN379" s="149">
        <f t="shared" si="377"/>
        <v>1</v>
      </c>
      <c r="CO379" s="149">
        <f t="shared" si="378"/>
        <v>1</v>
      </c>
      <c r="CP379" s="149">
        <f t="shared" si="379"/>
        <v>1</v>
      </c>
      <c r="CQ379" s="149">
        <f t="shared" si="380"/>
        <v>1</v>
      </c>
      <c r="CR379" s="149">
        <f t="shared" si="381"/>
        <v>1</v>
      </c>
      <c r="CS379" s="149">
        <f t="shared" si="382"/>
        <v>1</v>
      </c>
      <c r="CT379" s="149">
        <f t="shared" si="383"/>
        <v>1</v>
      </c>
      <c r="CU379" s="149">
        <f t="shared" si="384"/>
        <v>1</v>
      </c>
      <c r="CV379" s="149">
        <f t="shared" si="385"/>
        <v>1</v>
      </c>
      <c r="CW379" s="149">
        <f t="shared" si="386"/>
        <v>1</v>
      </c>
      <c r="CX379" s="149">
        <f t="shared" si="387"/>
        <v>1</v>
      </c>
      <c r="CY379" s="149">
        <f t="shared" si="388"/>
        <v>1</v>
      </c>
      <c r="CZ379" s="149">
        <f t="shared" si="389"/>
        <v>1</v>
      </c>
      <c r="DA379" s="149">
        <f t="shared" si="390"/>
        <v>1</v>
      </c>
      <c r="DB379" s="149">
        <f t="shared" si="391"/>
        <v>1</v>
      </c>
      <c r="DG379" s="125">
        <f t="shared" si="296"/>
        <v>1</v>
      </c>
      <c r="DH379" s="125">
        <f t="shared" si="404"/>
        <v>2</v>
      </c>
      <c r="DI379" s="125">
        <f t="shared" si="404"/>
        <v>3</v>
      </c>
      <c r="DJ379" s="125">
        <f t="shared" si="404"/>
        <v>4</v>
      </c>
      <c r="DK379" s="125">
        <f t="shared" si="404"/>
        <v>5</v>
      </c>
      <c r="DL379" s="125">
        <f t="shared" si="404"/>
        <v>6</v>
      </c>
      <c r="DM379" s="125">
        <f t="shared" si="404"/>
        <v>7</v>
      </c>
      <c r="DN379" s="125">
        <f t="shared" si="404"/>
        <v>8</v>
      </c>
      <c r="DO379" s="125">
        <f t="shared" si="404"/>
        <v>9</v>
      </c>
      <c r="DP379" s="125">
        <f t="shared" si="404"/>
        <v>10</v>
      </c>
      <c r="DS379" s="137"/>
      <c r="DT379" s="137"/>
      <c r="DU379" s="137"/>
      <c r="DV379" s="137" t="b">
        <f t="shared" si="392"/>
        <v>0</v>
      </c>
      <c r="DW379" s="137" t="b">
        <f t="shared" si="393"/>
        <v>0</v>
      </c>
      <c r="DX379" s="137" t="b">
        <f t="shared" si="394"/>
        <v>1</v>
      </c>
      <c r="EB379" s="131">
        <f t="shared" si="395"/>
        <v>1</v>
      </c>
      <c r="EC379" s="137" t="b">
        <f t="shared" si="396"/>
        <v>0</v>
      </c>
      <c r="ED379" s="137" t="b">
        <f t="shared" si="397"/>
        <v>0</v>
      </c>
      <c r="EE379" s="137" t="b">
        <f t="shared" si="398"/>
        <v>1</v>
      </c>
      <c r="EF379" s="137"/>
      <c r="EG379" s="137"/>
      <c r="EH379" s="137"/>
      <c r="EI379" s="137"/>
      <c r="EJ379" s="137">
        <f t="shared" si="399"/>
        <v>1</v>
      </c>
      <c r="EK379" s="125">
        <f t="shared" si="400"/>
        <v>0</v>
      </c>
      <c r="EL379" s="125">
        <f t="shared" si="401"/>
        <v>0</v>
      </c>
    </row>
    <row r="380" spans="2:142" ht="15.75" x14ac:dyDescent="0.2">
      <c r="B380" s="160">
        <f t="shared" si="351"/>
        <v>350</v>
      </c>
      <c r="C380" s="290">
        <v>1001350450</v>
      </c>
      <c r="D380" s="290">
        <v>1001288912</v>
      </c>
      <c r="E380" s="290">
        <v>41556986</v>
      </c>
      <c r="F380" s="118">
        <f>IF(OR(J380="",H380=""),"",VLOOKUP(J380,'הזנה לסיווג רשויות'!$B$2:$D$301,2,0))</f>
        <v>20000231</v>
      </c>
      <c r="G380" s="118" t="str">
        <f>IF(OR(J380="",H380=""),"",VLOOKUP(J380,'הזנה לסיווג רשויות'!$B$2:$D$301,3,0))</f>
        <v>נצרת</v>
      </c>
      <c r="H380" s="293" t="s">
        <v>751</v>
      </c>
      <c r="I380" s="201" t="s">
        <v>381</v>
      </c>
      <c r="J380" s="87">
        <v>7300</v>
      </c>
      <c r="K380" s="161">
        <v>0</v>
      </c>
      <c r="L380" s="161">
        <v>1</v>
      </c>
      <c r="M380" s="161">
        <v>0</v>
      </c>
      <c r="N380" s="161">
        <v>0</v>
      </c>
      <c r="O380" s="161">
        <v>1</v>
      </c>
      <c r="P380" s="161">
        <v>1</v>
      </c>
      <c r="Q380" s="161">
        <v>1</v>
      </c>
      <c r="R380" s="201">
        <v>827928</v>
      </c>
      <c r="S380" s="201">
        <v>747540</v>
      </c>
      <c r="T380" s="160">
        <f>IF(G380="","",IFERROR(IF(S380/R380&gt;'פרמטרים לקריטריונים'!$C$20,1,0),0))</f>
        <v>1</v>
      </c>
      <c r="U380" s="296">
        <v>215000</v>
      </c>
      <c r="V380" s="160">
        <f>IF(G380="","",IFERROR(IF(U380/R380&gt;'פרמטרים לקריטריונים'!$C$21,1,IF(AND(I380=$BW$5,U380/R380&gt;'פרמטרים לקריטריונים'!$C$22),1,0)),0))</f>
        <v>1</v>
      </c>
      <c r="W380" s="161">
        <v>1</v>
      </c>
      <c r="X380" s="161">
        <v>1</v>
      </c>
      <c r="Y380" s="299">
        <v>540000</v>
      </c>
      <c r="Z380" s="300">
        <v>100000</v>
      </c>
      <c r="AA380" s="161">
        <f t="shared" si="403"/>
        <v>1</v>
      </c>
      <c r="AB380" s="161"/>
      <c r="AC380" s="161"/>
      <c r="AD380" s="161"/>
      <c r="AE380" s="161"/>
      <c r="AF380" s="161"/>
      <c r="AG380" s="161"/>
      <c r="AH380" s="161"/>
      <c r="AI380" s="161"/>
      <c r="AJ380" s="161"/>
      <c r="AK380" s="161"/>
      <c r="AL380" s="161"/>
      <c r="AM380" s="161"/>
      <c r="AN380" s="161"/>
      <c r="AO380" s="161"/>
      <c r="AP380" s="161"/>
      <c r="AQ380" s="161"/>
      <c r="AR380" s="161"/>
      <c r="AS380" s="161"/>
      <c r="AT380" s="161"/>
      <c r="AU380" s="161"/>
      <c r="AV380" s="161"/>
      <c r="AW380" s="160"/>
      <c r="AX380" s="161"/>
      <c r="AY380" s="161"/>
      <c r="AZ380" s="161"/>
      <c r="BA380" s="161"/>
      <c r="BB380" s="161"/>
      <c r="BC380" s="161"/>
      <c r="BD380" s="161"/>
      <c r="BE380" s="161"/>
      <c r="BF380" s="160" t="str">
        <f t="shared" si="352"/>
        <v/>
      </c>
      <c r="BG380" s="160"/>
      <c r="BH380" s="160"/>
      <c r="BI380" s="160"/>
      <c r="BJ380" s="160"/>
      <c r="BK380" s="160"/>
      <c r="BL380" s="162">
        <f t="shared" si="353"/>
        <v>1</v>
      </c>
      <c r="BM380" s="257"/>
      <c r="BN380" s="163"/>
      <c r="BO380" s="211" t="str">
        <f t="shared" si="354"/>
        <v>עמותת אלמאוכב נצרת (ע"ר)סינמטקים ופסטיבלים</v>
      </c>
      <c r="BP380" s="125">
        <f t="shared" si="355"/>
        <v>1</v>
      </c>
      <c r="BQ380" s="164">
        <v>0</v>
      </c>
      <c r="BR380" s="164">
        <v>1</v>
      </c>
      <c r="BS380" s="149">
        <f t="shared" si="356"/>
        <v>1</v>
      </c>
      <c r="BT380" s="149">
        <f t="shared" si="357"/>
        <v>1</v>
      </c>
      <c r="BU380" s="149">
        <f t="shared" si="358"/>
        <v>1</v>
      </c>
      <c r="BV380" s="149">
        <f t="shared" si="359"/>
        <v>1</v>
      </c>
      <c r="BW380" s="149">
        <f t="shared" si="360"/>
        <v>1</v>
      </c>
      <c r="BX380" s="149">
        <f t="shared" si="361"/>
        <v>1</v>
      </c>
      <c r="BY380" s="149">
        <f t="shared" si="362"/>
        <v>1</v>
      </c>
      <c r="BZ380" s="149">
        <f t="shared" si="363"/>
        <v>1</v>
      </c>
      <c r="CA380" s="149">
        <f t="shared" si="364"/>
        <v>1</v>
      </c>
      <c r="CB380" s="149">
        <f t="shared" si="365"/>
        <v>1</v>
      </c>
      <c r="CC380" s="149">
        <f t="shared" si="366"/>
        <v>1</v>
      </c>
      <c r="CD380" s="149">
        <f t="shared" si="367"/>
        <v>1</v>
      </c>
      <c r="CE380" s="149">
        <f t="shared" si="368"/>
        <v>1</v>
      </c>
      <c r="CF380" s="149">
        <f t="shared" si="369"/>
        <v>1</v>
      </c>
      <c r="CG380" s="149">
        <f t="shared" si="370"/>
        <v>1</v>
      </c>
      <c r="CH380" s="149">
        <f t="shared" si="371"/>
        <v>1</v>
      </c>
      <c r="CI380" s="149">
        <f t="shared" si="372"/>
        <v>1</v>
      </c>
      <c r="CJ380" s="149">
        <f t="shared" si="373"/>
        <v>1</v>
      </c>
      <c r="CK380" s="149">
        <f t="shared" si="374"/>
        <v>1</v>
      </c>
      <c r="CL380" s="149">
        <f t="shared" si="375"/>
        <v>1</v>
      </c>
      <c r="CM380" s="149">
        <f t="shared" si="376"/>
        <v>1</v>
      </c>
      <c r="CN380" s="149">
        <f t="shared" si="377"/>
        <v>1</v>
      </c>
      <c r="CO380" s="149">
        <f t="shared" si="378"/>
        <v>1</v>
      </c>
      <c r="CP380" s="149">
        <f t="shared" si="379"/>
        <v>1</v>
      </c>
      <c r="CQ380" s="149">
        <f t="shared" si="380"/>
        <v>1</v>
      </c>
      <c r="CR380" s="149">
        <f t="shared" si="381"/>
        <v>1</v>
      </c>
      <c r="CS380" s="149">
        <f t="shared" si="382"/>
        <v>1</v>
      </c>
      <c r="CT380" s="149">
        <f t="shared" si="383"/>
        <v>1</v>
      </c>
      <c r="CU380" s="149">
        <f t="shared" si="384"/>
        <v>1</v>
      </c>
      <c r="CV380" s="149">
        <f t="shared" si="385"/>
        <v>1</v>
      </c>
      <c r="CW380" s="149">
        <f t="shared" si="386"/>
        <v>1</v>
      </c>
      <c r="CX380" s="149">
        <f t="shared" si="387"/>
        <v>1</v>
      </c>
      <c r="CY380" s="149">
        <f t="shared" si="388"/>
        <v>1</v>
      </c>
      <c r="CZ380" s="149">
        <f t="shared" si="389"/>
        <v>1</v>
      </c>
      <c r="DA380" s="149">
        <f t="shared" si="390"/>
        <v>1</v>
      </c>
      <c r="DB380" s="149">
        <f t="shared" si="391"/>
        <v>1</v>
      </c>
      <c r="DG380" s="125">
        <f t="shared" si="296"/>
        <v>1</v>
      </c>
      <c r="DH380" s="125">
        <f t="shared" si="404"/>
        <v>2</v>
      </c>
      <c r="DI380" s="125">
        <f t="shared" si="404"/>
        <v>3</v>
      </c>
      <c r="DJ380" s="125">
        <f t="shared" si="404"/>
        <v>4</v>
      </c>
      <c r="DK380" s="125">
        <f t="shared" si="404"/>
        <v>5</v>
      </c>
      <c r="DL380" s="125">
        <f t="shared" si="404"/>
        <v>6</v>
      </c>
      <c r="DM380" s="125">
        <f t="shared" si="404"/>
        <v>7</v>
      </c>
      <c r="DN380" s="125">
        <f t="shared" si="404"/>
        <v>8</v>
      </c>
      <c r="DO380" s="125">
        <f t="shared" si="404"/>
        <v>9</v>
      </c>
      <c r="DP380" s="125">
        <f t="shared" si="404"/>
        <v>10</v>
      </c>
      <c r="DS380" s="137"/>
      <c r="DT380" s="137"/>
      <c r="DU380" s="137"/>
      <c r="DV380" s="137" t="b">
        <f t="shared" si="392"/>
        <v>0</v>
      </c>
      <c r="DW380" s="137" t="b">
        <f t="shared" si="393"/>
        <v>0</v>
      </c>
      <c r="DX380" s="137" t="b">
        <f t="shared" si="394"/>
        <v>1</v>
      </c>
      <c r="EB380" s="131">
        <f t="shared" si="395"/>
        <v>1</v>
      </c>
      <c r="EC380" s="137" t="b">
        <f t="shared" si="396"/>
        <v>0</v>
      </c>
      <c r="ED380" s="137" t="b">
        <f t="shared" si="397"/>
        <v>0</v>
      </c>
      <c r="EE380" s="137" t="b">
        <f t="shared" si="398"/>
        <v>1</v>
      </c>
      <c r="EF380" s="137"/>
      <c r="EG380" s="137"/>
      <c r="EH380" s="137"/>
      <c r="EI380" s="137"/>
      <c r="EJ380" s="137">
        <f t="shared" si="399"/>
        <v>1</v>
      </c>
      <c r="EK380" s="125">
        <f t="shared" si="400"/>
        <v>0</v>
      </c>
      <c r="EL380" s="125">
        <f t="shared" si="401"/>
        <v>0</v>
      </c>
    </row>
    <row r="381" spans="2:142" ht="15.75" x14ac:dyDescent="0.2">
      <c r="B381" s="160">
        <f t="shared" si="351"/>
        <v>351</v>
      </c>
      <c r="C381" s="290">
        <v>1001346583</v>
      </c>
      <c r="D381" s="290">
        <v>1001280079</v>
      </c>
      <c r="E381" s="290">
        <v>41559386</v>
      </c>
      <c r="F381" s="118">
        <f>IF(OR(J381="",H381=""),"",VLOOKUP(J381,'הזנה לסיווג רשויות'!$B$2:$D$301,2,0))</f>
        <v>20000055</v>
      </c>
      <c r="G381" s="118" t="str">
        <f>IF(OR(J381="",H381=""),"",VLOOKUP(J381,'הזנה לסיווג רשויות'!$B$2:$D$301,3,0))</f>
        <v>מג'ד אל-כרום</v>
      </c>
      <c r="H381" s="293" t="s">
        <v>752</v>
      </c>
      <c r="I381" s="201" t="s">
        <v>373</v>
      </c>
      <c r="J381" s="87">
        <v>516</v>
      </c>
      <c r="K381" s="161">
        <v>0</v>
      </c>
      <c r="L381" s="161">
        <v>1</v>
      </c>
      <c r="M381" s="161">
        <v>0</v>
      </c>
      <c r="N381" s="161">
        <v>0</v>
      </c>
      <c r="O381" s="161">
        <v>1</v>
      </c>
      <c r="P381" s="161">
        <v>1</v>
      </c>
      <c r="Q381" s="161">
        <v>1</v>
      </c>
      <c r="R381" s="201">
        <v>139764</v>
      </c>
      <c r="S381" s="201">
        <v>139764</v>
      </c>
      <c r="T381" s="160">
        <f>IF(G381="","",IFERROR(IF(S381/R381&gt;'פרמטרים לקריטריונים'!$C$20,1,0),0))</f>
        <v>1</v>
      </c>
      <c r="U381" s="296">
        <v>139764</v>
      </c>
      <c r="V381" s="160">
        <f>IF(G381="","",IFERROR(IF(U381/R381&gt;'פרמטרים לקריטריונים'!$C$21,1,IF(AND(I381=$BW$5,U381/R381&gt;'פרמטרים לקריטריונים'!$C$22),1,0)),0))</f>
        <v>1</v>
      </c>
      <c r="W381" s="161">
        <v>1</v>
      </c>
      <c r="X381" s="161">
        <v>1</v>
      </c>
      <c r="Y381" s="299">
        <v>1400000</v>
      </c>
      <c r="Z381" s="300">
        <v>800000</v>
      </c>
      <c r="AA381" s="161">
        <f t="shared" si="403"/>
        <v>1</v>
      </c>
      <c r="AB381" s="161"/>
      <c r="AC381" s="161"/>
      <c r="AD381" s="161"/>
      <c r="AE381" s="161"/>
      <c r="AF381" s="161"/>
      <c r="AG381" s="161"/>
      <c r="AH381" s="161"/>
      <c r="AI381" s="161"/>
      <c r="AJ381" s="161"/>
      <c r="AK381" s="161"/>
      <c r="AL381" s="161"/>
      <c r="AM381" s="161"/>
      <c r="AN381" s="161"/>
      <c r="AO381" s="161"/>
      <c r="AP381" s="161"/>
      <c r="AQ381" s="161"/>
      <c r="AR381" s="161"/>
      <c r="AS381" s="161"/>
      <c r="AT381" s="161"/>
      <c r="AU381" s="161"/>
      <c r="AV381" s="161"/>
      <c r="AW381" s="160"/>
      <c r="AX381" s="161"/>
      <c r="AY381" s="161"/>
      <c r="AZ381" s="161"/>
      <c r="BA381" s="161"/>
      <c r="BB381" s="161"/>
      <c r="BC381" s="161"/>
      <c r="BD381" s="161"/>
      <c r="BE381" s="161"/>
      <c r="BF381" s="160" t="str">
        <f t="shared" si="352"/>
        <v/>
      </c>
      <c r="BG381" s="160"/>
      <c r="BH381" s="160"/>
      <c r="BI381" s="160"/>
      <c r="BJ381" s="160"/>
      <c r="BK381" s="160"/>
      <c r="BL381" s="162">
        <f t="shared" si="353"/>
        <v>1</v>
      </c>
      <c r="BM381" s="257"/>
      <c r="BN381" s="163"/>
      <c r="BO381" s="211" t="str">
        <f t="shared" si="354"/>
        <v>אלמדאין גרוב - מג'ד אלכרום (ע"ר)תיאטרון</v>
      </c>
      <c r="BP381" s="125">
        <f t="shared" si="355"/>
        <v>1</v>
      </c>
      <c r="BQ381" s="164">
        <v>0</v>
      </c>
      <c r="BR381" s="164">
        <v>1</v>
      </c>
      <c r="BS381" s="149">
        <f t="shared" si="356"/>
        <v>1</v>
      </c>
      <c r="BT381" s="149">
        <f t="shared" si="357"/>
        <v>1</v>
      </c>
      <c r="BU381" s="149">
        <f t="shared" si="358"/>
        <v>1</v>
      </c>
      <c r="BV381" s="149">
        <f t="shared" si="359"/>
        <v>1</v>
      </c>
      <c r="BW381" s="149">
        <f t="shared" si="360"/>
        <v>1</v>
      </c>
      <c r="BX381" s="149">
        <f t="shared" si="361"/>
        <v>1</v>
      </c>
      <c r="BY381" s="149">
        <f t="shared" si="362"/>
        <v>1</v>
      </c>
      <c r="BZ381" s="149">
        <f t="shared" si="363"/>
        <v>1</v>
      </c>
      <c r="CA381" s="149">
        <f t="shared" si="364"/>
        <v>1</v>
      </c>
      <c r="CB381" s="149">
        <f t="shared" si="365"/>
        <v>1</v>
      </c>
      <c r="CC381" s="149">
        <f t="shared" si="366"/>
        <v>1</v>
      </c>
      <c r="CD381" s="149">
        <f t="shared" si="367"/>
        <v>1</v>
      </c>
      <c r="CE381" s="149">
        <f t="shared" si="368"/>
        <v>1</v>
      </c>
      <c r="CF381" s="149">
        <f t="shared" si="369"/>
        <v>1</v>
      </c>
      <c r="CG381" s="149">
        <f t="shared" si="370"/>
        <v>1</v>
      </c>
      <c r="CH381" s="149">
        <f t="shared" si="371"/>
        <v>1</v>
      </c>
      <c r="CI381" s="149">
        <f t="shared" si="372"/>
        <v>1</v>
      </c>
      <c r="CJ381" s="149">
        <f t="shared" si="373"/>
        <v>1</v>
      </c>
      <c r="CK381" s="149">
        <f t="shared" si="374"/>
        <v>1</v>
      </c>
      <c r="CL381" s="149">
        <f t="shared" si="375"/>
        <v>1</v>
      </c>
      <c r="CM381" s="149">
        <f t="shared" si="376"/>
        <v>1</v>
      </c>
      <c r="CN381" s="149">
        <f t="shared" si="377"/>
        <v>1</v>
      </c>
      <c r="CO381" s="149">
        <f t="shared" si="378"/>
        <v>1</v>
      </c>
      <c r="CP381" s="149">
        <f t="shared" si="379"/>
        <v>1</v>
      </c>
      <c r="CQ381" s="149">
        <f t="shared" si="380"/>
        <v>1</v>
      </c>
      <c r="CR381" s="149">
        <f t="shared" si="381"/>
        <v>1</v>
      </c>
      <c r="CS381" s="149">
        <f t="shared" si="382"/>
        <v>1</v>
      </c>
      <c r="CT381" s="149">
        <f t="shared" si="383"/>
        <v>1</v>
      </c>
      <c r="CU381" s="149">
        <f t="shared" si="384"/>
        <v>1</v>
      </c>
      <c r="CV381" s="149">
        <f t="shared" si="385"/>
        <v>1</v>
      </c>
      <c r="CW381" s="149">
        <f t="shared" si="386"/>
        <v>1</v>
      </c>
      <c r="CX381" s="149">
        <f t="shared" si="387"/>
        <v>1</v>
      </c>
      <c r="CY381" s="149">
        <f t="shared" si="388"/>
        <v>1</v>
      </c>
      <c r="CZ381" s="149">
        <f t="shared" si="389"/>
        <v>1</v>
      </c>
      <c r="DA381" s="149">
        <f t="shared" si="390"/>
        <v>1</v>
      </c>
      <c r="DB381" s="149">
        <f t="shared" si="391"/>
        <v>1</v>
      </c>
      <c r="DG381" s="125">
        <f t="shared" si="296"/>
        <v>1</v>
      </c>
      <c r="DH381" s="125">
        <f t="shared" si="404"/>
        <v>2</v>
      </c>
      <c r="DI381" s="125">
        <f t="shared" si="404"/>
        <v>3</v>
      </c>
      <c r="DJ381" s="125">
        <f t="shared" si="404"/>
        <v>4</v>
      </c>
      <c r="DK381" s="125">
        <f t="shared" si="404"/>
        <v>5</v>
      </c>
      <c r="DL381" s="125">
        <f t="shared" si="404"/>
        <v>6</v>
      </c>
      <c r="DM381" s="125">
        <f t="shared" si="404"/>
        <v>7</v>
      </c>
      <c r="DN381" s="125">
        <f t="shared" si="404"/>
        <v>8</v>
      </c>
      <c r="DO381" s="125">
        <f t="shared" si="404"/>
        <v>9</v>
      </c>
      <c r="DP381" s="125">
        <f t="shared" si="404"/>
        <v>10</v>
      </c>
      <c r="DS381" s="137"/>
      <c r="DT381" s="137"/>
      <c r="DU381" s="137"/>
      <c r="DV381" s="137" t="b">
        <f t="shared" si="392"/>
        <v>0</v>
      </c>
      <c r="DW381" s="137" t="b">
        <f t="shared" si="393"/>
        <v>0</v>
      </c>
      <c r="DX381" s="137" t="b">
        <f t="shared" si="394"/>
        <v>1</v>
      </c>
      <c r="EB381" s="131">
        <f t="shared" si="395"/>
        <v>1</v>
      </c>
      <c r="EC381" s="137" t="b">
        <f t="shared" si="396"/>
        <v>0</v>
      </c>
      <c r="ED381" s="137" t="b">
        <f t="shared" si="397"/>
        <v>0</v>
      </c>
      <c r="EE381" s="137" t="b">
        <f t="shared" si="398"/>
        <v>1</v>
      </c>
      <c r="EF381" s="137"/>
      <c r="EG381" s="137"/>
      <c r="EH381" s="137"/>
      <c r="EI381" s="137"/>
      <c r="EJ381" s="137">
        <f t="shared" si="399"/>
        <v>1</v>
      </c>
      <c r="EK381" s="125">
        <f t="shared" si="400"/>
        <v>0</v>
      </c>
      <c r="EL381" s="125">
        <f t="shared" si="401"/>
        <v>0</v>
      </c>
    </row>
    <row r="382" spans="2:142" ht="15.75" x14ac:dyDescent="0.2">
      <c r="B382" s="160">
        <f t="shared" si="351"/>
        <v>352</v>
      </c>
      <c r="C382" s="290">
        <v>1001348419</v>
      </c>
      <c r="D382" s="290">
        <v>1001302056</v>
      </c>
      <c r="E382" s="290">
        <v>41559387</v>
      </c>
      <c r="F382" s="118">
        <f>IF(OR(J382="",H382=""),"",VLOOKUP(J382,'הזנה לסיווג רשויות'!$B$2:$D$301,2,0))</f>
        <v>20000055</v>
      </c>
      <c r="G382" s="118" t="str">
        <f>IF(OR(J382="",H382=""),"",VLOOKUP(J382,'הזנה לסיווג רשויות'!$B$2:$D$301,3,0))</f>
        <v>מג'ד אל-כרום</v>
      </c>
      <c r="H382" s="293" t="s">
        <v>753</v>
      </c>
      <c r="I382" s="201" t="s">
        <v>564</v>
      </c>
      <c r="J382" s="294">
        <v>516</v>
      </c>
      <c r="K382" s="161">
        <v>0</v>
      </c>
      <c r="L382" s="161">
        <v>1</v>
      </c>
      <c r="M382" s="161">
        <v>0</v>
      </c>
      <c r="N382" s="161">
        <v>0</v>
      </c>
      <c r="O382" s="161">
        <v>1</v>
      </c>
      <c r="P382" s="161">
        <v>1</v>
      </c>
      <c r="Q382" s="161">
        <v>1</v>
      </c>
      <c r="R382" s="201">
        <v>444001</v>
      </c>
      <c r="S382" s="201">
        <v>444001</v>
      </c>
      <c r="T382" s="160">
        <f>IF(G382="","",IFERROR(IF(S382/R382&gt;'פרמטרים לקריטריונים'!$C$20,1,0),0))</f>
        <v>1</v>
      </c>
      <c r="U382" s="296">
        <v>239551</v>
      </c>
      <c r="V382" s="160">
        <f>IF(G382="","",IFERROR(IF(U382/R382&gt;'פרמטרים לקריטריונים'!$C$21,1,IF(AND(I382=$BW$5,U382/R382&gt;'פרמטרים לקריטריונים'!$C$22),1,0)),0))</f>
        <v>1</v>
      </c>
      <c r="W382" s="161">
        <v>1</v>
      </c>
      <c r="X382" s="161">
        <v>1</v>
      </c>
      <c r="Y382" s="299">
        <v>600000</v>
      </c>
      <c r="Z382" s="300">
        <v>200000</v>
      </c>
      <c r="AA382" s="161">
        <f t="shared" si="403"/>
        <v>1</v>
      </c>
      <c r="AB382" s="161"/>
      <c r="AC382" s="161"/>
      <c r="AD382" s="161"/>
      <c r="AE382" s="161"/>
      <c r="AF382" s="161"/>
      <c r="AG382" s="161"/>
      <c r="AH382" s="161"/>
      <c r="AI382" s="161"/>
      <c r="AJ382" s="161"/>
      <c r="AK382" s="161"/>
      <c r="AL382" s="161"/>
      <c r="AM382" s="161"/>
      <c r="AN382" s="161"/>
      <c r="AO382" s="161"/>
      <c r="AP382" s="161"/>
      <c r="AQ382" s="161"/>
      <c r="AR382" s="161"/>
      <c r="AS382" s="161"/>
      <c r="AT382" s="161"/>
      <c r="AU382" s="161"/>
      <c r="AV382" s="161"/>
      <c r="AW382" s="160"/>
      <c r="AX382" s="161"/>
      <c r="AY382" s="161"/>
      <c r="AZ382" s="161"/>
      <c r="BA382" s="161"/>
      <c r="BB382" s="161"/>
      <c r="BC382" s="161"/>
      <c r="BD382" s="161"/>
      <c r="BE382" s="161"/>
      <c r="BF382" s="160" t="str">
        <f t="shared" si="352"/>
        <v/>
      </c>
      <c r="BG382" s="160"/>
      <c r="BH382" s="160"/>
      <c r="BI382" s="160"/>
      <c r="BJ382" s="160"/>
      <c r="BK382" s="160"/>
      <c r="BL382" s="162">
        <f t="shared" si="353"/>
        <v>1</v>
      </c>
      <c r="BM382" s="257" t="s">
        <v>784</v>
      </c>
      <c r="BN382" s="163"/>
      <c r="BO382" s="211" t="str">
        <f t="shared" si="354"/>
        <v>עמותת אדים למוסיקה אומנות ותרבות (עאחר</v>
      </c>
      <c r="BP382" s="125">
        <f t="shared" si="355"/>
        <v>1</v>
      </c>
      <c r="BQ382" s="164">
        <v>0</v>
      </c>
      <c r="BR382" s="164">
        <v>1</v>
      </c>
      <c r="BS382" s="149">
        <f t="shared" si="356"/>
        <v>1</v>
      </c>
      <c r="BT382" s="149">
        <f t="shared" si="357"/>
        <v>1</v>
      </c>
      <c r="BU382" s="149">
        <f t="shared" si="358"/>
        <v>1</v>
      </c>
      <c r="BV382" s="149">
        <f t="shared" si="359"/>
        <v>1</v>
      </c>
      <c r="BW382" s="149">
        <f t="shared" si="360"/>
        <v>1</v>
      </c>
      <c r="BX382" s="149">
        <f t="shared" si="361"/>
        <v>1</v>
      </c>
      <c r="BY382" s="149">
        <f t="shared" si="362"/>
        <v>1</v>
      </c>
      <c r="BZ382" s="149">
        <f t="shared" si="363"/>
        <v>1</v>
      </c>
      <c r="CA382" s="149">
        <f t="shared" si="364"/>
        <v>1</v>
      </c>
      <c r="CB382" s="149">
        <f t="shared" si="365"/>
        <v>1</v>
      </c>
      <c r="CC382" s="149">
        <f t="shared" si="366"/>
        <v>1</v>
      </c>
      <c r="CD382" s="149">
        <f t="shared" si="367"/>
        <v>1</v>
      </c>
      <c r="CE382" s="149">
        <f t="shared" si="368"/>
        <v>1</v>
      </c>
      <c r="CF382" s="149">
        <f t="shared" si="369"/>
        <v>1</v>
      </c>
      <c r="CG382" s="149">
        <f t="shared" si="370"/>
        <v>1</v>
      </c>
      <c r="CH382" s="149">
        <f t="shared" si="371"/>
        <v>1</v>
      </c>
      <c r="CI382" s="149">
        <f t="shared" si="372"/>
        <v>1</v>
      </c>
      <c r="CJ382" s="149">
        <f t="shared" si="373"/>
        <v>1</v>
      </c>
      <c r="CK382" s="149">
        <f t="shared" si="374"/>
        <v>1</v>
      </c>
      <c r="CL382" s="149">
        <f t="shared" si="375"/>
        <v>1</v>
      </c>
      <c r="CM382" s="149">
        <f t="shared" si="376"/>
        <v>1</v>
      </c>
      <c r="CN382" s="149">
        <f t="shared" si="377"/>
        <v>1</v>
      </c>
      <c r="CO382" s="149">
        <f t="shared" si="378"/>
        <v>1</v>
      </c>
      <c r="CP382" s="149">
        <f t="shared" si="379"/>
        <v>1</v>
      </c>
      <c r="CQ382" s="149">
        <f t="shared" si="380"/>
        <v>1</v>
      </c>
      <c r="CR382" s="149">
        <f t="shared" si="381"/>
        <v>1</v>
      </c>
      <c r="CS382" s="149">
        <f t="shared" si="382"/>
        <v>1</v>
      </c>
      <c r="CT382" s="149">
        <f t="shared" si="383"/>
        <v>1</v>
      </c>
      <c r="CU382" s="149">
        <f t="shared" si="384"/>
        <v>1</v>
      </c>
      <c r="CV382" s="149">
        <f t="shared" si="385"/>
        <v>1</v>
      </c>
      <c r="CW382" s="149">
        <f t="shared" si="386"/>
        <v>1</v>
      </c>
      <c r="CX382" s="149">
        <f t="shared" si="387"/>
        <v>1</v>
      </c>
      <c r="CY382" s="149">
        <f t="shared" si="388"/>
        <v>1</v>
      </c>
      <c r="CZ382" s="149">
        <f t="shared" si="389"/>
        <v>1</v>
      </c>
      <c r="DA382" s="149">
        <f t="shared" si="390"/>
        <v>1</v>
      </c>
      <c r="DB382" s="149">
        <f t="shared" si="391"/>
        <v>1</v>
      </c>
      <c r="DG382" s="125">
        <f t="shared" si="296"/>
        <v>1</v>
      </c>
      <c r="DH382" s="125">
        <f t="shared" si="404"/>
        <v>2</v>
      </c>
      <c r="DI382" s="125">
        <f t="shared" si="404"/>
        <v>3</v>
      </c>
      <c r="DJ382" s="125">
        <f t="shared" si="404"/>
        <v>4</v>
      </c>
      <c r="DK382" s="125">
        <f t="shared" si="404"/>
        <v>5</v>
      </c>
      <c r="DL382" s="125">
        <f t="shared" si="404"/>
        <v>6</v>
      </c>
      <c r="DM382" s="125">
        <f t="shared" si="404"/>
        <v>7</v>
      </c>
      <c r="DN382" s="125">
        <f t="shared" si="404"/>
        <v>8</v>
      </c>
      <c r="DO382" s="125">
        <f t="shared" si="404"/>
        <v>9</v>
      </c>
      <c r="DP382" s="125">
        <f t="shared" si="404"/>
        <v>10</v>
      </c>
      <c r="DS382" s="137"/>
      <c r="DT382" s="137"/>
      <c r="DU382" s="137"/>
      <c r="DV382" s="137" t="b">
        <f t="shared" si="392"/>
        <v>0</v>
      </c>
      <c r="DW382" s="137" t="b">
        <f t="shared" si="393"/>
        <v>0</v>
      </c>
      <c r="DX382" s="137" t="b">
        <f t="shared" si="394"/>
        <v>1</v>
      </c>
      <c r="EB382" s="131">
        <f t="shared" si="395"/>
        <v>1</v>
      </c>
      <c r="EC382" s="137" t="b">
        <f t="shared" si="396"/>
        <v>0</v>
      </c>
      <c r="ED382" s="137" t="b">
        <f t="shared" si="397"/>
        <v>0</v>
      </c>
      <c r="EE382" s="137" t="b">
        <f t="shared" si="398"/>
        <v>1</v>
      </c>
      <c r="EF382" s="137"/>
      <c r="EG382" s="137"/>
      <c r="EH382" s="137"/>
      <c r="EI382" s="137"/>
      <c r="EJ382" s="137">
        <f t="shared" si="399"/>
        <v>1</v>
      </c>
      <c r="EK382" s="125">
        <f t="shared" si="400"/>
        <v>0</v>
      </c>
      <c r="EL382" s="125">
        <f t="shared" si="401"/>
        <v>0</v>
      </c>
    </row>
    <row r="383" spans="2:142" ht="15.75" x14ac:dyDescent="0.2">
      <c r="B383" s="160">
        <f t="shared" si="351"/>
        <v>353</v>
      </c>
      <c r="C383" s="290">
        <v>1001347369</v>
      </c>
      <c r="D383" s="290">
        <v>1001269042</v>
      </c>
      <c r="E383" s="290">
        <v>41604114</v>
      </c>
      <c r="F383" s="118">
        <f>IF(OR(J383="",H383=""),"",VLOOKUP(J383,'הזנה לסיווג רשויות'!$B$2:$D$301,2,0))</f>
        <v>20000201</v>
      </c>
      <c r="G383" s="118" t="str">
        <f>IF(OR(J383="",H383=""),"",VLOOKUP(J383,'הזנה לסיווג רשויות'!$B$2:$D$301,3,0))</f>
        <v>תל אביב -יפו</v>
      </c>
      <c r="H383" s="293" t="s">
        <v>754</v>
      </c>
      <c r="I383" s="201" t="s">
        <v>564</v>
      </c>
      <c r="J383" s="294">
        <v>5000</v>
      </c>
      <c r="K383" s="161">
        <v>0</v>
      </c>
      <c r="L383" s="161">
        <v>1</v>
      </c>
      <c r="M383" s="161">
        <v>0</v>
      </c>
      <c r="N383" s="161">
        <v>0</v>
      </c>
      <c r="O383" s="161">
        <v>1</v>
      </c>
      <c r="P383" s="161">
        <v>1</v>
      </c>
      <c r="Q383" s="161">
        <v>1</v>
      </c>
      <c r="R383" s="201">
        <v>324782</v>
      </c>
      <c r="S383" s="201">
        <v>324782</v>
      </c>
      <c r="T383" s="160">
        <f>IF(G383="","",IFERROR(IF(S383/R383&gt;'פרמטרים לקריטריונים'!$C$20,1,0),0))</f>
        <v>1</v>
      </c>
      <c r="U383" s="296">
        <v>316982</v>
      </c>
      <c r="V383" s="160">
        <f>IF(G383="","",IFERROR(IF(U383/R383&gt;'פרמטרים לקריטריונים'!$C$21,1,IF(AND(I383=$BW$5,U383/R383&gt;'פרמטרים לקריטריונים'!$C$22),1,0)),0))</f>
        <v>1</v>
      </c>
      <c r="W383" s="161">
        <v>1</v>
      </c>
      <c r="X383" s="161">
        <v>1</v>
      </c>
      <c r="Y383" s="299">
        <v>30000</v>
      </c>
      <c r="Z383" s="300">
        <v>10000</v>
      </c>
      <c r="AA383" s="161">
        <f t="shared" si="403"/>
        <v>1</v>
      </c>
      <c r="AB383" s="161"/>
      <c r="AC383" s="161"/>
      <c r="AD383" s="161"/>
      <c r="AE383" s="161"/>
      <c r="AF383" s="161"/>
      <c r="AG383" s="161"/>
      <c r="AH383" s="161"/>
      <c r="AI383" s="161"/>
      <c r="AJ383" s="161"/>
      <c r="AK383" s="161"/>
      <c r="AL383" s="161"/>
      <c r="AM383" s="161"/>
      <c r="AN383" s="161"/>
      <c r="AO383" s="161"/>
      <c r="AP383" s="161"/>
      <c r="AQ383" s="161"/>
      <c r="AR383" s="161"/>
      <c r="AS383" s="161"/>
      <c r="AT383" s="161"/>
      <c r="AU383" s="161"/>
      <c r="AV383" s="161"/>
      <c r="AW383" s="160"/>
      <c r="AX383" s="161"/>
      <c r="AY383" s="161"/>
      <c r="AZ383" s="161"/>
      <c r="BA383" s="161"/>
      <c r="BB383" s="161"/>
      <c r="BC383" s="161"/>
      <c r="BD383" s="161"/>
      <c r="BE383" s="161"/>
      <c r="BF383" s="160" t="str">
        <f t="shared" si="352"/>
        <v/>
      </c>
      <c r="BG383" s="160"/>
      <c r="BH383" s="160"/>
      <c r="BI383" s="160"/>
      <c r="BJ383" s="160"/>
      <c r="BK383" s="160"/>
      <c r="BL383" s="162">
        <f t="shared" si="353"/>
        <v>1</v>
      </c>
      <c r="BM383" s="257" t="s">
        <v>785</v>
      </c>
      <c r="BN383" s="163"/>
      <c r="BO383" s="211" t="str">
        <f t="shared" si="354"/>
        <v>העמותה לקונטאקט אימפרוביזציה בישראלאחר</v>
      </c>
      <c r="BP383" s="125">
        <f t="shared" si="355"/>
        <v>1</v>
      </c>
      <c r="BQ383" s="164">
        <v>0</v>
      </c>
      <c r="BR383" s="164">
        <v>1</v>
      </c>
      <c r="BS383" s="149">
        <f t="shared" si="356"/>
        <v>1</v>
      </c>
      <c r="BT383" s="149">
        <f t="shared" si="357"/>
        <v>1</v>
      </c>
      <c r="BU383" s="149">
        <f t="shared" si="358"/>
        <v>1</v>
      </c>
      <c r="BV383" s="149">
        <f t="shared" si="359"/>
        <v>1</v>
      </c>
      <c r="BW383" s="149">
        <f t="shared" si="360"/>
        <v>1</v>
      </c>
      <c r="BX383" s="149">
        <f t="shared" si="361"/>
        <v>1</v>
      </c>
      <c r="BY383" s="149">
        <f t="shared" si="362"/>
        <v>1</v>
      </c>
      <c r="BZ383" s="149">
        <f t="shared" si="363"/>
        <v>1</v>
      </c>
      <c r="CA383" s="149">
        <f t="shared" si="364"/>
        <v>1</v>
      </c>
      <c r="CB383" s="149">
        <f t="shared" si="365"/>
        <v>1</v>
      </c>
      <c r="CC383" s="149">
        <f t="shared" si="366"/>
        <v>1</v>
      </c>
      <c r="CD383" s="149">
        <f t="shared" si="367"/>
        <v>1</v>
      </c>
      <c r="CE383" s="149">
        <f t="shared" si="368"/>
        <v>1</v>
      </c>
      <c r="CF383" s="149">
        <f t="shared" si="369"/>
        <v>1</v>
      </c>
      <c r="CG383" s="149">
        <f t="shared" si="370"/>
        <v>1</v>
      </c>
      <c r="CH383" s="149">
        <f t="shared" si="371"/>
        <v>1</v>
      </c>
      <c r="CI383" s="149">
        <f t="shared" si="372"/>
        <v>1</v>
      </c>
      <c r="CJ383" s="149">
        <f t="shared" si="373"/>
        <v>1</v>
      </c>
      <c r="CK383" s="149">
        <f t="shared" si="374"/>
        <v>1</v>
      </c>
      <c r="CL383" s="149">
        <f t="shared" si="375"/>
        <v>1</v>
      </c>
      <c r="CM383" s="149">
        <f t="shared" si="376"/>
        <v>1</v>
      </c>
      <c r="CN383" s="149">
        <f t="shared" si="377"/>
        <v>1</v>
      </c>
      <c r="CO383" s="149">
        <f t="shared" si="378"/>
        <v>1</v>
      </c>
      <c r="CP383" s="149">
        <f t="shared" si="379"/>
        <v>1</v>
      </c>
      <c r="CQ383" s="149">
        <f t="shared" si="380"/>
        <v>1</v>
      </c>
      <c r="CR383" s="149">
        <f t="shared" si="381"/>
        <v>1</v>
      </c>
      <c r="CS383" s="149">
        <f t="shared" si="382"/>
        <v>1</v>
      </c>
      <c r="CT383" s="149">
        <f t="shared" si="383"/>
        <v>1</v>
      </c>
      <c r="CU383" s="149">
        <f t="shared" si="384"/>
        <v>1</v>
      </c>
      <c r="CV383" s="149">
        <f t="shared" si="385"/>
        <v>1</v>
      </c>
      <c r="CW383" s="149">
        <f t="shared" si="386"/>
        <v>1</v>
      </c>
      <c r="CX383" s="149">
        <f t="shared" si="387"/>
        <v>1</v>
      </c>
      <c r="CY383" s="149">
        <f t="shared" si="388"/>
        <v>1</v>
      </c>
      <c r="CZ383" s="149">
        <f t="shared" si="389"/>
        <v>1</v>
      </c>
      <c r="DA383" s="149">
        <f t="shared" si="390"/>
        <v>1</v>
      </c>
      <c r="DB383" s="149">
        <f t="shared" si="391"/>
        <v>1</v>
      </c>
      <c r="DG383" s="125">
        <f t="shared" si="296"/>
        <v>1</v>
      </c>
      <c r="DH383" s="125">
        <f t="shared" si="404"/>
        <v>2</v>
      </c>
      <c r="DI383" s="125">
        <f t="shared" si="404"/>
        <v>3</v>
      </c>
      <c r="DJ383" s="125">
        <f t="shared" si="404"/>
        <v>4</v>
      </c>
      <c r="DK383" s="125">
        <f t="shared" si="404"/>
        <v>5</v>
      </c>
      <c r="DL383" s="125">
        <f t="shared" si="404"/>
        <v>6</v>
      </c>
      <c r="DM383" s="125">
        <f t="shared" si="404"/>
        <v>7</v>
      </c>
      <c r="DN383" s="125">
        <f t="shared" si="404"/>
        <v>8</v>
      </c>
      <c r="DO383" s="125">
        <f t="shared" si="404"/>
        <v>9</v>
      </c>
      <c r="DP383" s="125">
        <f t="shared" si="404"/>
        <v>10</v>
      </c>
      <c r="DS383" s="137"/>
      <c r="DT383" s="137"/>
      <c r="DU383" s="137"/>
      <c r="DV383" s="137" t="b">
        <f t="shared" si="392"/>
        <v>0</v>
      </c>
      <c r="DW383" s="137" t="b">
        <f t="shared" si="393"/>
        <v>0</v>
      </c>
      <c r="DX383" s="137" t="b">
        <f t="shared" si="394"/>
        <v>1</v>
      </c>
      <c r="EB383" s="131">
        <f t="shared" si="395"/>
        <v>1</v>
      </c>
      <c r="EC383" s="137" t="b">
        <f t="shared" si="396"/>
        <v>0</v>
      </c>
      <c r="ED383" s="137" t="b">
        <f t="shared" si="397"/>
        <v>0</v>
      </c>
      <c r="EE383" s="137" t="b">
        <f t="shared" si="398"/>
        <v>1</v>
      </c>
      <c r="EF383" s="137"/>
      <c r="EG383" s="137"/>
      <c r="EH383" s="137"/>
      <c r="EI383" s="137"/>
      <c r="EJ383" s="137">
        <f t="shared" si="399"/>
        <v>1</v>
      </c>
      <c r="EK383" s="125">
        <f t="shared" si="400"/>
        <v>0</v>
      </c>
      <c r="EL383" s="125">
        <f t="shared" si="401"/>
        <v>0</v>
      </c>
    </row>
    <row r="384" spans="2:142" ht="15.75" x14ac:dyDescent="0.2">
      <c r="B384" s="160">
        <f t="shared" si="351"/>
        <v>354</v>
      </c>
      <c r="C384" s="290">
        <v>1001350655</v>
      </c>
      <c r="D384" s="290">
        <v>1001273979</v>
      </c>
      <c r="E384" s="290">
        <v>41626750</v>
      </c>
      <c r="F384" s="118">
        <f>IF(OR(J384="",H384=""),"",VLOOKUP(J384,'הזנה לסיווג רשויות'!$B$2:$D$301,2,0))</f>
        <v>20000250</v>
      </c>
      <c r="G384" s="118" t="str">
        <f>IF(OR(J384="",H384=""),"",VLOOKUP(J384,'הזנה לסיווג רשויות'!$B$2:$D$301,3,0))</f>
        <v>רמת גן</v>
      </c>
      <c r="H384" s="293" t="s">
        <v>755</v>
      </c>
      <c r="I384" s="201" t="s">
        <v>374</v>
      </c>
      <c r="J384" s="294">
        <v>8600</v>
      </c>
      <c r="K384" s="161">
        <v>0</v>
      </c>
      <c r="L384" s="161">
        <v>1</v>
      </c>
      <c r="M384" s="161">
        <v>0</v>
      </c>
      <c r="N384" s="161">
        <v>0</v>
      </c>
      <c r="O384" s="161">
        <v>1</v>
      </c>
      <c r="P384" s="161">
        <v>1</v>
      </c>
      <c r="Q384" s="161">
        <v>1</v>
      </c>
      <c r="R384" s="201">
        <v>424050</v>
      </c>
      <c r="S384" s="201">
        <v>314692</v>
      </c>
      <c r="T384" s="160">
        <f>IF(G384="","",IFERROR(IF(S384/R384&gt;'פרמטרים לקריטריונים'!$C$20,1,0),0))</f>
        <v>1</v>
      </c>
      <c r="U384" s="296">
        <v>285692.73</v>
      </c>
      <c r="V384" s="160">
        <f>IF(G384="","",IFERROR(IF(U384/R384&gt;'פרמטרים לקריטריונים'!$C$21,1,IF(AND(I384=$BW$5,U384/R384&gt;'פרמטרים לקריטריונים'!$C$22),1,0)),0))</f>
        <v>1</v>
      </c>
      <c r="W384" s="161">
        <v>1</v>
      </c>
      <c r="X384" s="161">
        <v>1</v>
      </c>
      <c r="Y384" s="299">
        <v>250000</v>
      </c>
      <c r="Z384" s="300">
        <v>30000</v>
      </c>
      <c r="AA384" s="161">
        <f t="shared" si="403"/>
        <v>1</v>
      </c>
      <c r="AB384" s="161"/>
      <c r="AC384" s="161"/>
      <c r="AD384" s="161"/>
      <c r="AE384" s="161"/>
      <c r="AF384" s="161"/>
      <c r="AG384" s="161"/>
      <c r="AH384" s="161"/>
      <c r="AI384" s="161"/>
      <c r="AJ384" s="161"/>
      <c r="AK384" s="161"/>
      <c r="AL384" s="161"/>
      <c r="AM384" s="161"/>
      <c r="AN384" s="161"/>
      <c r="AO384" s="161"/>
      <c r="AP384" s="161"/>
      <c r="AQ384" s="161"/>
      <c r="AR384" s="161"/>
      <c r="AS384" s="161"/>
      <c r="AT384" s="161"/>
      <c r="AU384" s="161"/>
      <c r="AV384" s="161"/>
      <c r="AW384" s="160"/>
      <c r="AX384" s="161"/>
      <c r="AY384" s="161"/>
      <c r="AZ384" s="161"/>
      <c r="BA384" s="161"/>
      <c r="BB384" s="161"/>
      <c r="BC384" s="161"/>
      <c r="BD384" s="161"/>
      <c r="BE384" s="161"/>
      <c r="BF384" s="160" t="str">
        <f t="shared" si="352"/>
        <v/>
      </c>
      <c r="BG384" s="160"/>
      <c r="BH384" s="160"/>
      <c r="BI384" s="160"/>
      <c r="BJ384" s="160"/>
      <c r="BK384" s="160"/>
      <c r="BL384" s="162">
        <f t="shared" si="353"/>
        <v>1</v>
      </c>
      <c r="BM384" s="257"/>
      <c r="BN384" s="163" t="s">
        <v>786</v>
      </c>
      <c r="BO384" s="211" t="str">
        <f t="shared" si="354"/>
        <v>להקת מחול רועי אסף (ע"ר)מחול</v>
      </c>
      <c r="BP384" s="125">
        <f t="shared" si="355"/>
        <v>1</v>
      </c>
      <c r="BQ384" s="164">
        <v>0</v>
      </c>
      <c r="BR384" s="164">
        <v>1</v>
      </c>
      <c r="BS384" s="149">
        <f t="shared" si="356"/>
        <v>1</v>
      </c>
      <c r="BT384" s="149">
        <f t="shared" si="357"/>
        <v>1</v>
      </c>
      <c r="BU384" s="149">
        <f t="shared" si="358"/>
        <v>1</v>
      </c>
      <c r="BV384" s="149">
        <f t="shared" si="359"/>
        <v>1</v>
      </c>
      <c r="BW384" s="149">
        <f t="shared" si="360"/>
        <v>1</v>
      </c>
      <c r="BX384" s="149">
        <f t="shared" si="361"/>
        <v>1</v>
      </c>
      <c r="BY384" s="149">
        <f t="shared" si="362"/>
        <v>1</v>
      </c>
      <c r="BZ384" s="149">
        <f t="shared" si="363"/>
        <v>1</v>
      </c>
      <c r="CA384" s="149">
        <f t="shared" si="364"/>
        <v>1</v>
      </c>
      <c r="CB384" s="149">
        <f t="shared" si="365"/>
        <v>1</v>
      </c>
      <c r="CC384" s="149">
        <f t="shared" si="366"/>
        <v>1</v>
      </c>
      <c r="CD384" s="149">
        <f t="shared" si="367"/>
        <v>1</v>
      </c>
      <c r="CE384" s="149">
        <f t="shared" si="368"/>
        <v>1</v>
      </c>
      <c r="CF384" s="149">
        <f t="shared" si="369"/>
        <v>1</v>
      </c>
      <c r="CG384" s="149">
        <f t="shared" si="370"/>
        <v>1</v>
      </c>
      <c r="CH384" s="149">
        <f t="shared" si="371"/>
        <v>1</v>
      </c>
      <c r="CI384" s="149">
        <f t="shared" si="372"/>
        <v>1</v>
      </c>
      <c r="CJ384" s="149">
        <f t="shared" si="373"/>
        <v>1</v>
      </c>
      <c r="CK384" s="149">
        <f t="shared" si="374"/>
        <v>1</v>
      </c>
      <c r="CL384" s="149">
        <f t="shared" si="375"/>
        <v>1</v>
      </c>
      <c r="CM384" s="149">
        <f t="shared" si="376"/>
        <v>1</v>
      </c>
      <c r="CN384" s="149">
        <f t="shared" si="377"/>
        <v>1</v>
      </c>
      <c r="CO384" s="149">
        <f t="shared" si="378"/>
        <v>1</v>
      </c>
      <c r="CP384" s="149">
        <f t="shared" si="379"/>
        <v>1</v>
      </c>
      <c r="CQ384" s="149">
        <f t="shared" si="380"/>
        <v>1</v>
      </c>
      <c r="CR384" s="149">
        <f t="shared" si="381"/>
        <v>1</v>
      </c>
      <c r="CS384" s="149">
        <f t="shared" si="382"/>
        <v>1</v>
      </c>
      <c r="CT384" s="149">
        <f t="shared" si="383"/>
        <v>1</v>
      </c>
      <c r="CU384" s="149">
        <f t="shared" si="384"/>
        <v>1</v>
      </c>
      <c r="CV384" s="149">
        <f t="shared" si="385"/>
        <v>1</v>
      </c>
      <c r="CW384" s="149">
        <f t="shared" si="386"/>
        <v>1</v>
      </c>
      <c r="CX384" s="149">
        <f t="shared" si="387"/>
        <v>1</v>
      </c>
      <c r="CY384" s="149">
        <f t="shared" si="388"/>
        <v>1</v>
      </c>
      <c r="CZ384" s="149">
        <f t="shared" si="389"/>
        <v>1</v>
      </c>
      <c r="DA384" s="149">
        <f t="shared" si="390"/>
        <v>1</v>
      </c>
      <c r="DB384" s="149">
        <f t="shared" si="391"/>
        <v>1</v>
      </c>
      <c r="DG384" s="125">
        <f t="shared" si="296"/>
        <v>1</v>
      </c>
      <c r="DH384" s="125">
        <f t="shared" si="404"/>
        <v>2</v>
      </c>
      <c r="DI384" s="125">
        <f t="shared" si="404"/>
        <v>3</v>
      </c>
      <c r="DJ384" s="125">
        <f t="shared" si="404"/>
        <v>4</v>
      </c>
      <c r="DK384" s="125">
        <f t="shared" si="404"/>
        <v>5</v>
      </c>
      <c r="DL384" s="125">
        <f t="shared" si="404"/>
        <v>6</v>
      </c>
      <c r="DM384" s="125">
        <f t="shared" si="404"/>
        <v>7</v>
      </c>
      <c r="DN384" s="125">
        <f t="shared" si="404"/>
        <v>8</v>
      </c>
      <c r="DO384" s="125">
        <f t="shared" si="404"/>
        <v>9</v>
      </c>
      <c r="DP384" s="125">
        <f t="shared" si="404"/>
        <v>10</v>
      </c>
      <c r="DS384" s="137"/>
      <c r="DT384" s="137"/>
      <c r="DU384" s="137"/>
      <c r="DV384" s="137" t="b">
        <f t="shared" si="392"/>
        <v>0</v>
      </c>
      <c r="DW384" s="137" t="b">
        <f t="shared" si="393"/>
        <v>0</v>
      </c>
      <c r="DX384" s="137" t="b">
        <f t="shared" si="394"/>
        <v>1</v>
      </c>
      <c r="EB384" s="131">
        <f t="shared" si="395"/>
        <v>1</v>
      </c>
      <c r="EC384" s="137" t="b">
        <f t="shared" si="396"/>
        <v>0</v>
      </c>
      <c r="ED384" s="137" t="b">
        <f t="shared" si="397"/>
        <v>0</v>
      </c>
      <c r="EE384" s="137" t="b">
        <f t="shared" si="398"/>
        <v>1</v>
      </c>
      <c r="EF384" s="137"/>
      <c r="EG384" s="137"/>
      <c r="EH384" s="137"/>
      <c r="EI384" s="137"/>
      <c r="EJ384" s="137">
        <f t="shared" si="399"/>
        <v>1</v>
      </c>
      <c r="EK384" s="125">
        <f t="shared" si="400"/>
        <v>0</v>
      </c>
      <c r="EL384" s="125">
        <f t="shared" si="401"/>
        <v>0</v>
      </c>
    </row>
    <row r="385" spans="2:142" ht="15.75" x14ac:dyDescent="0.2">
      <c r="B385" s="160">
        <f t="shared" si="351"/>
        <v>355</v>
      </c>
      <c r="C385" s="290">
        <v>1001347018</v>
      </c>
      <c r="D385" s="290">
        <v>1001271538</v>
      </c>
      <c r="E385" s="290">
        <v>41627319</v>
      </c>
      <c r="F385" s="118">
        <f>IF(OR(J385="",H385=""),"",VLOOKUP(J385,'הזנה לסיווג רשויות'!$B$2:$D$301,2,0))</f>
        <v>20000159</v>
      </c>
      <c r="G385" s="118" t="str">
        <f>IF(OR(J385="",H385=""),"",VLOOKUP(J385,'הזנה לסיווג רשויות'!$B$2:$D$301,3,0))</f>
        <v>ירושלים</v>
      </c>
      <c r="H385" s="293" t="s">
        <v>756</v>
      </c>
      <c r="I385" s="201" t="s">
        <v>374</v>
      </c>
      <c r="J385" s="294">
        <v>3000</v>
      </c>
      <c r="K385" s="161">
        <v>0</v>
      </c>
      <c r="L385" s="161">
        <v>1</v>
      </c>
      <c r="M385" s="161">
        <v>0</v>
      </c>
      <c r="N385" s="161">
        <v>1</v>
      </c>
      <c r="O385" s="161">
        <v>0</v>
      </c>
      <c r="P385" s="161">
        <v>1</v>
      </c>
      <c r="Q385" s="161">
        <v>1</v>
      </c>
      <c r="R385" s="201">
        <v>350497</v>
      </c>
      <c r="S385" s="201">
        <v>200209</v>
      </c>
      <c r="T385" s="160">
        <f>IF(G385="","",IFERROR(IF(S385/R385&gt;'פרמטרים לקריטריונים'!$C$20,1,0),0))</f>
        <v>1</v>
      </c>
      <c r="U385" s="296">
        <v>105652</v>
      </c>
      <c r="V385" s="160">
        <f>IF(G385="","",IFERROR(IF(U385/R385&gt;'פרמטרים לקריטריונים'!$C$21,1,IF(AND(I385=$BW$5,U385/R385&gt;'פרמטרים לקריטריונים'!$C$22),1,0)),0))</f>
        <v>1</v>
      </c>
      <c r="W385" s="161">
        <v>1</v>
      </c>
      <c r="X385" s="161">
        <v>1</v>
      </c>
      <c r="Y385" s="299">
        <v>50000</v>
      </c>
      <c r="Z385" s="300">
        <v>315558</v>
      </c>
      <c r="AA385" s="161">
        <f t="shared" si="403"/>
        <v>1</v>
      </c>
      <c r="AB385" s="161"/>
      <c r="AC385" s="161"/>
      <c r="AD385" s="161"/>
      <c r="AE385" s="161"/>
      <c r="AF385" s="161"/>
      <c r="AG385" s="161"/>
      <c r="AH385" s="161"/>
      <c r="AI385" s="161"/>
      <c r="AJ385" s="161"/>
      <c r="AK385" s="161"/>
      <c r="AL385" s="161"/>
      <c r="AM385" s="161"/>
      <c r="AN385" s="161"/>
      <c r="AO385" s="161"/>
      <c r="AP385" s="161"/>
      <c r="AQ385" s="161"/>
      <c r="AR385" s="161"/>
      <c r="AS385" s="161"/>
      <c r="AT385" s="161"/>
      <c r="AU385" s="161"/>
      <c r="AV385" s="161"/>
      <c r="AW385" s="160"/>
      <c r="AX385" s="161"/>
      <c r="AY385" s="161"/>
      <c r="AZ385" s="161"/>
      <c r="BA385" s="161"/>
      <c r="BB385" s="161"/>
      <c r="BC385" s="161"/>
      <c r="BD385" s="161"/>
      <c r="BE385" s="161"/>
      <c r="BF385" s="160" t="str">
        <f t="shared" si="352"/>
        <v/>
      </c>
      <c r="BG385" s="160"/>
      <c r="BH385" s="160"/>
      <c r="BI385" s="160"/>
      <c r="BJ385" s="160"/>
      <c r="BK385" s="160"/>
      <c r="BL385" s="162">
        <f t="shared" si="353"/>
        <v>1</v>
      </c>
      <c r="BM385" s="257"/>
      <c r="BN385" s="163"/>
      <c r="BO385" s="211" t="str">
        <f t="shared" si="354"/>
        <v>ק.ט.מ.ו.ן - קבוצת מחול בירושלים (ע'מחול</v>
      </c>
      <c r="BP385" s="125">
        <f t="shared" si="355"/>
        <v>1</v>
      </c>
      <c r="BQ385" s="164">
        <v>0</v>
      </c>
      <c r="BR385" s="164">
        <v>1</v>
      </c>
      <c r="BS385" s="149">
        <f t="shared" si="356"/>
        <v>1</v>
      </c>
      <c r="BT385" s="149">
        <f t="shared" si="357"/>
        <v>1</v>
      </c>
      <c r="BU385" s="149">
        <f t="shared" si="358"/>
        <v>1</v>
      </c>
      <c r="BV385" s="149">
        <f t="shared" si="359"/>
        <v>1</v>
      </c>
      <c r="BW385" s="149">
        <f t="shared" si="360"/>
        <v>1</v>
      </c>
      <c r="BX385" s="149">
        <f t="shared" si="361"/>
        <v>1</v>
      </c>
      <c r="BY385" s="149">
        <f t="shared" si="362"/>
        <v>1</v>
      </c>
      <c r="BZ385" s="149">
        <f t="shared" si="363"/>
        <v>1</v>
      </c>
      <c r="CA385" s="149">
        <f t="shared" si="364"/>
        <v>1</v>
      </c>
      <c r="CB385" s="149">
        <f t="shared" si="365"/>
        <v>1</v>
      </c>
      <c r="CC385" s="149">
        <f t="shared" si="366"/>
        <v>1</v>
      </c>
      <c r="CD385" s="149">
        <f t="shared" si="367"/>
        <v>1</v>
      </c>
      <c r="CE385" s="149">
        <f t="shared" si="368"/>
        <v>1</v>
      </c>
      <c r="CF385" s="149">
        <f t="shared" si="369"/>
        <v>1</v>
      </c>
      <c r="CG385" s="149">
        <f t="shared" si="370"/>
        <v>1</v>
      </c>
      <c r="CH385" s="149">
        <f t="shared" si="371"/>
        <v>1</v>
      </c>
      <c r="CI385" s="149">
        <f t="shared" si="372"/>
        <v>1</v>
      </c>
      <c r="CJ385" s="149">
        <f t="shared" si="373"/>
        <v>1</v>
      </c>
      <c r="CK385" s="149">
        <f t="shared" si="374"/>
        <v>1</v>
      </c>
      <c r="CL385" s="149">
        <f t="shared" si="375"/>
        <v>1</v>
      </c>
      <c r="CM385" s="149">
        <f t="shared" si="376"/>
        <v>1</v>
      </c>
      <c r="CN385" s="149">
        <f t="shared" si="377"/>
        <v>1</v>
      </c>
      <c r="CO385" s="149">
        <f t="shared" si="378"/>
        <v>1</v>
      </c>
      <c r="CP385" s="149">
        <f t="shared" si="379"/>
        <v>1</v>
      </c>
      <c r="CQ385" s="149">
        <f t="shared" si="380"/>
        <v>1</v>
      </c>
      <c r="CR385" s="149">
        <f t="shared" si="381"/>
        <v>1</v>
      </c>
      <c r="CS385" s="149">
        <f t="shared" si="382"/>
        <v>1</v>
      </c>
      <c r="CT385" s="149">
        <f t="shared" si="383"/>
        <v>1</v>
      </c>
      <c r="CU385" s="149">
        <f t="shared" si="384"/>
        <v>1</v>
      </c>
      <c r="CV385" s="149">
        <f t="shared" si="385"/>
        <v>1</v>
      </c>
      <c r="CW385" s="149">
        <f t="shared" si="386"/>
        <v>1</v>
      </c>
      <c r="CX385" s="149">
        <f t="shared" si="387"/>
        <v>1</v>
      </c>
      <c r="CY385" s="149">
        <f t="shared" si="388"/>
        <v>1</v>
      </c>
      <c r="CZ385" s="149">
        <f t="shared" si="389"/>
        <v>1</v>
      </c>
      <c r="DA385" s="149">
        <f t="shared" si="390"/>
        <v>1</v>
      </c>
      <c r="DB385" s="149">
        <f t="shared" si="391"/>
        <v>1</v>
      </c>
      <c r="DG385" s="125">
        <f t="shared" si="296"/>
        <v>1</v>
      </c>
      <c r="DH385" s="125">
        <f t="shared" si="404"/>
        <v>2</v>
      </c>
      <c r="DI385" s="125">
        <f t="shared" si="404"/>
        <v>3</v>
      </c>
      <c r="DJ385" s="125">
        <f t="shared" si="404"/>
        <v>4</v>
      </c>
      <c r="DK385" s="125">
        <f t="shared" si="404"/>
        <v>5</v>
      </c>
      <c r="DL385" s="125">
        <f t="shared" si="404"/>
        <v>6</v>
      </c>
      <c r="DM385" s="125">
        <f t="shared" si="404"/>
        <v>7</v>
      </c>
      <c r="DN385" s="125">
        <f t="shared" si="404"/>
        <v>8</v>
      </c>
      <c r="DO385" s="125">
        <f t="shared" si="404"/>
        <v>9</v>
      </c>
      <c r="DP385" s="125">
        <f t="shared" si="404"/>
        <v>10</v>
      </c>
      <c r="DS385" s="137"/>
      <c r="DT385" s="137"/>
      <c r="DU385" s="137"/>
      <c r="DV385" s="137" t="b">
        <f t="shared" si="392"/>
        <v>0</v>
      </c>
      <c r="DW385" s="137" t="b">
        <f t="shared" si="393"/>
        <v>0</v>
      </c>
      <c r="DX385" s="137" t="b">
        <f t="shared" si="394"/>
        <v>1</v>
      </c>
      <c r="EB385" s="131">
        <f t="shared" si="395"/>
        <v>1</v>
      </c>
      <c r="EC385" s="137" t="b">
        <f t="shared" si="396"/>
        <v>0</v>
      </c>
      <c r="ED385" s="137" t="b">
        <f t="shared" si="397"/>
        <v>0</v>
      </c>
      <c r="EE385" s="137" t="b">
        <f t="shared" si="398"/>
        <v>1</v>
      </c>
      <c r="EF385" s="137"/>
      <c r="EG385" s="137"/>
      <c r="EH385" s="137"/>
      <c r="EI385" s="137"/>
      <c r="EJ385" s="137">
        <f t="shared" si="399"/>
        <v>1</v>
      </c>
      <c r="EK385" s="125">
        <f t="shared" si="400"/>
        <v>0</v>
      </c>
      <c r="EL385" s="125">
        <f t="shared" si="401"/>
        <v>0</v>
      </c>
    </row>
    <row r="386" spans="2:142" ht="15.75" x14ac:dyDescent="0.2">
      <c r="B386" s="160">
        <f t="shared" si="351"/>
        <v>356</v>
      </c>
      <c r="C386" s="290">
        <v>1001348655</v>
      </c>
      <c r="D386" s="290">
        <v>1001266859</v>
      </c>
      <c r="E386" s="290">
        <v>41633210</v>
      </c>
      <c r="F386" s="118">
        <f>IF(OR(J386="",H386=""),"",VLOOKUP(J386,'הזנה לסיווג רשויות'!$B$2:$D$301,2,0))</f>
        <v>20000052</v>
      </c>
      <c r="G386" s="118" t="str">
        <f>IF(OR(J386="",H386=""),"",VLOOKUP(J386,'הזנה לסיווג רשויות'!$B$2:$D$301,3,0))</f>
        <v>כפר כנא</v>
      </c>
      <c r="H386" s="293" t="s">
        <v>757</v>
      </c>
      <c r="I386" s="201" t="s">
        <v>564</v>
      </c>
      <c r="J386" s="294">
        <v>509</v>
      </c>
      <c r="K386" s="161">
        <v>0</v>
      </c>
      <c r="L386" s="161">
        <v>1</v>
      </c>
      <c r="M386" s="161">
        <v>0</v>
      </c>
      <c r="N386" s="161">
        <v>0</v>
      </c>
      <c r="O386" s="161">
        <v>1</v>
      </c>
      <c r="P386" s="161">
        <v>1</v>
      </c>
      <c r="Q386" s="161">
        <v>1</v>
      </c>
      <c r="R386" s="201">
        <v>212774</v>
      </c>
      <c r="S386" s="201">
        <v>212774</v>
      </c>
      <c r="T386" s="160">
        <f>IF(G386="","",IFERROR(IF(S386/R386&gt;'פרמטרים לקריטריונים'!$C$20,1,0),0))</f>
        <v>1</v>
      </c>
      <c r="U386" s="296">
        <v>55904</v>
      </c>
      <c r="V386" s="160">
        <f>IF(G386="","",IFERROR(IF(U386/R386&gt;'פרמטרים לקריטריונים'!$C$21,1,IF(AND(I386=$BW$5,U386/R386&gt;'פרמטרים לקריטריונים'!$C$22),1,0)),0))</f>
        <v>1</v>
      </c>
      <c r="W386" s="161">
        <v>1</v>
      </c>
      <c r="X386" s="161">
        <v>1</v>
      </c>
      <c r="Y386" s="299">
        <v>450000</v>
      </c>
      <c r="Z386" s="300">
        <v>50000</v>
      </c>
      <c r="AA386" s="161">
        <f t="shared" si="403"/>
        <v>1</v>
      </c>
      <c r="AB386" s="161"/>
      <c r="AC386" s="161"/>
      <c r="AD386" s="161"/>
      <c r="AE386" s="161"/>
      <c r="AF386" s="161"/>
      <c r="AG386" s="161"/>
      <c r="AH386" s="161"/>
      <c r="AI386" s="161"/>
      <c r="AJ386" s="161"/>
      <c r="AK386" s="161"/>
      <c r="AL386" s="161"/>
      <c r="AM386" s="161"/>
      <c r="AN386" s="161"/>
      <c r="AO386" s="161"/>
      <c r="AP386" s="161"/>
      <c r="AQ386" s="161"/>
      <c r="AR386" s="161"/>
      <c r="AS386" s="161"/>
      <c r="AT386" s="161"/>
      <c r="AU386" s="161"/>
      <c r="AV386" s="161"/>
      <c r="AW386" s="160"/>
      <c r="AX386" s="161"/>
      <c r="AY386" s="161"/>
      <c r="AZ386" s="161"/>
      <c r="BA386" s="161"/>
      <c r="BB386" s="161"/>
      <c r="BC386" s="161"/>
      <c r="BD386" s="161"/>
      <c r="BE386" s="161"/>
      <c r="BF386" s="160" t="str">
        <f t="shared" si="352"/>
        <v/>
      </c>
      <c r="BG386" s="160"/>
      <c r="BH386" s="160"/>
      <c r="BI386" s="160"/>
      <c r="BJ386" s="160"/>
      <c r="BK386" s="160"/>
      <c r="BL386" s="162">
        <f t="shared" si="353"/>
        <v>1</v>
      </c>
      <c r="BM386" s="257" t="s">
        <v>774</v>
      </c>
      <c r="BN386" s="163"/>
      <c r="BO386" s="211" t="str">
        <f t="shared" si="354"/>
        <v>סול (ע''ר)אחר</v>
      </c>
      <c r="BP386" s="125">
        <f t="shared" si="355"/>
        <v>1</v>
      </c>
      <c r="BQ386" s="164">
        <v>0</v>
      </c>
      <c r="BR386" s="164">
        <v>1</v>
      </c>
      <c r="BS386" s="149">
        <f t="shared" si="356"/>
        <v>1</v>
      </c>
      <c r="BT386" s="149">
        <f t="shared" si="357"/>
        <v>1</v>
      </c>
      <c r="BU386" s="149">
        <f t="shared" si="358"/>
        <v>1</v>
      </c>
      <c r="BV386" s="149">
        <f t="shared" si="359"/>
        <v>1</v>
      </c>
      <c r="BW386" s="149">
        <f t="shared" si="360"/>
        <v>1</v>
      </c>
      <c r="BX386" s="149">
        <f t="shared" si="361"/>
        <v>1</v>
      </c>
      <c r="BY386" s="149">
        <f t="shared" si="362"/>
        <v>1</v>
      </c>
      <c r="BZ386" s="149">
        <f t="shared" si="363"/>
        <v>1</v>
      </c>
      <c r="CA386" s="149">
        <f t="shared" si="364"/>
        <v>1</v>
      </c>
      <c r="CB386" s="149">
        <f t="shared" si="365"/>
        <v>1</v>
      </c>
      <c r="CC386" s="149">
        <f t="shared" si="366"/>
        <v>1</v>
      </c>
      <c r="CD386" s="149">
        <f t="shared" si="367"/>
        <v>1</v>
      </c>
      <c r="CE386" s="149">
        <f t="shared" si="368"/>
        <v>1</v>
      </c>
      <c r="CF386" s="149">
        <f t="shared" si="369"/>
        <v>1</v>
      </c>
      <c r="CG386" s="149">
        <f t="shared" si="370"/>
        <v>1</v>
      </c>
      <c r="CH386" s="149">
        <f t="shared" si="371"/>
        <v>1</v>
      </c>
      <c r="CI386" s="149">
        <f t="shared" si="372"/>
        <v>1</v>
      </c>
      <c r="CJ386" s="149">
        <f t="shared" si="373"/>
        <v>1</v>
      </c>
      <c r="CK386" s="149">
        <f t="shared" si="374"/>
        <v>1</v>
      </c>
      <c r="CL386" s="149">
        <f t="shared" si="375"/>
        <v>1</v>
      </c>
      <c r="CM386" s="149">
        <f t="shared" si="376"/>
        <v>1</v>
      </c>
      <c r="CN386" s="149">
        <f t="shared" si="377"/>
        <v>1</v>
      </c>
      <c r="CO386" s="149">
        <f t="shared" si="378"/>
        <v>1</v>
      </c>
      <c r="CP386" s="149">
        <f t="shared" si="379"/>
        <v>1</v>
      </c>
      <c r="CQ386" s="149">
        <f t="shared" si="380"/>
        <v>1</v>
      </c>
      <c r="CR386" s="149">
        <f t="shared" si="381"/>
        <v>1</v>
      </c>
      <c r="CS386" s="149">
        <f t="shared" si="382"/>
        <v>1</v>
      </c>
      <c r="CT386" s="149">
        <f t="shared" si="383"/>
        <v>1</v>
      </c>
      <c r="CU386" s="149">
        <f t="shared" si="384"/>
        <v>1</v>
      </c>
      <c r="CV386" s="149">
        <f t="shared" si="385"/>
        <v>1</v>
      </c>
      <c r="CW386" s="149">
        <f t="shared" si="386"/>
        <v>1</v>
      </c>
      <c r="CX386" s="149">
        <f t="shared" si="387"/>
        <v>1</v>
      </c>
      <c r="CY386" s="149">
        <f t="shared" si="388"/>
        <v>1</v>
      </c>
      <c r="CZ386" s="149">
        <f t="shared" si="389"/>
        <v>1</v>
      </c>
      <c r="DA386" s="149">
        <f t="shared" si="390"/>
        <v>1</v>
      </c>
      <c r="DB386" s="149">
        <f t="shared" si="391"/>
        <v>1</v>
      </c>
      <c r="DG386" s="125">
        <f t="shared" si="296"/>
        <v>1</v>
      </c>
      <c r="DH386" s="125">
        <f t="shared" si="404"/>
        <v>2</v>
      </c>
      <c r="DI386" s="125">
        <f t="shared" si="404"/>
        <v>3</v>
      </c>
      <c r="DJ386" s="125">
        <f t="shared" si="404"/>
        <v>4</v>
      </c>
      <c r="DK386" s="125">
        <f t="shared" si="404"/>
        <v>5</v>
      </c>
      <c r="DL386" s="125">
        <f t="shared" si="404"/>
        <v>6</v>
      </c>
      <c r="DM386" s="125">
        <f t="shared" si="404"/>
        <v>7</v>
      </c>
      <c r="DN386" s="125">
        <f t="shared" si="404"/>
        <v>8</v>
      </c>
      <c r="DO386" s="125">
        <f t="shared" si="404"/>
        <v>9</v>
      </c>
      <c r="DP386" s="125">
        <f t="shared" si="404"/>
        <v>10</v>
      </c>
      <c r="DS386" s="137"/>
      <c r="DT386" s="137"/>
      <c r="DU386" s="137"/>
      <c r="DV386" s="137" t="b">
        <f t="shared" si="392"/>
        <v>0</v>
      </c>
      <c r="DW386" s="137" t="b">
        <f t="shared" si="393"/>
        <v>0</v>
      </c>
      <c r="DX386" s="137" t="b">
        <f t="shared" si="394"/>
        <v>1</v>
      </c>
      <c r="EB386" s="131">
        <f t="shared" si="395"/>
        <v>1</v>
      </c>
      <c r="EC386" s="137" t="b">
        <f t="shared" si="396"/>
        <v>0</v>
      </c>
      <c r="ED386" s="137" t="b">
        <f t="shared" si="397"/>
        <v>0</v>
      </c>
      <c r="EE386" s="137" t="b">
        <f t="shared" si="398"/>
        <v>1</v>
      </c>
      <c r="EF386" s="137"/>
      <c r="EG386" s="137"/>
      <c r="EH386" s="137"/>
      <c r="EI386" s="137"/>
      <c r="EJ386" s="137">
        <f t="shared" si="399"/>
        <v>1</v>
      </c>
      <c r="EK386" s="125">
        <f t="shared" si="400"/>
        <v>0</v>
      </c>
      <c r="EL386" s="125">
        <f t="shared" si="401"/>
        <v>0</v>
      </c>
    </row>
    <row r="387" spans="2:142" ht="15.75" x14ac:dyDescent="0.2">
      <c r="B387" s="160">
        <f t="shared" si="351"/>
        <v>357</v>
      </c>
      <c r="C387" s="290">
        <v>1001347153</v>
      </c>
      <c r="D387" s="290">
        <v>1001280237</v>
      </c>
      <c r="E387" s="290">
        <v>41634844</v>
      </c>
      <c r="F387" s="118">
        <f>IF(OR(J387="",H387=""),"",VLOOKUP(J387,'הזנה לסיווג רשויות'!$B$2:$D$301,2,0))</f>
        <v>20000201</v>
      </c>
      <c r="G387" s="118" t="str">
        <f>IF(OR(J387="",H387=""),"",VLOOKUP(J387,'הזנה לסיווג רשויות'!$B$2:$D$301,3,0))</f>
        <v>תל אביב -יפו</v>
      </c>
      <c r="H387" s="293" t="s">
        <v>758</v>
      </c>
      <c r="I387" s="201" t="s">
        <v>564</v>
      </c>
      <c r="J387" s="294">
        <v>5000</v>
      </c>
      <c r="K387" s="161">
        <v>0</v>
      </c>
      <c r="L387" s="161">
        <v>1</v>
      </c>
      <c r="M387" s="161">
        <v>0</v>
      </c>
      <c r="N387" s="161">
        <v>0</v>
      </c>
      <c r="O387" s="161">
        <v>1</v>
      </c>
      <c r="P387" s="161">
        <v>1</v>
      </c>
      <c r="Q387" s="161">
        <v>1</v>
      </c>
      <c r="R387" s="201">
        <v>378579</v>
      </c>
      <c r="S387" s="201">
        <v>98579</v>
      </c>
      <c r="T387" s="160">
        <f>IF(G387="","",IFERROR(IF(S387/R387&gt;'פרמטרים לקריטריונים'!$C$20,1,0),0))</f>
        <v>1</v>
      </c>
      <c r="U387" s="296">
        <v>98579</v>
      </c>
      <c r="V387" s="160">
        <f>IF(G387="","",IFERROR(IF(U387/R387&gt;'פרמטרים לקריטריונים'!$C$21,1,IF(AND(I387=$BW$5,U387/R387&gt;'פרמטרים לקריטריונים'!$C$22),1,0)),0))</f>
        <v>1</v>
      </c>
      <c r="W387" s="161">
        <v>1</v>
      </c>
      <c r="X387" s="161">
        <v>1</v>
      </c>
      <c r="Y387" s="299">
        <v>600000</v>
      </c>
      <c r="Z387" s="300">
        <v>600000</v>
      </c>
      <c r="AA387" s="161">
        <f t="shared" si="403"/>
        <v>1</v>
      </c>
      <c r="AB387" s="161"/>
      <c r="AC387" s="161"/>
      <c r="AD387" s="161"/>
      <c r="AE387" s="161"/>
      <c r="AF387" s="161"/>
      <c r="AG387" s="161"/>
      <c r="AH387" s="161"/>
      <c r="AI387" s="161"/>
      <c r="AJ387" s="161"/>
      <c r="AK387" s="161"/>
      <c r="AL387" s="161"/>
      <c r="AM387" s="161"/>
      <c r="AN387" s="161"/>
      <c r="AO387" s="161"/>
      <c r="AP387" s="161"/>
      <c r="AQ387" s="161"/>
      <c r="AR387" s="161"/>
      <c r="AS387" s="161"/>
      <c r="AT387" s="161"/>
      <c r="AU387" s="161"/>
      <c r="AV387" s="161"/>
      <c r="AW387" s="160"/>
      <c r="AX387" s="161"/>
      <c r="AY387" s="161"/>
      <c r="AZ387" s="161"/>
      <c r="BA387" s="161"/>
      <c r="BB387" s="161"/>
      <c r="BC387" s="161"/>
      <c r="BD387" s="161"/>
      <c r="BE387" s="161"/>
      <c r="BF387" s="160" t="str">
        <f t="shared" si="352"/>
        <v/>
      </c>
      <c r="BG387" s="160"/>
      <c r="BH387" s="160"/>
      <c r="BI387" s="160"/>
      <c r="BJ387" s="160"/>
      <c r="BK387" s="160"/>
      <c r="BL387" s="162">
        <f t="shared" si="353"/>
        <v>1</v>
      </c>
      <c r="BM387" s="257" t="s">
        <v>774</v>
      </c>
      <c r="BN387" s="163"/>
      <c r="BO387" s="211" t="str">
        <f t="shared" si="354"/>
        <v>האורקסטרה - תזמורת הג'אז הישראלית (אחר</v>
      </c>
      <c r="BP387" s="125">
        <f t="shared" si="355"/>
        <v>1</v>
      </c>
      <c r="BQ387" s="164">
        <v>0</v>
      </c>
      <c r="BR387" s="164">
        <v>1</v>
      </c>
      <c r="BS387" s="149">
        <f t="shared" si="356"/>
        <v>1</v>
      </c>
      <c r="BT387" s="149">
        <f t="shared" si="357"/>
        <v>1</v>
      </c>
      <c r="BU387" s="149">
        <f t="shared" si="358"/>
        <v>1</v>
      </c>
      <c r="BV387" s="149">
        <f t="shared" si="359"/>
        <v>1</v>
      </c>
      <c r="BW387" s="149">
        <f t="shared" si="360"/>
        <v>1</v>
      </c>
      <c r="BX387" s="149">
        <f t="shared" si="361"/>
        <v>1</v>
      </c>
      <c r="BY387" s="149">
        <f t="shared" si="362"/>
        <v>1</v>
      </c>
      <c r="BZ387" s="149">
        <f t="shared" si="363"/>
        <v>1</v>
      </c>
      <c r="CA387" s="149">
        <f t="shared" si="364"/>
        <v>1</v>
      </c>
      <c r="CB387" s="149">
        <f t="shared" si="365"/>
        <v>1</v>
      </c>
      <c r="CC387" s="149">
        <f t="shared" si="366"/>
        <v>1</v>
      </c>
      <c r="CD387" s="149">
        <f t="shared" si="367"/>
        <v>1</v>
      </c>
      <c r="CE387" s="149">
        <f t="shared" si="368"/>
        <v>1</v>
      </c>
      <c r="CF387" s="149">
        <f t="shared" si="369"/>
        <v>1</v>
      </c>
      <c r="CG387" s="149">
        <f t="shared" si="370"/>
        <v>1</v>
      </c>
      <c r="CH387" s="149">
        <f t="shared" si="371"/>
        <v>1</v>
      </c>
      <c r="CI387" s="149">
        <f t="shared" si="372"/>
        <v>1</v>
      </c>
      <c r="CJ387" s="149">
        <f t="shared" si="373"/>
        <v>1</v>
      </c>
      <c r="CK387" s="149">
        <f t="shared" si="374"/>
        <v>1</v>
      </c>
      <c r="CL387" s="149">
        <f t="shared" si="375"/>
        <v>1</v>
      </c>
      <c r="CM387" s="149">
        <f t="shared" si="376"/>
        <v>1</v>
      </c>
      <c r="CN387" s="149">
        <f t="shared" si="377"/>
        <v>1</v>
      </c>
      <c r="CO387" s="149">
        <f t="shared" si="378"/>
        <v>1</v>
      </c>
      <c r="CP387" s="149">
        <f t="shared" si="379"/>
        <v>1</v>
      </c>
      <c r="CQ387" s="149">
        <f t="shared" si="380"/>
        <v>1</v>
      </c>
      <c r="CR387" s="149">
        <f t="shared" si="381"/>
        <v>1</v>
      </c>
      <c r="CS387" s="149">
        <f t="shared" si="382"/>
        <v>1</v>
      </c>
      <c r="CT387" s="149">
        <f t="shared" si="383"/>
        <v>1</v>
      </c>
      <c r="CU387" s="149">
        <f t="shared" si="384"/>
        <v>1</v>
      </c>
      <c r="CV387" s="149">
        <f t="shared" si="385"/>
        <v>1</v>
      </c>
      <c r="CW387" s="149">
        <f t="shared" si="386"/>
        <v>1</v>
      </c>
      <c r="CX387" s="149">
        <f t="shared" si="387"/>
        <v>1</v>
      </c>
      <c r="CY387" s="149">
        <f t="shared" si="388"/>
        <v>1</v>
      </c>
      <c r="CZ387" s="149">
        <f t="shared" si="389"/>
        <v>1</v>
      </c>
      <c r="DA387" s="149">
        <f t="shared" si="390"/>
        <v>1</v>
      </c>
      <c r="DB387" s="149">
        <f t="shared" si="391"/>
        <v>1</v>
      </c>
      <c r="DG387" s="125">
        <f t="shared" si="296"/>
        <v>1</v>
      </c>
      <c r="DH387" s="125">
        <f t="shared" si="404"/>
        <v>2</v>
      </c>
      <c r="DI387" s="125">
        <f t="shared" si="404"/>
        <v>3</v>
      </c>
      <c r="DJ387" s="125">
        <f t="shared" si="404"/>
        <v>4</v>
      </c>
      <c r="DK387" s="125">
        <f t="shared" si="404"/>
        <v>5</v>
      </c>
      <c r="DL387" s="125">
        <f t="shared" si="404"/>
        <v>6</v>
      </c>
      <c r="DM387" s="125">
        <f t="shared" si="404"/>
        <v>7</v>
      </c>
      <c r="DN387" s="125">
        <f t="shared" si="404"/>
        <v>8</v>
      </c>
      <c r="DO387" s="125">
        <f t="shared" si="404"/>
        <v>9</v>
      </c>
      <c r="DP387" s="125">
        <f t="shared" si="404"/>
        <v>10</v>
      </c>
      <c r="DS387" s="137"/>
      <c r="DT387" s="137"/>
      <c r="DU387" s="137"/>
      <c r="DV387" s="137" t="b">
        <f t="shared" si="392"/>
        <v>0</v>
      </c>
      <c r="DW387" s="137" t="b">
        <f t="shared" si="393"/>
        <v>0</v>
      </c>
      <c r="DX387" s="137" t="b">
        <f t="shared" si="394"/>
        <v>1</v>
      </c>
      <c r="EB387" s="131">
        <f t="shared" si="395"/>
        <v>1</v>
      </c>
      <c r="EC387" s="137" t="b">
        <f t="shared" si="396"/>
        <v>0</v>
      </c>
      <c r="ED387" s="137" t="b">
        <f t="shared" si="397"/>
        <v>0</v>
      </c>
      <c r="EE387" s="137" t="b">
        <f t="shared" si="398"/>
        <v>1</v>
      </c>
      <c r="EF387" s="137"/>
      <c r="EG387" s="137"/>
      <c r="EH387" s="137"/>
      <c r="EI387" s="137"/>
      <c r="EJ387" s="137">
        <f t="shared" si="399"/>
        <v>1</v>
      </c>
      <c r="EK387" s="125">
        <f t="shared" si="400"/>
        <v>0</v>
      </c>
      <c r="EL387" s="125">
        <f t="shared" si="401"/>
        <v>0</v>
      </c>
    </row>
    <row r="388" spans="2:142" ht="15.75" x14ac:dyDescent="0.2">
      <c r="B388" s="160">
        <f t="shared" si="351"/>
        <v>358</v>
      </c>
      <c r="C388" s="290">
        <v>1001350425</v>
      </c>
      <c r="D388" s="290">
        <v>1001302446</v>
      </c>
      <c r="E388" s="290">
        <v>40528079</v>
      </c>
      <c r="F388" s="118">
        <f>IF(OR(J388="",H388=""),"",VLOOKUP(J388,'הזנה לסיווג רשויות'!$B$2:$D$301,2,0))</f>
        <v>20000201</v>
      </c>
      <c r="G388" s="118" t="str">
        <f>IF(OR(J388="",H388=""),"",VLOOKUP(J388,'הזנה לסיווג רשויות'!$B$2:$D$301,3,0))</f>
        <v>תל אביב -יפו</v>
      </c>
      <c r="H388" s="293" t="s">
        <v>759</v>
      </c>
      <c r="I388" s="201" t="s">
        <v>377</v>
      </c>
      <c r="J388" s="293">
        <v>5000</v>
      </c>
      <c r="K388" s="161">
        <v>0</v>
      </c>
      <c r="L388" s="161">
        <v>1</v>
      </c>
      <c r="M388" s="161">
        <v>0</v>
      </c>
      <c r="N388" s="161">
        <v>0</v>
      </c>
      <c r="O388" s="161">
        <v>1</v>
      </c>
      <c r="P388" s="161">
        <v>1</v>
      </c>
      <c r="Q388" s="161">
        <v>1</v>
      </c>
      <c r="R388" s="201">
        <v>298734</v>
      </c>
      <c r="S388" s="201">
        <v>117832</v>
      </c>
      <c r="T388" s="160">
        <f>IF(G388="","",IFERROR(IF(S388/R388&gt;'פרמטרים לקריטריונים'!$C$20,1,0),0))</f>
        <v>1</v>
      </c>
      <c r="U388" s="201">
        <v>75832</v>
      </c>
      <c r="V388" s="160">
        <f>IF(G388="","",IFERROR(IF(U388/R388&gt;'פרמטרים לקריטריונים'!$C$21,1,IF(AND(I388=$BW$5,U388/R388&gt;'פרמטרים לקריטריונים'!$C$22),1,0)),0))</f>
        <v>1</v>
      </c>
      <c r="W388" s="161">
        <v>1</v>
      </c>
      <c r="X388" s="161">
        <v>1</v>
      </c>
      <c r="Y388" s="299">
        <v>704000</v>
      </c>
      <c r="Z388" s="201">
        <v>40000</v>
      </c>
      <c r="AA388" s="161">
        <f t="shared" si="403"/>
        <v>1</v>
      </c>
      <c r="AB388" s="161"/>
      <c r="AC388" s="161"/>
      <c r="AD388" s="161"/>
      <c r="AE388" s="161"/>
      <c r="AF388" s="161"/>
      <c r="AG388" s="161"/>
      <c r="AH388" s="161"/>
      <c r="AI388" s="161"/>
      <c r="AJ388" s="161"/>
      <c r="AK388" s="161"/>
      <c r="AL388" s="161"/>
      <c r="AM388" s="161"/>
      <c r="AN388" s="161"/>
      <c r="AO388" s="161"/>
      <c r="AP388" s="161"/>
      <c r="AQ388" s="161"/>
      <c r="AR388" s="161"/>
      <c r="AS388" s="161"/>
      <c r="AT388" s="161"/>
      <c r="AU388" s="161"/>
      <c r="AV388" s="161"/>
      <c r="AW388" s="160"/>
      <c r="AX388" s="161"/>
      <c r="AY388" s="161"/>
      <c r="AZ388" s="161"/>
      <c r="BA388" s="161"/>
      <c r="BB388" s="161"/>
      <c r="BC388" s="161"/>
      <c r="BD388" s="161"/>
      <c r="BE388" s="161"/>
      <c r="BF388" s="160" t="str">
        <f t="shared" si="352"/>
        <v/>
      </c>
      <c r="BG388" s="160"/>
      <c r="BH388" s="160"/>
      <c r="BI388" s="160"/>
      <c r="BJ388" s="160"/>
      <c r="BK388" s="160"/>
      <c r="BL388" s="162">
        <f t="shared" si="353"/>
        <v>1</v>
      </c>
      <c r="BM388" s="257" t="s">
        <v>787</v>
      </c>
      <c r="BN388" s="163"/>
      <c r="BO388" s="211" t="str">
        <f t="shared" si="354"/>
        <v>"קבוצת עבודה" - עמותה ליצירה וקידוםקבוצות תיאטרון</v>
      </c>
      <c r="BP388" s="125">
        <f t="shared" si="355"/>
        <v>1</v>
      </c>
      <c r="BQ388" s="164">
        <v>0</v>
      </c>
      <c r="BR388" s="164">
        <v>1</v>
      </c>
      <c r="BS388" s="149">
        <f t="shared" si="356"/>
        <v>1</v>
      </c>
      <c r="BT388" s="149">
        <f t="shared" si="357"/>
        <v>1</v>
      </c>
      <c r="BU388" s="149">
        <f t="shared" si="358"/>
        <v>1</v>
      </c>
      <c r="BV388" s="149">
        <f t="shared" si="359"/>
        <v>1</v>
      </c>
      <c r="BW388" s="149">
        <f t="shared" si="360"/>
        <v>1</v>
      </c>
      <c r="BX388" s="149">
        <f t="shared" si="361"/>
        <v>1</v>
      </c>
      <c r="BY388" s="149">
        <f t="shared" si="362"/>
        <v>1</v>
      </c>
      <c r="BZ388" s="149">
        <f t="shared" si="363"/>
        <v>1</v>
      </c>
      <c r="CA388" s="149">
        <f t="shared" si="364"/>
        <v>1</v>
      </c>
      <c r="CB388" s="149">
        <f t="shared" si="365"/>
        <v>1</v>
      </c>
      <c r="CC388" s="149">
        <f t="shared" si="366"/>
        <v>1</v>
      </c>
      <c r="CD388" s="149">
        <f t="shared" si="367"/>
        <v>1</v>
      </c>
      <c r="CE388" s="149">
        <f t="shared" si="368"/>
        <v>1</v>
      </c>
      <c r="CF388" s="149">
        <f t="shared" si="369"/>
        <v>1</v>
      </c>
      <c r="CG388" s="149">
        <f t="shared" si="370"/>
        <v>1</v>
      </c>
      <c r="CH388" s="149">
        <f t="shared" si="371"/>
        <v>1</v>
      </c>
      <c r="CI388" s="149">
        <f t="shared" si="372"/>
        <v>1</v>
      </c>
      <c r="CJ388" s="149">
        <f t="shared" si="373"/>
        <v>1</v>
      </c>
      <c r="CK388" s="149">
        <f t="shared" si="374"/>
        <v>1</v>
      </c>
      <c r="CL388" s="149">
        <f t="shared" si="375"/>
        <v>1</v>
      </c>
      <c r="CM388" s="149">
        <f t="shared" si="376"/>
        <v>1</v>
      </c>
      <c r="CN388" s="149">
        <f t="shared" si="377"/>
        <v>1</v>
      </c>
      <c r="CO388" s="149">
        <f t="shared" si="378"/>
        <v>1</v>
      </c>
      <c r="CP388" s="149">
        <f t="shared" si="379"/>
        <v>1</v>
      </c>
      <c r="CQ388" s="149">
        <f t="shared" si="380"/>
        <v>1</v>
      </c>
      <c r="CR388" s="149">
        <f t="shared" si="381"/>
        <v>1</v>
      </c>
      <c r="CS388" s="149">
        <f t="shared" si="382"/>
        <v>1</v>
      </c>
      <c r="CT388" s="149">
        <f t="shared" si="383"/>
        <v>1</v>
      </c>
      <c r="CU388" s="149">
        <f t="shared" si="384"/>
        <v>1</v>
      </c>
      <c r="CV388" s="149">
        <f t="shared" si="385"/>
        <v>1</v>
      </c>
      <c r="CW388" s="149">
        <f t="shared" si="386"/>
        <v>1</v>
      </c>
      <c r="CX388" s="149">
        <f t="shared" si="387"/>
        <v>1</v>
      </c>
      <c r="CY388" s="149">
        <f t="shared" si="388"/>
        <v>1</v>
      </c>
      <c r="CZ388" s="149">
        <f t="shared" si="389"/>
        <v>1</v>
      </c>
      <c r="DA388" s="149">
        <f t="shared" si="390"/>
        <v>1</v>
      </c>
      <c r="DB388" s="149">
        <f t="shared" si="391"/>
        <v>1</v>
      </c>
      <c r="DG388" s="125">
        <f t="shared" si="296"/>
        <v>1</v>
      </c>
      <c r="DH388" s="125">
        <f t="shared" si="404"/>
        <v>2</v>
      </c>
      <c r="DI388" s="125">
        <f t="shared" si="404"/>
        <v>3</v>
      </c>
      <c r="DJ388" s="125">
        <f t="shared" si="404"/>
        <v>4</v>
      </c>
      <c r="DK388" s="125">
        <f t="shared" si="404"/>
        <v>5</v>
      </c>
      <c r="DL388" s="125">
        <f t="shared" si="404"/>
        <v>6</v>
      </c>
      <c r="DM388" s="125">
        <f t="shared" si="404"/>
        <v>7</v>
      </c>
      <c r="DN388" s="125">
        <f t="shared" si="404"/>
        <v>8</v>
      </c>
      <c r="DO388" s="125">
        <f t="shared" si="404"/>
        <v>9</v>
      </c>
      <c r="DP388" s="125">
        <f t="shared" si="404"/>
        <v>10</v>
      </c>
      <c r="DS388" s="137"/>
      <c r="DT388" s="137"/>
      <c r="DU388" s="137"/>
      <c r="DV388" s="137" t="b">
        <f t="shared" si="392"/>
        <v>0</v>
      </c>
      <c r="DW388" s="137" t="b">
        <f t="shared" si="393"/>
        <v>0</v>
      </c>
      <c r="DX388" s="137" t="b">
        <f t="shared" si="394"/>
        <v>1</v>
      </c>
      <c r="EB388" s="131">
        <f t="shared" si="395"/>
        <v>1</v>
      </c>
      <c r="EC388" s="137" t="b">
        <f t="shared" si="396"/>
        <v>0</v>
      </c>
      <c r="ED388" s="137" t="b">
        <f t="shared" si="397"/>
        <v>0</v>
      </c>
      <c r="EE388" s="137" t="b">
        <f t="shared" si="398"/>
        <v>1</v>
      </c>
      <c r="EF388" s="137"/>
      <c r="EG388" s="137"/>
      <c r="EH388" s="137"/>
      <c r="EI388" s="137"/>
      <c r="EJ388" s="137">
        <f t="shared" si="399"/>
        <v>1</v>
      </c>
      <c r="EK388" s="125">
        <f t="shared" si="400"/>
        <v>0</v>
      </c>
      <c r="EL388" s="125">
        <f t="shared" si="401"/>
        <v>0</v>
      </c>
    </row>
    <row r="389" spans="2:142" ht="15.75" x14ac:dyDescent="0.2">
      <c r="B389" s="160">
        <f t="shared" si="351"/>
        <v>359</v>
      </c>
      <c r="C389" s="290">
        <v>1001350430</v>
      </c>
      <c r="D389" s="290">
        <v>1001302428</v>
      </c>
      <c r="E389" s="290">
        <v>40528079</v>
      </c>
      <c r="F389" s="118">
        <f>IF(OR(J389="",H389=""),"",VLOOKUP(J389,'הזנה לסיווג רשויות'!$B$2:$D$301,2,0))</f>
        <v>20000201</v>
      </c>
      <c r="G389" s="118" t="str">
        <f>IF(OR(J389="",H389=""),"",VLOOKUP(J389,'הזנה לסיווג רשויות'!$B$2:$D$301,3,0))</f>
        <v>תל אביב -יפו</v>
      </c>
      <c r="H389" s="293" t="s">
        <v>759</v>
      </c>
      <c r="I389" s="201" t="s">
        <v>564</v>
      </c>
      <c r="J389" s="293">
        <v>5000</v>
      </c>
      <c r="K389" s="161">
        <v>0</v>
      </c>
      <c r="L389" s="161">
        <v>1</v>
      </c>
      <c r="M389" s="161">
        <v>0</v>
      </c>
      <c r="N389" s="161">
        <v>0</v>
      </c>
      <c r="O389" s="161">
        <v>1</v>
      </c>
      <c r="P389" s="161">
        <v>1</v>
      </c>
      <c r="Q389" s="161">
        <v>1</v>
      </c>
      <c r="R389" s="201">
        <v>78803</v>
      </c>
      <c r="S389" s="201">
        <v>19740</v>
      </c>
      <c r="T389" s="160">
        <f>IF(G389="","",IFERROR(IF(S389/R389&gt;'פרמטרים לקריטריונים'!$C$20,1,0),0))</f>
        <v>1</v>
      </c>
      <c r="U389" s="201">
        <v>19740</v>
      </c>
      <c r="V389" s="160">
        <f>IF(G389="","",IFERROR(IF(U389/R389&gt;'פרמטרים לקריטריונים'!$C$21,1,IF(AND(I389=$BW$5,U389/R389&gt;'פרמטרים לקריטריונים'!$C$22),1,0)),0))</f>
        <v>1</v>
      </c>
      <c r="W389" s="161">
        <v>1</v>
      </c>
      <c r="X389" s="161">
        <v>1</v>
      </c>
      <c r="Y389" s="299">
        <v>270000</v>
      </c>
      <c r="Z389" s="201">
        <v>40000</v>
      </c>
      <c r="AA389" s="161">
        <f t="shared" si="403"/>
        <v>1</v>
      </c>
      <c r="AB389" s="161"/>
      <c r="AC389" s="161"/>
      <c r="AD389" s="161"/>
      <c r="AE389" s="161"/>
      <c r="AF389" s="161"/>
      <c r="AG389" s="161"/>
      <c r="AH389" s="161"/>
      <c r="AI389" s="161"/>
      <c r="AJ389" s="161"/>
      <c r="AK389" s="161"/>
      <c r="AL389" s="161"/>
      <c r="AM389" s="161"/>
      <c r="AN389" s="161"/>
      <c r="AO389" s="161"/>
      <c r="AP389" s="161"/>
      <c r="AQ389" s="161"/>
      <c r="AR389" s="161"/>
      <c r="AS389" s="161"/>
      <c r="AT389" s="161"/>
      <c r="AU389" s="161"/>
      <c r="AV389" s="161"/>
      <c r="AW389" s="160"/>
      <c r="AX389" s="161"/>
      <c r="AY389" s="161"/>
      <c r="AZ389" s="161"/>
      <c r="BA389" s="161"/>
      <c r="BB389" s="161"/>
      <c r="BC389" s="161"/>
      <c r="BD389" s="161"/>
      <c r="BE389" s="161"/>
      <c r="BF389" s="160" t="str">
        <f t="shared" si="352"/>
        <v/>
      </c>
      <c r="BG389" s="160"/>
      <c r="BH389" s="160"/>
      <c r="BI389" s="160"/>
      <c r="BJ389" s="160"/>
      <c r="BK389" s="160"/>
      <c r="BL389" s="162">
        <f t="shared" si="353"/>
        <v>1</v>
      </c>
      <c r="BM389" s="257" t="s">
        <v>787</v>
      </c>
      <c r="BN389" s="163"/>
      <c r="BO389" s="211" t="str">
        <f t="shared" si="354"/>
        <v>"קבוצת עבודה" - עמותה ליצירה וקידוםאחר</v>
      </c>
      <c r="BP389" s="125">
        <f t="shared" si="355"/>
        <v>1</v>
      </c>
      <c r="BQ389" s="164">
        <v>0</v>
      </c>
      <c r="BR389" s="164">
        <v>1</v>
      </c>
      <c r="BS389" s="149">
        <f t="shared" si="356"/>
        <v>1</v>
      </c>
      <c r="BT389" s="149">
        <f t="shared" si="357"/>
        <v>1</v>
      </c>
      <c r="BU389" s="149">
        <f t="shared" si="358"/>
        <v>1</v>
      </c>
      <c r="BV389" s="149">
        <f t="shared" si="359"/>
        <v>1</v>
      </c>
      <c r="BW389" s="149">
        <f t="shared" si="360"/>
        <v>1</v>
      </c>
      <c r="BX389" s="149">
        <f t="shared" si="361"/>
        <v>1</v>
      </c>
      <c r="BY389" s="149">
        <f t="shared" si="362"/>
        <v>1</v>
      </c>
      <c r="BZ389" s="149">
        <f t="shared" si="363"/>
        <v>1</v>
      </c>
      <c r="CA389" s="149">
        <f t="shared" si="364"/>
        <v>1</v>
      </c>
      <c r="CB389" s="149">
        <f t="shared" si="365"/>
        <v>1</v>
      </c>
      <c r="CC389" s="149">
        <f t="shared" si="366"/>
        <v>1</v>
      </c>
      <c r="CD389" s="149">
        <f t="shared" si="367"/>
        <v>1</v>
      </c>
      <c r="CE389" s="149">
        <f t="shared" si="368"/>
        <v>1</v>
      </c>
      <c r="CF389" s="149">
        <f t="shared" si="369"/>
        <v>1</v>
      </c>
      <c r="CG389" s="149">
        <f t="shared" si="370"/>
        <v>1</v>
      </c>
      <c r="CH389" s="149">
        <f t="shared" si="371"/>
        <v>1</v>
      </c>
      <c r="CI389" s="149">
        <f t="shared" si="372"/>
        <v>1</v>
      </c>
      <c r="CJ389" s="149">
        <f t="shared" si="373"/>
        <v>1</v>
      </c>
      <c r="CK389" s="149">
        <f t="shared" si="374"/>
        <v>1</v>
      </c>
      <c r="CL389" s="149">
        <f t="shared" si="375"/>
        <v>1</v>
      </c>
      <c r="CM389" s="149">
        <f t="shared" si="376"/>
        <v>1</v>
      </c>
      <c r="CN389" s="149">
        <f t="shared" si="377"/>
        <v>1</v>
      </c>
      <c r="CO389" s="149">
        <f t="shared" si="378"/>
        <v>1</v>
      </c>
      <c r="CP389" s="149">
        <f t="shared" si="379"/>
        <v>1</v>
      </c>
      <c r="CQ389" s="149">
        <f t="shared" si="380"/>
        <v>1</v>
      </c>
      <c r="CR389" s="149">
        <f t="shared" si="381"/>
        <v>1</v>
      </c>
      <c r="CS389" s="149">
        <f t="shared" si="382"/>
        <v>1</v>
      </c>
      <c r="CT389" s="149">
        <f t="shared" si="383"/>
        <v>1</v>
      </c>
      <c r="CU389" s="149">
        <f t="shared" si="384"/>
        <v>1</v>
      </c>
      <c r="CV389" s="149">
        <f t="shared" si="385"/>
        <v>1</v>
      </c>
      <c r="CW389" s="149">
        <f t="shared" si="386"/>
        <v>1</v>
      </c>
      <c r="CX389" s="149">
        <f t="shared" si="387"/>
        <v>1</v>
      </c>
      <c r="CY389" s="149">
        <f t="shared" si="388"/>
        <v>1</v>
      </c>
      <c r="CZ389" s="149">
        <f t="shared" si="389"/>
        <v>1</v>
      </c>
      <c r="DA389" s="149">
        <f t="shared" si="390"/>
        <v>1</v>
      </c>
      <c r="DB389" s="149">
        <f t="shared" si="391"/>
        <v>1</v>
      </c>
      <c r="DG389" s="125">
        <f t="shared" si="296"/>
        <v>1</v>
      </c>
      <c r="DH389" s="125">
        <f t="shared" si="404"/>
        <v>2</v>
      </c>
      <c r="DI389" s="125">
        <f t="shared" si="404"/>
        <v>3</v>
      </c>
      <c r="DJ389" s="125">
        <f t="shared" si="404"/>
        <v>4</v>
      </c>
      <c r="DK389" s="125">
        <f t="shared" si="404"/>
        <v>5</v>
      </c>
      <c r="DL389" s="125">
        <f t="shared" si="404"/>
        <v>6</v>
      </c>
      <c r="DM389" s="125">
        <f t="shared" si="404"/>
        <v>7</v>
      </c>
      <c r="DN389" s="125">
        <f t="shared" si="404"/>
        <v>8</v>
      </c>
      <c r="DO389" s="125">
        <f t="shared" si="404"/>
        <v>9</v>
      </c>
      <c r="DP389" s="125">
        <f t="shared" si="404"/>
        <v>10</v>
      </c>
      <c r="DS389" s="137"/>
      <c r="DT389" s="137"/>
      <c r="DU389" s="137"/>
      <c r="DV389" s="137" t="b">
        <f t="shared" si="392"/>
        <v>0</v>
      </c>
      <c r="DW389" s="137" t="b">
        <f t="shared" si="393"/>
        <v>0</v>
      </c>
      <c r="DX389" s="137" t="b">
        <f t="shared" si="394"/>
        <v>1</v>
      </c>
      <c r="EB389" s="131">
        <f t="shared" si="395"/>
        <v>1</v>
      </c>
      <c r="EC389" s="137" t="b">
        <f t="shared" si="396"/>
        <v>0</v>
      </c>
      <c r="ED389" s="137" t="b">
        <f t="shared" si="397"/>
        <v>0</v>
      </c>
      <c r="EE389" s="137" t="b">
        <f t="shared" si="398"/>
        <v>1</v>
      </c>
      <c r="EF389" s="137"/>
      <c r="EG389" s="137"/>
      <c r="EH389" s="137"/>
      <c r="EI389" s="137"/>
      <c r="EJ389" s="137">
        <f t="shared" si="399"/>
        <v>1</v>
      </c>
      <c r="EK389" s="125">
        <f t="shared" si="400"/>
        <v>0</v>
      </c>
      <c r="EL389" s="125">
        <f t="shared" si="401"/>
        <v>0</v>
      </c>
    </row>
    <row r="390" spans="2:142" ht="15.75" x14ac:dyDescent="0.2">
      <c r="B390" s="160">
        <f t="shared" si="351"/>
        <v>360</v>
      </c>
      <c r="C390" s="290">
        <v>1001351067</v>
      </c>
      <c r="D390" s="290">
        <v>1001268525</v>
      </c>
      <c r="E390" s="290">
        <v>40001704</v>
      </c>
      <c r="F390" s="118">
        <f>IF(OR(J390="",H390=""),"",VLOOKUP(J390,'הזנה לסיווג רשויות'!$B$2:$D$301,2,0))</f>
        <v>20000261</v>
      </c>
      <c r="G390" s="118" t="str">
        <f>IF(OR(J390="",H390=""),"",VLOOKUP(J390,'הזנה לסיווג רשויות'!$B$2:$D$301,3,0))</f>
        <v>הוד השרון</v>
      </c>
      <c r="H390" s="293" t="s">
        <v>760</v>
      </c>
      <c r="I390" s="201" t="s">
        <v>564</v>
      </c>
      <c r="J390" s="87">
        <v>9700</v>
      </c>
      <c r="K390" s="161">
        <v>0</v>
      </c>
      <c r="L390" s="161">
        <v>1</v>
      </c>
      <c r="M390" s="161">
        <v>0</v>
      </c>
      <c r="N390" s="161">
        <v>0</v>
      </c>
      <c r="O390" s="161">
        <v>1</v>
      </c>
      <c r="P390" s="161">
        <v>1</v>
      </c>
      <c r="Q390" s="161">
        <v>1</v>
      </c>
      <c r="R390" s="201">
        <v>139995</v>
      </c>
      <c r="S390" s="201">
        <v>113548</v>
      </c>
      <c r="T390" s="160">
        <f>IF(G390="","",IFERROR(IF(S390/R390&gt;'פרמטרים לקריטריונים'!$C$20,1,0),0))</f>
        <v>1</v>
      </c>
      <c r="U390" s="201">
        <v>113548</v>
      </c>
      <c r="V390" s="160">
        <f>IF(G390="","",IFERROR(IF(U390/R390&gt;'פרמטרים לקריטריונים'!$C$21,1,IF(AND(I390=$BW$5,U390/R390&gt;'פרמטרים לקריטריונים'!$C$22),1,0)),0))</f>
        <v>1</v>
      </c>
      <c r="W390" s="161">
        <v>1</v>
      </c>
      <c r="X390" s="161">
        <v>1</v>
      </c>
      <c r="Y390" s="299">
        <v>70000</v>
      </c>
      <c r="Z390" s="201">
        <v>70000</v>
      </c>
      <c r="AA390" s="161">
        <f t="shared" si="403"/>
        <v>1</v>
      </c>
      <c r="AB390" s="161"/>
      <c r="AC390" s="161"/>
      <c r="AD390" s="161"/>
      <c r="AE390" s="161"/>
      <c r="AF390" s="161"/>
      <c r="AG390" s="161"/>
      <c r="AH390" s="161"/>
      <c r="AI390" s="161"/>
      <c r="AJ390" s="161"/>
      <c r="AK390" s="161"/>
      <c r="AL390" s="161"/>
      <c r="AM390" s="161"/>
      <c r="AN390" s="161"/>
      <c r="AO390" s="161"/>
      <c r="AP390" s="161"/>
      <c r="AQ390" s="161"/>
      <c r="AR390" s="161"/>
      <c r="AS390" s="161"/>
      <c r="AT390" s="161"/>
      <c r="AU390" s="161"/>
      <c r="AV390" s="161"/>
      <c r="AW390" s="160"/>
      <c r="AX390" s="161"/>
      <c r="AY390" s="161"/>
      <c r="AZ390" s="161"/>
      <c r="BA390" s="161"/>
      <c r="BB390" s="161"/>
      <c r="BC390" s="161"/>
      <c r="BD390" s="161"/>
      <c r="BE390" s="161"/>
      <c r="BF390" s="160" t="str">
        <f t="shared" si="352"/>
        <v/>
      </c>
      <c r="BG390" s="160"/>
      <c r="BH390" s="160"/>
      <c r="BI390" s="160"/>
      <c r="BJ390" s="160"/>
      <c r="BK390" s="160"/>
      <c r="BL390" s="162">
        <f t="shared" si="353"/>
        <v>1</v>
      </c>
      <c r="BM390" s="257" t="s">
        <v>788</v>
      </c>
      <c r="BN390" s="163"/>
      <c r="BO390" s="211" t="str">
        <f t="shared" si="354"/>
        <v>מרכז ישראלי למקהלות ולחבורות זמר (עאחר</v>
      </c>
      <c r="BP390" s="125">
        <f t="shared" si="355"/>
        <v>1</v>
      </c>
      <c r="BQ390" s="164">
        <v>0</v>
      </c>
      <c r="BR390" s="164">
        <v>1</v>
      </c>
      <c r="BS390" s="149">
        <f t="shared" si="356"/>
        <v>1</v>
      </c>
      <c r="BT390" s="149">
        <f t="shared" si="357"/>
        <v>1</v>
      </c>
      <c r="BU390" s="149">
        <f t="shared" si="358"/>
        <v>1</v>
      </c>
      <c r="BV390" s="149">
        <f t="shared" si="359"/>
        <v>1</v>
      </c>
      <c r="BW390" s="149">
        <f t="shared" si="360"/>
        <v>1</v>
      </c>
      <c r="BX390" s="149">
        <f t="shared" si="361"/>
        <v>1</v>
      </c>
      <c r="BY390" s="149">
        <f t="shared" si="362"/>
        <v>1</v>
      </c>
      <c r="BZ390" s="149">
        <f t="shared" si="363"/>
        <v>1</v>
      </c>
      <c r="CA390" s="149">
        <f t="shared" si="364"/>
        <v>1</v>
      </c>
      <c r="CB390" s="149">
        <f t="shared" si="365"/>
        <v>1</v>
      </c>
      <c r="CC390" s="149">
        <f t="shared" si="366"/>
        <v>1</v>
      </c>
      <c r="CD390" s="149">
        <f t="shared" si="367"/>
        <v>1</v>
      </c>
      <c r="CE390" s="149">
        <f t="shared" si="368"/>
        <v>1</v>
      </c>
      <c r="CF390" s="149">
        <f t="shared" si="369"/>
        <v>1</v>
      </c>
      <c r="CG390" s="149">
        <f t="shared" si="370"/>
        <v>1</v>
      </c>
      <c r="CH390" s="149">
        <f t="shared" si="371"/>
        <v>1</v>
      </c>
      <c r="CI390" s="149">
        <f t="shared" si="372"/>
        <v>1</v>
      </c>
      <c r="CJ390" s="149">
        <f t="shared" si="373"/>
        <v>1</v>
      </c>
      <c r="CK390" s="149">
        <f t="shared" si="374"/>
        <v>1</v>
      </c>
      <c r="CL390" s="149">
        <f t="shared" si="375"/>
        <v>1</v>
      </c>
      <c r="CM390" s="149">
        <f t="shared" si="376"/>
        <v>1</v>
      </c>
      <c r="CN390" s="149">
        <f t="shared" si="377"/>
        <v>1</v>
      </c>
      <c r="CO390" s="149">
        <f t="shared" si="378"/>
        <v>1</v>
      </c>
      <c r="CP390" s="149">
        <f t="shared" si="379"/>
        <v>1</v>
      </c>
      <c r="CQ390" s="149">
        <f t="shared" si="380"/>
        <v>1</v>
      </c>
      <c r="CR390" s="149">
        <f t="shared" si="381"/>
        <v>1</v>
      </c>
      <c r="CS390" s="149">
        <f t="shared" si="382"/>
        <v>1</v>
      </c>
      <c r="CT390" s="149">
        <f t="shared" si="383"/>
        <v>1</v>
      </c>
      <c r="CU390" s="149">
        <f t="shared" si="384"/>
        <v>1</v>
      </c>
      <c r="CV390" s="149">
        <f t="shared" si="385"/>
        <v>1</v>
      </c>
      <c r="CW390" s="149">
        <f t="shared" si="386"/>
        <v>1</v>
      </c>
      <c r="CX390" s="149">
        <f t="shared" si="387"/>
        <v>1</v>
      </c>
      <c r="CY390" s="149">
        <f t="shared" si="388"/>
        <v>1</v>
      </c>
      <c r="CZ390" s="149">
        <f t="shared" si="389"/>
        <v>1</v>
      </c>
      <c r="DA390" s="149">
        <f t="shared" si="390"/>
        <v>1</v>
      </c>
      <c r="DB390" s="149">
        <f t="shared" si="391"/>
        <v>1</v>
      </c>
      <c r="DG390" s="125">
        <f t="shared" si="296"/>
        <v>1</v>
      </c>
      <c r="DH390" s="125">
        <f t="shared" si="404"/>
        <v>2</v>
      </c>
      <c r="DI390" s="125">
        <f t="shared" si="404"/>
        <v>3</v>
      </c>
      <c r="DJ390" s="125">
        <f t="shared" si="404"/>
        <v>4</v>
      </c>
      <c r="DK390" s="125">
        <f t="shared" si="404"/>
        <v>5</v>
      </c>
      <c r="DL390" s="125">
        <f t="shared" si="404"/>
        <v>6</v>
      </c>
      <c r="DM390" s="125">
        <f t="shared" si="404"/>
        <v>7</v>
      </c>
      <c r="DN390" s="125">
        <f t="shared" si="404"/>
        <v>8</v>
      </c>
      <c r="DO390" s="125">
        <f t="shared" si="404"/>
        <v>9</v>
      </c>
      <c r="DP390" s="125">
        <f t="shared" si="404"/>
        <v>10</v>
      </c>
      <c r="DS390" s="137"/>
      <c r="DT390" s="137"/>
      <c r="DU390" s="137"/>
      <c r="DV390" s="137" t="b">
        <f t="shared" si="392"/>
        <v>0</v>
      </c>
      <c r="DW390" s="137" t="b">
        <f t="shared" si="393"/>
        <v>0</v>
      </c>
      <c r="DX390" s="137" t="b">
        <f t="shared" si="394"/>
        <v>1</v>
      </c>
      <c r="EB390" s="131">
        <f t="shared" si="395"/>
        <v>1</v>
      </c>
      <c r="EC390" s="137" t="b">
        <f t="shared" si="396"/>
        <v>0</v>
      </c>
      <c r="ED390" s="137" t="b">
        <f t="shared" si="397"/>
        <v>0</v>
      </c>
      <c r="EE390" s="137" t="b">
        <f t="shared" si="398"/>
        <v>1</v>
      </c>
      <c r="EF390" s="137"/>
      <c r="EG390" s="137"/>
      <c r="EH390" s="137"/>
      <c r="EI390" s="137"/>
      <c r="EJ390" s="137">
        <f t="shared" si="399"/>
        <v>1</v>
      </c>
      <c r="EK390" s="125">
        <f t="shared" si="400"/>
        <v>0</v>
      </c>
      <c r="EL390" s="125">
        <f t="shared" si="401"/>
        <v>0</v>
      </c>
    </row>
    <row r="391" spans="2:142" ht="15.75" x14ac:dyDescent="0.2">
      <c r="B391" s="160">
        <f t="shared" si="351"/>
        <v>361</v>
      </c>
      <c r="C391" s="290">
        <v>1001349845</v>
      </c>
      <c r="D391" s="290">
        <v>1001302427</v>
      </c>
      <c r="E391" s="290">
        <v>40000242</v>
      </c>
      <c r="F391" s="118">
        <f>IF(OR(J391="",H391=""),"",VLOOKUP(J391,'הזנה לסיווג רשויות'!$B$2:$D$301,2,0))</f>
        <v>20000159</v>
      </c>
      <c r="G391" s="118" t="str">
        <f>IF(OR(J391="",H391=""),"",VLOOKUP(J391,'הזנה לסיווג רשויות'!$B$2:$D$301,3,0))</f>
        <v>ירושלים</v>
      </c>
      <c r="H391" s="293" t="s">
        <v>743</v>
      </c>
      <c r="I391" s="201" t="s">
        <v>392</v>
      </c>
      <c r="J391" s="293">
        <v>3000</v>
      </c>
      <c r="K391" s="161">
        <v>0</v>
      </c>
      <c r="L391" s="161">
        <v>1</v>
      </c>
      <c r="M391" s="161">
        <v>0</v>
      </c>
      <c r="N391" s="161">
        <v>1</v>
      </c>
      <c r="O391" s="161">
        <v>0</v>
      </c>
      <c r="P391" s="161">
        <v>1</v>
      </c>
      <c r="Q391" s="161">
        <v>1</v>
      </c>
      <c r="R391" s="201">
        <v>86963</v>
      </c>
      <c r="S391" s="201">
        <v>22000</v>
      </c>
      <c r="T391" s="160">
        <f>IF(G391="","",IFERROR(IF(S391/R391&gt;'פרמטרים לקריטריונים'!$C$20,1,0),0))</f>
        <v>1</v>
      </c>
      <c r="U391" s="201">
        <v>22000</v>
      </c>
      <c r="V391" s="160">
        <f>IF(G391="","",IFERROR(IF(U391/R391&gt;'פרמטרים לקריטריונים'!$C$21,1,IF(AND(I391=$BW$5,U391/R391&gt;'פרמטרים לקריטריונים'!$C$22),1,0)),0))</f>
        <v>1</v>
      </c>
      <c r="W391" s="161">
        <v>1</v>
      </c>
      <c r="X391" s="161">
        <v>1</v>
      </c>
      <c r="Y391" s="299">
        <v>50000</v>
      </c>
      <c r="Z391" s="201">
        <v>64963</v>
      </c>
      <c r="AA391" s="161">
        <f t="shared" si="403"/>
        <v>1</v>
      </c>
      <c r="AB391" s="161"/>
      <c r="AC391" s="161"/>
      <c r="AD391" s="161"/>
      <c r="AE391" s="161"/>
      <c r="AF391" s="161"/>
      <c r="AG391" s="161"/>
      <c r="AH391" s="161"/>
      <c r="AI391" s="161"/>
      <c r="AJ391" s="161"/>
      <c r="AK391" s="161"/>
      <c r="AL391" s="161"/>
      <c r="AM391" s="161"/>
      <c r="AN391" s="161"/>
      <c r="AO391" s="161"/>
      <c r="AP391" s="161"/>
      <c r="AQ391" s="161"/>
      <c r="AR391" s="161"/>
      <c r="AS391" s="161"/>
      <c r="AT391" s="161"/>
      <c r="AU391" s="161"/>
      <c r="AV391" s="161"/>
      <c r="AW391" s="160"/>
      <c r="AX391" s="161"/>
      <c r="AY391" s="161"/>
      <c r="AZ391" s="161"/>
      <c r="BA391" s="161"/>
      <c r="BB391" s="161"/>
      <c r="BC391" s="161"/>
      <c r="BD391" s="161"/>
      <c r="BE391" s="161"/>
      <c r="BF391" s="160" t="str">
        <f t="shared" si="352"/>
        <v/>
      </c>
      <c r="BG391" s="160"/>
      <c r="BH391" s="160"/>
      <c r="BI391" s="160"/>
      <c r="BJ391" s="160"/>
      <c r="BK391" s="160"/>
      <c r="BL391" s="162">
        <f t="shared" si="353"/>
        <v>1</v>
      </c>
      <c r="BM391" s="257" t="s">
        <v>789</v>
      </c>
      <c r="BN391" s="163"/>
      <c r="BO391" s="211" t="str">
        <f t="shared" si="354"/>
        <v>הזירה הבין-תחומית (ע"ר)ספרות</v>
      </c>
      <c r="BP391" s="125">
        <f t="shared" si="355"/>
        <v>1</v>
      </c>
      <c r="BQ391" s="164">
        <v>0</v>
      </c>
      <c r="BR391" s="164">
        <v>1</v>
      </c>
      <c r="BS391" s="149">
        <f t="shared" si="356"/>
        <v>1</v>
      </c>
      <c r="BT391" s="149">
        <f t="shared" si="357"/>
        <v>1</v>
      </c>
      <c r="BU391" s="149">
        <f t="shared" si="358"/>
        <v>1</v>
      </c>
      <c r="BV391" s="149">
        <f t="shared" si="359"/>
        <v>1</v>
      </c>
      <c r="BW391" s="149">
        <f t="shared" si="360"/>
        <v>1</v>
      </c>
      <c r="BX391" s="149">
        <f t="shared" si="361"/>
        <v>1</v>
      </c>
      <c r="BY391" s="149">
        <f t="shared" si="362"/>
        <v>1</v>
      </c>
      <c r="BZ391" s="149">
        <f t="shared" si="363"/>
        <v>1</v>
      </c>
      <c r="CA391" s="149">
        <f t="shared" si="364"/>
        <v>1</v>
      </c>
      <c r="CB391" s="149">
        <f t="shared" si="365"/>
        <v>1</v>
      </c>
      <c r="CC391" s="149">
        <f t="shared" si="366"/>
        <v>1</v>
      </c>
      <c r="CD391" s="149">
        <f t="shared" si="367"/>
        <v>1</v>
      </c>
      <c r="CE391" s="149">
        <f t="shared" si="368"/>
        <v>1</v>
      </c>
      <c r="CF391" s="149">
        <f t="shared" si="369"/>
        <v>1</v>
      </c>
      <c r="CG391" s="149">
        <f t="shared" si="370"/>
        <v>1</v>
      </c>
      <c r="CH391" s="149">
        <f t="shared" si="371"/>
        <v>1</v>
      </c>
      <c r="CI391" s="149">
        <f t="shared" si="372"/>
        <v>1</v>
      </c>
      <c r="CJ391" s="149">
        <f t="shared" si="373"/>
        <v>1</v>
      </c>
      <c r="CK391" s="149">
        <f t="shared" si="374"/>
        <v>1</v>
      </c>
      <c r="CL391" s="149">
        <f t="shared" si="375"/>
        <v>1</v>
      </c>
      <c r="CM391" s="149">
        <f t="shared" si="376"/>
        <v>1</v>
      </c>
      <c r="CN391" s="149">
        <f t="shared" si="377"/>
        <v>1</v>
      </c>
      <c r="CO391" s="149">
        <f t="shared" si="378"/>
        <v>1</v>
      </c>
      <c r="CP391" s="149">
        <f t="shared" si="379"/>
        <v>1</v>
      </c>
      <c r="CQ391" s="149">
        <f t="shared" si="380"/>
        <v>1</v>
      </c>
      <c r="CR391" s="149">
        <f t="shared" si="381"/>
        <v>1</v>
      </c>
      <c r="CS391" s="149">
        <f t="shared" si="382"/>
        <v>1</v>
      </c>
      <c r="CT391" s="149">
        <f t="shared" si="383"/>
        <v>1</v>
      </c>
      <c r="CU391" s="149">
        <f t="shared" si="384"/>
        <v>1</v>
      </c>
      <c r="CV391" s="149">
        <f t="shared" si="385"/>
        <v>1</v>
      </c>
      <c r="CW391" s="149">
        <f t="shared" si="386"/>
        <v>1</v>
      </c>
      <c r="CX391" s="149">
        <f t="shared" si="387"/>
        <v>1</v>
      </c>
      <c r="CY391" s="149">
        <f t="shared" si="388"/>
        <v>1</v>
      </c>
      <c r="CZ391" s="149">
        <f t="shared" si="389"/>
        <v>1</v>
      </c>
      <c r="DA391" s="149">
        <f t="shared" si="390"/>
        <v>1</v>
      </c>
      <c r="DB391" s="149">
        <f t="shared" si="391"/>
        <v>1</v>
      </c>
      <c r="DG391" s="125">
        <f t="shared" si="296"/>
        <v>1</v>
      </c>
      <c r="DH391" s="125">
        <f t="shared" si="404"/>
        <v>2</v>
      </c>
      <c r="DI391" s="125">
        <f t="shared" si="404"/>
        <v>3</v>
      </c>
      <c r="DJ391" s="125">
        <f t="shared" si="404"/>
        <v>4</v>
      </c>
      <c r="DK391" s="125">
        <f t="shared" si="404"/>
        <v>5</v>
      </c>
      <c r="DL391" s="125">
        <f t="shared" si="404"/>
        <v>6</v>
      </c>
      <c r="DM391" s="125">
        <f t="shared" si="404"/>
        <v>7</v>
      </c>
      <c r="DN391" s="125">
        <f t="shared" si="404"/>
        <v>8</v>
      </c>
      <c r="DO391" s="125">
        <f t="shared" si="404"/>
        <v>9</v>
      </c>
      <c r="DP391" s="125">
        <f t="shared" si="404"/>
        <v>10</v>
      </c>
      <c r="DS391" s="137"/>
      <c r="DT391" s="137"/>
      <c r="DU391" s="137"/>
      <c r="DV391" s="137" t="b">
        <f t="shared" si="392"/>
        <v>0</v>
      </c>
      <c r="DW391" s="137" t="b">
        <f t="shared" si="393"/>
        <v>0</v>
      </c>
      <c r="DX391" s="137" t="b">
        <f t="shared" si="394"/>
        <v>1</v>
      </c>
      <c r="EB391" s="131">
        <f t="shared" si="395"/>
        <v>1</v>
      </c>
      <c r="EC391" s="137" t="b">
        <f t="shared" si="396"/>
        <v>0</v>
      </c>
      <c r="ED391" s="137" t="b">
        <f t="shared" si="397"/>
        <v>0</v>
      </c>
      <c r="EE391" s="137" t="b">
        <f t="shared" si="398"/>
        <v>1</v>
      </c>
      <c r="EF391" s="137"/>
      <c r="EG391" s="137"/>
      <c r="EH391" s="137"/>
      <c r="EI391" s="137"/>
      <c r="EJ391" s="137">
        <f t="shared" si="399"/>
        <v>1</v>
      </c>
      <c r="EK391" s="125">
        <f t="shared" si="400"/>
        <v>0</v>
      </c>
      <c r="EL391" s="125">
        <f t="shared" si="401"/>
        <v>0</v>
      </c>
    </row>
    <row r="392" spans="2:142" ht="15.75" x14ac:dyDescent="0.2">
      <c r="B392" s="160">
        <f t="shared" si="351"/>
        <v>362</v>
      </c>
      <c r="C392" s="290">
        <v>1001350439</v>
      </c>
      <c r="D392" s="290">
        <v>1001290693</v>
      </c>
      <c r="E392" s="290">
        <v>40822203</v>
      </c>
      <c r="F392" s="118">
        <f>IF(OR(J392="",H392=""),"",VLOOKUP(J392,'הזנה לסיווג רשויות'!$B$2:$D$301,2,0))</f>
        <v>20000159</v>
      </c>
      <c r="G392" s="118" t="str">
        <f>IF(OR(J392="",H392=""),"",VLOOKUP(J392,'הזנה לסיווג רשויות'!$B$2:$D$301,3,0))</f>
        <v>ירושלים</v>
      </c>
      <c r="H392" s="293" t="s">
        <v>748</v>
      </c>
      <c r="I392" s="201" t="s">
        <v>564</v>
      </c>
      <c r="J392" s="293">
        <v>3000</v>
      </c>
      <c r="K392" s="161">
        <v>0</v>
      </c>
      <c r="L392" s="161">
        <v>1</v>
      </c>
      <c r="M392" s="161">
        <v>0</v>
      </c>
      <c r="N392" s="161">
        <v>1</v>
      </c>
      <c r="O392" s="161">
        <v>0</v>
      </c>
      <c r="P392" s="161">
        <v>1</v>
      </c>
      <c r="Q392" s="161">
        <v>1</v>
      </c>
      <c r="R392" s="201">
        <v>190000</v>
      </c>
      <c r="S392" s="201">
        <v>97133</v>
      </c>
      <c r="T392" s="160">
        <f>IF(G392="","",IFERROR(IF(S392/R392&gt;'פרמטרים לקריטריונים'!$C$20,1,0),0))</f>
        <v>1</v>
      </c>
      <c r="U392" s="201">
        <v>69133</v>
      </c>
      <c r="V392" s="160">
        <f>IF(G392="","",IFERROR(IF(U392/R392&gt;'פרמטרים לקריטריונים'!$C$21,1,IF(AND(I392=$BW$5,U392/R392&gt;'פרמטרים לקריטריונים'!$C$22),1,0)),0))</f>
        <v>1</v>
      </c>
      <c r="W392" s="161">
        <v>1</v>
      </c>
      <c r="X392" s="161">
        <v>1</v>
      </c>
      <c r="Y392" s="299">
        <v>300000</v>
      </c>
      <c r="Z392" s="201">
        <v>300000</v>
      </c>
      <c r="AA392" s="161">
        <f t="shared" si="403"/>
        <v>1</v>
      </c>
      <c r="AB392" s="161"/>
      <c r="AC392" s="161"/>
      <c r="AD392" s="161"/>
      <c r="AE392" s="161"/>
      <c r="AF392" s="161"/>
      <c r="AG392" s="161"/>
      <c r="AH392" s="161"/>
      <c r="AI392" s="161"/>
      <c r="AJ392" s="161"/>
      <c r="AK392" s="161"/>
      <c r="AL392" s="161"/>
      <c r="AM392" s="161"/>
      <c r="AN392" s="161"/>
      <c r="AO392" s="161"/>
      <c r="AP392" s="161"/>
      <c r="AQ392" s="161"/>
      <c r="AR392" s="161"/>
      <c r="AS392" s="161"/>
      <c r="AT392" s="161"/>
      <c r="AU392" s="161"/>
      <c r="AV392" s="161"/>
      <c r="AW392" s="160"/>
      <c r="AX392" s="161"/>
      <c r="AY392" s="161"/>
      <c r="AZ392" s="161"/>
      <c r="BA392" s="161"/>
      <c r="BB392" s="161"/>
      <c r="BC392" s="161"/>
      <c r="BD392" s="161"/>
      <c r="BE392" s="161"/>
      <c r="BF392" s="160" t="str">
        <f t="shared" si="352"/>
        <v/>
      </c>
      <c r="BG392" s="160"/>
      <c r="BH392" s="160"/>
      <c r="BI392" s="160"/>
      <c r="BJ392" s="160"/>
      <c r="BK392" s="160"/>
      <c r="BL392" s="162">
        <f t="shared" si="353"/>
        <v>1</v>
      </c>
      <c r="BM392" s="257" t="s">
        <v>790</v>
      </c>
      <c r="BN392" s="163"/>
      <c r="BO392" s="211" t="str">
        <f t="shared" si="354"/>
        <v>הערת שוליים (ע"ר)אחר</v>
      </c>
      <c r="BP392" s="125">
        <f t="shared" si="355"/>
        <v>1</v>
      </c>
      <c r="BQ392" s="164">
        <v>0</v>
      </c>
      <c r="BR392" s="164">
        <v>1</v>
      </c>
      <c r="BS392" s="149">
        <f t="shared" si="356"/>
        <v>1</v>
      </c>
      <c r="BT392" s="149">
        <f t="shared" si="357"/>
        <v>1</v>
      </c>
      <c r="BU392" s="149">
        <f t="shared" si="358"/>
        <v>1</v>
      </c>
      <c r="BV392" s="149">
        <f t="shared" si="359"/>
        <v>1</v>
      </c>
      <c r="BW392" s="149">
        <f t="shared" si="360"/>
        <v>1</v>
      </c>
      <c r="BX392" s="149">
        <f t="shared" si="361"/>
        <v>1</v>
      </c>
      <c r="BY392" s="149">
        <f t="shared" si="362"/>
        <v>1</v>
      </c>
      <c r="BZ392" s="149">
        <f t="shared" si="363"/>
        <v>1</v>
      </c>
      <c r="CA392" s="149">
        <f t="shared" si="364"/>
        <v>1</v>
      </c>
      <c r="CB392" s="149">
        <f t="shared" si="365"/>
        <v>1</v>
      </c>
      <c r="CC392" s="149">
        <f t="shared" si="366"/>
        <v>1</v>
      </c>
      <c r="CD392" s="149">
        <f t="shared" si="367"/>
        <v>1</v>
      </c>
      <c r="CE392" s="149">
        <f t="shared" si="368"/>
        <v>1</v>
      </c>
      <c r="CF392" s="149">
        <f t="shared" si="369"/>
        <v>1</v>
      </c>
      <c r="CG392" s="149">
        <f t="shared" si="370"/>
        <v>1</v>
      </c>
      <c r="CH392" s="149">
        <f t="shared" si="371"/>
        <v>1</v>
      </c>
      <c r="CI392" s="149">
        <f t="shared" si="372"/>
        <v>1</v>
      </c>
      <c r="CJ392" s="149">
        <f t="shared" si="373"/>
        <v>1</v>
      </c>
      <c r="CK392" s="149">
        <f t="shared" si="374"/>
        <v>1</v>
      </c>
      <c r="CL392" s="149">
        <f t="shared" si="375"/>
        <v>1</v>
      </c>
      <c r="CM392" s="149">
        <f t="shared" si="376"/>
        <v>1</v>
      </c>
      <c r="CN392" s="149">
        <f t="shared" si="377"/>
        <v>1</v>
      </c>
      <c r="CO392" s="149">
        <f t="shared" si="378"/>
        <v>1</v>
      </c>
      <c r="CP392" s="149">
        <f t="shared" si="379"/>
        <v>1</v>
      </c>
      <c r="CQ392" s="149">
        <f t="shared" si="380"/>
        <v>1</v>
      </c>
      <c r="CR392" s="149">
        <f t="shared" si="381"/>
        <v>1</v>
      </c>
      <c r="CS392" s="149">
        <f t="shared" si="382"/>
        <v>1</v>
      </c>
      <c r="CT392" s="149">
        <f t="shared" si="383"/>
        <v>1</v>
      </c>
      <c r="CU392" s="149">
        <f t="shared" si="384"/>
        <v>1</v>
      </c>
      <c r="CV392" s="149">
        <f t="shared" si="385"/>
        <v>1</v>
      </c>
      <c r="CW392" s="149">
        <f t="shared" si="386"/>
        <v>1</v>
      </c>
      <c r="CX392" s="149">
        <f t="shared" si="387"/>
        <v>1</v>
      </c>
      <c r="CY392" s="149">
        <f t="shared" si="388"/>
        <v>1</v>
      </c>
      <c r="CZ392" s="149">
        <f t="shared" si="389"/>
        <v>1</v>
      </c>
      <c r="DA392" s="149">
        <f t="shared" si="390"/>
        <v>1</v>
      </c>
      <c r="DB392" s="149">
        <f t="shared" si="391"/>
        <v>1</v>
      </c>
      <c r="DG392" s="125">
        <f t="shared" si="296"/>
        <v>1</v>
      </c>
      <c r="DH392" s="125">
        <f t="shared" si="404"/>
        <v>2</v>
      </c>
      <c r="DI392" s="125">
        <f t="shared" si="404"/>
        <v>3</v>
      </c>
      <c r="DJ392" s="125">
        <f t="shared" si="404"/>
        <v>4</v>
      </c>
      <c r="DK392" s="125">
        <f t="shared" si="404"/>
        <v>5</v>
      </c>
      <c r="DL392" s="125">
        <f t="shared" si="404"/>
        <v>6</v>
      </c>
      <c r="DM392" s="125">
        <f t="shared" si="404"/>
        <v>7</v>
      </c>
      <c r="DN392" s="125">
        <f t="shared" si="404"/>
        <v>8</v>
      </c>
      <c r="DO392" s="125">
        <f t="shared" si="404"/>
        <v>9</v>
      </c>
      <c r="DP392" s="125">
        <f t="shared" si="404"/>
        <v>10</v>
      </c>
      <c r="DS392" s="137"/>
      <c r="DT392" s="137"/>
      <c r="DU392" s="137"/>
      <c r="DV392" s="137" t="b">
        <f t="shared" si="392"/>
        <v>0</v>
      </c>
      <c r="DW392" s="137" t="b">
        <f t="shared" si="393"/>
        <v>0</v>
      </c>
      <c r="DX392" s="137" t="b">
        <f t="shared" si="394"/>
        <v>1</v>
      </c>
      <c r="EB392" s="131">
        <f t="shared" si="395"/>
        <v>1</v>
      </c>
      <c r="EC392" s="137" t="b">
        <f t="shared" si="396"/>
        <v>0</v>
      </c>
      <c r="ED392" s="137" t="b">
        <f t="shared" si="397"/>
        <v>0</v>
      </c>
      <c r="EE392" s="137" t="b">
        <f t="shared" si="398"/>
        <v>1</v>
      </c>
      <c r="EF392" s="137"/>
      <c r="EG392" s="137"/>
      <c r="EH392" s="137"/>
      <c r="EI392" s="137"/>
      <c r="EJ392" s="137">
        <f t="shared" si="399"/>
        <v>1</v>
      </c>
      <c r="EK392" s="125">
        <f t="shared" si="400"/>
        <v>0</v>
      </c>
      <c r="EL392" s="125">
        <f t="shared" si="401"/>
        <v>0</v>
      </c>
    </row>
    <row r="393" spans="2:142" ht="15.75" x14ac:dyDescent="0.2">
      <c r="B393" s="160">
        <f t="shared" si="351"/>
        <v>363</v>
      </c>
      <c r="C393" s="290">
        <v>1001349364</v>
      </c>
      <c r="D393" s="290">
        <v>1001264263</v>
      </c>
      <c r="E393" s="290">
        <v>40000712</v>
      </c>
      <c r="F393" s="118">
        <f>IF(OR(J393="",H393=""),"",VLOOKUP(J393,'הזנה לסיווג רשויות'!$B$2:$D$301,2,0))</f>
        <v>20000201</v>
      </c>
      <c r="G393" s="118" t="str">
        <f>IF(OR(J393="",H393=""),"",VLOOKUP(J393,'הזנה לסיווג רשויות'!$B$2:$D$301,3,0))</f>
        <v>תל אביב -יפו</v>
      </c>
      <c r="H393" s="293" t="s">
        <v>761</v>
      </c>
      <c r="I393" s="201" t="s">
        <v>373</v>
      </c>
      <c r="J393" s="293">
        <v>5000</v>
      </c>
      <c r="K393" s="161">
        <v>0</v>
      </c>
      <c r="L393" s="161">
        <v>1</v>
      </c>
      <c r="M393" s="161">
        <v>0</v>
      </c>
      <c r="N393" s="161">
        <v>1</v>
      </c>
      <c r="O393" s="161">
        <v>0</v>
      </c>
      <c r="P393" s="161">
        <v>1</v>
      </c>
      <c r="Q393" s="161">
        <v>1</v>
      </c>
      <c r="R393" s="201">
        <v>80055138</v>
      </c>
      <c r="S393" s="201">
        <v>53807488</v>
      </c>
      <c r="T393" s="160">
        <f>IF(G393="","",IFERROR(IF(S393/R393&gt;'פרמטרים לקריטריונים'!$C$20,1,0),0))</f>
        <v>1</v>
      </c>
      <c r="U393" s="201">
        <v>51088732</v>
      </c>
      <c r="V393" s="160">
        <f>IF(G393="","",IFERROR(IF(U393/R393&gt;'פרמטרים לקריטריונים'!$C$21,1,IF(AND(I393=$BW$5,U393/R393&gt;'פרמטרים לקריטריונים'!$C$22),1,0)),0))</f>
        <v>1</v>
      </c>
      <c r="W393" s="161">
        <v>1</v>
      </c>
      <c r="X393" s="161">
        <v>1</v>
      </c>
      <c r="Y393" s="299">
        <v>20000000</v>
      </c>
      <c r="Z393" s="201">
        <v>4000000</v>
      </c>
      <c r="AA393" s="161">
        <f t="shared" si="403"/>
        <v>1</v>
      </c>
      <c r="AB393" s="161"/>
      <c r="AC393" s="161"/>
      <c r="AD393" s="161"/>
      <c r="AE393" s="161"/>
      <c r="AF393" s="161"/>
      <c r="AG393" s="161"/>
      <c r="AH393" s="161"/>
      <c r="AI393" s="161"/>
      <c r="AJ393" s="161"/>
      <c r="AK393" s="161"/>
      <c r="AL393" s="161"/>
      <c r="AM393" s="161"/>
      <c r="AN393" s="161"/>
      <c r="AO393" s="161"/>
      <c r="AP393" s="161"/>
      <c r="AQ393" s="161"/>
      <c r="AR393" s="161"/>
      <c r="AS393" s="161"/>
      <c r="AT393" s="161"/>
      <c r="AU393" s="161"/>
      <c r="AV393" s="161"/>
      <c r="AW393" s="160"/>
      <c r="AX393" s="161"/>
      <c r="AY393" s="161"/>
      <c r="AZ393" s="161"/>
      <c r="BA393" s="161"/>
      <c r="BB393" s="161"/>
      <c r="BC393" s="161"/>
      <c r="BD393" s="161"/>
      <c r="BE393" s="161"/>
      <c r="BF393" s="160" t="str">
        <f t="shared" si="352"/>
        <v/>
      </c>
      <c r="BG393" s="160"/>
      <c r="BH393" s="160"/>
      <c r="BI393" s="160"/>
      <c r="BJ393" s="160"/>
      <c r="BK393" s="160"/>
      <c r="BL393" s="162">
        <f t="shared" si="353"/>
        <v>1</v>
      </c>
      <c r="BM393" s="257"/>
      <c r="BN393" s="163"/>
      <c r="BO393" s="211" t="str">
        <f t="shared" si="354"/>
        <v>התיאטרון הקאמרי של תל אביבתיאטרון</v>
      </c>
      <c r="BP393" s="125">
        <f t="shared" si="355"/>
        <v>1</v>
      </c>
      <c r="BQ393" s="164">
        <v>0</v>
      </c>
      <c r="BR393" s="164">
        <v>1</v>
      </c>
      <c r="BS393" s="149">
        <f t="shared" si="356"/>
        <v>1</v>
      </c>
      <c r="BT393" s="149">
        <f t="shared" si="357"/>
        <v>1</v>
      </c>
      <c r="BU393" s="149">
        <f t="shared" si="358"/>
        <v>1</v>
      </c>
      <c r="BV393" s="149">
        <f t="shared" si="359"/>
        <v>1</v>
      </c>
      <c r="BW393" s="149">
        <f t="shared" si="360"/>
        <v>1</v>
      </c>
      <c r="BX393" s="149">
        <f t="shared" si="361"/>
        <v>1</v>
      </c>
      <c r="BY393" s="149">
        <f t="shared" si="362"/>
        <v>1</v>
      </c>
      <c r="BZ393" s="149">
        <f t="shared" si="363"/>
        <v>1</v>
      </c>
      <c r="CA393" s="149">
        <f t="shared" si="364"/>
        <v>1</v>
      </c>
      <c r="CB393" s="149">
        <f t="shared" si="365"/>
        <v>1</v>
      </c>
      <c r="CC393" s="149">
        <f t="shared" si="366"/>
        <v>1</v>
      </c>
      <c r="CD393" s="149">
        <f t="shared" si="367"/>
        <v>1</v>
      </c>
      <c r="CE393" s="149">
        <f t="shared" si="368"/>
        <v>1</v>
      </c>
      <c r="CF393" s="149">
        <f t="shared" si="369"/>
        <v>1</v>
      </c>
      <c r="CG393" s="149">
        <f t="shared" si="370"/>
        <v>1</v>
      </c>
      <c r="CH393" s="149">
        <f t="shared" si="371"/>
        <v>1</v>
      </c>
      <c r="CI393" s="149">
        <f t="shared" si="372"/>
        <v>1</v>
      </c>
      <c r="CJ393" s="149">
        <f t="shared" si="373"/>
        <v>1</v>
      </c>
      <c r="CK393" s="149">
        <f t="shared" si="374"/>
        <v>1</v>
      </c>
      <c r="CL393" s="149">
        <f t="shared" si="375"/>
        <v>1</v>
      </c>
      <c r="CM393" s="149">
        <f t="shared" si="376"/>
        <v>1</v>
      </c>
      <c r="CN393" s="149">
        <f t="shared" si="377"/>
        <v>1</v>
      </c>
      <c r="CO393" s="149">
        <f t="shared" si="378"/>
        <v>1</v>
      </c>
      <c r="CP393" s="149">
        <f t="shared" si="379"/>
        <v>1</v>
      </c>
      <c r="CQ393" s="149">
        <f t="shared" si="380"/>
        <v>1</v>
      </c>
      <c r="CR393" s="149">
        <f t="shared" si="381"/>
        <v>1</v>
      </c>
      <c r="CS393" s="149">
        <f t="shared" si="382"/>
        <v>1</v>
      </c>
      <c r="CT393" s="149">
        <f t="shared" si="383"/>
        <v>1</v>
      </c>
      <c r="CU393" s="149">
        <f t="shared" si="384"/>
        <v>1</v>
      </c>
      <c r="CV393" s="149">
        <f t="shared" si="385"/>
        <v>1</v>
      </c>
      <c r="CW393" s="149">
        <f t="shared" si="386"/>
        <v>1</v>
      </c>
      <c r="CX393" s="149">
        <f t="shared" si="387"/>
        <v>1</v>
      </c>
      <c r="CY393" s="149">
        <f t="shared" si="388"/>
        <v>1</v>
      </c>
      <c r="CZ393" s="149">
        <f t="shared" si="389"/>
        <v>1</v>
      </c>
      <c r="DA393" s="149">
        <f t="shared" si="390"/>
        <v>1</v>
      </c>
      <c r="DB393" s="149">
        <f t="shared" si="391"/>
        <v>1</v>
      </c>
      <c r="DG393" s="125">
        <f t="shared" si="296"/>
        <v>1</v>
      </c>
      <c r="DH393" s="125">
        <f t="shared" si="404"/>
        <v>2</v>
      </c>
      <c r="DI393" s="125">
        <f t="shared" si="404"/>
        <v>3</v>
      </c>
      <c r="DJ393" s="125">
        <f t="shared" si="404"/>
        <v>4</v>
      </c>
      <c r="DK393" s="125">
        <f t="shared" si="404"/>
        <v>5</v>
      </c>
      <c r="DL393" s="125">
        <f t="shared" si="404"/>
        <v>6</v>
      </c>
      <c r="DM393" s="125">
        <f t="shared" si="404"/>
        <v>7</v>
      </c>
      <c r="DN393" s="125">
        <f t="shared" si="404"/>
        <v>8</v>
      </c>
      <c r="DO393" s="125">
        <f t="shared" si="404"/>
        <v>9</v>
      </c>
      <c r="DP393" s="125">
        <f t="shared" si="404"/>
        <v>10</v>
      </c>
      <c r="DS393" s="137"/>
      <c r="DT393" s="137"/>
      <c r="DU393" s="137"/>
      <c r="DV393" s="137" t="b">
        <f t="shared" si="392"/>
        <v>0</v>
      </c>
      <c r="DW393" s="137" t="b">
        <f t="shared" si="393"/>
        <v>0</v>
      </c>
      <c r="DX393" s="137" t="b">
        <f t="shared" si="394"/>
        <v>1</v>
      </c>
      <c r="EB393" s="131">
        <f t="shared" si="395"/>
        <v>1</v>
      </c>
      <c r="EC393" s="137" t="b">
        <f t="shared" si="396"/>
        <v>0</v>
      </c>
      <c r="ED393" s="137" t="b">
        <f t="shared" si="397"/>
        <v>0</v>
      </c>
      <c r="EE393" s="137" t="b">
        <f t="shared" si="398"/>
        <v>1</v>
      </c>
      <c r="EF393" s="137"/>
      <c r="EG393" s="137"/>
      <c r="EH393" s="137"/>
      <c r="EI393" s="137"/>
      <c r="EJ393" s="137">
        <f t="shared" si="399"/>
        <v>1</v>
      </c>
      <c r="EK393" s="125">
        <f t="shared" si="400"/>
        <v>0</v>
      </c>
      <c r="EL393" s="125">
        <f t="shared" si="401"/>
        <v>0</v>
      </c>
    </row>
    <row r="394" spans="2:142" ht="15.75" x14ac:dyDescent="0.2">
      <c r="B394" s="160">
        <f t="shared" ref="B394:B457" si="405">IF(G394="","",ROW()-30)</f>
        <v>364</v>
      </c>
      <c r="C394" s="290">
        <v>1001349371</v>
      </c>
      <c r="D394" s="290">
        <v>1001264795</v>
      </c>
      <c r="E394" s="290">
        <v>40000712</v>
      </c>
      <c r="F394" s="118">
        <f>IF(OR(J394="",H394=""),"",VLOOKUP(J394,'הזנה לסיווג רשויות'!$B$2:$D$301,2,0))</f>
        <v>20000201</v>
      </c>
      <c r="G394" s="118" t="str">
        <f>IF(OR(J394="",H394=""),"",VLOOKUP(J394,'הזנה לסיווג רשויות'!$B$2:$D$301,3,0))</f>
        <v>תל אביב -יפו</v>
      </c>
      <c r="H394" s="293" t="s">
        <v>761</v>
      </c>
      <c r="I394" s="201" t="s">
        <v>381</v>
      </c>
      <c r="J394" s="293">
        <v>5000</v>
      </c>
      <c r="K394" s="161">
        <v>0</v>
      </c>
      <c r="L394" s="161">
        <v>1</v>
      </c>
      <c r="M394" s="161">
        <v>0</v>
      </c>
      <c r="N394" s="161">
        <v>1</v>
      </c>
      <c r="O394" s="161">
        <v>0</v>
      </c>
      <c r="P394" s="161">
        <v>1</v>
      </c>
      <c r="Q394" s="161">
        <v>1</v>
      </c>
      <c r="R394" s="201">
        <v>1182685</v>
      </c>
      <c r="S394" s="201">
        <v>662261</v>
      </c>
      <c r="T394" s="160">
        <f>IF(G394="","",IFERROR(IF(S394/R394&gt;'פרמטרים לקריטריונים'!$C$20,1,0),0))</f>
        <v>1</v>
      </c>
      <c r="U394" s="201">
        <v>431393</v>
      </c>
      <c r="V394" s="160">
        <f>IF(G394="","",IFERROR(IF(U394/R394&gt;'פרמטרים לקריטריונים'!$C$21,1,IF(AND(I394=$BW$5,U394/R394&gt;'פרמטרים לקריטריונים'!$C$22),1,0)),0))</f>
        <v>1</v>
      </c>
      <c r="W394" s="161">
        <v>1</v>
      </c>
      <c r="X394" s="161">
        <v>1</v>
      </c>
      <c r="Y394" s="299">
        <v>400000</v>
      </c>
      <c r="Z394" s="201">
        <v>1</v>
      </c>
      <c r="AA394" s="161">
        <f t="shared" si="403"/>
        <v>1</v>
      </c>
      <c r="AB394" s="161"/>
      <c r="AC394" s="161"/>
      <c r="AD394" s="161"/>
      <c r="AE394" s="161"/>
      <c r="AF394" s="161"/>
      <c r="AG394" s="161"/>
      <c r="AH394" s="161"/>
      <c r="AI394" s="161"/>
      <c r="AJ394" s="161"/>
      <c r="AK394" s="161"/>
      <c r="AL394" s="161"/>
      <c r="AM394" s="161"/>
      <c r="AN394" s="161"/>
      <c r="AO394" s="161"/>
      <c r="AP394" s="161"/>
      <c r="AQ394" s="161"/>
      <c r="AR394" s="161"/>
      <c r="AS394" s="161"/>
      <c r="AT394" s="161"/>
      <c r="AU394" s="161"/>
      <c r="AV394" s="161"/>
      <c r="AW394" s="160"/>
      <c r="AX394" s="161"/>
      <c r="AY394" s="161"/>
      <c r="AZ394" s="161"/>
      <c r="BA394" s="161"/>
      <c r="BB394" s="161"/>
      <c r="BC394" s="161"/>
      <c r="BD394" s="161"/>
      <c r="BE394" s="161"/>
      <c r="BF394" s="160" t="str">
        <f t="shared" ref="BF394:BF457" si="406">IFERROR(SUM(AZ394:BE394)/COUNT(AZ394:BE394),"")</f>
        <v/>
      </c>
      <c r="BG394" s="160"/>
      <c r="BH394" s="160"/>
      <c r="BI394" s="160"/>
      <c r="BJ394" s="160"/>
      <c r="BK394" s="160"/>
      <c r="BL394" s="162">
        <f t="shared" ref="BL394:BL457" si="407">IF($G394="","",IF(SUM(N394:O394)=0,0,IF(OR(H394="",I394="",J394="",AA394=0,Y394=""),$BQ$1,IF(BP394&lt;&gt;1,$BQ$1,IF(SUMPRODUCT(--(K394:BG394&gt;=$K$5:$BG$5)*($K$5:$BG$5&lt;&gt;"")*($K$4:$BG$4=1))=COUNTIF($K$4:$BG$4,1),1,0)))))</f>
        <v>1</v>
      </c>
      <c r="BM394" s="257"/>
      <c r="BN394" s="163"/>
      <c r="BO394" s="211" t="str">
        <f t="shared" ref="BO394:BO457" si="408">CONCATENATE(H394,I394)</f>
        <v>התיאטרון הקאמרי של תל אביבסינמטקים ופסטיבלים</v>
      </c>
      <c r="BP394" s="125">
        <f t="shared" ref="BP394:BP457" si="409">IF(OR(SUM(BS394:DB394)&lt;&gt;COUNT(BS394:DB394),SUMPRODUCT(--(N394:BG394=$BQ$1))&lt;&gt;0),0,1)</f>
        <v>1</v>
      </c>
      <c r="BQ394" s="164">
        <v>0</v>
      </c>
      <c r="BR394" s="164">
        <v>1</v>
      </c>
      <c r="BS394" s="149">
        <f t="shared" ref="BS394:BS457" si="410">IF(OR(K$30="",K$4=99),1,IF(K394="",0,IFERROR(CHOOSE(BS$28,IF(ISNA(MATCH(K394,$BQ$30:$BR$30,0)),0,1),IF(ISNUMBER(K394),1,0),IF(K394=TRUNC(K394),1,0),IF(AND(K394*1=K394,K394&gt;=0),1,0),IF(AND(K394=TRUNC(K394),K394&gt;=0),1,0),IF(AND(K394*1=K394,K394&gt;0),1,0),IF(AND(K394=TRUNC(K394),K394&gt;0),1,0),1,IF(ISNA(HLOOKUP(K394,$BT$4:$CD$4,1,0)),0,1)),0)))</f>
        <v>1</v>
      </c>
      <c r="BT394" s="149">
        <f t="shared" ref="BT394:BT457" si="411">IF(OR(L$30="",L$4=99),1,IF(L394="",0,IFERROR(CHOOSE(BT$28,IF(ISNA(MATCH(L394,$BQ$30:$BR$30,0)),0,1),IF(ISNUMBER(L394),1,0),IF(L394=TRUNC(L394),1,0),IF(AND(L394*1=L394,L394&gt;=0),1,0),IF(AND(L394=TRUNC(L394),L394&gt;=0),1,0),IF(AND(L394*1=L394,L394&gt;0),1,0),IF(AND(L394=TRUNC(L394),L394&gt;0),1,0),1,IF(ISNA(HLOOKUP(L394,$BT$4:$CD$4,1,0)),0,1)),0)))</f>
        <v>1</v>
      </c>
      <c r="BU394" s="149">
        <f t="shared" ref="BU394:BU457" si="412">IF(OR(M$30="",M$4=99),1,IF(M394="",0,IFERROR(CHOOSE(BU$28,IF(ISNA(MATCH(M394,$BQ$30:$BR$30,0)),0,1),IF(ISNUMBER(M394),1,0),IF(M394=TRUNC(M394),1,0),IF(AND(M394*1=M394,M394&gt;=0),1,0),IF(AND(M394=TRUNC(M394),M394&gt;=0),1,0),IF(AND(M394*1=M394,M394&gt;0),1,0),IF(AND(M394=TRUNC(M394),M394&gt;0),1,0),1,IF(ISNA(HLOOKUP(M394,$BT$4:$CD$4,1,0)),0,1)),0)))</f>
        <v>1</v>
      </c>
      <c r="BV394" s="149">
        <f t="shared" ref="BV394:BV457" si="413">IF(OR(N$30="",N$4=99),1,IF(N394="",0,IFERROR(CHOOSE(BV$28,IF(ISNA(MATCH(N394,$BQ$30:$BR$30,0)),0,1),IF(ISNUMBER(N394),1,0),IF(N394=TRUNC(N394),1,0),IF(AND(N394*1=N394,N394&gt;=0),1,0),IF(AND(N394=TRUNC(N394),N394&gt;=0),1,0),IF(AND(N394*1=N394,N394&gt;0),1,0),IF(AND(N394=TRUNC(N394),N394&gt;0),1,0),1,IF(ISNA(HLOOKUP(N394,$BT$4:$CD$4,1,0)),0,1)),0)))</f>
        <v>1</v>
      </c>
      <c r="BW394" s="149">
        <f t="shared" ref="BW394:BW457" si="414">IF(OR(O$30="",O$4=99),1,IF(O394="",0,IFERROR(CHOOSE(BW$28,IF(ISNA(MATCH(O394,$BQ$30:$BR$30,0)),0,1),IF(ISNUMBER(O394),1,0),IF(O394=TRUNC(O394),1,0),IF(AND(O394*1=O394,O394&gt;=0),1,0),IF(AND(O394=TRUNC(O394),O394&gt;=0),1,0),IF(AND(O394*1=O394,O394&gt;0),1,0),IF(AND(O394=TRUNC(O394),O394&gt;0),1,0),1,IF(ISNA(HLOOKUP(O394,$BT$4:$CD$4,1,0)),0,1)),0)))</f>
        <v>1</v>
      </c>
      <c r="BX394" s="149">
        <f t="shared" ref="BX394:BX457" si="415">IF(OR(P$30="",P$4=99),1,IF(P394="",0,IFERROR(CHOOSE(BX$28,IF(ISNA(MATCH(P394,$BQ$30:$BR$30,0)),0,1),IF(ISNUMBER(P394),1,0),IF(P394=TRUNC(P394),1,0),IF(AND(P394*1=P394,P394&gt;=0),1,0),IF(AND(P394=TRUNC(P394),P394&gt;=0),1,0),IF(AND(P394*1=P394,P394&gt;0),1,0),IF(AND(P394=TRUNC(P394),P394&gt;0),1,0),1,IF(ISNA(HLOOKUP(P394,$BT$4:$CD$4,1,0)),0,1)),0)))</f>
        <v>1</v>
      </c>
      <c r="BY394" s="149">
        <f t="shared" ref="BY394:BY457" si="416">IF(OR(Q$30="",Q$4=99),1,IF(Q394="",0,IFERROR(CHOOSE(BY$28,IF(ISNA(MATCH(Q394,$BQ$30:$BR$30,0)),0,1),IF(ISNUMBER(Q394),1,0),IF(Q394=TRUNC(Q394),1,0),IF(AND(Q394*1=Q394,Q394&gt;=0),1,0),IF(AND(Q394=TRUNC(Q394),Q394&gt;=0),1,0),IF(AND(Q394*1=Q394,Q394&gt;0),1,0),IF(AND(Q394=TRUNC(Q394),Q394&gt;0),1,0),1,IF(ISNA(HLOOKUP(Q394,$BT$4:$CD$4,1,0)),0,1)),0)))</f>
        <v>1</v>
      </c>
      <c r="BZ394" s="149">
        <f t="shared" ref="BZ394:BZ457" si="417">IF(OR(R$30="",R$4=99),1,IF(R394="",0,IFERROR(CHOOSE(BZ$28,IF(ISNA(MATCH(R394,$BQ$30:$BR$30,0)),0,1),IF(ISNUMBER(R394),1,0),IF(R394=TRUNC(R394),1,0),IF(AND(R394*1=R394,R394&gt;=0),1,0),IF(AND(R394=TRUNC(R394),R394&gt;=0),1,0),IF(AND(R394*1=R394,R394&gt;0),1,0),IF(AND(R394=TRUNC(R394),R394&gt;0),1,0),1,IF(ISNA(HLOOKUP(R394,$BT$4:$CD$4,1,0)),0,1)),0)))</f>
        <v>1</v>
      </c>
      <c r="CA394" s="149">
        <f t="shared" ref="CA394:CA457" si="418">IF(OR(S$30="",S$4=99),1,IF(S394="",0,IFERROR(CHOOSE(CA$28,IF(ISNA(MATCH(S394,$BQ$30:$BR$30,0)),0,1),IF(ISNUMBER(S394),1,0),IF(S394=TRUNC(S394),1,0),IF(AND(S394*1=S394,S394&gt;=0),1,0),IF(AND(S394=TRUNC(S394),S394&gt;=0),1,0),IF(AND(S394*1=S394,S394&gt;0),1,0),IF(AND(S394=TRUNC(S394),S394&gt;0),1,0),1,IF(ISNA(HLOOKUP(S394,$BT$4:$CD$4,1,0)),0,1)),0)))</f>
        <v>1</v>
      </c>
      <c r="CB394" s="149">
        <f t="shared" ref="CB394:CB457" si="419">IF(OR(T$30="",T$4=99),1,IF(T394="",0,IFERROR(CHOOSE(CB$28,IF(ISNA(MATCH(T394,$BQ$30:$BR$30,0)),0,1),IF(ISNUMBER(T394),1,0),IF(T394=TRUNC(T394),1,0),IF(AND(T394*1=T394,T394&gt;=0),1,0),IF(AND(T394=TRUNC(T394),T394&gt;=0),1,0),IF(AND(T394*1=T394,T394&gt;0),1,0),IF(AND(T394=TRUNC(T394),T394&gt;0),1,0),1,IF(ISNA(HLOOKUP(T394,$BT$4:$CD$4,1,0)),0,1)),0)))</f>
        <v>1</v>
      </c>
      <c r="CC394" s="149">
        <f t="shared" ref="CC394:CC457" si="420">IF(OR(U$30="",U$4=99),1,IF(U394="",0,IFERROR(CHOOSE(CC$28,IF(ISNA(MATCH(U394,$BQ$30:$BR$30,0)),0,1),IF(ISNUMBER(U394),1,0),IF(U394=TRUNC(U394),1,0),IF(AND(U394*1=U394,U394&gt;=0),1,0),IF(AND(U394=TRUNC(U394),U394&gt;=0),1,0),IF(AND(U394*1=U394,U394&gt;0),1,0),IF(AND(U394=TRUNC(U394),U394&gt;0),1,0),1,IF(ISNA(HLOOKUP(U394,$BT$4:$CD$4,1,0)),0,1)),0)))</f>
        <v>1</v>
      </c>
      <c r="CD394" s="149">
        <f t="shared" ref="CD394:CD457" si="421">IF(OR(V$30="",V$4=99),1,IF(V394="",0,IFERROR(CHOOSE(CD$28,IF(ISNA(MATCH(V394,$BQ$30:$BR$30,0)),0,1),IF(ISNUMBER(V394),1,0),IF(V394=TRUNC(V394),1,0),IF(AND(V394*1=V394,V394&gt;=0),1,0),IF(AND(V394=TRUNC(V394),V394&gt;=0),1,0),IF(AND(V394*1=V394,V394&gt;0),1,0),IF(AND(V394=TRUNC(V394),V394&gt;0),1,0),1,IF(ISNA(HLOOKUP(V394,$BT$4:$CD$4,1,0)),0,1)),0)))</f>
        <v>1</v>
      </c>
      <c r="CE394" s="149">
        <f t="shared" ref="CE394:CE457" si="422">IF(OR(W$30="",W$4=99),1,IF(W394="",0,IFERROR(CHOOSE(CE$28,IF(ISNA(MATCH(W394,$BQ$30:$BR$30,0)),0,1),IF(ISNUMBER(W394),1,0),IF(W394=TRUNC(W394),1,0),IF(AND(W394*1=W394,W394&gt;=0),1,0),IF(AND(W394=TRUNC(W394),W394&gt;=0),1,0),IF(AND(W394*1=W394,W394&gt;0),1,0),IF(AND(W394=TRUNC(W394),W394&gt;0),1,0),1,IF(ISNA(HLOOKUP(W394,$BT$4:$CD$4,1,0)),0,1)),0)))</f>
        <v>1</v>
      </c>
      <c r="CF394" s="149">
        <f t="shared" ref="CF394:CF457" si="423">IF(OR(X$30="",X$4=99),1,IF(X394="",0,IFERROR(CHOOSE(CF$28,IF(ISNA(MATCH(X394,$BQ$30:$BR$30,0)),0,1),IF(ISNUMBER(X394),1,0),IF(X394=TRUNC(X394),1,0),IF(AND(X394*1=X394,X394&gt;=0),1,0),IF(AND(X394=TRUNC(X394),X394&gt;=0),1,0),IF(AND(X394*1=X394,X394&gt;0),1,0),IF(AND(X394=TRUNC(X394),X394&gt;0),1,0),1,IF(ISNA(HLOOKUP(X394,$BT$4:$CD$4,1,0)),0,1)),0)))</f>
        <v>1</v>
      </c>
      <c r="CG394" s="149">
        <f t="shared" ref="CG394:CG457" si="424">IF(OR(Y$30="",Y$4=99),1,IF(Y394="",0,IFERROR(CHOOSE(CG$28,IF(ISNA(MATCH(Y394,$BQ$30:$BR$30,0)),0,1),IF(ISNUMBER(Y394),1,0),IF(Y394=TRUNC(Y394),1,0),IF(AND(Y394*1=Y394,Y394&gt;=0),1,0),IF(AND(Y394=TRUNC(Y394),Y394&gt;=0),1,0),IF(AND(Y394*1=Y394,Y394&gt;0),1,0),IF(AND(Y394=TRUNC(Y394),Y394&gt;0),1,0),1,IF(ISNA(HLOOKUP(Y394,$BT$4:$CD$4,1,0)),0,1)),0)))</f>
        <v>1</v>
      </c>
      <c r="CH394" s="149">
        <f t="shared" ref="CH394:CH457" si="425">IF(OR(Z$30="",Z$4=99),1,IF(Z394="",0,IFERROR(CHOOSE(CH$28,IF(ISNA(MATCH(Z394,$BQ$30:$BR$30,0)),0,1),IF(ISNUMBER(Z394),1,0),IF(Z394=TRUNC(Z394),1,0),IF(AND(Z394*1=Z394,Z394&gt;=0),1,0),IF(AND(Z394=TRUNC(Z394),Z394&gt;=0),1,0),IF(AND(Z394*1=Z394,Z394&gt;0),1,0),IF(AND(Z394=TRUNC(Z394),Z394&gt;0),1,0),1,IF(ISNA(HLOOKUP(Z394,$BT$4:$CD$4,1,0)),0,1)),0)))</f>
        <v>1</v>
      </c>
      <c r="CI394" s="149">
        <f t="shared" ref="CI394:CI457" si="426">IF(OR(AA$30="",AA$4=99),1,IF(AA394="",0,IFERROR(CHOOSE(CI$28,IF(ISNA(MATCH(AA394,$BQ$30:$BR$30,0)),0,1),IF(ISNUMBER(AA394),1,0),IF(AA394=TRUNC(AA394),1,0),IF(AND(AA394*1=AA394,AA394&gt;=0),1,0),IF(AND(AA394=TRUNC(AA394),AA394&gt;=0),1,0),IF(AND(AA394*1=AA394,AA394&gt;0),1,0),IF(AND(AA394=TRUNC(AA394),AA394&gt;0),1,0),1,IF(ISNA(HLOOKUP(AA394,$BT$4:$CD$4,1,0)),0,1)),0)))</f>
        <v>1</v>
      </c>
      <c r="CJ394" s="149">
        <f t="shared" ref="CJ394:CJ457" si="427">IF(OR(AB$30="",AB$4=99),1,IF(AB394="",0,IFERROR(CHOOSE(CJ$28,IF(ISNA(MATCH(AB394,$BQ$30:$BR$30,0)),0,1),IF(ISNUMBER(AB394),1,0),IF(AB394=TRUNC(AB394),1,0),IF(AND(AB394*1=AB394,AB394&gt;=0),1,0),IF(AND(AB394=TRUNC(AB394),AB394&gt;=0),1,0),IF(AND(AB394*1=AB394,AB394&gt;0),1,0),IF(AND(AB394=TRUNC(AB394),AB394&gt;0),1,0),1,IF(ISNA(HLOOKUP(AB394,$BT$4:$CD$4,1,0)),0,1)),0)))</f>
        <v>1</v>
      </c>
      <c r="CK394" s="149">
        <f t="shared" ref="CK394:CK457" si="428">IF(OR(AC$30="",AC$4=99),1,IF(AC394="",0,IFERROR(CHOOSE(CK$28,IF(ISNA(MATCH(AC394,$BQ$30:$BR$30,0)),0,1),IF(ISNUMBER(AC394),1,0),IF(AC394=TRUNC(AC394),1,0),IF(AND(AC394*1=AC394,AC394&gt;=0),1,0),IF(AND(AC394=TRUNC(AC394),AC394&gt;=0),1,0),IF(AND(AC394*1=AC394,AC394&gt;0),1,0),IF(AND(AC394=TRUNC(AC394),AC394&gt;0),1,0),1,IF(ISNA(HLOOKUP(AC394,$BT$4:$CD$4,1,0)),0,1)),0)))</f>
        <v>1</v>
      </c>
      <c r="CL394" s="149">
        <f t="shared" ref="CL394:CL457" si="429">IF(OR(AD$30="",AD$4=99),1,IF(AD394="",0,IFERROR(CHOOSE(CL$28,IF(ISNA(MATCH(AD394,$BQ$30:$BR$30,0)),0,1),IF(ISNUMBER(AD394),1,0),IF(AD394=TRUNC(AD394),1,0),IF(AND(AD394*1=AD394,AD394&gt;=0),1,0),IF(AND(AD394=TRUNC(AD394),AD394&gt;=0),1,0),IF(AND(AD394*1=AD394,AD394&gt;0),1,0),IF(AND(AD394=TRUNC(AD394),AD394&gt;0),1,0),1,IF(ISNA(HLOOKUP(AD394,$BT$4:$CD$4,1,0)),0,1)),0)))</f>
        <v>1</v>
      </c>
      <c r="CM394" s="149">
        <f t="shared" ref="CM394:CM457" si="430">IF(OR(AE$30="",AE$4=99),1,IF(AE394="",0,IFERROR(CHOOSE(CM$28,IF(ISNA(MATCH(AE394,$BQ$30:$BR$30,0)),0,1),IF(ISNUMBER(AE394),1,0),IF(AE394=TRUNC(AE394),1,0),IF(AND(AE394*1=AE394,AE394&gt;=0),1,0),IF(AND(AE394=TRUNC(AE394),AE394&gt;=0),1,0),IF(AND(AE394*1=AE394,AE394&gt;0),1,0),IF(AND(AE394=TRUNC(AE394),AE394&gt;0),1,0),1,IF(ISNA(HLOOKUP(AE394,$BT$4:$CD$4,1,0)),0,1)),0)))</f>
        <v>1</v>
      </c>
      <c r="CN394" s="149">
        <f t="shared" ref="CN394:CN457" si="431">IF(OR(AF$30="",AF$4=99),1,IF(AF394="",0,IFERROR(CHOOSE(CN$28,IF(ISNA(MATCH(AF394,$BQ$30:$BR$30,0)),0,1),IF(ISNUMBER(AF394),1,0),IF(AF394=TRUNC(AF394),1,0),IF(AND(AF394*1=AF394,AF394&gt;=0),1,0),IF(AND(AF394=TRUNC(AF394),AF394&gt;=0),1,0),IF(AND(AF394*1=AF394,AF394&gt;0),1,0),IF(AND(AF394=TRUNC(AF394),AF394&gt;0),1,0),1,IF(ISNA(HLOOKUP(AF394,$BT$4:$CD$4,1,0)),0,1)),0)))</f>
        <v>1</v>
      </c>
      <c r="CO394" s="149">
        <f t="shared" ref="CO394:CO457" si="432">IF(OR(AG$30="",AG$4=99),1,IF(AG394="",0,IFERROR(CHOOSE(CO$28,IF(ISNA(MATCH(AG394,$BQ$30:$BR$30,0)),0,1),IF(ISNUMBER(AG394),1,0),IF(AG394=TRUNC(AG394),1,0),IF(AND(AG394*1=AG394,AG394&gt;=0),1,0),IF(AND(AG394=TRUNC(AG394),AG394&gt;=0),1,0),IF(AND(AG394*1=AG394,AG394&gt;0),1,0),IF(AND(AG394=TRUNC(AG394),AG394&gt;0),1,0),1,IF(ISNA(HLOOKUP(AG394,$BT$4:$CD$4,1,0)),0,1)),0)))</f>
        <v>1</v>
      </c>
      <c r="CP394" s="149">
        <f t="shared" ref="CP394:CP457" si="433">IF(OR(AH$30="",AH$4=99),1,IF(AH394="",0,IFERROR(CHOOSE(CP$28,IF(ISNA(MATCH(AH394,$BQ$30:$BR$30,0)),0,1),IF(ISNUMBER(AH394),1,0),IF(AH394=TRUNC(AH394),1,0),IF(AND(AH394*1=AH394,AH394&gt;=0),1,0),IF(AND(AH394=TRUNC(AH394),AH394&gt;=0),1,0),IF(AND(AH394*1=AH394,AH394&gt;0),1,0),IF(AND(AH394=TRUNC(AH394),AH394&gt;0),1,0),1,IF(ISNA(HLOOKUP(AH394,$BT$4:$CD$4,1,0)),0,1)),0)))</f>
        <v>1</v>
      </c>
      <c r="CQ394" s="149">
        <f t="shared" ref="CQ394:CQ457" si="434">IF(OR(AI$30="",AI$4=99),1,IF(AI394="",0,IFERROR(CHOOSE(CQ$28,IF(ISNA(MATCH(AI394,$BQ$30:$BR$30,0)),0,1),IF(ISNUMBER(AI394),1,0),IF(AI394=TRUNC(AI394),1,0),IF(AND(AI394*1=AI394,AI394&gt;=0),1,0),IF(AND(AI394=TRUNC(AI394),AI394&gt;=0),1,0),IF(AND(AI394*1=AI394,AI394&gt;0),1,0),IF(AND(AI394=TRUNC(AI394),AI394&gt;0),1,0),1,IF(ISNA(HLOOKUP(AI394,$BT$4:$CD$4,1,0)),0,1)),0)))</f>
        <v>1</v>
      </c>
      <c r="CR394" s="149">
        <f t="shared" ref="CR394:CR457" si="435">IF(OR(AJ$30="",AJ$4=99),1,IF(AJ394="",0,IFERROR(CHOOSE(CR$28,IF(ISNA(MATCH(AJ394,$BQ$30:$BR$30,0)),0,1),IF(ISNUMBER(AJ394),1,0),IF(AJ394=TRUNC(AJ394),1,0),IF(AND(AJ394*1=AJ394,AJ394&gt;=0),1,0),IF(AND(AJ394=TRUNC(AJ394),AJ394&gt;=0),1,0),IF(AND(AJ394*1=AJ394,AJ394&gt;0),1,0),IF(AND(AJ394=TRUNC(AJ394),AJ394&gt;0),1,0),1,IF(ISNA(HLOOKUP(AJ394,$BT$4:$CD$4,1,0)),0,1)),0)))</f>
        <v>1</v>
      </c>
      <c r="CS394" s="149">
        <f t="shared" ref="CS394:CS457" si="436">IF(OR(AK$30="",AK$4=99),1,IF(AK394="",0,IFERROR(CHOOSE(CS$28,IF(ISNA(MATCH(AK394,$BQ$30:$BR$30,0)),0,1),IF(ISNUMBER(AK394),1,0),IF(AK394=TRUNC(AK394),1,0),IF(AND(AK394*1=AK394,AK394&gt;=0),1,0),IF(AND(AK394=TRUNC(AK394),AK394&gt;=0),1,0),IF(AND(AK394*1=AK394,AK394&gt;0),1,0),IF(AND(AK394=TRUNC(AK394),AK394&gt;0),1,0),1,IF(ISNA(HLOOKUP(AK394,$BT$4:$CD$4,1,0)),0,1)),0)))</f>
        <v>1</v>
      </c>
      <c r="CT394" s="149">
        <f t="shared" ref="CT394:CT457" si="437">IF(OR(AL$30="",AL$4=99),1,IF(AL394="",0,IFERROR(CHOOSE(CT$28,IF(ISNA(MATCH(AL394,$BQ$30:$BR$30,0)),0,1),IF(ISNUMBER(AL394),1,0),IF(AL394=TRUNC(AL394),1,0),IF(AND(AL394*1=AL394,AL394&gt;=0),1,0),IF(AND(AL394=TRUNC(AL394),AL394&gt;=0),1,0),IF(AND(AL394*1=AL394,AL394&gt;0),1,0),IF(AND(AL394=TRUNC(AL394),AL394&gt;0),1,0),1,IF(ISNA(HLOOKUP(AL394,$BT$4:$CD$4,1,0)),0,1)),0)))</f>
        <v>1</v>
      </c>
      <c r="CU394" s="149">
        <f t="shared" ref="CU394:CU457" si="438">IF(OR(AM$30="",AM$4=99),1,IF(AM394="",0,IFERROR(CHOOSE(CU$28,IF(ISNA(MATCH(AM394,$BQ$30:$BR$30,0)),0,1),IF(ISNUMBER(AM394),1,0),IF(AM394=TRUNC(AM394),1,0),IF(AND(AM394*1=AM394,AM394&gt;=0),1,0),IF(AND(AM394=TRUNC(AM394),AM394&gt;=0),1,0),IF(AND(AM394*1=AM394,AM394&gt;0),1,0),IF(AND(AM394=TRUNC(AM394),AM394&gt;0),1,0),1,IF(ISNA(HLOOKUP(AM394,$BT$4:$CD$4,1,0)),0,1)),0)))</f>
        <v>1</v>
      </c>
      <c r="CV394" s="149">
        <f t="shared" ref="CV394:CV457" si="439">IF(OR(AN$30="",AN$4=99),1,IF(AN394="",0,IFERROR(CHOOSE(CV$28,IF(ISNA(MATCH(AN394,$BQ$30:$BR$30,0)),0,1),IF(ISNUMBER(AN394),1,0),IF(AN394=TRUNC(AN394),1,0),IF(AND(AN394*1=AN394,AN394&gt;=0),1,0),IF(AND(AN394=TRUNC(AN394),AN394&gt;=0),1,0),IF(AND(AN394*1=AN394,AN394&gt;0),1,0),IF(AND(AN394=TRUNC(AN394),AN394&gt;0),1,0),1,IF(ISNA(HLOOKUP(AN394,$BT$4:$CD$4,1,0)),0,1)),0)))</f>
        <v>1</v>
      </c>
      <c r="CW394" s="149">
        <f t="shared" ref="CW394:CW457" si="440">IF(OR(AO$30="",AO$4=99),1,IF(AO394="",0,IFERROR(CHOOSE(CW$28,IF(ISNA(MATCH(AO394,$BQ$30:$BR$30,0)),0,1),IF(ISNUMBER(AO394),1,0),IF(AO394=TRUNC(AO394),1,0),IF(AND(AO394*1=AO394,AO394&gt;=0),1,0),IF(AND(AO394=TRUNC(AO394),AO394&gt;=0),1,0),IF(AND(AO394*1=AO394,AO394&gt;0),1,0),IF(AND(AO394=TRUNC(AO394),AO394&gt;0),1,0),1,IF(ISNA(HLOOKUP(AO394,$BT$4:$CD$4,1,0)),0,1)),0)))</f>
        <v>1</v>
      </c>
      <c r="CX394" s="149">
        <f t="shared" ref="CX394:CX457" si="441">IF(OR(AP$30="",AP$4=99),1,IF(AP394="",0,IFERROR(CHOOSE(CX$28,IF(ISNA(MATCH(AP394,$BQ$30:$BR$30,0)),0,1),IF(ISNUMBER(AP394),1,0),IF(AP394=TRUNC(AP394),1,0),IF(AND(AP394*1=AP394,AP394&gt;=0),1,0),IF(AND(AP394=TRUNC(AP394),AP394&gt;=0),1,0),IF(AND(AP394*1=AP394,AP394&gt;0),1,0),IF(AND(AP394=TRUNC(AP394),AP394&gt;0),1,0),1,IF(ISNA(HLOOKUP(AP394,$BT$4:$CD$4,1,0)),0,1)),0)))</f>
        <v>1</v>
      </c>
      <c r="CY394" s="149">
        <f t="shared" ref="CY394:CY457" si="442">IF(OR(AQ$30="",AQ$4=99),1,IF(AQ394="",0,IFERROR(CHOOSE(CY$28,IF(ISNA(MATCH(AQ394,$BQ$30:$BR$30,0)),0,1),IF(ISNUMBER(AQ394),1,0),IF(AQ394=TRUNC(AQ394),1,0),IF(AND(AQ394*1=AQ394,AQ394&gt;=0),1,0),IF(AND(AQ394=TRUNC(AQ394),AQ394&gt;=0),1,0),IF(AND(AQ394*1=AQ394,AQ394&gt;0),1,0),IF(AND(AQ394=TRUNC(AQ394),AQ394&gt;0),1,0),1,IF(ISNA(HLOOKUP(AQ394,$BT$4:$CD$4,1,0)),0,1)),0)))</f>
        <v>1</v>
      </c>
      <c r="CZ394" s="149">
        <f t="shared" ref="CZ394:CZ457" si="443">IF(OR(AR$30="",AR$4=99),1,IF(AR394="",0,IFERROR(CHOOSE(CZ$28,IF(ISNA(MATCH(AR394,$BQ$30:$BR$30,0)),0,1),IF(ISNUMBER(AR394),1,0),IF(AR394=TRUNC(AR394),1,0),IF(AND(AR394*1=AR394,AR394&gt;=0),1,0),IF(AND(AR394=TRUNC(AR394),AR394&gt;=0),1,0),IF(AND(AR394*1=AR394,AR394&gt;0),1,0),IF(AND(AR394=TRUNC(AR394),AR394&gt;0),1,0),1,IF(ISNA(HLOOKUP(AR394,$BT$4:$CD$4,1,0)),0,1)),0)))</f>
        <v>1</v>
      </c>
      <c r="DA394" s="149">
        <f t="shared" ref="DA394:DA457" si="444">IF(OR(AS$30="",AS$4=99),1,IF(AS394="",0,IFERROR(CHOOSE(DA$28,IF(ISNA(MATCH(AS394,$BQ$30:$BR$30,0)),0,1),IF(ISNUMBER(AS394),1,0),IF(AS394=TRUNC(AS394),1,0),IF(AND(AS394*1=AS394,AS394&gt;=0),1,0),IF(AND(AS394=TRUNC(AS394),AS394&gt;=0),1,0),IF(AND(AS394*1=AS394,AS394&gt;0),1,0),IF(AND(AS394=TRUNC(AS394),AS394&gt;0),1,0),1,IF(ISNA(HLOOKUP(AS394,$BT$4:$CD$4,1,0)),0,1)),0)))</f>
        <v>1</v>
      </c>
      <c r="DB394" s="149">
        <f t="shared" ref="DB394:DB457" si="445">IF(OR(AT$30="",AT$4=99),1,IF(AT394="",0,IFERROR(CHOOSE(DB$28,IF(ISNA(MATCH(AT394,$BQ$30:$BR$30,0)),0,1),IF(ISNUMBER(AT394),1,0),IF(AT394=TRUNC(AT394),1,0),IF(AND(AT394*1=AT394,AT394&gt;=0),1,0),IF(AND(AT394=TRUNC(AT394),AT394&gt;=0),1,0),IF(AND(AT394*1=AT394,AT394&gt;0),1,0),IF(AND(AT394=TRUNC(AT394),AT394&gt;0),1,0),1,IF(ISNA(HLOOKUP(AT394,$BT$4:$CD$4,1,0)),0,1)),0)))</f>
        <v>1</v>
      </c>
      <c r="DG394" s="125">
        <f t="shared" si="296"/>
        <v>1</v>
      </c>
      <c r="DH394" s="125">
        <f t="shared" si="404"/>
        <v>2</v>
      </c>
      <c r="DI394" s="125">
        <f t="shared" si="404"/>
        <v>3</v>
      </c>
      <c r="DJ394" s="125">
        <f t="shared" si="404"/>
        <v>4</v>
      </c>
      <c r="DK394" s="125">
        <f t="shared" si="404"/>
        <v>5</v>
      </c>
      <c r="DL394" s="125">
        <f t="shared" si="404"/>
        <v>6</v>
      </c>
      <c r="DM394" s="125">
        <f t="shared" si="404"/>
        <v>7</v>
      </c>
      <c r="DN394" s="125">
        <f t="shared" si="404"/>
        <v>8</v>
      </c>
      <c r="DO394" s="125">
        <f t="shared" si="404"/>
        <v>9</v>
      </c>
      <c r="DP394" s="125">
        <f t="shared" si="404"/>
        <v>10</v>
      </c>
      <c r="DS394" s="137"/>
      <c r="DT394" s="137"/>
      <c r="DU394" s="137"/>
      <c r="DV394" s="137" t="b">
        <f t="shared" ref="DV394:DV457" si="446">AK394&gt;=DU$5</f>
        <v>0</v>
      </c>
      <c r="DW394" s="137" t="b">
        <f t="shared" ref="DW394:DW457" si="447">AM394&gt;=DV$5</f>
        <v>0</v>
      </c>
      <c r="DX394" s="137" t="b">
        <f t="shared" ref="DX394:DX457" si="448">AP394&gt;=DW$5</f>
        <v>1</v>
      </c>
      <c r="EB394" s="131">
        <f t="shared" ref="EB394:EB457" si="449">COUNTIF(DV394:DZ394,TRUE)</f>
        <v>1</v>
      </c>
      <c r="EC394" s="137" t="b">
        <f t="shared" ref="EC394:EC457" si="450">AK394&gt;=EB$5</f>
        <v>0</v>
      </c>
      <c r="ED394" s="137" t="b">
        <f t="shared" ref="ED394:ED457" si="451">AM394&gt;=EC$5</f>
        <v>0</v>
      </c>
      <c r="EE394" s="137" t="b">
        <f t="shared" ref="EE394:EE457" si="452">AP394&gt;=ED$5</f>
        <v>1</v>
      </c>
      <c r="EF394" s="137"/>
      <c r="EG394" s="137"/>
      <c r="EH394" s="137"/>
      <c r="EI394" s="137"/>
      <c r="EJ394" s="137">
        <f t="shared" ref="EJ394:EJ457" si="453">COUNTIF(EC394:EI394,TRUE)</f>
        <v>1</v>
      </c>
      <c r="EK394" s="125">
        <f t="shared" ref="EK394:EK457" si="454">IF($G394="","",IF(EB394=$DV$3,1,0))</f>
        <v>0</v>
      </c>
      <c r="EL394" s="125">
        <f t="shared" ref="EL394:EL457" si="455">IF($G394="","",IF(AND(EJ394=$DV$3,EJ394-EB394&lt;=$EC$3),1,0))</f>
        <v>0</v>
      </c>
    </row>
    <row r="395" spans="2:142" ht="15.75" x14ac:dyDescent="0.2">
      <c r="B395" s="160">
        <f t="shared" si="405"/>
        <v>365</v>
      </c>
      <c r="C395" s="290">
        <v>1001350438</v>
      </c>
      <c r="D395" s="290">
        <v>1001264724</v>
      </c>
      <c r="E395" s="290">
        <v>40000712</v>
      </c>
      <c r="F395" s="118">
        <f>IF(OR(J395="",H395=""),"",VLOOKUP(J395,'הזנה לסיווג רשויות'!$B$2:$D$301,2,0))</f>
        <v>20000201</v>
      </c>
      <c r="G395" s="118" t="str">
        <f>IF(OR(J395="",H395=""),"",VLOOKUP(J395,'הזנה לסיווג רשויות'!$B$2:$D$301,3,0))</f>
        <v>תל אביב -יפו</v>
      </c>
      <c r="H395" s="293" t="s">
        <v>761</v>
      </c>
      <c r="I395" s="201" t="s">
        <v>392</v>
      </c>
      <c r="J395" s="293">
        <v>5000</v>
      </c>
      <c r="K395" s="161">
        <v>0</v>
      </c>
      <c r="L395" s="161">
        <v>1</v>
      </c>
      <c r="M395" s="161">
        <v>0</v>
      </c>
      <c r="N395" s="161">
        <v>1</v>
      </c>
      <c r="O395" s="161">
        <v>0</v>
      </c>
      <c r="P395" s="161">
        <v>1</v>
      </c>
      <c r="Q395" s="161">
        <v>1</v>
      </c>
      <c r="R395" s="201">
        <v>519942</v>
      </c>
      <c r="S395" s="201">
        <v>399658</v>
      </c>
      <c r="T395" s="160">
        <f>IF(G395="","",IFERROR(IF(S395/R395&gt;'פרמטרים לקריטריונים'!$C$20,1,0),0))</f>
        <v>1</v>
      </c>
      <c r="U395" s="201">
        <v>63607</v>
      </c>
      <c r="V395" s="160">
        <f>IF(G395="","",IFERROR(IF(U395/R395&gt;'פרמטרים לקריטריונים'!$C$21,1,IF(AND(I395=$BW$5,U395/R395&gt;'פרמטרים לקריטריונים'!$C$22),1,0)),0))</f>
        <v>0</v>
      </c>
      <c r="W395" s="161">
        <v>1</v>
      </c>
      <c r="X395" s="161">
        <v>1</v>
      </c>
      <c r="Y395" s="299">
        <v>200000</v>
      </c>
      <c r="Z395" s="201">
        <v>1</v>
      </c>
      <c r="AA395" s="161">
        <f t="shared" si="403"/>
        <v>1</v>
      </c>
      <c r="AB395" s="161"/>
      <c r="AC395" s="161"/>
      <c r="AD395" s="161"/>
      <c r="AE395" s="161"/>
      <c r="AF395" s="161"/>
      <c r="AG395" s="161"/>
      <c r="AH395" s="161"/>
      <c r="AI395" s="161"/>
      <c r="AJ395" s="161"/>
      <c r="AK395" s="161"/>
      <c r="AL395" s="161"/>
      <c r="AM395" s="161"/>
      <c r="AN395" s="161"/>
      <c r="AO395" s="161"/>
      <c r="AP395" s="161"/>
      <c r="AQ395" s="161"/>
      <c r="AR395" s="161"/>
      <c r="AS395" s="161"/>
      <c r="AT395" s="161"/>
      <c r="AU395" s="161"/>
      <c r="AV395" s="161"/>
      <c r="AW395" s="160"/>
      <c r="AX395" s="161"/>
      <c r="AY395" s="161"/>
      <c r="AZ395" s="161"/>
      <c r="BA395" s="161"/>
      <c r="BB395" s="161"/>
      <c r="BC395" s="161"/>
      <c r="BD395" s="161"/>
      <c r="BE395" s="161"/>
      <c r="BF395" s="160" t="str">
        <f t="shared" si="406"/>
        <v/>
      </c>
      <c r="BG395" s="160"/>
      <c r="BH395" s="160"/>
      <c r="BI395" s="160"/>
      <c r="BJ395" s="160"/>
      <c r="BK395" s="160"/>
      <c r="BL395" s="162">
        <f t="shared" si="407"/>
        <v>0</v>
      </c>
      <c r="BM395" s="257" t="s">
        <v>791</v>
      </c>
      <c r="BN395" s="163"/>
      <c r="BO395" s="211" t="str">
        <f t="shared" si="408"/>
        <v>התיאטרון הקאמרי של תל אביבספרות</v>
      </c>
      <c r="BP395" s="125">
        <f t="shared" si="409"/>
        <v>1</v>
      </c>
      <c r="BQ395" s="164">
        <v>0</v>
      </c>
      <c r="BR395" s="164">
        <v>1</v>
      </c>
      <c r="BS395" s="149">
        <f t="shared" si="410"/>
        <v>1</v>
      </c>
      <c r="BT395" s="149">
        <f t="shared" si="411"/>
        <v>1</v>
      </c>
      <c r="BU395" s="149">
        <f t="shared" si="412"/>
        <v>1</v>
      </c>
      <c r="BV395" s="149">
        <f t="shared" si="413"/>
        <v>1</v>
      </c>
      <c r="BW395" s="149">
        <f t="shared" si="414"/>
        <v>1</v>
      </c>
      <c r="BX395" s="149">
        <f t="shared" si="415"/>
        <v>1</v>
      </c>
      <c r="BY395" s="149">
        <f t="shared" si="416"/>
        <v>1</v>
      </c>
      <c r="BZ395" s="149">
        <f t="shared" si="417"/>
        <v>1</v>
      </c>
      <c r="CA395" s="149">
        <f t="shared" si="418"/>
        <v>1</v>
      </c>
      <c r="CB395" s="149">
        <f t="shared" si="419"/>
        <v>1</v>
      </c>
      <c r="CC395" s="149">
        <f t="shared" si="420"/>
        <v>1</v>
      </c>
      <c r="CD395" s="149">
        <f t="shared" si="421"/>
        <v>1</v>
      </c>
      <c r="CE395" s="149">
        <f t="shared" si="422"/>
        <v>1</v>
      </c>
      <c r="CF395" s="149">
        <f t="shared" si="423"/>
        <v>1</v>
      </c>
      <c r="CG395" s="149">
        <f t="shared" si="424"/>
        <v>1</v>
      </c>
      <c r="CH395" s="149">
        <f t="shared" si="425"/>
        <v>1</v>
      </c>
      <c r="CI395" s="149">
        <f t="shared" si="426"/>
        <v>1</v>
      </c>
      <c r="CJ395" s="149">
        <f t="shared" si="427"/>
        <v>1</v>
      </c>
      <c r="CK395" s="149">
        <f t="shared" si="428"/>
        <v>1</v>
      </c>
      <c r="CL395" s="149">
        <f t="shared" si="429"/>
        <v>1</v>
      </c>
      <c r="CM395" s="149">
        <f t="shared" si="430"/>
        <v>1</v>
      </c>
      <c r="CN395" s="149">
        <f t="shared" si="431"/>
        <v>1</v>
      </c>
      <c r="CO395" s="149">
        <f t="shared" si="432"/>
        <v>1</v>
      </c>
      <c r="CP395" s="149">
        <f t="shared" si="433"/>
        <v>1</v>
      </c>
      <c r="CQ395" s="149">
        <f t="shared" si="434"/>
        <v>1</v>
      </c>
      <c r="CR395" s="149">
        <f t="shared" si="435"/>
        <v>1</v>
      </c>
      <c r="CS395" s="149">
        <f t="shared" si="436"/>
        <v>1</v>
      </c>
      <c r="CT395" s="149">
        <f t="shared" si="437"/>
        <v>1</v>
      </c>
      <c r="CU395" s="149">
        <f t="shared" si="438"/>
        <v>1</v>
      </c>
      <c r="CV395" s="149">
        <f t="shared" si="439"/>
        <v>1</v>
      </c>
      <c r="CW395" s="149">
        <f t="shared" si="440"/>
        <v>1</v>
      </c>
      <c r="CX395" s="149">
        <f t="shared" si="441"/>
        <v>1</v>
      </c>
      <c r="CY395" s="149">
        <f t="shared" si="442"/>
        <v>1</v>
      </c>
      <c r="CZ395" s="149">
        <f t="shared" si="443"/>
        <v>1</v>
      </c>
      <c r="DA395" s="149">
        <f t="shared" si="444"/>
        <v>1</v>
      </c>
      <c r="DB395" s="149">
        <f t="shared" si="445"/>
        <v>1</v>
      </c>
      <c r="DG395" s="125">
        <f t="shared" si="296"/>
        <v>1</v>
      </c>
      <c r="DH395" s="125">
        <f t="shared" si="404"/>
        <v>2</v>
      </c>
      <c r="DI395" s="125">
        <f t="shared" si="404"/>
        <v>3</v>
      </c>
      <c r="DJ395" s="125">
        <f t="shared" si="404"/>
        <v>4</v>
      </c>
      <c r="DK395" s="125">
        <f t="shared" si="404"/>
        <v>5</v>
      </c>
      <c r="DL395" s="125">
        <f t="shared" si="404"/>
        <v>6</v>
      </c>
      <c r="DM395" s="125">
        <f t="shared" si="404"/>
        <v>7</v>
      </c>
      <c r="DN395" s="125">
        <f t="shared" si="404"/>
        <v>8</v>
      </c>
      <c r="DO395" s="125">
        <f t="shared" si="404"/>
        <v>9</v>
      </c>
      <c r="DP395" s="125">
        <f t="shared" si="404"/>
        <v>10</v>
      </c>
      <c r="DS395" s="137"/>
      <c r="DT395" s="137"/>
      <c r="DU395" s="137"/>
      <c r="DV395" s="137" t="b">
        <f t="shared" si="446"/>
        <v>0</v>
      </c>
      <c r="DW395" s="137" t="b">
        <f t="shared" si="447"/>
        <v>0</v>
      </c>
      <c r="DX395" s="137" t="b">
        <f t="shared" si="448"/>
        <v>1</v>
      </c>
      <c r="EB395" s="131">
        <f t="shared" si="449"/>
        <v>1</v>
      </c>
      <c r="EC395" s="137" t="b">
        <f t="shared" si="450"/>
        <v>0</v>
      </c>
      <c r="ED395" s="137" t="b">
        <f t="shared" si="451"/>
        <v>0</v>
      </c>
      <c r="EE395" s="137" t="b">
        <f t="shared" si="452"/>
        <v>1</v>
      </c>
      <c r="EF395" s="137"/>
      <c r="EG395" s="137"/>
      <c r="EH395" s="137"/>
      <c r="EI395" s="137"/>
      <c r="EJ395" s="137">
        <f t="shared" si="453"/>
        <v>1</v>
      </c>
      <c r="EK395" s="125">
        <f t="shared" si="454"/>
        <v>0</v>
      </c>
      <c r="EL395" s="125">
        <f t="shared" si="455"/>
        <v>0</v>
      </c>
    </row>
    <row r="396" spans="2:142" ht="15.75" x14ac:dyDescent="0.25">
      <c r="B396" s="160">
        <f t="shared" si="405"/>
        <v>366</v>
      </c>
      <c r="C396" s="283">
        <v>1001350452</v>
      </c>
      <c r="D396" s="283">
        <v>1001302119</v>
      </c>
      <c r="E396" s="281">
        <v>41484947</v>
      </c>
      <c r="F396" s="118">
        <f>IF(OR(J396="",H396=""),"",VLOOKUP(J396,'הזנה לסיווג רשויות'!$B$2:$D$301,2,0))</f>
        <v>20000033</v>
      </c>
      <c r="G396" s="118" t="str">
        <f>IF(OR(J396="",H396=""),"",VLOOKUP(J396,'הזנה לסיווג רשויות'!$B$2:$D$301,3,0))</f>
        <v>אכסאל</v>
      </c>
      <c r="H396" s="281" t="s">
        <v>1110</v>
      </c>
      <c r="I396" s="201" t="s">
        <v>374</v>
      </c>
      <c r="J396" s="205">
        <v>478</v>
      </c>
      <c r="K396" s="161">
        <v>0</v>
      </c>
      <c r="L396" s="161">
        <v>1</v>
      </c>
      <c r="M396" s="161">
        <v>0</v>
      </c>
      <c r="N396" s="161">
        <v>0</v>
      </c>
      <c r="O396" s="161">
        <v>1</v>
      </c>
      <c r="P396" s="161">
        <v>1</v>
      </c>
      <c r="Q396" s="161">
        <v>1</v>
      </c>
      <c r="R396" s="201">
        <v>33926</v>
      </c>
      <c r="S396" s="201">
        <v>9000</v>
      </c>
      <c r="T396" s="160">
        <f>IF(G396="","",IFERROR(IF(S396/R396&gt;'פרמטרים לקריטריונים'!$C$20,1,0),0))</f>
        <v>1</v>
      </c>
      <c r="U396" s="201">
        <v>9000</v>
      </c>
      <c r="V396" s="160">
        <f>IF(G396="","",IFERROR(IF(U396/R396&gt;'פרמטרים לקריטריונים'!$C$21,1,IF(AND(I396=$BW$5,U396/R396&gt;'פרמטרים לקריטריונים'!$C$22),1,0)),0))</f>
        <v>1</v>
      </c>
      <c r="W396" s="161">
        <v>1</v>
      </c>
      <c r="X396" s="161">
        <v>1</v>
      </c>
      <c r="Y396" s="201">
        <v>90000</v>
      </c>
      <c r="Z396" s="201">
        <v>50000</v>
      </c>
      <c r="AA396" s="161">
        <f t="shared" si="403"/>
        <v>1</v>
      </c>
      <c r="AB396" s="161"/>
      <c r="AC396" s="161"/>
      <c r="AD396" s="161"/>
      <c r="AE396" s="161"/>
      <c r="AF396" s="161"/>
      <c r="AG396" s="161"/>
      <c r="AH396" s="161"/>
      <c r="AI396" s="161"/>
      <c r="AJ396" s="161"/>
      <c r="AK396" s="161"/>
      <c r="AL396" s="161"/>
      <c r="AM396" s="161"/>
      <c r="AN396" s="161"/>
      <c r="AO396" s="161"/>
      <c r="AP396" s="161"/>
      <c r="AQ396" s="161"/>
      <c r="AR396" s="161"/>
      <c r="AS396" s="161"/>
      <c r="AT396" s="161"/>
      <c r="AU396" s="161"/>
      <c r="AV396" s="161"/>
      <c r="AW396" s="160"/>
      <c r="AX396" s="161"/>
      <c r="AY396" s="161"/>
      <c r="AZ396" s="161"/>
      <c r="BA396" s="161"/>
      <c r="BB396" s="161"/>
      <c r="BC396" s="161"/>
      <c r="BD396" s="161"/>
      <c r="BE396" s="161"/>
      <c r="BF396" s="160" t="str">
        <f t="shared" si="406"/>
        <v/>
      </c>
      <c r="BG396" s="160"/>
      <c r="BH396" s="160"/>
      <c r="BI396" s="160"/>
      <c r="BJ396" s="160"/>
      <c r="BK396" s="160"/>
      <c r="BL396" s="162">
        <f t="shared" si="407"/>
        <v>1</v>
      </c>
      <c r="BM396" s="257"/>
      <c r="BN396" s="163"/>
      <c r="BO396" s="211" t="str">
        <f t="shared" si="408"/>
        <v>עמותת מוג'תמענאמחול</v>
      </c>
      <c r="BP396" s="125">
        <f t="shared" si="409"/>
        <v>1</v>
      </c>
      <c r="BQ396" s="164">
        <v>0</v>
      </c>
      <c r="BR396" s="164">
        <v>1</v>
      </c>
      <c r="BS396" s="149">
        <f t="shared" si="410"/>
        <v>1</v>
      </c>
      <c r="BT396" s="149">
        <f t="shared" si="411"/>
        <v>1</v>
      </c>
      <c r="BU396" s="149">
        <f t="shared" si="412"/>
        <v>1</v>
      </c>
      <c r="BV396" s="149">
        <f t="shared" si="413"/>
        <v>1</v>
      </c>
      <c r="BW396" s="149">
        <f t="shared" si="414"/>
        <v>1</v>
      </c>
      <c r="BX396" s="149">
        <f t="shared" si="415"/>
        <v>1</v>
      </c>
      <c r="BY396" s="149">
        <f t="shared" si="416"/>
        <v>1</v>
      </c>
      <c r="BZ396" s="149">
        <f t="shared" si="417"/>
        <v>1</v>
      </c>
      <c r="CA396" s="149">
        <f t="shared" si="418"/>
        <v>1</v>
      </c>
      <c r="CB396" s="149">
        <f t="shared" si="419"/>
        <v>1</v>
      </c>
      <c r="CC396" s="149">
        <f t="shared" si="420"/>
        <v>1</v>
      </c>
      <c r="CD396" s="149">
        <f t="shared" si="421"/>
        <v>1</v>
      </c>
      <c r="CE396" s="149">
        <f t="shared" si="422"/>
        <v>1</v>
      </c>
      <c r="CF396" s="149">
        <f t="shared" si="423"/>
        <v>1</v>
      </c>
      <c r="CG396" s="149">
        <f t="shared" si="424"/>
        <v>1</v>
      </c>
      <c r="CH396" s="149">
        <f t="shared" si="425"/>
        <v>1</v>
      </c>
      <c r="CI396" s="149">
        <f t="shared" si="426"/>
        <v>1</v>
      </c>
      <c r="CJ396" s="149">
        <f t="shared" si="427"/>
        <v>1</v>
      </c>
      <c r="CK396" s="149">
        <f t="shared" si="428"/>
        <v>1</v>
      </c>
      <c r="CL396" s="149">
        <f t="shared" si="429"/>
        <v>1</v>
      </c>
      <c r="CM396" s="149">
        <f t="shared" si="430"/>
        <v>1</v>
      </c>
      <c r="CN396" s="149">
        <f t="shared" si="431"/>
        <v>1</v>
      </c>
      <c r="CO396" s="149">
        <f t="shared" si="432"/>
        <v>1</v>
      </c>
      <c r="CP396" s="149">
        <f t="shared" si="433"/>
        <v>1</v>
      </c>
      <c r="CQ396" s="149">
        <f t="shared" si="434"/>
        <v>1</v>
      </c>
      <c r="CR396" s="149">
        <f t="shared" si="435"/>
        <v>1</v>
      </c>
      <c r="CS396" s="149">
        <f t="shared" si="436"/>
        <v>1</v>
      </c>
      <c r="CT396" s="149">
        <f t="shared" si="437"/>
        <v>1</v>
      </c>
      <c r="CU396" s="149">
        <f t="shared" si="438"/>
        <v>1</v>
      </c>
      <c r="CV396" s="149">
        <f t="shared" si="439"/>
        <v>1</v>
      </c>
      <c r="CW396" s="149">
        <f t="shared" si="440"/>
        <v>1</v>
      </c>
      <c r="CX396" s="149">
        <f t="shared" si="441"/>
        <v>1</v>
      </c>
      <c r="CY396" s="149">
        <f t="shared" si="442"/>
        <v>1</v>
      </c>
      <c r="CZ396" s="149">
        <f t="shared" si="443"/>
        <v>1</v>
      </c>
      <c r="DA396" s="149">
        <f t="shared" si="444"/>
        <v>1</v>
      </c>
      <c r="DB396" s="149">
        <f t="shared" si="445"/>
        <v>1</v>
      </c>
      <c r="DG396" s="125">
        <f t="shared" si="296"/>
        <v>1</v>
      </c>
      <c r="DH396" s="125">
        <f t="shared" si="404"/>
        <v>2</v>
      </c>
      <c r="DI396" s="125">
        <f t="shared" si="404"/>
        <v>3</v>
      </c>
      <c r="DJ396" s="125">
        <f t="shared" si="404"/>
        <v>4</v>
      </c>
      <c r="DK396" s="125">
        <f t="shared" si="404"/>
        <v>5</v>
      </c>
      <c r="DL396" s="125">
        <f t="shared" si="404"/>
        <v>6</v>
      </c>
      <c r="DM396" s="125">
        <f t="shared" si="404"/>
        <v>7</v>
      </c>
      <c r="DN396" s="125">
        <f t="shared" si="404"/>
        <v>8</v>
      </c>
      <c r="DO396" s="125">
        <f t="shared" si="404"/>
        <v>9</v>
      </c>
      <c r="DP396" s="125">
        <f t="shared" si="404"/>
        <v>10</v>
      </c>
      <c r="DS396" s="137"/>
      <c r="DT396" s="137"/>
      <c r="DU396" s="137"/>
      <c r="DV396" s="137" t="b">
        <f t="shared" si="446"/>
        <v>0</v>
      </c>
      <c r="DW396" s="137" t="b">
        <f t="shared" si="447"/>
        <v>0</v>
      </c>
      <c r="DX396" s="137" t="b">
        <f t="shared" si="448"/>
        <v>1</v>
      </c>
      <c r="EB396" s="131">
        <f t="shared" si="449"/>
        <v>1</v>
      </c>
      <c r="EC396" s="137" t="b">
        <f t="shared" si="450"/>
        <v>0</v>
      </c>
      <c r="ED396" s="137" t="b">
        <f t="shared" si="451"/>
        <v>0</v>
      </c>
      <c r="EE396" s="137" t="b">
        <f t="shared" si="452"/>
        <v>1</v>
      </c>
      <c r="EF396" s="137"/>
      <c r="EG396" s="137"/>
      <c r="EH396" s="137"/>
      <c r="EI396" s="137"/>
      <c r="EJ396" s="137">
        <f t="shared" si="453"/>
        <v>1</v>
      </c>
      <c r="EK396" s="125">
        <f t="shared" si="454"/>
        <v>0</v>
      </c>
      <c r="EL396" s="125">
        <f t="shared" si="455"/>
        <v>0</v>
      </c>
    </row>
    <row r="397" spans="2:142" ht="15.75" x14ac:dyDescent="0.25">
      <c r="B397" s="160">
        <f t="shared" si="405"/>
        <v>367</v>
      </c>
      <c r="C397" s="283">
        <v>1001350453</v>
      </c>
      <c r="D397" s="283">
        <v>1001302118</v>
      </c>
      <c r="E397" s="281">
        <v>41484947</v>
      </c>
      <c r="F397" s="118">
        <f>IF(OR(J397="",H397=""),"",VLOOKUP(J397,'הזנה לסיווג רשויות'!$B$2:$D$301,2,0))</f>
        <v>20000033</v>
      </c>
      <c r="G397" s="118" t="str">
        <f>IF(OR(J397="",H397=""),"",VLOOKUP(J397,'הזנה לסיווג רשויות'!$B$2:$D$301,3,0))</f>
        <v>אכסאל</v>
      </c>
      <c r="H397" s="281" t="s">
        <v>1110</v>
      </c>
      <c r="I397" s="201" t="s">
        <v>380</v>
      </c>
      <c r="J397" s="205">
        <v>478</v>
      </c>
      <c r="K397" s="161">
        <v>0</v>
      </c>
      <c r="L397" s="161">
        <v>1</v>
      </c>
      <c r="M397" s="161">
        <v>0</v>
      </c>
      <c r="N397" s="161">
        <v>0</v>
      </c>
      <c r="O397" s="161">
        <v>1</v>
      </c>
      <c r="P397" s="161">
        <v>1</v>
      </c>
      <c r="Q397" s="161">
        <v>1</v>
      </c>
      <c r="R397" s="201">
        <v>35826</v>
      </c>
      <c r="S397" s="201">
        <v>10900</v>
      </c>
      <c r="T397" s="160">
        <f>IF(G397="","",IFERROR(IF(S397/R397&gt;'פרמטרים לקריטריונים'!$C$20,1,0),0))</f>
        <v>1</v>
      </c>
      <c r="U397" s="201">
        <v>10900</v>
      </c>
      <c r="V397" s="160">
        <f>IF(G397="","",IFERROR(IF(U397/R397&gt;'פרמטרים לקריטריונים'!$C$21,1,IF(AND(I397=$BW$5,U397/R397&gt;'פרמטרים לקריטריונים'!$C$22),1,0)),0))</f>
        <v>1</v>
      </c>
      <c r="W397" s="161">
        <v>1</v>
      </c>
      <c r="X397" s="161">
        <v>1</v>
      </c>
      <c r="Y397" s="201">
        <v>90000</v>
      </c>
      <c r="Z397" s="201">
        <v>50000</v>
      </c>
      <c r="AA397" s="161">
        <f t="shared" si="403"/>
        <v>1</v>
      </c>
      <c r="AB397" s="161"/>
      <c r="AC397" s="161"/>
      <c r="AD397" s="161"/>
      <c r="AE397" s="161"/>
      <c r="AF397" s="161"/>
      <c r="AG397" s="161"/>
      <c r="AH397" s="161"/>
      <c r="AI397" s="161"/>
      <c r="AJ397" s="161"/>
      <c r="AK397" s="161"/>
      <c r="AL397" s="161"/>
      <c r="AM397" s="161"/>
      <c r="AN397" s="161"/>
      <c r="AO397" s="161"/>
      <c r="AP397" s="161"/>
      <c r="AQ397" s="161"/>
      <c r="AR397" s="161"/>
      <c r="AS397" s="161"/>
      <c r="AT397" s="161"/>
      <c r="AU397" s="161"/>
      <c r="AV397" s="161"/>
      <c r="AW397" s="160"/>
      <c r="AX397" s="161"/>
      <c r="AY397" s="161"/>
      <c r="AZ397" s="161"/>
      <c r="BA397" s="161"/>
      <c r="BB397" s="161"/>
      <c r="BC397" s="161"/>
      <c r="BD397" s="161"/>
      <c r="BE397" s="161"/>
      <c r="BF397" s="160" t="str">
        <f t="shared" si="406"/>
        <v/>
      </c>
      <c r="BG397" s="160"/>
      <c r="BH397" s="160"/>
      <c r="BI397" s="160"/>
      <c r="BJ397" s="160"/>
      <c r="BK397" s="160"/>
      <c r="BL397" s="162">
        <f t="shared" si="407"/>
        <v>1</v>
      </c>
      <c r="BM397" s="257"/>
      <c r="BN397" s="163"/>
      <c r="BO397" s="211" t="str">
        <f t="shared" si="408"/>
        <v>עמותת מוג'תמענאקבוצות מוסיקה</v>
      </c>
      <c r="BP397" s="125">
        <f t="shared" si="409"/>
        <v>1</v>
      </c>
      <c r="BQ397" s="164">
        <v>0</v>
      </c>
      <c r="BR397" s="164">
        <v>1</v>
      </c>
      <c r="BS397" s="149">
        <f t="shared" si="410"/>
        <v>1</v>
      </c>
      <c r="BT397" s="149">
        <f t="shared" si="411"/>
        <v>1</v>
      </c>
      <c r="BU397" s="149">
        <f t="shared" si="412"/>
        <v>1</v>
      </c>
      <c r="BV397" s="149">
        <f t="shared" si="413"/>
        <v>1</v>
      </c>
      <c r="BW397" s="149">
        <f t="shared" si="414"/>
        <v>1</v>
      </c>
      <c r="BX397" s="149">
        <f t="shared" si="415"/>
        <v>1</v>
      </c>
      <c r="BY397" s="149">
        <f t="shared" si="416"/>
        <v>1</v>
      </c>
      <c r="BZ397" s="149">
        <f t="shared" si="417"/>
        <v>1</v>
      </c>
      <c r="CA397" s="149">
        <f t="shared" si="418"/>
        <v>1</v>
      </c>
      <c r="CB397" s="149">
        <f t="shared" si="419"/>
        <v>1</v>
      </c>
      <c r="CC397" s="149">
        <f t="shared" si="420"/>
        <v>1</v>
      </c>
      <c r="CD397" s="149">
        <f t="shared" si="421"/>
        <v>1</v>
      </c>
      <c r="CE397" s="149">
        <f t="shared" si="422"/>
        <v>1</v>
      </c>
      <c r="CF397" s="149">
        <f t="shared" si="423"/>
        <v>1</v>
      </c>
      <c r="CG397" s="149">
        <f t="shared" si="424"/>
        <v>1</v>
      </c>
      <c r="CH397" s="149">
        <f t="shared" si="425"/>
        <v>1</v>
      </c>
      <c r="CI397" s="149">
        <f t="shared" si="426"/>
        <v>1</v>
      </c>
      <c r="CJ397" s="149">
        <f t="shared" si="427"/>
        <v>1</v>
      </c>
      <c r="CK397" s="149">
        <f t="shared" si="428"/>
        <v>1</v>
      </c>
      <c r="CL397" s="149">
        <f t="shared" si="429"/>
        <v>1</v>
      </c>
      <c r="CM397" s="149">
        <f t="shared" si="430"/>
        <v>1</v>
      </c>
      <c r="CN397" s="149">
        <f t="shared" si="431"/>
        <v>1</v>
      </c>
      <c r="CO397" s="149">
        <f t="shared" si="432"/>
        <v>1</v>
      </c>
      <c r="CP397" s="149">
        <f t="shared" si="433"/>
        <v>1</v>
      </c>
      <c r="CQ397" s="149">
        <f t="shared" si="434"/>
        <v>1</v>
      </c>
      <c r="CR397" s="149">
        <f t="shared" si="435"/>
        <v>1</v>
      </c>
      <c r="CS397" s="149">
        <f t="shared" si="436"/>
        <v>1</v>
      </c>
      <c r="CT397" s="149">
        <f t="shared" si="437"/>
        <v>1</v>
      </c>
      <c r="CU397" s="149">
        <f t="shared" si="438"/>
        <v>1</v>
      </c>
      <c r="CV397" s="149">
        <f t="shared" si="439"/>
        <v>1</v>
      </c>
      <c r="CW397" s="149">
        <f t="shared" si="440"/>
        <v>1</v>
      </c>
      <c r="CX397" s="149">
        <f t="shared" si="441"/>
        <v>1</v>
      </c>
      <c r="CY397" s="149">
        <f t="shared" si="442"/>
        <v>1</v>
      </c>
      <c r="CZ397" s="149">
        <f t="shared" si="443"/>
        <v>1</v>
      </c>
      <c r="DA397" s="149">
        <f t="shared" si="444"/>
        <v>1</v>
      </c>
      <c r="DB397" s="149">
        <f t="shared" si="445"/>
        <v>1</v>
      </c>
      <c r="DG397" s="125">
        <f t="shared" si="296"/>
        <v>1</v>
      </c>
      <c r="DH397" s="125">
        <f t="shared" si="404"/>
        <v>2</v>
      </c>
      <c r="DI397" s="125">
        <f t="shared" si="404"/>
        <v>3</v>
      </c>
      <c r="DJ397" s="125">
        <f t="shared" si="404"/>
        <v>4</v>
      </c>
      <c r="DK397" s="125">
        <f t="shared" si="404"/>
        <v>5</v>
      </c>
      <c r="DL397" s="125">
        <f t="shared" si="404"/>
        <v>6</v>
      </c>
      <c r="DM397" s="125">
        <f t="shared" si="404"/>
        <v>7</v>
      </c>
      <c r="DN397" s="125">
        <f t="shared" si="404"/>
        <v>8</v>
      </c>
      <c r="DO397" s="125">
        <f t="shared" si="404"/>
        <v>9</v>
      </c>
      <c r="DP397" s="125">
        <f t="shared" si="404"/>
        <v>10</v>
      </c>
      <c r="DS397" s="137"/>
      <c r="DT397" s="137"/>
      <c r="DU397" s="137"/>
      <c r="DV397" s="137" t="b">
        <f t="shared" si="446"/>
        <v>0</v>
      </c>
      <c r="DW397" s="137" t="b">
        <f t="shared" si="447"/>
        <v>0</v>
      </c>
      <c r="DX397" s="137" t="b">
        <f t="shared" si="448"/>
        <v>1</v>
      </c>
      <c r="EB397" s="131">
        <f t="shared" si="449"/>
        <v>1</v>
      </c>
      <c r="EC397" s="137" t="b">
        <f t="shared" si="450"/>
        <v>0</v>
      </c>
      <c r="ED397" s="137" t="b">
        <f t="shared" si="451"/>
        <v>0</v>
      </c>
      <c r="EE397" s="137" t="b">
        <f t="shared" si="452"/>
        <v>1</v>
      </c>
      <c r="EF397" s="137"/>
      <c r="EG397" s="137"/>
      <c r="EH397" s="137"/>
      <c r="EI397" s="137"/>
      <c r="EJ397" s="137">
        <f t="shared" si="453"/>
        <v>1</v>
      </c>
      <c r="EK397" s="125">
        <f t="shared" si="454"/>
        <v>0</v>
      </c>
      <c r="EL397" s="125">
        <f t="shared" si="455"/>
        <v>0</v>
      </c>
    </row>
    <row r="398" spans="2:142" ht="15.75" x14ac:dyDescent="0.25">
      <c r="B398" s="160">
        <f t="shared" si="405"/>
        <v>368</v>
      </c>
      <c r="C398" s="283">
        <v>1001350454</v>
      </c>
      <c r="D398" s="283">
        <v>1001302117</v>
      </c>
      <c r="E398" s="281">
        <v>41484947</v>
      </c>
      <c r="F398" s="118">
        <f>IF(OR(J398="",H398=""),"",VLOOKUP(J398,'הזנה לסיווג רשויות'!$B$2:$D$301,2,0))</f>
        <v>20000033</v>
      </c>
      <c r="G398" s="118" t="str">
        <f>IF(OR(J398="",H398=""),"",VLOOKUP(J398,'הזנה לסיווג רשויות'!$B$2:$D$301,3,0))</f>
        <v>אכסאל</v>
      </c>
      <c r="H398" s="281" t="s">
        <v>1110</v>
      </c>
      <c r="I398" s="201" t="s">
        <v>383</v>
      </c>
      <c r="J398" s="205">
        <v>478</v>
      </c>
      <c r="K398" s="161">
        <v>0</v>
      </c>
      <c r="L398" s="161">
        <v>1</v>
      </c>
      <c r="M398" s="161">
        <v>0</v>
      </c>
      <c r="N398" s="161">
        <v>0</v>
      </c>
      <c r="O398" s="161">
        <v>1</v>
      </c>
      <c r="P398" s="161">
        <v>1</v>
      </c>
      <c r="Q398" s="161">
        <v>1</v>
      </c>
      <c r="R398" s="201">
        <v>39526</v>
      </c>
      <c r="S398" s="201">
        <v>14600</v>
      </c>
      <c r="T398" s="160">
        <f>IF(G398="","",IFERROR(IF(S398/R398&gt;'פרמטרים לקריטריונים'!$C$20,1,0),0))</f>
        <v>1</v>
      </c>
      <c r="U398" s="201">
        <v>14600</v>
      </c>
      <c r="V398" s="160">
        <f>IF(G398="","",IFERROR(IF(U398/R398&gt;'פרמטרים לקריטריונים'!$C$21,1,IF(AND(I398=$BW$5,U398/R398&gt;'פרמטרים לקריטריונים'!$C$22),1,0)),0))</f>
        <v>1</v>
      </c>
      <c r="W398" s="161">
        <v>1</v>
      </c>
      <c r="X398" s="161">
        <v>1</v>
      </c>
      <c r="Y398" s="201">
        <v>90000</v>
      </c>
      <c r="Z398" s="201">
        <v>50000</v>
      </c>
      <c r="AA398" s="161">
        <f t="shared" si="403"/>
        <v>1</v>
      </c>
      <c r="AB398" s="161"/>
      <c r="AC398" s="161"/>
      <c r="AD398" s="161"/>
      <c r="AE398" s="161"/>
      <c r="AF398" s="161"/>
      <c r="AG398" s="161"/>
      <c r="AH398" s="161"/>
      <c r="AI398" s="161"/>
      <c r="AJ398" s="161"/>
      <c r="AK398" s="161"/>
      <c r="AL398" s="161"/>
      <c r="AM398" s="161"/>
      <c r="AN398" s="161"/>
      <c r="AO398" s="161"/>
      <c r="AP398" s="161"/>
      <c r="AQ398" s="161"/>
      <c r="AR398" s="161"/>
      <c r="AS398" s="161"/>
      <c r="AT398" s="161"/>
      <c r="AU398" s="161"/>
      <c r="AV398" s="161"/>
      <c r="AW398" s="160"/>
      <c r="AX398" s="161"/>
      <c r="AY398" s="161"/>
      <c r="AZ398" s="161"/>
      <c r="BA398" s="161"/>
      <c r="BB398" s="161"/>
      <c r="BC398" s="161"/>
      <c r="BD398" s="161"/>
      <c r="BE398" s="161"/>
      <c r="BF398" s="160" t="str">
        <f t="shared" si="406"/>
        <v/>
      </c>
      <c r="BG398" s="160"/>
      <c r="BH398" s="160"/>
      <c r="BI398" s="160"/>
      <c r="BJ398" s="160"/>
      <c r="BK398" s="160"/>
      <c r="BL398" s="162">
        <f t="shared" si="407"/>
        <v>1</v>
      </c>
      <c r="BM398" s="257"/>
      <c r="BN398" s="163"/>
      <c r="BO398" s="211" t="str">
        <f t="shared" si="408"/>
        <v>עמותת מוג'תמענאחללי תצוגה</v>
      </c>
      <c r="BP398" s="125">
        <f t="shared" si="409"/>
        <v>1</v>
      </c>
      <c r="BQ398" s="164">
        <v>0</v>
      </c>
      <c r="BR398" s="164">
        <v>1</v>
      </c>
      <c r="BS398" s="149">
        <f t="shared" si="410"/>
        <v>1</v>
      </c>
      <c r="BT398" s="149">
        <f t="shared" si="411"/>
        <v>1</v>
      </c>
      <c r="BU398" s="149">
        <f t="shared" si="412"/>
        <v>1</v>
      </c>
      <c r="BV398" s="149">
        <f t="shared" si="413"/>
        <v>1</v>
      </c>
      <c r="BW398" s="149">
        <f t="shared" si="414"/>
        <v>1</v>
      </c>
      <c r="BX398" s="149">
        <f t="shared" si="415"/>
        <v>1</v>
      </c>
      <c r="BY398" s="149">
        <f t="shared" si="416"/>
        <v>1</v>
      </c>
      <c r="BZ398" s="149">
        <f t="shared" si="417"/>
        <v>1</v>
      </c>
      <c r="CA398" s="149">
        <f t="shared" si="418"/>
        <v>1</v>
      </c>
      <c r="CB398" s="149">
        <f t="shared" si="419"/>
        <v>1</v>
      </c>
      <c r="CC398" s="149">
        <f t="shared" si="420"/>
        <v>1</v>
      </c>
      <c r="CD398" s="149">
        <f t="shared" si="421"/>
        <v>1</v>
      </c>
      <c r="CE398" s="149">
        <f t="shared" si="422"/>
        <v>1</v>
      </c>
      <c r="CF398" s="149">
        <f t="shared" si="423"/>
        <v>1</v>
      </c>
      <c r="CG398" s="149">
        <f t="shared" si="424"/>
        <v>1</v>
      </c>
      <c r="CH398" s="149">
        <f t="shared" si="425"/>
        <v>1</v>
      </c>
      <c r="CI398" s="149">
        <f t="shared" si="426"/>
        <v>1</v>
      </c>
      <c r="CJ398" s="149">
        <f t="shared" si="427"/>
        <v>1</v>
      </c>
      <c r="CK398" s="149">
        <f t="shared" si="428"/>
        <v>1</v>
      </c>
      <c r="CL398" s="149">
        <f t="shared" si="429"/>
        <v>1</v>
      </c>
      <c r="CM398" s="149">
        <f t="shared" si="430"/>
        <v>1</v>
      </c>
      <c r="CN398" s="149">
        <f t="shared" si="431"/>
        <v>1</v>
      </c>
      <c r="CO398" s="149">
        <f t="shared" si="432"/>
        <v>1</v>
      </c>
      <c r="CP398" s="149">
        <f t="shared" si="433"/>
        <v>1</v>
      </c>
      <c r="CQ398" s="149">
        <f t="shared" si="434"/>
        <v>1</v>
      </c>
      <c r="CR398" s="149">
        <f t="shared" si="435"/>
        <v>1</v>
      </c>
      <c r="CS398" s="149">
        <f t="shared" si="436"/>
        <v>1</v>
      </c>
      <c r="CT398" s="149">
        <f t="shared" si="437"/>
        <v>1</v>
      </c>
      <c r="CU398" s="149">
        <f t="shared" si="438"/>
        <v>1</v>
      </c>
      <c r="CV398" s="149">
        <f t="shared" si="439"/>
        <v>1</v>
      </c>
      <c r="CW398" s="149">
        <f t="shared" si="440"/>
        <v>1</v>
      </c>
      <c r="CX398" s="149">
        <f t="shared" si="441"/>
        <v>1</v>
      </c>
      <c r="CY398" s="149">
        <f t="shared" si="442"/>
        <v>1</v>
      </c>
      <c r="CZ398" s="149">
        <f t="shared" si="443"/>
        <v>1</v>
      </c>
      <c r="DA398" s="149">
        <f t="shared" si="444"/>
        <v>1</v>
      </c>
      <c r="DB398" s="149">
        <f t="shared" si="445"/>
        <v>1</v>
      </c>
      <c r="DG398" s="125">
        <f t="shared" si="296"/>
        <v>1</v>
      </c>
      <c r="DH398" s="125">
        <f t="shared" si="404"/>
        <v>2</v>
      </c>
      <c r="DI398" s="125">
        <f t="shared" si="404"/>
        <v>3</v>
      </c>
      <c r="DJ398" s="125">
        <f t="shared" si="404"/>
        <v>4</v>
      </c>
      <c r="DK398" s="125">
        <f t="shared" si="404"/>
        <v>5</v>
      </c>
      <c r="DL398" s="125">
        <f t="shared" si="404"/>
        <v>6</v>
      </c>
      <c r="DM398" s="125">
        <f t="shared" si="404"/>
        <v>7</v>
      </c>
      <c r="DN398" s="125">
        <f t="shared" si="404"/>
        <v>8</v>
      </c>
      <c r="DO398" s="125">
        <f t="shared" si="404"/>
        <v>9</v>
      </c>
      <c r="DP398" s="125">
        <f t="shared" si="404"/>
        <v>10</v>
      </c>
      <c r="DS398" s="137"/>
      <c r="DT398" s="137"/>
      <c r="DU398" s="137"/>
      <c r="DV398" s="137" t="b">
        <f t="shared" si="446"/>
        <v>0</v>
      </c>
      <c r="DW398" s="137" t="b">
        <f t="shared" si="447"/>
        <v>0</v>
      </c>
      <c r="DX398" s="137" t="b">
        <f t="shared" si="448"/>
        <v>1</v>
      </c>
      <c r="EB398" s="131">
        <f t="shared" si="449"/>
        <v>1</v>
      </c>
      <c r="EC398" s="137" t="b">
        <f t="shared" si="450"/>
        <v>0</v>
      </c>
      <c r="ED398" s="137" t="b">
        <f t="shared" si="451"/>
        <v>0</v>
      </c>
      <c r="EE398" s="137" t="b">
        <f t="shared" si="452"/>
        <v>1</v>
      </c>
      <c r="EF398" s="137"/>
      <c r="EG398" s="137"/>
      <c r="EH398" s="137"/>
      <c r="EI398" s="137"/>
      <c r="EJ398" s="137">
        <f t="shared" si="453"/>
        <v>1</v>
      </c>
      <c r="EK398" s="125">
        <f t="shared" si="454"/>
        <v>0</v>
      </c>
      <c r="EL398" s="125">
        <f t="shared" si="455"/>
        <v>0</v>
      </c>
    </row>
    <row r="399" spans="2:142" ht="15.75" x14ac:dyDescent="0.25">
      <c r="B399" s="160">
        <f t="shared" si="405"/>
        <v>369</v>
      </c>
      <c r="C399" s="283">
        <v>1001346210</v>
      </c>
      <c r="D399" s="283">
        <v>1001268507</v>
      </c>
      <c r="E399" s="281">
        <v>40383495</v>
      </c>
      <c r="F399" s="118">
        <f>IF(OR(J399="",H399=""),"",VLOOKUP(J399,'הזנה לסיווג רשויות'!$B$2:$D$301,2,0))</f>
        <v>20000035</v>
      </c>
      <c r="G399" s="118" t="str">
        <f>IF(OR(J399="",H399=""),"",VLOOKUP(J399,'הזנה לסיווג רשויות'!$B$2:$D$301,3,0))</f>
        <v>מגאר</v>
      </c>
      <c r="H399" s="281" t="s">
        <v>1111</v>
      </c>
      <c r="I399" s="201" t="s">
        <v>373</v>
      </c>
      <c r="J399" s="205">
        <v>481</v>
      </c>
      <c r="K399" s="161">
        <v>0</v>
      </c>
      <c r="L399" s="161">
        <v>1</v>
      </c>
      <c r="M399" s="161">
        <v>0</v>
      </c>
      <c r="N399" s="161">
        <v>0</v>
      </c>
      <c r="O399" s="161">
        <v>1</v>
      </c>
      <c r="P399" s="161">
        <v>1</v>
      </c>
      <c r="Q399" s="161">
        <v>1</v>
      </c>
      <c r="R399" s="201">
        <v>339509</v>
      </c>
      <c r="S399" s="201">
        <v>159190</v>
      </c>
      <c r="T399" s="160">
        <f>IF(G399="","",IFERROR(IF(S399/R399&gt;'פרמטרים לקריטריונים'!$C$20,1,0),0))</f>
        <v>1</v>
      </c>
      <c r="U399" s="201">
        <v>159190</v>
      </c>
      <c r="V399" s="160">
        <f>IF(G399="","",IFERROR(IF(U399/R399&gt;'פרמטרים לקריטריונים'!$C$21,1,IF(AND(I399=$BW$5,U399/R399&gt;'פרמטרים לקריטריונים'!$C$22),1,0)),0))</f>
        <v>1</v>
      </c>
      <c r="W399" s="161">
        <v>1</v>
      </c>
      <c r="X399" s="161">
        <v>1</v>
      </c>
      <c r="Y399" s="201">
        <v>80000</v>
      </c>
      <c r="Z399" s="201">
        <v>80000</v>
      </c>
      <c r="AA399" s="161">
        <f t="shared" si="403"/>
        <v>1</v>
      </c>
      <c r="AB399" s="161"/>
      <c r="AC399" s="161"/>
      <c r="AD399" s="161"/>
      <c r="AE399" s="161"/>
      <c r="AF399" s="161"/>
      <c r="AG399" s="161"/>
      <c r="AH399" s="161"/>
      <c r="AI399" s="161"/>
      <c r="AJ399" s="161"/>
      <c r="AK399" s="161"/>
      <c r="AL399" s="161"/>
      <c r="AM399" s="161"/>
      <c r="AN399" s="161"/>
      <c r="AO399" s="161"/>
      <c r="AP399" s="161"/>
      <c r="AQ399" s="161"/>
      <c r="AR399" s="161"/>
      <c r="AS399" s="161"/>
      <c r="AT399" s="161"/>
      <c r="AU399" s="161"/>
      <c r="AV399" s="161"/>
      <c r="AW399" s="160"/>
      <c r="AX399" s="161"/>
      <c r="AY399" s="161"/>
      <c r="AZ399" s="161"/>
      <c r="BA399" s="161"/>
      <c r="BB399" s="161"/>
      <c r="BC399" s="161"/>
      <c r="BD399" s="161"/>
      <c r="BE399" s="161"/>
      <c r="BF399" s="160" t="str">
        <f t="shared" si="406"/>
        <v/>
      </c>
      <c r="BG399" s="160"/>
      <c r="BH399" s="160"/>
      <c r="BI399" s="160"/>
      <c r="BJ399" s="160"/>
      <c r="BK399" s="160"/>
      <c r="BL399" s="162">
        <f t="shared" si="407"/>
        <v>1</v>
      </c>
      <c r="BM399" s="257"/>
      <c r="BN399" s="163"/>
      <c r="BO399" s="211" t="str">
        <f t="shared" si="408"/>
        <v>מראות-עמותה לקידום התיאטרון והקרקסתיאטרון</v>
      </c>
      <c r="BP399" s="125">
        <f t="shared" si="409"/>
        <v>1</v>
      </c>
      <c r="BQ399" s="164">
        <v>0</v>
      </c>
      <c r="BR399" s="164">
        <v>1</v>
      </c>
      <c r="BS399" s="149">
        <f t="shared" si="410"/>
        <v>1</v>
      </c>
      <c r="BT399" s="149">
        <f t="shared" si="411"/>
        <v>1</v>
      </c>
      <c r="BU399" s="149">
        <f t="shared" si="412"/>
        <v>1</v>
      </c>
      <c r="BV399" s="149">
        <f t="shared" si="413"/>
        <v>1</v>
      </c>
      <c r="BW399" s="149">
        <f t="shared" si="414"/>
        <v>1</v>
      </c>
      <c r="BX399" s="149">
        <f t="shared" si="415"/>
        <v>1</v>
      </c>
      <c r="BY399" s="149">
        <f t="shared" si="416"/>
        <v>1</v>
      </c>
      <c r="BZ399" s="149">
        <f t="shared" si="417"/>
        <v>1</v>
      </c>
      <c r="CA399" s="149">
        <f t="shared" si="418"/>
        <v>1</v>
      </c>
      <c r="CB399" s="149">
        <f t="shared" si="419"/>
        <v>1</v>
      </c>
      <c r="CC399" s="149">
        <f t="shared" si="420"/>
        <v>1</v>
      </c>
      <c r="CD399" s="149">
        <f t="shared" si="421"/>
        <v>1</v>
      </c>
      <c r="CE399" s="149">
        <f t="shared" si="422"/>
        <v>1</v>
      </c>
      <c r="CF399" s="149">
        <f t="shared" si="423"/>
        <v>1</v>
      </c>
      <c r="CG399" s="149">
        <f t="shared" si="424"/>
        <v>1</v>
      </c>
      <c r="CH399" s="149">
        <f t="shared" si="425"/>
        <v>1</v>
      </c>
      <c r="CI399" s="149">
        <f t="shared" si="426"/>
        <v>1</v>
      </c>
      <c r="CJ399" s="149">
        <f t="shared" si="427"/>
        <v>1</v>
      </c>
      <c r="CK399" s="149">
        <f t="shared" si="428"/>
        <v>1</v>
      </c>
      <c r="CL399" s="149">
        <f t="shared" si="429"/>
        <v>1</v>
      </c>
      <c r="CM399" s="149">
        <f t="shared" si="430"/>
        <v>1</v>
      </c>
      <c r="CN399" s="149">
        <f t="shared" si="431"/>
        <v>1</v>
      </c>
      <c r="CO399" s="149">
        <f t="shared" si="432"/>
        <v>1</v>
      </c>
      <c r="CP399" s="149">
        <f t="shared" si="433"/>
        <v>1</v>
      </c>
      <c r="CQ399" s="149">
        <f t="shared" si="434"/>
        <v>1</v>
      </c>
      <c r="CR399" s="149">
        <f t="shared" si="435"/>
        <v>1</v>
      </c>
      <c r="CS399" s="149">
        <f t="shared" si="436"/>
        <v>1</v>
      </c>
      <c r="CT399" s="149">
        <f t="shared" si="437"/>
        <v>1</v>
      </c>
      <c r="CU399" s="149">
        <f t="shared" si="438"/>
        <v>1</v>
      </c>
      <c r="CV399" s="149">
        <f t="shared" si="439"/>
        <v>1</v>
      </c>
      <c r="CW399" s="149">
        <f t="shared" si="440"/>
        <v>1</v>
      </c>
      <c r="CX399" s="149">
        <f t="shared" si="441"/>
        <v>1</v>
      </c>
      <c r="CY399" s="149">
        <f t="shared" si="442"/>
        <v>1</v>
      </c>
      <c r="CZ399" s="149">
        <f t="shared" si="443"/>
        <v>1</v>
      </c>
      <c r="DA399" s="149">
        <f t="shared" si="444"/>
        <v>1</v>
      </c>
      <c r="DB399" s="149">
        <f t="shared" si="445"/>
        <v>1</v>
      </c>
      <c r="DG399" s="125">
        <f t="shared" si="296"/>
        <v>1</v>
      </c>
      <c r="DH399" s="125">
        <f t="shared" si="404"/>
        <v>2</v>
      </c>
      <c r="DI399" s="125">
        <f t="shared" si="404"/>
        <v>3</v>
      </c>
      <c r="DJ399" s="125">
        <f t="shared" si="404"/>
        <v>4</v>
      </c>
      <c r="DK399" s="125">
        <f t="shared" si="404"/>
        <v>5</v>
      </c>
      <c r="DL399" s="125">
        <f t="shared" si="404"/>
        <v>6</v>
      </c>
      <c r="DM399" s="125">
        <f t="shared" si="404"/>
        <v>7</v>
      </c>
      <c r="DN399" s="125">
        <f t="shared" si="404"/>
        <v>8</v>
      </c>
      <c r="DO399" s="125">
        <f t="shared" si="404"/>
        <v>9</v>
      </c>
      <c r="DP399" s="125">
        <f t="shared" si="404"/>
        <v>10</v>
      </c>
      <c r="DS399" s="137"/>
      <c r="DT399" s="137"/>
      <c r="DU399" s="137"/>
      <c r="DV399" s="137" t="b">
        <f t="shared" si="446"/>
        <v>0</v>
      </c>
      <c r="DW399" s="137" t="b">
        <f t="shared" si="447"/>
        <v>0</v>
      </c>
      <c r="DX399" s="137" t="b">
        <f t="shared" si="448"/>
        <v>1</v>
      </c>
      <c r="EB399" s="131">
        <f t="shared" si="449"/>
        <v>1</v>
      </c>
      <c r="EC399" s="137" t="b">
        <f t="shared" si="450"/>
        <v>0</v>
      </c>
      <c r="ED399" s="137" t="b">
        <f t="shared" si="451"/>
        <v>0</v>
      </c>
      <c r="EE399" s="137" t="b">
        <f t="shared" si="452"/>
        <v>1</v>
      </c>
      <c r="EF399" s="137"/>
      <c r="EG399" s="137"/>
      <c r="EH399" s="137"/>
      <c r="EI399" s="137"/>
      <c r="EJ399" s="137">
        <f t="shared" si="453"/>
        <v>1</v>
      </c>
      <c r="EK399" s="125">
        <f t="shared" si="454"/>
        <v>0</v>
      </c>
      <c r="EL399" s="125">
        <f t="shared" si="455"/>
        <v>0</v>
      </c>
    </row>
    <row r="400" spans="2:142" ht="15.75" x14ac:dyDescent="0.25">
      <c r="B400" s="160">
        <f t="shared" si="405"/>
        <v>370</v>
      </c>
      <c r="C400" s="283">
        <v>1001348860</v>
      </c>
      <c r="D400" s="283">
        <v>1001274641</v>
      </c>
      <c r="E400" s="281">
        <v>40383495</v>
      </c>
      <c r="F400" s="118">
        <f>IF(OR(J400="",H400=""),"",VLOOKUP(J400,'הזנה לסיווג רשויות'!$B$2:$D$301,2,0))</f>
        <v>20000035</v>
      </c>
      <c r="G400" s="118" t="str">
        <f>IF(OR(J400="",H400=""),"",VLOOKUP(J400,'הזנה לסיווג רשויות'!$B$2:$D$301,3,0))</f>
        <v>מגאר</v>
      </c>
      <c r="H400" s="281" t="s">
        <v>1111</v>
      </c>
      <c r="I400" s="201" t="s">
        <v>564</v>
      </c>
      <c r="J400" s="205">
        <v>481</v>
      </c>
      <c r="K400" s="161">
        <v>0</v>
      </c>
      <c r="L400" s="161">
        <v>1</v>
      </c>
      <c r="M400" s="161">
        <v>0</v>
      </c>
      <c r="N400" s="161">
        <v>0</v>
      </c>
      <c r="O400" s="161">
        <v>1</v>
      </c>
      <c r="P400" s="161">
        <v>1</v>
      </c>
      <c r="Q400" s="161">
        <v>1</v>
      </c>
      <c r="R400" s="201">
        <v>285756</v>
      </c>
      <c r="S400" s="201">
        <v>85756</v>
      </c>
      <c r="T400" s="160">
        <f>IF(G400="","",IFERROR(IF(S400/R400&gt;'פרמטרים לקריטריונים'!$C$20,1,0),0))</f>
        <v>1</v>
      </c>
      <c r="U400" s="201">
        <v>85756</v>
      </c>
      <c r="V400" s="160">
        <f>IF(G400="","",IFERROR(IF(U400/R400&gt;'פרמטרים לקריטריונים'!$C$21,1,IF(AND(I400=$BW$5,U400/R400&gt;'פרמטרים לקריטריונים'!$C$22),1,0)),0))</f>
        <v>1</v>
      </c>
      <c r="W400" s="161">
        <v>1</v>
      </c>
      <c r="X400" s="161">
        <v>1</v>
      </c>
      <c r="Y400" s="201">
        <v>80000</v>
      </c>
      <c r="Z400" s="201">
        <v>80000</v>
      </c>
      <c r="AA400" s="161">
        <f t="shared" si="403"/>
        <v>1</v>
      </c>
      <c r="AB400" s="161"/>
      <c r="AC400" s="161"/>
      <c r="AD400" s="161"/>
      <c r="AE400" s="161"/>
      <c r="AF400" s="161"/>
      <c r="AG400" s="161"/>
      <c r="AH400" s="161"/>
      <c r="AI400" s="161"/>
      <c r="AJ400" s="161"/>
      <c r="AK400" s="161"/>
      <c r="AL400" s="161"/>
      <c r="AM400" s="161"/>
      <c r="AN400" s="161"/>
      <c r="AO400" s="161"/>
      <c r="AP400" s="161"/>
      <c r="AQ400" s="161"/>
      <c r="AR400" s="161"/>
      <c r="AS400" s="161"/>
      <c r="AT400" s="161"/>
      <c r="AU400" s="161"/>
      <c r="AV400" s="161"/>
      <c r="AW400" s="160"/>
      <c r="AX400" s="161"/>
      <c r="AY400" s="161"/>
      <c r="AZ400" s="161"/>
      <c r="BA400" s="161"/>
      <c r="BB400" s="161"/>
      <c r="BC400" s="161"/>
      <c r="BD400" s="161"/>
      <c r="BE400" s="161"/>
      <c r="BF400" s="160" t="str">
        <f t="shared" si="406"/>
        <v/>
      </c>
      <c r="BG400" s="160"/>
      <c r="BH400" s="160"/>
      <c r="BI400" s="160"/>
      <c r="BJ400" s="160"/>
      <c r="BK400" s="160"/>
      <c r="BL400" s="162">
        <f t="shared" si="407"/>
        <v>1</v>
      </c>
      <c r="BM400" s="257"/>
      <c r="BN400" s="163"/>
      <c r="BO400" s="211" t="str">
        <f t="shared" si="408"/>
        <v>מראות-עמותה לקידום התיאטרון והקרקסאחר</v>
      </c>
      <c r="BP400" s="125">
        <f t="shared" si="409"/>
        <v>1</v>
      </c>
      <c r="BQ400" s="164">
        <v>0</v>
      </c>
      <c r="BR400" s="164">
        <v>1</v>
      </c>
      <c r="BS400" s="149">
        <f t="shared" si="410"/>
        <v>1</v>
      </c>
      <c r="BT400" s="149">
        <f t="shared" si="411"/>
        <v>1</v>
      </c>
      <c r="BU400" s="149">
        <f t="shared" si="412"/>
        <v>1</v>
      </c>
      <c r="BV400" s="149">
        <f t="shared" si="413"/>
        <v>1</v>
      </c>
      <c r="BW400" s="149">
        <f t="shared" si="414"/>
        <v>1</v>
      </c>
      <c r="BX400" s="149">
        <f t="shared" si="415"/>
        <v>1</v>
      </c>
      <c r="BY400" s="149">
        <f t="shared" si="416"/>
        <v>1</v>
      </c>
      <c r="BZ400" s="149">
        <f t="shared" si="417"/>
        <v>1</v>
      </c>
      <c r="CA400" s="149">
        <f t="shared" si="418"/>
        <v>1</v>
      </c>
      <c r="CB400" s="149">
        <f t="shared" si="419"/>
        <v>1</v>
      </c>
      <c r="CC400" s="149">
        <f t="shared" si="420"/>
        <v>1</v>
      </c>
      <c r="CD400" s="149">
        <f t="shared" si="421"/>
        <v>1</v>
      </c>
      <c r="CE400" s="149">
        <f t="shared" si="422"/>
        <v>1</v>
      </c>
      <c r="CF400" s="149">
        <f t="shared" si="423"/>
        <v>1</v>
      </c>
      <c r="CG400" s="149">
        <f t="shared" si="424"/>
        <v>1</v>
      </c>
      <c r="CH400" s="149">
        <f t="shared" si="425"/>
        <v>1</v>
      </c>
      <c r="CI400" s="149">
        <f t="shared" si="426"/>
        <v>1</v>
      </c>
      <c r="CJ400" s="149">
        <f t="shared" si="427"/>
        <v>1</v>
      </c>
      <c r="CK400" s="149">
        <f t="shared" si="428"/>
        <v>1</v>
      </c>
      <c r="CL400" s="149">
        <f t="shared" si="429"/>
        <v>1</v>
      </c>
      <c r="CM400" s="149">
        <f t="shared" si="430"/>
        <v>1</v>
      </c>
      <c r="CN400" s="149">
        <f t="shared" si="431"/>
        <v>1</v>
      </c>
      <c r="CO400" s="149">
        <f t="shared" si="432"/>
        <v>1</v>
      </c>
      <c r="CP400" s="149">
        <f t="shared" si="433"/>
        <v>1</v>
      </c>
      <c r="CQ400" s="149">
        <f t="shared" si="434"/>
        <v>1</v>
      </c>
      <c r="CR400" s="149">
        <f t="shared" si="435"/>
        <v>1</v>
      </c>
      <c r="CS400" s="149">
        <f t="shared" si="436"/>
        <v>1</v>
      </c>
      <c r="CT400" s="149">
        <f t="shared" si="437"/>
        <v>1</v>
      </c>
      <c r="CU400" s="149">
        <f t="shared" si="438"/>
        <v>1</v>
      </c>
      <c r="CV400" s="149">
        <f t="shared" si="439"/>
        <v>1</v>
      </c>
      <c r="CW400" s="149">
        <f t="shared" si="440"/>
        <v>1</v>
      </c>
      <c r="CX400" s="149">
        <f t="shared" si="441"/>
        <v>1</v>
      </c>
      <c r="CY400" s="149">
        <f t="shared" si="442"/>
        <v>1</v>
      </c>
      <c r="CZ400" s="149">
        <f t="shared" si="443"/>
        <v>1</v>
      </c>
      <c r="DA400" s="149">
        <f t="shared" si="444"/>
        <v>1</v>
      </c>
      <c r="DB400" s="149">
        <f t="shared" si="445"/>
        <v>1</v>
      </c>
      <c r="DG400" s="125">
        <f t="shared" si="296"/>
        <v>1</v>
      </c>
      <c r="DH400" s="125">
        <f t="shared" si="404"/>
        <v>2</v>
      </c>
      <c r="DI400" s="125">
        <f t="shared" si="404"/>
        <v>3</v>
      </c>
      <c r="DJ400" s="125">
        <f t="shared" si="404"/>
        <v>4</v>
      </c>
      <c r="DK400" s="125">
        <f t="shared" si="404"/>
        <v>5</v>
      </c>
      <c r="DL400" s="125">
        <f t="shared" si="404"/>
        <v>6</v>
      </c>
      <c r="DM400" s="125">
        <f t="shared" si="404"/>
        <v>7</v>
      </c>
      <c r="DN400" s="125">
        <f t="shared" si="404"/>
        <v>8</v>
      </c>
      <c r="DO400" s="125">
        <f t="shared" si="404"/>
        <v>9</v>
      </c>
      <c r="DP400" s="125">
        <f t="shared" si="404"/>
        <v>10</v>
      </c>
      <c r="DS400" s="137"/>
      <c r="DT400" s="137"/>
      <c r="DU400" s="137"/>
      <c r="DV400" s="137" t="b">
        <f t="shared" si="446"/>
        <v>0</v>
      </c>
      <c r="DW400" s="137" t="b">
        <f t="shared" si="447"/>
        <v>0</v>
      </c>
      <c r="DX400" s="137" t="b">
        <f t="shared" si="448"/>
        <v>1</v>
      </c>
      <c r="EB400" s="131">
        <f t="shared" si="449"/>
        <v>1</v>
      </c>
      <c r="EC400" s="137" t="b">
        <f t="shared" si="450"/>
        <v>0</v>
      </c>
      <c r="ED400" s="137" t="b">
        <f t="shared" si="451"/>
        <v>0</v>
      </c>
      <c r="EE400" s="137" t="b">
        <f t="shared" si="452"/>
        <v>1</v>
      </c>
      <c r="EF400" s="137"/>
      <c r="EG400" s="137"/>
      <c r="EH400" s="137"/>
      <c r="EI400" s="137"/>
      <c r="EJ400" s="137">
        <f t="shared" si="453"/>
        <v>1</v>
      </c>
      <c r="EK400" s="125">
        <f t="shared" si="454"/>
        <v>0</v>
      </c>
      <c r="EL400" s="125">
        <f t="shared" si="455"/>
        <v>0</v>
      </c>
    </row>
    <row r="401" spans="2:142" ht="15.75" x14ac:dyDescent="0.25">
      <c r="B401" s="160">
        <f t="shared" si="405"/>
        <v>371</v>
      </c>
      <c r="C401" s="283">
        <v>1001348861</v>
      </c>
      <c r="D401" s="283">
        <v>1001268570</v>
      </c>
      <c r="E401" s="281">
        <v>40383495</v>
      </c>
      <c r="F401" s="118">
        <f>IF(OR(J401="",H401=""),"",VLOOKUP(J401,'הזנה לסיווג רשויות'!$B$2:$D$301,2,0))</f>
        <v>20000035</v>
      </c>
      <c r="G401" s="118" t="str">
        <f>IF(OR(J401="",H401=""),"",VLOOKUP(J401,'הזנה לסיווג רשויות'!$B$2:$D$301,3,0))</f>
        <v>מגאר</v>
      </c>
      <c r="H401" s="281" t="s">
        <v>1111</v>
      </c>
      <c r="I401" s="201" t="s">
        <v>564</v>
      </c>
      <c r="J401" s="205">
        <v>481</v>
      </c>
      <c r="K401" s="161">
        <v>0</v>
      </c>
      <c r="L401" s="161">
        <v>1</v>
      </c>
      <c r="M401" s="161">
        <v>0</v>
      </c>
      <c r="N401" s="161">
        <v>0</v>
      </c>
      <c r="O401" s="161">
        <v>1</v>
      </c>
      <c r="P401" s="161">
        <v>1</v>
      </c>
      <c r="Q401" s="161">
        <v>1</v>
      </c>
      <c r="R401" s="201">
        <v>19780</v>
      </c>
      <c r="S401" s="201">
        <v>19780</v>
      </c>
      <c r="T401" s="160">
        <f>IF(G401="","",IFERROR(IF(S401/R401&gt;'פרמטרים לקריטריונים'!$C$20,1,0),0))</f>
        <v>1</v>
      </c>
      <c r="U401" s="201">
        <v>19780</v>
      </c>
      <c r="V401" s="160">
        <f>IF(G401="","",IFERROR(IF(U401/R401&gt;'פרמטרים לקריטריונים'!$C$21,1,IF(AND(I401=$BW$5,U401/R401&gt;'פרמטרים לקריטריונים'!$C$22),1,0)),0))</f>
        <v>1</v>
      </c>
      <c r="W401" s="161">
        <v>1</v>
      </c>
      <c r="X401" s="161">
        <v>1</v>
      </c>
      <c r="Y401" s="201">
        <v>50000</v>
      </c>
      <c r="Z401" s="201">
        <v>50000</v>
      </c>
      <c r="AA401" s="161">
        <f t="shared" si="403"/>
        <v>1</v>
      </c>
      <c r="AB401" s="161"/>
      <c r="AC401" s="161"/>
      <c r="AD401" s="161"/>
      <c r="AE401" s="161"/>
      <c r="AF401" s="161"/>
      <c r="AG401" s="161"/>
      <c r="AH401" s="161"/>
      <c r="AI401" s="161"/>
      <c r="AJ401" s="161"/>
      <c r="AK401" s="161"/>
      <c r="AL401" s="161"/>
      <c r="AM401" s="161"/>
      <c r="AN401" s="161"/>
      <c r="AO401" s="161"/>
      <c r="AP401" s="161"/>
      <c r="AQ401" s="161"/>
      <c r="AR401" s="161"/>
      <c r="AS401" s="161"/>
      <c r="AT401" s="161"/>
      <c r="AU401" s="161"/>
      <c r="AV401" s="161"/>
      <c r="AW401" s="160"/>
      <c r="AX401" s="161"/>
      <c r="AY401" s="161"/>
      <c r="AZ401" s="161"/>
      <c r="BA401" s="161"/>
      <c r="BB401" s="161"/>
      <c r="BC401" s="161"/>
      <c r="BD401" s="161"/>
      <c r="BE401" s="161"/>
      <c r="BF401" s="160" t="str">
        <f t="shared" si="406"/>
        <v/>
      </c>
      <c r="BG401" s="160"/>
      <c r="BH401" s="160"/>
      <c r="BI401" s="160"/>
      <c r="BJ401" s="160"/>
      <c r="BK401" s="160"/>
      <c r="BL401" s="162">
        <f t="shared" si="407"/>
        <v>1</v>
      </c>
      <c r="BM401" s="257"/>
      <c r="BN401" s="163"/>
      <c r="BO401" s="211" t="str">
        <f t="shared" si="408"/>
        <v>מראות-עמותה לקידום התיאטרון והקרקסאחר</v>
      </c>
      <c r="BP401" s="125">
        <f t="shared" si="409"/>
        <v>1</v>
      </c>
      <c r="BQ401" s="164">
        <v>0</v>
      </c>
      <c r="BR401" s="164">
        <v>1</v>
      </c>
      <c r="BS401" s="149">
        <f t="shared" si="410"/>
        <v>1</v>
      </c>
      <c r="BT401" s="149">
        <f t="shared" si="411"/>
        <v>1</v>
      </c>
      <c r="BU401" s="149">
        <f t="shared" si="412"/>
        <v>1</v>
      </c>
      <c r="BV401" s="149">
        <f t="shared" si="413"/>
        <v>1</v>
      </c>
      <c r="BW401" s="149">
        <f t="shared" si="414"/>
        <v>1</v>
      </c>
      <c r="BX401" s="149">
        <f t="shared" si="415"/>
        <v>1</v>
      </c>
      <c r="BY401" s="149">
        <f t="shared" si="416"/>
        <v>1</v>
      </c>
      <c r="BZ401" s="149">
        <f t="shared" si="417"/>
        <v>1</v>
      </c>
      <c r="CA401" s="149">
        <f t="shared" si="418"/>
        <v>1</v>
      </c>
      <c r="CB401" s="149">
        <f t="shared" si="419"/>
        <v>1</v>
      </c>
      <c r="CC401" s="149">
        <f t="shared" si="420"/>
        <v>1</v>
      </c>
      <c r="CD401" s="149">
        <f t="shared" si="421"/>
        <v>1</v>
      </c>
      <c r="CE401" s="149">
        <f t="shared" si="422"/>
        <v>1</v>
      </c>
      <c r="CF401" s="149">
        <f t="shared" si="423"/>
        <v>1</v>
      </c>
      <c r="CG401" s="149">
        <f t="shared" si="424"/>
        <v>1</v>
      </c>
      <c r="CH401" s="149">
        <f t="shared" si="425"/>
        <v>1</v>
      </c>
      <c r="CI401" s="149">
        <f t="shared" si="426"/>
        <v>1</v>
      </c>
      <c r="CJ401" s="149">
        <f t="shared" si="427"/>
        <v>1</v>
      </c>
      <c r="CK401" s="149">
        <f t="shared" si="428"/>
        <v>1</v>
      </c>
      <c r="CL401" s="149">
        <f t="shared" si="429"/>
        <v>1</v>
      </c>
      <c r="CM401" s="149">
        <f t="shared" si="430"/>
        <v>1</v>
      </c>
      <c r="CN401" s="149">
        <f t="shared" si="431"/>
        <v>1</v>
      </c>
      <c r="CO401" s="149">
        <f t="shared" si="432"/>
        <v>1</v>
      </c>
      <c r="CP401" s="149">
        <f t="shared" si="433"/>
        <v>1</v>
      </c>
      <c r="CQ401" s="149">
        <f t="shared" si="434"/>
        <v>1</v>
      </c>
      <c r="CR401" s="149">
        <f t="shared" si="435"/>
        <v>1</v>
      </c>
      <c r="CS401" s="149">
        <f t="shared" si="436"/>
        <v>1</v>
      </c>
      <c r="CT401" s="149">
        <f t="shared" si="437"/>
        <v>1</v>
      </c>
      <c r="CU401" s="149">
        <f t="shared" si="438"/>
        <v>1</v>
      </c>
      <c r="CV401" s="149">
        <f t="shared" si="439"/>
        <v>1</v>
      </c>
      <c r="CW401" s="149">
        <f t="shared" si="440"/>
        <v>1</v>
      </c>
      <c r="CX401" s="149">
        <f t="shared" si="441"/>
        <v>1</v>
      </c>
      <c r="CY401" s="149">
        <f t="shared" si="442"/>
        <v>1</v>
      </c>
      <c r="CZ401" s="149">
        <f t="shared" si="443"/>
        <v>1</v>
      </c>
      <c r="DA401" s="149">
        <f t="shared" si="444"/>
        <v>1</v>
      </c>
      <c r="DB401" s="149">
        <f t="shared" si="445"/>
        <v>1</v>
      </c>
      <c r="DG401" s="125">
        <f t="shared" si="296"/>
        <v>1</v>
      </c>
      <c r="DH401" s="125">
        <f t="shared" si="404"/>
        <v>2</v>
      </c>
      <c r="DI401" s="125">
        <f t="shared" si="404"/>
        <v>3</v>
      </c>
      <c r="DJ401" s="125">
        <f t="shared" si="404"/>
        <v>4</v>
      </c>
      <c r="DK401" s="125">
        <f t="shared" si="404"/>
        <v>5</v>
      </c>
      <c r="DL401" s="125">
        <f t="shared" si="404"/>
        <v>6</v>
      </c>
      <c r="DM401" s="125">
        <f t="shared" si="404"/>
        <v>7</v>
      </c>
      <c r="DN401" s="125">
        <f t="shared" si="404"/>
        <v>8</v>
      </c>
      <c r="DO401" s="125">
        <f t="shared" si="404"/>
        <v>9</v>
      </c>
      <c r="DP401" s="125">
        <f t="shared" si="404"/>
        <v>10</v>
      </c>
      <c r="DS401" s="137"/>
      <c r="DT401" s="137"/>
      <c r="DU401" s="137"/>
      <c r="DV401" s="137" t="b">
        <f t="shared" si="446"/>
        <v>0</v>
      </c>
      <c r="DW401" s="137" t="b">
        <f t="shared" si="447"/>
        <v>0</v>
      </c>
      <c r="DX401" s="137" t="b">
        <f t="shared" si="448"/>
        <v>1</v>
      </c>
      <c r="EB401" s="131">
        <f t="shared" si="449"/>
        <v>1</v>
      </c>
      <c r="EC401" s="137" t="b">
        <f t="shared" si="450"/>
        <v>0</v>
      </c>
      <c r="ED401" s="137" t="b">
        <f t="shared" si="451"/>
        <v>0</v>
      </c>
      <c r="EE401" s="137" t="b">
        <f t="shared" si="452"/>
        <v>1</v>
      </c>
      <c r="EF401" s="137"/>
      <c r="EG401" s="137"/>
      <c r="EH401" s="137"/>
      <c r="EI401" s="137"/>
      <c r="EJ401" s="137">
        <f t="shared" si="453"/>
        <v>1</v>
      </c>
      <c r="EK401" s="125">
        <f t="shared" si="454"/>
        <v>0</v>
      </c>
      <c r="EL401" s="125">
        <f t="shared" si="455"/>
        <v>0</v>
      </c>
    </row>
    <row r="402" spans="2:142" ht="15.75" x14ac:dyDescent="0.25">
      <c r="B402" s="160">
        <f t="shared" si="405"/>
        <v>372</v>
      </c>
      <c r="C402" s="283">
        <v>1001349542</v>
      </c>
      <c r="D402" s="283">
        <v>1001268295</v>
      </c>
      <c r="E402" s="281">
        <v>41343408</v>
      </c>
      <c r="F402" s="118">
        <f>IF(OR(J402="",H402=""),"",VLOOKUP(J402,'הזנה לסיווג רשויות'!$B$2:$D$301,2,0))</f>
        <v>20000102</v>
      </c>
      <c r="G402" s="118" t="str">
        <f>IF(OR(J402="",H402=""),"",VLOOKUP(J402,'הזנה לסיווג רשויות'!$B$2:$D$301,3,0))</f>
        <v>מעלות-תרשיחא</v>
      </c>
      <c r="H402" s="281" t="s">
        <v>1137</v>
      </c>
      <c r="I402" s="201" t="s">
        <v>564</v>
      </c>
      <c r="J402" s="205">
        <v>1063</v>
      </c>
      <c r="K402" s="161">
        <v>0</v>
      </c>
      <c r="L402" s="161">
        <v>1</v>
      </c>
      <c r="M402" s="161">
        <v>0</v>
      </c>
      <c r="N402" s="161">
        <v>0</v>
      </c>
      <c r="O402" s="161">
        <v>1</v>
      </c>
      <c r="P402" s="161">
        <v>1</v>
      </c>
      <c r="Q402" s="161">
        <v>1</v>
      </c>
      <c r="R402" s="201">
        <v>196204</v>
      </c>
      <c r="S402" s="201">
        <v>58185</v>
      </c>
      <c r="T402" s="160">
        <f>IF(G402="","",IFERROR(IF(S402/R402&gt;'פרמטרים לקריטריונים'!$C$20,1,0),0))</f>
        <v>1</v>
      </c>
      <c r="U402" s="201">
        <v>58185</v>
      </c>
      <c r="V402" s="160">
        <f>IF(G402="","",IFERROR(IF(U402/R402&gt;'פרמטרים לקריטריונים'!$C$21,1,IF(AND(I402=$BW$5,U402/R402&gt;'פרמטרים לקריטריונים'!$C$22),1,0)),0))</f>
        <v>1</v>
      </c>
      <c r="W402" s="161">
        <v>1</v>
      </c>
      <c r="X402" s="161">
        <v>1</v>
      </c>
      <c r="Y402" s="201">
        <v>120000</v>
      </c>
      <c r="Z402" s="201">
        <v>50000</v>
      </c>
      <c r="AA402" s="161">
        <f t="shared" si="403"/>
        <v>1</v>
      </c>
      <c r="AB402" s="161"/>
      <c r="AC402" s="161"/>
      <c r="AD402" s="161"/>
      <c r="AE402" s="161"/>
      <c r="AF402" s="161"/>
      <c r="AG402" s="161"/>
      <c r="AH402" s="161"/>
      <c r="AI402" s="161"/>
      <c r="AJ402" s="161"/>
      <c r="AK402" s="161"/>
      <c r="AL402" s="161"/>
      <c r="AM402" s="161"/>
      <c r="AN402" s="161"/>
      <c r="AO402" s="161"/>
      <c r="AP402" s="161"/>
      <c r="AQ402" s="161"/>
      <c r="AR402" s="161"/>
      <c r="AS402" s="161"/>
      <c r="AT402" s="161"/>
      <c r="AU402" s="161"/>
      <c r="AV402" s="161"/>
      <c r="AW402" s="160"/>
      <c r="AX402" s="161"/>
      <c r="AY402" s="161"/>
      <c r="AZ402" s="161"/>
      <c r="BA402" s="161"/>
      <c r="BB402" s="161"/>
      <c r="BC402" s="161"/>
      <c r="BD402" s="161"/>
      <c r="BE402" s="161"/>
      <c r="BF402" s="160" t="str">
        <f t="shared" si="406"/>
        <v/>
      </c>
      <c r="BG402" s="160"/>
      <c r="BH402" s="160"/>
      <c r="BI402" s="160"/>
      <c r="BJ402" s="160"/>
      <c r="BK402" s="160"/>
      <c r="BL402" s="162">
        <f t="shared" si="407"/>
        <v>1</v>
      </c>
      <c r="BM402" s="257"/>
      <c r="BN402" s="163"/>
      <c r="BO402" s="211" t="str">
        <f t="shared" si="408"/>
        <v>קול יוצראחר</v>
      </c>
      <c r="BP402" s="125">
        <f t="shared" si="409"/>
        <v>1</v>
      </c>
      <c r="BQ402" s="164">
        <v>0</v>
      </c>
      <c r="BR402" s="164">
        <v>1</v>
      </c>
      <c r="BS402" s="149">
        <f t="shared" si="410"/>
        <v>1</v>
      </c>
      <c r="BT402" s="149">
        <f t="shared" si="411"/>
        <v>1</v>
      </c>
      <c r="BU402" s="149">
        <f t="shared" si="412"/>
        <v>1</v>
      </c>
      <c r="BV402" s="149">
        <f t="shared" si="413"/>
        <v>1</v>
      </c>
      <c r="BW402" s="149">
        <f t="shared" si="414"/>
        <v>1</v>
      </c>
      <c r="BX402" s="149">
        <f t="shared" si="415"/>
        <v>1</v>
      </c>
      <c r="BY402" s="149">
        <f t="shared" si="416"/>
        <v>1</v>
      </c>
      <c r="BZ402" s="149">
        <f t="shared" si="417"/>
        <v>1</v>
      </c>
      <c r="CA402" s="149">
        <f t="shared" si="418"/>
        <v>1</v>
      </c>
      <c r="CB402" s="149">
        <f t="shared" si="419"/>
        <v>1</v>
      </c>
      <c r="CC402" s="149">
        <f t="shared" si="420"/>
        <v>1</v>
      </c>
      <c r="CD402" s="149">
        <f t="shared" si="421"/>
        <v>1</v>
      </c>
      <c r="CE402" s="149">
        <f t="shared" si="422"/>
        <v>1</v>
      </c>
      <c r="CF402" s="149">
        <f t="shared" si="423"/>
        <v>1</v>
      </c>
      <c r="CG402" s="149">
        <f t="shared" si="424"/>
        <v>1</v>
      </c>
      <c r="CH402" s="149">
        <f t="shared" si="425"/>
        <v>1</v>
      </c>
      <c r="CI402" s="149">
        <f t="shared" si="426"/>
        <v>1</v>
      </c>
      <c r="CJ402" s="149">
        <f t="shared" si="427"/>
        <v>1</v>
      </c>
      <c r="CK402" s="149">
        <f t="shared" si="428"/>
        <v>1</v>
      </c>
      <c r="CL402" s="149">
        <f t="shared" si="429"/>
        <v>1</v>
      </c>
      <c r="CM402" s="149">
        <f t="shared" si="430"/>
        <v>1</v>
      </c>
      <c r="CN402" s="149">
        <f t="shared" si="431"/>
        <v>1</v>
      </c>
      <c r="CO402" s="149">
        <f t="shared" si="432"/>
        <v>1</v>
      </c>
      <c r="CP402" s="149">
        <f t="shared" si="433"/>
        <v>1</v>
      </c>
      <c r="CQ402" s="149">
        <f t="shared" si="434"/>
        <v>1</v>
      </c>
      <c r="CR402" s="149">
        <f t="shared" si="435"/>
        <v>1</v>
      </c>
      <c r="CS402" s="149">
        <f t="shared" si="436"/>
        <v>1</v>
      </c>
      <c r="CT402" s="149">
        <f t="shared" si="437"/>
        <v>1</v>
      </c>
      <c r="CU402" s="149">
        <f t="shared" si="438"/>
        <v>1</v>
      </c>
      <c r="CV402" s="149">
        <f t="shared" si="439"/>
        <v>1</v>
      </c>
      <c r="CW402" s="149">
        <f t="shared" si="440"/>
        <v>1</v>
      </c>
      <c r="CX402" s="149">
        <f t="shared" si="441"/>
        <v>1</v>
      </c>
      <c r="CY402" s="149">
        <f t="shared" si="442"/>
        <v>1</v>
      </c>
      <c r="CZ402" s="149">
        <f t="shared" si="443"/>
        <v>1</v>
      </c>
      <c r="DA402" s="149">
        <f t="shared" si="444"/>
        <v>1</v>
      </c>
      <c r="DB402" s="149">
        <f t="shared" si="445"/>
        <v>1</v>
      </c>
      <c r="DG402" s="125">
        <f t="shared" si="296"/>
        <v>1</v>
      </c>
      <c r="DH402" s="125">
        <f t="shared" si="404"/>
        <v>2</v>
      </c>
      <c r="DI402" s="125">
        <f t="shared" si="404"/>
        <v>3</v>
      </c>
      <c r="DJ402" s="125">
        <f t="shared" si="404"/>
        <v>4</v>
      </c>
      <c r="DK402" s="125">
        <f t="shared" si="404"/>
        <v>5</v>
      </c>
      <c r="DL402" s="125">
        <f t="shared" si="404"/>
        <v>6</v>
      </c>
      <c r="DM402" s="125">
        <f t="shared" si="404"/>
        <v>7</v>
      </c>
      <c r="DN402" s="125">
        <f t="shared" si="404"/>
        <v>8</v>
      </c>
      <c r="DO402" s="125">
        <f t="shared" si="404"/>
        <v>9</v>
      </c>
      <c r="DP402" s="125">
        <f t="shared" si="404"/>
        <v>10</v>
      </c>
      <c r="DS402" s="137"/>
      <c r="DT402" s="137"/>
      <c r="DU402" s="137"/>
      <c r="DV402" s="137" t="b">
        <f t="shared" si="446"/>
        <v>0</v>
      </c>
      <c r="DW402" s="137" t="b">
        <f t="shared" si="447"/>
        <v>0</v>
      </c>
      <c r="DX402" s="137" t="b">
        <f t="shared" si="448"/>
        <v>1</v>
      </c>
      <c r="EB402" s="131">
        <f t="shared" si="449"/>
        <v>1</v>
      </c>
      <c r="EC402" s="137" t="b">
        <f t="shared" si="450"/>
        <v>0</v>
      </c>
      <c r="ED402" s="137" t="b">
        <f t="shared" si="451"/>
        <v>0</v>
      </c>
      <c r="EE402" s="137" t="b">
        <f t="shared" si="452"/>
        <v>1</v>
      </c>
      <c r="EF402" s="137"/>
      <c r="EG402" s="137"/>
      <c r="EH402" s="137"/>
      <c r="EI402" s="137"/>
      <c r="EJ402" s="137">
        <f t="shared" si="453"/>
        <v>1</v>
      </c>
      <c r="EK402" s="125">
        <f t="shared" si="454"/>
        <v>0</v>
      </c>
      <c r="EL402" s="125">
        <f t="shared" si="455"/>
        <v>0</v>
      </c>
    </row>
    <row r="403" spans="2:142" ht="15.75" x14ac:dyDescent="0.25">
      <c r="B403" s="160">
        <f t="shared" si="405"/>
        <v>373</v>
      </c>
      <c r="C403" s="283">
        <v>1001349543</v>
      </c>
      <c r="D403" s="283">
        <v>1001266976</v>
      </c>
      <c r="E403" s="281">
        <v>41343408</v>
      </c>
      <c r="F403" s="118">
        <f>IF(OR(J403="",H403=""),"",VLOOKUP(J403,'הזנה לסיווג רשויות'!$B$2:$D$301,2,0))</f>
        <v>20000102</v>
      </c>
      <c r="G403" s="118" t="str">
        <f>IF(OR(J403="",H403=""),"",VLOOKUP(J403,'הזנה לסיווג רשויות'!$B$2:$D$301,3,0))</f>
        <v>מעלות-תרשיחא</v>
      </c>
      <c r="H403" s="281" t="s">
        <v>1137</v>
      </c>
      <c r="I403" s="201" t="s">
        <v>564</v>
      </c>
      <c r="J403" s="205">
        <v>1063</v>
      </c>
      <c r="K403" s="161">
        <v>0</v>
      </c>
      <c r="L403" s="161">
        <v>1</v>
      </c>
      <c r="M403" s="161">
        <v>0</v>
      </c>
      <c r="N403" s="161">
        <v>0</v>
      </c>
      <c r="O403" s="161">
        <v>1</v>
      </c>
      <c r="P403" s="161">
        <v>1</v>
      </c>
      <c r="Q403" s="161">
        <v>1</v>
      </c>
      <c r="R403" s="201">
        <v>239385</v>
      </c>
      <c r="S403" s="201">
        <v>69947</v>
      </c>
      <c r="T403" s="160">
        <f>IF(G403="","",IFERROR(IF(S403/R403&gt;'פרמטרים לקריטריונים'!$C$20,1,0),0))</f>
        <v>1</v>
      </c>
      <c r="U403" s="201">
        <v>69947</v>
      </c>
      <c r="V403" s="160">
        <f>IF(G403="","",IFERROR(IF(U403/R403&gt;'פרמטרים לקריטריונים'!$C$21,1,IF(AND(I403=$BW$5,U403/R403&gt;'פרמטרים לקריטריונים'!$C$22),1,0)),0))</f>
        <v>1</v>
      </c>
      <c r="W403" s="161">
        <v>1</v>
      </c>
      <c r="X403" s="161">
        <v>1</v>
      </c>
      <c r="Y403" s="201">
        <v>120000</v>
      </c>
      <c r="Z403" s="201">
        <v>50000</v>
      </c>
      <c r="AA403" s="161">
        <f t="shared" si="403"/>
        <v>1</v>
      </c>
      <c r="AB403" s="161"/>
      <c r="AC403" s="161"/>
      <c r="AD403" s="161"/>
      <c r="AE403" s="161"/>
      <c r="AF403" s="161"/>
      <c r="AG403" s="161"/>
      <c r="AH403" s="161"/>
      <c r="AI403" s="161"/>
      <c r="AJ403" s="161"/>
      <c r="AK403" s="161"/>
      <c r="AL403" s="161"/>
      <c r="AM403" s="161"/>
      <c r="AN403" s="161"/>
      <c r="AO403" s="161"/>
      <c r="AP403" s="161"/>
      <c r="AQ403" s="161"/>
      <c r="AR403" s="161"/>
      <c r="AS403" s="161"/>
      <c r="AT403" s="161"/>
      <c r="AU403" s="161"/>
      <c r="AV403" s="161"/>
      <c r="AW403" s="160"/>
      <c r="AX403" s="161"/>
      <c r="AY403" s="161"/>
      <c r="AZ403" s="161"/>
      <c r="BA403" s="161"/>
      <c r="BB403" s="161"/>
      <c r="BC403" s="161"/>
      <c r="BD403" s="161"/>
      <c r="BE403" s="161"/>
      <c r="BF403" s="160" t="str">
        <f t="shared" si="406"/>
        <v/>
      </c>
      <c r="BG403" s="160"/>
      <c r="BH403" s="160"/>
      <c r="BI403" s="160"/>
      <c r="BJ403" s="160"/>
      <c r="BK403" s="160"/>
      <c r="BL403" s="162">
        <f t="shared" si="407"/>
        <v>1</v>
      </c>
      <c r="BM403" s="257"/>
      <c r="BN403" s="163"/>
      <c r="BO403" s="211" t="str">
        <f t="shared" si="408"/>
        <v>קול יוצראחר</v>
      </c>
      <c r="BP403" s="125">
        <f t="shared" si="409"/>
        <v>1</v>
      </c>
      <c r="BQ403" s="164">
        <v>0</v>
      </c>
      <c r="BR403" s="164">
        <v>1</v>
      </c>
      <c r="BS403" s="149">
        <f t="shared" si="410"/>
        <v>1</v>
      </c>
      <c r="BT403" s="149">
        <f t="shared" si="411"/>
        <v>1</v>
      </c>
      <c r="BU403" s="149">
        <f t="shared" si="412"/>
        <v>1</v>
      </c>
      <c r="BV403" s="149">
        <f t="shared" si="413"/>
        <v>1</v>
      </c>
      <c r="BW403" s="149">
        <f t="shared" si="414"/>
        <v>1</v>
      </c>
      <c r="BX403" s="149">
        <f t="shared" si="415"/>
        <v>1</v>
      </c>
      <c r="BY403" s="149">
        <f t="shared" si="416"/>
        <v>1</v>
      </c>
      <c r="BZ403" s="149">
        <f t="shared" si="417"/>
        <v>1</v>
      </c>
      <c r="CA403" s="149">
        <f t="shared" si="418"/>
        <v>1</v>
      </c>
      <c r="CB403" s="149">
        <f t="shared" si="419"/>
        <v>1</v>
      </c>
      <c r="CC403" s="149">
        <f t="shared" si="420"/>
        <v>1</v>
      </c>
      <c r="CD403" s="149">
        <f t="shared" si="421"/>
        <v>1</v>
      </c>
      <c r="CE403" s="149">
        <f t="shared" si="422"/>
        <v>1</v>
      </c>
      <c r="CF403" s="149">
        <f t="shared" si="423"/>
        <v>1</v>
      </c>
      <c r="CG403" s="149">
        <f t="shared" si="424"/>
        <v>1</v>
      </c>
      <c r="CH403" s="149">
        <f t="shared" si="425"/>
        <v>1</v>
      </c>
      <c r="CI403" s="149">
        <f t="shared" si="426"/>
        <v>1</v>
      </c>
      <c r="CJ403" s="149">
        <f t="shared" si="427"/>
        <v>1</v>
      </c>
      <c r="CK403" s="149">
        <f t="shared" si="428"/>
        <v>1</v>
      </c>
      <c r="CL403" s="149">
        <f t="shared" si="429"/>
        <v>1</v>
      </c>
      <c r="CM403" s="149">
        <f t="shared" si="430"/>
        <v>1</v>
      </c>
      <c r="CN403" s="149">
        <f t="shared" si="431"/>
        <v>1</v>
      </c>
      <c r="CO403" s="149">
        <f t="shared" si="432"/>
        <v>1</v>
      </c>
      <c r="CP403" s="149">
        <f t="shared" si="433"/>
        <v>1</v>
      </c>
      <c r="CQ403" s="149">
        <f t="shared" si="434"/>
        <v>1</v>
      </c>
      <c r="CR403" s="149">
        <f t="shared" si="435"/>
        <v>1</v>
      </c>
      <c r="CS403" s="149">
        <f t="shared" si="436"/>
        <v>1</v>
      </c>
      <c r="CT403" s="149">
        <f t="shared" si="437"/>
        <v>1</v>
      </c>
      <c r="CU403" s="149">
        <f t="shared" si="438"/>
        <v>1</v>
      </c>
      <c r="CV403" s="149">
        <f t="shared" si="439"/>
        <v>1</v>
      </c>
      <c r="CW403" s="149">
        <f t="shared" si="440"/>
        <v>1</v>
      </c>
      <c r="CX403" s="149">
        <f t="shared" si="441"/>
        <v>1</v>
      </c>
      <c r="CY403" s="149">
        <f t="shared" si="442"/>
        <v>1</v>
      </c>
      <c r="CZ403" s="149">
        <f t="shared" si="443"/>
        <v>1</v>
      </c>
      <c r="DA403" s="149">
        <f t="shared" si="444"/>
        <v>1</v>
      </c>
      <c r="DB403" s="149">
        <f t="shared" si="445"/>
        <v>1</v>
      </c>
      <c r="DG403" s="125">
        <f t="shared" si="296"/>
        <v>1</v>
      </c>
      <c r="DH403" s="125">
        <f t="shared" si="404"/>
        <v>2</v>
      </c>
      <c r="DI403" s="125">
        <f t="shared" si="404"/>
        <v>3</v>
      </c>
      <c r="DJ403" s="125">
        <f t="shared" si="404"/>
        <v>4</v>
      </c>
      <c r="DK403" s="125">
        <f t="shared" si="404"/>
        <v>5</v>
      </c>
      <c r="DL403" s="125">
        <f t="shared" si="404"/>
        <v>6</v>
      </c>
      <c r="DM403" s="125">
        <f t="shared" si="404"/>
        <v>7</v>
      </c>
      <c r="DN403" s="125">
        <f t="shared" si="404"/>
        <v>8</v>
      </c>
      <c r="DO403" s="125">
        <f t="shared" si="404"/>
        <v>9</v>
      </c>
      <c r="DP403" s="125">
        <f t="shared" si="404"/>
        <v>10</v>
      </c>
      <c r="DS403" s="137"/>
      <c r="DT403" s="137"/>
      <c r="DU403" s="137"/>
      <c r="DV403" s="137" t="b">
        <f t="shared" si="446"/>
        <v>0</v>
      </c>
      <c r="DW403" s="137" t="b">
        <f t="shared" si="447"/>
        <v>0</v>
      </c>
      <c r="DX403" s="137" t="b">
        <f t="shared" si="448"/>
        <v>1</v>
      </c>
      <c r="EB403" s="131">
        <f t="shared" si="449"/>
        <v>1</v>
      </c>
      <c r="EC403" s="137" t="b">
        <f t="shared" si="450"/>
        <v>0</v>
      </c>
      <c r="ED403" s="137" t="b">
        <f t="shared" si="451"/>
        <v>0</v>
      </c>
      <c r="EE403" s="137" t="b">
        <f t="shared" si="452"/>
        <v>1</v>
      </c>
      <c r="EF403" s="137"/>
      <c r="EG403" s="137"/>
      <c r="EH403" s="137"/>
      <c r="EI403" s="137"/>
      <c r="EJ403" s="137">
        <f t="shared" si="453"/>
        <v>1</v>
      </c>
      <c r="EK403" s="125">
        <f t="shared" si="454"/>
        <v>0</v>
      </c>
      <c r="EL403" s="125">
        <f t="shared" si="455"/>
        <v>0</v>
      </c>
    </row>
    <row r="404" spans="2:142" ht="15.75" x14ac:dyDescent="0.25">
      <c r="B404" s="160">
        <f t="shared" si="405"/>
        <v>374</v>
      </c>
      <c r="C404" s="284">
        <v>1001349835</v>
      </c>
      <c r="D404" s="284">
        <v>1001272254</v>
      </c>
      <c r="E404" s="285">
        <v>40299606</v>
      </c>
      <c r="F404" s="118">
        <f>IF(OR(J404="",H404=""),"",VLOOKUP(J404,'הזנה לסיווג רשויות'!$B$2:$D$301,2,0))</f>
        <v>20000125</v>
      </c>
      <c r="G404" s="118" t="str">
        <f>IF(OR(J404="",H404=""),"",VLOOKUP(J404,'הזנה לסיווג רשויות'!$B$2:$D$301,3,0))</f>
        <v>חצור הגלילית</v>
      </c>
      <c r="H404" s="285" t="s">
        <v>1136</v>
      </c>
      <c r="I404" s="201" t="s">
        <v>564</v>
      </c>
      <c r="J404" s="205">
        <v>2034</v>
      </c>
      <c r="K404" s="161">
        <v>0</v>
      </c>
      <c r="L404" s="161">
        <v>1</v>
      </c>
      <c r="M404" s="161">
        <v>0</v>
      </c>
      <c r="N404" s="161">
        <v>0</v>
      </c>
      <c r="O404" s="161">
        <v>1</v>
      </c>
      <c r="P404" s="161">
        <v>1</v>
      </c>
      <c r="Q404" s="161">
        <v>1</v>
      </c>
      <c r="R404" s="201">
        <v>1246200</v>
      </c>
      <c r="S404" s="201">
        <v>672289</v>
      </c>
      <c r="T404" s="160">
        <f>IF(G404="","",IFERROR(IF(S404/R404&gt;'פרמטרים לקריטריונים'!$C$20,1,0),0))</f>
        <v>1</v>
      </c>
      <c r="U404" s="201">
        <v>493275</v>
      </c>
      <c r="V404" s="160">
        <f>IF(G404="","",IFERROR(IF(U404/R404&gt;'פרמטרים לקריטריונים'!$C$21,1,IF(AND(I404=$BW$5,U404/R404&gt;'פרמטרים לקריטריונים'!$C$22),1,0)),0))</f>
        <v>1</v>
      </c>
      <c r="W404" s="161">
        <v>1</v>
      </c>
      <c r="X404" s="161">
        <v>1</v>
      </c>
      <c r="Y404" s="201">
        <v>437670</v>
      </c>
      <c r="Z404" s="201">
        <v>250000</v>
      </c>
      <c r="AA404" s="161">
        <f t="shared" si="403"/>
        <v>1</v>
      </c>
      <c r="AB404" s="161"/>
      <c r="AC404" s="161"/>
      <c r="AD404" s="161"/>
      <c r="AE404" s="161"/>
      <c r="AF404" s="161"/>
      <c r="AG404" s="161"/>
      <c r="AH404" s="161"/>
      <c r="AI404" s="161"/>
      <c r="AJ404" s="161"/>
      <c r="AK404" s="161"/>
      <c r="AL404" s="161"/>
      <c r="AM404" s="161"/>
      <c r="AN404" s="161"/>
      <c r="AO404" s="161"/>
      <c r="AP404" s="161"/>
      <c r="AQ404" s="161"/>
      <c r="AR404" s="161"/>
      <c r="AS404" s="161"/>
      <c r="AT404" s="161"/>
      <c r="AU404" s="161"/>
      <c r="AV404" s="161"/>
      <c r="AW404" s="160"/>
      <c r="AX404" s="161"/>
      <c r="AY404" s="161"/>
      <c r="AZ404" s="161"/>
      <c r="BA404" s="161"/>
      <c r="BB404" s="161"/>
      <c r="BC404" s="161"/>
      <c r="BD404" s="161"/>
      <c r="BE404" s="161"/>
      <c r="BF404" s="160" t="str">
        <f t="shared" si="406"/>
        <v/>
      </c>
      <c r="BG404" s="160"/>
      <c r="BH404" s="160"/>
      <c r="BI404" s="160"/>
      <c r="BJ404" s="160"/>
      <c r="BK404" s="160"/>
      <c r="BL404" s="162">
        <f t="shared" si="407"/>
        <v>1</v>
      </c>
      <c r="BM404" s="257"/>
      <c r="BN404" s="163"/>
      <c r="BO404" s="211" t="str">
        <f t="shared" si="408"/>
        <v>אורות הגלילאחר</v>
      </c>
      <c r="BP404" s="125">
        <f t="shared" si="409"/>
        <v>1</v>
      </c>
      <c r="BQ404" s="164">
        <v>0</v>
      </c>
      <c r="BR404" s="164">
        <v>1</v>
      </c>
      <c r="BS404" s="149">
        <f t="shared" si="410"/>
        <v>1</v>
      </c>
      <c r="BT404" s="149">
        <f t="shared" si="411"/>
        <v>1</v>
      </c>
      <c r="BU404" s="149">
        <f t="shared" si="412"/>
        <v>1</v>
      </c>
      <c r="BV404" s="149">
        <f t="shared" si="413"/>
        <v>1</v>
      </c>
      <c r="BW404" s="149">
        <f t="shared" si="414"/>
        <v>1</v>
      </c>
      <c r="BX404" s="149">
        <f t="shared" si="415"/>
        <v>1</v>
      </c>
      <c r="BY404" s="149">
        <f t="shared" si="416"/>
        <v>1</v>
      </c>
      <c r="BZ404" s="149">
        <f t="shared" si="417"/>
        <v>1</v>
      </c>
      <c r="CA404" s="149">
        <f t="shared" si="418"/>
        <v>1</v>
      </c>
      <c r="CB404" s="149">
        <f t="shared" si="419"/>
        <v>1</v>
      </c>
      <c r="CC404" s="149">
        <f t="shared" si="420"/>
        <v>1</v>
      </c>
      <c r="CD404" s="149">
        <f t="shared" si="421"/>
        <v>1</v>
      </c>
      <c r="CE404" s="149">
        <f t="shared" si="422"/>
        <v>1</v>
      </c>
      <c r="CF404" s="149">
        <f t="shared" si="423"/>
        <v>1</v>
      </c>
      <c r="CG404" s="149">
        <f t="shared" si="424"/>
        <v>1</v>
      </c>
      <c r="CH404" s="149">
        <f t="shared" si="425"/>
        <v>1</v>
      </c>
      <c r="CI404" s="149">
        <f t="shared" si="426"/>
        <v>1</v>
      </c>
      <c r="CJ404" s="149">
        <f t="shared" si="427"/>
        <v>1</v>
      </c>
      <c r="CK404" s="149">
        <f t="shared" si="428"/>
        <v>1</v>
      </c>
      <c r="CL404" s="149">
        <f t="shared" si="429"/>
        <v>1</v>
      </c>
      <c r="CM404" s="149">
        <f t="shared" si="430"/>
        <v>1</v>
      </c>
      <c r="CN404" s="149">
        <f t="shared" si="431"/>
        <v>1</v>
      </c>
      <c r="CO404" s="149">
        <f t="shared" si="432"/>
        <v>1</v>
      </c>
      <c r="CP404" s="149">
        <f t="shared" si="433"/>
        <v>1</v>
      </c>
      <c r="CQ404" s="149">
        <f t="shared" si="434"/>
        <v>1</v>
      </c>
      <c r="CR404" s="149">
        <f t="shared" si="435"/>
        <v>1</v>
      </c>
      <c r="CS404" s="149">
        <f t="shared" si="436"/>
        <v>1</v>
      </c>
      <c r="CT404" s="149">
        <f t="shared" si="437"/>
        <v>1</v>
      </c>
      <c r="CU404" s="149">
        <f t="shared" si="438"/>
        <v>1</v>
      </c>
      <c r="CV404" s="149">
        <f t="shared" si="439"/>
        <v>1</v>
      </c>
      <c r="CW404" s="149">
        <f t="shared" si="440"/>
        <v>1</v>
      </c>
      <c r="CX404" s="149">
        <f t="shared" si="441"/>
        <v>1</v>
      </c>
      <c r="CY404" s="149">
        <f t="shared" si="442"/>
        <v>1</v>
      </c>
      <c r="CZ404" s="149">
        <f t="shared" si="443"/>
        <v>1</v>
      </c>
      <c r="DA404" s="149">
        <f t="shared" si="444"/>
        <v>1</v>
      </c>
      <c r="DB404" s="149">
        <f t="shared" si="445"/>
        <v>1</v>
      </c>
      <c r="DG404" s="125">
        <f t="shared" si="296"/>
        <v>1</v>
      </c>
      <c r="DH404" s="125">
        <f t="shared" si="404"/>
        <v>2</v>
      </c>
      <c r="DI404" s="125">
        <f t="shared" si="404"/>
        <v>3</v>
      </c>
      <c r="DJ404" s="125">
        <f t="shared" si="404"/>
        <v>4</v>
      </c>
      <c r="DK404" s="125">
        <f t="shared" si="404"/>
        <v>5</v>
      </c>
      <c r="DL404" s="125">
        <f t="shared" si="404"/>
        <v>6</v>
      </c>
      <c r="DM404" s="125">
        <f t="shared" si="404"/>
        <v>7</v>
      </c>
      <c r="DN404" s="125">
        <f t="shared" si="404"/>
        <v>8</v>
      </c>
      <c r="DO404" s="125">
        <f t="shared" si="404"/>
        <v>9</v>
      </c>
      <c r="DP404" s="125">
        <f t="shared" si="404"/>
        <v>10</v>
      </c>
      <c r="DS404" s="137"/>
      <c r="DT404" s="137"/>
      <c r="DU404" s="137"/>
      <c r="DV404" s="137" t="b">
        <f t="shared" si="446"/>
        <v>0</v>
      </c>
      <c r="DW404" s="137" t="b">
        <f t="shared" si="447"/>
        <v>0</v>
      </c>
      <c r="DX404" s="137" t="b">
        <f t="shared" si="448"/>
        <v>1</v>
      </c>
      <c r="EB404" s="131">
        <f t="shared" si="449"/>
        <v>1</v>
      </c>
      <c r="EC404" s="137" t="b">
        <f t="shared" si="450"/>
        <v>0</v>
      </c>
      <c r="ED404" s="137" t="b">
        <f t="shared" si="451"/>
        <v>0</v>
      </c>
      <c r="EE404" s="137" t="b">
        <f t="shared" si="452"/>
        <v>1</v>
      </c>
      <c r="EF404" s="137"/>
      <c r="EG404" s="137"/>
      <c r="EH404" s="137"/>
      <c r="EI404" s="137"/>
      <c r="EJ404" s="137">
        <f t="shared" si="453"/>
        <v>1</v>
      </c>
      <c r="EK404" s="125">
        <f t="shared" si="454"/>
        <v>0</v>
      </c>
      <c r="EL404" s="125">
        <f t="shared" si="455"/>
        <v>0</v>
      </c>
    </row>
    <row r="405" spans="2:142" ht="15.75" x14ac:dyDescent="0.25">
      <c r="B405" s="160">
        <f t="shared" si="405"/>
        <v>375</v>
      </c>
      <c r="C405" s="283">
        <v>1001348945</v>
      </c>
      <c r="D405" s="283">
        <v>1001280733</v>
      </c>
      <c r="E405" s="281">
        <v>41349383</v>
      </c>
      <c r="F405" s="118">
        <f>IF(OR(J405="",H405=""),"",VLOOKUP(J405,'הזנה לסיווג רשויות'!$B$2:$D$301,2,0))</f>
        <v>20000231</v>
      </c>
      <c r="G405" s="118" t="str">
        <f>IF(OR(J405="",H405=""),"",VLOOKUP(J405,'הזנה לסיווג רשויות'!$B$2:$D$301,3,0))</f>
        <v>נצרת</v>
      </c>
      <c r="H405" s="285" t="s">
        <v>1138</v>
      </c>
      <c r="I405" s="201" t="s">
        <v>373</v>
      </c>
      <c r="J405" s="205">
        <v>7300</v>
      </c>
      <c r="K405" s="161">
        <v>0</v>
      </c>
      <c r="L405" s="161">
        <v>1</v>
      </c>
      <c r="M405" s="161">
        <v>0</v>
      </c>
      <c r="N405" s="161">
        <v>0</v>
      </c>
      <c r="O405" s="161">
        <v>1</v>
      </c>
      <c r="P405" s="161">
        <v>1</v>
      </c>
      <c r="Q405" s="161">
        <v>1</v>
      </c>
      <c r="R405" s="201">
        <v>280406</v>
      </c>
      <c r="S405" s="201">
        <v>160500</v>
      </c>
      <c r="T405" s="160">
        <f>IF(G405="","",IFERROR(IF(S405/R405&gt;'פרמטרים לקריטריונים'!$C$20,1,0),0))</f>
        <v>1</v>
      </c>
      <c r="U405" s="201">
        <v>70500</v>
      </c>
      <c r="V405" s="160">
        <f>IF(G405="","",IFERROR(IF(U405/R405&gt;'פרמטרים לקריטריונים'!$C$21,1,IF(AND(I405=$BW$5,U405/R405&gt;'פרמטרים לקריטריונים'!$C$22),1,0)),0))</f>
        <v>1</v>
      </c>
      <c r="W405" s="161">
        <v>1</v>
      </c>
      <c r="X405" s="161">
        <v>1</v>
      </c>
      <c r="Y405" s="201">
        <v>300000</v>
      </c>
      <c r="Z405" s="201">
        <v>180000</v>
      </c>
      <c r="AA405" s="161">
        <f t="shared" si="403"/>
        <v>1</v>
      </c>
      <c r="AB405" s="161"/>
      <c r="AC405" s="161"/>
      <c r="AD405" s="161"/>
      <c r="AE405" s="161"/>
      <c r="AF405" s="161"/>
      <c r="AG405" s="161"/>
      <c r="AH405" s="161"/>
      <c r="AI405" s="161"/>
      <c r="AJ405" s="161"/>
      <c r="AK405" s="161"/>
      <c r="AL405" s="161"/>
      <c r="AM405" s="161"/>
      <c r="AN405" s="161"/>
      <c r="AO405" s="161"/>
      <c r="AP405" s="161"/>
      <c r="AQ405" s="161"/>
      <c r="AR405" s="161"/>
      <c r="AS405" s="161"/>
      <c r="AT405" s="161"/>
      <c r="AU405" s="161"/>
      <c r="AV405" s="161"/>
      <c r="AW405" s="160"/>
      <c r="AX405" s="161"/>
      <c r="AY405" s="161"/>
      <c r="AZ405" s="161"/>
      <c r="BA405" s="161"/>
      <c r="BB405" s="161"/>
      <c r="BC405" s="161"/>
      <c r="BD405" s="161"/>
      <c r="BE405" s="161"/>
      <c r="BF405" s="160" t="str">
        <f t="shared" si="406"/>
        <v/>
      </c>
      <c r="BG405" s="160"/>
      <c r="BH405" s="160"/>
      <c r="BI405" s="160"/>
      <c r="BJ405" s="160"/>
      <c r="BK405" s="160"/>
      <c r="BL405" s="162">
        <f t="shared" si="407"/>
        <v>1</v>
      </c>
      <c r="BM405" s="257"/>
      <c r="BN405" s="163"/>
      <c r="BO405" s="211" t="str">
        <f t="shared" si="408"/>
        <v>יאללאתיאטרון</v>
      </c>
      <c r="BP405" s="125">
        <f t="shared" si="409"/>
        <v>1</v>
      </c>
      <c r="BQ405" s="164">
        <v>0</v>
      </c>
      <c r="BR405" s="164">
        <v>1</v>
      </c>
      <c r="BS405" s="149">
        <f t="shared" si="410"/>
        <v>1</v>
      </c>
      <c r="BT405" s="149">
        <f t="shared" si="411"/>
        <v>1</v>
      </c>
      <c r="BU405" s="149">
        <f t="shared" si="412"/>
        <v>1</v>
      </c>
      <c r="BV405" s="149">
        <f t="shared" si="413"/>
        <v>1</v>
      </c>
      <c r="BW405" s="149">
        <f t="shared" si="414"/>
        <v>1</v>
      </c>
      <c r="BX405" s="149">
        <f t="shared" si="415"/>
        <v>1</v>
      </c>
      <c r="BY405" s="149">
        <f t="shared" si="416"/>
        <v>1</v>
      </c>
      <c r="BZ405" s="149">
        <f t="shared" si="417"/>
        <v>1</v>
      </c>
      <c r="CA405" s="149">
        <f t="shared" si="418"/>
        <v>1</v>
      </c>
      <c r="CB405" s="149">
        <f t="shared" si="419"/>
        <v>1</v>
      </c>
      <c r="CC405" s="149">
        <f t="shared" si="420"/>
        <v>1</v>
      </c>
      <c r="CD405" s="149">
        <f t="shared" si="421"/>
        <v>1</v>
      </c>
      <c r="CE405" s="149">
        <f t="shared" si="422"/>
        <v>1</v>
      </c>
      <c r="CF405" s="149">
        <f t="shared" si="423"/>
        <v>1</v>
      </c>
      <c r="CG405" s="149">
        <f t="shared" si="424"/>
        <v>1</v>
      </c>
      <c r="CH405" s="149">
        <f t="shared" si="425"/>
        <v>1</v>
      </c>
      <c r="CI405" s="149">
        <f t="shared" si="426"/>
        <v>1</v>
      </c>
      <c r="CJ405" s="149">
        <f t="shared" si="427"/>
        <v>1</v>
      </c>
      <c r="CK405" s="149">
        <f t="shared" si="428"/>
        <v>1</v>
      </c>
      <c r="CL405" s="149">
        <f t="shared" si="429"/>
        <v>1</v>
      </c>
      <c r="CM405" s="149">
        <f t="shared" si="430"/>
        <v>1</v>
      </c>
      <c r="CN405" s="149">
        <f t="shared" si="431"/>
        <v>1</v>
      </c>
      <c r="CO405" s="149">
        <f t="shared" si="432"/>
        <v>1</v>
      </c>
      <c r="CP405" s="149">
        <f t="shared" si="433"/>
        <v>1</v>
      </c>
      <c r="CQ405" s="149">
        <f t="shared" si="434"/>
        <v>1</v>
      </c>
      <c r="CR405" s="149">
        <f t="shared" si="435"/>
        <v>1</v>
      </c>
      <c r="CS405" s="149">
        <f t="shared" si="436"/>
        <v>1</v>
      </c>
      <c r="CT405" s="149">
        <f t="shared" si="437"/>
        <v>1</v>
      </c>
      <c r="CU405" s="149">
        <f t="shared" si="438"/>
        <v>1</v>
      </c>
      <c r="CV405" s="149">
        <f t="shared" si="439"/>
        <v>1</v>
      </c>
      <c r="CW405" s="149">
        <f t="shared" si="440"/>
        <v>1</v>
      </c>
      <c r="CX405" s="149">
        <f t="shared" si="441"/>
        <v>1</v>
      </c>
      <c r="CY405" s="149">
        <f t="shared" si="442"/>
        <v>1</v>
      </c>
      <c r="CZ405" s="149">
        <f t="shared" si="443"/>
        <v>1</v>
      </c>
      <c r="DA405" s="149">
        <f t="shared" si="444"/>
        <v>1</v>
      </c>
      <c r="DB405" s="149">
        <f t="shared" si="445"/>
        <v>1</v>
      </c>
      <c r="DG405" s="125">
        <f t="shared" si="296"/>
        <v>1</v>
      </c>
      <c r="DH405" s="125">
        <f t="shared" si="404"/>
        <v>2</v>
      </c>
      <c r="DI405" s="125">
        <f t="shared" si="404"/>
        <v>3</v>
      </c>
      <c r="DJ405" s="125">
        <f t="shared" si="404"/>
        <v>4</v>
      </c>
      <c r="DK405" s="125">
        <f t="shared" si="404"/>
        <v>5</v>
      </c>
      <c r="DL405" s="125">
        <f t="shared" ref="DH405:DP433" si="456">IF($G405="","",DL$30)</f>
        <v>6</v>
      </c>
      <c r="DM405" s="125">
        <f t="shared" si="456"/>
        <v>7</v>
      </c>
      <c r="DN405" s="125">
        <f t="shared" si="456"/>
        <v>8</v>
      </c>
      <c r="DO405" s="125">
        <f t="shared" si="456"/>
        <v>9</v>
      </c>
      <c r="DP405" s="125">
        <f t="shared" si="456"/>
        <v>10</v>
      </c>
      <c r="DS405" s="137"/>
      <c r="DT405" s="137"/>
      <c r="DU405" s="137"/>
      <c r="DV405" s="137" t="b">
        <f t="shared" si="446"/>
        <v>0</v>
      </c>
      <c r="DW405" s="137" t="b">
        <f t="shared" si="447"/>
        <v>0</v>
      </c>
      <c r="DX405" s="137" t="b">
        <f t="shared" si="448"/>
        <v>1</v>
      </c>
      <c r="EB405" s="131">
        <f t="shared" si="449"/>
        <v>1</v>
      </c>
      <c r="EC405" s="137" t="b">
        <f t="shared" si="450"/>
        <v>0</v>
      </c>
      <c r="ED405" s="137" t="b">
        <f t="shared" si="451"/>
        <v>0</v>
      </c>
      <c r="EE405" s="137" t="b">
        <f t="shared" si="452"/>
        <v>1</v>
      </c>
      <c r="EF405" s="137"/>
      <c r="EG405" s="137"/>
      <c r="EH405" s="137"/>
      <c r="EI405" s="137"/>
      <c r="EJ405" s="137">
        <f t="shared" si="453"/>
        <v>1</v>
      </c>
      <c r="EK405" s="125">
        <f t="shared" si="454"/>
        <v>0</v>
      </c>
      <c r="EL405" s="125">
        <f t="shared" si="455"/>
        <v>0</v>
      </c>
    </row>
    <row r="406" spans="2:142" ht="15.75" x14ac:dyDescent="0.25">
      <c r="B406" s="160">
        <f t="shared" si="405"/>
        <v>376</v>
      </c>
      <c r="C406" s="283">
        <v>1001348078</v>
      </c>
      <c r="D406" s="283">
        <v>1001302078</v>
      </c>
      <c r="E406" s="281">
        <v>40472081</v>
      </c>
      <c r="F406" s="118">
        <f>IF(OR(J406="",H406=""),"",VLOOKUP(J406,'הזנה לסיווג רשויות'!$B$2:$D$301,2,0))</f>
        <v>20000242</v>
      </c>
      <c r="G406" s="118" t="str">
        <f>IF(OR(J406="",H406=""),"",VLOOKUP(J406,'הזנה לסיווג רשויות'!$B$2:$D$301,3,0))</f>
        <v>פרדס חנה-כרכור</v>
      </c>
      <c r="H406" s="281" t="s">
        <v>1139</v>
      </c>
      <c r="I406" s="201" t="s">
        <v>373</v>
      </c>
      <c r="J406" s="205">
        <v>7800</v>
      </c>
      <c r="K406" s="161">
        <v>0</v>
      </c>
      <c r="L406" s="161">
        <v>1</v>
      </c>
      <c r="M406" s="161">
        <v>0</v>
      </c>
      <c r="N406" s="161">
        <v>0</v>
      </c>
      <c r="O406" s="161">
        <v>1</v>
      </c>
      <c r="P406" s="161">
        <v>1</v>
      </c>
      <c r="Q406" s="161">
        <v>1</v>
      </c>
      <c r="R406" s="201">
        <v>1200599</v>
      </c>
      <c r="S406" s="201">
        <v>308713</v>
      </c>
      <c r="T406" s="160">
        <f>IF(G406="","",IFERROR(IF(S406/R406&gt;'פרמטרים לקריטריונים'!$C$20,1,0),0))</f>
        <v>1</v>
      </c>
      <c r="U406" s="201">
        <v>308713</v>
      </c>
      <c r="V406" s="160">
        <f>IF(G406="","",IFERROR(IF(U406/R406&gt;'פרמטרים לקריטריונים'!$C$21,1,IF(AND(I406=$BW$5,U406/R406&gt;'פרמטרים לקריטריונים'!$C$22),1,0)),0))</f>
        <v>1</v>
      </c>
      <c r="W406" s="161">
        <v>1</v>
      </c>
      <c r="X406" s="161">
        <v>1</v>
      </c>
      <c r="Y406" s="201">
        <v>300000</v>
      </c>
      <c r="Z406" s="201">
        <v>1</v>
      </c>
      <c r="AA406" s="161">
        <f t="shared" si="403"/>
        <v>1</v>
      </c>
      <c r="AB406" s="161"/>
      <c r="AC406" s="161"/>
      <c r="AD406" s="161"/>
      <c r="AE406" s="161"/>
      <c r="AF406" s="161"/>
      <c r="AG406" s="161"/>
      <c r="AH406" s="161"/>
      <c r="AI406" s="161"/>
      <c r="AJ406" s="161"/>
      <c r="AK406" s="161"/>
      <c r="AL406" s="161"/>
      <c r="AM406" s="161"/>
      <c r="AN406" s="161"/>
      <c r="AO406" s="161"/>
      <c r="AP406" s="161"/>
      <c r="AQ406" s="161"/>
      <c r="AR406" s="161"/>
      <c r="AS406" s="161"/>
      <c r="AT406" s="161"/>
      <c r="AU406" s="161"/>
      <c r="AV406" s="161"/>
      <c r="AW406" s="160"/>
      <c r="AX406" s="161"/>
      <c r="AY406" s="161"/>
      <c r="AZ406" s="161"/>
      <c r="BA406" s="161"/>
      <c r="BB406" s="161"/>
      <c r="BC406" s="161"/>
      <c r="BD406" s="161"/>
      <c r="BE406" s="161"/>
      <c r="BF406" s="160" t="str">
        <f t="shared" si="406"/>
        <v/>
      </c>
      <c r="BG406" s="160"/>
      <c r="BH406" s="160"/>
      <c r="BI406" s="160"/>
      <c r="BJ406" s="160"/>
      <c r="BK406" s="160"/>
      <c r="BL406" s="162">
        <f t="shared" si="407"/>
        <v>1</v>
      </c>
      <c r="BM406" s="257"/>
      <c r="BN406" s="163"/>
      <c r="BO406" s="211" t="str">
        <f t="shared" si="408"/>
        <v>הידית - מרכז ליצירה תיאטרונית אלטרנתיאטרון</v>
      </c>
      <c r="BP406" s="125">
        <f t="shared" si="409"/>
        <v>1</v>
      </c>
      <c r="BQ406" s="164">
        <v>0</v>
      </c>
      <c r="BR406" s="164">
        <v>1</v>
      </c>
      <c r="BS406" s="149">
        <f t="shared" si="410"/>
        <v>1</v>
      </c>
      <c r="BT406" s="149">
        <f t="shared" si="411"/>
        <v>1</v>
      </c>
      <c r="BU406" s="149">
        <f t="shared" si="412"/>
        <v>1</v>
      </c>
      <c r="BV406" s="149">
        <f t="shared" si="413"/>
        <v>1</v>
      </c>
      <c r="BW406" s="149">
        <f t="shared" si="414"/>
        <v>1</v>
      </c>
      <c r="BX406" s="149">
        <f t="shared" si="415"/>
        <v>1</v>
      </c>
      <c r="BY406" s="149">
        <f t="shared" si="416"/>
        <v>1</v>
      </c>
      <c r="BZ406" s="149">
        <f t="shared" si="417"/>
        <v>1</v>
      </c>
      <c r="CA406" s="149">
        <f t="shared" si="418"/>
        <v>1</v>
      </c>
      <c r="CB406" s="149">
        <f t="shared" si="419"/>
        <v>1</v>
      </c>
      <c r="CC406" s="149">
        <f t="shared" si="420"/>
        <v>1</v>
      </c>
      <c r="CD406" s="149">
        <f t="shared" si="421"/>
        <v>1</v>
      </c>
      <c r="CE406" s="149">
        <f t="shared" si="422"/>
        <v>1</v>
      </c>
      <c r="CF406" s="149">
        <f t="shared" si="423"/>
        <v>1</v>
      </c>
      <c r="CG406" s="149">
        <f t="shared" si="424"/>
        <v>1</v>
      </c>
      <c r="CH406" s="149">
        <f t="shared" si="425"/>
        <v>1</v>
      </c>
      <c r="CI406" s="149">
        <f t="shared" si="426"/>
        <v>1</v>
      </c>
      <c r="CJ406" s="149">
        <f t="shared" si="427"/>
        <v>1</v>
      </c>
      <c r="CK406" s="149">
        <f t="shared" si="428"/>
        <v>1</v>
      </c>
      <c r="CL406" s="149">
        <f t="shared" si="429"/>
        <v>1</v>
      </c>
      <c r="CM406" s="149">
        <f t="shared" si="430"/>
        <v>1</v>
      </c>
      <c r="CN406" s="149">
        <f t="shared" si="431"/>
        <v>1</v>
      </c>
      <c r="CO406" s="149">
        <f t="shared" si="432"/>
        <v>1</v>
      </c>
      <c r="CP406" s="149">
        <f t="shared" si="433"/>
        <v>1</v>
      </c>
      <c r="CQ406" s="149">
        <f t="shared" si="434"/>
        <v>1</v>
      </c>
      <c r="CR406" s="149">
        <f t="shared" si="435"/>
        <v>1</v>
      </c>
      <c r="CS406" s="149">
        <f t="shared" si="436"/>
        <v>1</v>
      </c>
      <c r="CT406" s="149">
        <f t="shared" si="437"/>
        <v>1</v>
      </c>
      <c r="CU406" s="149">
        <f t="shared" si="438"/>
        <v>1</v>
      </c>
      <c r="CV406" s="149">
        <f t="shared" si="439"/>
        <v>1</v>
      </c>
      <c r="CW406" s="149">
        <f t="shared" si="440"/>
        <v>1</v>
      </c>
      <c r="CX406" s="149">
        <f t="shared" si="441"/>
        <v>1</v>
      </c>
      <c r="CY406" s="149">
        <f t="shared" si="442"/>
        <v>1</v>
      </c>
      <c r="CZ406" s="149">
        <f t="shared" si="443"/>
        <v>1</v>
      </c>
      <c r="DA406" s="149">
        <f t="shared" si="444"/>
        <v>1</v>
      </c>
      <c r="DB406" s="149">
        <f t="shared" si="445"/>
        <v>1</v>
      </c>
      <c r="DG406" s="125">
        <f t="shared" si="296"/>
        <v>1</v>
      </c>
      <c r="DH406" s="125">
        <f t="shared" si="456"/>
        <v>2</v>
      </c>
      <c r="DI406" s="125">
        <f t="shared" si="456"/>
        <v>3</v>
      </c>
      <c r="DJ406" s="125">
        <f t="shared" si="456"/>
        <v>4</v>
      </c>
      <c r="DK406" s="125">
        <f t="shared" si="456"/>
        <v>5</v>
      </c>
      <c r="DL406" s="125">
        <f t="shared" si="456"/>
        <v>6</v>
      </c>
      <c r="DM406" s="125">
        <f t="shared" si="456"/>
        <v>7</v>
      </c>
      <c r="DN406" s="125">
        <f t="shared" si="456"/>
        <v>8</v>
      </c>
      <c r="DO406" s="125">
        <f t="shared" si="456"/>
        <v>9</v>
      </c>
      <c r="DP406" s="125">
        <f t="shared" si="456"/>
        <v>10</v>
      </c>
      <c r="DS406" s="137"/>
      <c r="DT406" s="137"/>
      <c r="DU406" s="137"/>
      <c r="DV406" s="137" t="b">
        <f t="shared" si="446"/>
        <v>0</v>
      </c>
      <c r="DW406" s="137" t="b">
        <f t="shared" si="447"/>
        <v>0</v>
      </c>
      <c r="DX406" s="137" t="b">
        <f t="shared" si="448"/>
        <v>1</v>
      </c>
      <c r="EB406" s="131">
        <f t="shared" si="449"/>
        <v>1</v>
      </c>
      <c r="EC406" s="137" t="b">
        <f t="shared" si="450"/>
        <v>0</v>
      </c>
      <c r="ED406" s="137" t="b">
        <f t="shared" si="451"/>
        <v>0</v>
      </c>
      <c r="EE406" s="137" t="b">
        <f t="shared" si="452"/>
        <v>1</v>
      </c>
      <c r="EF406" s="137"/>
      <c r="EG406" s="137"/>
      <c r="EH406" s="137"/>
      <c r="EI406" s="137"/>
      <c r="EJ406" s="137">
        <f t="shared" si="453"/>
        <v>1</v>
      </c>
      <c r="EK406" s="125">
        <f t="shared" si="454"/>
        <v>0</v>
      </c>
      <c r="EL406" s="125">
        <f t="shared" si="455"/>
        <v>0</v>
      </c>
    </row>
    <row r="407" spans="2:142" ht="15.75" x14ac:dyDescent="0.25">
      <c r="B407" s="160">
        <f t="shared" si="405"/>
        <v>377</v>
      </c>
      <c r="C407" s="283">
        <v>1001350994</v>
      </c>
      <c r="D407" s="283">
        <v>1001268790</v>
      </c>
      <c r="E407" s="281">
        <v>40000023</v>
      </c>
      <c r="F407" s="118">
        <f>IF(OR(J407="",H407=""),"",VLOOKUP(J407,'הזנה לסיווג רשויות'!$B$2:$D$301,2,0))</f>
        <v>20000201</v>
      </c>
      <c r="G407" s="118" t="str">
        <f>IF(OR(J407="",H407=""),"",VLOOKUP(J407,'הזנה לסיווג רשויות'!$B$2:$D$301,3,0))</f>
        <v>תל אביב -יפו</v>
      </c>
      <c r="H407" s="281" t="s">
        <v>1140</v>
      </c>
      <c r="I407" s="201" t="s">
        <v>375</v>
      </c>
      <c r="J407" s="205">
        <v>5000</v>
      </c>
      <c r="K407" s="161">
        <v>0</v>
      </c>
      <c r="L407" s="161">
        <v>1</v>
      </c>
      <c r="M407" s="161">
        <v>0</v>
      </c>
      <c r="N407" s="161">
        <v>1</v>
      </c>
      <c r="O407" s="161">
        <v>1</v>
      </c>
      <c r="P407" s="161">
        <v>1</v>
      </c>
      <c r="Q407" s="161">
        <v>1</v>
      </c>
      <c r="R407" s="201">
        <v>1721357</v>
      </c>
      <c r="S407" s="201">
        <v>860369</v>
      </c>
      <c r="T407" s="160">
        <f>IF(G407="","",IFERROR(IF(S407/R407&gt;'פרמטרים לקריטריונים'!$C$20,1,0),0))</f>
        <v>1</v>
      </c>
      <c r="U407" s="201">
        <v>284366</v>
      </c>
      <c r="V407" s="160">
        <f>IF(G407="","",IFERROR(IF(U407/R407&gt;'פרמטרים לקריטריונים'!$C$21,1,IF(AND(I407=$BW$5,U407/R407&gt;'פרמטרים לקריטריונים'!$C$22),1,0)),0))</f>
        <v>1</v>
      </c>
      <c r="W407" s="161">
        <v>1</v>
      </c>
      <c r="X407" s="161">
        <v>1</v>
      </c>
      <c r="Y407" s="201">
        <v>400000</v>
      </c>
      <c r="Z407" s="201">
        <v>400000</v>
      </c>
      <c r="AA407" s="161">
        <f t="shared" si="403"/>
        <v>1</v>
      </c>
      <c r="AB407" s="161"/>
      <c r="AC407" s="161"/>
      <c r="AD407" s="161"/>
      <c r="AE407" s="161"/>
      <c r="AF407" s="161"/>
      <c r="AG407" s="161"/>
      <c r="AH407" s="161"/>
      <c r="AI407" s="161"/>
      <c r="AJ407" s="161"/>
      <c r="AK407" s="161"/>
      <c r="AL407" s="161"/>
      <c r="AM407" s="161"/>
      <c r="AN407" s="161"/>
      <c r="AO407" s="161"/>
      <c r="AP407" s="161"/>
      <c r="AQ407" s="161"/>
      <c r="AR407" s="161"/>
      <c r="AS407" s="161"/>
      <c r="AT407" s="161"/>
      <c r="AU407" s="161"/>
      <c r="AV407" s="161"/>
      <c r="AW407" s="160"/>
      <c r="AX407" s="161"/>
      <c r="AY407" s="161"/>
      <c r="AZ407" s="161"/>
      <c r="BA407" s="161"/>
      <c r="BB407" s="161"/>
      <c r="BC407" s="161"/>
      <c r="BD407" s="161"/>
      <c r="BE407" s="161"/>
      <c r="BF407" s="160" t="str">
        <f t="shared" si="406"/>
        <v/>
      </c>
      <c r="BG407" s="160"/>
      <c r="BH407" s="160"/>
      <c r="BI407" s="160"/>
      <c r="BJ407" s="160"/>
      <c r="BK407" s="160"/>
      <c r="BL407" s="162">
        <f t="shared" si="407"/>
        <v>1</v>
      </c>
      <c r="BM407" s="257"/>
      <c r="BN407" s="163"/>
      <c r="BO407" s="211" t="str">
        <f t="shared" si="408"/>
        <v>קרן מוזיאון רוביןמוזיאונים</v>
      </c>
      <c r="BP407" s="125">
        <f t="shared" si="409"/>
        <v>1</v>
      </c>
      <c r="BQ407" s="164">
        <v>0</v>
      </c>
      <c r="BR407" s="164">
        <v>1</v>
      </c>
      <c r="BS407" s="149">
        <f t="shared" si="410"/>
        <v>1</v>
      </c>
      <c r="BT407" s="149">
        <f t="shared" si="411"/>
        <v>1</v>
      </c>
      <c r="BU407" s="149">
        <f t="shared" si="412"/>
        <v>1</v>
      </c>
      <c r="BV407" s="149">
        <f t="shared" si="413"/>
        <v>1</v>
      </c>
      <c r="BW407" s="149">
        <f t="shared" si="414"/>
        <v>1</v>
      </c>
      <c r="BX407" s="149">
        <f t="shared" si="415"/>
        <v>1</v>
      </c>
      <c r="BY407" s="149">
        <f t="shared" si="416"/>
        <v>1</v>
      </c>
      <c r="BZ407" s="149">
        <f t="shared" si="417"/>
        <v>1</v>
      </c>
      <c r="CA407" s="149">
        <f t="shared" si="418"/>
        <v>1</v>
      </c>
      <c r="CB407" s="149">
        <f t="shared" si="419"/>
        <v>1</v>
      </c>
      <c r="CC407" s="149">
        <f t="shared" si="420"/>
        <v>1</v>
      </c>
      <c r="CD407" s="149">
        <f t="shared" si="421"/>
        <v>1</v>
      </c>
      <c r="CE407" s="149">
        <f t="shared" si="422"/>
        <v>1</v>
      </c>
      <c r="CF407" s="149">
        <f t="shared" si="423"/>
        <v>1</v>
      </c>
      <c r="CG407" s="149">
        <f t="shared" si="424"/>
        <v>1</v>
      </c>
      <c r="CH407" s="149">
        <f t="shared" si="425"/>
        <v>1</v>
      </c>
      <c r="CI407" s="149">
        <f t="shared" si="426"/>
        <v>1</v>
      </c>
      <c r="CJ407" s="149">
        <f t="shared" si="427"/>
        <v>1</v>
      </c>
      <c r="CK407" s="149">
        <f t="shared" si="428"/>
        <v>1</v>
      </c>
      <c r="CL407" s="149">
        <f t="shared" si="429"/>
        <v>1</v>
      </c>
      <c r="CM407" s="149">
        <f t="shared" si="430"/>
        <v>1</v>
      </c>
      <c r="CN407" s="149">
        <f t="shared" si="431"/>
        <v>1</v>
      </c>
      <c r="CO407" s="149">
        <f t="shared" si="432"/>
        <v>1</v>
      </c>
      <c r="CP407" s="149">
        <f t="shared" si="433"/>
        <v>1</v>
      </c>
      <c r="CQ407" s="149">
        <f t="shared" si="434"/>
        <v>1</v>
      </c>
      <c r="CR407" s="149">
        <f t="shared" si="435"/>
        <v>1</v>
      </c>
      <c r="CS407" s="149">
        <f t="shared" si="436"/>
        <v>1</v>
      </c>
      <c r="CT407" s="149">
        <f t="shared" si="437"/>
        <v>1</v>
      </c>
      <c r="CU407" s="149">
        <f t="shared" si="438"/>
        <v>1</v>
      </c>
      <c r="CV407" s="149">
        <f t="shared" si="439"/>
        <v>1</v>
      </c>
      <c r="CW407" s="149">
        <f t="shared" si="440"/>
        <v>1</v>
      </c>
      <c r="CX407" s="149">
        <f t="shared" si="441"/>
        <v>1</v>
      </c>
      <c r="CY407" s="149">
        <f t="shared" si="442"/>
        <v>1</v>
      </c>
      <c r="CZ407" s="149">
        <f t="shared" si="443"/>
        <v>1</v>
      </c>
      <c r="DA407" s="149">
        <f t="shared" si="444"/>
        <v>1</v>
      </c>
      <c r="DB407" s="149">
        <f t="shared" si="445"/>
        <v>1</v>
      </c>
      <c r="DG407" s="125">
        <f t="shared" si="296"/>
        <v>1</v>
      </c>
      <c r="DH407" s="125">
        <f t="shared" si="456"/>
        <v>2</v>
      </c>
      <c r="DI407" s="125">
        <f t="shared" si="456"/>
        <v>3</v>
      </c>
      <c r="DJ407" s="125">
        <f t="shared" si="456"/>
        <v>4</v>
      </c>
      <c r="DK407" s="125">
        <f t="shared" si="456"/>
        <v>5</v>
      </c>
      <c r="DL407" s="125">
        <f t="shared" si="456"/>
        <v>6</v>
      </c>
      <c r="DM407" s="125">
        <f t="shared" si="456"/>
        <v>7</v>
      </c>
      <c r="DN407" s="125">
        <f t="shared" si="456"/>
        <v>8</v>
      </c>
      <c r="DO407" s="125">
        <f t="shared" si="456"/>
        <v>9</v>
      </c>
      <c r="DP407" s="125">
        <f t="shared" si="456"/>
        <v>10</v>
      </c>
      <c r="DS407" s="137"/>
      <c r="DT407" s="137"/>
      <c r="DU407" s="137"/>
      <c r="DV407" s="137" t="b">
        <f t="shared" si="446"/>
        <v>0</v>
      </c>
      <c r="DW407" s="137" t="b">
        <f t="shared" si="447"/>
        <v>0</v>
      </c>
      <c r="DX407" s="137" t="b">
        <f t="shared" si="448"/>
        <v>1</v>
      </c>
      <c r="EB407" s="131">
        <f t="shared" si="449"/>
        <v>1</v>
      </c>
      <c r="EC407" s="137" t="b">
        <f t="shared" si="450"/>
        <v>0</v>
      </c>
      <c r="ED407" s="137" t="b">
        <f t="shared" si="451"/>
        <v>0</v>
      </c>
      <c r="EE407" s="137" t="b">
        <f t="shared" si="452"/>
        <v>1</v>
      </c>
      <c r="EF407" s="137"/>
      <c r="EG407" s="137"/>
      <c r="EH407" s="137"/>
      <c r="EI407" s="137"/>
      <c r="EJ407" s="137">
        <f t="shared" si="453"/>
        <v>1</v>
      </c>
      <c r="EK407" s="125">
        <f t="shared" si="454"/>
        <v>0</v>
      </c>
      <c r="EL407" s="125">
        <f t="shared" si="455"/>
        <v>0</v>
      </c>
    </row>
    <row r="408" spans="2:142" ht="15.75" x14ac:dyDescent="0.2">
      <c r="B408" s="160" t="str">
        <f t="shared" si="405"/>
        <v/>
      </c>
      <c r="C408" s="205"/>
      <c r="D408" s="205"/>
      <c r="E408" s="205"/>
      <c r="F408" s="118" t="str">
        <f>IF(OR(J408="",H408=""),"",VLOOKUP(J408,'הזנה לסיווג רשויות'!$B$2:$D$301,2,0))</f>
        <v/>
      </c>
      <c r="G408" s="118" t="str">
        <f>IF(OR(J408="",H408=""),"",VLOOKUP(J408,'הזנה לסיווג רשויות'!$B$2:$D$301,3,0))</f>
        <v/>
      </c>
      <c r="H408" s="201"/>
      <c r="I408" s="201"/>
      <c r="J408" s="205"/>
      <c r="K408" s="161"/>
      <c r="L408" s="161"/>
      <c r="M408" s="161"/>
      <c r="N408" s="161"/>
      <c r="O408" s="161"/>
      <c r="P408" s="161"/>
      <c r="Q408" s="161"/>
      <c r="R408" s="201"/>
      <c r="S408" s="201"/>
      <c r="T408" s="160" t="str">
        <f>IF(G408="","",IFERROR(IF(S408/R408&gt;'פרמטרים לקריטריונים'!$C$20,1,0),0))</f>
        <v/>
      </c>
      <c r="U408" s="201"/>
      <c r="V408" s="160" t="str">
        <f>IF(G408="","",IFERROR(IF(U408/R408&gt;'פרמטרים לקריטריונים'!$C$21,1,IF(AND(I408=$BW$5,U408/R408&gt;'פרמטרים לקריטריונים'!$C$22),1,0)),0))</f>
        <v/>
      </c>
      <c r="W408" s="161"/>
      <c r="X408" s="161"/>
      <c r="Y408" s="201"/>
      <c r="Z408" s="201"/>
      <c r="AA408" s="161" t="str">
        <f t="shared" si="403"/>
        <v/>
      </c>
      <c r="AB408" s="161"/>
      <c r="AC408" s="161"/>
      <c r="AD408" s="161"/>
      <c r="AE408" s="161"/>
      <c r="AF408" s="161"/>
      <c r="AG408" s="161"/>
      <c r="AH408" s="161"/>
      <c r="AI408" s="161"/>
      <c r="AJ408" s="161"/>
      <c r="AK408" s="161"/>
      <c r="AL408" s="161"/>
      <c r="AM408" s="161"/>
      <c r="AN408" s="161"/>
      <c r="AO408" s="161"/>
      <c r="AP408" s="161"/>
      <c r="AQ408" s="161"/>
      <c r="AR408" s="161"/>
      <c r="AS408" s="161"/>
      <c r="AT408" s="161"/>
      <c r="AU408" s="161"/>
      <c r="AV408" s="161"/>
      <c r="AW408" s="160"/>
      <c r="AX408" s="161"/>
      <c r="AY408" s="161"/>
      <c r="AZ408" s="161"/>
      <c r="BA408" s="161"/>
      <c r="BB408" s="161"/>
      <c r="BC408" s="161"/>
      <c r="BD408" s="161"/>
      <c r="BE408" s="161"/>
      <c r="BF408" s="160" t="str">
        <f t="shared" si="406"/>
        <v/>
      </c>
      <c r="BG408" s="160"/>
      <c r="BH408" s="160"/>
      <c r="BI408" s="160"/>
      <c r="BJ408" s="160"/>
      <c r="BK408" s="160"/>
      <c r="BL408" s="162" t="str">
        <f t="shared" si="407"/>
        <v/>
      </c>
      <c r="BM408" s="257"/>
      <c r="BN408" s="163"/>
      <c r="BO408" s="211" t="str">
        <f t="shared" si="408"/>
        <v/>
      </c>
      <c r="BP408" s="125">
        <f t="shared" si="409"/>
        <v>0</v>
      </c>
      <c r="BQ408" s="164">
        <v>0</v>
      </c>
      <c r="BR408" s="164">
        <v>1</v>
      </c>
      <c r="BS408" s="149">
        <f t="shared" si="410"/>
        <v>0</v>
      </c>
      <c r="BT408" s="149">
        <f t="shared" si="411"/>
        <v>0</v>
      </c>
      <c r="BU408" s="149">
        <f t="shared" si="412"/>
        <v>0</v>
      </c>
      <c r="BV408" s="149">
        <f t="shared" si="413"/>
        <v>0</v>
      </c>
      <c r="BW408" s="149">
        <f t="shared" si="414"/>
        <v>0</v>
      </c>
      <c r="BX408" s="149">
        <f t="shared" si="415"/>
        <v>0</v>
      </c>
      <c r="BY408" s="149">
        <f t="shared" si="416"/>
        <v>0</v>
      </c>
      <c r="BZ408" s="149">
        <f t="shared" si="417"/>
        <v>0</v>
      </c>
      <c r="CA408" s="149">
        <f t="shared" si="418"/>
        <v>0</v>
      </c>
      <c r="CB408" s="149">
        <f t="shared" si="419"/>
        <v>1</v>
      </c>
      <c r="CC408" s="149">
        <f t="shared" si="420"/>
        <v>0</v>
      </c>
      <c r="CD408" s="149">
        <f t="shared" si="421"/>
        <v>1</v>
      </c>
      <c r="CE408" s="149">
        <f t="shared" si="422"/>
        <v>0</v>
      </c>
      <c r="CF408" s="149">
        <f t="shared" si="423"/>
        <v>0</v>
      </c>
      <c r="CG408" s="149">
        <f t="shared" si="424"/>
        <v>0</v>
      </c>
      <c r="CH408" s="149">
        <f t="shared" si="425"/>
        <v>0</v>
      </c>
      <c r="CI408" s="149">
        <f t="shared" si="426"/>
        <v>1</v>
      </c>
      <c r="CJ408" s="149">
        <f t="shared" si="427"/>
        <v>1</v>
      </c>
      <c r="CK408" s="149">
        <f t="shared" si="428"/>
        <v>1</v>
      </c>
      <c r="CL408" s="149">
        <f t="shared" si="429"/>
        <v>1</v>
      </c>
      <c r="CM408" s="149">
        <f t="shared" si="430"/>
        <v>1</v>
      </c>
      <c r="CN408" s="149">
        <f t="shared" si="431"/>
        <v>1</v>
      </c>
      <c r="CO408" s="149">
        <f t="shared" si="432"/>
        <v>1</v>
      </c>
      <c r="CP408" s="149">
        <f t="shared" si="433"/>
        <v>1</v>
      </c>
      <c r="CQ408" s="149">
        <f t="shared" si="434"/>
        <v>1</v>
      </c>
      <c r="CR408" s="149">
        <f t="shared" si="435"/>
        <v>1</v>
      </c>
      <c r="CS408" s="149">
        <f t="shared" si="436"/>
        <v>1</v>
      </c>
      <c r="CT408" s="149">
        <f t="shared" si="437"/>
        <v>1</v>
      </c>
      <c r="CU408" s="149">
        <f t="shared" si="438"/>
        <v>1</v>
      </c>
      <c r="CV408" s="149">
        <f t="shared" si="439"/>
        <v>1</v>
      </c>
      <c r="CW408" s="149">
        <f t="shared" si="440"/>
        <v>1</v>
      </c>
      <c r="CX408" s="149">
        <f t="shared" si="441"/>
        <v>1</v>
      </c>
      <c r="CY408" s="149">
        <f t="shared" si="442"/>
        <v>1</v>
      </c>
      <c r="CZ408" s="149">
        <f t="shared" si="443"/>
        <v>1</v>
      </c>
      <c r="DA408" s="149">
        <f t="shared" si="444"/>
        <v>1</v>
      </c>
      <c r="DB408" s="149">
        <f t="shared" si="445"/>
        <v>1</v>
      </c>
      <c r="DG408" s="125" t="str">
        <f t="shared" si="296"/>
        <v/>
      </c>
      <c r="DH408" s="125" t="str">
        <f t="shared" si="456"/>
        <v/>
      </c>
      <c r="DI408" s="125" t="str">
        <f t="shared" si="456"/>
        <v/>
      </c>
      <c r="DJ408" s="125" t="str">
        <f t="shared" si="456"/>
        <v/>
      </c>
      <c r="DK408" s="125" t="str">
        <f t="shared" si="456"/>
        <v/>
      </c>
      <c r="DL408" s="125" t="str">
        <f t="shared" si="456"/>
        <v/>
      </c>
      <c r="DM408" s="125" t="str">
        <f t="shared" si="456"/>
        <v/>
      </c>
      <c r="DN408" s="125" t="str">
        <f t="shared" si="456"/>
        <v/>
      </c>
      <c r="DO408" s="125" t="str">
        <f t="shared" si="456"/>
        <v/>
      </c>
      <c r="DP408" s="125" t="str">
        <f t="shared" si="456"/>
        <v/>
      </c>
      <c r="DS408" s="137"/>
      <c r="DT408" s="137"/>
      <c r="DU408" s="137"/>
      <c r="DV408" s="137" t="b">
        <f t="shared" si="446"/>
        <v>0</v>
      </c>
      <c r="DW408" s="137" t="b">
        <f t="shared" si="447"/>
        <v>0</v>
      </c>
      <c r="DX408" s="137" t="b">
        <f t="shared" si="448"/>
        <v>1</v>
      </c>
      <c r="EB408" s="131">
        <f t="shared" si="449"/>
        <v>1</v>
      </c>
      <c r="EC408" s="137" t="b">
        <f t="shared" si="450"/>
        <v>0</v>
      </c>
      <c r="ED408" s="137" t="b">
        <f t="shared" si="451"/>
        <v>0</v>
      </c>
      <c r="EE408" s="137" t="b">
        <f t="shared" si="452"/>
        <v>1</v>
      </c>
      <c r="EF408" s="137"/>
      <c r="EG408" s="137"/>
      <c r="EH408" s="137"/>
      <c r="EI408" s="137"/>
      <c r="EJ408" s="137">
        <f t="shared" si="453"/>
        <v>1</v>
      </c>
      <c r="EK408" s="125" t="str">
        <f t="shared" si="454"/>
        <v/>
      </c>
      <c r="EL408" s="125" t="str">
        <f t="shared" si="455"/>
        <v/>
      </c>
    </row>
    <row r="409" spans="2:142" ht="15.75" x14ac:dyDescent="0.2">
      <c r="B409" s="160" t="str">
        <f t="shared" si="405"/>
        <v/>
      </c>
      <c r="C409" s="205"/>
      <c r="D409" s="205"/>
      <c r="E409" s="205"/>
      <c r="F409" s="118" t="str">
        <f>IF(OR(J409="",H409=""),"",VLOOKUP(J409,'הזנה לסיווג רשויות'!$B$2:$D$301,2,0))</f>
        <v/>
      </c>
      <c r="G409" s="118" t="str">
        <f>IF(OR(J409="",H409=""),"",VLOOKUP(J409,'הזנה לסיווג רשויות'!$B$2:$D$301,3,0))</f>
        <v/>
      </c>
      <c r="H409" s="201"/>
      <c r="I409" s="201"/>
      <c r="J409" s="205"/>
      <c r="K409" s="161"/>
      <c r="L409" s="161"/>
      <c r="M409" s="161"/>
      <c r="N409" s="161"/>
      <c r="O409" s="161"/>
      <c r="P409" s="161"/>
      <c r="Q409" s="161"/>
      <c r="R409" s="201"/>
      <c r="S409" s="201"/>
      <c r="T409" s="160" t="str">
        <f>IF(G409="","",IFERROR(IF(S409/R409&gt;'פרמטרים לקריטריונים'!$C$20,1,0),0))</f>
        <v/>
      </c>
      <c r="U409" s="201"/>
      <c r="V409" s="160" t="str">
        <f>IF(G409="","",IFERROR(IF(U409/R409&gt;'פרמטרים לקריטריונים'!$C$21,1,IF(AND(I409=$BW$5,U409/R409&gt;'פרמטרים לקריטריונים'!$C$22),1,0)),0))</f>
        <v/>
      </c>
      <c r="W409" s="161"/>
      <c r="X409" s="161"/>
      <c r="Y409" s="201"/>
      <c r="Z409" s="201"/>
      <c r="AA409" s="161" t="str">
        <f t="shared" si="403"/>
        <v/>
      </c>
      <c r="AB409" s="161"/>
      <c r="AC409" s="161"/>
      <c r="AD409" s="161"/>
      <c r="AE409" s="161"/>
      <c r="AF409" s="161"/>
      <c r="AG409" s="161"/>
      <c r="AH409" s="161"/>
      <c r="AI409" s="161"/>
      <c r="AJ409" s="161"/>
      <c r="AK409" s="161"/>
      <c r="AL409" s="161"/>
      <c r="AM409" s="161"/>
      <c r="AN409" s="161"/>
      <c r="AO409" s="161"/>
      <c r="AP409" s="161"/>
      <c r="AQ409" s="161"/>
      <c r="AR409" s="161"/>
      <c r="AS409" s="161"/>
      <c r="AT409" s="161"/>
      <c r="AU409" s="161"/>
      <c r="AV409" s="161"/>
      <c r="AW409" s="160"/>
      <c r="AX409" s="161"/>
      <c r="AY409" s="161"/>
      <c r="AZ409" s="161"/>
      <c r="BA409" s="161"/>
      <c r="BB409" s="161"/>
      <c r="BC409" s="161"/>
      <c r="BD409" s="161"/>
      <c r="BE409" s="161"/>
      <c r="BF409" s="160" t="str">
        <f t="shared" si="406"/>
        <v/>
      </c>
      <c r="BG409" s="160"/>
      <c r="BH409" s="160"/>
      <c r="BI409" s="160"/>
      <c r="BJ409" s="160"/>
      <c r="BK409" s="160"/>
      <c r="BL409" s="162" t="str">
        <f t="shared" si="407"/>
        <v/>
      </c>
      <c r="BM409" s="257"/>
      <c r="BN409" s="163"/>
      <c r="BO409" s="211" t="str">
        <f t="shared" si="408"/>
        <v/>
      </c>
      <c r="BP409" s="125">
        <f t="shared" si="409"/>
        <v>0</v>
      </c>
      <c r="BQ409" s="164">
        <v>0</v>
      </c>
      <c r="BR409" s="164">
        <v>1</v>
      </c>
      <c r="BS409" s="149">
        <f t="shared" si="410"/>
        <v>0</v>
      </c>
      <c r="BT409" s="149">
        <f t="shared" si="411"/>
        <v>0</v>
      </c>
      <c r="BU409" s="149">
        <f t="shared" si="412"/>
        <v>0</v>
      </c>
      <c r="BV409" s="149">
        <f t="shared" si="413"/>
        <v>0</v>
      </c>
      <c r="BW409" s="149">
        <f t="shared" si="414"/>
        <v>0</v>
      </c>
      <c r="BX409" s="149">
        <f t="shared" si="415"/>
        <v>0</v>
      </c>
      <c r="BY409" s="149">
        <f t="shared" si="416"/>
        <v>0</v>
      </c>
      <c r="BZ409" s="149">
        <f t="shared" si="417"/>
        <v>0</v>
      </c>
      <c r="CA409" s="149">
        <f t="shared" si="418"/>
        <v>0</v>
      </c>
      <c r="CB409" s="149">
        <f t="shared" si="419"/>
        <v>1</v>
      </c>
      <c r="CC409" s="149">
        <f t="shared" si="420"/>
        <v>0</v>
      </c>
      <c r="CD409" s="149">
        <f t="shared" si="421"/>
        <v>1</v>
      </c>
      <c r="CE409" s="149">
        <f t="shared" si="422"/>
        <v>0</v>
      </c>
      <c r="CF409" s="149">
        <f t="shared" si="423"/>
        <v>0</v>
      </c>
      <c r="CG409" s="149">
        <f t="shared" si="424"/>
        <v>0</v>
      </c>
      <c r="CH409" s="149">
        <f t="shared" si="425"/>
        <v>0</v>
      </c>
      <c r="CI409" s="149">
        <f t="shared" si="426"/>
        <v>1</v>
      </c>
      <c r="CJ409" s="149">
        <f t="shared" si="427"/>
        <v>1</v>
      </c>
      <c r="CK409" s="149">
        <f t="shared" si="428"/>
        <v>1</v>
      </c>
      <c r="CL409" s="149">
        <f t="shared" si="429"/>
        <v>1</v>
      </c>
      <c r="CM409" s="149">
        <f t="shared" si="430"/>
        <v>1</v>
      </c>
      <c r="CN409" s="149">
        <f t="shared" si="431"/>
        <v>1</v>
      </c>
      <c r="CO409" s="149">
        <f t="shared" si="432"/>
        <v>1</v>
      </c>
      <c r="CP409" s="149">
        <f t="shared" si="433"/>
        <v>1</v>
      </c>
      <c r="CQ409" s="149">
        <f t="shared" si="434"/>
        <v>1</v>
      </c>
      <c r="CR409" s="149">
        <f t="shared" si="435"/>
        <v>1</v>
      </c>
      <c r="CS409" s="149">
        <f t="shared" si="436"/>
        <v>1</v>
      </c>
      <c r="CT409" s="149">
        <f t="shared" si="437"/>
        <v>1</v>
      </c>
      <c r="CU409" s="149">
        <f t="shared" si="438"/>
        <v>1</v>
      </c>
      <c r="CV409" s="149">
        <f t="shared" si="439"/>
        <v>1</v>
      </c>
      <c r="CW409" s="149">
        <f t="shared" si="440"/>
        <v>1</v>
      </c>
      <c r="CX409" s="149">
        <f t="shared" si="441"/>
        <v>1</v>
      </c>
      <c r="CY409" s="149">
        <f t="shared" si="442"/>
        <v>1</v>
      </c>
      <c r="CZ409" s="149">
        <f t="shared" si="443"/>
        <v>1</v>
      </c>
      <c r="DA409" s="149">
        <f t="shared" si="444"/>
        <v>1</v>
      </c>
      <c r="DB409" s="149">
        <f t="shared" si="445"/>
        <v>1</v>
      </c>
      <c r="DG409" s="125" t="str">
        <f t="shared" si="296"/>
        <v/>
      </c>
      <c r="DH409" s="125" t="str">
        <f t="shared" si="456"/>
        <v/>
      </c>
      <c r="DI409" s="125" t="str">
        <f t="shared" si="456"/>
        <v/>
      </c>
      <c r="DJ409" s="125" t="str">
        <f t="shared" si="456"/>
        <v/>
      </c>
      <c r="DK409" s="125" t="str">
        <f t="shared" si="456"/>
        <v/>
      </c>
      <c r="DL409" s="125" t="str">
        <f t="shared" si="456"/>
        <v/>
      </c>
      <c r="DM409" s="125" t="str">
        <f t="shared" si="456"/>
        <v/>
      </c>
      <c r="DN409" s="125" t="str">
        <f t="shared" si="456"/>
        <v/>
      </c>
      <c r="DO409" s="125" t="str">
        <f t="shared" si="456"/>
        <v/>
      </c>
      <c r="DP409" s="125" t="str">
        <f t="shared" si="456"/>
        <v/>
      </c>
      <c r="DS409" s="137"/>
      <c r="DT409" s="137"/>
      <c r="DU409" s="137"/>
      <c r="DV409" s="137" t="b">
        <f t="shared" si="446"/>
        <v>0</v>
      </c>
      <c r="DW409" s="137" t="b">
        <f t="shared" si="447"/>
        <v>0</v>
      </c>
      <c r="DX409" s="137" t="b">
        <f t="shared" si="448"/>
        <v>1</v>
      </c>
      <c r="EB409" s="131">
        <f t="shared" si="449"/>
        <v>1</v>
      </c>
      <c r="EC409" s="137" t="b">
        <f t="shared" si="450"/>
        <v>0</v>
      </c>
      <c r="ED409" s="137" t="b">
        <f t="shared" si="451"/>
        <v>0</v>
      </c>
      <c r="EE409" s="137" t="b">
        <f t="shared" si="452"/>
        <v>1</v>
      </c>
      <c r="EF409" s="137"/>
      <c r="EG409" s="137"/>
      <c r="EH409" s="137"/>
      <c r="EI409" s="137"/>
      <c r="EJ409" s="137">
        <f t="shared" si="453"/>
        <v>1</v>
      </c>
      <c r="EK409" s="125" t="str">
        <f t="shared" si="454"/>
        <v/>
      </c>
      <c r="EL409" s="125" t="str">
        <f t="shared" si="455"/>
        <v/>
      </c>
    </row>
    <row r="410" spans="2:142" ht="15.75" x14ac:dyDescent="0.2">
      <c r="B410" s="160" t="str">
        <f t="shared" si="405"/>
        <v/>
      </c>
      <c r="C410" s="205"/>
      <c r="D410" s="205"/>
      <c r="E410" s="205"/>
      <c r="F410" s="118" t="str">
        <f>IF(OR(J410="",H410=""),"",VLOOKUP(J410,'הזנה לסיווג רשויות'!$B$2:$D$301,2,0))</f>
        <v/>
      </c>
      <c r="G410" s="118" t="str">
        <f>IF(OR(J410="",H410=""),"",VLOOKUP(J410,'הזנה לסיווג רשויות'!$B$2:$D$301,3,0))</f>
        <v/>
      </c>
      <c r="H410" s="201"/>
      <c r="I410" s="201"/>
      <c r="J410" s="205"/>
      <c r="K410" s="161"/>
      <c r="L410" s="161"/>
      <c r="M410" s="161"/>
      <c r="N410" s="161"/>
      <c r="O410" s="161"/>
      <c r="P410" s="161"/>
      <c r="Q410" s="161"/>
      <c r="R410" s="201"/>
      <c r="S410" s="201"/>
      <c r="T410" s="160" t="str">
        <f>IF(G410="","",IFERROR(IF(S410/R410&gt;'פרמטרים לקריטריונים'!$C$20,1,0),0))</f>
        <v/>
      </c>
      <c r="U410" s="201"/>
      <c r="V410" s="160" t="str">
        <f>IF(G410="","",IFERROR(IF(U410/R410&gt;'פרמטרים לקריטריונים'!$C$21,1,IF(AND(I410=$BW$5,U410/R410&gt;'פרמטרים לקריטריונים'!$C$22),1,0)),0))</f>
        <v/>
      </c>
      <c r="W410" s="161"/>
      <c r="X410" s="161"/>
      <c r="Y410" s="201"/>
      <c r="Z410" s="201"/>
      <c r="AA410" s="161" t="str">
        <f t="shared" si="403"/>
        <v/>
      </c>
      <c r="AB410" s="161"/>
      <c r="AC410" s="161"/>
      <c r="AD410" s="161"/>
      <c r="AE410" s="161"/>
      <c r="AF410" s="161"/>
      <c r="AG410" s="161"/>
      <c r="AH410" s="161"/>
      <c r="AI410" s="161"/>
      <c r="AJ410" s="161"/>
      <c r="AK410" s="161"/>
      <c r="AL410" s="161"/>
      <c r="AM410" s="161"/>
      <c r="AN410" s="161"/>
      <c r="AO410" s="161"/>
      <c r="AP410" s="161"/>
      <c r="AQ410" s="161"/>
      <c r="AR410" s="161"/>
      <c r="AS410" s="161"/>
      <c r="AT410" s="161"/>
      <c r="AU410" s="161"/>
      <c r="AV410" s="161"/>
      <c r="AW410" s="160"/>
      <c r="AX410" s="161"/>
      <c r="AY410" s="161"/>
      <c r="AZ410" s="161"/>
      <c r="BA410" s="161"/>
      <c r="BB410" s="161"/>
      <c r="BC410" s="161"/>
      <c r="BD410" s="161"/>
      <c r="BE410" s="161"/>
      <c r="BF410" s="160" t="str">
        <f t="shared" si="406"/>
        <v/>
      </c>
      <c r="BG410" s="160"/>
      <c r="BH410" s="160"/>
      <c r="BI410" s="160"/>
      <c r="BJ410" s="160"/>
      <c r="BK410" s="160"/>
      <c r="BL410" s="162" t="str">
        <f t="shared" si="407"/>
        <v/>
      </c>
      <c r="BM410" s="257"/>
      <c r="BN410" s="163"/>
      <c r="BO410" s="211" t="str">
        <f t="shared" si="408"/>
        <v/>
      </c>
      <c r="BP410" s="125">
        <f t="shared" si="409"/>
        <v>0</v>
      </c>
      <c r="BQ410" s="164">
        <v>0</v>
      </c>
      <c r="BR410" s="164">
        <v>1</v>
      </c>
      <c r="BS410" s="149">
        <f t="shared" si="410"/>
        <v>0</v>
      </c>
      <c r="BT410" s="149">
        <f t="shared" si="411"/>
        <v>0</v>
      </c>
      <c r="BU410" s="149">
        <f t="shared" si="412"/>
        <v>0</v>
      </c>
      <c r="BV410" s="149">
        <f t="shared" si="413"/>
        <v>0</v>
      </c>
      <c r="BW410" s="149">
        <f t="shared" si="414"/>
        <v>0</v>
      </c>
      <c r="BX410" s="149">
        <f t="shared" si="415"/>
        <v>0</v>
      </c>
      <c r="BY410" s="149">
        <f t="shared" si="416"/>
        <v>0</v>
      </c>
      <c r="BZ410" s="149">
        <f t="shared" si="417"/>
        <v>0</v>
      </c>
      <c r="CA410" s="149">
        <f t="shared" si="418"/>
        <v>0</v>
      </c>
      <c r="CB410" s="149">
        <f t="shared" si="419"/>
        <v>1</v>
      </c>
      <c r="CC410" s="149">
        <f t="shared" si="420"/>
        <v>0</v>
      </c>
      <c r="CD410" s="149">
        <f t="shared" si="421"/>
        <v>1</v>
      </c>
      <c r="CE410" s="149">
        <f t="shared" si="422"/>
        <v>0</v>
      </c>
      <c r="CF410" s="149">
        <f t="shared" si="423"/>
        <v>0</v>
      </c>
      <c r="CG410" s="149">
        <f t="shared" si="424"/>
        <v>0</v>
      </c>
      <c r="CH410" s="149">
        <f t="shared" si="425"/>
        <v>0</v>
      </c>
      <c r="CI410" s="149">
        <f t="shared" si="426"/>
        <v>1</v>
      </c>
      <c r="CJ410" s="149">
        <f t="shared" si="427"/>
        <v>1</v>
      </c>
      <c r="CK410" s="149">
        <f t="shared" si="428"/>
        <v>1</v>
      </c>
      <c r="CL410" s="149">
        <f t="shared" si="429"/>
        <v>1</v>
      </c>
      <c r="CM410" s="149">
        <f t="shared" si="430"/>
        <v>1</v>
      </c>
      <c r="CN410" s="149">
        <f t="shared" si="431"/>
        <v>1</v>
      </c>
      <c r="CO410" s="149">
        <f t="shared" si="432"/>
        <v>1</v>
      </c>
      <c r="CP410" s="149">
        <f t="shared" si="433"/>
        <v>1</v>
      </c>
      <c r="CQ410" s="149">
        <f t="shared" si="434"/>
        <v>1</v>
      </c>
      <c r="CR410" s="149">
        <f t="shared" si="435"/>
        <v>1</v>
      </c>
      <c r="CS410" s="149">
        <f t="shared" si="436"/>
        <v>1</v>
      </c>
      <c r="CT410" s="149">
        <f t="shared" si="437"/>
        <v>1</v>
      </c>
      <c r="CU410" s="149">
        <f t="shared" si="438"/>
        <v>1</v>
      </c>
      <c r="CV410" s="149">
        <f t="shared" si="439"/>
        <v>1</v>
      </c>
      <c r="CW410" s="149">
        <f t="shared" si="440"/>
        <v>1</v>
      </c>
      <c r="CX410" s="149">
        <f t="shared" si="441"/>
        <v>1</v>
      </c>
      <c r="CY410" s="149">
        <f t="shared" si="442"/>
        <v>1</v>
      </c>
      <c r="CZ410" s="149">
        <f t="shared" si="443"/>
        <v>1</v>
      </c>
      <c r="DA410" s="149">
        <f t="shared" si="444"/>
        <v>1</v>
      </c>
      <c r="DB410" s="149">
        <f t="shared" si="445"/>
        <v>1</v>
      </c>
      <c r="DG410" s="125" t="str">
        <f t="shared" si="296"/>
        <v/>
      </c>
      <c r="DH410" s="125" t="str">
        <f t="shared" si="456"/>
        <v/>
      </c>
      <c r="DI410" s="125" t="str">
        <f t="shared" si="456"/>
        <v/>
      </c>
      <c r="DJ410" s="125" t="str">
        <f t="shared" si="456"/>
        <v/>
      </c>
      <c r="DK410" s="125" t="str">
        <f t="shared" si="456"/>
        <v/>
      </c>
      <c r="DL410" s="125" t="str">
        <f t="shared" si="456"/>
        <v/>
      </c>
      <c r="DM410" s="125" t="str">
        <f t="shared" si="456"/>
        <v/>
      </c>
      <c r="DN410" s="125" t="str">
        <f t="shared" si="456"/>
        <v/>
      </c>
      <c r="DO410" s="125" t="str">
        <f t="shared" si="456"/>
        <v/>
      </c>
      <c r="DP410" s="125" t="str">
        <f t="shared" si="456"/>
        <v/>
      </c>
      <c r="DS410" s="137"/>
      <c r="DT410" s="137"/>
      <c r="DU410" s="137"/>
      <c r="DV410" s="137" t="b">
        <f t="shared" si="446"/>
        <v>0</v>
      </c>
      <c r="DW410" s="137" t="b">
        <f t="shared" si="447"/>
        <v>0</v>
      </c>
      <c r="DX410" s="137" t="b">
        <f t="shared" si="448"/>
        <v>1</v>
      </c>
      <c r="EB410" s="131">
        <f t="shared" si="449"/>
        <v>1</v>
      </c>
      <c r="EC410" s="137" t="b">
        <f t="shared" si="450"/>
        <v>0</v>
      </c>
      <c r="ED410" s="137" t="b">
        <f t="shared" si="451"/>
        <v>0</v>
      </c>
      <c r="EE410" s="137" t="b">
        <f t="shared" si="452"/>
        <v>1</v>
      </c>
      <c r="EF410" s="137"/>
      <c r="EG410" s="137"/>
      <c r="EH410" s="137"/>
      <c r="EI410" s="137"/>
      <c r="EJ410" s="137">
        <f t="shared" si="453"/>
        <v>1</v>
      </c>
      <c r="EK410" s="125" t="str">
        <f t="shared" si="454"/>
        <v/>
      </c>
      <c r="EL410" s="125" t="str">
        <f t="shared" si="455"/>
        <v/>
      </c>
    </row>
    <row r="411" spans="2:142" ht="15.75" x14ac:dyDescent="0.2">
      <c r="B411" s="160" t="str">
        <f t="shared" si="405"/>
        <v/>
      </c>
      <c r="C411" s="205"/>
      <c r="D411" s="205"/>
      <c r="E411" s="205"/>
      <c r="F411" s="118" t="str">
        <f>IF(OR(J411="",H411=""),"",VLOOKUP(J411,'הזנה לסיווג רשויות'!$B$2:$D$301,2,0))</f>
        <v/>
      </c>
      <c r="G411" s="118" t="str">
        <f>IF(OR(J411="",H411=""),"",VLOOKUP(J411,'הזנה לסיווג רשויות'!$B$2:$D$301,3,0))</f>
        <v/>
      </c>
      <c r="H411" s="201"/>
      <c r="I411" s="201"/>
      <c r="J411" s="205"/>
      <c r="K411" s="161"/>
      <c r="L411" s="161"/>
      <c r="M411" s="161"/>
      <c r="N411" s="161"/>
      <c r="O411" s="161"/>
      <c r="P411" s="161"/>
      <c r="Q411" s="161"/>
      <c r="R411" s="201"/>
      <c r="S411" s="201"/>
      <c r="T411" s="160" t="str">
        <f>IF(G411="","",IFERROR(IF(S411/R411&gt;'פרמטרים לקריטריונים'!$C$20,1,0),0))</f>
        <v/>
      </c>
      <c r="U411" s="201"/>
      <c r="V411" s="160" t="str">
        <f>IF(G411="","",IFERROR(IF(U411/R411&gt;'פרמטרים לקריטריונים'!$C$21,1,IF(AND(I411=$BW$5,U411/R411&gt;'פרמטרים לקריטריונים'!$C$22),1,0)),0))</f>
        <v/>
      </c>
      <c r="W411" s="161"/>
      <c r="X411" s="161"/>
      <c r="Y411" s="201"/>
      <c r="Z411" s="201"/>
      <c r="AA411" s="161" t="str">
        <f t="shared" si="403"/>
        <v/>
      </c>
      <c r="AB411" s="161"/>
      <c r="AC411" s="161"/>
      <c r="AD411" s="161"/>
      <c r="AE411" s="161"/>
      <c r="AF411" s="161"/>
      <c r="AG411" s="161"/>
      <c r="AH411" s="161"/>
      <c r="AI411" s="161"/>
      <c r="AJ411" s="161"/>
      <c r="AK411" s="161"/>
      <c r="AL411" s="161"/>
      <c r="AM411" s="161"/>
      <c r="AN411" s="161"/>
      <c r="AO411" s="161"/>
      <c r="AP411" s="161"/>
      <c r="AQ411" s="161"/>
      <c r="AR411" s="161"/>
      <c r="AS411" s="161"/>
      <c r="AT411" s="161"/>
      <c r="AU411" s="161"/>
      <c r="AV411" s="161"/>
      <c r="AW411" s="160"/>
      <c r="AX411" s="161"/>
      <c r="AY411" s="161"/>
      <c r="AZ411" s="161"/>
      <c r="BA411" s="161"/>
      <c r="BB411" s="161"/>
      <c r="BC411" s="161"/>
      <c r="BD411" s="161"/>
      <c r="BE411" s="161"/>
      <c r="BF411" s="160" t="str">
        <f t="shared" si="406"/>
        <v/>
      </c>
      <c r="BG411" s="160"/>
      <c r="BH411" s="160"/>
      <c r="BI411" s="160"/>
      <c r="BJ411" s="160"/>
      <c r="BK411" s="160"/>
      <c r="BL411" s="162" t="str">
        <f t="shared" si="407"/>
        <v/>
      </c>
      <c r="BM411" s="257"/>
      <c r="BN411" s="163"/>
      <c r="BO411" s="211" t="str">
        <f t="shared" si="408"/>
        <v/>
      </c>
      <c r="BP411" s="125">
        <f t="shared" si="409"/>
        <v>0</v>
      </c>
      <c r="BQ411" s="164">
        <v>0</v>
      </c>
      <c r="BR411" s="164">
        <v>1</v>
      </c>
      <c r="BS411" s="149">
        <f t="shared" si="410"/>
        <v>0</v>
      </c>
      <c r="BT411" s="149">
        <f t="shared" si="411"/>
        <v>0</v>
      </c>
      <c r="BU411" s="149">
        <f t="shared" si="412"/>
        <v>0</v>
      </c>
      <c r="BV411" s="149">
        <f t="shared" si="413"/>
        <v>0</v>
      </c>
      <c r="BW411" s="149">
        <f t="shared" si="414"/>
        <v>0</v>
      </c>
      <c r="BX411" s="149">
        <f t="shared" si="415"/>
        <v>0</v>
      </c>
      <c r="BY411" s="149">
        <f t="shared" si="416"/>
        <v>0</v>
      </c>
      <c r="BZ411" s="149">
        <f t="shared" si="417"/>
        <v>0</v>
      </c>
      <c r="CA411" s="149">
        <f t="shared" si="418"/>
        <v>0</v>
      </c>
      <c r="CB411" s="149">
        <f t="shared" si="419"/>
        <v>1</v>
      </c>
      <c r="CC411" s="149">
        <f t="shared" si="420"/>
        <v>0</v>
      </c>
      <c r="CD411" s="149">
        <f t="shared" si="421"/>
        <v>1</v>
      </c>
      <c r="CE411" s="149">
        <f t="shared" si="422"/>
        <v>0</v>
      </c>
      <c r="CF411" s="149">
        <f t="shared" si="423"/>
        <v>0</v>
      </c>
      <c r="CG411" s="149">
        <f t="shared" si="424"/>
        <v>0</v>
      </c>
      <c r="CH411" s="149">
        <f t="shared" si="425"/>
        <v>0</v>
      </c>
      <c r="CI411" s="149">
        <f t="shared" si="426"/>
        <v>1</v>
      </c>
      <c r="CJ411" s="149">
        <f t="shared" si="427"/>
        <v>1</v>
      </c>
      <c r="CK411" s="149">
        <f t="shared" si="428"/>
        <v>1</v>
      </c>
      <c r="CL411" s="149">
        <f t="shared" si="429"/>
        <v>1</v>
      </c>
      <c r="CM411" s="149">
        <f t="shared" si="430"/>
        <v>1</v>
      </c>
      <c r="CN411" s="149">
        <f t="shared" si="431"/>
        <v>1</v>
      </c>
      <c r="CO411" s="149">
        <f t="shared" si="432"/>
        <v>1</v>
      </c>
      <c r="CP411" s="149">
        <f t="shared" si="433"/>
        <v>1</v>
      </c>
      <c r="CQ411" s="149">
        <f t="shared" si="434"/>
        <v>1</v>
      </c>
      <c r="CR411" s="149">
        <f t="shared" si="435"/>
        <v>1</v>
      </c>
      <c r="CS411" s="149">
        <f t="shared" si="436"/>
        <v>1</v>
      </c>
      <c r="CT411" s="149">
        <f t="shared" si="437"/>
        <v>1</v>
      </c>
      <c r="CU411" s="149">
        <f t="shared" si="438"/>
        <v>1</v>
      </c>
      <c r="CV411" s="149">
        <f t="shared" si="439"/>
        <v>1</v>
      </c>
      <c r="CW411" s="149">
        <f t="shared" si="440"/>
        <v>1</v>
      </c>
      <c r="CX411" s="149">
        <f t="shared" si="441"/>
        <v>1</v>
      </c>
      <c r="CY411" s="149">
        <f t="shared" si="442"/>
        <v>1</v>
      </c>
      <c r="CZ411" s="149">
        <f t="shared" si="443"/>
        <v>1</v>
      </c>
      <c r="DA411" s="149">
        <f t="shared" si="444"/>
        <v>1</v>
      </c>
      <c r="DB411" s="149">
        <f t="shared" si="445"/>
        <v>1</v>
      </c>
      <c r="DG411" s="125" t="str">
        <f t="shared" si="296"/>
        <v/>
      </c>
      <c r="DH411" s="125" t="str">
        <f t="shared" si="456"/>
        <v/>
      </c>
      <c r="DI411" s="125" t="str">
        <f t="shared" si="456"/>
        <v/>
      </c>
      <c r="DJ411" s="125" t="str">
        <f t="shared" si="456"/>
        <v/>
      </c>
      <c r="DK411" s="125" t="str">
        <f t="shared" si="456"/>
        <v/>
      </c>
      <c r="DL411" s="125" t="str">
        <f t="shared" si="456"/>
        <v/>
      </c>
      <c r="DM411" s="125" t="str">
        <f t="shared" si="456"/>
        <v/>
      </c>
      <c r="DN411" s="125" t="str">
        <f t="shared" si="456"/>
        <v/>
      </c>
      <c r="DO411" s="125" t="str">
        <f t="shared" si="456"/>
        <v/>
      </c>
      <c r="DP411" s="125" t="str">
        <f t="shared" si="456"/>
        <v/>
      </c>
      <c r="DS411" s="137"/>
      <c r="DT411" s="137"/>
      <c r="DU411" s="137"/>
      <c r="DV411" s="137" t="b">
        <f t="shared" si="446"/>
        <v>0</v>
      </c>
      <c r="DW411" s="137" t="b">
        <f t="shared" si="447"/>
        <v>0</v>
      </c>
      <c r="DX411" s="137" t="b">
        <f t="shared" si="448"/>
        <v>1</v>
      </c>
      <c r="EB411" s="131">
        <f t="shared" si="449"/>
        <v>1</v>
      </c>
      <c r="EC411" s="137" t="b">
        <f t="shared" si="450"/>
        <v>0</v>
      </c>
      <c r="ED411" s="137" t="b">
        <f t="shared" si="451"/>
        <v>0</v>
      </c>
      <c r="EE411" s="137" t="b">
        <f t="shared" si="452"/>
        <v>1</v>
      </c>
      <c r="EF411" s="137"/>
      <c r="EG411" s="137"/>
      <c r="EH411" s="137"/>
      <c r="EI411" s="137"/>
      <c r="EJ411" s="137">
        <f t="shared" si="453"/>
        <v>1</v>
      </c>
      <c r="EK411" s="125" t="str">
        <f t="shared" si="454"/>
        <v/>
      </c>
      <c r="EL411" s="125" t="str">
        <f t="shared" si="455"/>
        <v/>
      </c>
    </row>
    <row r="412" spans="2:142" ht="15.75" x14ac:dyDescent="0.2">
      <c r="B412" s="160" t="str">
        <f t="shared" si="405"/>
        <v/>
      </c>
      <c r="C412" s="205"/>
      <c r="D412" s="205"/>
      <c r="E412" s="205"/>
      <c r="F412" s="118" t="str">
        <f>IF(OR(J412="",H412=""),"",VLOOKUP(J412,'הזנה לסיווג רשויות'!$B$2:$D$301,2,0))</f>
        <v/>
      </c>
      <c r="G412" s="118" t="str">
        <f>IF(OR(J412="",H412=""),"",VLOOKUP(J412,'הזנה לסיווג רשויות'!$B$2:$D$301,3,0))</f>
        <v/>
      </c>
      <c r="H412" s="201"/>
      <c r="I412" s="201"/>
      <c r="J412" s="205"/>
      <c r="K412" s="161"/>
      <c r="L412" s="161"/>
      <c r="M412" s="161"/>
      <c r="N412" s="161"/>
      <c r="O412" s="161"/>
      <c r="P412" s="161"/>
      <c r="Q412" s="161"/>
      <c r="R412" s="201"/>
      <c r="S412" s="201"/>
      <c r="T412" s="160" t="str">
        <f>IF(G412="","",IFERROR(IF(S412/R412&gt;'פרמטרים לקריטריונים'!$C$20,1,0),0))</f>
        <v/>
      </c>
      <c r="U412" s="201"/>
      <c r="V412" s="160" t="str">
        <f>IF(G412="","",IFERROR(IF(U412/R412&gt;'פרמטרים לקריטריונים'!$C$21,1,IF(AND(I412=$BW$5,U412/R412&gt;'פרמטרים לקריטריונים'!$C$22),1,0)),0))</f>
        <v/>
      </c>
      <c r="W412" s="161"/>
      <c r="X412" s="161"/>
      <c r="Y412" s="201"/>
      <c r="Z412" s="201"/>
      <c r="AA412" s="161" t="str">
        <f t="shared" si="403"/>
        <v/>
      </c>
      <c r="AB412" s="161"/>
      <c r="AC412" s="161"/>
      <c r="AD412" s="161"/>
      <c r="AE412" s="161"/>
      <c r="AF412" s="161"/>
      <c r="AG412" s="161"/>
      <c r="AH412" s="161"/>
      <c r="AI412" s="161"/>
      <c r="AJ412" s="161"/>
      <c r="AK412" s="161"/>
      <c r="AL412" s="161"/>
      <c r="AM412" s="161"/>
      <c r="AN412" s="161"/>
      <c r="AO412" s="161"/>
      <c r="AP412" s="161"/>
      <c r="AQ412" s="161"/>
      <c r="AR412" s="161"/>
      <c r="AS412" s="161"/>
      <c r="AT412" s="161"/>
      <c r="AU412" s="161"/>
      <c r="AV412" s="161"/>
      <c r="AW412" s="160"/>
      <c r="AX412" s="161"/>
      <c r="AY412" s="161"/>
      <c r="AZ412" s="161"/>
      <c r="BA412" s="161"/>
      <c r="BB412" s="161"/>
      <c r="BC412" s="161"/>
      <c r="BD412" s="161"/>
      <c r="BE412" s="161"/>
      <c r="BF412" s="160" t="str">
        <f t="shared" si="406"/>
        <v/>
      </c>
      <c r="BG412" s="160"/>
      <c r="BH412" s="160"/>
      <c r="BI412" s="160"/>
      <c r="BJ412" s="160"/>
      <c r="BK412" s="160"/>
      <c r="BL412" s="162" t="str">
        <f t="shared" si="407"/>
        <v/>
      </c>
      <c r="BM412" s="257"/>
      <c r="BN412" s="163"/>
      <c r="BO412" s="211" t="str">
        <f t="shared" si="408"/>
        <v/>
      </c>
      <c r="BP412" s="125">
        <f t="shared" si="409"/>
        <v>0</v>
      </c>
      <c r="BQ412" s="164">
        <v>0</v>
      </c>
      <c r="BR412" s="164">
        <v>1</v>
      </c>
      <c r="BS412" s="149">
        <f t="shared" si="410"/>
        <v>0</v>
      </c>
      <c r="BT412" s="149">
        <f t="shared" si="411"/>
        <v>0</v>
      </c>
      <c r="BU412" s="149">
        <f t="shared" si="412"/>
        <v>0</v>
      </c>
      <c r="BV412" s="149">
        <f t="shared" si="413"/>
        <v>0</v>
      </c>
      <c r="BW412" s="149">
        <f t="shared" si="414"/>
        <v>0</v>
      </c>
      <c r="BX412" s="149">
        <f t="shared" si="415"/>
        <v>0</v>
      </c>
      <c r="BY412" s="149">
        <f t="shared" si="416"/>
        <v>0</v>
      </c>
      <c r="BZ412" s="149">
        <f t="shared" si="417"/>
        <v>0</v>
      </c>
      <c r="CA412" s="149">
        <f t="shared" si="418"/>
        <v>0</v>
      </c>
      <c r="CB412" s="149">
        <f t="shared" si="419"/>
        <v>1</v>
      </c>
      <c r="CC412" s="149">
        <f t="shared" si="420"/>
        <v>0</v>
      </c>
      <c r="CD412" s="149">
        <f t="shared" si="421"/>
        <v>1</v>
      </c>
      <c r="CE412" s="149">
        <f t="shared" si="422"/>
        <v>0</v>
      </c>
      <c r="CF412" s="149">
        <f t="shared" si="423"/>
        <v>0</v>
      </c>
      <c r="CG412" s="149">
        <f t="shared" si="424"/>
        <v>0</v>
      </c>
      <c r="CH412" s="149">
        <f t="shared" si="425"/>
        <v>0</v>
      </c>
      <c r="CI412" s="149">
        <f t="shared" si="426"/>
        <v>1</v>
      </c>
      <c r="CJ412" s="149">
        <f t="shared" si="427"/>
        <v>1</v>
      </c>
      <c r="CK412" s="149">
        <f t="shared" si="428"/>
        <v>1</v>
      </c>
      <c r="CL412" s="149">
        <f t="shared" si="429"/>
        <v>1</v>
      </c>
      <c r="CM412" s="149">
        <f t="shared" si="430"/>
        <v>1</v>
      </c>
      <c r="CN412" s="149">
        <f t="shared" si="431"/>
        <v>1</v>
      </c>
      <c r="CO412" s="149">
        <f t="shared" si="432"/>
        <v>1</v>
      </c>
      <c r="CP412" s="149">
        <f t="shared" si="433"/>
        <v>1</v>
      </c>
      <c r="CQ412" s="149">
        <f t="shared" si="434"/>
        <v>1</v>
      </c>
      <c r="CR412" s="149">
        <f t="shared" si="435"/>
        <v>1</v>
      </c>
      <c r="CS412" s="149">
        <f t="shared" si="436"/>
        <v>1</v>
      </c>
      <c r="CT412" s="149">
        <f t="shared" si="437"/>
        <v>1</v>
      </c>
      <c r="CU412" s="149">
        <f t="shared" si="438"/>
        <v>1</v>
      </c>
      <c r="CV412" s="149">
        <f t="shared" si="439"/>
        <v>1</v>
      </c>
      <c r="CW412" s="149">
        <f t="shared" si="440"/>
        <v>1</v>
      </c>
      <c r="CX412" s="149">
        <f t="shared" si="441"/>
        <v>1</v>
      </c>
      <c r="CY412" s="149">
        <f t="shared" si="442"/>
        <v>1</v>
      </c>
      <c r="CZ412" s="149">
        <f t="shared" si="443"/>
        <v>1</v>
      </c>
      <c r="DA412" s="149">
        <f t="shared" si="444"/>
        <v>1</v>
      </c>
      <c r="DB412" s="149">
        <f t="shared" si="445"/>
        <v>1</v>
      </c>
      <c r="DG412" s="125" t="str">
        <f t="shared" si="296"/>
        <v/>
      </c>
      <c r="DH412" s="125" t="str">
        <f t="shared" si="456"/>
        <v/>
      </c>
      <c r="DI412" s="125" t="str">
        <f t="shared" si="456"/>
        <v/>
      </c>
      <c r="DJ412" s="125" t="str">
        <f t="shared" si="456"/>
        <v/>
      </c>
      <c r="DK412" s="125" t="str">
        <f t="shared" si="456"/>
        <v/>
      </c>
      <c r="DL412" s="125" t="str">
        <f t="shared" si="456"/>
        <v/>
      </c>
      <c r="DM412" s="125" t="str">
        <f t="shared" si="456"/>
        <v/>
      </c>
      <c r="DN412" s="125" t="str">
        <f t="shared" si="456"/>
        <v/>
      </c>
      <c r="DO412" s="125" t="str">
        <f t="shared" si="456"/>
        <v/>
      </c>
      <c r="DP412" s="125" t="str">
        <f t="shared" si="456"/>
        <v/>
      </c>
      <c r="DS412" s="137"/>
      <c r="DT412" s="137"/>
      <c r="DU412" s="137"/>
      <c r="DV412" s="137" t="b">
        <f t="shared" si="446"/>
        <v>0</v>
      </c>
      <c r="DW412" s="137" t="b">
        <f t="shared" si="447"/>
        <v>0</v>
      </c>
      <c r="DX412" s="137" t="b">
        <f t="shared" si="448"/>
        <v>1</v>
      </c>
      <c r="EB412" s="131">
        <f t="shared" si="449"/>
        <v>1</v>
      </c>
      <c r="EC412" s="137" t="b">
        <f t="shared" si="450"/>
        <v>0</v>
      </c>
      <c r="ED412" s="137" t="b">
        <f t="shared" si="451"/>
        <v>0</v>
      </c>
      <c r="EE412" s="137" t="b">
        <f t="shared" si="452"/>
        <v>1</v>
      </c>
      <c r="EF412" s="137"/>
      <c r="EG412" s="137"/>
      <c r="EH412" s="137"/>
      <c r="EI412" s="137"/>
      <c r="EJ412" s="137">
        <f t="shared" si="453"/>
        <v>1</v>
      </c>
      <c r="EK412" s="125" t="str">
        <f t="shared" si="454"/>
        <v/>
      </c>
      <c r="EL412" s="125" t="str">
        <f t="shared" si="455"/>
        <v/>
      </c>
    </row>
    <row r="413" spans="2:142" ht="15.75" x14ac:dyDescent="0.2">
      <c r="B413" s="160" t="str">
        <f t="shared" si="405"/>
        <v/>
      </c>
      <c r="C413" s="205"/>
      <c r="D413" s="205"/>
      <c r="E413" s="205"/>
      <c r="F413" s="118" t="str">
        <f>IF(OR(J413="",H413=""),"",VLOOKUP(J413,'הזנה לסיווג רשויות'!$B$2:$D$301,2,0))</f>
        <v/>
      </c>
      <c r="G413" s="118" t="str">
        <f>IF(OR(J413="",H413=""),"",VLOOKUP(J413,'הזנה לסיווג רשויות'!$B$2:$D$301,3,0))</f>
        <v/>
      </c>
      <c r="H413" s="201"/>
      <c r="I413" s="201"/>
      <c r="J413" s="205"/>
      <c r="K413" s="161"/>
      <c r="L413" s="161"/>
      <c r="M413" s="161"/>
      <c r="N413" s="161"/>
      <c r="O413" s="161"/>
      <c r="P413" s="161"/>
      <c r="Q413" s="161"/>
      <c r="R413" s="201"/>
      <c r="S413" s="201"/>
      <c r="T413" s="160" t="str">
        <f>IF(G413="","",IFERROR(IF(S413/R413&gt;'פרמטרים לקריטריונים'!$C$20,1,0),0))</f>
        <v/>
      </c>
      <c r="U413" s="201"/>
      <c r="V413" s="160" t="str">
        <f>IF(G413="","",IFERROR(IF(U413/R413&gt;'פרמטרים לקריטריונים'!$C$21,1,IF(AND(I413=$BW$5,U413/R413&gt;'פרמטרים לקריטריונים'!$C$22),1,0)),0))</f>
        <v/>
      </c>
      <c r="W413" s="161"/>
      <c r="X413" s="161"/>
      <c r="Y413" s="201"/>
      <c r="Z413" s="201"/>
      <c r="AA413" s="161" t="str">
        <f t="shared" si="403"/>
        <v/>
      </c>
      <c r="AB413" s="161"/>
      <c r="AC413" s="161"/>
      <c r="AD413" s="161"/>
      <c r="AE413" s="161"/>
      <c r="AF413" s="161"/>
      <c r="AG413" s="161"/>
      <c r="AH413" s="161"/>
      <c r="AI413" s="161"/>
      <c r="AJ413" s="161"/>
      <c r="AK413" s="161"/>
      <c r="AL413" s="161"/>
      <c r="AM413" s="161"/>
      <c r="AN413" s="161"/>
      <c r="AO413" s="161"/>
      <c r="AP413" s="161"/>
      <c r="AQ413" s="161"/>
      <c r="AR413" s="161"/>
      <c r="AS413" s="161"/>
      <c r="AT413" s="161"/>
      <c r="AU413" s="161"/>
      <c r="AV413" s="161"/>
      <c r="AW413" s="160"/>
      <c r="AX413" s="161"/>
      <c r="AY413" s="161"/>
      <c r="AZ413" s="161"/>
      <c r="BA413" s="161"/>
      <c r="BB413" s="161"/>
      <c r="BC413" s="161"/>
      <c r="BD413" s="161"/>
      <c r="BE413" s="161"/>
      <c r="BF413" s="160" t="str">
        <f t="shared" si="406"/>
        <v/>
      </c>
      <c r="BG413" s="160"/>
      <c r="BH413" s="160"/>
      <c r="BI413" s="160"/>
      <c r="BJ413" s="160"/>
      <c r="BK413" s="160"/>
      <c r="BL413" s="162" t="str">
        <f t="shared" si="407"/>
        <v/>
      </c>
      <c r="BM413" s="257"/>
      <c r="BN413" s="163"/>
      <c r="BO413" s="211" t="str">
        <f t="shared" si="408"/>
        <v/>
      </c>
      <c r="BP413" s="125">
        <f t="shared" si="409"/>
        <v>0</v>
      </c>
      <c r="BQ413" s="164">
        <v>0</v>
      </c>
      <c r="BR413" s="164">
        <v>1</v>
      </c>
      <c r="BS413" s="149">
        <f t="shared" si="410"/>
        <v>0</v>
      </c>
      <c r="BT413" s="149">
        <f t="shared" si="411"/>
        <v>0</v>
      </c>
      <c r="BU413" s="149">
        <f t="shared" si="412"/>
        <v>0</v>
      </c>
      <c r="BV413" s="149">
        <f t="shared" si="413"/>
        <v>0</v>
      </c>
      <c r="BW413" s="149">
        <f t="shared" si="414"/>
        <v>0</v>
      </c>
      <c r="BX413" s="149">
        <f t="shared" si="415"/>
        <v>0</v>
      </c>
      <c r="BY413" s="149">
        <f t="shared" si="416"/>
        <v>0</v>
      </c>
      <c r="BZ413" s="149">
        <f t="shared" si="417"/>
        <v>0</v>
      </c>
      <c r="CA413" s="149">
        <f t="shared" si="418"/>
        <v>0</v>
      </c>
      <c r="CB413" s="149">
        <f t="shared" si="419"/>
        <v>1</v>
      </c>
      <c r="CC413" s="149">
        <f t="shared" si="420"/>
        <v>0</v>
      </c>
      <c r="CD413" s="149">
        <f t="shared" si="421"/>
        <v>1</v>
      </c>
      <c r="CE413" s="149">
        <f t="shared" si="422"/>
        <v>0</v>
      </c>
      <c r="CF413" s="149">
        <f t="shared" si="423"/>
        <v>0</v>
      </c>
      <c r="CG413" s="149">
        <f t="shared" si="424"/>
        <v>0</v>
      </c>
      <c r="CH413" s="149">
        <f t="shared" si="425"/>
        <v>0</v>
      </c>
      <c r="CI413" s="149">
        <f t="shared" si="426"/>
        <v>1</v>
      </c>
      <c r="CJ413" s="149">
        <f t="shared" si="427"/>
        <v>1</v>
      </c>
      <c r="CK413" s="149">
        <f t="shared" si="428"/>
        <v>1</v>
      </c>
      <c r="CL413" s="149">
        <f t="shared" si="429"/>
        <v>1</v>
      </c>
      <c r="CM413" s="149">
        <f t="shared" si="430"/>
        <v>1</v>
      </c>
      <c r="CN413" s="149">
        <f t="shared" si="431"/>
        <v>1</v>
      </c>
      <c r="CO413" s="149">
        <f t="shared" si="432"/>
        <v>1</v>
      </c>
      <c r="CP413" s="149">
        <f t="shared" si="433"/>
        <v>1</v>
      </c>
      <c r="CQ413" s="149">
        <f t="shared" si="434"/>
        <v>1</v>
      </c>
      <c r="CR413" s="149">
        <f t="shared" si="435"/>
        <v>1</v>
      </c>
      <c r="CS413" s="149">
        <f t="shared" si="436"/>
        <v>1</v>
      </c>
      <c r="CT413" s="149">
        <f t="shared" si="437"/>
        <v>1</v>
      </c>
      <c r="CU413" s="149">
        <f t="shared" si="438"/>
        <v>1</v>
      </c>
      <c r="CV413" s="149">
        <f t="shared" si="439"/>
        <v>1</v>
      </c>
      <c r="CW413" s="149">
        <f t="shared" si="440"/>
        <v>1</v>
      </c>
      <c r="CX413" s="149">
        <f t="shared" si="441"/>
        <v>1</v>
      </c>
      <c r="CY413" s="149">
        <f t="shared" si="442"/>
        <v>1</v>
      </c>
      <c r="CZ413" s="149">
        <f t="shared" si="443"/>
        <v>1</v>
      </c>
      <c r="DA413" s="149">
        <f t="shared" si="444"/>
        <v>1</v>
      </c>
      <c r="DB413" s="149">
        <f t="shared" si="445"/>
        <v>1</v>
      </c>
      <c r="DG413" s="125" t="str">
        <f t="shared" si="296"/>
        <v/>
      </c>
      <c r="DH413" s="125" t="str">
        <f t="shared" si="456"/>
        <v/>
      </c>
      <c r="DI413" s="125" t="str">
        <f t="shared" si="456"/>
        <v/>
      </c>
      <c r="DJ413" s="125" t="str">
        <f t="shared" si="456"/>
        <v/>
      </c>
      <c r="DK413" s="125" t="str">
        <f t="shared" si="456"/>
        <v/>
      </c>
      <c r="DL413" s="125" t="str">
        <f t="shared" si="456"/>
        <v/>
      </c>
      <c r="DM413" s="125" t="str">
        <f t="shared" si="456"/>
        <v/>
      </c>
      <c r="DN413" s="125" t="str">
        <f t="shared" si="456"/>
        <v/>
      </c>
      <c r="DO413" s="125" t="str">
        <f t="shared" si="456"/>
        <v/>
      </c>
      <c r="DP413" s="125" t="str">
        <f t="shared" si="456"/>
        <v/>
      </c>
      <c r="DS413" s="137"/>
      <c r="DT413" s="137"/>
      <c r="DU413" s="137"/>
      <c r="DV413" s="137" t="b">
        <f t="shared" si="446"/>
        <v>0</v>
      </c>
      <c r="DW413" s="137" t="b">
        <f t="shared" si="447"/>
        <v>0</v>
      </c>
      <c r="DX413" s="137" t="b">
        <f t="shared" si="448"/>
        <v>1</v>
      </c>
      <c r="EB413" s="131">
        <f t="shared" si="449"/>
        <v>1</v>
      </c>
      <c r="EC413" s="137" t="b">
        <f t="shared" si="450"/>
        <v>0</v>
      </c>
      <c r="ED413" s="137" t="b">
        <f t="shared" si="451"/>
        <v>0</v>
      </c>
      <c r="EE413" s="137" t="b">
        <f t="shared" si="452"/>
        <v>1</v>
      </c>
      <c r="EF413" s="137"/>
      <c r="EG413" s="137"/>
      <c r="EH413" s="137"/>
      <c r="EI413" s="137"/>
      <c r="EJ413" s="137">
        <f t="shared" si="453"/>
        <v>1</v>
      </c>
      <c r="EK413" s="125" t="str">
        <f t="shared" si="454"/>
        <v/>
      </c>
      <c r="EL413" s="125" t="str">
        <f t="shared" si="455"/>
        <v/>
      </c>
    </row>
    <row r="414" spans="2:142" ht="15.75" x14ac:dyDescent="0.2">
      <c r="B414" s="160" t="str">
        <f t="shared" si="405"/>
        <v/>
      </c>
      <c r="C414" s="205"/>
      <c r="D414" s="205"/>
      <c r="E414" s="205"/>
      <c r="F414" s="118" t="str">
        <f>IF(OR(J414="",H414=""),"",VLOOKUP(J414,'הזנה לסיווג רשויות'!$B$2:$D$301,2,0))</f>
        <v/>
      </c>
      <c r="G414" s="118" t="str">
        <f>IF(OR(J414="",H414=""),"",VLOOKUP(J414,'הזנה לסיווג רשויות'!$B$2:$D$301,3,0))</f>
        <v/>
      </c>
      <c r="H414" s="201"/>
      <c r="I414" s="201"/>
      <c r="J414" s="205"/>
      <c r="K414" s="161"/>
      <c r="L414" s="161"/>
      <c r="M414" s="161"/>
      <c r="N414" s="161"/>
      <c r="O414" s="161"/>
      <c r="P414" s="161"/>
      <c r="Q414" s="161"/>
      <c r="R414" s="201"/>
      <c r="S414" s="201"/>
      <c r="T414" s="160" t="str">
        <f>IF(G414="","",IFERROR(IF(S414/R414&gt;'פרמטרים לקריטריונים'!$C$20,1,0),0))</f>
        <v/>
      </c>
      <c r="U414" s="201"/>
      <c r="V414" s="160" t="str">
        <f>IF(G414="","",IFERROR(IF(U414/R414&gt;'פרמטרים לקריטריונים'!$C$21,1,IF(AND(I414=$BW$5,U414/R414&gt;'פרמטרים לקריטריונים'!$C$22),1,0)),0))</f>
        <v/>
      </c>
      <c r="W414" s="161"/>
      <c r="X414" s="161"/>
      <c r="Y414" s="201"/>
      <c r="Z414" s="201"/>
      <c r="AA414" s="161" t="str">
        <f t="shared" si="403"/>
        <v/>
      </c>
      <c r="AB414" s="161"/>
      <c r="AC414" s="161"/>
      <c r="AD414" s="161"/>
      <c r="AE414" s="161"/>
      <c r="AF414" s="161"/>
      <c r="AG414" s="161"/>
      <c r="AH414" s="161"/>
      <c r="AI414" s="161"/>
      <c r="AJ414" s="161"/>
      <c r="AK414" s="161"/>
      <c r="AL414" s="161"/>
      <c r="AM414" s="161"/>
      <c r="AN414" s="161"/>
      <c r="AO414" s="161"/>
      <c r="AP414" s="161"/>
      <c r="AQ414" s="161"/>
      <c r="AR414" s="161"/>
      <c r="AS414" s="161"/>
      <c r="AT414" s="161"/>
      <c r="AU414" s="161"/>
      <c r="AV414" s="161"/>
      <c r="AW414" s="160"/>
      <c r="AX414" s="161"/>
      <c r="AY414" s="161"/>
      <c r="AZ414" s="161"/>
      <c r="BA414" s="161"/>
      <c r="BB414" s="161"/>
      <c r="BC414" s="161"/>
      <c r="BD414" s="161"/>
      <c r="BE414" s="161"/>
      <c r="BF414" s="160" t="str">
        <f t="shared" si="406"/>
        <v/>
      </c>
      <c r="BG414" s="160"/>
      <c r="BH414" s="160"/>
      <c r="BI414" s="160"/>
      <c r="BJ414" s="160"/>
      <c r="BK414" s="160"/>
      <c r="BL414" s="162" t="str">
        <f t="shared" si="407"/>
        <v/>
      </c>
      <c r="BM414" s="257"/>
      <c r="BN414" s="163"/>
      <c r="BO414" s="211" t="str">
        <f t="shared" si="408"/>
        <v/>
      </c>
      <c r="BP414" s="125">
        <f t="shared" si="409"/>
        <v>0</v>
      </c>
      <c r="BQ414" s="164">
        <v>0</v>
      </c>
      <c r="BR414" s="164">
        <v>1</v>
      </c>
      <c r="BS414" s="149">
        <f t="shared" si="410"/>
        <v>0</v>
      </c>
      <c r="BT414" s="149">
        <f t="shared" si="411"/>
        <v>0</v>
      </c>
      <c r="BU414" s="149">
        <f t="shared" si="412"/>
        <v>0</v>
      </c>
      <c r="BV414" s="149">
        <f t="shared" si="413"/>
        <v>0</v>
      </c>
      <c r="BW414" s="149">
        <f t="shared" si="414"/>
        <v>0</v>
      </c>
      <c r="BX414" s="149">
        <f t="shared" si="415"/>
        <v>0</v>
      </c>
      <c r="BY414" s="149">
        <f t="shared" si="416"/>
        <v>0</v>
      </c>
      <c r="BZ414" s="149">
        <f t="shared" si="417"/>
        <v>0</v>
      </c>
      <c r="CA414" s="149">
        <f t="shared" si="418"/>
        <v>0</v>
      </c>
      <c r="CB414" s="149">
        <f t="shared" si="419"/>
        <v>1</v>
      </c>
      <c r="CC414" s="149">
        <f t="shared" si="420"/>
        <v>0</v>
      </c>
      <c r="CD414" s="149">
        <f t="shared" si="421"/>
        <v>1</v>
      </c>
      <c r="CE414" s="149">
        <f t="shared" si="422"/>
        <v>0</v>
      </c>
      <c r="CF414" s="149">
        <f t="shared" si="423"/>
        <v>0</v>
      </c>
      <c r="CG414" s="149">
        <f t="shared" si="424"/>
        <v>0</v>
      </c>
      <c r="CH414" s="149">
        <f t="shared" si="425"/>
        <v>0</v>
      </c>
      <c r="CI414" s="149">
        <f t="shared" si="426"/>
        <v>1</v>
      </c>
      <c r="CJ414" s="149">
        <f t="shared" si="427"/>
        <v>1</v>
      </c>
      <c r="CK414" s="149">
        <f t="shared" si="428"/>
        <v>1</v>
      </c>
      <c r="CL414" s="149">
        <f t="shared" si="429"/>
        <v>1</v>
      </c>
      <c r="CM414" s="149">
        <f t="shared" si="430"/>
        <v>1</v>
      </c>
      <c r="CN414" s="149">
        <f t="shared" si="431"/>
        <v>1</v>
      </c>
      <c r="CO414" s="149">
        <f t="shared" si="432"/>
        <v>1</v>
      </c>
      <c r="CP414" s="149">
        <f t="shared" si="433"/>
        <v>1</v>
      </c>
      <c r="CQ414" s="149">
        <f t="shared" si="434"/>
        <v>1</v>
      </c>
      <c r="CR414" s="149">
        <f t="shared" si="435"/>
        <v>1</v>
      </c>
      <c r="CS414" s="149">
        <f t="shared" si="436"/>
        <v>1</v>
      </c>
      <c r="CT414" s="149">
        <f t="shared" si="437"/>
        <v>1</v>
      </c>
      <c r="CU414" s="149">
        <f t="shared" si="438"/>
        <v>1</v>
      </c>
      <c r="CV414" s="149">
        <f t="shared" si="439"/>
        <v>1</v>
      </c>
      <c r="CW414" s="149">
        <f t="shared" si="440"/>
        <v>1</v>
      </c>
      <c r="CX414" s="149">
        <f t="shared" si="441"/>
        <v>1</v>
      </c>
      <c r="CY414" s="149">
        <f t="shared" si="442"/>
        <v>1</v>
      </c>
      <c r="CZ414" s="149">
        <f t="shared" si="443"/>
        <v>1</v>
      </c>
      <c r="DA414" s="149">
        <f t="shared" si="444"/>
        <v>1</v>
      </c>
      <c r="DB414" s="149">
        <f t="shared" si="445"/>
        <v>1</v>
      </c>
      <c r="DG414" s="125" t="str">
        <f t="shared" si="296"/>
        <v/>
      </c>
      <c r="DH414" s="125" t="str">
        <f t="shared" si="456"/>
        <v/>
      </c>
      <c r="DI414" s="125" t="str">
        <f t="shared" si="456"/>
        <v/>
      </c>
      <c r="DJ414" s="125" t="str">
        <f t="shared" si="456"/>
        <v/>
      </c>
      <c r="DK414" s="125" t="str">
        <f t="shared" si="456"/>
        <v/>
      </c>
      <c r="DL414" s="125" t="str">
        <f t="shared" si="456"/>
        <v/>
      </c>
      <c r="DM414" s="125" t="str">
        <f t="shared" si="456"/>
        <v/>
      </c>
      <c r="DN414" s="125" t="str">
        <f t="shared" si="456"/>
        <v/>
      </c>
      <c r="DO414" s="125" t="str">
        <f t="shared" si="456"/>
        <v/>
      </c>
      <c r="DP414" s="125" t="str">
        <f t="shared" si="456"/>
        <v/>
      </c>
      <c r="DS414" s="137"/>
      <c r="DT414" s="137"/>
      <c r="DU414" s="137"/>
      <c r="DV414" s="137" t="b">
        <f t="shared" si="446"/>
        <v>0</v>
      </c>
      <c r="DW414" s="137" t="b">
        <f t="shared" si="447"/>
        <v>0</v>
      </c>
      <c r="DX414" s="137" t="b">
        <f t="shared" si="448"/>
        <v>1</v>
      </c>
      <c r="EB414" s="131">
        <f t="shared" si="449"/>
        <v>1</v>
      </c>
      <c r="EC414" s="137" t="b">
        <f t="shared" si="450"/>
        <v>0</v>
      </c>
      <c r="ED414" s="137" t="b">
        <f t="shared" si="451"/>
        <v>0</v>
      </c>
      <c r="EE414" s="137" t="b">
        <f t="shared" si="452"/>
        <v>1</v>
      </c>
      <c r="EF414" s="137"/>
      <c r="EG414" s="137"/>
      <c r="EH414" s="137"/>
      <c r="EI414" s="137"/>
      <c r="EJ414" s="137">
        <f t="shared" si="453"/>
        <v>1</v>
      </c>
      <c r="EK414" s="125" t="str">
        <f t="shared" si="454"/>
        <v/>
      </c>
      <c r="EL414" s="125" t="str">
        <f t="shared" si="455"/>
        <v/>
      </c>
    </row>
    <row r="415" spans="2:142" ht="15.75" x14ac:dyDescent="0.2">
      <c r="B415" s="160" t="str">
        <f t="shared" si="405"/>
        <v/>
      </c>
      <c r="C415" s="205"/>
      <c r="D415" s="205"/>
      <c r="E415" s="205"/>
      <c r="F415" s="118" t="str">
        <f>IF(OR(J415="",H415=""),"",VLOOKUP(J415,'הזנה לסיווג רשויות'!$B$2:$D$301,2,0))</f>
        <v/>
      </c>
      <c r="G415" s="118" t="str">
        <f>IF(OR(J415="",H415=""),"",VLOOKUP(J415,'הזנה לסיווג רשויות'!$B$2:$D$301,3,0))</f>
        <v/>
      </c>
      <c r="H415" s="201"/>
      <c r="I415" s="201"/>
      <c r="J415" s="205"/>
      <c r="K415" s="161"/>
      <c r="L415" s="161"/>
      <c r="M415" s="161"/>
      <c r="N415" s="161"/>
      <c r="O415" s="161"/>
      <c r="P415" s="161"/>
      <c r="Q415" s="161"/>
      <c r="R415" s="201"/>
      <c r="S415" s="201"/>
      <c r="T415" s="160" t="str">
        <f>IF(G415="","",IFERROR(IF(S415/R415&gt;'פרמטרים לקריטריונים'!$C$20,1,0),0))</f>
        <v/>
      </c>
      <c r="U415" s="201"/>
      <c r="V415" s="160" t="str">
        <f>IF(G415="","",IFERROR(IF(U415/R415&gt;'פרמטרים לקריטריונים'!$C$21,1,IF(AND(I415=$BW$5,U415/R415&gt;'פרמטרים לקריטריונים'!$C$22),1,0)),0))</f>
        <v/>
      </c>
      <c r="W415" s="161"/>
      <c r="X415" s="161"/>
      <c r="Y415" s="201"/>
      <c r="Z415" s="201"/>
      <c r="AA415" s="161" t="str">
        <f t="shared" si="403"/>
        <v/>
      </c>
      <c r="AB415" s="161"/>
      <c r="AC415" s="161"/>
      <c r="AD415" s="161"/>
      <c r="AE415" s="161"/>
      <c r="AF415" s="161"/>
      <c r="AG415" s="161"/>
      <c r="AH415" s="161"/>
      <c r="AI415" s="161"/>
      <c r="AJ415" s="161"/>
      <c r="AK415" s="161"/>
      <c r="AL415" s="161"/>
      <c r="AM415" s="161"/>
      <c r="AN415" s="161"/>
      <c r="AO415" s="161"/>
      <c r="AP415" s="161"/>
      <c r="AQ415" s="161"/>
      <c r="AR415" s="161"/>
      <c r="AS415" s="161"/>
      <c r="AT415" s="161"/>
      <c r="AU415" s="161"/>
      <c r="AV415" s="161"/>
      <c r="AW415" s="160"/>
      <c r="AX415" s="161"/>
      <c r="AY415" s="161"/>
      <c r="AZ415" s="161"/>
      <c r="BA415" s="161"/>
      <c r="BB415" s="161"/>
      <c r="BC415" s="161"/>
      <c r="BD415" s="161"/>
      <c r="BE415" s="161"/>
      <c r="BF415" s="160" t="str">
        <f t="shared" si="406"/>
        <v/>
      </c>
      <c r="BG415" s="160"/>
      <c r="BH415" s="160"/>
      <c r="BI415" s="160"/>
      <c r="BJ415" s="160"/>
      <c r="BK415" s="160"/>
      <c r="BL415" s="162" t="str">
        <f t="shared" si="407"/>
        <v/>
      </c>
      <c r="BM415" s="257"/>
      <c r="BN415" s="163"/>
      <c r="BO415" s="211" t="str">
        <f t="shared" si="408"/>
        <v/>
      </c>
      <c r="BP415" s="125">
        <f t="shared" si="409"/>
        <v>0</v>
      </c>
      <c r="BQ415" s="164">
        <v>0</v>
      </c>
      <c r="BR415" s="164">
        <v>1</v>
      </c>
      <c r="BS415" s="149">
        <f t="shared" si="410"/>
        <v>0</v>
      </c>
      <c r="BT415" s="149">
        <f t="shared" si="411"/>
        <v>0</v>
      </c>
      <c r="BU415" s="149">
        <f t="shared" si="412"/>
        <v>0</v>
      </c>
      <c r="BV415" s="149">
        <f t="shared" si="413"/>
        <v>0</v>
      </c>
      <c r="BW415" s="149">
        <f t="shared" si="414"/>
        <v>0</v>
      </c>
      <c r="BX415" s="149">
        <f t="shared" si="415"/>
        <v>0</v>
      </c>
      <c r="BY415" s="149">
        <f t="shared" si="416"/>
        <v>0</v>
      </c>
      <c r="BZ415" s="149">
        <f t="shared" si="417"/>
        <v>0</v>
      </c>
      <c r="CA415" s="149">
        <f t="shared" si="418"/>
        <v>0</v>
      </c>
      <c r="CB415" s="149">
        <f t="shared" si="419"/>
        <v>1</v>
      </c>
      <c r="CC415" s="149">
        <f t="shared" si="420"/>
        <v>0</v>
      </c>
      <c r="CD415" s="149">
        <f t="shared" si="421"/>
        <v>1</v>
      </c>
      <c r="CE415" s="149">
        <f t="shared" si="422"/>
        <v>0</v>
      </c>
      <c r="CF415" s="149">
        <f t="shared" si="423"/>
        <v>0</v>
      </c>
      <c r="CG415" s="149">
        <f t="shared" si="424"/>
        <v>0</v>
      </c>
      <c r="CH415" s="149">
        <f t="shared" si="425"/>
        <v>0</v>
      </c>
      <c r="CI415" s="149">
        <f t="shared" si="426"/>
        <v>1</v>
      </c>
      <c r="CJ415" s="149">
        <f t="shared" si="427"/>
        <v>1</v>
      </c>
      <c r="CK415" s="149">
        <f t="shared" si="428"/>
        <v>1</v>
      </c>
      <c r="CL415" s="149">
        <f t="shared" si="429"/>
        <v>1</v>
      </c>
      <c r="CM415" s="149">
        <f t="shared" si="430"/>
        <v>1</v>
      </c>
      <c r="CN415" s="149">
        <f t="shared" si="431"/>
        <v>1</v>
      </c>
      <c r="CO415" s="149">
        <f t="shared" si="432"/>
        <v>1</v>
      </c>
      <c r="CP415" s="149">
        <f t="shared" si="433"/>
        <v>1</v>
      </c>
      <c r="CQ415" s="149">
        <f t="shared" si="434"/>
        <v>1</v>
      </c>
      <c r="CR415" s="149">
        <f t="shared" si="435"/>
        <v>1</v>
      </c>
      <c r="CS415" s="149">
        <f t="shared" si="436"/>
        <v>1</v>
      </c>
      <c r="CT415" s="149">
        <f t="shared" si="437"/>
        <v>1</v>
      </c>
      <c r="CU415" s="149">
        <f t="shared" si="438"/>
        <v>1</v>
      </c>
      <c r="CV415" s="149">
        <f t="shared" si="439"/>
        <v>1</v>
      </c>
      <c r="CW415" s="149">
        <f t="shared" si="440"/>
        <v>1</v>
      </c>
      <c r="CX415" s="149">
        <f t="shared" si="441"/>
        <v>1</v>
      </c>
      <c r="CY415" s="149">
        <f t="shared" si="442"/>
        <v>1</v>
      </c>
      <c r="CZ415" s="149">
        <f t="shared" si="443"/>
        <v>1</v>
      </c>
      <c r="DA415" s="149">
        <f t="shared" si="444"/>
        <v>1</v>
      </c>
      <c r="DB415" s="149">
        <f t="shared" si="445"/>
        <v>1</v>
      </c>
      <c r="DG415" s="125" t="str">
        <f t="shared" si="296"/>
        <v/>
      </c>
      <c r="DH415" s="125" t="str">
        <f t="shared" si="456"/>
        <v/>
      </c>
      <c r="DI415" s="125" t="str">
        <f t="shared" si="456"/>
        <v/>
      </c>
      <c r="DJ415" s="125" t="str">
        <f t="shared" si="456"/>
        <v/>
      </c>
      <c r="DK415" s="125" t="str">
        <f t="shared" si="456"/>
        <v/>
      </c>
      <c r="DL415" s="125" t="str">
        <f t="shared" si="456"/>
        <v/>
      </c>
      <c r="DM415" s="125" t="str">
        <f t="shared" si="456"/>
        <v/>
      </c>
      <c r="DN415" s="125" t="str">
        <f t="shared" si="456"/>
        <v/>
      </c>
      <c r="DO415" s="125" t="str">
        <f t="shared" si="456"/>
        <v/>
      </c>
      <c r="DP415" s="125" t="str">
        <f t="shared" si="456"/>
        <v/>
      </c>
      <c r="DS415" s="137"/>
      <c r="DT415" s="137"/>
      <c r="DU415" s="137"/>
      <c r="DV415" s="137" t="b">
        <f t="shared" si="446"/>
        <v>0</v>
      </c>
      <c r="DW415" s="137" t="b">
        <f t="shared" si="447"/>
        <v>0</v>
      </c>
      <c r="DX415" s="137" t="b">
        <f t="shared" si="448"/>
        <v>1</v>
      </c>
      <c r="EB415" s="131">
        <f t="shared" si="449"/>
        <v>1</v>
      </c>
      <c r="EC415" s="137" t="b">
        <f t="shared" si="450"/>
        <v>0</v>
      </c>
      <c r="ED415" s="137" t="b">
        <f t="shared" si="451"/>
        <v>0</v>
      </c>
      <c r="EE415" s="137" t="b">
        <f t="shared" si="452"/>
        <v>1</v>
      </c>
      <c r="EF415" s="137"/>
      <c r="EG415" s="137"/>
      <c r="EH415" s="137"/>
      <c r="EI415" s="137"/>
      <c r="EJ415" s="137">
        <f t="shared" si="453"/>
        <v>1</v>
      </c>
      <c r="EK415" s="125" t="str">
        <f t="shared" si="454"/>
        <v/>
      </c>
      <c r="EL415" s="125" t="str">
        <f t="shared" si="455"/>
        <v/>
      </c>
    </row>
    <row r="416" spans="2:142" ht="15.75" x14ac:dyDescent="0.2">
      <c r="B416" s="160" t="str">
        <f t="shared" si="405"/>
        <v/>
      </c>
      <c r="C416" s="205"/>
      <c r="D416" s="205"/>
      <c r="E416" s="205"/>
      <c r="F416" s="118" t="str">
        <f>IF(OR(J416="",H416=""),"",VLOOKUP(J416,'הזנה לסיווג רשויות'!$B$2:$D$301,2,0))</f>
        <v/>
      </c>
      <c r="G416" s="118" t="str">
        <f>IF(OR(J416="",H416=""),"",VLOOKUP(J416,'הזנה לסיווג רשויות'!$B$2:$D$301,3,0))</f>
        <v/>
      </c>
      <c r="H416" s="201"/>
      <c r="I416" s="201"/>
      <c r="J416" s="205"/>
      <c r="K416" s="161"/>
      <c r="L416" s="161"/>
      <c r="M416" s="161"/>
      <c r="N416" s="161"/>
      <c r="O416" s="161"/>
      <c r="P416" s="161"/>
      <c r="Q416" s="161"/>
      <c r="R416" s="201"/>
      <c r="S416" s="201"/>
      <c r="T416" s="160" t="str">
        <f>IF(G416="","",IFERROR(IF(S416/R416&gt;'פרמטרים לקריטריונים'!$C$20,1,0),0))</f>
        <v/>
      </c>
      <c r="U416" s="201"/>
      <c r="V416" s="160" t="str">
        <f>IF(G416="","",IFERROR(IF(U416/R416&gt;'פרמטרים לקריטריונים'!$C$21,1,IF(AND(I416=$BW$5,U416/R416&gt;'פרמטרים לקריטריונים'!$C$22),1,0)),0))</f>
        <v/>
      </c>
      <c r="W416" s="161"/>
      <c r="X416" s="161"/>
      <c r="Y416" s="201"/>
      <c r="Z416" s="201"/>
      <c r="AA416" s="161" t="str">
        <f t="shared" ref="AA416:AA479" si="457">IF(G416="","",IF(COUNTIF($D$31:$D$500,D416)=1,1,0))</f>
        <v/>
      </c>
      <c r="AB416" s="161"/>
      <c r="AC416" s="161"/>
      <c r="AD416" s="161"/>
      <c r="AE416" s="161"/>
      <c r="AF416" s="161"/>
      <c r="AG416" s="161"/>
      <c r="AH416" s="161"/>
      <c r="AI416" s="161"/>
      <c r="AJ416" s="161"/>
      <c r="AK416" s="161"/>
      <c r="AL416" s="161"/>
      <c r="AM416" s="161"/>
      <c r="AN416" s="161"/>
      <c r="AO416" s="161"/>
      <c r="AP416" s="161"/>
      <c r="AQ416" s="161"/>
      <c r="AR416" s="161"/>
      <c r="AS416" s="161"/>
      <c r="AT416" s="161"/>
      <c r="AU416" s="161"/>
      <c r="AV416" s="161"/>
      <c r="AW416" s="160"/>
      <c r="AX416" s="161"/>
      <c r="AY416" s="161"/>
      <c r="AZ416" s="161"/>
      <c r="BA416" s="161"/>
      <c r="BB416" s="161"/>
      <c r="BC416" s="161"/>
      <c r="BD416" s="161"/>
      <c r="BE416" s="161"/>
      <c r="BF416" s="160" t="str">
        <f t="shared" si="406"/>
        <v/>
      </c>
      <c r="BG416" s="160"/>
      <c r="BH416" s="160"/>
      <c r="BI416" s="160"/>
      <c r="BJ416" s="160"/>
      <c r="BK416" s="160"/>
      <c r="BL416" s="162" t="str">
        <f t="shared" si="407"/>
        <v/>
      </c>
      <c r="BM416" s="257"/>
      <c r="BN416" s="163"/>
      <c r="BO416" s="211" t="str">
        <f t="shared" si="408"/>
        <v/>
      </c>
      <c r="BP416" s="125">
        <f t="shared" si="409"/>
        <v>0</v>
      </c>
      <c r="BQ416" s="164">
        <v>0</v>
      </c>
      <c r="BR416" s="164">
        <v>1</v>
      </c>
      <c r="BS416" s="149">
        <f t="shared" si="410"/>
        <v>0</v>
      </c>
      <c r="BT416" s="149">
        <f t="shared" si="411"/>
        <v>0</v>
      </c>
      <c r="BU416" s="149">
        <f t="shared" si="412"/>
        <v>0</v>
      </c>
      <c r="BV416" s="149">
        <f t="shared" si="413"/>
        <v>0</v>
      </c>
      <c r="BW416" s="149">
        <f t="shared" si="414"/>
        <v>0</v>
      </c>
      <c r="BX416" s="149">
        <f t="shared" si="415"/>
        <v>0</v>
      </c>
      <c r="BY416" s="149">
        <f t="shared" si="416"/>
        <v>0</v>
      </c>
      <c r="BZ416" s="149">
        <f t="shared" si="417"/>
        <v>0</v>
      </c>
      <c r="CA416" s="149">
        <f t="shared" si="418"/>
        <v>0</v>
      </c>
      <c r="CB416" s="149">
        <f t="shared" si="419"/>
        <v>1</v>
      </c>
      <c r="CC416" s="149">
        <f t="shared" si="420"/>
        <v>0</v>
      </c>
      <c r="CD416" s="149">
        <f t="shared" si="421"/>
        <v>1</v>
      </c>
      <c r="CE416" s="149">
        <f t="shared" si="422"/>
        <v>0</v>
      </c>
      <c r="CF416" s="149">
        <f t="shared" si="423"/>
        <v>0</v>
      </c>
      <c r="CG416" s="149">
        <f t="shared" si="424"/>
        <v>0</v>
      </c>
      <c r="CH416" s="149">
        <f t="shared" si="425"/>
        <v>0</v>
      </c>
      <c r="CI416" s="149">
        <f t="shared" si="426"/>
        <v>1</v>
      </c>
      <c r="CJ416" s="149">
        <f t="shared" si="427"/>
        <v>1</v>
      </c>
      <c r="CK416" s="149">
        <f t="shared" si="428"/>
        <v>1</v>
      </c>
      <c r="CL416" s="149">
        <f t="shared" si="429"/>
        <v>1</v>
      </c>
      <c r="CM416" s="149">
        <f t="shared" si="430"/>
        <v>1</v>
      </c>
      <c r="CN416" s="149">
        <f t="shared" si="431"/>
        <v>1</v>
      </c>
      <c r="CO416" s="149">
        <f t="shared" si="432"/>
        <v>1</v>
      </c>
      <c r="CP416" s="149">
        <f t="shared" si="433"/>
        <v>1</v>
      </c>
      <c r="CQ416" s="149">
        <f t="shared" si="434"/>
        <v>1</v>
      </c>
      <c r="CR416" s="149">
        <f t="shared" si="435"/>
        <v>1</v>
      </c>
      <c r="CS416" s="149">
        <f t="shared" si="436"/>
        <v>1</v>
      </c>
      <c r="CT416" s="149">
        <f t="shared" si="437"/>
        <v>1</v>
      </c>
      <c r="CU416" s="149">
        <f t="shared" si="438"/>
        <v>1</v>
      </c>
      <c r="CV416" s="149">
        <f t="shared" si="439"/>
        <v>1</v>
      </c>
      <c r="CW416" s="149">
        <f t="shared" si="440"/>
        <v>1</v>
      </c>
      <c r="CX416" s="149">
        <f t="shared" si="441"/>
        <v>1</v>
      </c>
      <c r="CY416" s="149">
        <f t="shared" si="442"/>
        <v>1</v>
      </c>
      <c r="CZ416" s="149">
        <f t="shared" si="443"/>
        <v>1</v>
      </c>
      <c r="DA416" s="149">
        <f t="shared" si="444"/>
        <v>1</v>
      </c>
      <c r="DB416" s="149">
        <f t="shared" si="445"/>
        <v>1</v>
      </c>
      <c r="DG416" s="125" t="str">
        <f t="shared" si="296"/>
        <v/>
      </c>
      <c r="DH416" s="125" t="str">
        <f t="shared" si="456"/>
        <v/>
      </c>
      <c r="DI416" s="125" t="str">
        <f t="shared" si="456"/>
        <v/>
      </c>
      <c r="DJ416" s="125" t="str">
        <f t="shared" si="456"/>
        <v/>
      </c>
      <c r="DK416" s="125" t="str">
        <f t="shared" si="456"/>
        <v/>
      </c>
      <c r="DL416" s="125" t="str">
        <f t="shared" si="456"/>
        <v/>
      </c>
      <c r="DM416" s="125" t="str">
        <f t="shared" si="456"/>
        <v/>
      </c>
      <c r="DN416" s="125" t="str">
        <f t="shared" si="456"/>
        <v/>
      </c>
      <c r="DO416" s="125" t="str">
        <f t="shared" si="456"/>
        <v/>
      </c>
      <c r="DP416" s="125" t="str">
        <f t="shared" si="456"/>
        <v/>
      </c>
      <c r="DS416" s="137"/>
      <c r="DT416" s="137"/>
      <c r="DU416" s="137"/>
      <c r="DV416" s="137" t="b">
        <f t="shared" si="446"/>
        <v>0</v>
      </c>
      <c r="DW416" s="137" t="b">
        <f t="shared" si="447"/>
        <v>0</v>
      </c>
      <c r="DX416" s="137" t="b">
        <f t="shared" si="448"/>
        <v>1</v>
      </c>
      <c r="EB416" s="131">
        <f t="shared" si="449"/>
        <v>1</v>
      </c>
      <c r="EC416" s="137" t="b">
        <f t="shared" si="450"/>
        <v>0</v>
      </c>
      <c r="ED416" s="137" t="b">
        <f t="shared" si="451"/>
        <v>0</v>
      </c>
      <c r="EE416" s="137" t="b">
        <f t="shared" si="452"/>
        <v>1</v>
      </c>
      <c r="EF416" s="137"/>
      <c r="EG416" s="137"/>
      <c r="EH416" s="137"/>
      <c r="EI416" s="137"/>
      <c r="EJ416" s="137">
        <f t="shared" si="453"/>
        <v>1</v>
      </c>
      <c r="EK416" s="125" t="str">
        <f t="shared" si="454"/>
        <v/>
      </c>
      <c r="EL416" s="125" t="str">
        <f t="shared" si="455"/>
        <v/>
      </c>
    </row>
    <row r="417" spans="2:142" ht="15.75" x14ac:dyDescent="0.2">
      <c r="B417" s="160" t="str">
        <f t="shared" si="405"/>
        <v/>
      </c>
      <c r="C417" s="205"/>
      <c r="D417" s="205"/>
      <c r="E417" s="205"/>
      <c r="F417" s="118" t="str">
        <f>IF(OR(J417="",H417=""),"",VLOOKUP(J417,'הזנה לסיווג רשויות'!$B$2:$D$301,2,0))</f>
        <v/>
      </c>
      <c r="G417" s="118" t="str">
        <f>IF(OR(J417="",H417=""),"",VLOOKUP(J417,'הזנה לסיווג רשויות'!$B$2:$D$301,3,0))</f>
        <v/>
      </c>
      <c r="H417" s="201"/>
      <c r="I417" s="201"/>
      <c r="J417" s="205"/>
      <c r="K417" s="161"/>
      <c r="L417" s="161"/>
      <c r="M417" s="161"/>
      <c r="N417" s="161"/>
      <c r="O417" s="161"/>
      <c r="P417" s="161"/>
      <c r="Q417" s="161"/>
      <c r="R417" s="201"/>
      <c r="S417" s="201"/>
      <c r="T417" s="160" t="str">
        <f>IF(G417="","",IFERROR(IF(S417/R417&gt;'פרמטרים לקריטריונים'!$C$20,1,0),0))</f>
        <v/>
      </c>
      <c r="U417" s="201"/>
      <c r="V417" s="160" t="str">
        <f>IF(G417="","",IFERROR(IF(U417/R417&gt;'פרמטרים לקריטריונים'!$C$21,1,IF(AND(I417=$BW$5,U417/R417&gt;'פרמטרים לקריטריונים'!$C$22),1,0)),0))</f>
        <v/>
      </c>
      <c r="W417" s="161"/>
      <c r="X417" s="161"/>
      <c r="Y417" s="201"/>
      <c r="Z417" s="201"/>
      <c r="AA417" s="161" t="str">
        <f t="shared" si="457"/>
        <v/>
      </c>
      <c r="AB417" s="161"/>
      <c r="AC417" s="161"/>
      <c r="AD417" s="161"/>
      <c r="AE417" s="161"/>
      <c r="AF417" s="161"/>
      <c r="AG417" s="161"/>
      <c r="AH417" s="161"/>
      <c r="AI417" s="161"/>
      <c r="AJ417" s="161"/>
      <c r="AK417" s="161"/>
      <c r="AL417" s="161"/>
      <c r="AM417" s="161"/>
      <c r="AN417" s="161"/>
      <c r="AO417" s="161"/>
      <c r="AP417" s="161"/>
      <c r="AQ417" s="161"/>
      <c r="AR417" s="161"/>
      <c r="AS417" s="161"/>
      <c r="AT417" s="161"/>
      <c r="AU417" s="161"/>
      <c r="AV417" s="161"/>
      <c r="AW417" s="160"/>
      <c r="AX417" s="161"/>
      <c r="AY417" s="161"/>
      <c r="AZ417" s="161"/>
      <c r="BA417" s="161"/>
      <c r="BB417" s="161"/>
      <c r="BC417" s="161"/>
      <c r="BD417" s="161"/>
      <c r="BE417" s="161"/>
      <c r="BF417" s="160" t="str">
        <f t="shared" si="406"/>
        <v/>
      </c>
      <c r="BG417" s="160"/>
      <c r="BH417" s="160"/>
      <c r="BI417" s="160"/>
      <c r="BJ417" s="160"/>
      <c r="BK417" s="160"/>
      <c r="BL417" s="162" t="str">
        <f t="shared" si="407"/>
        <v/>
      </c>
      <c r="BM417" s="257"/>
      <c r="BN417" s="163"/>
      <c r="BO417" s="211" t="str">
        <f t="shared" si="408"/>
        <v/>
      </c>
      <c r="BP417" s="125">
        <f t="shared" si="409"/>
        <v>0</v>
      </c>
      <c r="BQ417" s="164">
        <v>0</v>
      </c>
      <c r="BR417" s="164">
        <v>1</v>
      </c>
      <c r="BS417" s="149">
        <f t="shared" si="410"/>
        <v>0</v>
      </c>
      <c r="BT417" s="149">
        <f t="shared" si="411"/>
        <v>0</v>
      </c>
      <c r="BU417" s="149">
        <f t="shared" si="412"/>
        <v>0</v>
      </c>
      <c r="BV417" s="149">
        <f t="shared" si="413"/>
        <v>0</v>
      </c>
      <c r="BW417" s="149">
        <f t="shared" si="414"/>
        <v>0</v>
      </c>
      <c r="BX417" s="149">
        <f t="shared" si="415"/>
        <v>0</v>
      </c>
      <c r="BY417" s="149">
        <f t="shared" si="416"/>
        <v>0</v>
      </c>
      <c r="BZ417" s="149">
        <f t="shared" si="417"/>
        <v>0</v>
      </c>
      <c r="CA417" s="149">
        <f t="shared" si="418"/>
        <v>0</v>
      </c>
      <c r="CB417" s="149">
        <f t="shared" si="419"/>
        <v>1</v>
      </c>
      <c r="CC417" s="149">
        <f t="shared" si="420"/>
        <v>0</v>
      </c>
      <c r="CD417" s="149">
        <f t="shared" si="421"/>
        <v>1</v>
      </c>
      <c r="CE417" s="149">
        <f t="shared" si="422"/>
        <v>0</v>
      </c>
      <c r="CF417" s="149">
        <f t="shared" si="423"/>
        <v>0</v>
      </c>
      <c r="CG417" s="149">
        <f t="shared" si="424"/>
        <v>0</v>
      </c>
      <c r="CH417" s="149">
        <f t="shared" si="425"/>
        <v>0</v>
      </c>
      <c r="CI417" s="149">
        <f t="shared" si="426"/>
        <v>1</v>
      </c>
      <c r="CJ417" s="149">
        <f t="shared" si="427"/>
        <v>1</v>
      </c>
      <c r="CK417" s="149">
        <f t="shared" si="428"/>
        <v>1</v>
      </c>
      <c r="CL417" s="149">
        <f t="shared" si="429"/>
        <v>1</v>
      </c>
      <c r="CM417" s="149">
        <f t="shared" si="430"/>
        <v>1</v>
      </c>
      <c r="CN417" s="149">
        <f t="shared" si="431"/>
        <v>1</v>
      </c>
      <c r="CO417" s="149">
        <f t="shared" si="432"/>
        <v>1</v>
      </c>
      <c r="CP417" s="149">
        <f t="shared" si="433"/>
        <v>1</v>
      </c>
      <c r="CQ417" s="149">
        <f t="shared" si="434"/>
        <v>1</v>
      </c>
      <c r="CR417" s="149">
        <f t="shared" si="435"/>
        <v>1</v>
      </c>
      <c r="CS417" s="149">
        <f t="shared" si="436"/>
        <v>1</v>
      </c>
      <c r="CT417" s="149">
        <f t="shared" si="437"/>
        <v>1</v>
      </c>
      <c r="CU417" s="149">
        <f t="shared" si="438"/>
        <v>1</v>
      </c>
      <c r="CV417" s="149">
        <f t="shared" si="439"/>
        <v>1</v>
      </c>
      <c r="CW417" s="149">
        <f t="shared" si="440"/>
        <v>1</v>
      </c>
      <c r="CX417" s="149">
        <f t="shared" si="441"/>
        <v>1</v>
      </c>
      <c r="CY417" s="149">
        <f t="shared" si="442"/>
        <v>1</v>
      </c>
      <c r="CZ417" s="149">
        <f t="shared" si="443"/>
        <v>1</v>
      </c>
      <c r="DA417" s="149">
        <f t="shared" si="444"/>
        <v>1</v>
      </c>
      <c r="DB417" s="149">
        <f t="shared" si="445"/>
        <v>1</v>
      </c>
      <c r="DG417" s="125" t="str">
        <f t="shared" si="296"/>
        <v/>
      </c>
      <c r="DH417" s="125" t="str">
        <f t="shared" si="456"/>
        <v/>
      </c>
      <c r="DI417" s="125" t="str">
        <f t="shared" si="456"/>
        <v/>
      </c>
      <c r="DJ417" s="125" t="str">
        <f t="shared" si="456"/>
        <v/>
      </c>
      <c r="DK417" s="125" t="str">
        <f t="shared" si="456"/>
        <v/>
      </c>
      <c r="DL417" s="125" t="str">
        <f t="shared" si="456"/>
        <v/>
      </c>
      <c r="DM417" s="125" t="str">
        <f t="shared" si="456"/>
        <v/>
      </c>
      <c r="DN417" s="125" t="str">
        <f t="shared" si="456"/>
        <v/>
      </c>
      <c r="DO417" s="125" t="str">
        <f t="shared" si="456"/>
        <v/>
      </c>
      <c r="DP417" s="125" t="str">
        <f t="shared" si="456"/>
        <v/>
      </c>
      <c r="DS417" s="137"/>
      <c r="DT417" s="137"/>
      <c r="DU417" s="137"/>
      <c r="DV417" s="137" t="b">
        <f t="shared" si="446"/>
        <v>0</v>
      </c>
      <c r="DW417" s="137" t="b">
        <f t="shared" si="447"/>
        <v>0</v>
      </c>
      <c r="DX417" s="137" t="b">
        <f t="shared" si="448"/>
        <v>1</v>
      </c>
      <c r="EB417" s="131">
        <f t="shared" si="449"/>
        <v>1</v>
      </c>
      <c r="EC417" s="137" t="b">
        <f t="shared" si="450"/>
        <v>0</v>
      </c>
      <c r="ED417" s="137" t="b">
        <f t="shared" si="451"/>
        <v>0</v>
      </c>
      <c r="EE417" s="137" t="b">
        <f t="shared" si="452"/>
        <v>1</v>
      </c>
      <c r="EF417" s="137"/>
      <c r="EG417" s="137"/>
      <c r="EH417" s="137"/>
      <c r="EI417" s="137"/>
      <c r="EJ417" s="137">
        <f t="shared" si="453"/>
        <v>1</v>
      </c>
      <c r="EK417" s="125" t="str">
        <f t="shared" si="454"/>
        <v/>
      </c>
      <c r="EL417" s="125" t="str">
        <f t="shared" si="455"/>
        <v/>
      </c>
    </row>
    <row r="418" spans="2:142" ht="15.75" x14ac:dyDescent="0.2">
      <c r="B418" s="160" t="str">
        <f t="shared" si="405"/>
        <v/>
      </c>
      <c r="C418" s="205"/>
      <c r="D418" s="205"/>
      <c r="E418" s="205"/>
      <c r="F418" s="118" t="str">
        <f>IF(OR(J418="",H418=""),"",VLOOKUP(J418,'הזנה לסיווג רשויות'!$B$2:$D$301,2,0))</f>
        <v/>
      </c>
      <c r="G418" s="118" t="str">
        <f>IF(OR(J418="",H418=""),"",VLOOKUP(J418,'הזנה לסיווג רשויות'!$B$2:$D$301,3,0))</f>
        <v/>
      </c>
      <c r="H418" s="201"/>
      <c r="I418" s="201"/>
      <c r="J418" s="205"/>
      <c r="K418" s="161"/>
      <c r="L418" s="161"/>
      <c r="M418" s="161"/>
      <c r="N418" s="161"/>
      <c r="O418" s="161"/>
      <c r="P418" s="161"/>
      <c r="Q418" s="161"/>
      <c r="R418" s="201"/>
      <c r="S418" s="201"/>
      <c r="T418" s="160" t="str">
        <f>IF(G418="","",IFERROR(IF(S418/R418&gt;'פרמטרים לקריטריונים'!$C$20,1,0),0))</f>
        <v/>
      </c>
      <c r="U418" s="201"/>
      <c r="V418" s="160" t="str">
        <f>IF(G418="","",IFERROR(IF(U418/R418&gt;'פרמטרים לקריטריונים'!$C$21,1,IF(AND(I418=$BW$5,U418/R418&gt;'פרמטרים לקריטריונים'!$C$22),1,0)),0))</f>
        <v/>
      </c>
      <c r="W418" s="161"/>
      <c r="X418" s="161"/>
      <c r="Y418" s="201"/>
      <c r="Z418" s="201"/>
      <c r="AA418" s="161" t="str">
        <f t="shared" si="457"/>
        <v/>
      </c>
      <c r="AB418" s="161"/>
      <c r="AC418" s="161"/>
      <c r="AD418" s="161"/>
      <c r="AE418" s="161"/>
      <c r="AF418" s="161"/>
      <c r="AG418" s="161"/>
      <c r="AH418" s="161"/>
      <c r="AI418" s="161"/>
      <c r="AJ418" s="161"/>
      <c r="AK418" s="161"/>
      <c r="AL418" s="161"/>
      <c r="AM418" s="161"/>
      <c r="AN418" s="161"/>
      <c r="AO418" s="161"/>
      <c r="AP418" s="161"/>
      <c r="AQ418" s="161"/>
      <c r="AR418" s="161"/>
      <c r="AS418" s="161"/>
      <c r="AT418" s="161"/>
      <c r="AU418" s="161"/>
      <c r="AV418" s="161"/>
      <c r="AW418" s="160"/>
      <c r="AX418" s="161"/>
      <c r="AY418" s="161"/>
      <c r="AZ418" s="161"/>
      <c r="BA418" s="161"/>
      <c r="BB418" s="161"/>
      <c r="BC418" s="161"/>
      <c r="BD418" s="161"/>
      <c r="BE418" s="161"/>
      <c r="BF418" s="160" t="str">
        <f t="shared" si="406"/>
        <v/>
      </c>
      <c r="BG418" s="160"/>
      <c r="BH418" s="160"/>
      <c r="BI418" s="160"/>
      <c r="BJ418" s="160"/>
      <c r="BK418" s="160"/>
      <c r="BL418" s="162" t="str">
        <f t="shared" si="407"/>
        <v/>
      </c>
      <c r="BM418" s="257"/>
      <c r="BN418" s="163"/>
      <c r="BO418" s="211" t="str">
        <f t="shared" si="408"/>
        <v/>
      </c>
      <c r="BP418" s="125">
        <f t="shared" si="409"/>
        <v>0</v>
      </c>
      <c r="BQ418" s="164">
        <v>0</v>
      </c>
      <c r="BR418" s="164">
        <v>1</v>
      </c>
      <c r="BS418" s="149">
        <f t="shared" si="410"/>
        <v>0</v>
      </c>
      <c r="BT418" s="149">
        <f t="shared" si="411"/>
        <v>0</v>
      </c>
      <c r="BU418" s="149">
        <f t="shared" si="412"/>
        <v>0</v>
      </c>
      <c r="BV418" s="149">
        <f t="shared" si="413"/>
        <v>0</v>
      </c>
      <c r="BW418" s="149">
        <f t="shared" si="414"/>
        <v>0</v>
      </c>
      <c r="BX418" s="149">
        <f t="shared" si="415"/>
        <v>0</v>
      </c>
      <c r="BY418" s="149">
        <f t="shared" si="416"/>
        <v>0</v>
      </c>
      <c r="BZ418" s="149">
        <f t="shared" si="417"/>
        <v>0</v>
      </c>
      <c r="CA418" s="149">
        <f t="shared" si="418"/>
        <v>0</v>
      </c>
      <c r="CB418" s="149">
        <f t="shared" si="419"/>
        <v>1</v>
      </c>
      <c r="CC418" s="149">
        <f t="shared" si="420"/>
        <v>0</v>
      </c>
      <c r="CD418" s="149">
        <f t="shared" si="421"/>
        <v>1</v>
      </c>
      <c r="CE418" s="149">
        <f t="shared" si="422"/>
        <v>0</v>
      </c>
      <c r="CF418" s="149">
        <f t="shared" si="423"/>
        <v>0</v>
      </c>
      <c r="CG418" s="149">
        <f t="shared" si="424"/>
        <v>0</v>
      </c>
      <c r="CH418" s="149">
        <f t="shared" si="425"/>
        <v>0</v>
      </c>
      <c r="CI418" s="149">
        <f t="shared" si="426"/>
        <v>1</v>
      </c>
      <c r="CJ418" s="149">
        <f t="shared" si="427"/>
        <v>1</v>
      </c>
      <c r="CK418" s="149">
        <f t="shared" si="428"/>
        <v>1</v>
      </c>
      <c r="CL418" s="149">
        <f t="shared" si="429"/>
        <v>1</v>
      </c>
      <c r="CM418" s="149">
        <f t="shared" si="430"/>
        <v>1</v>
      </c>
      <c r="CN418" s="149">
        <f t="shared" si="431"/>
        <v>1</v>
      </c>
      <c r="CO418" s="149">
        <f t="shared" si="432"/>
        <v>1</v>
      </c>
      <c r="CP418" s="149">
        <f t="shared" si="433"/>
        <v>1</v>
      </c>
      <c r="CQ418" s="149">
        <f t="shared" si="434"/>
        <v>1</v>
      </c>
      <c r="CR418" s="149">
        <f t="shared" si="435"/>
        <v>1</v>
      </c>
      <c r="CS418" s="149">
        <f t="shared" si="436"/>
        <v>1</v>
      </c>
      <c r="CT418" s="149">
        <f t="shared" si="437"/>
        <v>1</v>
      </c>
      <c r="CU418" s="149">
        <f t="shared" si="438"/>
        <v>1</v>
      </c>
      <c r="CV418" s="149">
        <f t="shared" si="439"/>
        <v>1</v>
      </c>
      <c r="CW418" s="149">
        <f t="shared" si="440"/>
        <v>1</v>
      </c>
      <c r="CX418" s="149">
        <f t="shared" si="441"/>
        <v>1</v>
      </c>
      <c r="CY418" s="149">
        <f t="shared" si="442"/>
        <v>1</v>
      </c>
      <c r="CZ418" s="149">
        <f t="shared" si="443"/>
        <v>1</v>
      </c>
      <c r="DA418" s="149">
        <f t="shared" si="444"/>
        <v>1</v>
      </c>
      <c r="DB418" s="149">
        <f t="shared" si="445"/>
        <v>1</v>
      </c>
      <c r="DG418" s="125" t="str">
        <f t="shared" si="296"/>
        <v/>
      </c>
      <c r="DH418" s="125" t="str">
        <f t="shared" si="456"/>
        <v/>
      </c>
      <c r="DI418" s="125" t="str">
        <f t="shared" si="456"/>
        <v/>
      </c>
      <c r="DJ418" s="125" t="str">
        <f t="shared" si="456"/>
        <v/>
      </c>
      <c r="DK418" s="125" t="str">
        <f t="shared" si="456"/>
        <v/>
      </c>
      <c r="DL418" s="125" t="str">
        <f t="shared" si="456"/>
        <v/>
      </c>
      <c r="DM418" s="125" t="str">
        <f t="shared" si="456"/>
        <v/>
      </c>
      <c r="DN418" s="125" t="str">
        <f t="shared" si="456"/>
        <v/>
      </c>
      <c r="DO418" s="125" t="str">
        <f t="shared" si="456"/>
        <v/>
      </c>
      <c r="DP418" s="125" t="str">
        <f t="shared" si="456"/>
        <v/>
      </c>
      <c r="DS418" s="137"/>
      <c r="DT418" s="137"/>
      <c r="DU418" s="137"/>
      <c r="DV418" s="137" t="b">
        <f t="shared" si="446"/>
        <v>0</v>
      </c>
      <c r="DW418" s="137" t="b">
        <f t="shared" si="447"/>
        <v>0</v>
      </c>
      <c r="DX418" s="137" t="b">
        <f t="shared" si="448"/>
        <v>1</v>
      </c>
      <c r="EB418" s="131">
        <f t="shared" si="449"/>
        <v>1</v>
      </c>
      <c r="EC418" s="137" t="b">
        <f t="shared" si="450"/>
        <v>0</v>
      </c>
      <c r="ED418" s="137" t="b">
        <f t="shared" si="451"/>
        <v>0</v>
      </c>
      <c r="EE418" s="137" t="b">
        <f t="shared" si="452"/>
        <v>1</v>
      </c>
      <c r="EF418" s="137"/>
      <c r="EG418" s="137"/>
      <c r="EH418" s="137"/>
      <c r="EI418" s="137"/>
      <c r="EJ418" s="137">
        <f t="shared" si="453"/>
        <v>1</v>
      </c>
      <c r="EK418" s="125" t="str">
        <f t="shared" si="454"/>
        <v/>
      </c>
      <c r="EL418" s="125" t="str">
        <f t="shared" si="455"/>
        <v/>
      </c>
    </row>
    <row r="419" spans="2:142" ht="15.75" x14ac:dyDescent="0.2">
      <c r="B419" s="160" t="str">
        <f t="shared" si="405"/>
        <v/>
      </c>
      <c r="C419" s="205"/>
      <c r="D419" s="205"/>
      <c r="E419" s="205"/>
      <c r="F419" s="118" t="str">
        <f>IF(OR(J419="",H419=""),"",VLOOKUP(J419,'הזנה לסיווג רשויות'!$B$2:$D$301,2,0))</f>
        <v/>
      </c>
      <c r="G419" s="118" t="str">
        <f>IF(OR(J419="",H419=""),"",VLOOKUP(J419,'הזנה לסיווג רשויות'!$B$2:$D$301,3,0))</f>
        <v/>
      </c>
      <c r="H419" s="201"/>
      <c r="I419" s="201"/>
      <c r="J419" s="205"/>
      <c r="K419" s="161"/>
      <c r="L419" s="161"/>
      <c r="M419" s="161"/>
      <c r="N419" s="161"/>
      <c r="O419" s="161"/>
      <c r="P419" s="161"/>
      <c r="Q419" s="161"/>
      <c r="R419" s="201"/>
      <c r="S419" s="201"/>
      <c r="T419" s="160" t="str">
        <f>IF(G419="","",IFERROR(IF(S419/R419&gt;'פרמטרים לקריטריונים'!$C$20,1,0),0))</f>
        <v/>
      </c>
      <c r="U419" s="201"/>
      <c r="V419" s="160" t="str">
        <f>IF(G419="","",IFERROR(IF(U419/R419&gt;'פרמטרים לקריטריונים'!$C$21,1,IF(AND(I419=$BW$5,U419/R419&gt;'פרמטרים לקריטריונים'!$C$22),1,0)),0))</f>
        <v/>
      </c>
      <c r="W419" s="161"/>
      <c r="X419" s="161"/>
      <c r="Y419" s="201"/>
      <c r="Z419" s="201"/>
      <c r="AA419" s="161" t="str">
        <f t="shared" si="457"/>
        <v/>
      </c>
      <c r="AB419" s="161"/>
      <c r="AC419" s="161"/>
      <c r="AD419" s="161"/>
      <c r="AE419" s="161"/>
      <c r="AF419" s="161"/>
      <c r="AG419" s="161"/>
      <c r="AH419" s="161"/>
      <c r="AI419" s="161"/>
      <c r="AJ419" s="161"/>
      <c r="AK419" s="161"/>
      <c r="AL419" s="161"/>
      <c r="AM419" s="161"/>
      <c r="AN419" s="161"/>
      <c r="AO419" s="161"/>
      <c r="AP419" s="161"/>
      <c r="AQ419" s="161"/>
      <c r="AR419" s="161"/>
      <c r="AS419" s="161"/>
      <c r="AT419" s="161"/>
      <c r="AU419" s="161"/>
      <c r="AV419" s="161"/>
      <c r="AW419" s="160"/>
      <c r="AX419" s="161"/>
      <c r="AY419" s="161"/>
      <c r="AZ419" s="161"/>
      <c r="BA419" s="161"/>
      <c r="BB419" s="161"/>
      <c r="BC419" s="161"/>
      <c r="BD419" s="161"/>
      <c r="BE419" s="161"/>
      <c r="BF419" s="160" t="str">
        <f t="shared" si="406"/>
        <v/>
      </c>
      <c r="BG419" s="160"/>
      <c r="BH419" s="160"/>
      <c r="BI419" s="160"/>
      <c r="BJ419" s="160"/>
      <c r="BK419" s="160"/>
      <c r="BL419" s="162" t="str">
        <f t="shared" si="407"/>
        <v/>
      </c>
      <c r="BM419" s="257"/>
      <c r="BN419" s="163"/>
      <c r="BO419" s="211" t="str">
        <f t="shared" si="408"/>
        <v/>
      </c>
      <c r="BP419" s="125">
        <f t="shared" si="409"/>
        <v>0</v>
      </c>
      <c r="BQ419" s="164">
        <v>0</v>
      </c>
      <c r="BR419" s="164">
        <v>1</v>
      </c>
      <c r="BS419" s="149">
        <f t="shared" si="410"/>
        <v>0</v>
      </c>
      <c r="BT419" s="149">
        <f t="shared" si="411"/>
        <v>0</v>
      </c>
      <c r="BU419" s="149">
        <f t="shared" si="412"/>
        <v>0</v>
      </c>
      <c r="BV419" s="149">
        <f t="shared" si="413"/>
        <v>0</v>
      </c>
      <c r="BW419" s="149">
        <f t="shared" si="414"/>
        <v>0</v>
      </c>
      <c r="BX419" s="149">
        <f t="shared" si="415"/>
        <v>0</v>
      </c>
      <c r="BY419" s="149">
        <f t="shared" si="416"/>
        <v>0</v>
      </c>
      <c r="BZ419" s="149">
        <f t="shared" si="417"/>
        <v>0</v>
      </c>
      <c r="CA419" s="149">
        <f t="shared" si="418"/>
        <v>0</v>
      </c>
      <c r="CB419" s="149">
        <f t="shared" si="419"/>
        <v>1</v>
      </c>
      <c r="CC419" s="149">
        <f t="shared" si="420"/>
        <v>0</v>
      </c>
      <c r="CD419" s="149">
        <f t="shared" si="421"/>
        <v>1</v>
      </c>
      <c r="CE419" s="149">
        <f t="shared" si="422"/>
        <v>0</v>
      </c>
      <c r="CF419" s="149">
        <f t="shared" si="423"/>
        <v>0</v>
      </c>
      <c r="CG419" s="149">
        <f t="shared" si="424"/>
        <v>0</v>
      </c>
      <c r="CH419" s="149">
        <f t="shared" si="425"/>
        <v>0</v>
      </c>
      <c r="CI419" s="149">
        <f t="shared" si="426"/>
        <v>1</v>
      </c>
      <c r="CJ419" s="149">
        <f t="shared" si="427"/>
        <v>1</v>
      </c>
      <c r="CK419" s="149">
        <f t="shared" si="428"/>
        <v>1</v>
      </c>
      <c r="CL419" s="149">
        <f t="shared" si="429"/>
        <v>1</v>
      </c>
      <c r="CM419" s="149">
        <f t="shared" si="430"/>
        <v>1</v>
      </c>
      <c r="CN419" s="149">
        <f t="shared" si="431"/>
        <v>1</v>
      </c>
      <c r="CO419" s="149">
        <f t="shared" si="432"/>
        <v>1</v>
      </c>
      <c r="CP419" s="149">
        <f t="shared" si="433"/>
        <v>1</v>
      </c>
      <c r="CQ419" s="149">
        <f t="shared" si="434"/>
        <v>1</v>
      </c>
      <c r="CR419" s="149">
        <f t="shared" si="435"/>
        <v>1</v>
      </c>
      <c r="CS419" s="149">
        <f t="shared" si="436"/>
        <v>1</v>
      </c>
      <c r="CT419" s="149">
        <f t="shared" si="437"/>
        <v>1</v>
      </c>
      <c r="CU419" s="149">
        <f t="shared" si="438"/>
        <v>1</v>
      </c>
      <c r="CV419" s="149">
        <f t="shared" si="439"/>
        <v>1</v>
      </c>
      <c r="CW419" s="149">
        <f t="shared" si="440"/>
        <v>1</v>
      </c>
      <c r="CX419" s="149">
        <f t="shared" si="441"/>
        <v>1</v>
      </c>
      <c r="CY419" s="149">
        <f t="shared" si="442"/>
        <v>1</v>
      </c>
      <c r="CZ419" s="149">
        <f t="shared" si="443"/>
        <v>1</v>
      </c>
      <c r="DA419" s="149">
        <f t="shared" si="444"/>
        <v>1</v>
      </c>
      <c r="DB419" s="149">
        <f t="shared" si="445"/>
        <v>1</v>
      </c>
      <c r="DG419" s="125" t="str">
        <f t="shared" si="296"/>
        <v/>
      </c>
      <c r="DH419" s="125" t="str">
        <f t="shared" si="456"/>
        <v/>
      </c>
      <c r="DI419" s="125" t="str">
        <f t="shared" si="456"/>
        <v/>
      </c>
      <c r="DJ419" s="125" t="str">
        <f t="shared" si="456"/>
        <v/>
      </c>
      <c r="DK419" s="125" t="str">
        <f t="shared" si="456"/>
        <v/>
      </c>
      <c r="DL419" s="125" t="str">
        <f t="shared" si="456"/>
        <v/>
      </c>
      <c r="DM419" s="125" t="str">
        <f t="shared" si="456"/>
        <v/>
      </c>
      <c r="DN419" s="125" t="str">
        <f t="shared" si="456"/>
        <v/>
      </c>
      <c r="DO419" s="125" t="str">
        <f t="shared" si="456"/>
        <v/>
      </c>
      <c r="DP419" s="125" t="str">
        <f t="shared" si="456"/>
        <v/>
      </c>
      <c r="DS419" s="137"/>
      <c r="DT419" s="137"/>
      <c r="DU419" s="137"/>
      <c r="DV419" s="137" t="b">
        <f t="shared" si="446"/>
        <v>0</v>
      </c>
      <c r="DW419" s="137" t="b">
        <f t="shared" si="447"/>
        <v>0</v>
      </c>
      <c r="DX419" s="137" t="b">
        <f t="shared" si="448"/>
        <v>1</v>
      </c>
      <c r="EB419" s="131">
        <f t="shared" si="449"/>
        <v>1</v>
      </c>
      <c r="EC419" s="137" t="b">
        <f t="shared" si="450"/>
        <v>0</v>
      </c>
      <c r="ED419" s="137" t="b">
        <f t="shared" si="451"/>
        <v>0</v>
      </c>
      <c r="EE419" s="137" t="b">
        <f t="shared" si="452"/>
        <v>1</v>
      </c>
      <c r="EF419" s="137"/>
      <c r="EG419" s="137"/>
      <c r="EH419" s="137"/>
      <c r="EI419" s="137"/>
      <c r="EJ419" s="137">
        <f t="shared" si="453"/>
        <v>1</v>
      </c>
      <c r="EK419" s="125" t="str">
        <f t="shared" si="454"/>
        <v/>
      </c>
      <c r="EL419" s="125" t="str">
        <f t="shared" si="455"/>
        <v/>
      </c>
    </row>
    <row r="420" spans="2:142" ht="15.75" x14ac:dyDescent="0.2">
      <c r="B420" s="160" t="str">
        <f t="shared" si="405"/>
        <v/>
      </c>
      <c r="C420" s="205"/>
      <c r="D420" s="205"/>
      <c r="E420" s="205"/>
      <c r="F420" s="118" t="str">
        <f>IF(OR(J420="",H420=""),"",VLOOKUP(J420,'הזנה לסיווג רשויות'!$B$2:$D$301,2,0))</f>
        <v/>
      </c>
      <c r="G420" s="118" t="str">
        <f>IF(OR(J420="",H420=""),"",VLOOKUP(J420,'הזנה לסיווג רשויות'!$B$2:$D$301,3,0))</f>
        <v/>
      </c>
      <c r="H420" s="201"/>
      <c r="I420" s="201"/>
      <c r="J420" s="205"/>
      <c r="K420" s="161"/>
      <c r="L420" s="161"/>
      <c r="M420" s="161"/>
      <c r="N420" s="161"/>
      <c r="O420" s="161"/>
      <c r="P420" s="161"/>
      <c r="Q420" s="161"/>
      <c r="R420" s="201"/>
      <c r="S420" s="201"/>
      <c r="T420" s="160" t="str">
        <f>IF(G420="","",IFERROR(IF(S420/R420&gt;'פרמטרים לקריטריונים'!$C$20,1,0),0))</f>
        <v/>
      </c>
      <c r="U420" s="201"/>
      <c r="V420" s="160" t="str">
        <f>IF(G420="","",IFERROR(IF(U420/R420&gt;'פרמטרים לקריטריונים'!$C$21,1,IF(AND(I420=$BW$5,U420/R420&gt;'פרמטרים לקריטריונים'!$C$22),1,0)),0))</f>
        <v/>
      </c>
      <c r="W420" s="161"/>
      <c r="X420" s="161"/>
      <c r="Y420" s="201"/>
      <c r="Z420" s="201"/>
      <c r="AA420" s="161" t="str">
        <f t="shared" si="457"/>
        <v/>
      </c>
      <c r="AB420" s="161"/>
      <c r="AC420" s="161"/>
      <c r="AD420" s="161"/>
      <c r="AE420" s="161"/>
      <c r="AF420" s="161"/>
      <c r="AG420" s="161"/>
      <c r="AH420" s="161"/>
      <c r="AI420" s="161"/>
      <c r="AJ420" s="161"/>
      <c r="AK420" s="161"/>
      <c r="AL420" s="161"/>
      <c r="AM420" s="161"/>
      <c r="AN420" s="161"/>
      <c r="AO420" s="161"/>
      <c r="AP420" s="161"/>
      <c r="AQ420" s="161"/>
      <c r="AR420" s="161"/>
      <c r="AS420" s="161"/>
      <c r="AT420" s="161"/>
      <c r="AU420" s="161"/>
      <c r="AV420" s="161"/>
      <c r="AW420" s="160"/>
      <c r="AX420" s="161"/>
      <c r="AY420" s="161"/>
      <c r="AZ420" s="161"/>
      <c r="BA420" s="161"/>
      <c r="BB420" s="161"/>
      <c r="BC420" s="161"/>
      <c r="BD420" s="161"/>
      <c r="BE420" s="161"/>
      <c r="BF420" s="160" t="str">
        <f t="shared" si="406"/>
        <v/>
      </c>
      <c r="BG420" s="160"/>
      <c r="BH420" s="160"/>
      <c r="BI420" s="160"/>
      <c r="BJ420" s="160"/>
      <c r="BK420" s="160"/>
      <c r="BL420" s="162" t="str">
        <f t="shared" si="407"/>
        <v/>
      </c>
      <c r="BM420" s="257"/>
      <c r="BN420" s="163"/>
      <c r="BO420" s="211" t="str">
        <f t="shared" si="408"/>
        <v/>
      </c>
      <c r="BP420" s="125">
        <f t="shared" si="409"/>
        <v>0</v>
      </c>
      <c r="BQ420" s="164">
        <v>0</v>
      </c>
      <c r="BR420" s="164">
        <v>1</v>
      </c>
      <c r="BS420" s="149">
        <f t="shared" si="410"/>
        <v>0</v>
      </c>
      <c r="BT420" s="149">
        <f t="shared" si="411"/>
        <v>0</v>
      </c>
      <c r="BU420" s="149">
        <f t="shared" si="412"/>
        <v>0</v>
      </c>
      <c r="BV420" s="149">
        <f t="shared" si="413"/>
        <v>0</v>
      </c>
      <c r="BW420" s="149">
        <f t="shared" si="414"/>
        <v>0</v>
      </c>
      <c r="BX420" s="149">
        <f t="shared" si="415"/>
        <v>0</v>
      </c>
      <c r="BY420" s="149">
        <f t="shared" si="416"/>
        <v>0</v>
      </c>
      <c r="BZ420" s="149">
        <f t="shared" si="417"/>
        <v>0</v>
      </c>
      <c r="CA420" s="149">
        <f t="shared" si="418"/>
        <v>0</v>
      </c>
      <c r="CB420" s="149">
        <f t="shared" si="419"/>
        <v>1</v>
      </c>
      <c r="CC420" s="149">
        <f t="shared" si="420"/>
        <v>0</v>
      </c>
      <c r="CD420" s="149">
        <f t="shared" si="421"/>
        <v>1</v>
      </c>
      <c r="CE420" s="149">
        <f t="shared" si="422"/>
        <v>0</v>
      </c>
      <c r="CF420" s="149">
        <f t="shared" si="423"/>
        <v>0</v>
      </c>
      <c r="CG420" s="149">
        <f t="shared" si="424"/>
        <v>0</v>
      </c>
      <c r="CH420" s="149">
        <f t="shared" si="425"/>
        <v>0</v>
      </c>
      <c r="CI420" s="149">
        <f t="shared" si="426"/>
        <v>1</v>
      </c>
      <c r="CJ420" s="149">
        <f t="shared" si="427"/>
        <v>1</v>
      </c>
      <c r="CK420" s="149">
        <f t="shared" si="428"/>
        <v>1</v>
      </c>
      <c r="CL420" s="149">
        <f t="shared" si="429"/>
        <v>1</v>
      </c>
      <c r="CM420" s="149">
        <f t="shared" si="430"/>
        <v>1</v>
      </c>
      <c r="CN420" s="149">
        <f t="shared" si="431"/>
        <v>1</v>
      </c>
      <c r="CO420" s="149">
        <f t="shared" si="432"/>
        <v>1</v>
      </c>
      <c r="CP420" s="149">
        <f t="shared" si="433"/>
        <v>1</v>
      </c>
      <c r="CQ420" s="149">
        <f t="shared" si="434"/>
        <v>1</v>
      </c>
      <c r="CR420" s="149">
        <f t="shared" si="435"/>
        <v>1</v>
      </c>
      <c r="CS420" s="149">
        <f t="shared" si="436"/>
        <v>1</v>
      </c>
      <c r="CT420" s="149">
        <f t="shared" si="437"/>
        <v>1</v>
      </c>
      <c r="CU420" s="149">
        <f t="shared" si="438"/>
        <v>1</v>
      </c>
      <c r="CV420" s="149">
        <f t="shared" si="439"/>
        <v>1</v>
      </c>
      <c r="CW420" s="149">
        <f t="shared" si="440"/>
        <v>1</v>
      </c>
      <c r="CX420" s="149">
        <f t="shared" si="441"/>
        <v>1</v>
      </c>
      <c r="CY420" s="149">
        <f t="shared" si="442"/>
        <v>1</v>
      </c>
      <c r="CZ420" s="149">
        <f t="shared" si="443"/>
        <v>1</v>
      </c>
      <c r="DA420" s="149">
        <f t="shared" si="444"/>
        <v>1</v>
      </c>
      <c r="DB420" s="149">
        <f t="shared" si="445"/>
        <v>1</v>
      </c>
      <c r="DG420" s="125" t="str">
        <f t="shared" si="296"/>
        <v/>
      </c>
      <c r="DH420" s="125" t="str">
        <f t="shared" si="456"/>
        <v/>
      </c>
      <c r="DI420" s="125" t="str">
        <f t="shared" si="456"/>
        <v/>
      </c>
      <c r="DJ420" s="125" t="str">
        <f t="shared" si="456"/>
        <v/>
      </c>
      <c r="DK420" s="125" t="str">
        <f t="shared" si="456"/>
        <v/>
      </c>
      <c r="DL420" s="125" t="str">
        <f t="shared" si="456"/>
        <v/>
      </c>
      <c r="DM420" s="125" t="str">
        <f t="shared" si="456"/>
        <v/>
      </c>
      <c r="DN420" s="125" t="str">
        <f t="shared" si="456"/>
        <v/>
      </c>
      <c r="DO420" s="125" t="str">
        <f t="shared" si="456"/>
        <v/>
      </c>
      <c r="DP420" s="125" t="str">
        <f t="shared" si="456"/>
        <v/>
      </c>
      <c r="DS420" s="137"/>
      <c r="DT420" s="137"/>
      <c r="DU420" s="137"/>
      <c r="DV420" s="137" t="b">
        <f t="shared" si="446"/>
        <v>0</v>
      </c>
      <c r="DW420" s="137" t="b">
        <f t="shared" si="447"/>
        <v>0</v>
      </c>
      <c r="DX420" s="137" t="b">
        <f t="shared" si="448"/>
        <v>1</v>
      </c>
      <c r="EB420" s="131">
        <f t="shared" si="449"/>
        <v>1</v>
      </c>
      <c r="EC420" s="137" t="b">
        <f t="shared" si="450"/>
        <v>0</v>
      </c>
      <c r="ED420" s="137" t="b">
        <f t="shared" si="451"/>
        <v>0</v>
      </c>
      <c r="EE420" s="137" t="b">
        <f t="shared" si="452"/>
        <v>1</v>
      </c>
      <c r="EF420" s="137"/>
      <c r="EG420" s="137"/>
      <c r="EH420" s="137"/>
      <c r="EI420" s="137"/>
      <c r="EJ420" s="137">
        <f t="shared" si="453"/>
        <v>1</v>
      </c>
      <c r="EK420" s="125" t="str">
        <f t="shared" si="454"/>
        <v/>
      </c>
      <c r="EL420" s="125" t="str">
        <f t="shared" si="455"/>
        <v/>
      </c>
    </row>
    <row r="421" spans="2:142" ht="15.75" x14ac:dyDescent="0.2">
      <c r="B421" s="160" t="str">
        <f t="shared" si="405"/>
        <v/>
      </c>
      <c r="C421" s="205"/>
      <c r="D421" s="205"/>
      <c r="E421" s="205"/>
      <c r="F421" s="118" t="str">
        <f>IF(OR(J421="",H421=""),"",VLOOKUP(J421,'הזנה לסיווג רשויות'!$B$2:$D$301,2,0))</f>
        <v/>
      </c>
      <c r="G421" s="118" t="str">
        <f>IF(OR(J421="",H421=""),"",VLOOKUP(J421,'הזנה לסיווג רשויות'!$B$2:$D$301,3,0))</f>
        <v/>
      </c>
      <c r="H421" s="201"/>
      <c r="I421" s="201"/>
      <c r="J421" s="205"/>
      <c r="K421" s="161"/>
      <c r="L421" s="161"/>
      <c r="M421" s="161"/>
      <c r="N421" s="161"/>
      <c r="O421" s="161"/>
      <c r="P421" s="161"/>
      <c r="Q421" s="161"/>
      <c r="R421" s="201"/>
      <c r="S421" s="201"/>
      <c r="T421" s="160" t="str">
        <f>IF(G421="","",IFERROR(IF(S421/R421&gt;'פרמטרים לקריטריונים'!$C$20,1,0),0))</f>
        <v/>
      </c>
      <c r="U421" s="201"/>
      <c r="V421" s="160" t="str">
        <f>IF(G421="","",IFERROR(IF(U421/R421&gt;'פרמטרים לקריטריונים'!$C$21,1,IF(AND(I421=$BW$5,U421/R421&gt;'פרמטרים לקריטריונים'!$C$22),1,0)),0))</f>
        <v/>
      </c>
      <c r="W421" s="161"/>
      <c r="X421" s="161"/>
      <c r="Y421" s="201"/>
      <c r="Z421" s="201"/>
      <c r="AA421" s="161" t="str">
        <f t="shared" si="457"/>
        <v/>
      </c>
      <c r="AB421" s="161"/>
      <c r="AC421" s="161"/>
      <c r="AD421" s="161"/>
      <c r="AE421" s="161"/>
      <c r="AF421" s="161"/>
      <c r="AG421" s="161"/>
      <c r="AH421" s="161"/>
      <c r="AI421" s="161"/>
      <c r="AJ421" s="161"/>
      <c r="AK421" s="161"/>
      <c r="AL421" s="161"/>
      <c r="AM421" s="161"/>
      <c r="AN421" s="161"/>
      <c r="AO421" s="161"/>
      <c r="AP421" s="161"/>
      <c r="AQ421" s="161"/>
      <c r="AR421" s="161"/>
      <c r="AS421" s="161"/>
      <c r="AT421" s="161"/>
      <c r="AU421" s="161"/>
      <c r="AV421" s="161"/>
      <c r="AW421" s="160"/>
      <c r="AX421" s="161"/>
      <c r="AY421" s="161"/>
      <c r="AZ421" s="161"/>
      <c r="BA421" s="161"/>
      <c r="BB421" s="161"/>
      <c r="BC421" s="161"/>
      <c r="BD421" s="161"/>
      <c r="BE421" s="161"/>
      <c r="BF421" s="160" t="str">
        <f t="shared" si="406"/>
        <v/>
      </c>
      <c r="BG421" s="160"/>
      <c r="BH421" s="160"/>
      <c r="BI421" s="160"/>
      <c r="BJ421" s="160"/>
      <c r="BK421" s="160"/>
      <c r="BL421" s="162" t="str">
        <f t="shared" si="407"/>
        <v/>
      </c>
      <c r="BM421" s="257"/>
      <c r="BN421" s="163"/>
      <c r="BO421" s="211" t="str">
        <f t="shared" si="408"/>
        <v/>
      </c>
      <c r="BP421" s="125">
        <f t="shared" si="409"/>
        <v>0</v>
      </c>
      <c r="BQ421" s="164">
        <v>0</v>
      </c>
      <c r="BR421" s="164">
        <v>1</v>
      </c>
      <c r="BS421" s="149">
        <f t="shared" si="410"/>
        <v>0</v>
      </c>
      <c r="BT421" s="149">
        <f t="shared" si="411"/>
        <v>0</v>
      </c>
      <c r="BU421" s="149">
        <f t="shared" si="412"/>
        <v>0</v>
      </c>
      <c r="BV421" s="149">
        <f t="shared" si="413"/>
        <v>0</v>
      </c>
      <c r="BW421" s="149">
        <f t="shared" si="414"/>
        <v>0</v>
      </c>
      <c r="BX421" s="149">
        <f t="shared" si="415"/>
        <v>0</v>
      </c>
      <c r="BY421" s="149">
        <f t="shared" si="416"/>
        <v>0</v>
      </c>
      <c r="BZ421" s="149">
        <f t="shared" si="417"/>
        <v>0</v>
      </c>
      <c r="CA421" s="149">
        <f t="shared" si="418"/>
        <v>0</v>
      </c>
      <c r="CB421" s="149">
        <f t="shared" si="419"/>
        <v>1</v>
      </c>
      <c r="CC421" s="149">
        <f t="shared" si="420"/>
        <v>0</v>
      </c>
      <c r="CD421" s="149">
        <f t="shared" si="421"/>
        <v>1</v>
      </c>
      <c r="CE421" s="149">
        <f t="shared" si="422"/>
        <v>0</v>
      </c>
      <c r="CF421" s="149">
        <f t="shared" si="423"/>
        <v>0</v>
      </c>
      <c r="CG421" s="149">
        <f t="shared" si="424"/>
        <v>0</v>
      </c>
      <c r="CH421" s="149">
        <f t="shared" si="425"/>
        <v>0</v>
      </c>
      <c r="CI421" s="149">
        <f t="shared" si="426"/>
        <v>1</v>
      </c>
      <c r="CJ421" s="149">
        <f t="shared" si="427"/>
        <v>1</v>
      </c>
      <c r="CK421" s="149">
        <f t="shared" si="428"/>
        <v>1</v>
      </c>
      <c r="CL421" s="149">
        <f t="shared" si="429"/>
        <v>1</v>
      </c>
      <c r="CM421" s="149">
        <f t="shared" si="430"/>
        <v>1</v>
      </c>
      <c r="CN421" s="149">
        <f t="shared" si="431"/>
        <v>1</v>
      </c>
      <c r="CO421" s="149">
        <f t="shared" si="432"/>
        <v>1</v>
      </c>
      <c r="CP421" s="149">
        <f t="shared" si="433"/>
        <v>1</v>
      </c>
      <c r="CQ421" s="149">
        <f t="shared" si="434"/>
        <v>1</v>
      </c>
      <c r="CR421" s="149">
        <f t="shared" si="435"/>
        <v>1</v>
      </c>
      <c r="CS421" s="149">
        <f t="shared" si="436"/>
        <v>1</v>
      </c>
      <c r="CT421" s="149">
        <f t="shared" si="437"/>
        <v>1</v>
      </c>
      <c r="CU421" s="149">
        <f t="shared" si="438"/>
        <v>1</v>
      </c>
      <c r="CV421" s="149">
        <f t="shared" si="439"/>
        <v>1</v>
      </c>
      <c r="CW421" s="149">
        <f t="shared" si="440"/>
        <v>1</v>
      </c>
      <c r="CX421" s="149">
        <f t="shared" si="441"/>
        <v>1</v>
      </c>
      <c r="CY421" s="149">
        <f t="shared" si="442"/>
        <v>1</v>
      </c>
      <c r="CZ421" s="149">
        <f t="shared" si="443"/>
        <v>1</v>
      </c>
      <c r="DA421" s="149">
        <f t="shared" si="444"/>
        <v>1</v>
      </c>
      <c r="DB421" s="149">
        <f t="shared" si="445"/>
        <v>1</v>
      </c>
      <c r="DG421" s="125" t="str">
        <f t="shared" si="296"/>
        <v/>
      </c>
      <c r="DH421" s="125" t="str">
        <f t="shared" si="456"/>
        <v/>
      </c>
      <c r="DI421" s="125" t="str">
        <f t="shared" si="456"/>
        <v/>
      </c>
      <c r="DJ421" s="125" t="str">
        <f t="shared" si="456"/>
        <v/>
      </c>
      <c r="DK421" s="125" t="str">
        <f t="shared" si="456"/>
        <v/>
      </c>
      <c r="DL421" s="125" t="str">
        <f t="shared" si="456"/>
        <v/>
      </c>
      <c r="DM421" s="125" t="str">
        <f t="shared" si="456"/>
        <v/>
      </c>
      <c r="DN421" s="125" t="str">
        <f t="shared" si="456"/>
        <v/>
      </c>
      <c r="DO421" s="125" t="str">
        <f t="shared" si="456"/>
        <v/>
      </c>
      <c r="DP421" s="125" t="str">
        <f t="shared" si="456"/>
        <v/>
      </c>
      <c r="DS421" s="137"/>
      <c r="DT421" s="137"/>
      <c r="DU421" s="137"/>
      <c r="DV421" s="137" t="b">
        <f t="shared" si="446"/>
        <v>0</v>
      </c>
      <c r="DW421" s="137" t="b">
        <f t="shared" si="447"/>
        <v>0</v>
      </c>
      <c r="DX421" s="137" t="b">
        <f t="shared" si="448"/>
        <v>1</v>
      </c>
      <c r="EB421" s="131">
        <f t="shared" si="449"/>
        <v>1</v>
      </c>
      <c r="EC421" s="137" t="b">
        <f t="shared" si="450"/>
        <v>0</v>
      </c>
      <c r="ED421" s="137" t="b">
        <f t="shared" si="451"/>
        <v>0</v>
      </c>
      <c r="EE421" s="137" t="b">
        <f t="shared" si="452"/>
        <v>1</v>
      </c>
      <c r="EF421" s="137"/>
      <c r="EG421" s="137"/>
      <c r="EH421" s="137"/>
      <c r="EI421" s="137"/>
      <c r="EJ421" s="137">
        <f t="shared" si="453"/>
        <v>1</v>
      </c>
      <c r="EK421" s="125" t="str">
        <f t="shared" si="454"/>
        <v/>
      </c>
      <c r="EL421" s="125" t="str">
        <f t="shared" si="455"/>
        <v/>
      </c>
    </row>
    <row r="422" spans="2:142" ht="15.75" x14ac:dyDescent="0.2">
      <c r="B422" s="160" t="str">
        <f t="shared" si="405"/>
        <v/>
      </c>
      <c r="C422" s="205"/>
      <c r="D422" s="205"/>
      <c r="E422" s="205"/>
      <c r="F422" s="118" t="str">
        <f>IF(OR(J422="",H422=""),"",VLOOKUP(J422,'הזנה לסיווג רשויות'!$B$2:$D$301,2,0))</f>
        <v/>
      </c>
      <c r="G422" s="118" t="str">
        <f>IF(OR(J422="",H422=""),"",VLOOKUP(J422,'הזנה לסיווג רשויות'!$B$2:$D$301,3,0))</f>
        <v/>
      </c>
      <c r="H422" s="201"/>
      <c r="I422" s="201"/>
      <c r="J422" s="205"/>
      <c r="K422" s="161"/>
      <c r="L422" s="161"/>
      <c r="M422" s="161"/>
      <c r="N422" s="161"/>
      <c r="O422" s="161"/>
      <c r="P422" s="161"/>
      <c r="Q422" s="161"/>
      <c r="R422" s="201"/>
      <c r="S422" s="201"/>
      <c r="T422" s="160" t="str">
        <f>IF(G422="","",IFERROR(IF(S422/R422&gt;'פרמטרים לקריטריונים'!$C$20,1,0),0))</f>
        <v/>
      </c>
      <c r="U422" s="201"/>
      <c r="V422" s="160" t="str">
        <f>IF(G422="","",IFERROR(IF(U422/R422&gt;'פרמטרים לקריטריונים'!$C$21,1,IF(AND(I422=$BW$5,U422/R422&gt;'פרמטרים לקריטריונים'!$C$22),1,0)),0))</f>
        <v/>
      </c>
      <c r="W422" s="161"/>
      <c r="X422" s="161"/>
      <c r="Y422" s="201"/>
      <c r="Z422" s="201"/>
      <c r="AA422" s="161" t="str">
        <f t="shared" si="457"/>
        <v/>
      </c>
      <c r="AB422" s="161"/>
      <c r="AC422" s="161"/>
      <c r="AD422" s="161"/>
      <c r="AE422" s="161"/>
      <c r="AF422" s="161"/>
      <c r="AG422" s="161"/>
      <c r="AH422" s="161"/>
      <c r="AI422" s="161"/>
      <c r="AJ422" s="161"/>
      <c r="AK422" s="161"/>
      <c r="AL422" s="161"/>
      <c r="AM422" s="161"/>
      <c r="AN422" s="161"/>
      <c r="AO422" s="161"/>
      <c r="AP422" s="161"/>
      <c r="AQ422" s="161"/>
      <c r="AR422" s="161"/>
      <c r="AS422" s="161"/>
      <c r="AT422" s="161"/>
      <c r="AU422" s="161"/>
      <c r="AV422" s="161"/>
      <c r="AW422" s="160"/>
      <c r="AX422" s="161"/>
      <c r="AY422" s="161"/>
      <c r="AZ422" s="161"/>
      <c r="BA422" s="161"/>
      <c r="BB422" s="161"/>
      <c r="BC422" s="161"/>
      <c r="BD422" s="161"/>
      <c r="BE422" s="161"/>
      <c r="BF422" s="160" t="str">
        <f t="shared" si="406"/>
        <v/>
      </c>
      <c r="BG422" s="160"/>
      <c r="BH422" s="160"/>
      <c r="BI422" s="160"/>
      <c r="BJ422" s="160"/>
      <c r="BK422" s="160"/>
      <c r="BL422" s="162" t="str">
        <f t="shared" si="407"/>
        <v/>
      </c>
      <c r="BM422" s="257"/>
      <c r="BN422" s="163"/>
      <c r="BO422" s="211" t="str">
        <f t="shared" si="408"/>
        <v/>
      </c>
      <c r="BP422" s="125">
        <f t="shared" si="409"/>
        <v>0</v>
      </c>
      <c r="BQ422" s="164">
        <v>0</v>
      </c>
      <c r="BR422" s="164">
        <v>1</v>
      </c>
      <c r="BS422" s="149">
        <f t="shared" si="410"/>
        <v>0</v>
      </c>
      <c r="BT422" s="149">
        <f t="shared" si="411"/>
        <v>0</v>
      </c>
      <c r="BU422" s="149">
        <f t="shared" si="412"/>
        <v>0</v>
      </c>
      <c r="BV422" s="149">
        <f t="shared" si="413"/>
        <v>0</v>
      </c>
      <c r="BW422" s="149">
        <f t="shared" si="414"/>
        <v>0</v>
      </c>
      <c r="BX422" s="149">
        <f t="shared" si="415"/>
        <v>0</v>
      </c>
      <c r="BY422" s="149">
        <f t="shared" si="416"/>
        <v>0</v>
      </c>
      <c r="BZ422" s="149">
        <f t="shared" si="417"/>
        <v>0</v>
      </c>
      <c r="CA422" s="149">
        <f t="shared" si="418"/>
        <v>0</v>
      </c>
      <c r="CB422" s="149">
        <f t="shared" si="419"/>
        <v>1</v>
      </c>
      <c r="CC422" s="149">
        <f t="shared" si="420"/>
        <v>0</v>
      </c>
      <c r="CD422" s="149">
        <f t="shared" si="421"/>
        <v>1</v>
      </c>
      <c r="CE422" s="149">
        <f t="shared" si="422"/>
        <v>0</v>
      </c>
      <c r="CF422" s="149">
        <f t="shared" si="423"/>
        <v>0</v>
      </c>
      <c r="CG422" s="149">
        <f t="shared" si="424"/>
        <v>0</v>
      </c>
      <c r="CH422" s="149">
        <f t="shared" si="425"/>
        <v>0</v>
      </c>
      <c r="CI422" s="149">
        <f t="shared" si="426"/>
        <v>1</v>
      </c>
      <c r="CJ422" s="149">
        <f t="shared" si="427"/>
        <v>1</v>
      </c>
      <c r="CK422" s="149">
        <f t="shared" si="428"/>
        <v>1</v>
      </c>
      <c r="CL422" s="149">
        <f t="shared" si="429"/>
        <v>1</v>
      </c>
      <c r="CM422" s="149">
        <f t="shared" si="430"/>
        <v>1</v>
      </c>
      <c r="CN422" s="149">
        <f t="shared" si="431"/>
        <v>1</v>
      </c>
      <c r="CO422" s="149">
        <f t="shared" si="432"/>
        <v>1</v>
      </c>
      <c r="CP422" s="149">
        <f t="shared" si="433"/>
        <v>1</v>
      </c>
      <c r="CQ422" s="149">
        <f t="shared" si="434"/>
        <v>1</v>
      </c>
      <c r="CR422" s="149">
        <f t="shared" si="435"/>
        <v>1</v>
      </c>
      <c r="CS422" s="149">
        <f t="shared" si="436"/>
        <v>1</v>
      </c>
      <c r="CT422" s="149">
        <f t="shared" si="437"/>
        <v>1</v>
      </c>
      <c r="CU422" s="149">
        <f t="shared" si="438"/>
        <v>1</v>
      </c>
      <c r="CV422" s="149">
        <f t="shared" si="439"/>
        <v>1</v>
      </c>
      <c r="CW422" s="149">
        <f t="shared" si="440"/>
        <v>1</v>
      </c>
      <c r="CX422" s="149">
        <f t="shared" si="441"/>
        <v>1</v>
      </c>
      <c r="CY422" s="149">
        <f t="shared" si="442"/>
        <v>1</v>
      </c>
      <c r="CZ422" s="149">
        <f t="shared" si="443"/>
        <v>1</v>
      </c>
      <c r="DA422" s="149">
        <f t="shared" si="444"/>
        <v>1</v>
      </c>
      <c r="DB422" s="149">
        <f t="shared" si="445"/>
        <v>1</v>
      </c>
      <c r="DG422" s="125" t="str">
        <f t="shared" si="296"/>
        <v/>
      </c>
      <c r="DH422" s="125" t="str">
        <f t="shared" si="456"/>
        <v/>
      </c>
      <c r="DI422" s="125" t="str">
        <f t="shared" si="456"/>
        <v/>
      </c>
      <c r="DJ422" s="125" t="str">
        <f t="shared" si="456"/>
        <v/>
      </c>
      <c r="DK422" s="125" t="str">
        <f t="shared" si="456"/>
        <v/>
      </c>
      <c r="DL422" s="125" t="str">
        <f t="shared" si="456"/>
        <v/>
      </c>
      <c r="DM422" s="125" t="str">
        <f t="shared" si="456"/>
        <v/>
      </c>
      <c r="DN422" s="125" t="str">
        <f t="shared" si="456"/>
        <v/>
      </c>
      <c r="DO422" s="125" t="str">
        <f t="shared" si="456"/>
        <v/>
      </c>
      <c r="DP422" s="125" t="str">
        <f t="shared" si="456"/>
        <v/>
      </c>
      <c r="DS422" s="137"/>
      <c r="DT422" s="137"/>
      <c r="DU422" s="137"/>
      <c r="DV422" s="137" t="b">
        <f t="shared" si="446"/>
        <v>0</v>
      </c>
      <c r="DW422" s="137" t="b">
        <f t="shared" si="447"/>
        <v>0</v>
      </c>
      <c r="DX422" s="137" t="b">
        <f t="shared" si="448"/>
        <v>1</v>
      </c>
      <c r="EB422" s="131">
        <f t="shared" si="449"/>
        <v>1</v>
      </c>
      <c r="EC422" s="137" t="b">
        <f t="shared" si="450"/>
        <v>0</v>
      </c>
      <c r="ED422" s="137" t="b">
        <f t="shared" si="451"/>
        <v>0</v>
      </c>
      <c r="EE422" s="137" t="b">
        <f t="shared" si="452"/>
        <v>1</v>
      </c>
      <c r="EF422" s="137"/>
      <c r="EG422" s="137"/>
      <c r="EH422" s="137"/>
      <c r="EI422" s="137"/>
      <c r="EJ422" s="137">
        <f t="shared" si="453"/>
        <v>1</v>
      </c>
      <c r="EK422" s="125" t="str">
        <f t="shared" si="454"/>
        <v/>
      </c>
      <c r="EL422" s="125" t="str">
        <f t="shared" si="455"/>
        <v/>
      </c>
    </row>
    <row r="423" spans="2:142" ht="15.75" x14ac:dyDescent="0.2">
      <c r="B423" s="160" t="str">
        <f t="shared" si="405"/>
        <v/>
      </c>
      <c r="C423" s="205"/>
      <c r="D423" s="205"/>
      <c r="E423" s="205"/>
      <c r="F423" s="118" t="str">
        <f>IF(OR(J423="",H423=""),"",VLOOKUP(J423,'הזנה לסיווג רשויות'!$B$2:$D$301,2,0))</f>
        <v/>
      </c>
      <c r="G423" s="118" t="str">
        <f>IF(OR(J423="",H423=""),"",VLOOKUP(J423,'הזנה לסיווג רשויות'!$B$2:$D$301,3,0))</f>
        <v/>
      </c>
      <c r="H423" s="201"/>
      <c r="I423" s="201"/>
      <c r="J423" s="205"/>
      <c r="K423" s="161"/>
      <c r="L423" s="161"/>
      <c r="M423" s="161"/>
      <c r="N423" s="161"/>
      <c r="O423" s="161"/>
      <c r="P423" s="161"/>
      <c r="Q423" s="161"/>
      <c r="R423" s="201"/>
      <c r="S423" s="201"/>
      <c r="T423" s="160" t="str">
        <f>IF(G423="","",IFERROR(IF(S423/R423&gt;'פרמטרים לקריטריונים'!$C$20,1,0),0))</f>
        <v/>
      </c>
      <c r="U423" s="201"/>
      <c r="V423" s="160" t="str">
        <f>IF(G423="","",IFERROR(IF(U423/R423&gt;'פרמטרים לקריטריונים'!$C$21,1,IF(AND(I423=$BW$5,U423/R423&gt;'פרמטרים לקריטריונים'!$C$22),1,0)),0))</f>
        <v/>
      </c>
      <c r="W423" s="161"/>
      <c r="X423" s="161"/>
      <c r="Y423" s="201"/>
      <c r="Z423" s="201"/>
      <c r="AA423" s="161" t="str">
        <f t="shared" si="457"/>
        <v/>
      </c>
      <c r="AB423" s="161"/>
      <c r="AC423" s="161"/>
      <c r="AD423" s="161"/>
      <c r="AE423" s="161"/>
      <c r="AF423" s="161"/>
      <c r="AG423" s="161"/>
      <c r="AH423" s="161"/>
      <c r="AI423" s="161"/>
      <c r="AJ423" s="161"/>
      <c r="AK423" s="161"/>
      <c r="AL423" s="161"/>
      <c r="AM423" s="161"/>
      <c r="AN423" s="161"/>
      <c r="AO423" s="161"/>
      <c r="AP423" s="161"/>
      <c r="AQ423" s="161"/>
      <c r="AR423" s="161"/>
      <c r="AS423" s="161"/>
      <c r="AT423" s="161"/>
      <c r="AU423" s="161"/>
      <c r="AV423" s="161"/>
      <c r="AW423" s="160"/>
      <c r="AX423" s="161"/>
      <c r="AY423" s="161"/>
      <c r="AZ423" s="161"/>
      <c r="BA423" s="161"/>
      <c r="BB423" s="161"/>
      <c r="BC423" s="161"/>
      <c r="BD423" s="161"/>
      <c r="BE423" s="161"/>
      <c r="BF423" s="160" t="str">
        <f t="shared" si="406"/>
        <v/>
      </c>
      <c r="BG423" s="160"/>
      <c r="BH423" s="160"/>
      <c r="BI423" s="160"/>
      <c r="BJ423" s="160"/>
      <c r="BK423" s="160"/>
      <c r="BL423" s="162" t="str">
        <f t="shared" si="407"/>
        <v/>
      </c>
      <c r="BM423" s="257"/>
      <c r="BN423" s="163"/>
      <c r="BO423" s="211" t="str">
        <f t="shared" si="408"/>
        <v/>
      </c>
      <c r="BP423" s="125">
        <f t="shared" si="409"/>
        <v>0</v>
      </c>
      <c r="BQ423" s="164">
        <v>0</v>
      </c>
      <c r="BR423" s="164">
        <v>1</v>
      </c>
      <c r="BS423" s="149">
        <f t="shared" si="410"/>
        <v>0</v>
      </c>
      <c r="BT423" s="149">
        <f t="shared" si="411"/>
        <v>0</v>
      </c>
      <c r="BU423" s="149">
        <f t="shared" si="412"/>
        <v>0</v>
      </c>
      <c r="BV423" s="149">
        <f t="shared" si="413"/>
        <v>0</v>
      </c>
      <c r="BW423" s="149">
        <f t="shared" si="414"/>
        <v>0</v>
      </c>
      <c r="BX423" s="149">
        <f t="shared" si="415"/>
        <v>0</v>
      </c>
      <c r="BY423" s="149">
        <f t="shared" si="416"/>
        <v>0</v>
      </c>
      <c r="BZ423" s="149">
        <f t="shared" si="417"/>
        <v>0</v>
      </c>
      <c r="CA423" s="149">
        <f t="shared" si="418"/>
        <v>0</v>
      </c>
      <c r="CB423" s="149">
        <f t="shared" si="419"/>
        <v>1</v>
      </c>
      <c r="CC423" s="149">
        <f t="shared" si="420"/>
        <v>0</v>
      </c>
      <c r="CD423" s="149">
        <f t="shared" si="421"/>
        <v>1</v>
      </c>
      <c r="CE423" s="149">
        <f t="shared" si="422"/>
        <v>0</v>
      </c>
      <c r="CF423" s="149">
        <f t="shared" si="423"/>
        <v>0</v>
      </c>
      <c r="CG423" s="149">
        <f t="shared" si="424"/>
        <v>0</v>
      </c>
      <c r="CH423" s="149">
        <f t="shared" si="425"/>
        <v>0</v>
      </c>
      <c r="CI423" s="149">
        <f t="shared" si="426"/>
        <v>1</v>
      </c>
      <c r="CJ423" s="149">
        <f t="shared" si="427"/>
        <v>1</v>
      </c>
      <c r="CK423" s="149">
        <f t="shared" si="428"/>
        <v>1</v>
      </c>
      <c r="CL423" s="149">
        <f t="shared" si="429"/>
        <v>1</v>
      </c>
      <c r="CM423" s="149">
        <f t="shared" si="430"/>
        <v>1</v>
      </c>
      <c r="CN423" s="149">
        <f t="shared" si="431"/>
        <v>1</v>
      </c>
      <c r="CO423" s="149">
        <f t="shared" si="432"/>
        <v>1</v>
      </c>
      <c r="CP423" s="149">
        <f t="shared" si="433"/>
        <v>1</v>
      </c>
      <c r="CQ423" s="149">
        <f t="shared" si="434"/>
        <v>1</v>
      </c>
      <c r="CR423" s="149">
        <f t="shared" si="435"/>
        <v>1</v>
      </c>
      <c r="CS423" s="149">
        <f t="shared" si="436"/>
        <v>1</v>
      </c>
      <c r="CT423" s="149">
        <f t="shared" si="437"/>
        <v>1</v>
      </c>
      <c r="CU423" s="149">
        <f t="shared" si="438"/>
        <v>1</v>
      </c>
      <c r="CV423" s="149">
        <f t="shared" si="439"/>
        <v>1</v>
      </c>
      <c r="CW423" s="149">
        <f t="shared" si="440"/>
        <v>1</v>
      </c>
      <c r="CX423" s="149">
        <f t="shared" si="441"/>
        <v>1</v>
      </c>
      <c r="CY423" s="149">
        <f t="shared" si="442"/>
        <v>1</v>
      </c>
      <c r="CZ423" s="149">
        <f t="shared" si="443"/>
        <v>1</v>
      </c>
      <c r="DA423" s="149">
        <f t="shared" si="444"/>
        <v>1</v>
      </c>
      <c r="DB423" s="149">
        <f t="shared" si="445"/>
        <v>1</v>
      </c>
      <c r="DG423" s="125" t="str">
        <f t="shared" si="296"/>
        <v/>
      </c>
      <c r="DH423" s="125" t="str">
        <f t="shared" si="456"/>
        <v/>
      </c>
      <c r="DI423" s="125" t="str">
        <f t="shared" si="456"/>
        <v/>
      </c>
      <c r="DJ423" s="125" t="str">
        <f t="shared" si="456"/>
        <v/>
      </c>
      <c r="DK423" s="125" t="str">
        <f t="shared" si="456"/>
        <v/>
      </c>
      <c r="DL423" s="125" t="str">
        <f t="shared" si="456"/>
        <v/>
      </c>
      <c r="DM423" s="125" t="str">
        <f t="shared" si="456"/>
        <v/>
      </c>
      <c r="DN423" s="125" t="str">
        <f t="shared" si="456"/>
        <v/>
      </c>
      <c r="DO423" s="125" t="str">
        <f t="shared" si="456"/>
        <v/>
      </c>
      <c r="DP423" s="125" t="str">
        <f t="shared" si="456"/>
        <v/>
      </c>
      <c r="DS423" s="137"/>
      <c r="DT423" s="137"/>
      <c r="DU423" s="137"/>
      <c r="DV423" s="137" t="b">
        <f t="shared" si="446"/>
        <v>0</v>
      </c>
      <c r="DW423" s="137" t="b">
        <f t="shared" si="447"/>
        <v>0</v>
      </c>
      <c r="DX423" s="137" t="b">
        <f t="shared" si="448"/>
        <v>1</v>
      </c>
      <c r="EB423" s="131">
        <f t="shared" si="449"/>
        <v>1</v>
      </c>
      <c r="EC423" s="137" t="b">
        <f t="shared" si="450"/>
        <v>0</v>
      </c>
      <c r="ED423" s="137" t="b">
        <f t="shared" si="451"/>
        <v>0</v>
      </c>
      <c r="EE423" s="137" t="b">
        <f t="shared" si="452"/>
        <v>1</v>
      </c>
      <c r="EF423" s="137"/>
      <c r="EG423" s="137"/>
      <c r="EH423" s="137"/>
      <c r="EI423" s="137"/>
      <c r="EJ423" s="137">
        <f t="shared" si="453"/>
        <v>1</v>
      </c>
      <c r="EK423" s="125" t="str">
        <f t="shared" si="454"/>
        <v/>
      </c>
      <c r="EL423" s="125" t="str">
        <f t="shared" si="455"/>
        <v/>
      </c>
    </row>
    <row r="424" spans="2:142" ht="15.75" x14ac:dyDescent="0.2">
      <c r="B424" s="160" t="str">
        <f t="shared" si="405"/>
        <v/>
      </c>
      <c r="C424" s="205"/>
      <c r="D424" s="205"/>
      <c r="E424" s="205"/>
      <c r="F424" s="118" t="str">
        <f>IF(OR(J424="",H424=""),"",VLOOKUP(J424,'הזנה לסיווג רשויות'!$B$2:$D$301,2,0))</f>
        <v/>
      </c>
      <c r="G424" s="118" t="str">
        <f>IF(OR(J424="",H424=""),"",VLOOKUP(J424,'הזנה לסיווג רשויות'!$B$2:$D$301,3,0))</f>
        <v/>
      </c>
      <c r="H424" s="201"/>
      <c r="I424" s="201"/>
      <c r="J424" s="205"/>
      <c r="K424" s="161"/>
      <c r="L424" s="161"/>
      <c r="M424" s="161"/>
      <c r="N424" s="161"/>
      <c r="O424" s="161"/>
      <c r="P424" s="161"/>
      <c r="Q424" s="161"/>
      <c r="R424" s="201"/>
      <c r="S424" s="201"/>
      <c r="T424" s="160" t="str">
        <f>IF(G424="","",IFERROR(IF(S424/R424&gt;'פרמטרים לקריטריונים'!$C$20,1,0),0))</f>
        <v/>
      </c>
      <c r="U424" s="201"/>
      <c r="V424" s="160" t="str">
        <f>IF(G424="","",IFERROR(IF(U424/R424&gt;'פרמטרים לקריטריונים'!$C$21,1,IF(AND(I424=$BW$5,U424/R424&gt;'פרמטרים לקריטריונים'!$C$22),1,0)),0))</f>
        <v/>
      </c>
      <c r="W424" s="161"/>
      <c r="X424" s="161"/>
      <c r="Y424" s="201"/>
      <c r="Z424" s="201"/>
      <c r="AA424" s="161" t="str">
        <f t="shared" si="457"/>
        <v/>
      </c>
      <c r="AB424" s="161"/>
      <c r="AC424" s="161"/>
      <c r="AD424" s="161"/>
      <c r="AE424" s="161"/>
      <c r="AF424" s="161"/>
      <c r="AG424" s="161"/>
      <c r="AH424" s="161"/>
      <c r="AI424" s="161"/>
      <c r="AJ424" s="161"/>
      <c r="AK424" s="161"/>
      <c r="AL424" s="161"/>
      <c r="AM424" s="161"/>
      <c r="AN424" s="161"/>
      <c r="AO424" s="161"/>
      <c r="AP424" s="161"/>
      <c r="AQ424" s="161"/>
      <c r="AR424" s="161"/>
      <c r="AS424" s="161"/>
      <c r="AT424" s="161"/>
      <c r="AU424" s="161"/>
      <c r="AV424" s="161"/>
      <c r="AW424" s="160"/>
      <c r="AX424" s="161"/>
      <c r="AY424" s="161"/>
      <c r="AZ424" s="161"/>
      <c r="BA424" s="161"/>
      <c r="BB424" s="161"/>
      <c r="BC424" s="161"/>
      <c r="BD424" s="161"/>
      <c r="BE424" s="161"/>
      <c r="BF424" s="160" t="str">
        <f t="shared" si="406"/>
        <v/>
      </c>
      <c r="BG424" s="160"/>
      <c r="BH424" s="160"/>
      <c r="BI424" s="160"/>
      <c r="BJ424" s="160"/>
      <c r="BK424" s="160"/>
      <c r="BL424" s="162" t="str">
        <f t="shared" si="407"/>
        <v/>
      </c>
      <c r="BM424" s="257"/>
      <c r="BN424" s="163"/>
      <c r="BO424" s="211" t="str">
        <f t="shared" si="408"/>
        <v/>
      </c>
      <c r="BP424" s="125">
        <f t="shared" si="409"/>
        <v>0</v>
      </c>
      <c r="BQ424" s="164">
        <v>0</v>
      </c>
      <c r="BR424" s="164">
        <v>1</v>
      </c>
      <c r="BS424" s="149">
        <f t="shared" si="410"/>
        <v>0</v>
      </c>
      <c r="BT424" s="149">
        <f t="shared" si="411"/>
        <v>0</v>
      </c>
      <c r="BU424" s="149">
        <f t="shared" si="412"/>
        <v>0</v>
      </c>
      <c r="BV424" s="149">
        <f t="shared" si="413"/>
        <v>0</v>
      </c>
      <c r="BW424" s="149">
        <f t="shared" si="414"/>
        <v>0</v>
      </c>
      <c r="BX424" s="149">
        <f t="shared" si="415"/>
        <v>0</v>
      </c>
      <c r="BY424" s="149">
        <f t="shared" si="416"/>
        <v>0</v>
      </c>
      <c r="BZ424" s="149">
        <f t="shared" si="417"/>
        <v>0</v>
      </c>
      <c r="CA424" s="149">
        <f t="shared" si="418"/>
        <v>0</v>
      </c>
      <c r="CB424" s="149">
        <f t="shared" si="419"/>
        <v>1</v>
      </c>
      <c r="CC424" s="149">
        <f t="shared" si="420"/>
        <v>0</v>
      </c>
      <c r="CD424" s="149">
        <f t="shared" si="421"/>
        <v>1</v>
      </c>
      <c r="CE424" s="149">
        <f t="shared" si="422"/>
        <v>0</v>
      </c>
      <c r="CF424" s="149">
        <f t="shared" si="423"/>
        <v>0</v>
      </c>
      <c r="CG424" s="149">
        <f t="shared" si="424"/>
        <v>0</v>
      </c>
      <c r="CH424" s="149">
        <f t="shared" si="425"/>
        <v>0</v>
      </c>
      <c r="CI424" s="149">
        <f t="shared" si="426"/>
        <v>1</v>
      </c>
      <c r="CJ424" s="149">
        <f t="shared" si="427"/>
        <v>1</v>
      </c>
      <c r="CK424" s="149">
        <f t="shared" si="428"/>
        <v>1</v>
      </c>
      <c r="CL424" s="149">
        <f t="shared" si="429"/>
        <v>1</v>
      </c>
      <c r="CM424" s="149">
        <f t="shared" si="430"/>
        <v>1</v>
      </c>
      <c r="CN424" s="149">
        <f t="shared" si="431"/>
        <v>1</v>
      </c>
      <c r="CO424" s="149">
        <f t="shared" si="432"/>
        <v>1</v>
      </c>
      <c r="CP424" s="149">
        <f t="shared" si="433"/>
        <v>1</v>
      </c>
      <c r="CQ424" s="149">
        <f t="shared" si="434"/>
        <v>1</v>
      </c>
      <c r="CR424" s="149">
        <f t="shared" si="435"/>
        <v>1</v>
      </c>
      <c r="CS424" s="149">
        <f t="shared" si="436"/>
        <v>1</v>
      </c>
      <c r="CT424" s="149">
        <f t="shared" si="437"/>
        <v>1</v>
      </c>
      <c r="CU424" s="149">
        <f t="shared" si="438"/>
        <v>1</v>
      </c>
      <c r="CV424" s="149">
        <f t="shared" si="439"/>
        <v>1</v>
      </c>
      <c r="CW424" s="149">
        <f t="shared" si="440"/>
        <v>1</v>
      </c>
      <c r="CX424" s="149">
        <f t="shared" si="441"/>
        <v>1</v>
      </c>
      <c r="CY424" s="149">
        <f t="shared" si="442"/>
        <v>1</v>
      </c>
      <c r="CZ424" s="149">
        <f t="shared" si="443"/>
        <v>1</v>
      </c>
      <c r="DA424" s="149">
        <f t="shared" si="444"/>
        <v>1</v>
      </c>
      <c r="DB424" s="149">
        <f t="shared" si="445"/>
        <v>1</v>
      </c>
      <c r="DG424" s="125" t="str">
        <f t="shared" si="296"/>
        <v/>
      </c>
      <c r="DH424" s="125" t="str">
        <f t="shared" si="456"/>
        <v/>
      </c>
      <c r="DI424" s="125" t="str">
        <f t="shared" si="456"/>
        <v/>
      </c>
      <c r="DJ424" s="125" t="str">
        <f t="shared" si="456"/>
        <v/>
      </c>
      <c r="DK424" s="125" t="str">
        <f t="shared" si="456"/>
        <v/>
      </c>
      <c r="DL424" s="125" t="str">
        <f t="shared" si="456"/>
        <v/>
      </c>
      <c r="DM424" s="125" t="str">
        <f t="shared" si="456"/>
        <v/>
      </c>
      <c r="DN424" s="125" t="str">
        <f t="shared" si="456"/>
        <v/>
      </c>
      <c r="DO424" s="125" t="str">
        <f t="shared" si="456"/>
        <v/>
      </c>
      <c r="DP424" s="125" t="str">
        <f t="shared" si="456"/>
        <v/>
      </c>
      <c r="DS424" s="137"/>
      <c r="DT424" s="137"/>
      <c r="DU424" s="137"/>
      <c r="DV424" s="137" t="b">
        <f t="shared" si="446"/>
        <v>0</v>
      </c>
      <c r="DW424" s="137" t="b">
        <f t="shared" si="447"/>
        <v>0</v>
      </c>
      <c r="DX424" s="137" t="b">
        <f t="shared" si="448"/>
        <v>1</v>
      </c>
      <c r="EB424" s="131">
        <f t="shared" si="449"/>
        <v>1</v>
      </c>
      <c r="EC424" s="137" t="b">
        <f t="shared" si="450"/>
        <v>0</v>
      </c>
      <c r="ED424" s="137" t="b">
        <f t="shared" si="451"/>
        <v>0</v>
      </c>
      <c r="EE424" s="137" t="b">
        <f t="shared" si="452"/>
        <v>1</v>
      </c>
      <c r="EF424" s="137"/>
      <c r="EG424" s="137"/>
      <c r="EH424" s="137"/>
      <c r="EI424" s="137"/>
      <c r="EJ424" s="137">
        <f t="shared" si="453"/>
        <v>1</v>
      </c>
      <c r="EK424" s="125" t="str">
        <f t="shared" si="454"/>
        <v/>
      </c>
      <c r="EL424" s="125" t="str">
        <f t="shared" si="455"/>
        <v/>
      </c>
    </row>
    <row r="425" spans="2:142" ht="15.75" x14ac:dyDescent="0.2">
      <c r="B425" s="160" t="str">
        <f t="shared" si="405"/>
        <v/>
      </c>
      <c r="C425" s="205"/>
      <c r="D425" s="205"/>
      <c r="E425" s="205"/>
      <c r="F425" s="118" t="str">
        <f>IF(OR(J425="",H425=""),"",VLOOKUP(J425,'הזנה לסיווג רשויות'!$B$2:$D$301,2,0))</f>
        <v/>
      </c>
      <c r="G425" s="118" t="str">
        <f>IF(OR(J425="",H425=""),"",VLOOKUP(J425,'הזנה לסיווג רשויות'!$B$2:$D$301,3,0))</f>
        <v/>
      </c>
      <c r="H425" s="201"/>
      <c r="I425" s="201"/>
      <c r="J425" s="205"/>
      <c r="K425" s="161"/>
      <c r="L425" s="161"/>
      <c r="M425" s="161"/>
      <c r="N425" s="161"/>
      <c r="O425" s="161"/>
      <c r="P425" s="161"/>
      <c r="Q425" s="161"/>
      <c r="R425" s="201"/>
      <c r="S425" s="201"/>
      <c r="T425" s="160" t="str">
        <f>IF(G425="","",IFERROR(IF(S425/R425&gt;'פרמטרים לקריטריונים'!$C$20,1,0),0))</f>
        <v/>
      </c>
      <c r="U425" s="201"/>
      <c r="V425" s="160" t="str">
        <f>IF(G425="","",IFERROR(IF(U425/R425&gt;'פרמטרים לקריטריונים'!$C$21,1,IF(AND(I425=$BW$5,U425/R425&gt;'פרמטרים לקריטריונים'!$C$22),1,0)),0))</f>
        <v/>
      </c>
      <c r="W425" s="161"/>
      <c r="X425" s="161"/>
      <c r="Y425" s="201"/>
      <c r="Z425" s="201"/>
      <c r="AA425" s="161" t="str">
        <f t="shared" si="457"/>
        <v/>
      </c>
      <c r="AB425" s="161"/>
      <c r="AC425" s="161"/>
      <c r="AD425" s="161"/>
      <c r="AE425" s="161"/>
      <c r="AF425" s="161"/>
      <c r="AG425" s="161"/>
      <c r="AH425" s="161"/>
      <c r="AI425" s="161"/>
      <c r="AJ425" s="161"/>
      <c r="AK425" s="161"/>
      <c r="AL425" s="161"/>
      <c r="AM425" s="161"/>
      <c r="AN425" s="161"/>
      <c r="AO425" s="161"/>
      <c r="AP425" s="161"/>
      <c r="AQ425" s="161"/>
      <c r="AR425" s="161"/>
      <c r="AS425" s="161"/>
      <c r="AT425" s="161"/>
      <c r="AU425" s="161"/>
      <c r="AV425" s="161"/>
      <c r="AW425" s="160"/>
      <c r="AX425" s="161"/>
      <c r="AY425" s="161"/>
      <c r="AZ425" s="161"/>
      <c r="BA425" s="161"/>
      <c r="BB425" s="161"/>
      <c r="BC425" s="161"/>
      <c r="BD425" s="161"/>
      <c r="BE425" s="161"/>
      <c r="BF425" s="160" t="str">
        <f t="shared" si="406"/>
        <v/>
      </c>
      <c r="BG425" s="160"/>
      <c r="BH425" s="160"/>
      <c r="BI425" s="160"/>
      <c r="BJ425" s="160"/>
      <c r="BK425" s="160"/>
      <c r="BL425" s="162" t="str">
        <f t="shared" si="407"/>
        <v/>
      </c>
      <c r="BM425" s="257"/>
      <c r="BN425" s="163"/>
      <c r="BO425" s="211" t="str">
        <f t="shared" si="408"/>
        <v/>
      </c>
      <c r="BP425" s="125">
        <f t="shared" si="409"/>
        <v>0</v>
      </c>
      <c r="BQ425" s="164">
        <v>0</v>
      </c>
      <c r="BR425" s="164">
        <v>1</v>
      </c>
      <c r="BS425" s="149">
        <f t="shared" si="410"/>
        <v>0</v>
      </c>
      <c r="BT425" s="149">
        <f t="shared" si="411"/>
        <v>0</v>
      </c>
      <c r="BU425" s="149">
        <f t="shared" si="412"/>
        <v>0</v>
      </c>
      <c r="BV425" s="149">
        <f t="shared" si="413"/>
        <v>0</v>
      </c>
      <c r="BW425" s="149">
        <f t="shared" si="414"/>
        <v>0</v>
      </c>
      <c r="BX425" s="149">
        <f t="shared" si="415"/>
        <v>0</v>
      </c>
      <c r="BY425" s="149">
        <f t="shared" si="416"/>
        <v>0</v>
      </c>
      <c r="BZ425" s="149">
        <f t="shared" si="417"/>
        <v>0</v>
      </c>
      <c r="CA425" s="149">
        <f t="shared" si="418"/>
        <v>0</v>
      </c>
      <c r="CB425" s="149">
        <f t="shared" si="419"/>
        <v>1</v>
      </c>
      <c r="CC425" s="149">
        <f t="shared" si="420"/>
        <v>0</v>
      </c>
      <c r="CD425" s="149">
        <f t="shared" si="421"/>
        <v>1</v>
      </c>
      <c r="CE425" s="149">
        <f t="shared" si="422"/>
        <v>0</v>
      </c>
      <c r="CF425" s="149">
        <f t="shared" si="423"/>
        <v>0</v>
      </c>
      <c r="CG425" s="149">
        <f t="shared" si="424"/>
        <v>0</v>
      </c>
      <c r="CH425" s="149">
        <f t="shared" si="425"/>
        <v>0</v>
      </c>
      <c r="CI425" s="149">
        <f t="shared" si="426"/>
        <v>1</v>
      </c>
      <c r="CJ425" s="149">
        <f t="shared" si="427"/>
        <v>1</v>
      </c>
      <c r="CK425" s="149">
        <f t="shared" si="428"/>
        <v>1</v>
      </c>
      <c r="CL425" s="149">
        <f t="shared" si="429"/>
        <v>1</v>
      </c>
      <c r="CM425" s="149">
        <f t="shared" si="430"/>
        <v>1</v>
      </c>
      <c r="CN425" s="149">
        <f t="shared" si="431"/>
        <v>1</v>
      </c>
      <c r="CO425" s="149">
        <f t="shared" si="432"/>
        <v>1</v>
      </c>
      <c r="CP425" s="149">
        <f t="shared" si="433"/>
        <v>1</v>
      </c>
      <c r="CQ425" s="149">
        <f t="shared" si="434"/>
        <v>1</v>
      </c>
      <c r="CR425" s="149">
        <f t="shared" si="435"/>
        <v>1</v>
      </c>
      <c r="CS425" s="149">
        <f t="shared" si="436"/>
        <v>1</v>
      </c>
      <c r="CT425" s="149">
        <f t="shared" si="437"/>
        <v>1</v>
      </c>
      <c r="CU425" s="149">
        <f t="shared" si="438"/>
        <v>1</v>
      </c>
      <c r="CV425" s="149">
        <f t="shared" si="439"/>
        <v>1</v>
      </c>
      <c r="CW425" s="149">
        <f t="shared" si="440"/>
        <v>1</v>
      </c>
      <c r="CX425" s="149">
        <f t="shared" si="441"/>
        <v>1</v>
      </c>
      <c r="CY425" s="149">
        <f t="shared" si="442"/>
        <v>1</v>
      </c>
      <c r="CZ425" s="149">
        <f t="shared" si="443"/>
        <v>1</v>
      </c>
      <c r="DA425" s="149">
        <f t="shared" si="444"/>
        <v>1</v>
      </c>
      <c r="DB425" s="149">
        <f t="shared" si="445"/>
        <v>1</v>
      </c>
      <c r="DG425" s="125" t="str">
        <f t="shared" si="296"/>
        <v/>
      </c>
      <c r="DH425" s="125" t="str">
        <f t="shared" si="456"/>
        <v/>
      </c>
      <c r="DI425" s="125" t="str">
        <f t="shared" si="456"/>
        <v/>
      </c>
      <c r="DJ425" s="125" t="str">
        <f t="shared" si="456"/>
        <v/>
      </c>
      <c r="DK425" s="125" t="str">
        <f t="shared" si="456"/>
        <v/>
      </c>
      <c r="DL425" s="125" t="str">
        <f t="shared" si="456"/>
        <v/>
      </c>
      <c r="DM425" s="125" t="str">
        <f t="shared" si="456"/>
        <v/>
      </c>
      <c r="DN425" s="125" t="str">
        <f t="shared" si="456"/>
        <v/>
      </c>
      <c r="DO425" s="125" t="str">
        <f t="shared" si="456"/>
        <v/>
      </c>
      <c r="DP425" s="125" t="str">
        <f t="shared" si="456"/>
        <v/>
      </c>
      <c r="DS425" s="137"/>
      <c r="DT425" s="137"/>
      <c r="DU425" s="137"/>
      <c r="DV425" s="137" t="b">
        <f t="shared" si="446"/>
        <v>0</v>
      </c>
      <c r="DW425" s="137" t="b">
        <f t="shared" si="447"/>
        <v>0</v>
      </c>
      <c r="DX425" s="137" t="b">
        <f t="shared" si="448"/>
        <v>1</v>
      </c>
      <c r="EB425" s="131">
        <f t="shared" si="449"/>
        <v>1</v>
      </c>
      <c r="EC425" s="137" t="b">
        <f t="shared" si="450"/>
        <v>0</v>
      </c>
      <c r="ED425" s="137" t="b">
        <f t="shared" si="451"/>
        <v>0</v>
      </c>
      <c r="EE425" s="137" t="b">
        <f t="shared" si="452"/>
        <v>1</v>
      </c>
      <c r="EF425" s="137"/>
      <c r="EG425" s="137"/>
      <c r="EH425" s="137"/>
      <c r="EI425" s="137"/>
      <c r="EJ425" s="137">
        <f t="shared" si="453"/>
        <v>1</v>
      </c>
      <c r="EK425" s="125" t="str">
        <f t="shared" si="454"/>
        <v/>
      </c>
      <c r="EL425" s="125" t="str">
        <f t="shared" si="455"/>
        <v/>
      </c>
    </row>
    <row r="426" spans="2:142" ht="15.75" x14ac:dyDescent="0.2">
      <c r="B426" s="160" t="str">
        <f t="shared" si="405"/>
        <v/>
      </c>
      <c r="C426" s="205"/>
      <c r="D426" s="205"/>
      <c r="E426" s="205"/>
      <c r="F426" s="118" t="str">
        <f>IF(OR(J426="",H426=""),"",VLOOKUP(J426,'הזנה לסיווג רשויות'!$B$2:$D$301,2,0))</f>
        <v/>
      </c>
      <c r="G426" s="118" t="str">
        <f>IF(OR(J426="",H426=""),"",VLOOKUP(J426,'הזנה לסיווג רשויות'!$B$2:$D$301,3,0))</f>
        <v/>
      </c>
      <c r="H426" s="201"/>
      <c r="I426" s="201"/>
      <c r="J426" s="205"/>
      <c r="K426" s="161"/>
      <c r="L426" s="161"/>
      <c r="M426" s="161"/>
      <c r="N426" s="161"/>
      <c r="O426" s="161"/>
      <c r="P426" s="161"/>
      <c r="Q426" s="161"/>
      <c r="R426" s="201"/>
      <c r="S426" s="201"/>
      <c r="T426" s="160" t="str">
        <f>IF(G426="","",IFERROR(IF(S426/R426&gt;'פרמטרים לקריטריונים'!$C$20,1,0),0))</f>
        <v/>
      </c>
      <c r="U426" s="201"/>
      <c r="V426" s="160" t="str">
        <f>IF(G426="","",IFERROR(IF(U426/R426&gt;'פרמטרים לקריטריונים'!$C$21,1,IF(AND(I426=$BW$5,U426/R426&gt;'פרמטרים לקריטריונים'!$C$22),1,0)),0))</f>
        <v/>
      </c>
      <c r="W426" s="161"/>
      <c r="X426" s="161"/>
      <c r="Y426" s="201"/>
      <c r="Z426" s="201"/>
      <c r="AA426" s="161" t="str">
        <f t="shared" si="457"/>
        <v/>
      </c>
      <c r="AB426" s="161"/>
      <c r="AC426" s="161"/>
      <c r="AD426" s="161"/>
      <c r="AE426" s="161"/>
      <c r="AF426" s="161"/>
      <c r="AG426" s="161"/>
      <c r="AH426" s="161"/>
      <c r="AI426" s="161"/>
      <c r="AJ426" s="161"/>
      <c r="AK426" s="161"/>
      <c r="AL426" s="161"/>
      <c r="AM426" s="161"/>
      <c r="AN426" s="161"/>
      <c r="AO426" s="161"/>
      <c r="AP426" s="161"/>
      <c r="AQ426" s="161"/>
      <c r="AR426" s="161"/>
      <c r="AS426" s="161"/>
      <c r="AT426" s="161"/>
      <c r="AU426" s="161"/>
      <c r="AV426" s="161"/>
      <c r="AW426" s="160"/>
      <c r="AX426" s="161"/>
      <c r="AY426" s="161"/>
      <c r="AZ426" s="161"/>
      <c r="BA426" s="161"/>
      <c r="BB426" s="161"/>
      <c r="BC426" s="161"/>
      <c r="BD426" s="161"/>
      <c r="BE426" s="161"/>
      <c r="BF426" s="160" t="str">
        <f t="shared" si="406"/>
        <v/>
      </c>
      <c r="BG426" s="160"/>
      <c r="BH426" s="160"/>
      <c r="BI426" s="160"/>
      <c r="BJ426" s="160"/>
      <c r="BK426" s="160"/>
      <c r="BL426" s="162" t="str">
        <f t="shared" si="407"/>
        <v/>
      </c>
      <c r="BM426" s="257"/>
      <c r="BN426" s="163"/>
      <c r="BO426" s="211" t="str">
        <f t="shared" si="408"/>
        <v/>
      </c>
      <c r="BP426" s="125">
        <f t="shared" si="409"/>
        <v>0</v>
      </c>
      <c r="BQ426" s="164">
        <v>0</v>
      </c>
      <c r="BR426" s="164">
        <v>1</v>
      </c>
      <c r="BS426" s="149">
        <f t="shared" si="410"/>
        <v>0</v>
      </c>
      <c r="BT426" s="149">
        <f t="shared" si="411"/>
        <v>0</v>
      </c>
      <c r="BU426" s="149">
        <f t="shared" si="412"/>
        <v>0</v>
      </c>
      <c r="BV426" s="149">
        <f t="shared" si="413"/>
        <v>0</v>
      </c>
      <c r="BW426" s="149">
        <f t="shared" si="414"/>
        <v>0</v>
      </c>
      <c r="BX426" s="149">
        <f t="shared" si="415"/>
        <v>0</v>
      </c>
      <c r="BY426" s="149">
        <f t="shared" si="416"/>
        <v>0</v>
      </c>
      <c r="BZ426" s="149">
        <f t="shared" si="417"/>
        <v>0</v>
      </c>
      <c r="CA426" s="149">
        <f t="shared" si="418"/>
        <v>0</v>
      </c>
      <c r="CB426" s="149">
        <f t="shared" si="419"/>
        <v>1</v>
      </c>
      <c r="CC426" s="149">
        <f t="shared" si="420"/>
        <v>0</v>
      </c>
      <c r="CD426" s="149">
        <f t="shared" si="421"/>
        <v>1</v>
      </c>
      <c r="CE426" s="149">
        <f t="shared" si="422"/>
        <v>0</v>
      </c>
      <c r="CF426" s="149">
        <f t="shared" si="423"/>
        <v>0</v>
      </c>
      <c r="CG426" s="149">
        <f t="shared" si="424"/>
        <v>0</v>
      </c>
      <c r="CH426" s="149">
        <f t="shared" si="425"/>
        <v>0</v>
      </c>
      <c r="CI426" s="149">
        <f t="shared" si="426"/>
        <v>1</v>
      </c>
      <c r="CJ426" s="149">
        <f t="shared" si="427"/>
        <v>1</v>
      </c>
      <c r="CK426" s="149">
        <f t="shared" si="428"/>
        <v>1</v>
      </c>
      <c r="CL426" s="149">
        <f t="shared" si="429"/>
        <v>1</v>
      </c>
      <c r="CM426" s="149">
        <f t="shared" si="430"/>
        <v>1</v>
      </c>
      <c r="CN426" s="149">
        <f t="shared" si="431"/>
        <v>1</v>
      </c>
      <c r="CO426" s="149">
        <f t="shared" si="432"/>
        <v>1</v>
      </c>
      <c r="CP426" s="149">
        <f t="shared" si="433"/>
        <v>1</v>
      </c>
      <c r="CQ426" s="149">
        <f t="shared" si="434"/>
        <v>1</v>
      </c>
      <c r="CR426" s="149">
        <f t="shared" si="435"/>
        <v>1</v>
      </c>
      <c r="CS426" s="149">
        <f t="shared" si="436"/>
        <v>1</v>
      </c>
      <c r="CT426" s="149">
        <f t="shared" si="437"/>
        <v>1</v>
      </c>
      <c r="CU426" s="149">
        <f t="shared" si="438"/>
        <v>1</v>
      </c>
      <c r="CV426" s="149">
        <f t="shared" si="439"/>
        <v>1</v>
      </c>
      <c r="CW426" s="149">
        <f t="shared" si="440"/>
        <v>1</v>
      </c>
      <c r="CX426" s="149">
        <f t="shared" si="441"/>
        <v>1</v>
      </c>
      <c r="CY426" s="149">
        <f t="shared" si="442"/>
        <v>1</v>
      </c>
      <c r="CZ426" s="149">
        <f t="shared" si="443"/>
        <v>1</v>
      </c>
      <c r="DA426" s="149">
        <f t="shared" si="444"/>
        <v>1</v>
      </c>
      <c r="DB426" s="149">
        <f t="shared" si="445"/>
        <v>1</v>
      </c>
      <c r="DG426" s="125" t="str">
        <f t="shared" si="296"/>
        <v/>
      </c>
      <c r="DH426" s="125" t="str">
        <f t="shared" si="456"/>
        <v/>
      </c>
      <c r="DI426" s="125" t="str">
        <f t="shared" si="456"/>
        <v/>
      </c>
      <c r="DJ426" s="125" t="str">
        <f t="shared" si="456"/>
        <v/>
      </c>
      <c r="DK426" s="125" t="str">
        <f t="shared" si="456"/>
        <v/>
      </c>
      <c r="DL426" s="125" t="str">
        <f t="shared" si="456"/>
        <v/>
      </c>
      <c r="DM426" s="125" t="str">
        <f t="shared" si="456"/>
        <v/>
      </c>
      <c r="DN426" s="125" t="str">
        <f t="shared" si="456"/>
        <v/>
      </c>
      <c r="DO426" s="125" t="str">
        <f t="shared" si="456"/>
        <v/>
      </c>
      <c r="DP426" s="125" t="str">
        <f t="shared" si="456"/>
        <v/>
      </c>
      <c r="DS426" s="137"/>
      <c r="DT426" s="137"/>
      <c r="DU426" s="137"/>
      <c r="DV426" s="137" t="b">
        <f t="shared" si="446"/>
        <v>0</v>
      </c>
      <c r="DW426" s="137" t="b">
        <f t="shared" si="447"/>
        <v>0</v>
      </c>
      <c r="DX426" s="137" t="b">
        <f t="shared" si="448"/>
        <v>1</v>
      </c>
      <c r="EB426" s="131">
        <f t="shared" si="449"/>
        <v>1</v>
      </c>
      <c r="EC426" s="137" t="b">
        <f t="shared" si="450"/>
        <v>0</v>
      </c>
      <c r="ED426" s="137" t="b">
        <f t="shared" si="451"/>
        <v>0</v>
      </c>
      <c r="EE426" s="137" t="b">
        <f t="shared" si="452"/>
        <v>1</v>
      </c>
      <c r="EF426" s="137"/>
      <c r="EG426" s="137"/>
      <c r="EH426" s="137"/>
      <c r="EI426" s="137"/>
      <c r="EJ426" s="137">
        <f t="shared" si="453"/>
        <v>1</v>
      </c>
      <c r="EK426" s="125" t="str">
        <f t="shared" si="454"/>
        <v/>
      </c>
      <c r="EL426" s="125" t="str">
        <f t="shared" si="455"/>
        <v/>
      </c>
    </row>
    <row r="427" spans="2:142" ht="15.75" x14ac:dyDescent="0.2">
      <c r="B427" s="160" t="str">
        <f t="shared" si="405"/>
        <v/>
      </c>
      <c r="C427" s="205"/>
      <c r="D427" s="205"/>
      <c r="E427" s="205"/>
      <c r="F427" s="118" t="str">
        <f>IF(OR(J427="",H427=""),"",VLOOKUP(J427,'הזנה לסיווג רשויות'!$B$2:$D$301,2,0))</f>
        <v/>
      </c>
      <c r="G427" s="118" t="str">
        <f>IF(OR(J427="",H427=""),"",VLOOKUP(J427,'הזנה לסיווג רשויות'!$B$2:$D$301,3,0))</f>
        <v/>
      </c>
      <c r="H427" s="201"/>
      <c r="I427" s="201"/>
      <c r="J427" s="205"/>
      <c r="K427" s="161"/>
      <c r="L427" s="161"/>
      <c r="M427" s="161"/>
      <c r="N427" s="161"/>
      <c r="O427" s="161"/>
      <c r="P427" s="161"/>
      <c r="Q427" s="161"/>
      <c r="R427" s="201"/>
      <c r="S427" s="201"/>
      <c r="T427" s="160" t="str">
        <f>IF(G427="","",IFERROR(IF(S427/R427&gt;'פרמטרים לקריטריונים'!$C$20,1,0),0))</f>
        <v/>
      </c>
      <c r="U427" s="201"/>
      <c r="V427" s="160" t="str">
        <f>IF(G427="","",IFERROR(IF(U427/R427&gt;'פרמטרים לקריטריונים'!$C$21,1,IF(AND(I427=$BW$5,U427/R427&gt;'פרמטרים לקריטריונים'!$C$22),1,0)),0))</f>
        <v/>
      </c>
      <c r="W427" s="161"/>
      <c r="X427" s="161"/>
      <c r="Y427" s="201"/>
      <c r="Z427" s="201"/>
      <c r="AA427" s="161" t="str">
        <f t="shared" si="457"/>
        <v/>
      </c>
      <c r="AB427" s="161"/>
      <c r="AC427" s="161"/>
      <c r="AD427" s="161"/>
      <c r="AE427" s="161"/>
      <c r="AF427" s="161"/>
      <c r="AG427" s="161"/>
      <c r="AH427" s="161"/>
      <c r="AI427" s="161"/>
      <c r="AJ427" s="161"/>
      <c r="AK427" s="161"/>
      <c r="AL427" s="161"/>
      <c r="AM427" s="161"/>
      <c r="AN427" s="161"/>
      <c r="AO427" s="161"/>
      <c r="AP427" s="161"/>
      <c r="AQ427" s="161"/>
      <c r="AR427" s="161"/>
      <c r="AS427" s="161"/>
      <c r="AT427" s="161"/>
      <c r="AU427" s="161"/>
      <c r="AV427" s="161"/>
      <c r="AW427" s="160"/>
      <c r="AX427" s="161"/>
      <c r="AY427" s="161"/>
      <c r="AZ427" s="161"/>
      <c r="BA427" s="161"/>
      <c r="BB427" s="161"/>
      <c r="BC427" s="161"/>
      <c r="BD427" s="161"/>
      <c r="BE427" s="161"/>
      <c r="BF427" s="160" t="str">
        <f t="shared" si="406"/>
        <v/>
      </c>
      <c r="BG427" s="160"/>
      <c r="BH427" s="160"/>
      <c r="BI427" s="160"/>
      <c r="BJ427" s="160"/>
      <c r="BK427" s="160"/>
      <c r="BL427" s="162" t="str">
        <f t="shared" si="407"/>
        <v/>
      </c>
      <c r="BM427" s="257"/>
      <c r="BN427" s="163"/>
      <c r="BO427" s="211" t="str">
        <f t="shared" si="408"/>
        <v/>
      </c>
      <c r="BP427" s="125">
        <f t="shared" si="409"/>
        <v>0</v>
      </c>
      <c r="BQ427" s="164">
        <v>0</v>
      </c>
      <c r="BR427" s="164">
        <v>1</v>
      </c>
      <c r="BS427" s="149">
        <f t="shared" si="410"/>
        <v>0</v>
      </c>
      <c r="BT427" s="149">
        <f t="shared" si="411"/>
        <v>0</v>
      </c>
      <c r="BU427" s="149">
        <f t="shared" si="412"/>
        <v>0</v>
      </c>
      <c r="BV427" s="149">
        <f t="shared" si="413"/>
        <v>0</v>
      </c>
      <c r="BW427" s="149">
        <f t="shared" si="414"/>
        <v>0</v>
      </c>
      <c r="BX427" s="149">
        <f t="shared" si="415"/>
        <v>0</v>
      </c>
      <c r="BY427" s="149">
        <f t="shared" si="416"/>
        <v>0</v>
      </c>
      <c r="BZ427" s="149">
        <f t="shared" si="417"/>
        <v>0</v>
      </c>
      <c r="CA427" s="149">
        <f t="shared" si="418"/>
        <v>0</v>
      </c>
      <c r="CB427" s="149">
        <f t="shared" si="419"/>
        <v>1</v>
      </c>
      <c r="CC427" s="149">
        <f t="shared" si="420"/>
        <v>0</v>
      </c>
      <c r="CD427" s="149">
        <f t="shared" si="421"/>
        <v>1</v>
      </c>
      <c r="CE427" s="149">
        <f t="shared" si="422"/>
        <v>0</v>
      </c>
      <c r="CF427" s="149">
        <f t="shared" si="423"/>
        <v>0</v>
      </c>
      <c r="CG427" s="149">
        <f t="shared" si="424"/>
        <v>0</v>
      </c>
      <c r="CH427" s="149">
        <f t="shared" si="425"/>
        <v>0</v>
      </c>
      <c r="CI427" s="149">
        <f t="shared" si="426"/>
        <v>1</v>
      </c>
      <c r="CJ427" s="149">
        <f t="shared" si="427"/>
        <v>1</v>
      </c>
      <c r="CK427" s="149">
        <f t="shared" si="428"/>
        <v>1</v>
      </c>
      <c r="CL427" s="149">
        <f t="shared" si="429"/>
        <v>1</v>
      </c>
      <c r="CM427" s="149">
        <f t="shared" si="430"/>
        <v>1</v>
      </c>
      <c r="CN427" s="149">
        <f t="shared" si="431"/>
        <v>1</v>
      </c>
      <c r="CO427" s="149">
        <f t="shared" si="432"/>
        <v>1</v>
      </c>
      <c r="CP427" s="149">
        <f t="shared" si="433"/>
        <v>1</v>
      </c>
      <c r="CQ427" s="149">
        <f t="shared" si="434"/>
        <v>1</v>
      </c>
      <c r="CR427" s="149">
        <f t="shared" si="435"/>
        <v>1</v>
      </c>
      <c r="CS427" s="149">
        <f t="shared" si="436"/>
        <v>1</v>
      </c>
      <c r="CT427" s="149">
        <f t="shared" si="437"/>
        <v>1</v>
      </c>
      <c r="CU427" s="149">
        <f t="shared" si="438"/>
        <v>1</v>
      </c>
      <c r="CV427" s="149">
        <f t="shared" si="439"/>
        <v>1</v>
      </c>
      <c r="CW427" s="149">
        <f t="shared" si="440"/>
        <v>1</v>
      </c>
      <c r="CX427" s="149">
        <f t="shared" si="441"/>
        <v>1</v>
      </c>
      <c r="CY427" s="149">
        <f t="shared" si="442"/>
        <v>1</v>
      </c>
      <c r="CZ427" s="149">
        <f t="shared" si="443"/>
        <v>1</v>
      </c>
      <c r="DA427" s="149">
        <f t="shared" si="444"/>
        <v>1</v>
      </c>
      <c r="DB427" s="149">
        <f t="shared" si="445"/>
        <v>1</v>
      </c>
      <c r="DG427" s="125" t="str">
        <f t="shared" si="296"/>
        <v/>
      </c>
      <c r="DH427" s="125" t="str">
        <f t="shared" si="456"/>
        <v/>
      </c>
      <c r="DI427" s="125" t="str">
        <f t="shared" si="456"/>
        <v/>
      </c>
      <c r="DJ427" s="125" t="str">
        <f t="shared" si="456"/>
        <v/>
      </c>
      <c r="DK427" s="125" t="str">
        <f t="shared" si="456"/>
        <v/>
      </c>
      <c r="DL427" s="125" t="str">
        <f t="shared" si="456"/>
        <v/>
      </c>
      <c r="DM427" s="125" t="str">
        <f t="shared" si="456"/>
        <v/>
      </c>
      <c r="DN427" s="125" t="str">
        <f t="shared" si="456"/>
        <v/>
      </c>
      <c r="DO427" s="125" t="str">
        <f t="shared" si="456"/>
        <v/>
      </c>
      <c r="DP427" s="125" t="str">
        <f t="shared" si="456"/>
        <v/>
      </c>
      <c r="DS427" s="137"/>
      <c r="DT427" s="137"/>
      <c r="DU427" s="137"/>
      <c r="DV427" s="137" t="b">
        <f t="shared" si="446"/>
        <v>0</v>
      </c>
      <c r="DW427" s="137" t="b">
        <f t="shared" si="447"/>
        <v>0</v>
      </c>
      <c r="DX427" s="137" t="b">
        <f t="shared" si="448"/>
        <v>1</v>
      </c>
      <c r="EB427" s="131">
        <f t="shared" si="449"/>
        <v>1</v>
      </c>
      <c r="EC427" s="137" t="b">
        <f t="shared" si="450"/>
        <v>0</v>
      </c>
      <c r="ED427" s="137" t="b">
        <f t="shared" si="451"/>
        <v>0</v>
      </c>
      <c r="EE427" s="137" t="b">
        <f t="shared" si="452"/>
        <v>1</v>
      </c>
      <c r="EF427" s="137"/>
      <c r="EG427" s="137"/>
      <c r="EH427" s="137"/>
      <c r="EI427" s="137"/>
      <c r="EJ427" s="137">
        <f t="shared" si="453"/>
        <v>1</v>
      </c>
      <c r="EK427" s="125" t="str">
        <f t="shared" si="454"/>
        <v/>
      </c>
      <c r="EL427" s="125" t="str">
        <f t="shared" si="455"/>
        <v/>
      </c>
    </row>
    <row r="428" spans="2:142" ht="15.75" x14ac:dyDescent="0.2">
      <c r="B428" s="160" t="str">
        <f t="shared" si="405"/>
        <v/>
      </c>
      <c r="C428" s="205"/>
      <c r="D428" s="205"/>
      <c r="E428" s="205"/>
      <c r="F428" s="118" t="str">
        <f>IF(OR(J428="",H428=""),"",VLOOKUP(J428,'הזנה לסיווג רשויות'!$B$2:$D$301,2,0))</f>
        <v/>
      </c>
      <c r="G428" s="118" t="str">
        <f>IF(OR(J428="",H428=""),"",VLOOKUP(J428,'הזנה לסיווג רשויות'!$B$2:$D$301,3,0))</f>
        <v/>
      </c>
      <c r="H428" s="201"/>
      <c r="I428" s="201"/>
      <c r="J428" s="205"/>
      <c r="K428" s="161"/>
      <c r="L428" s="161"/>
      <c r="M428" s="161"/>
      <c r="N428" s="161"/>
      <c r="O428" s="161"/>
      <c r="P428" s="161"/>
      <c r="Q428" s="161"/>
      <c r="R428" s="201"/>
      <c r="S428" s="201"/>
      <c r="T428" s="160" t="str">
        <f>IF(G428="","",IFERROR(IF(S428/R428&gt;'פרמטרים לקריטריונים'!$C$20,1,0),0))</f>
        <v/>
      </c>
      <c r="U428" s="201"/>
      <c r="V428" s="160" t="str">
        <f>IF(G428="","",IFERROR(IF(U428/R428&gt;'פרמטרים לקריטריונים'!$C$21,1,IF(AND(I428=$BW$5,U428/R428&gt;'פרמטרים לקריטריונים'!$C$22),1,0)),0))</f>
        <v/>
      </c>
      <c r="W428" s="161"/>
      <c r="X428" s="161"/>
      <c r="Y428" s="201"/>
      <c r="Z428" s="201"/>
      <c r="AA428" s="161" t="str">
        <f t="shared" si="457"/>
        <v/>
      </c>
      <c r="AB428" s="161"/>
      <c r="AC428" s="161"/>
      <c r="AD428" s="161"/>
      <c r="AE428" s="161"/>
      <c r="AF428" s="161"/>
      <c r="AG428" s="161"/>
      <c r="AH428" s="161"/>
      <c r="AI428" s="161"/>
      <c r="AJ428" s="161"/>
      <c r="AK428" s="161"/>
      <c r="AL428" s="161"/>
      <c r="AM428" s="161"/>
      <c r="AN428" s="161"/>
      <c r="AO428" s="161"/>
      <c r="AP428" s="161"/>
      <c r="AQ428" s="161"/>
      <c r="AR428" s="161"/>
      <c r="AS428" s="161"/>
      <c r="AT428" s="161"/>
      <c r="AU428" s="161"/>
      <c r="AV428" s="161"/>
      <c r="AW428" s="160"/>
      <c r="AX428" s="161"/>
      <c r="AY428" s="161"/>
      <c r="AZ428" s="161"/>
      <c r="BA428" s="161"/>
      <c r="BB428" s="161"/>
      <c r="BC428" s="161"/>
      <c r="BD428" s="161"/>
      <c r="BE428" s="161"/>
      <c r="BF428" s="160" t="str">
        <f t="shared" si="406"/>
        <v/>
      </c>
      <c r="BG428" s="160"/>
      <c r="BH428" s="160"/>
      <c r="BI428" s="160"/>
      <c r="BJ428" s="160"/>
      <c r="BK428" s="160"/>
      <c r="BL428" s="162" t="str">
        <f t="shared" si="407"/>
        <v/>
      </c>
      <c r="BM428" s="257"/>
      <c r="BN428" s="163"/>
      <c r="BO428" s="211" t="str">
        <f t="shared" si="408"/>
        <v/>
      </c>
      <c r="BP428" s="125">
        <f t="shared" si="409"/>
        <v>0</v>
      </c>
      <c r="BQ428" s="164">
        <v>0</v>
      </c>
      <c r="BR428" s="164">
        <v>1</v>
      </c>
      <c r="BS428" s="149">
        <f t="shared" si="410"/>
        <v>0</v>
      </c>
      <c r="BT428" s="149">
        <f t="shared" si="411"/>
        <v>0</v>
      </c>
      <c r="BU428" s="149">
        <f t="shared" si="412"/>
        <v>0</v>
      </c>
      <c r="BV428" s="149">
        <f t="shared" si="413"/>
        <v>0</v>
      </c>
      <c r="BW428" s="149">
        <f t="shared" si="414"/>
        <v>0</v>
      </c>
      <c r="BX428" s="149">
        <f t="shared" si="415"/>
        <v>0</v>
      </c>
      <c r="BY428" s="149">
        <f t="shared" si="416"/>
        <v>0</v>
      </c>
      <c r="BZ428" s="149">
        <f t="shared" si="417"/>
        <v>0</v>
      </c>
      <c r="CA428" s="149">
        <f t="shared" si="418"/>
        <v>0</v>
      </c>
      <c r="CB428" s="149">
        <f t="shared" si="419"/>
        <v>1</v>
      </c>
      <c r="CC428" s="149">
        <f t="shared" si="420"/>
        <v>0</v>
      </c>
      <c r="CD428" s="149">
        <f t="shared" si="421"/>
        <v>1</v>
      </c>
      <c r="CE428" s="149">
        <f t="shared" si="422"/>
        <v>0</v>
      </c>
      <c r="CF428" s="149">
        <f t="shared" si="423"/>
        <v>0</v>
      </c>
      <c r="CG428" s="149">
        <f t="shared" si="424"/>
        <v>0</v>
      </c>
      <c r="CH428" s="149">
        <f t="shared" si="425"/>
        <v>0</v>
      </c>
      <c r="CI428" s="149">
        <f t="shared" si="426"/>
        <v>1</v>
      </c>
      <c r="CJ428" s="149">
        <f t="shared" si="427"/>
        <v>1</v>
      </c>
      <c r="CK428" s="149">
        <f t="shared" si="428"/>
        <v>1</v>
      </c>
      <c r="CL428" s="149">
        <f t="shared" si="429"/>
        <v>1</v>
      </c>
      <c r="CM428" s="149">
        <f t="shared" si="430"/>
        <v>1</v>
      </c>
      <c r="CN428" s="149">
        <f t="shared" si="431"/>
        <v>1</v>
      </c>
      <c r="CO428" s="149">
        <f t="shared" si="432"/>
        <v>1</v>
      </c>
      <c r="CP428" s="149">
        <f t="shared" si="433"/>
        <v>1</v>
      </c>
      <c r="CQ428" s="149">
        <f t="shared" si="434"/>
        <v>1</v>
      </c>
      <c r="CR428" s="149">
        <f t="shared" si="435"/>
        <v>1</v>
      </c>
      <c r="CS428" s="149">
        <f t="shared" si="436"/>
        <v>1</v>
      </c>
      <c r="CT428" s="149">
        <f t="shared" si="437"/>
        <v>1</v>
      </c>
      <c r="CU428" s="149">
        <f t="shared" si="438"/>
        <v>1</v>
      </c>
      <c r="CV428" s="149">
        <f t="shared" si="439"/>
        <v>1</v>
      </c>
      <c r="CW428" s="149">
        <f t="shared" si="440"/>
        <v>1</v>
      </c>
      <c r="CX428" s="149">
        <f t="shared" si="441"/>
        <v>1</v>
      </c>
      <c r="CY428" s="149">
        <f t="shared" si="442"/>
        <v>1</v>
      </c>
      <c r="CZ428" s="149">
        <f t="shared" si="443"/>
        <v>1</v>
      </c>
      <c r="DA428" s="149">
        <f t="shared" si="444"/>
        <v>1</v>
      </c>
      <c r="DB428" s="149">
        <f t="shared" si="445"/>
        <v>1</v>
      </c>
      <c r="DG428" s="125" t="str">
        <f t="shared" si="296"/>
        <v/>
      </c>
      <c r="DH428" s="125" t="str">
        <f t="shared" si="456"/>
        <v/>
      </c>
      <c r="DI428" s="125" t="str">
        <f t="shared" si="456"/>
        <v/>
      </c>
      <c r="DJ428" s="125" t="str">
        <f t="shared" si="456"/>
        <v/>
      </c>
      <c r="DK428" s="125" t="str">
        <f t="shared" si="456"/>
        <v/>
      </c>
      <c r="DL428" s="125" t="str">
        <f t="shared" si="456"/>
        <v/>
      </c>
      <c r="DM428" s="125" t="str">
        <f t="shared" si="456"/>
        <v/>
      </c>
      <c r="DN428" s="125" t="str">
        <f t="shared" si="456"/>
        <v/>
      </c>
      <c r="DO428" s="125" t="str">
        <f t="shared" si="456"/>
        <v/>
      </c>
      <c r="DP428" s="125" t="str">
        <f t="shared" si="456"/>
        <v/>
      </c>
      <c r="DS428" s="137"/>
      <c r="DT428" s="137"/>
      <c r="DU428" s="137"/>
      <c r="DV428" s="137" t="b">
        <f t="shared" si="446"/>
        <v>0</v>
      </c>
      <c r="DW428" s="137" t="b">
        <f t="shared" si="447"/>
        <v>0</v>
      </c>
      <c r="DX428" s="137" t="b">
        <f t="shared" si="448"/>
        <v>1</v>
      </c>
      <c r="EB428" s="131">
        <f t="shared" si="449"/>
        <v>1</v>
      </c>
      <c r="EC428" s="137" t="b">
        <f t="shared" si="450"/>
        <v>0</v>
      </c>
      <c r="ED428" s="137" t="b">
        <f t="shared" si="451"/>
        <v>0</v>
      </c>
      <c r="EE428" s="137" t="b">
        <f t="shared" si="452"/>
        <v>1</v>
      </c>
      <c r="EF428" s="137"/>
      <c r="EG428" s="137"/>
      <c r="EH428" s="137"/>
      <c r="EI428" s="137"/>
      <c r="EJ428" s="137">
        <f t="shared" si="453"/>
        <v>1</v>
      </c>
      <c r="EK428" s="125" t="str">
        <f t="shared" si="454"/>
        <v/>
      </c>
      <c r="EL428" s="125" t="str">
        <f t="shared" si="455"/>
        <v/>
      </c>
    </row>
    <row r="429" spans="2:142" ht="15.75" x14ac:dyDescent="0.2">
      <c r="B429" s="160" t="str">
        <f t="shared" si="405"/>
        <v/>
      </c>
      <c r="C429" s="205"/>
      <c r="D429" s="205"/>
      <c r="E429" s="205"/>
      <c r="F429" s="118" t="str">
        <f>IF(OR(J429="",H429=""),"",VLOOKUP(J429,'הזנה לסיווג רשויות'!$B$2:$D$301,2,0))</f>
        <v/>
      </c>
      <c r="G429" s="118" t="str">
        <f>IF(OR(J429="",H429=""),"",VLOOKUP(J429,'הזנה לסיווג רשויות'!$B$2:$D$301,3,0))</f>
        <v/>
      </c>
      <c r="H429" s="201"/>
      <c r="I429" s="201"/>
      <c r="J429" s="205"/>
      <c r="K429" s="161"/>
      <c r="L429" s="161"/>
      <c r="M429" s="161"/>
      <c r="N429" s="161"/>
      <c r="O429" s="161"/>
      <c r="P429" s="161"/>
      <c r="Q429" s="161"/>
      <c r="R429" s="201"/>
      <c r="S429" s="201"/>
      <c r="T429" s="160" t="str">
        <f>IF(G429="","",IFERROR(IF(S429/R429&gt;'פרמטרים לקריטריונים'!$C$20,1,0),0))</f>
        <v/>
      </c>
      <c r="U429" s="201"/>
      <c r="V429" s="160" t="str">
        <f>IF(G429="","",IFERROR(IF(U429/R429&gt;'פרמטרים לקריטריונים'!$C$21,1,IF(AND(I429=$BW$5,U429/R429&gt;'פרמטרים לקריטריונים'!$C$22),1,0)),0))</f>
        <v/>
      </c>
      <c r="W429" s="161"/>
      <c r="X429" s="161"/>
      <c r="Y429" s="201"/>
      <c r="Z429" s="201"/>
      <c r="AA429" s="161" t="str">
        <f t="shared" si="457"/>
        <v/>
      </c>
      <c r="AB429" s="161"/>
      <c r="AC429" s="161"/>
      <c r="AD429" s="161"/>
      <c r="AE429" s="161"/>
      <c r="AF429" s="161"/>
      <c r="AG429" s="161"/>
      <c r="AH429" s="161"/>
      <c r="AI429" s="161"/>
      <c r="AJ429" s="161"/>
      <c r="AK429" s="161"/>
      <c r="AL429" s="161"/>
      <c r="AM429" s="161"/>
      <c r="AN429" s="161"/>
      <c r="AO429" s="161"/>
      <c r="AP429" s="161"/>
      <c r="AQ429" s="161"/>
      <c r="AR429" s="161"/>
      <c r="AS429" s="161"/>
      <c r="AT429" s="161"/>
      <c r="AU429" s="161"/>
      <c r="AV429" s="161"/>
      <c r="AW429" s="160"/>
      <c r="AX429" s="161"/>
      <c r="AY429" s="161"/>
      <c r="AZ429" s="161"/>
      <c r="BA429" s="161"/>
      <c r="BB429" s="161"/>
      <c r="BC429" s="161"/>
      <c r="BD429" s="161"/>
      <c r="BE429" s="161"/>
      <c r="BF429" s="160" t="str">
        <f t="shared" si="406"/>
        <v/>
      </c>
      <c r="BG429" s="160"/>
      <c r="BH429" s="160"/>
      <c r="BI429" s="160"/>
      <c r="BJ429" s="160"/>
      <c r="BK429" s="160"/>
      <c r="BL429" s="162" t="str">
        <f t="shared" si="407"/>
        <v/>
      </c>
      <c r="BM429" s="257"/>
      <c r="BN429" s="163"/>
      <c r="BO429" s="211" t="str">
        <f t="shared" si="408"/>
        <v/>
      </c>
      <c r="BP429" s="125">
        <f t="shared" si="409"/>
        <v>0</v>
      </c>
      <c r="BQ429" s="164">
        <v>0</v>
      </c>
      <c r="BR429" s="164">
        <v>1</v>
      </c>
      <c r="BS429" s="149">
        <f t="shared" si="410"/>
        <v>0</v>
      </c>
      <c r="BT429" s="149">
        <f t="shared" si="411"/>
        <v>0</v>
      </c>
      <c r="BU429" s="149">
        <f t="shared" si="412"/>
        <v>0</v>
      </c>
      <c r="BV429" s="149">
        <f t="shared" si="413"/>
        <v>0</v>
      </c>
      <c r="BW429" s="149">
        <f t="shared" si="414"/>
        <v>0</v>
      </c>
      <c r="BX429" s="149">
        <f t="shared" si="415"/>
        <v>0</v>
      </c>
      <c r="BY429" s="149">
        <f t="shared" si="416"/>
        <v>0</v>
      </c>
      <c r="BZ429" s="149">
        <f t="shared" si="417"/>
        <v>0</v>
      </c>
      <c r="CA429" s="149">
        <f t="shared" si="418"/>
        <v>0</v>
      </c>
      <c r="CB429" s="149">
        <f t="shared" si="419"/>
        <v>1</v>
      </c>
      <c r="CC429" s="149">
        <f t="shared" si="420"/>
        <v>0</v>
      </c>
      <c r="CD429" s="149">
        <f t="shared" si="421"/>
        <v>1</v>
      </c>
      <c r="CE429" s="149">
        <f t="shared" si="422"/>
        <v>0</v>
      </c>
      <c r="CF429" s="149">
        <f t="shared" si="423"/>
        <v>0</v>
      </c>
      <c r="CG429" s="149">
        <f t="shared" si="424"/>
        <v>0</v>
      </c>
      <c r="CH429" s="149">
        <f t="shared" si="425"/>
        <v>0</v>
      </c>
      <c r="CI429" s="149">
        <f t="shared" si="426"/>
        <v>1</v>
      </c>
      <c r="CJ429" s="149">
        <f t="shared" si="427"/>
        <v>1</v>
      </c>
      <c r="CK429" s="149">
        <f t="shared" si="428"/>
        <v>1</v>
      </c>
      <c r="CL429" s="149">
        <f t="shared" si="429"/>
        <v>1</v>
      </c>
      <c r="CM429" s="149">
        <f t="shared" si="430"/>
        <v>1</v>
      </c>
      <c r="CN429" s="149">
        <f t="shared" si="431"/>
        <v>1</v>
      </c>
      <c r="CO429" s="149">
        <f t="shared" si="432"/>
        <v>1</v>
      </c>
      <c r="CP429" s="149">
        <f t="shared" si="433"/>
        <v>1</v>
      </c>
      <c r="CQ429" s="149">
        <f t="shared" si="434"/>
        <v>1</v>
      </c>
      <c r="CR429" s="149">
        <f t="shared" si="435"/>
        <v>1</v>
      </c>
      <c r="CS429" s="149">
        <f t="shared" si="436"/>
        <v>1</v>
      </c>
      <c r="CT429" s="149">
        <f t="shared" si="437"/>
        <v>1</v>
      </c>
      <c r="CU429" s="149">
        <f t="shared" si="438"/>
        <v>1</v>
      </c>
      <c r="CV429" s="149">
        <f t="shared" si="439"/>
        <v>1</v>
      </c>
      <c r="CW429" s="149">
        <f t="shared" si="440"/>
        <v>1</v>
      </c>
      <c r="CX429" s="149">
        <f t="shared" si="441"/>
        <v>1</v>
      </c>
      <c r="CY429" s="149">
        <f t="shared" si="442"/>
        <v>1</v>
      </c>
      <c r="CZ429" s="149">
        <f t="shared" si="443"/>
        <v>1</v>
      </c>
      <c r="DA429" s="149">
        <f t="shared" si="444"/>
        <v>1</v>
      </c>
      <c r="DB429" s="149">
        <f t="shared" si="445"/>
        <v>1</v>
      </c>
      <c r="DG429" s="125" t="str">
        <f t="shared" si="296"/>
        <v/>
      </c>
      <c r="DH429" s="125" t="str">
        <f t="shared" si="456"/>
        <v/>
      </c>
      <c r="DI429" s="125" t="str">
        <f t="shared" si="456"/>
        <v/>
      </c>
      <c r="DJ429" s="125" t="str">
        <f t="shared" si="456"/>
        <v/>
      </c>
      <c r="DK429" s="125" t="str">
        <f t="shared" si="456"/>
        <v/>
      </c>
      <c r="DL429" s="125" t="str">
        <f t="shared" si="456"/>
        <v/>
      </c>
      <c r="DM429" s="125" t="str">
        <f t="shared" si="456"/>
        <v/>
      </c>
      <c r="DN429" s="125" t="str">
        <f t="shared" si="456"/>
        <v/>
      </c>
      <c r="DO429" s="125" t="str">
        <f t="shared" si="456"/>
        <v/>
      </c>
      <c r="DP429" s="125" t="str">
        <f t="shared" si="456"/>
        <v/>
      </c>
      <c r="DS429" s="137"/>
      <c r="DT429" s="137"/>
      <c r="DU429" s="137"/>
      <c r="DV429" s="137" t="b">
        <f t="shared" si="446"/>
        <v>0</v>
      </c>
      <c r="DW429" s="137" t="b">
        <f t="shared" si="447"/>
        <v>0</v>
      </c>
      <c r="DX429" s="137" t="b">
        <f t="shared" si="448"/>
        <v>1</v>
      </c>
      <c r="EB429" s="131">
        <f t="shared" si="449"/>
        <v>1</v>
      </c>
      <c r="EC429" s="137" t="b">
        <f t="shared" si="450"/>
        <v>0</v>
      </c>
      <c r="ED429" s="137" t="b">
        <f t="shared" si="451"/>
        <v>0</v>
      </c>
      <c r="EE429" s="137" t="b">
        <f t="shared" si="452"/>
        <v>1</v>
      </c>
      <c r="EF429" s="137"/>
      <c r="EG429" s="137"/>
      <c r="EH429" s="137"/>
      <c r="EI429" s="137"/>
      <c r="EJ429" s="137">
        <f t="shared" si="453"/>
        <v>1</v>
      </c>
      <c r="EK429" s="125" t="str">
        <f t="shared" si="454"/>
        <v/>
      </c>
      <c r="EL429" s="125" t="str">
        <f t="shared" si="455"/>
        <v/>
      </c>
    </row>
    <row r="430" spans="2:142" ht="15.75" x14ac:dyDescent="0.2">
      <c r="B430" s="160" t="str">
        <f t="shared" si="405"/>
        <v/>
      </c>
      <c r="C430" s="205"/>
      <c r="D430" s="205"/>
      <c r="E430" s="205"/>
      <c r="F430" s="118" t="str">
        <f>IF(OR(J430="",H430=""),"",VLOOKUP(J430,'הזנה לסיווג רשויות'!$B$2:$D$301,2,0))</f>
        <v/>
      </c>
      <c r="G430" s="118" t="str">
        <f>IF(OR(J430="",H430=""),"",VLOOKUP(J430,'הזנה לסיווג רשויות'!$B$2:$D$301,3,0))</f>
        <v/>
      </c>
      <c r="H430" s="201"/>
      <c r="I430" s="201"/>
      <c r="J430" s="205"/>
      <c r="K430" s="161"/>
      <c r="L430" s="161"/>
      <c r="M430" s="161"/>
      <c r="N430" s="161"/>
      <c r="O430" s="161"/>
      <c r="P430" s="161"/>
      <c r="Q430" s="161"/>
      <c r="R430" s="201"/>
      <c r="S430" s="201"/>
      <c r="T430" s="160" t="str">
        <f>IF(G430="","",IFERROR(IF(S430/R430&gt;'פרמטרים לקריטריונים'!$C$20,1,0),0))</f>
        <v/>
      </c>
      <c r="U430" s="201"/>
      <c r="V430" s="160" t="str">
        <f>IF(G430="","",IFERROR(IF(U430/R430&gt;'פרמטרים לקריטריונים'!$C$21,1,IF(AND(I430=$BW$5,U430/R430&gt;'פרמטרים לקריטריונים'!$C$22),1,0)),0))</f>
        <v/>
      </c>
      <c r="W430" s="161"/>
      <c r="X430" s="161"/>
      <c r="Y430" s="201"/>
      <c r="Z430" s="201"/>
      <c r="AA430" s="161" t="str">
        <f t="shared" si="457"/>
        <v/>
      </c>
      <c r="AB430" s="161"/>
      <c r="AC430" s="161"/>
      <c r="AD430" s="161"/>
      <c r="AE430" s="161"/>
      <c r="AF430" s="161"/>
      <c r="AG430" s="161"/>
      <c r="AH430" s="161"/>
      <c r="AI430" s="161"/>
      <c r="AJ430" s="161"/>
      <c r="AK430" s="161"/>
      <c r="AL430" s="161"/>
      <c r="AM430" s="161"/>
      <c r="AN430" s="161"/>
      <c r="AO430" s="161"/>
      <c r="AP430" s="161"/>
      <c r="AQ430" s="161"/>
      <c r="AR430" s="161"/>
      <c r="AS430" s="161"/>
      <c r="AT430" s="161"/>
      <c r="AU430" s="161"/>
      <c r="AV430" s="161"/>
      <c r="AW430" s="160"/>
      <c r="AX430" s="161"/>
      <c r="AY430" s="161"/>
      <c r="AZ430" s="161"/>
      <c r="BA430" s="161"/>
      <c r="BB430" s="161"/>
      <c r="BC430" s="161"/>
      <c r="BD430" s="161"/>
      <c r="BE430" s="161"/>
      <c r="BF430" s="160" t="str">
        <f t="shared" si="406"/>
        <v/>
      </c>
      <c r="BG430" s="160"/>
      <c r="BH430" s="160"/>
      <c r="BI430" s="160"/>
      <c r="BJ430" s="160"/>
      <c r="BK430" s="160"/>
      <c r="BL430" s="162" t="str">
        <f t="shared" si="407"/>
        <v/>
      </c>
      <c r="BM430" s="257"/>
      <c r="BN430" s="163"/>
      <c r="BO430" s="211" t="str">
        <f t="shared" si="408"/>
        <v/>
      </c>
      <c r="BP430" s="125">
        <f t="shared" si="409"/>
        <v>0</v>
      </c>
      <c r="BQ430" s="164">
        <v>0</v>
      </c>
      <c r="BR430" s="164">
        <v>1</v>
      </c>
      <c r="BS430" s="149">
        <f t="shared" si="410"/>
        <v>0</v>
      </c>
      <c r="BT430" s="149">
        <f t="shared" si="411"/>
        <v>0</v>
      </c>
      <c r="BU430" s="149">
        <f t="shared" si="412"/>
        <v>0</v>
      </c>
      <c r="BV430" s="149">
        <f t="shared" si="413"/>
        <v>0</v>
      </c>
      <c r="BW430" s="149">
        <f t="shared" si="414"/>
        <v>0</v>
      </c>
      <c r="BX430" s="149">
        <f t="shared" si="415"/>
        <v>0</v>
      </c>
      <c r="BY430" s="149">
        <f t="shared" si="416"/>
        <v>0</v>
      </c>
      <c r="BZ430" s="149">
        <f t="shared" si="417"/>
        <v>0</v>
      </c>
      <c r="CA430" s="149">
        <f t="shared" si="418"/>
        <v>0</v>
      </c>
      <c r="CB430" s="149">
        <f t="shared" si="419"/>
        <v>1</v>
      </c>
      <c r="CC430" s="149">
        <f t="shared" si="420"/>
        <v>0</v>
      </c>
      <c r="CD430" s="149">
        <f t="shared" si="421"/>
        <v>1</v>
      </c>
      <c r="CE430" s="149">
        <f t="shared" si="422"/>
        <v>0</v>
      </c>
      <c r="CF430" s="149">
        <f t="shared" si="423"/>
        <v>0</v>
      </c>
      <c r="CG430" s="149">
        <f t="shared" si="424"/>
        <v>0</v>
      </c>
      <c r="CH430" s="149">
        <f t="shared" si="425"/>
        <v>0</v>
      </c>
      <c r="CI430" s="149">
        <f t="shared" si="426"/>
        <v>1</v>
      </c>
      <c r="CJ430" s="149">
        <f t="shared" si="427"/>
        <v>1</v>
      </c>
      <c r="CK430" s="149">
        <f t="shared" si="428"/>
        <v>1</v>
      </c>
      <c r="CL430" s="149">
        <f t="shared" si="429"/>
        <v>1</v>
      </c>
      <c r="CM430" s="149">
        <f t="shared" si="430"/>
        <v>1</v>
      </c>
      <c r="CN430" s="149">
        <f t="shared" si="431"/>
        <v>1</v>
      </c>
      <c r="CO430" s="149">
        <f t="shared" si="432"/>
        <v>1</v>
      </c>
      <c r="CP430" s="149">
        <f t="shared" si="433"/>
        <v>1</v>
      </c>
      <c r="CQ430" s="149">
        <f t="shared" si="434"/>
        <v>1</v>
      </c>
      <c r="CR430" s="149">
        <f t="shared" si="435"/>
        <v>1</v>
      </c>
      <c r="CS430" s="149">
        <f t="shared" si="436"/>
        <v>1</v>
      </c>
      <c r="CT430" s="149">
        <f t="shared" si="437"/>
        <v>1</v>
      </c>
      <c r="CU430" s="149">
        <f t="shared" si="438"/>
        <v>1</v>
      </c>
      <c r="CV430" s="149">
        <f t="shared" si="439"/>
        <v>1</v>
      </c>
      <c r="CW430" s="149">
        <f t="shared" si="440"/>
        <v>1</v>
      </c>
      <c r="CX430" s="149">
        <f t="shared" si="441"/>
        <v>1</v>
      </c>
      <c r="CY430" s="149">
        <f t="shared" si="442"/>
        <v>1</v>
      </c>
      <c r="CZ430" s="149">
        <f t="shared" si="443"/>
        <v>1</v>
      </c>
      <c r="DA430" s="149">
        <f t="shared" si="444"/>
        <v>1</v>
      </c>
      <c r="DB430" s="149">
        <f t="shared" si="445"/>
        <v>1</v>
      </c>
      <c r="DG430" s="125" t="str">
        <f t="shared" si="296"/>
        <v/>
      </c>
      <c r="DH430" s="125" t="str">
        <f t="shared" si="456"/>
        <v/>
      </c>
      <c r="DI430" s="125" t="str">
        <f t="shared" si="456"/>
        <v/>
      </c>
      <c r="DJ430" s="125" t="str">
        <f t="shared" si="456"/>
        <v/>
      </c>
      <c r="DK430" s="125" t="str">
        <f t="shared" si="456"/>
        <v/>
      </c>
      <c r="DL430" s="125" t="str">
        <f t="shared" si="456"/>
        <v/>
      </c>
      <c r="DM430" s="125" t="str">
        <f t="shared" si="456"/>
        <v/>
      </c>
      <c r="DN430" s="125" t="str">
        <f t="shared" si="456"/>
        <v/>
      </c>
      <c r="DO430" s="125" t="str">
        <f t="shared" si="456"/>
        <v/>
      </c>
      <c r="DP430" s="125" t="str">
        <f t="shared" si="456"/>
        <v/>
      </c>
      <c r="DS430" s="137"/>
      <c r="DT430" s="137"/>
      <c r="DU430" s="137"/>
      <c r="DV430" s="137" t="b">
        <f t="shared" si="446"/>
        <v>0</v>
      </c>
      <c r="DW430" s="137" t="b">
        <f t="shared" si="447"/>
        <v>0</v>
      </c>
      <c r="DX430" s="137" t="b">
        <f t="shared" si="448"/>
        <v>1</v>
      </c>
      <c r="EB430" s="131">
        <f t="shared" si="449"/>
        <v>1</v>
      </c>
      <c r="EC430" s="137" t="b">
        <f t="shared" si="450"/>
        <v>0</v>
      </c>
      <c r="ED430" s="137" t="b">
        <f t="shared" si="451"/>
        <v>0</v>
      </c>
      <c r="EE430" s="137" t="b">
        <f t="shared" si="452"/>
        <v>1</v>
      </c>
      <c r="EF430" s="137"/>
      <c r="EG430" s="137"/>
      <c r="EH430" s="137"/>
      <c r="EI430" s="137"/>
      <c r="EJ430" s="137">
        <f t="shared" si="453"/>
        <v>1</v>
      </c>
      <c r="EK430" s="125" t="str">
        <f t="shared" si="454"/>
        <v/>
      </c>
      <c r="EL430" s="125" t="str">
        <f t="shared" si="455"/>
        <v/>
      </c>
    </row>
    <row r="431" spans="2:142" ht="15.75" x14ac:dyDescent="0.2">
      <c r="B431" s="160" t="str">
        <f t="shared" si="405"/>
        <v/>
      </c>
      <c r="C431" s="205"/>
      <c r="D431" s="205"/>
      <c r="E431" s="205"/>
      <c r="F431" s="118" t="str">
        <f>IF(OR(J431="",H431=""),"",VLOOKUP(J431,'הזנה לסיווג רשויות'!$B$2:$D$301,2,0))</f>
        <v/>
      </c>
      <c r="G431" s="118" t="str">
        <f>IF(OR(J431="",H431=""),"",VLOOKUP(J431,'הזנה לסיווג רשויות'!$B$2:$D$301,3,0))</f>
        <v/>
      </c>
      <c r="H431" s="201"/>
      <c r="I431" s="201"/>
      <c r="J431" s="205"/>
      <c r="K431" s="161"/>
      <c r="L431" s="161"/>
      <c r="M431" s="161"/>
      <c r="N431" s="161"/>
      <c r="O431" s="161"/>
      <c r="P431" s="161"/>
      <c r="Q431" s="161"/>
      <c r="R431" s="201"/>
      <c r="S431" s="201"/>
      <c r="T431" s="160" t="str">
        <f>IF(G431="","",IFERROR(IF(S431/R431&gt;'פרמטרים לקריטריונים'!$C$20,1,0),0))</f>
        <v/>
      </c>
      <c r="U431" s="201"/>
      <c r="V431" s="160" t="str">
        <f>IF(G431="","",IFERROR(IF(U431/R431&gt;'פרמטרים לקריטריונים'!$C$21,1,IF(AND(I431=$BW$5,U431/R431&gt;'פרמטרים לקריטריונים'!$C$22),1,0)),0))</f>
        <v/>
      </c>
      <c r="W431" s="161"/>
      <c r="X431" s="161"/>
      <c r="Y431" s="201"/>
      <c r="Z431" s="201"/>
      <c r="AA431" s="161" t="str">
        <f t="shared" si="457"/>
        <v/>
      </c>
      <c r="AB431" s="161"/>
      <c r="AC431" s="161"/>
      <c r="AD431" s="161"/>
      <c r="AE431" s="161"/>
      <c r="AF431" s="161"/>
      <c r="AG431" s="161"/>
      <c r="AH431" s="161"/>
      <c r="AI431" s="161"/>
      <c r="AJ431" s="161"/>
      <c r="AK431" s="161"/>
      <c r="AL431" s="161"/>
      <c r="AM431" s="161"/>
      <c r="AN431" s="161"/>
      <c r="AO431" s="161"/>
      <c r="AP431" s="161"/>
      <c r="AQ431" s="161"/>
      <c r="AR431" s="161"/>
      <c r="AS431" s="161"/>
      <c r="AT431" s="161"/>
      <c r="AU431" s="161"/>
      <c r="AV431" s="161"/>
      <c r="AW431" s="160"/>
      <c r="AX431" s="161"/>
      <c r="AY431" s="161"/>
      <c r="AZ431" s="161"/>
      <c r="BA431" s="161"/>
      <c r="BB431" s="161"/>
      <c r="BC431" s="161"/>
      <c r="BD431" s="161"/>
      <c r="BE431" s="161"/>
      <c r="BF431" s="160" t="str">
        <f t="shared" si="406"/>
        <v/>
      </c>
      <c r="BG431" s="160"/>
      <c r="BH431" s="160"/>
      <c r="BI431" s="160"/>
      <c r="BJ431" s="160"/>
      <c r="BK431" s="160"/>
      <c r="BL431" s="162" t="str">
        <f t="shared" si="407"/>
        <v/>
      </c>
      <c r="BM431" s="257"/>
      <c r="BN431" s="163"/>
      <c r="BO431" s="211" t="str">
        <f t="shared" si="408"/>
        <v/>
      </c>
      <c r="BP431" s="125">
        <f t="shared" si="409"/>
        <v>0</v>
      </c>
      <c r="BQ431" s="164">
        <v>0</v>
      </c>
      <c r="BR431" s="164">
        <v>1</v>
      </c>
      <c r="BS431" s="149">
        <f t="shared" si="410"/>
        <v>0</v>
      </c>
      <c r="BT431" s="149">
        <f t="shared" si="411"/>
        <v>0</v>
      </c>
      <c r="BU431" s="149">
        <f t="shared" si="412"/>
        <v>0</v>
      </c>
      <c r="BV431" s="149">
        <f t="shared" si="413"/>
        <v>0</v>
      </c>
      <c r="BW431" s="149">
        <f t="shared" si="414"/>
        <v>0</v>
      </c>
      <c r="BX431" s="149">
        <f t="shared" si="415"/>
        <v>0</v>
      </c>
      <c r="BY431" s="149">
        <f t="shared" si="416"/>
        <v>0</v>
      </c>
      <c r="BZ431" s="149">
        <f t="shared" si="417"/>
        <v>0</v>
      </c>
      <c r="CA431" s="149">
        <f t="shared" si="418"/>
        <v>0</v>
      </c>
      <c r="CB431" s="149">
        <f t="shared" si="419"/>
        <v>1</v>
      </c>
      <c r="CC431" s="149">
        <f t="shared" si="420"/>
        <v>0</v>
      </c>
      <c r="CD431" s="149">
        <f t="shared" si="421"/>
        <v>1</v>
      </c>
      <c r="CE431" s="149">
        <f t="shared" si="422"/>
        <v>0</v>
      </c>
      <c r="CF431" s="149">
        <f t="shared" si="423"/>
        <v>0</v>
      </c>
      <c r="CG431" s="149">
        <f t="shared" si="424"/>
        <v>0</v>
      </c>
      <c r="CH431" s="149">
        <f t="shared" si="425"/>
        <v>0</v>
      </c>
      <c r="CI431" s="149">
        <f t="shared" si="426"/>
        <v>1</v>
      </c>
      <c r="CJ431" s="149">
        <f t="shared" si="427"/>
        <v>1</v>
      </c>
      <c r="CK431" s="149">
        <f t="shared" si="428"/>
        <v>1</v>
      </c>
      <c r="CL431" s="149">
        <f t="shared" si="429"/>
        <v>1</v>
      </c>
      <c r="CM431" s="149">
        <f t="shared" si="430"/>
        <v>1</v>
      </c>
      <c r="CN431" s="149">
        <f t="shared" si="431"/>
        <v>1</v>
      </c>
      <c r="CO431" s="149">
        <f t="shared" si="432"/>
        <v>1</v>
      </c>
      <c r="CP431" s="149">
        <f t="shared" si="433"/>
        <v>1</v>
      </c>
      <c r="CQ431" s="149">
        <f t="shared" si="434"/>
        <v>1</v>
      </c>
      <c r="CR431" s="149">
        <f t="shared" si="435"/>
        <v>1</v>
      </c>
      <c r="CS431" s="149">
        <f t="shared" si="436"/>
        <v>1</v>
      </c>
      <c r="CT431" s="149">
        <f t="shared" si="437"/>
        <v>1</v>
      </c>
      <c r="CU431" s="149">
        <f t="shared" si="438"/>
        <v>1</v>
      </c>
      <c r="CV431" s="149">
        <f t="shared" si="439"/>
        <v>1</v>
      </c>
      <c r="CW431" s="149">
        <f t="shared" si="440"/>
        <v>1</v>
      </c>
      <c r="CX431" s="149">
        <f t="shared" si="441"/>
        <v>1</v>
      </c>
      <c r="CY431" s="149">
        <f t="shared" si="442"/>
        <v>1</v>
      </c>
      <c r="CZ431" s="149">
        <f t="shared" si="443"/>
        <v>1</v>
      </c>
      <c r="DA431" s="149">
        <f t="shared" si="444"/>
        <v>1</v>
      </c>
      <c r="DB431" s="149">
        <f t="shared" si="445"/>
        <v>1</v>
      </c>
      <c r="DG431" s="125" t="str">
        <f t="shared" si="296"/>
        <v/>
      </c>
      <c r="DH431" s="125" t="str">
        <f t="shared" si="456"/>
        <v/>
      </c>
      <c r="DI431" s="125" t="str">
        <f t="shared" si="456"/>
        <v/>
      </c>
      <c r="DJ431" s="125" t="str">
        <f t="shared" si="456"/>
        <v/>
      </c>
      <c r="DK431" s="125" t="str">
        <f t="shared" si="456"/>
        <v/>
      </c>
      <c r="DL431" s="125" t="str">
        <f t="shared" si="456"/>
        <v/>
      </c>
      <c r="DM431" s="125" t="str">
        <f t="shared" si="456"/>
        <v/>
      </c>
      <c r="DN431" s="125" t="str">
        <f t="shared" si="456"/>
        <v/>
      </c>
      <c r="DO431" s="125" t="str">
        <f t="shared" si="456"/>
        <v/>
      </c>
      <c r="DP431" s="125" t="str">
        <f t="shared" si="456"/>
        <v/>
      </c>
      <c r="DS431" s="137"/>
      <c r="DT431" s="137"/>
      <c r="DU431" s="137"/>
      <c r="DV431" s="137" t="b">
        <f t="shared" si="446"/>
        <v>0</v>
      </c>
      <c r="DW431" s="137" t="b">
        <f t="shared" si="447"/>
        <v>0</v>
      </c>
      <c r="DX431" s="137" t="b">
        <f t="shared" si="448"/>
        <v>1</v>
      </c>
      <c r="EB431" s="131">
        <f t="shared" si="449"/>
        <v>1</v>
      </c>
      <c r="EC431" s="137" t="b">
        <f t="shared" si="450"/>
        <v>0</v>
      </c>
      <c r="ED431" s="137" t="b">
        <f t="shared" si="451"/>
        <v>0</v>
      </c>
      <c r="EE431" s="137" t="b">
        <f t="shared" si="452"/>
        <v>1</v>
      </c>
      <c r="EF431" s="137"/>
      <c r="EG431" s="137"/>
      <c r="EH431" s="137"/>
      <c r="EI431" s="137"/>
      <c r="EJ431" s="137">
        <f t="shared" si="453"/>
        <v>1</v>
      </c>
      <c r="EK431" s="125" t="str">
        <f t="shared" si="454"/>
        <v/>
      </c>
      <c r="EL431" s="125" t="str">
        <f t="shared" si="455"/>
        <v/>
      </c>
    </row>
    <row r="432" spans="2:142" ht="15.75" x14ac:dyDescent="0.2">
      <c r="B432" s="160" t="str">
        <f t="shared" si="405"/>
        <v/>
      </c>
      <c r="C432" s="205"/>
      <c r="D432" s="205"/>
      <c r="E432" s="205"/>
      <c r="F432" s="118" t="str">
        <f>IF(OR(J432="",H432=""),"",VLOOKUP(J432,'הזנה לסיווג רשויות'!$B$2:$D$301,2,0))</f>
        <v/>
      </c>
      <c r="G432" s="118" t="str">
        <f>IF(OR(J432="",H432=""),"",VLOOKUP(J432,'הזנה לסיווג רשויות'!$B$2:$D$301,3,0))</f>
        <v/>
      </c>
      <c r="H432" s="201"/>
      <c r="I432" s="201"/>
      <c r="J432" s="205"/>
      <c r="K432" s="161"/>
      <c r="L432" s="161"/>
      <c r="M432" s="161"/>
      <c r="N432" s="161"/>
      <c r="O432" s="161"/>
      <c r="P432" s="161"/>
      <c r="Q432" s="161"/>
      <c r="R432" s="201"/>
      <c r="S432" s="201"/>
      <c r="T432" s="160" t="str">
        <f>IF(G432="","",IFERROR(IF(S432/R432&gt;'פרמטרים לקריטריונים'!$C$20,1,0),0))</f>
        <v/>
      </c>
      <c r="U432" s="201"/>
      <c r="V432" s="160" t="str">
        <f>IF(G432="","",IFERROR(IF(U432/R432&gt;'פרמטרים לקריטריונים'!$C$21,1,IF(AND(I432=$BW$5,U432/R432&gt;'פרמטרים לקריטריונים'!$C$22),1,0)),0))</f>
        <v/>
      </c>
      <c r="W432" s="161"/>
      <c r="X432" s="161"/>
      <c r="Y432" s="201"/>
      <c r="Z432" s="201"/>
      <c r="AA432" s="161" t="str">
        <f t="shared" si="457"/>
        <v/>
      </c>
      <c r="AB432" s="161"/>
      <c r="AC432" s="161"/>
      <c r="AD432" s="161"/>
      <c r="AE432" s="161"/>
      <c r="AF432" s="161"/>
      <c r="AG432" s="161"/>
      <c r="AH432" s="161"/>
      <c r="AI432" s="161"/>
      <c r="AJ432" s="161"/>
      <c r="AK432" s="161"/>
      <c r="AL432" s="161"/>
      <c r="AM432" s="161"/>
      <c r="AN432" s="161"/>
      <c r="AO432" s="161"/>
      <c r="AP432" s="161"/>
      <c r="AQ432" s="161"/>
      <c r="AR432" s="161"/>
      <c r="AS432" s="161"/>
      <c r="AT432" s="161"/>
      <c r="AU432" s="161"/>
      <c r="AV432" s="161"/>
      <c r="AW432" s="160"/>
      <c r="AX432" s="161"/>
      <c r="AY432" s="161"/>
      <c r="AZ432" s="161"/>
      <c r="BA432" s="161"/>
      <c r="BB432" s="161"/>
      <c r="BC432" s="161"/>
      <c r="BD432" s="161"/>
      <c r="BE432" s="161"/>
      <c r="BF432" s="160" t="str">
        <f t="shared" si="406"/>
        <v/>
      </c>
      <c r="BG432" s="160"/>
      <c r="BH432" s="160"/>
      <c r="BI432" s="160"/>
      <c r="BJ432" s="160"/>
      <c r="BK432" s="160"/>
      <c r="BL432" s="162" t="str">
        <f t="shared" si="407"/>
        <v/>
      </c>
      <c r="BM432" s="257"/>
      <c r="BN432" s="163"/>
      <c r="BO432" s="211" t="str">
        <f t="shared" si="408"/>
        <v/>
      </c>
      <c r="BP432" s="125">
        <f t="shared" si="409"/>
        <v>0</v>
      </c>
      <c r="BQ432" s="164">
        <v>0</v>
      </c>
      <c r="BR432" s="164">
        <v>1</v>
      </c>
      <c r="BS432" s="149">
        <f t="shared" si="410"/>
        <v>0</v>
      </c>
      <c r="BT432" s="149">
        <f t="shared" si="411"/>
        <v>0</v>
      </c>
      <c r="BU432" s="149">
        <f t="shared" si="412"/>
        <v>0</v>
      </c>
      <c r="BV432" s="149">
        <f t="shared" si="413"/>
        <v>0</v>
      </c>
      <c r="BW432" s="149">
        <f t="shared" si="414"/>
        <v>0</v>
      </c>
      <c r="BX432" s="149">
        <f t="shared" si="415"/>
        <v>0</v>
      </c>
      <c r="BY432" s="149">
        <f t="shared" si="416"/>
        <v>0</v>
      </c>
      <c r="BZ432" s="149">
        <f t="shared" si="417"/>
        <v>0</v>
      </c>
      <c r="CA432" s="149">
        <f t="shared" si="418"/>
        <v>0</v>
      </c>
      <c r="CB432" s="149">
        <f t="shared" si="419"/>
        <v>1</v>
      </c>
      <c r="CC432" s="149">
        <f t="shared" si="420"/>
        <v>0</v>
      </c>
      <c r="CD432" s="149">
        <f t="shared" si="421"/>
        <v>1</v>
      </c>
      <c r="CE432" s="149">
        <f t="shared" si="422"/>
        <v>0</v>
      </c>
      <c r="CF432" s="149">
        <f t="shared" si="423"/>
        <v>0</v>
      </c>
      <c r="CG432" s="149">
        <f t="shared" si="424"/>
        <v>0</v>
      </c>
      <c r="CH432" s="149">
        <f t="shared" si="425"/>
        <v>0</v>
      </c>
      <c r="CI432" s="149">
        <f t="shared" si="426"/>
        <v>1</v>
      </c>
      <c r="CJ432" s="149">
        <f t="shared" si="427"/>
        <v>1</v>
      </c>
      <c r="CK432" s="149">
        <f t="shared" si="428"/>
        <v>1</v>
      </c>
      <c r="CL432" s="149">
        <f t="shared" si="429"/>
        <v>1</v>
      </c>
      <c r="CM432" s="149">
        <f t="shared" si="430"/>
        <v>1</v>
      </c>
      <c r="CN432" s="149">
        <f t="shared" si="431"/>
        <v>1</v>
      </c>
      <c r="CO432" s="149">
        <f t="shared" si="432"/>
        <v>1</v>
      </c>
      <c r="CP432" s="149">
        <f t="shared" si="433"/>
        <v>1</v>
      </c>
      <c r="CQ432" s="149">
        <f t="shared" si="434"/>
        <v>1</v>
      </c>
      <c r="CR432" s="149">
        <f t="shared" si="435"/>
        <v>1</v>
      </c>
      <c r="CS432" s="149">
        <f t="shared" si="436"/>
        <v>1</v>
      </c>
      <c r="CT432" s="149">
        <f t="shared" si="437"/>
        <v>1</v>
      </c>
      <c r="CU432" s="149">
        <f t="shared" si="438"/>
        <v>1</v>
      </c>
      <c r="CV432" s="149">
        <f t="shared" si="439"/>
        <v>1</v>
      </c>
      <c r="CW432" s="149">
        <f t="shared" si="440"/>
        <v>1</v>
      </c>
      <c r="CX432" s="149">
        <f t="shared" si="441"/>
        <v>1</v>
      </c>
      <c r="CY432" s="149">
        <f t="shared" si="442"/>
        <v>1</v>
      </c>
      <c r="CZ432" s="149">
        <f t="shared" si="443"/>
        <v>1</v>
      </c>
      <c r="DA432" s="149">
        <f t="shared" si="444"/>
        <v>1</v>
      </c>
      <c r="DB432" s="149">
        <f t="shared" si="445"/>
        <v>1</v>
      </c>
      <c r="DG432" s="125" t="str">
        <f t="shared" si="296"/>
        <v/>
      </c>
      <c r="DH432" s="125" t="str">
        <f t="shared" si="456"/>
        <v/>
      </c>
      <c r="DI432" s="125" t="str">
        <f t="shared" si="456"/>
        <v/>
      </c>
      <c r="DJ432" s="125" t="str">
        <f t="shared" si="456"/>
        <v/>
      </c>
      <c r="DK432" s="125" t="str">
        <f t="shared" si="456"/>
        <v/>
      </c>
      <c r="DL432" s="125" t="str">
        <f t="shared" si="456"/>
        <v/>
      </c>
      <c r="DM432" s="125" t="str">
        <f t="shared" si="456"/>
        <v/>
      </c>
      <c r="DN432" s="125" t="str">
        <f t="shared" si="456"/>
        <v/>
      </c>
      <c r="DO432" s="125" t="str">
        <f t="shared" si="456"/>
        <v/>
      </c>
      <c r="DP432" s="125" t="str">
        <f t="shared" si="456"/>
        <v/>
      </c>
      <c r="DS432" s="137"/>
      <c r="DT432" s="137"/>
      <c r="DU432" s="137"/>
      <c r="DV432" s="137" t="b">
        <f t="shared" si="446"/>
        <v>0</v>
      </c>
      <c r="DW432" s="137" t="b">
        <f t="shared" si="447"/>
        <v>0</v>
      </c>
      <c r="DX432" s="137" t="b">
        <f t="shared" si="448"/>
        <v>1</v>
      </c>
      <c r="EB432" s="131">
        <f t="shared" si="449"/>
        <v>1</v>
      </c>
      <c r="EC432" s="137" t="b">
        <f t="shared" si="450"/>
        <v>0</v>
      </c>
      <c r="ED432" s="137" t="b">
        <f t="shared" si="451"/>
        <v>0</v>
      </c>
      <c r="EE432" s="137" t="b">
        <f t="shared" si="452"/>
        <v>1</v>
      </c>
      <c r="EF432" s="137"/>
      <c r="EG432" s="137"/>
      <c r="EH432" s="137"/>
      <c r="EI432" s="137"/>
      <c r="EJ432" s="137">
        <f t="shared" si="453"/>
        <v>1</v>
      </c>
      <c r="EK432" s="125" t="str">
        <f t="shared" si="454"/>
        <v/>
      </c>
      <c r="EL432" s="125" t="str">
        <f t="shared" si="455"/>
        <v/>
      </c>
    </row>
    <row r="433" spans="2:142" ht="15.75" x14ac:dyDescent="0.2">
      <c r="B433" s="160" t="str">
        <f t="shared" si="405"/>
        <v/>
      </c>
      <c r="C433" s="205"/>
      <c r="D433" s="205"/>
      <c r="E433" s="205"/>
      <c r="F433" s="118" t="str">
        <f>IF(OR(J433="",H433=""),"",VLOOKUP(J433,'הזנה לסיווג רשויות'!$B$2:$D$301,2,0))</f>
        <v/>
      </c>
      <c r="G433" s="118" t="str">
        <f>IF(OR(J433="",H433=""),"",VLOOKUP(J433,'הזנה לסיווג רשויות'!$B$2:$D$301,3,0))</f>
        <v/>
      </c>
      <c r="H433" s="201"/>
      <c r="I433" s="201"/>
      <c r="J433" s="205"/>
      <c r="K433" s="161"/>
      <c r="L433" s="161"/>
      <c r="M433" s="161"/>
      <c r="N433" s="161"/>
      <c r="O433" s="161"/>
      <c r="P433" s="161"/>
      <c r="Q433" s="161"/>
      <c r="R433" s="201"/>
      <c r="S433" s="201"/>
      <c r="T433" s="160" t="str">
        <f>IF(G433="","",IFERROR(IF(S433/R433&gt;'פרמטרים לקריטריונים'!$C$20,1,0),0))</f>
        <v/>
      </c>
      <c r="U433" s="201"/>
      <c r="V433" s="160" t="str">
        <f>IF(G433="","",IFERROR(IF(U433/R433&gt;'פרמטרים לקריטריונים'!$C$21,1,IF(AND(I433=$BW$5,U433/R433&gt;'פרמטרים לקריטריונים'!$C$22),1,0)),0))</f>
        <v/>
      </c>
      <c r="W433" s="161"/>
      <c r="X433" s="161"/>
      <c r="Y433" s="201"/>
      <c r="Z433" s="201"/>
      <c r="AA433" s="161" t="str">
        <f t="shared" si="457"/>
        <v/>
      </c>
      <c r="AB433" s="161"/>
      <c r="AC433" s="161"/>
      <c r="AD433" s="161"/>
      <c r="AE433" s="161"/>
      <c r="AF433" s="161"/>
      <c r="AG433" s="161"/>
      <c r="AH433" s="161"/>
      <c r="AI433" s="161"/>
      <c r="AJ433" s="161"/>
      <c r="AK433" s="161"/>
      <c r="AL433" s="161"/>
      <c r="AM433" s="161"/>
      <c r="AN433" s="161"/>
      <c r="AO433" s="161"/>
      <c r="AP433" s="161"/>
      <c r="AQ433" s="161"/>
      <c r="AR433" s="161"/>
      <c r="AS433" s="161"/>
      <c r="AT433" s="161"/>
      <c r="AU433" s="161"/>
      <c r="AV433" s="161"/>
      <c r="AW433" s="160"/>
      <c r="AX433" s="161"/>
      <c r="AY433" s="161"/>
      <c r="AZ433" s="161"/>
      <c r="BA433" s="161"/>
      <c r="BB433" s="161"/>
      <c r="BC433" s="161"/>
      <c r="BD433" s="161"/>
      <c r="BE433" s="161"/>
      <c r="BF433" s="160" t="str">
        <f t="shared" si="406"/>
        <v/>
      </c>
      <c r="BG433" s="160"/>
      <c r="BH433" s="160"/>
      <c r="BI433" s="160"/>
      <c r="BJ433" s="160"/>
      <c r="BK433" s="160"/>
      <c r="BL433" s="162" t="str">
        <f t="shared" si="407"/>
        <v/>
      </c>
      <c r="BM433" s="257"/>
      <c r="BN433" s="163"/>
      <c r="BO433" s="211" t="str">
        <f t="shared" si="408"/>
        <v/>
      </c>
      <c r="BP433" s="125">
        <f t="shared" si="409"/>
        <v>0</v>
      </c>
      <c r="BQ433" s="164">
        <v>0</v>
      </c>
      <c r="BR433" s="164">
        <v>1</v>
      </c>
      <c r="BS433" s="149">
        <f t="shared" si="410"/>
        <v>0</v>
      </c>
      <c r="BT433" s="149">
        <f t="shared" si="411"/>
        <v>0</v>
      </c>
      <c r="BU433" s="149">
        <f t="shared" si="412"/>
        <v>0</v>
      </c>
      <c r="BV433" s="149">
        <f t="shared" si="413"/>
        <v>0</v>
      </c>
      <c r="BW433" s="149">
        <f t="shared" si="414"/>
        <v>0</v>
      </c>
      <c r="BX433" s="149">
        <f t="shared" si="415"/>
        <v>0</v>
      </c>
      <c r="BY433" s="149">
        <f t="shared" si="416"/>
        <v>0</v>
      </c>
      <c r="BZ433" s="149">
        <f t="shared" si="417"/>
        <v>0</v>
      </c>
      <c r="CA433" s="149">
        <f t="shared" si="418"/>
        <v>0</v>
      </c>
      <c r="CB433" s="149">
        <f t="shared" si="419"/>
        <v>1</v>
      </c>
      <c r="CC433" s="149">
        <f t="shared" si="420"/>
        <v>0</v>
      </c>
      <c r="CD433" s="149">
        <f t="shared" si="421"/>
        <v>1</v>
      </c>
      <c r="CE433" s="149">
        <f t="shared" si="422"/>
        <v>0</v>
      </c>
      <c r="CF433" s="149">
        <f t="shared" si="423"/>
        <v>0</v>
      </c>
      <c r="CG433" s="149">
        <f t="shared" si="424"/>
        <v>0</v>
      </c>
      <c r="CH433" s="149">
        <f t="shared" si="425"/>
        <v>0</v>
      </c>
      <c r="CI433" s="149">
        <f t="shared" si="426"/>
        <v>1</v>
      </c>
      <c r="CJ433" s="149">
        <f t="shared" si="427"/>
        <v>1</v>
      </c>
      <c r="CK433" s="149">
        <f t="shared" si="428"/>
        <v>1</v>
      </c>
      <c r="CL433" s="149">
        <f t="shared" si="429"/>
        <v>1</v>
      </c>
      <c r="CM433" s="149">
        <f t="shared" si="430"/>
        <v>1</v>
      </c>
      <c r="CN433" s="149">
        <f t="shared" si="431"/>
        <v>1</v>
      </c>
      <c r="CO433" s="149">
        <f t="shared" si="432"/>
        <v>1</v>
      </c>
      <c r="CP433" s="149">
        <f t="shared" si="433"/>
        <v>1</v>
      </c>
      <c r="CQ433" s="149">
        <f t="shared" si="434"/>
        <v>1</v>
      </c>
      <c r="CR433" s="149">
        <f t="shared" si="435"/>
        <v>1</v>
      </c>
      <c r="CS433" s="149">
        <f t="shared" si="436"/>
        <v>1</v>
      </c>
      <c r="CT433" s="149">
        <f t="shared" si="437"/>
        <v>1</v>
      </c>
      <c r="CU433" s="149">
        <f t="shared" si="438"/>
        <v>1</v>
      </c>
      <c r="CV433" s="149">
        <f t="shared" si="439"/>
        <v>1</v>
      </c>
      <c r="CW433" s="149">
        <f t="shared" si="440"/>
        <v>1</v>
      </c>
      <c r="CX433" s="149">
        <f t="shared" si="441"/>
        <v>1</v>
      </c>
      <c r="CY433" s="149">
        <f t="shared" si="442"/>
        <v>1</v>
      </c>
      <c r="CZ433" s="149">
        <f t="shared" si="443"/>
        <v>1</v>
      </c>
      <c r="DA433" s="149">
        <f t="shared" si="444"/>
        <v>1</v>
      </c>
      <c r="DB433" s="149">
        <f t="shared" si="445"/>
        <v>1</v>
      </c>
      <c r="DG433" s="125" t="str">
        <f t="shared" si="296"/>
        <v/>
      </c>
      <c r="DH433" s="125" t="str">
        <f t="shared" si="456"/>
        <v/>
      </c>
      <c r="DI433" s="125" t="str">
        <f t="shared" si="456"/>
        <v/>
      </c>
      <c r="DJ433" s="125" t="str">
        <f t="shared" si="456"/>
        <v/>
      </c>
      <c r="DK433" s="125" t="str">
        <f t="shared" si="456"/>
        <v/>
      </c>
      <c r="DL433" s="125" t="str">
        <f t="shared" si="456"/>
        <v/>
      </c>
      <c r="DM433" s="125" t="str">
        <f t="shared" si="456"/>
        <v/>
      </c>
      <c r="DN433" s="125" t="str">
        <f t="shared" si="456"/>
        <v/>
      </c>
      <c r="DO433" s="125" t="str">
        <f t="shared" ref="DH433:DP462" si="458">IF($G433="","",DO$30)</f>
        <v/>
      </c>
      <c r="DP433" s="125" t="str">
        <f t="shared" si="458"/>
        <v/>
      </c>
      <c r="DS433" s="137"/>
      <c r="DT433" s="137"/>
      <c r="DU433" s="137"/>
      <c r="DV433" s="137" t="b">
        <f t="shared" si="446"/>
        <v>0</v>
      </c>
      <c r="DW433" s="137" t="b">
        <f t="shared" si="447"/>
        <v>0</v>
      </c>
      <c r="DX433" s="137" t="b">
        <f t="shared" si="448"/>
        <v>1</v>
      </c>
      <c r="EB433" s="131">
        <f t="shared" si="449"/>
        <v>1</v>
      </c>
      <c r="EC433" s="137" t="b">
        <f t="shared" si="450"/>
        <v>0</v>
      </c>
      <c r="ED433" s="137" t="b">
        <f t="shared" si="451"/>
        <v>0</v>
      </c>
      <c r="EE433" s="137" t="b">
        <f t="shared" si="452"/>
        <v>1</v>
      </c>
      <c r="EF433" s="137"/>
      <c r="EG433" s="137"/>
      <c r="EH433" s="137"/>
      <c r="EI433" s="137"/>
      <c r="EJ433" s="137">
        <f t="shared" si="453"/>
        <v>1</v>
      </c>
      <c r="EK433" s="125" t="str">
        <f t="shared" si="454"/>
        <v/>
      </c>
      <c r="EL433" s="125" t="str">
        <f t="shared" si="455"/>
        <v/>
      </c>
    </row>
    <row r="434" spans="2:142" ht="15.75" x14ac:dyDescent="0.2">
      <c r="B434" s="160" t="str">
        <f t="shared" si="405"/>
        <v/>
      </c>
      <c r="C434" s="205"/>
      <c r="D434" s="205"/>
      <c r="E434" s="205"/>
      <c r="F434" s="118" t="str">
        <f>IF(OR(J434="",H434=""),"",VLOOKUP(J434,'הזנה לסיווג רשויות'!$B$2:$D$301,2,0))</f>
        <v/>
      </c>
      <c r="G434" s="118" t="str">
        <f>IF(OR(J434="",H434=""),"",VLOOKUP(J434,'הזנה לסיווג רשויות'!$B$2:$D$301,3,0))</f>
        <v/>
      </c>
      <c r="H434" s="201"/>
      <c r="I434" s="201"/>
      <c r="J434" s="205"/>
      <c r="K434" s="161"/>
      <c r="L434" s="161"/>
      <c r="M434" s="161"/>
      <c r="N434" s="161"/>
      <c r="O434" s="161"/>
      <c r="P434" s="161"/>
      <c r="Q434" s="161"/>
      <c r="R434" s="201"/>
      <c r="S434" s="201"/>
      <c r="T434" s="160" t="str">
        <f>IF(G434="","",IFERROR(IF(S434/R434&gt;'פרמטרים לקריטריונים'!$C$20,1,0),0))</f>
        <v/>
      </c>
      <c r="U434" s="201"/>
      <c r="V434" s="160" t="str">
        <f>IF(G434="","",IFERROR(IF(U434/R434&gt;'פרמטרים לקריטריונים'!$C$21,1,IF(AND(I434=$BW$5,U434/R434&gt;'פרמטרים לקריטריונים'!$C$22),1,0)),0))</f>
        <v/>
      </c>
      <c r="W434" s="161"/>
      <c r="X434" s="161"/>
      <c r="Y434" s="201"/>
      <c r="Z434" s="201"/>
      <c r="AA434" s="161" t="str">
        <f t="shared" si="457"/>
        <v/>
      </c>
      <c r="AB434" s="161"/>
      <c r="AC434" s="161"/>
      <c r="AD434" s="161"/>
      <c r="AE434" s="161"/>
      <c r="AF434" s="161"/>
      <c r="AG434" s="161"/>
      <c r="AH434" s="161"/>
      <c r="AI434" s="161"/>
      <c r="AJ434" s="161"/>
      <c r="AK434" s="161"/>
      <c r="AL434" s="161"/>
      <c r="AM434" s="161"/>
      <c r="AN434" s="161"/>
      <c r="AO434" s="161"/>
      <c r="AP434" s="161"/>
      <c r="AQ434" s="161"/>
      <c r="AR434" s="161"/>
      <c r="AS434" s="161"/>
      <c r="AT434" s="161"/>
      <c r="AU434" s="161"/>
      <c r="AV434" s="161"/>
      <c r="AW434" s="160"/>
      <c r="AX434" s="161"/>
      <c r="AY434" s="161"/>
      <c r="AZ434" s="161"/>
      <c r="BA434" s="161"/>
      <c r="BB434" s="161"/>
      <c r="BC434" s="161"/>
      <c r="BD434" s="161"/>
      <c r="BE434" s="161"/>
      <c r="BF434" s="160" t="str">
        <f t="shared" si="406"/>
        <v/>
      </c>
      <c r="BG434" s="160"/>
      <c r="BH434" s="160"/>
      <c r="BI434" s="160"/>
      <c r="BJ434" s="160"/>
      <c r="BK434" s="160"/>
      <c r="BL434" s="162" t="str">
        <f t="shared" si="407"/>
        <v/>
      </c>
      <c r="BM434" s="257"/>
      <c r="BN434" s="163"/>
      <c r="BO434" s="211" t="str">
        <f t="shared" si="408"/>
        <v/>
      </c>
      <c r="BP434" s="125">
        <f t="shared" si="409"/>
        <v>0</v>
      </c>
      <c r="BQ434" s="164">
        <v>0</v>
      </c>
      <c r="BR434" s="164">
        <v>1</v>
      </c>
      <c r="BS434" s="149">
        <f t="shared" si="410"/>
        <v>0</v>
      </c>
      <c r="BT434" s="149">
        <f t="shared" si="411"/>
        <v>0</v>
      </c>
      <c r="BU434" s="149">
        <f t="shared" si="412"/>
        <v>0</v>
      </c>
      <c r="BV434" s="149">
        <f t="shared" si="413"/>
        <v>0</v>
      </c>
      <c r="BW434" s="149">
        <f t="shared" si="414"/>
        <v>0</v>
      </c>
      <c r="BX434" s="149">
        <f t="shared" si="415"/>
        <v>0</v>
      </c>
      <c r="BY434" s="149">
        <f t="shared" si="416"/>
        <v>0</v>
      </c>
      <c r="BZ434" s="149">
        <f t="shared" si="417"/>
        <v>0</v>
      </c>
      <c r="CA434" s="149">
        <f t="shared" si="418"/>
        <v>0</v>
      </c>
      <c r="CB434" s="149">
        <f t="shared" si="419"/>
        <v>1</v>
      </c>
      <c r="CC434" s="149">
        <f t="shared" si="420"/>
        <v>0</v>
      </c>
      <c r="CD434" s="149">
        <f t="shared" si="421"/>
        <v>1</v>
      </c>
      <c r="CE434" s="149">
        <f t="shared" si="422"/>
        <v>0</v>
      </c>
      <c r="CF434" s="149">
        <f t="shared" si="423"/>
        <v>0</v>
      </c>
      <c r="CG434" s="149">
        <f t="shared" si="424"/>
        <v>0</v>
      </c>
      <c r="CH434" s="149">
        <f t="shared" si="425"/>
        <v>0</v>
      </c>
      <c r="CI434" s="149">
        <f t="shared" si="426"/>
        <v>1</v>
      </c>
      <c r="CJ434" s="149">
        <f t="shared" si="427"/>
        <v>1</v>
      </c>
      <c r="CK434" s="149">
        <f t="shared" si="428"/>
        <v>1</v>
      </c>
      <c r="CL434" s="149">
        <f t="shared" si="429"/>
        <v>1</v>
      </c>
      <c r="CM434" s="149">
        <f t="shared" si="430"/>
        <v>1</v>
      </c>
      <c r="CN434" s="149">
        <f t="shared" si="431"/>
        <v>1</v>
      </c>
      <c r="CO434" s="149">
        <f t="shared" si="432"/>
        <v>1</v>
      </c>
      <c r="CP434" s="149">
        <f t="shared" si="433"/>
        <v>1</v>
      </c>
      <c r="CQ434" s="149">
        <f t="shared" si="434"/>
        <v>1</v>
      </c>
      <c r="CR434" s="149">
        <f t="shared" si="435"/>
        <v>1</v>
      </c>
      <c r="CS434" s="149">
        <f t="shared" si="436"/>
        <v>1</v>
      </c>
      <c r="CT434" s="149">
        <f t="shared" si="437"/>
        <v>1</v>
      </c>
      <c r="CU434" s="149">
        <f t="shared" si="438"/>
        <v>1</v>
      </c>
      <c r="CV434" s="149">
        <f t="shared" si="439"/>
        <v>1</v>
      </c>
      <c r="CW434" s="149">
        <f t="shared" si="440"/>
        <v>1</v>
      </c>
      <c r="CX434" s="149">
        <f t="shared" si="441"/>
        <v>1</v>
      </c>
      <c r="CY434" s="149">
        <f t="shared" si="442"/>
        <v>1</v>
      </c>
      <c r="CZ434" s="149">
        <f t="shared" si="443"/>
        <v>1</v>
      </c>
      <c r="DA434" s="149">
        <f t="shared" si="444"/>
        <v>1</v>
      </c>
      <c r="DB434" s="149">
        <f t="shared" si="445"/>
        <v>1</v>
      </c>
      <c r="DG434" s="125" t="str">
        <f t="shared" si="296"/>
        <v/>
      </c>
      <c r="DH434" s="125" t="str">
        <f t="shared" si="458"/>
        <v/>
      </c>
      <c r="DI434" s="125" t="str">
        <f t="shared" si="458"/>
        <v/>
      </c>
      <c r="DJ434" s="125" t="str">
        <f t="shared" si="458"/>
        <v/>
      </c>
      <c r="DK434" s="125" t="str">
        <f t="shared" si="458"/>
        <v/>
      </c>
      <c r="DL434" s="125" t="str">
        <f t="shared" si="458"/>
        <v/>
      </c>
      <c r="DM434" s="125" t="str">
        <f t="shared" si="458"/>
        <v/>
      </c>
      <c r="DN434" s="125" t="str">
        <f t="shared" si="458"/>
        <v/>
      </c>
      <c r="DO434" s="125" t="str">
        <f t="shared" si="458"/>
        <v/>
      </c>
      <c r="DP434" s="125" t="str">
        <f t="shared" si="458"/>
        <v/>
      </c>
      <c r="DS434" s="137"/>
      <c r="DT434" s="137"/>
      <c r="DU434" s="137"/>
      <c r="DV434" s="137" t="b">
        <f t="shared" si="446"/>
        <v>0</v>
      </c>
      <c r="DW434" s="137" t="b">
        <f t="shared" si="447"/>
        <v>0</v>
      </c>
      <c r="DX434" s="137" t="b">
        <f t="shared" si="448"/>
        <v>1</v>
      </c>
      <c r="EB434" s="131">
        <f t="shared" si="449"/>
        <v>1</v>
      </c>
      <c r="EC434" s="137" t="b">
        <f t="shared" si="450"/>
        <v>0</v>
      </c>
      <c r="ED434" s="137" t="b">
        <f t="shared" si="451"/>
        <v>0</v>
      </c>
      <c r="EE434" s="137" t="b">
        <f t="shared" si="452"/>
        <v>1</v>
      </c>
      <c r="EF434" s="137"/>
      <c r="EG434" s="137"/>
      <c r="EH434" s="137"/>
      <c r="EI434" s="137"/>
      <c r="EJ434" s="137">
        <f t="shared" si="453"/>
        <v>1</v>
      </c>
      <c r="EK434" s="125" t="str">
        <f t="shared" si="454"/>
        <v/>
      </c>
      <c r="EL434" s="125" t="str">
        <f t="shared" si="455"/>
        <v/>
      </c>
    </row>
    <row r="435" spans="2:142" ht="15.75" x14ac:dyDescent="0.2">
      <c r="B435" s="160" t="str">
        <f t="shared" si="405"/>
        <v/>
      </c>
      <c r="C435" s="205"/>
      <c r="D435" s="205"/>
      <c r="E435" s="205"/>
      <c r="F435" s="118" t="str">
        <f>IF(OR(J435="",H435=""),"",VLOOKUP(J435,'הזנה לסיווג רשויות'!$B$2:$D$301,2,0))</f>
        <v/>
      </c>
      <c r="G435" s="118" t="str">
        <f>IF(OR(J435="",H435=""),"",VLOOKUP(J435,'הזנה לסיווג רשויות'!$B$2:$D$301,3,0))</f>
        <v/>
      </c>
      <c r="H435" s="201"/>
      <c r="I435" s="201"/>
      <c r="J435" s="205"/>
      <c r="K435" s="161"/>
      <c r="L435" s="161"/>
      <c r="M435" s="161"/>
      <c r="N435" s="161"/>
      <c r="O435" s="161"/>
      <c r="P435" s="161"/>
      <c r="Q435" s="161"/>
      <c r="R435" s="201"/>
      <c r="S435" s="201"/>
      <c r="T435" s="160" t="str">
        <f>IF(G435="","",IFERROR(IF(S435/R435&gt;'פרמטרים לקריטריונים'!$C$20,1,0),0))</f>
        <v/>
      </c>
      <c r="U435" s="201"/>
      <c r="V435" s="160" t="str">
        <f>IF(G435="","",IFERROR(IF(U435/R435&gt;'פרמטרים לקריטריונים'!$C$21,1,IF(AND(I435=$BW$5,U435/R435&gt;'פרמטרים לקריטריונים'!$C$22),1,0)),0))</f>
        <v/>
      </c>
      <c r="W435" s="161"/>
      <c r="X435" s="161"/>
      <c r="Y435" s="201"/>
      <c r="Z435" s="201"/>
      <c r="AA435" s="161" t="str">
        <f t="shared" si="457"/>
        <v/>
      </c>
      <c r="AB435" s="161"/>
      <c r="AC435" s="161"/>
      <c r="AD435" s="161"/>
      <c r="AE435" s="161"/>
      <c r="AF435" s="161"/>
      <c r="AG435" s="161"/>
      <c r="AH435" s="161"/>
      <c r="AI435" s="161"/>
      <c r="AJ435" s="161"/>
      <c r="AK435" s="161"/>
      <c r="AL435" s="161"/>
      <c r="AM435" s="161"/>
      <c r="AN435" s="161"/>
      <c r="AO435" s="161"/>
      <c r="AP435" s="161"/>
      <c r="AQ435" s="161"/>
      <c r="AR435" s="161"/>
      <c r="AS435" s="161"/>
      <c r="AT435" s="161"/>
      <c r="AU435" s="161"/>
      <c r="AV435" s="161"/>
      <c r="AW435" s="160"/>
      <c r="AX435" s="161"/>
      <c r="AY435" s="161"/>
      <c r="AZ435" s="161"/>
      <c r="BA435" s="161"/>
      <c r="BB435" s="161"/>
      <c r="BC435" s="161"/>
      <c r="BD435" s="161"/>
      <c r="BE435" s="161"/>
      <c r="BF435" s="160" t="str">
        <f t="shared" si="406"/>
        <v/>
      </c>
      <c r="BG435" s="160"/>
      <c r="BH435" s="160"/>
      <c r="BI435" s="160"/>
      <c r="BJ435" s="160"/>
      <c r="BK435" s="160"/>
      <c r="BL435" s="162" t="str">
        <f t="shared" si="407"/>
        <v/>
      </c>
      <c r="BM435" s="257"/>
      <c r="BN435" s="163"/>
      <c r="BO435" s="211" t="str">
        <f t="shared" si="408"/>
        <v/>
      </c>
      <c r="BP435" s="125">
        <f t="shared" si="409"/>
        <v>0</v>
      </c>
      <c r="BQ435" s="164">
        <v>0</v>
      </c>
      <c r="BR435" s="164">
        <v>1</v>
      </c>
      <c r="BS435" s="149">
        <f t="shared" si="410"/>
        <v>0</v>
      </c>
      <c r="BT435" s="149">
        <f t="shared" si="411"/>
        <v>0</v>
      </c>
      <c r="BU435" s="149">
        <f t="shared" si="412"/>
        <v>0</v>
      </c>
      <c r="BV435" s="149">
        <f t="shared" si="413"/>
        <v>0</v>
      </c>
      <c r="BW435" s="149">
        <f t="shared" si="414"/>
        <v>0</v>
      </c>
      <c r="BX435" s="149">
        <f t="shared" si="415"/>
        <v>0</v>
      </c>
      <c r="BY435" s="149">
        <f t="shared" si="416"/>
        <v>0</v>
      </c>
      <c r="BZ435" s="149">
        <f t="shared" si="417"/>
        <v>0</v>
      </c>
      <c r="CA435" s="149">
        <f t="shared" si="418"/>
        <v>0</v>
      </c>
      <c r="CB435" s="149">
        <f t="shared" si="419"/>
        <v>1</v>
      </c>
      <c r="CC435" s="149">
        <f t="shared" si="420"/>
        <v>0</v>
      </c>
      <c r="CD435" s="149">
        <f t="shared" si="421"/>
        <v>1</v>
      </c>
      <c r="CE435" s="149">
        <f t="shared" si="422"/>
        <v>0</v>
      </c>
      <c r="CF435" s="149">
        <f t="shared" si="423"/>
        <v>0</v>
      </c>
      <c r="CG435" s="149">
        <f t="shared" si="424"/>
        <v>0</v>
      </c>
      <c r="CH435" s="149">
        <f t="shared" si="425"/>
        <v>0</v>
      </c>
      <c r="CI435" s="149">
        <f t="shared" si="426"/>
        <v>1</v>
      </c>
      <c r="CJ435" s="149">
        <f t="shared" si="427"/>
        <v>1</v>
      </c>
      <c r="CK435" s="149">
        <f t="shared" si="428"/>
        <v>1</v>
      </c>
      <c r="CL435" s="149">
        <f t="shared" si="429"/>
        <v>1</v>
      </c>
      <c r="CM435" s="149">
        <f t="shared" si="430"/>
        <v>1</v>
      </c>
      <c r="CN435" s="149">
        <f t="shared" si="431"/>
        <v>1</v>
      </c>
      <c r="CO435" s="149">
        <f t="shared" si="432"/>
        <v>1</v>
      </c>
      <c r="CP435" s="149">
        <f t="shared" si="433"/>
        <v>1</v>
      </c>
      <c r="CQ435" s="149">
        <f t="shared" si="434"/>
        <v>1</v>
      </c>
      <c r="CR435" s="149">
        <f t="shared" si="435"/>
        <v>1</v>
      </c>
      <c r="CS435" s="149">
        <f t="shared" si="436"/>
        <v>1</v>
      </c>
      <c r="CT435" s="149">
        <f t="shared" si="437"/>
        <v>1</v>
      </c>
      <c r="CU435" s="149">
        <f t="shared" si="438"/>
        <v>1</v>
      </c>
      <c r="CV435" s="149">
        <f t="shared" si="439"/>
        <v>1</v>
      </c>
      <c r="CW435" s="149">
        <f t="shared" si="440"/>
        <v>1</v>
      </c>
      <c r="CX435" s="149">
        <f t="shared" si="441"/>
        <v>1</v>
      </c>
      <c r="CY435" s="149">
        <f t="shared" si="442"/>
        <v>1</v>
      </c>
      <c r="CZ435" s="149">
        <f t="shared" si="443"/>
        <v>1</v>
      </c>
      <c r="DA435" s="149">
        <f t="shared" si="444"/>
        <v>1</v>
      </c>
      <c r="DB435" s="149">
        <f t="shared" si="445"/>
        <v>1</v>
      </c>
      <c r="DG435" s="125" t="str">
        <f t="shared" si="296"/>
        <v/>
      </c>
      <c r="DH435" s="125" t="str">
        <f t="shared" si="458"/>
        <v/>
      </c>
      <c r="DI435" s="125" t="str">
        <f t="shared" si="458"/>
        <v/>
      </c>
      <c r="DJ435" s="125" t="str">
        <f t="shared" si="458"/>
        <v/>
      </c>
      <c r="DK435" s="125" t="str">
        <f t="shared" si="458"/>
        <v/>
      </c>
      <c r="DL435" s="125" t="str">
        <f t="shared" si="458"/>
        <v/>
      </c>
      <c r="DM435" s="125" t="str">
        <f t="shared" si="458"/>
        <v/>
      </c>
      <c r="DN435" s="125" t="str">
        <f t="shared" si="458"/>
        <v/>
      </c>
      <c r="DO435" s="125" t="str">
        <f t="shared" si="458"/>
        <v/>
      </c>
      <c r="DP435" s="125" t="str">
        <f t="shared" si="458"/>
        <v/>
      </c>
      <c r="DS435" s="137"/>
      <c r="DT435" s="137"/>
      <c r="DU435" s="137"/>
      <c r="DV435" s="137" t="b">
        <f t="shared" si="446"/>
        <v>0</v>
      </c>
      <c r="DW435" s="137" t="b">
        <f t="shared" si="447"/>
        <v>0</v>
      </c>
      <c r="DX435" s="137" t="b">
        <f t="shared" si="448"/>
        <v>1</v>
      </c>
      <c r="EB435" s="131">
        <f t="shared" si="449"/>
        <v>1</v>
      </c>
      <c r="EC435" s="137" t="b">
        <f t="shared" si="450"/>
        <v>0</v>
      </c>
      <c r="ED435" s="137" t="b">
        <f t="shared" si="451"/>
        <v>0</v>
      </c>
      <c r="EE435" s="137" t="b">
        <f t="shared" si="452"/>
        <v>1</v>
      </c>
      <c r="EF435" s="137"/>
      <c r="EG435" s="137"/>
      <c r="EH435" s="137"/>
      <c r="EI435" s="137"/>
      <c r="EJ435" s="137">
        <f t="shared" si="453"/>
        <v>1</v>
      </c>
      <c r="EK435" s="125" t="str">
        <f t="shared" si="454"/>
        <v/>
      </c>
      <c r="EL435" s="125" t="str">
        <f t="shared" si="455"/>
        <v/>
      </c>
    </row>
    <row r="436" spans="2:142" ht="15.75" x14ac:dyDescent="0.2">
      <c r="B436" s="160" t="str">
        <f t="shared" si="405"/>
        <v/>
      </c>
      <c r="C436" s="205"/>
      <c r="D436" s="205"/>
      <c r="E436" s="205"/>
      <c r="F436" s="118" t="str">
        <f>IF(OR(J436="",H436=""),"",VLOOKUP(J436,'הזנה לסיווג רשויות'!$B$2:$D$301,2,0))</f>
        <v/>
      </c>
      <c r="G436" s="118" t="str">
        <f>IF(OR(J436="",H436=""),"",VLOOKUP(J436,'הזנה לסיווג רשויות'!$B$2:$D$301,3,0))</f>
        <v/>
      </c>
      <c r="H436" s="201"/>
      <c r="I436" s="201"/>
      <c r="J436" s="205"/>
      <c r="K436" s="161"/>
      <c r="L436" s="161"/>
      <c r="M436" s="161"/>
      <c r="N436" s="161"/>
      <c r="O436" s="161"/>
      <c r="P436" s="161"/>
      <c r="Q436" s="161"/>
      <c r="R436" s="201"/>
      <c r="S436" s="201"/>
      <c r="T436" s="160" t="str">
        <f>IF(G436="","",IFERROR(IF(S436/R436&gt;'פרמטרים לקריטריונים'!$C$20,1,0),0))</f>
        <v/>
      </c>
      <c r="U436" s="201"/>
      <c r="V436" s="160" t="str">
        <f>IF(G436="","",IFERROR(IF(U436/R436&gt;'פרמטרים לקריטריונים'!$C$21,1,IF(AND(I436=$BW$5,U436/R436&gt;'פרמטרים לקריטריונים'!$C$22),1,0)),0))</f>
        <v/>
      </c>
      <c r="W436" s="161"/>
      <c r="X436" s="161"/>
      <c r="Y436" s="201"/>
      <c r="Z436" s="201"/>
      <c r="AA436" s="161" t="str">
        <f t="shared" si="457"/>
        <v/>
      </c>
      <c r="AB436" s="161"/>
      <c r="AC436" s="161"/>
      <c r="AD436" s="161"/>
      <c r="AE436" s="161"/>
      <c r="AF436" s="161"/>
      <c r="AG436" s="161"/>
      <c r="AH436" s="161"/>
      <c r="AI436" s="161"/>
      <c r="AJ436" s="161"/>
      <c r="AK436" s="161"/>
      <c r="AL436" s="161"/>
      <c r="AM436" s="161"/>
      <c r="AN436" s="161"/>
      <c r="AO436" s="161"/>
      <c r="AP436" s="161"/>
      <c r="AQ436" s="161"/>
      <c r="AR436" s="161"/>
      <c r="AS436" s="161"/>
      <c r="AT436" s="161"/>
      <c r="AU436" s="161"/>
      <c r="AV436" s="161"/>
      <c r="AW436" s="160"/>
      <c r="AX436" s="161"/>
      <c r="AY436" s="161"/>
      <c r="AZ436" s="161"/>
      <c r="BA436" s="161"/>
      <c r="BB436" s="161"/>
      <c r="BC436" s="161"/>
      <c r="BD436" s="161"/>
      <c r="BE436" s="161"/>
      <c r="BF436" s="160" t="str">
        <f t="shared" si="406"/>
        <v/>
      </c>
      <c r="BG436" s="160"/>
      <c r="BH436" s="160"/>
      <c r="BI436" s="160"/>
      <c r="BJ436" s="160"/>
      <c r="BK436" s="160"/>
      <c r="BL436" s="162" t="str">
        <f t="shared" si="407"/>
        <v/>
      </c>
      <c r="BM436" s="257"/>
      <c r="BN436" s="163"/>
      <c r="BO436" s="211" t="str">
        <f t="shared" si="408"/>
        <v/>
      </c>
      <c r="BP436" s="125">
        <f t="shared" si="409"/>
        <v>0</v>
      </c>
      <c r="BQ436" s="164">
        <v>0</v>
      </c>
      <c r="BR436" s="164">
        <v>1</v>
      </c>
      <c r="BS436" s="149">
        <f t="shared" si="410"/>
        <v>0</v>
      </c>
      <c r="BT436" s="149">
        <f t="shared" si="411"/>
        <v>0</v>
      </c>
      <c r="BU436" s="149">
        <f t="shared" si="412"/>
        <v>0</v>
      </c>
      <c r="BV436" s="149">
        <f t="shared" si="413"/>
        <v>0</v>
      </c>
      <c r="BW436" s="149">
        <f t="shared" si="414"/>
        <v>0</v>
      </c>
      <c r="BX436" s="149">
        <f t="shared" si="415"/>
        <v>0</v>
      </c>
      <c r="BY436" s="149">
        <f t="shared" si="416"/>
        <v>0</v>
      </c>
      <c r="BZ436" s="149">
        <f t="shared" si="417"/>
        <v>0</v>
      </c>
      <c r="CA436" s="149">
        <f t="shared" si="418"/>
        <v>0</v>
      </c>
      <c r="CB436" s="149">
        <f t="shared" si="419"/>
        <v>1</v>
      </c>
      <c r="CC436" s="149">
        <f t="shared" si="420"/>
        <v>0</v>
      </c>
      <c r="CD436" s="149">
        <f t="shared" si="421"/>
        <v>1</v>
      </c>
      <c r="CE436" s="149">
        <f t="shared" si="422"/>
        <v>0</v>
      </c>
      <c r="CF436" s="149">
        <f t="shared" si="423"/>
        <v>0</v>
      </c>
      <c r="CG436" s="149">
        <f t="shared" si="424"/>
        <v>0</v>
      </c>
      <c r="CH436" s="149">
        <f t="shared" si="425"/>
        <v>0</v>
      </c>
      <c r="CI436" s="149">
        <f t="shared" si="426"/>
        <v>1</v>
      </c>
      <c r="CJ436" s="149">
        <f t="shared" si="427"/>
        <v>1</v>
      </c>
      <c r="CK436" s="149">
        <f t="shared" si="428"/>
        <v>1</v>
      </c>
      <c r="CL436" s="149">
        <f t="shared" si="429"/>
        <v>1</v>
      </c>
      <c r="CM436" s="149">
        <f t="shared" si="430"/>
        <v>1</v>
      </c>
      <c r="CN436" s="149">
        <f t="shared" si="431"/>
        <v>1</v>
      </c>
      <c r="CO436" s="149">
        <f t="shared" si="432"/>
        <v>1</v>
      </c>
      <c r="CP436" s="149">
        <f t="shared" si="433"/>
        <v>1</v>
      </c>
      <c r="CQ436" s="149">
        <f t="shared" si="434"/>
        <v>1</v>
      </c>
      <c r="CR436" s="149">
        <f t="shared" si="435"/>
        <v>1</v>
      </c>
      <c r="CS436" s="149">
        <f t="shared" si="436"/>
        <v>1</v>
      </c>
      <c r="CT436" s="149">
        <f t="shared" si="437"/>
        <v>1</v>
      </c>
      <c r="CU436" s="149">
        <f t="shared" si="438"/>
        <v>1</v>
      </c>
      <c r="CV436" s="149">
        <f t="shared" si="439"/>
        <v>1</v>
      </c>
      <c r="CW436" s="149">
        <f t="shared" si="440"/>
        <v>1</v>
      </c>
      <c r="CX436" s="149">
        <f t="shared" si="441"/>
        <v>1</v>
      </c>
      <c r="CY436" s="149">
        <f t="shared" si="442"/>
        <v>1</v>
      </c>
      <c r="CZ436" s="149">
        <f t="shared" si="443"/>
        <v>1</v>
      </c>
      <c r="DA436" s="149">
        <f t="shared" si="444"/>
        <v>1</v>
      </c>
      <c r="DB436" s="149">
        <f t="shared" si="445"/>
        <v>1</v>
      </c>
      <c r="DG436" s="125" t="str">
        <f t="shared" si="296"/>
        <v/>
      </c>
      <c r="DH436" s="125" t="str">
        <f t="shared" si="458"/>
        <v/>
      </c>
      <c r="DI436" s="125" t="str">
        <f t="shared" si="458"/>
        <v/>
      </c>
      <c r="DJ436" s="125" t="str">
        <f t="shared" si="458"/>
        <v/>
      </c>
      <c r="DK436" s="125" t="str">
        <f t="shared" si="458"/>
        <v/>
      </c>
      <c r="DL436" s="125" t="str">
        <f t="shared" si="458"/>
        <v/>
      </c>
      <c r="DM436" s="125" t="str">
        <f t="shared" si="458"/>
        <v/>
      </c>
      <c r="DN436" s="125" t="str">
        <f t="shared" si="458"/>
        <v/>
      </c>
      <c r="DO436" s="125" t="str">
        <f t="shared" si="458"/>
        <v/>
      </c>
      <c r="DP436" s="125" t="str">
        <f t="shared" si="458"/>
        <v/>
      </c>
      <c r="DS436" s="137"/>
      <c r="DT436" s="137"/>
      <c r="DU436" s="137"/>
      <c r="DV436" s="137" t="b">
        <f t="shared" si="446"/>
        <v>0</v>
      </c>
      <c r="DW436" s="137" t="b">
        <f t="shared" si="447"/>
        <v>0</v>
      </c>
      <c r="DX436" s="137" t="b">
        <f t="shared" si="448"/>
        <v>1</v>
      </c>
      <c r="EB436" s="131">
        <f t="shared" si="449"/>
        <v>1</v>
      </c>
      <c r="EC436" s="137" t="b">
        <f t="shared" si="450"/>
        <v>0</v>
      </c>
      <c r="ED436" s="137" t="b">
        <f t="shared" si="451"/>
        <v>0</v>
      </c>
      <c r="EE436" s="137" t="b">
        <f t="shared" si="452"/>
        <v>1</v>
      </c>
      <c r="EF436" s="137"/>
      <c r="EG436" s="137"/>
      <c r="EH436" s="137"/>
      <c r="EI436" s="137"/>
      <c r="EJ436" s="137">
        <f t="shared" si="453"/>
        <v>1</v>
      </c>
      <c r="EK436" s="125" t="str">
        <f t="shared" si="454"/>
        <v/>
      </c>
      <c r="EL436" s="125" t="str">
        <f t="shared" si="455"/>
        <v/>
      </c>
    </row>
    <row r="437" spans="2:142" ht="15.75" x14ac:dyDescent="0.2">
      <c r="B437" s="160" t="str">
        <f t="shared" si="405"/>
        <v/>
      </c>
      <c r="C437" s="205"/>
      <c r="D437" s="205"/>
      <c r="E437" s="205"/>
      <c r="F437" s="118" t="str">
        <f>IF(OR(J437="",H437=""),"",VLOOKUP(J437,'הזנה לסיווג רשויות'!$B$2:$D$301,2,0))</f>
        <v/>
      </c>
      <c r="G437" s="118" t="str">
        <f>IF(OR(J437="",H437=""),"",VLOOKUP(J437,'הזנה לסיווג רשויות'!$B$2:$D$301,3,0))</f>
        <v/>
      </c>
      <c r="H437" s="201"/>
      <c r="I437" s="201"/>
      <c r="J437" s="205"/>
      <c r="K437" s="161"/>
      <c r="L437" s="161"/>
      <c r="M437" s="161"/>
      <c r="N437" s="161"/>
      <c r="O437" s="161"/>
      <c r="P437" s="161"/>
      <c r="Q437" s="161"/>
      <c r="R437" s="201"/>
      <c r="S437" s="201"/>
      <c r="T437" s="160" t="str">
        <f>IF(G437="","",IFERROR(IF(S437/R437&gt;'פרמטרים לקריטריונים'!$C$20,1,0),0))</f>
        <v/>
      </c>
      <c r="U437" s="201"/>
      <c r="V437" s="160" t="str">
        <f>IF(G437="","",IFERROR(IF(U437/R437&gt;'פרמטרים לקריטריונים'!$C$21,1,IF(AND(I437=$BW$5,U437/R437&gt;'פרמטרים לקריטריונים'!$C$22),1,0)),0))</f>
        <v/>
      </c>
      <c r="W437" s="161"/>
      <c r="X437" s="161"/>
      <c r="Y437" s="201"/>
      <c r="Z437" s="201"/>
      <c r="AA437" s="161" t="str">
        <f t="shared" si="457"/>
        <v/>
      </c>
      <c r="AB437" s="161"/>
      <c r="AC437" s="161"/>
      <c r="AD437" s="161"/>
      <c r="AE437" s="161"/>
      <c r="AF437" s="161"/>
      <c r="AG437" s="161"/>
      <c r="AH437" s="161"/>
      <c r="AI437" s="161"/>
      <c r="AJ437" s="161"/>
      <c r="AK437" s="161"/>
      <c r="AL437" s="161"/>
      <c r="AM437" s="161"/>
      <c r="AN437" s="161"/>
      <c r="AO437" s="161"/>
      <c r="AP437" s="161"/>
      <c r="AQ437" s="161"/>
      <c r="AR437" s="161"/>
      <c r="AS437" s="161"/>
      <c r="AT437" s="161"/>
      <c r="AU437" s="161"/>
      <c r="AV437" s="161"/>
      <c r="AW437" s="160"/>
      <c r="AX437" s="161"/>
      <c r="AY437" s="161"/>
      <c r="AZ437" s="161"/>
      <c r="BA437" s="161"/>
      <c r="BB437" s="161"/>
      <c r="BC437" s="161"/>
      <c r="BD437" s="161"/>
      <c r="BE437" s="161"/>
      <c r="BF437" s="160" t="str">
        <f t="shared" si="406"/>
        <v/>
      </c>
      <c r="BG437" s="160"/>
      <c r="BH437" s="160"/>
      <c r="BI437" s="160"/>
      <c r="BJ437" s="160"/>
      <c r="BK437" s="160"/>
      <c r="BL437" s="162" t="str">
        <f t="shared" si="407"/>
        <v/>
      </c>
      <c r="BM437" s="257"/>
      <c r="BN437" s="163"/>
      <c r="BO437" s="211" t="str">
        <f t="shared" si="408"/>
        <v/>
      </c>
      <c r="BP437" s="125">
        <f t="shared" si="409"/>
        <v>0</v>
      </c>
      <c r="BQ437" s="164">
        <v>0</v>
      </c>
      <c r="BR437" s="164">
        <v>1</v>
      </c>
      <c r="BS437" s="149">
        <f t="shared" si="410"/>
        <v>0</v>
      </c>
      <c r="BT437" s="149">
        <f t="shared" si="411"/>
        <v>0</v>
      </c>
      <c r="BU437" s="149">
        <f t="shared" si="412"/>
        <v>0</v>
      </c>
      <c r="BV437" s="149">
        <f t="shared" si="413"/>
        <v>0</v>
      </c>
      <c r="BW437" s="149">
        <f t="shared" si="414"/>
        <v>0</v>
      </c>
      <c r="BX437" s="149">
        <f t="shared" si="415"/>
        <v>0</v>
      </c>
      <c r="BY437" s="149">
        <f t="shared" si="416"/>
        <v>0</v>
      </c>
      <c r="BZ437" s="149">
        <f t="shared" si="417"/>
        <v>0</v>
      </c>
      <c r="CA437" s="149">
        <f t="shared" si="418"/>
        <v>0</v>
      </c>
      <c r="CB437" s="149">
        <f t="shared" si="419"/>
        <v>1</v>
      </c>
      <c r="CC437" s="149">
        <f t="shared" si="420"/>
        <v>0</v>
      </c>
      <c r="CD437" s="149">
        <f t="shared" si="421"/>
        <v>1</v>
      </c>
      <c r="CE437" s="149">
        <f t="shared" si="422"/>
        <v>0</v>
      </c>
      <c r="CF437" s="149">
        <f t="shared" si="423"/>
        <v>0</v>
      </c>
      <c r="CG437" s="149">
        <f t="shared" si="424"/>
        <v>0</v>
      </c>
      <c r="CH437" s="149">
        <f t="shared" si="425"/>
        <v>0</v>
      </c>
      <c r="CI437" s="149">
        <f t="shared" si="426"/>
        <v>1</v>
      </c>
      <c r="CJ437" s="149">
        <f t="shared" si="427"/>
        <v>1</v>
      </c>
      <c r="CK437" s="149">
        <f t="shared" si="428"/>
        <v>1</v>
      </c>
      <c r="CL437" s="149">
        <f t="shared" si="429"/>
        <v>1</v>
      </c>
      <c r="CM437" s="149">
        <f t="shared" si="430"/>
        <v>1</v>
      </c>
      <c r="CN437" s="149">
        <f t="shared" si="431"/>
        <v>1</v>
      </c>
      <c r="CO437" s="149">
        <f t="shared" si="432"/>
        <v>1</v>
      </c>
      <c r="CP437" s="149">
        <f t="shared" si="433"/>
        <v>1</v>
      </c>
      <c r="CQ437" s="149">
        <f t="shared" si="434"/>
        <v>1</v>
      </c>
      <c r="CR437" s="149">
        <f t="shared" si="435"/>
        <v>1</v>
      </c>
      <c r="CS437" s="149">
        <f t="shared" si="436"/>
        <v>1</v>
      </c>
      <c r="CT437" s="149">
        <f t="shared" si="437"/>
        <v>1</v>
      </c>
      <c r="CU437" s="149">
        <f t="shared" si="438"/>
        <v>1</v>
      </c>
      <c r="CV437" s="149">
        <f t="shared" si="439"/>
        <v>1</v>
      </c>
      <c r="CW437" s="149">
        <f t="shared" si="440"/>
        <v>1</v>
      </c>
      <c r="CX437" s="149">
        <f t="shared" si="441"/>
        <v>1</v>
      </c>
      <c r="CY437" s="149">
        <f t="shared" si="442"/>
        <v>1</v>
      </c>
      <c r="CZ437" s="149">
        <f t="shared" si="443"/>
        <v>1</v>
      </c>
      <c r="DA437" s="149">
        <f t="shared" si="444"/>
        <v>1</v>
      </c>
      <c r="DB437" s="149">
        <f t="shared" si="445"/>
        <v>1</v>
      </c>
      <c r="DG437" s="125" t="str">
        <f t="shared" si="296"/>
        <v/>
      </c>
      <c r="DH437" s="125" t="str">
        <f t="shared" si="458"/>
        <v/>
      </c>
      <c r="DI437" s="125" t="str">
        <f t="shared" si="458"/>
        <v/>
      </c>
      <c r="DJ437" s="125" t="str">
        <f t="shared" si="458"/>
        <v/>
      </c>
      <c r="DK437" s="125" t="str">
        <f t="shared" si="458"/>
        <v/>
      </c>
      <c r="DL437" s="125" t="str">
        <f t="shared" si="458"/>
        <v/>
      </c>
      <c r="DM437" s="125" t="str">
        <f t="shared" si="458"/>
        <v/>
      </c>
      <c r="DN437" s="125" t="str">
        <f t="shared" si="458"/>
        <v/>
      </c>
      <c r="DO437" s="125" t="str">
        <f t="shared" si="458"/>
        <v/>
      </c>
      <c r="DP437" s="125" t="str">
        <f t="shared" si="458"/>
        <v/>
      </c>
      <c r="DS437" s="137"/>
      <c r="DT437" s="137"/>
      <c r="DU437" s="137"/>
      <c r="DV437" s="137" t="b">
        <f t="shared" si="446"/>
        <v>0</v>
      </c>
      <c r="DW437" s="137" t="b">
        <f t="shared" si="447"/>
        <v>0</v>
      </c>
      <c r="DX437" s="137" t="b">
        <f t="shared" si="448"/>
        <v>1</v>
      </c>
      <c r="EB437" s="131">
        <f t="shared" si="449"/>
        <v>1</v>
      </c>
      <c r="EC437" s="137" t="b">
        <f t="shared" si="450"/>
        <v>0</v>
      </c>
      <c r="ED437" s="137" t="b">
        <f t="shared" si="451"/>
        <v>0</v>
      </c>
      <c r="EE437" s="137" t="b">
        <f t="shared" si="452"/>
        <v>1</v>
      </c>
      <c r="EF437" s="137"/>
      <c r="EG437" s="137"/>
      <c r="EH437" s="137"/>
      <c r="EI437" s="137"/>
      <c r="EJ437" s="137">
        <f t="shared" si="453"/>
        <v>1</v>
      </c>
      <c r="EK437" s="125" t="str">
        <f t="shared" si="454"/>
        <v/>
      </c>
      <c r="EL437" s="125" t="str">
        <f t="shared" si="455"/>
        <v/>
      </c>
    </row>
    <row r="438" spans="2:142" ht="15.75" x14ac:dyDescent="0.2">
      <c r="B438" s="160" t="str">
        <f t="shared" si="405"/>
        <v/>
      </c>
      <c r="C438" s="205"/>
      <c r="D438" s="205"/>
      <c r="E438" s="205"/>
      <c r="F438" s="118" t="str">
        <f>IF(OR(J438="",H438=""),"",VLOOKUP(J438,'הזנה לסיווג רשויות'!$B$2:$D$301,2,0))</f>
        <v/>
      </c>
      <c r="G438" s="118" t="str">
        <f>IF(OR(J438="",H438=""),"",VLOOKUP(J438,'הזנה לסיווג רשויות'!$B$2:$D$301,3,0))</f>
        <v/>
      </c>
      <c r="H438" s="201"/>
      <c r="I438" s="201"/>
      <c r="J438" s="205"/>
      <c r="K438" s="161"/>
      <c r="L438" s="161"/>
      <c r="M438" s="161"/>
      <c r="N438" s="161"/>
      <c r="O438" s="161"/>
      <c r="P438" s="161"/>
      <c r="Q438" s="161"/>
      <c r="R438" s="201"/>
      <c r="S438" s="201"/>
      <c r="T438" s="160" t="str">
        <f>IF(G438="","",IFERROR(IF(S438/R438&gt;'פרמטרים לקריטריונים'!$C$20,1,0),0))</f>
        <v/>
      </c>
      <c r="U438" s="201"/>
      <c r="V438" s="160" t="str">
        <f>IF(G438="","",IFERROR(IF(U438/R438&gt;'פרמטרים לקריטריונים'!$C$21,1,IF(AND(I438=$BW$5,U438/R438&gt;'פרמטרים לקריטריונים'!$C$22),1,0)),0))</f>
        <v/>
      </c>
      <c r="W438" s="161"/>
      <c r="X438" s="161"/>
      <c r="Y438" s="201"/>
      <c r="Z438" s="201"/>
      <c r="AA438" s="161" t="str">
        <f t="shared" si="457"/>
        <v/>
      </c>
      <c r="AB438" s="161"/>
      <c r="AC438" s="161"/>
      <c r="AD438" s="161"/>
      <c r="AE438" s="161"/>
      <c r="AF438" s="161"/>
      <c r="AG438" s="161"/>
      <c r="AH438" s="161"/>
      <c r="AI438" s="161"/>
      <c r="AJ438" s="161"/>
      <c r="AK438" s="161"/>
      <c r="AL438" s="161"/>
      <c r="AM438" s="161"/>
      <c r="AN438" s="161"/>
      <c r="AO438" s="161"/>
      <c r="AP438" s="161"/>
      <c r="AQ438" s="161"/>
      <c r="AR438" s="161"/>
      <c r="AS438" s="161"/>
      <c r="AT438" s="161"/>
      <c r="AU438" s="161"/>
      <c r="AV438" s="161"/>
      <c r="AW438" s="160"/>
      <c r="AX438" s="161"/>
      <c r="AY438" s="161"/>
      <c r="AZ438" s="161"/>
      <c r="BA438" s="161"/>
      <c r="BB438" s="161"/>
      <c r="BC438" s="161"/>
      <c r="BD438" s="161"/>
      <c r="BE438" s="161"/>
      <c r="BF438" s="160" t="str">
        <f t="shared" si="406"/>
        <v/>
      </c>
      <c r="BG438" s="160"/>
      <c r="BH438" s="160"/>
      <c r="BI438" s="160"/>
      <c r="BJ438" s="160"/>
      <c r="BK438" s="160"/>
      <c r="BL438" s="162" t="str">
        <f t="shared" si="407"/>
        <v/>
      </c>
      <c r="BM438" s="257"/>
      <c r="BN438" s="163"/>
      <c r="BO438" s="211" t="str">
        <f t="shared" si="408"/>
        <v/>
      </c>
      <c r="BP438" s="125">
        <f t="shared" si="409"/>
        <v>0</v>
      </c>
      <c r="BQ438" s="164">
        <v>0</v>
      </c>
      <c r="BR438" s="164">
        <v>1</v>
      </c>
      <c r="BS438" s="149">
        <f t="shared" si="410"/>
        <v>0</v>
      </c>
      <c r="BT438" s="149">
        <f t="shared" si="411"/>
        <v>0</v>
      </c>
      <c r="BU438" s="149">
        <f t="shared" si="412"/>
        <v>0</v>
      </c>
      <c r="BV438" s="149">
        <f t="shared" si="413"/>
        <v>0</v>
      </c>
      <c r="BW438" s="149">
        <f t="shared" si="414"/>
        <v>0</v>
      </c>
      <c r="BX438" s="149">
        <f t="shared" si="415"/>
        <v>0</v>
      </c>
      <c r="BY438" s="149">
        <f t="shared" si="416"/>
        <v>0</v>
      </c>
      <c r="BZ438" s="149">
        <f t="shared" si="417"/>
        <v>0</v>
      </c>
      <c r="CA438" s="149">
        <f t="shared" si="418"/>
        <v>0</v>
      </c>
      <c r="CB438" s="149">
        <f t="shared" si="419"/>
        <v>1</v>
      </c>
      <c r="CC438" s="149">
        <f t="shared" si="420"/>
        <v>0</v>
      </c>
      <c r="CD438" s="149">
        <f t="shared" si="421"/>
        <v>1</v>
      </c>
      <c r="CE438" s="149">
        <f t="shared" si="422"/>
        <v>0</v>
      </c>
      <c r="CF438" s="149">
        <f t="shared" si="423"/>
        <v>0</v>
      </c>
      <c r="CG438" s="149">
        <f t="shared" si="424"/>
        <v>0</v>
      </c>
      <c r="CH438" s="149">
        <f t="shared" si="425"/>
        <v>0</v>
      </c>
      <c r="CI438" s="149">
        <f t="shared" si="426"/>
        <v>1</v>
      </c>
      <c r="CJ438" s="149">
        <f t="shared" si="427"/>
        <v>1</v>
      </c>
      <c r="CK438" s="149">
        <f t="shared" si="428"/>
        <v>1</v>
      </c>
      <c r="CL438" s="149">
        <f t="shared" si="429"/>
        <v>1</v>
      </c>
      <c r="CM438" s="149">
        <f t="shared" si="430"/>
        <v>1</v>
      </c>
      <c r="CN438" s="149">
        <f t="shared" si="431"/>
        <v>1</v>
      </c>
      <c r="CO438" s="149">
        <f t="shared" si="432"/>
        <v>1</v>
      </c>
      <c r="CP438" s="149">
        <f t="shared" si="433"/>
        <v>1</v>
      </c>
      <c r="CQ438" s="149">
        <f t="shared" si="434"/>
        <v>1</v>
      </c>
      <c r="CR438" s="149">
        <f t="shared" si="435"/>
        <v>1</v>
      </c>
      <c r="CS438" s="149">
        <f t="shared" si="436"/>
        <v>1</v>
      </c>
      <c r="CT438" s="149">
        <f t="shared" si="437"/>
        <v>1</v>
      </c>
      <c r="CU438" s="149">
        <f t="shared" si="438"/>
        <v>1</v>
      </c>
      <c r="CV438" s="149">
        <f t="shared" si="439"/>
        <v>1</v>
      </c>
      <c r="CW438" s="149">
        <f t="shared" si="440"/>
        <v>1</v>
      </c>
      <c r="CX438" s="149">
        <f t="shared" si="441"/>
        <v>1</v>
      </c>
      <c r="CY438" s="149">
        <f t="shared" si="442"/>
        <v>1</v>
      </c>
      <c r="CZ438" s="149">
        <f t="shared" si="443"/>
        <v>1</v>
      </c>
      <c r="DA438" s="149">
        <f t="shared" si="444"/>
        <v>1</v>
      </c>
      <c r="DB438" s="149">
        <f t="shared" si="445"/>
        <v>1</v>
      </c>
      <c r="DG438" s="125" t="str">
        <f t="shared" si="296"/>
        <v/>
      </c>
      <c r="DH438" s="125" t="str">
        <f t="shared" si="458"/>
        <v/>
      </c>
      <c r="DI438" s="125" t="str">
        <f t="shared" si="458"/>
        <v/>
      </c>
      <c r="DJ438" s="125" t="str">
        <f t="shared" si="458"/>
        <v/>
      </c>
      <c r="DK438" s="125" t="str">
        <f t="shared" si="458"/>
        <v/>
      </c>
      <c r="DL438" s="125" t="str">
        <f t="shared" si="458"/>
        <v/>
      </c>
      <c r="DM438" s="125" t="str">
        <f t="shared" si="458"/>
        <v/>
      </c>
      <c r="DN438" s="125" t="str">
        <f t="shared" si="458"/>
        <v/>
      </c>
      <c r="DO438" s="125" t="str">
        <f t="shared" si="458"/>
        <v/>
      </c>
      <c r="DP438" s="125" t="str">
        <f t="shared" si="458"/>
        <v/>
      </c>
      <c r="DS438" s="137"/>
      <c r="DT438" s="137"/>
      <c r="DU438" s="137"/>
      <c r="DV438" s="137" t="b">
        <f t="shared" si="446"/>
        <v>0</v>
      </c>
      <c r="DW438" s="137" t="b">
        <f t="shared" si="447"/>
        <v>0</v>
      </c>
      <c r="DX438" s="137" t="b">
        <f t="shared" si="448"/>
        <v>1</v>
      </c>
      <c r="EB438" s="131">
        <f t="shared" si="449"/>
        <v>1</v>
      </c>
      <c r="EC438" s="137" t="b">
        <f t="shared" si="450"/>
        <v>0</v>
      </c>
      <c r="ED438" s="137" t="b">
        <f t="shared" si="451"/>
        <v>0</v>
      </c>
      <c r="EE438" s="137" t="b">
        <f t="shared" si="452"/>
        <v>1</v>
      </c>
      <c r="EF438" s="137"/>
      <c r="EG438" s="137"/>
      <c r="EH438" s="137"/>
      <c r="EI438" s="137"/>
      <c r="EJ438" s="137">
        <f t="shared" si="453"/>
        <v>1</v>
      </c>
      <c r="EK438" s="125" t="str">
        <f t="shared" si="454"/>
        <v/>
      </c>
      <c r="EL438" s="125" t="str">
        <f t="shared" si="455"/>
        <v/>
      </c>
    </row>
    <row r="439" spans="2:142" ht="15.75" x14ac:dyDescent="0.2">
      <c r="B439" s="160" t="str">
        <f t="shared" si="405"/>
        <v/>
      </c>
      <c r="C439" s="205"/>
      <c r="D439" s="205"/>
      <c r="E439" s="205"/>
      <c r="F439" s="118" t="str">
        <f>IF(OR(J439="",H439=""),"",VLOOKUP(J439,'הזנה לסיווג רשויות'!$B$2:$D$301,2,0))</f>
        <v/>
      </c>
      <c r="G439" s="118" t="str">
        <f>IF(OR(J439="",H439=""),"",VLOOKUP(J439,'הזנה לסיווג רשויות'!$B$2:$D$301,3,0))</f>
        <v/>
      </c>
      <c r="H439" s="201"/>
      <c r="I439" s="201"/>
      <c r="J439" s="205"/>
      <c r="K439" s="161"/>
      <c r="L439" s="161"/>
      <c r="M439" s="161"/>
      <c r="N439" s="161"/>
      <c r="O439" s="161"/>
      <c r="P439" s="161"/>
      <c r="Q439" s="161"/>
      <c r="R439" s="201"/>
      <c r="S439" s="201"/>
      <c r="T439" s="160" t="str">
        <f>IF(G439="","",IFERROR(IF(S439/R439&gt;'פרמטרים לקריטריונים'!$C$20,1,0),0))</f>
        <v/>
      </c>
      <c r="U439" s="201"/>
      <c r="V439" s="160" t="str">
        <f>IF(G439="","",IFERROR(IF(U439/R439&gt;'פרמטרים לקריטריונים'!$C$21,1,IF(AND(I439=$BW$5,U439/R439&gt;'פרמטרים לקריטריונים'!$C$22),1,0)),0))</f>
        <v/>
      </c>
      <c r="W439" s="161"/>
      <c r="X439" s="161"/>
      <c r="Y439" s="201"/>
      <c r="Z439" s="201"/>
      <c r="AA439" s="161" t="str">
        <f t="shared" si="457"/>
        <v/>
      </c>
      <c r="AB439" s="161"/>
      <c r="AC439" s="161"/>
      <c r="AD439" s="161"/>
      <c r="AE439" s="161"/>
      <c r="AF439" s="161"/>
      <c r="AG439" s="161"/>
      <c r="AH439" s="161"/>
      <c r="AI439" s="161"/>
      <c r="AJ439" s="161"/>
      <c r="AK439" s="161"/>
      <c r="AL439" s="161"/>
      <c r="AM439" s="161"/>
      <c r="AN439" s="161"/>
      <c r="AO439" s="161"/>
      <c r="AP439" s="161"/>
      <c r="AQ439" s="161"/>
      <c r="AR439" s="161"/>
      <c r="AS439" s="161"/>
      <c r="AT439" s="161"/>
      <c r="AU439" s="161"/>
      <c r="AV439" s="161"/>
      <c r="AW439" s="160"/>
      <c r="AX439" s="161"/>
      <c r="AY439" s="161"/>
      <c r="AZ439" s="161"/>
      <c r="BA439" s="161"/>
      <c r="BB439" s="161"/>
      <c r="BC439" s="161"/>
      <c r="BD439" s="161"/>
      <c r="BE439" s="161"/>
      <c r="BF439" s="160" t="str">
        <f t="shared" si="406"/>
        <v/>
      </c>
      <c r="BG439" s="160"/>
      <c r="BH439" s="160"/>
      <c r="BI439" s="160"/>
      <c r="BJ439" s="160"/>
      <c r="BK439" s="160"/>
      <c r="BL439" s="162" t="str">
        <f t="shared" si="407"/>
        <v/>
      </c>
      <c r="BM439" s="257"/>
      <c r="BN439" s="163"/>
      <c r="BO439" s="211" t="str">
        <f t="shared" si="408"/>
        <v/>
      </c>
      <c r="BP439" s="125">
        <f t="shared" si="409"/>
        <v>0</v>
      </c>
      <c r="BQ439" s="164">
        <v>0</v>
      </c>
      <c r="BR439" s="164">
        <v>1</v>
      </c>
      <c r="BS439" s="149">
        <f t="shared" si="410"/>
        <v>0</v>
      </c>
      <c r="BT439" s="149">
        <f t="shared" si="411"/>
        <v>0</v>
      </c>
      <c r="BU439" s="149">
        <f t="shared" si="412"/>
        <v>0</v>
      </c>
      <c r="BV439" s="149">
        <f t="shared" si="413"/>
        <v>0</v>
      </c>
      <c r="BW439" s="149">
        <f t="shared" si="414"/>
        <v>0</v>
      </c>
      <c r="BX439" s="149">
        <f t="shared" si="415"/>
        <v>0</v>
      </c>
      <c r="BY439" s="149">
        <f t="shared" si="416"/>
        <v>0</v>
      </c>
      <c r="BZ439" s="149">
        <f t="shared" si="417"/>
        <v>0</v>
      </c>
      <c r="CA439" s="149">
        <f t="shared" si="418"/>
        <v>0</v>
      </c>
      <c r="CB439" s="149">
        <f t="shared" si="419"/>
        <v>1</v>
      </c>
      <c r="CC439" s="149">
        <f t="shared" si="420"/>
        <v>0</v>
      </c>
      <c r="CD439" s="149">
        <f t="shared" si="421"/>
        <v>1</v>
      </c>
      <c r="CE439" s="149">
        <f t="shared" si="422"/>
        <v>0</v>
      </c>
      <c r="CF439" s="149">
        <f t="shared" si="423"/>
        <v>0</v>
      </c>
      <c r="CG439" s="149">
        <f t="shared" si="424"/>
        <v>0</v>
      </c>
      <c r="CH439" s="149">
        <f t="shared" si="425"/>
        <v>0</v>
      </c>
      <c r="CI439" s="149">
        <f t="shared" si="426"/>
        <v>1</v>
      </c>
      <c r="CJ439" s="149">
        <f t="shared" si="427"/>
        <v>1</v>
      </c>
      <c r="CK439" s="149">
        <f t="shared" si="428"/>
        <v>1</v>
      </c>
      <c r="CL439" s="149">
        <f t="shared" si="429"/>
        <v>1</v>
      </c>
      <c r="CM439" s="149">
        <f t="shared" si="430"/>
        <v>1</v>
      </c>
      <c r="CN439" s="149">
        <f t="shared" si="431"/>
        <v>1</v>
      </c>
      <c r="CO439" s="149">
        <f t="shared" si="432"/>
        <v>1</v>
      </c>
      <c r="CP439" s="149">
        <f t="shared" si="433"/>
        <v>1</v>
      </c>
      <c r="CQ439" s="149">
        <f t="shared" si="434"/>
        <v>1</v>
      </c>
      <c r="CR439" s="149">
        <f t="shared" si="435"/>
        <v>1</v>
      </c>
      <c r="CS439" s="149">
        <f t="shared" si="436"/>
        <v>1</v>
      </c>
      <c r="CT439" s="149">
        <f t="shared" si="437"/>
        <v>1</v>
      </c>
      <c r="CU439" s="149">
        <f t="shared" si="438"/>
        <v>1</v>
      </c>
      <c r="CV439" s="149">
        <f t="shared" si="439"/>
        <v>1</v>
      </c>
      <c r="CW439" s="149">
        <f t="shared" si="440"/>
        <v>1</v>
      </c>
      <c r="CX439" s="149">
        <f t="shared" si="441"/>
        <v>1</v>
      </c>
      <c r="CY439" s="149">
        <f t="shared" si="442"/>
        <v>1</v>
      </c>
      <c r="CZ439" s="149">
        <f t="shared" si="443"/>
        <v>1</v>
      </c>
      <c r="DA439" s="149">
        <f t="shared" si="444"/>
        <v>1</v>
      </c>
      <c r="DB439" s="149">
        <f t="shared" si="445"/>
        <v>1</v>
      </c>
      <c r="DG439" s="125" t="str">
        <f t="shared" si="296"/>
        <v/>
      </c>
      <c r="DH439" s="125" t="str">
        <f t="shared" si="458"/>
        <v/>
      </c>
      <c r="DI439" s="125" t="str">
        <f t="shared" si="458"/>
        <v/>
      </c>
      <c r="DJ439" s="125" t="str">
        <f t="shared" si="458"/>
        <v/>
      </c>
      <c r="DK439" s="125" t="str">
        <f t="shared" si="458"/>
        <v/>
      </c>
      <c r="DL439" s="125" t="str">
        <f t="shared" si="458"/>
        <v/>
      </c>
      <c r="DM439" s="125" t="str">
        <f t="shared" si="458"/>
        <v/>
      </c>
      <c r="DN439" s="125" t="str">
        <f t="shared" si="458"/>
        <v/>
      </c>
      <c r="DO439" s="125" t="str">
        <f t="shared" si="458"/>
        <v/>
      </c>
      <c r="DP439" s="125" t="str">
        <f t="shared" si="458"/>
        <v/>
      </c>
      <c r="DS439" s="137"/>
      <c r="DT439" s="137"/>
      <c r="DU439" s="137"/>
      <c r="DV439" s="137" t="b">
        <f t="shared" si="446"/>
        <v>0</v>
      </c>
      <c r="DW439" s="137" t="b">
        <f t="shared" si="447"/>
        <v>0</v>
      </c>
      <c r="DX439" s="137" t="b">
        <f t="shared" si="448"/>
        <v>1</v>
      </c>
      <c r="EB439" s="131">
        <f t="shared" si="449"/>
        <v>1</v>
      </c>
      <c r="EC439" s="137" t="b">
        <f t="shared" si="450"/>
        <v>0</v>
      </c>
      <c r="ED439" s="137" t="b">
        <f t="shared" si="451"/>
        <v>0</v>
      </c>
      <c r="EE439" s="137" t="b">
        <f t="shared" si="452"/>
        <v>1</v>
      </c>
      <c r="EF439" s="137"/>
      <c r="EG439" s="137"/>
      <c r="EH439" s="137"/>
      <c r="EI439" s="137"/>
      <c r="EJ439" s="137">
        <f t="shared" si="453"/>
        <v>1</v>
      </c>
      <c r="EK439" s="125" t="str">
        <f t="shared" si="454"/>
        <v/>
      </c>
      <c r="EL439" s="125" t="str">
        <f t="shared" si="455"/>
        <v/>
      </c>
    </row>
    <row r="440" spans="2:142" ht="15.75" x14ac:dyDescent="0.2">
      <c r="B440" s="160" t="str">
        <f t="shared" si="405"/>
        <v/>
      </c>
      <c r="C440" s="205"/>
      <c r="D440" s="205"/>
      <c r="E440" s="205"/>
      <c r="F440" s="118" t="str">
        <f>IF(OR(J440="",H440=""),"",VLOOKUP(J440,'הזנה לסיווג רשויות'!$B$2:$D$301,2,0))</f>
        <v/>
      </c>
      <c r="G440" s="118" t="str">
        <f>IF(OR(J440="",H440=""),"",VLOOKUP(J440,'הזנה לסיווג רשויות'!$B$2:$D$301,3,0))</f>
        <v/>
      </c>
      <c r="H440" s="201"/>
      <c r="I440" s="201"/>
      <c r="J440" s="205"/>
      <c r="K440" s="161"/>
      <c r="L440" s="161"/>
      <c r="M440" s="161"/>
      <c r="N440" s="161"/>
      <c r="O440" s="161"/>
      <c r="P440" s="161"/>
      <c r="Q440" s="161"/>
      <c r="R440" s="201"/>
      <c r="S440" s="201"/>
      <c r="T440" s="160" t="str">
        <f>IF(G440="","",IFERROR(IF(S440/R440&gt;'פרמטרים לקריטריונים'!$C$20,1,0),0))</f>
        <v/>
      </c>
      <c r="U440" s="201"/>
      <c r="V440" s="160" t="str">
        <f>IF(G440="","",IFERROR(IF(U440/R440&gt;'פרמטרים לקריטריונים'!$C$21,1,IF(AND(I440=$BW$5,U440/R440&gt;'פרמטרים לקריטריונים'!$C$22),1,0)),0))</f>
        <v/>
      </c>
      <c r="W440" s="161"/>
      <c r="X440" s="161"/>
      <c r="Y440" s="201"/>
      <c r="Z440" s="201"/>
      <c r="AA440" s="161" t="str">
        <f t="shared" si="457"/>
        <v/>
      </c>
      <c r="AB440" s="161"/>
      <c r="AC440" s="161"/>
      <c r="AD440" s="161"/>
      <c r="AE440" s="161"/>
      <c r="AF440" s="161"/>
      <c r="AG440" s="161"/>
      <c r="AH440" s="161"/>
      <c r="AI440" s="161"/>
      <c r="AJ440" s="161"/>
      <c r="AK440" s="161"/>
      <c r="AL440" s="161"/>
      <c r="AM440" s="161"/>
      <c r="AN440" s="161"/>
      <c r="AO440" s="161"/>
      <c r="AP440" s="161"/>
      <c r="AQ440" s="161"/>
      <c r="AR440" s="161"/>
      <c r="AS440" s="161"/>
      <c r="AT440" s="161"/>
      <c r="AU440" s="161"/>
      <c r="AV440" s="161"/>
      <c r="AW440" s="160"/>
      <c r="AX440" s="161"/>
      <c r="AY440" s="161"/>
      <c r="AZ440" s="161"/>
      <c r="BA440" s="161"/>
      <c r="BB440" s="161"/>
      <c r="BC440" s="161"/>
      <c r="BD440" s="161"/>
      <c r="BE440" s="161"/>
      <c r="BF440" s="160" t="str">
        <f t="shared" si="406"/>
        <v/>
      </c>
      <c r="BG440" s="160"/>
      <c r="BH440" s="160"/>
      <c r="BI440" s="160"/>
      <c r="BJ440" s="160"/>
      <c r="BK440" s="160"/>
      <c r="BL440" s="162" t="str">
        <f t="shared" si="407"/>
        <v/>
      </c>
      <c r="BM440" s="257"/>
      <c r="BN440" s="163"/>
      <c r="BO440" s="211" t="str">
        <f t="shared" si="408"/>
        <v/>
      </c>
      <c r="BP440" s="125">
        <f t="shared" si="409"/>
        <v>0</v>
      </c>
      <c r="BQ440" s="164">
        <v>0</v>
      </c>
      <c r="BR440" s="164">
        <v>1</v>
      </c>
      <c r="BS440" s="149">
        <f t="shared" si="410"/>
        <v>0</v>
      </c>
      <c r="BT440" s="149">
        <f t="shared" si="411"/>
        <v>0</v>
      </c>
      <c r="BU440" s="149">
        <f t="shared" si="412"/>
        <v>0</v>
      </c>
      <c r="BV440" s="149">
        <f t="shared" si="413"/>
        <v>0</v>
      </c>
      <c r="BW440" s="149">
        <f t="shared" si="414"/>
        <v>0</v>
      </c>
      <c r="BX440" s="149">
        <f t="shared" si="415"/>
        <v>0</v>
      </c>
      <c r="BY440" s="149">
        <f t="shared" si="416"/>
        <v>0</v>
      </c>
      <c r="BZ440" s="149">
        <f t="shared" si="417"/>
        <v>0</v>
      </c>
      <c r="CA440" s="149">
        <f t="shared" si="418"/>
        <v>0</v>
      </c>
      <c r="CB440" s="149">
        <f t="shared" si="419"/>
        <v>1</v>
      </c>
      <c r="CC440" s="149">
        <f t="shared" si="420"/>
        <v>0</v>
      </c>
      <c r="CD440" s="149">
        <f t="shared" si="421"/>
        <v>1</v>
      </c>
      <c r="CE440" s="149">
        <f t="shared" si="422"/>
        <v>0</v>
      </c>
      <c r="CF440" s="149">
        <f t="shared" si="423"/>
        <v>0</v>
      </c>
      <c r="CG440" s="149">
        <f t="shared" si="424"/>
        <v>0</v>
      </c>
      <c r="CH440" s="149">
        <f t="shared" si="425"/>
        <v>0</v>
      </c>
      <c r="CI440" s="149">
        <f t="shared" si="426"/>
        <v>1</v>
      </c>
      <c r="CJ440" s="149">
        <f t="shared" si="427"/>
        <v>1</v>
      </c>
      <c r="CK440" s="149">
        <f t="shared" si="428"/>
        <v>1</v>
      </c>
      <c r="CL440" s="149">
        <f t="shared" si="429"/>
        <v>1</v>
      </c>
      <c r="CM440" s="149">
        <f t="shared" si="430"/>
        <v>1</v>
      </c>
      <c r="CN440" s="149">
        <f t="shared" si="431"/>
        <v>1</v>
      </c>
      <c r="CO440" s="149">
        <f t="shared" si="432"/>
        <v>1</v>
      </c>
      <c r="CP440" s="149">
        <f t="shared" si="433"/>
        <v>1</v>
      </c>
      <c r="CQ440" s="149">
        <f t="shared" si="434"/>
        <v>1</v>
      </c>
      <c r="CR440" s="149">
        <f t="shared" si="435"/>
        <v>1</v>
      </c>
      <c r="CS440" s="149">
        <f t="shared" si="436"/>
        <v>1</v>
      </c>
      <c r="CT440" s="149">
        <f t="shared" si="437"/>
        <v>1</v>
      </c>
      <c r="CU440" s="149">
        <f t="shared" si="438"/>
        <v>1</v>
      </c>
      <c r="CV440" s="149">
        <f t="shared" si="439"/>
        <v>1</v>
      </c>
      <c r="CW440" s="149">
        <f t="shared" si="440"/>
        <v>1</v>
      </c>
      <c r="CX440" s="149">
        <f t="shared" si="441"/>
        <v>1</v>
      </c>
      <c r="CY440" s="149">
        <f t="shared" si="442"/>
        <v>1</v>
      </c>
      <c r="CZ440" s="149">
        <f t="shared" si="443"/>
        <v>1</v>
      </c>
      <c r="DA440" s="149">
        <f t="shared" si="444"/>
        <v>1</v>
      </c>
      <c r="DB440" s="149">
        <f t="shared" si="445"/>
        <v>1</v>
      </c>
      <c r="DG440" s="125" t="str">
        <f t="shared" si="296"/>
        <v/>
      </c>
      <c r="DH440" s="125" t="str">
        <f t="shared" si="458"/>
        <v/>
      </c>
      <c r="DI440" s="125" t="str">
        <f t="shared" si="458"/>
        <v/>
      </c>
      <c r="DJ440" s="125" t="str">
        <f t="shared" si="458"/>
        <v/>
      </c>
      <c r="DK440" s="125" t="str">
        <f t="shared" si="458"/>
        <v/>
      </c>
      <c r="DL440" s="125" t="str">
        <f t="shared" si="458"/>
        <v/>
      </c>
      <c r="DM440" s="125" t="str">
        <f t="shared" si="458"/>
        <v/>
      </c>
      <c r="DN440" s="125" t="str">
        <f t="shared" si="458"/>
        <v/>
      </c>
      <c r="DO440" s="125" t="str">
        <f t="shared" si="458"/>
        <v/>
      </c>
      <c r="DP440" s="125" t="str">
        <f t="shared" si="458"/>
        <v/>
      </c>
      <c r="DS440" s="137"/>
      <c r="DT440" s="137"/>
      <c r="DU440" s="137"/>
      <c r="DV440" s="137" t="b">
        <f t="shared" si="446"/>
        <v>0</v>
      </c>
      <c r="DW440" s="137" t="b">
        <f t="shared" si="447"/>
        <v>0</v>
      </c>
      <c r="DX440" s="137" t="b">
        <f t="shared" si="448"/>
        <v>1</v>
      </c>
      <c r="EB440" s="131">
        <f t="shared" si="449"/>
        <v>1</v>
      </c>
      <c r="EC440" s="137" t="b">
        <f t="shared" si="450"/>
        <v>0</v>
      </c>
      <c r="ED440" s="137" t="b">
        <f t="shared" si="451"/>
        <v>0</v>
      </c>
      <c r="EE440" s="137" t="b">
        <f t="shared" si="452"/>
        <v>1</v>
      </c>
      <c r="EF440" s="137"/>
      <c r="EG440" s="137"/>
      <c r="EH440" s="137"/>
      <c r="EI440" s="137"/>
      <c r="EJ440" s="137">
        <f t="shared" si="453"/>
        <v>1</v>
      </c>
      <c r="EK440" s="125" t="str">
        <f t="shared" si="454"/>
        <v/>
      </c>
      <c r="EL440" s="125" t="str">
        <f t="shared" si="455"/>
        <v/>
      </c>
    </row>
    <row r="441" spans="2:142" ht="15.75" x14ac:dyDescent="0.2">
      <c r="B441" s="160" t="str">
        <f t="shared" si="405"/>
        <v/>
      </c>
      <c r="C441" s="205"/>
      <c r="D441" s="205"/>
      <c r="E441" s="205"/>
      <c r="F441" s="118" t="str">
        <f>IF(OR(J441="",H441=""),"",VLOOKUP(J441,'הזנה לסיווג רשויות'!$B$2:$D$301,2,0))</f>
        <v/>
      </c>
      <c r="G441" s="118" t="str">
        <f>IF(OR(J441="",H441=""),"",VLOOKUP(J441,'הזנה לסיווג רשויות'!$B$2:$D$301,3,0))</f>
        <v/>
      </c>
      <c r="H441" s="201"/>
      <c r="I441" s="201"/>
      <c r="J441" s="205"/>
      <c r="K441" s="161"/>
      <c r="L441" s="161"/>
      <c r="M441" s="161"/>
      <c r="N441" s="161"/>
      <c r="O441" s="161"/>
      <c r="P441" s="161"/>
      <c r="Q441" s="161"/>
      <c r="R441" s="201"/>
      <c r="S441" s="201"/>
      <c r="T441" s="160" t="str">
        <f>IF(G441="","",IFERROR(IF(S441/R441&gt;'פרמטרים לקריטריונים'!$C$20,1,0),0))</f>
        <v/>
      </c>
      <c r="U441" s="201"/>
      <c r="V441" s="160" t="str">
        <f>IF(G441="","",IFERROR(IF(U441/R441&gt;'פרמטרים לקריטריונים'!$C$21,1,IF(AND(I441=$BW$5,U441/R441&gt;'פרמטרים לקריטריונים'!$C$22),1,0)),0))</f>
        <v/>
      </c>
      <c r="W441" s="161"/>
      <c r="X441" s="161"/>
      <c r="Y441" s="201"/>
      <c r="Z441" s="201"/>
      <c r="AA441" s="161" t="str">
        <f t="shared" si="457"/>
        <v/>
      </c>
      <c r="AB441" s="161"/>
      <c r="AC441" s="161"/>
      <c r="AD441" s="161"/>
      <c r="AE441" s="161"/>
      <c r="AF441" s="161"/>
      <c r="AG441" s="161"/>
      <c r="AH441" s="161"/>
      <c r="AI441" s="161"/>
      <c r="AJ441" s="161"/>
      <c r="AK441" s="161"/>
      <c r="AL441" s="161"/>
      <c r="AM441" s="161"/>
      <c r="AN441" s="161"/>
      <c r="AO441" s="161"/>
      <c r="AP441" s="161"/>
      <c r="AQ441" s="161"/>
      <c r="AR441" s="161"/>
      <c r="AS441" s="161"/>
      <c r="AT441" s="161"/>
      <c r="AU441" s="161"/>
      <c r="AV441" s="161"/>
      <c r="AW441" s="160"/>
      <c r="AX441" s="161"/>
      <c r="AY441" s="161"/>
      <c r="AZ441" s="161"/>
      <c r="BA441" s="161"/>
      <c r="BB441" s="161"/>
      <c r="BC441" s="161"/>
      <c r="BD441" s="161"/>
      <c r="BE441" s="161"/>
      <c r="BF441" s="160" t="str">
        <f t="shared" si="406"/>
        <v/>
      </c>
      <c r="BG441" s="160"/>
      <c r="BH441" s="160"/>
      <c r="BI441" s="160"/>
      <c r="BJ441" s="160"/>
      <c r="BK441" s="160"/>
      <c r="BL441" s="162" t="str">
        <f t="shared" si="407"/>
        <v/>
      </c>
      <c r="BM441" s="257"/>
      <c r="BN441" s="163"/>
      <c r="BO441" s="211" t="str">
        <f t="shared" si="408"/>
        <v/>
      </c>
      <c r="BP441" s="125">
        <f t="shared" si="409"/>
        <v>0</v>
      </c>
      <c r="BQ441" s="164">
        <v>0</v>
      </c>
      <c r="BR441" s="164">
        <v>1</v>
      </c>
      <c r="BS441" s="149">
        <f t="shared" si="410"/>
        <v>0</v>
      </c>
      <c r="BT441" s="149">
        <f t="shared" si="411"/>
        <v>0</v>
      </c>
      <c r="BU441" s="149">
        <f t="shared" si="412"/>
        <v>0</v>
      </c>
      <c r="BV441" s="149">
        <f t="shared" si="413"/>
        <v>0</v>
      </c>
      <c r="BW441" s="149">
        <f t="shared" si="414"/>
        <v>0</v>
      </c>
      <c r="BX441" s="149">
        <f t="shared" si="415"/>
        <v>0</v>
      </c>
      <c r="BY441" s="149">
        <f t="shared" si="416"/>
        <v>0</v>
      </c>
      <c r="BZ441" s="149">
        <f t="shared" si="417"/>
        <v>0</v>
      </c>
      <c r="CA441" s="149">
        <f t="shared" si="418"/>
        <v>0</v>
      </c>
      <c r="CB441" s="149">
        <f t="shared" si="419"/>
        <v>1</v>
      </c>
      <c r="CC441" s="149">
        <f t="shared" si="420"/>
        <v>0</v>
      </c>
      <c r="CD441" s="149">
        <f t="shared" si="421"/>
        <v>1</v>
      </c>
      <c r="CE441" s="149">
        <f t="shared" si="422"/>
        <v>0</v>
      </c>
      <c r="CF441" s="149">
        <f t="shared" si="423"/>
        <v>0</v>
      </c>
      <c r="CG441" s="149">
        <f t="shared" si="424"/>
        <v>0</v>
      </c>
      <c r="CH441" s="149">
        <f t="shared" si="425"/>
        <v>0</v>
      </c>
      <c r="CI441" s="149">
        <f t="shared" si="426"/>
        <v>1</v>
      </c>
      <c r="CJ441" s="149">
        <f t="shared" si="427"/>
        <v>1</v>
      </c>
      <c r="CK441" s="149">
        <f t="shared" si="428"/>
        <v>1</v>
      </c>
      <c r="CL441" s="149">
        <f t="shared" si="429"/>
        <v>1</v>
      </c>
      <c r="CM441" s="149">
        <f t="shared" si="430"/>
        <v>1</v>
      </c>
      <c r="CN441" s="149">
        <f t="shared" si="431"/>
        <v>1</v>
      </c>
      <c r="CO441" s="149">
        <f t="shared" si="432"/>
        <v>1</v>
      </c>
      <c r="CP441" s="149">
        <f t="shared" si="433"/>
        <v>1</v>
      </c>
      <c r="CQ441" s="149">
        <f t="shared" si="434"/>
        <v>1</v>
      </c>
      <c r="CR441" s="149">
        <f t="shared" si="435"/>
        <v>1</v>
      </c>
      <c r="CS441" s="149">
        <f t="shared" si="436"/>
        <v>1</v>
      </c>
      <c r="CT441" s="149">
        <f t="shared" si="437"/>
        <v>1</v>
      </c>
      <c r="CU441" s="149">
        <f t="shared" si="438"/>
        <v>1</v>
      </c>
      <c r="CV441" s="149">
        <f t="shared" si="439"/>
        <v>1</v>
      </c>
      <c r="CW441" s="149">
        <f t="shared" si="440"/>
        <v>1</v>
      </c>
      <c r="CX441" s="149">
        <f t="shared" si="441"/>
        <v>1</v>
      </c>
      <c r="CY441" s="149">
        <f t="shared" si="442"/>
        <v>1</v>
      </c>
      <c r="CZ441" s="149">
        <f t="shared" si="443"/>
        <v>1</v>
      </c>
      <c r="DA441" s="149">
        <f t="shared" si="444"/>
        <v>1</v>
      </c>
      <c r="DB441" s="149">
        <f t="shared" si="445"/>
        <v>1</v>
      </c>
      <c r="DG441" s="125" t="str">
        <f t="shared" si="296"/>
        <v/>
      </c>
      <c r="DH441" s="125" t="str">
        <f t="shared" si="458"/>
        <v/>
      </c>
      <c r="DI441" s="125" t="str">
        <f t="shared" si="458"/>
        <v/>
      </c>
      <c r="DJ441" s="125" t="str">
        <f t="shared" si="458"/>
        <v/>
      </c>
      <c r="DK441" s="125" t="str">
        <f t="shared" si="458"/>
        <v/>
      </c>
      <c r="DL441" s="125" t="str">
        <f t="shared" si="458"/>
        <v/>
      </c>
      <c r="DM441" s="125" t="str">
        <f t="shared" si="458"/>
        <v/>
      </c>
      <c r="DN441" s="125" t="str">
        <f t="shared" si="458"/>
        <v/>
      </c>
      <c r="DO441" s="125" t="str">
        <f t="shared" si="458"/>
        <v/>
      </c>
      <c r="DP441" s="125" t="str">
        <f t="shared" si="458"/>
        <v/>
      </c>
      <c r="DS441" s="137"/>
      <c r="DT441" s="137"/>
      <c r="DU441" s="137"/>
      <c r="DV441" s="137" t="b">
        <f t="shared" si="446"/>
        <v>0</v>
      </c>
      <c r="DW441" s="137" t="b">
        <f t="shared" si="447"/>
        <v>0</v>
      </c>
      <c r="DX441" s="137" t="b">
        <f t="shared" si="448"/>
        <v>1</v>
      </c>
      <c r="EB441" s="131">
        <f t="shared" si="449"/>
        <v>1</v>
      </c>
      <c r="EC441" s="137" t="b">
        <f t="shared" si="450"/>
        <v>0</v>
      </c>
      <c r="ED441" s="137" t="b">
        <f t="shared" si="451"/>
        <v>0</v>
      </c>
      <c r="EE441" s="137" t="b">
        <f t="shared" si="452"/>
        <v>1</v>
      </c>
      <c r="EF441" s="137"/>
      <c r="EG441" s="137"/>
      <c r="EH441" s="137"/>
      <c r="EI441" s="137"/>
      <c r="EJ441" s="137">
        <f t="shared" si="453"/>
        <v>1</v>
      </c>
      <c r="EK441" s="125" t="str">
        <f t="shared" si="454"/>
        <v/>
      </c>
      <c r="EL441" s="125" t="str">
        <f t="shared" si="455"/>
        <v/>
      </c>
    </row>
    <row r="442" spans="2:142" ht="15.75" x14ac:dyDescent="0.2">
      <c r="B442" s="160" t="str">
        <f t="shared" si="405"/>
        <v/>
      </c>
      <c r="C442" s="205"/>
      <c r="D442" s="205"/>
      <c r="E442" s="205"/>
      <c r="F442" s="118" t="str">
        <f>IF(OR(J442="",H442=""),"",VLOOKUP(J442,'הזנה לסיווג רשויות'!$B$2:$D$301,2,0))</f>
        <v/>
      </c>
      <c r="G442" s="118" t="str">
        <f>IF(OR(J442="",H442=""),"",VLOOKUP(J442,'הזנה לסיווג רשויות'!$B$2:$D$301,3,0))</f>
        <v/>
      </c>
      <c r="H442" s="201"/>
      <c r="I442" s="201"/>
      <c r="J442" s="205"/>
      <c r="K442" s="161"/>
      <c r="L442" s="161"/>
      <c r="M442" s="161"/>
      <c r="N442" s="161"/>
      <c r="O442" s="161"/>
      <c r="P442" s="161"/>
      <c r="Q442" s="161"/>
      <c r="R442" s="201"/>
      <c r="S442" s="201"/>
      <c r="T442" s="160" t="str">
        <f>IF(G442="","",IFERROR(IF(S442/R442&gt;'פרמטרים לקריטריונים'!$C$20,1,0),0))</f>
        <v/>
      </c>
      <c r="U442" s="201"/>
      <c r="V442" s="160" t="str">
        <f>IF(G442="","",IFERROR(IF(U442/R442&gt;'פרמטרים לקריטריונים'!$C$21,1,IF(AND(I442=$BW$5,U442/R442&gt;'פרמטרים לקריטריונים'!$C$22),1,0)),0))</f>
        <v/>
      </c>
      <c r="W442" s="161"/>
      <c r="X442" s="161"/>
      <c r="Y442" s="201"/>
      <c r="Z442" s="201"/>
      <c r="AA442" s="161" t="str">
        <f t="shared" si="457"/>
        <v/>
      </c>
      <c r="AB442" s="161"/>
      <c r="AC442" s="161"/>
      <c r="AD442" s="161"/>
      <c r="AE442" s="161"/>
      <c r="AF442" s="161"/>
      <c r="AG442" s="161"/>
      <c r="AH442" s="161"/>
      <c r="AI442" s="161"/>
      <c r="AJ442" s="161"/>
      <c r="AK442" s="161"/>
      <c r="AL442" s="161"/>
      <c r="AM442" s="161"/>
      <c r="AN442" s="161"/>
      <c r="AO442" s="161"/>
      <c r="AP442" s="161"/>
      <c r="AQ442" s="161"/>
      <c r="AR442" s="161"/>
      <c r="AS442" s="161"/>
      <c r="AT442" s="161"/>
      <c r="AU442" s="161"/>
      <c r="AV442" s="161"/>
      <c r="AW442" s="160"/>
      <c r="AX442" s="161"/>
      <c r="AY442" s="161"/>
      <c r="AZ442" s="161"/>
      <c r="BA442" s="161"/>
      <c r="BB442" s="161"/>
      <c r="BC442" s="161"/>
      <c r="BD442" s="161"/>
      <c r="BE442" s="161"/>
      <c r="BF442" s="160" t="str">
        <f t="shared" si="406"/>
        <v/>
      </c>
      <c r="BG442" s="160"/>
      <c r="BH442" s="160"/>
      <c r="BI442" s="160"/>
      <c r="BJ442" s="160"/>
      <c r="BK442" s="160"/>
      <c r="BL442" s="162" t="str">
        <f t="shared" si="407"/>
        <v/>
      </c>
      <c r="BM442" s="257"/>
      <c r="BN442" s="163"/>
      <c r="BO442" s="211" t="str">
        <f t="shared" si="408"/>
        <v/>
      </c>
      <c r="BP442" s="125">
        <f t="shared" si="409"/>
        <v>0</v>
      </c>
      <c r="BQ442" s="164">
        <v>0</v>
      </c>
      <c r="BR442" s="164">
        <v>1</v>
      </c>
      <c r="BS442" s="149">
        <f t="shared" si="410"/>
        <v>0</v>
      </c>
      <c r="BT442" s="149">
        <f t="shared" si="411"/>
        <v>0</v>
      </c>
      <c r="BU442" s="149">
        <f t="shared" si="412"/>
        <v>0</v>
      </c>
      <c r="BV442" s="149">
        <f t="shared" si="413"/>
        <v>0</v>
      </c>
      <c r="BW442" s="149">
        <f t="shared" si="414"/>
        <v>0</v>
      </c>
      <c r="BX442" s="149">
        <f t="shared" si="415"/>
        <v>0</v>
      </c>
      <c r="BY442" s="149">
        <f t="shared" si="416"/>
        <v>0</v>
      </c>
      <c r="BZ442" s="149">
        <f t="shared" si="417"/>
        <v>0</v>
      </c>
      <c r="CA442" s="149">
        <f t="shared" si="418"/>
        <v>0</v>
      </c>
      <c r="CB442" s="149">
        <f t="shared" si="419"/>
        <v>1</v>
      </c>
      <c r="CC442" s="149">
        <f t="shared" si="420"/>
        <v>0</v>
      </c>
      <c r="CD442" s="149">
        <f t="shared" si="421"/>
        <v>1</v>
      </c>
      <c r="CE442" s="149">
        <f t="shared" si="422"/>
        <v>0</v>
      </c>
      <c r="CF442" s="149">
        <f t="shared" si="423"/>
        <v>0</v>
      </c>
      <c r="CG442" s="149">
        <f t="shared" si="424"/>
        <v>0</v>
      </c>
      <c r="CH442" s="149">
        <f t="shared" si="425"/>
        <v>0</v>
      </c>
      <c r="CI442" s="149">
        <f t="shared" si="426"/>
        <v>1</v>
      </c>
      <c r="CJ442" s="149">
        <f t="shared" si="427"/>
        <v>1</v>
      </c>
      <c r="CK442" s="149">
        <f t="shared" si="428"/>
        <v>1</v>
      </c>
      <c r="CL442" s="149">
        <f t="shared" si="429"/>
        <v>1</v>
      </c>
      <c r="CM442" s="149">
        <f t="shared" si="430"/>
        <v>1</v>
      </c>
      <c r="CN442" s="149">
        <f t="shared" si="431"/>
        <v>1</v>
      </c>
      <c r="CO442" s="149">
        <f t="shared" si="432"/>
        <v>1</v>
      </c>
      <c r="CP442" s="149">
        <f t="shared" si="433"/>
        <v>1</v>
      </c>
      <c r="CQ442" s="149">
        <f t="shared" si="434"/>
        <v>1</v>
      </c>
      <c r="CR442" s="149">
        <f t="shared" si="435"/>
        <v>1</v>
      </c>
      <c r="CS442" s="149">
        <f t="shared" si="436"/>
        <v>1</v>
      </c>
      <c r="CT442" s="149">
        <f t="shared" si="437"/>
        <v>1</v>
      </c>
      <c r="CU442" s="149">
        <f t="shared" si="438"/>
        <v>1</v>
      </c>
      <c r="CV442" s="149">
        <f t="shared" si="439"/>
        <v>1</v>
      </c>
      <c r="CW442" s="149">
        <f t="shared" si="440"/>
        <v>1</v>
      </c>
      <c r="CX442" s="149">
        <f t="shared" si="441"/>
        <v>1</v>
      </c>
      <c r="CY442" s="149">
        <f t="shared" si="442"/>
        <v>1</v>
      </c>
      <c r="CZ442" s="149">
        <f t="shared" si="443"/>
        <v>1</v>
      </c>
      <c r="DA442" s="149">
        <f t="shared" si="444"/>
        <v>1</v>
      </c>
      <c r="DB442" s="149">
        <f t="shared" si="445"/>
        <v>1</v>
      </c>
      <c r="DG442" s="125" t="str">
        <f t="shared" si="296"/>
        <v/>
      </c>
      <c r="DH442" s="125" t="str">
        <f t="shared" si="458"/>
        <v/>
      </c>
      <c r="DI442" s="125" t="str">
        <f t="shared" si="458"/>
        <v/>
      </c>
      <c r="DJ442" s="125" t="str">
        <f t="shared" si="458"/>
        <v/>
      </c>
      <c r="DK442" s="125" t="str">
        <f t="shared" si="458"/>
        <v/>
      </c>
      <c r="DL442" s="125" t="str">
        <f t="shared" si="458"/>
        <v/>
      </c>
      <c r="DM442" s="125" t="str">
        <f t="shared" si="458"/>
        <v/>
      </c>
      <c r="DN442" s="125" t="str">
        <f t="shared" si="458"/>
        <v/>
      </c>
      <c r="DO442" s="125" t="str">
        <f t="shared" si="458"/>
        <v/>
      </c>
      <c r="DP442" s="125" t="str">
        <f t="shared" si="458"/>
        <v/>
      </c>
      <c r="DS442" s="137"/>
      <c r="DT442" s="137"/>
      <c r="DU442" s="137"/>
      <c r="DV442" s="137" t="b">
        <f t="shared" si="446"/>
        <v>0</v>
      </c>
      <c r="DW442" s="137" t="b">
        <f t="shared" si="447"/>
        <v>0</v>
      </c>
      <c r="DX442" s="137" t="b">
        <f t="shared" si="448"/>
        <v>1</v>
      </c>
      <c r="EB442" s="131">
        <f t="shared" si="449"/>
        <v>1</v>
      </c>
      <c r="EC442" s="137" t="b">
        <f t="shared" si="450"/>
        <v>0</v>
      </c>
      <c r="ED442" s="137" t="b">
        <f t="shared" si="451"/>
        <v>0</v>
      </c>
      <c r="EE442" s="137" t="b">
        <f t="shared" si="452"/>
        <v>1</v>
      </c>
      <c r="EF442" s="137"/>
      <c r="EG442" s="137"/>
      <c r="EH442" s="137"/>
      <c r="EI442" s="137"/>
      <c r="EJ442" s="137">
        <f t="shared" si="453"/>
        <v>1</v>
      </c>
      <c r="EK442" s="125" t="str">
        <f t="shared" si="454"/>
        <v/>
      </c>
      <c r="EL442" s="125" t="str">
        <f t="shared" si="455"/>
        <v/>
      </c>
    </row>
    <row r="443" spans="2:142" ht="15.75" x14ac:dyDescent="0.2">
      <c r="B443" s="160" t="str">
        <f t="shared" si="405"/>
        <v/>
      </c>
      <c r="C443" s="205"/>
      <c r="D443" s="205"/>
      <c r="E443" s="205"/>
      <c r="F443" s="118" t="str">
        <f>IF(OR(J443="",H443=""),"",VLOOKUP(J443,'הזנה לסיווג רשויות'!$B$2:$D$301,2,0))</f>
        <v/>
      </c>
      <c r="G443" s="118" t="str">
        <f>IF(OR(J443="",H443=""),"",VLOOKUP(J443,'הזנה לסיווג רשויות'!$B$2:$D$301,3,0))</f>
        <v/>
      </c>
      <c r="H443" s="201"/>
      <c r="I443" s="201"/>
      <c r="J443" s="205"/>
      <c r="K443" s="161"/>
      <c r="L443" s="161"/>
      <c r="M443" s="161"/>
      <c r="N443" s="161"/>
      <c r="O443" s="161"/>
      <c r="P443" s="161"/>
      <c r="Q443" s="161"/>
      <c r="R443" s="201"/>
      <c r="S443" s="201"/>
      <c r="T443" s="160" t="str">
        <f>IF(G443="","",IFERROR(IF(S443/R443&gt;'פרמטרים לקריטריונים'!$C$20,1,0),0))</f>
        <v/>
      </c>
      <c r="U443" s="201"/>
      <c r="V443" s="160" t="str">
        <f>IF(G443="","",IFERROR(IF(U443/R443&gt;'פרמטרים לקריטריונים'!$C$21,1,IF(AND(I443=$BW$5,U443/R443&gt;'פרמטרים לקריטריונים'!$C$22),1,0)),0))</f>
        <v/>
      </c>
      <c r="W443" s="161"/>
      <c r="X443" s="161"/>
      <c r="Y443" s="201"/>
      <c r="Z443" s="201"/>
      <c r="AA443" s="161" t="str">
        <f t="shared" si="457"/>
        <v/>
      </c>
      <c r="AB443" s="161"/>
      <c r="AC443" s="161"/>
      <c r="AD443" s="161"/>
      <c r="AE443" s="161"/>
      <c r="AF443" s="161"/>
      <c r="AG443" s="161"/>
      <c r="AH443" s="161"/>
      <c r="AI443" s="161"/>
      <c r="AJ443" s="161"/>
      <c r="AK443" s="161"/>
      <c r="AL443" s="161"/>
      <c r="AM443" s="161"/>
      <c r="AN443" s="161"/>
      <c r="AO443" s="161"/>
      <c r="AP443" s="161"/>
      <c r="AQ443" s="161"/>
      <c r="AR443" s="161"/>
      <c r="AS443" s="161"/>
      <c r="AT443" s="161"/>
      <c r="AU443" s="161"/>
      <c r="AV443" s="161"/>
      <c r="AW443" s="160"/>
      <c r="AX443" s="161"/>
      <c r="AY443" s="161"/>
      <c r="AZ443" s="161"/>
      <c r="BA443" s="161"/>
      <c r="BB443" s="161"/>
      <c r="BC443" s="161"/>
      <c r="BD443" s="161"/>
      <c r="BE443" s="161"/>
      <c r="BF443" s="160" t="str">
        <f t="shared" si="406"/>
        <v/>
      </c>
      <c r="BG443" s="160"/>
      <c r="BH443" s="160"/>
      <c r="BI443" s="160"/>
      <c r="BJ443" s="160"/>
      <c r="BK443" s="160"/>
      <c r="BL443" s="162" t="str">
        <f t="shared" si="407"/>
        <v/>
      </c>
      <c r="BM443" s="257"/>
      <c r="BN443" s="163"/>
      <c r="BO443" s="211" t="str">
        <f t="shared" si="408"/>
        <v/>
      </c>
      <c r="BP443" s="125">
        <f t="shared" si="409"/>
        <v>0</v>
      </c>
      <c r="BQ443" s="164">
        <v>0</v>
      </c>
      <c r="BR443" s="164">
        <v>1</v>
      </c>
      <c r="BS443" s="149">
        <f t="shared" si="410"/>
        <v>0</v>
      </c>
      <c r="BT443" s="149">
        <f t="shared" si="411"/>
        <v>0</v>
      </c>
      <c r="BU443" s="149">
        <f t="shared" si="412"/>
        <v>0</v>
      </c>
      <c r="BV443" s="149">
        <f t="shared" si="413"/>
        <v>0</v>
      </c>
      <c r="BW443" s="149">
        <f t="shared" si="414"/>
        <v>0</v>
      </c>
      <c r="BX443" s="149">
        <f t="shared" si="415"/>
        <v>0</v>
      </c>
      <c r="BY443" s="149">
        <f t="shared" si="416"/>
        <v>0</v>
      </c>
      <c r="BZ443" s="149">
        <f t="shared" si="417"/>
        <v>0</v>
      </c>
      <c r="CA443" s="149">
        <f t="shared" si="418"/>
        <v>0</v>
      </c>
      <c r="CB443" s="149">
        <f t="shared" si="419"/>
        <v>1</v>
      </c>
      <c r="CC443" s="149">
        <f t="shared" si="420"/>
        <v>0</v>
      </c>
      <c r="CD443" s="149">
        <f t="shared" si="421"/>
        <v>1</v>
      </c>
      <c r="CE443" s="149">
        <f t="shared" si="422"/>
        <v>0</v>
      </c>
      <c r="CF443" s="149">
        <f t="shared" si="423"/>
        <v>0</v>
      </c>
      <c r="CG443" s="149">
        <f t="shared" si="424"/>
        <v>0</v>
      </c>
      <c r="CH443" s="149">
        <f t="shared" si="425"/>
        <v>0</v>
      </c>
      <c r="CI443" s="149">
        <f t="shared" si="426"/>
        <v>1</v>
      </c>
      <c r="CJ443" s="149">
        <f t="shared" si="427"/>
        <v>1</v>
      </c>
      <c r="CK443" s="149">
        <f t="shared" si="428"/>
        <v>1</v>
      </c>
      <c r="CL443" s="149">
        <f t="shared" si="429"/>
        <v>1</v>
      </c>
      <c r="CM443" s="149">
        <f t="shared" si="430"/>
        <v>1</v>
      </c>
      <c r="CN443" s="149">
        <f t="shared" si="431"/>
        <v>1</v>
      </c>
      <c r="CO443" s="149">
        <f t="shared" si="432"/>
        <v>1</v>
      </c>
      <c r="CP443" s="149">
        <f t="shared" si="433"/>
        <v>1</v>
      </c>
      <c r="CQ443" s="149">
        <f t="shared" si="434"/>
        <v>1</v>
      </c>
      <c r="CR443" s="149">
        <f t="shared" si="435"/>
        <v>1</v>
      </c>
      <c r="CS443" s="149">
        <f t="shared" si="436"/>
        <v>1</v>
      </c>
      <c r="CT443" s="149">
        <f t="shared" si="437"/>
        <v>1</v>
      </c>
      <c r="CU443" s="149">
        <f t="shared" si="438"/>
        <v>1</v>
      </c>
      <c r="CV443" s="149">
        <f t="shared" si="439"/>
        <v>1</v>
      </c>
      <c r="CW443" s="149">
        <f t="shared" si="440"/>
        <v>1</v>
      </c>
      <c r="CX443" s="149">
        <f t="shared" si="441"/>
        <v>1</v>
      </c>
      <c r="CY443" s="149">
        <f t="shared" si="442"/>
        <v>1</v>
      </c>
      <c r="CZ443" s="149">
        <f t="shared" si="443"/>
        <v>1</v>
      </c>
      <c r="DA443" s="149">
        <f t="shared" si="444"/>
        <v>1</v>
      </c>
      <c r="DB443" s="149">
        <f t="shared" si="445"/>
        <v>1</v>
      </c>
      <c r="DG443" s="125" t="str">
        <f t="shared" si="296"/>
        <v/>
      </c>
      <c r="DH443" s="125" t="str">
        <f t="shared" si="458"/>
        <v/>
      </c>
      <c r="DI443" s="125" t="str">
        <f t="shared" si="458"/>
        <v/>
      </c>
      <c r="DJ443" s="125" t="str">
        <f t="shared" si="458"/>
        <v/>
      </c>
      <c r="DK443" s="125" t="str">
        <f t="shared" si="458"/>
        <v/>
      </c>
      <c r="DL443" s="125" t="str">
        <f t="shared" si="458"/>
        <v/>
      </c>
      <c r="DM443" s="125" t="str">
        <f t="shared" si="458"/>
        <v/>
      </c>
      <c r="DN443" s="125" t="str">
        <f t="shared" si="458"/>
        <v/>
      </c>
      <c r="DO443" s="125" t="str">
        <f t="shared" si="458"/>
        <v/>
      </c>
      <c r="DP443" s="125" t="str">
        <f t="shared" si="458"/>
        <v/>
      </c>
      <c r="DS443" s="137"/>
      <c r="DT443" s="137"/>
      <c r="DU443" s="137"/>
      <c r="DV443" s="137" t="b">
        <f t="shared" si="446"/>
        <v>0</v>
      </c>
      <c r="DW443" s="137" t="b">
        <f t="shared" si="447"/>
        <v>0</v>
      </c>
      <c r="DX443" s="137" t="b">
        <f t="shared" si="448"/>
        <v>1</v>
      </c>
      <c r="EB443" s="131">
        <f t="shared" si="449"/>
        <v>1</v>
      </c>
      <c r="EC443" s="137" t="b">
        <f t="shared" si="450"/>
        <v>0</v>
      </c>
      <c r="ED443" s="137" t="b">
        <f t="shared" si="451"/>
        <v>0</v>
      </c>
      <c r="EE443" s="137" t="b">
        <f t="shared" si="452"/>
        <v>1</v>
      </c>
      <c r="EF443" s="137"/>
      <c r="EG443" s="137"/>
      <c r="EH443" s="137"/>
      <c r="EI443" s="137"/>
      <c r="EJ443" s="137">
        <f t="shared" si="453"/>
        <v>1</v>
      </c>
      <c r="EK443" s="125" t="str">
        <f t="shared" si="454"/>
        <v/>
      </c>
      <c r="EL443" s="125" t="str">
        <f t="shared" si="455"/>
        <v/>
      </c>
    </row>
    <row r="444" spans="2:142" ht="15.75" x14ac:dyDescent="0.2">
      <c r="B444" s="160" t="str">
        <f t="shared" si="405"/>
        <v/>
      </c>
      <c r="C444" s="205"/>
      <c r="D444" s="205"/>
      <c r="E444" s="205"/>
      <c r="F444" s="118" t="str">
        <f>IF(OR(J444="",H444=""),"",VLOOKUP(J444,'הזנה לסיווג רשויות'!$B$2:$D$301,2,0))</f>
        <v/>
      </c>
      <c r="G444" s="118" t="str">
        <f>IF(OR(J444="",H444=""),"",VLOOKUP(J444,'הזנה לסיווג רשויות'!$B$2:$D$301,3,0))</f>
        <v/>
      </c>
      <c r="H444" s="201"/>
      <c r="I444" s="201"/>
      <c r="J444" s="205"/>
      <c r="K444" s="161"/>
      <c r="L444" s="161"/>
      <c r="M444" s="161"/>
      <c r="N444" s="161"/>
      <c r="O444" s="161"/>
      <c r="P444" s="161"/>
      <c r="Q444" s="161"/>
      <c r="R444" s="201"/>
      <c r="S444" s="201"/>
      <c r="T444" s="160" t="str">
        <f>IF(G444="","",IFERROR(IF(S444/R444&gt;'פרמטרים לקריטריונים'!$C$20,1,0),0))</f>
        <v/>
      </c>
      <c r="U444" s="201"/>
      <c r="V444" s="160" t="str">
        <f>IF(G444="","",IFERROR(IF(U444/R444&gt;'פרמטרים לקריטריונים'!$C$21,1,IF(AND(I444=$BW$5,U444/R444&gt;'פרמטרים לקריטריונים'!$C$22),1,0)),0))</f>
        <v/>
      </c>
      <c r="W444" s="161"/>
      <c r="X444" s="161"/>
      <c r="Y444" s="201"/>
      <c r="Z444" s="201"/>
      <c r="AA444" s="161" t="str">
        <f t="shared" si="457"/>
        <v/>
      </c>
      <c r="AB444" s="161"/>
      <c r="AC444" s="161"/>
      <c r="AD444" s="161"/>
      <c r="AE444" s="161"/>
      <c r="AF444" s="161"/>
      <c r="AG444" s="161"/>
      <c r="AH444" s="161"/>
      <c r="AI444" s="161"/>
      <c r="AJ444" s="161"/>
      <c r="AK444" s="161"/>
      <c r="AL444" s="161"/>
      <c r="AM444" s="161"/>
      <c r="AN444" s="161"/>
      <c r="AO444" s="161"/>
      <c r="AP444" s="161"/>
      <c r="AQ444" s="161"/>
      <c r="AR444" s="161"/>
      <c r="AS444" s="161"/>
      <c r="AT444" s="161"/>
      <c r="AU444" s="161"/>
      <c r="AV444" s="161"/>
      <c r="AW444" s="160"/>
      <c r="AX444" s="161"/>
      <c r="AY444" s="161"/>
      <c r="AZ444" s="161"/>
      <c r="BA444" s="161"/>
      <c r="BB444" s="161"/>
      <c r="BC444" s="161"/>
      <c r="BD444" s="161"/>
      <c r="BE444" s="161"/>
      <c r="BF444" s="160" t="str">
        <f t="shared" si="406"/>
        <v/>
      </c>
      <c r="BG444" s="160"/>
      <c r="BH444" s="160"/>
      <c r="BI444" s="160"/>
      <c r="BJ444" s="160"/>
      <c r="BK444" s="160"/>
      <c r="BL444" s="162" t="str">
        <f t="shared" si="407"/>
        <v/>
      </c>
      <c r="BM444" s="257"/>
      <c r="BN444" s="163"/>
      <c r="BO444" s="211" t="str">
        <f t="shared" si="408"/>
        <v/>
      </c>
      <c r="BP444" s="125">
        <f t="shared" si="409"/>
        <v>0</v>
      </c>
      <c r="BQ444" s="164">
        <v>0</v>
      </c>
      <c r="BR444" s="164">
        <v>1</v>
      </c>
      <c r="BS444" s="149">
        <f t="shared" si="410"/>
        <v>0</v>
      </c>
      <c r="BT444" s="149">
        <f t="shared" si="411"/>
        <v>0</v>
      </c>
      <c r="BU444" s="149">
        <f t="shared" si="412"/>
        <v>0</v>
      </c>
      <c r="BV444" s="149">
        <f t="shared" si="413"/>
        <v>0</v>
      </c>
      <c r="BW444" s="149">
        <f t="shared" si="414"/>
        <v>0</v>
      </c>
      <c r="BX444" s="149">
        <f t="shared" si="415"/>
        <v>0</v>
      </c>
      <c r="BY444" s="149">
        <f t="shared" si="416"/>
        <v>0</v>
      </c>
      <c r="BZ444" s="149">
        <f t="shared" si="417"/>
        <v>0</v>
      </c>
      <c r="CA444" s="149">
        <f t="shared" si="418"/>
        <v>0</v>
      </c>
      <c r="CB444" s="149">
        <f t="shared" si="419"/>
        <v>1</v>
      </c>
      <c r="CC444" s="149">
        <f t="shared" si="420"/>
        <v>0</v>
      </c>
      <c r="CD444" s="149">
        <f t="shared" si="421"/>
        <v>1</v>
      </c>
      <c r="CE444" s="149">
        <f t="shared" si="422"/>
        <v>0</v>
      </c>
      <c r="CF444" s="149">
        <f t="shared" si="423"/>
        <v>0</v>
      </c>
      <c r="CG444" s="149">
        <f t="shared" si="424"/>
        <v>0</v>
      </c>
      <c r="CH444" s="149">
        <f t="shared" si="425"/>
        <v>0</v>
      </c>
      <c r="CI444" s="149">
        <f t="shared" si="426"/>
        <v>1</v>
      </c>
      <c r="CJ444" s="149">
        <f t="shared" si="427"/>
        <v>1</v>
      </c>
      <c r="CK444" s="149">
        <f t="shared" si="428"/>
        <v>1</v>
      </c>
      <c r="CL444" s="149">
        <f t="shared" si="429"/>
        <v>1</v>
      </c>
      <c r="CM444" s="149">
        <f t="shared" si="430"/>
        <v>1</v>
      </c>
      <c r="CN444" s="149">
        <f t="shared" si="431"/>
        <v>1</v>
      </c>
      <c r="CO444" s="149">
        <f t="shared" si="432"/>
        <v>1</v>
      </c>
      <c r="CP444" s="149">
        <f t="shared" si="433"/>
        <v>1</v>
      </c>
      <c r="CQ444" s="149">
        <f t="shared" si="434"/>
        <v>1</v>
      </c>
      <c r="CR444" s="149">
        <f t="shared" si="435"/>
        <v>1</v>
      </c>
      <c r="CS444" s="149">
        <f t="shared" si="436"/>
        <v>1</v>
      </c>
      <c r="CT444" s="149">
        <f t="shared" si="437"/>
        <v>1</v>
      </c>
      <c r="CU444" s="149">
        <f t="shared" si="438"/>
        <v>1</v>
      </c>
      <c r="CV444" s="149">
        <f t="shared" si="439"/>
        <v>1</v>
      </c>
      <c r="CW444" s="149">
        <f t="shared" si="440"/>
        <v>1</v>
      </c>
      <c r="CX444" s="149">
        <f t="shared" si="441"/>
        <v>1</v>
      </c>
      <c r="CY444" s="149">
        <f t="shared" si="442"/>
        <v>1</v>
      </c>
      <c r="CZ444" s="149">
        <f t="shared" si="443"/>
        <v>1</v>
      </c>
      <c r="DA444" s="149">
        <f t="shared" si="444"/>
        <v>1</v>
      </c>
      <c r="DB444" s="149">
        <f t="shared" si="445"/>
        <v>1</v>
      </c>
      <c r="DG444" s="125" t="str">
        <f t="shared" si="296"/>
        <v/>
      </c>
      <c r="DH444" s="125" t="str">
        <f t="shared" si="458"/>
        <v/>
      </c>
      <c r="DI444" s="125" t="str">
        <f t="shared" si="458"/>
        <v/>
      </c>
      <c r="DJ444" s="125" t="str">
        <f t="shared" si="458"/>
        <v/>
      </c>
      <c r="DK444" s="125" t="str">
        <f t="shared" si="458"/>
        <v/>
      </c>
      <c r="DL444" s="125" t="str">
        <f t="shared" si="458"/>
        <v/>
      </c>
      <c r="DM444" s="125" t="str">
        <f t="shared" si="458"/>
        <v/>
      </c>
      <c r="DN444" s="125" t="str">
        <f t="shared" si="458"/>
        <v/>
      </c>
      <c r="DO444" s="125" t="str">
        <f t="shared" si="458"/>
        <v/>
      </c>
      <c r="DP444" s="125" t="str">
        <f t="shared" si="458"/>
        <v/>
      </c>
      <c r="DS444" s="137"/>
      <c r="DT444" s="137"/>
      <c r="DU444" s="137"/>
      <c r="DV444" s="137" t="b">
        <f t="shared" si="446"/>
        <v>0</v>
      </c>
      <c r="DW444" s="137" t="b">
        <f t="shared" si="447"/>
        <v>0</v>
      </c>
      <c r="DX444" s="137" t="b">
        <f t="shared" si="448"/>
        <v>1</v>
      </c>
      <c r="EB444" s="131">
        <f t="shared" si="449"/>
        <v>1</v>
      </c>
      <c r="EC444" s="137" t="b">
        <f t="shared" si="450"/>
        <v>0</v>
      </c>
      <c r="ED444" s="137" t="b">
        <f t="shared" si="451"/>
        <v>0</v>
      </c>
      <c r="EE444" s="137" t="b">
        <f t="shared" si="452"/>
        <v>1</v>
      </c>
      <c r="EF444" s="137"/>
      <c r="EG444" s="137"/>
      <c r="EH444" s="137"/>
      <c r="EI444" s="137"/>
      <c r="EJ444" s="137">
        <f t="shared" si="453"/>
        <v>1</v>
      </c>
      <c r="EK444" s="125" t="str">
        <f t="shared" si="454"/>
        <v/>
      </c>
      <c r="EL444" s="125" t="str">
        <f t="shared" si="455"/>
        <v/>
      </c>
    </row>
    <row r="445" spans="2:142" ht="15.75" x14ac:dyDescent="0.2">
      <c r="B445" s="160" t="str">
        <f t="shared" si="405"/>
        <v/>
      </c>
      <c r="C445" s="205"/>
      <c r="D445" s="205"/>
      <c r="E445" s="205"/>
      <c r="F445" s="118" t="str">
        <f>IF(OR(J445="",H445=""),"",VLOOKUP(J445,'הזנה לסיווג רשויות'!$B$2:$D$301,2,0))</f>
        <v/>
      </c>
      <c r="G445" s="118" t="str">
        <f>IF(OR(J445="",H445=""),"",VLOOKUP(J445,'הזנה לסיווג רשויות'!$B$2:$D$301,3,0))</f>
        <v/>
      </c>
      <c r="H445" s="201"/>
      <c r="I445" s="201"/>
      <c r="J445" s="205"/>
      <c r="K445" s="161"/>
      <c r="L445" s="161"/>
      <c r="M445" s="161"/>
      <c r="N445" s="161"/>
      <c r="O445" s="161"/>
      <c r="P445" s="161"/>
      <c r="Q445" s="161"/>
      <c r="R445" s="201"/>
      <c r="S445" s="201"/>
      <c r="T445" s="160" t="str">
        <f>IF(G445="","",IFERROR(IF(S445/R445&gt;'פרמטרים לקריטריונים'!$C$20,1,0),0))</f>
        <v/>
      </c>
      <c r="U445" s="201"/>
      <c r="V445" s="160" t="str">
        <f>IF(G445="","",IFERROR(IF(U445/R445&gt;'פרמטרים לקריטריונים'!$C$21,1,IF(AND(I445=$BW$5,U445/R445&gt;'פרמטרים לקריטריונים'!$C$22),1,0)),0))</f>
        <v/>
      </c>
      <c r="W445" s="161"/>
      <c r="X445" s="161"/>
      <c r="Y445" s="201"/>
      <c r="Z445" s="201"/>
      <c r="AA445" s="161" t="str">
        <f t="shared" si="457"/>
        <v/>
      </c>
      <c r="AB445" s="161"/>
      <c r="AC445" s="161"/>
      <c r="AD445" s="161"/>
      <c r="AE445" s="161"/>
      <c r="AF445" s="161"/>
      <c r="AG445" s="161"/>
      <c r="AH445" s="161"/>
      <c r="AI445" s="161"/>
      <c r="AJ445" s="161"/>
      <c r="AK445" s="161"/>
      <c r="AL445" s="161"/>
      <c r="AM445" s="161"/>
      <c r="AN445" s="161"/>
      <c r="AO445" s="161"/>
      <c r="AP445" s="161"/>
      <c r="AQ445" s="161"/>
      <c r="AR445" s="161"/>
      <c r="AS445" s="161"/>
      <c r="AT445" s="161"/>
      <c r="AU445" s="161"/>
      <c r="AV445" s="161"/>
      <c r="AW445" s="160"/>
      <c r="AX445" s="161"/>
      <c r="AY445" s="161"/>
      <c r="AZ445" s="161"/>
      <c r="BA445" s="161"/>
      <c r="BB445" s="161"/>
      <c r="BC445" s="161"/>
      <c r="BD445" s="161"/>
      <c r="BE445" s="161"/>
      <c r="BF445" s="160" t="str">
        <f t="shared" si="406"/>
        <v/>
      </c>
      <c r="BG445" s="160"/>
      <c r="BH445" s="160"/>
      <c r="BI445" s="160"/>
      <c r="BJ445" s="160"/>
      <c r="BK445" s="160"/>
      <c r="BL445" s="162" t="str">
        <f t="shared" si="407"/>
        <v/>
      </c>
      <c r="BM445" s="257"/>
      <c r="BN445" s="163"/>
      <c r="BO445" s="211" t="str">
        <f t="shared" si="408"/>
        <v/>
      </c>
      <c r="BP445" s="125">
        <f t="shared" si="409"/>
        <v>0</v>
      </c>
      <c r="BQ445" s="164">
        <v>0</v>
      </c>
      <c r="BR445" s="164">
        <v>1</v>
      </c>
      <c r="BS445" s="149">
        <f t="shared" si="410"/>
        <v>0</v>
      </c>
      <c r="BT445" s="149">
        <f t="shared" si="411"/>
        <v>0</v>
      </c>
      <c r="BU445" s="149">
        <f t="shared" si="412"/>
        <v>0</v>
      </c>
      <c r="BV445" s="149">
        <f t="shared" si="413"/>
        <v>0</v>
      </c>
      <c r="BW445" s="149">
        <f t="shared" si="414"/>
        <v>0</v>
      </c>
      <c r="BX445" s="149">
        <f t="shared" si="415"/>
        <v>0</v>
      </c>
      <c r="BY445" s="149">
        <f t="shared" si="416"/>
        <v>0</v>
      </c>
      <c r="BZ445" s="149">
        <f t="shared" si="417"/>
        <v>0</v>
      </c>
      <c r="CA445" s="149">
        <f t="shared" si="418"/>
        <v>0</v>
      </c>
      <c r="CB445" s="149">
        <f t="shared" si="419"/>
        <v>1</v>
      </c>
      <c r="CC445" s="149">
        <f t="shared" si="420"/>
        <v>0</v>
      </c>
      <c r="CD445" s="149">
        <f t="shared" si="421"/>
        <v>1</v>
      </c>
      <c r="CE445" s="149">
        <f t="shared" si="422"/>
        <v>0</v>
      </c>
      <c r="CF445" s="149">
        <f t="shared" si="423"/>
        <v>0</v>
      </c>
      <c r="CG445" s="149">
        <f t="shared" si="424"/>
        <v>0</v>
      </c>
      <c r="CH445" s="149">
        <f t="shared" si="425"/>
        <v>0</v>
      </c>
      <c r="CI445" s="149">
        <f t="shared" si="426"/>
        <v>1</v>
      </c>
      <c r="CJ445" s="149">
        <f t="shared" si="427"/>
        <v>1</v>
      </c>
      <c r="CK445" s="149">
        <f t="shared" si="428"/>
        <v>1</v>
      </c>
      <c r="CL445" s="149">
        <f t="shared" si="429"/>
        <v>1</v>
      </c>
      <c r="CM445" s="149">
        <f t="shared" si="430"/>
        <v>1</v>
      </c>
      <c r="CN445" s="149">
        <f t="shared" si="431"/>
        <v>1</v>
      </c>
      <c r="CO445" s="149">
        <f t="shared" si="432"/>
        <v>1</v>
      </c>
      <c r="CP445" s="149">
        <f t="shared" si="433"/>
        <v>1</v>
      </c>
      <c r="CQ445" s="149">
        <f t="shared" si="434"/>
        <v>1</v>
      </c>
      <c r="CR445" s="149">
        <f t="shared" si="435"/>
        <v>1</v>
      </c>
      <c r="CS445" s="149">
        <f t="shared" si="436"/>
        <v>1</v>
      </c>
      <c r="CT445" s="149">
        <f t="shared" si="437"/>
        <v>1</v>
      </c>
      <c r="CU445" s="149">
        <f t="shared" si="438"/>
        <v>1</v>
      </c>
      <c r="CV445" s="149">
        <f t="shared" si="439"/>
        <v>1</v>
      </c>
      <c r="CW445" s="149">
        <f t="shared" si="440"/>
        <v>1</v>
      </c>
      <c r="CX445" s="149">
        <f t="shared" si="441"/>
        <v>1</v>
      </c>
      <c r="CY445" s="149">
        <f t="shared" si="442"/>
        <v>1</v>
      </c>
      <c r="CZ445" s="149">
        <f t="shared" si="443"/>
        <v>1</v>
      </c>
      <c r="DA445" s="149">
        <f t="shared" si="444"/>
        <v>1</v>
      </c>
      <c r="DB445" s="149">
        <f t="shared" si="445"/>
        <v>1</v>
      </c>
      <c r="DG445" s="125" t="str">
        <f t="shared" si="296"/>
        <v/>
      </c>
      <c r="DH445" s="125" t="str">
        <f t="shared" si="458"/>
        <v/>
      </c>
      <c r="DI445" s="125" t="str">
        <f t="shared" si="458"/>
        <v/>
      </c>
      <c r="DJ445" s="125" t="str">
        <f t="shared" si="458"/>
        <v/>
      </c>
      <c r="DK445" s="125" t="str">
        <f t="shared" si="458"/>
        <v/>
      </c>
      <c r="DL445" s="125" t="str">
        <f t="shared" si="458"/>
        <v/>
      </c>
      <c r="DM445" s="125" t="str">
        <f t="shared" si="458"/>
        <v/>
      </c>
      <c r="DN445" s="125" t="str">
        <f t="shared" si="458"/>
        <v/>
      </c>
      <c r="DO445" s="125" t="str">
        <f t="shared" si="458"/>
        <v/>
      </c>
      <c r="DP445" s="125" t="str">
        <f t="shared" si="458"/>
        <v/>
      </c>
      <c r="DS445" s="137"/>
      <c r="DT445" s="137"/>
      <c r="DU445" s="137"/>
      <c r="DV445" s="137" t="b">
        <f t="shared" si="446"/>
        <v>0</v>
      </c>
      <c r="DW445" s="137" t="b">
        <f t="shared" si="447"/>
        <v>0</v>
      </c>
      <c r="DX445" s="137" t="b">
        <f t="shared" si="448"/>
        <v>1</v>
      </c>
      <c r="EB445" s="131">
        <f t="shared" si="449"/>
        <v>1</v>
      </c>
      <c r="EC445" s="137" t="b">
        <f t="shared" si="450"/>
        <v>0</v>
      </c>
      <c r="ED445" s="137" t="b">
        <f t="shared" si="451"/>
        <v>0</v>
      </c>
      <c r="EE445" s="137" t="b">
        <f t="shared" si="452"/>
        <v>1</v>
      </c>
      <c r="EF445" s="137"/>
      <c r="EG445" s="137"/>
      <c r="EH445" s="137"/>
      <c r="EI445" s="137"/>
      <c r="EJ445" s="137">
        <f t="shared" si="453"/>
        <v>1</v>
      </c>
      <c r="EK445" s="125" t="str">
        <f t="shared" si="454"/>
        <v/>
      </c>
      <c r="EL445" s="125" t="str">
        <f t="shared" si="455"/>
        <v/>
      </c>
    </row>
    <row r="446" spans="2:142" ht="15.75" x14ac:dyDescent="0.2">
      <c r="B446" s="160" t="str">
        <f t="shared" si="405"/>
        <v/>
      </c>
      <c r="C446" s="205"/>
      <c r="D446" s="205"/>
      <c r="E446" s="205"/>
      <c r="F446" s="118" t="str">
        <f>IF(OR(J446="",H446=""),"",VLOOKUP(J446,'הזנה לסיווג רשויות'!$B$2:$D$301,2,0))</f>
        <v/>
      </c>
      <c r="G446" s="118" t="str">
        <f>IF(OR(J446="",H446=""),"",VLOOKUP(J446,'הזנה לסיווג רשויות'!$B$2:$D$301,3,0))</f>
        <v/>
      </c>
      <c r="H446" s="201"/>
      <c r="I446" s="201"/>
      <c r="J446" s="205"/>
      <c r="K446" s="161"/>
      <c r="L446" s="161"/>
      <c r="M446" s="161"/>
      <c r="N446" s="161"/>
      <c r="O446" s="161"/>
      <c r="P446" s="161"/>
      <c r="Q446" s="161"/>
      <c r="R446" s="201"/>
      <c r="S446" s="201"/>
      <c r="T446" s="160" t="str">
        <f>IF(G446="","",IFERROR(IF(S446/R446&gt;'פרמטרים לקריטריונים'!$C$20,1,0),0))</f>
        <v/>
      </c>
      <c r="U446" s="201"/>
      <c r="V446" s="160" t="str">
        <f>IF(G446="","",IFERROR(IF(U446/R446&gt;'פרמטרים לקריטריונים'!$C$21,1,IF(AND(I446=$BW$5,U446/R446&gt;'פרמטרים לקריטריונים'!$C$22),1,0)),0))</f>
        <v/>
      </c>
      <c r="W446" s="161"/>
      <c r="X446" s="161"/>
      <c r="Y446" s="201"/>
      <c r="Z446" s="201"/>
      <c r="AA446" s="161" t="str">
        <f t="shared" si="457"/>
        <v/>
      </c>
      <c r="AB446" s="161"/>
      <c r="AC446" s="161"/>
      <c r="AD446" s="161"/>
      <c r="AE446" s="161"/>
      <c r="AF446" s="161"/>
      <c r="AG446" s="161"/>
      <c r="AH446" s="161"/>
      <c r="AI446" s="161"/>
      <c r="AJ446" s="161"/>
      <c r="AK446" s="161"/>
      <c r="AL446" s="161"/>
      <c r="AM446" s="161"/>
      <c r="AN446" s="161"/>
      <c r="AO446" s="161"/>
      <c r="AP446" s="161"/>
      <c r="AQ446" s="161"/>
      <c r="AR446" s="161"/>
      <c r="AS446" s="161"/>
      <c r="AT446" s="161"/>
      <c r="AU446" s="161"/>
      <c r="AV446" s="161"/>
      <c r="AW446" s="160"/>
      <c r="AX446" s="161"/>
      <c r="AY446" s="161"/>
      <c r="AZ446" s="161"/>
      <c r="BA446" s="161"/>
      <c r="BB446" s="161"/>
      <c r="BC446" s="161"/>
      <c r="BD446" s="161"/>
      <c r="BE446" s="161"/>
      <c r="BF446" s="160" t="str">
        <f t="shared" si="406"/>
        <v/>
      </c>
      <c r="BG446" s="160"/>
      <c r="BH446" s="160"/>
      <c r="BI446" s="160"/>
      <c r="BJ446" s="160"/>
      <c r="BK446" s="160"/>
      <c r="BL446" s="162" t="str">
        <f t="shared" si="407"/>
        <v/>
      </c>
      <c r="BM446" s="257"/>
      <c r="BN446" s="163"/>
      <c r="BO446" s="211" t="str">
        <f t="shared" si="408"/>
        <v/>
      </c>
      <c r="BP446" s="125">
        <f t="shared" si="409"/>
        <v>0</v>
      </c>
      <c r="BQ446" s="164">
        <v>0</v>
      </c>
      <c r="BR446" s="164">
        <v>1</v>
      </c>
      <c r="BS446" s="149">
        <f t="shared" si="410"/>
        <v>0</v>
      </c>
      <c r="BT446" s="149">
        <f t="shared" si="411"/>
        <v>0</v>
      </c>
      <c r="BU446" s="149">
        <f t="shared" si="412"/>
        <v>0</v>
      </c>
      <c r="BV446" s="149">
        <f t="shared" si="413"/>
        <v>0</v>
      </c>
      <c r="BW446" s="149">
        <f t="shared" si="414"/>
        <v>0</v>
      </c>
      <c r="BX446" s="149">
        <f t="shared" si="415"/>
        <v>0</v>
      </c>
      <c r="BY446" s="149">
        <f t="shared" si="416"/>
        <v>0</v>
      </c>
      <c r="BZ446" s="149">
        <f t="shared" si="417"/>
        <v>0</v>
      </c>
      <c r="CA446" s="149">
        <f t="shared" si="418"/>
        <v>0</v>
      </c>
      <c r="CB446" s="149">
        <f t="shared" si="419"/>
        <v>1</v>
      </c>
      <c r="CC446" s="149">
        <f t="shared" si="420"/>
        <v>0</v>
      </c>
      <c r="CD446" s="149">
        <f t="shared" si="421"/>
        <v>1</v>
      </c>
      <c r="CE446" s="149">
        <f t="shared" si="422"/>
        <v>0</v>
      </c>
      <c r="CF446" s="149">
        <f t="shared" si="423"/>
        <v>0</v>
      </c>
      <c r="CG446" s="149">
        <f t="shared" si="424"/>
        <v>0</v>
      </c>
      <c r="CH446" s="149">
        <f t="shared" si="425"/>
        <v>0</v>
      </c>
      <c r="CI446" s="149">
        <f t="shared" si="426"/>
        <v>1</v>
      </c>
      <c r="CJ446" s="149">
        <f t="shared" si="427"/>
        <v>1</v>
      </c>
      <c r="CK446" s="149">
        <f t="shared" si="428"/>
        <v>1</v>
      </c>
      <c r="CL446" s="149">
        <f t="shared" si="429"/>
        <v>1</v>
      </c>
      <c r="CM446" s="149">
        <f t="shared" si="430"/>
        <v>1</v>
      </c>
      <c r="CN446" s="149">
        <f t="shared" si="431"/>
        <v>1</v>
      </c>
      <c r="CO446" s="149">
        <f t="shared" si="432"/>
        <v>1</v>
      </c>
      <c r="CP446" s="149">
        <f t="shared" si="433"/>
        <v>1</v>
      </c>
      <c r="CQ446" s="149">
        <f t="shared" si="434"/>
        <v>1</v>
      </c>
      <c r="CR446" s="149">
        <f t="shared" si="435"/>
        <v>1</v>
      </c>
      <c r="CS446" s="149">
        <f t="shared" si="436"/>
        <v>1</v>
      </c>
      <c r="CT446" s="149">
        <f t="shared" si="437"/>
        <v>1</v>
      </c>
      <c r="CU446" s="149">
        <f t="shared" si="438"/>
        <v>1</v>
      </c>
      <c r="CV446" s="149">
        <f t="shared" si="439"/>
        <v>1</v>
      </c>
      <c r="CW446" s="149">
        <f t="shared" si="440"/>
        <v>1</v>
      </c>
      <c r="CX446" s="149">
        <f t="shared" si="441"/>
        <v>1</v>
      </c>
      <c r="CY446" s="149">
        <f t="shared" si="442"/>
        <v>1</v>
      </c>
      <c r="CZ446" s="149">
        <f t="shared" si="443"/>
        <v>1</v>
      </c>
      <c r="DA446" s="149">
        <f t="shared" si="444"/>
        <v>1</v>
      </c>
      <c r="DB446" s="149">
        <f t="shared" si="445"/>
        <v>1</v>
      </c>
      <c r="DG446" s="125" t="str">
        <f t="shared" si="296"/>
        <v/>
      </c>
      <c r="DH446" s="125" t="str">
        <f t="shared" si="458"/>
        <v/>
      </c>
      <c r="DI446" s="125" t="str">
        <f t="shared" si="458"/>
        <v/>
      </c>
      <c r="DJ446" s="125" t="str">
        <f t="shared" si="458"/>
        <v/>
      </c>
      <c r="DK446" s="125" t="str">
        <f t="shared" si="458"/>
        <v/>
      </c>
      <c r="DL446" s="125" t="str">
        <f t="shared" si="458"/>
        <v/>
      </c>
      <c r="DM446" s="125" t="str">
        <f t="shared" si="458"/>
        <v/>
      </c>
      <c r="DN446" s="125" t="str">
        <f t="shared" si="458"/>
        <v/>
      </c>
      <c r="DO446" s="125" t="str">
        <f t="shared" si="458"/>
        <v/>
      </c>
      <c r="DP446" s="125" t="str">
        <f t="shared" si="458"/>
        <v/>
      </c>
      <c r="DS446" s="137"/>
      <c r="DT446" s="137"/>
      <c r="DU446" s="137"/>
      <c r="DV446" s="137" t="b">
        <f t="shared" si="446"/>
        <v>0</v>
      </c>
      <c r="DW446" s="137" t="b">
        <f t="shared" si="447"/>
        <v>0</v>
      </c>
      <c r="DX446" s="137" t="b">
        <f t="shared" si="448"/>
        <v>1</v>
      </c>
      <c r="EB446" s="131">
        <f t="shared" si="449"/>
        <v>1</v>
      </c>
      <c r="EC446" s="137" t="b">
        <f t="shared" si="450"/>
        <v>0</v>
      </c>
      <c r="ED446" s="137" t="b">
        <f t="shared" si="451"/>
        <v>0</v>
      </c>
      <c r="EE446" s="137" t="b">
        <f t="shared" si="452"/>
        <v>1</v>
      </c>
      <c r="EF446" s="137"/>
      <c r="EG446" s="137"/>
      <c r="EH446" s="137"/>
      <c r="EI446" s="137"/>
      <c r="EJ446" s="137">
        <f t="shared" si="453"/>
        <v>1</v>
      </c>
      <c r="EK446" s="125" t="str">
        <f t="shared" si="454"/>
        <v/>
      </c>
      <c r="EL446" s="125" t="str">
        <f t="shared" si="455"/>
        <v/>
      </c>
    </row>
    <row r="447" spans="2:142" ht="15.75" x14ac:dyDescent="0.2">
      <c r="B447" s="160" t="str">
        <f t="shared" si="405"/>
        <v/>
      </c>
      <c r="C447" s="205"/>
      <c r="D447" s="205"/>
      <c r="E447" s="205"/>
      <c r="F447" s="118" t="str">
        <f>IF(OR(J447="",H447=""),"",VLOOKUP(J447,'הזנה לסיווג רשויות'!$B$2:$D$301,2,0))</f>
        <v/>
      </c>
      <c r="G447" s="118" t="str">
        <f>IF(OR(J447="",H447=""),"",VLOOKUP(J447,'הזנה לסיווג רשויות'!$B$2:$D$301,3,0))</f>
        <v/>
      </c>
      <c r="H447" s="201"/>
      <c r="I447" s="201"/>
      <c r="J447" s="205"/>
      <c r="K447" s="161"/>
      <c r="L447" s="161"/>
      <c r="M447" s="161"/>
      <c r="N447" s="161"/>
      <c r="O447" s="161"/>
      <c r="P447" s="161"/>
      <c r="Q447" s="161"/>
      <c r="R447" s="201"/>
      <c r="S447" s="201"/>
      <c r="T447" s="160" t="str">
        <f>IF(G447="","",IFERROR(IF(S447/R447&gt;'פרמטרים לקריטריונים'!$C$20,1,0),0))</f>
        <v/>
      </c>
      <c r="U447" s="201"/>
      <c r="V447" s="160" t="str">
        <f>IF(G447="","",IFERROR(IF(U447/R447&gt;'פרמטרים לקריטריונים'!$C$21,1,IF(AND(I447=$BW$5,U447/R447&gt;'פרמטרים לקריטריונים'!$C$22),1,0)),0))</f>
        <v/>
      </c>
      <c r="W447" s="161"/>
      <c r="X447" s="161"/>
      <c r="Y447" s="201"/>
      <c r="Z447" s="201"/>
      <c r="AA447" s="161" t="str">
        <f t="shared" si="457"/>
        <v/>
      </c>
      <c r="AB447" s="161"/>
      <c r="AC447" s="161"/>
      <c r="AD447" s="161"/>
      <c r="AE447" s="161"/>
      <c r="AF447" s="161"/>
      <c r="AG447" s="161"/>
      <c r="AH447" s="161"/>
      <c r="AI447" s="161"/>
      <c r="AJ447" s="161"/>
      <c r="AK447" s="161"/>
      <c r="AL447" s="161"/>
      <c r="AM447" s="161"/>
      <c r="AN447" s="161"/>
      <c r="AO447" s="161"/>
      <c r="AP447" s="161"/>
      <c r="AQ447" s="161"/>
      <c r="AR447" s="161"/>
      <c r="AS447" s="161"/>
      <c r="AT447" s="161"/>
      <c r="AU447" s="161"/>
      <c r="AV447" s="161"/>
      <c r="AW447" s="160"/>
      <c r="AX447" s="161"/>
      <c r="AY447" s="161"/>
      <c r="AZ447" s="161"/>
      <c r="BA447" s="161"/>
      <c r="BB447" s="161"/>
      <c r="BC447" s="161"/>
      <c r="BD447" s="161"/>
      <c r="BE447" s="161"/>
      <c r="BF447" s="160" t="str">
        <f t="shared" si="406"/>
        <v/>
      </c>
      <c r="BG447" s="160"/>
      <c r="BH447" s="160"/>
      <c r="BI447" s="160"/>
      <c r="BJ447" s="160"/>
      <c r="BK447" s="160"/>
      <c r="BL447" s="162" t="str">
        <f t="shared" si="407"/>
        <v/>
      </c>
      <c r="BM447" s="257"/>
      <c r="BN447" s="163"/>
      <c r="BO447" s="211" t="str">
        <f t="shared" si="408"/>
        <v/>
      </c>
      <c r="BP447" s="125">
        <f t="shared" si="409"/>
        <v>0</v>
      </c>
      <c r="BQ447" s="164">
        <v>0</v>
      </c>
      <c r="BR447" s="164">
        <v>1</v>
      </c>
      <c r="BS447" s="149">
        <f t="shared" si="410"/>
        <v>0</v>
      </c>
      <c r="BT447" s="149">
        <f t="shared" si="411"/>
        <v>0</v>
      </c>
      <c r="BU447" s="149">
        <f t="shared" si="412"/>
        <v>0</v>
      </c>
      <c r="BV447" s="149">
        <f t="shared" si="413"/>
        <v>0</v>
      </c>
      <c r="BW447" s="149">
        <f t="shared" si="414"/>
        <v>0</v>
      </c>
      <c r="BX447" s="149">
        <f t="shared" si="415"/>
        <v>0</v>
      </c>
      <c r="BY447" s="149">
        <f t="shared" si="416"/>
        <v>0</v>
      </c>
      <c r="BZ447" s="149">
        <f t="shared" si="417"/>
        <v>0</v>
      </c>
      <c r="CA447" s="149">
        <f t="shared" si="418"/>
        <v>0</v>
      </c>
      <c r="CB447" s="149">
        <f t="shared" si="419"/>
        <v>1</v>
      </c>
      <c r="CC447" s="149">
        <f t="shared" si="420"/>
        <v>0</v>
      </c>
      <c r="CD447" s="149">
        <f t="shared" si="421"/>
        <v>1</v>
      </c>
      <c r="CE447" s="149">
        <f t="shared" si="422"/>
        <v>0</v>
      </c>
      <c r="CF447" s="149">
        <f t="shared" si="423"/>
        <v>0</v>
      </c>
      <c r="CG447" s="149">
        <f t="shared" si="424"/>
        <v>0</v>
      </c>
      <c r="CH447" s="149">
        <f t="shared" si="425"/>
        <v>0</v>
      </c>
      <c r="CI447" s="149">
        <f t="shared" si="426"/>
        <v>1</v>
      </c>
      <c r="CJ447" s="149">
        <f t="shared" si="427"/>
        <v>1</v>
      </c>
      <c r="CK447" s="149">
        <f t="shared" si="428"/>
        <v>1</v>
      </c>
      <c r="CL447" s="149">
        <f t="shared" si="429"/>
        <v>1</v>
      </c>
      <c r="CM447" s="149">
        <f t="shared" si="430"/>
        <v>1</v>
      </c>
      <c r="CN447" s="149">
        <f t="shared" si="431"/>
        <v>1</v>
      </c>
      <c r="CO447" s="149">
        <f t="shared" si="432"/>
        <v>1</v>
      </c>
      <c r="CP447" s="149">
        <f t="shared" si="433"/>
        <v>1</v>
      </c>
      <c r="CQ447" s="149">
        <f t="shared" si="434"/>
        <v>1</v>
      </c>
      <c r="CR447" s="149">
        <f t="shared" si="435"/>
        <v>1</v>
      </c>
      <c r="CS447" s="149">
        <f t="shared" si="436"/>
        <v>1</v>
      </c>
      <c r="CT447" s="149">
        <f t="shared" si="437"/>
        <v>1</v>
      </c>
      <c r="CU447" s="149">
        <f t="shared" si="438"/>
        <v>1</v>
      </c>
      <c r="CV447" s="149">
        <f t="shared" si="439"/>
        <v>1</v>
      </c>
      <c r="CW447" s="149">
        <f t="shared" si="440"/>
        <v>1</v>
      </c>
      <c r="CX447" s="149">
        <f t="shared" si="441"/>
        <v>1</v>
      </c>
      <c r="CY447" s="149">
        <f t="shared" si="442"/>
        <v>1</v>
      </c>
      <c r="CZ447" s="149">
        <f t="shared" si="443"/>
        <v>1</v>
      </c>
      <c r="DA447" s="149">
        <f t="shared" si="444"/>
        <v>1</v>
      </c>
      <c r="DB447" s="149">
        <f t="shared" si="445"/>
        <v>1</v>
      </c>
      <c r="DG447" s="125" t="str">
        <f t="shared" si="296"/>
        <v/>
      </c>
      <c r="DH447" s="125" t="str">
        <f t="shared" si="458"/>
        <v/>
      </c>
      <c r="DI447" s="125" t="str">
        <f t="shared" si="458"/>
        <v/>
      </c>
      <c r="DJ447" s="125" t="str">
        <f t="shared" si="458"/>
        <v/>
      </c>
      <c r="DK447" s="125" t="str">
        <f t="shared" si="458"/>
        <v/>
      </c>
      <c r="DL447" s="125" t="str">
        <f t="shared" si="458"/>
        <v/>
      </c>
      <c r="DM447" s="125" t="str">
        <f t="shared" si="458"/>
        <v/>
      </c>
      <c r="DN447" s="125" t="str">
        <f t="shared" si="458"/>
        <v/>
      </c>
      <c r="DO447" s="125" t="str">
        <f t="shared" si="458"/>
        <v/>
      </c>
      <c r="DP447" s="125" t="str">
        <f t="shared" si="458"/>
        <v/>
      </c>
      <c r="DS447" s="137"/>
      <c r="DT447" s="137"/>
      <c r="DU447" s="137"/>
      <c r="DV447" s="137" t="b">
        <f t="shared" si="446"/>
        <v>0</v>
      </c>
      <c r="DW447" s="137" t="b">
        <f t="shared" si="447"/>
        <v>0</v>
      </c>
      <c r="DX447" s="137" t="b">
        <f t="shared" si="448"/>
        <v>1</v>
      </c>
      <c r="EB447" s="131">
        <f t="shared" si="449"/>
        <v>1</v>
      </c>
      <c r="EC447" s="137" t="b">
        <f t="shared" si="450"/>
        <v>0</v>
      </c>
      <c r="ED447" s="137" t="b">
        <f t="shared" si="451"/>
        <v>0</v>
      </c>
      <c r="EE447" s="137" t="b">
        <f t="shared" si="452"/>
        <v>1</v>
      </c>
      <c r="EF447" s="137"/>
      <c r="EG447" s="137"/>
      <c r="EH447" s="137"/>
      <c r="EI447" s="137"/>
      <c r="EJ447" s="137">
        <f t="shared" si="453"/>
        <v>1</v>
      </c>
      <c r="EK447" s="125" t="str">
        <f t="shared" si="454"/>
        <v/>
      </c>
      <c r="EL447" s="125" t="str">
        <f t="shared" si="455"/>
        <v/>
      </c>
    </row>
    <row r="448" spans="2:142" ht="15.75" x14ac:dyDescent="0.2">
      <c r="B448" s="160" t="str">
        <f t="shared" si="405"/>
        <v/>
      </c>
      <c r="C448" s="205"/>
      <c r="D448" s="205"/>
      <c r="E448" s="205"/>
      <c r="F448" s="118" t="str">
        <f>IF(OR(J448="",H448=""),"",VLOOKUP(J448,'הזנה לסיווג רשויות'!$B$2:$D$301,2,0))</f>
        <v/>
      </c>
      <c r="G448" s="118" t="str">
        <f>IF(OR(J448="",H448=""),"",VLOOKUP(J448,'הזנה לסיווג רשויות'!$B$2:$D$301,3,0))</f>
        <v/>
      </c>
      <c r="H448" s="201"/>
      <c r="I448" s="201"/>
      <c r="J448" s="205"/>
      <c r="K448" s="161"/>
      <c r="L448" s="161"/>
      <c r="M448" s="161"/>
      <c r="N448" s="161"/>
      <c r="O448" s="161"/>
      <c r="P448" s="161"/>
      <c r="Q448" s="161"/>
      <c r="R448" s="201"/>
      <c r="S448" s="201"/>
      <c r="T448" s="160" t="str">
        <f>IF(G448="","",IFERROR(IF(S448/R448&gt;'פרמטרים לקריטריונים'!$C$20,1,0),0))</f>
        <v/>
      </c>
      <c r="U448" s="201"/>
      <c r="V448" s="160" t="str">
        <f>IF(G448="","",IFERROR(IF(U448/R448&gt;'פרמטרים לקריטריונים'!$C$21,1,IF(AND(I448=$BW$5,U448/R448&gt;'פרמטרים לקריטריונים'!$C$22),1,0)),0))</f>
        <v/>
      </c>
      <c r="W448" s="161"/>
      <c r="X448" s="161"/>
      <c r="Y448" s="201"/>
      <c r="Z448" s="201"/>
      <c r="AA448" s="161" t="str">
        <f t="shared" si="457"/>
        <v/>
      </c>
      <c r="AB448" s="161"/>
      <c r="AC448" s="161"/>
      <c r="AD448" s="161"/>
      <c r="AE448" s="161"/>
      <c r="AF448" s="161"/>
      <c r="AG448" s="161"/>
      <c r="AH448" s="161"/>
      <c r="AI448" s="161"/>
      <c r="AJ448" s="161"/>
      <c r="AK448" s="161"/>
      <c r="AL448" s="161"/>
      <c r="AM448" s="161"/>
      <c r="AN448" s="161"/>
      <c r="AO448" s="161"/>
      <c r="AP448" s="161"/>
      <c r="AQ448" s="161"/>
      <c r="AR448" s="161"/>
      <c r="AS448" s="161"/>
      <c r="AT448" s="161"/>
      <c r="AU448" s="161"/>
      <c r="AV448" s="161"/>
      <c r="AW448" s="160"/>
      <c r="AX448" s="161"/>
      <c r="AY448" s="161"/>
      <c r="AZ448" s="161"/>
      <c r="BA448" s="161"/>
      <c r="BB448" s="161"/>
      <c r="BC448" s="161"/>
      <c r="BD448" s="161"/>
      <c r="BE448" s="161"/>
      <c r="BF448" s="160" t="str">
        <f t="shared" si="406"/>
        <v/>
      </c>
      <c r="BG448" s="160"/>
      <c r="BH448" s="160"/>
      <c r="BI448" s="160"/>
      <c r="BJ448" s="160"/>
      <c r="BK448" s="160"/>
      <c r="BL448" s="162" t="str">
        <f t="shared" si="407"/>
        <v/>
      </c>
      <c r="BM448" s="257"/>
      <c r="BN448" s="163"/>
      <c r="BO448" s="211" t="str">
        <f t="shared" si="408"/>
        <v/>
      </c>
      <c r="BP448" s="125">
        <f t="shared" si="409"/>
        <v>0</v>
      </c>
      <c r="BQ448" s="164">
        <v>0</v>
      </c>
      <c r="BR448" s="164">
        <v>1</v>
      </c>
      <c r="BS448" s="149">
        <f t="shared" si="410"/>
        <v>0</v>
      </c>
      <c r="BT448" s="149">
        <f t="shared" si="411"/>
        <v>0</v>
      </c>
      <c r="BU448" s="149">
        <f t="shared" si="412"/>
        <v>0</v>
      </c>
      <c r="BV448" s="149">
        <f t="shared" si="413"/>
        <v>0</v>
      </c>
      <c r="BW448" s="149">
        <f t="shared" si="414"/>
        <v>0</v>
      </c>
      <c r="BX448" s="149">
        <f t="shared" si="415"/>
        <v>0</v>
      </c>
      <c r="BY448" s="149">
        <f t="shared" si="416"/>
        <v>0</v>
      </c>
      <c r="BZ448" s="149">
        <f t="shared" si="417"/>
        <v>0</v>
      </c>
      <c r="CA448" s="149">
        <f t="shared" si="418"/>
        <v>0</v>
      </c>
      <c r="CB448" s="149">
        <f t="shared" si="419"/>
        <v>1</v>
      </c>
      <c r="CC448" s="149">
        <f t="shared" si="420"/>
        <v>0</v>
      </c>
      <c r="CD448" s="149">
        <f t="shared" si="421"/>
        <v>1</v>
      </c>
      <c r="CE448" s="149">
        <f t="shared" si="422"/>
        <v>0</v>
      </c>
      <c r="CF448" s="149">
        <f t="shared" si="423"/>
        <v>0</v>
      </c>
      <c r="CG448" s="149">
        <f t="shared" si="424"/>
        <v>0</v>
      </c>
      <c r="CH448" s="149">
        <f t="shared" si="425"/>
        <v>0</v>
      </c>
      <c r="CI448" s="149">
        <f t="shared" si="426"/>
        <v>1</v>
      </c>
      <c r="CJ448" s="149">
        <f t="shared" si="427"/>
        <v>1</v>
      </c>
      <c r="CK448" s="149">
        <f t="shared" si="428"/>
        <v>1</v>
      </c>
      <c r="CL448" s="149">
        <f t="shared" si="429"/>
        <v>1</v>
      </c>
      <c r="CM448" s="149">
        <f t="shared" si="430"/>
        <v>1</v>
      </c>
      <c r="CN448" s="149">
        <f t="shared" si="431"/>
        <v>1</v>
      </c>
      <c r="CO448" s="149">
        <f t="shared" si="432"/>
        <v>1</v>
      </c>
      <c r="CP448" s="149">
        <f t="shared" si="433"/>
        <v>1</v>
      </c>
      <c r="CQ448" s="149">
        <f t="shared" si="434"/>
        <v>1</v>
      </c>
      <c r="CR448" s="149">
        <f t="shared" si="435"/>
        <v>1</v>
      </c>
      <c r="CS448" s="149">
        <f t="shared" si="436"/>
        <v>1</v>
      </c>
      <c r="CT448" s="149">
        <f t="shared" si="437"/>
        <v>1</v>
      </c>
      <c r="CU448" s="149">
        <f t="shared" si="438"/>
        <v>1</v>
      </c>
      <c r="CV448" s="149">
        <f t="shared" si="439"/>
        <v>1</v>
      </c>
      <c r="CW448" s="149">
        <f t="shared" si="440"/>
        <v>1</v>
      </c>
      <c r="CX448" s="149">
        <f t="shared" si="441"/>
        <v>1</v>
      </c>
      <c r="CY448" s="149">
        <f t="shared" si="442"/>
        <v>1</v>
      </c>
      <c r="CZ448" s="149">
        <f t="shared" si="443"/>
        <v>1</v>
      </c>
      <c r="DA448" s="149">
        <f t="shared" si="444"/>
        <v>1</v>
      </c>
      <c r="DB448" s="149">
        <f t="shared" si="445"/>
        <v>1</v>
      </c>
      <c r="DG448" s="125" t="str">
        <f t="shared" si="296"/>
        <v/>
      </c>
      <c r="DH448" s="125" t="str">
        <f t="shared" si="458"/>
        <v/>
      </c>
      <c r="DI448" s="125" t="str">
        <f t="shared" si="458"/>
        <v/>
      </c>
      <c r="DJ448" s="125" t="str">
        <f t="shared" si="458"/>
        <v/>
      </c>
      <c r="DK448" s="125" t="str">
        <f t="shared" si="458"/>
        <v/>
      </c>
      <c r="DL448" s="125" t="str">
        <f t="shared" si="458"/>
        <v/>
      </c>
      <c r="DM448" s="125" t="str">
        <f t="shared" si="458"/>
        <v/>
      </c>
      <c r="DN448" s="125" t="str">
        <f t="shared" si="458"/>
        <v/>
      </c>
      <c r="DO448" s="125" t="str">
        <f t="shared" si="458"/>
        <v/>
      </c>
      <c r="DP448" s="125" t="str">
        <f t="shared" si="458"/>
        <v/>
      </c>
      <c r="DS448" s="137"/>
      <c r="DT448" s="137"/>
      <c r="DU448" s="137"/>
      <c r="DV448" s="137" t="b">
        <f t="shared" si="446"/>
        <v>0</v>
      </c>
      <c r="DW448" s="137" t="b">
        <f t="shared" si="447"/>
        <v>0</v>
      </c>
      <c r="DX448" s="137" t="b">
        <f t="shared" si="448"/>
        <v>1</v>
      </c>
      <c r="EB448" s="131">
        <f t="shared" si="449"/>
        <v>1</v>
      </c>
      <c r="EC448" s="137" t="b">
        <f t="shared" si="450"/>
        <v>0</v>
      </c>
      <c r="ED448" s="137" t="b">
        <f t="shared" si="451"/>
        <v>0</v>
      </c>
      <c r="EE448" s="137" t="b">
        <f t="shared" si="452"/>
        <v>1</v>
      </c>
      <c r="EF448" s="137"/>
      <c r="EG448" s="137"/>
      <c r="EH448" s="137"/>
      <c r="EI448" s="137"/>
      <c r="EJ448" s="137">
        <f t="shared" si="453"/>
        <v>1</v>
      </c>
      <c r="EK448" s="125" t="str">
        <f t="shared" si="454"/>
        <v/>
      </c>
      <c r="EL448" s="125" t="str">
        <f t="shared" si="455"/>
        <v/>
      </c>
    </row>
    <row r="449" spans="2:142" ht="15.75" x14ac:dyDescent="0.2">
      <c r="B449" s="160" t="str">
        <f t="shared" si="405"/>
        <v/>
      </c>
      <c r="C449" s="205"/>
      <c r="D449" s="205"/>
      <c r="E449" s="205"/>
      <c r="F449" s="118" t="str">
        <f>IF(OR(J449="",H449=""),"",VLOOKUP(J449,'הזנה לסיווג רשויות'!$B$2:$D$301,2,0))</f>
        <v/>
      </c>
      <c r="G449" s="118" t="str">
        <f>IF(OR(J449="",H449=""),"",VLOOKUP(J449,'הזנה לסיווג רשויות'!$B$2:$D$301,3,0))</f>
        <v/>
      </c>
      <c r="H449" s="201"/>
      <c r="I449" s="201"/>
      <c r="J449" s="205"/>
      <c r="K449" s="161"/>
      <c r="L449" s="161"/>
      <c r="M449" s="161"/>
      <c r="N449" s="161"/>
      <c r="O449" s="161"/>
      <c r="P449" s="161"/>
      <c r="Q449" s="161"/>
      <c r="R449" s="201"/>
      <c r="S449" s="201"/>
      <c r="T449" s="160" t="str">
        <f>IF(G449="","",IFERROR(IF(S449/R449&gt;'פרמטרים לקריטריונים'!$C$20,1,0),0))</f>
        <v/>
      </c>
      <c r="U449" s="201"/>
      <c r="V449" s="160" t="str">
        <f>IF(G449="","",IFERROR(IF(U449/R449&gt;'פרמטרים לקריטריונים'!$C$21,1,IF(AND(I449=$BW$5,U449/R449&gt;'פרמטרים לקריטריונים'!$C$22),1,0)),0))</f>
        <v/>
      </c>
      <c r="W449" s="161"/>
      <c r="X449" s="161"/>
      <c r="Y449" s="201"/>
      <c r="Z449" s="201"/>
      <c r="AA449" s="161" t="str">
        <f t="shared" si="457"/>
        <v/>
      </c>
      <c r="AB449" s="161"/>
      <c r="AC449" s="161"/>
      <c r="AD449" s="161"/>
      <c r="AE449" s="161"/>
      <c r="AF449" s="161"/>
      <c r="AG449" s="161"/>
      <c r="AH449" s="161"/>
      <c r="AI449" s="161"/>
      <c r="AJ449" s="161"/>
      <c r="AK449" s="161"/>
      <c r="AL449" s="161"/>
      <c r="AM449" s="161"/>
      <c r="AN449" s="161"/>
      <c r="AO449" s="161"/>
      <c r="AP449" s="161"/>
      <c r="AQ449" s="161"/>
      <c r="AR449" s="161"/>
      <c r="AS449" s="161"/>
      <c r="AT449" s="161"/>
      <c r="AU449" s="161"/>
      <c r="AV449" s="161"/>
      <c r="AW449" s="160"/>
      <c r="AX449" s="161"/>
      <c r="AY449" s="161"/>
      <c r="AZ449" s="161"/>
      <c r="BA449" s="161"/>
      <c r="BB449" s="161"/>
      <c r="BC449" s="161"/>
      <c r="BD449" s="161"/>
      <c r="BE449" s="161"/>
      <c r="BF449" s="160" t="str">
        <f t="shared" si="406"/>
        <v/>
      </c>
      <c r="BG449" s="160"/>
      <c r="BH449" s="160"/>
      <c r="BI449" s="160"/>
      <c r="BJ449" s="160"/>
      <c r="BK449" s="160"/>
      <c r="BL449" s="162" t="str">
        <f t="shared" si="407"/>
        <v/>
      </c>
      <c r="BM449" s="257"/>
      <c r="BN449" s="163"/>
      <c r="BO449" s="211" t="str">
        <f t="shared" si="408"/>
        <v/>
      </c>
      <c r="BP449" s="125">
        <f t="shared" si="409"/>
        <v>0</v>
      </c>
      <c r="BQ449" s="164">
        <v>0</v>
      </c>
      <c r="BR449" s="164">
        <v>1</v>
      </c>
      <c r="BS449" s="149">
        <f t="shared" si="410"/>
        <v>0</v>
      </c>
      <c r="BT449" s="149">
        <f t="shared" si="411"/>
        <v>0</v>
      </c>
      <c r="BU449" s="149">
        <f t="shared" si="412"/>
        <v>0</v>
      </c>
      <c r="BV449" s="149">
        <f t="shared" si="413"/>
        <v>0</v>
      </c>
      <c r="BW449" s="149">
        <f t="shared" si="414"/>
        <v>0</v>
      </c>
      <c r="BX449" s="149">
        <f t="shared" si="415"/>
        <v>0</v>
      </c>
      <c r="BY449" s="149">
        <f t="shared" si="416"/>
        <v>0</v>
      </c>
      <c r="BZ449" s="149">
        <f t="shared" si="417"/>
        <v>0</v>
      </c>
      <c r="CA449" s="149">
        <f t="shared" si="418"/>
        <v>0</v>
      </c>
      <c r="CB449" s="149">
        <f t="shared" si="419"/>
        <v>1</v>
      </c>
      <c r="CC449" s="149">
        <f t="shared" si="420"/>
        <v>0</v>
      </c>
      <c r="CD449" s="149">
        <f t="shared" si="421"/>
        <v>1</v>
      </c>
      <c r="CE449" s="149">
        <f t="shared" si="422"/>
        <v>0</v>
      </c>
      <c r="CF449" s="149">
        <f t="shared" si="423"/>
        <v>0</v>
      </c>
      <c r="CG449" s="149">
        <f t="shared" si="424"/>
        <v>0</v>
      </c>
      <c r="CH449" s="149">
        <f t="shared" si="425"/>
        <v>0</v>
      </c>
      <c r="CI449" s="149">
        <f t="shared" si="426"/>
        <v>1</v>
      </c>
      <c r="CJ449" s="149">
        <f t="shared" si="427"/>
        <v>1</v>
      </c>
      <c r="CK449" s="149">
        <f t="shared" si="428"/>
        <v>1</v>
      </c>
      <c r="CL449" s="149">
        <f t="shared" si="429"/>
        <v>1</v>
      </c>
      <c r="CM449" s="149">
        <f t="shared" si="430"/>
        <v>1</v>
      </c>
      <c r="CN449" s="149">
        <f t="shared" si="431"/>
        <v>1</v>
      </c>
      <c r="CO449" s="149">
        <f t="shared" si="432"/>
        <v>1</v>
      </c>
      <c r="CP449" s="149">
        <f t="shared" si="433"/>
        <v>1</v>
      </c>
      <c r="CQ449" s="149">
        <f t="shared" si="434"/>
        <v>1</v>
      </c>
      <c r="CR449" s="149">
        <f t="shared" si="435"/>
        <v>1</v>
      </c>
      <c r="CS449" s="149">
        <f t="shared" si="436"/>
        <v>1</v>
      </c>
      <c r="CT449" s="149">
        <f t="shared" si="437"/>
        <v>1</v>
      </c>
      <c r="CU449" s="149">
        <f t="shared" si="438"/>
        <v>1</v>
      </c>
      <c r="CV449" s="149">
        <f t="shared" si="439"/>
        <v>1</v>
      </c>
      <c r="CW449" s="149">
        <f t="shared" si="440"/>
        <v>1</v>
      </c>
      <c r="CX449" s="149">
        <f t="shared" si="441"/>
        <v>1</v>
      </c>
      <c r="CY449" s="149">
        <f t="shared" si="442"/>
        <v>1</v>
      </c>
      <c r="CZ449" s="149">
        <f t="shared" si="443"/>
        <v>1</v>
      </c>
      <c r="DA449" s="149">
        <f t="shared" si="444"/>
        <v>1</v>
      </c>
      <c r="DB449" s="149">
        <f t="shared" si="445"/>
        <v>1</v>
      </c>
      <c r="DG449" s="125" t="str">
        <f t="shared" si="296"/>
        <v/>
      </c>
      <c r="DH449" s="125" t="str">
        <f t="shared" si="458"/>
        <v/>
      </c>
      <c r="DI449" s="125" t="str">
        <f t="shared" si="458"/>
        <v/>
      </c>
      <c r="DJ449" s="125" t="str">
        <f t="shared" si="458"/>
        <v/>
      </c>
      <c r="DK449" s="125" t="str">
        <f t="shared" si="458"/>
        <v/>
      </c>
      <c r="DL449" s="125" t="str">
        <f t="shared" si="458"/>
        <v/>
      </c>
      <c r="DM449" s="125" t="str">
        <f t="shared" si="458"/>
        <v/>
      </c>
      <c r="DN449" s="125" t="str">
        <f t="shared" si="458"/>
        <v/>
      </c>
      <c r="DO449" s="125" t="str">
        <f t="shared" si="458"/>
        <v/>
      </c>
      <c r="DP449" s="125" t="str">
        <f t="shared" si="458"/>
        <v/>
      </c>
      <c r="DS449" s="137"/>
      <c r="DT449" s="137"/>
      <c r="DU449" s="137"/>
      <c r="DV449" s="137" t="b">
        <f t="shared" si="446"/>
        <v>0</v>
      </c>
      <c r="DW449" s="137" t="b">
        <f t="shared" si="447"/>
        <v>0</v>
      </c>
      <c r="DX449" s="137" t="b">
        <f t="shared" si="448"/>
        <v>1</v>
      </c>
      <c r="EB449" s="131">
        <f t="shared" si="449"/>
        <v>1</v>
      </c>
      <c r="EC449" s="137" t="b">
        <f t="shared" si="450"/>
        <v>0</v>
      </c>
      <c r="ED449" s="137" t="b">
        <f t="shared" si="451"/>
        <v>0</v>
      </c>
      <c r="EE449" s="137" t="b">
        <f t="shared" si="452"/>
        <v>1</v>
      </c>
      <c r="EF449" s="137"/>
      <c r="EG449" s="137"/>
      <c r="EH449" s="137"/>
      <c r="EI449" s="137"/>
      <c r="EJ449" s="137">
        <f t="shared" si="453"/>
        <v>1</v>
      </c>
      <c r="EK449" s="125" t="str">
        <f t="shared" si="454"/>
        <v/>
      </c>
      <c r="EL449" s="125" t="str">
        <f t="shared" si="455"/>
        <v/>
      </c>
    </row>
    <row r="450" spans="2:142" ht="15.75" x14ac:dyDescent="0.2">
      <c r="B450" s="160" t="str">
        <f t="shared" si="405"/>
        <v/>
      </c>
      <c r="C450" s="205"/>
      <c r="D450" s="205"/>
      <c r="E450" s="205"/>
      <c r="F450" s="118" t="str">
        <f>IF(OR(J450="",H450=""),"",VLOOKUP(J450,'הזנה לסיווג רשויות'!$B$2:$D$301,2,0))</f>
        <v/>
      </c>
      <c r="G450" s="118" t="str">
        <f>IF(OR(J450="",H450=""),"",VLOOKUP(J450,'הזנה לסיווג רשויות'!$B$2:$D$301,3,0))</f>
        <v/>
      </c>
      <c r="H450" s="201"/>
      <c r="I450" s="201"/>
      <c r="J450" s="205"/>
      <c r="K450" s="161"/>
      <c r="L450" s="161"/>
      <c r="M450" s="161"/>
      <c r="N450" s="161"/>
      <c r="O450" s="161"/>
      <c r="P450" s="161"/>
      <c r="Q450" s="161"/>
      <c r="R450" s="201"/>
      <c r="S450" s="201"/>
      <c r="T450" s="160" t="str">
        <f>IF(G450="","",IFERROR(IF(S450/R450&gt;'פרמטרים לקריטריונים'!$C$20,1,0),0))</f>
        <v/>
      </c>
      <c r="U450" s="201"/>
      <c r="V450" s="160" t="str">
        <f>IF(G450="","",IFERROR(IF(U450/R450&gt;'פרמטרים לקריטריונים'!$C$21,1,IF(AND(I450=$BW$5,U450/R450&gt;'פרמטרים לקריטריונים'!$C$22),1,0)),0))</f>
        <v/>
      </c>
      <c r="W450" s="161"/>
      <c r="X450" s="161"/>
      <c r="Y450" s="201"/>
      <c r="Z450" s="201"/>
      <c r="AA450" s="161" t="str">
        <f t="shared" si="457"/>
        <v/>
      </c>
      <c r="AB450" s="161"/>
      <c r="AC450" s="161"/>
      <c r="AD450" s="161"/>
      <c r="AE450" s="161"/>
      <c r="AF450" s="161"/>
      <c r="AG450" s="161"/>
      <c r="AH450" s="161"/>
      <c r="AI450" s="161"/>
      <c r="AJ450" s="161"/>
      <c r="AK450" s="161"/>
      <c r="AL450" s="161"/>
      <c r="AM450" s="161"/>
      <c r="AN450" s="161"/>
      <c r="AO450" s="161"/>
      <c r="AP450" s="161"/>
      <c r="AQ450" s="161"/>
      <c r="AR450" s="161"/>
      <c r="AS450" s="161"/>
      <c r="AT450" s="161"/>
      <c r="AU450" s="161"/>
      <c r="AV450" s="161"/>
      <c r="AW450" s="160"/>
      <c r="AX450" s="161"/>
      <c r="AY450" s="161"/>
      <c r="AZ450" s="161"/>
      <c r="BA450" s="161"/>
      <c r="BB450" s="161"/>
      <c r="BC450" s="161"/>
      <c r="BD450" s="161"/>
      <c r="BE450" s="161"/>
      <c r="BF450" s="160" t="str">
        <f t="shared" si="406"/>
        <v/>
      </c>
      <c r="BG450" s="160"/>
      <c r="BH450" s="160"/>
      <c r="BI450" s="160"/>
      <c r="BJ450" s="160"/>
      <c r="BK450" s="160"/>
      <c r="BL450" s="162" t="str">
        <f t="shared" si="407"/>
        <v/>
      </c>
      <c r="BM450" s="257"/>
      <c r="BN450" s="163"/>
      <c r="BO450" s="211" t="str">
        <f t="shared" si="408"/>
        <v/>
      </c>
      <c r="BP450" s="125">
        <f t="shared" si="409"/>
        <v>0</v>
      </c>
      <c r="BQ450" s="164">
        <v>0</v>
      </c>
      <c r="BR450" s="164">
        <v>1</v>
      </c>
      <c r="BS450" s="149">
        <f t="shared" si="410"/>
        <v>0</v>
      </c>
      <c r="BT450" s="149">
        <f t="shared" si="411"/>
        <v>0</v>
      </c>
      <c r="BU450" s="149">
        <f t="shared" si="412"/>
        <v>0</v>
      </c>
      <c r="BV450" s="149">
        <f t="shared" si="413"/>
        <v>0</v>
      </c>
      <c r="BW450" s="149">
        <f t="shared" si="414"/>
        <v>0</v>
      </c>
      <c r="BX450" s="149">
        <f t="shared" si="415"/>
        <v>0</v>
      </c>
      <c r="BY450" s="149">
        <f t="shared" si="416"/>
        <v>0</v>
      </c>
      <c r="BZ450" s="149">
        <f t="shared" si="417"/>
        <v>0</v>
      </c>
      <c r="CA450" s="149">
        <f t="shared" si="418"/>
        <v>0</v>
      </c>
      <c r="CB450" s="149">
        <f t="shared" si="419"/>
        <v>1</v>
      </c>
      <c r="CC450" s="149">
        <f t="shared" si="420"/>
        <v>0</v>
      </c>
      <c r="CD450" s="149">
        <f t="shared" si="421"/>
        <v>1</v>
      </c>
      <c r="CE450" s="149">
        <f t="shared" si="422"/>
        <v>0</v>
      </c>
      <c r="CF450" s="149">
        <f t="shared" si="423"/>
        <v>0</v>
      </c>
      <c r="CG450" s="149">
        <f t="shared" si="424"/>
        <v>0</v>
      </c>
      <c r="CH450" s="149">
        <f t="shared" si="425"/>
        <v>0</v>
      </c>
      <c r="CI450" s="149">
        <f t="shared" si="426"/>
        <v>1</v>
      </c>
      <c r="CJ450" s="149">
        <f t="shared" si="427"/>
        <v>1</v>
      </c>
      <c r="CK450" s="149">
        <f t="shared" si="428"/>
        <v>1</v>
      </c>
      <c r="CL450" s="149">
        <f t="shared" si="429"/>
        <v>1</v>
      </c>
      <c r="CM450" s="149">
        <f t="shared" si="430"/>
        <v>1</v>
      </c>
      <c r="CN450" s="149">
        <f t="shared" si="431"/>
        <v>1</v>
      </c>
      <c r="CO450" s="149">
        <f t="shared" si="432"/>
        <v>1</v>
      </c>
      <c r="CP450" s="149">
        <f t="shared" si="433"/>
        <v>1</v>
      </c>
      <c r="CQ450" s="149">
        <f t="shared" si="434"/>
        <v>1</v>
      </c>
      <c r="CR450" s="149">
        <f t="shared" si="435"/>
        <v>1</v>
      </c>
      <c r="CS450" s="149">
        <f t="shared" si="436"/>
        <v>1</v>
      </c>
      <c r="CT450" s="149">
        <f t="shared" si="437"/>
        <v>1</v>
      </c>
      <c r="CU450" s="149">
        <f t="shared" si="438"/>
        <v>1</v>
      </c>
      <c r="CV450" s="149">
        <f t="shared" si="439"/>
        <v>1</v>
      </c>
      <c r="CW450" s="149">
        <f t="shared" si="440"/>
        <v>1</v>
      </c>
      <c r="CX450" s="149">
        <f t="shared" si="441"/>
        <v>1</v>
      </c>
      <c r="CY450" s="149">
        <f t="shared" si="442"/>
        <v>1</v>
      </c>
      <c r="CZ450" s="149">
        <f t="shared" si="443"/>
        <v>1</v>
      </c>
      <c r="DA450" s="149">
        <f t="shared" si="444"/>
        <v>1</v>
      </c>
      <c r="DB450" s="149">
        <f t="shared" si="445"/>
        <v>1</v>
      </c>
      <c r="DG450" s="125" t="str">
        <f t="shared" si="296"/>
        <v/>
      </c>
      <c r="DH450" s="125" t="str">
        <f t="shared" si="458"/>
        <v/>
      </c>
      <c r="DI450" s="125" t="str">
        <f t="shared" si="458"/>
        <v/>
      </c>
      <c r="DJ450" s="125" t="str">
        <f t="shared" si="458"/>
        <v/>
      </c>
      <c r="DK450" s="125" t="str">
        <f t="shared" si="458"/>
        <v/>
      </c>
      <c r="DL450" s="125" t="str">
        <f t="shared" si="458"/>
        <v/>
      </c>
      <c r="DM450" s="125" t="str">
        <f t="shared" si="458"/>
        <v/>
      </c>
      <c r="DN450" s="125" t="str">
        <f t="shared" si="458"/>
        <v/>
      </c>
      <c r="DO450" s="125" t="str">
        <f t="shared" si="458"/>
        <v/>
      </c>
      <c r="DP450" s="125" t="str">
        <f t="shared" si="458"/>
        <v/>
      </c>
      <c r="DS450" s="137"/>
      <c r="DT450" s="137"/>
      <c r="DU450" s="137"/>
      <c r="DV450" s="137" t="b">
        <f t="shared" si="446"/>
        <v>0</v>
      </c>
      <c r="DW450" s="137" t="b">
        <f t="shared" si="447"/>
        <v>0</v>
      </c>
      <c r="DX450" s="137" t="b">
        <f t="shared" si="448"/>
        <v>1</v>
      </c>
      <c r="EB450" s="131">
        <f t="shared" si="449"/>
        <v>1</v>
      </c>
      <c r="EC450" s="137" t="b">
        <f t="shared" si="450"/>
        <v>0</v>
      </c>
      <c r="ED450" s="137" t="b">
        <f t="shared" si="451"/>
        <v>0</v>
      </c>
      <c r="EE450" s="137" t="b">
        <f t="shared" si="452"/>
        <v>1</v>
      </c>
      <c r="EF450" s="137"/>
      <c r="EG450" s="137"/>
      <c r="EH450" s="137"/>
      <c r="EI450" s="137"/>
      <c r="EJ450" s="137">
        <f t="shared" si="453"/>
        <v>1</v>
      </c>
      <c r="EK450" s="125" t="str">
        <f t="shared" si="454"/>
        <v/>
      </c>
      <c r="EL450" s="125" t="str">
        <f t="shared" si="455"/>
        <v/>
      </c>
    </row>
    <row r="451" spans="2:142" ht="15.75" x14ac:dyDescent="0.2">
      <c r="B451" s="160" t="str">
        <f t="shared" si="405"/>
        <v/>
      </c>
      <c r="C451" s="205"/>
      <c r="D451" s="205"/>
      <c r="E451" s="205"/>
      <c r="F451" s="118" t="str">
        <f>IF(OR(J451="",H451=""),"",VLOOKUP(J451,'הזנה לסיווג רשויות'!$B$2:$D$301,2,0))</f>
        <v/>
      </c>
      <c r="G451" s="118" t="str">
        <f>IF(OR(J451="",H451=""),"",VLOOKUP(J451,'הזנה לסיווג רשויות'!$B$2:$D$301,3,0))</f>
        <v/>
      </c>
      <c r="H451" s="201"/>
      <c r="I451" s="201"/>
      <c r="J451" s="205"/>
      <c r="K451" s="161"/>
      <c r="L451" s="161"/>
      <c r="M451" s="161"/>
      <c r="N451" s="161"/>
      <c r="O451" s="161"/>
      <c r="P451" s="161"/>
      <c r="Q451" s="161"/>
      <c r="R451" s="201"/>
      <c r="S451" s="201"/>
      <c r="T451" s="160" t="str">
        <f>IF(G451="","",IFERROR(IF(S451/R451&gt;'פרמטרים לקריטריונים'!$C$20,1,0),0))</f>
        <v/>
      </c>
      <c r="U451" s="201"/>
      <c r="V451" s="160" t="str">
        <f>IF(G451="","",IFERROR(IF(U451/R451&gt;'פרמטרים לקריטריונים'!$C$21,1,IF(AND(I451=$BW$5,U451/R451&gt;'פרמטרים לקריטריונים'!$C$22),1,0)),0))</f>
        <v/>
      </c>
      <c r="W451" s="161"/>
      <c r="X451" s="161"/>
      <c r="Y451" s="201"/>
      <c r="Z451" s="201"/>
      <c r="AA451" s="161" t="str">
        <f t="shared" si="457"/>
        <v/>
      </c>
      <c r="AB451" s="161"/>
      <c r="AC451" s="161"/>
      <c r="AD451" s="161"/>
      <c r="AE451" s="161"/>
      <c r="AF451" s="161"/>
      <c r="AG451" s="161"/>
      <c r="AH451" s="161"/>
      <c r="AI451" s="161"/>
      <c r="AJ451" s="161"/>
      <c r="AK451" s="161"/>
      <c r="AL451" s="161"/>
      <c r="AM451" s="161"/>
      <c r="AN451" s="161"/>
      <c r="AO451" s="161"/>
      <c r="AP451" s="161"/>
      <c r="AQ451" s="161"/>
      <c r="AR451" s="161"/>
      <c r="AS451" s="161"/>
      <c r="AT451" s="161"/>
      <c r="AU451" s="161"/>
      <c r="AV451" s="161"/>
      <c r="AW451" s="160"/>
      <c r="AX451" s="161"/>
      <c r="AY451" s="161"/>
      <c r="AZ451" s="161"/>
      <c r="BA451" s="161"/>
      <c r="BB451" s="161"/>
      <c r="BC451" s="161"/>
      <c r="BD451" s="161"/>
      <c r="BE451" s="161"/>
      <c r="BF451" s="160" t="str">
        <f t="shared" si="406"/>
        <v/>
      </c>
      <c r="BG451" s="160"/>
      <c r="BH451" s="160"/>
      <c r="BI451" s="160"/>
      <c r="BJ451" s="160"/>
      <c r="BK451" s="160"/>
      <c r="BL451" s="162" t="str">
        <f t="shared" si="407"/>
        <v/>
      </c>
      <c r="BM451" s="257"/>
      <c r="BN451" s="163"/>
      <c r="BO451" s="211" t="str">
        <f t="shared" si="408"/>
        <v/>
      </c>
      <c r="BP451" s="125">
        <f t="shared" si="409"/>
        <v>0</v>
      </c>
      <c r="BQ451" s="164">
        <v>0</v>
      </c>
      <c r="BR451" s="164">
        <v>1</v>
      </c>
      <c r="BS451" s="149">
        <f t="shared" si="410"/>
        <v>0</v>
      </c>
      <c r="BT451" s="149">
        <f t="shared" si="411"/>
        <v>0</v>
      </c>
      <c r="BU451" s="149">
        <f t="shared" si="412"/>
        <v>0</v>
      </c>
      <c r="BV451" s="149">
        <f t="shared" si="413"/>
        <v>0</v>
      </c>
      <c r="BW451" s="149">
        <f t="shared" si="414"/>
        <v>0</v>
      </c>
      <c r="BX451" s="149">
        <f t="shared" si="415"/>
        <v>0</v>
      </c>
      <c r="BY451" s="149">
        <f t="shared" si="416"/>
        <v>0</v>
      </c>
      <c r="BZ451" s="149">
        <f t="shared" si="417"/>
        <v>0</v>
      </c>
      <c r="CA451" s="149">
        <f t="shared" si="418"/>
        <v>0</v>
      </c>
      <c r="CB451" s="149">
        <f t="shared" si="419"/>
        <v>1</v>
      </c>
      <c r="CC451" s="149">
        <f t="shared" si="420"/>
        <v>0</v>
      </c>
      <c r="CD451" s="149">
        <f t="shared" si="421"/>
        <v>1</v>
      </c>
      <c r="CE451" s="149">
        <f t="shared" si="422"/>
        <v>0</v>
      </c>
      <c r="CF451" s="149">
        <f t="shared" si="423"/>
        <v>0</v>
      </c>
      <c r="CG451" s="149">
        <f t="shared" si="424"/>
        <v>0</v>
      </c>
      <c r="CH451" s="149">
        <f t="shared" si="425"/>
        <v>0</v>
      </c>
      <c r="CI451" s="149">
        <f t="shared" si="426"/>
        <v>1</v>
      </c>
      <c r="CJ451" s="149">
        <f t="shared" si="427"/>
        <v>1</v>
      </c>
      <c r="CK451" s="149">
        <f t="shared" si="428"/>
        <v>1</v>
      </c>
      <c r="CL451" s="149">
        <f t="shared" si="429"/>
        <v>1</v>
      </c>
      <c r="CM451" s="149">
        <f t="shared" si="430"/>
        <v>1</v>
      </c>
      <c r="CN451" s="149">
        <f t="shared" si="431"/>
        <v>1</v>
      </c>
      <c r="CO451" s="149">
        <f t="shared" si="432"/>
        <v>1</v>
      </c>
      <c r="CP451" s="149">
        <f t="shared" si="433"/>
        <v>1</v>
      </c>
      <c r="CQ451" s="149">
        <f t="shared" si="434"/>
        <v>1</v>
      </c>
      <c r="CR451" s="149">
        <f t="shared" si="435"/>
        <v>1</v>
      </c>
      <c r="CS451" s="149">
        <f t="shared" si="436"/>
        <v>1</v>
      </c>
      <c r="CT451" s="149">
        <f t="shared" si="437"/>
        <v>1</v>
      </c>
      <c r="CU451" s="149">
        <f t="shared" si="438"/>
        <v>1</v>
      </c>
      <c r="CV451" s="149">
        <f t="shared" si="439"/>
        <v>1</v>
      </c>
      <c r="CW451" s="149">
        <f t="shared" si="440"/>
        <v>1</v>
      </c>
      <c r="CX451" s="149">
        <f t="shared" si="441"/>
        <v>1</v>
      </c>
      <c r="CY451" s="149">
        <f t="shared" si="442"/>
        <v>1</v>
      </c>
      <c r="CZ451" s="149">
        <f t="shared" si="443"/>
        <v>1</v>
      </c>
      <c r="DA451" s="149">
        <f t="shared" si="444"/>
        <v>1</v>
      </c>
      <c r="DB451" s="149">
        <f t="shared" si="445"/>
        <v>1</v>
      </c>
      <c r="DG451" s="125" t="str">
        <f t="shared" si="296"/>
        <v/>
      </c>
      <c r="DH451" s="125" t="str">
        <f t="shared" si="458"/>
        <v/>
      </c>
      <c r="DI451" s="125" t="str">
        <f t="shared" si="458"/>
        <v/>
      </c>
      <c r="DJ451" s="125" t="str">
        <f t="shared" si="458"/>
        <v/>
      </c>
      <c r="DK451" s="125" t="str">
        <f t="shared" si="458"/>
        <v/>
      </c>
      <c r="DL451" s="125" t="str">
        <f t="shared" si="458"/>
        <v/>
      </c>
      <c r="DM451" s="125" t="str">
        <f t="shared" si="458"/>
        <v/>
      </c>
      <c r="DN451" s="125" t="str">
        <f t="shared" si="458"/>
        <v/>
      </c>
      <c r="DO451" s="125" t="str">
        <f t="shared" si="458"/>
        <v/>
      </c>
      <c r="DP451" s="125" t="str">
        <f t="shared" si="458"/>
        <v/>
      </c>
      <c r="DS451" s="137"/>
      <c r="DT451" s="137"/>
      <c r="DU451" s="137"/>
      <c r="DV451" s="137" t="b">
        <f t="shared" si="446"/>
        <v>0</v>
      </c>
      <c r="DW451" s="137" t="b">
        <f t="shared" si="447"/>
        <v>0</v>
      </c>
      <c r="DX451" s="137" t="b">
        <f t="shared" si="448"/>
        <v>1</v>
      </c>
      <c r="EB451" s="131">
        <f t="shared" si="449"/>
        <v>1</v>
      </c>
      <c r="EC451" s="137" t="b">
        <f t="shared" si="450"/>
        <v>0</v>
      </c>
      <c r="ED451" s="137" t="b">
        <f t="shared" si="451"/>
        <v>0</v>
      </c>
      <c r="EE451" s="137" t="b">
        <f t="shared" si="452"/>
        <v>1</v>
      </c>
      <c r="EF451" s="137"/>
      <c r="EG451" s="137"/>
      <c r="EH451" s="137"/>
      <c r="EI451" s="137"/>
      <c r="EJ451" s="137">
        <f t="shared" si="453"/>
        <v>1</v>
      </c>
      <c r="EK451" s="125" t="str">
        <f t="shared" si="454"/>
        <v/>
      </c>
      <c r="EL451" s="125" t="str">
        <f t="shared" si="455"/>
        <v/>
      </c>
    </row>
    <row r="452" spans="2:142" ht="15.75" x14ac:dyDescent="0.2">
      <c r="B452" s="160" t="str">
        <f t="shared" si="405"/>
        <v/>
      </c>
      <c r="C452" s="205"/>
      <c r="D452" s="205"/>
      <c r="E452" s="205"/>
      <c r="F452" s="118" t="str">
        <f>IF(OR(J452="",H452=""),"",VLOOKUP(J452,'הזנה לסיווג רשויות'!$B$2:$D$301,2,0))</f>
        <v/>
      </c>
      <c r="G452" s="118" t="str">
        <f>IF(OR(J452="",H452=""),"",VLOOKUP(J452,'הזנה לסיווג רשויות'!$B$2:$D$301,3,0))</f>
        <v/>
      </c>
      <c r="H452" s="201"/>
      <c r="I452" s="201"/>
      <c r="J452" s="205"/>
      <c r="K452" s="161"/>
      <c r="L452" s="161"/>
      <c r="M452" s="161"/>
      <c r="N452" s="161"/>
      <c r="O452" s="161"/>
      <c r="P452" s="161"/>
      <c r="Q452" s="161"/>
      <c r="R452" s="201"/>
      <c r="S452" s="201"/>
      <c r="T452" s="160" t="str">
        <f>IF(G452="","",IFERROR(IF(S452/R452&gt;'פרמטרים לקריטריונים'!$C$20,1,0),0))</f>
        <v/>
      </c>
      <c r="U452" s="201"/>
      <c r="V452" s="160" t="str">
        <f>IF(G452="","",IFERROR(IF(U452/R452&gt;'פרמטרים לקריטריונים'!$C$21,1,IF(AND(I452=$BW$5,U452/R452&gt;'פרמטרים לקריטריונים'!$C$22),1,0)),0))</f>
        <v/>
      </c>
      <c r="W452" s="161"/>
      <c r="X452" s="161"/>
      <c r="Y452" s="201"/>
      <c r="Z452" s="201"/>
      <c r="AA452" s="161" t="str">
        <f t="shared" si="457"/>
        <v/>
      </c>
      <c r="AB452" s="161"/>
      <c r="AC452" s="161"/>
      <c r="AD452" s="161"/>
      <c r="AE452" s="161"/>
      <c r="AF452" s="161"/>
      <c r="AG452" s="161"/>
      <c r="AH452" s="161"/>
      <c r="AI452" s="161"/>
      <c r="AJ452" s="161"/>
      <c r="AK452" s="161"/>
      <c r="AL452" s="161"/>
      <c r="AM452" s="161"/>
      <c r="AN452" s="161"/>
      <c r="AO452" s="161"/>
      <c r="AP452" s="161"/>
      <c r="AQ452" s="161"/>
      <c r="AR452" s="161"/>
      <c r="AS452" s="161"/>
      <c r="AT452" s="161"/>
      <c r="AU452" s="161"/>
      <c r="AV452" s="161"/>
      <c r="AW452" s="160"/>
      <c r="AX452" s="161"/>
      <c r="AY452" s="161"/>
      <c r="AZ452" s="161"/>
      <c r="BA452" s="161"/>
      <c r="BB452" s="161"/>
      <c r="BC452" s="161"/>
      <c r="BD452" s="161"/>
      <c r="BE452" s="161"/>
      <c r="BF452" s="160" t="str">
        <f t="shared" si="406"/>
        <v/>
      </c>
      <c r="BG452" s="160"/>
      <c r="BH452" s="160"/>
      <c r="BI452" s="160"/>
      <c r="BJ452" s="160"/>
      <c r="BK452" s="160"/>
      <c r="BL452" s="162" t="str">
        <f t="shared" si="407"/>
        <v/>
      </c>
      <c r="BM452" s="257"/>
      <c r="BN452" s="163"/>
      <c r="BO452" s="211" t="str">
        <f t="shared" si="408"/>
        <v/>
      </c>
      <c r="BP452" s="125">
        <f t="shared" si="409"/>
        <v>0</v>
      </c>
      <c r="BQ452" s="164">
        <v>0</v>
      </c>
      <c r="BR452" s="164">
        <v>1</v>
      </c>
      <c r="BS452" s="149">
        <f t="shared" si="410"/>
        <v>0</v>
      </c>
      <c r="BT452" s="149">
        <f t="shared" si="411"/>
        <v>0</v>
      </c>
      <c r="BU452" s="149">
        <f t="shared" si="412"/>
        <v>0</v>
      </c>
      <c r="BV452" s="149">
        <f t="shared" si="413"/>
        <v>0</v>
      </c>
      <c r="BW452" s="149">
        <f t="shared" si="414"/>
        <v>0</v>
      </c>
      <c r="BX452" s="149">
        <f t="shared" si="415"/>
        <v>0</v>
      </c>
      <c r="BY452" s="149">
        <f t="shared" si="416"/>
        <v>0</v>
      </c>
      <c r="BZ452" s="149">
        <f t="shared" si="417"/>
        <v>0</v>
      </c>
      <c r="CA452" s="149">
        <f t="shared" si="418"/>
        <v>0</v>
      </c>
      <c r="CB452" s="149">
        <f t="shared" si="419"/>
        <v>1</v>
      </c>
      <c r="CC452" s="149">
        <f t="shared" si="420"/>
        <v>0</v>
      </c>
      <c r="CD452" s="149">
        <f t="shared" si="421"/>
        <v>1</v>
      </c>
      <c r="CE452" s="149">
        <f t="shared" si="422"/>
        <v>0</v>
      </c>
      <c r="CF452" s="149">
        <f t="shared" si="423"/>
        <v>0</v>
      </c>
      <c r="CG452" s="149">
        <f t="shared" si="424"/>
        <v>0</v>
      </c>
      <c r="CH452" s="149">
        <f t="shared" si="425"/>
        <v>0</v>
      </c>
      <c r="CI452" s="149">
        <f t="shared" si="426"/>
        <v>1</v>
      </c>
      <c r="CJ452" s="149">
        <f t="shared" si="427"/>
        <v>1</v>
      </c>
      <c r="CK452" s="149">
        <f t="shared" si="428"/>
        <v>1</v>
      </c>
      <c r="CL452" s="149">
        <f t="shared" si="429"/>
        <v>1</v>
      </c>
      <c r="CM452" s="149">
        <f t="shared" si="430"/>
        <v>1</v>
      </c>
      <c r="CN452" s="149">
        <f t="shared" si="431"/>
        <v>1</v>
      </c>
      <c r="CO452" s="149">
        <f t="shared" si="432"/>
        <v>1</v>
      </c>
      <c r="CP452" s="149">
        <f t="shared" si="433"/>
        <v>1</v>
      </c>
      <c r="CQ452" s="149">
        <f t="shared" si="434"/>
        <v>1</v>
      </c>
      <c r="CR452" s="149">
        <f t="shared" si="435"/>
        <v>1</v>
      </c>
      <c r="CS452" s="149">
        <f t="shared" si="436"/>
        <v>1</v>
      </c>
      <c r="CT452" s="149">
        <f t="shared" si="437"/>
        <v>1</v>
      </c>
      <c r="CU452" s="149">
        <f t="shared" si="438"/>
        <v>1</v>
      </c>
      <c r="CV452" s="149">
        <f t="shared" si="439"/>
        <v>1</v>
      </c>
      <c r="CW452" s="149">
        <f t="shared" si="440"/>
        <v>1</v>
      </c>
      <c r="CX452" s="149">
        <f t="shared" si="441"/>
        <v>1</v>
      </c>
      <c r="CY452" s="149">
        <f t="shared" si="442"/>
        <v>1</v>
      </c>
      <c r="CZ452" s="149">
        <f t="shared" si="443"/>
        <v>1</v>
      </c>
      <c r="DA452" s="149">
        <f t="shared" si="444"/>
        <v>1</v>
      </c>
      <c r="DB452" s="149">
        <f t="shared" si="445"/>
        <v>1</v>
      </c>
      <c r="DG452" s="125" t="str">
        <f t="shared" si="296"/>
        <v/>
      </c>
      <c r="DH452" s="125" t="str">
        <f t="shared" si="458"/>
        <v/>
      </c>
      <c r="DI452" s="125" t="str">
        <f t="shared" si="458"/>
        <v/>
      </c>
      <c r="DJ452" s="125" t="str">
        <f t="shared" si="458"/>
        <v/>
      </c>
      <c r="DK452" s="125" t="str">
        <f t="shared" si="458"/>
        <v/>
      </c>
      <c r="DL452" s="125" t="str">
        <f t="shared" si="458"/>
        <v/>
      </c>
      <c r="DM452" s="125" t="str">
        <f t="shared" si="458"/>
        <v/>
      </c>
      <c r="DN452" s="125" t="str">
        <f t="shared" si="458"/>
        <v/>
      </c>
      <c r="DO452" s="125" t="str">
        <f t="shared" si="458"/>
        <v/>
      </c>
      <c r="DP452" s="125" t="str">
        <f t="shared" si="458"/>
        <v/>
      </c>
      <c r="DS452" s="137"/>
      <c r="DT452" s="137"/>
      <c r="DU452" s="137"/>
      <c r="DV452" s="137" t="b">
        <f t="shared" si="446"/>
        <v>0</v>
      </c>
      <c r="DW452" s="137" t="b">
        <f t="shared" si="447"/>
        <v>0</v>
      </c>
      <c r="DX452" s="137" t="b">
        <f t="shared" si="448"/>
        <v>1</v>
      </c>
      <c r="EB452" s="131">
        <f t="shared" si="449"/>
        <v>1</v>
      </c>
      <c r="EC452" s="137" t="b">
        <f t="shared" si="450"/>
        <v>0</v>
      </c>
      <c r="ED452" s="137" t="b">
        <f t="shared" si="451"/>
        <v>0</v>
      </c>
      <c r="EE452" s="137" t="b">
        <f t="shared" si="452"/>
        <v>1</v>
      </c>
      <c r="EF452" s="137"/>
      <c r="EG452" s="137"/>
      <c r="EH452" s="137"/>
      <c r="EI452" s="137"/>
      <c r="EJ452" s="137">
        <f t="shared" si="453"/>
        <v>1</v>
      </c>
      <c r="EK452" s="125" t="str">
        <f t="shared" si="454"/>
        <v/>
      </c>
      <c r="EL452" s="125" t="str">
        <f t="shared" si="455"/>
        <v/>
      </c>
    </row>
    <row r="453" spans="2:142" ht="15.75" x14ac:dyDescent="0.2">
      <c r="B453" s="160" t="str">
        <f t="shared" si="405"/>
        <v/>
      </c>
      <c r="C453" s="205"/>
      <c r="D453" s="205"/>
      <c r="E453" s="205"/>
      <c r="F453" s="118" t="str">
        <f>IF(OR(J453="",H453=""),"",VLOOKUP(J453,'הזנה לסיווג רשויות'!$B$2:$D$301,2,0))</f>
        <v/>
      </c>
      <c r="G453" s="118" t="str">
        <f>IF(OR(J453="",H453=""),"",VLOOKUP(J453,'הזנה לסיווג רשויות'!$B$2:$D$301,3,0))</f>
        <v/>
      </c>
      <c r="H453" s="201"/>
      <c r="I453" s="201"/>
      <c r="J453" s="205"/>
      <c r="K453" s="161"/>
      <c r="L453" s="161"/>
      <c r="M453" s="161"/>
      <c r="N453" s="161"/>
      <c r="O453" s="161"/>
      <c r="P453" s="161"/>
      <c r="Q453" s="161"/>
      <c r="R453" s="201"/>
      <c r="S453" s="201"/>
      <c r="T453" s="160" t="str">
        <f>IF(G453="","",IFERROR(IF(S453/R453&gt;'פרמטרים לקריטריונים'!$C$20,1,0),0))</f>
        <v/>
      </c>
      <c r="U453" s="201"/>
      <c r="V453" s="160" t="str">
        <f>IF(G453="","",IFERROR(IF(U453/R453&gt;'פרמטרים לקריטריונים'!$C$21,1,IF(AND(I453=$BW$5,U453/R453&gt;'פרמטרים לקריטריונים'!$C$22),1,0)),0))</f>
        <v/>
      </c>
      <c r="W453" s="161"/>
      <c r="X453" s="161"/>
      <c r="Y453" s="201"/>
      <c r="Z453" s="201"/>
      <c r="AA453" s="161" t="str">
        <f t="shared" si="457"/>
        <v/>
      </c>
      <c r="AB453" s="161"/>
      <c r="AC453" s="161"/>
      <c r="AD453" s="161"/>
      <c r="AE453" s="161"/>
      <c r="AF453" s="161"/>
      <c r="AG453" s="161"/>
      <c r="AH453" s="161"/>
      <c r="AI453" s="161"/>
      <c r="AJ453" s="161"/>
      <c r="AK453" s="161"/>
      <c r="AL453" s="161"/>
      <c r="AM453" s="161"/>
      <c r="AN453" s="161"/>
      <c r="AO453" s="161"/>
      <c r="AP453" s="161"/>
      <c r="AQ453" s="161"/>
      <c r="AR453" s="161"/>
      <c r="AS453" s="161"/>
      <c r="AT453" s="161"/>
      <c r="AU453" s="161"/>
      <c r="AV453" s="161"/>
      <c r="AW453" s="160"/>
      <c r="AX453" s="161"/>
      <c r="AY453" s="161"/>
      <c r="AZ453" s="161"/>
      <c r="BA453" s="161"/>
      <c r="BB453" s="161"/>
      <c r="BC453" s="161"/>
      <c r="BD453" s="161"/>
      <c r="BE453" s="161"/>
      <c r="BF453" s="160" t="str">
        <f t="shared" si="406"/>
        <v/>
      </c>
      <c r="BG453" s="160"/>
      <c r="BH453" s="160"/>
      <c r="BI453" s="160"/>
      <c r="BJ453" s="160"/>
      <c r="BK453" s="160"/>
      <c r="BL453" s="162" t="str">
        <f t="shared" si="407"/>
        <v/>
      </c>
      <c r="BM453" s="257"/>
      <c r="BN453" s="163"/>
      <c r="BO453" s="211" t="str">
        <f t="shared" si="408"/>
        <v/>
      </c>
      <c r="BP453" s="125">
        <f t="shared" si="409"/>
        <v>0</v>
      </c>
      <c r="BQ453" s="164">
        <v>0</v>
      </c>
      <c r="BR453" s="164">
        <v>1</v>
      </c>
      <c r="BS453" s="149">
        <f t="shared" si="410"/>
        <v>0</v>
      </c>
      <c r="BT453" s="149">
        <f t="shared" si="411"/>
        <v>0</v>
      </c>
      <c r="BU453" s="149">
        <f t="shared" si="412"/>
        <v>0</v>
      </c>
      <c r="BV453" s="149">
        <f t="shared" si="413"/>
        <v>0</v>
      </c>
      <c r="BW453" s="149">
        <f t="shared" si="414"/>
        <v>0</v>
      </c>
      <c r="BX453" s="149">
        <f t="shared" si="415"/>
        <v>0</v>
      </c>
      <c r="BY453" s="149">
        <f t="shared" si="416"/>
        <v>0</v>
      </c>
      <c r="BZ453" s="149">
        <f t="shared" si="417"/>
        <v>0</v>
      </c>
      <c r="CA453" s="149">
        <f t="shared" si="418"/>
        <v>0</v>
      </c>
      <c r="CB453" s="149">
        <f t="shared" si="419"/>
        <v>1</v>
      </c>
      <c r="CC453" s="149">
        <f t="shared" si="420"/>
        <v>0</v>
      </c>
      <c r="CD453" s="149">
        <f t="shared" si="421"/>
        <v>1</v>
      </c>
      <c r="CE453" s="149">
        <f t="shared" si="422"/>
        <v>0</v>
      </c>
      <c r="CF453" s="149">
        <f t="shared" si="423"/>
        <v>0</v>
      </c>
      <c r="CG453" s="149">
        <f t="shared" si="424"/>
        <v>0</v>
      </c>
      <c r="CH453" s="149">
        <f t="shared" si="425"/>
        <v>0</v>
      </c>
      <c r="CI453" s="149">
        <f t="shared" si="426"/>
        <v>1</v>
      </c>
      <c r="CJ453" s="149">
        <f t="shared" si="427"/>
        <v>1</v>
      </c>
      <c r="CK453" s="149">
        <f t="shared" si="428"/>
        <v>1</v>
      </c>
      <c r="CL453" s="149">
        <f t="shared" si="429"/>
        <v>1</v>
      </c>
      <c r="CM453" s="149">
        <f t="shared" si="430"/>
        <v>1</v>
      </c>
      <c r="CN453" s="149">
        <f t="shared" si="431"/>
        <v>1</v>
      </c>
      <c r="CO453" s="149">
        <f t="shared" si="432"/>
        <v>1</v>
      </c>
      <c r="CP453" s="149">
        <f t="shared" si="433"/>
        <v>1</v>
      </c>
      <c r="CQ453" s="149">
        <f t="shared" si="434"/>
        <v>1</v>
      </c>
      <c r="CR453" s="149">
        <f t="shared" si="435"/>
        <v>1</v>
      </c>
      <c r="CS453" s="149">
        <f t="shared" si="436"/>
        <v>1</v>
      </c>
      <c r="CT453" s="149">
        <f t="shared" si="437"/>
        <v>1</v>
      </c>
      <c r="CU453" s="149">
        <f t="shared" si="438"/>
        <v>1</v>
      </c>
      <c r="CV453" s="149">
        <f t="shared" si="439"/>
        <v>1</v>
      </c>
      <c r="CW453" s="149">
        <f t="shared" si="440"/>
        <v>1</v>
      </c>
      <c r="CX453" s="149">
        <f t="shared" si="441"/>
        <v>1</v>
      </c>
      <c r="CY453" s="149">
        <f t="shared" si="442"/>
        <v>1</v>
      </c>
      <c r="CZ453" s="149">
        <f t="shared" si="443"/>
        <v>1</v>
      </c>
      <c r="DA453" s="149">
        <f t="shared" si="444"/>
        <v>1</v>
      </c>
      <c r="DB453" s="149">
        <f t="shared" si="445"/>
        <v>1</v>
      </c>
      <c r="DG453" s="125" t="str">
        <f t="shared" si="296"/>
        <v/>
      </c>
      <c r="DH453" s="125" t="str">
        <f t="shared" si="458"/>
        <v/>
      </c>
      <c r="DI453" s="125" t="str">
        <f t="shared" si="458"/>
        <v/>
      </c>
      <c r="DJ453" s="125" t="str">
        <f t="shared" si="458"/>
        <v/>
      </c>
      <c r="DK453" s="125" t="str">
        <f t="shared" si="458"/>
        <v/>
      </c>
      <c r="DL453" s="125" t="str">
        <f t="shared" si="458"/>
        <v/>
      </c>
      <c r="DM453" s="125" t="str">
        <f t="shared" si="458"/>
        <v/>
      </c>
      <c r="DN453" s="125" t="str">
        <f t="shared" si="458"/>
        <v/>
      </c>
      <c r="DO453" s="125" t="str">
        <f t="shared" si="458"/>
        <v/>
      </c>
      <c r="DP453" s="125" t="str">
        <f t="shared" si="458"/>
        <v/>
      </c>
      <c r="DS453" s="137"/>
      <c r="DT453" s="137"/>
      <c r="DU453" s="137"/>
      <c r="DV453" s="137" t="b">
        <f t="shared" si="446"/>
        <v>0</v>
      </c>
      <c r="DW453" s="137" t="b">
        <f t="shared" si="447"/>
        <v>0</v>
      </c>
      <c r="DX453" s="137" t="b">
        <f t="shared" si="448"/>
        <v>1</v>
      </c>
      <c r="EB453" s="131">
        <f t="shared" si="449"/>
        <v>1</v>
      </c>
      <c r="EC453" s="137" t="b">
        <f t="shared" si="450"/>
        <v>0</v>
      </c>
      <c r="ED453" s="137" t="b">
        <f t="shared" si="451"/>
        <v>0</v>
      </c>
      <c r="EE453" s="137" t="b">
        <f t="shared" si="452"/>
        <v>1</v>
      </c>
      <c r="EF453" s="137"/>
      <c r="EG453" s="137"/>
      <c r="EH453" s="137"/>
      <c r="EI453" s="137"/>
      <c r="EJ453" s="137">
        <f t="shared" si="453"/>
        <v>1</v>
      </c>
      <c r="EK453" s="125" t="str">
        <f t="shared" si="454"/>
        <v/>
      </c>
      <c r="EL453" s="125" t="str">
        <f t="shared" si="455"/>
        <v/>
      </c>
    </row>
    <row r="454" spans="2:142" ht="15.75" x14ac:dyDescent="0.2">
      <c r="B454" s="160" t="str">
        <f t="shared" si="405"/>
        <v/>
      </c>
      <c r="C454" s="205"/>
      <c r="D454" s="205"/>
      <c r="E454" s="205"/>
      <c r="F454" s="118" t="str">
        <f>IF(OR(J454="",H454=""),"",VLOOKUP(J454,'הזנה לסיווג רשויות'!$B$2:$D$301,2,0))</f>
        <v/>
      </c>
      <c r="G454" s="118" t="str">
        <f>IF(OR(J454="",H454=""),"",VLOOKUP(J454,'הזנה לסיווג רשויות'!$B$2:$D$301,3,0))</f>
        <v/>
      </c>
      <c r="H454" s="201"/>
      <c r="I454" s="201"/>
      <c r="J454" s="205"/>
      <c r="K454" s="161"/>
      <c r="L454" s="161"/>
      <c r="M454" s="161"/>
      <c r="N454" s="161"/>
      <c r="O454" s="161"/>
      <c r="P454" s="161"/>
      <c r="Q454" s="161"/>
      <c r="R454" s="201"/>
      <c r="S454" s="201"/>
      <c r="T454" s="160" t="str">
        <f>IF(G454="","",IFERROR(IF(S454/R454&gt;'פרמטרים לקריטריונים'!$C$20,1,0),0))</f>
        <v/>
      </c>
      <c r="U454" s="201"/>
      <c r="V454" s="160" t="str">
        <f>IF(G454="","",IFERROR(IF(U454/R454&gt;'פרמטרים לקריטריונים'!$C$21,1,IF(AND(I454=$BW$5,U454/R454&gt;'פרמטרים לקריטריונים'!$C$22),1,0)),0))</f>
        <v/>
      </c>
      <c r="W454" s="161"/>
      <c r="X454" s="161"/>
      <c r="Y454" s="201"/>
      <c r="Z454" s="201"/>
      <c r="AA454" s="161" t="str">
        <f t="shared" si="457"/>
        <v/>
      </c>
      <c r="AB454" s="161"/>
      <c r="AC454" s="161"/>
      <c r="AD454" s="161"/>
      <c r="AE454" s="161"/>
      <c r="AF454" s="161"/>
      <c r="AG454" s="161"/>
      <c r="AH454" s="161"/>
      <c r="AI454" s="161"/>
      <c r="AJ454" s="161"/>
      <c r="AK454" s="161"/>
      <c r="AL454" s="161"/>
      <c r="AM454" s="161"/>
      <c r="AN454" s="161"/>
      <c r="AO454" s="161"/>
      <c r="AP454" s="161"/>
      <c r="AQ454" s="161"/>
      <c r="AR454" s="161"/>
      <c r="AS454" s="161"/>
      <c r="AT454" s="161"/>
      <c r="AU454" s="161"/>
      <c r="AV454" s="161"/>
      <c r="AW454" s="160"/>
      <c r="AX454" s="161"/>
      <c r="AY454" s="161"/>
      <c r="AZ454" s="161"/>
      <c r="BA454" s="161"/>
      <c r="BB454" s="161"/>
      <c r="BC454" s="161"/>
      <c r="BD454" s="161"/>
      <c r="BE454" s="161"/>
      <c r="BF454" s="160" t="str">
        <f t="shared" si="406"/>
        <v/>
      </c>
      <c r="BG454" s="160"/>
      <c r="BH454" s="160"/>
      <c r="BI454" s="160"/>
      <c r="BJ454" s="160"/>
      <c r="BK454" s="160"/>
      <c r="BL454" s="162" t="str">
        <f t="shared" si="407"/>
        <v/>
      </c>
      <c r="BM454" s="257"/>
      <c r="BN454" s="163"/>
      <c r="BO454" s="211" t="str">
        <f t="shared" si="408"/>
        <v/>
      </c>
      <c r="BP454" s="125">
        <f t="shared" si="409"/>
        <v>0</v>
      </c>
      <c r="BQ454" s="164">
        <v>0</v>
      </c>
      <c r="BR454" s="164">
        <v>1</v>
      </c>
      <c r="BS454" s="149">
        <f t="shared" si="410"/>
        <v>0</v>
      </c>
      <c r="BT454" s="149">
        <f t="shared" si="411"/>
        <v>0</v>
      </c>
      <c r="BU454" s="149">
        <f t="shared" si="412"/>
        <v>0</v>
      </c>
      <c r="BV454" s="149">
        <f t="shared" si="413"/>
        <v>0</v>
      </c>
      <c r="BW454" s="149">
        <f t="shared" si="414"/>
        <v>0</v>
      </c>
      <c r="BX454" s="149">
        <f t="shared" si="415"/>
        <v>0</v>
      </c>
      <c r="BY454" s="149">
        <f t="shared" si="416"/>
        <v>0</v>
      </c>
      <c r="BZ454" s="149">
        <f t="shared" si="417"/>
        <v>0</v>
      </c>
      <c r="CA454" s="149">
        <f t="shared" si="418"/>
        <v>0</v>
      </c>
      <c r="CB454" s="149">
        <f t="shared" si="419"/>
        <v>1</v>
      </c>
      <c r="CC454" s="149">
        <f t="shared" si="420"/>
        <v>0</v>
      </c>
      <c r="CD454" s="149">
        <f t="shared" si="421"/>
        <v>1</v>
      </c>
      <c r="CE454" s="149">
        <f t="shared" si="422"/>
        <v>0</v>
      </c>
      <c r="CF454" s="149">
        <f t="shared" si="423"/>
        <v>0</v>
      </c>
      <c r="CG454" s="149">
        <f t="shared" si="424"/>
        <v>0</v>
      </c>
      <c r="CH454" s="149">
        <f t="shared" si="425"/>
        <v>0</v>
      </c>
      <c r="CI454" s="149">
        <f t="shared" si="426"/>
        <v>1</v>
      </c>
      <c r="CJ454" s="149">
        <f t="shared" si="427"/>
        <v>1</v>
      </c>
      <c r="CK454" s="149">
        <f t="shared" si="428"/>
        <v>1</v>
      </c>
      <c r="CL454" s="149">
        <f t="shared" si="429"/>
        <v>1</v>
      </c>
      <c r="CM454" s="149">
        <f t="shared" si="430"/>
        <v>1</v>
      </c>
      <c r="CN454" s="149">
        <f t="shared" si="431"/>
        <v>1</v>
      </c>
      <c r="CO454" s="149">
        <f t="shared" si="432"/>
        <v>1</v>
      </c>
      <c r="CP454" s="149">
        <f t="shared" si="433"/>
        <v>1</v>
      </c>
      <c r="CQ454" s="149">
        <f t="shared" si="434"/>
        <v>1</v>
      </c>
      <c r="CR454" s="149">
        <f t="shared" si="435"/>
        <v>1</v>
      </c>
      <c r="CS454" s="149">
        <f t="shared" si="436"/>
        <v>1</v>
      </c>
      <c r="CT454" s="149">
        <f t="shared" si="437"/>
        <v>1</v>
      </c>
      <c r="CU454" s="149">
        <f t="shared" si="438"/>
        <v>1</v>
      </c>
      <c r="CV454" s="149">
        <f t="shared" si="439"/>
        <v>1</v>
      </c>
      <c r="CW454" s="149">
        <f t="shared" si="440"/>
        <v>1</v>
      </c>
      <c r="CX454" s="149">
        <f t="shared" si="441"/>
        <v>1</v>
      </c>
      <c r="CY454" s="149">
        <f t="shared" si="442"/>
        <v>1</v>
      </c>
      <c r="CZ454" s="149">
        <f t="shared" si="443"/>
        <v>1</v>
      </c>
      <c r="DA454" s="149">
        <f t="shared" si="444"/>
        <v>1</v>
      </c>
      <c r="DB454" s="149">
        <f t="shared" si="445"/>
        <v>1</v>
      </c>
      <c r="DG454" s="125" t="str">
        <f t="shared" si="296"/>
        <v/>
      </c>
      <c r="DH454" s="125" t="str">
        <f t="shared" si="458"/>
        <v/>
      </c>
      <c r="DI454" s="125" t="str">
        <f t="shared" si="458"/>
        <v/>
      </c>
      <c r="DJ454" s="125" t="str">
        <f t="shared" si="458"/>
        <v/>
      </c>
      <c r="DK454" s="125" t="str">
        <f t="shared" si="458"/>
        <v/>
      </c>
      <c r="DL454" s="125" t="str">
        <f t="shared" si="458"/>
        <v/>
      </c>
      <c r="DM454" s="125" t="str">
        <f t="shared" si="458"/>
        <v/>
      </c>
      <c r="DN454" s="125" t="str">
        <f t="shared" si="458"/>
        <v/>
      </c>
      <c r="DO454" s="125" t="str">
        <f t="shared" si="458"/>
        <v/>
      </c>
      <c r="DP454" s="125" t="str">
        <f t="shared" si="458"/>
        <v/>
      </c>
      <c r="DS454" s="137"/>
      <c r="DT454" s="137"/>
      <c r="DU454" s="137"/>
      <c r="DV454" s="137" t="b">
        <f t="shared" si="446"/>
        <v>0</v>
      </c>
      <c r="DW454" s="137" t="b">
        <f t="shared" si="447"/>
        <v>0</v>
      </c>
      <c r="DX454" s="137" t="b">
        <f t="shared" si="448"/>
        <v>1</v>
      </c>
      <c r="EB454" s="131">
        <f t="shared" si="449"/>
        <v>1</v>
      </c>
      <c r="EC454" s="137" t="b">
        <f t="shared" si="450"/>
        <v>0</v>
      </c>
      <c r="ED454" s="137" t="b">
        <f t="shared" si="451"/>
        <v>0</v>
      </c>
      <c r="EE454" s="137" t="b">
        <f t="shared" si="452"/>
        <v>1</v>
      </c>
      <c r="EF454" s="137"/>
      <c r="EG454" s="137"/>
      <c r="EH454" s="137"/>
      <c r="EI454" s="137"/>
      <c r="EJ454" s="137">
        <f t="shared" si="453"/>
        <v>1</v>
      </c>
      <c r="EK454" s="125" t="str">
        <f t="shared" si="454"/>
        <v/>
      </c>
      <c r="EL454" s="125" t="str">
        <f t="shared" si="455"/>
        <v/>
      </c>
    </row>
    <row r="455" spans="2:142" ht="15.75" x14ac:dyDescent="0.2">
      <c r="B455" s="160" t="str">
        <f t="shared" si="405"/>
        <v/>
      </c>
      <c r="C455" s="205"/>
      <c r="D455" s="205"/>
      <c r="E455" s="205"/>
      <c r="F455" s="118" t="str">
        <f>IF(OR(J455="",H455=""),"",VLOOKUP(J455,'הזנה לסיווג רשויות'!$B$2:$D$301,2,0))</f>
        <v/>
      </c>
      <c r="G455" s="118" t="str">
        <f>IF(OR(J455="",H455=""),"",VLOOKUP(J455,'הזנה לסיווג רשויות'!$B$2:$D$301,3,0))</f>
        <v/>
      </c>
      <c r="H455" s="201"/>
      <c r="I455" s="201"/>
      <c r="J455" s="205"/>
      <c r="K455" s="161"/>
      <c r="L455" s="161"/>
      <c r="M455" s="161"/>
      <c r="N455" s="161"/>
      <c r="O455" s="161"/>
      <c r="P455" s="161"/>
      <c r="Q455" s="161"/>
      <c r="R455" s="201"/>
      <c r="S455" s="201"/>
      <c r="T455" s="160" t="str">
        <f>IF(G455="","",IFERROR(IF(S455/R455&gt;'פרמטרים לקריטריונים'!$C$20,1,0),0))</f>
        <v/>
      </c>
      <c r="U455" s="201"/>
      <c r="V455" s="160" t="str">
        <f>IF(G455="","",IFERROR(IF(U455/R455&gt;'פרמטרים לקריטריונים'!$C$21,1,IF(AND(I455=$BW$5,U455/R455&gt;'פרמטרים לקריטריונים'!$C$22),1,0)),0))</f>
        <v/>
      </c>
      <c r="W455" s="161"/>
      <c r="X455" s="161"/>
      <c r="Y455" s="201"/>
      <c r="Z455" s="201"/>
      <c r="AA455" s="161" t="str">
        <f t="shared" si="457"/>
        <v/>
      </c>
      <c r="AB455" s="161"/>
      <c r="AC455" s="161"/>
      <c r="AD455" s="161"/>
      <c r="AE455" s="161"/>
      <c r="AF455" s="161"/>
      <c r="AG455" s="161"/>
      <c r="AH455" s="161"/>
      <c r="AI455" s="161"/>
      <c r="AJ455" s="161"/>
      <c r="AK455" s="161"/>
      <c r="AL455" s="161"/>
      <c r="AM455" s="161"/>
      <c r="AN455" s="161"/>
      <c r="AO455" s="161"/>
      <c r="AP455" s="161"/>
      <c r="AQ455" s="161"/>
      <c r="AR455" s="161"/>
      <c r="AS455" s="161"/>
      <c r="AT455" s="161"/>
      <c r="AU455" s="161"/>
      <c r="AV455" s="161"/>
      <c r="AW455" s="160"/>
      <c r="AX455" s="161"/>
      <c r="AY455" s="161"/>
      <c r="AZ455" s="161"/>
      <c r="BA455" s="161"/>
      <c r="BB455" s="161"/>
      <c r="BC455" s="161"/>
      <c r="BD455" s="161"/>
      <c r="BE455" s="161"/>
      <c r="BF455" s="160" t="str">
        <f t="shared" si="406"/>
        <v/>
      </c>
      <c r="BG455" s="160"/>
      <c r="BH455" s="160"/>
      <c r="BI455" s="160"/>
      <c r="BJ455" s="160"/>
      <c r="BK455" s="160"/>
      <c r="BL455" s="162" t="str">
        <f t="shared" si="407"/>
        <v/>
      </c>
      <c r="BM455" s="257"/>
      <c r="BN455" s="163"/>
      <c r="BO455" s="211" t="str">
        <f t="shared" si="408"/>
        <v/>
      </c>
      <c r="BP455" s="125">
        <f t="shared" si="409"/>
        <v>0</v>
      </c>
      <c r="BQ455" s="164">
        <v>0</v>
      </c>
      <c r="BR455" s="164">
        <v>1</v>
      </c>
      <c r="BS455" s="149">
        <f t="shared" si="410"/>
        <v>0</v>
      </c>
      <c r="BT455" s="149">
        <f t="shared" si="411"/>
        <v>0</v>
      </c>
      <c r="BU455" s="149">
        <f t="shared" si="412"/>
        <v>0</v>
      </c>
      <c r="BV455" s="149">
        <f t="shared" si="413"/>
        <v>0</v>
      </c>
      <c r="BW455" s="149">
        <f t="shared" si="414"/>
        <v>0</v>
      </c>
      <c r="BX455" s="149">
        <f t="shared" si="415"/>
        <v>0</v>
      </c>
      <c r="BY455" s="149">
        <f t="shared" si="416"/>
        <v>0</v>
      </c>
      <c r="BZ455" s="149">
        <f t="shared" si="417"/>
        <v>0</v>
      </c>
      <c r="CA455" s="149">
        <f t="shared" si="418"/>
        <v>0</v>
      </c>
      <c r="CB455" s="149">
        <f t="shared" si="419"/>
        <v>1</v>
      </c>
      <c r="CC455" s="149">
        <f t="shared" si="420"/>
        <v>0</v>
      </c>
      <c r="CD455" s="149">
        <f t="shared" si="421"/>
        <v>1</v>
      </c>
      <c r="CE455" s="149">
        <f t="shared" si="422"/>
        <v>0</v>
      </c>
      <c r="CF455" s="149">
        <f t="shared" si="423"/>
        <v>0</v>
      </c>
      <c r="CG455" s="149">
        <f t="shared" si="424"/>
        <v>0</v>
      </c>
      <c r="CH455" s="149">
        <f t="shared" si="425"/>
        <v>0</v>
      </c>
      <c r="CI455" s="149">
        <f t="shared" si="426"/>
        <v>1</v>
      </c>
      <c r="CJ455" s="149">
        <f t="shared" si="427"/>
        <v>1</v>
      </c>
      <c r="CK455" s="149">
        <f t="shared" si="428"/>
        <v>1</v>
      </c>
      <c r="CL455" s="149">
        <f t="shared" si="429"/>
        <v>1</v>
      </c>
      <c r="CM455" s="149">
        <f t="shared" si="430"/>
        <v>1</v>
      </c>
      <c r="CN455" s="149">
        <f t="shared" si="431"/>
        <v>1</v>
      </c>
      <c r="CO455" s="149">
        <f t="shared" si="432"/>
        <v>1</v>
      </c>
      <c r="CP455" s="149">
        <f t="shared" si="433"/>
        <v>1</v>
      </c>
      <c r="CQ455" s="149">
        <f t="shared" si="434"/>
        <v>1</v>
      </c>
      <c r="CR455" s="149">
        <f t="shared" si="435"/>
        <v>1</v>
      </c>
      <c r="CS455" s="149">
        <f t="shared" si="436"/>
        <v>1</v>
      </c>
      <c r="CT455" s="149">
        <f t="shared" si="437"/>
        <v>1</v>
      </c>
      <c r="CU455" s="149">
        <f t="shared" si="438"/>
        <v>1</v>
      </c>
      <c r="CV455" s="149">
        <f t="shared" si="439"/>
        <v>1</v>
      </c>
      <c r="CW455" s="149">
        <f t="shared" si="440"/>
        <v>1</v>
      </c>
      <c r="CX455" s="149">
        <f t="shared" si="441"/>
        <v>1</v>
      </c>
      <c r="CY455" s="149">
        <f t="shared" si="442"/>
        <v>1</v>
      </c>
      <c r="CZ455" s="149">
        <f t="shared" si="443"/>
        <v>1</v>
      </c>
      <c r="DA455" s="149">
        <f t="shared" si="444"/>
        <v>1</v>
      </c>
      <c r="DB455" s="149">
        <f t="shared" si="445"/>
        <v>1</v>
      </c>
      <c r="DG455" s="125" t="str">
        <f t="shared" si="296"/>
        <v/>
      </c>
      <c r="DH455" s="125" t="str">
        <f t="shared" si="458"/>
        <v/>
      </c>
      <c r="DI455" s="125" t="str">
        <f t="shared" si="458"/>
        <v/>
      </c>
      <c r="DJ455" s="125" t="str">
        <f t="shared" si="458"/>
        <v/>
      </c>
      <c r="DK455" s="125" t="str">
        <f t="shared" si="458"/>
        <v/>
      </c>
      <c r="DL455" s="125" t="str">
        <f t="shared" si="458"/>
        <v/>
      </c>
      <c r="DM455" s="125" t="str">
        <f t="shared" si="458"/>
        <v/>
      </c>
      <c r="DN455" s="125" t="str">
        <f t="shared" si="458"/>
        <v/>
      </c>
      <c r="DO455" s="125" t="str">
        <f t="shared" si="458"/>
        <v/>
      </c>
      <c r="DP455" s="125" t="str">
        <f t="shared" si="458"/>
        <v/>
      </c>
      <c r="DS455" s="137"/>
      <c r="DT455" s="137"/>
      <c r="DU455" s="137"/>
      <c r="DV455" s="137" t="b">
        <f t="shared" si="446"/>
        <v>0</v>
      </c>
      <c r="DW455" s="137" t="b">
        <f t="shared" si="447"/>
        <v>0</v>
      </c>
      <c r="DX455" s="137" t="b">
        <f t="shared" si="448"/>
        <v>1</v>
      </c>
      <c r="EB455" s="131">
        <f t="shared" si="449"/>
        <v>1</v>
      </c>
      <c r="EC455" s="137" t="b">
        <f t="shared" si="450"/>
        <v>0</v>
      </c>
      <c r="ED455" s="137" t="b">
        <f t="shared" si="451"/>
        <v>0</v>
      </c>
      <c r="EE455" s="137" t="b">
        <f t="shared" si="452"/>
        <v>1</v>
      </c>
      <c r="EF455" s="137"/>
      <c r="EG455" s="137"/>
      <c r="EH455" s="137"/>
      <c r="EI455" s="137"/>
      <c r="EJ455" s="137">
        <f t="shared" si="453"/>
        <v>1</v>
      </c>
      <c r="EK455" s="125" t="str">
        <f t="shared" si="454"/>
        <v/>
      </c>
      <c r="EL455" s="125" t="str">
        <f t="shared" si="455"/>
        <v/>
      </c>
    </row>
    <row r="456" spans="2:142" ht="15.75" x14ac:dyDescent="0.2">
      <c r="B456" s="160" t="str">
        <f t="shared" si="405"/>
        <v/>
      </c>
      <c r="C456" s="205"/>
      <c r="D456" s="205"/>
      <c r="E456" s="205"/>
      <c r="F456" s="118" t="str">
        <f>IF(OR(J456="",H456=""),"",VLOOKUP(J456,'הזנה לסיווג רשויות'!$B$2:$D$301,2,0))</f>
        <v/>
      </c>
      <c r="G456" s="118" t="str">
        <f>IF(OR(J456="",H456=""),"",VLOOKUP(J456,'הזנה לסיווג רשויות'!$B$2:$D$301,3,0))</f>
        <v/>
      </c>
      <c r="H456" s="201"/>
      <c r="I456" s="201"/>
      <c r="J456" s="205"/>
      <c r="K456" s="161"/>
      <c r="L456" s="161"/>
      <c r="M456" s="161"/>
      <c r="N456" s="161"/>
      <c r="O456" s="161"/>
      <c r="P456" s="161"/>
      <c r="Q456" s="161"/>
      <c r="R456" s="201"/>
      <c r="S456" s="201"/>
      <c r="T456" s="160" t="str">
        <f>IF(G456="","",IFERROR(IF(S456/R456&gt;'פרמטרים לקריטריונים'!$C$20,1,0),0))</f>
        <v/>
      </c>
      <c r="U456" s="201"/>
      <c r="V456" s="160" t="str">
        <f>IF(G456="","",IFERROR(IF(U456/R456&gt;'פרמטרים לקריטריונים'!$C$21,1,IF(AND(I456=$BW$5,U456/R456&gt;'פרמטרים לקריטריונים'!$C$22),1,0)),0))</f>
        <v/>
      </c>
      <c r="W456" s="161"/>
      <c r="X456" s="161"/>
      <c r="Y456" s="201"/>
      <c r="Z456" s="201"/>
      <c r="AA456" s="161" t="str">
        <f t="shared" si="457"/>
        <v/>
      </c>
      <c r="AB456" s="161"/>
      <c r="AC456" s="161"/>
      <c r="AD456" s="161"/>
      <c r="AE456" s="161"/>
      <c r="AF456" s="161"/>
      <c r="AG456" s="161"/>
      <c r="AH456" s="161"/>
      <c r="AI456" s="161"/>
      <c r="AJ456" s="161"/>
      <c r="AK456" s="161"/>
      <c r="AL456" s="161"/>
      <c r="AM456" s="161"/>
      <c r="AN456" s="161"/>
      <c r="AO456" s="161"/>
      <c r="AP456" s="161"/>
      <c r="AQ456" s="161"/>
      <c r="AR456" s="161"/>
      <c r="AS456" s="161"/>
      <c r="AT456" s="161"/>
      <c r="AU456" s="161"/>
      <c r="AV456" s="161"/>
      <c r="AW456" s="160"/>
      <c r="AX456" s="161"/>
      <c r="AY456" s="161"/>
      <c r="AZ456" s="161"/>
      <c r="BA456" s="161"/>
      <c r="BB456" s="161"/>
      <c r="BC456" s="161"/>
      <c r="BD456" s="161"/>
      <c r="BE456" s="161"/>
      <c r="BF456" s="160" t="str">
        <f t="shared" si="406"/>
        <v/>
      </c>
      <c r="BG456" s="160"/>
      <c r="BH456" s="160"/>
      <c r="BI456" s="160"/>
      <c r="BJ456" s="160"/>
      <c r="BK456" s="160"/>
      <c r="BL456" s="162" t="str">
        <f t="shared" si="407"/>
        <v/>
      </c>
      <c r="BM456" s="257"/>
      <c r="BN456" s="163"/>
      <c r="BO456" s="211" t="str">
        <f t="shared" si="408"/>
        <v/>
      </c>
      <c r="BP456" s="125">
        <f t="shared" si="409"/>
        <v>0</v>
      </c>
      <c r="BQ456" s="164">
        <v>0</v>
      </c>
      <c r="BR456" s="164">
        <v>1</v>
      </c>
      <c r="BS456" s="149">
        <f t="shared" si="410"/>
        <v>0</v>
      </c>
      <c r="BT456" s="149">
        <f t="shared" si="411"/>
        <v>0</v>
      </c>
      <c r="BU456" s="149">
        <f t="shared" si="412"/>
        <v>0</v>
      </c>
      <c r="BV456" s="149">
        <f t="shared" si="413"/>
        <v>0</v>
      </c>
      <c r="BW456" s="149">
        <f t="shared" si="414"/>
        <v>0</v>
      </c>
      <c r="BX456" s="149">
        <f t="shared" si="415"/>
        <v>0</v>
      </c>
      <c r="BY456" s="149">
        <f t="shared" si="416"/>
        <v>0</v>
      </c>
      <c r="BZ456" s="149">
        <f t="shared" si="417"/>
        <v>0</v>
      </c>
      <c r="CA456" s="149">
        <f t="shared" si="418"/>
        <v>0</v>
      </c>
      <c r="CB456" s="149">
        <f t="shared" si="419"/>
        <v>1</v>
      </c>
      <c r="CC456" s="149">
        <f t="shared" si="420"/>
        <v>0</v>
      </c>
      <c r="CD456" s="149">
        <f t="shared" si="421"/>
        <v>1</v>
      </c>
      <c r="CE456" s="149">
        <f t="shared" si="422"/>
        <v>0</v>
      </c>
      <c r="CF456" s="149">
        <f t="shared" si="423"/>
        <v>0</v>
      </c>
      <c r="CG456" s="149">
        <f t="shared" si="424"/>
        <v>0</v>
      </c>
      <c r="CH456" s="149">
        <f t="shared" si="425"/>
        <v>0</v>
      </c>
      <c r="CI456" s="149">
        <f t="shared" si="426"/>
        <v>1</v>
      </c>
      <c r="CJ456" s="149">
        <f t="shared" si="427"/>
        <v>1</v>
      </c>
      <c r="CK456" s="149">
        <f t="shared" si="428"/>
        <v>1</v>
      </c>
      <c r="CL456" s="149">
        <f t="shared" si="429"/>
        <v>1</v>
      </c>
      <c r="CM456" s="149">
        <f t="shared" si="430"/>
        <v>1</v>
      </c>
      <c r="CN456" s="149">
        <f t="shared" si="431"/>
        <v>1</v>
      </c>
      <c r="CO456" s="149">
        <f t="shared" si="432"/>
        <v>1</v>
      </c>
      <c r="CP456" s="149">
        <f t="shared" si="433"/>
        <v>1</v>
      </c>
      <c r="CQ456" s="149">
        <f t="shared" si="434"/>
        <v>1</v>
      </c>
      <c r="CR456" s="149">
        <f t="shared" si="435"/>
        <v>1</v>
      </c>
      <c r="CS456" s="149">
        <f t="shared" si="436"/>
        <v>1</v>
      </c>
      <c r="CT456" s="149">
        <f t="shared" si="437"/>
        <v>1</v>
      </c>
      <c r="CU456" s="149">
        <f t="shared" si="438"/>
        <v>1</v>
      </c>
      <c r="CV456" s="149">
        <f t="shared" si="439"/>
        <v>1</v>
      </c>
      <c r="CW456" s="149">
        <f t="shared" si="440"/>
        <v>1</v>
      </c>
      <c r="CX456" s="149">
        <f t="shared" si="441"/>
        <v>1</v>
      </c>
      <c r="CY456" s="149">
        <f t="shared" si="442"/>
        <v>1</v>
      </c>
      <c r="CZ456" s="149">
        <f t="shared" si="443"/>
        <v>1</v>
      </c>
      <c r="DA456" s="149">
        <f t="shared" si="444"/>
        <v>1</v>
      </c>
      <c r="DB456" s="149">
        <f t="shared" si="445"/>
        <v>1</v>
      </c>
      <c r="DG456" s="125" t="str">
        <f t="shared" si="296"/>
        <v/>
      </c>
      <c r="DH456" s="125" t="str">
        <f t="shared" si="458"/>
        <v/>
      </c>
      <c r="DI456" s="125" t="str">
        <f t="shared" si="458"/>
        <v/>
      </c>
      <c r="DJ456" s="125" t="str">
        <f t="shared" si="458"/>
        <v/>
      </c>
      <c r="DK456" s="125" t="str">
        <f t="shared" si="458"/>
        <v/>
      </c>
      <c r="DL456" s="125" t="str">
        <f t="shared" si="458"/>
        <v/>
      </c>
      <c r="DM456" s="125" t="str">
        <f t="shared" si="458"/>
        <v/>
      </c>
      <c r="DN456" s="125" t="str">
        <f t="shared" si="458"/>
        <v/>
      </c>
      <c r="DO456" s="125" t="str">
        <f t="shared" si="458"/>
        <v/>
      </c>
      <c r="DP456" s="125" t="str">
        <f t="shared" si="458"/>
        <v/>
      </c>
      <c r="DS456" s="137"/>
      <c r="DT456" s="137"/>
      <c r="DU456" s="137"/>
      <c r="DV456" s="137" t="b">
        <f t="shared" si="446"/>
        <v>0</v>
      </c>
      <c r="DW456" s="137" t="b">
        <f t="shared" si="447"/>
        <v>0</v>
      </c>
      <c r="DX456" s="137" t="b">
        <f t="shared" si="448"/>
        <v>1</v>
      </c>
      <c r="EB456" s="131">
        <f t="shared" si="449"/>
        <v>1</v>
      </c>
      <c r="EC456" s="137" t="b">
        <f t="shared" si="450"/>
        <v>0</v>
      </c>
      <c r="ED456" s="137" t="b">
        <f t="shared" si="451"/>
        <v>0</v>
      </c>
      <c r="EE456" s="137" t="b">
        <f t="shared" si="452"/>
        <v>1</v>
      </c>
      <c r="EF456" s="137"/>
      <c r="EG456" s="137"/>
      <c r="EH456" s="137"/>
      <c r="EI456" s="137"/>
      <c r="EJ456" s="137">
        <f t="shared" si="453"/>
        <v>1</v>
      </c>
      <c r="EK456" s="125" t="str">
        <f t="shared" si="454"/>
        <v/>
      </c>
      <c r="EL456" s="125" t="str">
        <f t="shared" si="455"/>
        <v/>
      </c>
    </row>
    <row r="457" spans="2:142" ht="15.75" x14ac:dyDescent="0.2">
      <c r="B457" s="160" t="str">
        <f t="shared" si="405"/>
        <v/>
      </c>
      <c r="C457" s="205"/>
      <c r="D457" s="205"/>
      <c r="E457" s="205"/>
      <c r="F457" s="118" t="str">
        <f>IF(OR(J457="",H457=""),"",VLOOKUP(J457,'הזנה לסיווג רשויות'!$B$2:$D$301,2,0))</f>
        <v/>
      </c>
      <c r="G457" s="118" t="str">
        <f>IF(OR(J457="",H457=""),"",VLOOKUP(J457,'הזנה לסיווג רשויות'!$B$2:$D$301,3,0))</f>
        <v/>
      </c>
      <c r="H457" s="201"/>
      <c r="I457" s="201"/>
      <c r="J457" s="205"/>
      <c r="K457" s="161"/>
      <c r="L457" s="161"/>
      <c r="M457" s="161"/>
      <c r="N457" s="161"/>
      <c r="O457" s="161"/>
      <c r="P457" s="161"/>
      <c r="Q457" s="161"/>
      <c r="R457" s="201"/>
      <c r="S457" s="201"/>
      <c r="T457" s="160" t="str">
        <f>IF(G457="","",IFERROR(IF(S457/R457&gt;'פרמטרים לקריטריונים'!$C$20,1,0),0))</f>
        <v/>
      </c>
      <c r="U457" s="201"/>
      <c r="V457" s="160" t="str">
        <f>IF(G457="","",IFERROR(IF(U457/R457&gt;'פרמטרים לקריטריונים'!$C$21,1,IF(AND(I457=$BW$5,U457/R457&gt;'פרמטרים לקריטריונים'!$C$22),1,0)),0))</f>
        <v/>
      </c>
      <c r="W457" s="161"/>
      <c r="X457" s="161"/>
      <c r="Y457" s="201"/>
      <c r="Z457" s="201"/>
      <c r="AA457" s="161" t="str">
        <f t="shared" si="457"/>
        <v/>
      </c>
      <c r="AB457" s="161"/>
      <c r="AC457" s="161"/>
      <c r="AD457" s="161"/>
      <c r="AE457" s="161"/>
      <c r="AF457" s="161"/>
      <c r="AG457" s="161"/>
      <c r="AH457" s="161"/>
      <c r="AI457" s="161"/>
      <c r="AJ457" s="161"/>
      <c r="AK457" s="161"/>
      <c r="AL457" s="161"/>
      <c r="AM457" s="161"/>
      <c r="AN457" s="161"/>
      <c r="AO457" s="161"/>
      <c r="AP457" s="161"/>
      <c r="AQ457" s="161"/>
      <c r="AR457" s="161"/>
      <c r="AS457" s="161"/>
      <c r="AT457" s="161"/>
      <c r="AU457" s="161"/>
      <c r="AV457" s="161"/>
      <c r="AW457" s="160"/>
      <c r="AX457" s="161"/>
      <c r="AY457" s="161"/>
      <c r="AZ457" s="161"/>
      <c r="BA457" s="161"/>
      <c r="BB457" s="161"/>
      <c r="BC457" s="161"/>
      <c r="BD457" s="161"/>
      <c r="BE457" s="161"/>
      <c r="BF457" s="160" t="str">
        <f t="shared" si="406"/>
        <v/>
      </c>
      <c r="BG457" s="160"/>
      <c r="BH457" s="160"/>
      <c r="BI457" s="160"/>
      <c r="BJ457" s="160"/>
      <c r="BK457" s="160"/>
      <c r="BL457" s="162" t="str">
        <f t="shared" si="407"/>
        <v/>
      </c>
      <c r="BM457" s="257"/>
      <c r="BN457" s="163"/>
      <c r="BO457" s="211" t="str">
        <f t="shared" si="408"/>
        <v/>
      </c>
      <c r="BP457" s="125">
        <f t="shared" si="409"/>
        <v>0</v>
      </c>
      <c r="BQ457" s="164">
        <v>0</v>
      </c>
      <c r="BR457" s="164">
        <v>1</v>
      </c>
      <c r="BS457" s="149">
        <f t="shared" si="410"/>
        <v>0</v>
      </c>
      <c r="BT457" s="149">
        <f t="shared" si="411"/>
        <v>0</v>
      </c>
      <c r="BU457" s="149">
        <f t="shared" si="412"/>
        <v>0</v>
      </c>
      <c r="BV457" s="149">
        <f t="shared" si="413"/>
        <v>0</v>
      </c>
      <c r="BW457" s="149">
        <f t="shared" si="414"/>
        <v>0</v>
      </c>
      <c r="BX457" s="149">
        <f t="shared" si="415"/>
        <v>0</v>
      </c>
      <c r="BY457" s="149">
        <f t="shared" si="416"/>
        <v>0</v>
      </c>
      <c r="BZ457" s="149">
        <f t="shared" si="417"/>
        <v>0</v>
      </c>
      <c r="CA457" s="149">
        <f t="shared" si="418"/>
        <v>0</v>
      </c>
      <c r="CB457" s="149">
        <f t="shared" si="419"/>
        <v>1</v>
      </c>
      <c r="CC457" s="149">
        <f t="shared" si="420"/>
        <v>0</v>
      </c>
      <c r="CD457" s="149">
        <f t="shared" si="421"/>
        <v>1</v>
      </c>
      <c r="CE457" s="149">
        <f t="shared" si="422"/>
        <v>0</v>
      </c>
      <c r="CF457" s="149">
        <f t="shared" si="423"/>
        <v>0</v>
      </c>
      <c r="CG457" s="149">
        <f t="shared" si="424"/>
        <v>0</v>
      </c>
      <c r="CH457" s="149">
        <f t="shared" si="425"/>
        <v>0</v>
      </c>
      <c r="CI457" s="149">
        <f t="shared" si="426"/>
        <v>1</v>
      </c>
      <c r="CJ457" s="149">
        <f t="shared" si="427"/>
        <v>1</v>
      </c>
      <c r="CK457" s="149">
        <f t="shared" si="428"/>
        <v>1</v>
      </c>
      <c r="CL457" s="149">
        <f t="shared" si="429"/>
        <v>1</v>
      </c>
      <c r="CM457" s="149">
        <f t="shared" si="430"/>
        <v>1</v>
      </c>
      <c r="CN457" s="149">
        <f t="shared" si="431"/>
        <v>1</v>
      </c>
      <c r="CO457" s="149">
        <f t="shared" si="432"/>
        <v>1</v>
      </c>
      <c r="CP457" s="149">
        <f t="shared" si="433"/>
        <v>1</v>
      </c>
      <c r="CQ457" s="149">
        <f t="shared" si="434"/>
        <v>1</v>
      </c>
      <c r="CR457" s="149">
        <f t="shared" si="435"/>
        <v>1</v>
      </c>
      <c r="CS457" s="149">
        <f t="shared" si="436"/>
        <v>1</v>
      </c>
      <c r="CT457" s="149">
        <f t="shared" si="437"/>
        <v>1</v>
      </c>
      <c r="CU457" s="149">
        <f t="shared" si="438"/>
        <v>1</v>
      </c>
      <c r="CV457" s="149">
        <f t="shared" si="439"/>
        <v>1</v>
      </c>
      <c r="CW457" s="149">
        <f t="shared" si="440"/>
        <v>1</v>
      </c>
      <c r="CX457" s="149">
        <f t="shared" si="441"/>
        <v>1</v>
      </c>
      <c r="CY457" s="149">
        <f t="shared" si="442"/>
        <v>1</v>
      </c>
      <c r="CZ457" s="149">
        <f t="shared" si="443"/>
        <v>1</v>
      </c>
      <c r="DA457" s="149">
        <f t="shared" si="444"/>
        <v>1</v>
      </c>
      <c r="DB457" s="149">
        <f t="shared" si="445"/>
        <v>1</v>
      </c>
      <c r="DG457" s="125" t="str">
        <f t="shared" si="296"/>
        <v/>
      </c>
      <c r="DH457" s="125" t="str">
        <f t="shared" si="458"/>
        <v/>
      </c>
      <c r="DI457" s="125" t="str">
        <f t="shared" si="458"/>
        <v/>
      </c>
      <c r="DJ457" s="125" t="str">
        <f t="shared" si="458"/>
        <v/>
      </c>
      <c r="DK457" s="125" t="str">
        <f t="shared" si="458"/>
        <v/>
      </c>
      <c r="DL457" s="125" t="str">
        <f t="shared" si="458"/>
        <v/>
      </c>
      <c r="DM457" s="125" t="str">
        <f t="shared" si="458"/>
        <v/>
      </c>
      <c r="DN457" s="125" t="str">
        <f t="shared" si="458"/>
        <v/>
      </c>
      <c r="DO457" s="125" t="str">
        <f t="shared" si="458"/>
        <v/>
      </c>
      <c r="DP457" s="125" t="str">
        <f t="shared" si="458"/>
        <v/>
      </c>
      <c r="DS457" s="137"/>
      <c r="DT457" s="137"/>
      <c r="DU457" s="137"/>
      <c r="DV457" s="137" t="b">
        <f t="shared" si="446"/>
        <v>0</v>
      </c>
      <c r="DW457" s="137" t="b">
        <f t="shared" si="447"/>
        <v>0</v>
      </c>
      <c r="DX457" s="137" t="b">
        <f t="shared" si="448"/>
        <v>1</v>
      </c>
      <c r="EB457" s="131">
        <f t="shared" si="449"/>
        <v>1</v>
      </c>
      <c r="EC457" s="137" t="b">
        <f t="shared" si="450"/>
        <v>0</v>
      </c>
      <c r="ED457" s="137" t="b">
        <f t="shared" si="451"/>
        <v>0</v>
      </c>
      <c r="EE457" s="137" t="b">
        <f t="shared" si="452"/>
        <v>1</v>
      </c>
      <c r="EF457" s="137"/>
      <c r="EG457" s="137"/>
      <c r="EH457" s="137"/>
      <c r="EI457" s="137"/>
      <c r="EJ457" s="137">
        <f t="shared" si="453"/>
        <v>1</v>
      </c>
      <c r="EK457" s="125" t="str">
        <f t="shared" si="454"/>
        <v/>
      </c>
      <c r="EL457" s="125" t="str">
        <f t="shared" si="455"/>
        <v/>
      </c>
    </row>
    <row r="458" spans="2:142" ht="15.75" x14ac:dyDescent="0.2">
      <c r="B458" s="160" t="str">
        <f t="shared" ref="B458:B500" si="459">IF(G458="","",ROW()-30)</f>
        <v/>
      </c>
      <c r="C458" s="205"/>
      <c r="D458" s="205"/>
      <c r="E458" s="205"/>
      <c r="F458" s="118" t="str">
        <f>IF(OR(J458="",H458=""),"",VLOOKUP(J458,'הזנה לסיווג רשויות'!$B$2:$D$301,2,0))</f>
        <v/>
      </c>
      <c r="G458" s="118" t="str">
        <f>IF(OR(J458="",H458=""),"",VLOOKUP(J458,'הזנה לסיווג רשויות'!$B$2:$D$301,3,0))</f>
        <v/>
      </c>
      <c r="H458" s="201"/>
      <c r="I458" s="201"/>
      <c r="J458" s="205"/>
      <c r="K458" s="161"/>
      <c r="L458" s="161"/>
      <c r="M458" s="161"/>
      <c r="N458" s="161"/>
      <c r="O458" s="161"/>
      <c r="P458" s="161"/>
      <c r="Q458" s="161"/>
      <c r="R458" s="201"/>
      <c r="S458" s="201"/>
      <c r="T458" s="160" t="str">
        <f>IF(G458="","",IFERROR(IF(S458/R458&gt;'פרמטרים לקריטריונים'!$C$20,1,0),0))</f>
        <v/>
      </c>
      <c r="U458" s="201"/>
      <c r="V458" s="160" t="str">
        <f>IF(G458="","",IFERROR(IF(U458/R458&gt;'פרמטרים לקריטריונים'!$C$21,1,IF(AND(I458=$BW$5,U458/R458&gt;'פרמטרים לקריטריונים'!$C$22),1,0)),0))</f>
        <v/>
      </c>
      <c r="W458" s="161"/>
      <c r="X458" s="161"/>
      <c r="Y458" s="201"/>
      <c r="Z458" s="201"/>
      <c r="AA458" s="161" t="str">
        <f t="shared" si="457"/>
        <v/>
      </c>
      <c r="AB458" s="161"/>
      <c r="AC458" s="161"/>
      <c r="AD458" s="161"/>
      <c r="AE458" s="161"/>
      <c r="AF458" s="161"/>
      <c r="AG458" s="161"/>
      <c r="AH458" s="161"/>
      <c r="AI458" s="161"/>
      <c r="AJ458" s="161"/>
      <c r="AK458" s="161"/>
      <c r="AL458" s="161"/>
      <c r="AM458" s="161"/>
      <c r="AN458" s="161"/>
      <c r="AO458" s="161"/>
      <c r="AP458" s="161"/>
      <c r="AQ458" s="161"/>
      <c r="AR458" s="161"/>
      <c r="AS458" s="161"/>
      <c r="AT458" s="161"/>
      <c r="AU458" s="161"/>
      <c r="AV458" s="161"/>
      <c r="AW458" s="160"/>
      <c r="AX458" s="161"/>
      <c r="AY458" s="161"/>
      <c r="AZ458" s="161"/>
      <c r="BA458" s="161"/>
      <c r="BB458" s="161"/>
      <c r="BC458" s="161"/>
      <c r="BD458" s="161"/>
      <c r="BE458" s="161"/>
      <c r="BF458" s="160" t="str">
        <f t="shared" ref="BF458:BF500" si="460">IFERROR(SUM(AZ458:BE458)/COUNT(AZ458:BE458),"")</f>
        <v/>
      </c>
      <c r="BG458" s="160"/>
      <c r="BH458" s="160"/>
      <c r="BI458" s="160"/>
      <c r="BJ458" s="160"/>
      <c r="BK458" s="160"/>
      <c r="BL458" s="162" t="str">
        <f t="shared" ref="BL458:BL500" si="461">IF($G458="","",IF(SUM(N458:O458)=0,0,IF(OR(H458="",I458="",J458="",AA458=0,Y458=""),$BQ$1,IF(BP458&lt;&gt;1,$BQ$1,IF(SUMPRODUCT(--(K458:BG458&gt;=$K$5:$BG$5)*($K$5:$BG$5&lt;&gt;"")*($K$4:$BG$4=1))=COUNTIF($K$4:$BG$4,1),1,0)))))</f>
        <v/>
      </c>
      <c r="BM458" s="257"/>
      <c r="BN458" s="163"/>
      <c r="BO458" s="211" t="str">
        <f t="shared" ref="BO458:BO500" si="462">CONCATENATE(H458,I458)</f>
        <v/>
      </c>
      <c r="BP458" s="125">
        <f t="shared" ref="BP458:BP500" si="463">IF(OR(SUM(BS458:DB458)&lt;&gt;COUNT(BS458:DB458),SUMPRODUCT(--(N458:BG458=$BQ$1))&lt;&gt;0),0,1)</f>
        <v>0</v>
      </c>
      <c r="BQ458" s="164">
        <v>0</v>
      </c>
      <c r="BR458" s="164">
        <v>1</v>
      </c>
      <c r="BS458" s="149">
        <f t="shared" ref="BS458:BS500" si="464">IF(OR(K$30="",K$4=99),1,IF(K458="",0,IFERROR(CHOOSE(BS$28,IF(ISNA(MATCH(K458,$BQ$30:$BR$30,0)),0,1),IF(ISNUMBER(K458),1,0),IF(K458=TRUNC(K458),1,0),IF(AND(K458*1=K458,K458&gt;=0),1,0),IF(AND(K458=TRUNC(K458),K458&gt;=0),1,0),IF(AND(K458*1=K458,K458&gt;0),1,0),IF(AND(K458=TRUNC(K458),K458&gt;0),1,0),1,IF(ISNA(HLOOKUP(K458,$BT$4:$CD$4,1,0)),0,1)),0)))</f>
        <v>0</v>
      </c>
      <c r="BT458" s="149">
        <f t="shared" ref="BT458:BT500" si="465">IF(OR(L$30="",L$4=99),1,IF(L458="",0,IFERROR(CHOOSE(BT$28,IF(ISNA(MATCH(L458,$BQ$30:$BR$30,0)),0,1),IF(ISNUMBER(L458),1,0),IF(L458=TRUNC(L458),1,0),IF(AND(L458*1=L458,L458&gt;=0),1,0),IF(AND(L458=TRUNC(L458),L458&gt;=0),1,0),IF(AND(L458*1=L458,L458&gt;0),1,0),IF(AND(L458=TRUNC(L458),L458&gt;0),1,0),1,IF(ISNA(HLOOKUP(L458,$BT$4:$CD$4,1,0)),0,1)),0)))</f>
        <v>0</v>
      </c>
      <c r="BU458" s="149">
        <f t="shared" ref="BU458:BU500" si="466">IF(OR(M$30="",M$4=99),1,IF(M458="",0,IFERROR(CHOOSE(BU$28,IF(ISNA(MATCH(M458,$BQ$30:$BR$30,0)),0,1),IF(ISNUMBER(M458),1,0),IF(M458=TRUNC(M458),1,0),IF(AND(M458*1=M458,M458&gt;=0),1,0),IF(AND(M458=TRUNC(M458),M458&gt;=0),1,0),IF(AND(M458*1=M458,M458&gt;0),1,0),IF(AND(M458=TRUNC(M458),M458&gt;0),1,0),1,IF(ISNA(HLOOKUP(M458,$BT$4:$CD$4,1,0)),0,1)),0)))</f>
        <v>0</v>
      </c>
      <c r="BV458" s="149">
        <f t="shared" ref="BV458:BV500" si="467">IF(OR(N$30="",N$4=99),1,IF(N458="",0,IFERROR(CHOOSE(BV$28,IF(ISNA(MATCH(N458,$BQ$30:$BR$30,0)),0,1),IF(ISNUMBER(N458),1,0),IF(N458=TRUNC(N458),1,0),IF(AND(N458*1=N458,N458&gt;=0),1,0),IF(AND(N458=TRUNC(N458),N458&gt;=0),1,0),IF(AND(N458*1=N458,N458&gt;0),1,0),IF(AND(N458=TRUNC(N458),N458&gt;0),1,0),1,IF(ISNA(HLOOKUP(N458,$BT$4:$CD$4,1,0)),0,1)),0)))</f>
        <v>0</v>
      </c>
      <c r="BW458" s="149">
        <f t="shared" ref="BW458:BW500" si="468">IF(OR(O$30="",O$4=99),1,IF(O458="",0,IFERROR(CHOOSE(BW$28,IF(ISNA(MATCH(O458,$BQ$30:$BR$30,0)),0,1),IF(ISNUMBER(O458),1,0),IF(O458=TRUNC(O458),1,0),IF(AND(O458*1=O458,O458&gt;=0),1,0),IF(AND(O458=TRUNC(O458),O458&gt;=0),1,0),IF(AND(O458*1=O458,O458&gt;0),1,0),IF(AND(O458=TRUNC(O458),O458&gt;0),1,0),1,IF(ISNA(HLOOKUP(O458,$BT$4:$CD$4,1,0)),0,1)),0)))</f>
        <v>0</v>
      </c>
      <c r="BX458" s="149">
        <f t="shared" ref="BX458:BX500" si="469">IF(OR(P$30="",P$4=99),1,IF(P458="",0,IFERROR(CHOOSE(BX$28,IF(ISNA(MATCH(P458,$BQ$30:$BR$30,0)),0,1),IF(ISNUMBER(P458),1,0),IF(P458=TRUNC(P458),1,0),IF(AND(P458*1=P458,P458&gt;=0),1,0),IF(AND(P458=TRUNC(P458),P458&gt;=0),1,0),IF(AND(P458*1=P458,P458&gt;0),1,0),IF(AND(P458=TRUNC(P458),P458&gt;0),1,0),1,IF(ISNA(HLOOKUP(P458,$BT$4:$CD$4,1,0)),0,1)),0)))</f>
        <v>0</v>
      </c>
      <c r="BY458" s="149">
        <f t="shared" ref="BY458:BY500" si="470">IF(OR(Q$30="",Q$4=99),1,IF(Q458="",0,IFERROR(CHOOSE(BY$28,IF(ISNA(MATCH(Q458,$BQ$30:$BR$30,0)),0,1),IF(ISNUMBER(Q458),1,0),IF(Q458=TRUNC(Q458),1,0),IF(AND(Q458*1=Q458,Q458&gt;=0),1,0),IF(AND(Q458=TRUNC(Q458),Q458&gt;=0),1,0),IF(AND(Q458*1=Q458,Q458&gt;0),1,0),IF(AND(Q458=TRUNC(Q458),Q458&gt;0),1,0),1,IF(ISNA(HLOOKUP(Q458,$BT$4:$CD$4,1,0)),0,1)),0)))</f>
        <v>0</v>
      </c>
      <c r="BZ458" s="149">
        <f t="shared" ref="BZ458:BZ500" si="471">IF(OR(R$30="",R$4=99),1,IF(R458="",0,IFERROR(CHOOSE(BZ$28,IF(ISNA(MATCH(R458,$BQ$30:$BR$30,0)),0,1),IF(ISNUMBER(R458),1,0),IF(R458=TRUNC(R458),1,0),IF(AND(R458*1=R458,R458&gt;=0),1,0),IF(AND(R458=TRUNC(R458),R458&gt;=0),1,0),IF(AND(R458*1=R458,R458&gt;0),1,0),IF(AND(R458=TRUNC(R458),R458&gt;0),1,0),1,IF(ISNA(HLOOKUP(R458,$BT$4:$CD$4,1,0)),0,1)),0)))</f>
        <v>0</v>
      </c>
      <c r="CA458" s="149">
        <f t="shared" ref="CA458:CA500" si="472">IF(OR(S$30="",S$4=99),1,IF(S458="",0,IFERROR(CHOOSE(CA$28,IF(ISNA(MATCH(S458,$BQ$30:$BR$30,0)),0,1),IF(ISNUMBER(S458),1,0),IF(S458=TRUNC(S458),1,0),IF(AND(S458*1=S458,S458&gt;=0),1,0),IF(AND(S458=TRUNC(S458),S458&gt;=0),1,0),IF(AND(S458*1=S458,S458&gt;0),1,0),IF(AND(S458=TRUNC(S458),S458&gt;0),1,0),1,IF(ISNA(HLOOKUP(S458,$BT$4:$CD$4,1,0)),0,1)),0)))</f>
        <v>0</v>
      </c>
      <c r="CB458" s="149">
        <f t="shared" ref="CB458:CB500" si="473">IF(OR(T$30="",T$4=99),1,IF(T458="",0,IFERROR(CHOOSE(CB$28,IF(ISNA(MATCH(T458,$BQ$30:$BR$30,0)),0,1),IF(ISNUMBER(T458),1,0),IF(T458=TRUNC(T458),1,0),IF(AND(T458*1=T458,T458&gt;=0),1,0),IF(AND(T458=TRUNC(T458),T458&gt;=0),1,0),IF(AND(T458*1=T458,T458&gt;0),1,0),IF(AND(T458=TRUNC(T458),T458&gt;0),1,0),1,IF(ISNA(HLOOKUP(T458,$BT$4:$CD$4,1,0)),0,1)),0)))</f>
        <v>1</v>
      </c>
      <c r="CC458" s="149">
        <f t="shared" ref="CC458:CC500" si="474">IF(OR(U$30="",U$4=99),1,IF(U458="",0,IFERROR(CHOOSE(CC$28,IF(ISNA(MATCH(U458,$BQ$30:$BR$30,0)),0,1),IF(ISNUMBER(U458),1,0),IF(U458=TRUNC(U458),1,0),IF(AND(U458*1=U458,U458&gt;=0),1,0),IF(AND(U458=TRUNC(U458),U458&gt;=0),1,0),IF(AND(U458*1=U458,U458&gt;0),1,0),IF(AND(U458=TRUNC(U458),U458&gt;0),1,0),1,IF(ISNA(HLOOKUP(U458,$BT$4:$CD$4,1,0)),0,1)),0)))</f>
        <v>0</v>
      </c>
      <c r="CD458" s="149">
        <f t="shared" ref="CD458:CD500" si="475">IF(OR(V$30="",V$4=99),1,IF(V458="",0,IFERROR(CHOOSE(CD$28,IF(ISNA(MATCH(V458,$BQ$30:$BR$30,0)),0,1),IF(ISNUMBER(V458),1,0),IF(V458=TRUNC(V458),1,0),IF(AND(V458*1=V458,V458&gt;=0),1,0),IF(AND(V458=TRUNC(V458),V458&gt;=0),1,0),IF(AND(V458*1=V458,V458&gt;0),1,0),IF(AND(V458=TRUNC(V458),V458&gt;0),1,0),1,IF(ISNA(HLOOKUP(V458,$BT$4:$CD$4,1,0)),0,1)),0)))</f>
        <v>1</v>
      </c>
      <c r="CE458" s="149">
        <f t="shared" ref="CE458:CE500" si="476">IF(OR(W$30="",W$4=99),1,IF(W458="",0,IFERROR(CHOOSE(CE$28,IF(ISNA(MATCH(W458,$BQ$30:$BR$30,0)),0,1),IF(ISNUMBER(W458),1,0),IF(W458=TRUNC(W458),1,0),IF(AND(W458*1=W458,W458&gt;=0),1,0),IF(AND(W458=TRUNC(W458),W458&gt;=0),1,0),IF(AND(W458*1=W458,W458&gt;0),1,0),IF(AND(W458=TRUNC(W458),W458&gt;0),1,0),1,IF(ISNA(HLOOKUP(W458,$BT$4:$CD$4,1,0)),0,1)),0)))</f>
        <v>0</v>
      </c>
      <c r="CF458" s="149">
        <f t="shared" ref="CF458:CF500" si="477">IF(OR(X$30="",X$4=99),1,IF(X458="",0,IFERROR(CHOOSE(CF$28,IF(ISNA(MATCH(X458,$BQ$30:$BR$30,0)),0,1),IF(ISNUMBER(X458),1,0),IF(X458=TRUNC(X458),1,0),IF(AND(X458*1=X458,X458&gt;=0),1,0),IF(AND(X458=TRUNC(X458),X458&gt;=0),1,0),IF(AND(X458*1=X458,X458&gt;0),1,0),IF(AND(X458=TRUNC(X458),X458&gt;0),1,0),1,IF(ISNA(HLOOKUP(X458,$BT$4:$CD$4,1,0)),0,1)),0)))</f>
        <v>0</v>
      </c>
      <c r="CG458" s="149">
        <f t="shared" ref="CG458:CG500" si="478">IF(OR(Y$30="",Y$4=99),1,IF(Y458="",0,IFERROR(CHOOSE(CG$28,IF(ISNA(MATCH(Y458,$BQ$30:$BR$30,0)),0,1),IF(ISNUMBER(Y458),1,0),IF(Y458=TRUNC(Y458),1,0),IF(AND(Y458*1=Y458,Y458&gt;=0),1,0),IF(AND(Y458=TRUNC(Y458),Y458&gt;=0),1,0),IF(AND(Y458*1=Y458,Y458&gt;0),1,0),IF(AND(Y458=TRUNC(Y458),Y458&gt;0),1,0),1,IF(ISNA(HLOOKUP(Y458,$BT$4:$CD$4,1,0)),0,1)),0)))</f>
        <v>0</v>
      </c>
      <c r="CH458" s="149">
        <f t="shared" ref="CH458:CH500" si="479">IF(OR(Z$30="",Z$4=99),1,IF(Z458="",0,IFERROR(CHOOSE(CH$28,IF(ISNA(MATCH(Z458,$BQ$30:$BR$30,0)),0,1),IF(ISNUMBER(Z458),1,0),IF(Z458=TRUNC(Z458),1,0),IF(AND(Z458*1=Z458,Z458&gt;=0),1,0),IF(AND(Z458=TRUNC(Z458),Z458&gt;=0),1,0),IF(AND(Z458*1=Z458,Z458&gt;0),1,0),IF(AND(Z458=TRUNC(Z458),Z458&gt;0),1,0),1,IF(ISNA(HLOOKUP(Z458,$BT$4:$CD$4,1,0)),0,1)),0)))</f>
        <v>0</v>
      </c>
      <c r="CI458" s="149">
        <f t="shared" ref="CI458:CI500" si="480">IF(OR(AA$30="",AA$4=99),1,IF(AA458="",0,IFERROR(CHOOSE(CI$28,IF(ISNA(MATCH(AA458,$BQ$30:$BR$30,0)),0,1),IF(ISNUMBER(AA458),1,0),IF(AA458=TRUNC(AA458),1,0),IF(AND(AA458*1=AA458,AA458&gt;=0),1,0),IF(AND(AA458=TRUNC(AA458),AA458&gt;=0),1,0),IF(AND(AA458*1=AA458,AA458&gt;0),1,0),IF(AND(AA458=TRUNC(AA458),AA458&gt;0),1,0),1,IF(ISNA(HLOOKUP(AA458,$BT$4:$CD$4,1,0)),0,1)),0)))</f>
        <v>1</v>
      </c>
      <c r="CJ458" s="149">
        <f t="shared" ref="CJ458:CJ500" si="481">IF(OR(AB$30="",AB$4=99),1,IF(AB458="",0,IFERROR(CHOOSE(CJ$28,IF(ISNA(MATCH(AB458,$BQ$30:$BR$30,0)),0,1),IF(ISNUMBER(AB458),1,0),IF(AB458=TRUNC(AB458),1,0),IF(AND(AB458*1=AB458,AB458&gt;=0),1,0),IF(AND(AB458=TRUNC(AB458),AB458&gt;=0),1,0),IF(AND(AB458*1=AB458,AB458&gt;0),1,0),IF(AND(AB458=TRUNC(AB458),AB458&gt;0),1,0),1,IF(ISNA(HLOOKUP(AB458,$BT$4:$CD$4,1,0)),0,1)),0)))</f>
        <v>1</v>
      </c>
      <c r="CK458" s="149">
        <f t="shared" ref="CK458:CK500" si="482">IF(OR(AC$30="",AC$4=99),1,IF(AC458="",0,IFERROR(CHOOSE(CK$28,IF(ISNA(MATCH(AC458,$BQ$30:$BR$30,0)),0,1),IF(ISNUMBER(AC458),1,0),IF(AC458=TRUNC(AC458),1,0),IF(AND(AC458*1=AC458,AC458&gt;=0),1,0),IF(AND(AC458=TRUNC(AC458),AC458&gt;=0),1,0),IF(AND(AC458*1=AC458,AC458&gt;0),1,0),IF(AND(AC458=TRUNC(AC458),AC458&gt;0),1,0),1,IF(ISNA(HLOOKUP(AC458,$BT$4:$CD$4,1,0)),0,1)),0)))</f>
        <v>1</v>
      </c>
      <c r="CL458" s="149">
        <f t="shared" ref="CL458:CL500" si="483">IF(OR(AD$30="",AD$4=99),1,IF(AD458="",0,IFERROR(CHOOSE(CL$28,IF(ISNA(MATCH(AD458,$BQ$30:$BR$30,0)),0,1),IF(ISNUMBER(AD458),1,0),IF(AD458=TRUNC(AD458),1,0),IF(AND(AD458*1=AD458,AD458&gt;=0),1,0),IF(AND(AD458=TRUNC(AD458),AD458&gt;=0),1,0),IF(AND(AD458*1=AD458,AD458&gt;0),1,0),IF(AND(AD458=TRUNC(AD458),AD458&gt;0),1,0),1,IF(ISNA(HLOOKUP(AD458,$BT$4:$CD$4,1,0)),0,1)),0)))</f>
        <v>1</v>
      </c>
      <c r="CM458" s="149">
        <f t="shared" ref="CM458:CM500" si="484">IF(OR(AE$30="",AE$4=99),1,IF(AE458="",0,IFERROR(CHOOSE(CM$28,IF(ISNA(MATCH(AE458,$BQ$30:$BR$30,0)),0,1),IF(ISNUMBER(AE458),1,0),IF(AE458=TRUNC(AE458),1,0),IF(AND(AE458*1=AE458,AE458&gt;=0),1,0),IF(AND(AE458=TRUNC(AE458),AE458&gt;=0),1,0),IF(AND(AE458*1=AE458,AE458&gt;0),1,0),IF(AND(AE458=TRUNC(AE458),AE458&gt;0),1,0),1,IF(ISNA(HLOOKUP(AE458,$BT$4:$CD$4,1,0)),0,1)),0)))</f>
        <v>1</v>
      </c>
      <c r="CN458" s="149">
        <f t="shared" ref="CN458:CN500" si="485">IF(OR(AF$30="",AF$4=99),1,IF(AF458="",0,IFERROR(CHOOSE(CN$28,IF(ISNA(MATCH(AF458,$BQ$30:$BR$30,0)),0,1),IF(ISNUMBER(AF458),1,0),IF(AF458=TRUNC(AF458),1,0),IF(AND(AF458*1=AF458,AF458&gt;=0),1,0),IF(AND(AF458=TRUNC(AF458),AF458&gt;=0),1,0),IF(AND(AF458*1=AF458,AF458&gt;0),1,0),IF(AND(AF458=TRUNC(AF458),AF458&gt;0),1,0),1,IF(ISNA(HLOOKUP(AF458,$BT$4:$CD$4,1,0)),0,1)),0)))</f>
        <v>1</v>
      </c>
      <c r="CO458" s="149">
        <f t="shared" ref="CO458:CO500" si="486">IF(OR(AG$30="",AG$4=99),1,IF(AG458="",0,IFERROR(CHOOSE(CO$28,IF(ISNA(MATCH(AG458,$BQ$30:$BR$30,0)),0,1),IF(ISNUMBER(AG458),1,0),IF(AG458=TRUNC(AG458),1,0),IF(AND(AG458*1=AG458,AG458&gt;=0),1,0),IF(AND(AG458=TRUNC(AG458),AG458&gt;=0),1,0),IF(AND(AG458*1=AG458,AG458&gt;0),1,0),IF(AND(AG458=TRUNC(AG458),AG458&gt;0),1,0),1,IF(ISNA(HLOOKUP(AG458,$BT$4:$CD$4,1,0)),0,1)),0)))</f>
        <v>1</v>
      </c>
      <c r="CP458" s="149">
        <f t="shared" ref="CP458:CP500" si="487">IF(OR(AH$30="",AH$4=99),1,IF(AH458="",0,IFERROR(CHOOSE(CP$28,IF(ISNA(MATCH(AH458,$BQ$30:$BR$30,0)),0,1),IF(ISNUMBER(AH458),1,0),IF(AH458=TRUNC(AH458),1,0),IF(AND(AH458*1=AH458,AH458&gt;=0),1,0),IF(AND(AH458=TRUNC(AH458),AH458&gt;=0),1,0),IF(AND(AH458*1=AH458,AH458&gt;0),1,0),IF(AND(AH458=TRUNC(AH458),AH458&gt;0),1,0),1,IF(ISNA(HLOOKUP(AH458,$BT$4:$CD$4,1,0)),0,1)),0)))</f>
        <v>1</v>
      </c>
      <c r="CQ458" s="149">
        <f t="shared" ref="CQ458:CQ500" si="488">IF(OR(AI$30="",AI$4=99),1,IF(AI458="",0,IFERROR(CHOOSE(CQ$28,IF(ISNA(MATCH(AI458,$BQ$30:$BR$30,0)),0,1),IF(ISNUMBER(AI458),1,0),IF(AI458=TRUNC(AI458),1,0),IF(AND(AI458*1=AI458,AI458&gt;=0),1,0),IF(AND(AI458=TRUNC(AI458),AI458&gt;=0),1,0),IF(AND(AI458*1=AI458,AI458&gt;0),1,0),IF(AND(AI458=TRUNC(AI458),AI458&gt;0),1,0),1,IF(ISNA(HLOOKUP(AI458,$BT$4:$CD$4,1,0)),0,1)),0)))</f>
        <v>1</v>
      </c>
      <c r="CR458" s="149">
        <f t="shared" ref="CR458:CR500" si="489">IF(OR(AJ$30="",AJ$4=99),1,IF(AJ458="",0,IFERROR(CHOOSE(CR$28,IF(ISNA(MATCH(AJ458,$BQ$30:$BR$30,0)),0,1),IF(ISNUMBER(AJ458),1,0),IF(AJ458=TRUNC(AJ458),1,0),IF(AND(AJ458*1=AJ458,AJ458&gt;=0),1,0),IF(AND(AJ458=TRUNC(AJ458),AJ458&gt;=0),1,0),IF(AND(AJ458*1=AJ458,AJ458&gt;0),1,0),IF(AND(AJ458=TRUNC(AJ458),AJ458&gt;0),1,0),1,IF(ISNA(HLOOKUP(AJ458,$BT$4:$CD$4,1,0)),0,1)),0)))</f>
        <v>1</v>
      </c>
      <c r="CS458" s="149">
        <f t="shared" ref="CS458:CS500" si="490">IF(OR(AK$30="",AK$4=99),1,IF(AK458="",0,IFERROR(CHOOSE(CS$28,IF(ISNA(MATCH(AK458,$BQ$30:$BR$30,0)),0,1),IF(ISNUMBER(AK458),1,0),IF(AK458=TRUNC(AK458),1,0),IF(AND(AK458*1=AK458,AK458&gt;=0),1,0),IF(AND(AK458=TRUNC(AK458),AK458&gt;=0),1,0),IF(AND(AK458*1=AK458,AK458&gt;0),1,0),IF(AND(AK458=TRUNC(AK458),AK458&gt;0),1,0),1,IF(ISNA(HLOOKUP(AK458,$BT$4:$CD$4,1,0)),0,1)),0)))</f>
        <v>1</v>
      </c>
      <c r="CT458" s="149">
        <f t="shared" ref="CT458:CT500" si="491">IF(OR(AL$30="",AL$4=99),1,IF(AL458="",0,IFERROR(CHOOSE(CT$28,IF(ISNA(MATCH(AL458,$BQ$30:$BR$30,0)),0,1),IF(ISNUMBER(AL458),1,0),IF(AL458=TRUNC(AL458),1,0),IF(AND(AL458*1=AL458,AL458&gt;=0),1,0),IF(AND(AL458=TRUNC(AL458),AL458&gt;=0),1,0),IF(AND(AL458*1=AL458,AL458&gt;0),1,0),IF(AND(AL458=TRUNC(AL458),AL458&gt;0),1,0),1,IF(ISNA(HLOOKUP(AL458,$BT$4:$CD$4,1,0)),0,1)),0)))</f>
        <v>1</v>
      </c>
      <c r="CU458" s="149">
        <f t="shared" ref="CU458:CU500" si="492">IF(OR(AM$30="",AM$4=99),1,IF(AM458="",0,IFERROR(CHOOSE(CU$28,IF(ISNA(MATCH(AM458,$BQ$30:$BR$30,0)),0,1),IF(ISNUMBER(AM458),1,0),IF(AM458=TRUNC(AM458),1,0),IF(AND(AM458*1=AM458,AM458&gt;=0),1,0),IF(AND(AM458=TRUNC(AM458),AM458&gt;=0),1,0),IF(AND(AM458*1=AM458,AM458&gt;0),1,0),IF(AND(AM458=TRUNC(AM458),AM458&gt;0),1,0),1,IF(ISNA(HLOOKUP(AM458,$BT$4:$CD$4,1,0)),0,1)),0)))</f>
        <v>1</v>
      </c>
      <c r="CV458" s="149">
        <f t="shared" ref="CV458:CV500" si="493">IF(OR(AN$30="",AN$4=99),1,IF(AN458="",0,IFERROR(CHOOSE(CV$28,IF(ISNA(MATCH(AN458,$BQ$30:$BR$30,0)),0,1),IF(ISNUMBER(AN458),1,0),IF(AN458=TRUNC(AN458),1,0),IF(AND(AN458*1=AN458,AN458&gt;=0),1,0),IF(AND(AN458=TRUNC(AN458),AN458&gt;=0),1,0),IF(AND(AN458*1=AN458,AN458&gt;0),1,0),IF(AND(AN458=TRUNC(AN458),AN458&gt;0),1,0),1,IF(ISNA(HLOOKUP(AN458,$BT$4:$CD$4,1,0)),0,1)),0)))</f>
        <v>1</v>
      </c>
      <c r="CW458" s="149">
        <f t="shared" ref="CW458:CW500" si="494">IF(OR(AO$30="",AO$4=99),1,IF(AO458="",0,IFERROR(CHOOSE(CW$28,IF(ISNA(MATCH(AO458,$BQ$30:$BR$30,0)),0,1),IF(ISNUMBER(AO458),1,0),IF(AO458=TRUNC(AO458),1,0),IF(AND(AO458*1=AO458,AO458&gt;=0),1,0),IF(AND(AO458=TRUNC(AO458),AO458&gt;=0),1,0),IF(AND(AO458*1=AO458,AO458&gt;0),1,0),IF(AND(AO458=TRUNC(AO458),AO458&gt;0),1,0),1,IF(ISNA(HLOOKUP(AO458,$BT$4:$CD$4,1,0)),0,1)),0)))</f>
        <v>1</v>
      </c>
      <c r="CX458" s="149">
        <f t="shared" ref="CX458:CX500" si="495">IF(OR(AP$30="",AP$4=99),1,IF(AP458="",0,IFERROR(CHOOSE(CX$28,IF(ISNA(MATCH(AP458,$BQ$30:$BR$30,0)),0,1),IF(ISNUMBER(AP458),1,0),IF(AP458=TRUNC(AP458),1,0),IF(AND(AP458*1=AP458,AP458&gt;=0),1,0),IF(AND(AP458=TRUNC(AP458),AP458&gt;=0),1,0),IF(AND(AP458*1=AP458,AP458&gt;0),1,0),IF(AND(AP458=TRUNC(AP458),AP458&gt;0),1,0),1,IF(ISNA(HLOOKUP(AP458,$BT$4:$CD$4,1,0)),0,1)),0)))</f>
        <v>1</v>
      </c>
      <c r="CY458" s="149">
        <f t="shared" ref="CY458:CY500" si="496">IF(OR(AQ$30="",AQ$4=99),1,IF(AQ458="",0,IFERROR(CHOOSE(CY$28,IF(ISNA(MATCH(AQ458,$BQ$30:$BR$30,0)),0,1),IF(ISNUMBER(AQ458),1,0),IF(AQ458=TRUNC(AQ458),1,0),IF(AND(AQ458*1=AQ458,AQ458&gt;=0),1,0),IF(AND(AQ458=TRUNC(AQ458),AQ458&gt;=0),1,0),IF(AND(AQ458*1=AQ458,AQ458&gt;0),1,0),IF(AND(AQ458=TRUNC(AQ458),AQ458&gt;0),1,0),1,IF(ISNA(HLOOKUP(AQ458,$BT$4:$CD$4,1,0)),0,1)),0)))</f>
        <v>1</v>
      </c>
      <c r="CZ458" s="149">
        <f t="shared" ref="CZ458:CZ500" si="497">IF(OR(AR$30="",AR$4=99),1,IF(AR458="",0,IFERROR(CHOOSE(CZ$28,IF(ISNA(MATCH(AR458,$BQ$30:$BR$30,0)),0,1),IF(ISNUMBER(AR458),1,0),IF(AR458=TRUNC(AR458),1,0),IF(AND(AR458*1=AR458,AR458&gt;=0),1,0),IF(AND(AR458=TRUNC(AR458),AR458&gt;=0),1,0),IF(AND(AR458*1=AR458,AR458&gt;0),1,0),IF(AND(AR458=TRUNC(AR458),AR458&gt;0),1,0),1,IF(ISNA(HLOOKUP(AR458,$BT$4:$CD$4,1,0)),0,1)),0)))</f>
        <v>1</v>
      </c>
      <c r="DA458" s="149">
        <f t="shared" ref="DA458:DA500" si="498">IF(OR(AS$30="",AS$4=99),1,IF(AS458="",0,IFERROR(CHOOSE(DA$28,IF(ISNA(MATCH(AS458,$BQ$30:$BR$30,0)),0,1),IF(ISNUMBER(AS458),1,0),IF(AS458=TRUNC(AS458),1,0),IF(AND(AS458*1=AS458,AS458&gt;=0),1,0),IF(AND(AS458=TRUNC(AS458),AS458&gt;=0),1,0),IF(AND(AS458*1=AS458,AS458&gt;0),1,0),IF(AND(AS458=TRUNC(AS458),AS458&gt;0),1,0),1,IF(ISNA(HLOOKUP(AS458,$BT$4:$CD$4,1,0)),0,1)),0)))</f>
        <v>1</v>
      </c>
      <c r="DB458" s="149">
        <f t="shared" ref="DB458:DB500" si="499">IF(OR(AT$30="",AT$4=99),1,IF(AT458="",0,IFERROR(CHOOSE(DB$28,IF(ISNA(MATCH(AT458,$BQ$30:$BR$30,0)),0,1),IF(ISNUMBER(AT458),1,0),IF(AT458=TRUNC(AT458),1,0),IF(AND(AT458*1=AT458,AT458&gt;=0),1,0),IF(AND(AT458=TRUNC(AT458),AT458&gt;=0),1,0),IF(AND(AT458*1=AT458,AT458&gt;0),1,0),IF(AND(AT458=TRUNC(AT458),AT458&gt;0),1,0),1,IF(ISNA(HLOOKUP(AT458,$BT$4:$CD$4,1,0)),0,1)),0)))</f>
        <v>1</v>
      </c>
      <c r="DG458" s="125" t="str">
        <f t="shared" si="296"/>
        <v/>
      </c>
      <c r="DH458" s="125" t="str">
        <f t="shared" si="458"/>
        <v/>
      </c>
      <c r="DI458" s="125" t="str">
        <f t="shared" si="458"/>
        <v/>
      </c>
      <c r="DJ458" s="125" t="str">
        <f t="shared" si="458"/>
        <v/>
      </c>
      <c r="DK458" s="125" t="str">
        <f t="shared" si="458"/>
        <v/>
      </c>
      <c r="DL458" s="125" t="str">
        <f t="shared" si="458"/>
        <v/>
      </c>
      <c r="DM458" s="125" t="str">
        <f t="shared" si="458"/>
        <v/>
      </c>
      <c r="DN458" s="125" t="str">
        <f t="shared" si="458"/>
        <v/>
      </c>
      <c r="DO458" s="125" t="str">
        <f t="shared" si="458"/>
        <v/>
      </c>
      <c r="DP458" s="125" t="str">
        <f t="shared" si="458"/>
        <v/>
      </c>
      <c r="DS458" s="137"/>
      <c r="DT458" s="137"/>
      <c r="DU458" s="137"/>
      <c r="DV458" s="137" t="b">
        <f t="shared" ref="DV458:DV500" si="500">AK458&gt;=DU$5</f>
        <v>0</v>
      </c>
      <c r="DW458" s="137" t="b">
        <f t="shared" ref="DW458:DW500" si="501">AM458&gt;=DV$5</f>
        <v>0</v>
      </c>
      <c r="DX458" s="137" t="b">
        <f t="shared" ref="DX458:DX500" si="502">AP458&gt;=DW$5</f>
        <v>1</v>
      </c>
      <c r="EB458" s="131">
        <f t="shared" ref="EB458:EB500" si="503">COUNTIF(DV458:DZ458,TRUE)</f>
        <v>1</v>
      </c>
      <c r="EC458" s="137" t="b">
        <f t="shared" ref="EC458:EC500" si="504">AK458&gt;=EB$5</f>
        <v>0</v>
      </c>
      <c r="ED458" s="137" t="b">
        <f t="shared" ref="ED458:ED500" si="505">AM458&gt;=EC$5</f>
        <v>0</v>
      </c>
      <c r="EE458" s="137" t="b">
        <f t="shared" ref="EE458:EE500" si="506">AP458&gt;=ED$5</f>
        <v>1</v>
      </c>
      <c r="EF458" s="137"/>
      <c r="EG458" s="137"/>
      <c r="EH458" s="137"/>
      <c r="EI458" s="137"/>
      <c r="EJ458" s="137">
        <f t="shared" ref="EJ458:EJ500" si="507">COUNTIF(EC458:EI458,TRUE)</f>
        <v>1</v>
      </c>
      <c r="EK458" s="125" t="str">
        <f t="shared" ref="EK458:EK500" si="508">IF($G458="","",IF(EB458=$DV$3,1,0))</f>
        <v/>
      </c>
      <c r="EL458" s="125" t="str">
        <f t="shared" ref="EL458:EL500" si="509">IF($G458="","",IF(AND(EJ458=$DV$3,EJ458-EB458&lt;=$EC$3),1,0))</f>
        <v/>
      </c>
    </row>
    <row r="459" spans="2:142" ht="15.75" x14ac:dyDescent="0.2">
      <c r="B459" s="160" t="str">
        <f t="shared" si="459"/>
        <v/>
      </c>
      <c r="C459" s="205"/>
      <c r="D459" s="205"/>
      <c r="E459" s="205"/>
      <c r="F459" s="118" t="str">
        <f>IF(OR(J459="",H459=""),"",VLOOKUP(J459,'הזנה לסיווג רשויות'!$B$2:$D$301,2,0))</f>
        <v/>
      </c>
      <c r="G459" s="118" t="str">
        <f>IF(OR(J459="",H459=""),"",VLOOKUP(J459,'הזנה לסיווג רשויות'!$B$2:$D$301,3,0))</f>
        <v/>
      </c>
      <c r="H459" s="201"/>
      <c r="I459" s="201"/>
      <c r="J459" s="205"/>
      <c r="K459" s="161"/>
      <c r="L459" s="161"/>
      <c r="M459" s="161"/>
      <c r="N459" s="161"/>
      <c r="O459" s="161"/>
      <c r="P459" s="161"/>
      <c r="Q459" s="161"/>
      <c r="R459" s="201"/>
      <c r="S459" s="201"/>
      <c r="T459" s="160" t="str">
        <f>IF(G459="","",IFERROR(IF(S459/R459&gt;'פרמטרים לקריטריונים'!$C$20,1,0),0))</f>
        <v/>
      </c>
      <c r="U459" s="201"/>
      <c r="V459" s="160" t="str">
        <f>IF(G459="","",IFERROR(IF(U459/R459&gt;'פרמטרים לקריטריונים'!$C$21,1,IF(AND(I459=$BW$5,U459/R459&gt;'פרמטרים לקריטריונים'!$C$22),1,0)),0))</f>
        <v/>
      </c>
      <c r="W459" s="161"/>
      <c r="X459" s="161"/>
      <c r="Y459" s="201"/>
      <c r="Z459" s="201"/>
      <c r="AA459" s="161" t="str">
        <f t="shared" si="457"/>
        <v/>
      </c>
      <c r="AB459" s="161"/>
      <c r="AC459" s="161"/>
      <c r="AD459" s="161"/>
      <c r="AE459" s="161"/>
      <c r="AF459" s="161"/>
      <c r="AG459" s="161"/>
      <c r="AH459" s="161"/>
      <c r="AI459" s="161"/>
      <c r="AJ459" s="161"/>
      <c r="AK459" s="161"/>
      <c r="AL459" s="161"/>
      <c r="AM459" s="161"/>
      <c r="AN459" s="161"/>
      <c r="AO459" s="161"/>
      <c r="AP459" s="161"/>
      <c r="AQ459" s="161"/>
      <c r="AR459" s="161"/>
      <c r="AS459" s="161"/>
      <c r="AT459" s="161"/>
      <c r="AU459" s="161"/>
      <c r="AV459" s="161"/>
      <c r="AW459" s="160"/>
      <c r="AX459" s="161"/>
      <c r="AY459" s="161"/>
      <c r="AZ459" s="161"/>
      <c r="BA459" s="161"/>
      <c r="BB459" s="161"/>
      <c r="BC459" s="161"/>
      <c r="BD459" s="161"/>
      <c r="BE459" s="161"/>
      <c r="BF459" s="160" t="str">
        <f t="shared" si="460"/>
        <v/>
      </c>
      <c r="BG459" s="160"/>
      <c r="BH459" s="160"/>
      <c r="BI459" s="160"/>
      <c r="BJ459" s="160"/>
      <c r="BK459" s="160"/>
      <c r="BL459" s="162" t="str">
        <f t="shared" si="461"/>
        <v/>
      </c>
      <c r="BM459" s="257"/>
      <c r="BN459" s="163"/>
      <c r="BO459" s="211" t="str">
        <f t="shared" si="462"/>
        <v/>
      </c>
      <c r="BP459" s="125">
        <f t="shared" si="463"/>
        <v>0</v>
      </c>
      <c r="BQ459" s="164">
        <v>0</v>
      </c>
      <c r="BR459" s="164">
        <v>1</v>
      </c>
      <c r="BS459" s="149">
        <f t="shared" si="464"/>
        <v>0</v>
      </c>
      <c r="BT459" s="149">
        <f t="shared" si="465"/>
        <v>0</v>
      </c>
      <c r="BU459" s="149">
        <f t="shared" si="466"/>
        <v>0</v>
      </c>
      <c r="BV459" s="149">
        <f t="shared" si="467"/>
        <v>0</v>
      </c>
      <c r="BW459" s="149">
        <f t="shared" si="468"/>
        <v>0</v>
      </c>
      <c r="BX459" s="149">
        <f t="shared" si="469"/>
        <v>0</v>
      </c>
      <c r="BY459" s="149">
        <f t="shared" si="470"/>
        <v>0</v>
      </c>
      <c r="BZ459" s="149">
        <f t="shared" si="471"/>
        <v>0</v>
      </c>
      <c r="CA459" s="149">
        <f t="shared" si="472"/>
        <v>0</v>
      </c>
      <c r="CB459" s="149">
        <f t="shared" si="473"/>
        <v>1</v>
      </c>
      <c r="CC459" s="149">
        <f t="shared" si="474"/>
        <v>0</v>
      </c>
      <c r="CD459" s="149">
        <f t="shared" si="475"/>
        <v>1</v>
      </c>
      <c r="CE459" s="149">
        <f t="shared" si="476"/>
        <v>0</v>
      </c>
      <c r="CF459" s="149">
        <f t="shared" si="477"/>
        <v>0</v>
      </c>
      <c r="CG459" s="149">
        <f t="shared" si="478"/>
        <v>0</v>
      </c>
      <c r="CH459" s="149">
        <f t="shared" si="479"/>
        <v>0</v>
      </c>
      <c r="CI459" s="149">
        <f t="shared" si="480"/>
        <v>1</v>
      </c>
      <c r="CJ459" s="149">
        <f t="shared" si="481"/>
        <v>1</v>
      </c>
      <c r="CK459" s="149">
        <f t="shared" si="482"/>
        <v>1</v>
      </c>
      <c r="CL459" s="149">
        <f t="shared" si="483"/>
        <v>1</v>
      </c>
      <c r="CM459" s="149">
        <f t="shared" si="484"/>
        <v>1</v>
      </c>
      <c r="CN459" s="149">
        <f t="shared" si="485"/>
        <v>1</v>
      </c>
      <c r="CO459" s="149">
        <f t="shared" si="486"/>
        <v>1</v>
      </c>
      <c r="CP459" s="149">
        <f t="shared" si="487"/>
        <v>1</v>
      </c>
      <c r="CQ459" s="149">
        <f t="shared" si="488"/>
        <v>1</v>
      </c>
      <c r="CR459" s="149">
        <f t="shared" si="489"/>
        <v>1</v>
      </c>
      <c r="CS459" s="149">
        <f t="shared" si="490"/>
        <v>1</v>
      </c>
      <c r="CT459" s="149">
        <f t="shared" si="491"/>
        <v>1</v>
      </c>
      <c r="CU459" s="149">
        <f t="shared" si="492"/>
        <v>1</v>
      </c>
      <c r="CV459" s="149">
        <f t="shared" si="493"/>
        <v>1</v>
      </c>
      <c r="CW459" s="149">
        <f t="shared" si="494"/>
        <v>1</v>
      </c>
      <c r="CX459" s="149">
        <f t="shared" si="495"/>
        <v>1</v>
      </c>
      <c r="CY459" s="149">
        <f t="shared" si="496"/>
        <v>1</v>
      </c>
      <c r="CZ459" s="149">
        <f t="shared" si="497"/>
        <v>1</v>
      </c>
      <c r="DA459" s="149">
        <f t="shared" si="498"/>
        <v>1</v>
      </c>
      <c r="DB459" s="149">
        <f t="shared" si="499"/>
        <v>1</v>
      </c>
      <c r="DG459" s="125" t="str">
        <f t="shared" si="296"/>
        <v/>
      </c>
      <c r="DH459" s="125" t="str">
        <f t="shared" si="458"/>
        <v/>
      </c>
      <c r="DI459" s="125" t="str">
        <f t="shared" si="458"/>
        <v/>
      </c>
      <c r="DJ459" s="125" t="str">
        <f t="shared" si="458"/>
        <v/>
      </c>
      <c r="DK459" s="125" t="str">
        <f t="shared" si="458"/>
        <v/>
      </c>
      <c r="DL459" s="125" t="str">
        <f t="shared" si="458"/>
        <v/>
      </c>
      <c r="DM459" s="125" t="str">
        <f t="shared" si="458"/>
        <v/>
      </c>
      <c r="DN459" s="125" t="str">
        <f t="shared" si="458"/>
        <v/>
      </c>
      <c r="DO459" s="125" t="str">
        <f t="shared" si="458"/>
        <v/>
      </c>
      <c r="DP459" s="125" t="str">
        <f t="shared" si="458"/>
        <v/>
      </c>
      <c r="DS459" s="137"/>
      <c r="DT459" s="137"/>
      <c r="DU459" s="137"/>
      <c r="DV459" s="137" t="b">
        <f t="shared" si="500"/>
        <v>0</v>
      </c>
      <c r="DW459" s="137" t="b">
        <f t="shared" si="501"/>
        <v>0</v>
      </c>
      <c r="DX459" s="137" t="b">
        <f t="shared" si="502"/>
        <v>1</v>
      </c>
      <c r="EB459" s="131">
        <f t="shared" si="503"/>
        <v>1</v>
      </c>
      <c r="EC459" s="137" t="b">
        <f t="shared" si="504"/>
        <v>0</v>
      </c>
      <c r="ED459" s="137" t="b">
        <f t="shared" si="505"/>
        <v>0</v>
      </c>
      <c r="EE459" s="137" t="b">
        <f t="shared" si="506"/>
        <v>1</v>
      </c>
      <c r="EF459" s="137"/>
      <c r="EG459" s="137"/>
      <c r="EH459" s="137"/>
      <c r="EI459" s="137"/>
      <c r="EJ459" s="137">
        <f t="shared" si="507"/>
        <v>1</v>
      </c>
      <c r="EK459" s="125" t="str">
        <f t="shared" si="508"/>
        <v/>
      </c>
      <c r="EL459" s="125" t="str">
        <f t="shared" si="509"/>
        <v/>
      </c>
    </row>
    <row r="460" spans="2:142" ht="15.75" x14ac:dyDescent="0.2">
      <c r="B460" s="160" t="str">
        <f t="shared" si="459"/>
        <v/>
      </c>
      <c r="C460" s="205"/>
      <c r="D460" s="205"/>
      <c r="E460" s="205"/>
      <c r="F460" s="118" t="str">
        <f>IF(OR(J460="",H460=""),"",VLOOKUP(J460,'הזנה לסיווג רשויות'!$B$2:$D$301,2,0))</f>
        <v/>
      </c>
      <c r="G460" s="118" t="str">
        <f>IF(OR(J460="",H460=""),"",VLOOKUP(J460,'הזנה לסיווג רשויות'!$B$2:$D$301,3,0))</f>
        <v/>
      </c>
      <c r="H460" s="201"/>
      <c r="I460" s="201"/>
      <c r="J460" s="205"/>
      <c r="K460" s="161"/>
      <c r="L460" s="161"/>
      <c r="M460" s="161"/>
      <c r="N460" s="161"/>
      <c r="O460" s="161"/>
      <c r="P460" s="161"/>
      <c r="Q460" s="161"/>
      <c r="R460" s="201"/>
      <c r="S460" s="201"/>
      <c r="T460" s="160" t="str">
        <f>IF(G460="","",IFERROR(IF(S460/R460&gt;'פרמטרים לקריטריונים'!$C$20,1,0),0))</f>
        <v/>
      </c>
      <c r="U460" s="201"/>
      <c r="V460" s="160" t="str">
        <f>IF(G460="","",IFERROR(IF(U460/R460&gt;'פרמטרים לקריטריונים'!$C$21,1,IF(AND(I460=$BW$5,U460/R460&gt;'פרמטרים לקריטריונים'!$C$22),1,0)),0))</f>
        <v/>
      </c>
      <c r="W460" s="161"/>
      <c r="X460" s="161"/>
      <c r="Y460" s="201"/>
      <c r="Z460" s="201"/>
      <c r="AA460" s="161" t="str">
        <f t="shared" si="457"/>
        <v/>
      </c>
      <c r="AB460" s="161"/>
      <c r="AC460" s="161"/>
      <c r="AD460" s="161"/>
      <c r="AE460" s="161"/>
      <c r="AF460" s="161"/>
      <c r="AG460" s="161"/>
      <c r="AH460" s="161"/>
      <c r="AI460" s="161"/>
      <c r="AJ460" s="161"/>
      <c r="AK460" s="161"/>
      <c r="AL460" s="161"/>
      <c r="AM460" s="161"/>
      <c r="AN460" s="161"/>
      <c r="AO460" s="161"/>
      <c r="AP460" s="161"/>
      <c r="AQ460" s="161"/>
      <c r="AR460" s="161"/>
      <c r="AS460" s="161"/>
      <c r="AT460" s="161"/>
      <c r="AU460" s="161"/>
      <c r="AV460" s="161"/>
      <c r="AW460" s="160"/>
      <c r="AX460" s="161"/>
      <c r="AY460" s="161"/>
      <c r="AZ460" s="161"/>
      <c r="BA460" s="161"/>
      <c r="BB460" s="161"/>
      <c r="BC460" s="161"/>
      <c r="BD460" s="161"/>
      <c r="BE460" s="161"/>
      <c r="BF460" s="160" t="str">
        <f t="shared" si="460"/>
        <v/>
      </c>
      <c r="BG460" s="160"/>
      <c r="BH460" s="160"/>
      <c r="BI460" s="160"/>
      <c r="BJ460" s="160"/>
      <c r="BK460" s="160"/>
      <c r="BL460" s="162" t="str">
        <f t="shared" si="461"/>
        <v/>
      </c>
      <c r="BM460" s="257"/>
      <c r="BN460" s="163"/>
      <c r="BO460" s="211" t="str">
        <f t="shared" si="462"/>
        <v/>
      </c>
      <c r="BP460" s="125">
        <f t="shared" si="463"/>
        <v>0</v>
      </c>
      <c r="BQ460" s="164">
        <v>0</v>
      </c>
      <c r="BR460" s="164">
        <v>1</v>
      </c>
      <c r="BS460" s="149">
        <f t="shared" si="464"/>
        <v>0</v>
      </c>
      <c r="BT460" s="149">
        <f t="shared" si="465"/>
        <v>0</v>
      </c>
      <c r="BU460" s="149">
        <f t="shared" si="466"/>
        <v>0</v>
      </c>
      <c r="BV460" s="149">
        <f t="shared" si="467"/>
        <v>0</v>
      </c>
      <c r="BW460" s="149">
        <f t="shared" si="468"/>
        <v>0</v>
      </c>
      <c r="BX460" s="149">
        <f t="shared" si="469"/>
        <v>0</v>
      </c>
      <c r="BY460" s="149">
        <f t="shared" si="470"/>
        <v>0</v>
      </c>
      <c r="BZ460" s="149">
        <f t="shared" si="471"/>
        <v>0</v>
      </c>
      <c r="CA460" s="149">
        <f t="shared" si="472"/>
        <v>0</v>
      </c>
      <c r="CB460" s="149">
        <f t="shared" si="473"/>
        <v>1</v>
      </c>
      <c r="CC460" s="149">
        <f t="shared" si="474"/>
        <v>0</v>
      </c>
      <c r="CD460" s="149">
        <f t="shared" si="475"/>
        <v>1</v>
      </c>
      <c r="CE460" s="149">
        <f t="shared" si="476"/>
        <v>0</v>
      </c>
      <c r="CF460" s="149">
        <f t="shared" si="477"/>
        <v>0</v>
      </c>
      <c r="CG460" s="149">
        <f t="shared" si="478"/>
        <v>0</v>
      </c>
      <c r="CH460" s="149">
        <f t="shared" si="479"/>
        <v>0</v>
      </c>
      <c r="CI460" s="149">
        <f t="shared" si="480"/>
        <v>1</v>
      </c>
      <c r="CJ460" s="149">
        <f t="shared" si="481"/>
        <v>1</v>
      </c>
      <c r="CK460" s="149">
        <f t="shared" si="482"/>
        <v>1</v>
      </c>
      <c r="CL460" s="149">
        <f t="shared" si="483"/>
        <v>1</v>
      </c>
      <c r="CM460" s="149">
        <f t="shared" si="484"/>
        <v>1</v>
      </c>
      <c r="CN460" s="149">
        <f t="shared" si="485"/>
        <v>1</v>
      </c>
      <c r="CO460" s="149">
        <f t="shared" si="486"/>
        <v>1</v>
      </c>
      <c r="CP460" s="149">
        <f t="shared" si="487"/>
        <v>1</v>
      </c>
      <c r="CQ460" s="149">
        <f t="shared" si="488"/>
        <v>1</v>
      </c>
      <c r="CR460" s="149">
        <f t="shared" si="489"/>
        <v>1</v>
      </c>
      <c r="CS460" s="149">
        <f t="shared" si="490"/>
        <v>1</v>
      </c>
      <c r="CT460" s="149">
        <f t="shared" si="491"/>
        <v>1</v>
      </c>
      <c r="CU460" s="149">
        <f t="shared" si="492"/>
        <v>1</v>
      </c>
      <c r="CV460" s="149">
        <f t="shared" si="493"/>
        <v>1</v>
      </c>
      <c r="CW460" s="149">
        <f t="shared" si="494"/>
        <v>1</v>
      </c>
      <c r="CX460" s="149">
        <f t="shared" si="495"/>
        <v>1</v>
      </c>
      <c r="CY460" s="149">
        <f t="shared" si="496"/>
        <v>1</v>
      </c>
      <c r="CZ460" s="149">
        <f t="shared" si="497"/>
        <v>1</v>
      </c>
      <c r="DA460" s="149">
        <f t="shared" si="498"/>
        <v>1</v>
      </c>
      <c r="DB460" s="149">
        <f t="shared" si="499"/>
        <v>1</v>
      </c>
      <c r="DG460" s="125" t="str">
        <f t="shared" si="296"/>
        <v/>
      </c>
      <c r="DH460" s="125" t="str">
        <f t="shared" si="458"/>
        <v/>
      </c>
      <c r="DI460" s="125" t="str">
        <f t="shared" si="458"/>
        <v/>
      </c>
      <c r="DJ460" s="125" t="str">
        <f t="shared" si="458"/>
        <v/>
      </c>
      <c r="DK460" s="125" t="str">
        <f t="shared" si="458"/>
        <v/>
      </c>
      <c r="DL460" s="125" t="str">
        <f t="shared" si="458"/>
        <v/>
      </c>
      <c r="DM460" s="125" t="str">
        <f t="shared" si="458"/>
        <v/>
      </c>
      <c r="DN460" s="125" t="str">
        <f t="shared" si="458"/>
        <v/>
      </c>
      <c r="DO460" s="125" t="str">
        <f t="shared" si="458"/>
        <v/>
      </c>
      <c r="DP460" s="125" t="str">
        <f t="shared" si="458"/>
        <v/>
      </c>
      <c r="DS460" s="137"/>
      <c r="DT460" s="137"/>
      <c r="DU460" s="137"/>
      <c r="DV460" s="137" t="b">
        <f t="shared" si="500"/>
        <v>0</v>
      </c>
      <c r="DW460" s="137" t="b">
        <f t="shared" si="501"/>
        <v>0</v>
      </c>
      <c r="DX460" s="137" t="b">
        <f t="shared" si="502"/>
        <v>1</v>
      </c>
      <c r="EB460" s="131">
        <f t="shared" si="503"/>
        <v>1</v>
      </c>
      <c r="EC460" s="137" t="b">
        <f t="shared" si="504"/>
        <v>0</v>
      </c>
      <c r="ED460" s="137" t="b">
        <f t="shared" si="505"/>
        <v>0</v>
      </c>
      <c r="EE460" s="137" t="b">
        <f t="shared" si="506"/>
        <v>1</v>
      </c>
      <c r="EF460" s="137"/>
      <c r="EG460" s="137"/>
      <c r="EH460" s="137"/>
      <c r="EI460" s="137"/>
      <c r="EJ460" s="137">
        <f t="shared" si="507"/>
        <v>1</v>
      </c>
      <c r="EK460" s="125" t="str">
        <f t="shared" si="508"/>
        <v/>
      </c>
      <c r="EL460" s="125" t="str">
        <f t="shared" si="509"/>
        <v/>
      </c>
    </row>
    <row r="461" spans="2:142" ht="15.75" x14ac:dyDescent="0.2">
      <c r="B461" s="160" t="str">
        <f t="shared" si="459"/>
        <v/>
      </c>
      <c r="C461" s="205"/>
      <c r="D461" s="205"/>
      <c r="E461" s="205"/>
      <c r="F461" s="118" t="str">
        <f>IF(OR(J461="",H461=""),"",VLOOKUP(J461,'הזנה לסיווג רשויות'!$B$2:$D$301,2,0))</f>
        <v/>
      </c>
      <c r="G461" s="118" t="str">
        <f>IF(OR(J461="",H461=""),"",VLOOKUP(J461,'הזנה לסיווג רשויות'!$B$2:$D$301,3,0))</f>
        <v/>
      </c>
      <c r="H461" s="201"/>
      <c r="I461" s="201"/>
      <c r="J461" s="205"/>
      <c r="K461" s="161"/>
      <c r="L461" s="161"/>
      <c r="M461" s="161"/>
      <c r="N461" s="161"/>
      <c r="O461" s="161"/>
      <c r="P461" s="161"/>
      <c r="Q461" s="161"/>
      <c r="R461" s="201"/>
      <c r="S461" s="201"/>
      <c r="T461" s="160" t="str">
        <f>IF(G461="","",IFERROR(IF(S461/R461&gt;'פרמטרים לקריטריונים'!$C$20,1,0),0))</f>
        <v/>
      </c>
      <c r="U461" s="201"/>
      <c r="V461" s="160" t="str">
        <f>IF(G461="","",IFERROR(IF(U461/R461&gt;'פרמטרים לקריטריונים'!$C$21,1,IF(AND(I461=$BW$5,U461/R461&gt;'פרמטרים לקריטריונים'!$C$22),1,0)),0))</f>
        <v/>
      </c>
      <c r="W461" s="161"/>
      <c r="X461" s="161"/>
      <c r="Y461" s="201"/>
      <c r="Z461" s="201"/>
      <c r="AA461" s="161" t="str">
        <f t="shared" si="457"/>
        <v/>
      </c>
      <c r="AB461" s="161"/>
      <c r="AC461" s="161"/>
      <c r="AD461" s="161"/>
      <c r="AE461" s="161"/>
      <c r="AF461" s="161"/>
      <c r="AG461" s="161"/>
      <c r="AH461" s="161"/>
      <c r="AI461" s="161"/>
      <c r="AJ461" s="161"/>
      <c r="AK461" s="161"/>
      <c r="AL461" s="161"/>
      <c r="AM461" s="161"/>
      <c r="AN461" s="161"/>
      <c r="AO461" s="161"/>
      <c r="AP461" s="161"/>
      <c r="AQ461" s="161"/>
      <c r="AR461" s="161"/>
      <c r="AS461" s="161"/>
      <c r="AT461" s="161"/>
      <c r="AU461" s="161"/>
      <c r="AV461" s="161"/>
      <c r="AW461" s="160"/>
      <c r="AX461" s="161"/>
      <c r="AY461" s="161"/>
      <c r="AZ461" s="161"/>
      <c r="BA461" s="161"/>
      <c r="BB461" s="161"/>
      <c r="BC461" s="161"/>
      <c r="BD461" s="161"/>
      <c r="BE461" s="161"/>
      <c r="BF461" s="160" t="str">
        <f t="shared" si="460"/>
        <v/>
      </c>
      <c r="BG461" s="160"/>
      <c r="BH461" s="160"/>
      <c r="BI461" s="160"/>
      <c r="BJ461" s="160"/>
      <c r="BK461" s="160"/>
      <c r="BL461" s="162" t="str">
        <f t="shared" si="461"/>
        <v/>
      </c>
      <c r="BM461" s="257"/>
      <c r="BN461" s="163"/>
      <c r="BO461" s="211" t="str">
        <f t="shared" si="462"/>
        <v/>
      </c>
      <c r="BP461" s="125">
        <f t="shared" si="463"/>
        <v>0</v>
      </c>
      <c r="BQ461" s="164">
        <v>0</v>
      </c>
      <c r="BR461" s="164">
        <v>1</v>
      </c>
      <c r="BS461" s="149">
        <f t="shared" si="464"/>
        <v>0</v>
      </c>
      <c r="BT461" s="149">
        <f t="shared" si="465"/>
        <v>0</v>
      </c>
      <c r="BU461" s="149">
        <f t="shared" si="466"/>
        <v>0</v>
      </c>
      <c r="BV461" s="149">
        <f t="shared" si="467"/>
        <v>0</v>
      </c>
      <c r="BW461" s="149">
        <f t="shared" si="468"/>
        <v>0</v>
      </c>
      <c r="BX461" s="149">
        <f t="shared" si="469"/>
        <v>0</v>
      </c>
      <c r="BY461" s="149">
        <f t="shared" si="470"/>
        <v>0</v>
      </c>
      <c r="BZ461" s="149">
        <f t="shared" si="471"/>
        <v>0</v>
      </c>
      <c r="CA461" s="149">
        <f t="shared" si="472"/>
        <v>0</v>
      </c>
      <c r="CB461" s="149">
        <f t="shared" si="473"/>
        <v>1</v>
      </c>
      <c r="CC461" s="149">
        <f t="shared" si="474"/>
        <v>0</v>
      </c>
      <c r="CD461" s="149">
        <f t="shared" si="475"/>
        <v>1</v>
      </c>
      <c r="CE461" s="149">
        <f t="shared" si="476"/>
        <v>0</v>
      </c>
      <c r="CF461" s="149">
        <f t="shared" si="477"/>
        <v>0</v>
      </c>
      <c r="CG461" s="149">
        <f t="shared" si="478"/>
        <v>0</v>
      </c>
      <c r="CH461" s="149">
        <f t="shared" si="479"/>
        <v>0</v>
      </c>
      <c r="CI461" s="149">
        <f t="shared" si="480"/>
        <v>1</v>
      </c>
      <c r="CJ461" s="149">
        <f t="shared" si="481"/>
        <v>1</v>
      </c>
      <c r="CK461" s="149">
        <f t="shared" si="482"/>
        <v>1</v>
      </c>
      <c r="CL461" s="149">
        <f t="shared" si="483"/>
        <v>1</v>
      </c>
      <c r="CM461" s="149">
        <f t="shared" si="484"/>
        <v>1</v>
      </c>
      <c r="CN461" s="149">
        <f t="shared" si="485"/>
        <v>1</v>
      </c>
      <c r="CO461" s="149">
        <f t="shared" si="486"/>
        <v>1</v>
      </c>
      <c r="CP461" s="149">
        <f t="shared" si="487"/>
        <v>1</v>
      </c>
      <c r="CQ461" s="149">
        <f t="shared" si="488"/>
        <v>1</v>
      </c>
      <c r="CR461" s="149">
        <f t="shared" si="489"/>
        <v>1</v>
      </c>
      <c r="CS461" s="149">
        <f t="shared" si="490"/>
        <v>1</v>
      </c>
      <c r="CT461" s="149">
        <f t="shared" si="491"/>
        <v>1</v>
      </c>
      <c r="CU461" s="149">
        <f t="shared" si="492"/>
        <v>1</v>
      </c>
      <c r="CV461" s="149">
        <f t="shared" si="493"/>
        <v>1</v>
      </c>
      <c r="CW461" s="149">
        <f t="shared" si="494"/>
        <v>1</v>
      </c>
      <c r="CX461" s="149">
        <f t="shared" si="495"/>
        <v>1</v>
      </c>
      <c r="CY461" s="149">
        <f t="shared" si="496"/>
        <v>1</v>
      </c>
      <c r="CZ461" s="149">
        <f t="shared" si="497"/>
        <v>1</v>
      </c>
      <c r="DA461" s="149">
        <f t="shared" si="498"/>
        <v>1</v>
      </c>
      <c r="DB461" s="149">
        <f t="shared" si="499"/>
        <v>1</v>
      </c>
      <c r="DG461" s="125" t="str">
        <f t="shared" si="296"/>
        <v/>
      </c>
      <c r="DH461" s="125" t="str">
        <f t="shared" si="458"/>
        <v/>
      </c>
      <c r="DI461" s="125" t="str">
        <f t="shared" si="458"/>
        <v/>
      </c>
      <c r="DJ461" s="125" t="str">
        <f t="shared" si="458"/>
        <v/>
      </c>
      <c r="DK461" s="125" t="str">
        <f t="shared" si="458"/>
        <v/>
      </c>
      <c r="DL461" s="125" t="str">
        <f t="shared" si="458"/>
        <v/>
      </c>
      <c r="DM461" s="125" t="str">
        <f t="shared" si="458"/>
        <v/>
      </c>
      <c r="DN461" s="125" t="str">
        <f t="shared" si="458"/>
        <v/>
      </c>
      <c r="DO461" s="125" t="str">
        <f t="shared" si="458"/>
        <v/>
      </c>
      <c r="DP461" s="125" t="str">
        <f t="shared" si="458"/>
        <v/>
      </c>
      <c r="DS461" s="137"/>
      <c r="DT461" s="137"/>
      <c r="DU461" s="137"/>
      <c r="DV461" s="137" t="b">
        <f t="shared" si="500"/>
        <v>0</v>
      </c>
      <c r="DW461" s="137" t="b">
        <f t="shared" si="501"/>
        <v>0</v>
      </c>
      <c r="DX461" s="137" t="b">
        <f t="shared" si="502"/>
        <v>1</v>
      </c>
      <c r="EB461" s="131">
        <f t="shared" si="503"/>
        <v>1</v>
      </c>
      <c r="EC461" s="137" t="b">
        <f t="shared" si="504"/>
        <v>0</v>
      </c>
      <c r="ED461" s="137" t="b">
        <f t="shared" si="505"/>
        <v>0</v>
      </c>
      <c r="EE461" s="137" t="b">
        <f t="shared" si="506"/>
        <v>1</v>
      </c>
      <c r="EF461" s="137"/>
      <c r="EG461" s="137"/>
      <c r="EH461" s="137"/>
      <c r="EI461" s="137"/>
      <c r="EJ461" s="137">
        <f t="shared" si="507"/>
        <v>1</v>
      </c>
      <c r="EK461" s="125" t="str">
        <f t="shared" si="508"/>
        <v/>
      </c>
      <c r="EL461" s="125" t="str">
        <f t="shared" si="509"/>
        <v/>
      </c>
    </row>
    <row r="462" spans="2:142" ht="15.75" x14ac:dyDescent="0.2">
      <c r="B462" s="160" t="str">
        <f t="shared" si="459"/>
        <v/>
      </c>
      <c r="C462" s="205"/>
      <c r="D462" s="205"/>
      <c r="E462" s="205"/>
      <c r="F462" s="118" t="str">
        <f>IF(OR(J462="",H462=""),"",VLOOKUP(J462,'הזנה לסיווג רשויות'!$B$2:$D$301,2,0))</f>
        <v/>
      </c>
      <c r="G462" s="118" t="str">
        <f>IF(OR(J462="",H462=""),"",VLOOKUP(J462,'הזנה לסיווג רשויות'!$B$2:$D$301,3,0))</f>
        <v/>
      </c>
      <c r="H462" s="201"/>
      <c r="I462" s="201"/>
      <c r="J462" s="205"/>
      <c r="K462" s="161"/>
      <c r="L462" s="161"/>
      <c r="M462" s="161"/>
      <c r="N462" s="161"/>
      <c r="O462" s="161"/>
      <c r="P462" s="161"/>
      <c r="Q462" s="161"/>
      <c r="R462" s="201"/>
      <c r="S462" s="201"/>
      <c r="T462" s="160" t="str">
        <f>IF(G462="","",IFERROR(IF(S462/R462&gt;'פרמטרים לקריטריונים'!$C$20,1,0),0))</f>
        <v/>
      </c>
      <c r="U462" s="201"/>
      <c r="V462" s="160" t="str">
        <f>IF(G462="","",IFERROR(IF(U462/R462&gt;'פרמטרים לקריטריונים'!$C$21,1,IF(AND(I462=$BW$5,U462/R462&gt;'פרמטרים לקריטריונים'!$C$22),1,0)),0))</f>
        <v/>
      </c>
      <c r="W462" s="161"/>
      <c r="X462" s="161"/>
      <c r="Y462" s="201"/>
      <c r="Z462" s="201"/>
      <c r="AA462" s="161" t="str">
        <f t="shared" si="457"/>
        <v/>
      </c>
      <c r="AB462" s="161"/>
      <c r="AC462" s="161"/>
      <c r="AD462" s="161"/>
      <c r="AE462" s="161"/>
      <c r="AF462" s="161"/>
      <c r="AG462" s="161"/>
      <c r="AH462" s="161"/>
      <c r="AI462" s="161"/>
      <c r="AJ462" s="161"/>
      <c r="AK462" s="161"/>
      <c r="AL462" s="161"/>
      <c r="AM462" s="161"/>
      <c r="AN462" s="161"/>
      <c r="AO462" s="161"/>
      <c r="AP462" s="161"/>
      <c r="AQ462" s="161"/>
      <c r="AR462" s="161"/>
      <c r="AS462" s="161"/>
      <c r="AT462" s="161"/>
      <c r="AU462" s="161"/>
      <c r="AV462" s="161"/>
      <c r="AW462" s="160"/>
      <c r="AX462" s="161"/>
      <c r="AY462" s="161"/>
      <c r="AZ462" s="161"/>
      <c r="BA462" s="161"/>
      <c r="BB462" s="161"/>
      <c r="BC462" s="161"/>
      <c r="BD462" s="161"/>
      <c r="BE462" s="161"/>
      <c r="BF462" s="160" t="str">
        <f t="shared" si="460"/>
        <v/>
      </c>
      <c r="BG462" s="160"/>
      <c r="BH462" s="160"/>
      <c r="BI462" s="160"/>
      <c r="BJ462" s="160"/>
      <c r="BK462" s="160"/>
      <c r="BL462" s="162" t="str">
        <f t="shared" si="461"/>
        <v/>
      </c>
      <c r="BM462" s="257"/>
      <c r="BN462" s="163"/>
      <c r="BO462" s="211" t="str">
        <f t="shared" si="462"/>
        <v/>
      </c>
      <c r="BP462" s="125">
        <f t="shared" si="463"/>
        <v>0</v>
      </c>
      <c r="BQ462" s="164">
        <v>0</v>
      </c>
      <c r="BR462" s="164">
        <v>1</v>
      </c>
      <c r="BS462" s="149">
        <f t="shared" si="464"/>
        <v>0</v>
      </c>
      <c r="BT462" s="149">
        <f t="shared" si="465"/>
        <v>0</v>
      </c>
      <c r="BU462" s="149">
        <f t="shared" si="466"/>
        <v>0</v>
      </c>
      <c r="BV462" s="149">
        <f t="shared" si="467"/>
        <v>0</v>
      </c>
      <c r="BW462" s="149">
        <f t="shared" si="468"/>
        <v>0</v>
      </c>
      <c r="BX462" s="149">
        <f t="shared" si="469"/>
        <v>0</v>
      </c>
      <c r="BY462" s="149">
        <f t="shared" si="470"/>
        <v>0</v>
      </c>
      <c r="BZ462" s="149">
        <f t="shared" si="471"/>
        <v>0</v>
      </c>
      <c r="CA462" s="149">
        <f t="shared" si="472"/>
        <v>0</v>
      </c>
      <c r="CB462" s="149">
        <f t="shared" si="473"/>
        <v>1</v>
      </c>
      <c r="CC462" s="149">
        <f t="shared" si="474"/>
        <v>0</v>
      </c>
      <c r="CD462" s="149">
        <f t="shared" si="475"/>
        <v>1</v>
      </c>
      <c r="CE462" s="149">
        <f t="shared" si="476"/>
        <v>0</v>
      </c>
      <c r="CF462" s="149">
        <f t="shared" si="477"/>
        <v>0</v>
      </c>
      <c r="CG462" s="149">
        <f t="shared" si="478"/>
        <v>0</v>
      </c>
      <c r="CH462" s="149">
        <f t="shared" si="479"/>
        <v>0</v>
      </c>
      <c r="CI462" s="149">
        <f t="shared" si="480"/>
        <v>1</v>
      </c>
      <c r="CJ462" s="149">
        <f t="shared" si="481"/>
        <v>1</v>
      </c>
      <c r="CK462" s="149">
        <f t="shared" si="482"/>
        <v>1</v>
      </c>
      <c r="CL462" s="149">
        <f t="shared" si="483"/>
        <v>1</v>
      </c>
      <c r="CM462" s="149">
        <f t="shared" si="484"/>
        <v>1</v>
      </c>
      <c r="CN462" s="149">
        <f t="shared" si="485"/>
        <v>1</v>
      </c>
      <c r="CO462" s="149">
        <f t="shared" si="486"/>
        <v>1</v>
      </c>
      <c r="CP462" s="149">
        <f t="shared" si="487"/>
        <v>1</v>
      </c>
      <c r="CQ462" s="149">
        <f t="shared" si="488"/>
        <v>1</v>
      </c>
      <c r="CR462" s="149">
        <f t="shared" si="489"/>
        <v>1</v>
      </c>
      <c r="CS462" s="149">
        <f t="shared" si="490"/>
        <v>1</v>
      </c>
      <c r="CT462" s="149">
        <f t="shared" si="491"/>
        <v>1</v>
      </c>
      <c r="CU462" s="149">
        <f t="shared" si="492"/>
        <v>1</v>
      </c>
      <c r="CV462" s="149">
        <f t="shared" si="493"/>
        <v>1</v>
      </c>
      <c r="CW462" s="149">
        <f t="shared" si="494"/>
        <v>1</v>
      </c>
      <c r="CX462" s="149">
        <f t="shared" si="495"/>
        <v>1</v>
      </c>
      <c r="CY462" s="149">
        <f t="shared" si="496"/>
        <v>1</v>
      </c>
      <c r="CZ462" s="149">
        <f t="shared" si="497"/>
        <v>1</v>
      </c>
      <c r="DA462" s="149">
        <f t="shared" si="498"/>
        <v>1</v>
      </c>
      <c r="DB462" s="149">
        <f t="shared" si="499"/>
        <v>1</v>
      </c>
      <c r="DG462" s="125" t="str">
        <f t="shared" si="296"/>
        <v/>
      </c>
      <c r="DH462" s="125" t="str">
        <f t="shared" si="458"/>
        <v/>
      </c>
      <c r="DI462" s="125" t="str">
        <f t="shared" ref="DH462:DP490" si="510">IF($G462="","",DI$30)</f>
        <v/>
      </c>
      <c r="DJ462" s="125" t="str">
        <f t="shared" si="510"/>
        <v/>
      </c>
      <c r="DK462" s="125" t="str">
        <f t="shared" si="510"/>
        <v/>
      </c>
      <c r="DL462" s="125" t="str">
        <f t="shared" si="510"/>
        <v/>
      </c>
      <c r="DM462" s="125" t="str">
        <f t="shared" si="510"/>
        <v/>
      </c>
      <c r="DN462" s="125" t="str">
        <f t="shared" si="510"/>
        <v/>
      </c>
      <c r="DO462" s="125" t="str">
        <f t="shared" si="510"/>
        <v/>
      </c>
      <c r="DP462" s="125" t="str">
        <f t="shared" si="510"/>
        <v/>
      </c>
      <c r="DS462" s="137"/>
      <c r="DT462" s="137"/>
      <c r="DU462" s="137"/>
      <c r="DV462" s="137" t="b">
        <f t="shared" si="500"/>
        <v>0</v>
      </c>
      <c r="DW462" s="137" t="b">
        <f t="shared" si="501"/>
        <v>0</v>
      </c>
      <c r="DX462" s="137" t="b">
        <f t="shared" si="502"/>
        <v>1</v>
      </c>
      <c r="EB462" s="131">
        <f t="shared" si="503"/>
        <v>1</v>
      </c>
      <c r="EC462" s="137" t="b">
        <f t="shared" si="504"/>
        <v>0</v>
      </c>
      <c r="ED462" s="137" t="b">
        <f t="shared" si="505"/>
        <v>0</v>
      </c>
      <c r="EE462" s="137" t="b">
        <f t="shared" si="506"/>
        <v>1</v>
      </c>
      <c r="EF462" s="137"/>
      <c r="EG462" s="137"/>
      <c r="EH462" s="137"/>
      <c r="EI462" s="137"/>
      <c r="EJ462" s="137">
        <f t="shared" si="507"/>
        <v>1</v>
      </c>
      <c r="EK462" s="125" t="str">
        <f t="shared" si="508"/>
        <v/>
      </c>
      <c r="EL462" s="125" t="str">
        <f t="shared" si="509"/>
        <v/>
      </c>
    </row>
    <row r="463" spans="2:142" ht="15.75" x14ac:dyDescent="0.2">
      <c r="B463" s="160" t="str">
        <f t="shared" si="459"/>
        <v/>
      </c>
      <c r="C463" s="205"/>
      <c r="D463" s="205"/>
      <c r="E463" s="205"/>
      <c r="F463" s="118" t="str">
        <f>IF(OR(J463="",H463=""),"",VLOOKUP(J463,'הזנה לסיווג רשויות'!$B$2:$D$301,2,0))</f>
        <v/>
      </c>
      <c r="G463" s="118" t="str">
        <f>IF(OR(J463="",H463=""),"",VLOOKUP(J463,'הזנה לסיווג רשויות'!$B$2:$D$301,3,0))</f>
        <v/>
      </c>
      <c r="H463" s="201"/>
      <c r="I463" s="201"/>
      <c r="J463" s="205"/>
      <c r="K463" s="161"/>
      <c r="L463" s="161"/>
      <c r="M463" s="161"/>
      <c r="N463" s="161"/>
      <c r="O463" s="161"/>
      <c r="P463" s="161"/>
      <c r="Q463" s="161"/>
      <c r="R463" s="201"/>
      <c r="S463" s="201"/>
      <c r="T463" s="160" t="str">
        <f>IF(G463="","",IFERROR(IF(S463/R463&gt;'פרמטרים לקריטריונים'!$C$20,1,0),0))</f>
        <v/>
      </c>
      <c r="U463" s="201"/>
      <c r="V463" s="160" t="str">
        <f>IF(G463="","",IFERROR(IF(U463/R463&gt;'פרמטרים לקריטריונים'!$C$21,1,IF(AND(I463=$BW$5,U463/R463&gt;'פרמטרים לקריטריונים'!$C$22),1,0)),0))</f>
        <v/>
      </c>
      <c r="W463" s="161"/>
      <c r="X463" s="161"/>
      <c r="Y463" s="201"/>
      <c r="Z463" s="201"/>
      <c r="AA463" s="161" t="str">
        <f t="shared" si="457"/>
        <v/>
      </c>
      <c r="AB463" s="161"/>
      <c r="AC463" s="161"/>
      <c r="AD463" s="161"/>
      <c r="AE463" s="161"/>
      <c r="AF463" s="161"/>
      <c r="AG463" s="161"/>
      <c r="AH463" s="161"/>
      <c r="AI463" s="161"/>
      <c r="AJ463" s="161"/>
      <c r="AK463" s="161"/>
      <c r="AL463" s="161"/>
      <c r="AM463" s="161"/>
      <c r="AN463" s="161"/>
      <c r="AO463" s="161"/>
      <c r="AP463" s="161"/>
      <c r="AQ463" s="161"/>
      <c r="AR463" s="161"/>
      <c r="AS463" s="161"/>
      <c r="AT463" s="161"/>
      <c r="AU463" s="161"/>
      <c r="AV463" s="161"/>
      <c r="AW463" s="160"/>
      <c r="AX463" s="161"/>
      <c r="AY463" s="161"/>
      <c r="AZ463" s="161"/>
      <c r="BA463" s="161"/>
      <c r="BB463" s="161"/>
      <c r="BC463" s="161"/>
      <c r="BD463" s="161"/>
      <c r="BE463" s="161"/>
      <c r="BF463" s="160" t="str">
        <f t="shared" si="460"/>
        <v/>
      </c>
      <c r="BG463" s="160"/>
      <c r="BH463" s="160"/>
      <c r="BI463" s="160"/>
      <c r="BJ463" s="160"/>
      <c r="BK463" s="160"/>
      <c r="BL463" s="162" t="str">
        <f t="shared" si="461"/>
        <v/>
      </c>
      <c r="BM463" s="257"/>
      <c r="BN463" s="163"/>
      <c r="BO463" s="211" t="str">
        <f t="shared" si="462"/>
        <v/>
      </c>
      <c r="BP463" s="125">
        <f t="shared" si="463"/>
        <v>0</v>
      </c>
      <c r="BQ463" s="164">
        <v>0</v>
      </c>
      <c r="BR463" s="164">
        <v>1</v>
      </c>
      <c r="BS463" s="149">
        <f t="shared" si="464"/>
        <v>0</v>
      </c>
      <c r="BT463" s="149">
        <f t="shared" si="465"/>
        <v>0</v>
      </c>
      <c r="BU463" s="149">
        <f t="shared" si="466"/>
        <v>0</v>
      </c>
      <c r="BV463" s="149">
        <f t="shared" si="467"/>
        <v>0</v>
      </c>
      <c r="BW463" s="149">
        <f t="shared" si="468"/>
        <v>0</v>
      </c>
      <c r="BX463" s="149">
        <f t="shared" si="469"/>
        <v>0</v>
      </c>
      <c r="BY463" s="149">
        <f t="shared" si="470"/>
        <v>0</v>
      </c>
      <c r="BZ463" s="149">
        <f t="shared" si="471"/>
        <v>0</v>
      </c>
      <c r="CA463" s="149">
        <f t="shared" si="472"/>
        <v>0</v>
      </c>
      <c r="CB463" s="149">
        <f t="shared" si="473"/>
        <v>1</v>
      </c>
      <c r="CC463" s="149">
        <f t="shared" si="474"/>
        <v>0</v>
      </c>
      <c r="CD463" s="149">
        <f t="shared" si="475"/>
        <v>1</v>
      </c>
      <c r="CE463" s="149">
        <f t="shared" si="476"/>
        <v>0</v>
      </c>
      <c r="CF463" s="149">
        <f t="shared" si="477"/>
        <v>0</v>
      </c>
      <c r="CG463" s="149">
        <f t="shared" si="478"/>
        <v>0</v>
      </c>
      <c r="CH463" s="149">
        <f t="shared" si="479"/>
        <v>0</v>
      </c>
      <c r="CI463" s="149">
        <f t="shared" si="480"/>
        <v>1</v>
      </c>
      <c r="CJ463" s="149">
        <f t="shared" si="481"/>
        <v>1</v>
      </c>
      <c r="CK463" s="149">
        <f t="shared" si="482"/>
        <v>1</v>
      </c>
      <c r="CL463" s="149">
        <f t="shared" si="483"/>
        <v>1</v>
      </c>
      <c r="CM463" s="149">
        <f t="shared" si="484"/>
        <v>1</v>
      </c>
      <c r="CN463" s="149">
        <f t="shared" si="485"/>
        <v>1</v>
      </c>
      <c r="CO463" s="149">
        <f t="shared" si="486"/>
        <v>1</v>
      </c>
      <c r="CP463" s="149">
        <f t="shared" si="487"/>
        <v>1</v>
      </c>
      <c r="CQ463" s="149">
        <f t="shared" si="488"/>
        <v>1</v>
      </c>
      <c r="CR463" s="149">
        <f t="shared" si="489"/>
        <v>1</v>
      </c>
      <c r="CS463" s="149">
        <f t="shared" si="490"/>
        <v>1</v>
      </c>
      <c r="CT463" s="149">
        <f t="shared" si="491"/>
        <v>1</v>
      </c>
      <c r="CU463" s="149">
        <f t="shared" si="492"/>
        <v>1</v>
      </c>
      <c r="CV463" s="149">
        <f t="shared" si="493"/>
        <v>1</v>
      </c>
      <c r="CW463" s="149">
        <f t="shared" si="494"/>
        <v>1</v>
      </c>
      <c r="CX463" s="149">
        <f t="shared" si="495"/>
        <v>1</v>
      </c>
      <c r="CY463" s="149">
        <f t="shared" si="496"/>
        <v>1</v>
      </c>
      <c r="CZ463" s="149">
        <f t="shared" si="497"/>
        <v>1</v>
      </c>
      <c r="DA463" s="149">
        <f t="shared" si="498"/>
        <v>1</v>
      </c>
      <c r="DB463" s="149">
        <f t="shared" si="499"/>
        <v>1</v>
      </c>
      <c r="DG463" s="125" t="str">
        <f t="shared" si="296"/>
        <v/>
      </c>
      <c r="DH463" s="125" t="str">
        <f t="shared" si="510"/>
        <v/>
      </c>
      <c r="DI463" s="125" t="str">
        <f t="shared" si="510"/>
        <v/>
      </c>
      <c r="DJ463" s="125" t="str">
        <f t="shared" si="510"/>
        <v/>
      </c>
      <c r="DK463" s="125" t="str">
        <f t="shared" si="510"/>
        <v/>
      </c>
      <c r="DL463" s="125" t="str">
        <f t="shared" si="510"/>
        <v/>
      </c>
      <c r="DM463" s="125" t="str">
        <f t="shared" si="510"/>
        <v/>
      </c>
      <c r="DN463" s="125" t="str">
        <f t="shared" si="510"/>
        <v/>
      </c>
      <c r="DO463" s="125" t="str">
        <f t="shared" si="510"/>
        <v/>
      </c>
      <c r="DP463" s="125" t="str">
        <f t="shared" si="510"/>
        <v/>
      </c>
      <c r="DS463" s="137"/>
      <c r="DT463" s="137"/>
      <c r="DU463" s="137"/>
      <c r="DV463" s="137" t="b">
        <f t="shared" si="500"/>
        <v>0</v>
      </c>
      <c r="DW463" s="137" t="b">
        <f t="shared" si="501"/>
        <v>0</v>
      </c>
      <c r="DX463" s="137" t="b">
        <f t="shared" si="502"/>
        <v>1</v>
      </c>
      <c r="EB463" s="131">
        <f t="shared" si="503"/>
        <v>1</v>
      </c>
      <c r="EC463" s="137" t="b">
        <f t="shared" si="504"/>
        <v>0</v>
      </c>
      <c r="ED463" s="137" t="b">
        <f t="shared" si="505"/>
        <v>0</v>
      </c>
      <c r="EE463" s="137" t="b">
        <f t="shared" si="506"/>
        <v>1</v>
      </c>
      <c r="EF463" s="137"/>
      <c r="EG463" s="137"/>
      <c r="EH463" s="137"/>
      <c r="EI463" s="137"/>
      <c r="EJ463" s="137">
        <f t="shared" si="507"/>
        <v>1</v>
      </c>
      <c r="EK463" s="125" t="str">
        <f t="shared" si="508"/>
        <v/>
      </c>
      <c r="EL463" s="125" t="str">
        <f t="shared" si="509"/>
        <v/>
      </c>
    </row>
    <row r="464" spans="2:142" ht="15.75" x14ac:dyDescent="0.2">
      <c r="B464" s="160" t="str">
        <f t="shared" si="459"/>
        <v/>
      </c>
      <c r="C464" s="205"/>
      <c r="D464" s="205"/>
      <c r="E464" s="205"/>
      <c r="F464" s="118" t="str">
        <f>IF(OR(J464="",H464=""),"",VLOOKUP(J464,'הזנה לסיווג רשויות'!$B$2:$D$301,2,0))</f>
        <v/>
      </c>
      <c r="G464" s="118" t="str">
        <f>IF(OR(J464="",H464=""),"",VLOOKUP(J464,'הזנה לסיווג רשויות'!$B$2:$D$301,3,0))</f>
        <v/>
      </c>
      <c r="H464" s="201"/>
      <c r="I464" s="201"/>
      <c r="J464" s="205"/>
      <c r="K464" s="161"/>
      <c r="L464" s="161"/>
      <c r="M464" s="161"/>
      <c r="N464" s="161"/>
      <c r="O464" s="161"/>
      <c r="P464" s="161"/>
      <c r="Q464" s="161"/>
      <c r="R464" s="201"/>
      <c r="S464" s="201"/>
      <c r="T464" s="160" t="str">
        <f>IF(G464="","",IFERROR(IF(S464/R464&gt;'פרמטרים לקריטריונים'!$C$20,1,0),0))</f>
        <v/>
      </c>
      <c r="U464" s="201"/>
      <c r="V464" s="160" t="str">
        <f>IF(G464="","",IFERROR(IF(U464/R464&gt;'פרמטרים לקריטריונים'!$C$21,1,IF(AND(I464=$BW$5,U464/R464&gt;'פרמטרים לקריטריונים'!$C$22),1,0)),0))</f>
        <v/>
      </c>
      <c r="W464" s="161"/>
      <c r="X464" s="161"/>
      <c r="Y464" s="201"/>
      <c r="Z464" s="201"/>
      <c r="AA464" s="161" t="str">
        <f t="shared" si="457"/>
        <v/>
      </c>
      <c r="AB464" s="161"/>
      <c r="AC464" s="161"/>
      <c r="AD464" s="161"/>
      <c r="AE464" s="161"/>
      <c r="AF464" s="161"/>
      <c r="AG464" s="161"/>
      <c r="AH464" s="161"/>
      <c r="AI464" s="161"/>
      <c r="AJ464" s="161"/>
      <c r="AK464" s="161"/>
      <c r="AL464" s="161"/>
      <c r="AM464" s="161"/>
      <c r="AN464" s="161"/>
      <c r="AO464" s="161"/>
      <c r="AP464" s="161"/>
      <c r="AQ464" s="161"/>
      <c r="AR464" s="161"/>
      <c r="AS464" s="161"/>
      <c r="AT464" s="161"/>
      <c r="AU464" s="161"/>
      <c r="AV464" s="161"/>
      <c r="AW464" s="160"/>
      <c r="AX464" s="161"/>
      <c r="AY464" s="161"/>
      <c r="AZ464" s="161"/>
      <c r="BA464" s="161"/>
      <c r="BB464" s="161"/>
      <c r="BC464" s="161"/>
      <c r="BD464" s="161"/>
      <c r="BE464" s="161"/>
      <c r="BF464" s="160" t="str">
        <f t="shared" si="460"/>
        <v/>
      </c>
      <c r="BG464" s="160"/>
      <c r="BH464" s="160"/>
      <c r="BI464" s="160"/>
      <c r="BJ464" s="160"/>
      <c r="BK464" s="160"/>
      <c r="BL464" s="162" t="str">
        <f t="shared" si="461"/>
        <v/>
      </c>
      <c r="BM464" s="257"/>
      <c r="BN464" s="163"/>
      <c r="BO464" s="211" t="str">
        <f t="shared" si="462"/>
        <v/>
      </c>
      <c r="BP464" s="125">
        <f t="shared" si="463"/>
        <v>0</v>
      </c>
      <c r="BQ464" s="164">
        <v>0</v>
      </c>
      <c r="BR464" s="164">
        <v>1</v>
      </c>
      <c r="BS464" s="149">
        <f t="shared" si="464"/>
        <v>0</v>
      </c>
      <c r="BT464" s="149">
        <f t="shared" si="465"/>
        <v>0</v>
      </c>
      <c r="BU464" s="149">
        <f t="shared" si="466"/>
        <v>0</v>
      </c>
      <c r="BV464" s="149">
        <f t="shared" si="467"/>
        <v>0</v>
      </c>
      <c r="BW464" s="149">
        <f t="shared" si="468"/>
        <v>0</v>
      </c>
      <c r="BX464" s="149">
        <f t="shared" si="469"/>
        <v>0</v>
      </c>
      <c r="BY464" s="149">
        <f t="shared" si="470"/>
        <v>0</v>
      </c>
      <c r="BZ464" s="149">
        <f t="shared" si="471"/>
        <v>0</v>
      </c>
      <c r="CA464" s="149">
        <f t="shared" si="472"/>
        <v>0</v>
      </c>
      <c r="CB464" s="149">
        <f t="shared" si="473"/>
        <v>1</v>
      </c>
      <c r="CC464" s="149">
        <f t="shared" si="474"/>
        <v>0</v>
      </c>
      <c r="CD464" s="149">
        <f t="shared" si="475"/>
        <v>1</v>
      </c>
      <c r="CE464" s="149">
        <f t="shared" si="476"/>
        <v>0</v>
      </c>
      <c r="CF464" s="149">
        <f t="shared" si="477"/>
        <v>0</v>
      </c>
      <c r="CG464" s="149">
        <f t="shared" si="478"/>
        <v>0</v>
      </c>
      <c r="CH464" s="149">
        <f t="shared" si="479"/>
        <v>0</v>
      </c>
      <c r="CI464" s="149">
        <f t="shared" si="480"/>
        <v>1</v>
      </c>
      <c r="CJ464" s="149">
        <f t="shared" si="481"/>
        <v>1</v>
      </c>
      <c r="CK464" s="149">
        <f t="shared" si="482"/>
        <v>1</v>
      </c>
      <c r="CL464" s="149">
        <f t="shared" si="483"/>
        <v>1</v>
      </c>
      <c r="CM464" s="149">
        <f t="shared" si="484"/>
        <v>1</v>
      </c>
      <c r="CN464" s="149">
        <f t="shared" si="485"/>
        <v>1</v>
      </c>
      <c r="CO464" s="149">
        <f t="shared" si="486"/>
        <v>1</v>
      </c>
      <c r="CP464" s="149">
        <f t="shared" si="487"/>
        <v>1</v>
      </c>
      <c r="CQ464" s="149">
        <f t="shared" si="488"/>
        <v>1</v>
      </c>
      <c r="CR464" s="149">
        <f t="shared" si="489"/>
        <v>1</v>
      </c>
      <c r="CS464" s="149">
        <f t="shared" si="490"/>
        <v>1</v>
      </c>
      <c r="CT464" s="149">
        <f t="shared" si="491"/>
        <v>1</v>
      </c>
      <c r="CU464" s="149">
        <f t="shared" si="492"/>
        <v>1</v>
      </c>
      <c r="CV464" s="149">
        <f t="shared" si="493"/>
        <v>1</v>
      </c>
      <c r="CW464" s="149">
        <f t="shared" si="494"/>
        <v>1</v>
      </c>
      <c r="CX464" s="149">
        <f t="shared" si="495"/>
        <v>1</v>
      </c>
      <c r="CY464" s="149">
        <f t="shared" si="496"/>
        <v>1</v>
      </c>
      <c r="CZ464" s="149">
        <f t="shared" si="497"/>
        <v>1</v>
      </c>
      <c r="DA464" s="149">
        <f t="shared" si="498"/>
        <v>1</v>
      </c>
      <c r="DB464" s="149">
        <f t="shared" si="499"/>
        <v>1</v>
      </c>
      <c r="DG464" s="125" t="str">
        <f t="shared" si="296"/>
        <v/>
      </c>
      <c r="DH464" s="125" t="str">
        <f t="shared" si="510"/>
        <v/>
      </c>
      <c r="DI464" s="125" t="str">
        <f t="shared" si="510"/>
        <v/>
      </c>
      <c r="DJ464" s="125" t="str">
        <f t="shared" si="510"/>
        <v/>
      </c>
      <c r="DK464" s="125" t="str">
        <f t="shared" si="510"/>
        <v/>
      </c>
      <c r="DL464" s="125" t="str">
        <f t="shared" si="510"/>
        <v/>
      </c>
      <c r="DM464" s="125" t="str">
        <f t="shared" si="510"/>
        <v/>
      </c>
      <c r="DN464" s="125" t="str">
        <f t="shared" si="510"/>
        <v/>
      </c>
      <c r="DO464" s="125" t="str">
        <f t="shared" si="510"/>
        <v/>
      </c>
      <c r="DP464" s="125" t="str">
        <f t="shared" si="510"/>
        <v/>
      </c>
      <c r="DS464" s="137"/>
      <c r="DT464" s="137"/>
      <c r="DU464" s="137"/>
      <c r="DV464" s="137" t="b">
        <f t="shared" si="500"/>
        <v>0</v>
      </c>
      <c r="DW464" s="137" t="b">
        <f t="shared" si="501"/>
        <v>0</v>
      </c>
      <c r="DX464" s="137" t="b">
        <f t="shared" si="502"/>
        <v>1</v>
      </c>
      <c r="EB464" s="131">
        <f t="shared" si="503"/>
        <v>1</v>
      </c>
      <c r="EC464" s="137" t="b">
        <f t="shared" si="504"/>
        <v>0</v>
      </c>
      <c r="ED464" s="137" t="b">
        <f t="shared" si="505"/>
        <v>0</v>
      </c>
      <c r="EE464" s="137" t="b">
        <f t="shared" si="506"/>
        <v>1</v>
      </c>
      <c r="EF464" s="137"/>
      <c r="EG464" s="137"/>
      <c r="EH464" s="137"/>
      <c r="EI464" s="137"/>
      <c r="EJ464" s="137">
        <f t="shared" si="507"/>
        <v>1</v>
      </c>
      <c r="EK464" s="125" t="str">
        <f t="shared" si="508"/>
        <v/>
      </c>
      <c r="EL464" s="125" t="str">
        <f t="shared" si="509"/>
        <v/>
      </c>
    </row>
    <row r="465" spans="2:142" ht="15.75" x14ac:dyDescent="0.2">
      <c r="B465" s="160" t="str">
        <f t="shared" si="459"/>
        <v/>
      </c>
      <c r="C465" s="205"/>
      <c r="D465" s="205"/>
      <c r="E465" s="205"/>
      <c r="F465" s="118" t="str">
        <f>IF(OR(J465="",H465=""),"",VLOOKUP(J465,'הזנה לסיווג רשויות'!$B$2:$D$301,2,0))</f>
        <v/>
      </c>
      <c r="G465" s="118" t="str">
        <f>IF(OR(J465="",H465=""),"",VLOOKUP(J465,'הזנה לסיווג רשויות'!$B$2:$D$301,3,0))</f>
        <v/>
      </c>
      <c r="H465" s="201"/>
      <c r="I465" s="201"/>
      <c r="J465" s="205"/>
      <c r="K465" s="161"/>
      <c r="L465" s="161"/>
      <c r="M465" s="161"/>
      <c r="N465" s="161"/>
      <c r="O465" s="161"/>
      <c r="P465" s="161"/>
      <c r="Q465" s="161"/>
      <c r="R465" s="201"/>
      <c r="S465" s="201"/>
      <c r="T465" s="160" t="str">
        <f>IF(G465="","",IFERROR(IF(S465/R465&gt;'פרמטרים לקריטריונים'!$C$20,1,0),0))</f>
        <v/>
      </c>
      <c r="U465" s="201"/>
      <c r="V465" s="160" t="str">
        <f>IF(G465="","",IFERROR(IF(U465/R465&gt;'פרמטרים לקריטריונים'!$C$21,1,IF(AND(I465=$BW$5,U465/R465&gt;'פרמטרים לקריטריונים'!$C$22),1,0)),0))</f>
        <v/>
      </c>
      <c r="W465" s="161"/>
      <c r="X465" s="161"/>
      <c r="Y465" s="201"/>
      <c r="Z465" s="201"/>
      <c r="AA465" s="161" t="str">
        <f t="shared" si="457"/>
        <v/>
      </c>
      <c r="AB465" s="161"/>
      <c r="AC465" s="161"/>
      <c r="AD465" s="161"/>
      <c r="AE465" s="161"/>
      <c r="AF465" s="161"/>
      <c r="AG465" s="161"/>
      <c r="AH465" s="161"/>
      <c r="AI465" s="161"/>
      <c r="AJ465" s="161"/>
      <c r="AK465" s="161"/>
      <c r="AL465" s="161"/>
      <c r="AM465" s="161"/>
      <c r="AN465" s="161"/>
      <c r="AO465" s="161"/>
      <c r="AP465" s="161"/>
      <c r="AQ465" s="161"/>
      <c r="AR465" s="161"/>
      <c r="AS465" s="161"/>
      <c r="AT465" s="161"/>
      <c r="AU465" s="161"/>
      <c r="AV465" s="161"/>
      <c r="AW465" s="160"/>
      <c r="AX465" s="161"/>
      <c r="AY465" s="161"/>
      <c r="AZ465" s="161"/>
      <c r="BA465" s="161"/>
      <c r="BB465" s="161"/>
      <c r="BC465" s="161"/>
      <c r="BD465" s="161"/>
      <c r="BE465" s="161"/>
      <c r="BF465" s="160" t="str">
        <f t="shared" si="460"/>
        <v/>
      </c>
      <c r="BG465" s="160"/>
      <c r="BH465" s="160"/>
      <c r="BI465" s="160"/>
      <c r="BJ465" s="160"/>
      <c r="BK465" s="160"/>
      <c r="BL465" s="162" t="str">
        <f t="shared" si="461"/>
        <v/>
      </c>
      <c r="BM465" s="257"/>
      <c r="BN465" s="163"/>
      <c r="BO465" s="211" t="str">
        <f t="shared" si="462"/>
        <v/>
      </c>
      <c r="BP465" s="125">
        <f t="shared" si="463"/>
        <v>0</v>
      </c>
      <c r="BQ465" s="164">
        <v>0</v>
      </c>
      <c r="BR465" s="164">
        <v>1</v>
      </c>
      <c r="BS465" s="149">
        <f t="shared" si="464"/>
        <v>0</v>
      </c>
      <c r="BT465" s="149">
        <f t="shared" si="465"/>
        <v>0</v>
      </c>
      <c r="BU465" s="149">
        <f t="shared" si="466"/>
        <v>0</v>
      </c>
      <c r="BV465" s="149">
        <f t="shared" si="467"/>
        <v>0</v>
      </c>
      <c r="BW465" s="149">
        <f t="shared" si="468"/>
        <v>0</v>
      </c>
      <c r="BX465" s="149">
        <f t="shared" si="469"/>
        <v>0</v>
      </c>
      <c r="BY465" s="149">
        <f t="shared" si="470"/>
        <v>0</v>
      </c>
      <c r="BZ465" s="149">
        <f t="shared" si="471"/>
        <v>0</v>
      </c>
      <c r="CA465" s="149">
        <f t="shared" si="472"/>
        <v>0</v>
      </c>
      <c r="CB465" s="149">
        <f t="shared" si="473"/>
        <v>1</v>
      </c>
      <c r="CC465" s="149">
        <f t="shared" si="474"/>
        <v>0</v>
      </c>
      <c r="CD465" s="149">
        <f t="shared" si="475"/>
        <v>1</v>
      </c>
      <c r="CE465" s="149">
        <f t="shared" si="476"/>
        <v>0</v>
      </c>
      <c r="CF465" s="149">
        <f t="shared" si="477"/>
        <v>0</v>
      </c>
      <c r="CG465" s="149">
        <f t="shared" si="478"/>
        <v>0</v>
      </c>
      <c r="CH465" s="149">
        <f t="shared" si="479"/>
        <v>0</v>
      </c>
      <c r="CI465" s="149">
        <f t="shared" si="480"/>
        <v>1</v>
      </c>
      <c r="CJ465" s="149">
        <f t="shared" si="481"/>
        <v>1</v>
      </c>
      <c r="CK465" s="149">
        <f t="shared" si="482"/>
        <v>1</v>
      </c>
      <c r="CL465" s="149">
        <f t="shared" si="483"/>
        <v>1</v>
      </c>
      <c r="CM465" s="149">
        <f t="shared" si="484"/>
        <v>1</v>
      </c>
      <c r="CN465" s="149">
        <f t="shared" si="485"/>
        <v>1</v>
      </c>
      <c r="CO465" s="149">
        <f t="shared" si="486"/>
        <v>1</v>
      </c>
      <c r="CP465" s="149">
        <f t="shared" si="487"/>
        <v>1</v>
      </c>
      <c r="CQ465" s="149">
        <f t="shared" si="488"/>
        <v>1</v>
      </c>
      <c r="CR465" s="149">
        <f t="shared" si="489"/>
        <v>1</v>
      </c>
      <c r="CS465" s="149">
        <f t="shared" si="490"/>
        <v>1</v>
      </c>
      <c r="CT465" s="149">
        <f t="shared" si="491"/>
        <v>1</v>
      </c>
      <c r="CU465" s="149">
        <f t="shared" si="492"/>
        <v>1</v>
      </c>
      <c r="CV465" s="149">
        <f t="shared" si="493"/>
        <v>1</v>
      </c>
      <c r="CW465" s="149">
        <f t="shared" si="494"/>
        <v>1</v>
      </c>
      <c r="CX465" s="149">
        <f t="shared" si="495"/>
        <v>1</v>
      </c>
      <c r="CY465" s="149">
        <f t="shared" si="496"/>
        <v>1</v>
      </c>
      <c r="CZ465" s="149">
        <f t="shared" si="497"/>
        <v>1</v>
      </c>
      <c r="DA465" s="149">
        <f t="shared" si="498"/>
        <v>1</v>
      </c>
      <c r="DB465" s="149">
        <f t="shared" si="499"/>
        <v>1</v>
      </c>
      <c r="DG465" s="125" t="str">
        <f t="shared" si="296"/>
        <v/>
      </c>
      <c r="DH465" s="125" t="str">
        <f t="shared" si="510"/>
        <v/>
      </c>
      <c r="DI465" s="125" t="str">
        <f t="shared" si="510"/>
        <v/>
      </c>
      <c r="DJ465" s="125" t="str">
        <f t="shared" si="510"/>
        <v/>
      </c>
      <c r="DK465" s="125" t="str">
        <f t="shared" si="510"/>
        <v/>
      </c>
      <c r="DL465" s="125" t="str">
        <f t="shared" si="510"/>
        <v/>
      </c>
      <c r="DM465" s="125" t="str">
        <f t="shared" si="510"/>
        <v/>
      </c>
      <c r="DN465" s="125" t="str">
        <f t="shared" si="510"/>
        <v/>
      </c>
      <c r="DO465" s="125" t="str">
        <f t="shared" si="510"/>
        <v/>
      </c>
      <c r="DP465" s="125" t="str">
        <f t="shared" si="510"/>
        <v/>
      </c>
      <c r="DS465" s="137"/>
      <c r="DT465" s="137"/>
      <c r="DU465" s="137"/>
      <c r="DV465" s="137" t="b">
        <f t="shared" si="500"/>
        <v>0</v>
      </c>
      <c r="DW465" s="137" t="b">
        <f t="shared" si="501"/>
        <v>0</v>
      </c>
      <c r="DX465" s="137" t="b">
        <f t="shared" si="502"/>
        <v>1</v>
      </c>
      <c r="EB465" s="131">
        <f t="shared" si="503"/>
        <v>1</v>
      </c>
      <c r="EC465" s="137" t="b">
        <f t="shared" si="504"/>
        <v>0</v>
      </c>
      <c r="ED465" s="137" t="b">
        <f t="shared" si="505"/>
        <v>0</v>
      </c>
      <c r="EE465" s="137" t="b">
        <f t="shared" si="506"/>
        <v>1</v>
      </c>
      <c r="EF465" s="137"/>
      <c r="EG465" s="137"/>
      <c r="EH465" s="137"/>
      <c r="EI465" s="137"/>
      <c r="EJ465" s="137">
        <f t="shared" si="507"/>
        <v>1</v>
      </c>
      <c r="EK465" s="125" t="str">
        <f t="shared" si="508"/>
        <v/>
      </c>
      <c r="EL465" s="125" t="str">
        <f t="shared" si="509"/>
        <v/>
      </c>
    </row>
    <row r="466" spans="2:142" ht="15.75" x14ac:dyDescent="0.2">
      <c r="B466" s="160" t="str">
        <f t="shared" si="459"/>
        <v/>
      </c>
      <c r="C466" s="205"/>
      <c r="D466" s="205"/>
      <c r="E466" s="205"/>
      <c r="F466" s="118" t="str">
        <f>IF(OR(J466="",H466=""),"",VLOOKUP(J466,'הזנה לסיווג רשויות'!$B$2:$D$301,2,0))</f>
        <v/>
      </c>
      <c r="G466" s="118" t="str">
        <f>IF(OR(J466="",H466=""),"",VLOOKUP(J466,'הזנה לסיווג רשויות'!$B$2:$D$301,3,0))</f>
        <v/>
      </c>
      <c r="H466" s="201"/>
      <c r="I466" s="201"/>
      <c r="J466" s="205"/>
      <c r="K466" s="161"/>
      <c r="L466" s="161"/>
      <c r="M466" s="161"/>
      <c r="N466" s="161"/>
      <c r="O466" s="161"/>
      <c r="P466" s="161"/>
      <c r="Q466" s="161"/>
      <c r="R466" s="201"/>
      <c r="S466" s="201"/>
      <c r="T466" s="160" t="str">
        <f>IF(G466="","",IFERROR(IF(S466/R466&gt;'פרמטרים לקריטריונים'!$C$20,1,0),0))</f>
        <v/>
      </c>
      <c r="U466" s="201"/>
      <c r="V466" s="160" t="str">
        <f>IF(G466="","",IFERROR(IF(U466/R466&gt;'פרמטרים לקריטריונים'!$C$21,1,IF(AND(I466=$BW$5,U466/R466&gt;'פרמטרים לקריטריונים'!$C$22),1,0)),0))</f>
        <v/>
      </c>
      <c r="W466" s="161"/>
      <c r="X466" s="161"/>
      <c r="Y466" s="201"/>
      <c r="Z466" s="201"/>
      <c r="AA466" s="161" t="str">
        <f t="shared" si="457"/>
        <v/>
      </c>
      <c r="AB466" s="161"/>
      <c r="AC466" s="161"/>
      <c r="AD466" s="161"/>
      <c r="AE466" s="161"/>
      <c r="AF466" s="161"/>
      <c r="AG466" s="161"/>
      <c r="AH466" s="161"/>
      <c r="AI466" s="161"/>
      <c r="AJ466" s="161"/>
      <c r="AK466" s="161"/>
      <c r="AL466" s="161"/>
      <c r="AM466" s="161"/>
      <c r="AN466" s="161"/>
      <c r="AO466" s="161"/>
      <c r="AP466" s="161"/>
      <c r="AQ466" s="161"/>
      <c r="AR466" s="161"/>
      <c r="AS466" s="161"/>
      <c r="AT466" s="161"/>
      <c r="AU466" s="161"/>
      <c r="AV466" s="161"/>
      <c r="AW466" s="160"/>
      <c r="AX466" s="161"/>
      <c r="AY466" s="161"/>
      <c r="AZ466" s="161"/>
      <c r="BA466" s="161"/>
      <c r="BB466" s="161"/>
      <c r="BC466" s="161"/>
      <c r="BD466" s="161"/>
      <c r="BE466" s="161"/>
      <c r="BF466" s="160" t="str">
        <f t="shared" si="460"/>
        <v/>
      </c>
      <c r="BG466" s="160"/>
      <c r="BH466" s="160"/>
      <c r="BI466" s="160"/>
      <c r="BJ466" s="160"/>
      <c r="BK466" s="160"/>
      <c r="BL466" s="162" t="str">
        <f t="shared" si="461"/>
        <v/>
      </c>
      <c r="BM466" s="257"/>
      <c r="BN466" s="163"/>
      <c r="BO466" s="211" t="str">
        <f t="shared" si="462"/>
        <v/>
      </c>
      <c r="BP466" s="125">
        <f t="shared" si="463"/>
        <v>0</v>
      </c>
      <c r="BQ466" s="164">
        <v>0</v>
      </c>
      <c r="BR466" s="164">
        <v>1</v>
      </c>
      <c r="BS466" s="149">
        <f t="shared" si="464"/>
        <v>0</v>
      </c>
      <c r="BT466" s="149">
        <f t="shared" si="465"/>
        <v>0</v>
      </c>
      <c r="BU466" s="149">
        <f t="shared" si="466"/>
        <v>0</v>
      </c>
      <c r="BV466" s="149">
        <f t="shared" si="467"/>
        <v>0</v>
      </c>
      <c r="BW466" s="149">
        <f t="shared" si="468"/>
        <v>0</v>
      </c>
      <c r="BX466" s="149">
        <f t="shared" si="469"/>
        <v>0</v>
      </c>
      <c r="BY466" s="149">
        <f t="shared" si="470"/>
        <v>0</v>
      </c>
      <c r="BZ466" s="149">
        <f t="shared" si="471"/>
        <v>0</v>
      </c>
      <c r="CA466" s="149">
        <f t="shared" si="472"/>
        <v>0</v>
      </c>
      <c r="CB466" s="149">
        <f t="shared" si="473"/>
        <v>1</v>
      </c>
      <c r="CC466" s="149">
        <f t="shared" si="474"/>
        <v>0</v>
      </c>
      <c r="CD466" s="149">
        <f t="shared" si="475"/>
        <v>1</v>
      </c>
      <c r="CE466" s="149">
        <f t="shared" si="476"/>
        <v>0</v>
      </c>
      <c r="CF466" s="149">
        <f t="shared" si="477"/>
        <v>0</v>
      </c>
      <c r="CG466" s="149">
        <f t="shared" si="478"/>
        <v>0</v>
      </c>
      <c r="CH466" s="149">
        <f t="shared" si="479"/>
        <v>0</v>
      </c>
      <c r="CI466" s="149">
        <f t="shared" si="480"/>
        <v>1</v>
      </c>
      <c r="CJ466" s="149">
        <f t="shared" si="481"/>
        <v>1</v>
      </c>
      <c r="CK466" s="149">
        <f t="shared" si="482"/>
        <v>1</v>
      </c>
      <c r="CL466" s="149">
        <f t="shared" si="483"/>
        <v>1</v>
      </c>
      <c r="CM466" s="149">
        <f t="shared" si="484"/>
        <v>1</v>
      </c>
      <c r="CN466" s="149">
        <f t="shared" si="485"/>
        <v>1</v>
      </c>
      <c r="CO466" s="149">
        <f t="shared" si="486"/>
        <v>1</v>
      </c>
      <c r="CP466" s="149">
        <f t="shared" si="487"/>
        <v>1</v>
      </c>
      <c r="CQ466" s="149">
        <f t="shared" si="488"/>
        <v>1</v>
      </c>
      <c r="CR466" s="149">
        <f t="shared" si="489"/>
        <v>1</v>
      </c>
      <c r="CS466" s="149">
        <f t="shared" si="490"/>
        <v>1</v>
      </c>
      <c r="CT466" s="149">
        <f t="shared" si="491"/>
        <v>1</v>
      </c>
      <c r="CU466" s="149">
        <f t="shared" si="492"/>
        <v>1</v>
      </c>
      <c r="CV466" s="149">
        <f t="shared" si="493"/>
        <v>1</v>
      </c>
      <c r="CW466" s="149">
        <f t="shared" si="494"/>
        <v>1</v>
      </c>
      <c r="CX466" s="149">
        <f t="shared" si="495"/>
        <v>1</v>
      </c>
      <c r="CY466" s="149">
        <f t="shared" si="496"/>
        <v>1</v>
      </c>
      <c r="CZ466" s="149">
        <f t="shared" si="497"/>
        <v>1</v>
      </c>
      <c r="DA466" s="149">
        <f t="shared" si="498"/>
        <v>1</v>
      </c>
      <c r="DB466" s="149">
        <f t="shared" si="499"/>
        <v>1</v>
      </c>
      <c r="DG466" s="125" t="str">
        <f t="shared" si="296"/>
        <v/>
      </c>
      <c r="DH466" s="125" t="str">
        <f t="shared" si="510"/>
        <v/>
      </c>
      <c r="DI466" s="125" t="str">
        <f t="shared" si="510"/>
        <v/>
      </c>
      <c r="DJ466" s="125" t="str">
        <f t="shared" si="510"/>
        <v/>
      </c>
      <c r="DK466" s="125" t="str">
        <f t="shared" si="510"/>
        <v/>
      </c>
      <c r="DL466" s="125" t="str">
        <f t="shared" si="510"/>
        <v/>
      </c>
      <c r="DM466" s="125" t="str">
        <f t="shared" si="510"/>
        <v/>
      </c>
      <c r="DN466" s="125" t="str">
        <f t="shared" si="510"/>
        <v/>
      </c>
      <c r="DO466" s="125" t="str">
        <f t="shared" si="510"/>
        <v/>
      </c>
      <c r="DP466" s="125" t="str">
        <f t="shared" si="510"/>
        <v/>
      </c>
      <c r="DS466" s="137"/>
      <c r="DT466" s="137"/>
      <c r="DU466" s="137"/>
      <c r="DV466" s="137" t="b">
        <f t="shared" si="500"/>
        <v>0</v>
      </c>
      <c r="DW466" s="137" t="b">
        <f t="shared" si="501"/>
        <v>0</v>
      </c>
      <c r="DX466" s="137" t="b">
        <f t="shared" si="502"/>
        <v>1</v>
      </c>
      <c r="EB466" s="131">
        <f t="shared" si="503"/>
        <v>1</v>
      </c>
      <c r="EC466" s="137" t="b">
        <f t="shared" si="504"/>
        <v>0</v>
      </c>
      <c r="ED466" s="137" t="b">
        <f t="shared" si="505"/>
        <v>0</v>
      </c>
      <c r="EE466" s="137" t="b">
        <f t="shared" si="506"/>
        <v>1</v>
      </c>
      <c r="EF466" s="137"/>
      <c r="EG466" s="137"/>
      <c r="EH466" s="137"/>
      <c r="EI466" s="137"/>
      <c r="EJ466" s="137">
        <f t="shared" si="507"/>
        <v>1</v>
      </c>
      <c r="EK466" s="125" t="str">
        <f t="shared" si="508"/>
        <v/>
      </c>
      <c r="EL466" s="125" t="str">
        <f t="shared" si="509"/>
        <v/>
      </c>
    </row>
    <row r="467" spans="2:142" ht="15.75" x14ac:dyDescent="0.2">
      <c r="B467" s="160" t="str">
        <f t="shared" si="459"/>
        <v/>
      </c>
      <c r="C467" s="205"/>
      <c r="D467" s="205"/>
      <c r="E467" s="205"/>
      <c r="F467" s="118" t="str">
        <f>IF(OR(J467="",H467=""),"",VLOOKUP(J467,'הזנה לסיווג רשויות'!$B$2:$D$301,2,0))</f>
        <v/>
      </c>
      <c r="G467" s="118" t="str">
        <f>IF(OR(J467="",H467=""),"",VLOOKUP(J467,'הזנה לסיווג רשויות'!$B$2:$D$301,3,0))</f>
        <v/>
      </c>
      <c r="H467" s="201"/>
      <c r="I467" s="201"/>
      <c r="J467" s="205"/>
      <c r="K467" s="161"/>
      <c r="L467" s="161"/>
      <c r="M467" s="161"/>
      <c r="N467" s="161"/>
      <c r="O467" s="161"/>
      <c r="P467" s="161"/>
      <c r="Q467" s="161"/>
      <c r="R467" s="201"/>
      <c r="S467" s="201"/>
      <c r="T467" s="160" t="str">
        <f>IF(G467="","",IFERROR(IF(S467/R467&gt;'פרמטרים לקריטריונים'!$C$20,1,0),0))</f>
        <v/>
      </c>
      <c r="U467" s="201"/>
      <c r="V467" s="160" t="str">
        <f>IF(G467="","",IFERROR(IF(U467/R467&gt;'פרמטרים לקריטריונים'!$C$21,1,IF(AND(I467=$BW$5,U467/R467&gt;'פרמטרים לקריטריונים'!$C$22),1,0)),0))</f>
        <v/>
      </c>
      <c r="W467" s="161"/>
      <c r="X467" s="161"/>
      <c r="Y467" s="201"/>
      <c r="Z467" s="201"/>
      <c r="AA467" s="161" t="str">
        <f t="shared" si="457"/>
        <v/>
      </c>
      <c r="AB467" s="161"/>
      <c r="AC467" s="161"/>
      <c r="AD467" s="161"/>
      <c r="AE467" s="161"/>
      <c r="AF467" s="161"/>
      <c r="AG467" s="161"/>
      <c r="AH467" s="161"/>
      <c r="AI467" s="161"/>
      <c r="AJ467" s="161"/>
      <c r="AK467" s="161"/>
      <c r="AL467" s="161"/>
      <c r="AM467" s="161"/>
      <c r="AN467" s="161"/>
      <c r="AO467" s="161"/>
      <c r="AP467" s="161"/>
      <c r="AQ467" s="161"/>
      <c r="AR467" s="161"/>
      <c r="AS467" s="161"/>
      <c r="AT467" s="161"/>
      <c r="AU467" s="161"/>
      <c r="AV467" s="161"/>
      <c r="AW467" s="160"/>
      <c r="AX467" s="161"/>
      <c r="AY467" s="161"/>
      <c r="AZ467" s="161"/>
      <c r="BA467" s="161"/>
      <c r="BB467" s="161"/>
      <c r="BC467" s="161"/>
      <c r="BD467" s="161"/>
      <c r="BE467" s="161"/>
      <c r="BF467" s="160" t="str">
        <f t="shared" si="460"/>
        <v/>
      </c>
      <c r="BG467" s="160"/>
      <c r="BH467" s="160"/>
      <c r="BI467" s="160"/>
      <c r="BJ467" s="160"/>
      <c r="BK467" s="160"/>
      <c r="BL467" s="162" t="str">
        <f t="shared" si="461"/>
        <v/>
      </c>
      <c r="BM467" s="257"/>
      <c r="BN467" s="163"/>
      <c r="BO467" s="211" t="str">
        <f t="shared" si="462"/>
        <v/>
      </c>
      <c r="BP467" s="125">
        <f t="shared" si="463"/>
        <v>0</v>
      </c>
      <c r="BQ467" s="164">
        <v>0</v>
      </c>
      <c r="BR467" s="164">
        <v>1</v>
      </c>
      <c r="BS467" s="149">
        <f t="shared" si="464"/>
        <v>0</v>
      </c>
      <c r="BT467" s="149">
        <f t="shared" si="465"/>
        <v>0</v>
      </c>
      <c r="BU467" s="149">
        <f t="shared" si="466"/>
        <v>0</v>
      </c>
      <c r="BV467" s="149">
        <f t="shared" si="467"/>
        <v>0</v>
      </c>
      <c r="BW467" s="149">
        <f t="shared" si="468"/>
        <v>0</v>
      </c>
      <c r="BX467" s="149">
        <f t="shared" si="469"/>
        <v>0</v>
      </c>
      <c r="BY467" s="149">
        <f t="shared" si="470"/>
        <v>0</v>
      </c>
      <c r="BZ467" s="149">
        <f t="shared" si="471"/>
        <v>0</v>
      </c>
      <c r="CA467" s="149">
        <f t="shared" si="472"/>
        <v>0</v>
      </c>
      <c r="CB467" s="149">
        <f t="shared" si="473"/>
        <v>1</v>
      </c>
      <c r="CC467" s="149">
        <f t="shared" si="474"/>
        <v>0</v>
      </c>
      <c r="CD467" s="149">
        <f t="shared" si="475"/>
        <v>1</v>
      </c>
      <c r="CE467" s="149">
        <f t="shared" si="476"/>
        <v>0</v>
      </c>
      <c r="CF467" s="149">
        <f t="shared" si="477"/>
        <v>0</v>
      </c>
      <c r="CG467" s="149">
        <f t="shared" si="478"/>
        <v>0</v>
      </c>
      <c r="CH467" s="149">
        <f t="shared" si="479"/>
        <v>0</v>
      </c>
      <c r="CI467" s="149">
        <f t="shared" si="480"/>
        <v>1</v>
      </c>
      <c r="CJ467" s="149">
        <f t="shared" si="481"/>
        <v>1</v>
      </c>
      <c r="CK467" s="149">
        <f t="shared" si="482"/>
        <v>1</v>
      </c>
      <c r="CL467" s="149">
        <f t="shared" si="483"/>
        <v>1</v>
      </c>
      <c r="CM467" s="149">
        <f t="shared" si="484"/>
        <v>1</v>
      </c>
      <c r="CN467" s="149">
        <f t="shared" si="485"/>
        <v>1</v>
      </c>
      <c r="CO467" s="149">
        <f t="shared" si="486"/>
        <v>1</v>
      </c>
      <c r="CP467" s="149">
        <f t="shared" si="487"/>
        <v>1</v>
      </c>
      <c r="CQ467" s="149">
        <f t="shared" si="488"/>
        <v>1</v>
      </c>
      <c r="CR467" s="149">
        <f t="shared" si="489"/>
        <v>1</v>
      </c>
      <c r="CS467" s="149">
        <f t="shared" si="490"/>
        <v>1</v>
      </c>
      <c r="CT467" s="149">
        <f t="shared" si="491"/>
        <v>1</v>
      </c>
      <c r="CU467" s="149">
        <f t="shared" si="492"/>
        <v>1</v>
      </c>
      <c r="CV467" s="149">
        <f t="shared" si="493"/>
        <v>1</v>
      </c>
      <c r="CW467" s="149">
        <f t="shared" si="494"/>
        <v>1</v>
      </c>
      <c r="CX467" s="149">
        <f t="shared" si="495"/>
        <v>1</v>
      </c>
      <c r="CY467" s="149">
        <f t="shared" si="496"/>
        <v>1</v>
      </c>
      <c r="CZ467" s="149">
        <f t="shared" si="497"/>
        <v>1</v>
      </c>
      <c r="DA467" s="149">
        <f t="shared" si="498"/>
        <v>1</v>
      </c>
      <c r="DB467" s="149">
        <f t="shared" si="499"/>
        <v>1</v>
      </c>
      <c r="DG467" s="125" t="str">
        <f t="shared" si="296"/>
        <v/>
      </c>
      <c r="DH467" s="125" t="str">
        <f t="shared" si="510"/>
        <v/>
      </c>
      <c r="DI467" s="125" t="str">
        <f t="shared" si="510"/>
        <v/>
      </c>
      <c r="DJ467" s="125" t="str">
        <f t="shared" si="510"/>
        <v/>
      </c>
      <c r="DK467" s="125" t="str">
        <f t="shared" si="510"/>
        <v/>
      </c>
      <c r="DL467" s="125" t="str">
        <f t="shared" si="510"/>
        <v/>
      </c>
      <c r="DM467" s="125" t="str">
        <f t="shared" si="510"/>
        <v/>
      </c>
      <c r="DN467" s="125" t="str">
        <f t="shared" si="510"/>
        <v/>
      </c>
      <c r="DO467" s="125" t="str">
        <f t="shared" si="510"/>
        <v/>
      </c>
      <c r="DP467" s="125" t="str">
        <f t="shared" si="510"/>
        <v/>
      </c>
      <c r="DS467" s="137"/>
      <c r="DT467" s="137"/>
      <c r="DU467" s="137"/>
      <c r="DV467" s="137" t="b">
        <f t="shared" si="500"/>
        <v>0</v>
      </c>
      <c r="DW467" s="137" t="b">
        <f t="shared" si="501"/>
        <v>0</v>
      </c>
      <c r="DX467" s="137" t="b">
        <f t="shared" si="502"/>
        <v>1</v>
      </c>
      <c r="EB467" s="131">
        <f t="shared" si="503"/>
        <v>1</v>
      </c>
      <c r="EC467" s="137" t="b">
        <f t="shared" si="504"/>
        <v>0</v>
      </c>
      <c r="ED467" s="137" t="b">
        <f t="shared" si="505"/>
        <v>0</v>
      </c>
      <c r="EE467" s="137" t="b">
        <f t="shared" si="506"/>
        <v>1</v>
      </c>
      <c r="EF467" s="137"/>
      <c r="EG467" s="137"/>
      <c r="EH467" s="137"/>
      <c r="EI467" s="137"/>
      <c r="EJ467" s="137">
        <f t="shared" si="507"/>
        <v>1</v>
      </c>
      <c r="EK467" s="125" t="str">
        <f t="shared" si="508"/>
        <v/>
      </c>
      <c r="EL467" s="125" t="str">
        <f t="shared" si="509"/>
        <v/>
      </c>
    </row>
    <row r="468" spans="2:142" ht="15.75" x14ac:dyDescent="0.2">
      <c r="B468" s="160" t="str">
        <f t="shared" si="459"/>
        <v/>
      </c>
      <c r="C468" s="205"/>
      <c r="D468" s="205"/>
      <c r="E468" s="205"/>
      <c r="F468" s="118" t="str">
        <f>IF(OR(J468="",H468=""),"",VLOOKUP(J468,'הזנה לסיווג רשויות'!$B$2:$D$301,2,0))</f>
        <v/>
      </c>
      <c r="G468" s="118" t="str">
        <f>IF(OR(J468="",H468=""),"",VLOOKUP(J468,'הזנה לסיווג רשויות'!$B$2:$D$301,3,0))</f>
        <v/>
      </c>
      <c r="H468" s="201"/>
      <c r="I468" s="201"/>
      <c r="J468" s="205"/>
      <c r="K468" s="161"/>
      <c r="L468" s="161"/>
      <c r="M468" s="161"/>
      <c r="N468" s="161"/>
      <c r="O468" s="161"/>
      <c r="P468" s="161"/>
      <c r="Q468" s="161"/>
      <c r="R468" s="201"/>
      <c r="S468" s="201"/>
      <c r="T468" s="160" t="str">
        <f>IF(G468="","",IFERROR(IF(S468/R468&gt;'פרמטרים לקריטריונים'!$C$20,1,0),0))</f>
        <v/>
      </c>
      <c r="U468" s="201"/>
      <c r="V468" s="160" t="str">
        <f>IF(G468="","",IFERROR(IF(U468/R468&gt;'פרמטרים לקריטריונים'!$C$21,1,IF(AND(I468=$BW$5,U468/R468&gt;'פרמטרים לקריטריונים'!$C$22),1,0)),0))</f>
        <v/>
      </c>
      <c r="W468" s="161"/>
      <c r="X468" s="161"/>
      <c r="Y468" s="201"/>
      <c r="Z468" s="201"/>
      <c r="AA468" s="161" t="str">
        <f t="shared" si="457"/>
        <v/>
      </c>
      <c r="AB468" s="161"/>
      <c r="AC468" s="161"/>
      <c r="AD468" s="161"/>
      <c r="AE468" s="161"/>
      <c r="AF468" s="161"/>
      <c r="AG468" s="161"/>
      <c r="AH468" s="161"/>
      <c r="AI468" s="161"/>
      <c r="AJ468" s="161"/>
      <c r="AK468" s="161"/>
      <c r="AL468" s="161"/>
      <c r="AM468" s="161"/>
      <c r="AN468" s="161"/>
      <c r="AO468" s="161"/>
      <c r="AP468" s="161"/>
      <c r="AQ468" s="161"/>
      <c r="AR468" s="161"/>
      <c r="AS468" s="161"/>
      <c r="AT468" s="161"/>
      <c r="AU468" s="161"/>
      <c r="AV468" s="161"/>
      <c r="AW468" s="160"/>
      <c r="AX468" s="161"/>
      <c r="AY468" s="161"/>
      <c r="AZ468" s="161"/>
      <c r="BA468" s="161"/>
      <c r="BB468" s="161"/>
      <c r="BC468" s="161"/>
      <c r="BD468" s="161"/>
      <c r="BE468" s="161"/>
      <c r="BF468" s="160" t="str">
        <f t="shared" si="460"/>
        <v/>
      </c>
      <c r="BG468" s="160"/>
      <c r="BH468" s="160"/>
      <c r="BI468" s="160"/>
      <c r="BJ468" s="160"/>
      <c r="BK468" s="160"/>
      <c r="BL468" s="162" t="str">
        <f t="shared" si="461"/>
        <v/>
      </c>
      <c r="BM468" s="257"/>
      <c r="BN468" s="163"/>
      <c r="BO468" s="211" t="str">
        <f t="shared" si="462"/>
        <v/>
      </c>
      <c r="BP468" s="125">
        <f t="shared" si="463"/>
        <v>0</v>
      </c>
      <c r="BQ468" s="164">
        <v>0</v>
      </c>
      <c r="BR468" s="164">
        <v>1</v>
      </c>
      <c r="BS468" s="149">
        <f t="shared" si="464"/>
        <v>0</v>
      </c>
      <c r="BT468" s="149">
        <f t="shared" si="465"/>
        <v>0</v>
      </c>
      <c r="BU468" s="149">
        <f t="shared" si="466"/>
        <v>0</v>
      </c>
      <c r="BV468" s="149">
        <f t="shared" si="467"/>
        <v>0</v>
      </c>
      <c r="BW468" s="149">
        <f t="shared" si="468"/>
        <v>0</v>
      </c>
      <c r="BX468" s="149">
        <f t="shared" si="469"/>
        <v>0</v>
      </c>
      <c r="BY468" s="149">
        <f t="shared" si="470"/>
        <v>0</v>
      </c>
      <c r="BZ468" s="149">
        <f t="shared" si="471"/>
        <v>0</v>
      </c>
      <c r="CA468" s="149">
        <f t="shared" si="472"/>
        <v>0</v>
      </c>
      <c r="CB468" s="149">
        <f t="shared" si="473"/>
        <v>1</v>
      </c>
      <c r="CC468" s="149">
        <f t="shared" si="474"/>
        <v>0</v>
      </c>
      <c r="CD468" s="149">
        <f t="shared" si="475"/>
        <v>1</v>
      </c>
      <c r="CE468" s="149">
        <f t="shared" si="476"/>
        <v>0</v>
      </c>
      <c r="CF468" s="149">
        <f t="shared" si="477"/>
        <v>0</v>
      </c>
      <c r="CG468" s="149">
        <f t="shared" si="478"/>
        <v>0</v>
      </c>
      <c r="CH468" s="149">
        <f t="shared" si="479"/>
        <v>0</v>
      </c>
      <c r="CI468" s="149">
        <f t="shared" si="480"/>
        <v>1</v>
      </c>
      <c r="CJ468" s="149">
        <f t="shared" si="481"/>
        <v>1</v>
      </c>
      <c r="CK468" s="149">
        <f t="shared" si="482"/>
        <v>1</v>
      </c>
      <c r="CL468" s="149">
        <f t="shared" si="483"/>
        <v>1</v>
      </c>
      <c r="CM468" s="149">
        <f t="shared" si="484"/>
        <v>1</v>
      </c>
      <c r="CN468" s="149">
        <f t="shared" si="485"/>
        <v>1</v>
      </c>
      <c r="CO468" s="149">
        <f t="shared" si="486"/>
        <v>1</v>
      </c>
      <c r="CP468" s="149">
        <f t="shared" si="487"/>
        <v>1</v>
      </c>
      <c r="CQ468" s="149">
        <f t="shared" si="488"/>
        <v>1</v>
      </c>
      <c r="CR468" s="149">
        <f t="shared" si="489"/>
        <v>1</v>
      </c>
      <c r="CS468" s="149">
        <f t="shared" si="490"/>
        <v>1</v>
      </c>
      <c r="CT468" s="149">
        <f t="shared" si="491"/>
        <v>1</v>
      </c>
      <c r="CU468" s="149">
        <f t="shared" si="492"/>
        <v>1</v>
      </c>
      <c r="CV468" s="149">
        <f t="shared" si="493"/>
        <v>1</v>
      </c>
      <c r="CW468" s="149">
        <f t="shared" si="494"/>
        <v>1</v>
      </c>
      <c r="CX468" s="149">
        <f t="shared" si="495"/>
        <v>1</v>
      </c>
      <c r="CY468" s="149">
        <f t="shared" si="496"/>
        <v>1</v>
      </c>
      <c r="CZ468" s="149">
        <f t="shared" si="497"/>
        <v>1</v>
      </c>
      <c r="DA468" s="149">
        <f t="shared" si="498"/>
        <v>1</v>
      </c>
      <c r="DB468" s="149">
        <f t="shared" si="499"/>
        <v>1</v>
      </c>
      <c r="DG468" s="125" t="str">
        <f t="shared" si="296"/>
        <v/>
      </c>
      <c r="DH468" s="125" t="str">
        <f t="shared" si="510"/>
        <v/>
      </c>
      <c r="DI468" s="125" t="str">
        <f t="shared" si="510"/>
        <v/>
      </c>
      <c r="DJ468" s="125" t="str">
        <f t="shared" si="510"/>
        <v/>
      </c>
      <c r="DK468" s="125" t="str">
        <f t="shared" si="510"/>
        <v/>
      </c>
      <c r="DL468" s="125" t="str">
        <f t="shared" si="510"/>
        <v/>
      </c>
      <c r="DM468" s="125" t="str">
        <f t="shared" si="510"/>
        <v/>
      </c>
      <c r="DN468" s="125" t="str">
        <f t="shared" si="510"/>
        <v/>
      </c>
      <c r="DO468" s="125" t="str">
        <f t="shared" si="510"/>
        <v/>
      </c>
      <c r="DP468" s="125" t="str">
        <f t="shared" si="510"/>
        <v/>
      </c>
      <c r="DS468" s="137"/>
      <c r="DT468" s="137"/>
      <c r="DU468" s="137"/>
      <c r="DV468" s="137" t="b">
        <f t="shared" si="500"/>
        <v>0</v>
      </c>
      <c r="DW468" s="137" t="b">
        <f t="shared" si="501"/>
        <v>0</v>
      </c>
      <c r="DX468" s="137" t="b">
        <f t="shared" si="502"/>
        <v>1</v>
      </c>
      <c r="EB468" s="131">
        <f t="shared" si="503"/>
        <v>1</v>
      </c>
      <c r="EC468" s="137" t="b">
        <f t="shared" si="504"/>
        <v>0</v>
      </c>
      <c r="ED468" s="137" t="b">
        <f t="shared" si="505"/>
        <v>0</v>
      </c>
      <c r="EE468" s="137" t="b">
        <f t="shared" si="506"/>
        <v>1</v>
      </c>
      <c r="EF468" s="137"/>
      <c r="EG468" s="137"/>
      <c r="EH468" s="137"/>
      <c r="EI468" s="137"/>
      <c r="EJ468" s="137">
        <f t="shared" si="507"/>
        <v>1</v>
      </c>
      <c r="EK468" s="125" t="str">
        <f t="shared" si="508"/>
        <v/>
      </c>
      <c r="EL468" s="125" t="str">
        <f t="shared" si="509"/>
        <v/>
      </c>
    </row>
    <row r="469" spans="2:142" ht="15.75" x14ac:dyDescent="0.2">
      <c r="B469" s="160" t="str">
        <f t="shared" si="459"/>
        <v/>
      </c>
      <c r="C469" s="205"/>
      <c r="D469" s="205"/>
      <c r="E469" s="205"/>
      <c r="F469" s="118" t="str">
        <f>IF(OR(J469="",H469=""),"",VLOOKUP(J469,'הזנה לסיווג רשויות'!$B$2:$D$301,2,0))</f>
        <v/>
      </c>
      <c r="G469" s="118" t="str">
        <f>IF(OR(J469="",H469=""),"",VLOOKUP(J469,'הזנה לסיווג רשויות'!$B$2:$D$301,3,0))</f>
        <v/>
      </c>
      <c r="H469" s="201"/>
      <c r="I469" s="201"/>
      <c r="J469" s="205"/>
      <c r="K469" s="161"/>
      <c r="L469" s="161"/>
      <c r="M469" s="161"/>
      <c r="N469" s="161"/>
      <c r="O469" s="161"/>
      <c r="P469" s="161"/>
      <c r="Q469" s="161"/>
      <c r="R469" s="201"/>
      <c r="S469" s="201"/>
      <c r="T469" s="160" t="str">
        <f>IF(G469="","",IFERROR(IF(S469/R469&gt;'פרמטרים לקריטריונים'!$C$20,1,0),0))</f>
        <v/>
      </c>
      <c r="U469" s="201"/>
      <c r="V469" s="160" t="str">
        <f>IF(G469="","",IFERROR(IF(U469/R469&gt;'פרמטרים לקריטריונים'!$C$21,1,IF(AND(I469=$BW$5,U469/R469&gt;'פרמטרים לקריטריונים'!$C$22),1,0)),0))</f>
        <v/>
      </c>
      <c r="W469" s="161"/>
      <c r="X469" s="161"/>
      <c r="Y469" s="201"/>
      <c r="Z469" s="201"/>
      <c r="AA469" s="161" t="str">
        <f t="shared" si="457"/>
        <v/>
      </c>
      <c r="AB469" s="161"/>
      <c r="AC469" s="161"/>
      <c r="AD469" s="161"/>
      <c r="AE469" s="161"/>
      <c r="AF469" s="161"/>
      <c r="AG469" s="161"/>
      <c r="AH469" s="161"/>
      <c r="AI469" s="161"/>
      <c r="AJ469" s="161"/>
      <c r="AK469" s="161"/>
      <c r="AL469" s="161"/>
      <c r="AM469" s="161"/>
      <c r="AN469" s="161"/>
      <c r="AO469" s="161"/>
      <c r="AP469" s="161"/>
      <c r="AQ469" s="161"/>
      <c r="AR469" s="161"/>
      <c r="AS469" s="161"/>
      <c r="AT469" s="161"/>
      <c r="AU469" s="161"/>
      <c r="AV469" s="161"/>
      <c r="AW469" s="160"/>
      <c r="AX469" s="161"/>
      <c r="AY469" s="161"/>
      <c r="AZ469" s="161"/>
      <c r="BA469" s="161"/>
      <c r="BB469" s="161"/>
      <c r="BC469" s="161"/>
      <c r="BD469" s="161"/>
      <c r="BE469" s="161"/>
      <c r="BF469" s="160" t="str">
        <f t="shared" si="460"/>
        <v/>
      </c>
      <c r="BG469" s="160"/>
      <c r="BH469" s="160"/>
      <c r="BI469" s="160"/>
      <c r="BJ469" s="160"/>
      <c r="BK469" s="160"/>
      <c r="BL469" s="162" t="str">
        <f t="shared" si="461"/>
        <v/>
      </c>
      <c r="BM469" s="257"/>
      <c r="BN469" s="163"/>
      <c r="BO469" s="211" t="str">
        <f t="shared" si="462"/>
        <v/>
      </c>
      <c r="BP469" s="125">
        <f t="shared" si="463"/>
        <v>0</v>
      </c>
      <c r="BQ469" s="164">
        <v>0</v>
      </c>
      <c r="BR469" s="164">
        <v>1</v>
      </c>
      <c r="BS469" s="149">
        <f t="shared" si="464"/>
        <v>0</v>
      </c>
      <c r="BT469" s="149">
        <f t="shared" si="465"/>
        <v>0</v>
      </c>
      <c r="BU469" s="149">
        <f t="shared" si="466"/>
        <v>0</v>
      </c>
      <c r="BV469" s="149">
        <f t="shared" si="467"/>
        <v>0</v>
      </c>
      <c r="BW469" s="149">
        <f t="shared" si="468"/>
        <v>0</v>
      </c>
      <c r="BX469" s="149">
        <f t="shared" si="469"/>
        <v>0</v>
      </c>
      <c r="BY469" s="149">
        <f t="shared" si="470"/>
        <v>0</v>
      </c>
      <c r="BZ469" s="149">
        <f t="shared" si="471"/>
        <v>0</v>
      </c>
      <c r="CA469" s="149">
        <f t="shared" si="472"/>
        <v>0</v>
      </c>
      <c r="CB469" s="149">
        <f t="shared" si="473"/>
        <v>1</v>
      </c>
      <c r="CC469" s="149">
        <f t="shared" si="474"/>
        <v>0</v>
      </c>
      <c r="CD469" s="149">
        <f t="shared" si="475"/>
        <v>1</v>
      </c>
      <c r="CE469" s="149">
        <f t="shared" si="476"/>
        <v>0</v>
      </c>
      <c r="CF469" s="149">
        <f t="shared" si="477"/>
        <v>0</v>
      </c>
      <c r="CG469" s="149">
        <f t="shared" si="478"/>
        <v>0</v>
      </c>
      <c r="CH469" s="149">
        <f t="shared" si="479"/>
        <v>0</v>
      </c>
      <c r="CI469" s="149">
        <f t="shared" si="480"/>
        <v>1</v>
      </c>
      <c r="CJ469" s="149">
        <f t="shared" si="481"/>
        <v>1</v>
      </c>
      <c r="CK469" s="149">
        <f t="shared" si="482"/>
        <v>1</v>
      </c>
      <c r="CL469" s="149">
        <f t="shared" si="483"/>
        <v>1</v>
      </c>
      <c r="CM469" s="149">
        <f t="shared" si="484"/>
        <v>1</v>
      </c>
      <c r="CN469" s="149">
        <f t="shared" si="485"/>
        <v>1</v>
      </c>
      <c r="CO469" s="149">
        <f t="shared" si="486"/>
        <v>1</v>
      </c>
      <c r="CP469" s="149">
        <f t="shared" si="487"/>
        <v>1</v>
      </c>
      <c r="CQ469" s="149">
        <f t="shared" si="488"/>
        <v>1</v>
      </c>
      <c r="CR469" s="149">
        <f t="shared" si="489"/>
        <v>1</v>
      </c>
      <c r="CS469" s="149">
        <f t="shared" si="490"/>
        <v>1</v>
      </c>
      <c r="CT469" s="149">
        <f t="shared" si="491"/>
        <v>1</v>
      </c>
      <c r="CU469" s="149">
        <f t="shared" si="492"/>
        <v>1</v>
      </c>
      <c r="CV469" s="149">
        <f t="shared" si="493"/>
        <v>1</v>
      </c>
      <c r="CW469" s="149">
        <f t="shared" si="494"/>
        <v>1</v>
      </c>
      <c r="CX469" s="149">
        <f t="shared" si="495"/>
        <v>1</v>
      </c>
      <c r="CY469" s="149">
        <f t="shared" si="496"/>
        <v>1</v>
      </c>
      <c r="CZ469" s="149">
        <f t="shared" si="497"/>
        <v>1</v>
      </c>
      <c r="DA469" s="149">
        <f t="shared" si="498"/>
        <v>1</v>
      </c>
      <c r="DB469" s="149">
        <f t="shared" si="499"/>
        <v>1</v>
      </c>
      <c r="DG469" s="125" t="str">
        <f t="shared" si="296"/>
        <v/>
      </c>
      <c r="DH469" s="125" t="str">
        <f t="shared" si="510"/>
        <v/>
      </c>
      <c r="DI469" s="125" t="str">
        <f t="shared" si="510"/>
        <v/>
      </c>
      <c r="DJ469" s="125" t="str">
        <f t="shared" si="510"/>
        <v/>
      </c>
      <c r="DK469" s="125" t="str">
        <f t="shared" si="510"/>
        <v/>
      </c>
      <c r="DL469" s="125" t="str">
        <f t="shared" si="510"/>
        <v/>
      </c>
      <c r="DM469" s="125" t="str">
        <f t="shared" si="510"/>
        <v/>
      </c>
      <c r="DN469" s="125" t="str">
        <f t="shared" si="510"/>
        <v/>
      </c>
      <c r="DO469" s="125" t="str">
        <f t="shared" si="510"/>
        <v/>
      </c>
      <c r="DP469" s="125" t="str">
        <f t="shared" si="510"/>
        <v/>
      </c>
      <c r="DS469" s="137"/>
      <c r="DT469" s="137"/>
      <c r="DU469" s="137"/>
      <c r="DV469" s="137" t="b">
        <f t="shared" si="500"/>
        <v>0</v>
      </c>
      <c r="DW469" s="137" t="b">
        <f t="shared" si="501"/>
        <v>0</v>
      </c>
      <c r="DX469" s="137" t="b">
        <f t="shared" si="502"/>
        <v>1</v>
      </c>
      <c r="EB469" s="131">
        <f t="shared" si="503"/>
        <v>1</v>
      </c>
      <c r="EC469" s="137" t="b">
        <f t="shared" si="504"/>
        <v>0</v>
      </c>
      <c r="ED469" s="137" t="b">
        <f t="shared" si="505"/>
        <v>0</v>
      </c>
      <c r="EE469" s="137" t="b">
        <f t="shared" si="506"/>
        <v>1</v>
      </c>
      <c r="EF469" s="137"/>
      <c r="EG469" s="137"/>
      <c r="EH469" s="137"/>
      <c r="EI469" s="137"/>
      <c r="EJ469" s="137">
        <f t="shared" si="507"/>
        <v>1</v>
      </c>
      <c r="EK469" s="125" t="str">
        <f t="shared" si="508"/>
        <v/>
      </c>
      <c r="EL469" s="125" t="str">
        <f t="shared" si="509"/>
        <v/>
      </c>
    </row>
    <row r="470" spans="2:142" ht="15.75" x14ac:dyDescent="0.2">
      <c r="B470" s="160" t="str">
        <f t="shared" si="459"/>
        <v/>
      </c>
      <c r="C470" s="205"/>
      <c r="D470" s="205"/>
      <c r="E470" s="205"/>
      <c r="F470" s="118" t="str">
        <f>IF(OR(J470="",H470=""),"",VLOOKUP(J470,'הזנה לסיווג רשויות'!$B$2:$D$301,2,0))</f>
        <v/>
      </c>
      <c r="G470" s="118" t="str">
        <f>IF(OR(J470="",H470=""),"",VLOOKUP(J470,'הזנה לסיווג רשויות'!$B$2:$D$301,3,0))</f>
        <v/>
      </c>
      <c r="H470" s="201"/>
      <c r="I470" s="201"/>
      <c r="J470" s="205"/>
      <c r="K470" s="161"/>
      <c r="L470" s="161"/>
      <c r="M470" s="161"/>
      <c r="N470" s="161"/>
      <c r="O470" s="161"/>
      <c r="P470" s="161"/>
      <c r="Q470" s="161"/>
      <c r="R470" s="201"/>
      <c r="S470" s="201"/>
      <c r="T470" s="160" t="str">
        <f>IF(G470="","",IFERROR(IF(S470/R470&gt;'פרמטרים לקריטריונים'!$C$20,1,0),0))</f>
        <v/>
      </c>
      <c r="U470" s="201"/>
      <c r="V470" s="160" t="str">
        <f>IF(G470="","",IFERROR(IF(U470/R470&gt;'פרמטרים לקריטריונים'!$C$21,1,IF(AND(I470=$BW$5,U470/R470&gt;'פרמטרים לקריטריונים'!$C$22),1,0)),0))</f>
        <v/>
      </c>
      <c r="W470" s="161"/>
      <c r="X470" s="161"/>
      <c r="Y470" s="201"/>
      <c r="Z470" s="201"/>
      <c r="AA470" s="161" t="str">
        <f t="shared" si="457"/>
        <v/>
      </c>
      <c r="AB470" s="161"/>
      <c r="AC470" s="161"/>
      <c r="AD470" s="161"/>
      <c r="AE470" s="161"/>
      <c r="AF470" s="161"/>
      <c r="AG470" s="161"/>
      <c r="AH470" s="161"/>
      <c r="AI470" s="161"/>
      <c r="AJ470" s="161"/>
      <c r="AK470" s="161"/>
      <c r="AL470" s="161"/>
      <c r="AM470" s="161"/>
      <c r="AN470" s="161"/>
      <c r="AO470" s="161"/>
      <c r="AP470" s="161"/>
      <c r="AQ470" s="161"/>
      <c r="AR470" s="161"/>
      <c r="AS470" s="161"/>
      <c r="AT470" s="161"/>
      <c r="AU470" s="161"/>
      <c r="AV470" s="161"/>
      <c r="AW470" s="160"/>
      <c r="AX470" s="161"/>
      <c r="AY470" s="161"/>
      <c r="AZ470" s="161"/>
      <c r="BA470" s="161"/>
      <c r="BB470" s="161"/>
      <c r="BC470" s="161"/>
      <c r="BD470" s="161"/>
      <c r="BE470" s="161"/>
      <c r="BF470" s="160" t="str">
        <f t="shared" si="460"/>
        <v/>
      </c>
      <c r="BG470" s="160"/>
      <c r="BH470" s="160"/>
      <c r="BI470" s="160"/>
      <c r="BJ470" s="160"/>
      <c r="BK470" s="160"/>
      <c r="BL470" s="162" t="str">
        <f t="shared" si="461"/>
        <v/>
      </c>
      <c r="BM470" s="257"/>
      <c r="BN470" s="163"/>
      <c r="BO470" s="211" t="str">
        <f t="shared" si="462"/>
        <v/>
      </c>
      <c r="BP470" s="125">
        <f t="shared" si="463"/>
        <v>0</v>
      </c>
      <c r="BQ470" s="164">
        <v>0</v>
      </c>
      <c r="BR470" s="164">
        <v>1</v>
      </c>
      <c r="BS470" s="149">
        <f t="shared" si="464"/>
        <v>0</v>
      </c>
      <c r="BT470" s="149">
        <f t="shared" si="465"/>
        <v>0</v>
      </c>
      <c r="BU470" s="149">
        <f t="shared" si="466"/>
        <v>0</v>
      </c>
      <c r="BV470" s="149">
        <f t="shared" si="467"/>
        <v>0</v>
      </c>
      <c r="BW470" s="149">
        <f t="shared" si="468"/>
        <v>0</v>
      </c>
      <c r="BX470" s="149">
        <f t="shared" si="469"/>
        <v>0</v>
      </c>
      <c r="BY470" s="149">
        <f t="shared" si="470"/>
        <v>0</v>
      </c>
      <c r="BZ470" s="149">
        <f t="shared" si="471"/>
        <v>0</v>
      </c>
      <c r="CA470" s="149">
        <f t="shared" si="472"/>
        <v>0</v>
      </c>
      <c r="CB470" s="149">
        <f t="shared" si="473"/>
        <v>1</v>
      </c>
      <c r="CC470" s="149">
        <f t="shared" si="474"/>
        <v>0</v>
      </c>
      <c r="CD470" s="149">
        <f t="shared" si="475"/>
        <v>1</v>
      </c>
      <c r="CE470" s="149">
        <f t="shared" si="476"/>
        <v>0</v>
      </c>
      <c r="CF470" s="149">
        <f t="shared" si="477"/>
        <v>0</v>
      </c>
      <c r="CG470" s="149">
        <f t="shared" si="478"/>
        <v>0</v>
      </c>
      <c r="CH470" s="149">
        <f t="shared" si="479"/>
        <v>0</v>
      </c>
      <c r="CI470" s="149">
        <f t="shared" si="480"/>
        <v>1</v>
      </c>
      <c r="CJ470" s="149">
        <f t="shared" si="481"/>
        <v>1</v>
      </c>
      <c r="CK470" s="149">
        <f t="shared" si="482"/>
        <v>1</v>
      </c>
      <c r="CL470" s="149">
        <f t="shared" si="483"/>
        <v>1</v>
      </c>
      <c r="CM470" s="149">
        <f t="shared" si="484"/>
        <v>1</v>
      </c>
      <c r="CN470" s="149">
        <f t="shared" si="485"/>
        <v>1</v>
      </c>
      <c r="CO470" s="149">
        <f t="shared" si="486"/>
        <v>1</v>
      </c>
      <c r="CP470" s="149">
        <f t="shared" si="487"/>
        <v>1</v>
      </c>
      <c r="CQ470" s="149">
        <f t="shared" si="488"/>
        <v>1</v>
      </c>
      <c r="CR470" s="149">
        <f t="shared" si="489"/>
        <v>1</v>
      </c>
      <c r="CS470" s="149">
        <f t="shared" si="490"/>
        <v>1</v>
      </c>
      <c r="CT470" s="149">
        <f t="shared" si="491"/>
        <v>1</v>
      </c>
      <c r="CU470" s="149">
        <f t="shared" si="492"/>
        <v>1</v>
      </c>
      <c r="CV470" s="149">
        <f t="shared" si="493"/>
        <v>1</v>
      </c>
      <c r="CW470" s="149">
        <f t="shared" si="494"/>
        <v>1</v>
      </c>
      <c r="CX470" s="149">
        <f t="shared" si="495"/>
        <v>1</v>
      </c>
      <c r="CY470" s="149">
        <f t="shared" si="496"/>
        <v>1</v>
      </c>
      <c r="CZ470" s="149">
        <f t="shared" si="497"/>
        <v>1</v>
      </c>
      <c r="DA470" s="149">
        <f t="shared" si="498"/>
        <v>1</v>
      </c>
      <c r="DB470" s="149">
        <f t="shared" si="499"/>
        <v>1</v>
      </c>
      <c r="DG470" s="125" t="str">
        <f t="shared" si="296"/>
        <v/>
      </c>
      <c r="DH470" s="125" t="str">
        <f t="shared" si="510"/>
        <v/>
      </c>
      <c r="DI470" s="125" t="str">
        <f t="shared" si="510"/>
        <v/>
      </c>
      <c r="DJ470" s="125" t="str">
        <f t="shared" si="510"/>
        <v/>
      </c>
      <c r="DK470" s="125" t="str">
        <f t="shared" si="510"/>
        <v/>
      </c>
      <c r="DL470" s="125" t="str">
        <f t="shared" si="510"/>
        <v/>
      </c>
      <c r="DM470" s="125" t="str">
        <f t="shared" si="510"/>
        <v/>
      </c>
      <c r="DN470" s="125" t="str">
        <f t="shared" si="510"/>
        <v/>
      </c>
      <c r="DO470" s="125" t="str">
        <f t="shared" si="510"/>
        <v/>
      </c>
      <c r="DP470" s="125" t="str">
        <f t="shared" si="510"/>
        <v/>
      </c>
      <c r="DS470" s="137"/>
      <c r="DT470" s="137"/>
      <c r="DU470" s="137"/>
      <c r="DV470" s="137" t="b">
        <f t="shared" si="500"/>
        <v>0</v>
      </c>
      <c r="DW470" s="137" t="b">
        <f t="shared" si="501"/>
        <v>0</v>
      </c>
      <c r="DX470" s="137" t="b">
        <f t="shared" si="502"/>
        <v>1</v>
      </c>
      <c r="EB470" s="131">
        <f t="shared" si="503"/>
        <v>1</v>
      </c>
      <c r="EC470" s="137" t="b">
        <f t="shared" si="504"/>
        <v>0</v>
      </c>
      <c r="ED470" s="137" t="b">
        <f t="shared" si="505"/>
        <v>0</v>
      </c>
      <c r="EE470" s="137" t="b">
        <f t="shared" si="506"/>
        <v>1</v>
      </c>
      <c r="EF470" s="137"/>
      <c r="EG470" s="137"/>
      <c r="EH470" s="137"/>
      <c r="EI470" s="137"/>
      <c r="EJ470" s="137">
        <f t="shared" si="507"/>
        <v>1</v>
      </c>
      <c r="EK470" s="125" t="str">
        <f t="shared" si="508"/>
        <v/>
      </c>
      <c r="EL470" s="125" t="str">
        <f t="shared" si="509"/>
        <v/>
      </c>
    </row>
    <row r="471" spans="2:142" ht="15.75" x14ac:dyDescent="0.2">
      <c r="B471" s="160" t="str">
        <f t="shared" si="459"/>
        <v/>
      </c>
      <c r="C471" s="205"/>
      <c r="D471" s="205"/>
      <c r="E471" s="205"/>
      <c r="F471" s="118" t="str">
        <f>IF(OR(J471="",H471=""),"",VLOOKUP(J471,'הזנה לסיווג רשויות'!$B$2:$D$301,2,0))</f>
        <v/>
      </c>
      <c r="G471" s="118" t="str">
        <f>IF(OR(J471="",H471=""),"",VLOOKUP(J471,'הזנה לסיווג רשויות'!$B$2:$D$301,3,0))</f>
        <v/>
      </c>
      <c r="H471" s="201"/>
      <c r="I471" s="201"/>
      <c r="J471" s="205"/>
      <c r="K471" s="161"/>
      <c r="L471" s="161"/>
      <c r="M471" s="161"/>
      <c r="N471" s="161"/>
      <c r="O471" s="161"/>
      <c r="P471" s="161"/>
      <c r="Q471" s="161"/>
      <c r="R471" s="201"/>
      <c r="S471" s="201"/>
      <c r="T471" s="160" t="str">
        <f>IF(G471="","",IFERROR(IF(S471/R471&gt;'פרמטרים לקריטריונים'!$C$20,1,0),0))</f>
        <v/>
      </c>
      <c r="U471" s="201"/>
      <c r="V471" s="160" t="str">
        <f>IF(G471="","",IFERROR(IF(U471/R471&gt;'פרמטרים לקריטריונים'!$C$21,1,IF(AND(I471=$BW$5,U471/R471&gt;'פרמטרים לקריטריונים'!$C$22),1,0)),0))</f>
        <v/>
      </c>
      <c r="W471" s="161"/>
      <c r="X471" s="161"/>
      <c r="Y471" s="201"/>
      <c r="Z471" s="201"/>
      <c r="AA471" s="161" t="str">
        <f t="shared" si="457"/>
        <v/>
      </c>
      <c r="AB471" s="161"/>
      <c r="AC471" s="161"/>
      <c r="AD471" s="161"/>
      <c r="AE471" s="161"/>
      <c r="AF471" s="161"/>
      <c r="AG471" s="161"/>
      <c r="AH471" s="161"/>
      <c r="AI471" s="161"/>
      <c r="AJ471" s="161"/>
      <c r="AK471" s="161"/>
      <c r="AL471" s="161"/>
      <c r="AM471" s="161"/>
      <c r="AN471" s="161"/>
      <c r="AO471" s="161"/>
      <c r="AP471" s="161"/>
      <c r="AQ471" s="161"/>
      <c r="AR471" s="161"/>
      <c r="AS471" s="161"/>
      <c r="AT471" s="161"/>
      <c r="AU471" s="161"/>
      <c r="AV471" s="161"/>
      <c r="AW471" s="160"/>
      <c r="AX471" s="161"/>
      <c r="AY471" s="161"/>
      <c r="AZ471" s="161"/>
      <c r="BA471" s="161"/>
      <c r="BB471" s="161"/>
      <c r="BC471" s="161"/>
      <c r="BD471" s="161"/>
      <c r="BE471" s="161"/>
      <c r="BF471" s="160" t="str">
        <f t="shared" si="460"/>
        <v/>
      </c>
      <c r="BG471" s="160"/>
      <c r="BH471" s="160"/>
      <c r="BI471" s="160"/>
      <c r="BJ471" s="160"/>
      <c r="BK471" s="160"/>
      <c r="BL471" s="162" t="str">
        <f t="shared" si="461"/>
        <v/>
      </c>
      <c r="BM471" s="257"/>
      <c r="BN471" s="163"/>
      <c r="BO471" s="211" t="str">
        <f t="shared" si="462"/>
        <v/>
      </c>
      <c r="BP471" s="125">
        <f t="shared" si="463"/>
        <v>0</v>
      </c>
      <c r="BQ471" s="164">
        <v>0</v>
      </c>
      <c r="BR471" s="164">
        <v>1</v>
      </c>
      <c r="BS471" s="149">
        <f t="shared" si="464"/>
        <v>0</v>
      </c>
      <c r="BT471" s="149">
        <f t="shared" si="465"/>
        <v>0</v>
      </c>
      <c r="BU471" s="149">
        <f t="shared" si="466"/>
        <v>0</v>
      </c>
      <c r="BV471" s="149">
        <f t="shared" si="467"/>
        <v>0</v>
      </c>
      <c r="BW471" s="149">
        <f t="shared" si="468"/>
        <v>0</v>
      </c>
      <c r="BX471" s="149">
        <f t="shared" si="469"/>
        <v>0</v>
      </c>
      <c r="BY471" s="149">
        <f t="shared" si="470"/>
        <v>0</v>
      </c>
      <c r="BZ471" s="149">
        <f t="shared" si="471"/>
        <v>0</v>
      </c>
      <c r="CA471" s="149">
        <f t="shared" si="472"/>
        <v>0</v>
      </c>
      <c r="CB471" s="149">
        <f t="shared" si="473"/>
        <v>1</v>
      </c>
      <c r="CC471" s="149">
        <f t="shared" si="474"/>
        <v>0</v>
      </c>
      <c r="CD471" s="149">
        <f t="shared" si="475"/>
        <v>1</v>
      </c>
      <c r="CE471" s="149">
        <f t="shared" si="476"/>
        <v>0</v>
      </c>
      <c r="CF471" s="149">
        <f t="shared" si="477"/>
        <v>0</v>
      </c>
      <c r="CG471" s="149">
        <f t="shared" si="478"/>
        <v>0</v>
      </c>
      <c r="CH471" s="149">
        <f t="shared" si="479"/>
        <v>0</v>
      </c>
      <c r="CI471" s="149">
        <f t="shared" si="480"/>
        <v>1</v>
      </c>
      <c r="CJ471" s="149">
        <f t="shared" si="481"/>
        <v>1</v>
      </c>
      <c r="CK471" s="149">
        <f t="shared" si="482"/>
        <v>1</v>
      </c>
      <c r="CL471" s="149">
        <f t="shared" si="483"/>
        <v>1</v>
      </c>
      <c r="CM471" s="149">
        <f t="shared" si="484"/>
        <v>1</v>
      </c>
      <c r="CN471" s="149">
        <f t="shared" si="485"/>
        <v>1</v>
      </c>
      <c r="CO471" s="149">
        <f t="shared" si="486"/>
        <v>1</v>
      </c>
      <c r="CP471" s="149">
        <f t="shared" si="487"/>
        <v>1</v>
      </c>
      <c r="CQ471" s="149">
        <f t="shared" si="488"/>
        <v>1</v>
      </c>
      <c r="CR471" s="149">
        <f t="shared" si="489"/>
        <v>1</v>
      </c>
      <c r="CS471" s="149">
        <f t="shared" si="490"/>
        <v>1</v>
      </c>
      <c r="CT471" s="149">
        <f t="shared" si="491"/>
        <v>1</v>
      </c>
      <c r="CU471" s="149">
        <f t="shared" si="492"/>
        <v>1</v>
      </c>
      <c r="CV471" s="149">
        <f t="shared" si="493"/>
        <v>1</v>
      </c>
      <c r="CW471" s="149">
        <f t="shared" si="494"/>
        <v>1</v>
      </c>
      <c r="CX471" s="149">
        <f t="shared" si="495"/>
        <v>1</v>
      </c>
      <c r="CY471" s="149">
        <f t="shared" si="496"/>
        <v>1</v>
      </c>
      <c r="CZ471" s="149">
        <f t="shared" si="497"/>
        <v>1</v>
      </c>
      <c r="DA471" s="149">
        <f t="shared" si="498"/>
        <v>1</v>
      </c>
      <c r="DB471" s="149">
        <f t="shared" si="499"/>
        <v>1</v>
      </c>
      <c r="DG471" s="125" t="str">
        <f t="shared" si="296"/>
        <v/>
      </c>
      <c r="DH471" s="125" t="str">
        <f t="shared" si="510"/>
        <v/>
      </c>
      <c r="DI471" s="125" t="str">
        <f t="shared" si="510"/>
        <v/>
      </c>
      <c r="DJ471" s="125" t="str">
        <f t="shared" si="510"/>
        <v/>
      </c>
      <c r="DK471" s="125" t="str">
        <f t="shared" si="510"/>
        <v/>
      </c>
      <c r="DL471" s="125" t="str">
        <f t="shared" si="510"/>
        <v/>
      </c>
      <c r="DM471" s="125" t="str">
        <f t="shared" si="510"/>
        <v/>
      </c>
      <c r="DN471" s="125" t="str">
        <f t="shared" si="510"/>
        <v/>
      </c>
      <c r="DO471" s="125" t="str">
        <f t="shared" si="510"/>
        <v/>
      </c>
      <c r="DP471" s="125" t="str">
        <f t="shared" si="510"/>
        <v/>
      </c>
      <c r="DS471" s="137"/>
      <c r="DT471" s="137"/>
      <c r="DU471" s="137"/>
      <c r="DV471" s="137" t="b">
        <f t="shared" si="500"/>
        <v>0</v>
      </c>
      <c r="DW471" s="137" t="b">
        <f t="shared" si="501"/>
        <v>0</v>
      </c>
      <c r="DX471" s="137" t="b">
        <f t="shared" si="502"/>
        <v>1</v>
      </c>
      <c r="EB471" s="131">
        <f t="shared" si="503"/>
        <v>1</v>
      </c>
      <c r="EC471" s="137" t="b">
        <f t="shared" si="504"/>
        <v>0</v>
      </c>
      <c r="ED471" s="137" t="b">
        <f t="shared" si="505"/>
        <v>0</v>
      </c>
      <c r="EE471" s="137" t="b">
        <f t="shared" si="506"/>
        <v>1</v>
      </c>
      <c r="EF471" s="137"/>
      <c r="EG471" s="137"/>
      <c r="EH471" s="137"/>
      <c r="EI471" s="137"/>
      <c r="EJ471" s="137">
        <f t="shared" si="507"/>
        <v>1</v>
      </c>
      <c r="EK471" s="125" t="str">
        <f t="shared" si="508"/>
        <v/>
      </c>
      <c r="EL471" s="125" t="str">
        <f t="shared" si="509"/>
        <v/>
      </c>
    </row>
    <row r="472" spans="2:142" ht="15.75" x14ac:dyDescent="0.2">
      <c r="B472" s="160" t="str">
        <f t="shared" si="459"/>
        <v/>
      </c>
      <c r="C472" s="205"/>
      <c r="D472" s="205"/>
      <c r="E472" s="205"/>
      <c r="F472" s="118" t="str">
        <f>IF(OR(J472="",H472=""),"",VLOOKUP(J472,'הזנה לסיווג רשויות'!$B$2:$D$301,2,0))</f>
        <v/>
      </c>
      <c r="G472" s="118" t="str">
        <f>IF(OR(J472="",H472=""),"",VLOOKUP(J472,'הזנה לסיווג רשויות'!$B$2:$D$301,3,0))</f>
        <v/>
      </c>
      <c r="H472" s="201"/>
      <c r="I472" s="201"/>
      <c r="J472" s="205"/>
      <c r="K472" s="161"/>
      <c r="L472" s="161"/>
      <c r="M472" s="161"/>
      <c r="N472" s="161"/>
      <c r="O472" s="161"/>
      <c r="P472" s="161"/>
      <c r="Q472" s="161"/>
      <c r="R472" s="201"/>
      <c r="S472" s="201"/>
      <c r="T472" s="160" t="str">
        <f>IF(G472="","",IFERROR(IF(S472/R472&gt;'פרמטרים לקריטריונים'!$C$20,1,0),0))</f>
        <v/>
      </c>
      <c r="U472" s="201"/>
      <c r="V472" s="160" t="str">
        <f>IF(G472="","",IFERROR(IF(U472/R472&gt;'פרמטרים לקריטריונים'!$C$21,1,IF(AND(I472=$BW$5,U472/R472&gt;'פרמטרים לקריטריונים'!$C$22),1,0)),0))</f>
        <v/>
      </c>
      <c r="W472" s="161"/>
      <c r="X472" s="161"/>
      <c r="Y472" s="201"/>
      <c r="Z472" s="201"/>
      <c r="AA472" s="161" t="str">
        <f t="shared" si="457"/>
        <v/>
      </c>
      <c r="AB472" s="161"/>
      <c r="AC472" s="161"/>
      <c r="AD472" s="161"/>
      <c r="AE472" s="161"/>
      <c r="AF472" s="161"/>
      <c r="AG472" s="161"/>
      <c r="AH472" s="161"/>
      <c r="AI472" s="161"/>
      <c r="AJ472" s="161"/>
      <c r="AK472" s="161"/>
      <c r="AL472" s="161"/>
      <c r="AM472" s="161"/>
      <c r="AN472" s="161"/>
      <c r="AO472" s="161"/>
      <c r="AP472" s="161"/>
      <c r="AQ472" s="161"/>
      <c r="AR472" s="161"/>
      <c r="AS472" s="161"/>
      <c r="AT472" s="161"/>
      <c r="AU472" s="161"/>
      <c r="AV472" s="161"/>
      <c r="AW472" s="160"/>
      <c r="AX472" s="161"/>
      <c r="AY472" s="161"/>
      <c r="AZ472" s="161"/>
      <c r="BA472" s="161"/>
      <c r="BB472" s="161"/>
      <c r="BC472" s="161"/>
      <c r="BD472" s="161"/>
      <c r="BE472" s="161"/>
      <c r="BF472" s="160" t="str">
        <f t="shared" si="460"/>
        <v/>
      </c>
      <c r="BG472" s="160"/>
      <c r="BH472" s="160"/>
      <c r="BI472" s="160"/>
      <c r="BJ472" s="160"/>
      <c r="BK472" s="160"/>
      <c r="BL472" s="162" t="str">
        <f t="shared" si="461"/>
        <v/>
      </c>
      <c r="BM472" s="257"/>
      <c r="BN472" s="163"/>
      <c r="BO472" s="211" t="str">
        <f t="shared" si="462"/>
        <v/>
      </c>
      <c r="BP472" s="125">
        <f t="shared" si="463"/>
        <v>0</v>
      </c>
      <c r="BQ472" s="164">
        <v>0</v>
      </c>
      <c r="BR472" s="164">
        <v>1</v>
      </c>
      <c r="BS472" s="149">
        <f t="shared" si="464"/>
        <v>0</v>
      </c>
      <c r="BT472" s="149">
        <f t="shared" si="465"/>
        <v>0</v>
      </c>
      <c r="BU472" s="149">
        <f t="shared" si="466"/>
        <v>0</v>
      </c>
      <c r="BV472" s="149">
        <f t="shared" si="467"/>
        <v>0</v>
      </c>
      <c r="BW472" s="149">
        <f t="shared" si="468"/>
        <v>0</v>
      </c>
      <c r="BX472" s="149">
        <f t="shared" si="469"/>
        <v>0</v>
      </c>
      <c r="BY472" s="149">
        <f t="shared" si="470"/>
        <v>0</v>
      </c>
      <c r="BZ472" s="149">
        <f t="shared" si="471"/>
        <v>0</v>
      </c>
      <c r="CA472" s="149">
        <f t="shared" si="472"/>
        <v>0</v>
      </c>
      <c r="CB472" s="149">
        <f t="shared" si="473"/>
        <v>1</v>
      </c>
      <c r="CC472" s="149">
        <f t="shared" si="474"/>
        <v>0</v>
      </c>
      <c r="CD472" s="149">
        <f t="shared" si="475"/>
        <v>1</v>
      </c>
      <c r="CE472" s="149">
        <f t="shared" si="476"/>
        <v>0</v>
      </c>
      <c r="CF472" s="149">
        <f t="shared" si="477"/>
        <v>0</v>
      </c>
      <c r="CG472" s="149">
        <f t="shared" si="478"/>
        <v>0</v>
      </c>
      <c r="CH472" s="149">
        <f t="shared" si="479"/>
        <v>0</v>
      </c>
      <c r="CI472" s="149">
        <f t="shared" si="480"/>
        <v>1</v>
      </c>
      <c r="CJ472" s="149">
        <f t="shared" si="481"/>
        <v>1</v>
      </c>
      <c r="CK472" s="149">
        <f t="shared" si="482"/>
        <v>1</v>
      </c>
      <c r="CL472" s="149">
        <f t="shared" si="483"/>
        <v>1</v>
      </c>
      <c r="CM472" s="149">
        <f t="shared" si="484"/>
        <v>1</v>
      </c>
      <c r="CN472" s="149">
        <f t="shared" si="485"/>
        <v>1</v>
      </c>
      <c r="CO472" s="149">
        <f t="shared" si="486"/>
        <v>1</v>
      </c>
      <c r="CP472" s="149">
        <f t="shared" si="487"/>
        <v>1</v>
      </c>
      <c r="CQ472" s="149">
        <f t="shared" si="488"/>
        <v>1</v>
      </c>
      <c r="CR472" s="149">
        <f t="shared" si="489"/>
        <v>1</v>
      </c>
      <c r="CS472" s="149">
        <f t="shared" si="490"/>
        <v>1</v>
      </c>
      <c r="CT472" s="149">
        <f t="shared" si="491"/>
        <v>1</v>
      </c>
      <c r="CU472" s="149">
        <f t="shared" si="492"/>
        <v>1</v>
      </c>
      <c r="CV472" s="149">
        <f t="shared" si="493"/>
        <v>1</v>
      </c>
      <c r="CW472" s="149">
        <f t="shared" si="494"/>
        <v>1</v>
      </c>
      <c r="CX472" s="149">
        <f t="shared" si="495"/>
        <v>1</v>
      </c>
      <c r="CY472" s="149">
        <f t="shared" si="496"/>
        <v>1</v>
      </c>
      <c r="CZ472" s="149">
        <f t="shared" si="497"/>
        <v>1</v>
      </c>
      <c r="DA472" s="149">
        <f t="shared" si="498"/>
        <v>1</v>
      </c>
      <c r="DB472" s="149">
        <f t="shared" si="499"/>
        <v>1</v>
      </c>
      <c r="DG472" s="125" t="str">
        <f t="shared" si="296"/>
        <v/>
      </c>
      <c r="DH472" s="125" t="str">
        <f t="shared" si="510"/>
        <v/>
      </c>
      <c r="DI472" s="125" t="str">
        <f t="shared" si="510"/>
        <v/>
      </c>
      <c r="DJ472" s="125" t="str">
        <f t="shared" si="510"/>
        <v/>
      </c>
      <c r="DK472" s="125" t="str">
        <f t="shared" si="510"/>
        <v/>
      </c>
      <c r="DL472" s="125" t="str">
        <f t="shared" si="510"/>
        <v/>
      </c>
      <c r="DM472" s="125" t="str">
        <f t="shared" si="510"/>
        <v/>
      </c>
      <c r="DN472" s="125" t="str">
        <f t="shared" si="510"/>
        <v/>
      </c>
      <c r="DO472" s="125" t="str">
        <f t="shared" si="510"/>
        <v/>
      </c>
      <c r="DP472" s="125" t="str">
        <f t="shared" si="510"/>
        <v/>
      </c>
      <c r="DS472" s="137"/>
      <c r="DT472" s="137"/>
      <c r="DU472" s="137"/>
      <c r="DV472" s="137" t="b">
        <f t="shared" si="500"/>
        <v>0</v>
      </c>
      <c r="DW472" s="137" t="b">
        <f t="shared" si="501"/>
        <v>0</v>
      </c>
      <c r="DX472" s="137" t="b">
        <f t="shared" si="502"/>
        <v>1</v>
      </c>
      <c r="EB472" s="131">
        <f t="shared" si="503"/>
        <v>1</v>
      </c>
      <c r="EC472" s="137" t="b">
        <f t="shared" si="504"/>
        <v>0</v>
      </c>
      <c r="ED472" s="137" t="b">
        <f t="shared" si="505"/>
        <v>0</v>
      </c>
      <c r="EE472" s="137" t="b">
        <f t="shared" si="506"/>
        <v>1</v>
      </c>
      <c r="EF472" s="137"/>
      <c r="EG472" s="137"/>
      <c r="EH472" s="137"/>
      <c r="EI472" s="137"/>
      <c r="EJ472" s="137">
        <f t="shared" si="507"/>
        <v>1</v>
      </c>
      <c r="EK472" s="125" t="str">
        <f t="shared" si="508"/>
        <v/>
      </c>
      <c r="EL472" s="125" t="str">
        <f t="shared" si="509"/>
        <v/>
      </c>
    </row>
    <row r="473" spans="2:142" ht="15.75" x14ac:dyDescent="0.2">
      <c r="B473" s="160" t="str">
        <f t="shared" si="459"/>
        <v/>
      </c>
      <c r="C473" s="205"/>
      <c r="D473" s="205"/>
      <c r="E473" s="205"/>
      <c r="F473" s="118" t="str">
        <f>IF(OR(J473="",H473=""),"",VLOOKUP(J473,'הזנה לסיווג רשויות'!$B$2:$D$301,2,0))</f>
        <v/>
      </c>
      <c r="G473" s="118" t="str">
        <f>IF(OR(J473="",H473=""),"",VLOOKUP(J473,'הזנה לסיווג רשויות'!$B$2:$D$301,3,0))</f>
        <v/>
      </c>
      <c r="H473" s="201"/>
      <c r="I473" s="201"/>
      <c r="J473" s="205"/>
      <c r="K473" s="161"/>
      <c r="L473" s="161"/>
      <c r="M473" s="161"/>
      <c r="N473" s="161"/>
      <c r="O473" s="161"/>
      <c r="P473" s="161"/>
      <c r="Q473" s="161"/>
      <c r="R473" s="201"/>
      <c r="S473" s="201"/>
      <c r="T473" s="160" t="str">
        <f>IF(G473="","",IFERROR(IF(S473/R473&gt;'פרמטרים לקריטריונים'!$C$20,1,0),0))</f>
        <v/>
      </c>
      <c r="U473" s="201"/>
      <c r="V473" s="160" t="str">
        <f>IF(G473="","",IFERROR(IF(U473/R473&gt;'פרמטרים לקריטריונים'!$C$21,1,IF(AND(I473=$BW$5,U473/R473&gt;'פרמטרים לקריטריונים'!$C$22),1,0)),0))</f>
        <v/>
      </c>
      <c r="W473" s="161"/>
      <c r="X473" s="161"/>
      <c r="Y473" s="201"/>
      <c r="Z473" s="201"/>
      <c r="AA473" s="161" t="str">
        <f t="shared" si="457"/>
        <v/>
      </c>
      <c r="AB473" s="161"/>
      <c r="AC473" s="161"/>
      <c r="AD473" s="161"/>
      <c r="AE473" s="161"/>
      <c r="AF473" s="161"/>
      <c r="AG473" s="161"/>
      <c r="AH473" s="161"/>
      <c r="AI473" s="161"/>
      <c r="AJ473" s="161"/>
      <c r="AK473" s="161"/>
      <c r="AL473" s="161"/>
      <c r="AM473" s="161"/>
      <c r="AN473" s="161"/>
      <c r="AO473" s="161"/>
      <c r="AP473" s="161"/>
      <c r="AQ473" s="161"/>
      <c r="AR473" s="161"/>
      <c r="AS473" s="161"/>
      <c r="AT473" s="161"/>
      <c r="AU473" s="161"/>
      <c r="AV473" s="161"/>
      <c r="AW473" s="160"/>
      <c r="AX473" s="161"/>
      <c r="AY473" s="161"/>
      <c r="AZ473" s="161"/>
      <c r="BA473" s="161"/>
      <c r="BB473" s="161"/>
      <c r="BC473" s="161"/>
      <c r="BD473" s="161"/>
      <c r="BE473" s="161"/>
      <c r="BF473" s="160" t="str">
        <f t="shared" si="460"/>
        <v/>
      </c>
      <c r="BG473" s="160"/>
      <c r="BH473" s="160"/>
      <c r="BI473" s="160"/>
      <c r="BJ473" s="160"/>
      <c r="BK473" s="160"/>
      <c r="BL473" s="162" t="str">
        <f t="shared" si="461"/>
        <v/>
      </c>
      <c r="BM473" s="257"/>
      <c r="BN473" s="163"/>
      <c r="BO473" s="211" t="str">
        <f t="shared" si="462"/>
        <v/>
      </c>
      <c r="BP473" s="125">
        <f t="shared" si="463"/>
        <v>0</v>
      </c>
      <c r="BQ473" s="164">
        <v>0</v>
      </c>
      <c r="BR473" s="164">
        <v>1</v>
      </c>
      <c r="BS473" s="149">
        <f t="shared" si="464"/>
        <v>0</v>
      </c>
      <c r="BT473" s="149">
        <f t="shared" si="465"/>
        <v>0</v>
      </c>
      <c r="BU473" s="149">
        <f t="shared" si="466"/>
        <v>0</v>
      </c>
      <c r="BV473" s="149">
        <f t="shared" si="467"/>
        <v>0</v>
      </c>
      <c r="BW473" s="149">
        <f t="shared" si="468"/>
        <v>0</v>
      </c>
      <c r="BX473" s="149">
        <f t="shared" si="469"/>
        <v>0</v>
      </c>
      <c r="BY473" s="149">
        <f t="shared" si="470"/>
        <v>0</v>
      </c>
      <c r="BZ473" s="149">
        <f t="shared" si="471"/>
        <v>0</v>
      </c>
      <c r="CA473" s="149">
        <f t="shared" si="472"/>
        <v>0</v>
      </c>
      <c r="CB473" s="149">
        <f t="shared" si="473"/>
        <v>1</v>
      </c>
      <c r="CC473" s="149">
        <f t="shared" si="474"/>
        <v>0</v>
      </c>
      <c r="CD473" s="149">
        <f t="shared" si="475"/>
        <v>1</v>
      </c>
      <c r="CE473" s="149">
        <f t="shared" si="476"/>
        <v>0</v>
      </c>
      <c r="CF473" s="149">
        <f t="shared" si="477"/>
        <v>0</v>
      </c>
      <c r="CG473" s="149">
        <f t="shared" si="478"/>
        <v>0</v>
      </c>
      <c r="CH473" s="149">
        <f t="shared" si="479"/>
        <v>0</v>
      </c>
      <c r="CI473" s="149">
        <f t="shared" si="480"/>
        <v>1</v>
      </c>
      <c r="CJ473" s="149">
        <f t="shared" si="481"/>
        <v>1</v>
      </c>
      <c r="CK473" s="149">
        <f t="shared" si="482"/>
        <v>1</v>
      </c>
      <c r="CL473" s="149">
        <f t="shared" si="483"/>
        <v>1</v>
      </c>
      <c r="CM473" s="149">
        <f t="shared" si="484"/>
        <v>1</v>
      </c>
      <c r="CN473" s="149">
        <f t="shared" si="485"/>
        <v>1</v>
      </c>
      <c r="CO473" s="149">
        <f t="shared" si="486"/>
        <v>1</v>
      </c>
      <c r="CP473" s="149">
        <f t="shared" si="487"/>
        <v>1</v>
      </c>
      <c r="CQ473" s="149">
        <f t="shared" si="488"/>
        <v>1</v>
      </c>
      <c r="CR473" s="149">
        <f t="shared" si="489"/>
        <v>1</v>
      </c>
      <c r="CS473" s="149">
        <f t="shared" si="490"/>
        <v>1</v>
      </c>
      <c r="CT473" s="149">
        <f t="shared" si="491"/>
        <v>1</v>
      </c>
      <c r="CU473" s="149">
        <f t="shared" si="492"/>
        <v>1</v>
      </c>
      <c r="CV473" s="149">
        <f t="shared" si="493"/>
        <v>1</v>
      </c>
      <c r="CW473" s="149">
        <f t="shared" si="494"/>
        <v>1</v>
      </c>
      <c r="CX473" s="149">
        <f t="shared" si="495"/>
        <v>1</v>
      </c>
      <c r="CY473" s="149">
        <f t="shared" si="496"/>
        <v>1</v>
      </c>
      <c r="CZ473" s="149">
        <f t="shared" si="497"/>
        <v>1</v>
      </c>
      <c r="DA473" s="149">
        <f t="shared" si="498"/>
        <v>1</v>
      </c>
      <c r="DB473" s="149">
        <f t="shared" si="499"/>
        <v>1</v>
      </c>
      <c r="DG473" s="125" t="str">
        <f t="shared" si="296"/>
        <v/>
      </c>
      <c r="DH473" s="125" t="str">
        <f t="shared" si="510"/>
        <v/>
      </c>
      <c r="DI473" s="125" t="str">
        <f t="shared" si="510"/>
        <v/>
      </c>
      <c r="DJ473" s="125" t="str">
        <f t="shared" si="510"/>
        <v/>
      </c>
      <c r="DK473" s="125" t="str">
        <f t="shared" si="510"/>
        <v/>
      </c>
      <c r="DL473" s="125" t="str">
        <f t="shared" si="510"/>
        <v/>
      </c>
      <c r="DM473" s="125" t="str">
        <f t="shared" si="510"/>
        <v/>
      </c>
      <c r="DN473" s="125" t="str">
        <f t="shared" si="510"/>
        <v/>
      </c>
      <c r="DO473" s="125" t="str">
        <f t="shared" si="510"/>
        <v/>
      </c>
      <c r="DP473" s="125" t="str">
        <f t="shared" si="510"/>
        <v/>
      </c>
      <c r="DS473" s="137"/>
      <c r="DT473" s="137"/>
      <c r="DU473" s="137"/>
      <c r="DV473" s="137" t="b">
        <f t="shared" si="500"/>
        <v>0</v>
      </c>
      <c r="DW473" s="137" t="b">
        <f t="shared" si="501"/>
        <v>0</v>
      </c>
      <c r="DX473" s="137" t="b">
        <f t="shared" si="502"/>
        <v>1</v>
      </c>
      <c r="EB473" s="131">
        <f t="shared" si="503"/>
        <v>1</v>
      </c>
      <c r="EC473" s="137" t="b">
        <f t="shared" si="504"/>
        <v>0</v>
      </c>
      <c r="ED473" s="137" t="b">
        <f t="shared" si="505"/>
        <v>0</v>
      </c>
      <c r="EE473" s="137" t="b">
        <f t="shared" si="506"/>
        <v>1</v>
      </c>
      <c r="EF473" s="137"/>
      <c r="EG473" s="137"/>
      <c r="EH473" s="137"/>
      <c r="EI473" s="137"/>
      <c r="EJ473" s="137">
        <f t="shared" si="507"/>
        <v>1</v>
      </c>
      <c r="EK473" s="125" t="str">
        <f t="shared" si="508"/>
        <v/>
      </c>
      <c r="EL473" s="125" t="str">
        <f t="shared" si="509"/>
        <v/>
      </c>
    </row>
    <row r="474" spans="2:142" ht="15.75" x14ac:dyDescent="0.2">
      <c r="B474" s="160" t="str">
        <f t="shared" si="459"/>
        <v/>
      </c>
      <c r="C474" s="205"/>
      <c r="D474" s="205"/>
      <c r="E474" s="205"/>
      <c r="F474" s="118" t="str">
        <f>IF(OR(J474="",H474=""),"",VLOOKUP(J474,'הזנה לסיווג רשויות'!$B$2:$D$301,2,0))</f>
        <v/>
      </c>
      <c r="G474" s="118" t="str">
        <f>IF(OR(J474="",H474=""),"",VLOOKUP(J474,'הזנה לסיווג רשויות'!$B$2:$D$301,3,0))</f>
        <v/>
      </c>
      <c r="H474" s="201"/>
      <c r="I474" s="201"/>
      <c r="J474" s="205"/>
      <c r="K474" s="161"/>
      <c r="L474" s="161"/>
      <c r="M474" s="161"/>
      <c r="N474" s="161"/>
      <c r="O474" s="161"/>
      <c r="P474" s="161"/>
      <c r="Q474" s="161"/>
      <c r="R474" s="201"/>
      <c r="S474" s="201"/>
      <c r="T474" s="160" t="str">
        <f>IF(G474="","",IFERROR(IF(S474/R474&gt;'פרמטרים לקריטריונים'!$C$20,1,0),0))</f>
        <v/>
      </c>
      <c r="U474" s="201"/>
      <c r="V474" s="160" t="str">
        <f>IF(G474="","",IFERROR(IF(U474/R474&gt;'פרמטרים לקריטריונים'!$C$21,1,IF(AND(I474=$BW$5,U474/R474&gt;'פרמטרים לקריטריונים'!$C$22),1,0)),0))</f>
        <v/>
      </c>
      <c r="W474" s="161"/>
      <c r="X474" s="161"/>
      <c r="Y474" s="201"/>
      <c r="Z474" s="201"/>
      <c r="AA474" s="161" t="str">
        <f t="shared" si="457"/>
        <v/>
      </c>
      <c r="AB474" s="161"/>
      <c r="AC474" s="161"/>
      <c r="AD474" s="161"/>
      <c r="AE474" s="161"/>
      <c r="AF474" s="161"/>
      <c r="AG474" s="161"/>
      <c r="AH474" s="161"/>
      <c r="AI474" s="161"/>
      <c r="AJ474" s="161"/>
      <c r="AK474" s="161"/>
      <c r="AL474" s="161"/>
      <c r="AM474" s="161"/>
      <c r="AN474" s="161"/>
      <c r="AO474" s="161"/>
      <c r="AP474" s="161"/>
      <c r="AQ474" s="161"/>
      <c r="AR474" s="161"/>
      <c r="AS474" s="161"/>
      <c r="AT474" s="161"/>
      <c r="AU474" s="161"/>
      <c r="AV474" s="161"/>
      <c r="AW474" s="160"/>
      <c r="AX474" s="161"/>
      <c r="AY474" s="161"/>
      <c r="AZ474" s="161"/>
      <c r="BA474" s="161"/>
      <c r="BB474" s="161"/>
      <c r="BC474" s="161"/>
      <c r="BD474" s="161"/>
      <c r="BE474" s="161"/>
      <c r="BF474" s="160" t="str">
        <f t="shared" si="460"/>
        <v/>
      </c>
      <c r="BG474" s="160"/>
      <c r="BH474" s="160"/>
      <c r="BI474" s="160"/>
      <c r="BJ474" s="160"/>
      <c r="BK474" s="160"/>
      <c r="BL474" s="162" t="str">
        <f t="shared" si="461"/>
        <v/>
      </c>
      <c r="BM474" s="257"/>
      <c r="BN474" s="163"/>
      <c r="BO474" s="211" t="str">
        <f t="shared" si="462"/>
        <v/>
      </c>
      <c r="BP474" s="125">
        <f t="shared" si="463"/>
        <v>0</v>
      </c>
      <c r="BQ474" s="164">
        <v>0</v>
      </c>
      <c r="BR474" s="164">
        <v>1</v>
      </c>
      <c r="BS474" s="149">
        <f t="shared" si="464"/>
        <v>0</v>
      </c>
      <c r="BT474" s="149">
        <f t="shared" si="465"/>
        <v>0</v>
      </c>
      <c r="BU474" s="149">
        <f t="shared" si="466"/>
        <v>0</v>
      </c>
      <c r="BV474" s="149">
        <f t="shared" si="467"/>
        <v>0</v>
      </c>
      <c r="BW474" s="149">
        <f t="shared" si="468"/>
        <v>0</v>
      </c>
      <c r="BX474" s="149">
        <f t="shared" si="469"/>
        <v>0</v>
      </c>
      <c r="BY474" s="149">
        <f t="shared" si="470"/>
        <v>0</v>
      </c>
      <c r="BZ474" s="149">
        <f t="shared" si="471"/>
        <v>0</v>
      </c>
      <c r="CA474" s="149">
        <f t="shared" si="472"/>
        <v>0</v>
      </c>
      <c r="CB474" s="149">
        <f t="shared" si="473"/>
        <v>1</v>
      </c>
      <c r="CC474" s="149">
        <f t="shared" si="474"/>
        <v>0</v>
      </c>
      <c r="CD474" s="149">
        <f t="shared" si="475"/>
        <v>1</v>
      </c>
      <c r="CE474" s="149">
        <f t="shared" si="476"/>
        <v>0</v>
      </c>
      <c r="CF474" s="149">
        <f t="shared" si="477"/>
        <v>0</v>
      </c>
      <c r="CG474" s="149">
        <f t="shared" si="478"/>
        <v>0</v>
      </c>
      <c r="CH474" s="149">
        <f t="shared" si="479"/>
        <v>0</v>
      </c>
      <c r="CI474" s="149">
        <f t="shared" si="480"/>
        <v>1</v>
      </c>
      <c r="CJ474" s="149">
        <f t="shared" si="481"/>
        <v>1</v>
      </c>
      <c r="CK474" s="149">
        <f t="shared" si="482"/>
        <v>1</v>
      </c>
      <c r="CL474" s="149">
        <f t="shared" si="483"/>
        <v>1</v>
      </c>
      <c r="CM474" s="149">
        <f t="shared" si="484"/>
        <v>1</v>
      </c>
      <c r="CN474" s="149">
        <f t="shared" si="485"/>
        <v>1</v>
      </c>
      <c r="CO474" s="149">
        <f t="shared" si="486"/>
        <v>1</v>
      </c>
      <c r="CP474" s="149">
        <f t="shared" si="487"/>
        <v>1</v>
      </c>
      <c r="CQ474" s="149">
        <f t="shared" si="488"/>
        <v>1</v>
      </c>
      <c r="CR474" s="149">
        <f t="shared" si="489"/>
        <v>1</v>
      </c>
      <c r="CS474" s="149">
        <f t="shared" si="490"/>
        <v>1</v>
      </c>
      <c r="CT474" s="149">
        <f t="shared" si="491"/>
        <v>1</v>
      </c>
      <c r="CU474" s="149">
        <f t="shared" si="492"/>
        <v>1</v>
      </c>
      <c r="CV474" s="149">
        <f t="shared" si="493"/>
        <v>1</v>
      </c>
      <c r="CW474" s="149">
        <f t="shared" si="494"/>
        <v>1</v>
      </c>
      <c r="CX474" s="149">
        <f t="shared" si="495"/>
        <v>1</v>
      </c>
      <c r="CY474" s="149">
        <f t="shared" si="496"/>
        <v>1</v>
      </c>
      <c r="CZ474" s="149">
        <f t="shared" si="497"/>
        <v>1</v>
      </c>
      <c r="DA474" s="149">
        <f t="shared" si="498"/>
        <v>1</v>
      </c>
      <c r="DB474" s="149">
        <f t="shared" si="499"/>
        <v>1</v>
      </c>
      <c r="DG474" s="125" t="str">
        <f t="shared" si="296"/>
        <v/>
      </c>
      <c r="DH474" s="125" t="str">
        <f t="shared" si="510"/>
        <v/>
      </c>
      <c r="DI474" s="125" t="str">
        <f t="shared" si="510"/>
        <v/>
      </c>
      <c r="DJ474" s="125" t="str">
        <f t="shared" si="510"/>
        <v/>
      </c>
      <c r="DK474" s="125" t="str">
        <f t="shared" si="510"/>
        <v/>
      </c>
      <c r="DL474" s="125" t="str">
        <f t="shared" si="510"/>
        <v/>
      </c>
      <c r="DM474" s="125" t="str">
        <f t="shared" si="510"/>
        <v/>
      </c>
      <c r="DN474" s="125" t="str">
        <f t="shared" si="510"/>
        <v/>
      </c>
      <c r="DO474" s="125" t="str">
        <f t="shared" si="510"/>
        <v/>
      </c>
      <c r="DP474" s="125" t="str">
        <f t="shared" si="510"/>
        <v/>
      </c>
      <c r="DS474" s="137"/>
      <c r="DT474" s="137"/>
      <c r="DU474" s="137"/>
      <c r="DV474" s="137" t="b">
        <f t="shared" si="500"/>
        <v>0</v>
      </c>
      <c r="DW474" s="137" t="b">
        <f t="shared" si="501"/>
        <v>0</v>
      </c>
      <c r="DX474" s="137" t="b">
        <f t="shared" si="502"/>
        <v>1</v>
      </c>
      <c r="EB474" s="131">
        <f t="shared" si="503"/>
        <v>1</v>
      </c>
      <c r="EC474" s="137" t="b">
        <f t="shared" si="504"/>
        <v>0</v>
      </c>
      <c r="ED474" s="137" t="b">
        <f t="shared" si="505"/>
        <v>0</v>
      </c>
      <c r="EE474" s="137" t="b">
        <f t="shared" si="506"/>
        <v>1</v>
      </c>
      <c r="EF474" s="137"/>
      <c r="EG474" s="137"/>
      <c r="EH474" s="137"/>
      <c r="EI474" s="137"/>
      <c r="EJ474" s="137">
        <f t="shared" si="507"/>
        <v>1</v>
      </c>
      <c r="EK474" s="125" t="str">
        <f t="shared" si="508"/>
        <v/>
      </c>
      <c r="EL474" s="125" t="str">
        <f t="shared" si="509"/>
        <v/>
      </c>
    </row>
    <row r="475" spans="2:142" ht="15.75" x14ac:dyDescent="0.2">
      <c r="B475" s="160" t="str">
        <f t="shared" si="459"/>
        <v/>
      </c>
      <c r="C475" s="205"/>
      <c r="D475" s="205"/>
      <c r="E475" s="205"/>
      <c r="F475" s="118" t="str">
        <f>IF(OR(J475="",H475=""),"",VLOOKUP(J475,'הזנה לסיווג רשויות'!$B$2:$D$301,2,0))</f>
        <v/>
      </c>
      <c r="G475" s="118" t="str">
        <f>IF(OR(J475="",H475=""),"",VLOOKUP(J475,'הזנה לסיווג רשויות'!$B$2:$D$301,3,0))</f>
        <v/>
      </c>
      <c r="H475" s="201"/>
      <c r="I475" s="201"/>
      <c r="J475" s="205"/>
      <c r="K475" s="161"/>
      <c r="L475" s="161"/>
      <c r="M475" s="161"/>
      <c r="N475" s="161"/>
      <c r="O475" s="161"/>
      <c r="P475" s="161"/>
      <c r="Q475" s="161"/>
      <c r="R475" s="201"/>
      <c r="S475" s="201"/>
      <c r="T475" s="160" t="str">
        <f>IF(G475="","",IFERROR(IF(S475/R475&gt;'פרמטרים לקריטריונים'!$C$20,1,0),0))</f>
        <v/>
      </c>
      <c r="U475" s="201"/>
      <c r="V475" s="160" t="str">
        <f>IF(G475="","",IFERROR(IF(U475/R475&gt;'פרמטרים לקריטריונים'!$C$21,1,IF(AND(I475=$BW$5,U475/R475&gt;'פרמטרים לקריטריונים'!$C$22),1,0)),0))</f>
        <v/>
      </c>
      <c r="W475" s="161"/>
      <c r="X475" s="161"/>
      <c r="Y475" s="201"/>
      <c r="Z475" s="201"/>
      <c r="AA475" s="161" t="str">
        <f t="shared" si="457"/>
        <v/>
      </c>
      <c r="AB475" s="161"/>
      <c r="AC475" s="161"/>
      <c r="AD475" s="161"/>
      <c r="AE475" s="161"/>
      <c r="AF475" s="161"/>
      <c r="AG475" s="161"/>
      <c r="AH475" s="161"/>
      <c r="AI475" s="161"/>
      <c r="AJ475" s="161"/>
      <c r="AK475" s="161"/>
      <c r="AL475" s="161"/>
      <c r="AM475" s="161"/>
      <c r="AN475" s="161"/>
      <c r="AO475" s="161"/>
      <c r="AP475" s="161"/>
      <c r="AQ475" s="161"/>
      <c r="AR475" s="161"/>
      <c r="AS475" s="161"/>
      <c r="AT475" s="161"/>
      <c r="AU475" s="161"/>
      <c r="AV475" s="161"/>
      <c r="AW475" s="160"/>
      <c r="AX475" s="161"/>
      <c r="AY475" s="161"/>
      <c r="AZ475" s="161"/>
      <c r="BA475" s="161"/>
      <c r="BB475" s="161"/>
      <c r="BC475" s="161"/>
      <c r="BD475" s="161"/>
      <c r="BE475" s="161"/>
      <c r="BF475" s="160" t="str">
        <f t="shared" si="460"/>
        <v/>
      </c>
      <c r="BG475" s="160"/>
      <c r="BH475" s="160"/>
      <c r="BI475" s="160"/>
      <c r="BJ475" s="160"/>
      <c r="BK475" s="160"/>
      <c r="BL475" s="162" t="str">
        <f t="shared" si="461"/>
        <v/>
      </c>
      <c r="BM475" s="257"/>
      <c r="BN475" s="163"/>
      <c r="BO475" s="211" t="str">
        <f t="shared" si="462"/>
        <v/>
      </c>
      <c r="BP475" s="125">
        <f t="shared" si="463"/>
        <v>0</v>
      </c>
      <c r="BQ475" s="164">
        <v>0</v>
      </c>
      <c r="BR475" s="164">
        <v>1</v>
      </c>
      <c r="BS475" s="149">
        <f t="shared" si="464"/>
        <v>0</v>
      </c>
      <c r="BT475" s="149">
        <f t="shared" si="465"/>
        <v>0</v>
      </c>
      <c r="BU475" s="149">
        <f t="shared" si="466"/>
        <v>0</v>
      </c>
      <c r="BV475" s="149">
        <f t="shared" si="467"/>
        <v>0</v>
      </c>
      <c r="BW475" s="149">
        <f t="shared" si="468"/>
        <v>0</v>
      </c>
      <c r="BX475" s="149">
        <f t="shared" si="469"/>
        <v>0</v>
      </c>
      <c r="BY475" s="149">
        <f t="shared" si="470"/>
        <v>0</v>
      </c>
      <c r="BZ475" s="149">
        <f t="shared" si="471"/>
        <v>0</v>
      </c>
      <c r="CA475" s="149">
        <f t="shared" si="472"/>
        <v>0</v>
      </c>
      <c r="CB475" s="149">
        <f t="shared" si="473"/>
        <v>1</v>
      </c>
      <c r="CC475" s="149">
        <f t="shared" si="474"/>
        <v>0</v>
      </c>
      <c r="CD475" s="149">
        <f t="shared" si="475"/>
        <v>1</v>
      </c>
      <c r="CE475" s="149">
        <f t="shared" si="476"/>
        <v>0</v>
      </c>
      <c r="CF475" s="149">
        <f t="shared" si="477"/>
        <v>0</v>
      </c>
      <c r="CG475" s="149">
        <f t="shared" si="478"/>
        <v>0</v>
      </c>
      <c r="CH475" s="149">
        <f t="shared" si="479"/>
        <v>0</v>
      </c>
      <c r="CI475" s="149">
        <f t="shared" si="480"/>
        <v>1</v>
      </c>
      <c r="CJ475" s="149">
        <f t="shared" si="481"/>
        <v>1</v>
      </c>
      <c r="CK475" s="149">
        <f t="shared" si="482"/>
        <v>1</v>
      </c>
      <c r="CL475" s="149">
        <f t="shared" si="483"/>
        <v>1</v>
      </c>
      <c r="CM475" s="149">
        <f t="shared" si="484"/>
        <v>1</v>
      </c>
      <c r="CN475" s="149">
        <f t="shared" si="485"/>
        <v>1</v>
      </c>
      <c r="CO475" s="149">
        <f t="shared" si="486"/>
        <v>1</v>
      </c>
      <c r="CP475" s="149">
        <f t="shared" si="487"/>
        <v>1</v>
      </c>
      <c r="CQ475" s="149">
        <f t="shared" si="488"/>
        <v>1</v>
      </c>
      <c r="CR475" s="149">
        <f t="shared" si="489"/>
        <v>1</v>
      </c>
      <c r="CS475" s="149">
        <f t="shared" si="490"/>
        <v>1</v>
      </c>
      <c r="CT475" s="149">
        <f t="shared" si="491"/>
        <v>1</v>
      </c>
      <c r="CU475" s="149">
        <f t="shared" si="492"/>
        <v>1</v>
      </c>
      <c r="CV475" s="149">
        <f t="shared" si="493"/>
        <v>1</v>
      </c>
      <c r="CW475" s="149">
        <f t="shared" si="494"/>
        <v>1</v>
      </c>
      <c r="CX475" s="149">
        <f t="shared" si="495"/>
        <v>1</v>
      </c>
      <c r="CY475" s="149">
        <f t="shared" si="496"/>
        <v>1</v>
      </c>
      <c r="CZ475" s="149">
        <f t="shared" si="497"/>
        <v>1</v>
      </c>
      <c r="DA475" s="149">
        <f t="shared" si="498"/>
        <v>1</v>
      </c>
      <c r="DB475" s="149">
        <f t="shared" si="499"/>
        <v>1</v>
      </c>
      <c r="DG475" s="125" t="str">
        <f t="shared" si="296"/>
        <v/>
      </c>
      <c r="DH475" s="125" t="str">
        <f t="shared" si="510"/>
        <v/>
      </c>
      <c r="DI475" s="125" t="str">
        <f t="shared" si="510"/>
        <v/>
      </c>
      <c r="DJ475" s="125" t="str">
        <f t="shared" si="510"/>
        <v/>
      </c>
      <c r="DK475" s="125" t="str">
        <f t="shared" si="510"/>
        <v/>
      </c>
      <c r="DL475" s="125" t="str">
        <f t="shared" si="510"/>
        <v/>
      </c>
      <c r="DM475" s="125" t="str">
        <f t="shared" si="510"/>
        <v/>
      </c>
      <c r="DN475" s="125" t="str">
        <f t="shared" si="510"/>
        <v/>
      </c>
      <c r="DO475" s="125" t="str">
        <f t="shared" si="510"/>
        <v/>
      </c>
      <c r="DP475" s="125" t="str">
        <f t="shared" si="510"/>
        <v/>
      </c>
      <c r="DS475" s="137"/>
      <c r="DT475" s="137"/>
      <c r="DU475" s="137"/>
      <c r="DV475" s="137" t="b">
        <f t="shared" si="500"/>
        <v>0</v>
      </c>
      <c r="DW475" s="137" t="b">
        <f t="shared" si="501"/>
        <v>0</v>
      </c>
      <c r="DX475" s="137" t="b">
        <f t="shared" si="502"/>
        <v>1</v>
      </c>
      <c r="EB475" s="131">
        <f t="shared" si="503"/>
        <v>1</v>
      </c>
      <c r="EC475" s="137" t="b">
        <f t="shared" si="504"/>
        <v>0</v>
      </c>
      <c r="ED475" s="137" t="b">
        <f t="shared" si="505"/>
        <v>0</v>
      </c>
      <c r="EE475" s="137" t="b">
        <f t="shared" si="506"/>
        <v>1</v>
      </c>
      <c r="EF475" s="137"/>
      <c r="EG475" s="137"/>
      <c r="EH475" s="137"/>
      <c r="EI475" s="137"/>
      <c r="EJ475" s="137">
        <f t="shared" si="507"/>
        <v>1</v>
      </c>
      <c r="EK475" s="125" t="str">
        <f t="shared" si="508"/>
        <v/>
      </c>
      <c r="EL475" s="125" t="str">
        <f t="shared" si="509"/>
        <v/>
      </c>
    </row>
    <row r="476" spans="2:142" ht="15.75" x14ac:dyDescent="0.2">
      <c r="B476" s="160" t="str">
        <f t="shared" si="459"/>
        <v/>
      </c>
      <c r="C476" s="205"/>
      <c r="D476" s="205"/>
      <c r="E476" s="205"/>
      <c r="F476" s="118" t="str">
        <f>IF(OR(J476="",H476=""),"",VLOOKUP(J476,'הזנה לסיווג רשויות'!$B$2:$D$301,2,0))</f>
        <v/>
      </c>
      <c r="G476" s="118" t="str">
        <f>IF(OR(J476="",H476=""),"",VLOOKUP(J476,'הזנה לסיווג רשויות'!$B$2:$D$301,3,0))</f>
        <v/>
      </c>
      <c r="H476" s="201"/>
      <c r="I476" s="201"/>
      <c r="J476" s="205"/>
      <c r="K476" s="161"/>
      <c r="L476" s="161"/>
      <c r="M476" s="161"/>
      <c r="N476" s="161"/>
      <c r="O476" s="161"/>
      <c r="P476" s="161"/>
      <c r="Q476" s="161"/>
      <c r="R476" s="201"/>
      <c r="S476" s="201"/>
      <c r="T476" s="160" t="str">
        <f>IF(G476="","",IFERROR(IF(S476/R476&gt;'פרמטרים לקריטריונים'!$C$20,1,0),0))</f>
        <v/>
      </c>
      <c r="U476" s="201"/>
      <c r="V476" s="160" t="str">
        <f>IF(G476="","",IFERROR(IF(U476/R476&gt;'פרמטרים לקריטריונים'!$C$21,1,IF(AND(I476=$BW$5,U476/R476&gt;'פרמטרים לקריטריונים'!$C$22),1,0)),0))</f>
        <v/>
      </c>
      <c r="W476" s="161"/>
      <c r="X476" s="161"/>
      <c r="Y476" s="201"/>
      <c r="Z476" s="201"/>
      <c r="AA476" s="161" t="str">
        <f t="shared" si="457"/>
        <v/>
      </c>
      <c r="AB476" s="161"/>
      <c r="AC476" s="161"/>
      <c r="AD476" s="161"/>
      <c r="AE476" s="161"/>
      <c r="AF476" s="161"/>
      <c r="AG476" s="161"/>
      <c r="AH476" s="161"/>
      <c r="AI476" s="161"/>
      <c r="AJ476" s="161"/>
      <c r="AK476" s="161"/>
      <c r="AL476" s="161"/>
      <c r="AM476" s="161"/>
      <c r="AN476" s="161"/>
      <c r="AO476" s="161"/>
      <c r="AP476" s="161"/>
      <c r="AQ476" s="161"/>
      <c r="AR476" s="161"/>
      <c r="AS476" s="161"/>
      <c r="AT476" s="161"/>
      <c r="AU476" s="161"/>
      <c r="AV476" s="161"/>
      <c r="AW476" s="160"/>
      <c r="AX476" s="161"/>
      <c r="AY476" s="161"/>
      <c r="AZ476" s="161"/>
      <c r="BA476" s="161"/>
      <c r="BB476" s="161"/>
      <c r="BC476" s="161"/>
      <c r="BD476" s="161"/>
      <c r="BE476" s="161"/>
      <c r="BF476" s="160" t="str">
        <f t="shared" si="460"/>
        <v/>
      </c>
      <c r="BG476" s="160"/>
      <c r="BH476" s="160"/>
      <c r="BI476" s="160"/>
      <c r="BJ476" s="160"/>
      <c r="BK476" s="160"/>
      <c r="BL476" s="162" t="str">
        <f t="shared" si="461"/>
        <v/>
      </c>
      <c r="BM476" s="257"/>
      <c r="BN476" s="163"/>
      <c r="BO476" s="211" t="str">
        <f t="shared" si="462"/>
        <v/>
      </c>
      <c r="BP476" s="125">
        <f t="shared" si="463"/>
        <v>0</v>
      </c>
      <c r="BQ476" s="164">
        <v>0</v>
      </c>
      <c r="BR476" s="164">
        <v>1</v>
      </c>
      <c r="BS476" s="149">
        <f t="shared" si="464"/>
        <v>0</v>
      </c>
      <c r="BT476" s="149">
        <f t="shared" si="465"/>
        <v>0</v>
      </c>
      <c r="BU476" s="149">
        <f t="shared" si="466"/>
        <v>0</v>
      </c>
      <c r="BV476" s="149">
        <f t="shared" si="467"/>
        <v>0</v>
      </c>
      <c r="BW476" s="149">
        <f t="shared" si="468"/>
        <v>0</v>
      </c>
      <c r="BX476" s="149">
        <f t="shared" si="469"/>
        <v>0</v>
      </c>
      <c r="BY476" s="149">
        <f t="shared" si="470"/>
        <v>0</v>
      </c>
      <c r="BZ476" s="149">
        <f t="shared" si="471"/>
        <v>0</v>
      </c>
      <c r="CA476" s="149">
        <f t="shared" si="472"/>
        <v>0</v>
      </c>
      <c r="CB476" s="149">
        <f t="shared" si="473"/>
        <v>1</v>
      </c>
      <c r="CC476" s="149">
        <f t="shared" si="474"/>
        <v>0</v>
      </c>
      <c r="CD476" s="149">
        <f t="shared" si="475"/>
        <v>1</v>
      </c>
      <c r="CE476" s="149">
        <f t="shared" si="476"/>
        <v>0</v>
      </c>
      <c r="CF476" s="149">
        <f t="shared" si="477"/>
        <v>0</v>
      </c>
      <c r="CG476" s="149">
        <f t="shared" si="478"/>
        <v>0</v>
      </c>
      <c r="CH476" s="149">
        <f t="shared" si="479"/>
        <v>0</v>
      </c>
      <c r="CI476" s="149">
        <f t="shared" si="480"/>
        <v>1</v>
      </c>
      <c r="CJ476" s="149">
        <f t="shared" si="481"/>
        <v>1</v>
      </c>
      <c r="CK476" s="149">
        <f t="shared" si="482"/>
        <v>1</v>
      </c>
      <c r="CL476" s="149">
        <f t="shared" si="483"/>
        <v>1</v>
      </c>
      <c r="CM476" s="149">
        <f t="shared" si="484"/>
        <v>1</v>
      </c>
      <c r="CN476" s="149">
        <f t="shared" si="485"/>
        <v>1</v>
      </c>
      <c r="CO476" s="149">
        <f t="shared" si="486"/>
        <v>1</v>
      </c>
      <c r="CP476" s="149">
        <f t="shared" si="487"/>
        <v>1</v>
      </c>
      <c r="CQ476" s="149">
        <f t="shared" si="488"/>
        <v>1</v>
      </c>
      <c r="CR476" s="149">
        <f t="shared" si="489"/>
        <v>1</v>
      </c>
      <c r="CS476" s="149">
        <f t="shared" si="490"/>
        <v>1</v>
      </c>
      <c r="CT476" s="149">
        <f t="shared" si="491"/>
        <v>1</v>
      </c>
      <c r="CU476" s="149">
        <f t="shared" si="492"/>
        <v>1</v>
      </c>
      <c r="CV476" s="149">
        <f t="shared" si="493"/>
        <v>1</v>
      </c>
      <c r="CW476" s="149">
        <f t="shared" si="494"/>
        <v>1</v>
      </c>
      <c r="CX476" s="149">
        <f t="shared" si="495"/>
        <v>1</v>
      </c>
      <c r="CY476" s="149">
        <f t="shared" si="496"/>
        <v>1</v>
      </c>
      <c r="CZ476" s="149">
        <f t="shared" si="497"/>
        <v>1</v>
      </c>
      <c r="DA476" s="149">
        <f t="shared" si="498"/>
        <v>1</v>
      </c>
      <c r="DB476" s="149">
        <f t="shared" si="499"/>
        <v>1</v>
      </c>
      <c r="DG476" s="125" t="str">
        <f t="shared" si="296"/>
        <v/>
      </c>
      <c r="DH476" s="125" t="str">
        <f t="shared" si="510"/>
        <v/>
      </c>
      <c r="DI476" s="125" t="str">
        <f t="shared" si="510"/>
        <v/>
      </c>
      <c r="DJ476" s="125" t="str">
        <f t="shared" si="510"/>
        <v/>
      </c>
      <c r="DK476" s="125" t="str">
        <f t="shared" si="510"/>
        <v/>
      </c>
      <c r="DL476" s="125" t="str">
        <f t="shared" si="510"/>
        <v/>
      </c>
      <c r="DM476" s="125" t="str">
        <f t="shared" si="510"/>
        <v/>
      </c>
      <c r="DN476" s="125" t="str">
        <f t="shared" si="510"/>
        <v/>
      </c>
      <c r="DO476" s="125" t="str">
        <f t="shared" si="510"/>
        <v/>
      </c>
      <c r="DP476" s="125" t="str">
        <f t="shared" si="510"/>
        <v/>
      </c>
      <c r="DS476" s="137"/>
      <c r="DT476" s="137"/>
      <c r="DU476" s="137"/>
      <c r="DV476" s="137" t="b">
        <f t="shared" si="500"/>
        <v>0</v>
      </c>
      <c r="DW476" s="137" t="b">
        <f t="shared" si="501"/>
        <v>0</v>
      </c>
      <c r="DX476" s="137" t="b">
        <f t="shared" si="502"/>
        <v>1</v>
      </c>
      <c r="EB476" s="131">
        <f t="shared" si="503"/>
        <v>1</v>
      </c>
      <c r="EC476" s="137" t="b">
        <f t="shared" si="504"/>
        <v>0</v>
      </c>
      <c r="ED476" s="137" t="b">
        <f t="shared" si="505"/>
        <v>0</v>
      </c>
      <c r="EE476" s="137" t="b">
        <f t="shared" si="506"/>
        <v>1</v>
      </c>
      <c r="EF476" s="137"/>
      <c r="EG476" s="137"/>
      <c r="EH476" s="137"/>
      <c r="EI476" s="137"/>
      <c r="EJ476" s="137">
        <f t="shared" si="507"/>
        <v>1</v>
      </c>
      <c r="EK476" s="125" t="str">
        <f t="shared" si="508"/>
        <v/>
      </c>
      <c r="EL476" s="125" t="str">
        <f t="shared" si="509"/>
        <v/>
      </c>
    </row>
    <row r="477" spans="2:142" ht="15.75" x14ac:dyDescent="0.2">
      <c r="B477" s="160" t="str">
        <f t="shared" si="459"/>
        <v/>
      </c>
      <c r="C477" s="205"/>
      <c r="D477" s="205"/>
      <c r="E477" s="205"/>
      <c r="F477" s="118" t="str">
        <f>IF(OR(J477="",H477=""),"",VLOOKUP(J477,'הזנה לסיווג רשויות'!$B$2:$D$301,2,0))</f>
        <v/>
      </c>
      <c r="G477" s="118" t="str">
        <f>IF(OR(J477="",H477=""),"",VLOOKUP(J477,'הזנה לסיווג רשויות'!$B$2:$D$301,3,0))</f>
        <v/>
      </c>
      <c r="H477" s="201"/>
      <c r="I477" s="201"/>
      <c r="J477" s="205"/>
      <c r="K477" s="161"/>
      <c r="L477" s="161"/>
      <c r="M477" s="161"/>
      <c r="N477" s="161"/>
      <c r="O477" s="161"/>
      <c r="P477" s="161"/>
      <c r="Q477" s="161"/>
      <c r="R477" s="201"/>
      <c r="S477" s="201"/>
      <c r="T477" s="160" t="str">
        <f>IF(G477="","",IFERROR(IF(S477/R477&gt;'פרמטרים לקריטריונים'!$C$20,1,0),0))</f>
        <v/>
      </c>
      <c r="U477" s="201"/>
      <c r="V477" s="160" t="str">
        <f>IF(G477="","",IFERROR(IF(U477/R477&gt;'פרמטרים לקריטריונים'!$C$21,1,IF(AND(I477=$BW$5,U477/R477&gt;'פרמטרים לקריטריונים'!$C$22),1,0)),0))</f>
        <v/>
      </c>
      <c r="W477" s="161"/>
      <c r="X477" s="161"/>
      <c r="Y477" s="201"/>
      <c r="Z477" s="201"/>
      <c r="AA477" s="161" t="str">
        <f t="shared" si="457"/>
        <v/>
      </c>
      <c r="AB477" s="161"/>
      <c r="AC477" s="161"/>
      <c r="AD477" s="161"/>
      <c r="AE477" s="161"/>
      <c r="AF477" s="161"/>
      <c r="AG477" s="161"/>
      <c r="AH477" s="161"/>
      <c r="AI477" s="161"/>
      <c r="AJ477" s="161"/>
      <c r="AK477" s="161"/>
      <c r="AL477" s="161"/>
      <c r="AM477" s="161"/>
      <c r="AN477" s="161"/>
      <c r="AO477" s="161"/>
      <c r="AP477" s="161"/>
      <c r="AQ477" s="161"/>
      <c r="AR477" s="161"/>
      <c r="AS477" s="161"/>
      <c r="AT477" s="161"/>
      <c r="AU477" s="161"/>
      <c r="AV477" s="161"/>
      <c r="AW477" s="160"/>
      <c r="AX477" s="161"/>
      <c r="AY477" s="161"/>
      <c r="AZ477" s="161"/>
      <c r="BA477" s="161"/>
      <c r="BB477" s="161"/>
      <c r="BC477" s="161"/>
      <c r="BD477" s="161"/>
      <c r="BE477" s="161"/>
      <c r="BF477" s="160" t="str">
        <f t="shared" si="460"/>
        <v/>
      </c>
      <c r="BG477" s="160"/>
      <c r="BH477" s="160"/>
      <c r="BI477" s="160"/>
      <c r="BJ477" s="160"/>
      <c r="BK477" s="160"/>
      <c r="BL477" s="162" t="str">
        <f t="shared" si="461"/>
        <v/>
      </c>
      <c r="BM477" s="257"/>
      <c r="BN477" s="163"/>
      <c r="BO477" s="211" t="str">
        <f t="shared" si="462"/>
        <v/>
      </c>
      <c r="BP477" s="125">
        <f t="shared" si="463"/>
        <v>0</v>
      </c>
      <c r="BQ477" s="164">
        <v>0</v>
      </c>
      <c r="BR477" s="164">
        <v>1</v>
      </c>
      <c r="BS477" s="149">
        <f t="shared" si="464"/>
        <v>0</v>
      </c>
      <c r="BT477" s="149">
        <f t="shared" si="465"/>
        <v>0</v>
      </c>
      <c r="BU477" s="149">
        <f t="shared" si="466"/>
        <v>0</v>
      </c>
      <c r="BV477" s="149">
        <f t="shared" si="467"/>
        <v>0</v>
      </c>
      <c r="BW477" s="149">
        <f t="shared" si="468"/>
        <v>0</v>
      </c>
      <c r="BX477" s="149">
        <f t="shared" si="469"/>
        <v>0</v>
      </c>
      <c r="BY477" s="149">
        <f t="shared" si="470"/>
        <v>0</v>
      </c>
      <c r="BZ477" s="149">
        <f t="shared" si="471"/>
        <v>0</v>
      </c>
      <c r="CA477" s="149">
        <f t="shared" si="472"/>
        <v>0</v>
      </c>
      <c r="CB477" s="149">
        <f t="shared" si="473"/>
        <v>1</v>
      </c>
      <c r="CC477" s="149">
        <f t="shared" si="474"/>
        <v>0</v>
      </c>
      <c r="CD477" s="149">
        <f t="shared" si="475"/>
        <v>1</v>
      </c>
      <c r="CE477" s="149">
        <f t="shared" si="476"/>
        <v>0</v>
      </c>
      <c r="CF477" s="149">
        <f t="shared" si="477"/>
        <v>0</v>
      </c>
      <c r="CG477" s="149">
        <f t="shared" si="478"/>
        <v>0</v>
      </c>
      <c r="CH477" s="149">
        <f t="shared" si="479"/>
        <v>0</v>
      </c>
      <c r="CI477" s="149">
        <f t="shared" si="480"/>
        <v>1</v>
      </c>
      <c r="CJ477" s="149">
        <f t="shared" si="481"/>
        <v>1</v>
      </c>
      <c r="CK477" s="149">
        <f t="shared" si="482"/>
        <v>1</v>
      </c>
      <c r="CL477" s="149">
        <f t="shared" si="483"/>
        <v>1</v>
      </c>
      <c r="CM477" s="149">
        <f t="shared" si="484"/>
        <v>1</v>
      </c>
      <c r="CN477" s="149">
        <f t="shared" si="485"/>
        <v>1</v>
      </c>
      <c r="CO477" s="149">
        <f t="shared" si="486"/>
        <v>1</v>
      </c>
      <c r="CP477" s="149">
        <f t="shared" si="487"/>
        <v>1</v>
      </c>
      <c r="CQ477" s="149">
        <f t="shared" si="488"/>
        <v>1</v>
      </c>
      <c r="CR477" s="149">
        <f t="shared" si="489"/>
        <v>1</v>
      </c>
      <c r="CS477" s="149">
        <f t="shared" si="490"/>
        <v>1</v>
      </c>
      <c r="CT477" s="149">
        <f t="shared" si="491"/>
        <v>1</v>
      </c>
      <c r="CU477" s="149">
        <f t="shared" si="492"/>
        <v>1</v>
      </c>
      <c r="CV477" s="149">
        <f t="shared" si="493"/>
        <v>1</v>
      </c>
      <c r="CW477" s="149">
        <f t="shared" si="494"/>
        <v>1</v>
      </c>
      <c r="CX477" s="149">
        <f t="shared" si="495"/>
        <v>1</v>
      </c>
      <c r="CY477" s="149">
        <f t="shared" si="496"/>
        <v>1</v>
      </c>
      <c r="CZ477" s="149">
        <f t="shared" si="497"/>
        <v>1</v>
      </c>
      <c r="DA477" s="149">
        <f t="shared" si="498"/>
        <v>1</v>
      </c>
      <c r="DB477" s="149">
        <f t="shared" si="499"/>
        <v>1</v>
      </c>
      <c r="DG477" s="125" t="str">
        <f t="shared" si="296"/>
        <v/>
      </c>
      <c r="DH477" s="125" t="str">
        <f t="shared" si="510"/>
        <v/>
      </c>
      <c r="DI477" s="125" t="str">
        <f t="shared" si="510"/>
        <v/>
      </c>
      <c r="DJ477" s="125" t="str">
        <f t="shared" si="510"/>
        <v/>
      </c>
      <c r="DK477" s="125" t="str">
        <f t="shared" si="510"/>
        <v/>
      </c>
      <c r="DL477" s="125" t="str">
        <f t="shared" si="510"/>
        <v/>
      </c>
      <c r="DM477" s="125" t="str">
        <f t="shared" si="510"/>
        <v/>
      </c>
      <c r="DN477" s="125" t="str">
        <f t="shared" si="510"/>
        <v/>
      </c>
      <c r="DO477" s="125" t="str">
        <f t="shared" si="510"/>
        <v/>
      </c>
      <c r="DP477" s="125" t="str">
        <f t="shared" si="510"/>
        <v/>
      </c>
      <c r="DS477" s="137"/>
      <c r="DT477" s="137"/>
      <c r="DU477" s="137"/>
      <c r="DV477" s="137" t="b">
        <f t="shared" si="500"/>
        <v>0</v>
      </c>
      <c r="DW477" s="137" t="b">
        <f t="shared" si="501"/>
        <v>0</v>
      </c>
      <c r="DX477" s="137" t="b">
        <f t="shared" si="502"/>
        <v>1</v>
      </c>
      <c r="EB477" s="131">
        <f t="shared" si="503"/>
        <v>1</v>
      </c>
      <c r="EC477" s="137" t="b">
        <f t="shared" si="504"/>
        <v>0</v>
      </c>
      <c r="ED477" s="137" t="b">
        <f t="shared" si="505"/>
        <v>0</v>
      </c>
      <c r="EE477" s="137" t="b">
        <f t="shared" si="506"/>
        <v>1</v>
      </c>
      <c r="EF477" s="137"/>
      <c r="EG477" s="137"/>
      <c r="EH477" s="137"/>
      <c r="EI477" s="137"/>
      <c r="EJ477" s="137">
        <f t="shared" si="507"/>
        <v>1</v>
      </c>
      <c r="EK477" s="125" t="str">
        <f t="shared" si="508"/>
        <v/>
      </c>
      <c r="EL477" s="125" t="str">
        <f t="shared" si="509"/>
        <v/>
      </c>
    </row>
    <row r="478" spans="2:142" ht="15.75" x14ac:dyDescent="0.2">
      <c r="B478" s="160" t="str">
        <f t="shared" si="459"/>
        <v/>
      </c>
      <c r="C478" s="205"/>
      <c r="D478" s="205"/>
      <c r="E478" s="205"/>
      <c r="F478" s="118" t="str">
        <f>IF(OR(J478="",H478=""),"",VLOOKUP(J478,'הזנה לסיווג רשויות'!$B$2:$D$301,2,0))</f>
        <v/>
      </c>
      <c r="G478" s="118" t="str">
        <f>IF(OR(J478="",H478=""),"",VLOOKUP(J478,'הזנה לסיווג רשויות'!$B$2:$D$301,3,0))</f>
        <v/>
      </c>
      <c r="H478" s="201"/>
      <c r="I478" s="201"/>
      <c r="J478" s="205"/>
      <c r="K478" s="161"/>
      <c r="L478" s="161"/>
      <c r="M478" s="161"/>
      <c r="N478" s="161"/>
      <c r="O478" s="161"/>
      <c r="P478" s="161"/>
      <c r="Q478" s="161"/>
      <c r="R478" s="201"/>
      <c r="S478" s="201"/>
      <c r="T478" s="160" t="str">
        <f>IF(G478="","",IFERROR(IF(S478/R478&gt;'פרמטרים לקריטריונים'!$C$20,1,0),0))</f>
        <v/>
      </c>
      <c r="U478" s="201"/>
      <c r="V478" s="160" t="str">
        <f>IF(G478="","",IFERROR(IF(U478/R478&gt;'פרמטרים לקריטריונים'!$C$21,1,IF(AND(I478=$BW$5,U478/R478&gt;'פרמטרים לקריטריונים'!$C$22),1,0)),0))</f>
        <v/>
      </c>
      <c r="W478" s="161"/>
      <c r="X478" s="161"/>
      <c r="Y478" s="201"/>
      <c r="Z478" s="201"/>
      <c r="AA478" s="161" t="str">
        <f t="shared" si="457"/>
        <v/>
      </c>
      <c r="AB478" s="161"/>
      <c r="AC478" s="161"/>
      <c r="AD478" s="161"/>
      <c r="AE478" s="161"/>
      <c r="AF478" s="161"/>
      <c r="AG478" s="161"/>
      <c r="AH478" s="161"/>
      <c r="AI478" s="161"/>
      <c r="AJ478" s="161"/>
      <c r="AK478" s="161"/>
      <c r="AL478" s="161"/>
      <c r="AM478" s="161"/>
      <c r="AN478" s="161"/>
      <c r="AO478" s="161"/>
      <c r="AP478" s="161"/>
      <c r="AQ478" s="161"/>
      <c r="AR478" s="161"/>
      <c r="AS478" s="161"/>
      <c r="AT478" s="161"/>
      <c r="AU478" s="161"/>
      <c r="AV478" s="161"/>
      <c r="AW478" s="160"/>
      <c r="AX478" s="161"/>
      <c r="AY478" s="161"/>
      <c r="AZ478" s="161"/>
      <c r="BA478" s="161"/>
      <c r="BB478" s="161"/>
      <c r="BC478" s="161"/>
      <c r="BD478" s="161"/>
      <c r="BE478" s="161"/>
      <c r="BF478" s="160" t="str">
        <f t="shared" si="460"/>
        <v/>
      </c>
      <c r="BG478" s="160"/>
      <c r="BH478" s="160"/>
      <c r="BI478" s="160"/>
      <c r="BJ478" s="160"/>
      <c r="BK478" s="160"/>
      <c r="BL478" s="162" t="str">
        <f t="shared" si="461"/>
        <v/>
      </c>
      <c r="BM478" s="257"/>
      <c r="BN478" s="163"/>
      <c r="BO478" s="211" t="str">
        <f t="shared" si="462"/>
        <v/>
      </c>
      <c r="BP478" s="125">
        <f t="shared" si="463"/>
        <v>0</v>
      </c>
      <c r="BQ478" s="164">
        <v>0</v>
      </c>
      <c r="BR478" s="164">
        <v>1</v>
      </c>
      <c r="BS478" s="149">
        <f t="shared" si="464"/>
        <v>0</v>
      </c>
      <c r="BT478" s="149">
        <f t="shared" si="465"/>
        <v>0</v>
      </c>
      <c r="BU478" s="149">
        <f t="shared" si="466"/>
        <v>0</v>
      </c>
      <c r="BV478" s="149">
        <f t="shared" si="467"/>
        <v>0</v>
      </c>
      <c r="BW478" s="149">
        <f t="shared" si="468"/>
        <v>0</v>
      </c>
      <c r="BX478" s="149">
        <f t="shared" si="469"/>
        <v>0</v>
      </c>
      <c r="BY478" s="149">
        <f t="shared" si="470"/>
        <v>0</v>
      </c>
      <c r="BZ478" s="149">
        <f t="shared" si="471"/>
        <v>0</v>
      </c>
      <c r="CA478" s="149">
        <f t="shared" si="472"/>
        <v>0</v>
      </c>
      <c r="CB478" s="149">
        <f t="shared" si="473"/>
        <v>1</v>
      </c>
      <c r="CC478" s="149">
        <f t="shared" si="474"/>
        <v>0</v>
      </c>
      <c r="CD478" s="149">
        <f t="shared" si="475"/>
        <v>1</v>
      </c>
      <c r="CE478" s="149">
        <f t="shared" si="476"/>
        <v>0</v>
      </c>
      <c r="CF478" s="149">
        <f t="shared" si="477"/>
        <v>0</v>
      </c>
      <c r="CG478" s="149">
        <f t="shared" si="478"/>
        <v>0</v>
      </c>
      <c r="CH478" s="149">
        <f t="shared" si="479"/>
        <v>0</v>
      </c>
      <c r="CI478" s="149">
        <f t="shared" si="480"/>
        <v>1</v>
      </c>
      <c r="CJ478" s="149">
        <f t="shared" si="481"/>
        <v>1</v>
      </c>
      <c r="CK478" s="149">
        <f t="shared" si="482"/>
        <v>1</v>
      </c>
      <c r="CL478" s="149">
        <f t="shared" si="483"/>
        <v>1</v>
      </c>
      <c r="CM478" s="149">
        <f t="shared" si="484"/>
        <v>1</v>
      </c>
      <c r="CN478" s="149">
        <f t="shared" si="485"/>
        <v>1</v>
      </c>
      <c r="CO478" s="149">
        <f t="shared" si="486"/>
        <v>1</v>
      </c>
      <c r="CP478" s="149">
        <f t="shared" si="487"/>
        <v>1</v>
      </c>
      <c r="CQ478" s="149">
        <f t="shared" si="488"/>
        <v>1</v>
      </c>
      <c r="CR478" s="149">
        <f t="shared" si="489"/>
        <v>1</v>
      </c>
      <c r="CS478" s="149">
        <f t="shared" si="490"/>
        <v>1</v>
      </c>
      <c r="CT478" s="149">
        <f t="shared" si="491"/>
        <v>1</v>
      </c>
      <c r="CU478" s="149">
        <f t="shared" si="492"/>
        <v>1</v>
      </c>
      <c r="CV478" s="149">
        <f t="shared" si="493"/>
        <v>1</v>
      </c>
      <c r="CW478" s="149">
        <f t="shared" si="494"/>
        <v>1</v>
      </c>
      <c r="CX478" s="149">
        <f t="shared" si="495"/>
        <v>1</v>
      </c>
      <c r="CY478" s="149">
        <f t="shared" si="496"/>
        <v>1</v>
      </c>
      <c r="CZ478" s="149">
        <f t="shared" si="497"/>
        <v>1</v>
      </c>
      <c r="DA478" s="149">
        <f t="shared" si="498"/>
        <v>1</v>
      </c>
      <c r="DB478" s="149">
        <f t="shared" si="499"/>
        <v>1</v>
      </c>
      <c r="DG478" s="125" t="str">
        <f t="shared" si="296"/>
        <v/>
      </c>
      <c r="DH478" s="125" t="str">
        <f t="shared" si="510"/>
        <v/>
      </c>
      <c r="DI478" s="125" t="str">
        <f t="shared" si="510"/>
        <v/>
      </c>
      <c r="DJ478" s="125" t="str">
        <f t="shared" si="510"/>
        <v/>
      </c>
      <c r="DK478" s="125" t="str">
        <f t="shared" si="510"/>
        <v/>
      </c>
      <c r="DL478" s="125" t="str">
        <f t="shared" si="510"/>
        <v/>
      </c>
      <c r="DM478" s="125" t="str">
        <f t="shared" si="510"/>
        <v/>
      </c>
      <c r="DN478" s="125" t="str">
        <f t="shared" si="510"/>
        <v/>
      </c>
      <c r="DO478" s="125" t="str">
        <f t="shared" si="510"/>
        <v/>
      </c>
      <c r="DP478" s="125" t="str">
        <f t="shared" si="510"/>
        <v/>
      </c>
      <c r="DS478" s="137"/>
      <c r="DT478" s="137"/>
      <c r="DU478" s="137"/>
      <c r="DV478" s="137" t="b">
        <f t="shared" si="500"/>
        <v>0</v>
      </c>
      <c r="DW478" s="137" t="b">
        <f t="shared" si="501"/>
        <v>0</v>
      </c>
      <c r="DX478" s="137" t="b">
        <f t="shared" si="502"/>
        <v>1</v>
      </c>
      <c r="EB478" s="131">
        <f t="shared" si="503"/>
        <v>1</v>
      </c>
      <c r="EC478" s="137" t="b">
        <f t="shared" si="504"/>
        <v>0</v>
      </c>
      <c r="ED478" s="137" t="b">
        <f t="shared" si="505"/>
        <v>0</v>
      </c>
      <c r="EE478" s="137" t="b">
        <f t="shared" si="506"/>
        <v>1</v>
      </c>
      <c r="EF478" s="137"/>
      <c r="EG478" s="137"/>
      <c r="EH478" s="137"/>
      <c r="EI478" s="137"/>
      <c r="EJ478" s="137">
        <f t="shared" si="507"/>
        <v>1</v>
      </c>
      <c r="EK478" s="125" t="str">
        <f t="shared" si="508"/>
        <v/>
      </c>
      <c r="EL478" s="125" t="str">
        <f t="shared" si="509"/>
        <v/>
      </c>
    </row>
    <row r="479" spans="2:142" ht="15.75" x14ac:dyDescent="0.2">
      <c r="B479" s="160" t="str">
        <f t="shared" si="459"/>
        <v/>
      </c>
      <c r="C479" s="205"/>
      <c r="D479" s="205"/>
      <c r="E479" s="205"/>
      <c r="F479" s="118" t="str">
        <f>IF(OR(J479="",H479=""),"",VLOOKUP(J479,'הזנה לסיווג רשויות'!$B$2:$D$301,2,0))</f>
        <v/>
      </c>
      <c r="G479" s="118" t="str">
        <f>IF(OR(J479="",H479=""),"",VLOOKUP(J479,'הזנה לסיווג רשויות'!$B$2:$D$301,3,0))</f>
        <v/>
      </c>
      <c r="H479" s="201"/>
      <c r="I479" s="201"/>
      <c r="J479" s="205"/>
      <c r="K479" s="161"/>
      <c r="L479" s="161"/>
      <c r="M479" s="161"/>
      <c r="N479" s="161"/>
      <c r="O479" s="161"/>
      <c r="P479" s="161"/>
      <c r="Q479" s="161"/>
      <c r="R479" s="201"/>
      <c r="S479" s="201"/>
      <c r="T479" s="160" t="str">
        <f>IF(G479="","",IFERROR(IF(S479/R479&gt;'פרמטרים לקריטריונים'!$C$20,1,0),0))</f>
        <v/>
      </c>
      <c r="U479" s="201"/>
      <c r="V479" s="160" t="str">
        <f>IF(G479="","",IFERROR(IF(U479/R479&gt;'פרמטרים לקריטריונים'!$C$21,1,IF(AND(I479=$BW$5,U479/R479&gt;'פרמטרים לקריטריונים'!$C$22),1,0)),0))</f>
        <v/>
      </c>
      <c r="W479" s="161"/>
      <c r="X479" s="161"/>
      <c r="Y479" s="201"/>
      <c r="Z479" s="201"/>
      <c r="AA479" s="161" t="str">
        <f t="shared" si="457"/>
        <v/>
      </c>
      <c r="AB479" s="161"/>
      <c r="AC479" s="161"/>
      <c r="AD479" s="161"/>
      <c r="AE479" s="161"/>
      <c r="AF479" s="161"/>
      <c r="AG479" s="161"/>
      <c r="AH479" s="161"/>
      <c r="AI479" s="161"/>
      <c r="AJ479" s="161"/>
      <c r="AK479" s="161"/>
      <c r="AL479" s="161"/>
      <c r="AM479" s="161"/>
      <c r="AN479" s="161"/>
      <c r="AO479" s="161"/>
      <c r="AP479" s="161"/>
      <c r="AQ479" s="161"/>
      <c r="AR479" s="161"/>
      <c r="AS479" s="161"/>
      <c r="AT479" s="161"/>
      <c r="AU479" s="161"/>
      <c r="AV479" s="161"/>
      <c r="AW479" s="160"/>
      <c r="AX479" s="161"/>
      <c r="AY479" s="161"/>
      <c r="AZ479" s="161"/>
      <c r="BA479" s="161"/>
      <c r="BB479" s="161"/>
      <c r="BC479" s="161"/>
      <c r="BD479" s="161"/>
      <c r="BE479" s="161"/>
      <c r="BF479" s="160" t="str">
        <f t="shared" si="460"/>
        <v/>
      </c>
      <c r="BG479" s="160"/>
      <c r="BH479" s="160"/>
      <c r="BI479" s="160"/>
      <c r="BJ479" s="160"/>
      <c r="BK479" s="160"/>
      <c r="BL479" s="162" t="str">
        <f t="shared" si="461"/>
        <v/>
      </c>
      <c r="BM479" s="257"/>
      <c r="BN479" s="163"/>
      <c r="BO479" s="211" t="str">
        <f t="shared" si="462"/>
        <v/>
      </c>
      <c r="BP479" s="125">
        <f t="shared" si="463"/>
        <v>0</v>
      </c>
      <c r="BQ479" s="164">
        <v>0</v>
      </c>
      <c r="BR479" s="164">
        <v>1</v>
      </c>
      <c r="BS479" s="149">
        <f t="shared" si="464"/>
        <v>0</v>
      </c>
      <c r="BT479" s="149">
        <f t="shared" si="465"/>
        <v>0</v>
      </c>
      <c r="BU479" s="149">
        <f t="shared" si="466"/>
        <v>0</v>
      </c>
      <c r="BV479" s="149">
        <f t="shared" si="467"/>
        <v>0</v>
      </c>
      <c r="BW479" s="149">
        <f t="shared" si="468"/>
        <v>0</v>
      </c>
      <c r="BX479" s="149">
        <f t="shared" si="469"/>
        <v>0</v>
      </c>
      <c r="BY479" s="149">
        <f t="shared" si="470"/>
        <v>0</v>
      </c>
      <c r="BZ479" s="149">
        <f t="shared" si="471"/>
        <v>0</v>
      </c>
      <c r="CA479" s="149">
        <f t="shared" si="472"/>
        <v>0</v>
      </c>
      <c r="CB479" s="149">
        <f t="shared" si="473"/>
        <v>1</v>
      </c>
      <c r="CC479" s="149">
        <f t="shared" si="474"/>
        <v>0</v>
      </c>
      <c r="CD479" s="149">
        <f t="shared" si="475"/>
        <v>1</v>
      </c>
      <c r="CE479" s="149">
        <f t="shared" si="476"/>
        <v>0</v>
      </c>
      <c r="CF479" s="149">
        <f t="shared" si="477"/>
        <v>0</v>
      </c>
      <c r="CG479" s="149">
        <f t="shared" si="478"/>
        <v>0</v>
      </c>
      <c r="CH479" s="149">
        <f t="shared" si="479"/>
        <v>0</v>
      </c>
      <c r="CI479" s="149">
        <f t="shared" si="480"/>
        <v>1</v>
      </c>
      <c r="CJ479" s="149">
        <f t="shared" si="481"/>
        <v>1</v>
      </c>
      <c r="CK479" s="149">
        <f t="shared" si="482"/>
        <v>1</v>
      </c>
      <c r="CL479" s="149">
        <f t="shared" si="483"/>
        <v>1</v>
      </c>
      <c r="CM479" s="149">
        <f t="shared" si="484"/>
        <v>1</v>
      </c>
      <c r="CN479" s="149">
        <f t="shared" si="485"/>
        <v>1</v>
      </c>
      <c r="CO479" s="149">
        <f t="shared" si="486"/>
        <v>1</v>
      </c>
      <c r="CP479" s="149">
        <f t="shared" si="487"/>
        <v>1</v>
      </c>
      <c r="CQ479" s="149">
        <f t="shared" si="488"/>
        <v>1</v>
      </c>
      <c r="CR479" s="149">
        <f t="shared" si="489"/>
        <v>1</v>
      </c>
      <c r="CS479" s="149">
        <f t="shared" si="490"/>
        <v>1</v>
      </c>
      <c r="CT479" s="149">
        <f t="shared" si="491"/>
        <v>1</v>
      </c>
      <c r="CU479" s="149">
        <f t="shared" si="492"/>
        <v>1</v>
      </c>
      <c r="CV479" s="149">
        <f t="shared" si="493"/>
        <v>1</v>
      </c>
      <c r="CW479" s="149">
        <f t="shared" si="494"/>
        <v>1</v>
      </c>
      <c r="CX479" s="149">
        <f t="shared" si="495"/>
        <v>1</v>
      </c>
      <c r="CY479" s="149">
        <f t="shared" si="496"/>
        <v>1</v>
      </c>
      <c r="CZ479" s="149">
        <f t="shared" si="497"/>
        <v>1</v>
      </c>
      <c r="DA479" s="149">
        <f t="shared" si="498"/>
        <v>1</v>
      </c>
      <c r="DB479" s="149">
        <f t="shared" si="499"/>
        <v>1</v>
      </c>
      <c r="DG479" s="125" t="str">
        <f t="shared" si="296"/>
        <v/>
      </c>
      <c r="DH479" s="125" t="str">
        <f t="shared" si="510"/>
        <v/>
      </c>
      <c r="DI479" s="125" t="str">
        <f t="shared" si="510"/>
        <v/>
      </c>
      <c r="DJ479" s="125" t="str">
        <f t="shared" si="510"/>
        <v/>
      </c>
      <c r="DK479" s="125" t="str">
        <f t="shared" si="510"/>
        <v/>
      </c>
      <c r="DL479" s="125" t="str">
        <f t="shared" si="510"/>
        <v/>
      </c>
      <c r="DM479" s="125" t="str">
        <f t="shared" si="510"/>
        <v/>
      </c>
      <c r="DN479" s="125" t="str">
        <f t="shared" si="510"/>
        <v/>
      </c>
      <c r="DO479" s="125" t="str">
        <f t="shared" si="510"/>
        <v/>
      </c>
      <c r="DP479" s="125" t="str">
        <f t="shared" si="510"/>
        <v/>
      </c>
      <c r="DS479" s="137"/>
      <c r="DT479" s="137"/>
      <c r="DU479" s="137"/>
      <c r="DV479" s="137" t="b">
        <f t="shared" si="500"/>
        <v>0</v>
      </c>
      <c r="DW479" s="137" t="b">
        <f t="shared" si="501"/>
        <v>0</v>
      </c>
      <c r="DX479" s="137" t="b">
        <f t="shared" si="502"/>
        <v>1</v>
      </c>
      <c r="EB479" s="131">
        <f t="shared" si="503"/>
        <v>1</v>
      </c>
      <c r="EC479" s="137" t="b">
        <f t="shared" si="504"/>
        <v>0</v>
      </c>
      <c r="ED479" s="137" t="b">
        <f t="shared" si="505"/>
        <v>0</v>
      </c>
      <c r="EE479" s="137" t="b">
        <f t="shared" si="506"/>
        <v>1</v>
      </c>
      <c r="EF479" s="137"/>
      <c r="EG479" s="137"/>
      <c r="EH479" s="137"/>
      <c r="EI479" s="137"/>
      <c r="EJ479" s="137">
        <f t="shared" si="507"/>
        <v>1</v>
      </c>
      <c r="EK479" s="125" t="str">
        <f t="shared" si="508"/>
        <v/>
      </c>
      <c r="EL479" s="125" t="str">
        <f t="shared" si="509"/>
        <v/>
      </c>
    </row>
    <row r="480" spans="2:142" ht="15.75" x14ac:dyDescent="0.2">
      <c r="B480" s="160" t="str">
        <f t="shared" si="459"/>
        <v/>
      </c>
      <c r="C480" s="205"/>
      <c r="D480" s="205"/>
      <c r="E480" s="205"/>
      <c r="F480" s="118" t="str">
        <f>IF(OR(J480="",H480=""),"",VLOOKUP(J480,'הזנה לסיווג רשויות'!$B$2:$D$301,2,0))</f>
        <v/>
      </c>
      <c r="G480" s="118" t="str">
        <f>IF(OR(J480="",H480=""),"",VLOOKUP(J480,'הזנה לסיווג רשויות'!$B$2:$D$301,3,0))</f>
        <v/>
      </c>
      <c r="H480" s="201"/>
      <c r="I480" s="201"/>
      <c r="J480" s="205"/>
      <c r="K480" s="161"/>
      <c r="L480" s="161"/>
      <c r="M480" s="161"/>
      <c r="N480" s="161"/>
      <c r="O480" s="161"/>
      <c r="P480" s="161"/>
      <c r="Q480" s="161"/>
      <c r="R480" s="201"/>
      <c r="S480" s="201"/>
      <c r="T480" s="160" t="str">
        <f>IF(G480="","",IFERROR(IF(S480/R480&gt;'פרמטרים לקריטריונים'!$C$20,1,0),0))</f>
        <v/>
      </c>
      <c r="U480" s="201"/>
      <c r="V480" s="160" t="str">
        <f>IF(G480="","",IFERROR(IF(U480/R480&gt;'פרמטרים לקריטריונים'!$C$21,1,IF(AND(I480=$BW$5,U480/R480&gt;'פרמטרים לקריטריונים'!$C$22),1,0)),0))</f>
        <v/>
      </c>
      <c r="W480" s="161"/>
      <c r="X480" s="161"/>
      <c r="Y480" s="201"/>
      <c r="Z480" s="201"/>
      <c r="AA480" s="161" t="str">
        <f t="shared" ref="AA480:AA500" si="511">IF(G480="","",IF(COUNTIF($D$31:$D$500,D480)=1,1,0))</f>
        <v/>
      </c>
      <c r="AB480" s="161"/>
      <c r="AC480" s="161"/>
      <c r="AD480" s="161"/>
      <c r="AE480" s="161"/>
      <c r="AF480" s="161"/>
      <c r="AG480" s="161"/>
      <c r="AH480" s="161"/>
      <c r="AI480" s="161"/>
      <c r="AJ480" s="161"/>
      <c r="AK480" s="161"/>
      <c r="AL480" s="161"/>
      <c r="AM480" s="161"/>
      <c r="AN480" s="161"/>
      <c r="AO480" s="161"/>
      <c r="AP480" s="161"/>
      <c r="AQ480" s="161"/>
      <c r="AR480" s="161"/>
      <c r="AS480" s="161"/>
      <c r="AT480" s="161"/>
      <c r="AU480" s="161"/>
      <c r="AV480" s="161"/>
      <c r="AW480" s="160"/>
      <c r="AX480" s="161"/>
      <c r="AY480" s="161"/>
      <c r="AZ480" s="161"/>
      <c r="BA480" s="161"/>
      <c r="BB480" s="161"/>
      <c r="BC480" s="161"/>
      <c r="BD480" s="161"/>
      <c r="BE480" s="161"/>
      <c r="BF480" s="160" t="str">
        <f t="shared" si="460"/>
        <v/>
      </c>
      <c r="BG480" s="160"/>
      <c r="BH480" s="160"/>
      <c r="BI480" s="160"/>
      <c r="BJ480" s="160"/>
      <c r="BK480" s="160"/>
      <c r="BL480" s="162" t="str">
        <f t="shared" si="461"/>
        <v/>
      </c>
      <c r="BM480" s="257"/>
      <c r="BN480" s="163"/>
      <c r="BO480" s="211" t="str">
        <f t="shared" si="462"/>
        <v/>
      </c>
      <c r="BP480" s="125">
        <f t="shared" si="463"/>
        <v>0</v>
      </c>
      <c r="BQ480" s="164">
        <v>0</v>
      </c>
      <c r="BR480" s="164">
        <v>1</v>
      </c>
      <c r="BS480" s="149">
        <f t="shared" si="464"/>
        <v>0</v>
      </c>
      <c r="BT480" s="149">
        <f t="shared" si="465"/>
        <v>0</v>
      </c>
      <c r="BU480" s="149">
        <f t="shared" si="466"/>
        <v>0</v>
      </c>
      <c r="BV480" s="149">
        <f t="shared" si="467"/>
        <v>0</v>
      </c>
      <c r="BW480" s="149">
        <f t="shared" si="468"/>
        <v>0</v>
      </c>
      <c r="BX480" s="149">
        <f t="shared" si="469"/>
        <v>0</v>
      </c>
      <c r="BY480" s="149">
        <f t="shared" si="470"/>
        <v>0</v>
      </c>
      <c r="BZ480" s="149">
        <f t="shared" si="471"/>
        <v>0</v>
      </c>
      <c r="CA480" s="149">
        <f t="shared" si="472"/>
        <v>0</v>
      </c>
      <c r="CB480" s="149">
        <f t="shared" si="473"/>
        <v>1</v>
      </c>
      <c r="CC480" s="149">
        <f t="shared" si="474"/>
        <v>0</v>
      </c>
      <c r="CD480" s="149">
        <f t="shared" si="475"/>
        <v>1</v>
      </c>
      <c r="CE480" s="149">
        <f t="shared" si="476"/>
        <v>0</v>
      </c>
      <c r="CF480" s="149">
        <f t="shared" si="477"/>
        <v>0</v>
      </c>
      <c r="CG480" s="149">
        <f t="shared" si="478"/>
        <v>0</v>
      </c>
      <c r="CH480" s="149">
        <f t="shared" si="479"/>
        <v>0</v>
      </c>
      <c r="CI480" s="149">
        <f t="shared" si="480"/>
        <v>1</v>
      </c>
      <c r="CJ480" s="149">
        <f t="shared" si="481"/>
        <v>1</v>
      </c>
      <c r="CK480" s="149">
        <f t="shared" si="482"/>
        <v>1</v>
      </c>
      <c r="CL480" s="149">
        <f t="shared" si="483"/>
        <v>1</v>
      </c>
      <c r="CM480" s="149">
        <f t="shared" si="484"/>
        <v>1</v>
      </c>
      <c r="CN480" s="149">
        <f t="shared" si="485"/>
        <v>1</v>
      </c>
      <c r="CO480" s="149">
        <f t="shared" si="486"/>
        <v>1</v>
      </c>
      <c r="CP480" s="149">
        <f t="shared" si="487"/>
        <v>1</v>
      </c>
      <c r="CQ480" s="149">
        <f t="shared" si="488"/>
        <v>1</v>
      </c>
      <c r="CR480" s="149">
        <f t="shared" si="489"/>
        <v>1</v>
      </c>
      <c r="CS480" s="149">
        <f t="shared" si="490"/>
        <v>1</v>
      </c>
      <c r="CT480" s="149">
        <f t="shared" si="491"/>
        <v>1</v>
      </c>
      <c r="CU480" s="149">
        <f t="shared" si="492"/>
        <v>1</v>
      </c>
      <c r="CV480" s="149">
        <f t="shared" si="493"/>
        <v>1</v>
      </c>
      <c r="CW480" s="149">
        <f t="shared" si="494"/>
        <v>1</v>
      </c>
      <c r="CX480" s="149">
        <f t="shared" si="495"/>
        <v>1</v>
      </c>
      <c r="CY480" s="149">
        <f t="shared" si="496"/>
        <v>1</v>
      </c>
      <c r="CZ480" s="149">
        <f t="shared" si="497"/>
        <v>1</v>
      </c>
      <c r="DA480" s="149">
        <f t="shared" si="498"/>
        <v>1</v>
      </c>
      <c r="DB480" s="149">
        <f t="shared" si="499"/>
        <v>1</v>
      </c>
      <c r="DG480" s="125" t="str">
        <f t="shared" si="296"/>
        <v/>
      </c>
      <c r="DH480" s="125" t="str">
        <f t="shared" si="510"/>
        <v/>
      </c>
      <c r="DI480" s="125" t="str">
        <f t="shared" si="510"/>
        <v/>
      </c>
      <c r="DJ480" s="125" t="str">
        <f t="shared" si="510"/>
        <v/>
      </c>
      <c r="DK480" s="125" t="str">
        <f t="shared" si="510"/>
        <v/>
      </c>
      <c r="DL480" s="125" t="str">
        <f t="shared" si="510"/>
        <v/>
      </c>
      <c r="DM480" s="125" t="str">
        <f t="shared" si="510"/>
        <v/>
      </c>
      <c r="DN480" s="125" t="str">
        <f t="shared" si="510"/>
        <v/>
      </c>
      <c r="DO480" s="125" t="str">
        <f t="shared" si="510"/>
        <v/>
      </c>
      <c r="DP480" s="125" t="str">
        <f t="shared" si="510"/>
        <v/>
      </c>
      <c r="DS480" s="137"/>
      <c r="DT480" s="137"/>
      <c r="DU480" s="137"/>
      <c r="DV480" s="137" t="b">
        <f t="shared" si="500"/>
        <v>0</v>
      </c>
      <c r="DW480" s="137" t="b">
        <f t="shared" si="501"/>
        <v>0</v>
      </c>
      <c r="DX480" s="137" t="b">
        <f t="shared" si="502"/>
        <v>1</v>
      </c>
      <c r="EB480" s="131">
        <f t="shared" si="503"/>
        <v>1</v>
      </c>
      <c r="EC480" s="137" t="b">
        <f t="shared" si="504"/>
        <v>0</v>
      </c>
      <c r="ED480" s="137" t="b">
        <f t="shared" si="505"/>
        <v>0</v>
      </c>
      <c r="EE480" s="137" t="b">
        <f t="shared" si="506"/>
        <v>1</v>
      </c>
      <c r="EF480" s="137"/>
      <c r="EG480" s="137"/>
      <c r="EH480" s="137"/>
      <c r="EI480" s="137"/>
      <c r="EJ480" s="137">
        <f t="shared" si="507"/>
        <v>1</v>
      </c>
      <c r="EK480" s="125" t="str">
        <f t="shared" si="508"/>
        <v/>
      </c>
      <c r="EL480" s="125" t="str">
        <f t="shared" si="509"/>
        <v/>
      </c>
    </row>
    <row r="481" spans="2:142" ht="15.75" x14ac:dyDescent="0.2">
      <c r="B481" s="160" t="str">
        <f t="shared" si="459"/>
        <v/>
      </c>
      <c r="C481" s="205"/>
      <c r="D481" s="205"/>
      <c r="E481" s="205"/>
      <c r="F481" s="118" t="str">
        <f>IF(OR(J481="",H481=""),"",VLOOKUP(J481,'הזנה לסיווג רשויות'!$B$2:$D$301,2,0))</f>
        <v/>
      </c>
      <c r="G481" s="118" t="str">
        <f>IF(OR(J481="",H481=""),"",VLOOKUP(J481,'הזנה לסיווג רשויות'!$B$2:$D$301,3,0))</f>
        <v/>
      </c>
      <c r="H481" s="201"/>
      <c r="I481" s="201"/>
      <c r="J481" s="205"/>
      <c r="K481" s="161"/>
      <c r="L481" s="161"/>
      <c r="M481" s="161"/>
      <c r="N481" s="161"/>
      <c r="O481" s="161"/>
      <c r="P481" s="161"/>
      <c r="Q481" s="161"/>
      <c r="R481" s="201"/>
      <c r="S481" s="201"/>
      <c r="T481" s="160" t="str">
        <f>IF(G481="","",IFERROR(IF(S481/R481&gt;'פרמטרים לקריטריונים'!$C$20,1,0),0))</f>
        <v/>
      </c>
      <c r="U481" s="201"/>
      <c r="V481" s="160" t="str">
        <f>IF(G481="","",IFERROR(IF(U481/R481&gt;'פרמטרים לקריטריונים'!$C$21,1,IF(AND(I481=$BW$5,U481/R481&gt;'פרמטרים לקריטריונים'!$C$22),1,0)),0))</f>
        <v/>
      </c>
      <c r="W481" s="161"/>
      <c r="X481" s="161"/>
      <c r="Y481" s="201"/>
      <c r="Z481" s="201"/>
      <c r="AA481" s="161" t="str">
        <f t="shared" si="511"/>
        <v/>
      </c>
      <c r="AB481" s="161"/>
      <c r="AC481" s="161"/>
      <c r="AD481" s="161"/>
      <c r="AE481" s="161"/>
      <c r="AF481" s="161"/>
      <c r="AG481" s="161"/>
      <c r="AH481" s="161"/>
      <c r="AI481" s="161"/>
      <c r="AJ481" s="161"/>
      <c r="AK481" s="161"/>
      <c r="AL481" s="161"/>
      <c r="AM481" s="161"/>
      <c r="AN481" s="161"/>
      <c r="AO481" s="161"/>
      <c r="AP481" s="161"/>
      <c r="AQ481" s="161"/>
      <c r="AR481" s="161"/>
      <c r="AS481" s="161"/>
      <c r="AT481" s="161"/>
      <c r="AU481" s="161"/>
      <c r="AV481" s="161"/>
      <c r="AW481" s="160"/>
      <c r="AX481" s="161"/>
      <c r="AY481" s="161"/>
      <c r="AZ481" s="161"/>
      <c r="BA481" s="161"/>
      <c r="BB481" s="161"/>
      <c r="BC481" s="161"/>
      <c r="BD481" s="161"/>
      <c r="BE481" s="161"/>
      <c r="BF481" s="160" t="str">
        <f t="shared" si="460"/>
        <v/>
      </c>
      <c r="BG481" s="160"/>
      <c r="BH481" s="160"/>
      <c r="BI481" s="160"/>
      <c r="BJ481" s="160"/>
      <c r="BK481" s="160"/>
      <c r="BL481" s="162" t="str">
        <f t="shared" si="461"/>
        <v/>
      </c>
      <c r="BM481" s="257"/>
      <c r="BN481" s="163"/>
      <c r="BO481" s="211" t="str">
        <f t="shared" si="462"/>
        <v/>
      </c>
      <c r="BP481" s="125">
        <f t="shared" si="463"/>
        <v>0</v>
      </c>
      <c r="BQ481" s="164">
        <v>0</v>
      </c>
      <c r="BR481" s="164">
        <v>1</v>
      </c>
      <c r="BS481" s="149">
        <f t="shared" si="464"/>
        <v>0</v>
      </c>
      <c r="BT481" s="149">
        <f t="shared" si="465"/>
        <v>0</v>
      </c>
      <c r="BU481" s="149">
        <f t="shared" si="466"/>
        <v>0</v>
      </c>
      <c r="BV481" s="149">
        <f t="shared" si="467"/>
        <v>0</v>
      </c>
      <c r="BW481" s="149">
        <f t="shared" si="468"/>
        <v>0</v>
      </c>
      <c r="BX481" s="149">
        <f t="shared" si="469"/>
        <v>0</v>
      </c>
      <c r="BY481" s="149">
        <f t="shared" si="470"/>
        <v>0</v>
      </c>
      <c r="BZ481" s="149">
        <f t="shared" si="471"/>
        <v>0</v>
      </c>
      <c r="CA481" s="149">
        <f t="shared" si="472"/>
        <v>0</v>
      </c>
      <c r="CB481" s="149">
        <f t="shared" si="473"/>
        <v>1</v>
      </c>
      <c r="CC481" s="149">
        <f t="shared" si="474"/>
        <v>0</v>
      </c>
      <c r="CD481" s="149">
        <f t="shared" si="475"/>
        <v>1</v>
      </c>
      <c r="CE481" s="149">
        <f t="shared" si="476"/>
        <v>0</v>
      </c>
      <c r="CF481" s="149">
        <f t="shared" si="477"/>
        <v>0</v>
      </c>
      <c r="CG481" s="149">
        <f t="shared" si="478"/>
        <v>0</v>
      </c>
      <c r="CH481" s="149">
        <f t="shared" si="479"/>
        <v>0</v>
      </c>
      <c r="CI481" s="149">
        <f t="shared" si="480"/>
        <v>1</v>
      </c>
      <c r="CJ481" s="149">
        <f t="shared" si="481"/>
        <v>1</v>
      </c>
      <c r="CK481" s="149">
        <f t="shared" si="482"/>
        <v>1</v>
      </c>
      <c r="CL481" s="149">
        <f t="shared" si="483"/>
        <v>1</v>
      </c>
      <c r="CM481" s="149">
        <f t="shared" si="484"/>
        <v>1</v>
      </c>
      <c r="CN481" s="149">
        <f t="shared" si="485"/>
        <v>1</v>
      </c>
      <c r="CO481" s="149">
        <f t="shared" si="486"/>
        <v>1</v>
      </c>
      <c r="CP481" s="149">
        <f t="shared" si="487"/>
        <v>1</v>
      </c>
      <c r="CQ481" s="149">
        <f t="shared" si="488"/>
        <v>1</v>
      </c>
      <c r="CR481" s="149">
        <f t="shared" si="489"/>
        <v>1</v>
      </c>
      <c r="CS481" s="149">
        <f t="shared" si="490"/>
        <v>1</v>
      </c>
      <c r="CT481" s="149">
        <f t="shared" si="491"/>
        <v>1</v>
      </c>
      <c r="CU481" s="149">
        <f t="shared" si="492"/>
        <v>1</v>
      </c>
      <c r="CV481" s="149">
        <f t="shared" si="493"/>
        <v>1</v>
      </c>
      <c r="CW481" s="149">
        <f t="shared" si="494"/>
        <v>1</v>
      </c>
      <c r="CX481" s="149">
        <f t="shared" si="495"/>
        <v>1</v>
      </c>
      <c r="CY481" s="149">
        <f t="shared" si="496"/>
        <v>1</v>
      </c>
      <c r="CZ481" s="149">
        <f t="shared" si="497"/>
        <v>1</v>
      </c>
      <c r="DA481" s="149">
        <f t="shared" si="498"/>
        <v>1</v>
      </c>
      <c r="DB481" s="149">
        <f t="shared" si="499"/>
        <v>1</v>
      </c>
      <c r="DG481" s="125" t="str">
        <f t="shared" si="296"/>
        <v/>
      </c>
      <c r="DH481" s="125" t="str">
        <f t="shared" si="510"/>
        <v/>
      </c>
      <c r="DI481" s="125" t="str">
        <f t="shared" si="510"/>
        <v/>
      </c>
      <c r="DJ481" s="125" t="str">
        <f t="shared" si="510"/>
        <v/>
      </c>
      <c r="DK481" s="125" t="str">
        <f t="shared" si="510"/>
        <v/>
      </c>
      <c r="DL481" s="125" t="str">
        <f t="shared" si="510"/>
        <v/>
      </c>
      <c r="DM481" s="125" t="str">
        <f t="shared" si="510"/>
        <v/>
      </c>
      <c r="DN481" s="125" t="str">
        <f t="shared" si="510"/>
        <v/>
      </c>
      <c r="DO481" s="125" t="str">
        <f t="shared" si="510"/>
        <v/>
      </c>
      <c r="DP481" s="125" t="str">
        <f t="shared" si="510"/>
        <v/>
      </c>
      <c r="DS481" s="137"/>
      <c r="DT481" s="137"/>
      <c r="DU481" s="137"/>
      <c r="DV481" s="137" t="b">
        <f t="shared" si="500"/>
        <v>0</v>
      </c>
      <c r="DW481" s="137" t="b">
        <f t="shared" si="501"/>
        <v>0</v>
      </c>
      <c r="DX481" s="137" t="b">
        <f t="shared" si="502"/>
        <v>1</v>
      </c>
      <c r="EB481" s="131">
        <f t="shared" si="503"/>
        <v>1</v>
      </c>
      <c r="EC481" s="137" t="b">
        <f t="shared" si="504"/>
        <v>0</v>
      </c>
      <c r="ED481" s="137" t="b">
        <f t="shared" si="505"/>
        <v>0</v>
      </c>
      <c r="EE481" s="137" t="b">
        <f t="shared" si="506"/>
        <v>1</v>
      </c>
      <c r="EF481" s="137"/>
      <c r="EG481" s="137"/>
      <c r="EH481" s="137"/>
      <c r="EI481" s="137"/>
      <c r="EJ481" s="137">
        <f t="shared" si="507"/>
        <v>1</v>
      </c>
      <c r="EK481" s="125" t="str">
        <f t="shared" si="508"/>
        <v/>
      </c>
      <c r="EL481" s="125" t="str">
        <f t="shared" si="509"/>
        <v/>
      </c>
    </row>
    <row r="482" spans="2:142" ht="15.75" x14ac:dyDescent="0.2">
      <c r="B482" s="160" t="str">
        <f t="shared" si="459"/>
        <v/>
      </c>
      <c r="C482" s="205"/>
      <c r="D482" s="205"/>
      <c r="E482" s="205"/>
      <c r="F482" s="118" t="str">
        <f>IF(OR(J482="",H482=""),"",VLOOKUP(J482,'הזנה לסיווג רשויות'!$B$2:$D$301,2,0))</f>
        <v/>
      </c>
      <c r="G482" s="118" t="str">
        <f>IF(OR(J482="",H482=""),"",VLOOKUP(J482,'הזנה לסיווג רשויות'!$B$2:$D$301,3,0))</f>
        <v/>
      </c>
      <c r="H482" s="201"/>
      <c r="I482" s="201"/>
      <c r="J482" s="205"/>
      <c r="K482" s="161"/>
      <c r="L482" s="161"/>
      <c r="M482" s="161"/>
      <c r="N482" s="161"/>
      <c r="O482" s="161"/>
      <c r="P482" s="161"/>
      <c r="Q482" s="161"/>
      <c r="R482" s="201"/>
      <c r="S482" s="201"/>
      <c r="T482" s="160" t="str">
        <f>IF(G482="","",IFERROR(IF(S482/R482&gt;'פרמטרים לקריטריונים'!$C$20,1,0),0))</f>
        <v/>
      </c>
      <c r="U482" s="201"/>
      <c r="V482" s="160" t="str">
        <f>IF(G482="","",IFERROR(IF(U482/R482&gt;'פרמטרים לקריטריונים'!$C$21,1,IF(AND(I482=$BW$5,U482/R482&gt;'פרמטרים לקריטריונים'!$C$22),1,0)),0))</f>
        <v/>
      </c>
      <c r="W482" s="161"/>
      <c r="X482" s="161"/>
      <c r="Y482" s="201"/>
      <c r="Z482" s="201"/>
      <c r="AA482" s="161" t="str">
        <f t="shared" si="511"/>
        <v/>
      </c>
      <c r="AB482" s="161"/>
      <c r="AC482" s="161"/>
      <c r="AD482" s="161"/>
      <c r="AE482" s="161"/>
      <c r="AF482" s="161"/>
      <c r="AG482" s="161"/>
      <c r="AH482" s="161"/>
      <c r="AI482" s="161"/>
      <c r="AJ482" s="161"/>
      <c r="AK482" s="161"/>
      <c r="AL482" s="161"/>
      <c r="AM482" s="161"/>
      <c r="AN482" s="161"/>
      <c r="AO482" s="161"/>
      <c r="AP482" s="161"/>
      <c r="AQ482" s="161"/>
      <c r="AR482" s="161"/>
      <c r="AS482" s="161"/>
      <c r="AT482" s="161"/>
      <c r="AU482" s="161"/>
      <c r="AV482" s="161"/>
      <c r="AW482" s="160"/>
      <c r="AX482" s="161"/>
      <c r="AY482" s="161"/>
      <c r="AZ482" s="161"/>
      <c r="BA482" s="161"/>
      <c r="BB482" s="161"/>
      <c r="BC482" s="161"/>
      <c r="BD482" s="161"/>
      <c r="BE482" s="161"/>
      <c r="BF482" s="160" t="str">
        <f t="shared" si="460"/>
        <v/>
      </c>
      <c r="BG482" s="160"/>
      <c r="BH482" s="160"/>
      <c r="BI482" s="160"/>
      <c r="BJ482" s="160"/>
      <c r="BK482" s="160"/>
      <c r="BL482" s="162" t="str">
        <f t="shared" si="461"/>
        <v/>
      </c>
      <c r="BM482" s="257"/>
      <c r="BN482" s="163"/>
      <c r="BO482" s="211" t="str">
        <f t="shared" si="462"/>
        <v/>
      </c>
      <c r="BP482" s="125">
        <f t="shared" si="463"/>
        <v>0</v>
      </c>
      <c r="BQ482" s="164">
        <v>0</v>
      </c>
      <c r="BR482" s="164">
        <v>1</v>
      </c>
      <c r="BS482" s="149">
        <f t="shared" si="464"/>
        <v>0</v>
      </c>
      <c r="BT482" s="149">
        <f t="shared" si="465"/>
        <v>0</v>
      </c>
      <c r="BU482" s="149">
        <f t="shared" si="466"/>
        <v>0</v>
      </c>
      <c r="BV482" s="149">
        <f t="shared" si="467"/>
        <v>0</v>
      </c>
      <c r="BW482" s="149">
        <f t="shared" si="468"/>
        <v>0</v>
      </c>
      <c r="BX482" s="149">
        <f t="shared" si="469"/>
        <v>0</v>
      </c>
      <c r="BY482" s="149">
        <f t="shared" si="470"/>
        <v>0</v>
      </c>
      <c r="BZ482" s="149">
        <f t="shared" si="471"/>
        <v>0</v>
      </c>
      <c r="CA482" s="149">
        <f t="shared" si="472"/>
        <v>0</v>
      </c>
      <c r="CB482" s="149">
        <f t="shared" si="473"/>
        <v>1</v>
      </c>
      <c r="CC482" s="149">
        <f t="shared" si="474"/>
        <v>0</v>
      </c>
      <c r="CD482" s="149">
        <f t="shared" si="475"/>
        <v>1</v>
      </c>
      <c r="CE482" s="149">
        <f t="shared" si="476"/>
        <v>0</v>
      </c>
      <c r="CF482" s="149">
        <f t="shared" si="477"/>
        <v>0</v>
      </c>
      <c r="CG482" s="149">
        <f t="shared" si="478"/>
        <v>0</v>
      </c>
      <c r="CH482" s="149">
        <f t="shared" si="479"/>
        <v>0</v>
      </c>
      <c r="CI482" s="149">
        <f t="shared" si="480"/>
        <v>1</v>
      </c>
      <c r="CJ482" s="149">
        <f t="shared" si="481"/>
        <v>1</v>
      </c>
      <c r="CK482" s="149">
        <f t="shared" si="482"/>
        <v>1</v>
      </c>
      <c r="CL482" s="149">
        <f t="shared" si="483"/>
        <v>1</v>
      </c>
      <c r="CM482" s="149">
        <f t="shared" si="484"/>
        <v>1</v>
      </c>
      <c r="CN482" s="149">
        <f t="shared" si="485"/>
        <v>1</v>
      </c>
      <c r="CO482" s="149">
        <f t="shared" si="486"/>
        <v>1</v>
      </c>
      <c r="CP482" s="149">
        <f t="shared" si="487"/>
        <v>1</v>
      </c>
      <c r="CQ482" s="149">
        <f t="shared" si="488"/>
        <v>1</v>
      </c>
      <c r="CR482" s="149">
        <f t="shared" si="489"/>
        <v>1</v>
      </c>
      <c r="CS482" s="149">
        <f t="shared" si="490"/>
        <v>1</v>
      </c>
      <c r="CT482" s="149">
        <f t="shared" si="491"/>
        <v>1</v>
      </c>
      <c r="CU482" s="149">
        <f t="shared" si="492"/>
        <v>1</v>
      </c>
      <c r="CV482" s="149">
        <f t="shared" si="493"/>
        <v>1</v>
      </c>
      <c r="CW482" s="149">
        <f t="shared" si="494"/>
        <v>1</v>
      </c>
      <c r="CX482" s="149">
        <f t="shared" si="495"/>
        <v>1</v>
      </c>
      <c r="CY482" s="149">
        <f t="shared" si="496"/>
        <v>1</v>
      </c>
      <c r="CZ482" s="149">
        <f t="shared" si="497"/>
        <v>1</v>
      </c>
      <c r="DA482" s="149">
        <f t="shared" si="498"/>
        <v>1</v>
      </c>
      <c r="DB482" s="149">
        <f t="shared" si="499"/>
        <v>1</v>
      </c>
      <c r="DG482" s="125" t="str">
        <f t="shared" si="296"/>
        <v/>
      </c>
      <c r="DH482" s="125" t="str">
        <f t="shared" si="510"/>
        <v/>
      </c>
      <c r="DI482" s="125" t="str">
        <f t="shared" si="510"/>
        <v/>
      </c>
      <c r="DJ482" s="125" t="str">
        <f t="shared" si="510"/>
        <v/>
      </c>
      <c r="DK482" s="125" t="str">
        <f t="shared" si="510"/>
        <v/>
      </c>
      <c r="DL482" s="125" t="str">
        <f t="shared" si="510"/>
        <v/>
      </c>
      <c r="DM482" s="125" t="str">
        <f t="shared" si="510"/>
        <v/>
      </c>
      <c r="DN482" s="125" t="str">
        <f t="shared" si="510"/>
        <v/>
      </c>
      <c r="DO482" s="125" t="str">
        <f t="shared" si="510"/>
        <v/>
      </c>
      <c r="DP482" s="125" t="str">
        <f t="shared" si="510"/>
        <v/>
      </c>
      <c r="DS482" s="137"/>
      <c r="DT482" s="137"/>
      <c r="DU482" s="137"/>
      <c r="DV482" s="137" t="b">
        <f t="shared" si="500"/>
        <v>0</v>
      </c>
      <c r="DW482" s="137" t="b">
        <f t="shared" si="501"/>
        <v>0</v>
      </c>
      <c r="DX482" s="137" t="b">
        <f t="shared" si="502"/>
        <v>1</v>
      </c>
      <c r="EB482" s="131">
        <f t="shared" si="503"/>
        <v>1</v>
      </c>
      <c r="EC482" s="137" t="b">
        <f t="shared" si="504"/>
        <v>0</v>
      </c>
      <c r="ED482" s="137" t="b">
        <f t="shared" si="505"/>
        <v>0</v>
      </c>
      <c r="EE482" s="137" t="b">
        <f t="shared" si="506"/>
        <v>1</v>
      </c>
      <c r="EF482" s="137"/>
      <c r="EG482" s="137"/>
      <c r="EH482" s="137"/>
      <c r="EI482" s="137"/>
      <c r="EJ482" s="137">
        <f t="shared" si="507"/>
        <v>1</v>
      </c>
      <c r="EK482" s="125" t="str">
        <f t="shared" si="508"/>
        <v/>
      </c>
      <c r="EL482" s="125" t="str">
        <f t="shared" si="509"/>
        <v/>
      </c>
    </row>
    <row r="483" spans="2:142" ht="15.75" x14ac:dyDescent="0.2">
      <c r="B483" s="160" t="str">
        <f t="shared" si="459"/>
        <v/>
      </c>
      <c r="C483" s="205"/>
      <c r="D483" s="205"/>
      <c r="E483" s="205"/>
      <c r="F483" s="118" t="str">
        <f>IF(OR(J483="",H483=""),"",VLOOKUP(J483,'הזנה לסיווג רשויות'!$B$2:$D$301,2,0))</f>
        <v/>
      </c>
      <c r="G483" s="118" t="str">
        <f>IF(OR(J483="",H483=""),"",VLOOKUP(J483,'הזנה לסיווג רשויות'!$B$2:$D$301,3,0))</f>
        <v/>
      </c>
      <c r="H483" s="201"/>
      <c r="I483" s="201"/>
      <c r="J483" s="205"/>
      <c r="K483" s="161"/>
      <c r="L483" s="161"/>
      <c r="M483" s="161"/>
      <c r="N483" s="161"/>
      <c r="O483" s="161"/>
      <c r="P483" s="161"/>
      <c r="Q483" s="161"/>
      <c r="R483" s="201"/>
      <c r="S483" s="201"/>
      <c r="T483" s="160" t="str">
        <f>IF(G483="","",IFERROR(IF(S483/R483&gt;'פרמטרים לקריטריונים'!$C$20,1,0),0))</f>
        <v/>
      </c>
      <c r="U483" s="201"/>
      <c r="V483" s="160" t="str">
        <f>IF(G483="","",IFERROR(IF(U483/R483&gt;'פרמטרים לקריטריונים'!$C$21,1,IF(AND(I483=$BW$5,U483/R483&gt;'פרמטרים לקריטריונים'!$C$22),1,0)),0))</f>
        <v/>
      </c>
      <c r="W483" s="161"/>
      <c r="X483" s="161"/>
      <c r="Y483" s="201"/>
      <c r="Z483" s="201"/>
      <c r="AA483" s="161" t="str">
        <f t="shared" si="511"/>
        <v/>
      </c>
      <c r="AB483" s="161"/>
      <c r="AC483" s="161"/>
      <c r="AD483" s="161"/>
      <c r="AE483" s="161"/>
      <c r="AF483" s="161"/>
      <c r="AG483" s="161"/>
      <c r="AH483" s="161"/>
      <c r="AI483" s="161"/>
      <c r="AJ483" s="161"/>
      <c r="AK483" s="161"/>
      <c r="AL483" s="161"/>
      <c r="AM483" s="161"/>
      <c r="AN483" s="161"/>
      <c r="AO483" s="161"/>
      <c r="AP483" s="161"/>
      <c r="AQ483" s="161"/>
      <c r="AR483" s="161"/>
      <c r="AS483" s="161"/>
      <c r="AT483" s="161"/>
      <c r="AU483" s="161"/>
      <c r="AV483" s="161"/>
      <c r="AW483" s="160"/>
      <c r="AX483" s="161"/>
      <c r="AY483" s="161"/>
      <c r="AZ483" s="161"/>
      <c r="BA483" s="161"/>
      <c r="BB483" s="161"/>
      <c r="BC483" s="161"/>
      <c r="BD483" s="161"/>
      <c r="BE483" s="161"/>
      <c r="BF483" s="160" t="str">
        <f t="shared" si="460"/>
        <v/>
      </c>
      <c r="BG483" s="160"/>
      <c r="BH483" s="160"/>
      <c r="BI483" s="160"/>
      <c r="BJ483" s="160"/>
      <c r="BK483" s="160"/>
      <c r="BL483" s="162" t="str">
        <f t="shared" si="461"/>
        <v/>
      </c>
      <c r="BM483" s="257"/>
      <c r="BN483" s="163"/>
      <c r="BO483" s="211" t="str">
        <f t="shared" si="462"/>
        <v/>
      </c>
      <c r="BP483" s="125">
        <f t="shared" si="463"/>
        <v>0</v>
      </c>
      <c r="BQ483" s="164">
        <v>0</v>
      </c>
      <c r="BR483" s="164">
        <v>1</v>
      </c>
      <c r="BS483" s="149">
        <f t="shared" si="464"/>
        <v>0</v>
      </c>
      <c r="BT483" s="149">
        <f t="shared" si="465"/>
        <v>0</v>
      </c>
      <c r="BU483" s="149">
        <f t="shared" si="466"/>
        <v>0</v>
      </c>
      <c r="BV483" s="149">
        <f t="shared" si="467"/>
        <v>0</v>
      </c>
      <c r="BW483" s="149">
        <f t="shared" si="468"/>
        <v>0</v>
      </c>
      <c r="BX483" s="149">
        <f t="shared" si="469"/>
        <v>0</v>
      </c>
      <c r="BY483" s="149">
        <f t="shared" si="470"/>
        <v>0</v>
      </c>
      <c r="BZ483" s="149">
        <f t="shared" si="471"/>
        <v>0</v>
      </c>
      <c r="CA483" s="149">
        <f t="shared" si="472"/>
        <v>0</v>
      </c>
      <c r="CB483" s="149">
        <f t="shared" si="473"/>
        <v>1</v>
      </c>
      <c r="CC483" s="149">
        <f t="shared" si="474"/>
        <v>0</v>
      </c>
      <c r="CD483" s="149">
        <f t="shared" si="475"/>
        <v>1</v>
      </c>
      <c r="CE483" s="149">
        <f t="shared" si="476"/>
        <v>0</v>
      </c>
      <c r="CF483" s="149">
        <f t="shared" si="477"/>
        <v>0</v>
      </c>
      <c r="CG483" s="149">
        <f t="shared" si="478"/>
        <v>0</v>
      </c>
      <c r="CH483" s="149">
        <f t="shared" si="479"/>
        <v>0</v>
      </c>
      <c r="CI483" s="149">
        <f t="shared" si="480"/>
        <v>1</v>
      </c>
      <c r="CJ483" s="149">
        <f t="shared" si="481"/>
        <v>1</v>
      </c>
      <c r="CK483" s="149">
        <f t="shared" si="482"/>
        <v>1</v>
      </c>
      <c r="CL483" s="149">
        <f t="shared" si="483"/>
        <v>1</v>
      </c>
      <c r="CM483" s="149">
        <f t="shared" si="484"/>
        <v>1</v>
      </c>
      <c r="CN483" s="149">
        <f t="shared" si="485"/>
        <v>1</v>
      </c>
      <c r="CO483" s="149">
        <f t="shared" si="486"/>
        <v>1</v>
      </c>
      <c r="CP483" s="149">
        <f t="shared" si="487"/>
        <v>1</v>
      </c>
      <c r="CQ483" s="149">
        <f t="shared" si="488"/>
        <v>1</v>
      </c>
      <c r="CR483" s="149">
        <f t="shared" si="489"/>
        <v>1</v>
      </c>
      <c r="CS483" s="149">
        <f t="shared" si="490"/>
        <v>1</v>
      </c>
      <c r="CT483" s="149">
        <f t="shared" si="491"/>
        <v>1</v>
      </c>
      <c r="CU483" s="149">
        <f t="shared" si="492"/>
        <v>1</v>
      </c>
      <c r="CV483" s="149">
        <f t="shared" si="493"/>
        <v>1</v>
      </c>
      <c r="CW483" s="149">
        <f t="shared" si="494"/>
        <v>1</v>
      </c>
      <c r="CX483" s="149">
        <f t="shared" si="495"/>
        <v>1</v>
      </c>
      <c r="CY483" s="149">
        <f t="shared" si="496"/>
        <v>1</v>
      </c>
      <c r="CZ483" s="149">
        <f t="shared" si="497"/>
        <v>1</v>
      </c>
      <c r="DA483" s="149">
        <f t="shared" si="498"/>
        <v>1</v>
      </c>
      <c r="DB483" s="149">
        <f t="shared" si="499"/>
        <v>1</v>
      </c>
      <c r="DG483" s="125" t="str">
        <f t="shared" si="296"/>
        <v/>
      </c>
      <c r="DH483" s="125" t="str">
        <f t="shared" si="510"/>
        <v/>
      </c>
      <c r="DI483" s="125" t="str">
        <f t="shared" si="510"/>
        <v/>
      </c>
      <c r="DJ483" s="125" t="str">
        <f t="shared" si="510"/>
        <v/>
      </c>
      <c r="DK483" s="125" t="str">
        <f t="shared" si="510"/>
        <v/>
      </c>
      <c r="DL483" s="125" t="str">
        <f t="shared" si="510"/>
        <v/>
      </c>
      <c r="DM483" s="125" t="str">
        <f t="shared" si="510"/>
        <v/>
      </c>
      <c r="DN483" s="125" t="str">
        <f t="shared" si="510"/>
        <v/>
      </c>
      <c r="DO483" s="125" t="str">
        <f t="shared" si="510"/>
        <v/>
      </c>
      <c r="DP483" s="125" t="str">
        <f t="shared" si="510"/>
        <v/>
      </c>
      <c r="DS483" s="137"/>
      <c r="DT483" s="137"/>
      <c r="DU483" s="137"/>
      <c r="DV483" s="137" t="b">
        <f t="shared" si="500"/>
        <v>0</v>
      </c>
      <c r="DW483" s="137" t="b">
        <f t="shared" si="501"/>
        <v>0</v>
      </c>
      <c r="DX483" s="137" t="b">
        <f t="shared" si="502"/>
        <v>1</v>
      </c>
      <c r="EB483" s="131">
        <f t="shared" si="503"/>
        <v>1</v>
      </c>
      <c r="EC483" s="137" t="b">
        <f t="shared" si="504"/>
        <v>0</v>
      </c>
      <c r="ED483" s="137" t="b">
        <f t="shared" si="505"/>
        <v>0</v>
      </c>
      <c r="EE483" s="137" t="b">
        <f t="shared" si="506"/>
        <v>1</v>
      </c>
      <c r="EF483" s="137"/>
      <c r="EG483" s="137"/>
      <c r="EH483" s="137"/>
      <c r="EI483" s="137"/>
      <c r="EJ483" s="137">
        <f t="shared" si="507"/>
        <v>1</v>
      </c>
      <c r="EK483" s="125" t="str">
        <f t="shared" si="508"/>
        <v/>
      </c>
      <c r="EL483" s="125" t="str">
        <f t="shared" si="509"/>
        <v/>
      </c>
    </row>
    <row r="484" spans="2:142" ht="15.75" x14ac:dyDescent="0.2">
      <c r="B484" s="160" t="str">
        <f t="shared" si="459"/>
        <v/>
      </c>
      <c r="C484" s="205"/>
      <c r="D484" s="205"/>
      <c r="E484" s="205"/>
      <c r="F484" s="118" t="str">
        <f>IF(OR(J484="",H484=""),"",VLOOKUP(J484,'הזנה לסיווג רשויות'!$B$2:$D$301,2,0))</f>
        <v/>
      </c>
      <c r="G484" s="118" t="str">
        <f>IF(OR(J484="",H484=""),"",VLOOKUP(J484,'הזנה לסיווג רשויות'!$B$2:$D$301,3,0))</f>
        <v/>
      </c>
      <c r="H484" s="201"/>
      <c r="I484" s="201"/>
      <c r="J484" s="205"/>
      <c r="K484" s="161"/>
      <c r="L484" s="161"/>
      <c r="M484" s="161"/>
      <c r="N484" s="161"/>
      <c r="O484" s="161"/>
      <c r="P484" s="161"/>
      <c r="Q484" s="161"/>
      <c r="R484" s="201"/>
      <c r="S484" s="201"/>
      <c r="T484" s="160" t="str">
        <f>IF(G484="","",IFERROR(IF(S484/R484&gt;'פרמטרים לקריטריונים'!$C$20,1,0),0))</f>
        <v/>
      </c>
      <c r="U484" s="201"/>
      <c r="V484" s="160" t="str">
        <f>IF(G484="","",IFERROR(IF(U484/R484&gt;'פרמטרים לקריטריונים'!$C$21,1,IF(AND(I484=$BW$5,U484/R484&gt;'פרמטרים לקריטריונים'!$C$22),1,0)),0))</f>
        <v/>
      </c>
      <c r="W484" s="161"/>
      <c r="X484" s="161"/>
      <c r="Y484" s="201"/>
      <c r="Z484" s="201"/>
      <c r="AA484" s="161" t="str">
        <f t="shared" si="511"/>
        <v/>
      </c>
      <c r="AB484" s="161"/>
      <c r="AC484" s="161"/>
      <c r="AD484" s="161"/>
      <c r="AE484" s="161"/>
      <c r="AF484" s="161"/>
      <c r="AG484" s="161"/>
      <c r="AH484" s="161"/>
      <c r="AI484" s="161"/>
      <c r="AJ484" s="161"/>
      <c r="AK484" s="161"/>
      <c r="AL484" s="161"/>
      <c r="AM484" s="161"/>
      <c r="AN484" s="161"/>
      <c r="AO484" s="161"/>
      <c r="AP484" s="161"/>
      <c r="AQ484" s="161"/>
      <c r="AR484" s="161"/>
      <c r="AS484" s="161"/>
      <c r="AT484" s="161"/>
      <c r="AU484" s="161"/>
      <c r="AV484" s="161"/>
      <c r="AW484" s="160"/>
      <c r="AX484" s="161"/>
      <c r="AY484" s="161"/>
      <c r="AZ484" s="161"/>
      <c r="BA484" s="161"/>
      <c r="BB484" s="161"/>
      <c r="BC484" s="161"/>
      <c r="BD484" s="161"/>
      <c r="BE484" s="161"/>
      <c r="BF484" s="160" t="str">
        <f t="shared" si="460"/>
        <v/>
      </c>
      <c r="BG484" s="160"/>
      <c r="BH484" s="160"/>
      <c r="BI484" s="160"/>
      <c r="BJ484" s="160"/>
      <c r="BK484" s="160"/>
      <c r="BL484" s="162" t="str">
        <f t="shared" si="461"/>
        <v/>
      </c>
      <c r="BM484" s="257"/>
      <c r="BN484" s="163"/>
      <c r="BO484" s="211" t="str">
        <f t="shared" si="462"/>
        <v/>
      </c>
      <c r="BP484" s="125">
        <f t="shared" si="463"/>
        <v>0</v>
      </c>
      <c r="BQ484" s="164">
        <v>0</v>
      </c>
      <c r="BR484" s="164">
        <v>1</v>
      </c>
      <c r="BS484" s="149">
        <f t="shared" si="464"/>
        <v>0</v>
      </c>
      <c r="BT484" s="149">
        <f t="shared" si="465"/>
        <v>0</v>
      </c>
      <c r="BU484" s="149">
        <f t="shared" si="466"/>
        <v>0</v>
      </c>
      <c r="BV484" s="149">
        <f t="shared" si="467"/>
        <v>0</v>
      </c>
      <c r="BW484" s="149">
        <f t="shared" si="468"/>
        <v>0</v>
      </c>
      <c r="BX484" s="149">
        <f t="shared" si="469"/>
        <v>0</v>
      </c>
      <c r="BY484" s="149">
        <f t="shared" si="470"/>
        <v>0</v>
      </c>
      <c r="BZ484" s="149">
        <f t="shared" si="471"/>
        <v>0</v>
      </c>
      <c r="CA484" s="149">
        <f t="shared" si="472"/>
        <v>0</v>
      </c>
      <c r="CB484" s="149">
        <f t="shared" si="473"/>
        <v>1</v>
      </c>
      <c r="CC484" s="149">
        <f t="shared" si="474"/>
        <v>0</v>
      </c>
      <c r="CD484" s="149">
        <f t="shared" si="475"/>
        <v>1</v>
      </c>
      <c r="CE484" s="149">
        <f t="shared" si="476"/>
        <v>0</v>
      </c>
      <c r="CF484" s="149">
        <f t="shared" si="477"/>
        <v>0</v>
      </c>
      <c r="CG484" s="149">
        <f t="shared" si="478"/>
        <v>0</v>
      </c>
      <c r="CH484" s="149">
        <f t="shared" si="479"/>
        <v>0</v>
      </c>
      <c r="CI484" s="149">
        <f t="shared" si="480"/>
        <v>1</v>
      </c>
      <c r="CJ484" s="149">
        <f t="shared" si="481"/>
        <v>1</v>
      </c>
      <c r="CK484" s="149">
        <f t="shared" si="482"/>
        <v>1</v>
      </c>
      <c r="CL484" s="149">
        <f t="shared" si="483"/>
        <v>1</v>
      </c>
      <c r="CM484" s="149">
        <f t="shared" si="484"/>
        <v>1</v>
      </c>
      <c r="CN484" s="149">
        <f t="shared" si="485"/>
        <v>1</v>
      </c>
      <c r="CO484" s="149">
        <f t="shared" si="486"/>
        <v>1</v>
      </c>
      <c r="CP484" s="149">
        <f t="shared" si="487"/>
        <v>1</v>
      </c>
      <c r="CQ484" s="149">
        <f t="shared" si="488"/>
        <v>1</v>
      </c>
      <c r="CR484" s="149">
        <f t="shared" si="489"/>
        <v>1</v>
      </c>
      <c r="CS484" s="149">
        <f t="shared" si="490"/>
        <v>1</v>
      </c>
      <c r="CT484" s="149">
        <f t="shared" si="491"/>
        <v>1</v>
      </c>
      <c r="CU484" s="149">
        <f t="shared" si="492"/>
        <v>1</v>
      </c>
      <c r="CV484" s="149">
        <f t="shared" si="493"/>
        <v>1</v>
      </c>
      <c r="CW484" s="149">
        <f t="shared" si="494"/>
        <v>1</v>
      </c>
      <c r="CX484" s="149">
        <f t="shared" si="495"/>
        <v>1</v>
      </c>
      <c r="CY484" s="149">
        <f t="shared" si="496"/>
        <v>1</v>
      </c>
      <c r="CZ484" s="149">
        <f t="shared" si="497"/>
        <v>1</v>
      </c>
      <c r="DA484" s="149">
        <f t="shared" si="498"/>
        <v>1</v>
      </c>
      <c r="DB484" s="149">
        <f t="shared" si="499"/>
        <v>1</v>
      </c>
      <c r="DG484" s="125" t="str">
        <f t="shared" si="296"/>
        <v/>
      </c>
      <c r="DH484" s="125" t="str">
        <f t="shared" si="510"/>
        <v/>
      </c>
      <c r="DI484" s="125" t="str">
        <f t="shared" si="510"/>
        <v/>
      </c>
      <c r="DJ484" s="125" t="str">
        <f t="shared" si="510"/>
        <v/>
      </c>
      <c r="DK484" s="125" t="str">
        <f t="shared" si="510"/>
        <v/>
      </c>
      <c r="DL484" s="125" t="str">
        <f t="shared" si="510"/>
        <v/>
      </c>
      <c r="DM484" s="125" t="str">
        <f t="shared" si="510"/>
        <v/>
      </c>
      <c r="DN484" s="125" t="str">
        <f t="shared" si="510"/>
        <v/>
      </c>
      <c r="DO484" s="125" t="str">
        <f t="shared" si="510"/>
        <v/>
      </c>
      <c r="DP484" s="125" t="str">
        <f t="shared" si="510"/>
        <v/>
      </c>
      <c r="DS484" s="137"/>
      <c r="DT484" s="137"/>
      <c r="DU484" s="137"/>
      <c r="DV484" s="137" t="b">
        <f t="shared" si="500"/>
        <v>0</v>
      </c>
      <c r="DW484" s="137" t="b">
        <f t="shared" si="501"/>
        <v>0</v>
      </c>
      <c r="DX484" s="137" t="b">
        <f t="shared" si="502"/>
        <v>1</v>
      </c>
      <c r="EB484" s="131">
        <f t="shared" si="503"/>
        <v>1</v>
      </c>
      <c r="EC484" s="137" t="b">
        <f t="shared" si="504"/>
        <v>0</v>
      </c>
      <c r="ED484" s="137" t="b">
        <f t="shared" si="505"/>
        <v>0</v>
      </c>
      <c r="EE484" s="137" t="b">
        <f t="shared" si="506"/>
        <v>1</v>
      </c>
      <c r="EF484" s="137"/>
      <c r="EG484" s="137"/>
      <c r="EH484" s="137"/>
      <c r="EI484" s="137"/>
      <c r="EJ484" s="137">
        <f t="shared" si="507"/>
        <v>1</v>
      </c>
      <c r="EK484" s="125" t="str">
        <f t="shared" si="508"/>
        <v/>
      </c>
      <c r="EL484" s="125" t="str">
        <f t="shared" si="509"/>
        <v/>
      </c>
    </row>
    <row r="485" spans="2:142" ht="15.75" x14ac:dyDescent="0.2">
      <c r="B485" s="160" t="str">
        <f t="shared" si="459"/>
        <v/>
      </c>
      <c r="C485" s="205"/>
      <c r="D485" s="205"/>
      <c r="E485" s="205"/>
      <c r="F485" s="118" t="str">
        <f>IF(OR(J485="",H485=""),"",VLOOKUP(J485,'הזנה לסיווג רשויות'!$B$2:$D$301,2,0))</f>
        <v/>
      </c>
      <c r="G485" s="118" t="str">
        <f>IF(OR(J485="",H485=""),"",VLOOKUP(J485,'הזנה לסיווג רשויות'!$B$2:$D$301,3,0))</f>
        <v/>
      </c>
      <c r="H485" s="201"/>
      <c r="I485" s="201"/>
      <c r="J485" s="205"/>
      <c r="K485" s="161"/>
      <c r="L485" s="161"/>
      <c r="M485" s="161"/>
      <c r="N485" s="161"/>
      <c r="O485" s="161"/>
      <c r="P485" s="161"/>
      <c r="Q485" s="161"/>
      <c r="R485" s="201"/>
      <c r="S485" s="201"/>
      <c r="T485" s="160" t="str">
        <f>IF(G485="","",IFERROR(IF(S485/R485&gt;'פרמטרים לקריטריונים'!$C$20,1,0),0))</f>
        <v/>
      </c>
      <c r="U485" s="201"/>
      <c r="V485" s="160" t="str">
        <f>IF(G485="","",IFERROR(IF(U485/R485&gt;'פרמטרים לקריטריונים'!$C$21,1,IF(AND(I485=$BW$5,U485/R485&gt;'פרמטרים לקריטריונים'!$C$22),1,0)),0))</f>
        <v/>
      </c>
      <c r="W485" s="161"/>
      <c r="X485" s="161"/>
      <c r="Y485" s="201"/>
      <c r="Z485" s="201"/>
      <c r="AA485" s="161" t="str">
        <f t="shared" si="511"/>
        <v/>
      </c>
      <c r="AB485" s="161"/>
      <c r="AC485" s="161"/>
      <c r="AD485" s="161"/>
      <c r="AE485" s="161"/>
      <c r="AF485" s="161"/>
      <c r="AG485" s="161"/>
      <c r="AH485" s="161"/>
      <c r="AI485" s="161"/>
      <c r="AJ485" s="161"/>
      <c r="AK485" s="161"/>
      <c r="AL485" s="161"/>
      <c r="AM485" s="161"/>
      <c r="AN485" s="161"/>
      <c r="AO485" s="161"/>
      <c r="AP485" s="161"/>
      <c r="AQ485" s="161"/>
      <c r="AR485" s="161"/>
      <c r="AS485" s="161"/>
      <c r="AT485" s="161"/>
      <c r="AU485" s="161"/>
      <c r="AV485" s="161"/>
      <c r="AW485" s="160"/>
      <c r="AX485" s="161"/>
      <c r="AY485" s="161"/>
      <c r="AZ485" s="161"/>
      <c r="BA485" s="161"/>
      <c r="BB485" s="161"/>
      <c r="BC485" s="161"/>
      <c r="BD485" s="161"/>
      <c r="BE485" s="161"/>
      <c r="BF485" s="160" t="str">
        <f t="shared" si="460"/>
        <v/>
      </c>
      <c r="BG485" s="160"/>
      <c r="BH485" s="160"/>
      <c r="BI485" s="160"/>
      <c r="BJ485" s="160"/>
      <c r="BK485" s="160"/>
      <c r="BL485" s="162" t="str">
        <f t="shared" si="461"/>
        <v/>
      </c>
      <c r="BM485" s="257"/>
      <c r="BN485" s="163"/>
      <c r="BO485" s="211" t="str">
        <f t="shared" si="462"/>
        <v/>
      </c>
      <c r="BP485" s="125">
        <f t="shared" si="463"/>
        <v>0</v>
      </c>
      <c r="BQ485" s="164">
        <v>0</v>
      </c>
      <c r="BR485" s="164">
        <v>1</v>
      </c>
      <c r="BS485" s="149">
        <f t="shared" si="464"/>
        <v>0</v>
      </c>
      <c r="BT485" s="149">
        <f t="shared" si="465"/>
        <v>0</v>
      </c>
      <c r="BU485" s="149">
        <f t="shared" si="466"/>
        <v>0</v>
      </c>
      <c r="BV485" s="149">
        <f t="shared" si="467"/>
        <v>0</v>
      </c>
      <c r="BW485" s="149">
        <f t="shared" si="468"/>
        <v>0</v>
      </c>
      <c r="BX485" s="149">
        <f t="shared" si="469"/>
        <v>0</v>
      </c>
      <c r="BY485" s="149">
        <f t="shared" si="470"/>
        <v>0</v>
      </c>
      <c r="BZ485" s="149">
        <f t="shared" si="471"/>
        <v>0</v>
      </c>
      <c r="CA485" s="149">
        <f t="shared" si="472"/>
        <v>0</v>
      </c>
      <c r="CB485" s="149">
        <f t="shared" si="473"/>
        <v>1</v>
      </c>
      <c r="CC485" s="149">
        <f t="shared" si="474"/>
        <v>0</v>
      </c>
      <c r="CD485" s="149">
        <f t="shared" si="475"/>
        <v>1</v>
      </c>
      <c r="CE485" s="149">
        <f t="shared" si="476"/>
        <v>0</v>
      </c>
      <c r="CF485" s="149">
        <f t="shared" si="477"/>
        <v>0</v>
      </c>
      <c r="CG485" s="149">
        <f t="shared" si="478"/>
        <v>0</v>
      </c>
      <c r="CH485" s="149">
        <f t="shared" si="479"/>
        <v>0</v>
      </c>
      <c r="CI485" s="149">
        <f t="shared" si="480"/>
        <v>1</v>
      </c>
      <c r="CJ485" s="149">
        <f t="shared" si="481"/>
        <v>1</v>
      </c>
      <c r="CK485" s="149">
        <f t="shared" si="482"/>
        <v>1</v>
      </c>
      <c r="CL485" s="149">
        <f t="shared" si="483"/>
        <v>1</v>
      </c>
      <c r="CM485" s="149">
        <f t="shared" si="484"/>
        <v>1</v>
      </c>
      <c r="CN485" s="149">
        <f t="shared" si="485"/>
        <v>1</v>
      </c>
      <c r="CO485" s="149">
        <f t="shared" si="486"/>
        <v>1</v>
      </c>
      <c r="CP485" s="149">
        <f t="shared" si="487"/>
        <v>1</v>
      </c>
      <c r="CQ485" s="149">
        <f t="shared" si="488"/>
        <v>1</v>
      </c>
      <c r="CR485" s="149">
        <f t="shared" si="489"/>
        <v>1</v>
      </c>
      <c r="CS485" s="149">
        <f t="shared" si="490"/>
        <v>1</v>
      </c>
      <c r="CT485" s="149">
        <f t="shared" si="491"/>
        <v>1</v>
      </c>
      <c r="CU485" s="149">
        <f t="shared" si="492"/>
        <v>1</v>
      </c>
      <c r="CV485" s="149">
        <f t="shared" si="493"/>
        <v>1</v>
      </c>
      <c r="CW485" s="149">
        <f t="shared" si="494"/>
        <v>1</v>
      </c>
      <c r="CX485" s="149">
        <f t="shared" si="495"/>
        <v>1</v>
      </c>
      <c r="CY485" s="149">
        <f t="shared" si="496"/>
        <v>1</v>
      </c>
      <c r="CZ485" s="149">
        <f t="shared" si="497"/>
        <v>1</v>
      </c>
      <c r="DA485" s="149">
        <f t="shared" si="498"/>
        <v>1</v>
      </c>
      <c r="DB485" s="149">
        <f t="shared" si="499"/>
        <v>1</v>
      </c>
      <c r="DG485" s="125" t="str">
        <f t="shared" si="296"/>
        <v/>
      </c>
      <c r="DH485" s="125" t="str">
        <f t="shared" si="510"/>
        <v/>
      </c>
      <c r="DI485" s="125" t="str">
        <f t="shared" si="510"/>
        <v/>
      </c>
      <c r="DJ485" s="125" t="str">
        <f t="shared" si="510"/>
        <v/>
      </c>
      <c r="DK485" s="125" t="str">
        <f t="shared" si="510"/>
        <v/>
      </c>
      <c r="DL485" s="125" t="str">
        <f t="shared" si="510"/>
        <v/>
      </c>
      <c r="DM485" s="125" t="str">
        <f t="shared" si="510"/>
        <v/>
      </c>
      <c r="DN485" s="125" t="str">
        <f t="shared" si="510"/>
        <v/>
      </c>
      <c r="DO485" s="125" t="str">
        <f t="shared" si="510"/>
        <v/>
      </c>
      <c r="DP485" s="125" t="str">
        <f t="shared" si="510"/>
        <v/>
      </c>
      <c r="DS485" s="137"/>
      <c r="DT485" s="137"/>
      <c r="DU485" s="137"/>
      <c r="DV485" s="137" t="b">
        <f t="shared" si="500"/>
        <v>0</v>
      </c>
      <c r="DW485" s="137" t="b">
        <f t="shared" si="501"/>
        <v>0</v>
      </c>
      <c r="DX485" s="137" t="b">
        <f t="shared" si="502"/>
        <v>1</v>
      </c>
      <c r="EB485" s="131">
        <f t="shared" si="503"/>
        <v>1</v>
      </c>
      <c r="EC485" s="137" t="b">
        <f t="shared" si="504"/>
        <v>0</v>
      </c>
      <c r="ED485" s="137" t="b">
        <f t="shared" si="505"/>
        <v>0</v>
      </c>
      <c r="EE485" s="137" t="b">
        <f t="shared" si="506"/>
        <v>1</v>
      </c>
      <c r="EF485" s="137"/>
      <c r="EG485" s="137"/>
      <c r="EH485" s="137"/>
      <c r="EI485" s="137"/>
      <c r="EJ485" s="137">
        <f t="shared" si="507"/>
        <v>1</v>
      </c>
      <c r="EK485" s="125" t="str">
        <f t="shared" si="508"/>
        <v/>
      </c>
      <c r="EL485" s="125" t="str">
        <f t="shared" si="509"/>
        <v/>
      </c>
    </row>
    <row r="486" spans="2:142" ht="15.75" x14ac:dyDescent="0.2">
      <c r="B486" s="160" t="str">
        <f t="shared" si="459"/>
        <v/>
      </c>
      <c r="C486" s="205"/>
      <c r="D486" s="205"/>
      <c r="E486" s="205"/>
      <c r="F486" s="118" t="str">
        <f>IF(OR(J486="",H486=""),"",VLOOKUP(J486,'הזנה לסיווג רשויות'!$B$2:$D$301,2,0))</f>
        <v/>
      </c>
      <c r="G486" s="118" t="str">
        <f>IF(OR(J486="",H486=""),"",VLOOKUP(J486,'הזנה לסיווג רשויות'!$B$2:$D$301,3,0))</f>
        <v/>
      </c>
      <c r="H486" s="201"/>
      <c r="I486" s="201"/>
      <c r="J486" s="205"/>
      <c r="K486" s="161"/>
      <c r="L486" s="161"/>
      <c r="M486" s="161"/>
      <c r="N486" s="161"/>
      <c r="O486" s="161"/>
      <c r="P486" s="161"/>
      <c r="Q486" s="161"/>
      <c r="R486" s="201"/>
      <c r="S486" s="201"/>
      <c r="T486" s="160" t="str">
        <f>IF(G486="","",IFERROR(IF(S486/R486&gt;'פרמטרים לקריטריונים'!$C$20,1,0),0))</f>
        <v/>
      </c>
      <c r="U486" s="201"/>
      <c r="V486" s="160" t="str">
        <f>IF(G486="","",IFERROR(IF(U486/R486&gt;'פרמטרים לקריטריונים'!$C$21,1,IF(AND(I486=$BW$5,U486/R486&gt;'פרמטרים לקריטריונים'!$C$22),1,0)),0))</f>
        <v/>
      </c>
      <c r="W486" s="161"/>
      <c r="X486" s="161"/>
      <c r="Y486" s="201"/>
      <c r="Z486" s="201"/>
      <c r="AA486" s="161" t="str">
        <f t="shared" si="511"/>
        <v/>
      </c>
      <c r="AB486" s="161"/>
      <c r="AC486" s="161"/>
      <c r="AD486" s="161"/>
      <c r="AE486" s="161"/>
      <c r="AF486" s="161"/>
      <c r="AG486" s="161"/>
      <c r="AH486" s="161"/>
      <c r="AI486" s="161"/>
      <c r="AJ486" s="161"/>
      <c r="AK486" s="161"/>
      <c r="AL486" s="161"/>
      <c r="AM486" s="161"/>
      <c r="AN486" s="161"/>
      <c r="AO486" s="161"/>
      <c r="AP486" s="161"/>
      <c r="AQ486" s="161"/>
      <c r="AR486" s="161"/>
      <c r="AS486" s="161"/>
      <c r="AT486" s="161"/>
      <c r="AU486" s="161"/>
      <c r="AV486" s="161"/>
      <c r="AW486" s="160"/>
      <c r="AX486" s="161"/>
      <c r="AY486" s="161"/>
      <c r="AZ486" s="161"/>
      <c r="BA486" s="161"/>
      <c r="BB486" s="161"/>
      <c r="BC486" s="161"/>
      <c r="BD486" s="161"/>
      <c r="BE486" s="161"/>
      <c r="BF486" s="160" t="str">
        <f t="shared" si="460"/>
        <v/>
      </c>
      <c r="BG486" s="160"/>
      <c r="BH486" s="160"/>
      <c r="BI486" s="160"/>
      <c r="BJ486" s="160"/>
      <c r="BK486" s="160"/>
      <c r="BL486" s="162" t="str">
        <f t="shared" si="461"/>
        <v/>
      </c>
      <c r="BM486" s="257"/>
      <c r="BN486" s="163"/>
      <c r="BO486" s="211" t="str">
        <f t="shared" si="462"/>
        <v/>
      </c>
      <c r="BP486" s="125">
        <f t="shared" si="463"/>
        <v>0</v>
      </c>
      <c r="BQ486" s="164">
        <v>0</v>
      </c>
      <c r="BR486" s="164">
        <v>1</v>
      </c>
      <c r="BS486" s="149">
        <f t="shared" si="464"/>
        <v>0</v>
      </c>
      <c r="BT486" s="149">
        <f t="shared" si="465"/>
        <v>0</v>
      </c>
      <c r="BU486" s="149">
        <f t="shared" si="466"/>
        <v>0</v>
      </c>
      <c r="BV486" s="149">
        <f t="shared" si="467"/>
        <v>0</v>
      </c>
      <c r="BW486" s="149">
        <f t="shared" si="468"/>
        <v>0</v>
      </c>
      <c r="BX486" s="149">
        <f t="shared" si="469"/>
        <v>0</v>
      </c>
      <c r="BY486" s="149">
        <f t="shared" si="470"/>
        <v>0</v>
      </c>
      <c r="BZ486" s="149">
        <f t="shared" si="471"/>
        <v>0</v>
      </c>
      <c r="CA486" s="149">
        <f t="shared" si="472"/>
        <v>0</v>
      </c>
      <c r="CB486" s="149">
        <f t="shared" si="473"/>
        <v>1</v>
      </c>
      <c r="CC486" s="149">
        <f t="shared" si="474"/>
        <v>0</v>
      </c>
      <c r="CD486" s="149">
        <f t="shared" si="475"/>
        <v>1</v>
      </c>
      <c r="CE486" s="149">
        <f t="shared" si="476"/>
        <v>0</v>
      </c>
      <c r="CF486" s="149">
        <f t="shared" si="477"/>
        <v>0</v>
      </c>
      <c r="CG486" s="149">
        <f t="shared" si="478"/>
        <v>0</v>
      </c>
      <c r="CH486" s="149">
        <f t="shared" si="479"/>
        <v>0</v>
      </c>
      <c r="CI486" s="149">
        <f t="shared" si="480"/>
        <v>1</v>
      </c>
      <c r="CJ486" s="149">
        <f t="shared" si="481"/>
        <v>1</v>
      </c>
      <c r="CK486" s="149">
        <f t="shared" si="482"/>
        <v>1</v>
      </c>
      <c r="CL486" s="149">
        <f t="shared" si="483"/>
        <v>1</v>
      </c>
      <c r="CM486" s="149">
        <f t="shared" si="484"/>
        <v>1</v>
      </c>
      <c r="CN486" s="149">
        <f t="shared" si="485"/>
        <v>1</v>
      </c>
      <c r="CO486" s="149">
        <f t="shared" si="486"/>
        <v>1</v>
      </c>
      <c r="CP486" s="149">
        <f t="shared" si="487"/>
        <v>1</v>
      </c>
      <c r="CQ486" s="149">
        <f t="shared" si="488"/>
        <v>1</v>
      </c>
      <c r="CR486" s="149">
        <f t="shared" si="489"/>
        <v>1</v>
      </c>
      <c r="CS486" s="149">
        <f t="shared" si="490"/>
        <v>1</v>
      </c>
      <c r="CT486" s="149">
        <f t="shared" si="491"/>
        <v>1</v>
      </c>
      <c r="CU486" s="149">
        <f t="shared" si="492"/>
        <v>1</v>
      </c>
      <c r="CV486" s="149">
        <f t="shared" si="493"/>
        <v>1</v>
      </c>
      <c r="CW486" s="149">
        <f t="shared" si="494"/>
        <v>1</v>
      </c>
      <c r="CX486" s="149">
        <f t="shared" si="495"/>
        <v>1</v>
      </c>
      <c r="CY486" s="149">
        <f t="shared" si="496"/>
        <v>1</v>
      </c>
      <c r="CZ486" s="149">
        <f t="shared" si="497"/>
        <v>1</v>
      </c>
      <c r="DA486" s="149">
        <f t="shared" si="498"/>
        <v>1</v>
      </c>
      <c r="DB486" s="149">
        <f t="shared" si="499"/>
        <v>1</v>
      </c>
      <c r="DG486" s="125" t="str">
        <f t="shared" si="296"/>
        <v/>
      </c>
      <c r="DH486" s="125" t="str">
        <f t="shared" si="510"/>
        <v/>
      </c>
      <c r="DI486" s="125" t="str">
        <f t="shared" si="510"/>
        <v/>
      </c>
      <c r="DJ486" s="125" t="str">
        <f t="shared" si="510"/>
        <v/>
      </c>
      <c r="DK486" s="125" t="str">
        <f t="shared" si="510"/>
        <v/>
      </c>
      <c r="DL486" s="125" t="str">
        <f t="shared" si="510"/>
        <v/>
      </c>
      <c r="DM486" s="125" t="str">
        <f t="shared" si="510"/>
        <v/>
      </c>
      <c r="DN486" s="125" t="str">
        <f t="shared" si="510"/>
        <v/>
      </c>
      <c r="DO486" s="125" t="str">
        <f t="shared" si="510"/>
        <v/>
      </c>
      <c r="DP486" s="125" t="str">
        <f t="shared" si="510"/>
        <v/>
      </c>
      <c r="DS486" s="137"/>
      <c r="DT486" s="137"/>
      <c r="DU486" s="137"/>
      <c r="DV486" s="137" t="b">
        <f t="shared" si="500"/>
        <v>0</v>
      </c>
      <c r="DW486" s="137" t="b">
        <f t="shared" si="501"/>
        <v>0</v>
      </c>
      <c r="DX486" s="137" t="b">
        <f t="shared" si="502"/>
        <v>1</v>
      </c>
      <c r="EB486" s="131">
        <f t="shared" si="503"/>
        <v>1</v>
      </c>
      <c r="EC486" s="137" t="b">
        <f t="shared" si="504"/>
        <v>0</v>
      </c>
      <c r="ED486" s="137" t="b">
        <f t="shared" si="505"/>
        <v>0</v>
      </c>
      <c r="EE486" s="137" t="b">
        <f t="shared" si="506"/>
        <v>1</v>
      </c>
      <c r="EF486" s="137"/>
      <c r="EG486" s="137"/>
      <c r="EH486" s="137"/>
      <c r="EI486" s="137"/>
      <c r="EJ486" s="137">
        <f t="shared" si="507"/>
        <v>1</v>
      </c>
      <c r="EK486" s="125" t="str">
        <f t="shared" si="508"/>
        <v/>
      </c>
      <c r="EL486" s="125" t="str">
        <f t="shared" si="509"/>
        <v/>
      </c>
    </row>
    <row r="487" spans="2:142" ht="15.75" x14ac:dyDescent="0.2">
      <c r="B487" s="160" t="str">
        <f t="shared" si="459"/>
        <v/>
      </c>
      <c r="C487" s="205"/>
      <c r="D487" s="205"/>
      <c r="E487" s="205"/>
      <c r="F487" s="118" t="str">
        <f>IF(OR(J487="",H487=""),"",VLOOKUP(J487,'הזנה לסיווג רשויות'!$B$2:$D$301,2,0))</f>
        <v/>
      </c>
      <c r="G487" s="118" t="str">
        <f>IF(OR(J487="",H487=""),"",VLOOKUP(J487,'הזנה לסיווג רשויות'!$B$2:$D$301,3,0))</f>
        <v/>
      </c>
      <c r="H487" s="201"/>
      <c r="I487" s="201"/>
      <c r="J487" s="205"/>
      <c r="K487" s="161"/>
      <c r="L487" s="161"/>
      <c r="M487" s="161"/>
      <c r="N487" s="161"/>
      <c r="O487" s="161"/>
      <c r="P487" s="161"/>
      <c r="Q487" s="161"/>
      <c r="R487" s="201"/>
      <c r="S487" s="201"/>
      <c r="T487" s="160" t="str">
        <f>IF(G487="","",IFERROR(IF(S487/R487&gt;'פרמטרים לקריטריונים'!$C$20,1,0),0))</f>
        <v/>
      </c>
      <c r="U487" s="201"/>
      <c r="V487" s="160" t="str">
        <f>IF(G487="","",IFERROR(IF(U487/R487&gt;'פרמטרים לקריטריונים'!$C$21,1,IF(AND(I487=$BW$5,U487/R487&gt;'פרמטרים לקריטריונים'!$C$22),1,0)),0))</f>
        <v/>
      </c>
      <c r="W487" s="161"/>
      <c r="X487" s="161"/>
      <c r="Y487" s="201"/>
      <c r="Z487" s="201"/>
      <c r="AA487" s="161" t="str">
        <f t="shared" si="511"/>
        <v/>
      </c>
      <c r="AB487" s="161"/>
      <c r="AC487" s="161"/>
      <c r="AD487" s="161"/>
      <c r="AE487" s="161"/>
      <c r="AF487" s="161"/>
      <c r="AG487" s="161"/>
      <c r="AH487" s="161"/>
      <c r="AI487" s="161"/>
      <c r="AJ487" s="161"/>
      <c r="AK487" s="161"/>
      <c r="AL487" s="161"/>
      <c r="AM487" s="161"/>
      <c r="AN487" s="161"/>
      <c r="AO487" s="161"/>
      <c r="AP487" s="161"/>
      <c r="AQ487" s="161"/>
      <c r="AR487" s="161"/>
      <c r="AS487" s="161"/>
      <c r="AT487" s="161"/>
      <c r="AU487" s="161"/>
      <c r="AV487" s="161"/>
      <c r="AW487" s="160"/>
      <c r="AX487" s="161"/>
      <c r="AY487" s="161"/>
      <c r="AZ487" s="161"/>
      <c r="BA487" s="161"/>
      <c r="BB487" s="161"/>
      <c r="BC487" s="161"/>
      <c r="BD487" s="161"/>
      <c r="BE487" s="161"/>
      <c r="BF487" s="160" t="str">
        <f t="shared" si="460"/>
        <v/>
      </c>
      <c r="BG487" s="160"/>
      <c r="BH487" s="160"/>
      <c r="BI487" s="160"/>
      <c r="BJ487" s="160"/>
      <c r="BK487" s="160"/>
      <c r="BL487" s="162" t="str">
        <f t="shared" si="461"/>
        <v/>
      </c>
      <c r="BM487" s="257"/>
      <c r="BN487" s="163"/>
      <c r="BO487" s="211" t="str">
        <f t="shared" si="462"/>
        <v/>
      </c>
      <c r="BP487" s="125">
        <f t="shared" si="463"/>
        <v>0</v>
      </c>
      <c r="BQ487" s="164">
        <v>0</v>
      </c>
      <c r="BR487" s="164">
        <v>1</v>
      </c>
      <c r="BS487" s="149">
        <f t="shared" si="464"/>
        <v>0</v>
      </c>
      <c r="BT487" s="149">
        <f t="shared" si="465"/>
        <v>0</v>
      </c>
      <c r="BU487" s="149">
        <f t="shared" si="466"/>
        <v>0</v>
      </c>
      <c r="BV487" s="149">
        <f t="shared" si="467"/>
        <v>0</v>
      </c>
      <c r="BW487" s="149">
        <f t="shared" si="468"/>
        <v>0</v>
      </c>
      <c r="BX487" s="149">
        <f t="shared" si="469"/>
        <v>0</v>
      </c>
      <c r="BY487" s="149">
        <f t="shared" si="470"/>
        <v>0</v>
      </c>
      <c r="BZ487" s="149">
        <f t="shared" si="471"/>
        <v>0</v>
      </c>
      <c r="CA487" s="149">
        <f t="shared" si="472"/>
        <v>0</v>
      </c>
      <c r="CB487" s="149">
        <f t="shared" si="473"/>
        <v>1</v>
      </c>
      <c r="CC487" s="149">
        <f t="shared" si="474"/>
        <v>0</v>
      </c>
      <c r="CD487" s="149">
        <f t="shared" si="475"/>
        <v>1</v>
      </c>
      <c r="CE487" s="149">
        <f t="shared" si="476"/>
        <v>0</v>
      </c>
      <c r="CF487" s="149">
        <f t="shared" si="477"/>
        <v>0</v>
      </c>
      <c r="CG487" s="149">
        <f t="shared" si="478"/>
        <v>0</v>
      </c>
      <c r="CH487" s="149">
        <f t="shared" si="479"/>
        <v>0</v>
      </c>
      <c r="CI487" s="149">
        <f t="shared" si="480"/>
        <v>1</v>
      </c>
      <c r="CJ487" s="149">
        <f t="shared" si="481"/>
        <v>1</v>
      </c>
      <c r="CK487" s="149">
        <f t="shared" si="482"/>
        <v>1</v>
      </c>
      <c r="CL487" s="149">
        <f t="shared" si="483"/>
        <v>1</v>
      </c>
      <c r="CM487" s="149">
        <f t="shared" si="484"/>
        <v>1</v>
      </c>
      <c r="CN487" s="149">
        <f t="shared" si="485"/>
        <v>1</v>
      </c>
      <c r="CO487" s="149">
        <f t="shared" si="486"/>
        <v>1</v>
      </c>
      <c r="CP487" s="149">
        <f t="shared" si="487"/>
        <v>1</v>
      </c>
      <c r="CQ487" s="149">
        <f t="shared" si="488"/>
        <v>1</v>
      </c>
      <c r="CR487" s="149">
        <f t="shared" si="489"/>
        <v>1</v>
      </c>
      <c r="CS487" s="149">
        <f t="shared" si="490"/>
        <v>1</v>
      </c>
      <c r="CT487" s="149">
        <f t="shared" si="491"/>
        <v>1</v>
      </c>
      <c r="CU487" s="149">
        <f t="shared" si="492"/>
        <v>1</v>
      </c>
      <c r="CV487" s="149">
        <f t="shared" si="493"/>
        <v>1</v>
      </c>
      <c r="CW487" s="149">
        <f t="shared" si="494"/>
        <v>1</v>
      </c>
      <c r="CX487" s="149">
        <f t="shared" si="495"/>
        <v>1</v>
      </c>
      <c r="CY487" s="149">
        <f t="shared" si="496"/>
        <v>1</v>
      </c>
      <c r="CZ487" s="149">
        <f t="shared" si="497"/>
        <v>1</v>
      </c>
      <c r="DA487" s="149">
        <f t="shared" si="498"/>
        <v>1</v>
      </c>
      <c r="DB487" s="149">
        <f t="shared" si="499"/>
        <v>1</v>
      </c>
      <c r="DG487" s="125" t="str">
        <f t="shared" si="296"/>
        <v/>
      </c>
      <c r="DH487" s="125" t="str">
        <f t="shared" si="510"/>
        <v/>
      </c>
      <c r="DI487" s="125" t="str">
        <f t="shared" si="510"/>
        <v/>
      </c>
      <c r="DJ487" s="125" t="str">
        <f t="shared" si="510"/>
        <v/>
      </c>
      <c r="DK487" s="125" t="str">
        <f t="shared" si="510"/>
        <v/>
      </c>
      <c r="DL487" s="125" t="str">
        <f t="shared" si="510"/>
        <v/>
      </c>
      <c r="DM487" s="125" t="str">
        <f t="shared" si="510"/>
        <v/>
      </c>
      <c r="DN487" s="125" t="str">
        <f t="shared" si="510"/>
        <v/>
      </c>
      <c r="DO487" s="125" t="str">
        <f t="shared" si="510"/>
        <v/>
      </c>
      <c r="DP487" s="125" t="str">
        <f t="shared" si="510"/>
        <v/>
      </c>
      <c r="DS487" s="137"/>
      <c r="DT487" s="137"/>
      <c r="DU487" s="137"/>
      <c r="DV487" s="137" t="b">
        <f t="shared" si="500"/>
        <v>0</v>
      </c>
      <c r="DW487" s="137" t="b">
        <f t="shared" si="501"/>
        <v>0</v>
      </c>
      <c r="DX487" s="137" t="b">
        <f t="shared" si="502"/>
        <v>1</v>
      </c>
      <c r="EB487" s="131">
        <f t="shared" si="503"/>
        <v>1</v>
      </c>
      <c r="EC487" s="137" t="b">
        <f t="shared" si="504"/>
        <v>0</v>
      </c>
      <c r="ED487" s="137" t="b">
        <f t="shared" si="505"/>
        <v>0</v>
      </c>
      <c r="EE487" s="137" t="b">
        <f t="shared" si="506"/>
        <v>1</v>
      </c>
      <c r="EF487" s="137"/>
      <c r="EG487" s="137"/>
      <c r="EH487" s="137"/>
      <c r="EI487" s="137"/>
      <c r="EJ487" s="137">
        <f t="shared" si="507"/>
        <v>1</v>
      </c>
      <c r="EK487" s="125" t="str">
        <f t="shared" si="508"/>
        <v/>
      </c>
      <c r="EL487" s="125" t="str">
        <f t="shared" si="509"/>
        <v/>
      </c>
    </row>
    <row r="488" spans="2:142" ht="15.75" x14ac:dyDescent="0.2">
      <c r="B488" s="160" t="str">
        <f t="shared" si="459"/>
        <v/>
      </c>
      <c r="C488" s="205"/>
      <c r="D488" s="205"/>
      <c r="E488" s="205"/>
      <c r="F488" s="118" t="str">
        <f>IF(OR(J488="",H488=""),"",VLOOKUP(J488,'הזנה לסיווג רשויות'!$B$2:$D$301,2,0))</f>
        <v/>
      </c>
      <c r="G488" s="118" t="str">
        <f>IF(OR(J488="",H488=""),"",VLOOKUP(J488,'הזנה לסיווג רשויות'!$B$2:$D$301,3,0))</f>
        <v/>
      </c>
      <c r="H488" s="201"/>
      <c r="I488" s="201"/>
      <c r="J488" s="205"/>
      <c r="K488" s="161"/>
      <c r="L488" s="161"/>
      <c r="M488" s="161"/>
      <c r="N488" s="161"/>
      <c r="O488" s="161"/>
      <c r="P488" s="161"/>
      <c r="Q488" s="161"/>
      <c r="R488" s="201"/>
      <c r="S488" s="201"/>
      <c r="T488" s="160" t="str">
        <f>IF(G488="","",IFERROR(IF(S488/R488&gt;'פרמטרים לקריטריונים'!$C$20,1,0),0))</f>
        <v/>
      </c>
      <c r="U488" s="201"/>
      <c r="V488" s="160" t="str">
        <f>IF(G488="","",IFERROR(IF(U488/R488&gt;'פרמטרים לקריטריונים'!$C$21,1,IF(AND(I488=$BW$5,U488/R488&gt;'פרמטרים לקריטריונים'!$C$22),1,0)),0))</f>
        <v/>
      </c>
      <c r="W488" s="161"/>
      <c r="X488" s="161"/>
      <c r="Y488" s="201"/>
      <c r="Z488" s="201"/>
      <c r="AA488" s="161" t="str">
        <f t="shared" si="511"/>
        <v/>
      </c>
      <c r="AB488" s="161"/>
      <c r="AC488" s="161"/>
      <c r="AD488" s="161"/>
      <c r="AE488" s="161"/>
      <c r="AF488" s="161"/>
      <c r="AG488" s="161"/>
      <c r="AH488" s="161"/>
      <c r="AI488" s="161"/>
      <c r="AJ488" s="161"/>
      <c r="AK488" s="161"/>
      <c r="AL488" s="161"/>
      <c r="AM488" s="161"/>
      <c r="AN488" s="161"/>
      <c r="AO488" s="161"/>
      <c r="AP488" s="161"/>
      <c r="AQ488" s="161"/>
      <c r="AR488" s="161"/>
      <c r="AS488" s="161"/>
      <c r="AT488" s="161"/>
      <c r="AU488" s="161"/>
      <c r="AV488" s="161"/>
      <c r="AW488" s="160"/>
      <c r="AX488" s="161"/>
      <c r="AY488" s="161"/>
      <c r="AZ488" s="161"/>
      <c r="BA488" s="161"/>
      <c r="BB488" s="161"/>
      <c r="BC488" s="161"/>
      <c r="BD488" s="161"/>
      <c r="BE488" s="161"/>
      <c r="BF488" s="160" t="str">
        <f t="shared" si="460"/>
        <v/>
      </c>
      <c r="BG488" s="160"/>
      <c r="BH488" s="160"/>
      <c r="BI488" s="160"/>
      <c r="BJ488" s="160"/>
      <c r="BK488" s="160"/>
      <c r="BL488" s="162" t="str">
        <f t="shared" si="461"/>
        <v/>
      </c>
      <c r="BM488" s="257"/>
      <c r="BN488" s="163"/>
      <c r="BO488" s="211" t="str">
        <f t="shared" si="462"/>
        <v/>
      </c>
      <c r="BP488" s="125">
        <f t="shared" si="463"/>
        <v>0</v>
      </c>
      <c r="BQ488" s="164">
        <v>0</v>
      </c>
      <c r="BR488" s="164">
        <v>1</v>
      </c>
      <c r="BS488" s="149">
        <f t="shared" si="464"/>
        <v>0</v>
      </c>
      <c r="BT488" s="149">
        <f t="shared" si="465"/>
        <v>0</v>
      </c>
      <c r="BU488" s="149">
        <f t="shared" si="466"/>
        <v>0</v>
      </c>
      <c r="BV488" s="149">
        <f t="shared" si="467"/>
        <v>0</v>
      </c>
      <c r="BW488" s="149">
        <f t="shared" si="468"/>
        <v>0</v>
      </c>
      <c r="BX488" s="149">
        <f t="shared" si="469"/>
        <v>0</v>
      </c>
      <c r="BY488" s="149">
        <f t="shared" si="470"/>
        <v>0</v>
      </c>
      <c r="BZ488" s="149">
        <f t="shared" si="471"/>
        <v>0</v>
      </c>
      <c r="CA488" s="149">
        <f t="shared" si="472"/>
        <v>0</v>
      </c>
      <c r="CB488" s="149">
        <f t="shared" si="473"/>
        <v>1</v>
      </c>
      <c r="CC488" s="149">
        <f t="shared" si="474"/>
        <v>0</v>
      </c>
      <c r="CD488" s="149">
        <f t="shared" si="475"/>
        <v>1</v>
      </c>
      <c r="CE488" s="149">
        <f t="shared" si="476"/>
        <v>0</v>
      </c>
      <c r="CF488" s="149">
        <f t="shared" si="477"/>
        <v>0</v>
      </c>
      <c r="CG488" s="149">
        <f t="shared" si="478"/>
        <v>0</v>
      </c>
      <c r="CH488" s="149">
        <f t="shared" si="479"/>
        <v>0</v>
      </c>
      <c r="CI488" s="149">
        <f t="shared" si="480"/>
        <v>1</v>
      </c>
      <c r="CJ488" s="149">
        <f t="shared" si="481"/>
        <v>1</v>
      </c>
      <c r="CK488" s="149">
        <f t="shared" si="482"/>
        <v>1</v>
      </c>
      <c r="CL488" s="149">
        <f t="shared" si="483"/>
        <v>1</v>
      </c>
      <c r="CM488" s="149">
        <f t="shared" si="484"/>
        <v>1</v>
      </c>
      <c r="CN488" s="149">
        <f t="shared" si="485"/>
        <v>1</v>
      </c>
      <c r="CO488" s="149">
        <f t="shared" si="486"/>
        <v>1</v>
      </c>
      <c r="CP488" s="149">
        <f t="shared" si="487"/>
        <v>1</v>
      </c>
      <c r="CQ488" s="149">
        <f t="shared" si="488"/>
        <v>1</v>
      </c>
      <c r="CR488" s="149">
        <f t="shared" si="489"/>
        <v>1</v>
      </c>
      <c r="CS488" s="149">
        <f t="shared" si="490"/>
        <v>1</v>
      </c>
      <c r="CT488" s="149">
        <f t="shared" si="491"/>
        <v>1</v>
      </c>
      <c r="CU488" s="149">
        <f t="shared" si="492"/>
        <v>1</v>
      </c>
      <c r="CV488" s="149">
        <f t="shared" si="493"/>
        <v>1</v>
      </c>
      <c r="CW488" s="149">
        <f t="shared" si="494"/>
        <v>1</v>
      </c>
      <c r="CX488" s="149">
        <f t="shared" si="495"/>
        <v>1</v>
      </c>
      <c r="CY488" s="149">
        <f t="shared" si="496"/>
        <v>1</v>
      </c>
      <c r="CZ488" s="149">
        <f t="shared" si="497"/>
        <v>1</v>
      </c>
      <c r="DA488" s="149">
        <f t="shared" si="498"/>
        <v>1</v>
      </c>
      <c r="DB488" s="149">
        <f t="shared" si="499"/>
        <v>1</v>
      </c>
      <c r="DG488" s="125" t="str">
        <f t="shared" si="296"/>
        <v/>
      </c>
      <c r="DH488" s="125" t="str">
        <f t="shared" si="510"/>
        <v/>
      </c>
      <c r="DI488" s="125" t="str">
        <f t="shared" si="510"/>
        <v/>
      </c>
      <c r="DJ488" s="125" t="str">
        <f t="shared" si="510"/>
        <v/>
      </c>
      <c r="DK488" s="125" t="str">
        <f t="shared" si="510"/>
        <v/>
      </c>
      <c r="DL488" s="125" t="str">
        <f t="shared" si="510"/>
        <v/>
      </c>
      <c r="DM488" s="125" t="str">
        <f t="shared" si="510"/>
        <v/>
      </c>
      <c r="DN488" s="125" t="str">
        <f t="shared" si="510"/>
        <v/>
      </c>
      <c r="DO488" s="125" t="str">
        <f t="shared" si="510"/>
        <v/>
      </c>
      <c r="DP488" s="125" t="str">
        <f t="shared" si="510"/>
        <v/>
      </c>
      <c r="DS488" s="137"/>
      <c r="DT488" s="137"/>
      <c r="DU488" s="137"/>
      <c r="DV488" s="137" t="b">
        <f t="shared" si="500"/>
        <v>0</v>
      </c>
      <c r="DW488" s="137" t="b">
        <f t="shared" si="501"/>
        <v>0</v>
      </c>
      <c r="DX488" s="137" t="b">
        <f t="shared" si="502"/>
        <v>1</v>
      </c>
      <c r="EB488" s="131">
        <f t="shared" si="503"/>
        <v>1</v>
      </c>
      <c r="EC488" s="137" t="b">
        <f t="shared" si="504"/>
        <v>0</v>
      </c>
      <c r="ED488" s="137" t="b">
        <f t="shared" si="505"/>
        <v>0</v>
      </c>
      <c r="EE488" s="137" t="b">
        <f t="shared" si="506"/>
        <v>1</v>
      </c>
      <c r="EF488" s="137"/>
      <c r="EG488" s="137"/>
      <c r="EH488" s="137"/>
      <c r="EI488" s="137"/>
      <c r="EJ488" s="137">
        <f t="shared" si="507"/>
        <v>1</v>
      </c>
      <c r="EK488" s="125" t="str">
        <f t="shared" si="508"/>
        <v/>
      </c>
      <c r="EL488" s="125" t="str">
        <f t="shared" si="509"/>
        <v/>
      </c>
    </row>
    <row r="489" spans="2:142" ht="15.75" x14ac:dyDescent="0.2">
      <c r="B489" s="160" t="str">
        <f t="shared" si="459"/>
        <v/>
      </c>
      <c r="C489" s="205"/>
      <c r="D489" s="205"/>
      <c r="E489" s="205"/>
      <c r="F489" s="118" t="str">
        <f>IF(OR(J489="",H489=""),"",VLOOKUP(J489,'הזנה לסיווג רשויות'!$B$2:$D$301,2,0))</f>
        <v/>
      </c>
      <c r="G489" s="118" t="str">
        <f>IF(OR(J489="",H489=""),"",VLOOKUP(J489,'הזנה לסיווג רשויות'!$B$2:$D$301,3,0))</f>
        <v/>
      </c>
      <c r="H489" s="201"/>
      <c r="I489" s="201"/>
      <c r="J489" s="205"/>
      <c r="K489" s="161"/>
      <c r="L489" s="161"/>
      <c r="M489" s="161"/>
      <c r="N489" s="161"/>
      <c r="O489" s="161"/>
      <c r="P489" s="161"/>
      <c r="Q489" s="161"/>
      <c r="R489" s="201"/>
      <c r="S489" s="201"/>
      <c r="T489" s="160" t="str">
        <f>IF(G489="","",IFERROR(IF(S489/R489&gt;'פרמטרים לקריטריונים'!$C$20,1,0),0))</f>
        <v/>
      </c>
      <c r="U489" s="201"/>
      <c r="V489" s="160" t="str">
        <f>IF(G489="","",IFERROR(IF(U489/R489&gt;'פרמטרים לקריטריונים'!$C$21,1,IF(AND(I489=$BW$5,U489/R489&gt;'פרמטרים לקריטריונים'!$C$22),1,0)),0))</f>
        <v/>
      </c>
      <c r="W489" s="161"/>
      <c r="X489" s="161"/>
      <c r="Y489" s="201"/>
      <c r="Z489" s="201"/>
      <c r="AA489" s="161" t="str">
        <f t="shared" si="511"/>
        <v/>
      </c>
      <c r="AB489" s="161"/>
      <c r="AC489" s="161"/>
      <c r="AD489" s="161"/>
      <c r="AE489" s="161"/>
      <c r="AF489" s="161"/>
      <c r="AG489" s="161"/>
      <c r="AH489" s="161"/>
      <c r="AI489" s="161"/>
      <c r="AJ489" s="161"/>
      <c r="AK489" s="161"/>
      <c r="AL489" s="161"/>
      <c r="AM489" s="161"/>
      <c r="AN489" s="161"/>
      <c r="AO489" s="161"/>
      <c r="AP489" s="161"/>
      <c r="AQ489" s="161"/>
      <c r="AR489" s="161"/>
      <c r="AS489" s="161"/>
      <c r="AT489" s="161"/>
      <c r="AU489" s="161"/>
      <c r="AV489" s="161"/>
      <c r="AW489" s="160"/>
      <c r="AX489" s="161"/>
      <c r="AY489" s="161"/>
      <c r="AZ489" s="161"/>
      <c r="BA489" s="161"/>
      <c r="BB489" s="161"/>
      <c r="BC489" s="161"/>
      <c r="BD489" s="161"/>
      <c r="BE489" s="161"/>
      <c r="BF489" s="160" t="str">
        <f t="shared" si="460"/>
        <v/>
      </c>
      <c r="BG489" s="160"/>
      <c r="BH489" s="160"/>
      <c r="BI489" s="160"/>
      <c r="BJ489" s="160"/>
      <c r="BK489" s="160"/>
      <c r="BL489" s="162" t="str">
        <f t="shared" si="461"/>
        <v/>
      </c>
      <c r="BM489" s="257"/>
      <c r="BN489" s="163"/>
      <c r="BO489" s="211" t="str">
        <f t="shared" si="462"/>
        <v/>
      </c>
      <c r="BP489" s="125">
        <f t="shared" si="463"/>
        <v>0</v>
      </c>
      <c r="BQ489" s="164">
        <v>0</v>
      </c>
      <c r="BR489" s="164">
        <v>1</v>
      </c>
      <c r="BS489" s="149">
        <f t="shared" si="464"/>
        <v>0</v>
      </c>
      <c r="BT489" s="149">
        <f t="shared" si="465"/>
        <v>0</v>
      </c>
      <c r="BU489" s="149">
        <f t="shared" si="466"/>
        <v>0</v>
      </c>
      <c r="BV489" s="149">
        <f t="shared" si="467"/>
        <v>0</v>
      </c>
      <c r="BW489" s="149">
        <f t="shared" si="468"/>
        <v>0</v>
      </c>
      <c r="BX489" s="149">
        <f t="shared" si="469"/>
        <v>0</v>
      </c>
      <c r="BY489" s="149">
        <f t="shared" si="470"/>
        <v>0</v>
      </c>
      <c r="BZ489" s="149">
        <f t="shared" si="471"/>
        <v>0</v>
      </c>
      <c r="CA489" s="149">
        <f t="shared" si="472"/>
        <v>0</v>
      </c>
      <c r="CB489" s="149">
        <f t="shared" si="473"/>
        <v>1</v>
      </c>
      <c r="CC489" s="149">
        <f t="shared" si="474"/>
        <v>0</v>
      </c>
      <c r="CD489" s="149">
        <f t="shared" si="475"/>
        <v>1</v>
      </c>
      <c r="CE489" s="149">
        <f t="shared" si="476"/>
        <v>0</v>
      </c>
      <c r="CF489" s="149">
        <f t="shared" si="477"/>
        <v>0</v>
      </c>
      <c r="CG489" s="149">
        <f t="shared" si="478"/>
        <v>0</v>
      </c>
      <c r="CH489" s="149">
        <f t="shared" si="479"/>
        <v>0</v>
      </c>
      <c r="CI489" s="149">
        <f t="shared" si="480"/>
        <v>1</v>
      </c>
      <c r="CJ489" s="149">
        <f t="shared" si="481"/>
        <v>1</v>
      </c>
      <c r="CK489" s="149">
        <f t="shared" si="482"/>
        <v>1</v>
      </c>
      <c r="CL489" s="149">
        <f t="shared" si="483"/>
        <v>1</v>
      </c>
      <c r="CM489" s="149">
        <f t="shared" si="484"/>
        <v>1</v>
      </c>
      <c r="CN489" s="149">
        <f t="shared" si="485"/>
        <v>1</v>
      </c>
      <c r="CO489" s="149">
        <f t="shared" si="486"/>
        <v>1</v>
      </c>
      <c r="CP489" s="149">
        <f t="shared" si="487"/>
        <v>1</v>
      </c>
      <c r="CQ489" s="149">
        <f t="shared" si="488"/>
        <v>1</v>
      </c>
      <c r="CR489" s="149">
        <f t="shared" si="489"/>
        <v>1</v>
      </c>
      <c r="CS489" s="149">
        <f t="shared" si="490"/>
        <v>1</v>
      </c>
      <c r="CT489" s="149">
        <f t="shared" si="491"/>
        <v>1</v>
      </c>
      <c r="CU489" s="149">
        <f t="shared" si="492"/>
        <v>1</v>
      </c>
      <c r="CV489" s="149">
        <f t="shared" si="493"/>
        <v>1</v>
      </c>
      <c r="CW489" s="149">
        <f t="shared" si="494"/>
        <v>1</v>
      </c>
      <c r="CX489" s="149">
        <f t="shared" si="495"/>
        <v>1</v>
      </c>
      <c r="CY489" s="149">
        <f t="shared" si="496"/>
        <v>1</v>
      </c>
      <c r="CZ489" s="149">
        <f t="shared" si="497"/>
        <v>1</v>
      </c>
      <c r="DA489" s="149">
        <f t="shared" si="498"/>
        <v>1</v>
      </c>
      <c r="DB489" s="149">
        <f t="shared" si="499"/>
        <v>1</v>
      </c>
      <c r="DG489" s="125" t="str">
        <f t="shared" si="296"/>
        <v/>
      </c>
      <c r="DH489" s="125" t="str">
        <f t="shared" si="510"/>
        <v/>
      </c>
      <c r="DI489" s="125" t="str">
        <f t="shared" si="510"/>
        <v/>
      </c>
      <c r="DJ489" s="125" t="str">
        <f t="shared" si="510"/>
        <v/>
      </c>
      <c r="DK489" s="125" t="str">
        <f t="shared" si="510"/>
        <v/>
      </c>
      <c r="DL489" s="125" t="str">
        <f t="shared" si="510"/>
        <v/>
      </c>
      <c r="DM489" s="125" t="str">
        <f t="shared" si="510"/>
        <v/>
      </c>
      <c r="DN489" s="125" t="str">
        <f t="shared" si="510"/>
        <v/>
      </c>
      <c r="DO489" s="125" t="str">
        <f t="shared" si="510"/>
        <v/>
      </c>
      <c r="DP489" s="125" t="str">
        <f t="shared" si="510"/>
        <v/>
      </c>
      <c r="DS489" s="137"/>
      <c r="DT489" s="137"/>
      <c r="DU489" s="137"/>
      <c r="DV489" s="137" t="b">
        <f t="shared" si="500"/>
        <v>0</v>
      </c>
      <c r="DW489" s="137" t="b">
        <f t="shared" si="501"/>
        <v>0</v>
      </c>
      <c r="DX489" s="137" t="b">
        <f t="shared" si="502"/>
        <v>1</v>
      </c>
      <c r="EB489" s="131">
        <f t="shared" si="503"/>
        <v>1</v>
      </c>
      <c r="EC489" s="137" t="b">
        <f t="shared" si="504"/>
        <v>0</v>
      </c>
      <c r="ED489" s="137" t="b">
        <f t="shared" si="505"/>
        <v>0</v>
      </c>
      <c r="EE489" s="137" t="b">
        <f t="shared" si="506"/>
        <v>1</v>
      </c>
      <c r="EF489" s="137"/>
      <c r="EG489" s="137"/>
      <c r="EH489" s="137"/>
      <c r="EI489" s="137"/>
      <c r="EJ489" s="137">
        <f t="shared" si="507"/>
        <v>1</v>
      </c>
      <c r="EK489" s="125" t="str">
        <f t="shared" si="508"/>
        <v/>
      </c>
      <c r="EL489" s="125" t="str">
        <f t="shared" si="509"/>
        <v/>
      </c>
    </row>
    <row r="490" spans="2:142" ht="15.75" x14ac:dyDescent="0.2">
      <c r="B490" s="160" t="str">
        <f t="shared" si="459"/>
        <v/>
      </c>
      <c r="C490" s="205"/>
      <c r="D490" s="205"/>
      <c r="E490" s="205"/>
      <c r="F490" s="118" t="str">
        <f>IF(OR(J490="",H490=""),"",VLOOKUP(J490,'הזנה לסיווג רשויות'!$B$2:$D$301,2,0))</f>
        <v/>
      </c>
      <c r="G490" s="118" t="str">
        <f>IF(OR(J490="",H490=""),"",VLOOKUP(J490,'הזנה לסיווג רשויות'!$B$2:$D$301,3,0))</f>
        <v/>
      </c>
      <c r="H490" s="201"/>
      <c r="I490" s="201"/>
      <c r="J490" s="205"/>
      <c r="K490" s="161"/>
      <c r="L490" s="161"/>
      <c r="M490" s="161"/>
      <c r="N490" s="161"/>
      <c r="O490" s="161"/>
      <c r="P490" s="161"/>
      <c r="Q490" s="161"/>
      <c r="R490" s="201"/>
      <c r="S490" s="201"/>
      <c r="T490" s="160" t="str">
        <f>IF(G490="","",IFERROR(IF(S490/R490&gt;'פרמטרים לקריטריונים'!$C$20,1,0),0))</f>
        <v/>
      </c>
      <c r="U490" s="201"/>
      <c r="V490" s="160" t="str">
        <f>IF(G490="","",IFERROR(IF(U490/R490&gt;'פרמטרים לקריטריונים'!$C$21,1,IF(AND(I490=$BW$5,U490/R490&gt;'פרמטרים לקריטריונים'!$C$22),1,0)),0))</f>
        <v/>
      </c>
      <c r="W490" s="161"/>
      <c r="X490" s="161"/>
      <c r="Y490" s="201"/>
      <c r="Z490" s="201"/>
      <c r="AA490" s="161" t="str">
        <f t="shared" si="511"/>
        <v/>
      </c>
      <c r="AB490" s="161"/>
      <c r="AC490" s="161"/>
      <c r="AD490" s="161"/>
      <c r="AE490" s="161"/>
      <c r="AF490" s="161"/>
      <c r="AG490" s="161"/>
      <c r="AH490" s="161"/>
      <c r="AI490" s="161"/>
      <c r="AJ490" s="161"/>
      <c r="AK490" s="161"/>
      <c r="AL490" s="161"/>
      <c r="AM490" s="161"/>
      <c r="AN490" s="161"/>
      <c r="AO490" s="161"/>
      <c r="AP490" s="161"/>
      <c r="AQ490" s="161"/>
      <c r="AR490" s="161"/>
      <c r="AS490" s="161"/>
      <c r="AT490" s="161"/>
      <c r="AU490" s="161"/>
      <c r="AV490" s="161"/>
      <c r="AW490" s="160"/>
      <c r="AX490" s="161"/>
      <c r="AY490" s="161"/>
      <c r="AZ490" s="161"/>
      <c r="BA490" s="161"/>
      <c r="BB490" s="161"/>
      <c r="BC490" s="161"/>
      <c r="BD490" s="161"/>
      <c r="BE490" s="161"/>
      <c r="BF490" s="160" t="str">
        <f t="shared" si="460"/>
        <v/>
      </c>
      <c r="BG490" s="160"/>
      <c r="BH490" s="160"/>
      <c r="BI490" s="160"/>
      <c r="BJ490" s="160"/>
      <c r="BK490" s="160"/>
      <c r="BL490" s="162" t="str">
        <f t="shared" si="461"/>
        <v/>
      </c>
      <c r="BM490" s="257"/>
      <c r="BN490" s="163"/>
      <c r="BO490" s="211" t="str">
        <f t="shared" si="462"/>
        <v/>
      </c>
      <c r="BP490" s="125">
        <f t="shared" si="463"/>
        <v>0</v>
      </c>
      <c r="BQ490" s="164">
        <v>0</v>
      </c>
      <c r="BR490" s="164">
        <v>1</v>
      </c>
      <c r="BS490" s="149">
        <f t="shared" si="464"/>
        <v>0</v>
      </c>
      <c r="BT490" s="149">
        <f t="shared" si="465"/>
        <v>0</v>
      </c>
      <c r="BU490" s="149">
        <f t="shared" si="466"/>
        <v>0</v>
      </c>
      <c r="BV490" s="149">
        <f t="shared" si="467"/>
        <v>0</v>
      </c>
      <c r="BW490" s="149">
        <f t="shared" si="468"/>
        <v>0</v>
      </c>
      <c r="BX490" s="149">
        <f t="shared" si="469"/>
        <v>0</v>
      </c>
      <c r="BY490" s="149">
        <f t="shared" si="470"/>
        <v>0</v>
      </c>
      <c r="BZ490" s="149">
        <f t="shared" si="471"/>
        <v>0</v>
      </c>
      <c r="CA490" s="149">
        <f t="shared" si="472"/>
        <v>0</v>
      </c>
      <c r="CB490" s="149">
        <f t="shared" si="473"/>
        <v>1</v>
      </c>
      <c r="CC490" s="149">
        <f t="shared" si="474"/>
        <v>0</v>
      </c>
      <c r="CD490" s="149">
        <f t="shared" si="475"/>
        <v>1</v>
      </c>
      <c r="CE490" s="149">
        <f t="shared" si="476"/>
        <v>0</v>
      </c>
      <c r="CF490" s="149">
        <f t="shared" si="477"/>
        <v>0</v>
      </c>
      <c r="CG490" s="149">
        <f t="shared" si="478"/>
        <v>0</v>
      </c>
      <c r="CH490" s="149">
        <f t="shared" si="479"/>
        <v>0</v>
      </c>
      <c r="CI490" s="149">
        <f t="shared" si="480"/>
        <v>1</v>
      </c>
      <c r="CJ490" s="149">
        <f t="shared" si="481"/>
        <v>1</v>
      </c>
      <c r="CK490" s="149">
        <f t="shared" si="482"/>
        <v>1</v>
      </c>
      <c r="CL490" s="149">
        <f t="shared" si="483"/>
        <v>1</v>
      </c>
      <c r="CM490" s="149">
        <f t="shared" si="484"/>
        <v>1</v>
      </c>
      <c r="CN490" s="149">
        <f t="shared" si="485"/>
        <v>1</v>
      </c>
      <c r="CO490" s="149">
        <f t="shared" si="486"/>
        <v>1</v>
      </c>
      <c r="CP490" s="149">
        <f t="shared" si="487"/>
        <v>1</v>
      </c>
      <c r="CQ490" s="149">
        <f t="shared" si="488"/>
        <v>1</v>
      </c>
      <c r="CR490" s="149">
        <f t="shared" si="489"/>
        <v>1</v>
      </c>
      <c r="CS490" s="149">
        <f t="shared" si="490"/>
        <v>1</v>
      </c>
      <c r="CT490" s="149">
        <f t="shared" si="491"/>
        <v>1</v>
      </c>
      <c r="CU490" s="149">
        <f t="shared" si="492"/>
        <v>1</v>
      </c>
      <c r="CV490" s="149">
        <f t="shared" si="493"/>
        <v>1</v>
      </c>
      <c r="CW490" s="149">
        <f t="shared" si="494"/>
        <v>1</v>
      </c>
      <c r="CX490" s="149">
        <f t="shared" si="495"/>
        <v>1</v>
      </c>
      <c r="CY490" s="149">
        <f t="shared" si="496"/>
        <v>1</v>
      </c>
      <c r="CZ490" s="149">
        <f t="shared" si="497"/>
        <v>1</v>
      </c>
      <c r="DA490" s="149">
        <f t="shared" si="498"/>
        <v>1</v>
      </c>
      <c r="DB490" s="149">
        <f t="shared" si="499"/>
        <v>1</v>
      </c>
      <c r="DG490" s="125" t="str">
        <f t="shared" si="296"/>
        <v/>
      </c>
      <c r="DH490" s="125" t="str">
        <f t="shared" si="510"/>
        <v/>
      </c>
      <c r="DI490" s="125" t="str">
        <f t="shared" si="510"/>
        <v/>
      </c>
      <c r="DJ490" s="125" t="str">
        <f t="shared" si="510"/>
        <v/>
      </c>
      <c r="DK490" s="125" t="str">
        <f t="shared" si="510"/>
        <v/>
      </c>
      <c r="DL490" s="125" t="str">
        <f t="shared" ref="DH490:DP500" si="512">IF($G490="","",DL$30)</f>
        <v/>
      </c>
      <c r="DM490" s="125" t="str">
        <f t="shared" si="512"/>
        <v/>
      </c>
      <c r="DN490" s="125" t="str">
        <f t="shared" si="512"/>
        <v/>
      </c>
      <c r="DO490" s="125" t="str">
        <f t="shared" si="512"/>
        <v/>
      </c>
      <c r="DP490" s="125" t="str">
        <f t="shared" si="512"/>
        <v/>
      </c>
      <c r="DS490" s="137"/>
      <c r="DT490" s="137"/>
      <c r="DU490" s="137"/>
      <c r="DV490" s="137" t="b">
        <f t="shared" si="500"/>
        <v>0</v>
      </c>
      <c r="DW490" s="137" t="b">
        <f t="shared" si="501"/>
        <v>0</v>
      </c>
      <c r="DX490" s="137" t="b">
        <f t="shared" si="502"/>
        <v>1</v>
      </c>
      <c r="EB490" s="131">
        <f t="shared" si="503"/>
        <v>1</v>
      </c>
      <c r="EC490" s="137" t="b">
        <f t="shared" si="504"/>
        <v>0</v>
      </c>
      <c r="ED490" s="137" t="b">
        <f t="shared" si="505"/>
        <v>0</v>
      </c>
      <c r="EE490" s="137" t="b">
        <f t="shared" si="506"/>
        <v>1</v>
      </c>
      <c r="EF490" s="137"/>
      <c r="EG490" s="137"/>
      <c r="EH490" s="137"/>
      <c r="EI490" s="137"/>
      <c r="EJ490" s="137">
        <f t="shared" si="507"/>
        <v>1</v>
      </c>
      <c r="EK490" s="125" t="str">
        <f t="shared" si="508"/>
        <v/>
      </c>
      <c r="EL490" s="125" t="str">
        <f t="shared" si="509"/>
        <v/>
      </c>
    </row>
    <row r="491" spans="2:142" ht="15.75" x14ac:dyDescent="0.2">
      <c r="B491" s="160" t="str">
        <f t="shared" si="459"/>
        <v/>
      </c>
      <c r="C491" s="205"/>
      <c r="D491" s="205"/>
      <c r="E491" s="205"/>
      <c r="F491" s="118" t="str">
        <f>IF(OR(J491="",H491=""),"",VLOOKUP(J491,'הזנה לסיווג רשויות'!$B$2:$D$301,2,0))</f>
        <v/>
      </c>
      <c r="G491" s="118" t="str">
        <f>IF(OR(J491="",H491=""),"",VLOOKUP(J491,'הזנה לסיווג רשויות'!$B$2:$D$301,3,0))</f>
        <v/>
      </c>
      <c r="H491" s="201"/>
      <c r="I491" s="201"/>
      <c r="J491" s="205"/>
      <c r="K491" s="161"/>
      <c r="L491" s="161"/>
      <c r="M491" s="161"/>
      <c r="N491" s="161"/>
      <c r="O491" s="161"/>
      <c r="P491" s="161"/>
      <c r="Q491" s="161"/>
      <c r="R491" s="201"/>
      <c r="S491" s="201"/>
      <c r="T491" s="160" t="str">
        <f>IF(G491="","",IFERROR(IF(S491/R491&gt;'פרמטרים לקריטריונים'!$C$20,1,0),0))</f>
        <v/>
      </c>
      <c r="U491" s="201"/>
      <c r="V491" s="160" t="str">
        <f>IF(G491="","",IFERROR(IF(U491/R491&gt;'פרמטרים לקריטריונים'!$C$21,1,IF(AND(I491=$BW$5,U491/R491&gt;'פרמטרים לקריטריונים'!$C$22),1,0)),0))</f>
        <v/>
      </c>
      <c r="W491" s="161"/>
      <c r="X491" s="161"/>
      <c r="Y491" s="201"/>
      <c r="Z491" s="201"/>
      <c r="AA491" s="161" t="str">
        <f t="shared" si="511"/>
        <v/>
      </c>
      <c r="AB491" s="161"/>
      <c r="AC491" s="161"/>
      <c r="AD491" s="161"/>
      <c r="AE491" s="161"/>
      <c r="AF491" s="161"/>
      <c r="AG491" s="161"/>
      <c r="AH491" s="161"/>
      <c r="AI491" s="161"/>
      <c r="AJ491" s="161"/>
      <c r="AK491" s="161"/>
      <c r="AL491" s="161"/>
      <c r="AM491" s="161"/>
      <c r="AN491" s="161"/>
      <c r="AO491" s="161"/>
      <c r="AP491" s="161"/>
      <c r="AQ491" s="161"/>
      <c r="AR491" s="161"/>
      <c r="AS491" s="161"/>
      <c r="AT491" s="161"/>
      <c r="AU491" s="161"/>
      <c r="AV491" s="161"/>
      <c r="AW491" s="160"/>
      <c r="AX491" s="161"/>
      <c r="AY491" s="161"/>
      <c r="AZ491" s="161"/>
      <c r="BA491" s="161"/>
      <c r="BB491" s="161"/>
      <c r="BC491" s="161"/>
      <c r="BD491" s="161"/>
      <c r="BE491" s="161"/>
      <c r="BF491" s="160" t="str">
        <f t="shared" si="460"/>
        <v/>
      </c>
      <c r="BG491" s="160"/>
      <c r="BH491" s="160"/>
      <c r="BI491" s="160"/>
      <c r="BJ491" s="160"/>
      <c r="BK491" s="160"/>
      <c r="BL491" s="162" t="str">
        <f t="shared" si="461"/>
        <v/>
      </c>
      <c r="BM491" s="257"/>
      <c r="BN491" s="163"/>
      <c r="BO491" s="211" t="str">
        <f t="shared" si="462"/>
        <v/>
      </c>
      <c r="BP491" s="125">
        <f t="shared" si="463"/>
        <v>0</v>
      </c>
      <c r="BQ491" s="164">
        <v>0</v>
      </c>
      <c r="BR491" s="164">
        <v>1</v>
      </c>
      <c r="BS491" s="149">
        <f t="shared" si="464"/>
        <v>0</v>
      </c>
      <c r="BT491" s="149">
        <f t="shared" si="465"/>
        <v>0</v>
      </c>
      <c r="BU491" s="149">
        <f t="shared" si="466"/>
        <v>0</v>
      </c>
      <c r="BV491" s="149">
        <f t="shared" si="467"/>
        <v>0</v>
      </c>
      <c r="BW491" s="149">
        <f t="shared" si="468"/>
        <v>0</v>
      </c>
      <c r="BX491" s="149">
        <f t="shared" si="469"/>
        <v>0</v>
      </c>
      <c r="BY491" s="149">
        <f t="shared" si="470"/>
        <v>0</v>
      </c>
      <c r="BZ491" s="149">
        <f t="shared" si="471"/>
        <v>0</v>
      </c>
      <c r="CA491" s="149">
        <f t="shared" si="472"/>
        <v>0</v>
      </c>
      <c r="CB491" s="149">
        <f t="shared" si="473"/>
        <v>1</v>
      </c>
      <c r="CC491" s="149">
        <f t="shared" si="474"/>
        <v>0</v>
      </c>
      <c r="CD491" s="149">
        <f t="shared" si="475"/>
        <v>1</v>
      </c>
      <c r="CE491" s="149">
        <f t="shared" si="476"/>
        <v>0</v>
      </c>
      <c r="CF491" s="149">
        <f t="shared" si="477"/>
        <v>0</v>
      </c>
      <c r="CG491" s="149">
        <f t="shared" si="478"/>
        <v>0</v>
      </c>
      <c r="CH491" s="149">
        <f t="shared" si="479"/>
        <v>0</v>
      </c>
      <c r="CI491" s="149">
        <f t="shared" si="480"/>
        <v>1</v>
      </c>
      <c r="CJ491" s="149">
        <f t="shared" si="481"/>
        <v>1</v>
      </c>
      <c r="CK491" s="149">
        <f t="shared" si="482"/>
        <v>1</v>
      </c>
      <c r="CL491" s="149">
        <f t="shared" si="483"/>
        <v>1</v>
      </c>
      <c r="CM491" s="149">
        <f t="shared" si="484"/>
        <v>1</v>
      </c>
      <c r="CN491" s="149">
        <f t="shared" si="485"/>
        <v>1</v>
      </c>
      <c r="CO491" s="149">
        <f t="shared" si="486"/>
        <v>1</v>
      </c>
      <c r="CP491" s="149">
        <f t="shared" si="487"/>
        <v>1</v>
      </c>
      <c r="CQ491" s="149">
        <f t="shared" si="488"/>
        <v>1</v>
      </c>
      <c r="CR491" s="149">
        <f t="shared" si="489"/>
        <v>1</v>
      </c>
      <c r="CS491" s="149">
        <f t="shared" si="490"/>
        <v>1</v>
      </c>
      <c r="CT491" s="149">
        <f t="shared" si="491"/>
        <v>1</v>
      </c>
      <c r="CU491" s="149">
        <f t="shared" si="492"/>
        <v>1</v>
      </c>
      <c r="CV491" s="149">
        <f t="shared" si="493"/>
        <v>1</v>
      </c>
      <c r="CW491" s="149">
        <f t="shared" si="494"/>
        <v>1</v>
      </c>
      <c r="CX491" s="149">
        <f t="shared" si="495"/>
        <v>1</v>
      </c>
      <c r="CY491" s="149">
        <f t="shared" si="496"/>
        <v>1</v>
      </c>
      <c r="CZ491" s="149">
        <f t="shared" si="497"/>
        <v>1</v>
      </c>
      <c r="DA491" s="149">
        <f t="shared" si="498"/>
        <v>1</v>
      </c>
      <c r="DB491" s="149">
        <f t="shared" si="499"/>
        <v>1</v>
      </c>
      <c r="DG491" s="125" t="str">
        <f t="shared" si="296"/>
        <v/>
      </c>
      <c r="DH491" s="125" t="str">
        <f t="shared" si="512"/>
        <v/>
      </c>
      <c r="DI491" s="125" t="str">
        <f t="shared" si="512"/>
        <v/>
      </c>
      <c r="DJ491" s="125" t="str">
        <f t="shared" si="512"/>
        <v/>
      </c>
      <c r="DK491" s="125" t="str">
        <f t="shared" si="512"/>
        <v/>
      </c>
      <c r="DL491" s="125" t="str">
        <f t="shared" si="512"/>
        <v/>
      </c>
      <c r="DM491" s="125" t="str">
        <f t="shared" si="512"/>
        <v/>
      </c>
      <c r="DN491" s="125" t="str">
        <f t="shared" si="512"/>
        <v/>
      </c>
      <c r="DO491" s="125" t="str">
        <f t="shared" si="512"/>
        <v/>
      </c>
      <c r="DP491" s="125" t="str">
        <f t="shared" si="512"/>
        <v/>
      </c>
      <c r="DS491" s="137"/>
      <c r="DT491" s="137"/>
      <c r="DU491" s="137"/>
      <c r="DV491" s="137" t="b">
        <f t="shared" si="500"/>
        <v>0</v>
      </c>
      <c r="DW491" s="137" t="b">
        <f t="shared" si="501"/>
        <v>0</v>
      </c>
      <c r="DX491" s="137" t="b">
        <f t="shared" si="502"/>
        <v>1</v>
      </c>
      <c r="EB491" s="131">
        <f t="shared" si="503"/>
        <v>1</v>
      </c>
      <c r="EC491" s="137" t="b">
        <f t="shared" si="504"/>
        <v>0</v>
      </c>
      <c r="ED491" s="137" t="b">
        <f t="shared" si="505"/>
        <v>0</v>
      </c>
      <c r="EE491" s="137" t="b">
        <f t="shared" si="506"/>
        <v>1</v>
      </c>
      <c r="EF491" s="137"/>
      <c r="EG491" s="137"/>
      <c r="EH491" s="137"/>
      <c r="EI491" s="137"/>
      <c r="EJ491" s="137">
        <f t="shared" si="507"/>
        <v>1</v>
      </c>
      <c r="EK491" s="125" t="str">
        <f t="shared" si="508"/>
        <v/>
      </c>
      <c r="EL491" s="125" t="str">
        <f t="shared" si="509"/>
        <v/>
      </c>
    </row>
    <row r="492" spans="2:142" ht="15.75" x14ac:dyDescent="0.2">
      <c r="B492" s="160" t="str">
        <f t="shared" si="459"/>
        <v/>
      </c>
      <c r="C492" s="205"/>
      <c r="D492" s="205"/>
      <c r="E492" s="205"/>
      <c r="F492" s="118" t="str">
        <f>IF(OR(J492="",H492=""),"",VLOOKUP(J492,'הזנה לסיווג רשויות'!$B$2:$D$301,2,0))</f>
        <v/>
      </c>
      <c r="G492" s="118" t="str">
        <f>IF(OR(J492="",H492=""),"",VLOOKUP(J492,'הזנה לסיווג רשויות'!$B$2:$D$301,3,0))</f>
        <v/>
      </c>
      <c r="H492" s="201"/>
      <c r="I492" s="201"/>
      <c r="J492" s="205"/>
      <c r="K492" s="161"/>
      <c r="L492" s="161"/>
      <c r="M492" s="161"/>
      <c r="N492" s="161"/>
      <c r="O492" s="161"/>
      <c r="P492" s="161"/>
      <c r="Q492" s="161"/>
      <c r="R492" s="201"/>
      <c r="S492" s="201"/>
      <c r="T492" s="160" t="str">
        <f>IF(G492="","",IFERROR(IF(S492/R492&gt;'פרמטרים לקריטריונים'!$C$20,1,0),0))</f>
        <v/>
      </c>
      <c r="U492" s="201"/>
      <c r="V492" s="160" t="str">
        <f>IF(G492="","",IFERROR(IF(U492/R492&gt;'פרמטרים לקריטריונים'!$C$21,1,IF(AND(I492=$BW$5,U492/R492&gt;'פרמטרים לקריטריונים'!$C$22),1,0)),0))</f>
        <v/>
      </c>
      <c r="W492" s="161"/>
      <c r="X492" s="161"/>
      <c r="Y492" s="201"/>
      <c r="Z492" s="201"/>
      <c r="AA492" s="161" t="str">
        <f t="shared" si="511"/>
        <v/>
      </c>
      <c r="AB492" s="161"/>
      <c r="AC492" s="161"/>
      <c r="AD492" s="161"/>
      <c r="AE492" s="161"/>
      <c r="AF492" s="161"/>
      <c r="AG492" s="161"/>
      <c r="AH492" s="161"/>
      <c r="AI492" s="161"/>
      <c r="AJ492" s="161"/>
      <c r="AK492" s="161"/>
      <c r="AL492" s="161"/>
      <c r="AM492" s="161"/>
      <c r="AN492" s="161"/>
      <c r="AO492" s="161"/>
      <c r="AP492" s="161"/>
      <c r="AQ492" s="161"/>
      <c r="AR492" s="161"/>
      <c r="AS492" s="161"/>
      <c r="AT492" s="161"/>
      <c r="AU492" s="161"/>
      <c r="AV492" s="161"/>
      <c r="AW492" s="160"/>
      <c r="AX492" s="161"/>
      <c r="AY492" s="161"/>
      <c r="AZ492" s="161"/>
      <c r="BA492" s="161"/>
      <c r="BB492" s="161"/>
      <c r="BC492" s="161"/>
      <c r="BD492" s="161"/>
      <c r="BE492" s="161"/>
      <c r="BF492" s="160" t="str">
        <f t="shared" si="460"/>
        <v/>
      </c>
      <c r="BG492" s="160"/>
      <c r="BH492" s="160"/>
      <c r="BI492" s="160"/>
      <c r="BJ492" s="160"/>
      <c r="BK492" s="160"/>
      <c r="BL492" s="162" t="str">
        <f t="shared" si="461"/>
        <v/>
      </c>
      <c r="BM492" s="257"/>
      <c r="BN492" s="163"/>
      <c r="BO492" s="211" t="str">
        <f t="shared" si="462"/>
        <v/>
      </c>
      <c r="BP492" s="125">
        <f t="shared" si="463"/>
        <v>0</v>
      </c>
      <c r="BQ492" s="164">
        <v>0</v>
      </c>
      <c r="BR492" s="164">
        <v>1</v>
      </c>
      <c r="BS492" s="149">
        <f t="shared" si="464"/>
        <v>0</v>
      </c>
      <c r="BT492" s="149">
        <f t="shared" si="465"/>
        <v>0</v>
      </c>
      <c r="BU492" s="149">
        <f t="shared" si="466"/>
        <v>0</v>
      </c>
      <c r="BV492" s="149">
        <f t="shared" si="467"/>
        <v>0</v>
      </c>
      <c r="BW492" s="149">
        <f t="shared" si="468"/>
        <v>0</v>
      </c>
      <c r="BX492" s="149">
        <f t="shared" si="469"/>
        <v>0</v>
      </c>
      <c r="BY492" s="149">
        <f t="shared" si="470"/>
        <v>0</v>
      </c>
      <c r="BZ492" s="149">
        <f t="shared" si="471"/>
        <v>0</v>
      </c>
      <c r="CA492" s="149">
        <f t="shared" si="472"/>
        <v>0</v>
      </c>
      <c r="CB492" s="149">
        <f t="shared" si="473"/>
        <v>1</v>
      </c>
      <c r="CC492" s="149">
        <f t="shared" si="474"/>
        <v>0</v>
      </c>
      <c r="CD492" s="149">
        <f t="shared" si="475"/>
        <v>1</v>
      </c>
      <c r="CE492" s="149">
        <f t="shared" si="476"/>
        <v>0</v>
      </c>
      <c r="CF492" s="149">
        <f t="shared" si="477"/>
        <v>0</v>
      </c>
      <c r="CG492" s="149">
        <f t="shared" si="478"/>
        <v>0</v>
      </c>
      <c r="CH492" s="149">
        <f t="shared" si="479"/>
        <v>0</v>
      </c>
      <c r="CI492" s="149">
        <f t="shared" si="480"/>
        <v>1</v>
      </c>
      <c r="CJ492" s="149">
        <f t="shared" si="481"/>
        <v>1</v>
      </c>
      <c r="CK492" s="149">
        <f t="shared" si="482"/>
        <v>1</v>
      </c>
      <c r="CL492" s="149">
        <f t="shared" si="483"/>
        <v>1</v>
      </c>
      <c r="CM492" s="149">
        <f t="shared" si="484"/>
        <v>1</v>
      </c>
      <c r="CN492" s="149">
        <f t="shared" si="485"/>
        <v>1</v>
      </c>
      <c r="CO492" s="149">
        <f t="shared" si="486"/>
        <v>1</v>
      </c>
      <c r="CP492" s="149">
        <f t="shared" si="487"/>
        <v>1</v>
      </c>
      <c r="CQ492" s="149">
        <f t="shared" si="488"/>
        <v>1</v>
      </c>
      <c r="CR492" s="149">
        <f t="shared" si="489"/>
        <v>1</v>
      </c>
      <c r="CS492" s="149">
        <f t="shared" si="490"/>
        <v>1</v>
      </c>
      <c r="CT492" s="149">
        <f t="shared" si="491"/>
        <v>1</v>
      </c>
      <c r="CU492" s="149">
        <f t="shared" si="492"/>
        <v>1</v>
      </c>
      <c r="CV492" s="149">
        <f t="shared" si="493"/>
        <v>1</v>
      </c>
      <c r="CW492" s="149">
        <f t="shared" si="494"/>
        <v>1</v>
      </c>
      <c r="CX492" s="149">
        <f t="shared" si="495"/>
        <v>1</v>
      </c>
      <c r="CY492" s="149">
        <f t="shared" si="496"/>
        <v>1</v>
      </c>
      <c r="CZ492" s="149">
        <f t="shared" si="497"/>
        <v>1</v>
      </c>
      <c r="DA492" s="149">
        <f t="shared" si="498"/>
        <v>1</v>
      </c>
      <c r="DB492" s="149">
        <f t="shared" si="499"/>
        <v>1</v>
      </c>
      <c r="DG492" s="125" t="str">
        <f t="shared" si="296"/>
        <v/>
      </c>
      <c r="DH492" s="125" t="str">
        <f t="shared" si="512"/>
        <v/>
      </c>
      <c r="DI492" s="125" t="str">
        <f t="shared" si="512"/>
        <v/>
      </c>
      <c r="DJ492" s="125" t="str">
        <f t="shared" si="512"/>
        <v/>
      </c>
      <c r="DK492" s="125" t="str">
        <f t="shared" si="512"/>
        <v/>
      </c>
      <c r="DL492" s="125" t="str">
        <f t="shared" si="512"/>
        <v/>
      </c>
      <c r="DM492" s="125" t="str">
        <f t="shared" si="512"/>
        <v/>
      </c>
      <c r="DN492" s="125" t="str">
        <f t="shared" si="512"/>
        <v/>
      </c>
      <c r="DO492" s="125" t="str">
        <f t="shared" si="512"/>
        <v/>
      </c>
      <c r="DP492" s="125" t="str">
        <f t="shared" si="512"/>
        <v/>
      </c>
      <c r="DS492" s="137"/>
      <c r="DT492" s="137"/>
      <c r="DU492" s="137"/>
      <c r="DV492" s="137" t="b">
        <f t="shared" si="500"/>
        <v>0</v>
      </c>
      <c r="DW492" s="137" t="b">
        <f t="shared" si="501"/>
        <v>0</v>
      </c>
      <c r="DX492" s="137" t="b">
        <f t="shared" si="502"/>
        <v>1</v>
      </c>
      <c r="EB492" s="131">
        <f t="shared" si="503"/>
        <v>1</v>
      </c>
      <c r="EC492" s="137" t="b">
        <f t="shared" si="504"/>
        <v>0</v>
      </c>
      <c r="ED492" s="137" t="b">
        <f t="shared" si="505"/>
        <v>0</v>
      </c>
      <c r="EE492" s="137" t="b">
        <f t="shared" si="506"/>
        <v>1</v>
      </c>
      <c r="EF492" s="137"/>
      <c r="EG492" s="137"/>
      <c r="EH492" s="137"/>
      <c r="EI492" s="137"/>
      <c r="EJ492" s="137">
        <f t="shared" si="507"/>
        <v>1</v>
      </c>
      <c r="EK492" s="125" t="str">
        <f t="shared" si="508"/>
        <v/>
      </c>
      <c r="EL492" s="125" t="str">
        <f t="shared" si="509"/>
        <v/>
      </c>
    </row>
    <row r="493" spans="2:142" ht="15.75" x14ac:dyDescent="0.2">
      <c r="B493" s="160" t="str">
        <f t="shared" si="459"/>
        <v/>
      </c>
      <c r="C493" s="205"/>
      <c r="D493" s="205"/>
      <c r="E493" s="205"/>
      <c r="F493" s="118" t="str">
        <f>IF(OR(J493="",H493=""),"",VLOOKUP(J493,'הזנה לסיווג רשויות'!$B$2:$D$301,2,0))</f>
        <v/>
      </c>
      <c r="G493" s="118" t="str">
        <f>IF(OR(J493="",H493=""),"",VLOOKUP(J493,'הזנה לסיווג רשויות'!$B$2:$D$301,3,0))</f>
        <v/>
      </c>
      <c r="H493" s="201"/>
      <c r="I493" s="201"/>
      <c r="J493" s="205"/>
      <c r="K493" s="161"/>
      <c r="L493" s="161"/>
      <c r="M493" s="161"/>
      <c r="N493" s="161"/>
      <c r="O493" s="161"/>
      <c r="P493" s="161"/>
      <c r="Q493" s="161"/>
      <c r="R493" s="201"/>
      <c r="S493" s="201"/>
      <c r="T493" s="160" t="str">
        <f>IF(G493="","",IFERROR(IF(S493/R493&gt;'פרמטרים לקריטריונים'!$C$20,1,0),0))</f>
        <v/>
      </c>
      <c r="U493" s="201"/>
      <c r="V493" s="160" t="str">
        <f>IF(G493="","",IFERROR(IF(U493/R493&gt;'פרמטרים לקריטריונים'!$C$21,1,IF(AND(I493=$BW$5,U493/R493&gt;'פרמטרים לקריטריונים'!$C$22),1,0)),0))</f>
        <v/>
      </c>
      <c r="W493" s="161"/>
      <c r="X493" s="161"/>
      <c r="Y493" s="201"/>
      <c r="Z493" s="201"/>
      <c r="AA493" s="161" t="str">
        <f t="shared" si="511"/>
        <v/>
      </c>
      <c r="AB493" s="161"/>
      <c r="AC493" s="161"/>
      <c r="AD493" s="161"/>
      <c r="AE493" s="161"/>
      <c r="AF493" s="161"/>
      <c r="AG493" s="161"/>
      <c r="AH493" s="161"/>
      <c r="AI493" s="161"/>
      <c r="AJ493" s="161"/>
      <c r="AK493" s="161"/>
      <c r="AL493" s="161"/>
      <c r="AM493" s="161"/>
      <c r="AN493" s="161"/>
      <c r="AO493" s="161"/>
      <c r="AP493" s="161"/>
      <c r="AQ493" s="161"/>
      <c r="AR493" s="161"/>
      <c r="AS493" s="161"/>
      <c r="AT493" s="161"/>
      <c r="AU493" s="161"/>
      <c r="AV493" s="161"/>
      <c r="AW493" s="160"/>
      <c r="AX493" s="161"/>
      <c r="AY493" s="161"/>
      <c r="AZ493" s="161"/>
      <c r="BA493" s="161"/>
      <c r="BB493" s="161"/>
      <c r="BC493" s="161"/>
      <c r="BD493" s="161"/>
      <c r="BE493" s="161"/>
      <c r="BF493" s="160" t="str">
        <f t="shared" si="460"/>
        <v/>
      </c>
      <c r="BG493" s="160"/>
      <c r="BH493" s="160"/>
      <c r="BI493" s="160"/>
      <c r="BJ493" s="160"/>
      <c r="BK493" s="160"/>
      <c r="BL493" s="162" t="str">
        <f t="shared" si="461"/>
        <v/>
      </c>
      <c r="BM493" s="257"/>
      <c r="BN493" s="163"/>
      <c r="BO493" s="211" t="str">
        <f t="shared" si="462"/>
        <v/>
      </c>
      <c r="BP493" s="125">
        <f t="shared" si="463"/>
        <v>0</v>
      </c>
      <c r="BQ493" s="164">
        <v>0</v>
      </c>
      <c r="BR493" s="164">
        <v>1</v>
      </c>
      <c r="BS493" s="149">
        <f t="shared" si="464"/>
        <v>0</v>
      </c>
      <c r="BT493" s="149">
        <f t="shared" si="465"/>
        <v>0</v>
      </c>
      <c r="BU493" s="149">
        <f t="shared" si="466"/>
        <v>0</v>
      </c>
      <c r="BV493" s="149">
        <f t="shared" si="467"/>
        <v>0</v>
      </c>
      <c r="BW493" s="149">
        <f t="shared" si="468"/>
        <v>0</v>
      </c>
      <c r="BX493" s="149">
        <f t="shared" si="469"/>
        <v>0</v>
      </c>
      <c r="BY493" s="149">
        <f t="shared" si="470"/>
        <v>0</v>
      </c>
      <c r="BZ493" s="149">
        <f t="shared" si="471"/>
        <v>0</v>
      </c>
      <c r="CA493" s="149">
        <f t="shared" si="472"/>
        <v>0</v>
      </c>
      <c r="CB493" s="149">
        <f t="shared" si="473"/>
        <v>1</v>
      </c>
      <c r="CC493" s="149">
        <f t="shared" si="474"/>
        <v>0</v>
      </c>
      <c r="CD493" s="149">
        <f t="shared" si="475"/>
        <v>1</v>
      </c>
      <c r="CE493" s="149">
        <f t="shared" si="476"/>
        <v>0</v>
      </c>
      <c r="CF493" s="149">
        <f t="shared" si="477"/>
        <v>0</v>
      </c>
      <c r="CG493" s="149">
        <f t="shared" si="478"/>
        <v>0</v>
      </c>
      <c r="CH493" s="149">
        <f t="shared" si="479"/>
        <v>0</v>
      </c>
      <c r="CI493" s="149">
        <f t="shared" si="480"/>
        <v>1</v>
      </c>
      <c r="CJ493" s="149">
        <f t="shared" si="481"/>
        <v>1</v>
      </c>
      <c r="CK493" s="149">
        <f t="shared" si="482"/>
        <v>1</v>
      </c>
      <c r="CL493" s="149">
        <f t="shared" si="483"/>
        <v>1</v>
      </c>
      <c r="CM493" s="149">
        <f t="shared" si="484"/>
        <v>1</v>
      </c>
      <c r="CN493" s="149">
        <f t="shared" si="485"/>
        <v>1</v>
      </c>
      <c r="CO493" s="149">
        <f t="shared" si="486"/>
        <v>1</v>
      </c>
      <c r="CP493" s="149">
        <f t="shared" si="487"/>
        <v>1</v>
      </c>
      <c r="CQ493" s="149">
        <f t="shared" si="488"/>
        <v>1</v>
      </c>
      <c r="CR493" s="149">
        <f t="shared" si="489"/>
        <v>1</v>
      </c>
      <c r="CS493" s="149">
        <f t="shared" si="490"/>
        <v>1</v>
      </c>
      <c r="CT493" s="149">
        <f t="shared" si="491"/>
        <v>1</v>
      </c>
      <c r="CU493" s="149">
        <f t="shared" si="492"/>
        <v>1</v>
      </c>
      <c r="CV493" s="149">
        <f t="shared" si="493"/>
        <v>1</v>
      </c>
      <c r="CW493" s="149">
        <f t="shared" si="494"/>
        <v>1</v>
      </c>
      <c r="CX493" s="149">
        <f t="shared" si="495"/>
        <v>1</v>
      </c>
      <c r="CY493" s="149">
        <f t="shared" si="496"/>
        <v>1</v>
      </c>
      <c r="CZ493" s="149">
        <f t="shared" si="497"/>
        <v>1</v>
      </c>
      <c r="DA493" s="149">
        <f t="shared" si="498"/>
        <v>1</v>
      </c>
      <c r="DB493" s="149">
        <f t="shared" si="499"/>
        <v>1</v>
      </c>
      <c r="DG493" s="125" t="str">
        <f t="shared" si="296"/>
        <v/>
      </c>
      <c r="DH493" s="125" t="str">
        <f t="shared" si="512"/>
        <v/>
      </c>
      <c r="DI493" s="125" t="str">
        <f t="shared" si="512"/>
        <v/>
      </c>
      <c r="DJ493" s="125" t="str">
        <f t="shared" si="512"/>
        <v/>
      </c>
      <c r="DK493" s="125" t="str">
        <f t="shared" si="512"/>
        <v/>
      </c>
      <c r="DL493" s="125" t="str">
        <f t="shared" si="512"/>
        <v/>
      </c>
      <c r="DM493" s="125" t="str">
        <f t="shared" si="512"/>
        <v/>
      </c>
      <c r="DN493" s="125" t="str">
        <f t="shared" si="512"/>
        <v/>
      </c>
      <c r="DO493" s="125" t="str">
        <f t="shared" si="512"/>
        <v/>
      </c>
      <c r="DP493" s="125" t="str">
        <f t="shared" si="512"/>
        <v/>
      </c>
      <c r="DS493" s="137"/>
      <c r="DT493" s="137"/>
      <c r="DU493" s="137"/>
      <c r="DV493" s="137" t="b">
        <f t="shared" si="500"/>
        <v>0</v>
      </c>
      <c r="DW493" s="137" t="b">
        <f t="shared" si="501"/>
        <v>0</v>
      </c>
      <c r="DX493" s="137" t="b">
        <f t="shared" si="502"/>
        <v>1</v>
      </c>
      <c r="EB493" s="131">
        <f t="shared" si="503"/>
        <v>1</v>
      </c>
      <c r="EC493" s="137" t="b">
        <f t="shared" si="504"/>
        <v>0</v>
      </c>
      <c r="ED493" s="137" t="b">
        <f t="shared" si="505"/>
        <v>0</v>
      </c>
      <c r="EE493" s="137" t="b">
        <f t="shared" si="506"/>
        <v>1</v>
      </c>
      <c r="EF493" s="137"/>
      <c r="EG493" s="137"/>
      <c r="EH493" s="137"/>
      <c r="EI493" s="137"/>
      <c r="EJ493" s="137">
        <f t="shared" si="507"/>
        <v>1</v>
      </c>
      <c r="EK493" s="125" t="str">
        <f t="shared" si="508"/>
        <v/>
      </c>
      <c r="EL493" s="125" t="str">
        <f t="shared" si="509"/>
        <v/>
      </c>
    </row>
    <row r="494" spans="2:142" ht="15.75" x14ac:dyDescent="0.2">
      <c r="B494" s="160" t="str">
        <f t="shared" si="459"/>
        <v/>
      </c>
      <c r="C494" s="205"/>
      <c r="D494" s="205"/>
      <c r="E494" s="205"/>
      <c r="F494" s="118" t="str">
        <f>IF(OR(J494="",H494=""),"",VLOOKUP(J494,'הזנה לסיווג רשויות'!$B$2:$D$301,2,0))</f>
        <v/>
      </c>
      <c r="G494" s="118" t="str">
        <f>IF(OR(J494="",H494=""),"",VLOOKUP(J494,'הזנה לסיווג רשויות'!$B$2:$D$301,3,0))</f>
        <v/>
      </c>
      <c r="H494" s="201"/>
      <c r="I494" s="201"/>
      <c r="J494" s="205"/>
      <c r="K494" s="161"/>
      <c r="L494" s="161"/>
      <c r="M494" s="161"/>
      <c r="N494" s="161"/>
      <c r="O494" s="161"/>
      <c r="P494" s="161"/>
      <c r="Q494" s="161"/>
      <c r="R494" s="201"/>
      <c r="S494" s="201"/>
      <c r="T494" s="160" t="str">
        <f>IF(G494="","",IFERROR(IF(S494/R494&gt;'פרמטרים לקריטריונים'!$C$20,1,0),0))</f>
        <v/>
      </c>
      <c r="U494" s="201"/>
      <c r="V494" s="160" t="str">
        <f>IF(G494="","",IFERROR(IF(U494/R494&gt;'פרמטרים לקריטריונים'!$C$21,1,IF(AND(I494=$BW$5,U494/R494&gt;'פרמטרים לקריטריונים'!$C$22),1,0)),0))</f>
        <v/>
      </c>
      <c r="W494" s="161"/>
      <c r="X494" s="161"/>
      <c r="Y494" s="201"/>
      <c r="Z494" s="201"/>
      <c r="AA494" s="161" t="str">
        <f t="shared" si="511"/>
        <v/>
      </c>
      <c r="AB494" s="161"/>
      <c r="AC494" s="161"/>
      <c r="AD494" s="161"/>
      <c r="AE494" s="161"/>
      <c r="AF494" s="161"/>
      <c r="AG494" s="161"/>
      <c r="AH494" s="161"/>
      <c r="AI494" s="161"/>
      <c r="AJ494" s="161"/>
      <c r="AK494" s="161"/>
      <c r="AL494" s="161"/>
      <c r="AM494" s="161"/>
      <c r="AN494" s="161"/>
      <c r="AO494" s="161"/>
      <c r="AP494" s="161"/>
      <c r="AQ494" s="161"/>
      <c r="AR494" s="161"/>
      <c r="AS494" s="161"/>
      <c r="AT494" s="161"/>
      <c r="AU494" s="161"/>
      <c r="AV494" s="161"/>
      <c r="AW494" s="160"/>
      <c r="AX494" s="161"/>
      <c r="AY494" s="161"/>
      <c r="AZ494" s="161"/>
      <c r="BA494" s="161"/>
      <c r="BB494" s="161"/>
      <c r="BC494" s="161"/>
      <c r="BD494" s="161"/>
      <c r="BE494" s="161"/>
      <c r="BF494" s="160" t="str">
        <f t="shared" si="460"/>
        <v/>
      </c>
      <c r="BG494" s="160"/>
      <c r="BH494" s="160"/>
      <c r="BI494" s="160"/>
      <c r="BJ494" s="160"/>
      <c r="BK494" s="160"/>
      <c r="BL494" s="162" t="str">
        <f t="shared" si="461"/>
        <v/>
      </c>
      <c r="BM494" s="257"/>
      <c r="BN494" s="163"/>
      <c r="BO494" s="211" t="str">
        <f t="shared" si="462"/>
        <v/>
      </c>
      <c r="BP494" s="125">
        <f t="shared" si="463"/>
        <v>0</v>
      </c>
      <c r="BQ494" s="164">
        <v>0</v>
      </c>
      <c r="BR494" s="164">
        <v>1</v>
      </c>
      <c r="BS494" s="149">
        <f t="shared" si="464"/>
        <v>0</v>
      </c>
      <c r="BT494" s="149">
        <f t="shared" si="465"/>
        <v>0</v>
      </c>
      <c r="BU494" s="149">
        <f t="shared" si="466"/>
        <v>0</v>
      </c>
      <c r="BV494" s="149">
        <f t="shared" si="467"/>
        <v>0</v>
      </c>
      <c r="BW494" s="149">
        <f t="shared" si="468"/>
        <v>0</v>
      </c>
      <c r="BX494" s="149">
        <f t="shared" si="469"/>
        <v>0</v>
      </c>
      <c r="BY494" s="149">
        <f t="shared" si="470"/>
        <v>0</v>
      </c>
      <c r="BZ494" s="149">
        <f t="shared" si="471"/>
        <v>0</v>
      </c>
      <c r="CA494" s="149">
        <f t="shared" si="472"/>
        <v>0</v>
      </c>
      <c r="CB494" s="149">
        <f t="shared" si="473"/>
        <v>1</v>
      </c>
      <c r="CC494" s="149">
        <f t="shared" si="474"/>
        <v>0</v>
      </c>
      <c r="CD494" s="149">
        <f t="shared" si="475"/>
        <v>1</v>
      </c>
      <c r="CE494" s="149">
        <f t="shared" si="476"/>
        <v>0</v>
      </c>
      <c r="CF494" s="149">
        <f t="shared" si="477"/>
        <v>0</v>
      </c>
      <c r="CG494" s="149">
        <f t="shared" si="478"/>
        <v>0</v>
      </c>
      <c r="CH494" s="149">
        <f t="shared" si="479"/>
        <v>0</v>
      </c>
      <c r="CI494" s="149">
        <f t="shared" si="480"/>
        <v>1</v>
      </c>
      <c r="CJ494" s="149">
        <f t="shared" si="481"/>
        <v>1</v>
      </c>
      <c r="CK494" s="149">
        <f t="shared" si="482"/>
        <v>1</v>
      </c>
      <c r="CL494" s="149">
        <f t="shared" si="483"/>
        <v>1</v>
      </c>
      <c r="CM494" s="149">
        <f t="shared" si="484"/>
        <v>1</v>
      </c>
      <c r="CN494" s="149">
        <f t="shared" si="485"/>
        <v>1</v>
      </c>
      <c r="CO494" s="149">
        <f t="shared" si="486"/>
        <v>1</v>
      </c>
      <c r="CP494" s="149">
        <f t="shared" si="487"/>
        <v>1</v>
      </c>
      <c r="CQ494" s="149">
        <f t="shared" si="488"/>
        <v>1</v>
      </c>
      <c r="CR494" s="149">
        <f t="shared" si="489"/>
        <v>1</v>
      </c>
      <c r="CS494" s="149">
        <f t="shared" si="490"/>
        <v>1</v>
      </c>
      <c r="CT494" s="149">
        <f t="shared" si="491"/>
        <v>1</v>
      </c>
      <c r="CU494" s="149">
        <f t="shared" si="492"/>
        <v>1</v>
      </c>
      <c r="CV494" s="149">
        <f t="shared" si="493"/>
        <v>1</v>
      </c>
      <c r="CW494" s="149">
        <f t="shared" si="494"/>
        <v>1</v>
      </c>
      <c r="CX494" s="149">
        <f t="shared" si="495"/>
        <v>1</v>
      </c>
      <c r="CY494" s="149">
        <f t="shared" si="496"/>
        <v>1</v>
      </c>
      <c r="CZ494" s="149">
        <f t="shared" si="497"/>
        <v>1</v>
      </c>
      <c r="DA494" s="149">
        <f t="shared" si="498"/>
        <v>1</v>
      </c>
      <c r="DB494" s="149">
        <f t="shared" si="499"/>
        <v>1</v>
      </c>
      <c r="DG494" s="125" t="str">
        <f t="shared" si="296"/>
        <v/>
      </c>
      <c r="DH494" s="125" t="str">
        <f t="shared" si="512"/>
        <v/>
      </c>
      <c r="DI494" s="125" t="str">
        <f t="shared" si="512"/>
        <v/>
      </c>
      <c r="DJ494" s="125" t="str">
        <f t="shared" si="512"/>
        <v/>
      </c>
      <c r="DK494" s="125" t="str">
        <f t="shared" si="512"/>
        <v/>
      </c>
      <c r="DL494" s="125" t="str">
        <f t="shared" si="512"/>
        <v/>
      </c>
      <c r="DM494" s="125" t="str">
        <f t="shared" si="512"/>
        <v/>
      </c>
      <c r="DN494" s="125" t="str">
        <f t="shared" si="512"/>
        <v/>
      </c>
      <c r="DO494" s="125" t="str">
        <f t="shared" si="512"/>
        <v/>
      </c>
      <c r="DP494" s="125" t="str">
        <f t="shared" si="512"/>
        <v/>
      </c>
      <c r="DS494" s="137"/>
      <c r="DT494" s="137"/>
      <c r="DU494" s="137"/>
      <c r="DV494" s="137" t="b">
        <f t="shared" si="500"/>
        <v>0</v>
      </c>
      <c r="DW494" s="137" t="b">
        <f t="shared" si="501"/>
        <v>0</v>
      </c>
      <c r="DX494" s="137" t="b">
        <f t="shared" si="502"/>
        <v>1</v>
      </c>
      <c r="EB494" s="131">
        <f t="shared" si="503"/>
        <v>1</v>
      </c>
      <c r="EC494" s="137" t="b">
        <f t="shared" si="504"/>
        <v>0</v>
      </c>
      <c r="ED494" s="137" t="b">
        <f t="shared" si="505"/>
        <v>0</v>
      </c>
      <c r="EE494" s="137" t="b">
        <f t="shared" si="506"/>
        <v>1</v>
      </c>
      <c r="EF494" s="137"/>
      <c r="EG494" s="137"/>
      <c r="EH494" s="137"/>
      <c r="EI494" s="137"/>
      <c r="EJ494" s="137">
        <f t="shared" si="507"/>
        <v>1</v>
      </c>
      <c r="EK494" s="125" t="str">
        <f t="shared" si="508"/>
        <v/>
      </c>
      <c r="EL494" s="125" t="str">
        <f t="shared" si="509"/>
        <v/>
      </c>
    </row>
    <row r="495" spans="2:142" ht="15.75" x14ac:dyDescent="0.2">
      <c r="B495" s="160" t="str">
        <f t="shared" si="459"/>
        <v/>
      </c>
      <c r="C495" s="205"/>
      <c r="D495" s="205"/>
      <c r="E495" s="205"/>
      <c r="F495" s="118" t="str">
        <f>IF(OR(J495="",H495=""),"",VLOOKUP(J495,'הזנה לסיווג רשויות'!$B$2:$D$301,2,0))</f>
        <v/>
      </c>
      <c r="G495" s="118" t="str">
        <f>IF(OR(J495="",H495=""),"",VLOOKUP(J495,'הזנה לסיווג רשויות'!$B$2:$D$301,3,0))</f>
        <v/>
      </c>
      <c r="H495" s="201"/>
      <c r="I495" s="201"/>
      <c r="J495" s="205"/>
      <c r="K495" s="161"/>
      <c r="L495" s="161"/>
      <c r="M495" s="161"/>
      <c r="N495" s="161"/>
      <c r="O495" s="161"/>
      <c r="P495" s="161"/>
      <c r="Q495" s="161"/>
      <c r="R495" s="201"/>
      <c r="S495" s="201"/>
      <c r="T495" s="160" t="str">
        <f>IF(G495="","",IFERROR(IF(S495/R495&gt;'פרמטרים לקריטריונים'!$C$20,1,0),0))</f>
        <v/>
      </c>
      <c r="U495" s="201"/>
      <c r="V495" s="160" t="str">
        <f>IF(G495="","",IFERROR(IF(U495/R495&gt;'פרמטרים לקריטריונים'!$C$21,1,IF(AND(I495=$BW$5,U495/R495&gt;'פרמטרים לקריטריונים'!$C$22),1,0)),0))</f>
        <v/>
      </c>
      <c r="W495" s="161"/>
      <c r="X495" s="161"/>
      <c r="Y495" s="201"/>
      <c r="Z495" s="201"/>
      <c r="AA495" s="161" t="str">
        <f t="shared" si="511"/>
        <v/>
      </c>
      <c r="AB495" s="161"/>
      <c r="AC495" s="161"/>
      <c r="AD495" s="161"/>
      <c r="AE495" s="161"/>
      <c r="AF495" s="161"/>
      <c r="AG495" s="161"/>
      <c r="AH495" s="161"/>
      <c r="AI495" s="161"/>
      <c r="AJ495" s="161"/>
      <c r="AK495" s="161"/>
      <c r="AL495" s="161"/>
      <c r="AM495" s="161"/>
      <c r="AN495" s="161"/>
      <c r="AO495" s="161"/>
      <c r="AP495" s="161"/>
      <c r="AQ495" s="161"/>
      <c r="AR495" s="161"/>
      <c r="AS495" s="161"/>
      <c r="AT495" s="161"/>
      <c r="AU495" s="161"/>
      <c r="AV495" s="161"/>
      <c r="AW495" s="160"/>
      <c r="AX495" s="161"/>
      <c r="AY495" s="161"/>
      <c r="AZ495" s="161"/>
      <c r="BA495" s="161"/>
      <c r="BB495" s="161"/>
      <c r="BC495" s="161"/>
      <c r="BD495" s="161"/>
      <c r="BE495" s="161"/>
      <c r="BF495" s="160" t="str">
        <f t="shared" si="460"/>
        <v/>
      </c>
      <c r="BG495" s="160"/>
      <c r="BH495" s="160"/>
      <c r="BI495" s="160"/>
      <c r="BJ495" s="160"/>
      <c r="BK495" s="160"/>
      <c r="BL495" s="162" t="str">
        <f t="shared" si="461"/>
        <v/>
      </c>
      <c r="BM495" s="257"/>
      <c r="BN495" s="163"/>
      <c r="BO495" s="211" t="str">
        <f t="shared" si="462"/>
        <v/>
      </c>
      <c r="BP495" s="125">
        <f t="shared" si="463"/>
        <v>0</v>
      </c>
      <c r="BQ495" s="164">
        <v>0</v>
      </c>
      <c r="BR495" s="164">
        <v>1</v>
      </c>
      <c r="BS495" s="149">
        <f t="shared" si="464"/>
        <v>0</v>
      </c>
      <c r="BT495" s="149">
        <f t="shared" si="465"/>
        <v>0</v>
      </c>
      <c r="BU495" s="149">
        <f t="shared" si="466"/>
        <v>0</v>
      </c>
      <c r="BV495" s="149">
        <f t="shared" si="467"/>
        <v>0</v>
      </c>
      <c r="BW495" s="149">
        <f t="shared" si="468"/>
        <v>0</v>
      </c>
      <c r="BX495" s="149">
        <f t="shared" si="469"/>
        <v>0</v>
      </c>
      <c r="BY495" s="149">
        <f t="shared" si="470"/>
        <v>0</v>
      </c>
      <c r="BZ495" s="149">
        <f t="shared" si="471"/>
        <v>0</v>
      </c>
      <c r="CA495" s="149">
        <f t="shared" si="472"/>
        <v>0</v>
      </c>
      <c r="CB495" s="149">
        <f t="shared" si="473"/>
        <v>1</v>
      </c>
      <c r="CC495" s="149">
        <f t="shared" si="474"/>
        <v>0</v>
      </c>
      <c r="CD495" s="149">
        <f t="shared" si="475"/>
        <v>1</v>
      </c>
      <c r="CE495" s="149">
        <f t="shared" si="476"/>
        <v>0</v>
      </c>
      <c r="CF495" s="149">
        <f t="shared" si="477"/>
        <v>0</v>
      </c>
      <c r="CG495" s="149">
        <f t="shared" si="478"/>
        <v>0</v>
      </c>
      <c r="CH495" s="149">
        <f t="shared" si="479"/>
        <v>0</v>
      </c>
      <c r="CI495" s="149">
        <f t="shared" si="480"/>
        <v>1</v>
      </c>
      <c r="CJ495" s="149">
        <f t="shared" si="481"/>
        <v>1</v>
      </c>
      <c r="CK495" s="149">
        <f t="shared" si="482"/>
        <v>1</v>
      </c>
      <c r="CL495" s="149">
        <f t="shared" si="483"/>
        <v>1</v>
      </c>
      <c r="CM495" s="149">
        <f t="shared" si="484"/>
        <v>1</v>
      </c>
      <c r="CN495" s="149">
        <f t="shared" si="485"/>
        <v>1</v>
      </c>
      <c r="CO495" s="149">
        <f t="shared" si="486"/>
        <v>1</v>
      </c>
      <c r="CP495" s="149">
        <f t="shared" si="487"/>
        <v>1</v>
      </c>
      <c r="CQ495" s="149">
        <f t="shared" si="488"/>
        <v>1</v>
      </c>
      <c r="CR495" s="149">
        <f t="shared" si="489"/>
        <v>1</v>
      </c>
      <c r="CS495" s="149">
        <f t="shared" si="490"/>
        <v>1</v>
      </c>
      <c r="CT495" s="149">
        <f t="shared" si="491"/>
        <v>1</v>
      </c>
      <c r="CU495" s="149">
        <f t="shared" si="492"/>
        <v>1</v>
      </c>
      <c r="CV495" s="149">
        <f t="shared" si="493"/>
        <v>1</v>
      </c>
      <c r="CW495" s="149">
        <f t="shared" si="494"/>
        <v>1</v>
      </c>
      <c r="CX495" s="149">
        <f t="shared" si="495"/>
        <v>1</v>
      </c>
      <c r="CY495" s="149">
        <f t="shared" si="496"/>
        <v>1</v>
      </c>
      <c r="CZ495" s="149">
        <f t="shared" si="497"/>
        <v>1</v>
      </c>
      <c r="DA495" s="149">
        <f t="shared" si="498"/>
        <v>1</v>
      </c>
      <c r="DB495" s="149">
        <f t="shared" si="499"/>
        <v>1</v>
      </c>
      <c r="DG495" s="125" t="str">
        <f t="shared" si="296"/>
        <v/>
      </c>
      <c r="DH495" s="125" t="str">
        <f t="shared" si="512"/>
        <v/>
      </c>
      <c r="DI495" s="125" t="str">
        <f t="shared" si="512"/>
        <v/>
      </c>
      <c r="DJ495" s="125" t="str">
        <f t="shared" si="512"/>
        <v/>
      </c>
      <c r="DK495" s="125" t="str">
        <f t="shared" si="512"/>
        <v/>
      </c>
      <c r="DL495" s="125" t="str">
        <f t="shared" si="512"/>
        <v/>
      </c>
      <c r="DM495" s="125" t="str">
        <f t="shared" si="512"/>
        <v/>
      </c>
      <c r="DN495" s="125" t="str">
        <f t="shared" si="512"/>
        <v/>
      </c>
      <c r="DO495" s="125" t="str">
        <f t="shared" si="512"/>
        <v/>
      </c>
      <c r="DP495" s="125" t="str">
        <f t="shared" si="512"/>
        <v/>
      </c>
      <c r="DS495" s="137"/>
      <c r="DT495" s="137"/>
      <c r="DU495" s="137"/>
      <c r="DV495" s="137" t="b">
        <f t="shared" si="500"/>
        <v>0</v>
      </c>
      <c r="DW495" s="137" t="b">
        <f t="shared" si="501"/>
        <v>0</v>
      </c>
      <c r="DX495" s="137" t="b">
        <f t="shared" si="502"/>
        <v>1</v>
      </c>
      <c r="EB495" s="131">
        <f t="shared" si="503"/>
        <v>1</v>
      </c>
      <c r="EC495" s="137" t="b">
        <f t="shared" si="504"/>
        <v>0</v>
      </c>
      <c r="ED495" s="137" t="b">
        <f t="shared" si="505"/>
        <v>0</v>
      </c>
      <c r="EE495" s="137" t="b">
        <f t="shared" si="506"/>
        <v>1</v>
      </c>
      <c r="EF495" s="137"/>
      <c r="EG495" s="137"/>
      <c r="EH495" s="137"/>
      <c r="EI495" s="137"/>
      <c r="EJ495" s="137">
        <f t="shared" si="507"/>
        <v>1</v>
      </c>
      <c r="EK495" s="125" t="str">
        <f t="shared" si="508"/>
        <v/>
      </c>
      <c r="EL495" s="125" t="str">
        <f t="shared" si="509"/>
        <v/>
      </c>
    </row>
    <row r="496" spans="2:142" ht="15.75" x14ac:dyDescent="0.2">
      <c r="B496" s="160" t="str">
        <f t="shared" si="459"/>
        <v/>
      </c>
      <c r="C496" s="205"/>
      <c r="D496" s="205"/>
      <c r="E496" s="205"/>
      <c r="F496" s="118" t="str">
        <f>IF(OR(J496="",H496=""),"",VLOOKUP(J496,'הזנה לסיווג רשויות'!$B$2:$D$301,2,0))</f>
        <v/>
      </c>
      <c r="G496" s="118" t="str">
        <f>IF(OR(J496="",H496=""),"",VLOOKUP(J496,'הזנה לסיווג רשויות'!$B$2:$D$301,3,0))</f>
        <v/>
      </c>
      <c r="H496" s="201"/>
      <c r="I496" s="201"/>
      <c r="J496" s="205"/>
      <c r="K496" s="161"/>
      <c r="L496" s="161"/>
      <c r="M496" s="161"/>
      <c r="N496" s="161"/>
      <c r="O496" s="161"/>
      <c r="P496" s="161"/>
      <c r="Q496" s="161"/>
      <c r="R496" s="201"/>
      <c r="S496" s="201"/>
      <c r="T496" s="160" t="str">
        <f>IF(G496="","",IFERROR(IF(S496/R496&gt;'פרמטרים לקריטריונים'!$C$20,1,0),0))</f>
        <v/>
      </c>
      <c r="U496" s="201"/>
      <c r="V496" s="160" t="str">
        <f>IF(G496="","",IFERROR(IF(U496/R496&gt;'פרמטרים לקריטריונים'!$C$21,1,IF(AND(I496=$BW$5,U496/R496&gt;'פרמטרים לקריטריונים'!$C$22),1,0)),0))</f>
        <v/>
      </c>
      <c r="W496" s="161"/>
      <c r="X496" s="161"/>
      <c r="Y496" s="201"/>
      <c r="Z496" s="201"/>
      <c r="AA496" s="161" t="str">
        <f t="shared" si="511"/>
        <v/>
      </c>
      <c r="AB496" s="161"/>
      <c r="AC496" s="161"/>
      <c r="AD496" s="161"/>
      <c r="AE496" s="161"/>
      <c r="AF496" s="161"/>
      <c r="AG496" s="161"/>
      <c r="AH496" s="161"/>
      <c r="AI496" s="161"/>
      <c r="AJ496" s="161"/>
      <c r="AK496" s="161"/>
      <c r="AL496" s="161"/>
      <c r="AM496" s="161"/>
      <c r="AN496" s="161"/>
      <c r="AO496" s="161"/>
      <c r="AP496" s="161"/>
      <c r="AQ496" s="161"/>
      <c r="AR496" s="161"/>
      <c r="AS496" s="161"/>
      <c r="AT496" s="161"/>
      <c r="AU496" s="161"/>
      <c r="AV496" s="161"/>
      <c r="AW496" s="160"/>
      <c r="AX496" s="161"/>
      <c r="AY496" s="161"/>
      <c r="AZ496" s="161"/>
      <c r="BA496" s="161"/>
      <c r="BB496" s="161"/>
      <c r="BC496" s="161"/>
      <c r="BD496" s="161"/>
      <c r="BE496" s="161"/>
      <c r="BF496" s="160" t="str">
        <f t="shared" si="460"/>
        <v/>
      </c>
      <c r="BG496" s="160"/>
      <c r="BH496" s="160"/>
      <c r="BI496" s="160"/>
      <c r="BJ496" s="160"/>
      <c r="BK496" s="160"/>
      <c r="BL496" s="162" t="str">
        <f t="shared" si="461"/>
        <v/>
      </c>
      <c r="BM496" s="257"/>
      <c r="BN496" s="163"/>
      <c r="BO496" s="211" t="str">
        <f t="shared" si="462"/>
        <v/>
      </c>
      <c r="BP496" s="125">
        <f t="shared" si="463"/>
        <v>0</v>
      </c>
      <c r="BQ496" s="164">
        <v>0</v>
      </c>
      <c r="BR496" s="164">
        <v>1</v>
      </c>
      <c r="BS496" s="149">
        <f t="shared" si="464"/>
        <v>0</v>
      </c>
      <c r="BT496" s="149">
        <f t="shared" si="465"/>
        <v>0</v>
      </c>
      <c r="BU496" s="149">
        <f t="shared" si="466"/>
        <v>0</v>
      </c>
      <c r="BV496" s="149">
        <f t="shared" si="467"/>
        <v>0</v>
      </c>
      <c r="BW496" s="149">
        <f t="shared" si="468"/>
        <v>0</v>
      </c>
      <c r="BX496" s="149">
        <f t="shared" si="469"/>
        <v>0</v>
      </c>
      <c r="BY496" s="149">
        <f t="shared" si="470"/>
        <v>0</v>
      </c>
      <c r="BZ496" s="149">
        <f t="shared" si="471"/>
        <v>0</v>
      </c>
      <c r="CA496" s="149">
        <f t="shared" si="472"/>
        <v>0</v>
      </c>
      <c r="CB496" s="149">
        <f t="shared" si="473"/>
        <v>1</v>
      </c>
      <c r="CC496" s="149">
        <f t="shared" si="474"/>
        <v>0</v>
      </c>
      <c r="CD496" s="149">
        <f t="shared" si="475"/>
        <v>1</v>
      </c>
      <c r="CE496" s="149">
        <f t="shared" si="476"/>
        <v>0</v>
      </c>
      <c r="CF496" s="149">
        <f t="shared" si="477"/>
        <v>0</v>
      </c>
      <c r="CG496" s="149">
        <f t="shared" si="478"/>
        <v>0</v>
      </c>
      <c r="CH496" s="149">
        <f t="shared" si="479"/>
        <v>0</v>
      </c>
      <c r="CI496" s="149">
        <f t="shared" si="480"/>
        <v>1</v>
      </c>
      <c r="CJ496" s="149">
        <f t="shared" si="481"/>
        <v>1</v>
      </c>
      <c r="CK496" s="149">
        <f t="shared" si="482"/>
        <v>1</v>
      </c>
      <c r="CL496" s="149">
        <f t="shared" si="483"/>
        <v>1</v>
      </c>
      <c r="CM496" s="149">
        <f t="shared" si="484"/>
        <v>1</v>
      </c>
      <c r="CN496" s="149">
        <f t="shared" si="485"/>
        <v>1</v>
      </c>
      <c r="CO496" s="149">
        <f t="shared" si="486"/>
        <v>1</v>
      </c>
      <c r="CP496" s="149">
        <f t="shared" si="487"/>
        <v>1</v>
      </c>
      <c r="CQ496" s="149">
        <f t="shared" si="488"/>
        <v>1</v>
      </c>
      <c r="CR496" s="149">
        <f t="shared" si="489"/>
        <v>1</v>
      </c>
      <c r="CS496" s="149">
        <f t="shared" si="490"/>
        <v>1</v>
      </c>
      <c r="CT496" s="149">
        <f t="shared" si="491"/>
        <v>1</v>
      </c>
      <c r="CU496" s="149">
        <f t="shared" si="492"/>
        <v>1</v>
      </c>
      <c r="CV496" s="149">
        <f t="shared" si="493"/>
        <v>1</v>
      </c>
      <c r="CW496" s="149">
        <f t="shared" si="494"/>
        <v>1</v>
      </c>
      <c r="CX496" s="149">
        <f t="shared" si="495"/>
        <v>1</v>
      </c>
      <c r="CY496" s="149">
        <f t="shared" si="496"/>
        <v>1</v>
      </c>
      <c r="CZ496" s="149">
        <f t="shared" si="497"/>
        <v>1</v>
      </c>
      <c r="DA496" s="149">
        <f t="shared" si="498"/>
        <v>1</v>
      </c>
      <c r="DB496" s="149">
        <f t="shared" si="499"/>
        <v>1</v>
      </c>
      <c r="DG496" s="125" t="str">
        <f t="shared" si="296"/>
        <v/>
      </c>
      <c r="DH496" s="125" t="str">
        <f t="shared" si="512"/>
        <v/>
      </c>
      <c r="DI496" s="125" t="str">
        <f t="shared" si="512"/>
        <v/>
      </c>
      <c r="DJ496" s="125" t="str">
        <f t="shared" si="512"/>
        <v/>
      </c>
      <c r="DK496" s="125" t="str">
        <f t="shared" si="512"/>
        <v/>
      </c>
      <c r="DL496" s="125" t="str">
        <f t="shared" si="512"/>
        <v/>
      </c>
      <c r="DM496" s="125" t="str">
        <f t="shared" si="512"/>
        <v/>
      </c>
      <c r="DN496" s="125" t="str">
        <f t="shared" si="512"/>
        <v/>
      </c>
      <c r="DO496" s="125" t="str">
        <f t="shared" si="512"/>
        <v/>
      </c>
      <c r="DP496" s="125" t="str">
        <f t="shared" si="512"/>
        <v/>
      </c>
      <c r="DS496" s="137"/>
      <c r="DT496" s="137"/>
      <c r="DU496" s="137"/>
      <c r="DV496" s="137" t="b">
        <f t="shared" si="500"/>
        <v>0</v>
      </c>
      <c r="DW496" s="137" t="b">
        <f t="shared" si="501"/>
        <v>0</v>
      </c>
      <c r="DX496" s="137" t="b">
        <f t="shared" si="502"/>
        <v>1</v>
      </c>
      <c r="EB496" s="131">
        <f t="shared" si="503"/>
        <v>1</v>
      </c>
      <c r="EC496" s="137" t="b">
        <f t="shared" si="504"/>
        <v>0</v>
      </c>
      <c r="ED496" s="137" t="b">
        <f t="shared" si="505"/>
        <v>0</v>
      </c>
      <c r="EE496" s="137" t="b">
        <f t="shared" si="506"/>
        <v>1</v>
      </c>
      <c r="EF496" s="137"/>
      <c r="EG496" s="137"/>
      <c r="EH496" s="137"/>
      <c r="EI496" s="137"/>
      <c r="EJ496" s="137">
        <f t="shared" si="507"/>
        <v>1</v>
      </c>
      <c r="EK496" s="125" t="str">
        <f t="shared" si="508"/>
        <v/>
      </c>
      <c r="EL496" s="125" t="str">
        <f t="shared" si="509"/>
        <v/>
      </c>
    </row>
    <row r="497" spans="2:142" ht="15.75" x14ac:dyDescent="0.2">
      <c r="B497" s="160" t="str">
        <f t="shared" si="459"/>
        <v/>
      </c>
      <c r="C497" s="205"/>
      <c r="D497" s="205"/>
      <c r="E497" s="205"/>
      <c r="F497" s="118" t="str">
        <f>IF(OR(J497="",H497=""),"",VLOOKUP(J497,'הזנה לסיווג רשויות'!$B$2:$D$301,2,0))</f>
        <v/>
      </c>
      <c r="G497" s="118" t="str">
        <f>IF(OR(J497="",H497=""),"",VLOOKUP(J497,'הזנה לסיווג רשויות'!$B$2:$D$301,3,0))</f>
        <v/>
      </c>
      <c r="H497" s="201"/>
      <c r="I497" s="201"/>
      <c r="J497" s="205"/>
      <c r="K497" s="161"/>
      <c r="L497" s="161"/>
      <c r="M497" s="161"/>
      <c r="N497" s="161"/>
      <c r="O497" s="161"/>
      <c r="P497" s="161"/>
      <c r="Q497" s="161"/>
      <c r="R497" s="201"/>
      <c r="S497" s="201"/>
      <c r="T497" s="160" t="str">
        <f>IF(G497="","",IFERROR(IF(S497/R497&gt;'פרמטרים לקריטריונים'!$C$20,1,0),0))</f>
        <v/>
      </c>
      <c r="U497" s="201"/>
      <c r="V497" s="160" t="str">
        <f>IF(G497="","",IFERROR(IF(U497/R497&gt;'פרמטרים לקריטריונים'!$C$21,1,IF(AND(I497=$BW$5,U497/R497&gt;'פרמטרים לקריטריונים'!$C$22),1,0)),0))</f>
        <v/>
      </c>
      <c r="W497" s="161"/>
      <c r="X497" s="161"/>
      <c r="Y497" s="201"/>
      <c r="Z497" s="201"/>
      <c r="AA497" s="161" t="str">
        <f t="shared" si="511"/>
        <v/>
      </c>
      <c r="AB497" s="161"/>
      <c r="AC497" s="161"/>
      <c r="AD497" s="161"/>
      <c r="AE497" s="161"/>
      <c r="AF497" s="161"/>
      <c r="AG497" s="161"/>
      <c r="AH497" s="161"/>
      <c r="AI497" s="161"/>
      <c r="AJ497" s="161"/>
      <c r="AK497" s="161"/>
      <c r="AL497" s="161"/>
      <c r="AM497" s="161"/>
      <c r="AN497" s="161"/>
      <c r="AO497" s="161"/>
      <c r="AP497" s="161"/>
      <c r="AQ497" s="161"/>
      <c r="AR497" s="161"/>
      <c r="AS497" s="161"/>
      <c r="AT497" s="161"/>
      <c r="AU497" s="161"/>
      <c r="AV497" s="161"/>
      <c r="AW497" s="160"/>
      <c r="AX497" s="161"/>
      <c r="AY497" s="161"/>
      <c r="AZ497" s="161"/>
      <c r="BA497" s="161"/>
      <c r="BB497" s="161"/>
      <c r="BC497" s="161"/>
      <c r="BD497" s="161"/>
      <c r="BE497" s="161"/>
      <c r="BF497" s="160" t="str">
        <f t="shared" si="460"/>
        <v/>
      </c>
      <c r="BG497" s="160"/>
      <c r="BH497" s="160"/>
      <c r="BI497" s="160"/>
      <c r="BJ497" s="160"/>
      <c r="BK497" s="160"/>
      <c r="BL497" s="162" t="str">
        <f t="shared" si="461"/>
        <v/>
      </c>
      <c r="BM497" s="257"/>
      <c r="BN497" s="163"/>
      <c r="BO497" s="211" t="str">
        <f t="shared" si="462"/>
        <v/>
      </c>
      <c r="BP497" s="125">
        <f t="shared" si="463"/>
        <v>0</v>
      </c>
      <c r="BQ497" s="164">
        <v>0</v>
      </c>
      <c r="BR497" s="164">
        <v>1</v>
      </c>
      <c r="BS497" s="149">
        <f t="shared" si="464"/>
        <v>0</v>
      </c>
      <c r="BT497" s="149">
        <f t="shared" si="465"/>
        <v>0</v>
      </c>
      <c r="BU497" s="149">
        <f t="shared" si="466"/>
        <v>0</v>
      </c>
      <c r="BV497" s="149">
        <f t="shared" si="467"/>
        <v>0</v>
      </c>
      <c r="BW497" s="149">
        <f t="shared" si="468"/>
        <v>0</v>
      </c>
      <c r="BX497" s="149">
        <f t="shared" si="469"/>
        <v>0</v>
      </c>
      <c r="BY497" s="149">
        <f t="shared" si="470"/>
        <v>0</v>
      </c>
      <c r="BZ497" s="149">
        <f t="shared" si="471"/>
        <v>0</v>
      </c>
      <c r="CA497" s="149">
        <f t="shared" si="472"/>
        <v>0</v>
      </c>
      <c r="CB497" s="149">
        <f t="shared" si="473"/>
        <v>1</v>
      </c>
      <c r="CC497" s="149">
        <f t="shared" si="474"/>
        <v>0</v>
      </c>
      <c r="CD497" s="149">
        <f t="shared" si="475"/>
        <v>1</v>
      </c>
      <c r="CE497" s="149">
        <f t="shared" si="476"/>
        <v>0</v>
      </c>
      <c r="CF497" s="149">
        <f t="shared" si="477"/>
        <v>0</v>
      </c>
      <c r="CG497" s="149">
        <f t="shared" si="478"/>
        <v>0</v>
      </c>
      <c r="CH497" s="149">
        <f t="shared" si="479"/>
        <v>0</v>
      </c>
      <c r="CI497" s="149">
        <f t="shared" si="480"/>
        <v>1</v>
      </c>
      <c r="CJ497" s="149">
        <f t="shared" si="481"/>
        <v>1</v>
      </c>
      <c r="CK497" s="149">
        <f t="shared" si="482"/>
        <v>1</v>
      </c>
      <c r="CL497" s="149">
        <f t="shared" si="483"/>
        <v>1</v>
      </c>
      <c r="CM497" s="149">
        <f t="shared" si="484"/>
        <v>1</v>
      </c>
      <c r="CN497" s="149">
        <f t="shared" si="485"/>
        <v>1</v>
      </c>
      <c r="CO497" s="149">
        <f t="shared" si="486"/>
        <v>1</v>
      </c>
      <c r="CP497" s="149">
        <f t="shared" si="487"/>
        <v>1</v>
      </c>
      <c r="CQ497" s="149">
        <f t="shared" si="488"/>
        <v>1</v>
      </c>
      <c r="CR497" s="149">
        <f t="shared" si="489"/>
        <v>1</v>
      </c>
      <c r="CS497" s="149">
        <f t="shared" si="490"/>
        <v>1</v>
      </c>
      <c r="CT497" s="149">
        <f t="shared" si="491"/>
        <v>1</v>
      </c>
      <c r="CU497" s="149">
        <f t="shared" si="492"/>
        <v>1</v>
      </c>
      <c r="CV497" s="149">
        <f t="shared" si="493"/>
        <v>1</v>
      </c>
      <c r="CW497" s="149">
        <f t="shared" si="494"/>
        <v>1</v>
      </c>
      <c r="CX497" s="149">
        <f t="shared" si="495"/>
        <v>1</v>
      </c>
      <c r="CY497" s="149">
        <f t="shared" si="496"/>
        <v>1</v>
      </c>
      <c r="CZ497" s="149">
        <f t="shared" si="497"/>
        <v>1</v>
      </c>
      <c r="DA497" s="149">
        <f t="shared" si="498"/>
        <v>1</v>
      </c>
      <c r="DB497" s="149">
        <f t="shared" si="499"/>
        <v>1</v>
      </c>
      <c r="DG497" s="125" t="str">
        <f t="shared" si="296"/>
        <v/>
      </c>
      <c r="DH497" s="125" t="str">
        <f t="shared" si="512"/>
        <v/>
      </c>
      <c r="DI497" s="125" t="str">
        <f t="shared" si="512"/>
        <v/>
      </c>
      <c r="DJ497" s="125" t="str">
        <f t="shared" si="512"/>
        <v/>
      </c>
      <c r="DK497" s="125" t="str">
        <f t="shared" si="512"/>
        <v/>
      </c>
      <c r="DL497" s="125" t="str">
        <f t="shared" si="512"/>
        <v/>
      </c>
      <c r="DM497" s="125" t="str">
        <f t="shared" si="512"/>
        <v/>
      </c>
      <c r="DN497" s="125" t="str">
        <f t="shared" si="512"/>
        <v/>
      </c>
      <c r="DO497" s="125" t="str">
        <f t="shared" si="512"/>
        <v/>
      </c>
      <c r="DP497" s="125" t="str">
        <f t="shared" si="512"/>
        <v/>
      </c>
      <c r="DS497" s="137"/>
      <c r="DT497" s="137"/>
      <c r="DU497" s="137"/>
      <c r="DV497" s="137" t="b">
        <f t="shared" si="500"/>
        <v>0</v>
      </c>
      <c r="DW497" s="137" t="b">
        <f t="shared" si="501"/>
        <v>0</v>
      </c>
      <c r="DX497" s="137" t="b">
        <f t="shared" si="502"/>
        <v>1</v>
      </c>
      <c r="EB497" s="131">
        <f t="shared" si="503"/>
        <v>1</v>
      </c>
      <c r="EC497" s="137" t="b">
        <f t="shared" si="504"/>
        <v>0</v>
      </c>
      <c r="ED497" s="137" t="b">
        <f t="shared" si="505"/>
        <v>0</v>
      </c>
      <c r="EE497" s="137" t="b">
        <f t="shared" si="506"/>
        <v>1</v>
      </c>
      <c r="EF497" s="137"/>
      <c r="EG497" s="137"/>
      <c r="EH497" s="137"/>
      <c r="EI497" s="137"/>
      <c r="EJ497" s="137">
        <f t="shared" si="507"/>
        <v>1</v>
      </c>
      <c r="EK497" s="125" t="str">
        <f t="shared" si="508"/>
        <v/>
      </c>
      <c r="EL497" s="125" t="str">
        <f t="shared" si="509"/>
        <v/>
      </c>
    </row>
    <row r="498" spans="2:142" ht="15.75" x14ac:dyDescent="0.2">
      <c r="B498" s="160" t="str">
        <f t="shared" si="459"/>
        <v/>
      </c>
      <c r="C498" s="205"/>
      <c r="D498" s="205"/>
      <c r="E498" s="205"/>
      <c r="F498" s="118" t="str">
        <f>IF(OR(J498="",H498=""),"",VLOOKUP(J498,'הזנה לסיווג רשויות'!$B$2:$D$301,2,0))</f>
        <v/>
      </c>
      <c r="G498" s="118" t="str">
        <f>IF(OR(J498="",H498=""),"",VLOOKUP(J498,'הזנה לסיווג רשויות'!$B$2:$D$301,3,0))</f>
        <v/>
      </c>
      <c r="H498" s="201"/>
      <c r="I498" s="201"/>
      <c r="J498" s="205"/>
      <c r="K498" s="161"/>
      <c r="L498" s="161"/>
      <c r="M498" s="161"/>
      <c r="N498" s="161"/>
      <c r="O498" s="161"/>
      <c r="P498" s="161"/>
      <c r="Q498" s="161"/>
      <c r="R498" s="201"/>
      <c r="S498" s="201"/>
      <c r="T498" s="160" t="str">
        <f>IF(G498="","",IFERROR(IF(S498/R498&gt;'פרמטרים לקריטריונים'!$C$20,1,0),0))</f>
        <v/>
      </c>
      <c r="U498" s="201"/>
      <c r="V498" s="160" t="str">
        <f>IF(G498="","",IFERROR(IF(U498/R498&gt;'פרמטרים לקריטריונים'!$C$21,1,IF(AND(I498=$BW$5,U498/R498&gt;'פרמטרים לקריטריונים'!$C$22),1,0)),0))</f>
        <v/>
      </c>
      <c r="W498" s="161"/>
      <c r="X498" s="161"/>
      <c r="Y498" s="201"/>
      <c r="Z498" s="201"/>
      <c r="AA498" s="161" t="str">
        <f t="shared" si="511"/>
        <v/>
      </c>
      <c r="AB498" s="161"/>
      <c r="AC498" s="161"/>
      <c r="AD498" s="161"/>
      <c r="AE498" s="161"/>
      <c r="AF498" s="161"/>
      <c r="AG498" s="161"/>
      <c r="AH498" s="161"/>
      <c r="AI498" s="161"/>
      <c r="AJ498" s="161"/>
      <c r="AK498" s="161"/>
      <c r="AL498" s="161"/>
      <c r="AM498" s="161"/>
      <c r="AN498" s="161"/>
      <c r="AO498" s="161"/>
      <c r="AP498" s="161"/>
      <c r="AQ498" s="161"/>
      <c r="AR498" s="161"/>
      <c r="AS498" s="161"/>
      <c r="AT498" s="161"/>
      <c r="AU498" s="161"/>
      <c r="AV498" s="161"/>
      <c r="AW498" s="160"/>
      <c r="AX498" s="161"/>
      <c r="AY498" s="161"/>
      <c r="AZ498" s="161"/>
      <c r="BA498" s="161"/>
      <c r="BB498" s="161"/>
      <c r="BC498" s="161"/>
      <c r="BD498" s="161"/>
      <c r="BE498" s="161"/>
      <c r="BF498" s="160" t="str">
        <f t="shared" si="460"/>
        <v/>
      </c>
      <c r="BG498" s="160"/>
      <c r="BH498" s="160"/>
      <c r="BI498" s="160"/>
      <c r="BJ498" s="160"/>
      <c r="BK498" s="160"/>
      <c r="BL498" s="162" t="str">
        <f t="shared" si="461"/>
        <v/>
      </c>
      <c r="BM498" s="257"/>
      <c r="BN498" s="163"/>
      <c r="BO498" s="211" t="str">
        <f t="shared" si="462"/>
        <v/>
      </c>
      <c r="BP498" s="125">
        <f t="shared" si="463"/>
        <v>0</v>
      </c>
      <c r="BQ498" s="164">
        <v>0</v>
      </c>
      <c r="BR498" s="164">
        <v>1</v>
      </c>
      <c r="BS498" s="149">
        <f t="shared" si="464"/>
        <v>0</v>
      </c>
      <c r="BT498" s="149">
        <f t="shared" si="465"/>
        <v>0</v>
      </c>
      <c r="BU498" s="149">
        <f t="shared" si="466"/>
        <v>0</v>
      </c>
      <c r="BV498" s="149">
        <f t="shared" si="467"/>
        <v>0</v>
      </c>
      <c r="BW498" s="149">
        <f t="shared" si="468"/>
        <v>0</v>
      </c>
      <c r="BX498" s="149">
        <f t="shared" si="469"/>
        <v>0</v>
      </c>
      <c r="BY498" s="149">
        <f t="shared" si="470"/>
        <v>0</v>
      </c>
      <c r="BZ498" s="149">
        <f t="shared" si="471"/>
        <v>0</v>
      </c>
      <c r="CA498" s="149">
        <f t="shared" si="472"/>
        <v>0</v>
      </c>
      <c r="CB498" s="149">
        <f t="shared" si="473"/>
        <v>1</v>
      </c>
      <c r="CC498" s="149">
        <f t="shared" si="474"/>
        <v>0</v>
      </c>
      <c r="CD498" s="149">
        <f t="shared" si="475"/>
        <v>1</v>
      </c>
      <c r="CE498" s="149">
        <f t="shared" si="476"/>
        <v>0</v>
      </c>
      <c r="CF498" s="149">
        <f t="shared" si="477"/>
        <v>0</v>
      </c>
      <c r="CG498" s="149">
        <f t="shared" si="478"/>
        <v>0</v>
      </c>
      <c r="CH498" s="149">
        <f t="shared" si="479"/>
        <v>0</v>
      </c>
      <c r="CI498" s="149">
        <f t="shared" si="480"/>
        <v>1</v>
      </c>
      <c r="CJ498" s="149">
        <f t="shared" si="481"/>
        <v>1</v>
      </c>
      <c r="CK498" s="149">
        <f t="shared" si="482"/>
        <v>1</v>
      </c>
      <c r="CL498" s="149">
        <f t="shared" si="483"/>
        <v>1</v>
      </c>
      <c r="CM498" s="149">
        <f t="shared" si="484"/>
        <v>1</v>
      </c>
      <c r="CN498" s="149">
        <f t="shared" si="485"/>
        <v>1</v>
      </c>
      <c r="CO498" s="149">
        <f t="shared" si="486"/>
        <v>1</v>
      </c>
      <c r="CP498" s="149">
        <f t="shared" si="487"/>
        <v>1</v>
      </c>
      <c r="CQ498" s="149">
        <f t="shared" si="488"/>
        <v>1</v>
      </c>
      <c r="CR498" s="149">
        <f t="shared" si="489"/>
        <v>1</v>
      </c>
      <c r="CS498" s="149">
        <f t="shared" si="490"/>
        <v>1</v>
      </c>
      <c r="CT498" s="149">
        <f t="shared" si="491"/>
        <v>1</v>
      </c>
      <c r="CU498" s="149">
        <f t="shared" si="492"/>
        <v>1</v>
      </c>
      <c r="CV498" s="149">
        <f t="shared" si="493"/>
        <v>1</v>
      </c>
      <c r="CW498" s="149">
        <f t="shared" si="494"/>
        <v>1</v>
      </c>
      <c r="CX498" s="149">
        <f t="shared" si="495"/>
        <v>1</v>
      </c>
      <c r="CY498" s="149">
        <f t="shared" si="496"/>
        <v>1</v>
      </c>
      <c r="CZ498" s="149">
        <f t="shared" si="497"/>
        <v>1</v>
      </c>
      <c r="DA498" s="149">
        <f t="shared" si="498"/>
        <v>1</v>
      </c>
      <c r="DB498" s="149">
        <f t="shared" si="499"/>
        <v>1</v>
      </c>
      <c r="DG498" s="125" t="str">
        <f t="shared" si="296"/>
        <v/>
      </c>
      <c r="DH498" s="125" t="str">
        <f t="shared" si="512"/>
        <v/>
      </c>
      <c r="DI498" s="125" t="str">
        <f t="shared" si="512"/>
        <v/>
      </c>
      <c r="DJ498" s="125" t="str">
        <f t="shared" si="512"/>
        <v/>
      </c>
      <c r="DK498" s="125" t="str">
        <f t="shared" si="512"/>
        <v/>
      </c>
      <c r="DL498" s="125" t="str">
        <f t="shared" si="512"/>
        <v/>
      </c>
      <c r="DM498" s="125" t="str">
        <f t="shared" si="512"/>
        <v/>
      </c>
      <c r="DN498" s="125" t="str">
        <f t="shared" si="512"/>
        <v/>
      </c>
      <c r="DO498" s="125" t="str">
        <f t="shared" si="512"/>
        <v/>
      </c>
      <c r="DP498" s="125" t="str">
        <f t="shared" si="512"/>
        <v/>
      </c>
      <c r="DS498" s="137"/>
      <c r="DT498" s="137"/>
      <c r="DU498" s="137"/>
      <c r="DV498" s="137" t="b">
        <f t="shared" si="500"/>
        <v>0</v>
      </c>
      <c r="DW498" s="137" t="b">
        <f t="shared" si="501"/>
        <v>0</v>
      </c>
      <c r="DX498" s="137" t="b">
        <f t="shared" si="502"/>
        <v>1</v>
      </c>
      <c r="EB498" s="131">
        <f t="shared" si="503"/>
        <v>1</v>
      </c>
      <c r="EC498" s="137" t="b">
        <f t="shared" si="504"/>
        <v>0</v>
      </c>
      <c r="ED498" s="137" t="b">
        <f t="shared" si="505"/>
        <v>0</v>
      </c>
      <c r="EE498" s="137" t="b">
        <f t="shared" si="506"/>
        <v>1</v>
      </c>
      <c r="EF498" s="137"/>
      <c r="EG498" s="137"/>
      <c r="EH498" s="137"/>
      <c r="EI498" s="137"/>
      <c r="EJ498" s="137">
        <f t="shared" si="507"/>
        <v>1</v>
      </c>
      <c r="EK498" s="125" t="str">
        <f t="shared" si="508"/>
        <v/>
      </c>
      <c r="EL498" s="125" t="str">
        <f t="shared" si="509"/>
        <v/>
      </c>
    </row>
    <row r="499" spans="2:142" ht="15.75" x14ac:dyDescent="0.2">
      <c r="B499" s="160" t="str">
        <f t="shared" si="459"/>
        <v/>
      </c>
      <c r="C499" s="205"/>
      <c r="D499" s="205"/>
      <c r="E499" s="205"/>
      <c r="F499" s="118" t="str">
        <f>IF(OR(J499="",H499=""),"",VLOOKUP(J499,'הזנה לסיווג רשויות'!$B$2:$D$301,2,0))</f>
        <v/>
      </c>
      <c r="G499" s="118" t="str">
        <f>IF(OR(J499="",H499=""),"",VLOOKUP(J499,'הזנה לסיווג רשויות'!$B$2:$D$301,3,0))</f>
        <v/>
      </c>
      <c r="H499" s="201"/>
      <c r="I499" s="201"/>
      <c r="J499" s="205"/>
      <c r="K499" s="161"/>
      <c r="L499" s="161"/>
      <c r="M499" s="161"/>
      <c r="N499" s="161"/>
      <c r="O499" s="161"/>
      <c r="P499" s="161"/>
      <c r="Q499" s="161"/>
      <c r="R499" s="201"/>
      <c r="S499" s="201"/>
      <c r="T499" s="160" t="str">
        <f>IF(G499="","",IFERROR(IF(S499/R499&gt;'פרמטרים לקריטריונים'!$C$20,1,0),0))</f>
        <v/>
      </c>
      <c r="U499" s="201"/>
      <c r="V499" s="160" t="str">
        <f>IF(G499="","",IFERROR(IF(U499/R499&gt;'פרמטרים לקריטריונים'!$C$21,1,IF(AND(I499=$BW$5,U499/R499&gt;'פרמטרים לקריטריונים'!$C$22),1,0)),0))</f>
        <v/>
      </c>
      <c r="W499" s="161"/>
      <c r="X499" s="161"/>
      <c r="Y499" s="201"/>
      <c r="Z499" s="201"/>
      <c r="AA499" s="161" t="str">
        <f t="shared" si="511"/>
        <v/>
      </c>
      <c r="AB499" s="161"/>
      <c r="AC499" s="161"/>
      <c r="AD499" s="161"/>
      <c r="AE499" s="161"/>
      <c r="AF499" s="161"/>
      <c r="AG499" s="161"/>
      <c r="AH499" s="161"/>
      <c r="AI499" s="161"/>
      <c r="AJ499" s="161"/>
      <c r="AK499" s="161"/>
      <c r="AL499" s="161"/>
      <c r="AM499" s="161"/>
      <c r="AN499" s="161"/>
      <c r="AO499" s="161"/>
      <c r="AP499" s="161"/>
      <c r="AQ499" s="161"/>
      <c r="AR499" s="161"/>
      <c r="AS499" s="161"/>
      <c r="AT499" s="161"/>
      <c r="AU499" s="161"/>
      <c r="AV499" s="161"/>
      <c r="AW499" s="160"/>
      <c r="AX499" s="161"/>
      <c r="AY499" s="161"/>
      <c r="AZ499" s="161"/>
      <c r="BA499" s="161"/>
      <c r="BB499" s="161"/>
      <c r="BC499" s="161"/>
      <c r="BD499" s="161"/>
      <c r="BE499" s="161"/>
      <c r="BF499" s="160" t="str">
        <f t="shared" si="460"/>
        <v/>
      </c>
      <c r="BG499" s="160"/>
      <c r="BH499" s="160"/>
      <c r="BI499" s="160"/>
      <c r="BJ499" s="160"/>
      <c r="BK499" s="160"/>
      <c r="BL499" s="162" t="str">
        <f t="shared" si="461"/>
        <v/>
      </c>
      <c r="BM499" s="257"/>
      <c r="BN499" s="163"/>
      <c r="BO499" s="211" t="str">
        <f t="shared" si="462"/>
        <v/>
      </c>
      <c r="BP499" s="125">
        <f t="shared" si="463"/>
        <v>0</v>
      </c>
      <c r="BQ499" s="164">
        <v>0</v>
      </c>
      <c r="BR499" s="164">
        <v>1</v>
      </c>
      <c r="BS499" s="149">
        <f t="shared" si="464"/>
        <v>0</v>
      </c>
      <c r="BT499" s="149">
        <f t="shared" si="465"/>
        <v>0</v>
      </c>
      <c r="BU499" s="149">
        <f t="shared" si="466"/>
        <v>0</v>
      </c>
      <c r="BV499" s="149">
        <f t="shared" si="467"/>
        <v>0</v>
      </c>
      <c r="BW499" s="149">
        <f t="shared" si="468"/>
        <v>0</v>
      </c>
      <c r="BX499" s="149">
        <f t="shared" si="469"/>
        <v>0</v>
      </c>
      <c r="BY499" s="149">
        <f t="shared" si="470"/>
        <v>0</v>
      </c>
      <c r="BZ499" s="149">
        <f t="shared" si="471"/>
        <v>0</v>
      </c>
      <c r="CA499" s="149">
        <f t="shared" si="472"/>
        <v>0</v>
      </c>
      <c r="CB499" s="149">
        <f t="shared" si="473"/>
        <v>1</v>
      </c>
      <c r="CC499" s="149">
        <f t="shared" si="474"/>
        <v>0</v>
      </c>
      <c r="CD499" s="149">
        <f t="shared" si="475"/>
        <v>1</v>
      </c>
      <c r="CE499" s="149">
        <f t="shared" si="476"/>
        <v>0</v>
      </c>
      <c r="CF499" s="149">
        <f t="shared" si="477"/>
        <v>0</v>
      </c>
      <c r="CG499" s="149">
        <f t="shared" si="478"/>
        <v>0</v>
      </c>
      <c r="CH499" s="149">
        <f t="shared" si="479"/>
        <v>0</v>
      </c>
      <c r="CI499" s="149">
        <f t="shared" si="480"/>
        <v>1</v>
      </c>
      <c r="CJ499" s="149">
        <f t="shared" si="481"/>
        <v>1</v>
      </c>
      <c r="CK499" s="149">
        <f t="shared" si="482"/>
        <v>1</v>
      </c>
      <c r="CL499" s="149">
        <f t="shared" si="483"/>
        <v>1</v>
      </c>
      <c r="CM499" s="149">
        <f t="shared" si="484"/>
        <v>1</v>
      </c>
      <c r="CN499" s="149">
        <f t="shared" si="485"/>
        <v>1</v>
      </c>
      <c r="CO499" s="149">
        <f t="shared" si="486"/>
        <v>1</v>
      </c>
      <c r="CP499" s="149">
        <f t="shared" si="487"/>
        <v>1</v>
      </c>
      <c r="CQ499" s="149">
        <f t="shared" si="488"/>
        <v>1</v>
      </c>
      <c r="CR499" s="149">
        <f t="shared" si="489"/>
        <v>1</v>
      </c>
      <c r="CS499" s="149">
        <f t="shared" si="490"/>
        <v>1</v>
      </c>
      <c r="CT499" s="149">
        <f t="shared" si="491"/>
        <v>1</v>
      </c>
      <c r="CU499" s="149">
        <f t="shared" si="492"/>
        <v>1</v>
      </c>
      <c r="CV499" s="149">
        <f t="shared" si="493"/>
        <v>1</v>
      </c>
      <c r="CW499" s="149">
        <f t="shared" si="494"/>
        <v>1</v>
      </c>
      <c r="CX499" s="149">
        <f t="shared" si="495"/>
        <v>1</v>
      </c>
      <c r="CY499" s="149">
        <f t="shared" si="496"/>
        <v>1</v>
      </c>
      <c r="CZ499" s="149">
        <f t="shared" si="497"/>
        <v>1</v>
      </c>
      <c r="DA499" s="149">
        <f t="shared" si="498"/>
        <v>1</v>
      </c>
      <c r="DB499" s="149">
        <f t="shared" si="499"/>
        <v>1</v>
      </c>
      <c r="DG499" s="125" t="str">
        <f t="shared" si="296"/>
        <v/>
      </c>
      <c r="DH499" s="125" t="str">
        <f t="shared" si="512"/>
        <v/>
      </c>
      <c r="DI499" s="125" t="str">
        <f t="shared" si="512"/>
        <v/>
      </c>
      <c r="DJ499" s="125" t="str">
        <f t="shared" si="512"/>
        <v/>
      </c>
      <c r="DK499" s="125" t="str">
        <f t="shared" si="512"/>
        <v/>
      </c>
      <c r="DL499" s="125" t="str">
        <f t="shared" si="512"/>
        <v/>
      </c>
      <c r="DM499" s="125" t="str">
        <f t="shared" si="512"/>
        <v/>
      </c>
      <c r="DN499" s="125" t="str">
        <f t="shared" si="512"/>
        <v/>
      </c>
      <c r="DO499" s="125" t="str">
        <f t="shared" si="512"/>
        <v/>
      </c>
      <c r="DP499" s="125" t="str">
        <f t="shared" si="512"/>
        <v/>
      </c>
      <c r="DS499" s="137"/>
      <c r="DT499" s="137"/>
      <c r="DU499" s="137"/>
      <c r="DV499" s="137" t="b">
        <f t="shared" si="500"/>
        <v>0</v>
      </c>
      <c r="DW499" s="137" t="b">
        <f t="shared" si="501"/>
        <v>0</v>
      </c>
      <c r="DX499" s="137" t="b">
        <f t="shared" si="502"/>
        <v>1</v>
      </c>
      <c r="EB499" s="131">
        <f t="shared" si="503"/>
        <v>1</v>
      </c>
      <c r="EC499" s="137" t="b">
        <f t="shared" si="504"/>
        <v>0</v>
      </c>
      <c r="ED499" s="137" t="b">
        <f t="shared" si="505"/>
        <v>0</v>
      </c>
      <c r="EE499" s="137" t="b">
        <f t="shared" si="506"/>
        <v>1</v>
      </c>
      <c r="EF499" s="137"/>
      <c r="EG499" s="137"/>
      <c r="EH499" s="137"/>
      <c r="EI499" s="137"/>
      <c r="EJ499" s="137">
        <f t="shared" si="507"/>
        <v>1</v>
      </c>
      <c r="EK499" s="125" t="str">
        <f t="shared" si="508"/>
        <v/>
      </c>
      <c r="EL499" s="125" t="str">
        <f t="shared" si="509"/>
        <v/>
      </c>
    </row>
    <row r="500" spans="2:142" ht="15.75" x14ac:dyDescent="0.2">
      <c r="B500" s="160" t="str">
        <f t="shared" si="459"/>
        <v/>
      </c>
      <c r="C500" s="205"/>
      <c r="D500" s="205"/>
      <c r="E500" s="205"/>
      <c r="F500" s="118" t="str">
        <f>IF(OR(J500="",H500=""),"",VLOOKUP(J500,'הזנה לסיווג רשויות'!$B$2:$D$301,2,0))</f>
        <v/>
      </c>
      <c r="G500" s="118" t="str">
        <f>IF(OR(J500="",H500=""),"",VLOOKUP(J500,'הזנה לסיווג רשויות'!$B$2:$D$301,3,0))</f>
        <v/>
      </c>
      <c r="H500" s="201"/>
      <c r="I500" s="201"/>
      <c r="J500" s="205"/>
      <c r="K500" s="161"/>
      <c r="L500" s="161"/>
      <c r="M500" s="161"/>
      <c r="N500" s="161"/>
      <c r="O500" s="161"/>
      <c r="P500" s="161"/>
      <c r="Q500" s="161"/>
      <c r="R500" s="201"/>
      <c r="S500" s="201"/>
      <c r="T500" s="160" t="str">
        <f>IF(G500="","",IFERROR(IF(S500/R500&gt;'פרמטרים לקריטריונים'!$C$20,1,0),0))</f>
        <v/>
      </c>
      <c r="U500" s="201"/>
      <c r="V500" s="160" t="str">
        <f>IF(G500="","",IFERROR(IF(U500/R500&gt;'פרמטרים לקריטריונים'!$C$21,1,IF(AND(I500=$BW$5,U500/R500&gt;'פרמטרים לקריטריונים'!$C$22),1,0)),0))</f>
        <v/>
      </c>
      <c r="W500" s="161"/>
      <c r="X500" s="161"/>
      <c r="Y500" s="201"/>
      <c r="Z500" s="201"/>
      <c r="AA500" s="161" t="str">
        <f t="shared" si="511"/>
        <v/>
      </c>
      <c r="AB500" s="161"/>
      <c r="AC500" s="161"/>
      <c r="AD500" s="161"/>
      <c r="AE500" s="161"/>
      <c r="AF500" s="161"/>
      <c r="AG500" s="161"/>
      <c r="AH500" s="161"/>
      <c r="AI500" s="161"/>
      <c r="AJ500" s="161"/>
      <c r="AK500" s="161"/>
      <c r="AL500" s="161"/>
      <c r="AM500" s="161"/>
      <c r="AN500" s="161"/>
      <c r="AO500" s="161"/>
      <c r="AP500" s="161"/>
      <c r="AQ500" s="161"/>
      <c r="AR500" s="161"/>
      <c r="AS500" s="161"/>
      <c r="AT500" s="161"/>
      <c r="AU500" s="161"/>
      <c r="AV500" s="161"/>
      <c r="AW500" s="160"/>
      <c r="AX500" s="161"/>
      <c r="AY500" s="161"/>
      <c r="AZ500" s="161"/>
      <c r="BA500" s="161"/>
      <c r="BB500" s="161"/>
      <c r="BC500" s="161"/>
      <c r="BD500" s="161"/>
      <c r="BE500" s="161"/>
      <c r="BF500" s="160" t="str">
        <f t="shared" si="460"/>
        <v/>
      </c>
      <c r="BG500" s="160"/>
      <c r="BH500" s="160"/>
      <c r="BI500" s="160"/>
      <c r="BJ500" s="160"/>
      <c r="BK500" s="160"/>
      <c r="BL500" s="162" t="str">
        <f t="shared" si="461"/>
        <v/>
      </c>
      <c r="BM500" s="257"/>
      <c r="BN500" s="163"/>
      <c r="BO500" s="211" t="str">
        <f t="shared" si="462"/>
        <v/>
      </c>
      <c r="BP500" s="125">
        <f t="shared" si="463"/>
        <v>0</v>
      </c>
      <c r="BQ500" s="164">
        <v>0</v>
      </c>
      <c r="BR500" s="164">
        <v>1</v>
      </c>
      <c r="BS500" s="149">
        <f t="shared" si="464"/>
        <v>0</v>
      </c>
      <c r="BT500" s="149">
        <f t="shared" si="465"/>
        <v>0</v>
      </c>
      <c r="BU500" s="149">
        <f t="shared" si="466"/>
        <v>0</v>
      </c>
      <c r="BV500" s="149">
        <f t="shared" si="467"/>
        <v>0</v>
      </c>
      <c r="BW500" s="149">
        <f t="shared" si="468"/>
        <v>0</v>
      </c>
      <c r="BX500" s="149">
        <f t="shared" si="469"/>
        <v>0</v>
      </c>
      <c r="BY500" s="149">
        <f t="shared" si="470"/>
        <v>0</v>
      </c>
      <c r="BZ500" s="149">
        <f t="shared" si="471"/>
        <v>0</v>
      </c>
      <c r="CA500" s="149">
        <f t="shared" si="472"/>
        <v>0</v>
      </c>
      <c r="CB500" s="149">
        <f t="shared" si="473"/>
        <v>1</v>
      </c>
      <c r="CC500" s="149">
        <f t="shared" si="474"/>
        <v>0</v>
      </c>
      <c r="CD500" s="149">
        <f t="shared" si="475"/>
        <v>1</v>
      </c>
      <c r="CE500" s="149">
        <f t="shared" si="476"/>
        <v>0</v>
      </c>
      <c r="CF500" s="149">
        <f t="shared" si="477"/>
        <v>0</v>
      </c>
      <c r="CG500" s="149">
        <f t="shared" si="478"/>
        <v>0</v>
      </c>
      <c r="CH500" s="149">
        <f t="shared" si="479"/>
        <v>0</v>
      </c>
      <c r="CI500" s="149">
        <f t="shared" si="480"/>
        <v>1</v>
      </c>
      <c r="CJ500" s="149">
        <f t="shared" si="481"/>
        <v>1</v>
      </c>
      <c r="CK500" s="149">
        <f t="shared" si="482"/>
        <v>1</v>
      </c>
      <c r="CL500" s="149">
        <f t="shared" si="483"/>
        <v>1</v>
      </c>
      <c r="CM500" s="149">
        <f t="shared" si="484"/>
        <v>1</v>
      </c>
      <c r="CN500" s="149">
        <f t="shared" si="485"/>
        <v>1</v>
      </c>
      <c r="CO500" s="149">
        <f t="shared" si="486"/>
        <v>1</v>
      </c>
      <c r="CP500" s="149">
        <f t="shared" si="487"/>
        <v>1</v>
      </c>
      <c r="CQ500" s="149">
        <f t="shared" si="488"/>
        <v>1</v>
      </c>
      <c r="CR500" s="149">
        <f t="shared" si="489"/>
        <v>1</v>
      </c>
      <c r="CS500" s="149">
        <f t="shared" si="490"/>
        <v>1</v>
      </c>
      <c r="CT500" s="149">
        <f t="shared" si="491"/>
        <v>1</v>
      </c>
      <c r="CU500" s="149">
        <f t="shared" si="492"/>
        <v>1</v>
      </c>
      <c r="CV500" s="149">
        <f t="shared" si="493"/>
        <v>1</v>
      </c>
      <c r="CW500" s="149">
        <f t="shared" si="494"/>
        <v>1</v>
      </c>
      <c r="CX500" s="149">
        <f t="shared" si="495"/>
        <v>1</v>
      </c>
      <c r="CY500" s="149">
        <f t="shared" si="496"/>
        <v>1</v>
      </c>
      <c r="CZ500" s="149">
        <f t="shared" si="497"/>
        <v>1</v>
      </c>
      <c r="DA500" s="149">
        <f t="shared" si="498"/>
        <v>1</v>
      </c>
      <c r="DB500" s="149">
        <f t="shared" si="499"/>
        <v>1</v>
      </c>
      <c r="DG500" s="125" t="str">
        <f t="shared" si="296"/>
        <v/>
      </c>
      <c r="DH500" s="125" t="str">
        <f t="shared" si="512"/>
        <v/>
      </c>
      <c r="DI500" s="125" t="str">
        <f t="shared" si="512"/>
        <v/>
      </c>
      <c r="DJ500" s="125" t="str">
        <f t="shared" si="512"/>
        <v/>
      </c>
      <c r="DK500" s="125" t="str">
        <f t="shared" si="512"/>
        <v/>
      </c>
      <c r="DL500" s="125" t="str">
        <f t="shared" si="512"/>
        <v/>
      </c>
      <c r="DM500" s="125" t="str">
        <f t="shared" si="512"/>
        <v/>
      </c>
      <c r="DN500" s="125" t="str">
        <f t="shared" si="512"/>
        <v/>
      </c>
      <c r="DO500" s="125" t="str">
        <f t="shared" si="512"/>
        <v/>
      </c>
      <c r="DP500" s="125" t="str">
        <f t="shared" si="512"/>
        <v/>
      </c>
      <c r="DS500" s="137"/>
      <c r="DT500" s="137"/>
      <c r="DU500" s="137"/>
      <c r="DV500" s="137" t="b">
        <f t="shared" si="500"/>
        <v>0</v>
      </c>
      <c r="DW500" s="137" t="b">
        <f t="shared" si="501"/>
        <v>0</v>
      </c>
      <c r="DX500" s="137" t="b">
        <f t="shared" si="502"/>
        <v>1</v>
      </c>
      <c r="EB500" s="131">
        <f t="shared" si="503"/>
        <v>1</v>
      </c>
      <c r="EC500" s="137" t="b">
        <f t="shared" si="504"/>
        <v>0</v>
      </c>
      <c r="ED500" s="137" t="b">
        <f t="shared" si="505"/>
        <v>0</v>
      </c>
      <c r="EE500" s="137" t="b">
        <f t="shared" si="506"/>
        <v>1</v>
      </c>
      <c r="EF500" s="137"/>
      <c r="EG500" s="137"/>
      <c r="EH500" s="137"/>
      <c r="EI500" s="137"/>
      <c r="EJ500" s="137">
        <f t="shared" si="507"/>
        <v>1</v>
      </c>
      <c r="EK500" s="125" t="str">
        <f t="shared" si="508"/>
        <v/>
      </c>
      <c r="EL500" s="125" t="str">
        <f t="shared" si="509"/>
        <v/>
      </c>
    </row>
  </sheetData>
  <sheetProtection password="CCB7" sheet="1" objects="1" scenarios="1" formatColumns="0" formatRows="0"/>
  <mergeCells count="15">
    <mergeCell ref="B1:BN1"/>
    <mergeCell ref="BL29:BL30"/>
    <mergeCell ref="B29:B30"/>
    <mergeCell ref="F29:F30"/>
    <mergeCell ref="G29:G30"/>
    <mergeCell ref="AW29:AW30"/>
    <mergeCell ref="BG29:BG30"/>
    <mergeCell ref="BI29:BI30"/>
    <mergeCell ref="BJ29:BJ30"/>
    <mergeCell ref="BK29:BK30"/>
    <mergeCell ref="B28:D28"/>
    <mergeCell ref="AA29:AA30"/>
    <mergeCell ref="BF29:BF30"/>
    <mergeCell ref="T29:T30"/>
    <mergeCell ref="V29:V30"/>
  </mergeCells>
  <conditionalFormatting sqref="BL31:BM263 BL396:BM500 BL264:BL395">
    <cfRule type="cellIs" dxfId="1132" priority="1381" operator="equal">
      <formula>1</formula>
    </cfRule>
  </conditionalFormatting>
  <conditionalFormatting sqref="BD4:BH4 AR4:AW4 K4:AH4">
    <cfRule type="cellIs" dxfId="1131" priority="1380" operator="equal">
      <formula>99</formula>
    </cfRule>
  </conditionalFormatting>
  <conditionalFormatting sqref="BD5:BH5 AR5:AW5 K5:AH5">
    <cfRule type="expression" dxfId="1130" priority="1379">
      <formula>AND(K4=1,ISBLANK(K5))</formula>
    </cfRule>
  </conditionalFormatting>
  <conditionalFormatting sqref="AI4">
    <cfRule type="cellIs" dxfId="1129" priority="1343" operator="equal">
      <formula>99</formula>
    </cfRule>
  </conditionalFormatting>
  <conditionalFormatting sqref="AI5">
    <cfRule type="expression" dxfId="1128" priority="1342">
      <formula>AND(AI4=1,ISBLANK(AI5))</formula>
    </cfRule>
  </conditionalFormatting>
  <conditionalFormatting sqref="AJ4">
    <cfRule type="cellIs" dxfId="1127" priority="1336" operator="equal">
      <formula>99</formula>
    </cfRule>
  </conditionalFormatting>
  <conditionalFormatting sqref="AJ5">
    <cfRule type="expression" dxfId="1126" priority="1335">
      <formula>AND(AJ4=1,ISBLANK(AJ5))</formula>
    </cfRule>
  </conditionalFormatting>
  <conditionalFormatting sqref="AX4:BC4">
    <cfRule type="cellIs" dxfId="1125" priority="1334" operator="equal">
      <formula>99</formula>
    </cfRule>
  </conditionalFormatting>
  <conditionalFormatting sqref="AX5:BC5">
    <cfRule type="expression" dxfId="1124" priority="1333">
      <formula>AND(AX4=1,ISBLANK(AX5))</formula>
    </cfRule>
  </conditionalFormatting>
  <conditionalFormatting sqref="AQ4">
    <cfRule type="cellIs" dxfId="1123" priority="1332" operator="equal">
      <formula>99</formula>
    </cfRule>
  </conditionalFormatting>
  <conditionalFormatting sqref="AQ5">
    <cfRule type="expression" dxfId="1122" priority="1331">
      <formula>AND(AQ4=1,ISBLANK(AQ5))</formula>
    </cfRule>
  </conditionalFormatting>
  <conditionalFormatting sqref="AP4">
    <cfRule type="cellIs" dxfId="1121" priority="1330" operator="equal">
      <formula>99</formula>
    </cfRule>
  </conditionalFormatting>
  <conditionalFormatting sqref="AP5">
    <cfRule type="expression" dxfId="1120" priority="1329">
      <formula>AND(AP4=1,ISBLANK(AP5))</formula>
    </cfRule>
  </conditionalFormatting>
  <conditionalFormatting sqref="AM4:AO4">
    <cfRule type="cellIs" dxfId="1119" priority="1328" operator="equal">
      <formula>99</formula>
    </cfRule>
  </conditionalFormatting>
  <conditionalFormatting sqref="AM5:AO5">
    <cfRule type="expression" dxfId="1118" priority="1327">
      <formula>AND(AM4=1,ISBLANK(AM5))</formula>
    </cfRule>
  </conditionalFormatting>
  <conditionalFormatting sqref="AK4:AL4">
    <cfRule type="cellIs" dxfId="1117" priority="1326" operator="equal">
      <formula>99</formula>
    </cfRule>
  </conditionalFormatting>
  <conditionalFormatting sqref="AK5:AL5">
    <cfRule type="expression" dxfId="1116" priority="1325">
      <formula>AND(AK4=1,ISBLANK(AK5))</formula>
    </cfRule>
  </conditionalFormatting>
  <conditionalFormatting sqref="B31:B500 T31:T500 V42:X233 AA31:BO263 V31:V41 K42:Q233 K254:Q263 K234:M253 V254:X263 V234:V253 K396:Q500 V396:X500 V264:V395 AA396:BO500 AA264:BL395 BO264:BO395">
    <cfRule type="expression" dxfId="1115" priority="1424" stopIfTrue="1">
      <formula>AND($G31="",B31&lt;&gt;"")</formula>
    </cfRule>
    <cfRule type="expression" dxfId="1114" priority="1425">
      <formula>$G31=""</formula>
    </cfRule>
    <cfRule type="expression" dxfId="1113" priority="1426">
      <formula>B$30&lt;&gt;""</formula>
    </cfRule>
    <cfRule type="expression" dxfId="1112" priority="1427">
      <formula>B31&lt;B$5</formula>
    </cfRule>
  </conditionalFormatting>
  <conditionalFormatting sqref="H42:H129 H138:H154 H157:H159 H161:H163 H165:H170 H173:H174 H176:H177 H184:H189 H191:H193 H205 H207 H211 H225 H234:H253 H408:H500">
    <cfRule type="expression" dxfId="1111" priority="904" stopIfTrue="1">
      <formula>AND($G42="",R42&lt;&gt;"")</formula>
    </cfRule>
    <cfRule type="expression" dxfId="1110" priority="905">
      <formula>$H42=""</formula>
    </cfRule>
    <cfRule type="expression" dxfId="1109" priority="906">
      <formula>H$30&lt;&gt;""</formula>
    </cfRule>
    <cfRule type="expression" dxfId="1108" priority="908">
      <formula>H42&lt;H$5</formula>
    </cfRule>
  </conditionalFormatting>
  <conditionalFormatting sqref="I42:J129 I138:J155 J130:J137 I157:J189 I156 I191:J263 I396:J500">
    <cfRule type="expression" dxfId="1107" priority="899" stopIfTrue="1">
      <formula>AND($H42="",I42&lt;&gt;"")</formula>
    </cfRule>
    <cfRule type="expression" dxfId="1106" priority="900">
      <formula>$H42=""</formula>
    </cfRule>
    <cfRule type="expression" dxfId="1105" priority="901">
      <formula>I$30&lt;&gt;""</formula>
    </cfRule>
    <cfRule type="expression" dxfId="1104" priority="903">
      <formula>I42&lt;I$5</formula>
    </cfRule>
  </conditionalFormatting>
  <conditionalFormatting sqref="R42:R233 R254:R263 R396:R500">
    <cfRule type="expression" dxfId="1103" priority="722" stopIfTrue="1">
      <formula>AND($H42="",R42&lt;&gt;"")</formula>
    </cfRule>
    <cfRule type="expression" dxfId="1102" priority="723">
      <formula>$H42=""</formula>
    </cfRule>
    <cfRule type="expression" dxfId="1101" priority="724">
      <formula>R$30&lt;&gt;""</formula>
    </cfRule>
    <cfRule type="expression" dxfId="1100" priority="726">
      <formula>R42&lt;R$5</formula>
    </cfRule>
  </conditionalFormatting>
  <conditionalFormatting sqref="S42:S233 S254:S263 S396:S500">
    <cfRule type="expression" dxfId="1099" priority="717" stopIfTrue="1">
      <formula>AND($H42="",S42&lt;&gt;"")</formula>
    </cfRule>
    <cfRule type="expression" dxfId="1098" priority="718">
      <formula>$H42=""</formula>
    </cfRule>
    <cfRule type="expression" dxfId="1097" priority="719">
      <formula>S$30&lt;&gt;""</formula>
    </cfRule>
    <cfRule type="expression" dxfId="1096" priority="721">
      <formula>S42&lt;S$5</formula>
    </cfRule>
  </conditionalFormatting>
  <conditionalFormatting sqref="U42:U233 U254:U263 U396:U500">
    <cfRule type="expression" dxfId="1095" priority="712" stopIfTrue="1">
      <formula>AND($H42="",U42&lt;&gt;"")</formula>
    </cfRule>
    <cfRule type="expression" dxfId="1094" priority="713">
      <formula>$H42=""</formula>
    </cfRule>
    <cfRule type="expression" dxfId="1093" priority="714">
      <formula>U$30&lt;&gt;""</formula>
    </cfRule>
    <cfRule type="expression" dxfId="1092" priority="716">
      <formula>U42&lt;U$5</formula>
    </cfRule>
  </conditionalFormatting>
  <conditionalFormatting sqref="C225:E225 C211:D211 C214:D214 C217:D218 C234:E253 C408:E500">
    <cfRule type="expression" dxfId="1091" priority="686" stopIfTrue="1">
      <formula>AND($H211="",C211&lt;&gt;"")</formula>
    </cfRule>
    <cfRule type="expression" dxfId="1090" priority="687">
      <formula>$H211=""</formula>
    </cfRule>
    <cfRule type="expression" dxfId="1089" priority="688">
      <formula>C$30&lt;&gt;""</formula>
    </cfRule>
    <cfRule type="expression" dxfId="1088" priority="690">
      <formula>C211&lt;C$5</formula>
    </cfRule>
  </conditionalFormatting>
  <conditionalFormatting sqref="Y42:Z233 Y254:Z263 Y396:Z500">
    <cfRule type="expression" dxfId="1087" priority="674" stopIfTrue="1">
      <formula>AND($H42="",Y42&lt;&gt;"")</formula>
    </cfRule>
    <cfRule type="expression" dxfId="1086" priority="675">
      <formula>$H42=""</formula>
    </cfRule>
    <cfRule type="expression" dxfId="1085" priority="676">
      <formula>Y$30&lt;&gt;""</formula>
    </cfRule>
    <cfRule type="expression" dxfId="1084" priority="678">
      <formula>Y42&lt;Y$5</formula>
    </cfRule>
  </conditionalFormatting>
  <conditionalFormatting sqref="T31:T500 N42:O233 W42:X233 N254:O263 W254:X263 N396:O500 W396:X500">
    <cfRule type="expression" dxfId="1083" priority="671">
      <formula>_xludf.isformula(N1:BH500)</formula>
    </cfRule>
  </conditionalFormatting>
  <conditionalFormatting sqref="P42:Q233 P254:Q263 P396:Q500">
    <cfRule type="expression" dxfId="1082" priority="672">
      <formula>_xludf.isformula(P12:BI511)</formula>
    </cfRule>
  </conditionalFormatting>
  <conditionalFormatting sqref="K42:M263 K396:M500">
    <cfRule type="expression" dxfId="1081" priority="673">
      <formula>_xludf.isformula(K12:BJ511)</formula>
    </cfRule>
  </conditionalFormatting>
  <conditionalFormatting sqref="V31:V500">
    <cfRule type="expression" dxfId="1080" priority="1738">
      <formula>_xludf.isformula(V1:BQ500)</formula>
    </cfRule>
  </conditionalFormatting>
  <conditionalFormatting sqref="AB31:BF500">
    <cfRule type="expression" dxfId="1079" priority="1748">
      <formula>_xludf.isformula(AB1:BX500)</formula>
    </cfRule>
  </conditionalFormatting>
  <conditionalFormatting sqref="AA31:AA500">
    <cfRule type="expression" dxfId="1078" priority="1750">
      <formula>_xludf.isformula(Y1:BS500)</formula>
    </cfRule>
  </conditionalFormatting>
  <conditionalFormatting sqref="C31:E34">
    <cfRule type="expression" dxfId="1077" priority="559" stopIfTrue="1">
      <formula>AND($H31="",C31&lt;&gt;"")</formula>
    </cfRule>
    <cfRule type="expression" dxfId="1076" priority="560">
      <formula>$H31=""</formula>
    </cfRule>
    <cfRule type="expression" dxfId="1075" priority="561">
      <formula>C$30&lt;&gt;""</formula>
    </cfRule>
    <cfRule type="expression" dxfId="1074" priority="563">
      <formula>C31&lt;C$5</formula>
    </cfRule>
  </conditionalFormatting>
  <conditionalFormatting sqref="K32:Q32 K34:Q41">
    <cfRule type="expression" dxfId="1073" priority="552" stopIfTrue="1">
      <formula>AND($G32="",K32&lt;&gt;"")</formula>
    </cfRule>
    <cfRule type="expression" dxfId="1072" priority="553">
      <formula>$G32=""</formula>
    </cfRule>
    <cfRule type="expression" dxfId="1071" priority="554">
      <formula>K$30&lt;&gt;""</formula>
    </cfRule>
    <cfRule type="expression" dxfId="1070" priority="555">
      <formula>K32&lt;K$5</formula>
    </cfRule>
  </conditionalFormatting>
  <conditionalFormatting sqref="H32 H34:H41">
    <cfRule type="expression" dxfId="1069" priority="544" stopIfTrue="1">
      <formula>AND($G32="",R32&lt;&gt;"")</formula>
    </cfRule>
    <cfRule type="expression" dxfId="1068" priority="545">
      <formula>$H32=""</formula>
    </cfRule>
    <cfRule type="expression" dxfId="1067" priority="546">
      <formula>H$30&lt;&gt;""</formula>
    </cfRule>
    <cfRule type="expression" dxfId="1066" priority="548">
      <formula>H32&lt;H$5</formula>
    </cfRule>
  </conditionalFormatting>
  <conditionalFormatting sqref="J32 I38:J41 J34:J37">
    <cfRule type="expression" dxfId="1065" priority="539" stopIfTrue="1">
      <formula>AND($H32="",I32&lt;&gt;"")</formula>
    </cfRule>
    <cfRule type="expression" dxfId="1064" priority="540">
      <formula>$H32=""</formula>
    </cfRule>
    <cfRule type="expression" dxfId="1063" priority="541">
      <formula>I$30&lt;&gt;""</formula>
    </cfRule>
    <cfRule type="expression" dxfId="1062" priority="543">
      <formula>I32&lt;I$5</formula>
    </cfRule>
  </conditionalFormatting>
  <conditionalFormatting sqref="N32:O32 N34:O41">
    <cfRule type="expression" dxfId="1061" priority="556">
      <formula>_xludf.isformula(N2:BH331)</formula>
    </cfRule>
  </conditionalFormatting>
  <conditionalFormatting sqref="I32">
    <cfRule type="expression" dxfId="1060" priority="534" stopIfTrue="1">
      <formula>AND($H32="",I32&lt;&gt;"")</formula>
    </cfRule>
    <cfRule type="expression" dxfId="1059" priority="535">
      <formula>$H32=""</formula>
    </cfRule>
    <cfRule type="expression" dxfId="1058" priority="536">
      <formula>I$30&lt;&gt;""</formula>
    </cfRule>
    <cfRule type="expression" dxfId="1057" priority="538">
      <formula>I32&lt;I$5</formula>
    </cfRule>
  </conditionalFormatting>
  <conditionalFormatting sqref="R32 R34:R41">
    <cfRule type="expression" dxfId="1056" priority="528" stopIfTrue="1">
      <formula>AND($H32="",R32&lt;&gt;"")</formula>
    </cfRule>
    <cfRule type="expression" dxfId="1055" priority="529">
      <formula>$H32=""</formula>
    </cfRule>
    <cfRule type="expression" dxfId="1054" priority="530">
      <formula>R$30&lt;&gt;""</formula>
    </cfRule>
    <cfRule type="expression" dxfId="1053" priority="532">
      <formula>R32&lt;R$5</formula>
    </cfRule>
  </conditionalFormatting>
  <conditionalFormatting sqref="S32 S34:S41">
    <cfRule type="expression" dxfId="1052" priority="523" stopIfTrue="1">
      <formula>AND($H32="",S32&lt;&gt;"")</formula>
    </cfRule>
    <cfRule type="expression" dxfId="1051" priority="524">
      <formula>$H32=""</formula>
    </cfRule>
    <cfRule type="expression" dxfId="1050" priority="525">
      <formula>S$30&lt;&gt;""</formula>
    </cfRule>
    <cfRule type="expression" dxfId="1049" priority="527">
      <formula>S32&lt;S$5</formula>
    </cfRule>
  </conditionalFormatting>
  <conditionalFormatting sqref="P32:Q32 P34:Q41">
    <cfRule type="expression" dxfId="1048" priority="557">
      <formula>_xludf.isformula(P2:BI331)</formula>
    </cfRule>
  </conditionalFormatting>
  <conditionalFormatting sqref="K32:M32 K34:M41">
    <cfRule type="expression" dxfId="1047" priority="558">
      <formula>_xludf.isformula(K2:BJ331)</formula>
    </cfRule>
  </conditionalFormatting>
  <conditionalFormatting sqref="K33:Q33">
    <cfRule type="expression" dxfId="1046" priority="516" stopIfTrue="1">
      <formula>AND($G33="",K33&lt;&gt;"")</formula>
    </cfRule>
    <cfRule type="expression" dxfId="1045" priority="517">
      <formula>$G33=""</formula>
    </cfRule>
    <cfRule type="expression" dxfId="1044" priority="518">
      <formula>K$30&lt;&gt;""</formula>
    </cfRule>
    <cfRule type="expression" dxfId="1043" priority="519">
      <formula>K33&lt;K$5</formula>
    </cfRule>
  </conditionalFormatting>
  <conditionalFormatting sqref="H33">
    <cfRule type="expression" dxfId="1042" priority="508" stopIfTrue="1">
      <formula>AND($G33="",R33&lt;&gt;"")</formula>
    </cfRule>
    <cfRule type="expression" dxfId="1041" priority="509">
      <formula>$H33=""</formula>
    </cfRule>
    <cfRule type="expression" dxfId="1040" priority="510">
      <formula>H$30&lt;&gt;""</formula>
    </cfRule>
    <cfRule type="expression" dxfId="1039" priority="512">
      <formula>H33&lt;H$5</formula>
    </cfRule>
  </conditionalFormatting>
  <conditionalFormatting sqref="J33">
    <cfRule type="expression" dxfId="1038" priority="503" stopIfTrue="1">
      <formula>AND($H33="",J33&lt;&gt;"")</formula>
    </cfRule>
    <cfRule type="expression" dxfId="1037" priority="504">
      <formula>$H33=""</formula>
    </cfRule>
    <cfRule type="expression" dxfId="1036" priority="505">
      <formula>J$30&lt;&gt;""</formula>
    </cfRule>
    <cfRule type="expression" dxfId="1035" priority="507">
      <formula>J33&lt;J$5</formula>
    </cfRule>
  </conditionalFormatting>
  <conditionalFormatting sqref="N33:O33">
    <cfRule type="expression" dxfId="1034" priority="520">
      <formula>_xludf.isformula(N3:BH332)</formula>
    </cfRule>
  </conditionalFormatting>
  <conditionalFormatting sqref="I33:I129 I138:I189 I191:I263 I396:I500">
    <cfRule type="expression" dxfId="1033" priority="498" stopIfTrue="1">
      <formula>AND($H33="",I33&lt;&gt;"")</formula>
    </cfRule>
    <cfRule type="expression" dxfId="1032" priority="499">
      <formula>$H33=""</formula>
    </cfRule>
    <cfRule type="expression" dxfId="1031" priority="500">
      <formula>I$30&lt;&gt;""</formula>
    </cfRule>
    <cfRule type="expression" dxfId="1030" priority="502">
      <formula>I33&lt;I$5</formula>
    </cfRule>
  </conditionalFormatting>
  <conditionalFormatting sqref="R33">
    <cfRule type="expression" dxfId="1029" priority="492" stopIfTrue="1">
      <formula>AND($H33="",R33&lt;&gt;"")</formula>
    </cfRule>
    <cfRule type="expression" dxfId="1028" priority="493">
      <formula>$H33=""</formula>
    </cfRule>
    <cfRule type="expression" dxfId="1027" priority="494">
      <formula>R$30&lt;&gt;""</formula>
    </cfRule>
    <cfRule type="expression" dxfId="1026" priority="496">
      <formula>R33&lt;R$5</formula>
    </cfRule>
  </conditionalFormatting>
  <conditionalFormatting sqref="S33">
    <cfRule type="expression" dxfId="1025" priority="487" stopIfTrue="1">
      <formula>AND($H33="",S33&lt;&gt;"")</formula>
    </cfRule>
    <cfRule type="expression" dxfId="1024" priority="488">
      <formula>$H33=""</formula>
    </cfRule>
    <cfRule type="expression" dxfId="1023" priority="489">
      <formula>S$30&lt;&gt;""</formula>
    </cfRule>
    <cfRule type="expression" dxfId="1022" priority="491">
      <formula>S33&lt;S$5</formula>
    </cfRule>
  </conditionalFormatting>
  <conditionalFormatting sqref="P33:Q33">
    <cfRule type="expression" dxfId="1021" priority="521">
      <formula>_xludf.isformula(P3:BI332)</formula>
    </cfRule>
  </conditionalFormatting>
  <conditionalFormatting sqref="K33:M33">
    <cfRule type="expression" dxfId="1020" priority="522">
      <formula>_xludf.isformula(K3:BJ332)</formula>
    </cfRule>
  </conditionalFormatting>
  <conditionalFormatting sqref="K31:Q31">
    <cfRule type="expression" dxfId="1019" priority="480" stopIfTrue="1">
      <formula>AND($G31="",K31&lt;&gt;"")</formula>
    </cfRule>
    <cfRule type="expression" dxfId="1018" priority="481">
      <formula>$G31=""</formula>
    </cfRule>
    <cfRule type="expression" dxfId="1017" priority="482">
      <formula>K$30&lt;&gt;""</formula>
    </cfRule>
    <cfRule type="expression" dxfId="1016" priority="483">
      <formula>K31&lt;K$5</formula>
    </cfRule>
  </conditionalFormatting>
  <conditionalFormatting sqref="H31">
    <cfRule type="expression" dxfId="1015" priority="472" stopIfTrue="1">
      <formula>AND($G31="",R31&lt;&gt;"")</formula>
    </cfRule>
    <cfRule type="expression" dxfId="1014" priority="473">
      <formula>$H31=""</formula>
    </cfRule>
    <cfRule type="expression" dxfId="1013" priority="474">
      <formula>H$30&lt;&gt;""</formula>
    </cfRule>
    <cfRule type="expression" dxfId="1012" priority="476">
      <formula>H31&lt;H$5</formula>
    </cfRule>
  </conditionalFormatting>
  <conditionalFormatting sqref="J31">
    <cfRule type="expression" dxfId="1011" priority="467" stopIfTrue="1">
      <formula>AND($H31="",J31&lt;&gt;"")</formula>
    </cfRule>
    <cfRule type="expression" dxfId="1010" priority="468">
      <formula>$H31=""</formula>
    </cfRule>
    <cfRule type="expression" dxfId="1009" priority="469">
      <formula>J$30&lt;&gt;""</formula>
    </cfRule>
    <cfRule type="expression" dxfId="1008" priority="471">
      <formula>J31&lt;J$5</formula>
    </cfRule>
  </conditionalFormatting>
  <conditionalFormatting sqref="N31:O31">
    <cfRule type="expression" dxfId="1007" priority="484">
      <formula>_xludf.isformula(N1:BH330)</formula>
    </cfRule>
  </conditionalFormatting>
  <conditionalFormatting sqref="I31">
    <cfRule type="expression" dxfId="1006" priority="462" stopIfTrue="1">
      <formula>AND($H31="",I31&lt;&gt;"")</formula>
    </cfRule>
    <cfRule type="expression" dxfId="1005" priority="463">
      <formula>$H31=""</formula>
    </cfRule>
    <cfRule type="expression" dxfId="1004" priority="464">
      <formula>I$30&lt;&gt;""</formula>
    </cfRule>
    <cfRule type="expression" dxfId="1003" priority="466">
      <formula>I31&lt;I$5</formula>
    </cfRule>
  </conditionalFormatting>
  <conditionalFormatting sqref="R31">
    <cfRule type="expression" dxfId="1002" priority="456" stopIfTrue="1">
      <formula>AND($H31="",R31&lt;&gt;"")</formula>
    </cfRule>
    <cfRule type="expression" dxfId="1001" priority="457">
      <formula>$H31=""</formula>
    </cfRule>
    <cfRule type="expression" dxfId="1000" priority="458">
      <formula>R$30&lt;&gt;""</formula>
    </cfRule>
    <cfRule type="expression" dxfId="999" priority="460">
      <formula>R31&lt;R$5</formula>
    </cfRule>
  </conditionalFormatting>
  <conditionalFormatting sqref="S31">
    <cfRule type="expression" dxfId="998" priority="451" stopIfTrue="1">
      <formula>AND($H31="",S31&lt;&gt;"")</formula>
    </cfRule>
    <cfRule type="expression" dxfId="997" priority="452">
      <formula>$H31=""</formula>
    </cfRule>
    <cfRule type="expression" dxfId="996" priority="453">
      <formula>S$30&lt;&gt;""</formula>
    </cfRule>
    <cfRule type="expression" dxfId="995" priority="455">
      <formula>S31&lt;S$5</formula>
    </cfRule>
  </conditionalFormatting>
  <conditionalFormatting sqref="P31:Q31">
    <cfRule type="expression" dxfId="994" priority="485">
      <formula>_xludf.isformula(P1:BI330)</formula>
    </cfRule>
  </conditionalFormatting>
  <conditionalFormatting sqref="K31:M31">
    <cfRule type="expression" dxfId="993" priority="486">
      <formula>_xludf.isformula(K1:BJ330)</formula>
    </cfRule>
  </conditionalFormatting>
  <conditionalFormatting sqref="U31:U41">
    <cfRule type="expression" dxfId="992" priority="446" stopIfTrue="1">
      <formula>AND($H31="",U31&lt;&gt;"")</formula>
    </cfRule>
    <cfRule type="expression" dxfId="991" priority="447">
      <formula>$H31=""</formula>
    </cfRule>
    <cfRule type="expression" dxfId="990" priority="448">
      <formula>U$30&lt;&gt;""</formula>
    </cfRule>
    <cfRule type="expression" dxfId="989" priority="450">
      <formula>U31&lt;U$5</formula>
    </cfRule>
  </conditionalFormatting>
  <conditionalFormatting sqref="W31:X32 W34:X41">
    <cfRule type="expression" dxfId="988" priority="441" stopIfTrue="1">
      <formula>AND($G31="",W31&lt;&gt;"")</formula>
    </cfRule>
    <cfRule type="expression" dxfId="987" priority="442">
      <formula>$G31=""</formula>
    </cfRule>
    <cfRule type="expression" dxfId="986" priority="443">
      <formula>W$30&lt;&gt;""</formula>
    </cfRule>
    <cfRule type="expression" dxfId="985" priority="444">
      <formula>W31&lt;W$5</formula>
    </cfRule>
  </conditionalFormatting>
  <conditionalFormatting sqref="W31:X32 W34:X41">
    <cfRule type="expression" dxfId="984" priority="445">
      <formula>_xludf.isformula(W1:BQ330)</formula>
    </cfRule>
  </conditionalFormatting>
  <conditionalFormatting sqref="Y34:Z41 Y31:Z32">
    <cfRule type="expression" dxfId="983" priority="433" stopIfTrue="1">
      <formula>AND($H31="",Y31&lt;&gt;"")</formula>
    </cfRule>
    <cfRule type="expression" dxfId="982" priority="434">
      <formula>$H31=""</formula>
    </cfRule>
    <cfRule type="expression" dxfId="981" priority="435">
      <formula>Y$30&lt;&gt;""</formula>
    </cfRule>
    <cfRule type="expression" dxfId="980" priority="437">
      <formula>Y31&lt;Y$5</formula>
    </cfRule>
  </conditionalFormatting>
  <conditionalFormatting sqref="W33:X33">
    <cfRule type="expression" dxfId="979" priority="428" stopIfTrue="1">
      <formula>AND($G33="",W33&lt;&gt;"")</formula>
    </cfRule>
    <cfRule type="expression" dxfId="978" priority="429">
      <formula>$G33=""</formula>
    </cfRule>
    <cfRule type="expression" dxfId="977" priority="430">
      <formula>W$30&lt;&gt;""</formula>
    </cfRule>
    <cfRule type="expression" dxfId="976" priority="431">
      <formula>W33&lt;W$5</formula>
    </cfRule>
  </conditionalFormatting>
  <conditionalFormatting sqref="W33:X33">
    <cfRule type="expression" dxfId="975" priority="432">
      <formula>_xludf.isformula(W3:BQ332)</formula>
    </cfRule>
  </conditionalFormatting>
  <conditionalFormatting sqref="Y33:Z33">
    <cfRule type="expression" dxfId="974" priority="420" stopIfTrue="1">
      <formula>AND($H33="",Y33&lt;&gt;"")</formula>
    </cfRule>
    <cfRule type="expression" dxfId="973" priority="421">
      <formula>$H33=""</formula>
    </cfRule>
    <cfRule type="expression" dxfId="972" priority="422">
      <formula>Y$30&lt;&gt;""</formula>
    </cfRule>
    <cfRule type="expression" dxfId="971" priority="424">
      <formula>Y33&lt;Y$5</formula>
    </cfRule>
  </conditionalFormatting>
  <conditionalFormatting sqref="I34:I37">
    <cfRule type="expression" dxfId="970" priority="410" stopIfTrue="1">
      <formula>AND($H34="",I34&lt;&gt;"")</formula>
    </cfRule>
    <cfRule type="expression" dxfId="969" priority="411">
      <formula>$H34=""</formula>
    </cfRule>
    <cfRule type="expression" dxfId="968" priority="412">
      <formula>I$30&lt;&gt;""</formula>
    </cfRule>
    <cfRule type="expression" dxfId="967" priority="414">
      <formula>I34&lt;I$5</formula>
    </cfRule>
  </conditionalFormatting>
  <conditionalFormatting sqref="H130">
    <cfRule type="expression" dxfId="966" priority="405" stopIfTrue="1">
      <formula>AND($G130="",R130&lt;&gt;"")</formula>
    </cfRule>
    <cfRule type="expression" dxfId="965" priority="406">
      <formula>$H130=""</formula>
    </cfRule>
    <cfRule type="expression" dxfId="964" priority="407">
      <formula>H$30&lt;&gt;""</formula>
    </cfRule>
    <cfRule type="expression" dxfId="963" priority="409">
      <formula>H130&lt;H$5</formula>
    </cfRule>
  </conditionalFormatting>
  <conditionalFormatting sqref="I130">
    <cfRule type="expression" dxfId="962" priority="401" stopIfTrue="1">
      <formula>AND($H130="",I130&lt;&gt;"")</formula>
    </cfRule>
    <cfRule type="expression" dxfId="961" priority="402">
      <formula>$H130=""</formula>
    </cfRule>
    <cfRule type="expression" dxfId="960" priority="403">
      <formula>I$30&lt;&gt;""</formula>
    </cfRule>
    <cfRule type="expression" dxfId="959" priority="404">
      <formula>I130&lt;I$5</formula>
    </cfRule>
  </conditionalFormatting>
  <conditionalFormatting sqref="I130">
    <cfRule type="expression" dxfId="958" priority="395" stopIfTrue="1">
      <formula>AND($H130="",I130&lt;&gt;"")</formula>
    </cfRule>
    <cfRule type="expression" dxfId="957" priority="396">
      <formula>$H130=""</formula>
    </cfRule>
    <cfRule type="expression" dxfId="956" priority="397">
      <formula>I$30&lt;&gt;""</formula>
    </cfRule>
    <cfRule type="expression" dxfId="955" priority="399">
      <formula>I130&lt;I$5</formula>
    </cfRule>
  </conditionalFormatting>
  <conditionalFormatting sqref="H131:H137">
    <cfRule type="expression" dxfId="954" priority="375" stopIfTrue="1">
      <formula>AND($G131="",R131&lt;&gt;"")</formula>
    </cfRule>
    <cfRule type="expression" dxfId="953" priority="376">
      <formula>$H131=""</formula>
    </cfRule>
    <cfRule type="expression" dxfId="952" priority="377">
      <formula>H$30&lt;&gt;""</formula>
    </cfRule>
    <cfRule type="expression" dxfId="951" priority="379">
      <formula>H131&lt;H$5</formula>
    </cfRule>
  </conditionalFormatting>
  <conditionalFormatting sqref="I131">
    <cfRule type="expression" dxfId="950" priority="371" stopIfTrue="1">
      <formula>AND($H131="",I131&lt;&gt;"")</formula>
    </cfRule>
    <cfRule type="expression" dxfId="949" priority="372">
      <formula>$H131=""</formula>
    </cfRule>
    <cfRule type="expression" dxfId="948" priority="373">
      <formula>I$30&lt;&gt;""</formula>
    </cfRule>
    <cfRule type="expression" dxfId="947" priority="374">
      <formula>I131&lt;I$5</formula>
    </cfRule>
  </conditionalFormatting>
  <conditionalFormatting sqref="I131">
    <cfRule type="expression" dxfId="946" priority="365" stopIfTrue="1">
      <formula>AND($H131="",I131&lt;&gt;"")</formula>
    </cfRule>
    <cfRule type="expression" dxfId="945" priority="366">
      <formula>$H131=""</formula>
    </cfRule>
    <cfRule type="expression" dxfId="944" priority="367">
      <formula>I$30&lt;&gt;""</formula>
    </cfRule>
    <cfRule type="expression" dxfId="943" priority="369">
      <formula>I131&lt;I$5</formula>
    </cfRule>
  </conditionalFormatting>
  <conditionalFormatting sqref="I132">
    <cfRule type="expression" dxfId="942" priority="361" stopIfTrue="1">
      <formula>AND($H132="",I132&lt;&gt;"")</formula>
    </cfRule>
    <cfRule type="expression" dxfId="941" priority="362">
      <formula>$H132=""</formula>
    </cfRule>
    <cfRule type="expression" dxfId="940" priority="363">
      <formula>I$30&lt;&gt;""</formula>
    </cfRule>
    <cfRule type="expression" dxfId="939" priority="364">
      <formula>I132&lt;I$5</formula>
    </cfRule>
  </conditionalFormatting>
  <conditionalFormatting sqref="I132">
    <cfRule type="expression" dxfId="938" priority="355" stopIfTrue="1">
      <formula>AND($H132="",I132&lt;&gt;"")</formula>
    </cfRule>
    <cfRule type="expression" dxfId="937" priority="356">
      <formula>$H132=""</formula>
    </cfRule>
    <cfRule type="expression" dxfId="936" priority="357">
      <formula>I$30&lt;&gt;""</formula>
    </cfRule>
    <cfRule type="expression" dxfId="935" priority="359">
      <formula>I132&lt;I$5</formula>
    </cfRule>
  </conditionalFormatting>
  <conditionalFormatting sqref="I133">
    <cfRule type="expression" dxfId="934" priority="351" stopIfTrue="1">
      <formula>AND($H133="",I133&lt;&gt;"")</formula>
    </cfRule>
    <cfRule type="expression" dxfId="933" priority="352">
      <formula>$H133=""</formula>
    </cfRule>
    <cfRule type="expression" dxfId="932" priority="353">
      <formula>I$30&lt;&gt;""</formula>
    </cfRule>
    <cfRule type="expression" dxfId="931" priority="354">
      <formula>I133&lt;I$5</formula>
    </cfRule>
  </conditionalFormatting>
  <conditionalFormatting sqref="I133">
    <cfRule type="expression" dxfId="930" priority="345" stopIfTrue="1">
      <formula>AND($H133="",I133&lt;&gt;"")</formula>
    </cfRule>
    <cfRule type="expression" dxfId="929" priority="346">
      <formula>$H133=""</formula>
    </cfRule>
    <cfRule type="expression" dxfId="928" priority="347">
      <formula>I$30&lt;&gt;""</formula>
    </cfRule>
    <cfRule type="expression" dxfId="927" priority="349">
      <formula>I133&lt;I$5</formula>
    </cfRule>
  </conditionalFormatting>
  <conditionalFormatting sqref="I134">
    <cfRule type="expression" dxfId="926" priority="341" stopIfTrue="1">
      <formula>AND($H134="",I134&lt;&gt;"")</formula>
    </cfRule>
    <cfRule type="expression" dxfId="925" priority="342">
      <formula>$H134=""</formula>
    </cfRule>
    <cfRule type="expression" dxfId="924" priority="343">
      <formula>I$30&lt;&gt;""</formula>
    </cfRule>
    <cfRule type="expression" dxfId="923" priority="344">
      <formula>I134&lt;I$5</formula>
    </cfRule>
  </conditionalFormatting>
  <conditionalFormatting sqref="I134">
    <cfRule type="expression" dxfId="922" priority="335" stopIfTrue="1">
      <formula>AND($H134="",I134&lt;&gt;"")</formula>
    </cfRule>
    <cfRule type="expression" dxfId="921" priority="336">
      <formula>$H134=""</formula>
    </cfRule>
    <cfRule type="expression" dxfId="920" priority="337">
      <formula>I$30&lt;&gt;""</formula>
    </cfRule>
    <cfRule type="expression" dxfId="919" priority="339">
      <formula>I134&lt;I$5</formula>
    </cfRule>
  </conditionalFormatting>
  <conditionalFormatting sqref="I135">
    <cfRule type="expression" dxfId="918" priority="331" stopIfTrue="1">
      <formula>AND($H135="",I135&lt;&gt;"")</formula>
    </cfRule>
    <cfRule type="expression" dxfId="917" priority="332">
      <formula>$H135=""</formula>
    </cfRule>
    <cfRule type="expression" dxfId="916" priority="333">
      <formula>I$30&lt;&gt;""</formula>
    </cfRule>
    <cfRule type="expression" dxfId="915" priority="334">
      <formula>I135&lt;I$5</formula>
    </cfRule>
  </conditionalFormatting>
  <conditionalFormatting sqref="I135">
    <cfRule type="expression" dxfId="914" priority="325" stopIfTrue="1">
      <formula>AND($H135="",I135&lt;&gt;"")</formula>
    </cfRule>
    <cfRule type="expression" dxfId="913" priority="326">
      <formula>$H135=""</formula>
    </cfRule>
    <cfRule type="expression" dxfId="912" priority="327">
      <formula>I$30&lt;&gt;""</formula>
    </cfRule>
    <cfRule type="expression" dxfId="911" priority="329">
      <formula>I135&lt;I$5</formula>
    </cfRule>
  </conditionalFormatting>
  <conditionalFormatting sqref="I136">
    <cfRule type="expression" dxfId="910" priority="321" stopIfTrue="1">
      <formula>AND($H136="",I136&lt;&gt;"")</formula>
    </cfRule>
    <cfRule type="expression" dxfId="909" priority="322">
      <formula>$H136=""</formula>
    </cfRule>
    <cfRule type="expression" dxfId="908" priority="323">
      <formula>I$30&lt;&gt;""</formula>
    </cfRule>
    <cfRule type="expression" dxfId="907" priority="324">
      <formula>I136&lt;I$5</formula>
    </cfRule>
  </conditionalFormatting>
  <conditionalFormatting sqref="I136">
    <cfRule type="expression" dxfId="906" priority="315" stopIfTrue="1">
      <formula>AND($H136="",I136&lt;&gt;"")</formula>
    </cfRule>
    <cfRule type="expression" dxfId="905" priority="316">
      <formula>$H136=""</formula>
    </cfRule>
    <cfRule type="expression" dxfId="904" priority="317">
      <formula>I$30&lt;&gt;""</formula>
    </cfRule>
    <cfRule type="expression" dxfId="903" priority="319">
      <formula>I136&lt;I$5</formula>
    </cfRule>
  </conditionalFormatting>
  <conditionalFormatting sqref="I137">
    <cfRule type="expression" dxfId="902" priority="311" stopIfTrue="1">
      <formula>AND($H137="",I137&lt;&gt;"")</formula>
    </cfRule>
    <cfRule type="expression" dxfId="901" priority="312">
      <formula>$H137=""</formula>
    </cfRule>
    <cfRule type="expression" dxfId="900" priority="313">
      <formula>I$30&lt;&gt;""</formula>
    </cfRule>
    <cfRule type="expression" dxfId="899" priority="314">
      <formula>I137&lt;I$5</formula>
    </cfRule>
  </conditionalFormatting>
  <conditionalFormatting sqref="I137">
    <cfRule type="expression" dxfId="898" priority="305" stopIfTrue="1">
      <formula>AND($H137="",I137&lt;&gt;"")</formula>
    </cfRule>
    <cfRule type="expression" dxfId="897" priority="306">
      <formula>$H137=""</formula>
    </cfRule>
    <cfRule type="expression" dxfId="896" priority="307">
      <formula>I$30&lt;&gt;""</formula>
    </cfRule>
    <cfRule type="expression" dxfId="895" priority="309">
      <formula>I137&lt;I$5</formula>
    </cfRule>
  </conditionalFormatting>
  <conditionalFormatting sqref="J156">
    <cfRule type="expression" dxfId="894" priority="303">
      <formula>$D156&lt;&gt;""</formula>
    </cfRule>
  </conditionalFormatting>
  <conditionalFormatting sqref="J156">
    <cfRule type="expression" dxfId="893" priority="302">
      <formula>$D156&lt;&gt;""</formula>
    </cfRule>
  </conditionalFormatting>
  <conditionalFormatting sqref="C35:E163 C165:E170 E177:E179 C184:E193">
    <cfRule type="expression" dxfId="892" priority="287" stopIfTrue="1">
      <formula>AND($H35="",C35&lt;&gt;"")</formula>
    </cfRule>
    <cfRule type="expression" dxfId="891" priority="288">
      <formula>$H35=""</formula>
    </cfRule>
    <cfRule type="expression" dxfId="890" priority="289">
      <formula>C$30&lt;&gt;""</formula>
    </cfRule>
    <cfRule type="expression" dxfId="889" priority="291">
      <formula>C35&lt;C$5</formula>
    </cfRule>
  </conditionalFormatting>
  <conditionalFormatting sqref="H190">
    <cfRule type="expression" dxfId="888" priority="282" stopIfTrue="1">
      <formula>AND($G190="",R190&lt;&gt;"")</formula>
    </cfRule>
    <cfRule type="expression" dxfId="887" priority="283">
      <formula>$H190=""</formula>
    </cfRule>
    <cfRule type="expression" dxfId="886" priority="284">
      <formula>H$30&lt;&gt;""</formula>
    </cfRule>
    <cfRule type="expression" dxfId="885" priority="286">
      <formula>H190&lt;H$5</formula>
    </cfRule>
  </conditionalFormatting>
  <conditionalFormatting sqref="I190:J190">
    <cfRule type="expression" dxfId="884" priority="278" stopIfTrue="1">
      <formula>AND($H190="",I190&lt;&gt;"")</formula>
    </cfRule>
    <cfRule type="expression" dxfId="883" priority="279">
      <formula>$H190=""</formula>
    </cfRule>
    <cfRule type="expression" dxfId="882" priority="280">
      <formula>I$30&lt;&gt;""</formula>
    </cfRule>
    <cfRule type="expression" dxfId="881" priority="281">
      <formula>I190&lt;I$5</formula>
    </cfRule>
  </conditionalFormatting>
  <conditionalFormatting sqref="I190">
    <cfRule type="expression" dxfId="880" priority="272" stopIfTrue="1">
      <formula>AND($H190="",I190&lt;&gt;"")</formula>
    </cfRule>
    <cfRule type="expression" dxfId="879" priority="273">
      <formula>$H190=""</formula>
    </cfRule>
    <cfRule type="expression" dxfId="878" priority="274">
      <formula>I$30&lt;&gt;""</formula>
    </cfRule>
    <cfRule type="expression" dxfId="877" priority="276">
      <formula>I190&lt;I$5</formula>
    </cfRule>
  </conditionalFormatting>
  <conditionalFormatting sqref="N234:Q253">
    <cfRule type="expression" dxfId="876" priority="268" stopIfTrue="1">
      <formula>AND($G234="",N234&lt;&gt;"")</formula>
    </cfRule>
    <cfRule type="expression" dxfId="875" priority="269">
      <formula>$G234=""</formula>
    </cfRule>
    <cfRule type="expression" dxfId="874" priority="270">
      <formula>N$30&lt;&gt;""</formula>
    </cfRule>
    <cfRule type="expression" dxfId="873" priority="271">
      <formula>N234&lt;N$5</formula>
    </cfRule>
  </conditionalFormatting>
  <conditionalFormatting sqref="N234:O253">
    <cfRule type="expression" dxfId="872" priority="265">
      <formula>_xludf.isformula(N204:BH703)</formula>
    </cfRule>
  </conditionalFormatting>
  <conditionalFormatting sqref="P234:Q253">
    <cfRule type="expression" dxfId="871" priority="266">
      <formula>_xludf.isformula(P204:BI703)</formula>
    </cfRule>
  </conditionalFormatting>
  <conditionalFormatting sqref="R234:R253">
    <cfRule type="expression" dxfId="870" priority="260" stopIfTrue="1">
      <formula>AND($H234="",R234&lt;&gt;"")</formula>
    </cfRule>
    <cfRule type="expression" dxfId="869" priority="261">
      <formula>$H234=""</formula>
    </cfRule>
    <cfRule type="expression" dxfId="868" priority="262">
      <formula>R$30&lt;&gt;""</formula>
    </cfRule>
    <cfRule type="expression" dxfId="867" priority="264">
      <formula>R234&lt;R$5</formula>
    </cfRule>
  </conditionalFormatting>
  <conditionalFormatting sqref="S234:S253">
    <cfRule type="expression" dxfId="866" priority="255" stopIfTrue="1">
      <formula>AND($H234="",S234&lt;&gt;"")</formula>
    </cfRule>
    <cfRule type="expression" dxfId="865" priority="256">
      <formula>$H234=""</formula>
    </cfRule>
    <cfRule type="expression" dxfId="864" priority="257">
      <formula>S$30&lt;&gt;""</formula>
    </cfRule>
    <cfRule type="expression" dxfId="863" priority="259">
      <formula>S234&lt;S$5</formula>
    </cfRule>
  </conditionalFormatting>
  <conditionalFormatting sqref="W234:X253">
    <cfRule type="expression" dxfId="862" priority="251" stopIfTrue="1">
      <formula>AND($G234="",W234&lt;&gt;"")</formula>
    </cfRule>
    <cfRule type="expression" dxfId="861" priority="252">
      <formula>$G234=""</formula>
    </cfRule>
    <cfRule type="expression" dxfId="860" priority="253">
      <formula>W$30&lt;&gt;""</formula>
    </cfRule>
    <cfRule type="expression" dxfId="859" priority="254">
      <formula>W234&lt;W$5</formula>
    </cfRule>
  </conditionalFormatting>
  <conditionalFormatting sqref="W234:X253">
    <cfRule type="expression" dxfId="858" priority="249">
      <formula>_xludf.isformula(W204:BQ703)</formula>
    </cfRule>
  </conditionalFormatting>
  <conditionalFormatting sqref="U234:U253">
    <cfRule type="expression" dxfId="857" priority="244" stopIfTrue="1">
      <formula>AND($H234="",U234&lt;&gt;"")</formula>
    </cfRule>
    <cfRule type="expression" dxfId="856" priority="245">
      <formula>$H234=""</formula>
    </cfRule>
    <cfRule type="expression" dxfId="855" priority="246">
      <formula>U$30&lt;&gt;""</formula>
    </cfRule>
    <cfRule type="expression" dxfId="854" priority="248">
      <formula>U234&lt;U$5</formula>
    </cfRule>
  </conditionalFormatting>
  <conditionalFormatting sqref="Y234:Z253">
    <cfRule type="expression" dxfId="853" priority="239" stopIfTrue="1">
      <formula>AND($H234="",Y234&lt;&gt;"")</formula>
    </cfRule>
    <cfRule type="expression" dxfId="852" priority="240">
      <formula>$H234=""</formula>
    </cfRule>
    <cfRule type="expression" dxfId="851" priority="241">
      <formula>Y$30&lt;&gt;""</formula>
    </cfRule>
    <cfRule type="expression" dxfId="850" priority="243">
      <formula>Y234&lt;Y$5</formula>
    </cfRule>
  </conditionalFormatting>
  <conditionalFormatting sqref="C264:E270 C273:E370">
    <cfRule type="expression" dxfId="849" priority="233" stopIfTrue="1">
      <formula>AND($H264="",C264&lt;&gt;"")</formula>
    </cfRule>
    <cfRule type="expression" dxfId="848" priority="234">
      <formula>$H264=""</formula>
    </cfRule>
    <cfRule type="expression" dxfId="847" priority="235">
      <formula>C$30&lt;&gt;""</formula>
    </cfRule>
    <cfRule type="expression" dxfId="846" priority="237">
      <formula>C264&lt;C$5</formula>
    </cfRule>
  </conditionalFormatting>
  <conditionalFormatting sqref="C271:E272">
    <cfRule type="expression" dxfId="845" priority="228" stopIfTrue="1">
      <formula>AND($H271="",C271&lt;&gt;"")</formula>
    </cfRule>
    <cfRule type="expression" dxfId="844" priority="229">
      <formula>$H271=""</formula>
    </cfRule>
    <cfRule type="expression" dxfId="843" priority="230">
      <formula>C$30&lt;&gt;""</formula>
    </cfRule>
    <cfRule type="expression" dxfId="842" priority="232">
      <formula>C271&lt;C$5</formula>
    </cfRule>
  </conditionalFormatting>
  <conditionalFormatting sqref="C371:E395">
    <cfRule type="expression" dxfId="841" priority="223" stopIfTrue="1">
      <formula>AND($H371="",C371&lt;&gt;"")</formula>
    </cfRule>
    <cfRule type="expression" dxfId="840" priority="224">
      <formula>$H371=""</formula>
    </cfRule>
    <cfRule type="expression" dxfId="839" priority="225">
      <formula>C$30&lt;&gt;""</formula>
    </cfRule>
    <cfRule type="expression" dxfId="838" priority="227">
      <formula>C371&lt;C$5</formula>
    </cfRule>
  </conditionalFormatting>
  <conditionalFormatting sqref="K264:Q265 K267:Q270 K273:Q370">
    <cfRule type="expression" dxfId="837" priority="219" stopIfTrue="1">
      <formula>AND($G264="",K264&lt;&gt;"")</formula>
    </cfRule>
    <cfRule type="expression" dxfId="836" priority="220">
      <formula>$G264=""</formula>
    </cfRule>
    <cfRule type="expression" dxfId="835" priority="221">
      <formula>K$30&lt;&gt;""</formula>
    </cfRule>
    <cfRule type="expression" dxfId="834" priority="222">
      <formula>K264&lt;K$5</formula>
    </cfRule>
  </conditionalFormatting>
  <conditionalFormatting sqref="H264">
    <cfRule type="expression" dxfId="833" priority="211" stopIfTrue="1">
      <formula>AND($G264="",R264&lt;&gt;"")</formula>
    </cfRule>
    <cfRule type="expression" dxfId="832" priority="212">
      <formula>$H264=""</formula>
    </cfRule>
    <cfRule type="expression" dxfId="831" priority="213">
      <formula>H$30&lt;&gt;""</formula>
    </cfRule>
    <cfRule type="expression" dxfId="830" priority="215">
      <formula>H264&lt;H$5</formula>
    </cfRule>
  </conditionalFormatting>
  <conditionalFormatting sqref="J265 J267:J270 J273:J370">
    <cfRule type="expression" dxfId="829" priority="206" stopIfTrue="1">
      <formula>AND($H265="",J265&lt;&gt;"")</formula>
    </cfRule>
    <cfRule type="expression" dxfId="828" priority="207">
      <formula>$H265=""</formula>
    </cfRule>
    <cfRule type="expression" dxfId="827" priority="208">
      <formula>J$30&lt;&gt;""</formula>
    </cfRule>
    <cfRule type="expression" dxfId="826" priority="210">
      <formula>J265&lt;J$5</formula>
    </cfRule>
  </conditionalFormatting>
  <conditionalFormatting sqref="I264">
    <cfRule type="expression" dxfId="825" priority="201" stopIfTrue="1">
      <formula>AND($H264="",I264&lt;&gt;"")</formula>
    </cfRule>
    <cfRule type="expression" dxfId="824" priority="202">
      <formula>$H264=""</formula>
    </cfRule>
    <cfRule type="expression" dxfId="823" priority="203">
      <formula>I$30&lt;&gt;""</formula>
    </cfRule>
    <cfRule type="expression" dxfId="822" priority="205">
      <formula>I264&lt;I$5</formula>
    </cfRule>
  </conditionalFormatting>
  <conditionalFormatting sqref="R264:R265 R267:R270 R273:R370">
    <cfRule type="expression" dxfId="821" priority="195" stopIfTrue="1">
      <formula>AND($H264="",R264&lt;&gt;"")</formula>
    </cfRule>
    <cfRule type="expression" dxfId="820" priority="196">
      <formula>$H264=""</formula>
    </cfRule>
    <cfRule type="expression" dxfId="819" priority="197">
      <formula>R$30&lt;&gt;""</formula>
    </cfRule>
    <cfRule type="expression" dxfId="818" priority="199">
      <formula>R264&lt;R$5</formula>
    </cfRule>
  </conditionalFormatting>
  <conditionalFormatting sqref="S264:S265 S267:S270 S273:S370">
    <cfRule type="expression" dxfId="817" priority="190" stopIfTrue="1">
      <formula>AND($H264="",S264&lt;&gt;"")</formula>
    </cfRule>
    <cfRule type="expression" dxfId="816" priority="191">
      <formula>$H264=""</formula>
    </cfRule>
    <cfRule type="expression" dxfId="815" priority="192">
      <formula>S$30&lt;&gt;""</formula>
    </cfRule>
    <cfRule type="expression" dxfId="814" priority="194">
      <formula>S264&lt;S$5</formula>
    </cfRule>
  </conditionalFormatting>
  <conditionalFormatting sqref="K266:Q266">
    <cfRule type="expression" dxfId="813" priority="183" stopIfTrue="1">
      <formula>AND($G266="",K266&lt;&gt;"")</formula>
    </cfRule>
    <cfRule type="expression" dxfId="812" priority="184">
      <formula>$G266=""</formula>
    </cfRule>
    <cfRule type="expression" dxfId="811" priority="185">
      <formula>K$30&lt;&gt;""</formula>
    </cfRule>
    <cfRule type="expression" dxfId="810" priority="186">
      <formula>K266&lt;K$5</formula>
    </cfRule>
  </conditionalFormatting>
  <conditionalFormatting sqref="J266">
    <cfRule type="expression" dxfId="809" priority="175" stopIfTrue="1">
      <formula>AND($H266="",J266&lt;&gt;"")</formula>
    </cfRule>
    <cfRule type="expression" dxfId="808" priority="176">
      <formula>$H266=""</formula>
    </cfRule>
    <cfRule type="expression" dxfId="807" priority="177">
      <formula>J$30&lt;&gt;""</formula>
    </cfRule>
    <cfRule type="expression" dxfId="806" priority="179">
      <formula>J266&lt;J$5</formula>
    </cfRule>
  </conditionalFormatting>
  <conditionalFormatting sqref="N264:O270 N273:O370">
    <cfRule type="expression" dxfId="805" priority="187">
      <formula>_xludf.isformula(N234:BH733)</formula>
    </cfRule>
  </conditionalFormatting>
  <conditionalFormatting sqref="R266">
    <cfRule type="expression" dxfId="804" priority="169" stopIfTrue="1">
      <formula>AND($H266="",R266&lt;&gt;"")</formula>
    </cfRule>
    <cfRule type="expression" dxfId="803" priority="170">
      <formula>$H266=""</formula>
    </cfRule>
    <cfRule type="expression" dxfId="802" priority="171">
      <formula>R$30&lt;&gt;""</formula>
    </cfRule>
    <cfRule type="expression" dxfId="801" priority="173">
      <formula>R266&lt;R$5</formula>
    </cfRule>
  </conditionalFormatting>
  <conditionalFormatting sqref="S266">
    <cfRule type="expression" dxfId="800" priority="164" stopIfTrue="1">
      <formula>AND($H266="",S266&lt;&gt;"")</formula>
    </cfRule>
    <cfRule type="expression" dxfId="799" priority="165">
      <formula>$H266=""</formula>
    </cfRule>
    <cfRule type="expression" dxfId="798" priority="166">
      <formula>S$30&lt;&gt;""</formula>
    </cfRule>
    <cfRule type="expression" dxfId="797" priority="168">
      <formula>S266&lt;S$5</formula>
    </cfRule>
  </conditionalFormatting>
  <conditionalFormatting sqref="P264:Q270 P273:Q370">
    <cfRule type="expression" dxfId="796" priority="188">
      <formula>_xludf.isformula(P234:BI733)</formula>
    </cfRule>
  </conditionalFormatting>
  <conditionalFormatting sqref="K264:M270 K273:M370">
    <cfRule type="expression" dxfId="795" priority="189">
      <formula>_xludf.isformula(K234:BJ733)</formula>
    </cfRule>
  </conditionalFormatting>
  <conditionalFormatting sqref="J264">
    <cfRule type="expression" dxfId="794" priority="159" stopIfTrue="1">
      <formula>AND($H264="",J264&lt;&gt;"")</formula>
    </cfRule>
    <cfRule type="expression" dxfId="793" priority="160">
      <formula>$H264=""</formula>
    </cfRule>
    <cfRule type="expression" dxfId="792" priority="161">
      <formula>J$30&lt;&gt;""</formula>
    </cfRule>
    <cfRule type="expression" dxfId="791" priority="163">
      <formula>J264&lt;J$5</formula>
    </cfRule>
  </conditionalFormatting>
  <conditionalFormatting sqref="K271:Q272">
    <cfRule type="expression" dxfId="790" priority="152" stopIfTrue="1">
      <formula>AND($G271="",K271&lt;&gt;"")</formula>
    </cfRule>
    <cfRule type="expression" dxfId="789" priority="153">
      <formula>$G271=""</formula>
    </cfRule>
    <cfRule type="expression" dxfId="788" priority="154">
      <formula>K$30&lt;&gt;""</formula>
    </cfRule>
    <cfRule type="expression" dxfId="787" priority="155">
      <formula>K271&lt;K$5</formula>
    </cfRule>
  </conditionalFormatting>
  <conditionalFormatting sqref="J271:J272">
    <cfRule type="expression" dxfId="786" priority="146" stopIfTrue="1">
      <formula>AND($H271="",J271&lt;&gt;"")</formula>
    </cfRule>
    <cfRule type="expression" dxfId="785" priority="147">
      <formula>$H271=""</formula>
    </cfRule>
    <cfRule type="expression" dxfId="784" priority="148">
      <formula>J$30&lt;&gt;""</formula>
    </cfRule>
    <cfRule type="expression" dxfId="783" priority="149">
      <formula>J271&lt;J$5</formula>
    </cfRule>
  </conditionalFormatting>
  <conditionalFormatting sqref="N271:O272">
    <cfRule type="expression" dxfId="782" priority="156">
      <formula>_xludf.isformula(N241:BH570)</formula>
    </cfRule>
  </conditionalFormatting>
  <conditionalFormatting sqref="R271:R272">
    <cfRule type="expression" dxfId="781" priority="141" stopIfTrue="1">
      <formula>AND($H271="",R271&lt;&gt;"")</formula>
    </cfRule>
    <cfRule type="expression" dxfId="780" priority="142">
      <formula>$H271=""</formula>
    </cfRule>
    <cfRule type="expression" dxfId="779" priority="143">
      <formula>R$30&lt;&gt;""</formula>
    </cfRule>
    <cfRule type="expression" dxfId="778" priority="145">
      <formula>R271&lt;R$5</formula>
    </cfRule>
  </conditionalFormatting>
  <conditionalFormatting sqref="S271:S272">
    <cfRule type="expression" dxfId="777" priority="136" stopIfTrue="1">
      <formula>AND($H271="",S271&lt;&gt;"")</formula>
    </cfRule>
    <cfRule type="expression" dxfId="776" priority="137">
      <formula>$H271=""</formula>
    </cfRule>
    <cfRule type="expression" dxfId="775" priority="138">
      <formula>S$30&lt;&gt;""</formula>
    </cfRule>
    <cfRule type="expression" dxfId="774" priority="140">
      <formula>S271&lt;S$5</formula>
    </cfRule>
  </conditionalFormatting>
  <conditionalFormatting sqref="P271:Q272">
    <cfRule type="expression" dxfId="773" priority="157">
      <formula>_xludf.isformula(P241:BI570)</formula>
    </cfRule>
  </conditionalFormatting>
  <conditionalFormatting sqref="K271:M272">
    <cfRule type="expression" dxfId="772" priority="158">
      <formula>_xludf.isformula(K241:BJ570)</formula>
    </cfRule>
  </conditionalFormatting>
  <conditionalFormatting sqref="I265:I370">
    <cfRule type="expression" dxfId="771" priority="131" stopIfTrue="1">
      <formula>AND($H265="",I265&lt;&gt;"")</formula>
    </cfRule>
    <cfRule type="expression" dxfId="770" priority="132">
      <formula>$H265=""</formula>
    </cfRule>
    <cfRule type="expression" dxfId="769" priority="133">
      <formula>I$30&lt;&gt;""</formula>
    </cfRule>
    <cfRule type="expression" dxfId="768" priority="135">
      <formula>I265&lt;I$5</formula>
    </cfRule>
  </conditionalFormatting>
  <conditionalFormatting sqref="H265:H370">
    <cfRule type="expression" dxfId="767" priority="126" stopIfTrue="1">
      <formula>AND($G265="",R265&lt;&gt;"")</formula>
    </cfRule>
    <cfRule type="expression" dxfId="766" priority="127">
      <formula>$H265=""</formula>
    </cfRule>
    <cfRule type="expression" dxfId="765" priority="128">
      <formula>H$30&lt;&gt;""</formula>
    </cfRule>
    <cfRule type="expression" dxfId="764" priority="130">
      <formula>H265&lt;H$5</formula>
    </cfRule>
  </conditionalFormatting>
  <conditionalFormatting sqref="K371:Q395">
    <cfRule type="expression" dxfId="763" priority="105" stopIfTrue="1">
      <formula>AND($G371="",K371&lt;&gt;"")</formula>
    </cfRule>
    <cfRule type="expression" dxfId="762" priority="106">
      <formula>$G371=""</formula>
    </cfRule>
    <cfRule type="expression" dxfId="761" priority="107">
      <formula>K$30&lt;&gt;""</formula>
    </cfRule>
    <cfRule type="expression" dxfId="760" priority="108">
      <formula>K371&lt;K$5</formula>
    </cfRule>
  </conditionalFormatting>
  <conditionalFormatting sqref="J371:J395">
    <cfRule type="expression" dxfId="759" priority="99" stopIfTrue="1">
      <formula>AND($H371="",J371&lt;&gt;"")</formula>
    </cfRule>
    <cfRule type="expression" dxfId="758" priority="100">
      <formula>$H371=""</formula>
    </cfRule>
    <cfRule type="expression" dxfId="757" priority="101">
      <formula>J$30&lt;&gt;""</formula>
    </cfRule>
    <cfRule type="expression" dxfId="756" priority="102">
      <formula>J371&lt;J$5</formula>
    </cfRule>
  </conditionalFormatting>
  <conditionalFormatting sqref="R371:R395">
    <cfRule type="expression" dxfId="755" priority="94" stopIfTrue="1">
      <formula>AND($H371="",R371&lt;&gt;"")</formula>
    </cfRule>
    <cfRule type="expression" dxfId="754" priority="95">
      <formula>$H371=""</formula>
    </cfRule>
    <cfRule type="expression" dxfId="753" priority="96">
      <formula>R$30&lt;&gt;""</formula>
    </cfRule>
    <cfRule type="expression" dxfId="752" priority="98">
      <formula>R371&lt;R$5</formula>
    </cfRule>
  </conditionalFormatting>
  <conditionalFormatting sqref="S371:S395">
    <cfRule type="expression" dxfId="751" priority="89" stopIfTrue="1">
      <formula>AND($H371="",S371&lt;&gt;"")</formula>
    </cfRule>
    <cfRule type="expression" dxfId="750" priority="90">
      <formula>$H371=""</formula>
    </cfRule>
    <cfRule type="expression" dxfId="749" priority="91">
      <formula>S$30&lt;&gt;""</formula>
    </cfRule>
    <cfRule type="expression" dxfId="748" priority="93">
      <formula>S371&lt;S$5</formula>
    </cfRule>
  </conditionalFormatting>
  <conditionalFormatting sqref="N371:O395">
    <cfRule type="expression" dxfId="747" priority="86">
      <formula>_xludf.isformula(N341:BH840)</formula>
    </cfRule>
  </conditionalFormatting>
  <conditionalFormatting sqref="P371:Q395">
    <cfRule type="expression" dxfId="746" priority="87">
      <formula>_xludf.isformula(P341:BI840)</formula>
    </cfRule>
  </conditionalFormatting>
  <conditionalFormatting sqref="K371:M395">
    <cfRule type="expression" dxfId="745" priority="88">
      <formula>_xludf.isformula(K341:BJ840)</formula>
    </cfRule>
  </conditionalFormatting>
  <conditionalFormatting sqref="I371:I395">
    <cfRule type="expression" dxfId="744" priority="81" stopIfTrue="1">
      <formula>AND($H371="",I371&lt;&gt;"")</formula>
    </cfRule>
    <cfRule type="expression" dxfId="743" priority="82">
      <formula>$H371=""</formula>
    </cfRule>
    <cfRule type="expression" dxfId="742" priority="83">
      <formula>I$30&lt;&gt;""</formula>
    </cfRule>
    <cfRule type="expression" dxfId="741" priority="85">
      <formula>I371&lt;I$5</formula>
    </cfRule>
  </conditionalFormatting>
  <conditionalFormatting sqref="H371:H395">
    <cfRule type="expression" dxfId="740" priority="76" stopIfTrue="1">
      <formula>AND($G371="",R371&lt;&gt;"")</formula>
    </cfRule>
    <cfRule type="expression" dxfId="739" priority="77">
      <formula>$H371=""</formula>
    </cfRule>
    <cfRule type="expression" dxfId="738" priority="78">
      <formula>H$30&lt;&gt;""</formula>
    </cfRule>
    <cfRule type="expression" dxfId="737" priority="80">
      <formula>H371&lt;H$5</formula>
    </cfRule>
  </conditionalFormatting>
  <conditionalFormatting sqref="U264:U270 U273:U370">
    <cfRule type="expression" dxfId="736" priority="71" stopIfTrue="1">
      <formula>AND($H264="",U264&lt;&gt;"")</formula>
    </cfRule>
    <cfRule type="expression" dxfId="735" priority="72">
      <formula>$H264=""</formula>
    </cfRule>
    <cfRule type="expression" dxfId="734" priority="73">
      <formula>U$30&lt;&gt;""</formula>
    </cfRule>
    <cfRule type="expression" dxfId="733" priority="75">
      <formula>U264&lt;U$5</formula>
    </cfRule>
  </conditionalFormatting>
  <conditionalFormatting sqref="U271:U272">
    <cfRule type="expression" dxfId="732" priority="66" stopIfTrue="1">
      <formula>AND($H271="",U271&lt;&gt;"")</formula>
    </cfRule>
    <cfRule type="expression" dxfId="731" priority="67">
      <formula>$H271=""</formula>
    </cfRule>
    <cfRule type="expression" dxfId="730" priority="68">
      <formula>U$30&lt;&gt;""</formula>
    </cfRule>
    <cfRule type="expression" dxfId="729" priority="70">
      <formula>U271&lt;U$5</formula>
    </cfRule>
  </conditionalFormatting>
  <conditionalFormatting sqref="U371:U395">
    <cfRule type="expression" dxfId="728" priority="61" stopIfTrue="1">
      <formula>AND($H371="",U371&lt;&gt;"")</formula>
    </cfRule>
    <cfRule type="expression" dxfId="727" priority="62">
      <formula>$H371=""</formula>
    </cfRule>
    <cfRule type="expression" dxfId="726" priority="63">
      <formula>U$30&lt;&gt;""</formula>
    </cfRule>
    <cfRule type="expression" dxfId="725" priority="65">
      <formula>U371&lt;U$5</formula>
    </cfRule>
  </conditionalFormatting>
  <conditionalFormatting sqref="W264:X265 W267:X270 W273:X370">
    <cfRule type="expression" dxfId="724" priority="57" stopIfTrue="1">
      <formula>AND($G264="",W264&lt;&gt;"")</formula>
    </cfRule>
    <cfRule type="expression" dxfId="723" priority="58">
      <formula>$G264=""</formula>
    </cfRule>
    <cfRule type="expression" dxfId="722" priority="59">
      <formula>W$30&lt;&gt;""</formula>
    </cfRule>
    <cfRule type="expression" dxfId="721" priority="60">
      <formula>W264&lt;W$5</formula>
    </cfRule>
  </conditionalFormatting>
  <conditionalFormatting sqref="Y264:Z265 Y267:Z270 Y273:Z370">
    <cfRule type="expression" dxfId="720" priority="49" stopIfTrue="1">
      <formula>AND($H264="",Y264&lt;&gt;"")</formula>
    </cfRule>
    <cfRule type="expression" dxfId="719" priority="50">
      <formula>$H264=""</formula>
    </cfRule>
    <cfRule type="expression" dxfId="718" priority="51">
      <formula>Y$30&lt;&gt;""</formula>
    </cfRule>
    <cfRule type="expression" dxfId="717" priority="53">
      <formula>Y264&lt;Y$5</formula>
    </cfRule>
  </conditionalFormatting>
  <conditionalFormatting sqref="W264:X265 W267:X270 W273:X370">
    <cfRule type="expression" dxfId="716" priority="48">
      <formula>_xludf.isformula(W234:BQ733)</formula>
    </cfRule>
  </conditionalFormatting>
  <conditionalFormatting sqref="W266:X266">
    <cfRule type="expression" dxfId="715" priority="43" stopIfTrue="1">
      <formula>AND($G266="",W266&lt;&gt;"")</formula>
    </cfRule>
    <cfRule type="expression" dxfId="714" priority="44">
      <formula>$G266=""</formula>
    </cfRule>
    <cfRule type="expression" dxfId="713" priority="45">
      <formula>W$30&lt;&gt;""</formula>
    </cfRule>
    <cfRule type="expression" dxfId="712" priority="46">
      <formula>W266&lt;W$5</formula>
    </cfRule>
  </conditionalFormatting>
  <conditionalFormatting sqref="W266:X266">
    <cfRule type="expression" dxfId="711" priority="47">
      <formula>_xludf.isformula(W236:BQ735)</formula>
    </cfRule>
  </conditionalFormatting>
  <conditionalFormatting sqref="Y266:Z266">
    <cfRule type="expression" dxfId="710" priority="35" stopIfTrue="1">
      <formula>AND($H266="",Y266&lt;&gt;"")</formula>
    </cfRule>
    <cfRule type="expression" dxfId="709" priority="36">
      <formula>$H266=""</formula>
    </cfRule>
    <cfRule type="expression" dxfId="708" priority="37">
      <formula>Y$30&lt;&gt;""</formula>
    </cfRule>
    <cfRule type="expression" dxfId="707" priority="39">
      <formula>Y266&lt;Y$5</formula>
    </cfRule>
  </conditionalFormatting>
  <conditionalFormatting sqref="W271:X272">
    <cfRule type="expression" dxfId="706" priority="30" stopIfTrue="1">
      <formula>AND($G271="",W271&lt;&gt;"")</formula>
    </cfRule>
    <cfRule type="expression" dxfId="705" priority="31">
      <formula>$G271=""</formula>
    </cfRule>
    <cfRule type="expression" dxfId="704" priority="32">
      <formula>W$30&lt;&gt;""</formula>
    </cfRule>
    <cfRule type="expression" dxfId="703" priority="33">
      <formula>W271&lt;W$5</formula>
    </cfRule>
  </conditionalFormatting>
  <conditionalFormatting sqref="W271:X272">
    <cfRule type="expression" dxfId="702" priority="34">
      <formula>_xludf.isformula(W241:BQ570)</formula>
    </cfRule>
  </conditionalFormatting>
  <conditionalFormatting sqref="Y271:Z272">
    <cfRule type="expression" dxfId="701" priority="24" stopIfTrue="1">
      <formula>AND($H271="",Y271&lt;&gt;"")</formula>
    </cfRule>
    <cfRule type="expression" dxfId="700" priority="25">
      <formula>$H271=""</formula>
    </cfRule>
    <cfRule type="expression" dxfId="699" priority="26">
      <formula>Y$30&lt;&gt;""</formula>
    </cfRule>
    <cfRule type="expression" dxfId="698" priority="28">
      <formula>Y271&lt;Y$5</formula>
    </cfRule>
  </conditionalFormatting>
  <conditionalFormatting sqref="W371:X395">
    <cfRule type="expression" dxfId="697" priority="20" stopIfTrue="1">
      <formula>AND($G371="",W371&lt;&gt;"")</formula>
    </cfRule>
    <cfRule type="expression" dxfId="696" priority="21">
      <formula>$G371=""</formula>
    </cfRule>
    <cfRule type="expression" dxfId="695" priority="22">
      <formula>W$30&lt;&gt;""</formula>
    </cfRule>
    <cfRule type="expression" dxfId="694" priority="23">
      <formula>W371&lt;W$5</formula>
    </cfRule>
  </conditionalFormatting>
  <conditionalFormatting sqref="Y371:Z395">
    <cfRule type="expression" dxfId="693" priority="14" stopIfTrue="1">
      <formula>AND($H371="",Y371&lt;&gt;"")</formula>
    </cfRule>
    <cfRule type="expression" dxfId="692" priority="15">
      <formula>$H371=""</formula>
    </cfRule>
    <cfRule type="expression" dxfId="691" priority="16">
      <formula>Y$30&lt;&gt;""</formula>
    </cfRule>
    <cfRule type="expression" dxfId="690" priority="18">
      <formula>Y371&lt;Y$5</formula>
    </cfRule>
  </conditionalFormatting>
  <conditionalFormatting sqref="W371:X395">
    <cfRule type="expression" dxfId="689" priority="13">
      <formula>_xludf.isformula(W341:BQ840)</formula>
    </cfRule>
  </conditionalFormatting>
  <conditionalFormatting sqref="BM264:BM370">
    <cfRule type="cellIs" dxfId="688" priority="7" operator="equal">
      <formula>1</formula>
    </cfRule>
  </conditionalFormatting>
  <conditionalFormatting sqref="BM264:BN370">
    <cfRule type="expression" dxfId="687" priority="9" stopIfTrue="1">
      <formula>AND($G264="",BM264&lt;&gt;"")</formula>
    </cfRule>
    <cfRule type="expression" dxfId="686" priority="10">
      <formula>$G264=""</formula>
    </cfRule>
    <cfRule type="expression" dxfId="685" priority="11">
      <formula>BM$30&lt;&gt;""</formula>
    </cfRule>
    <cfRule type="expression" dxfId="684" priority="12">
      <formula>BM264&lt;BM$5</formula>
    </cfRule>
  </conditionalFormatting>
  <conditionalFormatting sqref="BM371:BM395">
    <cfRule type="cellIs" dxfId="683" priority="1" operator="equal">
      <formula>1</formula>
    </cfRule>
  </conditionalFormatting>
  <conditionalFormatting sqref="BM371:BN395">
    <cfRule type="expression" dxfId="682" priority="3" stopIfTrue="1">
      <formula>AND($G371="",BM371&lt;&gt;"")</formula>
    </cfRule>
    <cfRule type="expression" dxfId="681" priority="4">
      <formula>$G371=""</formula>
    </cfRule>
    <cfRule type="expression" dxfId="680" priority="5">
      <formula>BM$30&lt;&gt;""</formula>
    </cfRule>
    <cfRule type="expression" dxfId="679" priority="6">
      <formula>BM371&lt;BM$5</formula>
    </cfRule>
  </conditionalFormatting>
  <dataValidations count="11">
    <dataValidation type="list" allowBlank="1" showInputMessage="1" showErrorMessage="1" errorTitle="נתון שגוי." error="ניתן להזין רק 0 או 1._x000a_0 = לא עומד בתנאי._x000a_1 = עומד בתנאי." sqref="BG31:BG500">
      <formula1>$BQ$31:$BR$31</formula1>
    </dataValidation>
    <dataValidation allowBlank="1" showInputMessage="1" showErrorMessage="1" errorTitle="נתון שגוי." error="ניתן להזין רק 0 או 1._x000a_0 = לא עומד בתנאי._x000a_1 = עומד בתנאי." sqref="BI31:BK500"/>
    <dataValidation type="list" allowBlank="1" showInputMessage="1" showErrorMessage="1" errorTitle="נתון שגוי." error="ניתן להזין רק 0 או 1._x000a_0 = לא עומד בתנאי._x000a_1 = עומד בתנאי." sqref="AX31:BF500 W31:X500 BH31:BH500 K31:Q500 AB31:AV500">
      <formula1>$BQ31:$BR31</formula1>
    </dataValidation>
    <dataValidation type="list" allowBlank="1" showInputMessage="1" showErrorMessage="1" sqref="BH30 AB30:AV30 J30:Q30 C30:E30 AX30:BE30 W30:X30">
      <formula1>OFFSET($BT$1,0,0,1,COUNTA($BT$1:$DE$1))</formula1>
    </dataValidation>
    <dataValidation type="whole" operator="greaterThanOrEqual" allowBlank="1" showInputMessage="1" showErrorMessage="1" errorTitle="נתון שגוי." error="ניתן להזין רק מספר שלם גדול או שווה ל-0." sqref="J31:J500 C31:E500">
      <formula1>0</formula1>
    </dataValidation>
    <dataValidation type="list" allowBlank="1" showInputMessage="1" showErrorMessage="1" sqref="H30">
      <formula1>OFFSET($BA$1,0,0,1,COUNTA($BA$1:$CN$1))</formula1>
    </dataValidation>
    <dataValidation type="decimal" operator="greaterThan" allowBlank="1" showInputMessage="1" showErrorMessage="1" errorTitle="נתון שגוי." error="ניתן להזין רק מספר גדול מ-0" sqref="R31:S500 Y31:Z500 U31:U500">
      <formula1>0</formula1>
    </dataValidation>
    <dataValidation type="list" allowBlank="1" showInputMessage="1" showErrorMessage="1" sqref="R30:S30 Y30:Z30 U30">
      <formula1>OFFSET($AY$1,0,0,1,COUNTA($AY$1:$CL$1))</formula1>
    </dataValidation>
    <dataValidation type="list" allowBlank="1" showInputMessage="1" showErrorMessage="1" errorTitle="נתון לא מרשימה" error="יש לבחור מתוך הרשימה הסגורה בלבד" sqref="I31:I500">
      <formula1>$BT$5:$CR$5</formula1>
    </dataValidation>
    <dataValidation type="list" allowBlank="1" showInputMessage="1" showErrorMessage="1" sqref="I30">
      <formula1>OFFSET($AW$1,0,0,1,COUNTA($AW$1:$CJ$1))</formula1>
    </dataValidation>
    <dataValidation type="list" allowBlank="1" showInputMessage="1" showErrorMessage="1" sqref="K4:BG4">
      <formula1>"1,0,99"</formula1>
    </dataValidation>
  </dataValidations>
  <printOptions horizontalCentered="1"/>
  <pageMargins left="0.51181102362204722" right="0.51181102362204722" top="0.74803149606299213" bottom="0.74803149606299213" header="0.31496062992125984" footer="0.31496062992125984"/>
  <pageSetup paperSize="9" scale="26" orientation="portrait" r:id="rId1"/>
  <headerFooter>
    <oddHeader>&amp;C&amp;Uמבחנים לתמיכה של משרד התרבות והספורט</oddHeader>
    <oddFooter>&amp;Lא. חפץ ושות'
יעוץ כלכלי&amp;C&amp;P</oddFooter>
  </headerFooter>
  <legacyDrawing r:id="rId2"/>
  <extLst>
    <ext xmlns:x14="http://schemas.microsoft.com/office/spreadsheetml/2009/9/main" uri="{78C0D931-6437-407d-A8EE-F0AAD7539E65}">
      <x14:conditionalFormattings>
        <x14:conditionalFormatting xmlns:xm="http://schemas.microsoft.com/office/excel/2006/main">
          <x14:cfRule type="containsText" priority="1385" operator="containsText" id="{FECE94FF-32D7-4598-8566-2FB716685320}">
            <xm:f>NOT(ISERROR(SEARCH($BQ$1,B31)))</xm:f>
            <xm:f>$BQ$1</xm:f>
            <x14:dxf>
              <fill>
                <patternFill>
                  <bgColor rgb="FFFF0000"/>
                </patternFill>
              </fill>
            </x14:dxf>
          </x14:cfRule>
          <xm:sqref>B31:B500 AS31:AU500 AW31:AW500 AB31:AB500 BF31:BO263 W42:X233 K42:Q233 K254:Q263 K234:M253 W254:X263 K396:Q500 W396:X500 BF396:BO500 BF264:BL395 BO264:BO395</xm:sqref>
        </x14:conditionalFormatting>
        <x14:conditionalFormatting xmlns:xm="http://schemas.microsoft.com/office/excel/2006/main">
          <x14:cfRule type="containsText" priority="1303" operator="containsText" id="{7E5F2534-4995-4DC9-B4E1-92972F9FBD3A}">
            <xm:f>NOT(ISERROR(SEARCH($BQ$1,AX31)))</xm:f>
            <xm:f>$BQ$1</xm:f>
            <x14:dxf>
              <fill>
                <patternFill>
                  <bgColor rgb="FFFF0000"/>
                </patternFill>
              </fill>
            </x14:dxf>
          </x14:cfRule>
          <xm:sqref>AX31:AY500</xm:sqref>
        </x14:conditionalFormatting>
        <x14:conditionalFormatting xmlns:xm="http://schemas.microsoft.com/office/excel/2006/main">
          <x14:cfRule type="containsText" priority="1296" operator="containsText" id="{4CF184DF-AD9D-405C-9327-8A4CD4A7A864}">
            <xm:f>NOT(ISERROR(SEARCH($BQ$1,AB31)))</xm:f>
            <xm:f>$BQ$1</xm:f>
            <x14:dxf>
              <fill>
                <patternFill>
                  <bgColor rgb="FFFF0000"/>
                </patternFill>
              </fill>
            </x14:dxf>
          </x14:cfRule>
          <xm:sqref>AB31:AB500</xm:sqref>
        </x14:conditionalFormatting>
        <x14:conditionalFormatting xmlns:xm="http://schemas.microsoft.com/office/excel/2006/main">
          <x14:cfRule type="containsText" priority="1295" operator="containsText" id="{AC1D182C-F8AE-4D18-9228-0BC56EEE6DE3}">
            <xm:f>NOT(ISERROR(SEARCH($BQ$1,AB31)))</xm:f>
            <xm:f>$BQ$1</xm:f>
            <x14:dxf>
              <fill>
                <patternFill>
                  <bgColor rgb="FFFF0000"/>
                </patternFill>
              </fill>
            </x14:dxf>
          </x14:cfRule>
          <xm:sqref>AB31:AB500</xm:sqref>
        </x14:conditionalFormatting>
        <x14:conditionalFormatting xmlns:xm="http://schemas.microsoft.com/office/excel/2006/main">
          <x14:cfRule type="containsText" priority="1229" operator="containsText" id="{700E0CD4-758E-4D05-8423-295737183B01}">
            <xm:f>NOT(ISERROR(SEARCH($BQ$1,AQ31)))</xm:f>
            <xm:f>$BQ$1</xm:f>
            <x14:dxf>
              <fill>
                <patternFill>
                  <bgColor rgb="FFFF0000"/>
                </patternFill>
              </fill>
            </x14:dxf>
          </x14:cfRule>
          <xm:sqref>AQ31:AQ500</xm:sqref>
        </x14:conditionalFormatting>
        <x14:conditionalFormatting xmlns:xm="http://schemas.microsoft.com/office/excel/2006/main">
          <x14:cfRule type="containsText" priority="1228" operator="containsText" id="{0DEBE529-706D-44AF-A20F-11BC783F17F7}">
            <xm:f>NOT(ISERROR(SEARCH($BQ$1,AQ31)))</xm:f>
            <xm:f>$BQ$1</xm:f>
            <x14:dxf>
              <fill>
                <patternFill>
                  <bgColor rgb="FFFF0000"/>
                </patternFill>
              </fill>
            </x14:dxf>
          </x14:cfRule>
          <xm:sqref>AQ31:AQ500</xm:sqref>
        </x14:conditionalFormatting>
        <x14:conditionalFormatting xmlns:xm="http://schemas.microsoft.com/office/excel/2006/main">
          <x14:cfRule type="containsText" priority="1227" operator="containsText" id="{B3AF0297-8DE3-476E-AB5B-20FF46941A6D}">
            <xm:f>NOT(ISERROR(SEARCH($BQ$1,AQ31)))</xm:f>
            <xm:f>$BQ$1</xm:f>
            <x14:dxf>
              <fill>
                <patternFill>
                  <bgColor rgb="FFFF0000"/>
                </patternFill>
              </fill>
            </x14:dxf>
          </x14:cfRule>
          <xm:sqref>AQ31:AQ500</xm:sqref>
        </x14:conditionalFormatting>
        <x14:conditionalFormatting xmlns:xm="http://schemas.microsoft.com/office/excel/2006/main">
          <x14:cfRule type="containsText" priority="1226" operator="containsText" id="{B848C3CF-CC2F-4CB9-8817-98D660C4F9DE}">
            <xm:f>NOT(ISERROR(SEARCH($BQ$1,AQ31)))</xm:f>
            <xm:f>$BQ$1</xm:f>
            <x14:dxf>
              <fill>
                <patternFill>
                  <bgColor rgb="FFFF0000"/>
                </patternFill>
              </fill>
            </x14:dxf>
          </x14:cfRule>
          <xm:sqref>AQ31:AQ500</xm:sqref>
        </x14:conditionalFormatting>
        <x14:conditionalFormatting xmlns:xm="http://schemas.microsoft.com/office/excel/2006/main">
          <x14:cfRule type="containsText" priority="1225" operator="containsText" id="{25479890-618F-4B4D-A7DE-B21B473BDD3E}">
            <xm:f>NOT(ISERROR(SEARCH($BQ$1,AQ31)))</xm:f>
            <xm:f>$BQ$1</xm:f>
            <x14:dxf>
              <fill>
                <patternFill>
                  <bgColor rgb="FFFF0000"/>
                </patternFill>
              </fill>
            </x14:dxf>
          </x14:cfRule>
          <xm:sqref>AQ31:AQ500</xm:sqref>
        </x14:conditionalFormatting>
        <x14:conditionalFormatting xmlns:xm="http://schemas.microsoft.com/office/excel/2006/main">
          <x14:cfRule type="containsText" priority="1220" operator="containsText" id="{8692E2CB-34CE-40C8-A255-C6A2257A05E0}">
            <xm:f>NOT(ISERROR(SEARCH($BQ$1,AR31)))</xm:f>
            <xm:f>$BQ$1</xm:f>
            <x14:dxf>
              <fill>
                <patternFill>
                  <bgColor rgb="FFFF0000"/>
                </patternFill>
              </fill>
            </x14:dxf>
          </x14:cfRule>
          <xm:sqref>AR31:AR500</xm:sqref>
        </x14:conditionalFormatting>
        <x14:conditionalFormatting xmlns:xm="http://schemas.microsoft.com/office/excel/2006/main">
          <x14:cfRule type="containsText" priority="1219" operator="containsText" id="{F5E5C995-1984-4E25-BAB7-DCC37854F2CB}">
            <xm:f>NOT(ISERROR(SEARCH($BQ$1,AR31)))</xm:f>
            <xm:f>$BQ$1</xm:f>
            <x14:dxf>
              <fill>
                <patternFill>
                  <bgColor rgb="FFFF0000"/>
                </patternFill>
              </fill>
            </x14:dxf>
          </x14:cfRule>
          <xm:sqref>AR31:AR500</xm:sqref>
        </x14:conditionalFormatting>
        <x14:conditionalFormatting xmlns:xm="http://schemas.microsoft.com/office/excel/2006/main">
          <x14:cfRule type="containsText" priority="1218" operator="containsText" id="{2CEC7371-AAB8-446F-8DF1-E69DAE8757DE}">
            <xm:f>NOT(ISERROR(SEARCH($BQ$1,AR31)))</xm:f>
            <xm:f>$BQ$1</xm:f>
            <x14:dxf>
              <fill>
                <patternFill>
                  <bgColor rgb="FFFF0000"/>
                </patternFill>
              </fill>
            </x14:dxf>
          </x14:cfRule>
          <xm:sqref>AR31:AR500</xm:sqref>
        </x14:conditionalFormatting>
        <x14:conditionalFormatting xmlns:xm="http://schemas.microsoft.com/office/excel/2006/main">
          <x14:cfRule type="containsText" priority="1217" operator="containsText" id="{A01BF71F-953B-454F-8026-F7E97DF8DA8B}">
            <xm:f>NOT(ISERROR(SEARCH($BQ$1,AR31)))</xm:f>
            <xm:f>$BQ$1</xm:f>
            <x14:dxf>
              <fill>
                <patternFill>
                  <bgColor rgb="FFFF0000"/>
                </patternFill>
              </fill>
            </x14:dxf>
          </x14:cfRule>
          <xm:sqref>AR31:AR500</xm:sqref>
        </x14:conditionalFormatting>
        <x14:conditionalFormatting xmlns:xm="http://schemas.microsoft.com/office/excel/2006/main">
          <x14:cfRule type="containsText" priority="1216" operator="containsText" id="{339EE66E-897F-4691-943A-47BED01F6321}">
            <xm:f>NOT(ISERROR(SEARCH($BQ$1,AR31)))</xm:f>
            <xm:f>$BQ$1</xm:f>
            <x14:dxf>
              <fill>
                <patternFill>
                  <bgColor rgb="FFFF0000"/>
                </patternFill>
              </fill>
            </x14:dxf>
          </x14:cfRule>
          <xm:sqref>AR31:AR500</xm:sqref>
        </x14:conditionalFormatting>
        <x14:conditionalFormatting xmlns:xm="http://schemas.microsoft.com/office/excel/2006/main">
          <x14:cfRule type="containsText" priority="1202" operator="containsText" id="{A8F6EF17-5766-44B2-A037-F0CA67039B1C}">
            <xm:f>NOT(ISERROR(SEARCH($BQ$1,AI31)))</xm:f>
            <xm:f>$BQ$1</xm:f>
            <x14:dxf>
              <fill>
                <patternFill>
                  <bgColor rgb="FFFF0000"/>
                </patternFill>
              </fill>
            </x14:dxf>
          </x14:cfRule>
          <xm:sqref>AI31:AI500</xm:sqref>
        </x14:conditionalFormatting>
        <x14:conditionalFormatting xmlns:xm="http://schemas.microsoft.com/office/excel/2006/main">
          <x14:cfRule type="containsText" priority="1201" operator="containsText" id="{9F3D1096-02D0-490D-8A99-5AF02BCC641D}">
            <xm:f>NOT(ISERROR(SEARCH($BQ$1,AI31)))</xm:f>
            <xm:f>$BQ$1</xm:f>
            <x14:dxf>
              <fill>
                <patternFill>
                  <bgColor rgb="FFFF0000"/>
                </patternFill>
              </fill>
            </x14:dxf>
          </x14:cfRule>
          <xm:sqref>AI31:AI500</xm:sqref>
        </x14:conditionalFormatting>
        <x14:conditionalFormatting xmlns:xm="http://schemas.microsoft.com/office/excel/2006/main">
          <x14:cfRule type="containsText" priority="1200" operator="containsText" id="{B2701B86-6DC6-4F15-9DC1-D56F5D11592A}">
            <xm:f>NOT(ISERROR(SEARCH($BQ$1,AI31)))</xm:f>
            <xm:f>$BQ$1</xm:f>
            <x14:dxf>
              <fill>
                <patternFill>
                  <bgColor rgb="FFFF0000"/>
                </patternFill>
              </fill>
            </x14:dxf>
          </x14:cfRule>
          <xm:sqref>AI31:AI500</xm:sqref>
        </x14:conditionalFormatting>
        <x14:conditionalFormatting xmlns:xm="http://schemas.microsoft.com/office/excel/2006/main">
          <x14:cfRule type="containsText" priority="1199" operator="containsText" id="{4F439470-F9BA-45A3-8CE0-CE81837DDCD6}">
            <xm:f>NOT(ISERROR(SEARCH($BQ$1,AI31)))</xm:f>
            <xm:f>$BQ$1</xm:f>
            <x14:dxf>
              <fill>
                <patternFill>
                  <bgColor rgb="FFFF0000"/>
                </patternFill>
              </fill>
            </x14:dxf>
          </x14:cfRule>
          <xm:sqref>AI31:AI500</xm:sqref>
        </x14:conditionalFormatting>
        <x14:conditionalFormatting xmlns:xm="http://schemas.microsoft.com/office/excel/2006/main">
          <x14:cfRule type="containsText" priority="1198" operator="containsText" id="{17D2D418-703D-4E5C-A4C8-A8C52EBFCE9A}">
            <xm:f>NOT(ISERROR(SEARCH($BQ$1,AI31)))</xm:f>
            <xm:f>$BQ$1</xm:f>
            <x14:dxf>
              <fill>
                <patternFill>
                  <bgColor rgb="FFFF0000"/>
                </patternFill>
              </fill>
            </x14:dxf>
          </x14:cfRule>
          <xm:sqref>AI31:AI500</xm:sqref>
        </x14:conditionalFormatting>
        <x14:conditionalFormatting xmlns:xm="http://schemas.microsoft.com/office/excel/2006/main">
          <x14:cfRule type="containsText" priority="1046" operator="containsText" id="{3CDF4B0C-5466-49F2-AA25-5FAF6E5BA450}">
            <xm:f>NOT(ISERROR(SEARCH($BQ$1,AV31)))</xm:f>
            <xm:f>$BQ$1</xm:f>
            <x14:dxf>
              <fill>
                <patternFill>
                  <bgColor rgb="FFFF0000"/>
                </patternFill>
              </fill>
            </x14:dxf>
          </x14:cfRule>
          <xm:sqref>AV31:AV500</xm:sqref>
        </x14:conditionalFormatting>
        <x14:conditionalFormatting xmlns:xm="http://schemas.microsoft.com/office/excel/2006/main">
          <x14:cfRule type="containsText" priority="982" operator="containsText" id="{3E9BF390-AB28-43B3-8B6E-8D062BF1D3C7}">
            <xm:f>NOT(ISERROR(SEARCH($BQ$1,AH31)))</xm:f>
            <xm:f>$BQ$1</xm:f>
            <x14:dxf>
              <fill>
                <patternFill>
                  <bgColor rgb="FFFF0000"/>
                </patternFill>
              </fill>
            </x14:dxf>
          </x14:cfRule>
          <xm:sqref>AH31:AH500</xm:sqref>
        </x14:conditionalFormatting>
        <x14:conditionalFormatting xmlns:xm="http://schemas.microsoft.com/office/excel/2006/main">
          <x14:cfRule type="containsText" priority="981" operator="containsText" id="{EE142BBA-21AC-4110-8A42-BA3C0B3CC39B}">
            <xm:f>NOT(ISERROR(SEARCH($BQ$1,AH31)))</xm:f>
            <xm:f>$BQ$1</xm:f>
            <x14:dxf>
              <fill>
                <patternFill>
                  <bgColor rgb="FFFF0000"/>
                </patternFill>
              </fill>
            </x14:dxf>
          </x14:cfRule>
          <xm:sqref>AH31:AH500</xm:sqref>
        </x14:conditionalFormatting>
        <x14:conditionalFormatting xmlns:xm="http://schemas.microsoft.com/office/excel/2006/main">
          <x14:cfRule type="containsText" priority="980" operator="containsText" id="{38B4A86A-0246-47DD-A448-B73F279ACD30}">
            <xm:f>NOT(ISERROR(SEARCH($BQ$1,AH31)))</xm:f>
            <xm:f>$BQ$1</xm:f>
            <x14:dxf>
              <fill>
                <patternFill>
                  <bgColor rgb="FFFF0000"/>
                </patternFill>
              </fill>
            </x14:dxf>
          </x14:cfRule>
          <xm:sqref>AH31:AH500</xm:sqref>
        </x14:conditionalFormatting>
        <x14:conditionalFormatting xmlns:xm="http://schemas.microsoft.com/office/excel/2006/main">
          <x14:cfRule type="containsText" priority="967" operator="containsText" id="{3977B20C-EEF9-41AD-A2D2-F2CB08322E7D}">
            <xm:f>NOT(ISERROR(SEARCH($BQ$1,AA31)))</xm:f>
            <xm:f>$BQ$1</xm:f>
            <x14:dxf>
              <fill>
                <patternFill>
                  <bgColor rgb="FFFF0000"/>
                </patternFill>
              </fill>
            </x14:dxf>
          </x14:cfRule>
          <xm:sqref>AA31:AA500</xm:sqref>
        </x14:conditionalFormatting>
        <x14:conditionalFormatting xmlns:xm="http://schemas.microsoft.com/office/excel/2006/main">
          <x14:cfRule type="containsText" priority="966" operator="containsText" id="{91B2FC0B-B117-4638-9C9E-D2DAEFAEE76A}">
            <xm:f>NOT(ISERROR(SEARCH($BQ$1,AA31)))</xm:f>
            <xm:f>$BQ$1</xm:f>
            <x14:dxf>
              <fill>
                <patternFill>
                  <bgColor rgb="FFFF0000"/>
                </patternFill>
              </fill>
            </x14:dxf>
          </x14:cfRule>
          <xm:sqref>AA31:AA500</xm:sqref>
        </x14:conditionalFormatting>
        <x14:conditionalFormatting xmlns:xm="http://schemas.microsoft.com/office/excel/2006/main">
          <x14:cfRule type="containsText" priority="914" operator="containsText" id="{47A799E3-6099-4568-AE20-5E9CBD728E67}">
            <xm:f>NOT(ISERROR(SEARCH($BQ$1,AZ31)))</xm:f>
            <xm:f>$BQ$1</xm:f>
            <x14:dxf>
              <fill>
                <patternFill>
                  <bgColor rgb="FFFF0000"/>
                </patternFill>
              </fill>
            </x14:dxf>
          </x14:cfRule>
          <xm:sqref>AZ31:BE500</xm:sqref>
        </x14:conditionalFormatting>
        <x14:conditionalFormatting xmlns:xm="http://schemas.microsoft.com/office/excel/2006/main">
          <x14:cfRule type="containsText" priority="913" operator="containsText" id="{184CB3B6-C0BA-4C75-967F-462E104856A7}">
            <xm:f>NOT(ISERROR(SEARCH($BQ$1,AZ31)))</xm:f>
            <xm:f>$BQ$1</xm:f>
            <x14:dxf>
              <fill>
                <patternFill>
                  <bgColor rgb="FFFF0000"/>
                </patternFill>
              </fill>
            </x14:dxf>
          </x14:cfRule>
          <xm:sqref>AZ31:BE500</xm:sqref>
        </x14:conditionalFormatting>
        <x14:conditionalFormatting xmlns:xm="http://schemas.microsoft.com/office/excel/2006/main">
          <x14:cfRule type="containsText" priority="907" operator="containsText" id="{5609FA55-AE44-4E70-9282-4923DACC714D}">
            <xm:f>NOT(ISERROR(SEARCH($AX$1,H42)))</xm:f>
            <xm:f>$AX$1</xm:f>
            <x14:dxf>
              <fill>
                <patternFill>
                  <bgColor rgb="FFFF0000"/>
                </patternFill>
              </fill>
            </x14:dxf>
          </x14:cfRule>
          <xm:sqref>H42:H129 J42:J155 H138:H154 H157:H159 J157:J189 H161:H163 H165:H170 H173:H174 H176:H177 H184:H189 J191:J263 H191:H193 H205 H207 H211 H225 H234:H253 H408:H500 J396:J500</xm:sqref>
        </x14:conditionalFormatting>
        <x14:conditionalFormatting xmlns:xm="http://schemas.microsoft.com/office/excel/2006/main">
          <x14:cfRule type="containsText" priority="879" operator="containsText" id="{79279876-399D-4DF3-A6C4-903863ACFB03}">
            <xm:f>NOT(ISERROR(SEARCH($BQ$1,T31)))</xm:f>
            <xm:f>$BQ$1</xm:f>
            <x14:dxf>
              <fill>
                <patternFill>
                  <bgColor rgb="FFFF0000"/>
                </patternFill>
              </fill>
            </x14:dxf>
          </x14:cfRule>
          <xm:sqref>T31:T500</xm:sqref>
        </x14:conditionalFormatting>
        <x14:conditionalFormatting xmlns:xm="http://schemas.microsoft.com/office/excel/2006/main">
          <x14:cfRule type="containsText" priority="878" operator="containsText" id="{F2CCF93D-BF9E-4117-9148-03350A8FF1DA}">
            <xm:f>NOT(ISERROR(SEARCH($BQ$1,T31)))</xm:f>
            <xm:f>$BQ$1</xm:f>
            <x14:dxf>
              <fill>
                <patternFill>
                  <bgColor rgb="FFFF0000"/>
                </patternFill>
              </fill>
            </x14:dxf>
          </x14:cfRule>
          <xm:sqref>T31:T500</xm:sqref>
        </x14:conditionalFormatting>
        <x14:conditionalFormatting xmlns:xm="http://schemas.microsoft.com/office/excel/2006/main">
          <x14:cfRule type="containsText" priority="877" operator="containsText" id="{C2D8A994-886D-4CE7-BA2D-65550A985191}">
            <xm:f>NOT(ISERROR(SEARCH($BQ$1,T31)))</xm:f>
            <xm:f>$BQ$1</xm:f>
            <x14:dxf>
              <fill>
                <patternFill>
                  <bgColor rgb="FFFF0000"/>
                </patternFill>
              </fill>
            </x14:dxf>
          </x14:cfRule>
          <xm:sqref>T31:T500</xm:sqref>
        </x14:conditionalFormatting>
        <x14:conditionalFormatting xmlns:xm="http://schemas.microsoft.com/office/excel/2006/main">
          <x14:cfRule type="containsText" priority="866" operator="containsText" id="{8B6AFA42-7772-4990-96E1-2474CBC76D90}">
            <xm:f>NOT(ISERROR(SEARCH($BQ$1,V31)))</xm:f>
            <xm:f>$BQ$1</xm:f>
            <x14:dxf>
              <fill>
                <patternFill>
                  <bgColor rgb="FFFF0000"/>
                </patternFill>
              </fill>
            </x14:dxf>
          </x14:cfRule>
          <xm:sqref>V31:V500</xm:sqref>
        </x14:conditionalFormatting>
        <x14:conditionalFormatting xmlns:xm="http://schemas.microsoft.com/office/excel/2006/main">
          <x14:cfRule type="containsText" priority="865" operator="containsText" id="{C8E69830-7BDB-47DA-846E-4B5FFA2AFCD2}">
            <xm:f>NOT(ISERROR(SEARCH($BQ$1,V31)))</xm:f>
            <xm:f>$BQ$1</xm:f>
            <x14:dxf>
              <fill>
                <patternFill>
                  <bgColor rgb="FFFF0000"/>
                </patternFill>
              </fill>
            </x14:dxf>
          </x14:cfRule>
          <xm:sqref>V31:V500</xm:sqref>
        </x14:conditionalFormatting>
        <x14:conditionalFormatting xmlns:xm="http://schemas.microsoft.com/office/excel/2006/main">
          <x14:cfRule type="containsText" priority="864" operator="containsText" id="{C0943EB1-A1C3-4F60-90C8-440E54897711}">
            <xm:f>NOT(ISERROR(SEARCH($BQ$1,V31)))</xm:f>
            <xm:f>$BQ$1</xm:f>
            <x14:dxf>
              <fill>
                <patternFill>
                  <bgColor rgb="FFFF0000"/>
                </patternFill>
              </fill>
            </x14:dxf>
          </x14:cfRule>
          <xm:sqref>V31:V500</xm:sqref>
        </x14:conditionalFormatting>
        <x14:conditionalFormatting xmlns:xm="http://schemas.microsoft.com/office/excel/2006/main">
          <x14:cfRule type="containsText" priority="842" operator="containsText" id="{66675B15-6B90-4F57-8678-04D255F44EFE}">
            <xm:f>NOT(ISERROR(SEARCH($BQ$1,AG31)))</xm:f>
            <xm:f>$BQ$1</xm:f>
            <x14:dxf>
              <fill>
                <patternFill>
                  <bgColor rgb="FFFF0000"/>
                </patternFill>
              </fill>
            </x14:dxf>
          </x14:cfRule>
          <xm:sqref>AG31:AG500</xm:sqref>
        </x14:conditionalFormatting>
        <x14:conditionalFormatting xmlns:xm="http://schemas.microsoft.com/office/excel/2006/main">
          <x14:cfRule type="containsText" priority="841" operator="containsText" id="{60BCA33B-889D-4254-AC1F-00B10225FD8F}">
            <xm:f>NOT(ISERROR(SEARCH($BQ$1,AG31)))</xm:f>
            <xm:f>$BQ$1</xm:f>
            <x14:dxf>
              <fill>
                <patternFill>
                  <bgColor rgb="FFFF0000"/>
                </patternFill>
              </fill>
            </x14:dxf>
          </x14:cfRule>
          <xm:sqref>AG31:AG500</xm:sqref>
        </x14:conditionalFormatting>
        <x14:conditionalFormatting xmlns:xm="http://schemas.microsoft.com/office/excel/2006/main">
          <x14:cfRule type="containsText" priority="840" operator="containsText" id="{EDDB9A8B-9CA1-4004-A66D-2BBD78DD8DE2}">
            <xm:f>NOT(ISERROR(SEARCH($BQ$1,AG31)))</xm:f>
            <xm:f>$BQ$1</xm:f>
            <x14:dxf>
              <fill>
                <patternFill>
                  <bgColor rgb="FFFF0000"/>
                </patternFill>
              </fill>
            </x14:dxf>
          </x14:cfRule>
          <xm:sqref>AG31:AG500</xm:sqref>
        </x14:conditionalFormatting>
        <x14:conditionalFormatting xmlns:xm="http://schemas.microsoft.com/office/excel/2006/main">
          <x14:cfRule type="containsText" priority="834" operator="containsText" id="{79AE799F-04D1-4F9A-A70E-70E4AA3C1E51}">
            <xm:f>NOT(ISERROR(SEARCH($BQ$1,AP31)))</xm:f>
            <xm:f>$BQ$1</xm:f>
            <x14:dxf>
              <fill>
                <patternFill>
                  <bgColor rgb="FFFF0000"/>
                </patternFill>
              </fill>
            </x14:dxf>
          </x14:cfRule>
          <xm:sqref>AP31:AP500</xm:sqref>
        </x14:conditionalFormatting>
        <x14:conditionalFormatting xmlns:xm="http://schemas.microsoft.com/office/excel/2006/main">
          <x14:cfRule type="containsText" priority="833" operator="containsText" id="{EC8753E2-7310-40A3-968C-5352A0FC4651}">
            <xm:f>NOT(ISERROR(SEARCH($BQ$1,AP31)))</xm:f>
            <xm:f>$BQ$1</xm:f>
            <x14:dxf>
              <fill>
                <patternFill>
                  <bgColor rgb="FFFF0000"/>
                </patternFill>
              </fill>
            </x14:dxf>
          </x14:cfRule>
          <xm:sqref>AP31:AP500</xm:sqref>
        </x14:conditionalFormatting>
        <x14:conditionalFormatting xmlns:xm="http://schemas.microsoft.com/office/excel/2006/main">
          <x14:cfRule type="containsText" priority="832" operator="containsText" id="{BC42D4F6-453D-49CD-A369-C4460E7B347A}">
            <xm:f>NOT(ISERROR(SEARCH($BQ$1,AP31)))</xm:f>
            <xm:f>$BQ$1</xm:f>
            <x14:dxf>
              <fill>
                <patternFill>
                  <bgColor rgb="FFFF0000"/>
                </patternFill>
              </fill>
            </x14:dxf>
          </x14:cfRule>
          <xm:sqref>AP31:AP500</xm:sqref>
        </x14:conditionalFormatting>
        <x14:conditionalFormatting xmlns:xm="http://schemas.microsoft.com/office/excel/2006/main">
          <x14:cfRule type="containsText" priority="826" operator="containsText" id="{1413B95E-8F98-4F6D-8E60-85F85DB631B8}">
            <xm:f>NOT(ISERROR(SEARCH($BQ$1,AC31)))</xm:f>
            <xm:f>$BQ$1</xm:f>
            <x14:dxf>
              <fill>
                <patternFill>
                  <bgColor rgb="FFFF0000"/>
                </patternFill>
              </fill>
            </x14:dxf>
          </x14:cfRule>
          <xm:sqref>AC31:AF500</xm:sqref>
        </x14:conditionalFormatting>
        <x14:conditionalFormatting xmlns:xm="http://schemas.microsoft.com/office/excel/2006/main">
          <x14:cfRule type="containsText" priority="825" operator="containsText" id="{2D09351F-596D-4D6C-8B86-6EC0075E1668}">
            <xm:f>NOT(ISERROR(SEARCH($BQ$1,AC31)))</xm:f>
            <xm:f>$BQ$1</xm:f>
            <x14:dxf>
              <fill>
                <patternFill>
                  <bgColor rgb="FFFF0000"/>
                </patternFill>
              </fill>
            </x14:dxf>
          </x14:cfRule>
          <xm:sqref>AC31:AF500</xm:sqref>
        </x14:conditionalFormatting>
        <x14:conditionalFormatting xmlns:xm="http://schemas.microsoft.com/office/excel/2006/main">
          <x14:cfRule type="containsText" priority="824" operator="containsText" id="{6829F2AA-A990-4B90-A79D-BCD6332D7631}">
            <xm:f>NOT(ISERROR(SEARCH($BQ$1,AC31)))</xm:f>
            <xm:f>$BQ$1</xm:f>
            <x14:dxf>
              <fill>
                <patternFill>
                  <bgColor rgb="FFFF0000"/>
                </patternFill>
              </fill>
            </x14:dxf>
          </x14:cfRule>
          <xm:sqref>AC31:AF500</xm:sqref>
        </x14:conditionalFormatting>
        <x14:conditionalFormatting xmlns:xm="http://schemas.microsoft.com/office/excel/2006/main">
          <x14:cfRule type="containsText" priority="818" operator="containsText" id="{656D0DDC-66B1-4E1B-B1DA-645A892CE3B5}">
            <xm:f>NOT(ISERROR(SEARCH($BQ$1,AK31)))</xm:f>
            <xm:f>$BQ$1</xm:f>
            <x14:dxf>
              <fill>
                <patternFill>
                  <bgColor rgb="FFFF0000"/>
                </patternFill>
              </fill>
            </x14:dxf>
          </x14:cfRule>
          <xm:sqref>AK31:AO500</xm:sqref>
        </x14:conditionalFormatting>
        <x14:conditionalFormatting xmlns:xm="http://schemas.microsoft.com/office/excel/2006/main">
          <x14:cfRule type="containsText" priority="817" operator="containsText" id="{4344BE80-65E4-41DA-9212-EF09F3E217CE}">
            <xm:f>NOT(ISERROR(SEARCH($BQ$1,AK31)))</xm:f>
            <xm:f>$BQ$1</xm:f>
            <x14:dxf>
              <fill>
                <patternFill>
                  <bgColor rgb="FFFF0000"/>
                </patternFill>
              </fill>
            </x14:dxf>
          </x14:cfRule>
          <xm:sqref>AK31:AO500</xm:sqref>
        </x14:conditionalFormatting>
        <x14:conditionalFormatting xmlns:xm="http://schemas.microsoft.com/office/excel/2006/main">
          <x14:cfRule type="containsText" priority="816" operator="containsText" id="{A8690C39-B0D4-4929-8F3B-5EFCC17B3DF5}">
            <xm:f>NOT(ISERROR(SEARCH($BQ$1,AK31)))</xm:f>
            <xm:f>$BQ$1</xm:f>
            <x14:dxf>
              <fill>
                <patternFill>
                  <bgColor rgb="FFFF0000"/>
                </patternFill>
              </fill>
            </x14:dxf>
          </x14:cfRule>
          <xm:sqref>AK31:AO500</xm:sqref>
        </x14:conditionalFormatting>
        <x14:conditionalFormatting xmlns:xm="http://schemas.microsoft.com/office/excel/2006/main">
          <x14:cfRule type="containsText" priority="810" operator="containsText" id="{07AA5269-5397-41C5-A9FB-C56D392E2EDF}">
            <xm:f>NOT(ISERROR(SEARCH($BQ$1,AJ31)))</xm:f>
            <xm:f>$BQ$1</xm:f>
            <x14:dxf>
              <fill>
                <patternFill>
                  <bgColor rgb="FFFF0000"/>
                </patternFill>
              </fill>
            </x14:dxf>
          </x14:cfRule>
          <xm:sqref>AJ31:AJ500</xm:sqref>
        </x14:conditionalFormatting>
        <x14:conditionalFormatting xmlns:xm="http://schemas.microsoft.com/office/excel/2006/main">
          <x14:cfRule type="containsText" priority="809" operator="containsText" id="{179276FF-1CE4-45F6-BDE2-5501A829A0F0}">
            <xm:f>NOT(ISERROR(SEARCH($BQ$1,AJ31)))</xm:f>
            <xm:f>$BQ$1</xm:f>
            <x14:dxf>
              <fill>
                <patternFill>
                  <bgColor rgb="FFFF0000"/>
                </patternFill>
              </fill>
            </x14:dxf>
          </x14:cfRule>
          <xm:sqref>AJ31:AJ500</xm:sqref>
        </x14:conditionalFormatting>
        <x14:conditionalFormatting xmlns:xm="http://schemas.microsoft.com/office/excel/2006/main">
          <x14:cfRule type="containsText" priority="808" operator="containsText" id="{B4323D19-389D-4608-9939-4D97F9EF711D}">
            <xm:f>NOT(ISERROR(SEARCH($BQ$1,AJ31)))</xm:f>
            <xm:f>$BQ$1</xm:f>
            <x14:dxf>
              <fill>
                <patternFill>
                  <bgColor rgb="FFFF0000"/>
                </patternFill>
              </fill>
            </x14:dxf>
          </x14:cfRule>
          <xm:sqref>AJ31:AJ500</xm:sqref>
        </x14:conditionalFormatting>
        <x14:conditionalFormatting xmlns:xm="http://schemas.microsoft.com/office/excel/2006/main">
          <x14:cfRule type="containsText" priority="805" operator="containsText" id="{57AD44E9-4291-4438-9B82-570500309523}">
            <xm:f>NOT(ISERROR(SEARCH($AT$1,I42)))</xm:f>
            <xm:f>$AT$1</xm:f>
            <x14:dxf>
              <fill>
                <patternFill>
                  <bgColor rgb="FFFF0000"/>
                </patternFill>
              </fill>
            </x14:dxf>
          </x14:cfRule>
          <xm:sqref>I42:I129 I138:I189 I191:I263 I396:I500</xm:sqref>
        </x14:conditionalFormatting>
        <x14:conditionalFormatting xmlns:xm="http://schemas.microsoft.com/office/excel/2006/main">
          <x14:cfRule type="containsText" priority="725" operator="containsText" id="{771252A8-6735-4C8C-9B1D-9841C271B3C0}">
            <xm:f>NOT(ISERROR(SEARCH($AV$1,R42)))</xm:f>
            <xm:f>$AV$1</xm:f>
            <x14:dxf>
              <fill>
                <patternFill>
                  <bgColor rgb="FFFF0000"/>
                </patternFill>
              </fill>
            </x14:dxf>
          </x14:cfRule>
          <xm:sqref>R42:R233 R254:R263 R396:R500</xm:sqref>
        </x14:conditionalFormatting>
        <x14:conditionalFormatting xmlns:xm="http://schemas.microsoft.com/office/excel/2006/main">
          <x14:cfRule type="containsText" priority="720" operator="containsText" id="{ED6F8DCF-7406-41A6-B757-FE2AAB64B8D1}">
            <xm:f>NOT(ISERROR(SEARCH($AV$1,S42)))</xm:f>
            <xm:f>$AV$1</xm:f>
            <x14:dxf>
              <fill>
                <patternFill>
                  <bgColor rgb="FFFF0000"/>
                </patternFill>
              </fill>
            </x14:dxf>
          </x14:cfRule>
          <xm:sqref>S42:S233 S254:S263 S396:S500</xm:sqref>
        </x14:conditionalFormatting>
        <x14:conditionalFormatting xmlns:xm="http://schemas.microsoft.com/office/excel/2006/main">
          <x14:cfRule type="containsText" priority="715" operator="containsText" id="{0A54755A-67AB-47D8-AB9C-8D3F58610F4F}">
            <xm:f>NOT(ISERROR(SEARCH($AV$1,U42)))</xm:f>
            <xm:f>$AV$1</xm:f>
            <x14:dxf>
              <fill>
                <patternFill>
                  <bgColor rgb="FFFF0000"/>
                </patternFill>
              </fill>
            </x14:dxf>
          </x14:cfRule>
          <xm:sqref>U42:U233 U254:U263 U396:U500</xm:sqref>
        </x14:conditionalFormatting>
        <x14:conditionalFormatting xmlns:xm="http://schemas.microsoft.com/office/excel/2006/main">
          <x14:cfRule type="containsText" priority="689" operator="containsText" id="{6212C6F1-13C8-4DE0-BD9D-A14BC6BAD34F}">
            <xm:f>NOT(ISERROR(SEARCH($AX$1,C211)))</xm:f>
            <xm:f>$AX$1</xm:f>
            <x14:dxf>
              <fill>
                <patternFill>
                  <bgColor rgb="FFFF0000"/>
                </patternFill>
              </fill>
            </x14:dxf>
          </x14:cfRule>
          <xm:sqref>C225:E225 C211:D211 C214:D214 C217:D218 C234:E253 C408:E500</xm:sqref>
        </x14:conditionalFormatting>
        <x14:conditionalFormatting xmlns:xm="http://schemas.microsoft.com/office/excel/2006/main">
          <x14:cfRule type="containsText" priority="677" operator="containsText" id="{8185B0F8-8184-4F6E-B663-F53B37332339}">
            <xm:f>NOT(ISERROR(SEARCH($AV$1,Y42)))</xm:f>
            <xm:f>$AV$1</xm:f>
            <x14:dxf>
              <fill>
                <patternFill>
                  <bgColor rgb="FFFF0000"/>
                </patternFill>
              </fill>
            </x14:dxf>
          </x14:cfRule>
          <xm:sqref>Y42:Z233 Y254:Z263 Y396:Z500</xm:sqref>
        </x14:conditionalFormatting>
        <x14:conditionalFormatting xmlns:xm="http://schemas.microsoft.com/office/excel/2006/main">
          <x14:cfRule type="containsText" priority="562" operator="containsText" id="{64AD40F6-A192-42A7-9B47-07C841BF6DF2}">
            <xm:f>NOT(ISERROR(SEARCH($AX$1,C31)))</xm:f>
            <xm:f>$AX$1</xm:f>
            <x14:dxf>
              <fill>
                <patternFill>
                  <bgColor rgb="FFFF0000"/>
                </patternFill>
              </fill>
            </x14:dxf>
          </x14:cfRule>
          <xm:sqref>C31:E34</xm:sqref>
        </x14:conditionalFormatting>
        <x14:conditionalFormatting xmlns:xm="http://schemas.microsoft.com/office/excel/2006/main">
          <x14:cfRule type="containsText" priority="551" operator="containsText" id="{AF741D01-F9F9-4C5B-8470-4BAFE0EDE921}">
            <xm:f>NOT(ISERROR(SEARCH($BQ$1,K32)))</xm:f>
            <xm:f>$BQ$1</xm:f>
            <x14:dxf>
              <fill>
                <patternFill>
                  <bgColor rgb="FFFF0000"/>
                </patternFill>
              </fill>
            </x14:dxf>
          </x14:cfRule>
          <xm:sqref>M32 P32:Q32 K32 K34:Q41</xm:sqref>
        </x14:conditionalFormatting>
        <x14:conditionalFormatting xmlns:xm="http://schemas.microsoft.com/office/excel/2006/main">
          <x14:cfRule type="containsText" priority="550" operator="containsText" id="{18907BE7-6DF4-4B99-8EA3-A2F3E7A0B0C4}">
            <xm:f>NOT(ISERROR(SEARCH($BQ$1,N32)))</xm:f>
            <xm:f>$BQ$1</xm:f>
            <x14:dxf>
              <fill>
                <patternFill>
                  <bgColor rgb="FFFF0000"/>
                </patternFill>
              </fill>
            </x14:dxf>
          </x14:cfRule>
          <xm:sqref>N32</xm:sqref>
        </x14:conditionalFormatting>
        <x14:conditionalFormatting xmlns:xm="http://schemas.microsoft.com/office/excel/2006/main">
          <x14:cfRule type="containsText" priority="549" operator="containsText" id="{A9568381-163A-4D93-BA64-0B20F125F2EE}">
            <xm:f>NOT(ISERROR(SEARCH($BQ$1,L32)))</xm:f>
            <xm:f>$BQ$1</xm:f>
            <x14:dxf>
              <fill>
                <patternFill>
                  <bgColor rgb="FFFF0000"/>
                </patternFill>
              </fill>
            </x14:dxf>
          </x14:cfRule>
          <xm:sqref>L32</xm:sqref>
        </x14:conditionalFormatting>
        <x14:conditionalFormatting xmlns:xm="http://schemas.microsoft.com/office/excel/2006/main">
          <x14:cfRule type="containsText" priority="547" operator="containsText" id="{C7719FD0-0DFD-4DF9-83C9-2A4E32F2DD3B}">
            <xm:f>NOT(ISERROR(SEARCH($AX$1,H32)))</xm:f>
            <xm:f>$AX$1</xm:f>
            <x14:dxf>
              <fill>
                <patternFill>
                  <bgColor rgb="FFFF0000"/>
                </patternFill>
              </fill>
            </x14:dxf>
          </x14:cfRule>
          <xm:sqref>H32 J34:J41 H34:H41</xm:sqref>
        </x14:conditionalFormatting>
        <x14:conditionalFormatting xmlns:xm="http://schemas.microsoft.com/office/excel/2006/main">
          <x14:cfRule type="containsText" priority="542" operator="containsText" id="{E1BA243B-BF24-4888-85D0-E782413C6FAC}">
            <xm:f>NOT(ISERROR(SEARCH($AX$1,J32)))</xm:f>
            <xm:f>$AX$1</xm:f>
            <x14:dxf>
              <fill>
                <patternFill>
                  <bgColor rgb="FFFF0000"/>
                </patternFill>
              </fill>
            </x14:dxf>
          </x14:cfRule>
          <xm:sqref>J32</xm:sqref>
        </x14:conditionalFormatting>
        <x14:conditionalFormatting xmlns:xm="http://schemas.microsoft.com/office/excel/2006/main">
          <x14:cfRule type="containsText" priority="537" operator="containsText" id="{016B5903-B43D-4D48-AC1E-429F47E1C5FD}">
            <xm:f>NOT(ISERROR(SEARCH($AT$1,I32)))</xm:f>
            <xm:f>$AT$1</xm:f>
            <x14:dxf>
              <fill>
                <patternFill>
                  <bgColor rgb="FFFF0000"/>
                </patternFill>
              </fill>
            </x14:dxf>
          </x14:cfRule>
          <xm:sqref>I32 I38:I41</xm:sqref>
        </x14:conditionalFormatting>
        <x14:conditionalFormatting xmlns:xm="http://schemas.microsoft.com/office/excel/2006/main">
          <x14:cfRule type="containsText" priority="533" operator="containsText" id="{8C53152E-857C-4C8B-8087-9DB8ACDC1EBE}">
            <xm:f>NOT(ISERROR(SEARCH($BQ$1,O32)))</xm:f>
            <xm:f>$BQ$1</xm:f>
            <x14:dxf>
              <fill>
                <patternFill>
                  <bgColor rgb="FFFF0000"/>
                </patternFill>
              </fill>
            </x14:dxf>
          </x14:cfRule>
          <xm:sqref>O32</xm:sqref>
        </x14:conditionalFormatting>
        <x14:conditionalFormatting xmlns:xm="http://schemas.microsoft.com/office/excel/2006/main">
          <x14:cfRule type="containsText" priority="531" operator="containsText" id="{840CFFB7-99E9-4853-A236-665D7E368DC4}">
            <xm:f>NOT(ISERROR(SEARCH($AV$1,R32)))</xm:f>
            <xm:f>$AV$1</xm:f>
            <x14:dxf>
              <fill>
                <patternFill>
                  <bgColor rgb="FFFF0000"/>
                </patternFill>
              </fill>
            </x14:dxf>
          </x14:cfRule>
          <xm:sqref>R32 R34:R41</xm:sqref>
        </x14:conditionalFormatting>
        <x14:conditionalFormatting xmlns:xm="http://schemas.microsoft.com/office/excel/2006/main">
          <x14:cfRule type="containsText" priority="526" operator="containsText" id="{648895D5-A755-4E4D-8858-1E299EC3986B}">
            <xm:f>NOT(ISERROR(SEARCH($AV$1,S32)))</xm:f>
            <xm:f>$AV$1</xm:f>
            <x14:dxf>
              <fill>
                <patternFill>
                  <bgColor rgb="FFFF0000"/>
                </patternFill>
              </fill>
            </x14:dxf>
          </x14:cfRule>
          <xm:sqref>S32 S34:S41</xm:sqref>
        </x14:conditionalFormatting>
        <x14:conditionalFormatting xmlns:xm="http://schemas.microsoft.com/office/excel/2006/main">
          <x14:cfRule type="containsText" priority="515" operator="containsText" id="{C5536C5E-F331-4DDB-B87C-244FE83935B0}">
            <xm:f>NOT(ISERROR(SEARCH($BQ$1,K33)))</xm:f>
            <xm:f>$BQ$1</xm:f>
            <x14:dxf>
              <fill>
                <patternFill>
                  <bgColor rgb="FFFF0000"/>
                </patternFill>
              </fill>
            </x14:dxf>
          </x14:cfRule>
          <xm:sqref>M33 P33:Q33 K33</xm:sqref>
        </x14:conditionalFormatting>
        <x14:conditionalFormatting xmlns:xm="http://schemas.microsoft.com/office/excel/2006/main">
          <x14:cfRule type="containsText" priority="514" operator="containsText" id="{BB1394E1-8114-4707-A222-3B34135EACA1}">
            <xm:f>NOT(ISERROR(SEARCH($BQ$1,N33)))</xm:f>
            <xm:f>$BQ$1</xm:f>
            <x14:dxf>
              <fill>
                <patternFill>
                  <bgColor rgb="FFFF0000"/>
                </patternFill>
              </fill>
            </x14:dxf>
          </x14:cfRule>
          <xm:sqref>N33</xm:sqref>
        </x14:conditionalFormatting>
        <x14:conditionalFormatting xmlns:xm="http://schemas.microsoft.com/office/excel/2006/main">
          <x14:cfRule type="containsText" priority="513" operator="containsText" id="{64C4B2CC-E5FB-489F-9235-6B69EE9A6D04}">
            <xm:f>NOT(ISERROR(SEARCH($BQ$1,L33)))</xm:f>
            <xm:f>$BQ$1</xm:f>
            <x14:dxf>
              <fill>
                <patternFill>
                  <bgColor rgb="FFFF0000"/>
                </patternFill>
              </fill>
            </x14:dxf>
          </x14:cfRule>
          <xm:sqref>L33</xm:sqref>
        </x14:conditionalFormatting>
        <x14:conditionalFormatting xmlns:xm="http://schemas.microsoft.com/office/excel/2006/main">
          <x14:cfRule type="containsText" priority="511" operator="containsText" id="{EE5B39EB-527C-4088-8ADA-E26B9F13D370}">
            <xm:f>NOT(ISERROR(SEARCH($AX$1,H33)))</xm:f>
            <xm:f>$AX$1</xm:f>
            <x14:dxf>
              <fill>
                <patternFill>
                  <bgColor rgb="FFFF0000"/>
                </patternFill>
              </fill>
            </x14:dxf>
          </x14:cfRule>
          <xm:sqref>H33</xm:sqref>
        </x14:conditionalFormatting>
        <x14:conditionalFormatting xmlns:xm="http://schemas.microsoft.com/office/excel/2006/main">
          <x14:cfRule type="containsText" priority="506" operator="containsText" id="{A294EC94-174A-48E6-9CF6-E959FF0B48C5}">
            <xm:f>NOT(ISERROR(SEARCH($AX$1,J33)))</xm:f>
            <xm:f>$AX$1</xm:f>
            <x14:dxf>
              <fill>
                <patternFill>
                  <bgColor rgb="FFFF0000"/>
                </patternFill>
              </fill>
            </x14:dxf>
          </x14:cfRule>
          <xm:sqref>J33</xm:sqref>
        </x14:conditionalFormatting>
        <x14:conditionalFormatting xmlns:xm="http://schemas.microsoft.com/office/excel/2006/main">
          <x14:cfRule type="containsText" priority="501" operator="containsText" id="{B37F278D-9B4F-4B28-95F9-893D448ED3FA}">
            <xm:f>NOT(ISERROR(SEARCH($AT$1,I33)))</xm:f>
            <xm:f>$AT$1</xm:f>
            <x14:dxf>
              <fill>
                <patternFill>
                  <bgColor rgb="FFFF0000"/>
                </patternFill>
              </fill>
            </x14:dxf>
          </x14:cfRule>
          <xm:sqref>I33:I129 I138:I189 I191:I263 I396:I500</xm:sqref>
        </x14:conditionalFormatting>
        <x14:conditionalFormatting xmlns:xm="http://schemas.microsoft.com/office/excel/2006/main">
          <x14:cfRule type="containsText" priority="497" operator="containsText" id="{29C94521-7703-4F16-881E-5577E1F25B14}">
            <xm:f>NOT(ISERROR(SEARCH($BQ$1,O33)))</xm:f>
            <xm:f>$BQ$1</xm:f>
            <x14:dxf>
              <fill>
                <patternFill>
                  <bgColor rgb="FFFF0000"/>
                </patternFill>
              </fill>
            </x14:dxf>
          </x14:cfRule>
          <xm:sqref>O33</xm:sqref>
        </x14:conditionalFormatting>
        <x14:conditionalFormatting xmlns:xm="http://schemas.microsoft.com/office/excel/2006/main">
          <x14:cfRule type="containsText" priority="495" operator="containsText" id="{0BEDE941-B448-4247-8BA1-153D09DC85F2}">
            <xm:f>NOT(ISERROR(SEARCH($AV$1,R33)))</xm:f>
            <xm:f>$AV$1</xm:f>
            <x14:dxf>
              <fill>
                <patternFill>
                  <bgColor rgb="FFFF0000"/>
                </patternFill>
              </fill>
            </x14:dxf>
          </x14:cfRule>
          <xm:sqref>R33</xm:sqref>
        </x14:conditionalFormatting>
        <x14:conditionalFormatting xmlns:xm="http://schemas.microsoft.com/office/excel/2006/main">
          <x14:cfRule type="containsText" priority="490" operator="containsText" id="{943EC2C1-6A52-40F4-B4EC-BCFC52E7074C}">
            <xm:f>NOT(ISERROR(SEARCH($AV$1,S33)))</xm:f>
            <xm:f>$AV$1</xm:f>
            <x14:dxf>
              <fill>
                <patternFill>
                  <bgColor rgb="FFFF0000"/>
                </patternFill>
              </fill>
            </x14:dxf>
          </x14:cfRule>
          <xm:sqref>S33</xm:sqref>
        </x14:conditionalFormatting>
        <x14:conditionalFormatting xmlns:xm="http://schemas.microsoft.com/office/excel/2006/main">
          <x14:cfRule type="containsText" priority="479" operator="containsText" id="{68FAFE86-D0FE-40D9-9522-F4D1125A7D0C}">
            <xm:f>NOT(ISERROR(SEARCH($BQ$1,K31)))</xm:f>
            <xm:f>$BQ$1</xm:f>
            <x14:dxf>
              <fill>
                <patternFill>
                  <bgColor rgb="FFFF0000"/>
                </patternFill>
              </fill>
            </x14:dxf>
          </x14:cfRule>
          <xm:sqref>M31 P31:Q31 K31</xm:sqref>
        </x14:conditionalFormatting>
        <x14:conditionalFormatting xmlns:xm="http://schemas.microsoft.com/office/excel/2006/main">
          <x14:cfRule type="containsText" priority="478" operator="containsText" id="{DE55A79F-AF15-4A70-8ED1-023B74173C92}">
            <xm:f>NOT(ISERROR(SEARCH($BQ$1,N31)))</xm:f>
            <xm:f>$BQ$1</xm:f>
            <x14:dxf>
              <fill>
                <patternFill>
                  <bgColor rgb="FFFF0000"/>
                </patternFill>
              </fill>
            </x14:dxf>
          </x14:cfRule>
          <xm:sqref>N31</xm:sqref>
        </x14:conditionalFormatting>
        <x14:conditionalFormatting xmlns:xm="http://schemas.microsoft.com/office/excel/2006/main">
          <x14:cfRule type="containsText" priority="477" operator="containsText" id="{1719202B-7B16-4FDD-81F1-3CAA2E4E8342}">
            <xm:f>NOT(ISERROR(SEARCH($BQ$1,L31)))</xm:f>
            <xm:f>$BQ$1</xm:f>
            <x14:dxf>
              <fill>
                <patternFill>
                  <bgColor rgb="FFFF0000"/>
                </patternFill>
              </fill>
            </x14:dxf>
          </x14:cfRule>
          <xm:sqref>L31</xm:sqref>
        </x14:conditionalFormatting>
        <x14:conditionalFormatting xmlns:xm="http://schemas.microsoft.com/office/excel/2006/main">
          <x14:cfRule type="containsText" priority="475" operator="containsText" id="{B0E40995-6D51-424B-B332-E2F926682FA3}">
            <xm:f>NOT(ISERROR(SEARCH($AX$1,H31)))</xm:f>
            <xm:f>$AX$1</xm:f>
            <x14:dxf>
              <fill>
                <patternFill>
                  <bgColor rgb="FFFF0000"/>
                </patternFill>
              </fill>
            </x14:dxf>
          </x14:cfRule>
          <xm:sqref>H31</xm:sqref>
        </x14:conditionalFormatting>
        <x14:conditionalFormatting xmlns:xm="http://schemas.microsoft.com/office/excel/2006/main">
          <x14:cfRule type="containsText" priority="470" operator="containsText" id="{1E99252A-6916-40E8-AA86-5E19E8272FFB}">
            <xm:f>NOT(ISERROR(SEARCH($AX$1,J31)))</xm:f>
            <xm:f>$AX$1</xm:f>
            <x14:dxf>
              <fill>
                <patternFill>
                  <bgColor rgb="FFFF0000"/>
                </patternFill>
              </fill>
            </x14:dxf>
          </x14:cfRule>
          <xm:sqref>J31</xm:sqref>
        </x14:conditionalFormatting>
        <x14:conditionalFormatting xmlns:xm="http://schemas.microsoft.com/office/excel/2006/main">
          <x14:cfRule type="containsText" priority="465" operator="containsText" id="{D9150A91-5877-4C56-816E-AA469F3E66CA}">
            <xm:f>NOT(ISERROR(SEARCH($AT$1,I31)))</xm:f>
            <xm:f>$AT$1</xm:f>
            <x14:dxf>
              <fill>
                <patternFill>
                  <bgColor rgb="FFFF0000"/>
                </patternFill>
              </fill>
            </x14:dxf>
          </x14:cfRule>
          <xm:sqref>I31</xm:sqref>
        </x14:conditionalFormatting>
        <x14:conditionalFormatting xmlns:xm="http://schemas.microsoft.com/office/excel/2006/main">
          <x14:cfRule type="containsText" priority="461" operator="containsText" id="{D98F0BEC-AA68-40E0-BBA1-71A6D441BCC6}">
            <xm:f>NOT(ISERROR(SEARCH($BQ$1,O31)))</xm:f>
            <xm:f>$BQ$1</xm:f>
            <x14:dxf>
              <fill>
                <patternFill>
                  <bgColor rgb="FFFF0000"/>
                </patternFill>
              </fill>
            </x14:dxf>
          </x14:cfRule>
          <xm:sqref>O31</xm:sqref>
        </x14:conditionalFormatting>
        <x14:conditionalFormatting xmlns:xm="http://schemas.microsoft.com/office/excel/2006/main">
          <x14:cfRule type="containsText" priority="459" operator="containsText" id="{83E34670-9188-4895-A302-2597682A93A2}">
            <xm:f>NOT(ISERROR(SEARCH($AV$1,R31)))</xm:f>
            <xm:f>$AV$1</xm:f>
            <x14:dxf>
              <fill>
                <patternFill>
                  <bgColor rgb="FFFF0000"/>
                </patternFill>
              </fill>
            </x14:dxf>
          </x14:cfRule>
          <xm:sqref>R31</xm:sqref>
        </x14:conditionalFormatting>
        <x14:conditionalFormatting xmlns:xm="http://schemas.microsoft.com/office/excel/2006/main">
          <x14:cfRule type="containsText" priority="454" operator="containsText" id="{B0E9BC21-442D-43E6-BAF0-491E509C2F1B}">
            <xm:f>NOT(ISERROR(SEARCH($AV$1,S31)))</xm:f>
            <xm:f>$AV$1</xm:f>
            <x14:dxf>
              <fill>
                <patternFill>
                  <bgColor rgb="FFFF0000"/>
                </patternFill>
              </fill>
            </x14:dxf>
          </x14:cfRule>
          <xm:sqref>S31</xm:sqref>
        </x14:conditionalFormatting>
        <x14:conditionalFormatting xmlns:xm="http://schemas.microsoft.com/office/excel/2006/main">
          <x14:cfRule type="containsText" priority="449" operator="containsText" id="{68F674BB-8FF6-46B7-A0A1-389B17506CA7}">
            <xm:f>NOT(ISERROR(SEARCH($AV$1,U31)))</xm:f>
            <xm:f>$AV$1</xm:f>
            <x14:dxf>
              <fill>
                <patternFill>
                  <bgColor rgb="FFFF0000"/>
                </patternFill>
              </fill>
            </x14:dxf>
          </x14:cfRule>
          <xm:sqref>U31:U41</xm:sqref>
        </x14:conditionalFormatting>
        <x14:conditionalFormatting xmlns:xm="http://schemas.microsoft.com/office/excel/2006/main">
          <x14:cfRule type="containsText" priority="440" operator="containsText" id="{84547418-924E-4F31-B4FA-78CFCEBD218E}">
            <xm:f>NOT(ISERROR(SEARCH($BQ$1,W31)))</xm:f>
            <xm:f>$BQ$1</xm:f>
            <x14:dxf>
              <fill>
                <patternFill>
                  <bgColor rgb="FFFF0000"/>
                </patternFill>
              </fill>
            </x14:dxf>
          </x14:cfRule>
          <xm:sqref>X31:X32 W34:X41</xm:sqref>
        </x14:conditionalFormatting>
        <x14:conditionalFormatting xmlns:xm="http://schemas.microsoft.com/office/excel/2006/main">
          <x14:cfRule type="containsText" priority="439" operator="containsText" id="{86AB0F59-DAEE-4ACC-8EAD-EF51EC96BFE6}">
            <xm:f>NOT(ISERROR(SEARCH($BQ$1,W31)))</xm:f>
            <xm:f>$BQ$1</xm:f>
            <x14:dxf>
              <fill>
                <patternFill>
                  <bgColor rgb="FFFF0000"/>
                </patternFill>
              </fill>
            </x14:dxf>
          </x14:cfRule>
          <xm:sqref>W31:W32</xm:sqref>
        </x14:conditionalFormatting>
        <x14:conditionalFormatting xmlns:xm="http://schemas.microsoft.com/office/excel/2006/main">
          <x14:cfRule type="containsText" priority="438" operator="containsText" id="{25DD33D6-065C-41A7-9B37-3E5359C643CB}">
            <xm:f>NOT(ISERROR(SEARCH($BQ$1,X32)))</xm:f>
            <xm:f>$BQ$1</xm:f>
            <x14:dxf>
              <fill>
                <patternFill>
                  <bgColor rgb="FFFF0000"/>
                </patternFill>
              </fill>
            </x14:dxf>
          </x14:cfRule>
          <xm:sqref>X32</xm:sqref>
        </x14:conditionalFormatting>
        <x14:conditionalFormatting xmlns:xm="http://schemas.microsoft.com/office/excel/2006/main">
          <x14:cfRule type="containsText" priority="436" operator="containsText" id="{9FB5CAAF-04E7-41EE-8E8D-F422B00275BD}">
            <xm:f>NOT(ISERROR(SEARCH($AV$1,Y31)))</xm:f>
            <xm:f>$AV$1</xm:f>
            <x14:dxf>
              <fill>
                <patternFill>
                  <bgColor rgb="FFFF0000"/>
                </patternFill>
              </fill>
            </x14:dxf>
          </x14:cfRule>
          <xm:sqref>Y34:Z41 Y31:Z32</xm:sqref>
        </x14:conditionalFormatting>
        <x14:conditionalFormatting xmlns:xm="http://schemas.microsoft.com/office/excel/2006/main">
          <x14:cfRule type="containsText" priority="427" operator="containsText" id="{FB67DB3B-F17F-481F-8F6B-2AC59EC41CA0}">
            <xm:f>NOT(ISERROR(SEARCH($BQ$1,X33)))</xm:f>
            <xm:f>$BQ$1</xm:f>
            <x14:dxf>
              <fill>
                <patternFill>
                  <bgColor rgb="FFFF0000"/>
                </patternFill>
              </fill>
            </x14:dxf>
          </x14:cfRule>
          <xm:sqref>X33</xm:sqref>
        </x14:conditionalFormatting>
        <x14:conditionalFormatting xmlns:xm="http://schemas.microsoft.com/office/excel/2006/main">
          <x14:cfRule type="containsText" priority="426" operator="containsText" id="{1D2BE17E-B62F-4540-8D6A-1616CB5216A4}">
            <xm:f>NOT(ISERROR(SEARCH($BQ$1,W33)))</xm:f>
            <xm:f>$BQ$1</xm:f>
            <x14:dxf>
              <fill>
                <patternFill>
                  <bgColor rgb="FFFF0000"/>
                </patternFill>
              </fill>
            </x14:dxf>
          </x14:cfRule>
          <xm:sqref>W33</xm:sqref>
        </x14:conditionalFormatting>
        <x14:conditionalFormatting xmlns:xm="http://schemas.microsoft.com/office/excel/2006/main">
          <x14:cfRule type="containsText" priority="425" operator="containsText" id="{B633E341-8617-4FA0-8889-61083E1C4E69}">
            <xm:f>NOT(ISERROR(SEARCH($BQ$1,X33)))</xm:f>
            <xm:f>$BQ$1</xm:f>
            <x14:dxf>
              <fill>
                <patternFill>
                  <bgColor rgb="FFFF0000"/>
                </patternFill>
              </fill>
            </x14:dxf>
          </x14:cfRule>
          <xm:sqref>X33</xm:sqref>
        </x14:conditionalFormatting>
        <x14:conditionalFormatting xmlns:xm="http://schemas.microsoft.com/office/excel/2006/main">
          <x14:cfRule type="containsText" priority="423" operator="containsText" id="{193FB8EB-19E5-4F3C-8E6A-B4A103E7EB47}">
            <xm:f>NOT(ISERROR(SEARCH($AV$1,Y33)))</xm:f>
            <xm:f>$AV$1</xm:f>
            <x14:dxf>
              <fill>
                <patternFill>
                  <bgColor rgb="FFFF0000"/>
                </patternFill>
              </fill>
            </x14:dxf>
          </x14:cfRule>
          <xm:sqref>Y33:Z33</xm:sqref>
        </x14:conditionalFormatting>
        <x14:conditionalFormatting xmlns:xm="http://schemas.microsoft.com/office/excel/2006/main">
          <x14:cfRule type="containsText" priority="413" operator="containsText" id="{DA825CC5-5312-481E-A992-79AB7D2B6598}">
            <xm:f>NOT(ISERROR(SEARCH($AT$1,I34)))</xm:f>
            <xm:f>$AT$1</xm:f>
            <x14:dxf>
              <fill>
                <patternFill>
                  <bgColor rgb="FFFF0000"/>
                </patternFill>
              </fill>
            </x14:dxf>
          </x14:cfRule>
          <xm:sqref>I34:I37</xm:sqref>
        </x14:conditionalFormatting>
        <x14:conditionalFormatting xmlns:xm="http://schemas.microsoft.com/office/excel/2006/main">
          <x14:cfRule type="containsText" priority="408" operator="containsText" id="{222634AD-3E52-4950-B552-9B1894139C65}">
            <xm:f>NOT(ISERROR(SEARCH($AX$1,H130)))</xm:f>
            <xm:f>$AX$1</xm:f>
            <x14:dxf>
              <fill>
                <patternFill>
                  <bgColor rgb="FFFF0000"/>
                </patternFill>
              </fill>
            </x14:dxf>
          </x14:cfRule>
          <xm:sqref>H130</xm:sqref>
        </x14:conditionalFormatting>
        <x14:conditionalFormatting xmlns:xm="http://schemas.microsoft.com/office/excel/2006/main">
          <x14:cfRule type="containsText" priority="400" operator="containsText" id="{65CC5CC0-F895-434E-A54E-657B542CC718}">
            <xm:f>NOT(ISERROR(SEARCH($AT$1,I130)))</xm:f>
            <xm:f>$AT$1</xm:f>
            <x14:dxf>
              <fill>
                <patternFill>
                  <bgColor rgb="FFFF0000"/>
                </patternFill>
              </fill>
            </x14:dxf>
          </x14:cfRule>
          <xm:sqref>I130</xm:sqref>
        </x14:conditionalFormatting>
        <x14:conditionalFormatting xmlns:xm="http://schemas.microsoft.com/office/excel/2006/main">
          <x14:cfRule type="containsText" priority="398" operator="containsText" id="{35CD98A8-2CDA-4ED9-A33F-D69189E50984}">
            <xm:f>NOT(ISERROR(SEARCH($AT$1,I130)))</xm:f>
            <xm:f>$AT$1</xm:f>
            <x14:dxf>
              <fill>
                <patternFill>
                  <bgColor rgb="FFFF0000"/>
                </patternFill>
              </fill>
            </x14:dxf>
          </x14:cfRule>
          <xm:sqref>I130</xm:sqref>
        </x14:conditionalFormatting>
        <x14:conditionalFormatting xmlns:xm="http://schemas.microsoft.com/office/excel/2006/main">
          <x14:cfRule type="containsText" priority="378" operator="containsText" id="{ED375DEA-899A-4933-A1E0-14F483640C9A}">
            <xm:f>NOT(ISERROR(SEARCH($AX$1,H131)))</xm:f>
            <xm:f>$AX$1</xm:f>
            <x14:dxf>
              <fill>
                <patternFill>
                  <bgColor rgb="FFFF0000"/>
                </patternFill>
              </fill>
            </x14:dxf>
          </x14:cfRule>
          <xm:sqref>H131:H137</xm:sqref>
        </x14:conditionalFormatting>
        <x14:conditionalFormatting xmlns:xm="http://schemas.microsoft.com/office/excel/2006/main">
          <x14:cfRule type="containsText" priority="370" operator="containsText" id="{C1B54E9A-030D-4CBE-89DB-6507E26CD5F6}">
            <xm:f>NOT(ISERROR(SEARCH($AT$1,I131)))</xm:f>
            <xm:f>$AT$1</xm:f>
            <x14:dxf>
              <fill>
                <patternFill>
                  <bgColor rgb="FFFF0000"/>
                </patternFill>
              </fill>
            </x14:dxf>
          </x14:cfRule>
          <xm:sqref>I131</xm:sqref>
        </x14:conditionalFormatting>
        <x14:conditionalFormatting xmlns:xm="http://schemas.microsoft.com/office/excel/2006/main">
          <x14:cfRule type="containsText" priority="368" operator="containsText" id="{79877015-AF11-4F75-8D87-AC181DC9376B}">
            <xm:f>NOT(ISERROR(SEARCH($AT$1,I131)))</xm:f>
            <xm:f>$AT$1</xm:f>
            <x14:dxf>
              <fill>
                <patternFill>
                  <bgColor rgb="FFFF0000"/>
                </patternFill>
              </fill>
            </x14:dxf>
          </x14:cfRule>
          <xm:sqref>I131</xm:sqref>
        </x14:conditionalFormatting>
        <x14:conditionalFormatting xmlns:xm="http://schemas.microsoft.com/office/excel/2006/main">
          <x14:cfRule type="containsText" priority="360" operator="containsText" id="{305CCB4D-051E-40FE-90BF-EE03215A38A0}">
            <xm:f>NOT(ISERROR(SEARCH($AT$1,I132)))</xm:f>
            <xm:f>$AT$1</xm:f>
            <x14:dxf>
              <fill>
                <patternFill>
                  <bgColor rgb="FFFF0000"/>
                </patternFill>
              </fill>
            </x14:dxf>
          </x14:cfRule>
          <xm:sqref>I132</xm:sqref>
        </x14:conditionalFormatting>
        <x14:conditionalFormatting xmlns:xm="http://schemas.microsoft.com/office/excel/2006/main">
          <x14:cfRule type="containsText" priority="358" operator="containsText" id="{C0C42834-FDD4-450F-A41B-5DDF29BFF983}">
            <xm:f>NOT(ISERROR(SEARCH($AT$1,I132)))</xm:f>
            <xm:f>$AT$1</xm:f>
            <x14:dxf>
              <fill>
                <patternFill>
                  <bgColor rgb="FFFF0000"/>
                </patternFill>
              </fill>
            </x14:dxf>
          </x14:cfRule>
          <xm:sqref>I132</xm:sqref>
        </x14:conditionalFormatting>
        <x14:conditionalFormatting xmlns:xm="http://schemas.microsoft.com/office/excel/2006/main">
          <x14:cfRule type="containsText" priority="350" operator="containsText" id="{D9B0C80D-94F9-4084-B647-DEA73C3CCDB4}">
            <xm:f>NOT(ISERROR(SEARCH($AT$1,I133)))</xm:f>
            <xm:f>$AT$1</xm:f>
            <x14:dxf>
              <fill>
                <patternFill>
                  <bgColor rgb="FFFF0000"/>
                </patternFill>
              </fill>
            </x14:dxf>
          </x14:cfRule>
          <xm:sqref>I133</xm:sqref>
        </x14:conditionalFormatting>
        <x14:conditionalFormatting xmlns:xm="http://schemas.microsoft.com/office/excel/2006/main">
          <x14:cfRule type="containsText" priority="348" operator="containsText" id="{ECD128F8-752F-420B-A625-CBEDBA2366A9}">
            <xm:f>NOT(ISERROR(SEARCH($AT$1,I133)))</xm:f>
            <xm:f>$AT$1</xm:f>
            <x14:dxf>
              <fill>
                <patternFill>
                  <bgColor rgb="FFFF0000"/>
                </patternFill>
              </fill>
            </x14:dxf>
          </x14:cfRule>
          <xm:sqref>I133</xm:sqref>
        </x14:conditionalFormatting>
        <x14:conditionalFormatting xmlns:xm="http://schemas.microsoft.com/office/excel/2006/main">
          <x14:cfRule type="containsText" priority="340" operator="containsText" id="{35CD8EBB-72F2-4129-92BF-899C5E9FF3E5}">
            <xm:f>NOT(ISERROR(SEARCH($AT$1,I134)))</xm:f>
            <xm:f>$AT$1</xm:f>
            <x14:dxf>
              <fill>
                <patternFill>
                  <bgColor rgb="FFFF0000"/>
                </patternFill>
              </fill>
            </x14:dxf>
          </x14:cfRule>
          <xm:sqref>I134</xm:sqref>
        </x14:conditionalFormatting>
        <x14:conditionalFormatting xmlns:xm="http://schemas.microsoft.com/office/excel/2006/main">
          <x14:cfRule type="containsText" priority="338" operator="containsText" id="{6A4A422C-6AE7-48F7-9BCA-E855FD31C760}">
            <xm:f>NOT(ISERROR(SEARCH($AT$1,I134)))</xm:f>
            <xm:f>$AT$1</xm:f>
            <x14:dxf>
              <fill>
                <patternFill>
                  <bgColor rgb="FFFF0000"/>
                </patternFill>
              </fill>
            </x14:dxf>
          </x14:cfRule>
          <xm:sqref>I134</xm:sqref>
        </x14:conditionalFormatting>
        <x14:conditionalFormatting xmlns:xm="http://schemas.microsoft.com/office/excel/2006/main">
          <x14:cfRule type="containsText" priority="330" operator="containsText" id="{27E767BF-82A6-457D-8283-BB87B9D3EB21}">
            <xm:f>NOT(ISERROR(SEARCH($AT$1,I135)))</xm:f>
            <xm:f>$AT$1</xm:f>
            <x14:dxf>
              <fill>
                <patternFill>
                  <bgColor rgb="FFFF0000"/>
                </patternFill>
              </fill>
            </x14:dxf>
          </x14:cfRule>
          <xm:sqref>I135</xm:sqref>
        </x14:conditionalFormatting>
        <x14:conditionalFormatting xmlns:xm="http://schemas.microsoft.com/office/excel/2006/main">
          <x14:cfRule type="containsText" priority="328" operator="containsText" id="{AC702EC8-0D12-4538-B34B-F3AC9054ECDB}">
            <xm:f>NOT(ISERROR(SEARCH($AT$1,I135)))</xm:f>
            <xm:f>$AT$1</xm:f>
            <x14:dxf>
              <fill>
                <patternFill>
                  <bgColor rgb="FFFF0000"/>
                </patternFill>
              </fill>
            </x14:dxf>
          </x14:cfRule>
          <xm:sqref>I135</xm:sqref>
        </x14:conditionalFormatting>
        <x14:conditionalFormatting xmlns:xm="http://schemas.microsoft.com/office/excel/2006/main">
          <x14:cfRule type="containsText" priority="320" operator="containsText" id="{D917EFF9-AD6C-414B-9EDE-D0559370BA26}">
            <xm:f>NOT(ISERROR(SEARCH($AT$1,I136)))</xm:f>
            <xm:f>$AT$1</xm:f>
            <x14:dxf>
              <fill>
                <patternFill>
                  <bgColor rgb="FFFF0000"/>
                </patternFill>
              </fill>
            </x14:dxf>
          </x14:cfRule>
          <xm:sqref>I136</xm:sqref>
        </x14:conditionalFormatting>
        <x14:conditionalFormatting xmlns:xm="http://schemas.microsoft.com/office/excel/2006/main">
          <x14:cfRule type="containsText" priority="318" operator="containsText" id="{F61B03DA-03B0-49F1-AB8E-959973BF5DB1}">
            <xm:f>NOT(ISERROR(SEARCH($AT$1,I136)))</xm:f>
            <xm:f>$AT$1</xm:f>
            <x14:dxf>
              <fill>
                <patternFill>
                  <bgColor rgb="FFFF0000"/>
                </patternFill>
              </fill>
            </x14:dxf>
          </x14:cfRule>
          <xm:sqref>I136</xm:sqref>
        </x14:conditionalFormatting>
        <x14:conditionalFormatting xmlns:xm="http://schemas.microsoft.com/office/excel/2006/main">
          <x14:cfRule type="containsText" priority="310" operator="containsText" id="{183E04A7-8282-4673-A82E-A23F4EFFDFAB}">
            <xm:f>NOT(ISERROR(SEARCH($AT$1,I137)))</xm:f>
            <xm:f>$AT$1</xm:f>
            <x14:dxf>
              <fill>
                <patternFill>
                  <bgColor rgb="FFFF0000"/>
                </patternFill>
              </fill>
            </x14:dxf>
          </x14:cfRule>
          <xm:sqref>I137</xm:sqref>
        </x14:conditionalFormatting>
        <x14:conditionalFormatting xmlns:xm="http://schemas.microsoft.com/office/excel/2006/main">
          <x14:cfRule type="containsText" priority="308" operator="containsText" id="{93AD2EA1-6C54-4701-A1CF-1E4428426B3C}">
            <xm:f>NOT(ISERROR(SEARCH($AT$1,I137)))</xm:f>
            <xm:f>$AT$1</xm:f>
            <x14:dxf>
              <fill>
                <patternFill>
                  <bgColor rgb="FFFF0000"/>
                </patternFill>
              </fill>
            </x14:dxf>
          </x14:cfRule>
          <xm:sqref>I137</xm:sqref>
        </x14:conditionalFormatting>
        <x14:conditionalFormatting xmlns:xm="http://schemas.microsoft.com/office/excel/2006/main">
          <x14:cfRule type="containsText" priority="290" operator="containsText" id="{4B1F4AF4-5FDA-40C0-A99F-8002F78EEA6A}">
            <xm:f>NOT(ISERROR(SEARCH($AX$1,C35)))</xm:f>
            <xm:f>$AX$1</xm:f>
            <x14:dxf>
              <fill>
                <patternFill>
                  <bgColor rgb="FFFF0000"/>
                </patternFill>
              </fill>
            </x14:dxf>
          </x14:cfRule>
          <xm:sqref>C35:E163 C165:E170 E177:E179 C184:E193</xm:sqref>
        </x14:conditionalFormatting>
        <x14:conditionalFormatting xmlns:xm="http://schemas.microsoft.com/office/excel/2006/main">
          <x14:cfRule type="containsText" priority="285" operator="containsText" id="{8F60487A-3EF6-4288-A380-FAED279FE2A2}">
            <xm:f>NOT(ISERROR(SEARCH($AX$1,H190)))</xm:f>
            <xm:f>$AX$1</xm:f>
            <x14:dxf>
              <fill>
                <patternFill>
                  <bgColor rgb="FFFF0000"/>
                </patternFill>
              </fill>
            </x14:dxf>
          </x14:cfRule>
          <xm:sqref>J190 H190</xm:sqref>
        </x14:conditionalFormatting>
        <x14:conditionalFormatting xmlns:xm="http://schemas.microsoft.com/office/excel/2006/main">
          <x14:cfRule type="containsText" priority="277" operator="containsText" id="{9684C274-A65F-4EBE-BE0B-586588B61F4F}">
            <xm:f>NOT(ISERROR(SEARCH($AT$1,I190)))</xm:f>
            <xm:f>$AT$1</xm:f>
            <x14:dxf>
              <fill>
                <patternFill>
                  <bgColor rgb="FFFF0000"/>
                </patternFill>
              </fill>
            </x14:dxf>
          </x14:cfRule>
          <xm:sqref>I190</xm:sqref>
        </x14:conditionalFormatting>
        <x14:conditionalFormatting xmlns:xm="http://schemas.microsoft.com/office/excel/2006/main">
          <x14:cfRule type="containsText" priority="275" operator="containsText" id="{D0D38E5D-E03B-4DC9-8303-C0DE7F8C067F}">
            <xm:f>NOT(ISERROR(SEARCH($AT$1,I190)))</xm:f>
            <xm:f>$AT$1</xm:f>
            <x14:dxf>
              <fill>
                <patternFill>
                  <bgColor rgb="FFFF0000"/>
                </patternFill>
              </fill>
            </x14:dxf>
          </x14:cfRule>
          <xm:sqref>I190</xm:sqref>
        </x14:conditionalFormatting>
        <x14:conditionalFormatting xmlns:xm="http://schemas.microsoft.com/office/excel/2006/main">
          <x14:cfRule type="containsText" priority="267" operator="containsText" id="{007A23CF-B1E5-41B9-BDFF-BD4897E65261}">
            <xm:f>NOT(ISERROR(SEARCH($BQ$1,N234)))</xm:f>
            <xm:f>$BQ$1</xm:f>
            <x14:dxf>
              <fill>
                <patternFill>
                  <bgColor rgb="FFFF0000"/>
                </patternFill>
              </fill>
            </x14:dxf>
          </x14:cfRule>
          <xm:sqref>N234:Q253</xm:sqref>
        </x14:conditionalFormatting>
        <x14:conditionalFormatting xmlns:xm="http://schemas.microsoft.com/office/excel/2006/main">
          <x14:cfRule type="containsText" priority="263" operator="containsText" id="{6C5EDC3A-65E5-4952-B7DD-A2693D13623D}">
            <xm:f>NOT(ISERROR(SEARCH($AV$1,R234)))</xm:f>
            <xm:f>$AV$1</xm:f>
            <x14:dxf>
              <fill>
                <patternFill>
                  <bgColor rgb="FFFF0000"/>
                </patternFill>
              </fill>
            </x14:dxf>
          </x14:cfRule>
          <xm:sqref>R234:R253</xm:sqref>
        </x14:conditionalFormatting>
        <x14:conditionalFormatting xmlns:xm="http://schemas.microsoft.com/office/excel/2006/main">
          <x14:cfRule type="containsText" priority="258" operator="containsText" id="{76D8BD99-91F4-4ABB-8C96-F4B08DE3A02F}">
            <xm:f>NOT(ISERROR(SEARCH($AV$1,S234)))</xm:f>
            <xm:f>$AV$1</xm:f>
            <x14:dxf>
              <fill>
                <patternFill>
                  <bgColor rgb="FFFF0000"/>
                </patternFill>
              </fill>
            </x14:dxf>
          </x14:cfRule>
          <xm:sqref>S234:S253</xm:sqref>
        </x14:conditionalFormatting>
        <x14:conditionalFormatting xmlns:xm="http://schemas.microsoft.com/office/excel/2006/main">
          <x14:cfRule type="containsText" priority="250" operator="containsText" id="{3DA2CB01-38D8-4984-9D78-938AA4B2D15F}">
            <xm:f>NOT(ISERROR(SEARCH($BQ$1,W234)))</xm:f>
            <xm:f>$BQ$1</xm:f>
            <x14:dxf>
              <fill>
                <patternFill>
                  <bgColor rgb="FFFF0000"/>
                </patternFill>
              </fill>
            </x14:dxf>
          </x14:cfRule>
          <xm:sqref>W234:X253</xm:sqref>
        </x14:conditionalFormatting>
        <x14:conditionalFormatting xmlns:xm="http://schemas.microsoft.com/office/excel/2006/main">
          <x14:cfRule type="containsText" priority="247" operator="containsText" id="{7F3A4728-A4F6-436B-B0B5-17AC9A363920}">
            <xm:f>NOT(ISERROR(SEARCH($AV$1,U234)))</xm:f>
            <xm:f>$AV$1</xm:f>
            <x14:dxf>
              <fill>
                <patternFill>
                  <bgColor rgb="FFFF0000"/>
                </patternFill>
              </fill>
            </x14:dxf>
          </x14:cfRule>
          <xm:sqref>U234:U253</xm:sqref>
        </x14:conditionalFormatting>
        <x14:conditionalFormatting xmlns:xm="http://schemas.microsoft.com/office/excel/2006/main">
          <x14:cfRule type="containsText" priority="242" operator="containsText" id="{656CF794-B6EB-4D0A-98F6-0B909A20C0D8}">
            <xm:f>NOT(ISERROR(SEARCH($AV$1,Y234)))</xm:f>
            <xm:f>$AV$1</xm:f>
            <x14:dxf>
              <fill>
                <patternFill>
                  <bgColor rgb="FFFF0000"/>
                </patternFill>
              </fill>
            </x14:dxf>
          </x14:cfRule>
          <xm:sqref>Y234:Z253</xm:sqref>
        </x14:conditionalFormatting>
        <x14:conditionalFormatting xmlns:xm="http://schemas.microsoft.com/office/excel/2006/main">
          <x14:cfRule type="containsText" priority="236" operator="containsText" id="{8F3347EA-3526-4E0C-A90B-5A8EEF9A70EE}">
            <xm:f>NOT(ISERROR(SEARCH($AX$1,C264)))</xm:f>
            <xm:f>$AX$1</xm:f>
            <x14:dxf>
              <fill>
                <patternFill>
                  <bgColor rgb="FFFF0000"/>
                </patternFill>
              </fill>
            </x14:dxf>
          </x14:cfRule>
          <xm:sqref>C264:E270 C273:E370</xm:sqref>
        </x14:conditionalFormatting>
        <x14:conditionalFormatting xmlns:xm="http://schemas.microsoft.com/office/excel/2006/main">
          <x14:cfRule type="containsText" priority="231" operator="containsText" id="{AE04E01B-D8A4-4608-AC0A-6FF81D694337}">
            <xm:f>NOT(ISERROR(SEARCH($AX$1,C271)))</xm:f>
            <xm:f>$AX$1</xm:f>
            <x14:dxf>
              <fill>
                <patternFill>
                  <bgColor rgb="FFFF0000"/>
                </patternFill>
              </fill>
            </x14:dxf>
          </x14:cfRule>
          <xm:sqref>C271:E272</xm:sqref>
        </x14:conditionalFormatting>
        <x14:conditionalFormatting xmlns:xm="http://schemas.microsoft.com/office/excel/2006/main">
          <x14:cfRule type="containsText" priority="226" operator="containsText" id="{8983A032-E221-48A6-90F5-C0A75070534F}">
            <xm:f>NOT(ISERROR(SEARCH($AX$1,C371)))</xm:f>
            <xm:f>$AX$1</xm:f>
            <x14:dxf>
              <fill>
                <patternFill>
                  <bgColor rgb="FFFF0000"/>
                </patternFill>
              </fill>
            </x14:dxf>
          </x14:cfRule>
          <xm:sqref>C371:E395</xm:sqref>
        </x14:conditionalFormatting>
        <x14:conditionalFormatting xmlns:xm="http://schemas.microsoft.com/office/excel/2006/main">
          <x14:cfRule type="containsText" priority="218" operator="containsText" id="{32EEB095-9FE3-4BE2-ADA9-22D8ED3BE82A}">
            <xm:f>NOT(ISERROR(SEARCH($BQ$1,K264)))</xm:f>
            <xm:f>$BQ$1</xm:f>
            <x14:dxf>
              <fill>
                <patternFill>
                  <bgColor rgb="FFFF0000"/>
                </patternFill>
              </fill>
            </x14:dxf>
          </x14:cfRule>
          <xm:sqref>M264:M265 P264:Q265 K264:K265 K267:Q270 K273:Q370</xm:sqref>
        </x14:conditionalFormatting>
        <x14:conditionalFormatting xmlns:xm="http://schemas.microsoft.com/office/excel/2006/main">
          <x14:cfRule type="containsText" priority="217" operator="containsText" id="{496AE3F8-7843-4807-902D-0908DB16C50E}">
            <xm:f>NOT(ISERROR(SEARCH($BQ$1,N264)))</xm:f>
            <xm:f>$BQ$1</xm:f>
            <x14:dxf>
              <fill>
                <patternFill>
                  <bgColor rgb="FFFF0000"/>
                </patternFill>
              </fill>
            </x14:dxf>
          </x14:cfRule>
          <xm:sqref>N264:N265</xm:sqref>
        </x14:conditionalFormatting>
        <x14:conditionalFormatting xmlns:xm="http://schemas.microsoft.com/office/excel/2006/main">
          <x14:cfRule type="containsText" priority="216" operator="containsText" id="{21A00382-F660-41CE-958C-B06A8C131E41}">
            <xm:f>NOT(ISERROR(SEARCH($BQ$1,L264)))</xm:f>
            <xm:f>$BQ$1</xm:f>
            <x14:dxf>
              <fill>
                <patternFill>
                  <bgColor rgb="FFFF0000"/>
                </patternFill>
              </fill>
            </x14:dxf>
          </x14:cfRule>
          <xm:sqref>L264:L265</xm:sqref>
        </x14:conditionalFormatting>
        <x14:conditionalFormatting xmlns:xm="http://schemas.microsoft.com/office/excel/2006/main">
          <x14:cfRule type="containsText" priority="214" operator="containsText" id="{BC05C365-BD3A-43D5-999C-BF91D9D5C387}">
            <xm:f>NOT(ISERROR(SEARCH($AX$1,H264)))</xm:f>
            <xm:f>$AX$1</xm:f>
            <x14:dxf>
              <fill>
                <patternFill>
                  <bgColor rgb="FFFF0000"/>
                </patternFill>
              </fill>
            </x14:dxf>
          </x14:cfRule>
          <xm:sqref>H264 J267:J270 J273:J370</xm:sqref>
        </x14:conditionalFormatting>
        <x14:conditionalFormatting xmlns:xm="http://schemas.microsoft.com/office/excel/2006/main">
          <x14:cfRule type="containsText" priority="209" operator="containsText" id="{84328A36-8501-4094-81DC-56F42237AA97}">
            <xm:f>NOT(ISERROR(SEARCH($AX$1,J265)))</xm:f>
            <xm:f>$AX$1</xm:f>
            <x14:dxf>
              <fill>
                <patternFill>
                  <bgColor rgb="FFFF0000"/>
                </patternFill>
              </fill>
            </x14:dxf>
          </x14:cfRule>
          <xm:sqref>J265</xm:sqref>
        </x14:conditionalFormatting>
        <x14:conditionalFormatting xmlns:xm="http://schemas.microsoft.com/office/excel/2006/main">
          <x14:cfRule type="containsText" priority="204" operator="containsText" id="{389E2BC2-82FD-4882-A4E9-6D0F161FB778}">
            <xm:f>NOT(ISERROR(SEARCH($AT$1,I264)))</xm:f>
            <xm:f>$AT$1</xm:f>
            <x14:dxf>
              <fill>
                <patternFill>
                  <bgColor rgb="FFFF0000"/>
                </patternFill>
              </fill>
            </x14:dxf>
          </x14:cfRule>
          <xm:sqref>I264</xm:sqref>
        </x14:conditionalFormatting>
        <x14:conditionalFormatting xmlns:xm="http://schemas.microsoft.com/office/excel/2006/main">
          <x14:cfRule type="containsText" priority="200" operator="containsText" id="{27A5C44D-764A-4081-89D8-FA036720E85E}">
            <xm:f>NOT(ISERROR(SEARCH($BQ$1,O264)))</xm:f>
            <xm:f>$BQ$1</xm:f>
            <x14:dxf>
              <fill>
                <patternFill>
                  <bgColor rgb="FFFF0000"/>
                </patternFill>
              </fill>
            </x14:dxf>
          </x14:cfRule>
          <xm:sqref>O264:O265</xm:sqref>
        </x14:conditionalFormatting>
        <x14:conditionalFormatting xmlns:xm="http://schemas.microsoft.com/office/excel/2006/main">
          <x14:cfRule type="containsText" priority="198" operator="containsText" id="{87F98391-14C8-433C-B1B2-2991F2B15992}">
            <xm:f>NOT(ISERROR(SEARCH($AV$1,R264)))</xm:f>
            <xm:f>$AV$1</xm:f>
            <x14:dxf>
              <fill>
                <patternFill>
                  <bgColor rgb="FFFF0000"/>
                </patternFill>
              </fill>
            </x14:dxf>
          </x14:cfRule>
          <xm:sqref>R264:R265 R267:R270 R273:R370</xm:sqref>
        </x14:conditionalFormatting>
        <x14:conditionalFormatting xmlns:xm="http://schemas.microsoft.com/office/excel/2006/main">
          <x14:cfRule type="containsText" priority="193" operator="containsText" id="{8D6046F7-9E18-4298-868D-0F98D054A2DB}">
            <xm:f>NOT(ISERROR(SEARCH($AV$1,S264)))</xm:f>
            <xm:f>$AV$1</xm:f>
            <x14:dxf>
              <fill>
                <patternFill>
                  <bgColor rgb="FFFF0000"/>
                </patternFill>
              </fill>
            </x14:dxf>
          </x14:cfRule>
          <xm:sqref>S264:S265 S267:S270 S273:S370</xm:sqref>
        </x14:conditionalFormatting>
        <x14:conditionalFormatting xmlns:xm="http://schemas.microsoft.com/office/excel/2006/main">
          <x14:cfRule type="containsText" priority="182" operator="containsText" id="{0FB6F0EB-9EFD-4A43-B29A-B358BCE2E418}">
            <xm:f>NOT(ISERROR(SEARCH($BQ$1,K266)))</xm:f>
            <xm:f>$BQ$1</xm:f>
            <x14:dxf>
              <fill>
                <patternFill>
                  <bgColor rgb="FFFF0000"/>
                </patternFill>
              </fill>
            </x14:dxf>
          </x14:cfRule>
          <xm:sqref>M266 P266:Q266 K266</xm:sqref>
        </x14:conditionalFormatting>
        <x14:conditionalFormatting xmlns:xm="http://schemas.microsoft.com/office/excel/2006/main">
          <x14:cfRule type="containsText" priority="181" operator="containsText" id="{79402B3B-89F9-4D48-9AC8-4583181470E5}">
            <xm:f>NOT(ISERROR(SEARCH($BQ$1,N266)))</xm:f>
            <xm:f>$BQ$1</xm:f>
            <x14:dxf>
              <fill>
                <patternFill>
                  <bgColor rgb="FFFF0000"/>
                </patternFill>
              </fill>
            </x14:dxf>
          </x14:cfRule>
          <xm:sqref>N266</xm:sqref>
        </x14:conditionalFormatting>
        <x14:conditionalFormatting xmlns:xm="http://schemas.microsoft.com/office/excel/2006/main">
          <x14:cfRule type="containsText" priority="180" operator="containsText" id="{1AC2973F-90BA-4B62-976F-E8DE306F34D4}">
            <xm:f>NOT(ISERROR(SEARCH($BQ$1,L266)))</xm:f>
            <xm:f>$BQ$1</xm:f>
            <x14:dxf>
              <fill>
                <patternFill>
                  <bgColor rgb="FFFF0000"/>
                </patternFill>
              </fill>
            </x14:dxf>
          </x14:cfRule>
          <xm:sqref>L266</xm:sqref>
        </x14:conditionalFormatting>
        <x14:conditionalFormatting xmlns:xm="http://schemas.microsoft.com/office/excel/2006/main">
          <x14:cfRule type="containsText" priority="178" operator="containsText" id="{B4D9928E-D3C4-4472-B720-2D0D412D2714}">
            <xm:f>NOT(ISERROR(SEARCH($AX$1,J266)))</xm:f>
            <xm:f>$AX$1</xm:f>
            <x14:dxf>
              <fill>
                <patternFill>
                  <bgColor rgb="FFFF0000"/>
                </patternFill>
              </fill>
            </x14:dxf>
          </x14:cfRule>
          <xm:sqref>J266</xm:sqref>
        </x14:conditionalFormatting>
        <x14:conditionalFormatting xmlns:xm="http://schemas.microsoft.com/office/excel/2006/main">
          <x14:cfRule type="containsText" priority="174" operator="containsText" id="{9A4DB670-1632-43AB-89D9-3D69E7A8EC24}">
            <xm:f>NOT(ISERROR(SEARCH($BQ$1,O266)))</xm:f>
            <xm:f>$BQ$1</xm:f>
            <x14:dxf>
              <fill>
                <patternFill>
                  <bgColor rgb="FFFF0000"/>
                </patternFill>
              </fill>
            </x14:dxf>
          </x14:cfRule>
          <xm:sqref>O266</xm:sqref>
        </x14:conditionalFormatting>
        <x14:conditionalFormatting xmlns:xm="http://schemas.microsoft.com/office/excel/2006/main">
          <x14:cfRule type="containsText" priority="172" operator="containsText" id="{1DE20EBB-0DD7-4696-A47D-D5385E553BD6}">
            <xm:f>NOT(ISERROR(SEARCH($AV$1,R266)))</xm:f>
            <xm:f>$AV$1</xm:f>
            <x14:dxf>
              <fill>
                <patternFill>
                  <bgColor rgb="FFFF0000"/>
                </patternFill>
              </fill>
            </x14:dxf>
          </x14:cfRule>
          <xm:sqref>R266</xm:sqref>
        </x14:conditionalFormatting>
        <x14:conditionalFormatting xmlns:xm="http://schemas.microsoft.com/office/excel/2006/main">
          <x14:cfRule type="containsText" priority="167" operator="containsText" id="{AEB818B9-97FD-4596-A251-1FFCA7CE0229}">
            <xm:f>NOT(ISERROR(SEARCH($AV$1,S266)))</xm:f>
            <xm:f>$AV$1</xm:f>
            <x14:dxf>
              <fill>
                <patternFill>
                  <bgColor rgb="FFFF0000"/>
                </patternFill>
              </fill>
            </x14:dxf>
          </x14:cfRule>
          <xm:sqref>S266</xm:sqref>
        </x14:conditionalFormatting>
        <x14:conditionalFormatting xmlns:xm="http://schemas.microsoft.com/office/excel/2006/main">
          <x14:cfRule type="containsText" priority="162" operator="containsText" id="{BFF0EBE3-2439-4722-9602-D252DB1DF6F3}">
            <xm:f>NOT(ISERROR(SEARCH($AX$1,J264)))</xm:f>
            <xm:f>$AX$1</xm:f>
            <x14:dxf>
              <fill>
                <patternFill>
                  <bgColor rgb="FFFF0000"/>
                </patternFill>
              </fill>
            </x14:dxf>
          </x14:cfRule>
          <xm:sqref>J264</xm:sqref>
        </x14:conditionalFormatting>
        <x14:conditionalFormatting xmlns:xm="http://schemas.microsoft.com/office/excel/2006/main">
          <x14:cfRule type="containsText" priority="151" operator="containsText" id="{74F308B1-C3D9-47C2-B65E-AAA93A4C7C72}">
            <xm:f>NOT(ISERROR(SEARCH($BQ$1,K271)))</xm:f>
            <xm:f>$BQ$1</xm:f>
            <x14:dxf>
              <fill>
                <patternFill>
                  <bgColor rgb="FFFF0000"/>
                </patternFill>
              </fill>
            </x14:dxf>
          </x14:cfRule>
          <xm:sqref>K271:Q272</xm:sqref>
        </x14:conditionalFormatting>
        <x14:conditionalFormatting xmlns:xm="http://schemas.microsoft.com/office/excel/2006/main">
          <x14:cfRule type="containsText" priority="150" operator="containsText" id="{086D3C37-61D7-4D9A-913A-0ED9183C2454}">
            <xm:f>NOT(ISERROR(SEARCH($AX$1,J271)))</xm:f>
            <xm:f>$AX$1</xm:f>
            <x14:dxf>
              <fill>
                <patternFill>
                  <bgColor rgb="FFFF0000"/>
                </patternFill>
              </fill>
            </x14:dxf>
          </x14:cfRule>
          <xm:sqref>J271:J272</xm:sqref>
        </x14:conditionalFormatting>
        <x14:conditionalFormatting xmlns:xm="http://schemas.microsoft.com/office/excel/2006/main">
          <x14:cfRule type="containsText" priority="144" operator="containsText" id="{13E0C3AF-6CF3-4898-9304-3797190676A7}">
            <xm:f>NOT(ISERROR(SEARCH($AV$1,R271)))</xm:f>
            <xm:f>$AV$1</xm:f>
            <x14:dxf>
              <fill>
                <patternFill>
                  <bgColor rgb="FFFF0000"/>
                </patternFill>
              </fill>
            </x14:dxf>
          </x14:cfRule>
          <xm:sqref>R271:R272</xm:sqref>
        </x14:conditionalFormatting>
        <x14:conditionalFormatting xmlns:xm="http://schemas.microsoft.com/office/excel/2006/main">
          <x14:cfRule type="containsText" priority="139" operator="containsText" id="{AEE36840-82F0-43EA-864F-4FE3E379E7DD}">
            <xm:f>NOT(ISERROR(SEARCH($AV$1,S271)))</xm:f>
            <xm:f>$AV$1</xm:f>
            <x14:dxf>
              <fill>
                <patternFill>
                  <bgColor rgb="FFFF0000"/>
                </patternFill>
              </fill>
            </x14:dxf>
          </x14:cfRule>
          <xm:sqref>S271:S272</xm:sqref>
        </x14:conditionalFormatting>
        <x14:conditionalFormatting xmlns:xm="http://schemas.microsoft.com/office/excel/2006/main">
          <x14:cfRule type="containsText" priority="134" operator="containsText" id="{DF351CF9-84E4-4A90-89B4-B1474DBEA32A}">
            <xm:f>NOT(ISERROR(SEARCH($AT$1,I265)))</xm:f>
            <xm:f>$AT$1</xm:f>
            <x14:dxf>
              <fill>
                <patternFill>
                  <bgColor rgb="FFFF0000"/>
                </patternFill>
              </fill>
            </x14:dxf>
          </x14:cfRule>
          <xm:sqref>I265:I370</xm:sqref>
        </x14:conditionalFormatting>
        <x14:conditionalFormatting xmlns:xm="http://schemas.microsoft.com/office/excel/2006/main">
          <x14:cfRule type="containsText" priority="129" operator="containsText" id="{2B4631CF-4043-4236-A4C9-FE3242FF8DFB}">
            <xm:f>NOT(ISERROR(SEARCH($AX$1,H265)))</xm:f>
            <xm:f>$AX$1</xm:f>
            <x14:dxf>
              <fill>
                <patternFill>
                  <bgColor rgb="FFFF0000"/>
                </patternFill>
              </fill>
            </x14:dxf>
          </x14:cfRule>
          <xm:sqref>H265:H370</xm:sqref>
        </x14:conditionalFormatting>
        <x14:conditionalFormatting xmlns:xm="http://schemas.microsoft.com/office/excel/2006/main">
          <x14:cfRule type="containsText" priority="104" operator="containsText" id="{5DD7BD50-AA0C-4BCC-B136-31291460A309}">
            <xm:f>NOT(ISERROR(SEARCH($BQ$1,K371)))</xm:f>
            <xm:f>$BQ$1</xm:f>
            <x14:dxf>
              <fill>
                <patternFill>
                  <bgColor rgb="FFFF0000"/>
                </patternFill>
              </fill>
            </x14:dxf>
          </x14:cfRule>
          <xm:sqref>K371:Q395</xm:sqref>
        </x14:conditionalFormatting>
        <x14:conditionalFormatting xmlns:xm="http://schemas.microsoft.com/office/excel/2006/main">
          <x14:cfRule type="containsText" priority="103" operator="containsText" id="{8390D38C-B273-4A59-958B-38547613A4EB}">
            <xm:f>NOT(ISERROR(SEARCH($AX$1,J371)))</xm:f>
            <xm:f>$AX$1</xm:f>
            <x14:dxf>
              <fill>
                <patternFill>
                  <bgColor rgb="FFFF0000"/>
                </patternFill>
              </fill>
            </x14:dxf>
          </x14:cfRule>
          <xm:sqref>J371:J395</xm:sqref>
        </x14:conditionalFormatting>
        <x14:conditionalFormatting xmlns:xm="http://schemas.microsoft.com/office/excel/2006/main">
          <x14:cfRule type="containsText" priority="97" operator="containsText" id="{CE3DFBD7-DEA4-4052-AF9B-B340AFE250D0}">
            <xm:f>NOT(ISERROR(SEARCH($AV$1,R371)))</xm:f>
            <xm:f>$AV$1</xm:f>
            <x14:dxf>
              <fill>
                <patternFill>
                  <bgColor rgb="FFFF0000"/>
                </patternFill>
              </fill>
            </x14:dxf>
          </x14:cfRule>
          <xm:sqref>R371:R395</xm:sqref>
        </x14:conditionalFormatting>
        <x14:conditionalFormatting xmlns:xm="http://schemas.microsoft.com/office/excel/2006/main">
          <x14:cfRule type="containsText" priority="92" operator="containsText" id="{C40451F2-12F4-49B9-943E-78435C662ABD}">
            <xm:f>NOT(ISERROR(SEARCH($AV$1,S371)))</xm:f>
            <xm:f>$AV$1</xm:f>
            <x14:dxf>
              <fill>
                <patternFill>
                  <bgColor rgb="FFFF0000"/>
                </patternFill>
              </fill>
            </x14:dxf>
          </x14:cfRule>
          <xm:sqref>S371:S395</xm:sqref>
        </x14:conditionalFormatting>
        <x14:conditionalFormatting xmlns:xm="http://schemas.microsoft.com/office/excel/2006/main">
          <x14:cfRule type="containsText" priority="84" operator="containsText" id="{68222512-D243-4CDE-AD68-6F12FA9DCCBB}">
            <xm:f>NOT(ISERROR(SEARCH($AT$1,I371)))</xm:f>
            <xm:f>$AT$1</xm:f>
            <x14:dxf>
              <fill>
                <patternFill>
                  <bgColor rgb="FFFF0000"/>
                </patternFill>
              </fill>
            </x14:dxf>
          </x14:cfRule>
          <xm:sqref>I371:I395</xm:sqref>
        </x14:conditionalFormatting>
        <x14:conditionalFormatting xmlns:xm="http://schemas.microsoft.com/office/excel/2006/main">
          <x14:cfRule type="containsText" priority="79" operator="containsText" id="{D50BE3FE-948D-4E1E-9DC1-B39E4106F68F}">
            <xm:f>NOT(ISERROR(SEARCH($AX$1,H371)))</xm:f>
            <xm:f>$AX$1</xm:f>
            <x14:dxf>
              <fill>
                <patternFill>
                  <bgColor rgb="FFFF0000"/>
                </patternFill>
              </fill>
            </x14:dxf>
          </x14:cfRule>
          <xm:sqref>H371:H395</xm:sqref>
        </x14:conditionalFormatting>
        <x14:conditionalFormatting xmlns:xm="http://schemas.microsoft.com/office/excel/2006/main">
          <x14:cfRule type="containsText" priority="74" operator="containsText" id="{13894A86-3707-49C9-AB4D-4CE7AAAFD0FD}">
            <xm:f>NOT(ISERROR(SEARCH($AV$1,U264)))</xm:f>
            <xm:f>$AV$1</xm:f>
            <x14:dxf>
              <fill>
                <patternFill>
                  <bgColor rgb="FFFF0000"/>
                </patternFill>
              </fill>
            </x14:dxf>
          </x14:cfRule>
          <xm:sqref>U264:U270 U273:U370</xm:sqref>
        </x14:conditionalFormatting>
        <x14:conditionalFormatting xmlns:xm="http://schemas.microsoft.com/office/excel/2006/main">
          <x14:cfRule type="containsText" priority="69" operator="containsText" id="{65B07256-E571-4D57-BBF8-2EACEA17D8DE}">
            <xm:f>NOT(ISERROR(SEARCH($AV$1,U271)))</xm:f>
            <xm:f>$AV$1</xm:f>
            <x14:dxf>
              <fill>
                <patternFill>
                  <bgColor rgb="FFFF0000"/>
                </patternFill>
              </fill>
            </x14:dxf>
          </x14:cfRule>
          <xm:sqref>U271:U272</xm:sqref>
        </x14:conditionalFormatting>
        <x14:conditionalFormatting xmlns:xm="http://schemas.microsoft.com/office/excel/2006/main">
          <x14:cfRule type="containsText" priority="64" operator="containsText" id="{99AD6A18-5720-45DE-A506-360E917EE7E2}">
            <xm:f>NOT(ISERROR(SEARCH($AV$1,U371)))</xm:f>
            <xm:f>$AV$1</xm:f>
            <x14:dxf>
              <fill>
                <patternFill>
                  <bgColor rgb="FFFF0000"/>
                </patternFill>
              </fill>
            </x14:dxf>
          </x14:cfRule>
          <xm:sqref>U371:U395</xm:sqref>
        </x14:conditionalFormatting>
        <x14:conditionalFormatting xmlns:xm="http://schemas.microsoft.com/office/excel/2006/main">
          <x14:cfRule type="containsText" priority="56" operator="containsText" id="{614A8B3B-E63B-45C6-8FA0-2E214A2F0C5A}">
            <xm:f>NOT(ISERROR(SEARCH($BQ$1,W264)))</xm:f>
            <xm:f>$BQ$1</xm:f>
            <x14:dxf>
              <fill>
                <patternFill>
                  <bgColor rgb="FFFF0000"/>
                </patternFill>
              </fill>
            </x14:dxf>
          </x14:cfRule>
          <xm:sqref>X264:X265 W267:X270 W273:X370</xm:sqref>
        </x14:conditionalFormatting>
        <x14:conditionalFormatting xmlns:xm="http://schemas.microsoft.com/office/excel/2006/main">
          <x14:cfRule type="containsText" priority="55" operator="containsText" id="{CF882EEF-4853-41EE-8790-B3ECA1CFF70B}">
            <xm:f>NOT(ISERROR(SEARCH($BQ$1,W264)))</xm:f>
            <xm:f>$BQ$1</xm:f>
            <x14:dxf>
              <fill>
                <patternFill>
                  <bgColor rgb="FFFF0000"/>
                </patternFill>
              </fill>
            </x14:dxf>
          </x14:cfRule>
          <xm:sqref>W264:W265</xm:sqref>
        </x14:conditionalFormatting>
        <x14:conditionalFormatting xmlns:xm="http://schemas.microsoft.com/office/excel/2006/main">
          <x14:cfRule type="containsText" priority="54" operator="containsText" id="{B758EE57-7B84-438C-84EB-A0F6D149D7A9}">
            <xm:f>NOT(ISERROR(SEARCH($BQ$1,X265)))</xm:f>
            <xm:f>$BQ$1</xm:f>
            <x14:dxf>
              <fill>
                <patternFill>
                  <bgColor rgb="FFFF0000"/>
                </patternFill>
              </fill>
            </x14:dxf>
          </x14:cfRule>
          <xm:sqref>X265</xm:sqref>
        </x14:conditionalFormatting>
        <x14:conditionalFormatting xmlns:xm="http://schemas.microsoft.com/office/excel/2006/main">
          <x14:cfRule type="containsText" priority="52" operator="containsText" id="{8EF2E999-8635-435E-94EB-0575BDABC958}">
            <xm:f>NOT(ISERROR(SEARCH($AV$1,Y264)))</xm:f>
            <xm:f>$AV$1</xm:f>
            <x14:dxf>
              <fill>
                <patternFill>
                  <bgColor rgb="FFFF0000"/>
                </patternFill>
              </fill>
            </x14:dxf>
          </x14:cfRule>
          <xm:sqref>Y264:Z265 Y267:Z270 Y273:Z370</xm:sqref>
        </x14:conditionalFormatting>
        <x14:conditionalFormatting xmlns:xm="http://schemas.microsoft.com/office/excel/2006/main">
          <x14:cfRule type="containsText" priority="42" operator="containsText" id="{56F5CB08-7E9A-4699-93E4-113D6EF5BA58}">
            <xm:f>NOT(ISERROR(SEARCH($BQ$1,X266)))</xm:f>
            <xm:f>$BQ$1</xm:f>
            <x14:dxf>
              <fill>
                <patternFill>
                  <bgColor rgb="FFFF0000"/>
                </patternFill>
              </fill>
            </x14:dxf>
          </x14:cfRule>
          <xm:sqref>X266</xm:sqref>
        </x14:conditionalFormatting>
        <x14:conditionalFormatting xmlns:xm="http://schemas.microsoft.com/office/excel/2006/main">
          <x14:cfRule type="containsText" priority="41" operator="containsText" id="{05FAFA6B-0339-4412-BC0D-72A78FF3101E}">
            <xm:f>NOT(ISERROR(SEARCH($BQ$1,W266)))</xm:f>
            <xm:f>$BQ$1</xm:f>
            <x14:dxf>
              <fill>
                <patternFill>
                  <bgColor rgb="FFFF0000"/>
                </patternFill>
              </fill>
            </x14:dxf>
          </x14:cfRule>
          <xm:sqref>W266</xm:sqref>
        </x14:conditionalFormatting>
        <x14:conditionalFormatting xmlns:xm="http://schemas.microsoft.com/office/excel/2006/main">
          <x14:cfRule type="containsText" priority="40" operator="containsText" id="{3A4E68F7-A890-40C4-A259-89F4F19F73B3}">
            <xm:f>NOT(ISERROR(SEARCH($BQ$1,X266)))</xm:f>
            <xm:f>$BQ$1</xm:f>
            <x14:dxf>
              <fill>
                <patternFill>
                  <bgColor rgb="FFFF0000"/>
                </patternFill>
              </fill>
            </x14:dxf>
          </x14:cfRule>
          <xm:sqref>X266</xm:sqref>
        </x14:conditionalFormatting>
        <x14:conditionalFormatting xmlns:xm="http://schemas.microsoft.com/office/excel/2006/main">
          <x14:cfRule type="containsText" priority="38" operator="containsText" id="{97CFED03-E054-45F4-9FA3-54FAD1285D15}">
            <xm:f>NOT(ISERROR(SEARCH($AV$1,Y266)))</xm:f>
            <xm:f>$AV$1</xm:f>
            <x14:dxf>
              <fill>
                <patternFill>
                  <bgColor rgb="FFFF0000"/>
                </patternFill>
              </fill>
            </x14:dxf>
          </x14:cfRule>
          <xm:sqref>Y266:Z266</xm:sqref>
        </x14:conditionalFormatting>
        <x14:conditionalFormatting xmlns:xm="http://schemas.microsoft.com/office/excel/2006/main">
          <x14:cfRule type="containsText" priority="29" operator="containsText" id="{0C1D5990-5144-4BE3-B2BE-ABAA2B7F5EB9}">
            <xm:f>NOT(ISERROR(SEARCH($BQ$1,W271)))</xm:f>
            <xm:f>$BQ$1</xm:f>
            <x14:dxf>
              <fill>
                <patternFill>
                  <bgColor rgb="FFFF0000"/>
                </patternFill>
              </fill>
            </x14:dxf>
          </x14:cfRule>
          <xm:sqref>W271:X272</xm:sqref>
        </x14:conditionalFormatting>
        <x14:conditionalFormatting xmlns:xm="http://schemas.microsoft.com/office/excel/2006/main">
          <x14:cfRule type="containsText" priority="27" operator="containsText" id="{CF423C0C-00B3-44B3-A723-9E21428A805B}">
            <xm:f>NOT(ISERROR(SEARCH($AV$1,Y271)))</xm:f>
            <xm:f>$AV$1</xm:f>
            <x14:dxf>
              <fill>
                <patternFill>
                  <bgColor rgb="FFFF0000"/>
                </patternFill>
              </fill>
            </x14:dxf>
          </x14:cfRule>
          <xm:sqref>Y271:Z272</xm:sqref>
        </x14:conditionalFormatting>
        <x14:conditionalFormatting xmlns:xm="http://schemas.microsoft.com/office/excel/2006/main">
          <x14:cfRule type="containsText" priority="19" operator="containsText" id="{547C1B31-B089-404F-9885-0B41C109E66C}">
            <xm:f>NOT(ISERROR(SEARCH($BQ$1,W371)))</xm:f>
            <xm:f>$BQ$1</xm:f>
            <x14:dxf>
              <fill>
                <patternFill>
                  <bgColor rgb="FFFF0000"/>
                </patternFill>
              </fill>
            </x14:dxf>
          </x14:cfRule>
          <xm:sqref>W371:X395</xm:sqref>
        </x14:conditionalFormatting>
        <x14:conditionalFormatting xmlns:xm="http://schemas.microsoft.com/office/excel/2006/main">
          <x14:cfRule type="containsText" priority="17" operator="containsText" id="{36F46DB2-80C5-4B12-8AF5-1529674759B1}">
            <xm:f>NOT(ISERROR(SEARCH($AV$1,Y371)))</xm:f>
            <xm:f>$AV$1</xm:f>
            <x14:dxf>
              <fill>
                <patternFill>
                  <bgColor rgb="FFFF0000"/>
                </patternFill>
              </fill>
            </x14:dxf>
          </x14:cfRule>
          <xm:sqref>Y371:Z395</xm:sqref>
        </x14:conditionalFormatting>
        <x14:conditionalFormatting xmlns:xm="http://schemas.microsoft.com/office/excel/2006/main">
          <x14:cfRule type="containsText" priority="8" operator="containsText" id="{BFC84BD9-2314-45AA-861B-E91922F1278F}">
            <xm:f>NOT(ISERROR(SEARCH($BQ$1,BM264)))</xm:f>
            <xm:f>$BQ$1</xm:f>
            <x14:dxf>
              <fill>
                <patternFill>
                  <bgColor rgb="FFFF0000"/>
                </patternFill>
              </fill>
            </x14:dxf>
          </x14:cfRule>
          <xm:sqref>BM264:BN370</xm:sqref>
        </x14:conditionalFormatting>
        <x14:conditionalFormatting xmlns:xm="http://schemas.microsoft.com/office/excel/2006/main">
          <x14:cfRule type="containsText" priority="2" operator="containsText" id="{6D849726-E0C8-43A2-BDF0-701472F29F5C}">
            <xm:f>NOT(ISERROR(SEARCH($BQ$1,BM371)))</xm:f>
            <xm:f>$BQ$1</xm:f>
            <x14:dxf>
              <fill>
                <patternFill>
                  <bgColor rgb="FFFF0000"/>
                </patternFill>
              </fill>
            </x14:dxf>
          </x14:cfRule>
          <xm:sqref>BM371:BN395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
    <tabColor rgb="FFFFFFCC"/>
  </sheetPr>
  <dimension ref="A1:AL501"/>
  <sheetViews>
    <sheetView rightToLeft="1" zoomScale="80" zoomScaleNormal="80" workbookViewId="0">
      <pane xSplit="7" ySplit="30" topLeftCell="Z227" activePane="bottomRight" state="frozen"/>
      <selection activeCell="F27" sqref="F27"/>
      <selection pane="topRight" activeCell="F27" sqref="F27"/>
      <selection pane="bottomLeft" activeCell="F27" sqref="F27"/>
      <selection pane="bottomRight" activeCell="A27" sqref="A27"/>
    </sheetView>
  </sheetViews>
  <sheetFormatPr defaultColWidth="9" defaultRowHeight="14.25" x14ac:dyDescent="0.2"/>
  <cols>
    <col min="1" max="1" width="6.375" style="175" customWidth="1"/>
    <col min="2" max="2" width="16.75" style="175" bestFit="1" customWidth="1"/>
    <col min="3" max="3" width="13.625" style="175" bestFit="1" customWidth="1"/>
    <col min="4" max="4" width="13.125" style="175" customWidth="1"/>
    <col min="5" max="5" width="16.125" style="175" customWidth="1"/>
    <col min="6" max="6" width="11.125" style="175" bestFit="1" customWidth="1"/>
    <col min="7" max="7" width="22.25" style="175" customWidth="1"/>
    <col min="8" max="8" width="19.375" style="175" bestFit="1" customWidth="1"/>
    <col min="9" max="9" width="16.375" style="175" customWidth="1"/>
    <col min="10" max="10" width="11.625" style="175" customWidth="1"/>
    <col min="11" max="13" width="15.875" style="175" customWidth="1"/>
    <col min="14" max="15" width="12.5" style="175" customWidth="1"/>
    <col min="16" max="16" width="12.25" style="175" bestFit="1" customWidth="1"/>
    <col min="17" max="19" width="12.5" style="175" customWidth="1"/>
    <col min="20" max="21" width="14.625" style="175" customWidth="1"/>
    <col min="22" max="23" width="15.25" style="175" customWidth="1"/>
    <col min="24" max="24" width="14.625" style="175" customWidth="1"/>
    <col min="25" max="25" width="11.875" style="175" bestFit="1" customWidth="1"/>
    <col min="26" max="31" width="14.625" style="175" customWidth="1"/>
    <col min="32" max="35" width="9" style="175" hidden="1" customWidth="1"/>
    <col min="36" max="36" width="0" style="175" hidden="1" customWidth="1"/>
    <col min="37" max="16384" width="9" style="175"/>
  </cols>
  <sheetData>
    <row r="1" spans="1:34" ht="18.600000000000001" customHeight="1" thickBot="1" x14ac:dyDescent="0.25">
      <c r="A1" s="411" t="str">
        <f ca="1">MID(CELL("filename",AH2),FIND("]",CELL("filename",AH2),1)+1,99)</f>
        <v>תחום תמיכה א</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row>
    <row r="2" spans="1:34" ht="15" thickBot="1" x14ac:dyDescent="0.25">
      <c r="AG2" s="175" t="s">
        <v>317</v>
      </c>
    </row>
    <row r="3" spans="1:34" ht="19.5" customHeight="1" x14ac:dyDescent="0.2">
      <c r="B3" s="218" t="str">
        <f>'פרמטרים לקריטריונים'!$B$4</f>
        <v>שנת תקציב</v>
      </c>
      <c r="C3" s="216">
        <f>'פרמטרים לקריטריונים'!$C$4</f>
        <v>2020</v>
      </c>
      <c r="AG3" s="175">
        <v>0</v>
      </c>
      <c r="AH3" s="175">
        <v>1</v>
      </c>
    </row>
    <row r="4" spans="1:34" ht="32.25" thickBot="1" x14ac:dyDescent="0.25">
      <c r="B4" s="219" t="str">
        <f>'פרמטרים לקריטריונים'!$B$5</f>
        <v>תקציב תמיכה תחום א'</v>
      </c>
      <c r="C4" s="217">
        <f>'פרמטרים לקריטריונים'!$C$5</f>
        <v>50000000</v>
      </c>
    </row>
    <row r="5" spans="1:34" hidden="1" x14ac:dyDescent="0.2"/>
    <row r="6" spans="1:34" hidden="1" x14ac:dyDescent="0.2"/>
    <row r="7" spans="1:34" hidden="1" x14ac:dyDescent="0.2"/>
    <row r="8" spans="1:34" hidden="1" x14ac:dyDescent="0.2"/>
    <row r="9" spans="1:34" hidden="1" x14ac:dyDescent="0.2"/>
    <row r="10" spans="1:34" hidden="1" x14ac:dyDescent="0.2"/>
    <row r="11" spans="1:34" hidden="1" x14ac:dyDescent="0.2"/>
    <row r="12" spans="1:34" hidden="1" x14ac:dyDescent="0.2"/>
    <row r="13" spans="1:34" hidden="1" x14ac:dyDescent="0.2"/>
    <row r="14" spans="1:34" hidden="1" x14ac:dyDescent="0.2"/>
    <row r="15" spans="1:34" hidden="1" x14ac:dyDescent="0.2"/>
    <row r="16" spans="1:34" hidden="1" x14ac:dyDescent="0.2"/>
    <row r="17" spans="1:38" hidden="1" x14ac:dyDescent="0.2"/>
    <row r="18" spans="1:38" hidden="1" x14ac:dyDescent="0.2"/>
    <row r="19" spans="1:38" hidden="1" x14ac:dyDescent="0.2"/>
    <row r="20" spans="1:38" hidden="1" x14ac:dyDescent="0.2"/>
    <row r="21" spans="1:38" hidden="1" x14ac:dyDescent="0.2"/>
    <row r="22" spans="1:38" hidden="1" x14ac:dyDescent="0.2"/>
    <row r="23" spans="1:38" hidden="1" x14ac:dyDescent="0.2"/>
    <row r="24" spans="1:38" hidden="1" x14ac:dyDescent="0.2"/>
    <row r="25" spans="1:38" hidden="1" x14ac:dyDescent="0.2"/>
    <row r="26" spans="1:38" s="280" customFormat="1" ht="12.75" x14ac:dyDescent="0.2">
      <c r="A26" s="279"/>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row>
    <row r="27" spans="1:38" s="280" customFormat="1" ht="39" thickBot="1" x14ac:dyDescent="0.25">
      <c r="A27" s="279"/>
      <c r="B27" s="279"/>
      <c r="C27" s="279"/>
      <c r="D27" s="279"/>
      <c r="E27" s="279"/>
      <c r="F27" s="279"/>
      <c r="G27" s="279"/>
      <c r="H27" s="279"/>
      <c r="I27" s="279" t="s">
        <v>528</v>
      </c>
      <c r="J27" s="279"/>
      <c r="K27" s="279" t="s">
        <v>532</v>
      </c>
      <c r="L27" s="279" t="s">
        <v>533</v>
      </c>
      <c r="M27" s="279"/>
      <c r="N27" s="279"/>
      <c r="O27" s="279"/>
      <c r="P27" s="279" t="s">
        <v>528</v>
      </c>
      <c r="Q27" s="279"/>
      <c r="R27" s="279"/>
      <c r="S27" s="279"/>
      <c r="T27" s="279"/>
      <c r="U27" s="279"/>
      <c r="V27" s="279"/>
      <c r="W27" s="279" t="s">
        <v>527</v>
      </c>
      <c r="X27" s="279" t="s">
        <v>527</v>
      </c>
      <c r="Y27" s="279" t="s">
        <v>527</v>
      </c>
      <c r="Z27" s="279"/>
      <c r="AA27" s="279"/>
      <c r="AB27" s="279"/>
      <c r="AC27" s="279"/>
      <c r="AD27" s="279"/>
      <c r="AE27" s="279"/>
    </row>
    <row r="28" spans="1:38" ht="15.75" thickBot="1" x14ac:dyDescent="0.3">
      <c r="A28" s="404" t="s">
        <v>496</v>
      </c>
      <c r="B28" s="405"/>
      <c r="C28" s="405"/>
      <c r="D28" s="405"/>
      <c r="E28" s="406"/>
      <c r="F28" s="3"/>
      <c r="G28" s="3"/>
      <c r="H28" s="3"/>
      <c r="I28" s="3" t="s">
        <v>359</v>
      </c>
      <c r="J28" s="3" t="s">
        <v>359</v>
      </c>
      <c r="K28" s="3" t="s">
        <v>359</v>
      </c>
      <c r="L28" s="3" t="s">
        <v>359</v>
      </c>
      <c r="M28" s="3" t="s">
        <v>359</v>
      </c>
      <c r="N28" s="3" t="s">
        <v>359</v>
      </c>
      <c r="O28" s="3" t="s">
        <v>360</v>
      </c>
      <c r="P28" s="3" t="s">
        <v>361</v>
      </c>
      <c r="Q28" s="3" t="s">
        <v>361</v>
      </c>
      <c r="R28" s="3" t="s">
        <v>362</v>
      </c>
      <c r="S28" s="3" t="s">
        <v>366</v>
      </c>
      <c r="T28" s="3" t="s">
        <v>369</v>
      </c>
      <c r="U28" s="3" t="s">
        <v>370</v>
      </c>
      <c r="V28" s="3" t="s">
        <v>370</v>
      </c>
      <c r="W28" s="3" t="s">
        <v>370</v>
      </c>
      <c r="X28" s="3" t="s">
        <v>370</v>
      </c>
      <c r="Y28" s="3" t="s">
        <v>370</v>
      </c>
      <c r="Z28" s="3" t="s">
        <v>370</v>
      </c>
      <c r="AA28" s="3" t="s">
        <v>370</v>
      </c>
      <c r="AB28" s="3" t="s">
        <v>370</v>
      </c>
      <c r="AC28" s="3" t="s">
        <v>370</v>
      </c>
      <c r="AD28" s="3" t="s">
        <v>370</v>
      </c>
      <c r="AE28" s="3" t="s">
        <v>370</v>
      </c>
    </row>
    <row r="29" spans="1:38" s="105" customFormat="1" ht="90.75" thickBot="1" x14ac:dyDescent="0.25">
      <c r="A29" s="19" t="s">
        <v>1</v>
      </c>
      <c r="B29" s="407" t="s">
        <v>512</v>
      </c>
      <c r="C29" s="407" t="s">
        <v>513</v>
      </c>
      <c r="D29" s="407" t="s">
        <v>515</v>
      </c>
      <c r="E29" s="413" t="s">
        <v>520</v>
      </c>
      <c r="F29" s="413" t="s">
        <v>256</v>
      </c>
      <c r="G29" s="413" t="s">
        <v>358</v>
      </c>
      <c r="H29" s="413" t="s">
        <v>372</v>
      </c>
      <c r="I29" s="20" t="s">
        <v>487</v>
      </c>
      <c r="J29" s="20" t="s">
        <v>396</v>
      </c>
      <c r="K29" s="20" t="s">
        <v>397</v>
      </c>
      <c r="L29" s="407" t="s">
        <v>399</v>
      </c>
      <c r="M29" s="20" t="s">
        <v>398</v>
      </c>
      <c r="N29" s="407" t="s">
        <v>478</v>
      </c>
      <c r="O29" s="407" t="s">
        <v>479</v>
      </c>
      <c r="P29" s="20" t="s">
        <v>404</v>
      </c>
      <c r="Q29" s="407" t="s">
        <v>405</v>
      </c>
      <c r="R29" s="407" t="s">
        <v>406</v>
      </c>
      <c r="S29" s="407" t="s">
        <v>429</v>
      </c>
      <c r="T29" s="407" t="s">
        <v>411</v>
      </c>
      <c r="U29" s="407" t="s">
        <v>412</v>
      </c>
      <c r="V29" s="407" t="s">
        <v>413</v>
      </c>
      <c r="W29" s="212" t="s">
        <v>415</v>
      </c>
      <c r="X29" s="212" t="s">
        <v>414</v>
      </c>
      <c r="Y29" s="20" t="s">
        <v>454</v>
      </c>
      <c r="Z29" s="224" t="s">
        <v>453</v>
      </c>
      <c r="AA29" s="409" t="s">
        <v>419</v>
      </c>
      <c r="AB29" s="407" t="s">
        <v>418</v>
      </c>
      <c r="AC29" s="409" t="str">
        <f>'פרמטרים לקריטריונים'!F48</f>
        <v xml:space="preserve">מכפיל סכום הקטנת סך התמיכה שחושב למוסד הציבור בתום שלב החישוב השישי </v>
      </c>
      <c r="AD29" s="409" t="s">
        <v>420</v>
      </c>
      <c r="AE29" s="407" t="s">
        <v>421</v>
      </c>
      <c r="AL29" s="106"/>
    </row>
    <row r="30" spans="1:38" ht="15.75" thickBot="1" x14ac:dyDescent="0.3">
      <c r="A30" s="5"/>
      <c r="B30" s="408"/>
      <c r="C30" s="408"/>
      <c r="D30" s="408"/>
      <c r="E30" s="414"/>
      <c r="F30" s="414"/>
      <c r="G30" s="414"/>
      <c r="H30" s="414"/>
      <c r="I30" s="8" t="s">
        <v>261</v>
      </c>
      <c r="J30" s="8" t="s">
        <v>261</v>
      </c>
      <c r="K30" s="8" t="s">
        <v>261</v>
      </c>
      <c r="L30" s="408"/>
      <c r="M30" s="8" t="s">
        <v>319</v>
      </c>
      <c r="N30" s="408"/>
      <c r="O30" s="408"/>
      <c r="P30" s="8" t="s">
        <v>261</v>
      </c>
      <c r="Q30" s="408"/>
      <c r="R30" s="408"/>
      <c r="S30" s="408"/>
      <c r="T30" s="408"/>
      <c r="U30" s="408"/>
      <c r="V30" s="408"/>
      <c r="W30" s="8" t="s">
        <v>261</v>
      </c>
      <c r="X30" s="8" t="s">
        <v>261</v>
      </c>
      <c r="Y30" s="8" t="s">
        <v>261</v>
      </c>
      <c r="Z30" s="226"/>
      <c r="AA30" s="410"/>
      <c r="AB30" s="408"/>
      <c r="AC30" s="410"/>
      <c r="AD30" s="410"/>
      <c r="AE30" s="408"/>
    </row>
    <row r="31" spans="1:38" ht="15.75" x14ac:dyDescent="0.2">
      <c r="A31" s="206">
        <f>IF(F31="","",ROW()-30)</f>
        <v>1</v>
      </c>
      <c r="B31" s="88">
        <f>IF($F31="","",'הזנה לתנאי סף'!C31)</f>
        <v>1001346678</v>
      </c>
      <c r="C31" s="88">
        <f>IF($F31="","",'הזנה לתנאי סף'!D31)</f>
        <v>1001268955</v>
      </c>
      <c r="D31" s="88">
        <f>IF($F31="","",'הזנה לתנאי סף'!E31)</f>
        <v>40000100</v>
      </c>
      <c r="E31" s="88">
        <f>IF($F31="","",'הזנה לתנאי סף'!F31)</f>
        <v>20000159</v>
      </c>
      <c r="F31" s="88" t="str">
        <f>IF(OR('הזנה לתנאי סף'!G31="",'הזנה לתנאי סף'!BL31&lt;&gt;1),"",'הזנה לתנאי סף'!G31)</f>
        <v>ירושלים</v>
      </c>
      <c r="G31" s="88" t="str">
        <f>IF($F31="","",'הזנה לתנאי סף'!H31)</f>
        <v>בית עגנון בירושלים</v>
      </c>
      <c r="H31" s="88" t="str">
        <f>IF($F31="","",'הזנה לתנאי סף'!I31)</f>
        <v>מרכזי פרינג'</v>
      </c>
      <c r="I31" s="109">
        <v>1107990</v>
      </c>
      <c r="J31" s="213">
        <f>IF($F31="","",'הזנה לתנאי סף'!S31)</f>
        <v>1606271</v>
      </c>
      <c r="K31" s="109">
        <v>0</v>
      </c>
      <c r="L31" s="213">
        <f t="shared" ref="L31:L94" si="0">IF($F31="","",SUM(I31:K31))</f>
        <v>2714261</v>
      </c>
      <c r="M31" s="213">
        <f>IF($F31="","",IF(L31='הזנה לתנאי סף'!R31,1,0))</f>
        <v>1</v>
      </c>
      <c r="N31" s="214">
        <f t="shared" ref="N31:N94" si="1">IF($F31="","",IFERROR(I31/L31,$AG$2))</f>
        <v>0.40821055896982639</v>
      </c>
      <c r="O31" s="214">
        <f t="shared" ref="O31:O32" si="2">IF($F31="","",IFERROR((1-N31),""))</f>
        <v>0.59178944103017361</v>
      </c>
      <c r="P31" s="109">
        <v>2654584</v>
      </c>
      <c r="Q31" s="213">
        <f>IF($F31="","",IFERROR(IF(P31&gt;0,'פרמטרים לקריטריונים'!$C$25*P31*O31,$AG$2),""))</f>
        <v>471286.43445829267</v>
      </c>
      <c r="R31" s="213">
        <f>IF($F31="","",IFERROR('פרמטרים לקריטריונים'!$C$26*Q31,""))</f>
        <v>115890.10683400639</v>
      </c>
      <c r="S31" s="214">
        <f t="shared" ref="S31:S94" si="3">IF($F31="","",IFERROR(R31/$R$501,""))</f>
        <v>1.7175092174154406E-3</v>
      </c>
      <c r="T31" s="213">
        <f t="shared" ref="T31:T94" si="4">IF($F31="","",IFERROR(S31*$C$4,""))</f>
        <v>85875.460870772033</v>
      </c>
      <c r="U31" s="213">
        <f>IF($F31="","",'הזנה לתנאי סף'!N31)</f>
        <v>1</v>
      </c>
      <c r="V31" s="213">
        <f>IF($F31="","",'הזנה לתנאי סף'!O31)</f>
        <v>1</v>
      </c>
      <c r="W31" s="109"/>
      <c r="X31" s="109"/>
      <c r="Y31" s="109"/>
      <c r="Z31" s="214" t="str">
        <f t="shared" ref="Z31:Z94" si="5">IF(OR($F31="",V31&lt;&gt;1),"",IF(COUNTBLANK(W31:Y31)&gt;0,$AG$2,IF(ISBLANK(Y31),$AG$2,W31/Y31)))</f>
        <v>בדוק נתוני הזנה</v>
      </c>
      <c r="AA31" s="213" t="str">
        <f>IF(OR($F31="",V31=0),"",IF(V31=1,IF(COUNTBLANK(W31:X31)&gt;0,$AG$2,IF(OR(Z31&lt;='פרמטרים לקריטריונים'!$C$27,X31&gt;W31),"",X31-W31))))</f>
        <v>בדוק נתוני הזנה</v>
      </c>
      <c r="AB31" s="214" t="str">
        <f>IF(AA31="","",IF(AA31=$AG$2,AG2,-(X31/W31-1)))</f>
        <v>בדוק נתוני הזנה</v>
      </c>
      <c r="AC31" s="225" t="str">
        <f>IF(OR(AB31="",U31=1),"",IF(OR(COUNTBLANK(W31:Y31)&gt;0,AB31&gt;='פרמטרים לקריטריונים'!$E$54),'פרמטרים לקריטריונים'!$F$54,INDEX('פרמטרים לקריטריונים'!$F$49:$F$54,MATCH(AB31,'פרמטרים לקריטריונים'!$E$49:$E$54,1))))</f>
        <v/>
      </c>
      <c r="AD31" s="213" t="str">
        <f t="shared" ref="AD31:AD94" si="6">IF(OR($F31="",AC31=""),"",IF(COUNTBLANK(W31:X31)&gt;0,-T31,IF(-AC31*AA31&gt;T31,-T31,AC31*AA31)))</f>
        <v/>
      </c>
      <c r="AE31" s="213">
        <f t="shared" ref="AE31:AE94" si="7">IF($F31="","",IF(M31=0,$AG$2,IF(AD31&lt;&gt;"",T31+AD31,T31)))</f>
        <v>85875.460870772033</v>
      </c>
      <c r="AG31" s="175">
        <f>IF(U31=1,1,0)</f>
        <v>1</v>
      </c>
    </row>
    <row r="32" spans="1:38" ht="15.75" x14ac:dyDescent="0.2">
      <c r="A32" s="206">
        <f t="shared" ref="A32:A95" si="8">IF(F32="","",ROW()-30)</f>
        <v>2</v>
      </c>
      <c r="B32" s="88">
        <f>IF($F32="","",'הזנה לתנאי סף'!C32)</f>
        <v>1001349309</v>
      </c>
      <c r="C32" s="88">
        <f>IF($F32="","",'הזנה לתנאי סף'!D32)</f>
        <v>1001263928</v>
      </c>
      <c r="D32" s="88">
        <f>IF($F32="","",'הזנה לתנאי סף'!E32)</f>
        <v>40000096</v>
      </c>
      <c r="E32" s="88">
        <f>IF($F32="","",'הזנה לתנאי סף'!F32)</f>
        <v>20000254</v>
      </c>
      <c r="F32" s="88" t="str">
        <f>IF(OR('הזנה לתנאי סף'!G32="",'הזנה לתנאי סף'!BL32&lt;&gt;1),"",'הזנה לתנאי סף'!G32)</f>
        <v>באר שבע</v>
      </c>
      <c r="G32" s="88" t="str">
        <f>IF($F32="","",'הזנה לתנאי סף'!H32)</f>
        <v>עמותת הסינפונייטה הישראלית באר שבע</v>
      </c>
      <c r="H32" s="88" t="str">
        <f>IF($F32="","",'הזנה לתנאי סף'!I32)</f>
        <v>מוסיקה-גופים כליים</v>
      </c>
      <c r="I32" s="109">
        <v>9095979</v>
      </c>
      <c r="J32" s="213">
        <f>IF($F32="","",'הזנה לתנאי סף'!S32)</f>
        <v>3053190</v>
      </c>
      <c r="K32" s="109">
        <v>0</v>
      </c>
      <c r="L32" s="213">
        <f t="shared" si="0"/>
        <v>12149169</v>
      </c>
      <c r="M32" s="213">
        <f>IF($F32="","",IF(L32='הזנה לתנאי סף'!R32,1,0))</f>
        <v>1</v>
      </c>
      <c r="N32" s="214">
        <f t="shared" si="1"/>
        <v>0.74869145371177237</v>
      </c>
      <c r="O32" s="214">
        <f t="shared" si="2"/>
        <v>0.25130854628822763</v>
      </c>
      <c r="P32" s="109">
        <v>11736381</v>
      </c>
      <c r="Q32" s="213">
        <f>IF($F32="","",IFERROR(IF(P32&gt;0,'פרמטרים לקריטריונים'!$C$25*P32*O32,$AG$2),""))</f>
        <v>884835.85433843255</v>
      </c>
      <c r="R32" s="213">
        <f>IF($F32="","",IFERROR('פרמטרים לקריטריונים'!$C$26*Q32,""))</f>
        <v>217582.58713240144</v>
      </c>
      <c r="S32" s="214">
        <f t="shared" si="3"/>
        <v>3.2246074247240272E-3</v>
      </c>
      <c r="T32" s="213">
        <f t="shared" si="4"/>
        <v>161230.37123620135</v>
      </c>
      <c r="U32" s="213">
        <f>IF($F32="","",'הזנה לתנאי סף'!N32)</f>
        <v>1</v>
      </c>
      <c r="V32" s="213">
        <f>IF($F32="","",'הזנה לתנאי סף'!O32)</f>
        <v>1</v>
      </c>
      <c r="W32" s="109"/>
      <c r="X32" s="109"/>
      <c r="Y32" s="109"/>
      <c r="Z32" s="214" t="str">
        <f t="shared" si="5"/>
        <v>בדוק נתוני הזנה</v>
      </c>
      <c r="AA32" s="213" t="str">
        <f>IF(OR($F32="",V32=0),"",IF(V32=1,IF(COUNTBLANK(W32:X32)&gt;0,$AG$2,IF(OR(Z32&lt;='פרמטרים לקריטריונים'!$C$27,X32&gt;W32),"",X32-W32))))</f>
        <v>בדוק נתוני הזנה</v>
      </c>
      <c r="AB32" s="214">
        <f t="shared" ref="AB32:AB95" si="9">IF(AA32="","",IF(AA32=$AG$2,AG3,-(X32/W32-1)))</f>
        <v>0</v>
      </c>
      <c r="AC32" s="225" t="str">
        <f>IF(OR(AB32="",U32=1),"",IF(OR(COUNTBLANK(W32:Y32)&gt;0,AB32&gt;='פרמטרים לקריטריונים'!$E$54),'פרמטרים לקריטריונים'!$F$54,INDEX('פרמטרים לקריטריונים'!$F$49:$F$54,MATCH(AB32,'פרמטרים לקריטריונים'!$E$49:$E$54,1))))</f>
        <v/>
      </c>
      <c r="AD32" s="213" t="str">
        <f t="shared" si="6"/>
        <v/>
      </c>
      <c r="AE32" s="213">
        <f t="shared" si="7"/>
        <v>161230.37123620135</v>
      </c>
      <c r="AG32" s="175">
        <f t="shared" ref="AG32:AG95" si="10">IF(U32=1,1,0)</f>
        <v>1</v>
      </c>
    </row>
    <row r="33" spans="1:33" ht="15.75" x14ac:dyDescent="0.2">
      <c r="A33" s="206">
        <f t="shared" si="8"/>
        <v>3</v>
      </c>
      <c r="B33" s="88">
        <f>IF($F33="","",'הזנה לתנאי סף'!C33)</f>
        <v>1001347990</v>
      </c>
      <c r="C33" s="88">
        <f>IF($F33="","",'הזנה לתנאי סף'!D33)</f>
        <v>1001263876</v>
      </c>
      <c r="D33" s="88">
        <f>IF($F33="","",'הזנה לתנאי סף'!E33)</f>
        <v>40000104</v>
      </c>
      <c r="E33" s="88">
        <f>IF($F33="","",'הזנה לתנאי סף'!F33)</f>
        <v>20000250</v>
      </c>
      <c r="F33" s="88" t="str">
        <f>IF(OR('הזנה לתנאי סף'!G33="",'הזנה לתנאי סף'!BL33&lt;&gt;1),"",'הזנה לתנאי סף'!G33)</f>
        <v>רמת גן</v>
      </c>
      <c r="G33" s="88" t="str">
        <f>IF($F33="","",'הזנה לתנאי סף'!H33)</f>
        <v>בית צבי ביה"ס לאומנויות הבמה</v>
      </c>
      <c r="H33" s="88" t="str">
        <f>IF($F33="","",'הזנה לתנאי סף'!I33)</f>
        <v>בתי ספר למשחק</v>
      </c>
      <c r="I33" s="109">
        <v>4050342</v>
      </c>
      <c r="J33" s="213">
        <f>IF($F33="","",'הזנה לתנאי סף'!S33)</f>
        <v>5548395</v>
      </c>
      <c r="K33" s="109">
        <v>0</v>
      </c>
      <c r="L33" s="213">
        <f t="shared" si="0"/>
        <v>9598737</v>
      </c>
      <c r="M33" s="213">
        <f>IF($F33="","",IF(L33='הזנה לתנאי סף'!R33,1,0))</f>
        <v>1</v>
      </c>
      <c r="N33" s="214">
        <f t="shared" si="1"/>
        <v>0.42196613992028326</v>
      </c>
      <c r="O33" s="214">
        <f>IF($F33="","",IFERROR((1-N33),""))</f>
        <v>0.5780338600797168</v>
      </c>
      <c r="P33" s="109">
        <v>10639200</v>
      </c>
      <c r="Q33" s="213">
        <f>IF($F33="","",IFERROR(IF(P33&gt;0,'פרמטרים לקריטריונים'!$C$25*P33*O33,$AG$2),""))</f>
        <v>1844945.3532480369</v>
      </c>
      <c r="R33" s="213">
        <f>IF($F33="","",IFERROR('פרמטרים לקריטריונים'!$C$26*Q33,""))</f>
        <v>453675.08686427138</v>
      </c>
      <c r="S33" s="214">
        <f t="shared" si="3"/>
        <v>6.7235346026317888E-3</v>
      </c>
      <c r="T33" s="213">
        <f t="shared" si="4"/>
        <v>336176.73013158946</v>
      </c>
      <c r="U33" s="213">
        <f>IF($F33="","",'הזנה לתנאי סף'!N33)</f>
        <v>0</v>
      </c>
      <c r="V33" s="213">
        <f>IF($F33="","",'הזנה לתנאי סף'!O33)</f>
        <v>1</v>
      </c>
      <c r="W33" s="109">
        <v>0</v>
      </c>
      <c r="X33" s="109">
        <v>0</v>
      </c>
      <c r="Y33" s="109">
        <v>1</v>
      </c>
      <c r="Z33" s="214">
        <f t="shared" si="5"/>
        <v>0</v>
      </c>
      <c r="AA33" s="213" t="str">
        <f>IF(OR($F33="",V33=0),"",IF(V33=1,IF(COUNTBLANK(W33:X33)&gt;0,$AG$2,IF(OR(Z33&lt;='פרמטרים לקריטריונים'!$C$27,X33&gt;W33),"",X33-W33))))</f>
        <v/>
      </c>
      <c r="AB33" s="214" t="str">
        <f t="shared" si="9"/>
        <v/>
      </c>
      <c r="AC33" s="225" t="str">
        <f>IF(OR(AB33="",U33=1),"",IF(OR(COUNTBLANK(W33:Y33)&gt;0,AB33&gt;='פרמטרים לקריטריונים'!$E$54),'פרמטרים לקריטריונים'!$F$54,INDEX('פרמטרים לקריטריונים'!$F$49:$F$54,MATCH(AB33,'פרמטרים לקריטריונים'!$E$49:$E$54,1))))</f>
        <v/>
      </c>
      <c r="AD33" s="213" t="str">
        <f t="shared" si="6"/>
        <v/>
      </c>
      <c r="AE33" s="213">
        <f t="shared" si="7"/>
        <v>336176.73013158946</v>
      </c>
      <c r="AG33" s="175">
        <f t="shared" si="10"/>
        <v>0</v>
      </c>
    </row>
    <row r="34" spans="1:33" ht="15.75" x14ac:dyDescent="0.2">
      <c r="A34" s="206">
        <f t="shared" si="8"/>
        <v>4</v>
      </c>
      <c r="B34" s="88">
        <f>IF($F34="","",'הזנה לתנאי סף'!C34)</f>
        <v>1001347193</v>
      </c>
      <c r="C34" s="88">
        <f>IF($F34="","",'הזנה לתנאי סף'!D34)</f>
        <v>1001266975</v>
      </c>
      <c r="D34" s="88">
        <f>IF($F34="","",'הזנה לתנאי סף'!E34)</f>
        <v>40000118</v>
      </c>
      <c r="E34" s="88">
        <f>IF($F34="","",'הזנה לתנאי סף'!F34)</f>
        <v>20000161</v>
      </c>
      <c r="F34" s="88" t="str">
        <f>IF(OR('הזנה לתנאי סף'!G34="",'הזנה לתנאי סף'!BL34&lt;&gt;1),"",'הזנה לתנאי סף'!G34)</f>
        <v>מנשה</v>
      </c>
      <c r="G34" s="88" t="str">
        <f>IF($F34="","",'הזנה לתנאי סף'!H34)</f>
        <v>מוזיאון חצר ראשונים עין שמר</v>
      </c>
      <c r="H34" s="88" t="str">
        <f>IF($F34="","",'הזנה לתנאי סף'!I34)</f>
        <v>מוזיאונים</v>
      </c>
      <c r="I34" s="109">
        <v>405901</v>
      </c>
      <c r="J34" s="213">
        <f>IF($F34="","",'הזנה לתנאי סף'!S34)</f>
        <v>1061155</v>
      </c>
      <c r="K34" s="109">
        <v>0</v>
      </c>
      <c r="L34" s="213">
        <f t="shared" si="0"/>
        <v>1467056</v>
      </c>
      <c r="M34" s="213">
        <f>IF($F34="","",IF(L34='הזנה לתנאי סף'!R34,1,0))</f>
        <v>1</v>
      </c>
      <c r="N34" s="214">
        <f t="shared" si="1"/>
        <v>0.27667723658810572</v>
      </c>
      <c r="O34" s="214">
        <f t="shared" ref="O34:O97" si="11">IF($F34="","",IFERROR((1-N34),""))</f>
        <v>0.72332276341189428</v>
      </c>
      <c r="P34" s="109">
        <v>1334584</v>
      </c>
      <c r="Q34" s="213">
        <f>IF($F34="","",IFERROR(IF(P34&gt;0,'פרמטרים לקריטריונים'!$C$25*P34*O34,$AG$2),""))</f>
        <v>289600.49606558989</v>
      </c>
      <c r="R34" s="213">
        <f>IF($F34="","",IFERROR('פרמטרים לקריטריונים'!$C$26*Q34,""))</f>
        <v>71213.236737440136</v>
      </c>
      <c r="S34" s="214">
        <f t="shared" si="3"/>
        <v>1.0553911273352219E-3</v>
      </c>
      <c r="T34" s="213">
        <f t="shared" si="4"/>
        <v>52769.556366761099</v>
      </c>
      <c r="U34" s="213">
        <f>IF($F34="","",'הזנה לתנאי סף'!N34)</f>
        <v>1</v>
      </c>
      <c r="V34" s="213">
        <f>IF($F34="","",'הזנה לתנאי סף'!O34)</f>
        <v>1</v>
      </c>
      <c r="W34" s="109"/>
      <c r="X34" s="109"/>
      <c r="Y34" s="109"/>
      <c r="Z34" s="214" t="str">
        <f t="shared" si="5"/>
        <v>בדוק נתוני הזנה</v>
      </c>
      <c r="AA34" s="213" t="str">
        <f>IF(OR($F34="",V34=0),"",IF(V34=1,IF(COUNTBLANK(W34:X34)&gt;0,$AG$2,IF(OR(Z34&lt;='פרמטרים לקריטריונים'!$C$27,X34&gt;W34),"",X34-W34))))</f>
        <v>בדוק נתוני הזנה</v>
      </c>
      <c r="AB34" s="214">
        <f t="shared" si="9"/>
        <v>0</v>
      </c>
      <c r="AC34" s="225" t="str">
        <f>IF(OR(AB34="",U34=1),"",IF(OR(COUNTBLANK(W34:Y34)&gt;0,AB34&gt;='פרמטרים לקריטריונים'!$E$54),'פרמטרים לקריטריונים'!$F$54,INDEX('פרמטרים לקריטריונים'!$F$49:$F$54,MATCH(AB34,'פרמטרים לקריטריונים'!$E$49:$E$54,1))))</f>
        <v/>
      </c>
      <c r="AD34" s="213" t="str">
        <f t="shared" si="6"/>
        <v/>
      </c>
      <c r="AE34" s="213">
        <f t="shared" si="7"/>
        <v>52769.556366761099</v>
      </c>
      <c r="AG34" s="175">
        <f t="shared" si="10"/>
        <v>1</v>
      </c>
    </row>
    <row r="35" spans="1:33" ht="15.75" x14ac:dyDescent="0.2">
      <c r="A35" s="206">
        <f t="shared" si="8"/>
        <v>5</v>
      </c>
      <c r="B35" s="88">
        <f>IF($F35="","",'הזנה לתנאי סף'!C35)</f>
        <v>1001349260</v>
      </c>
      <c r="C35" s="88">
        <f>IF($F35="","",'הזנה לתנאי סף'!D35)</f>
        <v>1001276615</v>
      </c>
      <c r="D35" s="88">
        <f>IF($F35="","",'הזנה לתנאי סף'!E35)</f>
        <v>40000478</v>
      </c>
      <c r="E35" s="88">
        <f>IF($F35="","",'הזנה לתנאי סף'!F35)</f>
        <v>20000201</v>
      </c>
      <c r="F35" s="88" t="str">
        <f>IF(OR('הזנה לתנאי סף'!G35="",'הזנה לתנאי סף'!BL35&lt;&gt;1),"",'הזנה לתנאי סף'!G35)</f>
        <v>תל אביב -יפו</v>
      </c>
      <c r="G35" s="88" t="str">
        <f>IF($F35="","",'הזנה לתנאי סף'!H35)</f>
        <v>תיאטרון היידישפיל</v>
      </c>
      <c r="H35" s="88" t="str">
        <f>IF($F35="","",'הזנה לתנאי סף'!I35)</f>
        <v>תיאטרון</v>
      </c>
      <c r="I35" s="109">
        <v>9923256</v>
      </c>
      <c r="J35" s="213">
        <f>IF($F35="","",'הזנה לתנאי סף'!S35)</f>
        <v>6943968</v>
      </c>
      <c r="K35" s="109">
        <v>0</v>
      </c>
      <c r="L35" s="213">
        <f t="shared" si="0"/>
        <v>16867224</v>
      </c>
      <c r="M35" s="213">
        <f>IF($F35="","",IF(L35='הזנה לתנאי סף'!R35,1,0))</f>
        <v>1</v>
      </c>
      <c r="N35" s="214">
        <f t="shared" si="1"/>
        <v>0.58831589596486056</v>
      </c>
      <c r="O35" s="214">
        <f t="shared" si="11"/>
        <v>0.41168410403513944</v>
      </c>
      <c r="P35" s="109">
        <v>16429358</v>
      </c>
      <c r="Q35" s="213">
        <f>IF($F35="","",IFERROR(IF(P35&gt;0,'פרמטרים לקריטריונים'!$C$25*P35*O35,$AG$2),""))</f>
        <v>2029111.6584307649</v>
      </c>
      <c r="R35" s="213">
        <f>IF($F35="","",IFERROR('פרמטרים לקריטריונים'!$C$26*Q35,""))</f>
        <v>498961.88322067988</v>
      </c>
      <c r="S35" s="214">
        <f t="shared" si="3"/>
        <v>7.3946918937434058E-3</v>
      </c>
      <c r="T35" s="213">
        <f t="shared" si="4"/>
        <v>369734.59468717029</v>
      </c>
      <c r="U35" s="213">
        <f>IF($F35="","",'הזנה לתנאי סף'!N35)</f>
        <v>1</v>
      </c>
      <c r="V35" s="213">
        <f>IF($F35="","",'הזנה לתנאי סף'!O35)</f>
        <v>1</v>
      </c>
      <c r="W35" s="109"/>
      <c r="X35" s="109"/>
      <c r="Y35" s="109"/>
      <c r="Z35" s="214" t="str">
        <f t="shared" si="5"/>
        <v>בדוק נתוני הזנה</v>
      </c>
      <c r="AA35" s="213" t="str">
        <f>IF(OR($F35="",V35=0),"",IF(V35=1,IF(COUNTBLANK(W35:X35)&gt;0,$AG$2,IF(OR(Z35&lt;='פרמטרים לקריטריונים'!$C$27,X35&gt;W35),"",X35-W35))))</f>
        <v>בדוק נתוני הזנה</v>
      </c>
      <c r="AB35" s="214">
        <f t="shared" si="9"/>
        <v>0</v>
      </c>
      <c r="AC35" s="225" t="str">
        <f>IF(OR(AB35="",U35=1),"",IF(OR(COUNTBLANK(W35:Y35)&gt;0,AB35&gt;='פרמטרים לקריטריונים'!$E$54),'פרמטרים לקריטריונים'!$F$54,INDEX('פרמטרים לקריטריונים'!$F$49:$F$54,MATCH(AB35,'פרמטרים לקריטריונים'!$E$49:$E$54,1))))</f>
        <v/>
      </c>
      <c r="AD35" s="213" t="str">
        <f t="shared" si="6"/>
        <v/>
      </c>
      <c r="AE35" s="213">
        <f t="shared" si="7"/>
        <v>369734.59468717029</v>
      </c>
      <c r="AG35" s="175">
        <f t="shared" si="10"/>
        <v>1</v>
      </c>
    </row>
    <row r="36" spans="1:33" ht="15.75" x14ac:dyDescent="0.2">
      <c r="A36" s="206">
        <f t="shared" si="8"/>
        <v>6</v>
      </c>
      <c r="B36" s="88">
        <f>IF($F36="","",'הזנה לתנאי סף'!C36)</f>
        <v>1001350859</v>
      </c>
      <c r="C36" s="88">
        <f>IF($F36="","",'הזנה לתנאי סף'!D36)</f>
        <v>1001263559</v>
      </c>
      <c r="D36" s="88">
        <f>IF($F36="","",'הזנה לתנאי סף'!E36)</f>
        <v>40000062</v>
      </c>
      <c r="E36" s="88">
        <f>IF($F36="","",'הזנה לתנאי סף'!F36)</f>
        <v>20000201</v>
      </c>
      <c r="F36" s="88" t="str">
        <f>IF(OR('הזנה לתנאי סף'!G36="",'הזנה לתנאי סף'!BL36&lt;&gt;1),"",'הזנה לתנאי סף'!G36)</f>
        <v>תל אביב -יפו</v>
      </c>
      <c r="G36" s="88" t="str">
        <f>IF($F36="","",'הזנה לתנאי סף'!H36)</f>
        <v>תיאטרון אורנה פורת לילדים</v>
      </c>
      <c r="H36" s="88" t="str">
        <f>IF($F36="","",'הזנה לתנאי סף'!I36)</f>
        <v>מחול</v>
      </c>
      <c r="I36" s="109">
        <v>6466532</v>
      </c>
      <c r="J36" s="213">
        <f>IF($F36="","",'הזנה לתנאי סף'!S36)</f>
        <v>20933344</v>
      </c>
      <c r="K36" s="109">
        <v>0</v>
      </c>
      <c r="L36" s="213">
        <f t="shared" si="0"/>
        <v>27399876</v>
      </c>
      <c r="M36" s="213">
        <f>IF($F36="","",IF(L36='הזנה לתנאי סף'!R36,1,0))</f>
        <v>1</v>
      </c>
      <c r="N36" s="214">
        <f t="shared" si="1"/>
        <v>0.2360058855740807</v>
      </c>
      <c r="O36" s="214">
        <f t="shared" si="11"/>
        <v>0.76399411442591925</v>
      </c>
      <c r="P36" s="109">
        <v>26296911</v>
      </c>
      <c r="Q36" s="213">
        <f>IF($F36="","",IFERROR(IF(P36&gt;0,'פרמטרים לקריטריונים'!$C$25*P36*O36,$AG$2),""))</f>
        <v>6027205.5694746645</v>
      </c>
      <c r="R36" s="213">
        <f>IF($F36="","",IFERROR('פרמטרים לקריטריונים'!$C$26*Q36,""))</f>
        <v>1482099.7301986879</v>
      </c>
      <c r="S36" s="214">
        <f t="shared" si="3"/>
        <v>2.1964946079402831E-2</v>
      </c>
      <c r="T36" s="213">
        <f t="shared" si="4"/>
        <v>1098247.3039701416</v>
      </c>
      <c r="U36" s="213">
        <f>IF($F36="","",'הזנה לתנאי סף'!N36)</f>
        <v>1</v>
      </c>
      <c r="V36" s="213">
        <f>IF($F36="","",'הזנה לתנאי סף'!O36)</f>
        <v>1</v>
      </c>
      <c r="W36" s="109"/>
      <c r="X36" s="109"/>
      <c r="Y36" s="109"/>
      <c r="Z36" s="214" t="str">
        <f t="shared" si="5"/>
        <v>בדוק נתוני הזנה</v>
      </c>
      <c r="AA36" s="213" t="str">
        <f>IF(OR($F36="",V36=0),"",IF(V36=1,IF(COUNTBLANK(W36:X36)&gt;0,$AG$2,IF(OR(Z36&lt;='פרמטרים לקריטריונים'!$C$27,X36&gt;W36),"",X36-W36))))</f>
        <v>בדוק נתוני הזנה</v>
      </c>
      <c r="AB36" s="214">
        <f t="shared" si="9"/>
        <v>0</v>
      </c>
      <c r="AC36" s="225" t="str">
        <f>IF(OR(AB36="",U36=1),"",IF(OR(COUNTBLANK(W36:Y36)&gt;0,AB36&gt;='פרמטרים לקריטריונים'!$E$54),'פרמטרים לקריטריונים'!$F$54,INDEX('פרמטרים לקריטריונים'!$F$49:$F$54,MATCH(AB36,'פרמטרים לקריטריונים'!$E$49:$E$54,1))))</f>
        <v/>
      </c>
      <c r="AD36" s="213" t="str">
        <f t="shared" si="6"/>
        <v/>
      </c>
      <c r="AE36" s="213">
        <f t="shared" si="7"/>
        <v>1098247.3039701416</v>
      </c>
      <c r="AG36" s="175">
        <f t="shared" si="10"/>
        <v>1</v>
      </c>
    </row>
    <row r="37" spans="1:33" ht="15.75" x14ac:dyDescent="0.2">
      <c r="A37" s="206">
        <f t="shared" si="8"/>
        <v>7</v>
      </c>
      <c r="B37" s="88">
        <f>IF($F37="","",'הזנה לתנאי סף'!C37)</f>
        <v>1001347316</v>
      </c>
      <c r="C37" s="88">
        <f>IF($F37="","",'הזנה לתנאי סף'!D37)</f>
        <v>1001278100</v>
      </c>
      <c r="D37" s="88">
        <f>IF($F37="","",'הזנה לתנאי סף'!E37)</f>
        <v>40000007</v>
      </c>
      <c r="E37" s="88">
        <f>IF($F37="","",'הזנה לתנאי סף'!F37)</f>
        <v>20000135</v>
      </c>
      <c r="F37" s="88" t="str">
        <f>IF(OR('הזנה לתנאי סף'!G37="",'הזנה לתנאי סף'!BL37&lt;&gt;1),"",'הזנה לתנאי סף'!G37)</f>
        <v>הגלבוע</v>
      </c>
      <c r="G37" s="88" t="str">
        <f>IF($F37="","",'הזנה לתנאי סף'!H37)</f>
        <v>משכן לאמנות עין חרוד ע"ש חיים אתר בע"מ</v>
      </c>
      <c r="H37" s="88" t="str">
        <f>IF($F37="","",'הזנה לתנאי סף'!I37)</f>
        <v>מוזיאונים</v>
      </c>
      <c r="I37" s="109">
        <v>540000</v>
      </c>
      <c r="J37" s="213">
        <f>IF($F37="","",'הזנה לתנאי סף'!S37)</f>
        <v>1765000</v>
      </c>
      <c r="K37" s="109">
        <v>175000</v>
      </c>
      <c r="L37" s="213">
        <f t="shared" si="0"/>
        <v>2480000</v>
      </c>
      <c r="M37" s="213">
        <f>IF($F37="","",IF(L37='הזנה לתנאי סף'!R37,1,0))</f>
        <v>1</v>
      </c>
      <c r="N37" s="214">
        <f t="shared" si="1"/>
        <v>0.21774193548387097</v>
      </c>
      <c r="O37" s="214">
        <f t="shared" si="11"/>
        <v>0.782258064516129</v>
      </c>
      <c r="P37" s="109">
        <v>1042000</v>
      </c>
      <c r="Q37" s="213">
        <f>IF($F37="","",IFERROR(IF(P37&gt;0,'פרמטרים לקריטריונים'!$C$25*P37*O37,$AG$2),""))</f>
        <v>244533.87096774194</v>
      </c>
      <c r="R37" s="213">
        <f>IF($F37="","",IFERROR('פרמטרים לקריטריונים'!$C$26*Q37,""))</f>
        <v>60131.279746166052</v>
      </c>
      <c r="S37" s="214">
        <f t="shared" si="3"/>
        <v>8.9115481934064135E-4</v>
      </c>
      <c r="T37" s="213">
        <f t="shared" si="4"/>
        <v>44557.74096703207</v>
      </c>
      <c r="U37" s="213">
        <f>IF($F37="","",'הזנה לתנאי סף'!N37)</f>
        <v>0</v>
      </c>
      <c r="V37" s="213">
        <f>IF($F37="","",'הזנה לתנאי סף'!O37)</f>
        <v>1</v>
      </c>
      <c r="W37" s="109">
        <v>0</v>
      </c>
      <c r="X37" s="109">
        <v>0</v>
      </c>
      <c r="Y37" s="109">
        <v>1</v>
      </c>
      <c r="Z37" s="214">
        <f t="shared" si="5"/>
        <v>0</v>
      </c>
      <c r="AA37" s="213" t="str">
        <f>IF(OR($F37="",V37=0),"",IF(V37=1,IF(COUNTBLANK(W37:X37)&gt;0,$AG$2,IF(OR(Z37&lt;='פרמטרים לקריטריונים'!$C$27,X37&gt;W37),"",X37-W37))))</f>
        <v/>
      </c>
      <c r="AB37" s="214" t="str">
        <f t="shared" si="9"/>
        <v/>
      </c>
      <c r="AC37" s="225" t="str">
        <f>IF(OR(AB37="",U37=1),"",IF(OR(COUNTBLANK(W37:Y37)&gt;0,AB37&gt;='פרמטרים לקריטריונים'!$E$54),'פרמטרים לקריטריונים'!$F$54,INDEX('פרמטרים לקריטריונים'!$F$49:$F$54,MATCH(AB37,'פרמטרים לקריטריונים'!$E$49:$E$54,1))))</f>
        <v/>
      </c>
      <c r="AD37" s="213" t="str">
        <f t="shared" si="6"/>
        <v/>
      </c>
      <c r="AE37" s="213">
        <f t="shared" si="7"/>
        <v>44557.74096703207</v>
      </c>
      <c r="AG37" s="175">
        <f t="shared" si="10"/>
        <v>0</v>
      </c>
    </row>
    <row r="38" spans="1:33" ht="15.75" x14ac:dyDescent="0.2">
      <c r="A38" s="206">
        <f t="shared" si="8"/>
        <v>8</v>
      </c>
      <c r="B38" s="88">
        <f>IF($F38="","",'הזנה לתנאי סף'!C38)</f>
        <v>1001349107</v>
      </c>
      <c r="C38" s="88">
        <f>IF($F38="","",'הזנה לתנאי סף'!D38)</f>
        <v>1001277535</v>
      </c>
      <c r="D38" s="88">
        <f>IF($F38="","",'הזנה לתנאי סף'!E38)</f>
        <v>40000019</v>
      </c>
      <c r="E38" s="88">
        <f>IF($F38="","",'הזנה לתנאי סף'!F38)</f>
        <v>20000159</v>
      </c>
      <c r="F38" s="88" t="str">
        <f>IF(OR('הזנה לתנאי סף'!G38="",'הזנה לתנאי סף'!BL38&lt;&gt;1),"",'הזנה לתנאי סף'!G38)</f>
        <v>ירושלים</v>
      </c>
      <c r="G38" s="88" t="str">
        <f>IF($F38="","",'הזנה לתנאי סף'!H38)</f>
        <v>תיאטרון ירושלים לאומנויות הבמה</v>
      </c>
      <c r="H38" s="88" t="str">
        <f>IF($F38="","",'הזנה לתנאי סף'!I38)</f>
        <v>סינמטקים ופסטיבלים</v>
      </c>
      <c r="I38" s="109">
        <v>286885</v>
      </c>
      <c r="J38" s="213">
        <f>IF($F38="","",'הזנה לתנאי סף'!S38)</f>
        <v>337841</v>
      </c>
      <c r="K38" s="109">
        <v>0</v>
      </c>
      <c r="L38" s="213">
        <f t="shared" si="0"/>
        <v>624726</v>
      </c>
      <c r="M38" s="213">
        <f>IF($F38="","",IF(L38='הזנה לתנאי סף'!R38,1,0))</f>
        <v>1</v>
      </c>
      <c r="N38" s="214">
        <f t="shared" si="1"/>
        <v>0.45921732087347095</v>
      </c>
      <c r="O38" s="214">
        <f t="shared" si="11"/>
        <v>0.54078267912652911</v>
      </c>
      <c r="P38" s="109">
        <v>624726</v>
      </c>
      <c r="Q38" s="213">
        <f>IF($F38="","",IFERROR(IF(P38&gt;0,'פרמטרים לקריטריונים'!$C$25*P38*O38,$AG$2),""))</f>
        <v>101352.3</v>
      </c>
      <c r="R38" s="213">
        <f>IF($F38="","",IFERROR('פרמטרים לקריטריונים'!$C$26*Q38,""))</f>
        <v>24922.696721311477</v>
      </c>
      <c r="S38" s="214">
        <f t="shared" si="3"/>
        <v>3.6935820072211289E-4</v>
      </c>
      <c r="T38" s="213">
        <f t="shared" si="4"/>
        <v>18467.910036105644</v>
      </c>
      <c r="U38" s="213">
        <f>IF($F38="","",'הזנה לתנאי סף'!N38)</f>
        <v>1</v>
      </c>
      <c r="V38" s="213">
        <f>IF($F38="","",'הזנה לתנאי סף'!O38)</f>
        <v>1</v>
      </c>
      <c r="W38" s="109"/>
      <c r="X38" s="109"/>
      <c r="Y38" s="109"/>
      <c r="Z38" s="214" t="str">
        <f t="shared" si="5"/>
        <v>בדוק נתוני הזנה</v>
      </c>
      <c r="AA38" s="213" t="str">
        <f>IF(OR($F38="",V38=0),"",IF(V38=1,IF(COUNTBLANK(W38:X38)&gt;0,$AG$2,IF(OR(Z38&lt;='פרמטרים לקריטריונים'!$C$27,X38&gt;W38),"",X38-W38))))</f>
        <v>בדוק נתוני הזנה</v>
      </c>
      <c r="AB38" s="214">
        <f t="shared" si="9"/>
        <v>0</v>
      </c>
      <c r="AC38" s="225" t="str">
        <f>IF(OR(AB38="",U38=1),"",IF(OR(COUNTBLANK(W38:Y38)&gt;0,AB38&gt;='פרמטרים לקריטריונים'!$E$54),'פרמטרים לקריטריונים'!$F$54,INDEX('פרמטרים לקריטריונים'!$F$49:$F$54,MATCH(AB38,'פרמטרים לקריטריונים'!$E$49:$E$54,1))))</f>
        <v/>
      </c>
      <c r="AD38" s="213" t="str">
        <f t="shared" si="6"/>
        <v/>
      </c>
      <c r="AE38" s="213">
        <f t="shared" si="7"/>
        <v>18467.910036105644</v>
      </c>
      <c r="AG38" s="175">
        <f t="shared" si="10"/>
        <v>1</v>
      </c>
    </row>
    <row r="39" spans="1:33" ht="15.75" x14ac:dyDescent="0.2">
      <c r="A39" s="206">
        <f t="shared" si="8"/>
        <v>9</v>
      </c>
      <c r="B39" s="88">
        <f>IF($F39="","",'הזנה לתנאי סף'!C39)</f>
        <v>1001349111</v>
      </c>
      <c r="C39" s="88">
        <f>IF($F39="","",'הזנה לתנאי סף'!D39)</f>
        <v>1001277536</v>
      </c>
      <c r="D39" s="88">
        <f>IF($F39="","",'הזנה לתנאי סף'!E39)</f>
        <v>40000019</v>
      </c>
      <c r="E39" s="88">
        <f>IF($F39="","",'הזנה לתנאי סף'!F39)</f>
        <v>20000159</v>
      </c>
      <c r="F39" s="88" t="str">
        <f>IF(OR('הזנה לתנאי סף'!G39="",'הזנה לתנאי סף'!BL39&lt;&gt;1),"",'הזנה לתנאי סף'!G39)</f>
        <v>ירושלים</v>
      </c>
      <c r="G39" s="88" t="str">
        <f>IF($F39="","",'הזנה לתנאי סף'!H39)</f>
        <v>תיאטרון ירושלים לאומנויות הבמה</v>
      </c>
      <c r="H39" s="88" t="str">
        <f>IF($F39="","",'הזנה לתנאי סף'!I39)</f>
        <v>סינמטקים ופסטיבלים</v>
      </c>
      <c r="I39" s="109">
        <v>441514</v>
      </c>
      <c r="J39" s="213">
        <f>IF($F39="","",'הזנה לתנאי סף'!S39)</f>
        <v>312732</v>
      </c>
      <c r="K39" s="109">
        <v>0</v>
      </c>
      <c r="L39" s="213">
        <f t="shared" si="0"/>
        <v>754246</v>
      </c>
      <c r="M39" s="213">
        <f>IF($F39="","",IF(L39='הזנה לתנאי סף'!R39,1,0))</f>
        <v>1</v>
      </c>
      <c r="N39" s="214">
        <f t="shared" si="1"/>
        <v>0.58537135099158633</v>
      </c>
      <c r="O39" s="214">
        <f t="shared" si="11"/>
        <v>0.41462864900841367</v>
      </c>
      <c r="P39" s="109">
        <v>754246</v>
      </c>
      <c r="Q39" s="213">
        <f>IF($F39="","",IFERROR(IF(P39&gt;0,'פרמטרים לקריטריונים'!$C$25*P39*O39,$AG$2),""))</f>
        <v>93819.599999999991</v>
      </c>
      <c r="R39" s="213">
        <f>IF($F39="","",IFERROR('פרמטרים לקריטריונים'!$C$26*Q39,""))</f>
        <v>23070.39344262295</v>
      </c>
      <c r="S39" s="214">
        <f t="shared" si="3"/>
        <v>3.4190678108408332E-4</v>
      </c>
      <c r="T39" s="213">
        <f t="shared" si="4"/>
        <v>17095.339054204167</v>
      </c>
      <c r="U39" s="213">
        <f>IF($F39="","",'הזנה לתנאי סף'!N39)</f>
        <v>1</v>
      </c>
      <c r="V39" s="213">
        <f>IF($F39="","",'הזנה לתנאי סף'!O39)</f>
        <v>1</v>
      </c>
      <c r="W39" s="109"/>
      <c r="X39" s="109"/>
      <c r="Y39" s="109"/>
      <c r="Z39" s="214" t="str">
        <f t="shared" si="5"/>
        <v>בדוק נתוני הזנה</v>
      </c>
      <c r="AA39" s="213" t="str">
        <f>IF(OR($F39="",V39=0),"",IF(V39=1,IF(COUNTBLANK(W39:X39)&gt;0,$AG$2,IF(OR(Z39&lt;='פרמטרים לקריטריונים'!$C$27,X39&gt;W39),"",X39-W39))))</f>
        <v>בדוק נתוני הזנה</v>
      </c>
      <c r="AB39" s="214">
        <f t="shared" si="9"/>
        <v>0</v>
      </c>
      <c r="AC39" s="225" t="str">
        <f>IF(OR(AB39="",U39=1),"",IF(OR(COUNTBLANK(W39:Y39)&gt;0,AB39&gt;='פרמטרים לקריטריונים'!$E$54),'פרמטרים לקריטריונים'!$F$54,INDEX('פרמטרים לקריטריונים'!$F$49:$F$54,MATCH(AB39,'פרמטרים לקריטריונים'!$E$49:$E$54,1))))</f>
        <v/>
      </c>
      <c r="AD39" s="213" t="str">
        <f t="shared" si="6"/>
        <v/>
      </c>
      <c r="AE39" s="213">
        <f t="shared" si="7"/>
        <v>17095.339054204167</v>
      </c>
      <c r="AG39" s="175">
        <f t="shared" si="10"/>
        <v>1</v>
      </c>
    </row>
    <row r="40" spans="1:33" ht="15.75" x14ac:dyDescent="0.2">
      <c r="A40" s="206">
        <f t="shared" si="8"/>
        <v>10</v>
      </c>
      <c r="B40" s="88">
        <f>IF($F40="","",'הזנה לתנאי סף'!C40)</f>
        <v>1001346994</v>
      </c>
      <c r="C40" s="88">
        <f>IF($F40="","",'הזנה לתנאי סף'!D40)</f>
        <v>1001267387</v>
      </c>
      <c r="D40" s="88">
        <f>IF($F40="","",'הזנה לתנאי סף'!E40)</f>
        <v>40000039</v>
      </c>
      <c r="E40" s="88">
        <f>IF($F40="","",'הזנה לתנאי סף'!F40)</f>
        <v>20000201</v>
      </c>
      <c r="F40" s="88" t="str">
        <f>IF(OR('הזנה לתנאי סף'!G40="",'הזנה לתנאי סף'!BL40&lt;&gt;1),"",'הזנה לתנאי סף'!G40)</f>
        <v>תל אביב -יפו</v>
      </c>
      <c r="G40" s="88" t="str">
        <f>IF($F40="","",'הזנה לתנאי סף'!H40)</f>
        <v>מוזיאון ת"א לאומנות</v>
      </c>
      <c r="H40" s="88" t="str">
        <f>IF($F40="","",'הזנה לתנאי סף'!I40)</f>
        <v>מוזיאונים</v>
      </c>
      <c r="I40" s="109">
        <v>48297000</v>
      </c>
      <c r="J40" s="213">
        <f>IF($F40="","",'הזנה לתנאי סף'!S40)</f>
        <v>41981000</v>
      </c>
      <c r="K40" s="109">
        <v>0</v>
      </c>
      <c r="L40" s="213">
        <f t="shared" si="0"/>
        <v>90278000</v>
      </c>
      <c r="M40" s="213">
        <f>IF($F40="","",IF(L40='הזנה לתנאי סף'!R40,1,0))</f>
        <v>1</v>
      </c>
      <c r="N40" s="214">
        <f t="shared" si="1"/>
        <v>0.53498083697024745</v>
      </c>
      <c r="O40" s="214">
        <f t="shared" si="11"/>
        <v>0.46501916302975255</v>
      </c>
      <c r="P40" s="109">
        <v>95433000</v>
      </c>
      <c r="Q40" s="213">
        <f>IF($F40="","",IFERROR(IF(P40&gt;0,'פרמטרים לקריטריונים'!$C$25*P40*O40,$AG$2),""))</f>
        <v>13313452.135625513</v>
      </c>
      <c r="R40" s="213">
        <f>IF($F40="","",IFERROR('פרמטרים לקריטריונים'!$C$26*Q40,""))</f>
        <v>3273799.7054816834</v>
      </c>
      <c r="S40" s="214">
        <f t="shared" si="3"/>
        <v>4.8518215434821023E-2</v>
      </c>
      <c r="T40" s="213">
        <f t="shared" si="4"/>
        <v>2425910.7717410512</v>
      </c>
      <c r="U40" s="213">
        <f>IF($F40="","",'הזנה לתנאי סף'!N40)</f>
        <v>1</v>
      </c>
      <c r="V40" s="213">
        <f>IF($F40="","",'הזנה לתנאי סף'!O40)</f>
        <v>1</v>
      </c>
      <c r="W40" s="109"/>
      <c r="X40" s="109"/>
      <c r="Y40" s="109"/>
      <c r="Z40" s="214" t="str">
        <f t="shared" si="5"/>
        <v>בדוק נתוני הזנה</v>
      </c>
      <c r="AA40" s="213" t="str">
        <f>IF(OR($F40="",V40=0),"",IF(V40=1,IF(COUNTBLANK(W40:X40)&gt;0,$AG$2,IF(OR(Z40&lt;='פרמטרים לקריטריונים'!$C$27,X40&gt;W40),"",X40-W40))))</f>
        <v>בדוק נתוני הזנה</v>
      </c>
      <c r="AB40" s="214">
        <f t="shared" si="9"/>
        <v>0</v>
      </c>
      <c r="AC40" s="225" t="str">
        <f>IF(OR(AB40="",U40=1),"",IF(OR(COUNTBLANK(W40:Y40)&gt;0,AB40&gt;='פרמטרים לקריטריונים'!$E$54),'פרמטרים לקריטריונים'!$F$54,INDEX('פרמטרים לקריטריונים'!$F$49:$F$54,MATCH(AB40,'פרמטרים לקריטריונים'!$E$49:$E$54,1))))</f>
        <v/>
      </c>
      <c r="AD40" s="213" t="str">
        <f t="shared" si="6"/>
        <v/>
      </c>
      <c r="AE40" s="213">
        <f t="shared" si="7"/>
        <v>2425910.7717410512</v>
      </c>
      <c r="AG40" s="175">
        <f t="shared" si="10"/>
        <v>1</v>
      </c>
    </row>
    <row r="41" spans="1:33" ht="15.75" x14ac:dyDescent="0.2">
      <c r="A41" s="206">
        <f t="shared" si="8"/>
        <v>11</v>
      </c>
      <c r="B41" s="88">
        <f>IF($F41="","",'הזנה לתנאי סף'!C41)</f>
        <v>1001350182</v>
      </c>
      <c r="C41" s="88">
        <f>IF($F41="","",'הזנה לתנאי סף'!D41)</f>
        <v>1001344519</v>
      </c>
      <c r="D41" s="88">
        <f>IF($F41="","",'הזנה לתנאי סף'!E41)</f>
        <v>40000070</v>
      </c>
      <c r="E41" s="88">
        <f>IF($F41="","",'הזנה לתנאי סף'!F41)</f>
        <v>20000159</v>
      </c>
      <c r="F41" s="88" t="str">
        <f>IF(OR('הזנה לתנאי סף'!G41="",'הזנה לתנאי סף'!BL41&lt;&gt;1),"",'הזנה לתנאי סף'!G41)</f>
        <v>ירושלים</v>
      </c>
      <c r="G41" s="88" t="str">
        <f>IF($F41="","",'הזנה לתנאי סף'!H41)</f>
        <v>הורה ירושלים</v>
      </c>
      <c r="H41" s="88" t="str">
        <f>IF($F41="","",'הזנה לתנאי סף'!I41)</f>
        <v>מחול</v>
      </c>
      <c r="I41" s="109">
        <v>165664</v>
      </c>
      <c r="J41" s="213">
        <f>IF($F41="","",'הזנה לתנאי סף'!S41)</f>
        <v>1045610</v>
      </c>
      <c r="K41" s="109">
        <v>0</v>
      </c>
      <c r="L41" s="213">
        <f t="shared" si="0"/>
        <v>1211274</v>
      </c>
      <c r="M41" s="213">
        <f>IF($F41="","",IF(L41='הזנה לתנאי סף'!R41,1,0))</f>
        <v>1</v>
      </c>
      <c r="N41" s="214">
        <f t="shared" si="1"/>
        <v>0.13676839426917445</v>
      </c>
      <c r="O41" s="214">
        <f t="shared" si="11"/>
        <v>0.86323160573082558</v>
      </c>
      <c r="P41" s="109">
        <v>1162035</v>
      </c>
      <c r="Q41" s="213">
        <f>IF($F41="","",IFERROR(IF(P41&gt;0,'פרמטרים לקריטריונים'!$C$25*P41*O41,$AG$2),""))</f>
        <v>300931.601689626</v>
      </c>
      <c r="R41" s="213">
        <f>IF($F41="","",IFERROR('פרמטרים לקריטריונים'!$C$26*Q41,""))</f>
        <v>73999.574185973601</v>
      </c>
      <c r="S41" s="214">
        <f t="shared" si="3"/>
        <v>1.0966850771073158E-3</v>
      </c>
      <c r="T41" s="213">
        <f t="shared" si="4"/>
        <v>54834.253855365787</v>
      </c>
      <c r="U41" s="213">
        <f>IF($F41="","",'הזנה לתנאי סף'!N41)</f>
        <v>0</v>
      </c>
      <c r="V41" s="213">
        <f>IF($F41="","",'הזנה לתנאי סף'!O41)</f>
        <v>1</v>
      </c>
      <c r="W41" s="109">
        <v>0</v>
      </c>
      <c r="X41" s="109">
        <v>0</v>
      </c>
      <c r="Y41" s="109">
        <v>1</v>
      </c>
      <c r="Z41" s="214">
        <f t="shared" si="5"/>
        <v>0</v>
      </c>
      <c r="AA41" s="213" t="str">
        <f>IF(OR($F41="",V41=0),"",IF(V41=1,IF(COUNTBLANK(W41:X41)&gt;0,$AG$2,IF(OR(Z41&lt;='פרמטרים לקריטריונים'!$C$27,X41&gt;W41),"",X41-W41))))</f>
        <v/>
      </c>
      <c r="AB41" s="214" t="str">
        <f t="shared" si="9"/>
        <v/>
      </c>
      <c r="AC41" s="225" t="str">
        <f>IF(OR(AB41="",U41=1),"",IF(OR(COUNTBLANK(W41:Y41)&gt;0,AB41&gt;='פרמטרים לקריטריונים'!$E$54),'פרמטרים לקריטריונים'!$F$54,INDEX('פרמטרים לקריטריונים'!$F$49:$F$54,MATCH(AB41,'פרמטרים לקריטריונים'!$E$49:$E$54,1))))</f>
        <v/>
      </c>
      <c r="AD41" s="213" t="str">
        <f t="shared" si="6"/>
        <v/>
      </c>
      <c r="AE41" s="213">
        <f t="shared" si="7"/>
        <v>54834.253855365787</v>
      </c>
      <c r="AG41" s="175">
        <f t="shared" si="10"/>
        <v>0</v>
      </c>
    </row>
    <row r="42" spans="1:33" ht="15.75" x14ac:dyDescent="0.2">
      <c r="A42" s="206">
        <f t="shared" si="8"/>
        <v>12</v>
      </c>
      <c r="B42" s="88">
        <f>IF($F42="","",'הזנה לתנאי סף'!C42)</f>
        <v>1001349551</v>
      </c>
      <c r="C42" s="88">
        <f>IF($F42="","",'הזנה לתנאי סף'!D42)</f>
        <v>1001271250</v>
      </c>
      <c r="D42" s="88">
        <f>IF($F42="","",'הזנה לתנאי סף'!E42)</f>
        <v>40000101</v>
      </c>
      <c r="E42" s="88">
        <f>IF($F42="","",'הזנה לתנאי סף'!F42)</f>
        <v>20000208</v>
      </c>
      <c r="F42" s="88" t="str">
        <f>IF(OR('הזנה לתנאי סף'!G42="",'הזנה לתנאי סף'!BL42&lt;&gt;1),"",'הזנה לתנאי סף'!G42)</f>
        <v>חוף אשקלון</v>
      </c>
      <c r="G42" s="88" t="str">
        <f>IF($F42="","",'הזנה לתנאי סף'!H42)</f>
        <v>מוזיאון יד מרדכי</v>
      </c>
      <c r="H42" s="88" t="str">
        <f>IF($F42="","",'הזנה לתנאי סף'!I42)</f>
        <v>מוזיאונים</v>
      </c>
      <c r="I42" s="109">
        <v>549000</v>
      </c>
      <c r="J42" s="213">
        <f>IF($F42="","",'הזנה לתנאי סף'!S42)</f>
        <v>1006664</v>
      </c>
      <c r="K42" s="109">
        <v>282665</v>
      </c>
      <c r="L42" s="213">
        <f t="shared" si="0"/>
        <v>1838329</v>
      </c>
      <c r="M42" s="213">
        <f>IF($F42="","",IF(L42='הזנה לתנאי סף'!R42,1,0))</f>
        <v>1</v>
      </c>
      <c r="N42" s="214">
        <f t="shared" si="1"/>
        <v>0.29864077648777776</v>
      </c>
      <c r="O42" s="214">
        <f t="shared" si="11"/>
        <v>0.70135922351222224</v>
      </c>
      <c r="P42" s="109">
        <v>1616144</v>
      </c>
      <c r="Q42" s="213">
        <f>IF($F42="","",IFERROR(IF(P42&gt;0,'פרמטרים לקריטריונים'!$C$25*P42*O42,$AG$2),""))</f>
        <v>340049.25027718104</v>
      </c>
      <c r="R42" s="213">
        <f>IF($F42="","",IFERROR('פרמטרים לקריטריונים'!$C$26*Q42,""))</f>
        <v>83618.668100946161</v>
      </c>
      <c r="S42" s="214">
        <f t="shared" si="3"/>
        <v>1.2392415291935461E-3</v>
      </c>
      <c r="T42" s="213">
        <f t="shared" si="4"/>
        <v>61962.076459677301</v>
      </c>
      <c r="U42" s="213">
        <f>IF($F42="","",'הזנה לתנאי סף'!N42)</f>
        <v>1</v>
      </c>
      <c r="V42" s="213">
        <f>IF($F42="","",'הזנה לתנאי סף'!O42)</f>
        <v>1</v>
      </c>
      <c r="W42" s="109"/>
      <c r="X42" s="109"/>
      <c r="Y42" s="109"/>
      <c r="Z42" s="214" t="str">
        <f t="shared" si="5"/>
        <v>בדוק נתוני הזנה</v>
      </c>
      <c r="AA42" s="213" t="str">
        <f>IF(OR($F42="",V42=0),"",IF(V42=1,IF(COUNTBLANK(W42:X42)&gt;0,$AG$2,IF(OR(Z42&lt;='פרמטרים לקריטריונים'!$C$27,X42&gt;W42),"",X42-W42))))</f>
        <v>בדוק נתוני הזנה</v>
      </c>
      <c r="AB42" s="214">
        <f t="shared" si="9"/>
        <v>0</v>
      </c>
      <c r="AC42" s="225" t="str">
        <f>IF(OR(AB42="",U42=1),"",IF(OR(COUNTBLANK(W42:Y42)&gt;0,AB42&gt;='פרמטרים לקריטריונים'!$E$54),'פרמטרים לקריטריונים'!$F$54,INDEX('פרמטרים לקריטריונים'!$F$49:$F$54,MATCH(AB42,'פרמטרים לקריטריונים'!$E$49:$E$54,1))))</f>
        <v/>
      </c>
      <c r="AD42" s="213" t="str">
        <f t="shared" si="6"/>
        <v/>
      </c>
      <c r="AE42" s="213">
        <f t="shared" si="7"/>
        <v>61962.076459677301</v>
      </c>
      <c r="AG42" s="175">
        <f t="shared" si="10"/>
        <v>1</v>
      </c>
    </row>
    <row r="43" spans="1:33" ht="15.75" x14ac:dyDescent="0.2">
      <c r="A43" s="206">
        <f t="shared" si="8"/>
        <v>13</v>
      </c>
      <c r="B43" s="88">
        <f>IF($F43="","",'הזנה לתנאי סף'!C43)</f>
        <v>1001347156</v>
      </c>
      <c r="C43" s="88">
        <f>IF($F43="","",'הזנה לתנאי סף'!D43)</f>
        <v>1001263123</v>
      </c>
      <c r="D43" s="88">
        <f>IF($F43="","",'הזנה לתנאי סף'!E43)</f>
        <v>40000052</v>
      </c>
      <c r="E43" s="88">
        <f>IF($F43="","",'הזנה לתנאי סף'!F43)</f>
        <v>20000132</v>
      </c>
      <c r="F43" s="88" t="str">
        <f>IF(OR('הזנה לתנאי סף'!G43="",'הזנה לתנאי סף'!BL43&lt;&gt;1),"",'הזנה לתנאי סף'!G43)</f>
        <v>עמק הירדן</v>
      </c>
      <c r="G43" s="88" t="str">
        <f>IF($F43="","",'הזנה לתנאי סף'!H43)</f>
        <v>בית יגאל אלון</v>
      </c>
      <c r="H43" s="88" t="str">
        <f>IF($F43="","",'הזנה לתנאי סף'!I43)</f>
        <v>מוזיאונים</v>
      </c>
      <c r="I43" s="109">
        <v>1021823</v>
      </c>
      <c r="J43" s="213">
        <f>IF($F43="","",'הזנה לתנאי סף'!S43)</f>
        <v>3979672</v>
      </c>
      <c r="K43" s="109">
        <v>0</v>
      </c>
      <c r="L43" s="213">
        <f t="shared" si="0"/>
        <v>5001495</v>
      </c>
      <c r="M43" s="213">
        <f>IF($F43="","",IF(L43='הזנה לתנאי סף'!R43,1,0))</f>
        <v>1</v>
      </c>
      <c r="N43" s="214">
        <f t="shared" si="1"/>
        <v>0.20430351324953838</v>
      </c>
      <c r="O43" s="214">
        <f t="shared" si="11"/>
        <v>0.79569648675046167</v>
      </c>
      <c r="P43" s="109">
        <v>4872308</v>
      </c>
      <c r="Q43" s="213">
        <f>IF($F43="","",IFERROR(IF(P43&gt;0,'פרמטרים לקריטריונים'!$C$25*P43*O43,$AG$2),""))</f>
        <v>1163063.5073898504</v>
      </c>
      <c r="R43" s="213">
        <f>IF($F43="","",IFERROR('פרמטרים לקריטריונים'!$C$26*Q43,""))</f>
        <v>285999.22312865173</v>
      </c>
      <c r="S43" s="214">
        <f t="shared" si="3"/>
        <v>4.2385524987105863E-3</v>
      </c>
      <c r="T43" s="213">
        <f t="shared" si="4"/>
        <v>211927.62493552931</v>
      </c>
      <c r="U43" s="213">
        <f>IF($F43="","",'הזנה לתנאי סף'!N43)</f>
        <v>0</v>
      </c>
      <c r="V43" s="213">
        <f>IF($F43="","",'הזנה לתנאי סף'!O43)</f>
        <v>1</v>
      </c>
      <c r="W43" s="109">
        <v>0</v>
      </c>
      <c r="X43" s="109">
        <v>0</v>
      </c>
      <c r="Y43" s="109">
        <v>1</v>
      </c>
      <c r="Z43" s="214">
        <f t="shared" si="5"/>
        <v>0</v>
      </c>
      <c r="AA43" s="213" t="str">
        <f>IF(OR($F43="",V43=0),"",IF(V43=1,IF(COUNTBLANK(W43:X43)&gt;0,$AG$2,IF(OR(Z43&lt;='פרמטרים לקריטריונים'!$C$27,X43&gt;W43),"",X43-W43))))</f>
        <v/>
      </c>
      <c r="AB43" s="214" t="str">
        <f t="shared" si="9"/>
        <v/>
      </c>
      <c r="AC43" s="225" t="str">
        <f>IF(OR(AB43="",U43=1),"",IF(OR(COUNTBLANK(W43:Y43)&gt;0,AB43&gt;='פרמטרים לקריטריונים'!$E$54),'פרמטרים לקריטריונים'!$F$54,INDEX('פרמטרים לקריטריונים'!$F$49:$F$54,MATCH(AB43,'פרמטרים לקריטריונים'!$E$49:$E$54,1))))</f>
        <v/>
      </c>
      <c r="AD43" s="213" t="str">
        <f t="shared" si="6"/>
        <v/>
      </c>
      <c r="AE43" s="213">
        <f t="shared" si="7"/>
        <v>211927.62493552931</v>
      </c>
      <c r="AG43" s="175">
        <f t="shared" si="10"/>
        <v>0</v>
      </c>
    </row>
    <row r="44" spans="1:33" ht="15.75" x14ac:dyDescent="0.2">
      <c r="A44" s="206">
        <f t="shared" si="8"/>
        <v>14</v>
      </c>
      <c r="B44" s="88">
        <f>IF($F44="","",'הזנה לתנאי סף'!C44)</f>
        <v>1001348127</v>
      </c>
      <c r="C44" s="88">
        <f>IF($F44="","",'הזנה לתנאי סף'!D44)</f>
        <v>1001268819</v>
      </c>
      <c r="D44" s="88">
        <f>IF($F44="","",'הזנה לתנאי סף'!E44)</f>
        <v>40000028</v>
      </c>
      <c r="E44" s="88">
        <f>IF($F44="","",'הזנה לתנאי סף'!F44)</f>
        <v>20000159</v>
      </c>
      <c r="F44" s="88" t="str">
        <f>IF(OR('הזנה לתנאי סף'!G44="",'הזנה לתנאי סף'!BL44&lt;&gt;1),"",'הזנה לתנאי סף'!G44)</f>
        <v>ירושלים</v>
      </c>
      <c r="G44" s="88" t="str">
        <f>IF($F44="","",'הזנה לתנאי סף'!H44)</f>
        <v>הקם בע"מ</v>
      </c>
      <c r="H44" s="88" t="str">
        <f>IF($F44="","",'הזנה לתנאי סף'!I44)</f>
        <v>סינמטקים ופסטיבלים</v>
      </c>
      <c r="I44" s="109">
        <v>775818</v>
      </c>
      <c r="J44" s="213">
        <f>IF($F44="","",'הזנה לתנאי סף'!S44)</f>
        <v>681344</v>
      </c>
      <c r="K44" s="109">
        <v>0</v>
      </c>
      <c r="L44" s="213">
        <f t="shared" si="0"/>
        <v>1457162</v>
      </c>
      <c r="M44" s="213">
        <f>IF($F44="","",IF(L44='הזנה לתנאי סף'!R44,1,0))</f>
        <v>1</v>
      </c>
      <c r="N44" s="214">
        <f t="shared" si="1"/>
        <v>0.53241712314759781</v>
      </c>
      <c r="O44" s="214">
        <f t="shared" si="11"/>
        <v>0.46758287685240219</v>
      </c>
      <c r="P44" s="109">
        <v>1457162</v>
      </c>
      <c r="Q44" s="213">
        <f>IF($F44="","",IFERROR(IF(P44&gt;0,'פרמטרים לקריטריונים'!$C$25*P44*O44,$AG$2),""))</f>
        <v>204403.20000000001</v>
      </c>
      <c r="R44" s="213">
        <f>IF($F44="","",IFERROR('פרמטרים לקריטריונים'!$C$26*Q44,""))</f>
        <v>50263.081967213118</v>
      </c>
      <c r="S44" s="214">
        <f t="shared" si="3"/>
        <v>7.4490660965604325E-4</v>
      </c>
      <c r="T44" s="213">
        <f t="shared" si="4"/>
        <v>37245.330482802165</v>
      </c>
      <c r="U44" s="213">
        <f>IF($F44="","",'הזנה לתנאי סף'!N44)</f>
        <v>1</v>
      </c>
      <c r="V44" s="213">
        <f>IF($F44="","",'הזנה לתנאי סף'!O44)</f>
        <v>1</v>
      </c>
      <c r="W44" s="109"/>
      <c r="X44" s="109"/>
      <c r="Y44" s="109"/>
      <c r="Z44" s="214" t="str">
        <f t="shared" si="5"/>
        <v>בדוק נתוני הזנה</v>
      </c>
      <c r="AA44" s="213" t="str">
        <f>IF(OR($F44="",V44=0),"",IF(V44=1,IF(COUNTBLANK(W44:X44)&gt;0,$AG$2,IF(OR(Z44&lt;='פרמטרים לקריטריונים'!$C$27,X44&gt;W44),"",X44-W44))))</f>
        <v>בדוק נתוני הזנה</v>
      </c>
      <c r="AB44" s="214">
        <f t="shared" si="9"/>
        <v>0</v>
      </c>
      <c r="AC44" s="225" t="str">
        <f>IF(OR(AB44="",U44=1),"",IF(OR(COUNTBLANK(W44:Y44)&gt;0,AB44&gt;='פרמטרים לקריטריונים'!$E$54),'פרמטרים לקריטריונים'!$F$54,INDEX('פרמטרים לקריטריונים'!$F$49:$F$54,MATCH(AB44,'פרמטרים לקריטריונים'!$E$49:$E$54,1))))</f>
        <v/>
      </c>
      <c r="AD44" s="213" t="str">
        <f t="shared" si="6"/>
        <v/>
      </c>
      <c r="AE44" s="213">
        <f t="shared" si="7"/>
        <v>37245.330482802165</v>
      </c>
      <c r="AG44" s="175">
        <f t="shared" si="10"/>
        <v>1</v>
      </c>
    </row>
    <row r="45" spans="1:33" ht="15.75" x14ac:dyDescent="0.2">
      <c r="A45" s="206">
        <f t="shared" si="8"/>
        <v>15</v>
      </c>
      <c r="B45" s="88">
        <f>IF($F45="","",'הזנה לתנאי סף'!C45)</f>
        <v>1001346801</v>
      </c>
      <c r="C45" s="88">
        <f>IF($F45="","",'הזנה לתנאי סף'!D45)</f>
        <v>1001274535</v>
      </c>
      <c r="D45" s="88">
        <f>IF($F45="","",'הזנה לתנאי סף'!E45)</f>
        <v>40000095</v>
      </c>
      <c r="E45" s="88">
        <f>IF($F45="","",'הזנה לתנאי סף'!F45)</f>
        <v>20000182</v>
      </c>
      <c r="F45" s="88" t="str">
        <f>IF(OR('הזנה לתנאי סף'!G45="",'הזנה לתנאי סף'!BL45&lt;&gt;1),"",'הזנה לתנאי סף'!G45)</f>
        <v>חיפה</v>
      </c>
      <c r="G45" s="88" t="str">
        <f>IF($F45="","",'הזנה לתנאי סף'!H45)</f>
        <v>בית גפן - מרכז תרבות ערבי יהודי</v>
      </c>
      <c r="H45" s="88" t="str">
        <f>IF($F45="","",'הזנה לתנאי סף'!I45)</f>
        <v>תיאטרון</v>
      </c>
      <c r="I45" s="109">
        <v>2001180</v>
      </c>
      <c r="J45" s="213">
        <f>IF($F45="","",'הזנה לתנאי סף'!S45)</f>
        <v>696342</v>
      </c>
      <c r="K45" s="109">
        <v>0</v>
      </c>
      <c r="L45" s="213">
        <f t="shared" si="0"/>
        <v>2697522</v>
      </c>
      <c r="M45" s="213">
        <f>IF($F45="","",IF(L45='הזנה לתנאי סף'!R45,1,0))</f>
        <v>1</v>
      </c>
      <c r="N45" s="214">
        <f t="shared" si="1"/>
        <v>0.74185863915104311</v>
      </c>
      <c r="O45" s="214">
        <f t="shared" si="11"/>
        <v>0.25814136084895689</v>
      </c>
      <c r="P45" s="109">
        <v>2734231</v>
      </c>
      <c r="Q45" s="213">
        <f>IF($F45="","",IFERROR(IF(P45&gt;0,'פרמטרים לקריטריונים'!$C$25*P45*O45,$AG$2),""))</f>
        <v>211745.43336462125</v>
      </c>
      <c r="R45" s="213">
        <f>IF($F45="","",IFERROR('פרמטרים לקריטריונים'!$C$26*Q45,""))</f>
        <v>52068.549188021614</v>
      </c>
      <c r="S45" s="214">
        <f t="shared" si="3"/>
        <v>7.7166391170876785E-4</v>
      </c>
      <c r="T45" s="213">
        <f t="shared" si="4"/>
        <v>38583.195585438392</v>
      </c>
      <c r="U45" s="213">
        <f>IF($F45="","",'הזנה לתנאי סף'!N45)</f>
        <v>1</v>
      </c>
      <c r="V45" s="213">
        <f>IF($F45="","",'הזנה לתנאי סף'!O45)</f>
        <v>1</v>
      </c>
      <c r="W45" s="109"/>
      <c r="X45" s="109"/>
      <c r="Y45" s="109"/>
      <c r="Z45" s="214" t="str">
        <f t="shared" si="5"/>
        <v>בדוק נתוני הזנה</v>
      </c>
      <c r="AA45" s="213" t="str">
        <f>IF(OR($F45="",V45=0),"",IF(V45=1,IF(COUNTBLANK(W45:X45)&gt;0,$AG$2,IF(OR(Z45&lt;='פרמטרים לקריטריונים'!$C$27,X45&gt;W45),"",X45-W45))))</f>
        <v>בדוק נתוני הזנה</v>
      </c>
      <c r="AB45" s="214">
        <f t="shared" si="9"/>
        <v>0</v>
      </c>
      <c r="AC45" s="225" t="str">
        <f>IF(OR(AB45="",U45=1),"",IF(OR(COUNTBLANK(W45:Y45)&gt;0,AB45&gt;='פרמטרים לקריטריונים'!$E$54),'פרמטרים לקריטריונים'!$F$54,INDEX('פרמטרים לקריטריונים'!$F$49:$F$54,MATCH(AB45,'פרמטרים לקריטריונים'!$E$49:$E$54,1))))</f>
        <v/>
      </c>
      <c r="AD45" s="213" t="str">
        <f t="shared" si="6"/>
        <v/>
      </c>
      <c r="AE45" s="213">
        <f t="shared" si="7"/>
        <v>38583.195585438392</v>
      </c>
      <c r="AG45" s="175">
        <f t="shared" si="10"/>
        <v>1</v>
      </c>
    </row>
    <row r="46" spans="1:33" ht="15.75" x14ac:dyDescent="0.2">
      <c r="A46" s="206">
        <f t="shared" si="8"/>
        <v>16</v>
      </c>
      <c r="B46" s="88">
        <f>IF($F46="","",'הזנה לתנאי סף'!C46)</f>
        <v>1001348773</v>
      </c>
      <c r="C46" s="88">
        <f>IF($F46="","",'הזנה לתנאי סף'!D46)</f>
        <v>1001262086</v>
      </c>
      <c r="D46" s="88">
        <f>IF($F46="","",'הזנה לתנאי סף'!E46)</f>
        <v>40000043</v>
      </c>
      <c r="E46" s="88">
        <f>IF($F46="","",'הזנה לתנאי סף'!F46)</f>
        <v>20000159</v>
      </c>
      <c r="F46" s="88" t="str">
        <f>IF(OR('הזנה לתנאי סף'!G46="",'הזנה לתנאי סף'!BL46&lt;&gt;1),"",'הזנה לתנאי סף'!G46)</f>
        <v>ירושלים</v>
      </c>
      <c r="G46" s="88" t="str">
        <f>IF($F46="","",'הזנה לתנאי סף'!H46)</f>
        <v>מוזיאון ישראל</v>
      </c>
      <c r="H46" s="88" t="str">
        <f>IF($F46="","",'הזנה לתנאי סף'!I46)</f>
        <v>מוזיאונים</v>
      </c>
      <c r="I46" s="109">
        <v>23187000</v>
      </c>
      <c r="J46" s="213">
        <f>IF($F46="","",'הזנה לתנאי סף'!S46)</f>
        <v>96928000</v>
      </c>
      <c r="K46" s="109">
        <v>0</v>
      </c>
      <c r="L46" s="213">
        <f t="shared" si="0"/>
        <v>120115000</v>
      </c>
      <c r="M46" s="213">
        <f>IF($F46="","",IF(L46='הזנה לתנאי סף'!R46,1,0))</f>
        <v>1</v>
      </c>
      <c r="N46" s="214">
        <f t="shared" si="1"/>
        <v>0.19304000333014196</v>
      </c>
      <c r="O46" s="214">
        <f t="shared" si="11"/>
        <v>0.80695999666985807</v>
      </c>
      <c r="P46" s="109">
        <v>136407000</v>
      </c>
      <c r="Q46" s="213">
        <f>IF($F46="","",IFERROR(IF(P46&gt;0,'פרמטרים לקריטריונים'!$C$25*P46*O46,$AG$2),""))</f>
        <v>33022497.679723598</v>
      </c>
      <c r="R46" s="213">
        <f>IF($F46="","",IFERROR('פרמטרים לקריטריונים'!$C$26*Q46,""))</f>
        <v>8120286.3146861307</v>
      </c>
      <c r="S46" s="214">
        <f t="shared" si="3"/>
        <v>0.12034389280098089</v>
      </c>
      <c r="T46" s="213">
        <f t="shared" si="4"/>
        <v>6017194.640049044</v>
      </c>
      <c r="U46" s="213">
        <f>IF($F46="","",'הזנה לתנאי סף'!N46)</f>
        <v>1</v>
      </c>
      <c r="V46" s="213">
        <f>IF($F46="","",'הזנה לתנאי סף'!O46)</f>
        <v>1</v>
      </c>
      <c r="W46" s="109"/>
      <c r="X46" s="109"/>
      <c r="Y46" s="109"/>
      <c r="Z46" s="214" t="str">
        <f t="shared" si="5"/>
        <v>בדוק נתוני הזנה</v>
      </c>
      <c r="AA46" s="213" t="str">
        <f>IF(OR($F46="",V46=0),"",IF(V46=1,IF(COUNTBLANK(W46:X46)&gt;0,$AG$2,IF(OR(Z46&lt;='פרמטרים לקריטריונים'!$C$27,X46&gt;W46),"",X46-W46))))</f>
        <v>בדוק נתוני הזנה</v>
      </c>
      <c r="AB46" s="214">
        <f t="shared" si="9"/>
        <v>0</v>
      </c>
      <c r="AC46" s="225" t="str">
        <f>IF(OR(AB46="",U46=1),"",IF(OR(COUNTBLANK(W46:Y46)&gt;0,AB46&gt;='פרמטרים לקריטריונים'!$E$54),'פרמטרים לקריטריונים'!$F$54,INDEX('פרמטרים לקריטריונים'!$F$49:$F$54,MATCH(AB46,'פרמטרים לקריטריונים'!$E$49:$E$54,1))))</f>
        <v/>
      </c>
      <c r="AD46" s="213" t="str">
        <f t="shared" si="6"/>
        <v/>
      </c>
      <c r="AE46" s="213">
        <f t="shared" si="7"/>
        <v>6017194.640049044</v>
      </c>
      <c r="AG46" s="175">
        <f t="shared" si="10"/>
        <v>1</v>
      </c>
    </row>
    <row r="47" spans="1:33" ht="15.75" x14ac:dyDescent="0.2">
      <c r="A47" s="206">
        <f t="shared" si="8"/>
        <v>17</v>
      </c>
      <c r="B47" s="88">
        <f>IF($F47="","",'הזנה לתנאי סף'!C47)</f>
        <v>1001346968</v>
      </c>
      <c r="C47" s="88">
        <f>IF($F47="","",'הזנה לתנאי סף'!D47)</f>
        <v>1001266786</v>
      </c>
      <c r="D47" s="88">
        <f>IF($F47="","",'הזנה לתנאי סף'!E47)</f>
        <v>40000128</v>
      </c>
      <c r="E47" s="88">
        <f>IF($F47="","",'הזנה לתנאי סף'!F47)</f>
        <v>20000184</v>
      </c>
      <c r="F47" s="88" t="str">
        <f>IF(OR('הזנה לתנאי סף'!G47="",'הזנה לתנאי סף'!BL47&lt;&gt;1),"",'הזנה לתנאי סף'!G47)</f>
        <v>קצרין</v>
      </c>
      <c r="G47" s="88" t="str">
        <f>IF($F47="","",'הזנה לתנאי סף'!H47)</f>
        <v>מוזיאון עתיקות הגולן</v>
      </c>
      <c r="H47" s="88" t="str">
        <f>IF($F47="","",'הזנה לתנאי סף'!I47)</f>
        <v>מוזיאונים</v>
      </c>
      <c r="I47" s="109">
        <v>961348</v>
      </c>
      <c r="J47" s="213">
        <f>IF($F47="","",'הזנה לתנאי סף'!S47)</f>
        <v>1428169</v>
      </c>
      <c r="K47" s="109">
        <v>0</v>
      </c>
      <c r="L47" s="213">
        <f t="shared" si="0"/>
        <v>2389517</v>
      </c>
      <c r="M47" s="213">
        <f>IF($F47="","",IF(L47='הזנה לתנאי סף'!R47,1,0))</f>
        <v>1</v>
      </c>
      <c r="N47" s="214">
        <f t="shared" si="1"/>
        <v>0.40231896236770864</v>
      </c>
      <c r="O47" s="214">
        <f t="shared" si="11"/>
        <v>0.59768103763229141</v>
      </c>
      <c r="P47" s="109">
        <v>2215028</v>
      </c>
      <c r="Q47" s="213">
        <f>IF($F47="","",IFERROR(IF(P47&gt;0,'פרמטרים לקריטריונים'!$C$25*P47*O47,$AG$2),""))</f>
        <v>397164.07002737379</v>
      </c>
      <c r="R47" s="213">
        <f>IF($F47="","",IFERROR('פרמטרים לקריטריונים'!$C$26*Q47,""))</f>
        <v>97663.295908370608</v>
      </c>
      <c r="S47" s="214">
        <f t="shared" si="3"/>
        <v>1.4473850746039511E-3</v>
      </c>
      <c r="T47" s="213">
        <f t="shared" si="4"/>
        <v>72369.253730197554</v>
      </c>
      <c r="U47" s="213">
        <f>IF($F47="","",'הזנה לתנאי סף'!N47)</f>
        <v>1</v>
      </c>
      <c r="V47" s="213">
        <f>IF($F47="","",'הזנה לתנאי סף'!O47)</f>
        <v>1</v>
      </c>
      <c r="W47" s="109"/>
      <c r="X47" s="109"/>
      <c r="Y47" s="109"/>
      <c r="Z47" s="214" t="str">
        <f t="shared" si="5"/>
        <v>בדוק נתוני הזנה</v>
      </c>
      <c r="AA47" s="213" t="str">
        <f>IF(OR($F47="",V47=0),"",IF(V47=1,IF(COUNTBLANK(W47:X47)&gt;0,$AG$2,IF(OR(Z47&lt;='פרמטרים לקריטריונים'!$C$27,X47&gt;W47),"",X47-W47))))</f>
        <v>בדוק נתוני הזנה</v>
      </c>
      <c r="AB47" s="214">
        <f t="shared" si="9"/>
        <v>0</v>
      </c>
      <c r="AC47" s="225" t="str">
        <f>IF(OR(AB47="",U47=1),"",IF(OR(COUNTBLANK(W47:Y47)&gt;0,AB47&gt;='פרמטרים לקריטריונים'!$E$54),'פרמטרים לקריטריונים'!$F$54,INDEX('פרמטרים לקריטריונים'!$F$49:$F$54,MATCH(AB47,'פרמטרים לקריטריונים'!$E$49:$E$54,1))))</f>
        <v/>
      </c>
      <c r="AD47" s="213" t="str">
        <f t="shared" si="6"/>
        <v/>
      </c>
      <c r="AE47" s="213">
        <f t="shared" si="7"/>
        <v>72369.253730197554</v>
      </c>
      <c r="AG47" s="175">
        <f t="shared" si="10"/>
        <v>1</v>
      </c>
    </row>
    <row r="48" spans="1:33" ht="15.75" x14ac:dyDescent="0.2">
      <c r="A48" s="206">
        <f t="shared" si="8"/>
        <v>18</v>
      </c>
      <c r="B48" s="88">
        <f>IF($F48="","",'הזנה לתנאי סף'!C48)</f>
        <v>1001346240</v>
      </c>
      <c r="C48" s="88">
        <f>IF($F48="","",'הזנה לתנאי סף'!D48)</f>
        <v>1001273528</v>
      </c>
      <c r="D48" s="88">
        <f>IF($F48="","",'הזנה לתנאי סף'!E48)</f>
        <v>40000133</v>
      </c>
      <c r="E48" s="88">
        <f>IF($F48="","",'הזנה לתנאי סף'!F48)</f>
        <v>20000201</v>
      </c>
      <c r="F48" s="88" t="str">
        <f>IF(OR('הזנה לתנאי סף'!G48="",'הזנה לתנאי סף'!BL48&lt;&gt;1),"",'הזנה לתנאי סף'!G48)</f>
        <v>תל אביב -יפו</v>
      </c>
      <c r="G48" s="88" t="str">
        <f>IF($F48="","",'הזנה לתנאי סף'!H48)</f>
        <v>האופרה הישראלית ת"א</v>
      </c>
      <c r="H48" s="88" t="str">
        <f>IF($F48="","",'הזנה לתנאי סף'!I48)</f>
        <v>אופרה</v>
      </c>
      <c r="I48" s="109">
        <v>29300000</v>
      </c>
      <c r="J48" s="213">
        <f>IF($F48="","",'הזנה לתנאי סף'!S48)</f>
        <v>44742000</v>
      </c>
      <c r="K48" s="109">
        <v>0</v>
      </c>
      <c r="L48" s="213">
        <f t="shared" si="0"/>
        <v>74042000</v>
      </c>
      <c r="M48" s="213">
        <f>IF($F48="","",IF(L48='הזנה לתנאי סף'!R48,1,0))</f>
        <v>1</v>
      </c>
      <c r="N48" s="214">
        <f t="shared" si="1"/>
        <v>0.3957213473433997</v>
      </c>
      <c r="O48" s="214">
        <f t="shared" si="11"/>
        <v>0.6042786526566003</v>
      </c>
      <c r="P48" s="109">
        <v>75998000</v>
      </c>
      <c r="Q48" s="213">
        <f>IF($F48="","",IFERROR(IF(P48&gt;0,'פרמטרים לקריטריונים'!$C$25*P48*O48,$AG$2),""))</f>
        <v>13777190.713378893</v>
      </c>
      <c r="R48" s="213">
        <f>IF($F48="","",IFERROR('פרמטרים לקריטריונים'!$C$26*Q48,""))</f>
        <v>3387833.7819784163</v>
      </c>
      <c r="S48" s="214">
        <f t="shared" si="3"/>
        <v>5.0208217997016649E-2</v>
      </c>
      <c r="T48" s="213">
        <f t="shared" si="4"/>
        <v>2510410.8998508323</v>
      </c>
      <c r="U48" s="213">
        <f>IF($F48="","",'הזנה לתנאי סף'!N48)</f>
        <v>1</v>
      </c>
      <c r="V48" s="213">
        <f>IF($F48="","",'הזנה לתנאי סף'!O48)</f>
        <v>1</v>
      </c>
      <c r="W48" s="109"/>
      <c r="X48" s="109"/>
      <c r="Y48" s="109"/>
      <c r="Z48" s="214" t="str">
        <f t="shared" si="5"/>
        <v>בדוק נתוני הזנה</v>
      </c>
      <c r="AA48" s="213" t="str">
        <f>IF(OR($F48="",V48=0),"",IF(V48=1,IF(COUNTBLANK(W48:X48)&gt;0,$AG$2,IF(OR(Z48&lt;='פרמטרים לקריטריונים'!$C$27,X48&gt;W48),"",X48-W48))))</f>
        <v>בדוק נתוני הזנה</v>
      </c>
      <c r="AB48" s="214">
        <f t="shared" si="9"/>
        <v>0</v>
      </c>
      <c r="AC48" s="225" t="str">
        <f>IF(OR(AB48="",U48=1),"",IF(OR(COUNTBLANK(W48:Y48)&gt;0,AB48&gt;='פרמטרים לקריטריונים'!$E$54),'פרמטרים לקריטריונים'!$F$54,INDEX('פרמטרים לקריטריונים'!$F$49:$F$54,MATCH(AB48,'פרמטרים לקריטריונים'!$E$49:$E$54,1))))</f>
        <v/>
      </c>
      <c r="AD48" s="213" t="str">
        <f t="shared" si="6"/>
        <v/>
      </c>
      <c r="AE48" s="213">
        <f t="shared" si="7"/>
        <v>2510410.8998508323</v>
      </c>
      <c r="AG48" s="175">
        <f t="shared" si="10"/>
        <v>1</v>
      </c>
    </row>
    <row r="49" spans="1:33" ht="15.75" x14ac:dyDescent="0.2">
      <c r="A49" s="206">
        <f t="shared" si="8"/>
        <v>19</v>
      </c>
      <c r="B49" s="88">
        <f>IF($F49="","",'הזנה לתנאי סף'!C49)</f>
        <v>1001348851</v>
      </c>
      <c r="C49" s="88">
        <f>IF($F49="","",'הזנה לתנאי סף'!D49)</f>
        <v>1001270249</v>
      </c>
      <c r="D49" s="88">
        <f>IF($F49="","",'הזנה לתנאי סף'!E49)</f>
        <v>40000134</v>
      </c>
      <c r="E49" s="88">
        <f>IF($F49="","",'הזנה לתנאי סף'!F49)</f>
        <v>20000201</v>
      </c>
      <c r="F49" s="88" t="str">
        <f>IF(OR('הזנה לתנאי סף'!G49="",'הזנה לתנאי סף'!BL49&lt;&gt;1),"",'הזנה לתנאי סף'!G49)</f>
        <v>תל אביב -יפו</v>
      </c>
      <c r="G49" s="88" t="str">
        <f>IF($F49="","",'הזנה לתנאי סף'!H49)</f>
        <v>תיאטרון תמונע</v>
      </c>
      <c r="H49" s="88" t="str">
        <f>IF($F49="","",'הזנה לתנאי סף'!I49)</f>
        <v>מרכזי פרינג'</v>
      </c>
      <c r="I49" s="109">
        <v>1480259</v>
      </c>
      <c r="J49" s="213">
        <f>IF($F49="","",'הזנה לתנאי סף'!S49)</f>
        <v>686959</v>
      </c>
      <c r="K49" s="109">
        <v>0</v>
      </c>
      <c r="L49" s="213">
        <f t="shared" si="0"/>
        <v>2167218</v>
      </c>
      <c r="M49" s="213">
        <f>IF($F49="","",IF(L49='הזנה לתנאי סף'!R49,1,0))</f>
        <v>1</v>
      </c>
      <c r="N49" s="214">
        <f t="shared" si="1"/>
        <v>0.68302265854196487</v>
      </c>
      <c r="O49" s="214">
        <f t="shared" si="11"/>
        <v>0.31697734145803513</v>
      </c>
      <c r="P49" s="109">
        <v>2167218</v>
      </c>
      <c r="Q49" s="213">
        <f>IF($F49="","",IFERROR(IF(P49&gt;0,'פרמטרים לקריטריונים'!$C$25*P49*O49,$AG$2),""))</f>
        <v>206087.7</v>
      </c>
      <c r="R49" s="213">
        <f>IF($F49="","",IFERROR('פרמטרים לקריטריונים'!$C$26*Q49,""))</f>
        <v>50677.303278688523</v>
      </c>
      <c r="S49" s="214">
        <f t="shared" si="3"/>
        <v>7.5104543323593626E-4</v>
      </c>
      <c r="T49" s="213">
        <f t="shared" si="4"/>
        <v>37552.271661796811</v>
      </c>
      <c r="U49" s="213">
        <f>IF($F49="","",'הזנה לתנאי סף'!N49)</f>
        <v>1</v>
      </c>
      <c r="V49" s="213">
        <f>IF($F49="","",'הזנה לתנאי סף'!O49)</f>
        <v>1</v>
      </c>
      <c r="W49" s="109"/>
      <c r="X49" s="109"/>
      <c r="Y49" s="109"/>
      <c r="Z49" s="214" t="str">
        <f t="shared" si="5"/>
        <v>בדוק נתוני הזנה</v>
      </c>
      <c r="AA49" s="213" t="str">
        <f>IF(OR($F49="",V49=0),"",IF(V49=1,IF(COUNTBLANK(W49:X49)&gt;0,$AG$2,IF(OR(Z49&lt;='פרמטרים לקריטריונים'!$C$27,X49&gt;W49),"",X49-W49))))</f>
        <v>בדוק נתוני הזנה</v>
      </c>
      <c r="AB49" s="214">
        <f t="shared" si="9"/>
        <v>0</v>
      </c>
      <c r="AC49" s="225" t="str">
        <f>IF(OR(AB49="",U49=1),"",IF(OR(COUNTBLANK(W49:Y49)&gt;0,AB49&gt;='פרמטרים לקריטריונים'!$E$54),'פרמטרים לקריטריונים'!$F$54,INDEX('פרמטרים לקריטריונים'!$F$49:$F$54,MATCH(AB49,'פרמטרים לקריטריונים'!$E$49:$E$54,1))))</f>
        <v/>
      </c>
      <c r="AD49" s="213" t="str">
        <f t="shared" si="6"/>
        <v/>
      </c>
      <c r="AE49" s="213">
        <f t="shared" si="7"/>
        <v>37552.271661796811</v>
      </c>
      <c r="AG49" s="175">
        <f t="shared" si="10"/>
        <v>1</v>
      </c>
    </row>
    <row r="50" spans="1:33" ht="15.75" x14ac:dyDescent="0.2">
      <c r="A50" s="206">
        <f t="shared" si="8"/>
        <v>20</v>
      </c>
      <c r="B50" s="88">
        <f>IF($F50="","",'הזנה לתנאי סף'!C50)</f>
        <v>1001350603</v>
      </c>
      <c r="C50" s="88">
        <f>IF($F50="","",'הזנה לתנאי סף'!D50)</f>
        <v>1001334964</v>
      </c>
      <c r="D50" s="88">
        <f>IF($F50="","",'הזנה לתנאי סף'!E50)</f>
        <v>40000065</v>
      </c>
      <c r="E50" s="88">
        <f>IF($F50="","",'הזנה לתנאי סף'!F50)</f>
        <v>20000201</v>
      </c>
      <c r="F50" s="88" t="str">
        <f>IF(OR('הזנה לתנאי סף'!G50="",'הזנה לתנאי סף'!BL50&lt;&gt;1),"",'הזנה לתנאי סף'!G50)</f>
        <v>תל אביב -יפו</v>
      </c>
      <c r="G50" s="88" t="str">
        <f>IF($F50="","",'הזנה לתנאי סף'!H50)</f>
        <v>אנחנו כאן אגודה לתרבות פולקלור</v>
      </c>
      <c r="H50" s="88" t="str">
        <f>IF($F50="","",'הזנה לתנאי סף'!I50)</f>
        <v>מחול</v>
      </c>
      <c r="I50" s="109">
        <v>445516</v>
      </c>
      <c r="J50" s="213">
        <f>IF($F50="","",'הזנה לתנאי סף'!S50)</f>
        <v>296918</v>
      </c>
      <c r="K50" s="109">
        <v>0</v>
      </c>
      <c r="L50" s="213">
        <f t="shared" si="0"/>
        <v>742434</v>
      </c>
      <c r="M50" s="213">
        <f>IF($F50="","",IF(L50='הזנה לתנאי סף'!R50,1,0))</f>
        <v>1</v>
      </c>
      <c r="N50" s="214">
        <f t="shared" si="1"/>
        <v>0.60007488881166537</v>
      </c>
      <c r="O50" s="214">
        <f t="shared" si="11"/>
        <v>0.39992511118833463</v>
      </c>
      <c r="P50" s="109">
        <v>547577</v>
      </c>
      <c r="Q50" s="213">
        <f>IF($F50="","",IFERROR(IF(P50&gt;0,'פרמטרים לקריטריונים'!$C$25*P50*O50,$AG$2),""))</f>
        <v>65696.937782752415</v>
      </c>
      <c r="R50" s="213">
        <f>IF($F50="","",IFERROR('פרמטרים לקריטריונים'!$C$26*Q50,""))</f>
        <v>16154.984700676823</v>
      </c>
      <c r="S50" s="214">
        <f t="shared" si="3"/>
        <v>2.3941935932771165E-4</v>
      </c>
      <c r="T50" s="213">
        <f t="shared" si="4"/>
        <v>11970.967966385582</v>
      </c>
      <c r="U50" s="213">
        <f>IF($F50="","",'הזנה לתנאי סף'!N50)</f>
        <v>0</v>
      </c>
      <c r="V50" s="213">
        <f>IF($F50="","",'הזנה לתנאי סף'!O50)</f>
        <v>1</v>
      </c>
      <c r="W50" s="109">
        <v>0</v>
      </c>
      <c r="X50" s="109">
        <v>0</v>
      </c>
      <c r="Y50" s="109">
        <v>1</v>
      </c>
      <c r="Z50" s="214">
        <f t="shared" si="5"/>
        <v>0</v>
      </c>
      <c r="AA50" s="213" t="str">
        <f>IF(OR($F50="",V50=0),"",IF(V50=1,IF(COUNTBLANK(W50:X50)&gt;0,$AG$2,IF(OR(Z50&lt;='פרמטרים לקריטריונים'!$C$27,X50&gt;W50),"",X50-W50))))</f>
        <v/>
      </c>
      <c r="AB50" s="214" t="str">
        <f t="shared" si="9"/>
        <v/>
      </c>
      <c r="AC50" s="225" t="str">
        <f>IF(OR(AB50="",U50=1),"",IF(OR(COUNTBLANK(W50:Y50)&gt;0,AB50&gt;='פרמטרים לקריטריונים'!$E$54),'פרמטרים לקריטריונים'!$F$54,INDEX('פרמטרים לקריטריונים'!$F$49:$F$54,MATCH(AB50,'פרמטרים לקריטריונים'!$E$49:$E$54,1))))</f>
        <v/>
      </c>
      <c r="AD50" s="213" t="str">
        <f t="shared" si="6"/>
        <v/>
      </c>
      <c r="AE50" s="213">
        <f t="shared" si="7"/>
        <v>11970.967966385582</v>
      </c>
      <c r="AG50" s="175">
        <f t="shared" si="10"/>
        <v>0</v>
      </c>
    </row>
    <row r="51" spans="1:33" ht="15.75" x14ac:dyDescent="0.2">
      <c r="A51" s="206">
        <f t="shared" si="8"/>
        <v>21</v>
      </c>
      <c r="B51" s="88">
        <f>IF($F51="","",'הזנה לתנאי סף'!C51)</f>
        <v>1001346663</v>
      </c>
      <c r="C51" s="88">
        <f>IF($F51="","",'הזנה לתנאי סף'!D51)</f>
        <v>1001273853</v>
      </c>
      <c r="D51" s="88">
        <f>IF($F51="","",'הזנה לתנאי סף'!E51)</f>
        <v>40000140</v>
      </c>
      <c r="E51" s="88">
        <f>IF($F51="","",'הזנה לתנאי סף'!F51)</f>
        <v>20000201</v>
      </c>
      <c r="F51" s="88" t="str">
        <f>IF(OR('הזנה לתנאי סף'!G51="",'הזנה לתנאי סף'!BL51&lt;&gt;1),"",'הזנה לתנאי סף'!G51)</f>
        <v>תל אביב -יפו</v>
      </c>
      <c r="G51" s="88" t="str">
        <f>IF($F51="","",'הזנה לתנאי סף'!H51)</f>
        <v>להקת המחול בת שבע</v>
      </c>
      <c r="H51" s="88" t="str">
        <f>IF($F51="","",'הזנה לתנאי סף'!I51)</f>
        <v>מחול</v>
      </c>
      <c r="I51" s="109">
        <v>7453841</v>
      </c>
      <c r="J51" s="213">
        <f>IF($F51="","",'הזנה לתנאי סף'!S51)</f>
        <v>16090469</v>
      </c>
      <c r="K51" s="109">
        <v>0</v>
      </c>
      <c r="L51" s="213">
        <f t="shared" si="0"/>
        <v>23544310</v>
      </c>
      <c r="M51" s="213">
        <f>IF($F51="","",IF(L51='הזנה לתנאי סף'!R51,1,0))</f>
        <v>1</v>
      </c>
      <c r="N51" s="214">
        <f t="shared" si="1"/>
        <v>0.3165877870279486</v>
      </c>
      <c r="O51" s="214">
        <f t="shared" si="11"/>
        <v>0.68341221297205146</v>
      </c>
      <c r="P51" s="109">
        <v>23673557</v>
      </c>
      <c r="Q51" s="213">
        <f>IF($F51="","",IFERROR(IF(P51&gt;0,'פרמטרים לקריטריונים'!$C$25*P51*O51,$AG$2),""))</f>
        <v>4853639.3934869999</v>
      </c>
      <c r="R51" s="213">
        <f>IF($F51="","",IFERROR('פרמטרים לקריטריונים'!$C$26*Q51,""))</f>
        <v>1193517.8836443443</v>
      </c>
      <c r="S51" s="214">
        <f t="shared" si="3"/>
        <v>1.7688118704087877E-2</v>
      </c>
      <c r="T51" s="213">
        <f t="shared" si="4"/>
        <v>884405.93520439393</v>
      </c>
      <c r="U51" s="213">
        <f>IF($F51="","",'הזנה לתנאי סף'!N51)</f>
        <v>1</v>
      </c>
      <c r="V51" s="213">
        <f>IF($F51="","",'הזנה לתנאי סף'!O51)</f>
        <v>1</v>
      </c>
      <c r="W51" s="109"/>
      <c r="X51" s="109"/>
      <c r="Y51" s="109"/>
      <c r="Z51" s="214" t="str">
        <f t="shared" si="5"/>
        <v>בדוק נתוני הזנה</v>
      </c>
      <c r="AA51" s="213" t="str">
        <f>IF(OR($F51="",V51=0),"",IF(V51=1,IF(COUNTBLANK(W51:X51)&gt;0,$AG$2,IF(OR(Z51&lt;='פרמטרים לקריטריונים'!$C$27,X51&gt;W51),"",X51-W51))))</f>
        <v>בדוק נתוני הזנה</v>
      </c>
      <c r="AB51" s="214">
        <f t="shared" si="9"/>
        <v>0</v>
      </c>
      <c r="AC51" s="225" t="str">
        <f>IF(OR(AB51="",U51=1),"",IF(OR(COUNTBLANK(W51:Y51)&gt;0,AB51&gt;='פרמטרים לקריטריונים'!$E$54),'פרמטרים לקריטריונים'!$F$54,INDEX('פרמטרים לקריטריונים'!$F$49:$F$54,MATCH(AB51,'פרמטרים לקריטריונים'!$E$49:$E$54,1))))</f>
        <v/>
      </c>
      <c r="AD51" s="213" t="str">
        <f t="shared" si="6"/>
        <v/>
      </c>
      <c r="AE51" s="213">
        <f t="shared" si="7"/>
        <v>884405.93520439393</v>
      </c>
      <c r="AG51" s="175">
        <f t="shared" si="10"/>
        <v>1</v>
      </c>
    </row>
    <row r="52" spans="1:33" ht="15.75" x14ac:dyDescent="0.2">
      <c r="A52" s="206">
        <f t="shared" si="8"/>
        <v>22</v>
      </c>
      <c r="B52" s="88">
        <f>IF($F52="","",'הזנה לתנאי סף'!C52)</f>
        <v>1001350716</v>
      </c>
      <c r="C52" s="88">
        <f>IF($F52="","",'הזנה לתנאי סף'!D52)</f>
        <v>1001302141</v>
      </c>
      <c r="D52" s="88">
        <f>IF($F52="","",'הזנה לתנאי סף'!E52)</f>
        <v>40000150</v>
      </c>
      <c r="E52" s="88">
        <f>IF($F52="","",'הזנה לתנאי סף'!F52)</f>
        <v>20000233</v>
      </c>
      <c r="F52" s="88" t="str">
        <f>IF(OR('הזנה לתנאי סף'!G52="",'הזנה לתנאי סף'!BL52&lt;&gt;1),"",'הזנה לתנאי סף'!G52)</f>
        <v>נתניה</v>
      </c>
      <c r="G52" s="88" t="str">
        <f>IF($F52="","",'הזנה לתנאי סף'!H52)</f>
        <v>היכל התרבות נתניה</v>
      </c>
      <c r="H52" s="88" t="str">
        <f>IF($F52="","",'הזנה לתנאי סף'!I52)</f>
        <v>קבוצות מוסיקה</v>
      </c>
      <c r="I52" s="109">
        <v>90960</v>
      </c>
      <c r="J52" s="213">
        <f>IF($F52="","",'הזנה לתנאי סף'!S52)</f>
        <v>180885</v>
      </c>
      <c r="K52" s="109">
        <v>0</v>
      </c>
      <c r="L52" s="213">
        <f t="shared" si="0"/>
        <v>271845</v>
      </c>
      <c r="M52" s="213">
        <f>IF($F52="","",IF(L52='הזנה לתנאי סף'!R52,1,0))</f>
        <v>1</v>
      </c>
      <c r="N52" s="214">
        <f t="shared" si="1"/>
        <v>0.33460243888980851</v>
      </c>
      <c r="O52" s="214">
        <f t="shared" si="11"/>
        <v>0.66539756111019144</v>
      </c>
      <c r="P52" s="109">
        <v>338075</v>
      </c>
      <c r="Q52" s="213">
        <f>IF($F52="","",IFERROR(IF(P52&gt;0,'פרמטרים לקריטריונים'!$C$25*P52*O52,$AG$2),""))</f>
        <v>67486.284141698387</v>
      </c>
      <c r="R52" s="213">
        <f>IF($F52="","",IFERROR('פרמטרים לקריטריונים'!$C$26*Q52,""))</f>
        <v>16594.987903696325</v>
      </c>
      <c r="S52" s="214">
        <f t="shared" si="3"/>
        <v>2.4594027450782049E-4</v>
      </c>
      <c r="T52" s="213">
        <f t="shared" si="4"/>
        <v>12297.013725391025</v>
      </c>
      <c r="U52" s="213">
        <f>IF($F52="","",'הזנה לתנאי סף'!N52)</f>
        <v>0</v>
      </c>
      <c r="V52" s="213">
        <f>IF($F52="","",'הזנה לתנאי סף'!O52)</f>
        <v>1</v>
      </c>
      <c r="W52" s="109">
        <v>0</v>
      </c>
      <c r="X52" s="109">
        <v>0</v>
      </c>
      <c r="Y52" s="109">
        <v>1</v>
      </c>
      <c r="Z52" s="214">
        <f t="shared" si="5"/>
        <v>0</v>
      </c>
      <c r="AA52" s="213" t="str">
        <f>IF(OR($F52="",V52=0),"",IF(V52=1,IF(COUNTBLANK(W52:X52)&gt;0,$AG$2,IF(OR(Z52&lt;='פרמטרים לקריטריונים'!$C$27,X52&gt;W52),"",X52-W52))))</f>
        <v/>
      </c>
      <c r="AB52" s="214" t="str">
        <f t="shared" si="9"/>
        <v/>
      </c>
      <c r="AC52" s="225" t="str">
        <f>IF(OR(AB52="",U52=1),"",IF(OR(COUNTBLANK(W52:Y52)&gt;0,AB52&gt;='פרמטרים לקריטריונים'!$E$54),'פרמטרים לקריטריונים'!$F$54,INDEX('פרמטרים לקריטריונים'!$F$49:$F$54,MATCH(AB52,'פרמטרים לקריטריונים'!$E$49:$E$54,1))))</f>
        <v/>
      </c>
      <c r="AD52" s="213" t="str">
        <f t="shared" si="6"/>
        <v/>
      </c>
      <c r="AE52" s="213">
        <f t="shared" si="7"/>
        <v>12297.013725391025</v>
      </c>
      <c r="AG52" s="175">
        <f t="shared" si="10"/>
        <v>0</v>
      </c>
    </row>
    <row r="53" spans="1:33" ht="15.75" x14ac:dyDescent="0.2">
      <c r="A53" s="206">
        <f t="shared" si="8"/>
        <v>23</v>
      </c>
      <c r="B53" s="88">
        <f>IF($F53="","",'הזנה לתנאי סף'!C53)</f>
        <v>1001346670</v>
      </c>
      <c r="C53" s="88">
        <f>IF($F53="","",'הזנה לתנאי סף'!D53)</f>
        <v>1001277080</v>
      </c>
      <c r="D53" s="88">
        <f>IF($F53="","",'הזנה לתנאי סף'!E53)</f>
        <v>40000106</v>
      </c>
      <c r="E53" s="88">
        <f>IF($F53="","",'הזנה לתנאי סף'!F53)</f>
        <v>20000201</v>
      </c>
      <c r="F53" s="88" t="str">
        <f>IF(OR('הזנה לתנאי סף'!G53="",'הזנה לתנאי סף'!BL53&lt;&gt;1),"",'הזנה לתנאי סף'!G53)</f>
        <v>תל אביב -יפו</v>
      </c>
      <c r="G53" s="88" t="str">
        <f>IF($F53="","",'הזנה לתנאי סף'!H53)</f>
        <v>התזמורת הקאמרית הישראלית</v>
      </c>
      <c r="H53" s="88" t="str">
        <f>IF($F53="","",'הזנה לתנאי סף'!I53)</f>
        <v>מוסיקה-גופים כליים</v>
      </c>
      <c r="I53" s="109">
        <v>3046428</v>
      </c>
      <c r="J53" s="213">
        <f>IF($F53="","",'הזנה לתנאי סף'!S53)</f>
        <v>3679784</v>
      </c>
      <c r="K53" s="109">
        <v>0</v>
      </c>
      <c r="L53" s="213">
        <f t="shared" si="0"/>
        <v>6726212</v>
      </c>
      <c r="M53" s="213">
        <f>IF($F53="","",IF(L53='הזנה לתנאי סף'!R53,1,0))</f>
        <v>1</v>
      </c>
      <c r="N53" s="214">
        <f t="shared" si="1"/>
        <v>0.45291881968632569</v>
      </c>
      <c r="O53" s="214">
        <f t="shared" si="11"/>
        <v>0.54708118031367436</v>
      </c>
      <c r="P53" s="109">
        <v>6473332</v>
      </c>
      <c r="Q53" s="213">
        <f>IF($F53="","",IFERROR(IF(P53&gt;0,'פרמטרים לקריטריונים'!$C$25*P53*O53,$AG$2),""))</f>
        <v>1062431.4333366833</v>
      </c>
      <c r="R53" s="213">
        <f>IF($F53="","",IFERROR('פרמטרים לקריטריונים'!$C$26*Q53,""))</f>
        <v>261253.63114836474</v>
      </c>
      <c r="S53" s="214">
        <f t="shared" si="3"/>
        <v>3.87181901750481E-3</v>
      </c>
      <c r="T53" s="213">
        <f t="shared" si="4"/>
        <v>193590.95087524049</v>
      </c>
      <c r="U53" s="213">
        <f>IF($F53="","",'הזנה לתנאי סף'!N53)</f>
        <v>1</v>
      </c>
      <c r="V53" s="213">
        <f>IF($F53="","",'הזנה לתנאי סף'!O53)</f>
        <v>1</v>
      </c>
      <c r="W53" s="109"/>
      <c r="X53" s="109"/>
      <c r="Y53" s="109"/>
      <c r="Z53" s="214" t="str">
        <f t="shared" si="5"/>
        <v>בדוק נתוני הזנה</v>
      </c>
      <c r="AA53" s="213" t="str">
        <f>IF(OR($F53="",V53=0),"",IF(V53=1,IF(COUNTBLANK(W53:X53)&gt;0,$AG$2,IF(OR(Z53&lt;='פרמטרים לקריטריונים'!$C$27,X53&gt;W53),"",X53-W53))))</f>
        <v>בדוק נתוני הזנה</v>
      </c>
      <c r="AB53" s="214">
        <f t="shared" si="9"/>
        <v>0</v>
      </c>
      <c r="AC53" s="225" t="str">
        <f>IF(OR(AB53="",U53=1),"",IF(OR(COUNTBLANK(W53:Y53)&gt;0,AB53&gt;='פרמטרים לקריטריונים'!$E$54),'פרמטרים לקריטריונים'!$F$54,INDEX('פרמטרים לקריטריונים'!$F$49:$F$54,MATCH(AB53,'פרמטרים לקריטריונים'!$E$49:$E$54,1))))</f>
        <v/>
      </c>
      <c r="AD53" s="213" t="str">
        <f t="shared" si="6"/>
        <v/>
      </c>
      <c r="AE53" s="213">
        <f t="shared" si="7"/>
        <v>193590.95087524049</v>
      </c>
      <c r="AG53" s="175">
        <f t="shared" si="10"/>
        <v>1</v>
      </c>
    </row>
    <row r="54" spans="1:33" ht="15.75" x14ac:dyDescent="0.2">
      <c r="A54" s="206">
        <f t="shared" si="8"/>
        <v>24</v>
      </c>
      <c r="B54" s="88">
        <f>IF($F54="","",'הזנה לתנאי סף'!C54)</f>
        <v>1001346676</v>
      </c>
      <c r="C54" s="88">
        <f>IF($F54="","",'הזנה לתנאי סף'!D54)</f>
        <v>1001266343</v>
      </c>
      <c r="D54" s="88">
        <f>IF($F54="","",'הזנה לתנאי סף'!E54)</f>
        <v>40000132</v>
      </c>
      <c r="E54" s="88">
        <f>IF($F54="","",'הזנה לתנאי סף'!F54)</f>
        <v>20000201</v>
      </c>
      <c r="F54" s="88" t="str">
        <f>IF(OR('הזנה לתנאי סף'!G54="",'הזנה לתנאי סף'!BL54&lt;&gt;1),"",'הזנה לתנאי סף'!G54)</f>
        <v>תל אביב -יפו</v>
      </c>
      <c r="G54" s="88" t="str">
        <f>IF($F54="","",'הזנה לתנאי סף'!H54)</f>
        <v>תיאטרון הנפש</v>
      </c>
      <c r="H54" s="88" t="str">
        <f>IF($F54="","",'הזנה לתנאי סף'!I54)</f>
        <v>תיאטרון</v>
      </c>
      <c r="I54" s="109">
        <v>1367542</v>
      </c>
      <c r="J54" s="213">
        <f>IF($F54="","",'הזנה לתנאי סף'!S54)</f>
        <v>1660514</v>
      </c>
      <c r="K54" s="109">
        <v>60</v>
      </c>
      <c r="L54" s="213">
        <f t="shared" si="0"/>
        <v>3028116</v>
      </c>
      <c r="M54" s="213">
        <f>IF($F54="","",IF(L54='הזנה לתנאי סף'!R54,1,0))</f>
        <v>1</v>
      </c>
      <c r="N54" s="214">
        <f t="shared" si="1"/>
        <v>0.45161479943304683</v>
      </c>
      <c r="O54" s="214">
        <f t="shared" si="11"/>
        <v>0.54838520056695317</v>
      </c>
      <c r="P54" s="109">
        <v>3083965</v>
      </c>
      <c r="Q54" s="213">
        <f>IF($F54="","",IFERROR(IF(P54&gt;0,'פרמטרים לקריטריונים'!$C$25*P54*O54,$AG$2),""))</f>
        <v>507360.22951993911</v>
      </c>
      <c r="R54" s="213">
        <f>IF($F54="","",IFERROR('פרמטרים לקריטריונים'!$C$26*Q54,""))</f>
        <v>124760.71217703421</v>
      </c>
      <c r="S54" s="214">
        <f t="shared" si="3"/>
        <v>1.8489729536817904E-3</v>
      </c>
      <c r="T54" s="213">
        <f t="shared" si="4"/>
        <v>92448.647684089519</v>
      </c>
      <c r="U54" s="213">
        <f>IF($F54="","",'הזנה לתנאי סף'!N54)</f>
        <v>1</v>
      </c>
      <c r="V54" s="213">
        <f>IF($F54="","",'הזנה לתנאי סף'!O54)</f>
        <v>1</v>
      </c>
      <c r="W54" s="109"/>
      <c r="X54" s="109"/>
      <c r="Y54" s="109"/>
      <c r="Z54" s="214" t="str">
        <f t="shared" si="5"/>
        <v>בדוק נתוני הזנה</v>
      </c>
      <c r="AA54" s="213" t="str">
        <f>IF(OR($F54="",V54=0),"",IF(V54=1,IF(COUNTBLANK(W54:X54)&gt;0,$AG$2,IF(OR(Z54&lt;='פרמטרים לקריטריונים'!$C$27,X54&gt;W54),"",X54-W54))))</f>
        <v>בדוק נתוני הזנה</v>
      </c>
      <c r="AB54" s="214">
        <f t="shared" si="9"/>
        <v>0</v>
      </c>
      <c r="AC54" s="225" t="str">
        <f>IF(OR(AB54="",U54=1),"",IF(OR(COUNTBLANK(W54:Y54)&gt;0,AB54&gt;='פרמטרים לקריטריונים'!$E$54),'פרמטרים לקריטריונים'!$F$54,INDEX('פרמטרים לקריטריונים'!$F$49:$F$54,MATCH(AB54,'פרמטרים לקריטריונים'!$E$49:$E$54,1))))</f>
        <v/>
      </c>
      <c r="AD54" s="213" t="str">
        <f t="shared" si="6"/>
        <v/>
      </c>
      <c r="AE54" s="213">
        <f t="shared" si="7"/>
        <v>92448.647684089519</v>
      </c>
      <c r="AG54" s="175">
        <f t="shared" si="10"/>
        <v>1</v>
      </c>
    </row>
    <row r="55" spans="1:33" ht="15.75" x14ac:dyDescent="0.2">
      <c r="A55" s="206">
        <f t="shared" si="8"/>
        <v>25</v>
      </c>
      <c r="B55" s="88">
        <f>IF($F55="","",'הזנה לתנאי סף'!C55)</f>
        <v>1001346807</v>
      </c>
      <c r="C55" s="88">
        <f>IF($F55="","",'הזנה לתנאי סף'!D55)</f>
        <v>1001266435</v>
      </c>
      <c r="D55" s="88">
        <f>IF($F55="","",'הזנה לתנאי סף'!E55)</f>
        <v>40000132</v>
      </c>
      <c r="E55" s="88">
        <f>IF($F55="","",'הזנה לתנאי סף'!F55)</f>
        <v>20000201</v>
      </c>
      <c r="F55" s="88" t="str">
        <f>IF(OR('הזנה לתנאי סף'!G55="",'הזנה לתנאי סף'!BL55&lt;&gt;1),"",'הזנה לתנאי סף'!G55)</f>
        <v>תל אביב -יפו</v>
      </c>
      <c r="G55" s="88" t="str">
        <f>IF($F55="","",'הזנה לתנאי סף'!H55)</f>
        <v>תיאטרון הנפש</v>
      </c>
      <c r="H55" s="88" t="str">
        <f>IF($F55="","",'הזנה לתנאי סף'!I55)</f>
        <v>סינמטקים ופסטיבלים</v>
      </c>
      <c r="I55" s="109">
        <v>343945</v>
      </c>
      <c r="J55" s="213">
        <f>IF($F55="","",'הזנה לתנאי סף'!S55)</f>
        <v>199225</v>
      </c>
      <c r="K55" s="109">
        <v>0</v>
      </c>
      <c r="L55" s="213">
        <f t="shared" si="0"/>
        <v>543170</v>
      </c>
      <c r="M55" s="213">
        <f>IF($F55="","",IF(L55='הזנה לתנאי סף'!R55,1,0))</f>
        <v>1</v>
      </c>
      <c r="N55" s="214">
        <f t="shared" si="1"/>
        <v>0.63321796122760832</v>
      </c>
      <c r="O55" s="214">
        <f t="shared" si="11"/>
        <v>0.36678203877239168</v>
      </c>
      <c r="P55" s="109">
        <v>536361</v>
      </c>
      <c r="Q55" s="213">
        <f>IF($F55="","",IFERROR(IF(P55&gt;0,'פרמטרים לקריטריונים'!$C$25*P55*O55,$AG$2),""))</f>
        <v>59018.274329399632</v>
      </c>
      <c r="R55" s="213">
        <f>IF($F55="","",IFERROR('פרמטרים לקריטריונים'!$C$26*Q55,""))</f>
        <v>14512.690408868762</v>
      </c>
      <c r="S55" s="214">
        <f t="shared" si="3"/>
        <v>2.1508030519318369E-4</v>
      </c>
      <c r="T55" s="213">
        <f t="shared" si="4"/>
        <v>10754.015259659185</v>
      </c>
      <c r="U55" s="213">
        <f>IF($F55="","",'הזנה לתנאי סף'!N55)</f>
        <v>1</v>
      </c>
      <c r="V55" s="213">
        <f>IF($F55="","",'הזנה לתנאי סף'!O55)</f>
        <v>1</v>
      </c>
      <c r="W55" s="109"/>
      <c r="X55" s="109"/>
      <c r="Y55" s="109"/>
      <c r="Z55" s="214" t="str">
        <f t="shared" si="5"/>
        <v>בדוק נתוני הזנה</v>
      </c>
      <c r="AA55" s="213" t="str">
        <f>IF(OR($F55="",V55=0),"",IF(V55=1,IF(COUNTBLANK(W55:X55)&gt;0,$AG$2,IF(OR(Z55&lt;='פרמטרים לקריטריונים'!$C$27,X55&gt;W55),"",X55-W55))))</f>
        <v>בדוק נתוני הזנה</v>
      </c>
      <c r="AB55" s="214">
        <f t="shared" si="9"/>
        <v>0</v>
      </c>
      <c r="AC55" s="225" t="str">
        <f>IF(OR(AB55="",U55=1),"",IF(OR(COUNTBLANK(W55:Y55)&gt;0,AB55&gt;='פרמטרים לקריטריונים'!$E$54),'פרמטרים לקריטריונים'!$F$54,INDEX('פרמטרים לקריטריונים'!$F$49:$F$54,MATCH(AB55,'פרמטרים לקריטריונים'!$E$49:$E$54,1))))</f>
        <v/>
      </c>
      <c r="AD55" s="213" t="str">
        <f t="shared" si="6"/>
        <v/>
      </c>
      <c r="AE55" s="213">
        <f t="shared" si="7"/>
        <v>10754.015259659185</v>
      </c>
      <c r="AG55" s="175">
        <f t="shared" si="10"/>
        <v>1</v>
      </c>
    </row>
    <row r="56" spans="1:33" ht="15.75" x14ac:dyDescent="0.2">
      <c r="A56" s="206">
        <f t="shared" si="8"/>
        <v>26</v>
      </c>
      <c r="B56" s="88">
        <f>IF($F56="","",'הזנה לתנאי סף'!C56)</f>
        <v>1001346564</v>
      </c>
      <c r="C56" s="88">
        <f>IF($F56="","",'הזנה לתנאי סף'!D56)</f>
        <v>1001269642</v>
      </c>
      <c r="D56" s="88">
        <f>IF($F56="","",'הזנה לתנאי סף'!E56)</f>
        <v>40000060</v>
      </c>
      <c r="E56" s="88">
        <f>IF($F56="","",'הזנה לתנאי סף'!F56)</f>
        <v>20000159</v>
      </c>
      <c r="F56" s="88" t="str">
        <f>IF(OR('הזנה לתנאי סף'!G56="",'הזנה לתנאי סף'!BL56&lt;&gt;1),"",'הזנה לתנאי סף'!G56)</f>
        <v>ירושלים</v>
      </c>
      <c r="G56" s="88" t="str">
        <f>IF($F56="","",'הזנה לתנאי סף'!H56)</f>
        <v>תיאטרון הקרון</v>
      </c>
      <c r="H56" s="88" t="str">
        <f>IF($F56="","",'הזנה לתנאי סף'!I56)</f>
        <v>תיאטרון</v>
      </c>
      <c r="I56" s="109">
        <v>3341738</v>
      </c>
      <c r="J56" s="213">
        <f>IF($F56="","",'הזנה לתנאי סף'!S56)</f>
        <v>2491488</v>
      </c>
      <c r="K56" s="109">
        <v>0</v>
      </c>
      <c r="L56" s="213">
        <f t="shared" si="0"/>
        <v>5833226</v>
      </c>
      <c r="M56" s="213">
        <f>IF($F56="","",IF(L56='הזנה לתנאי סף'!R56,1,0))</f>
        <v>1</v>
      </c>
      <c r="N56" s="214">
        <f t="shared" si="1"/>
        <v>0.57287991241895997</v>
      </c>
      <c r="O56" s="214">
        <f t="shared" si="11"/>
        <v>0.42712008758104003</v>
      </c>
      <c r="P56" s="109">
        <v>5062977</v>
      </c>
      <c r="Q56" s="213">
        <f>IF($F56="","",IFERROR(IF(P56&gt;0,'פרמטרים לקריטריונים'!$C$25*P56*O56,$AG$2),""))</f>
        <v>648749.75389823737</v>
      </c>
      <c r="R56" s="213">
        <f>IF($F56="","",IFERROR('פרמטרים לקריטריונים'!$C$26*Q56,""))</f>
        <v>159528.6280077633</v>
      </c>
      <c r="S56" s="214">
        <f t="shared" si="3"/>
        <v>2.3642388166698388E-3</v>
      </c>
      <c r="T56" s="213">
        <f t="shared" si="4"/>
        <v>118211.94083349194</v>
      </c>
      <c r="U56" s="213">
        <f>IF($F56="","",'הזנה לתנאי סף'!N56)</f>
        <v>1</v>
      </c>
      <c r="V56" s="213">
        <f>IF($F56="","",'הזנה לתנאי סף'!O56)</f>
        <v>1</v>
      </c>
      <c r="W56" s="109"/>
      <c r="X56" s="109"/>
      <c r="Y56" s="109"/>
      <c r="Z56" s="214" t="str">
        <f t="shared" si="5"/>
        <v>בדוק נתוני הזנה</v>
      </c>
      <c r="AA56" s="213" t="str">
        <f>IF(OR($F56="",V56=0),"",IF(V56=1,IF(COUNTBLANK(W56:X56)&gt;0,$AG$2,IF(OR(Z56&lt;='פרמטרים לקריטריונים'!$C$27,X56&gt;W56),"",X56-W56))))</f>
        <v>בדוק נתוני הזנה</v>
      </c>
      <c r="AB56" s="214">
        <f t="shared" si="9"/>
        <v>0</v>
      </c>
      <c r="AC56" s="225" t="str">
        <f>IF(OR(AB56="",U56=1),"",IF(OR(COUNTBLANK(W56:Y56)&gt;0,AB56&gt;='פרמטרים לקריטריונים'!$E$54),'פרמטרים לקריטריונים'!$F$54,INDEX('פרמטרים לקריטריונים'!$F$49:$F$54,MATCH(AB56,'פרמטרים לקריטריונים'!$E$49:$E$54,1))))</f>
        <v/>
      </c>
      <c r="AD56" s="213" t="str">
        <f t="shared" si="6"/>
        <v/>
      </c>
      <c r="AE56" s="213">
        <f t="shared" si="7"/>
        <v>118211.94083349194</v>
      </c>
      <c r="AG56" s="175">
        <f t="shared" si="10"/>
        <v>1</v>
      </c>
    </row>
    <row r="57" spans="1:33" ht="15.75" x14ac:dyDescent="0.2">
      <c r="A57" s="206">
        <f t="shared" si="8"/>
        <v>27</v>
      </c>
      <c r="B57" s="88">
        <f>IF($F57="","",'הזנה לתנאי סף'!C57)</f>
        <v>1001347019</v>
      </c>
      <c r="C57" s="88">
        <f>IF($F57="","",'הזנה לתנאי סף'!D57)</f>
        <v>1001270522</v>
      </c>
      <c r="D57" s="88">
        <f>IF($F57="","",'הזנה לתנאי סף'!E57)</f>
        <v>40000075</v>
      </c>
      <c r="E57" s="88">
        <f>IF($F57="","",'הזנה לתנאי סף'!F57)</f>
        <v>20000159</v>
      </c>
      <c r="F57" s="88" t="str">
        <f>IF(OR('הזנה לתנאי סף'!G57="",'הזנה לתנאי סף'!BL57&lt;&gt;1),"",'הזנה לתנאי סף'!G57)</f>
        <v>ירושלים</v>
      </c>
      <c r="G57" s="88" t="str">
        <f>IF($F57="","",'הזנה לתנאי סף'!H57)</f>
        <v>מוזיאון חצר הישוב הישן</v>
      </c>
      <c r="H57" s="88" t="str">
        <f>IF($F57="","",'הזנה לתנאי סף'!I57)</f>
        <v>מוזיאונים</v>
      </c>
      <c r="I57" s="109">
        <v>620231</v>
      </c>
      <c r="J57" s="213">
        <f>IF($F57="","",'הזנה לתנאי סף'!S57)</f>
        <v>228348</v>
      </c>
      <c r="K57" s="109">
        <v>0</v>
      </c>
      <c r="L57" s="213">
        <f t="shared" si="0"/>
        <v>848579</v>
      </c>
      <c r="M57" s="213">
        <f>IF($F57="","",IF(L57='הזנה לתנאי סף'!R57,1,0))</f>
        <v>1</v>
      </c>
      <c r="N57" s="214">
        <f t="shared" si="1"/>
        <v>0.73090543131517516</v>
      </c>
      <c r="O57" s="214">
        <f t="shared" si="11"/>
        <v>0.26909456868482484</v>
      </c>
      <c r="P57" s="109">
        <v>727768</v>
      </c>
      <c r="Q57" s="213">
        <f>IF($F57="","",IFERROR(IF(P57&gt;0,'פרמטרים לקריטריונים'!$C$25*P57*O57,$AG$2),""))</f>
        <v>58751.524818785278</v>
      </c>
      <c r="R57" s="213">
        <f>IF($F57="","",IFERROR('פרמטרים לקריטריונים'!$C$26*Q57,""))</f>
        <v>14447.096266914412</v>
      </c>
      <c r="S57" s="214">
        <f t="shared" si="3"/>
        <v>2.1410818991524701E-4</v>
      </c>
      <c r="T57" s="213">
        <f t="shared" si="4"/>
        <v>10705.409495762351</v>
      </c>
      <c r="U57" s="213">
        <f>IF($F57="","",'הזנה לתנאי סף'!N57)</f>
        <v>1</v>
      </c>
      <c r="V57" s="213">
        <f>IF($F57="","",'הזנה לתנאי סף'!O57)</f>
        <v>1</v>
      </c>
      <c r="W57" s="109"/>
      <c r="X57" s="109"/>
      <c r="Y57" s="109"/>
      <c r="Z57" s="214" t="str">
        <f t="shared" si="5"/>
        <v>בדוק נתוני הזנה</v>
      </c>
      <c r="AA57" s="213" t="str">
        <f>IF(OR($F57="",V57=0),"",IF(V57=1,IF(COUNTBLANK(W57:X57)&gt;0,$AG$2,IF(OR(Z57&lt;='פרמטרים לקריטריונים'!$C$27,X57&gt;W57),"",X57-W57))))</f>
        <v>בדוק נתוני הזנה</v>
      </c>
      <c r="AB57" s="214">
        <f t="shared" si="9"/>
        <v>0</v>
      </c>
      <c r="AC57" s="225" t="str">
        <f>IF(OR(AB57="",U57=1),"",IF(OR(COUNTBLANK(W57:Y57)&gt;0,AB57&gt;='פרמטרים לקריטריונים'!$E$54),'פרמטרים לקריטריונים'!$F$54,INDEX('פרמטרים לקריטריונים'!$F$49:$F$54,MATCH(AB57,'פרמטרים לקריטריונים'!$E$49:$E$54,1))))</f>
        <v/>
      </c>
      <c r="AD57" s="213" t="str">
        <f t="shared" si="6"/>
        <v/>
      </c>
      <c r="AE57" s="213">
        <f t="shared" si="7"/>
        <v>10705.409495762351</v>
      </c>
      <c r="AG57" s="175">
        <f t="shared" si="10"/>
        <v>1</v>
      </c>
    </row>
    <row r="58" spans="1:33" ht="15.75" x14ac:dyDescent="0.2">
      <c r="A58" s="206">
        <f t="shared" si="8"/>
        <v>28</v>
      </c>
      <c r="B58" s="88">
        <f>IF($F58="","",'הזנה לתנאי סף'!C58)</f>
        <v>1001348863</v>
      </c>
      <c r="C58" s="88">
        <f>IF($F58="","",'הזנה לתנאי סף'!D58)</f>
        <v>1001271791</v>
      </c>
      <c r="D58" s="88">
        <f>IF($F58="","",'הזנה לתנאי סף'!E58)</f>
        <v>40000111</v>
      </c>
      <c r="E58" s="88">
        <f>IF($F58="","",'הזנה לתנאי סף'!F58)</f>
        <v>20000201</v>
      </c>
      <c r="F58" s="88" t="str">
        <f>IF(OR('הזנה לתנאי סף'!G58="",'הזנה לתנאי סף'!BL58&lt;&gt;1),"",'הזנה לתנאי סף'!G58)</f>
        <v>תל אביב -יפו</v>
      </c>
      <c r="G58" s="88" t="str">
        <f>IF($F58="","",'הזנה לתנאי סף'!H58)</f>
        <v>הבלט הישראלי</v>
      </c>
      <c r="H58" s="88" t="str">
        <f>IF($F58="","",'הזנה לתנאי סף'!I58)</f>
        <v>מחול</v>
      </c>
      <c r="I58" s="109">
        <v>6419463</v>
      </c>
      <c r="J58" s="213">
        <f>IF($F58="","",'הזנה לתנאי סף'!S58)</f>
        <v>4232762</v>
      </c>
      <c r="K58" s="109">
        <v>0</v>
      </c>
      <c r="L58" s="213">
        <f t="shared" si="0"/>
        <v>10652225</v>
      </c>
      <c r="M58" s="213">
        <f>IF($F58="","",IF(L58='הזנה לתנאי סף'!R58,1,0))</f>
        <v>1</v>
      </c>
      <c r="N58" s="214">
        <f t="shared" si="1"/>
        <v>0.60264057509111946</v>
      </c>
      <c r="O58" s="214">
        <f t="shared" si="11"/>
        <v>0.39735942490888054</v>
      </c>
      <c r="P58" s="109">
        <v>11058568</v>
      </c>
      <c r="Q58" s="213">
        <f>IF($F58="","",IFERROR(IF(P58&gt;0,'פרמטרים לקריטריונים'!$C$25*P58*O58,$AG$2),""))</f>
        <v>1318267.8662387247</v>
      </c>
      <c r="R58" s="213">
        <f>IF($F58="","",IFERROR('פרמטרים לקריטריונים'!$C$26*Q58,""))</f>
        <v>324164.22940296505</v>
      </c>
      <c r="S58" s="214">
        <f t="shared" si="3"/>
        <v>4.8041637648451423E-3</v>
      </c>
      <c r="T58" s="213">
        <f t="shared" si="4"/>
        <v>240208.18824225711</v>
      </c>
      <c r="U58" s="213">
        <f>IF($F58="","",'הזנה לתנאי סף'!N58)</f>
        <v>1</v>
      </c>
      <c r="V58" s="213">
        <f>IF($F58="","",'הזנה לתנאי סף'!O58)</f>
        <v>1</v>
      </c>
      <c r="W58" s="109"/>
      <c r="X58" s="109"/>
      <c r="Y58" s="109"/>
      <c r="Z58" s="214" t="str">
        <f t="shared" si="5"/>
        <v>בדוק נתוני הזנה</v>
      </c>
      <c r="AA58" s="213" t="str">
        <f>IF(OR($F58="",V58=0),"",IF(V58=1,IF(COUNTBLANK(W58:X58)&gt;0,$AG$2,IF(OR(Z58&lt;='פרמטרים לקריטריונים'!$C$27,X58&gt;W58),"",X58-W58))))</f>
        <v>בדוק נתוני הזנה</v>
      </c>
      <c r="AB58" s="214">
        <f t="shared" si="9"/>
        <v>0</v>
      </c>
      <c r="AC58" s="225" t="str">
        <f>IF(OR(AB58="",U58=1),"",IF(OR(COUNTBLANK(W58:Y58)&gt;0,AB58&gt;='פרמטרים לקריטריונים'!$E$54),'פרמטרים לקריטריונים'!$F$54,INDEX('פרמטרים לקריטריונים'!$F$49:$F$54,MATCH(AB58,'פרמטרים לקריטריונים'!$E$49:$E$54,1))))</f>
        <v/>
      </c>
      <c r="AD58" s="213" t="str">
        <f t="shared" si="6"/>
        <v/>
      </c>
      <c r="AE58" s="213">
        <f t="shared" si="7"/>
        <v>240208.18824225711</v>
      </c>
      <c r="AG58" s="175">
        <f t="shared" si="10"/>
        <v>1</v>
      </c>
    </row>
    <row r="59" spans="1:33" ht="15.75" x14ac:dyDescent="0.2">
      <c r="A59" s="206">
        <f t="shared" si="8"/>
        <v>29</v>
      </c>
      <c r="B59" s="88">
        <f>IF($F59="","",'הזנה לתנאי סף'!C59)</f>
        <v>1001350366</v>
      </c>
      <c r="C59" s="88">
        <f>IF($F59="","",'הזנה לתנאי סף'!D59)</f>
        <v>1001276978</v>
      </c>
      <c r="D59" s="88">
        <f>IF($F59="","",'הזנה לתנאי סף'!E59)</f>
        <v>40000047</v>
      </c>
      <c r="E59" s="88">
        <f>IF($F59="","",'הזנה לתנאי סף'!F59)</f>
        <v>20000201</v>
      </c>
      <c r="F59" s="88" t="str">
        <f>IF(OR('הזנה לתנאי סף'!G59="",'הזנה לתנאי סף'!BL59&lt;&gt;1),"",'הזנה לתנאי סף'!G59)</f>
        <v>תל אביב -יפו</v>
      </c>
      <c r="G59" s="88" t="str">
        <f>IF($F59="","",'הזנה לתנאי סף'!H59)</f>
        <v>סינמטק</v>
      </c>
      <c r="H59" s="88" t="str">
        <f>IF($F59="","",'הזנה לתנאי סף'!I59)</f>
        <v>סינמטקים ופסטיבלים</v>
      </c>
      <c r="I59" s="109">
        <v>427469</v>
      </c>
      <c r="J59" s="213">
        <f>IF($F59="","",'הזנה לתנאי סף'!S59)</f>
        <v>198052</v>
      </c>
      <c r="K59" s="109">
        <v>0</v>
      </c>
      <c r="L59" s="213">
        <f t="shared" si="0"/>
        <v>625521</v>
      </c>
      <c r="M59" s="213">
        <f>IF($F59="","",IF(L59='הזנה לתנאי סף'!R59,1,0))</f>
        <v>1</v>
      </c>
      <c r="N59" s="214">
        <f t="shared" si="1"/>
        <v>0.68338073382028741</v>
      </c>
      <c r="O59" s="214">
        <f t="shared" si="11"/>
        <v>0.31661926617971259</v>
      </c>
      <c r="P59" s="109">
        <v>673057</v>
      </c>
      <c r="Q59" s="213">
        <f>IF($F59="","",IFERROR(IF(P59&gt;0,'פרמטרים לקריטריונים'!$C$25*P59*O59,$AG$2),""))</f>
        <v>63930.844031135646</v>
      </c>
      <c r="R59" s="213">
        <f>IF($F59="","",IFERROR('פרמטרים לקריטריונים'!$C$26*Q59,""))</f>
        <v>15720.699351918602</v>
      </c>
      <c r="S59" s="214">
        <f t="shared" si="3"/>
        <v>2.32983183627666E-4</v>
      </c>
      <c r="T59" s="213">
        <f t="shared" si="4"/>
        <v>11649.1591813833</v>
      </c>
      <c r="U59" s="213">
        <f>IF($F59="","",'הזנה לתנאי סף'!N59)</f>
        <v>1</v>
      </c>
      <c r="V59" s="213">
        <f>IF($F59="","",'הזנה לתנאי סף'!O59)</f>
        <v>1</v>
      </c>
      <c r="W59" s="109"/>
      <c r="X59" s="109"/>
      <c r="Y59" s="109"/>
      <c r="Z59" s="214" t="str">
        <f t="shared" si="5"/>
        <v>בדוק נתוני הזנה</v>
      </c>
      <c r="AA59" s="213" t="str">
        <f>IF(OR($F59="",V59=0),"",IF(V59=1,IF(COUNTBLANK(W59:X59)&gt;0,$AG$2,IF(OR(Z59&lt;='פרמטרים לקריטריונים'!$C$27,X59&gt;W59),"",X59-W59))))</f>
        <v>בדוק נתוני הזנה</v>
      </c>
      <c r="AB59" s="214">
        <f t="shared" si="9"/>
        <v>0</v>
      </c>
      <c r="AC59" s="225" t="str">
        <f>IF(OR(AB59="",U59=1),"",IF(OR(COUNTBLANK(W59:Y59)&gt;0,AB59&gt;='פרמטרים לקריטריונים'!$E$54),'פרמטרים לקריטריונים'!$F$54,INDEX('פרמטרים לקריטריונים'!$F$49:$F$54,MATCH(AB59,'פרמטרים לקריטריונים'!$E$49:$E$54,1))))</f>
        <v/>
      </c>
      <c r="AD59" s="213" t="str">
        <f t="shared" si="6"/>
        <v/>
      </c>
      <c r="AE59" s="213">
        <f t="shared" si="7"/>
        <v>11649.1591813833</v>
      </c>
      <c r="AG59" s="175">
        <f t="shared" si="10"/>
        <v>1</v>
      </c>
    </row>
    <row r="60" spans="1:33" ht="15.75" x14ac:dyDescent="0.2">
      <c r="A60" s="206">
        <f t="shared" si="8"/>
        <v>30</v>
      </c>
      <c r="B60" s="88">
        <f>IF($F60="","",'הזנה לתנאי סף'!C60)</f>
        <v>1001350413</v>
      </c>
      <c r="C60" s="88">
        <f>IF($F60="","",'הזנה לתנאי סף'!D60)</f>
        <v>1001279700</v>
      </c>
      <c r="D60" s="88">
        <f>IF($F60="","",'הזנה לתנאי סף'!E60)</f>
        <v>40000047</v>
      </c>
      <c r="E60" s="88">
        <f>IF($F60="","",'הזנה לתנאי סף'!F60)</f>
        <v>20000201</v>
      </c>
      <c r="F60" s="88" t="str">
        <f>IF(OR('הזנה לתנאי סף'!G60="",'הזנה לתנאי סף'!BL60&lt;&gt;1),"",'הזנה לתנאי סף'!G60)</f>
        <v>תל אביב -יפו</v>
      </c>
      <c r="G60" s="88" t="str">
        <f>IF($F60="","",'הזנה לתנאי סף'!H60)</f>
        <v>סינמטק</v>
      </c>
      <c r="H60" s="88" t="str">
        <f>IF($F60="","",'הזנה לתנאי סף'!I60)</f>
        <v>סינמטקים ופסטיבלים</v>
      </c>
      <c r="I60" s="109">
        <v>262522</v>
      </c>
      <c r="J60" s="213">
        <f>IF($F60="","",'הזנה לתנאי סף'!S60)</f>
        <v>263349</v>
      </c>
      <c r="K60" s="109">
        <v>0</v>
      </c>
      <c r="L60" s="213">
        <f t="shared" si="0"/>
        <v>525871</v>
      </c>
      <c r="M60" s="213">
        <f>IF($F60="","",IF(L60='הזנה לתנאי סף'!R60,1,0))</f>
        <v>1</v>
      </c>
      <c r="N60" s="214">
        <f t="shared" si="1"/>
        <v>0.49921368548560391</v>
      </c>
      <c r="O60" s="214">
        <f t="shared" si="11"/>
        <v>0.50078631451439604</v>
      </c>
      <c r="P60" s="109">
        <v>532964</v>
      </c>
      <c r="Q60" s="213">
        <f>IF($F60="","",IFERROR(IF(P60&gt;0,'פרמטרים לקריטריונים'!$C$25*P60*O60,$AG$2),""))</f>
        <v>80070.323198655169</v>
      </c>
      <c r="R60" s="213">
        <f>IF($F60="","",IFERROR('פרמטרים לקריטריונים'!$C$26*Q60,""))</f>
        <v>19689.423737374222</v>
      </c>
      <c r="S60" s="214">
        <f t="shared" si="3"/>
        <v>2.9180028976050199E-4</v>
      </c>
      <c r="T60" s="213">
        <f t="shared" si="4"/>
        <v>14590.014488025099</v>
      </c>
      <c r="U60" s="213">
        <f>IF($F60="","",'הזנה לתנאי סף'!N60)</f>
        <v>1</v>
      </c>
      <c r="V60" s="213">
        <f>IF($F60="","",'הזנה לתנאי סף'!O60)</f>
        <v>1</v>
      </c>
      <c r="W60" s="109"/>
      <c r="X60" s="109"/>
      <c r="Y60" s="109"/>
      <c r="Z60" s="214" t="str">
        <f t="shared" si="5"/>
        <v>בדוק נתוני הזנה</v>
      </c>
      <c r="AA60" s="213" t="str">
        <f>IF(OR($F60="",V60=0),"",IF(V60=1,IF(COUNTBLANK(W60:X60)&gt;0,$AG$2,IF(OR(Z60&lt;='פרמטרים לקריטריונים'!$C$27,X60&gt;W60),"",X60-W60))))</f>
        <v>בדוק נתוני הזנה</v>
      </c>
      <c r="AB60" s="214">
        <f t="shared" si="9"/>
        <v>1</v>
      </c>
      <c r="AC60" s="225" t="str">
        <f>IF(OR(AB60="",U60=1),"",IF(OR(COUNTBLANK(W60:Y60)&gt;0,AB60&gt;='פרמטרים לקריטריונים'!$E$54),'פרמטרים לקריטריונים'!$F$54,INDEX('פרמטרים לקריטריונים'!$F$49:$F$54,MATCH(AB60,'פרמטרים לקריטריונים'!$E$49:$E$54,1))))</f>
        <v/>
      </c>
      <c r="AD60" s="213" t="str">
        <f t="shared" si="6"/>
        <v/>
      </c>
      <c r="AE60" s="213">
        <f t="shared" si="7"/>
        <v>14590.014488025099</v>
      </c>
      <c r="AG60" s="175">
        <f t="shared" si="10"/>
        <v>1</v>
      </c>
    </row>
    <row r="61" spans="1:33" ht="15.75" x14ac:dyDescent="0.2">
      <c r="A61" s="206">
        <f t="shared" si="8"/>
        <v>31</v>
      </c>
      <c r="B61" s="88">
        <f>IF($F61="","",'הזנה לתנאי סף'!C61)</f>
        <v>1001350418</v>
      </c>
      <c r="C61" s="88">
        <f>IF($F61="","",'הזנה לתנאי סף'!D61)</f>
        <v>1001279702</v>
      </c>
      <c r="D61" s="88">
        <f>IF($F61="","",'הזנה לתנאי סף'!E61)</f>
        <v>40000047</v>
      </c>
      <c r="E61" s="88">
        <f>IF($F61="","",'הזנה לתנאי סף'!F61)</f>
        <v>20000201</v>
      </c>
      <c r="F61" s="88" t="str">
        <f>IF(OR('הזנה לתנאי סף'!G61="",'הזנה לתנאי סף'!BL61&lt;&gt;1),"",'הזנה לתנאי סף'!G61)</f>
        <v>תל אביב -יפו</v>
      </c>
      <c r="G61" s="88" t="str">
        <f>IF($F61="","",'הזנה לתנאי סף'!H61)</f>
        <v>סינמטק</v>
      </c>
      <c r="H61" s="88" t="str">
        <f>IF($F61="","",'הזנה לתנאי סף'!I61)</f>
        <v>סינמטקים ופסטיבלים</v>
      </c>
      <c r="I61" s="109">
        <v>7004000</v>
      </c>
      <c r="J61" s="213">
        <f>IF($F61="","",'הזנה לתנאי סף'!S61)</f>
        <v>17444000</v>
      </c>
      <c r="K61" s="109">
        <v>0</v>
      </c>
      <c r="L61" s="213">
        <f t="shared" si="0"/>
        <v>24448000</v>
      </c>
      <c r="M61" s="213">
        <f>IF($F61="","",IF(L61='הזנה לתנאי סף'!R61,1,0))</f>
        <v>1</v>
      </c>
      <c r="N61" s="214">
        <f t="shared" si="1"/>
        <v>0.28648560209424084</v>
      </c>
      <c r="O61" s="214">
        <f t="shared" si="11"/>
        <v>0.71351439790575921</v>
      </c>
      <c r="P61" s="109">
        <v>25846000</v>
      </c>
      <c r="Q61" s="213">
        <f>IF($F61="","",IFERROR(IF(P61&gt;0,'פרמטרים לקריטריונים'!$C$25*P61*O61,$AG$2),""))</f>
        <v>5532447.9384816755</v>
      </c>
      <c r="R61" s="213">
        <f>IF($F61="","",IFERROR('פרמטרים לקריטריונים'!$C$26*Q61,""))</f>
        <v>1360438.0176594283</v>
      </c>
      <c r="S61" s="214">
        <f t="shared" si="3"/>
        <v>2.0161900777252752E-2</v>
      </c>
      <c r="T61" s="213">
        <f t="shared" si="4"/>
        <v>1008095.0388626376</v>
      </c>
      <c r="U61" s="213">
        <f>IF($F61="","",'הזנה לתנאי סף'!N61)</f>
        <v>1</v>
      </c>
      <c r="V61" s="213">
        <f>IF($F61="","",'הזנה לתנאי סף'!O61)</f>
        <v>1</v>
      </c>
      <c r="W61" s="109"/>
      <c r="X61" s="109"/>
      <c r="Y61" s="109"/>
      <c r="Z61" s="214" t="str">
        <f t="shared" si="5"/>
        <v>בדוק נתוני הזנה</v>
      </c>
      <c r="AA61" s="213" t="str">
        <f>IF(OR($F61="",V61=0),"",IF(V61=1,IF(COUNTBLANK(W61:X61)&gt;0,$AG$2,IF(OR(Z61&lt;='פרמטרים לקריטריונים'!$C$27,X61&gt;W61),"",X61-W61))))</f>
        <v>בדוק נתוני הזנה</v>
      </c>
      <c r="AB61" s="214">
        <f t="shared" si="9"/>
        <v>1</v>
      </c>
      <c r="AC61" s="225" t="str">
        <f>IF(OR(AB61="",U61=1),"",IF(OR(COUNTBLANK(W61:Y61)&gt;0,AB61&gt;='פרמטרים לקריטריונים'!$E$54),'פרמטרים לקריטריונים'!$F$54,INDEX('פרמטרים לקריטריונים'!$F$49:$F$54,MATCH(AB61,'פרמטרים לקריטריונים'!$E$49:$E$54,1))))</f>
        <v/>
      </c>
      <c r="AD61" s="213" t="str">
        <f t="shared" si="6"/>
        <v/>
      </c>
      <c r="AE61" s="213">
        <f t="shared" si="7"/>
        <v>1008095.0388626376</v>
      </c>
      <c r="AG61" s="175">
        <f t="shared" si="10"/>
        <v>1</v>
      </c>
    </row>
    <row r="62" spans="1:33" ht="15.75" x14ac:dyDescent="0.2">
      <c r="A62" s="206">
        <f t="shared" si="8"/>
        <v>32</v>
      </c>
      <c r="B62" s="88">
        <f>IF($F62="","",'הזנה לתנאי סף'!C62)</f>
        <v>1001350420</v>
      </c>
      <c r="C62" s="88">
        <f>IF($F62="","",'הזנה לתנאי סף'!D62)</f>
        <v>1001279677</v>
      </c>
      <c r="D62" s="88">
        <f>IF($F62="","",'הזנה לתנאי סף'!E62)</f>
        <v>40000047</v>
      </c>
      <c r="E62" s="88">
        <f>IF($F62="","",'הזנה לתנאי סף'!F62)</f>
        <v>20000201</v>
      </c>
      <c r="F62" s="88" t="str">
        <f>IF(OR('הזנה לתנאי סף'!G62="",'הזנה לתנאי סף'!BL62&lt;&gt;1),"",'הזנה לתנאי סף'!G62)</f>
        <v>תל אביב -יפו</v>
      </c>
      <c r="G62" s="88" t="str">
        <f>IF($F62="","",'הזנה לתנאי סף'!H62)</f>
        <v>סינמטק</v>
      </c>
      <c r="H62" s="88" t="str">
        <f>IF($F62="","",'הזנה לתנאי סף'!I62)</f>
        <v>סינמטקים ופסטיבלים</v>
      </c>
      <c r="I62" s="109">
        <v>253570</v>
      </c>
      <c r="J62" s="213">
        <f>IF($F62="","",'הזנה לתנאי סף'!S62)</f>
        <v>328752</v>
      </c>
      <c r="K62" s="109">
        <v>0</v>
      </c>
      <c r="L62" s="213">
        <f t="shared" si="0"/>
        <v>582322</v>
      </c>
      <c r="M62" s="213">
        <f>IF($F62="","",IF(L62='הזנה לתנאי סף'!R62,1,0))</f>
        <v>1</v>
      </c>
      <c r="N62" s="214">
        <f t="shared" si="1"/>
        <v>0.43544636816057097</v>
      </c>
      <c r="O62" s="214">
        <f t="shared" si="11"/>
        <v>0.56455363183942908</v>
      </c>
      <c r="P62" s="109">
        <v>747414</v>
      </c>
      <c r="Q62" s="213">
        <f>IF($F62="","",IFERROR(IF(P62&gt;0,'פרמטרים לקריטריונים'!$C$25*P62*O62,$AG$2),""))</f>
        <v>126586.5864562905</v>
      </c>
      <c r="R62" s="213">
        <f>IF($F62="","",IFERROR('פרמטרים לקריטריונים'!$C$26*Q62,""))</f>
        <v>31127.849128596026</v>
      </c>
      <c r="S62" s="214">
        <f t="shared" si="3"/>
        <v>4.6131951429863598E-4</v>
      </c>
      <c r="T62" s="213">
        <f t="shared" si="4"/>
        <v>23065.975714931799</v>
      </c>
      <c r="U62" s="213">
        <f>IF($F62="","",'הזנה לתנאי סף'!N62)</f>
        <v>1</v>
      </c>
      <c r="V62" s="213">
        <f>IF($F62="","",'הזנה לתנאי סף'!O62)</f>
        <v>1</v>
      </c>
      <c r="W62" s="109"/>
      <c r="X62" s="109"/>
      <c r="Y62" s="109"/>
      <c r="Z62" s="214" t="str">
        <f t="shared" si="5"/>
        <v>בדוק נתוני הזנה</v>
      </c>
      <c r="AA62" s="213" t="str">
        <f>IF(OR($F62="",V62=0),"",IF(V62=1,IF(COUNTBLANK(W62:X62)&gt;0,$AG$2,IF(OR(Z62&lt;='פרמטרים לקריטריונים'!$C$27,X62&gt;W62),"",X62-W62))))</f>
        <v>בדוק נתוני הזנה</v>
      </c>
      <c r="AB62" s="214">
        <f t="shared" si="9"/>
        <v>0</v>
      </c>
      <c r="AC62" s="225" t="str">
        <f>IF(OR(AB62="",U62=1),"",IF(OR(COUNTBLANK(W62:Y62)&gt;0,AB62&gt;='פרמטרים לקריטריונים'!$E$54),'פרמטרים לקריטריונים'!$F$54,INDEX('פרמטרים לקריטריונים'!$F$49:$F$54,MATCH(AB62,'פרמטרים לקריטריונים'!$E$49:$E$54,1))))</f>
        <v/>
      </c>
      <c r="AD62" s="213" t="str">
        <f t="shared" si="6"/>
        <v/>
      </c>
      <c r="AE62" s="213">
        <f t="shared" si="7"/>
        <v>23065.975714931799</v>
      </c>
      <c r="AG62" s="175">
        <f t="shared" si="10"/>
        <v>1</v>
      </c>
    </row>
    <row r="63" spans="1:33" ht="15.75" x14ac:dyDescent="0.2">
      <c r="A63" s="206">
        <f t="shared" si="8"/>
        <v>33</v>
      </c>
      <c r="B63" s="88">
        <f>IF($F63="","",'הזנה לתנאי סף'!C63)</f>
        <v>1001346673</v>
      </c>
      <c r="C63" s="88">
        <f>IF($F63="","",'הזנה לתנאי סף'!D63)</f>
        <v>1001280582</v>
      </c>
      <c r="D63" s="88">
        <f>IF($F63="","",'הזנה לתנאי סף'!E63)</f>
        <v>40000026</v>
      </c>
      <c r="E63" s="88">
        <f>IF($F63="","",'הזנה לתנאי סף'!F63)</f>
        <v>20000182</v>
      </c>
      <c r="F63" s="88" t="str">
        <f>IF(OR('הזנה לתנאי סף'!G63="",'הזנה לתנאי סף'!BL63&lt;&gt;1),"",'הזנה לתנאי סף'!G63)</f>
        <v>חיפה</v>
      </c>
      <c r="G63" s="88" t="str">
        <f>IF($F63="","",'הזנה לתנאי סף'!H63)</f>
        <v>מוזיאוני חיפה</v>
      </c>
      <c r="H63" s="88" t="str">
        <f>IF($F63="","",'הזנה לתנאי סף'!I63)</f>
        <v>מוזיאונים</v>
      </c>
      <c r="I63" s="109">
        <v>13999101</v>
      </c>
      <c r="J63" s="213">
        <f>IF($F63="","",'הזנה לתנאי סף'!S63)</f>
        <v>5869585</v>
      </c>
      <c r="K63" s="109">
        <v>0</v>
      </c>
      <c r="L63" s="213">
        <f t="shared" si="0"/>
        <v>19868686</v>
      </c>
      <c r="M63" s="213">
        <f>IF($F63="","",IF(L63='הזנה לתנאי סף'!R63,1,0))</f>
        <v>1</v>
      </c>
      <c r="N63" s="214">
        <f t="shared" si="1"/>
        <v>0.70458111824808145</v>
      </c>
      <c r="O63" s="214">
        <f t="shared" si="11"/>
        <v>0.29541888175191855</v>
      </c>
      <c r="P63" s="109">
        <v>19332466</v>
      </c>
      <c r="Q63" s="213">
        <f>IF($F63="","",IFERROR(IF(P63&gt;0,'פרמטרים לקריטריונים'!$C$25*P63*O63,$AG$2),""))</f>
        <v>1713352.6461680958</v>
      </c>
      <c r="R63" s="213">
        <f>IF($F63="","",IFERROR('פרמטרים לקריטריונים'!$C$26*Q63,""))</f>
        <v>421316.22446756455</v>
      </c>
      <c r="S63" s="214">
        <f t="shared" si="3"/>
        <v>6.2439712822611702E-3</v>
      </c>
      <c r="T63" s="213">
        <f t="shared" si="4"/>
        <v>312198.5641130585</v>
      </c>
      <c r="U63" s="213">
        <f>IF($F63="","",'הזנה לתנאי סף'!N63)</f>
        <v>1</v>
      </c>
      <c r="V63" s="213">
        <f>IF($F63="","",'הזנה לתנאי סף'!O63)</f>
        <v>1</v>
      </c>
      <c r="W63" s="109"/>
      <c r="X63" s="109"/>
      <c r="Y63" s="109"/>
      <c r="Z63" s="214" t="str">
        <f t="shared" si="5"/>
        <v>בדוק נתוני הזנה</v>
      </c>
      <c r="AA63" s="213" t="str">
        <f>IF(OR($F63="",V63=0),"",IF(V63=1,IF(COUNTBLANK(W63:X63)&gt;0,$AG$2,IF(OR(Z63&lt;='פרמטרים לקריטריונים'!$C$27,X63&gt;W63),"",X63-W63))))</f>
        <v>בדוק נתוני הזנה</v>
      </c>
      <c r="AB63" s="214">
        <f t="shared" si="9"/>
        <v>1</v>
      </c>
      <c r="AC63" s="225" t="str">
        <f>IF(OR(AB63="",U63=1),"",IF(OR(COUNTBLANK(W63:Y63)&gt;0,AB63&gt;='פרמטרים לקריטריונים'!$E$54),'פרמטרים לקריטריונים'!$F$54,INDEX('פרמטרים לקריטריונים'!$F$49:$F$54,MATCH(AB63,'פרמטרים לקריטריונים'!$E$49:$E$54,1))))</f>
        <v/>
      </c>
      <c r="AD63" s="213" t="str">
        <f t="shared" si="6"/>
        <v/>
      </c>
      <c r="AE63" s="213">
        <f t="shared" si="7"/>
        <v>312198.5641130585</v>
      </c>
      <c r="AG63" s="175">
        <f t="shared" si="10"/>
        <v>1</v>
      </c>
    </row>
    <row r="64" spans="1:33" ht="15.75" x14ac:dyDescent="0.2">
      <c r="A64" s="206">
        <f t="shared" si="8"/>
        <v>34</v>
      </c>
      <c r="B64" s="88">
        <f>IF($F64="","",'הזנה לתנאי סף'!C64)</f>
        <v>1001349871</v>
      </c>
      <c r="C64" s="88">
        <f>IF($F64="","",'הזנה לתנאי סף'!D64)</f>
        <v>1001270373</v>
      </c>
      <c r="D64" s="88">
        <f>IF($F64="","",'הזנה לתנאי סף'!E64)</f>
        <v>40000076</v>
      </c>
      <c r="E64" s="88">
        <f>IF($F64="","",'הזנה לתנאי סף'!F64)</f>
        <v>20000159</v>
      </c>
      <c r="F64" s="88" t="str">
        <f>IF(OR('הזנה לתנאי סף'!G64="",'הזנה לתנאי סף'!BL64&lt;&gt;1),"",'הזנה לתנאי סף'!G64)</f>
        <v>ירושלים</v>
      </c>
      <c r="G64" s="88" t="str">
        <f>IF($F64="","",'הזנה לתנאי סף'!H64)</f>
        <v>רננות</v>
      </c>
      <c r="H64" s="88" t="str">
        <f>IF($F64="","",'הזנה לתנאי סף'!I64)</f>
        <v>חזנות</v>
      </c>
      <c r="I64" s="109">
        <v>167500</v>
      </c>
      <c r="J64" s="213">
        <f>IF($F64="","",'הזנה לתנאי סף'!S64)</f>
        <v>96362</v>
      </c>
      <c r="K64" s="109">
        <v>0</v>
      </c>
      <c r="L64" s="213">
        <f t="shared" si="0"/>
        <v>263862</v>
      </c>
      <c r="M64" s="213">
        <f>IF($F64="","",IF(L64='הזנה לתנאי סף'!R64,1,0))</f>
        <v>1</v>
      </c>
      <c r="N64" s="214">
        <f t="shared" si="1"/>
        <v>0.63480152503960408</v>
      </c>
      <c r="O64" s="214">
        <f t="shared" si="11"/>
        <v>0.36519847496039592</v>
      </c>
      <c r="P64" s="109">
        <v>264796</v>
      </c>
      <c r="Q64" s="213">
        <f>IF($F64="","",IFERROR(IF(P64&gt;0,'פרמטרים לקריטריונים'!$C$25*P64*O64,$AG$2),""))</f>
        <v>29010.9286126839</v>
      </c>
      <c r="R64" s="213">
        <f>IF($F64="","",IFERROR('פרמטרים לקריטריונים'!$C$26*Q64,""))</f>
        <v>7133.8349047583361</v>
      </c>
      <c r="S64" s="214">
        <f t="shared" si="3"/>
        <v>1.0572453110248695E-4</v>
      </c>
      <c r="T64" s="213">
        <f t="shared" si="4"/>
        <v>5286.2265551243472</v>
      </c>
      <c r="U64" s="213">
        <f>IF($F64="","",'הזנה לתנאי סף'!N64)</f>
        <v>1</v>
      </c>
      <c r="V64" s="213">
        <f>IF($F64="","",'הזנה לתנאי סף'!O64)</f>
        <v>1</v>
      </c>
      <c r="W64" s="109"/>
      <c r="X64" s="109"/>
      <c r="Y64" s="109"/>
      <c r="Z64" s="214" t="str">
        <f t="shared" si="5"/>
        <v>בדוק נתוני הזנה</v>
      </c>
      <c r="AA64" s="213" t="str">
        <f>IF(OR($F64="",V64=0),"",IF(V64=1,IF(COUNTBLANK(W64:X64)&gt;0,$AG$2,IF(OR(Z64&lt;='פרמטרים לקריטריונים'!$C$27,X64&gt;W64),"",X64-W64))))</f>
        <v>בדוק נתוני הזנה</v>
      </c>
      <c r="AB64" s="214">
        <f t="shared" si="9"/>
        <v>1</v>
      </c>
      <c r="AC64" s="225" t="str">
        <f>IF(OR(AB64="",U64=1),"",IF(OR(COUNTBLANK(W64:Y64)&gt;0,AB64&gt;='פרמטרים לקריטריונים'!$E$54),'פרמטרים לקריטריונים'!$F$54,INDEX('פרמטרים לקריטריונים'!$F$49:$F$54,MATCH(AB64,'פרמטרים לקריטריונים'!$E$49:$E$54,1))))</f>
        <v/>
      </c>
      <c r="AD64" s="213" t="str">
        <f t="shared" si="6"/>
        <v/>
      </c>
      <c r="AE64" s="213">
        <f t="shared" si="7"/>
        <v>5286.2265551243472</v>
      </c>
      <c r="AG64" s="175">
        <f t="shared" si="10"/>
        <v>1</v>
      </c>
    </row>
    <row r="65" spans="1:33" ht="15.75" x14ac:dyDescent="0.2">
      <c r="A65" s="206">
        <f t="shared" si="8"/>
        <v>35</v>
      </c>
      <c r="B65" s="88">
        <f>IF($F65="","",'הזנה לתנאי סף'!C65)</f>
        <v>1001350106</v>
      </c>
      <c r="C65" s="88">
        <f>IF($F65="","",'הזנה לתנאי סף'!D65)</f>
        <v>1001288944</v>
      </c>
      <c r="D65" s="88">
        <f>IF($F65="","",'הזנה לתנאי סף'!E65)</f>
        <v>40000076</v>
      </c>
      <c r="E65" s="88">
        <f>IF($F65="","",'הזנה לתנאי סף'!F65)</f>
        <v>20000159</v>
      </c>
      <c r="F65" s="88" t="str">
        <f>IF(OR('הזנה לתנאי סף'!G65="",'הזנה לתנאי סף'!BL65&lt;&gt;1),"",'הזנה לתנאי סף'!G65)</f>
        <v>ירושלים</v>
      </c>
      <c r="G65" s="88" t="str">
        <f>IF($F65="","",'הזנה לתנאי סף'!H65)</f>
        <v>רננות</v>
      </c>
      <c r="H65" s="88" t="str">
        <f>IF($F65="","",'הזנה לתנאי סף'!I65)</f>
        <v>קבוצות מוסיקה</v>
      </c>
      <c r="I65" s="109">
        <v>0</v>
      </c>
      <c r="J65" s="213">
        <f>IF($F65="","",'הזנה לתנאי סף'!S65)</f>
        <v>56450</v>
      </c>
      <c r="K65" s="109">
        <v>0</v>
      </c>
      <c r="L65" s="213">
        <f t="shared" si="0"/>
        <v>56450</v>
      </c>
      <c r="M65" s="213">
        <f>IF($F65="","",IF(L65='הזנה לתנאי סף'!R65,1,0))</f>
        <v>1</v>
      </c>
      <c r="N65" s="214">
        <f t="shared" si="1"/>
        <v>0</v>
      </c>
      <c r="O65" s="214">
        <f t="shared" si="11"/>
        <v>1</v>
      </c>
      <c r="P65" s="109">
        <v>77642</v>
      </c>
      <c r="Q65" s="213">
        <f>IF($F65="","",IFERROR(IF(P65&gt;0,'פרמטרים לקריטריונים'!$C$25*P65*O65,$AG$2),""))</f>
        <v>23292.6</v>
      </c>
      <c r="R65" s="213">
        <f>IF($F65="","",IFERROR('פרמטרים לקריטריונים'!$C$26*Q65,""))</f>
        <v>5727.6885245901631</v>
      </c>
      <c r="S65" s="214">
        <f t="shared" si="3"/>
        <v>8.4885225358870845E-5</v>
      </c>
      <c r="T65" s="213">
        <f t="shared" si="4"/>
        <v>4244.2612679435424</v>
      </c>
      <c r="U65" s="213">
        <f>IF($F65="","",'הזנה לתנאי סף'!N65)</f>
        <v>1</v>
      </c>
      <c r="V65" s="213">
        <f>IF($F65="","",'הזנה לתנאי סף'!O65)</f>
        <v>1</v>
      </c>
      <c r="W65" s="109"/>
      <c r="X65" s="109"/>
      <c r="Y65" s="109"/>
      <c r="Z65" s="214" t="str">
        <f t="shared" si="5"/>
        <v>בדוק נתוני הזנה</v>
      </c>
      <c r="AA65" s="213" t="str">
        <f>IF(OR($F65="",V65=0),"",IF(V65=1,IF(COUNTBLANK(W65:X65)&gt;0,$AG$2,IF(OR(Z65&lt;='פרמטרים לקריטריונים'!$C$27,X65&gt;W65),"",X65-W65))))</f>
        <v>בדוק נתוני הזנה</v>
      </c>
      <c r="AB65" s="214">
        <f t="shared" si="9"/>
        <v>1</v>
      </c>
      <c r="AC65" s="225" t="str">
        <f>IF(OR(AB65="",U65=1),"",IF(OR(COUNTBLANK(W65:Y65)&gt;0,AB65&gt;='פרמטרים לקריטריונים'!$E$54),'פרמטרים לקריטריונים'!$F$54,INDEX('פרמטרים לקריטריונים'!$F$49:$F$54,MATCH(AB65,'פרמטרים לקריטריונים'!$E$49:$E$54,1))))</f>
        <v/>
      </c>
      <c r="AD65" s="213" t="str">
        <f t="shared" si="6"/>
        <v/>
      </c>
      <c r="AE65" s="213">
        <f t="shared" si="7"/>
        <v>4244.2612679435424</v>
      </c>
      <c r="AG65" s="175">
        <f t="shared" si="10"/>
        <v>1</v>
      </c>
    </row>
    <row r="66" spans="1:33" ht="15.75" x14ac:dyDescent="0.2">
      <c r="A66" s="206">
        <f t="shared" si="8"/>
        <v>36</v>
      </c>
      <c r="B66" s="88">
        <f>IF($F66="","",'הזנה לתנאי סף'!C66)</f>
        <v>1001348855</v>
      </c>
      <c r="C66" s="88">
        <f>IF($F66="","",'הזנה לתנאי סף'!D66)</f>
        <v>1001272029</v>
      </c>
      <c r="D66" s="88">
        <f>IF($F66="","",'הזנה לתנאי סף'!E66)</f>
        <v>40000107</v>
      </c>
      <c r="E66" s="88">
        <f>IF($F66="","",'הזנה לתנאי סף'!F66)</f>
        <v>20000139</v>
      </c>
      <c r="F66" s="88" t="str">
        <f>IF(OR('הזנה לתנאי סף'!G66="",'הזנה לתנאי סף'!BL66&lt;&gt;1),"",'הזנה לתנאי סף'!G66)</f>
        <v>מטה אשר</v>
      </c>
      <c r="G66" s="88" t="str">
        <f>IF($F66="","",'הזנה לתנאי סף'!H66)</f>
        <v>בית לוחמי הגטאות</v>
      </c>
      <c r="H66" s="88" t="str">
        <f>IF($F66="","",'הזנה לתנאי סף'!I66)</f>
        <v>מוזיאונים</v>
      </c>
      <c r="I66" s="109">
        <v>2329805</v>
      </c>
      <c r="J66" s="213">
        <f>IF($F66="","",'הזנה לתנאי סף'!S66)</f>
        <v>11602990</v>
      </c>
      <c r="K66" s="109">
        <v>0</v>
      </c>
      <c r="L66" s="213">
        <f t="shared" si="0"/>
        <v>13932795</v>
      </c>
      <c r="M66" s="213">
        <f>IF($F66="","",IF(L66='הזנה לתנאי סף'!R66,1,0))</f>
        <v>1</v>
      </c>
      <c r="N66" s="214">
        <f t="shared" si="1"/>
        <v>0.16721734583764419</v>
      </c>
      <c r="O66" s="214">
        <f t="shared" si="11"/>
        <v>0.83278265416235575</v>
      </c>
      <c r="P66" s="109">
        <v>15361998</v>
      </c>
      <c r="Q66" s="213">
        <f>IF($F66="","",IFERROR(IF(P66&gt;0,'פרמטרים לקריטריונים'!$C$25*P66*O66,$AG$2),""))</f>
        <v>3837961.6403030399</v>
      </c>
      <c r="R66" s="213">
        <f>IF($F66="","",IFERROR('פרמטרים לקריטריונים'!$C$26*Q66,""))</f>
        <v>943761.05909091141</v>
      </c>
      <c r="S66" s="214">
        <f t="shared" si="3"/>
        <v>1.3986684129544369E-2</v>
      </c>
      <c r="T66" s="213">
        <f t="shared" si="4"/>
        <v>699334.20647721842</v>
      </c>
      <c r="U66" s="213">
        <f>IF($F66="","",'הזנה לתנאי סף'!N66)</f>
        <v>0</v>
      </c>
      <c r="V66" s="213">
        <f>IF($F66="","",'הזנה לתנאי סף'!O66)</f>
        <v>1</v>
      </c>
      <c r="W66" s="109">
        <v>0</v>
      </c>
      <c r="X66" s="109">
        <v>0</v>
      </c>
      <c r="Y66" s="109">
        <v>1</v>
      </c>
      <c r="Z66" s="214">
        <f t="shared" si="5"/>
        <v>0</v>
      </c>
      <c r="AA66" s="213" t="str">
        <f>IF(OR($F66="",V66=0),"",IF(V66=1,IF(COUNTBLANK(W66:X66)&gt;0,$AG$2,IF(OR(Z66&lt;='פרמטרים לקריטריונים'!$C$27,X66&gt;W66),"",X66-W66))))</f>
        <v/>
      </c>
      <c r="AB66" s="214" t="str">
        <f t="shared" si="9"/>
        <v/>
      </c>
      <c r="AC66" s="225" t="str">
        <f>IF(OR(AB66="",U66=1),"",IF(OR(COUNTBLANK(W66:Y66)&gt;0,AB66&gt;='פרמטרים לקריטריונים'!$E$54),'פרמטרים לקריטריונים'!$F$54,INDEX('פרמטרים לקריטריונים'!$F$49:$F$54,MATCH(AB66,'פרמטרים לקריטריונים'!$E$49:$E$54,1))))</f>
        <v/>
      </c>
      <c r="AD66" s="213" t="str">
        <f t="shared" si="6"/>
        <v/>
      </c>
      <c r="AE66" s="213">
        <f t="shared" si="7"/>
        <v>699334.20647721842</v>
      </c>
      <c r="AG66" s="175">
        <f t="shared" si="10"/>
        <v>0</v>
      </c>
    </row>
    <row r="67" spans="1:33" ht="15.75" x14ac:dyDescent="0.2">
      <c r="A67" s="206">
        <f t="shared" si="8"/>
        <v>37</v>
      </c>
      <c r="B67" s="88">
        <f>IF($F67="","",'הזנה לתנאי סף'!C67)</f>
        <v>1001347716</v>
      </c>
      <c r="C67" s="88">
        <f>IF($F67="","",'הזנה לתנאי סף'!D67)</f>
        <v>1001280063</v>
      </c>
      <c r="D67" s="88">
        <f>IF($F67="","",'הזנה לתנאי סף'!E67)</f>
        <v>40000157</v>
      </c>
      <c r="E67" s="88">
        <f>IF($F67="","",'הזנה לתנאי סף'!F67)</f>
        <v>20000201</v>
      </c>
      <c r="F67" s="88" t="str">
        <f>IF(OR('הזנה לתנאי סף'!G67="",'הזנה לתנאי סף'!BL67&lt;&gt;1),"",'הזנה לתנאי סף'!G67)</f>
        <v>תל אביב -יפו</v>
      </c>
      <c r="G67" s="88" t="str">
        <f>IF($F67="","",'הזנה לתנאי סף'!H67)</f>
        <v>מרכז סוזן דלל</v>
      </c>
      <c r="H67" s="88" t="str">
        <f>IF($F67="","",'הזנה לתנאי סף'!I67)</f>
        <v>מחול</v>
      </c>
      <c r="I67" s="109">
        <v>446124</v>
      </c>
      <c r="J67" s="213">
        <f>IF($F67="","",'הזנה לתנאי סף'!S67)</f>
        <v>755531</v>
      </c>
      <c r="K67" s="109">
        <v>0</v>
      </c>
      <c r="L67" s="213">
        <f t="shared" si="0"/>
        <v>1201655</v>
      </c>
      <c r="M67" s="213">
        <f>IF($F67="","",IF(L67='הזנה לתנאי סף'!R67,1,0))</f>
        <v>1</v>
      </c>
      <c r="N67" s="214">
        <f t="shared" si="1"/>
        <v>0.37125797337838229</v>
      </c>
      <c r="O67" s="214">
        <f t="shared" si="11"/>
        <v>0.62874202662161771</v>
      </c>
      <c r="P67" s="109">
        <v>1220134</v>
      </c>
      <c r="Q67" s="213">
        <f>IF($F67="","",IFERROR(IF(P67&gt;0,'פרמטרים לקריטריונים'!$C$25*P67*O67,$AG$2),""))</f>
        <v>230144.85717298227</v>
      </c>
      <c r="R67" s="213">
        <f>IF($F67="","",IFERROR('פרמטרים לקריטריונים'!$C$26*Q67,""))</f>
        <v>56592.997665487441</v>
      </c>
      <c r="S67" s="214">
        <f t="shared" si="3"/>
        <v>8.3871693440464978E-4</v>
      </c>
      <c r="T67" s="213">
        <f t="shared" si="4"/>
        <v>41935.84672023249</v>
      </c>
      <c r="U67" s="213">
        <f>IF($F67="","",'הזנה לתנאי סף'!N67)</f>
        <v>1</v>
      </c>
      <c r="V67" s="213">
        <f>IF($F67="","",'הזנה לתנאי סף'!O67)</f>
        <v>1</v>
      </c>
      <c r="W67" s="109"/>
      <c r="X67" s="109"/>
      <c r="Y67" s="109"/>
      <c r="Z67" s="214" t="str">
        <f t="shared" si="5"/>
        <v>בדוק נתוני הזנה</v>
      </c>
      <c r="AA67" s="213" t="str">
        <f>IF(OR($F67="",V67=0),"",IF(V67=1,IF(COUNTBLANK(W67:X67)&gt;0,$AG$2,IF(OR(Z67&lt;='פרמטרים לקריטריונים'!$C$27,X67&gt;W67),"",X67-W67))))</f>
        <v>בדוק נתוני הזנה</v>
      </c>
      <c r="AB67" s="214">
        <f t="shared" si="9"/>
        <v>1</v>
      </c>
      <c r="AC67" s="225" t="str">
        <f>IF(OR(AB67="",U67=1),"",IF(OR(COUNTBLANK(W67:Y67)&gt;0,AB67&gt;='פרמטרים לקריטריונים'!$E$54),'פרמטרים לקריטריונים'!$F$54,INDEX('פרמטרים לקריטריונים'!$F$49:$F$54,MATCH(AB67,'פרמטרים לקריטריונים'!$E$49:$E$54,1))))</f>
        <v/>
      </c>
      <c r="AD67" s="213" t="str">
        <f t="shared" si="6"/>
        <v/>
      </c>
      <c r="AE67" s="213">
        <f t="shared" si="7"/>
        <v>41935.84672023249</v>
      </c>
      <c r="AG67" s="175">
        <f t="shared" si="10"/>
        <v>1</v>
      </c>
    </row>
    <row r="68" spans="1:33" ht="15.75" x14ac:dyDescent="0.2">
      <c r="A68" s="206">
        <f t="shared" si="8"/>
        <v>38</v>
      </c>
      <c r="B68" s="88">
        <f>IF($F68="","",'הזנה לתנאי סף'!C68)</f>
        <v>1001347748</v>
      </c>
      <c r="C68" s="88">
        <f>IF($F68="","",'הזנה לתנאי סף'!D68)</f>
        <v>1001280061</v>
      </c>
      <c r="D68" s="88">
        <f>IF($F68="","",'הזנה לתנאי סף'!E68)</f>
        <v>40000157</v>
      </c>
      <c r="E68" s="88">
        <f>IF($F68="","",'הזנה לתנאי סף'!F68)</f>
        <v>20000201</v>
      </c>
      <c r="F68" s="88" t="str">
        <f>IF(OR('הזנה לתנאי סף'!G68="",'הזנה לתנאי סף'!BL68&lt;&gt;1),"",'הזנה לתנאי סף'!G68)</f>
        <v>תל אביב -יפו</v>
      </c>
      <c r="G68" s="88" t="str">
        <f>IF($F68="","",'הזנה לתנאי סף'!H68)</f>
        <v>מרכז סוזן דלל</v>
      </c>
      <c r="H68" s="88" t="str">
        <f>IF($F68="","",'הזנה לתנאי סף'!I68)</f>
        <v>מחול</v>
      </c>
      <c r="I68" s="109">
        <v>3841491</v>
      </c>
      <c r="J68" s="213">
        <f>IF($F68="","",'הזנה לתנאי סף'!S68)</f>
        <v>4469579</v>
      </c>
      <c r="K68" s="109">
        <v>0</v>
      </c>
      <c r="L68" s="213">
        <f t="shared" si="0"/>
        <v>8311070</v>
      </c>
      <c r="M68" s="213">
        <f>IF($F68="","",IF(L68='הזנה לתנאי סף'!R68,1,0))</f>
        <v>1</v>
      </c>
      <c r="N68" s="214">
        <f t="shared" si="1"/>
        <v>0.46221377030875688</v>
      </c>
      <c r="O68" s="214">
        <f t="shared" si="11"/>
        <v>0.53778622969124312</v>
      </c>
      <c r="P68" s="109">
        <v>7732430</v>
      </c>
      <c r="Q68" s="213">
        <f>IF($F68="","",IFERROR(IF(P68&gt;0,'פרמטרים לקריטריונים'!$C$25*P68*O68,$AG$2),""))</f>
        <v>1247518.3128154378</v>
      </c>
      <c r="R68" s="213">
        <f>IF($F68="","",IFERROR('פרמטרים לקריטריונים'!$C$26*Q68,""))</f>
        <v>306766.79823330435</v>
      </c>
      <c r="S68" s="214">
        <f t="shared" si="3"/>
        <v>4.5463311576490724E-3</v>
      </c>
      <c r="T68" s="213">
        <f t="shared" si="4"/>
        <v>227316.55788245364</v>
      </c>
      <c r="U68" s="213">
        <f>IF($F68="","",'הזנה לתנאי סף'!N68)</f>
        <v>1</v>
      </c>
      <c r="V68" s="213">
        <f>IF($F68="","",'הזנה לתנאי סף'!O68)</f>
        <v>1</v>
      </c>
      <c r="W68" s="109"/>
      <c r="X68" s="109"/>
      <c r="Y68" s="109"/>
      <c r="Z68" s="214" t="str">
        <f t="shared" si="5"/>
        <v>בדוק נתוני הזנה</v>
      </c>
      <c r="AA68" s="213" t="str">
        <f>IF(OR($F68="",V68=0),"",IF(V68=1,IF(COUNTBLANK(W68:X68)&gt;0,$AG$2,IF(OR(Z68&lt;='פרמטרים לקריטריונים'!$C$27,X68&gt;W68),"",X68-W68))))</f>
        <v>בדוק נתוני הזנה</v>
      </c>
      <c r="AB68" s="214">
        <f t="shared" si="9"/>
        <v>1</v>
      </c>
      <c r="AC68" s="225" t="str">
        <f>IF(OR(AB68="",U68=1),"",IF(OR(COUNTBLANK(W68:Y68)&gt;0,AB68&gt;='פרמטרים לקריטריונים'!$E$54),'פרמטרים לקריטריונים'!$F$54,INDEX('פרמטרים לקריטריונים'!$F$49:$F$54,MATCH(AB68,'פרמטרים לקריטריונים'!$E$49:$E$54,1))))</f>
        <v/>
      </c>
      <c r="AD68" s="213" t="str">
        <f t="shared" si="6"/>
        <v/>
      </c>
      <c r="AE68" s="213">
        <f t="shared" si="7"/>
        <v>227316.55788245364</v>
      </c>
      <c r="AG68" s="175">
        <f t="shared" si="10"/>
        <v>1</v>
      </c>
    </row>
    <row r="69" spans="1:33" ht="15.75" x14ac:dyDescent="0.2">
      <c r="A69" s="206">
        <f t="shared" si="8"/>
        <v>39</v>
      </c>
      <c r="B69" s="88">
        <f>IF($F69="","",'הזנה לתנאי סף'!C69)</f>
        <v>1001346567</v>
      </c>
      <c r="C69" s="88">
        <f>IF($F69="","",'הזנה לתנאי סף'!D69)</f>
        <v>1001271762</v>
      </c>
      <c r="D69" s="88">
        <f>IF($F69="","",'הזנה לתנאי סף'!E69)</f>
        <v>40000192</v>
      </c>
      <c r="E69" s="88">
        <f>IF($F69="","",'הזנה לתנאי סף'!F69)</f>
        <v>20000201</v>
      </c>
      <c r="F69" s="88" t="str">
        <f>IF(OR('הזנה לתנאי סף'!G69="",'הזנה לתנאי סף'!BL69&lt;&gt;1),"",'הזנה לתנאי סף'!G69)</f>
        <v>תל אביב -יפו</v>
      </c>
      <c r="G69" s="88" t="str">
        <f>IF($F69="","",'הזנה לתנאי סף'!H69)</f>
        <v>תיאטרון יפו</v>
      </c>
      <c r="H69" s="88" t="str">
        <f>IF($F69="","",'הזנה לתנאי סף'!I69)</f>
        <v>תיאטרון</v>
      </c>
      <c r="I69" s="109">
        <v>991732</v>
      </c>
      <c r="J69" s="213">
        <f>IF($F69="","",'הזנה לתנאי סף'!S69)</f>
        <v>2109914</v>
      </c>
      <c r="K69" s="109">
        <v>0</v>
      </c>
      <c r="L69" s="213">
        <f t="shared" si="0"/>
        <v>3101646</v>
      </c>
      <c r="M69" s="213">
        <f>IF($F69="","",IF(L69='הזנה לתנאי סף'!R69,1,0))</f>
        <v>1</v>
      </c>
      <c r="N69" s="214">
        <f t="shared" si="1"/>
        <v>0.3197437747570161</v>
      </c>
      <c r="O69" s="214">
        <f t="shared" si="11"/>
        <v>0.6802562252429839</v>
      </c>
      <c r="P69" s="109">
        <v>3006406</v>
      </c>
      <c r="Q69" s="213">
        <f>IF($F69="","",IFERROR(IF(P69&gt;0,'פרמטרים לקריטריונים'!$C$25*P69*O69,$AG$2),""))</f>
        <v>613537.91913235746</v>
      </c>
      <c r="R69" s="213">
        <f>IF($F69="","",IFERROR('פרמטרים לקריטריונים'!$C$26*Q69,""))</f>
        <v>150869.98011451412</v>
      </c>
      <c r="S69" s="214">
        <f t="shared" si="3"/>
        <v>2.2359163224269871E-3</v>
      </c>
      <c r="T69" s="213">
        <f t="shared" si="4"/>
        <v>111795.81612134936</v>
      </c>
      <c r="U69" s="213">
        <f>IF($F69="","",'הזנה לתנאי סף'!N69)</f>
        <v>1</v>
      </c>
      <c r="V69" s="213">
        <f>IF($F69="","",'הזנה לתנאי סף'!O69)</f>
        <v>1</v>
      </c>
      <c r="W69" s="109"/>
      <c r="X69" s="109"/>
      <c r="Y69" s="109"/>
      <c r="Z69" s="214" t="str">
        <f t="shared" si="5"/>
        <v>בדוק נתוני הזנה</v>
      </c>
      <c r="AA69" s="213" t="str">
        <f>IF(OR($F69="",V69=0),"",IF(V69=1,IF(COUNTBLANK(W69:X69)&gt;0,$AG$2,IF(OR(Z69&lt;='פרמטרים לקריטריונים'!$C$27,X69&gt;W69),"",X69-W69))))</f>
        <v>בדוק נתוני הזנה</v>
      </c>
      <c r="AB69" s="214">
        <f t="shared" si="9"/>
        <v>1</v>
      </c>
      <c r="AC69" s="225" t="str">
        <f>IF(OR(AB69="",U69=1),"",IF(OR(COUNTBLANK(W69:Y69)&gt;0,AB69&gt;='פרמטרים לקריטריונים'!$E$54),'פרמטרים לקריטריונים'!$F$54,INDEX('פרמטרים לקריטריונים'!$F$49:$F$54,MATCH(AB69,'פרמטרים לקריטריונים'!$E$49:$E$54,1))))</f>
        <v/>
      </c>
      <c r="AD69" s="213" t="str">
        <f t="shared" si="6"/>
        <v/>
      </c>
      <c r="AE69" s="213">
        <f t="shared" si="7"/>
        <v>111795.81612134936</v>
      </c>
      <c r="AG69" s="175">
        <f t="shared" si="10"/>
        <v>1</v>
      </c>
    </row>
    <row r="70" spans="1:33" ht="15.75" x14ac:dyDescent="0.2">
      <c r="A70" s="206">
        <f t="shared" si="8"/>
        <v>40</v>
      </c>
      <c r="B70" s="88">
        <f>IF($F70="","",'הזנה לתנאי סף'!C70)</f>
        <v>1001346993</v>
      </c>
      <c r="C70" s="88">
        <f>IF($F70="","",'הזנה לתנאי סף'!D70)</f>
        <v>1001277357</v>
      </c>
      <c r="D70" s="88">
        <f>IF($F70="","",'הזנה לתנאי סף'!E70)</f>
        <v>40000192</v>
      </c>
      <c r="E70" s="88">
        <f>IF($F70="","",'הזנה לתנאי סף'!F70)</f>
        <v>20000201</v>
      </c>
      <c r="F70" s="88" t="str">
        <f>IF(OR('הזנה לתנאי סף'!G70="",'הזנה לתנאי סף'!BL70&lt;&gt;1),"",'הזנה לתנאי סף'!G70)</f>
        <v>תל אביב -יפו</v>
      </c>
      <c r="G70" s="88" t="str">
        <f>IF($F70="","",'הזנה לתנאי סף'!H70)</f>
        <v>תיאטרון יפו</v>
      </c>
      <c r="H70" s="88" t="str">
        <f>IF($F70="","",'הזנה לתנאי סף'!I70)</f>
        <v>סינמטקים ופסטיבלים</v>
      </c>
      <c r="I70" s="109">
        <v>81348</v>
      </c>
      <c r="J70" s="213">
        <f>IF($F70="","",'הזנה לתנאי סף'!S70)</f>
        <v>30920</v>
      </c>
      <c r="K70" s="109">
        <v>0</v>
      </c>
      <c r="L70" s="213">
        <f t="shared" si="0"/>
        <v>112268</v>
      </c>
      <c r="M70" s="213">
        <f>IF($F70="","",IF(L70='הזנה לתנאי סף'!R70,1,0))</f>
        <v>1</v>
      </c>
      <c r="N70" s="214">
        <f t="shared" si="1"/>
        <v>0.72458759397156802</v>
      </c>
      <c r="O70" s="214">
        <f t="shared" si="11"/>
        <v>0.27541240602843198</v>
      </c>
      <c r="P70" s="109">
        <v>158256</v>
      </c>
      <c r="Q70" s="213">
        <f>IF($F70="","",IFERROR(IF(P70&gt;0,'פרמטרים לקריטריונים'!$C$25*P70*O70,$AG$2),""))</f>
        <v>13075.699718530657</v>
      </c>
      <c r="R70" s="213">
        <f>IF($F70="","",IFERROR('פרמטרים לקריטריונים'!$C$26*Q70,""))</f>
        <v>3215.3359963599978</v>
      </c>
      <c r="S70" s="214">
        <f t="shared" si="3"/>
        <v>4.7651774268754846E-5</v>
      </c>
      <c r="T70" s="213">
        <f t="shared" si="4"/>
        <v>2382.5887134377422</v>
      </c>
      <c r="U70" s="213">
        <f>IF($F70="","",'הזנה לתנאי סף'!N70)</f>
        <v>1</v>
      </c>
      <c r="V70" s="213">
        <f>IF($F70="","",'הזנה לתנאי סף'!O70)</f>
        <v>1</v>
      </c>
      <c r="W70" s="109"/>
      <c r="X70" s="109"/>
      <c r="Y70" s="109"/>
      <c r="Z70" s="214" t="str">
        <f t="shared" si="5"/>
        <v>בדוק נתוני הזנה</v>
      </c>
      <c r="AA70" s="213" t="str">
        <f>IF(OR($F70="",V70=0),"",IF(V70=1,IF(COUNTBLANK(W70:X70)&gt;0,$AG$2,IF(OR(Z70&lt;='פרמטרים לקריטריונים'!$C$27,X70&gt;W70),"",X70-W70))))</f>
        <v>בדוק נתוני הזנה</v>
      </c>
      <c r="AB70" s="214">
        <f t="shared" si="9"/>
        <v>0</v>
      </c>
      <c r="AC70" s="225" t="str">
        <f>IF(OR(AB70="",U70=1),"",IF(OR(COUNTBLANK(W70:Y70)&gt;0,AB70&gt;='פרמטרים לקריטריונים'!$E$54),'פרמטרים לקריטריונים'!$F$54,INDEX('פרמטרים לקריטריונים'!$F$49:$F$54,MATCH(AB70,'פרמטרים לקריטריונים'!$E$49:$E$54,1))))</f>
        <v/>
      </c>
      <c r="AD70" s="213" t="str">
        <f t="shared" si="6"/>
        <v/>
      </c>
      <c r="AE70" s="213">
        <f t="shared" si="7"/>
        <v>2382.5887134377422</v>
      </c>
      <c r="AG70" s="175">
        <f t="shared" si="10"/>
        <v>1</v>
      </c>
    </row>
    <row r="71" spans="1:33" ht="15.75" x14ac:dyDescent="0.2">
      <c r="A71" s="206">
        <f t="shared" si="8"/>
        <v>41</v>
      </c>
      <c r="B71" s="88">
        <f>IF($F71="","",'הזנה לתנאי סף'!C71)</f>
        <v>1001349157</v>
      </c>
      <c r="C71" s="88">
        <f>IF($F71="","",'הזנה לתנאי סף'!D71)</f>
        <v>1001273336</v>
      </c>
      <c r="D71" s="88">
        <f>IF($F71="","",'הזנה לתנאי סף'!E71)</f>
        <v>40000050</v>
      </c>
      <c r="E71" s="88">
        <f>IF($F71="","",'הזנה לתנאי סף'!F71)</f>
        <v>20000250</v>
      </c>
      <c r="F71" s="88" t="str">
        <f>IF(OR('הזנה לתנאי סף'!G71="",'הזנה לתנאי סף'!BL71&lt;&gt;1),"",'הזנה לתנאי סף'!G71)</f>
        <v>רמת גן</v>
      </c>
      <c r="G71" s="88" t="str">
        <f>IF($F71="","",'הזנה לתנאי סף'!H71)</f>
        <v>אגודת שוחרי מוזאון האדם והחי</v>
      </c>
      <c r="H71" s="88" t="str">
        <f>IF($F71="","",'הזנה לתנאי סף'!I71)</f>
        <v>מוזיאונים</v>
      </c>
      <c r="I71" s="109">
        <v>974616</v>
      </c>
      <c r="J71" s="213">
        <f>IF($F71="","",'הזנה לתנאי סף'!S71)</f>
        <v>398688</v>
      </c>
      <c r="K71" s="109">
        <v>0</v>
      </c>
      <c r="L71" s="213">
        <f t="shared" si="0"/>
        <v>1373304</v>
      </c>
      <c r="M71" s="213">
        <f>IF($F71="","",IF(L71='הזנה לתנאי סף'!R71,1,0))</f>
        <v>1</v>
      </c>
      <c r="N71" s="214">
        <f t="shared" si="1"/>
        <v>0.70968700302336551</v>
      </c>
      <c r="O71" s="214">
        <f t="shared" si="11"/>
        <v>0.29031299697663449</v>
      </c>
      <c r="P71" s="109">
        <v>1402448</v>
      </c>
      <c r="Q71" s="213">
        <f>IF($F71="","",IFERROR(IF(P71&gt;0,'פרמטרים לקריטריונים'!$C$25*P71*O71,$AG$2),""))</f>
        <v>122144.66459516612</v>
      </c>
      <c r="R71" s="213">
        <f>IF($F71="","",IFERROR('פרמטרים לקריטריונים'!$C$26*Q71,""))</f>
        <v>30035.573261106423</v>
      </c>
      <c r="S71" s="214">
        <f t="shared" si="3"/>
        <v>4.451318178539266E-4</v>
      </c>
      <c r="T71" s="213">
        <f t="shared" si="4"/>
        <v>22256.590892696331</v>
      </c>
      <c r="U71" s="213">
        <f>IF($F71="","",'הזנה לתנאי סף'!N71)</f>
        <v>0</v>
      </c>
      <c r="V71" s="213">
        <f>IF($F71="","",'הזנה לתנאי סף'!O71)</f>
        <v>1</v>
      </c>
      <c r="W71" s="109">
        <v>0</v>
      </c>
      <c r="X71" s="109">
        <v>0</v>
      </c>
      <c r="Y71" s="109">
        <v>1</v>
      </c>
      <c r="Z71" s="214">
        <f t="shared" si="5"/>
        <v>0</v>
      </c>
      <c r="AA71" s="213" t="str">
        <f>IF(OR($F71="",V71=0),"",IF(V71=1,IF(COUNTBLANK(W71:X71)&gt;0,$AG$2,IF(OR(Z71&lt;='פרמטרים לקריטריונים'!$C$27,X71&gt;W71),"",X71-W71))))</f>
        <v/>
      </c>
      <c r="AB71" s="214" t="str">
        <f t="shared" si="9"/>
        <v/>
      </c>
      <c r="AC71" s="225" t="str">
        <f>IF(OR(AB71="",U71=1),"",IF(OR(COUNTBLANK(W71:Y71)&gt;0,AB71&gt;='פרמטרים לקריטריונים'!$E$54),'פרמטרים לקריטריונים'!$F$54,INDEX('פרמטרים לקריטריונים'!$F$49:$F$54,MATCH(AB71,'פרמטרים לקריטריונים'!$E$49:$E$54,1))))</f>
        <v/>
      </c>
      <c r="AD71" s="213" t="str">
        <f t="shared" si="6"/>
        <v/>
      </c>
      <c r="AE71" s="213">
        <f t="shared" si="7"/>
        <v>22256.590892696331</v>
      </c>
      <c r="AG71" s="175">
        <f t="shared" si="10"/>
        <v>0</v>
      </c>
    </row>
    <row r="72" spans="1:33" ht="15.75" x14ac:dyDescent="0.2">
      <c r="A72" s="206">
        <f t="shared" si="8"/>
        <v>42</v>
      </c>
      <c r="B72" s="88">
        <f>IF($F72="","",'הזנה לתנאי סף'!C72)</f>
        <v>1001347603</v>
      </c>
      <c r="C72" s="88">
        <f>IF($F72="","",'הזנה לתנאי סף'!D72)</f>
        <v>1001274726</v>
      </c>
      <c r="D72" s="88">
        <f>IF($F72="","",'הזנה לתנאי סף'!E72)</f>
        <v>40000220</v>
      </c>
      <c r="E72" s="88">
        <f>IF($F72="","",'הזנה לתנאי סף'!F72)</f>
        <v>20000136</v>
      </c>
      <c r="F72" s="88" t="str">
        <f>IF(OR('הזנה לתנאי סף'!G72="",'הזנה לתנאי סף'!BL72&lt;&gt;1),"",'הזנה לתנאי סף'!G72)</f>
        <v>עמק יזרעאל</v>
      </c>
      <c r="G72" s="88" t="str">
        <f>IF($F72="","",'הזנה לתנאי סף'!H72)</f>
        <v>מוזיאון העמק</v>
      </c>
      <c r="H72" s="88" t="str">
        <f>IF($F72="","",'הזנה לתנאי סף'!I72)</f>
        <v>מוזיאונים</v>
      </c>
      <c r="I72" s="109">
        <v>334429</v>
      </c>
      <c r="J72" s="213">
        <f>IF($F72="","",'הזנה לתנאי סף'!S72)</f>
        <v>462235</v>
      </c>
      <c r="K72" s="109">
        <v>38023</v>
      </c>
      <c r="L72" s="213">
        <f t="shared" si="0"/>
        <v>834687</v>
      </c>
      <c r="M72" s="213">
        <f>IF($F72="","",IF(L72='הזנה לתנאי סף'!R72,1,0))</f>
        <v>1</v>
      </c>
      <c r="N72" s="214">
        <f t="shared" si="1"/>
        <v>0.40066396146100275</v>
      </c>
      <c r="O72" s="214">
        <f t="shared" si="11"/>
        <v>0.5993360385389972</v>
      </c>
      <c r="P72" s="109">
        <v>610276</v>
      </c>
      <c r="Q72" s="213">
        <f>IF($F72="","",IFERROR(IF(P72&gt;0,'פרמטרים לקריטריונים'!$C$25*P72*O72,$AG$2),""))</f>
        <v>109728.12007662751</v>
      </c>
      <c r="R72" s="213">
        <f>IF($F72="","",IFERROR('פרמטרים לקריטריונים'!$C$26*Q72,""))</f>
        <v>26982.324609006766</v>
      </c>
      <c r="S72" s="214">
        <f t="shared" si="3"/>
        <v>3.9988220297046135E-4</v>
      </c>
      <c r="T72" s="213">
        <f t="shared" si="4"/>
        <v>19994.110148523068</v>
      </c>
      <c r="U72" s="213">
        <f>IF($F72="","",'הזנה לתנאי סף'!N72)</f>
        <v>1</v>
      </c>
      <c r="V72" s="213">
        <f>IF($F72="","",'הזנה לתנאי סף'!O72)</f>
        <v>1</v>
      </c>
      <c r="W72" s="109"/>
      <c r="X72" s="109"/>
      <c r="Y72" s="109"/>
      <c r="Z72" s="214" t="str">
        <f t="shared" si="5"/>
        <v>בדוק נתוני הזנה</v>
      </c>
      <c r="AA72" s="213" t="str">
        <f>IF(OR($F72="",V72=0),"",IF(V72=1,IF(COUNTBLANK(W72:X72)&gt;0,$AG$2,IF(OR(Z72&lt;='פרמטרים לקריטריונים'!$C$27,X72&gt;W72),"",X72-W72))))</f>
        <v>בדוק נתוני הזנה</v>
      </c>
      <c r="AB72" s="214">
        <f t="shared" si="9"/>
        <v>0</v>
      </c>
      <c r="AC72" s="225" t="str">
        <f>IF(OR(AB72="",U72=1),"",IF(OR(COUNTBLANK(W72:Y72)&gt;0,AB72&gt;='פרמטרים לקריטריונים'!$E$54),'פרמטרים לקריטריונים'!$F$54,INDEX('פרמטרים לקריטריונים'!$F$49:$F$54,MATCH(AB72,'פרמטרים לקריטריונים'!$E$49:$E$54,1))))</f>
        <v/>
      </c>
      <c r="AD72" s="213" t="str">
        <f t="shared" si="6"/>
        <v/>
      </c>
      <c r="AE72" s="213">
        <f t="shared" si="7"/>
        <v>19994.110148523068</v>
      </c>
      <c r="AG72" s="175">
        <f t="shared" si="10"/>
        <v>1</v>
      </c>
    </row>
    <row r="73" spans="1:33" ht="15.75" x14ac:dyDescent="0.2">
      <c r="A73" s="206">
        <f t="shared" si="8"/>
        <v>43</v>
      </c>
      <c r="B73" s="88">
        <f>IF($F73="","",'הזנה לתנאי סף'!C73)</f>
        <v>1001347012</v>
      </c>
      <c r="C73" s="88">
        <f>IF($F73="","",'הזנה לתנאי סף'!D73)</f>
        <v>1010013470</v>
      </c>
      <c r="D73" s="88">
        <f>IF($F73="","",'הזנה לתנאי סף'!E73)</f>
        <v>40000280</v>
      </c>
      <c r="E73" s="88">
        <f>IF($F73="","",'הזנה לתנאי סף'!F73)</f>
        <v>20000227</v>
      </c>
      <c r="F73" s="88" t="str">
        <f>IF(OR('הזנה לתנאי סף'!G73="",'הזנה לתנאי סף'!BL73&lt;&gt;1),"",'הזנה לתנאי סף'!G73)</f>
        <v>כפר סבא</v>
      </c>
      <c r="G73" s="88" t="str">
        <f>IF($F73="","",'הזנה לתנאי סף'!H73)</f>
        <v>מרכז קהילתי בכפר סבא ע"ש שושנה ופנחס ספיר</v>
      </c>
      <c r="H73" s="88" t="str">
        <f>IF($F73="","",'הזנה לתנאי סף'!I73)</f>
        <v>מוזיאונים</v>
      </c>
      <c r="I73" s="109">
        <v>863376</v>
      </c>
      <c r="J73" s="213">
        <f>IF($F73="","",'הזנה לתנאי סף'!S73)</f>
        <v>760741</v>
      </c>
      <c r="K73" s="109">
        <v>0</v>
      </c>
      <c r="L73" s="213">
        <f t="shared" si="0"/>
        <v>1624117</v>
      </c>
      <c r="M73" s="213">
        <f>IF($F73="","",IF(L73='הזנה לתנאי סף'!R73,1,0))</f>
        <v>1</v>
      </c>
      <c r="N73" s="214">
        <f t="shared" si="1"/>
        <v>0.53159716941575019</v>
      </c>
      <c r="O73" s="214">
        <f t="shared" si="11"/>
        <v>0.46840283058424981</v>
      </c>
      <c r="P73" s="109">
        <v>1841673</v>
      </c>
      <c r="Q73" s="213">
        <f>IF($F73="","",IFERROR(IF(P73&gt;0,'פרמטרים לקריטריונים'!$C$25*P73*O73,$AG$2),""))</f>
        <v>258793.45386317614</v>
      </c>
      <c r="R73" s="213">
        <f>IF($F73="","",IFERROR('פרמטרים לקריטריונים'!$C$26*Q73,""))</f>
        <v>63637.734556518721</v>
      </c>
      <c r="S73" s="214">
        <f t="shared" si="3"/>
        <v>9.4312101923255684E-4</v>
      </c>
      <c r="T73" s="213">
        <f t="shared" si="4"/>
        <v>47156.050961627843</v>
      </c>
      <c r="U73" s="213">
        <f>IF($F73="","",'הזנה לתנאי סף'!N73)</f>
        <v>1</v>
      </c>
      <c r="V73" s="213">
        <f>IF($F73="","",'הזנה לתנאי סף'!O73)</f>
        <v>1</v>
      </c>
      <c r="W73" s="109"/>
      <c r="X73" s="109"/>
      <c r="Y73" s="109"/>
      <c r="Z73" s="214" t="str">
        <f t="shared" si="5"/>
        <v>בדוק נתוני הזנה</v>
      </c>
      <c r="AA73" s="213" t="str">
        <f>IF(OR($F73="",V73=0),"",IF(V73=1,IF(COUNTBLANK(W73:X73)&gt;0,$AG$2,IF(OR(Z73&lt;='פרמטרים לקריטריונים'!$C$27,X73&gt;W73),"",X73-W73))))</f>
        <v>בדוק נתוני הזנה</v>
      </c>
      <c r="AB73" s="214">
        <f t="shared" si="9"/>
        <v>1</v>
      </c>
      <c r="AC73" s="225" t="str">
        <f>IF(OR(AB73="",U73=1),"",IF(OR(COUNTBLANK(W73:Y73)&gt;0,AB73&gt;='פרמטרים לקריטריונים'!$E$54),'פרמטרים לקריטריונים'!$F$54,INDEX('פרמטרים לקריטריונים'!$F$49:$F$54,MATCH(AB73,'פרמטרים לקריטריונים'!$E$49:$E$54,1))))</f>
        <v/>
      </c>
      <c r="AD73" s="213" t="str">
        <f t="shared" si="6"/>
        <v/>
      </c>
      <c r="AE73" s="213">
        <f t="shared" si="7"/>
        <v>47156.050961627843</v>
      </c>
      <c r="AG73" s="175">
        <f t="shared" si="10"/>
        <v>1</v>
      </c>
    </row>
    <row r="74" spans="1:33" ht="15.75" x14ac:dyDescent="0.2">
      <c r="A74" s="206">
        <f t="shared" si="8"/>
        <v>44</v>
      </c>
      <c r="B74" s="88">
        <f>IF($F74="","",'הזנה לתנאי סף'!C74)</f>
        <v>1001346658</v>
      </c>
      <c r="C74" s="88">
        <f>IF($F74="","",'הזנה לתנאי סף'!D74)</f>
        <v>1001274373</v>
      </c>
      <c r="D74" s="88">
        <f>IF($F74="","",'הזנה לתנאי סף'!E74)</f>
        <v>40000168</v>
      </c>
      <c r="E74" s="88">
        <f>IF($F74="","",'הזנה לתנאי סף'!F74)</f>
        <v>20000139</v>
      </c>
      <c r="F74" s="88" t="str">
        <f>IF(OR('הזנה לתנאי סף'!G74="",'הזנה לתנאי סף'!BL74&lt;&gt;1),"",'הזנה לתנאי סף'!G74)</f>
        <v>מטה אשר</v>
      </c>
      <c r="G74" s="88" t="str">
        <f>IF($F74="","",'הזנה לתנאי סף'!H74)</f>
        <v>קשת איילון</v>
      </c>
      <c r="H74" s="88" t="str">
        <f>IF($F74="","",'הזנה לתנאי סף'!I74)</f>
        <v>מוסיקה-גופים כליים</v>
      </c>
      <c r="I74" s="109">
        <v>169000</v>
      </c>
      <c r="J74" s="213">
        <f>IF($F74="","",'הזנה לתנאי סף'!S74)</f>
        <v>623000</v>
      </c>
      <c r="K74" s="109">
        <v>0</v>
      </c>
      <c r="L74" s="213">
        <f t="shared" si="0"/>
        <v>792000</v>
      </c>
      <c r="M74" s="213">
        <f>IF($F74="","",IF(L74='הזנה לתנאי סף'!R74,1,0))</f>
        <v>1</v>
      </c>
      <c r="N74" s="214">
        <f t="shared" si="1"/>
        <v>0.21338383838383837</v>
      </c>
      <c r="O74" s="214">
        <f t="shared" si="11"/>
        <v>0.78661616161616166</v>
      </c>
      <c r="P74" s="109">
        <v>1316000</v>
      </c>
      <c r="Q74" s="213">
        <f>IF($F74="","",IFERROR(IF(P74&gt;0,'פרמטרים לקריטריונים'!$C$25*P74*O74,$AG$2),""))</f>
        <v>310556.06060606061</v>
      </c>
      <c r="R74" s="213">
        <f>IF($F74="","",IFERROR('פרמטרים לקריטריונים'!$C$26*Q74,""))</f>
        <v>76366.244411326377</v>
      </c>
      <c r="S74" s="214">
        <f t="shared" si="3"/>
        <v>1.1317594940499819E-3</v>
      </c>
      <c r="T74" s="213">
        <f t="shared" si="4"/>
        <v>56587.974702499094</v>
      </c>
      <c r="U74" s="213">
        <f>IF($F74="","",'הזנה לתנאי סף'!N74)</f>
        <v>0</v>
      </c>
      <c r="V74" s="213">
        <f>IF($F74="","",'הזנה לתנאי סף'!O74)</f>
        <v>1</v>
      </c>
      <c r="W74" s="109">
        <v>0</v>
      </c>
      <c r="X74" s="109">
        <v>0</v>
      </c>
      <c r="Y74" s="109">
        <v>1</v>
      </c>
      <c r="Z74" s="214">
        <f t="shared" si="5"/>
        <v>0</v>
      </c>
      <c r="AA74" s="213" t="str">
        <f>IF(OR($F74="",V74=0),"",IF(V74=1,IF(COUNTBLANK(W74:X74)&gt;0,$AG$2,IF(OR(Z74&lt;='פרמטרים לקריטריונים'!$C$27,X74&gt;W74),"",X74-W74))))</f>
        <v/>
      </c>
      <c r="AB74" s="214" t="str">
        <f t="shared" si="9"/>
        <v/>
      </c>
      <c r="AC74" s="225" t="str">
        <f>IF(OR(AB74="",U74=1),"",IF(OR(COUNTBLANK(W74:Y74)&gt;0,AB74&gt;='פרמטרים לקריטריונים'!$E$54),'פרמטרים לקריטריונים'!$F$54,INDEX('פרמטרים לקריטריונים'!$F$49:$F$54,MATCH(AB74,'פרמטרים לקריטריונים'!$E$49:$E$54,1))))</f>
        <v/>
      </c>
      <c r="AD74" s="213" t="str">
        <f t="shared" si="6"/>
        <v/>
      </c>
      <c r="AE74" s="213">
        <f t="shared" si="7"/>
        <v>56587.974702499094</v>
      </c>
      <c r="AG74" s="175">
        <f t="shared" si="10"/>
        <v>0</v>
      </c>
    </row>
    <row r="75" spans="1:33" ht="15.75" x14ac:dyDescent="0.2">
      <c r="A75" s="206" t="str">
        <f t="shared" si="8"/>
        <v/>
      </c>
      <c r="B75" s="88" t="str">
        <f>IF($F75="","",'הזנה לתנאי סף'!C75)</f>
        <v/>
      </c>
      <c r="C75" s="88" t="str">
        <f>IF($F75="","",'הזנה לתנאי סף'!D75)</f>
        <v/>
      </c>
      <c r="D75" s="88" t="str">
        <f>IF($F75="","",'הזנה לתנאי סף'!E75)</f>
        <v/>
      </c>
      <c r="E75" s="88" t="str">
        <f>IF($F75="","",'הזנה לתנאי סף'!F75)</f>
        <v/>
      </c>
      <c r="F75" s="88" t="str">
        <f>IF(OR('הזנה לתנאי סף'!G75="",'הזנה לתנאי סף'!BL75&lt;&gt;1),"",'הזנה לתנאי סף'!G75)</f>
        <v/>
      </c>
      <c r="G75" s="88" t="str">
        <f>IF($F75="","",'הזנה לתנאי סף'!H75)</f>
        <v/>
      </c>
      <c r="H75" s="88" t="str">
        <f>IF($F75="","",'הזנה לתנאי סף'!I75)</f>
        <v/>
      </c>
      <c r="I75" s="109"/>
      <c r="J75" s="213" t="str">
        <f>IF($F75="","",'הזנה לתנאי סף'!S75)</f>
        <v/>
      </c>
      <c r="K75" s="109"/>
      <c r="L75" s="213" t="str">
        <f t="shared" si="0"/>
        <v/>
      </c>
      <c r="M75" s="213" t="str">
        <f>IF($F75="","",IF(L75='הזנה לתנאי סף'!R75,1,0))</f>
        <v/>
      </c>
      <c r="N75" s="214" t="str">
        <f t="shared" si="1"/>
        <v/>
      </c>
      <c r="O75" s="214" t="str">
        <f t="shared" si="11"/>
        <v/>
      </c>
      <c r="P75" s="109"/>
      <c r="Q75" s="213" t="str">
        <f>IF($F75="","",IFERROR(IF(P75&gt;0,'פרמטרים לקריטריונים'!$C$25*P75*O75,$AG$2),""))</f>
        <v/>
      </c>
      <c r="R75" s="213" t="str">
        <f>IF($F75="","",IFERROR('פרמטרים לקריטריונים'!$C$26*Q75,""))</f>
        <v/>
      </c>
      <c r="S75" s="214" t="str">
        <f t="shared" si="3"/>
        <v/>
      </c>
      <c r="T75" s="213" t="str">
        <f t="shared" si="4"/>
        <v/>
      </c>
      <c r="U75" s="213" t="str">
        <f>IF($F75="","",'הזנה לתנאי סף'!N75)</f>
        <v/>
      </c>
      <c r="V75" s="213" t="str">
        <f>IF($F75="","",'הזנה לתנאי סף'!O75)</f>
        <v/>
      </c>
      <c r="W75" s="109"/>
      <c r="X75" s="109"/>
      <c r="Y75" s="109"/>
      <c r="Z75" s="214" t="str">
        <f t="shared" si="5"/>
        <v/>
      </c>
      <c r="AA75" s="213" t="str">
        <f>IF(OR($F75="",V75=0),"",IF(V75=1,IF(COUNTBLANK(W75:X75)&gt;0,$AG$2,IF(OR(Z75&lt;='פרמטרים לקריטריונים'!$C$27,X75&gt;W75),"",X75-W75))))</f>
        <v/>
      </c>
      <c r="AB75" s="214" t="str">
        <f t="shared" si="9"/>
        <v/>
      </c>
      <c r="AC75" s="225" t="str">
        <f>IF(OR(AB75="",U75=1),"",IF(OR(COUNTBLANK(W75:Y75)&gt;0,AB75&gt;='פרמטרים לקריטריונים'!$E$54),'פרמטרים לקריטריונים'!$F$54,INDEX('פרמטרים לקריטריונים'!$F$49:$F$54,MATCH(AB75,'פרמטרים לקריטריונים'!$E$49:$E$54,1))))</f>
        <v/>
      </c>
      <c r="AD75" s="213" t="str">
        <f t="shared" si="6"/>
        <v/>
      </c>
      <c r="AE75" s="213" t="str">
        <f t="shared" si="7"/>
        <v/>
      </c>
      <c r="AG75" s="175">
        <f t="shared" si="10"/>
        <v>0</v>
      </c>
    </row>
    <row r="76" spans="1:33" ht="15.75" x14ac:dyDescent="0.2">
      <c r="A76" s="206">
        <f t="shared" si="8"/>
        <v>46</v>
      </c>
      <c r="B76" s="88">
        <f>IF($F76="","",'הזנה לתנאי סף'!C76)</f>
        <v>1001348760</v>
      </c>
      <c r="C76" s="88">
        <f>IF($F76="","",'הזנה לתנאי סף'!D76)</f>
        <v>1001271005</v>
      </c>
      <c r="D76" s="88">
        <f>IF($F76="","",'הזנה לתנאי סף'!E76)</f>
        <v>40000158</v>
      </c>
      <c r="E76" s="88">
        <f>IF($F76="","",'הזנה לתנאי סף'!F76)</f>
        <v>20000062</v>
      </c>
      <c r="F76" s="88" t="str">
        <f>IF(OR('הזנה לתנאי סף'!G76="",'הזנה לתנאי סף'!BL76&lt;&gt;1),"",'הזנה לתנאי סף'!G76)</f>
        <v>עיילבון</v>
      </c>
      <c r="G76" s="88" t="str">
        <f>IF($F76="","",'הזנה לתנאי סף'!H76)</f>
        <v>ג'בינה- לקידום התיאטרון הערבי</v>
      </c>
      <c r="H76" s="88" t="str">
        <f>IF($F76="","",'הזנה לתנאי סף'!I76)</f>
        <v>תיאטרון</v>
      </c>
      <c r="I76" s="109">
        <v>320383</v>
      </c>
      <c r="J76" s="213">
        <f>IF($F76="","",'הזנה לתנאי סף'!S76)</f>
        <v>155340</v>
      </c>
      <c r="K76" s="109">
        <v>0</v>
      </c>
      <c r="L76" s="213">
        <f t="shared" si="0"/>
        <v>475723</v>
      </c>
      <c r="M76" s="213">
        <f>IF($F76="","",IF(L76='הזנה לתנאי סף'!R76,1,0))</f>
        <v>1</v>
      </c>
      <c r="N76" s="214">
        <f t="shared" si="1"/>
        <v>0.67346544102345274</v>
      </c>
      <c r="O76" s="214">
        <f t="shared" si="11"/>
        <v>0.32653455897654726</v>
      </c>
      <c r="P76" s="109">
        <v>481741</v>
      </c>
      <c r="Q76" s="213">
        <f>IF($F76="","",IFERROR(IF(P76&gt;0,'פרמטרים לקריטריונים'!$C$25*P76*O76,$AG$2),""))</f>
        <v>47191.525492776251</v>
      </c>
      <c r="R76" s="213">
        <f>IF($F76="","",IFERROR('פרמטרים לקריטריונים'!$C$26*Q76,""))</f>
        <v>11604.473481830226</v>
      </c>
      <c r="S76" s="214">
        <f t="shared" si="3"/>
        <v>1.7198008279381482E-4</v>
      </c>
      <c r="T76" s="213">
        <f t="shared" si="4"/>
        <v>8599.00413969074</v>
      </c>
      <c r="U76" s="213">
        <f>IF($F76="","",'הזנה לתנאי סף'!N76)</f>
        <v>0</v>
      </c>
      <c r="V76" s="213">
        <f>IF($F76="","",'הזנה לתנאי סף'!O76)</f>
        <v>1</v>
      </c>
      <c r="W76" s="109">
        <v>0</v>
      </c>
      <c r="X76" s="109">
        <v>0</v>
      </c>
      <c r="Y76" s="109">
        <v>1</v>
      </c>
      <c r="Z76" s="214">
        <f t="shared" si="5"/>
        <v>0</v>
      </c>
      <c r="AA76" s="213" t="str">
        <f>IF(OR($F76="",V76=0),"",IF(V76=1,IF(COUNTBLANK(W76:X76)&gt;0,$AG$2,IF(OR(Z76&lt;='פרמטרים לקריטריונים'!$C$27,X76&gt;W76),"",X76-W76))))</f>
        <v/>
      </c>
      <c r="AB76" s="214" t="str">
        <f t="shared" si="9"/>
        <v/>
      </c>
      <c r="AC76" s="225" t="str">
        <f>IF(OR(AB76="",U76=1),"",IF(OR(COUNTBLANK(W76:Y76)&gt;0,AB76&gt;='פרמטרים לקריטריונים'!$E$54),'פרמטרים לקריטריונים'!$F$54,INDEX('פרמטרים לקריטריונים'!$F$49:$F$54,MATCH(AB76,'פרמטרים לקריטריונים'!$E$49:$E$54,1))))</f>
        <v/>
      </c>
      <c r="AD76" s="213" t="str">
        <f t="shared" si="6"/>
        <v/>
      </c>
      <c r="AE76" s="213">
        <f t="shared" si="7"/>
        <v>8599.00413969074</v>
      </c>
      <c r="AG76" s="175">
        <f t="shared" si="10"/>
        <v>0</v>
      </c>
    </row>
    <row r="77" spans="1:33" ht="15.75" x14ac:dyDescent="0.2">
      <c r="A77" s="206">
        <f t="shared" si="8"/>
        <v>47</v>
      </c>
      <c r="B77" s="88">
        <f>IF($F77="","",'הזנה לתנאי סף'!C77)</f>
        <v>1001350788</v>
      </c>
      <c r="C77" s="88">
        <f>IF($F77="","",'הזנה לתנאי סף'!D77)</f>
        <v>1001274174</v>
      </c>
      <c r="D77" s="88">
        <f>IF($F77="","",'הזנה לתנאי סף'!E77)</f>
        <v>40000291</v>
      </c>
      <c r="E77" s="88">
        <f>IF($F77="","",'הזנה לתנאי סף'!F77)</f>
        <v>20000014</v>
      </c>
      <c r="F77" s="88" t="str">
        <f>IF(OR('הזנה לתנאי סף'!G77="",'הזנה לתנאי סף'!BL77&lt;&gt;1),"",'הזנה לתנאי סף'!G77)</f>
        <v>אשדוד</v>
      </c>
      <c r="G77" s="88" t="str">
        <f>IF($F77="","",'הזנה לתנאי סף'!H77)</f>
        <v>החברה העירונית לתרבות ופנאי אשדוד</v>
      </c>
      <c r="H77" s="88" t="str">
        <f>IF($F77="","",'הזנה לתנאי סף'!I77)</f>
        <v>תיאטרון</v>
      </c>
      <c r="I77" s="109">
        <v>1259757</v>
      </c>
      <c r="J77" s="213">
        <f>IF($F77="","",'הזנה לתנאי סף'!S77)</f>
        <v>844877</v>
      </c>
      <c r="K77" s="109">
        <v>0</v>
      </c>
      <c r="L77" s="213">
        <f t="shared" si="0"/>
        <v>2104634</v>
      </c>
      <c r="M77" s="213">
        <f>IF($F77="","",IF(L77='הזנה לתנאי סף'!R77,1,0))</f>
        <v>1</v>
      </c>
      <c r="N77" s="214">
        <f t="shared" si="1"/>
        <v>0.59856345568873259</v>
      </c>
      <c r="O77" s="214">
        <f t="shared" si="11"/>
        <v>0.40143654431126741</v>
      </c>
      <c r="P77" s="109">
        <v>2267407</v>
      </c>
      <c r="Q77" s="213">
        <f>IF($F77="","",IFERROR(IF(P77&gt;0,'פרמטרים לקריטריונים'!$C$25*P77*O77,$AG$2),""))</f>
        <v>273066.00918815337</v>
      </c>
      <c r="R77" s="213">
        <f>IF($F77="","",IFERROR('פרמטרים לקריטריונים'!$C$26*Q77,""))</f>
        <v>67147.379308562304</v>
      </c>
      <c r="S77" s="214">
        <f t="shared" si="3"/>
        <v>9.9513449455122653E-4</v>
      </c>
      <c r="T77" s="213">
        <f t="shared" si="4"/>
        <v>49756.724727561326</v>
      </c>
      <c r="U77" s="213">
        <f>IF($F77="","",'הזנה לתנאי סף'!N77)</f>
        <v>1</v>
      </c>
      <c r="V77" s="213">
        <f>IF($F77="","",'הזנה לתנאי סף'!O77)</f>
        <v>1</v>
      </c>
      <c r="W77" s="109"/>
      <c r="X77" s="109"/>
      <c r="Y77" s="109"/>
      <c r="Z77" s="214" t="str">
        <f t="shared" si="5"/>
        <v>בדוק נתוני הזנה</v>
      </c>
      <c r="AA77" s="213" t="str">
        <f>IF(OR($F77="",V77=0),"",IF(V77=1,IF(COUNTBLANK(W77:X77)&gt;0,$AG$2,IF(OR(Z77&lt;='פרמטרים לקריטריונים'!$C$27,X77&gt;W77),"",X77-W77))))</f>
        <v>בדוק נתוני הזנה</v>
      </c>
      <c r="AB77" s="214">
        <f t="shared" si="9"/>
        <v>1</v>
      </c>
      <c r="AC77" s="225" t="str">
        <f>IF(OR(AB77="",U77=1),"",IF(OR(COUNTBLANK(W77:Y77)&gt;0,AB77&gt;='פרמטרים לקריטריונים'!$E$54),'פרמטרים לקריטריונים'!$F$54,INDEX('פרמטרים לקריטריונים'!$F$49:$F$54,MATCH(AB77,'פרמטרים לקריטריונים'!$E$49:$E$54,1))))</f>
        <v/>
      </c>
      <c r="AD77" s="213" t="str">
        <f t="shared" si="6"/>
        <v/>
      </c>
      <c r="AE77" s="213">
        <f t="shared" si="7"/>
        <v>49756.724727561326</v>
      </c>
      <c r="AG77" s="175">
        <f t="shared" si="10"/>
        <v>1</v>
      </c>
    </row>
    <row r="78" spans="1:33" ht="15.75" x14ac:dyDescent="0.2">
      <c r="A78" s="206">
        <f t="shared" si="8"/>
        <v>48</v>
      </c>
      <c r="B78" s="88">
        <f>IF($F78="","",'הזנה לתנאי סף'!C78)</f>
        <v>1001346581</v>
      </c>
      <c r="C78" s="88">
        <f>IF($F78="","",'הזנה לתנאי סף'!D78)</f>
        <v>1001263210</v>
      </c>
      <c r="D78" s="88">
        <f>IF($F78="","",'הזנה לתנאי סף'!E78)</f>
        <v>40000298</v>
      </c>
      <c r="E78" s="88">
        <f>IF($F78="","",'הזנה לתנאי סף'!F78)</f>
        <v>20000257</v>
      </c>
      <c r="F78" s="88" t="str">
        <f>IF(OR('הזנה לתנאי סף'!G78="",'הזנה לתנאי סף'!BL78&lt;&gt;1),"",'הזנה לתנאי סף'!G78)</f>
        <v>זכרון יעקב</v>
      </c>
      <c r="G78" s="88" t="str">
        <f>IF($F78="","",'הזנה לתנאי סף'!H78)</f>
        <v>בית אהרונסון, מוזיאון נילי</v>
      </c>
      <c r="H78" s="88" t="str">
        <f>IF($F78="","",'הזנה לתנאי סף'!I78)</f>
        <v>מוזיאונים</v>
      </c>
      <c r="I78" s="109">
        <v>215783</v>
      </c>
      <c r="J78" s="213">
        <f>IF($F78="","",'הזנה לתנאי סף'!S78)</f>
        <v>377427</v>
      </c>
      <c r="K78" s="109">
        <v>8025</v>
      </c>
      <c r="L78" s="213">
        <f t="shared" si="0"/>
        <v>601235</v>
      </c>
      <c r="M78" s="213">
        <f>IF($F78="","",IF(L78='הזנה לתנאי סף'!R78,1,0))</f>
        <v>1</v>
      </c>
      <c r="N78" s="214">
        <f t="shared" si="1"/>
        <v>0.35889959832677737</v>
      </c>
      <c r="O78" s="214">
        <f t="shared" si="11"/>
        <v>0.64110040167322269</v>
      </c>
      <c r="P78" s="109">
        <v>481110</v>
      </c>
      <c r="Q78" s="213">
        <f>IF($F78="","",IFERROR(IF(P78&gt;0,'פרמטרים לקריטריונים'!$C$25*P78*O78,$AG$2),""))</f>
        <v>92531.944274701251</v>
      </c>
      <c r="R78" s="213">
        <f>IF($F78="","",IFERROR('פרמטרים לקריטריונים'!$C$26*Q78,""))</f>
        <v>22753.756788860963</v>
      </c>
      <c r="S78" s="214">
        <f t="shared" si="3"/>
        <v>3.3721417714864359E-4</v>
      </c>
      <c r="T78" s="213">
        <f t="shared" si="4"/>
        <v>16860.708857432179</v>
      </c>
      <c r="U78" s="213">
        <f>IF($F78="","",'הזנה לתנאי סף'!N78)</f>
        <v>0</v>
      </c>
      <c r="V78" s="213">
        <f>IF($F78="","",'הזנה לתנאי סף'!O78)</f>
        <v>1</v>
      </c>
      <c r="W78" s="109">
        <v>0</v>
      </c>
      <c r="X78" s="109">
        <v>0</v>
      </c>
      <c r="Y78" s="109">
        <v>1</v>
      </c>
      <c r="Z78" s="214">
        <f t="shared" si="5"/>
        <v>0</v>
      </c>
      <c r="AA78" s="213" t="str">
        <f>IF(OR($F78="",V78=0),"",IF(V78=1,IF(COUNTBLANK(W78:X78)&gt;0,$AG$2,IF(OR(Z78&lt;='פרמטרים לקריטריונים'!$C$27,X78&gt;W78),"",X78-W78))))</f>
        <v/>
      </c>
      <c r="AB78" s="214" t="str">
        <f t="shared" si="9"/>
        <v/>
      </c>
      <c r="AC78" s="225" t="str">
        <f>IF(OR(AB78="",U78=1),"",IF(OR(COUNTBLANK(W78:Y78)&gt;0,AB78&gt;='פרמטרים לקריטריונים'!$E$54),'פרמטרים לקריטריונים'!$F$54,INDEX('פרמטרים לקריטריונים'!$F$49:$F$54,MATCH(AB78,'פרמטרים לקריטריונים'!$E$49:$E$54,1))))</f>
        <v/>
      </c>
      <c r="AD78" s="213" t="str">
        <f t="shared" si="6"/>
        <v/>
      </c>
      <c r="AE78" s="213">
        <f t="shared" si="7"/>
        <v>16860.708857432179</v>
      </c>
      <c r="AG78" s="175">
        <f t="shared" si="10"/>
        <v>0</v>
      </c>
    </row>
    <row r="79" spans="1:33" ht="15.75" x14ac:dyDescent="0.2">
      <c r="A79" s="206">
        <f t="shared" si="8"/>
        <v>49</v>
      </c>
      <c r="B79" s="88">
        <f>IF($F79="","",'הזנה לתנאי סף'!C79)</f>
        <v>1001349393</v>
      </c>
      <c r="C79" s="88">
        <f>IF($F79="","",'הזנה לתנאי סף'!D79)</f>
        <v>1001272661</v>
      </c>
      <c r="D79" s="88">
        <f>IF($F79="","",'הזנה לתנאי סף'!E79)</f>
        <v>40000323</v>
      </c>
      <c r="E79" s="88">
        <f>IF($F79="","",'הזנה לתנאי סף'!F79)</f>
        <v>20000127</v>
      </c>
      <c r="F79" s="88" t="str">
        <f>IF(OR('הזנה לתנאי סף'!G79="",'הזנה לתנאי סף'!BL79&lt;&gt;1),"",'הזנה לתנאי סף'!G79)</f>
        <v>הגליל העליון</v>
      </c>
      <c r="G79" s="88" t="str">
        <f>IF($F79="","",'הזנה לתנאי סף'!H79)</f>
        <v>מכון בר דוד לאמנות</v>
      </c>
      <c r="H79" s="88" t="str">
        <f>IF($F79="","",'הזנה לתנאי סף'!I79)</f>
        <v>מוזיאונים</v>
      </c>
      <c r="I79" s="109">
        <v>25000</v>
      </c>
      <c r="J79" s="213">
        <f>IF($F79="","",'הזנה לתנאי סף'!S79)</f>
        <v>131034</v>
      </c>
      <c r="K79" s="109">
        <v>240966</v>
      </c>
      <c r="L79" s="213">
        <f t="shared" si="0"/>
        <v>397000</v>
      </c>
      <c r="M79" s="213">
        <f>IF($F79="","",IF(L79='הזנה לתנאי סף'!R79,1,0))</f>
        <v>1</v>
      </c>
      <c r="N79" s="214">
        <f t="shared" si="1"/>
        <v>6.2972292191435769E-2</v>
      </c>
      <c r="O79" s="214">
        <f t="shared" si="11"/>
        <v>0.93702770780856426</v>
      </c>
      <c r="P79" s="109">
        <v>405000</v>
      </c>
      <c r="Q79" s="213">
        <f>IF($F79="","",IFERROR(IF(P79&gt;0,'פרמטרים לקריטריונים'!$C$25*P79*O79,$AG$2),""))</f>
        <v>113848.86649874056</v>
      </c>
      <c r="R79" s="213">
        <f>IF($F79="","",IFERROR('פרמטרים לקריטריונים'!$C$26*Q79,""))</f>
        <v>27995.622909526366</v>
      </c>
      <c r="S79" s="214">
        <f t="shared" si="3"/>
        <v>4.1489943971894912E-4</v>
      </c>
      <c r="T79" s="213">
        <f t="shared" si="4"/>
        <v>20744.971985947457</v>
      </c>
      <c r="U79" s="213">
        <f>IF($F79="","",'הזנה לתנאי סף'!N79)</f>
        <v>0</v>
      </c>
      <c r="V79" s="213">
        <f>IF($F79="","",'הזנה לתנאי סף'!O79)</f>
        <v>1</v>
      </c>
      <c r="W79" s="109">
        <v>0</v>
      </c>
      <c r="X79" s="109">
        <v>0</v>
      </c>
      <c r="Y79" s="109">
        <v>1</v>
      </c>
      <c r="Z79" s="214">
        <f t="shared" si="5"/>
        <v>0</v>
      </c>
      <c r="AA79" s="213" t="str">
        <f>IF(OR($F79="",V79=0),"",IF(V79=1,IF(COUNTBLANK(W79:X79)&gt;0,$AG$2,IF(OR(Z79&lt;='פרמטרים לקריטריונים'!$C$27,X79&gt;W79),"",X79-W79))))</f>
        <v/>
      </c>
      <c r="AB79" s="214" t="str">
        <f t="shared" si="9"/>
        <v/>
      </c>
      <c r="AC79" s="225" t="str">
        <f>IF(OR(AB79="",U79=1),"",IF(OR(COUNTBLANK(W79:Y79)&gt;0,AB79&gt;='פרמטרים לקריטריונים'!$E$54),'פרמטרים לקריטריונים'!$F$54,INDEX('פרמטרים לקריטריונים'!$F$49:$F$54,MATCH(AB79,'פרמטרים לקריטריונים'!$E$49:$E$54,1))))</f>
        <v/>
      </c>
      <c r="AD79" s="213" t="str">
        <f t="shared" si="6"/>
        <v/>
      </c>
      <c r="AE79" s="213">
        <f t="shared" si="7"/>
        <v>20744.971985947457</v>
      </c>
      <c r="AG79" s="175">
        <f t="shared" si="10"/>
        <v>0</v>
      </c>
    </row>
    <row r="80" spans="1:33" ht="15.75" x14ac:dyDescent="0.2">
      <c r="A80" s="206">
        <f t="shared" si="8"/>
        <v>50</v>
      </c>
      <c r="B80" s="88">
        <f>IF($F80="","",'הזנה לתנאי סף'!C80)</f>
        <v>1001348701</v>
      </c>
      <c r="C80" s="88">
        <f>IF($F80="","",'הזנה לתנאי סף'!D80)</f>
        <v>1001266423</v>
      </c>
      <c r="D80" s="88">
        <f>IF($F80="","",'הזנה לתנאי סף'!E80)</f>
        <v>40000341</v>
      </c>
      <c r="E80" s="88">
        <f>IF($F80="","",'הזנה לתנאי סף'!F80)</f>
        <v>20000182</v>
      </c>
      <c r="F80" s="88" t="str">
        <f>IF(OR('הזנה לתנאי סף'!G80="",'הזנה לתנאי סף'!BL80&lt;&gt;1),"",'הזנה לתנאי סף'!G80)</f>
        <v>חיפה</v>
      </c>
      <c r="G80" s="88" t="str">
        <f>IF($F80="","",'הזנה לתנאי סף'!H80)</f>
        <v>מדעטק- המוזיאון הלאומי למדע</v>
      </c>
      <c r="H80" s="88" t="str">
        <f>IF($F80="","",'הזנה לתנאי סף'!I80)</f>
        <v>מוזיאונים</v>
      </c>
      <c r="I80" s="109">
        <v>5323573</v>
      </c>
      <c r="J80" s="213">
        <f>IF($F80="","",'הזנה לתנאי סף'!S80)</f>
        <v>20040970</v>
      </c>
      <c r="K80" s="109">
        <v>0</v>
      </c>
      <c r="L80" s="213">
        <f t="shared" si="0"/>
        <v>25364543</v>
      </c>
      <c r="M80" s="213">
        <f>IF($F80="","",IF(L80='הזנה לתנאי סף'!R80,1,0))</f>
        <v>1</v>
      </c>
      <c r="N80" s="214">
        <f t="shared" si="1"/>
        <v>0.20988247255233416</v>
      </c>
      <c r="O80" s="214">
        <f t="shared" si="11"/>
        <v>0.79011752744766584</v>
      </c>
      <c r="P80" s="109">
        <v>26568684</v>
      </c>
      <c r="Q80" s="213">
        <f>IF($F80="","",IFERROR(IF(P80&gt;0,'פרמטרים לקריטריונים'!$C$25*P80*O80,$AG$2),""))</f>
        <v>6297714.8728855075</v>
      </c>
      <c r="R80" s="213">
        <f>IF($F80="","",IFERROR('פרמטרים לקריטריונים'!$C$26*Q80,""))</f>
        <v>1548618.4113652888</v>
      </c>
      <c r="S80" s="214">
        <f t="shared" si="3"/>
        <v>2.2950763170740882E-2</v>
      </c>
      <c r="T80" s="213">
        <f t="shared" si="4"/>
        <v>1147538.1585370442</v>
      </c>
      <c r="U80" s="213">
        <f>IF($F80="","",'הזנה לתנאי סף'!N80)</f>
        <v>1</v>
      </c>
      <c r="V80" s="213">
        <f>IF($F80="","",'הזנה לתנאי סף'!O80)</f>
        <v>1</v>
      </c>
      <c r="W80" s="109"/>
      <c r="X80" s="109"/>
      <c r="Y80" s="109"/>
      <c r="Z80" s="214" t="str">
        <f t="shared" si="5"/>
        <v>בדוק נתוני הזנה</v>
      </c>
      <c r="AA80" s="213" t="str">
        <f>IF(OR($F80="",V80=0),"",IF(V80=1,IF(COUNTBLANK(W80:X80)&gt;0,$AG$2,IF(OR(Z80&lt;='פרמטרים לקריטריונים'!$C$27,X80&gt;W80),"",X80-W80))))</f>
        <v>בדוק נתוני הזנה</v>
      </c>
      <c r="AB80" s="214">
        <f t="shared" si="9"/>
        <v>1</v>
      </c>
      <c r="AC80" s="225" t="str">
        <f>IF(OR(AB80="",U80=1),"",IF(OR(COUNTBLANK(W80:Y80)&gt;0,AB80&gt;='פרמטרים לקריטריונים'!$E$54),'פרמטרים לקריטריונים'!$F$54,INDEX('פרמטרים לקריטריונים'!$F$49:$F$54,MATCH(AB80,'פרמטרים לקריטריונים'!$E$49:$E$54,1))))</f>
        <v/>
      </c>
      <c r="AD80" s="213" t="str">
        <f t="shared" si="6"/>
        <v/>
      </c>
      <c r="AE80" s="213">
        <f t="shared" si="7"/>
        <v>1147538.1585370442</v>
      </c>
      <c r="AG80" s="175">
        <f t="shared" si="10"/>
        <v>1</v>
      </c>
    </row>
    <row r="81" spans="1:33" ht="15.75" x14ac:dyDescent="0.2">
      <c r="A81" s="206">
        <f t="shared" si="8"/>
        <v>51</v>
      </c>
      <c r="B81" s="88">
        <f>IF($F81="","",'הזנה לתנאי סף'!C81)</f>
        <v>1001346261</v>
      </c>
      <c r="C81" s="88">
        <f>IF($F81="","",'הזנה לתנאי סף'!D81)</f>
        <v>1001274606</v>
      </c>
      <c r="D81" s="88">
        <f>IF($F81="","",'הזנה לתנאי סף'!E81)</f>
        <v>40000183</v>
      </c>
      <c r="E81" s="88">
        <f>IF($F81="","",'הזנה לתנאי סף'!F81)</f>
        <v>20000159</v>
      </c>
      <c r="F81" s="88" t="str">
        <f>IF(OR('הזנה לתנאי סף'!G81="",'הזנה לתנאי סף'!BL81&lt;&gt;1),"",'הזנה לתנאי סף'!G81)</f>
        <v>ירושלים</v>
      </c>
      <c r="G81" s="88" t="str">
        <f>IF($F81="","",'הזנה לתנאי סף'!H81)</f>
        <v>מוזיאון המדע ע"ש בלומפילד ירושלים</v>
      </c>
      <c r="H81" s="88" t="str">
        <f>IF($F81="","",'הזנה לתנאי סף'!I81)</f>
        <v>מוזיאונים</v>
      </c>
      <c r="I81" s="109">
        <v>4226035</v>
      </c>
      <c r="J81" s="213">
        <f>IF($F81="","",'הזנה לתנאי סף'!S81)</f>
        <v>11334556</v>
      </c>
      <c r="K81" s="109">
        <v>0</v>
      </c>
      <c r="L81" s="213">
        <f t="shared" si="0"/>
        <v>15560591</v>
      </c>
      <c r="M81" s="213">
        <f>IF($F81="","",IF(L81='הזנה לתנאי סף'!R81,1,0))</f>
        <v>1</v>
      </c>
      <c r="N81" s="214">
        <f t="shared" si="1"/>
        <v>0.27158576431962</v>
      </c>
      <c r="O81" s="214">
        <f t="shared" si="11"/>
        <v>0.72841423568038</v>
      </c>
      <c r="P81" s="109">
        <v>15838744</v>
      </c>
      <c r="Q81" s="213">
        <f>IF($F81="","",IFERROR(IF(P81&gt;0,'פרמטרים לקריטריונים'!$C$25*P81*O81,$AG$2),""))</f>
        <v>3461149.9814691613</v>
      </c>
      <c r="R81" s="213">
        <f>IF($F81="","",IFERROR('פרמטרים לקריטריונים'!$C$26*Q81,""))</f>
        <v>851102.45445962984</v>
      </c>
      <c r="S81" s="214">
        <f t="shared" si="3"/>
        <v>1.2613469349830481E-2</v>
      </c>
      <c r="T81" s="213">
        <f t="shared" si="4"/>
        <v>630673.46749152406</v>
      </c>
      <c r="U81" s="213">
        <f>IF($F81="","",'הזנה לתנאי סף'!N81)</f>
        <v>1</v>
      </c>
      <c r="V81" s="213">
        <f>IF($F81="","",'הזנה לתנאי סף'!O81)</f>
        <v>1</v>
      </c>
      <c r="W81" s="109"/>
      <c r="X81" s="109"/>
      <c r="Y81" s="109"/>
      <c r="Z81" s="214" t="str">
        <f t="shared" si="5"/>
        <v>בדוק נתוני הזנה</v>
      </c>
      <c r="AA81" s="213" t="str">
        <f>IF(OR($F81="",V81=0),"",IF(V81=1,IF(COUNTBLANK(W81:X81)&gt;0,$AG$2,IF(OR(Z81&lt;='פרמטרים לקריטריונים'!$C$27,X81&gt;W81),"",X81-W81))))</f>
        <v>בדוק נתוני הזנה</v>
      </c>
      <c r="AB81" s="214">
        <f t="shared" si="9"/>
        <v>0</v>
      </c>
      <c r="AC81" s="225" t="str">
        <f>IF(OR(AB81="",U81=1),"",IF(OR(COUNTBLANK(W81:Y81)&gt;0,AB81&gt;='פרמטרים לקריטריונים'!$E$54),'פרמטרים לקריטריונים'!$F$54,INDEX('פרמטרים לקריטריונים'!$F$49:$F$54,MATCH(AB81,'פרמטרים לקריטריונים'!$E$49:$E$54,1))))</f>
        <v/>
      </c>
      <c r="AD81" s="213" t="str">
        <f t="shared" si="6"/>
        <v/>
      </c>
      <c r="AE81" s="213">
        <f t="shared" si="7"/>
        <v>630673.46749152406</v>
      </c>
      <c r="AG81" s="175">
        <f t="shared" si="10"/>
        <v>1</v>
      </c>
    </row>
    <row r="82" spans="1:33" ht="15.75" x14ac:dyDescent="0.2">
      <c r="A82" s="206">
        <f t="shared" si="8"/>
        <v>52</v>
      </c>
      <c r="B82" s="88">
        <f>IF($F82="","",'הזנה לתנאי סף'!C82)</f>
        <v>1001349066</v>
      </c>
      <c r="C82" s="88">
        <f>IF($F82="","",'הזנה לתנאי סף'!D82)</f>
        <v>1001268608</v>
      </c>
      <c r="D82" s="88">
        <f>IF($F82="","",'הזנה לתנאי סף'!E82)</f>
        <v>40000293</v>
      </c>
      <c r="E82" s="88">
        <f>IF($F82="","",'הזנה לתנאי סף'!F82)</f>
        <v>20000224</v>
      </c>
      <c r="F82" s="88" t="str">
        <f>IF(OR('הזנה לתנאי סף'!G82="",'הזנה לתנאי סף'!BL82&lt;&gt;1),"",'הזנה לתנאי סף'!G82)</f>
        <v>חולון</v>
      </c>
      <c r="G82" s="88" t="str">
        <f>IF($F82="","",'הזנה לתנאי סף'!H82)</f>
        <v>החברה לפיתוח תיאטרון מוזיקה אומנות ומחול חולון</v>
      </c>
      <c r="H82" s="88" t="str">
        <f>IF($F82="","",'הזנה לתנאי סף'!I82)</f>
        <v>תיאטרון</v>
      </c>
      <c r="I82" s="109">
        <v>8693766</v>
      </c>
      <c r="J82" s="213">
        <f>IF($F82="","",'הזנה לתנאי סף'!S82)</f>
        <v>5084758</v>
      </c>
      <c r="K82" s="109">
        <v>0</v>
      </c>
      <c r="L82" s="213">
        <f t="shared" si="0"/>
        <v>13778524</v>
      </c>
      <c r="M82" s="213">
        <f>IF($F82="","",IF(L82='הזנה לתנאי סף'!R82,1,0))</f>
        <v>1</v>
      </c>
      <c r="N82" s="214">
        <f t="shared" si="1"/>
        <v>0.63096497128429718</v>
      </c>
      <c r="O82" s="214">
        <f t="shared" si="11"/>
        <v>0.36903502871570282</v>
      </c>
      <c r="P82" s="109">
        <v>9955313</v>
      </c>
      <c r="Q82" s="213">
        <f>IF($F82="","",IFERROR(IF(P82&gt;0,'פרמטרים לקריטריונים'!$C$25*P82*O82,$AG$2),""))</f>
        <v>1102157.7656486428</v>
      </c>
      <c r="R82" s="213">
        <f>IF($F82="","",IFERROR('פרמטרים לקריטריונים'!$C$26*Q82,""))</f>
        <v>271022.40138901054</v>
      </c>
      <c r="S82" s="214">
        <f t="shared" si="3"/>
        <v>4.0165936957709579E-3</v>
      </c>
      <c r="T82" s="213">
        <f t="shared" si="4"/>
        <v>200829.68478854789</v>
      </c>
      <c r="U82" s="213">
        <f>IF($F82="","",'הזנה לתנאי סף'!N82)</f>
        <v>0</v>
      </c>
      <c r="V82" s="213">
        <f>IF($F82="","",'הזנה לתנאי סף'!O82)</f>
        <v>1</v>
      </c>
      <c r="W82" s="109">
        <v>0</v>
      </c>
      <c r="X82" s="109">
        <v>0</v>
      </c>
      <c r="Y82" s="109">
        <v>1</v>
      </c>
      <c r="Z82" s="214">
        <f t="shared" si="5"/>
        <v>0</v>
      </c>
      <c r="AA82" s="213" t="str">
        <f>IF(OR($F82="",V82=0),"",IF(V82=1,IF(COUNTBLANK(W82:X82)&gt;0,$AG$2,IF(OR(Z82&lt;='פרמטרים לקריטריונים'!$C$27,X82&gt;W82),"",X82-W82))))</f>
        <v/>
      </c>
      <c r="AB82" s="214" t="str">
        <f t="shared" si="9"/>
        <v/>
      </c>
      <c r="AC82" s="225" t="str">
        <f>IF(OR(AB82="",U82=1),"",IF(OR(COUNTBLANK(W82:Y82)&gt;0,AB82&gt;='פרמטרים לקריטריונים'!$E$54),'פרמטרים לקריטריונים'!$F$54,INDEX('פרמטרים לקריטריונים'!$F$49:$F$54,MATCH(AB82,'פרמטרים לקריטריונים'!$E$49:$E$54,1))))</f>
        <v/>
      </c>
      <c r="AD82" s="213" t="str">
        <f t="shared" si="6"/>
        <v/>
      </c>
      <c r="AE82" s="213">
        <f t="shared" si="7"/>
        <v>200829.68478854789</v>
      </c>
      <c r="AG82" s="175">
        <f t="shared" si="10"/>
        <v>0</v>
      </c>
    </row>
    <row r="83" spans="1:33" ht="15.75" x14ac:dyDescent="0.2">
      <c r="A83" s="206">
        <f t="shared" si="8"/>
        <v>53</v>
      </c>
      <c r="B83" s="88">
        <f>IF($F83="","",'הזנה לתנאי סף'!C83)</f>
        <v>1001350257</v>
      </c>
      <c r="C83" s="88">
        <f>IF($F83="","",'הזנה לתנאי סף'!D83)</f>
        <v>1001268522</v>
      </c>
      <c r="D83" s="88">
        <f>IF($F83="","",'הזנה לתנאי סף'!E83)</f>
        <v>40000293</v>
      </c>
      <c r="E83" s="88">
        <f>IF($F83="","",'הזנה לתנאי סף'!F83)</f>
        <v>20000224</v>
      </c>
      <c r="F83" s="88" t="str">
        <f>IF(OR('הזנה לתנאי סף'!G83="",'הזנה לתנאי סף'!BL83&lt;&gt;1),"",'הזנה לתנאי סף'!G83)</f>
        <v>חולון</v>
      </c>
      <c r="G83" s="88" t="str">
        <f>IF($F83="","",'הזנה לתנאי סף'!H83)</f>
        <v>החברה לפיתוח תיאטרון מוזיקה אומנות ומחול חולון</v>
      </c>
      <c r="H83" s="88" t="str">
        <f>IF($F83="","",'הזנה לתנאי סף'!I83)</f>
        <v>מוזיאונים</v>
      </c>
      <c r="I83" s="109">
        <v>6724180</v>
      </c>
      <c r="J83" s="213">
        <f>IF($F83="","",'הזנה לתנאי סף'!S83)</f>
        <v>3062599</v>
      </c>
      <c r="K83" s="109">
        <v>0</v>
      </c>
      <c r="L83" s="213">
        <f t="shared" si="0"/>
        <v>9786779</v>
      </c>
      <c r="M83" s="213">
        <f>IF($F83="","",IF(L83='הזנה לתנאי סף'!R83,1,0))</f>
        <v>1</v>
      </c>
      <c r="N83" s="214">
        <f t="shared" si="1"/>
        <v>0.68706772677711436</v>
      </c>
      <c r="O83" s="214">
        <f t="shared" si="11"/>
        <v>0.31293227322288564</v>
      </c>
      <c r="P83" s="109">
        <v>10670207</v>
      </c>
      <c r="Q83" s="213">
        <f>IF($F83="","",IFERROR(IF(P83&gt;0,'פרמטרים לקריטריונים'!$C$25*P83*O83,$AG$2),""))</f>
        <v>1001715.6396806241</v>
      </c>
      <c r="R83" s="213">
        <f>IF($F83="","",IFERROR('פרמטרים לקריטריונים'!$C$26*Q83,""))</f>
        <v>246323.51795425182</v>
      </c>
      <c r="S83" s="214">
        <f t="shared" si="3"/>
        <v>3.6505524423978107E-3</v>
      </c>
      <c r="T83" s="213">
        <f t="shared" si="4"/>
        <v>182527.62211989053</v>
      </c>
      <c r="U83" s="213">
        <f>IF($F83="","",'הזנה לתנאי סף'!N83)</f>
        <v>0</v>
      </c>
      <c r="V83" s="213">
        <f>IF($F83="","",'הזנה לתנאי סף'!O83)</f>
        <v>1</v>
      </c>
      <c r="W83" s="109">
        <v>0</v>
      </c>
      <c r="X83" s="109">
        <v>0</v>
      </c>
      <c r="Y83" s="109">
        <v>1</v>
      </c>
      <c r="Z83" s="214">
        <f t="shared" si="5"/>
        <v>0</v>
      </c>
      <c r="AA83" s="213" t="str">
        <f>IF(OR($F83="",V83=0),"",IF(V83=1,IF(COUNTBLANK(W83:X83)&gt;0,$AG$2,IF(OR(Z83&lt;='פרמטרים לקריטריונים'!$C$27,X83&gt;W83),"",X83-W83))))</f>
        <v/>
      </c>
      <c r="AB83" s="214" t="str">
        <f t="shared" si="9"/>
        <v/>
      </c>
      <c r="AC83" s="225" t="str">
        <f>IF(OR(AB83="",U83=1),"",IF(OR(COUNTBLANK(W83:Y83)&gt;0,AB83&gt;='פרמטרים לקריטריונים'!$E$54),'פרמטרים לקריטריונים'!$F$54,INDEX('פרמטרים לקריטריונים'!$F$49:$F$54,MATCH(AB83,'פרמטרים לקריטריונים'!$E$49:$E$54,1))))</f>
        <v/>
      </c>
      <c r="AD83" s="213" t="str">
        <f t="shared" si="6"/>
        <v/>
      </c>
      <c r="AE83" s="213">
        <f t="shared" si="7"/>
        <v>182527.62211989053</v>
      </c>
      <c r="AG83" s="175">
        <f t="shared" si="10"/>
        <v>0</v>
      </c>
    </row>
    <row r="84" spans="1:33" ht="15.75" x14ac:dyDescent="0.2">
      <c r="A84" s="206">
        <f t="shared" si="8"/>
        <v>54</v>
      </c>
      <c r="B84" s="88">
        <f>IF($F84="","",'הזנה לתנאי סף'!C84)</f>
        <v>1001350298</v>
      </c>
      <c r="C84" s="88">
        <f>IF($F84="","",'הזנה לתנאי סף'!D84)</f>
        <v>1001268564</v>
      </c>
      <c r="D84" s="88">
        <f>IF($F84="","",'הזנה לתנאי סף'!E84)</f>
        <v>40000293</v>
      </c>
      <c r="E84" s="88">
        <f>IF($F84="","",'הזנה לתנאי סף'!F84)</f>
        <v>20000224</v>
      </c>
      <c r="F84" s="88" t="str">
        <f>IF(OR('הזנה לתנאי סף'!G84="",'הזנה לתנאי סף'!BL84&lt;&gt;1),"",'הזנה לתנאי סף'!G84)</f>
        <v>חולון</v>
      </c>
      <c r="G84" s="88" t="str">
        <f>IF($F84="","",'הזנה לתנאי סף'!H84)</f>
        <v>החברה לפיתוח תיאטרון מוזיקה אומנות ומחול חולון</v>
      </c>
      <c r="H84" s="88" t="str">
        <f>IF($F84="","",'הזנה לתנאי סף'!I84)</f>
        <v>ספרות</v>
      </c>
      <c r="I84" s="109">
        <v>357173</v>
      </c>
      <c r="J84" s="213">
        <f>IF($F84="","",'הזנה לתנאי סף'!S84)</f>
        <v>167740</v>
      </c>
      <c r="K84" s="109">
        <v>0</v>
      </c>
      <c r="L84" s="213">
        <f t="shared" si="0"/>
        <v>524913</v>
      </c>
      <c r="M84" s="213">
        <f>IF($F84="","",IF(L84='הזנה לתנאי סף'!R84,1,0))</f>
        <v>1</v>
      </c>
      <c r="N84" s="214">
        <f t="shared" si="1"/>
        <v>0.68044228281639052</v>
      </c>
      <c r="O84" s="214">
        <f t="shared" si="11"/>
        <v>0.31955771718360948</v>
      </c>
      <c r="P84" s="109">
        <v>768293</v>
      </c>
      <c r="Q84" s="213">
        <f>IF($F84="","",IFERROR(IF(P84&gt;0,'פרמטרים לקריטריונים'!$C$25*P84*O84,$AG$2),""))</f>
        <v>73654.187162444068</v>
      </c>
      <c r="R84" s="213">
        <f>IF($F84="","",IFERROR('פרמטרים לקריטריונים'!$C$26*Q84,""))</f>
        <v>18111.685367814116</v>
      </c>
      <c r="S84" s="214">
        <f t="shared" si="3"/>
        <v>2.6841796432809211E-4</v>
      </c>
      <c r="T84" s="213">
        <f t="shared" si="4"/>
        <v>13420.898216404607</v>
      </c>
      <c r="U84" s="213">
        <f>IF($F84="","",'הזנה לתנאי סף'!N84)</f>
        <v>0</v>
      </c>
      <c r="V84" s="213">
        <f>IF($F84="","",'הזנה לתנאי סף'!O84)</f>
        <v>1</v>
      </c>
      <c r="W84" s="109">
        <v>0</v>
      </c>
      <c r="X84" s="109">
        <v>0</v>
      </c>
      <c r="Y84" s="109">
        <v>1</v>
      </c>
      <c r="Z84" s="214">
        <f t="shared" si="5"/>
        <v>0</v>
      </c>
      <c r="AA84" s="213" t="str">
        <f>IF(OR($F84="",V84=0),"",IF(V84=1,IF(COUNTBLANK(W84:X84)&gt;0,$AG$2,IF(OR(Z84&lt;='פרמטרים לקריטריונים'!$C$27,X84&gt;W84),"",X84-W84))))</f>
        <v/>
      </c>
      <c r="AB84" s="214" t="str">
        <f t="shared" si="9"/>
        <v/>
      </c>
      <c r="AC84" s="225" t="str">
        <f>IF(OR(AB84="",U84=1),"",IF(OR(COUNTBLANK(W84:Y84)&gt;0,AB84&gt;='פרמטרים לקריטריונים'!$E$54),'פרמטרים לקריטריונים'!$F$54,INDEX('פרמטרים לקריטריונים'!$F$49:$F$54,MATCH(AB84,'פרמטרים לקריטריונים'!$E$49:$E$54,1))))</f>
        <v/>
      </c>
      <c r="AD84" s="213" t="str">
        <f t="shared" si="6"/>
        <v/>
      </c>
      <c r="AE84" s="213">
        <f t="shared" si="7"/>
        <v>13420.898216404607</v>
      </c>
      <c r="AG84" s="175">
        <f t="shared" si="10"/>
        <v>0</v>
      </c>
    </row>
    <row r="85" spans="1:33" ht="15.75" x14ac:dyDescent="0.2">
      <c r="A85" s="206">
        <f t="shared" si="8"/>
        <v>55</v>
      </c>
      <c r="B85" s="88">
        <f>IF($F85="","",'הזנה לתנאי סף'!C85)</f>
        <v>1001350320</v>
      </c>
      <c r="C85" s="88">
        <f>IF($F85="","",'הזנה לתנאי סף'!D85)</f>
        <v>1001268529</v>
      </c>
      <c r="D85" s="88">
        <f>IF($F85="","",'הזנה לתנאי סף'!E85)</f>
        <v>40000293</v>
      </c>
      <c r="E85" s="88">
        <f>IF($F85="","",'הזנה לתנאי סף'!F85)</f>
        <v>20000224</v>
      </c>
      <c r="F85" s="88" t="str">
        <f>IF(OR('הזנה לתנאי סף'!G85="",'הזנה לתנאי סף'!BL85&lt;&gt;1),"",'הזנה לתנאי סף'!G85)</f>
        <v>חולון</v>
      </c>
      <c r="G85" s="88" t="str">
        <f>IF($F85="","",'הזנה לתנאי סף'!H85)</f>
        <v>החברה לפיתוח תיאטרון מוזיקה אומנות ומחול חולון</v>
      </c>
      <c r="H85" s="88" t="str">
        <f>IF($F85="","",'הזנה לתנאי סף'!I85)</f>
        <v>מוזיאונים</v>
      </c>
      <c r="I85" s="109">
        <v>1178249</v>
      </c>
      <c r="J85" s="213">
        <f>IF($F85="","",'הזנה לתנאי סף'!S85)</f>
        <v>540187</v>
      </c>
      <c r="K85" s="109">
        <v>0</v>
      </c>
      <c r="L85" s="213">
        <f t="shared" si="0"/>
        <v>1718436</v>
      </c>
      <c r="M85" s="213">
        <f>IF($F85="","",IF(L85='הזנה לתנאי סף'!R85,1,0))</f>
        <v>1</v>
      </c>
      <c r="N85" s="214">
        <f t="shared" si="1"/>
        <v>0.68565195328775697</v>
      </c>
      <c r="O85" s="214">
        <f t="shared" si="11"/>
        <v>0.31434804671224303</v>
      </c>
      <c r="P85" s="109">
        <v>2470658</v>
      </c>
      <c r="Q85" s="213">
        <f>IF($F85="","",IFERROR(IF(P85&gt;0,'פרמטרים לקריטריונים'!$C$25*P85*O85,$AG$2),""))</f>
        <v>232993.95491819311</v>
      </c>
      <c r="R85" s="213">
        <f>IF($F85="","",IFERROR('פרמטרים לקריטריונים'!$C$26*Q85,""))</f>
        <v>57293.595471686829</v>
      </c>
      <c r="S85" s="214">
        <f t="shared" si="3"/>
        <v>8.4909990170635387E-4</v>
      </c>
      <c r="T85" s="213">
        <f t="shared" si="4"/>
        <v>42454.995085317692</v>
      </c>
      <c r="U85" s="213">
        <f>IF($F85="","",'הזנה לתנאי סף'!N85)</f>
        <v>0</v>
      </c>
      <c r="V85" s="213">
        <f>IF($F85="","",'הזנה לתנאי סף'!O85)</f>
        <v>1</v>
      </c>
      <c r="W85" s="109">
        <v>0</v>
      </c>
      <c r="X85" s="109">
        <v>0</v>
      </c>
      <c r="Y85" s="109">
        <v>1</v>
      </c>
      <c r="Z85" s="214">
        <f t="shared" si="5"/>
        <v>0</v>
      </c>
      <c r="AA85" s="213" t="str">
        <f>IF(OR($F85="",V85=0),"",IF(V85=1,IF(COUNTBLANK(W85:X85)&gt;0,$AG$2,IF(OR(Z85&lt;='פרמטרים לקריטריונים'!$C$27,X85&gt;W85),"",X85-W85))))</f>
        <v/>
      </c>
      <c r="AB85" s="214" t="str">
        <f t="shared" si="9"/>
        <v/>
      </c>
      <c r="AC85" s="225" t="str">
        <f>IF(OR(AB85="",U85=1),"",IF(OR(COUNTBLANK(W85:Y85)&gt;0,AB85&gt;='פרמטרים לקריטריונים'!$E$54),'פרמטרים לקריטריונים'!$F$54,INDEX('פרמטרים לקריטריונים'!$F$49:$F$54,MATCH(AB85,'פרמטרים לקריטריונים'!$E$49:$E$54,1))))</f>
        <v/>
      </c>
      <c r="AD85" s="213" t="str">
        <f t="shared" si="6"/>
        <v/>
      </c>
      <c r="AE85" s="213">
        <f t="shared" si="7"/>
        <v>42454.995085317692</v>
      </c>
      <c r="AG85" s="175">
        <f t="shared" si="10"/>
        <v>0</v>
      </c>
    </row>
    <row r="86" spans="1:33" ht="15.75" x14ac:dyDescent="0.2">
      <c r="A86" s="206">
        <f t="shared" si="8"/>
        <v>56</v>
      </c>
      <c r="B86" s="88">
        <f>IF($F86="","",'הזנה לתנאי סף'!C86)</f>
        <v>1001350327</v>
      </c>
      <c r="C86" s="88">
        <f>IF($F86="","",'הזנה לתנאי סף'!D86)</f>
        <v>1001268562</v>
      </c>
      <c r="D86" s="88">
        <f>IF($F86="","",'הזנה לתנאי סף'!E86)</f>
        <v>40000293</v>
      </c>
      <c r="E86" s="88">
        <f>IF($F86="","",'הזנה לתנאי סף'!F86)</f>
        <v>20000224</v>
      </c>
      <c r="F86" s="88" t="str">
        <f>IF(OR('הזנה לתנאי סף'!G86="",'הזנה לתנאי סף'!BL86&lt;&gt;1),"",'הזנה לתנאי סף'!G86)</f>
        <v>חולון</v>
      </c>
      <c r="G86" s="88" t="str">
        <f>IF($F86="","",'הזנה לתנאי סף'!H86)</f>
        <v>החברה לפיתוח תיאטרון מוזיקה אומנות ומחול חולון</v>
      </c>
      <c r="H86" s="88" t="str">
        <f>IF($F86="","",'הזנה לתנאי סף'!I86)</f>
        <v>סינמטקים ופסטיבלים</v>
      </c>
      <c r="I86" s="109">
        <v>742856</v>
      </c>
      <c r="J86" s="213">
        <f>IF($F86="","",'הזנה לתנאי סף'!S86)</f>
        <v>1520104</v>
      </c>
      <c r="K86" s="109">
        <v>0</v>
      </c>
      <c r="L86" s="213">
        <f t="shared" si="0"/>
        <v>2262960</v>
      </c>
      <c r="M86" s="213">
        <f>IF($F86="","",IF(L86='הזנה לתנאי סף'!R86,1,0))</f>
        <v>1</v>
      </c>
      <c r="N86" s="214">
        <f t="shared" si="1"/>
        <v>0.3282674019867784</v>
      </c>
      <c r="O86" s="214">
        <f t="shared" si="11"/>
        <v>0.6717325980132216</v>
      </c>
      <c r="P86" s="109">
        <v>3875067</v>
      </c>
      <c r="Q86" s="213">
        <f>IF($F86="","",IFERROR(IF(P86&gt;0,'פרמטרים לקריטריונים'!$C$25*P86*O86,$AG$2),""))</f>
        <v>780902.6470155901</v>
      </c>
      <c r="R86" s="213">
        <f>IF($F86="","",IFERROR('פרמטרים לקריטריונים'!$C$26*Q86,""))</f>
        <v>192025.24106940741</v>
      </c>
      <c r="S86" s="214">
        <f t="shared" si="3"/>
        <v>2.8458436230930488E-3</v>
      </c>
      <c r="T86" s="213">
        <f t="shared" si="4"/>
        <v>142292.18115465244</v>
      </c>
      <c r="U86" s="213">
        <f>IF($F86="","",'הזנה לתנאי סף'!N86)</f>
        <v>0</v>
      </c>
      <c r="V86" s="213">
        <f>IF($F86="","",'הזנה לתנאי סף'!O86)</f>
        <v>1</v>
      </c>
      <c r="W86" s="109">
        <v>0</v>
      </c>
      <c r="X86" s="109">
        <v>0</v>
      </c>
      <c r="Y86" s="109">
        <v>1</v>
      </c>
      <c r="Z86" s="214">
        <f t="shared" si="5"/>
        <v>0</v>
      </c>
      <c r="AA86" s="213" t="str">
        <f>IF(OR($F86="",V86=0),"",IF(V86=1,IF(COUNTBLANK(W86:X86)&gt;0,$AG$2,IF(OR(Z86&lt;='פרמטרים לקריטריונים'!$C$27,X86&gt;W86),"",X86-W86))))</f>
        <v/>
      </c>
      <c r="AB86" s="214" t="str">
        <f t="shared" si="9"/>
        <v/>
      </c>
      <c r="AC86" s="225" t="str">
        <f>IF(OR(AB86="",U86=1),"",IF(OR(COUNTBLANK(W86:Y86)&gt;0,AB86&gt;='פרמטרים לקריטריונים'!$E$54),'פרמטרים לקריטריונים'!$F$54,INDEX('פרמטרים לקריטריונים'!$F$49:$F$54,MATCH(AB86,'פרמטרים לקריטריונים'!$E$49:$E$54,1))))</f>
        <v/>
      </c>
      <c r="AD86" s="213" t="str">
        <f t="shared" si="6"/>
        <v/>
      </c>
      <c r="AE86" s="213">
        <f t="shared" si="7"/>
        <v>142292.18115465244</v>
      </c>
      <c r="AG86" s="175">
        <f t="shared" si="10"/>
        <v>0</v>
      </c>
    </row>
    <row r="87" spans="1:33" ht="15.75" x14ac:dyDescent="0.2">
      <c r="A87" s="206">
        <f t="shared" si="8"/>
        <v>57</v>
      </c>
      <c r="B87" s="88">
        <f>IF($F87="","",'הזנה לתנאי סף'!C87)</f>
        <v>1001350660</v>
      </c>
      <c r="C87" s="88">
        <f>IF($F87="","",'הזנה לתנאי סף'!D87)</f>
        <v>1001269476</v>
      </c>
      <c r="D87" s="88">
        <f>IF($F87="","",'הזנה לתנאי סף'!E87)</f>
        <v>40000373</v>
      </c>
      <c r="E87" s="88">
        <f>IF($F87="","",'הזנה לתנאי סף'!F87)</f>
        <v>20000254</v>
      </c>
      <c r="F87" s="88" t="str">
        <f>IF(OR('הזנה לתנאי סף'!G87="",'הזנה לתנאי סף'!BL87&lt;&gt;1),"",'הזנה לתנאי סף'!G87)</f>
        <v>באר שבע</v>
      </c>
      <c r="G87" s="88" t="str">
        <f>IF($F87="","",'הזנה לתנאי סף'!H87)</f>
        <v>תיאטרון באר שבע</v>
      </c>
      <c r="H87" s="88" t="str">
        <f>IF($F87="","",'הזנה לתנאי סף'!I87)</f>
        <v>תיאטרון</v>
      </c>
      <c r="I87" s="109">
        <v>15660238</v>
      </c>
      <c r="J87" s="213">
        <f>IF($F87="","",'הזנה לתנאי סף'!S87)</f>
        <v>14677899</v>
      </c>
      <c r="K87" s="109">
        <v>0</v>
      </c>
      <c r="L87" s="213">
        <f t="shared" si="0"/>
        <v>30338137</v>
      </c>
      <c r="M87" s="213">
        <f>IF($F87="","",IF(L87='הזנה לתנאי סף'!R87,1,0))</f>
        <v>1</v>
      </c>
      <c r="N87" s="214">
        <f t="shared" si="1"/>
        <v>0.51618983723357836</v>
      </c>
      <c r="O87" s="214">
        <f t="shared" si="11"/>
        <v>0.48381016276642164</v>
      </c>
      <c r="P87" s="109">
        <v>34731132</v>
      </c>
      <c r="Q87" s="213">
        <f>IF($F87="","",IFERROR(IF(P87&gt;0,'פרמטרים לקריטריונים'!$C$25*P87*O87,$AG$2),""))</f>
        <v>5040982.3877946222</v>
      </c>
      <c r="R87" s="213">
        <f>IF($F87="","",IFERROR('פרמטרים לקריטריונים'!$C$26*Q87,""))</f>
        <v>1239585.8330642513</v>
      </c>
      <c r="S87" s="214">
        <f t="shared" si="3"/>
        <v>1.8370852803810886E-2</v>
      </c>
      <c r="T87" s="213">
        <f t="shared" si="4"/>
        <v>918542.64019054431</v>
      </c>
      <c r="U87" s="213">
        <f>IF($F87="","",'הזנה לתנאי סף'!N87)</f>
        <v>1</v>
      </c>
      <c r="V87" s="213">
        <f>IF($F87="","",'הזנה לתנאי סף'!O87)</f>
        <v>1</v>
      </c>
      <c r="W87" s="109"/>
      <c r="X87" s="109"/>
      <c r="Y87" s="109"/>
      <c r="Z87" s="214" t="str">
        <f t="shared" si="5"/>
        <v>בדוק נתוני הזנה</v>
      </c>
      <c r="AA87" s="213" t="str">
        <f>IF(OR($F87="",V87=0),"",IF(V87=1,IF(COUNTBLANK(W87:X87)&gt;0,$AG$2,IF(OR(Z87&lt;='פרמטרים לקריטריונים'!$C$27,X87&gt;W87),"",X87-W87))))</f>
        <v>בדוק נתוני הזנה</v>
      </c>
      <c r="AB87" s="214">
        <f t="shared" si="9"/>
        <v>1</v>
      </c>
      <c r="AC87" s="225" t="str">
        <f>IF(OR(AB87="",U87=1),"",IF(OR(COUNTBLANK(W87:Y87)&gt;0,AB87&gt;='פרמטרים לקריטריונים'!$E$54),'פרמטרים לקריטריונים'!$F$54,INDEX('פרמטרים לקריטריונים'!$F$49:$F$54,MATCH(AB87,'פרמטרים לקריטריונים'!$E$49:$E$54,1))))</f>
        <v/>
      </c>
      <c r="AD87" s="213" t="str">
        <f t="shared" si="6"/>
        <v/>
      </c>
      <c r="AE87" s="213">
        <f t="shared" si="7"/>
        <v>918542.64019054431</v>
      </c>
      <c r="AG87" s="175">
        <f t="shared" si="10"/>
        <v>1</v>
      </c>
    </row>
    <row r="88" spans="1:33" ht="15.75" x14ac:dyDescent="0.2">
      <c r="A88" s="206">
        <f t="shared" si="8"/>
        <v>58</v>
      </c>
      <c r="B88" s="88">
        <f>IF($F88="","",'הזנה לתנאי סף'!C88)</f>
        <v>1001348833</v>
      </c>
      <c r="C88" s="88">
        <f>IF($F88="","",'הזנה לתנאי סף'!D88)</f>
        <v>1001279924</v>
      </c>
      <c r="D88" s="88">
        <f>IF($F88="","",'הזנה לתנאי סף'!E88)</f>
        <v>40000399</v>
      </c>
      <c r="E88" s="88">
        <f>IF($F88="","",'הזנה לתנאי סף'!F88)</f>
        <v>20000159</v>
      </c>
      <c r="F88" s="88" t="str">
        <f>IF(OR('הזנה לתנאי סף'!G88="",'הזנה לתנאי סף'!BL88&lt;&gt;1),"",'הזנה לתנאי סף'!G88)</f>
        <v>ירושלים</v>
      </c>
      <c r="G88" s="88" t="str">
        <f>IF($F88="","",'הזנה לתנאי סף'!H88)</f>
        <v>הקאמרטה הישראלית ירושלים</v>
      </c>
      <c r="H88" s="88" t="str">
        <f>IF($F88="","",'הזנה לתנאי סף'!I88)</f>
        <v>מוסיקה-גופים כליים</v>
      </c>
      <c r="I88" s="109">
        <v>5766000</v>
      </c>
      <c r="J88" s="213">
        <f>IF($F88="","",'הזנה לתנאי סף'!S88)</f>
        <v>4264000</v>
      </c>
      <c r="K88" s="109">
        <v>0</v>
      </c>
      <c r="L88" s="213">
        <f t="shared" si="0"/>
        <v>10030000</v>
      </c>
      <c r="M88" s="213">
        <f>IF($F88="","",IF(L88='הזנה לתנאי סף'!R88,1,0))</f>
        <v>1</v>
      </c>
      <c r="N88" s="214">
        <f t="shared" si="1"/>
        <v>0.57487537387836496</v>
      </c>
      <c r="O88" s="214">
        <f t="shared" si="11"/>
        <v>0.42512462612163504</v>
      </c>
      <c r="P88" s="109">
        <v>9980000</v>
      </c>
      <c r="Q88" s="213">
        <f>IF($F88="","",IFERROR(IF(P88&gt;0,'פרמטרים לקריטריונים'!$C$25*P88*O88,$AG$2),""))</f>
        <v>1272823.1306081754</v>
      </c>
      <c r="R88" s="213">
        <f>IF($F88="","",IFERROR('פרמטרים לקריטריונים'!$C$26*Q88,""))</f>
        <v>312989.29441184644</v>
      </c>
      <c r="S88" s="214">
        <f t="shared" si="3"/>
        <v>4.6385495085846358E-3</v>
      </c>
      <c r="T88" s="213">
        <f t="shared" si="4"/>
        <v>231927.4754292318</v>
      </c>
      <c r="U88" s="213">
        <f>IF($F88="","",'הזנה לתנאי סף'!N88)</f>
        <v>1</v>
      </c>
      <c r="V88" s="213">
        <f>IF($F88="","",'הזנה לתנאי סף'!O88)</f>
        <v>1</v>
      </c>
      <c r="W88" s="109"/>
      <c r="X88" s="109"/>
      <c r="Y88" s="109"/>
      <c r="Z88" s="214" t="str">
        <f t="shared" si="5"/>
        <v>בדוק נתוני הזנה</v>
      </c>
      <c r="AA88" s="213" t="str">
        <f>IF(OR($F88="",V88=0),"",IF(V88=1,IF(COUNTBLANK(W88:X88)&gt;0,$AG$2,IF(OR(Z88&lt;='פרמטרים לקריטריונים'!$C$27,X88&gt;W88),"",X88-W88))))</f>
        <v>בדוק נתוני הזנה</v>
      </c>
      <c r="AB88" s="214">
        <f t="shared" si="9"/>
        <v>1</v>
      </c>
      <c r="AC88" s="225" t="str">
        <f>IF(OR(AB88="",U88=1),"",IF(OR(COUNTBLANK(W88:Y88)&gt;0,AB88&gt;='פרמטרים לקריטריונים'!$E$54),'פרמטרים לקריטריונים'!$F$54,INDEX('פרמטרים לקריטריונים'!$F$49:$F$54,MATCH(AB88,'פרמטרים לקריטריונים'!$E$49:$E$54,1))))</f>
        <v/>
      </c>
      <c r="AD88" s="213" t="str">
        <f t="shared" si="6"/>
        <v/>
      </c>
      <c r="AE88" s="213">
        <f t="shared" si="7"/>
        <v>231927.4754292318</v>
      </c>
      <c r="AG88" s="175">
        <f t="shared" si="10"/>
        <v>1</v>
      </c>
    </row>
    <row r="89" spans="1:33" ht="15.75" x14ac:dyDescent="0.2">
      <c r="A89" s="206">
        <f t="shared" si="8"/>
        <v>59</v>
      </c>
      <c r="B89" s="88">
        <f>IF($F89="","",'הזנה לתנאי סף'!C89)</f>
        <v>1001349874</v>
      </c>
      <c r="C89" s="88">
        <f>IF($F89="","",'הזנה לתנאי סף'!D89)</f>
        <v>1001269409</v>
      </c>
      <c r="D89" s="88">
        <f>IF($F89="","",'הזנה לתנאי סף'!E89)</f>
        <v>40000299</v>
      </c>
      <c r="E89" s="88">
        <f>IF($F89="","",'הזנה לתנאי סף'!F89)</f>
        <v>20000201</v>
      </c>
      <c r="F89" s="88" t="str">
        <f>IF(OR('הזנה לתנאי סף'!G89="",'הזנה לתנאי סף'!BL89&lt;&gt;1),"",'הזנה לתנאי סף'!G89)</f>
        <v>תל אביב -יפו</v>
      </c>
      <c r="G89" s="88" t="str">
        <f>IF($F89="","",'הזנה לתנאי סף'!H89)</f>
        <v>מוזיאון ארץ ישראל ת"א</v>
      </c>
      <c r="H89" s="88" t="str">
        <f>IF($F89="","",'הזנה לתנאי סף'!I89)</f>
        <v>מוזיאונים</v>
      </c>
      <c r="I89" s="109">
        <v>17869000</v>
      </c>
      <c r="J89" s="213">
        <f>IF($F89="","",'הזנה לתנאי סף'!S89)</f>
        <v>13974000</v>
      </c>
      <c r="K89" s="109">
        <v>0</v>
      </c>
      <c r="L89" s="213">
        <f t="shared" si="0"/>
        <v>31843000</v>
      </c>
      <c r="M89" s="213">
        <f>IF($F89="","",IF(L89='הזנה לתנאי סף'!R89,1,0))</f>
        <v>1</v>
      </c>
      <c r="N89" s="214">
        <f t="shared" si="1"/>
        <v>0.56115943849511662</v>
      </c>
      <c r="O89" s="214">
        <f t="shared" si="11"/>
        <v>0.43884056150488338</v>
      </c>
      <c r="P89" s="109">
        <v>31933000</v>
      </c>
      <c r="Q89" s="213">
        <f>IF($F89="","",IFERROR(IF(P89&gt;0,'פרמטרים לקריטריונים'!$C$25*P89*O89,$AG$2),""))</f>
        <v>4204048.695160632</v>
      </c>
      <c r="R89" s="213">
        <f>IF($F89="","",IFERROR('פרמטרים לקריטריונים'!$C$26*Q89,""))</f>
        <v>1033782.4660231062</v>
      </c>
      <c r="S89" s="214">
        <f t="shared" si="3"/>
        <v>1.5320815233523832E-2</v>
      </c>
      <c r="T89" s="213">
        <f t="shared" si="4"/>
        <v>766040.76167619159</v>
      </c>
      <c r="U89" s="213">
        <f>IF($F89="","",'הזנה לתנאי סף'!N89)</f>
        <v>1</v>
      </c>
      <c r="V89" s="213">
        <f>IF($F89="","",'הזנה לתנאי סף'!O89)</f>
        <v>1</v>
      </c>
      <c r="W89" s="109"/>
      <c r="X89" s="109"/>
      <c r="Y89" s="109"/>
      <c r="Z89" s="214" t="str">
        <f t="shared" si="5"/>
        <v>בדוק נתוני הזנה</v>
      </c>
      <c r="AA89" s="213" t="str">
        <f>IF(OR($F89="",V89=0),"",IF(V89=1,IF(COUNTBLANK(W89:X89)&gt;0,$AG$2,IF(OR(Z89&lt;='פרמטרים לקריטריונים'!$C$27,X89&gt;W89),"",X89-W89))))</f>
        <v>בדוק נתוני הזנה</v>
      </c>
      <c r="AB89" s="214">
        <f t="shared" si="9"/>
        <v>1</v>
      </c>
      <c r="AC89" s="225" t="str">
        <f>IF(OR(AB89="",U89=1),"",IF(OR(COUNTBLANK(W89:Y89)&gt;0,AB89&gt;='פרמטרים לקריטריונים'!$E$54),'פרמטרים לקריטריונים'!$F$54,INDEX('פרמטרים לקריטריונים'!$F$49:$F$54,MATCH(AB89,'פרמטרים לקריטריונים'!$E$49:$E$54,1))))</f>
        <v/>
      </c>
      <c r="AD89" s="213" t="str">
        <f t="shared" si="6"/>
        <v/>
      </c>
      <c r="AE89" s="213">
        <f t="shared" si="7"/>
        <v>766040.76167619159</v>
      </c>
      <c r="AG89" s="175">
        <f t="shared" si="10"/>
        <v>1</v>
      </c>
    </row>
    <row r="90" spans="1:33" ht="15.75" x14ac:dyDescent="0.2">
      <c r="A90" s="206">
        <f t="shared" si="8"/>
        <v>60</v>
      </c>
      <c r="B90" s="88">
        <f>IF($F90="","",'הזנה לתנאי סף'!C90)</f>
        <v>1001351086</v>
      </c>
      <c r="C90" s="88">
        <f>IF($F90="","",'הזנה לתנאי סף'!D90)</f>
        <v>1001263868</v>
      </c>
      <c r="D90" s="88">
        <f>IF($F90="","",'הזנה לתנאי סף'!E90)</f>
        <v>40000490</v>
      </c>
      <c r="E90" s="88">
        <f>IF($F90="","",'הזנה לתנאי סף'!F90)</f>
        <v>20000201</v>
      </c>
      <c r="F90" s="88" t="str">
        <f>IF(OR('הזנה לתנאי סף'!G90="",'הזנה לתנאי סף'!BL90&lt;&gt;1),"",'הזנה לתנאי סף'!G90)</f>
        <v>תל אביב -יפו</v>
      </c>
      <c r="G90" s="88" t="str">
        <f>IF($F90="","",'הזנה לתנאי סף'!H90)</f>
        <v>המקהלה הקאמרית תל אביב</v>
      </c>
      <c r="H90" s="88" t="str">
        <f>IF($F90="","",'הזנה לתנאי סף'!I90)</f>
        <v>מקהלות</v>
      </c>
      <c r="I90" s="109">
        <v>77825</v>
      </c>
      <c r="J90" s="213">
        <f>IF($F90="","",'הזנה לתנאי סף'!S90)</f>
        <v>53288</v>
      </c>
      <c r="K90" s="109">
        <v>0</v>
      </c>
      <c r="L90" s="213">
        <f t="shared" si="0"/>
        <v>131113</v>
      </c>
      <c r="M90" s="213">
        <f>IF($F90="","",IF(L90='הזנה לתנאי סף'!R90,1,0))</f>
        <v>1</v>
      </c>
      <c r="N90" s="214">
        <f t="shared" si="1"/>
        <v>0.59357195701417864</v>
      </c>
      <c r="O90" s="214">
        <f t="shared" si="11"/>
        <v>0.40642804298582136</v>
      </c>
      <c r="P90" s="109">
        <v>155293</v>
      </c>
      <c r="Q90" s="213">
        <f>IF($F90="","",IFERROR(IF(P90&gt;0,'פרמטרים לקריטריונים'!$C$25*P90*O90,$AG$2),""))</f>
        <v>18934.629023819147</v>
      </c>
      <c r="R90" s="213">
        <f>IF($F90="","",IFERROR('פרמטרים לקריטריונים'!$C$26*Q90,""))</f>
        <v>4656.0563173325772</v>
      </c>
      <c r="S90" s="214">
        <f t="shared" si="3"/>
        <v>6.9003471135618396E-5</v>
      </c>
      <c r="T90" s="213">
        <f t="shared" si="4"/>
        <v>3450.1735567809196</v>
      </c>
      <c r="U90" s="213">
        <f>IF($F90="","",'הזנה לתנאי סף'!N90)</f>
        <v>1</v>
      </c>
      <c r="V90" s="213">
        <f>IF($F90="","",'הזנה לתנאי סף'!O90)</f>
        <v>1</v>
      </c>
      <c r="W90" s="109"/>
      <c r="X90" s="109"/>
      <c r="Y90" s="109"/>
      <c r="Z90" s="214" t="str">
        <f t="shared" si="5"/>
        <v>בדוק נתוני הזנה</v>
      </c>
      <c r="AA90" s="213" t="str">
        <f>IF(OR($F90="",V90=0),"",IF(V90=1,IF(COUNTBLANK(W90:X90)&gt;0,$AG$2,IF(OR(Z90&lt;='פרמטרים לקריטריונים'!$C$27,X90&gt;W90),"",X90-W90))))</f>
        <v>בדוק נתוני הזנה</v>
      </c>
      <c r="AB90" s="214">
        <f t="shared" si="9"/>
        <v>1</v>
      </c>
      <c r="AC90" s="225" t="str">
        <f>IF(OR(AB90="",U90=1),"",IF(OR(COUNTBLANK(W90:Y90)&gt;0,AB90&gt;='פרמטרים לקריטריונים'!$E$54),'פרמטרים לקריטריונים'!$F$54,INDEX('פרמטרים לקריטריונים'!$F$49:$F$54,MATCH(AB90,'פרמטרים לקריטריונים'!$E$49:$E$54,1))))</f>
        <v/>
      </c>
      <c r="AD90" s="213" t="str">
        <f t="shared" si="6"/>
        <v/>
      </c>
      <c r="AE90" s="213">
        <f t="shared" si="7"/>
        <v>3450.1735567809196</v>
      </c>
      <c r="AG90" s="175">
        <f t="shared" si="10"/>
        <v>1</v>
      </c>
    </row>
    <row r="91" spans="1:33" ht="15.75" x14ac:dyDescent="0.2">
      <c r="A91" s="206">
        <f t="shared" si="8"/>
        <v>61</v>
      </c>
      <c r="B91" s="88">
        <f>IF($F91="","",'הזנה לתנאי סף'!C91)</f>
        <v>1001350880</v>
      </c>
      <c r="C91" s="88">
        <f>IF($F91="","",'הזנה לתנאי סף'!D91)</f>
        <v>1001265925</v>
      </c>
      <c r="D91" s="88">
        <f>IF($F91="","",'הזנה לתנאי סף'!E91)</f>
        <v>40000016</v>
      </c>
      <c r="E91" s="88">
        <f>IF($F91="","",'הזנה לתנאי סף'!F91)</f>
        <v>20000015</v>
      </c>
      <c r="F91" s="88" t="str">
        <f>IF(OR('הזנה לתנאי סף'!G91="",'הזנה לתנאי סף'!BL91&lt;&gt;1),"",'הזנה לתנאי סף'!G91)</f>
        <v>מצפה רמון</v>
      </c>
      <c r="G91" s="88" t="str">
        <f>IF($F91="","",'הזנה לתנאי סף'!H91)</f>
        <v>מרכז תרבות מצפה רמון</v>
      </c>
      <c r="H91" s="88" t="str">
        <f>IF($F91="","",'הזנה לתנאי סף'!I91)</f>
        <v>סינמטקים ופסטיבלים</v>
      </c>
      <c r="I91" s="109">
        <v>0</v>
      </c>
      <c r="J91" s="213">
        <f>IF($F91="","",'הזנה לתנאי סף'!S91)</f>
        <v>55000</v>
      </c>
      <c r="K91" s="109">
        <v>0</v>
      </c>
      <c r="L91" s="213">
        <f t="shared" si="0"/>
        <v>55000</v>
      </c>
      <c r="M91" s="213">
        <f>IF($F91="","",IF(L91='הזנה לתנאי סף'!R91,1,0))</f>
        <v>1</v>
      </c>
      <c r="N91" s="214">
        <f t="shared" si="1"/>
        <v>0</v>
      </c>
      <c r="O91" s="214">
        <f t="shared" si="11"/>
        <v>1</v>
      </c>
      <c r="P91" s="109">
        <v>55000</v>
      </c>
      <c r="Q91" s="213">
        <f>IF($F91="","",IFERROR(IF(P91&gt;0,'פרמטרים לקריטריונים'!$C$25*P91*O91,$AG$2),""))</f>
        <v>16500</v>
      </c>
      <c r="R91" s="213">
        <f>IF($F91="","",IFERROR('פרמטרים לקריטריונים'!$C$26*Q91,""))</f>
        <v>4057.377049180328</v>
      </c>
      <c r="S91" s="214">
        <f t="shared" si="3"/>
        <v>6.0130952251846903E-5</v>
      </c>
      <c r="T91" s="213">
        <f t="shared" si="4"/>
        <v>3006.5476125923451</v>
      </c>
      <c r="U91" s="213">
        <f>IF($F91="","",'הזנה לתנאי סף'!N91)</f>
        <v>0</v>
      </c>
      <c r="V91" s="213">
        <f>IF($F91="","",'הזנה לתנאי סף'!O91)</f>
        <v>1</v>
      </c>
      <c r="W91" s="109">
        <v>0</v>
      </c>
      <c r="X91" s="109">
        <v>0</v>
      </c>
      <c r="Y91" s="109">
        <v>1</v>
      </c>
      <c r="Z91" s="214">
        <f t="shared" si="5"/>
        <v>0</v>
      </c>
      <c r="AA91" s="213" t="str">
        <f>IF(OR($F91="",V91=0),"",IF(V91=1,IF(COUNTBLANK(W91:X91)&gt;0,$AG$2,IF(OR(Z91&lt;='פרמטרים לקריטריונים'!$C$27,X91&gt;W91),"",X91-W91))))</f>
        <v/>
      </c>
      <c r="AB91" s="214" t="str">
        <f t="shared" si="9"/>
        <v/>
      </c>
      <c r="AC91" s="225" t="str">
        <f>IF(OR(AB91="",U91=1),"",IF(OR(COUNTBLANK(W91:Y91)&gt;0,AB91&gt;='פרמטרים לקריטריונים'!$E$54),'פרמטרים לקריטריונים'!$F$54,INDEX('פרמטרים לקריטריונים'!$F$49:$F$54,MATCH(AB91,'פרמטרים לקריטריונים'!$E$49:$E$54,1))))</f>
        <v/>
      </c>
      <c r="AD91" s="213" t="str">
        <f t="shared" si="6"/>
        <v/>
      </c>
      <c r="AE91" s="213">
        <f t="shared" si="7"/>
        <v>3006.5476125923451</v>
      </c>
      <c r="AG91" s="175">
        <f t="shared" si="10"/>
        <v>0</v>
      </c>
    </row>
    <row r="92" spans="1:33" ht="15.75" x14ac:dyDescent="0.2">
      <c r="A92" s="206">
        <f t="shared" si="8"/>
        <v>62</v>
      </c>
      <c r="B92" s="88">
        <f>IF($F92="","",'הזנה לתנאי סף'!C92)</f>
        <v>1001347234</v>
      </c>
      <c r="C92" s="88">
        <f>IF($F92="","",'הזנה לתנאי סף'!D92)</f>
        <v>1001262482</v>
      </c>
      <c r="D92" s="88">
        <f>IF($F92="","",'הזנה לתנאי סף'!E92)</f>
        <v>40000408</v>
      </c>
      <c r="E92" s="88">
        <f>IF($F92="","",'הזנה לתנאי סף'!F92)</f>
        <v>20000162</v>
      </c>
      <c r="F92" s="88" t="str">
        <f>IF(OR('הזנה לתנאי סף'!G92="",'הזנה לתנאי סף'!BL92&lt;&gt;1),"",'הזנה לתנאי סף'!G92)</f>
        <v>חוף הכרמל</v>
      </c>
      <c r="G92" s="88" t="str">
        <f>IF($F92="","",'הזנה לתנאי סף'!H92)</f>
        <v>מוזיאון ינקו דאדא עין הוד</v>
      </c>
      <c r="H92" s="88" t="str">
        <f>IF($F92="","",'הזנה לתנאי סף'!I92)</f>
        <v>מוזיאונים</v>
      </c>
      <c r="I92" s="109">
        <v>374266</v>
      </c>
      <c r="J92" s="213">
        <f>IF($F92="","",'הזנה לתנאי סף'!S92)</f>
        <v>705296</v>
      </c>
      <c r="K92" s="109">
        <v>0</v>
      </c>
      <c r="L92" s="213">
        <f t="shared" si="0"/>
        <v>1079562</v>
      </c>
      <c r="M92" s="213">
        <f>IF($F92="","",IF(L92='הזנה לתנאי סף'!R92,1,0))</f>
        <v>1</v>
      </c>
      <c r="N92" s="214">
        <f t="shared" si="1"/>
        <v>0.34668319188708013</v>
      </c>
      <c r="O92" s="214">
        <f t="shared" si="11"/>
        <v>0.65331680811291992</v>
      </c>
      <c r="P92" s="109">
        <v>1116133</v>
      </c>
      <c r="Q92" s="213">
        <f>IF($F92="","",IFERROR(IF(P92&gt;0,'פרמטרים לקריטריונים'!$C$25*P92*O92,$AG$2),""))</f>
        <v>218756.53469684927</v>
      </c>
      <c r="R92" s="213">
        <f>IF($F92="","",IFERROR('פרמטרים לקריטריונים'!$C$26*Q92,""))</f>
        <v>53792.590499225225</v>
      </c>
      <c r="S92" s="214">
        <f t="shared" si="3"/>
        <v>7.9721446925065046E-4</v>
      </c>
      <c r="T92" s="213">
        <f t="shared" si="4"/>
        <v>39860.723462532522</v>
      </c>
      <c r="U92" s="213">
        <f>IF($F92="","",'הזנה לתנאי סף'!N92)</f>
        <v>0</v>
      </c>
      <c r="V92" s="213">
        <f>IF($F92="","",'הזנה לתנאי סף'!O92)</f>
        <v>1</v>
      </c>
      <c r="W92" s="109">
        <v>0</v>
      </c>
      <c r="X92" s="109">
        <v>0</v>
      </c>
      <c r="Y92" s="109">
        <v>1</v>
      </c>
      <c r="Z92" s="214">
        <f t="shared" si="5"/>
        <v>0</v>
      </c>
      <c r="AA92" s="213" t="str">
        <f>IF(OR($F92="",V92=0),"",IF(V92=1,IF(COUNTBLANK(W92:X92)&gt;0,$AG$2,IF(OR(Z92&lt;='פרמטרים לקריטריונים'!$C$27,X92&gt;W92),"",X92-W92))))</f>
        <v/>
      </c>
      <c r="AB92" s="214" t="str">
        <f t="shared" si="9"/>
        <v/>
      </c>
      <c r="AC92" s="225" t="str">
        <f>IF(OR(AB92="",U92=1),"",IF(OR(COUNTBLANK(W92:Y92)&gt;0,AB92&gt;='פרמטרים לקריטריונים'!$E$54),'פרמטרים לקריטריונים'!$F$54,INDEX('פרמטרים לקריטריונים'!$F$49:$F$54,MATCH(AB92,'פרמטרים לקריטריונים'!$E$49:$E$54,1))))</f>
        <v/>
      </c>
      <c r="AD92" s="213" t="str">
        <f t="shared" si="6"/>
        <v/>
      </c>
      <c r="AE92" s="213">
        <f t="shared" si="7"/>
        <v>39860.723462532522</v>
      </c>
      <c r="AG92" s="175">
        <f t="shared" si="10"/>
        <v>0</v>
      </c>
    </row>
    <row r="93" spans="1:33" ht="15.75" x14ac:dyDescent="0.2">
      <c r="A93" s="206">
        <f t="shared" si="8"/>
        <v>63</v>
      </c>
      <c r="B93" s="88">
        <f>IF($F93="","",'הזנה לתנאי סף'!C93)</f>
        <v>1001348950</v>
      </c>
      <c r="C93" s="88">
        <f>IF($F93="","",'הזנה לתנאי סף'!D93)</f>
        <v>1001288866</v>
      </c>
      <c r="D93" s="88">
        <f>IF($F93="","",'הזנה לתנאי סף'!E93)</f>
        <v>40000513</v>
      </c>
      <c r="E93" s="88">
        <f>IF($F93="","",'הזנה לתנאי סף'!F93)</f>
        <v>20000102</v>
      </c>
      <c r="F93" s="88" t="str">
        <f>IF(OR('הזנה לתנאי סף'!G93="",'הזנה לתנאי סף'!BL93&lt;&gt;1),"",'הזנה לתנאי סף'!G93)</f>
        <v>מעלות-תרשיחא</v>
      </c>
      <c r="G93" s="88" t="str">
        <f>IF($F93="","",'הזנה לתנאי סף'!H93)</f>
        <v>בית האומנות לחינוך ולתרבות - תרשיחא</v>
      </c>
      <c r="H93" s="88" t="str">
        <f>IF($F93="","",'הזנה לתנאי סף'!I93)</f>
        <v>תרבות ערבית</v>
      </c>
      <c r="I93" s="109">
        <v>958217</v>
      </c>
      <c r="J93" s="213">
        <f>IF($F93="","",'הזנה לתנאי סף'!S93)</f>
        <v>435554</v>
      </c>
      <c r="K93" s="109">
        <v>0</v>
      </c>
      <c r="L93" s="213">
        <f t="shared" si="0"/>
        <v>1393771</v>
      </c>
      <c r="M93" s="213">
        <f>IF($F93="","",IF(L93='הזנה לתנאי סף'!R93,1,0))</f>
        <v>1</v>
      </c>
      <c r="N93" s="214">
        <f t="shared" si="1"/>
        <v>0.68749959641863689</v>
      </c>
      <c r="O93" s="214">
        <f t="shared" si="11"/>
        <v>0.31250040358136311</v>
      </c>
      <c r="P93" s="109">
        <v>1368038</v>
      </c>
      <c r="Q93" s="213">
        <f>IF($F93="","",IFERROR(IF(P93&gt;0,'פרמטרים לקריטריונים'!$C$25*P93*O93,$AG$2),""))</f>
        <v>128253.72813439224</v>
      </c>
      <c r="R93" s="213">
        <f>IF($F93="","",IFERROR('פרמטרים לקריטריונים'!$C$26*Q93,""))</f>
        <v>31537.802000260384</v>
      </c>
      <c r="S93" s="214">
        <f t="shared" si="3"/>
        <v>4.6739507894366623E-4</v>
      </c>
      <c r="T93" s="213">
        <f t="shared" si="4"/>
        <v>23369.753947183312</v>
      </c>
      <c r="U93" s="213">
        <f>IF($F93="","",'הזנה לתנאי סף'!N93)</f>
        <v>0</v>
      </c>
      <c r="V93" s="213">
        <f>IF($F93="","",'הזנה לתנאי סף'!O93)</f>
        <v>1</v>
      </c>
      <c r="W93" s="109">
        <v>0</v>
      </c>
      <c r="X93" s="109">
        <v>0</v>
      </c>
      <c r="Y93" s="109">
        <v>1</v>
      </c>
      <c r="Z93" s="214">
        <f t="shared" si="5"/>
        <v>0</v>
      </c>
      <c r="AA93" s="213" t="str">
        <f>IF(OR($F93="",V93=0),"",IF(V93=1,IF(COUNTBLANK(W93:X93)&gt;0,$AG$2,IF(OR(Z93&lt;='פרמטרים לקריטריונים'!$C$27,X93&gt;W93),"",X93-W93))))</f>
        <v/>
      </c>
      <c r="AB93" s="214" t="str">
        <f t="shared" si="9"/>
        <v/>
      </c>
      <c r="AC93" s="225" t="str">
        <f>IF(OR(AB93="",U93=1),"",IF(OR(COUNTBLANK(W93:Y93)&gt;0,AB93&gt;='פרמטרים לקריטריונים'!$E$54),'פרמטרים לקריטריונים'!$F$54,INDEX('פרמטרים לקריטריונים'!$F$49:$F$54,MATCH(AB93,'פרמטרים לקריטריונים'!$E$49:$E$54,1))))</f>
        <v/>
      </c>
      <c r="AD93" s="213" t="str">
        <f t="shared" si="6"/>
        <v/>
      </c>
      <c r="AE93" s="213">
        <f t="shared" si="7"/>
        <v>23369.753947183312</v>
      </c>
      <c r="AG93" s="175">
        <f t="shared" si="10"/>
        <v>0</v>
      </c>
    </row>
    <row r="94" spans="1:33" ht="15.75" x14ac:dyDescent="0.2">
      <c r="A94" s="206">
        <f t="shared" si="8"/>
        <v>64</v>
      </c>
      <c r="B94" s="88">
        <f>IF($F94="","",'הזנה לתנאי סף'!C94)</f>
        <v>1001350242</v>
      </c>
      <c r="C94" s="88">
        <f>IF($F94="","",'הזנה לתנאי סף'!D94)</f>
        <v>1001277229</v>
      </c>
      <c r="D94" s="88">
        <f>IF($F94="","",'הזנה לתנאי סף'!E94)</f>
        <v>40000531</v>
      </c>
      <c r="E94" s="88">
        <f>IF($F94="","",'הזנה לתנאי סף'!F94)</f>
        <v>20000005</v>
      </c>
      <c r="F94" s="88" t="str">
        <f>IF(OR('הזנה לתנאי סף'!G94="",'הזנה לתנאי סף'!BL94&lt;&gt;1),"",'הזנה לתנאי סף'!G94)</f>
        <v>אליכין</v>
      </c>
      <c r="G94" s="88" t="str">
        <f>IF($F94="","",'הזנה לתנאי סף'!H94)</f>
        <v>מכון רימון לידיעת הארץ</v>
      </c>
      <c r="H94" s="88" t="str">
        <f>IF($F94="","",'הזנה לתנאי סף'!I94)</f>
        <v>מוזיאונים</v>
      </c>
      <c r="I94" s="109">
        <v>417762</v>
      </c>
      <c r="J94" s="213">
        <f>IF($F94="","",'הזנה לתנאי סף'!S94)</f>
        <v>231779</v>
      </c>
      <c r="K94" s="109">
        <v>0</v>
      </c>
      <c r="L94" s="213">
        <f t="shared" si="0"/>
        <v>649541</v>
      </c>
      <c r="M94" s="213">
        <f>IF($F94="","",IF(L94='הזנה לתנאי סף'!R94,1,0))</f>
        <v>1</v>
      </c>
      <c r="N94" s="214">
        <f t="shared" si="1"/>
        <v>0.64316494262871782</v>
      </c>
      <c r="O94" s="214">
        <f t="shared" si="11"/>
        <v>0.35683505737128218</v>
      </c>
      <c r="P94" s="109">
        <v>815816</v>
      </c>
      <c r="Q94" s="213">
        <f>IF($F94="","",IFERROR(IF(P94&gt;0,'פרמטרים לקריטריונים'!$C$25*P94*O94,$AG$2),""))</f>
        <v>87333.524749322984</v>
      </c>
      <c r="R94" s="213">
        <f>IF($F94="","",IFERROR('פרמטרים לקריטריונים'!$C$26*Q94,""))</f>
        <v>21475.456905571224</v>
      </c>
      <c r="S94" s="214">
        <f t="shared" si="3"/>
        <v>3.1826957616285027E-4</v>
      </c>
      <c r="T94" s="213">
        <f t="shared" si="4"/>
        <v>15913.478808142514</v>
      </c>
      <c r="U94" s="213">
        <f>IF($F94="","",'הזנה לתנאי סף'!N94)</f>
        <v>0</v>
      </c>
      <c r="V94" s="213">
        <f>IF($F94="","",'הזנה לתנאי סף'!O94)</f>
        <v>1</v>
      </c>
      <c r="W94" s="109">
        <v>0</v>
      </c>
      <c r="X94" s="109">
        <v>0</v>
      </c>
      <c r="Y94" s="109">
        <v>1</v>
      </c>
      <c r="Z94" s="214">
        <f t="shared" si="5"/>
        <v>0</v>
      </c>
      <c r="AA94" s="213" t="str">
        <f>IF(OR($F94="",V94=0),"",IF(V94=1,IF(COUNTBLANK(W94:X94)&gt;0,$AG$2,IF(OR(Z94&lt;='פרמטרים לקריטריונים'!$C$27,X94&gt;W94),"",X94-W94))))</f>
        <v/>
      </c>
      <c r="AB94" s="214" t="str">
        <f t="shared" si="9"/>
        <v/>
      </c>
      <c r="AC94" s="225" t="str">
        <f>IF(OR(AB94="",U94=1),"",IF(OR(COUNTBLANK(W94:Y94)&gt;0,AB94&gt;='פרמטרים לקריטריונים'!$E$54),'פרמטרים לקריטריונים'!$F$54,INDEX('פרמטרים לקריטריונים'!$F$49:$F$54,MATCH(AB94,'פרמטרים לקריטריונים'!$E$49:$E$54,1))))</f>
        <v/>
      </c>
      <c r="AD94" s="213" t="str">
        <f t="shared" si="6"/>
        <v/>
      </c>
      <c r="AE94" s="213">
        <f t="shared" si="7"/>
        <v>15913.478808142514</v>
      </c>
      <c r="AG94" s="175">
        <f t="shared" si="10"/>
        <v>0</v>
      </c>
    </row>
    <row r="95" spans="1:33" ht="15.75" x14ac:dyDescent="0.2">
      <c r="A95" s="206">
        <f t="shared" si="8"/>
        <v>65</v>
      </c>
      <c r="B95" s="88">
        <f>IF($F95="","",'הזנה לתנאי סף'!C95)</f>
        <v>1001348656</v>
      </c>
      <c r="C95" s="88">
        <f>IF($F95="","",'הזנה לתנאי סף'!D95)</f>
        <v>1001274980</v>
      </c>
      <c r="D95" s="88">
        <f>IF($F95="","",'הזנה לתנאי סף'!E95)</f>
        <v>40000533</v>
      </c>
      <c r="E95" s="88">
        <f>IF($F95="","",'הזנה לתנאי סף'!F95)</f>
        <v>20000159</v>
      </c>
      <c r="F95" s="88" t="str">
        <f>IF(OR('הזנה לתנאי סף'!G95="",'הזנה לתנאי סף'!BL95&lt;&gt;1),"",'הזנה לתנאי סף'!G95)</f>
        <v>ירושלים</v>
      </c>
      <c r="G95" s="88" t="str">
        <f>IF($F95="","",'הזנה לתנאי סף'!H95)</f>
        <v xml:space="preserve">תזמורת הבארוק ירושלים </v>
      </c>
      <c r="H95" s="88" t="str">
        <f>IF($F95="","",'הזנה לתנאי סף'!I95)</f>
        <v>מוסיקה-גופים כליים</v>
      </c>
      <c r="I95" s="109">
        <v>990158</v>
      </c>
      <c r="J95" s="213">
        <f>IF($F95="","",'הזנה לתנאי סף'!S95)</f>
        <v>639877</v>
      </c>
      <c r="K95" s="109">
        <v>0</v>
      </c>
      <c r="L95" s="213">
        <f t="shared" ref="L95:L158" si="12">IF($F95="","",SUM(I95:K95))</f>
        <v>1630035</v>
      </c>
      <c r="M95" s="213">
        <f>IF($F95="","",IF(L95='הזנה לתנאי סף'!R95,1,0))</f>
        <v>1</v>
      </c>
      <c r="N95" s="214">
        <f t="shared" ref="N95:N158" si="13">IF($F95="","",IFERROR(I95/L95,$AG$2))</f>
        <v>0.60744585238967264</v>
      </c>
      <c r="O95" s="214">
        <f t="shared" si="11"/>
        <v>0.39255414761032736</v>
      </c>
      <c r="P95" s="109">
        <v>1415947</v>
      </c>
      <c r="Q95" s="213">
        <f>IF($F95="","",IFERROR(IF(P95&gt;0,'פרמטרים לקריטריונים'!$C$25*P95*O95,$AG$2),""))</f>
        <v>166750.76029392006</v>
      </c>
      <c r="R95" s="213">
        <f>IF($F95="","",IFERROR('פרמטרים לקריטריונים'!$C$26*Q95,""))</f>
        <v>41004.285318177062</v>
      </c>
      <c r="S95" s="214">
        <f t="shared" ref="S95:S158" si="14">IF($F95="","",IFERROR(R95/$R$501,""))</f>
        <v>6.0768981849653781E-4</v>
      </c>
      <c r="T95" s="213">
        <f t="shared" ref="T95:T158" si="15">IF($F95="","",IFERROR(S95*$C$4,""))</f>
        <v>30384.490924826892</v>
      </c>
      <c r="U95" s="213">
        <f>IF($F95="","",'הזנה לתנאי סף'!N95)</f>
        <v>1</v>
      </c>
      <c r="V95" s="213">
        <f>IF($F95="","",'הזנה לתנאי סף'!O95)</f>
        <v>1</v>
      </c>
      <c r="W95" s="109"/>
      <c r="X95" s="109"/>
      <c r="Y95" s="109"/>
      <c r="Z95" s="214" t="str">
        <f t="shared" ref="Z95:Z158" si="16">IF(OR($F95="",V95&lt;&gt;1),"",IF(COUNTBLANK(W95:Y95)&gt;0,$AG$2,IF(ISBLANK(Y95),$AG$2,W95/Y95)))</f>
        <v>בדוק נתוני הזנה</v>
      </c>
      <c r="AA95" s="213" t="str">
        <f>IF(OR($F95="",V95=0),"",IF(V95=1,IF(COUNTBLANK(W95:X95)&gt;0,$AG$2,IF(OR(Z95&lt;='פרמטרים לקריטריונים'!$C$27,X95&gt;W95),"",X95-W95))))</f>
        <v>בדוק נתוני הזנה</v>
      </c>
      <c r="AB95" s="214">
        <f t="shared" si="9"/>
        <v>0</v>
      </c>
      <c r="AC95" s="225" t="str">
        <f>IF(OR(AB95="",U95=1),"",IF(OR(COUNTBLANK(W95:Y95)&gt;0,AB95&gt;='פרמטרים לקריטריונים'!$E$54),'פרמטרים לקריטריונים'!$F$54,INDEX('פרמטרים לקריטריונים'!$F$49:$F$54,MATCH(AB95,'פרמטרים לקריטריונים'!$E$49:$E$54,1))))</f>
        <v/>
      </c>
      <c r="AD95" s="213" t="str">
        <f t="shared" ref="AD95:AD158" si="17">IF(OR($F95="",AC95=""),"",IF(COUNTBLANK(W95:X95)&gt;0,-T95,IF(-AC95*AA95&gt;T95,-T95,AC95*AA95)))</f>
        <v/>
      </c>
      <c r="AE95" s="213">
        <f t="shared" ref="AE95:AE158" si="18">IF($F95="","",IF(M95=0,$AG$2,IF(AD95&lt;&gt;"",T95+AD95,T95)))</f>
        <v>30384.490924826892</v>
      </c>
      <c r="AG95" s="175">
        <f t="shared" si="10"/>
        <v>1</v>
      </c>
    </row>
    <row r="96" spans="1:33" ht="15.75" x14ac:dyDescent="0.2">
      <c r="A96" s="206">
        <f t="shared" ref="A96:A159" si="19">IF(F96="","",ROW()-30)</f>
        <v>66</v>
      </c>
      <c r="B96" s="88">
        <f>IF($F96="","",'הזנה לתנאי סף'!C96)</f>
        <v>1001347378</v>
      </c>
      <c r="C96" s="88">
        <f>IF($F96="","",'הזנה לתנאי סף'!D96)</f>
        <v>1001266836</v>
      </c>
      <c r="D96" s="88">
        <f>IF($F96="","",'הזנה לתנאי סף'!E96)</f>
        <v>40000550</v>
      </c>
      <c r="E96" s="88">
        <f>IF($F96="","",'הזנה לתנאי סף'!F96)</f>
        <v>20000096</v>
      </c>
      <c r="F96" s="88" t="str">
        <f>IF(OR('הזנה לתנאי סף'!G96="",'הזנה לתנאי סף'!BL96&lt;&gt;1),"",'הזנה לתנאי סף'!G96)</f>
        <v>שדרות</v>
      </c>
      <c r="G96" s="88" t="str">
        <f>IF($F96="","",'הזנה לתנאי סף'!H96)</f>
        <v>מרכז התנועה שדרות אדמה (ע''ר)</v>
      </c>
      <c r="H96" s="88" t="str">
        <f>IF($F96="","",'הזנה לתנאי סף'!I96)</f>
        <v>מחול</v>
      </c>
      <c r="I96" s="109">
        <v>695300</v>
      </c>
      <c r="J96" s="213">
        <f>IF($F96="","",'הזנה לתנאי סף'!S96)</f>
        <v>310507</v>
      </c>
      <c r="K96" s="109">
        <v>0</v>
      </c>
      <c r="L96" s="213">
        <f t="shared" si="12"/>
        <v>1005807</v>
      </c>
      <c r="M96" s="213">
        <f>IF($F96="","",IF(L96='הזנה לתנאי סף'!R96,1,0))</f>
        <v>1</v>
      </c>
      <c r="N96" s="214">
        <f t="shared" si="13"/>
        <v>0.69128570391735189</v>
      </c>
      <c r="O96" s="214">
        <f t="shared" si="11"/>
        <v>0.30871429608264811</v>
      </c>
      <c r="P96" s="109">
        <v>970975</v>
      </c>
      <c r="Q96" s="213">
        <f>IF($F96="","",IFERROR(IF(P96&gt;0,'פרמטרים לקריטריונים'!$C$25*P96*O96,$AG$2),""))</f>
        <v>89926.159091654772</v>
      </c>
      <c r="R96" s="213">
        <f>IF($F96="","",IFERROR('פרמטרים לקריטריונים'!$C$26*Q96,""))</f>
        <v>22112.989940570846</v>
      </c>
      <c r="S96" s="214">
        <f t="shared" si="14"/>
        <v>3.2771791385044128E-4</v>
      </c>
      <c r="T96" s="213">
        <f t="shared" si="15"/>
        <v>16385.895692522063</v>
      </c>
      <c r="U96" s="213">
        <f>IF($F96="","",'הזנה לתנאי סף'!N96)</f>
        <v>0</v>
      </c>
      <c r="V96" s="213">
        <f>IF($F96="","",'הזנה לתנאי סף'!O96)</f>
        <v>1</v>
      </c>
      <c r="W96" s="109">
        <v>0</v>
      </c>
      <c r="X96" s="109">
        <v>0</v>
      </c>
      <c r="Y96" s="109">
        <v>1</v>
      </c>
      <c r="Z96" s="214">
        <f t="shared" si="16"/>
        <v>0</v>
      </c>
      <c r="AA96" s="213" t="str">
        <f>IF(OR($F96="",V96=0),"",IF(V96=1,IF(COUNTBLANK(W96:X96)&gt;0,$AG$2,IF(OR(Z96&lt;='פרמטרים לקריטריונים'!$C$27,X96&gt;W96),"",X96-W96))))</f>
        <v/>
      </c>
      <c r="AB96" s="214" t="str">
        <f t="shared" ref="AB96:AB159" si="20">IF(AA96="","",IF(AA96=$AG$2,AG67,-(X96/W96-1)))</f>
        <v/>
      </c>
      <c r="AC96" s="225" t="str">
        <f>IF(OR(AB96="",U96=1),"",IF(OR(COUNTBLANK(W96:Y96)&gt;0,AB96&gt;='פרמטרים לקריטריונים'!$E$54),'פרמטרים לקריטריונים'!$F$54,INDEX('פרמטרים לקריטריונים'!$F$49:$F$54,MATCH(AB96,'פרמטרים לקריטריונים'!$E$49:$E$54,1))))</f>
        <v/>
      </c>
      <c r="AD96" s="213" t="str">
        <f t="shared" si="17"/>
        <v/>
      </c>
      <c r="AE96" s="213">
        <f t="shared" si="18"/>
        <v>16385.895692522063</v>
      </c>
      <c r="AG96" s="175">
        <f t="shared" ref="AG96:AG159" si="21">IF(U96=1,1,0)</f>
        <v>0</v>
      </c>
    </row>
    <row r="97" spans="1:33" ht="15.75" x14ac:dyDescent="0.2">
      <c r="A97" s="206">
        <f t="shared" si="19"/>
        <v>67</v>
      </c>
      <c r="B97" s="88">
        <f>IF($F97="","",'הזנה לתנאי סף'!C97)</f>
        <v>1001348650</v>
      </c>
      <c r="C97" s="88">
        <f>IF($F97="","",'הזנה לתנאי סף'!D97)</f>
        <v>1001270091</v>
      </c>
      <c r="D97" s="88">
        <f>IF($F97="","",'הזנה לתנאי סף'!E97)</f>
        <v>40000685</v>
      </c>
      <c r="E97" s="88">
        <f>IF($F97="","",'הזנה לתנאי סף'!F97)</f>
        <v>20000231</v>
      </c>
      <c r="F97" s="88" t="str">
        <f>IF(OR('הזנה לתנאי סף'!G97="",'הזנה לתנאי סף'!BL97&lt;&gt;1),"",'הזנה לתנאי סף'!G97)</f>
        <v>נצרת</v>
      </c>
      <c r="G97" s="88" t="str">
        <f>IF($F97="","",'הזנה לתנאי סף'!H97)</f>
        <v>אלערביא לתרבות ואמנות</v>
      </c>
      <c r="H97" s="88" t="str">
        <f>IF($F97="","",'הזנה לתנאי סף'!I97)</f>
        <v>תרבות ערבית</v>
      </c>
      <c r="I97" s="109">
        <v>0</v>
      </c>
      <c r="J97" s="213">
        <f>IF($F97="","",'הזנה לתנאי סף'!S97)</f>
        <v>37960</v>
      </c>
      <c r="K97" s="109">
        <v>0</v>
      </c>
      <c r="L97" s="213">
        <f t="shared" si="12"/>
        <v>37960</v>
      </c>
      <c r="M97" s="213">
        <f>IF($F97="","",IF(L97='הזנה לתנאי סף'!R97,1,0))</f>
        <v>1</v>
      </c>
      <c r="N97" s="214">
        <f t="shared" si="13"/>
        <v>0</v>
      </c>
      <c r="O97" s="214">
        <f t="shared" si="11"/>
        <v>1</v>
      </c>
      <c r="P97" s="109">
        <v>37168</v>
      </c>
      <c r="Q97" s="213">
        <f>IF($F97="","",IFERROR(IF(P97&gt;0,'פרמטרים לקריטריונים'!$C$25*P97*O97,$AG$2),""))</f>
        <v>11150.4</v>
      </c>
      <c r="R97" s="213">
        <f>IF($F97="","",IFERROR('פרמטרים לקריטריונים'!$C$26*Q97,""))</f>
        <v>2741.9016393442621</v>
      </c>
      <c r="S97" s="214">
        <f t="shared" si="14"/>
        <v>4.0635404241757188E-5</v>
      </c>
      <c r="T97" s="213">
        <f t="shared" si="15"/>
        <v>2031.7702120878594</v>
      </c>
      <c r="U97" s="213">
        <f>IF($F97="","",'הזנה לתנאי סף'!N97)</f>
        <v>0</v>
      </c>
      <c r="V97" s="213">
        <f>IF($F97="","",'הזנה לתנאי סף'!O97)</f>
        <v>1</v>
      </c>
      <c r="W97" s="109">
        <v>0</v>
      </c>
      <c r="X97" s="109">
        <v>0</v>
      </c>
      <c r="Y97" s="109">
        <v>1</v>
      </c>
      <c r="Z97" s="214">
        <f t="shared" si="16"/>
        <v>0</v>
      </c>
      <c r="AA97" s="213" t="str">
        <f>IF(OR($F97="",V97=0),"",IF(V97=1,IF(COUNTBLANK(W97:X97)&gt;0,$AG$2,IF(OR(Z97&lt;='פרמטרים לקריטריונים'!$C$27,X97&gt;W97),"",X97-W97))))</f>
        <v/>
      </c>
      <c r="AB97" s="214" t="str">
        <f t="shared" si="20"/>
        <v/>
      </c>
      <c r="AC97" s="225" t="str">
        <f>IF(OR(AB97="",U97=1),"",IF(OR(COUNTBLANK(W97:Y97)&gt;0,AB97&gt;='פרמטרים לקריטריונים'!$E$54),'פרמטרים לקריטריונים'!$F$54,INDEX('פרמטרים לקריטריונים'!$F$49:$F$54,MATCH(AB97,'פרמטרים לקריטריונים'!$E$49:$E$54,1))))</f>
        <v/>
      </c>
      <c r="AD97" s="213" t="str">
        <f t="shared" si="17"/>
        <v/>
      </c>
      <c r="AE97" s="213">
        <f t="shared" si="18"/>
        <v>2031.7702120878594</v>
      </c>
      <c r="AG97" s="175">
        <f t="shared" si="21"/>
        <v>0</v>
      </c>
    </row>
    <row r="98" spans="1:33" ht="15.75" x14ac:dyDescent="0.2">
      <c r="A98" s="206">
        <f t="shared" si="19"/>
        <v>68</v>
      </c>
      <c r="B98" s="88">
        <f>IF($F98="","",'הזנה לתנאי סף'!C98)</f>
        <v>1001348519</v>
      </c>
      <c r="C98" s="88">
        <f>IF($F98="","",'הזנה לתנאי סף'!D98)</f>
        <v>1001270078</v>
      </c>
      <c r="D98" s="88">
        <f>IF($F98="","",'הזנה לתנאי סף'!E98)</f>
        <v>40000685</v>
      </c>
      <c r="E98" s="88">
        <f>IF($F98="","",'הזנה לתנאי סף'!F98)</f>
        <v>20000231</v>
      </c>
      <c r="F98" s="88" t="str">
        <f>IF(OR('הזנה לתנאי סף'!G98="",'הזנה לתנאי סף'!BL98&lt;&gt;1),"",'הזנה לתנאי סף'!G98)</f>
        <v>נצרת</v>
      </c>
      <c r="G98" s="88" t="str">
        <f>IF($F98="","",'הזנה לתנאי סף'!H98)</f>
        <v>אלערביא לתרבות ואמנות</v>
      </c>
      <c r="H98" s="88" t="str">
        <f>IF($F98="","",'הזנה לתנאי סף'!I98)</f>
        <v>תרבות ערבית</v>
      </c>
      <c r="I98" s="109">
        <v>145724</v>
      </c>
      <c r="J98" s="213">
        <f>IF($F98="","",'הזנה לתנאי סף'!S98)</f>
        <v>99240</v>
      </c>
      <c r="K98" s="109">
        <v>0</v>
      </c>
      <c r="L98" s="213">
        <f t="shared" si="12"/>
        <v>244964</v>
      </c>
      <c r="M98" s="213">
        <f>IF($F98="","",IF(L98='הזנה לתנאי סף'!R98,1,0))</f>
        <v>1</v>
      </c>
      <c r="N98" s="214">
        <f t="shared" si="13"/>
        <v>0.59487924756290722</v>
      </c>
      <c r="O98" s="214">
        <f t="shared" ref="O98:O161" si="22">IF($F98="","",IFERROR((1-N98),""))</f>
        <v>0.40512075243709278</v>
      </c>
      <c r="P98" s="109">
        <v>231708</v>
      </c>
      <c r="Q98" s="213">
        <f>IF($F98="","",IFERROR(IF(P98&gt;0,'פרמטרים לקריטריונים'!$C$25*P98*O98,$AG$2),""))</f>
        <v>28160.915791708165</v>
      </c>
      <c r="R98" s="213">
        <f>IF($F98="","",IFERROR('פרמטרים לקריטריונים'!$C$26*Q98,""))</f>
        <v>6924.8153586167618</v>
      </c>
      <c r="S98" s="214">
        <f t="shared" si="14"/>
        <v>1.0262682926299909E-4</v>
      </c>
      <c r="T98" s="213">
        <f t="shared" si="15"/>
        <v>5131.3414631499545</v>
      </c>
      <c r="U98" s="213">
        <f>IF($F98="","",'הזנה לתנאי סף'!N98)</f>
        <v>0</v>
      </c>
      <c r="V98" s="213">
        <f>IF($F98="","",'הזנה לתנאי סף'!O98)</f>
        <v>1</v>
      </c>
      <c r="W98" s="109">
        <v>0</v>
      </c>
      <c r="X98" s="109">
        <v>0</v>
      </c>
      <c r="Y98" s="109">
        <v>1</v>
      </c>
      <c r="Z98" s="214">
        <f t="shared" si="16"/>
        <v>0</v>
      </c>
      <c r="AA98" s="213" t="str">
        <f>IF(OR($F98="",V98=0),"",IF(V98=1,IF(COUNTBLANK(W98:X98)&gt;0,$AG$2,IF(OR(Z98&lt;='פרמטרים לקריטריונים'!$C$27,X98&gt;W98),"",X98-W98))))</f>
        <v/>
      </c>
      <c r="AB98" s="214" t="str">
        <f t="shared" si="20"/>
        <v/>
      </c>
      <c r="AC98" s="225" t="str">
        <f>IF(OR(AB98="",U98=1),"",IF(OR(COUNTBLANK(W98:Y98)&gt;0,AB98&gt;='פרמטרים לקריטריונים'!$E$54),'פרמטרים לקריטריונים'!$F$54,INDEX('פרמטרים לקריטריונים'!$F$49:$F$54,MATCH(AB98,'פרמטרים לקריטריונים'!$E$49:$E$54,1))))</f>
        <v/>
      </c>
      <c r="AD98" s="213" t="str">
        <f t="shared" si="17"/>
        <v/>
      </c>
      <c r="AE98" s="213">
        <f t="shared" si="18"/>
        <v>5131.3414631499545</v>
      </c>
      <c r="AG98" s="175">
        <f t="shared" si="21"/>
        <v>0</v>
      </c>
    </row>
    <row r="99" spans="1:33" ht="15.75" x14ac:dyDescent="0.2">
      <c r="A99" s="206">
        <f t="shared" si="19"/>
        <v>69</v>
      </c>
      <c r="B99" s="88">
        <f>IF($F99="","",'הזנה לתנאי סף'!C99)</f>
        <v>1001349422</v>
      </c>
      <c r="C99" s="88">
        <f>IF($F99="","",'הזנה לתנאי סף'!D99)</f>
        <v>1001288961</v>
      </c>
      <c r="D99" s="88">
        <f>IF($F99="","",'הזנה לתנאי סף'!E99)</f>
        <v>40000581</v>
      </c>
      <c r="E99" s="88">
        <f>IF($F99="","",'הזנה לתנאי סף'!F99)</f>
        <v>20000111</v>
      </c>
      <c r="F99" s="88" t="str">
        <f>IF(OR('הזנה לתנאי סף'!G99="",'הזנה לתנאי סף'!BL99&lt;&gt;1),"",'הזנה לתנאי סף'!G99)</f>
        <v>מיתר</v>
      </c>
      <c r="G99" s="88" t="str">
        <f>IF($F99="","",'הזנה לתנאי סף'!H99)</f>
        <v>נוה הבדואים</v>
      </c>
      <c r="H99" s="88" t="str">
        <f>IF($F99="","",'הזנה לתנאי סף'!I99)</f>
        <v>תרבות ערבית</v>
      </c>
      <c r="I99" s="109">
        <v>451681</v>
      </c>
      <c r="J99" s="213">
        <f>IF($F99="","",'הזנה לתנאי סף'!S99)</f>
        <v>753370</v>
      </c>
      <c r="K99" s="109">
        <v>473444</v>
      </c>
      <c r="L99" s="213">
        <f t="shared" si="12"/>
        <v>1678495</v>
      </c>
      <c r="M99" s="213">
        <f>IF($F99="","",IF(L99='הזנה לתנאי סף'!R99,1,0))</f>
        <v>1</v>
      </c>
      <c r="N99" s="214">
        <f t="shared" si="13"/>
        <v>0.2690988057754119</v>
      </c>
      <c r="O99" s="214">
        <f t="shared" si="22"/>
        <v>0.7309011942245881</v>
      </c>
      <c r="P99" s="109">
        <v>1661437</v>
      </c>
      <c r="Q99" s="213">
        <f>IF($F99="","",IFERROR(IF(P99&gt;0,'פרמטרים לקריטריונים'!$C$25*P99*O99,$AG$2),""))</f>
        <v>364303.88622867508</v>
      </c>
      <c r="R99" s="213">
        <f>IF($F99="","",IFERROR('פרמטרים לקריטריונים'!$C$26*Q99,""))</f>
        <v>89582.922843116816</v>
      </c>
      <c r="S99" s="214">
        <f t="shared" si="14"/>
        <v>1.3276327023017409E-3</v>
      </c>
      <c r="T99" s="213">
        <f t="shared" si="15"/>
        <v>66381.635115087047</v>
      </c>
      <c r="U99" s="213">
        <f>IF($F99="","",'הזנה לתנאי סף'!N99)</f>
        <v>0</v>
      </c>
      <c r="V99" s="213">
        <f>IF($F99="","",'הזנה לתנאי סף'!O99)</f>
        <v>1</v>
      </c>
      <c r="W99" s="109">
        <v>0</v>
      </c>
      <c r="X99" s="109">
        <v>0</v>
      </c>
      <c r="Y99" s="109">
        <v>1</v>
      </c>
      <c r="Z99" s="214">
        <f t="shared" si="16"/>
        <v>0</v>
      </c>
      <c r="AA99" s="213" t="str">
        <f>IF(OR($F99="",V99=0),"",IF(V99=1,IF(COUNTBLANK(W99:X99)&gt;0,$AG$2,IF(OR(Z99&lt;='פרמטרים לקריטריונים'!$C$27,X99&gt;W99),"",X99-W99))))</f>
        <v/>
      </c>
      <c r="AB99" s="214" t="str">
        <f t="shared" si="20"/>
        <v/>
      </c>
      <c r="AC99" s="225" t="str">
        <f>IF(OR(AB99="",U99=1),"",IF(OR(COUNTBLANK(W99:Y99)&gt;0,AB99&gt;='פרמטרים לקריטריונים'!$E$54),'פרמטרים לקריטריונים'!$F$54,INDEX('פרמטרים לקריטריונים'!$F$49:$F$54,MATCH(AB99,'פרמטרים לקריטריונים'!$E$49:$E$54,1))))</f>
        <v/>
      </c>
      <c r="AD99" s="213" t="str">
        <f t="shared" si="17"/>
        <v/>
      </c>
      <c r="AE99" s="213">
        <f t="shared" si="18"/>
        <v>66381.635115087047</v>
      </c>
      <c r="AG99" s="175">
        <f t="shared" si="21"/>
        <v>0</v>
      </c>
    </row>
    <row r="100" spans="1:33" ht="15.75" x14ac:dyDescent="0.2">
      <c r="A100" s="206">
        <f t="shared" si="19"/>
        <v>70</v>
      </c>
      <c r="B100" s="88">
        <f>IF($F100="","",'הזנה לתנאי סף'!C100)</f>
        <v>1001349725</v>
      </c>
      <c r="C100" s="88">
        <f>IF($F100="","",'הזנה לתנאי סף'!D100)</f>
        <v>1001268621</v>
      </c>
      <c r="D100" s="88">
        <f>IF($F100="","",'הזנה לתנאי סף'!E100)</f>
        <v>40000391</v>
      </c>
      <c r="E100" s="88">
        <f>IF($F100="","",'הזנה לתנאי סף'!F100)</f>
        <v>20000132</v>
      </c>
      <c r="F100" s="88" t="str">
        <f>IF(OR('הזנה לתנאי סף'!G100="",'הזנה לתנאי סף'!BL100&lt;&gt;1),"",'הזנה לתנאי סף'!G100)</f>
        <v>עמק הירדן</v>
      </c>
      <c r="G100" s="88" t="str">
        <f>IF($F100="","",'הזנה לתנאי סף'!H100)</f>
        <v>מרכז תרבות והנצחה</v>
      </c>
      <c r="H100" s="88" t="str">
        <f>IF($F100="","",'הזנה לתנאי סף'!I100)</f>
        <v>מוזיאונים</v>
      </c>
      <c r="I100" s="109">
        <v>166000</v>
      </c>
      <c r="J100" s="213">
        <f>IF($F100="","",'הזנה לתנאי סף'!S100)</f>
        <v>66000</v>
      </c>
      <c r="K100" s="109">
        <v>0</v>
      </c>
      <c r="L100" s="213">
        <f t="shared" si="12"/>
        <v>232000</v>
      </c>
      <c r="M100" s="213">
        <f>IF($F100="","",IF(L100='הזנה לתנאי סף'!R100,1,0))</f>
        <v>1</v>
      </c>
      <c r="N100" s="214">
        <f t="shared" si="13"/>
        <v>0.71551724137931039</v>
      </c>
      <c r="O100" s="214">
        <f t="shared" si="22"/>
        <v>0.28448275862068961</v>
      </c>
      <c r="P100" s="109">
        <v>238000</v>
      </c>
      <c r="Q100" s="213">
        <f>IF($F100="","",IFERROR(IF(P100&gt;0,'פרמטרים לקריטריונים'!$C$25*P100*O100,$AG$2),""))</f>
        <v>20312.068965517239</v>
      </c>
      <c r="R100" s="213">
        <f>IF($F100="","",IFERROR('פרמטרים לקריטריונים'!$C$26*Q100,""))</f>
        <v>4994.7710570944027</v>
      </c>
      <c r="S100" s="214">
        <f t="shared" si="14"/>
        <v>7.4023275703135648E-5</v>
      </c>
      <c r="T100" s="213">
        <f t="shared" si="15"/>
        <v>3701.1637851567825</v>
      </c>
      <c r="U100" s="213">
        <f>IF($F100="","",'הזנה לתנאי סף'!N100)</f>
        <v>0</v>
      </c>
      <c r="V100" s="213">
        <f>IF($F100="","",'הזנה לתנאי סף'!O100)</f>
        <v>1</v>
      </c>
      <c r="W100" s="109">
        <v>0</v>
      </c>
      <c r="X100" s="109">
        <v>0</v>
      </c>
      <c r="Y100" s="109">
        <v>1</v>
      </c>
      <c r="Z100" s="214">
        <f t="shared" si="16"/>
        <v>0</v>
      </c>
      <c r="AA100" s="213" t="str">
        <f>IF(OR($F100="",V100=0),"",IF(V100=1,IF(COUNTBLANK(W100:X100)&gt;0,$AG$2,IF(OR(Z100&lt;='פרמטרים לקריטריונים'!$C$27,X100&gt;W100),"",X100-W100))))</f>
        <v/>
      </c>
      <c r="AB100" s="214" t="str">
        <f t="shared" si="20"/>
        <v/>
      </c>
      <c r="AC100" s="225" t="str">
        <f>IF(OR(AB100="",U100=1),"",IF(OR(COUNTBLANK(W100:Y100)&gt;0,AB100&gt;='פרמטרים לקריטריונים'!$E$54),'פרמטרים לקריטריונים'!$F$54,INDEX('פרמטרים לקריטריונים'!$F$49:$F$54,MATCH(AB100,'פרמטרים לקריטריונים'!$E$49:$E$54,1))))</f>
        <v/>
      </c>
      <c r="AD100" s="213" t="str">
        <f t="shared" si="17"/>
        <v/>
      </c>
      <c r="AE100" s="213">
        <f t="shared" si="18"/>
        <v>3701.1637851567825</v>
      </c>
      <c r="AG100" s="175">
        <f t="shared" si="21"/>
        <v>0</v>
      </c>
    </row>
    <row r="101" spans="1:33" ht="15.75" x14ac:dyDescent="0.2">
      <c r="A101" s="206">
        <f t="shared" si="19"/>
        <v>71</v>
      </c>
      <c r="B101" s="88">
        <f>IF($F101="","",'הזנה לתנאי סף'!C101)</f>
        <v>1001347665</v>
      </c>
      <c r="C101" s="88">
        <f>IF($F101="","",'הזנה לתנאי סף'!D101)</f>
        <v>1001269101</v>
      </c>
      <c r="D101" s="88">
        <f>IF($F101="","",'הזנה לתנאי סף'!E101)</f>
        <v>40000411</v>
      </c>
      <c r="E101" s="88">
        <f>IF($F101="","",'הזנה לתנאי סף'!F101)</f>
        <v>20000159</v>
      </c>
      <c r="F101" s="88" t="str">
        <f>IF(OR('הזנה לתנאי סף'!G101="",'הזנה לתנאי סף'!BL101&lt;&gt;1),"",'הזנה לתנאי סף'!G101)</f>
        <v>ירושלים</v>
      </c>
      <c r="G101" s="88" t="str">
        <f>IF($F101="","",'הזנה לתנאי סף'!H101)</f>
        <v>סינמטק ירושלים</v>
      </c>
      <c r="H101" s="88" t="str">
        <f>IF($F101="","",'הזנה לתנאי סף'!I101)</f>
        <v>סינמטקים ופסטיבלים</v>
      </c>
      <c r="I101" s="109">
        <v>1929815</v>
      </c>
      <c r="J101" s="213">
        <f>IF($F101="","",'הזנה לתנאי סף'!S101)</f>
        <v>9494594</v>
      </c>
      <c r="K101" s="109">
        <v>0</v>
      </c>
      <c r="L101" s="213">
        <f t="shared" si="12"/>
        <v>11424409</v>
      </c>
      <c r="M101" s="213">
        <f>IF($F101="","",IF(L101='הזנה לתנאי סף'!R101,1,0))</f>
        <v>1</v>
      </c>
      <c r="N101" s="214">
        <f t="shared" si="13"/>
        <v>0.16892033539765602</v>
      </c>
      <c r="O101" s="214">
        <f t="shared" si="22"/>
        <v>0.83107966460234395</v>
      </c>
      <c r="P101" s="109">
        <v>10527163</v>
      </c>
      <c r="Q101" s="213">
        <f>IF($F101="","",IFERROR(IF(P101&gt;0,'פרמטרים לקריטריונים'!$C$25*P101*O101,$AG$2),""))</f>
        <v>2624673.3285762612</v>
      </c>
      <c r="R101" s="213">
        <f>IF($F101="","",IFERROR('פרמטרים לקריטריונים'!$C$26*Q101,""))</f>
        <v>645411.47424006416</v>
      </c>
      <c r="S101" s="214">
        <f t="shared" si="14"/>
        <v>9.5650973695342555E-3</v>
      </c>
      <c r="T101" s="213">
        <f t="shared" si="15"/>
        <v>478254.86847671279</v>
      </c>
      <c r="U101" s="213">
        <f>IF($F101="","",'הזנה לתנאי סף'!N101)</f>
        <v>1</v>
      </c>
      <c r="V101" s="213">
        <f>IF($F101="","",'הזנה לתנאי סף'!O101)</f>
        <v>1</v>
      </c>
      <c r="W101" s="109"/>
      <c r="X101" s="109"/>
      <c r="Y101" s="109"/>
      <c r="Z101" s="214" t="str">
        <f t="shared" si="16"/>
        <v>בדוק נתוני הזנה</v>
      </c>
      <c r="AA101" s="213" t="str">
        <f>IF(OR($F101="",V101=0),"",IF(V101=1,IF(COUNTBLANK(W101:X101)&gt;0,$AG$2,IF(OR(Z101&lt;='פרמטרים לקריטריונים'!$C$27,X101&gt;W101),"",X101-W101))))</f>
        <v>בדוק נתוני הזנה</v>
      </c>
      <c r="AB101" s="214">
        <f t="shared" si="20"/>
        <v>1</v>
      </c>
      <c r="AC101" s="225" t="str">
        <f>IF(OR(AB101="",U101=1),"",IF(OR(COUNTBLANK(W101:Y101)&gt;0,AB101&gt;='פרמטרים לקריטריונים'!$E$54),'פרמטרים לקריטריונים'!$F$54,INDEX('פרמטרים לקריטריונים'!$F$49:$F$54,MATCH(AB101,'פרמטרים לקריטריונים'!$E$49:$E$54,1))))</f>
        <v/>
      </c>
      <c r="AD101" s="213" t="str">
        <f t="shared" si="17"/>
        <v/>
      </c>
      <c r="AE101" s="213">
        <f t="shared" si="18"/>
        <v>478254.86847671279</v>
      </c>
      <c r="AG101" s="175">
        <f t="shared" si="21"/>
        <v>1</v>
      </c>
    </row>
    <row r="102" spans="1:33" ht="15.75" x14ac:dyDescent="0.2">
      <c r="A102" s="206">
        <f t="shared" si="19"/>
        <v>72</v>
      </c>
      <c r="B102" s="88">
        <f>IF($F102="","",'הזנה לתנאי סף'!C102)</f>
        <v>1001347675</v>
      </c>
      <c r="C102" s="88">
        <f>IF($F102="","",'הזנה לתנאי סף'!D102)</f>
        <v>1001269049</v>
      </c>
      <c r="D102" s="88">
        <f>IF($F102="","",'הזנה לתנאי סף'!E102)</f>
        <v>40000411</v>
      </c>
      <c r="E102" s="88">
        <f>IF($F102="","",'הזנה לתנאי סף'!F102)</f>
        <v>20000159</v>
      </c>
      <c r="F102" s="88" t="str">
        <f>IF(OR('הזנה לתנאי סף'!G102="",'הזנה לתנאי סף'!BL102&lt;&gt;1),"",'הזנה לתנאי סף'!G102)</f>
        <v>ירושלים</v>
      </c>
      <c r="G102" s="88" t="str">
        <f>IF($F102="","",'הזנה לתנאי סף'!H102)</f>
        <v>סינמטק ירושלים</v>
      </c>
      <c r="H102" s="88" t="str">
        <f>IF($F102="","",'הזנה לתנאי סף'!I102)</f>
        <v>סינמטקים ופסטיבלים</v>
      </c>
      <c r="I102" s="109">
        <v>3991477</v>
      </c>
      <c r="J102" s="213">
        <f>IF($F102="","",'הזנה לתנאי סף'!S102)</f>
        <v>6372892</v>
      </c>
      <c r="K102" s="109">
        <v>0</v>
      </c>
      <c r="L102" s="213">
        <f t="shared" si="12"/>
        <v>10364369</v>
      </c>
      <c r="M102" s="213">
        <f>IF($F102="","",IF(L102='הזנה לתנאי סף'!R102,1,0))</f>
        <v>1</v>
      </c>
      <c r="N102" s="214">
        <f t="shared" si="13"/>
        <v>0.38511529259523664</v>
      </c>
      <c r="O102" s="214">
        <f t="shared" si="22"/>
        <v>0.61488470740476342</v>
      </c>
      <c r="P102" s="109">
        <v>10527274</v>
      </c>
      <c r="Q102" s="213">
        <f>IF($F102="","",IFERROR(IF(P102&gt;0,'פרמטרים לקריטריונים'!$C$25*P102*O102,$AG$2),""))</f>
        <v>1941917.9379779319</v>
      </c>
      <c r="R102" s="213">
        <f>IF($F102="","",IFERROR('פרמטרים לקריטריונים'!$C$26*Q102,""))</f>
        <v>477520.80442080292</v>
      </c>
      <c r="S102" s="214">
        <f t="shared" si="14"/>
        <v>7.0769318063973342E-3</v>
      </c>
      <c r="T102" s="213">
        <f t="shared" si="15"/>
        <v>353846.59031986672</v>
      </c>
      <c r="U102" s="213">
        <f>IF($F102="","",'הזנה לתנאי סף'!N102)</f>
        <v>1</v>
      </c>
      <c r="V102" s="213">
        <f>IF($F102="","",'הזנה לתנאי סף'!O102)</f>
        <v>1</v>
      </c>
      <c r="W102" s="109"/>
      <c r="X102" s="109"/>
      <c r="Y102" s="109"/>
      <c r="Z102" s="214" t="str">
        <f t="shared" si="16"/>
        <v>בדוק נתוני הזנה</v>
      </c>
      <c r="AA102" s="213" t="str">
        <f>IF(OR($F102="",V102=0),"",IF(V102=1,IF(COUNTBLANK(W102:X102)&gt;0,$AG$2,IF(OR(Z102&lt;='פרמטרים לקריטריונים'!$C$27,X102&gt;W102),"",X102-W102))))</f>
        <v>בדוק נתוני הזנה</v>
      </c>
      <c r="AB102" s="214">
        <f t="shared" si="20"/>
        <v>1</v>
      </c>
      <c r="AC102" s="225" t="str">
        <f>IF(OR(AB102="",U102=1),"",IF(OR(COUNTBLANK(W102:Y102)&gt;0,AB102&gt;='פרמטרים לקריטריונים'!$E$54),'פרמטרים לקריטריונים'!$F$54,INDEX('פרמטרים לקריטריונים'!$F$49:$F$54,MATCH(AB102,'פרמטרים לקריטריונים'!$E$49:$E$54,1))))</f>
        <v/>
      </c>
      <c r="AD102" s="213" t="str">
        <f t="shared" si="17"/>
        <v/>
      </c>
      <c r="AE102" s="213">
        <f t="shared" si="18"/>
        <v>353846.59031986672</v>
      </c>
      <c r="AG102" s="175">
        <f t="shared" si="21"/>
        <v>1</v>
      </c>
    </row>
    <row r="103" spans="1:33" ht="15.75" x14ac:dyDescent="0.2">
      <c r="A103" s="206">
        <f t="shared" si="19"/>
        <v>73</v>
      </c>
      <c r="B103" s="88">
        <f>IF($F103="","",'הזנה לתנאי סף'!C103)</f>
        <v>1001346703</v>
      </c>
      <c r="C103" s="88">
        <f>IF($F103="","",'הזנה לתנאי סף'!D103)</f>
        <v>1001278260</v>
      </c>
      <c r="D103" s="88">
        <f>IF($F103="","",'הזנה לתנאי סף'!E103)</f>
        <v>40000449</v>
      </c>
      <c r="E103" s="88">
        <f>IF($F103="","",'הזנה לתנאי סף'!F103)</f>
        <v>20000201</v>
      </c>
      <c r="F103" s="88" t="str">
        <f>IF(OR('הזנה לתנאי סף'!G103="",'הזנה לתנאי סף'!BL103&lt;&gt;1),"",'הזנה לתנאי סף'!G103)</f>
        <v>תל אביב -יפו</v>
      </c>
      <c r="G103" s="88" t="str">
        <f>IF($F103="","",'הזנה לתנאי סף'!H103)</f>
        <v>תיאטרון בית ליסין</v>
      </c>
      <c r="H103" s="88" t="str">
        <f>IF($F103="","",'הזנה לתנאי סף'!I103)</f>
        <v>תיאטרון</v>
      </c>
      <c r="I103" s="109">
        <v>16671616</v>
      </c>
      <c r="J103" s="213">
        <f>IF($F103="","",'הזנה לתנאי סף'!S103)</f>
        <v>41065938</v>
      </c>
      <c r="K103" s="109">
        <v>172639</v>
      </c>
      <c r="L103" s="213">
        <f t="shared" si="12"/>
        <v>57910193</v>
      </c>
      <c r="M103" s="213">
        <f>IF($F103="","",IF(L103='הזנה לתנאי סף'!R103,1,0))</f>
        <v>1</v>
      </c>
      <c r="N103" s="214">
        <f t="shared" si="13"/>
        <v>0.2878874190593701</v>
      </c>
      <c r="O103" s="214">
        <f t="shared" si="22"/>
        <v>0.7121125809406299</v>
      </c>
      <c r="P103" s="109">
        <v>60050497</v>
      </c>
      <c r="Q103" s="213">
        <f>IF($F103="","",IFERROR(IF(P103&gt;0,'פרמטרים לקריטריונים'!$C$25*P103*O103,$AG$2),""))</f>
        <v>12828814.321631264</v>
      </c>
      <c r="R103" s="213">
        <f>IF($F103="","",IFERROR('פרמטרים לקריטריונים'!$C$26*Q103,""))</f>
        <v>3154626.4725322779</v>
      </c>
      <c r="S103" s="214">
        <f t="shared" si="14"/>
        <v>4.6752049783140556E-2</v>
      </c>
      <c r="T103" s="213">
        <f t="shared" si="15"/>
        <v>2337602.489157028</v>
      </c>
      <c r="U103" s="213">
        <f>IF($F103="","",'הזנה לתנאי סף'!N103)</f>
        <v>1</v>
      </c>
      <c r="V103" s="213">
        <f>IF($F103="","",'הזנה לתנאי סף'!O103)</f>
        <v>1</v>
      </c>
      <c r="W103" s="109"/>
      <c r="X103" s="109"/>
      <c r="Y103" s="109"/>
      <c r="Z103" s="214" t="str">
        <f t="shared" si="16"/>
        <v>בדוק נתוני הזנה</v>
      </c>
      <c r="AA103" s="213" t="str">
        <f>IF(OR($F103="",V103=0),"",IF(V103=1,IF(COUNTBLANK(W103:X103)&gt;0,$AG$2,IF(OR(Z103&lt;='פרמטרים לקריטריונים'!$C$27,X103&gt;W103),"",X103-W103))))</f>
        <v>בדוק נתוני הזנה</v>
      </c>
      <c r="AB103" s="214">
        <f t="shared" si="20"/>
        <v>0</v>
      </c>
      <c r="AC103" s="225" t="str">
        <f>IF(OR(AB103="",U103=1),"",IF(OR(COUNTBLANK(W103:Y103)&gt;0,AB103&gt;='פרמטרים לקריטריונים'!$E$54),'פרמטרים לקריטריונים'!$F$54,INDEX('פרמטרים לקריטריונים'!$F$49:$F$54,MATCH(AB103,'פרמטרים לקריטריונים'!$E$49:$E$54,1))))</f>
        <v/>
      </c>
      <c r="AD103" s="213" t="str">
        <f t="shared" si="17"/>
        <v/>
      </c>
      <c r="AE103" s="213">
        <f t="shared" si="18"/>
        <v>2337602.489157028</v>
      </c>
      <c r="AG103" s="175">
        <f t="shared" si="21"/>
        <v>1</v>
      </c>
    </row>
    <row r="104" spans="1:33" ht="15.75" x14ac:dyDescent="0.2">
      <c r="A104" s="206">
        <f t="shared" si="19"/>
        <v>74</v>
      </c>
      <c r="B104" s="88">
        <f>IF($F104="","",'הזנה לתנאי סף'!C104)</f>
        <v>1001348511</v>
      </c>
      <c r="C104" s="88">
        <f>IF($F104="","",'הזנה לתנאי סף'!D104)</f>
        <v>1001271268</v>
      </c>
      <c r="D104" s="88">
        <f>IF($F104="","",'הזנה לתנאי סף'!E104)</f>
        <v>40000594</v>
      </c>
      <c r="E104" s="88">
        <f>IF($F104="","",'הזנה לתנאי סף'!F104)</f>
        <v>20000185</v>
      </c>
      <c r="F104" s="88" t="str">
        <f>IF(OR('הזנה לתנאי סף'!G104="",'הזנה לתנאי סף'!BL104&lt;&gt;1),"",'הזנה לתנאי סף'!G104)</f>
        <v>עמק חפר</v>
      </c>
      <c r="G104" s="88" t="str">
        <f>IF($F104="","",'הזנה לתנאי סף'!H104)</f>
        <v>עמותת מקהלות מורן והבית לשירה בישרא</v>
      </c>
      <c r="H104" s="88" t="str">
        <f>IF($F104="","",'הזנה לתנאי סף'!I104)</f>
        <v>מקהלות</v>
      </c>
      <c r="I104" s="109">
        <v>211375</v>
      </c>
      <c r="J104" s="213">
        <f>IF($F104="","",'הזנה לתנאי סף'!S104)</f>
        <v>212000</v>
      </c>
      <c r="K104" s="109">
        <v>120439</v>
      </c>
      <c r="L104" s="213">
        <f t="shared" si="12"/>
        <v>543814</v>
      </c>
      <c r="M104" s="213">
        <f>IF($F104="","",IF(L104='הזנה לתנאי סף'!R104,1,0))</f>
        <v>1</v>
      </c>
      <c r="N104" s="214">
        <f t="shared" si="13"/>
        <v>0.38868988293791629</v>
      </c>
      <c r="O104" s="214">
        <f t="shared" si="22"/>
        <v>0.61131011706208371</v>
      </c>
      <c r="P104" s="109">
        <v>542470</v>
      </c>
      <c r="Q104" s="213">
        <f>IF($F104="","",IFERROR(IF(P104&gt;0,'פרמטרים לקריטריונים'!$C$25*P104*O104,$AG$2),""))</f>
        <v>99485.219760800566</v>
      </c>
      <c r="R104" s="213">
        <f>IF($F104="","",IFERROR('פרמטרים לקריטריונים'!$C$26*Q104,""))</f>
        <v>24463.578629705058</v>
      </c>
      <c r="S104" s="214">
        <f t="shared" si="14"/>
        <v>3.6255399995158757E-4</v>
      </c>
      <c r="T104" s="213">
        <f t="shared" si="15"/>
        <v>18127.699997579377</v>
      </c>
      <c r="U104" s="213">
        <f>IF($F104="","",'הזנה לתנאי סף'!N104)</f>
        <v>0</v>
      </c>
      <c r="V104" s="213">
        <f>IF($F104="","",'הזנה לתנאי סף'!O104)</f>
        <v>1</v>
      </c>
      <c r="W104" s="109">
        <v>0</v>
      </c>
      <c r="X104" s="109">
        <v>0</v>
      </c>
      <c r="Y104" s="109">
        <v>1</v>
      </c>
      <c r="Z104" s="214">
        <f t="shared" si="16"/>
        <v>0</v>
      </c>
      <c r="AA104" s="213" t="str">
        <f>IF(OR($F104="",V104=0),"",IF(V104=1,IF(COUNTBLANK(W104:X104)&gt;0,$AG$2,IF(OR(Z104&lt;='פרמטרים לקריטריונים'!$C$27,X104&gt;W104),"",X104-W104))))</f>
        <v/>
      </c>
      <c r="AB104" s="214" t="str">
        <f t="shared" si="20"/>
        <v/>
      </c>
      <c r="AC104" s="225" t="str">
        <f>IF(OR(AB104="",U104=1),"",IF(OR(COUNTBLANK(W104:Y104)&gt;0,AB104&gt;='פרמטרים לקריטריונים'!$E$54),'פרמטרים לקריטריונים'!$F$54,INDEX('פרמטרים לקריטריונים'!$F$49:$F$54,MATCH(AB104,'פרמטרים לקריטריונים'!$E$49:$E$54,1))))</f>
        <v/>
      </c>
      <c r="AD104" s="213" t="str">
        <f t="shared" si="17"/>
        <v/>
      </c>
      <c r="AE104" s="213">
        <f t="shared" si="18"/>
        <v>18127.699997579377</v>
      </c>
      <c r="AG104" s="175">
        <f t="shared" si="21"/>
        <v>0</v>
      </c>
    </row>
    <row r="105" spans="1:33" ht="15.75" x14ac:dyDescent="0.2">
      <c r="A105" s="206">
        <f t="shared" si="19"/>
        <v>75</v>
      </c>
      <c r="B105" s="88">
        <f>IF($F105="","",'הזנה לתנאי סף'!C105)</f>
        <v>1001347498</v>
      </c>
      <c r="C105" s="88">
        <f>IF($F105="","",'הזנה לתנאי סף'!D105)</f>
        <v>1001270248</v>
      </c>
      <c r="D105" s="88">
        <f>IF($F105="","",'הזנה לתנאי סף'!E105)</f>
        <v>40000624</v>
      </c>
      <c r="E105" s="88">
        <f>IF($F105="","",'הזנה לתנאי סף'!F105)</f>
        <v>20000247</v>
      </c>
      <c r="F105" s="88" t="str">
        <f>IF(OR('הזנה לתנאי סף'!G105="",'הזנה לתנאי סף'!BL105&lt;&gt;1),"",'הזנה לתנאי סף'!G105)</f>
        <v>ראשון לציון</v>
      </c>
      <c r="G105" s="88" t="str">
        <f>IF($F105="","",'הזנה לתנאי סף'!H105)</f>
        <v>עמותת התזמורת הסימפונית ראשון לציון</v>
      </c>
      <c r="H105" s="88" t="str">
        <f>IF($F105="","",'הזנה לתנאי סף'!I105)</f>
        <v>מוסיקה-גופים כליים</v>
      </c>
      <c r="I105" s="109">
        <v>9171112</v>
      </c>
      <c r="J105" s="213">
        <f>IF($F105="","",'הזנה לתנאי סף'!S105)</f>
        <v>7523518</v>
      </c>
      <c r="K105" s="109">
        <v>0</v>
      </c>
      <c r="L105" s="213">
        <f t="shared" si="12"/>
        <v>16694630</v>
      </c>
      <c r="M105" s="213">
        <f>IF($F105="","",IF(L105='הזנה לתנאי סף'!R105,1,0))</f>
        <v>1</v>
      </c>
      <c r="N105" s="214">
        <f t="shared" si="13"/>
        <v>0.54934502891049397</v>
      </c>
      <c r="O105" s="214">
        <f t="shared" si="22"/>
        <v>0.45065497108950603</v>
      </c>
      <c r="P105" s="109">
        <v>16328524</v>
      </c>
      <c r="Q105" s="213">
        <f>IF($F105="","",IFERROR(IF(P105&gt;0,'פרמטרים לקריטריונים'!$C$25*P105*O105,$AG$2),""))</f>
        <v>2207559.1533462917</v>
      </c>
      <c r="R105" s="213">
        <f>IF($F105="","",IFERROR('פרמטרים לקריטריונים'!$C$26*Q105,""))</f>
        <v>542842.4147572848</v>
      </c>
      <c r="S105" s="214">
        <f t="shared" si="14"/>
        <v>8.0450081238177835E-3</v>
      </c>
      <c r="T105" s="213">
        <f t="shared" si="15"/>
        <v>402250.40619088919</v>
      </c>
      <c r="U105" s="213">
        <f>IF($F105="","",'הזנה לתנאי סף'!N105)</f>
        <v>1</v>
      </c>
      <c r="V105" s="213">
        <f>IF($F105="","",'הזנה לתנאי סף'!O105)</f>
        <v>1</v>
      </c>
      <c r="W105" s="109"/>
      <c r="X105" s="109"/>
      <c r="Y105" s="109"/>
      <c r="Z105" s="214" t="str">
        <f t="shared" si="16"/>
        <v>בדוק נתוני הזנה</v>
      </c>
      <c r="AA105" s="213" t="str">
        <f>IF(OR($F105="",V105=0),"",IF(V105=1,IF(COUNTBLANK(W105:X105)&gt;0,$AG$2,IF(OR(Z105&lt;='פרמטרים לקריטריונים'!$C$27,X105&gt;W105),"",X105-W105))))</f>
        <v>בדוק נתוני הזנה</v>
      </c>
      <c r="AB105" s="214">
        <f t="shared" si="20"/>
        <v>0</v>
      </c>
      <c r="AC105" s="225" t="str">
        <f>IF(OR(AB105="",U105=1),"",IF(OR(COUNTBLANK(W105:Y105)&gt;0,AB105&gt;='פרמטרים לקריטריונים'!$E$54),'פרמטרים לקריטריונים'!$F$54,INDEX('פרמטרים לקריטריונים'!$F$49:$F$54,MATCH(AB105,'פרמטרים לקריטריונים'!$E$49:$E$54,1))))</f>
        <v/>
      </c>
      <c r="AD105" s="213" t="str">
        <f t="shared" si="17"/>
        <v/>
      </c>
      <c r="AE105" s="213">
        <f t="shared" si="18"/>
        <v>402250.40619088919</v>
      </c>
      <c r="AG105" s="175">
        <f t="shared" si="21"/>
        <v>1</v>
      </c>
    </row>
    <row r="106" spans="1:33" ht="15.75" x14ac:dyDescent="0.2">
      <c r="A106" s="206">
        <f t="shared" si="19"/>
        <v>76</v>
      </c>
      <c r="B106" s="88">
        <f>IF($F106="","",'הזנה לתנאי סף'!C106)</f>
        <v>1001345723</v>
      </c>
      <c r="C106" s="88">
        <f>IF($F106="","",'הזנה לתנאי סף'!D106)</f>
        <v>1001262216</v>
      </c>
      <c r="D106" s="88">
        <f>IF($F106="","",'הזנה לתנאי סף'!E106)</f>
        <v>40000690</v>
      </c>
      <c r="E106" s="88">
        <f>IF($F106="","",'הזנה לתנאי סף'!F106)</f>
        <v>20000135</v>
      </c>
      <c r="F106" s="88" t="str">
        <f>IF(OR('הזנה לתנאי סף'!G106="",'הזנה לתנאי סף'!BL106&lt;&gt;1),"",'הזנה לתנאי סף'!G106)</f>
        <v>הגלבוע</v>
      </c>
      <c r="G106" s="88" t="str">
        <f>IF($F106="","",'הזנה לתנאי סף'!H106)</f>
        <v>בית חיים שטורמן - מוזיאון ומכון ליד</v>
      </c>
      <c r="H106" s="88" t="str">
        <f>IF($F106="","",'הזנה לתנאי סף'!I106)</f>
        <v>מוזיאונים</v>
      </c>
      <c r="I106" s="109">
        <v>498076</v>
      </c>
      <c r="J106" s="213">
        <f>IF($F106="","",'הזנה לתנאי סף'!S106)</f>
        <v>282796</v>
      </c>
      <c r="K106" s="109">
        <v>0</v>
      </c>
      <c r="L106" s="213">
        <f t="shared" si="12"/>
        <v>780872</v>
      </c>
      <c r="M106" s="213">
        <f>IF($F106="","",IF(L106='הזנה לתנאי סף'!R106,1,0))</f>
        <v>1</v>
      </c>
      <c r="N106" s="214">
        <f t="shared" si="13"/>
        <v>0.63784589535801006</v>
      </c>
      <c r="O106" s="214">
        <f t="shared" si="22"/>
        <v>0.36215410464198994</v>
      </c>
      <c r="P106" s="109">
        <v>776665</v>
      </c>
      <c r="Q106" s="213">
        <f>IF($F106="","",IFERROR(IF(P106&gt;0,'פרמטרים לקריטריונים'!$C$25*P106*O106,$AG$2),""))</f>
        <v>84381.725304531341</v>
      </c>
      <c r="R106" s="213">
        <f>IF($F106="","",IFERROR('פרמטרים לקריטריונים'!$C$26*Q106,""))</f>
        <v>20749.604583081476</v>
      </c>
      <c r="S106" s="214">
        <f t="shared" si="14"/>
        <v>3.0751233304334759E-4</v>
      </c>
      <c r="T106" s="213">
        <f t="shared" si="15"/>
        <v>15375.616652167379</v>
      </c>
      <c r="U106" s="213">
        <f>IF($F106="","",'הזנה לתנאי סף'!N106)</f>
        <v>0</v>
      </c>
      <c r="V106" s="213">
        <f>IF($F106="","",'הזנה לתנאי סף'!O106)</f>
        <v>1</v>
      </c>
      <c r="W106" s="109">
        <v>0</v>
      </c>
      <c r="X106" s="109">
        <v>0</v>
      </c>
      <c r="Y106" s="109">
        <v>1</v>
      </c>
      <c r="Z106" s="214">
        <f t="shared" si="16"/>
        <v>0</v>
      </c>
      <c r="AA106" s="213" t="str">
        <f>IF(OR($F106="",V106=0),"",IF(V106=1,IF(COUNTBLANK(W106:X106)&gt;0,$AG$2,IF(OR(Z106&lt;='פרמטרים לקריטריונים'!$C$27,X106&gt;W106),"",X106-W106))))</f>
        <v/>
      </c>
      <c r="AB106" s="214" t="str">
        <f t="shared" si="20"/>
        <v/>
      </c>
      <c r="AC106" s="225" t="str">
        <f>IF(OR(AB106="",U106=1),"",IF(OR(COUNTBLANK(W106:Y106)&gt;0,AB106&gt;='פרמטרים לקריטריונים'!$E$54),'פרמטרים לקריטריונים'!$F$54,INDEX('פרמטרים לקריטריונים'!$F$49:$F$54,MATCH(AB106,'פרמטרים לקריטריונים'!$E$49:$E$54,1))))</f>
        <v/>
      </c>
      <c r="AD106" s="213" t="str">
        <f t="shared" si="17"/>
        <v/>
      </c>
      <c r="AE106" s="213">
        <f t="shared" si="18"/>
        <v>15375.616652167379</v>
      </c>
      <c r="AG106" s="175">
        <f t="shared" si="21"/>
        <v>0</v>
      </c>
    </row>
    <row r="107" spans="1:33" ht="15.75" x14ac:dyDescent="0.2">
      <c r="A107" s="206">
        <f t="shared" si="19"/>
        <v>77</v>
      </c>
      <c r="B107" s="88">
        <f>IF($F107="","",'הזנה לתנאי סף'!C107)</f>
        <v>1001350383</v>
      </c>
      <c r="C107" s="88">
        <f>IF($F107="","",'הזנה לתנאי סף'!D107)</f>
        <v>1001289932</v>
      </c>
      <c r="D107" s="88">
        <f>IF($F107="","",'הזנה לתנאי סף'!E107)</f>
        <v>40000702</v>
      </c>
      <c r="E107" s="88">
        <f>IF($F107="","",'הזנה לתנאי סף'!F107)</f>
        <v>20000096</v>
      </c>
      <c r="F107" s="88" t="str">
        <f>IF(OR('הזנה לתנאי סף'!G107="",'הזנה לתנאי סף'!BL107&lt;&gt;1),"",'הזנה לתנאי סף'!G107)</f>
        <v>שדרות</v>
      </c>
      <c r="G107" s="88" t="str">
        <f>IF($F107="","",'הזנה לתנאי סף'!H107)</f>
        <v>סינמטק שדרות</v>
      </c>
      <c r="H107" s="88" t="str">
        <f>IF($F107="","",'הזנה לתנאי סף'!I107)</f>
        <v>סינמטקים ופסטיבלים</v>
      </c>
      <c r="I107" s="109">
        <v>392242</v>
      </c>
      <c r="J107" s="213">
        <f>IF($F107="","",'הזנה לתנאי סף'!S107)</f>
        <v>1368028</v>
      </c>
      <c r="K107" s="109">
        <v>115000</v>
      </c>
      <c r="L107" s="213">
        <f t="shared" si="12"/>
        <v>1875270</v>
      </c>
      <c r="M107" s="213">
        <f>IF($F107="","",IF(L107='הזנה לתנאי סף'!R107,1,0))</f>
        <v>1</v>
      </c>
      <c r="N107" s="214">
        <f t="shared" si="13"/>
        <v>0.20916561348499149</v>
      </c>
      <c r="O107" s="214">
        <f t="shared" si="22"/>
        <v>0.79083438651500848</v>
      </c>
      <c r="P107" s="109">
        <v>2116662</v>
      </c>
      <c r="Q107" s="213">
        <f>IF($F107="","",IFERROR(IF(P107&gt;0,'פרמטרים לקריטריונים'!$C$25*P107*O107,$AG$2),""))</f>
        <v>502178.72826888924</v>
      </c>
      <c r="R107" s="213">
        <f>IF($F107="","",IFERROR('פרמטרים לקריטריונים'!$C$26*Q107,""))</f>
        <v>123486.5725251367</v>
      </c>
      <c r="S107" s="214">
        <f t="shared" si="14"/>
        <v>1.8300900079654412E-3</v>
      </c>
      <c r="T107" s="213">
        <f t="shared" si="15"/>
        <v>91504.500398272052</v>
      </c>
      <c r="U107" s="213">
        <f>IF($F107="","",'הזנה לתנאי סף'!N107)</f>
        <v>0</v>
      </c>
      <c r="V107" s="213">
        <f>IF($F107="","",'הזנה לתנאי סף'!O107)</f>
        <v>1</v>
      </c>
      <c r="W107" s="109">
        <v>0</v>
      </c>
      <c r="X107" s="109">
        <v>0</v>
      </c>
      <c r="Y107" s="109">
        <v>1</v>
      </c>
      <c r="Z107" s="214">
        <f t="shared" si="16"/>
        <v>0</v>
      </c>
      <c r="AA107" s="213" t="str">
        <f>IF(OR($F107="",V107=0),"",IF(V107=1,IF(COUNTBLANK(W107:X107)&gt;0,$AG$2,IF(OR(Z107&lt;='פרמטרים לקריטריונים'!$C$27,X107&gt;W107),"",X107-W107))))</f>
        <v/>
      </c>
      <c r="AB107" s="214" t="str">
        <f t="shared" si="20"/>
        <v/>
      </c>
      <c r="AC107" s="225" t="str">
        <f>IF(OR(AB107="",U107=1),"",IF(OR(COUNTBLANK(W107:Y107)&gt;0,AB107&gt;='פרמטרים לקריטריונים'!$E$54),'פרמטרים לקריטריונים'!$F$54,INDEX('פרמטרים לקריטריונים'!$F$49:$F$54,MATCH(AB107,'פרמטרים לקריטריונים'!$E$49:$E$54,1))))</f>
        <v/>
      </c>
      <c r="AD107" s="213" t="str">
        <f t="shared" si="17"/>
        <v/>
      </c>
      <c r="AE107" s="213">
        <f t="shared" si="18"/>
        <v>91504.500398272052</v>
      </c>
      <c r="AG107" s="175">
        <f t="shared" si="21"/>
        <v>0</v>
      </c>
    </row>
    <row r="108" spans="1:33" ht="15.75" x14ac:dyDescent="0.2">
      <c r="A108" s="206">
        <f t="shared" si="19"/>
        <v>78</v>
      </c>
      <c r="B108" s="88">
        <f>IF($F108="","",'הזנה לתנאי סף'!C108)</f>
        <v>1001346201</v>
      </c>
      <c r="C108" s="88">
        <f>IF($F108="","",'הזנה לתנאי סף'!D108)</f>
        <v>1001271257</v>
      </c>
      <c r="D108" s="88">
        <f>IF($F108="","",'הזנה לתנאי סף'!E108)</f>
        <v>40002836</v>
      </c>
      <c r="E108" s="88">
        <f>IF($F108="","",'הזנה לתנאי סף'!F108)</f>
        <v>20000244</v>
      </c>
      <c r="F108" s="88" t="str">
        <f>IF(OR('הזנה לתנאי סף'!G108="",'הזנה לתנאי סף'!BL108&lt;&gt;1),"",'הזנה לתנאי סף'!G108)</f>
        <v>צפת</v>
      </c>
      <c r="G108" s="88" t="str">
        <f>IF($F108="","",'הזנה לתנאי סף'!H108)</f>
        <v>בית המאירי</v>
      </c>
      <c r="H108" s="88" t="str">
        <f>IF($F108="","",'הזנה לתנאי סף'!I108)</f>
        <v>מוזיאונים</v>
      </c>
      <c r="I108" s="109">
        <v>248370</v>
      </c>
      <c r="J108" s="213">
        <f>IF($F108="","",'הזנה לתנאי סף'!S108)</f>
        <v>120892</v>
      </c>
      <c r="K108" s="109">
        <v>0</v>
      </c>
      <c r="L108" s="213">
        <f t="shared" si="12"/>
        <v>369262</v>
      </c>
      <c r="M108" s="213">
        <f>IF($F108="","",IF(L108='הזנה לתנאי סף'!R108,1,0))</f>
        <v>1</v>
      </c>
      <c r="N108" s="214">
        <f t="shared" si="13"/>
        <v>0.67261185824698999</v>
      </c>
      <c r="O108" s="214">
        <f t="shared" si="22"/>
        <v>0.32738814175301001</v>
      </c>
      <c r="P108" s="109">
        <v>366545</v>
      </c>
      <c r="Q108" s="213">
        <f>IF($F108="","",IFERROR(IF(P108&gt;0,'פרמטרים לקריטריונים'!$C$25*P108*O108,$AG$2),""))</f>
        <v>36000.745925657116</v>
      </c>
      <c r="R108" s="213">
        <f>IF($F108="","",IFERROR('פרמטרים לקריטריונים'!$C$26*Q108,""))</f>
        <v>8852.642440735357</v>
      </c>
      <c r="S108" s="214">
        <f t="shared" si="14"/>
        <v>1.3119752329009455E-4</v>
      </c>
      <c r="T108" s="213">
        <f t="shared" si="15"/>
        <v>6559.8761645047271</v>
      </c>
      <c r="U108" s="213">
        <f>IF($F108="","",'הזנה לתנאי סף'!N108)</f>
        <v>0</v>
      </c>
      <c r="V108" s="213">
        <f>IF($F108="","",'הזנה לתנאי סף'!O108)</f>
        <v>1</v>
      </c>
      <c r="W108" s="109">
        <v>0</v>
      </c>
      <c r="X108" s="109">
        <v>0</v>
      </c>
      <c r="Y108" s="109">
        <v>1</v>
      </c>
      <c r="Z108" s="214">
        <f t="shared" si="16"/>
        <v>0</v>
      </c>
      <c r="AA108" s="213" t="str">
        <f>IF(OR($F108="",V108=0),"",IF(V108=1,IF(COUNTBLANK(W108:X108)&gt;0,$AG$2,IF(OR(Z108&lt;='פרמטרים לקריטריונים'!$C$27,X108&gt;W108),"",X108-W108))))</f>
        <v/>
      </c>
      <c r="AB108" s="214" t="str">
        <f t="shared" si="20"/>
        <v/>
      </c>
      <c r="AC108" s="225" t="str">
        <f>IF(OR(AB108="",U108=1),"",IF(OR(COUNTBLANK(W108:Y108)&gt;0,AB108&gt;='פרמטרים לקריטריונים'!$E$54),'פרמטרים לקריטריונים'!$F$54,INDEX('פרמטרים לקריטריונים'!$F$49:$F$54,MATCH(AB108,'פרמטרים לקריטריונים'!$E$49:$E$54,1))))</f>
        <v/>
      </c>
      <c r="AD108" s="213" t="str">
        <f t="shared" si="17"/>
        <v/>
      </c>
      <c r="AE108" s="213">
        <f t="shared" si="18"/>
        <v>6559.8761645047271</v>
      </c>
      <c r="AG108" s="175">
        <f t="shared" si="21"/>
        <v>0</v>
      </c>
    </row>
    <row r="109" spans="1:33" ht="15.75" x14ac:dyDescent="0.2">
      <c r="A109" s="206">
        <f t="shared" si="19"/>
        <v>79</v>
      </c>
      <c r="B109" s="88">
        <f>IF($F109="","",'הזנה לתנאי סף'!C109)</f>
        <v>1001350540</v>
      </c>
      <c r="C109" s="88">
        <f>IF($F109="","",'הזנה לתנאי סף'!D109)</f>
        <v>1001274933</v>
      </c>
      <c r="D109" s="88">
        <f>IF($F109="","",'הזנה לתנאי סף'!E109)</f>
        <v>40000481</v>
      </c>
      <c r="E109" s="88">
        <f>IF($F109="","",'הזנה לתנאי סף'!F109)</f>
        <v>20000159</v>
      </c>
      <c r="F109" s="88" t="str">
        <f>IF(OR('הזנה לתנאי סף'!G109="",'הזנה לתנאי סף'!BL109&lt;&gt;1),"",'הזנה לתנאי סף'!G109)</f>
        <v>ירושלים</v>
      </c>
      <c r="G109" s="88" t="str">
        <f>IF($F109="","",'הזנה לתנאי סף'!H109)</f>
        <v>התזמורת הסימפונית ירושלים</v>
      </c>
      <c r="H109" s="88" t="str">
        <f>IF($F109="","",'הזנה לתנאי סף'!I109)</f>
        <v>מוסיקה-גופים כליים</v>
      </c>
      <c r="I109" s="109">
        <v>8359143</v>
      </c>
      <c r="J109" s="213">
        <f>IF($F109="","",'הזנה לתנאי סף'!S109)</f>
        <v>2968587</v>
      </c>
      <c r="K109" s="109">
        <v>0</v>
      </c>
      <c r="L109" s="213">
        <f t="shared" si="12"/>
        <v>11327730</v>
      </c>
      <c r="M109" s="213">
        <f>IF($F109="","",IF(L109='הזנה לתנאי סף'!R109,1,0))</f>
        <v>1</v>
      </c>
      <c r="N109" s="214">
        <f t="shared" si="13"/>
        <v>0.73793628555765367</v>
      </c>
      <c r="O109" s="214">
        <f t="shared" si="22"/>
        <v>0.26206371444234633</v>
      </c>
      <c r="P109" s="109">
        <v>17162482</v>
      </c>
      <c r="Q109" s="213">
        <f>IF($F109="","",IFERROR(IF(P109&gt;0,'פרמטרים לקריטריונים'!$C$25*P109*O109,$AG$2),""))</f>
        <v>1349299.1345909727</v>
      </c>
      <c r="R109" s="213">
        <f>IF($F109="","",IFERROR('פרמטרים לקריטריונים'!$C$26*Q109,""))</f>
        <v>331794.86916171457</v>
      </c>
      <c r="S109" s="214">
        <f t="shared" si="14"/>
        <v>4.9172510203362493E-3</v>
      </c>
      <c r="T109" s="213">
        <f t="shared" si="15"/>
        <v>245862.55101681247</v>
      </c>
      <c r="U109" s="213">
        <f>IF($F109="","",'הזנה לתנאי סף'!N109)</f>
        <v>1</v>
      </c>
      <c r="V109" s="213">
        <f>IF($F109="","",'הזנה לתנאי סף'!O109)</f>
        <v>1</v>
      </c>
      <c r="W109" s="109"/>
      <c r="X109" s="109"/>
      <c r="Y109" s="109"/>
      <c r="Z109" s="214" t="str">
        <f t="shared" si="16"/>
        <v>בדוק נתוני הזנה</v>
      </c>
      <c r="AA109" s="213" t="str">
        <f>IF(OR($F109="",V109=0),"",IF(V109=1,IF(COUNTBLANK(W109:X109)&gt;0,$AG$2,IF(OR(Z109&lt;='פרמטרים לקריטריונים'!$C$27,X109&gt;W109),"",X109-W109))))</f>
        <v>בדוק נתוני הזנה</v>
      </c>
      <c r="AB109" s="214">
        <f t="shared" si="20"/>
        <v>1</v>
      </c>
      <c r="AC109" s="225" t="str">
        <f>IF(OR(AB109="",U109=1),"",IF(OR(COUNTBLANK(W109:Y109)&gt;0,AB109&gt;='פרמטרים לקריטריונים'!$E$54),'פרמטרים לקריטריונים'!$F$54,INDEX('פרמטרים לקריטריונים'!$F$49:$F$54,MATCH(AB109,'פרמטרים לקריטריונים'!$E$49:$E$54,1))))</f>
        <v/>
      </c>
      <c r="AD109" s="213" t="str">
        <f t="shared" si="17"/>
        <v/>
      </c>
      <c r="AE109" s="213">
        <f t="shared" si="18"/>
        <v>245862.55101681247</v>
      </c>
      <c r="AG109" s="175">
        <f t="shared" si="21"/>
        <v>1</v>
      </c>
    </row>
    <row r="110" spans="1:33" ht="15.75" x14ac:dyDescent="0.2">
      <c r="A110" s="206">
        <f t="shared" si="19"/>
        <v>80</v>
      </c>
      <c r="B110" s="88">
        <f>IF($F110="","",'הזנה לתנאי סף'!C110)</f>
        <v>1001351066</v>
      </c>
      <c r="C110" s="88">
        <f>IF($F110="","",'הזנה לתנאי סף'!D110)</f>
        <v>1001274404</v>
      </c>
      <c r="D110" s="88">
        <f>IF($F110="","",'הזנה לתנאי סף'!E110)</f>
        <v>40216097</v>
      </c>
      <c r="E110" s="88">
        <f>IF($F110="","",'הזנה לתנאי סף'!F110)</f>
        <v>20000201</v>
      </c>
      <c r="F110" s="88" t="str">
        <f>IF(OR('הזנה לתנאי סף'!G110="",'הזנה לתנאי סף'!BL110&lt;&gt;1),"",'הזנה לתנאי סף'!G110)</f>
        <v>תל אביב -יפו</v>
      </c>
      <c r="G110" s="88" t="str">
        <f>IF($F110="","",'הזנה לתנאי סף'!H110)</f>
        <v>אנסמבל סולני ת"א</v>
      </c>
      <c r="H110" s="88" t="str">
        <f>IF($F110="","",'הזנה לתנאי סף'!I110)</f>
        <v>קבוצות מוסיקה</v>
      </c>
      <c r="I110" s="109">
        <v>733812</v>
      </c>
      <c r="J110" s="213">
        <f>IF($F110="","",'הזנה לתנאי סף'!S110)</f>
        <v>487346</v>
      </c>
      <c r="K110" s="109">
        <v>0</v>
      </c>
      <c r="L110" s="213">
        <f t="shared" si="12"/>
        <v>1221158</v>
      </c>
      <c r="M110" s="213">
        <f>IF($F110="","",IF(L110='הזנה לתנאי סף'!R110,1,0))</f>
        <v>1</v>
      </c>
      <c r="N110" s="214">
        <f t="shared" si="13"/>
        <v>0.60091486932894844</v>
      </c>
      <c r="O110" s="214">
        <f t="shared" si="22"/>
        <v>0.39908513067105156</v>
      </c>
      <c r="P110" s="109">
        <v>1383481</v>
      </c>
      <c r="Q110" s="213">
        <f>IF($F110="","",IFERROR(IF(P110&gt;0,'פרמטרים לקריטריונים'!$C$25*P110*O110,$AG$2),""))</f>
        <v>165638.00869977512</v>
      </c>
      <c r="R110" s="213">
        <f>IF($F110="","",IFERROR('פרמטרים לקריטריונים'!$C$26*Q110,""))</f>
        <v>40730.657876993879</v>
      </c>
      <c r="S110" s="214">
        <f t="shared" si="14"/>
        <v>6.0363461771013199E-4</v>
      </c>
      <c r="T110" s="213">
        <f t="shared" si="15"/>
        <v>30181.7308855066</v>
      </c>
      <c r="U110" s="213">
        <f>IF($F110="","",'הזנה לתנאי סף'!N110)</f>
        <v>1</v>
      </c>
      <c r="V110" s="213">
        <f>IF($F110="","",'הזנה לתנאי סף'!O110)</f>
        <v>1</v>
      </c>
      <c r="W110" s="109"/>
      <c r="X110" s="109"/>
      <c r="Y110" s="109"/>
      <c r="Z110" s="214" t="str">
        <f t="shared" si="16"/>
        <v>בדוק נתוני הזנה</v>
      </c>
      <c r="AA110" s="213" t="str">
        <f>IF(OR($F110="",V110=0),"",IF(V110=1,IF(COUNTBLANK(W110:X110)&gt;0,$AG$2,IF(OR(Z110&lt;='פרמטרים לקריטריונים'!$C$27,X110&gt;W110),"",X110-W110))))</f>
        <v>בדוק נתוני הזנה</v>
      </c>
      <c r="AB110" s="214">
        <f t="shared" si="20"/>
        <v>1</v>
      </c>
      <c r="AC110" s="225" t="str">
        <f>IF(OR(AB110="",U110=1),"",IF(OR(COUNTBLANK(W110:Y110)&gt;0,AB110&gt;='פרמטרים לקריטריונים'!$E$54),'פרמטרים לקריטריונים'!$F$54,INDEX('פרמטרים לקריטריונים'!$F$49:$F$54,MATCH(AB110,'פרמטרים לקריטריונים'!$E$49:$E$54,1))))</f>
        <v/>
      </c>
      <c r="AD110" s="213" t="str">
        <f t="shared" si="17"/>
        <v/>
      </c>
      <c r="AE110" s="213">
        <f t="shared" si="18"/>
        <v>30181.7308855066</v>
      </c>
      <c r="AG110" s="175">
        <f t="shared" si="21"/>
        <v>1</v>
      </c>
    </row>
    <row r="111" spans="1:33" ht="15.75" x14ac:dyDescent="0.2">
      <c r="A111" s="206">
        <f t="shared" si="19"/>
        <v>81</v>
      </c>
      <c r="B111" s="88">
        <f>IF($F111="","",'הזנה לתנאי סף'!C111)</f>
        <v>1001348972</v>
      </c>
      <c r="C111" s="88">
        <f>IF($F111="","",'הזנה לתנאי סף'!D111)</f>
        <v>1001288922</v>
      </c>
      <c r="D111" s="88">
        <f>IF($F111="","",'הזנה לתנאי סף'!E111)</f>
        <v>40216100</v>
      </c>
      <c r="E111" s="88">
        <f>IF($F111="","",'הזנה לתנאי סף'!F111)</f>
        <v>20000201</v>
      </c>
      <c r="F111" s="88" t="str">
        <f>IF(OR('הזנה לתנאי סף'!G111="",'הזנה לתנאי סף'!BL111&lt;&gt;1),"",'הזנה לתנאי סף'!G111)</f>
        <v>תל אביב -יפו</v>
      </c>
      <c r="G111" s="88" t="str">
        <f>IF($F111="","",'הזנה לתנאי סף'!H111)</f>
        <v>אורתו-דה</v>
      </c>
      <c r="H111" s="88" t="str">
        <f>IF($F111="","",'הזנה לתנאי סף'!I111)</f>
        <v>קבוצות תיאטרון</v>
      </c>
      <c r="I111" s="109">
        <v>745117</v>
      </c>
      <c r="J111" s="213">
        <f>IF($F111="","",'הזנה לתנאי סף'!S111)</f>
        <v>1115793</v>
      </c>
      <c r="K111" s="109">
        <v>0</v>
      </c>
      <c r="L111" s="213">
        <f t="shared" si="12"/>
        <v>1860910</v>
      </c>
      <c r="M111" s="213">
        <f>IF($F111="","",IF(L111='הזנה לתנאי סף'!R111,1,0))</f>
        <v>1</v>
      </c>
      <c r="N111" s="214">
        <f t="shared" si="13"/>
        <v>0.40040464074028298</v>
      </c>
      <c r="O111" s="214">
        <f t="shared" si="22"/>
        <v>0.59959535925971696</v>
      </c>
      <c r="P111" s="109">
        <v>1880967</v>
      </c>
      <c r="Q111" s="213">
        <f>IF($F111="","",IFERROR(IF(P111&gt;0,'פרמטרים לקריטריונים'!$C$25*P111*O111,$AG$2),""))</f>
        <v>338345.7252362016</v>
      </c>
      <c r="R111" s="213">
        <f>IF($F111="","",IFERROR('פרמטרים לקריטריונים'!$C$26*Q111,""))</f>
        <v>83199.768500705308</v>
      </c>
      <c r="S111" s="214">
        <f t="shared" si="14"/>
        <v>1.2330333726542151E-3</v>
      </c>
      <c r="T111" s="213">
        <f t="shared" si="15"/>
        <v>61651.66863271076</v>
      </c>
      <c r="U111" s="213">
        <f>IF($F111="","",'הזנה לתנאי סף'!N111)</f>
        <v>1</v>
      </c>
      <c r="V111" s="213">
        <f>IF($F111="","",'הזנה לתנאי סף'!O111)</f>
        <v>1</v>
      </c>
      <c r="W111" s="109"/>
      <c r="X111" s="109"/>
      <c r="Y111" s="109"/>
      <c r="Z111" s="214" t="str">
        <f t="shared" si="16"/>
        <v>בדוק נתוני הזנה</v>
      </c>
      <c r="AA111" s="213" t="str">
        <f>IF(OR($F111="",V111=0),"",IF(V111=1,IF(COUNTBLANK(W111:X111)&gt;0,$AG$2,IF(OR(Z111&lt;='פרמטרים לקריטריונים'!$C$27,X111&gt;W111),"",X111-W111))))</f>
        <v>בדוק נתוני הזנה</v>
      </c>
      <c r="AB111" s="214">
        <f t="shared" si="20"/>
        <v>0</v>
      </c>
      <c r="AC111" s="225" t="str">
        <f>IF(OR(AB111="",U111=1),"",IF(OR(COUNTBLANK(W111:Y111)&gt;0,AB111&gt;='פרמטרים לקריטריונים'!$E$54),'פרמטרים לקריטריונים'!$F$54,INDEX('פרמטרים לקריטריונים'!$F$49:$F$54,MATCH(AB111,'פרמטרים לקריטריונים'!$E$49:$E$54,1))))</f>
        <v/>
      </c>
      <c r="AD111" s="213" t="str">
        <f t="shared" si="17"/>
        <v/>
      </c>
      <c r="AE111" s="213">
        <f t="shared" si="18"/>
        <v>61651.66863271076</v>
      </c>
      <c r="AG111" s="175">
        <f t="shared" si="21"/>
        <v>1</v>
      </c>
    </row>
    <row r="112" spans="1:33" ht="15.75" x14ac:dyDescent="0.2">
      <c r="A112" s="206">
        <f t="shared" si="19"/>
        <v>82</v>
      </c>
      <c r="B112" s="88">
        <f>IF($F112="","",'הזנה לתנאי סף'!C112)</f>
        <v>1001347046</v>
      </c>
      <c r="C112" s="88">
        <f>IF($F112="","",'הזנה לתנאי סף'!D112)</f>
        <v>1001277747</v>
      </c>
      <c r="D112" s="88">
        <f>IF($F112="","",'הזנה לתנאי סף'!E112)</f>
        <v>40216106</v>
      </c>
      <c r="E112" s="88">
        <f>IF($F112="","",'הזנה לתנאי סף'!F112)</f>
        <v>20000201</v>
      </c>
      <c r="F112" s="88" t="str">
        <f>IF(OR('הזנה לתנאי סף'!G112="",'הזנה לתנאי סף'!BL112&lt;&gt;1),"",'הזנה לתנאי סף'!G112)</f>
        <v>תל אביב -יפו</v>
      </c>
      <c r="G112" s="88" t="str">
        <f>IF($F112="","",'הזנה לתנאי סף'!H112)</f>
        <v>העמותה לקידום תרבות הפלמנקו בישראל</v>
      </c>
      <c r="H112" s="88" t="str">
        <f>IF($F112="","",'הזנה לתנאי סף'!I112)</f>
        <v>מחול</v>
      </c>
      <c r="I112" s="109">
        <v>673323</v>
      </c>
      <c r="J112" s="213">
        <f>IF($F112="","",'הזנה לתנאי סף'!S112)</f>
        <v>1029515</v>
      </c>
      <c r="K112" s="109">
        <v>0</v>
      </c>
      <c r="L112" s="213">
        <f t="shared" si="12"/>
        <v>1702838</v>
      </c>
      <c r="M112" s="213">
        <f>IF($F112="","",IF(L112='הזנה לתנאי סף'!R112,1,0))</f>
        <v>1</v>
      </c>
      <c r="N112" s="214">
        <f t="shared" si="13"/>
        <v>0.3954122470839857</v>
      </c>
      <c r="O112" s="214">
        <f t="shared" si="22"/>
        <v>0.6045877529160143</v>
      </c>
      <c r="P112" s="109">
        <v>1708006</v>
      </c>
      <c r="Q112" s="213">
        <f>IF($F112="","",IFERROR(IF(P112&gt;0,'פרמטרים לקריטריונים'!$C$25*P112*O112,$AG$2),""))</f>
        <v>309791.852852121</v>
      </c>
      <c r="R112" s="213">
        <f>IF($F112="","",IFERROR('פרמטרים לקריטריונים'!$C$26*Q112,""))</f>
        <v>76178.324471833024</v>
      </c>
      <c r="S112" s="214">
        <f t="shared" si="14"/>
        <v>1.128974491628004E-3</v>
      </c>
      <c r="T112" s="213">
        <f t="shared" si="15"/>
        <v>56448.724581400202</v>
      </c>
      <c r="U112" s="213">
        <f>IF($F112="","",'הזנה לתנאי סף'!N112)</f>
        <v>1</v>
      </c>
      <c r="V112" s="213">
        <f>IF($F112="","",'הזנה לתנאי סף'!O112)</f>
        <v>1</v>
      </c>
      <c r="W112" s="109"/>
      <c r="X112" s="109"/>
      <c r="Y112" s="109"/>
      <c r="Z112" s="214" t="str">
        <f t="shared" si="16"/>
        <v>בדוק נתוני הזנה</v>
      </c>
      <c r="AA112" s="213" t="str">
        <f>IF(OR($F112="",V112=0),"",IF(V112=1,IF(COUNTBLANK(W112:X112)&gt;0,$AG$2,IF(OR(Z112&lt;='פרמטרים לקריטריונים'!$C$27,X112&gt;W112),"",X112-W112))))</f>
        <v>בדוק נתוני הזנה</v>
      </c>
      <c r="AB112" s="214">
        <f t="shared" si="20"/>
        <v>0</v>
      </c>
      <c r="AC112" s="225" t="str">
        <f>IF(OR(AB112="",U112=1),"",IF(OR(COUNTBLANK(W112:Y112)&gt;0,AB112&gt;='פרמטרים לקריטריונים'!$E$54),'פרמטרים לקריטריונים'!$F$54,INDEX('פרמטרים לקריטריונים'!$F$49:$F$54,MATCH(AB112,'פרמטרים לקריטריונים'!$E$49:$E$54,1))))</f>
        <v/>
      </c>
      <c r="AD112" s="213" t="str">
        <f t="shared" si="17"/>
        <v/>
      </c>
      <c r="AE112" s="213">
        <f t="shared" si="18"/>
        <v>56448.724581400202</v>
      </c>
      <c r="AG112" s="175">
        <f t="shared" si="21"/>
        <v>1</v>
      </c>
    </row>
    <row r="113" spans="1:33" ht="15.75" x14ac:dyDescent="0.2">
      <c r="A113" s="206">
        <f t="shared" si="19"/>
        <v>83</v>
      </c>
      <c r="B113" s="88">
        <f>IF($F113="","",'הזנה לתנאי סף'!C113)</f>
        <v>1001346702</v>
      </c>
      <c r="C113" s="88">
        <f>IF($F113="","",'הזנה לתנאי סף'!D113)</f>
        <v>1001277088</v>
      </c>
      <c r="D113" s="88">
        <f>IF($F113="","",'הזנה לתנאי סף'!E113)</f>
        <v>40221541</v>
      </c>
      <c r="E113" s="88">
        <f>IF($F113="","",'הזנה לתנאי סף'!F113)</f>
        <v>20000201</v>
      </c>
      <c r="F113" s="88" t="str">
        <f>IF(OR('הזנה לתנאי סף'!G113="",'הזנה לתנאי סף'!BL113&lt;&gt;1),"",'הזנה לתנאי סף'!G113)</f>
        <v>תל אביב -יפו</v>
      </c>
      <c r="G113" s="88" t="str">
        <f>IF($F113="","",'הזנה לתנאי סף'!H113)</f>
        <v>מרכז פליציה בלומנטל למוזיקה</v>
      </c>
      <c r="H113" s="88" t="str">
        <f>IF($F113="","",'הזנה לתנאי סף'!I113)</f>
        <v>אופרה</v>
      </c>
      <c r="I113" s="109">
        <v>120000</v>
      </c>
      <c r="J113" s="213">
        <f>IF($F113="","",'הזנה לתנאי סף'!S113)</f>
        <v>42910</v>
      </c>
      <c r="K113" s="109">
        <v>0</v>
      </c>
      <c r="L113" s="213">
        <f t="shared" si="12"/>
        <v>162910</v>
      </c>
      <c r="M113" s="213">
        <f>IF($F113="","",IF(L113='הזנה לתנאי סף'!R113,1,0))</f>
        <v>1</v>
      </c>
      <c r="N113" s="214">
        <f t="shared" si="13"/>
        <v>0.73660303234914981</v>
      </c>
      <c r="O113" s="214">
        <f t="shared" si="22"/>
        <v>0.26339696765085019</v>
      </c>
      <c r="P113" s="109">
        <v>162910</v>
      </c>
      <c r="Q113" s="213">
        <f>IF($F113="","",IFERROR(IF(P113&gt;0,'פרמטרים לקריטריונים'!$C$25*P113*O113,$AG$2),""))</f>
        <v>12873.000000000002</v>
      </c>
      <c r="R113" s="213">
        <f>IF($F113="","",IFERROR('פרמטרים לקריטריונים'!$C$26*Q113,""))</f>
        <v>3165.4918032786891</v>
      </c>
      <c r="S113" s="214">
        <f t="shared" si="14"/>
        <v>4.6913075656850017E-5</v>
      </c>
      <c r="T113" s="213">
        <f t="shared" si="15"/>
        <v>2345.6537828425007</v>
      </c>
      <c r="U113" s="213">
        <f>IF($F113="","",'הזנה לתנאי סף'!N113)</f>
        <v>0</v>
      </c>
      <c r="V113" s="213">
        <f>IF($F113="","",'הזנה לתנאי סף'!O113)</f>
        <v>1</v>
      </c>
      <c r="W113" s="109">
        <v>0</v>
      </c>
      <c r="X113" s="109">
        <v>0</v>
      </c>
      <c r="Y113" s="109">
        <v>1</v>
      </c>
      <c r="Z113" s="214">
        <f t="shared" si="16"/>
        <v>0</v>
      </c>
      <c r="AA113" s="213" t="str">
        <f>IF(OR($F113="",V113=0),"",IF(V113=1,IF(COUNTBLANK(W113:X113)&gt;0,$AG$2,IF(OR(Z113&lt;='פרמטרים לקריטריונים'!$C$27,X113&gt;W113),"",X113-W113))))</f>
        <v/>
      </c>
      <c r="AB113" s="214" t="str">
        <f t="shared" si="20"/>
        <v/>
      </c>
      <c r="AC113" s="225" t="str">
        <f>IF(OR(AB113="",U113=1),"",IF(OR(COUNTBLANK(W113:Y113)&gt;0,AB113&gt;='פרמטרים לקריטריונים'!$E$54),'פרמטרים לקריטריונים'!$F$54,INDEX('פרמטרים לקריטריונים'!$F$49:$F$54,MATCH(AB113,'פרמטרים לקריטריונים'!$E$49:$E$54,1))))</f>
        <v/>
      </c>
      <c r="AD113" s="213" t="str">
        <f t="shared" si="17"/>
        <v/>
      </c>
      <c r="AE113" s="213">
        <f t="shared" si="18"/>
        <v>2345.6537828425007</v>
      </c>
      <c r="AG113" s="175">
        <f t="shared" si="21"/>
        <v>0</v>
      </c>
    </row>
    <row r="114" spans="1:33" ht="15.75" x14ac:dyDescent="0.2">
      <c r="A114" s="206">
        <f t="shared" si="19"/>
        <v>84</v>
      </c>
      <c r="B114" s="88">
        <f>IF($F114="","",'הזנה לתנאי סף'!C114)</f>
        <v>1001346704</v>
      </c>
      <c r="C114" s="88">
        <f>IF($F114="","",'הזנה לתנאי סף'!D114)</f>
        <v>1001277175</v>
      </c>
      <c r="D114" s="88">
        <f>IF($F114="","",'הזנה לתנאי סף'!E114)</f>
        <v>40221541</v>
      </c>
      <c r="E114" s="88">
        <f>IF($F114="","",'הזנה לתנאי סף'!F114)</f>
        <v>20000201</v>
      </c>
      <c r="F114" s="88" t="str">
        <f>IF(OR('הזנה לתנאי סף'!G114="",'הזנה לתנאי סף'!BL114&lt;&gt;1),"",'הזנה לתנאי סף'!G114)</f>
        <v>תל אביב -יפו</v>
      </c>
      <c r="G114" s="88" t="str">
        <f>IF($F114="","",'הזנה לתנאי סף'!H114)</f>
        <v>מרכז פליציה בלומנטל למוזיקה</v>
      </c>
      <c r="H114" s="88" t="str">
        <f>IF($F114="","",'הזנה לתנאי סף'!I114)</f>
        <v>קבוצות מוסיקה</v>
      </c>
      <c r="I114" s="109">
        <v>60000</v>
      </c>
      <c r="J114" s="213">
        <f>IF($F114="","",'הזנה לתנאי סף'!S114)</f>
        <v>74905</v>
      </c>
      <c r="K114" s="109">
        <v>0</v>
      </c>
      <c r="L114" s="213">
        <f t="shared" si="12"/>
        <v>134905</v>
      </c>
      <c r="M114" s="213">
        <f>IF($F114="","",IF(L114='הזנה לתנאי סף'!R114,1,0))</f>
        <v>1</v>
      </c>
      <c r="N114" s="214">
        <f t="shared" si="13"/>
        <v>0.44475742188947776</v>
      </c>
      <c r="O114" s="214">
        <f t="shared" si="22"/>
        <v>0.55524257811052224</v>
      </c>
      <c r="P114" s="109">
        <v>134905</v>
      </c>
      <c r="Q114" s="213">
        <f>IF($F114="","",IFERROR(IF(P114&gt;0,'פרמטרים לקריטריונים'!$C$25*P114*O114,$AG$2),""))</f>
        <v>22471.5</v>
      </c>
      <c r="R114" s="213">
        <f>IF($F114="","",IFERROR('פרמטרים לקריטריונים'!$C$26*Q114,""))</f>
        <v>5525.7786885245905</v>
      </c>
      <c r="S114" s="214">
        <f t="shared" si="14"/>
        <v>8.1892890516810772E-5</v>
      </c>
      <c r="T114" s="213">
        <f t="shared" si="15"/>
        <v>4094.6445258405388</v>
      </c>
      <c r="U114" s="213">
        <f>IF($F114="","",'הזנה לתנאי סף'!N114)</f>
        <v>0</v>
      </c>
      <c r="V114" s="213">
        <f>IF($F114="","",'הזנה לתנאי סף'!O114)</f>
        <v>1</v>
      </c>
      <c r="W114" s="109">
        <v>0</v>
      </c>
      <c r="X114" s="109">
        <v>0</v>
      </c>
      <c r="Y114" s="109">
        <v>1</v>
      </c>
      <c r="Z114" s="214">
        <f t="shared" si="16"/>
        <v>0</v>
      </c>
      <c r="AA114" s="213" t="str">
        <f>IF(OR($F114="",V114=0),"",IF(V114=1,IF(COUNTBLANK(W114:X114)&gt;0,$AG$2,IF(OR(Z114&lt;='פרמטרים לקריטריונים'!$C$27,X114&gt;W114),"",X114-W114))))</f>
        <v/>
      </c>
      <c r="AB114" s="214" t="str">
        <f t="shared" si="20"/>
        <v/>
      </c>
      <c r="AC114" s="225" t="str">
        <f>IF(OR(AB114="",U114=1),"",IF(OR(COUNTBLANK(W114:Y114)&gt;0,AB114&gt;='פרמטרים לקריטריונים'!$E$54),'פרמטרים לקריטריונים'!$F$54,INDEX('פרמטרים לקריטריונים'!$F$49:$F$54,MATCH(AB114,'פרמטרים לקריטריונים'!$E$49:$E$54,1))))</f>
        <v/>
      </c>
      <c r="AD114" s="213" t="str">
        <f t="shared" si="17"/>
        <v/>
      </c>
      <c r="AE114" s="213">
        <f t="shared" si="18"/>
        <v>4094.6445258405388</v>
      </c>
      <c r="AG114" s="175">
        <f t="shared" si="21"/>
        <v>0</v>
      </c>
    </row>
    <row r="115" spans="1:33" ht="15.75" x14ac:dyDescent="0.2">
      <c r="A115" s="206">
        <f t="shared" si="19"/>
        <v>85</v>
      </c>
      <c r="B115" s="88">
        <f>IF($F115="","",'הזנה לתנאי סף'!C115)</f>
        <v>1001346707</v>
      </c>
      <c r="C115" s="88">
        <f>IF($F115="","",'הזנה לתנאי סף'!D115)</f>
        <v>1001277143</v>
      </c>
      <c r="D115" s="88">
        <f>IF($F115="","",'הזנה לתנאי סף'!E115)</f>
        <v>40221541</v>
      </c>
      <c r="E115" s="88">
        <f>IF($F115="","",'הזנה לתנאי סף'!F115)</f>
        <v>20000201</v>
      </c>
      <c r="F115" s="88" t="str">
        <f>IF(OR('הזנה לתנאי סף'!G115="",'הזנה לתנאי סף'!BL115&lt;&gt;1),"",'הזנה לתנאי סף'!G115)</f>
        <v>תל אביב -יפו</v>
      </c>
      <c r="G115" s="88" t="str">
        <f>IF($F115="","",'הזנה לתנאי סף'!H115)</f>
        <v>מרכז פליציה בלומנטל למוזיקה</v>
      </c>
      <c r="H115" s="88" t="str">
        <f>IF($F115="","",'הזנה לתנאי סף'!I115)</f>
        <v>סינמטקים ופסטיבלים</v>
      </c>
      <c r="I115" s="109">
        <v>82000</v>
      </c>
      <c r="J115" s="213">
        <f>IF($F115="","",'הזנה לתנאי סף'!S115)</f>
        <v>65730</v>
      </c>
      <c r="K115" s="109">
        <v>0</v>
      </c>
      <c r="L115" s="213">
        <f t="shared" si="12"/>
        <v>147730</v>
      </c>
      <c r="M115" s="213">
        <f>IF($F115="","",IF(L115='הזנה לתנאי סף'!R115,1,0))</f>
        <v>1</v>
      </c>
      <c r="N115" s="214">
        <f t="shared" si="13"/>
        <v>0.55506667569214108</v>
      </c>
      <c r="O115" s="214">
        <f t="shared" si="22"/>
        <v>0.44493332430785892</v>
      </c>
      <c r="P115" s="109">
        <v>65730</v>
      </c>
      <c r="Q115" s="213">
        <f>IF($F115="","",IFERROR(IF(P115&gt;0,'פרמטרים לקריטריונים'!$C$25*P115*O115,$AG$2),""))</f>
        <v>8773.64022202667</v>
      </c>
      <c r="R115" s="213">
        <f>IF($F115="","",IFERROR('פרמטרים לקריטריונים'!$C$26*Q115,""))</f>
        <v>2157.4525136131156</v>
      </c>
      <c r="S115" s="214">
        <f t="shared" si="14"/>
        <v>3.1973778258519343E-5</v>
      </c>
      <c r="T115" s="213">
        <f t="shared" si="15"/>
        <v>1598.6889129259671</v>
      </c>
      <c r="U115" s="213">
        <f>IF($F115="","",'הזנה לתנאי סף'!N115)</f>
        <v>1</v>
      </c>
      <c r="V115" s="213">
        <f>IF($F115="","",'הזנה לתנאי סף'!O115)</f>
        <v>1</v>
      </c>
      <c r="W115" s="109"/>
      <c r="X115" s="109"/>
      <c r="Y115" s="109"/>
      <c r="Z115" s="214" t="str">
        <f t="shared" si="16"/>
        <v>בדוק נתוני הזנה</v>
      </c>
      <c r="AA115" s="213" t="str">
        <f>IF(OR($F115="",V115=0),"",IF(V115=1,IF(COUNTBLANK(W115:X115)&gt;0,$AG$2,IF(OR(Z115&lt;='פרמטרים לקריטריונים'!$C$27,X115&gt;W115),"",X115-W115))))</f>
        <v>בדוק נתוני הזנה</v>
      </c>
      <c r="AB115" s="214">
        <f t="shared" si="20"/>
        <v>0</v>
      </c>
      <c r="AC115" s="225" t="str">
        <f>IF(OR(AB115="",U115=1),"",IF(OR(COUNTBLANK(W115:Y115)&gt;0,AB115&gt;='פרמטרים לקריטריונים'!$E$54),'פרמטרים לקריטריונים'!$F$54,INDEX('פרמטרים לקריטריונים'!$F$49:$F$54,MATCH(AB115,'פרמטרים לקריטריונים'!$E$49:$E$54,1))))</f>
        <v/>
      </c>
      <c r="AD115" s="213" t="str">
        <f t="shared" si="17"/>
        <v/>
      </c>
      <c r="AE115" s="213">
        <f t="shared" si="18"/>
        <v>1598.6889129259671</v>
      </c>
      <c r="AG115" s="175">
        <f t="shared" si="21"/>
        <v>1</v>
      </c>
    </row>
    <row r="116" spans="1:33" ht="15.75" x14ac:dyDescent="0.2">
      <c r="A116" s="206">
        <f t="shared" si="19"/>
        <v>86</v>
      </c>
      <c r="B116" s="88">
        <f>IF($F116="","",'הזנה לתנאי סף'!C116)</f>
        <v>1001346708</v>
      </c>
      <c r="C116" s="88">
        <f>IF($F116="","",'הזנה לתנאי סף'!D116)</f>
        <v>1001277166</v>
      </c>
      <c r="D116" s="88">
        <f>IF($F116="","",'הזנה לתנאי סף'!E116)</f>
        <v>40221541</v>
      </c>
      <c r="E116" s="88">
        <f>IF($F116="","",'הזנה לתנאי סף'!F116)</f>
        <v>20000201</v>
      </c>
      <c r="F116" s="88" t="str">
        <f>IF(OR('הזנה לתנאי סף'!G116="",'הזנה לתנאי סף'!BL116&lt;&gt;1),"",'הזנה לתנאי סף'!G116)</f>
        <v>תל אביב -יפו</v>
      </c>
      <c r="G116" s="88" t="str">
        <f>IF($F116="","",'הזנה לתנאי סף'!H116)</f>
        <v>מרכז פליציה בלומנטל למוזיקה</v>
      </c>
      <c r="H116" s="88" t="str">
        <f>IF($F116="","",'הזנה לתנאי סף'!I116)</f>
        <v>מוסיקה-גופים כליים</v>
      </c>
      <c r="I116" s="109">
        <v>161960</v>
      </c>
      <c r="J116" s="213">
        <f>IF($F116="","",'הזנה לתנאי סף'!S116)</f>
        <v>211212</v>
      </c>
      <c r="K116" s="109">
        <v>0</v>
      </c>
      <c r="L116" s="213">
        <f t="shared" si="12"/>
        <v>373172</v>
      </c>
      <c r="M116" s="213">
        <f>IF($F116="","",IF(L116='הזנה לתנאי סף'!R116,1,0))</f>
        <v>1</v>
      </c>
      <c r="N116" s="214">
        <f t="shared" si="13"/>
        <v>0.43400898245313152</v>
      </c>
      <c r="O116" s="214">
        <f t="shared" si="22"/>
        <v>0.56599101754686854</v>
      </c>
      <c r="P116" s="109">
        <v>373172</v>
      </c>
      <c r="Q116" s="213">
        <f>IF($F116="","",IFERROR(IF(P116&gt;0,'פרמטרים לקריטריונים'!$C$25*P116*O116,$AG$2),""))</f>
        <v>63363.600000000006</v>
      </c>
      <c r="R116" s="213">
        <f>IF($F116="","",IFERROR('פרמטרים לקריטריונים'!$C$26*Q116,""))</f>
        <v>15581.2131147541</v>
      </c>
      <c r="S116" s="214">
        <f t="shared" si="14"/>
        <v>2.3091597612758343E-4</v>
      </c>
      <c r="T116" s="213">
        <f t="shared" si="15"/>
        <v>11545.798806379171</v>
      </c>
      <c r="U116" s="213">
        <f>IF($F116="","",'הזנה לתנאי סף'!N116)</f>
        <v>0</v>
      </c>
      <c r="V116" s="213">
        <f>IF($F116="","",'הזנה לתנאי סף'!O116)</f>
        <v>1</v>
      </c>
      <c r="W116" s="109">
        <v>0</v>
      </c>
      <c r="X116" s="109">
        <v>0</v>
      </c>
      <c r="Y116" s="109">
        <v>1</v>
      </c>
      <c r="Z116" s="214">
        <f t="shared" si="16"/>
        <v>0</v>
      </c>
      <c r="AA116" s="213" t="str">
        <f>IF(OR($F116="",V116=0),"",IF(V116=1,IF(COUNTBLANK(W116:X116)&gt;0,$AG$2,IF(OR(Z116&lt;='פרמטרים לקריטריונים'!$C$27,X116&gt;W116),"",X116-W116))))</f>
        <v/>
      </c>
      <c r="AB116" s="214" t="str">
        <f t="shared" si="20"/>
        <v/>
      </c>
      <c r="AC116" s="225" t="str">
        <f>IF(OR(AB116="",U116=1),"",IF(OR(COUNTBLANK(W116:Y116)&gt;0,AB116&gt;='פרמטרים לקריטריונים'!$E$54),'פרמטרים לקריטריונים'!$F$54,INDEX('פרמטרים לקריטריונים'!$F$49:$F$54,MATCH(AB116,'פרמטרים לקריטריונים'!$E$49:$E$54,1))))</f>
        <v/>
      </c>
      <c r="AD116" s="213" t="str">
        <f t="shared" si="17"/>
        <v/>
      </c>
      <c r="AE116" s="213">
        <f t="shared" si="18"/>
        <v>11545.798806379171</v>
      </c>
      <c r="AG116" s="175">
        <f t="shared" si="21"/>
        <v>0</v>
      </c>
    </row>
    <row r="117" spans="1:33" ht="15.75" x14ac:dyDescent="0.2">
      <c r="A117" s="206">
        <f t="shared" si="19"/>
        <v>87</v>
      </c>
      <c r="B117" s="88">
        <f>IF($F117="","",'הזנה לתנאי סף'!C117)</f>
        <v>1001346709</v>
      </c>
      <c r="C117" s="88">
        <f>IF($F117="","",'הזנה לתנאי סף'!D117)</f>
        <v>1001277179</v>
      </c>
      <c r="D117" s="88">
        <f>IF($F117="","",'הזנה לתנאי סף'!E117)</f>
        <v>40221541</v>
      </c>
      <c r="E117" s="88">
        <f>IF($F117="","",'הזנה לתנאי סף'!F117)</f>
        <v>20000201</v>
      </c>
      <c r="F117" s="88" t="str">
        <f>IF(OR('הזנה לתנאי סף'!G117="",'הזנה לתנאי סף'!BL117&lt;&gt;1),"",'הזנה לתנאי סף'!G117)</f>
        <v>תל אביב -יפו</v>
      </c>
      <c r="G117" s="88" t="str">
        <f>IF($F117="","",'הזנה לתנאי סף'!H117)</f>
        <v>מרכז פליציה בלומנטל למוזיקה</v>
      </c>
      <c r="H117" s="88" t="str">
        <f>IF($F117="","",'הזנה לתנאי סף'!I117)</f>
        <v>קבוצות מוסיקה</v>
      </c>
      <c r="I117" s="109">
        <v>61960</v>
      </c>
      <c r="J117" s="213">
        <f>IF($F117="","",'הזנה לתנאי סף'!S117)</f>
        <v>79494</v>
      </c>
      <c r="K117" s="109">
        <v>0</v>
      </c>
      <c r="L117" s="213">
        <f t="shared" si="12"/>
        <v>141454</v>
      </c>
      <c r="M117" s="213">
        <f>IF($F117="","",IF(L117='הזנה לתנאי סף'!R117,1,0))</f>
        <v>1</v>
      </c>
      <c r="N117" s="214">
        <f t="shared" si="13"/>
        <v>0.43802225458452926</v>
      </c>
      <c r="O117" s="214">
        <f t="shared" si="22"/>
        <v>0.56197774541547074</v>
      </c>
      <c r="P117" s="109">
        <v>141454</v>
      </c>
      <c r="Q117" s="213">
        <f>IF($F117="","",IFERROR(IF(P117&gt;0,'פרמטרים לקריטריונים'!$C$25*P117*O117,$AG$2),""))</f>
        <v>23848.199999999997</v>
      </c>
      <c r="R117" s="213">
        <f>IF($F117="","",IFERROR('פרמטרים לקריטריונים'!$C$26*Q117,""))</f>
        <v>5864.3114754098351</v>
      </c>
      <c r="S117" s="214">
        <f t="shared" si="14"/>
        <v>8.6909998514696671E-5</v>
      </c>
      <c r="T117" s="213">
        <f t="shared" si="15"/>
        <v>4345.4999257348336</v>
      </c>
      <c r="U117" s="213">
        <f>IF($F117="","",'הזנה לתנאי סף'!N117)</f>
        <v>0</v>
      </c>
      <c r="V117" s="213">
        <f>IF($F117="","",'הזנה לתנאי סף'!O117)</f>
        <v>1</v>
      </c>
      <c r="W117" s="109">
        <v>0</v>
      </c>
      <c r="X117" s="109">
        <v>0</v>
      </c>
      <c r="Y117" s="109">
        <v>1</v>
      </c>
      <c r="Z117" s="214">
        <f t="shared" si="16"/>
        <v>0</v>
      </c>
      <c r="AA117" s="213" t="str">
        <f>IF(OR($F117="",V117=0),"",IF(V117=1,IF(COUNTBLANK(W117:X117)&gt;0,$AG$2,IF(OR(Z117&lt;='פרמטרים לקריטריונים'!$C$27,X117&gt;W117),"",X117-W117))))</f>
        <v/>
      </c>
      <c r="AB117" s="214" t="str">
        <f t="shared" si="20"/>
        <v/>
      </c>
      <c r="AC117" s="225" t="str">
        <f>IF(OR(AB117="",U117=1),"",IF(OR(COUNTBLANK(W117:Y117)&gt;0,AB117&gt;='פרמטרים לקריטריונים'!$E$54),'פרמטרים לקריטריונים'!$F$54,INDEX('פרמטרים לקריטריונים'!$F$49:$F$54,MATCH(AB117,'פרמטרים לקריטריונים'!$E$49:$E$54,1))))</f>
        <v/>
      </c>
      <c r="AD117" s="213" t="str">
        <f t="shared" si="17"/>
        <v/>
      </c>
      <c r="AE117" s="213">
        <f t="shared" si="18"/>
        <v>4345.4999257348336</v>
      </c>
      <c r="AG117" s="175">
        <f t="shared" si="21"/>
        <v>0</v>
      </c>
    </row>
    <row r="118" spans="1:33" ht="15.75" x14ac:dyDescent="0.2">
      <c r="A118" s="206">
        <f t="shared" si="19"/>
        <v>88</v>
      </c>
      <c r="B118" s="88">
        <f>IF($F118="","",'הזנה לתנאי סף'!C118)</f>
        <v>1001346710</v>
      </c>
      <c r="C118" s="88">
        <f>IF($F118="","",'הזנה לתנאי סף'!D118)</f>
        <v>1001277161</v>
      </c>
      <c r="D118" s="88">
        <f>IF($F118="","",'הזנה לתנאי סף'!E118)</f>
        <v>40221541</v>
      </c>
      <c r="E118" s="88">
        <f>IF($F118="","",'הזנה לתנאי סף'!F118)</f>
        <v>20000201</v>
      </c>
      <c r="F118" s="88" t="str">
        <f>IF(OR('הזנה לתנאי סף'!G118="",'הזנה לתנאי סף'!BL118&lt;&gt;1),"",'הזנה לתנאי סף'!G118)</f>
        <v>תל אביב -יפו</v>
      </c>
      <c r="G118" s="88" t="str">
        <f>IF($F118="","",'הזנה לתנאי סף'!H118)</f>
        <v>מרכז פליציה בלומנטל למוזיקה</v>
      </c>
      <c r="H118" s="88" t="str">
        <f>IF($F118="","",'הזנה לתנאי סף'!I118)</f>
        <v>קבוצות מוסיקה</v>
      </c>
      <c r="I118" s="109">
        <v>55000</v>
      </c>
      <c r="J118" s="213">
        <f>IF($F118="","",'הזנה לתנאי סף'!S118)</f>
        <v>29080</v>
      </c>
      <c r="K118" s="109">
        <v>0</v>
      </c>
      <c r="L118" s="213">
        <f t="shared" si="12"/>
        <v>84080</v>
      </c>
      <c r="M118" s="213">
        <f>IF($F118="","",IF(L118='הזנה לתנאי סף'!R118,1,0))</f>
        <v>1</v>
      </c>
      <c r="N118" s="214">
        <f t="shared" si="13"/>
        <v>0.65413891531874402</v>
      </c>
      <c r="O118" s="214">
        <f t="shared" si="22"/>
        <v>0.34586108468125598</v>
      </c>
      <c r="P118" s="109">
        <v>84080</v>
      </c>
      <c r="Q118" s="213">
        <f>IF($F118="","",IFERROR(IF(P118&gt;0,'פרמטרים לקריטריונים'!$C$25*P118*O118,$AG$2),""))</f>
        <v>8724</v>
      </c>
      <c r="R118" s="213">
        <f>IF($F118="","",IFERROR('פרמטרים לקריטריונים'!$C$26*Q118,""))</f>
        <v>2145.2459016393441</v>
      </c>
      <c r="S118" s="214">
        <f t="shared" si="14"/>
        <v>3.179287439061287E-5</v>
      </c>
      <c r="T118" s="213">
        <f t="shared" si="15"/>
        <v>1589.6437195306435</v>
      </c>
      <c r="U118" s="213">
        <f>IF($F118="","",'הזנה לתנאי סף'!N118)</f>
        <v>0</v>
      </c>
      <c r="V118" s="213">
        <f>IF($F118="","",'הזנה לתנאי סף'!O118)</f>
        <v>1</v>
      </c>
      <c r="W118" s="109">
        <v>0</v>
      </c>
      <c r="X118" s="109">
        <v>0</v>
      </c>
      <c r="Y118" s="109">
        <v>1</v>
      </c>
      <c r="Z118" s="214">
        <f t="shared" si="16"/>
        <v>0</v>
      </c>
      <c r="AA118" s="213" t="str">
        <f>IF(OR($F118="",V118=0),"",IF(V118=1,IF(COUNTBLANK(W118:X118)&gt;0,$AG$2,IF(OR(Z118&lt;='פרמטרים לקריטריונים'!$C$27,X118&gt;W118),"",X118-W118))))</f>
        <v/>
      </c>
      <c r="AB118" s="214" t="str">
        <f t="shared" si="20"/>
        <v/>
      </c>
      <c r="AC118" s="225" t="str">
        <f>IF(OR(AB118="",U118=1),"",IF(OR(COUNTBLANK(W118:Y118)&gt;0,AB118&gt;='פרמטרים לקריטריונים'!$E$54),'פרמטרים לקריטריונים'!$F$54,INDEX('פרמטרים לקריטריונים'!$F$49:$F$54,MATCH(AB118,'פרמטרים לקריטריונים'!$E$49:$E$54,1))))</f>
        <v/>
      </c>
      <c r="AD118" s="213" t="str">
        <f t="shared" si="17"/>
        <v/>
      </c>
      <c r="AE118" s="213">
        <f t="shared" si="18"/>
        <v>1589.6437195306435</v>
      </c>
      <c r="AG118" s="175">
        <f t="shared" si="21"/>
        <v>0</v>
      </c>
    </row>
    <row r="119" spans="1:33" ht="15.75" x14ac:dyDescent="0.2">
      <c r="A119" s="206">
        <f t="shared" si="19"/>
        <v>89</v>
      </c>
      <c r="B119" s="88">
        <f>IF($F119="","",'הזנה לתנאי סף'!C119)</f>
        <v>1001346712</v>
      </c>
      <c r="C119" s="88">
        <f>IF($F119="","",'הזנה לתנאי סף'!D119)</f>
        <v>1001277159</v>
      </c>
      <c r="D119" s="88">
        <f>IF($F119="","",'הזנה לתנאי סף'!E119)</f>
        <v>40221541</v>
      </c>
      <c r="E119" s="88">
        <f>IF($F119="","",'הזנה לתנאי סף'!F119)</f>
        <v>20000201</v>
      </c>
      <c r="F119" s="88" t="str">
        <f>IF(OR('הזנה לתנאי סף'!G119="",'הזנה לתנאי סף'!BL119&lt;&gt;1),"",'הזנה לתנאי סף'!G119)</f>
        <v>תל אביב -יפו</v>
      </c>
      <c r="G119" s="88" t="str">
        <f>IF($F119="","",'הזנה לתנאי סף'!H119)</f>
        <v>מרכז פליציה בלומנטל למוזיקה</v>
      </c>
      <c r="H119" s="88" t="str">
        <f>IF($F119="","",'הזנה לתנאי סף'!I119)</f>
        <v>מוסיקה-גופים כליים</v>
      </c>
      <c r="I119" s="109">
        <v>35000</v>
      </c>
      <c r="J119" s="213">
        <f>IF($F119="","",'הזנה לתנאי סף'!S119)</f>
        <v>68769</v>
      </c>
      <c r="K119" s="109">
        <v>0</v>
      </c>
      <c r="L119" s="213">
        <f t="shared" si="12"/>
        <v>103769</v>
      </c>
      <c r="M119" s="213">
        <f>IF($F119="","",IF(L119='הזנה לתנאי סף'!R119,1,0))</f>
        <v>1</v>
      </c>
      <c r="N119" s="214">
        <f t="shared" si="13"/>
        <v>0.33728762925343792</v>
      </c>
      <c r="O119" s="214">
        <f t="shared" si="22"/>
        <v>0.66271237074656208</v>
      </c>
      <c r="P119" s="109">
        <v>103769</v>
      </c>
      <c r="Q119" s="213">
        <f>IF($F119="","",IFERROR(IF(P119&gt;0,'פרמטרים לקריטריונים'!$C$25*P119*O119,$AG$2),""))</f>
        <v>20630.699999999997</v>
      </c>
      <c r="R119" s="213">
        <f>IF($F119="","",IFERROR('פרמטרים לקריטריונים'!$C$26*Q119,""))</f>
        <v>5073.1229508196711</v>
      </c>
      <c r="S119" s="214">
        <f t="shared" si="14"/>
        <v>7.5184462825586521E-5</v>
      </c>
      <c r="T119" s="213">
        <f t="shared" si="15"/>
        <v>3759.2231412793262</v>
      </c>
      <c r="U119" s="213">
        <f>IF($F119="","",'הזנה לתנאי סף'!N119)</f>
        <v>0</v>
      </c>
      <c r="V119" s="213">
        <f>IF($F119="","",'הזנה לתנאי סף'!O119)</f>
        <v>1</v>
      </c>
      <c r="W119" s="109">
        <v>0</v>
      </c>
      <c r="X119" s="109">
        <v>0</v>
      </c>
      <c r="Y119" s="109">
        <v>1</v>
      </c>
      <c r="Z119" s="214">
        <f t="shared" si="16"/>
        <v>0</v>
      </c>
      <c r="AA119" s="213" t="str">
        <f>IF(OR($F119="",V119=0),"",IF(V119=1,IF(COUNTBLANK(W119:X119)&gt;0,$AG$2,IF(OR(Z119&lt;='פרמטרים לקריטריונים'!$C$27,X119&gt;W119),"",X119-W119))))</f>
        <v/>
      </c>
      <c r="AB119" s="214" t="str">
        <f t="shared" si="20"/>
        <v/>
      </c>
      <c r="AC119" s="225" t="str">
        <f>IF(OR(AB119="",U119=1),"",IF(OR(COUNTBLANK(W119:Y119)&gt;0,AB119&gt;='פרמטרים לקריטריונים'!$E$54),'פרמטרים לקריטריונים'!$F$54,INDEX('פרמטרים לקריטריונים'!$F$49:$F$54,MATCH(AB119,'פרמטרים לקריטריונים'!$E$49:$E$54,1))))</f>
        <v/>
      </c>
      <c r="AD119" s="213" t="str">
        <f t="shared" si="17"/>
        <v/>
      </c>
      <c r="AE119" s="213">
        <f t="shared" si="18"/>
        <v>3759.2231412793262</v>
      </c>
      <c r="AG119" s="175">
        <f t="shared" si="21"/>
        <v>0</v>
      </c>
    </row>
    <row r="120" spans="1:33" ht="15.75" x14ac:dyDescent="0.2">
      <c r="A120" s="206">
        <f t="shared" si="19"/>
        <v>90</v>
      </c>
      <c r="B120" s="88">
        <f>IF($F120="","",'הזנה לתנאי סף'!C120)</f>
        <v>1001346713</v>
      </c>
      <c r="C120" s="88">
        <f>IF($F120="","",'הזנה לתנאי סף'!D120)</f>
        <v>1001277173</v>
      </c>
      <c r="D120" s="88">
        <f>IF($F120="","",'הזנה לתנאי סף'!E120)</f>
        <v>40221541</v>
      </c>
      <c r="E120" s="88">
        <f>IF($F120="","",'הזנה לתנאי סף'!F120)</f>
        <v>20000201</v>
      </c>
      <c r="F120" s="88" t="str">
        <f>IF(OR('הזנה לתנאי סף'!G120="",'הזנה לתנאי סף'!BL120&lt;&gt;1),"",'הזנה לתנאי סף'!G120)</f>
        <v>תל אביב -יפו</v>
      </c>
      <c r="G120" s="88" t="str">
        <f>IF($F120="","",'הזנה לתנאי סף'!H120)</f>
        <v>מרכז פליציה בלומנטל למוזיקה</v>
      </c>
      <c r="H120" s="88" t="str">
        <f>IF($F120="","",'הזנה לתנאי סף'!I120)</f>
        <v>קבוצות מוסיקה</v>
      </c>
      <c r="I120" s="109">
        <v>61960</v>
      </c>
      <c r="J120" s="213">
        <f>IF($F120="","",'הזנה לתנאי סף'!S120)</f>
        <v>59941</v>
      </c>
      <c r="K120" s="109">
        <v>0</v>
      </c>
      <c r="L120" s="213">
        <f t="shared" si="12"/>
        <v>121901</v>
      </c>
      <c r="M120" s="213">
        <f>IF($F120="","",IF(L120='הזנה לתנאי סף'!R120,1,0))</f>
        <v>1</v>
      </c>
      <c r="N120" s="214">
        <f t="shared" si="13"/>
        <v>0.50828131024355827</v>
      </c>
      <c r="O120" s="214">
        <f t="shared" si="22"/>
        <v>0.49171868975644173</v>
      </c>
      <c r="P120" s="109">
        <v>121901</v>
      </c>
      <c r="Q120" s="213">
        <f>IF($F120="","",IFERROR(IF(P120&gt;0,'פרמטרים לקריטריונים'!$C$25*P120*O120,$AG$2),""))</f>
        <v>17982.3</v>
      </c>
      <c r="R120" s="213">
        <f>IF($F120="","",IFERROR('פרמטרים לקריטריונים'!$C$26*Q120,""))</f>
        <v>4421.877049180328</v>
      </c>
      <c r="S120" s="214">
        <f t="shared" si="14"/>
        <v>6.5532898344144633E-5</v>
      </c>
      <c r="T120" s="213">
        <f t="shared" si="15"/>
        <v>3276.6449172072316</v>
      </c>
      <c r="U120" s="213">
        <f>IF($F120="","",'הזנה לתנאי סף'!N120)</f>
        <v>0</v>
      </c>
      <c r="V120" s="213">
        <f>IF($F120="","",'הזנה לתנאי סף'!O120)</f>
        <v>1</v>
      </c>
      <c r="W120" s="109">
        <v>0</v>
      </c>
      <c r="X120" s="109">
        <v>0</v>
      </c>
      <c r="Y120" s="109">
        <v>1</v>
      </c>
      <c r="Z120" s="214">
        <f t="shared" si="16"/>
        <v>0</v>
      </c>
      <c r="AA120" s="213" t="str">
        <f>IF(OR($F120="",V120=0),"",IF(V120=1,IF(COUNTBLANK(W120:X120)&gt;0,$AG$2,IF(OR(Z120&lt;='פרמטרים לקריטריונים'!$C$27,X120&gt;W120),"",X120-W120))))</f>
        <v/>
      </c>
      <c r="AB120" s="214" t="str">
        <f t="shared" si="20"/>
        <v/>
      </c>
      <c r="AC120" s="225" t="str">
        <f>IF(OR(AB120="",U120=1),"",IF(OR(COUNTBLANK(W120:Y120)&gt;0,AB120&gt;='פרמטרים לקריטריונים'!$E$54),'פרמטרים לקריטריונים'!$F$54,INDEX('פרמטרים לקריטריונים'!$F$49:$F$54,MATCH(AB120,'פרמטרים לקריטריונים'!$E$49:$E$54,1))))</f>
        <v/>
      </c>
      <c r="AD120" s="213" t="str">
        <f t="shared" si="17"/>
        <v/>
      </c>
      <c r="AE120" s="213">
        <f t="shared" si="18"/>
        <v>3276.6449172072316</v>
      </c>
      <c r="AG120" s="175">
        <f t="shared" si="21"/>
        <v>0</v>
      </c>
    </row>
    <row r="121" spans="1:33" ht="15.75" x14ac:dyDescent="0.2">
      <c r="A121" s="206">
        <f t="shared" si="19"/>
        <v>91</v>
      </c>
      <c r="B121" s="88">
        <f>IF($F121="","",'הזנה לתנאי סף'!C121)</f>
        <v>1001346714</v>
      </c>
      <c r="C121" s="88">
        <f>IF($F121="","",'הזנה לתנאי סף'!D121)</f>
        <v>1001277167</v>
      </c>
      <c r="D121" s="88">
        <f>IF($F121="","",'הזנה לתנאי סף'!E121)</f>
        <v>40221541</v>
      </c>
      <c r="E121" s="88">
        <f>IF($F121="","",'הזנה לתנאי סף'!F121)</f>
        <v>20000201</v>
      </c>
      <c r="F121" s="88" t="str">
        <f>IF(OR('הזנה לתנאי סף'!G121="",'הזנה לתנאי סף'!BL121&lt;&gt;1),"",'הזנה לתנאי סף'!G121)</f>
        <v>תל אביב -יפו</v>
      </c>
      <c r="G121" s="88" t="str">
        <f>IF($F121="","",'הזנה לתנאי סף'!H121)</f>
        <v>מרכז פליציה בלומנטל למוזיקה</v>
      </c>
      <c r="H121" s="88" t="str">
        <f>IF($F121="","",'הזנה לתנאי סף'!I121)</f>
        <v>קבוצות מוסיקה</v>
      </c>
      <c r="I121" s="109">
        <v>30000</v>
      </c>
      <c r="J121" s="213">
        <f>IF($F121="","",'הזנה לתנאי סף'!S121)</f>
        <v>47032</v>
      </c>
      <c r="K121" s="109">
        <v>0</v>
      </c>
      <c r="L121" s="213">
        <f t="shared" si="12"/>
        <v>77032</v>
      </c>
      <c r="M121" s="213">
        <f>IF($F121="","",IF(L121='הזנה לתנאי סף'!R121,1,0))</f>
        <v>1</v>
      </c>
      <c r="N121" s="214">
        <f t="shared" si="13"/>
        <v>0.38944854086613356</v>
      </c>
      <c r="O121" s="214">
        <f t="shared" si="22"/>
        <v>0.61055145913386644</v>
      </c>
      <c r="P121" s="109">
        <v>77032</v>
      </c>
      <c r="Q121" s="213">
        <f>IF($F121="","",IFERROR(IF(P121&gt;0,'פרמטרים לקריטריונים'!$C$25*P121*O121,$AG$2),""))</f>
        <v>14109.599999999999</v>
      </c>
      <c r="R121" s="213">
        <f>IF($F121="","",IFERROR('פרמטרים לקריטריונים'!$C$26*Q121,""))</f>
        <v>3469.5737704918029</v>
      </c>
      <c r="S121" s="214">
        <f t="shared" si="14"/>
        <v>5.1419617205615694E-5</v>
      </c>
      <c r="T121" s="213">
        <f t="shared" si="15"/>
        <v>2570.9808602807848</v>
      </c>
      <c r="U121" s="213">
        <f>IF($F121="","",'הזנה לתנאי סף'!N121)</f>
        <v>0</v>
      </c>
      <c r="V121" s="213">
        <f>IF($F121="","",'הזנה לתנאי סף'!O121)</f>
        <v>1</v>
      </c>
      <c r="W121" s="109">
        <v>0</v>
      </c>
      <c r="X121" s="109">
        <v>0</v>
      </c>
      <c r="Y121" s="109">
        <v>1</v>
      </c>
      <c r="Z121" s="214">
        <f t="shared" si="16"/>
        <v>0</v>
      </c>
      <c r="AA121" s="213" t="str">
        <f>IF(OR($F121="",V121=0),"",IF(V121=1,IF(COUNTBLANK(W121:X121)&gt;0,$AG$2,IF(OR(Z121&lt;='פרמטרים לקריטריונים'!$C$27,X121&gt;W121),"",X121-W121))))</f>
        <v/>
      </c>
      <c r="AB121" s="214" t="str">
        <f t="shared" si="20"/>
        <v/>
      </c>
      <c r="AC121" s="225" t="str">
        <f>IF(OR(AB121="",U121=1),"",IF(OR(COUNTBLANK(W121:Y121)&gt;0,AB121&gt;='פרמטרים לקריטריונים'!$E$54),'פרמטרים לקריטריונים'!$F$54,INDEX('פרמטרים לקריטריונים'!$F$49:$F$54,MATCH(AB121,'פרמטרים לקריטריונים'!$E$49:$E$54,1))))</f>
        <v/>
      </c>
      <c r="AD121" s="213" t="str">
        <f t="shared" si="17"/>
        <v/>
      </c>
      <c r="AE121" s="213">
        <f t="shared" si="18"/>
        <v>2570.9808602807848</v>
      </c>
      <c r="AG121" s="175">
        <f t="shared" si="21"/>
        <v>0</v>
      </c>
    </row>
    <row r="122" spans="1:33" ht="15.75" x14ac:dyDescent="0.2">
      <c r="A122" s="206">
        <f t="shared" si="19"/>
        <v>92</v>
      </c>
      <c r="B122" s="88">
        <f>IF($F122="","",'הזנה לתנאי סף'!C122)</f>
        <v>1001346715</v>
      </c>
      <c r="C122" s="88">
        <f>IF($F122="","",'הזנה לתנאי סף'!D122)</f>
        <v>1001277158</v>
      </c>
      <c r="D122" s="88">
        <f>IF($F122="","",'הזנה לתנאי סף'!E122)</f>
        <v>40221541</v>
      </c>
      <c r="E122" s="88">
        <f>IF($F122="","",'הזנה לתנאי סף'!F122)</f>
        <v>20000201</v>
      </c>
      <c r="F122" s="88" t="str">
        <f>IF(OR('הזנה לתנאי סף'!G122="",'הזנה לתנאי סף'!BL122&lt;&gt;1),"",'הזנה לתנאי סף'!G122)</f>
        <v>תל אביב -יפו</v>
      </c>
      <c r="G122" s="88" t="str">
        <f>IF($F122="","",'הזנה לתנאי סף'!H122)</f>
        <v>מרכז פליציה בלומנטל למוזיקה</v>
      </c>
      <c r="H122" s="88" t="str">
        <f>IF($F122="","",'הזנה לתנאי סף'!I122)</f>
        <v>מוסיקה-גופים כליים</v>
      </c>
      <c r="I122" s="109">
        <v>30979</v>
      </c>
      <c r="J122" s="213">
        <f>IF($F122="","",'הזנה לתנאי סף'!S122)</f>
        <v>309954</v>
      </c>
      <c r="K122" s="109">
        <v>0</v>
      </c>
      <c r="L122" s="213">
        <f t="shared" si="12"/>
        <v>340933</v>
      </c>
      <c r="M122" s="213">
        <f>IF($F122="","",IF(L122='הזנה לתנאי סף'!R122,1,0))</f>
        <v>1</v>
      </c>
      <c r="N122" s="214">
        <f t="shared" si="13"/>
        <v>9.0865360642706922E-2</v>
      </c>
      <c r="O122" s="214">
        <f t="shared" si="22"/>
        <v>0.90913463935729311</v>
      </c>
      <c r="P122" s="109">
        <v>340933</v>
      </c>
      <c r="Q122" s="213">
        <f>IF($F122="","",IFERROR(IF(P122&gt;0,'פרמטרים לקריטריונים'!$C$25*P122*O122,$AG$2),""))</f>
        <v>92986.2</v>
      </c>
      <c r="R122" s="213">
        <f>IF($F122="","",IFERROR('פרמטרים לקריטריונים'!$C$26*Q122,""))</f>
        <v>22865.459016393441</v>
      </c>
      <c r="S122" s="214">
        <f t="shared" si="14"/>
        <v>3.388696213503446E-4</v>
      </c>
      <c r="T122" s="213">
        <f t="shared" si="15"/>
        <v>16943.48106751723</v>
      </c>
      <c r="U122" s="213">
        <f>IF($F122="","",'הזנה לתנאי סף'!N122)</f>
        <v>0</v>
      </c>
      <c r="V122" s="213">
        <f>IF($F122="","",'הזנה לתנאי סף'!O122)</f>
        <v>1</v>
      </c>
      <c r="W122" s="109">
        <v>0</v>
      </c>
      <c r="X122" s="109">
        <v>0</v>
      </c>
      <c r="Y122" s="109">
        <v>1</v>
      </c>
      <c r="Z122" s="214">
        <f t="shared" si="16"/>
        <v>0</v>
      </c>
      <c r="AA122" s="213" t="str">
        <f>IF(OR($F122="",V122=0),"",IF(V122=1,IF(COUNTBLANK(W122:X122)&gt;0,$AG$2,IF(OR(Z122&lt;='פרמטרים לקריטריונים'!$C$27,X122&gt;W122),"",X122-W122))))</f>
        <v/>
      </c>
      <c r="AB122" s="214" t="str">
        <f t="shared" si="20"/>
        <v/>
      </c>
      <c r="AC122" s="225" t="str">
        <f>IF(OR(AB122="",U122=1),"",IF(OR(COUNTBLANK(W122:Y122)&gt;0,AB122&gt;='פרמטרים לקריטריונים'!$E$54),'פרמטרים לקריטריונים'!$F$54,INDEX('פרמטרים לקריטריונים'!$F$49:$F$54,MATCH(AB122,'פרמטרים לקריטריונים'!$E$49:$E$54,1))))</f>
        <v/>
      </c>
      <c r="AD122" s="213" t="str">
        <f t="shared" si="17"/>
        <v/>
      </c>
      <c r="AE122" s="213">
        <f t="shared" si="18"/>
        <v>16943.48106751723</v>
      </c>
      <c r="AG122" s="175">
        <f t="shared" si="21"/>
        <v>0</v>
      </c>
    </row>
    <row r="123" spans="1:33" ht="15.75" x14ac:dyDescent="0.2">
      <c r="A123" s="206">
        <f t="shared" si="19"/>
        <v>93</v>
      </c>
      <c r="B123" s="88">
        <f>IF($F123="","",'הזנה לתנאי סף'!C123)</f>
        <v>1001346718</v>
      </c>
      <c r="C123" s="88">
        <f>IF($F123="","",'הזנה לתנאי סף'!D123)</f>
        <v>1001277149</v>
      </c>
      <c r="D123" s="88">
        <f>IF($F123="","",'הזנה לתנאי סף'!E123)</f>
        <v>40221541</v>
      </c>
      <c r="E123" s="88">
        <f>IF($F123="","",'הזנה לתנאי סף'!F123)</f>
        <v>20000201</v>
      </c>
      <c r="F123" s="88" t="str">
        <f>IF(OR('הזנה לתנאי סף'!G123="",'הזנה לתנאי סף'!BL123&lt;&gt;1),"",'הזנה לתנאי סף'!G123)</f>
        <v>תל אביב -יפו</v>
      </c>
      <c r="G123" s="88" t="str">
        <f>IF($F123="","",'הזנה לתנאי סף'!H123)</f>
        <v>מרכז פליציה בלומנטל למוזיקה</v>
      </c>
      <c r="H123" s="88" t="str">
        <f>IF($F123="","",'הזנה לתנאי סף'!I123)</f>
        <v>סינמטקים ופסטיבלים</v>
      </c>
      <c r="I123" s="109">
        <v>184000</v>
      </c>
      <c r="J123" s="213">
        <f>IF($F123="","",'הזנה לתנאי סף'!S123)</f>
        <v>457584</v>
      </c>
      <c r="K123" s="109">
        <v>0</v>
      </c>
      <c r="L123" s="213">
        <f t="shared" si="12"/>
        <v>641584</v>
      </c>
      <c r="M123" s="213">
        <f>IF($F123="","",IF(L123='הזנה לתנאי סף'!R123,1,0))</f>
        <v>1</v>
      </c>
      <c r="N123" s="214">
        <f t="shared" si="13"/>
        <v>0.28679019426918378</v>
      </c>
      <c r="O123" s="214">
        <f t="shared" si="22"/>
        <v>0.71320980573081627</v>
      </c>
      <c r="P123" s="109">
        <v>640416</v>
      </c>
      <c r="Q123" s="213">
        <f>IF($F123="","",IFERROR(IF(P123&gt;0,'פרמטרים לקריטריונים'!$C$25*P123*O123,$AG$2),""))</f>
        <v>137025.29128407192</v>
      </c>
      <c r="R123" s="213">
        <f>IF($F123="","",IFERROR('פרמטרים לקריטריונים'!$C$26*Q123,""))</f>
        <v>33694.743758378339</v>
      </c>
      <c r="S123" s="214">
        <f t="shared" si="14"/>
        <v>4.9936128772714802E-4</v>
      </c>
      <c r="T123" s="213">
        <f t="shared" si="15"/>
        <v>24968.064386357401</v>
      </c>
      <c r="U123" s="213">
        <f>IF($F123="","",'הזנה לתנאי סף'!N123)</f>
        <v>1</v>
      </c>
      <c r="V123" s="213">
        <f>IF($F123="","",'הזנה לתנאי סף'!O123)</f>
        <v>1</v>
      </c>
      <c r="W123" s="109"/>
      <c r="X123" s="109"/>
      <c r="Y123" s="109"/>
      <c r="Z123" s="214" t="str">
        <f t="shared" si="16"/>
        <v>בדוק נתוני הזנה</v>
      </c>
      <c r="AA123" s="213" t="str">
        <f>IF(OR($F123="",V123=0),"",IF(V123=1,IF(COUNTBLANK(W123:X123)&gt;0,$AG$2,IF(OR(Z123&lt;='פרמטרים לקריטריונים'!$C$27,X123&gt;W123),"",X123-W123))))</f>
        <v>בדוק נתוני הזנה</v>
      </c>
      <c r="AB123" s="214">
        <f t="shared" si="20"/>
        <v>0</v>
      </c>
      <c r="AC123" s="225" t="str">
        <f>IF(OR(AB123="",U123=1),"",IF(OR(COUNTBLANK(W123:Y123)&gt;0,AB123&gt;='פרמטרים לקריטריונים'!$E$54),'פרמטרים לקריטריונים'!$F$54,INDEX('פרמטרים לקריטריונים'!$F$49:$F$54,MATCH(AB123,'פרמטרים לקריטריונים'!$E$49:$E$54,1))))</f>
        <v/>
      </c>
      <c r="AD123" s="213" t="str">
        <f t="shared" si="17"/>
        <v/>
      </c>
      <c r="AE123" s="213">
        <f t="shared" si="18"/>
        <v>24968.064386357401</v>
      </c>
      <c r="AG123" s="175">
        <f t="shared" si="21"/>
        <v>1</v>
      </c>
    </row>
    <row r="124" spans="1:33" ht="15.75" x14ac:dyDescent="0.2">
      <c r="A124" s="206">
        <f t="shared" si="19"/>
        <v>94</v>
      </c>
      <c r="B124" s="88">
        <f>IF($F124="","",'הזנה לתנאי סף'!C124)</f>
        <v>1001347600</v>
      </c>
      <c r="C124" s="88">
        <f>IF($F124="","",'הזנה לתנאי סף'!D124)</f>
        <v>1001277089</v>
      </c>
      <c r="D124" s="88">
        <f>IF($F124="","",'הזנה לתנאי סף'!E124)</f>
        <v>40221541</v>
      </c>
      <c r="E124" s="88">
        <f>IF($F124="","",'הזנה לתנאי סף'!F124)</f>
        <v>20000201</v>
      </c>
      <c r="F124" s="88" t="str">
        <f>IF(OR('הזנה לתנאי סף'!G124="",'הזנה לתנאי סף'!BL124&lt;&gt;1),"",'הזנה לתנאי סף'!G124)</f>
        <v>תל אביב -יפו</v>
      </c>
      <c r="G124" s="88" t="str">
        <f>IF($F124="","",'הזנה לתנאי סף'!H124)</f>
        <v>מרכז פליציה בלומנטל למוזיקה</v>
      </c>
      <c r="H124" s="88" t="str">
        <f>IF($F124="","",'הזנה לתנאי סף'!I124)</f>
        <v>אופרה</v>
      </c>
      <c r="I124" s="109">
        <v>50000</v>
      </c>
      <c r="J124" s="213">
        <f>IF($F124="","",'הזנה לתנאי סף'!S124)</f>
        <v>107836</v>
      </c>
      <c r="K124" s="109">
        <v>0</v>
      </c>
      <c r="L124" s="213">
        <f t="shared" si="12"/>
        <v>157836</v>
      </c>
      <c r="M124" s="213">
        <f>IF($F124="","",IF(L124='הזנה לתנאי סף'!R124,1,0))</f>
        <v>1</v>
      </c>
      <c r="N124" s="214">
        <f t="shared" si="13"/>
        <v>0.31678451050457435</v>
      </c>
      <c r="O124" s="214">
        <f t="shared" si="22"/>
        <v>0.68321548949542565</v>
      </c>
      <c r="P124" s="109">
        <v>157836</v>
      </c>
      <c r="Q124" s="213">
        <f>IF($F124="","",IFERROR(IF(P124&gt;0,'פרמטרים לקריטריונים'!$C$25*P124*O124,$AG$2),""))</f>
        <v>32350.799999999999</v>
      </c>
      <c r="R124" s="213">
        <f>IF($F124="","",IFERROR('פרמטרים לקריטריונים'!$C$26*Q124,""))</f>
        <v>7955.1147540983602</v>
      </c>
      <c r="S124" s="214">
        <f t="shared" si="14"/>
        <v>1.1789602485509385E-4</v>
      </c>
      <c r="T124" s="213">
        <f t="shared" si="15"/>
        <v>5894.8012427546928</v>
      </c>
      <c r="U124" s="213">
        <f>IF($F124="","",'הזנה לתנאי סף'!N124)</f>
        <v>0</v>
      </c>
      <c r="V124" s="213">
        <f>IF($F124="","",'הזנה לתנאי סף'!O124)</f>
        <v>1</v>
      </c>
      <c r="W124" s="109">
        <v>0</v>
      </c>
      <c r="X124" s="109">
        <v>0</v>
      </c>
      <c r="Y124" s="109">
        <v>1</v>
      </c>
      <c r="Z124" s="214">
        <f t="shared" si="16"/>
        <v>0</v>
      </c>
      <c r="AA124" s="213" t="str">
        <f>IF(OR($F124="",V124=0),"",IF(V124=1,IF(COUNTBLANK(W124:X124)&gt;0,$AG$2,IF(OR(Z124&lt;='פרמטרים לקריטריונים'!$C$27,X124&gt;W124),"",X124-W124))))</f>
        <v/>
      </c>
      <c r="AB124" s="214" t="str">
        <f t="shared" si="20"/>
        <v/>
      </c>
      <c r="AC124" s="225" t="str">
        <f>IF(OR(AB124="",U124=1),"",IF(OR(COUNTBLANK(W124:Y124)&gt;0,AB124&gt;='פרמטרים לקריטריונים'!$E$54),'פרמטרים לקריטריונים'!$F$54,INDEX('פרמטרים לקריטריונים'!$F$49:$F$54,MATCH(AB124,'פרמטרים לקריטריונים'!$E$49:$E$54,1))))</f>
        <v/>
      </c>
      <c r="AD124" s="213" t="str">
        <f t="shared" si="17"/>
        <v/>
      </c>
      <c r="AE124" s="213">
        <f t="shared" si="18"/>
        <v>5894.8012427546928</v>
      </c>
      <c r="AG124" s="175">
        <f t="shared" si="21"/>
        <v>0</v>
      </c>
    </row>
    <row r="125" spans="1:33" ht="15.75" x14ac:dyDescent="0.2">
      <c r="A125" s="206">
        <f t="shared" si="19"/>
        <v>95</v>
      </c>
      <c r="B125" s="88">
        <f>IF($F125="","",'הזנה לתנאי סף'!C125)</f>
        <v>1001347697</v>
      </c>
      <c r="C125" s="88">
        <f>IF($F125="","",'הזנה לתנאי סף'!D125)</f>
        <v>1001277111</v>
      </c>
      <c r="D125" s="88">
        <f>IF($F125="","",'הזנה לתנאי סף'!E125)</f>
        <v>40221541</v>
      </c>
      <c r="E125" s="88">
        <f>IF($F125="","",'הזנה לתנאי סף'!F125)</f>
        <v>20000201</v>
      </c>
      <c r="F125" s="88" t="str">
        <f>IF(OR('הזנה לתנאי סף'!G125="",'הזנה לתנאי סף'!BL125&lt;&gt;1),"",'הזנה לתנאי סף'!G125)</f>
        <v>תל אביב -יפו</v>
      </c>
      <c r="G125" s="88" t="str">
        <f>IF($F125="","",'הזנה לתנאי סף'!H125)</f>
        <v>מרכז פליציה בלומנטל למוזיקה</v>
      </c>
      <c r="H125" s="88" t="str">
        <f>IF($F125="","",'הזנה לתנאי סף'!I125)</f>
        <v>מקהלות</v>
      </c>
      <c r="I125" s="109">
        <v>111764</v>
      </c>
      <c r="J125" s="213">
        <f>IF($F125="","",'הזנה לתנאי סף'!S125)</f>
        <v>55983</v>
      </c>
      <c r="K125" s="109">
        <v>0</v>
      </c>
      <c r="L125" s="213">
        <f t="shared" si="12"/>
        <v>167747</v>
      </c>
      <c r="M125" s="213">
        <f>IF($F125="","",IF(L125='הזנה לתנאי סף'!R125,1,0))</f>
        <v>1</v>
      </c>
      <c r="N125" s="214">
        <f t="shared" si="13"/>
        <v>0.6662652685293925</v>
      </c>
      <c r="O125" s="214">
        <f t="shared" si="22"/>
        <v>0.3337347314706075</v>
      </c>
      <c r="P125" s="109">
        <v>167747</v>
      </c>
      <c r="Q125" s="213">
        <f>IF($F125="","",IFERROR(IF(P125&gt;0,'פרמטרים לקריטריונים'!$C$25*P125*O125,$AG$2),""))</f>
        <v>16794.899999999998</v>
      </c>
      <c r="R125" s="213">
        <f>IF($F125="","",IFERROR('פרמטרים לקריטריונים'!$C$26*Q125,""))</f>
        <v>4129.8934426229498</v>
      </c>
      <c r="S125" s="214">
        <f t="shared" si="14"/>
        <v>6.1205656362093536E-5</v>
      </c>
      <c r="T125" s="213">
        <f t="shared" si="15"/>
        <v>3060.2828181046766</v>
      </c>
      <c r="U125" s="213">
        <f>IF($F125="","",'הזנה לתנאי סף'!N125)</f>
        <v>0</v>
      </c>
      <c r="V125" s="213">
        <f>IF($F125="","",'הזנה לתנאי סף'!O125)</f>
        <v>1</v>
      </c>
      <c r="W125" s="109">
        <v>0</v>
      </c>
      <c r="X125" s="109">
        <v>0</v>
      </c>
      <c r="Y125" s="109">
        <v>1</v>
      </c>
      <c r="Z125" s="214">
        <f t="shared" si="16"/>
        <v>0</v>
      </c>
      <c r="AA125" s="213" t="str">
        <f>IF(OR($F125="",V125=0),"",IF(V125=1,IF(COUNTBLANK(W125:X125)&gt;0,$AG$2,IF(OR(Z125&lt;='פרמטרים לקריטריונים'!$C$27,X125&gt;W125),"",X125-W125))))</f>
        <v/>
      </c>
      <c r="AB125" s="214" t="str">
        <f t="shared" si="20"/>
        <v/>
      </c>
      <c r="AC125" s="225" t="str">
        <f>IF(OR(AB125="",U125=1),"",IF(OR(COUNTBLANK(W125:Y125)&gt;0,AB125&gt;='פרמטרים לקריטריונים'!$E$54),'פרמטרים לקריטריונים'!$F$54,INDEX('פרמטרים לקריטריונים'!$F$49:$F$54,MATCH(AB125,'פרמטרים לקריטריונים'!$E$49:$E$54,1))))</f>
        <v/>
      </c>
      <c r="AD125" s="213" t="str">
        <f t="shared" si="17"/>
        <v/>
      </c>
      <c r="AE125" s="213">
        <f t="shared" si="18"/>
        <v>3060.2828181046766</v>
      </c>
      <c r="AG125" s="175">
        <f t="shared" si="21"/>
        <v>0</v>
      </c>
    </row>
    <row r="126" spans="1:33" ht="15.75" x14ac:dyDescent="0.2">
      <c r="A126" s="206">
        <f t="shared" si="19"/>
        <v>96</v>
      </c>
      <c r="B126" s="88">
        <f>IF($F126="","",'הזנה לתנאי סף'!C126)</f>
        <v>1001349148</v>
      </c>
      <c r="C126" s="88">
        <f>IF($F126="","",'הזנה לתנאי סף'!D126)</f>
        <v>1001279372</v>
      </c>
      <c r="D126" s="88">
        <f>IF($F126="","",'הזנה לתנאי סף'!E126)</f>
        <v>40133812</v>
      </c>
      <c r="E126" s="88">
        <f>IF($F126="","",'הזנה לתנאי סף'!F126)</f>
        <v>20000201</v>
      </c>
      <c r="F126" s="88" t="str">
        <f>IF(OR('הזנה לתנאי סף'!G126="",'הזנה לתנאי סף'!BL126&lt;&gt;1),"",'הזנה לתנאי סף'!G126)</f>
        <v>תל אביב -יפו</v>
      </c>
      <c r="G126" s="88" t="str">
        <f>IF($F126="","",'הזנה לתנאי סף'!H126)</f>
        <v>תיאטרון "מלנקי"</v>
      </c>
      <c r="H126" s="88" t="str">
        <f>IF($F126="","",'הזנה לתנאי סף'!I126)</f>
        <v>קבוצות תיאטרון</v>
      </c>
      <c r="I126" s="109">
        <v>634967</v>
      </c>
      <c r="J126" s="213">
        <f>IF($F126="","",'הזנה לתנאי סף'!S126)</f>
        <v>333249</v>
      </c>
      <c r="K126" s="109">
        <v>0</v>
      </c>
      <c r="L126" s="213">
        <f t="shared" si="12"/>
        <v>968216</v>
      </c>
      <c r="M126" s="213">
        <f>IF($F126="","",IF(L126='הזנה לתנאי סף'!R126,1,0))</f>
        <v>1</v>
      </c>
      <c r="N126" s="214">
        <f t="shared" si="13"/>
        <v>0.65581130656795594</v>
      </c>
      <c r="O126" s="214">
        <f t="shared" si="22"/>
        <v>0.34418869343204406</v>
      </c>
      <c r="P126" s="109">
        <v>1088388</v>
      </c>
      <c r="Q126" s="213">
        <f>IF($F126="","",IFERROR(IF(P126&gt;0,'פרמטרים לקריטריונים'!$C$25*P126*O126,$AG$2),""))</f>
        <v>112383.25310013467</v>
      </c>
      <c r="R126" s="213">
        <f>IF($F126="","",IFERROR('פרמטרים לקריטריונים'!$C$26*Q126,""))</f>
        <v>27635.226172164261</v>
      </c>
      <c r="S126" s="214">
        <f t="shared" si="14"/>
        <v>4.0955830461038924E-4</v>
      </c>
      <c r="T126" s="213">
        <f t="shared" si="15"/>
        <v>20477.915230519462</v>
      </c>
      <c r="U126" s="213">
        <f>IF($F126="","",'הזנה לתנאי סף'!N126)</f>
        <v>1</v>
      </c>
      <c r="V126" s="213">
        <f>IF($F126="","",'הזנה לתנאי סף'!O126)</f>
        <v>1</v>
      </c>
      <c r="W126" s="109"/>
      <c r="X126" s="109"/>
      <c r="Y126" s="109"/>
      <c r="Z126" s="214" t="str">
        <f t="shared" si="16"/>
        <v>בדוק נתוני הזנה</v>
      </c>
      <c r="AA126" s="213" t="str">
        <f>IF(OR($F126="",V126=0),"",IF(V126=1,IF(COUNTBLANK(W126:X126)&gt;0,$AG$2,IF(OR(Z126&lt;='פרמטרים לקריטריונים'!$C$27,X126&gt;W126),"",X126-W126))))</f>
        <v>בדוק נתוני הזנה</v>
      </c>
      <c r="AB126" s="214">
        <f t="shared" si="20"/>
        <v>0</v>
      </c>
      <c r="AC126" s="225" t="str">
        <f>IF(OR(AB126="",U126=1),"",IF(OR(COUNTBLANK(W126:Y126)&gt;0,AB126&gt;='פרמטרים לקריטריונים'!$E$54),'פרמטרים לקריטריונים'!$F$54,INDEX('פרמטרים לקריטריונים'!$F$49:$F$54,MATCH(AB126,'פרמטרים לקריטריונים'!$E$49:$E$54,1))))</f>
        <v/>
      </c>
      <c r="AD126" s="213" t="str">
        <f t="shared" si="17"/>
        <v/>
      </c>
      <c r="AE126" s="213">
        <f t="shared" si="18"/>
        <v>20477.915230519462</v>
      </c>
      <c r="AG126" s="175">
        <f t="shared" si="21"/>
        <v>1</v>
      </c>
    </row>
    <row r="127" spans="1:33" ht="15.75" x14ac:dyDescent="0.2">
      <c r="A127" s="206">
        <f t="shared" si="19"/>
        <v>97</v>
      </c>
      <c r="B127" s="88">
        <f>IF($F127="","",'הזנה לתנאי סף'!C127)</f>
        <v>1001350656</v>
      </c>
      <c r="C127" s="88">
        <f>IF($F127="","",'הזנה לתנאי סף'!D127)</f>
        <v>1001288980</v>
      </c>
      <c r="D127" s="88">
        <f>IF($F127="","",'הזנה לתנאי סף'!E127)</f>
        <v>40209197</v>
      </c>
      <c r="E127" s="88">
        <f>IF($F127="","",'הזנה לתנאי סף'!F127)</f>
        <v>20000248</v>
      </c>
      <c r="F127" s="88" t="str">
        <f>IF(OR('הזנה לתנאי סף'!G127="",'הזנה לתנאי סף'!BL127&lt;&gt;1),"",'הזנה לתנאי סף'!G127)</f>
        <v>רחובות</v>
      </c>
      <c r="G127" s="88" t="str">
        <f>IF($F127="","",'הזנה לתנאי סף'!H127)</f>
        <v>מכון דוידסון לחינוך מדעי</v>
      </c>
      <c r="H127" s="88" t="str">
        <f>IF($F127="","",'הזנה לתנאי סף'!I127)</f>
        <v>מוזיאונים</v>
      </c>
      <c r="I127" s="109">
        <v>736422</v>
      </c>
      <c r="J127" s="213">
        <f>IF($F127="","",'הזנה לתנאי סף'!S127)</f>
        <v>3239345</v>
      </c>
      <c r="K127" s="109">
        <v>357487</v>
      </c>
      <c r="L127" s="213">
        <f t="shared" si="12"/>
        <v>4333254</v>
      </c>
      <c r="M127" s="213">
        <f>IF($F127="","",IF(L127='הזנה לתנאי סף'!R127,1,0))</f>
        <v>1</v>
      </c>
      <c r="N127" s="214">
        <f t="shared" si="13"/>
        <v>0.16994664979251159</v>
      </c>
      <c r="O127" s="214">
        <f t="shared" si="22"/>
        <v>0.83005335020748838</v>
      </c>
      <c r="P127" s="109">
        <v>5155364</v>
      </c>
      <c r="Q127" s="213">
        <f>IF($F127="","",IFERROR(IF(P127&gt;0,'פרמטרים לקריטריונים'!$C$25*P127*O127,$AG$2),""))</f>
        <v>1283768.1479217233</v>
      </c>
      <c r="R127" s="213">
        <f>IF($F127="","",IFERROR('פרמטרים לקריטריונים'!$C$26*Q127,""))</f>
        <v>315680.69211189914</v>
      </c>
      <c r="S127" s="214">
        <f t="shared" si="14"/>
        <v>4.678436436674125E-3</v>
      </c>
      <c r="T127" s="213">
        <f t="shared" si="15"/>
        <v>233921.82183370626</v>
      </c>
      <c r="U127" s="213">
        <f>IF($F127="","",'הזנה לתנאי סף'!N127)</f>
        <v>0</v>
      </c>
      <c r="V127" s="213">
        <f>IF($F127="","",'הזנה לתנאי סף'!O127)</f>
        <v>1</v>
      </c>
      <c r="W127" s="109">
        <v>0</v>
      </c>
      <c r="X127" s="109">
        <v>0</v>
      </c>
      <c r="Y127" s="109">
        <v>1</v>
      </c>
      <c r="Z127" s="214">
        <f t="shared" si="16"/>
        <v>0</v>
      </c>
      <c r="AA127" s="213" t="str">
        <f>IF(OR($F127="",V127=0),"",IF(V127=1,IF(COUNTBLANK(W127:X127)&gt;0,$AG$2,IF(OR(Z127&lt;='פרמטרים לקריטריונים'!$C$27,X127&gt;W127),"",X127-W127))))</f>
        <v/>
      </c>
      <c r="AB127" s="214" t="str">
        <f t="shared" si="20"/>
        <v/>
      </c>
      <c r="AC127" s="225" t="str">
        <f>IF(OR(AB127="",U127=1),"",IF(OR(COUNTBLANK(W127:Y127)&gt;0,AB127&gt;='פרמטרים לקריטריונים'!$E$54),'פרמטרים לקריטריונים'!$F$54,INDEX('פרמטרים לקריטריונים'!$F$49:$F$54,MATCH(AB127,'פרמטרים לקריטריונים'!$E$49:$E$54,1))))</f>
        <v/>
      </c>
      <c r="AD127" s="213" t="str">
        <f t="shared" si="17"/>
        <v/>
      </c>
      <c r="AE127" s="213">
        <f t="shared" si="18"/>
        <v>233921.82183370626</v>
      </c>
      <c r="AG127" s="175">
        <f t="shared" si="21"/>
        <v>0</v>
      </c>
    </row>
    <row r="128" spans="1:33" ht="15.75" x14ac:dyDescent="0.2">
      <c r="A128" s="206">
        <f t="shared" si="19"/>
        <v>98</v>
      </c>
      <c r="B128" s="88">
        <f>IF($F128="","",'הזנה לתנאי סף'!C128)</f>
        <v>1001348864</v>
      </c>
      <c r="C128" s="88">
        <f>IF($F128="","",'הזנה לתנאי סף'!D128)</f>
        <v>1001311515</v>
      </c>
      <c r="D128" s="88">
        <f>IF($F128="","",'הזנה לתנאי סף'!E128)</f>
        <v>40216045</v>
      </c>
      <c r="E128" s="88">
        <f>IF($F128="","",'הזנה לתנאי סף'!F128)</f>
        <v>20000158</v>
      </c>
      <c r="F128" s="88" t="str">
        <f>IF(OR('הזנה לתנאי סף'!G128="",'הזנה לתנאי סף'!BL128&lt;&gt;1),"",'הזנה לתנאי סף'!G128)</f>
        <v>גולן</v>
      </c>
      <c r="G128" s="88" t="str">
        <f>IF($F128="","",'הזנה לתנאי סף'!H128)</f>
        <v>תל-חי כיתות אומן בינ"ל לפסנתר</v>
      </c>
      <c r="H128" s="88" t="str">
        <f>IF($F128="","",'הזנה לתנאי סף'!I128)</f>
        <v>מרכזי מוסיקה</v>
      </c>
      <c r="I128" s="109">
        <v>70000</v>
      </c>
      <c r="J128" s="213">
        <f>IF($F128="","",'הזנה לתנאי סף'!S128)</f>
        <v>869811</v>
      </c>
      <c r="K128" s="109">
        <v>0</v>
      </c>
      <c r="L128" s="213">
        <f t="shared" si="12"/>
        <v>939811</v>
      </c>
      <c r="M128" s="213">
        <f>IF($F128="","",IF(L128='הזנה לתנאי סף'!R128,1,0))</f>
        <v>1</v>
      </c>
      <c r="N128" s="214">
        <f t="shared" si="13"/>
        <v>7.4483060955873037E-2</v>
      </c>
      <c r="O128" s="214">
        <f t="shared" si="22"/>
        <v>0.92551693904412691</v>
      </c>
      <c r="P128" s="109">
        <v>959375</v>
      </c>
      <c r="Q128" s="213">
        <f>IF($F128="","",IFERROR(IF(P128&gt;0,'פרמטרים לקריטריונים'!$C$25*P128*O128,$AG$2),""))</f>
        <v>266375.34401863778</v>
      </c>
      <c r="R128" s="213">
        <f>IF($F128="","",IFERROR('פרמטרים לקריטריונים'!$C$26*Q128,""))</f>
        <v>65502.133775074864</v>
      </c>
      <c r="S128" s="214">
        <f t="shared" si="14"/>
        <v>9.7075170256084853E-4</v>
      </c>
      <c r="T128" s="213">
        <f t="shared" si="15"/>
        <v>48537.585128042425</v>
      </c>
      <c r="U128" s="213">
        <f>IF($F128="","",'הזנה לתנאי סף'!N128)</f>
        <v>0</v>
      </c>
      <c r="V128" s="213">
        <f>IF($F128="","",'הזנה לתנאי סף'!O128)</f>
        <v>1</v>
      </c>
      <c r="W128" s="109">
        <v>0</v>
      </c>
      <c r="X128" s="109">
        <v>0</v>
      </c>
      <c r="Y128" s="109">
        <v>1</v>
      </c>
      <c r="Z128" s="214">
        <f t="shared" si="16"/>
        <v>0</v>
      </c>
      <c r="AA128" s="213" t="str">
        <f>IF(OR($F128="",V128=0),"",IF(V128=1,IF(COUNTBLANK(W128:X128)&gt;0,$AG$2,IF(OR(Z128&lt;='פרמטרים לקריטריונים'!$C$27,X128&gt;W128),"",X128-W128))))</f>
        <v/>
      </c>
      <c r="AB128" s="214" t="str">
        <f t="shared" si="20"/>
        <v/>
      </c>
      <c r="AC128" s="225" t="str">
        <f>IF(OR(AB128="",U128=1),"",IF(OR(COUNTBLANK(W128:Y128)&gt;0,AB128&gt;='פרמטרים לקריטריונים'!$E$54),'פרמטרים לקריטריונים'!$F$54,INDEX('פרמטרים לקריטריונים'!$F$49:$F$54,MATCH(AB128,'פרמטרים לקריטריונים'!$E$49:$E$54,1))))</f>
        <v/>
      </c>
      <c r="AD128" s="213" t="str">
        <f t="shared" si="17"/>
        <v/>
      </c>
      <c r="AE128" s="213">
        <f t="shared" si="18"/>
        <v>48537.585128042425</v>
      </c>
      <c r="AG128" s="175">
        <f t="shared" si="21"/>
        <v>0</v>
      </c>
    </row>
    <row r="129" spans="1:33" ht="15.75" x14ac:dyDescent="0.2">
      <c r="A129" s="206">
        <f t="shared" si="19"/>
        <v>99</v>
      </c>
      <c r="B129" s="88">
        <f>IF($F129="","",'הזנה לתנאי סף'!C129)</f>
        <v>1001350625</v>
      </c>
      <c r="C129" s="88">
        <f>IF($F129="","",'הזנה לתנאי סף'!D129)</f>
        <v>1001312149</v>
      </c>
      <c r="D129" s="88">
        <f>IF($F129="","",'הזנה לתנאי סף'!E129)</f>
        <v>40233029</v>
      </c>
      <c r="E129" s="88">
        <f>IF($F129="","",'הזנה לתנאי סף'!F129)</f>
        <v>20000159</v>
      </c>
      <c r="F129" s="88" t="str">
        <f>IF(OR('הזנה לתנאי סף'!G129="",'הזנה לתנאי סף'!BL129&lt;&gt;1),"",'הזנה לתנאי סף'!G129)</f>
        <v>ירושלים</v>
      </c>
      <c r="G129" s="88" t="str">
        <f>IF($F129="","",'הזנה לתנאי סף'!H129)</f>
        <v>המרכז למוסיקה ירושלים</v>
      </c>
      <c r="H129" s="88" t="str">
        <f>IF($F129="","",'הזנה לתנאי סף'!I129)</f>
        <v>מרכזי מוסיקה</v>
      </c>
      <c r="I129" s="109">
        <v>50000</v>
      </c>
      <c r="J129" s="213">
        <f>IF($F129="","",'הזנה לתנאי סף'!S129)</f>
        <v>1805143</v>
      </c>
      <c r="K129" s="109">
        <v>0</v>
      </c>
      <c r="L129" s="213">
        <f t="shared" si="12"/>
        <v>1855143</v>
      </c>
      <c r="M129" s="213">
        <f>IF($F129="","",IF(L129='הזנה לתנאי סף'!R129,1,0))</f>
        <v>1</v>
      </c>
      <c r="N129" s="214">
        <f t="shared" si="13"/>
        <v>2.6952100188502987E-2</v>
      </c>
      <c r="O129" s="214">
        <f t="shared" si="22"/>
        <v>0.97304789981149697</v>
      </c>
      <c r="P129" s="109">
        <v>1855143</v>
      </c>
      <c r="Q129" s="213">
        <f>IF($F129="","",IFERROR(IF(P129&gt;0,'פרמטרים לקריטריונים'!$C$25*P129*O129,$AG$2),""))</f>
        <v>541542.9</v>
      </c>
      <c r="R129" s="213">
        <f>IF($F129="","",IFERROR('פרמטרים לקריטריונים'!$C$26*Q129,""))</f>
        <v>133166.28688524591</v>
      </c>
      <c r="S129" s="214">
        <f t="shared" si="14"/>
        <v>1.9735448643773759E-3</v>
      </c>
      <c r="T129" s="213">
        <f t="shared" si="15"/>
        <v>98677.243218868796</v>
      </c>
      <c r="U129" s="213">
        <f>IF($F129="","",'הזנה לתנאי סף'!N129)</f>
        <v>0</v>
      </c>
      <c r="V129" s="213">
        <f>IF($F129="","",'הזנה לתנאי סף'!O129)</f>
        <v>1</v>
      </c>
      <c r="W129" s="109">
        <v>0</v>
      </c>
      <c r="X129" s="109">
        <v>0</v>
      </c>
      <c r="Y129" s="109">
        <v>1</v>
      </c>
      <c r="Z129" s="214">
        <f t="shared" si="16"/>
        <v>0</v>
      </c>
      <c r="AA129" s="213" t="str">
        <f>IF(OR($F129="",V129=0),"",IF(V129=1,IF(COUNTBLANK(W129:X129)&gt;0,$AG$2,IF(OR(Z129&lt;='פרמטרים לקריטריונים'!$C$27,X129&gt;W129),"",X129-W129))))</f>
        <v/>
      </c>
      <c r="AB129" s="214" t="str">
        <f t="shared" si="20"/>
        <v/>
      </c>
      <c r="AC129" s="225" t="str">
        <f>IF(OR(AB129="",U129=1),"",IF(OR(COUNTBLANK(W129:Y129)&gt;0,AB129&gt;='פרמטרים לקריטריונים'!$E$54),'פרמטרים לקריטריונים'!$F$54,INDEX('פרמטרים לקריטריונים'!$F$49:$F$54,MATCH(AB129,'פרמטרים לקריטריונים'!$E$49:$E$54,1))))</f>
        <v/>
      </c>
      <c r="AD129" s="213" t="str">
        <f t="shared" si="17"/>
        <v/>
      </c>
      <c r="AE129" s="213">
        <f t="shared" si="18"/>
        <v>98677.243218868796</v>
      </c>
      <c r="AG129" s="175">
        <f t="shared" si="21"/>
        <v>0</v>
      </c>
    </row>
    <row r="130" spans="1:33" ht="15.75" x14ac:dyDescent="0.2">
      <c r="A130" s="206">
        <f t="shared" si="19"/>
        <v>100</v>
      </c>
      <c r="B130" s="88">
        <f>IF($F130="","",'הזנה לתנאי סף'!C130)</f>
        <v>1001347014</v>
      </c>
      <c r="C130" s="88">
        <f>IF($F130="","",'הזנה לתנאי סף'!D130)</f>
        <v>1001269702</v>
      </c>
      <c r="D130" s="88">
        <f>IF($F130="","",'הזנה לתנאי סף'!E130)</f>
        <v>40216083</v>
      </c>
      <c r="E130" s="88">
        <f>IF($F130="","",'הזנה לתנאי סף'!F130)</f>
        <v>20000159</v>
      </c>
      <c r="F130" s="88" t="str">
        <f>IF(OR('הזנה לתנאי סף'!G130="",'הזנה לתנאי סף'!BL130&lt;&gt;1),"",'הזנה לתנאי סף'!G130)</f>
        <v>ירושלים</v>
      </c>
      <c r="G130" s="88" t="str">
        <f>IF($F130="","",'הזנה לתנאי סף'!H130)</f>
        <v>תאטרון "פסיק" ירושלים</v>
      </c>
      <c r="H130" s="88" t="str">
        <f>IF($F130="","",'הזנה לתנאי סף'!I130)</f>
        <v>תיאטרון</v>
      </c>
      <c r="I130" s="109">
        <v>1424217</v>
      </c>
      <c r="J130" s="213">
        <f>IF($F130="","",'הזנה לתנאי סף'!S130)</f>
        <v>1974355</v>
      </c>
      <c r="K130" s="109">
        <v>0</v>
      </c>
      <c r="L130" s="213">
        <f t="shared" si="12"/>
        <v>3398572</v>
      </c>
      <c r="M130" s="213">
        <f>IF($F130="","",IF(L130='הזנה לתנאי סף'!R130,1,0))</f>
        <v>1</v>
      </c>
      <c r="N130" s="214">
        <f t="shared" si="13"/>
        <v>0.41906335955218837</v>
      </c>
      <c r="O130" s="214">
        <f t="shared" si="22"/>
        <v>0.58093664044781157</v>
      </c>
      <c r="P130" s="109">
        <v>3398572</v>
      </c>
      <c r="Q130" s="213">
        <f>IF($F130="","",IFERROR(IF(P130&gt;0,'פרמטרים לקריטריונים'!$C$25*P130*O130,$AG$2),""))</f>
        <v>592306.5</v>
      </c>
      <c r="R130" s="213">
        <f>IF($F130="","",IFERROR('פרמטרים לקריטריונים'!$C$26*Q130,""))</f>
        <v>145649.13934426228</v>
      </c>
      <c r="S130" s="214">
        <f t="shared" si="14"/>
        <v>2.1585426587853668E-3</v>
      </c>
      <c r="T130" s="213">
        <f t="shared" si="15"/>
        <v>107927.13293926834</v>
      </c>
      <c r="U130" s="213">
        <f>IF($F130="","",'הזנה לתנאי סף'!N130)</f>
        <v>1</v>
      </c>
      <c r="V130" s="213">
        <f>IF($F130="","",'הזנה לתנאי סף'!O130)</f>
        <v>1</v>
      </c>
      <c r="W130" s="109"/>
      <c r="X130" s="109"/>
      <c r="Y130" s="109"/>
      <c r="Z130" s="214" t="str">
        <f t="shared" si="16"/>
        <v>בדוק נתוני הזנה</v>
      </c>
      <c r="AA130" s="213" t="str">
        <f>IF(OR($F130="",V130=0),"",IF(V130=1,IF(COUNTBLANK(W130:X130)&gt;0,$AG$2,IF(OR(Z130&lt;='פרמטרים לקריטריונים'!$C$27,X130&gt;W130),"",X130-W130))))</f>
        <v>בדוק נתוני הזנה</v>
      </c>
      <c r="AB130" s="214">
        <f t="shared" si="20"/>
        <v>1</v>
      </c>
      <c r="AC130" s="225" t="str">
        <f>IF(OR(AB130="",U130=1),"",IF(OR(COUNTBLANK(W130:Y130)&gt;0,AB130&gt;='פרמטרים לקריטריונים'!$E$54),'פרמטרים לקריטריונים'!$F$54,INDEX('פרמטרים לקריטריונים'!$F$49:$F$54,MATCH(AB130,'פרמטרים לקריטריונים'!$E$49:$E$54,1))))</f>
        <v/>
      </c>
      <c r="AD130" s="213" t="str">
        <f t="shared" si="17"/>
        <v/>
      </c>
      <c r="AE130" s="213">
        <f t="shared" si="18"/>
        <v>107927.13293926834</v>
      </c>
      <c r="AG130" s="175">
        <f t="shared" si="21"/>
        <v>1</v>
      </c>
    </row>
    <row r="131" spans="1:33" ht="15.75" x14ac:dyDescent="0.2">
      <c r="A131" s="206">
        <f t="shared" si="19"/>
        <v>101</v>
      </c>
      <c r="B131" s="88">
        <f>IF($F131="","",'הזנה לתנאי סף'!C131)</f>
        <v>1001350428</v>
      </c>
      <c r="C131" s="88">
        <f>IF($F131="","",'הזנה לתנאי סף'!D131)</f>
        <v>1001269684</v>
      </c>
      <c r="D131" s="88">
        <f>IF($F131="","",'הזנה לתנאי סף'!E131)</f>
        <v>40216083</v>
      </c>
      <c r="E131" s="88">
        <f>IF($F131="","",'הזנה לתנאי סף'!F131)</f>
        <v>20000159</v>
      </c>
      <c r="F131" s="88" t="str">
        <f>IF(OR('הזנה לתנאי סף'!G131="",'הזנה לתנאי סף'!BL131&lt;&gt;1),"",'הזנה לתנאי סף'!G131)</f>
        <v>ירושלים</v>
      </c>
      <c r="G131" s="88" t="str">
        <f>IF($F131="","",'הזנה לתנאי סף'!H131)</f>
        <v>תאטרון "פסיק" ירושלים</v>
      </c>
      <c r="H131" s="88" t="str">
        <f>IF($F131="","",'הזנה לתנאי סף'!I131)</f>
        <v>תיאטרון</v>
      </c>
      <c r="I131" s="109">
        <v>140225</v>
      </c>
      <c r="J131" s="213">
        <f>IF($F131="","",'הזנה לתנאי סף'!S131)</f>
        <v>47637</v>
      </c>
      <c r="K131" s="109">
        <v>0</v>
      </c>
      <c r="L131" s="213">
        <f t="shared" si="12"/>
        <v>187862</v>
      </c>
      <c r="M131" s="213">
        <f>IF($F131="","",IF(L131='הזנה לתנאי סף'!R131,1,0))</f>
        <v>1</v>
      </c>
      <c r="N131" s="214">
        <f t="shared" si="13"/>
        <v>0.74642556770395285</v>
      </c>
      <c r="O131" s="214">
        <f t="shared" si="22"/>
        <v>0.25357443229604715</v>
      </c>
      <c r="P131" s="109">
        <v>187862</v>
      </c>
      <c r="Q131" s="213">
        <f>IF($F131="","",IFERROR(IF(P131&gt;0,'פרמטרים לקריטריונים'!$C$25*P131*O131,$AG$2),""))</f>
        <v>14291.100000000002</v>
      </c>
      <c r="R131" s="213">
        <f>IF($F131="","",IFERROR('פרמטרים לקריטריונים'!$C$26*Q131,""))</f>
        <v>3514.2049180327872</v>
      </c>
      <c r="S131" s="214">
        <f t="shared" si="14"/>
        <v>5.2081057680386019E-5</v>
      </c>
      <c r="T131" s="213">
        <f t="shared" si="15"/>
        <v>2604.052884019301</v>
      </c>
      <c r="U131" s="213">
        <f>IF($F131="","",'הזנה לתנאי סף'!N131)</f>
        <v>1</v>
      </c>
      <c r="V131" s="213">
        <f>IF($F131="","",'הזנה לתנאי סף'!O131)</f>
        <v>1</v>
      </c>
      <c r="W131" s="109"/>
      <c r="X131" s="109"/>
      <c r="Y131" s="109"/>
      <c r="Z131" s="214" t="str">
        <f t="shared" si="16"/>
        <v>בדוק נתוני הזנה</v>
      </c>
      <c r="AA131" s="213" t="str">
        <f>IF(OR($F131="",V131=0),"",IF(V131=1,IF(COUNTBLANK(W131:X131)&gt;0,$AG$2,IF(OR(Z131&lt;='פרמטרים לקריטריונים'!$C$27,X131&gt;W131),"",X131-W131))))</f>
        <v>בדוק נתוני הזנה</v>
      </c>
      <c r="AB131" s="214">
        <f t="shared" si="20"/>
        <v>1</v>
      </c>
      <c r="AC131" s="225" t="str">
        <f>IF(OR(AB131="",U131=1),"",IF(OR(COUNTBLANK(W131:Y131)&gt;0,AB131&gt;='פרמטרים לקריטריונים'!$E$54),'פרמטרים לקריטריונים'!$F$54,INDEX('פרמטרים לקריטריונים'!$F$49:$F$54,MATCH(AB131,'פרמטרים לקריטריונים'!$E$49:$E$54,1))))</f>
        <v/>
      </c>
      <c r="AD131" s="213" t="str">
        <f t="shared" si="17"/>
        <v/>
      </c>
      <c r="AE131" s="213">
        <f t="shared" si="18"/>
        <v>2604.052884019301</v>
      </c>
      <c r="AG131" s="175">
        <f t="shared" si="21"/>
        <v>1</v>
      </c>
    </row>
    <row r="132" spans="1:33" ht="15.75" x14ac:dyDescent="0.2">
      <c r="A132" s="206">
        <f t="shared" si="19"/>
        <v>102</v>
      </c>
      <c r="B132" s="88">
        <f>IF($F132="","",'הזנה לתנאי סף'!C132)</f>
        <v>1001350429</v>
      </c>
      <c r="C132" s="88">
        <f>IF($F132="","",'הזנה לתנאי סף'!D132)</f>
        <v>1001269710</v>
      </c>
      <c r="D132" s="88">
        <f>IF($F132="","",'הזנה לתנאי סף'!E132)</f>
        <v>40216083</v>
      </c>
      <c r="E132" s="88">
        <f>IF($F132="","",'הזנה לתנאי סף'!F132)</f>
        <v>20000159</v>
      </c>
      <c r="F132" s="88" t="str">
        <f>IF(OR('הזנה לתנאי סף'!G132="",'הזנה לתנאי סף'!BL132&lt;&gt;1),"",'הזנה לתנאי סף'!G132)</f>
        <v>ירושלים</v>
      </c>
      <c r="G132" s="88" t="str">
        <f>IF($F132="","",'הזנה לתנאי סף'!H132)</f>
        <v>תאטרון "פסיק" ירושלים</v>
      </c>
      <c r="H132" s="88" t="str">
        <f>IF($F132="","",'הזנה לתנאי סף'!I132)</f>
        <v>תיאטרון</v>
      </c>
      <c r="I132" s="109">
        <v>90000</v>
      </c>
      <c r="J132" s="213">
        <f>IF($F132="","",'הזנה לתנאי סף'!S132)</f>
        <v>40091</v>
      </c>
      <c r="K132" s="109">
        <v>20000</v>
      </c>
      <c r="L132" s="213">
        <f t="shared" si="12"/>
        <v>150091</v>
      </c>
      <c r="M132" s="213">
        <f>IF($F132="","",IF(L132='הזנה לתנאי סף'!R132,1,0))</f>
        <v>1</v>
      </c>
      <c r="N132" s="214">
        <f t="shared" si="13"/>
        <v>0.59963622069277966</v>
      </c>
      <c r="O132" s="214">
        <f t="shared" si="22"/>
        <v>0.40036377930722034</v>
      </c>
      <c r="P132" s="109">
        <v>150091</v>
      </c>
      <c r="Q132" s="213">
        <f>IF($F132="","",IFERROR(IF(P132&gt;0,'פרמטרים לקריטריונים'!$C$25*P132*O132,$AG$2),""))</f>
        <v>18027.3</v>
      </c>
      <c r="R132" s="213">
        <f>IF($F132="","",IFERROR('פרמטרים לקריטריונים'!$C$26*Q132,""))</f>
        <v>4432.942622950819</v>
      </c>
      <c r="S132" s="214">
        <f t="shared" si="14"/>
        <v>6.5696891850286021E-5</v>
      </c>
      <c r="T132" s="213">
        <f t="shared" si="15"/>
        <v>3284.844592514301</v>
      </c>
      <c r="U132" s="213">
        <f>IF($F132="","",'הזנה לתנאי סף'!N132)</f>
        <v>1</v>
      </c>
      <c r="V132" s="213">
        <f>IF($F132="","",'הזנה לתנאי סף'!O132)</f>
        <v>1</v>
      </c>
      <c r="W132" s="109"/>
      <c r="X132" s="109"/>
      <c r="Y132" s="109"/>
      <c r="Z132" s="214" t="str">
        <f t="shared" si="16"/>
        <v>בדוק נתוני הזנה</v>
      </c>
      <c r="AA132" s="213" t="str">
        <f>IF(OR($F132="",V132=0),"",IF(V132=1,IF(COUNTBLANK(W132:X132)&gt;0,$AG$2,IF(OR(Z132&lt;='פרמטרים לקריטריונים'!$C$27,X132&gt;W132),"",X132-W132))))</f>
        <v>בדוק נתוני הזנה</v>
      </c>
      <c r="AB132" s="214">
        <f t="shared" si="20"/>
        <v>1</v>
      </c>
      <c r="AC132" s="225" t="str">
        <f>IF(OR(AB132="",U132=1),"",IF(OR(COUNTBLANK(W132:Y132)&gt;0,AB132&gt;='פרמטרים לקריטריונים'!$E$54),'פרמטרים לקריטריונים'!$F$54,INDEX('פרמטרים לקריטריונים'!$F$49:$F$54,MATCH(AB132,'פרמטרים לקריטריונים'!$E$49:$E$54,1))))</f>
        <v/>
      </c>
      <c r="AD132" s="213" t="str">
        <f t="shared" si="17"/>
        <v/>
      </c>
      <c r="AE132" s="213">
        <f t="shared" si="18"/>
        <v>3284.844592514301</v>
      </c>
      <c r="AG132" s="175">
        <f t="shared" si="21"/>
        <v>1</v>
      </c>
    </row>
    <row r="133" spans="1:33" ht="15.75" x14ac:dyDescent="0.2">
      <c r="A133" s="206">
        <f t="shared" si="19"/>
        <v>103</v>
      </c>
      <c r="B133" s="88">
        <f>IF($F133="","",'הזנה לתנאי סף'!C133)</f>
        <v>1001350431</v>
      </c>
      <c r="C133" s="88">
        <f>IF($F133="","",'הזנה לתנאי סף'!D133)</f>
        <v>1001268315</v>
      </c>
      <c r="D133" s="88">
        <f>IF($F133="","",'הזנה לתנאי סף'!E133)</f>
        <v>40216083</v>
      </c>
      <c r="E133" s="88">
        <f>IF($F133="","",'הזנה לתנאי סף'!F133)</f>
        <v>20000159</v>
      </c>
      <c r="F133" s="88" t="str">
        <f>IF(OR('הזנה לתנאי סף'!G133="",'הזנה לתנאי סף'!BL133&lt;&gt;1),"",'הזנה לתנאי סף'!G133)</f>
        <v>ירושלים</v>
      </c>
      <c r="G133" s="88" t="str">
        <f>IF($F133="","",'הזנה לתנאי סף'!H133)</f>
        <v>תאטרון "פסיק" ירושלים</v>
      </c>
      <c r="H133" s="88" t="str">
        <f>IF($F133="","",'הזנה לתנאי סף'!I133)</f>
        <v>תיאטרון</v>
      </c>
      <c r="I133" s="109">
        <v>235413</v>
      </c>
      <c r="J133" s="213">
        <f>IF($F133="","",'הזנה לתנאי סף'!S133)</f>
        <v>423216</v>
      </c>
      <c r="K133" s="109">
        <v>0</v>
      </c>
      <c r="L133" s="213">
        <f t="shared" si="12"/>
        <v>658629</v>
      </c>
      <c r="M133" s="213">
        <f>IF($F133="","",IF(L133='הזנה לתנאי סף'!R133,1,0))</f>
        <v>1</v>
      </c>
      <c r="N133" s="214">
        <f t="shared" si="13"/>
        <v>0.35742884081933834</v>
      </c>
      <c r="O133" s="214">
        <f t="shared" si="22"/>
        <v>0.64257115918066166</v>
      </c>
      <c r="P133" s="109">
        <v>658629</v>
      </c>
      <c r="Q133" s="213">
        <f>IF($F133="","",IFERROR(IF(P133&gt;0,'פרמטרים לקריטריונים'!$C$25*P133*O133,$AG$2),""))</f>
        <v>126964.79999999999</v>
      </c>
      <c r="R133" s="213">
        <f>IF($F133="","",IFERROR('פרמטרים לקריטריונים'!$C$26*Q133,""))</f>
        <v>31220.852459016391</v>
      </c>
      <c r="S133" s="214">
        <f t="shared" si="14"/>
        <v>4.6269783796759335E-4</v>
      </c>
      <c r="T133" s="213">
        <f t="shared" si="15"/>
        <v>23134.891898379668</v>
      </c>
      <c r="U133" s="213">
        <f>IF($F133="","",'הזנה לתנאי סף'!N133)</f>
        <v>1</v>
      </c>
      <c r="V133" s="213">
        <f>IF($F133="","",'הזנה לתנאי סף'!O133)</f>
        <v>1</v>
      </c>
      <c r="W133" s="109"/>
      <c r="X133" s="109"/>
      <c r="Y133" s="109"/>
      <c r="Z133" s="214" t="str">
        <f t="shared" si="16"/>
        <v>בדוק נתוני הזנה</v>
      </c>
      <c r="AA133" s="213" t="str">
        <f>IF(OR($F133="",V133=0),"",IF(V133=1,IF(COUNTBLANK(W133:X133)&gt;0,$AG$2,IF(OR(Z133&lt;='פרמטרים לקריטריונים'!$C$27,X133&gt;W133),"",X133-W133))))</f>
        <v>בדוק נתוני הזנה</v>
      </c>
      <c r="AB133" s="214">
        <f t="shared" si="20"/>
        <v>0</v>
      </c>
      <c r="AC133" s="225" t="str">
        <f>IF(OR(AB133="",U133=1),"",IF(OR(COUNTBLANK(W133:Y133)&gt;0,AB133&gt;='פרמטרים לקריטריונים'!$E$54),'פרמטרים לקריטריונים'!$F$54,INDEX('פרמטרים לקריטריונים'!$F$49:$F$54,MATCH(AB133,'פרמטרים לקריטריונים'!$E$49:$E$54,1))))</f>
        <v/>
      </c>
      <c r="AD133" s="213" t="str">
        <f t="shared" si="17"/>
        <v/>
      </c>
      <c r="AE133" s="213">
        <f t="shared" si="18"/>
        <v>23134.891898379668</v>
      </c>
      <c r="AG133" s="175">
        <f t="shared" si="21"/>
        <v>1</v>
      </c>
    </row>
    <row r="134" spans="1:33" ht="15.75" x14ac:dyDescent="0.2">
      <c r="A134" s="206">
        <f t="shared" si="19"/>
        <v>104</v>
      </c>
      <c r="B134" s="88">
        <f>IF($F134="","",'הזנה לתנאי סף'!C134)</f>
        <v>1001350432</v>
      </c>
      <c r="C134" s="88">
        <f>IF($F134="","",'הזנה לתנאי סף'!D134)</f>
        <v>1001269688</v>
      </c>
      <c r="D134" s="88">
        <f>IF($F134="","",'הזנה לתנאי סף'!E134)</f>
        <v>40216083</v>
      </c>
      <c r="E134" s="88">
        <f>IF($F134="","",'הזנה לתנאי סף'!F134)</f>
        <v>20000159</v>
      </c>
      <c r="F134" s="88" t="str">
        <f>IF(OR('הזנה לתנאי סף'!G134="",'הזנה לתנאי סף'!BL134&lt;&gt;1),"",'הזנה לתנאי סף'!G134)</f>
        <v>ירושלים</v>
      </c>
      <c r="G134" s="88" t="str">
        <f>IF($F134="","",'הזנה לתנאי סף'!H134)</f>
        <v>תאטרון "פסיק" ירושלים</v>
      </c>
      <c r="H134" s="88" t="str">
        <f>IF($F134="","",'הזנה לתנאי סף'!I134)</f>
        <v>תיאטרון</v>
      </c>
      <c r="I134" s="109">
        <v>360000</v>
      </c>
      <c r="J134" s="213">
        <f>IF($F134="","",'הזנה לתנאי סף'!S134)</f>
        <v>246447</v>
      </c>
      <c r="K134" s="109">
        <v>0</v>
      </c>
      <c r="L134" s="213">
        <f t="shared" si="12"/>
        <v>606447</v>
      </c>
      <c r="M134" s="213">
        <f>IF($F134="","",IF(L134='הזנה לתנאי סף'!R134,1,0))</f>
        <v>1</v>
      </c>
      <c r="N134" s="214">
        <f t="shared" si="13"/>
        <v>0.59362153658934746</v>
      </c>
      <c r="O134" s="214">
        <f t="shared" si="22"/>
        <v>0.40637846341065254</v>
      </c>
      <c r="P134" s="109">
        <v>606447</v>
      </c>
      <c r="Q134" s="213">
        <f>IF($F134="","",IFERROR(IF(P134&gt;0,'פרמטרים לקריטריונים'!$C$25*P134*O134,$AG$2),""))</f>
        <v>73934.100000000006</v>
      </c>
      <c r="R134" s="213">
        <f>IF($F134="","",IFERROR('פרמטרים לקריטריונים'!$C$26*Q134,""))</f>
        <v>18180.516393442624</v>
      </c>
      <c r="S134" s="214">
        <f t="shared" si="14"/>
        <v>2.6943805072019843E-4</v>
      </c>
      <c r="T134" s="213">
        <f t="shared" si="15"/>
        <v>13471.902536009922</v>
      </c>
      <c r="U134" s="213">
        <f>IF($F134="","",'הזנה לתנאי סף'!N134)</f>
        <v>1</v>
      </c>
      <c r="V134" s="213">
        <f>IF($F134="","",'הזנה לתנאי סף'!O134)</f>
        <v>1</v>
      </c>
      <c r="W134" s="109"/>
      <c r="X134" s="109"/>
      <c r="Y134" s="109"/>
      <c r="Z134" s="214" t="str">
        <f t="shared" si="16"/>
        <v>בדוק נתוני הזנה</v>
      </c>
      <c r="AA134" s="213" t="str">
        <f>IF(OR($F134="",V134=0),"",IF(V134=1,IF(COUNTBLANK(W134:X134)&gt;0,$AG$2,IF(OR(Z134&lt;='פרמטרים לקריטריונים'!$C$27,X134&gt;W134),"",X134-W134))))</f>
        <v>בדוק נתוני הזנה</v>
      </c>
      <c r="AB134" s="214">
        <f t="shared" si="20"/>
        <v>1</v>
      </c>
      <c r="AC134" s="225" t="str">
        <f>IF(OR(AB134="",U134=1),"",IF(OR(COUNTBLANK(W134:Y134)&gt;0,AB134&gt;='פרמטרים לקריטריונים'!$E$54),'פרמטרים לקריטריונים'!$F$54,INDEX('פרמטרים לקריטריונים'!$F$49:$F$54,MATCH(AB134,'פרמטרים לקריטריונים'!$E$49:$E$54,1))))</f>
        <v/>
      </c>
      <c r="AD134" s="213" t="str">
        <f t="shared" si="17"/>
        <v/>
      </c>
      <c r="AE134" s="213">
        <f t="shared" si="18"/>
        <v>13471.902536009922</v>
      </c>
      <c r="AG134" s="175">
        <f t="shared" si="21"/>
        <v>1</v>
      </c>
    </row>
    <row r="135" spans="1:33" ht="15.75" x14ac:dyDescent="0.2">
      <c r="A135" s="206">
        <f t="shared" si="19"/>
        <v>105</v>
      </c>
      <c r="B135" s="88">
        <f>IF($F135="","",'הזנה לתנאי סף'!C135)</f>
        <v>1001350435</v>
      </c>
      <c r="C135" s="88">
        <f>IF($F135="","",'הזנה לתנאי סף'!D135)</f>
        <v>1001269686</v>
      </c>
      <c r="D135" s="88">
        <f>IF($F135="","",'הזנה לתנאי סף'!E135)</f>
        <v>40216083</v>
      </c>
      <c r="E135" s="88">
        <f>IF($F135="","",'הזנה לתנאי סף'!F135)</f>
        <v>20000159</v>
      </c>
      <c r="F135" s="88" t="str">
        <f>IF(OR('הזנה לתנאי סף'!G135="",'הזנה לתנאי סף'!BL135&lt;&gt;1),"",'הזנה לתנאי סף'!G135)</f>
        <v>ירושלים</v>
      </c>
      <c r="G135" s="88" t="str">
        <f>IF($F135="","",'הזנה לתנאי סף'!H135)</f>
        <v>תאטרון "פסיק" ירושלים</v>
      </c>
      <c r="H135" s="88" t="str">
        <f>IF($F135="","",'הזנה לתנאי סף'!I135)</f>
        <v>תיאטרון</v>
      </c>
      <c r="I135" s="109">
        <v>105069</v>
      </c>
      <c r="J135" s="213">
        <f>IF($F135="","",'הזנה לתנאי סף'!S135)</f>
        <v>59463</v>
      </c>
      <c r="K135" s="109">
        <v>0</v>
      </c>
      <c r="L135" s="213">
        <f t="shared" si="12"/>
        <v>164532</v>
      </c>
      <c r="M135" s="213">
        <f>IF($F135="","",IF(L135='הזנה לתנאי סף'!R135,1,0))</f>
        <v>1</v>
      </c>
      <c r="N135" s="214">
        <f t="shared" si="13"/>
        <v>0.63859310043031148</v>
      </c>
      <c r="O135" s="214">
        <f t="shared" si="22"/>
        <v>0.36140689956968852</v>
      </c>
      <c r="P135" s="109">
        <v>164532</v>
      </c>
      <c r="Q135" s="213">
        <f>IF($F135="","",IFERROR(IF(P135&gt;0,'פרמטרים לקריטריונים'!$C$25*P135*O135,$AG$2),""))</f>
        <v>17838.899999999998</v>
      </c>
      <c r="R135" s="213">
        <f>IF($F135="","",IFERROR('פרמטרים לקריטריונים'!$C$26*Q135,""))</f>
        <v>4386.6147540983602</v>
      </c>
      <c r="S135" s="214">
        <f t="shared" si="14"/>
        <v>6.501030570457403E-5</v>
      </c>
      <c r="T135" s="213">
        <f t="shared" si="15"/>
        <v>3250.5152852287015</v>
      </c>
      <c r="U135" s="213">
        <f>IF($F135="","",'הזנה לתנאי סף'!N135)</f>
        <v>1</v>
      </c>
      <c r="V135" s="213">
        <f>IF($F135="","",'הזנה לתנאי סף'!O135)</f>
        <v>1</v>
      </c>
      <c r="W135" s="109"/>
      <c r="X135" s="109"/>
      <c r="Y135" s="109"/>
      <c r="Z135" s="214" t="str">
        <f t="shared" si="16"/>
        <v>בדוק נתוני הזנה</v>
      </c>
      <c r="AA135" s="213" t="str">
        <f>IF(OR($F135="",V135=0),"",IF(V135=1,IF(COUNTBLANK(W135:X135)&gt;0,$AG$2,IF(OR(Z135&lt;='פרמטרים לקריטריונים'!$C$27,X135&gt;W135),"",X135-W135))))</f>
        <v>בדוק נתוני הזנה</v>
      </c>
      <c r="AB135" s="214">
        <f t="shared" si="20"/>
        <v>0</v>
      </c>
      <c r="AC135" s="225" t="str">
        <f>IF(OR(AB135="",U135=1),"",IF(OR(COUNTBLANK(W135:Y135)&gt;0,AB135&gt;='פרמטרים לקריטריונים'!$E$54),'פרמטרים לקריטריונים'!$F$54,INDEX('פרמטרים לקריטריונים'!$F$49:$F$54,MATCH(AB135,'פרמטרים לקריטריונים'!$E$49:$E$54,1))))</f>
        <v/>
      </c>
      <c r="AD135" s="213" t="str">
        <f t="shared" si="17"/>
        <v/>
      </c>
      <c r="AE135" s="213">
        <f t="shared" si="18"/>
        <v>3250.5152852287015</v>
      </c>
      <c r="AG135" s="175">
        <f t="shared" si="21"/>
        <v>1</v>
      </c>
    </row>
    <row r="136" spans="1:33" ht="15.75" x14ac:dyDescent="0.2">
      <c r="A136" s="206">
        <f t="shared" si="19"/>
        <v>106</v>
      </c>
      <c r="B136" s="88">
        <f>IF($F136="","",'הזנה לתנאי סף'!C136)</f>
        <v>1001350437</v>
      </c>
      <c r="C136" s="88">
        <f>IF($F136="","",'הזנה לתנאי סף'!D136)</f>
        <v>1001269687</v>
      </c>
      <c r="D136" s="88">
        <f>IF($F136="","",'הזנה לתנאי סף'!E136)</f>
        <v>40216083</v>
      </c>
      <c r="E136" s="88">
        <f>IF($F136="","",'הזנה לתנאי סף'!F136)</f>
        <v>20000159</v>
      </c>
      <c r="F136" s="88" t="str">
        <f>IF(OR('הזנה לתנאי סף'!G136="",'הזנה לתנאי סף'!BL136&lt;&gt;1),"",'הזנה לתנאי סף'!G136)</f>
        <v>ירושלים</v>
      </c>
      <c r="G136" s="88" t="str">
        <f>IF($F136="","",'הזנה לתנאי סף'!H136)</f>
        <v>תאטרון "פסיק" ירושלים</v>
      </c>
      <c r="H136" s="88" t="str">
        <f>IF($F136="","",'הזנה לתנאי סף'!I136)</f>
        <v>תיאטרון</v>
      </c>
      <c r="I136" s="109">
        <v>103203</v>
      </c>
      <c r="J136" s="213">
        <f>IF($F136="","",'הזנה לתנאי סף'!S136)</f>
        <v>58101</v>
      </c>
      <c r="K136" s="109">
        <v>0</v>
      </c>
      <c r="L136" s="213">
        <f t="shared" si="12"/>
        <v>161304</v>
      </c>
      <c r="M136" s="213">
        <f>IF($F136="","",IF(L136='הזנה לתנאי סף'!R136,1,0))</f>
        <v>1</v>
      </c>
      <c r="N136" s="214">
        <f t="shared" si="13"/>
        <v>0.63980434459157864</v>
      </c>
      <c r="O136" s="214">
        <f t="shared" si="22"/>
        <v>0.36019565540842136</v>
      </c>
      <c r="P136" s="109">
        <v>161304</v>
      </c>
      <c r="Q136" s="213">
        <f>IF($F136="","",IFERROR(IF(P136&gt;0,'פרמטרים לקריטריונים'!$C$25*P136*O136,$AG$2),""))</f>
        <v>17430.3</v>
      </c>
      <c r="R136" s="213">
        <f>IF($F136="","",IFERROR('פרמטרים לקריטריונים'!$C$26*Q136,""))</f>
        <v>4286.1393442622948</v>
      </c>
      <c r="S136" s="214">
        <f t="shared" si="14"/>
        <v>6.3521244668810118E-5</v>
      </c>
      <c r="T136" s="213">
        <f t="shared" si="15"/>
        <v>3176.0622334405061</v>
      </c>
      <c r="U136" s="213">
        <f>IF($F136="","",'הזנה לתנאי סף'!N136)</f>
        <v>1</v>
      </c>
      <c r="V136" s="213">
        <f>IF($F136="","",'הזנה לתנאי סף'!O136)</f>
        <v>1</v>
      </c>
      <c r="W136" s="109"/>
      <c r="X136" s="109"/>
      <c r="Y136" s="109"/>
      <c r="Z136" s="214" t="str">
        <f t="shared" si="16"/>
        <v>בדוק נתוני הזנה</v>
      </c>
      <c r="AA136" s="213" t="str">
        <f>IF(OR($F136="",V136=0),"",IF(V136=1,IF(COUNTBLANK(W136:X136)&gt;0,$AG$2,IF(OR(Z136&lt;='פרמטרים לקריטריונים'!$C$27,X136&gt;W136),"",X136-W136))))</f>
        <v>בדוק נתוני הזנה</v>
      </c>
      <c r="AB136" s="214">
        <f t="shared" si="20"/>
        <v>0</v>
      </c>
      <c r="AC136" s="225" t="str">
        <f>IF(OR(AB136="",U136=1),"",IF(OR(COUNTBLANK(W136:Y136)&gt;0,AB136&gt;='פרמטרים לקריטריונים'!$E$54),'פרמטרים לקריטריונים'!$F$54,INDEX('פרמטרים לקריטריונים'!$F$49:$F$54,MATCH(AB136,'פרמטרים לקריטריונים'!$E$49:$E$54,1))))</f>
        <v/>
      </c>
      <c r="AD136" s="213" t="str">
        <f t="shared" si="17"/>
        <v/>
      </c>
      <c r="AE136" s="213">
        <f t="shared" si="18"/>
        <v>3176.0622334405061</v>
      </c>
      <c r="AG136" s="175">
        <f t="shared" si="21"/>
        <v>1</v>
      </c>
    </row>
    <row r="137" spans="1:33" ht="15.75" x14ac:dyDescent="0.2">
      <c r="A137" s="206">
        <f t="shared" si="19"/>
        <v>107</v>
      </c>
      <c r="B137" s="88">
        <f>IF($F137="","",'הזנה לתנאי סף'!C137)</f>
        <v>1001350444</v>
      </c>
      <c r="C137" s="88">
        <f>IF($F137="","",'הזנה לתנאי סף'!D137)</f>
        <v>1001268330</v>
      </c>
      <c r="D137" s="88">
        <f>IF($F137="","",'הזנה לתנאי סף'!E137)</f>
        <v>40216083</v>
      </c>
      <c r="E137" s="88">
        <f>IF($F137="","",'הזנה לתנאי סף'!F137)</f>
        <v>20000159</v>
      </c>
      <c r="F137" s="88" t="str">
        <f>IF(OR('הזנה לתנאי סף'!G137="",'הזנה לתנאי סף'!BL137&lt;&gt;1),"",'הזנה לתנאי סף'!G137)</f>
        <v>ירושלים</v>
      </c>
      <c r="G137" s="88" t="str">
        <f>IF($F137="","",'הזנה לתנאי סף'!H137)</f>
        <v>תאטרון "פסיק" ירושלים</v>
      </c>
      <c r="H137" s="88" t="str">
        <f>IF($F137="","",'הזנה לתנאי סף'!I137)</f>
        <v>תיאטרון</v>
      </c>
      <c r="I137" s="109">
        <v>72388</v>
      </c>
      <c r="J137" s="213">
        <f>IF($F137="","",'הזנה לתנאי סף'!S137)</f>
        <v>24571</v>
      </c>
      <c r="K137" s="109">
        <v>0</v>
      </c>
      <c r="L137" s="213">
        <f t="shared" si="12"/>
        <v>96959</v>
      </c>
      <c r="M137" s="213">
        <f>IF($F137="","",IF(L137='הזנה לתנאי סף'!R137,1,0))</f>
        <v>1</v>
      </c>
      <c r="N137" s="214">
        <f t="shared" si="13"/>
        <v>0.74658360750420283</v>
      </c>
      <c r="O137" s="214">
        <f t="shared" si="22"/>
        <v>0.25341639249579717</v>
      </c>
      <c r="P137" s="109">
        <v>96959</v>
      </c>
      <c r="Q137" s="213">
        <f>IF($F137="","",IFERROR(IF(P137&gt;0,'פרמטרים לקריטריונים'!$C$25*P137*O137,$AG$2),""))</f>
        <v>7371.2999999999993</v>
      </c>
      <c r="R137" s="213">
        <f>IF($F137="","",IFERROR('פרמטרים לקריטריונים'!$C$26*Q137,""))</f>
        <v>1812.6147540983604</v>
      </c>
      <c r="S137" s="214">
        <f t="shared" si="14"/>
        <v>2.6863229596002363E-5</v>
      </c>
      <c r="T137" s="213">
        <f t="shared" si="15"/>
        <v>1343.1614798001181</v>
      </c>
      <c r="U137" s="213">
        <f>IF($F137="","",'הזנה לתנאי סף'!N137)</f>
        <v>1</v>
      </c>
      <c r="V137" s="213">
        <f>IF($F137="","",'הזנה לתנאי סף'!O137)</f>
        <v>1</v>
      </c>
      <c r="W137" s="109"/>
      <c r="X137" s="109"/>
      <c r="Y137" s="109"/>
      <c r="Z137" s="214" t="str">
        <f t="shared" si="16"/>
        <v>בדוק נתוני הזנה</v>
      </c>
      <c r="AA137" s="213" t="str">
        <f>IF(OR($F137="",V137=0),"",IF(V137=1,IF(COUNTBLANK(W137:X137)&gt;0,$AG$2,IF(OR(Z137&lt;='פרמטרים לקריטריונים'!$C$27,X137&gt;W137),"",X137-W137))))</f>
        <v>בדוק נתוני הזנה</v>
      </c>
      <c r="AB137" s="214">
        <f t="shared" si="20"/>
        <v>0</v>
      </c>
      <c r="AC137" s="225" t="str">
        <f>IF(OR(AB137="",U137=1),"",IF(OR(COUNTBLANK(W137:Y137)&gt;0,AB137&gt;='פרמטרים לקריטריונים'!$E$54),'פרמטרים לקריטריונים'!$F$54,INDEX('פרמטרים לקריטריונים'!$F$49:$F$54,MATCH(AB137,'פרמטרים לקריטריונים'!$E$49:$E$54,1))))</f>
        <v/>
      </c>
      <c r="AD137" s="213" t="str">
        <f t="shared" si="17"/>
        <v/>
      </c>
      <c r="AE137" s="213">
        <f t="shared" si="18"/>
        <v>1343.1614798001181</v>
      </c>
      <c r="AG137" s="175">
        <f t="shared" si="21"/>
        <v>1</v>
      </c>
    </row>
    <row r="138" spans="1:33" ht="15.75" x14ac:dyDescent="0.2">
      <c r="A138" s="206">
        <f t="shared" si="19"/>
        <v>108</v>
      </c>
      <c r="B138" s="88">
        <f>IF($F138="","",'הזנה לתנאי סף'!C138)</f>
        <v>1001351084</v>
      </c>
      <c r="C138" s="88">
        <f>IF($F138="","",'הזנה לתנאי סף'!D138)</f>
        <v>1001290814</v>
      </c>
      <c r="D138" s="88">
        <f>IF($F138="","",'הזנה לתנאי סף'!E138)</f>
        <v>40258570</v>
      </c>
      <c r="E138" s="88">
        <f>IF($F138="","",'הזנה לתנאי סף'!F138)</f>
        <v>20000055</v>
      </c>
      <c r="F138" s="88" t="str">
        <f>IF(OR('הזנה לתנאי סף'!G138="",'הזנה לתנאי סף'!BL138&lt;&gt;1),"",'הזנה לתנאי סף'!G138)</f>
        <v>מג'ד אל-כרום</v>
      </c>
      <c r="G138" s="88" t="str">
        <f>IF($F138="","",'הזנה לתנאי סף'!H138)</f>
        <v>עמותת האומנים לקידום תיאטרון מגד אל כרום</v>
      </c>
      <c r="H138" s="88" t="str">
        <f>IF($F138="","",'הזנה לתנאי סף'!I138)</f>
        <v>תיאטרון</v>
      </c>
      <c r="I138" s="109">
        <v>0</v>
      </c>
      <c r="J138" s="213">
        <f>IF($F138="","",'הזנה לתנאי סף'!S138)</f>
        <v>515250</v>
      </c>
      <c r="K138" s="109">
        <v>1016182</v>
      </c>
      <c r="L138" s="213">
        <f t="shared" si="12"/>
        <v>1531432</v>
      </c>
      <c r="M138" s="213">
        <f>IF($F138="","",IF(L138='הזנה לתנאי סף'!R138,1,0))</f>
        <v>1</v>
      </c>
      <c r="N138" s="214">
        <f t="shared" si="13"/>
        <v>0</v>
      </c>
      <c r="O138" s="214">
        <f t="shared" si="22"/>
        <v>1</v>
      </c>
      <c r="P138" s="109">
        <v>1552932</v>
      </c>
      <c r="Q138" s="213">
        <f>IF($F138="","",IFERROR(IF(P138&gt;0,'פרמטרים לקריטריונים'!$C$25*P138*O138,$AG$2),""))</f>
        <v>465879.6</v>
      </c>
      <c r="R138" s="213">
        <f>IF($F138="","",IFERROR('פרמטרים לקריטריונים'!$C$26*Q138,""))</f>
        <v>114560.55737704918</v>
      </c>
      <c r="S138" s="214">
        <f t="shared" si="14"/>
        <v>1.6978050898611837E-3</v>
      </c>
      <c r="T138" s="213">
        <f t="shared" si="15"/>
        <v>84890.254493059183</v>
      </c>
      <c r="U138" s="213">
        <f>IF($F138="","",'הזנה לתנאי סף'!N138)</f>
        <v>0</v>
      </c>
      <c r="V138" s="213">
        <f>IF($F138="","",'הזנה לתנאי סף'!O138)</f>
        <v>1</v>
      </c>
      <c r="W138" s="109">
        <v>0</v>
      </c>
      <c r="X138" s="109">
        <v>0</v>
      </c>
      <c r="Y138" s="109">
        <v>1</v>
      </c>
      <c r="Z138" s="214">
        <f t="shared" si="16"/>
        <v>0</v>
      </c>
      <c r="AA138" s="213" t="str">
        <f>IF(OR($F138="",V138=0),"",IF(V138=1,IF(COUNTBLANK(W138:X138)&gt;0,$AG$2,IF(OR(Z138&lt;='פרמטרים לקריטריונים'!$C$27,X138&gt;W138),"",X138-W138))))</f>
        <v/>
      </c>
      <c r="AB138" s="214" t="str">
        <f t="shared" si="20"/>
        <v/>
      </c>
      <c r="AC138" s="225" t="str">
        <f>IF(OR(AB138="",U138=1),"",IF(OR(COUNTBLANK(W138:Y138)&gt;0,AB138&gt;='פרמטרים לקריטריונים'!$E$54),'פרמטרים לקריטריונים'!$F$54,INDEX('פרמטרים לקריטריונים'!$F$49:$F$54,MATCH(AB138,'פרמטרים לקריטריונים'!$E$49:$E$54,1))))</f>
        <v/>
      </c>
      <c r="AD138" s="213" t="str">
        <f t="shared" si="17"/>
        <v/>
      </c>
      <c r="AE138" s="213">
        <f t="shared" si="18"/>
        <v>84890.254493059183</v>
      </c>
      <c r="AG138" s="175">
        <f t="shared" si="21"/>
        <v>0</v>
      </c>
    </row>
    <row r="139" spans="1:33" ht="15.75" x14ac:dyDescent="0.2">
      <c r="A139" s="206">
        <f t="shared" si="19"/>
        <v>109</v>
      </c>
      <c r="B139" s="88">
        <f>IF($F139="","",'הזנה לתנאי סף'!C139)</f>
        <v>1001347400</v>
      </c>
      <c r="C139" s="88">
        <f>IF($F139="","",'הזנה לתנאי סף'!D139)</f>
        <v>1001266852</v>
      </c>
      <c r="D139" s="88">
        <f>IF($F139="","",'הזנה לתנאי סף'!E139)</f>
        <v>40000550</v>
      </c>
      <c r="E139" s="88">
        <f>IF($F139="","",'הזנה לתנאי סף'!F139)</f>
        <v>20000096</v>
      </c>
      <c r="F139" s="88" t="str">
        <f>IF(OR('הזנה לתנאי סף'!G139="",'הזנה לתנאי סף'!BL139&lt;&gt;1),"",'הזנה לתנאי סף'!G139)</f>
        <v>שדרות</v>
      </c>
      <c r="G139" s="88" t="str">
        <f>IF($F139="","",'הזנה לתנאי סף'!H139)</f>
        <v>מרכז התנועה שדרות אדמה (ע''ר)</v>
      </c>
      <c r="H139" s="88" t="str">
        <f>IF($F139="","",'הזנה לתנאי סף'!I139)</f>
        <v>מרכזי מחול</v>
      </c>
      <c r="I139" s="109">
        <v>91538</v>
      </c>
      <c r="J139" s="213">
        <f>IF($F139="","",'הזנה לתנאי סף'!S139)</f>
        <v>40776</v>
      </c>
      <c r="K139" s="109">
        <v>0</v>
      </c>
      <c r="L139" s="213">
        <f t="shared" si="12"/>
        <v>132314</v>
      </c>
      <c r="M139" s="213">
        <f>IF($F139="","",IF(L139='הזנה לתנאי סף'!R139,1,0))</f>
        <v>1</v>
      </c>
      <c r="N139" s="214">
        <f t="shared" si="13"/>
        <v>0.69182399443747444</v>
      </c>
      <c r="O139" s="214">
        <f t="shared" si="22"/>
        <v>0.30817600556252556</v>
      </c>
      <c r="P139" s="109">
        <v>132757</v>
      </c>
      <c r="Q139" s="213">
        <f>IF($F139="","",IFERROR(IF(P139&gt;0,'פרמטרים לקריטריונים'!$C$25*P139*O139,$AG$2),""))</f>
        <v>12273.756591139261</v>
      </c>
      <c r="R139" s="213">
        <f>IF($F139="","",IFERROR('פרמטרים לקריטריונים'!$C$26*Q139,""))</f>
        <v>3018.1368666735889</v>
      </c>
      <c r="S139" s="214">
        <f t="shared" si="14"/>
        <v>4.4729252820156735E-5</v>
      </c>
      <c r="T139" s="213">
        <f t="shared" si="15"/>
        <v>2236.4626410078367</v>
      </c>
      <c r="U139" s="213">
        <f>IF($F139="","",'הזנה לתנאי סף'!N139)</f>
        <v>0</v>
      </c>
      <c r="V139" s="213">
        <f>IF($F139="","",'הזנה לתנאי סף'!O139)</f>
        <v>1</v>
      </c>
      <c r="W139" s="109">
        <v>0</v>
      </c>
      <c r="X139" s="109">
        <v>0</v>
      </c>
      <c r="Y139" s="109">
        <v>1</v>
      </c>
      <c r="Z139" s="214">
        <f t="shared" si="16"/>
        <v>0</v>
      </c>
      <c r="AA139" s="213" t="str">
        <f>IF(OR($F139="",V139=0),"",IF(V139=1,IF(COUNTBLANK(W139:X139)&gt;0,$AG$2,IF(OR(Z139&lt;='פרמטרים לקריטריונים'!$C$27,X139&gt;W139),"",X139-W139))))</f>
        <v/>
      </c>
      <c r="AB139" s="214" t="str">
        <f t="shared" si="20"/>
        <v/>
      </c>
      <c r="AC139" s="225" t="str">
        <f>IF(OR(AB139="",U139=1),"",IF(OR(COUNTBLANK(W139:Y139)&gt;0,AB139&gt;='פרמטרים לקריטריונים'!$E$54),'פרמטרים לקריטריונים'!$F$54,INDEX('פרמטרים לקריטריונים'!$F$49:$F$54,MATCH(AB139,'פרמטרים לקריטריונים'!$E$49:$E$54,1))))</f>
        <v/>
      </c>
      <c r="AD139" s="213" t="str">
        <f t="shared" si="17"/>
        <v/>
      </c>
      <c r="AE139" s="213">
        <f t="shared" si="18"/>
        <v>2236.4626410078367</v>
      </c>
      <c r="AG139" s="175">
        <f t="shared" si="21"/>
        <v>0</v>
      </c>
    </row>
    <row r="140" spans="1:33" ht="15.75" x14ac:dyDescent="0.2">
      <c r="A140" s="206">
        <f t="shared" si="19"/>
        <v>110</v>
      </c>
      <c r="B140" s="88">
        <f>IF($F140="","",'הזנה לתנאי סף'!C140)</f>
        <v>1001350749</v>
      </c>
      <c r="C140" s="88">
        <f>IF($F140="","",'הזנה לתנאי סף'!D140)</f>
        <v>1001270674</v>
      </c>
      <c r="D140" s="88">
        <f>IF($F140="","",'הזנה לתנאי סף'!E140)</f>
        <v>40000590</v>
      </c>
      <c r="E140" s="88">
        <f>IF($F140="","",'הזנה לתנאי סף'!F140)</f>
        <v>20000235</v>
      </c>
      <c r="F140" s="88" t="str">
        <f>IF(OR('הזנה לתנאי סף'!G140="",'הזנה לתנאי סף'!BL140&lt;&gt;1),"",'הזנה לתנאי סף'!G140)</f>
        <v>סח'נין</v>
      </c>
      <c r="G140" s="88" t="str">
        <f>IF($F140="","",'הזנה לתנאי סף'!H140)</f>
        <v>אמנות למען השלום</v>
      </c>
      <c r="H140" s="88" t="str">
        <f>IF($F140="","",'הזנה לתנאי סף'!I140)</f>
        <v>תיאטרון</v>
      </c>
      <c r="I140" s="109">
        <v>946629</v>
      </c>
      <c r="J140" s="213">
        <f>IF($F140="","",'הזנה לתנאי סף'!S140)</f>
        <v>716285</v>
      </c>
      <c r="K140" s="109">
        <v>0</v>
      </c>
      <c r="L140" s="213">
        <f t="shared" si="12"/>
        <v>1662914</v>
      </c>
      <c r="M140" s="213">
        <f>IF($F140="","",IF(L140='הזנה לתנאי סף'!R140,1,0))</f>
        <v>1</v>
      </c>
      <c r="N140" s="214">
        <f t="shared" si="13"/>
        <v>0.56925914388837906</v>
      </c>
      <c r="O140" s="214">
        <f t="shared" si="22"/>
        <v>0.43074085611162094</v>
      </c>
      <c r="P140" s="109">
        <v>1376734</v>
      </c>
      <c r="Q140" s="213">
        <f>IF($F140="","",IFERROR(IF(P140&gt;0,'פרמטרים לקריטריונים'!$C$25*P140*O140,$AG$2),""))</f>
        <v>177904.6745393929</v>
      </c>
      <c r="R140" s="213">
        <f>IF($F140="","",IFERROR('פרמטרים לקריטריונים'!$C$26*Q140,""))</f>
        <v>43747.051116244154</v>
      </c>
      <c r="S140" s="214">
        <f t="shared" si="14"/>
        <v>6.4833802970355129E-4</v>
      </c>
      <c r="T140" s="213">
        <f t="shared" si="15"/>
        <v>32416.901485177565</v>
      </c>
      <c r="U140" s="213">
        <f>IF($F140="","",'הזנה לתנאי סף'!N140)</f>
        <v>0</v>
      </c>
      <c r="V140" s="213">
        <f>IF($F140="","",'הזנה לתנאי סף'!O140)</f>
        <v>1</v>
      </c>
      <c r="W140" s="109">
        <v>0</v>
      </c>
      <c r="X140" s="109">
        <v>0</v>
      </c>
      <c r="Y140" s="109">
        <v>1</v>
      </c>
      <c r="Z140" s="214">
        <f t="shared" si="16"/>
        <v>0</v>
      </c>
      <c r="AA140" s="213" t="str">
        <f>IF(OR($F140="",V140=0),"",IF(V140=1,IF(COUNTBLANK(W140:X140)&gt;0,$AG$2,IF(OR(Z140&lt;='פרמטרים לקריטריונים'!$C$27,X140&gt;W140),"",X140-W140))))</f>
        <v/>
      </c>
      <c r="AB140" s="214" t="str">
        <f t="shared" si="20"/>
        <v/>
      </c>
      <c r="AC140" s="225" t="str">
        <f>IF(OR(AB140="",U140=1),"",IF(OR(COUNTBLANK(W140:Y140)&gt;0,AB140&gt;='פרמטרים לקריטריונים'!$E$54),'פרמטרים לקריטריונים'!$F$54,INDEX('פרמטרים לקריטריונים'!$F$49:$F$54,MATCH(AB140,'פרמטרים לקריטריונים'!$E$49:$E$54,1))))</f>
        <v/>
      </c>
      <c r="AD140" s="213" t="str">
        <f t="shared" si="17"/>
        <v/>
      </c>
      <c r="AE140" s="213">
        <f t="shared" si="18"/>
        <v>32416.901485177565</v>
      </c>
      <c r="AG140" s="175">
        <f t="shared" si="21"/>
        <v>0</v>
      </c>
    </row>
    <row r="141" spans="1:33" ht="15.75" x14ac:dyDescent="0.2">
      <c r="A141" s="206">
        <f t="shared" si="19"/>
        <v>111</v>
      </c>
      <c r="B141" s="88">
        <f>IF($F141="","",'הזנה לתנאי סף'!C141)</f>
        <v>1001347197</v>
      </c>
      <c r="C141" s="88">
        <f>IF($F141="","",'הזנה לתנאי סף'!D141)</f>
        <v>1001262104</v>
      </c>
      <c r="D141" s="88">
        <f>IF($F141="","",'הזנה לתנאי סף'!E141)</f>
        <v>40000479</v>
      </c>
      <c r="E141" s="88">
        <f>IF($F141="","",'הזנה לתנאי סף'!F141)</f>
        <v>20000162</v>
      </c>
      <c r="F141" s="88" t="str">
        <f>IF(OR('הזנה לתנאי סף'!G141="",'הזנה לתנאי סף'!BL141&lt;&gt;1),"",'הזנה לתנאי סף'!G141)</f>
        <v>חוף הכרמל</v>
      </c>
      <c r="G141" s="88" t="str">
        <f>IF($F141="","",'הזנה לתנאי סף'!H141)</f>
        <v>המזגגה</v>
      </c>
      <c r="H141" s="88" t="str">
        <f>IF($F141="","",'הזנה לתנאי סף'!I141)</f>
        <v>מוזיאונים</v>
      </c>
      <c r="I141" s="109">
        <v>434173</v>
      </c>
      <c r="J141" s="213">
        <f>IF($F141="","",'הזנה לתנאי סף'!S141)</f>
        <v>340027</v>
      </c>
      <c r="K141" s="109">
        <v>0</v>
      </c>
      <c r="L141" s="213">
        <f t="shared" si="12"/>
        <v>774200</v>
      </c>
      <c r="M141" s="213">
        <f>IF($F141="","",IF(L141='הזנה לתנאי סף'!R141,1,0))</f>
        <v>1</v>
      </c>
      <c r="N141" s="214">
        <f t="shared" si="13"/>
        <v>0.56080211831568072</v>
      </c>
      <c r="O141" s="214">
        <f t="shared" si="22"/>
        <v>0.43919788168431928</v>
      </c>
      <c r="P141" s="109">
        <v>538348</v>
      </c>
      <c r="Q141" s="213">
        <f>IF($F141="","",IFERROR(IF(P141&gt;0,'פרמטרים לקריטריונים'!$C$25*P141*O141,$AG$2),""))</f>
        <v>70932.39036269697</v>
      </c>
      <c r="R141" s="213">
        <f>IF($F141="","",IFERROR('פרמטרים לקריטריונים'!$C$26*Q141,""))</f>
        <v>17442.391072794337</v>
      </c>
      <c r="S141" s="214">
        <f t="shared" si="14"/>
        <v>2.5849891987931494E-4</v>
      </c>
      <c r="T141" s="213">
        <f t="shared" si="15"/>
        <v>12924.945993965746</v>
      </c>
      <c r="U141" s="213">
        <f>IF($F141="","",'הזנה לתנאי סף'!N141)</f>
        <v>1</v>
      </c>
      <c r="V141" s="213">
        <f>IF($F141="","",'הזנה לתנאי סף'!O141)</f>
        <v>1</v>
      </c>
      <c r="W141" s="109"/>
      <c r="X141" s="109"/>
      <c r="Y141" s="109"/>
      <c r="Z141" s="214" t="str">
        <f t="shared" si="16"/>
        <v>בדוק נתוני הזנה</v>
      </c>
      <c r="AA141" s="213" t="str">
        <f>IF(OR($F141="",V141=0),"",IF(V141=1,IF(COUNTBLANK(W141:X141)&gt;0,$AG$2,IF(OR(Z141&lt;='פרמטרים לקריטריונים'!$C$27,X141&gt;W141),"",X141-W141))))</f>
        <v>בדוק נתוני הזנה</v>
      </c>
      <c r="AB141" s="214">
        <f t="shared" si="20"/>
        <v>1</v>
      </c>
      <c r="AC141" s="225" t="str">
        <f>IF(OR(AB141="",U141=1),"",IF(OR(COUNTBLANK(W141:Y141)&gt;0,AB141&gt;='פרמטרים לקריטריונים'!$E$54),'פרמטרים לקריטריונים'!$F$54,INDEX('פרמטרים לקריטריונים'!$F$49:$F$54,MATCH(AB141,'פרמטרים לקריטריונים'!$E$49:$E$54,1))))</f>
        <v/>
      </c>
      <c r="AD141" s="213" t="str">
        <f t="shared" si="17"/>
        <v/>
      </c>
      <c r="AE141" s="213">
        <f t="shared" si="18"/>
        <v>12924.945993965746</v>
      </c>
      <c r="AG141" s="175">
        <f t="shared" si="21"/>
        <v>1</v>
      </c>
    </row>
    <row r="142" spans="1:33" ht="15.75" x14ac:dyDescent="0.2">
      <c r="A142" s="206">
        <f t="shared" si="19"/>
        <v>112</v>
      </c>
      <c r="B142" s="88">
        <f>IF($F142="","",'הזנה לתנאי סף'!C142)</f>
        <v>1001346660</v>
      </c>
      <c r="C142" s="88">
        <f>IF($F142="","",'הזנה לתנאי סף'!D142)</f>
        <v>1001262391</v>
      </c>
      <c r="D142" s="88">
        <f>IF($F142="","",'הזנה לתנאי סף'!E142)</f>
        <v>40000448</v>
      </c>
      <c r="E142" s="88">
        <f>IF($F142="","",'הזנה לתנאי סף'!F142)</f>
        <v>20000238</v>
      </c>
      <c r="F142" s="88" t="str">
        <f>IF(OR('הזנה לתנאי סף'!G142="",'הזנה לתנאי סף'!BL142&lt;&gt;1),"",'הזנה לתנאי סף'!G142)</f>
        <v>עכו</v>
      </c>
      <c r="G142" s="88" t="str">
        <f>IF($F142="","",'הזנה לתנאי סף'!H142)</f>
        <v>המרכז לתיאטרון של עכו</v>
      </c>
      <c r="H142" s="88" t="str">
        <f>IF($F142="","",'הזנה לתנאי סף'!I142)</f>
        <v>תיאטרון</v>
      </c>
      <c r="I142" s="109">
        <v>1494987</v>
      </c>
      <c r="J142" s="213">
        <f>IF($F142="","",'הזנה לתנאי סף'!S142)</f>
        <v>627462</v>
      </c>
      <c r="K142" s="109">
        <v>0</v>
      </c>
      <c r="L142" s="213">
        <f t="shared" si="12"/>
        <v>2122449</v>
      </c>
      <c r="M142" s="213">
        <f>IF($F142="","",IF(L142='הזנה לתנאי סף'!R142,1,0))</f>
        <v>1</v>
      </c>
      <c r="N142" s="214">
        <f t="shared" si="13"/>
        <v>0.70436886822722244</v>
      </c>
      <c r="O142" s="214">
        <f t="shared" si="22"/>
        <v>0.29563113177277756</v>
      </c>
      <c r="P142" s="109">
        <v>2706500</v>
      </c>
      <c r="Q142" s="213">
        <f>IF($F142="","",IFERROR(IF(P142&gt;0,'פרמטרים לקריטריונים'!$C$25*P142*O142,$AG$2),""))</f>
        <v>240037.69744290673</v>
      </c>
      <c r="R142" s="213">
        <f>IF($F142="","",IFERROR('פרמטרים לקריטריונים'!$C$26*Q142,""))</f>
        <v>59025.663305632799</v>
      </c>
      <c r="S142" s="214">
        <f t="shared" si="14"/>
        <v>8.7476941355046651E-4</v>
      </c>
      <c r="T142" s="213">
        <f t="shared" si="15"/>
        <v>43738.470677523328</v>
      </c>
      <c r="U142" s="213">
        <f>IF($F142="","",'הזנה לתנאי סף'!N142)</f>
        <v>0</v>
      </c>
      <c r="V142" s="213">
        <f>IF($F142="","",'הזנה לתנאי סף'!O142)</f>
        <v>1</v>
      </c>
      <c r="W142" s="109">
        <v>0</v>
      </c>
      <c r="X142" s="109">
        <v>0</v>
      </c>
      <c r="Y142" s="109">
        <v>1</v>
      </c>
      <c r="Z142" s="214">
        <f t="shared" si="16"/>
        <v>0</v>
      </c>
      <c r="AA142" s="213" t="str">
        <f>IF(OR($F142="",V142=0),"",IF(V142=1,IF(COUNTBLANK(W142:X142)&gt;0,$AG$2,IF(OR(Z142&lt;='פרמטרים לקריטריונים'!$C$27,X142&gt;W142),"",X142-W142))))</f>
        <v/>
      </c>
      <c r="AB142" s="214" t="str">
        <f t="shared" si="20"/>
        <v/>
      </c>
      <c r="AC142" s="225" t="str">
        <f>IF(OR(AB142="",U142=1),"",IF(OR(COUNTBLANK(W142:Y142)&gt;0,AB142&gt;='פרמטרים לקריטריונים'!$E$54),'פרמטרים לקריטריונים'!$F$54,INDEX('פרמטרים לקריטריונים'!$F$49:$F$54,MATCH(AB142,'פרמטרים לקריטריונים'!$E$49:$E$54,1))))</f>
        <v/>
      </c>
      <c r="AD142" s="213" t="str">
        <f t="shared" si="17"/>
        <v/>
      </c>
      <c r="AE142" s="213">
        <f t="shared" si="18"/>
        <v>43738.470677523328</v>
      </c>
      <c r="AG142" s="175">
        <f t="shared" si="21"/>
        <v>0</v>
      </c>
    </row>
    <row r="143" spans="1:33" ht="15.75" x14ac:dyDescent="0.2">
      <c r="A143" s="206">
        <f t="shared" si="19"/>
        <v>113</v>
      </c>
      <c r="B143" s="88">
        <f>IF($F143="","",'הזנה לתנאי סף'!C143)</f>
        <v>1001347313</v>
      </c>
      <c r="C143" s="88">
        <f>IF($F143="","",'הזנה לתנאי סף'!D143)</f>
        <v>1001270594</v>
      </c>
      <c r="D143" s="88">
        <f>IF($F143="","",'הזנה לתנאי סף'!E143)</f>
        <v>40002883</v>
      </c>
      <c r="E143" s="88">
        <f>IF($F143="","",'הזנה לתנאי סף'!F143)</f>
        <v>20000254</v>
      </c>
      <c r="F143" s="88" t="str">
        <f>IF(OR('הזנה לתנאי סף'!G143="",'הזנה לתנאי סף'!BL143&lt;&gt;1),"",'הזנה לתנאי סף'!G143)</f>
        <v>באר שבע</v>
      </c>
      <c r="G143" s="88" t="str">
        <f>IF($F143="","",'הזנה לתנאי סף'!H143)</f>
        <v>בת-דור באר-שבע - מרכז עירוני לאמנות</v>
      </c>
      <c r="H143" s="88" t="str">
        <f>IF($F143="","",'הזנה לתנאי סף'!I143)</f>
        <v>מחול</v>
      </c>
      <c r="I143" s="109">
        <v>3589940</v>
      </c>
      <c r="J143" s="213">
        <f>IF($F143="","",'הזנה לתנאי סף'!S143)</f>
        <v>1560393</v>
      </c>
      <c r="K143" s="109">
        <v>0</v>
      </c>
      <c r="L143" s="213">
        <f t="shared" si="12"/>
        <v>5150333</v>
      </c>
      <c r="M143" s="213">
        <f>IF($F143="","",IF(L143='הזנה לתנאי סף'!R143,1,0))</f>
        <v>1</v>
      </c>
      <c r="N143" s="214">
        <f t="shared" si="13"/>
        <v>0.69703065801764663</v>
      </c>
      <c r="O143" s="214">
        <f t="shared" si="22"/>
        <v>0.30296934198235337</v>
      </c>
      <c r="P143" s="109">
        <v>4995299</v>
      </c>
      <c r="Q143" s="213">
        <f>IF($F143="","",IFERROR(IF(P143&gt;0,'פרמטרים לקריטריונים'!$C$25*P143*O143,$AG$2),""))</f>
        <v>454026.73531053233</v>
      </c>
      <c r="R143" s="213">
        <f>IF($F143="","",IFERROR('פרמטרים לקריטריונים'!$C$26*Q143,""))</f>
        <v>111645.91851898335</v>
      </c>
      <c r="S143" s="214">
        <f t="shared" si="14"/>
        <v>1.6546096934557301E-3</v>
      </c>
      <c r="T143" s="213">
        <f t="shared" si="15"/>
        <v>82730.484672786508</v>
      </c>
      <c r="U143" s="213">
        <f>IF($F143="","",'הזנה לתנאי סף'!N143)</f>
        <v>1</v>
      </c>
      <c r="V143" s="213">
        <f>IF($F143="","",'הזנה לתנאי סף'!O143)</f>
        <v>1</v>
      </c>
      <c r="W143" s="109"/>
      <c r="X143" s="109"/>
      <c r="Y143" s="109"/>
      <c r="Z143" s="214" t="str">
        <f t="shared" si="16"/>
        <v>בדוק נתוני הזנה</v>
      </c>
      <c r="AA143" s="213" t="str">
        <f>IF(OR($F143="",V143=0),"",IF(V143=1,IF(COUNTBLANK(W143:X143)&gt;0,$AG$2,IF(OR(Z143&lt;='פרמטרים לקריטריונים'!$C$27,X143&gt;W143),"",X143-W143))))</f>
        <v>בדוק נתוני הזנה</v>
      </c>
      <c r="AB143" s="214">
        <f t="shared" si="20"/>
        <v>0</v>
      </c>
      <c r="AC143" s="225" t="str">
        <f>IF(OR(AB143="",U143=1),"",IF(OR(COUNTBLANK(W143:Y143)&gt;0,AB143&gt;='פרמטרים לקריטריונים'!$E$54),'פרמטרים לקריטריונים'!$F$54,INDEX('פרמטרים לקריטריונים'!$F$49:$F$54,MATCH(AB143,'פרמטרים לקריטריונים'!$E$49:$E$54,1))))</f>
        <v/>
      </c>
      <c r="AD143" s="213" t="str">
        <f t="shared" si="17"/>
        <v/>
      </c>
      <c r="AE143" s="213">
        <f t="shared" si="18"/>
        <v>82730.484672786508</v>
      </c>
      <c r="AG143" s="175">
        <f t="shared" si="21"/>
        <v>1</v>
      </c>
    </row>
    <row r="144" spans="1:33" ht="15.75" x14ac:dyDescent="0.2">
      <c r="A144" s="206">
        <f t="shared" si="19"/>
        <v>114</v>
      </c>
      <c r="B144" s="88">
        <f>IF($F144="","",'הזנה לתנאי סף'!C144)</f>
        <v>1001346798</v>
      </c>
      <c r="C144" s="88">
        <f>IF($F144="","",'הזנה לתנאי סף'!D144)</f>
        <v>1001266509</v>
      </c>
      <c r="D144" s="88">
        <f>IF($F144="","",'הזנה לתנאי סף'!E144)</f>
        <v>40000709</v>
      </c>
      <c r="E144" s="88">
        <f>IF($F144="","",'הזנה לתנאי סף'!F144)</f>
        <v>20000159</v>
      </c>
      <c r="F144" s="88" t="str">
        <f>IF(OR('הזנה לתנאי סף'!G144="",'הזנה לתנאי סף'!BL144&lt;&gt;1),"",'הזנה לתנאי סף'!G144)</f>
        <v>ירושלים</v>
      </c>
      <c r="G144" s="88" t="str">
        <f>IF($F144="","",'הזנה לתנאי סף'!H144)</f>
        <v>צוללת צהובה - המקום למוסיקה בירושלים</v>
      </c>
      <c r="H144" s="88" t="str">
        <f>IF($F144="","",'הזנה לתנאי סף'!I144)</f>
        <v>מרכזי מוסיקה</v>
      </c>
      <c r="I144" s="109">
        <v>2035057</v>
      </c>
      <c r="J144" s="213">
        <f>IF($F144="","",'הזנה לתנאי סף'!S144)</f>
        <v>2941299</v>
      </c>
      <c r="K144" s="109">
        <v>0</v>
      </c>
      <c r="L144" s="213">
        <f t="shared" si="12"/>
        <v>4976356</v>
      </c>
      <c r="M144" s="213">
        <f>IF($F144="","",IF(L144='הזנה לתנאי סף'!R144,1,0))</f>
        <v>1</v>
      </c>
      <c r="N144" s="214">
        <f t="shared" si="13"/>
        <v>0.40894522015707879</v>
      </c>
      <c r="O144" s="214">
        <f t="shared" si="22"/>
        <v>0.59105477984292121</v>
      </c>
      <c r="P144" s="109">
        <v>4789186</v>
      </c>
      <c r="Q144" s="213">
        <f>IF($F144="","",IFERROR(IF(P144&gt;0,'פרמטרים לקריטריונים'!$C$25*P144*O144,$AG$2),""))</f>
        <v>849201.38305704016</v>
      </c>
      <c r="R144" s="213">
        <f>IF($F144="","",IFERROR('פרמטרים לקריטריונים'!$C$26*Q144,""))</f>
        <v>208820.01222714101</v>
      </c>
      <c r="S144" s="214">
        <f t="shared" si="14"/>
        <v>3.0947447161700139E-3</v>
      </c>
      <c r="T144" s="213">
        <f t="shared" si="15"/>
        <v>154737.2358085007</v>
      </c>
      <c r="U144" s="213">
        <f>IF($F144="","",'הזנה לתנאי סף'!N144)</f>
        <v>1</v>
      </c>
      <c r="V144" s="213">
        <f>IF($F144="","",'הזנה לתנאי סף'!O144)</f>
        <v>1</v>
      </c>
      <c r="W144" s="109"/>
      <c r="X144" s="109"/>
      <c r="Y144" s="109"/>
      <c r="Z144" s="214" t="str">
        <f t="shared" si="16"/>
        <v>בדוק נתוני הזנה</v>
      </c>
      <c r="AA144" s="213" t="str">
        <f>IF(OR($F144="",V144=0),"",IF(V144=1,IF(COUNTBLANK(W144:X144)&gt;0,$AG$2,IF(OR(Z144&lt;='פרמטרים לקריטריונים'!$C$27,X144&gt;W144),"",X144-W144))))</f>
        <v>בדוק נתוני הזנה</v>
      </c>
      <c r="AB144" s="214">
        <f t="shared" si="20"/>
        <v>1</v>
      </c>
      <c r="AC144" s="225" t="str">
        <f>IF(OR(AB144="",U144=1),"",IF(OR(COUNTBLANK(W144:Y144)&gt;0,AB144&gt;='פרמטרים לקריטריונים'!$E$54),'פרמטרים לקריטריונים'!$F$54,INDEX('פרמטרים לקריטריונים'!$F$49:$F$54,MATCH(AB144,'פרמטרים לקריטריונים'!$E$49:$E$54,1))))</f>
        <v/>
      </c>
      <c r="AD144" s="213" t="str">
        <f t="shared" si="17"/>
        <v/>
      </c>
      <c r="AE144" s="213">
        <f t="shared" si="18"/>
        <v>154737.2358085007</v>
      </c>
      <c r="AG144" s="175">
        <f t="shared" si="21"/>
        <v>1</v>
      </c>
    </row>
    <row r="145" spans="1:33" ht="15.75" x14ac:dyDescent="0.2">
      <c r="A145" s="206">
        <f t="shared" si="19"/>
        <v>115</v>
      </c>
      <c r="B145" s="88">
        <f>IF($F145="","",'הזנה לתנאי סף'!C145)</f>
        <v>1001346657</v>
      </c>
      <c r="C145" s="88">
        <f>IF($F145="","",'הזנה לתנאי סף'!D145)</f>
        <v>1001288870</v>
      </c>
      <c r="D145" s="88">
        <f>IF($F145="","",'הזנה לתנאי סף'!E145)</f>
        <v>40221446</v>
      </c>
      <c r="E145" s="88">
        <f>IF($F145="","",'הזנה לתנאי סף'!F145)</f>
        <v>20000201</v>
      </c>
      <c r="F145" s="88" t="str">
        <f>IF(OR('הזנה לתנאי סף'!G145="",'הזנה לתנאי סף'!BL145&lt;&gt;1),"",'הזנה לתנאי סף'!G145)</f>
        <v>תל אביב -יפו</v>
      </c>
      <c r="G145" s="88" t="str">
        <f>IF($F145="","",'הזנה לתנאי סף'!H145)</f>
        <v>תאטרון מחול אבשלום פולק</v>
      </c>
      <c r="H145" s="88" t="str">
        <f>IF($F145="","",'הזנה לתנאי סף'!I145)</f>
        <v>תיאטרון</v>
      </c>
      <c r="I145" s="109">
        <v>1744770</v>
      </c>
      <c r="J145" s="213">
        <f>IF($F145="","",'הזנה לתנאי סף'!S145)</f>
        <v>2321974</v>
      </c>
      <c r="K145" s="109">
        <v>0</v>
      </c>
      <c r="L145" s="213">
        <f t="shared" si="12"/>
        <v>4066744</v>
      </c>
      <c r="M145" s="213">
        <f>IF($F145="","",IF(L145='הזנה לתנאי סף'!R145,1,0))</f>
        <v>1</v>
      </c>
      <c r="N145" s="214">
        <f t="shared" si="13"/>
        <v>0.42903364460610255</v>
      </c>
      <c r="O145" s="214">
        <f t="shared" si="22"/>
        <v>0.57096635539389751</v>
      </c>
      <c r="P145" s="109">
        <v>4152063</v>
      </c>
      <c r="Q145" s="213">
        <f>IF($F145="","",IFERROR(IF(P145&gt;0,'פרמטרים לקריטריונים'!$C$25*P145*O145,$AG$2),""))</f>
        <v>711206.4835427556</v>
      </c>
      <c r="R145" s="213">
        <f>IF($F145="","",IFERROR('פרמטרים לקריטריונים'!$C$26*Q145,""))</f>
        <v>174886.8402154317</v>
      </c>
      <c r="S145" s="214">
        <f t="shared" si="14"/>
        <v>2.591849885037174E-3</v>
      </c>
      <c r="T145" s="213">
        <f t="shared" si="15"/>
        <v>129592.4942518587</v>
      </c>
      <c r="U145" s="213">
        <f>IF($F145="","",'הזנה לתנאי סף'!N145)</f>
        <v>1</v>
      </c>
      <c r="V145" s="213">
        <f>IF($F145="","",'הזנה לתנאי סף'!O145)</f>
        <v>1</v>
      </c>
      <c r="W145" s="109"/>
      <c r="X145" s="109"/>
      <c r="Y145" s="109"/>
      <c r="Z145" s="214" t="str">
        <f t="shared" si="16"/>
        <v>בדוק נתוני הזנה</v>
      </c>
      <c r="AA145" s="213" t="str">
        <f>IF(OR($F145="",V145=0),"",IF(V145=1,IF(COUNTBLANK(W145:X145)&gt;0,$AG$2,IF(OR(Z145&lt;='פרמטרים לקריטריונים'!$C$27,X145&gt;W145),"",X145-W145))))</f>
        <v>בדוק נתוני הזנה</v>
      </c>
      <c r="AB145" s="214">
        <f t="shared" si="20"/>
        <v>0</v>
      </c>
      <c r="AC145" s="225" t="str">
        <f>IF(OR(AB145="",U145=1),"",IF(OR(COUNTBLANK(W145:Y145)&gt;0,AB145&gt;='פרמטרים לקריטריונים'!$E$54),'פרמטרים לקריטריונים'!$F$54,INDEX('פרמטרים לקריטריונים'!$F$49:$F$54,MATCH(AB145,'פרמטרים לקריטריונים'!$E$49:$E$54,1))))</f>
        <v/>
      </c>
      <c r="AD145" s="213" t="str">
        <f t="shared" si="17"/>
        <v/>
      </c>
      <c r="AE145" s="213">
        <f t="shared" si="18"/>
        <v>129592.4942518587</v>
      </c>
      <c r="AG145" s="175">
        <f t="shared" si="21"/>
        <v>1</v>
      </c>
    </row>
    <row r="146" spans="1:33" ht="15.75" x14ac:dyDescent="0.2">
      <c r="A146" s="206">
        <f t="shared" si="19"/>
        <v>116</v>
      </c>
      <c r="B146" s="88">
        <f>IF($F146="","",'הזנה לתנאי סף'!C146)</f>
        <v>1001350382</v>
      </c>
      <c r="C146" s="88">
        <f>IF($F146="","",'הזנה לתנאי סף'!D146)</f>
        <v>1001266978</v>
      </c>
      <c r="D146" s="88">
        <f>IF($F146="","",'הזנה לתנאי סף'!E146)</f>
        <v>40000422</v>
      </c>
      <c r="E146" s="88">
        <f>IF($F146="","",'הזנה לתנאי סף'!F146)</f>
        <v>20000201</v>
      </c>
      <c r="F146" s="88" t="str">
        <f>IF(OR('הזנה לתנאי סף'!G146="",'הזנה לתנאי סף'!BL146&lt;&gt;1),"",'הזנה לתנאי סף'!G146)</f>
        <v>תל אביב -יפו</v>
      </c>
      <c r="G146" s="88" t="str">
        <f>IF($F146="","",'הזנה לתנאי סף'!H146)</f>
        <v>מוזיאון נחום גוטמן</v>
      </c>
      <c r="H146" s="88" t="str">
        <f>IF($F146="","",'הזנה לתנאי סף'!I146)</f>
        <v>מוזיאונים</v>
      </c>
      <c r="I146" s="109">
        <v>1281992</v>
      </c>
      <c r="J146" s="213">
        <f>IF($F146="","",'הזנה לתנאי סף'!S146)</f>
        <v>1139680</v>
      </c>
      <c r="K146" s="109">
        <v>0</v>
      </c>
      <c r="L146" s="213">
        <f t="shared" si="12"/>
        <v>2421672</v>
      </c>
      <c r="M146" s="213">
        <f>IF($F146="","",IF(L146='הזנה לתנאי סף'!R146,1,0))</f>
        <v>1</v>
      </c>
      <c r="N146" s="214">
        <f t="shared" si="13"/>
        <v>0.52938300479998945</v>
      </c>
      <c r="O146" s="214">
        <f t="shared" si="22"/>
        <v>0.47061699520001055</v>
      </c>
      <c r="P146" s="109">
        <v>2560426</v>
      </c>
      <c r="Q146" s="213">
        <f>IF($F146="","",IFERROR(IF(P146&gt;0,'פרמטרים לקריטריונים'!$C$25*P146*O146,$AG$2),""))</f>
        <v>361493.9971655946</v>
      </c>
      <c r="R146" s="213">
        <f>IF($F146="","",IFERROR('פרמטרים לקריטריונים'!$C$26*Q146,""))</f>
        <v>88891.966516129818</v>
      </c>
      <c r="S146" s="214">
        <f t="shared" si="14"/>
        <v>1.3173926232056756E-3</v>
      </c>
      <c r="T146" s="213">
        <f t="shared" si="15"/>
        <v>65869.631160283781</v>
      </c>
      <c r="U146" s="213">
        <f>IF($F146="","",'הזנה לתנאי סף'!N146)</f>
        <v>1</v>
      </c>
      <c r="V146" s="213">
        <f>IF($F146="","",'הזנה לתנאי סף'!O146)</f>
        <v>1</v>
      </c>
      <c r="W146" s="109"/>
      <c r="X146" s="109"/>
      <c r="Y146" s="109"/>
      <c r="Z146" s="214" t="str">
        <f t="shared" si="16"/>
        <v>בדוק נתוני הזנה</v>
      </c>
      <c r="AA146" s="213" t="str">
        <f>IF(OR($F146="",V146=0),"",IF(V146=1,IF(COUNTBLANK(W146:X146)&gt;0,$AG$2,IF(OR(Z146&lt;='פרמטרים לקריטריונים'!$C$27,X146&gt;W146),"",X146-W146))))</f>
        <v>בדוק נתוני הזנה</v>
      </c>
      <c r="AB146" s="214">
        <f t="shared" si="20"/>
        <v>0</v>
      </c>
      <c r="AC146" s="225" t="str">
        <f>IF(OR(AB146="",U146=1),"",IF(OR(COUNTBLANK(W146:Y146)&gt;0,AB146&gt;='פרמטרים לקריטריונים'!$E$54),'פרמטרים לקריטריונים'!$F$54,INDEX('פרמטרים לקריטריונים'!$F$49:$F$54,MATCH(AB146,'פרמטרים לקריטריונים'!$E$49:$E$54,1))))</f>
        <v/>
      </c>
      <c r="AD146" s="213" t="str">
        <f t="shared" si="17"/>
        <v/>
      </c>
      <c r="AE146" s="213">
        <f t="shared" si="18"/>
        <v>65869.631160283781</v>
      </c>
      <c r="AG146" s="175">
        <f t="shared" si="21"/>
        <v>1</v>
      </c>
    </row>
    <row r="147" spans="1:33" ht="15.75" x14ac:dyDescent="0.2">
      <c r="A147" s="206">
        <f t="shared" si="19"/>
        <v>117</v>
      </c>
      <c r="B147" s="88">
        <f>IF($F147="","",'הזנה לתנאי סף'!C147)</f>
        <v>1001347845</v>
      </c>
      <c r="C147" s="88">
        <f>IF($F147="","",'הזנה לתנאי סף'!D147)</f>
        <v>1001268850</v>
      </c>
      <c r="D147" s="88">
        <f>IF($F147="","",'הזנה לתנאי סף'!E147)</f>
        <v>40216081</v>
      </c>
      <c r="E147" s="88">
        <f>IF($F147="","",'הזנה לתנאי סף'!F147)</f>
        <v>20000253</v>
      </c>
      <c r="F147" s="88" t="str">
        <f>IF(OR('הזנה לתנאי סף'!G147="",'הזנה לתנאי סף'!BL147&lt;&gt;1),"",'הזנה לתנאי סף'!G147)</f>
        <v>טמרה</v>
      </c>
      <c r="G147" s="88" t="str">
        <f>IF($F147="","",'הזנה לתנאי סף'!H147)</f>
        <v>אלאג'יאל טמרה (ע"ר)</v>
      </c>
      <c r="H147" s="88" t="str">
        <f>IF($F147="","",'הזנה לתנאי סף'!I147)</f>
        <v>תיאטרון</v>
      </c>
      <c r="I147" s="109">
        <v>1017308</v>
      </c>
      <c r="J147" s="213">
        <f>IF($F147="","",'הזנה לתנאי סף'!S147)</f>
        <v>707088</v>
      </c>
      <c r="K147" s="109">
        <v>1</v>
      </c>
      <c r="L147" s="213">
        <f t="shared" si="12"/>
        <v>1724397</v>
      </c>
      <c r="M147" s="213">
        <f>IF($F147="","",IF(L147='הזנה לתנאי סף'!R147,1,0))</f>
        <v>1</v>
      </c>
      <c r="N147" s="214">
        <f t="shared" si="13"/>
        <v>0.58994999411388449</v>
      </c>
      <c r="O147" s="214">
        <f t="shared" si="22"/>
        <v>0.41005000588611551</v>
      </c>
      <c r="P147" s="109">
        <v>1734414</v>
      </c>
      <c r="Q147" s="213">
        <f>IF($F147="","",IFERROR(IF(P147&gt;0,'פרמטרים לקריטריונים'!$C$25*P147*O147,$AG$2),""))</f>
        <v>213358.94127268833</v>
      </c>
      <c r="R147" s="213">
        <f>IF($F147="","",IFERROR('פרמטרים לקריטריונים'!$C$26*Q147,""))</f>
        <v>52465.313427710244</v>
      </c>
      <c r="S147" s="214">
        <f t="shared" si="14"/>
        <v>7.7754401879834116E-4</v>
      </c>
      <c r="T147" s="213">
        <f t="shared" si="15"/>
        <v>38877.200939917057</v>
      </c>
      <c r="U147" s="213">
        <f>IF($F147="","",'הזנה לתנאי סף'!N147)</f>
        <v>0</v>
      </c>
      <c r="V147" s="213">
        <f>IF($F147="","",'הזנה לתנאי סף'!O147)</f>
        <v>1</v>
      </c>
      <c r="W147" s="109">
        <v>0</v>
      </c>
      <c r="X147" s="109">
        <v>0</v>
      </c>
      <c r="Y147" s="109">
        <v>1</v>
      </c>
      <c r="Z147" s="214">
        <f t="shared" si="16"/>
        <v>0</v>
      </c>
      <c r="AA147" s="213" t="str">
        <f>IF(OR($F147="",V147=0),"",IF(V147=1,IF(COUNTBLANK(W147:X147)&gt;0,$AG$2,IF(OR(Z147&lt;='פרמטרים לקריטריונים'!$C$27,X147&gt;W147),"",X147-W147))))</f>
        <v/>
      </c>
      <c r="AB147" s="214" t="str">
        <f t="shared" si="20"/>
        <v/>
      </c>
      <c r="AC147" s="225" t="str">
        <f>IF(OR(AB147="",U147=1),"",IF(OR(COUNTBLANK(W147:Y147)&gt;0,AB147&gt;='פרמטרים לקריטריונים'!$E$54),'פרמטרים לקריטריונים'!$F$54,INDEX('פרמטרים לקריטריונים'!$F$49:$F$54,MATCH(AB147,'פרמטרים לקריטריונים'!$E$49:$E$54,1))))</f>
        <v/>
      </c>
      <c r="AD147" s="213" t="str">
        <f t="shared" si="17"/>
        <v/>
      </c>
      <c r="AE147" s="213">
        <f t="shared" si="18"/>
        <v>38877.200939917057</v>
      </c>
      <c r="AG147" s="175">
        <f t="shared" si="21"/>
        <v>0</v>
      </c>
    </row>
    <row r="148" spans="1:33" ht="15.75" x14ac:dyDescent="0.2">
      <c r="A148" s="206">
        <f t="shared" si="19"/>
        <v>118</v>
      </c>
      <c r="B148" s="88">
        <f>IF($F148="","",'הזנה לתנאי סף'!C148)</f>
        <v>1001350385</v>
      </c>
      <c r="C148" s="88">
        <f>IF($F148="","",'הזנה לתנאי סף'!D148)</f>
        <v>1001271278</v>
      </c>
      <c r="D148" s="88">
        <f>IF($F148="","",'הזנה לתנאי סף'!E148)</f>
        <v>40216101</v>
      </c>
      <c r="E148" s="88">
        <f>IF($F148="","",'הזנה לתנאי סף'!F148)</f>
        <v>20000186</v>
      </c>
      <c r="F148" s="88" t="str">
        <f>IF(OR('הזנה לתנאי סף'!G148="",'הזנה לתנאי סף'!BL148&lt;&gt;1),"",'הזנה לתנאי סף'!G148)</f>
        <v>לב השרון</v>
      </c>
      <c r="G148" s="88" t="str">
        <f>IF($F148="","",'הזנה לתנאי סף'!H148)</f>
        <v>איסמבל קולות נשים</v>
      </c>
      <c r="H148" s="88" t="str">
        <f>IF($F148="","",'הזנה לתנאי סף'!I148)</f>
        <v>מקהלות</v>
      </c>
      <c r="I148" s="109">
        <v>75000</v>
      </c>
      <c r="J148" s="213">
        <f>IF($F148="","",'הזנה לתנאי סף'!S148)</f>
        <v>58597</v>
      </c>
      <c r="K148" s="109">
        <v>0</v>
      </c>
      <c r="L148" s="213">
        <f t="shared" si="12"/>
        <v>133597</v>
      </c>
      <c r="M148" s="213">
        <f>IF($F148="","",IF(L148='הזנה לתנאי סף'!R148,1,0))</f>
        <v>1</v>
      </c>
      <c r="N148" s="214">
        <f t="shared" si="13"/>
        <v>0.56138985156852328</v>
      </c>
      <c r="O148" s="214">
        <f t="shared" si="22"/>
        <v>0.43861014843147672</v>
      </c>
      <c r="P148" s="109">
        <v>137213</v>
      </c>
      <c r="Q148" s="213">
        <f>IF($F148="","",IFERROR(IF(P148&gt;0,'פרמטרים לקריטריונים'!$C$25*P148*O148,$AG$2),""))</f>
        <v>18054.904289018465</v>
      </c>
      <c r="R148" s="213">
        <f>IF($F148="","",IFERROR('פרמטרים לקריטריונים'!$C$26*Q148,""))</f>
        <v>4439.730562873393</v>
      </c>
      <c r="S148" s="214">
        <f t="shared" si="14"/>
        <v>6.5797490164523344E-5</v>
      </c>
      <c r="T148" s="213">
        <f t="shared" si="15"/>
        <v>3289.8745082261671</v>
      </c>
      <c r="U148" s="213">
        <f>IF($F148="","",'הזנה לתנאי סף'!N148)</f>
        <v>0</v>
      </c>
      <c r="V148" s="213">
        <f>IF($F148="","",'הזנה לתנאי סף'!O148)</f>
        <v>1</v>
      </c>
      <c r="W148" s="109">
        <v>0</v>
      </c>
      <c r="X148" s="109">
        <v>0</v>
      </c>
      <c r="Y148" s="109">
        <v>1</v>
      </c>
      <c r="Z148" s="214">
        <f t="shared" si="16"/>
        <v>0</v>
      </c>
      <c r="AA148" s="213" t="str">
        <f>IF(OR($F148="",V148=0),"",IF(V148=1,IF(COUNTBLANK(W148:X148)&gt;0,$AG$2,IF(OR(Z148&lt;='פרמטרים לקריטריונים'!$C$27,X148&gt;W148),"",X148-W148))))</f>
        <v/>
      </c>
      <c r="AB148" s="214" t="str">
        <f t="shared" si="20"/>
        <v/>
      </c>
      <c r="AC148" s="225" t="str">
        <f>IF(OR(AB148="",U148=1),"",IF(OR(COUNTBLANK(W148:Y148)&gt;0,AB148&gt;='פרמטרים לקריטריונים'!$E$54),'פרמטרים לקריטריונים'!$F$54,INDEX('פרמטרים לקריטריונים'!$F$49:$F$54,MATCH(AB148,'פרמטרים לקריטריונים'!$E$49:$E$54,1))))</f>
        <v/>
      </c>
      <c r="AD148" s="213" t="str">
        <f t="shared" si="17"/>
        <v/>
      </c>
      <c r="AE148" s="213">
        <f t="shared" si="18"/>
        <v>3289.8745082261671</v>
      </c>
      <c r="AG148" s="175">
        <f t="shared" si="21"/>
        <v>0</v>
      </c>
    </row>
    <row r="149" spans="1:33" ht="15.75" x14ac:dyDescent="0.2">
      <c r="A149" s="206">
        <f t="shared" si="19"/>
        <v>119</v>
      </c>
      <c r="B149" s="88">
        <f>IF($F149="","",'הזנה לתנאי סף'!C149)</f>
        <v>1001349532</v>
      </c>
      <c r="C149" s="88">
        <f>IF($F149="","",'הזנה לתנאי סף'!D149)</f>
        <v>1001277350</v>
      </c>
      <c r="D149" s="88">
        <f>IF($F149="","",'הזנה לתנאי סף'!E149)</f>
        <v>40000449</v>
      </c>
      <c r="E149" s="88">
        <f>IF($F149="","",'הזנה לתנאי סף'!F149)</f>
        <v>20000201</v>
      </c>
      <c r="F149" s="88" t="str">
        <f>IF(OR('הזנה לתנאי סף'!G149="",'הזנה לתנאי סף'!BL149&lt;&gt;1),"",'הזנה לתנאי סף'!G149)</f>
        <v>תל אביב -יפו</v>
      </c>
      <c r="G149" s="88" t="str">
        <f>IF($F149="","",'הזנה לתנאי סף'!H149)</f>
        <v>תיאטרון מחול ענבל</v>
      </c>
      <c r="H149" s="88" t="str">
        <f>IF($F149="","",'הזנה לתנאי סף'!I149)</f>
        <v>מחול</v>
      </c>
      <c r="I149" s="109">
        <v>1200000</v>
      </c>
      <c r="J149" s="213">
        <f>IF($F149="","",'הזנה לתנאי סף'!S149)</f>
        <v>606689</v>
      </c>
      <c r="K149" s="109">
        <v>0</v>
      </c>
      <c r="L149" s="213">
        <f t="shared" si="12"/>
        <v>1806689</v>
      </c>
      <c r="M149" s="213">
        <f>IF($F149="","",IF(L149='הזנה לתנאי סף'!R149,1,0))</f>
        <v>1</v>
      </c>
      <c r="N149" s="214">
        <f t="shared" si="13"/>
        <v>0.66419843149540403</v>
      </c>
      <c r="O149" s="214">
        <f t="shared" si="22"/>
        <v>0.33580156850459597</v>
      </c>
      <c r="P149" s="109">
        <v>1762102</v>
      </c>
      <c r="Q149" s="213">
        <f>IF($F149="","",IFERROR(IF(P149&gt;0,'פרמטרים לקריטריונים'!$C$25*P149*O149,$AG$2),""))</f>
        <v>177514.98463952568</v>
      </c>
      <c r="R149" s="213">
        <f>IF($F149="","",IFERROR('פרמטרים לקריטריונים'!$C$26*Q149,""))</f>
        <v>43651.2257310309</v>
      </c>
      <c r="S149" s="214">
        <f t="shared" si="14"/>
        <v>6.4691788274828202E-4</v>
      </c>
      <c r="T149" s="213">
        <f t="shared" si="15"/>
        <v>32345.8941374141</v>
      </c>
      <c r="U149" s="213">
        <f>IF($F149="","",'הזנה לתנאי סף'!N149)</f>
        <v>1</v>
      </c>
      <c r="V149" s="213">
        <f>IF($F149="","",'הזנה לתנאי סף'!O149)</f>
        <v>1</v>
      </c>
      <c r="W149" s="109"/>
      <c r="X149" s="109"/>
      <c r="Y149" s="109"/>
      <c r="Z149" s="214" t="str">
        <f t="shared" si="16"/>
        <v>בדוק נתוני הזנה</v>
      </c>
      <c r="AA149" s="213" t="str">
        <f>IF(OR($F149="",V149=0),"",IF(V149=1,IF(COUNTBLANK(W149:X149)&gt;0,$AG$2,IF(OR(Z149&lt;='פרמטרים לקריטריונים'!$C$27,X149&gt;W149),"",X149-W149))))</f>
        <v>בדוק נתוני הזנה</v>
      </c>
      <c r="AB149" s="214">
        <f t="shared" si="20"/>
        <v>0</v>
      </c>
      <c r="AC149" s="225" t="str">
        <f>IF(OR(AB149="",U149=1),"",IF(OR(COUNTBLANK(W149:Y149)&gt;0,AB149&gt;='פרמטרים לקריטריונים'!$E$54),'פרמטרים לקריטריונים'!$F$54,INDEX('פרמטרים לקריטריונים'!$F$49:$F$54,MATCH(AB149,'פרמטרים לקריטריונים'!$E$49:$E$54,1))))</f>
        <v/>
      </c>
      <c r="AD149" s="213" t="str">
        <f t="shared" si="17"/>
        <v/>
      </c>
      <c r="AE149" s="213">
        <f t="shared" si="18"/>
        <v>32345.8941374141</v>
      </c>
      <c r="AG149" s="175">
        <f t="shared" si="21"/>
        <v>1</v>
      </c>
    </row>
    <row r="150" spans="1:33" ht="15.75" x14ac:dyDescent="0.2">
      <c r="A150" s="206">
        <f t="shared" si="19"/>
        <v>120</v>
      </c>
      <c r="B150" s="88">
        <f>IF($F150="","",'הזנה לתנאי סף'!C150)</f>
        <v>1001350998</v>
      </c>
      <c r="C150" s="88">
        <f>IF($F150="","",'הזנה לתנאי סף'!D150)</f>
        <v>1001270595</v>
      </c>
      <c r="D150" s="88">
        <f>IF($F150="","",'הזנה לתנאי סף'!E150)</f>
        <v>40002883</v>
      </c>
      <c r="E150" s="88">
        <f>IF($F150="","",'הזנה לתנאי סף'!F150)</f>
        <v>20000254</v>
      </c>
      <c r="F150" s="88" t="str">
        <f>IF(OR('הזנה לתנאי סף'!G150="",'הזנה לתנאי סף'!BL150&lt;&gt;1),"",'הזנה לתנאי סף'!G150)</f>
        <v>באר שבע</v>
      </c>
      <c r="G150" s="88" t="str">
        <f>IF($F150="","",'הזנה לתנאי סף'!H150)</f>
        <v>בת-דור באר-שבע - מרכז עירוני לאמנות</v>
      </c>
      <c r="H150" s="88" t="str">
        <f>IF($F150="","",'הזנה לתנאי סף'!I150)</f>
        <v>מרכזי מחול</v>
      </c>
      <c r="I150" s="109">
        <v>714081</v>
      </c>
      <c r="J150" s="213">
        <f>IF($F150="","",'הזנה לתנאי סף'!S150)</f>
        <v>1534433</v>
      </c>
      <c r="K150" s="109">
        <v>258610</v>
      </c>
      <c r="L150" s="213">
        <f t="shared" si="12"/>
        <v>2507124</v>
      </c>
      <c r="M150" s="213">
        <f>IF($F150="","",IF(L150='הזנה לתנאי סף'!R150,1,0))</f>
        <v>1</v>
      </c>
      <c r="N150" s="214">
        <f t="shared" si="13"/>
        <v>0.28482077472035688</v>
      </c>
      <c r="O150" s="214">
        <f t="shared" si="22"/>
        <v>0.71517922527964317</v>
      </c>
      <c r="P150" s="109">
        <v>2670041</v>
      </c>
      <c r="Q150" s="213">
        <f>IF($F150="","",IFERROR(IF(P150&gt;0,'פרמטרים לקריטריונים'!$C$25*P150*O150,$AG$2),""))</f>
        <v>572867.35615346511</v>
      </c>
      <c r="R150" s="213">
        <f>IF($F150="","",IFERROR('פרמטרים לקריטריונים'!$C$26*Q150,""))</f>
        <v>140869.02200495044</v>
      </c>
      <c r="S150" s="214">
        <f t="shared" si="14"/>
        <v>2.0877005842124719E-3</v>
      </c>
      <c r="T150" s="213">
        <f t="shared" si="15"/>
        <v>104385.02921062359</v>
      </c>
      <c r="U150" s="213">
        <f>IF($F150="","",'הזנה לתנאי סף'!N150)</f>
        <v>1</v>
      </c>
      <c r="V150" s="213">
        <f>IF($F150="","",'הזנה לתנאי סף'!O150)</f>
        <v>1</v>
      </c>
      <c r="W150" s="109"/>
      <c r="X150" s="109"/>
      <c r="Y150" s="109"/>
      <c r="Z150" s="214" t="str">
        <f t="shared" si="16"/>
        <v>בדוק נתוני הזנה</v>
      </c>
      <c r="AA150" s="213" t="str">
        <f>IF(OR($F150="",V150=0),"",IF(V150=1,IF(COUNTBLANK(W150:X150)&gt;0,$AG$2,IF(OR(Z150&lt;='פרמטרים לקריטריונים'!$C$27,X150&gt;W150),"",X150-W150))))</f>
        <v>בדוק נתוני הזנה</v>
      </c>
      <c r="AB150" s="214">
        <f t="shared" si="20"/>
        <v>0</v>
      </c>
      <c r="AC150" s="225" t="str">
        <f>IF(OR(AB150="",U150=1),"",IF(OR(COUNTBLANK(W150:Y150)&gt;0,AB150&gt;='פרמטרים לקריטריונים'!$E$54),'פרמטרים לקריטריונים'!$F$54,INDEX('פרמטרים לקריטריונים'!$F$49:$F$54,MATCH(AB150,'פרמטרים לקריטריונים'!$E$49:$E$54,1))))</f>
        <v/>
      </c>
      <c r="AD150" s="213" t="str">
        <f t="shared" si="17"/>
        <v/>
      </c>
      <c r="AE150" s="213">
        <f t="shared" si="18"/>
        <v>104385.02921062359</v>
      </c>
      <c r="AG150" s="175">
        <f t="shared" si="21"/>
        <v>1</v>
      </c>
    </row>
    <row r="151" spans="1:33" ht="15.75" x14ac:dyDescent="0.2">
      <c r="A151" s="206">
        <f t="shared" si="19"/>
        <v>121</v>
      </c>
      <c r="B151" s="88">
        <f>IF($F151="","",'הזנה לתנאי סף'!C151)</f>
        <v>1001350131</v>
      </c>
      <c r="C151" s="88">
        <f>IF($F151="","",'הזנה לתנאי סף'!D151)</f>
        <v>1001270246</v>
      </c>
      <c r="D151" s="88">
        <f>IF($F151="","",'הזנה לתנאי סף'!E151)</f>
        <v>40269761</v>
      </c>
      <c r="E151" s="88">
        <f>IF($F151="","",'הזנה לתנאי סף'!F151)</f>
        <v>20000201</v>
      </c>
      <c r="F151" s="88" t="str">
        <f>IF(OR('הזנה לתנאי סף'!G151="",'הזנה לתנאי סף'!BL151&lt;&gt;1),"",'הזנה לתנאי סף'!G151)</f>
        <v>תל אביב -יפו</v>
      </c>
      <c r="G151" s="88" t="str">
        <f>IF($F151="","",'הזנה לתנאי סף'!H151)</f>
        <v>נא לגעת</v>
      </c>
      <c r="H151" s="88" t="str">
        <f>IF($F151="","",'הזנה לתנאי סף'!I151)</f>
        <v>תיאטרון</v>
      </c>
      <c r="I151" s="109">
        <v>1296182</v>
      </c>
      <c r="J151" s="213">
        <f>IF($F151="","",'הזנה לתנאי סף'!S151)</f>
        <v>752151</v>
      </c>
      <c r="K151" s="109">
        <v>538243</v>
      </c>
      <c r="L151" s="213">
        <f t="shared" si="12"/>
        <v>2586576</v>
      </c>
      <c r="M151" s="213">
        <f>IF($F151="","",IF(L151='הזנה לתנאי סף'!R151,1,0))</f>
        <v>1</v>
      </c>
      <c r="N151" s="214">
        <f t="shared" si="13"/>
        <v>0.50111885365054032</v>
      </c>
      <c r="O151" s="214">
        <f t="shared" si="22"/>
        <v>0.49888114634945968</v>
      </c>
      <c r="P151" s="109">
        <v>2586576</v>
      </c>
      <c r="Q151" s="213">
        <f>IF($F151="","",IFERROR(IF(P151&gt;0,'פרמטרים לקריטריונים'!$C$25*P151*O151,$AG$2),""))</f>
        <v>387118.19999999995</v>
      </c>
      <c r="R151" s="213">
        <f>IF($F151="","",IFERROR('פרמטרים לקריטריונים'!$C$26*Q151,""))</f>
        <v>95192.999999999985</v>
      </c>
      <c r="S151" s="214">
        <f t="shared" si="14"/>
        <v>1.4107749090921766E-3</v>
      </c>
      <c r="T151" s="213">
        <f t="shared" si="15"/>
        <v>70538.745454608827</v>
      </c>
      <c r="U151" s="213">
        <f>IF($F151="","",'הזנה לתנאי סף'!N151)</f>
        <v>1</v>
      </c>
      <c r="V151" s="213">
        <f>IF($F151="","",'הזנה לתנאי סף'!O151)</f>
        <v>1</v>
      </c>
      <c r="W151" s="109"/>
      <c r="X151" s="109"/>
      <c r="Y151" s="109"/>
      <c r="Z151" s="214" t="str">
        <f t="shared" si="16"/>
        <v>בדוק נתוני הזנה</v>
      </c>
      <c r="AA151" s="213" t="str">
        <f>IF(OR($F151="",V151=0),"",IF(V151=1,IF(COUNTBLANK(W151:X151)&gt;0,$AG$2,IF(OR(Z151&lt;='פרמטרים לקריטריונים'!$C$27,X151&gt;W151),"",X151-W151))))</f>
        <v>בדוק נתוני הזנה</v>
      </c>
      <c r="AB151" s="214">
        <f t="shared" si="20"/>
        <v>0</v>
      </c>
      <c r="AC151" s="225" t="str">
        <f>IF(OR(AB151="",U151=1),"",IF(OR(COUNTBLANK(W151:Y151)&gt;0,AB151&gt;='פרמטרים לקריטריונים'!$E$54),'פרמטרים לקריטריונים'!$F$54,INDEX('פרמטרים לקריטריונים'!$F$49:$F$54,MATCH(AB151,'פרמטרים לקריטריונים'!$E$49:$E$54,1))))</f>
        <v/>
      </c>
      <c r="AD151" s="213" t="str">
        <f t="shared" si="17"/>
        <v/>
      </c>
      <c r="AE151" s="213">
        <f t="shared" si="18"/>
        <v>70538.745454608827</v>
      </c>
      <c r="AG151" s="175">
        <f t="shared" si="21"/>
        <v>1</v>
      </c>
    </row>
    <row r="152" spans="1:33" ht="15.75" x14ac:dyDescent="0.2">
      <c r="A152" s="206">
        <f t="shared" si="19"/>
        <v>122</v>
      </c>
      <c r="B152" s="88">
        <f>IF($F152="","",'הזנה לתנאי סף'!C152)</f>
        <v>1001347266</v>
      </c>
      <c r="C152" s="88">
        <f>IF($F152="","",'הזנה לתנאי סף'!D152)</f>
        <v>1001266737</v>
      </c>
      <c r="D152" s="88">
        <f>IF($F152="","",'הזנה לתנאי סף'!E152)</f>
        <v>40299484</v>
      </c>
      <c r="E152" s="88">
        <f>IF($F152="","",'הזנה לתנאי סף'!F152)</f>
        <v>20000159</v>
      </c>
      <c r="F152" s="88" t="str">
        <f>IF(OR('הזנה לתנאי סף'!G152="",'הזנה לתנאי סף'!BL152&lt;&gt;1),"",'הזנה לתנאי סף'!G152)</f>
        <v>ירושלים</v>
      </c>
      <c r="G152" s="88" t="str">
        <f>IF($F152="","",'הזנה לתנאי סף'!H152)</f>
        <v>קרן אהבת קדומים תזמורת י-ם</v>
      </c>
      <c r="H152" s="88" t="str">
        <f>IF($F152="","",'הזנה לתנאי סף'!I152)</f>
        <v>מוסיקה-גופים כליים</v>
      </c>
      <c r="I152" s="109">
        <v>6733045</v>
      </c>
      <c r="J152" s="213">
        <f>IF($F152="","",'הזנה לתנאי סף'!S152)</f>
        <v>3382773</v>
      </c>
      <c r="K152" s="109">
        <v>0</v>
      </c>
      <c r="L152" s="213">
        <f t="shared" si="12"/>
        <v>10115818</v>
      </c>
      <c r="M152" s="213">
        <f>IF($F152="","",IF(L152='הזנה לתנאי סף'!R152,1,0))</f>
        <v>1</v>
      </c>
      <c r="N152" s="214">
        <f t="shared" si="13"/>
        <v>0.66559570367912901</v>
      </c>
      <c r="O152" s="214">
        <f t="shared" si="22"/>
        <v>0.33440429632087099</v>
      </c>
      <c r="P152" s="109">
        <v>11376568</v>
      </c>
      <c r="Q152" s="213">
        <f>IF($F152="","",IFERROR(IF(P152&gt;0,'פרמטרים לקריטריונים'!$C$25*P152*O152,$AG$2),""))</f>
        <v>1141311.9649759615</v>
      </c>
      <c r="R152" s="213">
        <f>IF($F152="","",IFERROR('פרמטרים לקריטריונים'!$C$26*Q152,""))</f>
        <v>280650.48319081019</v>
      </c>
      <c r="S152" s="214">
        <f t="shared" si="14"/>
        <v>4.1592833497230966E-3</v>
      </c>
      <c r="T152" s="213">
        <f t="shared" si="15"/>
        <v>207964.16748615482</v>
      </c>
      <c r="U152" s="213">
        <f>IF($F152="","",'הזנה לתנאי סף'!N152)</f>
        <v>1</v>
      </c>
      <c r="V152" s="213">
        <f>IF($F152="","",'הזנה לתנאי סף'!O152)</f>
        <v>1</v>
      </c>
      <c r="W152" s="109"/>
      <c r="X152" s="109"/>
      <c r="Y152" s="109"/>
      <c r="Z152" s="214" t="str">
        <f t="shared" si="16"/>
        <v>בדוק נתוני הזנה</v>
      </c>
      <c r="AA152" s="213" t="str">
        <f>IF(OR($F152="",V152=0),"",IF(V152=1,IF(COUNTBLANK(W152:X152)&gt;0,$AG$2,IF(OR(Z152&lt;='פרמטרים לקריטריונים'!$C$27,X152&gt;W152),"",X152-W152))))</f>
        <v>בדוק נתוני הזנה</v>
      </c>
      <c r="AB152" s="214">
        <f t="shared" si="20"/>
        <v>1</v>
      </c>
      <c r="AC152" s="225" t="str">
        <f>IF(OR(AB152="",U152=1),"",IF(OR(COUNTBLANK(W152:Y152)&gt;0,AB152&gt;='פרמטרים לקריטריונים'!$E$54),'פרמטרים לקריטריונים'!$F$54,INDEX('פרמטרים לקריטריונים'!$F$49:$F$54,MATCH(AB152,'פרמטרים לקריטריונים'!$E$49:$E$54,1))))</f>
        <v/>
      </c>
      <c r="AD152" s="213" t="str">
        <f t="shared" si="17"/>
        <v/>
      </c>
      <c r="AE152" s="213">
        <f t="shared" si="18"/>
        <v>207964.16748615482</v>
      </c>
      <c r="AG152" s="175">
        <f t="shared" si="21"/>
        <v>1</v>
      </c>
    </row>
    <row r="153" spans="1:33" ht="15.75" x14ac:dyDescent="0.2">
      <c r="A153" s="206">
        <f t="shared" si="19"/>
        <v>123</v>
      </c>
      <c r="B153" s="88">
        <f>IF($F153="","",'הזנה לתנאי סף'!C153)</f>
        <v>1001348246</v>
      </c>
      <c r="C153" s="88">
        <f>IF($F153="","",'הזנה לתנאי סף'!D153)</f>
        <v>1001266660</v>
      </c>
      <c r="D153" s="88">
        <f>IF($F153="","",'הזנה לתנאי סף'!E153)</f>
        <v>40327977</v>
      </c>
      <c r="E153" s="88">
        <f>IF($F153="","",'הזנה לתנאי סף'!F153)</f>
        <v>20000159</v>
      </c>
      <c r="F153" s="88" t="str">
        <f>IF(OR('הזנה לתנאי סף'!G153="",'הזנה לתנאי סף'!BL153&lt;&gt;1),"",'הזנה לתנאי סף'!G153)</f>
        <v>ירושלים</v>
      </c>
      <c r="G153" s="88" t="str">
        <f>IF($F153="","",'הזנה לתנאי סף'!H153)</f>
        <v>אביבים</v>
      </c>
      <c r="H153" s="88" t="str">
        <f>IF($F153="","",'הזנה לתנאי סף'!I153)</f>
        <v>תרבות חרדית</v>
      </c>
      <c r="I153" s="109">
        <v>180000</v>
      </c>
      <c r="J153" s="213">
        <f>IF($F153="","",'הזנה לתנאי סף'!S153)</f>
        <v>124105</v>
      </c>
      <c r="K153" s="109">
        <v>0</v>
      </c>
      <c r="L153" s="213">
        <f t="shared" si="12"/>
        <v>304105</v>
      </c>
      <c r="M153" s="213">
        <f>IF($F153="","",IF(L153='הזנה לתנאי סף'!R153,1,0))</f>
        <v>1</v>
      </c>
      <c r="N153" s="214">
        <f t="shared" si="13"/>
        <v>0.59190082372864639</v>
      </c>
      <c r="O153" s="214">
        <f t="shared" si="22"/>
        <v>0.40809917627135361</v>
      </c>
      <c r="P153" s="109">
        <v>304105</v>
      </c>
      <c r="Q153" s="213">
        <f>IF($F153="","",IFERROR(IF(P153&gt;0,'פרמטרים לקריטריונים'!$C$25*P153*O153,$AG$2),""))</f>
        <v>37231.5</v>
      </c>
      <c r="R153" s="213">
        <f>IF($F153="","",IFERROR('פרמטרים לקריטריונים'!$C$26*Q153,""))</f>
        <v>9155.2868852459014</v>
      </c>
      <c r="S153" s="214">
        <f t="shared" si="14"/>
        <v>1.3568276053119017E-4</v>
      </c>
      <c r="T153" s="213">
        <f t="shared" si="15"/>
        <v>6784.138026559508</v>
      </c>
      <c r="U153" s="213">
        <f>IF($F153="","",'הזנה לתנאי סף'!N153)</f>
        <v>0</v>
      </c>
      <c r="V153" s="213">
        <f>IF($F153="","",'הזנה לתנאי סף'!O153)</f>
        <v>1</v>
      </c>
      <c r="W153" s="109">
        <v>0</v>
      </c>
      <c r="X153" s="109">
        <v>0</v>
      </c>
      <c r="Y153" s="109">
        <v>1</v>
      </c>
      <c r="Z153" s="214">
        <f t="shared" si="16"/>
        <v>0</v>
      </c>
      <c r="AA153" s="213" t="str">
        <f>IF(OR($F153="",V153=0),"",IF(V153=1,IF(COUNTBLANK(W153:X153)&gt;0,$AG$2,IF(OR(Z153&lt;='פרמטרים לקריטריונים'!$C$27,X153&gt;W153),"",X153-W153))))</f>
        <v/>
      </c>
      <c r="AB153" s="214" t="str">
        <f t="shared" si="20"/>
        <v/>
      </c>
      <c r="AC153" s="225" t="str">
        <f>IF(OR(AB153="",U153=1),"",IF(OR(COUNTBLANK(W153:Y153)&gt;0,AB153&gt;='פרמטרים לקריטריונים'!$E$54),'פרמטרים לקריטריונים'!$F$54,INDEX('פרמטרים לקריטריונים'!$F$49:$F$54,MATCH(AB153,'פרמטרים לקריטריונים'!$E$49:$E$54,1))))</f>
        <v/>
      </c>
      <c r="AD153" s="213" t="str">
        <f t="shared" si="17"/>
        <v/>
      </c>
      <c r="AE153" s="213">
        <f t="shared" si="18"/>
        <v>6784.138026559508</v>
      </c>
      <c r="AG153" s="175">
        <f t="shared" si="21"/>
        <v>0</v>
      </c>
    </row>
    <row r="154" spans="1:33" ht="15.75" x14ac:dyDescent="0.2">
      <c r="A154" s="206">
        <f t="shared" si="19"/>
        <v>124</v>
      </c>
      <c r="B154" s="88">
        <f>IF($F154="","",'הזנה לתנאי סף'!C154)</f>
        <v>1001349552</v>
      </c>
      <c r="C154" s="88">
        <f>IF($F154="","",'הזנה לתנאי סף'!D154)</f>
        <v>1001290587</v>
      </c>
      <c r="D154" s="88">
        <f>IF($F154="","",'הזנה לתנאי סף'!E154)</f>
        <v>41053690</v>
      </c>
      <c r="E154" s="88">
        <f>IF($F154="","",'הזנה לתנאי סף'!F154)</f>
        <v>20000072</v>
      </c>
      <c r="F154" s="88" t="str">
        <f>IF(OR('הזנה לתנאי סף'!G154="",'הזנה לתנאי סף'!BL154&lt;&gt;1),"",'הזנה לתנאי סף'!G154)</f>
        <v>ראמה</v>
      </c>
      <c r="G154" s="88" t="str">
        <f>IF($F154="","",'הזנה לתנאי סף'!H154)</f>
        <v>סיראג'</v>
      </c>
      <c r="H154" s="88" t="str">
        <f>IF($F154="","",'הזנה לתנאי סף'!I154)</f>
        <v>תרבות ערבית</v>
      </c>
      <c r="I154" s="109">
        <v>435597</v>
      </c>
      <c r="J154" s="213">
        <f>IF($F154="","",'הזנה לתנאי סף'!S154)</f>
        <v>807508</v>
      </c>
      <c r="K154" s="109">
        <v>0</v>
      </c>
      <c r="L154" s="213">
        <f t="shared" si="12"/>
        <v>1243105</v>
      </c>
      <c r="M154" s="213">
        <f>IF($F154="","",IF(L154='הזנה לתנאי סף'!R154,1,0))</f>
        <v>1</v>
      </c>
      <c r="N154" s="214">
        <f t="shared" si="13"/>
        <v>0.35041046412008642</v>
      </c>
      <c r="O154" s="214">
        <f t="shared" si="22"/>
        <v>0.64958953587991353</v>
      </c>
      <c r="P154" s="109">
        <v>1254316</v>
      </c>
      <c r="Q154" s="213">
        <f>IF($F154="","",IFERROR(IF(P154&gt;0,'פרמטרים לקריטריונים'!$C$25*P154*O154,$AG$2),""))</f>
        <v>244437.16448602488</v>
      </c>
      <c r="R154" s="213">
        <f>IF($F154="","",IFERROR('פרמטרים לקריטריונים'!$C$26*Q154,""))</f>
        <v>60107.499463776607</v>
      </c>
      <c r="S154" s="214">
        <f t="shared" si="14"/>
        <v>8.9080239189612167E-4</v>
      </c>
      <c r="T154" s="213">
        <f t="shared" si="15"/>
        <v>44540.119594806085</v>
      </c>
      <c r="U154" s="213">
        <f>IF($F154="","",'הזנה לתנאי סף'!N154)</f>
        <v>0</v>
      </c>
      <c r="V154" s="213">
        <f>IF($F154="","",'הזנה לתנאי סף'!O154)</f>
        <v>1</v>
      </c>
      <c r="W154" s="109">
        <v>0</v>
      </c>
      <c r="X154" s="109">
        <v>0</v>
      </c>
      <c r="Y154" s="109">
        <v>1</v>
      </c>
      <c r="Z154" s="214">
        <f t="shared" si="16"/>
        <v>0</v>
      </c>
      <c r="AA154" s="213" t="str">
        <f>IF(OR($F154="",V154=0),"",IF(V154=1,IF(COUNTBLANK(W154:X154)&gt;0,$AG$2,IF(OR(Z154&lt;='פרמטרים לקריטריונים'!$C$27,X154&gt;W154),"",X154-W154))))</f>
        <v/>
      </c>
      <c r="AB154" s="214" t="str">
        <f t="shared" si="20"/>
        <v/>
      </c>
      <c r="AC154" s="225" t="str">
        <f>IF(OR(AB154="",U154=1),"",IF(OR(COUNTBLANK(W154:Y154)&gt;0,AB154&gt;='פרמטרים לקריטריונים'!$E$54),'פרמטרים לקריטריונים'!$F$54,INDEX('פרמטרים לקריטריונים'!$F$49:$F$54,MATCH(AB154,'פרמטרים לקריטריונים'!$E$49:$E$54,1))))</f>
        <v/>
      </c>
      <c r="AD154" s="213" t="str">
        <f t="shared" si="17"/>
        <v/>
      </c>
      <c r="AE154" s="213">
        <f t="shared" si="18"/>
        <v>44540.119594806085</v>
      </c>
      <c r="AG154" s="175">
        <f t="shared" si="21"/>
        <v>0</v>
      </c>
    </row>
    <row r="155" spans="1:33" ht="15.75" x14ac:dyDescent="0.2">
      <c r="A155" s="206">
        <f t="shared" si="19"/>
        <v>125</v>
      </c>
      <c r="B155" s="88">
        <f>IF($F155="","",'הזנה לתנאי סף'!C155)</f>
        <v>1001347776</v>
      </c>
      <c r="C155" s="88">
        <f>IF($F155="","",'הזנה לתנאי סף'!D155)</f>
        <v>1001276514</v>
      </c>
      <c r="D155" s="88">
        <f>IF($F155="","",'הזנה לתנאי סף'!E155)</f>
        <v>40946840</v>
      </c>
      <c r="E155" s="88">
        <f>IF($F155="","",'הזנה לתנאי סף'!F155)</f>
        <v>20000231</v>
      </c>
      <c r="F155" s="88" t="str">
        <f>IF(OR('הזנה לתנאי סף'!G155="",'הזנה לתנאי סף'!BL155&lt;&gt;1),"",'הזנה לתנאי סף'!G155)</f>
        <v>נצרת</v>
      </c>
      <c r="G155" s="88" t="str">
        <f>IF($F155="","",'הזנה לתנאי סף'!H155)</f>
        <v>נצרת עלא אלעהד</v>
      </c>
      <c r="H155" s="88" t="str">
        <f>IF($F155="","",'הזנה לתנאי סף'!I155)</f>
        <v>תרבות ערבית</v>
      </c>
      <c r="I155" s="109">
        <v>239206</v>
      </c>
      <c r="J155" s="213">
        <f>IF($F155="","",'הזנה לתנאי סף'!S155)</f>
        <v>131667</v>
      </c>
      <c r="K155" s="109">
        <v>0</v>
      </c>
      <c r="L155" s="213">
        <f t="shared" si="12"/>
        <v>370873</v>
      </c>
      <c r="M155" s="213">
        <f>IF($F155="","",IF(L155='הזנה לתנאי סף'!R155,1,0))</f>
        <v>1</v>
      </c>
      <c r="N155" s="214">
        <f t="shared" si="13"/>
        <v>0.64498089642546097</v>
      </c>
      <c r="O155" s="214">
        <f t="shared" si="22"/>
        <v>0.35501910357453903</v>
      </c>
      <c r="P155" s="109">
        <v>409724</v>
      </c>
      <c r="Q155" s="213">
        <f>IF($F155="","",IFERROR(IF(P155&gt;0,'פרמטרים לקריטריונים'!$C$25*P155*O155,$AG$2),""))</f>
        <v>43637.954157892331</v>
      </c>
      <c r="R155" s="213">
        <f>IF($F155="","",IFERROR('פרמטרים לקריטריונים'!$C$26*Q155,""))</f>
        <v>10730.644465055491</v>
      </c>
      <c r="S155" s="214">
        <f t="shared" si="14"/>
        <v>1.5902980229312168E-4</v>
      </c>
      <c r="T155" s="213">
        <f t="shared" si="15"/>
        <v>7951.4901146560842</v>
      </c>
      <c r="U155" s="213">
        <f>IF($F155="","",'הזנה לתנאי סף'!N155)</f>
        <v>0</v>
      </c>
      <c r="V155" s="213">
        <f>IF($F155="","",'הזנה לתנאי סף'!O155)</f>
        <v>1</v>
      </c>
      <c r="W155" s="109">
        <v>0</v>
      </c>
      <c r="X155" s="109">
        <v>0</v>
      </c>
      <c r="Y155" s="109">
        <v>1</v>
      </c>
      <c r="Z155" s="214">
        <f t="shared" si="16"/>
        <v>0</v>
      </c>
      <c r="AA155" s="213" t="str">
        <f>IF(OR($F155="",V155=0),"",IF(V155=1,IF(COUNTBLANK(W155:X155)&gt;0,$AG$2,IF(OR(Z155&lt;='פרמטרים לקריטריונים'!$C$27,X155&gt;W155),"",X155-W155))))</f>
        <v/>
      </c>
      <c r="AB155" s="214" t="str">
        <f t="shared" si="20"/>
        <v/>
      </c>
      <c r="AC155" s="225" t="str">
        <f>IF(OR(AB155="",U155=1),"",IF(OR(COUNTBLANK(W155:Y155)&gt;0,AB155&gt;='פרמטרים לקריטריונים'!$E$54),'פרמטרים לקריטריונים'!$F$54,INDEX('פרמטרים לקריטריונים'!$F$49:$F$54,MATCH(AB155,'פרמטרים לקריטריונים'!$E$49:$E$54,1))))</f>
        <v/>
      </c>
      <c r="AD155" s="213" t="str">
        <f t="shared" si="17"/>
        <v/>
      </c>
      <c r="AE155" s="213">
        <f t="shared" si="18"/>
        <v>7951.4901146560842</v>
      </c>
      <c r="AG155" s="175">
        <f t="shared" si="21"/>
        <v>0</v>
      </c>
    </row>
    <row r="156" spans="1:33" ht="15.75" x14ac:dyDescent="0.2">
      <c r="A156" s="206">
        <f t="shared" si="19"/>
        <v>126</v>
      </c>
      <c r="B156" s="88">
        <f>IF($F156="","",'הזנה לתנאי סף'!C156)</f>
        <v>1001348954</v>
      </c>
      <c r="C156" s="88">
        <f>IF($F156="","",'הזנה לתנאי סף'!D156)</f>
        <v>1001290646</v>
      </c>
      <c r="D156" s="88">
        <f>IF($F156="","",'הזנה לתנאי סף'!E156)</f>
        <v>40970756</v>
      </c>
      <c r="E156" s="88">
        <f>IF($F156="","",'הזנה לתנאי סף'!F156)</f>
        <v>20000201</v>
      </c>
      <c r="F156" s="88" t="str">
        <f>IF(OR('הזנה לתנאי סף'!G156="",'הזנה לתנאי סף'!BL156&lt;&gt;1),"",'הזנה לתנאי סף'!G156)</f>
        <v>תל אביב -יפו</v>
      </c>
      <c r="G156" s="88" t="str">
        <f>IF($F156="","",'הזנה לתנאי סף'!H156)</f>
        <v>אלמז אמנות בישראל</v>
      </c>
      <c r="H156" s="88" t="str">
        <f>IF($F156="","",'הזנה לתנאי סף'!I156)</f>
        <v>אחר</v>
      </c>
      <c r="I156" s="109">
        <v>0</v>
      </c>
      <c r="J156" s="213">
        <f>IF($F156="","",'הזנה לתנאי סף'!S156)</f>
        <v>155151</v>
      </c>
      <c r="K156" s="109">
        <v>0</v>
      </c>
      <c r="L156" s="213">
        <f t="shared" si="12"/>
        <v>155151</v>
      </c>
      <c r="M156" s="213">
        <f>IF($F156="","",IF(L156='הזנה לתנאי סף'!R156,1,0))</f>
        <v>1</v>
      </c>
      <c r="N156" s="214">
        <f t="shared" si="13"/>
        <v>0</v>
      </c>
      <c r="O156" s="214">
        <f t="shared" si="22"/>
        <v>1</v>
      </c>
      <c r="P156" s="109">
        <v>145967</v>
      </c>
      <c r="Q156" s="213">
        <f>IF($F156="","",IFERROR(IF(P156&gt;0,'פרמטרים לקריטריונים'!$C$25*P156*O156,$AG$2),""))</f>
        <v>43790.1</v>
      </c>
      <c r="R156" s="213">
        <f>IF($F156="","",IFERROR('פרמטרים לקריטריונים'!$C$26*Q156,""))</f>
        <v>10768.057377049179</v>
      </c>
      <c r="S156" s="214">
        <f t="shared" si="14"/>
        <v>1.5958426740627884E-4</v>
      </c>
      <c r="T156" s="213">
        <f t="shared" si="15"/>
        <v>7979.2133703139416</v>
      </c>
      <c r="U156" s="213">
        <f>IF($F156="","",'הזנה לתנאי סף'!N156)</f>
        <v>0</v>
      </c>
      <c r="V156" s="213">
        <f>IF($F156="","",'הזנה לתנאי סף'!O156)</f>
        <v>1</v>
      </c>
      <c r="W156" s="109">
        <v>0</v>
      </c>
      <c r="X156" s="109">
        <v>0</v>
      </c>
      <c r="Y156" s="109">
        <v>1</v>
      </c>
      <c r="Z156" s="214">
        <f t="shared" si="16"/>
        <v>0</v>
      </c>
      <c r="AA156" s="213" t="str">
        <f>IF(OR($F156="",V156=0),"",IF(V156=1,IF(COUNTBLANK(W156:X156)&gt;0,$AG$2,IF(OR(Z156&lt;='פרמטרים לקריטריונים'!$C$27,X156&gt;W156),"",X156-W156))))</f>
        <v/>
      </c>
      <c r="AB156" s="214" t="str">
        <f t="shared" si="20"/>
        <v/>
      </c>
      <c r="AC156" s="225" t="str">
        <f>IF(OR(AB156="",U156=1),"",IF(OR(COUNTBLANK(W156:Y156)&gt;0,AB156&gt;='פרמטרים לקריטריונים'!$E$54),'פרמטרים לקריטריונים'!$F$54,INDEX('פרמטרים לקריטריונים'!$F$49:$F$54,MATCH(AB156,'פרמטרים לקריטריונים'!$E$49:$E$54,1))))</f>
        <v/>
      </c>
      <c r="AD156" s="213" t="str">
        <f t="shared" si="17"/>
        <v/>
      </c>
      <c r="AE156" s="213">
        <f t="shared" si="18"/>
        <v>7979.2133703139416</v>
      </c>
      <c r="AG156" s="175">
        <f t="shared" si="21"/>
        <v>0</v>
      </c>
    </row>
    <row r="157" spans="1:33" ht="15.75" x14ac:dyDescent="0.2">
      <c r="A157" s="206">
        <f t="shared" si="19"/>
        <v>127</v>
      </c>
      <c r="B157" s="88">
        <f>IF($F157="","",'הזנה לתנאי סף'!C157)</f>
        <v>1001348952</v>
      </c>
      <c r="C157" s="88">
        <f>IF($F157="","",'הזנה לתנאי סף'!D157)</f>
        <v>1001263412</v>
      </c>
      <c r="D157" s="88">
        <f>IF($F157="","",'הזנה לתנאי סף'!E157)</f>
        <v>40374797</v>
      </c>
      <c r="E157" s="88">
        <f>IF($F157="","",'הזנה לתנאי סף'!F157)</f>
        <v>20000027</v>
      </c>
      <c r="F157" s="88" t="str">
        <f>IF(OR('הזנה לתנאי סף'!G157="",'הזנה לתנאי סף'!BL157&lt;&gt;1),"",'הזנה לתנאי סף'!G157)</f>
        <v>כפר שמריהו</v>
      </c>
      <c r="G157" s="88" t="str">
        <f>IF($F157="","",'הזנה לתנאי סף'!H157)</f>
        <v>בארוקדה</v>
      </c>
      <c r="H157" s="88" t="str">
        <f>IF($F157="","",'הזנה לתנאי סף'!I157)</f>
        <v>מוסיקה-גופים כליים</v>
      </c>
      <c r="I157" s="109">
        <v>490764</v>
      </c>
      <c r="J157" s="213">
        <f>IF($F157="","",'הזנה לתנאי סף'!S157)</f>
        <v>1076459</v>
      </c>
      <c r="K157" s="109">
        <v>123597</v>
      </c>
      <c r="L157" s="213">
        <f t="shared" si="12"/>
        <v>1690820</v>
      </c>
      <c r="M157" s="213">
        <f>IF($F157="","",IF(L157='הזנה לתנאי סף'!R157,1,0))</f>
        <v>1</v>
      </c>
      <c r="N157" s="214">
        <f t="shared" si="13"/>
        <v>0.29025206704439266</v>
      </c>
      <c r="O157" s="214">
        <f t="shared" si="22"/>
        <v>0.70974793295560734</v>
      </c>
      <c r="P157" s="109">
        <v>1465119</v>
      </c>
      <c r="Q157" s="213">
        <f>IF($F157="","",IFERROR(IF(P157&gt;0,'פרמטרים לקריטריונים'!$C$25*P157*O157,$AG$2),""))</f>
        <v>311959.55453519593</v>
      </c>
      <c r="R157" s="213">
        <f>IF($F157="","",IFERROR('פרמטרים לקריטריונים'!$C$26*Q157,""))</f>
        <v>76711.365869310466</v>
      </c>
      <c r="S157" s="214">
        <f t="shared" si="14"/>
        <v>1.1368742471674724E-3</v>
      </c>
      <c r="T157" s="213">
        <f t="shared" si="15"/>
        <v>56843.712358373625</v>
      </c>
      <c r="U157" s="213">
        <f>IF($F157="","",'הזנה לתנאי סף'!N157)</f>
        <v>0</v>
      </c>
      <c r="V157" s="213">
        <f>IF($F157="","",'הזנה לתנאי סף'!O157)</f>
        <v>1</v>
      </c>
      <c r="W157" s="109">
        <v>0</v>
      </c>
      <c r="X157" s="109">
        <v>0</v>
      </c>
      <c r="Y157" s="109">
        <v>1</v>
      </c>
      <c r="Z157" s="214">
        <f t="shared" si="16"/>
        <v>0</v>
      </c>
      <c r="AA157" s="213" t="str">
        <f>IF(OR($F157="",V157=0),"",IF(V157=1,IF(COUNTBLANK(W157:X157)&gt;0,$AG$2,IF(OR(Z157&lt;='פרמטרים לקריטריונים'!$C$27,X157&gt;W157),"",X157-W157))))</f>
        <v/>
      </c>
      <c r="AB157" s="214" t="str">
        <f t="shared" si="20"/>
        <v/>
      </c>
      <c r="AC157" s="225" t="str">
        <f>IF(OR(AB157="",U157=1),"",IF(OR(COUNTBLANK(W157:Y157)&gt;0,AB157&gt;='פרמטרים לקריטריונים'!$E$54),'פרמטרים לקריטריונים'!$F$54,INDEX('פרמטרים לקריטריונים'!$F$49:$F$54,MATCH(AB157,'פרמטרים לקריטריונים'!$E$49:$E$54,1))))</f>
        <v/>
      </c>
      <c r="AD157" s="213" t="str">
        <f t="shared" si="17"/>
        <v/>
      </c>
      <c r="AE157" s="213">
        <f t="shared" si="18"/>
        <v>56843.712358373625</v>
      </c>
      <c r="AG157" s="175">
        <f t="shared" si="21"/>
        <v>0</v>
      </c>
    </row>
    <row r="158" spans="1:33" ht="15.75" x14ac:dyDescent="0.2">
      <c r="A158" s="206">
        <f t="shared" si="19"/>
        <v>128</v>
      </c>
      <c r="B158" s="88">
        <f>IF($F158="","",'הזנה לתנאי סף'!C158)</f>
        <v>1001349365</v>
      </c>
      <c r="C158" s="88">
        <f>IF($F158="","",'הזנה לתנאי סף'!D158)</f>
        <v>1001290811</v>
      </c>
      <c r="D158" s="88">
        <f>IF($F158="","",'הזנה לתנאי סף'!E158)</f>
        <v>40984631</v>
      </c>
      <c r="E158" s="88">
        <f>IF($F158="","",'הזנה לתנאי סף'!F158)</f>
        <v>20000201</v>
      </c>
      <c r="F158" s="88" t="str">
        <f>IF(OR('הזנה לתנאי סף'!G158="",'הזנה לתנאי סף'!BL158&lt;&gt;1),"",'הזנה לתנאי סף'!G158)</f>
        <v>תל אביב -יפו</v>
      </c>
      <c r="G158" s="88" t="str">
        <f>IF($F158="","",'הזנה לתנאי סף'!H158)</f>
        <v>תמיד - תרבות מוסיקלית יהודית</v>
      </c>
      <c r="H158" s="88" t="str">
        <f>IF($F158="","",'הזנה לתנאי סף'!I158)</f>
        <v>אחר</v>
      </c>
      <c r="I158" s="109">
        <v>0</v>
      </c>
      <c r="J158" s="213">
        <f>IF($F158="","",'הזנה לתנאי סף'!S158)</f>
        <v>398094</v>
      </c>
      <c r="K158" s="109">
        <v>0</v>
      </c>
      <c r="L158" s="213">
        <f t="shared" si="12"/>
        <v>398094</v>
      </c>
      <c r="M158" s="213">
        <f>IF($F158="","",IF(L158='הזנה לתנאי סף'!R158,1,0))</f>
        <v>1</v>
      </c>
      <c r="N158" s="214">
        <f t="shared" si="13"/>
        <v>0</v>
      </c>
      <c r="O158" s="214">
        <f t="shared" si="22"/>
        <v>1</v>
      </c>
      <c r="P158" s="109">
        <v>398094</v>
      </c>
      <c r="Q158" s="213">
        <f>IF($F158="","",IFERROR(IF(P158&gt;0,'פרמטרים לקריטריונים'!$C$25*P158*O158,$AG$2),""))</f>
        <v>119428.2</v>
      </c>
      <c r="R158" s="213">
        <f>IF($F158="","",IFERROR('פרמטרים לקריטריונים'!$C$26*Q158,""))</f>
        <v>29367.590163934427</v>
      </c>
      <c r="S158" s="214">
        <f t="shared" si="14"/>
        <v>4.3523220555903163E-4</v>
      </c>
      <c r="T158" s="213">
        <f t="shared" si="15"/>
        <v>21761.610277951582</v>
      </c>
      <c r="U158" s="213">
        <f>IF($F158="","",'הזנה לתנאי סף'!N158)</f>
        <v>0</v>
      </c>
      <c r="V158" s="213">
        <f>IF($F158="","",'הזנה לתנאי סף'!O158)</f>
        <v>1</v>
      </c>
      <c r="W158" s="109">
        <v>0</v>
      </c>
      <c r="X158" s="109">
        <v>0</v>
      </c>
      <c r="Y158" s="109">
        <v>1</v>
      </c>
      <c r="Z158" s="214">
        <f t="shared" si="16"/>
        <v>0</v>
      </c>
      <c r="AA158" s="213" t="str">
        <f>IF(OR($F158="",V158=0),"",IF(V158=1,IF(COUNTBLANK(W158:X158)&gt;0,$AG$2,IF(OR(Z158&lt;='פרמטרים לקריטריונים'!$C$27,X158&gt;W158),"",X158-W158))))</f>
        <v/>
      </c>
      <c r="AB158" s="214" t="str">
        <f t="shared" si="20"/>
        <v/>
      </c>
      <c r="AC158" s="225" t="str">
        <f>IF(OR(AB158="",U158=1),"",IF(OR(COUNTBLANK(W158:Y158)&gt;0,AB158&gt;='פרמטרים לקריטריונים'!$E$54),'פרמטרים לקריטריונים'!$F$54,INDEX('פרמטרים לקריטריונים'!$F$49:$F$54,MATCH(AB158,'פרמטרים לקריטריונים'!$E$49:$E$54,1))))</f>
        <v/>
      </c>
      <c r="AD158" s="213" t="str">
        <f t="shared" si="17"/>
        <v/>
      </c>
      <c r="AE158" s="213">
        <f t="shared" si="18"/>
        <v>21761.610277951582</v>
      </c>
      <c r="AG158" s="175">
        <f t="shared" si="21"/>
        <v>0</v>
      </c>
    </row>
    <row r="159" spans="1:33" ht="15.75" x14ac:dyDescent="0.2">
      <c r="A159" s="206">
        <f t="shared" si="19"/>
        <v>129</v>
      </c>
      <c r="B159" s="88">
        <f>IF($F159="","",'הזנה לתנאי סף'!C159)</f>
        <v>1001347325</v>
      </c>
      <c r="C159" s="88">
        <f>IF($F159="","",'הזנה לתנאי סף'!D159)</f>
        <v>1001270479</v>
      </c>
      <c r="D159" s="88">
        <f>IF($F159="","",'הזנה לתנאי סף'!E159)</f>
        <v>40384065</v>
      </c>
      <c r="E159" s="88">
        <f>IF($F159="","",'הזנה לתנאי סף'!F159)</f>
        <v>20000041</v>
      </c>
      <c r="F159" s="88" t="str">
        <f>IF(OR('הזנה לתנאי סף'!G159="",'הזנה לתנאי סף'!BL159&lt;&gt;1),"",'הזנה לתנאי סף'!G159)</f>
        <v>דייר אל-אסד</v>
      </c>
      <c r="G159" s="88" t="str">
        <f>IF($F159="","",'הזנה לתנאי סף'!H159)</f>
        <v>אל אסדי</v>
      </c>
      <c r="H159" s="88" t="str">
        <f>IF($F159="","",'הזנה לתנאי סף'!I159)</f>
        <v>אחר</v>
      </c>
      <c r="I159" s="109">
        <v>496220</v>
      </c>
      <c r="J159" s="213">
        <f>IF($F159="","",'הזנה לתנאי סף'!S159)</f>
        <v>601602</v>
      </c>
      <c r="K159" s="109">
        <v>0</v>
      </c>
      <c r="L159" s="213">
        <f t="shared" ref="L159:L222" si="23">IF($F159="","",SUM(I159:K159))</f>
        <v>1097822</v>
      </c>
      <c r="M159" s="213">
        <f>IF($F159="","",IF(L159='הזנה לתנאי סף'!R159,1,0))</f>
        <v>1</v>
      </c>
      <c r="N159" s="214">
        <f t="shared" ref="N159:N222" si="24">IF($F159="","",IFERROR(I159/L159,$AG$2))</f>
        <v>0.45200405894580359</v>
      </c>
      <c r="O159" s="214">
        <f t="shared" si="22"/>
        <v>0.54799594105419636</v>
      </c>
      <c r="P159" s="109">
        <v>1069833</v>
      </c>
      <c r="Q159" s="213">
        <f>IF($F159="","",IFERROR(IF(P159&gt;0,'פרמטרים לקריטריונים'!$C$25*P159*O159,$AG$2),""))</f>
        <v>175879.2424817502</v>
      </c>
      <c r="R159" s="213">
        <f>IF($F159="","",IFERROR('פרמטרים לקריטריונים'!$C$26*Q159,""))</f>
        <v>43248.994052889393</v>
      </c>
      <c r="S159" s="214">
        <f t="shared" ref="S159:S222" si="25">IF($F159="","",IFERROR(R159/$R$501,""))</f>
        <v>6.4095674737946206E-4</v>
      </c>
      <c r="T159" s="213">
        <f t="shared" ref="T159:T222" si="26">IF($F159="","",IFERROR(S159*$C$4,""))</f>
        <v>32047.837368973102</v>
      </c>
      <c r="U159" s="213">
        <f>IF($F159="","",'הזנה לתנאי סף'!N159)</f>
        <v>0</v>
      </c>
      <c r="V159" s="213">
        <f>IF($F159="","",'הזנה לתנאי סף'!O159)</f>
        <v>1</v>
      </c>
      <c r="W159" s="109">
        <v>0</v>
      </c>
      <c r="X159" s="109">
        <v>0</v>
      </c>
      <c r="Y159" s="109">
        <v>1</v>
      </c>
      <c r="Z159" s="214">
        <f t="shared" ref="Z159:Z222" si="27">IF(OR($F159="",V159&lt;&gt;1),"",IF(COUNTBLANK(W159:Y159)&gt;0,$AG$2,IF(ISBLANK(Y159),$AG$2,W159/Y159)))</f>
        <v>0</v>
      </c>
      <c r="AA159" s="213" t="str">
        <f>IF(OR($F159="",V159=0),"",IF(V159=1,IF(COUNTBLANK(W159:X159)&gt;0,$AG$2,IF(OR(Z159&lt;='פרמטרים לקריטריונים'!$C$27,X159&gt;W159),"",X159-W159))))</f>
        <v/>
      </c>
      <c r="AB159" s="214" t="str">
        <f t="shared" si="20"/>
        <v/>
      </c>
      <c r="AC159" s="225" t="str">
        <f>IF(OR(AB159="",U159=1),"",IF(OR(COUNTBLANK(W159:Y159)&gt;0,AB159&gt;='פרמטרים לקריטריונים'!$E$54),'פרמטרים לקריטריונים'!$F$54,INDEX('פרמטרים לקריטריונים'!$F$49:$F$54,MATCH(AB159,'פרמטרים לקריטריונים'!$E$49:$E$54,1))))</f>
        <v/>
      </c>
      <c r="AD159" s="213" t="str">
        <f t="shared" ref="AD159:AD222" si="28">IF(OR($F159="",AC159=""),"",IF(COUNTBLANK(W159:X159)&gt;0,-T159,IF(-AC159*AA159&gt;T159,-T159,AC159*AA159)))</f>
        <v/>
      </c>
      <c r="AE159" s="213">
        <f t="shared" ref="AE159:AE222" si="29">IF($F159="","",IF(M159=0,$AG$2,IF(AD159&lt;&gt;"",T159+AD159,T159)))</f>
        <v>32047.837368973102</v>
      </c>
      <c r="AG159" s="175">
        <f t="shared" si="21"/>
        <v>0</v>
      </c>
    </row>
    <row r="160" spans="1:33" ht="15.75" x14ac:dyDescent="0.2">
      <c r="A160" s="206">
        <f t="shared" ref="A160:A223" si="30">IF(F160="","",ROW()-30)</f>
        <v>130</v>
      </c>
      <c r="B160" s="88">
        <f>IF($F160="","",'הזנה לתנאי סף'!C160)</f>
        <v>1001350318</v>
      </c>
      <c r="C160" s="88">
        <f>IF($F160="","",'הזנה לתנאי סף'!D160)</f>
        <v>1001265106</v>
      </c>
      <c r="D160" s="88">
        <f>IF($F160="","",'הזנה לתנאי סף'!E160)</f>
        <v>40992259</v>
      </c>
      <c r="E160" s="88">
        <f>IF($F160="","",'הזנה לתנאי סף'!F160)</f>
        <v>20000201</v>
      </c>
      <c r="F160" s="88" t="str">
        <f>IF(OR('הזנה לתנאי סף'!G160="",'הזנה לתנאי סף'!BL160&lt;&gt;1),"",'הזנה לתנאי סף'!G160)</f>
        <v>תל אביב -יפו</v>
      </c>
      <c r="G160" s="88" t="str">
        <f>IF($F160="","",'הזנה לתנאי סף'!H160)</f>
        <v>גלרית תיאטרון החנות</v>
      </c>
      <c r="H160" s="88" t="str">
        <f>IF($F160="","",'הזנה לתנאי סף'!I160)</f>
        <v>קבוצות תיאטרון</v>
      </c>
      <c r="I160" s="109">
        <v>296225</v>
      </c>
      <c r="J160" s="213">
        <f>IF($F160="","",'הזנה לתנאי סף'!S160)</f>
        <v>378300</v>
      </c>
      <c r="K160" s="109">
        <v>0</v>
      </c>
      <c r="L160" s="213">
        <f t="shared" si="23"/>
        <v>674525</v>
      </c>
      <c r="M160" s="213">
        <f>IF($F160="","",IF(L160='הזנה לתנאי סף'!R160,1,0))</f>
        <v>1</v>
      </c>
      <c r="N160" s="214">
        <f t="shared" si="24"/>
        <v>0.43916089099736849</v>
      </c>
      <c r="O160" s="214">
        <f t="shared" si="22"/>
        <v>0.56083910900263145</v>
      </c>
      <c r="P160" s="109">
        <v>492762</v>
      </c>
      <c r="Q160" s="213">
        <f>IF($F160="","",IFERROR(IF(P160&gt;0,'פרמטרים לקריטריונים'!$C$25*P160*O160,$AG$2),""))</f>
        <v>82908.060309106411</v>
      </c>
      <c r="R160" s="213">
        <f>IF($F160="","",IFERROR('פרמטרים לקריטריונים'!$C$26*Q160,""))</f>
        <v>20387.227944862232</v>
      </c>
      <c r="S160" s="214">
        <f t="shared" si="25"/>
        <v>3.0214185549940127E-4</v>
      </c>
      <c r="T160" s="213">
        <f t="shared" si="26"/>
        <v>15107.092774970064</v>
      </c>
      <c r="U160" s="213">
        <f>IF($F160="","",'הזנה לתנאי סף'!N160)</f>
        <v>1</v>
      </c>
      <c r="V160" s="213">
        <f>IF($F160="","",'הזנה לתנאי סף'!O160)</f>
        <v>1</v>
      </c>
      <c r="W160" s="109"/>
      <c r="X160" s="109"/>
      <c r="Y160" s="109"/>
      <c r="Z160" s="214" t="str">
        <f t="shared" si="27"/>
        <v>בדוק נתוני הזנה</v>
      </c>
      <c r="AA160" s="213" t="str">
        <f>IF(OR($F160="",V160=0),"",IF(V160=1,IF(COUNTBLANK(W160:X160)&gt;0,$AG$2,IF(OR(Z160&lt;='פרמטרים לקריטריונים'!$C$27,X160&gt;W160),"",X160-W160))))</f>
        <v>בדוק נתוני הזנה</v>
      </c>
      <c r="AB160" s="214">
        <f t="shared" ref="AB160:AB223" si="31">IF(AA160="","",IF(AA160=$AG$2,AG131,-(X160/W160-1)))</f>
        <v>1</v>
      </c>
      <c r="AC160" s="225" t="str">
        <f>IF(OR(AB160="",U160=1),"",IF(OR(COUNTBLANK(W160:Y160)&gt;0,AB160&gt;='פרמטרים לקריטריונים'!$E$54),'פרמטרים לקריטריונים'!$F$54,INDEX('פרמטרים לקריטריונים'!$F$49:$F$54,MATCH(AB160,'פרמטרים לקריטריונים'!$E$49:$E$54,1))))</f>
        <v/>
      </c>
      <c r="AD160" s="213" t="str">
        <f t="shared" si="28"/>
        <v/>
      </c>
      <c r="AE160" s="213">
        <f t="shared" si="29"/>
        <v>15107.092774970064</v>
      </c>
      <c r="AG160" s="175">
        <f t="shared" ref="AG160:AG223" si="32">IF(U160=1,1,0)</f>
        <v>1</v>
      </c>
    </row>
    <row r="161" spans="1:33" ht="15.75" x14ac:dyDescent="0.2">
      <c r="A161" s="206">
        <f t="shared" si="30"/>
        <v>131</v>
      </c>
      <c r="B161" s="88">
        <f>IF($F161="","",'הזנה לתנאי סף'!C161)</f>
        <v>1001347256</v>
      </c>
      <c r="C161" s="88">
        <f>IF($F161="","",'הזנה לתנאי סף'!D161)</f>
        <v>1001268258</v>
      </c>
      <c r="D161" s="88">
        <f>IF($F161="","",'הזנה לתנאי סף'!E161)</f>
        <v>41484317</v>
      </c>
      <c r="E161" s="88">
        <f>IF($F161="","",'הזנה לתנאי סף'!F161)</f>
        <v>20000201</v>
      </c>
      <c r="F161" s="88" t="str">
        <f>IF(OR('הזנה לתנאי סף'!G161="",'הזנה לתנאי סף'!BL161&lt;&gt;1),"",'הזנה לתנאי סף'!G161)</f>
        <v>תל אביב -יפו</v>
      </c>
      <c r="G161" s="88" t="str">
        <f>IF($F161="","",'הזנה לתנאי סף'!H161)</f>
        <v>קידום נתיב אמן</v>
      </c>
      <c r="H161" s="88" t="str">
        <f>IF($F161="","",'הזנה לתנאי סף'!I161)</f>
        <v>מרכזי פרינג'</v>
      </c>
      <c r="I161" s="109">
        <v>0</v>
      </c>
      <c r="J161" s="213">
        <f>IF($F161="","",'הזנה לתנאי סף'!S161)</f>
        <v>493002</v>
      </c>
      <c r="K161" s="109">
        <v>0</v>
      </c>
      <c r="L161" s="213">
        <f t="shared" si="23"/>
        <v>493002</v>
      </c>
      <c r="M161" s="213">
        <f>IF($F161="","",IF(L161='הזנה לתנאי סף'!R161,1,0))</f>
        <v>1</v>
      </c>
      <c r="N161" s="214">
        <f t="shared" si="24"/>
        <v>0</v>
      </c>
      <c r="O161" s="214">
        <f t="shared" si="22"/>
        <v>1</v>
      </c>
      <c r="P161" s="109">
        <v>493002</v>
      </c>
      <c r="Q161" s="213">
        <f>IF($F161="","",IFERROR(IF(P161&gt;0,'פרמטרים לקריטריונים'!$C$25*P161*O161,$AG$2),""))</f>
        <v>147900.6</v>
      </c>
      <c r="R161" s="213">
        <f>IF($F161="","",IFERROR('פרמטרים לקריטריונים'!$C$26*Q161,""))</f>
        <v>36369</v>
      </c>
      <c r="S161" s="214">
        <f t="shared" si="25"/>
        <v>5.389941767648186E-4</v>
      </c>
      <c r="T161" s="213">
        <f t="shared" si="26"/>
        <v>26949.708838240931</v>
      </c>
      <c r="U161" s="213">
        <f>IF($F161="","",'הזנה לתנאי סף'!N161)</f>
        <v>0</v>
      </c>
      <c r="V161" s="213">
        <f>IF($F161="","",'הזנה לתנאי סף'!O161)</f>
        <v>1</v>
      </c>
      <c r="W161" s="109">
        <v>0</v>
      </c>
      <c r="X161" s="109">
        <v>0</v>
      </c>
      <c r="Y161" s="109">
        <v>1</v>
      </c>
      <c r="Z161" s="214">
        <f t="shared" si="27"/>
        <v>0</v>
      </c>
      <c r="AA161" s="213" t="str">
        <f>IF(OR($F161="",V161=0),"",IF(V161=1,IF(COUNTBLANK(W161:X161)&gt;0,$AG$2,IF(OR(Z161&lt;='פרמטרים לקריטריונים'!$C$27,X161&gt;W161),"",X161-W161))))</f>
        <v/>
      </c>
      <c r="AB161" s="214" t="str">
        <f t="shared" si="31"/>
        <v/>
      </c>
      <c r="AC161" s="225" t="str">
        <f>IF(OR(AB161="",U161=1),"",IF(OR(COUNTBLANK(W161:Y161)&gt;0,AB161&gt;='פרמטרים לקריטריונים'!$E$54),'פרמטרים לקריטריונים'!$F$54,INDEX('פרמטרים לקריטריונים'!$F$49:$F$54,MATCH(AB161,'פרמטרים לקריטריונים'!$E$49:$E$54,1))))</f>
        <v/>
      </c>
      <c r="AD161" s="213" t="str">
        <f t="shared" si="28"/>
        <v/>
      </c>
      <c r="AE161" s="213">
        <f t="shared" si="29"/>
        <v>26949.708838240931</v>
      </c>
      <c r="AG161" s="175">
        <f t="shared" si="32"/>
        <v>0</v>
      </c>
    </row>
    <row r="162" spans="1:33" ht="15.75" x14ac:dyDescent="0.2">
      <c r="A162" s="206">
        <f t="shared" si="30"/>
        <v>132</v>
      </c>
      <c r="B162" s="88">
        <f>IF($F162="","",'הזנה לתנאי סף'!C162)</f>
        <v>1001350329</v>
      </c>
      <c r="C162" s="88">
        <f>IF($F162="","",'הזנה לתנאי סף'!D162)</f>
        <v>1001302334</v>
      </c>
      <c r="D162" s="88">
        <f>IF($F162="","",'הזנה לתנאי סף'!E162)</f>
        <v>41484318</v>
      </c>
      <c r="E162" s="88">
        <f>IF($F162="","",'הזנה לתנאי סף'!F162)</f>
        <v>20000182</v>
      </c>
      <c r="F162" s="88" t="str">
        <f>IF(OR('הזנה לתנאי סף'!G162="",'הזנה לתנאי סף'!BL162&lt;&gt;1),"",'הזנה לתנאי סף'!G162)</f>
        <v>חיפה</v>
      </c>
      <c r="G162" s="88" t="str">
        <f>IF($F162="","",'הזנה לתנאי סף'!H162)</f>
        <v>תיאטרון אלמג'ד</v>
      </c>
      <c r="H162" s="88" t="str">
        <f>IF($F162="","",'הזנה לתנאי סף'!I162)</f>
        <v>תיאטרון</v>
      </c>
      <c r="I162" s="109">
        <v>414838</v>
      </c>
      <c r="J162" s="213">
        <f>IF($F162="","",'הזנה לתנאי סף'!S162)</f>
        <v>381832</v>
      </c>
      <c r="K162" s="109">
        <v>0</v>
      </c>
      <c r="L162" s="213">
        <f t="shared" si="23"/>
        <v>796670</v>
      </c>
      <c r="M162" s="213">
        <f>IF($F162="","",IF(L162='הזנה לתנאי סף'!R162,1,0))</f>
        <v>1</v>
      </c>
      <c r="N162" s="214">
        <f t="shared" si="24"/>
        <v>0.52071497608796613</v>
      </c>
      <c r="O162" s="214">
        <f t="shared" ref="O162:O225" si="33">IF($F162="","",IFERROR((1-N162),""))</f>
        <v>0.47928502391203387</v>
      </c>
      <c r="P162" s="109">
        <v>817876</v>
      </c>
      <c r="Q162" s="213">
        <f>IF($F162="","",IFERROR(IF(P162&gt;0,'פרמטרים לקריטריונים'!$C$25*P162*O162,$AG$2),""))</f>
        <v>117598.71546512358</v>
      </c>
      <c r="R162" s="213">
        <f>IF($F162="","",IFERROR('פרמטרים לקריטריונים'!$C$26*Q162,""))</f>
        <v>28917.716917653339</v>
      </c>
      <c r="S162" s="214">
        <f t="shared" si="25"/>
        <v>4.2856501481890153E-4</v>
      </c>
      <c r="T162" s="213">
        <f t="shared" si="26"/>
        <v>21428.250740945077</v>
      </c>
      <c r="U162" s="213">
        <f>IF($F162="","",'הזנה לתנאי סף'!N162)</f>
        <v>0</v>
      </c>
      <c r="V162" s="213">
        <f>IF($F162="","",'הזנה לתנאי סף'!O162)</f>
        <v>1</v>
      </c>
      <c r="W162" s="109">
        <v>0</v>
      </c>
      <c r="X162" s="109">
        <v>0</v>
      </c>
      <c r="Y162" s="109">
        <v>1</v>
      </c>
      <c r="Z162" s="214">
        <f t="shared" si="27"/>
        <v>0</v>
      </c>
      <c r="AA162" s="213" t="str">
        <f>IF(OR($F162="",V162=0),"",IF(V162=1,IF(COUNTBLANK(W162:X162)&gt;0,$AG$2,IF(OR(Z162&lt;='פרמטרים לקריטריונים'!$C$27,X162&gt;W162),"",X162-W162))))</f>
        <v/>
      </c>
      <c r="AB162" s="214" t="str">
        <f t="shared" si="31"/>
        <v/>
      </c>
      <c r="AC162" s="225" t="str">
        <f>IF(OR(AB162="",U162=1),"",IF(OR(COUNTBLANK(W162:Y162)&gt;0,AB162&gt;='פרמטרים לקריטריונים'!$E$54),'פרמטרים לקריטריונים'!$F$54,INDEX('פרמטרים לקריטריונים'!$F$49:$F$54,MATCH(AB162,'פרמטרים לקריטריונים'!$E$49:$E$54,1))))</f>
        <v/>
      </c>
      <c r="AD162" s="213" t="str">
        <f t="shared" si="28"/>
        <v/>
      </c>
      <c r="AE162" s="213">
        <f t="shared" si="29"/>
        <v>21428.250740945077</v>
      </c>
      <c r="AG162" s="175">
        <f t="shared" si="32"/>
        <v>0</v>
      </c>
    </row>
    <row r="163" spans="1:33" ht="15.75" x14ac:dyDescent="0.2">
      <c r="A163" s="206">
        <f t="shared" si="30"/>
        <v>133</v>
      </c>
      <c r="B163" s="88">
        <f>IF($F163="","",'הזנה לתנאי סף'!C163)</f>
        <v>1001349802</v>
      </c>
      <c r="C163" s="88">
        <f>IF($F163="","",'הזנה לתנאי סף'!D163)</f>
        <v>1001290463</v>
      </c>
      <c r="D163" s="88">
        <f>IF($F163="","",'הזנה לתנאי סף'!E163)</f>
        <v>41484540</v>
      </c>
      <c r="E163" s="88">
        <f>IF($F163="","",'הזנה לתנאי סף'!F163)</f>
        <v>20000231</v>
      </c>
      <c r="F163" s="88" t="str">
        <f>IF(OR('הזנה לתנאי סף'!G163="",'הזנה לתנאי סף'!BL163&lt;&gt;1),"",'הזנה לתנאי סף'!G163)</f>
        <v>נצרת</v>
      </c>
      <c r="G163" s="88" t="str">
        <f>IF($F163="","",'הזנה לתנאי סף'!H163)</f>
        <v>להקת מחול ביסאן</v>
      </c>
      <c r="H163" s="88" t="str">
        <f>IF($F163="","",'הזנה לתנאי סף'!I163)</f>
        <v>מחול</v>
      </c>
      <c r="I163" s="109">
        <v>80628</v>
      </c>
      <c r="J163" s="213">
        <f>IF($F163="","",'הזנה לתנאי סף'!S163)</f>
        <v>340480</v>
      </c>
      <c r="K163" s="109">
        <v>0</v>
      </c>
      <c r="L163" s="213">
        <f t="shared" si="23"/>
        <v>421108</v>
      </c>
      <c r="M163" s="213">
        <f>IF($F163="","",IF(L163='הזנה לתנאי סף'!R163,1,0))</f>
        <v>1</v>
      </c>
      <c r="N163" s="214">
        <f t="shared" si="24"/>
        <v>0.19146632217863352</v>
      </c>
      <c r="O163" s="214">
        <f t="shared" si="33"/>
        <v>0.80853367782136654</v>
      </c>
      <c r="P163" s="109">
        <v>323521</v>
      </c>
      <c r="Q163" s="213">
        <f>IF($F163="","",IFERROR(IF(P163&gt;0,'פרמטרים לקריטריונים'!$C$25*P163*O163,$AG$2),""))</f>
        <v>78473.287194733901</v>
      </c>
      <c r="R163" s="213">
        <f>IF($F163="","",IFERROR('פרמטרים לקריטריונים'!$C$26*Q163,""))</f>
        <v>19296.709965918173</v>
      </c>
      <c r="S163" s="214">
        <f t="shared" si="25"/>
        <v>2.8598021123345534E-4</v>
      </c>
      <c r="T163" s="213">
        <f t="shared" si="26"/>
        <v>14299.010561672767</v>
      </c>
      <c r="U163" s="213">
        <f>IF($F163="","",'הזנה לתנאי סף'!N163)</f>
        <v>0</v>
      </c>
      <c r="V163" s="213">
        <f>IF($F163="","",'הזנה לתנאי סף'!O163)</f>
        <v>1</v>
      </c>
      <c r="W163" s="109">
        <v>0</v>
      </c>
      <c r="X163" s="109">
        <v>0</v>
      </c>
      <c r="Y163" s="109">
        <v>1</v>
      </c>
      <c r="Z163" s="214">
        <f t="shared" si="27"/>
        <v>0</v>
      </c>
      <c r="AA163" s="213" t="str">
        <f>IF(OR($F163="",V163=0),"",IF(V163=1,IF(COUNTBLANK(W163:X163)&gt;0,$AG$2,IF(OR(Z163&lt;='פרמטרים לקריטריונים'!$C$27,X163&gt;W163),"",X163-W163))))</f>
        <v/>
      </c>
      <c r="AB163" s="214" t="str">
        <f t="shared" si="31"/>
        <v/>
      </c>
      <c r="AC163" s="225" t="str">
        <f>IF(OR(AB163="",U163=1),"",IF(OR(COUNTBLANK(W163:Y163)&gt;0,AB163&gt;='פרמטרים לקריטריונים'!$E$54),'פרמטרים לקריטריונים'!$F$54,INDEX('פרמטרים לקריטריונים'!$F$49:$F$54,MATCH(AB163,'פרמטרים לקריטריונים'!$E$49:$E$54,1))))</f>
        <v/>
      </c>
      <c r="AD163" s="213" t="str">
        <f t="shared" si="28"/>
        <v/>
      </c>
      <c r="AE163" s="213">
        <f t="shared" si="29"/>
        <v>14299.010561672767</v>
      </c>
      <c r="AG163" s="175">
        <f t="shared" si="32"/>
        <v>0</v>
      </c>
    </row>
    <row r="164" spans="1:33" ht="15.75" x14ac:dyDescent="0.2">
      <c r="A164" s="206">
        <f t="shared" si="30"/>
        <v>134</v>
      </c>
      <c r="B164" s="88">
        <f>IF($F164="","",'הזנה לתנאי סף'!C164)</f>
        <v>1001348957</v>
      </c>
      <c r="C164" s="88">
        <f>IF($F164="","",'הזנה לתנאי סף'!D164)</f>
        <v>1001274725</v>
      </c>
      <c r="D164" s="88">
        <f>IF($F164="","",'הזנה לתנאי סף'!E164)</f>
        <v>40993419</v>
      </c>
      <c r="E164" s="88">
        <f>IF($F164="","",'הזנה לתנאי סף'!F164)</f>
        <v>20000182</v>
      </c>
      <c r="F164" s="88" t="str">
        <f>IF(OR('הזנה לתנאי סף'!G164="",'הזנה לתנאי סף'!BL164&lt;&gt;1),"",'הזנה לתנאי סף'!G164)</f>
        <v>חיפה</v>
      </c>
      <c r="G164" s="88" t="str">
        <f>IF($F164="","",'הזנה לתנאי סף'!H164)</f>
        <v>התאטרון העברי - עמותה לטיפוח תרבות עברית</v>
      </c>
      <c r="H164" s="88" t="str">
        <f>IF($F164="","",'הזנה לתנאי סף'!I164)</f>
        <v>תיאטרון</v>
      </c>
      <c r="I164" s="109">
        <v>659786</v>
      </c>
      <c r="J164" s="213">
        <f>IF($F164="","",'הזנה לתנאי סף'!S164)</f>
        <v>5697282</v>
      </c>
      <c r="K164" s="109">
        <v>0</v>
      </c>
      <c r="L164" s="213">
        <f t="shared" si="23"/>
        <v>6357068</v>
      </c>
      <c r="M164" s="213">
        <f>IF($F164="","",IF(L164='הזנה לתנאי סף'!R164,1,0))</f>
        <v>1</v>
      </c>
      <c r="N164" s="214">
        <f t="shared" si="24"/>
        <v>0.10378778392806243</v>
      </c>
      <c r="O164" s="214">
        <f t="shared" si="33"/>
        <v>0.89621221607193757</v>
      </c>
      <c r="P164" s="109">
        <v>6555106</v>
      </c>
      <c r="Q164" s="213">
        <f>IF($F164="","",IFERROR(IF(P164&gt;0,'פרמטרים לקריטריונים'!$C$25*P164*O164,$AG$2),""))</f>
        <v>1762429.8224539361</v>
      </c>
      <c r="R164" s="213">
        <f>IF($F164="","",IFERROR('פרמטרים לקריטריונים'!$C$26*Q164,""))</f>
        <v>433384.38257064001</v>
      </c>
      <c r="S164" s="214">
        <f t="shared" si="25"/>
        <v>6.4228232424974928E-3</v>
      </c>
      <c r="T164" s="213">
        <f t="shared" si="26"/>
        <v>321141.16212487465</v>
      </c>
      <c r="U164" s="213">
        <f>IF($F164="","",'הזנה לתנאי סף'!N164)</f>
        <v>0</v>
      </c>
      <c r="V164" s="213">
        <f>IF($F164="","",'הזנה לתנאי סף'!O164)</f>
        <v>1</v>
      </c>
      <c r="W164" s="109">
        <v>0</v>
      </c>
      <c r="X164" s="109">
        <v>0</v>
      </c>
      <c r="Y164" s="109">
        <v>1</v>
      </c>
      <c r="Z164" s="214">
        <f t="shared" si="27"/>
        <v>0</v>
      </c>
      <c r="AA164" s="213" t="str">
        <f>IF(OR($F164="",V164=0),"",IF(V164=1,IF(COUNTBLANK(W164:X164)&gt;0,$AG$2,IF(OR(Z164&lt;='פרמטרים לקריטריונים'!$C$27,X164&gt;W164),"",X164-W164))))</f>
        <v/>
      </c>
      <c r="AB164" s="214" t="str">
        <f t="shared" si="31"/>
        <v/>
      </c>
      <c r="AC164" s="225" t="str">
        <f>IF(OR(AB164="",U164=1),"",IF(OR(COUNTBLANK(W164:Y164)&gt;0,AB164&gt;='פרמטרים לקריטריונים'!$E$54),'פרמטרים לקריטריונים'!$F$54,INDEX('פרמטרים לקריטריונים'!$F$49:$F$54,MATCH(AB164,'פרמטרים לקריטריונים'!$E$49:$E$54,1))))</f>
        <v/>
      </c>
      <c r="AD164" s="213" t="str">
        <f t="shared" si="28"/>
        <v/>
      </c>
      <c r="AE164" s="213">
        <f t="shared" si="29"/>
        <v>321141.16212487465</v>
      </c>
      <c r="AG164" s="175">
        <f t="shared" si="32"/>
        <v>0</v>
      </c>
    </row>
    <row r="165" spans="1:33" ht="15.75" x14ac:dyDescent="0.2">
      <c r="A165" s="206">
        <f t="shared" si="30"/>
        <v>135</v>
      </c>
      <c r="B165" s="88">
        <f>IF($F165="","",'הזנה לתנאי סף'!C165)</f>
        <v>1001348221</v>
      </c>
      <c r="C165" s="88">
        <f>IF($F165="","",'הזנה לתנאי סף'!D165)</f>
        <v>1001269209</v>
      </c>
      <c r="D165" s="88">
        <f>IF($F165="","",'הזנה לתנאי סף'!E165)</f>
        <v>41489877</v>
      </c>
      <c r="E165" s="88">
        <f>IF($F165="","",'הזנה לתנאי סף'!F165)</f>
        <v>20000201</v>
      </c>
      <c r="F165" s="88" t="str">
        <f>IF(OR('הזנה לתנאי סף'!G165="",'הזנה לתנאי סף'!BL165&lt;&gt;1),"",'הזנה לתנאי סף'!G165)</f>
        <v>תל אביב -יפו</v>
      </c>
      <c r="G165" s="88" t="str">
        <f>IF($F165="","",'הזנה לתנאי סף'!H165)</f>
        <v>עמותת רננה רז</v>
      </c>
      <c r="H165" s="88" t="str">
        <f>IF($F165="","",'הזנה לתנאי סף'!I165)</f>
        <v>מחול</v>
      </c>
      <c r="I165" s="109">
        <v>169309</v>
      </c>
      <c r="J165" s="213">
        <f>IF($F165="","",'הזנה לתנאי סף'!S165)</f>
        <v>525205</v>
      </c>
      <c r="K165" s="109">
        <v>111336</v>
      </c>
      <c r="L165" s="213">
        <f t="shared" si="23"/>
        <v>805850</v>
      </c>
      <c r="M165" s="213">
        <f>IF($F165="","",IF(L165='הזנה לתנאי סף'!R165,1,0))</f>
        <v>1</v>
      </c>
      <c r="N165" s="214">
        <f t="shared" si="24"/>
        <v>0.21009989452131289</v>
      </c>
      <c r="O165" s="214">
        <f t="shared" si="33"/>
        <v>0.78990010547868716</v>
      </c>
      <c r="P165" s="109">
        <v>746643</v>
      </c>
      <c r="Q165" s="213">
        <f>IF($F165="","",IFERROR(IF(P165&gt;0,'פרמטרים לקריטריונים'!$C$25*P165*O165,$AG$2),""))</f>
        <v>176932.01533647702</v>
      </c>
      <c r="R165" s="213">
        <f>IF($F165="","",IFERROR('פרמטרים לקריטריונים'!$C$26*Q165,""))</f>
        <v>43507.872623723859</v>
      </c>
      <c r="S165" s="214">
        <f t="shared" si="25"/>
        <v>6.4479336763762082E-4</v>
      </c>
      <c r="T165" s="213">
        <f t="shared" si="26"/>
        <v>32239.668381881042</v>
      </c>
      <c r="U165" s="213">
        <f>IF($F165="","",'הזנה לתנאי סף'!N165)</f>
        <v>1</v>
      </c>
      <c r="V165" s="213">
        <f>IF($F165="","",'הזנה לתנאי סף'!O165)</f>
        <v>1</v>
      </c>
      <c r="W165" s="109"/>
      <c r="X165" s="109"/>
      <c r="Y165" s="109"/>
      <c r="Z165" s="214" t="str">
        <f t="shared" si="27"/>
        <v>בדוק נתוני הזנה</v>
      </c>
      <c r="AA165" s="213" t="str">
        <f>IF(OR($F165="",V165=0),"",IF(V165=1,IF(COUNTBLANK(W165:X165)&gt;0,$AG$2,IF(OR(Z165&lt;='פרמטרים לקריטריונים'!$C$27,X165&gt;W165),"",X165-W165))))</f>
        <v>בדוק נתוני הזנה</v>
      </c>
      <c r="AB165" s="214">
        <f t="shared" si="31"/>
        <v>1</v>
      </c>
      <c r="AC165" s="225" t="str">
        <f>IF(OR(AB165="",U165=1),"",IF(OR(COUNTBLANK(W165:Y165)&gt;0,AB165&gt;='פרמטרים לקריטריונים'!$E$54),'פרמטרים לקריטריונים'!$F$54,INDEX('פרמטרים לקריטריונים'!$F$49:$F$54,MATCH(AB165,'פרמטרים לקריטריונים'!$E$49:$E$54,1))))</f>
        <v/>
      </c>
      <c r="AD165" s="213" t="str">
        <f t="shared" si="28"/>
        <v/>
      </c>
      <c r="AE165" s="213">
        <f t="shared" si="29"/>
        <v>32239.668381881042</v>
      </c>
      <c r="AG165" s="175">
        <f t="shared" si="32"/>
        <v>1</v>
      </c>
    </row>
    <row r="166" spans="1:33" ht="15.75" x14ac:dyDescent="0.2">
      <c r="A166" s="206">
        <f t="shared" si="30"/>
        <v>136</v>
      </c>
      <c r="B166" s="88">
        <f>IF($F166="","",'הזנה לתנאי סף'!C166)</f>
        <v>1001347308</v>
      </c>
      <c r="C166" s="88">
        <f>IF($F166="","",'הזנה לתנאי סף'!D166)</f>
        <v>1001271799</v>
      </c>
      <c r="D166" s="88">
        <f>IF($F166="","",'הזנה לתנאי סף'!E166)</f>
        <v>40221577</v>
      </c>
      <c r="E166" s="88">
        <f>IF($F166="","",'הזנה לתנאי סף'!F166)</f>
        <v>20000159</v>
      </c>
      <c r="F166" s="88" t="str">
        <f>IF(OR('הזנה לתנאי סף'!G166="",'הזנה לתנאי סף'!BL166&lt;&gt;1),"",'הזנה לתנאי סף'!G166)</f>
        <v>ירושלים</v>
      </c>
      <c r="G166" s="88" t="str">
        <f>IF($F166="","",'הזנה לתנאי סף'!H166)</f>
        <v>בלט ירושלים</v>
      </c>
      <c r="H166" s="88" t="str">
        <f>IF($F166="","",'הזנה לתנאי סף'!I166)</f>
        <v>מחול</v>
      </c>
      <c r="I166" s="109">
        <v>412938</v>
      </c>
      <c r="J166" s="213">
        <f>IF($F166="","",'הזנה לתנאי סף'!S166)</f>
        <v>421351</v>
      </c>
      <c r="K166" s="109">
        <v>0</v>
      </c>
      <c r="L166" s="213">
        <f t="shared" si="23"/>
        <v>834289</v>
      </c>
      <c r="M166" s="213">
        <f>IF($F166="","",IF(L166='הזנה לתנאי סף'!R166,1,0))</f>
        <v>1</v>
      </c>
      <c r="N166" s="214">
        <f t="shared" si="24"/>
        <v>0.49495798218602904</v>
      </c>
      <c r="O166" s="214">
        <f t="shared" si="33"/>
        <v>0.50504201781397096</v>
      </c>
      <c r="P166" s="109">
        <v>787375</v>
      </c>
      <c r="Q166" s="213">
        <f>IF($F166="","",IFERROR(IF(P166&gt;0,'פרמטרים לקריטריונים'!$C$25*P166*O166,$AG$2),""))</f>
        <v>119297.23763288262</v>
      </c>
      <c r="R166" s="213">
        <f>IF($F166="","",IFERROR('פרמטרים לקריטריונים'!$C$26*Q166,""))</f>
        <v>29335.386303167856</v>
      </c>
      <c r="S166" s="214">
        <f t="shared" si="25"/>
        <v>4.3475493938667259E-4</v>
      </c>
      <c r="T166" s="213">
        <f t="shared" si="26"/>
        <v>21737.746969333628</v>
      </c>
      <c r="U166" s="213">
        <f>IF($F166="","",'הזנה לתנאי סף'!N166)</f>
        <v>1</v>
      </c>
      <c r="V166" s="213">
        <f>IF($F166="","",'הזנה לתנאי סף'!O166)</f>
        <v>1</v>
      </c>
      <c r="W166" s="109"/>
      <c r="X166" s="109"/>
      <c r="Y166" s="109"/>
      <c r="Z166" s="214" t="str">
        <f t="shared" si="27"/>
        <v>בדוק נתוני הזנה</v>
      </c>
      <c r="AA166" s="213" t="str">
        <f>IF(OR($F166="",V166=0),"",IF(V166=1,IF(COUNTBLANK(W166:X166)&gt;0,$AG$2,IF(OR(Z166&lt;='פרמטרים לקריטריונים'!$C$27,X166&gt;W166),"",X166-W166))))</f>
        <v>בדוק נתוני הזנה</v>
      </c>
      <c r="AB166" s="214">
        <f t="shared" si="31"/>
        <v>1</v>
      </c>
      <c r="AC166" s="225" t="str">
        <f>IF(OR(AB166="",U166=1),"",IF(OR(COUNTBLANK(W166:Y166)&gt;0,AB166&gt;='פרמטרים לקריטריונים'!$E$54),'פרמטרים לקריטריונים'!$F$54,INDEX('פרמטרים לקריטריונים'!$F$49:$F$54,MATCH(AB166,'פרמטרים לקריטריונים'!$E$49:$E$54,1))))</f>
        <v/>
      </c>
      <c r="AD166" s="213" t="str">
        <f t="shared" si="28"/>
        <v/>
      </c>
      <c r="AE166" s="213">
        <f t="shared" si="29"/>
        <v>21737.746969333628</v>
      </c>
      <c r="AG166" s="175">
        <f t="shared" si="32"/>
        <v>1</v>
      </c>
    </row>
    <row r="167" spans="1:33" ht="15.75" x14ac:dyDescent="0.2">
      <c r="A167" s="206">
        <f t="shared" si="30"/>
        <v>137</v>
      </c>
      <c r="B167" s="88">
        <f>IF($F167="","",'הזנה לתנאי סף'!C167)</f>
        <v>1001347068</v>
      </c>
      <c r="C167" s="88">
        <f>IF($F167="","",'הזנה לתנאי סף'!D167)</f>
        <v>1001265731</v>
      </c>
      <c r="D167" s="88">
        <f>IF($F167="","",'הזנה לתנאי סף'!E167)</f>
        <v>40000188</v>
      </c>
      <c r="E167" s="88">
        <f>IF($F167="","",'הזנה לתנאי סף'!F167)</f>
        <v>20000228</v>
      </c>
      <c r="F167" s="88" t="str">
        <f>IF(OR('הזנה לתנאי סף'!G167="",'הזנה לתנאי סף'!BL167&lt;&gt;1),"",'הזנה לתנאי סף'!G167)</f>
        <v>לוד</v>
      </c>
      <c r="G167" s="88" t="str">
        <f>IF($F167="","",'הזנה לתנאי סף'!H167)</f>
        <v>מכון הברמן למחקרי ספרות</v>
      </c>
      <c r="H167" s="88" t="str">
        <f>IF($F167="","",'הזנה לתנאי סף'!I167)</f>
        <v>אחר</v>
      </c>
      <c r="I167" s="109">
        <v>250000</v>
      </c>
      <c r="J167" s="213">
        <f>IF($F167="","",'הזנה לתנאי סף'!S167)</f>
        <v>99412</v>
      </c>
      <c r="K167" s="109">
        <v>0</v>
      </c>
      <c r="L167" s="213">
        <f t="shared" si="23"/>
        <v>349412</v>
      </c>
      <c r="M167" s="213">
        <f>IF($F167="","",IF(L167='הזנה לתנאי סף'!R167,1,0))</f>
        <v>1</v>
      </c>
      <c r="N167" s="214">
        <f t="shared" si="24"/>
        <v>0.71548773367829377</v>
      </c>
      <c r="O167" s="214">
        <f t="shared" si="33"/>
        <v>0.28451226632170623</v>
      </c>
      <c r="P167" s="109">
        <v>341655</v>
      </c>
      <c r="Q167" s="213">
        <f>IF($F167="","",IFERROR(IF(P167&gt;0,'פרמטרים לקריטריונים'!$C$25*P167*O167,$AG$2),""))</f>
        <v>29161.511505042763</v>
      </c>
      <c r="R167" s="213">
        <f>IF($F167="","",IFERROR('פרמטרים לקריטריונים'!$C$26*Q167,""))</f>
        <v>7170.8634848465808</v>
      </c>
      <c r="S167" s="214">
        <f t="shared" si="25"/>
        <v>1.0627330035766123E-4</v>
      </c>
      <c r="T167" s="213">
        <f t="shared" si="26"/>
        <v>5313.6650178830614</v>
      </c>
      <c r="U167" s="213">
        <f>IF($F167="","",'הזנה לתנאי סף'!N167)</f>
        <v>0</v>
      </c>
      <c r="V167" s="213">
        <f>IF($F167="","",'הזנה לתנאי סף'!O167)</f>
        <v>1</v>
      </c>
      <c r="W167" s="109">
        <v>0</v>
      </c>
      <c r="X167" s="109">
        <v>0</v>
      </c>
      <c r="Y167" s="109">
        <v>1</v>
      </c>
      <c r="Z167" s="214">
        <f t="shared" si="27"/>
        <v>0</v>
      </c>
      <c r="AA167" s="213" t="str">
        <f>IF(OR($F167="",V167=0),"",IF(V167=1,IF(COUNTBLANK(W167:X167)&gt;0,$AG$2,IF(OR(Z167&lt;='פרמטרים לקריטריונים'!$C$27,X167&gt;W167),"",X167-W167))))</f>
        <v/>
      </c>
      <c r="AB167" s="214" t="str">
        <f t="shared" si="31"/>
        <v/>
      </c>
      <c r="AC167" s="225" t="str">
        <f>IF(OR(AB167="",U167=1),"",IF(OR(COUNTBLANK(W167:Y167)&gt;0,AB167&gt;='פרמטרים לקריטריונים'!$E$54),'פרמטרים לקריטריונים'!$F$54,INDEX('פרמטרים לקריטריונים'!$F$49:$F$54,MATCH(AB167,'פרמטרים לקריטריונים'!$E$49:$E$54,1))))</f>
        <v/>
      </c>
      <c r="AD167" s="213" t="str">
        <f t="shared" si="28"/>
        <v/>
      </c>
      <c r="AE167" s="213">
        <f t="shared" si="29"/>
        <v>5313.6650178830614</v>
      </c>
      <c r="AG167" s="175">
        <f t="shared" si="32"/>
        <v>0</v>
      </c>
    </row>
    <row r="168" spans="1:33" ht="15.75" x14ac:dyDescent="0.2">
      <c r="A168" s="206">
        <f t="shared" si="30"/>
        <v>138</v>
      </c>
      <c r="B168" s="88">
        <f>IF($F168="","",'הזנה לתנאי סף'!C168)</f>
        <v>1001348953</v>
      </c>
      <c r="C168" s="88">
        <f>IF($F168="","",'הזנה לתנאי סף'!D168)</f>
        <v>1001277689</v>
      </c>
      <c r="D168" s="88">
        <f>IF($F168="","",'הזנה לתנאי סף'!E168)</f>
        <v>40821399</v>
      </c>
      <c r="E168" s="88">
        <f>IF($F168="","",'הזנה לתנאי סף'!F168)</f>
        <v>20000233</v>
      </c>
      <c r="F168" s="88" t="str">
        <f>IF(OR('הזנה לתנאי סף'!G168="",'הזנה לתנאי סף'!BL168&lt;&gt;1),"",'הזנה לתנאי סף'!G168)</f>
        <v>נתניה</v>
      </c>
      <c r="G168" s="88" t="str">
        <f>IF($F168="","",'הזנה לתנאי סף'!H168)</f>
        <v>תזמורת נתניה הקאמרית הקיבוצית</v>
      </c>
      <c r="H168" s="88" t="str">
        <f>IF($F168="","",'הזנה לתנאי סף'!I168)</f>
        <v>מוסיקה-גופים כליים</v>
      </c>
      <c r="I168" s="109">
        <v>4766000</v>
      </c>
      <c r="J168" s="213">
        <f>IF($F168="","",'הזנה לתנאי סף'!S168)</f>
        <v>3199000</v>
      </c>
      <c r="K168" s="109">
        <v>0</v>
      </c>
      <c r="L168" s="213">
        <f t="shared" si="23"/>
        <v>7965000</v>
      </c>
      <c r="M168" s="213">
        <f>IF($F168="","",IF(L168='הזנה לתנאי סף'!R168,1,0))</f>
        <v>1</v>
      </c>
      <c r="N168" s="214">
        <f t="shared" si="24"/>
        <v>0.59836785938480852</v>
      </c>
      <c r="O168" s="214">
        <f t="shared" si="33"/>
        <v>0.40163214061519148</v>
      </c>
      <c r="P168" s="109">
        <v>7421000</v>
      </c>
      <c r="Q168" s="213">
        <f>IF($F168="","",IFERROR(IF(P168&gt;0,'פרמטרים לקריטריונים'!$C$25*P168*O168,$AG$2),""))</f>
        <v>894153.63465160085</v>
      </c>
      <c r="R168" s="213">
        <f>IF($F168="","",IFERROR('פרמטרים לקריטריונים'!$C$26*Q168,""))</f>
        <v>219873.84458645922</v>
      </c>
      <c r="S168" s="214">
        <f t="shared" si="25"/>
        <v>3.2585642127909557E-3</v>
      </c>
      <c r="T168" s="213">
        <f t="shared" si="26"/>
        <v>162928.21063954779</v>
      </c>
      <c r="U168" s="213">
        <f>IF($F168="","",'הזנה לתנאי סף'!N168)</f>
        <v>0</v>
      </c>
      <c r="V168" s="213">
        <f>IF($F168="","",'הזנה לתנאי סף'!O168)</f>
        <v>1</v>
      </c>
      <c r="W168" s="109">
        <v>1000000</v>
      </c>
      <c r="X168" s="109">
        <v>650000</v>
      </c>
      <c r="Y168" s="109">
        <v>7616000</v>
      </c>
      <c r="Z168" s="214">
        <f t="shared" si="27"/>
        <v>0.13130252100840337</v>
      </c>
      <c r="AA168" s="213">
        <f>IF(OR($F168="",V168=0),"",IF(V168=1,IF(COUNTBLANK(W168:X168)&gt;0,$AG$2,IF(OR(Z168&lt;='פרמטרים לקריטריונים'!$C$27,X168&gt;W168),"",X168-W168))))</f>
        <v>-350000</v>
      </c>
      <c r="AB168" s="214">
        <f t="shared" si="31"/>
        <v>0.35</v>
      </c>
      <c r="AC168" s="225">
        <f>IF(OR(AB168="",U168=1),"",IF(OR(COUNTBLANK(W168:Y168)&gt;0,AB168&gt;='פרמטרים לקריטריונים'!$E$54),'פרמטרים לקריטריונים'!$F$54,INDEX('פרמטרים לקריטריונים'!$F$49:$F$54,MATCH(AB168,'פרמטרים לקריטריונים'!$E$49:$E$54,1))))</f>
        <v>4</v>
      </c>
      <c r="AD168" s="213">
        <f t="shared" si="28"/>
        <v>-162928.21063954779</v>
      </c>
      <c r="AE168" s="213">
        <f t="shared" si="29"/>
        <v>0</v>
      </c>
      <c r="AG168" s="175">
        <f t="shared" si="32"/>
        <v>0</v>
      </c>
    </row>
    <row r="169" spans="1:33" ht="15.75" x14ac:dyDescent="0.2">
      <c r="A169" s="206">
        <f t="shared" si="30"/>
        <v>139</v>
      </c>
      <c r="B169" s="88">
        <f>IF($F169="","",'הזנה לתנאי סף'!C169)</f>
        <v>1001347059</v>
      </c>
      <c r="C169" s="88">
        <f>IF($F169="","",'הזנה לתנאי סף'!D169)</f>
        <v>1001264877</v>
      </c>
      <c r="D169" s="88">
        <f>IF($F169="","",'הזנה לתנאי סף'!E169)</f>
        <v>41489885</v>
      </c>
      <c r="E169" s="88">
        <f>IF($F169="","",'הזנה לתנאי סף'!F169)</f>
        <v>20000201</v>
      </c>
      <c r="F169" s="88" t="str">
        <f>IF(OR('הזנה לתנאי סף'!G169="",'הזנה לתנאי סף'!BL169&lt;&gt;1),"",'הזנה לתנאי סף'!G169)</f>
        <v>תל אביב -יפו</v>
      </c>
      <c r="G169" s="88" t="str">
        <f>IF($F169="","",'הזנה לתנאי סף'!H169)</f>
        <v>עמותה למחול ואמניות ניב שינפלד</v>
      </c>
      <c r="H169" s="88" t="str">
        <f>IF($F169="","",'הזנה לתנאי סף'!I169)</f>
        <v>מחול</v>
      </c>
      <c r="I169" s="109">
        <v>284079</v>
      </c>
      <c r="J169" s="213">
        <f>IF($F169="","",'הזנה לתנאי סף'!S169)</f>
        <v>270649</v>
      </c>
      <c r="K169" s="109">
        <v>5161</v>
      </c>
      <c r="L169" s="213">
        <f t="shared" si="23"/>
        <v>559889</v>
      </c>
      <c r="M169" s="213">
        <f>IF($F169="","",IF(L169='הזנה לתנאי סף'!R169,1,0))</f>
        <v>1</v>
      </c>
      <c r="N169" s="214">
        <f t="shared" si="24"/>
        <v>0.50738449942756514</v>
      </c>
      <c r="O169" s="214">
        <f t="shared" si="33"/>
        <v>0.49261550057243486</v>
      </c>
      <c r="P169" s="109">
        <v>608933</v>
      </c>
      <c r="Q169" s="213">
        <f>IF($F169="","",IFERROR(IF(P169&gt;0,'פרמטרים לקריטריונים'!$C$25*P169*O169,$AG$2),""))</f>
        <v>89990.95038302234</v>
      </c>
      <c r="R169" s="213">
        <f>IF($F169="","",IFERROR('פרמטרים לקריטריונים'!$C$26*Q169,""))</f>
        <v>22128.922225333361</v>
      </c>
      <c r="S169" s="214">
        <f t="shared" si="25"/>
        <v>3.2795403276241451E-4</v>
      </c>
      <c r="T169" s="213">
        <f t="shared" si="26"/>
        <v>16397.701638120725</v>
      </c>
      <c r="U169" s="213">
        <f>IF($F169="","",'הזנה לתנאי סף'!N169)</f>
        <v>1</v>
      </c>
      <c r="V169" s="213">
        <f>IF($F169="","",'הזנה לתנאי סף'!O169)</f>
        <v>1</v>
      </c>
      <c r="W169" s="109"/>
      <c r="X169" s="109"/>
      <c r="Y169" s="109"/>
      <c r="Z169" s="214" t="str">
        <f t="shared" si="27"/>
        <v>בדוק נתוני הזנה</v>
      </c>
      <c r="AA169" s="213" t="str">
        <f>IF(OR($F169="",V169=0),"",IF(V169=1,IF(COUNTBLANK(W169:X169)&gt;0,$AG$2,IF(OR(Z169&lt;='פרמטרים לקריטריונים'!$C$27,X169&gt;W169),"",X169-W169))))</f>
        <v>בדוק נתוני הזנה</v>
      </c>
      <c r="AB169" s="214">
        <f t="shared" si="31"/>
        <v>0</v>
      </c>
      <c r="AC169" s="225" t="str">
        <f>IF(OR(AB169="",U169=1),"",IF(OR(COUNTBLANK(W169:Y169)&gt;0,AB169&gt;='פרמטרים לקריטריונים'!$E$54),'פרמטרים לקריטריונים'!$F$54,INDEX('פרמטרים לקריטריונים'!$F$49:$F$54,MATCH(AB169,'פרמטרים לקריטריונים'!$E$49:$E$54,1))))</f>
        <v/>
      </c>
      <c r="AD169" s="213" t="str">
        <f t="shared" si="28"/>
        <v/>
      </c>
      <c r="AE169" s="213">
        <f t="shared" si="29"/>
        <v>16397.701638120725</v>
      </c>
      <c r="AG169" s="175">
        <f t="shared" si="32"/>
        <v>1</v>
      </c>
    </row>
    <row r="170" spans="1:33" ht="15.75" x14ac:dyDescent="0.2">
      <c r="A170" s="206">
        <f t="shared" si="30"/>
        <v>140</v>
      </c>
      <c r="B170" s="88">
        <f>IF($F170="","",'הזנה לתנאי סף'!C170)</f>
        <v>1001348829</v>
      </c>
      <c r="C170" s="88">
        <f>IF($F170="","",'הזנה לתנאי סף'!D170)</f>
        <v>1001270276</v>
      </c>
      <c r="D170" s="88">
        <f>IF($F170="","",'הזנה לתנאי סף'!E170)</f>
        <v>41489893</v>
      </c>
      <c r="E170" s="88">
        <f>IF($F170="","",'הזנה לתנאי סף'!F170)</f>
        <v>20000201</v>
      </c>
      <c r="F170" s="88" t="str">
        <f>IF(OR('הזנה לתנאי סף'!G170="",'הזנה לתנאי סף'!BL170&lt;&gt;1),"",'הזנה לתנאי סף'!G170)</f>
        <v>תל אביב -יפו</v>
      </c>
      <c r="G170" s="88" t="str">
        <f>IF($F170="","",'הזנה לתנאי סף'!H170)</f>
        <v>תאטרון מחול יוסי ברג ועודד גרף</v>
      </c>
      <c r="H170" s="88" t="str">
        <f>IF($F170="","",'הזנה לתנאי סף'!I170)</f>
        <v>אחר</v>
      </c>
      <c r="I170" s="109">
        <v>187946</v>
      </c>
      <c r="J170" s="213">
        <f>IF($F170="","",'הזנה לתנאי סף'!S170)</f>
        <v>227671</v>
      </c>
      <c r="K170" s="109">
        <v>27000</v>
      </c>
      <c r="L170" s="213">
        <f t="shared" si="23"/>
        <v>442617</v>
      </c>
      <c r="M170" s="213">
        <f>IF($F170="","",IF(L170='הזנה לתנאי סף'!R170,1,0))</f>
        <v>1</v>
      </c>
      <c r="N170" s="214">
        <f t="shared" si="24"/>
        <v>0.42462444958056289</v>
      </c>
      <c r="O170" s="214">
        <f t="shared" si="33"/>
        <v>0.57537555041943711</v>
      </c>
      <c r="P170" s="109">
        <v>367410</v>
      </c>
      <c r="Q170" s="213">
        <f>IF($F170="","",IFERROR(IF(P170&gt;0,'פרמטרים לקריטריונים'!$C$25*P170*O170,$AG$2),""))</f>
        <v>63419.619293881617</v>
      </c>
      <c r="R170" s="213">
        <f>IF($F170="","",IFERROR('פרמטרים לקריטריונים'!$C$26*Q170,""))</f>
        <v>15594.988350954496</v>
      </c>
      <c r="S170" s="214">
        <f t="shared" si="25"/>
        <v>2.3112012724792145E-4</v>
      </c>
      <c r="T170" s="213">
        <f t="shared" si="26"/>
        <v>11556.006362396072</v>
      </c>
      <c r="U170" s="213">
        <f>IF($F170="","",'הזנה לתנאי סף'!N170)</f>
        <v>1</v>
      </c>
      <c r="V170" s="213">
        <f>IF($F170="","",'הזנה לתנאי סף'!O170)</f>
        <v>1</v>
      </c>
      <c r="W170" s="109"/>
      <c r="X170" s="109"/>
      <c r="Y170" s="109"/>
      <c r="Z170" s="214" t="str">
        <f t="shared" si="27"/>
        <v>בדוק נתוני הזנה</v>
      </c>
      <c r="AA170" s="213" t="str">
        <f>IF(OR($F170="",V170=0),"",IF(V170=1,IF(COUNTBLANK(W170:X170)&gt;0,$AG$2,IF(OR(Z170&lt;='פרמטרים לקריטריונים'!$C$27,X170&gt;W170),"",X170-W170))))</f>
        <v>בדוק נתוני הזנה</v>
      </c>
      <c r="AB170" s="214">
        <f t="shared" si="31"/>
        <v>1</v>
      </c>
      <c r="AC170" s="225" t="str">
        <f>IF(OR(AB170="",U170=1),"",IF(OR(COUNTBLANK(W170:Y170)&gt;0,AB170&gt;='פרמטרים לקריטריונים'!$E$54),'פרמטרים לקריטריונים'!$F$54,INDEX('פרמטרים לקריטריונים'!$F$49:$F$54,MATCH(AB170,'פרמטרים לקריטריונים'!$E$49:$E$54,1))))</f>
        <v/>
      </c>
      <c r="AD170" s="213" t="str">
        <f t="shared" si="28"/>
        <v/>
      </c>
      <c r="AE170" s="213">
        <f t="shared" si="29"/>
        <v>11556.006362396072</v>
      </c>
      <c r="AG170" s="175">
        <f t="shared" si="32"/>
        <v>1</v>
      </c>
    </row>
    <row r="171" spans="1:33" ht="15.75" x14ac:dyDescent="0.2">
      <c r="A171" s="206">
        <f t="shared" si="30"/>
        <v>141</v>
      </c>
      <c r="B171" s="88">
        <f>IF($F171="","",'הזנה לתנאי סף'!C171)</f>
        <v>1001346762</v>
      </c>
      <c r="C171" s="88">
        <f>IF($F171="","",'הזנה לתנאי סף'!D171)</f>
        <v>1001274754</v>
      </c>
      <c r="D171" s="88">
        <f>IF($F171="","",'הזנה לתנאי סף'!E171)</f>
        <v>41512756</v>
      </c>
      <c r="E171" s="88">
        <f>IF($F171="","",'הזנה לתנאי סף'!F171)</f>
        <v>20000071</v>
      </c>
      <c r="F171" s="88" t="str">
        <f>IF(OR('הזנה לתנאי סף'!G171="",'הזנה לתנאי סף'!BL171&lt;&gt;1),"",'הזנה לתנאי סף'!G171)</f>
        <v>ריינה</v>
      </c>
      <c r="G171" s="88" t="str">
        <f>IF($F171="","",'הזנה לתנאי סף'!H171)</f>
        <v>מרכז על-קלעה לאומנויות הבמה</v>
      </c>
      <c r="H171" s="88" t="str">
        <f>IF($F171="","",'הזנה לתנאי סף'!I171)</f>
        <v>אחר</v>
      </c>
      <c r="I171" s="109">
        <v>0</v>
      </c>
      <c r="J171" s="213">
        <f>IF($F171="","",'הזנה לתנאי סף'!S171)</f>
        <v>650986</v>
      </c>
      <c r="K171" s="109">
        <v>0</v>
      </c>
      <c r="L171" s="213">
        <f t="shared" si="23"/>
        <v>650986</v>
      </c>
      <c r="M171" s="213">
        <f>IF($F171="","",IF(L171='הזנה לתנאי סף'!R171,1,0))</f>
        <v>1</v>
      </c>
      <c r="N171" s="214">
        <f t="shared" si="24"/>
        <v>0</v>
      </c>
      <c r="O171" s="214">
        <f t="shared" si="33"/>
        <v>1</v>
      </c>
      <c r="P171" s="109">
        <v>782893</v>
      </c>
      <c r="Q171" s="213">
        <f>IF($F171="","",IFERROR(IF(P171&gt;0,'פרמטרים לקריטריונים'!$C$25*P171*O171,$AG$2),""))</f>
        <v>234867.9</v>
      </c>
      <c r="R171" s="213">
        <f>IF($F171="","",IFERROR('פרמטרים לקריטריונים'!$C$26*Q171,""))</f>
        <v>57754.401639344258</v>
      </c>
      <c r="S171" s="214">
        <f t="shared" si="25"/>
        <v>8.5592912002373039E-4</v>
      </c>
      <c r="T171" s="213">
        <f t="shared" si="26"/>
        <v>42796.456001186518</v>
      </c>
      <c r="U171" s="213">
        <f>IF($F171="","",'הזנה לתנאי סף'!N171)</f>
        <v>0</v>
      </c>
      <c r="V171" s="213">
        <f>IF($F171="","",'הזנה לתנאי סף'!O171)</f>
        <v>1</v>
      </c>
      <c r="W171" s="109">
        <v>0</v>
      </c>
      <c r="X171" s="109">
        <v>0</v>
      </c>
      <c r="Y171" s="109">
        <v>1</v>
      </c>
      <c r="Z171" s="214">
        <f t="shared" si="27"/>
        <v>0</v>
      </c>
      <c r="AA171" s="213" t="str">
        <f>IF(OR($F171="",V171=0),"",IF(V171=1,IF(COUNTBLANK(W171:X171)&gt;0,$AG$2,IF(OR(Z171&lt;='פרמטרים לקריטריונים'!$C$27,X171&gt;W171),"",X171-W171))))</f>
        <v/>
      </c>
      <c r="AB171" s="214" t="str">
        <f t="shared" si="31"/>
        <v/>
      </c>
      <c r="AC171" s="225" t="str">
        <f>IF(OR(AB171="",U171=1),"",IF(OR(COUNTBLANK(W171:Y171)&gt;0,AB171&gt;='פרמטרים לקריטריונים'!$E$54),'פרמטרים לקריטריונים'!$F$54,INDEX('פרמטרים לקריטריונים'!$F$49:$F$54,MATCH(AB171,'פרמטרים לקריטריונים'!$E$49:$E$54,1))))</f>
        <v/>
      </c>
      <c r="AD171" s="213" t="str">
        <f t="shared" si="28"/>
        <v/>
      </c>
      <c r="AE171" s="213">
        <f t="shared" si="29"/>
        <v>42796.456001186518</v>
      </c>
      <c r="AG171" s="175">
        <f t="shared" si="32"/>
        <v>0</v>
      </c>
    </row>
    <row r="172" spans="1:33" ht="15.75" x14ac:dyDescent="0.2">
      <c r="A172" s="206">
        <f t="shared" si="30"/>
        <v>142</v>
      </c>
      <c r="B172" s="88">
        <f>IF($F172="","",'הזנה לתנאי סף'!C172)</f>
        <v>1001348970</v>
      </c>
      <c r="C172" s="88">
        <f>IF($F172="","",'הזנה לתנאי סף'!D172)</f>
        <v>1001274728</v>
      </c>
      <c r="D172" s="88">
        <f>IF($F172="","",'הזנה לתנאי סף'!E172)</f>
        <v>41512788</v>
      </c>
      <c r="E172" s="88">
        <f>IF($F172="","",'הזנה לתנאי סף'!F172)</f>
        <v>20000201</v>
      </c>
      <c r="F172" s="88" t="str">
        <f>IF(OR('הזנה לתנאי סף'!G172="",'הזנה לתנאי סף'!BL172&lt;&gt;1),"",'הזנה לתנאי סף'!G172)</f>
        <v>תל אביב -יפו</v>
      </c>
      <c r="G172" s="88" t="str">
        <f>IF($F172="","",'הזנה לתנאי סף'!H172)</f>
        <v>פלטפורמא - תיאטרון אקטיביסטי</v>
      </c>
      <c r="H172" s="88" t="str">
        <f>IF($F172="","",'הזנה לתנאי סף'!I172)</f>
        <v>תיאטרון</v>
      </c>
      <c r="I172" s="109">
        <v>73973</v>
      </c>
      <c r="J172" s="213">
        <f>IF($F172="","",'הזנה לתנאי סף'!S172)</f>
        <v>404779</v>
      </c>
      <c r="K172" s="109">
        <v>0</v>
      </c>
      <c r="L172" s="213">
        <f t="shared" si="23"/>
        <v>478752</v>
      </c>
      <c r="M172" s="213">
        <f>IF($F172="","",IF(L172='הזנה לתנאי סף'!R172,1,0))</f>
        <v>1</v>
      </c>
      <c r="N172" s="214">
        <f t="shared" si="24"/>
        <v>0.15451214825212217</v>
      </c>
      <c r="O172" s="214">
        <f t="shared" si="33"/>
        <v>0.84548785174787788</v>
      </c>
      <c r="P172" s="109">
        <v>443752</v>
      </c>
      <c r="Q172" s="213">
        <f>IF($F172="","",IFERROR(IF(P172&gt;0,'פרמטרים לקריטריונים'!$C$25*P172*O172,$AG$2),""))</f>
        <v>112556.0775566473</v>
      </c>
      <c r="R172" s="213">
        <f>IF($F172="","",IFERROR('פרמטרים לקריטריונים'!$C$26*Q172,""))</f>
        <v>27677.723989339502</v>
      </c>
      <c r="S172" s="214">
        <f t="shared" si="25"/>
        <v>4.1018812880084458E-4</v>
      </c>
      <c r="T172" s="213">
        <f t="shared" si="26"/>
        <v>20509.406440042228</v>
      </c>
      <c r="U172" s="213">
        <f>IF($F172="","",'הזנה לתנאי סף'!N172)</f>
        <v>0</v>
      </c>
      <c r="V172" s="213">
        <f>IF($F172="","",'הזנה לתנאי סף'!O172)</f>
        <v>1</v>
      </c>
      <c r="W172" s="109">
        <v>0</v>
      </c>
      <c r="X172" s="109">
        <v>0</v>
      </c>
      <c r="Y172" s="109">
        <v>1</v>
      </c>
      <c r="Z172" s="214">
        <f t="shared" si="27"/>
        <v>0</v>
      </c>
      <c r="AA172" s="213" t="str">
        <f>IF(OR($F172="",V172=0),"",IF(V172=1,IF(COUNTBLANK(W172:X172)&gt;0,$AG$2,IF(OR(Z172&lt;='פרמטרים לקריטריונים'!$C$27,X172&gt;W172),"",X172-W172))))</f>
        <v/>
      </c>
      <c r="AB172" s="214" t="str">
        <f t="shared" si="31"/>
        <v/>
      </c>
      <c r="AC172" s="225" t="str">
        <f>IF(OR(AB172="",U172=1),"",IF(OR(COUNTBLANK(W172:Y172)&gt;0,AB172&gt;='פרמטרים לקריטריונים'!$E$54),'פרמטרים לקריטריונים'!$F$54,INDEX('פרמטרים לקריטריונים'!$F$49:$F$54,MATCH(AB172,'פרמטרים לקריטריונים'!$E$49:$E$54,1))))</f>
        <v/>
      </c>
      <c r="AD172" s="213" t="str">
        <f t="shared" si="28"/>
        <v/>
      </c>
      <c r="AE172" s="213">
        <f t="shared" si="29"/>
        <v>20509.406440042228</v>
      </c>
      <c r="AG172" s="175">
        <f t="shared" si="32"/>
        <v>0</v>
      </c>
    </row>
    <row r="173" spans="1:33" ht="15.75" x14ac:dyDescent="0.2">
      <c r="A173" s="206">
        <f t="shared" si="30"/>
        <v>143</v>
      </c>
      <c r="B173" s="88">
        <f>IF($F173="","",'הזנה לתנאי סף'!C173)</f>
        <v>1001350042</v>
      </c>
      <c r="C173" s="88">
        <f>IF($F173="","",'הזנה לתנאי סף'!D173)</f>
        <v>1001271349</v>
      </c>
      <c r="D173" s="88">
        <f>IF($F173="","",'הזנה לתנאי סף'!E173)</f>
        <v>41553249</v>
      </c>
      <c r="E173" s="88">
        <f>IF($F173="","",'הזנה לתנאי סף'!F173)</f>
        <v>20000201</v>
      </c>
      <c r="F173" s="88" t="str">
        <f>IF(OR('הזנה לתנאי סף'!G173="",'הזנה לתנאי סף'!BL173&lt;&gt;1),"",'הזנה לתנאי סף'!G173)</f>
        <v>תל אביב -יפו</v>
      </c>
      <c r="G173" s="88" t="str">
        <f>IF($F173="","",'הזנה לתנאי סף'!H173)</f>
        <v>גליא</v>
      </c>
      <c r="H173" s="88" t="str">
        <f>IF($F173="","",'הזנה לתנאי סף'!I173)</f>
        <v>מוסיקה-גופים כליים</v>
      </c>
      <c r="I173" s="109">
        <v>612037</v>
      </c>
      <c r="J173" s="213">
        <f>IF($F173="","",'הזנה לתנאי סף'!S173)</f>
        <v>1161910</v>
      </c>
      <c r="K173" s="109">
        <v>0</v>
      </c>
      <c r="L173" s="213">
        <f t="shared" si="23"/>
        <v>1773947</v>
      </c>
      <c r="M173" s="213">
        <f>IF($F173="","",IF(L173='הזנה לתנאי סף'!R173,1,0))</f>
        <v>1</v>
      </c>
      <c r="N173" s="214">
        <f t="shared" si="24"/>
        <v>0.34501425352617637</v>
      </c>
      <c r="O173" s="214">
        <f t="shared" si="33"/>
        <v>0.65498574647382357</v>
      </c>
      <c r="P173" s="109">
        <v>1501070</v>
      </c>
      <c r="Q173" s="213">
        <f>IF($F173="","",IFERROR(IF(P173&gt;0,'פרמטרים לקריטריונים'!$C$25*P173*O173,$AG$2),""))</f>
        <v>294953.83633783873</v>
      </c>
      <c r="R173" s="213">
        <f>IF($F173="","",IFERROR('פרמטרים לקריטריונים'!$C$26*Q173,""))</f>
        <v>72529.631886353789</v>
      </c>
      <c r="S173" s="214">
        <f t="shared" si="25"/>
        <v>1.0749003060199786E-3</v>
      </c>
      <c r="T173" s="213">
        <f t="shared" si="26"/>
        <v>53745.01530099893</v>
      </c>
      <c r="U173" s="213">
        <f>IF($F173="","",'הזנה לתנאי סף'!N173)</f>
        <v>1</v>
      </c>
      <c r="V173" s="213">
        <f>IF($F173="","",'הזנה לתנאי סף'!O173)</f>
        <v>1</v>
      </c>
      <c r="W173" s="109"/>
      <c r="X173" s="109"/>
      <c r="Y173" s="109"/>
      <c r="Z173" s="214" t="str">
        <f t="shared" si="27"/>
        <v>בדוק נתוני הזנה</v>
      </c>
      <c r="AA173" s="213" t="str">
        <f>IF(OR($F173="",V173=0),"",IF(V173=1,IF(COUNTBLANK(W173:X173)&gt;0,$AG$2,IF(OR(Z173&lt;='פרמטרים לקריטריונים'!$C$27,X173&gt;W173),"",X173-W173))))</f>
        <v>בדוק נתוני הזנה</v>
      </c>
      <c r="AB173" s="214">
        <f t="shared" si="31"/>
        <v>1</v>
      </c>
      <c r="AC173" s="225" t="str">
        <f>IF(OR(AB173="",U173=1),"",IF(OR(COUNTBLANK(W173:Y173)&gt;0,AB173&gt;='פרמטרים לקריטריונים'!$E$54),'פרמטרים לקריטריונים'!$F$54,INDEX('פרמטרים לקריטריונים'!$F$49:$F$54,MATCH(AB173,'פרמטרים לקריטריונים'!$E$49:$E$54,1))))</f>
        <v/>
      </c>
      <c r="AD173" s="213" t="str">
        <f t="shared" si="28"/>
        <v/>
      </c>
      <c r="AE173" s="213">
        <f t="shared" si="29"/>
        <v>53745.01530099893</v>
      </c>
      <c r="AG173" s="175">
        <f t="shared" si="32"/>
        <v>1</v>
      </c>
    </row>
    <row r="174" spans="1:33" ht="15.75" x14ac:dyDescent="0.2">
      <c r="A174" s="206">
        <f t="shared" si="30"/>
        <v>144</v>
      </c>
      <c r="B174" s="88">
        <f>IF($F174="","",'הזנה לתנאי סף'!C174)</f>
        <v>1001348949</v>
      </c>
      <c r="C174" s="88">
        <f>IF($F174="","",'הזנה לתנאי סף'!D174)</f>
        <v>1001290266</v>
      </c>
      <c r="D174" s="88">
        <f>IF($F174="","",'הזנה לתנאי סף'!E174)</f>
        <v>40997665</v>
      </c>
      <c r="E174" s="88">
        <f>IF($F174="","",'הזנה לתנאי סף'!F174)</f>
        <v>20000201</v>
      </c>
      <c r="F174" s="88" t="str">
        <f>IF(OR('הזנה לתנאי סף'!G174="",'הזנה לתנאי סף'!BL174&lt;&gt;1),"",'הזנה לתנאי סף'!G174)</f>
        <v>תל אביב -יפו</v>
      </c>
      <c r="G174" s="88" t="str">
        <f>IF($F174="","",'הזנה לתנאי סף'!H174)</f>
        <v>אלמינא - בית ליוצרים</v>
      </c>
      <c r="H174" s="88" t="str">
        <f>IF($F174="","",'הזנה לתנאי סף'!I174)</f>
        <v>תרבות ערבית</v>
      </c>
      <c r="I174" s="109">
        <v>1010000</v>
      </c>
      <c r="J174" s="213">
        <f>IF($F174="","",'הזנה לתנאי סף'!S174)</f>
        <v>1010850</v>
      </c>
      <c r="K174" s="109">
        <v>0</v>
      </c>
      <c r="L174" s="213">
        <f t="shared" si="23"/>
        <v>2020850</v>
      </c>
      <c r="M174" s="213">
        <f>IF($F174="","",IF(L174='הזנה לתנאי סף'!R174,1,0))</f>
        <v>1</v>
      </c>
      <c r="N174" s="214">
        <f t="shared" si="24"/>
        <v>0.49978969245614469</v>
      </c>
      <c r="O174" s="214">
        <f t="shared" si="33"/>
        <v>0.50021030754385531</v>
      </c>
      <c r="P174" s="109">
        <v>2061061</v>
      </c>
      <c r="Q174" s="213">
        <f>IF($F174="","",IFERROR(IF(P174&gt;0,'פרמטרים לקריטריונים'!$C$25*P174*O174,$AG$2),""))</f>
        <v>309289.18700299377</v>
      </c>
      <c r="R174" s="213">
        <f>IF($F174="","",IFERROR('פרמטרים לקריטריונים'!$C$26*Q174,""))</f>
        <v>76054.718115490265</v>
      </c>
      <c r="S174" s="214">
        <f t="shared" si="25"/>
        <v>1.127142626405428E-3</v>
      </c>
      <c r="T174" s="213">
        <f t="shared" si="26"/>
        <v>56357.131320271401</v>
      </c>
      <c r="U174" s="213">
        <f>IF($F174="","",'הזנה לתנאי סף'!N174)</f>
        <v>1</v>
      </c>
      <c r="V174" s="213">
        <f>IF($F174="","",'הזנה לתנאי סף'!O174)</f>
        <v>1</v>
      </c>
      <c r="W174" s="109"/>
      <c r="X174" s="109"/>
      <c r="Y174" s="109"/>
      <c r="Z174" s="214" t="str">
        <f t="shared" si="27"/>
        <v>בדוק נתוני הזנה</v>
      </c>
      <c r="AA174" s="213" t="str">
        <f>IF(OR($F174="",V174=0),"",IF(V174=1,IF(COUNTBLANK(W174:X174)&gt;0,$AG$2,IF(OR(Z174&lt;='פרמטרים לקריטריונים'!$C$27,X174&gt;W174),"",X174-W174))))</f>
        <v>בדוק נתוני הזנה</v>
      </c>
      <c r="AB174" s="214">
        <f t="shared" si="31"/>
        <v>1</v>
      </c>
      <c r="AC174" s="225" t="str">
        <f>IF(OR(AB174="",U174=1),"",IF(OR(COUNTBLANK(W174:Y174)&gt;0,AB174&gt;='פרמטרים לקריטריונים'!$E$54),'פרמטרים לקריטריונים'!$F$54,INDEX('פרמטרים לקריטריונים'!$F$49:$F$54,MATCH(AB174,'פרמטרים לקריטריונים'!$E$49:$E$54,1))))</f>
        <v/>
      </c>
      <c r="AD174" s="213" t="str">
        <f t="shared" si="28"/>
        <v/>
      </c>
      <c r="AE174" s="213">
        <f t="shared" si="29"/>
        <v>56357.131320271401</v>
      </c>
      <c r="AG174" s="175">
        <f t="shared" si="32"/>
        <v>1</v>
      </c>
    </row>
    <row r="175" spans="1:33" ht="15.75" x14ac:dyDescent="0.2">
      <c r="A175" s="206">
        <f t="shared" si="30"/>
        <v>145</v>
      </c>
      <c r="B175" s="88">
        <f>IF($F175="","",'הזנה לתנאי סף'!C175)</f>
        <v>1001350055</v>
      </c>
      <c r="C175" s="88">
        <f>IF($F175="","",'הזנה לתנאי סף'!D175)</f>
        <v>1001271380</v>
      </c>
      <c r="D175" s="88">
        <f>IF($F175="","",'הזנה לתנאי סף'!E175)</f>
        <v>41555435</v>
      </c>
      <c r="E175" s="88">
        <f>IF($F175="","",'הזנה לתנאי סף'!F175)</f>
        <v>20000159</v>
      </c>
      <c r="F175" s="88" t="str">
        <f>IF(OR('הזנה לתנאי סף'!G175="",'הזנה לתנאי סף'!BL175&lt;&gt;1),"",'הזנה לתנאי סף'!G175)</f>
        <v>ירושלים</v>
      </c>
      <c r="G175" s="88" t="str">
        <f>IF($F175="","",'הזנה לתנאי סף'!H175)</f>
        <v>מוזיאון יהדות איטליה</v>
      </c>
      <c r="H175" s="88" t="str">
        <f>IF($F175="","",'הזנה לתנאי סף'!I175)</f>
        <v>מוזיאונים</v>
      </c>
      <c r="I175" s="109">
        <v>789490</v>
      </c>
      <c r="J175" s="213">
        <f>IF($F175="","",'הזנה לתנאי סף'!S175)</f>
        <v>357178</v>
      </c>
      <c r="K175" s="109">
        <v>0</v>
      </c>
      <c r="L175" s="213">
        <f t="shared" si="23"/>
        <v>1146668</v>
      </c>
      <c r="M175" s="213">
        <f>IF($F175="","",IF(L175='הזנה לתנאי סף'!R175,1,0))</f>
        <v>1</v>
      </c>
      <c r="N175" s="214">
        <f t="shared" si="24"/>
        <v>0.68850792033962749</v>
      </c>
      <c r="O175" s="214">
        <f t="shared" si="33"/>
        <v>0.31149207966037251</v>
      </c>
      <c r="P175" s="109">
        <v>1014228</v>
      </c>
      <c r="Q175" s="213">
        <f>IF($F175="","",IFERROR(IF(P175&gt;0,'פרמטרים לקריטריונים'!$C$25*P175*O175,$AG$2),""))</f>
        <v>94777.19669093407</v>
      </c>
      <c r="R175" s="213">
        <f>IF($F175="","",IFERROR('פרמטרים לקריטריונים'!$C$26*Q175,""))</f>
        <v>23305.868038754281</v>
      </c>
      <c r="S175" s="214">
        <f t="shared" si="25"/>
        <v>3.4539655083554296E-4</v>
      </c>
      <c r="T175" s="213">
        <f t="shared" si="26"/>
        <v>17269.827541777147</v>
      </c>
      <c r="U175" s="213">
        <f>IF($F175="","",'הזנה לתנאי סף'!N175)</f>
        <v>1</v>
      </c>
      <c r="V175" s="213">
        <f>IF($F175="","",'הזנה לתנאי סף'!O175)</f>
        <v>1</v>
      </c>
      <c r="W175" s="109"/>
      <c r="X175" s="109"/>
      <c r="Y175" s="109"/>
      <c r="Z175" s="214" t="str">
        <f t="shared" si="27"/>
        <v>בדוק נתוני הזנה</v>
      </c>
      <c r="AA175" s="213" t="str">
        <f>IF(OR($F175="",V175=0),"",IF(V175=1,IF(COUNTBLANK(W175:X175)&gt;0,$AG$2,IF(OR(Z175&lt;='פרמטרים לקריטריונים'!$C$27,X175&gt;W175),"",X175-W175))))</f>
        <v>בדוק נתוני הזנה</v>
      </c>
      <c r="AB175" s="214">
        <f t="shared" si="31"/>
        <v>1</v>
      </c>
      <c r="AC175" s="225" t="str">
        <f>IF(OR(AB175="",U175=1),"",IF(OR(COUNTBLANK(W175:Y175)&gt;0,AB175&gt;='פרמטרים לקריטריונים'!$E$54),'פרמטרים לקריטריונים'!$F$54,INDEX('פרמטרים לקריטריונים'!$F$49:$F$54,MATCH(AB175,'פרמטרים לקריטריונים'!$E$49:$E$54,1))))</f>
        <v/>
      </c>
      <c r="AD175" s="213" t="str">
        <f t="shared" si="28"/>
        <v/>
      </c>
      <c r="AE175" s="213">
        <f t="shared" si="29"/>
        <v>17269.827541777147</v>
      </c>
      <c r="AG175" s="175">
        <f t="shared" si="32"/>
        <v>1</v>
      </c>
    </row>
    <row r="176" spans="1:33" ht="15.75" x14ac:dyDescent="0.2">
      <c r="A176" s="206">
        <f t="shared" si="30"/>
        <v>146</v>
      </c>
      <c r="B176" s="88">
        <f>IF($F176="","",'הזנה לתנאי סף'!C176)</f>
        <v>1001348980</v>
      </c>
      <c r="C176" s="88">
        <f>IF($F176="","",'הזנה לתנאי סף'!D176)</f>
        <v>1001311679</v>
      </c>
      <c r="D176" s="88">
        <f>IF($F176="","",'הזנה לתנאי סף'!E176)</f>
        <v>41555455</v>
      </c>
      <c r="E176" s="88">
        <f>IF($F176="","",'הזנה לתנאי סף'!F176)</f>
        <v>20000201</v>
      </c>
      <c r="F176" s="88" t="str">
        <f>IF(OR('הזנה לתנאי סף'!G176="",'הזנה לתנאי סף'!BL176&lt;&gt;1),"",'הזנה לתנאי סף'!G176)</f>
        <v>תל אביב -יפו</v>
      </c>
      <c r="G176" s="88" t="str">
        <f>IF($F176="","",'הזנה לתנאי סף'!H176)</f>
        <v>תאטרון השחר</v>
      </c>
      <c r="H176" s="88" t="str">
        <f>IF($F176="","",'הזנה לתנאי סף'!I176)</f>
        <v>תיאטרון</v>
      </c>
      <c r="I176" s="109">
        <v>0</v>
      </c>
      <c r="J176" s="213">
        <f>IF($F176="","",'הזנה לתנאי סף'!S176)</f>
        <v>523327</v>
      </c>
      <c r="K176" s="109">
        <v>0</v>
      </c>
      <c r="L176" s="213">
        <f t="shared" si="23"/>
        <v>523327</v>
      </c>
      <c r="M176" s="213">
        <f>IF($F176="","",IF(L176='הזנה לתנאי סף'!R176,1,0))</f>
        <v>1</v>
      </c>
      <c r="N176" s="214">
        <f t="shared" si="24"/>
        <v>0</v>
      </c>
      <c r="O176" s="214">
        <f t="shared" si="33"/>
        <v>1</v>
      </c>
      <c r="P176" s="109">
        <v>612774</v>
      </c>
      <c r="Q176" s="213">
        <f>IF($F176="","",IFERROR(IF(P176&gt;0,'פרמטרים לקריטריונים'!$C$25*P176*O176,$AG$2),""))</f>
        <v>183832.19999999998</v>
      </c>
      <c r="R176" s="213">
        <f>IF($F176="","",IFERROR('פרמטרים לקריטריונים'!$C$26*Q176,""))</f>
        <v>45204.639344262287</v>
      </c>
      <c r="S176" s="214">
        <f t="shared" si="25"/>
        <v>6.6993971154860415E-4</v>
      </c>
      <c r="T176" s="213">
        <f t="shared" si="26"/>
        <v>33496.985577430205</v>
      </c>
      <c r="U176" s="213">
        <f>IF($F176="","",'הזנה לתנאי סף'!N176)</f>
        <v>0</v>
      </c>
      <c r="V176" s="213">
        <f>IF($F176="","",'הזנה לתנאי סף'!O176)</f>
        <v>1</v>
      </c>
      <c r="W176" s="109">
        <v>0</v>
      </c>
      <c r="X176" s="109">
        <v>0</v>
      </c>
      <c r="Y176" s="109">
        <v>1</v>
      </c>
      <c r="Z176" s="214">
        <f t="shared" si="27"/>
        <v>0</v>
      </c>
      <c r="AA176" s="213" t="str">
        <f>IF(OR($F176="",V176=0),"",IF(V176=1,IF(COUNTBLANK(W176:X176)&gt;0,$AG$2,IF(OR(Z176&lt;='פרמטרים לקריטריונים'!$C$27,X176&gt;W176),"",X176-W176))))</f>
        <v/>
      </c>
      <c r="AB176" s="214" t="str">
        <f t="shared" si="31"/>
        <v/>
      </c>
      <c r="AC176" s="225" t="str">
        <f>IF(OR(AB176="",U176=1),"",IF(OR(COUNTBLANK(W176:Y176)&gt;0,AB176&gt;='פרמטרים לקריטריונים'!$E$54),'פרמטרים לקריטריונים'!$F$54,INDEX('פרמטרים לקריטריונים'!$F$49:$F$54,MATCH(AB176,'פרמטרים לקריטריונים'!$E$49:$E$54,1))))</f>
        <v/>
      </c>
      <c r="AD176" s="213" t="str">
        <f t="shared" si="28"/>
        <v/>
      </c>
      <c r="AE176" s="213">
        <f t="shared" si="29"/>
        <v>33496.985577430205</v>
      </c>
      <c r="AG176" s="175">
        <f t="shared" si="32"/>
        <v>0</v>
      </c>
    </row>
    <row r="177" spans="1:33" ht="15.75" x14ac:dyDescent="0.2">
      <c r="A177" s="206">
        <f t="shared" si="30"/>
        <v>147</v>
      </c>
      <c r="B177" s="88">
        <f>IF($F177="","",'הזנה לתנאי סף'!C177)</f>
        <v>1001348615</v>
      </c>
      <c r="C177" s="88">
        <f>IF($F177="","",'הזנה לתנאי סף'!D177)</f>
        <v>1001267389</v>
      </c>
      <c r="D177" s="88">
        <f>IF($F177="","",'הזנה לתנאי סף'!E177)</f>
        <v>41556008</v>
      </c>
      <c r="E177" s="88">
        <f>IF($F177="","",'הזנה לתנאי סף'!F177)</f>
        <v>20000159</v>
      </c>
      <c r="F177" s="88" t="str">
        <f>IF(OR('הזנה לתנאי סף'!G177="",'הזנה לתנאי סף'!BL177&lt;&gt;1),"",'הזנה לתנאי סף'!G177)</f>
        <v>ירושלים</v>
      </c>
      <c r="G177" s="88" t="str">
        <f>IF($F177="","",'הזנה לתנאי סף'!H177)</f>
        <v>פלמנרו נטורל</v>
      </c>
      <c r="H177" s="88" t="str">
        <f>IF($F177="","",'הזנה לתנאי סף'!I177)</f>
        <v>מחול</v>
      </c>
      <c r="I177" s="109">
        <v>323381</v>
      </c>
      <c r="J177" s="213">
        <f>IF($F177="","",'הזנה לתנאי סף'!S177)</f>
        <v>215876</v>
      </c>
      <c r="K177" s="109">
        <v>0</v>
      </c>
      <c r="L177" s="213">
        <f t="shared" si="23"/>
        <v>539257</v>
      </c>
      <c r="M177" s="213">
        <f>IF($F177="","",IF(L177='הזנה לתנאי סף'!R177,1,0))</f>
        <v>1</v>
      </c>
      <c r="N177" s="214">
        <f t="shared" si="24"/>
        <v>0.59967881733570449</v>
      </c>
      <c r="O177" s="214">
        <f t="shared" si="33"/>
        <v>0.40032118266429551</v>
      </c>
      <c r="P177" s="109">
        <v>482662</v>
      </c>
      <c r="Q177" s="213">
        <f>IF($F177="","",IFERROR(IF(P177&gt;0,'פרמטרים לקריטריונים'!$C$25*P177*O177,$AG$2),""))</f>
        <v>57965.946800134261</v>
      </c>
      <c r="R177" s="213">
        <f>IF($F177="","",IFERROR('פרמטרים לקריטריונים'!$C$26*Q177,""))</f>
        <v>14253.92134429531</v>
      </c>
      <c r="S177" s="214">
        <f t="shared" si="25"/>
        <v>2.1124530783466489E-4</v>
      </c>
      <c r="T177" s="213">
        <f t="shared" si="26"/>
        <v>10562.265391733245</v>
      </c>
      <c r="U177" s="213">
        <f>IF($F177="","",'הזנה לתנאי סף'!N177)</f>
        <v>1</v>
      </c>
      <c r="V177" s="213">
        <f>IF($F177="","",'הזנה לתנאי סף'!O177)</f>
        <v>1</v>
      </c>
      <c r="W177" s="109"/>
      <c r="X177" s="109"/>
      <c r="Y177" s="109"/>
      <c r="Z177" s="214" t="str">
        <f t="shared" si="27"/>
        <v>בדוק נתוני הזנה</v>
      </c>
      <c r="AA177" s="213" t="str">
        <f>IF(OR($F177="",V177=0),"",IF(V177=1,IF(COUNTBLANK(W177:X177)&gt;0,$AG$2,IF(OR(Z177&lt;='פרמטרים לקריטריונים'!$C$27,X177&gt;W177),"",X177-W177))))</f>
        <v>בדוק נתוני הזנה</v>
      </c>
      <c r="AB177" s="214">
        <f t="shared" si="31"/>
        <v>0</v>
      </c>
      <c r="AC177" s="225" t="str">
        <f>IF(OR(AB177="",U177=1),"",IF(OR(COUNTBLANK(W177:Y177)&gt;0,AB177&gt;='פרמטרים לקריטריונים'!$E$54),'פרמטרים לקריטריונים'!$F$54,INDEX('פרמטרים לקריטריונים'!$F$49:$F$54,MATCH(AB177,'פרמטרים לקריטריונים'!$E$49:$E$54,1))))</f>
        <v/>
      </c>
      <c r="AD177" s="213" t="str">
        <f t="shared" si="28"/>
        <v/>
      </c>
      <c r="AE177" s="213">
        <f t="shared" si="29"/>
        <v>10562.265391733245</v>
      </c>
      <c r="AG177" s="175">
        <f t="shared" si="32"/>
        <v>1</v>
      </c>
    </row>
    <row r="178" spans="1:33" ht="16.5" customHeight="1" x14ac:dyDescent="0.2">
      <c r="A178" s="206">
        <f t="shared" si="30"/>
        <v>148</v>
      </c>
      <c r="B178" s="88">
        <f>IF($F178="","",'הזנה לתנאי סף'!C178)</f>
        <v>1001348065</v>
      </c>
      <c r="C178" s="88">
        <f>IF($F178="","",'הזנה לתנאי סף'!D178)</f>
        <v>1001268860</v>
      </c>
      <c r="D178" s="88">
        <f>IF($F178="","",'הזנה לתנאי סף'!E178)</f>
        <v>41558839</v>
      </c>
      <c r="E178" s="88">
        <f>IF($F178="","",'הזנה לתנאי סף'!F178)</f>
        <v>20000041</v>
      </c>
      <c r="F178" s="88" t="str">
        <f>IF(OR('הזנה לתנאי סף'!G178="",'הזנה לתנאי סף'!BL178&lt;&gt;1),"",'הזנה לתנאי סף'!G178)</f>
        <v>דייר אל-אסד</v>
      </c>
      <c r="G178" s="88" t="str">
        <f>IF($F178="","",'הזנה לתנאי סף'!H178)</f>
        <v>אג'יאל דיר אל אסד</v>
      </c>
      <c r="H178" s="88" t="str">
        <f>IF($F178="","",'הזנה לתנאי סף'!I178)</f>
        <v>אחר</v>
      </c>
      <c r="I178" s="109">
        <v>38725</v>
      </c>
      <c r="J178" s="213">
        <f>IF($F178="","",'הזנה לתנאי סף'!S178)</f>
        <v>106420</v>
      </c>
      <c r="K178" s="109">
        <v>0</v>
      </c>
      <c r="L178" s="213">
        <f t="shared" si="23"/>
        <v>145145</v>
      </c>
      <c r="M178" s="213">
        <f>IF($F178="","",IF(L178='הזנה לתנאי סף'!R178,1,0))</f>
        <v>1</v>
      </c>
      <c r="N178" s="214">
        <f t="shared" si="24"/>
        <v>0.26680216335388751</v>
      </c>
      <c r="O178" s="214">
        <f t="shared" si="33"/>
        <v>0.73319783664611249</v>
      </c>
      <c r="P178" s="109">
        <v>157496</v>
      </c>
      <c r="Q178" s="213">
        <f>IF($F178="","",IFERROR(IF(P178&gt;0,'פרמטרים לקריטריונים'!$C$25*P178*O178,$AG$2),""))</f>
        <v>34642.717944124837</v>
      </c>
      <c r="R178" s="213">
        <f>IF($F178="","",IFERROR('פרמטרים לקריטריונים'!$C$26*Q178,""))</f>
        <v>8518.7011338011889</v>
      </c>
      <c r="S178" s="214">
        <f t="shared" si="25"/>
        <v>1.262484617316588E-4</v>
      </c>
      <c r="T178" s="213">
        <f t="shared" si="26"/>
        <v>6312.4230865829395</v>
      </c>
      <c r="U178" s="213">
        <f>IF($F178="","",'הזנה לתנאי סף'!N178)</f>
        <v>0</v>
      </c>
      <c r="V178" s="213">
        <f>IF($F178="","",'הזנה לתנאי סף'!O178)</f>
        <v>1</v>
      </c>
      <c r="W178" s="109">
        <v>0</v>
      </c>
      <c r="X178" s="109">
        <v>0</v>
      </c>
      <c r="Y178" s="109">
        <v>1</v>
      </c>
      <c r="Z178" s="214">
        <f t="shared" si="27"/>
        <v>0</v>
      </c>
      <c r="AA178" s="213" t="str">
        <f>IF(OR($F178="",V178=0),"",IF(V178=1,IF(COUNTBLANK(W178:X178)&gt;0,$AG$2,IF(OR(Z178&lt;='פרמטרים לקריטריונים'!$C$27,X178&gt;W178),"",X178-W178))))</f>
        <v/>
      </c>
      <c r="AB178" s="214" t="str">
        <f t="shared" si="31"/>
        <v/>
      </c>
      <c r="AC178" s="225" t="str">
        <f>IF(OR(AB178="",U178=1),"",IF(OR(COUNTBLANK(W178:Y178)&gt;0,AB178&gt;='פרמטרים לקריטריונים'!$E$54),'פרמטרים לקריטריונים'!$F$54,INDEX('פרמטרים לקריטריונים'!$F$49:$F$54,MATCH(AB178,'פרמטרים לקריטריונים'!$E$49:$E$54,1))))</f>
        <v/>
      </c>
      <c r="AD178" s="213" t="str">
        <f t="shared" si="28"/>
        <v/>
      </c>
      <c r="AE178" s="213">
        <f t="shared" si="29"/>
        <v>6312.4230865829395</v>
      </c>
      <c r="AG178" s="175">
        <f t="shared" si="32"/>
        <v>0</v>
      </c>
    </row>
    <row r="179" spans="1:33" ht="15.75" x14ac:dyDescent="0.2">
      <c r="A179" s="206">
        <f t="shared" si="30"/>
        <v>149</v>
      </c>
      <c r="B179" s="88">
        <f>IF($F179="","",'הזנה לתנאי סף'!C179)</f>
        <v>1001348191</v>
      </c>
      <c r="C179" s="88">
        <f>IF($F179="","",'הזנה לתנאי סף'!D179)</f>
        <v>1001268861</v>
      </c>
      <c r="D179" s="88">
        <f>IF($F179="","",'הזנה לתנאי סף'!E179)</f>
        <v>41558839</v>
      </c>
      <c r="E179" s="88">
        <f>IF($F179="","",'הזנה לתנאי סף'!F179)</f>
        <v>20000041</v>
      </c>
      <c r="F179" s="88" t="str">
        <f>IF(OR('הזנה לתנאי סף'!G179="",'הזנה לתנאי סף'!BL179&lt;&gt;1),"",'הזנה לתנאי סף'!G179)</f>
        <v>דייר אל-אסד</v>
      </c>
      <c r="G179" s="88" t="str">
        <f>IF($F179="","",'הזנה לתנאי סף'!H179)</f>
        <v>אג'יאל דיר אל אסד</v>
      </c>
      <c r="H179" s="88" t="str">
        <f>IF($F179="","",'הזנה לתנאי סף'!I179)</f>
        <v>קבוצות מוסיקה</v>
      </c>
      <c r="I179" s="109">
        <v>38725</v>
      </c>
      <c r="J179" s="213">
        <f>IF($F179="","",'הזנה לתנאי סף'!S179)</f>
        <v>95246</v>
      </c>
      <c r="K179" s="109">
        <v>0</v>
      </c>
      <c r="L179" s="213">
        <f t="shared" si="23"/>
        <v>133971</v>
      </c>
      <c r="M179" s="213">
        <f>IF($F179="","",IF(L179='הזנה לתנאי סף'!R179,1,0))</f>
        <v>1</v>
      </c>
      <c r="N179" s="214">
        <f t="shared" si="24"/>
        <v>0.28905509401288337</v>
      </c>
      <c r="O179" s="214">
        <f t="shared" si="33"/>
        <v>0.71094490598711668</v>
      </c>
      <c r="P179" s="109">
        <v>155375</v>
      </c>
      <c r="Q179" s="213">
        <f>IF($F179="","",IFERROR(IF(P179&gt;0,'פרמטרים לקריטריונים'!$C$25*P179*O179,$AG$2),""))</f>
        <v>33138.919430324473</v>
      </c>
      <c r="R179" s="213">
        <f>IF($F179="","",IFERROR('פרמטרים לקריטריונים'!$C$26*Q179,""))</f>
        <v>8148.9146140142147</v>
      </c>
      <c r="S179" s="214">
        <f t="shared" si="25"/>
        <v>1.2076816860258439E-4</v>
      </c>
      <c r="T179" s="213">
        <f t="shared" si="26"/>
        <v>6038.4084301292196</v>
      </c>
      <c r="U179" s="213">
        <f>IF($F179="","",'הזנה לתנאי סף'!N179)</f>
        <v>0</v>
      </c>
      <c r="V179" s="213">
        <f>IF($F179="","",'הזנה לתנאי סף'!O179)</f>
        <v>1</v>
      </c>
      <c r="W179" s="109">
        <v>0</v>
      </c>
      <c r="X179" s="109">
        <v>0</v>
      </c>
      <c r="Y179" s="109">
        <v>1</v>
      </c>
      <c r="Z179" s="214">
        <f t="shared" si="27"/>
        <v>0</v>
      </c>
      <c r="AA179" s="213" t="str">
        <f>IF(OR($F179="",V179=0),"",IF(V179=1,IF(COUNTBLANK(W179:X179)&gt;0,$AG$2,IF(OR(Z179&lt;='פרמטרים לקריטריונים'!$C$27,X179&gt;W179),"",X179-W179))))</f>
        <v/>
      </c>
      <c r="AB179" s="214" t="str">
        <f t="shared" si="31"/>
        <v/>
      </c>
      <c r="AC179" s="225" t="str">
        <f>IF(OR(AB179="",U179=1),"",IF(OR(COUNTBLANK(W179:Y179)&gt;0,AB179&gt;='פרמטרים לקריטריונים'!$E$54),'פרמטרים לקריטריונים'!$F$54,INDEX('פרמטרים לקריטריונים'!$F$49:$F$54,MATCH(AB179,'פרמטרים לקריטריונים'!$E$49:$E$54,1))))</f>
        <v/>
      </c>
      <c r="AD179" s="213" t="str">
        <f t="shared" si="28"/>
        <v/>
      </c>
      <c r="AE179" s="213">
        <f t="shared" si="29"/>
        <v>6038.4084301292196</v>
      </c>
      <c r="AG179" s="175">
        <f t="shared" si="32"/>
        <v>0</v>
      </c>
    </row>
    <row r="180" spans="1:33" ht="15.75" x14ac:dyDescent="0.2">
      <c r="A180" s="206">
        <f t="shared" si="30"/>
        <v>150</v>
      </c>
      <c r="B180" s="88">
        <f>IF($F180="","",'הזנה לתנאי סף'!C180)</f>
        <v>1001351065</v>
      </c>
      <c r="C180" s="88">
        <f>IF($F180="","",'הזנה לתנאי סף'!D180)</f>
        <v>1001302359</v>
      </c>
      <c r="D180" s="88">
        <f>IF($F180="","",'הזנה לתנאי סף'!E180)</f>
        <v>41635262</v>
      </c>
      <c r="E180" s="88">
        <f>IF($F180="","",'הזנה לתנאי סף'!F180)</f>
        <v>20000231</v>
      </c>
      <c r="F180" s="88" t="str">
        <f>IF(OR('הזנה לתנאי סף'!G180="",'הזנה לתנאי סף'!BL180&lt;&gt;1),"",'הזנה לתנאי סף'!G180)</f>
        <v>נצרת</v>
      </c>
      <c r="G180" s="88" t="str">
        <f>IF($F180="","",'הזנה לתנאי סף'!H180)</f>
        <v>אלמדינה לתרבות ואומנות</v>
      </c>
      <c r="H180" s="88" t="str">
        <f>IF($F180="","",'הזנה לתנאי סף'!I180)</f>
        <v>אחר</v>
      </c>
      <c r="I180" s="109">
        <v>0</v>
      </c>
      <c r="J180" s="213">
        <f>IF($F180="","",'הזנה לתנאי סף'!S180)</f>
        <v>454330</v>
      </c>
      <c r="K180" s="109">
        <v>0</v>
      </c>
      <c r="L180" s="213">
        <f t="shared" si="23"/>
        <v>454330</v>
      </c>
      <c r="M180" s="213">
        <f>IF($F180="","",IF(L180='הזנה לתנאי סף'!R180,1,0))</f>
        <v>1</v>
      </c>
      <c r="N180" s="214">
        <f t="shared" si="24"/>
        <v>0</v>
      </c>
      <c r="O180" s="214">
        <f t="shared" si="33"/>
        <v>1</v>
      </c>
      <c r="P180" s="109">
        <v>454121</v>
      </c>
      <c r="Q180" s="213">
        <f>IF($F180="","",IFERROR(IF(P180&gt;0,'פרמטרים לקריטריונים'!$C$25*P180*O180,$AG$2),""))</f>
        <v>136236.29999999999</v>
      </c>
      <c r="R180" s="213">
        <f>IF($F180="","",IFERROR('פרמטרים לקריטריונים'!$C$26*Q180,""))</f>
        <v>33500.729508196717</v>
      </c>
      <c r="S180" s="214">
        <f t="shared" si="25"/>
        <v>4.9648596668292659E-4</v>
      </c>
      <c r="T180" s="213">
        <f t="shared" si="26"/>
        <v>24824.29833414633</v>
      </c>
      <c r="U180" s="213">
        <f>IF($F180="","",'הזנה לתנאי סף'!N180)</f>
        <v>0</v>
      </c>
      <c r="V180" s="213">
        <f>IF($F180="","",'הזנה לתנאי סף'!O180)</f>
        <v>1</v>
      </c>
      <c r="W180" s="109">
        <v>0</v>
      </c>
      <c r="X180" s="109">
        <v>0</v>
      </c>
      <c r="Y180" s="109">
        <v>1</v>
      </c>
      <c r="Z180" s="214">
        <f t="shared" si="27"/>
        <v>0</v>
      </c>
      <c r="AA180" s="213" t="str">
        <f>IF(OR($F180="",V180=0),"",IF(V180=1,IF(COUNTBLANK(W180:X180)&gt;0,$AG$2,IF(OR(Z180&lt;='פרמטרים לקריטריונים'!$C$27,X180&gt;W180),"",X180-W180))))</f>
        <v/>
      </c>
      <c r="AB180" s="214" t="str">
        <f t="shared" si="31"/>
        <v/>
      </c>
      <c r="AC180" s="225" t="str">
        <f>IF(OR(AB180="",U180=1),"",IF(OR(COUNTBLANK(W180:Y180)&gt;0,AB180&gt;='פרמטרים לקריטריונים'!$E$54),'פרמטרים לקריטריונים'!$F$54,INDEX('פרמטרים לקריטריונים'!$F$49:$F$54,MATCH(AB180,'פרמטרים לקריטריונים'!$E$49:$E$54,1))))</f>
        <v/>
      </c>
      <c r="AD180" s="213" t="str">
        <f t="shared" si="28"/>
        <v/>
      </c>
      <c r="AE180" s="213">
        <f t="shared" si="29"/>
        <v>24824.29833414633</v>
      </c>
      <c r="AG180" s="175">
        <f t="shared" si="32"/>
        <v>0</v>
      </c>
    </row>
    <row r="181" spans="1:33" ht="15.75" x14ac:dyDescent="0.2">
      <c r="A181" s="206">
        <f t="shared" si="30"/>
        <v>151</v>
      </c>
      <c r="B181" s="88">
        <f>IF($F181="","",'הזנה לתנאי סף'!C181)</f>
        <v>1001348955</v>
      </c>
      <c r="C181" s="88">
        <f>IF($F181="","",'הזנה לתנאי סף'!D181)</f>
        <v>1001348955</v>
      </c>
      <c r="D181" s="88">
        <f>IF($F181="","",'הזנה לתנאי סף'!E181)</f>
        <v>41905827</v>
      </c>
      <c r="E181" s="88">
        <f>IF($F181="","",'הזנה לתנאי סף'!F181)</f>
        <v>20000189</v>
      </c>
      <c r="F181" s="88" t="str">
        <f>IF(OR('הזנה לתנאי סף'!G181="",'הזנה לתנאי סף'!BL181&lt;&gt;1),"",'הזנה לתנאי סף'!G181)</f>
        <v>מסעדה</v>
      </c>
      <c r="G181" s="88" t="str">
        <f>IF($F181="","",'הזנה לתנאי סף'!H181)</f>
        <v>גולן הייטז ארטיסטיק פרודקשין</v>
      </c>
      <c r="H181" s="88" t="str">
        <f>IF($F181="","",'הזנה לתנאי סף'!I181)</f>
        <v>תיאטרון</v>
      </c>
      <c r="I181" s="109">
        <v>0</v>
      </c>
      <c r="J181" s="213">
        <f>IF($F181="","",'הזנה לתנאי סף'!S181)</f>
        <v>227270</v>
      </c>
      <c r="K181" s="109">
        <v>0</v>
      </c>
      <c r="L181" s="213">
        <f t="shared" si="23"/>
        <v>227270</v>
      </c>
      <c r="M181" s="213">
        <f>IF($F181="","",IF(L181='הזנה לתנאי סף'!R181,1,0))</f>
        <v>1</v>
      </c>
      <c r="N181" s="214">
        <f t="shared" si="24"/>
        <v>0</v>
      </c>
      <c r="O181" s="214">
        <f t="shared" si="33"/>
        <v>1</v>
      </c>
      <c r="P181" s="109">
        <v>146365</v>
      </c>
      <c r="Q181" s="213">
        <f>IF($F181="","",IFERROR(IF(P181&gt;0,'פרמטרים לקריטריונים'!$C$25*P181*O181,$AG$2),""))</f>
        <v>43909.5</v>
      </c>
      <c r="R181" s="213">
        <f>IF($F181="","",IFERROR('פרמטרים לקריטריונים'!$C$26*Q181,""))</f>
        <v>10797.418032786885</v>
      </c>
      <c r="S181" s="214">
        <f t="shared" si="25"/>
        <v>1.6001939684257403E-4</v>
      </c>
      <c r="T181" s="213">
        <f t="shared" si="26"/>
        <v>8000.9698421287021</v>
      </c>
      <c r="U181" s="213">
        <f>IF($F181="","",'הזנה לתנאי סף'!N181)</f>
        <v>0</v>
      </c>
      <c r="V181" s="213">
        <f>IF($F181="","",'הזנה לתנאי סף'!O181)</f>
        <v>1</v>
      </c>
      <c r="W181" s="109">
        <v>0</v>
      </c>
      <c r="X181" s="109">
        <v>0</v>
      </c>
      <c r="Y181" s="109">
        <v>1</v>
      </c>
      <c r="Z181" s="214">
        <f t="shared" si="27"/>
        <v>0</v>
      </c>
      <c r="AA181" s="213" t="str">
        <f>IF(OR($F181="",V181=0),"",IF(V181=1,IF(COUNTBLANK(W181:X181)&gt;0,$AG$2,IF(OR(Z181&lt;='פרמטרים לקריטריונים'!$C$27,X181&gt;W181),"",X181-W181))))</f>
        <v/>
      </c>
      <c r="AB181" s="214" t="str">
        <f t="shared" si="31"/>
        <v/>
      </c>
      <c r="AC181" s="225" t="str">
        <f>IF(OR(AB181="",U181=1),"",IF(OR(COUNTBLANK(W181:Y181)&gt;0,AB181&gt;='פרמטרים לקריטריונים'!$E$54),'פרמטרים לקריטריונים'!$F$54,INDEX('פרמטרים לקריטריונים'!$F$49:$F$54,MATCH(AB181,'פרמטרים לקריטריונים'!$E$49:$E$54,1))))</f>
        <v/>
      </c>
      <c r="AD181" s="213" t="str">
        <f t="shared" si="28"/>
        <v/>
      </c>
      <c r="AE181" s="213">
        <f t="shared" si="29"/>
        <v>8000.9698421287021</v>
      </c>
      <c r="AG181" s="175">
        <f t="shared" si="32"/>
        <v>0</v>
      </c>
    </row>
    <row r="182" spans="1:33" ht="15.75" x14ac:dyDescent="0.2">
      <c r="A182" s="206">
        <f t="shared" si="30"/>
        <v>152</v>
      </c>
      <c r="B182" s="88">
        <f>IF($F182="","",'הזנה לתנאי סף'!C182)</f>
        <v>1001347088</v>
      </c>
      <c r="C182" s="88">
        <f>IF($F182="","",'הזנה לתנאי סף'!D182)</f>
        <v>1001301993</v>
      </c>
      <c r="D182" s="88">
        <f>IF($F182="","",'הזנה לתנאי סף'!E182)</f>
        <v>42000072</v>
      </c>
      <c r="E182" s="88">
        <f>IF($F182="","",'הזנה לתנאי סף'!F182)</f>
        <v>20000055</v>
      </c>
      <c r="F182" s="88" t="str">
        <f>IF(OR('הזנה לתנאי סף'!G182="",'הזנה לתנאי סף'!BL182&lt;&gt;1),"",'הזנה לתנאי סף'!G182)</f>
        <v>מג'ד אל-כרום</v>
      </c>
      <c r="G182" s="88" t="str">
        <f>IF($F182="","",'הזנה לתנאי סף'!H182)</f>
        <v>כנארי עמותה לקידום המוסיקה והשירה</v>
      </c>
      <c r="H182" s="88" t="str">
        <f>IF($F182="","",'הזנה לתנאי סף'!I182)</f>
        <v>אחר</v>
      </c>
      <c r="I182" s="109">
        <v>0</v>
      </c>
      <c r="J182" s="213">
        <f>IF($F182="","",'הזנה לתנאי סף'!S182)</f>
        <v>174450</v>
      </c>
      <c r="K182" s="109">
        <v>0</v>
      </c>
      <c r="L182" s="213">
        <f t="shared" si="23"/>
        <v>174450</v>
      </c>
      <c r="M182" s="213">
        <f>IF($F182="","",IF(L182='הזנה לתנאי סף'!R182,1,0))</f>
        <v>1</v>
      </c>
      <c r="N182" s="214">
        <f t="shared" si="24"/>
        <v>0</v>
      </c>
      <c r="O182" s="214">
        <f t="shared" si="33"/>
        <v>1</v>
      </c>
      <c r="P182" s="109">
        <v>194401</v>
      </c>
      <c r="Q182" s="213">
        <f>IF($F182="","",IFERROR(IF(P182&gt;0,'פרמטרים לקריטריונים'!$C$25*P182*O182,$AG$2),""))</f>
        <v>58320.299999999996</v>
      </c>
      <c r="R182" s="213">
        <f>IF($F182="","",IFERROR('פרמטרים לקריטריונים'!$C$26*Q182,""))</f>
        <v>14341.057377049179</v>
      </c>
      <c r="S182" s="214">
        <f t="shared" si="25"/>
        <v>2.1253667724929615E-4</v>
      </c>
      <c r="T182" s="213">
        <f t="shared" si="26"/>
        <v>10626.833862464808</v>
      </c>
      <c r="U182" s="213">
        <f>IF($F182="","",'הזנה לתנאי סף'!N182)</f>
        <v>0</v>
      </c>
      <c r="V182" s="213">
        <f>IF($F182="","",'הזנה לתנאי סף'!O182)</f>
        <v>1</v>
      </c>
      <c r="W182" s="109">
        <v>0</v>
      </c>
      <c r="X182" s="109">
        <v>0</v>
      </c>
      <c r="Y182" s="109">
        <v>1</v>
      </c>
      <c r="Z182" s="214">
        <f t="shared" si="27"/>
        <v>0</v>
      </c>
      <c r="AA182" s="213" t="str">
        <f>IF(OR($F182="",V182=0),"",IF(V182=1,IF(COUNTBLANK(W182:X182)&gt;0,$AG$2,IF(OR(Z182&lt;='פרמטרים לקריטריונים'!$C$27,X182&gt;W182),"",X182-W182))))</f>
        <v/>
      </c>
      <c r="AB182" s="214" t="str">
        <f t="shared" si="31"/>
        <v/>
      </c>
      <c r="AC182" s="225" t="str">
        <f>IF(OR(AB182="",U182=1),"",IF(OR(COUNTBLANK(W182:Y182)&gt;0,AB182&gt;='פרמטרים לקריטריונים'!$E$54),'פרמטרים לקריטריונים'!$F$54,INDEX('פרמטרים לקריטריונים'!$F$49:$F$54,MATCH(AB182,'פרמטרים לקריטריונים'!$E$49:$E$54,1))))</f>
        <v/>
      </c>
      <c r="AD182" s="213" t="str">
        <f t="shared" si="28"/>
        <v/>
      </c>
      <c r="AE182" s="213">
        <f t="shared" si="29"/>
        <v>10626.833862464808</v>
      </c>
      <c r="AG182" s="175">
        <f t="shared" si="32"/>
        <v>0</v>
      </c>
    </row>
    <row r="183" spans="1:33" ht="15.75" x14ac:dyDescent="0.2">
      <c r="A183" s="206">
        <f t="shared" si="30"/>
        <v>153</v>
      </c>
      <c r="B183" s="88">
        <f>IF($F183="","",'הזנה לתנאי סף'!C183)</f>
        <v>1001348513</v>
      </c>
      <c r="C183" s="88">
        <f>IF($F183="","",'הזנה לתנאי סף'!D183)</f>
        <v>1001271351</v>
      </c>
      <c r="D183" s="88">
        <f>IF($F183="","",'הזנה לתנאי סף'!E183)</f>
        <v>40000594</v>
      </c>
      <c r="E183" s="88">
        <f>IF($F183="","",'הזנה לתנאי סף'!F183)</f>
        <v>20000185</v>
      </c>
      <c r="F183" s="88" t="str">
        <f>IF(OR('הזנה לתנאי סף'!G183="",'הזנה לתנאי סף'!BL183&lt;&gt;1),"",'הזנה לתנאי סף'!G183)</f>
        <v>עמק חפר</v>
      </c>
      <c r="G183" s="88" t="str">
        <f>IF($F183="","",'הזנה לתנאי סף'!H183)</f>
        <v>עמותת מקהלות מורן והבית לשירה בישרא</v>
      </c>
      <c r="H183" s="88" t="str">
        <f>IF($F183="","",'הזנה לתנאי סף'!I183)</f>
        <v>מקהלות</v>
      </c>
      <c r="I183" s="109">
        <v>110053</v>
      </c>
      <c r="J183" s="213">
        <f>IF($F183="","",'הזנה לתנאי סף'!S183)</f>
        <v>112516</v>
      </c>
      <c r="K183" s="109">
        <v>0</v>
      </c>
      <c r="L183" s="213">
        <f t="shared" si="23"/>
        <v>222569</v>
      </c>
      <c r="M183" s="213">
        <f>IF($F183="","",IF(L183='הזנה לתנאי סף'!R183,1,0))</f>
        <v>1</v>
      </c>
      <c r="N183" s="214">
        <f t="shared" si="24"/>
        <v>0.49446688442685188</v>
      </c>
      <c r="O183" s="214">
        <f t="shared" si="33"/>
        <v>0.50553311557314817</v>
      </c>
      <c r="P183" s="109">
        <v>222569</v>
      </c>
      <c r="Q183" s="213">
        <f>IF($F183="","",IFERROR(IF(P183&gt;0,'פרמטרים לקריטריונים'!$C$25*P183*O183,$AG$2),""))</f>
        <v>33754.800000000003</v>
      </c>
      <c r="R183" s="213">
        <f>IF($F183="","",IFERROR('פרמטרים לקריטריונים'!$C$26*Q183,""))</f>
        <v>8300.3606557377061</v>
      </c>
      <c r="S183" s="214">
        <f t="shared" si="25"/>
        <v>1.2301262224670559E-4</v>
      </c>
      <c r="T183" s="213">
        <f t="shared" si="26"/>
        <v>6150.6311123352789</v>
      </c>
      <c r="U183" s="213">
        <f>IF($F183="","",'הזנה לתנאי סף'!N183)</f>
        <v>0</v>
      </c>
      <c r="V183" s="213">
        <f>IF($F183="","",'הזנה לתנאי סף'!O183)</f>
        <v>1</v>
      </c>
      <c r="W183" s="109">
        <v>0</v>
      </c>
      <c r="X183" s="109">
        <v>0</v>
      </c>
      <c r="Y183" s="109">
        <v>1</v>
      </c>
      <c r="Z183" s="214">
        <f t="shared" si="27"/>
        <v>0</v>
      </c>
      <c r="AA183" s="213" t="str">
        <f>IF(OR($F183="",V183=0),"",IF(V183=1,IF(COUNTBLANK(W183:X183)&gt;0,$AG$2,IF(OR(Z183&lt;='פרמטרים לקריטריונים'!$C$27,X183&gt;W183),"",X183-W183))))</f>
        <v/>
      </c>
      <c r="AB183" s="214" t="str">
        <f t="shared" si="31"/>
        <v/>
      </c>
      <c r="AC183" s="225" t="str">
        <f>IF(OR(AB183="",U183=1),"",IF(OR(COUNTBLANK(W183:Y183)&gt;0,AB183&gt;='פרמטרים לקריטריונים'!$E$54),'פרמטרים לקריטריונים'!$F$54,INDEX('פרמטרים לקריטריונים'!$F$49:$F$54,MATCH(AB183,'פרמטרים לקריטריונים'!$E$49:$E$54,1))))</f>
        <v/>
      </c>
      <c r="AD183" s="213" t="str">
        <f t="shared" si="28"/>
        <v/>
      </c>
      <c r="AE183" s="213">
        <f t="shared" si="29"/>
        <v>6150.6311123352789</v>
      </c>
      <c r="AG183" s="175">
        <f t="shared" si="32"/>
        <v>0</v>
      </c>
    </row>
    <row r="184" spans="1:33" ht="15.75" x14ac:dyDescent="0.2">
      <c r="A184" s="206">
        <f t="shared" si="30"/>
        <v>154</v>
      </c>
      <c r="B184" s="88">
        <f>IF($F184="","",'הזנה לתנאי סף'!C184)</f>
        <v>1001347628</v>
      </c>
      <c r="C184" s="88">
        <f>IF($F184="","",'הזנה לתנאי סף'!D184)</f>
        <v>1001263875</v>
      </c>
      <c r="D184" s="88">
        <f>IF($F184="","",'הזנה לתנאי סף'!E184)</f>
        <v>40384415</v>
      </c>
      <c r="E184" s="88">
        <f>IF($F184="","",'הזנה לתנאי סף'!F184)</f>
        <v>20000095</v>
      </c>
      <c r="F184" s="88" t="str">
        <f>IF(OR('הזנה לתנאי סף'!G184="",'הזנה לתנאי סף'!BL184&lt;&gt;1),"",'הזנה לתנאי סף'!G184)</f>
        <v>מטה יהודה</v>
      </c>
      <c r="G184" s="88" t="str">
        <f>IF($F184="","",'הזנה לתנאי סף'!H184)</f>
        <v>סינמטק ראש פינה (ע"ר)</v>
      </c>
      <c r="H184" s="88" t="str">
        <f>IF($F184="","",'הזנה לתנאי סף'!I184)</f>
        <v>סינמטקים ופסטיבלים</v>
      </c>
      <c r="I184" s="109">
        <v>361823</v>
      </c>
      <c r="J184" s="213">
        <f>IF($F184="","",'הזנה לתנאי סף'!S184)</f>
        <v>1453848</v>
      </c>
      <c r="K184" s="109">
        <v>0</v>
      </c>
      <c r="L184" s="213">
        <f t="shared" si="23"/>
        <v>1815671</v>
      </c>
      <c r="M184" s="213">
        <f>IF($F184="","",IF(L184='הזנה לתנאי סף'!R184,1,0))</f>
        <v>1</v>
      </c>
      <c r="N184" s="214">
        <f t="shared" si="24"/>
        <v>0.19927784273692756</v>
      </c>
      <c r="O184" s="214">
        <f t="shared" si="33"/>
        <v>0.8007221572630725</v>
      </c>
      <c r="P184" s="109">
        <v>1844588</v>
      </c>
      <c r="Q184" s="213">
        <f>IF($F184="","",IFERROR(IF(P184&gt;0,'פרמטרים לקריטריונים'!$C$25*P184*O184,$AG$2),""))</f>
        <v>443100.74478647293</v>
      </c>
      <c r="R184" s="213">
        <f>IF($F184="","",IFERROR('פרמטרים לקריטריונים'!$C$26*Q184,""))</f>
        <v>108959.19953765727</v>
      </c>
      <c r="S184" s="214">
        <f t="shared" si="25"/>
        <v>1.6147921046977699E-3</v>
      </c>
      <c r="T184" s="213">
        <f t="shared" si="26"/>
        <v>80739.605234888499</v>
      </c>
      <c r="U184" s="213">
        <f>IF($F184="","",'הזנה לתנאי סף'!N184)</f>
        <v>1</v>
      </c>
      <c r="V184" s="213">
        <f>IF($F184="","",'הזנה לתנאי סף'!O184)</f>
        <v>1</v>
      </c>
      <c r="W184" s="109"/>
      <c r="X184" s="109"/>
      <c r="Y184" s="109"/>
      <c r="Z184" s="214" t="str">
        <f t="shared" si="27"/>
        <v>בדוק נתוני הזנה</v>
      </c>
      <c r="AA184" s="213" t="str">
        <f>IF(OR($F184="",V184=0),"",IF(V184=1,IF(COUNTBLANK(W184:X184)&gt;0,$AG$2,IF(OR(Z184&lt;='פרמטרים לקריטריונים'!$C$27,X184&gt;W184),"",X184-W184))))</f>
        <v>בדוק נתוני הזנה</v>
      </c>
      <c r="AB184" s="214">
        <f t="shared" si="31"/>
        <v>0</v>
      </c>
      <c r="AC184" s="225" t="str">
        <f>IF(OR(AB184="",U184=1),"",IF(OR(COUNTBLANK(W184:Y184)&gt;0,AB184&gt;='פרמטרים לקריטריונים'!$E$54),'פרמטרים לקריטריונים'!$F$54,INDEX('פרמטרים לקריטריונים'!$F$49:$F$54,MATCH(AB184,'פרמטרים לקריטריונים'!$E$49:$E$54,1))))</f>
        <v/>
      </c>
      <c r="AD184" s="213" t="str">
        <f t="shared" si="28"/>
        <v/>
      </c>
      <c r="AE184" s="213">
        <f t="shared" si="29"/>
        <v>80739.605234888499</v>
      </c>
      <c r="AG184" s="175">
        <f t="shared" si="32"/>
        <v>1</v>
      </c>
    </row>
    <row r="185" spans="1:33" ht="15.75" x14ac:dyDescent="0.2">
      <c r="A185" s="206">
        <f t="shared" si="30"/>
        <v>155</v>
      </c>
      <c r="B185" s="88">
        <f>IF($F185="","",'הזנה לתנאי סף'!C185)</f>
        <v>1001349214</v>
      </c>
      <c r="C185" s="88">
        <f>IF($F185="","",'הזנה לתנאי סף'!D185)</f>
        <v>1001275601</v>
      </c>
      <c r="D185" s="88">
        <f>IF($F185="","",'הזנה לתנאי סף'!E185)</f>
        <v>40395783</v>
      </c>
      <c r="E185" s="88">
        <f>IF($F185="","",'הזנה לתנאי סף'!F185)</f>
        <v>20000139</v>
      </c>
      <c r="F185" s="88" t="str">
        <f>IF(OR('הזנה לתנאי סף'!G185="",'הזנה לתנאי סף'!BL185&lt;&gt;1),"",'הזנה לתנאי סף'!G185)</f>
        <v>מטה אשר</v>
      </c>
      <c r="G185" s="88" t="str">
        <f>IF($F185="","",'הזנה לתנאי סף'!H185)</f>
        <v>להקת המחול הקיבוצית (ע"ר)</v>
      </c>
      <c r="H185" s="88" t="str">
        <f>IF($F185="","",'הזנה לתנאי סף'!I185)</f>
        <v>מחול</v>
      </c>
      <c r="I185" s="109">
        <v>9394488</v>
      </c>
      <c r="J185" s="213">
        <f>IF($F185="","",'הזנה לתנאי סף'!S185)</f>
        <v>9293339</v>
      </c>
      <c r="K185" s="109">
        <v>400</v>
      </c>
      <c r="L185" s="213">
        <f t="shared" si="23"/>
        <v>18688227</v>
      </c>
      <c r="M185" s="213">
        <f>IF($F185="","",IF(L185='הזנה לתנאי סף'!R185,1,0))</f>
        <v>1</v>
      </c>
      <c r="N185" s="214">
        <f t="shared" si="24"/>
        <v>0.50269552055419708</v>
      </c>
      <c r="O185" s="214">
        <f t="shared" si="33"/>
        <v>0.49730447944580292</v>
      </c>
      <c r="P185" s="109">
        <v>16873654</v>
      </c>
      <c r="Q185" s="213">
        <f>IF($F185="","",IFERROR(IF(P185&gt;0,'פרמטרים לקריטריונים'!$C$25*P185*O185,$AG$2),""))</f>
        <v>2517403.1156455772</v>
      </c>
      <c r="R185" s="213">
        <f>IF($F185="","",IFERROR('פרמטרים לקריטריונים'!$C$26*Q185,""))</f>
        <v>619033.55302760098</v>
      </c>
      <c r="S185" s="214">
        <f t="shared" si="25"/>
        <v>9.1741725179112013E-3</v>
      </c>
      <c r="T185" s="213">
        <f t="shared" si="26"/>
        <v>458708.62589556008</v>
      </c>
      <c r="U185" s="213">
        <f>IF($F185="","",'הזנה לתנאי סף'!N185)</f>
        <v>0</v>
      </c>
      <c r="V185" s="213">
        <f>IF($F185="","",'הזנה לתנאי סף'!O185)</f>
        <v>1</v>
      </c>
      <c r="W185" s="109">
        <v>0</v>
      </c>
      <c r="X185" s="109">
        <v>0</v>
      </c>
      <c r="Y185" s="109">
        <v>1</v>
      </c>
      <c r="Z185" s="214">
        <f t="shared" si="27"/>
        <v>0</v>
      </c>
      <c r="AA185" s="213" t="str">
        <f>IF(OR($F185="",V185=0),"",IF(V185=1,IF(COUNTBLANK(W185:X185)&gt;0,$AG$2,IF(OR(Z185&lt;='פרמטרים לקריטריונים'!$C$27,X185&gt;W185),"",X185-W185))))</f>
        <v/>
      </c>
      <c r="AB185" s="214" t="str">
        <f t="shared" si="31"/>
        <v/>
      </c>
      <c r="AC185" s="225" t="str">
        <f>IF(OR(AB185="",U185=1),"",IF(OR(COUNTBLANK(W185:Y185)&gt;0,AB185&gt;='פרמטרים לקריטריונים'!$E$54),'פרמטרים לקריטריונים'!$F$54,INDEX('פרמטרים לקריטריונים'!$F$49:$F$54,MATCH(AB185,'פרמטרים לקריטריונים'!$E$49:$E$54,1))))</f>
        <v/>
      </c>
      <c r="AD185" s="213" t="str">
        <f t="shared" si="28"/>
        <v/>
      </c>
      <c r="AE185" s="213">
        <f t="shared" si="29"/>
        <v>458708.62589556008</v>
      </c>
      <c r="AG185" s="175">
        <f t="shared" si="32"/>
        <v>0</v>
      </c>
    </row>
    <row r="186" spans="1:33" ht="15.75" x14ac:dyDescent="0.2">
      <c r="A186" s="206">
        <f t="shared" si="30"/>
        <v>156</v>
      </c>
      <c r="B186" s="88">
        <f>IF($F186="","",'הזנה לתנאי סף'!C186)</f>
        <v>1001350960</v>
      </c>
      <c r="C186" s="88">
        <f>IF($F186="","",'הזנה לתנאי סף'!D186)</f>
        <v>1001273357</v>
      </c>
      <c r="D186" s="88">
        <f>IF($F186="","",'הזנה לתנאי סף'!E186)</f>
        <v>40404400</v>
      </c>
      <c r="E186" s="88">
        <f>IF($F186="","",'הזנה לתנאי סף'!F186)</f>
        <v>20000159</v>
      </c>
      <c r="F186" s="88" t="str">
        <f>IF(OR('הזנה לתנאי סף'!G186="",'הזנה לתנאי סף'!BL186&lt;&gt;1),"",'הזנה לתנאי סף'!G186)</f>
        <v>ירושלים</v>
      </c>
      <c r="G186" s="88" t="str">
        <f>IF($F186="","",'הזנה לתנאי סף'!H186)</f>
        <v>סדנאות האמנים</v>
      </c>
      <c r="H186" s="88" t="str">
        <f>IF($F186="","",'הזנה לתנאי סף'!I186)</f>
        <v>אחר</v>
      </c>
      <c r="I186" s="109">
        <v>539088</v>
      </c>
      <c r="J186" s="213">
        <f>IF($F186="","",'הזנה לתנאי סף'!S186)</f>
        <v>513552</v>
      </c>
      <c r="K186" s="109">
        <v>0</v>
      </c>
      <c r="L186" s="213">
        <f t="shared" si="23"/>
        <v>1052640</v>
      </c>
      <c r="M186" s="213">
        <f>IF($F186="","",IF(L186='הזנה לתנאי סף'!R186,1,0))</f>
        <v>1</v>
      </c>
      <c r="N186" s="214">
        <f t="shared" si="24"/>
        <v>0.5121295029639763</v>
      </c>
      <c r="O186" s="214">
        <f t="shared" si="33"/>
        <v>0.4878704970360237</v>
      </c>
      <c r="P186" s="109">
        <v>1051861</v>
      </c>
      <c r="Q186" s="213">
        <f>IF($F186="","",IFERROR(IF(P186&gt;0,'פרמטרים לקריטריונים'!$C$25*P186*O186,$AG$2),""))</f>
        <v>153951.58466484267</v>
      </c>
      <c r="R186" s="213">
        <f>IF($F186="","",IFERROR('פרמטרים לקריטריונים'!$C$26*Q186,""))</f>
        <v>37856.947048731803</v>
      </c>
      <c r="S186" s="214">
        <f t="shared" si="25"/>
        <v>5.6104578100471634E-4</v>
      </c>
      <c r="T186" s="213">
        <f t="shared" si="26"/>
        <v>28052.289050235817</v>
      </c>
      <c r="U186" s="213">
        <f>IF($F186="","",'הזנה לתנאי סף'!N186)</f>
        <v>1</v>
      </c>
      <c r="V186" s="213">
        <f>IF($F186="","",'הזנה לתנאי סף'!O186)</f>
        <v>1</v>
      </c>
      <c r="W186" s="109"/>
      <c r="X186" s="109"/>
      <c r="Y186" s="109"/>
      <c r="Z186" s="214" t="str">
        <f t="shared" si="27"/>
        <v>בדוק נתוני הזנה</v>
      </c>
      <c r="AA186" s="213" t="str">
        <f>IF(OR($F186="",V186=0),"",IF(V186=1,IF(COUNTBLANK(W186:X186)&gt;0,$AG$2,IF(OR(Z186&lt;='פרמטרים לקריטריונים'!$C$27,X186&gt;W186),"",X186-W186))))</f>
        <v>בדוק נתוני הזנה</v>
      </c>
      <c r="AB186" s="214">
        <f t="shared" si="31"/>
        <v>0</v>
      </c>
      <c r="AC186" s="225" t="str">
        <f>IF(OR(AB186="",U186=1),"",IF(OR(COUNTBLANK(W186:Y186)&gt;0,AB186&gt;='פרמטרים לקריטריונים'!$E$54),'פרמטרים לקריטריונים'!$F$54,INDEX('פרמטרים לקריטריונים'!$F$49:$F$54,MATCH(AB186,'פרמטרים לקריטריונים'!$E$49:$E$54,1))))</f>
        <v/>
      </c>
      <c r="AD186" s="213" t="str">
        <f t="shared" si="28"/>
        <v/>
      </c>
      <c r="AE186" s="213">
        <f t="shared" si="29"/>
        <v>28052.289050235817</v>
      </c>
      <c r="AG186" s="175">
        <f t="shared" si="32"/>
        <v>1</v>
      </c>
    </row>
    <row r="187" spans="1:33" ht="15.75" x14ac:dyDescent="0.2">
      <c r="A187" s="206">
        <f t="shared" si="30"/>
        <v>157</v>
      </c>
      <c r="B187" s="88">
        <f>IF($F187="","",'הזנה לתנאי סף'!C187)</f>
        <v>1001347605</v>
      </c>
      <c r="C187" s="88">
        <f>IF($F187="","",'הזנה לתנאי סף'!D187)</f>
        <v>1001268753</v>
      </c>
      <c r="D187" s="88">
        <f>IF($F187="","",'הזנה לתנאי סף'!E187)</f>
        <v>40507218</v>
      </c>
      <c r="E187" s="88">
        <f>IF($F187="","",'הזנה לתנאי סף'!F187)</f>
        <v>20000122</v>
      </c>
      <c r="F187" s="88" t="str">
        <f>IF(OR('הזנה לתנאי סף'!G187="",'הזנה לתנאי סף'!BL187&lt;&gt;1),"",'הזנה לתנאי סף'!G187)</f>
        <v>אלעד</v>
      </c>
      <c r="G187" s="88" t="str">
        <f>IF($F187="","",'הזנה לתנאי סף'!H187)</f>
        <v>ארגון אמנים משמחי לב (ע"ר)</v>
      </c>
      <c r="H187" s="88" t="str">
        <f>IF($F187="","",'הזנה לתנאי סף'!I187)</f>
        <v>תיאטרון</v>
      </c>
      <c r="I187" s="109">
        <v>0</v>
      </c>
      <c r="J187" s="213">
        <f>IF($F187="","",'הזנה לתנאי סף'!S187)</f>
        <v>1809543</v>
      </c>
      <c r="K187" s="109">
        <v>0</v>
      </c>
      <c r="L187" s="213">
        <f t="shared" si="23"/>
        <v>1809543</v>
      </c>
      <c r="M187" s="213">
        <f>IF($F187="","",IF(L187='הזנה לתנאי סף'!R187,1,0))</f>
        <v>1</v>
      </c>
      <c r="N187" s="214">
        <f t="shared" si="24"/>
        <v>0</v>
      </c>
      <c r="O187" s="214">
        <f t="shared" si="33"/>
        <v>1</v>
      </c>
      <c r="P187" s="109">
        <v>1870550</v>
      </c>
      <c r="Q187" s="213">
        <f>IF($F187="","",IFERROR(IF(P187&gt;0,'פרמטרים לקריטריונים'!$C$25*P187*O187,$AG$2),""))</f>
        <v>561165</v>
      </c>
      <c r="R187" s="213">
        <f>IF($F187="","",IFERROR('פרמטרים לקריטריונים'!$C$26*Q187,""))</f>
        <v>137991.39344262294</v>
      </c>
      <c r="S187" s="214">
        <f t="shared" si="25"/>
        <v>2.0450536860853129E-3</v>
      </c>
      <c r="T187" s="213">
        <f t="shared" si="26"/>
        <v>102252.68430426564</v>
      </c>
      <c r="U187" s="213">
        <f>IF($F187="","",'הזנה לתנאי סף'!N187)</f>
        <v>0</v>
      </c>
      <c r="V187" s="213">
        <f>IF($F187="","",'הזנה לתנאי סף'!O187)</f>
        <v>1</v>
      </c>
      <c r="W187" s="109">
        <v>0</v>
      </c>
      <c r="X187" s="109">
        <v>0</v>
      </c>
      <c r="Y187" s="109">
        <v>1</v>
      </c>
      <c r="Z187" s="214">
        <f t="shared" si="27"/>
        <v>0</v>
      </c>
      <c r="AA187" s="213" t="str">
        <f>IF(OR($F187="",V187=0),"",IF(V187=1,IF(COUNTBLANK(W187:X187)&gt;0,$AG$2,IF(OR(Z187&lt;='פרמטרים לקריטריונים'!$C$27,X187&gt;W187),"",X187-W187))))</f>
        <v/>
      </c>
      <c r="AB187" s="214" t="str">
        <f t="shared" si="31"/>
        <v/>
      </c>
      <c r="AC187" s="225" t="str">
        <f>IF(OR(AB187="",U187=1),"",IF(OR(COUNTBLANK(W187:Y187)&gt;0,AB187&gt;='פרמטרים לקריטריונים'!$E$54),'פרמטרים לקריטריונים'!$F$54,INDEX('פרמטרים לקריטריונים'!$F$49:$F$54,MATCH(AB187,'פרמטרים לקריטריונים'!$E$49:$E$54,1))))</f>
        <v/>
      </c>
      <c r="AD187" s="213" t="str">
        <f t="shared" si="28"/>
        <v/>
      </c>
      <c r="AE187" s="213">
        <f t="shared" si="29"/>
        <v>102252.68430426564</v>
      </c>
      <c r="AG187" s="175">
        <f t="shared" si="32"/>
        <v>0</v>
      </c>
    </row>
    <row r="188" spans="1:33" ht="15.75" x14ac:dyDescent="0.2">
      <c r="A188" s="206">
        <f t="shared" si="30"/>
        <v>158</v>
      </c>
      <c r="B188" s="88">
        <f>IF($F188="","",'הזנה לתנאי סף'!C188)</f>
        <v>1001347746</v>
      </c>
      <c r="C188" s="88">
        <f>IF($F188="","",'הזנה לתנאי סף'!D188)</f>
        <v>1001278693</v>
      </c>
      <c r="D188" s="88">
        <f>IF($F188="","",'הזנה לתנאי סף'!E188)</f>
        <v>40521896</v>
      </c>
      <c r="E188" s="88">
        <f>IF($F188="","",'הזנה לתנאי סף'!F188)</f>
        <v>20000254</v>
      </c>
      <c r="F188" s="88" t="str">
        <f>IF(OR('הזנה לתנאי סף'!G188="",'הזנה לתנאי סף'!BL188&lt;&gt;1),"",'הזנה לתנאי סף'!G188)</f>
        <v>באר שבע</v>
      </c>
      <c r="G188" s="88" t="str">
        <f>IF($F188="","",'הזנה לתנאי סף'!H188)</f>
        <v>תיאטרון הפרינג' באר שבע (ע"ר)</v>
      </c>
      <c r="H188" s="88" t="str">
        <f>IF($F188="","",'הזנה לתנאי סף'!I188)</f>
        <v>אחר</v>
      </c>
      <c r="I188" s="109">
        <v>1183965</v>
      </c>
      <c r="J188" s="213">
        <f>IF($F188="","",'הזנה לתנאי סף'!S188)</f>
        <v>808595</v>
      </c>
      <c r="K188" s="109">
        <v>0</v>
      </c>
      <c r="L188" s="213">
        <f t="shared" si="23"/>
        <v>1992560</v>
      </c>
      <c r="M188" s="213">
        <f>IF($F188="","",IF(L188='הזנה לתנאי סף'!R188,1,0))</f>
        <v>1</v>
      </c>
      <c r="N188" s="214">
        <f t="shared" si="24"/>
        <v>0.59419289757899385</v>
      </c>
      <c r="O188" s="214">
        <f t="shared" si="33"/>
        <v>0.40580710242100615</v>
      </c>
      <c r="P188" s="109">
        <v>1613382</v>
      </c>
      <c r="Q188" s="213">
        <f>IF($F188="","",IFERROR(IF(P188&gt;0,'פרמטרים לקריטריונים'!$C$25*P188*O188,$AG$2),""))</f>
        <v>196416.56235546232</v>
      </c>
      <c r="R188" s="213">
        <f>IF($F188="","",IFERROR('פרמטרים לקריטריונים'!$C$26*Q188,""))</f>
        <v>48299.154677572697</v>
      </c>
      <c r="S188" s="214">
        <f t="shared" si="25"/>
        <v>7.1580090499807349E-4</v>
      </c>
      <c r="T188" s="213">
        <f t="shared" si="26"/>
        <v>35790.045249903676</v>
      </c>
      <c r="U188" s="213">
        <f>IF($F188="","",'הזנה לתנאי סף'!N188)</f>
        <v>1</v>
      </c>
      <c r="V188" s="213">
        <f>IF($F188="","",'הזנה לתנאי סף'!O188)</f>
        <v>1</v>
      </c>
      <c r="W188" s="109"/>
      <c r="X188" s="109"/>
      <c r="Y188" s="109"/>
      <c r="Z188" s="214" t="str">
        <f t="shared" si="27"/>
        <v>בדוק נתוני הזנה</v>
      </c>
      <c r="AA188" s="213" t="str">
        <f>IF(OR($F188="",V188=0),"",IF(V188=1,IF(COUNTBLANK(W188:X188)&gt;0,$AG$2,IF(OR(Z188&lt;='פרמטרים לקריטריונים'!$C$27,X188&gt;W188),"",X188-W188))))</f>
        <v>בדוק נתוני הזנה</v>
      </c>
      <c r="AB188" s="214">
        <f t="shared" si="31"/>
        <v>0</v>
      </c>
      <c r="AC188" s="225" t="str">
        <f>IF(OR(AB188="",U188=1),"",IF(OR(COUNTBLANK(W188:Y188)&gt;0,AB188&gt;='פרמטרים לקריטריונים'!$E$54),'פרמטרים לקריטריונים'!$F$54,INDEX('פרמטרים לקריטריונים'!$F$49:$F$54,MATCH(AB188,'פרמטרים לקריטריונים'!$E$49:$E$54,1))))</f>
        <v/>
      </c>
      <c r="AD188" s="213" t="str">
        <f t="shared" si="28"/>
        <v/>
      </c>
      <c r="AE188" s="213">
        <f t="shared" si="29"/>
        <v>35790.045249903676</v>
      </c>
      <c r="AG188" s="175">
        <f t="shared" si="32"/>
        <v>1</v>
      </c>
    </row>
    <row r="189" spans="1:33" ht="15.75" x14ac:dyDescent="0.2">
      <c r="A189" s="206">
        <f t="shared" si="30"/>
        <v>159</v>
      </c>
      <c r="B189" s="88">
        <f>IF($F189="","",'הזנה לתנאי סף'!C189)</f>
        <v>1001347757</v>
      </c>
      <c r="C189" s="88">
        <f>IF($F189="","",'הזנה לתנאי סף'!D189)</f>
        <v>1001278627</v>
      </c>
      <c r="D189" s="88">
        <f>IF($F189="","",'הזנה לתנאי סף'!E189)</f>
        <v>40521896</v>
      </c>
      <c r="E189" s="88">
        <f>IF($F189="","",'הזנה לתנאי סף'!F189)</f>
        <v>20000254</v>
      </c>
      <c r="F189" s="88" t="str">
        <f>IF(OR('הזנה לתנאי סף'!G189="",'הזנה לתנאי סף'!BL189&lt;&gt;1),"",'הזנה לתנאי סף'!G189)</f>
        <v>באר שבע</v>
      </c>
      <c r="G189" s="88" t="str">
        <f>IF($F189="","",'הזנה לתנאי סף'!H189)</f>
        <v>תיאטרון הפרינג' באר שבע (ע"ר)</v>
      </c>
      <c r="H189" s="88" t="str">
        <f>IF($F189="","",'הזנה לתנאי סף'!I189)</f>
        <v>אחר</v>
      </c>
      <c r="I189" s="109">
        <v>730566</v>
      </c>
      <c r="J189" s="213">
        <f>IF($F189="","",'הזנה לתנאי סף'!S189)</f>
        <v>601985</v>
      </c>
      <c r="K189" s="109">
        <v>0</v>
      </c>
      <c r="L189" s="213">
        <f t="shared" si="23"/>
        <v>1332551</v>
      </c>
      <c r="M189" s="213">
        <f>IF($F189="","",IF(L189='הזנה לתנאי סף'!R189,1,0))</f>
        <v>1</v>
      </c>
      <c r="N189" s="214">
        <f t="shared" si="24"/>
        <v>0.54824618344813825</v>
      </c>
      <c r="O189" s="214">
        <f t="shared" si="33"/>
        <v>0.45175381655186175</v>
      </c>
      <c r="P189" s="109">
        <v>1034040</v>
      </c>
      <c r="Q189" s="213">
        <f>IF($F189="","",IFERROR(IF(P189&gt;0,'פרמטרים לקריטריונים'!$C$25*P189*O189,$AG$2),""))</f>
        <v>140139.45494018614</v>
      </c>
      <c r="R189" s="213">
        <f>IF($F189="","",IFERROR('פרמטרים לקריטריונים'!$C$26*Q189,""))</f>
        <v>34460.521706603147</v>
      </c>
      <c r="S189" s="214">
        <f t="shared" si="25"/>
        <v>5.1071023476413223E-4</v>
      </c>
      <c r="T189" s="213">
        <f t="shared" si="26"/>
        <v>25535.511738206613</v>
      </c>
      <c r="U189" s="213">
        <f>IF($F189="","",'הזנה לתנאי סף'!N189)</f>
        <v>1</v>
      </c>
      <c r="V189" s="213">
        <f>IF($F189="","",'הזנה לתנאי סף'!O189)</f>
        <v>1</v>
      </c>
      <c r="W189" s="109"/>
      <c r="X189" s="109"/>
      <c r="Y189" s="109"/>
      <c r="Z189" s="214" t="str">
        <f t="shared" si="27"/>
        <v>בדוק נתוני הזנה</v>
      </c>
      <c r="AA189" s="213" t="str">
        <f>IF(OR($F189="",V189=0),"",IF(V189=1,IF(COUNTBLANK(W189:X189)&gt;0,$AG$2,IF(OR(Z189&lt;='פרמטרים לקריטריונים'!$C$27,X189&gt;W189),"",X189-W189))))</f>
        <v>בדוק נתוני הזנה</v>
      </c>
      <c r="AB189" s="214">
        <f t="shared" si="31"/>
        <v>1</v>
      </c>
      <c r="AC189" s="225" t="str">
        <f>IF(OR(AB189="",U189=1),"",IF(OR(COUNTBLANK(W189:Y189)&gt;0,AB189&gt;='פרמטרים לקריטריונים'!$E$54),'פרמטרים לקריטריונים'!$F$54,INDEX('פרמטרים לקריטריונים'!$F$49:$F$54,MATCH(AB189,'פרמטרים לקריטריונים'!$E$49:$E$54,1))))</f>
        <v/>
      </c>
      <c r="AD189" s="213" t="str">
        <f t="shared" si="28"/>
        <v/>
      </c>
      <c r="AE189" s="213">
        <f t="shared" si="29"/>
        <v>25535.511738206613</v>
      </c>
      <c r="AG189" s="175">
        <f t="shared" si="32"/>
        <v>1</v>
      </c>
    </row>
    <row r="190" spans="1:33" ht="15.75" x14ac:dyDescent="0.2">
      <c r="A190" s="206">
        <f t="shared" si="30"/>
        <v>160</v>
      </c>
      <c r="B190" s="88">
        <f>IF($F190="","",'הזנה לתנאי סף'!C190)</f>
        <v>1001350316</v>
      </c>
      <c r="C190" s="88">
        <f>IF($F190="","",'הזנה לתנאי סף'!D190)</f>
        <v>1001265592</v>
      </c>
      <c r="D190" s="88">
        <f>IF($F190="","",'הזנה לתנאי סף'!E190)</f>
        <v>40521896</v>
      </c>
      <c r="E190" s="88">
        <f>IF($F190="","",'הזנה לתנאי סף'!F190)</f>
        <v>20000254</v>
      </c>
      <c r="F190" s="88" t="str">
        <f>IF(OR('הזנה לתנאי סף'!G190="",'הזנה לתנאי סף'!BL190&lt;&gt;1),"",'הזנה לתנאי סף'!G190)</f>
        <v>באר שבע</v>
      </c>
      <c r="G190" s="88" t="str">
        <f>IF($F190="","",'הזנה לתנאי סף'!H190)</f>
        <v>תיאטרון הפרינג' באר שבע (ע"ר)</v>
      </c>
      <c r="H190" s="88" t="str">
        <f>IF($F190="","",'הזנה לתנאי סף'!I190)</f>
        <v>אחר</v>
      </c>
      <c r="I190" s="109">
        <v>347873</v>
      </c>
      <c r="J190" s="213">
        <f>IF($F190="","",'הזנה לתנאי סף'!S190)</f>
        <v>495323</v>
      </c>
      <c r="K190" s="109">
        <v>0</v>
      </c>
      <c r="L190" s="213">
        <f t="shared" si="23"/>
        <v>843196</v>
      </c>
      <c r="M190" s="213">
        <f>IF($F190="","",IF(L190='הזנה לתנאי סף'!R190,1,0))</f>
        <v>1</v>
      </c>
      <c r="N190" s="214">
        <f t="shared" si="24"/>
        <v>0.41256481292605751</v>
      </c>
      <c r="O190" s="214">
        <f t="shared" si="33"/>
        <v>0.58743518707394249</v>
      </c>
      <c r="P190" s="109">
        <v>604368</v>
      </c>
      <c r="Q190" s="213">
        <f>IF($F190="","",IFERROR(IF(P190&gt;0,'פרמטרים לקריטריונים'!$C$25*P190*O190,$AG$2),""))</f>
        <v>106508.10874245134</v>
      </c>
      <c r="R190" s="213">
        <f>IF($F190="","",IFERROR('פרמטרים לקריטריונים'!$C$26*Q190,""))</f>
        <v>26190.518543225739</v>
      </c>
      <c r="S190" s="214">
        <f t="shared" si="25"/>
        <v>3.8814751522587025E-4</v>
      </c>
      <c r="T190" s="213">
        <f t="shared" si="26"/>
        <v>19407.375761293511</v>
      </c>
      <c r="U190" s="213">
        <f>IF($F190="","",'הזנה לתנאי סף'!N190)</f>
        <v>1</v>
      </c>
      <c r="V190" s="213">
        <f>IF($F190="","",'הזנה לתנאי סף'!O190)</f>
        <v>1</v>
      </c>
      <c r="W190" s="109"/>
      <c r="X190" s="109"/>
      <c r="Y190" s="109"/>
      <c r="Z190" s="214" t="str">
        <f t="shared" si="27"/>
        <v>בדוק נתוני הזנה</v>
      </c>
      <c r="AA190" s="213" t="str">
        <f>IF(OR($F190="",V190=0),"",IF(V190=1,IF(COUNTBLANK(W190:X190)&gt;0,$AG$2,IF(OR(Z190&lt;='פרמטרים לקריטריונים'!$C$27,X190&gt;W190),"",X190-W190))))</f>
        <v>בדוק נתוני הזנה</v>
      </c>
      <c r="AB190" s="214">
        <f t="shared" si="31"/>
        <v>0</v>
      </c>
      <c r="AC190" s="225" t="str">
        <f>IF(OR(AB190="",U190=1),"",IF(OR(COUNTBLANK(W190:Y190)&gt;0,AB190&gt;='פרמטרים לקריטריונים'!$E$54),'פרמטרים לקריטריונים'!$F$54,INDEX('פרמטרים לקריטריונים'!$F$49:$F$54,MATCH(AB190,'פרמטרים לקריטריונים'!$E$49:$E$54,1))))</f>
        <v/>
      </c>
      <c r="AD190" s="213" t="str">
        <f t="shared" si="28"/>
        <v/>
      </c>
      <c r="AE190" s="213">
        <f t="shared" si="29"/>
        <v>19407.375761293511</v>
      </c>
      <c r="AG190" s="175">
        <f t="shared" si="32"/>
        <v>1</v>
      </c>
    </row>
    <row r="191" spans="1:33" ht="15.75" x14ac:dyDescent="0.2">
      <c r="A191" s="206">
        <f t="shared" si="30"/>
        <v>161</v>
      </c>
      <c r="B191" s="88">
        <f>IF($F191="","",'הזנה לתנאי סף'!C191)</f>
        <v>1001348946</v>
      </c>
      <c r="C191" s="88">
        <f>IF($F191="","",'הזנה לתנאי סף'!D191)</f>
        <v>1001278264</v>
      </c>
      <c r="D191" s="88">
        <f>IF($F191="","",'הזנה לתנאי סף'!E191)</f>
        <v>40526318</v>
      </c>
      <c r="E191" s="88">
        <f>IF($F191="","",'הזנה לתנאי סף'!F191)</f>
        <v>20000159</v>
      </c>
      <c r="F191" s="88" t="str">
        <f>IF(OR('הזנה לתנאי סף'!G191="",'הזנה לתנאי סף'!BL191&lt;&gt;1),"",'הזנה לתנאי סף'!G191)</f>
        <v>ירושלים</v>
      </c>
      <c r="G191" s="88" t="str">
        <f>IF($F191="","",'הזנה לתנאי סף'!H191)</f>
        <v>קהילות שרות פיוט וניגון (ע"ר)</v>
      </c>
      <c r="H191" s="88" t="str">
        <f>IF($F191="","",'הזנה לתנאי סף'!I191)</f>
        <v>חזנות</v>
      </c>
      <c r="I191" s="109">
        <v>247286</v>
      </c>
      <c r="J191" s="213">
        <f>IF($F191="","",'הזנה לתנאי סף'!S191)</f>
        <v>400428</v>
      </c>
      <c r="K191" s="109">
        <v>0</v>
      </c>
      <c r="L191" s="213">
        <f t="shared" si="23"/>
        <v>647714</v>
      </c>
      <c r="M191" s="213">
        <f>IF($F191="","",IF(L191='הזנה לתנאי סף'!R191,1,0))</f>
        <v>1</v>
      </c>
      <c r="N191" s="214">
        <f t="shared" si="24"/>
        <v>0.3817827003893694</v>
      </c>
      <c r="O191" s="214">
        <f t="shared" si="33"/>
        <v>0.61821729961063054</v>
      </c>
      <c r="P191" s="109">
        <v>624720</v>
      </c>
      <c r="Q191" s="213">
        <f>IF($F191="","",IFERROR(IF(P191&gt;0,'פרמטרים לקריטריונים'!$C$25*P191*O191,$AG$2),""))</f>
        <v>115863.81342382594</v>
      </c>
      <c r="R191" s="213">
        <f>IF($F191="","",IFERROR('פרמטרים לקריטריונים'!$C$26*Q191,""))</f>
        <v>28491.101661596542</v>
      </c>
      <c r="S191" s="214">
        <f t="shared" si="25"/>
        <v>4.2224251107302881E-4</v>
      </c>
      <c r="T191" s="213">
        <f t="shared" si="26"/>
        <v>21112.12555365144</v>
      </c>
      <c r="U191" s="213">
        <f>IF($F191="","",'הזנה לתנאי סף'!N191)</f>
        <v>1</v>
      </c>
      <c r="V191" s="213">
        <f>IF($F191="","",'הזנה לתנאי סף'!O191)</f>
        <v>1</v>
      </c>
      <c r="W191" s="109"/>
      <c r="X191" s="109"/>
      <c r="Y191" s="109"/>
      <c r="Z191" s="214" t="str">
        <f t="shared" si="27"/>
        <v>בדוק נתוני הזנה</v>
      </c>
      <c r="AA191" s="213" t="str">
        <f>IF(OR($F191="",V191=0),"",IF(V191=1,IF(COUNTBLANK(W191:X191)&gt;0,$AG$2,IF(OR(Z191&lt;='פרמטרים לקריטריונים'!$C$27,X191&gt;W191),"",X191-W191))))</f>
        <v>בדוק נתוני הזנה</v>
      </c>
      <c r="AB191" s="214">
        <f t="shared" si="31"/>
        <v>0</v>
      </c>
      <c r="AC191" s="225" t="str">
        <f>IF(OR(AB191="",U191=1),"",IF(OR(COUNTBLANK(W191:Y191)&gt;0,AB191&gt;='פרמטרים לקריטריונים'!$E$54),'פרמטרים לקריטריונים'!$F$54,INDEX('פרמטרים לקריטריונים'!$F$49:$F$54,MATCH(AB191,'פרמטרים לקריטריונים'!$E$49:$E$54,1))))</f>
        <v/>
      </c>
      <c r="AD191" s="213" t="str">
        <f t="shared" si="28"/>
        <v/>
      </c>
      <c r="AE191" s="213">
        <f t="shared" si="29"/>
        <v>21112.12555365144</v>
      </c>
      <c r="AG191" s="175">
        <f t="shared" si="32"/>
        <v>1</v>
      </c>
    </row>
    <row r="192" spans="1:33" ht="15.75" x14ac:dyDescent="0.2">
      <c r="A192" s="206">
        <f t="shared" si="30"/>
        <v>162</v>
      </c>
      <c r="B192" s="88">
        <f>IF($F192="","",'הזנה לתנאי סף'!C192)</f>
        <v>1001348956</v>
      </c>
      <c r="C192" s="88">
        <f>IF($F192="","",'הזנה לתנאי סף'!D192)</f>
        <v>1001274741</v>
      </c>
      <c r="D192" s="88">
        <f>IF($F192="","",'הזנה לתנאי סף'!E192)</f>
        <v>40527700</v>
      </c>
      <c r="E192" s="88">
        <f>IF($F192="","",'הזנה לתנאי סף'!F192)</f>
        <v>20000201</v>
      </c>
      <c r="F192" s="88" t="str">
        <f>IF(OR('הזנה לתנאי סף'!G192="",'הזנה לתנאי סף'!BL192&lt;&gt;1),"",'הזנה לתנאי סף'!G192)</f>
        <v>תל אביב -יפו</v>
      </c>
      <c r="G192" s="88" t="str">
        <f>IF($F192="","",'הזנה לתנאי סף'!H192)</f>
        <v>המקהלה הישראלית ע"ש גארי ברתיני (ע"</v>
      </c>
      <c r="H192" s="88" t="str">
        <f>IF($F192="","",'הזנה לתנאי סף'!I192)</f>
        <v>מוסיקה-גופים כליים</v>
      </c>
      <c r="I192" s="109">
        <v>284000</v>
      </c>
      <c r="J192" s="213">
        <f>IF($F192="","",'הזנה לתנאי סף'!S192)</f>
        <v>1314624</v>
      </c>
      <c r="K192" s="109">
        <v>0</v>
      </c>
      <c r="L192" s="213">
        <f t="shared" si="23"/>
        <v>1598624</v>
      </c>
      <c r="M192" s="213">
        <f>IF($F192="","",IF(L192='הזנה לתנאי סף'!R192,1,0))</f>
        <v>1</v>
      </c>
      <c r="N192" s="214">
        <f t="shared" si="24"/>
        <v>0.17765278139199711</v>
      </c>
      <c r="O192" s="214">
        <f t="shared" si="33"/>
        <v>0.82234721860800286</v>
      </c>
      <c r="P192" s="109">
        <v>1451585</v>
      </c>
      <c r="Q192" s="213">
        <f>IF($F192="","",IFERROR(IF(P192&gt;0,'פרמטרים לקריטריונים'!$C$25*P192*O192,$AG$2),""))</f>
        <v>358112.06619692937</v>
      </c>
      <c r="R192" s="213">
        <f>IF($F192="","",IFERROR('פרמטרים לקריטריונים'!$C$26*Q192,""))</f>
        <v>88060.344146785908</v>
      </c>
      <c r="S192" s="214">
        <f t="shared" si="25"/>
        <v>1.305067851715018E-3</v>
      </c>
      <c r="T192" s="213">
        <f t="shared" si="26"/>
        <v>65253.392585750902</v>
      </c>
      <c r="U192" s="213">
        <f>IF($F192="","",'הזנה לתנאי סף'!N192)</f>
        <v>1</v>
      </c>
      <c r="V192" s="213">
        <f>IF($F192="","",'הזנה לתנאי סף'!O192)</f>
        <v>1</v>
      </c>
      <c r="W192" s="109"/>
      <c r="X192" s="109"/>
      <c r="Y192" s="109"/>
      <c r="Z192" s="214" t="str">
        <f t="shared" si="27"/>
        <v>בדוק נתוני הזנה</v>
      </c>
      <c r="AA192" s="213" t="str">
        <f>IF(OR($F192="",V192=0),"",IF(V192=1,IF(COUNTBLANK(W192:X192)&gt;0,$AG$2,IF(OR(Z192&lt;='פרמטרים לקריטריונים'!$C$27,X192&gt;W192),"",X192-W192))))</f>
        <v>בדוק נתוני הזנה</v>
      </c>
      <c r="AB192" s="214">
        <f t="shared" si="31"/>
        <v>0</v>
      </c>
      <c r="AC192" s="225" t="str">
        <f>IF(OR(AB192="",U192=1),"",IF(OR(COUNTBLANK(W192:Y192)&gt;0,AB192&gt;='פרמטרים לקריטריונים'!$E$54),'פרמטרים לקריטריונים'!$F$54,INDEX('פרמטרים לקריטריונים'!$F$49:$F$54,MATCH(AB192,'פרמטרים לקריטריונים'!$E$49:$E$54,1))))</f>
        <v/>
      </c>
      <c r="AD192" s="213" t="str">
        <f t="shared" si="28"/>
        <v/>
      </c>
      <c r="AE192" s="213">
        <f t="shared" si="29"/>
        <v>65253.392585750902</v>
      </c>
      <c r="AG192" s="175">
        <f t="shared" si="32"/>
        <v>1</v>
      </c>
    </row>
    <row r="193" spans="1:38" ht="15.75" x14ac:dyDescent="0.2">
      <c r="A193" s="206">
        <f t="shared" si="30"/>
        <v>163</v>
      </c>
      <c r="B193" s="88">
        <f>IF($F193="","",'הזנה לתנאי סף'!C193)</f>
        <v>1001348979</v>
      </c>
      <c r="C193" s="88">
        <f>IF($F193="","",'הזנה לתנאי סף'!D193)</f>
        <v>1001274745</v>
      </c>
      <c r="D193" s="88">
        <f>IF($F193="","",'הזנה לתנאי סף'!E193)</f>
        <v>40527701</v>
      </c>
      <c r="E193" s="88">
        <f>IF($F193="","",'הזנה לתנאי סף'!F193)</f>
        <v>20000201</v>
      </c>
      <c r="F193" s="88" t="str">
        <f>IF(OR('הזנה לתנאי סף'!G193="",'הזנה לתנאי סף'!BL193&lt;&gt;1),"",'הזנה לתנאי סף'!G193)</f>
        <v>תל אביב -יפו</v>
      </c>
      <c r="G193" s="88" t="str">
        <f>IF($F193="","",'הזנה לתנאי סף'!H193)</f>
        <v>תיאטרון הקיבוץ (ע"ר)</v>
      </c>
      <c r="H193" s="88" t="str">
        <f>IF($F193="","",'הזנה לתנאי סף'!I193)</f>
        <v>תיאטרון</v>
      </c>
      <c r="I193" s="109">
        <v>749000</v>
      </c>
      <c r="J193" s="213">
        <f>IF($F193="","",'הזנה לתנאי סף'!S193)</f>
        <v>5038000</v>
      </c>
      <c r="K193" s="109">
        <v>0</v>
      </c>
      <c r="L193" s="213">
        <f t="shared" si="23"/>
        <v>5787000</v>
      </c>
      <c r="M193" s="213">
        <f>IF($F193="","",IF(L193='הזנה לתנאי סף'!R193,1,0))</f>
        <v>1</v>
      </c>
      <c r="N193" s="214">
        <f t="shared" si="24"/>
        <v>0.12942802833938138</v>
      </c>
      <c r="O193" s="214">
        <f t="shared" si="33"/>
        <v>0.87057197166061862</v>
      </c>
      <c r="P193" s="109">
        <v>5717000</v>
      </c>
      <c r="Q193" s="213">
        <f>IF($F193="","",IFERROR(IF(P193&gt;0,'פרמטרים לקריטריונים'!$C$25*P193*O193,$AG$2),""))</f>
        <v>1493117.9885951269</v>
      </c>
      <c r="R193" s="213">
        <f>IF($F193="","",IFERROR('פרמטרים לקריטריונים'!$C$26*Q193,""))</f>
        <v>367160.16112994921</v>
      </c>
      <c r="S193" s="214">
        <f t="shared" si="25"/>
        <v>5.4413700896113488E-3</v>
      </c>
      <c r="T193" s="213">
        <f t="shared" si="26"/>
        <v>272068.50448056741</v>
      </c>
      <c r="U193" s="213">
        <f>IF($F193="","",'הזנה לתנאי סף'!N193)</f>
        <v>1</v>
      </c>
      <c r="V193" s="213">
        <f>IF($F193="","",'הזנה לתנאי סף'!O193)</f>
        <v>1</v>
      </c>
      <c r="W193" s="109"/>
      <c r="X193" s="109"/>
      <c r="Y193" s="109"/>
      <c r="Z193" s="214" t="str">
        <f t="shared" si="27"/>
        <v>בדוק נתוני הזנה</v>
      </c>
      <c r="AA193" s="213" t="str">
        <f>IF(OR($F193="",V193=0),"",IF(V193=1,IF(COUNTBLANK(W193:X193)&gt;0,$AG$2,IF(OR(Z193&lt;='פרמטרים לקריטריונים'!$C$27,X193&gt;W193),"",X193-W193))))</f>
        <v>בדוק נתוני הזנה</v>
      </c>
      <c r="AB193" s="214">
        <f t="shared" si="31"/>
        <v>0</v>
      </c>
      <c r="AC193" s="225" t="str">
        <f>IF(OR(AB193="",U193=1),"",IF(OR(COUNTBLANK(W193:Y193)&gt;0,AB193&gt;='פרמטרים לקריטריונים'!$E$54),'פרמטרים לקריטריונים'!$F$54,INDEX('פרמטרים לקריטריונים'!$F$49:$F$54,MATCH(AB193,'פרמטרים לקריטריונים'!$E$49:$E$54,1))))</f>
        <v/>
      </c>
      <c r="AD193" s="213" t="str">
        <f t="shared" si="28"/>
        <v/>
      </c>
      <c r="AE193" s="213">
        <f t="shared" si="29"/>
        <v>272068.50448056741</v>
      </c>
      <c r="AG193" s="175">
        <f t="shared" si="32"/>
        <v>1</v>
      </c>
    </row>
    <row r="194" spans="1:38" ht="15.75" x14ac:dyDescent="0.2">
      <c r="A194" s="206">
        <f t="shared" si="30"/>
        <v>164</v>
      </c>
      <c r="B194" s="88">
        <f>IF($F194="","",'הזנה לתנאי סף'!C194)</f>
        <v>1001350362</v>
      </c>
      <c r="C194" s="88">
        <f>IF($F194="","",'הזנה לתנאי סף'!D194)</f>
        <v>1001301999</v>
      </c>
      <c r="D194" s="88">
        <f>IF($F194="","",'הזנה לתנאי סף'!E194)</f>
        <v>40216094</v>
      </c>
      <c r="E194" s="88">
        <f>IF($F194="","",'הזנה לתנאי סף'!F194)</f>
        <v>20000231</v>
      </c>
      <c r="F194" s="88" t="str">
        <f>IF(OR('הזנה לתנאי סף'!G194="",'הזנה לתנאי סף'!BL194&lt;&gt;1),"",'הזנה לתנאי סף'!G194)</f>
        <v>נצרת</v>
      </c>
      <c r="G194" s="88" t="str">
        <f>IF($F194="","",'הזנה לתנאי סף'!H194)</f>
        <v>אלחנין נצרת (ע"ר)</v>
      </c>
      <c r="H194" s="88" t="str">
        <f>IF($F194="","",'הזנה לתנאי סף'!I194)</f>
        <v>תיאטרון</v>
      </c>
      <c r="I194" s="109">
        <v>992814</v>
      </c>
      <c r="J194" s="213">
        <f>IF($F194="","",'הזנה לתנאי סף'!S194)</f>
        <v>713205</v>
      </c>
      <c r="K194" s="109">
        <v>0</v>
      </c>
      <c r="L194" s="213">
        <f t="shared" si="23"/>
        <v>1706019</v>
      </c>
      <c r="M194" s="213">
        <f>IF($F194="","",IF(L194='הזנה לתנאי סף'!R194,1,0))</f>
        <v>1</v>
      </c>
      <c r="N194" s="214">
        <f t="shared" si="24"/>
        <v>0.58194779776778571</v>
      </c>
      <c r="O194" s="214">
        <f t="shared" si="33"/>
        <v>0.41805220223221429</v>
      </c>
      <c r="P194" s="109">
        <v>1488051</v>
      </c>
      <c r="Q194" s="213">
        <f>IF($F194="","",IFERROR(IF(P194&gt;0,'פרמטרים לקריטריונים'!$C$25*P194*O194,$AG$2),""))</f>
        <v>186624.8992751546</v>
      </c>
      <c r="R194" s="213">
        <f>IF($F194="","",IFERROR('פרמטרים לקריטריונים'!$C$26*Q194,""))</f>
        <v>45891.368674218342</v>
      </c>
      <c r="S194" s="214">
        <f t="shared" si="25"/>
        <v>6.8011714589818529E-4</v>
      </c>
      <c r="T194" s="213">
        <f t="shared" si="26"/>
        <v>34005.857294909263</v>
      </c>
      <c r="U194" s="213">
        <f>IF($F194="","",'הזנה לתנאי סף'!N194)</f>
        <v>0</v>
      </c>
      <c r="V194" s="213">
        <f>IF($F194="","",'הזנה לתנאי סף'!O194)</f>
        <v>1</v>
      </c>
      <c r="W194" s="109">
        <v>0</v>
      </c>
      <c r="X194" s="109">
        <v>0</v>
      </c>
      <c r="Y194" s="109">
        <v>1</v>
      </c>
      <c r="Z194" s="214">
        <f t="shared" si="27"/>
        <v>0</v>
      </c>
      <c r="AA194" s="213" t="str">
        <f>IF(OR($F194="",V194=0),"",IF(V194=1,IF(COUNTBLANK(W194:X194)&gt;0,$AG$2,IF(OR(Z194&lt;='פרמטרים לקריטריונים'!$C$27,X194&gt;W194),"",X194-W194))))</f>
        <v/>
      </c>
      <c r="AB194" s="214" t="str">
        <f t="shared" si="31"/>
        <v/>
      </c>
      <c r="AC194" s="225" t="str">
        <f>IF(OR(AB194="",U194=1),"",IF(OR(COUNTBLANK(W194:Y194)&gt;0,AB194&gt;='פרמטרים לקריטריונים'!$E$54),'פרמטרים לקריטריונים'!$F$54,INDEX('פרמטרים לקריטריונים'!$F$49:$F$54,MATCH(AB194,'פרמטרים לקריטריונים'!$E$49:$E$54,1))))</f>
        <v/>
      </c>
      <c r="AD194" s="213" t="str">
        <f t="shared" si="28"/>
        <v/>
      </c>
      <c r="AE194" s="213">
        <f t="shared" si="29"/>
        <v>34005.857294909263</v>
      </c>
      <c r="AG194" s="175">
        <f t="shared" si="32"/>
        <v>0</v>
      </c>
    </row>
    <row r="195" spans="1:38" ht="15.75" x14ac:dyDescent="0.2">
      <c r="A195" s="206">
        <f t="shared" si="30"/>
        <v>165</v>
      </c>
      <c r="B195" s="88">
        <f>IF($F195="","",'הזנה לתנאי סף'!C195)</f>
        <v>1001349141</v>
      </c>
      <c r="C195" s="88">
        <f>IF($F195="","",'הזנה לתנאי סף'!D195)</f>
        <v>1001263416</v>
      </c>
      <c r="D195" s="88">
        <f>IF($F195="","",'הזנה לתנאי סף'!E195)</f>
        <v>41375324</v>
      </c>
      <c r="E195" s="88">
        <f>IF($F195="","",'הזנה לתנאי סף'!F195)</f>
        <v>20000201</v>
      </c>
      <c r="F195" s="88" t="str">
        <f>IF(OR('הזנה לתנאי סף'!G195="",'הזנה לתנאי סף'!BL195&lt;&gt;1),"",'הזנה לתנאי סף'!G195)</f>
        <v>תל אביב -יפו</v>
      </c>
      <c r="G195" s="88" t="str">
        <f>IF($F195="","",'הזנה לתנאי סף'!H195)</f>
        <v>אדם יוצר - טיפוח הביטוי האמנותי (ע"</v>
      </c>
      <c r="H195" s="88" t="str">
        <f>IF($F195="","",'הזנה לתנאי סף'!I195)</f>
        <v>תיאטרון</v>
      </c>
      <c r="I195" s="109">
        <v>0</v>
      </c>
      <c r="J195" s="213">
        <f>IF($F195="","",'הזנה לתנאי סף'!S195)</f>
        <v>43249</v>
      </c>
      <c r="K195" s="109">
        <v>27023</v>
      </c>
      <c r="L195" s="213">
        <f t="shared" si="23"/>
        <v>70272</v>
      </c>
      <c r="M195" s="213">
        <f>IF($F195="","",IF(L195='הזנה לתנאי סף'!R195,1,0))</f>
        <v>1</v>
      </c>
      <c r="N195" s="214">
        <f t="shared" si="24"/>
        <v>0</v>
      </c>
      <c r="O195" s="214">
        <f t="shared" si="33"/>
        <v>1</v>
      </c>
      <c r="P195" s="109">
        <v>70535</v>
      </c>
      <c r="Q195" s="213">
        <f>IF($F195="","",IFERROR(IF(P195&gt;0,'פרמטרים לקריטריונים'!$C$25*P195*O195,$AG$2),""))</f>
        <v>21160.5</v>
      </c>
      <c r="R195" s="213">
        <f>IF($F195="","",IFERROR('פרמטרים לקריטריונים'!$C$26*Q195,""))</f>
        <v>5203.4016393442625</v>
      </c>
      <c r="S195" s="214">
        <f t="shared" si="25"/>
        <v>7.7115213037891293E-5</v>
      </c>
      <c r="T195" s="213">
        <f t="shared" si="26"/>
        <v>3855.7606518945645</v>
      </c>
      <c r="U195" s="213">
        <f>IF($F195="","",'הזנה לתנאי סף'!N195)</f>
        <v>0</v>
      </c>
      <c r="V195" s="213">
        <f>IF($F195="","",'הזנה לתנאי סף'!O195)</f>
        <v>1</v>
      </c>
      <c r="W195" s="109">
        <v>0</v>
      </c>
      <c r="X195" s="109">
        <v>0</v>
      </c>
      <c r="Y195" s="109">
        <v>1</v>
      </c>
      <c r="Z195" s="214">
        <f t="shared" si="27"/>
        <v>0</v>
      </c>
      <c r="AA195" s="213" t="str">
        <f>IF(OR($F195="",V195=0),"",IF(V195=1,IF(COUNTBLANK(W195:X195)&gt;0,$AG$2,IF(OR(Z195&lt;='פרמטרים לקריטריונים'!$C$27,X195&gt;W195),"",X195-W195))))</f>
        <v/>
      </c>
      <c r="AB195" s="214" t="str">
        <f t="shared" si="31"/>
        <v/>
      </c>
      <c r="AC195" s="225" t="str">
        <f>IF(OR(AB195="",U195=1),"",IF(OR(COUNTBLANK(W195:Y195)&gt;0,AB195&gt;='פרמטרים לקריטריונים'!$E$54),'פרמטרים לקריטריונים'!$F$54,INDEX('פרמטרים לקריטריונים'!$F$49:$F$54,MATCH(AB195,'פרמטרים לקריטריונים'!$E$49:$E$54,1))))</f>
        <v/>
      </c>
      <c r="AD195" s="213" t="str">
        <f t="shared" si="28"/>
        <v/>
      </c>
      <c r="AE195" s="213">
        <f t="shared" si="29"/>
        <v>3855.7606518945645</v>
      </c>
      <c r="AG195" s="175">
        <f t="shared" si="32"/>
        <v>0</v>
      </c>
      <c r="AL195" s="102"/>
    </row>
    <row r="196" spans="1:38" ht="15.75" x14ac:dyDescent="0.2">
      <c r="A196" s="206">
        <f t="shared" si="30"/>
        <v>166</v>
      </c>
      <c r="B196" s="88">
        <f>IF($F196="","",'הזנה לתנאי סף'!C196)</f>
        <v>1001349841</v>
      </c>
      <c r="C196" s="88">
        <f>IF($F196="","",'הזנה לתנאי סף'!D196)</f>
        <v>1001263630</v>
      </c>
      <c r="D196" s="88">
        <f>IF($F196="","",'הזנה לתנאי סף'!E196)</f>
        <v>40003600</v>
      </c>
      <c r="E196" s="88">
        <f>IF($F196="","",'הזנה לתנאי סף'!F196)</f>
        <v>20000254</v>
      </c>
      <c r="F196" s="88" t="str">
        <f>IF(OR('הזנה לתנאי סף'!G196="",'הזנה לתנאי סף'!BL196&lt;&gt;1),"",'הזנה לתנאי סף'!G196)</f>
        <v>באר שבע</v>
      </c>
      <c r="G196" s="88" t="str">
        <f>IF($F196="","",'הזנה לתנאי סף'!H196)</f>
        <v>חברת בית יציב ב.ש בע"מ - חברה לתועל</v>
      </c>
      <c r="H196" s="88" t="str">
        <f>IF($F196="","",'הזנה לתנאי סף'!I196)</f>
        <v>מוזיאונים</v>
      </c>
      <c r="I196" s="109">
        <v>1500000</v>
      </c>
      <c r="J196" s="213">
        <f>IF($F196="","",'הזנה לתנאי סף'!S196)</f>
        <v>8387297</v>
      </c>
      <c r="K196" s="109">
        <v>0</v>
      </c>
      <c r="L196" s="213">
        <f t="shared" si="23"/>
        <v>9887297</v>
      </c>
      <c r="M196" s="213">
        <f>IF($F196="","",IF(L196='הזנה לתנאי סף'!R196,1,0))</f>
        <v>1</v>
      </c>
      <c r="N196" s="214">
        <f t="shared" si="24"/>
        <v>0.15170981512945347</v>
      </c>
      <c r="O196" s="214">
        <f t="shared" si="33"/>
        <v>0.84829018487054653</v>
      </c>
      <c r="P196" s="109">
        <v>9887490</v>
      </c>
      <c r="Q196" s="213">
        <f>IF($F196="","",IFERROR(IF(P196&gt;0,'פרמטרים לקריטריונים'!$C$25*P196*O196,$AG$2),""))</f>
        <v>2516238.2160017039</v>
      </c>
      <c r="R196" s="213">
        <f>IF($F196="","",IFERROR('פרמטרים לקריטריונים'!$C$26*Q196,""))</f>
        <v>618747.10229550092</v>
      </c>
      <c r="S196" s="214">
        <f t="shared" si="25"/>
        <v>9.1699272739800535E-3</v>
      </c>
      <c r="T196" s="213">
        <f t="shared" si="26"/>
        <v>458496.36369900266</v>
      </c>
      <c r="U196" s="213">
        <f>IF($F196="","",'הזנה לתנאי סף'!N196)</f>
        <v>1</v>
      </c>
      <c r="V196" s="213">
        <f>IF($F196="","",'הזנה לתנאי סף'!O196)</f>
        <v>1</v>
      </c>
      <c r="W196" s="109"/>
      <c r="X196" s="109"/>
      <c r="Y196" s="109"/>
      <c r="Z196" s="214" t="str">
        <f t="shared" si="27"/>
        <v>בדוק נתוני הזנה</v>
      </c>
      <c r="AA196" s="213" t="str">
        <f>IF(OR($F196="",V196=0),"",IF(V196=1,IF(COUNTBLANK(W196:X196)&gt;0,$AG$2,IF(OR(Z196&lt;='פרמטרים לקריטריונים'!$C$27,X196&gt;W196),"",X196-W196))))</f>
        <v>בדוק נתוני הזנה</v>
      </c>
      <c r="AB196" s="214">
        <f t="shared" si="31"/>
        <v>0</v>
      </c>
      <c r="AC196" s="225" t="str">
        <f>IF(OR(AB196="",U196=1),"",IF(OR(COUNTBLANK(W196:Y196)&gt;0,AB196&gt;='פרמטרים לקריטריונים'!$E$54),'פרמטרים לקריטריונים'!$F$54,INDEX('פרמטרים לקריטריונים'!$F$49:$F$54,MATCH(AB196,'פרמטרים לקריטריונים'!$E$49:$E$54,1))))</f>
        <v/>
      </c>
      <c r="AD196" s="213" t="str">
        <f t="shared" si="28"/>
        <v/>
      </c>
      <c r="AE196" s="213">
        <f t="shared" si="29"/>
        <v>458496.36369900266</v>
      </c>
      <c r="AG196" s="175">
        <f t="shared" si="32"/>
        <v>1</v>
      </c>
    </row>
    <row r="197" spans="1:38" ht="15.75" x14ac:dyDescent="0.2">
      <c r="A197" s="206">
        <f t="shared" si="30"/>
        <v>167</v>
      </c>
      <c r="B197" s="88">
        <f>IF($F197="","",'הזנה לתנאי סף'!C197)</f>
        <v>1001346793</v>
      </c>
      <c r="C197" s="88">
        <f>IF($F197="","",'הזנה לתנאי סף'!D197)</f>
        <v>1001346793</v>
      </c>
      <c r="D197" s="88">
        <f>IF($F197="","",'הזנה לתנאי סף'!E197)</f>
        <v>40462864</v>
      </c>
      <c r="E197" s="88">
        <f>IF($F197="","",'הזנה לתנאי סף'!F197)</f>
        <v>20000244</v>
      </c>
      <c r="F197" s="88" t="str">
        <f>IF(OR('הזנה לתנאי סף'!G197="",'הזנה לתנאי סף'!BL197&lt;&gt;1),"",'הזנה לתנאי סף'!G197)</f>
        <v>צפת</v>
      </c>
      <c r="G197" s="88" t="str">
        <f>IF($F197="","",'הזנה לתנאי סף'!H197)</f>
        <v>עמותת כליזמרים - כיתת אומן בצפת (ע"</v>
      </c>
      <c r="H197" s="88" t="str">
        <f>IF($F197="","",'הזנה לתנאי סף'!I197)</f>
        <v>אחר</v>
      </c>
      <c r="I197" s="109">
        <v>98572</v>
      </c>
      <c r="J197" s="213">
        <f>IF($F197="","",'הזנה לתנאי סף'!S197)</f>
        <v>353732</v>
      </c>
      <c r="K197" s="109">
        <v>0</v>
      </c>
      <c r="L197" s="213">
        <f t="shared" si="23"/>
        <v>452304</v>
      </c>
      <c r="M197" s="213">
        <f>IF($F197="","",IF(L197='הזנה לתנאי סף'!R197,1,0))</f>
        <v>1</v>
      </c>
      <c r="N197" s="214">
        <f t="shared" si="24"/>
        <v>0.21793307156248895</v>
      </c>
      <c r="O197" s="214">
        <f t="shared" si="33"/>
        <v>0.78206692843751102</v>
      </c>
      <c r="P197" s="109">
        <v>511698</v>
      </c>
      <c r="Q197" s="213">
        <f>IF($F197="","",IFERROR(IF(P197&gt;0,'פרמטרים לקריטריונים'!$C$25*P197*O197,$AG$2),""))</f>
        <v>120054.62494428526</v>
      </c>
      <c r="R197" s="213">
        <f>IF($F197="","",IFERROR('פרמטרים לקריטריונים'!$C$26*Q197,""))</f>
        <v>29521.629084660308</v>
      </c>
      <c r="S197" s="214">
        <f t="shared" si="25"/>
        <v>4.375150860689821E-4</v>
      </c>
      <c r="T197" s="213">
        <f t="shared" si="26"/>
        <v>21875.754303449106</v>
      </c>
      <c r="U197" s="213">
        <f>IF($F197="","",'הזנה לתנאי סף'!N197)</f>
        <v>0</v>
      </c>
      <c r="V197" s="213">
        <f>IF($F197="","",'הזנה לתנאי סף'!O197)</f>
        <v>1</v>
      </c>
      <c r="W197" s="109">
        <v>0</v>
      </c>
      <c r="X197" s="109">
        <v>0</v>
      </c>
      <c r="Y197" s="109">
        <v>1</v>
      </c>
      <c r="Z197" s="214">
        <f t="shared" si="27"/>
        <v>0</v>
      </c>
      <c r="AA197" s="213" t="str">
        <f>IF(OR($F197="",V197=0),"",IF(V197=1,IF(COUNTBLANK(W197:X197)&gt;0,$AG$2,IF(OR(Z197&lt;='פרמטרים לקריטריונים'!$C$27,X197&gt;W197),"",X197-W197))))</f>
        <v/>
      </c>
      <c r="AB197" s="214" t="str">
        <f t="shared" si="31"/>
        <v/>
      </c>
      <c r="AC197" s="225" t="str">
        <f>IF(OR(AB197="",U197=1),"",IF(OR(COUNTBLANK(W197:Y197)&gt;0,AB197&gt;='פרמטרים לקריטריונים'!$E$54),'פרמטרים לקריטריונים'!$F$54,INDEX('פרמטרים לקריטריונים'!$F$49:$F$54,MATCH(AB197,'פרמטרים לקריטריונים'!$E$49:$E$54,1))))</f>
        <v/>
      </c>
      <c r="AD197" s="213" t="str">
        <f t="shared" si="28"/>
        <v/>
      </c>
      <c r="AE197" s="213">
        <f t="shared" si="29"/>
        <v>21875.754303449106</v>
      </c>
      <c r="AG197" s="175">
        <f t="shared" si="32"/>
        <v>0</v>
      </c>
    </row>
    <row r="198" spans="1:38" ht="15.75" x14ac:dyDescent="0.2">
      <c r="A198" s="206">
        <f t="shared" si="30"/>
        <v>168</v>
      </c>
      <c r="B198" s="88">
        <f>IF($F198="","",'הזנה לתנאי סף'!C198)</f>
        <v>1001350197</v>
      </c>
      <c r="C198" s="88">
        <f>IF($F198="","",'הזנה לתנאי סף'!D198)</f>
        <v>1001280236</v>
      </c>
      <c r="D198" s="88">
        <f>IF($F198="","",'הזנה לתנאי סף'!E198)</f>
        <v>40384701</v>
      </c>
      <c r="E198" s="88">
        <f>IF($F198="","",'הזנה לתנאי סף'!F198)</f>
        <v>20000201</v>
      </c>
      <c r="F198" s="88" t="str">
        <f>IF(OR('הזנה לתנאי סף'!G198="",'הזנה לתנאי סף'!BL198&lt;&gt;1),"",'הזנה לתנאי סף'!G198)</f>
        <v>תל אביב -יפו</v>
      </c>
      <c r="G198" s="88" t="str">
        <f>IF($F198="","",'הזנה לתנאי סף'!H198)</f>
        <v>תזמורת המהפכה (ע"ר)</v>
      </c>
      <c r="H198" s="88" t="str">
        <f>IF($F198="","",'הזנה לתנאי סף'!I198)</f>
        <v>מרכזי מוסיקה</v>
      </c>
      <c r="I198" s="109">
        <v>706000</v>
      </c>
      <c r="J198" s="213">
        <f>IF($F198="","",'הזנה לתנאי סף'!S198)</f>
        <v>1012528</v>
      </c>
      <c r="K198" s="109">
        <v>0</v>
      </c>
      <c r="L198" s="213">
        <f t="shared" si="23"/>
        <v>1718528</v>
      </c>
      <c r="M198" s="213">
        <f>IF($F198="","",IF(L198='הזנה לתנאי סף'!R198,1,0))</f>
        <v>1</v>
      </c>
      <c r="N198" s="214">
        <f t="shared" si="24"/>
        <v>0.41081669894235068</v>
      </c>
      <c r="O198" s="214">
        <f t="shared" si="33"/>
        <v>0.58918330105764927</v>
      </c>
      <c r="P198" s="109">
        <v>1638546</v>
      </c>
      <c r="Q198" s="213">
        <f>IF($F198="","",IFERROR(IF(P198&gt;0,'פרמטרים לקריטריונים'!$C$25*P198*O198,$AG$2),""))</f>
        <v>289621.18236444209</v>
      </c>
      <c r="R198" s="213">
        <f>IF($F198="","",IFERROR('פרמטרים לקריטריונים'!$C$26*Q198,""))</f>
        <v>71218.323532239854</v>
      </c>
      <c r="S198" s="214">
        <f t="shared" si="25"/>
        <v>1.0554665144169521E-3</v>
      </c>
      <c r="T198" s="213">
        <f t="shared" si="26"/>
        <v>52773.325720847606</v>
      </c>
      <c r="U198" s="213">
        <f>IF($F198="","",'הזנה לתנאי סף'!N198)</f>
        <v>1</v>
      </c>
      <c r="V198" s="213">
        <f>IF($F198="","",'הזנה לתנאי סף'!O198)</f>
        <v>1</v>
      </c>
      <c r="W198" s="109"/>
      <c r="X198" s="109"/>
      <c r="Y198" s="109"/>
      <c r="Z198" s="214" t="str">
        <f t="shared" si="27"/>
        <v>בדוק נתוני הזנה</v>
      </c>
      <c r="AA198" s="213" t="str">
        <f>IF(OR($F198="",V198=0),"",IF(V198=1,IF(COUNTBLANK(W198:X198)&gt;0,$AG$2,IF(OR(Z198&lt;='פרמטרים לקריטריונים'!$C$27,X198&gt;W198),"",X198-W198))))</f>
        <v>בדוק נתוני הזנה</v>
      </c>
      <c r="AB198" s="214">
        <f t="shared" si="31"/>
        <v>1</v>
      </c>
      <c r="AC198" s="225" t="str">
        <f>IF(OR(AB198="",U198=1),"",IF(OR(COUNTBLANK(W198:Y198)&gt;0,AB198&gt;='פרמטרים לקריטריונים'!$E$54),'פרמטרים לקריטריונים'!$F$54,INDEX('פרמטרים לקריטריונים'!$F$49:$F$54,MATCH(AB198,'פרמטרים לקריטריונים'!$E$49:$E$54,1))))</f>
        <v/>
      </c>
      <c r="AD198" s="213" t="str">
        <f t="shared" si="28"/>
        <v/>
      </c>
      <c r="AE198" s="213">
        <f t="shared" si="29"/>
        <v>52773.325720847606</v>
      </c>
      <c r="AG198" s="175">
        <f t="shared" si="32"/>
        <v>1</v>
      </c>
    </row>
    <row r="199" spans="1:38" ht="15.75" x14ac:dyDescent="0.2">
      <c r="A199" s="206">
        <f t="shared" si="30"/>
        <v>169</v>
      </c>
      <c r="B199" s="88">
        <f>IF($F199="","",'הזנה לתנאי סף'!C199)</f>
        <v>1001350703</v>
      </c>
      <c r="C199" s="88">
        <f>IF($F199="","",'הזנה לתנאי סף'!D199)</f>
        <v>1001279377</v>
      </c>
      <c r="D199" s="88">
        <f>IF($F199="","",'הזנה לתנאי סף'!E199)</f>
        <v>40000394</v>
      </c>
      <c r="E199" s="88">
        <f>IF($F199="","",'הזנה לתנאי סף'!F199)</f>
        <v>20000159</v>
      </c>
      <c r="F199" s="88" t="str">
        <f>IF(OR('הזנה לתנאי סף'!G199="",'הזנה לתנאי סף'!BL199&lt;&gt;1),"",'הזנה לתנאי סף'!G199)</f>
        <v>ירושלים</v>
      </c>
      <c r="G199" s="88" t="str">
        <f>IF($F199="","",'הזנה לתנאי סף'!H199)</f>
        <v>להקת קולבן דאנס</v>
      </c>
      <c r="H199" s="88" t="str">
        <f>IF($F199="","",'הזנה לתנאי סף'!I199)</f>
        <v>מחול</v>
      </c>
      <c r="I199" s="109">
        <v>1852521</v>
      </c>
      <c r="J199" s="213">
        <f>IF($F199="","",'הזנה לתנאי סף'!S199)</f>
        <v>815910</v>
      </c>
      <c r="K199" s="109">
        <v>272000</v>
      </c>
      <c r="L199" s="213">
        <f t="shared" si="23"/>
        <v>2940431</v>
      </c>
      <c r="M199" s="213">
        <f>IF($F199="","",IF(L199='הזנה לתנאי סף'!R199,1,0))</f>
        <v>1</v>
      </c>
      <c r="N199" s="214">
        <f t="shared" si="24"/>
        <v>0.63001682406422732</v>
      </c>
      <c r="O199" s="214">
        <f t="shared" si="33"/>
        <v>0.36998317593577268</v>
      </c>
      <c r="P199" s="109">
        <v>3249008</v>
      </c>
      <c r="Q199" s="213">
        <f>IF($F199="","",IFERROR(IF(P199&gt;0,'פרמטרים לקריטריונים'!$C$25*P199*O199,$AG$2),""))</f>
        <v>360623.48954421986</v>
      </c>
      <c r="R199" s="213">
        <f>IF($F199="","",IFERROR('פרמטרים לקריטריונים'!$C$26*Q199,""))</f>
        <v>88677.907264972091</v>
      </c>
      <c r="S199" s="214">
        <f t="shared" si="25"/>
        <v>1.3142202321622966E-3</v>
      </c>
      <c r="T199" s="213">
        <f t="shared" si="26"/>
        <v>65711.01160811483</v>
      </c>
      <c r="U199" s="213">
        <f>IF($F199="","",'הזנה לתנאי סף'!N199)</f>
        <v>1</v>
      </c>
      <c r="V199" s="213">
        <f>IF($F199="","",'הזנה לתנאי סף'!O199)</f>
        <v>1</v>
      </c>
      <c r="W199" s="109"/>
      <c r="X199" s="109"/>
      <c r="Y199" s="109"/>
      <c r="Z199" s="214" t="str">
        <f t="shared" si="27"/>
        <v>בדוק נתוני הזנה</v>
      </c>
      <c r="AA199" s="213" t="str">
        <f>IF(OR($F199="",V199=0),"",IF(V199=1,IF(COUNTBLANK(W199:X199)&gt;0,$AG$2,IF(OR(Z199&lt;='פרמטרים לקריטריונים'!$C$27,X199&gt;W199),"",X199-W199))))</f>
        <v>בדוק נתוני הזנה</v>
      </c>
      <c r="AB199" s="214">
        <f t="shared" si="31"/>
        <v>1</v>
      </c>
      <c r="AC199" s="225" t="str">
        <f>IF(OR(AB199="",U199=1),"",IF(OR(COUNTBLANK(W199:Y199)&gt;0,AB199&gt;='פרמטרים לקריטריונים'!$E$54),'פרמטרים לקריטריונים'!$F$54,INDEX('פרמטרים לקריטריונים'!$F$49:$F$54,MATCH(AB199,'פרמטרים לקריטריונים'!$E$49:$E$54,1))))</f>
        <v/>
      </c>
      <c r="AD199" s="213" t="str">
        <f t="shared" si="28"/>
        <v/>
      </c>
      <c r="AE199" s="213">
        <f t="shared" si="29"/>
        <v>65711.01160811483</v>
      </c>
      <c r="AG199" s="175">
        <f t="shared" si="32"/>
        <v>1</v>
      </c>
    </row>
    <row r="200" spans="1:38" ht="15.75" x14ac:dyDescent="0.2">
      <c r="A200" s="206">
        <f t="shared" si="30"/>
        <v>170</v>
      </c>
      <c r="B200" s="88">
        <f>IF($F200="","",'הזנה לתנאי סף'!C200)</f>
        <v>1001346528</v>
      </c>
      <c r="C200" s="88">
        <f>IF($F200="","",'הזנה לתנאי סף'!D200)</f>
        <v>1001266833</v>
      </c>
      <c r="D200" s="88">
        <f>IF($F200="","",'הזנה לתנאי סף'!E200)</f>
        <v>40318159</v>
      </c>
      <c r="E200" s="88">
        <f>IF($F200="","",'הזנה לתנאי סף'!F200)</f>
        <v>20000154</v>
      </c>
      <c r="F200" s="88" t="str">
        <f>IF(OR('הזנה לתנאי סף'!G200="",'הזנה לתנאי סף'!BL200&lt;&gt;1),"",'הזנה לתנאי סף'!G200)</f>
        <v>אום אל-פחם</v>
      </c>
      <c r="G200" s="88" t="str">
        <f>IF($F200="","",'הזנה לתנאי סף'!H200)</f>
        <v>אלמיאדין תאטרון א.א. פחם</v>
      </c>
      <c r="H200" s="88" t="str">
        <f>IF($F200="","",'הזנה לתנאי סף'!I200)</f>
        <v>תיאטרון</v>
      </c>
      <c r="I200" s="109">
        <v>215977</v>
      </c>
      <c r="J200" s="213">
        <f>IF($F200="","",'הזנה לתנאי סף'!S200)</f>
        <v>534027</v>
      </c>
      <c r="K200" s="109">
        <v>0</v>
      </c>
      <c r="L200" s="213">
        <f t="shared" si="23"/>
        <v>750004</v>
      </c>
      <c r="M200" s="213">
        <f>IF($F200="","",IF(L200='הזנה לתנאי סף'!R200,1,0))</f>
        <v>1</v>
      </c>
      <c r="N200" s="214">
        <f t="shared" si="24"/>
        <v>0.28796779750507995</v>
      </c>
      <c r="O200" s="214">
        <f t="shared" si="33"/>
        <v>0.71203220249492005</v>
      </c>
      <c r="P200" s="109">
        <v>537753</v>
      </c>
      <c r="Q200" s="213">
        <f>IF($F200="","",IFERROR(IF(P200&gt;0,'פרמטרים לקריטריונים'!$C$25*P200*O200,$AG$2),""))</f>
        <v>114869.23589647522</v>
      </c>
      <c r="R200" s="213">
        <f>IF($F200="","",IFERROR('פרמטרים לקריטריונים'!$C$26*Q200,""))</f>
        <v>28246.533417166036</v>
      </c>
      <c r="S200" s="214">
        <f t="shared" si="25"/>
        <v>4.1861797205436905E-4</v>
      </c>
      <c r="T200" s="213">
        <f t="shared" si="26"/>
        <v>20930.898602718451</v>
      </c>
      <c r="U200" s="213">
        <f>IF($F200="","",'הזנה לתנאי סף'!N200)</f>
        <v>0</v>
      </c>
      <c r="V200" s="213">
        <f>IF($F200="","",'הזנה לתנאי סף'!O200)</f>
        <v>1</v>
      </c>
      <c r="W200" s="109">
        <v>0</v>
      </c>
      <c r="X200" s="109">
        <v>0</v>
      </c>
      <c r="Y200" s="109">
        <v>1</v>
      </c>
      <c r="Z200" s="214">
        <f t="shared" si="27"/>
        <v>0</v>
      </c>
      <c r="AA200" s="213" t="str">
        <f>IF(OR($F200="",V200=0),"",IF(V200=1,IF(COUNTBLANK(W200:X200)&gt;0,$AG$2,IF(OR(Z200&lt;='פרמטרים לקריטריונים'!$C$27,X200&gt;W200),"",X200-W200))))</f>
        <v/>
      </c>
      <c r="AB200" s="214" t="str">
        <f t="shared" si="31"/>
        <v/>
      </c>
      <c r="AC200" s="225" t="str">
        <f>IF(OR(AB200="",U200=1),"",IF(OR(COUNTBLANK(W200:Y200)&gt;0,AB200&gt;='פרמטרים לקריטריונים'!$E$54),'פרמטרים לקריטריונים'!$F$54,INDEX('פרמטרים לקריטריונים'!$F$49:$F$54,MATCH(AB200,'פרמטרים לקריטריונים'!$E$49:$E$54,1))))</f>
        <v/>
      </c>
      <c r="AD200" s="213" t="str">
        <f t="shared" si="28"/>
        <v/>
      </c>
      <c r="AE200" s="213">
        <f t="shared" si="29"/>
        <v>20930.898602718451</v>
      </c>
      <c r="AG200" s="175">
        <f t="shared" si="32"/>
        <v>0</v>
      </c>
    </row>
    <row r="201" spans="1:38" ht="15.75" x14ac:dyDescent="0.2">
      <c r="A201" s="206">
        <f t="shared" si="30"/>
        <v>171</v>
      </c>
      <c r="B201" s="88">
        <f>IF($F201="","",'הזנה לתנאי סף'!C201)</f>
        <v>1001349724</v>
      </c>
      <c r="C201" s="88">
        <f>IF($F201="","",'הזנה לתנאי סף'!D201)</f>
        <v>1001269669</v>
      </c>
      <c r="D201" s="88">
        <f>IF($F201="","",'הזנה לתנאי סף'!E201)</f>
        <v>40461779</v>
      </c>
      <c r="E201" s="88">
        <f>IF($F201="","",'הזנה לתנאי סף'!F201)</f>
        <v>20000222</v>
      </c>
      <c r="F201" s="88" t="str">
        <f>IF(OR('הזנה לתנאי סף'!G201="",'הזנה לתנאי סף'!BL201&lt;&gt;1),"",'הזנה לתנאי סף'!G201)</f>
        <v>הרצלייה</v>
      </c>
      <c r="G201" s="88" t="str">
        <f>IF($F201="","",'הזנה לתנאי סף'!H201)</f>
        <v>שיא - עמותה לפיתוח התרבות והאומנות</v>
      </c>
      <c r="H201" s="88" t="str">
        <f>IF($F201="","",'הזנה לתנאי סף'!I201)</f>
        <v>תיאטרון</v>
      </c>
      <c r="I201" s="109">
        <v>831531</v>
      </c>
      <c r="J201" s="213">
        <f>IF($F201="","",'הזנה לתנאי סף'!S201)</f>
        <v>3542909</v>
      </c>
      <c r="K201" s="109">
        <v>0</v>
      </c>
      <c r="L201" s="213">
        <f t="shared" si="23"/>
        <v>4374440</v>
      </c>
      <c r="M201" s="213">
        <f>IF($F201="","",IF(L201='הזנה לתנאי סף'!R201,1,0))</f>
        <v>1</v>
      </c>
      <c r="N201" s="214">
        <f t="shared" si="24"/>
        <v>0.19008855990709669</v>
      </c>
      <c r="O201" s="214">
        <f t="shared" si="33"/>
        <v>0.80991144009290328</v>
      </c>
      <c r="P201" s="109">
        <v>4651189</v>
      </c>
      <c r="Q201" s="213">
        <f>IF($F201="","",IFERROR(IF(P201&gt;0,'פרמטרים לקריטריונים'!$C$25*P201*O201,$AG$2),""))</f>
        <v>1130115.3543402811</v>
      </c>
      <c r="R201" s="213">
        <f>IF($F201="","",IFERROR('פרמטרים לקריטריונים'!$C$26*Q201,""))</f>
        <v>277897.21828039701</v>
      </c>
      <c r="S201" s="214">
        <f t="shared" si="25"/>
        <v>4.1184795400554235E-3</v>
      </c>
      <c r="T201" s="213">
        <f t="shared" si="26"/>
        <v>205923.97700277116</v>
      </c>
      <c r="U201" s="213">
        <f>IF($F201="","",'הזנה לתנאי סף'!N201)</f>
        <v>0</v>
      </c>
      <c r="V201" s="213">
        <f>IF($F201="","",'הזנה לתנאי סף'!O201)</f>
        <v>1</v>
      </c>
      <c r="W201" s="109">
        <v>0</v>
      </c>
      <c r="X201" s="109">
        <v>0</v>
      </c>
      <c r="Y201" s="109">
        <v>1</v>
      </c>
      <c r="Z201" s="214">
        <f t="shared" si="27"/>
        <v>0</v>
      </c>
      <c r="AA201" s="213" t="str">
        <f>IF(OR($F201="",V201=0),"",IF(V201=1,IF(COUNTBLANK(W201:X201)&gt;0,$AG$2,IF(OR(Z201&lt;='פרמטרים לקריטריונים'!$C$27,X201&gt;W201),"",X201-W201))))</f>
        <v/>
      </c>
      <c r="AB201" s="214" t="str">
        <f t="shared" si="31"/>
        <v/>
      </c>
      <c r="AC201" s="225" t="str">
        <f>IF(OR(AB201="",U201=1),"",IF(OR(COUNTBLANK(W201:Y201)&gt;0,AB201&gt;='פרמטרים לקריטריונים'!$E$54),'פרמטרים לקריטריונים'!$F$54,INDEX('פרמטרים לקריטריונים'!$F$49:$F$54,MATCH(AB201,'פרמטרים לקריטריונים'!$E$49:$E$54,1))))</f>
        <v/>
      </c>
      <c r="AD201" s="213" t="str">
        <f t="shared" si="28"/>
        <v/>
      </c>
      <c r="AE201" s="213">
        <f t="shared" si="29"/>
        <v>205923.97700277116</v>
      </c>
      <c r="AG201" s="175">
        <f t="shared" si="32"/>
        <v>0</v>
      </c>
    </row>
    <row r="202" spans="1:38" ht="15.75" x14ac:dyDescent="0.2">
      <c r="A202" s="206">
        <f t="shared" si="30"/>
        <v>172</v>
      </c>
      <c r="B202" s="88">
        <f>IF($F202="","",'הזנה לתנאי סף'!C202)</f>
        <v>1001350043</v>
      </c>
      <c r="C202" s="88">
        <f>IF($F202="","",'הזנה לתנאי סף'!D202)</f>
        <v>1001280546</v>
      </c>
      <c r="D202" s="88">
        <f>IF($F202="","",'הזנה לתנאי סף'!E202)</f>
        <v>40000403</v>
      </c>
      <c r="E202" s="88">
        <f>IF($F202="","",'הזנה לתנאי סף'!F202)</f>
        <v>20000254</v>
      </c>
      <c r="F202" s="88" t="str">
        <f>IF(OR('הזנה לתנאי סף'!G202="",'הזנה לתנאי סף'!BL202&lt;&gt;1),"",'הזנה לתנאי סף'!G202)</f>
        <v>באר שבע</v>
      </c>
      <c r="G202" s="88" t="str">
        <f>IF($F202="","",'הזנה לתנאי סף'!H202)</f>
        <v>החוג לאופרה קלה בנגב</v>
      </c>
      <c r="H202" s="88" t="str">
        <f>IF($F202="","",'הזנה לתנאי סף'!I202)</f>
        <v>אופרה</v>
      </c>
      <c r="I202" s="109">
        <v>78924</v>
      </c>
      <c r="J202" s="213">
        <f>IF($F202="","",'הזנה לתנאי סף'!S202)</f>
        <v>293974</v>
      </c>
      <c r="K202" s="109">
        <v>0</v>
      </c>
      <c r="L202" s="213">
        <f t="shared" si="23"/>
        <v>372898</v>
      </c>
      <c r="M202" s="213">
        <f>IF($F202="","",IF(L202='הזנה לתנאי סף'!R202,1,0))</f>
        <v>1</v>
      </c>
      <c r="N202" s="214">
        <f t="shared" si="24"/>
        <v>0.21165037087889987</v>
      </c>
      <c r="O202" s="214">
        <f t="shared" si="33"/>
        <v>0.78834962912110007</v>
      </c>
      <c r="P202" s="109">
        <v>396744</v>
      </c>
      <c r="Q202" s="213">
        <f>IF($F202="","",IFERROR(IF(P202&gt;0,'פרמטרים לקריטריונים'!$C$25*P202*O202,$AG$2),""))</f>
        <v>93831.895576806521</v>
      </c>
      <c r="R202" s="213">
        <f>IF($F202="","",IFERROR('פרמטרים לקריטריונים'!$C$26*Q202,""))</f>
        <v>23073.416945116358</v>
      </c>
      <c r="S202" s="214">
        <f t="shared" si="25"/>
        <v>3.4195158985631744E-4</v>
      </c>
      <c r="T202" s="213">
        <f t="shared" si="26"/>
        <v>17097.579492815872</v>
      </c>
      <c r="U202" s="213">
        <f>IF($F202="","",'הזנה לתנאי סף'!N202)</f>
        <v>0</v>
      </c>
      <c r="V202" s="213">
        <f>IF($F202="","",'הזנה לתנאי סף'!O202)</f>
        <v>1</v>
      </c>
      <c r="W202" s="109">
        <v>0</v>
      </c>
      <c r="X202" s="109">
        <v>0</v>
      </c>
      <c r="Y202" s="109">
        <v>1</v>
      </c>
      <c r="Z202" s="214">
        <f t="shared" si="27"/>
        <v>0</v>
      </c>
      <c r="AA202" s="213" t="str">
        <f>IF(OR($F202="",V202=0),"",IF(V202=1,IF(COUNTBLANK(W202:X202)&gt;0,$AG$2,IF(OR(Z202&lt;='פרמטרים לקריטריונים'!$C$27,X202&gt;W202),"",X202-W202))))</f>
        <v/>
      </c>
      <c r="AB202" s="214" t="str">
        <f t="shared" si="31"/>
        <v/>
      </c>
      <c r="AC202" s="225" t="str">
        <f>IF(OR(AB202="",U202=1),"",IF(OR(COUNTBLANK(W202:Y202)&gt;0,AB202&gt;='פרמטרים לקריטריונים'!$E$54),'פרמטרים לקריטריונים'!$F$54,INDEX('פרמטרים לקריטריונים'!$F$49:$F$54,MATCH(AB202,'פרמטרים לקריטריונים'!$E$49:$E$54,1))))</f>
        <v/>
      </c>
      <c r="AD202" s="213" t="str">
        <f t="shared" si="28"/>
        <v/>
      </c>
      <c r="AE202" s="213">
        <f t="shared" si="29"/>
        <v>17097.579492815872</v>
      </c>
      <c r="AG202" s="175">
        <f t="shared" si="32"/>
        <v>0</v>
      </c>
    </row>
    <row r="203" spans="1:38" ht="15.75" x14ac:dyDescent="0.2">
      <c r="A203" s="206">
        <f t="shared" si="30"/>
        <v>173</v>
      </c>
      <c r="B203" s="88">
        <f>IF($F203="","",'הזנה לתנאי סף'!C203)</f>
        <v>1001350380</v>
      </c>
      <c r="C203" s="88">
        <f>IF($F203="","",'הזנה לתנאי סף'!D203)</f>
        <v>1001290728</v>
      </c>
      <c r="D203" s="88">
        <f>IF($F203="","",'הזנה לתנאי סף'!E203)</f>
        <v>40221579</v>
      </c>
      <c r="E203" s="88">
        <f>IF($F203="","",'הזנה לתנאי סף'!F203)</f>
        <v>20000159</v>
      </c>
      <c r="F203" s="88" t="str">
        <f>IF(OR('הזנה לתנאי סף'!G203="",'הזנה לתנאי סף'!BL203&lt;&gt;1),"",'הזנה לתנאי סף'!G203)</f>
        <v>ירושלים</v>
      </c>
      <c r="G203" s="88" t="str">
        <f>IF($F203="","",'הזנה לתנאי סף'!H203)</f>
        <v>אספקלריה</v>
      </c>
      <c r="H203" s="88" t="str">
        <f>IF($F203="","",'הזנה לתנאי סף'!I203)</f>
        <v>תיאטרון</v>
      </c>
      <c r="I203" s="109">
        <v>2411183</v>
      </c>
      <c r="J203" s="213">
        <f>IF($F203="","",'הזנה לתנאי סף'!S203)</f>
        <v>1811241</v>
      </c>
      <c r="K203" s="109">
        <v>0</v>
      </c>
      <c r="L203" s="213">
        <f t="shared" si="23"/>
        <v>4222424</v>
      </c>
      <c r="M203" s="213">
        <f>IF($F203="","",IF(L203='הזנה לתנאי סף'!R203,1,0))</f>
        <v>1</v>
      </c>
      <c r="N203" s="214">
        <f t="shared" si="24"/>
        <v>0.57104236808051489</v>
      </c>
      <c r="O203" s="214">
        <f t="shared" si="33"/>
        <v>0.42895763191948511</v>
      </c>
      <c r="P203" s="109">
        <v>3512856</v>
      </c>
      <c r="Q203" s="213">
        <f>IF($F203="","",IFERROR(IF(P203&gt;0,'פרמטרים לקריטריונים'!$C$25*P203*O203,$AG$2),""))</f>
        <v>452059.91731024644</v>
      </c>
      <c r="R203" s="213">
        <f>IF($F203="","",IFERROR('פרמטרים לקריטריונים'!$C$26*Q203,""))</f>
        <v>111162.27474842126</v>
      </c>
      <c r="S203" s="214">
        <f t="shared" si="25"/>
        <v>1.6474420183488659E-3</v>
      </c>
      <c r="T203" s="213">
        <f t="shared" si="26"/>
        <v>82372.100917443298</v>
      </c>
      <c r="U203" s="213">
        <f>IF($F203="","",'הזנה לתנאי סף'!N203)</f>
        <v>1</v>
      </c>
      <c r="V203" s="213">
        <f>IF($F203="","",'הזנה לתנאי סף'!O203)</f>
        <v>1</v>
      </c>
      <c r="W203" s="109"/>
      <c r="X203" s="109"/>
      <c r="Y203" s="109"/>
      <c r="Z203" s="214" t="str">
        <f t="shared" si="27"/>
        <v>בדוק נתוני הזנה</v>
      </c>
      <c r="AA203" s="213" t="str">
        <f>IF(OR($F203="",V203=0),"",IF(V203=1,IF(COUNTBLANK(W203:X203)&gt;0,$AG$2,IF(OR(Z203&lt;='פרמטרים לקריטריונים'!$C$27,X203&gt;W203),"",X203-W203))))</f>
        <v>בדוק נתוני הזנה</v>
      </c>
      <c r="AB203" s="214">
        <f t="shared" si="31"/>
        <v>1</v>
      </c>
      <c r="AC203" s="225" t="str">
        <f>IF(OR(AB203="",U203=1),"",IF(OR(COUNTBLANK(W203:Y203)&gt;0,AB203&gt;='פרמטרים לקריטריונים'!$E$54),'פרמטרים לקריטריונים'!$F$54,INDEX('פרמטרים לקריטריונים'!$F$49:$F$54,MATCH(AB203,'פרמטרים לקריטריונים'!$E$49:$E$54,1))))</f>
        <v/>
      </c>
      <c r="AD203" s="213" t="str">
        <f t="shared" si="28"/>
        <v/>
      </c>
      <c r="AE203" s="213">
        <f t="shared" si="29"/>
        <v>82372.100917443298</v>
      </c>
      <c r="AG203" s="175">
        <f t="shared" si="32"/>
        <v>1</v>
      </c>
    </row>
    <row r="204" spans="1:38" ht="15.75" x14ac:dyDescent="0.2">
      <c r="A204" s="206">
        <f t="shared" si="30"/>
        <v>174</v>
      </c>
      <c r="B204" s="88">
        <f>IF($F204="","",'הזנה לתנאי סף'!C204)</f>
        <v>1001348865</v>
      </c>
      <c r="C204" s="88">
        <f>IF($F204="","",'הזנה לתנאי סף'!D204)</f>
        <v>1001262670</v>
      </c>
      <c r="D204" s="88">
        <f>IF($F204="","",'הזנה לתנאי סף'!E204)</f>
        <v>41481124</v>
      </c>
      <c r="E204" s="88">
        <f>IF($F204="","",'הזנה לתנאי סף'!F204)</f>
        <v>20000159</v>
      </c>
      <c r="F204" s="88" t="str">
        <f>IF(OR('הזנה לתנאי סף'!G204="",'הזנה לתנאי סף'!BL204&lt;&gt;1),"",'הזנה לתנאי סף'!G204)</f>
        <v>ירושלים</v>
      </c>
      <c r="G204" s="88" t="str">
        <f>IF($F204="","",'הזנה לתנאי סף'!H204)</f>
        <v>האיל המרקד</v>
      </c>
      <c r="H204" s="88" t="str">
        <f>IF($F204="","",'הזנה לתנאי סף'!I204)</f>
        <v>תיאטרון</v>
      </c>
      <c r="I204" s="109">
        <v>212436</v>
      </c>
      <c r="J204" s="213">
        <f>IF($F204="","",'הזנה לתנאי סף'!S204)</f>
        <v>757091</v>
      </c>
      <c r="K204" s="109">
        <v>2</v>
      </c>
      <c r="L204" s="213">
        <f t="shared" si="23"/>
        <v>969529</v>
      </c>
      <c r="M204" s="213">
        <f>IF($F204="","",IF(L204='הזנה לתנאי סף'!R204,1,0))</f>
        <v>1</v>
      </c>
      <c r="N204" s="214">
        <f t="shared" si="24"/>
        <v>0.21911257940711418</v>
      </c>
      <c r="O204" s="214">
        <f t="shared" si="33"/>
        <v>0.78088742059288585</v>
      </c>
      <c r="P204" s="109">
        <v>599923</v>
      </c>
      <c r="Q204" s="213">
        <f>IF($F204="","",IFERROR(IF(P204&gt;0,'פרמטרים לקריטריונים'!$C$25*P204*O204,$AG$2),""))</f>
        <v>140541.69720730375</v>
      </c>
      <c r="R204" s="213">
        <f>IF($F204="","",IFERROR('פרמטרים לקריטריונים'!$C$26*Q204,""))</f>
        <v>34559.433739500921</v>
      </c>
      <c r="S204" s="214">
        <f t="shared" si="25"/>
        <v>5.1217612631308525E-4</v>
      </c>
      <c r="T204" s="213">
        <f t="shared" si="26"/>
        <v>25608.806315654263</v>
      </c>
      <c r="U204" s="213">
        <f>IF($F204="","",'הזנה לתנאי סף'!N204)</f>
        <v>1</v>
      </c>
      <c r="V204" s="213">
        <f>IF($F204="","",'הזנה לתנאי סף'!O204)</f>
        <v>1</v>
      </c>
      <c r="W204" s="109"/>
      <c r="X204" s="109"/>
      <c r="Y204" s="109"/>
      <c r="Z204" s="214" t="str">
        <f t="shared" si="27"/>
        <v>בדוק נתוני הזנה</v>
      </c>
      <c r="AA204" s="213" t="str">
        <f>IF(OR($F204="",V204=0),"",IF(V204=1,IF(COUNTBLANK(W204:X204)&gt;0,$AG$2,IF(OR(Z204&lt;='פרמטרים לקריטריונים'!$C$27,X204&gt;W204),"",X204-W204))))</f>
        <v>בדוק נתוני הזנה</v>
      </c>
      <c r="AB204" s="214">
        <f t="shared" si="31"/>
        <v>1</v>
      </c>
      <c r="AC204" s="225" t="str">
        <f>IF(OR(AB204="",U204=1),"",IF(OR(COUNTBLANK(W204:Y204)&gt;0,AB204&gt;='פרמטרים לקריטריונים'!$E$54),'פרמטרים לקריטריונים'!$F$54,INDEX('פרמטרים לקריטריונים'!$F$49:$F$54,MATCH(AB204,'פרמטרים לקריטריונים'!$E$49:$E$54,1))))</f>
        <v/>
      </c>
      <c r="AD204" s="213" t="str">
        <f t="shared" si="28"/>
        <v/>
      </c>
      <c r="AE204" s="213">
        <f t="shared" si="29"/>
        <v>25608.806315654263</v>
      </c>
      <c r="AG204" s="175">
        <f t="shared" si="32"/>
        <v>1</v>
      </c>
    </row>
    <row r="205" spans="1:38" ht="15.75" x14ac:dyDescent="0.2">
      <c r="A205" s="206">
        <f t="shared" si="30"/>
        <v>175</v>
      </c>
      <c r="B205" s="88">
        <f>IF($F205="","",'הזנה לתנאי סף'!C205)</f>
        <v>1001348123</v>
      </c>
      <c r="C205" s="88">
        <f>IF($F205="","",'הזנה לתנאי סף'!D205)</f>
        <v>1001273976</v>
      </c>
      <c r="D205" s="88">
        <f>IF($F205="","",'הזנה לתנאי סף'!E205)</f>
        <v>41482603</v>
      </c>
      <c r="E205" s="88">
        <f>IF($F205="","",'הזנה לתנאי סף'!F205)</f>
        <v>20000159</v>
      </c>
      <c r="F205" s="88" t="str">
        <f>IF(OR('הזנה לתנאי סף'!G205="",'הזנה לתנאי סף'!BL205&lt;&gt;1),"",'הזנה לתנאי סף'!G205)</f>
        <v>ירושלים</v>
      </c>
      <c r="G205" s="88" t="str">
        <f>IF($F205="","",'הזנה לתנאי סף'!H205)</f>
        <v>במת חוצות</v>
      </c>
      <c r="H205" s="88" t="str">
        <f>IF($F205="","",'הזנה לתנאי סף'!I205)</f>
        <v>קבוצות תיאטרון</v>
      </c>
      <c r="I205" s="109">
        <v>1764814</v>
      </c>
      <c r="J205" s="213">
        <f>IF($F205="","",'הזנה לתנאי סף'!S205)</f>
        <v>598811</v>
      </c>
      <c r="K205" s="109">
        <v>0</v>
      </c>
      <c r="L205" s="213">
        <f t="shared" si="23"/>
        <v>2363625</v>
      </c>
      <c r="M205" s="213">
        <f>IF($F205="","",IF(L205='הזנה לתנאי סף'!R205,1,0))</f>
        <v>1</v>
      </c>
      <c r="N205" s="214">
        <f t="shared" si="24"/>
        <v>0.7466556666137818</v>
      </c>
      <c r="O205" s="214">
        <f t="shared" si="33"/>
        <v>0.2533443333862182</v>
      </c>
      <c r="P205" s="109">
        <v>1817856</v>
      </c>
      <c r="Q205" s="213">
        <f>IF($F205="","",IFERROR(IF(P205&gt;0,'פרמטרים לקריטריונים'!$C$25*P205*O205,$AG$2),""))</f>
        <v>138163.05495364111</v>
      </c>
      <c r="R205" s="213">
        <f>IF($F205="","",IFERROR('פרמטרים לקריטריונים'!$C$26*Q205,""))</f>
        <v>33974.521709911751</v>
      </c>
      <c r="S205" s="214">
        <f t="shared" si="25"/>
        <v>5.0350764002343599E-4</v>
      </c>
      <c r="T205" s="213">
        <f t="shared" si="26"/>
        <v>25175.382001171798</v>
      </c>
      <c r="U205" s="213">
        <f>IF($F205="","",'הזנה לתנאי סף'!N205)</f>
        <v>1</v>
      </c>
      <c r="V205" s="213">
        <f>IF($F205="","",'הזנה לתנאי סף'!O205)</f>
        <v>1</v>
      </c>
      <c r="W205" s="109"/>
      <c r="X205" s="109"/>
      <c r="Y205" s="109"/>
      <c r="Z205" s="214" t="str">
        <f t="shared" si="27"/>
        <v>בדוק נתוני הזנה</v>
      </c>
      <c r="AA205" s="213" t="str">
        <f>IF(OR($F205="",V205=0),"",IF(V205=1,IF(COUNTBLANK(W205:X205)&gt;0,$AG$2,IF(OR(Z205&lt;='פרמטרים לקריטריונים'!$C$27,X205&gt;W205),"",X205-W205))))</f>
        <v>בדוק נתוני הזנה</v>
      </c>
      <c r="AB205" s="214">
        <f t="shared" si="31"/>
        <v>0</v>
      </c>
      <c r="AC205" s="225" t="str">
        <f>IF(OR(AB205="",U205=1),"",IF(OR(COUNTBLANK(W205:Y205)&gt;0,AB205&gt;='פרמטרים לקריטריונים'!$E$54),'פרמטרים לקריטריונים'!$F$54,INDEX('פרמטרים לקריטריונים'!$F$49:$F$54,MATCH(AB205,'פרמטרים לקריטריונים'!$E$49:$E$54,1))))</f>
        <v/>
      </c>
      <c r="AD205" s="213" t="str">
        <f t="shared" si="28"/>
        <v/>
      </c>
      <c r="AE205" s="213">
        <f t="shared" si="29"/>
        <v>25175.382001171798</v>
      </c>
      <c r="AG205" s="175">
        <f t="shared" si="32"/>
        <v>1</v>
      </c>
    </row>
    <row r="206" spans="1:38" ht="15.75" x14ac:dyDescent="0.2">
      <c r="A206" s="206">
        <f t="shared" si="30"/>
        <v>176</v>
      </c>
      <c r="B206" s="88">
        <f>IF($F206="","",'הזנה לתנאי סף'!C206)</f>
        <v>1001347085</v>
      </c>
      <c r="C206" s="88">
        <f>IF($F206="","",'הזנה לתנאי סף'!D206)</f>
        <v>1001270801</v>
      </c>
      <c r="D206" s="88">
        <f>IF($F206="","",'הזנה לתנאי סף'!E206)</f>
        <v>40323479</v>
      </c>
      <c r="E206" s="88">
        <f>IF($F206="","",'הזנה לתנאי סף'!F206)</f>
        <v>20000201</v>
      </c>
      <c r="F206" s="88" t="str">
        <f>IF(OR('הזנה לתנאי סף'!G206="",'הזנה לתנאי סף'!BL206&lt;&gt;1),"",'הזנה לתנאי סף'!G206)</f>
        <v>תל אביב -יפו</v>
      </c>
      <c r="G206" s="88" t="str">
        <f>IF($F206="","",'הזנה לתנאי סף'!H206)</f>
        <v>להקת יסמין גודר</v>
      </c>
      <c r="H206" s="88" t="str">
        <f>IF($F206="","",'הזנה לתנאי סף'!I206)</f>
        <v>מחול</v>
      </c>
      <c r="I206" s="109">
        <v>626267</v>
      </c>
      <c r="J206" s="213">
        <f>IF($F206="","",'הזנה לתנאי סף'!S206)</f>
        <v>558630</v>
      </c>
      <c r="K206" s="109">
        <v>79565</v>
      </c>
      <c r="L206" s="213">
        <f t="shared" si="23"/>
        <v>1264462</v>
      </c>
      <c r="M206" s="213">
        <f>IF($F206="","",IF(L206='הזנה לתנאי סף'!R206,1,0))</f>
        <v>1</v>
      </c>
      <c r="N206" s="214">
        <f t="shared" si="24"/>
        <v>0.49528336952790991</v>
      </c>
      <c r="O206" s="214">
        <f t="shared" si="33"/>
        <v>0.50471663047209003</v>
      </c>
      <c r="P206" s="109">
        <v>1173433</v>
      </c>
      <c r="Q206" s="213">
        <f>IF($F206="","",IFERROR(IF(P206&gt;0,'פרמטרים לקריטריונים'!$C$25*P206*O206,$AG$2),""))</f>
        <v>177675.3449534268</v>
      </c>
      <c r="R206" s="213">
        <f>IF($F206="","",IFERROR('פרמטרים לקריטריונים'!$C$26*Q206,""))</f>
        <v>43690.658595104949</v>
      </c>
      <c r="S206" s="214">
        <f t="shared" si="25"/>
        <v>6.4750228386211718E-4</v>
      </c>
      <c r="T206" s="213">
        <f t="shared" si="26"/>
        <v>32375.114193105859</v>
      </c>
      <c r="U206" s="213">
        <f>IF($F206="","",'הזנה לתנאי סף'!N206)</f>
        <v>1</v>
      </c>
      <c r="V206" s="213">
        <f>IF($F206="","",'הזנה לתנאי סף'!O206)</f>
        <v>1</v>
      </c>
      <c r="W206" s="109"/>
      <c r="X206" s="109"/>
      <c r="Y206" s="109"/>
      <c r="Z206" s="214" t="str">
        <f t="shared" si="27"/>
        <v>בדוק נתוני הזנה</v>
      </c>
      <c r="AA206" s="213" t="str">
        <f>IF(OR($F206="",V206=0),"",IF(V206=1,IF(COUNTBLANK(W206:X206)&gt;0,$AG$2,IF(OR(Z206&lt;='פרמטרים לקריטריונים'!$C$27,X206&gt;W206),"",X206-W206))))</f>
        <v>בדוק נתוני הזנה</v>
      </c>
      <c r="AB206" s="214">
        <f t="shared" si="31"/>
        <v>1</v>
      </c>
      <c r="AC206" s="225" t="str">
        <f>IF(OR(AB206="",U206=1),"",IF(OR(COUNTBLANK(W206:Y206)&gt;0,AB206&gt;='פרמטרים לקריטריונים'!$E$54),'פרמטרים לקריטריונים'!$F$54,INDEX('פרמטרים לקריטריונים'!$F$49:$F$54,MATCH(AB206,'פרמטרים לקריטריונים'!$E$49:$E$54,1))))</f>
        <v/>
      </c>
      <c r="AD206" s="213" t="str">
        <f t="shared" si="28"/>
        <v/>
      </c>
      <c r="AE206" s="213">
        <f t="shared" si="29"/>
        <v>32375.114193105859</v>
      </c>
      <c r="AG206" s="175">
        <f t="shared" si="32"/>
        <v>1</v>
      </c>
    </row>
    <row r="207" spans="1:38" ht="15.75" x14ac:dyDescent="0.2">
      <c r="A207" s="206">
        <f t="shared" si="30"/>
        <v>177</v>
      </c>
      <c r="B207" s="88">
        <f>IF($F207="","",'הזנה לתנאי סף'!C207)</f>
        <v>1001350682</v>
      </c>
      <c r="C207" s="88">
        <f>IF($F207="","",'הזנה לתנאי סף'!D207)</f>
        <v>1001270744</v>
      </c>
      <c r="D207" s="88">
        <f>IF($F207="","",'הזנה לתנאי סף'!E207)</f>
        <v>40467070</v>
      </c>
      <c r="E207" s="88">
        <f>IF($F207="","",'הזנה לתנאי סף'!F207)</f>
        <v>20000201</v>
      </c>
      <c r="F207" s="88" t="str">
        <f>IF(OR('הזנה לתנאי סף'!G207="",'הזנה לתנאי סף'!BL207&lt;&gt;1),"",'הזנה לתנאי סף'!G207)</f>
        <v>תל אביב -יפו</v>
      </c>
      <c r="G207" s="88" t="str">
        <f>IF($F207="","",'הזנה לתנאי סף'!H207)</f>
        <v>זמרי קולגיום</v>
      </c>
      <c r="H207" s="88" t="str">
        <f>IF($F207="","",'הזנה לתנאי סף'!I207)</f>
        <v>אחר</v>
      </c>
      <c r="I207" s="109">
        <v>190902</v>
      </c>
      <c r="J207" s="213">
        <f>IF($F207="","",'הזנה לתנאי סף'!S207)</f>
        <v>128342</v>
      </c>
      <c r="K207" s="109">
        <v>0</v>
      </c>
      <c r="L207" s="213">
        <f t="shared" si="23"/>
        <v>319244</v>
      </c>
      <c r="M207" s="213">
        <f>IF($F207="","",IF(L207='הזנה לתנאי סף'!R207,1,0))</f>
        <v>1</v>
      </c>
      <c r="N207" s="214">
        <f t="shared" si="24"/>
        <v>0.59798148124945183</v>
      </c>
      <c r="O207" s="214">
        <f t="shared" si="33"/>
        <v>0.40201851875054817</v>
      </c>
      <c r="P207" s="109">
        <v>263547</v>
      </c>
      <c r="Q207" s="213">
        <f>IF($F207="","",IFERROR(IF(P207&gt;0,'פרמטרים לקריטריונים'!$C$25*P207*O207,$AG$2),""))</f>
        <v>31785.232368345212</v>
      </c>
      <c r="R207" s="213">
        <f>IF($F207="","",IFERROR('פרמטרים לקריטריונים'!$C$26*Q207,""))</f>
        <v>7816.0407463143965</v>
      </c>
      <c r="S207" s="214">
        <f t="shared" si="25"/>
        <v>1.1583492665786816E-4</v>
      </c>
      <c r="T207" s="213">
        <f t="shared" si="26"/>
        <v>5791.7463328934082</v>
      </c>
      <c r="U207" s="213">
        <f>IF($F207="","",'הזנה לתנאי סף'!N207)</f>
        <v>1</v>
      </c>
      <c r="V207" s="213">
        <f>IF($F207="","",'הזנה לתנאי סף'!O207)</f>
        <v>1</v>
      </c>
      <c r="W207" s="109"/>
      <c r="X207" s="109"/>
      <c r="Y207" s="109"/>
      <c r="Z207" s="214" t="str">
        <f t="shared" si="27"/>
        <v>בדוק נתוני הזנה</v>
      </c>
      <c r="AA207" s="213" t="str">
        <f>IF(OR($F207="",V207=0),"",IF(V207=1,IF(COUNTBLANK(W207:X207)&gt;0,$AG$2,IF(OR(Z207&lt;='פרמטרים לקריטריונים'!$C$27,X207&gt;W207),"",X207-W207))))</f>
        <v>בדוק נתוני הזנה</v>
      </c>
      <c r="AB207" s="214">
        <f t="shared" si="31"/>
        <v>0</v>
      </c>
      <c r="AC207" s="225" t="str">
        <f>IF(OR(AB207="",U207=1),"",IF(OR(COUNTBLANK(W207:Y207)&gt;0,AB207&gt;='פרמטרים לקריטריונים'!$E$54),'פרמטרים לקריטריונים'!$F$54,INDEX('פרמטרים לקריטריונים'!$F$49:$F$54,MATCH(AB207,'פרמטרים לקריטריונים'!$E$49:$E$54,1))))</f>
        <v/>
      </c>
      <c r="AD207" s="213" t="str">
        <f t="shared" si="28"/>
        <v/>
      </c>
      <c r="AE207" s="213">
        <f t="shared" si="29"/>
        <v>5791.7463328934082</v>
      </c>
      <c r="AG207" s="175">
        <f t="shared" si="32"/>
        <v>1</v>
      </c>
    </row>
    <row r="208" spans="1:38" ht="15.75" x14ac:dyDescent="0.2">
      <c r="A208" s="206">
        <f t="shared" si="30"/>
        <v>178</v>
      </c>
      <c r="B208" s="88">
        <f>IF($F208="","",'הזנה לתנאי סף'!C208)</f>
        <v>1001348272</v>
      </c>
      <c r="C208" s="88">
        <f>IF($F208="","",'הזנה לתנאי סף'!D208)</f>
        <v>1001280728</v>
      </c>
      <c r="D208" s="88">
        <f>IF($F208="","",'הזנה לתנאי סף'!E208)</f>
        <v>40343383</v>
      </c>
      <c r="E208" s="88">
        <f>IF($F208="","",'הזנה לתנאי סף'!F208)</f>
        <v>20000231</v>
      </c>
      <c r="F208" s="88" t="str">
        <f>IF(OR('הזנה לתנאי סף'!G208="",'הזנה לתנאי סף'!BL208&lt;&gt;1),"",'הזנה לתנאי סף'!G208)</f>
        <v>נצרת</v>
      </c>
      <c r="G208" s="88" t="str">
        <f>IF($F208="","",'הזנה לתנאי סף'!H208)</f>
        <v>תיאטרון אנסמבל פרינג' נצרת</v>
      </c>
      <c r="H208" s="88" t="str">
        <f>IF($F208="","",'הזנה לתנאי סף'!I208)</f>
        <v>מרכזי פרינג'</v>
      </c>
      <c r="I208" s="109">
        <v>1371819</v>
      </c>
      <c r="J208" s="213">
        <f>IF($F208="","",'הזנה לתנאי סף'!S208)</f>
        <v>859464</v>
      </c>
      <c r="K208" s="109">
        <v>0</v>
      </c>
      <c r="L208" s="213">
        <f t="shared" si="23"/>
        <v>2231283</v>
      </c>
      <c r="M208" s="213">
        <f>IF($F208="","",IF(L208='הזנה לתנאי סף'!R208,1,0))</f>
        <v>1</v>
      </c>
      <c r="N208" s="214">
        <f t="shared" si="24"/>
        <v>0.61481174732205646</v>
      </c>
      <c r="O208" s="214">
        <f t="shared" si="33"/>
        <v>0.38518825267794354</v>
      </c>
      <c r="P208" s="109">
        <v>2021655</v>
      </c>
      <c r="Q208" s="213">
        <f>IF($F208="","",IFERROR(IF(P208&gt;0,'פרמטרים לקריטריונים'!$C$25*P208*O208,$AG$2),""))</f>
        <v>233615.3270902884</v>
      </c>
      <c r="R208" s="213">
        <f>IF($F208="","",IFERROR('פרמטרים לקריטריונים'!$C$26*Q208,""))</f>
        <v>57446.391907447964</v>
      </c>
      <c r="S208" s="214">
        <f t="shared" si="25"/>
        <v>8.5136436839792281E-4</v>
      </c>
      <c r="T208" s="213">
        <f t="shared" si="26"/>
        <v>42568.21841989614</v>
      </c>
      <c r="U208" s="213">
        <f>IF($F208="","",'הזנה לתנאי סף'!N208)</f>
        <v>0</v>
      </c>
      <c r="V208" s="213">
        <f>IF($F208="","",'הזנה לתנאי סף'!O208)</f>
        <v>1</v>
      </c>
      <c r="W208" s="109">
        <v>0</v>
      </c>
      <c r="X208" s="109">
        <v>0</v>
      </c>
      <c r="Y208" s="109">
        <v>1</v>
      </c>
      <c r="Z208" s="214">
        <f t="shared" si="27"/>
        <v>0</v>
      </c>
      <c r="AA208" s="213" t="str">
        <f>IF(OR($F208="",V208=0),"",IF(V208=1,IF(COUNTBLANK(W208:X208)&gt;0,$AG$2,IF(OR(Z208&lt;='פרמטרים לקריטריונים'!$C$27,X208&gt;W208),"",X208-W208))))</f>
        <v/>
      </c>
      <c r="AB208" s="214" t="str">
        <f t="shared" si="31"/>
        <v/>
      </c>
      <c r="AC208" s="225" t="str">
        <f>IF(OR(AB208="",U208=1),"",IF(OR(COUNTBLANK(W208:Y208)&gt;0,AB208&gt;='פרמטרים לקריטריונים'!$E$54),'פרמטרים לקריטריונים'!$F$54,INDEX('פרמטרים לקריטריונים'!$F$49:$F$54,MATCH(AB208,'פרמטרים לקריטריונים'!$E$49:$E$54,1))))</f>
        <v/>
      </c>
      <c r="AD208" s="213" t="str">
        <f t="shared" si="28"/>
        <v/>
      </c>
      <c r="AE208" s="213">
        <f t="shared" si="29"/>
        <v>42568.21841989614</v>
      </c>
      <c r="AG208" s="175">
        <f t="shared" si="32"/>
        <v>0</v>
      </c>
    </row>
    <row r="209" spans="1:33" ht="15.75" x14ac:dyDescent="0.2">
      <c r="A209" s="206">
        <f t="shared" si="30"/>
        <v>179</v>
      </c>
      <c r="B209" s="88">
        <f>IF($F209="","",'הזנה לתנאי סף'!C209)</f>
        <v>1001346674</v>
      </c>
      <c r="C209" s="88">
        <f>IF($F209="","",'הזנה לתנאי סף'!D209)</f>
        <v>1001263309</v>
      </c>
      <c r="D209" s="88">
        <f>IF($F209="","",'הזנה לתנאי סף'!E209)</f>
        <v>40507679</v>
      </c>
      <c r="E209" s="88">
        <f>IF($F209="","",'הזנה לתנאי סף'!F209)</f>
        <v>20000057</v>
      </c>
      <c r="F209" s="88" t="str">
        <f>IF(OR('הזנה לתנאי סף'!G209="",'הזנה לתנאי סף'!BL209&lt;&gt;1),"",'הזנה לתנאי סף'!G209)</f>
        <v>מעיליא</v>
      </c>
      <c r="G209" s="88" t="str">
        <f>IF($F209="","",'הזנה לתנאי סף'!H209)</f>
        <v>"ביאת" למוסיקה ושירה (ע"ר)</v>
      </c>
      <c r="H209" s="88" t="str">
        <f>IF($F209="","",'הזנה לתנאי סף'!I209)</f>
        <v>אחר</v>
      </c>
      <c r="I209" s="109">
        <v>485959</v>
      </c>
      <c r="J209" s="213">
        <f>IF($F209="","",'הזנה לתנאי סף'!S209)</f>
        <v>969446</v>
      </c>
      <c r="K209" s="109">
        <v>0</v>
      </c>
      <c r="L209" s="213">
        <f t="shared" si="23"/>
        <v>1455405</v>
      </c>
      <c r="M209" s="213">
        <f>IF($F209="","",IF(L209='הזנה לתנאי סף'!R209,1,0))</f>
        <v>1</v>
      </c>
      <c r="N209" s="214">
        <f t="shared" si="24"/>
        <v>0.33389949876494857</v>
      </c>
      <c r="O209" s="214">
        <f t="shared" si="33"/>
        <v>0.66610050123505138</v>
      </c>
      <c r="P209" s="109">
        <v>1369898</v>
      </c>
      <c r="Q209" s="213">
        <f>IF($F209="","",IFERROR(IF(P209&gt;0,'פרמטרים לקריטריונים'!$C$25*P209*O209,$AG$2),""))</f>
        <v>273746.92333226831</v>
      </c>
      <c r="R209" s="213">
        <f>IF($F209="","",IFERROR('פרמטרים לקריטריונים'!$C$26*Q209,""))</f>
        <v>67314.817212852868</v>
      </c>
      <c r="S209" s="214">
        <f t="shared" si="25"/>
        <v>9.9761595005955282E-4</v>
      </c>
      <c r="T209" s="213">
        <f t="shared" si="26"/>
        <v>49880.797502977643</v>
      </c>
      <c r="U209" s="213">
        <f>IF($F209="","",'הזנה לתנאי סף'!N209)</f>
        <v>0</v>
      </c>
      <c r="V209" s="213">
        <f>IF($F209="","",'הזנה לתנאי סף'!O209)</f>
        <v>1</v>
      </c>
      <c r="W209" s="109">
        <v>0</v>
      </c>
      <c r="X209" s="109">
        <v>0</v>
      </c>
      <c r="Y209" s="109">
        <v>1</v>
      </c>
      <c r="Z209" s="214">
        <f t="shared" si="27"/>
        <v>0</v>
      </c>
      <c r="AA209" s="213" t="str">
        <f>IF(OR($F209="",V209=0),"",IF(V209=1,IF(COUNTBLANK(W209:X209)&gt;0,$AG$2,IF(OR(Z209&lt;='פרמטרים לקריטריונים'!$C$27,X209&gt;W209),"",X209-W209))))</f>
        <v/>
      </c>
      <c r="AB209" s="214" t="str">
        <f t="shared" si="31"/>
        <v/>
      </c>
      <c r="AC209" s="225" t="str">
        <f>IF(OR(AB209="",U209=1),"",IF(OR(COUNTBLANK(W209:Y209)&gt;0,AB209&gt;='פרמטרים לקריטריונים'!$E$54),'פרמטרים לקריטריונים'!$F$54,INDEX('פרמטרים לקריטריונים'!$F$49:$F$54,MATCH(AB209,'פרמטרים לקריטריונים'!$E$49:$E$54,1))))</f>
        <v/>
      </c>
      <c r="AD209" s="213" t="str">
        <f t="shared" si="28"/>
        <v/>
      </c>
      <c r="AE209" s="213">
        <f t="shared" si="29"/>
        <v>49880.797502977643</v>
      </c>
      <c r="AG209" s="175">
        <f t="shared" si="32"/>
        <v>0</v>
      </c>
    </row>
    <row r="210" spans="1:33" ht="15.75" x14ac:dyDescent="0.2">
      <c r="A210" s="206">
        <f t="shared" si="30"/>
        <v>180</v>
      </c>
      <c r="B210" s="88">
        <f>IF($F210="","",'הזנה לתנאי סף'!C210)</f>
        <v>1001350423</v>
      </c>
      <c r="C210" s="88">
        <f>IF($F210="","",'הזנה לתנאי סף'!D210)</f>
        <v>1001288875</v>
      </c>
      <c r="D210" s="88">
        <f>IF($F210="","",'הזנה לתנאי סף'!E210)</f>
        <v>41904917</v>
      </c>
      <c r="E210" s="88">
        <f>IF($F210="","",'הזנה לתנאי סף'!F210)</f>
        <v>20000065</v>
      </c>
      <c r="F210" s="88" t="str">
        <f>IF(OR('הזנה לתנאי סף'!G210="",'הזנה לתנאי סף'!BL210&lt;&gt;1),"",'הזנה לתנאי סף'!G210)</f>
        <v>עספיא</v>
      </c>
      <c r="G210" s="88" t="str">
        <f>IF($F210="","",'הזנה לתנאי סף'!H210)</f>
        <v>התאחדות מוסיקאים ואמנים ערבים</v>
      </c>
      <c r="H210" s="88" t="str">
        <f>IF($F210="","",'הזנה לתנאי סף'!I210)</f>
        <v>אחר</v>
      </c>
      <c r="I210" s="109">
        <v>0</v>
      </c>
      <c r="J210" s="213">
        <f>IF($F210="","",'הזנה לתנאי סף'!S210)</f>
        <v>163700</v>
      </c>
      <c r="K210" s="109">
        <v>0</v>
      </c>
      <c r="L210" s="213">
        <f t="shared" si="23"/>
        <v>163700</v>
      </c>
      <c r="M210" s="213">
        <f>IF($F210="","",IF(L210='הזנה לתנאי סף'!R210,1,0))</f>
        <v>1</v>
      </c>
      <c r="N210" s="214">
        <f t="shared" si="24"/>
        <v>0</v>
      </c>
      <c r="O210" s="214">
        <f t="shared" si="33"/>
        <v>1</v>
      </c>
      <c r="P210" s="109">
        <v>49899</v>
      </c>
      <c r="Q210" s="213">
        <f>IF($F210="","",IFERROR(IF(P210&gt;0,'פרמטרים לקריטריונים'!$C$25*P210*O210,$AG$2),""))</f>
        <v>14969.699999999999</v>
      </c>
      <c r="R210" s="213">
        <f>IF($F210="","",IFERROR('פרמטרים לקריטריונים'!$C$26*Q210,""))</f>
        <v>3681.0737704918029</v>
      </c>
      <c r="S210" s="214">
        <f t="shared" si="25"/>
        <v>5.4554079752998327E-5</v>
      </c>
      <c r="T210" s="213">
        <f t="shared" si="26"/>
        <v>2727.7039876499161</v>
      </c>
      <c r="U210" s="213">
        <f>IF($F210="","",'הזנה לתנאי סף'!N210)</f>
        <v>0</v>
      </c>
      <c r="V210" s="213">
        <f>IF($F210="","",'הזנה לתנאי סף'!O210)</f>
        <v>1</v>
      </c>
      <c r="W210" s="109">
        <v>0</v>
      </c>
      <c r="X210" s="109">
        <v>0</v>
      </c>
      <c r="Y210" s="109">
        <v>1</v>
      </c>
      <c r="Z210" s="214">
        <f t="shared" si="27"/>
        <v>0</v>
      </c>
      <c r="AA210" s="213" t="str">
        <f>IF(OR($F210="",V210=0),"",IF(V210=1,IF(COUNTBLANK(W210:X210)&gt;0,$AG$2,IF(OR(Z210&lt;='פרמטרים לקריטריונים'!$C$27,X210&gt;W210),"",X210-W210))))</f>
        <v/>
      </c>
      <c r="AB210" s="214" t="str">
        <f t="shared" si="31"/>
        <v/>
      </c>
      <c r="AC210" s="225" t="str">
        <f>IF(OR(AB210="",U210=1),"",IF(OR(COUNTBLANK(W210:Y210)&gt;0,AB210&gt;='פרמטרים לקריטריונים'!$E$54),'פרמטרים לקריטריונים'!$F$54,INDEX('פרמטרים לקריטריונים'!$F$49:$F$54,MATCH(AB210,'פרמטרים לקריטריונים'!$E$49:$E$54,1))))</f>
        <v/>
      </c>
      <c r="AD210" s="213" t="str">
        <f t="shared" si="28"/>
        <v/>
      </c>
      <c r="AE210" s="213">
        <f t="shared" si="29"/>
        <v>2727.7039876499161</v>
      </c>
      <c r="AG210" s="175">
        <f t="shared" si="32"/>
        <v>0</v>
      </c>
    </row>
    <row r="211" spans="1:33" ht="15.75" x14ac:dyDescent="0.2">
      <c r="A211" s="206">
        <f t="shared" si="30"/>
        <v>181</v>
      </c>
      <c r="B211" s="88">
        <f>IF($F211="","",'הזנה לתנאי סף'!C211)</f>
        <v>1001350410</v>
      </c>
      <c r="C211" s="88">
        <f>IF($F211="","",'הזנה לתנאי סף'!D211)</f>
        <v>1001280469</v>
      </c>
      <c r="D211" s="88">
        <f>IF($F211="","",'הזנה לתנאי סף'!E211)</f>
        <v>40822680</v>
      </c>
      <c r="E211" s="88">
        <f>IF($F211="","",'הזנה לתנאי סף'!F211)</f>
        <v>20000201</v>
      </c>
      <c r="F211" s="88" t="str">
        <f>IF(OR('הזנה לתנאי סף'!G211="",'הזנה לתנאי סף'!BL211&lt;&gt;1),"",'הזנה לתנאי סף'!G211)</f>
        <v>תל אביב -יפו</v>
      </c>
      <c r="G211" s="88" t="str">
        <f>IF($F211="","",'הזנה לתנאי סף'!H211)</f>
        <v>העמותה לקידום סרטי תרבות ואמנות (ע"</v>
      </c>
      <c r="H211" s="88" t="str">
        <f>IF($F211="","",'הזנה לתנאי סף'!I211)</f>
        <v>סינמטקים ופסטיבלים</v>
      </c>
      <c r="I211" s="109">
        <v>152615</v>
      </c>
      <c r="J211" s="213">
        <f>IF($F211="","",'הזנה לתנאי סף'!S211)</f>
        <v>319691</v>
      </c>
      <c r="K211" s="109">
        <v>128068</v>
      </c>
      <c r="L211" s="213">
        <f t="shared" si="23"/>
        <v>600374</v>
      </c>
      <c r="M211" s="213">
        <f>IF($F211="","",IF(L211='הזנה לתנאי סף'!R211,1,0))</f>
        <v>1</v>
      </c>
      <c r="N211" s="214">
        <f t="shared" si="24"/>
        <v>0.25419988207350752</v>
      </c>
      <c r="O211" s="214">
        <f t="shared" si="33"/>
        <v>0.74580011792649248</v>
      </c>
      <c r="P211" s="109">
        <v>520875</v>
      </c>
      <c r="Q211" s="213">
        <f>IF($F211="","",IFERROR(IF(P211&gt;0,'פרמטרים לקריטריונים'!$C$25*P211*O211,$AG$2),""))</f>
        <v>116540.59092748853</v>
      </c>
      <c r="R211" s="213">
        <f>IF($F211="","",IFERROR('פרמטרים לקריטריונים'!$C$26*Q211,""))</f>
        <v>28657.522359218492</v>
      </c>
      <c r="S211" s="214">
        <f t="shared" si="25"/>
        <v>4.2470889142199003E-4</v>
      </c>
      <c r="T211" s="213">
        <f t="shared" si="26"/>
        <v>21235.444571099502</v>
      </c>
      <c r="U211" s="213">
        <f>IF($F211="","",'הזנה לתנאי סף'!N211)</f>
        <v>1</v>
      </c>
      <c r="V211" s="213">
        <f>IF($F211="","",'הזנה לתנאי סף'!O211)</f>
        <v>1</v>
      </c>
      <c r="W211" s="109"/>
      <c r="X211" s="109"/>
      <c r="Y211" s="109"/>
      <c r="Z211" s="214" t="str">
        <f t="shared" si="27"/>
        <v>בדוק נתוני הזנה</v>
      </c>
      <c r="AA211" s="213" t="str">
        <f>IF(OR($F211="",V211=0),"",IF(V211=1,IF(COUNTBLANK(W211:X211)&gt;0,$AG$2,IF(OR(Z211&lt;='פרמטרים לקריטריונים'!$C$27,X211&gt;W211),"",X211-W211))))</f>
        <v>בדוק נתוני הזנה</v>
      </c>
      <c r="AB211" s="214">
        <f t="shared" si="31"/>
        <v>0</v>
      </c>
      <c r="AC211" s="225" t="str">
        <f>IF(OR(AB211="",U211=1),"",IF(OR(COUNTBLANK(W211:Y211)&gt;0,AB211&gt;='פרמטרים לקריטריונים'!$E$54),'פרמטרים לקריטריונים'!$F$54,INDEX('פרמטרים לקריטריונים'!$F$49:$F$54,MATCH(AB211,'פרמטרים לקריטריונים'!$E$49:$E$54,1))))</f>
        <v/>
      </c>
      <c r="AD211" s="213" t="str">
        <f t="shared" si="28"/>
        <v/>
      </c>
      <c r="AE211" s="213">
        <f t="shared" si="29"/>
        <v>21235.444571099502</v>
      </c>
      <c r="AG211" s="175">
        <f t="shared" si="32"/>
        <v>1</v>
      </c>
    </row>
    <row r="212" spans="1:33" ht="15.75" x14ac:dyDescent="0.2">
      <c r="A212" s="206">
        <f t="shared" si="30"/>
        <v>182</v>
      </c>
      <c r="B212" s="88">
        <f>IF($F212="","",'הזנה לתנאי סף'!C212)</f>
        <v>1001349287</v>
      </c>
      <c r="C212" s="88">
        <f>IF($F212="","",'הזנה לתנאי סף'!D212)</f>
        <v>1001262828</v>
      </c>
      <c r="D212" s="88">
        <f>IF($F212="","",'הזנה לתנאי סף'!E212)</f>
        <v>41489778</v>
      </c>
      <c r="E212" s="88">
        <f>IF($F212="","",'הזנה לתנאי סף'!F212)</f>
        <v>20000211</v>
      </c>
      <c r="F212" s="88" t="str">
        <f>IF(OR('הזנה לתנאי סף'!G212="",'הזנה לתנאי סף'!BL212&lt;&gt;1),"",'הזנה לתנאי סף'!G212)</f>
        <v>בת ים</v>
      </c>
      <c r="G212" s="88" t="str">
        <f>IF($F212="","",'הזנה לתנאי סף'!H212)</f>
        <v>כלים גוף לעבודה כוריאוגרפית</v>
      </c>
      <c r="H212" s="88" t="str">
        <f>IF($F212="","",'הזנה לתנאי סף'!I212)</f>
        <v>מרכזי מחול</v>
      </c>
      <c r="I212" s="109">
        <v>440000</v>
      </c>
      <c r="J212" s="213">
        <f>IF($F212="","",'הזנה לתנאי סף'!S212)</f>
        <v>525128</v>
      </c>
      <c r="K212" s="109">
        <v>0</v>
      </c>
      <c r="L212" s="213">
        <f t="shared" si="23"/>
        <v>965128</v>
      </c>
      <c r="M212" s="213">
        <f>IF($F212="","",IF(L212='הזנה לתנאי סף'!R212,1,0))</f>
        <v>1</v>
      </c>
      <c r="N212" s="214">
        <f t="shared" si="24"/>
        <v>0.45589807776792302</v>
      </c>
      <c r="O212" s="214">
        <f t="shared" si="33"/>
        <v>0.54410192223207698</v>
      </c>
      <c r="P212" s="109">
        <v>968938</v>
      </c>
      <c r="Q212" s="213">
        <f>IF($F212="","",IFERROR(IF(P212&gt;0,'פרמטרים לקריטריונים'!$C$25*P212*O212,$AG$2),""))</f>
        <v>158160.30849711125</v>
      </c>
      <c r="R212" s="213">
        <f>IF($F212="","",IFERROR('פרמטרים לקריטריונים'!$C$26*Q212,""))</f>
        <v>38891.879138633914</v>
      </c>
      <c r="S212" s="214">
        <f t="shared" si="25"/>
        <v>5.7638363384104072E-4</v>
      </c>
      <c r="T212" s="213">
        <f t="shared" si="26"/>
        <v>28819.181692052036</v>
      </c>
      <c r="U212" s="213">
        <f>IF($F212="","",'הזנה לתנאי סף'!N212)</f>
        <v>0</v>
      </c>
      <c r="V212" s="213">
        <f>IF($F212="","",'הזנה לתנאי סף'!O212)</f>
        <v>1</v>
      </c>
      <c r="W212" s="109">
        <v>0</v>
      </c>
      <c r="X212" s="109">
        <v>0</v>
      </c>
      <c r="Y212" s="109">
        <v>1</v>
      </c>
      <c r="Z212" s="214">
        <f t="shared" si="27"/>
        <v>0</v>
      </c>
      <c r="AA212" s="213" t="str">
        <f>IF(OR($F212="",V212=0),"",IF(V212=1,IF(COUNTBLANK(W212:X212)&gt;0,$AG$2,IF(OR(Z212&lt;='פרמטרים לקריטריונים'!$C$27,X212&gt;W212),"",X212-W212))))</f>
        <v/>
      </c>
      <c r="AB212" s="214" t="str">
        <f t="shared" si="31"/>
        <v/>
      </c>
      <c r="AC212" s="225" t="str">
        <f>IF(OR(AB212="",U212=1),"",IF(OR(COUNTBLANK(W212:Y212)&gt;0,AB212&gt;='פרמטרים לקריטריונים'!$E$54),'פרמטרים לקריטריונים'!$F$54,INDEX('פרמטרים לקריטריונים'!$F$49:$F$54,MATCH(AB212,'פרמטרים לקריטריונים'!$E$49:$E$54,1))))</f>
        <v/>
      </c>
      <c r="AD212" s="213" t="str">
        <f t="shared" si="28"/>
        <v/>
      </c>
      <c r="AE212" s="213">
        <f t="shared" si="29"/>
        <v>28819.181692052036</v>
      </c>
      <c r="AG212" s="175">
        <f t="shared" si="32"/>
        <v>0</v>
      </c>
    </row>
    <row r="213" spans="1:33" ht="15.75" x14ac:dyDescent="0.2">
      <c r="A213" s="206">
        <f t="shared" si="30"/>
        <v>183</v>
      </c>
      <c r="B213" s="88">
        <f>IF($F213="","",'הזנה לתנאי סף'!C213)</f>
        <v>1001348951</v>
      </c>
      <c r="C213" s="88">
        <f>IF($F213="","",'הזנה לתנאי סף'!D213)</f>
        <v>1001290208</v>
      </c>
      <c r="D213" s="88">
        <f>IF($F213="","",'הזנה לתנאי סף'!E213)</f>
        <v>40298756</v>
      </c>
      <c r="E213" s="88">
        <f>IF($F213="","",'הזנה לתנאי סף'!F213)</f>
        <v>20000182</v>
      </c>
      <c r="F213" s="88" t="str">
        <f>IF(OR('הזנה לתנאי סף'!G213="",'הזנה לתנאי סף'!BL213&lt;&gt;1),"",'הזנה לתנאי סף'!G213)</f>
        <v>חיפה</v>
      </c>
      <c r="G213" s="88" t="str">
        <f>IF($F213="","",'הזנה לתנאי סף'!H213)</f>
        <v>סרד לחינוך ספרותי</v>
      </c>
      <c r="H213" s="88" t="str">
        <f>IF($F213="","",'הזנה לתנאי סף'!I213)</f>
        <v>תרבות ערבית</v>
      </c>
      <c r="I213" s="109">
        <v>0</v>
      </c>
      <c r="J213" s="213">
        <f>IF($F213="","",'הזנה לתנאי סף'!S213)</f>
        <v>131009</v>
      </c>
      <c r="K213" s="109">
        <v>0</v>
      </c>
      <c r="L213" s="213">
        <f t="shared" si="23"/>
        <v>131009</v>
      </c>
      <c r="M213" s="213">
        <f>IF($F213="","",IF(L213='הזנה לתנאי סף'!R213,1,0))</f>
        <v>1</v>
      </c>
      <c r="N213" s="214">
        <f t="shared" si="24"/>
        <v>0</v>
      </c>
      <c r="O213" s="214">
        <f t="shared" si="33"/>
        <v>1</v>
      </c>
      <c r="P213" s="109">
        <v>240669</v>
      </c>
      <c r="Q213" s="213">
        <f>IF($F213="","",IFERROR(IF(P213&gt;0,'פרמטרים לקריטריונים'!$C$25*P213*O213,$AG$2),""))</f>
        <v>72200.7</v>
      </c>
      <c r="R213" s="213">
        <f>IF($F213="","",IFERROR('פרמטרים לקריטריונים'!$C$26*Q213,""))</f>
        <v>17754.270491803276</v>
      </c>
      <c r="S213" s="214">
        <f t="shared" si="25"/>
        <v>2.6312102086363163E-4</v>
      </c>
      <c r="T213" s="213">
        <f t="shared" si="26"/>
        <v>13156.051043181582</v>
      </c>
      <c r="U213" s="213">
        <f>IF($F213="","",'הזנה לתנאי סף'!N213)</f>
        <v>1</v>
      </c>
      <c r="V213" s="213">
        <f>IF($F213="","",'הזנה לתנאי סף'!O213)</f>
        <v>1</v>
      </c>
      <c r="W213" s="109"/>
      <c r="X213" s="109"/>
      <c r="Y213" s="109"/>
      <c r="Z213" s="214" t="str">
        <f t="shared" si="27"/>
        <v>בדוק נתוני הזנה</v>
      </c>
      <c r="AA213" s="213" t="str">
        <f>IF(OR($F213="",V213=0),"",IF(V213=1,IF(COUNTBLANK(W213:X213)&gt;0,$AG$2,IF(OR(Z213&lt;='פרמטרים לקריטריונים'!$C$27,X213&gt;W213),"",X213-W213))))</f>
        <v>בדוק נתוני הזנה</v>
      </c>
      <c r="AB213" s="214">
        <f t="shared" si="31"/>
        <v>1</v>
      </c>
      <c r="AC213" s="225" t="str">
        <f>IF(OR(AB213="",U213=1),"",IF(OR(COUNTBLANK(W213:Y213)&gt;0,AB213&gt;='פרמטרים לקריטריונים'!$E$54),'פרמטרים לקריטריונים'!$F$54,INDEX('פרמטרים לקריטריונים'!$F$49:$F$54,MATCH(AB213,'פרמטרים לקריטריונים'!$E$49:$E$54,1))))</f>
        <v/>
      </c>
      <c r="AD213" s="213" t="str">
        <f t="shared" si="28"/>
        <v/>
      </c>
      <c r="AE213" s="213">
        <f t="shared" si="29"/>
        <v>13156.051043181582</v>
      </c>
      <c r="AG213" s="175">
        <f t="shared" si="32"/>
        <v>1</v>
      </c>
    </row>
    <row r="214" spans="1:33" ht="15.75" x14ac:dyDescent="0.2">
      <c r="A214" s="206">
        <f t="shared" si="30"/>
        <v>184</v>
      </c>
      <c r="B214" s="88">
        <f>IF($F214="","",'הזנה לתנאי סף'!C214)</f>
        <v>1001350272</v>
      </c>
      <c r="C214" s="88">
        <f>IF($F214="","",'הזנה לתנאי סף'!D214)</f>
        <v>1001288861</v>
      </c>
      <c r="D214" s="88">
        <f>IF($F214="","",'הזנה לתנאי סף'!E214)</f>
        <v>40000218</v>
      </c>
      <c r="E214" s="88">
        <f>IF($F214="","",'הזנה לתנאי סף'!F214)</f>
        <v>20000061</v>
      </c>
      <c r="F214" s="88" t="str">
        <f>IF(OR('הזנה לתנאי סף'!G214="",'הזנה לתנאי סף'!BL214&lt;&gt;1),"",'הזנה לתנאי סף'!G214)</f>
        <v>אעבלין</v>
      </c>
      <c r="G214" s="88" t="str">
        <f>IF($F214="","",'הזנה לתנאי סף'!H214)</f>
        <v>אלכרואן</v>
      </c>
      <c r="H214" s="88" t="str">
        <f>IF($F214="","",'הזנה לתנאי סף'!I214)</f>
        <v>תרבות ערבית</v>
      </c>
      <c r="I214" s="109">
        <v>525448</v>
      </c>
      <c r="J214" s="213">
        <f>IF($F214="","",'הזנה לתנאי סף'!S214)</f>
        <v>536382</v>
      </c>
      <c r="K214" s="109">
        <v>73880</v>
      </c>
      <c r="L214" s="213">
        <f t="shared" si="23"/>
        <v>1135710</v>
      </c>
      <c r="M214" s="213">
        <f>IF($F214="","",IF(L214='הזנה לתנאי סף'!R214,1,0))</f>
        <v>1</v>
      </c>
      <c r="N214" s="214">
        <f t="shared" si="24"/>
        <v>0.46266036224036067</v>
      </c>
      <c r="O214" s="214">
        <f t="shared" si="33"/>
        <v>0.53733963775963933</v>
      </c>
      <c r="P214" s="109">
        <v>1118692</v>
      </c>
      <c r="Q214" s="213">
        <f>IF($F214="","",IFERROR(IF(P214&gt;0,'פרמטרים לקריטריונים'!$C$25*P214*O214,$AG$2),""))</f>
        <v>180335.26621338192</v>
      </c>
      <c r="R214" s="213">
        <f>IF($F214="","",IFERROR('פרמטרים לקריטריונים'!$C$26*Q214,""))</f>
        <v>44344.737593454571</v>
      </c>
      <c r="S214" s="214">
        <f t="shared" si="25"/>
        <v>6.571958352727859E-4</v>
      </c>
      <c r="T214" s="213">
        <f t="shared" si="26"/>
        <v>32859.791763639296</v>
      </c>
      <c r="U214" s="213">
        <f>IF($F214="","",'הזנה לתנאי סף'!N214)</f>
        <v>0</v>
      </c>
      <c r="V214" s="213">
        <f>IF($F214="","",'הזנה לתנאי סף'!O214)</f>
        <v>1</v>
      </c>
      <c r="W214" s="109">
        <v>0</v>
      </c>
      <c r="X214" s="109">
        <v>0</v>
      </c>
      <c r="Y214" s="109">
        <v>1</v>
      </c>
      <c r="Z214" s="214">
        <f t="shared" si="27"/>
        <v>0</v>
      </c>
      <c r="AA214" s="213" t="str">
        <f>IF(OR($F214="",V214=0),"",IF(V214=1,IF(COUNTBLANK(W214:X214)&gt;0,$AG$2,IF(OR(Z214&lt;='פרמטרים לקריטריונים'!$C$27,X214&gt;W214),"",X214-W214))))</f>
        <v/>
      </c>
      <c r="AB214" s="214" t="str">
        <f t="shared" si="31"/>
        <v/>
      </c>
      <c r="AC214" s="225" t="str">
        <f>IF(OR(AB214="",U214=1),"",IF(OR(COUNTBLANK(W214:Y214)&gt;0,AB214&gt;='פרמטרים לקריטריונים'!$E$54),'פרמטרים לקריטריונים'!$F$54,INDEX('פרמטרים לקריטריונים'!$F$49:$F$54,MATCH(AB214,'פרמטרים לקריטריונים'!$E$49:$E$54,1))))</f>
        <v/>
      </c>
      <c r="AD214" s="213" t="str">
        <f t="shared" si="28"/>
        <v/>
      </c>
      <c r="AE214" s="213">
        <f t="shared" si="29"/>
        <v>32859.791763639296</v>
      </c>
      <c r="AG214" s="175">
        <f t="shared" si="32"/>
        <v>0</v>
      </c>
    </row>
    <row r="215" spans="1:33" ht="15.75" x14ac:dyDescent="0.2">
      <c r="A215" s="206">
        <f t="shared" si="30"/>
        <v>185</v>
      </c>
      <c r="B215" s="88">
        <f>IF($F215="","",'הזנה לתנאי סף'!C215)</f>
        <v>1001350325</v>
      </c>
      <c r="C215" s="88">
        <f>IF($F215="","",'הזנה לתנאי סף'!D215)</f>
        <v>1001271352</v>
      </c>
      <c r="D215" s="88">
        <f>IF($F215="","",'הזנה לתנאי סף'!E215)</f>
        <v>40000402</v>
      </c>
      <c r="E215" s="88">
        <f>IF($F215="","",'הזנה לתנאי סף'!F215)</f>
        <v>20000159</v>
      </c>
      <c r="F215" s="88" t="str">
        <f>IF(OR('הזנה לתנאי סף'!G215="",'הזנה לתנאי סף'!BL215&lt;&gt;1),"",'הזנה לתנאי סף'!G215)</f>
        <v>ירושלים</v>
      </c>
      <c r="G215" s="88" t="str">
        <f>IF($F215="","",'הזנה לתנאי סף'!H215)</f>
        <v>מרכז החאן</v>
      </c>
      <c r="H215" s="88" t="str">
        <f>IF($F215="","",'הזנה לתנאי סף'!I215)</f>
        <v>תיאטרון</v>
      </c>
      <c r="I215" s="109">
        <v>12266220</v>
      </c>
      <c r="J215" s="213">
        <f>IF($F215="","",'הזנה לתנאי סף'!S215)</f>
        <v>5499968</v>
      </c>
      <c r="K215" s="109">
        <v>0</v>
      </c>
      <c r="L215" s="213">
        <f t="shared" si="23"/>
        <v>17766188</v>
      </c>
      <c r="M215" s="213">
        <f>IF($F215="","",IF(L215='הזנה לתנאי סף'!R215,1,0))</f>
        <v>1</v>
      </c>
      <c r="N215" s="214">
        <f t="shared" si="24"/>
        <v>0.69042498030528554</v>
      </c>
      <c r="O215" s="214">
        <f t="shared" si="33"/>
        <v>0.30957501969471446</v>
      </c>
      <c r="P215" s="109">
        <v>17729120</v>
      </c>
      <c r="Q215" s="213">
        <f>IF($F215="","",IFERROR(IF(P215&gt;0,'פרמטרים לקריטריונים'!$C$25*P215*O215,$AG$2),""))</f>
        <v>1646547.8019509867</v>
      </c>
      <c r="R215" s="213">
        <f>IF($F215="","",IFERROR('פרמטרים לקריטריונים'!$C$26*Q215,""))</f>
        <v>404888.80375843938</v>
      </c>
      <c r="S215" s="214">
        <f t="shared" si="25"/>
        <v>6.0005143793635304E-3</v>
      </c>
      <c r="T215" s="213">
        <f t="shared" si="26"/>
        <v>300025.71896817652</v>
      </c>
      <c r="U215" s="213">
        <f>IF($F215="","",'הזנה לתנאי סף'!N215)</f>
        <v>1</v>
      </c>
      <c r="V215" s="213">
        <f>IF($F215="","",'הזנה לתנאי סף'!O215)</f>
        <v>1</v>
      </c>
      <c r="W215" s="109"/>
      <c r="X215" s="109"/>
      <c r="Y215" s="109"/>
      <c r="Z215" s="214" t="str">
        <f t="shared" si="27"/>
        <v>בדוק נתוני הזנה</v>
      </c>
      <c r="AA215" s="213" t="str">
        <f>IF(OR($F215="",V215=0),"",IF(V215=1,IF(COUNTBLANK(W215:X215)&gt;0,$AG$2,IF(OR(Z215&lt;='פרמטרים לקריטריונים'!$C$27,X215&gt;W215),"",X215-W215))))</f>
        <v>בדוק נתוני הזנה</v>
      </c>
      <c r="AB215" s="214">
        <f t="shared" si="31"/>
        <v>1</v>
      </c>
      <c r="AC215" s="225" t="str">
        <f>IF(OR(AB215="",U215=1),"",IF(OR(COUNTBLANK(W215:Y215)&gt;0,AB215&gt;='פרמטרים לקריטריונים'!$E$54),'פרמטרים לקריטריונים'!$F$54,INDEX('פרמטרים לקריטריונים'!$F$49:$F$54,MATCH(AB215,'פרמטרים לקריטריונים'!$E$49:$E$54,1))))</f>
        <v/>
      </c>
      <c r="AD215" s="213" t="str">
        <f t="shared" si="28"/>
        <v/>
      </c>
      <c r="AE215" s="213">
        <f t="shared" si="29"/>
        <v>300025.71896817652</v>
      </c>
      <c r="AG215" s="175">
        <f t="shared" si="32"/>
        <v>1</v>
      </c>
    </row>
    <row r="216" spans="1:33" ht="15.75" x14ac:dyDescent="0.2">
      <c r="A216" s="206">
        <f t="shared" si="30"/>
        <v>186</v>
      </c>
      <c r="B216" s="88">
        <f>IF($F216="","",'הזנה לתנאי סף'!C216)</f>
        <v>1001350764</v>
      </c>
      <c r="C216" s="88">
        <f>IF($F216="","",'הזנה לתנאי סף'!D216)</f>
        <v>1001290586</v>
      </c>
      <c r="D216" s="88">
        <f>IF($F216="","",'הזנה לתנאי סף'!E216)</f>
        <v>40000625</v>
      </c>
      <c r="E216" s="88">
        <f>IF($F216="","",'הזנה לתנאי סף'!F216)</f>
        <v>20000154</v>
      </c>
      <c r="F216" s="88" t="str">
        <f>IF(OR('הזנה לתנאי סף'!G216="",'הזנה לתנאי סף'!BL216&lt;&gt;1),"",'הזנה לתנאי סף'!G216)</f>
        <v>אום אל-פחם</v>
      </c>
      <c r="G216" s="88" t="str">
        <f>IF($F216="","",'הזנה לתנאי סף'!H216)</f>
        <v>אבדאע - עמותה לקידום האמנויות במגזר</v>
      </c>
      <c r="H216" s="88" t="str">
        <f>IF($F216="","",'הזנה לתנאי סף'!I216)</f>
        <v>תרבות ערבית</v>
      </c>
      <c r="I216" s="109">
        <v>437704</v>
      </c>
      <c r="J216" s="213">
        <f>IF($F216="","",'הזנה לתנאי סף'!S216)</f>
        <v>255744</v>
      </c>
      <c r="K216" s="109">
        <v>0</v>
      </c>
      <c r="L216" s="213">
        <f t="shared" si="23"/>
        <v>693448</v>
      </c>
      <c r="M216" s="213">
        <f>IF($F216="","",IF(L216='הזנה לתנאי סף'!R216,1,0))</f>
        <v>1</v>
      </c>
      <c r="N216" s="214">
        <f t="shared" si="24"/>
        <v>0.63119945547467149</v>
      </c>
      <c r="O216" s="214">
        <f t="shared" si="33"/>
        <v>0.36880054452532851</v>
      </c>
      <c r="P216" s="109">
        <v>712940</v>
      </c>
      <c r="Q216" s="213">
        <f>IF($F216="","",IFERROR(IF(P216&gt;0,'פרמטרים לקריטריונים'!$C$25*P216*O216,$AG$2),""))</f>
        <v>78879.798064166316</v>
      </c>
      <c r="R216" s="213">
        <f>IF($F216="","",IFERROR('פרמטרים לקריטריונים'!$C$26*Q216,""))</f>
        <v>19396.671655122864</v>
      </c>
      <c r="S216" s="214">
        <f t="shared" si="25"/>
        <v>2.8746165885040666E-4</v>
      </c>
      <c r="T216" s="213">
        <f t="shared" si="26"/>
        <v>14373.082942520334</v>
      </c>
      <c r="U216" s="213">
        <f>IF($F216="","",'הזנה לתנאי סף'!N216)</f>
        <v>0</v>
      </c>
      <c r="V216" s="213">
        <f>IF($F216="","",'הזנה לתנאי סף'!O216)</f>
        <v>1</v>
      </c>
      <c r="W216" s="109">
        <v>0</v>
      </c>
      <c r="X216" s="109">
        <v>0</v>
      </c>
      <c r="Y216" s="109">
        <v>1</v>
      </c>
      <c r="Z216" s="214">
        <f t="shared" si="27"/>
        <v>0</v>
      </c>
      <c r="AA216" s="213" t="str">
        <f>IF(OR($F216="",V216=0),"",IF(V216=1,IF(COUNTBLANK(W216:X216)&gt;0,$AG$2,IF(OR(Z216&lt;='פרמטרים לקריטריונים'!$C$27,X216&gt;W216),"",X216-W216))))</f>
        <v/>
      </c>
      <c r="AB216" s="214" t="str">
        <f t="shared" si="31"/>
        <v/>
      </c>
      <c r="AC216" s="225" t="str">
        <f>IF(OR(AB216="",U216=1),"",IF(OR(COUNTBLANK(W216:Y216)&gt;0,AB216&gt;='פרמטרים לקריטריונים'!$E$54),'פרמטרים לקריטריונים'!$F$54,INDEX('פרמטרים לקריטריונים'!$F$49:$F$54,MATCH(AB216,'פרמטרים לקריטריונים'!$E$49:$E$54,1))))</f>
        <v/>
      </c>
      <c r="AD216" s="213" t="str">
        <f t="shared" si="28"/>
        <v/>
      </c>
      <c r="AE216" s="213">
        <f t="shared" si="29"/>
        <v>14373.082942520334</v>
      </c>
      <c r="AG216" s="175">
        <f t="shared" si="32"/>
        <v>0</v>
      </c>
    </row>
    <row r="217" spans="1:33" ht="15.75" x14ac:dyDescent="0.2">
      <c r="A217" s="206">
        <f t="shared" si="30"/>
        <v>187</v>
      </c>
      <c r="B217" s="88">
        <f>IF($F217="","",'הזנה לתנאי סף'!C217)</f>
        <v>1001349137</v>
      </c>
      <c r="C217" s="88">
        <f>IF($F217="","",'הזנה לתנאי סף'!D217)</f>
        <v>1001264894</v>
      </c>
      <c r="D217" s="88">
        <f>IF($F217="","",'הזנה לתנאי סף'!E217)</f>
        <v>40188899</v>
      </c>
      <c r="E217" s="88">
        <f>IF($F217="","",'הזנה לתנאי סף'!F217)</f>
        <v>20000159</v>
      </c>
      <c r="F217" s="88" t="str">
        <f>IF(OR('הזנה לתנאי סף'!G217="",'הזנה לתנאי סף'!BL217&lt;&gt;1),"",'הזנה לתנאי סף'!G217)</f>
        <v>ירושלים</v>
      </c>
      <c r="G217" s="88" t="str">
        <f>IF($F217="","",'הזנה לתנאי סף'!H217)</f>
        <v>נהר אפרסמון</v>
      </c>
      <c r="H217" s="88" t="str">
        <f>IF($F217="","",'הזנה לתנאי סף'!I217)</f>
        <v>תרבות חרדית</v>
      </c>
      <c r="I217" s="109">
        <v>127500</v>
      </c>
      <c r="J217" s="213">
        <f>IF($F217="","",'הזנה לתנאי סף'!S217)</f>
        <v>85725</v>
      </c>
      <c r="K217" s="109">
        <v>0</v>
      </c>
      <c r="L217" s="213">
        <f t="shared" si="23"/>
        <v>213225</v>
      </c>
      <c r="M217" s="213">
        <f>IF($F217="","",IF(L217='הזנה לתנאי סף'!R217,1,0))</f>
        <v>1</v>
      </c>
      <c r="N217" s="214">
        <f t="shared" si="24"/>
        <v>0.59795990151248679</v>
      </c>
      <c r="O217" s="214">
        <f t="shared" si="33"/>
        <v>0.40204009848751321</v>
      </c>
      <c r="P217" s="109">
        <v>213255</v>
      </c>
      <c r="Q217" s="213">
        <f>IF($F217="","",IFERROR(IF(P217&gt;0,'פרמטרים לקריטריונים'!$C$25*P217*O217,$AG$2),""))</f>
        <v>25721.11836088639</v>
      </c>
      <c r="R217" s="213">
        <f>IF($F217="","",IFERROR('פרמטרים לקריטריונים'!$C$26*Q217,""))</f>
        <v>6324.8651707097679</v>
      </c>
      <c r="S217" s="214">
        <f t="shared" si="25"/>
        <v>9.3735475152882544E-5</v>
      </c>
      <c r="T217" s="213">
        <f t="shared" si="26"/>
        <v>4686.7737576441268</v>
      </c>
      <c r="U217" s="213">
        <f>IF($F217="","",'הזנה לתנאי סף'!N217)</f>
        <v>0</v>
      </c>
      <c r="V217" s="213">
        <f>IF($F217="","",'הזנה לתנאי סף'!O217)</f>
        <v>1</v>
      </c>
      <c r="W217" s="109">
        <v>0</v>
      </c>
      <c r="X217" s="109">
        <v>0</v>
      </c>
      <c r="Y217" s="109">
        <v>1</v>
      </c>
      <c r="Z217" s="214">
        <f t="shared" si="27"/>
        <v>0</v>
      </c>
      <c r="AA217" s="213" t="str">
        <f>IF(OR($F217="",V217=0),"",IF(V217=1,IF(COUNTBLANK(W217:X217)&gt;0,$AG$2,IF(OR(Z217&lt;='פרמטרים לקריטריונים'!$C$27,X217&gt;W217),"",X217-W217))))</f>
        <v/>
      </c>
      <c r="AB217" s="214" t="str">
        <f t="shared" si="31"/>
        <v/>
      </c>
      <c r="AC217" s="225" t="str">
        <f>IF(OR(AB217="",U217=1),"",IF(OR(COUNTBLANK(W217:Y217)&gt;0,AB217&gt;='פרמטרים לקריטריונים'!$E$54),'פרמטרים לקריטריונים'!$F$54,INDEX('פרמטרים לקריטריונים'!$F$49:$F$54,MATCH(AB217,'פרמטרים לקריטריונים'!$E$49:$E$54,1))))</f>
        <v/>
      </c>
      <c r="AD217" s="213" t="str">
        <f t="shared" si="28"/>
        <v/>
      </c>
      <c r="AE217" s="213">
        <f t="shared" si="29"/>
        <v>4686.7737576441268</v>
      </c>
      <c r="AG217" s="175">
        <f t="shared" si="32"/>
        <v>0</v>
      </c>
    </row>
    <row r="218" spans="1:33" ht="15.75" x14ac:dyDescent="0.2">
      <c r="A218" s="206">
        <f t="shared" si="30"/>
        <v>188</v>
      </c>
      <c r="B218" s="88">
        <f>IF($F218="","",'הזנה לתנאי סף'!C218)</f>
        <v>1001349367</v>
      </c>
      <c r="C218" s="88">
        <f>IF($F218="","",'הזנה לתנאי סף'!D218)</f>
        <v>1001264905</v>
      </c>
      <c r="D218" s="88">
        <f>IF($F218="","",'הזנה לתנאי סף'!E218)</f>
        <v>40188899</v>
      </c>
      <c r="E218" s="88">
        <f>IF($F218="","",'הזנה לתנאי סף'!F218)</f>
        <v>20000159</v>
      </c>
      <c r="F218" s="88" t="str">
        <f>IF(OR('הזנה לתנאי סף'!G218="",'הזנה לתנאי סף'!BL218&lt;&gt;1),"",'הזנה לתנאי סף'!G218)</f>
        <v>ירושלים</v>
      </c>
      <c r="G218" s="88" t="str">
        <f>IF($F218="","",'הזנה לתנאי סף'!H218)</f>
        <v>נהר אפרסמון</v>
      </c>
      <c r="H218" s="88" t="str">
        <f>IF($F218="","",'הזנה לתנאי סף'!I218)</f>
        <v>אחר</v>
      </c>
      <c r="I218" s="109">
        <v>184672</v>
      </c>
      <c r="J218" s="213">
        <f>IF($F218="","",'הזנה לתנאי סף'!S218)</f>
        <v>70183</v>
      </c>
      <c r="K218" s="109">
        <v>0</v>
      </c>
      <c r="L218" s="213">
        <f t="shared" si="23"/>
        <v>254855</v>
      </c>
      <c r="M218" s="213">
        <f>IF($F218="","",IF(L218='הזנה לתנאי סף'!R218,1,0))</f>
        <v>1</v>
      </c>
      <c r="N218" s="214">
        <f t="shared" si="24"/>
        <v>0.72461595809381807</v>
      </c>
      <c r="O218" s="214">
        <f t="shared" si="33"/>
        <v>0.27538404190618193</v>
      </c>
      <c r="P218" s="109">
        <v>254855</v>
      </c>
      <c r="Q218" s="213">
        <f>IF($F218="","",IFERROR(IF(P218&gt;0,'פרמטרים לקריטריונים'!$C$25*P218*O218,$AG$2),""))</f>
        <v>21054.899999999998</v>
      </c>
      <c r="R218" s="213">
        <f>IF($F218="","",IFERROR('פרמטרים לקריטריונים'!$C$26*Q218,""))</f>
        <v>5177.4344262295072</v>
      </c>
      <c r="S218" s="214">
        <f t="shared" si="25"/>
        <v>7.6730374943479455E-5</v>
      </c>
      <c r="T218" s="213">
        <f t="shared" si="26"/>
        <v>3836.5187471739728</v>
      </c>
      <c r="U218" s="213">
        <f>IF($F218="","",'הזנה לתנאי סף'!N218)</f>
        <v>1</v>
      </c>
      <c r="V218" s="213">
        <f>IF($F218="","",'הזנה לתנאי סף'!O218)</f>
        <v>1</v>
      </c>
      <c r="W218" s="109"/>
      <c r="X218" s="109"/>
      <c r="Y218" s="109"/>
      <c r="Z218" s="214" t="str">
        <f t="shared" si="27"/>
        <v>בדוק נתוני הזנה</v>
      </c>
      <c r="AA218" s="213" t="str">
        <f>IF(OR($F218="",V218=0),"",IF(V218=1,IF(COUNTBLANK(W218:X218)&gt;0,$AG$2,IF(OR(Z218&lt;='פרמטרים לקריטריונים'!$C$27,X218&gt;W218),"",X218-W218))))</f>
        <v>בדוק נתוני הזנה</v>
      </c>
      <c r="AB218" s="214">
        <f t="shared" si="31"/>
        <v>1</v>
      </c>
      <c r="AC218" s="225" t="str">
        <f>IF(OR(AB218="",U218=1),"",IF(OR(COUNTBLANK(W218:Y218)&gt;0,AB218&gt;='פרמטרים לקריטריונים'!$E$54),'פרמטרים לקריטריונים'!$F$54,INDEX('פרמטרים לקריטריונים'!$F$49:$F$54,MATCH(AB218,'פרמטרים לקריטריונים'!$E$49:$E$54,1))))</f>
        <v/>
      </c>
      <c r="AD218" s="213" t="str">
        <f t="shared" si="28"/>
        <v/>
      </c>
      <c r="AE218" s="213">
        <f t="shared" si="29"/>
        <v>3836.5187471739728</v>
      </c>
      <c r="AG218" s="175">
        <f t="shared" si="32"/>
        <v>1</v>
      </c>
    </row>
    <row r="219" spans="1:33" ht="15.75" x14ac:dyDescent="0.2">
      <c r="A219" s="206">
        <f t="shared" si="30"/>
        <v>189</v>
      </c>
      <c r="B219" s="88">
        <f>IF($F219="","",'הזנה לתנאי סף'!C219)</f>
        <v>1001346791</v>
      </c>
      <c r="C219" s="88">
        <f>IF($F219="","",'הזנה לתנאי סף'!D219)</f>
        <v>1001265735</v>
      </c>
      <c r="D219" s="88">
        <f>IF($F219="","",'הזנה לתנאי סף'!E219)</f>
        <v>40221576</v>
      </c>
      <c r="E219" s="88">
        <f>IF($F219="","",'הזנה לתנאי סף'!F219)</f>
        <v>20000231</v>
      </c>
      <c r="F219" s="88" t="str">
        <f>IF(OR('הזנה לתנאי סף'!G219="",'הזנה לתנאי סף'!BL219&lt;&gt;1),"",'הזנה לתנאי סף'!G219)</f>
        <v>נצרת</v>
      </c>
      <c r="G219" s="88" t="str">
        <f>IF($F219="","",'הזנה לתנאי סף'!H219)</f>
        <v>אורפיאוס</v>
      </c>
      <c r="H219" s="88" t="str">
        <f>IF($F219="","",'הזנה לתנאי סף'!I219)</f>
        <v>מוסיקה-גופים כליים</v>
      </c>
      <c r="I219" s="109">
        <v>329370</v>
      </c>
      <c r="J219" s="213">
        <f>IF($F219="","",'הזנה לתנאי סף'!S219)</f>
        <v>130088</v>
      </c>
      <c r="K219" s="109">
        <v>0</v>
      </c>
      <c r="L219" s="213">
        <f t="shared" si="23"/>
        <v>459458</v>
      </c>
      <c r="M219" s="213">
        <f>IF($F219="","",IF(L219='הזנה לתנאי סף'!R219,1,0))</f>
        <v>1</v>
      </c>
      <c r="N219" s="214">
        <f t="shared" si="24"/>
        <v>0.71686639475207747</v>
      </c>
      <c r="O219" s="214">
        <f t="shared" si="33"/>
        <v>0.28313360524792253</v>
      </c>
      <c r="P219" s="109">
        <v>393434</v>
      </c>
      <c r="Q219" s="213">
        <f>IF($F219="","",IFERROR(IF(P219&gt;0,'פרמטרים לקריטריונים'!$C$25*P219*O219,$AG$2),""))</f>
        <v>33418.316054133342</v>
      </c>
      <c r="R219" s="213">
        <f>IF($F219="","",IFERROR('פרמטרים לקריטריונים'!$C$26*Q219,""))</f>
        <v>8217.618701836067</v>
      </c>
      <c r="S219" s="214">
        <f t="shared" si="25"/>
        <v>1.2178637375686185E-4</v>
      </c>
      <c r="T219" s="213">
        <f t="shared" si="26"/>
        <v>6089.3186878430924</v>
      </c>
      <c r="U219" s="213">
        <f>IF($F219="","",'הזנה לתנאי סף'!N219)</f>
        <v>0</v>
      </c>
      <c r="V219" s="213">
        <f>IF($F219="","",'הזנה לתנאי סף'!O219)</f>
        <v>1</v>
      </c>
      <c r="W219" s="109">
        <v>0</v>
      </c>
      <c r="X219" s="109">
        <v>0</v>
      </c>
      <c r="Y219" s="109">
        <v>1</v>
      </c>
      <c r="Z219" s="214">
        <f t="shared" si="27"/>
        <v>0</v>
      </c>
      <c r="AA219" s="213" t="str">
        <f>IF(OR($F219="",V219=0),"",IF(V219=1,IF(COUNTBLANK(W219:X219)&gt;0,$AG$2,IF(OR(Z219&lt;='פרמטרים לקריטריונים'!$C$27,X219&gt;W219),"",X219-W219))))</f>
        <v/>
      </c>
      <c r="AB219" s="214" t="str">
        <f t="shared" si="31"/>
        <v/>
      </c>
      <c r="AC219" s="225" t="str">
        <f>IF(OR(AB219="",U219=1),"",IF(OR(COUNTBLANK(W219:Y219)&gt;0,AB219&gt;='פרמטרים לקריטריונים'!$E$54),'פרמטרים לקריטריונים'!$F$54,INDEX('פרמטרים לקריטריונים'!$F$49:$F$54,MATCH(AB219,'פרמטרים לקריטריונים'!$E$49:$E$54,1))))</f>
        <v/>
      </c>
      <c r="AD219" s="213" t="str">
        <f t="shared" si="28"/>
        <v/>
      </c>
      <c r="AE219" s="213">
        <f t="shared" si="29"/>
        <v>6089.3186878430924</v>
      </c>
      <c r="AG219" s="175">
        <f t="shared" si="32"/>
        <v>0</v>
      </c>
    </row>
    <row r="220" spans="1:33" ht="15.75" x14ac:dyDescent="0.2">
      <c r="A220" s="206">
        <f t="shared" si="30"/>
        <v>190</v>
      </c>
      <c r="B220" s="88">
        <f>IF($F220="","",'הזנה לתנאי סף'!C220)</f>
        <v>1001349328</v>
      </c>
      <c r="C220" s="88">
        <f>IF($F220="","",'הזנה לתנאי סף'!D220)</f>
        <v>1001275158</v>
      </c>
      <c r="D220" s="88">
        <f>IF($F220="","",'הזנה לתנאי סף'!E220)</f>
        <v>40268014</v>
      </c>
      <c r="E220" s="88">
        <f>IF($F220="","",'הזנה לתנאי סף'!F220)</f>
        <v>20000194</v>
      </c>
      <c r="F220" s="88" t="str">
        <f>IF(OR('הזנה לתנאי סף'!G220="",'הזנה לתנאי סף'!BL220&lt;&gt;1),"",'הזנה לתנאי סף'!G220)</f>
        <v>גן רווה</v>
      </c>
      <c r="G220" s="88" t="str">
        <f>IF($F220="","",'הזנה לתנאי סף'!H220)</f>
        <v>מוזיאון בית מרים</v>
      </c>
      <c r="H220" s="88" t="str">
        <f>IF($F220="","",'הזנה לתנאי סף'!I220)</f>
        <v>מוזיאונים</v>
      </c>
      <c r="I220" s="109">
        <v>85756</v>
      </c>
      <c r="J220" s="213">
        <f>IF($F220="","",'הזנה לתנאי סף'!S220)</f>
        <v>185436</v>
      </c>
      <c r="K220" s="109">
        <v>0</v>
      </c>
      <c r="L220" s="213">
        <f t="shared" si="23"/>
        <v>271192</v>
      </c>
      <c r="M220" s="213">
        <f>IF($F220="","",IF(L220='הזנה לתנאי סף'!R220,1,0))</f>
        <v>1</v>
      </c>
      <c r="N220" s="214">
        <f t="shared" si="24"/>
        <v>0.31621876751526595</v>
      </c>
      <c r="O220" s="214">
        <f t="shared" si="33"/>
        <v>0.6837812324847341</v>
      </c>
      <c r="P220" s="109">
        <v>199123</v>
      </c>
      <c r="Q220" s="213">
        <f>IF($F220="","",IFERROR(IF(P220&gt;0,'פרמטרים לקריטריונים'!$C$25*P220*O220,$AG$2),""))</f>
        <v>40846.971106817306</v>
      </c>
      <c r="R220" s="213">
        <f>IF($F220="","",IFERROR('פרמטרים לקריטריונים'!$C$26*Q220,""))</f>
        <v>10044.337157414091</v>
      </c>
      <c r="S220" s="214">
        <f t="shared" si="25"/>
        <v>1.4885862237918796E-4</v>
      </c>
      <c r="T220" s="213">
        <f t="shared" si="26"/>
        <v>7442.9311189593982</v>
      </c>
      <c r="U220" s="213">
        <f>IF($F220="","",'הזנה לתנאי סף'!N220)</f>
        <v>0</v>
      </c>
      <c r="V220" s="213">
        <f>IF($F220="","",'הזנה לתנאי סף'!O220)</f>
        <v>1</v>
      </c>
      <c r="W220" s="109">
        <v>0</v>
      </c>
      <c r="X220" s="109">
        <v>0</v>
      </c>
      <c r="Y220" s="109">
        <v>1</v>
      </c>
      <c r="Z220" s="214">
        <f t="shared" si="27"/>
        <v>0</v>
      </c>
      <c r="AA220" s="213" t="str">
        <f>IF(OR($F220="",V220=0),"",IF(V220=1,IF(COUNTBLANK(W220:X220)&gt;0,$AG$2,IF(OR(Z220&lt;='פרמטרים לקריטריונים'!$C$27,X220&gt;W220),"",X220-W220))))</f>
        <v/>
      </c>
      <c r="AB220" s="214" t="str">
        <f t="shared" si="31"/>
        <v/>
      </c>
      <c r="AC220" s="225" t="str">
        <f>IF(OR(AB220="",U220=1),"",IF(OR(COUNTBLANK(W220:Y220)&gt;0,AB220&gt;='פרמטרים לקריטריונים'!$E$54),'פרמטרים לקריטריונים'!$F$54,INDEX('פרמטרים לקריטריונים'!$F$49:$F$54,MATCH(AB220,'פרמטרים לקריטריונים'!$E$49:$E$54,1))))</f>
        <v/>
      </c>
      <c r="AD220" s="213" t="str">
        <f t="shared" si="28"/>
        <v/>
      </c>
      <c r="AE220" s="213">
        <f t="shared" si="29"/>
        <v>7442.9311189593982</v>
      </c>
      <c r="AG220" s="175">
        <f t="shared" si="32"/>
        <v>0</v>
      </c>
    </row>
    <row r="221" spans="1:33" ht="15.75" x14ac:dyDescent="0.2">
      <c r="A221" s="206">
        <f t="shared" si="30"/>
        <v>191</v>
      </c>
      <c r="B221" s="88">
        <f>IF($F221="","",'הזנה לתנאי סף'!C221)</f>
        <v>1001350855</v>
      </c>
      <c r="C221" s="88">
        <f>IF($F221="","",'הזנה לתנאי סף'!D221)</f>
        <v>1001268627</v>
      </c>
      <c r="D221" s="88">
        <f>IF($F221="","",'הזנה לתנאי סף'!E221)</f>
        <v>40000006</v>
      </c>
      <c r="E221" s="88">
        <f>IF($F221="","",'הזנה לתנאי סף'!F221)</f>
        <v>20000137</v>
      </c>
      <c r="F221" s="88" t="str">
        <f>IF(OR('הזנה לתנאי סף'!G221="",'הזנה לתנאי סף'!BL221&lt;&gt;1),"",'הזנה לתנאי סף'!G221)</f>
        <v>מגידו</v>
      </c>
      <c r="G221" s="88" t="str">
        <f>IF($F221="","",'הזנה לתנאי סף'!H221)</f>
        <v>וילפריד ישראל לאמנות וידיעת המזרח בע"מ</v>
      </c>
      <c r="H221" s="88" t="str">
        <f>IF($F221="","",'הזנה לתנאי סף'!I221)</f>
        <v>מוזיאונים</v>
      </c>
      <c r="I221" s="109">
        <v>320581</v>
      </c>
      <c r="J221" s="213">
        <f>IF($F221="","",'הזנה לתנאי סף'!S221)</f>
        <v>586551</v>
      </c>
      <c r="K221" s="109">
        <v>0</v>
      </c>
      <c r="L221" s="213">
        <f t="shared" si="23"/>
        <v>907132</v>
      </c>
      <c r="M221" s="213">
        <f>IF($F221="","",IF(L221='הזנה לתנאי סף'!R221,1,0))</f>
        <v>1</v>
      </c>
      <c r="N221" s="214">
        <f t="shared" si="24"/>
        <v>0.35340060762931969</v>
      </c>
      <c r="O221" s="214">
        <f t="shared" si="33"/>
        <v>0.64659939237068031</v>
      </c>
      <c r="P221" s="109">
        <v>1086293</v>
      </c>
      <c r="Q221" s="213">
        <f>IF($F221="","",IFERROR(IF(P221&gt;0,'פרמטרים לקריטריונים'!$C$25*P221*O221,$AG$2),""))</f>
        <v>210718.91812095701</v>
      </c>
      <c r="R221" s="213">
        <f>IF($F221="","",IFERROR('פרמטרים לקריטריונים'!$C$26*Q221,""))</f>
        <v>51816.127406792708</v>
      </c>
      <c r="S221" s="214">
        <f t="shared" si="25"/>
        <v>7.6792298206618801E-4</v>
      </c>
      <c r="T221" s="213">
        <f t="shared" si="26"/>
        <v>38396.149103309399</v>
      </c>
      <c r="U221" s="213">
        <f>IF($F221="","",'הזנה לתנאי סף'!N221)</f>
        <v>0</v>
      </c>
      <c r="V221" s="213">
        <f>IF($F221="","",'הזנה לתנאי סף'!O221)</f>
        <v>1</v>
      </c>
      <c r="W221" s="109">
        <v>0</v>
      </c>
      <c r="X221" s="109">
        <v>0</v>
      </c>
      <c r="Y221" s="109">
        <v>1</v>
      </c>
      <c r="Z221" s="214">
        <f t="shared" si="27"/>
        <v>0</v>
      </c>
      <c r="AA221" s="213" t="str">
        <f>IF(OR($F221="",V221=0),"",IF(V221=1,IF(COUNTBLANK(W221:X221)&gt;0,$AG$2,IF(OR(Z221&lt;='פרמטרים לקריטריונים'!$C$27,X221&gt;W221),"",X221-W221))))</f>
        <v/>
      </c>
      <c r="AB221" s="214" t="str">
        <f t="shared" si="31"/>
        <v/>
      </c>
      <c r="AC221" s="225" t="str">
        <f>IF(OR(AB221="",U221=1),"",IF(OR(COUNTBLANK(W221:Y221)&gt;0,AB221&gt;='פרמטרים לקריטריונים'!$E$54),'פרמטרים לקריטריונים'!$F$54,INDEX('פרמטרים לקריטריונים'!$F$49:$F$54,MATCH(AB221,'פרמטרים לקריטריונים'!$E$49:$E$54,1))))</f>
        <v/>
      </c>
      <c r="AD221" s="213" t="str">
        <f t="shared" si="28"/>
        <v/>
      </c>
      <c r="AE221" s="213">
        <f t="shared" si="29"/>
        <v>38396.149103309399</v>
      </c>
      <c r="AG221" s="175">
        <f t="shared" si="32"/>
        <v>0</v>
      </c>
    </row>
    <row r="222" spans="1:33" ht="15.75" x14ac:dyDescent="0.2">
      <c r="A222" s="206">
        <f t="shared" si="30"/>
        <v>192</v>
      </c>
      <c r="B222" s="88">
        <f>IF($F222="","",'הזנה לתנאי סף'!C222)</f>
        <v>1001350662</v>
      </c>
      <c r="C222" s="88">
        <f>IF($F222="","",'הזנה לתנאי סף'!D222)</f>
        <v>1001279212</v>
      </c>
      <c r="D222" s="88">
        <f>IF($F222="","",'הזנה לתנאי סף'!E222)</f>
        <v>40000437</v>
      </c>
      <c r="E222" s="88">
        <f>IF($F222="","",'הזנה לתנאי סף'!F222)</f>
        <v>20000201</v>
      </c>
      <c r="F222" s="88" t="str">
        <f>IF(OR('הזנה לתנאי סף'!G222="",'הזנה לתנאי סף'!BL222&lt;&gt;1),"",'הזנה לתנאי סף'!G222)</f>
        <v>תל אביב -יפו</v>
      </c>
      <c r="G222" s="88" t="str">
        <f>IF($F222="","",'הזנה לתנאי סף'!H222)</f>
        <v>עמותת אמנים יוצרים בישראל</v>
      </c>
      <c r="H222" s="88" t="str">
        <f>IF($F222="","",'הזנה לתנאי סף'!I222)</f>
        <v>חללי תצוגה</v>
      </c>
      <c r="I222" s="109">
        <v>413597</v>
      </c>
      <c r="J222" s="213">
        <f>IF($F222="","",'הזנה לתנאי סף'!S222)</f>
        <v>583296</v>
      </c>
      <c r="K222" s="109">
        <v>0</v>
      </c>
      <c r="L222" s="213">
        <f t="shared" si="23"/>
        <v>996893</v>
      </c>
      <c r="M222" s="213">
        <f>IF($F222="","",IF(L222='הזנה לתנאי סף'!R222,1,0))</f>
        <v>1</v>
      </c>
      <c r="N222" s="214">
        <f t="shared" si="24"/>
        <v>0.41488605096033376</v>
      </c>
      <c r="O222" s="214">
        <f t="shared" si="33"/>
        <v>0.58511394903966618</v>
      </c>
      <c r="P222" s="109">
        <v>706197</v>
      </c>
      <c r="Q222" s="213">
        <f>IF($F222="","",IFERROR(IF(P222&gt;0,'פרמטרים לקריטריונים'!$C$25*P222*O222,$AG$2),""))</f>
        <v>123961.71464098955</v>
      </c>
      <c r="R222" s="213">
        <f>IF($F222="","",IFERROR('פרמטרים לקריטריונים'!$C$26*Q222,""))</f>
        <v>30482.388846144971</v>
      </c>
      <c r="S222" s="214">
        <f t="shared" si="25"/>
        <v>4.5175369358390385E-4</v>
      </c>
      <c r="T222" s="213">
        <f t="shared" si="26"/>
        <v>22587.684679195194</v>
      </c>
      <c r="U222" s="213">
        <f>IF($F222="","",'הזנה לתנאי סף'!N222)</f>
        <v>1</v>
      </c>
      <c r="V222" s="213">
        <f>IF($F222="","",'הזנה לתנאי סף'!O222)</f>
        <v>1</v>
      </c>
      <c r="W222" s="109">
        <v>0</v>
      </c>
      <c r="X222" s="109">
        <v>0</v>
      </c>
      <c r="Y222" s="109">
        <v>1</v>
      </c>
      <c r="Z222" s="214">
        <f t="shared" si="27"/>
        <v>0</v>
      </c>
      <c r="AA222" s="213" t="str">
        <f>IF(OR($F222="",V222=0),"",IF(V222=1,IF(COUNTBLANK(W222:X222)&gt;0,$AG$2,IF(OR(Z222&lt;='פרמטרים לקריטריונים'!$C$27,X222&gt;W222),"",X222-W222))))</f>
        <v/>
      </c>
      <c r="AB222" s="214" t="str">
        <f t="shared" si="31"/>
        <v/>
      </c>
      <c r="AC222" s="225" t="str">
        <f>IF(OR(AB222="",U222=1),"",IF(OR(COUNTBLANK(W222:Y222)&gt;0,AB222&gt;='פרמטרים לקריטריונים'!$E$54),'פרמטרים לקריטריונים'!$F$54,INDEX('פרמטרים לקריטריונים'!$F$49:$F$54,MATCH(AB222,'פרמטרים לקריטריונים'!$E$49:$E$54,1))))</f>
        <v/>
      </c>
      <c r="AD222" s="213" t="str">
        <f t="shared" si="28"/>
        <v/>
      </c>
      <c r="AE222" s="213">
        <f t="shared" si="29"/>
        <v>22587.684679195194</v>
      </c>
      <c r="AG222" s="175">
        <f t="shared" si="32"/>
        <v>1</v>
      </c>
    </row>
    <row r="223" spans="1:33" ht="15.75" x14ac:dyDescent="0.2">
      <c r="A223" s="206" t="str">
        <f t="shared" si="30"/>
        <v/>
      </c>
      <c r="B223" s="88" t="str">
        <f>IF($F223="","",'הזנה לתנאי סף'!C223)</f>
        <v/>
      </c>
      <c r="C223" s="88" t="str">
        <f>IF($F223="","",'הזנה לתנאי סף'!D223)</f>
        <v/>
      </c>
      <c r="D223" s="88" t="str">
        <f>IF($F223="","",'הזנה לתנאי סף'!E223)</f>
        <v/>
      </c>
      <c r="E223" s="88" t="str">
        <f>IF($F223="","",'הזנה לתנאי סף'!F223)</f>
        <v/>
      </c>
      <c r="F223" s="88" t="str">
        <f>IF(OR('הזנה לתנאי סף'!G223="",'הזנה לתנאי סף'!BL223&lt;&gt;1),"",'הזנה לתנאי סף'!G223)</f>
        <v/>
      </c>
      <c r="G223" s="88" t="str">
        <f>IF($F223="","",'הזנה לתנאי סף'!H223)</f>
        <v/>
      </c>
      <c r="H223" s="88" t="str">
        <f>IF($F223="","",'הזנה לתנאי סף'!I223)</f>
        <v/>
      </c>
      <c r="I223" s="109"/>
      <c r="J223" s="213" t="str">
        <f>IF($F223="","",'הזנה לתנאי סף'!S223)</f>
        <v/>
      </c>
      <c r="K223" s="109"/>
      <c r="L223" s="213" t="str">
        <f t="shared" ref="L223:L286" si="34">IF($F223="","",SUM(I223:K223))</f>
        <v/>
      </c>
      <c r="M223" s="213" t="str">
        <f>IF($F223="","",IF(L223='הזנה לתנאי סף'!R223,1,0))</f>
        <v/>
      </c>
      <c r="N223" s="214" t="str">
        <f t="shared" ref="N223:N286" si="35">IF($F223="","",IFERROR(I223/L223,$AG$2))</f>
        <v/>
      </c>
      <c r="O223" s="214" t="str">
        <f t="shared" si="33"/>
        <v/>
      </c>
      <c r="P223" s="109"/>
      <c r="Q223" s="213" t="str">
        <f>IF($F223="","",IFERROR(IF(P223&gt;0,'פרמטרים לקריטריונים'!$C$25*P223*O223,$AG$2),""))</f>
        <v/>
      </c>
      <c r="R223" s="213" t="str">
        <f>IF($F223="","",IFERROR('פרמטרים לקריטריונים'!$C$26*Q223,""))</f>
        <v/>
      </c>
      <c r="S223" s="214" t="str">
        <f t="shared" ref="S223:S286" si="36">IF($F223="","",IFERROR(R223/$R$501,""))</f>
        <v/>
      </c>
      <c r="T223" s="213" t="str">
        <f t="shared" ref="T223:T286" si="37">IF($F223="","",IFERROR(S223*$C$4,""))</f>
        <v/>
      </c>
      <c r="U223" s="213" t="str">
        <f>IF($F223="","",'הזנה לתנאי סף'!N223)</f>
        <v/>
      </c>
      <c r="V223" s="213" t="str">
        <f>IF($F223="","",'הזנה לתנאי סף'!O223)</f>
        <v/>
      </c>
      <c r="W223" s="109"/>
      <c r="X223" s="109"/>
      <c r="Y223" s="109"/>
      <c r="Z223" s="214" t="str">
        <f t="shared" ref="Z223:Z286" si="38">IF(OR($F223="",V223&lt;&gt;1),"",IF(COUNTBLANK(W223:Y223)&gt;0,$AG$2,IF(ISBLANK(Y223),$AG$2,W223/Y223)))</f>
        <v/>
      </c>
      <c r="AA223" s="213" t="str">
        <f>IF(OR($F223="",V223=0),"",IF(V223=1,IF(COUNTBLANK(W223:X223)&gt;0,$AG$2,IF(OR(Z223&lt;='פרמטרים לקריטריונים'!$C$27,X223&gt;W223),"",X223-W223))))</f>
        <v/>
      </c>
      <c r="AB223" s="214" t="str">
        <f t="shared" si="31"/>
        <v/>
      </c>
      <c r="AC223" s="225" t="str">
        <f>IF(OR(AB223="",U223=1),"",IF(OR(COUNTBLANK(W223:Y223)&gt;0,AB223&gt;='פרמטרים לקריטריונים'!$E$54),'פרמטרים לקריטריונים'!$F$54,INDEX('פרמטרים לקריטריונים'!$F$49:$F$54,MATCH(AB223,'פרמטרים לקריטריונים'!$E$49:$E$54,1))))</f>
        <v/>
      </c>
      <c r="AD223" s="213" t="str">
        <f t="shared" ref="AD223:AD286" si="39">IF(OR($F223="",AC223=""),"",IF(COUNTBLANK(W223:X223)&gt;0,-T223,IF(-AC223*AA223&gt;T223,-T223,AC223*AA223)))</f>
        <v/>
      </c>
      <c r="AE223" s="213" t="str">
        <f t="shared" ref="AE223:AE286" si="40">IF($F223="","",IF(M223=0,$AG$2,IF(AD223&lt;&gt;"",T223+AD223,T223)))</f>
        <v/>
      </c>
      <c r="AG223" s="175">
        <f t="shared" si="32"/>
        <v>0</v>
      </c>
    </row>
    <row r="224" spans="1:33" ht="15.75" x14ac:dyDescent="0.2">
      <c r="A224" s="206">
        <f t="shared" ref="A224:A287" si="41">IF(F224="","",ROW()-30)</f>
        <v>194</v>
      </c>
      <c r="B224" s="88">
        <f>IF($F224="","",'הזנה לתנאי סף'!C224)</f>
        <v>1001349549</v>
      </c>
      <c r="C224" s="88">
        <f>IF($F224="","",'הזנה לתנאי סף'!D224)</f>
        <v>1001265903</v>
      </c>
      <c r="D224" s="88">
        <f>IF($F224="","",'הזנה לתנאי סף'!E224)</f>
        <v>41534722</v>
      </c>
      <c r="E224" s="88">
        <f>IF($F224="","",'הזנה לתנאי סף'!F224)</f>
        <v>20000228</v>
      </c>
      <c r="F224" s="88" t="str">
        <f>IF(OR('הזנה לתנאי סף'!G224="",'הזנה לתנאי סף'!BL224&lt;&gt;1),"",'הזנה לתנאי סף'!G224)</f>
        <v>לוד</v>
      </c>
      <c r="G224" s="88" t="str">
        <f>IF($F224="","",'הזנה לתנאי סף'!H224)</f>
        <v>המרכז לתאטרון לוד</v>
      </c>
      <c r="H224" s="88" t="str">
        <f>IF($F224="","",'הזנה לתנאי סף'!I224)</f>
        <v>מרכזי פרינג'</v>
      </c>
      <c r="I224" s="109">
        <v>0</v>
      </c>
      <c r="J224" s="213">
        <f>IF($F224="","",'הזנה לתנאי סף'!S224)</f>
        <v>20685</v>
      </c>
      <c r="K224" s="109">
        <v>0</v>
      </c>
      <c r="L224" s="213">
        <f t="shared" si="34"/>
        <v>20685</v>
      </c>
      <c r="M224" s="213">
        <f>IF($F224="","",IF(L224='הזנה לתנאי סף'!R224,1,0))</f>
        <v>1</v>
      </c>
      <c r="N224" s="214">
        <f t="shared" si="35"/>
        <v>0</v>
      </c>
      <c r="O224" s="214">
        <f t="shared" si="33"/>
        <v>1</v>
      </c>
      <c r="P224" s="109">
        <v>29213</v>
      </c>
      <c r="Q224" s="213">
        <f>IF($F224="","",IFERROR(IF(P224&gt;0,'פרמטרים לקריטריונים'!$C$25*P224*O224,$AG$2),""))</f>
        <v>8763.9</v>
      </c>
      <c r="R224" s="213">
        <f>IF($F224="","",IFERROR('פרמטרים לקריטריונים'!$C$26*Q224,""))</f>
        <v>2155.0573770491801</v>
      </c>
      <c r="S224" s="214">
        <f t="shared" si="36"/>
        <v>3.1938281966058241E-5</v>
      </c>
      <c r="T224" s="213">
        <f t="shared" si="37"/>
        <v>1596.914098302912</v>
      </c>
      <c r="U224" s="213">
        <f>IF($F224="","",'הזנה לתנאי סף'!N224)</f>
        <v>0</v>
      </c>
      <c r="V224" s="213">
        <f>IF($F224="","",'הזנה לתנאי סף'!O224)</f>
        <v>1</v>
      </c>
      <c r="W224" s="109">
        <v>0</v>
      </c>
      <c r="X224" s="109">
        <v>0</v>
      </c>
      <c r="Y224" s="109">
        <v>1</v>
      </c>
      <c r="Z224" s="214">
        <f t="shared" si="38"/>
        <v>0</v>
      </c>
      <c r="AA224" s="213" t="str">
        <f>IF(OR($F224="",V224=0),"",IF(V224=1,IF(COUNTBLANK(W224:X224)&gt;0,$AG$2,IF(OR(Z224&lt;='פרמטרים לקריטריונים'!$C$27,X224&gt;W224),"",X224-W224))))</f>
        <v/>
      </c>
      <c r="AB224" s="214" t="str">
        <f t="shared" ref="AB224:AB287" si="42">IF(AA224="","",IF(AA224=$AG$2,AG195,-(X224/W224-1)))</f>
        <v/>
      </c>
      <c r="AC224" s="225" t="str">
        <f>IF(OR(AB224="",U224=1),"",IF(OR(COUNTBLANK(W224:Y224)&gt;0,AB224&gt;='פרמטרים לקריטריונים'!$E$54),'פרמטרים לקריטריונים'!$F$54,INDEX('פרמטרים לקריטריונים'!$F$49:$F$54,MATCH(AB224,'פרמטרים לקריטריונים'!$E$49:$E$54,1))))</f>
        <v/>
      </c>
      <c r="AD224" s="213" t="str">
        <f t="shared" si="39"/>
        <v/>
      </c>
      <c r="AE224" s="213">
        <f t="shared" si="40"/>
        <v>1596.914098302912</v>
      </c>
      <c r="AG224" s="175">
        <f t="shared" ref="AG224:AG287" si="43">IF(U224=1,1,0)</f>
        <v>0</v>
      </c>
    </row>
    <row r="225" spans="1:33" ht="15.75" x14ac:dyDescent="0.2">
      <c r="A225" s="206">
        <f t="shared" si="41"/>
        <v>195</v>
      </c>
      <c r="B225" s="88">
        <f>IF($F225="","",'הזנה לתנאי סף'!C225)</f>
        <v>1001350350</v>
      </c>
      <c r="C225" s="88">
        <f>IF($F225="","",'הזנה לתנאי סף'!D225)</f>
        <v>1001270597</v>
      </c>
      <c r="D225" s="88">
        <f>IF($F225="","",'הזנה לתנאי סף'!E225)</f>
        <v>41103047</v>
      </c>
      <c r="E225" s="88">
        <f>IF($F225="","",'הזנה לתנאי סף'!F225)</f>
        <v>20000201</v>
      </c>
      <c r="F225" s="88" t="str">
        <f>IF(OR('הזנה לתנאי סף'!G225="",'הזנה לתנאי סף'!BL225&lt;&gt;1),"",'הזנה לתנאי סף'!G225)</f>
        <v>תל אביב -יפו</v>
      </c>
      <c r="G225" s="88" t="str">
        <f>IF($F225="","",'הזנה לתנאי סף'!H225)</f>
        <v>א.מ.א. - אומנות מקורית אלטרנטיבית</v>
      </c>
      <c r="H225" s="88" t="str">
        <f>IF($F225="","",'הזנה לתנאי סף'!I225)</f>
        <v>מרכזי מוסיקה</v>
      </c>
      <c r="I225" s="109">
        <v>264612</v>
      </c>
      <c r="J225" s="213">
        <f>IF($F225="","",'הזנה לתנאי סף'!S225)</f>
        <v>1472655</v>
      </c>
      <c r="K225" s="109">
        <v>0</v>
      </c>
      <c r="L225" s="213">
        <f t="shared" si="34"/>
        <v>1737267</v>
      </c>
      <c r="M225" s="213">
        <f>IF($F225="","",IF(L225='הזנה לתנאי סף'!R225,1,0))</f>
        <v>1</v>
      </c>
      <c r="N225" s="214">
        <f t="shared" si="35"/>
        <v>0.15231510182372657</v>
      </c>
      <c r="O225" s="214">
        <f t="shared" si="33"/>
        <v>0.84768489817627346</v>
      </c>
      <c r="P225" s="109">
        <v>1639061</v>
      </c>
      <c r="Q225" s="213">
        <f>IF($F225="","",IFERROR(IF(P225&gt;0,'פרמטרים לקריטריונים'!$C$25*P225*O225,$AG$2),""))</f>
        <v>416822.17706691026</v>
      </c>
      <c r="R225" s="213">
        <f>IF($F225="","",IFERROR('פרמטרים לקריטריונים'!$C$26*Q225,""))</f>
        <v>102497.2566557976</v>
      </c>
      <c r="S225" s="214">
        <f t="shared" si="36"/>
        <v>1.519025116770985E-3</v>
      </c>
      <c r="T225" s="213">
        <f t="shared" si="37"/>
        <v>75951.255838549259</v>
      </c>
      <c r="U225" s="213">
        <f>IF($F225="","",'הזנה לתנאי סף'!N225)</f>
        <v>1</v>
      </c>
      <c r="V225" s="213">
        <f>IF($F225="","",'הזנה לתנאי סף'!O225)</f>
        <v>1</v>
      </c>
      <c r="W225" s="109"/>
      <c r="X225" s="109"/>
      <c r="Y225" s="109"/>
      <c r="Z225" s="214" t="str">
        <f t="shared" si="38"/>
        <v>בדוק נתוני הזנה</v>
      </c>
      <c r="AA225" s="213" t="str">
        <f>IF(OR($F225="",V225=0),"",IF(V225=1,IF(COUNTBLANK(W225:X225)&gt;0,$AG$2,IF(OR(Z225&lt;='פרמטרים לקריטריונים'!$C$27,X225&gt;W225),"",X225-W225))))</f>
        <v>בדוק נתוני הזנה</v>
      </c>
      <c r="AB225" s="214">
        <f t="shared" si="42"/>
        <v>1</v>
      </c>
      <c r="AC225" s="225" t="str">
        <f>IF(OR(AB225="",U225=1),"",IF(OR(COUNTBLANK(W225:Y225)&gt;0,AB225&gt;='פרמטרים לקריטריונים'!$E$54),'פרמטרים לקריטריונים'!$F$54,INDEX('פרמטרים לקריטריונים'!$F$49:$F$54,MATCH(AB225,'פרמטרים לקריטריונים'!$E$49:$E$54,1))))</f>
        <v/>
      </c>
      <c r="AD225" s="213" t="str">
        <f t="shared" si="39"/>
        <v/>
      </c>
      <c r="AE225" s="213">
        <f t="shared" si="40"/>
        <v>75951.255838549259</v>
      </c>
      <c r="AG225" s="175">
        <f t="shared" si="43"/>
        <v>1</v>
      </c>
    </row>
    <row r="226" spans="1:33" ht="15.75" x14ac:dyDescent="0.2">
      <c r="A226" s="206">
        <f t="shared" si="41"/>
        <v>196</v>
      </c>
      <c r="B226" s="88">
        <f>IF($F226="","",'הזנה לתנאי סף'!C226)</f>
        <v>1001347622</v>
      </c>
      <c r="C226" s="88">
        <f>IF($F226="","",'הזנה לתנאי סף'!D226)</f>
        <v>1001266749</v>
      </c>
      <c r="D226" s="88">
        <f>IF($F226="","",'הזנה לתנאי סף'!E226)</f>
        <v>40000166</v>
      </c>
      <c r="E226" s="88">
        <f>IF($F226="","",'הזנה לתנאי סף'!F226)</f>
        <v>20000231</v>
      </c>
      <c r="F226" s="88" t="str">
        <f>IF(OR('הזנה לתנאי סף'!G226="",'הזנה לתנאי סף'!BL226&lt;&gt;1),"",'הזנה לתנאי סף'!G226)</f>
        <v>נצרת</v>
      </c>
      <c r="G226" s="88" t="str">
        <f>IF($F226="","",'הזנה לתנאי סף'!H226)</f>
        <v>האגודה הנצרתית לאומנות</v>
      </c>
      <c r="H226" s="88" t="str">
        <f>IF($F226="","",'הזנה לתנאי סף'!I226)</f>
        <v>תרבות ערבית</v>
      </c>
      <c r="I226" s="109">
        <v>485392</v>
      </c>
      <c r="J226" s="213">
        <f>IF($F226="","",'הזנה לתנאי סף'!S226)</f>
        <v>563860</v>
      </c>
      <c r="K226" s="109">
        <v>5000</v>
      </c>
      <c r="L226" s="213">
        <f t="shared" si="34"/>
        <v>1054252</v>
      </c>
      <c r="M226" s="213">
        <f>IF($F226="","",IF(L226='הזנה לתנאי סף'!R226,1,0))</f>
        <v>1</v>
      </c>
      <c r="N226" s="214">
        <f t="shared" si="35"/>
        <v>0.46041363924374817</v>
      </c>
      <c r="O226" s="214">
        <f t="shared" ref="O226:O289" si="44">IF($F226="","",IFERROR((1-N226),""))</f>
        <v>0.53958636075625188</v>
      </c>
      <c r="P226" s="109">
        <v>1265790</v>
      </c>
      <c r="Q226" s="213">
        <f>IF($F226="","",IFERROR(IF(P226&gt;0,'פרמטרים לקריטריונים'!$C$25*P226*O226,$AG$2),""))</f>
        <v>204900.90587449682</v>
      </c>
      <c r="R226" s="213">
        <f>IF($F226="","",IFERROR('פרמטרים לקריטריונים'!$C$26*Q226,""))</f>
        <v>50385.46865766315</v>
      </c>
      <c r="S226" s="214">
        <f t="shared" si="36"/>
        <v>7.4672039924239661E-4</v>
      </c>
      <c r="T226" s="213">
        <f t="shared" si="37"/>
        <v>37336.019962119834</v>
      </c>
      <c r="U226" s="213">
        <f>IF($F226="","",'הזנה לתנאי סף'!N226)</f>
        <v>0</v>
      </c>
      <c r="V226" s="213">
        <f>IF($F226="","",'הזנה לתנאי סף'!O226)</f>
        <v>1</v>
      </c>
      <c r="W226" s="109">
        <v>0</v>
      </c>
      <c r="X226" s="109">
        <v>0</v>
      </c>
      <c r="Y226" s="109">
        <v>1</v>
      </c>
      <c r="Z226" s="214">
        <f t="shared" si="38"/>
        <v>0</v>
      </c>
      <c r="AA226" s="213" t="str">
        <f>IF(OR($F226="",V226=0),"",IF(V226=1,IF(COUNTBLANK(W226:X226)&gt;0,$AG$2,IF(OR(Z226&lt;='פרמטרים לקריטריונים'!$C$27,X226&gt;W226),"",X226-W226))))</f>
        <v/>
      </c>
      <c r="AB226" s="214" t="str">
        <f t="shared" si="42"/>
        <v/>
      </c>
      <c r="AC226" s="225" t="str">
        <f>IF(OR(AB226="",U226=1),"",IF(OR(COUNTBLANK(W226:Y226)&gt;0,AB226&gt;='פרמטרים לקריטריונים'!$E$54),'פרמטרים לקריטריונים'!$F$54,INDEX('פרמטרים לקריטריונים'!$F$49:$F$54,MATCH(AB226,'פרמטרים לקריטריונים'!$E$49:$E$54,1))))</f>
        <v/>
      </c>
      <c r="AD226" s="213" t="str">
        <f t="shared" si="39"/>
        <v/>
      </c>
      <c r="AE226" s="213">
        <f t="shared" si="40"/>
        <v>37336.019962119834</v>
      </c>
      <c r="AG226" s="175">
        <f t="shared" si="43"/>
        <v>0</v>
      </c>
    </row>
    <row r="227" spans="1:33" ht="15.75" x14ac:dyDescent="0.2">
      <c r="A227" s="206">
        <f t="shared" si="41"/>
        <v>197</v>
      </c>
      <c r="B227" s="88">
        <f>IF($F227="","",'הזנה לתנאי סף'!C227)</f>
        <v>1001347084</v>
      </c>
      <c r="C227" s="88">
        <f>IF($F227="","",'הזנה לתנאי סף'!D227)</f>
        <v>1001347084</v>
      </c>
      <c r="D227" s="88">
        <f>IF($F227="","",'הזנה לתנאי סף'!E227)</f>
        <v>40461777</v>
      </c>
      <c r="E227" s="88">
        <f>IF($F227="","",'הזנה לתנאי סף'!F227)</f>
        <v>20000256</v>
      </c>
      <c r="F227" s="88" t="str">
        <f>IF(OR('הזנה לתנאי סף'!G227="",'הזנה לתנאי סף'!BL227&lt;&gt;1),"",'הזנה לתנאי סף'!G227)</f>
        <v>בית שאן</v>
      </c>
      <c r="G227" s="88" t="str">
        <f>IF($F227="","",'הזנה לתנאי סף'!H227)</f>
        <v>העמותה לקידום התיאטרון בבית שאן</v>
      </c>
      <c r="H227" s="88" t="str">
        <f>IF($F227="","",'הזנה לתנאי סף'!I227)</f>
        <v>תיאטרון</v>
      </c>
      <c r="I227" s="109">
        <v>55609</v>
      </c>
      <c r="J227" s="213">
        <f>IF($F227="","",'הזנה לתנאי סף'!S227)</f>
        <v>26907</v>
      </c>
      <c r="K227" s="109">
        <v>5078</v>
      </c>
      <c r="L227" s="213">
        <f t="shared" si="34"/>
        <v>87594</v>
      </c>
      <c r="M227" s="213">
        <f>IF($F227="","",IF(L227='הזנה לתנאי סף'!R227,1,0))</f>
        <v>1</v>
      </c>
      <c r="N227" s="214">
        <f t="shared" si="35"/>
        <v>0.63484941890997104</v>
      </c>
      <c r="O227" s="214">
        <f t="shared" si="44"/>
        <v>0.36515058109002896</v>
      </c>
      <c r="P227" s="109">
        <v>77903</v>
      </c>
      <c r="Q227" s="213">
        <f>IF($F227="","",IFERROR(IF(P227&gt;0,'פרמטרים לקריטריונים'!$C$25*P227*O227,$AG$2),""))</f>
        <v>8533.8977155969569</v>
      </c>
      <c r="R227" s="213">
        <f>IF($F227="","",IFERROR('פרמטרים לקריטריונים'!$C$26*Q227,""))</f>
        <v>2098.4994382615469</v>
      </c>
      <c r="S227" s="214">
        <f t="shared" si="36"/>
        <v>3.1100084609618543E-5</v>
      </c>
      <c r="T227" s="213">
        <f t="shared" si="37"/>
        <v>1555.0042304809272</v>
      </c>
      <c r="U227" s="213">
        <f>IF($F227="","",'הזנה לתנאי סף'!N227)</f>
        <v>0</v>
      </c>
      <c r="V227" s="213">
        <f>IF($F227="","",'הזנה לתנאי סף'!O227)</f>
        <v>1</v>
      </c>
      <c r="W227" s="109">
        <v>0</v>
      </c>
      <c r="X227" s="109">
        <v>0</v>
      </c>
      <c r="Y227" s="109">
        <v>1</v>
      </c>
      <c r="Z227" s="214">
        <f t="shared" si="38"/>
        <v>0</v>
      </c>
      <c r="AA227" s="213" t="str">
        <f>IF(OR($F227="",V227=0),"",IF(V227=1,IF(COUNTBLANK(W227:X227)&gt;0,$AG$2,IF(OR(Z227&lt;='פרמטרים לקריטריונים'!$C$27,X227&gt;W227),"",X227-W227))))</f>
        <v/>
      </c>
      <c r="AB227" s="214" t="str">
        <f t="shared" si="42"/>
        <v/>
      </c>
      <c r="AC227" s="225" t="str">
        <f>IF(OR(AB227="",U227=1),"",IF(OR(COUNTBLANK(W227:Y227)&gt;0,AB227&gt;='פרמטרים לקריטריונים'!$E$54),'פרמטרים לקריטריונים'!$F$54,INDEX('פרמטרים לקריטריונים'!$F$49:$F$54,MATCH(AB227,'פרמטרים לקריטריונים'!$E$49:$E$54,1))))</f>
        <v/>
      </c>
      <c r="AD227" s="213" t="str">
        <f t="shared" si="39"/>
        <v/>
      </c>
      <c r="AE227" s="213">
        <f t="shared" si="40"/>
        <v>1555.0042304809272</v>
      </c>
      <c r="AG227" s="175">
        <f t="shared" si="43"/>
        <v>0</v>
      </c>
    </row>
    <row r="228" spans="1:33" ht="15.75" x14ac:dyDescent="0.2">
      <c r="A228" s="206">
        <f t="shared" si="41"/>
        <v>198</v>
      </c>
      <c r="B228" s="88">
        <f>IF($F228="","",'הזנה לתנאי סף'!C228)</f>
        <v>1001348948</v>
      </c>
      <c r="C228" s="88">
        <f>IF($F228="","",'הזנה לתנאי סף'!D228)</f>
        <v>1001266872</v>
      </c>
      <c r="D228" s="88">
        <f>IF($F228="","",'הזנה לתנאי סף'!E228)</f>
        <v>40000626</v>
      </c>
      <c r="E228" s="88">
        <f>IF($F228="","",'הזנה לתנאי סף'!F228)</f>
        <v>20000052</v>
      </c>
      <c r="F228" s="88" t="str">
        <f>IF(OR('הזנה לתנאי סף'!G228="",'הזנה לתנאי סף'!BL228&lt;&gt;1),"",'הזנה לתנאי סף'!G228)</f>
        <v>כפר כנא</v>
      </c>
      <c r="G228" s="88" t="str">
        <f>IF($F228="","",'הזנה לתנאי סף'!H228)</f>
        <v>עמותת אלפאראבי המוסיקלית כפר קנא</v>
      </c>
      <c r="H228" s="88" t="str">
        <f>IF($F228="","",'הזנה לתנאי סף'!I228)</f>
        <v>תרבות ערבית</v>
      </c>
      <c r="I228" s="109">
        <v>1285269</v>
      </c>
      <c r="J228" s="213">
        <f>IF($F228="","",'הזנה לתנאי סף'!S228)</f>
        <v>1219515</v>
      </c>
      <c r="K228" s="109">
        <v>0</v>
      </c>
      <c r="L228" s="213">
        <f t="shared" si="34"/>
        <v>2504784</v>
      </c>
      <c r="M228" s="213">
        <f>IF($F228="","",IF(L228='הזנה לתנאי סף'!R228,1,0))</f>
        <v>1</v>
      </c>
      <c r="N228" s="214">
        <f t="shared" si="35"/>
        <v>0.51312568269359748</v>
      </c>
      <c r="O228" s="214">
        <f t="shared" si="44"/>
        <v>0.48687431730640252</v>
      </c>
      <c r="P228" s="109">
        <v>2663349</v>
      </c>
      <c r="Q228" s="213">
        <f>IF($F228="","",IFERROR(IF(P228&gt;0,'פרמטרים לקריטריונים'!$C$25*P228*O228,$AG$2),""))</f>
        <v>389014.86783710693</v>
      </c>
      <c r="R228" s="213">
        <f>IF($F228="","",IFERROR('פרמטרים לקריטריונים'!$C$26*Q228,""))</f>
        <v>95659.393730436132</v>
      </c>
      <c r="S228" s="214">
        <f t="shared" si="36"/>
        <v>1.4176869359497945E-3</v>
      </c>
      <c r="T228" s="213">
        <f t="shared" si="37"/>
        <v>70884.346797489721</v>
      </c>
      <c r="U228" s="213">
        <f>IF($F228="","",'הזנה לתנאי סף'!N228)</f>
        <v>0</v>
      </c>
      <c r="V228" s="213">
        <f>IF($F228="","",'הזנה לתנאי סף'!O228)</f>
        <v>1</v>
      </c>
      <c r="W228" s="109">
        <v>0</v>
      </c>
      <c r="X228" s="109">
        <v>0</v>
      </c>
      <c r="Y228" s="109">
        <v>1</v>
      </c>
      <c r="Z228" s="214">
        <f t="shared" si="38"/>
        <v>0</v>
      </c>
      <c r="AA228" s="213" t="str">
        <f>IF(OR($F228="",V228=0),"",IF(V228=1,IF(COUNTBLANK(W228:X228)&gt;0,$AG$2,IF(OR(Z228&lt;='פרמטרים לקריטריונים'!$C$27,X228&gt;W228),"",X228-W228))))</f>
        <v/>
      </c>
      <c r="AB228" s="214" t="str">
        <f t="shared" si="42"/>
        <v/>
      </c>
      <c r="AC228" s="225" t="str">
        <f>IF(OR(AB228="",U228=1),"",IF(OR(COUNTBLANK(W228:Y228)&gt;0,AB228&gt;='פרמטרים לקריטריונים'!$E$54),'פרמטרים לקריטריונים'!$F$54,INDEX('פרמטרים לקריטריונים'!$F$49:$F$54,MATCH(AB228,'פרמטרים לקריטריונים'!$E$49:$E$54,1))))</f>
        <v/>
      </c>
      <c r="AD228" s="213" t="str">
        <f t="shared" si="39"/>
        <v/>
      </c>
      <c r="AE228" s="213">
        <f t="shared" si="40"/>
        <v>70884.346797489721</v>
      </c>
      <c r="AG228" s="175">
        <f t="shared" si="43"/>
        <v>0</v>
      </c>
    </row>
    <row r="229" spans="1:33" ht="15.75" x14ac:dyDescent="0.2">
      <c r="A229" s="206">
        <f t="shared" si="41"/>
        <v>199</v>
      </c>
      <c r="B229" s="88">
        <f>IF($F229="","",'הזנה לתנאי סף'!C229)</f>
        <v>1001349377</v>
      </c>
      <c r="C229" s="88">
        <f>IF($F229="","",'הזנה לתנאי סף'!D229)</f>
        <v>1001270641</v>
      </c>
      <c r="D229" s="88">
        <f>IF($F229="","",'הזנה לתנאי סף'!E229)</f>
        <v>40376018</v>
      </c>
      <c r="E229" s="88">
        <f>IF($F229="","",'הזנה לתנאי סף'!F229)</f>
        <v>20000130</v>
      </c>
      <c r="F229" s="88" t="str">
        <f>IF(OR('הזנה לתנאי סף'!G229="",'הזנה לתנאי סף'!BL229&lt;&gt;1),"",'הזנה לתנאי סף'!G229)</f>
        <v>דימונה</v>
      </c>
      <c r="G229" s="88" t="str">
        <f>IF($F229="","",'הזנה לתנאי סף'!H229)</f>
        <v>מעבדתרבות דימונה</v>
      </c>
      <c r="H229" s="88" t="str">
        <f>IF($F229="","",'הזנה לתנאי סף'!I229)</f>
        <v>קבוצות תיאטרון</v>
      </c>
      <c r="I229" s="109">
        <v>1095581</v>
      </c>
      <c r="J229" s="213">
        <f>IF($F229="","",'הזנה לתנאי סף'!S229)</f>
        <v>577774</v>
      </c>
      <c r="K229" s="109">
        <v>477000</v>
      </c>
      <c r="L229" s="213">
        <f t="shared" si="34"/>
        <v>2150355</v>
      </c>
      <c r="M229" s="213">
        <f>IF($F229="","",IF(L229='הזנה לתנאי סף'!R229,1,0))</f>
        <v>1</v>
      </c>
      <c r="N229" s="214">
        <f t="shared" si="35"/>
        <v>0.50948843330519844</v>
      </c>
      <c r="O229" s="214">
        <f t="shared" si="44"/>
        <v>0.49051156669480156</v>
      </c>
      <c r="P229" s="109">
        <v>2140105</v>
      </c>
      <c r="Q229" s="213">
        <f>IF($F229="","",IFERROR(IF(P229&gt;0,'פרמטרים לקריטריונים'!$C$25*P229*O229,$AG$2),""))</f>
        <v>314923.87693241349</v>
      </c>
      <c r="R229" s="213">
        <f>IF($F229="","",IFERROR('פרמטרים לקריטריונים'!$C$26*Q229,""))</f>
        <v>77440.29760633118</v>
      </c>
      <c r="S229" s="214">
        <f t="shared" si="36"/>
        <v>1.1476771276842099E-3</v>
      </c>
      <c r="T229" s="213">
        <f t="shared" si="37"/>
        <v>57383.8563842105</v>
      </c>
      <c r="U229" s="213">
        <f>IF($F229="","",'הזנה לתנאי סף'!N229)</f>
        <v>1</v>
      </c>
      <c r="V229" s="213">
        <f>IF($F229="","",'הזנה לתנאי סף'!O229)</f>
        <v>1</v>
      </c>
      <c r="W229" s="109"/>
      <c r="X229" s="109"/>
      <c r="Y229" s="109"/>
      <c r="Z229" s="214" t="str">
        <f t="shared" si="38"/>
        <v>בדוק נתוני הזנה</v>
      </c>
      <c r="AA229" s="213" t="str">
        <f>IF(OR($F229="",V229=0),"",IF(V229=1,IF(COUNTBLANK(W229:X229)&gt;0,$AG$2,IF(OR(Z229&lt;='פרמטרים לקריטריונים'!$C$27,X229&gt;W229),"",X229-W229))))</f>
        <v>בדוק נתוני הזנה</v>
      </c>
      <c r="AB229" s="214">
        <f t="shared" si="42"/>
        <v>0</v>
      </c>
      <c r="AC229" s="225" t="str">
        <f>IF(OR(AB229="",U229=1),"",IF(OR(COUNTBLANK(W229:Y229)&gt;0,AB229&gt;='פרמטרים לקריטריונים'!$E$54),'פרמטרים לקריטריונים'!$F$54,INDEX('פרמטרים לקריטריונים'!$F$49:$F$54,MATCH(AB229,'פרמטרים לקריטריונים'!$E$49:$E$54,1))))</f>
        <v/>
      </c>
      <c r="AD229" s="213" t="str">
        <f t="shared" si="39"/>
        <v/>
      </c>
      <c r="AE229" s="213">
        <f t="shared" si="40"/>
        <v>57383.8563842105</v>
      </c>
      <c r="AG229" s="175">
        <f t="shared" si="43"/>
        <v>1</v>
      </c>
    </row>
    <row r="230" spans="1:33" ht="15.75" x14ac:dyDescent="0.2">
      <c r="A230" s="206">
        <f t="shared" si="41"/>
        <v>200</v>
      </c>
      <c r="B230" s="88">
        <f>IF($F230="","",'הזנה לתנאי סף'!C230)</f>
        <v>1001350722</v>
      </c>
      <c r="C230" s="88">
        <f>IF($F230="","",'הזנה לתנאי סף'!D230)</f>
        <v>1001288836</v>
      </c>
      <c r="D230" s="88">
        <f>IF($F230="","",'הזנה לתנאי סף'!E230)</f>
        <v>40997574</v>
      </c>
      <c r="E230" s="88">
        <f>IF($F230="","",'הזנה לתנאי סף'!F230)</f>
        <v>20000052</v>
      </c>
      <c r="F230" s="88" t="str">
        <f>IF(OR('הזנה לתנאי סף'!G230="",'הזנה לתנאי סף'!BL230&lt;&gt;1),"",'הזנה לתנאי סף'!G230)</f>
        <v>כפר כנא</v>
      </c>
      <c r="G230" s="88" t="str">
        <f>IF($F230="","",'הזנה לתנאי סף'!H230)</f>
        <v>עמותת אנג'אם לקודום המוסיקה</v>
      </c>
      <c r="H230" s="88" t="str">
        <f>IF($F230="","",'הזנה לתנאי סף'!I230)</f>
        <v>תרבות ערבית</v>
      </c>
      <c r="I230" s="109">
        <v>303480</v>
      </c>
      <c r="J230" s="213">
        <f>IF($F230="","",'הזנה לתנאי סף'!S230)</f>
        <v>322256</v>
      </c>
      <c r="K230" s="109">
        <v>0</v>
      </c>
      <c r="L230" s="213">
        <f t="shared" si="34"/>
        <v>625736</v>
      </c>
      <c r="M230" s="213">
        <f>IF($F230="","",IF(L230='הזנה לתנאי סף'!R230,1,0))</f>
        <v>1</v>
      </c>
      <c r="N230" s="214">
        <f t="shared" si="35"/>
        <v>0.48499686768860989</v>
      </c>
      <c r="O230" s="214">
        <f t="shared" si="44"/>
        <v>0.51500313231139017</v>
      </c>
      <c r="P230" s="109">
        <v>617684</v>
      </c>
      <c r="Q230" s="213">
        <f>IF($F230="","",IFERROR(IF(P230&gt;0,'פרמטרים לקריטריונים'!$C$25*P230*O230,$AG$2),""))</f>
        <v>95432.758433588606</v>
      </c>
      <c r="R230" s="213">
        <f>IF($F230="","",IFERROR('פרמטרים לקריטריונים'!$C$26*Q230,""))</f>
        <v>23467.071745964411</v>
      </c>
      <c r="S230" s="214">
        <f t="shared" si="36"/>
        <v>3.4778561458376705E-4</v>
      </c>
      <c r="T230" s="213">
        <f t="shared" si="37"/>
        <v>17389.280729188351</v>
      </c>
      <c r="U230" s="213">
        <f>IF($F230="","",'הזנה לתנאי סף'!N230)</f>
        <v>0</v>
      </c>
      <c r="V230" s="213">
        <f>IF($F230="","",'הזנה לתנאי סף'!O230)</f>
        <v>1</v>
      </c>
      <c r="W230" s="109">
        <v>0</v>
      </c>
      <c r="X230" s="109">
        <v>0</v>
      </c>
      <c r="Y230" s="109">
        <v>1</v>
      </c>
      <c r="Z230" s="214">
        <f t="shared" si="38"/>
        <v>0</v>
      </c>
      <c r="AA230" s="213" t="str">
        <f>IF(OR($F230="",V230=0),"",IF(V230=1,IF(COUNTBLANK(W230:X230)&gt;0,$AG$2,IF(OR(Z230&lt;='פרמטרים לקריטריונים'!$C$27,X230&gt;W230),"",X230-W230))))</f>
        <v/>
      </c>
      <c r="AB230" s="214" t="str">
        <f t="shared" si="42"/>
        <v/>
      </c>
      <c r="AC230" s="225" t="str">
        <f>IF(OR(AB230="",U230=1),"",IF(OR(COUNTBLANK(W230:Y230)&gt;0,AB230&gt;='פרמטרים לקריטריונים'!$E$54),'פרמטרים לקריטריונים'!$F$54,INDEX('פרמטרים לקריטריונים'!$F$49:$F$54,MATCH(AB230,'פרמטרים לקריטריונים'!$E$49:$E$54,1))))</f>
        <v/>
      </c>
      <c r="AD230" s="213" t="str">
        <f t="shared" si="39"/>
        <v/>
      </c>
      <c r="AE230" s="213">
        <f t="shared" si="40"/>
        <v>17389.280729188351</v>
      </c>
      <c r="AG230" s="175">
        <f t="shared" si="43"/>
        <v>0</v>
      </c>
    </row>
    <row r="231" spans="1:33" ht="15.75" x14ac:dyDescent="0.2">
      <c r="A231" s="206">
        <f t="shared" si="41"/>
        <v>201</v>
      </c>
      <c r="B231" s="88">
        <f>IF($F231="","",'הזנה לתנאי סף'!C231)</f>
        <v>1001348110</v>
      </c>
      <c r="C231" s="88">
        <f>IF($F231="","",'הזנה לתנאי סף'!D231)</f>
        <v>1001266857</v>
      </c>
      <c r="D231" s="88">
        <f>IF($F231="","",'הזנה לתנאי סף'!E231)</f>
        <v>41966540</v>
      </c>
      <c r="E231" s="88">
        <f>IF($F231="","",'הזנה לתנאי סף'!F231)</f>
        <v>20000231</v>
      </c>
      <c r="F231" s="88" t="str">
        <f>IF(OR('הזנה לתנאי סף'!G231="",'הזנה לתנאי סף'!BL231&lt;&gt;1),"",'הזנה לתנאי סף'!G231)</f>
        <v>נצרת</v>
      </c>
      <c r="G231" s="88" t="str">
        <f>IF($F231="","",'הזנה לתנאי סף'!H231)</f>
        <v>עוד זיריאב</v>
      </c>
      <c r="H231" s="88" t="str">
        <f>IF($F231="","",'הזנה לתנאי סף'!I231)</f>
        <v>תרבות ערבית</v>
      </c>
      <c r="I231" s="109">
        <v>0</v>
      </c>
      <c r="J231" s="213">
        <f>IF($F231="","",'הזנה לתנאי סף'!S231)</f>
        <v>427583</v>
      </c>
      <c r="K231" s="109">
        <v>0</v>
      </c>
      <c r="L231" s="213">
        <f t="shared" si="34"/>
        <v>427583</v>
      </c>
      <c r="M231" s="213">
        <f>IF($F231="","",IF(L231='הזנה לתנאי סף'!R231,1,0))</f>
        <v>1</v>
      </c>
      <c r="N231" s="214">
        <f t="shared" si="35"/>
        <v>0</v>
      </c>
      <c r="O231" s="214">
        <f t="shared" si="44"/>
        <v>1</v>
      </c>
      <c r="P231" s="109">
        <v>344144</v>
      </c>
      <c r="Q231" s="213">
        <f>IF($F231="","",IFERROR(IF(P231&gt;0,'פרמטרים לקריטריונים'!$C$25*P231*O231,$AG$2),""))</f>
        <v>103243.2</v>
      </c>
      <c r="R231" s="213">
        <f>IF($F231="","",IFERROR('פרמטרים לקריטריונים'!$C$26*Q231,""))</f>
        <v>25387.672131147541</v>
      </c>
      <c r="S231" s="214">
        <f t="shared" si="36"/>
        <v>3.7624920785017457E-4</v>
      </c>
      <c r="T231" s="213">
        <f t="shared" si="37"/>
        <v>18812.460392508729</v>
      </c>
      <c r="U231" s="213">
        <f>IF($F231="","",'הזנה לתנאי סף'!N231)</f>
        <v>0</v>
      </c>
      <c r="V231" s="213">
        <f>IF($F231="","",'הזנה לתנאי סף'!O231)</f>
        <v>1</v>
      </c>
      <c r="W231" s="109">
        <v>0</v>
      </c>
      <c r="X231" s="109">
        <v>0</v>
      </c>
      <c r="Y231" s="109">
        <v>1</v>
      </c>
      <c r="Z231" s="214">
        <f t="shared" si="38"/>
        <v>0</v>
      </c>
      <c r="AA231" s="213" t="str">
        <f>IF(OR($F231="",V231=0),"",IF(V231=1,IF(COUNTBLANK(W231:X231)&gt;0,$AG$2,IF(OR(Z231&lt;='פרמטרים לקריטריונים'!$C$27,X231&gt;W231),"",X231-W231))))</f>
        <v/>
      </c>
      <c r="AB231" s="214" t="str">
        <f t="shared" si="42"/>
        <v/>
      </c>
      <c r="AC231" s="225" t="str">
        <f>IF(OR(AB231="",U231=1),"",IF(OR(COUNTBLANK(W231:Y231)&gt;0,AB231&gt;='פרמטרים לקריטריונים'!$E$54),'פרמטרים לקריטריונים'!$F$54,INDEX('פרמטרים לקריטריונים'!$F$49:$F$54,MATCH(AB231,'פרמטרים לקריטריונים'!$E$49:$E$54,1))))</f>
        <v/>
      </c>
      <c r="AD231" s="213" t="str">
        <f t="shared" si="39"/>
        <v/>
      </c>
      <c r="AE231" s="213">
        <f t="shared" si="40"/>
        <v>18812.460392508729</v>
      </c>
      <c r="AG231" s="175">
        <f t="shared" si="43"/>
        <v>0</v>
      </c>
    </row>
    <row r="232" spans="1:33" ht="15.75" x14ac:dyDescent="0.2">
      <c r="A232" s="206">
        <f t="shared" si="41"/>
        <v>202</v>
      </c>
      <c r="B232" s="88">
        <f>IF($F232="","",'הזנה לתנאי סף'!C232)</f>
        <v>1001349379</v>
      </c>
      <c r="C232" s="88">
        <f>IF($F232="","",'הזנה לתנאי סף'!D232)</f>
        <v>1001274144</v>
      </c>
      <c r="D232" s="88">
        <f>IF($F232="","",'הזנה לתנאי סף'!E232)</f>
        <v>40471611</v>
      </c>
      <c r="E232" s="88">
        <f>IF($F232="","",'הזנה לתנאי סף'!F232)</f>
        <v>20000159</v>
      </c>
      <c r="F232" s="88" t="str">
        <f>IF(OR('הזנה לתנאי סף'!G232="",'הזנה לתנאי סף'!BL232&lt;&gt;1),"",'הזנה לתנאי סף'!G232)</f>
        <v>ירושלים</v>
      </c>
      <c r="G232" s="88" t="str">
        <f>IF($F232="","",'הזנה לתנאי סף'!H232)</f>
        <v>חיבה - התנועה למורשת ישראל (ע"ר)</v>
      </c>
      <c r="H232" s="88" t="str">
        <f>IF($F232="","",'הזנה לתנאי סף'!I232)</f>
        <v>קבוצות מוסיקה</v>
      </c>
      <c r="I232" s="109">
        <v>150000</v>
      </c>
      <c r="J232" s="213">
        <f>IF($F232="","",'הזנה לתנאי סף'!S232)</f>
        <v>1015221</v>
      </c>
      <c r="K232" s="109">
        <v>0</v>
      </c>
      <c r="L232" s="213">
        <f t="shared" si="34"/>
        <v>1165221</v>
      </c>
      <c r="M232" s="213">
        <f>IF($F232="","",IF(L232='הזנה לתנאי סף'!R232,1,0))</f>
        <v>1</v>
      </c>
      <c r="N232" s="214">
        <f t="shared" si="35"/>
        <v>0.1287309446019253</v>
      </c>
      <c r="O232" s="214">
        <f t="shared" si="44"/>
        <v>0.87126905539807464</v>
      </c>
      <c r="P232" s="109">
        <v>1285967</v>
      </c>
      <c r="Q232" s="213">
        <f>IF($F232="","",IFERROR(IF(P232&gt;0,'פרמטרים לקריטריונים'!$C$25*P232*O232,$AG$2),""))</f>
        <v>336126.97600892873</v>
      </c>
      <c r="R232" s="213">
        <f>IF($F232="","",IFERROR('פרמטרים לקריטריונים'!$C$26*Q232,""))</f>
        <v>82654.174428425089</v>
      </c>
      <c r="S232" s="214">
        <f t="shared" si="36"/>
        <v>1.2249475845424595E-3</v>
      </c>
      <c r="T232" s="213">
        <f t="shared" si="37"/>
        <v>61247.379227122976</v>
      </c>
      <c r="U232" s="213">
        <f>IF($F232="","",'הזנה לתנאי סף'!N232)</f>
        <v>1</v>
      </c>
      <c r="V232" s="213">
        <f>IF($F232="","",'הזנה לתנאי סף'!O232)</f>
        <v>1</v>
      </c>
      <c r="W232" s="109"/>
      <c r="X232" s="109"/>
      <c r="Y232" s="109"/>
      <c r="Z232" s="214" t="str">
        <f t="shared" si="38"/>
        <v>בדוק נתוני הזנה</v>
      </c>
      <c r="AA232" s="213" t="str">
        <f>IF(OR($F232="",V232=0),"",IF(V232=1,IF(COUNTBLANK(W232:X232)&gt;0,$AG$2,IF(OR(Z232&lt;='פרמטרים לקריטריונים'!$C$27,X232&gt;W232),"",X232-W232))))</f>
        <v>בדוק נתוני הזנה</v>
      </c>
      <c r="AB232" s="214">
        <f t="shared" si="42"/>
        <v>1</v>
      </c>
      <c r="AC232" s="225" t="str">
        <f>IF(OR(AB232="",U232=1),"",IF(OR(COUNTBLANK(W232:Y232)&gt;0,AB232&gt;='פרמטרים לקריטריונים'!$E$54),'פרמטרים לקריטריונים'!$F$54,INDEX('פרמטרים לקריטריונים'!$F$49:$F$54,MATCH(AB232,'פרמטרים לקריטריונים'!$E$49:$E$54,1))))</f>
        <v/>
      </c>
      <c r="AD232" s="213" t="str">
        <f t="shared" si="39"/>
        <v/>
      </c>
      <c r="AE232" s="213">
        <f t="shared" si="40"/>
        <v>61247.379227122976</v>
      </c>
      <c r="AG232" s="175">
        <f t="shared" si="43"/>
        <v>1</v>
      </c>
    </row>
    <row r="233" spans="1:33" ht="15.75" x14ac:dyDescent="0.2">
      <c r="A233" s="206">
        <f t="shared" si="41"/>
        <v>203</v>
      </c>
      <c r="B233" s="88">
        <f>IF($F233="","",'הזנה לתנאי סף'!C233)</f>
        <v>1001349381</v>
      </c>
      <c r="C233" s="88">
        <f>IF($F233="","",'הזנה לתנאי סף'!D233)</f>
        <v>1001268664</v>
      </c>
      <c r="D233" s="88">
        <f>IF($F233="","",'הזנה לתנאי סף'!E233)</f>
        <v>40471611</v>
      </c>
      <c r="E233" s="88">
        <f>IF($F233="","",'הזנה לתנאי סף'!F233)</f>
        <v>20000159</v>
      </c>
      <c r="F233" s="88" t="str">
        <f>IF(OR('הזנה לתנאי סף'!G233="",'הזנה לתנאי סף'!BL233&lt;&gt;1),"",'הזנה לתנאי סף'!G233)</f>
        <v>ירושלים</v>
      </c>
      <c r="G233" s="88" t="str">
        <f>IF($F233="","",'הזנה לתנאי סף'!H233)</f>
        <v>חיבה - התנועה למורשת ישראל (ע"ר)</v>
      </c>
      <c r="H233" s="88" t="str">
        <f>IF($F233="","",'הזנה לתנאי סף'!I233)</f>
        <v>אחר</v>
      </c>
      <c r="I233" s="109">
        <v>382817</v>
      </c>
      <c r="J233" s="213">
        <f>IF($F233="","",'הזנה לתנאי סף'!S233)</f>
        <v>183007</v>
      </c>
      <c r="K233" s="109">
        <v>0</v>
      </c>
      <c r="L233" s="213">
        <f t="shared" si="34"/>
        <v>565824</v>
      </c>
      <c r="M233" s="213">
        <f>IF($F233="","",IF(L233='הזנה לתנאי סף'!R233,1,0))</f>
        <v>1</v>
      </c>
      <c r="N233" s="214">
        <f t="shared" si="35"/>
        <v>0.67656550446782038</v>
      </c>
      <c r="O233" s="214">
        <f t="shared" si="44"/>
        <v>0.32343449553217962</v>
      </c>
      <c r="P233" s="109">
        <v>601502</v>
      </c>
      <c r="Q233" s="213">
        <f>IF($F233="","",IFERROR(IF(P233&gt;0,'פרמטרים לקריטריונים'!$C$25*P233*O233,$AG$2),""))</f>
        <v>58363.948779479135</v>
      </c>
      <c r="R233" s="213">
        <f>IF($F233="","",IFERROR('פרמטרים לקריטריונים'!$C$26*Q233,""))</f>
        <v>14351.790683478475</v>
      </c>
      <c r="S233" s="214">
        <f t="shared" si="36"/>
        <v>2.1269574650230897E-4</v>
      </c>
      <c r="T233" s="213">
        <f t="shared" si="37"/>
        <v>10634.787325115449</v>
      </c>
      <c r="U233" s="213">
        <f>IF($F233="","",'הזנה לתנאי סף'!N233)</f>
        <v>1</v>
      </c>
      <c r="V233" s="213">
        <f>IF($F233="","",'הזנה לתנאי סף'!O233)</f>
        <v>1</v>
      </c>
      <c r="W233" s="109"/>
      <c r="X233" s="109"/>
      <c r="Y233" s="109"/>
      <c r="Z233" s="214" t="str">
        <f t="shared" si="38"/>
        <v>בדוק נתוני הזנה</v>
      </c>
      <c r="AA233" s="213" t="str">
        <f>IF(OR($F233="",V233=0),"",IF(V233=1,IF(COUNTBLANK(W233:X233)&gt;0,$AG$2,IF(OR(Z233&lt;='פרמטרים לקריטריונים'!$C$27,X233&gt;W233),"",X233-W233))))</f>
        <v>בדוק נתוני הזנה</v>
      </c>
      <c r="AB233" s="214">
        <f t="shared" si="42"/>
        <v>1</v>
      </c>
      <c r="AC233" s="225" t="str">
        <f>IF(OR(AB233="",U233=1),"",IF(OR(COUNTBLANK(W233:Y233)&gt;0,AB233&gt;='פרמטרים לקריטריונים'!$E$54),'פרמטרים לקריטריונים'!$F$54,INDEX('פרמטרים לקריטריונים'!$F$49:$F$54,MATCH(AB233,'פרמטרים לקריטריונים'!$E$49:$E$54,1))))</f>
        <v/>
      </c>
      <c r="AD233" s="213" t="str">
        <f t="shared" si="39"/>
        <v/>
      </c>
      <c r="AE233" s="213">
        <f t="shared" si="40"/>
        <v>10634.787325115449</v>
      </c>
      <c r="AG233" s="175">
        <f t="shared" si="43"/>
        <v>1</v>
      </c>
    </row>
    <row r="234" spans="1:33" ht="15.75" x14ac:dyDescent="0.2">
      <c r="A234" s="206">
        <f t="shared" si="41"/>
        <v>204</v>
      </c>
      <c r="B234" s="88">
        <f>IF($F234="","",'הזנה לתנאי סף'!C234)</f>
        <v>1001349104</v>
      </c>
      <c r="C234" s="88">
        <f>IF($F234="","",'הזנה לתנאי סף'!D234)</f>
        <v>1001275605</v>
      </c>
      <c r="D234" s="88">
        <f>IF($F234="","",'הזנה לתנאי סף'!E234)</f>
        <v>40541378</v>
      </c>
      <c r="E234" s="88">
        <f>IF($F234="","",'הזנה לתנאי סף'!F234)</f>
        <v>20000253</v>
      </c>
      <c r="F234" s="88" t="str">
        <f>IF(OR('הזנה לתנאי סף'!G234="",'הזנה לתנאי סף'!BL234&lt;&gt;1),"",'הזנה לתנאי סף'!G234)</f>
        <v>טמרה</v>
      </c>
      <c r="G234" s="88" t="str">
        <f>IF($F234="","",'הזנה לתנאי סף'!H234)</f>
        <v>באב אל חארה- התיאטרון הכפרי לתרבות</v>
      </c>
      <c r="H234" s="88" t="str">
        <f>IF($F234="","",'הזנה לתנאי סף'!I234)</f>
        <v>אחר</v>
      </c>
      <c r="I234" s="109">
        <v>529112</v>
      </c>
      <c r="J234" s="213">
        <f>IF($F234="","",'הזנה לתנאי סף'!S234)</f>
        <v>314260</v>
      </c>
      <c r="K234" s="109">
        <v>0</v>
      </c>
      <c r="L234" s="213">
        <f t="shared" si="34"/>
        <v>843372</v>
      </c>
      <c r="M234" s="213">
        <f>IF($F234="","",IF(L234='הזנה לתנאי סף'!R234,1,0))</f>
        <v>1</v>
      </c>
      <c r="N234" s="214">
        <f t="shared" si="35"/>
        <v>0.62737676849598989</v>
      </c>
      <c r="O234" s="214">
        <f t="shared" si="44"/>
        <v>0.37262323150401011</v>
      </c>
      <c r="P234" s="109">
        <v>1042740</v>
      </c>
      <c r="Q234" s="213">
        <f>IF($F234="","",IFERROR(IF(P234&gt;0,'פרמטרים לקריטריונים'!$C$25*P234*O234,$AG$2),""))</f>
        <v>116564.74452554744</v>
      </c>
      <c r="R234" s="213">
        <f>IF($F234="","",IFERROR('פרמטרים לקריטריונים'!$C$26*Q234,""))</f>
        <v>28663.461768577239</v>
      </c>
      <c r="S234" s="214">
        <f t="shared" si="36"/>
        <v>4.2479691438269246E-4</v>
      </c>
      <c r="T234" s="213">
        <f t="shared" si="37"/>
        <v>21239.845719134624</v>
      </c>
      <c r="U234" s="213">
        <f>IF($F234="","",'הזנה לתנאי סף'!N234)</f>
        <v>0</v>
      </c>
      <c r="V234" s="213">
        <f>IF($F234="","",'הזנה לתנאי סף'!O234)</f>
        <v>1</v>
      </c>
      <c r="W234" s="109">
        <v>0</v>
      </c>
      <c r="X234" s="109">
        <v>0</v>
      </c>
      <c r="Y234" s="109">
        <v>1</v>
      </c>
      <c r="Z234" s="214">
        <f t="shared" si="38"/>
        <v>0</v>
      </c>
      <c r="AA234" s="213" t="str">
        <f>IF(OR($F234="",V234=0),"",IF(V234=1,IF(COUNTBLANK(W234:X234)&gt;0,$AG$2,IF(OR(Z234&lt;='פרמטרים לקריטריונים'!$C$27,X234&gt;W234),"",X234-W234))))</f>
        <v/>
      </c>
      <c r="AB234" s="214" t="str">
        <f t="shared" si="42"/>
        <v/>
      </c>
      <c r="AC234" s="225" t="str">
        <f>IF(OR(AB234="",U234=1),"",IF(OR(COUNTBLANK(W234:Y234)&gt;0,AB234&gt;='פרמטרים לקריטריונים'!$E$54),'פרמטרים לקריטריונים'!$F$54,INDEX('פרמטרים לקריטריונים'!$F$49:$F$54,MATCH(AB234,'פרמטרים לקריטריונים'!$E$49:$E$54,1))))</f>
        <v/>
      </c>
      <c r="AD234" s="213" t="str">
        <f t="shared" si="39"/>
        <v/>
      </c>
      <c r="AE234" s="213">
        <f t="shared" si="40"/>
        <v>21239.845719134624</v>
      </c>
      <c r="AG234" s="175">
        <f t="shared" si="43"/>
        <v>0</v>
      </c>
    </row>
    <row r="235" spans="1:33" ht="15.75" x14ac:dyDescent="0.2">
      <c r="A235" s="206">
        <f t="shared" si="41"/>
        <v>205</v>
      </c>
      <c r="B235" s="88">
        <f>IF($F235="","",'הזנה לתנאי סף'!C235)</f>
        <v>1001347304</v>
      </c>
      <c r="C235" s="88">
        <f>IF($F235="","",'הזנה לתנאי סף'!D235)</f>
        <v>1001272196</v>
      </c>
      <c r="D235" s="88">
        <f>IF($F235="","",'הזנה לתנאי סף'!E235)</f>
        <v>40578853</v>
      </c>
      <c r="E235" s="88">
        <f>IF($F235="","",'הזנה לתנאי סף'!F235)</f>
        <v>20000159</v>
      </c>
      <c r="F235" s="88" t="str">
        <f>IF(OR('הזנה לתנאי סף'!G235="",'הזנה לתנאי סף'!BL235&lt;&gt;1),"",'הזנה לתנאי סף'!G235)</f>
        <v>ירושלים</v>
      </c>
      <c r="G235" s="88" t="str">
        <f>IF($F235="","",'הזנה לתנאי סף'!H235)</f>
        <v>להקת הפלמנקו רמנגאר בע"מ חברה לתועל</v>
      </c>
      <c r="H235" s="88" t="str">
        <f>IF($F235="","",'הזנה לתנאי סף'!I235)</f>
        <v>אחר</v>
      </c>
      <c r="I235" s="109">
        <v>277231</v>
      </c>
      <c r="J235" s="213">
        <f>IF($F235="","",'הזנה לתנאי סף'!S235)</f>
        <v>290412</v>
      </c>
      <c r="K235" s="109">
        <v>0</v>
      </c>
      <c r="L235" s="213">
        <f t="shared" si="34"/>
        <v>567643</v>
      </c>
      <c r="M235" s="213">
        <f>IF($F235="","",IF(L235='הזנה לתנאי סף'!R235,1,0))</f>
        <v>1</v>
      </c>
      <c r="N235" s="214">
        <f t="shared" si="35"/>
        <v>0.48838970972953072</v>
      </c>
      <c r="O235" s="214">
        <f t="shared" si="44"/>
        <v>0.51161029027046934</v>
      </c>
      <c r="P235" s="109">
        <v>476098</v>
      </c>
      <c r="Q235" s="213">
        <f>IF($F235="","",IFERROR(IF(P235&gt;0,'פרמטרים לקריטריונים'!$C$25*P235*O235,$AG$2),""))</f>
        <v>73072.990793156976</v>
      </c>
      <c r="R235" s="213">
        <f>IF($F235="","",IFERROR('פרמטרים לקריטריונים'!$C$26*Q235,""))</f>
        <v>17968.768227825487</v>
      </c>
      <c r="S235" s="214">
        <f t="shared" si="36"/>
        <v>2.6629991032018003E-4</v>
      </c>
      <c r="T235" s="213">
        <f t="shared" si="37"/>
        <v>13314.995516009001</v>
      </c>
      <c r="U235" s="213">
        <f>IF($F235="","",'הזנה לתנאי סף'!N235)</f>
        <v>1</v>
      </c>
      <c r="V235" s="213">
        <f>IF($F235="","",'הזנה לתנאי סף'!O235)</f>
        <v>1</v>
      </c>
      <c r="W235" s="109"/>
      <c r="X235" s="109"/>
      <c r="Y235" s="109"/>
      <c r="Z235" s="214" t="str">
        <f t="shared" si="38"/>
        <v>בדוק נתוני הזנה</v>
      </c>
      <c r="AA235" s="213" t="str">
        <f>IF(OR($F235="",V235=0),"",IF(V235=1,IF(COUNTBLANK(W235:X235)&gt;0,$AG$2,IF(OR(Z235&lt;='פרמטרים לקריטריונים'!$C$27,X235&gt;W235),"",X235-W235))))</f>
        <v>בדוק נתוני הזנה</v>
      </c>
      <c r="AB235" s="214">
        <f t="shared" si="42"/>
        <v>1</v>
      </c>
      <c r="AC235" s="225" t="str">
        <f>IF(OR(AB235="",U235=1),"",IF(OR(COUNTBLANK(W235:Y235)&gt;0,AB235&gt;='פרמטרים לקריטריונים'!$E$54),'פרמטרים לקריטריונים'!$F$54,INDEX('פרמטרים לקריטריונים'!$F$49:$F$54,MATCH(AB235,'פרמטרים לקריטריונים'!$E$49:$E$54,1))))</f>
        <v/>
      </c>
      <c r="AD235" s="213" t="str">
        <f t="shared" si="39"/>
        <v/>
      </c>
      <c r="AE235" s="213">
        <f t="shared" si="40"/>
        <v>13314.995516009001</v>
      </c>
      <c r="AG235" s="175">
        <f t="shared" si="43"/>
        <v>1</v>
      </c>
    </row>
    <row r="236" spans="1:33" ht="15.75" x14ac:dyDescent="0.2">
      <c r="A236" s="206">
        <f t="shared" si="41"/>
        <v>206</v>
      </c>
      <c r="B236" s="88">
        <f>IF($F236="","",'הזנה לתנאי סף'!C236)</f>
        <v>1001346679</v>
      </c>
      <c r="C236" s="88">
        <f>IF($F236="","",'הזנה לתנאי סף'!D236)</f>
        <v>1001266776</v>
      </c>
      <c r="D236" s="88">
        <f>IF($F236="","",'הזנה לתנאי סף'!E236)</f>
        <v>40819694</v>
      </c>
      <c r="E236" s="88">
        <f>IF($F236="","",'הזנה לתנאי סף'!F236)</f>
        <v>20000182</v>
      </c>
      <c r="F236" s="88" t="str">
        <f>IF(OR('הזנה לתנאי סף'!G236="",'הזנה לתנאי סף'!BL236&lt;&gt;1),"",'הזנה לתנאי סף'!G236)</f>
        <v>חיפה</v>
      </c>
      <c r="G236" s="88" t="str">
        <f>IF($F236="","",'הזנה לתנאי סף'!H236)</f>
        <v>בית 9 - בית ספר ובית יוצר לתיאטרון</v>
      </c>
      <c r="H236" s="88" t="str">
        <f>IF($F236="","",'הזנה לתנאי סף'!I236)</f>
        <v>בתי ספר לבובות</v>
      </c>
      <c r="I236" s="109">
        <v>44722</v>
      </c>
      <c r="J236" s="213">
        <f>IF($F236="","",'הזנה לתנאי סף'!S236)</f>
        <v>168530</v>
      </c>
      <c r="K236" s="109">
        <v>0</v>
      </c>
      <c r="L236" s="213">
        <f t="shared" si="34"/>
        <v>213252</v>
      </c>
      <c r="M236" s="213">
        <f>IF($F236="","",IF(L236='הזנה לתנאי סף'!R236,1,0))</f>
        <v>1</v>
      </c>
      <c r="N236" s="214">
        <f t="shared" si="35"/>
        <v>0.20971432858777408</v>
      </c>
      <c r="O236" s="214">
        <f t="shared" si="44"/>
        <v>0.79028567141222594</v>
      </c>
      <c r="P236" s="109">
        <v>225221</v>
      </c>
      <c r="Q236" s="213">
        <f>IF($F236="","",IFERROR(IF(P236&gt;0,'פרמטרים לקריטריונים'!$C$25*P236*O236,$AG$2),""))</f>
        <v>53396.678760339884</v>
      </c>
      <c r="R236" s="213">
        <f>IF($F236="","",IFERROR('פרמטרים לקריטריונים'!$C$26*Q236,""))</f>
        <v>13130.330842706529</v>
      </c>
      <c r="S236" s="214">
        <f t="shared" si="36"/>
        <v>1.9459352369364882E-4</v>
      </c>
      <c r="T236" s="213">
        <f t="shared" si="37"/>
        <v>9729.6761846824411</v>
      </c>
      <c r="U236" s="213">
        <f>IF($F236="","",'הזנה לתנאי סף'!N236)</f>
        <v>1</v>
      </c>
      <c r="V236" s="213">
        <f>IF($F236="","",'הזנה לתנאי סף'!O236)</f>
        <v>1</v>
      </c>
      <c r="W236" s="109"/>
      <c r="X236" s="109"/>
      <c r="Y236" s="109"/>
      <c r="Z236" s="214" t="str">
        <f t="shared" si="38"/>
        <v>בדוק נתוני הזנה</v>
      </c>
      <c r="AA236" s="213" t="str">
        <f>IF(OR($F236="",V236=0),"",IF(V236=1,IF(COUNTBLANK(W236:X236)&gt;0,$AG$2,IF(OR(Z236&lt;='פרמטרים לקריטריונים'!$C$27,X236&gt;W236),"",X236-W236))))</f>
        <v>בדוק נתוני הזנה</v>
      </c>
      <c r="AB236" s="214">
        <f t="shared" si="42"/>
        <v>1</v>
      </c>
      <c r="AC236" s="225" t="str">
        <f>IF(OR(AB236="",U236=1),"",IF(OR(COUNTBLANK(W236:Y236)&gt;0,AB236&gt;='פרמטרים לקריטריונים'!$E$54),'פרמטרים לקריטריונים'!$F$54,INDEX('פרמטרים לקריטריונים'!$F$49:$F$54,MATCH(AB236,'פרמטרים לקריטריונים'!$E$49:$E$54,1))))</f>
        <v/>
      </c>
      <c r="AD236" s="213" t="str">
        <f t="shared" si="39"/>
        <v/>
      </c>
      <c r="AE236" s="213">
        <f t="shared" si="40"/>
        <v>9729.6761846824411</v>
      </c>
      <c r="AG236" s="175">
        <f t="shared" si="43"/>
        <v>1</v>
      </c>
    </row>
    <row r="237" spans="1:33" ht="15.75" x14ac:dyDescent="0.2">
      <c r="A237" s="206">
        <f t="shared" si="41"/>
        <v>207</v>
      </c>
      <c r="B237" s="88">
        <f>IF($F237="","",'הזנה לתנאי סף'!C237)</f>
        <v>1001350744</v>
      </c>
      <c r="C237" s="88">
        <f>IF($F237="","",'הזנה לתנאי סף'!D237)</f>
        <v>1001280342</v>
      </c>
      <c r="D237" s="88">
        <f>IF($F237="","",'הזנה לתנאי סף'!E237)</f>
        <v>40820736</v>
      </c>
      <c r="E237" s="88">
        <f>IF($F237="","",'הזנה לתנאי סף'!F237)</f>
        <v>20000201</v>
      </c>
      <c r="F237" s="88" t="str">
        <f>IF(OR('הזנה לתנאי סף'!G237="",'הזנה לתנאי סף'!BL237&lt;&gt;1),"",'הזנה לתנאי סף'!G237)</f>
        <v>תל אביב -יפו</v>
      </c>
      <c r="G237" s="88" t="str">
        <f>IF($F237="","",'הזנה לתנאי סף'!H237)</f>
        <v>התיאטרון הלאומי הבימה בע"מ(חל"צ)</v>
      </c>
      <c r="H237" s="88" t="str">
        <f>IF($F237="","",'הזנה לתנאי סף'!I237)</f>
        <v>תיאטרון</v>
      </c>
      <c r="I237" s="109">
        <v>18957000</v>
      </c>
      <c r="J237" s="213">
        <f>IF($F237="","",'הזנה לתנאי סף'!S237)</f>
        <v>60235000</v>
      </c>
      <c r="K237" s="109">
        <v>0</v>
      </c>
      <c r="L237" s="213">
        <f t="shared" si="34"/>
        <v>79192000</v>
      </c>
      <c r="M237" s="213">
        <f>IF($F237="","",IF(L237='הזנה לתנאי סף'!R237,1,0))</f>
        <v>1</v>
      </c>
      <c r="N237" s="214">
        <f t="shared" si="35"/>
        <v>0.23938024042832609</v>
      </c>
      <c r="O237" s="214">
        <f t="shared" si="44"/>
        <v>0.76061975957167394</v>
      </c>
      <c r="P237" s="109">
        <v>90371000</v>
      </c>
      <c r="Q237" s="213">
        <f>IF($F237="","",IFERROR(IF(P237&gt;0,'פרמטרים לקריטריונים'!$C$25*P237*O237,$AG$2),""))</f>
        <v>20621390.487675525</v>
      </c>
      <c r="R237" s="213">
        <f>IF($F237="","",IFERROR('פרמטרים לקריטריונים'!$C$26*Q237,""))</f>
        <v>5070833.7264775885</v>
      </c>
      <c r="S237" s="214">
        <f t="shared" si="36"/>
        <v>7.515053616855194E-2</v>
      </c>
      <c r="T237" s="213">
        <f t="shared" si="37"/>
        <v>3757526.8084275969</v>
      </c>
      <c r="U237" s="213">
        <f>IF($F237="","",'הזנה לתנאי סף'!N237)</f>
        <v>0</v>
      </c>
      <c r="V237" s="213">
        <f>IF($F237="","",'הזנה לתנאי סף'!O237)</f>
        <v>1</v>
      </c>
      <c r="W237" s="109">
        <v>0</v>
      </c>
      <c r="X237" s="109">
        <v>0</v>
      </c>
      <c r="Y237" s="109">
        <v>1</v>
      </c>
      <c r="Z237" s="214">
        <f t="shared" si="38"/>
        <v>0</v>
      </c>
      <c r="AA237" s="213" t="str">
        <f>IF(OR($F237="",V237=0),"",IF(V237=1,IF(COUNTBLANK(W237:X237)&gt;0,$AG$2,IF(OR(Z237&lt;='פרמטרים לקריטריונים'!$C$27,X237&gt;W237),"",X237-W237))))</f>
        <v/>
      </c>
      <c r="AB237" s="214" t="str">
        <f t="shared" si="42"/>
        <v/>
      </c>
      <c r="AC237" s="225" t="str">
        <f>IF(OR(AB237="",U237=1),"",IF(OR(COUNTBLANK(W237:Y237)&gt;0,AB237&gt;='פרמטרים לקריטריונים'!$E$54),'פרמטרים לקריטריונים'!$F$54,INDEX('פרמטרים לקריטריונים'!$F$49:$F$54,MATCH(AB237,'פרמטרים לקריטריונים'!$E$49:$E$54,1))))</f>
        <v/>
      </c>
      <c r="AD237" s="213" t="str">
        <f t="shared" si="39"/>
        <v/>
      </c>
      <c r="AE237" s="213">
        <f t="shared" si="40"/>
        <v>3757526.8084275969</v>
      </c>
      <c r="AG237" s="175">
        <f t="shared" si="43"/>
        <v>0</v>
      </c>
    </row>
    <row r="238" spans="1:33" ht="15.75" x14ac:dyDescent="0.2">
      <c r="A238" s="206">
        <f t="shared" si="41"/>
        <v>208</v>
      </c>
      <c r="B238" s="88">
        <f>IF($F238="","",'הזנה לתנאי סף'!C238)</f>
        <v>1001348658</v>
      </c>
      <c r="C238" s="88">
        <f>IF($F238="","",'הזנה לתנאי סף'!D238)</f>
        <v>1001280645</v>
      </c>
      <c r="D238" s="88">
        <f>IF($F238="","",'הזנה לתנאי סף'!E238)</f>
        <v>41085342</v>
      </c>
      <c r="E238" s="88">
        <f>IF($F238="","",'הזנה לתנאי סף'!F238)</f>
        <v>20000254</v>
      </c>
      <c r="F238" s="88" t="str">
        <f>IF(OR('הזנה לתנאי סף'!G238="",'הזנה לתנאי סף'!BL238&lt;&gt;1),"",'הזנה לתנאי סף'!G238)</f>
        <v>באר שבע</v>
      </c>
      <c r="G238" s="88" t="str">
        <f>IF($F238="","",'הזנה לתנאי סף'!H238)</f>
        <v>סאנאם (ע"ר)</v>
      </c>
      <c r="H238" s="88" t="str">
        <f>IF($F238="","",'הזנה לתנאי סף'!I238)</f>
        <v>אחר</v>
      </c>
      <c r="I238" s="109">
        <v>520947</v>
      </c>
      <c r="J238" s="213">
        <f>IF($F238="","",'הזנה לתנאי סף'!S238)</f>
        <v>335945</v>
      </c>
      <c r="K238" s="109">
        <v>225000</v>
      </c>
      <c r="L238" s="213">
        <f t="shared" si="34"/>
        <v>1081892</v>
      </c>
      <c r="M238" s="213">
        <f>IF($F238="","",IF(L238='הזנה לתנאי סף'!R238,1,0))</f>
        <v>1</v>
      </c>
      <c r="N238" s="214">
        <f t="shared" si="35"/>
        <v>0.48151479075545434</v>
      </c>
      <c r="O238" s="214">
        <f t="shared" si="44"/>
        <v>0.51848520924454566</v>
      </c>
      <c r="P238" s="109">
        <v>858665</v>
      </c>
      <c r="Q238" s="213">
        <f>IF($F238="","",IFERROR(IF(P238&gt;0,'פרמטרים לקריטריונים'!$C$25*P238*O238,$AG$2),""))</f>
        <v>133561.53065879035</v>
      </c>
      <c r="R238" s="213">
        <f>IF($F238="","",IFERROR('פרמטרים לקריטריונים'!$C$26*Q238,""))</f>
        <v>32842.999342325493</v>
      </c>
      <c r="S238" s="214">
        <f t="shared" si="36"/>
        <v>4.8673830440771563E-4</v>
      </c>
      <c r="T238" s="213">
        <f t="shared" si="37"/>
        <v>24336.915220385781</v>
      </c>
      <c r="U238" s="213">
        <f>IF($F238="","",'הזנה לתנאי סף'!N238)</f>
        <v>0</v>
      </c>
      <c r="V238" s="213">
        <f>IF($F238="","",'הזנה לתנאי סף'!O238)</f>
        <v>1</v>
      </c>
      <c r="W238" s="109">
        <v>0</v>
      </c>
      <c r="X238" s="109">
        <v>0</v>
      </c>
      <c r="Y238" s="109">
        <v>1</v>
      </c>
      <c r="Z238" s="214">
        <f t="shared" si="38"/>
        <v>0</v>
      </c>
      <c r="AA238" s="213" t="str">
        <f>IF(OR($F238="",V238=0),"",IF(V238=1,IF(COUNTBLANK(W238:X238)&gt;0,$AG$2,IF(OR(Z238&lt;='פרמטרים לקריטריונים'!$C$27,X238&gt;W238),"",X238-W238))))</f>
        <v/>
      </c>
      <c r="AB238" s="214" t="str">
        <f t="shared" si="42"/>
        <v/>
      </c>
      <c r="AC238" s="225" t="str">
        <f>IF(OR(AB238="",U238=1),"",IF(OR(COUNTBLANK(W238:Y238)&gt;0,AB238&gt;='פרמטרים לקריטריונים'!$E$54),'פרמטרים לקריטריונים'!$F$54,INDEX('פרמטרים לקריטריונים'!$F$49:$F$54,MATCH(AB238,'פרמטרים לקריטריונים'!$E$49:$E$54,1))))</f>
        <v/>
      </c>
      <c r="AD238" s="213" t="str">
        <f t="shared" si="39"/>
        <v/>
      </c>
      <c r="AE238" s="213">
        <f t="shared" si="40"/>
        <v>24336.915220385781</v>
      </c>
      <c r="AG238" s="175">
        <f t="shared" si="43"/>
        <v>0</v>
      </c>
    </row>
    <row r="239" spans="1:33" ht="15.75" x14ac:dyDescent="0.2">
      <c r="A239" s="206">
        <f t="shared" si="41"/>
        <v>209</v>
      </c>
      <c r="B239" s="88">
        <f>IF($F239="","",'הזנה לתנאי סף'!C239)</f>
        <v>1001350449</v>
      </c>
      <c r="C239" s="88">
        <f>IF($F239="","",'הזנה לתנאי סף'!D239)</f>
        <v>1001280646</v>
      </c>
      <c r="D239" s="88">
        <f>IF($F239="","",'הזנה לתנאי סף'!E239)</f>
        <v>41090413</v>
      </c>
      <c r="E239" s="88">
        <f>IF($F239="","",'הזנה לתנאי סף'!F239)</f>
        <v>20000159</v>
      </c>
      <c r="F239" s="88" t="str">
        <f>IF(OR('הזנה לתנאי סף'!G239="",'הזנה לתנאי סף'!BL239&lt;&gt;1),"",'הזנה לתנאי סף'!G239)</f>
        <v>ירושלים</v>
      </c>
      <c r="G239" s="88" t="str">
        <f>IF($F239="","",'הזנה לתנאי סף'!H239)</f>
        <v>תיאטרון נקודה טובה (ע"ר)</v>
      </c>
      <c r="H239" s="88" t="str">
        <f>IF($F239="","",'הזנה לתנאי סף'!I239)</f>
        <v>תיאטרון</v>
      </c>
      <c r="I239" s="109">
        <v>170215</v>
      </c>
      <c r="J239" s="213">
        <f>IF($F239="","",'הזנה לתנאי סף'!S239)</f>
        <v>1556408</v>
      </c>
      <c r="K239" s="109">
        <v>0</v>
      </c>
      <c r="L239" s="213">
        <f t="shared" si="34"/>
        <v>1726623</v>
      </c>
      <c r="M239" s="213">
        <f>IF($F239="","",IF(L239='הזנה לתנאי סף'!R239,1,0))</f>
        <v>1</v>
      </c>
      <c r="N239" s="214">
        <f t="shared" si="35"/>
        <v>9.8582608942426916E-2</v>
      </c>
      <c r="O239" s="214">
        <f t="shared" si="44"/>
        <v>0.90141739105757313</v>
      </c>
      <c r="P239" s="109">
        <v>1982849</v>
      </c>
      <c r="Q239" s="213">
        <f>IF($F239="","",IFERROR(IF(P239&gt;0,'פרמטרים לקריטריונים'!$C$25*P239*O239,$AG$2),""))</f>
        <v>536212.3717323353</v>
      </c>
      <c r="R239" s="213">
        <f>IF($F239="","",IFERROR('פרמטרים לקריטריונים'!$C$26*Q239,""))</f>
        <v>131855.50124565623</v>
      </c>
      <c r="S239" s="214">
        <f t="shared" si="36"/>
        <v>1.9541188194840387E-3</v>
      </c>
      <c r="T239" s="213">
        <f t="shared" si="37"/>
        <v>97705.940974201934</v>
      </c>
      <c r="U239" s="213">
        <f>IF($F239="","",'הזנה לתנאי סף'!N239)</f>
        <v>1</v>
      </c>
      <c r="V239" s="213">
        <f>IF($F239="","",'הזנה לתנאי סף'!O239)</f>
        <v>1</v>
      </c>
      <c r="W239" s="109"/>
      <c r="X239" s="109"/>
      <c r="Y239" s="109"/>
      <c r="Z239" s="214" t="str">
        <f t="shared" si="38"/>
        <v>בדוק נתוני הזנה</v>
      </c>
      <c r="AA239" s="213" t="str">
        <f>IF(OR($F239="",V239=0),"",IF(V239=1,IF(COUNTBLANK(W239:X239)&gt;0,$AG$2,IF(OR(Z239&lt;='פרמטרים לקריטריונים'!$C$27,X239&gt;W239),"",X239-W239))))</f>
        <v>בדוק נתוני הזנה</v>
      </c>
      <c r="AB239" s="214">
        <f t="shared" si="42"/>
        <v>0</v>
      </c>
      <c r="AC239" s="225" t="str">
        <f>IF(OR(AB239="",U239=1),"",IF(OR(COUNTBLANK(W239:Y239)&gt;0,AB239&gt;='פרמטרים לקריטריונים'!$E$54),'פרמטרים לקריטריונים'!$F$54,INDEX('פרמטרים לקריטריונים'!$F$49:$F$54,MATCH(AB239,'פרמטרים לקריטריונים'!$E$49:$E$54,1))))</f>
        <v/>
      </c>
      <c r="AD239" s="213" t="str">
        <f t="shared" si="39"/>
        <v/>
      </c>
      <c r="AE239" s="213">
        <f t="shared" si="40"/>
        <v>97705.940974201934</v>
      </c>
      <c r="AG239" s="175">
        <f t="shared" si="43"/>
        <v>1</v>
      </c>
    </row>
    <row r="240" spans="1:33" ht="15.75" x14ac:dyDescent="0.2">
      <c r="A240" s="206">
        <f t="shared" si="41"/>
        <v>210</v>
      </c>
      <c r="B240" s="88">
        <f>IF($F240="","",'הזנה לתנאי סף'!C240)</f>
        <v>1001347310</v>
      </c>
      <c r="C240" s="88">
        <f>IF($F240="","",'הזנה לתנאי סף'!D240)</f>
        <v>1001270285</v>
      </c>
      <c r="D240" s="88">
        <f>IF($F240="","",'הזנה לתנאי סף'!E240)</f>
        <v>41107963</v>
      </c>
      <c r="E240" s="88">
        <f>IF($F240="","",'הזנה לתנאי סף'!F240)</f>
        <v>20000201</v>
      </c>
      <c r="F240" s="88" t="str">
        <f>IF(OR('הזנה לתנאי סף'!G240="",'הזנה לתנאי סף'!BL240&lt;&gt;1),"",'הזנה לתנאי סף'!G240)</f>
        <v>תל אביב -יפו</v>
      </c>
      <c r="G240" s="88" t="str">
        <f>IF($F240="","",'הזנה לתנאי סף'!H240)</f>
        <v>עלילה מקומית, עמותה רשומה</v>
      </c>
      <c r="H240" s="88" t="str">
        <f>IF($F240="","",'הזנה לתנאי סף'!I240)</f>
        <v>תיאטרון</v>
      </c>
      <c r="I240" s="109">
        <v>1072330</v>
      </c>
      <c r="J240" s="213">
        <f>IF($F240="","",'הזנה לתנאי סף'!S240)</f>
        <v>417819</v>
      </c>
      <c r="K240" s="109">
        <v>0</v>
      </c>
      <c r="L240" s="213">
        <f t="shared" si="34"/>
        <v>1490149</v>
      </c>
      <c r="M240" s="213">
        <f>IF($F240="","",IF(L240='הזנה לתנאי סף'!R240,1,0))</f>
        <v>1</v>
      </c>
      <c r="N240" s="214">
        <f t="shared" si="35"/>
        <v>0.71961260249813941</v>
      </c>
      <c r="O240" s="214">
        <f t="shared" si="44"/>
        <v>0.28038739750186059</v>
      </c>
      <c r="P240" s="109">
        <v>1551534</v>
      </c>
      <c r="Q240" s="213">
        <f>IF($F240="","",IFERROR(IF(P240&gt;0,'פרמטרים לקריטריונים'!$C$25*P240*O240,$AG$2),""))</f>
        <v>130509.17411869553</v>
      </c>
      <c r="R240" s="213">
        <f>IF($F240="","",IFERROR('פרמטרים לקריטריונים'!$C$26*Q240,""))</f>
        <v>32092.419865252999</v>
      </c>
      <c r="S240" s="214">
        <f t="shared" si="36"/>
        <v>4.7561460105207602E-4</v>
      </c>
      <c r="T240" s="213">
        <f t="shared" si="37"/>
        <v>23780.730052603802</v>
      </c>
      <c r="U240" s="213">
        <f>IF($F240="","",'הזנה לתנאי סף'!N240)</f>
        <v>1</v>
      </c>
      <c r="V240" s="213">
        <f>IF($F240="","",'הזנה לתנאי סף'!O240)</f>
        <v>1</v>
      </c>
      <c r="W240" s="109"/>
      <c r="X240" s="109"/>
      <c r="Y240" s="109"/>
      <c r="Z240" s="214" t="str">
        <f t="shared" si="38"/>
        <v>בדוק נתוני הזנה</v>
      </c>
      <c r="AA240" s="213" t="str">
        <f>IF(OR($F240="",V240=0),"",IF(V240=1,IF(COUNTBLANK(W240:X240)&gt;0,$AG$2,IF(OR(Z240&lt;='פרמטרים לקריטריונים'!$C$27,X240&gt;W240),"",X240-W240))))</f>
        <v>בדוק נתוני הזנה</v>
      </c>
      <c r="AB240" s="214">
        <f t="shared" si="42"/>
        <v>1</v>
      </c>
      <c r="AC240" s="225" t="str">
        <f>IF(OR(AB240="",U240=1),"",IF(OR(COUNTBLANK(W240:Y240)&gt;0,AB240&gt;='פרמטרים לקריטריונים'!$E$54),'פרמטרים לקריטריונים'!$F$54,INDEX('פרמטרים לקריטריונים'!$F$49:$F$54,MATCH(AB240,'פרמטרים לקריטריונים'!$E$49:$E$54,1))))</f>
        <v/>
      </c>
      <c r="AD240" s="213" t="str">
        <f t="shared" si="39"/>
        <v/>
      </c>
      <c r="AE240" s="213">
        <f t="shared" si="40"/>
        <v>23780.730052603802</v>
      </c>
      <c r="AG240" s="175">
        <f t="shared" si="43"/>
        <v>1</v>
      </c>
    </row>
    <row r="241" spans="1:33" ht="15.75" x14ac:dyDescent="0.2">
      <c r="A241" s="206">
        <f t="shared" si="41"/>
        <v>211</v>
      </c>
      <c r="B241" s="88">
        <f>IF($F241="","",'הזנה לתנאי סף'!C241)</f>
        <v>1001350115</v>
      </c>
      <c r="C241" s="88">
        <f>IF($F241="","",'הזנה לתנאי סף'!D241)</f>
        <v>1001272277</v>
      </c>
      <c r="D241" s="88">
        <f>IF($F241="","",'הזנה לתנאי סף'!E241)</f>
        <v>41109519</v>
      </c>
      <c r="E241" s="88">
        <f>IF($F241="","",'הזנה לתנאי סף'!F241)</f>
        <v>20000159</v>
      </c>
      <c r="F241" s="88" t="str">
        <f>IF(OR('הזנה לתנאי סף'!G241="",'הזנה לתנאי סף'!BL241&lt;&gt;1),"",'הזנה לתנאי סף'!G241)</f>
        <v>ירושלים</v>
      </c>
      <c r="G241" s="88" t="str">
        <f>IF($F241="","",'הזנה לתנאי סף'!H241)</f>
        <v>עמותת תיאטרון קומקום (ע"ר)</v>
      </c>
      <c r="H241" s="88" t="str">
        <f>IF($F241="","",'הזנה לתנאי סף'!I241)</f>
        <v>תיאטרון</v>
      </c>
      <c r="I241" s="109">
        <v>457705</v>
      </c>
      <c r="J241" s="213">
        <f>IF($F241="","",'הזנה לתנאי סף'!S241)</f>
        <v>398342</v>
      </c>
      <c r="K241" s="109">
        <v>190582</v>
      </c>
      <c r="L241" s="213">
        <f t="shared" si="34"/>
        <v>1046629</v>
      </c>
      <c r="M241" s="213">
        <f>IF($F241="","",IF(L241='הזנה לתנאי סף'!R241,1,0))</f>
        <v>1</v>
      </c>
      <c r="N241" s="214">
        <f t="shared" si="35"/>
        <v>0.4373135084160672</v>
      </c>
      <c r="O241" s="214">
        <f t="shared" si="44"/>
        <v>0.5626864915839328</v>
      </c>
      <c r="P241" s="109">
        <v>675838</v>
      </c>
      <c r="Q241" s="213">
        <f>IF($F241="","",IFERROR(IF(P241&gt;0,'פרמטרים לקריטריונים'!$C$25*P241*O241,$AG$2),""))</f>
        <v>114085.47392973059</v>
      </c>
      <c r="R241" s="213">
        <f>IF($F241="","",IFERROR('פרמטרים לקריטריונים'!$C$26*Q241,""))</f>
        <v>28053.805064687851</v>
      </c>
      <c r="S241" s="214">
        <f t="shared" si="36"/>
        <v>4.1576170821199725E-4</v>
      </c>
      <c r="T241" s="213">
        <f t="shared" si="37"/>
        <v>20788.085410599862</v>
      </c>
      <c r="U241" s="213">
        <f>IF($F241="","",'הזנה לתנאי סף'!N241)</f>
        <v>1</v>
      </c>
      <c r="V241" s="213">
        <f>IF($F241="","",'הזנה לתנאי סף'!O241)</f>
        <v>1</v>
      </c>
      <c r="W241" s="109"/>
      <c r="X241" s="109"/>
      <c r="Y241" s="109"/>
      <c r="Z241" s="214" t="str">
        <f t="shared" si="38"/>
        <v>בדוק נתוני הזנה</v>
      </c>
      <c r="AA241" s="213" t="str">
        <f>IF(OR($F241="",V241=0),"",IF(V241=1,IF(COUNTBLANK(W241:X241)&gt;0,$AG$2,IF(OR(Z241&lt;='פרמטרים לקריטריונים'!$C$27,X241&gt;W241),"",X241-W241))))</f>
        <v>בדוק נתוני הזנה</v>
      </c>
      <c r="AB241" s="214">
        <f t="shared" si="42"/>
        <v>0</v>
      </c>
      <c r="AC241" s="225" t="str">
        <f>IF(OR(AB241="",U241=1),"",IF(OR(COUNTBLANK(W241:Y241)&gt;0,AB241&gt;='פרמטרים לקריטריונים'!$E$54),'פרמטרים לקריטריונים'!$F$54,INDEX('פרמטרים לקריטריונים'!$F$49:$F$54,MATCH(AB241,'פרמטרים לקריטריונים'!$E$49:$E$54,1))))</f>
        <v/>
      </c>
      <c r="AD241" s="213" t="str">
        <f t="shared" si="39"/>
        <v/>
      </c>
      <c r="AE241" s="213">
        <f t="shared" si="40"/>
        <v>20788.085410599862</v>
      </c>
      <c r="AG241" s="175">
        <f t="shared" si="43"/>
        <v>1</v>
      </c>
    </row>
    <row r="242" spans="1:33" ht="15.75" x14ac:dyDescent="0.2">
      <c r="A242" s="206">
        <f t="shared" si="41"/>
        <v>212</v>
      </c>
      <c r="B242" s="88">
        <f>IF($F242="","",'הזנה לתנאי סף'!C242)</f>
        <v>1001348412</v>
      </c>
      <c r="C242" s="88">
        <f>IF($F242="","",'הזנה לתנאי סף'!D242)</f>
        <v>1001275936</v>
      </c>
      <c r="D242" s="88">
        <f>IF($F242="","",'הזנה לתנאי סף'!E242)</f>
        <v>41375155</v>
      </c>
      <c r="E242" s="88">
        <f>IF($F242="","",'הזנה לתנאי סף'!F242)</f>
        <v>20000159</v>
      </c>
      <c r="F242" s="88" t="str">
        <f>IF(OR('הזנה לתנאי סף'!G242="",'הזנה לתנאי סף'!BL242&lt;&gt;1),"",'הזנה לתנאי סף'!G242)</f>
        <v>ירושלים</v>
      </c>
      <c r="G242" s="88" t="str">
        <f>IF($F242="","",'הזנה לתנאי סף'!H242)</f>
        <v>כביש אחד (ע"ר)</v>
      </c>
      <c r="H242" s="88" t="str">
        <f>IF($F242="","",'הזנה לתנאי סף'!I242)</f>
        <v>ספרות</v>
      </c>
      <c r="I242" s="109">
        <v>75223</v>
      </c>
      <c r="J242" s="213">
        <f>IF($F242="","",'הזנה לתנאי סף'!S242)</f>
        <v>53648</v>
      </c>
      <c r="K242" s="109">
        <v>0</v>
      </c>
      <c r="L242" s="213">
        <f t="shared" si="34"/>
        <v>128871</v>
      </c>
      <c r="M242" s="213">
        <f>IF($F242="","",IF(L242='הזנה לתנאי סף'!R242,1,0))</f>
        <v>1</v>
      </c>
      <c r="N242" s="214">
        <f t="shared" si="35"/>
        <v>0.58370773874649839</v>
      </c>
      <c r="O242" s="214">
        <f t="shared" si="44"/>
        <v>0.41629226125350161</v>
      </c>
      <c r="P242" s="109">
        <v>154881</v>
      </c>
      <c r="Q242" s="213">
        <f>IF($F242="","",IFERROR(IF(P242&gt;0,'פרמטרים לקריטריונים'!$C$25*P242*O242,$AG$2),""))</f>
        <v>19342.728514561073</v>
      </c>
      <c r="R242" s="213">
        <f>IF($F242="","",IFERROR('פרמטרים לקריטריונים'!$C$26*Q242,""))</f>
        <v>4756.4086511215755</v>
      </c>
      <c r="S242" s="214">
        <f t="shared" si="36"/>
        <v>7.0490708165424817E-5</v>
      </c>
      <c r="T242" s="213">
        <f t="shared" si="37"/>
        <v>3524.5354082712411</v>
      </c>
      <c r="U242" s="213">
        <f>IF($F242="","",'הזנה לתנאי סף'!N242)</f>
        <v>1</v>
      </c>
      <c r="V242" s="213">
        <f>IF($F242="","",'הזנה לתנאי סף'!O242)</f>
        <v>1</v>
      </c>
      <c r="W242" s="109"/>
      <c r="X242" s="109"/>
      <c r="Y242" s="109"/>
      <c r="Z242" s="214" t="str">
        <f t="shared" si="38"/>
        <v>בדוק נתוני הזנה</v>
      </c>
      <c r="AA242" s="213" t="str">
        <f>IF(OR($F242="",V242=0),"",IF(V242=1,IF(COUNTBLANK(W242:X242)&gt;0,$AG$2,IF(OR(Z242&lt;='פרמטרים לקריטריונים'!$C$27,X242&gt;W242),"",X242-W242))))</f>
        <v>בדוק נתוני הזנה</v>
      </c>
      <c r="AB242" s="214">
        <f t="shared" si="42"/>
        <v>1</v>
      </c>
      <c r="AC242" s="225" t="str">
        <f>IF(OR(AB242="",U242=1),"",IF(OR(COUNTBLANK(W242:Y242)&gt;0,AB242&gt;='פרמטרים לקריטריונים'!$E$54),'פרמטרים לקריטריונים'!$F$54,INDEX('פרמטרים לקריטריונים'!$F$49:$F$54,MATCH(AB242,'פרמטרים לקריטריונים'!$E$49:$E$54,1))))</f>
        <v/>
      </c>
      <c r="AD242" s="213" t="str">
        <f t="shared" si="39"/>
        <v/>
      </c>
      <c r="AE242" s="213">
        <f t="shared" si="40"/>
        <v>3524.5354082712411</v>
      </c>
      <c r="AG242" s="175">
        <f t="shared" si="43"/>
        <v>1</v>
      </c>
    </row>
    <row r="243" spans="1:33" ht="15.75" x14ac:dyDescent="0.2">
      <c r="A243" s="206">
        <f t="shared" si="41"/>
        <v>213</v>
      </c>
      <c r="B243" s="88">
        <f>IF($F243="","",'הזנה לתנאי סף'!C243)</f>
        <v>1001348413</v>
      </c>
      <c r="C243" s="88">
        <f>IF($F243="","",'הזנה לתנאי סף'!D243)</f>
        <v>1001275127</v>
      </c>
      <c r="D243" s="88">
        <f>IF($F243="","",'הזנה לתנאי סף'!E243)</f>
        <v>41375155</v>
      </c>
      <c r="E243" s="88">
        <f>IF($F243="","",'הזנה לתנאי סף'!F243)</f>
        <v>20000159</v>
      </c>
      <c r="F243" s="88" t="str">
        <f>IF(OR('הזנה לתנאי סף'!G243="",'הזנה לתנאי סף'!BL243&lt;&gt;1),"",'הזנה לתנאי סף'!G243)</f>
        <v>ירושלים</v>
      </c>
      <c r="G243" s="88" t="str">
        <f>IF($F243="","",'הזנה לתנאי סף'!H243)</f>
        <v>כביש אחד (ע"ר)</v>
      </c>
      <c r="H243" s="88" t="str">
        <f>IF($F243="","",'הזנה לתנאי סף'!I243)</f>
        <v>אחר</v>
      </c>
      <c r="I243" s="109">
        <v>0</v>
      </c>
      <c r="J243" s="213">
        <f>IF($F243="","",'הזנה לתנאי סף'!S243)</f>
        <v>39910</v>
      </c>
      <c r="K243" s="109">
        <v>0</v>
      </c>
      <c r="L243" s="213">
        <f t="shared" si="34"/>
        <v>39910</v>
      </c>
      <c r="M243" s="213">
        <f>IF($F243="","",IF(L243='הזנה לתנאי סף'!R243,1,0))</f>
        <v>1</v>
      </c>
      <c r="N243" s="214">
        <f t="shared" si="35"/>
        <v>0</v>
      </c>
      <c r="O243" s="214">
        <f t="shared" si="44"/>
        <v>1</v>
      </c>
      <c r="P243" s="109">
        <v>94426</v>
      </c>
      <c r="Q243" s="213">
        <f>IF($F243="","",IFERROR(IF(P243&gt;0,'פרמטרים לקריטריונים'!$C$25*P243*O243,$AG$2),""))</f>
        <v>28327.8</v>
      </c>
      <c r="R243" s="213">
        <f>IF($F243="","",IFERROR('פרמטרים לקריטריונים'!$C$26*Q243,""))</f>
        <v>6965.8524590163934</v>
      </c>
      <c r="S243" s="214">
        <f t="shared" si="36"/>
        <v>1.0323500540605264E-4</v>
      </c>
      <c r="T243" s="213">
        <f t="shared" si="37"/>
        <v>5161.7502703026321</v>
      </c>
      <c r="U243" s="213">
        <f>IF($F243="","",'הזנה לתנאי סף'!N243)</f>
        <v>1</v>
      </c>
      <c r="V243" s="213">
        <f>IF($F243="","",'הזנה לתנאי סף'!O243)</f>
        <v>1</v>
      </c>
      <c r="W243" s="109"/>
      <c r="X243" s="109"/>
      <c r="Y243" s="109"/>
      <c r="Z243" s="214" t="str">
        <f t="shared" si="38"/>
        <v>בדוק נתוני הזנה</v>
      </c>
      <c r="AA243" s="213" t="str">
        <f>IF(OR($F243="",V243=0),"",IF(V243=1,IF(COUNTBLANK(W243:X243)&gt;0,$AG$2,IF(OR(Z243&lt;='פרמטרים לקריטריונים'!$C$27,X243&gt;W243),"",X243-W243))))</f>
        <v>בדוק נתוני הזנה</v>
      </c>
      <c r="AB243" s="214">
        <f t="shared" si="42"/>
        <v>0</v>
      </c>
      <c r="AC243" s="225" t="str">
        <f>IF(OR(AB243="",U243=1),"",IF(OR(COUNTBLANK(W243:Y243)&gt;0,AB243&gt;='פרמטרים לקריטריונים'!$E$54),'פרמטרים לקריטריונים'!$F$54,INDEX('פרמטרים לקריטריונים'!$F$49:$F$54,MATCH(AB243,'פרמטרים לקריטריונים'!$E$49:$E$54,1))))</f>
        <v/>
      </c>
      <c r="AD243" s="213" t="str">
        <f t="shared" si="39"/>
        <v/>
      </c>
      <c r="AE243" s="213">
        <f t="shared" si="40"/>
        <v>5161.7502703026321</v>
      </c>
      <c r="AG243" s="175">
        <f t="shared" si="43"/>
        <v>1</v>
      </c>
    </row>
    <row r="244" spans="1:33" ht="15.75" x14ac:dyDescent="0.2">
      <c r="A244" s="206">
        <f t="shared" si="41"/>
        <v>214</v>
      </c>
      <c r="B244" s="88">
        <f>IF($F244="","",'הזנה לתנאי סף'!C244)</f>
        <v>1001348578</v>
      </c>
      <c r="C244" s="88">
        <f>IF($F244="","",'הזנה לתנאי סף'!D244)</f>
        <v>1001274514</v>
      </c>
      <c r="D244" s="88">
        <f>IF($F244="","",'הזנה לתנאי סף'!E244)</f>
        <v>41375631</v>
      </c>
      <c r="E244" s="88">
        <f>IF($F244="","",'הזנה לתנאי סף'!F244)</f>
        <v>20000065</v>
      </c>
      <c r="F244" s="88" t="str">
        <f>IF(OR('הזנה לתנאי סף'!G244="",'הזנה לתנאי סף'!BL244&lt;&gt;1),"",'הזנה לתנאי סף'!G244)</f>
        <v>עספיא</v>
      </c>
      <c r="G244" s="88" t="str">
        <f>IF($F244="","",'הזנה לתנאי סף'!H244)</f>
        <v>לוגוס לתרבויות ומורשת עמים (ע"ר)</v>
      </c>
      <c r="H244" s="88" t="str">
        <f>IF($F244="","",'הזנה לתנאי סף'!I244)</f>
        <v>אחר</v>
      </c>
      <c r="I244" s="109">
        <v>460433</v>
      </c>
      <c r="J244" s="213">
        <f>IF($F244="","",'הזנה לתנאי סף'!S244)</f>
        <v>713299</v>
      </c>
      <c r="K244" s="109">
        <v>33055</v>
      </c>
      <c r="L244" s="213">
        <f t="shared" si="34"/>
        <v>1206787</v>
      </c>
      <c r="M244" s="213">
        <f>IF($F244="","",IF(L244='הזנה לתנאי סף'!R244,1,0))</f>
        <v>1</v>
      </c>
      <c r="N244" s="214">
        <f t="shared" si="35"/>
        <v>0.38153626116290612</v>
      </c>
      <c r="O244" s="214">
        <f t="shared" si="44"/>
        <v>0.61846373883709393</v>
      </c>
      <c r="P244" s="109">
        <v>1153294</v>
      </c>
      <c r="Q244" s="213">
        <f>IF($F244="","",IFERROR(IF(P244&gt;0,'פרמטרים לקריטריונים'!$C$25*P244*O244,$AG$2),""))</f>
        <v>213981.15576551622</v>
      </c>
      <c r="R244" s="213">
        <f>IF($F244="","",IFERROR('פרמטרים לקריטריונים'!$C$26*Q244,""))</f>
        <v>52618.316991520383</v>
      </c>
      <c r="S244" s="214">
        <f t="shared" si="36"/>
        <v>7.7981155515947096E-4</v>
      </c>
      <c r="T244" s="213">
        <f t="shared" si="37"/>
        <v>38990.577757973551</v>
      </c>
      <c r="U244" s="213">
        <f>IF($F244="","",'הזנה לתנאי סף'!N244)</f>
        <v>0</v>
      </c>
      <c r="V244" s="213">
        <f>IF($F244="","",'הזנה לתנאי סף'!O244)</f>
        <v>1</v>
      </c>
      <c r="W244" s="109">
        <v>0</v>
      </c>
      <c r="X244" s="109">
        <v>0</v>
      </c>
      <c r="Y244" s="109">
        <v>1</v>
      </c>
      <c r="Z244" s="214">
        <f t="shared" si="38"/>
        <v>0</v>
      </c>
      <c r="AA244" s="213" t="str">
        <f>IF(OR($F244="",V244=0),"",IF(V244=1,IF(COUNTBLANK(W244:X244)&gt;0,$AG$2,IF(OR(Z244&lt;='פרמטרים לקריטריונים'!$C$27,X244&gt;W244),"",X244-W244))))</f>
        <v/>
      </c>
      <c r="AB244" s="214" t="str">
        <f t="shared" si="42"/>
        <v/>
      </c>
      <c r="AC244" s="225" t="str">
        <f>IF(OR(AB244="",U244=1),"",IF(OR(COUNTBLANK(W244:Y244)&gt;0,AB244&gt;='פרמטרים לקריטריונים'!$E$54),'פרמטרים לקריטריונים'!$F$54,INDEX('פרמטרים לקריטריונים'!$F$49:$F$54,MATCH(AB244,'פרמטרים לקריטריונים'!$E$49:$E$54,1))))</f>
        <v/>
      </c>
      <c r="AD244" s="213" t="str">
        <f t="shared" si="39"/>
        <v/>
      </c>
      <c r="AE244" s="213">
        <f t="shared" si="40"/>
        <v>38990.577757973551</v>
      </c>
      <c r="AG244" s="175">
        <f t="shared" si="43"/>
        <v>0</v>
      </c>
    </row>
    <row r="245" spans="1:33" ht="15.75" x14ac:dyDescent="0.2">
      <c r="A245" s="206">
        <f t="shared" si="41"/>
        <v>215</v>
      </c>
      <c r="B245" s="88">
        <f>IF($F245="","",'הזנה לתנאי סף'!C245)</f>
        <v>1001349368</v>
      </c>
      <c r="C245" s="88">
        <f>IF($F245="","",'הזנה לתנאי סף'!D245)</f>
        <v>1001275002</v>
      </c>
      <c r="D245" s="88">
        <f>IF($F245="","",'הזנה לתנאי סף'!E245)</f>
        <v>41375631</v>
      </c>
      <c r="E245" s="88">
        <f>IF($F245="","",'הזנה לתנאי סף'!F245)</f>
        <v>20000065</v>
      </c>
      <c r="F245" s="88" t="str">
        <f>IF(OR('הזנה לתנאי סף'!G245="",'הזנה לתנאי סף'!BL245&lt;&gt;1),"",'הזנה לתנאי סף'!G245)</f>
        <v>עספיא</v>
      </c>
      <c r="G245" s="88" t="str">
        <f>IF($F245="","",'הזנה לתנאי סף'!H245)</f>
        <v>לוגוס לתרבויות ומורשת עמים (ע"ר)</v>
      </c>
      <c r="H245" s="88" t="str">
        <f>IF($F245="","",'הזנה לתנאי סף'!I245)</f>
        <v>אחר</v>
      </c>
      <c r="I245" s="109">
        <v>91395</v>
      </c>
      <c r="J245" s="213">
        <f>IF($F245="","",'הזנה לתנאי סף'!S245)</f>
        <v>88000</v>
      </c>
      <c r="K245" s="109">
        <v>130945</v>
      </c>
      <c r="L245" s="213">
        <f t="shared" si="34"/>
        <v>310340</v>
      </c>
      <c r="M245" s="213">
        <f>IF($F245="","",IF(L245='הזנה לתנאי סף'!R245,1,0))</f>
        <v>1</v>
      </c>
      <c r="N245" s="214">
        <f t="shared" si="35"/>
        <v>0.29449958110459495</v>
      </c>
      <c r="O245" s="214">
        <f t="shared" si="44"/>
        <v>0.70550041889540505</v>
      </c>
      <c r="P245" s="109">
        <v>310340</v>
      </c>
      <c r="Q245" s="213">
        <f>IF($F245="","",IFERROR(IF(P245&gt;0,'פרמטרים לקריטריונים'!$C$25*P245*O245,$AG$2),""))</f>
        <v>65683.5</v>
      </c>
      <c r="R245" s="213">
        <f>IF($F245="","",IFERROR('פרמטרים לקריטריונים'!$C$26*Q245,""))</f>
        <v>16151.680327868853</v>
      </c>
      <c r="S245" s="214">
        <f t="shared" si="36"/>
        <v>2.393703880141931E-4</v>
      </c>
      <c r="T245" s="213">
        <f t="shared" si="37"/>
        <v>11968.519400709654</v>
      </c>
      <c r="U245" s="213">
        <f>IF($F245="","",'הזנה לתנאי סף'!N245)</f>
        <v>0</v>
      </c>
      <c r="V245" s="213">
        <f>IF($F245="","",'הזנה לתנאי סף'!O245)</f>
        <v>1</v>
      </c>
      <c r="W245" s="109">
        <v>0</v>
      </c>
      <c r="X245" s="109">
        <v>0</v>
      </c>
      <c r="Y245" s="109">
        <v>1</v>
      </c>
      <c r="Z245" s="214">
        <f t="shared" si="38"/>
        <v>0</v>
      </c>
      <c r="AA245" s="213" t="str">
        <f>IF(OR($F245="",V245=0),"",IF(V245=1,IF(COUNTBLANK(W245:X245)&gt;0,$AG$2,IF(OR(Z245&lt;='פרמטרים לקריטריונים'!$C$27,X245&gt;W245),"",X245-W245))))</f>
        <v/>
      </c>
      <c r="AB245" s="214" t="str">
        <f t="shared" si="42"/>
        <v/>
      </c>
      <c r="AC245" s="225" t="str">
        <f>IF(OR(AB245="",U245=1),"",IF(OR(COUNTBLANK(W245:Y245)&gt;0,AB245&gt;='פרמטרים לקריטריונים'!$E$54),'פרמטרים לקריטריונים'!$F$54,INDEX('פרמטרים לקריטריונים'!$F$49:$F$54,MATCH(AB245,'פרמטרים לקריטריונים'!$E$49:$E$54,1))))</f>
        <v/>
      </c>
      <c r="AD245" s="213" t="str">
        <f t="shared" si="39"/>
        <v/>
      </c>
      <c r="AE245" s="213">
        <f t="shared" si="40"/>
        <v>11968.519400709654</v>
      </c>
      <c r="AG245" s="175">
        <f t="shared" si="43"/>
        <v>0</v>
      </c>
    </row>
    <row r="246" spans="1:33" ht="15.75" x14ac:dyDescent="0.2">
      <c r="A246" s="206">
        <f t="shared" si="41"/>
        <v>216</v>
      </c>
      <c r="B246" s="88">
        <f>IF($F246="","",'הזנה לתנאי סף'!C246)</f>
        <v>1001350100</v>
      </c>
      <c r="C246" s="88">
        <f>IF($F246="","",'הזנה לתנאי סף'!D246)</f>
        <v>1001275329</v>
      </c>
      <c r="D246" s="88">
        <f>IF($F246="","",'הזנה לתנאי סף'!E246)</f>
        <v>41375690</v>
      </c>
      <c r="E246" s="88">
        <f>IF($F246="","",'הזנה לתנאי סף'!F246)</f>
        <v>20000201</v>
      </c>
      <c r="F246" s="88" t="str">
        <f>IF(OR('הזנה לתנאי סף'!G246="",'הזנה לתנאי סף'!BL246&lt;&gt;1),"",'הזנה לתנאי סף'!G246)</f>
        <v>תל אביב -יפו</v>
      </c>
      <c r="G246" s="88" t="str">
        <f>IF($F246="","",'הזנה לתנאי סף'!H246)</f>
        <v>העמותה ליצירה פנטסטית וספקולטיבית ב</v>
      </c>
      <c r="H246" s="88" t="str">
        <f>IF($F246="","",'הזנה לתנאי סף'!I246)</f>
        <v>ספרות</v>
      </c>
      <c r="I246" s="109">
        <v>45666</v>
      </c>
      <c r="J246" s="213">
        <f>IF($F246="","",'הזנה לתנאי סף'!S246)</f>
        <v>27761</v>
      </c>
      <c r="K246" s="109">
        <v>0</v>
      </c>
      <c r="L246" s="213">
        <f t="shared" si="34"/>
        <v>73427</v>
      </c>
      <c r="M246" s="213">
        <f>IF($F246="","",IF(L246='הזנה לתנאי סף'!R246,1,0))</f>
        <v>1</v>
      </c>
      <c r="N246" s="214">
        <f t="shared" si="35"/>
        <v>0.6219238154902148</v>
      </c>
      <c r="O246" s="214">
        <f t="shared" si="44"/>
        <v>0.3780761845097852</v>
      </c>
      <c r="P246" s="109">
        <v>73322</v>
      </c>
      <c r="Q246" s="213">
        <f>IF($F246="","",IFERROR(IF(P246&gt;0,'פרמטרים לקריטריונים'!$C$25*P246*O246,$AG$2),""))</f>
        <v>8316.3906001879404</v>
      </c>
      <c r="R246" s="213">
        <f>IF($F246="","",IFERROR('פרמטרים לקריטריונים'!$C$26*Q246,""))</f>
        <v>2045.0140820134279</v>
      </c>
      <c r="S246" s="214">
        <f t="shared" si="36"/>
        <v>3.0307423399249054E-5</v>
      </c>
      <c r="T246" s="213">
        <f t="shared" si="37"/>
        <v>1515.3711699624528</v>
      </c>
      <c r="U246" s="213">
        <f>IF($F246="","",'הזנה לתנאי סף'!N246)</f>
        <v>0</v>
      </c>
      <c r="V246" s="213">
        <f>IF($F246="","",'הזנה לתנאי סף'!O246)</f>
        <v>1</v>
      </c>
      <c r="W246" s="109">
        <v>0</v>
      </c>
      <c r="X246" s="109">
        <v>0</v>
      </c>
      <c r="Y246" s="109">
        <v>1</v>
      </c>
      <c r="Z246" s="214">
        <f t="shared" si="38"/>
        <v>0</v>
      </c>
      <c r="AA246" s="213" t="str">
        <f>IF(OR($F246="",V246=0),"",IF(V246=1,IF(COUNTBLANK(W246:X246)&gt;0,$AG$2,IF(OR(Z246&lt;='פרמטרים לקריטריונים'!$C$27,X246&gt;W246),"",X246-W246))))</f>
        <v/>
      </c>
      <c r="AB246" s="214" t="str">
        <f t="shared" si="42"/>
        <v/>
      </c>
      <c r="AC246" s="225" t="str">
        <f>IF(OR(AB246="",U246=1),"",IF(OR(COUNTBLANK(W246:Y246)&gt;0,AB246&gt;='פרמטרים לקריטריונים'!$E$54),'פרמטרים לקריטריונים'!$F$54,INDEX('פרמטרים לקריטריונים'!$F$49:$F$54,MATCH(AB246,'פרמטרים לקריטריונים'!$E$49:$E$54,1))))</f>
        <v/>
      </c>
      <c r="AD246" s="213" t="str">
        <f t="shared" si="39"/>
        <v/>
      </c>
      <c r="AE246" s="213">
        <f t="shared" si="40"/>
        <v>1515.3711699624528</v>
      </c>
      <c r="AG246" s="175">
        <f t="shared" si="43"/>
        <v>0</v>
      </c>
    </row>
    <row r="247" spans="1:33" ht="15.75" x14ac:dyDescent="0.2">
      <c r="A247" s="206">
        <f t="shared" si="41"/>
        <v>217</v>
      </c>
      <c r="B247" s="88">
        <f>IF($F247="","",'הזנה לתנאי סף'!C247)</f>
        <v>1001350112</v>
      </c>
      <c r="C247" s="88">
        <f>IF($F247="","",'הזנה לתנאי סף'!D247)</f>
        <v>1001277938</v>
      </c>
      <c r="D247" s="88">
        <f>IF($F247="","",'הזנה לתנאי סף'!E247)</f>
        <v>41375690</v>
      </c>
      <c r="E247" s="88">
        <f>IF($F247="","",'הזנה לתנאי סף'!F247)</f>
        <v>20000201</v>
      </c>
      <c r="F247" s="88" t="str">
        <f>IF(OR('הזנה לתנאי סף'!G247="",'הזנה לתנאי סף'!BL247&lt;&gt;1),"",'הזנה לתנאי סף'!G247)</f>
        <v>תל אביב -יפו</v>
      </c>
      <c r="G247" s="88" t="str">
        <f>IF($F247="","",'הזנה לתנאי סף'!H247)</f>
        <v>העמותה ליצירה פנטסטית וספקולטיבית ב</v>
      </c>
      <c r="H247" s="88" t="str">
        <f>IF($F247="","",'הזנה לתנאי סף'!I247)</f>
        <v>סינמטקים ופסטיבלים</v>
      </c>
      <c r="I247" s="109">
        <v>130443</v>
      </c>
      <c r="J247" s="213">
        <f>IF($F247="","",'הזנה לתנאי סף'!S247)</f>
        <v>281141</v>
      </c>
      <c r="K247" s="109">
        <v>0</v>
      </c>
      <c r="L247" s="213">
        <f t="shared" si="34"/>
        <v>411584</v>
      </c>
      <c r="M247" s="213">
        <f>IF($F247="","",IF(L247='הזנה לתנאי סף'!R247,1,0))</f>
        <v>1</v>
      </c>
      <c r="N247" s="214">
        <f t="shared" si="35"/>
        <v>0.316929229513295</v>
      </c>
      <c r="O247" s="214">
        <f t="shared" si="44"/>
        <v>0.68307077048670495</v>
      </c>
      <c r="P247" s="109">
        <v>402816</v>
      </c>
      <c r="Q247" s="213">
        <f>IF($F247="","",IFERROR(IF(P247&gt;0,'פרמטרים לקריטריונים'!$C$25*P247*O247,$AG$2),""))</f>
        <v>82545.550645311756</v>
      </c>
      <c r="R247" s="213">
        <f>IF($F247="","",IFERROR('פרמטרים לקריטריונים'!$C$26*Q247,""))</f>
        <v>20298.086224256989</v>
      </c>
      <c r="S247" s="214">
        <f t="shared" si="36"/>
        <v>3.0082076148216068E-4</v>
      </c>
      <c r="T247" s="213">
        <f t="shared" si="37"/>
        <v>15041.038074108033</v>
      </c>
      <c r="U247" s="213">
        <f>IF($F247="","",'הזנה לתנאי סף'!N247)</f>
        <v>0</v>
      </c>
      <c r="V247" s="213">
        <f>IF($F247="","",'הזנה לתנאי סף'!O247)</f>
        <v>1</v>
      </c>
      <c r="W247" s="109">
        <v>0</v>
      </c>
      <c r="X247" s="109">
        <v>0</v>
      </c>
      <c r="Y247" s="109">
        <v>1</v>
      </c>
      <c r="Z247" s="214">
        <f t="shared" si="38"/>
        <v>0</v>
      </c>
      <c r="AA247" s="213" t="str">
        <f>IF(OR($F247="",V247=0),"",IF(V247=1,IF(COUNTBLANK(W247:X247)&gt;0,$AG$2,IF(OR(Z247&lt;='פרמטרים לקריטריונים'!$C$27,X247&gt;W247),"",X247-W247))))</f>
        <v/>
      </c>
      <c r="AB247" s="214" t="str">
        <f t="shared" si="42"/>
        <v/>
      </c>
      <c r="AC247" s="225" t="str">
        <f>IF(OR(AB247="",U247=1),"",IF(OR(COUNTBLANK(W247:Y247)&gt;0,AB247&gt;='פרמטרים לקריטריונים'!$E$54),'פרמטרים לקריטריונים'!$F$54,INDEX('פרמטרים לקריטריונים'!$F$49:$F$54,MATCH(AB247,'פרמטרים לקריטריונים'!$E$49:$E$54,1))))</f>
        <v/>
      </c>
      <c r="AD247" s="213" t="str">
        <f t="shared" si="39"/>
        <v/>
      </c>
      <c r="AE247" s="213">
        <f t="shared" si="40"/>
        <v>15041.038074108033</v>
      </c>
      <c r="AG247" s="175">
        <f t="shared" si="43"/>
        <v>0</v>
      </c>
    </row>
    <row r="248" spans="1:33" ht="15.75" x14ac:dyDescent="0.2">
      <c r="A248" s="206">
        <f t="shared" si="41"/>
        <v>218</v>
      </c>
      <c r="B248" s="88">
        <f>IF($F248="","",'הזנה לתנאי סף'!C248)</f>
        <v>1001350278</v>
      </c>
      <c r="C248" s="88">
        <f>IF($F248="","",'הזנה לתנאי סף'!D248)</f>
        <v>1001295236</v>
      </c>
      <c r="D248" s="88">
        <f>IF($F248="","",'הזנה לתנאי סף'!E248)</f>
        <v>41375765</v>
      </c>
      <c r="E248" s="88">
        <f>IF($F248="","",'הזנה לתנאי סף'!F248)</f>
        <v>20000159</v>
      </c>
      <c r="F248" s="88" t="str">
        <f>IF(OR('הזנה לתנאי סף'!G248="",'הזנה לתנאי סף'!BL248&lt;&gt;1),"",'הזנה לתנאי סף'!G248)</f>
        <v>ירושלים</v>
      </c>
      <c r="G248" s="88" t="str">
        <f>IF($F248="","",'הזנה לתנאי סף'!H248)</f>
        <v>התיאטרון החברתי משו משו (ע"ר)</v>
      </c>
      <c r="H248" s="88" t="str">
        <f>IF($F248="","",'הזנה לתנאי סף'!I248)</f>
        <v>אחר</v>
      </c>
      <c r="I248" s="109">
        <v>13000</v>
      </c>
      <c r="J248" s="213">
        <f>IF($F248="","",'הזנה לתנאי סף'!S248)</f>
        <v>29000</v>
      </c>
      <c r="K248" s="109">
        <v>0</v>
      </c>
      <c r="L248" s="213">
        <f t="shared" si="34"/>
        <v>42000</v>
      </c>
      <c r="M248" s="213">
        <f>IF($F248="","",IF(L248='הזנה לתנאי סף'!R248,1,0))</f>
        <v>1</v>
      </c>
      <c r="N248" s="214">
        <f t="shared" si="35"/>
        <v>0.30952380952380953</v>
      </c>
      <c r="O248" s="214">
        <f t="shared" si="44"/>
        <v>0.69047619047619047</v>
      </c>
      <c r="P248" s="109">
        <v>72500</v>
      </c>
      <c r="Q248" s="213">
        <f>IF($F248="","",IFERROR(IF(P248&gt;0,'פרמטרים לקריטריונים'!$C$25*P248*O248,$AG$2),""))</f>
        <v>15017.857142857143</v>
      </c>
      <c r="R248" s="213">
        <f>IF($F248="","",IFERROR('פרמטרים לקריטריונים'!$C$26*Q248,""))</f>
        <v>3692.9156908665104</v>
      </c>
      <c r="S248" s="214">
        <f t="shared" si="36"/>
        <v>5.4729578835284897E-5</v>
      </c>
      <c r="T248" s="213">
        <f t="shared" si="37"/>
        <v>2736.4789417642451</v>
      </c>
      <c r="U248" s="213">
        <f>IF($F248="","",'הזנה לתנאי סף'!N248)</f>
        <v>0</v>
      </c>
      <c r="V248" s="213">
        <f>IF($F248="","",'הזנה לתנאי סף'!O248)</f>
        <v>1</v>
      </c>
      <c r="W248" s="109">
        <v>0</v>
      </c>
      <c r="X248" s="109">
        <v>0</v>
      </c>
      <c r="Y248" s="109">
        <v>1</v>
      </c>
      <c r="Z248" s="214">
        <f t="shared" si="38"/>
        <v>0</v>
      </c>
      <c r="AA248" s="213" t="str">
        <f>IF(OR($F248="",V248=0),"",IF(V248=1,IF(COUNTBLANK(W248:X248)&gt;0,$AG$2,IF(OR(Z248&lt;='פרמטרים לקריטריונים'!$C$27,X248&gt;W248),"",X248-W248))))</f>
        <v/>
      </c>
      <c r="AB248" s="214" t="str">
        <f t="shared" si="42"/>
        <v/>
      </c>
      <c r="AC248" s="225" t="str">
        <f>IF(OR(AB248="",U248=1),"",IF(OR(COUNTBLANK(W248:Y248)&gt;0,AB248&gt;='פרמטרים לקריטריונים'!$E$54),'פרמטרים לקריטריונים'!$F$54,INDEX('פרמטרים לקריטריונים'!$F$49:$F$54,MATCH(AB248,'פרמטרים לקריטריונים'!$E$49:$E$54,1))))</f>
        <v/>
      </c>
      <c r="AD248" s="213" t="str">
        <f t="shared" si="39"/>
        <v/>
      </c>
      <c r="AE248" s="213">
        <f t="shared" si="40"/>
        <v>2736.4789417642451</v>
      </c>
      <c r="AG248" s="175">
        <f t="shared" si="43"/>
        <v>0</v>
      </c>
    </row>
    <row r="249" spans="1:33" ht="15.75" x14ac:dyDescent="0.2">
      <c r="A249" s="206">
        <f t="shared" si="41"/>
        <v>219</v>
      </c>
      <c r="B249" s="88">
        <f>IF($F249="","",'הזנה לתנאי סף'!C249)</f>
        <v>1001347067</v>
      </c>
      <c r="C249" s="88">
        <f>IF($F249="","",'הזנה לתנאי סף'!D249)</f>
        <v>1001347067</v>
      </c>
      <c r="D249" s="88">
        <f>IF($F249="","",'הזנה לתנאי סף'!E249)</f>
        <v>41446343</v>
      </c>
      <c r="E249" s="88">
        <f>IF($F249="","",'הזנה לתנאי סף'!F249)</f>
        <v>20000253</v>
      </c>
      <c r="F249" s="88" t="str">
        <f>IF(OR('הזנה לתנאי סף'!G249="",'הזנה לתנאי סף'!BL249&lt;&gt;1),"",'הזנה לתנאי סף'!G249)</f>
        <v>טמרה</v>
      </c>
      <c r="G249" s="88" t="str">
        <f>IF($F249="","",'הזנה לתנאי סף'!H249)</f>
        <v>תיאטרון אלעין (ע"ר)</v>
      </c>
      <c r="H249" s="88" t="str">
        <f>IF($F249="","",'הזנה לתנאי סף'!I249)</f>
        <v>תיאטרון</v>
      </c>
      <c r="I249" s="109">
        <v>0</v>
      </c>
      <c r="J249" s="213">
        <f>IF($F249="","",'הזנה לתנאי סף'!S249)</f>
        <v>658631</v>
      </c>
      <c r="K249" s="109">
        <v>0</v>
      </c>
      <c r="L249" s="213">
        <f t="shared" si="34"/>
        <v>658631</v>
      </c>
      <c r="M249" s="213">
        <f>IF($F249="","",IF(L249='הזנה לתנאי סף'!R249,1,0))</f>
        <v>1</v>
      </c>
      <c r="N249" s="214">
        <f t="shared" si="35"/>
        <v>0</v>
      </c>
      <c r="O249" s="214">
        <f t="shared" si="44"/>
        <v>1</v>
      </c>
      <c r="P249" s="109">
        <v>597869</v>
      </c>
      <c r="Q249" s="213">
        <f>IF($F249="","",IFERROR(IF(P249&gt;0,'פרמטרים לקריטריונים'!$C$25*P249*O249,$AG$2),""))</f>
        <v>179360.69999999998</v>
      </c>
      <c r="R249" s="213">
        <f>IF($F249="","",IFERROR('פרמטרים לקריטריונים'!$C$26*Q249,""))</f>
        <v>44105.090163934423</v>
      </c>
      <c r="S249" s="214">
        <f t="shared" si="36"/>
        <v>6.5364422348835368E-4</v>
      </c>
      <c r="T249" s="213">
        <f t="shared" si="37"/>
        <v>32682.211174417684</v>
      </c>
      <c r="U249" s="213">
        <f>IF($F249="","",'הזנה לתנאי סף'!N249)</f>
        <v>0</v>
      </c>
      <c r="V249" s="213">
        <f>IF($F249="","",'הזנה לתנאי סף'!O249)</f>
        <v>1</v>
      </c>
      <c r="W249" s="109">
        <v>0</v>
      </c>
      <c r="X249" s="109">
        <v>0</v>
      </c>
      <c r="Y249" s="109">
        <v>1</v>
      </c>
      <c r="Z249" s="214">
        <f t="shared" si="38"/>
        <v>0</v>
      </c>
      <c r="AA249" s="213" t="str">
        <f>IF(OR($F249="",V249=0),"",IF(V249=1,IF(COUNTBLANK(W249:X249)&gt;0,$AG$2,IF(OR(Z249&lt;='פרמטרים לקריטריונים'!$C$27,X249&gt;W249),"",X249-W249))))</f>
        <v/>
      </c>
      <c r="AB249" s="214" t="str">
        <f t="shared" si="42"/>
        <v/>
      </c>
      <c r="AC249" s="225" t="str">
        <f>IF(OR(AB249="",U249=1),"",IF(OR(COUNTBLANK(W249:Y249)&gt;0,AB249&gt;='פרמטרים לקריטריונים'!$E$54),'פרמטרים לקריטריונים'!$F$54,INDEX('פרמטרים לקריטריונים'!$F$49:$F$54,MATCH(AB249,'פרמטרים לקריטריונים'!$E$49:$E$54,1))))</f>
        <v/>
      </c>
      <c r="AD249" s="213" t="str">
        <f t="shared" si="39"/>
        <v/>
      </c>
      <c r="AE249" s="213">
        <f t="shared" si="40"/>
        <v>32682.211174417684</v>
      </c>
      <c r="AG249" s="175">
        <f t="shared" si="43"/>
        <v>0</v>
      </c>
    </row>
    <row r="250" spans="1:33" ht="15.75" x14ac:dyDescent="0.2">
      <c r="A250" s="206">
        <f t="shared" si="41"/>
        <v>220</v>
      </c>
      <c r="B250" s="88">
        <f>IF($F250="","",'הזנה לתנאי סף'!C250)</f>
        <v>1001346668</v>
      </c>
      <c r="C250" s="88">
        <f>IF($F250="","",'הזנה לתנאי סף'!D250)</f>
        <v>1001265550</v>
      </c>
      <c r="D250" s="88">
        <f>IF($F250="","",'הזנה לתנאי סף'!E250)</f>
        <v>41457607</v>
      </c>
      <c r="E250" s="88">
        <f>IF($F250="","",'הזנה לתנאי סף'!F250)</f>
        <v>20000201</v>
      </c>
      <c r="F250" s="88" t="str">
        <f>IF(OR('הזנה לתנאי סף'!G250="",'הזנה לתנאי סף'!BL250&lt;&gt;1),"",'הזנה לתנאי סף'!G250)</f>
        <v>תל אביב -יפו</v>
      </c>
      <c r="G250" s="88" t="str">
        <f>IF($F250="","",'הזנה לתנאי סף'!H250)</f>
        <v>להקת המחול פרסקו (ע"ר)</v>
      </c>
      <c r="H250" s="88" t="str">
        <f>IF($F250="","",'הזנה לתנאי סף'!I250)</f>
        <v>מחול</v>
      </c>
      <c r="I250" s="109">
        <v>1465318</v>
      </c>
      <c r="J250" s="213">
        <f>IF($F250="","",'הזנה לתנאי סף'!S250)</f>
        <v>1363605</v>
      </c>
      <c r="K250" s="109">
        <v>5000</v>
      </c>
      <c r="L250" s="213">
        <f t="shared" si="34"/>
        <v>2833923</v>
      </c>
      <c r="M250" s="213">
        <f>IF($F250="","",IF(L250='הזנה לתנאי סף'!R250,1,0))</f>
        <v>1</v>
      </c>
      <c r="N250" s="214">
        <f t="shared" si="35"/>
        <v>0.51706344879518606</v>
      </c>
      <c r="O250" s="214">
        <f t="shared" si="44"/>
        <v>0.48293655120481394</v>
      </c>
      <c r="P250" s="109">
        <v>2952706</v>
      </c>
      <c r="Q250" s="213">
        <f>IF($F250="","",IFERROR(IF(P250&gt;0,'פרמטרים לקריטריונים'!$C$25*P250*O250,$AG$2),""))</f>
        <v>427790.89570852835</v>
      </c>
      <c r="R250" s="213">
        <f>IF($F250="","",IFERROR('פרמטרים לקריטריונים'!$C$26*Q250,""))</f>
        <v>105194.48255127746</v>
      </c>
      <c r="S250" s="214">
        <f t="shared" si="36"/>
        <v>1.5589984196135961E-3</v>
      </c>
      <c r="T250" s="213">
        <f t="shared" si="37"/>
        <v>77949.920980679803</v>
      </c>
      <c r="U250" s="213">
        <f>IF($F250="","",'הזנה לתנאי סף'!N250)</f>
        <v>1</v>
      </c>
      <c r="V250" s="213">
        <f>IF($F250="","",'הזנה לתנאי סף'!O250)</f>
        <v>1</v>
      </c>
      <c r="W250" s="109"/>
      <c r="X250" s="109"/>
      <c r="Y250" s="109"/>
      <c r="Z250" s="214" t="str">
        <f t="shared" si="38"/>
        <v>בדוק נתוני הזנה</v>
      </c>
      <c r="AA250" s="213" t="str">
        <f>IF(OR($F250="",V250=0),"",IF(V250=1,IF(COUNTBLANK(W250:X250)&gt;0,$AG$2,IF(OR(Z250&lt;='פרמטרים לקריטריונים'!$C$27,X250&gt;W250),"",X250-W250))))</f>
        <v>בדוק נתוני הזנה</v>
      </c>
      <c r="AB250" s="214">
        <f t="shared" si="42"/>
        <v>0</v>
      </c>
      <c r="AC250" s="225" t="str">
        <f>IF(OR(AB250="",U250=1),"",IF(OR(COUNTBLANK(W250:Y250)&gt;0,AB250&gt;='פרמטרים לקריטריונים'!$E$54),'פרמטרים לקריטריונים'!$F$54,INDEX('פרמטרים לקריטריונים'!$F$49:$F$54,MATCH(AB250,'פרמטרים לקריטריונים'!$E$49:$E$54,1))))</f>
        <v/>
      </c>
      <c r="AD250" s="213" t="str">
        <f t="shared" si="39"/>
        <v/>
      </c>
      <c r="AE250" s="213">
        <f t="shared" si="40"/>
        <v>77949.920980679803</v>
      </c>
      <c r="AG250" s="175">
        <f t="shared" si="43"/>
        <v>1</v>
      </c>
    </row>
    <row r="251" spans="1:33" ht="15.75" x14ac:dyDescent="0.2">
      <c r="A251" s="206">
        <f t="shared" si="41"/>
        <v>221</v>
      </c>
      <c r="B251" s="88">
        <f>IF($F251="","",'הזנה לתנאי סף'!C251)</f>
        <v>1001348185</v>
      </c>
      <c r="C251" s="88">
        <f>IF($F251="","",'הזנה לתנאי סף'!D251)</f>
        <v>1001265555</v>
      </c>
      <c r="D251" s="88">
        <f>IF($F251="","",'הזנה לתנאי סף'!E251)</f>
        <v>41457607</v>
      </c>
      <c r="E251" s="88">
        <f>IF($F251="","",'הזנה לתנאי סף'!F251)</f>
        <v>20000201</v>
      </c>
      <c r="F251" s="88" t="str">
        <f>IF(OR('הזנה לתנאי סף'!G251="",'הזנה לתנאי סף'!BL251&lt;&gt;1),"",'הזנה לתנאי סף'!G251)</f>
        <v>תל אביב -יפו</v>
      </c>
      <c r="G251" s="88" t="str">
        <f>IF($F251="","",'הזנה לתנאי סף'!H251)</f>
        <v>להקת המחול פרסקו (ע"ר)</v>
      </c>
      <c r="H251" s="88" t="str">
        <f>IF($F251="","",'הזנה לתנאי סף'!I251)</f>
        <v>מחול</v>
      </c>
      <c r="I251" s="109">
        <v>0</v>
      </c>
      <c r="J251" s="213">
        <f>IF($F251="","",'הזנה לתנאי סף'!S251)</f>
        <v>93661</v>
      </c>
      <c r="K251" s="109">
        <v>0</v>
      </c>
      <c r="L251" s="213">
        <f t="shared" si="34"/>
        <v>93661</v>
      </c>
      <c r="M251" s="213">
        <f>IF($F251="","",IF(L251='הזנה לתנאי סף'!R251,1,0))</f>
        <v>1</v>
      </c>
      <c r="N251" s="214">
        <f t="shared" si="35"/>
        <v>0</v>
      </c>
      <c r="O251" s="214">
        <f t="shared" si="44"/>
        <v>1</v>
      </c>
      <c r="P251" s="109">
        <v>93661</v>
      </c>
      <c r="Q251" s="213">
        <f>IF($F251="","",IFERROR(IF(P251&gt;0,'פרמטרים לקריטריונים'!$C$25*P251*O251,$AG$2),""))</f>
        <v>28098.3</v>
      </c>
      <c r="R251" s="213">
        <f>IF($F251="","",IFERROR('פרמטרים לקריטריונים'!$C$26*Q251,""))</f>
        <v>6909.4180327868853</v>
      </c>
      <c r="S251" s="214">
        <f t="shared" si="36"/>
        <v>1.0239863852473151E-4</v>
      </c>
      <c r="T251" s="213">
        <f t="shared" si="37"/>
        <v>5119.9319262365752</v>
      </c>
      <c r="U251" s="213">
        <f>IF($F251="","",'הזנה לתנאי סף'!N251)</f>
        <v>1</v>
      </c>
      <c r="V251" s="213">
        <f>IF($F251="","",'הזנה לתנאי סף'!O251)</f>
        <v>1</v>
      </c>
      <c r="W251" s="109"/>
      <c r="X251" s="109"/>
      <c r="Y251" s="109"/>
      <c r="Z251" s="214" t="str">
        <f t="shared" si="38"/>
        <v>בדוק נתוני הזנה</v>
      </c>
      <c r="AA251" s="213" t="str">
        <f>IF(OR($F251="",V251=0),"",IF(V251=1,IF(COUNTBLANK(W251:X251)&gt;0,$AG$2,IF(OR(Z251&lt;='פרמטרים לקריטריונים'!$C$27,X251&gt;W251),"",X251-W251))))</f>
        <v>בדוק נתוני הזנה</v>
      </c>
      <c r="AB251" s="214">
        <f t="shared" si="42"/>
        <v>1</v>
      </c>
      <c r="AC251" s="225" t="str">
        <f>IF(OR(AB251="",U251=1),"",IF(OR(COUNTBLANK(W251:Y251)&gt;0,AB251&gt;='פרמטרים לקריטריונים'!$E$54),'פרמטרים לקריטריונים'!$F$54,INDEX('פרמטרים לקריטריונים'!$F$49:$F$54,MATCH(AB251,'פרמטרים לקריטריונים'!$E$49:$E$54,1))))</f>
        <v/>
      </c>
      <c r="AD251" s="213" t="str">
        <f t="shared" si="39"/>
        <v/>
      </c>
      <c r="AE251" s="213">
        <f t="shared" si="40"/>
        <v>5119.9319262365752</v>
      </c>
      <c r="AG251" s="175">
        <f t="shared" si="43"/>
        <v>1</v>
      </c>
    </row>
    <row r="252" spans="1:33" ht="15.75" x14ac:dyDescent="0.2">
      <c r="A252" s="206">
        <f t="shared" si="41"/>
        <v>222</v>
      </c>
      <c r="B252" s="88">
        <f>IF($F252="","",'הזנה לתנאי סף'!C252)</f>
        <v>1001350356</v>
      </c>
      <c r="C252" s="88">
        <f>IF($F252="","",'הזנה לתנאי סף'!D252)</f>
        <v>1001270272</v>
      </c>
      <c r="D252" s="88">
        <f>IF($F252="","",'הזנה לתנאי סף'!E252)</f>
        <v>41476422</v>
      </c>
      <c r="E252" s="88">
        <f>IF($F252="","",'הזנה לתנאי סף'!F252)</f>
        <v>20000147</v>
      </c>
      <c r="F252" s="88" t="str">
        <f>IF(OR('הזנה לתנאי סף'!G252="",'הזנה לתנאי סף'!BL252&lt;&gt;1),"",'הזנה לתנאי סף'!G252)</f>
        <v>אילת</v>
      </c>
      <c r="G252" s="88" t="str">
        <f>IF($F252="","",'הזנה לתנאי סף'!H252)</f>
        <v>אלעד - תיאטרון אילת והערבה (ע''ר)</v>
      </c>
      <c r="H252" s="88" t="str">
        <f>IF($F252="","",'הזנה לתנאי סף'!I252)</f>
        <v>תיאטרון</v>
      </c>
      <c r="I252" s="109">
        <v>1354973</v>
      </c>
      <c r="J252" s="213">
        <f>IF($F252="","",'הזנה לתנאי סף'!S252)</f>
        <v>1275592</v>
      </c>
      <c r="K252" s="109">
        <v>0</v>
      </c>
      <c r="L252" s="213">
        <f t="shared" si="34"/>
        <v>2630565</v>
      </c>
      <c r="M252" s="213">
        <f>IF($F252="","",IF(L252='הזנה לתנאי סף'!R252,1,0))</f>
        <v>1</v>
      </c>
      <c r="N252" s="214">
        <f t="shared" si="35"/>
        <v>0.51508820348480266</v>
      </c>
      <c r="O252" s="214">
        <f t="shared" si="44"/>
        <v>0.48491179651519734</v>
      </c>
      <c r="P252" s="109">
        <v>1898174</v>
      </c>
      <c r="Q252" s="213">
        <f>IF($F252="","",IFERROR(IF(P252&gt;0,'פרמטרים לקריטריונים'!$C$25*P252*O252,$AG$2),""))</f>
        <v>276134.08933153143</v>
      </c>
      <c r="R252" s="213">
        <f>IF($F252="","",IFERROR('פרמטרים לקריטריונים'!$C$26*Q252,""))</f>
        <v>67901.825245458545</v>
      </c>
      <c r="S252" s="214">
        <f t="shared" si="36"/>
        <v>1.0063154994364571E-3</v>
      </c>
      <c r="T252" s="213">
        <f t="shared" si="37"/>
        <v>50315.774971822852</v>
      </c>
      <c r="U252" s="213">
        <f>IF($F252="","",'הזנה לתנאי סף'!N252)</f>
        <v>0</v>
      </c>
      <c r="V252" s="213">
        <f>IF($F252="","",'הזנה לתנאי סף'!O252)</f>
        <v>1</v>
      </c>
      <c r="W252" s="109">
        <v>0</v>
      </c>
      <c r="X252" s="109">
        <v>0</v>
      </c>
      <c r="Y252" s="109">
        <v>1</v>
      </c>
      <c r="Z252" s="214">
        <f t="shared" si="38"/>
        <v>0</v>
      </c>
      <c r="AA252" s="213" t="str">
        <f>IF(OR($F252="",V252=0),"",IF(V252=1,IF(COUNTBLANK(W252:X252)&gt;0,$AG$2,IF(OR(Z252&lt;='פרמטרים לקריטריונים'!$C$27,X252&gt;W252),"",X252-W252))))</f>
        <v/>
      </c>
      <c r="AB252" s="214" t="str">
        <f t="shared" si="42"/>
        <v/>
      </c>
      <c r="AC252" s="225" t="str">
        <f>IF(OR(AB252="",U252=1),"",IF(OR(COUNTBLANK(W252:Y252)&gt;0,AB252&gt;='פרמטרים לקריטריונים'!$E$54),'פרמטרים לקריטריונים'!$F$54,INDEX('פרמטרים לקריטריונים'!$F$49:$F$54,MATCH(AB252,'פרמטרים לקריטריונים'!$E$49:$E$54,1))))</f>
        <v/>
      </c>
      <c r="AD252" s="213" t="str">
        <f t="shared" si="39"/>
        <v/>
      </c>
      <c r="AE252" s="213">
        <f t="shared" si="40"/>
        <v>50315.774971822852</v>
      </c>
      <c r="AG252" s="175">
        <f t="shared" si="43"/>
        <v>0</v>
      </c>
    </row>
    <row r="253" spans="1:33" ht="15.75" x14ac:dyDescent="0.2">
      <c r="A253" s="206">
        <f t="shared" si="41"/>
        <v>223</v>
      </c>
      <c r="B253" s="88">
        <f>IF($F253="","",'הזנה לתנאי סף'!C253)</f>
        <v>1001350854</v>
      </c>
      <c r="C253" s="88">
        <f>IF($F253="","",'הזנה לתנאי סף'!D253)</f>
        <v>1001311678</v>
      </c>
      <c r="D253" s="88">
        <f>IF($F253="","",'הזנה לתנאי סף'!E253)</f>
        <v>41378459</v>
      </c>
      <c r="E253" s="88">
        <f>IF($F253="","",'הזנה לתנאי סף'!F253)</f>
        <v>20000201</v>
      </c>
      <c r="F253" s="88" t="str">
        <f>IF(OR('הזנה לתנאי סף'!G253="",'הזנה לתנאי סף'!BL253&lt;&gt;1),"",'הזנה לתנאי סף'!G253)</f>
        <v>תל אביב -יפו</v>
      </c>
      <c r="G253" s="88" t="str">
        <f>IF($F253="","",'הזנה לתנאי סף'!H253)</f>
        <v>עמותת תיאטרון גלבוע</v>
      </c>
      <c r="H253" s="88" t="str">
        <f>IF($F253="","",'הזנה לתנאי סף'!I253)</f>
        <v>אחר</v>
      </c>
      <c r="I253" s="109">
        <v>182718</v>
      </c>
      <c r="J253" s="213">
        <f>IF($F253="","",'הזנה לתנאי סף'!S253)</f>
        <v>201035</v>
      </c>
      <c r="K253" s="109">
        <v>0</v>
      </c>
      <c r="L253" s="213">
        <f t="shared" si="34"/>
        <v>383753</v>
      </c>
      <c r="M253" s="213">
        <f>IF($F253="","",IF(L253='הזנה לתנאי סף'!R253,1,0))</f>
        <v>1</v>
      </c>
      <c r="N253" s="214">
        <f t="shared" si="35"/>
        <v>0.47613438852595291</v>
      </c>
      <c r="O253" s="214">
        <f t="shared" si="44"/>
        <v>0.52386561147404709</v>
      </c>
      <c r="P253" s="109">
        <v>383753</v>
      </c>
      <c r="Q253" s="213">
        <f>IF($F253="","",IFERROR(IF(P253&gt;0,'פרמטרים לקריטריונים'!$C$25*P253*O253,$AG$2),""))</f>
        <v>60310.499999999993</v>
      </c>
      <c r="R253" s="213">
        <f>IF($F253="","",IFERROR('פרמטרים לקריטריונים'!$C$26*Q253,""))</f>
        <v>14830.450819672129</v>
      </c>
      <c r="S253" s="214">
        <f t="shared" si="36"/>
        <v>2.1978956338090981E-4</v>
      </c>
      <c r="T253" s="213">
        <f t="shared" si="37"/>
        <v>10989.478169045491</v>
      </c>
      <c r="U253" s="213">
        <f>IF($F253="","",'הזנה לתנאי סף'!N253)</f>
        <v>1</v>
      </c>
      <c r="V253" s="213">
        <f>IF($F253="","",'הזנה לתנאי סף'!O253)</f>
        <v>1</v>
      </c>
      <c r="W253" s="109"/>
      <c r="X253" s="109"/>
      <c r="Y253" s="109"/>
      <c r="Z253" s="214" t="str">
        <f t="shared" si="38"/>
        <v>בדוק נתוני הזנה</v>
      </c>
      <c r="AA253" s="213" t="str">
        <f>IF(OR($F253="",V253=0),"",IF(V253=1,IF(COUNTBLANK(W253:X253)&gt;0,$AG$2,IF(OR(Z253&lt;='פרמטרים לקריטריונים'!$C$27,X253&gt;W253),"",X253-W253))))</f>
        <v>בדוק נתוני הזנה</v>
      </c>
      <c r="AB253" s="214">
        <f t="shared" si="42"/>
        <v>0</v>
      </c>
      <c r="AC253" s="225" t="str">
        <f>IF(OR(AB253="",U253=1),"",IF(OR(COUNTBLANK(W253:Y253)&gt;0,AB253&gt;='פרמטרים לקריטריונים'!$E$54),'פרמטרים לקריטריונים'!$F$54,INDEX('פרמטרים לקריטריונים'!$F$49:$F$54,MATCH(AB253,'פרמטרים לקריטריונים'!$E$49:$E$54,1))))</f>
        <v/>
      </c>
      <c r="AD253" s="213" t="str">
        <f t="shared" si="39"/>
        <v/>
      </c>
      <c r="AE253" s="213">
        <f t="shared" si="40"/>
        <v>10989.478169045491</v>
      </c>
      <c r="AG253" s="175">
        <f t="shared" si="43"/>
        <v>1</v>
      </c>
    </row>
    <row r="254" spans="1:33" ht="15.75" x14ac:dyDescent="0.2">
      <c r="A254" s="206">
        <f t="shared" si="41"/>
        <v>224</v>
      </c>
      <c r="B254" s="88">
        <f>IF($F254="","",'הזנה לתנאי סף'!C254)</f>
        <v>1001346584</v>
      </c>
      <c r="C254" s="88">
        <f>IF($F254="","",'הזנה לתנאי סף'!D254)</f>
        <v>1001215908</v>
      </c>
      <c r="D254" s="88">
        <f>IF($F254="","",'הזנה לתנאי סף'!E254)</f>
        <v>40235206</v>
      </c>
      <c r="E254" s="88">
        <f>IF($F254="","",'הזנה לתנאי סף'!F254)</f>
        <v>20000127</v>
      </c>
      <c r="F254" s="88" t="str">
        <f>IF(OR('הזנה לתנאי סף'!G254="",'הזנה לתנאי סף'!BL254&lt;&gt;1),"",'הזנה לתנאי סף'!G254)</f>
        <v>הגליל העליון</v>
      </c>
      <c r="G254" s="88" t="str">
        <f>IF($F254="","",'הזנה לתנאי סף'!H254)</f>
        <v>מוזיאון האדם הקדמון</v>
      </c>
      <c r="H254" s="88" t="str">
        <f>IF($F254="","",'הזנה לתנאי סף'!I254)</f>
        <v>מוזיאונים</v>
      </c>
      <c r="I254" s="109">
        <v>178191</v>
      </c>
      <c r="J254" s="213">
        <f>IF($F254="","",'הזנה לתנאי סף'!S254)</f>
        <v>156910</v>
      </c>
      <c r="K254" s="109">
        <v>0</v>
      </c>
      <c r="L254" s="213">
        <f t="shared" si="34"/>
        <v>335101</v>
      </c>
      <c r="M254" s="213">
        <f>IF($F254="","",IF(L254='הזנה לתנאי סף'!R254,1,0))</f>
        <v>1</v>
      </c>
      <c r="N254" s="214">
        <f t="shared" si="35"/>
        <v>0.53175311324048569</v>
      </c>
      <c r="O254" s="214">
        <f t="shared" si="44"/>
        <v>0.46824688675951431</v>
      </c>
      <c r="P254" s="109">
        <v>358945</v>
      </c>
      <c r="Q254" s="213">
        <f>IF($F254="","",IFERROR(IF(P254&gt;0,'פרמטרים לקריטריונים'!$C$25*P254*O254,$AG$2),""))</f>
        <v>50422.463630368162</v>
      </c>
      <c r="R254" s="213">
        <f>IF($F254="","",IFERROR('פרמטרים לקריטריונים'!$C$26*Q254,""))</f>
        <v>12398.966466483975</v>
      </c>
      <c r="S254" s="214">
        <f t="shared" si="36"/>
        <v>1.8375459108958516E-4</v>
      </c>
      <c r="T254" s="213">
        <f t="shared" si="37"/>
        <v>9187.7295544792578</v>
      </c>
      <c r="U254" s="213">
        <f>IF($F254="","",'הזנה לתנאי סף'!N254)</f>
        <v>0</v>
      </c>
      <c r="V254" s="213">
        <f>IF($F254="","",'הזנה לתנאי סף'!O254)</f>
        <v>1</v>
      </c>
      <c r="W254" s="109">
        <v>0</v>
      </c>
      <c r="X254" s="109">
        <v>0</v>
      </c>
      <c r="Y254" s="109">
        <v>1</v>
      </c>
      <c r="Z254" s="214">
        <f t="shared" si="38"/>
        <v>0</v>
      </c>
      <c r="AA254" s="213" t="str">
        <f>IF(OR($F254="",V254=0),"",IF(V254=1,IF(COUNTBLANK(W254:X254)&gt;0,$AG$2,IF(OR(Z254&lt;='פרמטרים לקריטריונים'!$C$27,X254&gt;W254),"",X254-W254))))</f>
        <v/>
      </c>
      <c r="AB254" s="214" t="str">
        <f t="shared" si="42"/>
        <v/>
      </c>
      <c r="AC254" s="225" t="str">
        <f>IF(OR(AB254="",U254=1),"",IF(OR(COUNTBLANK(W254:Y254)&gt;0,AB254&gt;='פרמטרים לקריטריונים'!$E$54),'פרמטרים לקריטריונים'!$F$54,INDEX('פרמטרים לקריטריונים'!$F$49:$F$54,MATCH(AB254,'פרמטרים לקריטריונים'!$E$49:$E$54,1))))</f>
        <v/>
      </c>
      <c r="AD254" s="213" t="str">
        <f t="shared" si="39"/>
        <v/>
      </c>
      <c r="AE254" s="213">
        <f t="shared" si="40"/>
        <v>9187.7295544792578</v>
      </c>
      <c r="AG254" s="175">
        <f t="shared" si="43"/>
        <v>0</v>
      </c>
    </row>
    <row r="255" spans="1:33" ht="15.75" x14ac:dyDescent="0.2">
      <c r="A255" s="206">
        <f t="shared" si="41"/>
        <v>225</v>
      </c>
      <c r="B255" s="88">
        <f>IF($F255="","",'הזנה לתנאי סף'!C255)</f>
        <v>1001346661</v>
      </c>
      <c r="C255" s="88">
        <f>IF($F255="","",'הזנה לתנאי סף'!D255)</f>
        <v>1001263558</v>
      </c>
      <c r="D255" s="88">
        <f>IF($F255="","",'הזנה לתנאי סף'!E255)</f>
        <v>40000294</v>
      </c>
      <c r="E255" s="88">
        <f>IF($F255="","",'הזנה לתנאי סף'!F255)</f>
        <v>20000201</v>
      </c>
      <c r="F255" s="88" t="str">
        <f>IF(OR('הזנה לתנאי סף'!G255="",'הזנה לתנאי סף'!BL255&lt;&gt;1),"",'הזנה לתנאי סף'!G255)</f>
        <v>תל אביב -יפו</v>
      </c>
      <c r="G255" s="88" t="str">
        <f>IF($F255="","",'הזנה לתנאי סף'!H255)</f>
        <v>התזמורת הפילהרמונית הישראלית</v>
      </c>
      <c r="H255" s="88" t="str">
        <f>IF($F255="","",'הזנה לתנאי סף'!I255)</f>
        <v>מוסיקה-גופים כליים</v>
      </c>
      <c r="I255" s="109">
        <v>10420000</v>
      </c>
      <c r="J255" s="213">
        <f>IF($F255="","",'הזנה לתנאי סף'!S255)</f>
        <v>59154000</v>
      </c>
      <c r="K255" s="109">
        <v>0</v>
      </c>
      <c r="L255" s="213">
        <f t="shared" si="34"/>
        <v>69574000</v>
      </c>
      <c r="M255" s="213">
        <f>IF($F255="","",IF(L255='הזנה לתנאי סף'!R255,1,0))</f>
        <v>1</v>
      </c>
      <c r="N255" s="214">
        <f t="shared" si="35"/>
        <v>0.14976859171529594</v>
      </c>
      <c r="O255" s="214">
        <f t="shared" si="44"/>
        <v>0.850231408284704</v>
      </c>
      <c r="P255" s="109">
        <v>69279000</v>
      </c>
      <c r="Q255" s="213">
        <f>IF($F255="","",IFERROR(IF(P255&gt;0,'פרמטרים לקריטריונים'!$C$25*P255*O255,$AG$2),""))</f>
        <v>17670954.520366803</v>
      </c>
      <c r="R255" s="213">
        <f>IF($F255="","",IFERROR('פרמטרים לקריטריונים'!$C$26*Q255,""))</f>
        <v>4345316.685336099</v>
      </c>
      <c r="S255" s="214">
        <f t="shared" si="36"/>
        <v>6.4398261970226328E-2</v>
      </c>
      <c r="T255" s="213">
        <f t="shared" si="37"/>
        <v>3219913.0985113163</v>
      </c>
      <c r="U255" s="213">
        <f>IF($F255="","",'הזנה לתנאי סף'!N255)</f>
        <v>0</v>
      </c>
      <c r="V255" s="213">
        <f>IF($F255="","",'הזנה לתנאי סף'!O255)</f>
        <v>1</v>
      </c>
      <c r="W255" s="109">
        <v>0</v>
      </c>
      <c r="X255" s="109">
        <v>0</v>
      </c>
      <c r="Y255" s="109">
        <v>1</v>
      </c>
      <c r="Z255" s="214">
        <f t="shared" si="38"/>
        <v>0</v>
      </c>
      <c r="AA255" s="213" t="str">
        <f>IF(OR($F255="",V255=0),"",IF(V255=1,IF(COUNTBLANK(W255:X255)&gt;0,$AG$2,IF(OR(Z255&lt;='פרמטרים לקריטריונים'!$C$27,X255&gt;W255),"",X255-W255))))</f>
        <v/>
      </c>
      <c r="AB255" s="214" t="str">
        <f t="shared" si="42"/>
        <v/>
      </c>
      <c r="AC255" s="225" t="str">
        <f>IF(OR(AB255="",U255=1),"",IF(OR(COUNTBLANK(W255:Y255)&gt;0,AB255&gt;='פרמטרים לקריטריונים'!$E$54),'פרמטרים לקריטריונים'!$F$54,INDEX('פרמטרים לקריטריונים'!$F$49:$F$54,MATCH(AB255,'פרמטרים לקריטריונים'!$E$49:$E$54,1))))</f>
        <v/>
      </c>
      <c r="AD255" s="213" t="str">
        <f t="shared" si="39"/>
        <v/>
      </c>
      <c r="AE255" s="213">
        <f t="shared" si="40"/>
        <v>3219913.0985113163</v>
      </c>
      <c r="AG255" s="175">
        <f t="shared" si="43"/>
        <v>0</v>
      </c>
    </row>
    <row r="256" spans="1:33" ht="15.75" x14ac:dyDescent="0.2">
      <c r="A256" s="206">
        <f t="shared" si="41"/>
        <v>226</v>
      </c>
      <c r="B256" s="88">
        <f>IF($F256="","",'הזנה לתנאי סף'!C256)</f>
        <v>1001347595</v>
      </c>
      <c r="C256" s="88">
        <f>IF($F256="","",'הזנה לתנאי סף'!D256)</f>
        <v>1001267946</v>
      </c>
      <c r="D256" s="88">
        <f>IF($F256="","",'הזנה לתנאי סף'!E256)</f>
        <v>40000345</v>
      </c>
      <c r="E256" s="88">
        <f>IF($F256="","",'הזנה לתנאי סף'!F256)</f>
        <v>20000159</v>
      </c>
      <c r="F256" s="88" t="str">
        <f>IF(OR('הזנה לתנאי סף'!G256="",'הזנה לתנאי סף'!BL256&lt;&gt;1),"",'הזנה לתנאי סף'!G256)</f>
        <v>ירושלים</v>
      </c>
      <c r="G256" s="88" t="str">
        <f>IF($F256="","",'הזנה לתנאי סף'!H256)</f>
        <v>מגדל דוד- מוזיאון לתולדות י-ם</v>
      </c>
      <c r="H256" s="88" t="str">
        <f>IF($F256="","",'הזנה לתנאי סף'!I256)</f>
        <v>מוזיאונים</v>
      </c>
      <c r="I256" s="109">
        <v>3470173</v>
      </c>
      <c r="J256" s="213">
        <f>IF($F256="","",'הזנה לתנאי סף'!S256)</f>
        <v>15436361</v>
      </c>
      <c r="K256" s="109">
        <v>0</v>
      </c>
      <c r="L256" s="213">
        <f t="shared" si="34"/>
        <v>18906534</v>
      </c>
      <c r="M256" s="213">
        <f>IF($F256="","",IF(L256='הזנה לתנאי סף'!R256,1,0))</f>
        <v>1</v>
      </c>
      <c r="N256" s="214">
        <f t="shared" si="35"/>
        <v>0.18354358339820509</v>
      </c>
      <c r="O256" s="214">
        <f t="shared" si="44"/>
        <v>0.81645641660179491</v>
      </c>
      <c r="P256" s="109">
        <v>19955753</v>
      </c>
      <c r="Q256" s="213">
        <f>IF($F256="","",IFERROR(IF(P256&gt;0,'פרמטרים לקריטריונים'!$C$25*P256*O256,$AG$2),""))</f>
        <v>4887900.7754911548</v>
      </c>
      <c r="R256" s="213">
        <f>IF($F256="","",IFERROR('פרמטרים לקריטריונים'!$C$26*Q256,""))</f>
        <v>1201942.8136453659</v>
      </c>
      <c r="S256" s="214">
        <f t="shared" si="36"/>
        <v>1.7812977463201457E-2</v>
      </c>
      <c r="T256" s="213">
        <f t="shared" si="37"/>
        <v>890648.87316007284</v>
      </c>
      <c r="U256" s="213">
        <f>IF($F256="","",'הזנה לתנאי סף'!N256)</f>
        <v>1</v>
      </c>
      <c r="V256" s="213">
        <f>IF($F256="","",'הזנה לתנאי סף'!O256)</f>
        <v>1</v>
      </c>
      <c r="W256" s="109"/>
      <c r="X256" s="109"/>
      <c r="Y256" s="109"/>
      <c r="Z256" s="214" t="str">
        <f t="shared" si="38"/>
        <v>בדוק נתוני הזנה</v>
      </c>
      <c r="AA256" s="213" t="str">
        <f>IF(OR($F256="",V256=0),"",IF(V256=1,IF(COUNTBLANK(W256:X256)&gt;0,$AG$2,IF(OR(Z256&lt;='פרמטרים לקריטריונים'!$C$27,X256&gt;W256),"",X256-W256))))</f>
        <v>בדוק נתוני הזנה</v>
      </c>
      <c r="AB256" s="214">
        <f t="shared" si="42"/>
        <v>0</v>
      </c>
      <c r="AC256" s="225" t="str">
        <f>IF(OR(AB256="",U256=1),"",IF(OR(COUNTBLANK(W256:Y256)&gt;0,AB256&gt;='פרמטרים לקריטריונים'!$E$54),'פרמטרים לקריטריונים'!$F$54,INDEX('פרמטרים לקריטריונים'!$F$49:$F$54,MATCH(AB256,'פרמטרים לקריטריונים'!$E$49:$E$54,1))))</f>
        <v/>
      </c>
      <c r="AD256" s="213" t="str">
        <f t="shared" si="39"/>
        <v/>
      </c>
      <c r="AE256" s="213">
        <f t="shared" si="40"/>
        <v>890648.87316007284</v>
      </c>
      <c r="AG256" s="175">
        <f t="shared" si="43"/>
        <v>1</v>
      </c>
    </row>
    <row r="257" spans="1:33" ht="15.75" x14ac:dyDescent="0.2">
      <c r="A257" s="206">
        <f t="shared" si="41"/>
        <v>227</v>
      </c>
      <c r="B257" s="88">
        <f>IF($F257="","",'הזנה לתנאי סף'!C257)</f>
        <v>1001346662</v>
      </c>
      <c r="C257" s="88">
        <f>IF($F257="","",'הזנה לתנאי סף'!D257)</f>
        <v>1001278692</v>
      </c>
      <c r="D257" s="88">
        <f>IF($F257="","",'הזנה לתנאי סף'!E257)</f>
        <v>40000362</v>
      </c>
      <c r="E257" s="88">
        <f>IF($F257="","",'הזנה לתנאי סף'!F257)</f>
        <v>20000159</v>
      </c>
      <c r="F257" s="88" t="str">
        <f>IF(OR('הזנה לתנאי סף'!G257="",'הזנה לתנאי סף'!BL257&lt;&gt;1),"",'הזנה לתנאי סף'!G257)</f>
        <v>ירושלים</v>
      </c>
      <c r="G257" s="88" t="str">
        <f>IF($F257="","",'הזנה לתנאי סף'!H257)</f>
        <v>מרכז עדן תמיר למוסיקה</v>
      </c>
      <c r="H257" s="88" t="str">
        <f>IF($F257="","",'הזנה לתנאי סף'!I257)</f>
        <v>מרכזי מוסיקה</v>
      </c>
      <c r="I257" s="109">
        <v>265658</v>
      </c>
      <c r="J257" s="213">
        <f>IF($F257="","",'הזנה לתנאי סף'!S257)</f>
        <v>341209</v>
      </c>
      <c r="K257" s="109">
        <v>0</v>
      </c>
      <c r="L257" s="213">
        <f t="shared" si="34"/>
        <v>606867</v>
      </c>
      <c r="M257" s="213">
        <f>IF($F257="","",IF(L257='הזנה לתנאי סף'!R257,1,0))</f>
        <v>1</v>
      </c>
      <c r="N257" s="214">
        <f t="shared" si="35"/>
        <v>0.43775324741664978</v>
      </c>
      <c r="O257" s="214">
        <f t="shared" si="44"/>
        <v>0.56224675258335022</v>
      </c>
      <c r="P257" s="109">
        <v>719447</v>
      </c>
      <c r="Q257" s="213">
        <f>IF($F257="","",IFERROR(IF(P257&gt;0,'פרמטרים לקריטריונים'!$C$25*P257*O257,$AG$2),""))</f>
        <v>121352.02182175007</v>
      </c>
      <c r="R257" s="213">
        <f>IF($F257="","",IFERROR('פרמטרים לקריטריונים'!$C$26*Q257,""))</f>
        <v>29840.661103709033</v>
      </c>
      <c r="S257" s="214">
        <f t="shared" si="36"/>
        <v>4.422431896865901E-4</v>
      </c>
      <c r="T257" s="213">
        <f t="shared" si="37"/>
        <v>22112.159484329506</v>
      </c>
      <c r="U257" s="213">
        <f>IF($F257="","",'הזנה לתנאי סף'!N257)</f>
        <v>1</v>
      </c>
      <c r="V257" s="213">
        <f>IF($F257="","",'הזנה לתנאי סף'!O257)</f>
        <v>1</v>
      </c>
      <c r="W257" s="109"/>
      <c r="X257" s="109"/>
      <c r="Y257" s="109"/>
      <c r="Z257" s="214" t="str">
        <f t="shared" si="38"/>
        <v>בדוק נתוני הזנה</v>
      </c>
      <c r="AA257" s="213" t="str">
        <f>IF(OR($F257="",V257=0),"",IF(V257=1,IF(COUNTBLANK(W257:X257)&gt;0,$AG$2,IF(OR(Z257&lt;='פרמטרים לקריטריונים'!$C$27,X257&gt;W257),"",X257-W257))))</f>
        <v>בדוק נתוני הזנה</v>
      </c>
      <c r="AB257" s="214">
        <f t="shared" si="42"/>
        <v>0</v>
      </c>
      <c r="AC257" s="225" t="str">
        <f>IF(OR(AB257="",U257=1),"",IF(OR(COUNTBLANK(W257:Y257)&gt;0,AB257&gt;='פרמטרים לקריטריונים'!$E$54),'פרמטרים לקריטריונים'!$F$54,INDEX('פרמטרים לקריטריונים'!$F$49:$F$54,MATCH(AB257,'פרמטרים לקריטריונים'!$E$49:$E$54,1))))</f>
        <v/>
      </c>
      <c r="AD257" s="213" t="str">
        <f t="shared" si="39"/>
        <v/>
      </c>
      <c r="AE257" s="213">
        <f t="shared" si="40"/>
        <v>22112.159484329506</v>
      </c>
      <c r="AG257" s="175">
        <f t="shared" si="43"/>
        <v>1</v>
      </c>
    </row>
    <row r="258" spans="1:33" ht="15.75" x14ac:dyDescent="0.2">
      <c r="A258" s="206">
        <f t="shared" si="41"/>
        <v>228</v>
      </c>
      <c r="B258" s="88">
        <f>IF($F258="","",'הזנה לתנאי סף'!C258)</f>
        <v>1001348984</v>
      </c>
      <c r="C258" s="88">
        <f>IF($F258="","",'הזנה לתנאי סף'!D258)</f>
        <v>1001299405</v>
      </c>
      <c r="D258" s="88">
        <f>IF($F258="","",'הזנה לתנאי סף'!E258)</f>
        <v>40000699</v>
      </c>
      <c r="E258" s="88">
        <f>IF($F258="","",'הזנה לתנאי סף'!F258)</f>
        <v>20000102</v>
      </c>
      <c r="F258" s="88" t="str">
        <f>IF(OR('הזנה לתנאי סף'!G258="",'הזנה לתנאי סף'!BL258&lt;&gt;1),"",'הזנה לתנאי סף'!G258)</f>
        <v>מעלות-תרשיחא</v>
      </c>
      <c r="G258" s="88" t="str">
        <f>IF($F258="","",'הזנה לתנאי סף'!H258)</f>
        <v>"קתרין" לקידום המוסיקה, מחול ואומנו</v>
      </c>
      <c r="H258" s="88" t="str">
        <f>IF($F258="","",'הזנה לתנאי סף'!I258)</f>
        <v>אחר</v>
      </c>
      <c r="I258" s="109">
        <v>316030</v>
      </c>
      <c r="J258" s="213">
        <f>IF($F258="","",'הזנה לתנאי סף'!S258)</f>
        <v>603935</v>
      </c>
      <c r="K258" s="109">
        <v>163063</v>
      </c>
      <c r="L258" s="213">
        <f t="shared" si="34"/>
        <v>1083028</v>
      </c>
      <c r="M258" s="213">
        <f>IF($F258="","",IF(L258='הזנה לתנאי סף'!R258,1,0))</f>
        <v>1</v>
      </c>
      <c r="N258" s="214">
        <f t="shared" si="35"/>
        <v>0.29180224333996907</v>
      </c>
      <c r="O258" s="214">
        <f t="shared" si="44"/>
        <v>0.70819775666003093</v>
      </c>
      <c r="P258" s="109">
        <v>1335285</v>
      </c>
      <c r="Q258" s="213">
        <f>IF($F258="","",IFERROR(IF(P258&gt;0,'פרמטרים לקריטריונים'!$C$25*P258*O258,$AG$2),""))</f>
        <v>283693.75245053682</v>
      </c>
      <c r="R258" s="213">
        <f>IF($F258="","",IFERROR('פרמטרים לקריטריונים'!$C$26*Q258,""))</f>
        <v>69760.758799312331</v>
      </c>
      <c r="S258" s="214">
        <f t="shared" si="36"/>
        <v>1.0338651807727578E-3</v>
      </c>
      <c r="T258" s="213">
        <f t="shared" si="37"/>
        <v>51693.259038637887</v>
      </c>
      <c r="U258" s="213">
        <f>IF($F258="","",'הזנה לתנאי סף'!N258)</f>
        <v>0</v>
      </c>
      <c r="V258" s="213">
        <f>IF($F258="","",'הזנה לתנאי סף'!O258)</f>
        <v>1</v>
      </c>
      <c r="W258" s="109">
        <v>0</v>
      </c>
      <c r="X258" s="109">
        <v>0</v>
      </c>
      <c r="Y258" s="109">
        <v>1</v>
      </c>
      <c r="Z258" s="214">
        <f t="shared" si="38"/>
        <v>0</v>
      </c>
      <c r="AA258" s="213" t="str">
        <f>IF(OR($F258="",V258=0),"",IF(V258=1,IF(COUNTBLANK(W258:X258)&gt;0,$AG$2,IF(OR(Z258&lt;='פרמטרים לקריטריונים'!$C$27,X258&gt;W258),"",X258-W258))))</f>
        <v/>
      </c>
      <c r="AB258" s="214" t="str">
        <f t="shared" si="42"/>
        <v/>
      </c>
      <c r="AC258" s="225" t="str">
        <f>IF(OR(AB258="",U258=1),"",IF(OR(COUNTBLANK(W258:Y258)&gt;0,AB258&gt;='פרמטרים לקריטריונים'!$E$54),'פרמטרים לקריטריונים'!$F$54,INDEX('פרמטרים לקריטריונים'!$F$49:$F$54,MATCH(AB258,'פרמטרים לקריטריונים'!$E$49:$E$54,1))))</f>
        <v/>
      </c>
      <c r="AD258" s="213" t="str">
        <f t="shared" si="39"/>
        <v/>
      </c>
      <c r="AE258" s="213">
        <f t="shared" si="40"/>
        <v>51693.259038637887</v>
      </c>
      <c r="AG258" s="175">
        <f t="shared" si="43"/>
        <v>0</v>
      </c>
    </row>
    <row r="259" spans="1:33" ht="15.75" x14ac:dyDescent="0.2">
      <c r="A259" s="206">
        <f t="shared" si="41"/>
        <v>229</v>
      </c>
      <c r="B259" s="88">
        <f>IF($F259="","",'הזנה לתנאי סף'!C259)</f>
        <v>1001347694</v>
      </c>
      <c r="C259" s="88">
        <f>IF($F259="","",'הזנה לתנאי סף'!D259)</f>
        <v>1001302279</v>
      </c>
      <c r="D259" s="88">
        <f>IF($F259="","",'הזנה לתנאי סף'!E259)</f>
        <v>41968223</v>
      </c>
      <c r="E259" s="88">
        <f>IF($F259="","",'הזנה לתנאי סף'!F259)</f>
        <v>20000150</v>
      </c>
      <c r="F259" s="88" t="str">
        <f>IF(OR('הזנה לתנאי סף'!G259="",'הזנה לתנאי סף'!BL259&lt;&gt;1),"",'הזנה לתנאי סף'!G259)</f>
        <v>קריית גת</v>
      </c>
      <c r="G259" s="88" t="str">
        <f>IF($F259="","",'הזנה לתנאי סף'!H259)</f>
        <v>מוזיקה פורטת גבולות</v>
      </c>
      <c r="H259" s="88" t="str">
        <f>IF($F259="","",'הזנה לתנאי סף'!I259)</f>
        <v>תרבות בקהילה</v>
      </c>
      <c r="I259" s="109">
        <v>0</v>
      </c>
      <c r="J259" s="213">
        <f>IF($F259="","",'הזנה לתנאי סף'!S259)</f>
        <v>345056</v>
      </c>
      <c r="K259" s="109">
        <v>0</v>
      </c>
      <c r="L259" s="213">
        <f t="shared" si="34"/>
        <v>345056</v>
      </c>
      <c r="M259" s="213">
        <f>IF($F259="","",IF(L259='הזנה לתנאי סף'!R259,1,0))</f>
        <v>1</v>
      </c>
      <c r="N259" s="214">
        <f t="shared" si="35"/>
        <v>0</v>
      </c>
      <c r="O259" s="214">
        <f t="shared" si="44"/>
        <v>1</v>
      </c>
      <c r="P259" s="109">
        <v>456250</v>
      </c>
      <c r="Q259" s="213">
        <f>IF($F259="","",IFERROR(IF(P259&gt;0,'פרמטרים לקריטריונים'!$C$25*P259*O259,$AG$2),""))</f>
        <v>136875</v>
      </c>
      <c r="R259" s="213">
        <f>IF($F259="","",IFERROR('פרמטרים לקריטריונים'!$C$26*Q259,""))</f>
        <v>33657.7868852459</v>
      </c>
      <c r="S259" s="214">
        <f t="shared" si="36"/>
        <v>4.988135811800936E-4</v>
      </c>
      <c r="T259" s="213">
        <f t="shared" si="37"/>
        <v>24940.67905900468</v>
      </c>
      <c r="U259" s="213">
        <f>IF($F259="","",'הזנה לתנאי סף'!N259)</f>
        <v>0</v>
      </c>
      <c r="V259" s="213">
        <f>IF($F259="","",'הזנה לתנאי סף'!O259)</f>
        <v>1</v>
      </c>
      <c r="W259" s="109">
        <v>0</v>
      </c>
      <c r="X259" s="109">
        <v>0</v>
      </c>
      <c r="Y259" s="109">
        <v>1</v>
      </c>
      <c r="Z259" s="214">
        <f t="shared" si="38"/>
        <v>0</v>
      </c>
      <c r="AA259" s="213" t="str">
        <f>IF(OR($F259="",V259=0),"",IF(V259=1,IF(COUNTBLANK(W259:X259)&gt;0,$AG$2,IF(OR(Z259&lt;='פרמטרים לקריטריונים'!$C$27,X259&gt;W259),"",X259-W259))))</f>
        <v/>
      </c>
      <c r="AB259" s="214" t="str">
        <f t="shared" si="42"/>
        <v/>
      </c>
      <c r="AC259" s="225" t="str">
        <f>IF(OR(AB259="",U259=1),"",IF(OR(COUNTBLANK(W259:Y259)&gt;0,AB259&gt;='פרמטרים לקריטריונים'!$E$54),'פרמטרים לקריטריונים'!$F$54,INDEX('פרמטרים לקריטריונים'!$F$49:$F$54,MATCH(AB259,'פרמטרים לקריטריונים'!$E$49:$E$54,1))))</f>
        <v/>
      </c>
      <c r="AD259" s="213" t="str">
        <f t="shared" si="39"/>
        <v/>
      </c>
      <c r="AE259" s="213">
        <f t="shared" si="40"/>
        <v>24940.67905900468</v>
      </c>
      <c r="AG259" s="175">
        <f t="shared" si="43"/>
        <v>0</v>
      </c>
    </row>
    <row r="260" spans="1:33" ht="15.75" x14ac:dyDescent="0.2">
      <c r="A260" s="206">
        <f t="shared" si="41"/>
        <v>230</v>
      </c>
      <c r="B260" s="88">
        <f>IF($F260="","",'הזנה לתנאי סף'!C260)</f>
        <v>1001349548</v>
      </c>
      <c r="C260" s="88">
        <f>IF($F260="","",'הזנה לתנאי סף'!D260)</f>
        <v>1001302223</v>
      </c>
      <c r="D260" s="88">
        <f>IF($F260="","",'הזנה לתנאי סף'!E260)</f>
        <v>40221328</v>
      </c>
      <c r="E260" s="88">
        <f>IF($F260="","",'הזנה לתנאי סף'!F260)</f>
        <v>20000035</v>
      </c>
      <c r="F260" s="88" t="str">
        <f>IF(OR('הזנה לתנאי סף'!G260="",'הזנה לתנאי סף'!BL260&lt;&gt;1),"",'הזנה לתנאי סף'!G260)</f>
        <v>מגאר</v>
      </c>
      <c r="G260" s="88" t="str">
        <f>IF($F260="","",'הזנה לתנאי סף'!H260)</f>
        <v>תיאטרון הגליל הקהילתי</v>
      </c>
      <c r="H260" s="88" t="str">
        <f>IF($F260="","",'הזנה לתנאי סף'!I260)</f>
        <v>תיאטרון</v>
      </c>
      <c r="I260" s="109">
        <v>320000</v>
      </c>
      <c r="J260" s="213">
        <f>IF($F260="","",'הזנה לתנאי סף'!S260)</f>
        <v>262378</v>
      </c>
      <c r="K260" s="109">
        <v>81858</v>
      </c>
      <c r="L260" s="213">
        <f t="shared" si="34"/>
        <v>664236</v>
      </c>
      <c r="M260" s="213">
        <f>IF($F260="","",IF(L260='הזנה לתנאי סף'!R260,1,0))</f>
        <v>1</v>
      </c>
      <c r="N260" s="214">
        <f t="shared" si="35"/>
        <v>0.48175648414117872</v>
      </c>
      <c r="O260" s="214">
        <f t="shared" si="44"/>
        <v>0.51824351585882122</v>
      </c>
      <c r="P260" s="109">
        <v>536960</v>
      </c>
      <c r="Q260" s="213">
        <f>IF($F260="","",IFERROR(IF(P260&gt;0,'פרמטרים לקריטריונים'!$C$25*P260*O260,$AG$2),""))</f>
        <v>83482.811482665798</v>
      </c>
      <c r="R260" s="213">
        <f>IF($F260="","",IFERROR('פרמטרים לקריטריונים'!$C$26*Q260,""))</f>
        <v>20528.560200655524</v>
      </c>
      <c r="S260" s="214">
        <f t="shared" si="36"/>
        <v>3.0423642127964322E-4</v>
      </c>
      <c r="T260" s="213">
        <f t="shared" si="37"/>
        <v>15211.821063982161</v>
      </c>
      <c r="U260" s="213">
        <f>IF($F260="","",'הזנה לתנאי סף'!N260)</f>
        <v>0</v>
      </c>
      <c r="V260" s="213">
        <f>IF($F260="","",'הזנה לתנאי סף'!O260)</f>
        <v>1</v>
      </c>
      <c r="W260" s="109">
        <v>0</v>
      </c>
      <c r="X260" s="109">
        <v>0</v>
      </c>
      <c r="Y260" s="109">
        <v>1</v>
      </c>
      <c r="Z260" s="214">
        <f t="shared" si="38"/>
        <v>0</v>
      </c>
      <c r="AA260" s="213" t="str">
        <f>IF(OR($F260="",V260=0),"",IF(V260=1,IF(COUNTBLANK(W260:X260)&gt;0,$AG$2,IF(OR(Z260&lt;='פרמטרים לקריטריונים'!$C$27,X260&gt;W260),"",X260-W260))))</f>
        <v/>
      </c>
      <c r="AB260" s="214" t="str">
        <f t="shared" si="42"/>
        <v/>
      </c>
      <c r="AC260" s="225" t="str">
        <f>IF(OR(AB260="",U260=1),"",IF(OR(COUNTBLANK(W260:Y260)&gt;0,AB260&gt;='פרמטרים לקריטריונים'!$E$54),'פרמטרים לקריטריונים'!$F$54,INDEX('פרמטרים לקריטריונים'!$F$49:$F$54,MATCH(AB260,'פרמטרים לקריטריונים'!$E$49:$E$54,1))))</f>
        <v/>
      </c>
      <c r="AD260" s="213" t="str">
        <f t="shared" si="39"/>
        <v/>
      </c>
      <c r="AE260" s="213">
        <f t="shared" si="40"/>
        <v>15211.821063982161</v>
      </c>
      <c r="AG260" s="175">
        <f t="shared" si="43"/>
        <v>0</v>
      </c>
    </row>
    <row r="261" spans="1:33" ht="15.75" x14ac:dyDescent="0.2">
      <c r="A261" s="206">
        <f t="shared" si="41"/>
        <v>231</v>
      </c>
      <c r="B261" s="88">
        <f>IF($F261="","",'הזנה לתנאי סף'!C261)</f>
        <v>1001347151</v>
      </c>
      <c r="C261" s="88">
        <f>IF($F261="","",'הזנה לתנאי סף'!D261)</f>
        <v>1001273224</v>
      </c>
      <c r="D261" s="88">
        <f>IF($F261="","",'הזנה לתנאי סף'!E261)</f>
        <v>41072447</v>
      </c>
      <c r="E261" s="88">
        <f>IF($F261="","",'הזנה לתנאי סף'!F261)</f>
        <v>20000159</v>
      </c>
      <c r="F261" s="88" t="str">
        <f>IF(OR('הזנה לתנאי סף'!G261="",'הזנה לתנאי סף'!BL261&lt;&gt;1),"",'הזנה לתנאי סף'!G261)</f>
        <v>ירושלים</v>
      </c>
      <c r="G261" s="88" t="str">
        <f>IF($F261="","",'הזנה לתנאי סף'!H261)</f>
        <v>מחול שלם - בית עכשווי למחול (ע"ר)</v>
      </c>
      <c r="H261" s="88" t="str">
        <f>IF($F261="","",'הזנה לתנאי סף'!I261)</f>
        <v>מרכזי מחול</v>
      </c>
      <c r="I261" s="109">
        <v>757773</v>
      </c>
      <c r="J261" s="213">
        <f>IF($F261="","",'הזנה לתנאי סף'!S261)</f>
        <v>692995</v>
      </c>
      <c r="K261" s="109">
        <v>0</v>
      </c>
      <c r="L261" s="213">
        <f t="shared" si="34"/>
        <v>1450768</v>
      </c>
      <c r="M261" s="213">
        <f>IF($F261="","",IF(L261='הזנה לתנאי סף'!R261,1,0))</f>
        <v>1</v>
      </c>
      <c r="N261" s="214">
        <f t="shared" si="35"/>
        <v>0.52232541660692822</v>
      </c>
      <c r="O261" s="214">
        <f t="shared" si="44"/>
        <v>0.47767458339307178</v>
      </c>
      <c r="P261" s="109">
        <v>1543025</v>
      </c>
      <c r="Q261" s="213">
        <f>IF($F261="","",IFERROR(IF(P261&gt;0,'פרמטרים לקריטריונים'!$C$25*P261*O261,$AG$2),""))</f>
        <v>221119.14721202839</v>
      </c>
      <c r="R261" s="213">
        <f>IF($F261="","",IFERROR('פרמטרים לקריטריונים'!$C$26*Q261,""))</f>
        <v>54373.560789843046</v>
      </c>
      <c r="S261" s="214">
        <f t="shared" si="36"/>
        <v>8.0582453836215663E-4</v>
      </c>
      <c r="T261" s="213">
        <f t="shared" si="37"/>
        <v>40291.22691810783</v>
      </c>
      <c r="U261" s="213">
        <f>IF($F261="","",'הזנה לתנאי סף'!N261)</f>
        <v>1</v>
      </c>
      <c r="V261" s="213">
        <f>IF($F261="","",'הזנה לתנאי סף'!O261)</f>
        <v>1</v>
      </c>
      <c r="W261" s="109"/>
      <c r="X261" s="109"/>
      <c r="Y261" s="109"/>
      <c r="Z261" s="214" t="str">
        <f t="shared" si="38"/>
        <v>בדוק נתוני הזנה</v>
      </c>
      <c r="AA261" s="213" t="str">
        <f>IF(OR($F261="",V261=0),"",IF(V261=1,IF(COUNTBLANK(W261:X261)&gt;0,$AG$2,IF(OR(Z261&lt;='פרמטרים לקריטריונים'!$C$27,X261&gt;W261),"",X261-W261))))</f>
        <v>בדוק נתוני הזנה</v>
      </c>
      <c r="AB261" s="214">
        <f t="shared" si="42"/>
        <v>1</v>
      </c>
      <c r="AC261" s="225" t="str">
        <f>IF(OR(AB261="",U261=1),"",IF(OR(COUNTBLANK(W261:Y261)&gt;0,AB261&gt;='פרמטרים לקריטריונים'!$E$54),'פרמטרים לקריטריונים'!$F$54,INDEX('פרמטרים לקריטריונים'!$F$49:$F$54,MATCH(AB261,'פרמטרים לקריטריונים'!$E$49:$E$54,1))))</f>
        <v/>
      </c>
      <c r="AD261" s="213" t="str">
        <f t="shared" si="39"/>
        <v/>
      </c>
      <c r="AE261" s="213">
        <f t="shared" si="40"/>
        <v>40291.22691810783</v>
      </c>
      <c r="AG261" s="175">
        <f t="shared" si="43"/>
        <v>1</v>
      </c>
    </row>
    <row r="262" spans="1:33" ht="15.75" x14ac:dyDescent="0.2">
      <c r="A262" s="206">
        <f t="shared" si="41"/>
        <v>232</v>
      </c>
      <c r="B262" s="88">
        <f>IF($F262="","",'הזנה לתנאי סף'!C262)</f>
        <v>1001347854</v>
      </c>
      <c r="C262" s="88">
        <f>IF($F262="","",'הזנה לתנאי סף'!D262)</f>
        <v>1001302179</v>
      </c>
      <c r="D262" s="88">
        <f>IF($F262="","",'הזנה לתנאי סף'!E262)</f>
        <v>41072447</v>
      </c>
      <c r="E262" s="88">
        <f>IF($F262="","",'הזנה לתנאי סף'!F262)</f>
        <v>20000159</v>
      </c>
      <c r="F262" s="88" t="str">
        <f>IF(OR('הזנה לתנאי סף'!G262="",'הזנה לתנאי סף'!BL262&lt;&gt;1),"",'הזנה לתנאי סף'!G262)</f>
        <v>ירושלים</v>
      </c>
      <c r="G262" s="88" t="str">
        <f>IF($F262="","",'הזנה לתנאי סף'!H262)</f>
        <v>מחול שלם - בית עכשווי למחול (ע"ר)</v>
      </c>
      <c r="H262" s="88" t="str">
        <f>IF($F262="","",'הזנה לתנאי סף'!I262)</f>
        <v>מחול</v>
      </c>
      <c r="I262" s="109">
        <v>30979</v>
      </c>
      <c r="J262" s="213">
        <f>IF($F262="","",'הזנה לתנאי סף'!S262)</f>
        <v>80905</v>
      </c>
      <c r="K262" s="109">
        <v>0</v>
      </c>
      <c r="L262" s="213">
        <f t="shared" si="34"/>
        <v>111884</v>
      </c>
      <c r="M262" s="213">
        <f>IF($F262="","",IF(L262='הזנה לתנאי סף'!R262,1,0))</f>
        <v>1</v>
      </c>
      <c r="N262" s="214">
        <f t="shared" si="35"/>
        <v>0.27688498802330985</v>
      </c>
      <c r="O262" s="214">
        <f t="shared" si="44"/>
        <v>0.72311501197669015</v>
      </c>
      <c r="P262" s="109">
        <v>99965</v>
      </c>
      <c r="Q262" s="213">
        <f>IF($F262="","",IFERROR(IF(P262&gt;0,'פרמטרים לקריטריונים'!$C$25*P262*O262,$AG$2),""))</f>
        <v>21685.857651674949</v>
      </c>
      <c r="R262" s="213">
        <f>IF($F262="","",IFERROR('פרמטרים לקריטריונים'!$C$26*Q262,""))</f>
        <v>5332.5879471331837</v>
      </c>
      <c r="S262" s="214">
        <f t="shared" si="36"/>
        <v>7.9029773999588792E-5</v>
      </c>
      <c r="T262" s="213">
        <f t="shared" si="37"/>
        <v>3951.4886999794394</v>
      </c>
      <c r="U262" s="213">
        <f>IF($F262="","",'הזנה לתנאי סף'!N262)</f>
        <v>1</v>
      </c>
      <c r="V262" s="213">
        <f>IF($F262="","",'הזנה לתנאי סף'!O262)</f>
        <v>1</v>
      </c>
      <c r="W262" s="109"/>
      <c r="X262" s="109"/>
      <c r="Y262" s="109"/>
      <c r="Z262" s="214" t="str">
        <f t="shared" si="38"/>
        <v>בדוק נתוני הזנה</v>
      </c>
      <c r="AA262" s="213" t="str">
        <f>IF(OR($F262="",V262=0),"",IF(V262=1,IF(COUNTBLANK(W262:X262)&gt;0,$AG$2,IF(OR(Z262&lt;='פרמטרים לקריטריונים'!$C$27,X262&gt;W262),"",X262-W262))))</f>
        <v>בדוק נתוני הזנה</v>
      </c>
      <c r="AB262" s="214">
        <f t="shared" si="42"/>
        <v>1</v>
      </c>
      <c r="AC262" s="225" t="str">
        <f>IF(OR(AB262="",U262=1),"",IF(OR(COUNTBLANK(W262:Y262)&gt;0,AB262&gt;='פרמטרים לקריטריונים'!$E$54),'פרמטרים לקריטריונים'!$F$54,INDEX('פרמטרים לקריטריונים'!$F$49:$F$54,MATCH(AB262,'פרמטרים לקריטריונים'!$E$49:$E$54,1))))</f>
        <v/>
      </c>
      <c r="AD262" s="213" t="str">
        <f t="shared" si="39"/>
        <v/>
      </c>
      <c r="AE262" s="213">
        <f t="shared" si="40"/>
        <v>3951.4886999794394</v>
      </c>
      <c r="AG262" s="175">
        <f t="shared" si="43"/>
        <v>1</v>
      </c>
    </row>
    <row r="263" spans="1:33" ht="15.75" x14ac:dyDescent="0.2">
      <c r="A263" s="206">
        <f t="shared" si="41"/>
        <v>233</v>
      </c>
      <c r="B263" s="88">
        <f>IF($F263="","",'הזנה לתנאי סף'!C263)</f>
        <v>1001347063</v>
      </c>
      <c r="C263" s="88">
        <f>IF($F263="","",'הזנה לתנאי סף'!D263)</f>
        <v>1001290740</v>
      </c>
      <c r="D263" s="88">
        <f>IF($F263="","",'הזנה לתנאי סף'!E263)</f>
        <v>41635660</v>
      </c>
      <c r="E263" s="88">
        <f>IF($F263="","",'הזנה לתנאי סף'!F263)</f>
        <v>20000254</v>
      </c>
      <c r="F263" s="88" t="str">
        <f>IF(OR('הזנה לתנאי סף'!G263="",'הזנה לתנאי סף'!BL263&lt;&gt;1),"",'הזנה לתנאי סף'!G263)</f>
        <v>באר שבע</v>
      </c>
      <c r="G263" s="88" t="str">
        <f>IF($F263="","",'הזנה לתנאי סף'!H263)</f>
        <v>עמותת הבית למחול</v>
      </c>
      <c r="H263" s="88" t="str">
        <f>IF($F263="","",'הזנה לתנאי סף'!I263)</f>
        <v>מחול</v>
      </c>
      <c r="I263" s="109">
        <v>340714</v>
      </c>
      <c r="J263" s="213">
        <f>IF($F263="","",'הזנה לתנאי סף'!S263)</f>
        <v>276585</v>
      </c>
      <c r="K263" s="109">
        <v>0</v>
      </c>
      <c r="L263" s="213">
        <f t="shared" si="34"/>
        <v>617299</v>
      </c>
      <c r="M263" s="213">
        <f>IF($F263="","",IF(L263='הזנה לתנאי סף'!R263,1,0))</f>
        <v>1</v>
      </c>
      <c r="N263" s="214">
        <f t="shared" si="35"/>
        <v>0.551943223624208</v>
      </c>
      <c r="O263" s="214">
        <f t="shared" si="44"/>
        <v>0.448056776375792</v>
      </c>
      <c r="P263" s="109">
        <v>417172</v>
      </c>
      <c r="Q263" s="213">
        <f>IF($F263="","",IFERROR(IF(P263&gt;0,'פרמטרים לקריטריונים'!$C$25*P263*O263,$AG$2),""))</f>
        <v>56075.022454272563</v>
      </c>
      <c r="R263" s="213">
        <f>IF($F263="","",IFERROR('פרמטרים לקריטריונים'!$C$26*Q263,""))</f>
        <v>13788.939947771942</v>
      </c>
      <c r="S263" s="214">
        <f t="shared" si="36"/>
        <v>2.0435421198297614E-4</v>
      </c>
      <c r="T263" s="213">
        <f t="shared" si="37"/>
        <v>10217.710599148806</v>
      </c>
      <c r="U263" s="213">
        <f>IF($F263="","",'הזנה לתנאי סף'!N263)</f>
        <v>0</v>
      </c>
      <c r="V263" s="213">
        <f>IF($F263="","",'הזנה לתנאי סף'!O263)</f>
        <v>1</v>
      </c>
      <c r="W263" s="109">
        <v>0</v>
      </c>
      <c r="X263" s="109">
        <v>0</v>
      </c>
      <c r="Y263" s="109">
        <v>1</v>
      </c>
      <c r="Z263" s="214">
        <f t="shared" si="38"/>
        <v>0</v>
      </c>
      <c r="AA263" s="213" t="str">
        <f>IF(OR($F263="",V263=0),"",IF(V263=1,IF(COUNTBLANK(W263:X263)&gt;0,$AG$2,IF(OR(Z263&lt;='פרמטרים לקריטריונים'!$C$27,X263&gt;W263),"",X263-W263))))</f>
        <v/>
      </c>
      <c r="AB263" s="214" t="str">
        <f t="shared" si="42"/>
        <v/>
      </c>
      <c r="AC263" s="225" t="str">
        <f>IF(OR(AB263="",U263=1),"",IF(OR(COUNTBLANK(W263:Y263)&gt;0,AB263&gt;='פרמטרים לקריטריונים'!$E$54),'פרמטרים לקריטריונים'!$F$54,INDEX('פרמטרים לקריטריונים'!$F$49:$F$54,MATCH(AB263,'פרמטרים לקריטריונים'!$E$49:$E$54,1))))</f>
        <v/>
      </c>
      <c r="AD263" s="213" t="str">
        <f t="shared" si="39"/>
        <v/>
      </c>
      <c r="AE263" s="213">
        <f t="shared" si="40"/>
        <v>10217.710599148806</v>
      </c>
      <c r="AG263" s="175">
        <f t="shared" si="43"/>
        <v>0</v>
      </c>
    </row>
    <row r="264" spans="1:33" ht="15.75" x14ac:dyDescent="0.2">
      <c r="A264" s="206">
        <f t="shared" si="41"/>
        <v>234</v>
      </c>
      <c r="B264" s="88">
        <f>IF($F264="","",'הזנה לתנאי סף'!C264)</f>
        <v>1001347315</v>
      </c>
      <c r="C264" s="88">
        <f>IF($F264="","",'הזנה לתנאי סף'!D264)</f>
        <v>1001270643</v>
      </c>
      <c r="D264" s="88">
        <f>IF($F264="","",'הזנה לתנאי סף'!E264)</f>
        <v>40000252</v>
      </c>
      <c r="E264" s="88">
        <f>IF($F264="","",'הזנה לתנאי סף'!F264)</f>
        <v>20000182</v>
      </c>
      <c r="F264" s="88" t="str">
        <f>IF(OR('הזנה לתנאי סף'!G264="",'הזנה לתנאי סף'!BL264&lt;&gt;1),"",'הזנה לתנאי סף'!G264)</f>
        <v>חיפה</v>
      </c>
      <c r="G264" s="88" t="str">
        <f>IF($F264="","",'הזנה לתנאי סף'!H264)</f>
        <v>אתו"ס - החברה לאומנות תרבות וספורט</v>
      </c>
      <c r="H264" s="88" t="str">
        <f>IF($F264="","",'הזנה לתנאי סף'!I264)</f>
        <v>אחר</v>
      </c>
      <c r="I264" s="109">
        <v>442000</v>
      </c>
      <c r="J264" s="213">
        <f>IF($F264="","",'הזנה לתנאי סף'!S264)</f>
        <v>182000</v>
      </c>
      <c r="K264" s="109"/>
      <c r="L264" s="213">
        <f t="shared" si="34"/>
        <v>624000</v>
      </c>
      <c r="M264" s="213">
        <f>IF($F264="","",IF(L264='הזנה לתנאי סף'!R264,1,0))</f>
        <v>1</v>
      </c>
      <c r="N264" s="214">
        <f t="shared" si="35"/>
        <v>0.70833333333333337</v>
      </c>
      <c r="O264" s="214">
        <f t="shared" si="44"/>
        <v>0.29166666666666663</v>
      </c>
      <c r="P264" s="109">
        <v>624000</v>
      </c>
      <c r="Q264" s="213">
        <f>IF($F264="","",IFERROR(IF(P264&gt;0,'פרמטרים לקריטריונים'!$C$25*P264*O264,$AG$2),""))</f>
        <v>54599.999999999993</v>
      </c>
      <c r="R264" s="213">
        <f>IF($F264="","",IFERROR('פרמטרים לקריטריונים'!$C$26*Q264,""))</f>
        <v>13426.229508196719</v>
      </c>
      <c r="S264" s="214">
        <f t="shared" si="36"/>
        <v>1.9897878745156608E-4</v>
      </c>
      <c r="T264" s="213">
        <f t="shared" si="37"/>
        <v>9948.9393725783029</v>
      </c>
      <c r="U264" s="213">
        <f>IF($F264="","",'הזנה לתנאי סף'!N264)</f>
        <v>1</v>
      </c>
      <c r="V264" s="213">
        <f>IF($F264="","",'הזנה לתנאי סף'!O264)</f>
        <v>0</v>
      </c>
      <c r="W264" s="109"/>
      <c r="X264" s="109"/>
      <c r="Y264" s="109"/>
      <c r="Z264" s="214" t="str">
        <f t="shared" si="38"/>
        <v/>
      </c>
      <c r="AA264" s="213" t="str">
        <f>IF(OR($F264="",V264=0),"",IF(V264=1,IF(COUNTBLANK(W264:X264)&gt;0,$AG$2,IF(OR(Z264&lt;='פרמטרים לקריטריונים'!$C$27,X264&gt;W264),"",X264-W264))))</f>
        <v/>
      </c>
      <c r="AB264" s="214" t="str">
        <f t="shared" si="42"/>
        <v/>
      </c>
      <c r="AC264" s="225" t="str">
        <f>IF(OR(AB264="",U264=1),"",IF(OR(COUNTBLANK(W264:Y264)&gt;0,AB264&gt;='פרמטרים לקריטריונים'!$E$54),'פרמטרים לקריטריונים'!$F$54,INDEX('פרמטרים לקריטריונים'!$F$49:$F$54,MATCH(AB264,'פרמטרים לקריטריונים'!$E$49:$E$54,1))))</f>
        <v/>
      </c>
      <c r="AD264" s="213" t="str">
        <f t="shared" si="39"/>
        <v/>
      </c>
      <c r="AE264" s="213">
        <f t="shared" si="40"/>
        <v>9948.9393725783029</v>
      </c>
      <c r="AG264" s="175">
        <f t="shared" si="43"/>
        <v>1</v>
      </c>
    </row>
    <row r="265" spans="1:33" ht="15.75" x14ac:dyDescent="0.2">
      <c r="A265" s="206">
        <f t="shared" si="41"/>
        <v>235</v>
      </c>
      <c r="B265" s="88">
        <f>IF($F265="","",'הזנה לתנאי סף'!C265)</f>
        <v>1001347608</v>
      </c>
      <c r="C265" s="88">
        <f>IF($F265="","",'הזנה לתנאי סף'!D265)</f>
        <v>1001270721</v>
      </c>
      <c r="D265" s="88">
        <f>IF($F265="","",'הזנה לתנאי סף'!E265)</f>
        <v>40000252</v>
      </c>
      <c r="E265" s="88">
        <f>IF($F265="","",'הזנה לתנאי סף'!F265)</f>
        <v>20000182</v>
      </c>
      <c r="F265" s="88" t="str">
        <f>IF(OR('הזנה לתנאי סף'!G265="",'הזנה לתנאי סף'!BL265&lt;&gt;1),"",'הזנה לתנאי סף'!G265)</f>
        <v>חיפה</v>
      </c>
      <c r="G265" s="88" t="str">
        <f>IF($F265="","",'הזנה לתנאי סף'!H265)</f>
        <v>אתו"ס - החברה לאומנות תרבות וספורט</v>
      </c>
      <c r="H265" s="88" t="str">
        <f>IF($F265="","",'הזנה לתנאי סף'!I265)</f>
        <v>סינמטקים ופסטיבלים</v>
      </c>
      <c r="I265" s="109">
        <v>5892000</v>
      </c>
      <c r="J265" s="213">
        <f>IF($F265="","",'הזנה לתנאי סף'!S265)</f>
        <v>3884000</v>
      </c>
      <c r="K265" s="109"/>
      <c r="L265" s="213">
        <f t="shared" si="34"/>
        <v>9776000</v>
      </c>
      <c r="M265" s="213">
        <f>IF($F265="","",IF(L265='הזנה לתנאי סף'!R265,1,0))</f>
        <v>1</v>
      </c>
      <c r="N265" s="214">
        <f t="shared" si="35"/>
        <v>0.60270049099836331</v>
      </c>
      <c r="O265" s="214">
        <f t="shared" si="44"/>
        <v>0.39729950900163669</v>
      </c>
      <c r="P265" s="109">
        <v>9776000</v>
      </c>
      <c r="Q265" s="213">
        <f>IF($F265="","",IFERROR(IF(P265&gt;0,'פרמטרים לקריטריונים'!$C$25*P265*O265,$AG$2),""))</f>
        <v>1165200</v>
      </c>
      <c r="R265" s="213">
        <f>IF($F265="","",IFERROR('פרמטרים לקריטריונים'!$C$26*Q265,""))</f>
        <v>286524.59016393439</v>
      </c>
      <c r="S265" s="214">
        <f t="shared" si="36"/>
        <v>4.2463385190213334E-3</v>
      </c>
      <c r="T265" s="213">
        <f t="shared" si="37"/>
        <v>212316.92595106666</v>
      </c>
      <c r="U265" s="213">
        <f>IF($F265="","",'הזנה לתנאי סף'!N265)</f>
        <v>1</v>
      </c>
      <c r="V265" s="213">
        <f>IF($F265="","",'הזנה לתנאי סף'!O265)</f>
        <v>0</v>
      </c>
      <c r="W265" s="109"/>
      <c r="X265" s="109"/>
      <c r="Y265" s="109"/>
      <c r="Z265" s="214" t="str">
        <f t="shared" si="38"/>
        <v/>
      </c>
      <c r="AA265" s="213" t="str">
        <f>IF(OR($F265="",V265=0),"",IF(V265=1,IF(COUNTBLANK(W265:X265)&gt;0,$AG$2,IF(OR(Z265&lt;='פרמטרים לקריטריונים'!$C$27,X265&gt;W265),"",X265-W265))))</f>
        <v/>
      </c>
      <c r="AB265" s="214" t="str">
        <f t="shared" si="42"/>
        <v/>
      </c>
      <c r="AC265" s="225" t="str">
        <f>IF(OR(AB265="",U265=1),"",IF(OR(COUNTBLANK(W265:Y265)&gt;0,AB265&gt;='פרמטרים לקריטריונים'!$E$54),'פרמטרים לקריטריונים'!$F$54,INDEX('פרמטרים לקריטריונים'!$F$49:$F$54,MATCH(AB265,'פרמטרים לקריטריונים'!$E$49:$E$54,1))))</f>
        <v/>
      </c>
      <c r="AD265" s="213" t="str">
        <f t="shared" si="39"/>
        <v/>
      </c>
      <c r="AE265" s="213">
        <f t="shared" si="40"/>
        <v>212316.92595106666</v>
      </c>
      <c r="AG265" s="175">
        <f t="shared" si="43"/>
        <v>1</v>
      </c>
    </row>
    <row r="266" spans="1:33" ht="15.75" x14ac:dyDescent="0.2">
      <c r="A266" s="206">
        <f t="shared" si="41"/>
        <v>236</v>
      </c>
      <c r="B266" s="88">
        <f>IF($F266="","",'הזנה לתנאי סף'!C266)</f>
        <v>1001347621</v>
      </c>
      <c r="C266" s="88">
        <f>IF($F266="","",'הזנה לתנאי סף'!D266)</f>
        <v>1001270688</v>
      </c>
      <c r="D266" s="88">
        <f>IF($F266="","",'הזנה לתנאי סף'!E266)</f>
        <v>40000252</v>
      </c>
      <c r="E266" s="88">
        <f>IF($F266="","",'הזנה לתנאי סף'!F266)</f>
        <v>20000182</v>
      </c>
      <c r="F266" s="88" t="str">
        <f>IF(OR('הזנה לתנאי סף'!G266="",'הזנה לתנאי סף'!BL266&lt;&gt;1),"",'הזנה לתנאי סף'!G266)</f>
        <v>חיפה</v>
      </c>
      <c r="G266" s="88" t="str">
        <f>IF($F266="","",'הזנה לתנאי סף'!H266)</f>
        <v>אתו"ס - החברה לאומנות תרבות וספורט</v>
      </c>
      <c r="H266" s="88" t="str">
        <f>IF($F266="","",'הזנה לתנאי סף'!I266)</f>
        <v>סינמטקים ופסטיבלים</v>
      </c>
      <c r="I266" s="109">
        <v>2323000</v>
      </c>
      <c r="J266" s="213">
        <f>IF($F266="","",'הזנה לתנאי סף'!S266)</f>
        <v>1284000</v>
      </c>
      <c r="K266" s="109"/>
      <c r="L266" s="213">
        <f t="shared" si="34"/>
        <v>3607000</v>
      </c>
      <c r="M266" s="213">
        <f>IF($F266="","",IF(L266='הזנה לתנאי סף'!R266,1,0))</f>
        <v>1</v>
      </c>
      <c r="N266" s="214">
        <f t="shared" si="35"/>
        <v>0.64402550596063213</v>
      </c>
      <c r="O266" s="214">
        <f t="shared" si="44"/>
        <v>0.35597449403936787</v>
      </c>
      <c r="P266" s="109">
        <v>3607000</v>
      </c>
      <c r="Q266" s="213">
        <f>IF($F266="","",IFERROR(IF(P266&gt;0,'פרמטרים לקריטריונים'!$C$25*P266*O266,$AG$2),""))</f>
        <v>385200</v>
      </c>
      <c r="R266" s="213">
        <f>IF($F266="","",IFERROR('פרמטרים לקריטריונים'!$C$26*Q266,""))</f>
        <v>94721.311475409835</v>
      </c>
      <c r="S266" s="214">
        <f t="shared" si="36"/>
        <v>1.4037844125703895E-3</v>
      </c>
      <c r="T266" s="213">
        <f t="shared" si="37"/>
        <v>70189.22062851947</v>
      </c>
      <c r="U266" s="213">
        <f>IF($F266="","",'הזנה לתנאי סף'!N266)</f>
        <v>1</v>
      </c>
      <c r="V266" s="213">
        <f>IF($F266="","",'הזנה לתנאי סף'!O266)</f>
        <v>0</v>
      </c>
      <c r="W266" s="109"/>
      <c r="X266" s="109"/>
      <c r="Y266" s="109"/>
      <c r="Z266" s="214" t="str">
        <f t="shared" si="38"/>
        <v/>
      </c>
      <c r="AA266" s="213" t="str">
        <f>IF(OR($F266="",V266=0),"",IF(V266=1,IF(COUNTBLANK(W266:X266)&gt;0,$AG$2,IF(OR(Z266&lt;='פרמטרים לקריטריונים'!$C$27,X266&gt;W266),"",X266-W266))))</f>
        <v/>
      </c>
      <c r="AB266" s="214" t="str">
        <f t="shared" si="42"/>
        <v/>
      </c>
      <c r="AC266" s="225" t="str">
        <f>IF(OR(AB266="",U266=1),"",IF(OR(COUNTBLANK(W266:Y266)&gt;0,AB266&gt;='פרמטרים לקריטריונים'!$E$54),'פרמטרים לקריטריונים'!$F$54,INDEX('פרמטרים לקריטריונים'!$F$49:$F$54,MATCH(AB266,'פרמטרים לקריטריונים'!$E$49:$E$54,1))))</f>
        <v/>
      </c>
      <c r="AD266" s="213" t="str">
        <f t="shared" si="39"/>
        <v/>
      </c>
      <c r="AE266" s="213">
        <f t="shared" si="40"/>
        <v>70189.22062851947</v>
      </c>
      <c r="AG266" s="175">
        <f t="shared" si="43"/>
        <v>1</v>
      </c>
    </row>
    <row r="267" spans="1:33" ht="15.75" x14ac:dyDescent="0.2">
      <c r="A267" s="206">
        <f t="shared" si="41"/>
        <v>237</v>
      </c>
      <c r="B267" s="88">
        <f>IF($F267="","",'הזנה לתנאי סף'!C267)</f>
        <v>1001342867</v>
      </c>
      <c r="C267" s="88">
        <f>IF($F267="","",'הזנה לתנאי סף'!D267)</f>
        <v>1001274259</v>
      </c>
      <c r="D267" s="88">
        <f>IF($F267="","",'הזנה לתנאי סף'!E267)</f>
        <v>40000254</v>
      </c>
      <c r="E267" s="88">
        <f>IF($F267="","",'הזנה לתנאי סף'!F267)</f>
        <v>20000182</v>
      </c>
      <c r="F267" s="88" t="str">
        <f>IF(OR('הזנה לתנאי סף'!G267="",'הזנה לתנאי סף'!BL267&lt;&gt;1),"",'הזנה לתנאי סף'!G267)</f>
        <v>חיפה</v>
      </c>
      <c r="G267" s="88" t="str">
        <f>IF($F267="","",'הזנה לתנאי סף'!H267)</f>
        <v>תיאטרון עירוני חיפה בע"מ (חל"צ)</v>
      </c>
      <c r="H267" s="88" t="str">
        <f>IF($F267="","",'הזנה לתנאי סף'!I267)</f>
        <v>תיאטרון</v>
      </c>
      <c r="I267" s="109">
        <v>14867000</v>
      </c>
      <c r="J267" s="213">
        <f>IF($F267="","",'הזנה לתנאי סף'!S267)</f>
        <v>9815000</v>
      </c>
      <c r="K267" s="109"/>
      <c r="L267" s="213">
        <f t="shared" si="34"/>
        <v>24682000</v>
      </c>
      <c r="M267" s="213">
        <f>IF($F267="","",IF(L267='הזנה לתנאי סף'!R267,1,0))</f>
        <v>1</v>
      </c>
      <c r="N267" s="214">
        <f t="shared" si="35"/>
        <v>0.60234178753747669</v>
      </c>
      <c r="O267" s="214">
        <f t="shared" si="44"/>
        <v>0.39765821246252331</v>
      </c>
      <c r="P267" s="109">
        <v>24392000</v>
      </c>
      <c r="Q267" s="213">
        <f>IF($F267="","",IFERROR(IF(P267&gt;0,'פרמטרים לקריטריונים'!$C$25*P267*O267,$AG$2),""))</f>
        <v>2909903.7355157607</v>
      </c>
      <c r="R267" s="213">
        <f>IF($F267="","",IFERROR('פרמטרים לקריטריונים'!$C$26*Q267,""))</f>
        <v>715550.09889731824</v>
      </c>
      <c r="S267" s="214">
        <f t="shared" si="36"/>
        <v>1.0604562580470857E-2</v>
      </c>
      <c r="T267" s="213">
        <f t="shared" si="37"/>
        <v>530228.12902354286</v>
      </c>
      <c r="U267" s="213">
        <f>IF($F267="","",'הזנה לתנאי סף'!N267)</f>
        <v>1</v>
      </c>
      <c r="V267" s="213">
        <f>IF($F267="","",'הזנה לתנאי סף'!O267)</f>
        <v>0</v>
      </c>
      <c r="W267" s="109"/>
      <c r="X267" s="109"/>
      <c r="Y267" s="109"/>
      <c r="Z267" s="214" t="str">
        <f t="shared" si="38"/>
        <v/>
      </c>
      <c r="AA267" s="213" t="str">
        <f>IF(OR($F267="",V267=0),"",IF(V267=1,IF(COUNTBLANK(W267:X267)&gt;0,$AG$2,IF(OR(Z267&lt;='פרמטרים לקריטריונים'!$C$27,X267&gt;W267),"",X267-W267))))</f>
        <v/>
      </c>
      <c r="AB267" s="214" t="str">
        <f t="shared" si="42"/>
        <v/>
      </c>
      <c r="AC267" s="225" t="str">
        <f>IF(OR(AB267="",U267=1),"",IF(OR(COUNTBLANK(W267:Y267)&gt;0,AB267&gt;='פרמטרים לקריטריונים'!$E$54),'פרמטרים לקריטריונים'!$F$54,INDEX('פרמטרים לקריטריונים'!$F$49:$F$54,MATCH(AB267,'פרמטרים לקריטריונים'!$E$49:$E$54,1))))</f>
        <v/>
      </c>
      <c r="AD267" s="213" t="str">
        <f t="shared" si="39"/>
        <v/>
      </c>
      <c r="AE267" s="213">
        <f t="shared" si="40"/>
        <v>530228.12902354286</v>
      </c>
      <c r="AG267" s="175">
        <f t="shared" si="43"/>
        <v>1</v>
      </c>
    </row>
    <row r="268" spans="1:33" ht="15.75" x14ac:dyDescent="0.2">
      <c r="A268" s="206">
        <f t="shared" si="41"/>
        <v>238</v>
      </c>
      <c r="B268" s="88">
        <f>IF($F268="","",'הזנה לתנאי סף'!C268)</f>
        <v>1001342869</v>
      </c>
      <c r="C268" s="88">
        <f>IF($F268="","",'הזנה לתנאי סף'!D268)</f>
        <v>1001274254</v>
      </c>
      <c r="D268" s="88">
        <f>IF($F268="","",'הזנה לתנאי סף'!E268)</f>
        <v>40000254</v>
      </c>
      <c r="E268" s="88">
        <f>IF($F268="","",'הזנה לתנאי סף'!F268)</f>
        <v>20000182</v>
      </c>
      <c r="F268" s="88" t="str">
        <f>IF(OR('הזנה לתנאי סף'!G268="",'הזנה לתנאי סף'!BL268&lt;&gt;1),"",'הזנה לתנאי סף'!G268)</f>
        <v>חיפה</v>
      </c>
      <c r="G268" s="88" t="str">
        <f>IF($F268="","",'הזנה לתנאי סף'!H268)</f>
        <v>תיאטרון עירוני חיפה בע"מ (חל"צ)</v>
      </c>
      <c r="H268" s="88" t="str">
        <f>IF($F268="","",'הזנה לתנאי סף'!I268)</f>
        <v>סינמטקים ופסטיבלים</v>
      </c>
      <c r="I268" s="109">
        <v>1748000</v>
      </c>
      <c r="J268" s="213">
        <f>IF($F268="","",'הזנה לתנאי סף'!S268)</f>
        <v>913000</v>
      </c>
      <c r="K268" s="109"/>
      <c r="L268" s="213">
        <f t="shared" si="34"/>
        <v>2661000</v>
      </c>
      <c r="M268" s="213">
        <f>IF($F268="","",IF(L268='הזנה לתנאי סף'!R268,1,0))</f>
        <v>1</v>
      </c>
      <c r="N268" s="214">
        <f t="shared" si="35"/>
        <v>0.65689590379556562</v>
      </c>
      <c r="O268" s="214">
        <f t="shared" si="44"/>
        <v>0.34310409620443438</v>
      </c>
      <c r="P268" s="109">
        <v>2680000</v>
      </c>
      <c r="Q268" s="213">
        <f>IF($F268="","",IFERROR(IF(P268&gt;0,'פרמטרים לקריטריונים'!$C$25*P268*O268,$AG$2),""))</f>
        <v>275855.69334836525</v>
      </c>
      <c r="R268" s="213">
        <f>IF($F268="","",IFERROR('פרמטרים לקריטריונים'!$C$26*Q268,""))</f>
        <v>67833.367216811122</v>
      </c>
      <c r="S268" s="214">
        <f t="shared" si="36"/>
        <v>1.0053009409170103E-3</v>
      </c>
      <c r="T268" s="213">
        <f t="shared" si="37"/>
        <v>50265.047045850515</v>
      </c>
      <c r="U268" s="213">
        <f>IF($F268="","",'הזנה לתנאי סף'!N268)</f>
        <v>1</v>
      </c>
      <c r="V268" s="213">
        <f>IF($F268="","",'הזנה לתנאי סף'!O268)</f>
        <v>0</v>
      </c>
      <c r="W268" s="109"/>
      <c r="X268" s="109"/>
      <c r="Y268" s="109"/>
      <c r="Z268" s="214" t="str">
        <f t="shared" si="38"/>
        <v/>
      </c>
      <c r="AA268" s="213" t="str">
        <f>IF(OR($F268="",V268=0),"",IF(V268=1,IF(COUNTBLANK(W268:X268)&gt;0,$AG$2,IF(OR(Z268&lt;='פרמטרים לקריטריונים'!$C$27,X268&gt;W268),"",X268-W268))))</f>
        <v/>
      </c>
      <c r="AB268" s="214" t="str">
        <f t="shared" si="42"/>
        <v/>
      </c>
      <c r="AC268" s="225" t="str">
        <f>IF(OR(AB268="",U268=1),"",IF(OR(COUNTBLANK(W268:Y268)&gt;0,AB268&gt;='פרמטרים לקריטריונים'!$E$54),'פרמטרים לקריטריונים'!$F$54,INDEX('פרמטרים לקריטריונים'!$F$49:$F$54,MATCH(AB268,'פרמטרים לקריטריונים'!$E$49:$E$54,1))))</f>
        <v/>
      </c>
      <c r="AD268" s="213" t="str">
        <f t="shared" si="39"/>
        <v/>
      </c>
      <c r="AE268" s="213">
        <f t="shared" si="40"/>
        <v>50265.047045850515</v>
      </c>
      <c r="AG268" s="175">
        <f t="shared" si="43"/>
        <v>1</v>
      </c>
    </row>
    <row r="269" spans="1:33" ht="15.75" x14ac:dyDescent="0.2">
      <c r="A269" s="206">
        <f t="shared" si="41"/>
        <v>239</v>
      </c>
      <c r="B269" s="88">
        <f>IF($F269="","",'הזנה לתנאי סף'!C269)</f>
        <v>1001347742</v>
      </c>
      <c r="C269" s="88">
        <f>IF($F269="","",'הזנה לתנאי סף'!D269)</f>
        <v>1001266912</v>
      </c>
      <c r="D269" s="88">
        <f>IF($F269="","",'הזנה לתנאי סף'!E269)</f>
        <v>40474818</v>
      </c>
      <c r="E269" s="88">
        <f>IF($F269="","",'הזנה לתנאי סף'!F269)</f>
        <v>20000201</v>
      </c>
      <c r="F269" s="88" t="str">
        <f>IF(OR('הזנה לתנאי סף'!G269="",'הזנה לתנאי סף'!BL269&lt;&gt;1),"",'הזנה לתנאי סף'!G269)</f>
        <v>תל אביב -יפו</v>
      </c>
      <c r="G269" s="88" t="str">
        <f>IF($F269="","",'הזנה לתנאי סף'!H269)</f>
        <v>צוותא לתרבות מתקדמת בע"מ (חל"צ)</v>
      </c>
      <c r="H269" s="88" t="str">
        <f>IF($F269="","",'הזנה לתנאי סף'!I269)</f>
        <v>ספרות</v>
      </c>
      <c r="I269" s="109">
        <v>441633</v>
      </c>
      <c r="J269" s="213">
        <f>IF($F269="","",'הזנה לתנאי סף'!S269)</f>
        <v>229423</v>
      </c>
      <c r="K269" s="109"/>
      <c r="L269" s="213">
        <f t="shared" si="34"/>
        <v>671056</v>
      </c>
      <c r="M269" s="213">
        <f>IF($F269="","",IF(L269='הזנה לתנאי סף'!R269,1,0))</f>
        <v>1</v>
      </c>
      <c r="N269" s="214">
        <f t="shared" si="35"/>
        <v>0.65811646121933187</v>
      </c>
      <c r="O269" s="214">
        <f t="shared" si="44"/>
        <v>0.34188353878066813</v>
      </c>
      <c r="P269" s="109">
        <v>680971</v>
      </c>
      <c r="Q269" s="213">
        <f>IF($F269="","",IFERROR(IF(P269&gt;0,'פרמטרים לקריטריונים'!$C$25*P269*O269,$AG$2),""))</f>
        <v>69843.832586103104</v>
      </c>
      <c r="R269" s="213">
        <f>IF($F269="","",IFERROR('פרמטרים לקריטריונים'!$C$26*Q269,""))</f>
        <v>17174.712931008959</v>
      </c>
      <c r="S269" s="214">
        <f t="shared" si="36"/>
        <v>2.5453188862551237E-4</v>
      </c>
      <c r="T269" s="213">
        <f t="shared" si="37"/>
        <v>12726.594431275618</v>
      </c>
      <c r="U269" s="213">
        <f>IF($F269="","",'הזנה לתנאי סף'!N269)</f>
        <v>1</v>
      </c>
      <c r="V269" s="213">
        <f>IF($F269="","",'הזנה לתנאי סף'!O269)</f>
        <v>0</v>
      </c>
      <c r="W269" s="109"/>
      <c r="X269" s="109"/>
      <c r="Y269" s="109"/>
      <c r="Z269" s="214" t="str">
        <f t="shared" si="38"/>
        <v/>
      </c>
      <c r="AA269" s="213" t="str">
        <f>IF(OR($F269="",V269=0),"",IF(V269=1,IF(COUNTBLANK(W269:X269)&gt;0,$AG$2,IF(OR(Z269&lt;='פרמטרים לקריטריונים'!$C$27,X269&gt;W269),"",X269-W269))))</f>
        <v/>
      </c>
      <c r="AB269" s="214" t="str">
        <f t="shared" si="42"/>
        <v/>
      </c>
      <c r="AC269" s="225" t="str">
        <f>IF(OR(AB269="",U269=1),"",IF(OR(COUNTBLANK(W269:Y269)&gt;0,AB269&gt;='פרמטרים לקריטריונים'!$E$54),'פרמטרים לקריטריונים'!$F$54,INDEX('פרמטרים לקריטריונים'!$F$49:$F$54,MATCH(AB269,'פרמטרים לקריטריונים'!$E$49:$E$54,1))))</f>
        <v/>
      </c>
      <c r="AD269" s="213" t="str">
        <f t="shared" si="39"/>
        <v/>
      </c>
      <c r="AE269" s="213">
        <f t="shared" si="40"/>
        <v>12726.594431275618</v>
      </c>
      <c r="AG269" s="175">
        <f t="shared" si="43"/>
        <v>1</v>
      </c>
    </row>
    <row r="270" spans="1:33" ht="15.75" x14ac:dyDescent="0.2">
      <c r="A270" s="206">
        <f t="shared" si="41"/>
        <v>240</v>
      </c>
      <c r="B270" s="88">
        <f>IF($F270="","",'הזנה לתנאי סף'!C270)</f>
        <v>1001349320</v>
      </c>
      <c r="C270" s="88">
        <f>IF($F270="","",'הזנה לתנאי סף'!D270)</f>
        <v>1001266968</v>
      </c>
      <c r="D270" s="88">
        <f>IF($F270="","",'הזנה לתנאי סף'!E270)</f>
        <v>40474818</v>
      </c>
      <c r="E270" s="88">
        <f>IF($F270="","",'הזנה לתנאי סף'!F270)</f>
        <v>20000201</v>
      </c>
      <c r="F270" s="88" t="str">
        <f>IF(OR('הזנה לתנאי סף'!G270="",'הזנה לתנאי סף'!BL270&lt;&gt;1),"",'הזנה לתנאי סף'!G270)</f>
        <v>תל אביב -יפו</v>
      </c>
      <c r="G270" s="88" t="str">
        <f>IF($F270="","",'הזנה לתנאי סף'!H270)</f>
        <v>צוותא לתרבות מתקדמת בע"מ (חל"צ)</v>
      </c>
      <c r="H270" s="88" t="str">
        <f>IF($F270="","",'הזנה לתנאי סף'!I270)</f>
        <v>מרכזי פרינג'</v>
      </c>
      <c r="I270" s="109">
        <v>599896</v>
      </c>
      <c r="J270" s="213">
        <f>IF($F270="","",'הזנה לתנאי סף'!S270)</f>
        <v>758301</v>
      </c>
      <c r="K270" s="109"/>
      <c r="L270" s="213">
        <f t="shared" si="34"/>
        <v>1358197</v>
      </c>
      <c r="M270" s="213">
        <f>IF($F270="","",IF(L270='הזנה לתנאי סף'!R270,1,0))</f>
        <v>1</v>
      </c>
      <c r="N270" s="214">
        <f t="shared" si="35"/>
        <v>0.44168555813331939</v>
      </c>
      <c r="O270" s="214">
        <f t="shared" si="44"/>
        <v>0.55831444186668056</v>
      </c>
      <c r="P270" s="109">
        <v>1360166</v>
      </c>
      <c r="Q270" s="213">
        <f>IF($F270="","",IFERROR(IF(P270&gt;0,'פרמטרים לקריטריונים'!$C$25*P270*O270,$AG$2),""))</f>
        <v>227820.09634081062</v>
      </c>
      <c r="R270" s="213">
        <f>IF($F270="","",IFERROR('פרמטרים לקריטריונים'!$C$26*Q270,""))</f>
        <v>56021.335165773104</v>
      </c>
      <c r="S270" s="214">
        <f t="shared" si="36"/>
        <v>8.3024480818669362E-4</v>
      </c>
      <c r="T270" s="213">
        <f t="shared" si="37"/>
        <v>41512.240409334678</v>
      </c>
      <c r="U270" s="213">
        <f>IF($F270="","",'הזנה לתנאי סף'!N270)</f>
        <v>1</v>
      </c>
      <c r="V270" s="213">
        <f>IF($F270="","",'הזנה לתנאי סף'!O270)</f>
        <v>0</v>
      </c>
      <c r="W270" s="109"/>
      <c r="X270" s="109"/>
      <c r="Y270" s="109"/>
      <c r="Z270" s="214" t="str">
        <f t="shared" si="38"/>
        <v/>
      </c>
      <c r="AA270" s="213" t="str">
        <f>IF(OR($F270="",V270=0),"",IF(V270=1,IF(COUNTBLANK(W270:X270)&gt;0,$AG$2,IF(OR(Z270&lt;='פרמטרים לקריטריונים'!$C$27,X270&gt;W270),"",X270-W270))))</f>
        <v/>
      </c>
      <c r="AB270" s="214" t="str">
        <f t="shared" si="42"/>
        <v/>
      </c>
      <c r="AC270" s="225" t="str">
        <f>IF(OR(AB270="",U270=1),"",IF(OR(COUNTBLANK(W270:Y270)&gt;0,AB270&gt;='פרמטרים לקריטריונים'!$E$54),'פרמטרים לקריטריונים'!$F$54,INDEX('פרמטרים לקריטריונים'!$F$49:$F$54,MATCH(AB270,'פרמטרים לקריטריונים'!$E$49:$E$54,1))))</f>
        <v/>
      </c>
      <c r="AD270" s="213" t="str">
        <f t="shared" si="39"/>
        <v/>
      </c>
      <c r="AE270" s="213">
        <f t="shared" si="40"/>
        <v>41512.240409334678</v>
      </c>
      <c r="AG270" s="175">
        <f t="shared" si="43"/>
        <v>1</v>
      </c>
    </row>
    <row r="271" spans="1:33" ht="15.75" x14ac:dyDescent="0.2">
      <c r="A271" s="206">
        <f t="shared" si="41"/>
        <v>241</v>
      </c>
      <c r="B271" s="88">
        <f>IF($F271="","",'הזנה לתנאי סף'!C271)</f>
        <v>1001349321</v>
      </c>
      <c r="C271" s="88">
        <f>IF($F271="","",'הזנה לתנאי סף'!D271)</f>
        <v>1001269429</v>
      </c>
      <c r="D271" s="88">
        <f>IF($F271="","",'הזנה לתנאי סף'!E271)</f>
        <v>40474818</v>
      </c>
      <c r="E271" s="88">
        <f>IF($F271="","",'הזנה לתנאי סף'!F271)</f>
        <v>20000201</v>
      </c>
      <c r="F271" s="88" t="str">
        <f>IF(OR('הזנה לתנאי סף'!G271="",'הזנה לתנאי סף'!BL271&lt;&gt;1),"",'הזנה לתנאי סף'!G271)</f>
        <v>תל אביב -יפו</v>
      </c>
      <c r="G271" s="88" t="str">
        <f>IF($F271="","",'הזנה לתנאי סף'!H271)</f>
        <v>צוותא לתרבות מתקדמת בע"מ (חל"צ)</v>
      </c>
      <c r="H271" s="88" t="str">
        <f>IF($F271="","",'הזנה לתנאי סף'!I271)</f>
        <v>אחר</v>
      </c>
      <c r="I271" s="109">
        <v>75000</v>
      </c>
      <c r="J271" s="213">
        <f>IF($F271="","",'הזנה לתנאי סף'!S271)</f>
        <v>62800</v>
      </c>
      <c r="K271" s="109"/>
      <c r="L271" s="213">
        <f t="shared" si="34"/>
        <v>137800</v>
      </c>
      <c r="M271" s="213">
        <f>IF($F271="","",IF(L271='הזנה לתנאי סף'!R271,1,0))</f>
        <v>1</v>
      </c>
      <c r="N271" s="214">
        <f t="shared" si="35"/>
        <v>0.54426705370101591</v>
      </c>
      <c r="O271" s="214">
        <f t="shared" si="44"/>
        <v>0.45573294629898409</v>
      </c>
      <c r="P271" s="109">
        <v>135161</v>
      </c>
      <c r="Q271" s="213">
        <f>IF($F271="","",IFERROR(IF(P271&gt;0,'פרמטרים לקריטריונים'!$C$25*P271*O271,$AG$2),""))</f>
        <v>18479.196226415093</v>
      </c>
      <c r="R271" s="213">
        <f>IF($F271="","",IFERROR('פרמטרים לקריטריונים'!$C$26*Q271,""))</f>
        <v>4544.0646458397769</v>
      </c>
      <c r="S271" s="214">
        <f t="shared" si="36"/>
        <v>6.7343737329883356E-5</v>
      </c>
      <c r="T271" s="213">
        <f t="shared" si="37"/>
        <v>3367.1868664941676</v>
      </c>
      <c r="U271" s="213">
        <f>IF($F271="","",'הזנה לתנאי סף'!N271)</f>
        <v>1</v>
      </c>
      <c r="V271" s="213">
        <f>IF($F271="","",'הזנה לתנאי סף'!O271)</f>
        <v>0</v>
      </c>
      <c r="W271" s="109"/>
      <c r="X271" s="109"/>
      <c r="Y271" s="109"/>
      <c r="Z271" s="214" t="str">
        <f t="shared" si="38"/>
        <v/>
      </c>
      <c r="AA271" s="213" t="str">
        <f>IF(OR($F271="",V271=0),"",IF(V271=1,IF(COUNTBLANK(W271:X271)&gt;0,$AG$2,IF(OR(Z271&lt;='פרמטרים לקריטריונים'!$C$27,X271&gt;W271),"",X271-W271))))</f>
        <v/>
      </c>
      <c r="AB271" s="214" t="str">
        <f t="shared" si="42"/>
        <v/>
      </c>
      <c r="AC271" s="225" t="str">
        <f>IF(OR(AB271="",U271=1),"",IF(OR(COUNTBLANK(W271:Y271)&gt;0,AB271&gt;='פרמטרים לקריטריונים'!$E$54),'פרמטרים לקריטריונים'!$F$54,INDEX('פרמטרים לקריטריונים'!$F$49:$F$54,MATCH(AB271,'פרמטרים לקריטריונים'!$E$49:$E$54,1))))</f>
        <v/>
      </c>
      <c r="AD271" s="213" t="str">
        <f t="shared" si="39"/>
        <v/>
      </c>
      <c r="AE271" s="213">
        <f t="shared" si="40"/>
        <v>3367.1868664941676</v>
      </c>
      <c r="AG271" s="175">
        <f t="shared" si="43"/>
        <v>1</v>
      </c>
    </row>
    <row r="272" spans="1:33" ht="15.75" x14ac:dyDescent="0.2">
      <c r="A272" s="206">
        <f t="shared" si="41"/>
        <v>242</v>
      </c>
      <c r="B272" s="88">
        <f>IF($F272="","",'הזנה לתנאי סף'!C272)</f>
        <v>1001349324</v>
      </c>
      <c r="C272" s="88">
        <f>IF($F272="","",'הזנה לתנאי סף'!D272)</f>
        <v>1001269399</v>
      </c>
      <c r="D272" s="88">
        <f>IF($F272="","",'הזנה לתנאי סף'!E272)</f>
        <v>40474818</v>
      </c>
      <c r="E272" s="88">
        <f>IF($F272="","",'הזנה לתנאי סף'!F272)</f>
        <v>20000201</v>
      </c>
      <c r="F272" s="88" t="str">
        <f>IF(OR('הזנה לתנאי סף'!G272="",'הזנה לתנאי סף'!BL272&lt;&gt;1),"",'הזנה לתנאי סף'!G272)</f>
        <v>תל אביב -יפו</v>
      </c>
      <c r="G272" s="88" t="str">
        <f>IF($F272="","",'הזנה לתנאי סף'!H272)</f>
        <v>צוותא לתרבות מתקדמת בע"מ (חל"צ)</v>
      </c>
      <c r="H272" s="88" t="str">
        <f>IF($F272="","",'הזנה לתנאי סף'!I272)</f>
        <v>סינמטקים ופסטיבלים</v>
      </c>
      <c r="I272" s="109">
        <v>34532</v>
      </c>
      <c r="J272" s="213">
        <f>IF($F272="","",'הזנה לתנאי סף'!S272)</f>
        <v>96227</v>
      </c>
      <c r="K272" s="109"/>
      <c r="L272" s="213">
        <f t="shared" si="34"/>
        <v>130759</v>
      </c>
      <c r="M272" s="213">
        <f>IF($F272="","",IF(L272='הזנה לתנאי סף'!R272,1,0))</f>
        <v>1</v>
      </c>
      <c r="N272" s="214">
        <f t="shared" si="35"/>
        <v>0.2640888963665981</v>
      </c>
      <c r="O272" s="214">
        <f t="shared" si="44"/>
        <v>0.73591110363340184</v>
      </c>
      <c r="P272" s="109">
        <v>134084</v>
      </c>
      <c r="Q272" s="213">
        <f>IF($F272="","",IFERROR(IF(P272&gt;0,'פרמטרים לקריטריונים'!$C$25*P272*O272,$AG$2),""))</f>
        <v>29602.171325874315</v>
      </c>
      <c r="R272" s="213">
        <f>IF($F272="","",IFERROR('פרמטרים לקריטריונים'!$C$26*Q272,""))</f>
        <v>7279.222457182208</v>
      </c>
      <c r="S272" s="214">
        <f t="shared" si="36"/>
        <v>1.0787919700285695E-4</v>
      </c>
      <c r="T272" s="213">
        <f t="shared" si="37"/>
        <v>5393.9598501428482</v>
      </c>
      <c r="U272" s="213">
        <f>IF($F272="","",'הזנה לתנאי סף'!N272)</f>
        <v>1</v>
      </c>
      <c r="V272" s="213">
        <f>IF($F272="","",'הזנה לתנאי סף'!O272)</f>
        <v>0</v>
      </c>
      <c r="W272" s="109"/>
      <c r="X272" s="109"/>
      <c r="Y272" s="109"/>
      <c r="Z272" s="214" t="str">
        <f t="shared" si="38"/>
        <v/>
      </c>
      <c r="AA272" s="213" t="str">
        <f>IF(OR($F272="",V272=0),"",IF(V272=1,IF(COUNTBLANK(W272:X272)&gt;0,$AG$2,IF(OR(Z272&lt;='פרמטרים לקריטריונים'!$C$27,X272&gt;W272),"",X272-W272))))</f>
        <v/>
      </c>
      <c r="AB272" s="214" t="str">
        <f t="shared" si="42"/>
        <v/>
      </c>
      <c r="AC272" s="225" t="str">
        <f>IF(OR(AB272="",U272=1),"",IF(OR(COUNTBLANK(W272:Y272)&gt;0,AB272&gt;='פרמטרים לקריטריונים'!$E$54),'פרמטרים לקריטריונים'!$F$54,INDEX('פרמטרים לקריטריונים'!$F$49:$F$54,MATCH(AB272,'פרמטרים לקריטריונים'!$E$49:$E$54,1))))</f>
        <v/>
      </c>
      <c r="AD272" s="213" t="str">
        <f t="shared" si="39"/>
        <v/>
      </c>
      <c r="AE272" s="213">
        <f t="shared" si="40"/>
        <v>5393.9598501428482</v>
      </c>
      <c r="AG272" s="175">
        <f t="shared" si="43"/>
        <v>1</v>
      </c>
    </row>
    <row r="273" spans="1:33" ht="15.75" x14ac:dyDescent="0.2">
      <c r="A273" s="206">
        <f t="shared" si="41"/>
        <v>243</v>
      </c>
      <c r="B273" s="88">
        <f>IF($F273="","",'הזנה לתנאי סף'!C273)</f>
        <v>1001349326</v>
      </c>
      <c r="C273" s="88">
        <f>IF($F273="","",'הזנה לתנאי סף'!D273)</f>
        <v>1001268650</v>
      </c>
      <c r="D273" s="88">
        <f>IF($F273="","",'הזנה לתנאי סף'!E273)</f>
        <v>40474818</v>
      </c>
      <c r="E273" s="88">
        <f>IF($F273="","",'הזנה לתנאי סף'!F273)</f>
        <v>20000201</v>
      </c>
      <c r="F273" s="88" t="str">
        <f>IF(OR('הזנה לתנאי סף'!G273="",'הזנה לתנאי סף'!BL273&lt;&gt;1),"",'הזנה לתנאי סף'!G273)</f>
        <v>תל אביב -יפו</v>
      </c>
      <c r="G273" s="88" t="str">
        <f>IF($F273="","",'הזנה לתנאי סף'!H273)</f>
        <v>צוותא לתרבות מתקדמת בע"מ (חל"צ)</v>
      </c>
      <c r="H273" s="88" t="str">
        <f>IF($F273="","",'הזנה לתנאי סף'!I273)</f>
        <v>סינמטקים ופסטיבלים</v>
      </c>
      <c r="I273" s="109">
        <v>130621</v>
      </c>
      <c r="J273" s="213">
        <f>IF($F273="","",'הזנה לתנאי סף'!S273)</f>
        <v>312898</v>
      </c>
      <c r="K273" s="109"/>
      <c r="L273" s="213">
        <f t="shared" si="34"/>
        <v>443519</v>
      </c>
      <c r="M273" s="213">
        <f>IF($F273="","",IF(L273='הזנה לתנאי סף'!R273,1,0))</f>
        <v>1</v>
      </c>
      <c r="N273" s="214">
        <f t="shared" si="35"/>
        <v>0.29451049447712502</v>
      </c>
      <c r="O273" s="214">
        <f t="shared" si="44"/>
        <v>0.70548950552287493</v>
      </c>
      <c r="P273" s="109">
        <v>440253</v>
      </c>
      <c r="Q273" s="213">
        <f>IF($F273="","",IFERROR(IF(P273&gt;0,'פרמטרים לקריטריונים'!$C$25*P273*O273,$AG$2),""))</f>
        <v>93178.161382488674</v>
      </c>
      <c r="R273" s="213">
        <f>IF($F273="","",IFERROR('פרמטרים לקריטריונים'!$C$26*Q273,""))</f>
        <v>22912.662635038199</v>
      </c>
      <c r="S273" s="214">
        <f t="shared" si="36"/>
        <v>3.3956918624274612E-4</v>
      </c>
      <c r="T273" s="213">
        <f t="shared" si="37"/>
        <v>16978.459312137307</v>
      </c>
      <c r="U273" s="213">
        <f>IF($F273="","",'הזנה לתנאי סף'!N273)</f>
        <v>1</v>
      </c>
      <c r="V273" s="213">
        <f>IF($F273="","",'הזנה לתנאי סף'!O273)</f>
        <v>0</v>
      </c>
      <c r="W273" s="109"/>
      <c r="X273" s="109"/>
      <c r="Y273" s="109"/>
      <c r="Z273" s="214" t="str">
        <f t="shared" si="38"/>
        <v/>
      </c>
      <c r="AA273" s="213" t="str">
        <f>IF(OR($F273="",V273=0),"",IF(V273=1,IF(COUNTBLANK(W273:X273)&gt;0,$AG$2,IF(OR(Z273&lt;='פרמטרים לקריטריונים'!$C$27,X273&gt;W273),"",X273-W273))))</f>
        <v/>
      </c>
      <c r="AB273" s="214" t="str">
        <f t="shared" si="42"/>
        <v/>
      </c>
      <c r="AC273" s="225" t="str">
        <f>IF(OR(AB273="",U273=1),"",IF(OR(COUNTBLANK(W273:Y273)&gt;0,AB273&gt;='פרמטרים לקריטריונים'!$E$54),'פרמטרים לקריטריונים'!$F$54,INDEX('פרמטרים לקריטריונים'!$F$49:$F$54,MATCH(AB273,'פרמטרים לקריטריונים'!$E$49:$E$54,1))))</f>
        <v/>
      </c>
      <c r="AD273" s="213" t="str">
        <f t="shared" si="39"/>
        <v/>
      </c>
      <c r="AE273" s="213">
        <f t="shared" si="40"/>
        <v>16978.459312137307</v>
      </c>
      <c r="AG273" s="175">
        <f t="shared" si="43"/>
        <v>1</v>
      </c>
    </row>
    <row r="274" spans="1:33" ht="15.75" x14ac:dyDescent="0.2">
      <c r="A274" s="206">
        <f t="shared" si="41"/>
        <v>244</v>
      </c>
      <c r="B274" s="88">
        <f>IF($F274="","",'הזנה לתנאי סף'!C274)</f>
        <v>1001347844</v>
      </c>
      <c r="C274" s="88">
        <f>IF($F274="","",'הזנה לתנאי סף'!D274)</f>
        <v>1001265161</v>
      </c>
      <c r="D274" s="88">
        <f>IF($F274="","",'הזנה לתנאי סף'!E274)</f>
        <v>40000054</v>
      </c>
      <c r="E274" s="88">
        <f>IF($F274="","",'הזנה לתנאי סף'!F274)</f>
        <v>20000159</v>
      </c>
      <c r="F274" s="88" t="str">
        <f>IF(OR('הזנה לתנאי סף'!G274="",'הזנה לתנאי סף'!BL274&lt;&gt;1),"",'הזנה לתנאי סף'!G274)</f>
        <v>ירושלים</v>
      </c>
      <c r="G274" s="88" t="str">
        <f>IF($F274="","",'הזנה לתנאי סף'!H274)</f>
        <v>פסטיבל ישראל ירושלים</v>
      </c>
      <c r="H274" s="88" t="str">
        <f>IF($F274="","",'הזנה לתנאי סף'!I274)</f>
        <v>סינמטקים ופסטיבלים</v>
      </c>
      <c r="I274" s="109">
        <v>174476</v>
      </c>
      <c r="J274" s="213">
        <f>IF($F274="","",'הזנה לתנאי סף'!S274)</f>
        <v>883822</v>
      </c>
      <c r="K274" s="109">
        <v>20000</v>
      </c>
      <c r="L274" s="213">
        <f t="shared" si="34"/>
        <v>1078298</v>
      </c>
      <c r="M274" s="213">
        <f>IF($F274="","",IF(L274='הזנה לתנאי סף'!R274,1,0))</f>
        <v>1</v>
      </c>
      <c r="N274" s="214">
        <f t="shared" si="35"/>
        <v>0.16180684745775287</v>
      </c>
      <c r="O274" s="214">
        <f t="shared" si="44"/>
        <v>0.83819315254224713</v>
      </c>
      <c r="P274" s="109">
        <v>1119283</v>
      </c>
      <c r="Q274" s="213">
        <f>IF($F274="","",IFERROR(IF(P274&gt;0,'פרמטרים לקריטריונים'!$C$25*P274*O274,$AG$2),""))</f>
        <v>281452.60390708316</v>
      </c>
      <c r="R274" s="213">
        <f>IF($F274="","",IFERROR('פרמטרים לקריטריונים'!$C$26*Q274,""))</f>
        <v>69209.656698463077</v>
      </c>
      <c r="S274" s="214">
        <f t="shared" si="36"/>
        <v>1.0256977628299877E-3</v>
      </c>
      <c r="T274" s="213">
        <f t="shared" si="37"/>
        <v>51284.888141499381</v>
      </c>
      <c r="U274" s="213">
        <f>IF($F274="","",'הזנה לתנאי סף'!N274)</f>
        <v>1</v>
      </c>
      <c r="V274" s="213">
        <f>IF($F274="","",'הזנה לתנאי סף'!O274)</f>
        <v>0</v>
      </c>
      <c r="W274" s="109"/>
      <c r="X274" s="109"/>
      <c r="Y274" s="109"/>
      <c r="Z274" s="214" t="str">
        <f t="shared" si="38"/>
        <v/>
      </c>
      <c r="AA274" s="213" t="str">
        <f>IF(OR($F274="",V274=0),"",IF(V274=1,IF(COUNTBLANK(W274:X274)&gt;0,$AG$2,IF(OR(Z274&lt;='פרמטרים לקריטריונים'!$C$27,X274&gt;W274),"",X274-W274))))</f>
        <v/>
      </c>
      <c r="AB274" s="214" t="str">
        <f t="shared" si="42"/>
        <v/>
      </c>
      <c r="AC274" s="225" t="str">
        <f>IF(OR(AB274="",U274=1),"",IF(OR(COUNTBLANK(W274:Y274)&gt;0,AB274&gt;='פרמטרים לקריטריונים'!$E$54),'פרמטרים לקריטריונים'!$F$54,INDEX('פרמטרים לקריטריונים'!$F$49:$F$54,MATCH(AB274,'פרמטרים לקריטריונים'!$E$49:$E$54,1))))</f>
        <v/>
      </c>
      <c r="AD274" s="213" t="str">
        <f t="shared" si="39"/>
        <v/>
      </c>
      <c r="AE274" s="213">
        <f t="shared" si="40"/>
        <v>51284.888141499381</v>
      </c>
      <c r="AG274" s="175">
        <f t="shared" si="43"/>
        <v>1</v>
      </c>
    </row>
    <row r="275" spans="1:33" ht="15.75" x14ac:dyDescent="0.2">
      <c r="A275" s="206" t="str">
        <f t="shared" si="41"/>
        <v/>
      </c>
      <c r="B275" s="88" t="str">
        <f>IF($F275="","",'הזנה לתנאי סף'!C275)</f>
        <v/>
      </c>
      <c r="C275" s="88" t="str">
        <f>IF($F275="","",'הזנה לתנאי סף'!D275)</f>
        <v/>
      </c>
      <c r="D275" s="88" t="str">
        <f>IF($F275="","",'הזנה לתנאי סף'!E275)</f>
        <v/>
      </c>
      <c r="E275" s="88" t="str">
        <f>IF($F275="","",'הזנה לתנאי סף'!F275)</f>
        <v/>
      </c>
      <c r="F275" s="88" t="str">
        <f>IF(OR('הזנה לתנאי סף'!G275="",'הזנה לתנאי סף'!BL275&lt;&gt;1),"",'הזנה לתנאי סף'!G275)</f>
        <v/>
      </c>
      <c r="G275" s="88" t="str">
        <f>IF($F275="","",'הזנה לתנאי סף'!H275)</f>
        <v/>
      </c>
      <c r="H275" s="88" t="str">
        <f>IF($F275="","",'הזנה לתנאי סף'!I275)</f>
        <v/>
      </c>
      <c r="I275" s="109"/>
      <c r="J275" s="213" t="str">
        <f>IF($F275="","",'הזנה לתנאי סף'!S275)</f>
        <v/>
      </c>
      <c r="K275" s="109"/>
      <c r="L275" s="213" t="str">
        <f t="shared" si="34"/>
        <v/>
      </c>
      <c r="M275" s="213" t="str">
        <f>IF($F275="","",IF(L275='הזנה לתנאי סף'!R275,1,0))</f>
        <v/>
      </c>
      <c r="N275" s="214" t="str">
        <f t="shared" si="35"/>
        <v/>
      </c>
      <c r="O275" s="214" t="str">
        <f t="shared" si="44"/>
        <v/>
      </c>
      <c r="P275" s="109"/>
      <c r="Q275" s="213" t="str">
        <f>IF($F275="","",IFERROR(IF(P275&gt;0,'פרמטרים לקריטריונים'!$C$25*P275*O275,$AG$2),""))</f>
        <v/>
      </c>
      <c r="R275" s="213" t="str">
        <f>IF($F275="","",IFERROR('פרמטרים לקריטריונים'!$C$26*Q275,""))</f>
        <v/>
      </c>
      <c r="S275" s="214" t="str">
        <f t="shared" si="36"/>
        <v/>
      </c>
      <c r="T275" s="213" t="str">
        <f t="shared" si="37"/>
        <v/>
      </c>
      <c r="U275" s="213" t="str">
        <f>IF($F275="","",'הזנה לתנאי סף'!N275)</f>
        <v/>
      </c>
      <c r="V275" s="213" t="str">
        <f>IF($F275="","",'הזנה לתנאי סף'!O275)</f>
        <v/>
      </c>
      <c r="W275" s="109"/>
      <c r="X275" s="109"/>
      <c r="Y275" s="109"/>
      <c r="Z275" s="214" t="str">
        <f t="shared" si="38"/>
        <v/>
      </c>
      <c r="AA275" s="213" t="str">
        <f>IF(OR($F275="",V275=0),"",IF(V275=1,IF(COUNTBLANK(W275:X275)&gt;0,$AG$2,IF(OR(Z275&lt;='פרמטרים לקריטריונים'!$C$27,X275&gt;W275),"",X275-W275))))</f>
        <v/>
      </c>
      <c r="AB275" s="214" t="str">
        <f t="shared" si="42"/>
        <v/>
      </c>
      <c r="AC275" s="225" t="str">
        <f>IF(OR(AB275="",U275=1),"",IF(OR(COUNTBLANK(W275:Y275)&gt;0,AB275&gt;='פרמטרים לקריטריונים'!$E$54),'פרמטרים לקריטריונים'!$F$54,INDEX('פרמטרים לקריטריונים'!$F$49:$F$54,MATCH(AB275,'פרמטרים לקריטריונים'!$E$49:$E$54,1))))</f>
        <v/>
      </c>
      <c r="AD275" s="213" t="str">
        <f t="shared" si="39"/>
        <v/>
      </c>
      <c r="AE275" s="213" t="str">
        <f t="shared" si="40"/>
        <v/>
      </c>
      <c r="AG275" s="175">
        <f t="shared" si="43"/>
        <v>0</v>
      </c>
    </row>
    <row r="276" spans="1:33" ht="15.75" x14ac:dyDescent="0.2">
      <c r="A276" s="206">
        <f t="shared" si="41"/>
        <v>246</v>
      </c>
      <c r="B276" s="88">
        <f>IF($F276="","",'הזנה לתנאי סף'!C276)</f>
        <v>1001346748</v>
      </c>
      <c r="C276" s="88">
        <f>IF($F276="","",'הזנה לתנאי סף'!D276)</f>
        <v>1001272517</v>
      </c>
      <c r="D276" s="88">
        <f>IF($F276="","",'הזנה לתנאי סף'!E276)</f>
        <v>40000171</v>
      </c>
      <c r="E276" s="88">
        <f>IF($F276="","",'הזנה לתנאי סף'!F276)</f>
        <v>20000201</v>
      </c>
      <c r="F276" s="88" t="str">
        <f>IF(OR('הזנה לתנאי סף'!G276="",'הזנה לתנאי סף'!BL276&lt;&gt;1),"",'הזנה לתנאי סף'!G276)</f>
        <v>תל אביב -יפו</v>
      </c>
      <c r="G276" s="88" t="str">
        <f>IF($F276="","",'הזנה לתנאי סף'!H276)</f>
        <v>תיאטרון "גשר"</v>
      </c>
      <c r="H276" s="88" t="str">
        <f>IF($F276="","",'הזנה לתנאי סף'!I276)</f>
        <v>תיאטרון</v>
      </c>
      <c r="I276" s="109">
        <v>9336000</v>
      </c>
      <c r="J276" s="213">
        <f>IF($F276="","",'הזנה לתנאי סף'!S276)</f>
        <v>17655000</v>
      </c>
      <c r="K276" s="109"/>
      <c r="L276" s="213">
        <f t="shared" si="34"/>
        <v>26991000</v>
      </c>
      <c r="M276" s="213">
        <f>IF($F276="","",IF(L276='הזנה לתנאי סף'!R276,1,0))</f>
        <v>1</v>
      </c>
      <c r="N276" s="214">
        <f t="shared" si="35"/>
        <v>0.34589307546960096</v>
      </c>
      <c r="O276" s="214">
        <f t="shared" si="44"/>
        <v>0.65410692453039898</v>
      </c>
      <c r="P276" s="109">
        <v>29758000</v>
      </c>
      <c r="Q276" s="213">
        <f>IF($F276="","",IFERROR(IF(P276&gt;0,'פרמטרים לקריטריונים'!$C$25*P276*O276,$AG$2),""))</f>
        <v>5839474.1580526838</v>
      </c>
      <c r="R276" s="213">
        <f>IF($F276="","",IFERROR('פרמטרים לקריטריונים'!$C$26*Q276,""))</f>
        <v>1435936.2683736107</v>
      </c>
      <c r="S276" s="214">
        <f t="shared" si="36"/>
        <v>2.1280796471136957E-2</v>
      </c>
      <c r="T276" s="213">
        <f t="shared" si="37"/>
        <v>1064039.8235568479</v>
      </c>
      <c r="U276" s="213">
        <f>IF($F276="","",'הזנה לתנאי סף'!N276)</f>
        <v>1</v>
      </c>
      <c r="V276" s="213">
        <f>IF($F276="","",'הזנה לתנאי סף'!O276)</f>
        <v>0</v>
      </c>
      <c r="W276" s="109"/>
      <c r="X276" s="109"/>
      <c r="Y276" s="109"/>
      <c r="Z276" s="214" t="str">
        <f t="shared" si="38"/>
        <v/>
      </c>
      <c r="AA276" s="213" t="str">
        <f>IF(OR($F276="",V276=0),"",IF(V276=1,IF(COUNTBLANK(W276:X276)&gt;0,$AG$2,IF(OR(Z276&lt;='פרמטרים לקריטריונים'!$C$27,X276&gt;W276),"",X276-W276))))</f>
        <v/>
      </c>
      <c r="AB276" s="214" t="str">
        <f t="shared" si="42"/>
        <v/>
      </c>
      <c r="AC276" s="225" t="str">
        <f>IF(OR(AB276="",U276=1),"",IF(OR(COUNTBLANK(W276:Y276)&gt;0,AB276&gt;='פרמטרים לקריטריונים'!$E$54),'פרמטרים לקריטריונים'!$F$54,INDEX('פרמטרים לקריטריונים'!$F$49:$F$54,MATCH(AB276,'פרמטרים לקריטריונים'!$E$49:$E$54,1))))</f>
        <v/>
      </c>
      <c r="AD276" s="213" t="str">
        <f t="shared" si="39"/>
        <v/>
      </c>
      <c r="AE276" s="213">
        <f t="shared" si="40"/>
        <v>1064039.8235568479</v>
      </c>
      <c r="AG276" s="175">
        <f t="shared" si="43"/>
        <v>1</v>
      </c>
    </row>
    <row r="277" spans="1:33" ht="15.75" x14ac:dyDescent="0.2">
      <c r="A277" s="206">
        <f t="shared" si="41"/>
        <v>247</v>
      </c>
      <c r="B277" s="88">
        <f>IF($F277="","",'הזנה לתנאי סף'!C277)</f>
        <v>1001346760</v>
      </c>
      <c r="C277" s="88">
        <f>IF($F277="","",'הזנה לתנאי סף'!D277)</f>
        <v>1001272518</v>
      </c>
      <c r="D277" s="88">
        <f>IF($F277="","",'הזנה לתנאי סף'!E277)</f>
        <v>40000171</v>
      </c>
      <c r="E277" s="88">
        <f>IF($F277="","",'הזנה לתנאי סף'!F277)</f>
        <v>20000201</v>
      </c>
      <c r="F277" s="88" t="str">
        <f>IF(OR('הזנה לתנאי סף'!G277="",'הזנה לתנאי סף'!BL277&lt;&gt;1),"",'הזנה לתנאי סף'!G277)</f>
        <v>תל אביב -יפו</v>
      </c>
      <c r="G277" s="88" t="str">
        <f>IF($F277="","",'הזנה לתנאי סף'!H277)</f>
        <v>תיאטרון "גשר"</v>
      </c>
      <c r="H277" s="88" t="str">
        <f>IF($F277="","",'הזנה לתנאי סף'!I277)</f>
        <v>סינמטקים ופסטיבלים</v>
      </c>
      <c r="I277" s="109">
        <v>782000</v>
      </c>
      <c r="J277" s="213">
        <f>IF($F277="","",'הזנה לתנאי סף'!S277)</f>
        <v>1158000</v>
      </c>
      <c r="K277" s="109"/>
      <c r="L277" s="213">
        <f t="shared" si="34"/>
        <v>1940000</v>
      </c>
      <c r="M277" s="213">
        <f>IF($F277="","",IF(L277='הזנה לתנאי סף'!R277,1,0))</f>
        <v>1</v>
      </c>
      <c r="N277" s="214">
        <f t="shared" si="35"/>
        <v>0.40309278350515465</v>
      </c>
      <c r="O277" s="214">
        <f t="shared" si="44"/>
        <v>0.59690721649484535</v>
      </c>
      <c r="P277" s="109">
        <v>1844000</v>
      </c>
      <c r="Q277" s="213">
        <f>IF($F277="","",IFERROR(IF(P277&gt;0,'פרמטרים לקריטריונים'!$C$25*P277*O277,$AG$2),""))</f>
        <v>330209.07216494845</v>
      </c>
      <c r="R277" s="213">
        <f>IF($F277="","",IFERROR('פרמטרים לקריטריונים'!$C$26*Q277,""))</f>
        <v>81198.952171708632</v>
      </c>
      <c r="S277" s="214">
        <f t="shared" si="36"/>
        <v>1.2033809667561929E-3</v>
      </c>
      <c r="T277" s="213">
        <f t="shared" si="37"/>
        <v>60169.048337809647</v>
      </c>
      <c r="U277" s="213">
        <f>IF($F277="","",'הזנה לתנאי סף'!N277)</f>
        <v>1</v>
      </c>
      <c r="V277" s="213">
        <f>IF($F277="","",'הזנה לתנאי סף'!O277)</f>
        <v>0</v>
      </c>
      <c r="W277" s="109"/>
      <c r="X277" s="109"/>
      <c r="Y277" s="109"/>
      <c r="Z277" s="214" t="str">
        <f t="shared" si="38"/>
        <v/>
      </c>
      <c r="AA277" s="213" t="str">
        <f>IF(OR($F277="",V277=0),"",IF(V277=1,IF(COUNTBLANK(W277:X277)&gt;0,$AG$2,IF(OR(Z277&lt;='פרמטרים לקריטריונים'!$C$27,X277&gt;W277),"",X277-W277))))</f>
        <v/>
      </c>
      <c r="AB277" s="214" t="str">
        <f t="shared" si="42"/>
        <v/>
      </c>
      <c r="AC277" s="225" t="str">
        <f>IF(OR(AB277="",U277=1),"",IF(OR(COUNTBLANK(W277:Y277)&gt;0,AB277&gt;='פרמטרים לקריטריונים'!$E$54),'פרמטרים לקריטריונים'!$F$54,INDEX('פרמטרים לקריטריונים'!$F$49:$F$54,MATCH(AB277,'פרמטרים לקריטריונים'!$E$49:$E$54,1))))</f>
        <v/>
      </c>
      <c r="AD277" s="213" t="str">
        <f t="shared" si="39"/>
        <v/>
      </c>
      <c r="AE277" s="213">
        <f t="shared" si="40"/>
        <v>60169.048337809647</v>
      </c>
      <c r="AG277" s="175">
        <f t="shared" si="43"/>
        <v>1</v>
      </c>
    </row>
    <row r="278" spans="1:33" ht="15.75" x14ac:dyDescent="0.2">
      <c r="A278" s="206">
        <f t="shared" si="41"/>
        <v>248</v>
      </c>
      <c r="B278" s="88">
        <f>IF($F278="","",'הזנה לתנאי סף'!C278)</f>
        <v>1001348549</v>
      </c>
      <c r="C278" s="88">
        <f>IF($F278="","",'הזנה לתנאי סף'!D278)</f>
        <v>1001274935</v>
      </c>
      <c r="D278" s="88">
        <f>IF($F278="","",'הזנה לתנאי סף'!E278)</f>
        <v>40000173</v>
      </c>
      <c r="E278" s="88">
        <f>IF($F278="","",'הזנה לתנאי סף'!F278)</f>
        <v>20000251</v>
      </c>
      <c r="F278" s="88" t="str">
        <f>IF(OR('הזנה לתנאי סף'!G278="",'הזנה לתנאי סף'!BL278&lt;&gt;1),"",'הזנה לתנאי סף'!G278)</f>
        <v>רעננה</v>
      </c>
      <c r="G278" s="88" t="str">
        <f>IF($F278="","",'הזנה לתנאי סף'!H278)</f>
        <v>עמותת תזמורת סימפונט רעננה</v>
      </c>
      <c r="H278" s="88" t="str">
        <f>IF($F278="","",'הזנה לתנאי סף'!I278)</f>
        <v>אחר</v>
      </c>
      <c r="I278" s="109">
        <v>4482000</v>
      </c>
      <c r="J278" s="213">
        <f>IF($F278="","",'הזנה לתנאי סף'!S278)</f>
        <v>4682000</v>
      </c>
      <c r="K278" s="109"/>
      <c r="L278" s="213">
        <f t="shared" si="34"/>
        <v>9164000</v>
      </c>
      <c r="M278" s="213">
        <f>IF($F278="","",IF(L278='הזנה לתנאי סף'!R278,1,0))</f>
        <v>1</v>
      </c>
      <c r="N278" s="214">
        <f t="shared" si="35"/>
        <v>0.4890877346137058</v>
      </c>
      <c r="O278" s="214">
        <f t="shared" si="44"/>
        <v>0.5109122653862942</v>
      </c>
      <c r="P278" s="109">
        <v>7257000</v>
      </c>
      <c r="Q278" s="213">
        <f>IF($F278="","",IFERROR(IF(P278&gt;0,'פרמטרים לקריטריונים'!$C$25*P278*O278,$AG$2),""))</f>
        <v>1112307.0929725012</v>
      </c>
      <c r="R278" s="213">
        <f>IF($F278="","",IFERROR('פרמטרים לקריטריונים'!$C$26*Q278,""))</f>
        <v>273518.13761618879</v>
      </c>
      <c r="S278" s="214">
        <f t="shared" si="36"/>
        <v>4.05358089072243E-3</v>
      </c>
      <c r="T278" s="213">
        <f t="shared" si="37"/>
        <v>202679.04453612151</v>
      </c>
      <c r="U278" s="213">
        <f>IF($F278="","",'הזנה לתנאי סף'!N278)</f>
        <v>0</v>
      </c>
      <c r="V278" s="213">
        <f>IF($F278="","",'הזנה לתנאי סף'!O278)</f>
        <v>1</v>
      </c>
      <c r="W278" s="109">
        <v>720000</v>
      </c>
      <c r="X278" s="109">
        <v>720000</v>
      </c>
      <c r="Y278" s="109">
        <v>8720675</v>
      </c>
      <c r="Z278" s="214">
        <f t="shared" si="38"/>
        <v>8.2562416326717833E-2</v>
      </c>
      <c r="AA278" s="213" t="str">
        <f>IF(OR($F278="",V278=0),"",IF(V278=1,IF(COUNTBLANK(W278:X278)&gt;0,$AG$2,IF(OR(Z278&lt;='פרמטרים לקריטריונים'!$C$27,X278&gt;W278),"",X278-W278))))</f>
        <v/>
      </c>
      <c r="AB278" s="214" t="str">
        <f t="shared" si="42"/>
        <v/>
      </c>
      <c r="AC278" s="225" t="str">
        <f>IF(OR(AB278="",U278=1),"",IF(OR(COUNTBLANK(W278:Y278)&gt;0,AB278&gt;='פרמטרים לקריטריונים'!$E$54),'פרמטרים לקריטריונים'!$F$54,INDEX('פרמטרים לקריטריונים'!$F$49:$F$54,MATCH(AB278,'פרמטרים לקריטריונים'!$E$49:$E$54,1))))</f>
        <v/>
      </c>
      <c r="AD278" s="213" t="str">
        <f t="shared" si="39"/>
        <v/>
      </c>
      <c r="AE278" s="213">
        <f t="shared" si="40"/>
        <v>202679.04453612151</v>
      </c>
      <c r="AG278" s="175">
        <f t="shared" si="43"/>
        <v>0</v>
      </c>
    </row>
    <row r="279" spans="1:33" ht="15.75" x14ac:dyDescent="0.2">
      <c r="A279" s="206">
        <f t="shared" si="41"/>
        <v>249</v>
      </c>
      <c r="B279" s="88">
        <f>IF($F279="","",'הזנה לתנאי סף'!C279)</f>
        <v>1001348971</v>
      </c>
      <c r="C279" s="88">
        <f>IF($F279="","",'הזנה לתנאי סף'!D279)</f>
        <v>1001274750</v>
      </c>
      <c r="D279" s="88">
        <f>IF($F279="","",'הזנה לתנאי סף'!E279)</f>
        <v>40000174</v>
      </c>
      <c r="E279" s="88">
        <f>IF($F279="","",'הזנה לתנאי סף'!F279)</f>
        <v>20000201</v>
      </c>
      <c r="F279" s="88" t="str">
        <f>IF(OR('הזנה לתנאי סף'!G279="",'הזנה לתנאי סף'!BL279&lt;&gt;1),"",'הזנה לתנאי סף'!G279)</f>
        <v>תל אביב -יפו</v>
      </c>
      <c r="G279" s="88" t="str">
        <f>IF($F279="","",'הזנה לתנאי סף'!H279)</f>
        <v>פרויקטים במחול - שליד תיאטרון מחול</v>
      </c>
      <c r="H279" s="88" t="str">
        <f>IF($F279="","",'הזנה לתנאי סף'!I279)</f>
        <v>מחול</v>
      </c>
      <c r="I279" s="109">
        <v>180625</v>
      </c>
      <c r="J279" s="213">
        <f>IF($F279="","",'הזנה לתנאי סף'!S279)</f>
        <v>210244</v>
      </c>
      <c r="K279" s="109"/>
      <c r="L279" s="213">
        <f t="shared" si="34"/>
        <v>390869</v>
      </c>
      <c r="M279" s="213">
        <f>IF($F279="","",IF(L279='הזנה לתנאי סף'!R279,1,0))</f>
        <v>1</v>
      </c>
      <c r="N279" s="214">
        <f t="shared" si="35"/>
        <v>0.46211134676835464</v>
      </c>
      <c r="O279" s="214">
        <f t="shared" si="44"/>
        <v>0.53788865323164536</v>
      </c>
      <c r="P279" s="109">
        <v>341223</v>
      </c>
      <c r="Q279" s="213">
        <f>IF($F279="","",IFERROR(IF(P279&gt;0,'פרמטרים לקריטריונים'!$C$25*P279*O279,$AG$2),""))</f>
        <v>55061.993976498517</v>
      </c>
      <c r="R279" s="213">
        <f>IF($F279="","",IFERROR('פרמטרים לקריטריונים'!$C$26*Q279,""))</f>
        <v>13539.834584384882</v>
      </c>
      <c r="S279" s="214">
        <f t="shared" si="36"/>
        <v>2.0066243216317056E-4</v>
      </c>
      <c r="T279" s="213">
        <f t="shared" si="37"/>
        <v>10033.121608158528</v>
      </c>
      <c r="U279" s="213">
        <f>IF($F279="","",'הזנה לתנאי סף'!N279)</f>
        <v>1</v>
      </c>
      <c r="V279" s="213">
        <f>IF($F279="","",'הזנה לתנאי סף'!O279)</f>
        <v>0</v>
      </c>
      <c r="W279" s="109"/>
      <c r="X279" s="109"/>
      <c r="Y279" s="109"/>
      <c r="Z279" s="214" t="str">
        <f t="shared" si="38"/>
        <v/>
      </c>
      <c r="AA279" s="213" t="str">
        <f>IF(OR($F279="",V279=0),"",IF(V279=1,IF(COUNTBLANK(W279:X279)&gt;0,$AG$2,IF(OR(Z279&lt;='פרמטרים לקריטריונים'!$C$27,X279&gt;W279),"",X279-W279))))</f>
        <v/>
      </c>
      <c r="AB279" s="214" t="str">
        <f t="shared" si="42"/>
        <v/>
      </c>
      <c r="AC279" s="225" t="str">
        <f>IF(OR(AB279="",U279=1),"",IF(OR(COUNTBLANK(W279:Y279)&gt;0,AB279&gt;='פרמטרים לקריטריונים'!$E$54),'פרמטרים לקריטריונים'!$F$54,INDEX('פרמטרים לקריטריונים'!$F$49:$F$54,MATCH(AB279,'פרמטרים לקריטריונים'!$E$49:$E$54,1))))</f>
        <v/>
      </c>
      <c r="AD279" s="213" t="str">
        <f t="shared" si="39"/>
        <v/>
      </c>
      <c r="AE279" s="213">
        <f t="shared" si="40"/>
        <v>10033.121608158528</v>
      </c>
      <c r="AG279" s="175">
        <f t="shared" si="43"/>
        <v>1</v>
      </c>
    </row>
    <row r="280" spans="1:33" ht="15.75" x14ac:dyDescent="0.2">
      <c r="A280" s="206">
        <f t="shared" si="41"/>
        <v>250</v>
      </c>
      <c r="B280" s="88">
        <f>IF($F280="","",'הזנה לתנאי סף'!C280)</f>
        <v>1001350351</v>
      </c>
      <c r="C280" s="88">
        <f>IF($F280="","",'הזנה לתנאי סף'!D280)</f>
        <v>1001269665</v>
      </c>
      <c r="D280" s="88">
        <f>IF($F280="","",'הזנה לתנאי סף'!E280)</f>
        <v>40000176</v>
      </c>
      <c r="E280" s="88">
        <f>IF($F280="","",'הזנה לתנאי סף'!F280)</f>
        <v>20000201</v>
      </c>
      <c r="F280" s="88" t="str">
        <f>IF(OR('הזנה לתנאי סף'!G280="",'הזנה לתנאי סף'!BL280&lt;&gt;1),"",'הזנה לתנאי סף'!G280)</f>
        <v>תל אביב -יפו</v>
      </c>
      <c r="G280" s="88" t="str">
        <f>IF($F280="","",'הזנה לתנאי סף'!H280)</f>
        <v>אנסמבל עתים</v>
      </c>
      <c r="H280" s="88" t="str">
        <f>IF($F280="","",'הזנה לתנאי סף'!I280)</f>
        <v>תיאטרון</v>
      </c>
      <c r="I280" s="109">
        <v>654185</v>
      </c>
      <c r="J280" s="213">
        <f>IF($F280="","",'הזנה לתנאי סף'!S280)</f>
        <v>264702</v>
      </c>
      <c r="K280" s="109"/>
      <c r="L280" s="213">
        <f t="shared" si="34"/>
        <v>918887</v>
      </c>
      <c r="M280" s="213">
        <f>IF($F280="","",IF(L280='הזנה לתנאי סף'!R280,1,0))</f>
        <v>1</v>
      </c>
      <c r="N280" s="214">
        <f t="shared" si="35"/>
        <v>0.71193193504750851</v>
      </c>
      <c r="O280" s="214">
        <f t="shared" si="44"/>
        <v>0.28806806495249149</v>
      </c>
      <c r="P280" s="109">
        <v>919843</v>
      </c>
      <c r="Q280" s="213">
        <f>IF($F280="","",IFERROR(IF(P280&gt;0,'פרמטרים לקריטריונים'!$C$25*P280*O280,$AG$2),""))</f>
        <v>79493.217921028379</v>
      </c>
      <c r="R280" s="213">
        <f>IF($F280="","",IFERROR('פרמטרים לקריטריונים'!$C$26*Q280,""))</f>
        <v>19547.51260353157</v>
      </c>
      <c r="S280" s="214">
        <f t="shared" si="36"/>
        <v>2.8969714491848596E-4</v>
      </c>
      <c r="T280" s="213">
        <f t="shared" si="37"/>
        <v>14484.857245924299</v>
      </c>
      <c r="U280" s="213">
        <f>IF($F280="","",'הזנה לתנאי סף'!N280)</f>
        <v>1</v>
      </c>
      <c r="V280" s="213">
        <f>IF($F280="","",'הזנה לתנאי סף'!O280)</f>
        <v>0</v>
      </c>
      <c r="W280" s="109"/>
      <c r="X280" s="109"/>
      <c r="Y280" s="109"/>
      <c r="Z280" s="214" t="str">
        <f t="shared" si="38"/>
        <v/>
      </c>
      <c r="AA280" s="213" t="str">
        <f>IF(OR($F280="",V280=0),"",IF(V280=1,IF(COUNTBLANK(W280:X280)&gt;0,$AG$2,IF(OR(Z280&lt;='פרמטרים לקריטריונים'!$C$27,X280&gt;W280),"",X280-W280))))</f>
        <v/>
      </c>
      <c r="AB280" s="214" t="str">
        <f t="shared" si="42"/>
        <v/>
      </c>
      <c r="AC280" s="225" t="str">
        <f>IF(OR(AB280="",U280=1),"",IF(OR(COUNTBLANK(W280:Y280)&gt;0,AB280&gt;='פרמטרים לקריטריונים'!$E$54),'פרמטרים לקריטריונים'!$F$54,INDEX('פרמטרים לקריטריונים'!$F$49:$F$54,MATCH(AB280,'פרמטרים לקריטריונים'!$E$49:$E$54,1))))</f>
        <v/>
      </c>
      <c r="AD280" s="213" t="str">
        <f t="shared" si="39"/>
        <v/>
      </c>
      <c r="AE280" s="213">
        <f t="shared" si="40"/>
        <v>14484.857245924299</v>
      </c>
      <c r="AG280" s="175">
        <f t="shared" si="43"/>
        <v>1</v>
      </c>
    </row>
    <row r="281" spans="1:33" ht="15.75" x14ac:dyDescent="0.2">
      <c r="A281" s="206">
        <f t="shared" si="41"/>
        <v>251</v>
      </c>
      <c r="B281" s="88">
        <f>IF($F281="","",'הזנה לתנאי סף'!C281)</f>
        <v>1001348862</v>
      </c>
      <c r="C281" s="88">
        <f>IF($F281="","",'הזנה לתנאי סף'!D281)</f>
        <v>1001270324</v>
      </c>
      <c r="D281" s="88">
        <f>IF($F281="","",'הזנה לתנאי סף'!E281)</f>
        <v>40000179</v>
      </c>
      <c r="E281" s="88">
        <f>IF($F281="","",'הזנה לתנאי סף'!F281)</f>
        <v>20000201</v>
      </c>
      <c r="F281" s="88" t="str">
        <f>IF(OR('הזנה לתנאי סף'!G281="",'הזנה לתנאי סף'!BL281&lt;&gt;1),"",'הזנה לתנאי סף'!G281)</f>
        <v>תל אביב -יפו</v>
      </c>
      <c r="G281" s="88" t="str">
        <f>IF($F281="","",'הזנה לתנאי סף'!H281)</f>
        <v>מקשב</v>
      </c>
      <c r="H281" s="88" t="str">
        <f>IF($F281="","",'הזנה לתנאי סף'!I281)</f>
        <v>מרכזי מוסיקה</v>
      </c>
      <c r="I281" s="109">
        <v>250540</v>
      </c>
      <c r="J281" s="213">
        <f>IF($F281="","",'הזנה לתנאי סף'!S281)</f>
        <v>104261</v>
      </c>
      <c r="K281" s="109">
        <v>300</v>
      </c>
      <c r="L281" s="213">
        <f t="shared" si="34"/>
        <v>355101</v>
      </c>
      <c r="M281" s="213">
        <f>IF($F281="","",IF(L281='הזנה לתנאי סף'!R281,1,0))</f>
        <v>1</v>
      </c>
      <c r="N281" s="214">
        <f t="shared" si="35"/>
        <v>0.70554574613983068</v>
      </c>
      <c r="O281" s="214">
        <f t="shared" si="44"/>
        <v>0.29445425386016932</v>
      </c>
      <c r="P281" s="109">
        <v>354173</v>
      </c>
      <c r="Q281" s="213">
        <f>IF($F281="","",IFERROR(IF(P281&gt;0,'פרמטרים לקריטריונים'!$C$25*P281*O281,$AG$2),""))</f>
        <v>31286.323935725322</v>
      </c>
      <c r="R281" s="213">
        <f>IF($F281="","",IFERROR('פרמטרים לקריטריונים'!$C$26*Q281,""))</f>
        <v>7693.3583448504887</v>
      </c>
      <c r="S281" s="214">
        <f t="shared" si="36"/>
        <v>1.1401675458878267E-4</v>
      </c>
      <c r="T281" s="213">
        <f t="shared" si="37"/>
        <v>5700.837729439133</v>
      </c>
      <c r="U281" s="213">
        <f>IF($F281="","",'הזנה לתנאי סף'!N281)</f>
        <v>1</v>
      </c>
      <c r="V281" s="213">
        <f>IF($F281="","",'הזנה לתנאי סף'!O281)</f>
        <v>0</v>
      </c>
      <c r="W281" s="109"/>
      <c r="X281" s="109"/>
      <c r="Y281" s="109"/>
      <c r="Z281" s="214" t="str">
        <f t="shared" si="38"/>
        <v/>
      </c>
      <c r="AA281" s="213" t="str">
        <f>IF(OR($F281="",V281=0),"",IF(V281=1,IF(COUNTBLANK(W281:X281)&gt;0,$AG$2,IF(OR(Z281&lt;='פרמטרים לקריטריונים'!$C$27,X281&gt;W281),"",X281-W281))))</f>
        <v/>
      </c>
      <c r="AB281" s="214" t="str">
        <f t="shared" si="42"/>
        <v/>
      </c>
      <c r="AC281" s="225" t="str">
        <f>IF(OR(AB281="",U281=1),"",IF(OR(COUNTBLANK(W281:Y281)&gt;0,AB281&gt;='פרמטרים לקריטריונים'!$E$54),'פרמטרים לקריטריונים'!$F$54,INDEX('פרמטרים לקריטריונים'!$F$49:$F$54,MATCH(AB281,'פרמטרים לקריטריונים'!$E$49:$E$54,1))))</f>
        <v/>
      </c>
      <c r="AD281" s="213" t="str">
        <f t="shared" si="39"/>
        <v/>
      </c>
      <c r="AE281" s="213">
        <f t="shared" si="40"/>
        <v>5700.837729439133</v>
      </c>
      <c r="AG281" s="175">
        <f t="shared" si="43"/>
        <v>1</v>
      </c>
    </row>
    <row r="282" spans="1:33" ht="15.75" x14ac:dyDescent="0.2">
      <c r="A282" s="206">
        <f t="shared" si="41"/>
        <v>252</v>
      </c>
      <c r="B282" s="88">
        <f>IF($F282="","",'הזנה לתנאי סף'!C282)</f>
        <v>1001348072</v>
      </c>
      <c r="C282" s="88">
        <f>IF($F282="","",'הזנה לתנאי סף'!D282)</f>
        <v>1001272584</v>
      </c>
      <c r="D282" s="88">
        <f>IF($F282="","",'הזנה לתנאי סף'!E282)</f>
        <v>40000564</v>
      </c>
      <c r="E282" s="88">
        <f>IF($F282="","",'הזנה לתנאי סף'!F282)</f>
        <v>20000201</v>
      </c>
      <c r="F282" s="88" t="str">
        <f>IF(OR('הזנה לתנאי סף'!G282="",'הזנה לתנאי סף'!BL282&lt;&gt;1),"",'הזנה לתנאי סף'!G282)</f>
        <v>תל אביב -יפו</v>
      </c>
      <c r="G282" s="88" t="str">
        <f>IF($F282="","",'הזנה לתנאי סף'!H282)</f>
        <v>עמותת הכוריאוגרפים (ע"ר)</v>
      </c>
      <c r="H282" s="88" t="str">
        <f>IF($F282="","",'הזנה לתנאי סף'!I282)</f>
        <v>יוצרים עצמאיים במחול</v>
      </c>
      <c r="I282" s="109">
        <v>99474</v>
      </c>
      <c r="J282" s="213">
        <f>IF($F282="","",'הזנה לתנאי סף'!S282)</f>
        <v>51494</v>
      </c>
      <c r="K282" s="109"/>
      <c r="L282" s="213">
        <f t="shared" si="34"/>
        <v>150968</v>
      </c>
      <c r="M282" s="213">
        <f>IF($F282="","",IF(L282='הזנה לתנאי סף'!R282,1,0))</f>
        <v>1</v>
      </c>
      <c r="N282" s="214">
        <f t="shared" si="35"/>
        <v>0.65890784802077262</v>
      </c>
      <c r="O282" s="214">
        <f t="shared" si="44"/>
        <v>0.34109215197922738</v>
      </c>
      <c r="P282" s="109">
        <v>146301</v>
      </c>
      <c r="Q282" s="213">
        <f>IF($F282="","",IFERROR(IF(P282&gt;0,'פרמטרים לקריטריונים'!$C$25*P282*O282,$AG$2),""))</f>
        <v>14970.636878013882</v>
      </c>
      <c r="R282" s="213">
        <f>IF($F282="","",IFERROR('פרמטרים לקריטריונים'!$C$26*Q282,""))</f>
        <v>3681.3041503312825</v>
      </c>
      <c r="S282" s="214">
        <f t="shared" si="36"/>
        <v>5.4557494017672188E-5</v>
      </c>
      <c r="T282" s="213">
        <f t="shared" si="37"/>
        <v>2727.8747008836094</v>
      </c>
      <c r="U282" s="213">
        <f>IF($F282="","",'הזנה לתנאי סף'!N282)</f>
        <v>0</v>
      </c>
      <c r="V282" s="213">
        <f>IF($F282="","",'הזנה לתנאי סף'!O282)</f>
        <v>1</v>
      </c>
      <c r="W282" s="109">
        <v>0</v>
      </c>
      <c r="X282" s="109">
        <v>0</v>
      </c>
      <c r="Y282" s="109">
        <v>1</v>
      </c>
      <c r="Z282" s="214">
        <f t="shared" si="38"/>
        <v>0</v>
      </c>
      <c r="AA282" s="213" t="str">
        <f>IF(OR($F282="",V282=0),"",IF(V282=1,IF(COUNTBLANK(W282:X282)&gt;0,$AG$2,IF(OR(Z282&lt;='פרמטרים לקריטריונים'!$C$27,X282&gt;W282),"",X282-W282))))</f>
        <v/>
      </c>
      <c r="AB282" s="214" t="str">
        <f t="shared" si="42"/>
        <v/>
      </c>
      <c r="AC282" s="225" t="str">
        <f>IF(OR(AB282="",U282=1),"",IF(OR(COUNTBLANK(W282:Y282)&gt;0,AB282&gt;='פרמטרים לקריטריונים'!$E$54),'פרמטרים לקריטריונים'!$F$54,INDEX('פרמטרים לקריטריונים'!$F$49:$F$54,MATCH(AB282,'פרמטרים לקריטריונים'!$E$49:$E$54,1))))</f>
        <v/>
      </c>
      <c r="AD282" s="213" t="str">
        <f t="shared" si="39"/>
        <v/>
      </c>
      <c r="AE282" s="213">
        <f t="shared" si="40"/>
        <v>2727.8747008836094</v>
      </c>
      <c r="AG282" s="175">
        <f t="shared" si="43"/>
        <v>0</v>
      </c>
    </row>
    <row r="283" spans="1:33" ht="15.75" x14ac:dyDescent="0.2">
      <c r="A283" s="206">
        <f t="shared" si="41"/>
        <v>253</v>
      </c>
      <c r="B283" s="88">
        <f>IF($F283="","",'הזנה לתנאי סף'!C283)</f>
        <v>1001348120</v>
      </c>
      <c r="C283" s="88">
        <f>IF($F283="","",'הזנה לתנאי סף'!D283)</f>
        <v>1001276731</v>
      </c>
      <c r="D283" s="88">
        <f>IF($F283="","",'הזנה לתנאי סף'!E283)</f>
        <v>40000564</v>
      </c>
      <c r="E283" s="88">
        <f>IF($F283="","",'הזנה לתנאי סף'!F283)</f>
        <v>20000201</v>
      </c>
      <c r="F283" s="88" t="str">
        <f>IF(OR('הזנה לתנאי סף'!G283="",'הזנה לתנאי סף'!BL283&lt;&gt;1),"",'הזנה לתנאי סף'!G283)</f>
        <v>תל אביב -יפו</v>
      </c>
      <c r="G283" s="88" t="str">
        <f>IF($F283="","",'הזנה לתנאי סף'!H283)</f>
        <v>עמותת הכוריאוגרפים (ע"ר)</v>
      </c>
      <c r="H283" s="88" t="str">
        <f>IF($F283="","",'הזנה לתנאי סף'!I283)</f>
        <v>יוצרים עצמאיים במחול</v>
      </c>
      <c r="I283" s="109">
        <v>40000</v>
      </c>
      <c r="J283" s="213">
        <f>IF($F283="","",'הזנה לתנאי סף'!S283)</f>
        <v>50373</v>
      </c>
      <c r="K283" s="109"/>
      <c r="L283" s="213">
        <f t="shared" si="34"/>
        <v>90373</v>
      </c>
      <c r="M283" s="213">
        <f>IF($F283="","",IF(L283='הזנה לתנאי סף'!R283,1,0))</f>
        <v>1</v>
      </c>
      <c r="N283" s="214">
        <f t="shared" si="35"/>
        <v>0.44261007159217908</v>
      </c>
      <c r="O283" s="214">
        <f t="shared" si="44"/>
        <v>0.55738992840782098</v>
      </c>
      <c r="P283" s="109">
        <v>74882</v>
      </c>
      <c r="Q283" s="213">
        <f>IF($F283="","",IFERROR(IF(P283&gt;0,'פרמטרים לקריטריונים'!$C$25*P283*O283,$AG$2),""))</f>
        <v>12521.541785710335</v>
      </c>
      <c r="R283" s="213">
        <f>IF($F283="","",IFERROR('פרמטרים לקריטריונים'!$C$26*Q283,""))</f>
        <v>3079.0676522238527</v>
      </c>
      <c r="S283" s="214">
        <f t="shared" si="36"/>
        <v>4.563225643854872E-5</v>
      </c>
      <c r="T283" s="213">
        <f t="shared" si="37"/>
        <v>2281.612821927436</v>
      </c>
      <c r="U283" s="213">
        <f>IF($F283="","",'הזנה לתנאי סף'!N283)</f>
        <v>0</v>
      </c>
      <c r="V283" s="213">
        <f>IF($F283="","",'הזנה לתנאי סף'!O283)</f>
        <v>1</v>
      </c>
      <c r="W283" s="109">
        <v>0</v>
      </c>
      <c r="X283" s="109">
        <v>0</v>
      </c>
      <c r="Y283" s="109">
        <v>1</v>
      </c>
      <c r="Z283" s="214">
        <f t="shared" si="38"/>
        <v>0</v>
      </c>
      <c r="AA283" s="213" t="str">
        <f>IF(OR($F283="",V283=0),"",IF(V283=1,IF(COUNTBLANK(W283:X283)&gt;0,$AG$2,IF(OR(Z283&lt;='פרמטרים לקריטריונים'!$C$27,X283&gt;W283),"",X283-W283))))</f>
        <v/>
      </c>
      <c r="AB283" s="214" t="str">
        <f t="shared" si="42"/>
        <v/>
      </c>
      <c r="AC283" s="225" t="str">
        <f>IF(OR(AB283="",U283=1),"",IF(OR(COUNTBLANK(W283:Y283)&gt;0,AB283&gt;='פרמטרים לקריטריונים'!$E$54),'פרמטרים לקריטריונים'!$F$54,INDEX('פרמטרים לקריטריונים'!$F$49:$F$54,MATCH(AB283,'פרמטרים לקריטריונים'!$E$49:$E$54,1))))</f>
        <v/>
      </c>
      <c r="AD283" s="213" t="str">
        <f t="shared" si="39"/>
        <v/>
      </c>
      <c r="AE283" s="213">
        <f t="shared" si="40"/>
        <v>2281.612821927436</v>
      </c>
      <c r="AG283" s="175">
        <f t="shared" si="43"/>
        <v>0</v>
      </c>
    </row>
    <row r="284" spans="1:33" ht="15.75" x14ac:dyDescent="0.2">
      <c r="A284" s="206">
        <f t="shared" si="41"/>
        <v>254</v>
      </c>
      <c r="B284" s="88">
        <f>IF($F284="","",'הזנה לתנאי סף'!C284)</f>
        <v>1001348124</v>
      </c>
      <c r="C284" s="88">
        <f>IF($F284="","",'הזנה לתנאי סף'!D284)</f>
        <v>1001276699</v>
      </c>
      <c r="D284" s="88">
        <f>IF($F284="","",'הזנה לתנאי סף'!E284)</f>
        <v>40000564</v>
      </c>
      <c r="E284" s="88">
        <f>IF($F284="","",'הזנה לתנאי סף'!F284)</f>
        <v>20000201</v>
      </c>
      <c r="F284" s="88" t="str">
        <f>IF(OR('הזנה לתנאי סף'!G284="",'הזנה לתנאי סף'!BL284&lt;&gt;1),"",'הזנה לתנאי סף'!G284)</f>
        <v>תל אביב -יפו</v>
      </c>
      <c r="G284" s="88" t="str">
        <f>IF($F284="","",'הזנה לתנאי סף'!H284)</f>
        <v>עמותת הכוריאוגרפים (ע"ר)</v>
      </c>
      <c r="H284" s="88" t="str">
        <f>IF($F284="","",'הזנה לתנאי סף'!I284)</f>
        <v>יוצרים עצמאיים במחול</v>
      </c>
      <c r="I284" s="109">
        <v>103635</v>
      </c>
      <c r="J284" s="213">
        <f>IF($F284="","",'הזנה לתנאי סף'!S284)</f>
        <v>160412</v>
      </c>
      <c r="K284" s="109"/>
      <c r="L284" s="213">
        <f t="shared" si="34"/>
        <v>264047</v>
      </c>
      <c r="M284" s="213">
        <f>IF($F284="","",IF(L284='הזנה לתנאי סף'!R284,1,0))</f>
        <v>1</v>
      </c>
      <c r="N284" s="214">
        <f t="shared" si="35"/>
        <v>0.39248694361231146</v>
      </c>
      <c r="O284" s="214">
        <f t="shared" si="44"/>
        <v>0.60751305638768849</v>
      </c>
      <c r="P284" s="109">
        <v>268672</v>
      </c>
      <c r="Q284" s="213">
        <f>IF($F284="","",IFERROR(IF(P284&gt;0,'פרמטרים לקריטריונים'!$C$25*P284*O284,$AG$2),""))</f>
        <v>48966.524365737911</v>
      </c>
      <c r="R284" s="213">
        <f>IF($F284="","",IFERROR('פרמטרים לקריטריונים'!$C$26*Q284,""))</f>
        <v>12040.948614525716</v>
      </c>
      <c r="S284" s="214">
        <f t="shared" si="36"/>
        <v>1.7844871142879299E-4</v>
      </c>
      <c r="T284" s="213">
        <f t="shared" si="37"/>
        <v>8922.4355714396497</v>
      </c>
      <c r="U284" s="213">
        <f>IF($F284="","",'הזנה לתנאי סף'!N284)</f>
        <v>0</v>
      </c>
      <c r="V284" s="213">
        <f>IF($F284="","",'הזנה לתנאי סף'!O284)</f>
        <v>1</v>
      </c>
      <c r="W284" s="109">
        <v>0</v>
      </c>
      <c r="X284" s="109">
        <v>0</v>
      </c>
      <c r="Y284" s="109">
        <v>1</v>
      </c>
      <c r="Z284" s="214">
        <f t="shared" si="38"/>
        <v>0</v>
      </c>
      <c r="AA284" s="213" t="str">
        <f>IF(OR($F284="",V284=0),"",IF(V284=1,IF(COUNTBLANK(W284:X284)&gt;0,$AG$2,IF(OR(Z284&lt;='פרמטרים לקריטריונים'!$C$27,X284&gt;W284),"",X284-W284))))</f>
        <v/>
      </c>
      <c r="AB284" s="214" t="str">
        <f t="shared" si="42"/>
        <v/>
      </c>
      <c r="AC284" s="225" t="str">
        <f>IF(OR(AB284="",U284=1),"",IF(OR(COUNTBLANK(W284:Y284)&gt;0,AB284&gt;='פרמטרים לקריטריונים'!$E$54),'פרמטרים לקריטריונים'!$F$54,INDEX('פרמטרים לקריטריונים'!$F$49:$F$54,MATCH(AB284,'פרמטרים לקריטריונים'!$E$49:$E$54,1))))</f>
        <v/>
      </c>
      <c r="AD284" s="213" t="str">
        <f t="shared" si="39"/>
        <v/>
      </c>
      <c r="AE284" s="213">
        <f t="shared" si="40"/>
        <v>8922.4355714396497</v>
      </c>
      <c r="AG284" s="175">
        <f t="shared" si="43"/>
        <v>0</v>
      </c>
    </row>
    <row r="285" spans="1:33" ht="15.75" x14ac:dyDescent="0.2">
      <c r="A285" s="206">
        <f t="shared" si="41"/>
        <v>255</v>
      </c>
      <c r="B285" s="88">
        <f>IF($F285="","",'הזנה לתנאי סף'!C285)</f>
        <v>1001348125</v>
      </c>
      <c r="C285" s="88">
        <f>IF($F285="","",'הזנה לתנאי סף'!D285)</f>
        <v>1001276698</v>
      </c>
      <c r="D285" s="88">
        <f>IF($F285="","",'הזנה לתנאי סף'!E285)</f>
        <v>40000564</v>
      </c>
      <c r="E285" s="88">
        <f>IF($F285="","",'הזנה לתנאי סף'!F285)</f>
        <v>20000201</v>
      </c>
      <c r="F285" s="88" t="str">
        <f>IF(OR('הזנה לתנאי סף'!G285="",'הזנה לתנאי סף'!BL285&lt;&gt;1),"",'הזנה לתנאי סף'!G285)</f>
        <v>תל אביב -יפו</v>
      </c>
      <c r="G285" s="88" t="str">
        <f>IF($F285="","",'הזנה לתנאי סף'!H285)</f>
        <v>עמותת הכוריאוגרפים (ע"ר)</v>
      </c>
      <c r="H285" s="88" t="str">
        <f>IF($F285="","",'הזנה לתנאי סף'!I285)</f>
        <v>יוצרים עצמאיים במחול</v>
      </c>
      <c r="I285" s="109">
        <v>25607</v>
      </c>
      <c r="J285" s="213">
        <f>IF($F285="","",'הזנה לתנאי סף'!S285)</f>
        <v>42161</v>
      </c>
      <c r="K285" s="109"/>
      <c r="L285" s="213">
        <f t="shared" si="34"/>
        <v>67768</v>
      </c>
      <c r="M285" s="213">
        <f>IF($F285="","",IF(L285='הזנה לתנאי סף'!R285,1,0))</f>
        <v>1</v>
      </c>
      <c r="N285" s="214">
        <f t="shared" si="35"/>
        <v>0.37786270806280248</v>
      </c>
      <c r="O285" s="214">
        <f t="shared" si="44"/>
        <v>0.62213729193719747</v>
      </c>
      <c r="P285" s="109">
        <v>73187</v>
      </c>
      <c r="Q285" s="213">
        <f>IF($F285="","",IFERROR(IF(P285&gt;0,'פרמטרים לקריטריונים'!$C$25*P285*O285,$AG$2),""))</f>
        <v>13659.708595502301</v>
      </c>
      <c r="R285" s="213">
        <f>IF($F285="","",IFERROR('פרמטרים לקריטריונים'!$C$26*Q285,""))</f>
        <v>3358.9447365989263</v>
      </c>
      <c r="S285" s="214">
        <f t="shared" si="36"/>
        <v>4.9780077898805544E-5</v>
      </c>
      <c r="T285" s="213">
        <f t="shared" si="37"/>
        <v>2489.0038949402774</v>
      </c>
      <c r="U285" s="213">
        <f>IF($F285="","",'הזנה לתנאי סף'!N285)</f>
        <v>0</v>
      </c>
      <c r="V285" s="213">
        <f>IF($F285="","",'הזנה לתנאי סף'!O285)</f>
        <v>1</v>
      </c>
      <c r="W285" s="109">
        <v>0</v>
      </c>
      <c r="X285" s="109">
        <v>0</v>
      </c>
      <c r="Y285" s="109">
        <v>1</v>
      </c>
      <c r="Z285" s="214">
        <f t="shared" si="38"/>
        <v>0</v>
      </c>
      <c r="AA285" s="213" t="str">
        <f>IF(OR($F285="",V285=0),"",IF(V285=1,IF(COUNTBLANK(W285:X285)&gt;0,$AG$2,IF(OR(Z285&lt;='פרמטרים לקריטריונים'!$C$27,X285&gt;W285),"",X285-W285))))</f>
        <v/>
      </c>
      <c r="AB285" s="214" t="str">
        <f t="shared" si="42"/>
        <v/>
      </c>
      <c r="AC285" s="225" t="str">
        <f>IF(OR(AB285="",U285=1),"",IF(OR(COUNTBLANK(W285:Y285)&gt;0,AB285&gt;='פרמטרים לקריטריונים'!$E$54),'פרמטרים לקריטריונים'!$F$54,INDEX('פרמטרים לקריטריונים'!$F$49:$F$54,MATCH(AB285,'פרמטרים לקריטריונים'!$E$49:$E$54,1))))</f>
        <v/>
      </c>
      <c r="AD285" s="213" t="str">
        <f t="shared" si="39"/>
        <v/>
      </c>
      <c r="AE285" s="213">
        <f t="shared" si="40"/>
        <v>2489.0038949402774</v>
      </c>
      <c r="AG285" s="175">
        <f t="shared" si="43"/>
        <v>0</v>
      </c>
    </row>
    <row r="286" spans="1:33" ht="15.75" x14ac:dyDescent="0.2">
      <c r="A286" s="206">
        <f t="shared" si="41"/>
        <v>256</v>
      </c>
      <c r="B286" s="88">
        <f>IF($F286="","",'הזנה לתנאי סף'!C286)</f>
        <v>1001348128</v>
      </c>
      <c r="C286" s="88">
        <f>IF($F286="","",'הזנה לתנאי סף'!D286)</f>
        <v>1001273596</v>
      </c>
      <c r="D286" s="88">
        <f>IF($F286="","",'הזנה לתנאי סף'!E286)</f>
        <v>40000564</v>
      </c>
      <c r="E286" s="88">
        <f>IF($F286="","",'הזנה לתנאי סף'!F286)</f>
        <v>20000201</v>
      </c>
      <c r="F286" s="88" t="str">
        <f>IF(OR('הזנה לתנאי סף'!G286="",'הזנה לתנאי סף'!BL286&lt;&gt;1),"",'הזנה לתנאי סף'!G286)</f>
        <v>תל אביב -יפו</v>
      </c>
      <c r="G286" s="88" t="str">
        <f>IF($F286="","",'הזנה לתנאי סף'!H286)</f>
        <v>עמותת הכוריאוגרפים (ע"ר)</v>
      </c>
      <c r="H286" s="88" t="str">
        <f>IF($F286="","",'הזנה לתנאי סף'!I286)</f>
        <v>יוצרים עצמאיים במחול</v>
      </c>
      <c r="I286" s="109">
        <v>59160</v>
      </c>
      <c r="J286" s="213">
        <f>IF($F286="","",'הזנה לתנאי סף'!S286)</f>
        <v>55052</v>
      </c>
      <c r="K286" s="109"/>
      <c r="L286" s="213">
        <f t="shared" si="34"/>
        <v>114212</v>
      </c>
      <c r="M286" s="213">
        <f>IF($F286="","",IF(L286='הזנה לתנאי סף'!R286,1,0))</f>
        <v>1</v>
      </c>
      <c r="N286" s="214">
        <f t="shared" si="35"/>
        <v>0.51798409974433512</v>
      </c>
      <c r="O286" s="214">
        <f t="shared" si="44"/>
        <v>0.48201590025566488</v>
      </c>
      <c r="P286" s="109">
        <v>136264</v>
      </c>
      <c r="Q286" s="213">
        <f>IF($F286="","",IFERROR(IF(P286&gt;0,'פרמטרים לקריטריונים'!$C$25*P286*O286,$AG$2),""))</f>
        <v>19704.424389731375</v>
      </c>
      <c r="R286" s="213">
        <f>IF($F286="","",IFERROR('פרמטרים לקריטריונים'!$C$26*Q286,""))</f>
        <v>4845.3502597700099</v>
      </c>
      <c r="S286" s="214">
        <f t="shared" si="36"/>
        <v>7.1808836492670582E-5</v>
      </c>
      <c r="T286" s="213">
        <f t="shared" si="37"/>
        <v>3590.441824633529</v>
      </c>
      <c r="U286" s="213">
        <f>IF($F286="","",'הזנה לתנאי סף'!N286)</f>
        <v>0</v>
      </c>
      <c r="V286" s="213">
        <f>IF($F286="","",'הזנה לתנאי סף'!O286)</f>
        <v>1</v>
      </c>
      <c r="W286" s="109">
        <v>0</v>
      </c>
      <c r="X286" s="109">
        <v>0</v>
      </c>
      <c r="Y286" s="109">
        <v>1</v>
      </c>
      <c r="Z286" s="214">
        <f t="shared" si="38"/>
        <v>0</v>
      </c>
      <c r="AA286" s="213" t="str">
        <f>IF(OR($F286="",V286=0),"",IF(V286=1,IF(COUNTBLANK(W286:X286)&gt;0,$AG$2,IF(OR(Z286&lt;='פרמטרים לקריטריונים'!$C$27,X286&gt;W286),"",X286-W286))))</f>
        <v/>
      </c>
      <c r="AB286" s="214" t="str">
        <f t="shared" si="42"/>
        <v/>
      </c>
      <c r="AC286" s="225" t="str">
        <f>IF(OR(AB286="",U286=1),"",IF(OR(COUNTBLANK(W286:Y286)&gt;0,AB286&gt;='פרמטרים לקריטריונים'!$E$54),'פרמטרים לקריטריונים'!$F$54,INDEX('פרמטרים לקריטריונים'!$F$49:$F$54,MATCH(AB286,'פרמטרים לקריטריונים'!$E$49:$E$54,1))))</f>
        <v/>
      </c>
      <c r="AD286" s="213" t="str">
        <f t="shared" si="39"/>
        <v/>
      </c>
      <c r="AE286" s="213">
        <f t="shared" si="40"/>
        <v>3590.441824633529</v>
      </c>
      <c r="AG286" s="175">
        <f t="shared" si="43"/>
        <v>0</v>
      </c>
    </row>
    <row r="287" spans="1:33" ht="15.75" x14ac:dyDescent="0.2">
      <c r="A287" s="206">
        <f t="shared" si="41"/>
        <v>257</v>
      </c>
      <c r="B287" s="88">
        <f>IF($F287="","",'הזנה לתנאי סף'!C287)</f>
        <v>1001348129</v>
      </c>
      <c r="C287" s="88">
        <f>IF($F287="","",'הזנה לתנאי סף'!D287)</f>
        <v>1001276685</v>
      </c>
      <c r="D287" s="88">
        <f>IF($F287="","",'הזנה לתנאי סף'!E287)</f>
        <v>40000564</v>
      </c>
      <c r="E287" s="88">
        <f>IF($F287="","",'הזנה לתנאי סף'!F287)</f>
        <v>20000201</v>
      </c>
      <c r="F287" s="88" t="str">
        <f>IF(OR('הזנה לתנאי סף'!G287="",'הזנה לתנאי סף'!BL287&lt;&gt;1),"",'הזנה לתנאי סף'!G287)</f>
        <v>תל אביב -יפו</v>
      </c>
      <c r="G287" s="88" t="str">
        <f>IF($F287="","",'הזנה לתנאי סף'!H287)</f>
        <v>עמותת הכוריאוגרפים (ע"ר)</v>
      </c>
      <c r="H287" s="88" t="str">
        <f>IF($F287="","",'הזנה לתנאי סף'!I287)</f>
        <v>יוצרים עצמאיים במחול</v>
      </c>
      <c r="I287" s="109">
        <v>50000</v>
      </c>
      <c r="J287" s="213">
        <f>IF($F287="","",'הזנה לתנאי סף'!S287)</f>
        <v>100009</v>
      </c>
      <c r="K287" s="109">
        <v>15000</v>
      </c>
      <c r="L287" s="213">
        <f t="shared" ref="L287:L329" si="45">IF($F287="","",SUM(I287:K287))</f>
        <v>165009</v>
      </c>
      <c r="M287" s="213">
        <f>IF($F287="","",IF(L287='הזנה לתנאי סף'!R287,1,0))</f>
        <v>1</v>
      </c>
      <c r="N287" s="214">
        <f t="shared" ref="N287:N329" si="46">IF($F287="","",IFERROR(I287/L287,$AG$2))</f>
        <v>0.30301377500621179</v>
      </c>
      <c r="O287" s="214">
        <f t="shared" si="44"/>
        <v>0.69698622499378815</v>
      </c>
      <c r="P287" s="109">
        <v>145530</v>
      </c>
      <c r="Q287" s="213">
        <f>IF($F287="","",IFERROR(IF(P287&gt;0,'פרמטרים לקריטריונים'!$C$25*P287*O287,$AG$2),""))</f>
        <v>30429.721597003798</v>
      </c>
      <c r="R287" s="213">
        <f>IF($F287="","",IFERROR('פרמטרים לקריטריונים'!$C$26*Q287,""))</f>
        <v>7482.718425492737</v>
      </c>
      <c r="S287" s="214">
        <f t="shared" ref="S287:S329" si="47">IF($F287="","",IFERROR(R287/$R$501,""))</f>
        <v>1.1089503856887452E-4</v>
      </c>
      <c r="T287" s="213">
        <f t="shared" ref="T287:T329" si="48">IF($F287="","",IFERROR(S287*$C$4,""))</f>
        <v>5544.7519284437258</v>
      </c>
      <c r="U287" s="213">
        <f>IF($F287="","",'הזנה לתנאי סף'!N287)</f>
        <v>0</v>
      </c>
      <c r="V287" s="213">
        <f>IF($F287="","",'הזנה לתנאי סף'!O287)</f>
        <v>1</v>
      </c>
      <c r="W287" s="109">
        <v>0</v>
      </c>
      <c r="X287" s="109">
        <v>0</v>
      </c>
      <c r="Y287" s="109">
        <v>1</v>
      </c>
      <c r="Z287" s="214">
        <f t="shared" ref="Z287:Z329" si="49">IF(OR($F287="",V287&lt;&gt;1),"",IF(COUNTBLANK(W287:Y287)&gt;0,$AG$2,IF(ISBLANK(Y287),$AG$2,W287/Y287)))</f>
        <v>0</v>
      </c>
      <c r="AA287" s="213" t="str">
        <f>IF(OR($F287="",V287=0),"",IF(V287=1,IF(COUNTBLANK(W287:X287)&gt;0,$AG$2,IF(OR(Z287&lt;='פרמטרים לקריטריונים'!$C$27,X287&gt;W287),"",X287-W287))))</f>
        <v/>
      </c>
      <c r="AB287" s="214" t="str">
        <f t="shared" si="42"/>
        <v/>
      </c>
      <c r="AC287" s="225" t="str">
        <f>IF(OR(AB287="",U287=1),"",IF(OR(COUNTBLANK(W287:Y287)&gt;0,AB287&gt;='פרמטרים לקריטריונים'!$E$54),'פרמטרים לקריטריונים'!$F$54,INDEX('פרמטרים לקריטריונים'!$F$49:$F$54,MATCH(AB287,'פרמטרים לקריטריונים'!$E$49:$E$54,1))))</f>
        <v/>
      </c>
      <c r="AD287" s="213" t="str">
        <f t="shared" ref="AD287:AD329" si="50">IF(OR($F287="",AC287=""),"",IF(COUNTBLANK(W287:X287)&gt;0,-T287,IF(-AC287*AA287&gt;T287,-T287,AC287*AA287)))</f>
        <v/>
      </c>
      <c r="AE287" s="213">
        <f t="shared" ref="AE287:AE329" si="51">IF($F287="","",IF(M287=0,$AG$2,IF(AD287&lt;&gt;"",T287+AD287,T287)))</f>
        <v>5544.7519284437258</v>
      </c>
      <c r="AG287" s="175">
        <f t="shared" si="43"/>
        <v>0</v>
      </c>
    </row>
    <row r="288" spans="1:33" ht="15.75" x14ac:dyDescent="0.2">
      <c r="A288" s="206">
        <f t="shared" ref="A288:A329" si="52">IF(F288="","",ROW()-30)</f>
        <v>258</v>
      </c>
      <c r="B288" s="88">
        <f>IF($F288="","",'הזנה לתנאי סף'!C288)</f>
        <v>1001348132</v>
      </c>
      <c r="C288" s="88">
        <f>IF($F288="","",'הזנה לתנאי סף'!D288)</f>
        <v>1001276680</v>
      </c>
      <c r="D288" s="88">
        <f>IF($F288="","",'הזנה לתנאי סף'!E288)</f>
        <v>40000564</v>
      </c>
      <c r="E288" s="88">
        <f>IF($F288="","",'הזנה לתנאי סף'!F288)</f>
        <v>20000201</v>
      </c>
      <c r="F288" s="88" t="str">
        <f>IF(OR('הזנה לתנאי סף'!G288="",'הזנה לתנאי סף'!BL288&lt;&gt;1),"",'הזנה לתנאי סף'!G288)</f>
        <v>תל אביב -יפו</v>
      </c>
      <c r="G288" s="88" t="str">
        <f>IF($F288="","",'הזנה לתנאי סף'!H288)</f>
        <v>עמותת הכוריאוגרפים (ע"ר)</v>
      </c>
      <c r="H288" s="88" t="str">
        <f>IF($F288="","",'הזנה לתנאי סף'!I288)</f>
        <v>יוצרים עצמאיים במחול</v>
      </c>
      <c r="I288" s="109">
        <v>89847</v>
      </c>
      <c r="J288" s="213">
        <f>IF($F288="","",'הזנה לתנאי סף'!S288)</f>
        <v>137852</v>
      </c>
      <c r="K288" s="109"/>
      <c r="L288" s="213">
        <f t="shared" si="45"/>
        <v>227699</v>
      </c>
      <c r="M288" s="213">
        <f>IF($F288="","",IF(L288='הזנה לתנאי סף'!R288,1,0))</f>
        <v>1</v>
      </c>
      <c r="N288" s="214">
        <f t="shared" si="46"/>
        <v>0.39458671316079563</v>
      </c>
      <c r="O288" s="214">
        <f t="shared" si="44"/>
        <v>0.60541328683920437</v>
      </c>
      <c r="P288" s="109">
        <v>178318</v>
      </c>
      <c r="Q288" s="213">
        <f>IF($F288="","",IFERROR(IF(P288&gt;0,'פרמטרים לקריטריונים'!$C$25*P288*O288,$AG$2),""))</f>
        <v>32386.825944777975</v>
      </c>
      <c r="R288" s="213">
        <f>IF($F288="","",IFERROR('פרמטרים לקריטריונים'!$C$26*Q288,""))</f>
        <v>7963.97359297819</v>
      </c>
      <c r="S288" s="214">
        <f t="shared" si="47"/>
        <v>1.1802731421056489E-4</v>
      </c>
      <c r="T288" s="213">
        <f t="shared" si="48"/>
        <v>5901.3657105282446</v>
      </c>
      <c r="U288" s="213">
        <f>IF($F288="","",'הזנה לתנאי סף'!N288)</f>
        <v>0</v>
      </c>
      <c r="V288" s="213">
        <f>IF($F288="","",'הזנה לתנאי סף'!O288)</f>
        <v>1</v>
      </c>
      <c r="W288" s="109">
        <v>0</v>
      </c>
      <c r="X288" s="109">
        <v>0</v>
      </c>
      <c r="Y288" s="109">
        <v>1</v>
      </c>
      <c r="Z288" s="214">
        <f t="shared" si="49"/>
        <v>0</v>
      </c>
      <c r="AA288" s="213" t="str">
        <f>IF(OR($F288="",V288=0),"",IF(V288=1,IF(COUNTBLANK(W288:X288)&gt;0,$AG$2,IF(OR(Z288&lt;='פרמטרים לקריטריונים'!$C$27,X288&gt;W288),"",X288-W288))))</f>
        <v/>
      </c>
      <c r="AB288" s="214" t="str">
        <f t="shared" ref="AB288:AB329" si="53">IF(AA288="","",IF(AA288=$AG$2,AG259,-(X288/W288-1)))</f>
        <v/>
      </c>
      <c r="AC288" s="225" t="str">
        <f>IF(OR(AB288="",U288=1),"",IF(OR(COUNTBLANK(W288:Y288)&gt;0,AB288&gt;='פרמטרים לקריטריונים'!$E$54),'פרמטרים לקריטריונים'!$F$54,INDEX('פרמטרים לקריטריונים'!$F$49:$F$54,MATCH(AB288,'פרמטרים לקריטריונים'!$E$49:$E$54,1))))</f>
        <v/>
      </c>
      <c r="AD288" s="213" t="str">
        <f t="shared" si="50"/>
        <v/>
      </c>
      <c r="AE288" s="213">
        <f t="shared" si="51"/>
        <v>5901.3657105282446</v>
      </c>
      <c r="AG288" s="175">
        <f t="shared" ref="AG288:AG329" si="54">IF(U288=1,1,0)</f>
        <v>0</v>
      </c>
    </row>
    <row r="289" spans="1:33" ht="15.75" x14ac:dyDescent="0.2">
      <c r="A289" s="206">
        <f t="shared" si="52"/>
        <v>259</v>
      </c>
      <c r="B289" s="88">
        <f>IF($F289="","",'הזנה לתנאי סף'!C289)</f>
        <v>1001348134</v>
      </c>
      <c r="C289" s="88">
        <f>IF($F289="","",'הזנה לתנאי סף'!D289)</f>
        <v>1001276630</v>
      </c>
      <c r="D289" s="88">
        <f>IF($F289="","",'הזנה לתנאי סף'!E289)</f>
        <v>40000564</v>
      </c>
      <c r="E289" s="88">
        <f>IF($F289="","",'הזנה לתנאי סף'!F289)</f>
        <v>20000201</v>
      </c>
      <c r="F289" s="88" t="str">
        <f>IF(OR('הזנה לתנאי סף'!G289="",'הזנה לתנאי סף'!BL289&lt;&gt;1),"",'הזנה לתנאי סף'!G289)</f>
        <v>תל אביב -יפו</v>
      </c>
      <c r="G289" s="88" t="str">
        <f>IF($F289="","",'הזנה לתנאי סף'!H289)</f>
        <v>עמותת הכוריאוגרפים (ע"ר)</v>
      </c>
      <c r="H289" s="88" t="str">
        <f>IF($F289="","",'הזנה לתנאי סף'!I289)</f>
        <v>יוצרים עצמאיים במחול</v>
      </c>
      <c r="I289" s="109">
        <v>0</v>
      </c>
      <c r="J289" s="213">
        <f>IF($F289="","",'הזנה לתנאי סף'!S289)</f>
        <v>167379</v>
      </c>
      <c r="K289" s="109"/>
      <c r="L289" s="213">
        <f t="shared" si="45"/>
        <v>167379</v>
      </c>
      <c r="M289" s="213">
        <f>IF($F289="","",IF(L289='הזנה לתנאי סף'!R289,1,0))</f>
        <v>1</v>
      </c>
      <c r="N289" s="214">
        <f t="shared" si="46"/>
        <v>0</v>
      </c>
      <c r="O289" s="214">
        <f t="shared" si="44"/>
        <v>1</v>
      </c>
      <c r="P289" s="109">
        <v>133053</v>
      </c>
      <c r="Q289" s="213">
        <f>IF($F289="","",IFERROR(IF(P289&gt;0,'פרמטרים לקריטריונים'!$C$25*P289*O289,$AG$2),""))</f>
        <v>39915.9</v>
      </c>
      <c r="R289" s="213">
        <f>IF($F289="","",IFERROR('פרמטרים לקריטריונים'!$C$26*Q289,""))</f>
        <v>9815.3852459016398</v>
      </c>
      <c r="S289" s="214">
        <f t="shared" si="47"/>
        <v>1.4546551981754521E-4</v>
      </c>
      <c r="T289" s="213">
        <f t="shared" si="48"/>
        <v>7273.2759908772605</v>
      </c>
      <c r="U289" s="213">
        <f>IF($F289="","",'הזנה לתנאי סף'!N289)</f>
        <v>0</v>
      </c>
      <c r="V289" s="213">
        <f>IF($F289="","",'הזנה לתנאי סף'!O289)</f>
        <v>1</v>
      </c>
      <c r="W289" s="109">
        <v>0</v>
      </c>
      <c r="X289" s="109">
        <v>0</v>
      </c>
      <c r="Y289" s="109">
        <v>1</v>
      </c>
      <c r="Z289" s="214">
        <f t="shared" si="49"/>
        <v>0</v>
      </c>
      <c r="AA289" s="213" t="str">
        <f>IF(OR($F289="",V289=0),"",IF(V289=1,IF(COUNTBLANK(W289:X289)&gt;0,$AG$2,IF(OR(Z289&lt;='פרמטרים לקריטריונים'!$C$27,X289&gt;W289),"",X289-W289))))</f>
        <v/>
      </c>
      <c r="AB289" s="214" t="str">
        <f t="shared" si="53"/>
        <v/>
      </c>
      <c r="AC289" s="225" t="str">
        <f>IF(OR(AB289="",U289=1),"",IF(OR(COUNTBLANK(W289:Y289)&gt;0,AB289&gt;='פרמטרים לקריטריונים'!$E$54),'פרמטרים לקריטריונים'!$F$54,INDEX('פרמטרים לקריטריונים'!$F$49:$F$54,MATCH(AB289,'פרמטרים לקריטריונים'!$E$49:$E$54,1))))</f>
        <v/>
      </c>
      <c r="AD289" s="213" t="str">
        <f t="shared" si="50"/>
        <v/>
      </c>
      <c r="AE289" s="213">
        <f t="shared" si="51"/>
        <v>7273.2759908772605</v>
      </c>
      <c r="AG289" s="175">
        <f t="shared" si="54"/>
        <v>0</v>
      </c>
    </row>
    <row r="290" spans="1:33" ht="15.75" x14ac:dyDescent="0.2">
      <c r="A290" s="206">
        <f t="shared" si="52"/>
        <v>260</v>
      </c>
      <c r="B290" s="88">
        <f>IF($F290="","",'הזנה לתנאי סף'!C290)</f>
        <v>1001348135</v>
      </c>
      <c r="C290" s="88">
        <f>IF($F290="","",'הזנה לתנאי סף'!D290)</f>
        <v>1001275688</v>
      </c>
      <c r="D290" s="88">
        <f>IF($F290="","",'הזנה לתנאי סף'!E290)</f>
        <v>40000564</v>
      </c>
      <c r="E290" s="88">
        <f>IF($F290="","",'הזנה לתנאי סף'!F290)</f>
        <v>20000201</v>
      </c>
      <c r="F290" s="88" t="str">
        <f>IF(OR('הזנה לתנאי סף'!G290="",'הזנה לתנאי סף'!BL290&lt;&gt;1),"",'הזנה לתנאי סף'!G290)</f>
        <v>תל אביב -יפו</v>
      </c>
      <c r="G290" s="88" t="str">
        <f>IF($F290="","",'הזנה לתנאי סף'!H290)</f>
        <v>עמותת הכוריאוגרפים (ע"ר)</v>
      </c>
      <c r="H290" s="88" t="str">
        <f>IF($F290="","",'הזנה לתנאי סף'!I290)</f>
        <v>יוצרים עצמאיים במחול</v>
      </c>
      <c r="I290" s="109">
        <v>146750</v>
      </c>
      <c r="J290" s="213">
        <f>IF($F290="","",'הזנה לתנאי סף'!S290)</f>
        <v>84485</v>
      </c>
      <c r="K290" s="109"/>
      <c r="L290" s="213">
        <f t="shared" si="45"/>
        <v>231235</v>
      </c>
      <c r="M290" s="213">
        <f>IF($F290="","",IF(L290='הזנה לתנאי סף'!R290,1,0))</f>
        <v>1</v>
      </c>
      <c r="N290" s="214">
        <f t="shared" si="46"/>
        <v>0.63463576015741563</v>
      </c>
      <c r="O290" s="214">
        <f t="shared" ref="O290:O329" si="55">IF($F290="","",IFERROR((1-N290),""))</f>
        <v>0.36536423984258437</v>
      </c>
      <c r="P290" s="109">
        <v>217645</v>
      </c>
      <c r="Q290" s="213">
        <f>IF($F290="","",IFERROR(IF(P290&gt;0,'פרמטרים לקריטריונים'!$C$25*P290*O290,$AG$2),""))</f>
        <v>23855.909994161782</v>
      </c>
      <c r="R290" s="213">
        <f>IF($F290="","",IFERROR('פרמטרים לקריטריונים'!$C$26*Q290,""))</f>
        <v>5866.2073756135533</v>
      </c>
      <c r="S290" s="214">
        <f t="shared" si="47"/>
        <v>8.6938096047472696E-5</v>
      </c>
      <c r="T290" s="213">
        <f t="shared" si="48"/>
        <v>4346.904802373635</v>
      </c>
      <c r="U290" s="213">
        <f>IF($F290="","",'הזנה לתנאי סף'!N290)</f>
        <v>0</v>
      </c>
      <c r="V290" s="213">
        <f>IF($F290="","",'הזנה לתנאי סף'!O290)</f>
        <v>1</v>
      </c>
      <c r="W290" s="109">
        <v>0</v>
      </c>
      <c r="X290" s="109">
        <v>0</v>
      </c>
      <c r="Y290" s="109">
        <v>1</v>
      </c>
      <c r="Z290" s="214">
        <f t="shared" si="49"/>
        <v>0</v>
      </c>
      <c r="AA290" s="213" t="str">
        <f>IF(OR($F290="",V290=0),"",IF(V290=1,IF(COUNTBLANK(W290:X290)&gt;0,$AG$2,IF(OR(Z290&lt;='פרמטרים לקריטריונים'!$C$27,X290&gt;W290),"",X290-W290))))</f>
        <v/>
      </c>
      <c r="AB290" s="214" t="str">
        <f t="shared" si="53"/>
        <v/>
      </c>
      <c r="AC290" s="225" t="str">
        <f>IF(OR(AB290="",U290=1),"",IF(OR(COUNTBLANK(W290:Y290)&gt;0,AB290&gt;='פרמטרים לקריטריונים'!$E$54),'פרמטרים לקריטריונים'!$F$54,INDEX('פרמטרים לקריטריונים'!$F$49:$F$54,MATCH(AB290,'פרמטרים לקריטריונים'!$E$49:$E$54,1))))</f>
        <v/>
      </c>
      <c r="AD290" s="213" t="str">
        <f t="shared" si="50"/>
        <v/>
      </c>
      <c r="AE290" s="213">
        <f t="shared" si="51"/>
        <v>4346.904802373635</v>
      </c>
      <c r="AG290" s="175">
        <f t="shared" si="54"/>
        <v>0</v>
      </c>
    </row>
    <row r="291" spans="1:33" ht="15.75" x14ac:dyDescent="0.2">
      <c r="A291" s="206">
        <f t="shared" si="52"/>
        <v>261</v>
      </c>
      <c r="B291" s="88">
        <f>IF($F291="","",'הזנה לתנאי סף'!C291)</f>
        <v>1001348136</v>
      </c>
      <c r="C291" s="88">
        <f>IF($F291="","",'הזנה לתנאי סף'!D291)</f>
        <v>1001275686</v>
      </c>
      <c r="D291" s="88">
        <f>IF($F291="","",'הזנה לתנאי סף'!E291)</f>
        <v>40000564</v>
      </c>
      <c r="E291" s="88">
        <f>IF($F291="","",'הזנה לתנאי סף'!F291)</f>
        <v>20000201</v>
      </c>
      <c r="F291" s="88" t="str">
        <f>IF(OR('הזנה לתנאי סף'!G291="",'הזנה לתנאי סף'!BL291&lt;&gt;1),"",'הזנה לתנאי סף'!G291)</f>
        <v>תל אביב -יפו</v>
      </c>
      <c r="G291" s="88" t="str">
        <f>IF($F291="","",'הזנה לתנאי סף'!H291)</f>
        <v>עמותת הכוריאוגרפים (ע"ר)</v>
      </c>
      <c r="H291" s="88" t="str">
        <f>IF($F291="","",'הזנה לתנאי סף'!I291)</f>
        <v>יוצרים עצמאיים במחול</v>
      </c>
      <c r="I291" s="109">
        <v>31975</v>
      </c>
      <c r="J291" s="213">
        <f>IF($F291="","",'הזנה לתנאי סף'!S291)</f>
        <v>44459</v>
      </c>
      <c r="K291" s="109"/>
      <c r="L291" s="213">
        <f t="shared" si="45"/>
        <v>76434</v>
      </c>
      <c r="M291" s="213">
        <f>IF($F291="","",IF(L291='הזנה לתנאי סף'!R291,1,0))</f>
        <v>1</v>
      </c>
      <c r="N291" s="214">
        <f t="shared" si="46"/>
        <v>0.41833477248344975</v>
      </c>
      <c r="O291" s="214">
        <f t="shared" si="55"/>
        <v>0.58166522751655025</v>
      </c>
      <c r="P291" s="109">
        <v>68568</v>
      </c>
      <c r="Q291" s="213">
        <f>IF($F291="","",IFERROR(IF(P291&gt;0,'פרמטרים לקריטריונים'!$C$25*P291*O291,$AG$2),""))</f>
        <v>11965.086396106444</v>
      </c>
      <c r="R291" s="213">
        <f>IF($F291="","",IFERROR('פרמטרים לקריטריונים'!$C$26*Q291,""))</f>
        <v>2942.234359698306</v>
      </c>
      <c r="S291" s="214">
        <f t="shared" si="47"/>
        <v>4.3604365986272699E-5</v>
      </c>
      <c r="T291" s="213">
        <f t="shared" si="48"/>
        <v>2180.2182993136348</v>
      </c>
      <c r="U291" s="213">
        <f>IF($F291="","",'הזנה לתנאי סף'!N291)</f>
        <v>0</v>
      </c>
      <c r="V291" s="213">
        <f>IF($F291="","",'הזנה לתנאי סף'!O291)</f>
        <v>1</v>
      </c>
      <c r="W291" s="109">
        <v>0</v>
      </c>
      <c r="X291" s="109">
        <v>0</v>
      </c>
      <c r="Y291" s="109">
        <v>1</v>
      </c>
      <c r="Z291" s="214">
        <f t="shared" si="49"/>
        <v>0</v>
      </c>
      <c r="AA291" s="213" t="str">
        <f>IF(OR($F291="",V291=0),"",IF(V291=1,IF(COUNTBLANK(W291:X291)&gt;0,$AG$2,IF(OR(Z291&lt;='פרמטרים לקריטריונים'!$C$27,X291&gt;W291),"",X291-W291))))</f>
        <v/>
      </c>
      <c r="AB291" s="214" t="str">
        <f t="shared" si="53"/>
        <v/>
      </c>
      <c r="AC291" s="225" t="str">
        <f>IF(OR(AB291="",U291=1),"",IF(OR(COUNTBLANK(W291:Y291)&gt;0,AB291&gt;='פרמטרים לקריטריונים'!$E$54),'פרמטרים לקריטריונים'!$F$54,INDEX('פרמטרים לקריטריונים'!$F$49:$F$54,MATCH(AB291,'פרמטרים לקריטריונים'!$E$49:$E$54,1))))</f>
        <v/>
      </c>
      <c r="AD291" s="213" t="str">
        <f t="shared" si="50"/>
        <v/>
      </c>
      <c r="AE291" s="213">
        <f t="shared" si="51"/>
        <v>2180.2182993136348</v>
      </c>
      <c r="AG291" s="175">
        <f t="shared" si="54"/>
        <v>0</v>
      </c>
    </row>
    <row r="292" spans="1:33" ht="15.75" x14ac:dyDescent="0.2">
      <c r="A292" s="206">
        <f t="shared" si="52"/>
        <v>262</v>
      </c>
      <c r="B292" s="88">
        <f>IF($F292="","",'הזנה לתנאי סף'!C292)</f>
        <v>1001348137</v>
      </c>
      <c r="C292" s="88">
        <f>IF($F292="","",'הזנה לתנאי סף'!D292)</f>
        <v>1001275685</v>
      </c>
      <c r="D292" s="88">
        <f>IF($F292="","",'הזנה לתנאי סף'!E292)</f>
        <v>40000564</v>
      </c>
      <c r="E292" s="88">
        <f>IF($F292="","",'הזנה לתנאי סף'!F292)</f>
        <v>20000201</v>
      </c>
      <c r="F292" s="88" t="str">
        <f>IF(OR('הזנה לתנאי סף'!G292="",'הזנה לתנאי סף'!BL292&lt;&gt;1),"",'הזנה לתנאי סף'!G292)</f>
        <v>תל אביב -יפו</v>
      </c>
      <c r="G292" s="88" t="str">
        <f>IF($F292="","",'הזנה לתנאי סף'!H292)</f>
        <v>עמותת הכוריאוגרפים (ע"ר)</v>
      </c>
      <c r="H292" s="88" t="str">
        <f>IF($F292="","",'הזנה לתנאי סף'!I292)</f>
        <v>יוצרים עצמאיים במחול</v>
      </c>
      <c r="I292" s="109">
        <v>117672</v>
      </c>
      <c r="J292" s="213">
        <f>IF($F292="","",'הזנה לתנאי סף'!S292)</f>
        <v>132987</v>
      </c>
      <c r="K292" s="109"/>
      <c r="L292" s="213">
        <f t="shared" si="45"/>
        <v>250659</v>
      </c>
      <c r="M292" s="213">
        <f>IF($F292="","",IF(L292='הזנה לתנאי סף'!R292,1,0))</f>
        <v>1</v>
      </c>
      <c r="N292" s="214">
        <f t="shared" si="46"/>
        <v>0.46945052840711882</v>
      </c>
      <c r="O292" s="214">
        <f t="shared" si="55"/>
        <v>0.53054947159288113</v>
      </c>
      <c r="P292" s="109">
        <v>250915</v>
      </c>
      <c r="Q292" s="213">
        <f>IF($F292="","",IFERROR(IF(P292&gt;0,'פרמטרים לקריטריונים'!$C$25*P292*O292,$AG$2),""))</f>
        <v>39936.846199418331</v>
      </c>
      <c r="R292" s="213">
        <f>IF($F292="","",IFERROR('פרמטרים לקריטריונים'!$C$26*Q292,""))</f>
        <v>9820.5359506766381</v>
      </c>
      <c r="S292" s="214">
        <f t="shared" si="47"/>
        <v>1.4554185405494404E-4</v>
      </c>
      <c r="T292" s="213">
        <f t="shared" si="48"/>
        <v>7277.0927027472026</v>
      </c>
      <c r="U292" s="213">
        <f>IF($F292="","",'הזנה לתנאי סף'!N292)</f>
        <v>0</v>
      </c>
      <c r="V292" s="213">
        <f>IF($F292="","",'הזנה לתנאי סף'!O292)</f>
        <v>1</v>
      </c>
      <c r="W292" s="109">
        <v>0</v>
      </c>
      <c r="X292" s="109">
        <v>0</v>
      </c>
      <c r="Y292" s="109">
        <v>1</v>
      </c>
      <c r="Z292" s="214">
        <f t="shared" si="49"/>
        <v>0</v>
      </c>
      <c r="AA292" s="213" t="str">
        <f>IF(OR($F292="",V292=0),"",IF(V292=1,IF(COUNTBLANK(W292:X292)&gt;0,$AG$2,IF(OR(Z292&lt;='פרמטרים לקריטריונים'!$C$27,X292&gt;W292),"",X292-W292))))</f>
        <v/>
      </c>
      <c r="AB292" s="214" t="str">
        <f t="shared" si="53"/>
        <v/>
      </c>
      <c r="AC292" s="225" t="str">
        <f>IF(OR(AB292="",U292=1),"",IF(OR(COUNTBLANK(W292:Y292)&gt;0,AB292&gt;='פרמטרים לקריטריונים'!$E$54),'פרמטרים לקריטריונים'!$F$54,INDEX('פרמטרים לקריטריונים'!$F$49:$F$54,MATCH(AB292,'פרמטרים לקריטריונים'!$E$49:$E$54,1))))</f>
        <v/>
      </c>
      <c r="AD292" s="213" t="str">
        <f t="shared" si="50"/>
        <v/>
      </c>
      <c r="AE292" s="213">
        <f t="shared" si="51"/>
        <v>7277.0927027472026</v>
      </c>
      <c r="AG292" s="175">
        <f t="shared" si="54"/>
        <v>0</v>
      </c>
    </row>
    <row r="293" spans="1:33" ht="15.75" x14ac:dyDescent="0.2">
      <c r="A293" s="206">
        <f t="shared" si="52"/>
        <v>263</v>
      </c>
      <c r="B293" s="88">
        <f>IF($F293="","",'הזנה לתנאי סף'!C293)</f>
        <v>1001348138</v>
      </c>
      <c r="C293" s="88">
        <f>IF($F293="","",'הזנה לתנאי סף'!D293)</f>
        <v>1001275682</v>
      </c>
      <c r="D293" s="88">
        <f>IF($F293="","",'הזנה לתנאי סף'!E293)</f>
        <v>40000564</v>
      </c>
      <c r="E293" s="88">
        <f>IF($F293="","",'הזנה לתנאי סף'!F293)</f>
        <v>20000201</v>
      </c>
      <c r="F293" s="88" t="str">
        <f>IF(OR('הזנה לתנאי סף'!G293="",'הזנה לתנאי סף'!BL293&lt;&gt;1),"",'הזנה לתנאי סף'!G293)</f>
        <v>תל אביב -יפו</v>
      </c>
      <c r="G293" s="88" t="str">
        <f>IF($F293="","",'הזנה לתנאי סף'!H293)</f>
        <v>עמותת הכוריאוגרפים (ע"ר)</v>
      </c>
      <c r="H293" s="88" t="str">
        <f>IF($F293="","",'הזנה לתנאי סף'!I293)</f>
        <v>יוצרים עצמאיים במחול</v>
      </c>
      <c r="I293" s="109">
        <v>88415</v>
      </c>
      <c r="J293" s="213">
        <f>IF($F293="","",'הזנה לתנאי סף'!S293)</f>
        <v>163492</v>
      </c>
      <c r="K293" s="109"/>
      <c r="L293" s="213">
        <f t="shared" si="45"/>
        <v>251907</v>
      </c>
      <c r="M293" s="213">
        <f>IF($F293="","",IF(L293='הזנה לתנאי סף'!R293,1,0))</f>
        <v>1</v>
      </c>
      <c r="N293" s="214">
        <f t="shared" si="46"/>
        <v>0.35098270393438846</v>
      </c>
      <c r="O293" s="214">
        <f t="shared" si="55"/>
        <v>0.64901729606561154</v>
      </c>
      <c r="P293" s="109">
        <v>268160</v>
      </c>
      <c r="Q293" s="213">
        <f>IF($F293="","",IFERROR(IF(P293&gt;0,'פרמטרים לקריטריונים'!$C$25*P293*O293,$AG$2),""))</f>
        <v>52212.143433886318</v>
      </c>
      <c r="R293" s="213">
        <f>IF($F293="","",IFERROR('פרמטרים לקריטריונים'!$C$26*Q293,""))</f>
        <v>12839.051664070406</v>
      </c>
      <c r="S293" s="214">
        <f t="shared" si="47"/>
        <v>1.9027672144179394E-4</v>
      </c>
      <c r="T293" s="213">
        <f t="shared" si="48"/>
        <v>9513.8360720896962</v>
      </c>
      <c r="U293" s="213">
        <f>IF($F293="","",'הזנה לתנאי סף'!N293)</f>
        <v>0</v>
      </c>
      <c r="V293" s="213">
        <f>IF($F293="","",'הזנה לתנאי סף'!O293)</f>
        <v>1</v>
      </c>
      <c r="W293" s="109">
        <v>0</v>
      </c>
      <c r="X293" s="109">
        <v>0</v>
      </c>
      <c r="Y293" s="109">
        <v>1</v>
      </c>
      <c r="Z293" s="214">
        <f t="shared" si="49"/>
        <v>0</v>
      </c>
      <c r="AA293" s="213" t="str">
        <f>IF(OR($F293="",V293=0),"",IF(V293=1,IF(COUNTBLANK(W293:X293)&gt;0,$AG$2,IF(OR(Z293&lt;='פרמטרים לקריטריונים'!$C$27,X293&gt;W293),"",X293-W293))))</f>
        <v/>
      </c>
      <c r="AB293" s="214" t="str">
        <f t="shared" si="53"/>
        <v/>
      </c>
      <c r="AC293" s="225" t="str">
        <f>IF(OR(AB293="",U293=1),"",IF(OR(COUNTBLANK(W293:Y293)&gt;0,AB293&gt;='פרמטרים לקריטריונים'!$E$54),'פרמטרים לקריטריונים'!$F$54,INDEX('פרמטרים לקריטריונים'!$F$49:$F$54,MATCH(AB293,'פרמטרים לקריטריונים'!$E$49:$E$54,1))))</f>
        <v/>
      </c>
      <c r="AD293" s="213" t="str">
        <f t="shared" si="50"/>
        <v/>
      </c>
      <c r="AE293" s="213">
        <f t="shared" si="51"/>
        <v>9513.8360720896962</v>
      </c>
      <c r="AG293" s="175">
        <f t="shared" si="54"/>
        <v>0</v>
      </c>
    </row>
    <row r="294" spans="1:33" ht="15.75" x14ac:dyDescent="0.2">
      <c r="A294" s="206">
        <f t="shared" si="52"/>
        <v>264</v>
      </c>
      <c r="B294" s="88">
        <f>IF($F294="","",'הזנה לתנאי סף'!C294)</f>
        <v>1001348139</v>
      </c>
      <c r="C294" s="88">
        <f>IF($F294="","",'הזנה לתנאי סף'!D294)</f>
        <v>1001275678</v>
      </c>
      <c r="D294" s="88">
        <f>IF($F294="","",'הזנה לתנאי סף'!E294)</f>
        <v>40000564</v>
      </c>
      <c r="E294" s="88">
        <f>IF($F294="","",'הזנה לתנאי סף'!F294)</f>
        <v>20000201</v>
      </c>
      <c r="F294" s="88" t="str">
        <f>IF(OR('הזנה לתנאי סף'!G294="",'הזנה לתנאי סף'!BL294&lt;&gt;1),"",'הזנה לתנאי סף'!G294)</f>
        <v>תל אביב -יפו</v>
      </c>
      <c r="G294" s="88" t="str">
        <f>IF($F294="","",'הזנה לתנאי סף'!H294)</f>
        <v>עמותת הכוריאוגרפים (ע"ר)</v>
      </c>
      <c r="H294" s="88" t="str">
        <f>IF($F294="","",'הזנה לתנאי סף'!I294)</f>
        <v>יוצרים עצמאיים במחול</v>
      </c>
      <c r="I294" s="109">
        <v>223133</v>
      </c>
      <c r="J294" s="213">
        <f>IF($F294="","",'הזנה לתנאי סף'!S294)</f>
        <v>142319</v>
      </c>
      <c r="K294" s="109"/>
      <c r="L294" s="213">
        <f t="shared" si="45"/>
        <v>365452</v>
      </c>
      <c r="M294" s="213">
        <f>IF($F294="","",IF(L294='הזנה לתנאי סף'!R294,1,0))</f>
        <v>1</v>
      </c>
      <c r="N294" s="214">
        <f t="shared" si="46"/>
        <v>0.61056718803016541</v>
      </c>
      <c r="O294" s="214">
        <f t="shared" si="55"/>
        <v>0.38943281196983459</v>
      </c>
      <c r="P294" s="109">
        <v>374984</v>
      </c>
      <c r="Q294" s="213">
        <f>IF($F294="","",IFERROR(IF(P294&gt;0,'פרמטרים לקריטריונים'!$C$25*P294*O294,$AG$2),""))</f>
        <v>43809.322069108937</v>
      </c>
      <c r="R294" s="213">
        <f>IF($F294="","",IFERROR('פרמטרים לקריטריונים'!$C$26*Q294,""))</f>
        <v>10772.784115354656</v>
      </c>
      <c r="S294" s="214">
        <f t="shared" si="47"/>
        <v>1.5965431839535588E-4</v>
      </c>
      <c r="T294" s="213">
        <f t="shared" si="48"/>
        <v>7982.7159197677938</v>
      </c>
      <c r="U294" s="213">
        <f>IF($F294="","",'הזנה לתנאי סף'!N294)</f>
        <v>0</v>
      </c>
      <c r="V294" s="213">
        <f>IF($F294="","",'הזנה לתנאי סף'!O294)</f>
        <v>1</v>
      </c>
      <c r="W294" s="109">
        <v>0</v>
      </c>
      <c r="X294" s="109">
        <v>0</v>
      </c>
      <c r="Y294" s="109">
        <v>1</v>
      </c>
      <c r="Z294" s="214">
        <f t="shared" si="49"/>
        <v>0</v>
      </c>
      <c r="AA294" s="213" t="str">
        <f>IF(OR($F294="",V294=0),"",IF(V294=1,IF(COUNTBLANK(W294:X294)&gt;0,$AG$2,IF(OR(Z294&lt;='פרמטרים לקריטריונים'!$C$27,X294&gt;W294),"",X294-W294))))</f>
        <v/>
      </c>
      <c r="AB294" s="214" t="str">
        <f t="shared" si="53"/>
        <v/>
      </c>
      <c r="AC294" s="225" t="str">
        <f>IF(OR(AB294="",U294=1),"",IF(OR(COUNTBLANK(W294:Y294)&gt;0,AB294&gt;='פרמטרים לקריטריונים'!$E$54),'פרמטרים לקריטריונים'!$F$54,INDEX('פרמטרים לקריטריונים'!$F$49:$F$54,MATCH(AB294,'פרמטרים לקריטריונים'!$E$49:$E$54,1))))</f>
        <v/>
      </c>
      <c r="AD294" s="213" t="str">
        <f t="shared" si="50"/>
        <v/>
      </c>
      <c r="AE294" s="213">
        <f t="shared" si="51"/>
        <v>7982.7159197677938</v>
      </c>
      <c r="AG294" s="175">
        <f t="shared" si="54"/>
        <v>0</v>
      </c>
    </row>
    <row r="295" spans="1:33" ht="15.75" x14ac:dyDescent="0.2">
      <c r="A295" s="206">
        <f t="shared" si="52"/>
        <v>265</v>
      </c>
      <c r="B295" s="88">
        <f>IF($F295="","",'הזנה לתנאי סף'!C295)</f>
        <v>1001348145</v>
      </c>
      <c r="C295" s="88">
        <f>IF($F295="","",'הזנה לתנאי סף'!D295)</f>
        <v>1001275675</v>
      </c>
      <c r="D295" s="88">
        <f>IF($F295="","",'הזנה לתנאי סף'!E295)</f>
        <v>40000564</v>
      </c>
      <c r="E295" s="88">
        <f>IF($F295="","",'הזנה לתנאי סף'!F295)</f>
        <v>20000201</v>
      </c>
      <c r="F295" s="88" t="str">
        <f>IF(OR('הזנה לתנאי סף'!G295="",'הזנה לתנאי סף'!BL295&lt;&gt;1),"",'הזנה לתנאי סף'!G295)</f>
        <v>תל אביב -יפו</v>
      </c>
      <c r="G295" s="88" t="str">
        <f>IF($F295="","",'הזנה לתנאי סף'!H295)</f>
        <v>עמותת הכוריאוגרפים (ע"ר)</v>
      </c>
      <c r="H295" s="88" t="str">
        <f>IF($F295="","",'הזנה לתנאי סף'!I295)</f>
        <v>יוצרים עצמאיים במחול</v>
      </c>
      <c r="I295" s="109">
        <v>117535</v>
      </c>
      <c r="J295" s="213">
        <f>IF($F295="","",'הזנה לתנאי סף'!S295)</f>
        <v>176239</v>
      </c>
      <c r="K295" s="109"/>
      <c r="L295" s="213">
        <f t="shared" si="45"/>
        <v>293774</v>
      </c>
      <c r="M295" s="213">
        <f>IF($F295="","",IF(L295='הזנה לתנאי סף'!R295,1,0))</f>
        <v>1</v>
      </c>
      <c r="N295" s="214">
        <f t="shared" si="46"/>
        <v>0.40008646102105699</v>
      </c>
      <c r="O295" s="214">
        <f t="shared" si="55"/>
        <v>0.59991353897894295</v>
      </c>
      <c r="P295" s="109">
        <v>293935</v>
      </c>
      <c r="Q295" s="213">
        <f>IF($F295="","",IFERROR(IF(P295&gt;0,'פרמטרים לקריטריונים'!$C$25*P295*O295,$AG$2),""))</f>
        <v>52900.675823932681</v>
      </c>
      <c r="R295" s="213">
        <f>IF($F295="","",IFERROR('פרמטרים לקריטריונים'!$C$26*Q295,""))</f>
        <v>13008.36290752443</v>
      </c>
      <c r="S295" s="214">
        <f t="shared" si="47"/>
        <v>1.9278594012480773E-4</v>
      </c>
      <c r="T295" s="213">
        <f t="shared" si="48"/>
        <v>9639.2970062403874</v>
      </c>
      <c r="U295" s="213">
        <f>IF($F295="","",'הזנה לתנאי סף'!N295)</f>
        <v>0</v>
      </c>
      <c r="V295" s="213">
        <f>IF($F295="","",'הזנה לתנאי סף'!O295)</f>
        <v>1</v>
      </c>
      <c r="W295" s="109">
        <v>0</v>
      </c>
      <c r="X295" s="109">
        <v>0</v>
      </c>
      <c r="Y295" s="109">
        <v>1</v>
      </c>
      <c r="Z295" s="214">
        <f t="shared" si="49"/>
        <v>0</v>
      </c>
      <c r="AA295" s="213" t="str">
        <f>IF(OR($F295="",V295=0),"",IF(V295=1,IF(COUNTBLANK(W295:X295)&gt;0,$AG$2,IF(OR(Z295&lt;='פרמטרים לקריטריונים'!$C$27,X295&gt;W295),"",X295-W295))))</f>
        <v/>
      </c>
      <c r="AB295" s="214" t="str">
        <f t="shared" si="53"/>
        <v/>
      </c>
      <c r="AC295" s="225" t="str">
        <f>IF(OR(AB295="",U295=1),"",IF(OR(COUNTBLANK(W295:Y295)&gt;0,AB295&gt;='פרמטרים לקריטריונים'!$E$54),'פרמטרים לקריטריונים'!$F$54,INDEX('פרמטרים לקריטריונים'!$F$49:$F$54,MATCH(AB295,'פרמטרים לקריטריונים'!$E$49:$E$54,1))))</f>
        <v/>
      </c>
      <c r="AD295" s="213" t="str">
        <f t="shared" si="50"/>
        <v/>
      </c>
      <c r="AE295" s="213">
        <f t="shared" si="51"/>
        <v>9639.2970062403874</v>
      </c>
      <c r="AG295" s="175">
        <f t="shared" si="54"/>
        <v>0</v>
      </c>
    </row>
    <row r="296" spans="1:33" ht="15.75" x14ac:dyDescent="0.2">
      <c r="A296" s="206">
        <f t="shared" si="52"/>
        <v>266</v>
      </c>
      <c r="B296" s="88">
        <f>IF($F296="","",'הזנה לתנאי סף'!C296)</f>
        <v>1001348146</v>
      </c>
      <c r="C296" s="88">
        <f>IF($F296="","",'הזנה לתנאי סף'!D296)</f>
        <v>1001275667</v>
      </c>
      <c r="D296" s="88">
        <f>IF($F296="","",'הזנה לתנאי סף'!E296)</f>
        <v>40000564</v>
      </c>
      <c r="E296" s="88">
        <f>IF($F296="","",'הזנה לתנאי סף'!F296)</f>
        <v>20000201</v>
      </c>
      <c r="F296" s="88" t="str">
        <f>IF(OR('הזנה לתנאי סף'!G296="",'הזנה לתנאי סף'!BL296&lt;&gt;1),"",'הזנה לתנאי סף'!G296)</f>
        <v>תל אביב -יפו</v>
      </c>
      <c r="G296" s="88" t="str">
        <f>IF($F296="","",'הזנה לתנאי סף'!H296)</f>
        <v>עמותת הכוריאוגרפים (ע"ר)</v>
      </c>
      <c r="H296" s="88" t="str">
        <f>IF($F296="","",'הזנה לתנאי סף'!I296)</f>
        <v>יוצרים עצמאיים במחול</v>
      </c>
      <c r="I296" s="109">
        <v>95129</v>
      </c>
      <c r="J296" s="213">
        <f>IF($F296="","",'הזנה לתנאי סף'!S296)</f>
        <v>44453</v>
      </c>
      <c r="K296" s="109"/>
      <c r="L296" s="213">
        <f t="shared" si="45"/>
        <v>139582</v>
      </c>
      <c r="M296" s="213">
        <f>IF($F296="","",IF(L296='הזנה לתנאי סף'!R296,1,0))</f>
        <v>1</v>
      </c>
      <c r="N296" s="214">
        <f t="shared" si="46"/>
        <v>0.68152770414523367</v>
      </c>
      <c r="O296" s="214">
        <f t="shared" si="55"/>
        <v>0.31847229585476633</v>
      </c>
      <c r="P296" s="109">
        <v>157314</v>
      </c>
      <c r="Q296" s="213">
        <f>IF($F296="","",IFERROR(IF(P296&gt;0,'פרמטרים לקריטריונים'!$C$25*P296*O296,$AG$2),""))</f>
        <v>15030.045225029013</v>
      </c>
      <c r="R296" s="213">
        <f>IF($F296="","",IFERROR('פרמטרים לקריטריונים'!$C$26*Q296,""))</f>
        <v>3695.9127602530357</v>
      </c>
      <c r="S296" s="214">
        <f t="shared" si="47"/>
        <v>5.4773995864807209E-5</v>
      </c>
      <c r="T296" s="213">
        <f t="shared" si="48"/>
        <v>2738.6997932403606</v>
      </c>
      <c r="U296" s="213">
        <f>IF($F296="","",'הזנה לתנאי סף'!N296)</f>
        <v>0</v>
      </c>
      <c r="V296" s="213">
        <f>IF($F296="","",'הזנה לתנאי סף'!O296)</f>
        <v>1</v>
      </c>
      <c r="W296" s="109">
        <v>0</v>
      </c>
      <c r="X296" s="109">
        <v>0</v>
      </c>
      <c r="Y296" s="109">
        <v>1</v>
      </c>
      <c r="Z296" s="214">
        <f t="shared" si="49"/>
        <v>0</v>
      </c>
      <c r="AA296" s="213" t="str">
        <f>IF(OR($F296="",V296=0),"",IF(V296=1,IF(COUNTBLANK(W296:X296)&gt;0,$AG$2,IF(OR(Z296&lt;='פרמטרים לקריטריונים'!$C$27,X296&gt;W296),"",X296-W296))))</f>
        <v/>
      </c>
      <c r="AB296" s="214" t="str">
        <f t="shared" si="53"/>
        <v/>
      </c>
      <c r="AC296" s="225" t="str">
        <f>IF(OR(AB296="",U296=1),"",IF(OR(COUNTBLANK(W296:Y296)&gt;0,AB296&gt;='פרמטרים לקריטריונים'!$E$54),'פרמטרים לקריטריונים'!$F$54,INDEX('פרמטרים לקריטריונים'!$F$49:$F$54,MATCH(AB296,'פרמטרים לקריטריונים'!$E$49:$E$54,1))))</f>
        <v/>
      </c>
      <c r="AD296" s="213" t="str">
        <f t="shared" si="50"/>
        <v/>
      </c>
      <c r="AE296" s="213">
        <f t="shared" si="51"/>
        <v>2738.6997932403606</v>
      </c>
      <c r="AG296" s="175">
        <f t="shared" si="54"/>
        <v>0</v>
      </c>
    </row>
    <row r="297" spans="1:33" ht="15.75" x14ac:dyDescent="0.2">
      <c r="A297" s="206">
        <f t="shared" si="52"/>
        <v>267</v>
      </c>
      <c r="B297" s="88">
        <f>IF($F297="","",'הזנה לתנאי סף'!C297)</f>
        <v>1001348148</v>
      </c>
      <c r="C297" s="88">
        <f>IF($F297="","",'הזנה לתנאי סף'!D297)</f>
        <v>1001275666</v>
      </c>
      <c r="D297" s="88">
        <f>IF($F297="","",'הזנה לתנאי סף'!E297)</f>
        <v>40000564</v>
      </c>
      <c r="E297" s="88">
        <f>IF($F297="","",'הזנה לתנאי סף'!F297)</f>
        <v>20000201</v>
      </c>
      <c r="F297" s="88" t="str">
        <f>IF(OR('הזנה לתנאי סף'!G297="",'הזנה לתנאי סף'!BL297&lt;&gt;1),"",'הזנה לתנאי סף'!G297)</f>
        <v>תל אביב -יפו</v>
      </c>
      <c r="G297" s="88" t="str">
        <f>IF($F297="","",'הזנה לתנאי סף'!H297)</f>
        <v>עמותת הכוריאוגרפים (ע"ר)</v>
      </c>
      <c r="H297" s="88" t="str">
        <f>IF($F297="","",'הזנה לתנאי סף'!I297)</f>
        <v>יוצרים עצמאיים במחול</v>
      </c>
      <c r="I297" s="109">
        <v>0</v>
      </c>
      <c r="J297" s="213">
        <f>IF($F297="","",'הזנה לתנאי סף'!S297)</f>
        <v>46428</v>
      </c>
      <c r="K297" s="109"/>
      <c r="L297" s="213">
        <f t="shared" si="45"/>
        <v>46428</v>
      </c>
      <c r="M297" s="213">
        <f>IF($F297="","",IF(L297='הזנה לתנאי סף'!R297,1,0))</f>
        <v>1</v>
      </c>
      <c r="N297" s="214">
        <f t="shared" si="46"/>
        <v>0</v>
      </c>
      <c r="O297" s="214">
        <f t="shared" si="55"/>
        <v>1</v>
      </c>
      <c r="P297" s="109">
        <v>26715</v>
      </c>
      <c r="Q297" s="213">
        <f>IF($F297="","",IFERROR(IF(P297&gt;0,'פרמטרים לקריטריונים'!$C$25*P297*O297,$AG$2),""))</f>
        <v>8014.5</v>
      </c>
      <c r="R297" s="213">
        <f>IF($F297="","",IFERROR('פרמטרים לקריטריונים'!$C$26*Q297,""))</f>
        <v>1970.7786885245901</v>
      </c>
      <c r="S297" s="214">
        <f t="shared" si="47"/>
        <v>2.9207243443783453E-5</v>
      </c>
      <c r="T297" s="213">
        <f t="shared" si="48"/>
        <v>1460.3621721891727</v>
      </c>
      <c r="U297" s="213">
        <f>IF($F297="","",'הזנה לתנאי סף'!N297)</f>
        <v>0</v>
      </c>
      <c r="V297" s="213">
        <f>IF($F297="","",'הזנה לתנאי סף'!O297)</f>
        <v>1</v>
      </c>
      <c r="W297" s="109">
        <v>0</v>
      </c>
      <c r="X297" s="109">
        <v>0</v>
      </c>
      <c r="Y297" s="109">
        <v>1</v>
      </c>
      <c r="Z297" s="214">
        <f t="shared" si="49"/>
        <v>0</v>
      </c>
      <c r="AA297" s="213" t="str">
        <f>IF(OR($F297="",V297=0),"",IF(V297=1,IF(COUNTBLANK(W297:X297)&gt;0,$AG$2,IF(OR(Z297&lt;='פרמטרים לקריטריונים'!$C$27,X297&gt;W297),"",X297-W297))))</f>
        <v/>
      </c>
      <c r="AB297" s="214" t="str">
        <f t="shared" si="53"/>
        <v/>
      </c>
      <c r="AC297" s="225" t="str">
        <f>IF(OR(AB297="",U297=1),"",IF(OR(COUNTBLANK(W297:Y297)&gt;0,AB297&gt;='פרמטרים לקריטריונים'!$E$54),'פרמטרים לקריטריונים'!$F$54,INDEX('פרמטרים לקריטריונים'!$F$49:$F$54,MATCH(AB297,'פרמטרים לקריטריונים'!$E$49:$E$54,1))))</f>
        <v/>
      </c>
      <c r="AD297" s="213" t="str">
        <f t="shared" si="50"/>
        <v/>
      </c>
      <c r="AE297" s="213">
        <f t="shared" si="51"/>
        <v>1460.3621721891727</v>
      </c>
      <c r="AG297" s="175">
        <f t="shared" si="54"/>
        <v>0</v>
      </c>
    </row>
    <row r="298" spans="1:33" ht="15.75" x14ac:dyDescent="0.2">
      <c r="A298" s="206">
        <f t="shared" si="52"/>
        <v>268</v>
      </c>
      <c r="B298" s="88">
        <f>IF($F298="","",'הזנה לתנאי סף'!C298)</f>
        <v>1001348157</v>
      </c>
      <c r="C298" s="88">
        <f>IF($F298="","",'הזנה לתנאי סף'!D298)</f>
        <v>1001275663</v>
      </c>
      <c r="D298" s="88">
        <f>IF($F298="","",'הזנה לתנאי סף'!E298)</f>
        <v>40000564</v>
      </c>
      <c r="E298" s="88">
        <f>IF($F298="","",'הזנה לתנאי סף'!F298)</f>
        <v>20000201</v>
      </c>
      <c r="F298" s="88" t="str">
        <f>IF(OR('הזנה לתנאי סף'!G298="",'הזנה לתנאי סף'!BL298&lt;&gt;1),"",'הזנה לתנאי סף'!G298)</f>
        <v>תל אביב -יפו</v>
      </c>
      <c r="G298" s="88" t="str">
        <f>IF($F298="","",'הזנה לתנאי סף'!H298)</f>
        <v>עמותת הכוריאוגרפים (ע"ר)</v>
      </c>
      <c r="H298" s="88" t="str">
        <f>IF($F298="","",'הזנה לתנאי סף'!I298)</f>
        <v>יוצרים עצמאיים במחול</v>
      </c>
      <c r="I298" s="109">
        <v>77121</v>
      </c>
      <c r="J298" s="213">
        <f>IF($F298="","",'הזנה לתנאי סף'!S298)</f>
        <v>75820</v>
      </c>
      <c r="K298" s="109">
        <v>481</v>
      </c>
      <c r="L298" s="213">
        <f t="shared" si="45"/>
        <v>153422</v>
      </c>
      <c r="M298" s="213">
        <f>IF($F298="","",IF(L298='הזנה לתנאי סף'!R298,1,0))</f>
        <v>1</v>
      </c>
      <c r="N298" s="214">
        <f t="shared" si="46"/>
        <v>0.502672367717798</v>
      </c>
      <c r="O298" s="214">
        <f t="shared" si="55"/>
        <v>0.497327632282202</v>
      </c>
      <c r="P298" s="109">
        <v>173380</v>
      </c>
      <c r="Q298" s="213">
        <f>IF($F298="","",IFERROR(IF(P298&gt;0,'פרמטרים לקריטריונים'!$C$25*P298*O298,$AG$2),""))</f>
        <v>25867.999465526456</v>
      </c>
      <c r="R298" s="213">
        <f>IF($F298="","",IFERROR('פרמטרים לקריטריונים'!$C$26*Q298,""))</f>
        <v>6360.9834751294566</v>
      </c>
      <c r="S298" s="214">
        <f t="shared" si="47"/>
        <v>9.4270753982568034E-5</v>
      </c>
      <c r="T298" s="213">
        <f t="shared" si="48"/>
        <v>4713.537699128402</v>
      </c>
      <c r="U298" s="213">
        <f>IF($F298="","",'הזנה לתנאי סף'!N298)</f>
        <v>0</v>
      </c>
      <c r="V298" s="213">
        <f>IF($F298="","",'הזנה לתנאי סף'!O298)</f>
        <v>1</v>
      </c>
      <c r="W298" s="109">
        <v>0</v>
      </c>
      <c r="X298" s="109">
        <v>0</v>
      </c>
      <c r="Y298" s="109">
        <v>1</v>
      </c>
      <c r="Z298" s="214">
        <f t="shared" si="49"/>
        <v>0</v>
      </c>
      <c r="AA298" s="213" t="str">
        <f>IF(OR($F298="",V298=0),"",IF(V298=1,IF(COUNTBLANK(W298:X298)&gt;0,$AG$2,IF(OR(Z298&lt;='פרמטרים לקריטריונים'!$C$27,X298&gt;W298),"",X298-W298))))</f>
        <v/>
      </c>
      <c r="AB298" s="214" t="str">
        <f t="shared" si="53"/>
        <v/>
      </c>
      <c r="AC298" s="225" t="str">
        <f>IF(OR(AB298="",U298=1),"",IF(OR(COUNTBLANK(W298:Y298)&gt;0,AB298&gt;='פרמטרים לקריטריונים'!$E$54),'פרמטרים לקריטריונים'!$F$54,INDEX('פרמטרים לקריטריונים'!$F$49:$F$54,MATCH(AB298,'פרמטרים לקריטריונים'!$E$49:$E$54,1))))</f>
        <v/>
      </c>
      <c r="AD298" s="213" t="str">
        <f t="shared" si="50"/>
        <v/>
      </c>
      <c r="AE298" s="213">
        <f t="shared" si="51"/>
        <v>4713.537699128402</v>
      </c>
      <c r="AG298" s="175">
        <f t="shared" si="54"/>
        <v>0</v>
      </c>
    </row>
    <row r="299" spans="1:33" ht="15.75" x14ac:dyDescent="0.2">
      <c r="A299" s="206">
        <f t="shared" si="52"/>
        <v>269</v>
      </c>
      <c r="B299" s="88">
        <f>IF($F299="","",'הזנה לתנאי סף'!C299)</f>
        <v>1001348158</v>
      </c>
      <c r="C299" s="88">
        <f>IF($F299="","",'הזנה לתנאי סף'!D299)</f>
        <v>1001275662</v>
      </c>
      <c r="D299" s="88">
        <f>IF($F299="","",'הזנה לתנאי סף'!E299)</f>
        <v>40000564</v>
      </c>
      <c r="E299" s="88">
        <f>IF($F299="","",'הזנה לתנאי סף'!F299)</f>
        <v>20000201</v>
      </c>
      <c r="F299" s="88" t="str">
        <f>IF(OR('הזנה לתנאי סף'!G299="",'הזנה לתנאי סף'!BL299&lt;&gt;1),"",'הזנה לתנאי סף'!G299)</f>
        <v>תל אביב -יפו</v>
      </c>
      <c r="G299" s="88" t="str">
        <f>IF($F299="","",'הזנה לתנאי סף'!H299)</f>
        <v>עמותת הכוריאוגרפים (ע"ר)</v>
      </c>
      <c r="H299" s="88" t="str">
        <f>IF($F299="","",'הזנה לתנאי סף'!I299)</f>
        <v>יוצרים עצמאיים במחול</v>
      </c>
      <c r="I299" s="109">
        <v>0</v>
      </c>
      <c r="J299" s="213">
        <f>IF($F299="","",'הזנה לתנאי סף'!S299)</f>
        <v>18842</v>
      </c>
      <c r="K299" s="109"/>
      <c r="L299" s="213">
        <f t="shared" si="45"/>
        <v>18842</v>
      </c>
      <c r="M299" s="213">
        <f>IF($F299="","",IF(L299='הזנה לתנאי סף'!R299,1,0))</f>
        <v>1</v>
      </c>
      <c r="N299" s="214">
        <f t="shared" si="46"/>
        <v>0</v>
      </c>
      <c r="O299" s="214">
        <f t="shared" si="55"/>
        <v>1</v>
      </c>
      <c r="P299" s="109">
        <v>15060</v>
      </c>
      <c r="Q299" s="213">
        <f>IF($F299="","",IFERROR(IF(P299&gt;0,'פרמטרים לקריטריונים'!$C$25*P299*O299,$AG$2),""))</f>
        <v>4518</v>
      </c>
      <c r="R299" s="213">
        <f>IF($F299="","",IFERROR('פרמטרים לקריטריונים'!$C$26*Q299,""))</f>
        <v>1110.983606557377</v>
      </c>
      <c r="S299" s="214">
        <f t="shared" si="47"/>
        <v>1.6464948016596625E-5</v>
      </c>
      <c r="T299" s="213">
        <f t="shared" si="48"/>
        <v>823.24740082983124</v>
      </c>
      <c r="U299" s="213">
        <f>IF($F299="","",'הזנה לתנאי סף'!N299)</f>
        <v>0</v>
      </c>
      <c r="V299" s="213">
        <f>IF($F299="","",'הזנה לתנאי סף'!O299)</f>
        <v>1</v>
      </c>
      <c r="W299" s="109">
        <v>0</v>
      </c>
      <c r="X299" s="109">
        <v>0</v>
      </c>
      <c r="Y299" s="109">
        <v>1</v>
      </c>
      <c r="Z299" s="214">
        <f t="shared" si="49"/>
        <v>0</v>
      </c>
      <c r="AA299" s="213" t="str">
        <f>IF(OR($F299="",V299=0),"",IF(V299=1,IF(COUNTBLANK(W299:X299)&gt;0,$AG$2,IF(OR(Z299&lt;='פרמטרים לקריטריונים'!$C$27,X299&gt;W299),"",X299-W299))))</f>
        <v/>
      </c>
      <c r="AB299" s="214" t="str">
        <f t="shared" si="53"/>
        <v/>
      </c>
      <c r="AC299" s="225" t="str">
        <f>IF(OR(AB299="",U299=1),"",IF(OR(COUNTBLANK(W299:Y299)&gt;0,AB299&gt;='פרמטרים לקריטריונים'!$E$54),'פרמטרים לקריטריונים'!$F$54,INDEX('פרמטרים לקריטריונים'!$F$49:$F$54,MATCH(AB299,'פרמטרים לקריטריונים'!$E$49:$E$54,1))))</f>
        <v/>
      </c>
      <c r="AD299" s="213" t="str">
        <f t="shared" si="50"/>
        <v/>
      </c>
      <c r="AE299" s="213">
        <f t="shared" si="51"/>
        <v>823.24740082983124</v>
      </c>
      <c r="AG299" s="175">
        <f t="shared" si="54"/>
        <v>0</v>
      </c>
    </row>
    <row r="300" spans="1:33" ht="15.75" x14ac:dyDescent="0.2">
      <c r="A300" s="206">
        <f t="shared" si="52"/>
        <v>270</v>
      </c>
      <c r="B300" s="88">
        <f>IF($F300="","",'הזנה לתנאי סף'!C300)</f>
        <v>1001348159</v>
      </c>
      <c r="C300" s="88">
        <f>IF($F300="","",'הזנה לתנאי סף'!D300)</f>
        <v>1001275661</v>
      </c>
      <c r="D300" s="88">
        <f>IF($F300="","",'הזנה לתנאי סף'!E300)</f>
        <v>40000564</v>
      </c>
      <c r="E300" s="88">
        <f>IF($F300="","",'הזנה לתנאי סף'!F300)</f>
        <v>20000201</v>
      </c>
      <c r="F300" s="88" t="str">
        <f>IF(OR('הזנה לתנאי סף'!G300="",'הזנה לתנאי סף'!BL300&lt;&gt;1),"",'הזנה לתנאי סף'!G300)</f>
        <v>תל אביב -יפו</v>
      </c>
      <c r="G300" s="88" t="str">
        <f>IF($F300="","",'הזנה לתנאי סף'!H300)</f>
        <v>עמותת הכוריאוגרפים (ע"ר)</v>
      </c>
      <c r="H300" s="88" t="str">
        <f>IF($F300="","",'הזנה לתנאי סף'!I300)</f>
        <v>יוצרים עצמאיים במחול</v>
      </c>
      <c r="I300" s="109">
        <v>52199</v>
      </c>
      <c r="J300" s="213">
        <f>IF($F300="","",'הזנה לתנאי סף'!S300)</f>
        <v>35987</v>
      </c>
      <c r="K300" s="109"/>
      <c r="L300" s="213">
        <f t="shared" si="45"/>
        <v>88186</v>
      </c>
      <c r="M300" s="213">
        <f>IF($F300="","",IF(L300='הזנה לתנאי סף'!R300,1,0))</f>
        <v>1</v>
      </c>
      <c r="N300" s="214">
        <f t="shared" si="46"/>
        <v>0.59191935227813941</v>
      </c>
      <c r="O300" s="214">
        <f t="shared" si="55"/>
        <v>0.40808064772186059</v>
      </c>
      <c r="P300" s="109">
        <v>77724</v>
      </c>
      <c r="Q300" s="213">
        <f>IF($F300="","",IFERROR(IF(P300&gt;0,'פרמטרים לקריטריונים'!$C$25*P300*O300,$AG$2),""))</f>
        <v>9515.2980790601687</v>
      </c>
      <c r="R300" s="213">
        <f>IF($F300="","",IFERROR('פרמטרים לקריטריונים'!$C$26*Q300,""))</f>
        <v>2339.8273964902055</v>
      </c>
      <c r="S300" s="214">
        <f t="shared" si="47"/>
        <v>3.4676602088124703E-5</v>
      </c>
      <c r="T300" s="213">
        <f t="shared" si="48"/>
        <v>1733.8301044062353</v>
      </c>
      <c r="U300" s="213">
        <f>IF($F300="","",'הזנה לתנאי סף'!N300)</f>
        <v>0</v>
      </c>
      <c r="V300" s="213">
        <f>IF($F300="","",'הזנה לתנאי סף'!O300)</f>
        <v>1</v>
      </c>
      <c r="W300" s="109">
        <v>0</v>
      </c>
      <c r="X300" s="109">
        <v>0</v>
      </c>
      <c r="Y300" s="109">
        <v>1</v>
      </c>
      <c r="Z300" s="214">
        <f t="shared" si="49"/>
        <v>0</v>
      </c>
      <c r="AA300" s="213" t="str">
        <f>IF(OR($F300="",V300=0),"",IF(V300=1,IF(COUNTBLANK(W300:X300)&gt;0,$AG$2,IF(OR(Z300&lt;='פרמטרים לקריטריונים'!$C$27,X300&gt;W300),"",X300-W300))))</f>
        <v/>
      </c>
      <c r="AB300" s="214" t="str">
        <f t="shared" si="53"/>
        <v/>
      </c>
      <c r="AC300" s="225" t="str">
        <f>IF(OR(AB300="",U300=1),"",IF(OR(COUNTBLANK(W300:Y300)&gt;0,AB300&gt;='פרמטרים לקריטריונים'!$E$54),'פרמטרים לקריטריונים'!$F$54,INDEX('פרמטרים לקריטריונים'!$F$49:$F$54,MATCH(AB300,'פרמטרים לקריטריונים'!$E$49:$E$54,1))))</f>
        <v/>
      </c>
      <c r="AD300" s="213" t="str">
        <f t="shared" si="50"/>
        <v/>
      </c>
      <c r="AE300" s="213">
        <f t="shared" si="51"/>
        <v>1733.8301044062353</v>
      </c>
      <c r="AG300" s="175">
        <f t="shared" si="54"/>
        <v>0</v>
      </c>
    </row>
    <row r="301" spans="1:33" ht="15.75" x14ac:dyDescent="0.2">
      <c r="A301" s="206" t="str">
        <f t="shared" si="52"/>
        <v/>
      </c>
      <c r="B301" s="88" t="str">
        <f>IF($F301="","",'הזנה לתנאי סף'!C301)</f>
        <v/>
      </c>
      <c r="C301" s="88" t="str">
        <f>IF($F301="","",'הזנה לתנאי סף'!D301)</f>
        <v/>
      </c>
      <c r="D301" s="88" t="str">
        <f>IF($F301="","",'הזנה לתנאי סף'!E301)</f>
        <v/>
      </c>
      <c r="E301" s="88" t="str">
        <f>IF($F301="","",'הזנה לתנאי סף'!F301)</f>
        <v/>
      </c>
      <c r="F301" s="88" t="str">
        <f>IF(OR('הזנה לתנאי סף'!G301="",'הזנה לתנאי סף'!BL301&lt;&gt;1),"",'הזנה לתנאי סף'!G301)</f>
        <v/>
      </c>
      <c r="G301" s="88" t="str">
        <f>IF($F301="","",'הזנה לתנאי סף'!H301)</f>
        <v/>
      </c>
      <c r="H301" s="88" t="str">
        <f>IF($F301="","",'הזנה לתנאי סף'!I301)</f>
        <v/>
      </c>
      <c r="I301" s="109"/>
      <c r="J301" s="213" t="str">
        <f>IF($F301="","",'הזנה לתנאי סף'!S301)</f>
        <v/>
      </c>
      <c r="K301" s="109"/>
      <c r="L301" s="213" t="str">
        <f t="shared" si="45"/>
        <v/>
      </c>
      <c r="M301" s="213" t="str">
        <f>IF($F301="","",IF(L301='הזנה לתנאי סף'!R301,1,0))</f>
        <v/>
      </c>
      <c r="N301" s="214" t="str">
        <f t="shared" si="46"/>
        <v/>
      </c>
      <c r="O301" s="214" t="str">
        <f t="shared" si="55"/>
        <v/>
      </c>
      <c r="P301" s="109"/>
      <c r="Q301" s="213" t="str">
        <f>IF($F301="","",IFERROR(IF(P301&gt;0,'פרמטרים לקריטריונים'!$C$25*P301*O301,$AG$2),""))</f>
        <v/>
      </c>
      <c r="R301" s="213" t="str">
        <f>IF($F301="","",IFERROR('פרמטרים לקריטריונים'!$C$26*Q301,""))</f>
        <v/>
      </c>
      <c r="S301" s="214" t="str">
        <f t="shared" si="47"/>
        <v/>
      </c>
      <c r="T301" s="213" t="str">
        <f t="shared" si="48"/>
        <v/>
      </c>
      <c r="U301" s="213" t="str">
        <f>IF($F301="","",'הזנה לתנאי סף'!N301)</f>
        <v/>
      </c>
      <c r="V301" s="213" t="str">
        <f>IF($F301="","",'הזנה לתנאי סף'!O301)</f>
        <v/>
      </c>
      <c r="W301" s="109"/>
      <c r="X301" s="109"/>
      <c r="Y301" s="109"/>
      <c r="Z301" s="214" t="str">
        <f t="shared" si="49"/>
        <v/>
      </c>
      <c r="AA301" s="213" t="str">
        <f>IF(OR($F301="",V301=0),"",IF(V301=1,IF(COUNTBLANK(W301:X301)&gt;0,$AG$2,IF(OR(Z301&lt;='פרמטרים לקריטריונים'!$C$27,X301&gt;W301),"",X301-W301))))</f>
        <v/>
      </c>
      <c r="AB301" s="214" t="str">
        <f t="shared" si="53"/>
        <v/>
      </c>
      <c r="AC301" s="225" t="str">
        <f>IF(OR(AB301="",U301=1),"",IF(OR(COUNTBLANK(W301:Y301)&gt;0,AB301&gt;='פרמטרים לקריטריונים'!$E$54),'פרמטרים לקריטריונים'!$F$54,INDEX('פרמטרים לקריטריונים'!$F$49:$F$54,MATCH(AB301,'פרמטרים לקריטריונים'!$E$49:$E$54,1))))</f>
        <v/>
      </c>
      <c r="AD301" s="213" t="str">
        <f t="shared" si="50"/>
        <v/>
      </c>
      <c r="AE301" s="213" t="str">
        <f t="shared" si="51"/>
        <v/>
      </c>
      <c r="AG301" s="175">
        <f t="shared" si="54"/>
        <v>0</v>
      </c>
    </row>
    <row r="302" spans="1:33" ht="15.75" x14ac:dyDescent="0.2">
      <c r="A302" s="206">
        <f t="shared" si="52"/>
        <v>272</v>
      </c>
      <c r="B302" s="88">
        <f>IF($F302="","",'הזנה לתנאי סף'!C302)</f>
        <v>1001348161</v>
      </c>
      <c r="C302" s="88">
        <f>IF($F302="","",'הזנה לתנאי סף'!D302)</f>
        <v>1001275647</v>
      </c>
      <c r="D302" s="88">
        <f>IF($F302="","",'הזנה לתנאי סף'!E302)</f>
        <v>40000564</v>
      </c>
      <c r="E302" s="88">
        <f>IF($F302="","",'הזנה לתנאי סף'!F302)</f>
        <v>20000201</v>
      </c>
      <c r="F302" s="88" t="str">
        <f>IF(OR('הזנה לתנאי סף'!G302="",'הזנה לתנאי סף'!BL302&lt;&gt;1),"",'הזנה לתנאי סף'!G302)</f>
        <v>תל אביב -יפו</v>
      </c>
      <c r="G302" s="88" t="str">
        <f>IF($F302="","",'הזנה לתנאי סף'!H302)</f>
        <v>עמותת הכוריאוגרפים (ע"ר)</v>
      </c>
      <c r="H302" s="88" t="str">
        <f>IF($F302="","",'הזנה לתנאי סף'!I302)</f>
        <v>יוצרים עצמאיים במחול</v>
      </c>
      <c r="I302" s="109">
        <v>88531</v>
      </c>
      <c r="J302" s="213">
        <f>IF($F302="","",'הזנה לתנאי סף'!S302)</f>
        <v>133965</v>
      </c>
      <c r="K302" s="109"/>
      <c r="L302" s="213">
        <f t="shared" si="45"/>
        <v>222496</v>
      </c>
      <c r="M302" s="213">
        <f>IF($F302="","",IF(L302='הזנה לתנאי סף'!R302,1,0))</f>
        <v>1</v>
      </c>
      <c r="N302" s="214">
        <f t="shared" si="46"/>
        <v>0.39789928807708902</v>
      </c>
      <c r="O302" s="214">
        <f t="shared" si="55"/>
        <v>0.60210071192291093</v>
      </c>
      <c r="P302" s="109">
        <v>224568</v>
      </c>
      <c r="Q302" s="213">
        <f>IF($F302="","",IFERROR(IF(P302&gt;0,'פרמטרים לקריטריונים'!$C$25*P302*O302,$AG$2),""))</f>
        <v>40563.765802531278</v>
      </c>
      <c r="R302" s="213">
        <f>IF($F302="","",IFERROR('פרמטרים לקריטריונים'!$C$26*Q302,""))</f>
        <v>9974.6965088191664</v>
      </c>
      <c r="S302" s="214">
        <f t="shared" si="47"/>
        <v>1.4782653725012779E-4</v>
      </c>
      <c r="T302" s="213">
        <f t="shared" si="48"/>
        <v>7391.3268625063893</v>
      </c>
      <c r="U302" s="213">
        <f>IF($F302="","",'הזנה לתנאי סף'!N302)</f>
        <v>0</v>
      </c>
      <c r="V302" s="213">
        <f>IF($F302="","",'הזנה לתנאי סף'!O302)</f>
        <v>1</v>
      </c>
      <c r="W302" s="109">
        <v>0</v>
      </c>
      <c r="X302" s="109">
        <v>0</v>
      </c>
      <c r="Y302" s="109">
        <v>1</v>
      </c>
      <c r="Z302" s="214">
        <f t="shared" si="49"/>
        <v>0</v>
      </c>
      <c r="AA302" s="213" t="str">
        <f>IF(OR($F302="",V302=0),"",IF(V302=1,IF(COUNTBLANK(W302:X302)&gt;0,$AG$2,IF(OR(Z302&lt;='פרמטרים לקריטריונים'!$C$27,X302&gt;W302),"",X302-W302))))</f>
        <v/>
      </c>
      <c r="AB302" s="214" t="str">
        <f t="shared" si="53"/>
        <v/>
      </c>
      <c r="AC302" s="225" t="str">
        <f>IF(OR(AB302="",U302=1),"",IF(OR(COUNTBLANK(W302:Y302)&gt;0,AB302&gt;='פרמטרים לקריטריונים'!$E$54),'פרמטרים לקריטריונים'!$F$54,INDEX('פרמטרים לקריטריונים'!$F$49:$F$54,MATCH(AB302,'פרמטרים לקריטריונים'!$E$49:$E$54,1))))</f>
        <v/>
      </c>
      <c r="AD302" s="213" t="str">
        <f t="shared" si="50"/>
        <v/>
      </c>
      <c r="AE302" s="213">
        <f t="shared" si="51"/>
        <v>7391.3268625063893</v>
      </c>
      <c r="AG302" s="175">
        <f t="shared" si="54"/>
        <v>0</v>
      </c>
    </row>
    <row r="303" spans="1:33" ht="15.75" x14ac:dyDescent="0.2">
      <c r="A303" s="206">
        <f t="shared" si="52"/>
        <v>273</v>
      </c>
      <c r="B303" s="88">
        <f>IF($F303="","",'הזנה לתנאי סף'!C303)</f>
        <v>1001348162</v>
      </c>
      <c r="C303" s="88">
        <f>IF($F303="","",'הזנה לתנאי סף'!D303)</f>
        <v>1001275646</v>
      </c>
      <c r="D303" s="88">
        <f>IF($F303="","",'הזנה לתנאי סף'!E303)</f>
        <v>40000564</v>
      </c>
      <c r="E303" s="88">
        <f>IF($F303="","",'הזנה לתנאי סף'!F303)</f>
        <v>20000201</v>
      </c>
      <c r="F303" s="88" t="str">
        <f>IF(OR('הזנה לתנאי סף'!G303="",'הזנה לתנאי סף'!BL303&lt;&gt;1),"",'הזנה לתנאי סף'!G303)</f>
        <v>תל אביב -יפו</v>
      </c>
      <c r="G303" s="88" t="str">
        <f>IF($F303="","",'הזנה לתנאי סף'!H303)</f>
        <v>עמותת הכוריאוגרפים (ע"ר)</v>
      </c>
      <c r="H303" s="88" t="str">
        <f>IF($F303="","",'הזנה לתנאי סף'!I303)</f>
        <v>יוצרים עצמאיים במחול</v>
      </c>
      <c r="I303" s="109">
        <v>80877</v>
      </c>
      <c r="J303" s="213">
        <f>IF($F303="","",'הזנה לתנאי סף'!S303)</f>
        <v>59554</v>
      </c>
      <c r="K303" s="109"/>
      <c r="L303" s="213">
        <f t="shared" si="45"/>
        <v>140431</v>
      </c>
      <c r="M303" s="213">
        <f>IF($F303="","",IF(L303='הזנה לתנאי סף'!R303,1,0))</f>
        <v>1</v>
      </c>
      <c r="N303" s="214">
        <f t="shared" si="46"/>
        <v>0.57591984675748231</v>
      </c>
      <c r="O303" s="214">
        <f t="shared" si="55"/>
        <v>0.42408015324251769</v>
      </c>
      <c r="P303" s="109">
        <v>130043</v>
      </c>
      <c r="Q303" s="213">
        <f>IF($F303="","",IFERROR(IF(P303&gt;0,'פרמטרים לקריטריונים'!$C$25*P303*O303,$AG$2),""))</f>
        <v>16544.596610435019</v>
      </c>
      <c r="R303" s="213">
        <f>IF($F303="","",IFERROR('פרמטרים לקריטריונים'!$C$26*Q303,""))</f>
        <v>4068.3434287954965</v>
      </c>
      <c r="S303" s="214">
        <f t="shared" si="47"/>
        <v>6.0293475685341587E-5</v>
      </c>
      <c r="T303" s="213">
        <f t="shared" si="48"/>
        <v>3014.6737842670796</v>
      </c>
      <c r="U303" s="213">
        <f>IF($F303="","",'הזנה לתנאי סף'!N303)</f>
        <v>0</v>
      </c>
      <c r="V303" s="213">
        <f>IF($F303="","",'הזנה לתנאי סף'!O303)</f>
        <v>1</v>
      </c>
      <c r="W303" s="109">
        <v>0</v>
      </c>
      <c r="X303" s="109">
        <v>0</v>
      </c>
      <c r="Y303" s="109">
        <v>1</v>
      </c>
      <c r="Z303" s="214">
        <f t="shared" si="49"/>
        <v>0</v>
      </c>
      <c r="AA303" s="213" t="str">
        <f>IF(OR($F303="",V303=0),"",IF(V303=1,IF(COUNTBLANK(W303:X303)&gt;0,$AG$2,IF(OR(Z303&lt;='פרמטרים לקריטריונים'!$C$27,X303&gt;W303),"",X303-W303))))</f>
        <v/>
      </c>
      <c r="AB303" s="214" t="str">
        <f t="shared" si="53"/>
        <v/>
      </c>
      <c r="AC303" s="225" t="str">
        <f>IF(OR(AB303="",U303=1),"",IF(OR(COUNTBLANK(W303:Y303)&gt;0,AB303&gt;='פרמטרים לקריטריונים'!$E$54),'פרמטרים לקריטריונים'!$F$54,INDEX('פרמטרים לקריטריונים'!$F$49:$F$54,MATCH(AB303,'פרמטרים לקריטריונים'!$E$49:$E$54,1))))</f>
        <v/>
      </c>
      <c r="AD303" s="213" t="str">
        <f t="shared" si="50"/>
        <v/>
      </c>
      <c r="AE303" s="213">
        <f t="shared" si="51"/>
        <v>3014.6737842670796</v>
      </c>
      <c r="AG303" s="175">
        <f t="shared" si="54"/>
        <v>0</v>
      </c>
    </row>
    <row r="304" spans="1:33" ht="15.75" x14ac:dyDescent="0.2">
      <c r="A304" s="206">
        <f t="shared" si="52"/>
        <v>274</v>
      </c>
      <c r="B304" s="88">
        <f>IF($F304="","",'הזנה לתנאי סף'!C304)</f>
        <v>1001348163</v>
      </c>
      <c r="C304" s="88">
        <f>IF($F304="","",'הזנה לתנאי סף'!D304)</f>
        <v>1001275645</v>
      </c>
      <c r="D304" s="88">
        <f>IF($F304="","",'הזנה לתנאי סף'!E304)</f>
        <v>40000564</v>
      </c>
      <c r="E304" s="88">
        <f>IF($F304="","",'הזנה לתנאי סף'!F304)</f>
        <v>20000201</v>
      </c>
      <c r="F304" s="88" t="str">
        <f>IF(OR('הזנה לתנאי סף'!G304="",'הזנה לתנאי סף'!BL304&lt;&gt;1),"",'הזנה לתנאי סף'!G304)</f>
        <v>תל אביב -יפו</v>
      </c>
      <c r="G304" s="88" t="str">
        <f>IF($F304="","",'הזנה לתנאי סף'!H304)</f>
        <v>עמותת הכוריאוגרפים (ע"ר)</v>
      </c>
      <c r="H304" s="88" t="str">
        <f>IF($F304="","",'הזנה לתנאי סף'!I304)</f>
        <v>יוצרים עצמאיים במחול</v>
      </c>
      <c r="I304" s="109">
        <v>98769</v>
      </c>
      <c r="J304" s="213">
        <f>IF($F304="","",'הזנה לתנאי סף'!S304)</f>
        <v>85140</v>
      </c>
      <c r="K304" s="109"/>
      <c r="L304" s="213">
        <f t="shared" si="45"/>
        <v>183909</v>
      </c>
      <c r="M304" s="213">
        <f>IF($F304="","",IF(L304='הזנה לתנאי סף'!R304,1,0))</f>
        <v>1</v>
      </c>
      <c r="N304" s="214">
        <f t="shared" si="46"/>
        <v>0.53705365153418272</v>
      </c>
      <c r="O304" s="214">
        <f t="shared" si="55"/>
        <v>0.46294634846581728</v>
      </c>
      <c r="P304" s="109">
        <v>198536</v>
      </c>
      <c r="Q304" s="213">
        <f>IF($F304="","",IFERROR(IF(P304&gt;0,'פרמטרים לקריטריונים'!$C$25*P304*O304,$AG$2),""))</f>
        <v>27573.454871702848</v>
      </c>
      <c r="R304" s="213">
        <f>IF($F304="","",IFERROR('פרמטרים לקריטריונים'!$C$26*Q304,""))</f>
        <v>6780.3577553367659</v>
      </c>
      <c r="S304" s="214">
        <f t="shared" si="47"/>
        <v>1.0048594535204965E-4</v>
      </c>
      <c r="T304" s="213">
        <f t="shared" si="48"/>
        <v>5024.2972676024829</v>
      </c>
      <c r="U304" s="213">
        <f>IF($F304="","",'הזנה לתנאי סף'!N304)</f>
        <v>0</v>
      </c>
      <c r="V304" s="213">
        <f>IF($F304="","",'הזנה לתנאי סף'!O304)</f>
        <v>1</v>
      </c>
      <c r="W304" s="109">
        <v>0</v>
      </c>
      <c r="X304" s="109">
        <v>0</v>
      </c>
      <c r="Y304" s="109">
        <v>1</v>
      </c>
      <c r="Z304" s="214">
        <f t="shared" si="49"/>
        <v>0</v>
      </c>
      <c r="AA304" s="213" t="str">
        <f>IF(OR($F304="",V304=0),"",IF(V304=1,IF(COUNTBLANK(W304:X304)&gt;0,$AG$2,IF(OR(Z304&lt;='פרמטרים לקריטריונים'!$C$27,X304&gt;W304),"",X304-W304))))</f>
        <v/>
      </c>
      <c r="AB304" s="214" t="str">
        <f t="shared" si="53"/>
        <v/>
      </c>
      <c r="AC304" s="225" t="str">
        <f>IF(OR(AB304="",U304=1),"",IF(OR(COUNTBLANK(W304:Y304)&gt;0,AB304&gt;='פרמטרים לקריטריונים'!$E$54),'פרמטרים לקריטריונים'!$F$54,INDEX('פרמטרים לקריטריונים'!$F$49:$F$54,MATCH(AB304,'פרמטרים לקריטריונים'!$E$49:$E$54,1))))</f>
        <v/>
      </c>
      <c r="AD304" s="213" t="str">
        <f t="shared" si="50"/>
        <v/>
      </c>
      <c r="AE304" s="213">
        <f t="shared" si="51"/>
        <v>5024.2972676024829</v>
      </c>
      <c r="AG304" s="175">
        <f t="shared" si="54"/>
        <v>0</v>
      </c>
    </row>
    <row r="305" spans="1:33" ht="15.75" x14ac:dyDescent="0.2">
      <c r="A305" s="206">
        <f t="shared" si="52"/>
        <v>275</v>
      </c>
      <c r="B305" s="88">
        <f>IF($F305="","",'הזנה לתנאי סף'!C305)</f>
        <v>1001348165</v>
      </c>
      <c r="C305" s="88">
        <f>IF($F305="","",'הזנה לתנאי סף'!D305)</f>
        <v>1001273681</v>
      </c>
      <c r="D305" s="88">
        <f>IF($F305="","",'הזנה לתנאי סף'!E305)</f>
        <v>40000564</v>
      </c>
      <c r="E305" s="88">
        <f>IF($F305="","",'הזנה לתנאי סף'!F305)</f>
        <v>20000201</v>
      </c>
      <c r="F305" s="88" t="str">
        <f>IF(OR('הזנה לתנאי סף'!G305="",'הזנה לתנאי סף'!BL305&lt;&gt;1),"",'הזנה לתנאי סף'!G305)</f>
        <v>תל אביב -יפו</v>
      </c>
      <c r="G305" s="88" t="str">
        <f>IF($F305="","",'הזנה לתנאי סף'!H305)</f>
        <v>עמותת הכוריאוגרפים (ע"ר)</v>
      </c>
      <c r="H305" s="88" t="str">
        <f>IF($F305="","",'הזנה לתנאי סף'!I305)</f>
        <v>יוצרים עצמאיים במחול</v>
      </c>
      <c r="I305" s="109">
        <v>81021</v>
      </c>
      <c r="J305" s="213">
        <f>IF($F305="","",'הזנה לתנאי סף'!S305)</f>
        <v>138321</v>
      </c>
      <c r="K305" s="109"/>
      <c r="L305" s="213">
        <f t="shared" si="45"/>
        <v>219342</v>
      </c>
      <c r="M305" s="213">
        <f>IF($F305="","",IF(L305='הזנה לתנאי סף'!R305,1,0))</f>
        <v>1</v>
      </c>
      <c r="N305" s="214">
        <f t="shared" si="46"/>
        <v>0.36938206089121101</v>
      </c>
      <c r="O305" s="214">
        <f t="shared" si="55"/>
        <v>0.63061793910878894</v>
      </c>
      <c r="P305" s="109">
        <v>153717</v>
      </c>
      <c r="Q305" s="213">
        <f>IF($F305="","",IFERROR(IF(P305&gt;0,'פרמטרים לקריטריונים'!$C$25*P305*O305,$AG$2),""))</f>
        <v>29081.009323795712</v>
      </c>
      <c r="R305" s="213">
        <f>IF($F305="","",IFERROR('פרמטרים לקריטריונים'!$C$26*Q305,""))</f>
        <v>7151.0678665071418</v>
      </c>
      <c r="S305" s="214">
        <f t="shared" si="47"/>
        <v>1.0597992624755603E-4</v>
      </c>
      <c r="T305" s="213">
        <f t="shared" si="48"/>
        <v>5298.9963123778016</v>
      </c>
      <c r="U305" s="213">
        <f>IF($F305="","",'הזנה לתנאי סף'!N305)</f>
        <v>0</v>
      </c>
      <c r="V305" s="213">
        <f>IF($F305="","",'הזנה לתנאי סף'!O305)</f>
        <v>1</v>
      </c>
      <c r="W305" s="109">
        <v>0</v>
      </c>
      <c r="X305" s="109">
        <v>0</v>
      </c>
      <c r="Y305" s="109">
        <v>1</v>
      </c>
      <c r="Z305" s="214">
        <f t="shared" si="49"/>
        <v>0</v>
      </c>
      <c r="AA305" s="213" t="str">
        <f>IF(OR($F305="",V305=0),"",IF(V305=1,IF(COUNTBLANK(W305:X305)&gt;0,$AG$2,IF(OR(Z305&lt;='פרמטרים לקריטריונים'!$C$27,X305&gt;W305),"",X305-W305))))</f>
        <v/>
      </c>
      <c r="AB305" s="214" t="str">
        <f t="shared" si="53"/>
        <v/>
      </c>
      <c r="AC305" s="225" t="str">
        <f>IF(OR(AB305="",U305=1),"",IF(OR(COUNTBLANK(W305:Y305)&gt;0,AB305&gt;='פרמטרים לקריטריונים'!$E$54),'פרמטרים לקריטריונים'!$F$54,INDEX('פרמטרים לקריטריונים'!$F$49:$F$54,MATCH(AB305,'פרמטרים לקריטריונים'!$E$49:$E$54,1))))</f>
        <v/>
      </c>
      <c r="AD305" s="213" t="str">
        <f t="shared" si="50"/>
        <v/>
      </c>
      <c r="AE305" s="213">
        <f t="shared" si="51"/>
        <v>5298.9963123778016</v>
      </c>
      <c r="AG305" s="175">
        <f t="shared" si="54"/>
        <v>0</v>
      </c>
    </row>
    <row r="306" spans="1:33" ht="15.75" x14ac:dyDescent="0.2">
      <c r="A306" s="206">
        <f t="shared" si="52"/>
        <v>276</v>
      </c>
      <c r="B306" s="88">
        <f>IF($F306="","",'הזנה לתנאי סף'!C306)</f>
        <v>1001348166</v>
      </c>
      <c r="C306" s="88">
        <f>IF($F306="","",'הזנה לתנאי סף'!D306)</f>
        <v>1001273680</v>
      </c>
      <c r="D306" s="88">
        <f>IF($F306="","",'הזנה לתנאי סף'!E306)</f>
        <v>40000564</v>
      </c>
      <c r="E306" s="88">
        <f>IF($F306="","",'הזנה לתנאי סף'!F306)</f>
        <v>20000201</v>
      </c>
      <c r="F306" s="88" t="str">
        <f>IF(OR('הזנה לתנאי סף'!G306="",'הזנה לתנאי סף'!BL306&lt;&gt;1),"",'הזנה לתנאי סף'!G306)</f>
        <v>תל אביב -יפו</v>
      </c>
      <c r="G306" s="88" t="str">
        <f>IF($F306="","",'הזנה לתנאי סף'!H306)</f>
        <v>עמותת הכוריאוגרפים (ע"ר)</v>
      </c>
      <c r="H306" s="88" t="str">
        <f>IF($F306="","",'הזנה לתנאי סף'!I306)</f>
        <v>יוצרים עצמאיים במחול</v>
      </c>
      <c r="I306" s="109">
        <v>119335</v>
      </c>
      <c r="J306" s="213">
        <f>IF($F306="","",'הזנה לתנאי סף'!S306)</f>
        <v>104802</v>
      </c>
      <c r="K306" s="109"/>
      <c r="L306" s="213">
        <f t="shared" si="45"/>
        <v>224137</v>
      </c>
      <c r="M306" s="213">
        <f>IF($F306="","",IF(L306='הזנה לתנאי סף'!R306,1,0))</f>
        <v>1</v>
      </c>
      <c r="N306" s="214">
        <f t="shared" si="46"/>
        <v>0.53241990389806237</v>
      </c>
      <c r="O306" s="214">
        <f t="shared" si="55"/>
        <v>0.46758009610193763</v>
      </c>
      <c r="P306" s="109">
        <v>190460</v>
      </c>
      <c r="Q306" s="213">
        <f>IF($F306="","",IFERROR(IF(P306&gt;0,'פרמטרים לקריטריונים'!$C$25*P306*O306,$AG$2),""))</f>
        <v>26716.59153107251</v>
      </c>
      <c r="R306" s="213">
        <f>IF($F306="","",IFERROR('פרמטרים לקריטריונים'!$C$26*Q306,""))</f>
        <v>6569.6536551817644</v>
      </c>
      <c r="S306" s="214">
        <f t="shared" si="47"/>
        <v>9.7363278162849589E-5</v>
      </c>
      <c r="T306" s="213">
        <f t="shared" si="48"/>
        <v>4868.1639081424792</v>
      </c>
      <c r="U306" s="213">
        <f>IF($F306="","",'הזנה לתנאי סף'!N306)</f>
        <v>0</v>
      </c>
      <c r="V306" s="213">
        <f>IF($F306="","",'הזנה לתנאי סף'!O306)</f>
        <v>1</v>
      </c>
      <c r="W306" s="109">
        <v>0</v>
      </c>
      <c r="X306" s="109">
        <v>0</v>
      </c>
      <c r="Y306" s="109">
        <v>1</v>
      </c>
      <c r="Z306" s="214">
        <f t="shared" si="49"/>
        <v>0</v>
      </c>
      <c r="AA306" s="213" t="str">
        <f>IF(OR($F306="",V306=0),"",IF(V306=1,IF(COUNTBLANK(W306:X306)&gt;0,$AG$2,IF(OR(Z306&lt;='פרמטרים לקריטריונים'!$C$27,X306&gt;W306),"",X306-W306))))</f>
        <v/>
      </c>
      <c r="AB306" s="214" t="str">
        <f t="shared" si="53"/>
        <v/>
      </c>
      <c r="AC306" s="225" t="str">
        <f>IF(OR(AB306="",U306=1),"",IF(OR(COUNTBLANK(W306:Y306)&gt;0,AB306&gt;='פרמטרים לקריטריונים'!$E$54),'פרמטרים לקריטריונים'!$F$54,INDEX('פרמטרים לקריטריונים'!$F$49:$F$54,MATCH(AB306,'פרמטרים לקריטריונים'!$E$49:$E$54,1))))</f>
        <v/>
      </c>
      <c r="AD306" s="213" t="str">
        <f t="shared" si="50"/>
        <v/>
      </c>
      <c r="AE306" s="213">
        <f t="shared" si="51"/>
        <v>4868.1639081424792</v>
      </c>
      <c r="AG306" s="175">
        <f t="shared" si="54"/>
        <v>0</v>
      </c>
    </row>
    <row r="307" spans="1:33" ht="15.75" x14ac:dyDescent="0.2">
      <c r="A307" s="206">
        <f t="shared" si="52"/>
        <v>277</v>
      </c>
      <c r="B307" s="88">
        <f>IF($F307="","",'הזנה לתנאי סף'!C307)</f>
        <v>1001348167</v>
      </c>
      <c r="C307" s="88">
        <f>IF($F307="","",'הזנה לתנאי סף'!D307)</f>
        <v>1001273659</v>
      </c>
      <c r="D307" s="88">
        <f>IF($F307="","",'הזנה לתנאי סף'!E307)</f>
        <v>40000564</v>
      </c>
      <c r="E307" s="88">
        <f>IF($F307="","",'הזנה לתנאי סף'!F307)</f>
        <v>20000201</v>
      </c>
      <c r="F307" s="88" t="str">
        <f>IF(OR('הזנה לתנאי סף'!G307="",'הזנה לתנאי סף'!BL307&lt;&gt;1),"",'הזנה לתנאי סף'!G307)</f>
        <v>תל אביב -יפו</v>
      </c>
      <c r="G307" s="88" t="str">
        <f>IF($F307="","",'הזנה לתנאי סף'!H307)</f>
        <v>עמותת הכוריאוגרפים (ע"ר)</v>
      </c>
      <c r="H307" s="88" t="str">
        <f>IF($F307="","",'הזנה לתנאי סף'!I307)</f>
        <v>יוצרים עצמאיים במחול</v>
      </c>
      <c r="I307" s="109">
        <v>73514</v>
      </c>
      <c r="J307" s="213">
        <f>IF($F307="","",'הזנה לתנאי סף'!S307)</f>
        <v>88054</v>
      </c>
      <c r="K307" s="109"/>
      <c r="L307" s="213">
        <f t="shared" si="45"/>
        <v>161568</v>
      </c>
      <c r="M307" s="213">
        <f>IF($F307="","",IF(L307='הזנה לתנאי סף'!R307,1,0))</f>
        <v>1</v>
      </c>
      <c r="N307" s="214">
        <f t="shared" si="46"/>
        <v>0.45500346603287778</v>
      </c>
      <c r="O307" s="214">
        <f t="shared" si="55"/>
        <v>0.54499653396712222</v>
      </c>
      <c r="P307" s="109">
        <v>123482</v>
      </c>
      <c r="Q307" s="213">
        <f>IF($F307="","",IFERROR(IF(P307&gt;0,'פרמטרים לקריטריונים'!$C$25*P307*O307,$AG$2),""))</f>
        <v>20189.178602198455</v>
      </c>
      <c r="R307" s="213">
        <f>IF($F307="","",IFERROR('פרמטרים לקריטריונים'!$C$26*Q307,""))</f>
        <v>4964.5521152947022</v>
      </c>
      <c r="S307" s="214">
        <f t="shared" si="47"/>
        <v>7.3575426335321484E-5</v>
      </c>
      <c r="T307" s="213">
        <f t="shared" si="48"/>
        <v>3678.7713167660741</v>
      </c>
      <c r="U307" s="213">
        <f>IF($F307="","",'הזנה לתנאי סף'!N307)</f>
        <v>0</v>
      </c>
      <c r="V307" s="213">
        <f>IF($F307="","",'הזנה לתנאי סף'!O307)</f>
        <v>1</v>
      </c>
      <c r="W307" s="109">
        <v>0</v>
      </c>
      <c r="X307" s="109">
        <v>0</v>
      </c>
      <c r="Y307" s="109">
        <v>1</v>
      </c>
      <c r="Z307" s="214">
        <f t="shared" si="49"/>
        <v>0</v>
      </c>
      <c r="AA307" s="213" t="str">
        <f>IF(OR($F307="",V307=0),"",IF(V307=1,IF(COUNTBLANK(W307:X307)&gt;0,$AG$2,IF(OR(Z307&lt;='פרמטרים לקריטריונים'!$C$27,X307&gt;W307),"",X307-W307))))</f>
        <v/>
      </c>
      <c r="AB307" s="214" t="str">
        <f t="shared" si="53"/>
        <v/>
      </c>
      <c r="AC307" s="225" t="str">
        <f>IF(OR(AB307="",U307=1),"",IF(OR(COUNTBLANK(W307:Y307)&gt;0,AB307&gt;='פרמטרים לקריטריונים'!$E$54),'פרמטרים לקריטריונים'!$F$54,INDEX('פרמטרים לקריטריונים'!$F$49:$F$54,MATCH(AB307,'פרמטרים לקריטריונים'!$E$49:$E$54,1))))</f>
        <v/>
      </c>
      <c r="AD307" s="213" t="str">
        <f t="shared" si="50"/>
        <v/>
      </c>
      <c r="AE307" s="213">
        <f t="shared" si="51"/>
        <v>3678.7713167660741</v>
      </c>
      <c r="AG307" s="175">
        <f t="shared" si="54"/>
        <v>0</v>
      </c>
    </row>
    <row r="308" spans="1:33" ht="15.75" x14ac:dyDescent="0.2">
      <c r="A308" s="206">
        <f t="shared" si="52"/>
        <v>278</v>
      </c>
      <c r="B308" s="88">
        <f>IF($F308="","",'הזנה לתנאי סף'!C308)</f>
        <v>1001348168</v>
      </c>
      <c r="C308" s="88">
        <f>IF($F308="","",'הזנה לתנאי סף'!D308)</f>
        <v>1001273658</v>
      </c>
      <c r="D308" s="88">
        <f>IF($F308="","",'הזנה לתנאי סף'!E308)</f>
        <v>40000564</v>
      </c>
      <c r="E308" s="88">
        <f>IF($F308="","",'הזנה לתנאי סף'!F308)</f>
        <v>20000201</v>
      </c>
      <c r="F308" s="88" t="str">
        <f>IF(OR('הזנה לתנאי סף'!G308="",'הזנה לתנאי סף'!BL308&lt;&gt;1),"",'הזנה לתנאי סף'!G308)</f>
        <v>תל אביב -יפו</v>
      </c>
      <c r="G308" s="88" t="str">
        <f>IF($F308="","",'הזנה לתנאי סף'!H308)</f>
        <v>עמותת הכוריאוגרפים (ע"ר)</v>
      </c>
      <c r="H308" s="88" t="str">
        <f>IF($F308="","",'הזנה לתנאי סף'!I308)</f>
        <v>יוצרים עצמאיים במחול</v>
      </c>
      <c r="I308" s="109">
        <v>53478</v>
      </c>
      <c r="J308" s="213">
        <f>IF($F308="","",'הזנה לתנאי סף'!S308)</f>
        <v>115120</v>
      </c>
      <c r="K308" s="109"/>
      <c r="L308" s="213">
        <f t="shared" si="45"/>
        <v>168598</v>
      </c>
      <c r="M308" s="213">
        <f>IF($F308="","",IF(L308='הזנה לתנאי סף'!R308,1,0))</f>
        <v>1</v>
      </c>
      <c r="N308" s="214">
        <f t="shared" si="46"/>
        <v>0.31719237476126644</v>
      </c>
      <c r="O308" s="214">
        <f t="shared" si="55"/>
        <v>0.68280762523873362</v>
      </c>
      <c r="P308" s="109">
        <v>165435</v>
      </c>
      <c r="Q308" s="213">
        <f>IF($F308="","",IFERROR(IF(P308&gt;0,'פרמטרים לקריטריונים'!$C$25*P308*O308,$AG$2),""))</f>
        <v>33888.083844410969</v>
      </c>
      <c r="R308" s="213">
        <f>IF($F308="","",IFERROR('פרמטרים לקריטריונים'!$C$26*Q308,""))</f>
        <v>8333.1353715764672</v>
      </c>
      <c r="S308" s="214">
        <f t="shared" si="47"/>
        <v>1.2349834857908244E-4</v>
      </c>
      <c r="T308" s="213">
        <f t="shared" si="48"/>
        <v>6174.9174289541224</v>
      </c>
      <c r="U308" s="213">
        <f>IF($F308="","",'הזנה לתנאי סף'!N308)</f>
        <v>0</v>
      </c>
      <c r="V308" s="213">
        <f>IF($F308="","",'הזנה לתנאי סף'!O308)</f>
        <v>1</v>
      </c>
      <c r="W308" s="109">
        <v>0</v>
      </c>
      <c r="X308" s="109">
        <v>0</v>
      </c>
      <c r="Y308" s="109">
        <v>1</v>
      </c>
      <c r="Z308" s="214">
        <f t="shared" si="49"/>
        <v>0</v>
      </c>
      <c r="AA308" s="213" t="str">
        <f>IF(OR($F308="",V308=0),"",IF(V308=1,IF(COUNTBLANK(W308:X308)&gt;0,$AG$2,IF(OR(Z308&lt;='פרמטרים לקריטריונים'!$C$27,X308&gt;W308),"",X308-W308))))</f>
        <v/>
      </c>
      <c r="AB308" s="214" t="str">
        <f t="shared" si="53"/>
        <v/>
      </c>
      <c r="AC308" s="225" t="str">
        <f>IF(OR(AB308="",U308=1),"",IF(OR(COUNTBLANK(W308:Y308)&gt;0,AB308&gt;='פרמטרים לקריטריונים'!$E$54),'פרמטרים לקריטריונים'!$F$54,INDEX('פרמטרים לקריטריונים'!$F$49:$F$54,MATCH(AB308,'פרמטרים לקריטריונים'!$E$49:$E$54,1))))</f>
        <v/>
      </c>
      <c r="AD308" s="213" t="str">
        <f t="shared" si="50"/>
        <v/>
      </c>
      <c r="AE308" s="213">
        <f t="shared" si="51"/>
        <v>6174.9174289541224</v>
      </c>
      <c r="AG308" s="175">
        <f t="shared" si="54"/>
        <v>0</v>
      </c>
    </row>
    <row r="309" spans="1:33" ht="15.75" x14ac:dyDescent="0.2">
      <c r="A309" s="206">
        <f t="shared" si="52"/>
        <v>279</v>
      </c>
      <c r="B309" s="88">
        <f>IF($F309="","",'הזנה לתנאי סף'!C309)</f>
        <v>1001348169</v>
      </c>
      <c r="C309" s="88">
        <f>IF($F309="","",'הזנה לתנאי סף'!D309)</f>
        <v>1001273657</v>
      </c>
      <c r="D309" s="88">
        <f>IF($F309="","",'הזנה לתנאי סף'!E309)</f>
        <v>40000564</v>
      </c>
      <c r="E309" s="88">
        <f>IF($F309="","",'הזנה לתנאי סף'!F309)</f>
        <v>20000201</v>
      </c>
      <c r="F309" s="88" t="str">
        <f>IF(OR('הזנה לתנאי סף'!G309="",'הזנה לתנאי סף'!BL309&lt;&gt;1),"",'הזנה לתנאי סף'!G309)</f>
        <v>תל אביב -יפו</v>
      </c>
      <c r="G309" s="88" t="str">
        <f>IF($F309="","",'הזנה לתנאי סף'!H309)</f>
        <v>עמותת הכוריאוגרפים (ע"ר)</v>
      </c>
      <c r="H309" s="88" t="str">
        <f>IF($F309="","",'הזנה לתנאי סף'!I309)</f>
        <v>יוצרים עצמאיים במחול</v>
      </c>
      <c r="I309" s="109">
        <v>66717</v>
      </c>
      <c r="J309" s="213">
        <f>IF($F309="","",'הזנה לתנאי סף'!S309)</f>
        <v>41609</v>
      </c>
      <c r="K309" s="109"/>
      <c r="L309" s="213">
        <f t="shared" si="45"/>
        <v>108326</v>
      </c>
      <c r="M309" s="213">
        <f>IF($F309="","",IF(L309='הזנה לתנאי סף'!R309,1,0))</f>
        <v>1</v>
      </c>
      <c r="N309" s="214">
        <f t="shared" si="46"/>
        <v>0.61589092184701733</v>
      </c>
      <c r="O309" s="214">
        <f t="shared" si="55"/>
        <v>0.38410907815298267</v>
      </c>
      <c r="P309" s="109">
        <v>129656</v>
      </c>
      <c r="Q309" s="213">
        <f>IF($F309="","",IFERROR(IF(P309&gt;0,'פרמטרים לקריטריונים'!$C$25*P309*O309,$AG$2),""))</f>
        <v>14940.613991100934</v>
      </c>
      <c r="R309" s="213">
        <f>IF($F309="","",IFERROR('פרמטרים לקריטריונים'!$C$26*Q309,""))</f>
        <v>3673.921473221541</v>
      </c>
      <c r="S309" s="214">
        <f t="shared" si="47"/>
        <v>5.4448081606797936E-5</v>
      </c>
      <c r="T309" s="213">
        <f t="shared" si="48"/>
        <v>2722.4040803398966</v>
      </c>
      <c r="U309" s="213">
        <f>IF($F309="","",'הזנה לתנאי סף'!N309)</f>
        <v>0</v>
      </c>
      <c r="V309" s="213">
        <f>IF($F309="","",'הזנה לתנאי סף'!O309)</f>
        <v>1</v>
      </c>
      <c r="W309" s="109">
        <v>0</v>
      </c>
      <c r="X309" s="109">
        <v>0</v>
      </c>
      <c r="Y309" s="109">
        <v>1</v>
      </c>
      <c r="Z309" s="214">
        <f t="shared" si="49"/>
        <v>0</v>
      </c>
      <c r="AA309" s="213" t="str">
        <f>IF(OR($F309="",V309=0),"",IF(V309=1,IF(COUNTBLANK(W309:X309)&gt;0,$AG$2,IF(OR(Z309&lt;='פרמטרים לקריטריונים'!$C$27,X309&gt;W309),"",X309-W309))))</f>
        <v/>
      </c>
      <c r="AB309" s="214" t="str">
        <f t="shared" si="53"/>
        <v/>
      </c>
      <c r="AC309" s="225" t="str">
        <f>IF(OR(AB309="",U309=1),"",IF(OR(COUNTBLANK(W309:Y309)&gt;0,AB309&gt;='פרמטרים לקריטריונים'!$E$54),'פרמטרים לקריטריונים'!$F$54,INDEX('פרמטרים לקריטריונים'!$F$49:$F$54,MATCH(AB309,'פרמטרים לקריטריונים'!$E$49:$E$54,1))))</f>
        <v/>
      </c>
      <c r="AD309" s="213" t="str">
        <f t="shared" si="50"/>
        <v/>
      </c>
      <c r="AE309" s="213">
        <f t="shared" si="51"/>
        <v>2722.4040803398966</v>
      </c>
      <c r="AG309" s="175">
        <f t="shared" si="54"/>
        <v>0</v>
      </c>
    </row>
    <row r="310" spans="1:33" ht="15.75" x14ac:dyDescent="0.2">
      <c r="A310" s="206">
        <f t="shared" si="52"/>
        <v>280</v>
      </c>
      <c r="B310" s="88">
        <f>IF($F310="","",'הזנה לתנאי סף'!C310)</f>
        <v>1001348170</v>
      </c>
      <c r="C310" s="88">
        <f>IF($F310="","",'הזנה לתנאי סף'!D310)</f>
        <v>1001273655</v>
      </c>
      <c r="D310" s="88">
        <f>IF($F310="","",'הזנה לתנאי סף'!E310)</f>
        <v>40000564</v>
      </c>
      <c r="E310" s="88">
        <f>IF($F310="","",'הזנה לתנאי סף'!F310)</f>
        <v>20000201</v>
      </c>
      <c r="F310" s="88" t="str">
        <f>IF(OR('הזנה לתנאי סף'!G310="",'הזנה לתנאי סף'!BL310&lt;&gt;1),"",'הזנה לתנאי סף'!G310)</f>
        <v>תל אביב -יפו</v>
      </c>
      <c r="G310" s="88" t="str">
        <f>IF($F310="","",'הזנה לתנאי סף'!H310)</f>
        <v>עמותת הכוריאוגרפים (ע"ר)</v>
      </c>
      <c r="H310" s="88" t="str">
        <f>IF($F310="","",'הזנה לתנאי סף'!I310)</f>
        <v>יוצרים עצמאיים במחול</v>
      </c>
      <c r="I310" s="109">
        <v>166862</v>
      </c>
      <c r="J310" s="213">
        <f>IF($F310="","",'הזנה לתנאי סף'!S310)</f>
        <v>98541</v>
      </c>
      <c r="K310" s="109">
        <v>440</v>
      </c>
      <c r="L310" s="213">
        <f t="shared" si="45"/>
        <v>265843</v>
      </c>
      <c r="M310" s="213">
        <f>IF($F310="","",IF(L310='הזנה לתנאי סף'!R310,1,0))</f>
        <v>1</v>
      </c>
      <c r="N310" s="214">
        <f t="shared" si="46"/>
        <v>0.62767121947916626</v>
      </c>
      <c r="O310" s="214">
        <f t="shared" si="55"/>
        <v>0.37232878052083374</v>
      </c>
      <c r="P310" s="109">
        <v>255616</v>
      </c>
      <c r="Q310" s="213">
        <f>IF($F310="","",IFERROR(IF(P310&gt;0,'פרמטרים לקריטריונים'!$C$25*P310*O310,$AG$2),""))</f>
        <v>28551.958068484033</v>
      </c>
      <c r="R310" s="213">
        <f>IF($F310="","",IFERROR('פרמטרים לקריטריונים'!$C$26*Q310,""))</f>
        <v>7020.97329552886</v>
      </c>
      <c r="S310" s="214">
        <f t="shared" si="47"/>
        <v>1.0405190468562109E-4</v>
      </c>
      <c r="T310" s="213">
        <f t="shared" si="48"/>
        <v>5202.5952342810542</v>
      </c>
      <c r="U310" s="213">
        <f>IF($F310="","",'הזנה לתנאי סף'!N310)</f>
        <v>0</v>
      </c>
      <c r="V310" s="213">
        <f>IF($F310="","",'הזנה לתנאי סף'!O310)</f>
        <v>1</v>
      </c>
      <c r="W310" s="109">
        <v>0</v>
      </c>
      <c r="X310" s="109">
        <v>0</v>
      </c>
      <c r="Y310" s="109">
        <v>1</v>
      </c>
      <c r="Z310" s="214">
        <f t="shared" si="49"/>
        <v>0</v>
      </c>
      <c r="AA310" s="213" t="str">
        <f>IF(OR($F310="",V310=0),"",IF(V310=1,IF(COUNTBLANK(W310:X310)&gt;0,$AG$2,IF(OR(Z310&lt;='פרמטרים לקריטריונים'!$C$27,X310&gt;W310),"",X310-W310))))</f>
        <v/>
      </c>
      <c r="AB310" s="214" t="str">
        <f t="shared" si="53"/>
        <v/>
      </c>
      <c r="AC310" s="225" t="str">
        <f>IF(OR(AB310="",U310=1),"",IF(OR(COUNTBLANK(W310:Y310)&gt;0,AB310&gt;='פרמטרים לקריטריונים'!$E$54),'פרמטרים לקריטריונים'!$F$54,INDEX('פרמטרים לקריטריונים'!$F$49:$F$54,MATCH(AB310,'פרמטרים לקריטריונים'!$E$49:$E$54,1))))</f>
        <v/>
      </c>
      <c r="AD310" s="213" t="str">
        <f t="shared" si="50"/>
        <v/>
      </c>
      <c r="AE310" s="213">
        <f t="shared" si="51"/>
        <v>5202.5952342810542</v>
      </c>
      <c r="AG310" s="175">
        <f t="shared" si="54"/>
        <v>0</v>
      </c>
    </row>
    <row r="311" spans="1:33" ht="15.75" x14ac:dyDescent="0.2">
      <c r="A311" s="206">
        <f t="shared" si="52"/>
        <v>281</v>
      </c>
      <c r="B311" s="88">
        <f>IF($F311="","",'הזנה לתנאי סף'!C311)</f>
        <v>1001348171</v>
      </c>
      <c r="C311" s="88">
        <f>IF($F311="","",'הזנה לתנאי סף'!D311)</f>
        <v>1001273653</v>
      </c>
      <c r="D311" s="88">
        <f>IF($F311="","",'הזנה לתנאי סף'!E311)</f>
        <v>40000564</v>
      </c>
      <c r="E311" s="88">
        <f>IF($F311="","",'הזנה לתנאי סף'!F311)</f>
        <v>20000201</v>
      </c>
      <c r="F311" s="88" t="str">
        <f>IF(OR('הזנה לתנאי סף'!G311="",'הזנה לתנאי סף'!BL311&lt;&gt;1),"",'הזנה לתנאי סף'!G311)</f>
        <v>תל אביב -יפו</v>
      </c>
      <c r="G311" s="88" t="str">
        <f>IF($F311="","",'הזנה לתנאי סף'!H311)</f>
        <v>עמותת הכוריאוגרפים (ע"ר)</v>
      </c>
      <c r="H311" s="88" t="str">
        <f>IF($F311="","",'הזנה לתנאי סף'!I311)</f>
        <v>יוצרים עצמאיים במחול</v>
      </c>
      <c r="I311" s="109">
        <v>88652</v>
      </c>
      <c r="J311" s="213">
        <f>IF($F311="","",'הזנה לתנאי סף'!S311)</f>
        <v>102769</v>
      </c>
      <c r="K311" s="109"/>
      <c r="L311" s="213">
        <f t="shared" si="45"/>
        <v>191421</v>
      </c>
      <c r="M311" s="213">
        <f>IF($F311="","",IF(L311='הזנה לתנאי סף'!R311,1,0))</f>
        <v>1</v>
      </c>
      <c r="N311" s="214">
        <f t="shared" si="46"/>
        <v>0.4631257803480287</v>
      </c>
      <c r="O311" s="214">
        <f t="shared" si="55"/>
        <v>0.53687421965197135</v>
      </c>
      <c r="P311" s="109">
        <v>182896</v>
      </c>
      <c r="Q311" s="213">
        <f>IF($F311="","",IFERROR(IF(P311&gt;0,'פרמטרים לקריטריונים'!$C$25*P311*O311,$AG$2),""))</f>
        <v>29457.644183240085</v>
      </c>
      <c r="R311" s="213">
        <f>IF($F311="","",IFERROR('פרמטרים לקריטריונים'!$C$26*Q311,""))</f>
        <v>7243.6829958787093</v>
      </c>
      <c r="S311" s="214">
        <f t="shared" si="47"/>
        <v>1.0735249671723062E-4</v>
      </c>
      <c r="T311" s="213">
        <f t="shared" si="48"/>
        <v>5367.6248358615312</v>
      </c>
      <c r="U311" s="213">
        <f>IF($F311="","",'הזנה לתנאי סף'!N311)</f>
        <v>0</v>
      </c>
      <c r="V311" s="213">
        <f>IF($F311="","",'הזנה לתנאי סף'!O311)</f>
        <v>1</v>
      </c>
      <c r="W311" s="109">
        <v>0</v>
      </c>
      <c r="X311" s="109">
        <v>0</v>
      </c>
      <c r="Y311" s="109">
        <v>1</v>
      </c>
      <c r="Z311" s="214">
        <f t="shared" si="49"/>
        <v>0</v>
      </c>
      <c r="AA311" s="213" t="str">
        <f>IF(OR($F311="",V311=0),"",IF(V311=1,IF(COUNTBLANK(W311:X311)&gt;0,$AG$2,IF(OR(Z311&lt;='פרמטרים לקריטריונים'!$C$27,X311&gt;W311),"",X311-W311))))</f>
        <v/>
      </c>
      <c r="AB311" s="214" t="str">
        <f t="shared" si="53"/>
        <v/>
      </c>
      <c r="AC311" s="225" t="str">
        <f>IF(OR(AB311="",U311=1),"",IF(OR(COUNTBLANK(W311:Y311)&gt;0,AB311&gt;='פרמטרים לקריטריונים'!$E$54),'פרמטרים לקריטריונים'!$F$54,INDEX('פרמטרים לקריטריונים'!$F$49:$F$54,MATCH(AB311,'פרמטרים לקריטריונים'!$E$49:$E$54,1))))</f>
        <v/>
      </c>
      <c r="AD311" s="213" t="str">
        <f t="shared" si="50"/>
        <v/>
      </c>
      <c r="AE311" s="213">
        <f t="shared" si="51"/>
        <v>5367.6248358615312</v>
      </c>
      <c r="AG311" s="175">
        <f t="shared" si="54"/>
        <v>0</v>
      </c>
    </row>
    <row r="312" spans="1:33" ht="15.75" x14ac:dyDescent="0.2">
      <c r="A312" s="206">
        <f t="shared" si="52"/>
        <v>282</v>
      </c>
      <c r="B312" s="88">
        <f>IF($F312="","",'הזנה לתנאי סף'!C312)</f>
        <v>1001348172</v>
      </c>
      <c r="C312" s="88">
        <f>IF($F312="","",'הזנה לתנאי סף'!D312)</f>
        <v>1001273649</v>
      </c>
      <c r="D312" s="88">
        <f>IF($F312="","",'הזנה לתנאי סף'!E312)</f>
        <v>40000564</v>
      </c>
      <c r="E312" s="88">
        <f>IF($F312="","",'הזנה לתנאי סף'!F312)</f>
        <v>20000201</v>
      </c>
      <c r="F312" s="88" t="str">
        <f>IF(OR('הזנה לתנאי סף'!G312="",'הזנה לתנאי סף'!BL312&lt;&gt;1),"",'הזנה לתנאי סף'!G312)</f>
        <v>תל אביב -יפו</v>
      </c>
      <c r="G312" s="88" t="str">
        <f>IF($F312="","",'הזנה לתנאי סף'!H312)</f>
        <v>עמותת הכוריאוגרפים (ע"ר)</v>
      </c>
      <c r="H312" s="88" t="str">
        <f>IF($F312="","",'הזנה לתנאי סף'!I312)</f>
        <v>יוצרים עצמאיים במחול</v>
      </c>
      <c r="I312" s="109">
        <v>80042</v>
      </c>
      <c r="J312" s="213">
        <f>IF($F312="","",'הזנה לתנאי סף'!S312)</f>
        <v>96928</v>
      </c>
      <c r="K312" s="109"/>
      <c r="L312" s="213">
        <f t="shared" si="45"/>
        <v>176970</v>
      </c>
      <c r="M312" s="213">
        <f>IF($F312="","",IF(L312='הזנה לתנאי סף'!R312,1,0))</f>
        <v>1</v>
      </c>
      <c r="N312" s="214">
        <f t="shared" si="46"/>
        <v>0.45229134881618355</v>
      </c>
      <c r="O312" s="214">
        <f t="shared" si="55"/>
        <v>0.54770865118381651</v>
      </c>
      <c r="P312" s="109">
        <v>142848</v>
      </c>
      <c r="Q312" s="213">
        <f>IF($F312="","",IFERROR(IF(P312&gt;0,'פרמטרים לקריטריונים'!$C$25*P312*O312,$AG$2),""))</f>
        <v>23471.725621291745</v>
      </c>
      <c r="R312" s="213">
        <f>IF($F312="","",IFERROR('פרמטרים לקריטריונים'!$C$26*Q312,""))</f>
        <v>5771.7358085143633</v>
      </c>
      <c r="S312" s="214">
        <f t="shared" si="47"/>
        <v>8.5538012884990634E-5</v>
      </c>
      <c r="T312" s="213">
        <f t="shared" si="48"/>
        <v>4276.900644249532</v>
      </c>
      <c r="U312" s="213">
        <f>IF($F312="","",'הזנה לתנאי סף'!N312)</f>
        <v>0</v>
      </c>
      <c r="V312" s="213">
        <f>IF($F312="","",'הזנה לתנאי סף'!O312)</f>
        <v>1</v>
      </c>
      <c r="W312" s="109">
        <v>0</v>
      </c>
      <c r="X312" s="109">
        <v>0</v>
      </c>
      <c r="Y312" s="109">
        <v>1</v>
      </c>
      <c r="Z312" s="214">
        <f t="shared" si="49"/>
        <v>0</v>
      </c>
      <c r="AA312" s="213" t="str">
        <f>IF(OR($F312="",V312=0),"",IF(V312=1,IF(COUNTBLANK(W312:X312)&gt;0,$AG$2,IF(OR(Z312&lt;='פרמטרים לקריטריונים'!$C$27,X312&gt;W312),"",X312-W312))))</f>
        <v/>
      </c>
      <c r="AB312" s="214" t="str">
        <f t="shared" si="53"/>
        <v/>
      </c>
      <c r="AC312" s="225" t="str">
        <f>IF(OR(AB312="",U312=1),"",IF(OR(COUNTBLANK(W312:Y312)&gt;0,AB312&gt;='פרמטרים לקריטריונים'!$E$54),'פרמטרים לקריטריונים'!$F$54,INDEX('פרמטרים לקריטריונים'!$F$49:$F$54,MATCH(AB312,'פרמטרים לקריטריונים'!$E$49:$E$54,1))))</f>
        <v/>
      </c>
      <c r="AD312" s="213" t="str">
        <f t="shared" si="50"/>
        <v/>
      </c>
      <c r="AE312" s="213">
        <f t="shared" si="51"/>
        <v>4276.900644249532</v>
      </c>
      <c r="AG312" s="175">
        <f t="shared" si="54"/>
        <v>0</v>
      </c>
    </row>
    <row r="313" spans="1:33" ht="15.75" x14ac:dyDescent="0.2">
      <c r="A313" s="206">
        <f t="shared" si="52"/>
        <v>283</v>
      </c>
      <c r="B313" s="88">
        <f>IF($F313="","",'הזנה לתנאי סף'!C313)</f>
        <v>1001348173</v>
      </c>
      <c r="C313" s="88">
        <f>IF($F313="","",'הזנה לתנאי סף'!D313)</f>
        <v>1001273634</v>
      </c>
      <c r="D313" s="88">
        <f>IF($F313="","",'הזנה לתנאי סף'!E313)</f>
        <v>40000564</v>
      </c>
      <c r="E313" s="88">
        <f>IF($F313="","",'הזנה לתנאי סף'!F313)</f>
        <v>20000201</v>
      </c>
      <c r="F313" s="88" t="str">
        <f>IF(OR('הזנה לתנאי סף'!G313="",'הזנה לתנאי סף'!BL313&lt;&gt;1),"",'הזנה לתנאי סף'!G313)</f>
        <v>תל אביב -יפו</v>
      </c>
      <c r="G313" s="88" t="str">
        <f>IF($F313="","",'הזנה לתנאי סף'!H313)</f>
        <v>עמותת הכוריאוגרפים (ע"ר)</v>
      </c>
      <c r="H313" s="88" t="str">
        <f>IF($F313="","",'הזנה לתנאי סף'!I313)</f>
        <v>יוצרים עצמאיים במחול</v>
      </c>
      <c r="I313" s="109">
        <v>144434</v>
      </c>
      <c r="J313" s="213">
        <f>IF($F313="","",'הזנה לתנאי סף'!S313)</f>
        <v>115222</v>
      </c>
      <c r="K313" s="109"/>
      <c r="L313" s="213">
        <f t="shared" si="45"/>
        <v>259656</v>
      </c>
      <c r="M313" s="213">
        <f>IF($F313="","",IF(L313='הזנה לתנאי סף'!R313,1,0))</f>
        <v>1</v>
      </c>
      <c r="N313" s="214">
        <f t="shared" si="46"/>
        <v>0.55625134793727082</v>
      </c>
      <c r="O313" s="214">
        <f t="shared" si="55"/>
        <v>0.44374865206272918</v>
      </c>
      <c r="P313" s="109">
        <v>230325</v>
      </c>
      <c r="Q313" s="213">
        <f>IF($F313="","",IFERROR(IF(P313&gt;0,'פרמטרים לקריטריונים'!$C$25*P313*O313,$AG$2),""))</f>
        <v>30661.92248590443</v>
      </c>
      <c r="R313" s="213">
        <f>IF($F313="","",IFERROR('פרמטרים לקריטריונים'!$C$26*Q313,""))</f>
        <v>7539.8170047305975</v>
      </c>
      <c r="S313" s="214">
        <f t="shared" si="47"/>
        <v>1.1174124829998485E-4</v>
      </c>
      <c r="T313" s="213">
        <f t="shared" si="48"/>
        <v>5587.0624149992427</v>
      </c>
      <c r="U313" s="213">
        <f>IF($F313="","",'הזנה לתנאי סף'!N313)</f>
        <v>0</v>
      </c>
      <c r="V313" s="213">
        <f>IF($F313="","",'הזנה לתנאי סף'!O313)</f>
        <v>1</v>
      </c>
      <c r="W313" s="109">
        <v>0</v>
      </c>
      <c r="X313" s="109">
        <v>0</v>
      </c>
      <c r="Y313" s="109">
        <v>1</v>
      </c>
      <c r="Z313" s="214">
        <f t="shared" si="49"/>
        <v>0</v>
      </c>
      <c r="AA313" s="213" t="str">
        <f>IF(OR($F313="",V313=0),"",IF(V313=1,IF(COUNTBLANK(W313:X313)&gt;0,$AG$2,IF(OR(Z313&lt;='פרמטרים לקריטריונים'!$C$27,X313&gt;W313),"",X313-W313))))</f>
        <v/>
      </c>
      <c r="AB313" s="214" t="str">
        <f t="shared" si="53"/>
        <v/>
      </c>
      <c r="AC313" s="225" t="str">
        <f>IF(OR(AB313="",U313=1),"",IF(OR(COUNTBLANK(W313:Y313)&gt;0,AB313&gt;='פרמטרים לקריטריונים'!$E$54),'פרמטרים לקריטריונים'!$F$54,INDEX('פרמטרים לקריטריונים'!$F$49:$F$54,MATCH(AB313,'פרמטרים לקריטריונים'!$E$49:$E$54,1))))</f>
        <v/>
      </c>
      <c r="AD313" s="213" t="str">
        <f t="shared" si="50"/>
        <v/>
      </c>
      <c r="AE313" s="213">
        <f t="shared" si="51"/>
        <v>5587.0624149992427</v>
      </c>
      <c r="AG313" s="175">
        <f t="shared" si="54"/>
        <v>0</v>
      </c>
    </row>
    <row r="314" spans="1:33" ht="15.75" x14ac:dyDescent="0.2">
      <c r="A314" s="206">
        <f t="shared" si="52"/>
        <v>284</v>
      </c>
      <c r="B314" s="88">
        <f>IF($F314="","",'הזנה לתנאי סף'!C314)</f>
        <v>1001348174</v>
      </c>
      <c r="C314" s="88">
        <f>IF($F314="","",'הזנה לתנאי סף'!D314)</f>
        <v>1001273636</v>
      </c>
      <c r="D314" s="88">
        <f>IF($F314="","",'הזנה לתנאי סף'!E314)</f>
        <v>40000564</v>
      </c>
      <c r="E314" s="88">
        <f>IF($F314="","",'הזנה לתנאי סף'!F314)</f>
        <v>20000201</v>
      </c>
      <c r="F314" s="88" t="str">
        <f>IF(OR('הזנה לתנאי סף'!G314="",'הזנה לתנאי סף'!BL314&lt;&gt;1),"",'הזנה לתנאי סף'!G314)</f>
        <v>תל אביב -יפו</v>
      </c>
      <c r="G314" s="88" t="str">
        <f>IF($F314="","",'הזנה לתנאי סף'!H314)</f>
        <v>עמותת הכוריאוגרפים (ע"ר)</v>
      </c>
      <c r="H314" s="88" t="str">
        <f>IF($F314="","",'הזנה לתנאי סף'!I314)</f>
        <v>יוצרים עצמאיים במחול</v>
      </c>
      <c r="I314" s="109">
        <v>141618</v>
      </c>
      <c r="J314" s="213">
        <f>IF($F314="","",'הזנה לתנאי סף'!S314)</f>
        <v>74574</v>
      </c>
      <c r="K314" s="109"/>
      <c r="L314" s="213">
        <f t="shared" si="45"/>
        <v>216192</v>
      </c>
      <c r="M314" s="213">
        <f>IF($F314="","",IF(L314='הזנה לתנאי סף'!R314,1,0))</f>
        <v>1</v>
      </c>
      <c r="N314" s="214">
        <f t="shared" si="46"/>
        <v>0.65505661634103018</v>
      </c>
      <c r="O314" s="214">
        <f t="shared" si="55"/>
        <v>0.34494338365896982</v>
      </c>
      <c r="P314" s="109">
        <v>213968</v>
      </c>
      <c r="Q314" s="213">
        <f>IF($F314="","",IFERROR(IF(P314&gt;0,'פרמטרים לקריטריונים'!$C$25*P314*O314,$AG$2),""))</f>
        <v>22142.053774422733</v>
      </c>
      <c r="R314" s="213">
        <f>IF($F314="","",IFERROR('פרמטרים לקריטריונים'!$C$26*Q314,""))</f>
        <v>5444.7673215793602</v>
      </c>
      <c r="S314" s="214">
        <f t="shared" si="47"/>
        <v>8.0692289591978171E-5</v>
      </c>
      <c r="T314" s="213">
        <f t="shared" si="48"/>
        <v>4034.6144795989085</v>
      </c>
      <c r="U314" s="213">
        <f>IF($F314="","",'הזנה לתנאי סף'!N314)</f>
        <v>0</v>
      </c>
      <c r="V314" s="213">
        <f>IF($F314="","",'הזנה לתנאי סף'!O314)</f>
        <v>1</v>
      </c>
      <c r="W314" s="109">
        <v>0</v>
      </c>
      <c r="X314" s="109">
        <v>0</v>
      </c>
      <c r="Y314" s="109">
        <v>1</v>
      </c>
      <c r="Z314" s="214">
        <f t="shared" si="49"/>
        <v>0</v>
      </c>
      <c r="AA314" s="213" t="str">
        <f>IF(OR($F314="",V314=0),"",IF(V314=1,IF(COUNTBLANK(W314:X314)&gt;0,$AG$2,IF(OR(Z314&lt;='פרמטרים לקריטריונים'!$C$27,X314&gt;W314),"",X314-W314))))</f>
        <v/>
      </c>
      <c r="AB314" s="214" t="str">
        <f t="shared" si="53"/>
        <v/>
      </c>
      <c r="AC314" s="225" t="str">
        <f>IF(OR(AB314="",U314=1),"",IF(OR(COUNTBLANK(W314:Y314)&gt;0,AB314&gt;='פרמטרים לקריטריונים'!$E$54),'פרמטרים לקריטריונים'!$F$54,INDEX('פרמטרים לקריטריונים'!$F$49:$F$54,MATCH(AB314,'פרמטרים לקריטריונים'!$E$49:$E$54,1))))</f>
        <v/>
      </c>
      <c r="AD314" s="213" t="str">
        <f t="shared" si="50"/>
        <v/>
      </c>
      <c r="AE314" s="213">
        <f t="shared" si="51"/>
        <v>4034.6144795989085</v>
      </c>
      <c r="AG314" s="175">
        <f t="shared" si="54"/>
        <v>0</v>
      </c>
    </row>
    <row r="315" spans="1:33" ht="15.75" x14ac:dyDescent="0.2">
      <c r="A315" s="206">
        <f t="shared" si="52"/>
        <v>285</v>
      </c>
      <c r="B315" s="88">
        <f>IF($F315="","",'הזנה לתנאי סף'!C315)</f>
        <v>1001348175</v>
      </c>
      <c r="C315" s="88">
        <f>IF($F315="","",'הזנה לתנאי סף'!D315)</f>
        <v>1001273638</v>
      </c>
      <c r="D315" s="88">
        <f>IF($F315="","",'הזנה לתנאי סף'!E315)</f>
        <v>40000564</v>
      </c>
      <c r="E315" s="88">
        <f>IF($F315="","",'הזנה לתנאי סף'!F315)</f>
        <v>20000201</v>
      </c>
      <c r="F315" s="88" t="str">
        <f>IF(OR('הזנה לתנאי סף'!G315="",'הזנה לתנאי סף'!BL315&lt;&gt;1),"",'הזנה לתנאי סף'!G315)</f>
        <v>תל אביב -יפו</v>
      </c>
      <c r="G315" s="88" t="str">
        <f>IF($F315="","",'הזנה לתנאי סף'!H315)</f>
        <v>עמותת הכוריאוגרפים (ע"ר)</v>
      </c>
      <c r="H315" s="88" t="str">
        <f>IF($F315="","",'הזנה לתנאי סף'!I315)</f>
        <v>יוצרים עצמאיים במחול</v>
      </c>
      <c r="I315" s="109">
        <v>213945</v>
      </c>
      <c r="J315" s="213">
        <f>IF($F315="","",'הזנה לתנאי סף'!S315)</f>
        <v>175215</v>
      </c>
      <c r="K315" s="109"/>
      <c r="L315" s="213">
        <f t="shared" si="45"/>
        <v>389160</v>
      </c>
      <c r="M315" s="213">
        <f>IF($F315="","",IF(L315='הזנה לתנאי סף'!R315,1,0))</f>
        <v>1</v>
      </c>
      <c r="N315" s="214">
        <f t="shared" si="46"/>
        <v>0.54976102374344737</v>
      </c>
      <c r="O315" s="214">
        <f t="shared" si="55"/>
        <v>0.45023897625655263</v>
      </c>
      <c r="P315" s="109">
        <v>413701</v>
      </c>
      <c r="Q315" s="213">
        <f>IF($F315="","",IFERROR(IF(P315&gt;0,'פרמטרים לקריטריונים'!$C$25*P315*O315,$AG$2),""))</f>
        <v>55879.294414893615</v>
      </c>
      <c r="R315" s="213">
        <f>IF($F315="","",IFERROR('פרמטרים לקריטריונים'!$C$26*Q315,""))</f>
        <v>13740.810102023021</v>
      </c>
      <c r="S315" s="214">
        <f t="shared" si="47"/>
        <v>2.0364092026235536E-4</v>
      </c>
      <c r="T315" s="213">
        <f t="shared" si="48"/>
        <v>10182.046013117768</v>
      </c>
      <c r="U315" s="213">
        <f>IF($F315="","",'הזנה לתנאי סף'!N315)</f>
        <v>0</v>
      </c>
      <c r="V315" s="213">
        <f>IF($F315="","",'הזנה לתנאי סף'!O315)</f>
        <v>1</v>
      </c>
      <c r="W315" s="109">
        <v>0</v>
      </c>
      <c r="X315" s="109">
        <v>0</v>
      </c>
      <c r="Y315" s="109">
        <v>1</v>
      </c>
      <c r="Z315" s="214">
        <f t="shared" si="49"/>
        <v>0</v>
      </c>
      <c r="AA315" s="213" t="str">
        <f>IF(OR($F315="",V315=0),"",IF(V315=1,IF(COUNTBLANK(W315:X315)&gt;0,$AG$2,IF(OR(Z315&lt;='פרמטרים לקריטריונים'!$C$27,X315&gt;W315),"",X315-W315))))</f>
        <v/>
      </c>
      <c r="AB315" s="214" t="str">
        <f t="shared" si="53"/>
        <v/>
      </c>
      <c r="AC315" s="225" t="str">
        <f>IF(OR(AB315="",U315=1),"",IF(OR(COUNTBLANK(W315:Y315)&gt;0,AB315&gt;='פרמטרים לקריטריונים'!$E$54),'פרמטרים לקריטריונים'!$F$54,INDEX('פרמטרים לקריטריונים'!$F$49:$F$54,MATCH(AB315,'פרמטרים לקריטריונים'!$E$49:$E$54,1))))</f>
        <v/>
      </c>
      <c r="AD315" s="213" t="str">
        <f t="shared" si="50"/>
        <v/>
      </c>
      <c r="AE315" s="213">
        <f t="shared" si="51"/>
        <v>10182.046013117768</v>
      </c>
      <c r="AG315" s="175">
        <f t="shared" si="54"/>
        <v>0</v>
      </c>
    </row>
    <row r="316" spans="1:33" ht="15.75" x14ac:dyDescent="0.2">
      <c r="A316" s="206">
        <f t="shared" si="52"/>
        <v>286</v>
      </c>
      <c r="B316" s="88">
        <f>IF($F316="","",'הזנה לתנאי סף'!C316)</f>
        <v>1001348176</v>
      </c>
      <c r="C316" s="88">
        <f>IF($F316="","",'הזנה לתנאי סף'!D316)</f>
        <v>1001273641</v>
      </c>
      <c r="D316" s="88">
        <f>IF($F316="","",'הזנה לתנאי סף'!E316)</f>
        <v>40000564</v>
      </c>
      <c r="E316" s="88">
        <f>IF($F316="","",'הזנה לתנאי סף'!F316)</f>
        <v>20000201</v>
      </c>
      <c r="F316" s="88" t="str">
        <f>IF(OR('הזנה לתנאי סף'!G316="",'הזנה לתנאי סף'!BL316&lt;&gt;1),"",'הזנה לתנאי סף'!G316)</f>
        <v>תל אביב -יפו</v>
      </c>
      <c r="G316" s="88" t="str">
        <f>IF($F316="","",'הזנה לתנאי סף'!H316)</f>
        <v>עמותת הכוריאוגרפים (ע"ר)</v>
      </c>
      <c r="H316" s="88" t="str">
        <f>IF($F316="","",'הזנה לתנאי סף'!I316)</f>
        <v>יוצרים עצמאיים במחול</v>
      </c>
      <c r="I316" s="109">
        <v>98318</v>
      </c>
      <c r="J316" s="213">
        <f>IF($F316="","",'הזנה לתנאי סף'!S316)</f>
        <v>179529</v>
      </c>
      <c r="K316" s="109"/>
      <c r="L316" s="213">
        <f t="shared" si="45"/>
        <v>277847</v>
      </c>
      <c r="M316" s="213">
        <f>IF($F316="","",IF(L316='הזנה לתנאי סף'!R316,1,0))</f>
        <v>1</v>
      </c>
      <c r="N316" s="214">
        <f t="shared" si="46"/>
        <v>0.35385661893056253</v>
      </c>
      <c r="O316" s="214">
        <f t="shared" si="55"/>
        <v>0.64614338106943747</v>
      </c>
      <c r="P316" s="109">
        <v>246902</v>
      </c>
      <c r="Q316" s="213">
        <f>IF($F316="","",IFERROR(IF(P316&gt;0,'פרמטרים לקריטריונים'!$C$25*P316*O316,$AG$2),""))</f>
        <v>47860.22792184187</v>
      </c>
      <c r="R316" s="213">
        <f>IF($F316="","",IFERROR('פרמטרים לקריטריונים'!$C$26*Q316,""))</f>
        <v>11768.908505370951</v>
      </c>
      <c r="S316" s="214">
        <f t="shared" si="47"/>
        <v>1.744170351473202E-4</v>
      </c>
      <c r="T316" s="213">
        <f t="shared" si="48"/>
        <v>8720.8517573660101</v>
      </c>
      <c r="U316" s="213">
        <f>IF($F316="","",'הזנה לתנאי סף'!N316)</f>
        <v>0</v>
      </c>
      <c r="V316" s="213">
        <f>IF($F316="","",'הזנה לתנאי סף'!O316)</f>
        <v>1</v>
      </c>
      <c r="W316" s="109">
        <v>0</v>
      </c>
      <c r="X316" s="109">
        <v>0</v>
      </c>
      <c r="Y316" s="109">
        <v>1</v>
      </c>
      <c r="Z316" s="214">
        <f t="shared" si="49"/>
        <v>0</v>
      </c>
      <c r="AA316" s="213" t="str">
        <f>IF(OR($F316="",V316=0),"",IF(V316=1,IF(COUNTBLANK(W316:X316)&gt;0,$AG$2,IF(OR(Z316&lt;='פרמטרים לקריטריונים'!$C$27,X316&gt;W316),"",X316-W316))))</f>
        <v/>
      </c>
      <c r="AB316" s="214" t="str">
        <f t="shared" si="53"/>
        <v/>
      </c>
      <c r="AC316" s="225" t="str">
        <f>IF(OR(AB316="",U316=1),"",IF(OR(COUNTBLANK(W316:Y316)&gt;0,AB316&gt;='פרמטרים לקריטריונים'!$E$54),'פרמטרים לקריטריונים'!$F$54,INDEX('פרמטרים לקריטריונים'!$F$49:$F$54,MATCH(AB316,'פרמטרים לקריטריונים'!$E$49:$E$54,1))))</f>
        <v/>
      </c>
      <c r="AD316" s="213" t="str">
        <f t="shared" si="50"/>
        <v/>
      </c>
      <c r="AE316" s="213">
        <f t="shared" si="51"/>
        <v>8720.8517573660101</v>
      </c>
      <c r="AG316" s="175">
        <f t="shared" si="54"/>
        <v>0</v>
      </c>
    </row>
    <row r="317" spans="1:33" ht="15.75" x14ac:dyDescent="0.2">
      <c r="A317" s="206">
        <f t="shared" si="52"/>
        <v>287</v>
      </c>
      <c r="B317" s="88">
        <f>IF($F317="","",'הזנה לתנאי סף'!C317)</f>
        <v>1001348177</v>
      </c>
      <c r="C317" s="88">
        <f>IF($F317="","",'הזנה לתנאי סף'!D317)</f>
        <v>1001273591</v>
      </c>
      <c r="D317" s="88">
        <f>IF($F317="","",'הזנה לתנאי סף'!E317)</f>
        <v>40000564</v>
      </c>
      <c r="E317" s="88">
        <f>IF($F317="","",'הזנה לתנאי סף'!F317)</f>
        <v>20000201</v>
      </c>
      <c r="F317" s="88" t="str">
        <f>IF(OR('הזנה לתנאי סף'!G317="",'הזנה לתנאי סף'!BL317&lt;&gt;1),"",'הזנה לתנאי סף'!G317)</f>
        <v>תל אביב -יפו</v>
      </c>
      <c r="G317" s="88" t="str">
        <f>IF($F317="","",'הזנה לתנאי סף'!H317)</f>
        <v>עמותת הכוריאוגרפים (ע"ר)</v>
      </c>
      <c r="H317" s="88" t="str">
        <f>IF($F317="","",'הזנה לתנאי סף'!I317)</f>
        <v>יוצרים עצמאיים במחול</v>
      </c>
      <c r="I317" s="109">
        <v>23275</v>
      </c>
      <c r="J317" s="213">
        <f>IF($F317="","",'הזנה לתנאי סף'!S317)</f>
        <v>55622</v>
      </c>
      <c r="K317" s="109"/>
      <c r="L317" s="213">
        <f t="shared" si="45"/>
        <v>78897</v>
      </c>
      <c r="M317" s="213">
        <f>IF($F317="","",IF(L317='הזנה לתנאי סף'!R317,1,0))</f>
        <v>1</v>
      </c>
      <c r="N317" s="214">
        <f t="shared" si="46"/>
        <v>0.29500487977996631</v>
      </c>
      <c r="O317" s="214">
        <f t="shared" si="55"/>
        <v>0.70499512022003374</v>
      </c>
      <c r="P317" s="109">
        <v>61914</v>
      </c>
      <c r="Q317" s="213">
        <f>IF($F317="","",IFERROR(IF(P317&gt;0,'פרמטרים לקריטריונים'!$C$25*P317*O317,$AG$2),""))</f>
        <v>13094.720361990951</v>
      </c>
      <c r="R317" s="213">
        <f>IF($F317="","",IFERROR('פרמטרים לקריטריונים'!$C$26*Q317,""))</f>
        <v>3220.0132037682665</v>
      </c>
      <c r="S317" s="214">
        <f t="shared" si="47"/>
        <v>4.7721091202313042E-5</v>
      </c>
      <c r="T317" s="213">
        <f t="shared" si="48"/>
        <v>2386.0545601156523</v>
      </c>
      <c r="U317" s="213">
        <f>IF($F317="","",'הזנה לתנאי סף'!N317)</f>
        <v>0</v>
      </c>
      <c r="V317" s="213">
        <f>IF($F317="","",'הזנה לתנאי סף'!O317)</f>
        <v>1</v>
      </c>
      <c r="W317" s="109">
        <v>0</v>
      </c>
      <c r="X317" s="109">
        <v>0</v>
      </c>
      <c r="Y317" s="109">
        <v>1</v>
      </c>
      <c r="Z317" s="214">
        <f t="shared" si="49"/>
        <v>0</v>
      </c>
      <c r="AA317" s="213" t="str">
        <f>IF(OR($F317="",V317=0),"",IF(V317=1,IF(COUNTBLANK(W317:X317)&gt;0,$AG$2,IF(OR(Z317&lt;='פרמטרים לקריטריונים'!$C$27,X317&gt;W317),"",X317-W317))))</f>
        <v/>
      </c>
      <c r="AB317" s="214" t="str">
        <f t="shared" si="53"/>
        <v/>
      </c>
      <c r="AC317" s="225" t="str">
        <f>IF(OR(AB317="",U317=1),"",IF(OR(COUNTBLANK(W317:Y317)&gt;0,AB317&gt;='פרמטרים לקריטריונים'!$E$54),'פרמטרים לקריטריונים'!$F$54,INDEX('פרמטרים לקריטריונים'!$F$49:$F$54,MATCH(AB317,'פרמטרים לקריטריונים'!$E$49:$E$54,1))))</f>
        <v/>
      </c>
      <c r="AD317" s="213" t="str">
        <f t="shared" si="50"/>
        <v/>
      </c>
      <c r="AE317" s="213">
        <f t="shared" si="51"/>
        <v>2386.0545601156523</v>
      </c>
      <c r="AG317" s="175">
        <f t="shared" si="54"/>
        <v>0</v>
      </c>
    </row>
    <row r="318" spans="1:33" ht="15.75" x14ac:dyDescent="0.2">
      <c r="A318" s="206">
        <f t="shared" si="52"/>
        <v>288</v>
      </c>
      <c r="B318" s="88">
        <f>IF($F318="","",'הזנה לתנאי סף'!C318)</f>
        <v>1001348178</v>
      </c>
      <c r="C318" s="88">
        <f>IF($F318="","",'הזנה לתנאי סף'!D318)</f>
        <v>1001273593</v>
      </c>
      <c r="D318" s="88">
        <f>IF($F318="","",'הזנה לתנאי סף'!E318)</f>
        <v>40000564</v>
      </c>
      <c r="E318" s="88">
        <f>IF($F318="","",'הזנה לתנאי סף'!F318)</f>
        <v>20000201</v>
      </c>
      <c r="F318" s="88" t="str">
        <f>IF(OR('הזנה לתנאי סף'!G318="",'הזנה לתנאי סף'!BL318&lt;&gt;1),"",'הזנה לתנאי סף'!G318)</f>
        <v>תל אביב -יפו</v>
      </c>
      <c r="G318" s="88" t="str">
        <f>IF($F318="","",'הזנה לתנאי סף'!H318)</f>
        <v>עמותת הכוריאוגרפים (ע"ר)</v>
      </c>
      <c r="H318" s="88" t="str">
        <f>IF($F318="","",'הזנה לתנאי סף'!I318)</f>
        <v>יוצרים עצמאיים במחול</v>
      </c>
      <c r="I318" s="109">
        <v>107253</v>
      </c>
      <c r="J318" s="213">
        <f>IF($F318="","",'הזנה לתנאי סף'!S318)</f>
        <v>155738</v>
      </c>
      <c r="K318" s="109"/>
      <c r="L318" s="213">
        <f t="shared" si="45"/>
        <v>262991</v>
      </c>
      <c r="M318" s="213">
        <f>IF($F318="","",IF(L318='הזנה לתנאי סף'!R318,1,0))</f>
        <v>1</v>
      </c>
      <c r="N318" s="214">
        <f t="shared" si="46"/>
        <v>0.40782003946903128</v>
      </c>
      <c r="O318" s="214">
        <f t="shared" si="55"/>
        <v>0.59217996053096877</v>
      </c>
      <c r="P318" s="109">
        <v>262231</v>
      </c>
      <c r="Q318" s="213">
        <f>IF($F318="","",IFERROR(IF(P318&gt;0,'פרמטרים לקריטריונים'!$C$25*P318*O318,$AG$2),""))</f>
        <v>46586.382968998943</v>
      </c>
      <c r="R318" s="213">
        <f>IF($F318="","",IFERROR('פרמטרים לקריטריונים'!$C$26*Q318,""))</f>
        <v>11455.667943196462</v>
      </c>
      <c r="S318" s="214">
        <f t="shared" si="47"/>
        <v>1.6977476181182603E-4</v>
      </c>
      <c r="T318" s="213">
        <f t="shared" si="48"/>
        <v>8488.7380905913014</v>
      </c>
      <c r="U318" s="213">
        <f>IF($F318="","",'הזנה לתנאי סף'!N318)</f>
        <v>0</v>
      </c>
      <c r="V318" s="213">
        <f>IF($F318="","",'הזנה לתנאי סף'!O318)</f>
        <v>1</v>
      </c>
      <c r="W318" s="109">
        <v>0</v>
      </c>
      <c r="X318" s="109">
        <v>0</v>
      </c>
      <c r="Y318" s="109">
        <v>1</v>
      </c>
      <c r="Z318" s="214">
        <f t="shared" si="49"/>
        <v>0</v>
      </c>
      <c r="AA318" s="213" t="str">
        <f>IF(OR($F318="",V318=0),"",IF(V318=1,IF(COUNTBLANK(W318:X318)&gt;0,$AG$2,IF(OR(Z318&lt;='פרמטרים לקריטריונים'!$C$27,X318&gt;W318),"",X318-W318))))</f>
        <v/>
      </c>
      <c r="AB318" s="214" t="str">
        <f t="shared" si="53"/>
        <v/>
      </c>
      <c r="AC318" s="225" t="str">
        <f>IF(OR(AB318="",U318=1),"",IF(OR(COUNTBLANK(W318:Y318)&gt;0,AB318&gt;='פרמטרים לקריטריונים'!$E$54),'פרמטרים לקריטריונים'!$F$54,INDEX('פרמטרים לקריטריונים'!$F$49:$F$54,MATCH(AB318,'פרמטרים לקריטריונים'!$E$49:$E$54,1))))</f>
        <v/>
      </c>
      <c r="AD318" s="213" t="str">
        <f t="shared" si="50"/>
        <v/>
      </c>
      <c r="AE318" s="213">
        <f t="shared" si="51"/>
        <v>8488.7380905913014</v>
      </c>
      <c r="AG318" s="175">
        <f t="shared" si="54"/>
        <v>0</v>
      </c>
    </row>
    <row r="319" spans="1:33" ht="15.75" x14ac:dyDescent="0.2">
      <c r="A319" s="206">
        <f t="shared" si="52"/>
        <v>289</v>
      </c>
      <c r="B319" s="88">
        <f>IF($F319="","",'הזנה לתנאי סף'!C319)</f>
        <v>1001348197</v>
      </c>
      <c r="C319" s="88">
        <f>IF($F319="","",'הזנה לתנאי סף'!D319)</f>
        <v>1001273523</v>
      </c>
      <c r="D319" s="88">
        <f>IF($F319="","",'הזנה לתנאי סף'!E319)</f>
        <v>40000564</v>
      </c>
      <c r="E319" s="88">
        <f>IF($F319="","",'הזנה לתנאי סף'!F319)</f>
        <v>20000201</v>
      </c>
      <c r="F319" s="88" t="str">
        <f>IF(OR('הזנה לתנאי סף'!G319="",'הזנה לתנאי סף'!BL319&lt;&gt;1),"",'הזנה לתנאי סף'!G319)</f>
        <v>תל אביב -יפו</v>
      </c>
      <c r="G319" s="88" t="str">
        <f>IF($F319="","",'הזנה לתנאי סף'!H319)</f>
        <v>עמותת הכוריאוגרפים (ע"ר)</v>
      </c>
      <c r="H319" s="88" t="str">
        <f>IF($F319="","",'הזנה לתנאי סף'!I319)</f>
        <v>יוצרים עצמאיים במחול</v>
      </c>
      <c r="I319" s="109">
        <v>55565</v>
      </c>
      <c r="J319" s="213">
        <f>IF($F319="","",'הזנה לתנאי סף'!S319)</f>
        <v>218181</v>
      </c>
      <c r="K319" s="109"/>
      <c r="L319" s="213">
        <f t="shared" si="45"/>
        <v>273746</v>
      </c>
      <c r="M319" s="213">
        <f>IF($F319="","",IF(L319='הזנה לתנאי סף'!R319,1,0))</f>
        <v>1</v>
      </c>
      <c r="N319" s="214">
        <f t="shared" si="46"/>
        <v>0.2029801348695506</v>
      </c>
      <c r="O319" s="214">
        <f t="shared" si="55"/>
        <v>0.79701986513044942</v>
      </c>
      <c r="P319" s="109">
        <v>258183</v>
      </c>
      <c r="Q319" s="213">
        <f>IF($F319="","",IFERROR(IF(P319&gt;0,'פרמטרים לקריטריונים'!$C$25*P319*O319,$AG$2),""))</f>
        <v>61733.093951692441</v>
      </c>
      <c r="R319" s="213">
        <f>IF($F319="","",IFERROR('פרמטרים לקריטריונים'!$C$26*Q319,""))</f>
        <v>15180.269004514534</v>
      </c>
      <c r="S319" s="214">
        <f t="shared" si="47"/>
        <v>2.2497392271321191E-4</v>
      </c>
      <c r="T319" s="213">
        <f t="shared" si="48"/>
        <v>11248.696135660595</v>
      </c>
      <c r="U319" s="213">
        <f>IF($F319="","",'הזנה לתנאי סף'!N319)</f>
        <v>0</v>
      </c>
      <c r="V319" s="213">
        <f>IF($F319="","",'הזנה לתנאי סף'!O319)</f>
        <v>1</v>
      </c>
      <c r="W319" s="109">
        <v>0</v>
      </c>
      <c r="X319" s="109">
        <v>0</v>
      </c>
      <c r="Y319" s="109">
        <v>1</v>
      </c>
      <c r="Z319" s="214">
        <f t="shared" si="49"/>
        <v>0</v>
      </c>
      <c r="AA319" s="213" t="str">
        <f>IF(OR($F319="",V319=0),"",IF(V319=1,IF(COUNTBLANK(W319:X319)&gt;0,$AG$2,IF(OR(Z319&lt;='פרמטרים לקריטריונים'!$C$27,X319&gt;W319),"",X319-W319))))</f>
        <v/>
      </c>
      <c r="AB319" s="214" t="str">
        <f t="shared" si="53"/>
        <v/>
      </c>
      <c r="AC319" s="225" t="str">
        <f>IF(OR(AB319="",U319=1),"",IF(OR(COUNTBLANK(W319:Y319)&gt;0,AB319&gt;='פרמטרים לקריטריונים'!$E$54),'פרמטרים לקריטריונים'!$F$54,INDEX('פרמטרים לקריטריונים'!$F$49:$F$54,MATCH(AB319,'פרמטרים לקריטריונים'!$E$49:$E$54,1))))</f>
        <v/>
      </c>
      <c r="AD319" s="213" t="str">
        <f t="shared" si="50"/>
        <v/>
      </c>
      <c r="AE319" s="213">
        <f t="shared" si="51"/>
        <v>11248.696135660595</v>
      </c>
      <c r="AG319" s="175">
        <f t="shared" si="54"/>
        <v>0</v>
      </c>
    </row>
    <row r="320" spans="1:33" ht="15.75" x14ac:dyDescent="0.2">
      <c r="A320" s="206">
        <f t="shared" si="52"/>
        <v>290</v>
      </c>
      <c r="B320" s="88">
        <f>IF($F320="","",'הזנה לתנאי סף'!C320)</f>
        <v>1001348198</v>
      </c>
      <c r="C320" s="88">
        <f>IF($F320="","",'הזנה לתנאי סף'!D320)</f>
        <v>1001273524</v>
      </c>
      <c r="D320" s="88">
        <f>IF($F320="","",'הזנה לתנאי סף'!E320)</f>
        <v>40000564</v>
      </c>
      <c r="E320" s="88">
        <f>IF($F320="","",'הזנה לתנאי סף'!F320)</f>
        <v>20000201</v>
      </c>
      <c r="F320" s="88" t="str">
        <f>IF(OR('הזנה לתנאי סף'!G320="",'הזנה לתנאי סף'!BL320&lt;&gt;1),"",'הזנה לתנאי סף'!G320)</f>
        <v>תל אביב -יפו</v>
      </c>
      <c r="G320" s="88" t="str">
        <f>IF($F320="","",'הזנה לתנאי סף'!H320)</f>
        <v>עמותת הכוריאוגרפים (ע"ר)</v>
      </c>
      <c r="H320" s="88" t="str">
        <f>IF($F320="","",'הזנה לתנאי סף'!I320)</f>
        <v>יוצרים עצמאיים במחול</v>
      </c>
      <c r="I320" s="109">
        <v>71548</v>
      </c>
      <c r="J320" s="213">
        <f>IF($F320="","",'הזנה לתנאי סף'!S320)</f>
        <v>153225</v>
      </c>
      <c r="K320" s="109"/>
      <c r="L320" s="213">
        <f t="shared" si="45"/>
        <v>224773</v>
      </c>
      <c r="M320" s="213">
        <f>IF($F320="","",IF(L320='הזנה לתנאי סף'!R320,1,0))</f>
        <v>1</v>
      </c>
      <c r="N320" s="214">
        <f t="shared" si="46"/>
        <v>0.31831225280616443</v>
      </c>
      <c r="O320" s="214">
        <f t="shared" si="55"/>
        <v>0.68168774719383562</v>
      </c>
      <c r="P320" s="109">
        <v>224816</v>
      </c>
      <c r="Q320" s="213">
        <f>IF($F320="","",IFERROR(IF(P320&gt;0,'פרמטרים לקריטריונים'!$C$25*P320*O320,$AG$2),""))</f>
        <v>45976.293771938806</v>
      </c>
      <c r="R320" s="213">
        <f>IF($F320="","",IFERROR('פרמטרים לקריטריונים'!$C$26*Q320,""))</f>
        <v>11305.646009493148</v>
      </c>
      <c r="S320" s="214">
        <f t="shared" si="47"/>
        <v>1.6755141366771745E-4</v>
      </c>
      <c r="T320" s="213">
        <f t="shared" si="48"/>
        <v>8377.5706833858731</v>
      </c>
      <c r="U320" s="213">
        <f>IF($F320="","",'הזנה לתנאי סף'!N320)</f>
        <v>0</v>
      </c>
      <c r="V320" s="213">
        <f>IF($F320="","",'הזנה לתנאי סף'!O320)</f>
        <v>1</v>
      </c>
      <c r="W320" s="109">
        <v>0</v>
      </c>
      <c r="X320" s="109">
        <v>0</v>
      </c>
      <c r="Y320" s="109">
        <v>1</v>
      </c>
      <c r="Z320" s="214">
        <f t="shared" si="49"/>
        <v>0</v>
      </c>
      <c r="AA320" s="213" t="str">
        <f>IF(OR($F320="",V320=0),"",IF(V320=1,IF(COUNTBLANK(W320:X320)&gt;0,$AG$2,IF(OR(Z320&lt;='פרמטרים לקריטריונים'!$C$27,X320&gt;W320),"",X320-W320))))</f>
        <v/>
      </c>
      <c r="AB320" s="214" t="str">
        <f t="shared" si="53"/>
        <v/>
      </c>
      <c r="AC320" s="225" t="str">
        <f>IF(OR(AB320="",U320=1),"",IF(OR(COUNTBLANK(W320:Y320)&gt;0,AB320&gt;='פרמטרים לקריטריונים'!$E$54),'פרמטרים לקריטריונים'!$F$54,INDEX('פרמטרים לקריטריונים'!$F$49:$F$54,MATCH(AB320,'פרמטרים לקריטריונים'!$E$49:$E$54,1))))</f>
        <v/>
      </c>
      <c r="AD320" s="213" t="str">
        <f t="shared" si="50"/>
        <v/>
      </c>
      <c r="AE320" s="213">
        <f t="shared" si="51"/>
        <v>8377.5706833858731</v>
      </c>
      <c r="AG320" s="175">
        <f t="shared" si="54"/>
        <v>0</v>
      </c>
    </row>
    <row r="321" spans="1:33" ht="15.75" x14ac:dyDescent="0.2">
      <c r="A321" s="206">
        <f t="shared" si="52"/>
        <v>291</v>
      </c>
      <c r="B321" s="88">
        <f>IF($F321="","",'הזנה לתנאי סף'!C321)</f>
        <v>1001348199</v>
      </c>
      <c r="C321" s="88">
        <f>IF($F321="","",'הזנה לתנאי סף'!D321)</f>
        <v>1001273525</v>
      </c>
      <c r="D321" s="88">
        <f>IF($F321="","",'הזנה לתנאי סף'!E321)</f>
        <v>40000564</v>
      </c>
      <c r="E321" s="88">
        <f>IF($F321="","",'הזנה לתנאי סף'!F321)</f>
        <v>20000201</v>
      </c>
      <c r="F321" s="88" t="str">
        <f>IF(OR('הזנה לתנאי סף'!G321="",'הזנה לתנאי סף'!BL321&lt;&gt;1),"",'הזנה לתנאי סף'!G321)</f>
        <v>תל אביב -יפו</v>
      </c>
      <c r="G321" s="88" t="str">
        <f>IF($F321="","",'הזנה לתנאי סף'!H321)</f>
        <v>עמותת הכוריאוגרפים (ע"ר)</v>
      </c>
      <c r="H321" s="88" t="str">
        <f>IF($F321="","",'הזנה לתנאי סף'!I321)</f>
        <v>יוצרים עצמאיים במחול</v>
      </c>
      <c r="I321" s="109">
        <v>190289</v>
      </c>
      <c r="J321" s="213">
        <f>IF($F321="","",'הזנה לתנאי סף'!S321)</f>
        <v>122007</v>
      </c>
      <c r="K321" s="109"/>
      <c r="L321" s="213">
        <f t="shared" si="45"/>
        <v>312296</v>
      </c>
      <c r="M321" s="213">
        <f>IF($F321="","",IF(L321='הזנה לתנאי סף'!R321,1,0))</f>
        <v>1</v>
      </c>
      <c r="N321" s="214">
        <f t="shared" si="46"/>
        <v>0.60932256577093524</v>
      </c>
      <c r="O321" s="214">
        <f t="shared" si="55"/>
        <v>0.39067743422906476</v>
      </c>
      <c r="P321" s="109">
        <v>280116</v>
      </c>
      <c r="Q321" s="213">
        <f>IF($F321="","",IFERROR(IF(P321&gt;0,'פרמטרים לקריטריונים'!$C$25*P321*O321,$AG$2),""))</f>
        <v>32830.500049952614</v>
      </c>
      <c r="R321" s="213">
        <f>IF($F321="","",IFERROR('פרמטרים לקריטריונים'!$C$26*Q321,""))</f>
        <v>8073.0737827752328</v>
      </c>
      <c r="S321" s="214">
        <f t="shared" si="47"/>
        <v>1.1964419581260351E-4</v>
      </c>
      <c r="T321" s="213">
        <f t="shared" si="48"/>
        <v>5982.209790630176</v>
      </c>
      <c r="U321" s="213">
        <f>IF($F321="","",'הזנה לתנאי סף'!N321)</f>
        <v>0</v>
      </c>
      <c r="V321" s="213">
        <f>IF($F321="","",'הזנה לתנאי סף'!O321)</f>
        <v>1</v>
      </c>
      <c r="W321" s="109">
        <v>0</v>
      </c>
      <c r="X321" s="109">
        <v>0</v>
      </c>
      <c r="Y321" s="109">
        <v>1</v>
      </c>
      <c r="Z321" s="214">
        <f t="shared" si="49"/>
        <v>0</v>
      </c>
      <c r="AA321" s="213" t="str">
        <f>IF(OR($F321="",V321=0),"",IF(V321=1,IF(COUNTBLANK(W321:X321)&gt;0,$AG$2,IF(OR(Z321&lt;='פרמטרים לקריטריונים'!$C$27,X321&gt;W321),"",X321-W321))))</f>
        <v/>
      </c>
      <c r="AB321" s="214" t="str">
        <f t="shared" si="53"/>
        <v/>
      </c>
      <c r="AC321" s="225" t="str">
        <f>IF(OR(AB321="",U321=1),"",IF(OR(COUNTBLANK(W321:Y321)&gt;0,AB321&gt;='פרמטרים לקריטריונים'!$E$54),'פרמטרים לקריטריונים'!$F$54,INDEX('פרמטרים לקריטריונים'!$F$49:$F$54,MATCH(AB321,'פרמטרים לקריטריונים'!$E$49:$E$54,1))))</f>
        <v/>
      </c>
      <c r="AD321" s="213" t="str">
        <f t="shared" si="50"/>
        <v/>
      </c>
      <c r="AE321" s="213">
        <f t="shared" si="51"/>
        <v>5982.209790630176</v>
      </c>
      <c r="AG321" s="175">
        <f t="shared" si="54"/>
        <v>0</v>
      </c>
    </row>
    <row r="322" spans="1:33" ht="15.75" x14ac:dyDescent="0.2">
      <c r="A322" s="206">
        <f t="shared" si="52"/>
        <v>292</v>
      </c>
      <c r="B322" s="88">
        <f>IF($F322="","",'הזנה לתנאי סף'!C322)</f>
        <v>1001348210</v>
      </c>
      <c r="C322" s="88">
        <f>IF($F322="","",'הזנה לתנאי סף'!D322)</f>
        <v>1001273526</v>
      </c>
      <c r="D322" s="88">
        <f>IF($F322="","",'הזנה לתנאי סף'!E322)</f>
        <v>40000564</v>
      </c>
      <c r="E322" s="88">
        <f>IF($F322="","",'הזנה לתנאי סף'!F322)</f>
        <v>20000201</v>
      </c>
      <c r="F322" s="88" t="str">
        <f>IF(OR('הזנה לתנאי סף'!G322="",'הזנה לתנאי סף'!BL322&lt;&gt;1),"",'הזנה לתנאי סף'!G322)</f>
        <v>תל אביב -יפו</v>
      </c>
      <c r="G322" s="88" t="str">
        <f>IF($F322="","",'הזנה לתנאי סף'!H322)</f>
        <v>עמותת הכוריאוגרפים (ע"ר)</v>
      </c>
      <c r="H322" s="88" t="str">
        <f>IF($F322="","",'הזנה לתנאי סף'!I322)</f>
        <v>יוצרים עצמאיים במחול</v>
      </c>
      <c r="I322" s="109">
        <v>133154</v>
      </c>
      <c r="J322" s="213">
        <f>IF($F322="","",'הזנה לתנאי סף'!S322)</f>
        <v>125838</v>
      </c>
      <c r="K322" s="109"/>
      <c r="L322" s="213">
        <f t="shared" si="45"/>
        <v>258992</v>
      </c>
      <c r="M322" s="213">
        <f>IF($F322="","",IF(L322='הזנה לתנאי סף'!R322,1,0))</f>
        <v>1</v>
      </c>
      <c r="N322" s="214">
        <f t="shared" si="46"/>
        <v>0.51412398838574169</v>
      </c>
      <c r="O322" s="214">
        <f t="shared" si="55"/>
        <v>0.48587601161425831</v>
      </c>
      <c r="P322" s="109">
        <v>287896</v>
      </c>
      <c r="Q322" s="213">
        <f>IF($F322="","",IFERROR(IF(P322&gt;0,'פרמטרים לקריטריונים'!$C$25*P322*O322,$AG$2),""))</f>
        <v>41964.528071909554</v>
      </c>
      <c r="R322" s="213">
        <f>IF($F322="","",IFERROR('פרמטרים לקריטריונים'!$C$26*Q322,""))</f>
        <v>10319.146247190874</v>
      </c>
      <c r="S322" s="214">
        <f t="shared" si="47"/>
        <v>1.5293133537959286E-4</v>
      </c>
      <c r="T322" s="213">
        <f t="shared" si="48"/>
        <v>7646.5667689796428</v>
      </c>
      <c r="U322" s="213">
        <f>IF($F322="","",'הזנה לתנאי סף'!N322)</f>
        <v>0</v>
      </c>
      <c r="V322" s="213">
        <f>IF($F322="","",'הזנה לתנאי סף'!O322)</f>
        <v>1</v>
      </c>
      <c r="W322" s="109">
        <v>0</v>
      </c>
      <c r="X322" s="109">
        <v>0</v>
      </c>
      <c r="Y322" s="109">
        <v>1</v>
      </c>
      <c r="Z322" s="214">
        <f t="shared" si="49"/>
        <v>0</v>
      </c>
      <c r="AA322" s="213" t="str">
        <f>IF(OR($F322="",V322=0),"",IF(V322=1,IF(COUNTBLANK(W322:X322)&gt;0,$AG$2,IF(OR(Z322&lt;='פרמטרים לקריטריונים'!$C$27,X322&gt;W322),"",X322-W322))))</f>
        <v/>
      </c>
      <c r="AB322" s="214" t="str">
        <f t="shared" si="53"/>
        <v/>
      </c>
      <c r="AC322" s="225" t="str">
        <f>IF(OR(AB322="",U322=1),"",IF(OR(COUNTBLANK(W322:Y322)&gt;0,AB322&gt;='פרמטרים לקריטריונים'!$E$54),'פרמטרים לקריטריונים'!$F$54,INDEX('פרמטרים לקריטריונים'!$F$49:$F$54,MATCH(AB322,'פרמטרים לקריטריונים'!$E$49:$E$54,1))))</f>
        <v/>
      </c>
      <c r="AD322" s="213" t="str">
        <f t="shared" si="50"/>
        <v/>
      </c>
      <c r="AE322" s="213">
        <f t="shared" si="51"/>
        <v>7646.5667689796428</v>
      </c>
      <c r="AG322" s="175">
        <f t="shared" si="54"/>
        <v>0</v>
      </c>
    </row>
    <row r="323" spans="1:33" ht="15.75" x14ac:dyDescent="0.2">
      <c r="A323" s="206">
        <f t="shared" si="52"/>
        <v>293</v>
      </c>
      <c r="B323" s="88">
        <f>IF($F323="","",'הזנה לתנאי סף'!C323)</f>
        <v>1001348211</v>
      </c>
      <c r="C323" s="88">
        <f>IF($F323="","",'הזנה לתנאי סף'!D323)</f>
        <v>1001273529</v>
      </c>
      <c r="D323" s="88">
        <f>IF($F323="","",'הזנה לתנאי סף'!E323)</f>
        <v>40000564</v>
      </c>
      <c r="E323" s="88">
        <f>IF($F323="","",'הזנה לתנאי סף'!F323)</f>
        <v>20000201</v>
      </c>
      <c r="F323" s="88" t="str">
        <f>IF(OR('הזנה לתנאי סף'!G323="",'הזנה לתנאי סף'!BL323&lt;&gt;1),"",'הזנה לתנאי סף'!G323)</f>
        <v>תל אביב -יפו</v>
      </c>
      <c r="G323" s="88" t="str">
        <f>IF($F323="","",'הזנה לתנאי סף'!H323)</f>
        <v>עמותת הכוריאוגרפים (ע"ר)</v>
      </c>
      <c r="H323" s="88" t="str">
        <f>IF($F323="","",'הזנה לתנאי סף'!I323)</f>
        <v>יוצרים עצמאיים במחול</v>
      </c>
      <c r="I323" s="109">
        <v>122306</v>
      </c>
      <c r="J323" s="213">
        <f>IF($F323="","",'הזנה לתנאי סף'!S323)</f>
        <v>219850</v>
      </c>
      <c r="K323" s="109"/>
      <c r="L323" s="213">
        <f t="shared" si="45"/>
        <v>342156</v>
      </c>
      <c r="M323" s="213">
        <f>IF($F323="","",IF(L323='הזנה לתנאי סף'!R323,1,0))</f>
        <v>1</v>
      </c>
      <c r="N323" s="214">
        <f t="shared" si="46"/>
        <v>0.35745683255591015</v>
      </c>
      <c r="O323" s="214">
        <f t="shared" si="55"/>
        <v>0.64254316744408979</v>
      </c>
      <c r="P323" s="109">
        <v>349780</v>
      </c>
      <c r="Q323" s="213">
        <f>IF($F323="","",IFERROR(IF(P323&gt;0,'פרמטרים לקריטריונים'!$C$25*P323*O323,$AG$2),""))</f>
        <v>67424.624732578115</v>
      </c>
      <c r="R323" s="213">
        <f>IF($F323="","",IFERROR('פרמטרים לקריטריונים'!$C$26*Q323,""))</f>
        <v>16579.82575391265</v>
      </c>
      <c r="S323" s="214">
        <f t="shared" si="47"/>
        <v>2.4571556911474847E-4</v>
      </c>
      <c r="T323" s="213">
        <f t="shared" si="48"/>
        <v>12285.778455737423</v>
      </c>
      <c r="U323" s="213">
        <f>IF($F323="","",'הזנה לתנאי סף'!N323)</f>
        <v>0</v>
      </c>
      <c r="V323" s="213">
        <f>IF($F323="","",'הזנה לתנאי סף'!O323)</f>
        <v>1</v>
      </c>
      <c r="W323" s="109">
        <v>0</v>
      </c>
      <c r="X323" s="109">
        <v>0</v>
      </c>
      <c r="Y323" s="109">
        <v>1</v>
      </c>
      <c r="Z323" s="214">
        <f t="shared" si="49"/>
        <v>0</v>
      </c>
      <c r="AA323" s="213" t="str">
        <f>IF(OR($F323="",V323=0),"",IF(V323=1,IF(COUNTBLANK(W323:X323)&gt;0,$AG$2,IF(OR(Z323&lt;='פרמטרים לקריטריונים'!$C$27,X323&gt;W323),"",X323-W323))))</f>
        <v/>
      </c>
      <c r="AB323" s="214" t="str">
        <f t="shared" si="53"/>
        <v/>
      </c>
      <c r="AC323" s="225" t="str">
        <f>IF(OR(AB323="",U323=1),"",IF(OR(COUNTBLANK(W323:Y323)&gt;0,AB323&gt;='פרמטרים לקריטריונים'!$E$54),'פרמטרים לקריטריונים'!$F$54,INDEX('פרמטרים לקריטריונים'!$F$49:$F$54,MATCH(AB323,'פרמטרים לקריטריונים'!$E$49:$E$54,1))))</f>
        <v/>
      </c>
      <c r="AD323" s="213" t="str">
        <f t="shared" si="50"/>
        <v/>
      </c>
      <c r="AE323" s="213">
        <f t="shared" si="51"/>
        <v>12285.778455737423</v>
      </c>
      <c r="AG323" s="175">
        <f t="shared" si="54"/>
        <v>0</v>
      </c>
    </row>
    <row r="324" spans="1:33" ht="15.75" x14ac:dyDescent="0.2">
      <c r="A324" s="206">
        <f t="shared" si="52"/>
        <v>294</v>
      </c>
      <c r="B324" s="88">
        <f>IF($F324="","",'הזנה לתנאי סף'!C324)</f>
        <v>1001348212</v>
      </c>
      <c r="C324" s="88">
        <f>IF($F324="","",'הזנה לתנאי סף'!D324)</f>
        <v>1001273573</v>
      </c>
      <c r="D324" s="88">
        <f>IF($F324="","",'הזנה לתנאי סף'!E324)</f>
        <v>40000564</v>
      </c>
      <c r="E324" s="88">
        <f>IF($F324="","",'הזנה לתנאי סף'!F324)</f>
        <v>20000201</v>
      </c>
      <c r="F324" s="88" t="str">
        <f>IF(OR('הזנה לתנאי סף'!G324="",'הזנה לתנאי סף'!BL324&lt;&gt;1),"",'הזנה לתנאי סף'!G324)</f>
        <v>תל אביב -יפו</v>
      </c>
      <c r="G324" s="88" t="str">
        <f>IF($F324="","",'הזנה לתנאי סף'!H324)</f>
        <v>עמותת הכוריאוגרפים (ע"ר)</v>
      </c>
      <c r="H324" s="88" t="str">
        <f>IF($F324="","",'הזנה לתנאי סף'!I324)</f>
        <v>יוצרים עצמאיים במחול</v>
      </c>
      <c r="I324" s="109">
        <v>150375</v>
      </c>
      <c r="J324" s="213">
        <f>IF($F324="","",'הזנה לתנאי סף'!S324)</f>
        <v>296495</v>
      </c>
      <c r="K324" s="109"/>
      <c r="L324" s="213">
        <f t="shared" si="45"/>
        <v>446870</v>
      </c>
      <c r="M324" s="213">
        <f>IF($F324="","",IF(L324='הזנה לתנאי סף'!R324,1,0))</f>
        <v>1</v>
      </c>
      <c r="N324" s="214">
        <f t="shared" si="46"/>
        <v>0.33650726161971045</v>
      </c>
      <c r="O324" s="214">
        <f t="shared" si="55"/>
        <v>0.66349273838028955</v>
      </c>
      <c r="P324" s="109">
        <v>464939</v>
      </c>
      <c r="Q324" s="213">
        <f>IF($F324="","",IFERROR(IF(P324&gt;0,'פרמטרים לקריטריונים'!$C$25*P324*O324,$AG$2),""))</f>
        <v>92545.095086938018</v>
      </c>
      <c r="R324" s="213">
        <f>IF($F324="","",IFERROR('פרמטרים לקריטריונים'!$C$26*Q324,""))</f>
        <v>22756.990595148691</v>
      </c>
      <c r="S324" s="214">
        <f t="shared" si="47"/>
        <v>3.3726210265547278E-4</v>
      </c>
      <c r="T324" s="213">
        <f t="shared" si="48"/>
        <v>16863.105132773639</v>
      </c>
      <c r="U324" s="213">
        <f>IF($F324="","",'הזנה לתנאי סף'!N324)</f>
        <v>0</v>
      </c>
      <c r="V324" s="213">
        <f>IF($F324="","",'הזנה לתנאי סף'!O324)</f>
        <v>1</v>
      </c>
      <c r="W324" s="109">
        <v>0</v>
      </c>
      <c r="X324" s="109">
        <v>0</v>
      </c>
      <c r="Y324" s="109">
        <v>1</v>
      </c>
      <c r="Z324" s="214">
        <f t="shared" si="49"/>
        <v>0</v>
      </c>
      <c r="AA324" s="213" t="str">
        <f>IF(OR($F324="",V324=0),"",IF(V324=1,IF(COUNTBLANK(W324:X324)&gt;0,$AG$2,IF(OR(Z324&lt;='פרמטרים לקריטריונים'!$C$27,X324&gt;W324),"",X324-W324))))</f>
        <v/>
      </c>
      <c r="AB324" s="214" t="str">
        <f t="shared" si="53"/>
        <v/>
      </c>
      <c r="AC324" s="225" t="str">
        <f>IF(OR(AB324="",U324=1),"",IF(OR(COUNTBLANK(W324:Y324)&gt;0,AB324&gt;='פרמטרים לקריטריונים'!$E$54),'פרמטרים לקריטריונים'!$F$54,INDEX('פרמטרים לקריטריונים'!$F$49:$F$54,MATCH(AB324,'פרמטרים לקריטריונים'!$E$49:$E$54,1))))</f>
        <v/>
      </c>
      <c r="AD324" s="213" t="str">
        <f t="shared" si="50"/>
        <v/>
      </c>
      <c r="AE324" s="213">
        <f t="shared" si="51"/>
        <v>16863.105132773639</v>
      </c>
      <c r="AG324" s="175">
        <f t="shared" si="54"/>
        <v>0</v>
      </c>
    </row>
    <row r="325" spans="1:33" ht="15.75" x14ac:dyDescent="0.2">
      <c r="A325" s="206">
        <f t="shared" si="52"/>
        <v>295</v>
      </c>
      <c r="B325" s="88">
        <f>IF($F325="","",'הזנה לתנאי סף'!C325)</f>
        <v>1001348213</v>
      </c>
      <c r="C325" s="88">
        <f>IF($F325="","",'הזנה לתנאי סף'!D325)</f>
        <v>1001273578</v>
      </c>
      <c r="D325" s="88">
        <f>IF($F325="","",'הזנה לתנאי סף'!E325)</f>
        <v>40000564</v>
      </c>
      <c r="E325" s="88">
        <f>IF($F325="","",'הזנה לתנאי סף'!F325)</f>
        <v>20000201</v>
      </c>
      <c r="F325" s="88" t="str">
        <f>IF(OR('הזנה לתנאי סף'!G325="",'הזנה לתנאי סף'!BL325&lt;&gt;1),"",'הזנה לתנאי סף'!G325)</f>
        <v>תל אביב -יפו</v>
      </c>
      <c r="G325" s="88" t="str">
        <f>IF($F325="","",'הזנה לתנאי סף'!H325)</f>
        <v>עמותת הכוריאוגרפים (ע"ר)</v>
      </c>
      <c r="H325" s="88" t="str">
        <f>IF($F325="","",'הזנה לתנאי סף'!I325)</f>
        <v>יוצרים עצמאיים במחול</v>
      </c>
      <c r="I325" s="109">
        <v>0</v>
      </c>
      <c r="J325" s="213">
        <f>IF($F325="","",'הזנה לתנאי סף'!S325)</f>
        <v>41887</v>
      </c>
      <c r="K325" s="109"/>
      <c r="L325" s="213">
        <f t="shared" si="45"/>
        <v>41887</v>
      </c>
      <c r="M325" s="213">
        <f>IF($F325="","",IF(L325='הזנה לתנאי סף'!R325,1,0))</f>
        <v>1</v>
      </c>
      <c r="N325" s="214">
        <f t="shared" si="46"/>
        <v>0</v>
      </c>
      <c r="O325" s="214">
        <f t="shared" si="55"/>
        <v>1</v>
      </c>
      <c r="P325" s="109">
        <v>39273</v>
      </c>
      <c r="Q325" s="213">
        <f>IF($F325="","",IFERROR(IF(P325&gt;0,'פרמטרים לקריטריונים'!$C$25*P325*O325,$AG$2),""))</f>
        <v>11781.9</v>
      </c>
      <c r="R325" s="213">
        <f>IF($F325="","",IFERROR('פרמטרים לקריטריונים'!$C$26*Q325,""))</f>
        <v>2897.188524590164</v>
      </c>
      <c r="S325" s="214">
        <f t="shared" si="47"/>
        <v>4.2936779777941514E-5</v>
      </c>
      <c r="T325" s="213">
        <f t="shared" si="48"/>
        <v>2146.8389888970755</v>
      </c>
      <c r="U325" s="213">
        <f>IF($F325="","",'הזנה לתנאי סף'!N325)</f>
        <v>0</v>
      </c>
      <c r="V325" s="213">
        <f>IF($F325="","",'הזנה לתנאי סף'!O325)</f>
        <v>1</v>
      </c>
      <c r="W325" s="109">
        <v>0</v>
      </c>
      <c r="X325" s="109">
        <v>0</v>
      </c>
      <c r="Y325" s="109">
        <v>1</v>
      </c>
      <c r="Z325" s="214">
        <f t="shared" si="49"/>
        <v>0</v>
      </c>
      <c r="AA325" s="213" t="str">
        <f>IF(OR($F325="",V325=0),"",IF(V325=1,IF(COUNTBLANK(W325:X325)&gt;0,$AG$2,IF(OR(Z325&lt;='פרמטרים לקריטריונים'!$C$27,X325&gt;W325),"",X325-W325))))</f>
        <v/>
      </c>
      <c r="AB325" s="214" t="str">
        <f t="shared" si="53"/>
        <v/>
      </c>
      <c r="AC325" s="225" t="str">
        <f>IF(OR(AB325="",U325=1),"",IF(OR(COUNTBLANK(W325:Y325)&gt;0,AB325&gt;='פרמטרים לקריטריונים'!$E$54),'פרמטרים לקריטריונים'!$F$54,INDEX('פרמטרים לקריטריונים'!$F$49:$F$54,MATCH(AB325,'פרמטרים לקריטריונים'!$E$49:$E$54,1))))</f>
        <v/>
      </c>
      <c r="AD325" s="213" t="str">
        <f t="shared" si="50"/>
        <v/>
      </c>
      <c r="AE325" s="213">
        <f t="shared" si="51"/>
        <v>2146.8389888970755</v>
      </c>
      <c r="AG325" s="175">
        <f t="shared" si="54"/>
        <v>0</v>
      </c>
    </row>
    <row r="326" spans="1:33" ht="15.75" x14ac:dyDescent="0.2">
      <c r="A326" s="206">
        <f t="shared" si="52"/>
        <v>296</v>
      </c>
      <c r="B326" s="88">
        <f>IF($F326="","",'הזנה לתנאי סף'!C326)</f>
        <v>1001348214</v>
      </c>
      <c r="C326" s="88">
        <f>IF($F326="","",'הזנה לתנאי סף'!D326)</f>
        <v>1001273579</v>
      </c>
      <c r="D326" s="88">
        <f>IF($F326="","",'הזנה לתנאי סף'!E326)</f>
        <v>40000564</v>
      </c>
      <c r="E326" s="88">
        <f>IF($F326="","",'הזנה לתנאי סף'!F326)</f>
        <v>20000201</v>
      </c>
      <c r="F326" s="88" t="str">
        <f>IF(OR('הזנה לתנאי סף'!G326="",'הזנה לתנאי סף'!BL326&lt;&gt;1),"",'הזנה לתנאי סף'!G326)</f>
        <v>תל אביב -יפו</v>
      </c>
      <c r="G326" s="88" t="str">
        <f>IF($F326="","",'הזנה לתנאי סף'!H326)</f>
        <v>עמותת הכוריאוגרפים (ע"ר)</v>
      </c>
      <c r="H326" s="88" t="str">
        <f>IF($F326="","",'הזנה לתנאי סף'!I326)</f>
        <v>יוצרים עצמאיים במחול</v>
      </c>
      <c r="I326" s="109">
        <v>69679</v>
      </c>
      <c r="J326" s="213">
        <f>IF($F326="","",'הזנה לתנאי סף'!S326)</f>
        <v>41788</v>
      </c>
      <c r="K326" s="109"/>
      <c r="L326" s="213">
        <f t="shared" si="45"/>
        <v>111467</v>
      </c>
      <c r="M326" s="213">
        <f>IF($F326="","",IF(L326='הזנה לתנאי סף'!R326,1,0))</f>
        <v>1</v>
      </c>
      <c r="N326" s="214">
        <f t="shared" si="46"/>
        <v>0.62510877658858677</v>
      </c>
      <c r="O326" s="214">
        <f t="shared" si="55"/>
        <v>0.37489122341141323</v>
      </c>
      <c r="P326" s="109">
        <v>112880</v>
      </c>
      <c r="Q326" s="213">
        <f>IF($F326="","",IFERROR(IF(P326&gt;0,'פרמטרים לקריטריונים'!$C$25*P326*O326,$AG$2),""))</f>
        <v>12695.316389604097</v>
      </c>
      <c r="R326" s="213">
        <f>IF($F326="","",IFERROR('פרמטרים לקריטריונים'!$C$26*Q326,""))</f>
        <v>3121.7991121977288</v>
      </c>
      <c r="S326" s="214">
        <f t="shared" si="47"/>
        <v>4.6265543251234746E-5</v>
      </c>
      <c r="T326" s="213">
        <f t="shared" si="48"/>
        <v>2313.2771625617374</v>
      </c>
      <c r="U326" s="213">
        <f>IF($F326="","",'הזנה לתנאי סף'!N326)</f>
        <v>0</v>
      </c>
      <c r="V326" s="213">
        <f>IF($F326="","",'הזנה לתנאי סף'!O326)</f>
        <v>1</v>
      </c>
      <c r="W326" s="109">
        <v>0</v>
      </c>
      <c r="X326" s="109">
        <v>0</v>
      </c>
      <c r="Y326" s="109">
        <v>1</v>
      </c>
      <c r="Z326" s="214">
        <f t="shared" si="49"/>
        <v>0</v>
      </c>
      <c r="AA326" s="213" t="str">
        <f>IF(OR($F326="",V326=0),"",IF(V326=1,IF(COUNTBLANK(W326:X326)&gt;0,$AG$2,IF(OR(Z326&lt;='פרמטרים לקריטריונים'!$C$27,X326&gt;W326),"",X326-W326))))</f>
        <v/>
      </c>
      <c r="AB326" s="214" t="str">
        <f t="shared" si="53"/>
        <v/>
      </c>
      <c r="AC326" s="225" t="str">
        <f>IF(OR(AB326="",U326=1),"",IF(OR(COUNTBLANK(W326:Y326)&gt;0,AB326&gt;='פרמטרים לקריטריונים'!$E$54),'פרמטרים לקריטריונים'!$F$54,INDEX('פרמטרים לקריטריונים'!$F$49:$F$54,MATCH(AB326,'פרמטרים לקריטריונים'!$E$49:$E$54,1))))</f>
        <v/>
      </c>
      <c r="AD326" s="213" t="str">
        <f t="shared" si="50"/>
        <v/>
      </c>
      <c r="AE326" s="213">
        <f t="shared" si="51"/>
        <v>2313.2771625617374</v>
      </c>
      <c r="AG326" s="175">
        <f t="shared" si="54"/>
        <v>0</v>
      </c>
    </row>
    <row r="327" spans="1:33" ht="15.75" x14ac:dyDescent="0.2">
      <c r="A327" s="206">
        <f t="shared" si="52"/>
        <v>297</v>
      </c>
      <c r="B327" s="88">
        <f>IF($F327="","",'הזנה לתנאי סף'!C327)</f>
        <v>1001348215</v>
      </c>
      <c r="C327" s="88">
        <f>IF($F327="","",'הזנה לתנאי סף'!D327)</f>
        <v>1001275690</v>
      </c>
      <c r="D327" s="88">
        <f>IF($F327="","",'הזנה לתנאי סף'!E327)</f>
        <v>40000564</v>
      </c>
      <c r="E327" s="88">
        <f>IF($F327="","",'הזנה לתנאי סף'!F327)</f>
        <v>20000201</v>
      </c>
      <c r="F327" s="88" t="str">
        <f>IF(OR('הזנה לתנאי סף'!G327="",'הזנה לתנאי סף'!BL327&lt;&gt;1),"",'הזנה לתנאי סף'!G327)</f>
        <v>תל אביב -יפו</v>
      </c>
      <c r="G327" s="88" t="str">
        <f>IF($F327="","",'הזנה לתנאי סף'!H327)</f>
        <v>עמותת הכוריאוגרפים (ע"ר)</v>
      </c>
      <c r="H327" s="88" t="str">
        <f>IF($F327="","",'הזנה לתנאי סף'!I327)</f>
        <v>יוצרים עצמאיים במחול</v>
      </c>
      <c r="I327" s="109">
        <v>0</v>
      </c>
      <c r="J327" s="213">
        <f>IF($F327="","",'הזנה לתנאי סף'!S327)</f>
        <v>49871</v>
      </c>
      <c r="K327" s="109"/>
      <c r="L327" s="213">
        <f t="shared" si="45"/>
        <v>49871</v>
      </c>
      <c r="M327" s="213">
        <f>IF($F327="","",IF(L327='הזנה לתנאי סף'!R327,1,0))</f>
        <v>1</v>
      </c>
      <c r="N327" s="214">
        <f t="shared" si="46"/>
        <v>0</v>
      </c>
      <c r="O327" s="214">
        <f t="shared" si="55"/>
        <v>1</v>
      </c>
      <c r="P327" s="109">
        <v>22917</v>
      </c>
      <c r="Q327" s="213">
        <f>IF($F327="","",IFERROR(IF(P327&gt;0,'פרמטרים לקריטריונים'!$C$25*P327*O327,$AG$2),""))</f>
        <v>6875.0999999999995</v>
      </c>
      <c r="R327" s="213">
        <f>IF($F327="","",IFERROR('פרמטרים לקריטריונים'!$C$26*Q327,""))</f>
        <v>1690.5983606557375</v>
      </c>
      <c r="S327" s="214">
        <f t="shared" si="47"/>
        <v>2.5054927868283185E-5</v>
      </c>
      <c r="T327" s="213">
        <f t="shared" si="48"/>
        <v>1252.7463934141592</v>
      </c>
      <c r="U327" s="213">
        <f>IF($F327="","",'הזנה לתנאי סף'!N327)</f>
        <v>0</v>
      </c>
      <c r="V327" s="213">
        <f>IF($F327="","",'הזנה לתנאי סף'!O327)</f>
        <v>1</v>
      </c>
      <c r="W327" s="109">
        <v>0</v>
      </c>
      <c r="X327" s="109">
        <v>0</v>
      </c>
      <c r="Y327" s="109">
        <v>1</v>
      </c>
      <c r="Z327" s="214">
        <f t="shared" si="49"/>
        <v>0</v>
      </c>
      <c r="AA327" s="213" t="str">
        <f>IF(OR($F327="",V327=0),"",IF(V327=1,IF(COUNTBLANK(W327:X327)&gt;0,$AG$2,IF(OR(Z327&lt;='פרמטרים לקריטריונים'!$C$27,X327&gt;W327),"",X327-W327))))</f>
        <v/>
      </c>
      <c r="AB327" s="214" t="str">
        <f t="shared" si="53"/>
        <v/>
      </c>
      <c r="AC327" s="225" t="str">
        <f>IF(OR(AB327="",U327=1),"",IF(OR(COUNTBLANK(W327:Y327)&gt;0,AB327&gt;='פרמטרים לקריטריונים'!$E$54),'פרמטרים לקריטריונים'!$F$54,INDEX('פרמטרים לקריטריונים'!$F$49:$F$54,MATCH(AB327,'פרמטרים לקריטריונים'!$E$49:$E$54,1))))</f>
        <v/>
      </c>
      <c r="AD327" s="213" t="str">
        <f t="shared" si="50"/>
        <v/>
      </c>
      <c r="AE327" s="213">
        <f t="shared" si="51"/>
        <v>1252.7463934141592</v>
      </c>
      <c r="AG327" s="175">
        <f t="shared" si="54"/>
        <v>0</v>
      </c>
    </row>
    <row r="328" spans="1:33" ht="15.75" x14ac:dyDescent="0.2">
      <c r="A328" s="206">
        <f t="shared" si="52"/>
        <v>298</v>
      </c>
      <c r="B328" s="88">
        <f>IF($F328="","",'הזנה לתנאי סף'!C328)</f>
        <v>1001348216</v>
      </c>
      <c r="C328" s="88">
        <f>IF($F328="","",'הזנה לתנאי סף'!D328)</f>
        <v>1001273592</v>
      </c>
      <c r="D328" s="88">
        <f>IF($F328="","",'הזנה לתנאי סף'!E328)</f>
        <v>40000564</v>
      </c>
      <c r="E328" s="88">
        <f>IF($F328="","",'הזנה לתנאי סף'!F328)</f>
        <v>20000201</v>
      </c>
      <c r="F328" s="88" t="str">
        <f>IF(OR('הזנה לתנאי סף'!G328="",'הזנה לתנאי סף'!BL328&lt;&gt;1),"",'הזנה לתנאי סף'!G328)</f>
        <v>תל אביב -יפו</v>
      </c>
      <c r="G328" s="88" t="str">
        <f>IF($F328="","",'הזנה לתנאי סף'!H328)</f>
        <v>עמותת הכוריאוגרפים (ע"ר)</v>
      </c>
      <c r="H328" s="88" t="str">
        <f>IF($F328="","",'הזנה לתנאי סף'!I328)</f>
        <v>יוצרים עצמאיים במחול</v>
      </c>
      <c r="I328" s="109">
        <v>104604</v>
      </c>
      <c r="J328" s="213">
        <f>IF($F328="","",'הזנה לתנאי סף'!S328)</f>
        <v>53335</v>
      </c>
      <c r="K328" s="109"/>
      <c r="L328" s="213">
        <f t="shared" si="45"/>
        <v>157939</v>
      </c>
      <c r="M328" s="213">
        <f>IF($F328="","",IF(L328='הזנה לתנאי סף'!R328,1,0))</f>
        <v>1</v>
      </c>
      <c r="N328" s="214">
        <f t="shared" si="46"/>
        <v>0.66230633345785395</v>
      </c>
      <c r="O328" s="214">
        <f t="shared" si="55"/>
        <v>0.33769366654214605</v>
      </c>
      <c r="P328" s="109">
        <v>163875</v>
      </c>
      <c r="Q328" s="213">
        <f>IF($F328="","",IFERROR(IF(P328&gt;0,'פרמטרים לקריטריונים'!$C$25*P328*O328,$AG$2),""))</f>
        <v>16601.864881378257</v>
      </c>
      <c r="R328" s="213">
        <f>IF($F328="","",IFERROR('פרמטרים לקריטריונים'!$C$26*Q328,""))</f>
        <v>4082.4257905028498</v>
      </c>
      <c r="S328" s="214">
        <f t="shared" si="47"/>
        <v>6.0502178452955745E-5</v>
      </c>
      <c r="T328" s="213">
        <f t="shared" si="48"/>
        <v>3025.1089226477875</v>
      </c>
      <c r="U328" s="213">
        <f>IF($F328="","",'הזנה לתנאי סף'!N328)</f>
        <v>0</v>
      </c>
      <c r="V328" s="213">
        <f>IF($F328="","",'הזנה לתנאי סף'!O328)</f>
        <v>1</v>
      </c>
      <c r="W328" s="109">
        <v>0</v>
      </c>
      <c r="X328" s="109">
        <v>0</v>
      </c>
      <c r="Y328" s="109">
        <v>1</v>
      </c>
      <c r="Z328" s="214">
        <f t="shared" si="49"/>
        <v>0</v>
      </c>
      <c r="AA328" s="213" t="str">
        <f>IF(OR($F328="",V328=0),"",IF(V328=1,IF(COUNTBLANK(W328:X328)&gt;0,$AG$2,IF(OR(Z328&lt;='פרמטרים לקריטריונים'!$C$27,X328&gt;W328),"",X328-W328))))</f>
        <v/>
      </c>
      <c r="AB328" s="214" t="str">
        <f t="shared" si="53"/>
        <v/>
      </c>
      <c r="AC328" s="225" t="str">
        <f>IF(OR(AB328="",U328=1),"",IF(OR(COUNTBLANK(W328:Y328)&gt;0,AB328&gt;='פרמטרים לקריטריונים'!$E$54),'פרמטרים לקריטריונים'!$F$54,INDEX('פרמטרים לקריטריונים'!$F$49:$F$54,MATCH(AB328,'פרמטרים לקריטריונים'!$E$49:$E$54,1))))</f>
        <v/>
      </c>
      <c r="AD328" s="213" t="str">
        <f t="shared" si="50"/>
        <v/>
      </c>
      <c r="AE328" s="213">
        <f t="shared" si="51"/>
        <v>3025.1089226477875</v>
      </c>
      <c r="AG328" s="175">
        <f t="shared" si="54"/>
        <v>0</v>
      </c>
    </row>
    <row r="329" spans="1:33" ht="15.75" x14ac:dyDescent="0.2">
      <c r="A329" s="206">
        <f t="shared" si="52"/>
        <v>299</v>
      </c>
      <c r="B329" s="88">
        <f>IF($F329="","",'הזנה לתנאי סף'!C329)</f>
        <v>1001348217</v>
      </c>
      <c r="C329" s="88">
        <f>IF($F329="","",'הזנה לתנאי סף'!D329)</f>
        <v>1001272602</v>
      </c>
      <c r="D329" s="88">
        <f>IF($F329="","",'הזנה לתנאי סף'!E329)</f>
        <v>40000564</v>
      </c>
      <c r="E329" s="88">
        <f>IF($F329="","",'הזנה לתנאי סף'!F329)</f>
        <v>20000201</v>
      </c>
      <c r="F329" s="88" t="str">
        <f>IF(OR('הזנה לתנאי סף'!G329="",'הזנה לתנאי סף'!BL329&lt;&gt;1),"",'הזנה לתנאי סף'!G329)</f>
        <v>תל אביב -יפו</v>
      </c>
      <c r="G329" s="88" t="str">
        <f>IF($F329="","",'הזנה לתנאי סף'!H329)</f>
        <v>עמותת הכוריאוגרפים (ע"ר)</v>
      </c>
      <c r="H329" s="88" t="str">
        <f>IF($F329="","",'הזנה לתנאי סף'!I329)</f>
        <v>יוצרים עצמאיים במחול</v>
      </c>
      <c r="I329" s="109">
        <v>78112</v>
      </c>
      <c r="J329" s="213">
        <f>IF($F329="","",'הזנה לתנאי סף'!S329)</f>
        <v>240541</v>
      </c>
      <c r="K329" s="109"/>
      <c r="L329" s="213">
        <f t="shared" si="45"/>
        <v>318653</v>
      </c>
      <c r="M329" s="213">
        <f>IF($F329="","",IF(L329='הזנה לתנאי סף'!R329,1,0))</f>
        <v>1</v>
      </c>
      <c r="N329" s="214">
        <f t="shared" si="46"/>
        <v>0.24513185188904546</v>
      </c>
      <c r="O329" s="214">
        <f t="shared" si="55"/>
        <v>0.75486814811095448</v>
      </c>
      <c r="P329" s="109">
        <v>329173</v>
      </c>
      <c r="Q329" s="213">
        <f>IF($F329="","",IFERROR(IF(P329&gt;0,'פרמטרים לקריטריונים'!$C$25*P329*O329,$AG$2),""))</f>
        <v>74544.663875438157</v>
      </c>
      <c r="R329" s="213">
        <f>IF($F329="","",IFERROR('פרמטרים לקריטריונים'!$C$26*Q329,""))</f>
        <v>18330.655051337249</v>
      </c>
      <c r="S329" s="214">
        <f t="shared" si="47"/>
        <v>2.7166312873478472E-4</v>
      </c>
      <c r="T329" s="213">
        <f t="shared" si="48"/>
        <v>13583.156436739237</v>
      </c>
      <c r="U329" s="213">
        <f>IF($F329="","",'הזנה לתנאי סף'!N329)</f>
        <v>0</v>
      </c>
      <c r="V329" s="213">
        <f>IF($F329="","",'הזנה לתנאי סף'!O329)</f>
        <v>1</v>
      </c>
      <c r="W329" s="109">
        <v>0</v>
      </c>
      <c r="X329" s="109">
        <v>0</v>
      </c>
      <c r="Y329" s="109">
        <v>1</v>
      </c>
      <c r="Z329" s="214">
        <f t="shared" si="49"/>
        <v>0</v>
      </c>
      <c r="AA329" s="213" t="str">
        <f>IF(OR($F329="",V329=0),"",IF(V329=1,IF(COUNTBLANK(W329:X329)&gt;0,$AG$2,IF(OR(Z329&lt;='פרמטרים לקריטריונים'!$C$27,X329&gt;W329),"",X329-W329))))</f>
        <v/>
      </c>
      <c r="AB329" s="214" t="str">
        <f t="shared" si="53"/>
        <v/>
      </c>
      <c r="AC329" s="225" t="str">
        <f>IF(OR(AB329="",U329=1),"",IF(OR(COUNTBLANK(W329:Y329)&gt;0,AB329&gt;='פרמטרים לקריטריונים'!$E$54),'פרמטרים לקריטריונים'!$F$54,INDEX('פרמטרים לקריטריונים'!$F$49:$F$54,MATCH(AB329,'פרמטרים לקריטריונים'!$E$49:$E$54,1))))</f>
        <v/>
      </c>
      <c r="AD329" s="213" t="str">
        <f t="shared" si="50"/>
        <v/>
      </c>
      <c r="AE329" s="213">
        <f t="shared" si="51"/>
        <v>13583.156436739237</v>
      </c>
      <c r="AG329" s="175">
        <f t="shared" si="54"/>
        <v>0</v>
      </c>
    </row>
    <row r="330" spans="1:33" ht="15.75" x14ac:dyDescent="0.2">
      <c r="A330" s="206">
        <f t="shared" ref="A330:A393" si="56">IF(F330="","",ROW()-30)</f>
        <v>300</v>
      </c>
      <c r="B330" s="88">
        <f>IF($F330="","",'הזנה לתנאי סף'!C330)</f>
        <v>1001348219</v>
      </c>
      <c r="C330" s="88">
        <f>IF($F330="","",'הזנה לתנאי סף'!D330)</f>
        <v>1001272603</v>
      </c>
      <c r="D330" s="88">
        <f>IF($F330="","",'הזנה לתנאי סף'!E330)</f>
        <v>40000564</v>
      </c>
      <c r="E330" s="88">
        <f>IF($F330="","",'הזנה לתנאי סף'!F330)</f>
        <v>20000201</v>
      </c>
      <c r="F330" s="88" t="str">
        <f>IF(OR('הזנה לתנאי סף'!G330="",'הזנה לתנאי סף'!BL330&lt;&gt;1),"",'הזנה לתנאי סף'!G330)</f>
        <v>תל אביב -יפו</v>
      </c>
      <c r="G330" s="88" t="str">
        <f>IF($F330="","",'הזנה לתנאי סף'!H330)</f>
        <v>עמותת הכוריאוגרפים (ע"ר)</v>
      </c>
      <c r="H330" s="88" t="str">
        <f>IF($F330="","",'הזנה לתנאי סף'!I330)</f>
        <v>יוצרים עצמאיים במחול</v>
      </c>
      <c r="I330" s="109">
        <v>0</v>
      </c>
      <c r="J330" s="213">
        <f>IF($F330="","",'הזנה לתנאי סף'!S330)</f>
        <v>75112</v>
      </c>
      <c r="K330" s="109"/>
      <c r="L330" s="213">
        <f t="shared" ref="L330:L393" si="57">IF($F330="","",SUM(I330:K330))</f>
        <v>75112</v>
      </c>
      <c r="M330" s="213">
        <f>IF($F330="","",IF(L330='הזנה לתנאי סף'!R330,1,0))</f>
        <v>1</v>
      </c>
      <c r="N330" s="214">
        <f t="shared" ref="N330:N393" si="58">IF($F330="","",IFERROR(I330/L330,$AG$2))</f>
        <v>0</v>
      </c>
      <c r="O330" s="214">
        <f t="shared" ref="O330:O393" si="59">IF($F330="","",IFERROR((1-N330),""))</f>
        <v>1</v>
      </c>
      <c r="P330" s="109">
        <v>60903</v>
      </c>
      <c r="Q330" s="213">
        <f>IF($F330="","",IFERROR(IF(P330&gt;0,'פרמטרים לקריטריונים'!$C$25*P330*O330,$AG$2),""))</f>
        <v>18270.899999999998</v>
      </c>
      <c r="R330" s="213">
        <f>IF($F330="","",IFERROR('פרמטרים לקריטריונים'!$C$26*Q330,""))</f>
        <v>4492.8442622950815</v>
      </c>
      <c r="S330" s="214">
        <f t="shared" ref="S330:S393" si="60">IF($F330="","",IFERROR(R330/$R$501,""))</f>
        <v>6.6584643363531474E-5</v>
      </c>
      <c r="T330" s="213">
        <f t="shared" ref="T330:T393" si="61">IF($F330="","",IFERROR(S330*$C$4,""))</f>
        <v>3329.2321681765739</v>
      </c>
      <c r="U330" s="213">
        <f>IF($F330="","",'הזנה לתנאי סף'!N330)</f>
        <v>0</v>
      </c>
      <c r="V330" s="213">
        <f>IF($F330="","",'הזנה לתנאי סף'!O330)</f>
        <v>1</v>
      </c>
      <c r="W330" s="109">
        <v>0</v>
      </c>
      <c r="X330" s="109">
        <v>0</v>
      </c>
      <c r="Y330" s="109">
        <v>1</v>
      </c>
      <c r="Z330" s="214">
        <f t="shared" ref="Z330:Z393" si="62">IF(OR($F330="",V330&lt;&gt;1),"",IF(COUNTBLANK(W330:Y330)&gt;0,$AG$2,IF(ISBLANK(Y330),$AG$2,W330/Y330)))</f>
        <v>0</v>
      </c>
      <c r="AA330" s="213" t="str">
        <f>IF(OR($F330="",V330=0),"",IF(V330=1,IF(COUNTBLANK(W330:X330)&gt;0,$AG$2,IF(OR(Z330&lt;='פרמטרים לקריטריונים'!$C$27,X330&gt;W330),"",X330-W330))))</f>
        <v/>
      </c>
      <c r="AB330" s="214" t="str">
        <f t="shared" ref="AB330:AB393" si="63">IF(AA330="","",IF(AA330=$AG$2,AG301,-(X330/W330-1)))</f>
        <v/>
      </c>
      <c r="AC330" s="225" t="str">
        <f>IF(OR(AB330="",U330=1),"",IF(OR(COUNTBLANK(W330:Y330)&gt;0,AB330&gt;='פרמטרים לקריטריונים'!$E$54),'פרמטרים לקריטריונים'!$F$54,INDEX('פרמטרים לקריטריונים'!$F$49:$F$54,MATCH(AB330,'פרמטרים לקריטריונים'!$E$49:$E$54,1))))</f>
        <v/>
      </c>
      <c r="AD330" s="213" t="str">
        <f t="shared" ref="AD330:AD393" si="64">IF(OR($F330="",AC330=""),"",IF(COUNTBLANK(W330:X330)&gt;0,-T330,IF(-AC330*AA330&gt;T330,-T330,AC330*AA330)))</f>
        <v/>
      </c>
      <c r="AE330" s="213">
        <f t="shared" ref="AE330:AE393" si="65">IF($F330="","",IF(M330=0,$AG$2,IF(AD330&lt;&gt;"",T330+AD330,T330)))</f>
        <v>3329.2321681765739</v>
      </c>
      <c r="AG330" s="175">
        <f t="shared" ref="AG330:AG393" si="66">IF(U330=1,1,0)</f>
        <v>0</v>
      </c>
    </row>
    <row r="331" spans="1:33" ht="15.75" x14ac:dyDescent="0.2">
      <c r="A331" s="206">
        <f t="shared" si="56"/>
        <v>301</v>
      </c>
      <c r="B331" s="88">
        <f>IF($F331="","",'הזנה לתנאי סף'!C331)</f>
        <v>1001348220</v>
      </c>
      <c r="C331" s="88">
        <f>IF($F331="","",'הזנה לתנאי סף'!D331)</f>
        <v>1001272604</v>
      </c>
      <c r="D331" s="88">
        <f>IF($F331="","",'הזנה לתנאי סף'!E331)</f>
        <v>40000564</v>
      </c>
      <c r="E331" s="88">
        <f>IF($F331="","",'הזנה לתנאי סף'!F331)</f>
        <v>20000201</v>
      </c>
      <c r="F331" s="88" t="str">
        <f>IF(OR('הזנה לתנאי סף'!G331="",'הזנה לתנאי סף'!BL331&lt;&gt;1),"",'הזנה לתנאי סף'!G331)</f>
        <v>תל אביב -יפו</v>
      </c>
      <c r="G331" s="88" t="str">
        <f>IF($F331="","",'הזנה לתנאי סף'!H331)</f>
        <v>עמותת הכוריאוגרפים (ע"ר)</v>
      </c>
      <c r="H331" s="88" t="str">
        <f>IF($F331="","",'הזנה לתנאי סף'!I331)</f>
        <v>יוצרים עצמאיים במחול</v>
      </c>
      <c r="I331" s="109">
        <v>104578</v>
      </c>
      <c r="J331" s="213">
        <f>IF($F331="","",'הזנה לתנאי סף'!S331)</f>
        <v>104440</v>
      </c>
      <c r="K331" s="109"/>
      <c r="L331" s="213">
        <f t="shared" si="57"/>
        <v>209018</v>
      </c>
      <c r="M331" s="213">
        <f>IF($F331="","",IF(L331='הזנה לתנאי סף'!R331,1,0))</f>
        <v>1</v>
      </c>
      <c r="N331" s="214">
        <f t="shared" si="58"/>
        <v>0.50033011510970349</v>
      </c>
      <c r="O331" s="214">
        <f t="shared" si="59"/>
        <v>0.49966988489029651</v>
      </c>
      <c r="P331" s="109">
        <v>184315</v>
      </c>
      <c r="Q331" s="213">
        <f>IF($F331="","",IFERROR(IF(P331&gt;0,'פרמטרים לקריטריונים'!$C$25*P331*O331,$AG$2),""))</f>
        <v>27628.996450066501</v>
      </c>
      <c r="R331" s="213">
        <f>IF($F331="","",IFERROR('פרמטרים לקריטריונים'!$C$26*Q331,""))</f>
        <v>6794.0155205081555</v>
      </c>
      <c r="S331" s="214">
        <f t="shared" si="60"/>
        <v>1.0068835553366037E-4</v>
      </c>
      <c r="T331" s="213">
        <f t="shared" si="61"/>
        <v>5034.417776683018</v>
      </c>
      <c r="U331" s="213">
        <f>IF($F331="","",'הזנה לתנאי סף'!N331)</f>
        <v>0</v>
      </c>
      <c r="V331" s="213">
        <f>IF($F331="","",'הזנה לתנאי סף'!O331)</f>
        <v>1</v>
      </c>
      <c r="W331" s="109">
        <v>0</v>
      </c>
      <c r="X331" s="109">
        <v>0</v>
      </c>
      <c r="Y331" s="109">
        <v>1</v>
      </c>
      <c r="Z331" s="214">
        <f t="shared" si="62"/>
        <v>0</v>
      </c>
      <c r="AA331" s="213" t="str">
        <f>IF(OR($F331="",V331=0),"",IF(V331=1,IF(COUNTBLANK(W331:X331)&gt;0,$AG$2,IF(OR(Z331&lt;='פרמטרים לקריטריונים'!$C$27,X331&gt;W331),"",X331-W331))))</f>
        <v/>
      </c>
      <c r="AB331" s="214" t="str">
        <f t="shared" si="63"/>
        <v/>
      </c>
      <c r="AC331" s="225" t="str">
        <f>IF(OR(AB331="",U331=1),"",IF(OR(COUNTBLANK(W331:Y331)&gt;0,AB331&gt;='פרמטרים לקריטריונים'!$E$54),'פרמטרים לקריטריונים'!$F$54,INDEX('פרמטרים לקריטריונים'!$F$49:$F$54,MATCH(AB331,'פרמטרים לקריטריונים'!$E$49:$E$54,1))))</f>
        <v/>
      </c>
      <c r="AD331" s="213" t="str">
        <f t="shared" si="64"/>
        <v/>
      </c>
      <c r="AE331" s="213">
        <f t="shared" si="65"/>
        <v>5034.417776683018</v>
      </c>
      <c r="AG331" s="175">
        <f t="shared" si="66"/>
        <v>0</v>
      </c>
    </row>
    <row r="332" spans="1:33" ht="15.75" x14ac:dyDescent="0.2">
      <c r="A332" s="206">
        <f t="shared" si="56"/>
        <v>302</v>
      </c>
      <c r="B332" s="88">
        <f>IF($F332="","",'הזנה לתנאי סף'!C332)</f>
        <v>1001348222</v>
      </c>
      <c r="C332" s="88">
        <f>IF($F332="","",'הזנה לתנאי סף'!D332)</f>
        <v>1001272607</v>
      </c>
      <c r="D332" s="88">
        <f>IF($F332="","",'הזנה לתנאי סף'!E332)</f>
        <v>40000564</v>
      </c>
      <c r="E332" s="88">
        <f>IF($F332="","",'הזנה לתנאי סף'!F332)</f>
        <v>20000201</v>
      </c>
      <c r="F332" s="88" t="str">
        <f>IF(OR('הזנה לתנאי סף'!G332="",'הזנה לתנאי סף'!BL332&lt;&gt;1),"",'הזנה לתנאי סף'!G332)</f>
        <v>תל אביב -יפו</v>
      </c>
      <c r="G332" s="88" t="str">
        <f>IF($F332="","",'הזנה לתנאי סף'!H332)</f>
        <v>עמותת הכוריאוגרפים (ע"ר)</v>
      </c>
      <c r="H332" s="88" t="str">
        <f>IF($F332="","",'הזנה לתנאי סף'!I332)</f>
        <v>יוצרים עצמאיים במחול</v>
      </c>
      <c r="I332" s="109">
        <v>0</v>
      </c>
      <c r="J332" s="213">
        <f>IF($F332="","",'הזנה לתנאי סף'!S332)</f>
        <v>138688</v>
      </c>
      <c r="K332" s="109"/>
      <c r="L332" s="213">
        <f t="shared" si="57"/>
        <v>138688</v>
      </c>
      <c r="M332" s="213">
        <f>IF($F332="","",IF(L332='הזנה לתנאי סף'!R332,1,0))</f>
        <v>1</v>
      </c>
      <c r="N332" s="214">
        <f t="shared" si="58"/>
        <v>0</v>
      </c>
      <c r="O332" s="214">
        <f t="shared" si="59"/>
        <v>1</v>
      </c>
      <c r="P332" s="109">
        <v>70256</v>
      </c>
      <c r="Q332" s="213">
        <f>IF($F332="","",IFERROR(IF(P332&gt;0,'פרמטרים לקריטריונים'!$C$25*P332*O332,$AG$2),""))</f>
        <v>21076.799999999999</v>
      </c>
      <c r="R332" s="213">
        <f>IF($F332="","",IFERROR('פרמטרים לקריטריונים'!$C$26*Q332,""))</f>
        <v>5182.8196721311469</v>
      </c>
      <c r="S332" s="214">
        <f t="shared" si="60"/>
        <v>7.6810185116468275E-5</v>
      </c>
      <c r="T332" s="213">
        <f t="shared" si="61"/>
        <v>3840.5092558234137</v>
      </c>
      <c r="U332" s="213">
        <f>IF($F332="","",'הזנה לתנאי סף'!N332)</f>
        <v>0</v>
      </c>
      <c r="V332" s="213">
        <f>IF($F332="","",'הזנה לתנאי סף'!O332)</f>
        <v>1</v>
      </c>
      <c r="W332" s="109">
        <v>0</v>
      </c>
      <c r="X332" s="109">
        <v>0</v>
      </c>
      <c r="Y332" s="109">
        <v>1</v>
      </c>
      <c r="Z332" s="214">
        <f t="shared" si="62"/>
        <v>0</v>
      </c>
      <c r="AA332" s="213" t="str">
        <f>IF(OR($F332="",V332=0),"",IF(V332=1,IF(COUNTBLANK(W332:X332)&gt;0,$AG$2,IF(OR(Z332&lt;='פרמטרים לקריטריונים'!$C$27,X332&gt;W332),"",X332-W332))))</f>
        <v/>
      </c>
      <c r="AB332" s="214" t="str">
        <f t="shared" si="63"/>
        <v/>
      </c>
      <c r="AC332" s="225" t="str">
        <f>IF(OR(AB332="",U332=1),"",IF(OR(COUNTBLANK(W332:Y332)&gt;0,AB332&gt;='פרמטרים לקריטריונים'!$E$54),'פרמטרים לקריטריונים'!$F$54,INDEX('פרמטרים לקריטריונים'!$F$49:$F$54,MATCH(AB332,'פרמטרים לקריטריונים'!$E$49:$E$54,1))))</f>
        <v/>
      </c>
      <c r="AD332" s="213" t="str">
        <f t="shared" si="64"/>
        <v/>
      </c>
      <c r="AE332" s="213">
        <f t="shared" si="65"/>
        <v>3840.5092558234137</v>
      </c>
      <c r="AG332" s="175">
        <f t="shared" si="66"/>
        <v>0</v>
      </c>
    </row>
    <row r="333" spans="1:33" ht="15.75" x14ac:dyDescent="0.2">
      <c r="A333" s="206">
        <f t="shared" si="56"/>
        <v>303</v>
      </c>
      <c r="B333" s="88">
        <f>IF($F333="","",'הזנה לתנאי סף'!C333)</f>
        <v>1001348223</v>
      </c>
      <c r="C333" s="88">
        <f>IF($F333="","",'הזנה לתנאי סף'!D333)</f>
        <v>1001273498</v>
      </c>
      <c r="D333" s="88">
        <f>IF($F333="","",'הזנה לתנאי סף'!E333)</f>
        <v>40000564</v>
      </c>
      <c r="E333" s="88">
        <f>IF($F333="","",'הזנה לתנאי סף'!F333)</f>
        <v>20000201</v>
      </c>
      <c r="F333" s="88" t="str">
        <f>IF(OR('הזנה לתנאי סף'!G333="",'הזנה לתנאי סף'!BL333&lt;&gt;1),"",'הזנה לתנאי סף'!G333)</f>
        <v>תל אביב -יפו</v>
      </c>
      <c r="G333" s="88" t="str">
        <f>IF($F333="","",'הזנה לתנאי סף'!H333)</f>
        <v>עמותת הכוריאוגרפים (ע"ר)</v>
      </c>
      <c r="H333" s="88" t="str">
        <f>IF($F333="","",'הזנה לתנאי סף'!I333)</f>
        <v>יוצרים עצמאיים במחול</v>
      </c>
      <c r="I333" s="109">
        <v>31095</v>
      </c>
      <c r="J333" s="213">
        <f>IF($F333="","",'הזנה לתנאי סף'!S333)</f>
        <v>44828</v>
      </c>
      <c r="K333" s="109"/>
      <c r="L333" s="213">
        <f t="shared" si="57"/>
        <v>75923</v>
      </c>
      <c r="M333" s="213">
        <f>IF($F333="","",IF(L333='הזנה לתנאי סף'!R333,1,0))</f>
        <v>1</v>
      </c>
      <c r="N333" s="214">
        <f t="shared" si="58"/>
        <v>0.40955968547080596</v>
      </c>
      <c r="O333" s="214">
        <f t="shared" si="59"/>
        <v>0.5904403145291941</v>
      </c>
      <c r="P333" s="109">
        <v>75387</v>
      </c>
      <c r="Q333" s="213">
        <f>IF($F333="","",IFERROR(IF(P333&gt;0,'פרמטרים לקריטריונים'!$C$25*P333*O333,$AG$2),""))</f>
        <v>13353.457197423706</v>
      </c>
      <c r="R333" s="213">
        <f>IF($F333="","",IFERROR('פרמטרים לקריטריונים'!$C$26*Q333,""))</f>
        <v>3283.6370157599276</v>
      </c>
      <c r="S333" s="214">
        <f t="shared" si="60"/>
        <v>4.866400588699189E-5</v>
      </c>
      <c r="T333" s="213">
        <f t="shared" si="61"/>
        <v>2433.2002943495945</v>
      </c>
      <c r="U333" s="213">
        <f>IF($F333="","",'הזנה לתנאי סף'!N333)</f>
        <v>0</v>
      </c>
      <c r="V333" s="213">
        <f>IF($F333="","",'הזנה לתנאי סף'!O333)</f>
        <v>1</v>
      </c>
      <c r="W333" s="109">
        <v>0</v>
      </c>
      <c r="X333" s="109">
        <v>0</v>
      </c>
      <c r="Y333" s="109">
        <v>1</v>
      </c>
      <c r="Z333" s="214">
        <f t="shared" si="62"/>
        <v>0</v>
      </c>
      <c r="AA333" s="213" t="str">
        <f>IF(OR($F333="",V333=0),"",IF(V333=1,IF(COUNTBLANK(W333:X333)&gt;0,$AG$2,IF(OR(Z333&lt;='פרמטרים לקריטריונים'!$C$27,X333&gt;W333),"",X333-W333))))</f>
        <v/>
      </c>
      <c r="AB333" s="214" t="str">
        <f t="shared" si="63"/>
        <v/>
      </c>
      <c r="AC333" s="225" t="str">
        <f>IF(OR(AB333="",U333=1),"",IF(OR(COUNTBLANK(W333:Y333)&gt;0,AB333&gt;='פרמטרים לקריטריונים'!$E$54),'פרמטרים לקריטריונים'!$F$54,INDEX('פרמטרים לקריטריונים'!$F$49:$F$54,MATCH(AB333,'פרמטרים לקריטריונים'!$E$49:$E$54,1))))</f>
        <v/>
      </c>
      <c r="AD333" s="213" t="str">
        <f t="shared" si="64"/>
        <v/>
      </c>
      <c r="AE333" s="213">
        <f t="shared" si="65"/>
        <v>2433.2002943495945</v>
      </c>
      <c r="AG333" s="175">
        <f t="shared" si="66"/>
        <v>0</v>
      </c>
    </row>
    <row r="334" spans="1:33" ht="15.75" x14ac:dyDescent="0.2">
      <c r="A334" s="206">
        <f t="shared" si="56"/>
        <v>304</v>
      </c>
      <c r="B334" s="88">
        <f>IF($F334="","",'הזנה לתנאי סף'!C334)</f>
        <v>1001348230</v>
      </c>
      <c r="C334" s="88">
        <f>IF($F334="","",'הזנה לתנאי סף'!D334)</f>
        <v>1001273594</v>
      </c>
      <c r="D334" s="88">
        <f>IF($F334="","",'הזנה לתנאי סף'!E334)</f>
        <v>40000564</v>
      </c>
      <c r="E334" s="88">
        <f>IF($F334="","",'הזנה לתנאי סף'!F334)</f>
        <v>20000201</v>
      </c>
      <c r="F334" s="88" t="str">
        <f>IF(OR('הזנה לתנאי סף'!G334="",'הזנה לתנאי סף'!BL334&lt;&gt;1),"",'הזנה לתנאי סף'!G334)</f>
        <v>תל אביב -יפו</v>
      </c>
      <c r="G334" s="88" t="str">
        <f>IF($F334="","",'הזנה לתנאי סף'!H334)</f>
        <v>עמותת הכוריאוגרפים (ע"ר)</v>
      </c>
      <c r="H334" s="88" t="str">
        <f>IF($F334="","",'הזנה לתנאי סף'!I334)</f>
        <v>יוצרים עצמאיים במחול</v>
      </c>
      <c r="I334" s="109">
        <v>16060</v>
      </c>
      <c r="J334" s="213">
        <f>IF($F334="","",'הזנה לתנאי סף'!S334)</f>
        <v>64932</v>
      </c>
      <c r="K334" s="109"/>
      <c r="L334" s="213">
        <f t="shared" si="57"/>
        <v>80992</v>
      </c>
      <c r="M334" s="213">
        <f>IF($F334="","",IF(L334='הזנה לתנאי סף'!R334,1,0))</f>
        <v>1</v>
      </c>
      <c r="N334" s="214">
        <f t="shared" si="58"/>
        <v>0.19829118925325959</v>
      </c>
      <c r="O334" s="214">
        <f t="shared" si="59"/>
        <v>0.80170881074674039</v>
      </c>
      <c r="P334" s="109">
        <v>58487</v>
      </c>
      <c r="Q334" s="213">
        <f>IF($F334="","",IFERROR(IF(P334&gt;0,'פרמטרים לקריטריונים'!$C$25*P334*O334,$AG$2),""))</f>
        <v>14066.862964243381</v>
      </c>
      <c r="R334" s="213">
        <f>IF($F334="","",IFERROR('פרמטרים לקריטריונים'!$C$26*Q334,""))</f>
        <v>3459.0646633385363</v>
      </c>
      <c r="S334" s="214">
        <f t="shared" si="60"/>
        <v>5.1263870620375293E-5</v>
      </c>
      <c r="T334" s="213">
        <f t="shared" si="61"/>
        <v>2563.1935310187646</v>
      </c>
      <c r="U334" s="213">
        <f>IF($F334="","",'הזנה לתנאי סף'!N334)</f>
        <v>0</v>
      </c>
      <c r="V334" s="213">
        <f>IF($F334="","",'הזנה לתנאי סף'!O334)</f>
        <v>1</v>
      </c>
      <c r="W334" s="109">
        <v>0</v>
      </c>
      <c r="X334" s="109">
        <v>0</v>
      </c>
      <c r="Y334" s="109">
        <v>1</v>
      </c>
      <c r="Z334" s="214">
        <f t="shared" si="62"/>
        <v>0</v>
      </c>
      <c r="AA334" s="213" t="str">
        <f>IF(OR($F334="",V334=0),"",IF(V334=1,IF(COUNTBLANK(W334:X334)&gt;0,$AG$2,IF(OR(Z334&lt;='פרמטרים לקריטריונים'!$C$27,X334&gt;W334),"",X334-W334))))</f>
        <v/>
      </c>
      <c r="AB334" s="214" t="str">
        <f t="shared" si="63"/>
        <v/>
      </c>
      <c r="AC334" s="225" t="str">
        <f>IF(OR(AB334="",U334=1),"",IF(OR(COUNTBLANK(W334:Y334)&gt;0,AB334&gt;='פרמטרים לקריטריונים'!$E$54),'פרמטרים לקריטריונים'!$F$54,INDEX('פרמטרים לקריטריונים'!$F$49:$F$54,MATCH(AB334,'פרמטרים לקריטריונים'!$E$49:$E$54,1))))</f>
        <v/>
      </c>
      <c r="AD334" s="213" t="str">
        <f t="shared" si="64"/>
        <v/>
      </c>
      <c r="AE334" s="213">
        <f t="shared" si="65"/>
        <v>2563.1935310187646</v>
      </c>
      <c r="AG334" s="175">
        <f t="shared" si="66"/>
        <v>0</v>
      </c>
    </row>
    <row r="335" spans="1:33" ht="15.75" x14ac:dyDescent="0.2">
      <c r="A335" s="206">
        <f t="shared" si="56"/>
        <v>305</v>
      </c>
      <c r="B335" s="88">
        <f>IF($F335="","",'הזנה לתנאי סף'!C335)</f>
        <v>1001348231</v>
      </c>
      <c r="C335" s="88">
        <f>IF($F335="","",'הזנה לתנאי סף'!D335)</f>
        <v>1001273598</v>
      </c>
      <c r="D335" s="88">
        <f>IF($F335="","",'הזנה לתנאי סף'!E335)</f>
        <v>40000564</v>
      </c>
      <c r="E335" s="88">
        <f>IF($F335="","",'הזנה לתנאי סף'!F335)</f>
        <v>20000201</v>
      </c>
      <c r="F335" s="88" t="str">
        <f>IF(OR('הזנה לתנאי סף'!G335="",'הזנה לתנאי סף'!BL335&lt;&gt;1),"",'הזנה לתנאי סף'!G335)</f>
        <v>תל אביב -יפו</v>
      </c>
      <c r="G335" s="88" t="str">
        <f>IF($F335="","",'הזנה לתנאי סף'!H335)</f>
        <v>עמותת הכוריאוגרפים (ע"ר)</v>
      </c>
      <c r="H335" s="88" t="str">
        <f>IF($F335="","",'הזנה לתנאי סף'!I335)</f>
        <v>יוצרים עצמאיים במחול</v>
      </c>
      <c r="I335" s="109">
        <v>80000</v>
      </c>
      <c r="J335" s="213">
        <f>IF($F335="","",'הזנה לתנאי סף'!S335)</f>
        <v>235471</v>
      </c>
      <c r="K335" s="109"/>
      <c r="L335" s="213">
        <f t="shared" si="57"/>
        <v>315471</v>
      </c>
      <c r="M335" s="213">
        <f>IF($F335="","",IF(L335='הזנה לתנאי סף'!R335,1,0))</f>
        <v>1</v>
      </c>
      <c r="N335" s="214">
        <f t="shared" si="58"/>
        <v>0.25358907791841406</v>
      </c>
      <c r="O335" s="214">
        <f t="shared" si="59"/>
        <v>0.74641092208158599</v>
      </c>
      <c r="P335" s="109">
        <v>319445</v>
      </c>
      <c r="Q335" s="213">
        <f>IF($F335="","",IFERROR(IF(P335&gt;0,'פרמטרים לקריטריונים'!$C$25*P335*O335,$AG$2),""))</f>
        <v>71531.171101305677</v>
      </c>
      <c r="R335" s="213">
        <f>IF($F335="","",IFERROR('פרמטרים לקריטריונים'!$C$26*Q335,""))</f>
        <v>17589.632238025984</v>
      </c>
      <c r="S335" s="214">
        <f t="shared" si="60"/>
        <v>2.6068105660674557E-4</v>
      </c>
      <c r="T335" s="213">
        <f t="shared" si="61"/>
        <v>13034.052830337279</v>
      </c>
      <c r="U335" s="213">
        <f>IF($F335="","",'הזנה לתנאי סף'!N335)</f>
        <v>0</v>
      </c>
      <c r="V335" s="213">
        <f>IF($F335="","",'הזנה לתנאי סף'!O335)</f>
        <v>1</v>
      </c>
      <c r="W335" s="109">
        <v>0</v>
      </c>
      <c r="X335" s="109">
        <v>0</v>
      </c>
      <c r="Y335" s="109">
        <v>1</v>
      </c>
      <c r="Z335" s="214">
        <f t="shared" si="62"/>
        <v>0</v>
      </c>
      <c r="AA335" s="213" t="str">
        <f>IF(OR($F335="",V335=0),"",IF(V335=1,IF(COUNTBLANK(W335:X335)&gt;0,$AG$2,IF(OR(Z335&lt;='פרמטרים לקריטריונים'!$C$27,X335&gt;W335),"",X335-W335))))</f>
        <v/>
      </c>
      <c r="AB335" s="214" t="str">
        <f t="shared" si="63"/>
        <v/>
      </c>
      <c r="AC335" s="225" t="str">
        <f>IF(OR(AB335="",U335=1),"",IF(OR(COUNTBLANK(W335:Y335)&gt;0,AB335&gt;='פרמטרים לקריטריונים'!$E$54),'פרמטרים לקריטריונים'!$F$54,INDEX('פרמטרים לקריטריונים'!$F$49:$F$54,MATCH(AB335,'פרמטרים לקריטריונים'!$E$49:$E$54,1))))</f>
        <v/>
      </c>
      <c r="AD335" s="213" t="str">
        <f t="shared" si="64"/>
        <v/>
      </c>
      <c r="AE335" s="213">
        <f t="shared" si="65"/>
        <v>13034.052830337279</v>
      </c>
      <c r="AG335" s="175">
        <f t="shared" si="66"/>
        <v>0</v>
      </c>
    </row>
    <row r="336" spans="1:33" ht="15.75" x14ac:dyDescent="0.2">
      <c r="A336" s="206">
        <f t="shared" si="56"/>
        <v>306</v>
      </c>
      <c r="B336" s="88">
        <f>IF($F336="","",'הזנה לתנאי סף'!C336)</f>
        <v>1001348232</v>
      </c>
      <c r="C336" s="88">
        <f>IF($F336="","",'הזנה לתנאי סף'!D336)</f>
        <v>1001273521</v>
      </c>
      <c r="D336" s="88">
        <f>IF($F336="","",'הזנה לתנאי סף'!E336)</f>
        <v>40000564</v>
      </c>
      <c r="E336" s="88">
        <f>IF($F336="","",'הזנה לתנאי סף'!F336)</f>
        <v>20000201</v>
      </c>
      <c r="F336" s="88" t="str">
        <f>IF(OR('הזנה לתנאי סף'!G336="",'הזנה לתנאי סף'!BL336&lt;&gt;1),"",'הזנה לתנאי סף'!G336)</f>
        <v>תל אביב -יפו</v>
      </c>
      <c r="G336" s="88" t="str">
        <f>IF($F336="","",'הזנה לתנאי סף'!H336)</f>
        <v>עמותת הכוריאוגרפים (ע"ר)</v>
      </c>
      <c r="H336" s="88" t="str">
        <f>IF($F336="","",'הזנה לתנאי סף'!I336)</f>
        <v>יוצרים עצמאיים במחול</v>
      </c>
      <c r="I336" s="109">
        <v>68615</v>
      </c>
      <c r="J336" s="213">
        <f>IF($F336="","",'הזנה לתנאי סף'!S336)</f>
        <v>52236</v>
      </c>
      <c r="K336" s="109"/>
      <c r="L336" s="213">
        <f t="shared" si="57"/>
        <v>120851</v>
      </c>
      <c r="M336" s="213">
        <f>IF($F336="","",IF(L336='הזנה לתנאי סף'!R336,1,0))</f>
        <v>1</v>
      </c>
      <c r="N336" s="214">
        <f t="shared" si="58"/>
        <v>0.56776526466475241</v>
      </c>
      <c r="O336" s="214">
        <f t="shared" si="59"/>
        <v>0.43223473533524759</v>
      </c>
      <c r="P336" s="109">
        <v>127990</v>
      </c>
      <c r="Q336" s="213">
        <f>IF($F336="","",IFERROR(IF(P336&gt;0,'פרמטרים לקריטריונים'!$C$25*P336*O336,$AG$2),""))</f>
        <v>16596.517132667501</v>
      </c>
      <c r="R336" s="213">
        <f>IF($F336="","",IFERROR('פרמטרים לקריטריונים'!$C$26*Q336,""))</f>
        <v>4081.1107703280741</v>
      </c>
      <c r="S336" s="214">
        <f t="shared" si="60"/>
        <v>6.0482689651599305E-5</v>
      </c>
      <c r="T336" s="213">
        <f t="shared" si="61"/>
        <v>3024.1344825799652</v>
      </c>
      <c r="U336" s="213">
        <f>IF($F336="","",'הזנה לתנאי סף'!N336)</f>
        <v>0</v>
      </c>
      <c r="V336" s="213">
        <f>IF($F336="","",'הזנה לתנאי סף'!O336)</f>
        <v>1</v>
      </c>
      <c r="W336" s="109">
        <v>0</v>
      </c>
      <c r="X336" s="109">
        <v>0</v>
      </c>
      <c r="Y336" s="109">
        <v>1</v>
      </c>
      <c r="Z336" s="214">
        <f t="shared" si="62"/>
        <v>0</v>
      </c>
      <c r="AA336" s="213" t="str">
        <f>IF(OR($F336="",V336=0),"",IF(V336=1,IF(COUNTBLANK(W336:X336)&gt;0,$AG$2,IF(OR(Z336&lt;='פרמטרים לקריטריונים'!$C$27,X336&gt;W336),"",X336-W336))))</f>
        <v/>
      </c>
      <c r="AB336" s="214" t="str">
        <f t="shared" si="63"/>
        <v/>
      </c>
      <c r="AC336" s="225" t="str">
        <f>IF(OR(AB336="",U336=1),"",IF(OR(COUNTBLANK(W336:Y336)&gt;0,AB336&gt;='פרמטרים לקריטריונים'!$E$54),'פרמטרים לקריטריונים'!$F$54,INDEX('פרמטרים לקריטריונים'!$F$49:$F$54,MATCH(AB336,'פרמטרים לקריטריונים'!$E$49:$E$54,1))))</f>
        <v/>
      </c>
      <c r="AD336" s="213" t="str">
        <f t="shared" si="64"/>
        <v/>
      </c>
      <c r="AE336" s="213">
        <f t="shared" si="65"/>
        <v>3024.1344825799652</v>
      </c>
      <c r="AG336" s="175">
        <f t="shared" si="66"/>
        <v>0</v>
      </c>
    </row>
    <row r="337" spans="1:33" ht="15.75" x14ac:dyDescent="0.2">
      <c r="A337" s="206">
        <f t="shared" si="56"/>
        <v>307</v>
      </c>
      <c r="B337" s="88">
        <f>IF($F337="","",'הזנה לתנאי סף'!C337)</f>
        <v>1001348233</v>
      </c>
      <c r="C337" s="88">
        <f>IF($F337="","",'הזנה לתנאי סף'!D337)</f>
        <v>1001272589</v>
      </c>
      <c r="D337" s="88">
        <f>IF($F337="","",'הזנה לתנאי סף'!E337)</f>
        <v>40000564</v>
      </c>
      <c r="E337" s="88">
        <f>IF($F337="","",'הזנה לתנאי סף'!F337)</f>
        <v>20000201</v>
      </c>
      <c r="F337" s="88" t="str">
        <f>IF(OR('הזנה לתנאי סף'!G337="",'הזנה לתנאי סף'!BL337&lt;&gt;1),"",'הזנה לתנאי סף'!G337)</f>
        <v>תל אביב -יפו</v>
      </c>
      <c r="G337" s="88" t="str">
        <f>IF($F337="","",'הזנה לתנאי סף'!H337)</f>
        <v>עמותת הכוריאוגרפים (ע"ר)</v>
      </c>
      <c r="H337" s="88" t="str">
        <f>IF($F337="","",'הזנה לתנאי סף'!I337)</f>
        <v>יוצרים עצמאיים במחול</v>
      </c>
      <c r="I337" s="109">
        <v>57100</v>
      </c>
      <c r="J337" s="213">
        <f>IF($F337="","",'הזנה לתנאי סף'!S337)</f>
        <v>75871</v>
      </c>
      <c r="K337" s="109"/>
      <c r="L337" s="213">
        <f t="shared" si="57"/>
        <v>132971</v>
      </c>
      <c r="M337" s="213">
        <f>IF($F337="","",IF(L337='הזנה לתנאי סף'!R337,1,0))</f>
        <v>1</v>
      </c>
      <c r="N337" s="214">
        <f t="shared" si="58"/>
        <v>0.42941694053590634</v>
      </c>
      <c r="O337" s="214">
        <f t="shared" si="59"/>
        <v>0.57058305946409371</v>
      </c>
      <c r="P337" s="109">
        <v>96104</v>
      </c>
      <c r="Q337" s="213">
        <f>IF($F337="","",IFERROR(IF(P337&gt;0,'פרמטרים לקריטריונים'!$C$25*P337*O337,$AG$2),""))</f>
        <v>16450.594304021179</v>
      </c>
      <c r="R337" s="213">
        <f>IF($F337="","",IFERROR('פרמטרים לקריטריונים'!$C$26*Q337,""))</f>
        <v>4045.2281075461915</v>
      </c>
      <c r="S337" s="214">
        <f t="shared" si="60"/>
        <v>5.9950903067248613E-5</v>
      </c>
      <c r="T337" s="213">
        <f t="shared" si="61"/>
        <v>2997.5451533624305</v>
      </c>
      <c r="U337" s="213">
        <f>IF($F337="","",'הזנה לתנאי סף'!N337)</f>
        <v>0</v>
      </c>
      <c r="V337" s="213">
        <f>IF($F337="","",'הזנה לתנאי סף'!O337)</f>
        <v>1</v>
      </c>
      <c r="W337" s="109">
        <v>0</v>
      </c>
      <c r="X337" s="109">
        <v>0</v>
      </c>
      <c r="Y337" s="109">
        <v>1</v>
      </c>
      <c r="Z337" s="214">
        <f t="shared" si="62"/>
        <v>0</v>
      </c>
      <c r="AA337" s="213" t="str">
        <f>IF(OR($F337="",V337=0),"",IF(V337=1,IF(COUNTBLANK(W337:X337)&gt;0,$AG$2,IF(OR(Z337&lt;='פרמטרים לקריטריונים'!$C$27,X337&gt;W337),"",X337-W337))))</f>
        <v/>
      </c>
      <c r="AB337" s="214" t="str">
        <f t="shared" si="63"/>
        <v/>
      </c>
      <c r="AC337" s="225" t="str">
        <f>IF(OR(AB337="",U337=1),"",IF(OR(COUNTBLANK(W337:Y337)&gt;0,AB337&gt;='פרמטרים לקריטריונים'!$E$54),'פרמטרים לקריטריונים'!$F$54,INDEX('פרמטרים לקריטריונים'!$F$49:$F$54,MATCH(AB337,'פרמטרים לקריטריונים'!$E$49:$E$54,1))))</f>
        <v/>
      </c>
      <c r="AD337" s="213" t="str">
        <f t="shared" si="64"/>
        <v/>
      </c>
      <c r="AE337" s="213">
        <f t="shared" si="65"/>
        <v>2997.5451533624305</v>
      </c>
      <c r="AG337" s="175">
        <f t="shared" si="66"/>
        <v>0</v>
      </c>
    </row>
    <row r="338" spans="1:33" ht="15.75" x14ac:dyDescent="0.2">
      <c r="A338" s="206">
        <f t="shared" si="56"/>
        <v>308</v>
      </c>
      <c r="B338" s="88">
        <f>IF($F338="","",'הזנה לתנאי סף'!C338)</f>
        <v>1001348234</v>
      </c>
      <c r="C338" s="88">
        <f>IF($F338="","",'הזנה לתנאי סף'!D338)</f>
        <v>1001272587</v>
      </c>
      <c r="D338" s="88">
        <f>IF($F338="","",'הזנה לתנאי סף'!E338)</f>
        <v>40000564</v>
      </c>
      <c r="E338" s="88">
        <f>IF($F338="","",'הזנה לתנאי סף'!F338)</f>
        <v>20000201</v>
      </c>
      <c r="F338" s="88" t="str">
        <f>IF(OR('הזנה לתנאי סף'!G338="",'הזנה לתנאי סף'!BL338&lt;&gt;1),"",'הזנה לתנאי סף'!G338)</f>
        <v>תל אביב -יפו</v>
      </c>
      <c r="G338" s="88" t="str">
        <f>IF($F338="","",'הזנה לתנאי סף'!H338)</f>
        <v>עמותת הכוריאוגרפים (ע"ר)</v>
      </c>
      <c r="H338" s="88" t="str">
        <f>IF($F338="","",'הזנה לתנאי סף'!I338)</f>
        <v>יוצרים עצמאיים במחול</v>
      </c>
      <c r="I338" s="109">
        <v>59526</v>
      </c>
      <c r="J338" s="213">
        <f>IF($F338="","",'הזנה לתנאי סף'!S338)</f>
        <v>38065</v>
      </c>
      <c r="K338" s="109"/>
      <c r="L338" s="213">
        <f t="shared" si="57"/>
        <v>97591</v>
      </c>
      <c r="M338" s="213">
        <f>IF($F338="","",IF(L338='הזנה לתנאי סף'!R338,1,0))</f>
        <v>1</v>
      </c>
      <c r="N338" s="214">
        <f t="shared" si="58"/>
        <v>0.60995378672213629</v>
      </c>
      <c r="O338" s="214">
        <f t="shared" si="59"/>
        <v>0.39004621327786371</v>
      </c>
      <c r="P338" s="109">
        <v>125042</v>
      </c>
      <c r="Q338" s="213">
        <f>IF($F338="","",IFERROR(IF(P338&gt;0,'פרמטרים לקריטריונים'!$C$25*P338*O338,$AG$2),""))</f>
        <v>14631.647580207189</v>
      </c>
      <c r="R338" s="213">
        <f>IF($F338="","",IFERROR('פרמטרים לקריטריונים'!$C$26*Q338,""))</f>
        <v>3597.9461262804562</v>
      </c>
      <c r="S338" s="214">
        <f t="shared" si="60"/>
        <v>5.3322115273411498E-5</v>
      </c>
      <c r="T338" s="213">
        <f t="shared" si="61"/>
        <v>2666.105763670575</v>
      </c>
      <c r="U338" s="213">
        <f>IF($F338="","",'הזנה לתנאי סף'!N338)</f>
        <v>0</v>
      </c>
      <c r="V338" s="213">
        <f>IF($F338="","",'הזנה לתנאי סף'!O338)</f>
        <v>1</v>
      </c>
      <c r="W338" s="109">
        <v>0</v>
      </c>
      <c r="X338" s="109">
        <v>0</v>
      </c>
      <c r="Y338" s="109">
        <v>1</v>
      </c>
      <c r="Z338" s="214">
        <f t="shared" si="62"/>
        <v>0</v>
      </c>
      <c r="AA338" s="213" t="str">
        <f>IF(OR($F338="",V338=0),"",IF(V338=1,IF(COUNTBLANK(W338:X338)&gt;0,$AG$2,IF(OR(Z338&lt;='פרמטרים לקריטריונים'!$C$27,X338&gt;W338),"",X338-W338))))</f>
        <v/>
      </c>
      <c r="AB338" s="214" t="str">
        <f t="shared" si="63"/>
        <v/>
      </c>
      <c r="AC338" s="225" t="str">
        <f>IF(OR(AB338="",U338=1),"",IF(OR(COUNTBLANK(W338:Y338)&gt;0,AB338&gt;='פרמטרים לקריטריונים'!$E$54),'פרמטרים לקריטריונים'!$F$54,INDEX('פרמטרים לקריטריונים'!$F$49:$F$54,MATCH(AB338,'פרמטרים לקריטריונים'!$E$49:$E$54,1))))</f>
        <v/>
      </c>
      <c r="AD338" s="213" t="str">
        <f t="shared" si="64"/>
        <v/>
      </c>
      <c r="AE338" s="213">
        <f t="shared" si="65"/>
        <v>2666.105763670575</v>
      </c>
      <c r="AG338" s="175">
        <f t="shared" si="66"/>
        <v>0</v>
      </c>
    </row>
    <row r="339" spans="1:33" ht="15.75" x14ac:dyDescent="0.2">
      <c r="A339" s="206">
        <f t="shared" si="56"/>
        <v>309</v>
      </c>
      <c r="B339" s="88">
        <f>IF($F339="","",'הזנה לתנאי סף'!C339)</f>
        <v>1001348235</v>
      </c>
      <c r="C339" s="88">
        <f>IF($F339="","",'הזנה לתנאי סף'!D339)</f>
        <v>1001272585</v>
      </c>
      <c r="D339" s="88">
        <f>IF($F339="","",'הזנה לתנאי סף'!E339)</f>
        <v>40000564</v>
      </c>
      <c r="E339" s="88">
        <f>IF($F339="","",'הזנה לתנאי סף'!F339)</f>
        <v>20000201</v>
      </c>
      <c r="F339" s="88" t="str">
        <f>IF(OR('הזנה לתנאי סף'!G339="",'הזנה לתנאי סף'!BL339&lt;&gt;1),"",'הזנה לתנאי סף'!G339)</f>
        <v>תל אביב -יפו</v>
      </c>
      <c r="G339" s="88" t="str">
        <f>IF($F339="","",'הזנה לתנאי סף'!H339)</f>
        <v>עמותת הכוריאוגרפים (ע"ר)</v>
      </c>
      <c r="H339" s="88" t="str">
        <f>IF($F339="","",'הזנה לתנאי סף'!I339)</f>
        <v>יוצרים עצמאיים במחול</v>
      </c>
      <c r="I339" s="109">
        <v>0</v>
      </c>
      <c r="J339" s="213">
        <f>IF($F339="","",'הזנה לתנאי סף'!S339)</f>
        <v>47332</v>
      </c>
      <c r="K339" s="109"/>
      <c r="L339" s="213">
        <f t="shared" si="57"/>
        <v>47332</v>
      </c>
      <c r="M339" s="213">
        <f>IF($F339="","",IF(L339='הזנה לתנאי סף'!R339,1,0))</f>
        <v>1</v>
      </c>
      <c r="N339" s="214">
        <f t="shared" si="58"/>
        <v>0</v>
      </c>
      <c r="O339" s="214">
        <f t="shared" si="59"/>
        <v>1</v>
      </c>
      <c r="P339" s="109">
        <v>250914</v>
      </c>
      <c r="Q339" s="213">
        <f>IF($F339="","",IFERROR(IF(P339&gt;0,'פרמטרים לקריטריונים'!$C$25*P339*O339,$AG$2),""))</f>
        <v>75274.2</v>
      </c>
      <c r="R339" s="213">
        <f>IF($F339="","",IFERROR('פרמטרים לקריטריונים'!$C$26*Q339,""))</f>
        <v>18510.049180327867</v>
      </c>
      <c r="S339" s="214">
        <f t="shared" si="60"/>
        <v>2.7432177733308929E-4</v>
      </c>
      <c r="T339" s="213">
        <f t="shared" si="61"/>
        <v>13716.088866654465</v>
      </c>
      <c r="U339" s="213">
        <f>IF($F339="","",'הזנה לתנאי סף'!N339)</f>
        <v>0</v>
      </c>
      <c r="V339" s="213">
        <f>IF($F339="","",'הזנה לתנאי סף'!O339)</f>
        <v>1</v>
      </c>
      <c r="W339" s="109">
        <v>0</v>
      </c>
      <c r="X339" s="109">
        <v>0</v>
      </c>
      <c r="Y339" s="109">
        <v>1</v>
      </c>
      <c r="Z339" s="214">
        <f t="shared" si="62"/>
        <v>0</v>
      </c>
      <c r="AA339" s="213" t="str">
        <f>IF(OR($F339="",V339=0),"",IF(V339=1,IF(COUNTBLANK(W339:X339)&gt;0,$AG$2,IF(OR(Z339&lt;='פרמטרים לקריטריונים'!$C$27,X339&gt;W339),"",X339-W339))))</f>
        <v/>
      </c>
      <c r="AB339" s="214" t="str">
        <f t="shared" si="63"/>
        <v/>
      </c>
      <c r="AC339" s="225" t="str">
        <f>IF(OR(AB339="",U339=1),"",IF(OR(COUNTBLANK(W339:Y339)&gt;0,AB339&gt;='פרמטרים לקריטריונים'!$E$54),'פרמטרים לקריטריונים'!$F$54,INDEX('פרמטרים לקריטריונים'!$F$49:$F$54,MATCH(AB339,'פרמטרים לקריטריונים'!$E$49:$E$54,1))))</f>
        <v/>
      </c>
      <c r="AD339" s="213" t="str">
        <f t="shared" si="64"/>
        <v/>
      </c>
      <c r="AE339" s="213">
        <f t="shared" si="65"/>
        <v>13716.088866654465</v>
      </c>
      <c r="AG339" s="175">
        <f t="shared" si="66"/>
        <v>0</v>
      </c>
    </row>
    <row r="340" spans="1:33" ht="15.75" x14ac:dyDescent="0.2">
      <c r="A340" s="206">
        <f t="shared" si="56"/>
        <v>310</v>
      </c>
      <c r="B340" s="88">
        <f>IF($F340="","",'הזנה לתנאי סף'!C340)</f>
        <v>1001348236</v>
      </c>
      <c r="C340" s="88">
        <f>IF($F340="","",'הזנה לתנאי סף'!D340)</f>
        <v>1001272586</v>
      </c>
      <c r="D340" s="88">
        <f>IF($F340="","",'הזנה לתנאי סף'!E340)</f>
        <v>40000564</v>
      </c>
      <c r="E340" s="88">
        <f>IF($F340="","",'הזנה לתנאי סף'!F340)</f>
        <v>20000201</v>
      </c>
      <c r="F340" s="88" t="str">
        <f>IF(OR('הזנה לתנאי סף'!G340="",'הזנה לתנאי סף'!BL340&lt;&gt;1),"",'הזנה לתנאי סף'!G340)</f>
        <v>תל אביב -יפו</v>
      </c>
      <c r="G340" s="88" t="str">
        <f>IF($F340="","",'הזנה לתנאי סף'!H340)</f>
        <v>עמותת הכוריאוגרפים (ע"ר)</v>
      </c>
      <c r="H340" s="88" t="str">
        <f>IF($F340="","",'הזנה לתנאי סף'!I340)</f>
        <v>יוצרים עצמאיים במחול</v>
      </c>
      <c r="I340" s="109">
        <v>0</v>
      </c>
      <c r="J340" s="213">
        <f>IF($F340="","",'הזנה לתנאי סף'!S340)</f>
        <v>41582</v>
      </c>
      <c r="K340" s="109"/>
      <c r="L340" s="213">
        <f t="shared" si="57"/>
        <v>41582</v>
      </c>
      <c r="M340" s="213">
        <f>IF($F340="","",IF(L340='הזנה לתנאי סף'!R340,1,0))</f>
        <v>1</v>
      </c>
      <c r="N340" s="214">
        <f t="shared" si="58"/>
        <v>0</v>
      </c>
      <c r="O340" s="214">
        <f t="shared" si="59"/>
        <v>1</v>
      </c>
      <c r="P340" s="109">
        <v>32626</v>
      </c>
      <c r="Q340" s="213">
        <f>IF($F340="","",IFERROR(IF(P340&gt;0,'פרמטרים לקריטריונים'!$C$25*P340*O340,$AG$2),""))</f>
        <v>9787.7999999999993</v>
      </c>
      <c r="R340" s="213">
        <f>IF($F340="","",IFERROR('פרמטרים לקריטריונים'!$C$26*Q340,""))</f>
        <v>2406.8360655737702</v>
      </c>
      <c r="S340" s="214">
        <f t="shared" si="60"/>
        <v>3.5669680875795578E-5</v>
      </c>
      <c r="T340" s="213">
        <f t="shared" si="61"/>
        <v>1783.484043789779</v>
      </c>
      <c r="U340" s="213">
        <f>IF($F340="","",'הזנה לתנאי סף'!N340)</f>
        <v>0</v>
      </c>
      <c r="V340" s="213">
        <f>IF($F340="","",'הזנה לתנאי סף'!O340)</f>
        <v>1</v>
      </c>
      <c r="W340" s="109">
        <v>0</v>
      </c>
      <c r="X340" s="109">
        <v>0</v>
      </c>
      <c r="Y340" s="109">
        <v>1</v>
      </c>
      <c r="Z340" s="214">
        <f t="shared" si="62"/>
        <v>0</v>
      </c>
      <c r="AA340" s="213" t="str">
        <f>IF(OR($F340="",V340=0),"",IF(V340=1,IF(COUNTBLANK(W340:X340)&gt;0,$AG$2,IF(OR(Z340&lt;='פרמטרים לקריטריונים'!$C$27,X340&gt;W340),"",X340-W340))))</f>
        <v/>
      </c>
      <c r="AB340" s="214" t="str">
        <f t="shared" si="63"/>
        <v/>
      </c>
      <c r="AC340" s="225" t="str">
        <f>IF(OR(AB340="",U340=1),"",IF(OR(COUNTBLANK(W340:Y340)&gt;0,AB340&gt;='פרמטרים לקריטריונים'!$E$54),'פרמטרים לקריטריונים'!$F$54,INDEX('פרמטרים לקריטריונים'!$F$49:$F$54,MATCH(AB340,'פרמטרים לקריטריונים'!$E$49:$E$54,1))))</f>
        <v/>
      </c>
      <c r="AD340" s="213" t="str">
        <f t="shared" si="64"/>
        <v/>
      </c>
      <c r="AE340" s="213">
        <f t="shared" si="65"/>
        <v>1783.484043789779</v>
      </c>
      <c r="AG340" s="175">
        <f t="shared" si="66"/>
        <v>0</v>
      </c>
    </row>
    <row r="341" spans="1:33" ht="15.75" x14ac:dyDescent="0.2">
      <c r="A341" s="206">
        <f t="shared" si="56"/>
        <v>311</v>
      </c>
      <c r="B341" s="88">
        <f>IF($F341="","",'הזנה לתנאי סף'!C341)</f>
        <v>1001348240</v>
      </c>
      <c r="C341" s="88">
        <f>IF($F341="","",'הזנה לתנאי סף'!D341)</f>
        <v>1001270940</v>
      </c>
      <c r="D341" s="88">
        <f>IF($F341="","",'הזנה לתנאי סף'!E341)</f>
        <v>40000564</v>
      </c>
      <c r="E341" s="88">
        <f>IF($F341="","",'הזנה לתנאי סף'!F341)</f>
        <v>20000201</v>
      </c>
      <c r="F341" s="88" t="str">
        <f>IF(OR('הזנה לתנאי סף'!G341="",'הזנה לתנאי סף'!BL341&lt;&gt;1),"",'הזנה לתנאי סף'!G341)</f>
        <v>תל אביב -יפו</v>
      </c>
      <c r="G341" s="88" t="str">
        <f>IF($F341="","",'הזנה לתנאי סף'!H341)</f>
        <v>עמותת הכוריאוגרפים (ע"ר)</v>
      </c>
      <c r="H341" s="88" t="str">
        <f>IF($F341="","",'הזנה לתנאי סף'!I341)</f>
        <v>יוצרים עצמאיים במחול</v>
      </c>
      <c r="I341" s="109">
        <v>134139</v>
      </c>
      <c r="J341" s="213">
        <f>IF($F341="","",'הזנה לתנאי סף'!S341)</f>
        <v>52044</v>
      </c>
      <c r="K341" s="109"/>
      <c r="L341" s="213">
        <f t="shared" si="57"/>
        <v>186183</v>
      </c>
      <c r="M341" s="213">
        <f>IF($F341="","",IF(L341='הזנה לתנאי סף'!R341,1,0))</f>
        <v>1</v>
      </c>
      <c r="N341" s="214">
        <f t="shared" si="58"/>
        <v>0.72046857124442076</v>
      </c>
      <c r="O341" s="214">
        <f t="shared" si="59"/>
        <v>0.27953142875557924</v>
      </c>
      <c r="P341" s="109">
        <v>196575</v>
      </c>
      <c r="Q341" s="213">
        <f>IF($F341="","",IFERROR(IF(P341&gt;0,'פרמטרים לקריטריונים'!$C$25*P341*O341,$AG$2),""))</f>
        <v>16484.667182288398</v>
      </c>
      <c r="R341" s="213">
        <f>IF($F341="","",IFERROR('פרמטרים לקריטריונים'!$C$26*Q341,""))</f>
        <v>4053.6066841692782</v>
      </c>
      <c r="S341" s="214">
        <f t="shared" si="60"/>
        <v>6.0075074862167955E-5</v>
      </c>
      <c r="T341" s="213">
        <f t="shared" si="61"/>
        <v>3003.7537431083979</v>
      </c>
      <c r="U341" s="213">
        <f>IF($F341="","",'הזנה לתנאי סף'!N341)</f>
        <v>0</v>
      </c>
      <c r="V341" s="213">
        <f>IF($F341="","",'הזנה לתנאי סף'!O341)</f>
        <v>1</v>
      </c>
      <c r="W341" s="109">
        <v>0</v>
      </c>
      <c r="X341" s="109">
        <v>0</v>
      </c>
      <c r="Y341" s="109">
        <v>1</v>
      </c>
      <c r="Z341" s="214">
        <f t="shared" si="62"/>
        <v>0</v>
      </c>
      <c r="AA341" s="213" t="str">
        <f>IF(OR($F341="",V341=0),"",IF(V341=1,IF(COUNTBLANK(W341:X341)&gt;0,$AG$2,IF(OR(Z341&lt;='פרמטרים לקריטריונים'!$C$27,X341&gt;W341),"",X341-W341))))</f>
        <v/>
      </c>
      <c r="AB341" s="214" t="str">
        <f t="shared" si="63"/>
        <v/>
      </c>
      <c r="AC341" s="225" t="str">
        <f>IF(OR(AB341="",U341=1),"",IF(OR(COUNTBLANK(W341:Y341)&gt;0,AB341&gt;='פרמטרים לקריטריונים'!$E$54),'פרמטרים לקריטריונים'!$F$54,INDEX('פרמטרים לקריטריונים'!$F$49:$F$54,MATCH(AB341,'פרמטרים לקריטריונים'!$E$49:$E$54,1))))</f>
        <v/>
      </c>
      <c r="AD341" s="213" t="str">
        <f t="shared" si="64"/>
        <v/>
      </c>
      <c r="AE341" s="213">
        <f t="shared" si="65"/>
        <v>3003.7537431083979</v>
      </c>
      <c r="AG341" s="175">
        <f t="shared" si="66"/>
        <v>0</v>
      </c>
    </row>
    <row r="342" spans="1:33" ht="15.75" x14ac:dyDescent="0.2">
      <c r="A342" s="206">
        <f t="shared" si="56"/>
        <v>312</v>
      </c>
      <c r="B342" s="88">
        <f>IF($F342="","",'הזנה לתנאי סף'!C342)</f>
        <v>1001348241</v>
      </c>
      <c r="C342" s="88">
        <f>IF($F342="","",'הזנה לתנאי סף'!D342)</f>
        <v>1001272574</v>
      </c>
      <c r="D342" s="88">
        <f>IF($F342="","",'הזנה לתנאי סף'!E342)</f>
        <v>40000564</v>
      </c>
      <c r="E342" s="88">
        <f>IF($F342="","",'הזנה לתנאי סף'!F342)</f>
        <v>20000201</v>
      </c>
      <c r="F342" s="88" t="str">
        <f>IF(OR('הזנה לתנאי סף'!G342="",'הזנה לתנאי סף'!BL342&lt;&gt;1),"",'הזנה לתנאי סף'!G342)</f>
        <v>תל אביב -יפו</v>
      </c>
      <c r="G342" s="88" t="str">
        <f>IF($F342="","",'הזנה לתנאי סף'!H342)</f>
        <v>עמותת הכוריאוגרפים (ע"ר)</v>
      </c>
      <c r="H342" s="88" t="str">
        <f>IF($F342="","",'הזנה לתנאי סף'!I342)</f>
        <v>יוצרים עצמאיים במחול</v>
      </c>
      <c r="I342" s="109">
        <v>48675</v>
      </c>
      <c r="J342" s="213">
        <f>IF($F342="","",'הזנה לתנאי סף'!S342)</f>
        <v>166975</v>
      </c>
      <c r="K342" s="109"/>
      <c r="L342" s="213">
        <f t="shared" si="57"/>
        <v>215650</v>
      </c>
      <c r="M342" s="213">
        <f>IF($F342="","",IF(L342='הזנה לתנאי סף'!R342,1,0))</f>
        <v>1</v>
      </c>
      <c r="N342" s="214">
        <f t="shared" si="58"/>
        <v>0.22571296081613726</v>
      </c>
      <c r="O342" s="214">
        <f t="shared" si="59"/>
        <v>0.77428703918386277</v>
      </c>
      <c r="P342" s="109">
        <v>209973</v>
      </c>
      <c r="Q342" s="213">
        <f>IF($F342="","",IFERROR(IF(P342&gt;0,'פרמטרים לקריטריונים'!$C$25*P342*O342,$AG$2),""))</f>
        <v>48773.811743565959</v>
      </c>
      <c r="R342" s="213">
        <f>IF($F342="","",IFERROR('פרמטרים לקריטריונים'!$C$26*Q342,""))</f>
        <v>11993.560264811302</v>
      </c>
      <c r="S342" s="214">
        <f t="shared" si="60"/>
        <v>1.7774640879351117E-4</v>
      </c>
      <c r="T342" s="213">
        <f t="shared" si="61"/>
        <v>8887.3204396755591</v>
      </c>
      <c r="U342" s="213">
        <f>IF($F342="","",'הזנה לתנאי סף'!N342)</f>
        <v>0</v>
      </c>
      <c r="V342" s="213">
        <f>IF($F342="","",'הזנה לתנאי סף'!O342)</f>
        <v>1</v>
      </c>
      <c r="W342" s="109">
        <v>0</v>
      </c>
      <c r="X342" s="109">
        <v>0</v>
      </c>
      <c r="Y342" s="109">
        <v>1</v>
      </c>
      <c r="Z342" s="214">
        <f t="shared" si="62"/>
        <v>0</v>
      </c>
      <c r="AA342" s="213" t="str">
        <f>IF(OR($F342="",V342=0),"",IF(V342=1,IF(COUNTBLANK(W342:X342)&gt;0,$AG$2,IF(OR(Z342&lt;='פרמטרים לקריטריונים'!$C$27,X342&gt;W342),"",X342-W342))))</f>
        <v/>
      </c>
      <c r="AB342" s="214" t="str">
        <f t="shared" si="63"/>
        <v/>
      </c>
      <c r="AC342" s="225" t="str">
        <f>IF(OR(AB342="",U342=1),"",IF(OR(COUNTBLANK(W342:Y342)&gt;0,AB342&gt;='פרמטרים לקריטריונים'!$E$54),'פרמטרים לקריטריונים'!$F$54,INDEX('פרמטרים לקריטריונים'!$F$49:$F$54,MATCH(AB342,'פרמטרים לקריטריונים'!$E$49:$E$54,1))))</f>
        <v/>
      </c>
      <c r="AD342" s="213" t="str">
        <f t="shared" si="64"/>
        <v/>
      </c>
      <c r="AE342" s="213">
        <f t="shared" si="65"/>
        <v>8887.3204396755591</v>
      </c>
      <c r="AG342" s="175">
        <f t="shared" si="66"/>
        <v>0</v>
      </c>
    </row>
    <row r="343" spans="1:33" ht="15.75" x14ac:dyDescent="0.2">
      <c r="A343" s="206">
        <f t="shared" si="56"/>
        <v>313</v>
      </c>
      <c r="B343" s="88">
        <f>IF($F343="","",'הזנה לתנאי סף'!C343)</f>
        <v>1001348248</v>
      </c>
      <c r="C343" s="88">
        <f>IF($F343="","",'הזנה לתנאי סף'!D343)</f>
        <v>1001272582</v>
      </c>
      <c r="D343" s="88">
        <f>IF($F343="","",'הזנה לתנאי סף'!E343)</f>
        <v>40000564</v>
      </c>
      <c r="E343" s="88">
        <f>IF($F343="","",'הזנה לתנאי סף'!F343)</f>
        <v>20000201</v>
      </c>
      <c r="F343" s="88" t="str">
        <f>IF(OR('הזנה לתנאי סף'!G343="",'הזנה לתנאי סף'!BL343&lt;&gt;1),"",'הזנה לתנאי סף'!G343)</f>
        <v>תל אביב -יפו</v>
      </c>
      <c r="G343" s="88" t="str">
        <f>IF($F343="","",'הזנה לתנאי סף'!H343)</f>
        <v>עמותת הכוריאוגרפים (ע"ר)</v>
      </c>
      <c r="H343" s="88" t="str">
        <f>IF($F343="","",'הזנה לתנאי סף'!I343)</f>
        <v>יוצרים עצמאיים במחול</v>
      </c>
      <c r="I343" s="109">
        <v>0</v>
      </c>
      <c r="J343" s="213">
        <f>IF($F343="","",'הזנה לתנאי סף'!S343)</f>
        <v>349701</v>
      </c>
      <c r="K343" s="109"/>
      <c r="L343" s="213">
        <f t="shared" si="57"/>
        <v>349701</v>
      </c>
      <c r="M343" s="213">
        <f>IF($F343="","",IF(L343='הזנה לתנאי סף'!R343,1,0))</f>
        <v>1</v>
      </c>
      <c r="N343" s="214">
        <f t="shared" si="58"/>
        <v>0</v>
      </c>
      <c r="O343" s="214">
        <f t="shared" si="59"/>
        <v>1</v>
      </c>
      <c r="P343" s="109">
        <v>131815</v>
      </c>
      <c r="Q343" s="213">
        <f>IF($F343="","",IFERROR(IF(P343&gt;0,'פרמטרים לקריטריונים'!$C$25*P343*O343,$AG$2),""))</f>
        <v>39544.5</v>
      </c>
      <c r="R343" s="213">
        <f>IF($F343="","",IFERROR('פרמטרים לקריטריונים'!$C$26*Q343,""))</f>
        <v>9724.057377049181</v>
      </c>
      <c r="S343" s="214">
        <f t="shared" si="60"/>
        <v>1.4411202674685818E-4</v>
      </c>
      <c r="T343" s="213">
        <f t="shared" si="61"/>
        <v>7205.6013373429087</v>
      </c>
      <c r="U343" s="213">
        <f>IF($F343="","",'הזנה לתנאי סף'!N343)</f>
        <v>0</v>
      </c>
      <c r="V343" s="213">
        <f>IF($F343="","",'הזנה לתנאי סף'!O343)</f>
        <v>1</v>
      </c>
      <c r="W343" s="109">
        <v>0</v>
      </c>
      <c r="X343" s="109">
        <v>0</v>
      </c>
      <c r="Y343" s="109">
        <v>1</v>
      </c>
      <c r="Z343" s="214">
        <f t="shared" si="62"/>
        <v>0</v>
      </c>
      <c r="AA343" s="213" t="str">
        <f>IF(OR($F343="",V343=0),"",IF(V343=1,IF(COUNTBLANK(W343:X343)&gt;0,$AG$2,IF(OR(Z343&lt;='פרמטרים לקריטריונים'!$C$27,X343&gt;W343),"",X343-W343))))</f>
        <v/>
      </c>
      <c r="AB343" s="214" t="str">
        <f t="shared" si="63"/>
        <v/>
      </c>
      <c r="AC343" s="225" t="str">
        <f>IF(OR(AB343="",U343=1),"",IF(OR(COUNTBLANK(W343:Y343)&gt;0,AB343&gt;='פרמטרים לקריטריונים'!$E$54),'פרמטרים לקריטריונים'!$F$54,INDEX('פרמטרים לקריטריונים'!$F$49:$F$54,MATCH(AB343,'פרמטרים לקריטריונים'!$E$49:$E$54,1))))</f>
        <v/>
      </c>
      <c r="AD343" s="213" t="str">
        <f t="shared" si="64"/>
        <v/>
      </c>
      <c r="AE343" s="213">
        <f t="shared" si="65"/>
        <v>7205.6013373429087</v>
      </c>
      <c r="AG343" s="175">
        <f t="shared" si="66"/>
        <v>0</v>
      </c>
    </row>
    <row r="344" spans="1:33" ht="15.75" x14ac:dyDescent="0.2">
      <c r="A344" s="206">
        <f t="shared" si="56"/>
        <v>314</v>
      </c>
      <c r="B344" s="88">
        <f>IF($F344="","",'הזנה לתנאי סף'!C344)</f>
        <v>1001348257</v>
      </c>
      <c r="C344" s="88">
        <f>IF($F344="","",'הזנה לתנאי סף'!D344)</f>
        <v>1001272579</v>
      </c>
      <c r="D344" s="88">
        <f>IF($F344="","",'הזנה לתנאי סף'!E344)</f>
        <v>40000564</v>
      </c>
      <c r="E344" s="88">
        <f>IF($F344="","",'הזנה לתנאי סף'!F344)</f>
        <v>20000201</v>
      </c>
      <c r="F344" s="88" t="str">
        <f>IF(OR('הזנה לתנאי סף'!G344="",'הזנה לתנאי סף'!BL344&lt;&gt;1),"",'הזנה לתנאי סף'!G344)</f>
        <v>תל אביב -יפו</v>
      </c>
      <c r="G344" s="88" t="str">
        <f>IF($F344="","",'הזנה לתנאי סף'!H344)</f>
        <v>עמותת הכוריאוגרפים (ע"ר)</v>
      </c>
      <c r="H344" s="88" t="str">
        <f>IF($F344="","",'הזנה לתנאי סף'!I344)</f>
        <v>יוצרים עצמאיים במחול</v>
      </c>
      <c r="I344" s="109">
        <v>0</v>
      </c>
      <c r="J344" s="213">
        <f>IF($F344="","",'הזנה לתנאי סף'!S344)</f>
        <v>106279</v>
      </c>
      <c r="K344" s="109"/>
      <c r="L344" s="213">
        <f t="shared" si="57"/>
        <v>106279</v>
      </c>
      <c r="M344" s="213">
        <f>IF($F344="","",IF(L344='הזנה לתנאי סף'!R344,1,0))</f>
        <v>1</v>
      </c>
      <c r="N344" s="214">
        <f t="shared" si="58"/>
        <v>0</v>
      </c>
      <c r="O344" s="214">
        <f t="shared" si="59"/>
        <v>1</v>
      </c>
      <c r="P344" s="109">
        <v>76168</v>
      </c>
      <c r="Q344" s="213">
        <f>IF($F344="","",IFERROR(IF(P344&gt;0,'פרמטרים לקריטריונים'!$C$25*P344*O344,$AG$2),""))</f>
        <v>22850.399999999998</v>
      </c>
      <c r="R344" s="213">
        <f>IF($F344="","",IFERROR('פרמטרים לקריטריונים'!$C$26*Q344,""))</f>
        <v>5618.9508196721308</v>
      </c>
      <c r="S344" s="214">
        <f t="shared" si="60"/>
        <v>8.3273715838521353E-5</v>
      </c>
      <c r="T344" s="213">
        <f t="shared" si="61"/>
        <v>4163.6857919260674</v>
      </c>
      <c r="U344" s="213">
        <f>IF($F344="","",'הזנה לתנאי סף'!N344)</f>
        <v>0</v>
      </c>
      <c r="V344" s="213">
        <f>IF($F344="","",'הזנה לתנאי סף'!O344)</f>
        <v>1</v>
      </c>
      <c r="W344" s="109">
        <v>0</v>
      </c>
      <c r="X344" s="109">
        <v>0</v>
      </c>
      <c r="Y344" s="109">
        <v>1</v>
      </c>
      <c r="Z344" s="214">
        <f t="shared" si="62"/>
        <v>0</v>
      </c>
      <c r="AA344" s="213" t="str">
        <f>IF(OR($F344="",V344=0),"",IF(V344=1,IF(COUNTBLANK(W344:X344)&gt;0,$AG$2,IF(OR(Z344&lt;='פרמטרים לקריטריונים'!$C$27,X344&gt;W344),"",X344-W344))))</f>
        <v/>
      </c>
      <c r="AB344" s="214" t="str">
        <f t="shared" si="63"/>
        <v/>
      </c>
      <c r="AC344" s="225" t="str">
        <f>IF(OR(AB344="",U344=1),"",IF(OR(COUNTBLANK(W344:Y344)&gt;0,AB344&gt;='פרמטרים לקריטריונים'!$E$54),'פרמטרים לקריטריונים'!$F$54,INDEX('פרמטרים לקריטריונים'!$F$49:$F$54,MATCH(AB344,'פרמטרים לקריטריונים'!$E$49:$E$54,1))))</f>
        <v/>
      </c>
      <c r="AD344" s="213" t="str">
        <f t="shared" si="64"/>
        <v/>
      </c>
      <c r="AE344" s="213">
        <f t="shared" si="65"/>
        <v>4163.6857919260674</v>
      </c>
      <c r="AG344" s="175">
        <f t="shared" si="66"/>
        <v>0</v>
      </c>
    </row>
    <row r="345" spans="1:33" ht="15.75" x14ac:dyDescent="0.2">
      <c r="A345" s="206">
        <f t="shared" si="56"/>
        <v>315</v>
      </c>
      <c r="B345" s="88">
        <f>IF($F345="","",'הזנה לתנאי סף'!C345)</f>
        <v>1001349448</v>
      </c>
      <c r="C345" s="88">
        <f>IF($F345="","",'הזנה לתנאי סף'!D345)</f>
        <v>1001272605</v>
      </c>
      <c r="D345" s="88">
        <f>IF($F345="","",'הזנה לתנאי סף'!E345)</f>
        <v>40000564</v>
      </c>
      <c r="E345" s="88">
        <f>IF($F345="","",'הזנה לתנאי סף'!F345)</f>
        <v>20000201</v>
      </c>
      <c r="F345" s="88" t="str">
        <f>IF(OR('הזנה לתנאי סף'!G345="",'הזנה לתנאי סף'!BL345&lt;&gt;1),"",'הזנה לתנאי סף'!G345)</f>
        <v>תל אביב -יפו</v>
      </c>
      <c r="G345" s="88" t="str">
        <f>IF($F345="","",'הזנה לתנאי סף'!H345)</f>
        <v>עמותת הכוריאוגרפים (ע"ר)</v>
      </c>
      <c r="H345" s="88" t="str">
        <f>IF($F345="","",'הזנה לתנאי סף'!I345)</f>
        <v>יוצרים עצמאיים במחול</v>
      </c>
      <c r="I345" s="109">
        <v>0</v>
      </c>
      <c r="J345" s="213">
        <f>IF($F345="","",'הזנה לתנאי סף'!S345)</f>
        <v>45591</v>
      </c>
      <c r="K345" s="109"/>
      <c r="L345" s="213">
        <f t="shared" si="57"/>
        <v>45591</v>
      </c>
      <c r="M345" s="213">
        <f>IF($F345="","",IF(L345='הזנה לתנאי סף'!R345,1,0))</f>
        <v>1</v>
      </c>
      <c r="N345" s="214">
        <f t="shared" si="58"/>
        <v>0</v>
      </c>
      <c r="O345" s="214">
        <f t="shared" si="59"/>
        <v>1</v>
      </c>
      <c r="P345" s="109">
        <v>39443</v>
      </c>
      <c r="Q345" s="213">
        <f>IF($F345="","",IFERROR(IF(P345&gt;0,'פרמטרים לקריטריונים'!$C$25*P345*O345,$AG$2),""))</f>
        <v>11832.9</v>
      </c>
      <c r="R345" s="213">
        <f>IF($F345="","",IFERROR('פרמטרים לקריטריונים'!$C$26*Q345,""))</f>
        <v>2909.7295081967213</v>
      </c>
      <c r="S345" s="214">
        <f t="shared" si="60"/>
        <v>4.3122639084901771E-5</v>
      </c>
      <c r="T345" s="213">
        <f t="shared" si="61"/>
        <v>2156.1319542450888</v>
      </c>
      <c r="U345" s="213">
        <f>IF($F345="","",'הזנה לתנאי סף'!N345)</f>
        <v>0</v>
      </c>
      <c r="V345" s="213">
        <f>IF($F345="","",'הזנה לתנאי סף'!O345)</f>
        <v>1</v>
      </c>
      <c r="W345" s="109">
        <v>0</v>
      </c>
      <c r="X345" s="109">
        <v>0</v>
      </c>
      <c r="Y345" s="109">
        <v>1</v>
      </c>
      <c r="Z345" s="214">
        <f t="shared" si="62"/>
        <v>0</v>
      </c>
      <c r="AA345" s="213" t="str">
        <f>IF(OR($F345="",V345=0),"",IF(V345=1,IF(COUNTBLANK(W345:X345)&gt;0,$AG$2,IF(OR(Z345&lt;='פרמטרים לקריטריונים'!$C$27,X345&gt;W345),"",X345-W345))))</f>
        <v/>
      </c>
      <c r="AB345" s="214" t="str">
        <f t="shared" si="63"/>
        <v/>
      </c>
      <c r="AC345" s="225" t="str">
        <f>IF(OR(AB345="",U345=1),"",IF(OR(COUNTBLANK(W345:Y345)&gt;0,AB345&gt;='פרמטרים לקריטריונים'!$E$54),'פרמטרים לקריטריונים'!$F$54,INDEX('פרמטרים לקריטריונים'!$F$49:$F$54,MATCH(AB345,'פרמטרים לקריטריונים'!$E$49:$E$54,1))))</f>
        <v/>
      </c>
      <c r="AD345" s="213" t="str">
        <f t="shared" si="64"/>
        <v/>
      </c>
      <c r="AE345" s="213">
        <f t="shared" si="65"/>
        <v>2156.1319542450888</v>
      </c>
      <c r="AG345" s="175">
        <f t="shared" si="66"/>
        <v>0</v>
      </c>
    </row>
    <row r="346" spans="1:33" ht="15.75" x14ac:dyDescent="0.2">
      <c r="A346" s="206">
        <f t="shared" si="56"/>
        <v>316</v>
      </c>
      <c r="B346" s="88">
        <f>IF($F346="","",'הזנה לתנאי סף'!C346)</f>
        <v>1001349449</v>
      </c>
      <c r="C346" s="88">
        <f>IF($F346="","",'הזנה לתנאי סף'!D346)</f>
        <v>1001273656</v>
      </c>
      <c r="D346" s="88">
        <f>IF($F346="","",'הזנה לתנאי סף'!E346)</f>
        <v>40000564</v>
      </c>
      <c r="E346" s="88">
        <f>IF($F346="","",'הזנה לתנאי סף'!F346)</f>
        <v>20000201</v>
      </c>
      <c r="F346" s="88" t="str">
        <f>IF(OR('הזנה לתנאי סף'!G346="",'הזנה לתנאי סף'!BL346&lt;&gt;1),"",'הזנה לתנאי סף'!G346)</f>
        <v>תל אביב -יפו</v>
      </c>
      <c r="G346" s="88" t="str">
        <f>IF($F346="","",'הזנה לתנאי סף'!H346)</f>
        <v>עמותת הכוריאוגרפים (ע"ר)</v>
      </c>
      <c r="H346" s="88" t="str">
        <f>IF($F346="","",'הזנה לתנאי סף'!I346)</f>
        <v>יוצרים עצמאיים במחול</v>
      </c>
      <c r="I346" s="109">
        <v>0</v>
      </c>
      <c r="J346" s="213">
        <f>IF($F346="","",'הזנה לתנאי סף'!S346)</f>
        <v>57620</v>
      </c>
      <c r="K346" s="109"/>
      <c r="L346" s="213">
        <f t="shared" si="57"/>
        <v>57620</v>
      </c>
      <c r="M346" s="213">
        <f>IF($F346="","",IF(L346='הזנה לתנאי סף'!R346,1,0))</f>
        <v>1</v>
      </c>
      <c r="N346" s="214">
        <f t="shared" si="58"/>
        <v>0</v>
      </c>
      <c r="O346" s="214">
        <f t="shared" si="59"/>
        <v>1</v>
      </c>
      <c r="P346" s="109">
        <v>25546</v>
      </c>
      <c r="Q346" s="213">
        <f>IF($F346="","",IFERROR(IF(P346&gt;0,'פרמטרים לקריטריונים'!$C$25*P346*O346,$AG$2),""))</f>
        <v>7663.7999999999993</v>
      </c>
      <c r="R346" s="213">
        <f>IF($F346="","",IFERROR('פרמטרים לקריטריונים'!$C$26*Q346,""))</f>
        <v>1884.5409836065571</v>
      </c>
      <c r="S346" s="214">
        <f t="shared" si="60"/>
        <v>2.7929187385921466E-5</v>
      </c>
      <c r="T346" s="213">
        <f t="shared" si="61"/>
        <v>1396.4593692960734</v>
      </c>
      <c r="U346" s="213">
        <f>IF($F346="","",'הזנה לתנאי סף'!N346)</f>
        <v>0</v>
      </c>
      <c r="V346" s="213">
        <f>IF($F346="","",'הזנה לתנאי סף'!O346)</f>
        <v>1</v>
      </c>
      <c r="W346" s="109">
        <v>0</v>
      </c>
      <c r="X346" s="109">
        <v>0</v>
      </c>
      <c r="Y346" s="109">
        <v>1</v>
      </c>
      <c r="Z346" s="214">
        <f t="shared" si="62"/>
        <v>0</v>
      </c>
      <c r="AA346" s="213" t="str">
        <f>IF(OR($F346="",V346=0),"",IF(V346=1,IF(COUNTBLANK(W346:X346)&gt;0,$AG$2,IF(OR(Z346&lt;='פרמטרים לקריטריונים'!$C$27,X346&gt;W346),"",X346-W346))))</f>
        <v/>
      </c>
      <c r="AB346" s="214" t="str">
        <f t="shared" si="63"/>
        <v/>
      </c>
      <c r="AC346" s="225" t="str">
        <f>IF(OR(AB346="",U346=1),"",IF(OR(COUNTBLANK(W346:Y346)&gt;0,AB346&gt;='פרמטרים לקריטריונים'!$E$54),'פרמטרים לקריטריונים'!$F$54,INDEX('פרמטרים לקריטריונים'!$F$49:$F$54,MATCH(AB346,'פרמטרים לקריטריונים'!$E$49:$E$54,1))))</f>
        <v/>
      </c>
      <c r="AD346" s="213" t="str">
        <f t="shared" si="64"/>
        <v/>
      </c>
      <c r="AE346" s="213">
        <f t="shared" si="65"/>
        <v>1396.4593692960734</v>
      </c>
      <c r="AG346" s="175">
        <f t="shared" si="66"/>
        <v>0</v>
      </c>
    </row>
    <row r="347" spans="1:33" ht="15.75" x14ac:dyDescent="0.2">
      <c r="A347" s="206">
        <f t="shared" si="56"/>
        <v>317</v>
      </c>
      <c r="B347" s="88">
        <f>IF($F347="","",'הזנה לתנאי סף'!C347)</f>
        <v>1001349480</v>
      </c>
      <c r="C347" s="88">
        <f>IF($F347="","",'הזנה לתנאי סף'!D347)</f>
        <v>1001272601</v>
      </c>
      <c r="D347" s="88">
        <f>IF($F347="","",'הזנה לתנאי סף'!E347)</f>
        <v>40000564</v>
      </c>
      <c r="E347" s="88">
        <f>IF($F347="","",'הזנה לתנאי סף'!F347)</f>
        <v>20000201</v>
      </c>
      <c r="F347" s="88" t="str">
        <f>IF(OR('הזנה לתנאי סף'!G347="",'הזנה לתנאי סף'!BL347&lt;&gt;1),"",'הזנה לתנאי סף'!G347)</f>
        <v>תל אביב -יפו</v>
      </c>
      <c r="G347" s="88" t="str">
        <f>IF($F347="","",'הזנה לתנאי סף'!H347)</f>
        <v>עמותת הכוריאוגרפים (ע"ר)</v>
      </c>
      <c r="H347" s="88" t="str">
        <f>IF($F347="","",'הזנה לתנאי סף'!I347)</f>
        <v>יוצרים עצמאיים במחול</v>
      </c>
      <c r="I347" s="109">
        <v>0</v>
      </c>
      <c r="J347" s="213">
        <f>IF($F347="","",'הזנה לתנאי סף'!S347)</f>
        <v>45448</v>
      </c>
      <c r="K347" s="109"/>
      <c r="L347" s="213">
        <f t="shared" si="57"/>
        <v>45448</v>
      </c>
      <c r="M347" s="213">
        <f>IF($F347="","",IF(L347='הזנה לתנאי סף'!R347,1,0))</f>
        <v>1</v>
      </c>
      <c r="N347" s="214">
        <f t="shared" si="58"/>
        <v>0</v>
      </c>
      <c r="O347" s="214">
        <f t="shared" si="59"/>
        <v>1</v>
      </c>
      <c r="P347" s="109">
        <v>36207</v>
      </c>
      <c r="Q347" s="213">
        <f>IF($F347="","",IFERROR(IF(P347&gt;0,'פרמטרים לקריטריונים'!$C$25*P347*O347,$AG$2),""))</f>
        <v>10862.1</v>
      </c>
      <c r="R347" s="213">
        <f>IF($F347="","",IFERROR('פרמטרים לקריטריונים'!$C$26*Q347,""))</f>
        <v>2671.0081967213114</v>
      </c>
      <c r="S347" s="214">
        <f t="shared" si="60"/>
        <v>3.9584752512411283E-5</v>
      </c>
      <c r="T347" s="213">
        <f t="shared" si="61"/>
        <v>1979.2376256205641</v>
      </c>
      <c r="U347" s="213">
        <f>IF($F347="","",'הזנה לתנאי סף'!N347)</f>
        <v>0</v>
      </c>
      <c r="V347" s="213">
        <f>IF($F347="","",'הזנה לתנאי סף'!O347)</f>
        <v>1</v>
      </c>
      <c r="W347" s="109">
        <v>0</v>
      </c>
      <c r="X347" s="109">
        <v>0</v>
      </c>
      <c r="Y347" s="109">
        <v>1</v>
      </c>
      <c r="Z347" s="214">
        <f t="shared" si="62"/>
        <v>0</v>
      </c>
      <c r="AA347" s="213" t="str">
        <f>IF(OR($F347="",V347=0),"",IF(V347=1,IF(COUNTBLANK(W347:X347)&gt;0,$AG$2,IF(OR(Z347&lt;='פרמטרים לקריטריונים'!$C$27,X347&gt;W347),"",X347-W347))))</f>
        <v/>
      </c>
      <c r="AB347" s="214" t="str">
        <f t="shared" si="63"/>
        <v/>
      </c>
      <c r="AC347" s="225" t="str">
        <f>IF(OR(AB347="",U347=1),"",IF(OR(COUNTBLANK(W347:Y347)&gt;0,AB347&gt;='פרמטרים לקריטריונים'!$E$54),'פרמטרים לקריטריונים'!$F$54,INDEX('פרמטרים לקריטריונים'!$F$49:$F$54,MATCH(AB347,'פרמטרים לקריטריונים'!$E$49:$E$54,1))))</f>
        <v/>
      </c>
      <c r="AD347" s="213" t="str">
        <f t="shared" si="64"/>
        <v/>
      </c>
      <c r="AE347" s="213">
        <f t="shared" si="65"/>
        <v>1979.2376256205641</v>
      </c>
      <c r="AG347" s="175">
        <f t="shared" si="66"/>
        <v>0</v>
      </c>
    </row>
    <row r="348" spans="1:33" ht="15.75" x14ac:dyDescent="0.2">
      <c r="A348" s="206">
        <f t="shared" si="56"/>
        <v>318</v>
      </c>
      <c r="B348" s="88">
        <f>IF($F348="","",'הזנה לתנאי סף'!C348)</f>
        <v>1001349483</v>
      </c>
      <c r="C348" s="88">
        <f>IF($F348="","",'הזנה לתנאי סף'!D348)</f>
        <v>1001276682</v>
      </c>
      <c r="D348" s="88">
        <f>IF($F348="","",'הזנה לתנאי סף'!E348)</f>
        <v>40000564</v>
      </c>
      <c r="E348" s="88">
        <f>IF($F348="","",'הזנה לתנאי סף'!F348)</f>
        <v>20000201</v>
      </c>
      <c r="F348" s="88" t="str">
        <f>IF(OR('הזנה לתנאי סף'!G348="",'הזנה לתנאי סף'!BL348&lt;&gt;1),"",'הזנה לתנאי סף'!G348)</f>
        <v>תל אביב -יפו</v>
      </c>
      <c r="G348" s="88" t="str">
        <f>IF($F348="","",'הזנה לתנאי סף'!H348)</f>
        <v>עמותת הכוריאוגרפים (ע"ר)</v>
      </c>
      <c r="H348" s="88" t="str">
        <f>IF($F348="","",'הזנה לתנאי סף'!I348)</f>
        <v>יוצרים עצמאיים במחול</v>
      </c>
      <c r="I348" s="109">
        <v>0</v>
      </c>
      <c r="J348" s="213">
        <f>IF($F348="","",'הזנה לתנאי סף'!S348)</f>
        <v>69327</v>
      </c>
      <c r="K348" s="109"/>
      <c r="L348" s="213">
        <f t="shared" si="57"/>
        <v>69327</v>
      </c>
      <c r="M348" s="213">
        <f>IF($F348="","",IF(L348='הזנה לתנאי סף'!R348,1,0))</f>
        <v>1</v>
      </c>
      <c r="N348" s="214">
        <f t="shared" si="58"/>
        <v>0</v>
      </c>
      <c r="O348" s="214">
        <f t="shared" si="59"/>
        <v>1</v>
      </c>
      <c r="P348" s="109">
        <v>69327</v>
      </c>
      <c r="Q348" s="213">
        <f>IF($F348="","",IFERROR(IF(P348&gt;0,'פרמטרים לקריטריונים'!$C$25*P348*O348,$AG$2),""))</f>
        <v>20798.099999999999</v>
      </c>
      <c r="R348" s="213">
        <f>IF($F348="","",IFERROR('פרמטרים לקריטריונים'!$C$26*Q348,""))</f>
        <v>5114.2868852459014</v>
      </c>
      <c r="S348" s="214">
        <f t="shared" si="60"/>
        <v>7.5794518668432544E-5</v>
      </c>
      <c r="T348" s="213">
        <f t="shared" si="61"/>
        <v>3789.7259334216274</v>
      </c>
      <c r="U348" s="213">
        <f>IF($F348="","",'הזנה לתנאי סף'!N348)</f>
        <v>0</v>
      </c>
      <c r="V348" s="213">
        <f>IF($F348="","",'הזנה לתנאי סף'!O348)</f>
        <v>1</v>
      </c>
      <c r="W348" s="109">
        <v>0</v>
      </c>
      <c r="X348" s="109">
        <v>0</v>
      </c>
      <c r="Y348" s="109">
        <v>1</v>
      </c>
      <c r="Z348" s="214">
        <f t="shared" si="62"/>
        <v>0</v>
      </c>
      <c r="AA348" s="213" t="str">
        <f>IF(OR($F348="",V348=0),"",IF(V348=1,IF(COUNTBLANK(W348:X348)&gt;0,$AG$2,IF(OR(Z348&lt;='פרמטרים לקריטריונים'!$C$27,X348&gt;W348),"",X348-W348))))</f>
        <v/>
      </c>
      <c r="AB348" s="214" t="str">
        <f t="shared" si="63"/>
        <v/>
      </c>
      <c r="AC348" s="225" t="str">
        <f>IF(OR(AB348="",U348=1),"",IF(OR(COUNTBLANK(W348:Y348)&gt;0,AB348&gt;='פרמטרים לקריטריונים'!$E$54),'פרמטרים לקריטריונים'!$F$54,INDEX('פרמטרים לקריטריונים'!$F$49:$F$54,MATCH(AB348,'פרמטרים לקריטריונים'!$E$49:$E$54,1))))</f>
        <v/>
      </c>
      <c r="AD348" s="213" t="str">
        <f t="shared" si="64"/>
        <v/>
      </c>
      <c r="AE348" s="213">
        <f t="shared" si="65"/>
        <v>3789.7259334216274</v>
      </c>
      <c r="AG348" s="175">
        <f t="shared" si="66"/>
        <v>0</v>
      </c>
    </row>
    <row r="349" spans="1:33" ht="15.75" x14ac:dyDescent="0.2">
      <c r="A349" s="206">
        <f t="shared" si="56"/>
        <v>319</v>
      </c>
      <c r="B349" s="88">
        <f>IF($F349="","",'הזנה לתנאי סף'!C349)</f>
        <v>1001349487</v>
      </c>
      <c r="C349" s="88">
        <f>IF($F349="","",'הזנה לתנאי סף'!D349)</f>
        <v>1001263329</v>
      </c>
      <c r="D349" s="88">
        <f>IF($F349="","",'הזנה לתנאי סף'!E349)</f>
        <v>40000567</v>
      </c>
      <c r="E349" s="88">
        <f>IF($F349="","",'הזנה לתנאי סף'!F349)</f>
        <v>20000201</v>
      </c>
      <c r="F349" s="88" t="str">
        <f>IF(OR('הזנה לתנאי סף'!G349="",'הזנה לתנאי סף'!BL349&lt;&gt;1),"",'הזנה לתנאי סף'!G349)</f>
        <v>תל אביב -יפו</v>
      </c>
      <c r="G349" s="88" t="str">
        <f>IF($F349="","",'הזנה לתנאי סף'!H349)</f>
        <v>תיאטרון ארצי לילדים ונוער (ע"ר)</v>
      </c>
      <c r="H349" s="88" t="str">
        <f>IF($F349="","",'הזנה לתנאי סף'!I349)</f>
        <v>תיאטרון</v>
      </c>
      <c r="I349" s="109">
        <f>4084221-355</f>
        <v>4083866</v>
      </c>
      <c r="J349" s="213">
        <f>IF($F349="","",'הזנה לתנאי סף'!S349)</f>
        <v>10240674</v>
      </c>
      <c r="K349" s="109"/>
      <c r="L349" s="213">
        <f t="shared" si="57"/>
        <v>14324540</v>
      </c>
      <c r="M349" s="213">
        <f>IF($F349="","",IF(L349='הזנה לתנאי סף'!R349,1,0))</f>
        <v>1</v>
      </c>
      <c r="N349" s="214">
        <f t="shared" si="58"/>
        <v>0.28509578667098562</v>
      </c>
      <c r="O349" s="214">
        <f t="shared" si="59"/>
        <v>0.71490421332901444</v>
      </c>
      <c r="P349" s="109">
        <v>13980728</v>
      </c>
      <c r="Q349" s="213">
        <f>IF($F349="","",IFERROR(IF(P349&gt;0,'פרמטרים לקריטריונים'!$C$25*P349*O349,$AG$2),""))</f>
        <v>2998464.4057820775</v>
      </c>
      <c r="R349" s="213">
        <f>IF($F349="","",IFERROR('פרמטרים לקריטריונים'!$C$26*Q349,""))</f>
        <v>737327.31289723213</v>
      </c>
      <c r="S349" s="214">
        <f t="shared" si="60"/>
        <v>1.0927304243208763E-2</v>
      </c>
      <c r="T349" s="213">
        <f t="shared" si="61"/>
        <v>546365.21216043818</v>
      </c>
      <c r="U349" s="213">
        <f>IF($F349="","",'הזנה לתנאי סף'!N349)</f>
        <v>1</v>
      </c>
      <c r="V349" s="213">
        <f>IF($F349="","",'הזנה לתנאי סף'!O349)</f>
        <v>0</v>
      </c>
      <c r="W349" s="109"/>
      <c r="X349" s="109"/>
      <c r="Y349" s="109"/>
      <c r="Z349" s="214" t="str">
        <f t="shared" si="62"/>
        <v/>
      </c>
      <c r="AA349" s="213" t="str">
        <f>IF(OR($F349="",V349=0),"",IF(V349=1,IF(COUNTBLANK(W349:X349)&gt;0,$AG$2,IF(OR(Z349&lt;='פרמטרים לקריטריונים'!$C$27,X349&gt;W349),"",X349-W349))))</f>
        <v/>
      </c>
      <c r="AB349" s="214" t="str">
        <f t="shared" si="63"/>
        <v/>
      </c>
      <c r="AC349" s="225" t="str">
        <f>IF(OR(AB349="",U349=1),"",IF(OR(COUNTBLANK(W349:Y349)&gt;0,AB349&gt;='פרמטרים לקריטריונים'!$E$54),'פרמטרים לקריטריונים'!$F$54,INDEX('פרמטרים לקריטריונים'!$F$49:$F$54,MATCH(AB349,'פרמטרים לקריטריונים'!$E$49:$E$54,1))))</f>
        <v/>
      </c>
      <c r="AD349" s="213" t="str">
        <f t="shared" si="64"/>
        <v/>
      </c>
      <c r="AE349" s="213">
        <f t="shared" si="65"/>
        <v>546365.21216043818</v>
      </c>
      <c r="AG349" s="175">
        <f t="shared" si="66"/>
        <v>1</v>
      </c>
    </row>
    <row r="350" spans="1:33" ht="15.75" x14ac:dyDescent="0.2">
      <c r="A350" s="206">
        <f t="shared" si="56"/>
        <v>320</v>
      </c>
      <c r="B350" s="88">
        <f>IF($F350="","",'הזנה לתנאי סף'!C350)</f>
        <v>1001347578</v>
      </c>
      <c r="C350" s="88">
        <f>IF($F350="","",'הזנה לתנאי סף'!D350)</f>
        <v>1001275925</v>
      </c>
      <c r="D350" s="88">
        <f>IF($F350="","",'הזנה לתנאי סף'!E350)</f>
        <v>40000632</v>
      </c>
      <c r="E350" s="88">
        <f>IF($F350="","",'הזנה לתנאי סף'!F350)</f>
        <v>20000201</v>
      </c>
      <c r="F350" s="88" t="str">
        <f>IF(OR('הזנה לתנאי סף'!G350="",'הזנה לתנאי סף'!BL350&lt;&gt;1),"",'הזנה לתנאי סף'!G350)</f>
        <v>תל אביב -יפו</v>
      </c>
      <c r="G350" s="88" t="str">
        <f>IF($F350="","",'הזנה לתנאי סף'!H350)</f>
        <v>האנסמבל הקולי הישראלי (1995) (ע"ר)</v>
      </c>
      <c r="H350" s="88" t="str">
        <f>IF($F350="","",'הזנה לתנאי סף'!I350)</f>
        <v>אחר</v>
      </c>
      <c r="I350" s="109">
        <v>966949</v>
      </c>
      <c r="J350" s="213">
        <f>IF($F350="","",'הזנה לתנאי סף'!S350)</f>
        <v>700434</v>
      </c>
      <c r="K350" s="109"/>
      <c r="L350" s="213">
        <f t="shared" si="57"/>
        <v>1667383</v>
      </c>
      <c r="M350" s="213">
        <f>IF($F350="","",IF(L350='הזנה לתנאי סף'!R350,1,0))</f>
        <v>1</v>
      </c>
      <c r="N350" s="214">
        <f t="shared" si="58"/>
        <v>0.5799201503193927</v>
      </c>
      <c r="O350" s="214">
        <f t="shared" si="59"/>
        <v>0.4200798496806073</v>
      </c>
      <c r="P350" s="109">
        <v>1695835</v>
      </c>
      <c r="Q350" s="213">
        <f>IF($F350="","",IFERROR(IF(P350&gt;0,'פרמטרים לקריטריונים'!$C$25*P350*O350,$AG$2),""))</f>
        <v>213715.8335649338</v>
      </c>
      <c r="R350" s="213">
        <f>IF($F350="","",IFERROR('פרמטרים לקריטריונים'!$C$26*Q350,""))</f>
        <v>52553.073827442735</v>
      </c>
      <c r="S350" s="214">
        <f t="shared" si="60"/>
        <v>7.7884464142767833E-4</v>
      </c>
      <c r="T350" s="213">
        <f t="shared" si="61"/>
        <v>38942.232071383914</v>
      </c>
      <c r="U350" s="213">
        <f>IF($F350="","",'הזנה לתנאי סף'!N350)</f>
        <v>1</v>
      </c>
      <c r="V350" s="213">
        <f>IF($F350="","",'הזנה לתנאי סף'!O350)</f>
        <v>0</v>
      </c>
      <c r="W350" s="109"/>
      <c r="X350" s="109"/>
      <c r="Y350" s="109"/>
      <c r="Z350" s="214" t="str">
        <f t="shared" si="62"/>
        <v/>
      </c>
      <c r="AA350" s="213" t="str">
        <f>IF(OR($F350="",V350=0),"",IF(V350=1,IF(COUNTBLANK(W350:X350)&gt;0,$AG$2,IF(OR(Z350&lt;='פרמטרים לקריטריונים'!$C$27,X350&gt;W350),"",X350-W350))))</f>
        <v/>
      </c>
      <c r="AB350" s="214" t="str">
        <f t="shared" si="63"/>
        <v/>
      </c>
      <c r="AC350" s="225" t="str">
        <f>IF(OR(AB350="",U350=1),"",IF(OR(COUNTBLANK(W350:Y350)&gt;0,AB350&gt;='פרמטרים לקריטריונים'!$E$54),'פרמטרים לקריטריונים'!$F$54,INDEX('פרמטרים לקריטריונים'!$F$49:$F$54,MATCH(AB350,'פרמטרים לקריטריונים'!$E$49:$E$54,1))))</f>
        <v/>
      </c>
      <c r="AD350" s="213" t="str">
        <f t="shared" si="64"/>
        <v/>
      </c>
      <c r="AE350" s="213">
        <f t="shared" si="65"/>
        <v>38942.232071383914</v>
      </c>
      <c r="AG350" s="175">
        <f t="shared" si="66"/>
        <v>1</v>
      </c>
    </row>
    <row r="351" spans="1:33" ht="15.75" x14ac:dyDescent="0.2">
      <c r="A351" s="206">
        <f t="shared" si="56"/>
        <v>321</v>
      </c>
      <c r="B351" s="88">
        <f>IF($F351="","",'הזנה לתנאי סף'!C351)</f>
        <v>1001349109</v>
      </c>
      <c r="C351" s="88">
        <f>IF($F351="","",'הזנה לתנאי סף'!D351)</f>
        <v>1001289001</v>
      </c>
      <c r="D351" s="88">
        <f>IF($F351="","",'הזנה לתנאי סף'!E351)</f>
        <v>40000632</v>
      </c>
      <c r="E351" s="88">
        <f>IF($F351="","",'הזנה לתנאי סף'!F351)</f>
        <v>20000201</v>
      </c>
      <c r="F351" s="88" t="str">
        <f>IF(OR('הזנה לתנאי סף'!G351="",'הזנה לתנאי סף'!BL351&lt;&gt;1),"",'הזנה לתנאי סף'!G351)</f>
        <v>תל אביב -יפו</v>
      </c>
      <c r="G351" s="88" t="str">
        <f>IF($F351="","",'הזנה לתנאי סף'!H351)</f>
        <v>האנסמבל הקולי הישראלי (1995) (ע"ר)</v>
      </c>
      <c r="H351" s="88" t="str">
        <f>IF($F351="","",'הזנה לתנאי סף'!I351)</f>
        <v>מקהלות</v>
      </c>
      <c r="I351" s="109">
        <v>31727</v>
      </c>
      <c r="J351" s="213">
        <f>IF($F351="","",'הזנה לתנאי סף'!S351)</f>
        <v>23550</v>
      </c>
      <c r="K351" s="109"/>
      <c r="L351" s="213">
        <f t="shared" si="57"/>
        <v>55277</v>
      </c>
      <c r="M351" s="213">
        <f>IF($F351="","",IF(L351='הזנה לתנאי סף'!R351,1,0))</f>
        <v>1</v>
      </c>
      <c r="N351" s="214">
        <f t="shared" si="58"/>
        <v>0.57396385476780576</v>
      </c>
      <c r="O351" s="214">
        <f t="shared" si="59"/>
        <v>0.42603614523219424</v>
      </c>
      <c r="P351" s="109">
        <v>55277</v>
      </c>
      <c r="Q351" s="213">
        <f>IF($F351="","",IFERROR(IF(P351&gt;0,'פרמטרים לקריטריונים'!$C$25*P351*O351,$AG$2),""))</f>
        <v>7065</v>
      </c>
      <c r="R351" s="213">
        <f>IF($F351="","",IFERROR('פרמטרים לקריטריונים'!$C$26*Q351,""))</f>
        <v>1737.295081967213</v>
      </c>
      <c r="S351" s="214">
        <f t="shared" si="60"/>
        <v>2.5746980464199898E-5</v>
      </c>
      <c r="T351" s="213">
        <f t="shared" si="61"/>
        <v>1287.3490232099948</v>
      </c>
      <c r="U351" s="213">
        <f>IF($F351="","",'הזנה לתנאי סף'!N351)</f>
        <v>0</v>
      </c>
      <c r="V351" s="213">
        <f>IF($F351="","",'הזנה לתנאי סף'!O351)</f>
        <v>1</v>
      </c>
      <c r="W351" s="109">
        <v>0</v>
      </c>
      <c r="X351" s="109">
        <v>0</v>
      </c>
      <c r="Y351" s="109">
        <v>1</v>
      </c>
      <c r="Z351" s="214">
        <f t="shared" si="62"/>
        <v>0</v>
      </c>
      <c r="AA351" s="213" t="str">
        <f>IF(OR($F351="",V351=0),"",IF(V351=1,IF(COUNTBLANK(W351:X351)&gt;0,$AG$2,IF(OR(Z351&lt;='פרמטרים לקריטריונים'!$C$27,X351&gt;W351),"",X351-W351))))</f>
        <v/>
      </c>
      <c r="AB351" s="214" t="str">
        <f t="shared" si="63"/>
        <v/>
      </c>
      <c r="AC351" s="225" t="str">
        <f>IF(OR(AB351="",U351=1),"",IF(OR(COUNTBLANK(W351:Y351)&gt;0,AB351&gt;='פרמטרים לקריטריונים'!$E$54),'פרמטרים לקריטריונים'!$F$54,INDEX('פרמטרים לקריטריונים'!$F$49:$F$54,MATCH(AB351,'פרמטרים לקריטריונים'!$E$49:$E$54,1))))</f>
        <v/>
      </c>
      <c r="AD351" s="213" t="str">
        <f t="shared" si="64"/>
        <v/>
      </c>
      <c r="AE351" s="213">
        <f t="shared" si="65"/>
        <v>1287.3490232099948</v>
      </c>
      <c r="AG351" s="175">
        <f t="shared" si="66"/>
        <v>0</v>
      </c>
    </row>
    <row r="352" spans="1:33" ht="15.75" x14ac:dyDescent="0.2">
      <c r="A352" s="206">
        <f t="shared" si="56"/>
        <v>322</v>
      </c>
      <c r="B352" s="88">
        <f>IF($F352="","",'הזנה לתנאי סף'!C352)</f>
        <v>1001348981</v>
      </c>
      <c r="C352" s="88">
        <f>IF($F352="","",'הזנה לתנאי סף'!D352)</f>
        <v>1001276716</v>
      </c>
      <c r="D352" s="88">
        <f>IF($F352="","",'הזנה לתנאי סף'!E352)</f>
        <v>40000644</v>
      </c>
      <c r="E352" s="88">
        <f>IF($F352="","",'הזנה לתנאי סף'!F352)</f>
        <v>20000201</v>
      </c>
      <c r="F352" s="88" t="str">
        <f>IF(OR('הזנה לתנאי סף'!G352="",'הזנה לתנאי סף'!BL352&lt;&gt;1),"",'הזנה לתנאי סף'!G352)</f>
        <v>תל אביב -יפו</v>
      </c>
      <c r="G352" s="88" t="str">
        <f>IF($F352="","",'הזנה לתנאי סף'!H352)</f>
        <v>תיאטרון השעה הישראלי (ע"ר)</v>
      </c>
      <c r="H352" s="88" t="str">
        <f>IF($F352="","",'הזנה לתנאי סף'!I352)</f>
        <v>תיאטרון</v>
      </c>
      <c r="I352" s="109">
        <v>4164549</v>
      </c>
      <c r="J352" s="213">
        <f>IF($F352="","",'הזנה לתנאי סף'!S352)</f>
        <v>16614428</v>
      </c>
      <c r="K352" s="109"/>
      <c r="L352" s="213">
        <f t="shared" si="57"/>
        <v>20778977</v>
      </c>
      <c r="M352" s="213">
        <f>IF($F352="","",IF(L352='הזנה לתנאי סף'!R352,1,0))</f>
        <v>1</v>
      </c>
      <c r="N352" s="214">
        <f t="shared" si="58"/>
        <v>0.20042127194230977</v>
      </c>
      <c r="O352" s="214">
        <f t="shared" si="59"/>
        <v>0.79957872805769026</v>
      </c>
      <c r="P352" s="109">
        <v>19338241</v>
      </c>
      <c r="Q352" s="213">
        <f>IF($F352="","",IFERROR(IF(P352&gt;0,'פרמטרים לקריטריונים'!$C$25*P352*O352,$AG$2),""))</f>
        <v>4638733.8424959229</v>
      </c>
      <c r="R352" s="213">
        <f>IF($F352="","",IFERROR('פרמטרים לקריטריונים'!$C$26*Q352,""))</f>
        <v>1140672.2563514565</v>
      </c>
      <c r="S352" s="214">
        <f t="shared" si="60"/>
        <v>1.6904938375281738E-2</v>
      </c>
      <c r="T352" s="213">
        <f t="shared" si="61"/>
        <v>845246.91876408691</v>
      </c>
      <c r="U352" s="213">
        <f>IF($F352="","",'הזנה לתנאי סף'!N352)</f>
        <v>1</v>
      </c>
      <c r="V352" s="213">
        <f>IF($F352="","",'הזנה לתנאי סף'!O352)</f>
        <v>0</v>
      </c>
      <c r="W352" s="109"/>
      <c r="X352" s="109"/>
      <c r="Y352" s="109"/>
      <c r="Z352" s="214" t="str">
        <f t="shared" si="62"/>
        <v/>
      </c>
      <c r="AA352" s="213" t="str">
        <f>IF(OR($F352="",V352=0),"",IF(V352=1,IF(COUNTBLANK(W352:X352)&gt;0,$AG$2,IF(OR(Z352&lt;='פרמטרים לקריטריונים'!$C$27,X352&gt;W352),"",X352-W352))))</f>
        <v/>
      </c>
      <c r="AB352" s="214" t="str">
        <f t="shared" si="63"/>
        <v/>
      </c>
      <c r="AC352" s="225" t="str">
        <f>IF(OR(AB352="",U352=1),"",IF(OR(COUNTBLANK(W352:Y352)&gt;0,AB352&gt;='פרמטרים לקריטריונים'!$E$54),'פרמטרים לקריטריונים'!$F$54,INDEX('פרמטרים לקריטריונים'!$F$49:$F$54,MATCH(AB352,'פרמטרים לקריטריונים'!$E$49:$E$54,1))))</f>
        <v/>
      </c>
      <c r="AD352" s="213" t="str">
        <f t="shared" si="64"/>
        <v/>
      </c>
      <c r="AE352" s="213">
        <f t="shared" si="65"/>
        <v>845246.91876408691</v>
      </c>
      <c r="AG352" s="175">
        <f t="shared" si="66"/>
        <v>1</v>
      </c>
    </row>
    <row r="353" spans="1:33" ht="15.75" x14ac:dyDescent="0.2">
      <c r="A353" s="206" t="str">
        <f t="shared" si="56"/>
        <v/>
      </c>
      <c r="B353" s="88" t="str">
        <f>IF($F353="","",'הזנה לתנאי סף'!C353)</f>
        <v/>
      </c>
      <c r="C353" s="88" t="str">
        <f>IF($F353="","",'הזנה לתנאי סף'!D353)</f>
        <v/>
      </c>
      <c r="D353" s="88" t="str">
        <f>IF($F353="","",'הזנה לתנאי סף'!E353)</f>
        <v/>
      </c>
      <c r="E353" s="88" t="str">
        <f>IF($F353="","",'הזנה לתנאי סף'!F353)</f>
        <v/>
      </c>
      <c r="F353" s="88" t="str">
        <f>IF(OR('הזנה לתנאי סף'!G353="",'הזנה לתנאי סף'!BL353&lt;&gt;1),"",'הזנה לתנאי סף'!G353)</f>
        <v/>
      </c>
      <c r="G353" s="88" t="str">
        <f>IF($F353="","",'הזנה לתנאי סף'!H353)</f>
        <v/>
      </c>
      <c r="H353" s="88" t="str">
        <f>IF($F353="","",'הזנה לתנאי סף'!I353)</f>
        <v/>
      </c>
      <c r="I353" s="109"/>
      <c r="J353" s="213" t="str">
        <f>IF($F353="","",'הזנה לתנאי סף'!S353)</f>
        <v/>
      </c>
      <c r="K353" s="109"/>
      <c r="L353" s="213" t="str">
        <f t="shared" si="57"/>
        <v/>
      </c>
      <c r="M353" s="213" t="str">
        <f>IF($F353="","",IF(L353='הזנה לתנאי סף'!R353,1,0))</f>
        <v/>
      </c>
      <c r="N353" s="214" t="str">
        <f t="shared" si="58"/>
        <v/>
      </c>
      <c r="O353" s="214" t="str">
        <f t="shared" si="59"/>
        <v/>
      </c>
      <c r="P353" s="109"/>
      <c r="Q353" s="213" t="str">
        <f>IF($F353="","",IFERROR(IF(P353&gt;0,'פרמטרים לקריטריונים'!$C$25*P353*O353,$AG$2),""))</f>
        <v/>
      </c>
      <c r="R353" s="213" t="str">
        <f>IF($F353="","",IFERROR('פרמטרים לקריטריונים'!$C$26*Q353,""))</f>
        <v/>
      </c>
      <c r="S353" s="214" t="str">
        <f t="shared" si="60"/>
        <v/>
      </c>
      <c r="T353" s="213" t="str">
        <f t="shared" si="61"/>
        <v/>
      </c>
      <c r="U353" s="213" t="str">
        <f>IF($F353="","",'הזנה לתנאי סף'!N353)</f>
        <v/>
      </c>
      <c r="V353" s="213" t="str">
        <f>IF($F353="","",'הזנה לתנאי סף'!O353)</f>
        <v/>
      </c>
      <c r="W353" s="109"/>
      <c r="X353" s="109"/>
      <c r="Y353" s="109"/>
      <c r="Z353" s="214" t="str">
        <f t="shared" si="62"/>
        <v/>
      </c>
      <c r="AA353" s="213" t="str">
        <f>IF(OR($F353="",V353=0),"",IF(V353=1,IF(COUNTBLANK(W353:X353)&gt;0,$AG$2,IF(OR(Z353&lt;='פרמטרים לקריטריונים'!$C$27,X353&gt;W353),"",X353-W353))))</f>
        <v/>
      </c>
      <c r="AB353" s="214" t="str">
        <f t="shared" si="63"/>
        <v/>
      </c>
      <c r="AC353" s="225" t="str">
        <f>IF(OR(AB353="",U353=1),"",IF(OR(COUNTBLANK(W353:Y353)&gt;0,AB353&gt;='פרמטרים לקריטריונים'!$E$54),'פרמטרים לקריטריונים'!$F$54,INDEX('פרמטרים לקריטריונים'!$F$49:$F$54,MATCH(AB353,'פרמטרים לקריטריונים'!$E$49:$E$54,1))))</f>
        <v/>
      </c>
      <c r="AD353" s="213" t="str">
        <f t="shared" si="64"/>
        <v/>
      </c>
      <c r="AE353" s="213" t="str">
        <f t="shared" si="65"/>
        <v/>
      </c>
      <c r="AG353" s="175">
        <f t="shared" si="66"/>
        <v>0</v>
      </c>
    </row>
    <row r="354" spans="1:33" ht="15.75" x14ac:dyDescent="0.2">
      <c r="A354" s="206">
        <f t="shared" si="56"/>
        <v>324</v>
      </c>
      <c r="B354" s="88">
        <f>IF($F354="","",'הזנה לתנאי סף'!C354)</f>
        <v>1001349067</v>
      </c>
      <c r="C354" s="88">
        <f>IF($F354="","",'הזנה לתנאי סף'!D354)</f>
        <v>1001302269</v>
      </c>
      <c r="D354" s="88">
        <f>IF($F354="","",'הזנה לתנאי סף'!E354)</f>
        <v>40000662</v>
      </c>
      <c r="E354" s="88">
        <f>IF($F354="","",'הזנה לתנאי סף'!F354)</f>
        <v>20000095</v>
      </c>
      <c r="F354" s="88" t="str">
        <f>IF(OR('הזנה לתנאי סף'!G354="",'הזנה לתנאי סף'!BL354&lt;&gt;1),"",'הזנה לתנאי סף'!G354)</f>
        <v>מטה יהודה</v>
      </c>
      <c r="G354" s="88" t="str">
        <f>IF($F354="","",'הזנה לתנאי סף'!H354)</f>
        <v>תזמורת יד-חריף (ע"ר)</v>
      </c>
      <c r="H354" s="88" t="str">
        <f>IF($F354="","",'הזנה לתנאי סף'!I354)</f>
        <v>אחר</v>
      </c>
      <c r="I354" s="109">
        <v>652932</v>
      </c>
      <c r="J354" s="213">
        <f>IF($F354="","",'הזנה לתנאי סף'!S354)</f>
        <v>536181</v>
      </c>
      <c r="K354" s="109"/>
      <c r="L354" s="213">
        <f t="shared" si="57"/>
        <v>1189113</v>
      </c>
      <c r="M354" s="213">
        <f>IF($F354="","",IF(L354='הזנה לתנאי סף'!R354,1,0))</f>
        <v>1</v>
      </c>
      <c r="N354" s="214">
        <f t="shared" si="58"/>
        <v>0.54909163384808679</v>
      </c>
      <c r="O354" s="214">
        <f t="shared" si="59"/>
        <v>0.45090836615191321</v>
      </c>
      <c r="P354" s="109">
        <v>1199065</v>
      </c>
      <c r="Q354" s="213">
        <f>IF($F354="","",IFERROR(IF(P354&gt;0,'פרמטרים לקריטריונים'!$C$25*P354*O354,$AG$2),""))</f>
        <v>162200.53201798315</v>
      </c>
      <c r="R354" s="213">
        <f>IF($F354="","",IFERROR('פרמטרים לקריטריונים'!$C$26*Q354,""))</f>
        <v>39885.376725733557</v>
      </c>
      <c r="S354" s="214">
        <f t="shared" si="60"/>
        <v>5.911074209695459E-4</v>
      </c>
      <c r="T354" s="213">
        <f t="shared" si="61"/>
        <v>29555.371048477296</v>
      </c>
      <c r="U354" s="213">
        <f>IF($F354="","",'הזנה לתנאי סף'!N354)</f>
        <v>0</v>
      </c>
      <c r="V354" s="213">
        <f>IF($F354="","",'הזנה לתנאי סף'!O354)</f>
        <v>1</v>
      </c>
      <c r="W354" s="109">
        <v>0</v>
      </c>
      <c r="X354" s="109">
        <v>0</v>
      </c>
      <c r="Y354" s="109">
        <v>1</v>
      </c>
      <c r="Z354" s="214">
        <f t="shared" si="62"/>
        <v>0</v>
      </c>
      <c r="AA354" s="213" t="str">
        <f>IF(OR($F354="",V354=0),"",IF(V354=1,IF(COUNTBLANK(W354:X354)&gt;0,$AG$2,IF(OR(Z354&lt;='פרמטרים לקריטריונים'!$C$27,X354&gt;W354),"",X354-W354))))</f>
        <v/>
      </c>
      <c r="AB354" s="214" t="str">
        <f t="shared" si="63"/>
        <v/>
      </c>
      <c r="AC354" s="225" t="str">
        <f>IF(OR(AB354="",U354=1),"",IF(OR(COUNTBLANK(W354:Y354)&gt;0,AB354&gt;='פרמטרים לקריטריונים'!$E$54),'פרמטרים לקריטריונים'!$F$54,INDEX('פרמטרים לקריטריונים'!$F$49:$F$54,MATCH(AB354,'פרמטרים לקריטריונים'!$E$49:$E$54,1))))</f>
        <v/>
      </c>
      <c r="AD354" s="213" t="str">
        <f t="shared" si="64"/>
        <v/>
      </c>
      <c r="AE354" s="213">
        <f t="shared" si="65"/>
        <v>29555.371048477296</v>
      </c>
      <c r="AG354" s="175">
        <f t="shared" si="66"/>
        <v>0</v>
      </c>
    </row>
    <row r="355" spans="1:33" ht="15.75" x14ac:dyDescent="0.2">
      <c r="A355" s="206">
        <f t="shared" si="56"/>
        <v>325</v>
      </c>
      <c r="B355" s="88">
        <f>IF($F355="","",'הזנה לתנאי סף'!C355)</f>
        <v>1001347016</v>
      </c>
      <c r="C355" s="88">
        <f>IF($F355="","",'הזנה לתנאי סף'!D355)</f>
        <v>1001288832</v>
      </c>
      <c r="D355" s="88">
        <f>IF($F355="","",'הזנה לתנאי סף'!E355)</f>
        <v>40000665</v>
      </c>
      <c r="E355" s="88">
        <f>IF($F355="","",'הזנה לתנאי סף'!F355)</f>
        <v>20000201</v>
      </c>
      <c r="F355" s="88" t="str">
        <f>IF(OR('הזנה לתנאי סף'!G355="",'הזנה לתנאי סף'!BL355&lt;&gt;1),"",'הזנה לתנאי סף'!G355)</f>
        <v>תל אביב -יפו</v>
      </c>
      <c r="G355" s="88" t="str">
        <f>IF($F355="","",'הזנה לתנאי סף'!H355)</f>
        <v>תיאטרון "אלסראיא" הערבי - יפו (ע"ר)</v>
      </c>
      <c r="H355" s="88" t="str">
        <f>IF($F355="","",'הזנה לתנאי סף'!I355)</f>
        <v>תיאטרון</v>
      </c>
      <c r="I355" s="109">
        <v>733170</v>
      </c>
      <c r="J355" s="213">
        <f>IF($F355="","",'הזנה לתנאי סף'!S355)</f>
        <v>357246</v>
      </c>
      <c r="K355" s="109"/>
      <c r="L355" s="213">
        <f t="shared" si="57"/>
        <v>1090416</v>
      </c>
      <c r="M355" s="213">
        <f>IF($F355="","",IF(L355='הזנה לתנאי סף'!R355,1,0))</f>
        <v>1</v>
      </c>
      <c r="N355" s="214">
        <f t="shared" si="58"/>
        <v>0.67237641413919091</v>
      </c>
      <c r="O355" s="214">
        <f t="shared" si="59"/>
        <v>0.32762358586080909</v>
      </c>
      <c r="P355" s="109">
        <v>1128311</v>
      </c>
      <c r="Q355" s="213">
        <f>IF($F355="","",IFERROR(IF(P355&gt;0,'פרמטרים לקריטריונים'!$C$25*P355*O355,$AG$2),""))</f>
        <v>110898.38873585861</v>
      </c>
      <c r="R355" s="213">
        <f>IF($F355="","",IFERROR('פרמטרים לקריטריונים'!$C$26*Q355,""))</f>
        <v>27270.095590784902</v>
      </c>
      <c r="S355" s="214">
        <f t="shared" si="60"/>
        <v>4.0414701320501026E-4</v>
      </c>
      <c r="T355" s="213">
        <f t="shared" si="61"/>
        <v>20207.350660250515</v>
      </c>
      <c r="U355" s="213">
        <f>IF($F355="","",'הזנה לתנאי סף'!N355)</f>
        <v>1</v>
      </c>
      <c r="V355" s="213">
        <f>IF($F355="","",'הזנה לתנאי סף'!O355)</f>
        <v>0</v>
      </c>
      <c r="W355" s="109"/>
      <c r="X355" s="109"/>
      <c r="Y355" s="109"/>
      <c r="Z355" s="214" t="str">
        <f t="shared" si="62"/>
        <v/>
      </c>
      <c r="AA355" s="213" t="str">
        <f>IF(OR($F355="",V355=0),"",IF(V355=1,IF(COUNTBLANK(W355:X355)&gt;0,$AG$2,IF(OR(Z355&lt;='פרמטרים לקריטריונים'!$C$27,X355&gt;W355),"",X355-W355))))</f>
        <v/>
      </c>
      <c r="AB355" s="214" t="str">
        <f t="shared" si="63"/>
        <v/>
      </c>
      <c r="AC355" s="225" t="str">
        <f>IF(OR(AB355="",U355=1),"",IF(OR(COUNTBLANK(W355:Y355)&gt;0,AB355&gt;='פרמטרים לקריטריונים'!$E$54),'פרמטרים לקריטריונים'!$F$54,INDEX('פרמטרים לקריטריונים'!$F$49:$F$54,MATCH(AB355,'פרמטרים לקריטריונים'!$E$49:$E$54,1))))</f>
        <v/>
      </c>
      <c r="AD355" s="213" t="str">
        <f t="shared" si="64"/>
        <v/>
      </c>
      <c r="AE355" s="213">
        <f t="shared" si="65"/>
        <v>20207.350660250515</v>
      </c>
      <c r="AG355" s="175">
        <f t="shared" si="66"/>
        <v>1</v>
      </c>
    </row>
    <row r="356" spans="1:33" ht="15.75" x14ac:dyDescent="0.2">
      <c r="A356" s="206">
        <f t="shared" si="56"/>
        <v>326</v>
      </c>
      <c r="B356" s="88">
        <f>IF($F356="","",'הזנה לתנאי סף'!C356)</f>
        <v>1001349530</v>
      </c>
      <c r="C356" s="88">
        <f>IF($F356="","",'הזנה לתנאי סף'!D356)</f>
        <v>1001263122</v>
      </c>
      <c r="D356" s="88">
        <f>IF($F356="","",'הזנה לתנאי סף'!E356)</f>
        <v>40000667</v>
      </c>
      <c r="E356" s="88">
        <f>IF($F356="","",'הזנה לתנאי סף'!F356)</f>
        <v>20000235</v>
      </c>
      <c r="F356" s="88" t="str">
        <f>IF(OR('הזנה לתנאי סף'!G356="",'הזנה לתנאי סף'!BL356&lt;&gt;1),"",'הזנה לתנאי סף'!G356)</f>
        <v>סח'נין</v>
      </c>
      <c r="G356" s="88" t="str">
        <f>IF($F356="","",'הזנה לתנאי סף'!H356)</f>
        <v>אלג'ואל אלבלדי (ע"ר)</v>
      </c>
      <c r="H356" s="88" t="str">
        <f>IF($F356="","",'הזנה לתנאי סף'!I356)</f>
        <v>תיאטרון</v>
      </c>
      <c r="I356" s="109">
        <v>953833</v>
      </c>
      <c r="J356" s="213">
        <f>IF($F356="","",'הזנה לתנאי סף'!S356)</f>
        <v>477820</v>
      </c>
      <c r="K356" s="109"/>
      <c r="L356" s="213">
        <f t="shared" si="57"/>
        <v>1431653</v>
      </c>
      <c r="M356" s="213">
        <f>IF($F356="","",IF(L356='הזנה לתנאי סף'!R356,1,0))</f>
        <v>1</v>
      </c>
      <c r="N356" s="214">
        <f t="shared" si="58"/>
        <v>0.6662459408809257</v>
      </c>
      <c r="O356" s="214">
        <f t="shared" si="59"/>
        <v>0.3337540591190743</v>
      </c>
      <c r="P356" s="109">
        <v>1418383</v>
      </c>
      <c r="Q356" s="213">
        <f>IF($F356="","",IFERROR(IF(P356&gt;0,'פרמטרים לקריטריונים'!$C$25*P356*O356,$AG$2),""))</f>
        <v>142017.32509064698</v>
      </c>
      <c r="R356" s="213">
        <f>IF($F356="","",IFERROR('פרמטרים לקריטריונים'!$C$26*Q356,""))</f>
        <v>34922.293055077127</v>
      </c>
      <c r="S356" s="214">
        <f t="shared" si="60"/>
        <v>5.1755375720974014E-4</v>
      </c>
      <c r="T356" s="213">
        <f t="shared" si="61"/>
        <v>25877.687860487007</v>
      </c>
      <c r="U356" s="213">
        <f>IF($F356="","",'הזנה לתנאי סף'!N356)</f>
        <v>0</v>
      </c>
      <c r="V356" s="213">
        <f>IF($F356="","",'הזנה לתנאי סף'!O356)</f>
        <v>1</v>
      </c>
      <c r="W356" s="109">
        <v>0</v>
      </c>
      <c r="X356" s="109">
        <v>0</v>
      </c>
      <c r="Y356" s="109">
        <v>1</v>
      </c>
      <c r="Z356" s="214">
        <f t="shared" si="62"/>
        <v>0</v>
      </c>
      <c r="AA356" s="213" t="str">
        <f>IF(OR($F356="",V356=0),"",IF(V356=1,IF(COUNTBLANK(W356:X356)&gt;0,$AG$2,IF(OR(Z356&lt;='פרמטרים לקריטריונים'!$C$27,X356&gt;W356),"",X356-W356))))</f>
        <v/>
      </c>
      <c r="AB356" s="214" t="str">
        <f t="shared" si="63"/>
        <v/>
      </c>
      <c r="AC356" s="225" t="str">
        <f>IF(OR(AB356="",U356=1),"",IF(OR(COUNTBLANK(W356:Y356)&gt;0,AB356&gt;='פרמטרים לקריטריונים'!$E$54),'פרמטרים לקריטריונים'!$F$54,INDEX('פרמטרים לקריטריונים'!$F$49:$F$54,MATCH(AB356,'פרמטרים לקריטריונים'!$E$49:$E$54,1))))</f>
        <v/>
      </c>
      <c r="AD356" s="213" t="str">
        <f t="shared" si="64"/>
        <v/>
      </c>
      <c r="AE356" s="213">
        <f t="shared" si="65"/>
        <v>25877.687860487007</v>
      </c>
      <c r="AG356" s="175">
        <f t="shared" si="66"/>
        <v>0</v>
      </c>
    </row>
    <row r="357" spans="1:33" ht="15.75" x14ac:dyDescent="0.2">
      <c r="A357" s="206">
        <f t="shared" si="56"/>
        <v>327</v>
      </c>
      <c r="B357" s="88">
        <f>IF($F357="","",'הזנה לתנאי סף'!C357)</f>
        <v>1001348825</v>
      </c>
      <c r="C357" s="88">
        <f>IF($F357="","",'הזנה לתנאי סף'!D357)</f>
        <v>1001270277</v>
      </c>
      <c r="D357" s="88">
        <f>IF($F357="","",'הזנה לתנאי סף'!E357)</f>
        <v>40000678</v>
      </c>
      <c r="E357" s="88">
        <f>IF($F357="","",'הזנה לתנאי סף'!F357)</f>
        <v>20000201</v>
      </c>
      <c r="F357" s="88" t="str">
        <f>IF(OR('הזנה לתנאי סף'!G357="",'הזנה לתנאי סף'!BL357&lt;&gt;1),"",'הזנה לתנאי סף'!G357)</f>
        <v>תל אביב -יפו</v>
      </c>
      <c r="G357" s="88" t="str">
        <f>IF($F357="","",'הזנה לתנאי סף'!H357)</f>
        <v>תיאטרון מחול קליפה (ע"ר)</v>
      </c>
      <c r="H357" s="88" t="str">
        <f>IF($F357="","",'הזנה לתנאי סף'!I357)</f>
        <v>תיאטרון</v>
      </c>
      <c r="I357" s="109">
        <v>1261950</v>
      </c>
      <c r="J357" s="213">
        <f>IF($F357="","",'הזנה לתנאי סף'!S357)</f>
        <v>663703</v>
      </c>
      <c r="K357" s="109">
        <v>97036</v>
      </c>
      <c r="L357" s="213">
        <f t="shared" si="57"/>
        <v>2022689</v>
      </c>
      <c r="M357" s="213">
        <f>IF($F357="","",IF(L357='הזנה לתנאי סף'!R357,1,0))</f>
        <v>1</v>
      </c>
      <c r="N357" s="214">
        <f t="shared" si="58"/>
        <v>0.6238971982346273</v>
      </c>
      <c r="O357" s="214">
        <f t="shared" si="59"/>
        <v>0.3761028017653727</v>
      </c>
      <c r="P357" s="109">
        <v>2539938</v>
      </c>
      <c r="Q357" s="213">
        <f>IF($F357="","",IFERROR(IF(P357&gt;0,'פרמטרים לקריטריונים'!$C$25*P357*O357,$AG$2),""))</f>
        <v>286583.33943310118</v>
      </c>
      <c r="R357" s="213">
        <f>IF($F357="","",IFERROR('פרמטרים לקריטריונים'!$C$26*Q357,""))</f>
        <v>70471.312975352746</v>
      </c>
      <c r="S357" s="214">
        <f t="shared" si="60"/>
        <v>1.0443957030076751E-3</v>
      </c>
      <c r="T357" s="213">
        <f t="shared" si="61"/>
        <v>52219.785150383759</v>
      </c>
      <c r="U357" s="213">
        <f>IF($F357="","",'הזנה לתנאי סף'!N357)</f>
        <v>1</v>
      </c>
      <c r="V357" s="213">
        <f>IF($F357="","",'הזנה לתנאי סף'!O357)</f>
        <v>0</v>
      </c>
      <c r="W357" s="109"/>
      <c r="X357" s="109"/>
      <c r="Y357" s="109"/>
      <c r="Z357" s="214" t="str">
        <f t="shared" si="62"/>
        <v/>
      </c>
      <c r="AA357" s="213" t="str">
        <f>IF(OR($F357="",V357=0),"",IF(V357=1,IF(COUNTBLANK(W357:X357)&gt;0,$AG$2,IF(OR(Z357&lt;='פרמטרים לקריטריונים'!$C$27,X357&gt;W357),"",X357-W357))))</f>
        <v/>
      </c>
      <c r="AB357" s="214" t="str">
        <f t="shared" si="63"/>
        <v/>
      </c>
      <c r="AC357" s="225" t="str">
        <f>IF(OR(AB357="",U357=1),"",IF(OR(COUNTBLANK(W357:Y357)&gt;0,AB357&gt;='פרמטרים לקריטריונים'!$E$54),'פרמטרים לקריטריונים'!$F$54,INDEX('פרמטרים לקריטריונים'!$F$49:$F$54,MATCH(AB357,'פרמטרים לקריטריונים'!$E$49:$E$54,1))))</f>
        <v/>
      </c>
      <c r="AD357" s="213" t="str">
        <f t="shared" si="64"/>
        <v/>
      </c>
      <c r="AE357" s="213">
        <f t="shared" si="65"/>
        <v>52219.785150383759</v>
      </c>
      <c r="AG357" s="175">
        <f t="shared" si="66"/>
        <v>1</v>
      </c>
    </row>
    <row r="358" spans="1:33" ht="15.75" x14ac:dyDescent="0.2">
      <c r="A358" s="206">
        <f t="shared" si="56"/>
        <v>328</v>
      </c>
      <c r="B358" s="88">
        <f>IF($F358="","",'הזנה לתנאי סף'!C358)</f>
        <v>1001346996</v>
      </c>
      <c r="C358" s="88">
        <f>IF($F358="","",'הזנה לתנאי סף'!D358)</f>
        <v>1001262285</v>
      </c>
      <c r="D358" s="88">
        <f>IF($F358="","",'הזנה לתנאי סף'!E358)</f>
        <v>40000234</v>
      </c>
      <c r="E358" s="88">
        <f>IF($F358="","",'הזנה לתנאי סף'!F358)</f>
        <v>20000159</v>
      </c>
      <c r="F358" s="88" t="str">
        <f>IF(OR('הזנה לתנאי סף'!G358="",'הזנה לתנאי סף'!BL358&lt;&gt;1),"",'הזנה לתנאי סף'!G358)</f>
        <v>ירושלים</v>
      </c>
      <c r="G358" s="88" t="str">
        <f>IF($F358="","",'הזנה לתנאי סף'!H358)</f>
        <v>עמותת ורטיגו למחול - ירושלים (ע"ר)</v>
      </c>
      <c r="H358" s="88" t="str">
        <f>IF($F358="","",'הזנה לתנאי סף'!I358)</f>
        <v>מחול</v>
      </c>
      <c r="I358" s="109">
        <v>5227416</v>
      </c>
      <c r="J358" s="213">
        <f>IF($F358="","",'הזנה לתנאי סף'!S358)</f>
        <v>4557272</v>
      </c>
      <c r="K358" s="109"/>
      <c r="L358" s="213">
        <f t="shared" si="57"/>
        <v>9784688</v>
      </c>
      <c r="M358" s="213">
        <f>IF($F358="","",IF(L358='הזנה לתנאי סף'!R358,1,0))</f>
        <v>1</v>
      </c>
      <c r="N358" s="214">
        <f t="shared" si="58"/>
        <v>0.53424452573245051</v>
      </c>
      <c r="O358" s="214">
        <f t="shared" si="59"/>
        <v>0.46575547426754949</v>
      </c>
      <c r="P358" s="109">
        <v>9521113</v>
      </c>
      <c r="Q358" s="213">
        <f>IF($F358="","",IFERROR(IF(P358&gt;0,'פרמטרים לקריטריונים'!$C$25*P358*O358,$AG$2),""))</f>
        <v>1330353.1502609793</v>
      </c>
      <c r="R358" s="213">
        <f>IF($F358="","",IFERROR('פרמטרים לקריטריונים'!$C$26*Q358,""))</f>
        <v>327136.02055597852</v>
      </c>
      <c r="S358" s="214">
        <f t="shared" si="60"/>
        <v>4.848206167056791E-3</v>
      </c>
      <c r="T358" s="213">
        <f t="shared" si="61"/>
        <v>242410.30835283955</v>
      </c>
      <c r="U358" s="213">
        <f>IF($F358="","",'הזנה לתנאי סף'!N358)</f>
        <v>1</v>
      </c>
      <c r="V358" s="213">
        <f>IF($F358="","",'הזנה לתנאי סף'!O358)</f>
        <v>0</v>
      </c>
      <c r="W358" s="109"/>
      <c r="X358" s="109"/>
      <c r="Y358" s="109"/>
      <c r="Z358" s="214" t="str">
        <f t="shared" si="62"/>
        <v/>
      </c>
      <c r="AA358" s="213" t="str">
        <f>IF(OR($F358="",V358=0),"",IF(V358=1,IF(COUNTBLANK(W358:X358)&gt;0,$AG$2,IF(OR(Z358&lt;='פרמטרים לקריטריונים'!$C$27,X358&gt;W358),"",X358-W358))))</f>
        <v/>
      </c>
      <c r="AB358" s="214" t="str">
        <f t="shared" si="63"/>
        <v/>
      </c>
      <c r="AC358" s="225" t="str">
        <f>IF(OR(AB358="",U358=1),"",IF(OR(COUNTBLANK(W358:Y358)&gt;0,AB358&gt;='פרמטרים לקריטריונים'!$E$54),'פרמטרים לקריטריונים'!$F$54,INDEX('פרמטרים לקריטריונים'!$F$49:$F$54,MATCH(AB358,'פרמטרים לקריטריונים'!$E$49:$E$54,1))))</f>
        <v/>
      </c>
      <c r="AD358" s="213" t="str">
        <f t="shared" si="64"/>
        <v/>
      </c>
      <c r="AE358" s="213">
        <f t="shared" si="65"/>
        <v>242410.30835283955</v>
      </c>
      <c r="AG358" s="175">
        <f t="shared" si="66"/>
        <v>1</v>
      </c>
    </row>
    <row r="359" spans="1:33" ht="15.75" x14ac:dyDescent="0.2">
      <c r="A359" s="206">
        <f t="shared" si="56"/>
        <v>329</v>
      </c>
      <c r="B359" s="88">
        <f>IF($F359="","",'הזנה לתנאי סף'!C359)</f>
        <v>1001347696</v>
      </c>
      <c r="C359" s="88">
        <f>IF($F359="","",'הזנה לתנאי סף'!D359)</f>
        <v>1001262291</v>
      </c>
      <c r="D359" s="88">
        <f>IF($F359="","",'הזנה לתנאי סף'!E359)</f>
        <v>40000234</v>
      </c>
      <c r="E359" s="88">
        <f>IF($F359="","",'הזנה לתנאי סף'!F359)</f>
        <v>20000159</v>
      </c>
      <c r="F359" s="88" t="str">
        <f>IF(OR('הזנה לתנאי סף'!G359="",'הזנה לתנאי סף'!BL359&lt;&gt;1),"",'הזנה לתנאי סף'!G359)</f>
        <v>ירושלים</v>
      </c>
      <c r="G359" s="88" t="str">
        <f>IF($F359="","",'הזנה לתנאי סף'!H359)</f>
        <v>עמותת ורטיגו למחול - ירושלים (ע"ר)</v>
      </c>
      <c r="H359" s="88" t="str">
        <f>IF($F359="","",'הזנה לתנאי סף'!I359)</f>
        <v>מחול</v>
      </c>
      <c r="I359" s="109">
        <v>600000</v>
      </c>
      <c r="J359" s="213">
        <f>IF($F359="","",'הזנה לתנאי סף'!S359)</f>
        <v>826689</v>
      </c>
      <c r="K359" s="109"/>
      <c r="L359" s="213">
        <f t="shared" si="57"/>
        <v>1426689</v>
      </c>
      <c r="M359" s="213">
        <f>IF($F359="","",IF(L359='הזנה לתנאי סף'!R359,1,0))</f>
        <v>1</v>
      </c>
      <c r="N359" s="214">
        <f t="shared" si="58"/>
        <v>0.4205541642221956</v>
      </c>
      <c r="O359" s="214">
        <f t="shared" si="59"/>
        <v>0.5794458357778044</v>
      </c>
      <c r="P359" s="109">
        <v>1708149</v>
      </c>
      <c r="Q359" s="213">
        <f>IF($F359="","",IFERROR(IF(P359&gt;0,'פרמטרים לקריטריונים'!$C$25*P359*O359,$AG$2),""))</f>
        <v>296933.94748140621</v>
      </c>
      <c r="R359" s="213">
        <f>IF($F359="","",IFERROR('פרמטרים לקריטריונים'!$C$26*Q359,""))</f>
        <v>73016.544462640872</v>
      </c>
      <c r="S359" s="214">
        <f t="shared" si="60"/>
        <v>1.0821164253307183E-3</v>
      </c>
      <c r="T359" s="213">
        <f t="shared" si="61"/>
        <v>54105.821266535917</v>
      </c>
      <c r="U359" s="213">
        <f>IF($F359="","",'הזנה לתנאי סף'!N359)</f>
        <v>0</v>
      </c>
      <c r="V359" s="213">
        <f>IF($F359="","",'הזנה לתנאי סף'!O359)</f>
        <v>1</v>
      </c>
      <c r="W359" s="109">
        <v>0</v>
      </c>
      <c r="X359" s="109">
        <v>0</v>
      </c>
      <c r="Y359" s="109">
        <v>1</v>
      </c>
      <c r="Z359" s="214">
        <f t="shared" si="62"/>
        <v>0</v>
      </c>
      <c r="AA359" s="213" t="str">
        <f>IF(OR($F359="",V359=0),"",IF(V359=1,IF(COUNTBLANK(W359:X359)&gt;0,$AG$2,IF(OR(Z359&lt;='פרמטרים לקריטריונים'!$C$27,X359&gt;W359),"",X359-W359))))</f>
        <v/>
      </c>
      <c r="AB359" s="214" t="str">
        <f t="shared" si="63"/>
        <v/>
      </c>
      <c r="AC359" s="225" t="str">
        <f>IF(OR(AB359="",U359=1),"",IF(OR(COUNTBLANK(W359:Y359)&gt;0,AB359&gt;='פרמטרים לקריטריונים'!$E$54),'פרמטרים לקריטריונים'!$F$54,INDEX('פרמטרים לקריטריונים'!$F$49:$F$54,MATCH(AB359,'פרמטרים לקריטריונים'!$E$49:$E$54,1))))</f>
        <v/>
      </c>
      <c r="AD359" s="213" t="str">
        <f t="shared" si="64"/>
        <v/>
      </c>
      <c r="AE359" s="213">
        <f t="shared" si="65"/>
        <v>54105.821266535917</v>
      </c>
      <c r="AG359" s="175">
        <f t="shared" si="66"/>
        <v>0</v>
      </c>
    </row>
    <row r="360" spans="1:33" ht="15.75" x14ac:dyDescent="0.2">
      <c r="A360" s="206">
        <f t="shared" si="56"/>
        <v>330</v>
      </c>
      <c r="B360" s="88">
        <f>IF($F360="","",'הזנה לתנאי סף'!C360)</f>
        <v>1001348126</v>
      </c>
      <c r="C360" s="88">
        <f>IF($F360="","",'הזנה לתנאי סף'!D360)</f>
        <v>1001263224</v>
      </c>
      <c r="D360" s="88">
        <f>IF($F360="","",'הזנה לתנאי סף'!E360)</f>
        <v>40000681</v>
      </c>
      <c r="E360" s="88">
        <f>IF($F360="","",'הזנה לתנאי סף'!F360)</f>
        <v>20000201</v>
      </c>
      <c r="F360" s="88" t="str">
        <f>IF(OR('הזנה לתנאי סף'!G360="",'הזנה לתנאי סף'!BL360&lt;&gt;1),"",'הזנה לתנאי סף'!G360)</f>
        <v>תל אביב -יפו</v>
      </c>
      <c r="G360" s="88" t="str">
        <f>IF($F360="","",'הזנה לתנאי סף'!H360)</f>
        <v>דוקאביב - העמותה לקידום הסרט הדוקומ</v>
      </c>
      <c r="H360" s="88" t="str">
        <f>IF($F360="","",'הזנה לתנאי סף'!I360)</f>
        <v>סינמטקים ופסטיבלים</v>
      </c>
      <c r="I360" s="109">
        <v>940399</v>
      </c>
      <c r="J360" s="213">
        <f>IF($F360="","",'הזנה לתנאי סף'!S360)</f>
        <v>3412378</v>
      </c>
      <c r="K360" s="109"/>
      <c r="L360" s="213">
        <f t="shared" si="57"/>
        <v>4352777</v>
      </c>
      <c r="M360" s="213">
        <f>IF($F360="","",IF(L360='הזנה לתנאי סף'!R360,1,0))</f>
        <v>1</v>
      </c>
      <c r="N360" s="214">
        <f t="shared" si="58"/>
        <v>0.21604575653657423</v>
      </c>
      <c r="O360" s="214">
        <f t="shared" si="59"/>
        <v>0.78395424346342579</v>
      </c>
      <c r="P360" s="109">
        <v>3259775</v>
      </c>
      <c r="Q360" s="213">
        <f>IF($F360="","",IFERROR(IF(P360&gt;0,'פרמטרים לקריטריונים'!$C$25*P360*O360,$AG$2),""))</f>
        <v>766654.3331957967</v>
      </c>
      <c r="R360" s="213">
        <f>IF($F360="","",IFERROR('פרמטרים לקריטריונים'!$C$26*Q360,""))</f>
        <v>188521.55734322869</v>
      </c>
      <c r="S360" s="214">
        <f t="shared" si="60"/>
        <v>2.7939184910950286E-3</v>
      </c>
      <c r="T360" s="213">
        <f t="shared" si="61"/>
        <v>139695.92455475143</v>
      </c>
      <c r="U360" s="213">
        <f>IF($F360="","",'הזנה לתנאי סף'!N360)</f>
        <v>1</v>
      </c>
      <c r="V360" s="213">
        <f>IF($F360="","",'הזנה לתנאי סף'!O360)</f>
        <v>0</v>
      </c>
      <c r="W360" s="109"/>
      <c r="X360" s="109"/>
      <c r="Y360" s="109"/>
      <c r="Z360" s="214" t="str">
        <f t="shared" si="62"/>
        <v/>
      </c>
      <c r="AA360" s="213" t="str">
        <f>IF(OR($F360="",V360=0),"",IF(V360=1,IF(COUNTBLANK(W360:X360)&gt;0,$AG$2,IF(OR(Z360&lt;='פרמטרים לקריטריונים'!$C$27,X360&gt;W360),"",X360-W360))))</f>
        <v/>
      </c>
      <c r="AB360" s="214" t="str">
        <f t="shared" si="63"/>
        <v/>
      </c>
      <c r="AC360" s="225" t="str">
        <f>IF(OR(AB360="",U360=1),"",IF(OR(COUNTBLANK(W360:Y360)&gt;0,AB360&gt;='פרמטרים לקריטריונים'!$E$54),'פרמטרים לקריטריונים'!$F$54,INDEX('פרמטרים לקריטריונים'!$F$49:$F$54,MATCH(AB360,'פרמטרים לקריטריונים'!$E$49:$E$54,1))))</f>
        <v/>
      </c>
      <c r="AD360" s="213" t="str">
        <f t="shared" si="64"/>
        <v/>
      </c>
      <c r="AE360" s="213">
        <f t="shared" si="65"/>
        <v>139695.92455475143</v>
      </c>
      <c r="AG360" s="175">
        <f t="shared" si="66"/>
        <v>1</v>
      </c>
    </row>
    <row r="361" spans="1:33" ht="15.75" x14ac:dyDescent="0.2">
      <c r="A361" s="206" t="str">
        <f t="shared" si="56"/>
        <v/>
      </c>
      <c r="B361" s="88" t="str">
        <f>IF($F361="","",'הזנה לתנאי סף'!C361)</f>
        <v/>
      </c>
      <c r="C361" s="88" t="str">
        <f>IF($F361="","",'הזנה לתנאי סף'!D361)</f>
        <v/>
      </c>
      <c r="D361" s="88" t="str">
        <f>IF($F361="","",'הזנה לתנאי סף'!E361)</f>
        <v/>
      </c>
      <c r="E361" s="88" t="str">
        <f>IF($F361="","",'הזנה לתנאי סף'!F361)</f>
        <v/>
      </c>
      <c r="F361" s="88" t="str">
        <f>IF(OR('הזנה לתנאי סף'!G361="",'הזנה לתנאי סף'!BL361&lt;&gt;1),"",'הזנה לתנאי סף'!G361)</f>
        <v/>
      </c>
      <c r="G361" s="88" t="str">
        <f>IF($F361="","",'הזנה לתנאי סף'!H361)</f>
        <v/>
      </c>
      <c r="H361" s="88" t="str">
        <f>IF($F361="","",'הזנה לתנאי סף'!I361)</f>
        <v/>
      </c>
      <c r="I361" s="109"/>
      <c r="J361" s="213" t="str">
        <f>IF($F361="","",'הזנה לתנאי סף'!S361)</f>
        <v/>
      </c>
      <c r="K361" s="109"/>
      <c r="L361" s="213" t="str">
        <f t="shared" si="57"/>
        <v/>
      </c>
      <c r="M361" s="213" t="str">
        <f>IF($F361="","",IF(L361='הזנה לתנאי סף'!R361,1,0))</f>
        <v/>
      </c>
      <c r="N361" s="214" t="str">
        <f t="shared" si="58"/>
        <v/>
      </c>
      <c r="O361" s="214" t="str">
        <f t="shared" si="59"/>
        <v/>
      </c>
      <c r="P361" s="109"/>
      <c r="Q361" s="213" t="str">
        <f>IF($F361="","",IFERROR(IF(P361&gt;0,'פרמטרים לקריטריונים'!$C$25*P361*O361,$AG$2),""))</f>
        <v/>
      </c>
      <c r="R361" s="213" t="str">
        <f>IF($F361="","",IFERROR('פרמטרים לקריטריונים'!$C$26*Q361,""))</f>
        <v/>
      </c>
      <c r="S361" s="214" t="str">
        <f t="shared" si="60"/>
        <v/>
      </c>
      <c r="T361" s="213" t="str">
        <f t="shared" si="61"/>
        <v/>
      </c>
      <c r="U361" s="213" t="str">
        <f>IF($F361="","",'הזנה לתנאי סף'!N361)</f>
        <v/>
      </c>
      <c r="V361" s="213" t="str">
        <f>IF($F361="","",'הזנה לתנאי סף'!O361)</f>
        <v/>
      </c>
      <c r="W361" s="109"/>
      <c r="X361" s="109"/>
      <c r="Y361" s="109"/>
      <c r="Z361" s="214" t="str">
        <f t="shared" si="62"/>
        <v/>
      </c>
      <c r="AA361" s="213" t="str">
        <f>IF(OR($F361="",V361=0),"",IF(V361=1,IF(COUNTBLANK(W361:X361)&gt;0,$AG$2,IF(OR(Z361&lt;='פרמטרים לקריטריונים'!$C$27,X361&gt;W361),"",X361-W361))))</f>
        <v/>
      </c>
      <c r="AB361" s="214" t="str">
        <f t="shared" si="63"/>
        <v/>
      </c>
      <c r="AC361" s="225" t="str">
        <f>IF(OR(AB361="",U361=1),"",IF(OR(COUNTBLANK(W361:Y361)&gt;0,AB361&gt;='פרמטרים לקריטריונים'!$E$54),'פרמטרים לקריטריונים'!$F$54,INDEX('פרמטרים לקריטריונים'!$F$49:$F$54,MATCH(AB361,'פרמטרים לקריטריונים'!$E$49:$E$54,1))))</f>
        <v/>
      </c>
      <c r="AD361" s="213" t="str">
        <f t="shared" si="64"/>
        <v/>
      </c>
      <c r="AE361" s="213" t="str">
        <f t="shared" si="65"/>
        <v/>
      </c>
      <c r="AG361" s="175">
        <f t="shared" si="66"/>
        <v>0</v>
      </c>
    </row>
    <row r="362" spans="1:33" ht="15.75" x14ac:dyDescent="0.2">
      <c r="A362" s="206">
        <f t="shared" si="56"/>
        <v>332</v>
      </c>
      <c r="B362" s="88">
        <f>IF($F362="","",'הזנה לתנאי סף'!C362)</f>
        <v>1001346979</v>
      </c>
      <c r="C362" s="88">
        <f>IF($F362="","",'הזנה לתנאי סף'!D362)</f>
        <v>1001273202</v>
      </c>
      <c r="D362" s="88">
        <f>IF($F362="","",'הזנה לתנאי סף'!E362)</f>
        <v>40000237</v>
      </c>
      <c r="E362" s="88">
        <f>IF($F362="","",'הזנה לתנאי סף'!F362)</f>
        <v>20000248</v>
      </c>
      <c r="F362" s="88" t="str">
        <f>IF(OR('הזנה לתנאי סף'!G362="",'הזנה לתנאי סף'!BL362&lt;&gt;1),"",'הזנה לתנאי סף'!G362)</f>
        <v>רחובות</v>
      </c>
      <c r="G362" s="88" t="str">
        <f>IF($F362="","",'הזנה לתנאי סף'!H362)</f>
        <v>מועצה לשימור אתרי מורשת בישראל (ע"ר</v>
      </c>
      <c r="H362" s="88" t="str">
        <f>IF($F362="","",'הזנה לתנאי סף'!I362)</f>
        <v>מועצה לשימור אתרים</v>
      </c>
      <c r="I362" s="109">
        <v>15086672</v>
      </c>
      <c r="J362" s="213">
        <f>IF($F362="","",'הזנה לתנאי סף'!S362)</f>
        <v>8603966</v>
      </c>
      <c r="K362" s="109"/>
      <c r="L362" s="213">
        <f t="shared" si="57"/>
        <v>23690638</v>
      </c>
      <c r="M362" s="213">
        <f>IF($F362="","",IF(L362='הזנה לתנאי סף'!R362,1,0))</f>
        <v>1</v>
      </c>
      <c r="N362" s="214">
        <f t="shared" si="58"/>
        <v>0.63681999615206653</v>
      </c>
      <c r="O362" s="214">
        <f t="shared" si="59"/>
        <v>0.36318000384793347</v>
      </c>
      <c r="P362" s="109">
        <v>21561518</v>
      </c>
      <c r="Q362" s="213">
        <f>IF($F362="","",IFERROR(IF(P362&gt;0,'פרמטרים לקריטריונים'!$C$25*P362*O362,$AG$2),""))</f>
        <v>2349213.6570621859</v>
      </c>
      <c r="R362" s="213">
        <f>IF($F362="","",IFERROR('פרמטרים לקריטריונים'!$C$26*Q362,""))</f>
        <v>577675.48944152112</v>
      </c>
      <c r="S362" s="214">
        <f t="shared" si="60"/>
        <v>8.5612396510419964E-3</v>
      </c>
      <c r="T362" s="213">
        <f t="shared" si="61"/>
        <v>428061.9825520998</v>
      </c>
      <c r="U362" s="213">
        <f>IF($F362="","",'הזנה לתנאי סף'!N362)</f>
        <v>0</v>
      </c>
      <c r="V362" s="213">
        <f>IF($F362="","",'הזנה לתנאי סף'!O362)</f>
        <v>1</v>
      </c>
      <c r="W362" s="109">
        <v>240000</v>
      </c>
      <c r="X362" s="109">
        <v>240000</v>
      </c>
      <c r="Y362" s="109">
        <v>21501518</v>
      </c>
      <c r="Z362" s="214">
        <f t="shared" si="62"/>
        <v>1.1162002608373977E-2</v>
      </c>
      <c r="AA362" s="213" t="str">
        <f>IF(OR($F362="",V362=0),"",IF(V362=1,IF(COUNTBLANK(W362:X362)&gt;0,$AG$2,IF(OR(Z362&lt;='פרמטרים לקריטריונים'!$C$27,X362&gt;W362),"",X362-W362))))</f>
        <v/>
      </c>
      <c r="AB362" s="214" t="str">
        <f t="shared" si="63"/>
        <v/>
      </c>
      <c r="AC362" s="225" t="str">
        <f>IF(OR(AB362="",U362=1),"",IF(OR(COUNTBLANK(W362:Y362)&gt;0,AB362&gt;='פרמטרים לקריטריונים'!$E$54),'פרמטרים לקריטריונים'!$F$54,INDEX('פרמטרים לקריטריונים'!$F$49:$F$54,MATCH(AB362,'פרמטרים לקריטריונים'!$E$49:$E$54,1))))</f>
        <v/>
      </c>
      <c r="AD362" s="213" t="str">
        <f t="shared" si="64"/>
        <v/>
      </c>
      <c r="AE362" s="213">
        <f t="shared" si="65"/>
        <v>428061.9825520998</v>
      </c>
      <c r="AG362" s="175">
        <f t="shared" si="66"/>
        <v>0</v>
      </c>
    </row>
    <row r="363" spans="1:33" ht="15.75" x14ac:dyDescent="0.2">
      <c r="A363" s="206">
        <f t="shared" si="56"/>
        <v>333</v>
      </c>
      <c r="B363" s="88">
        <f>IF($F363="","",'הזנה לתנאי סף'!C363)</f>
        <v>1001348103</v>
      </c>
      <c r="C363" s="88">
        <f>IF($F363="","",'הזנה לתנאי סף'!D363)</f>
        <v>1001263126</v>
      </c>
      <c r="D363" s="88">
        <f>IF($F363="","",'הזנה לתנאי סף'!E363)</f>
        <v>40000242</v>
      </c>
      <c r="E363" s="88">
        <f>IF($F363="","",'הזנה לתנאי סף'!F363)</f>
        <v>20000159</v>
      </c>
      <c r="F363" s="88" t="str">
        <f>IF(OR('הזנה לתנאי סף'!G363="",'הזנה לתנאי סף'!BL363&lt;&gt;1),"",'הזנה לתנאי סף'!G363)</f>
        <v>ירושלים</v>
      </c>
      <c r="G363" s="88" t="str">
        <f>IF($F363="","",'הזנה לתנאי סף'!H363)</f>
        <v>הזירה הבין-תחומית (ע"ר)</v>
      </c>
      <c r="H363" s="88" t="str">
        <f>IF($F363="","",'הזנה לתנאי סף'!I363)</f>
        <v>תיאטרון</v>
      </c>
      <c r="I363" s="109">
        <v>1448939</v>
      </c>
      <c r="J363" s="213">
        <f>IF($F363="","",'הזנה לתנאי סף'!S363)</f>
        <v>941707</v>
      </c>
      <c r="K363" s="109"/>
      <c r="L363" s="213">
        <f t="shared" si="57"/>
        <v>2390646</v>
      </c>
      <c r="M363" s="213">
        <f>IF($F363="","",IF(L363='הזנה לתנאי סף'!R363,1,0))</f>
        <v>1</v>
      </c>
      <c r="N363" s="214">
        <f t="shared" si="58"/>
        <v>0.60608680666229964</v>
      </c>
      <c r="O363" s="214">
        <f t="shared" si="59"/>
        <v>0.39391319333770036</v>
      </c>
      <c r="P363" s="109">
        <v>2382486</v>
      </c>
      <c r="Q363" s="213">
        <f>IF($F363="","",IFERROR(IF(P363&gt;0,'פרמטרים לקריטריונים'!$C$25*P363*O363,$AG$2),""))</f>
        <v>281547.80050270929</v>
      </c>
      <c r="R363" s="213">
        <f>IF($F363="","",IFERROR('פרמטרים לקריטריונים'!$C$26*Q363,""))</f>
        <v>69233.06569738753</v>
      </c>
      <c r="S363" s="214">
        <f t="shared" si="60"/>
        <v>1.0260446877964199E-3</v>
      </c>
      <c r="T363" s="213">
        <f t="shared" si="61"/>
        <v>51302.234389820995</v>
      </c>
      <c r="U363" s="213">
        <f>IF($F363="","",'הזנה לתנאי סף'!N363)</f>
        <v>1</v>
      </c>
      <c r="V363" s="213">
        <f>IF($F363="","",'הזנה לתנאי סף'!O363)</f>
        <v>0</v>
      </c>
      <c r="W363" s="109"/>
      <c r="X363" s="109"/>
      <c r="Y363" s="109"/>
      <c r="Z363" s="214" t="str">
        <f t="shared" si="62"/>
        <v/>
      </c>
      <c r="AA363" s="213" t="str">
        <f>IF(OR($F363="",V363=0),"",IF(V363=1,IF(COUNTBLANK(W363:X363)&gt;0,$AG$2,IF(OR(Z363&lt;='פרמטרים לקריטריונים'!$C$27,X363&gt;W363),"",X363-W363))))</f>
        <v/>
      </c>
      <c r="AB363" s="214" t="str">
        <f t="shared" si="63"/>
        <v/>
      </c>
      <c r="AC363" s="225" t="str">
        <f>IF(OR(AB363="",U363=1),"",IF(OR(COUNTBLANK(W363:Y363)&gt;0,AB363&gt;='פרמטרים לקריטריונים'!$E$54),'פרמטרים לקריטריונים'!$F$54,INDEX('פרמטרים לקריטריונים'!$F$49:$F$54,MATCH(AB363,'פרמטרים לקריטריונים'!$E$49:$E$54,1))))</f>
        <v/>
      </c>
      <c r="AD363" s="213" t="str">
        <f t="shared" si="64"/>
        <v/>
      </c>
      <c r="AE363" s="213">
        <f t="shared" si="65"/>
        <v>51302.234389820995</v>
      </c>
      <c r="AG363" s="175">
        <f t="shared" si="66"/>
        <v>1</v>
      </c>
    </row>
    <row r="364" spans="1:33" ht="15.75" x14ac:dyDescent="0.2">
      <c r="A364" s="206">
        <f t="shared" si="56"/>
        <v>334</v>
      </c>
      <c r="B364" s="88">
        <f>IF($F364="","",'הזנה לתנאי סף'!C364)</f>
        <v>1001348542</v>
      </c>
      <c r="C364" s="88">
        <f>IF($F364="","",'הזנה לתנאי סף'!D364)</f>
        <v>1001268714</v>
      </c>
      <c r="D364" s="88">
        <f>IF($F364="","",'הזנה לתנאי סף'!E364)</f>
        <v>40000242</v>
      </c>
      <c r="E364" s="88">
        <f>IF($F364="","",'הזנה לתנאי סף'!F364)</f>
        <v>20000159</v>
      </c>
      <c r="F364" s="88" t="str">
        <f>IF(OR('הזנה לתנאי סף'!G364="",'הזנה לתנאי סף'!BL364&lt;&gt;1),"",'הזנה לתנאי סף'!G364)</f>
        <v>ירושלים</v>
      </c>
      <c r="G364" s="88" t="str">
        <f>IF($F364="","",'הזנה לתנאי סף'!H364)</f>
        <v>הזירה הבין-תחומית (ע"ר)</v>
      </c>
      <c r="H364" s="88" t="str">
        <f>IF($F364="","",'הזנה לתנאי סף'!I364)</f>
        <v>אחר</v>
      </c>
      <c r="I364" s="109">
        <v>50379</v>
      </c>
      <c r="J364" s="213">
        <f>IF($F364="","",'הזנה לתנאי סף'!S364)</f>
        <v>22000</v>
      </c>
      <c r="K364" s="109"/>
      <c r="L364" s="213">
        <f t="shared" si="57"/>
        <v>72379</v>
      </c>
      <c r="M364" s="213">
        <f>IF($F364="","",IF(L364='הזנה לתנאי סף'!R364,1,0))</f>
        <v>1</v>
      </c>
      <c r="N364" s="214">
        <f t="shared" si="58"/>
        <v>0.69604443277746308</v>
      </c>
      <c r="O364" s="214">
        <f t="shared" si="59"/>
        <v>0.30395556722253692</v>
      </c>
      <c r="P364" s="109">
        <v>93629</v>
      </c>
      <c r="Q364" s="213">
        <f>IF($F364="","",IFERROR(IF(P364&gt;0,'פרמטרים לקריטריונים'!$C$25*P364*O364,$AG$2),""))</f>
        <v>8537.7167410436723</v>
      </c>
      <c r="R364" s="213">
        <f>IF($F364="","",IFERROR('פרמטרים לקריטריונים'!$C$26*Q364,""))</f>
        <v>2099.4385428795913</v>
      </c>
      <c r="S364" s="214">
        <f t="shared" si="60"/>
        <v>3.1114002284575206E-5</v>
      </c>
      <c r="T364" s="213">
        <f t="shared" si="61"/>
        <v>1555.7001142287602</v>
      </c>
      <c r="U364" s="213">
        <f>IF($F364="","",'הזנה לתנאי סף'!N364)</f>
        <v>1</v>
      </c>
      <c r="V364" s="213">
        <f>IF($F364="","",'הזנה לתנאי סף'!O364)</f>
        <v>0</v>
      </c>
      <c r="W364" s="109"/>
      <c r="X364" s="109"/>
      <c r="Y364" s="109"/>
      <c r="Z364" s="214" t="str">
        <f t="shared" si="62"/>
        <v/>
      </c>
      <c r="AA364" s="213" t="str">
        <f>IF(OR($F364="",V364=0),"",IF(V364=1,IF(COUNTBLANK(W364:X364)&gt;0,$AG$2,IF(OR(Z364&lt;='פרמטרים לקריטריונים'!$C$27,X364&gt;W364),"",X364-W364))))</f>
        <v/>
      </c>
      <c r="AB364" s="214" t="str">
        <f t="shared" si="63"/>
        <v/>
      </c>
      <c r="AC364" s="225" t="str">
        <f>IF(OR(AB364="",U364=1),"",IF(OR(COUNTBLANK(W364:Y364)&gt;0,AB364&gt;='פרמטרים לקריטריונים'!$E$54),'פרמטרים לקריטריונים'!$F$54,INDEX('פרמטרים לקריטריונים'!$F$49:$F$54,MATCH(AB364,'פרמטרים לקריטריונים'!$E$49:$E$54,1))))</f>
        <v/>
      </c>
      <c r="AD364" s="213" t="str">
        <f t="shared" si="64"/>
        <v/>
      </c>
      <c r="AE364" s="213">
        <f t="shared" si="65"/>
        <v>1555.7001142287602</v>
      </c>
      <c r="AG364" s="175">
        <f t="shared" si="66"/>
        <v>1</v>
      </c>
    </row>
    <row r="365" spans="1:33" ht="15.75" x14ac:dyDescent="0.2">
      <c r="A365" s="206" t="str">
        <f t="shared" si="56"/>
        <v/>
      </c>
      <c r="B365" s="88" t="str">
        <f>IF($F365="","",'הזנה לתנאי סף'!C365)</f>
        <v/>
      </c>
      <c r="C365" s="88" t="str">
        <f>IF($F365="","",'הזנה לתנאי סף'!D365)</f>
        <v/>
      </c>
      <c r="D365" s="88" t="str">
        <f>IF($F365="","",'הזנה לתנאי סף'!E365)</f>
        <v/>
      </c>
      <c r="E365" s="88" t="str">
        <f>IF($F365="","",'הזנה לתנאי סף'!F365)</f>
        <v/>
      </c>
      <c r="F365" s="88" t="str">
        <f>IF(OR('הזנה לתנאי סף'!G365="",'הזנה לתנאי סף'!BL365&lt;&gt;1),"",'הזנה לתנאי סף'!G365)</f>
        <v/>
      </c>
      <c r="G365" s="88" t="str">
        <f>IF($F365="","",'הזנה לתנאי סף'!H365)</f>
        <v/>
      </c>
      <c r="H365" s="88" t="str">
        <f>IF($F365="","",'הזנה לתנאי סף'!I365)</f>
        <v/>
      </c>
      <c r="I365" s="109"/>
      <c r="J365" s="213" t="str">
        <f>IF($F365="","",'הזנה לתנאי סף'!S365)</f>
        <v/>
      </c>
      <c r="K365" s="109"/>
      <c r="L365" s="213" t="str">
        <f t="shared" si="57"/>
        <v/>
      </c>
      <c r="M365" s="213" t="str">
        <f>IF($F365="","",IF(L365='הזנה לתנאי סף'!R365,1,0))</f>
        <v/>
      </c>
      <c r="N365" s="214" t="str">
        <f t="shared" si="58"/>
        <v/>
      </c>
      <c r="O365" s="214" t="str">
        <f t="shared" si="59"/>
        <v/>
      </c>
      <c r="P365" s="109"/>
      <c r="Q365" s="213" t="str">
        <f>IF($F365="","",IFERROR(IF(P365&gt;0,'פרמטרים לקריטריונים'!$C$25*P365*O365,$AG$2),""))</f>
        <v/>
      </c>
      <c r="R365" s="213" t="str">
        <f>IF($F365="","",IFERROR('פרמטרים לקריטריונים'!$C$26*Q365,""))</f>
        <v/>
      </c>
      <c r="S365" s="214" t="str">
        <f t="shared" si="60"/>
        <v/>
      </c>
      <c r="T365" s="213" t="str">
        <f t="shared" si="61"/>
        <v/>
      </c>
      <c r="U365" s="213" t="str">
        <f>IF($F365="","",'הזנה לתנאי סף'!N365)</f>
        <v/>
      </c>
      <c r="V365" s="213" t="str">
        <f>IF($F365="","",'הזנה לתנאי סף'!O365)</f>
        <v/>
      </c>
      <c r="W365" s="109"/>
      <c r="X365" s="109"/>
      <c r="Y365" s="109"/>
      <c r="Z365" s="214" t="str">
        <f t="shared" si="62"/>
        <v/>
      </c>
      <c r="AA365" s="213" t="str">
        <f>IF(OR($F365="",V365=0),"",IF(V365=1,IF(COUNTBLANK(W365:X365)&gt;0,$AG$2,IF(OR(Z365&lt;='פרמטרים לקריטריונים'!$C$27,X365&gt;W365),"",X365-W365))))</f>
        <v/>
      </c>
      <c r="AB365" s="214" t="str">
        <f t="shared" si="63"/>
        <v/>
      </c>
      <c r="AC365" s="225" t="str">
        <f>IF(OR(AB365="",U365=1),"",IF(OR(COUNTBLANK(W365:Y365)&gt;0,AB365&gt;='פרמטרים לקריטריונים'!$E$54),'פרמטרים לקריטריונים'!$F$54,INDEX('פרמטרים לקריטריונים'!$F$49:$F$54,MATCH(AB365,'פרמטרים לקריטריונים'!$E$49:$E$54,1))))</f>
        <v/>
      </c>
      <c r="AD365" s="213" t="str">
        <f t="shared" si="64"/>
        <v/>
      </c>
      <c r="AE365" s="213" t="str">
        <f t="shared" si="65"/>
        <v/>
      </c>
      <c r="AG365" s="175">
        <f t="shared" si="66"/>
        <v>0</v>
      </c>
    </row>
    <row r="366" spans="1:33" ht="15.75" x14ac:dyDescent="0.2">
      <c r="A366" s="206" t="str">
        <f t="shared" si="56"/>
        <v/>
      </c>
      <c r="B366" s="88" t="str">
        <f>IF($F366="","",'הזנה לתנאי סף'!C366)</f>
        <v/>
      </c>
      <c r="C366" s="88" t="str">
        <f>IF($F366="","",'הזנה לתנאי סף'!D366)</f>
        <v/>
      </c>
      <c r="D366" s="88" t="str">
        <f>IF($F366="","",'הזנה לתנאי סף'!E366)</f>
        <v/>
      </c>
      <c r="E366" s="88" t="str">
        <f>IF($F366="","",'הזנה לתנאי סף'!F366)</f>
        <v/>
      </c>
      <c r="F366" s="88" t="str">
        <f>IF(OR('הזנה לתנאי סף'!G366="",'הזנה לתנאי סף'!BL366&lt;&gt;1),"",'הזנה לתנאי סף'!G366)</f>
        <v/>
      </c>
      <c r="G366" s="88" t="str">
        <f>IF($F366="","",'הזנה לתנאי סף'!H366)</f>
        <v/>
      </c>
      <c r="H366" s="88" t="str">
        <f>IF($F366="","",'הזנה לתנאי סף'!I366)</f>
        <v/>
      </c>
      <c r="I366" s="109"/>
      <c r="J366" s="213" t="str">
        <f>IF($F366="","",'הזנה לתנאי סף'!S366)</f>
        <v/>
      </c>
      <c r="K366" s="109"/>
      <c r="L366" s="213" t="str">
        <f t="shared" si="57"/>
        <v/>
      </c>
      <c r="M366" s="213" t="str">
        <f>IF($F366="","",IF(L366='הזנה לתנאי סף'!R366,1,0))</f>
        <v/>
      </c>
      <c r="N366" s="214" t="str">
        <f t="shared" si="58"/>
        <v/>
      </c>
      <c r="O366" s="214" t="str">
        <f t="shared" si="59"/>
        <v/>
      </c>
      <c r="P366" s="109"/>
      <c r="Q366" s="213" t="str">
        <f>IF($F366="","",IFERROR(IF(P366&gt;0,'פרמטרים לקריטריונים'!$C$25*P366*O366,$AG$2),""))</f>
        <v/>
      </c>
      <c r="R366" s="213" t="str">
        <f>IF($F366="","",IFERROR('פרמטרים לקריטריונים'!$C$26*Q366,""))</f>
        <v/>
      </c>
      <c r="S366" s="214" t="str">
        <f t="shared" si="60"/>
        <v/>
      </c>
      <c r="T366" s="213" t="str">
        <f t="shared" si="61"/>
        <v/>
      </c>
      <c r="U366" s="213" t="str">
        <f>IF($F366="","",'הזנה לתנאי סף'!N366)</f>
        <v/>
      </c>
      <c r="V366" s="213" t="str">
        <f>IF($F366="","",'הזנה לתנאי סף'!O366)</f>
        <v/>
      </c>
      <c r="W366" s="109"/>
      <c r="X366" s="109"/>
      <c r="Y366" s="109"/>
      <c r="Z366" s="214" t="str">
        <f t="shared" si="62"/>
        <v/>
      </c>
      <c r="AA366" s="213" t="str">
        <f>IF(OR($F366="",V366=0),"",IF(V366=1,IF(COUNTBLANK(W366:X366)&gt;0,$AG$2,IF(OR(Z366&lt;='פרמטרים לקריטריונים'!$C$27,X366&gt;W366),"",X366-W366))))</f>
        <v/>
      </c>
      <c r="AB366" s="214" t="str">
        <f t="shared" si="63"/>
        <v/>
      </c>
      <c r="AC366" s="225" t="str">
        <f>IF(OR(AB366="",U366=1),"",IF(OR(COUNTBLANK(W366:Y366)&gt;0,AB366&gt;='פרמטרים לקריטריונים'!$E$54),'פרמטרים לקריטריונים'!$F$54,INDEX('פרמטרים לקריטריונים'!$F$49:$F$54,MATCH(AB366,'פרמטרים לקריטריונים'!$E$49:$E$54,1))))</f>
        <v/>
      </c>
      <c r="AD366" s="213" t="str">
        <f t="shared" si="64"/>
        <v/>
      </c>
      <c r="AE366" s="213" t="str">
        <f t="shared" si="65"/>
        <v/>
      </c>
      <c r="AG366" s="175">
        <f t="shared" si="66"/>
        <v>0</v>
      </c>
    </row>
    <row r="367" spans="1:33" ht="15.75" x14ac:dyDescent="0.2">
      <c r="A367" s="206">
        <f t="shared" si="56"/>
        <v>337</v>
      </c>
      <c r="B367" s="88">
        <f>IF($F367="","",'הזנה לתנאי סף'!C367)</f>
        <v>1001349557</v>
      </c>
      <c r="C367" s="88">
        <f>IF($F367="","",'הזנה לתנאי סף'!D367)</f>
        <v>1001262290</v>
      </c>
      <c r="D367" s="88">
        <f>IF($F367="","",'הזנה לתנאי סף'!E367)</f>
        <v>41099000</v>
      </c>
      <c r="E367" s="88">
        <f>IF($F367="","",'הזנה לתנאי סף'!F367)</f>
        <v>20000159</v>
      </c>
      <c r="F367" s="88" t="str">
        <f>IF(OR('הזנה לתנאי סף'!G367="",'הזנה לתנאי סף'!BL367&lt;&gt;1),"",'הזנה לתנאי סף'!G367)</f>
        <v>ירושלים</v>
      </c>
      <c r="G367" s="88" t="str">
        <f>IF($F367="","",'הזנה לתנאי סף'!H367)</f>
        <v>בר-קיימא לתרבות, אמנות, מוסיקה ושלו</v>
      </c>
      <c r="H367" s="88" t="str">
        <f>IF($F367="","",'הזנה לתנאי סף'!I367)</f>
        <v>אחר</v>
      </c>
      <c r="I367" s="109">
        <v>284467</v>
      </c>
      <c r="J367" s="213">
        <f>IF($F367="","",'הזנה לתנאי סף'!S367)</f>
        <v>290043</v>
      </c>
      <c r="K367" s="109"/>
      <c r="L367" s="213">
        <f t="shared" si="57"/>
        <v>574510</v>
      </c>
      <c r="M367" s="213">
        <f>IF($F367="","",IF(L367='הזנה לתנאי סף'!R367,1,0))</f>
        <v>1</v>
      </c>
      <c r="N367" s="214">
        <f t="shared" si="58"/>
        <v>0.49514716889175125</v>
      </c>
      <c r="O367" s="214">
        <f t="shared" si="59"/>
        <v>0.50485283110824875</v>
      </c>
      <c r="P367" s="109">
        <v>556375</v>
      </c>
      <c r="Q367" s="213">
        <f>IF($F367="","",IFERROR(IF(P367&gt;0,'פרמטרים לקריטריונים'!$C$25*P367*O367,$AG$2),""))</f>
        <v>84266.248172355568</v>
      </c>
      <c r="R367" s="213">
        <f>IF($F367="","",IFERROR('פרמטרים לקריטריונים'!$C$26*Q367,""))</f>
        <v>20721.20856697268</v>
      </c>
      <c r="S367" s="214">
        <f t="shared" si="60"/>
        <v>3.070914997147996E-4</v>
      </c>
      <c r="T367" s="213">
        <f t="shared" si="61"/>
        <v>15354.574985739981</v>
      </c>
      <c r="U367" s="213">
        <f>IF($F367="","",'הזנה לתנאי סף'!N367)</f>
        <v>1</v>
      </c>
      <c r="V367" s="213">
        <f>IF($F367="","",'הזנה לתנאי סף'!O367)</f>
        <v>0</v>
      </c>
      <c r="W367" s="109"/>
      <c r="X367" s="109"/>
      <c r="Y367" s="109"/>
      <c r="Z367" s="214" t="str">
        <f t="shared" si="62"/>
        <v/>
      </c>
      <c r="AA367" s="213" t="str">
        <f>IF(OR($F367="",V367=0),"",IF(V367=1,IF(COUNTBLANK(W367:X367)&gt;0,$AG$2,IF(OR(Z367&lt;='פרמטרים לקריטריונים'!$C$27,X367&gt;W367),"",X367-W367))))</f>
        <v/>
      </c>
      <c r="AB367" s="214" t="str">
        <f t="shared" si="63"/>
        <v/>
      </c>
      <c r="AC367" s="225" t="str">
        <f>IF(OR(AB367="",U367=1),"",IF(OR(COUNTBLANK(W367:Y367)&gt;0,AB367&gt;='פרמטרים לקריטריונים'!$E$54),'פרמטרים לקריטריונים'!$F$54,INDEX('פרמטרים לקריטריונים'!$F$49:$F$54,MATCH(AB367,'פרמטרים לקריטריונים'!$E$49:$E$54,1))))</f>
        <v/>
      </c>
      <c r="AD367" s="213" t="str">
        <f t="shared" si="64"/>
        <v/>
      </c>
      <c r="AE367" s="213">
        <f t="shared" si="65"/>
        <v>15354.574985739981</v>
      </c>
      <c r="AG367" s="175">
        <f t="shared" si="66"/>
        <v>1</v>
      </c>
    </row>
    <row r="368" spans="1:33" ht="15.75" x14ac:dyDescent="0.2">
      <c r="A368" s="206">
        <f t="shared" si="56"/>
        <v>338</v>
      </c>
      <c r="B368" s="88">
        <f>IF($F368="","",'הזנה לתנאי סף'!C368)</f>
        <v>1001349558</v>
      </c>
      <c r="C368" s="88">
        <f>IF($F368="","",'הזנה לתנאי סף'!D368)</f>
        <v>1001262294</v>
      </c>
      <c r="D368" s="88">
        <f>IF($F368="","",'הזנה לתנאי סף'!E368)</f>
        <v>41099000</v>
      </c>
      <c r="E368" s="88">
        <f>IF($F368="","",'הזנה לתנאי סף'!F368)</f>
        <v>20000159</v>
      </c>
      <c r="F368" s="88" t="str">
        <f>IF(OR('הזנה לתנאי סף'!G368="",'הזנה לתנאי סף'!BL368&lt;&gt;1),"",'הזנה לתנאי סף'!G368)</f>
        <v>ירושלים</v>
      </c>
      <c r="G368" s="88" t="str">
        <f>IF($F368="","",'הזנה לתנאי סף'!H368)</f>
        <v>בר-קיימא לתרבות, אמנות, מוסיקה ושלו</v>
      </c>
      <c r="H368" s="88" t="str">
        <f>IF($F368="","",'הזנה לתנאי סף'!I368)</f>
        <v>אחר</v>
      </c>
      <c r="I368" s="109">
        <v>107077</v>
      </c>
      <c r="J368" s="213">
        <f>IF($F368="","",'הזנה לתנאי סף'!S368)</f>
        <v>216741</v>
      </c>
      <c r="K368" s="109">
        <v>10000</v>
      </c>
      <c r="L368" s="213">
        <f t="shared" si="57"/>
        <v>333818</v>
      </c>
      <c r="M368" s="213">
        <f>IF($F368="","",IF(L368='הזנה לתנאי סף'!R368,1,0))</f>
        <v>1</v>
      </c>
      <c r="N368" s="214">
        <f t="shared" si="58"/>
        <v>0.32076460825959058</v>
      </c>
      <c r="O368" s="214">
        <f t="shared" si="59"/>
        <v>0.67923539174040948</v>
      </c>
      <c r="P368" s="109">
        <v>261344</v>
      </c>
      <c r="Q368" s="213">
        <f>IF($F368="","",IFERROR(IF(P368&gt;0,'פרמטרים לקריטריונים'!$C$25*P368*O368,$AG$2),""))</f>
        <v>53254.228265701669</v>
      </c>
      <c r="R368" s="213">
        <f>IF($F368="","",IFERROR('פרמטרים לקריטריונים'!$C$26*Q368,""))</f>
        <v>13095.302032549591</v>
      </c>
      <c r="S368" s="214">
        <f t="shared" si="60"/>
        <v>1.9407439133659773E-4</v>
      </c>
      <c r="T368" s="213">
        <f t="shared" si="61"/>
        <v>9703.7195668298864</v>
      </c>
      <c r="U368" s="213">
        <f>IF($F368="","",'הזנה לתנאי סף'!N368)</f>
        <v>1</v>
      </c>
      <c r="V368" s="213">
        <f>IF($F368="","",'הזנה לתנאי סף'!O368)</f>
        <v>0</v>
      </c>
      <c r="W368" s="109"/>
      <c r="X368" s="109"/>
      <c r="Y368" s="109"/>
      <c r="Z368" s="214" t="str">
        <f t="shared" si="62"/>
        <v/>
      </c>
      <c r="AA368" s="213" t="str">
        <f>IF(OR($F368="",V368=0),"",IF(V368=1,IF(COUNTBLANK(W368:X368)&gt;0,$AG$2,IF(OR(Z368&lt;='פרמטרים לקריטריונים'!$C$27,X368&gt;W368),"",X368-W368))))</f>
        <v/>
      </c>
      <c r="AB368" s="214" t="str">
        <f t="shared" si="63"/>
        <v/>
      </c>
      <c r="AC368" s="225" t="str">
        <f>IF(OR(AB368="",U368=1),"",IF(OR(COUNTBLANK(W368:Y368)&gt;0,AB368&gt;='פרמטרים לקריטריונים'!$E$54),'פרמטרים לקריטריונים'!$F$54,INDEX('פרמטרים לקריטריונים'!$F$49:$F$54,MATCH(AB368,'פרמטרים לקריטריונים'!$E$49:$E$54,1))))</f>
        <v/>
      </c>
      <c r="AD368" s="213" t="str">
        <f t="shared" si="64"/>
        <v/>
      </c>
      <c r="AE368" s="213">
        <f t="shared" si="65"/>
        <v>9703.7195668298864</v>
      </c>
      <c r="AG368" s="175">
        <f t="shared" si="66"/>
        <v>1</v>
      </c>
    </row>
    <row r="369" spans="1:33" ht="15.75" x14ac:dyDescent="0.2">
      <c r="A369" s="206">
        <f t="shared" si="56"/>
        <v>339</v>
      </c>
      <c r="B369" s="88">
        <f>IF($F369="","",'הזנה לתנאי סף'!C369)</f>
        <v>1001349559</v>
      </c>
      <c r="C369" s="88">
        <f>IF($F369="","",'הזנה לתנאי סף'!D369)</f>
        <v>1001262292</v>
      </c>
      <c r="D369" s="88">
        <f>IF($F369="","",'הזנה לתנאי סף'!E369)</f>
        <v>41099000</v>
      </c>
      <c r="E369" s="88">
        <f>IF($F369="","",'הזנה לתנאי סף'!F369)</f>
        <v>20000159</v>
      </c>
      <c r="F369" s="88" t="str">
        <f>IF(OR('הזנה לתנאי סף'!G369="",'הזנה לתנאי סף'!BL369&lt;&gt;1),"",'הזנה לתנאי סף'!G369)</f>
        <v>ירושלים</v>
      </c>
      <c r="G369" s="88" t="str">
        <f>IF($F369="","",'הזנה לתנאי סף'!H369)</f>
        <v>בר-קיימא לתרבות, אמנות, מוסיקה ושלו</v>
      </c>
      <c r="H369" s="88" t="str">
        <f>IF($F369="","",'הזנה לתנאי סף'!I369)</f>
        <v>סינמטקים ופסטיבלים</v>
      </c>
      <c r="I369" s="109">
        <v>0</v>
      </c>
      <c r="J369" s="213">
        <f>IF($F369="","",'הזנה לתנאי סף'!S369)</f>
        <v>362717</v>
      </c>
      <c r="K369" s="109"/>
      <c r="L369" s="213">
        <f t="shared" si="57"/>
        <v>362717</v>
      </c>
      <c r="M369" s="213">
        <f>IF($F369="","",IF(L369='הזנה לתנאי סף'!R369,1,0))</f>
        <v>1</v>
      </c>
      <c r="N369" s="214">
        <f t="shared" si="58"/>
        <v>0</v>
      </c>
      <c r="O369" s="214">
        <f t="shared" si="59"/>
        <v>1</v>
      </c>
      <c r="P369" s="109">
        <v>404256</v>
      </c>
      <c r="Q369" s="213">
        <f>IF($F369="","",IFERROR(IF(P369&gt;0,'פרמטרים לקריטריונים'!$C$25*P369*O369,$AG$2),""))</f>
        <v>121276.79999999999</v>
      </c>
      <c r="R369" s="213">
        <f>IF($F369="","",IFERROR('פרמטרים לקריטריונים'!$C$26*Q369,""))</f>
        <v>29822.163934426226</v>
      </c>
      <c r="S369" s="214">
        <f t="shared" si="60"/>
        <v>4.4196905879132029E-4</v>
      </c>
      <c r="T369" s="213">
        <f t="shared" si="61"/>
        <v>22098.452939566014</v>
      </c>
      <c r="U369" s="213">
        <f>IF($F369="","",'הזנה לתנאי סף'!N369)</f>
        <v>0</v>
      </c>
      <c r="V369" s="213">
        <f>IF($F369="","",'הזנה לתנאי סף'!O369)</f>
        <v>1</v>
      </c>
      <c r="W369" s="109">
        <v>0</v>
      </c>
      <c r="X369" s="109">
        <v>10000</v>
      </c>
      <c r="Y369" s="109">
        <v>1</v>
      </c>
      <c r="Z369" s="214">
        <f t="shared" si="62"/>
        <v>0</v>
      </c>
      <c r="AA369" s="213" t="str">
        <f>IF(OR($F369="",V369=0),"",IF(V369=1,IF(COUNTBLANK(W369:X369)&gt;0,$AG$2,IF(OR(Z369&lt;='פרמטרים לקריטריונים'!$C$27,X369&gt;W369),"",X369-W369))))</f>
        <v/>
      </c>
      <c r="AB369" s="214" t="str">
        <f t="shared" si="63"/>
        <v/>
      </c>
      <c r="AC369" s="225" t="str">
        <f>IF(OR(AB369="",U369=1),"",IF(OR(COUNTBLANK(W369:Y369)&gt;0,AB369&gt;='פרמטרים לקריטריונים'!$E$54),'פרמטרים לקריטריונים'!$F$54,INDEX('פרמטרים לקריטריונים'!$F$49:$F$54,MATCH(AB369,'פרמטרים לקריטריונים'!$E$49:$E$54,1))))</f>
        <v/>
      </c>
      <c r="AD369" s="213" t="str">
        <f t="shared" si="64"/>
        <v/>
      </c>
      <c r="AE369" s="213">
        <f t="shared" si="65"/>
        <v>22098.452939566014</v>
      </c>
      <c r="AG369" s="175">
        <f t="shared" si="66"/>
        <v>0</v>
      </c>
    </row>
    <row r="370" spans="1:33" ht="15.75" x14ac:dyDescent="0.2">
      <c r="A370" s="206">
        <f t="shared" si="56"/>
        <v>340</v>
      </c>
      <c r="B370" s="88">
        <f>IF($F370="","",'הזנה לתנאי סף'!C370)</f>
        <v>1001349660</v>
      </c>
      <c r="C370" s="88">
        <f>IF($F370="","",'הזנה לתנאי סף'!D370)</f>
        <v>1001262293</v>
      </c>
      <c r="D370" s="88">
        <f>IF($F370="","",'הזנה לתנאי סף'!E370)</f>
        <v>41099000</v>
      </c>
      <c r="E370" s="88">
        <f>IF($F370="","",'הזנה לתנאי סף'!F370)</f>
        <v>20000159</v>
      </c>
      <c r="F370" s="88" t="str">
        <f>IF(OR('הזנה לתנאי סף'!G370="",'הזנה לתנאי סף'!BL370&lt;&gt;1),"",'הזנה לתנאי סף'!G370)</f>
        <v>ירושלים</v>
      </c>
      <c r="G370" s="88" t="str">
        <f>IF($F370="","",'הזנה לתנאי סף'!H370)</f>
        <v>בר-קיימא לתרבות, אמנות, מוסיקה ושלו</v>
      </c>
      <c r="H370" s="88" t="str">
        <f>IF($F370="","",'הזנה לתנאי סף'!I370)</f>
        <v>סינמטקים ופסטיבלים</v>
      </c>
      <c r="I370" s="109">
        <v>0</v>
      </c>
      <c r="J370" s="213">
        <f>IF($F370="","",'הזנה לתנאי סף'!S370)</f>
        <v>29480</v>
      </c>
      <c r="K370" s="109"/>
      <c r="L370" s="213">
        <f t="shared" si="57"/>
        <v>29480</v>
      </c>
      <c r="M370" s="213">
        <f>IF($F370="","",IF(L370='הזנה לתנאי סף'!R370,1,0))</f>
        <v>1</v>
      </c>
      <c r="N370" s="214">
        <f t="shared" si="58"/>
        <v>0</v>
      </c>
      <c r="O370" s="214">
        <f t="shared" si="59"/>
        <v>1</v>
      </c>
      <c r="P370" s="109">
        <v>29480</v>
      </c>
      <c r="Q370" s="213">
        <f>IF($F370="","",IFERROR(IF(P370&gt;0,'פרמטרים לקריטריונים'!$C$25*P370*O370,$AG$2),""))</f>
        <v>8844</v>
      </c>
      <c r="R370" s="213">
        <f>IF($F370="","",IFERROR('פרמטרים לקריטריונים'!$C$26*Q370,""))</f>
        <v>2174.7540983606559</v>
      </c>
      <c r="S370" s="214">
        <f t="shared" si="60"/>
        <v>3.223019040698994E-5</v>
      </c>
      <c r="T370" s="213">
        <f t="shared" si="61"/>
        <v>1611.5095203494971</v>
      </c>
      <c r="U370" s="213">
        <f>IF($F370="","",'הזנה לתנאי סף'!N370)</f>
        <v>0</v>
      </c>
      <c r="V370" s="213">
        <f>IF($F370="","",'הזנה לתנאי סף'!O370)</f>
        <v>1</v>
      </c>
      <c r="W370" s="109">
        <v>0</v>
      </c>
      <c r="X370" s="109">
        <v>0</v>
      </c>
      <c r="Y370" s="109">
        <v>1</v>
      </c>
      <c r="Z370" s="214">
        <f t="shared" si="62"/>
        <v>0</v>
      </c>
      <c r="AA370" s="213" t="str">
        <f>IF(OR($F370="",V370=0),"",IF(V370=1,IF(COUNTBLANK(W370:X370)&gt;0,$AG$2,IF(OR(Z370&lt;='פרמטרים לקריטריונים'!$C$27,X370&gt;W370),"",X370-W370))))</f>
        <v/>
      </c>
      <c r="AB370" s="214" t="str">
        <f t="shared" si="63"/>
        <v/>
      </c>
      <c r="AC370" s="225" t="str">
        <f>IF(OR(AB370="",U370=1),"",IF(OR(COUNTBLANK(W370:Y370)&gt;0,AB370&gt;='פרמטרים לקריטריונים'!$E$54),'פרמטרים לקריטריונים'!$F$54,INDEX('פרמטרים לקריטריונים'!$F$49:$F$54,MATCH(AB370,'פרמטרים לקריטריונים'!$E$49:$E$54,1))))</f>
        <v/>
      </c>
      <c r="AD370" s="213" t="str">
        <f t="shared" si="64"/>
        <v/>
      </c>
      <c r="AE370" s="213">
        <f t="shared" si="65"/>
        <v>1611.5095203494971</v>
      </c>
      <c r="AG370" s="175">
        <f t="shared" si="66"/>
        <v>0</v>
      </c>
    </row>
    <row r="371" spans="1:33" ht="15.75" x14ac:dyDescent="0.2">
      <c r="A371" s="206">
        <f t="shared" si="56"/>
        <v>341</v>
      </c>
      <c r="B371" s="88">
        <f>IF($F371="","",'הזנה לתנאי סף'!C371)</f>
        <v>1001346562</v>
      </c>
      <c r="C371" s="88">
        <f>IF($F371="","",'הזנה לתנאי סף'!D371)</f>
        <v>1001268829</v>
      </c>
      <c r="D371" s="88">
        <f>IF($F371="","",'הזנה לתנאי סף'!E371)</f>
        <v>40371504</v>
      </c>
      <c r="E371" s="88">
        <f>IF($F371="","",'הזנה לתנאי סף'!F371)</f>
        <v>20000253</v>
      </c>
      <c r="F371" s="88" t="str">
        <f>IF(OR('הזנה לתנאי סף'!G371="",'הזנה לתנאי סף'!BL371&lt;&gt;1),"",'הזנה לתנאי סף'!G371)</f>
        <v>טמרה</v>
      </c>
      <c r="G371" s="88" t="str">
        <f>IF($F371="","",'הזנה לתנאי סף'!H371)</f>
        <v>סינמה דרמה (ע"ר)</v>
      </c>
      <c r="H371" s="88" t="str">
        <f>IF($F371="","",'הזנה לתנאי סף'!I371)</f>
        <v>תיאטרון</v>
      </c>
      <c r="I371" s="109">
        <v>800286</v>
      </c>
      <c r="J371" s="213">
        <f>IF($F371="","",'הזנה לתנאי סף'!S371)</f>
        <v>602738</v>
      </c>
      <c r="K371" s="109"/>
      <c r="L371" s="213">
        <f t="shared" si="57"/>
        <v>1403024</v>
      </c>
      <c r="M371" s="213">
        <f>IF($F371="","",IF(L371='הזנה לתנאי סף'!R371,1,0))</f>
        <v>1</v>
      </c>
      <c r="N371" s="214">
        <f t="shared" si="58"/>
        <v>0.57040079143336109</v>
      </c>
      <c r="O371" s="214">
        <f t="shared" si="59"/>
        <v>0.42959920856663891</v>
      </c>
      <c r="P371" s="109">
        <v>1112468</v>
      </c>
      <c r="Q371" s="213">
        <f>IF($F371="","",IFERROR(IF(P371&gt;0,'פרמטרים לקריטריונים'!$C$25*P371*O371,$AG$2),""))</f>
        <v>143374.61170671348</v>
      </c>
      <c r="R371" s="213">
        <f>IF($F371="","",IFERROR('פרמטרים לקריטריונים'!$C$26*Q371,""))</f>
        <v>35256.052059027905</v>
      </c>
      <c r="S371" s="214">
        <f t="shared" si="60"/>
        <v>5.225001170099078E-4</v>
      </c>
      <c r="T371" s="213">
        <f t="shared" si="61"/>
        <v>26125.005850495389</v>
      </c>
      <c r="U371" s="213">
        <f>IF($F371="","",'הזנה לתנאי סף'!N371)</f>
        <v>0</v>
      </c>
      <c r="V371" s="213">
        <f>IF($F371="","",'הזנה לתנאי סף'!O371)</f>
        <v>1</v>
      </c>
      <c r="W371" s="109">
        <v>0</v>
      </c>
      <c r="X371" s="109">
        <v>0</v>
      </c>
      <c r="Y371" s="109">
        <v>1</v>
      </c>
      <c r="Z371" s="214">
        <f t="shared" si="62"/>
        <v>0</v>
      </c>
      <c r="AA371" s="213" t="str">
        <f>IF(OR($F371="",V371=0),"",IF(V371=1,IF(COUNTBLANK(W371:X371)&gt;0,$AG$2,IF(OR(Z371&lt;='פרמטרים לקריטריונים'!$C$27,X371&gt;W371),"",X371-W371))))</f>
        <v/>
      </c>
      <c r="AB371" s="214" t="str">
        <f t="shared" si="63"/>
        <v/>
      </c>
      <c r="AC371" s="225" t="str">
        <f>IF(OR(AB371="",U371=1),"",IF(OR(COUNTBLANK(W371:Y371)&gt;0,AB371&gt;='פרמטרים לקריטריונים'!$E$54),'פרמטרים לקריטריונים'!$F$54,INDEX('פרמטרים לקריטריונים'!$F$49:$F$54,MATCH(AB371,'פרמטרים לקריטריונים'!$E$49:$E$54,1))))</f>
        <v/>
      </c>
      <c r="AD371" s="213" t="str">
        <f t="shared" si="64"/>
        <v/>
      </c>
      <c r="AE371" s="213">
        <f t="shared" si="65"/>
        <v>26125.005850495389</v>
      </c>
      <c r="AG371" s="175">
        <f t="shared" si="66"/>
        <v>0</v>
      </c>
    </row>
    <row r="372" spans="1:33" ht="15.75" x14ac:dyDescent="0.2">
      <c r="A372" s="206">
        <f t="shared" si="56"/>
        <v>342</v>
      </c>
      <c r="B372" s="88">
        <f>IF($F372="","",'הזנה לתנאי סף'!C372)</f>
        <v>1001349210</v>
      </c>
      <c r="C372" s="88">
        <f>IF($F372="","",'הזנה לתנאי סף'!D372)</f>
        <v>1001288841</v>
      </c>
      <c r="D372" s="88">
        <f>IF($F372="","",'הזנה לתנאי סף'!E372)</f>
        <v>40465932</v>
      </c>
      <c r="E372" s="88">
        <f>IF($F372="","",'הזנה לתנאי סף'!F372)</f>
        <v>20000159</v>
      </c>
      <c r="F372" s="88" t="str">
        <f>IF(OR('הזנה לתנאי סף'!G372="",'הזנה לתנאי סף'!BL372&lt;&gt;1),"",'הזנה לתנאי סף'!G372)</f>
        <v>ירושלים</v>
      </c>
      <c r="G372" s="88" t="str">
        <f>IF($F372="","",'הזנה לתנאי סף'!H372)</f>
        <v>תיאטרון האינקובטור (ע"ר)</v>
      </c>
      <c r="H372" s="88" t="str">
        <f>IF($F372="","",'הזנה לתנאי סף'!I372)</f>
        <v>תיאטרון</v>
      </c>
      <c r="I372" s="109">
        <v>3212105</v>
      </c>
      <c r="J372" s="213">
        <f>IF($F372="","",'הזנה לתנאי סף'!S372)</f>
        <v>2617067</v>
      </c>
      <c r="K372" s="109"/>
      <c r="L372" s="213">
        <f t="shared" si="57"/>
        <v>5829172</v>
      </c>
      <c r="M372" s="213">
        <f>IF($F372="","",IF(L372='הזנה לתנאי סף'!R372,1,0))</f>
        <v>1</v>
      </c>
      <c r="N372" s="214">
        <f t="shared" si="58"/>
        <v>0.55103966738329213</v>
      </c>
      <c r="O372" s="214">
        <f t="shared" si="59"/>
        <v>0.44896033261670787</v>
      </c>
      <c r="P372" s="109">
        <v>5804058</v>
      </c>
      <c r="Q372" s="213">
        <f>IF($F372="","",IFERROR(IF(P372&gt;0,'פרמטרים לקריטריונים'!$C$25*P372*O372,$AG$2),""))</f>
        <v>781737.54306199925</v>
      </c>
      <c r="R372" s="213">
        <f>IF($F372="","",IFERROR('פרמטרים לקריטריונים'!$C$26*Q372,""))</f>
        <v>192230.54337590144</v>
      </c>
      <c r="S372" s="214">
        <f t="shared" si="60"/>
        <v>2.84888623486892E-3</v>
      </c>
      <c r="T372" s="213">
        <f t="shared" si="61"/>
        <v>142444.31174344601</v>
      </c>
      <c r="U372" s="213">
        <f>IF($F372="","",'הזנה לתנאי סף'!N372)</f>
        <v>1</v>
      </c>
      <c r="V372" s="213">
        <f>IF($F372="","",'הזנה לתנאי סף'!O372)</f>
        <v>0</v>
      </c>
      <c r="W372" s="109"/>
      <c r="X372" s="109"/>
      <c r="Y372" s="109"/>
      <c r="Z372" s="214" t="str">
        <f t="shared" si="62"/>
        <v/>
      </c>
      <c r="AA372" s="213" t="str">
        <f>IF(OR($F372="",V372=0),"",IF(V372=1,IF(COUNTBLANK(W372:X372)&gt;0,$AG$2,IF(OR(Z372&lt;='פרמטרים לקריטריונים'!$C$27,X372&gt;W372),"",X372-W372))))</f>
        <v/>
      </c>
      <c r="AB372" s="214" t="str">
        <f t="shared" si="63"/>
        <v/>
      </c>
      <c r="AC372" s="225" t="str">
        <f>IF(OR(AB372="",U372=1),"",IF(OR(COUNTBLANK(W372:Y372)&gt;0,AB372&gt;='פרמטרים לקריטריונים'!$E$54),'פרמטרים לקריטריונים'!$F$54,INDEX('פרמטרים לקריטריונים'!$F$49:$F$54,MATCH(AB372,'פרמטרים לקריטריונים'!$E$49:$E$54,1))))</f>
        <v/>
      </c>
      <c r="AD372" s="213" t="str">
        <f t="shared" si="64"/>
        <v/>
      </c>
      <c r="AE372" s="213">
        <f t="shared" si="65"/>
        <v>142444.31174344601</v>
      </c>
      <c r="AG372" s="175">
        <f t="shared" si="66"/>
        <v>1</v>
      </c>
    </row>
    <row r="373" spans="1:33" ht="15.75" x14ac:dyDescent="0.2">
      <c r="A373" s="206">
        <f t="shared" si="56"/>
        <v>343</v>
      </c>
      <c r="B373" s="88">
        <f>IF($F373="","",'הזנה לתנאי סף'!C373)</f>
        <v>1001349220</v>
      </c>
      <c r="C373" s="88">
        <f>IF($F373="","",'הזנה לתנאי סף'!D373)</f>
        <v>1001280749</v>
      </c>
      <c r="D373" s="88">
        <f>IF($F373="","",'הזנה לתנאי סף'!E373)</f>
        <v>40465932</v>
      </c>
      <c r="E373" s="88">
        <f>IF($F373="","",'הזנה לתנאי סף'!F373)</f>
        <v>20000159</v>
      </c>
      <c r="F373" s="88" t="str">
        <f>IF(OR('הזנה לתנאי סף'!G373="",'הזנה לתנאי סף'!BL373&lt;&gt;1),"",'הזנה לתנאי סף'!G373)</f>
        <v>ירושלים</v>
      </c>
      <c r="G373" s="88" t="str">
        <f>IF($F373="","",'הזנה לתנאי סף'!H373)</f>
        <v>תיאטרון האינקובטור (ע"ר)</v>
      </c>
      <c r="H373" s="88" t="str">
        <f>IF($F373="","",'הזנה לתנאי סף'!I373)</f>
        <v>ספרות</v>
      </c>
      <c r="I373" s="109">
        <v>606780</v>
      </c>
      <c r="J373" s="213">
        <f>IF($F373="","",'הזנה לתנאי סף'!S373)</f>
        <v>1732151</v>
      </c>
      <c r="K373" s="109"/>
      <c r="L373" s="213">
        <f t="shared" si="57"/>
        <v>2338931</v>
      </c>
      <c r="M373" s="213">
        <f>IF($F373="","",IF(L373='הזנה לתנאי סף'!R373,1,0))</f>
        <v>1</v>
      </c>
      <c r="N373" s="214">
        <f t="shared" si="58"/>
        <v>0.25942620795568572</v>
      </c>
      <c r="O373" s="214">
        <f t="shared" si="59"/>
        <v>0.74057379204431428</v>
      </c>
      <c r="P373" s="109">
        <v>2348508</v>
      </c>
      <c r="Q373" s="213">
        <f>IF($F373="","",IFERROR(IF(P373&gt;0,'פרמטרים לקריטריונים'!$C$25*P373*O373,$AG$2),""))</f>
        <v>521773.04256192257</v>
      </c>
      <c r="R373" s="213">
        <f>IF($F373="","",IFERROR('פרמטרים לקריטריונים'!$C$26*Q373,""))</f>
        <v>128304.84653162031</v>
      </c>
      <c r="S373" s="214">
        <f t="shared" si="60"/>
        <v>1.9014975702176878E-3</v>
      </c>
      <c r="T373" s="213">
        <f t="shared" si="61"/>
        <v>95074.878510884388</v>
      </c>
      <c r="U373" s="213">
        <f>IF($F373="","",'הזנה לתנאי סף'!N373)</f>
        <v>1</v>
      </c>
      <c r="V373" s="213">
        <f>IF($F373="","",'הזנה לתנאי סף'!O373)</f>
        <v>0</v>
      </c>
      <c r="W373" s="109"/>
      <c r="X373" s="109"/>
      <c r="Y373" s="109"/>
      <c r="Z373" s="214" t="str">
        <f t="shared" si="62"/>
        <v/>
      </c>
      <c r="AA373" s="213" t="str">
        <f>IF(OR($F373="",V373=0),"",IF(V373=1,IF(COUNTBLANK(W373:X373)&gt;0,$AG$2,IF(OR(Z373&lt;='פרמטרים לקריטריונים'!$C$27,X373&gt;W373),"",X373-W373))))</f>
        <v/>
      </c>
      <c r="AB373" s="214" t="str">
        <f t="shared" si="63"/>
        <v/>
      </c>
      <c r="AC373" s="225" t="str">
        <f>IF(OR(AB373="",U373=1),"",IF(OR(COUNTBLANK(W373:Y373)&gt;0,AB373&gt;='פרמטרים לקריטריונים'!$E$54),'פרמטרים לקריטריונים'!$F$54,INDEX('פרמטרים לקריטריונים'!$F$49:$F$54,MATCH(AB373,'פרמטרים לקריטריונים'!$E$49:$E$54,1))))</f>
        <v/>
      </c>
      <c r="AD373" s="213" t="str">
        <f t="shared" si="64"/>
        <v/>
      </c>
      <c r="AE373" s="213">
        <f t="shared" si="65"/>
        <v>95074.878510884388</v>
      </c>
      <c r="AG373" s="175">
        <f t="shared" si="66"/>
        <v>1</v>
      </c>
    </row>
    <row r="374" spans="1:33" ht="15.75" x14ac:dyDescent="0.2">
      <c r="A374" s="206">
        <f t="shared" si="56"/>
        <v>344</v>
      </c>
      <c r="B374" s="88">
        <f>IF($F374="","",'הזנה לתנאי סף'!C374)</f>
        <v>1001350587</v>
      </c>
      <c r="C374" s="88">
        <f>IF($F374="","",'הזנה לתנאי סף'!D374)</f>
        <v>1001302052</v>
      </c>
      <c r="D374" s="88">
        <f>IF($F374="","",'הזנה לתנאי סף'!E374)</f>
        <v>40822203</v>
      </c>
      <c r="E374" s="88">
        <f>IF($F374="","",'הזנה לתנאי סף'!F374)</f>
        <v>20000159</v>
      </c>
      <c r="F374" s="88" t="str">
        <f>IF(OR('הזנה לתנאי סף'!G374="",'הזנה לתנאי סף'!BL374&lt;&gt;1),"",'הזנה לתנאי סף'!G374)</f>
        <v>ירושלים</v>
      </c>
      <c r="G374" s="88" t="str">
        <f>IF($F374="","",'הזנה לתנאי סף'!H374)</f>
        <v>הערת שוליים (ע"ר)</v>
      </c>
      <c r="H374" s="88" t="str">
        <f>IF($F374="","",'הזנה לתנאי סף'!I374)</f>
        <v>מקהלות</v>
      </c>
      <c r="I374" s="109">
        <v>123045</v>
      </c>
      <c r="J374" s="213">
        <f>IF($F374="","",'הזנה לתנאי סף'!S374)</f>
        <v>58955</v>
      </c>
      <c r="K374" s="109"/>
      <c r="L374" s="213">
        <f t="shared" si="57"/>
        <v>182000</v>
      </c>
      <c r="M374" s="213">
        <f>IF($F374="","",IF(L374='הזנה לתנאי סף'!R374,1,0))</f>
        <v>1</v>
      </c>
      <c r="N374" s="214">
        <f t="shared" si="58"/>
        <v>0.67607142857142855</v>
      </c>
      <c r="O374" s="214">
        <f t="shared" si="59"/>
        <v>0.32392857142857145</v>
      </c>
      <c r="P374" s="109">
        <v>181176</v>
      </c>
      <c r="Q374" s="213">
        <f>IF($F374="","",IFERROR(IF(P374&gt;0,'פרמטרים לקריטריונים'!$C$25*P374*O374,$AG$2),""))</f>
        <v>17606.424857142858</v>
      </c>
      <c r="R374" s="213">
        <f>IF($F374="","",IFERROR('פרמטרים לקריטריונים'!$C$26*Q374,""))</f>
        <v>4329.4487353629975</v>
      </c>
      <c r="S374" s="214">
        <f t="shared" si="60"/>
        <v>6.4163096509732581E-5</v>
      </c>
      <c r="T374" s="213">
        <f t="shared" si="61"/>
        <v>3208.1548254866289</v>
      </c>
      <c r="U374" s="213">
        <f>IF($F374="","",'הזנה לתנאי סף'!N374)</f>
        <v>1</v>
      </c>
      <c r="V374" s="213">
        <f>IF($F374="","",'הזנה לתנאי סף'!O374)</f>
        <v>0</v>
      </c>
      <c r="W374" s="109"/>
      <c r="X374" s="109"/>
      <c r="Y374" s="109"/>
      <c r="Z374" s="214" t="str">
        <f t="shared" si="62"/>
        <v/>
      </c>
      <c r="AA374" s="213" t="str">
        <f>IF(OR($F374="",V374=0),"",IF(V374=1,IF(COUNTBLANK(W374:X374)&gt;0,$AG$2,IF(OR(Z374&lt;='פרמטרים לקריטריונים'!$C$27,X374&gt;W374),"",X374-W374))))</f>
        <v/>
      </c>
      <c r="AB374" s="214" t="str">
        <f t="shared" si="63"/>
        <v/>
      </c>
      <c r="AC374" s="225" t="str">
        <f>IF(OR(AB374="",U374=1),"",IF(OR(COUNTBLANK(W374:Y374)&gt;0,AB374&gt;='פרמטרים לקריטריונים'!$E$54),'פרמטרים לקריטריונים'!$F$54,INDEX('פרמטרים לקריטריונים'!$F$49:$F$54,MATCH(AB374,'פרמטרים לקריטריונים'!$E$49:$E$54,1))))</f>
        <v/>
      </c>
      <c r="AD374" s="213" t="str">
        <f t="shared" si="64"/>
        <v/>
      </c>
      <c r="AE374" s="213">
        <f t="shared" si="65"/>
        <v>3208.1548254866289</v>
      </c>
      <c r="AG374" s="175">
        <f t="shared" si="66"/>
        <v>1</v>
      </c>
    </row>
    <row r="375" spans="1:33" ht="15.75" x14ac:dyDescent="0.2">
      <c r="A375" s="206">
        <f t="shared" si="56"/>
        <v>345</v>
      </c>
      <c r="B375" s="88">
        <f>IF($F375="","",'הזנה לתנאי סף'!C375)</f>
        <v>1001347740</v>
      </c>
      <c r="C375" s="88">
        <f>IF($F375="","",'הזנה לתנאי סף'!D375)</f>
        <v>1001265444</v>
      </c>
      <c r="D375" s="88">
        <f>IF($F375="","",'הזנה לתנאי סף'!E375)</f>
        <v>41376759</v>
      </c>
      <c r="E375" s="88">
        <f>IF($F375="","",'הזנה לתנאי סף'!F375)</f>
        <v>20000159</v>
      </c>
      <c r="F375" s="88" t="str">
        <f>IF(OR('הזנה לתנאי סף'!G375="",'הזנה לתנאי סף'!BL375&lt;&gt;1),"",'הזנה לתנאי סף'!G375)</f>
        <v>ירושלים</v>
      </c>
      <c r="G375" s="88" t="str">
        <f>IF($F375="","",'הזנה לתנאי סף'!H375)</f>
        <v>בין שמיים לארץ (ע"ר)</v>
      </c>
      <c r="H375" s="88" t="str">
        <f>IF($F375="","",'הזנה לתנאי סף'!I375)</f>
        <v>מחול</v>
      </c>
      <c r="I375" s="109">
        <v>240829</v>
      </c>
      <c r="J375" s="213">
        <f>IF($F375="","",'הזנה לתנאי סף'!S375)</f>
        <v>451883</v>
      </c>
      <c r="K375" s="109">
        <v>310</v>
      </c>
      <c r="L375" s="213">
        <f t="shared" si="57"/>
        <v>693022</v>
      </c>
      <c r="M375" s="213">
        <f>IF($F375="","",IF(L375='הזנה לתנאי סף'!R375,1,0))</f>
        <v>1</v>
      </c>
      <c r="N375" s="214">
        <f t="shared" si="58"/>
        <v>0.34750556259397247</v>
      </c>
      <c r="O375" s="214">
        <f t="shared" si="59"/>
        <v>0.65249443740602753</v>
      </c>
      <c r="P375" s="109">
        <v>744150</v>
      </c>
      <c r="Q375" s="213">
        <f>IF($F375="","",IFERROR(IF(P375&gt;0,'פרמטרים לקריטריונים'!$C$25*P375*O375,$AG$2),""))</f>
        <v>145666.12067870863</v>
      </c>
      <c r="R375" s="213">
        <f>IF($F375="","",IFERROR('פרמטרים לקריטריונים'!$C$26*Q375,""))</f>
        <v>35819.537871813598</v>
      </c>
      <c r="S375" s="214">
        <f t="shared" si="60"/>
        <v>5.3085106346928467E-4</v>
      </c>
      <c r="T375" s="213">
        <f t="shared" si="61"/>
        <v>26542.553173464232</v>
      </c>
      <c r="U375" s="213">
        <f>IF($F375="","",'הזנה לתנאי סף'!N375)</f>
        <v>1</v>
      </c>
      <c r="V375" s="213">
        <f>IF($F375="","",'הזנה לתנאי סף'!O375)</f>
        <v>0</v>
      </c>
      <c r="W375" s="109"/>
      <c r="X375" s="109"/>
      <c r="Y375" s="109"/>
      <c r="Z375" s="214" t="str">
        <f t="shared" si="62"/>
        <v/>
      </c>
      <c r="AA375" s="213" t="str">
        <f>IF(OR($F375="",V375=0),"",IF(V375=1,IF(COUNTBLANK(W375:X375)&gt;0,$AG$2,IF(OR(Z375&lt;='פרמטרים לקריטריונים'!$C$27,X375&gt;W375),"",X375-W375))))</f>
        <v/>
      </c>
      <c r="AB375" s="214" t="str">
        <f t="shared" si="63"/>
        <v/>
      </c>
      <c r="AC375" s="225" t="str">
        <f>IF(OR(AB375="",U375=1),"",IF(OR(COUNTBLANK(W375:Y375)&gt;0,AB375&gt;='פרמטרים לקריטריונים'!$E$54),'פרמטרים לקריטריונים'!$F$54,INDEX('פרמטרים לקריטריונים'!$F$49:$F$54,MATCH(AB375,'פרמטרים לקריטריונים'!$E$49:$E$54,1))))</f>
        <v/>
      </c>
      <c r="AD375" s="213" t="str">
        <f t="shared" si="64"/>
        <v/>
      </c>
      <c r="AE375" s="213">
        <f t="shared" si="65"/>
        <v>26542.553173464232</v>
      </c>
      <c r="AG375" s="175">
        <f t="shared" si="66"/>
        <v>1</v>
      </c>
    </row>
    <row r="376" spans="1:33" ht="15.75" x14ac:dyDescent="0.2">
      <c r="A376" s="206">
        <f t="shared" si="56"/>
        <v>346</v>
      </c>
      <c r="B376" s="88">
        <f>IF($F376="","",'הזנה לתנאי סף'!C376)</f>
        <v>1001348720</v>
      </c>
      <c r="C376" s="88">
        <f>IF($F376="","",'הזנה לתנאי סף'!D376)</f>
        <v>1001266717</v>
      </c>
      <c r="D376" s="88">
        <f>IF($F376="","",'הזנה לתנאי סף'!E376)</f>
        <v>41376759</v>
      </c>
      <c r="E376" s="88">
        <f>IF($F376="","",'הזנה לתנאי סף'!F376)</f>
        <v>20000159</v>
      </c>
      <c r="F376" s="88" t="str">
        <f>IF(OR('הזנה לתנאי סף'!G376="",'הזנה לתנאי סף'!BL376&lt;&gt;1),"",'הזנה לתנאי סף'!G376)</f>
        <v>ירושלים</v>
      </c>
      <c r="G376" s="88" t="str">
        <f>IF($F376="","",'הזנה לתנאי סף'!H376)</f>
        <v>בין שמיים לארץ (ע"ר)</v>
      </c>
      <c r="H376" s="88" t="str">
        <f>IF($F376="","",'הזנה לתנאי סף'!I376)</f>
        <v>יוצרים עצמאיים במחול</v>
      </c>
      <c r="I376" s="109">
        <v>163888</v>
      </c>
      <c r="J376" s="213">
        <f>IF($F376="","",'הזנה לתנאי סף'!S376)</f>
        <v>103937</v>
      </c>
      <c r="K376" s="109"/>
      <c r="L376" s="213">
        <f t="shared" si="57"/>
        <v>267825</v>
      </c>
      <c r="M376" s="213">
        <f>IF($F376="","",IF(L376='הזנה לתנאי סף'!R376,1,0))</f>
        <v>1</v>
      </c>
      <c r="N376" s="214">
        <f t="shared" si="58"/>
        <v>0.61192196396900966</v>
      </c>
      <c r="O376" s="214">
        <f t="shared" si="59"/>
        <v>0.38807803603099034</v>
      </c>
      <c r="P376" s="109">
        <v>298541</v>
      </c>
      <c r="Q376" s="213">
        <f>IF($F376="","",IFERROR(IF(P376&gt;0,'פרמטרים לקריטריונים'!$C$25*P376*O376,$AG$2),""))</f>
        <v>34757.161486418365</v>
      </c>
      <c r="R376" s="213">
        <f>IF($F376="","",IFERROR('פרמטרים לקריטריונים'!$C$26*Q376,""))</f>
        <v>8546.8429884635316</v>
      </c>
      <c r="S376" s="214">
        <f t="shared" si="60"/>
        <v>1.2666552834845785E-4</v>
      </c>
      <c r="T376" s="213">
        <f t="shared" si="61"/>
        <v>6333.2764174228923</v>
      </c>
      <c r="U376" s="213">
        <f>IF($F376="","",'הזנה לתנאי סף'!N376)</f>
        <v>1</v>
      </c>
      <c r="V376" s="213">
        <f>IF($F376="","",'הזנה לתנאי סף'!O376)</f>
        <v>0</v>
      </c>
      <c r="W376" s="109"/>
      <c r="X376" s="109"/>
      <c r="Y376" s="109"/>
      <c r="Z376" s="214" t="str">
        <f t="shared" si="62"/>
        <v/>
      </c>
      <c r="AA376" s="213" t="str">
        <f>IF(OR($F376="",V376=0),"",IF(V376=1,IF(COUNTBLANK(W376:X376)&gt;0,$AG$2,IF(OR(Z376&lt;='פרמטרים לקריטריונים'!$C$27,X376&gt;W376),"",X376-W376))))</f>
        <v/>
      </c>
      <c r="AB376" s="214" t="str">
        <f t="shared" si="63"/>
        <v/>
      </c>
      <c r="AC376" s="225" t="str">
        <f>IF(OR(AB376="",U376=1),"",IF(OR(COUNTBLANK(W376:Y376)&gt;0,AB376&gt;='פרמטרים לקריטריונים'!$E$54),'פרמטרים לקריטריונים'!$F$54,INDEX('פרמטרים לקריטריונים'!$F$49:$F$54,MATCH(AB376,'פרמטרים לקריטריונים'!$E$49:$E$54,1))))</f>
        <v/>
      </c>
      <c r="AD376" s="213" t="str">
        <f t="shared" si="64"/>
        <v/>
      </c>
      <c r="AE376" s="213">
        <f t="shared" si="65"/>
        <v>6333.2764174228923</v>
      </c>
      <c r="AG376" s="175">
        <f t="shared" si="66"/>
        <v>1</v>
      </c>
    </row>
    <row r="377" spans="1:33" ht="15.75" x14ac:dyDescent="0.2">
      <c r="A377" s="206">
        <f t="shared" si="56"/>
        <v>347</v>
      </c>
      <c r="B377" s="88">
        <f>IF($F377="","",'הזנה לתנאי סף'!C377)</f>
        <v>1001348726</v>
      </c>
      <c r="C377" s="88">
        <f>IF($F377="","",'הזנה לתנאי סף'!D377)</f>
        <v>1001266714</v>
      </c>
      <c r="D377" s="88">
        <f>IF($F377="","",'הזנה לתנאי סף'!E377)</f>
        <v>41376759</v>
      </c>
      <c r="E377" s="88">
        <f>IF($F377="","",'הזנה לתנאי סף'!F377)</f>
        <v>20000159</v>
      </c>
      <c r="F377" s="88" t="str">
        <f>IF(OR('הזנה לתנאי סף'!G377="",'הזנה לתנאי סף'!BL377&lt;&gt;1),"",'הזנה לתנאי סף'!G377)</f>
        <v>ירושלים</v>
      </c>
      <c r="G377" s="88" t="str">
        <f>IF($F377="","",'הזנה לתנאי סף'!H377)</f>
        <v>בין שמיים לארץ (ע"ר)</v>
      </c>
      <c r="H377" s="88" t="str">
        <f>IF($F377="","",'הזנה לתנאי סף'!I377)</f>
        <v>סינמטקים ופסטיבלים</v>
      </c>
      <c r="I377" s="109">
        <v>170820</v>
      </c>
      <c r="J377" s="213">
        <f>IF($F377="","",'הזנה לתנאי סף'!S377)</f>
        <v>198777</v>
      </c>
      <c r="K377" s="109"/>
      <c r="L377" s="213">
        <f t="shared" si="57"/>
        <v>369597</v>
      </c>
      <c r="M377" s="213">
        <f>IF($F377="","",IF(L377='הזנה לתנאי סף'!R377,1,0))</f>
        <v>1</v>
      </c>
      <c r="N377" s="214">
        <f t="shared" si="58"/>
        <v>0.46217907612886466</v>
      </c>
      <c r="O377" s="214">
        <f t="shared" si="59"/>
        <v>0.53782092387113534</v>
      </c>
      <c r="P377" s="109">
        <v>353661</v>
      </c>
      <c r="Q377" s="213">
        <f>IF($F377="","",IFERROR(IF(P377&gt;0,'פרמטרים לקריטריונים'!$C$25*P377*O377,$AG$2),""))</f>
        <v>57061.885727156878</v>
      </c>
      <c r="R377" s="213">
        <f>IF($F377="","",IFERROR('פרמטרים לקריטריונים'!$C$26*Q377,""))</f>
        <v>14031.611244382839</v>
      </c>
      <c r="S377" s="214">
        <f t="shared" si="60"/>
        <v>2.0795063794303118E-4</v>
      </c>
      <c r="T377" s="213">
        <f t="shared" si="61"/>
        <v>10397.531897151559</v>
      </c>
      <c r="U377" s="213">
        <f>IF($F377="","",'הזנה לתנאי סף'!N377)</f>
        <v>1</v>
      </c>
      <c r="V377" s="213">
        <f>IF($F377="","",'הזנה לתנאי סף'!O377)</f>
        <v>0</v>
      </c>
      <c r="W377" s="109"/>
      <c r="X377" s="109"/>
      <c r="Y377" s="109"/>
      <c r="Z377" s="214" t="str">
        <f t="shared" si="62"/>
        <v/>
      </c>
      <c r="AA377" s="213" t="str">
        <f>IF(OR($F377="",V377=0),"",IF(V377=1,IF(COUNTBLANK(W377:X377)&gt;0,$AG$2,IF(OR(Z377&lt;='פרמטרים לקריטריונים'!$C$27,X377&gt;W377),"",X377-W377))))</f>
        <v/>
      </c>
      <c r="AB377" s="214" t="str">
        <f t="shared" si="63"/>
        <v/>
      </c>
      <c r="AC377" s="225" t="str">
        <f>IF(OR(AB377="",U377=1),"",IF(OR(COUNTBLANK(W377:Y377)&gt;0,AB377&gt;='פרמטרים לקריטריונים'!$E$54),'פרמטרים לקריטריונים'!$F$54,INDEX('פרמטרים לקריטריונים'!$F$49:$F$54,MATCH(AB377,'פרמטרים לקריטריונים'!$E$49:$E$54,1))))</f>
        <v/>
      </c>
      <c r="AD377" s="213" t="str">
        <f t="shared" si="64"/>
        <v/>
      </c>
      <c r="AE377" s="213">
        <f t="shared" si="65"/>
        <v>10397.531897151559</v>
      </c>
      <c r="AG377" s="175">
        <f t="shared" si="66"/>
        <v>1</v>
      </c>
    </row>
    <row r="378" spans="1:33" ht="15.75" x14ac:dyDescent="0.2">
      <c r="A378" s="206">
        <f t="shared" si="56"/>
        <v>348</v>
      </c>
      <c r="B378" s="88">
        <f>IF($F378="","",'הזנה לתנאי סף'!C378)</f>
        <v>1001348730</v>
      </c>
      <c r="C378" s="88">
        <f>IF($F378="","",'הזנה לתנאי סף'!D378)</f>
        <v>1001266783</v>
      </c>
      <c r="D378" s="88">
        <f>IF($F378="","",'הזנה לתנאי סף'!E378)</f>
        <v>41376759</v>
      </c>
      <c r="E378" s="88">
        <f>IF($F378="","",'הזנה לתנאי סף'!F378)</f>
        <v>20000159</v>
      </c>
      <c r="F378" s="88" t="str">
        <f>IF(OR('הזנה לתנאי סף'!G378="",'הזנה לתנאי סף'!BL378&lt;&gt;1),"",'הזנה לתנאי סף'!G378)</f>
        <v>ירושלים</v>
      </c>
      <c r="G378" s="88" t="str">
        <f>IF($F378="","",'הזנה לתנאי סף'!H378)</f>
        <v>בין שמיים לארץ (ע"ר)</v>
      </c>
      <c r="H378" s="88" t="str">
        <f>IF($F378="","",'הזנה לתנאי סף'!I378)</f>
        <v>אחר</v>
      </c>
      <c r="I378" s="109">
        <v>31902</v>
      </c>
      <c r="J378" s="213">
        <f>IF($F378="","",'הזנה לתנאי סף'!S378)</f>
        <v>31282</v>
      </c>
      <c r="K378" s="109"/>
      <c r="L378" s="213">
        <f t="shared" si="57"/>
        <v>63184</v>
      </c>
      <c r="M378" s="213">
        <f>IF($F378="","",IF(L378='הזנה לתנאי סף'!R378,1,0))</f>
        <v>1</v>
      </c>
      <c r="N378" s="214">
        <f t="shared" si="58"/>
        <v>0.50490630539377057</v>
      </c>
      <c r="O378" s="214">
        <f t="shared" si="59"/>
        <v>0.49509369460622943</v>
      </c>
      <c r="P378" s="109">
        <v>46325</v>
      </c>
      <c r="Q378" s="213">
        <f>IF($F378="","",IFERROR(IF(P378&gt;0,'פרמטרים לקריטריונים'!$C$25*P378*O378,$AG$2),""))</f>
        <v>6880.5646207900736</v>
      </c>
      <c r="R378" s="213">
        <f>IF($F378="","",IFERROR('פרמטרים לקריטריונים'!$C$26*Q378,""))</f>
        <v>1691.9421198664115</v>
      </c>
      <c r="S378" s="214">
        <f t="shared" si="60"/>
        <v>2.507484258657424E-5</v>
      </c>
      <c r="T378" s="213">
        <f t="shared" si="61"/>
        <v>1253.7421293287121</v>
      </c>
      <c r="U378" s="213">
        <f>IF($F378="","",'הזנה לתנאי סף'!N378)</f>
        <v>1</v>
      </c>
      <c r="V378" s="213">
        <f>IF($F378="","",'הזנה לתנאי סף'!O378)</f>
        <v>0</v>
      </c>
      <c r="W378" s="109"/>
      <c r="X378" s="109"/>
      <c r="Y378" s="109"/>
      <c r="Z378" s="214" t="str">
        <f t="shared" si="62"/>
        <v/>
      </c>
      <c r="AA378" s="213" t="str">
        <f>IF(OR($F378="",V378=0),"",IF(V378=1,IF(COUNTBLANK(W378:X378)&gt;0,$AG$2,IF(OR(Z378&lt;='פרמטרים לקריטריונים'!$C$27,X378&gt;W378),"",X378-W378))))</f>
        <v/>
      </c>
      <c r="AB378" s="214" t="str">
        <f t="shared" si="63"/>
        <v/>
      </c>
      <c r="AC378" s="225" t="str">
        <f>IF(OR(AB378="",U378=1),"",IF(OR(COUNTBLANK(W378:Y378)&gt;0,AB378&gt;='פרמטרים לקריטריונים'!$E$54),'פרמטרים לקריטריונים'!$F$54,INDEX('פרמטרים לקריטריונים'!$F$49:$F$54,MATCH(AB378,'פרמטרים לקריטריונים'!$E$49:$E$54,1))))</f>
        <v/>
      </c>
      <c r="AD378" s="213" t="str">
        <f t="shared" si="64"/>
        <v/>
      </c>
      <c r="AE378" s="213">
        <f t="shared" si="65"/>
        <v>1253.7421293287121</v>
      </c>
      <c r="AG378" s="175">
        <f t="shared" si="66"/>
        <v>1</v>
      </c>
    </row>
    <row r="379" spans="1:33" ht="15.75" x14ac:dyDescent="0.2">
      <c r="A379" s="206">
        <f t="shared" si="56"/>
        <v>349</v>
      </c>
      <c r="B379" s="88">
        <f>IF($F379="","",'הזנה לתנאי סף'!C379)</f>
        <v>1001350095</v>
      </c>
      <c r="C379" s="88">
        <f>IF($F379="","",'הזנה לתנאי סף'!D379)</f>
        <v>1001271678</v>
      </c>
      <c r="D379" s="88">
        <f>IF($F379="","",'הזנה לתנאי סף'!E379)</f>
        <v>41556504</v>
      </c>
      <c r="E379" s="88">
        <f>IF($F379="","",'הזנה לתנאי סף'!F379)</f>
        <v>20000254</v>
      </c>
      <c r="F379" s="88" t="str">
        <f>IF(OR('הזנה לתנאי סף'!G379="",'הזנה לתנאי סף'!BL379&lt;&gt;1),"",'הזנה לתנאי סף'!G379)</f>
        <v>באר שבע</v>
      </c>
      <c r="G379" s="88" t="str">
        <f>IF($F379="","",'הזנה לתנאי סף'!H379)</f>
        <v>תיאטרון לילדים ולנוער באר - שבע (ע"</v>
      </c>
      <c r="H379" s="88" t="str">
        <f>IF($F379="","",'הזנה לתנאי סף'!I379)</f>
        <v>תיאטרון</v>
      </c>
      <c r="I379" s="109">
        <v>0</v>
      </c>
      <c r="J379" s="213">
        <f>IF($F379="","",'הזנה לתנאי סף'!S379)</f>
        <v>2974576</v>
      </c>
      <c r="K379" s="109"/>
      <c r="L379" s="213">
        <f t="shared" si="57"/>
        <v>2974576</v>
      </c>
      <c r="M379" s="213">
        <f>IF($F379="","",IF(L379='הזנה לתנאי סף'!R379,1,0))</f>
        <v>1</v>
      </c>
      <c r="N379" s="214">
        <f t="shared" si="58"/>
        <v>0</v>
      </c>
      <c r="O379" s="214">
        <f t="shared" si="59"/>
        <v>1</v>
      </c>
      <c r="P379" s="109">
        <v>3162105</v>
      </c>
      <c r="Q379" s="213">
        <f>IF($F379="","",IFERROR(IF(P379&gt;0,'פרמטרים לקריטריונים'!$C$25*P379*O379,$AG$2),""))</f>
        <v>948631.5</v>
      </c>
      <c r="R379" s="213">
        <f>IF($F379="","",IFERROR('פרמטרים לקריטריונים'!$C$26*Q379,""))</f>
        <v>233270.04098360657</v>
      </c>
      <c r="S379" s="214">
        <f t="shared" si="60"/>
        <v>3.4570979049150245E-3</v>
      </c>
      <c r="T379" s="213">
        <f t="shared" si="61"/>
        <v>172854.89524575122</v>
      </c>
      <c r="U379" s="213">
        <f>IF($F379="","",'הזנה לתנאי סף'!N379)</f>
        <v>1</v>
      </c>
      <c r="V379" s="213">
        <f>IF($F379="","",'הזנה לתנאי סף'!O379)</f>
        <v>0</v>
      </c>
      <c r="W379" s="109"/>
      <c r="X379" s="109"/>
      <c r="Y379" s="109"/>
      <c r="Z379" s="214" t="str">
        <f t="shared" si="62"/>
        <v/>
      </c>
      <c r="AA379" s="213" t="str">
        <f>IF(OR($F379="",V379=0),"",IF(V379=1,IF(COUNTBLANK(W379:X379)&gt;0,$AG$2,IF(OR(Z379&lt;='פרמטרים לקריטריונים'!$C$27,X379&gt;W379),"",X379-W379))))</f>
        <v/>
      </c>
      <c r="AB379" s="214" t="str">
        <f t="shared" si="63"/>
        <v/>
      </c>
      <c r="AC379" s="225" t="str">
        <f>IF(OR(AB379="",U379=1),"",IF(OR(COUNTBLANK(W379:Y379)&gt;0,AB379&gt;='פרמטרים לקריטריונים'!$E$54),'פרמטרים לקריטריונים'!$F$54,INDEX('פרמטרים לקריטריונים'!$F$49:$F$54,MATCH(AB379,'פרמטרים לקריטריונים'!$E$49:$E$54,1))))</f>
        <v/>
      </c>
      <c r="AD379" s="213" t="str">
        <f t="shared" si="64"/>
        <v/>
      </c>
      <c r="AE379" s="213">
        <f t="shared" si="65"/>
        <v>172854.89524575122</v>
      </c>
      <c r="AG379" s="175">
        <f t="shared" si="66"/>
        <v>1</v>
      </c>
    </row>
    <row r="380" spans="1:33" ht="15.75" x14ac:dyDescent="0.2">
      <c r="A380" s="206">
        <f t="shared" si="56"/>
        <v>350</v>
      </c>
      <c r="B380" s="88">
        <f>IF($F380="","",'הזנה לתנאי סף'!C380)</f>
        <v>1001350450</v>
      </c>
      <c r="C380" s="88">
        <f>IF($F380="","",'הזנה לתנאי סף'!D380)</f>
        <v>1001288912</v>
      </c>
      <c r="D380" s="88">
        <f>IF($F380="","",'הזנה לתנאי סף'!E380)</f>
        <v>41556986</v>
      </c>
      <c r="E380" s="88">
        <f>IF($F380="","",'הזנה לתנאי סף'!F380)</f>
        <v>20000231</v>
      </c>
      <c r="F380" s="88" t="str">
        <f>IF(OR('הזנה לתנאי סף'!G380="",'הזנה לתנאי סף'!BL380&lt;&gt;1),"",'הזנה לתנאי סף'!G380)</f>
        <v>נצרת</v>
      </c>
      <c r="G380" s="88" t="str">
        <f>IF($F380="","",'הזנה לתנאי סף'!H380)</f>
        <v>עמותת אלמאוכב נצרת (ע"ר)</v>
      </c>
      <c r="H380" s="88" t="str">
        <f>IF($F380="","",'הזנה לתנאי סף'!I380)</f>
        <v>סינמטקים ופסטיבלים</v>
      </c>
      <c r="I380" s="109">
        <v>50388</v>
      </c>
      <c r="J380" s="213">
        <f>IF($F380="","",'הזנה לתנאי סף'!S380)</f>
        <v>747540</v>
      </c>
      <c r="K380" s="109">
        <v>30000</v>
      </c>
      <c r="L380" s="213">
        <f t="shared" si="57"/>
        <v>827928</v>
      </c>
      <c r="M380" s="213">
        <f>IF($F380="","",IF(L380='הזנה לתנאי סף'!R380,1,0))</f>
        <v>1</v>
      </c>
      <c r="N380" s="214">
        <f t="shared" si="58"/>
        <v>6.0860364669391542E-2</v>
      </c>
      <c r="O380" s="214">
        <f t="shared" si="59"/>
        <v>0.93913963533060851</v>
      </c>
      <c r="P380" s="109">
        <v>686906</v>
      </c>
      <c r="Q380" s="213">
        <f>IF($F380="","",IFERROR(IF(P380&gt;0,'פרמטרים לקריטריונים'!$C$25*P380*O380,$AG$2),""))</f>
        <v>193530.19510392207</v>
      </c>
      <c r="R380" s="213">
        <f>IF($F380="","",IFERROR('פרמטרים לקריטריונים'!$C$26*Q380,""))</f>
        <v>47589.392238669359</v>
      </c>
      <c r="S380" s="214">
        <f t="shared" si="60"/>
        <v>7.052821164293668E-4</v>
      </c>
      <c r="T380" s="213">
        <f t="shared" si="61"/>
        <v>35264.105821468343</v>
      </c>
      <c r="U380" s="213">
        <f>IF($F380="","",'הזנה לתנאי סף'!N380)</f>
        <v>0</v>
      </c>
      <c r="V380" s="213">
        <f>IF($F380="","",'הזנה לתנאי סף'!O380)</f>
        <v>1</v>
      </c>
      <c r="W380" s="109">
        <v>0</v>
      </c>
      <c r="X380" s="109">
        <v>0</v>
      </c>
      <c r="Y380" s="109">
        <v>1</v>
      </c>
      <c r="Z380" s="214">
        <f t="shared" si="62"/>
        <v>0</v>
      </c>
      <c r="AA380" s="213" t="str">
        <f>IF(OR($F380="",V380=0),"",IF(V380=1,IF(COUNTBLANK(W380:X380)&gt;0,$AG$2,IF(OR(Z380&lt;='פרמטרים לקריטריונים'!$C$27,X380&gt;W380),"",X380-W380))))</f>
        <v/>
      </c>
      <c r="AB380" s="214" t="str">
        <f t="shared" si="63"/>
        <v/>
      </c>
      <c r="AC380" s="225" t="str">
        <f>IF(OR(AB380="",U380=1),"",IF(OR(COUNTBLANK(W380:Y380)&gt;0,AB380&gt;='פרמטרים לקריטריונים'!$E$54),'פרמטרים לקריטריונים'!$F$54,INDEX('פרמטרים לקריטריונים'!$F$49:$F$54,MATCH(AB380,'פרמטרים לקריטריונים'!$E$49:$E$54,1))))</f>
        <v/>
      </c>
      <c r="AD380" s="213" t="str">
        <f t="shared" si="64"/>
        <v/>
      </c>
      <c r="AE380" s="213">
        <f t="shared" si="65"/>
        <v>35264.105821468343</v>
      </c>
      <c r="AG380" s="175">
        <f t="shared" si="66"/>
        <v>0</v>
      </c>
    </row>
    <row r="381" spans="1:33" ht="15.75" x14ac:dyDescent="0.2">
      <c r="A381" s="206">
        <f t="shared" si="56"/>
        <v>351</v>
      </c>
      <c r="B381" s="88">
        <f>IF($F381="","",'הזנה לתנאי סף'!C381)</f>
        <v>1001346583</v>
      </c>
      <c r="C381" s="88">
        <f>IF($F381="","",'הזנה לתנאי סף'!D381)</f>
        <v>1001280079</v>
      </c>
      <c r="D381" s="88">
        <f>IF($F381="","",'הזנה לתנאי סף'!E381)</f>
        <v>41559386</v>
      </c>
      <c r="E381" s="88">
        <f>IF($F381="","",'הזנה לתנאי סף'!F381)</f>
        <v>20000055</v>
      </c>
      <c r="F381" s="88" t="str">
        <f>IF(OR('הזנה לתנאי סף'!G381="",'הזנה לתנאי סף'!BL381&lt;&gt;1),"",'הזנה לתנאי סף'!G381)</f>
        <v>מג'ד אל-כרום</v>
      </c>
      <c r="G381" s="88" t="str">
        <f>IF($F381="","",'הזנה לתנאי סף'!H381)</f>
        <v>אלמדאין גרוב - מג'ד אלכרום (ע"ר)</v>
      </c>
      <c r="H381" s="88" t="str">
        <f>IF($F381="","",'הזנה לתנאי סף'!I381)</f>
        <v>תיאטרון</v>
      </c>
      <c r="I381" s="109">
        <v>0</v>
      </c>
      <c r="J381" s="213">
        <f>IF($F381="","",'הזנה לתנאי סף'!S381)</f>
        <v>139764</v>
      </c>
      <c r="K381" s="109"/>
      <c r="L381" s="213">
        <f t="shared" si="57"/>
        <v>139764</v>
      </c>
      <c r="M381" s="213">
        <f>IF($F381="","",IF(L381='הזנה לתנאי סף'!R381,1,0))</f>
        <v>1</v>
      </c>
      <c r="N381" s="214">
        <f t="shared" si="58"/>
        <v>0</v>
      </c>
      <c r="O381" s="214">
        <f t="shared" si="59"/>
        <v>1</v>
      </c>
      <c r="P381" s="109">
        <v>157823</v>
      </c>
      <c r="Q381" s="213">
        <f>IF($F381="","",IFERROR(IF(P381&gt;0,'פרמטרים לקריטריונים'!$C$25*P381*O381,$AG$2),""))</f>
        <v>47346.9</v>
      </c>
      <c r="R381" s="213">
        <f>IF($F381="","",IFERROR('פרמטרים לקריטריונים'!$C$26*Q381,""))</f>
        <v>11642.680327868853</v>
      </c>
      <c r="S381" s="214">
        <f t="shared" si="60"/>
        <v>1.7254631413169517E-4</v>
      </c>
      <c r="T381" s="213">
        <f t="shared" si="61"/>
        <v>8627.315706584759</v>
      </c>
      <c r="U381" s="213">
        <f>IF($F381="","",'הזנה לתנאי סף'!N381)</f>
        <v>0</v>
      </c>
      <c r="V381" s="213">
        <f>IF($F381="","",'הזנה לתנאי סף'!O381)</f>
        <v>1</v>
      </c>
      <c r="W381" s="109">
        <v>0</v>
      </c>
      <c r="X381" s="109">
        <v>0</v>
      </c>
      <c r="Y381" s="109">
        <v>1</v>
      </c>
      <c r="Z381" s="214">
        <f t="shared" si="62"/>
        <v>0</v>
      </c>
      <c r="AA381" s="213" t="str">
        <f>IF(OR($F381="",V381=0),"",IF(V381=1,IF(COUNTBLANK(W381:X381)&gt;0,$AG$2,IF(OR(Z381&lt;='פרמטרים לקריטריונים'!$C$27,X381&gt;W381),"",X381-W381))))</f>
        <v/>
      </c>
      <c r="AB381" s="214" t="str">
        <f t="shared" si="63"/>
        <v/>
      </c>
      <c r="AC381" s="225" t="str">
        <f>IF(OR(AB381="",U381=1),"",IF(OR(COUNTBLANK(W381:Y381)&gt;0,AB381&gt;='פרמטרים לקריטריונים'!$E$54),'פרמטרים לקריטריונים'!$F$54,INDEX('פרמטרים לקריטריונים'!$F$49:$F$54,MATCH(AB381,'פרמטרים לקריטריונים'!$E$49:$E$54,1))))</f>
        <v/>
      </c>
      <c r="AD381" s="213" t="str">
        <f t="shared" si="64"/>
        <v/>
      </c>
      <c r="AE381" s="213">
        <f t="shared" si="65"/>
        <v>8627.315706584759</v>
      </c>
      <c r="AG381" s="175">
        <f t="shared" si="66"/>
        <v>0</v>
      </c>
    </row>
    <row r="382" spans="1:33" ht="15.75" x14ac:dyDescent="0.2">
      <c r="A382" s="206">
        <f t="shared" si="56"/>
        <v>352</v>
      </c>
      <c r="B382" s="88">
        <f>IF($F382="","",'הזנה לתנאי סף'!C382)</f>
        <v>1001348419</v>
      </c>
      <c r="C382" s="88">
        <f>IF($F382="","",'הזנה לתנאי סף'!D382)</f>
        <v>1001302056</v>
      </c>
      <c r="D382" s="88">
        <f>IF($F382="","",'הזנה לתנאי סף'!E382)</f>
        <v>41559387</v>
      </c>
      <c r="E382" s="88">
        <f>IF($F382="","",'הזנה לתנאי סף'!F382)</f>
        <v>20000055</v>
      </c>
      <c r="F382" s="88" t="str">
        <f>IF(OR('הזנה לתנאי סף'!G382="",'הזנה לתנאי סף'!BL382&lt;&gt;1),"",'הזנה לתנאי סף'!G382)</f>
        <v>מג'ד אל-כרום</v>
      </c>
      <c r="G382" s="88" t="str">
        <f>IF($F382="","",'הזנה לתנאי סף'!H382)</f>
        <v>עמותת אדים למוסיקה אומנות ותרבות (ע</v>
      </c>
      <c r="H382" s="88" t="str">
        <f>IF($F382="","",'הזנה לתנאי סף'!I382)</f>
        <v>אחר</v>
      </c>
      <c r="I382" s="109">
        <v>0</v>
      </c>
      <c r="J382" s="213">
        <f>IF($F382="","",'הזנה לתנאי סף'!S382)</f>
        <v>444001</v>
      </c>
      <c r="K382" s="109"/>
      <c r="L382" s="213">
        <f t="shared" si="57"/>
        <v>444001</v>
      </c>
      <c r="M382" s="213">
        <f>IF($F382="","",IF(L382='הזנה לתנאי סף'!R382,1,0))</f>
        <v>1</v>
      </c>
      <c r="N382" s="214">
        <f t="shared" si="58"/>
        <v>0</v>
      </c>
      <c r="O382" s="214">
        <f t="shared" si="59"/>
        <v>1</v>
      </c>
      <c r="P382" s="109">
        <v>414533</v>
      </c>
      <c r="Q382" s="213">
        <f>IF($F382="","",IFERROR(IF(P382&gt;0,'פרמטרים לקריטריונים'!$C$25*P382*O382,$AG$2),""))</f>
        <v>124359.9</v>
      </c>
      <c r="R382" s="213">
        <f>IF($F382="","",IFERROR('פרמטרים לקריטריונים'!$C$26*Q382,""))</f>
        <v>30580.303278688523</v>
      </c>
      <c r="S382" s="214">
        <f t="shared" si="60"/>
        <v>4.5320480054208821E-4</v>
      </c>
      <c r="T382" s="213">
        <f t="shared" si="61"/>
        <v>22660.24002710441</v>
      </c>
      <c r="U382" s="213">
        <f>IF($F382="","",'הזנה לתנאי סף'!N382)</f>
        <v>0</v>
      </c>
      <c r="V382" s="213">
        <f>IF($F382="","",'הזנה לתנאי סף'!O382)</f>
        <v>1</v>
      </c>
      <c r="W382" s="109">
        <v>0</v>
      </c>
      <c r="X382" s="109">
        <v>0</v>
      </c>
      <c r="Y382" s="109">
        <v>1</v>
      </c>
      <c r="Z382" s="214">
        <f t="shared" si="62"/>
        <v>0</v>
      </c>
      <c r="AA382" s="213" t="str">
        <f>IF(OR($F382="",V382=0),"",IF(V382=1,IF(COUNTBLANK(W382:X382)&gt;0,$AG$2,IF(OR(Z382&lt;='פרמטרים לקריטריונים'!$C$27,X382&gt;W382),"",X382-W382))))</f>
        <v/>
      </c>
      <c r="AB382" s="214" t="str">
        <f t="shared" si="63"/>
        <v/>
      </c>
      <c r="AC382" s="225" t="str">
        <f>IF(OR(AB382="",U382=1),"",IF(OR(COUNTBLANK(W382:Y382)&gt;0,AB382&gt;='פרמטרים לקריטריונים'!$E$54),'פרמטרים לקריטריונים'!$F$54,INDEX('פרמטרים לקריטריונים'!$F$49:$F$54,MATCH(AB382,'פרמטרים לקריטריונים'!$E$49:$E$54,1))))</f>
        <v/>
      </c>
      <c r="AD382" s="213" t="str">
        <f t="shared" si="64"/>
        <v/>
      </c>
      <c r="AE382" s="213">
        <f t="shared" si="65"/>
        <v>22660.24002710441</v>
      </c>
      <c r="AG382" s="175">
        <f t="shared" si="66"/>
        <v>0</v>
      </c>
    </row>
    <row r="383" spans="1:33" ht="15.75" x14ac:dyDescent="0.2">
      <c r="A383" s="206">
        <f t="shared" si="56"/>
        <v>353</v>
      </c>
      <c r="B383" s="88">
        <f>IF($F383="","",'הזנה לתנאי סף'!C383)</f>
        <v>1001347369</v>
      </c>
      <c r="C383" s="88">
        <f>IF($F383="","",'הזנה לתנאי סף'!D383)</f>
        <v>1001269042</v>
      </c>
      <c r="D383" s="88">
        <f>IF($F383="","",'הזנה לתנאי סף'!E383)</f>
        <v>41604114</v>
      </c>
      <c r="E383" s="88">
        <f>IF($F383="","",'הזנה לתנאי סף'!F383)</f>
        <v>20000201</v>
      </c>
      <c r="F383" s="88" t="str">
        <f>IF(OR('הזנה לתנאי סף'!G383="",'הזנה לתנאי סף'!BL383&lt;&gt;1),"",'הזנה לתנאי סף'!G383)</f>
        <v>תל אביב -יפו</v>
      </c>
      <c r="G383" s="88" t="str">
        <f>IF($F383="","",'הזנה לתנאי סף'!H383)</f>
        <v>העמותה לקונטאקט אימפרוביזציה בישראל</v>
      </c>
      <c r="H383" s="88" t="str">
        <f>IF($F383="","",'הזנה לתנאי סף'!I383)</f>
        <v>אחר</v>
      </c>
      <c r="I383" s="109">
        <v>0</v>
      </c>
      <c r="J383" s="213">
        <f>IF($F383="","",'הזנה לתנאי סף'!S383)</f>
        <v>324782</v>
      </c>
      <c r="K383" s="109"/>
      <c r="L383" s="213">
        <f t="shared" si="57"/>
        <v>324782</v>
      </c>
      <c r="M383" s="213">
        <f>IF($F383="","",IF(L383='הזנה לתנאי סף'!R383,1,0))</f>
        <v>1</v>
      </c>
      <c r="N383" s="214">
        <f t="shared" si="58"/>
        <v>0</v>
      </c>
      <c r="O383" s="214">
        <f t="shared" si="59"/>
        <v>1</v>
      </c>
      <c r="P383" s="109">
        <v>378666</v>
      </c>
      <c r="Q383" s="213">
        <f>IF($F383="","",IFERROR(IF(P383&gt;0,'פרמטרים לקריטריונים'!$C$25*P383*O383,$AG$2),""))</f>
        <v>113599.8</v>
      </c>
      <c r="R383" s="213">
        <f>IF($F383="","",IFERROR('פרמטרים לקריטריונים'!$C$26*Q383,""))</f>
        <v>27934.37704918033</v>
      </c>
      <c r="S383" s="214">
        <f t="shared" si="60"/>
        <v>4.1399176664359746E-4</v>
      </c>
      <c r="T383" s="213">
        <f t="shared" si="61"/>
        <v>20699.588332179872</v>
      </c>
      <c r="U383" s="213">
        <f>IF($F383="","",'הזנה לתנאי סף'!N383)</f>
        <v>0</v>
      </c>
      <c r="V383" s="213">
        <f>IF($F383="","",'הזנה לתנאי סף'!O383)</f>
        <v>1</v>
      </c>
      <c r="W383" s="109">
        <v>0</v>
      </c>
      <c r="X383" s="109">
        <v>0</v>
      </c>
      <c r="Y383" s="109">
        <v>1</v>
      </c>
      <c r="Z383" s="214">
        <f t="shared" si="62"/>
        <v>0</v>
      </c>
      <c r="AA383" s="213" t="str">
        <f>IF(OR($F383="",V383=0),"",IF(V383=1,IF(COUNTBLANK(W383:X383)&gt;0,$AG$2,IF(OR(Z383&lt;='פרמטרים לקריטריונים'!$C$27,X383&gt;W383),"",X383-W383))))</f>
        <v/>
      </c>
      <c r="AB383" s="214" t="str">
        <f t="shared" si="63"/>
        <v/>
      </c>
      <c r="AC383" s="225" t="str">
        <f>IF(OR(AB383="",U383=1),"",IF(OR(COUNTBLANK(W383:Y383)&gt;0,AB383&gt;='פרמטרים לקריטריונים'!$E$54),'פרמטרים לקריטריונים'!$F$54,INDEX('פרמטרים לקריטריונים'!$F$49:$F$54,MATCH(AB383,'פרמטרים לקריטריונים'!$E$49:$E$54,1))))</f>
        <v/>
      </c>
      <c r="AD383" s="213" t="str">
        <f t="shared" si="64"/>
        <v/>
      </c>
      <c r="AE383" s="213">
        <f t="shared" si="65"/>
        <v>20699.588332179872</v>
      </c>
      <c r="AG383" s="175">
        <f t="shared" si="66"/>
        <v>0</v>
      </c>
    </row>
    <row r="384" spans="1:33" ht="15.75" x14ac:dyDescent="0.2">
      <c r="A384" s="206">
        <f t="shared" si="56"/>
        <v>354</v>
      </c>
      <c r="B384" s="88">
        <f>IF($F384="","",'הזנה לתנאי סף'!C384)</f>
        <v>1001350655</v>
      </c>
      <c r="C384" s="88">
        <f>IF($F384="","",'הזנה לתנאי סף'!D384)</f>
        <v>1001273979</v>
      </c>
      <c r="D384" s="88">
        <f>IF($F384="","",'הזנה לתנאי סף'!E384)</f>
        <v>41626750</v>
      </c>
      <c r="E384" s="88">
        <f>IF($F384="","",'הזנה לתנאי סף'!F384)</f>
        <v>20000250</v>
      </c>
      <c r="F384" s="88" t="str">
        <f>IF(OR('הזנה לתנאי סף'!G384="",'הזנה לתנאי סף'!BL384&lt;&gt;1),"",'הזנה לתנאי סף'!G384)</f>
        <v>רמת גן</v>
      </c>
      <c r="G384" s="88" t="str">
        <f>IF($F384="","",'הזנה לתנאי סף'!H384)</f>
        <v>להקת מחול רועי אסף (ע"ר)</v>
      </c>
      <c r="H384" s="88" t="str">
        <f>IF($F384="","",'הזנה לתנאי סף'!I384)</f>
        <v>מחול</v>
      </c>
      <c r="I384" s="109">
        <v>109358</v>
      </c>
      <c r="J384" s="213">
        <f>IF($F384="","",'הזנה לתנאי סף'!S384)</f>
        <v>314692</v>
      </c>
      <c r="K384" s="109"/>
      <c r="L384" s="213">
        <f t="shared" si="57"/>
        <v>424050</v>
      </c>
      <c r="M384" s="213">
        <f>IF($F384="","",IF(L384='הזנה לתנאי סף'!R384,1,0))</f>
        <v>1</v>
      </c>
      <c r="N384" s="214">
        <f t="shared" si="58"/>
        <v>0.25788939983492515</v>
      </c>
      <c r="O384" s="214">
        <f t="shared" si="59"/>
        <v>0.7421106001650748</v>
      </c>
      <c r="P384" s="109">
        <v>488292</v>
      </c>
      <c r="Q384" s="213">
        <f>IF($F384="","",IFERROR(IF(P384&gt;0,'פרמטרים לקריטריונים'!$C$25*P384*O384,$AG$2),""))</f>
        <v>108710.00075274141</v>
      </c>
      <c r="R384" s="213">
        <f>IF($F384="","",IFERROR('פרמטרים לקריטריונים'!$C$26*Q384,""))</f>
        <v>26731.9673982151</v>
      </c>
      <c r="S384" s="214">
        <f t="shared" si="60"/>
        <v>3.9617187057947479E-4</v>
      </c>
      <c r="T384" s="213">
        <f t="shared" si="61"/>
        <v>19808.593528973739</v>
      </c>
      <c r="U384" s="213">
        <f>IF($F384="","",'הזנה לתנאי סף'!N384)</f>
        <v>0</v>
      </c>
      <c r="V384" s="213">
        <f>IF($F384="","",'הזנה לתנאי סף'!O384)</f>
        <v>1</v>
      </c>
      <c r="W384" s="109">
        <v>0</v>
      </c>
      <c r="X384" s="109">
        <v>0</v>
      </c>
      <c r="Y384" s="109">
        <v>1</v>
      </c>
      <c r="Z384" s="214">
        <f t="shared" si="62"/>
        <v>0</v>
      </c>
      <c r="AA384" s="213" t="str">
        <f>IF(OR($F384="",V384=0),"",IF(V384=1,IF(COUNTBLANK(W384:X384)&gt;0,$AG$2,IF(OR(Z384&lt;='פרמטרים לקריטריונים'!$C$27,X384&gt;W384),"",X384-W384))))</f>
        <v/>
      </c>
      <c r="AB384" s="214" t="str">
        <f t="shared" si="63"/>
        <v/>
      </c>
      <c r="AC384" s="225" t="str">
        <f>IF(OR(AB384="",U384=1),"",IF(OR(COUNTBLANK(W384:Y384)&gt;0,AB384&gt;='פרמטרים לקריטריונים'!$E$54),'פרמטרים לקריטריונים'!$F$54,INDEX('פרמטרים לקריטריונים'!$F$49:$F$54,MATCH(AB384,'פרמטרים לקריטריונים'!$E$49:$E$54,1))))</f>
        <v/>
      </c>
      <c r="AD384" s="213" t="str">
        <f t="shared" si="64"/>
        <v/>
      </c>
      <c r="AE384" s="213">
        <f t="shared" si="65"/>
        <v>19808.593528973739</v>
      </c>
      <c r="AG384" s="175">
        <f t="shared" si="66"/>
        <v>0</v>
      </c>
    </row>
    <row r="385" spans="1:33" ht="15.75" x14ac:dyDescent="0.2">
      <c r="A385" s="206">
        <f t="shared" si="56"/>
        <v>355</v>
      </c>
      <c r="B385" s="88">
        <f>IF($F385="","",'הזנה לתנאי סף'!C385)</f>
        <v>1001347018</v>
      </c>
      <c r="C385" s="88">
        <f>IF($F385="","",'הזנה לתנאי סף'!D385)</f>
        <v>1001271538</v>
      </c>
      <c r="D385" s="88">
        <f>IF($F385="","",'הזנה לתנאי סף'!E385)</f>
        <v>41627319</v>
      </c>
      <c r="E385" s="88">
        <f>IF($F385="","",'הזנה לתנאי סף'!F385)</f>
        <v>20000159</v>
      </c>
      <c r="F385" s="88" t="str">
        <f>IF(OR('הזנה לתנאי סף'!G385="",'הזנה לתנאי סף'!BL385&lt;&gt;1),"",'הזנה לתנאי סף'!G385)</f>
        <v>ירושלים</v>
      </c>
      <c r="G385" s="88" t="str">
        <f>IF($F385="","",'הזנה לתנאי סף'!H385)</f>
        <v>ק.ט.מ.ו.ן - קבוצת מחול בירושלים (ע'</v>
      </c>
      <c r="H385" s="88" t="str">
        <f>IF($F385="","",'הזנה לתנאי סף'!I385)</f>
        <v>מחול</v>
      </c>
      <c r="I385" s="109">
        <v>150288</v>
      </c>
      <c r="J385" s="213">
        <f>IF($F385="","",'הזנה לתנאי סף'!S385)</f>
        <v>200209</v>
      </c>
      <c r="K385" s="109"/>
      <c r="L385" s="213">
        <f t="shared" si="57"/>
        <v>350497</v>
      </c>
      <c r="M385" s="213">
        <f>IF($F385="","",IF(L385='הזנה לתנאי סף'!R385,1,0))</f>
        <v>1</v>
      </c>
      <c r="N385" s="214">
        <f t="shared" si="58"/>
        <v>0.428785410431473</v>
      </c>
      <c r="O385" s="214">
        <f t="shared" si="59"/>
        <v>0.571214589568527</v>
      </c>
      <c r="P385" s="109">
        <v>375151</v>
      </c>
      <c r="Q385" s="213">
        <f>IF($F385="","",IFERROR(IF(P385&gt;0,'פרמטרים לקריטריונים'!$C$25*P385*O385,$AG$2),""))</f>
        <v>64287.517347366746</v>
      </c>
      <c r="R385" s="213">
        <f>IF($F385="","",IFERROR('פרמטרים לקריטריונים'!$C$26*Q385,""))</f>
        <v>15808.405905090183</v>
      </c>
      <c r="S385" s="214">
        <f t="shared" si="60"/>
        <v>2.3428300824268418E-4</v>
      </c>
      <c r="T385" s="213">
        <f t="shared" si="61"/>
        <v>11714.15041213421</v>
      </c>
      <c r="U385" s="213">
        <f>IF($F385="","",'הזנה לתנאי סף'!N385)</f>
        <v>1</v>
      </c>
      <c r="V385" s="213">
        <f>IF($F385="","",'הזנה לתנאי סף'!O385)</f>
        <v>0</v>
      </c>
      <c r="W385" s="109"/>
      <c r="X385" s="109"/>
      <c r="Y385" s="109"/>
      <c r="Z385" s="214" t="str">
        <f t="shared" si="62"/>
        <v/>
      </c>
      <c r="AA385" s="213" t="str">
        <f>IF(OR($F385="",V385=0),"",IF(V385=1,IF(COUNTBLANK(W385:X385)&gt;0,$AG$2,IF(OR(Z385&lt;='פרמטרים לקריטריונים'!$C$27,X385&gt;W385),"",X385-W385))))</f>
        <v/>
      </c>
      <c r="AB385" s="214" t="str">
        <f t="shared" si="63"/>
        <v/>
      </c>
      <c r="AC385" s="225" t="str">
        <f>IF(OR(AB385="",U385=1),"",IF(OR(COUNTBLANK(W385:Y385)&gt;0,AB385&gt;='פרמטרים לקריטריונים'!$E$54),'פרמטרים לקריטריונים'!$F$54,INDEX('פרמטרים לקריטריונים'!$F$49:$F$54,MATCH(AB385,'פרמטרים לקריטריונים'!$E$49:$E$54,1))))</f>
        <v/>
      </c>
      <c r="AD385" s="213" t="str">
        <f t="shared" si="64"/>
        <v/>
      </c>
      <c r="AE385" s="213">
        <f t="shared" si="65"/>
        <v>11714.15041213421</v>
      </c>
      <c r="AG385" s="175">
        <f t="shared" si="66"/>
        <v>1</v>
      </c>
    </row>
    <row r="386" spans="1:33" ht="15.75" x14ac:dyDescent="0.2">
      <c r="A386" s="206">
        <f t="shared" si="56"/>
        <v>356</v>
      </c>
      <c r="B386" s="88">
        <f>IF($F386="","",'הזנה לתנאי סף'!C386)</f>
        <v>1001348655</v>
      </c>
      <c r="C386" s="88">
        <f>IF($F386="","",'הזנה לתנאי סף'!D386)</f>
        <v>1001266859</v>
      </c>
      <c r="D386" s="88">
        <f>IF($F386="","",'הזנה לתנאי סף'!E386)</f>
        <v>41633210</v>
      </c>
      <c r="E386" s="88">
        <f>IF($F386="","",'הזנה לתנאי סף'!F386)</f>
        <v>20000052</v>
      </c>
      <c r="F386" s="88" t="str">
        <f>IF(OR('הזנה לתנאי סף'!G386="",'הזנה לתנאי סף'!BL386&lt;&gt;1),"",'הזנה לתנאי סף'!G386)</f>
        <v>כפר כנא</v>
      </c>
      <c r="G386" s="88" t="str">
        <f>IF($F386="","",'הזנה לתנאי סף'!H386)</f>
        <v>סול (ע''ר)</v>
      </c>
      <c r="H386" s="88" t="str">
        <f>IF($F386="","",'הזנה לתנאי סף'!I386)</f>
        <v>אחר</v>
      </c>
      <c r="I386" s="109">
        <v>0</v>
      </c>
      <c r="J386" s="213">
        <f>IF($F386="","",'הזנה לתנאי סף'!S386)</f>
        <v>212774</v>
      </c>
      <c r="K386" s="109"/>
      <c r="L386" s="213">
        <f t="shared" si="57"/>
        <v>212774</v>
      </c>
      <c r="M386" s="213">
        <f>IF($F386="","",IF(L386='הזנה לתנאי סף'!R386,1,0))</f>
        <v>1</v>
      </c>
      <c r="N386" s="214">
        <f t="shared" si="58"/>
        <v>0</v>
      </c>
      <c r="O386" s="214">
        <f t="shared" si="59"/>
        <v>1</v>
      </c>
      <c r="P386" s="109">
        <v>244759</v>
      </c>
      <c r="Q386" s="213">
        <f>IF($F386="","",IFERROR(IF(P386&gt;0,'פרמטרים לקריטריונים'!$C$25*P386*O386,$AG$2),""))</f>
        <v>73427.7</v>
      </c>
      <c r="R386" s="213">
        <f>IF($F386="","",IFERROR('פרמטרים לקריטריונים'!$C$26*Q386,""))</f>
        <v>18055.991803278688</v>
      </c>
      <c r="S386" s="214">
        <f t="shared" si="60"/>
        <v>2.6759257713108721E-4</v>
      </c>
      <c r="T386" s="213">
        <f t="shared" si="61"/>
        <v>13379.62885655436</v>
      </c>
      <c r="U386" s="213">
        <f>IF($F386="","",'הזנה לתנאי סף'!N386)</f>
        <v>0</v>
      </c>
      <c r="V386" s="213">
        <f>IF($F386="","",'הזנה לתנאי סף'!O386)</f>
        <v>1</v>
      </c>
      <c r="W386" s="109">
        <v>0</v>
      </c>
      <c r="X386" s="109">
        <v>0</v>
      </c>
      <c r="Y386" s="109">
        <v>1</v>
      </c>
      <c r="Z386" s="214">
        <f t="shared" si="62"/>
        <v>0</v>
      </c>
      <c r="AA386" s="213" t="str">
        <f>IF(OR($F386="",V386=0),"",IF(V386=1,IF(COUNTBLANK(W386:X386)&gt;0,$AG$2,IF(OR(Z386&lt;='פרמטרים לקריטריונים'!$C$27,X386&gt;W386),"",X386-W386))))</f>
        <v/>
      </c>
      <c r="AB386" s="214" t="str">
        <f t="shared" si="63"/>
        <v/>
      </c>
      <c r="AC386" s="225" t="str">
        <f>IF(OR(AB386="",U386=1),"",IF(OR(COUNTBLANK(W386:Y386)&gt;0,AB386&gt;='פרמטרים לקריטריונים'!$E$54),'פרמטרים לקריטריונים'!$F$54,INDEX('פרמטרים לקריטריונים'!$F$49:$F$54,MATCH(AB386,'פרמטרים לקריטריונים'!$E$49:$E$54,1))))</f>
        <v/>
      </c>
      <c r="AD386" s="213" t="str">
        <f t="shared" si="64"/>
        <v/>
      </c>
      <c r="AE386" s="213">
        <f t="shared" si="65"/>
        <v>13379.62885655436</v>
      </c>
      <c r="AG386" s="175">
        <f t="shared" si="66"/>
        <v>0</v>
      </c>
    </row>
    <row r="387" spans="1:33" ht="15.75" x14ac:dyDescent="0.2">
      <c r="A387" s="206">
        <f t="shared" si="56"/>
        <v>357</v>
      </c>
      <c r="B387" s="88">
        <f>IF($F387="","",'הזנה לתנאי סף'!C387)</f>
        <v>1001347153</v>
      </c>
      <c r="C387" s="88">
        <f>IF($F387="","",'הזנה לתנאי סף'!D387)</f>
        <v>1001280237</v>
      </c>
      <c r="D387" s="88">
        <f>IF($F387="","",'הזנה לתנאי סף'!E387)</f>
        <v>41634844</v>
      </c>
      <c r="E387" s="88">
        <f>IF($F387="","",'הזנה לתנאי סף'!F387)</f>
        <v>20000201</v>
      </c>
      <c r="F387" s="88" t="str">
        <f>IF(OR('הזנה לתנאי סף'!G387="",'הזנה לתנאי סף'!BL387&lt;&gt;1),"",'הזנה לתנאי סף'!G387)</f>
        <v>תל אביב -יפו</v>
      </c>
      <c r="G387" s="88" t="str">
        <f>IF($F387="","",'הזנה לתנאי סף'!H387)</f>
        <v>האורקסטרה - תזמורת הג'אז הישראלית (</v>
      </c>
      <c r="H387" s="88" t="str">
        <f>IF($F387="","",'הזנה לתנאי סף'!I387)</f>
        <v>אחר</v>
      </c>
      <c r="I387" s="109">
        <v>280000</v>
      </c>
      <c r="J387" s="213">
        <f>IF($F387="","",'הזנה לתנאי סף'!S387)</f>
        <v>98579</v>
      </c>
      <c r="K387" s="109"/>
      <c r="L387" s="213">
        <f t="shared" si="57"/>
        <v>378579</v>
      </c>
      <c r="M387" s="213">
        <f>IF($F387="","",IF(L387='הזנה לתנאי סף'!R387,1,0))</f>
        <v>1</v>
      </c>
      <c r="N387" s="214">
        <f t="shared" si="58"/>
        <v>0.73960784935244694</v>
      </c>
      <c r="O387" s="214">
        <f t="shared" si="59"/>
        <v>0.26039215064755306</v>
      </c>
      <c r="P387" s="109">
        <v>418256</v>
      </c>
      <c r="Q387" s="213">
        <f>IF($F387="","",IFERROR(IF(P387&gt;0,'פרמטרים לקריטריונים'!$C$25*P387*O387,$AG$2),""))</f>
        <v>32673.173808372881</v>
      </c>
      <c r="R387" s="213">
        <f>IF($F387="","",IFERROR('פרמטרים לקריטריונים'!$C$26*Q387,""))</f>
        <v>8034.3870020589047</v>
      </c>
      <c r="S387" s="214">
        <f t="shared" si="60"/>
        <v>1.190708517689433E-4</v>
      </c>
      <c r="T387" s="213">
        <f t="shared" si="61"/>
        <v>5953.5425884471651</v>
      </c>
      <c r="U387" s="213">
        <f>IF($F387="","",'הזנה לתנאי סף'!N387)</f>
        <v>0</v>
      </c>
      <c r="V387" s="213">
        <f>IF($F387="","",'הזנה לתנאי סף'!O387)</f>
        <v>1</v>
      </c>
      <c r="W387" s="109">
        <v>0</v>
      </c>
      <c r="X387" s="109">
        <v>0</v>
      </c>
      <c r="Y387" s="109">
        <v>1</v>
      </c>
      <c r="Z387" s="214">
        <f t="shared" si="62"/>
        <v>0</v>
      </c>
      <c r="AA387" s="213" t="str">
        <f>IF(OR($F387="",V387=0),"",IF(V387=1,IF(COUNTBLANK(W387:X387)&gt;0,$AG$2,IF(OR(Z387&lt;='פרמטרים לקריטריונים'!$C$27,X387&gt;W387),"",X387-W387))))</f>
        <v/>
      </c>
      <c r="AB387" s="214" t="str">
        <f t="shared" si="63"/>
        <v/>
      </c>
      <c r="AC387" s="225" t="str">
        <f>IF(OR(AB387="",U387=1),"",IF(OR(COUNTBLANK(W387:Y387)&gt;0,AB387&gt;='פרמטרים לקריטריונים'!$E$54),'פרמטרים לקריטריונים'!$F$54,INDEX('פרמטרים לקריטריונים'!$F$49:$F$54,MATCH(AB387,'פרמטרים לקריטריונים'!$E$49:$E$54,1))))</f>
        <v/>
      </c>
      <c r="AD387" s="213" t="str">
        <f t="shared" si="64"/>
        <v/>
      </c>
      <c r="AE387" s="213">
        <f t="shared" si="65"/>
        <v>5953.5425884471651</v>
      </c>
      <c r="AG387" s="175">
        <f t="shared" si="66"/>
        <v>0</v>
      </c>
    </row>
    <row r="388" spans="1:33" ht="15.75" x14ac:dyDescent="0.2">
      <c r="A388" s="206">
        <f t="shared" si="56"/>
        <v>358</v>
      </c>
      <c r="B388" s="88">
        <f>IF($F388="","",'הזנה לתנאי סף'!C388)</f>
        <v>1001350425</v>
      </c>
      <c r="C388" s="88">
        <f>IF($F388="","",'הזנה לתנאי סף'!D388)</f>
        <v>1001302446</v>
      </c>
      <c r="D388" s="88">
        <f>IF($F388="","",'הזנה לתנאי סף'!E388)</f>
        <v>40528079</v>
      </c>
      <c r="E388" s="88">
        <f>IF($F388="","",'הזנה לתנאי סף'!F388)</f>
        <v>20000201</v>
      </c>
      <c r="F388" s="88" t="str">
        <f>IF(OR('הזנה לתנאי סף'!G388="",'הזנה לתנאי סף'!BL388&lt;&gt;1),"",'הזנה לתנאי סף'!G388)</f>
        <v>תל אביב -יפו</v>
      </c>
      <c r="G388" s="88" t="str">
        <f>IF($F388="","",'הזנה לתנאי סף'!H388)</f>
        <v>"קבוצת עבודה" - עמותה ליצירה וקידום</v>
      </c>
      <c r="H388" s="88" t="str">
        <f>IF($F388="","",'הזנה לתנאי סף'!I388)</f>
        <v>קבוצות תיאטרון</v>
      </c>
      <c r="I388" s="109">
        <v>180902</v>
      </c>
      <c r="J388" s="213">
        <f>IF($F388="","",'הזנה לתנאי סף'!S388)</f>
        <v>117832</v>
      </c>
      <c r="K388" s="109"/>
      <c r="L388" s="213">
        <f t="shared" si="57"/>
        <v>298734</v>
      </c>
      <c r="M388" s="213">
        <f>IF($F388="","",IF(L388='הזנה לתנאי סף'!R388,1,0))</f>
        <v>1</v>
      </c>
      <c r="N388" s="214">
        <f t="shared" si="58"/>
        <v>0.60556213889279431</v>
      </c>
      <c r="O388" s="214">
        <f t="shared" si="59"/>
        <v>0.39443786110720569</v>
      </c>
      <c r="P388" s="109">
        <v>269450</v>
      </c>
      <c r="Q388" s="213">
        <f>IF($F388="","",IFERROR(IF(P388&gt;0,'פרמטרים לקריטריונים'!$C$25*P388*O388,$AG$2),""))</f>
        <v>31884.384502600973</v>
      </c>
      <c r="R388" s="213">
        <f>IF($F388="","",IFERROR('פרמטרים לקריטריונים'!$C$26*Q388,""))</f>
        <v>7840.4224186723704</v>
      </c>
      <c r="S388" s="214">
        <f t="shared" si="60"/>
        <v>1.1619626679426826E-4</v>
      </c>
      <c r="T388" s="213">
        <f t="shared" si="61"/>
        <v>5809.8133397134134</v>
      </c>
      <c r="U388" s="213">
        <f>IF($F388="","",'הזנה לתנאי סף'!N388)</f>
        <v>0</v>
      </c>
      <c r="V388" s="213">
        <f>IF($F388="","",'הזנה לתנאי סף'!O388)</f>
        <v>1</v>
      </c>
      <c r="W388" s="109">
        <v>0</v>
      </c>
      <c r="X388" s="109">
        <v>18000</v>
      </c>
      <c r="Y388" s="109">
        <v>1</v>
      </c>
      <c r="Z388" s="214">
        <f t="shared" si="62"/>
        <v>0</v>
      </c>
      <c r="AA388" s="213" t="str">
        <f>IF(OR($F388="",V388=0),"",IF(V388=1,IF(COUNTBLANK(W388:X388)&gt;0,$AG$2,IF(OR(Z388&lt;='פרמטרים לקריטריונים'!$C$27,X388&gt;W388),"",X388-W388))))</f>
        <v/>
      </c>
      <c r="AB388" s="214" t="str">
        <f t="shared" si="63"/>
        <v/>
      </c>
      <c r="AC388" s="225" t="str">
        <f>IF(OR(AB388="",U388=1),"",IF(OR(COUNTBLANK(W388:Y388)&gt;0,AB388&gt;='פרמטרים לקריטריונים'!$E$54),'פרמטרים לקריטריונים'!$F$54,INDEX('פרמטרים לקריטריונים'!$F$49:$F$54,MATCH(AB388,'פרמטרים לקריטריונים'!$E$49:$E$54,1))))</f>
        <v/>
      </c>
      <c r="AD388" s="213" t="str">
        <f t="shared" si="64"/>
        <v/>
      </c>
      <c r="AE388" s="213">
        <f t="shared" si="65"/>
        <v>5809.8133397134134</v>
      </c>
      <c r="AG388" s="175">
        <f t="shared" si="66"/>
        <v>0</v>
      </c>
    </row>
    <row r="389" spans="1:33" ht="15.75" x14ac:dyDescent="0.2">
      <c r="A389" s="206">
        <f t="shared" si="56"/>
        <v>359</v>
      </c>
      <c r="B389" s="88">
        <f>IF($F389="","",'הזנה לתנאי סף'!C389)</f>
        <v>1001350430</v>
      </c>
      <c r="C389" s="88">
        <f>IF($F389="","",'הזנה לתנאי סף'!D389)</f>
        <v>1001302428</v>
      </c>
      <c r="D389" s="88">
        <f>IF($F389="","",'הזנה לתנאי סף'!E389)</f>
        <v>40528079</v>
      </c>
      <c r="E389" s="88">
        <f>IF($F389="","",'הזנה לתנאי סף'!F389)</f>
        <v>20000201</v>
      </c>
      <c r="F389" s="88" t="str">
        <f>IF(OR('הזנה לתנאי סף'!G389="",'הזנה לתנאי סף'!BL389&lt;&gt;1),"",'הזנה לתנאי סף'!G389)</f>
        <v>תל אביב -יפו</v>
      </c>
      <c r="G389" s="88" t="str">
        <f>IF($F389="","",'הזנה לתנאי סף'!H389)</f>
        <v>"קבוצת עבודה" - עמותה ליצירה וקידום</v>
      </c>
      <c r="H389" s="88" t="str">
        <f>IF($F389="","",'הזנה לתנאי סף'!I389)</f>
        <v>אחר</v>
      </c>
      <c r="I389" s="109">
        <v>59063</v>
      </c>
      <c r="J389" s="213">
        <f>IF($F389="","",'הזנה לתנאי סף'!S389)</f>
        <v>19740</v>
      </c>
      <c r="K389" s="109"/>
      <c r="L389" s="213">
        <f t="shared" si="57"/>
        <v>78803</v>
      </c>
      <c r="M389" s="213">
        <f>IF($F389="","",IF(L389='הזנה לתנאי סף'!R389,1,0))</f>
        <v>1</v>
      </c>
      <c r="N389" s="214">
        <f t="shared" si="58"/>
        <v>0.7495019225156403</v>
      </c>
      <c r="O389" s="214">
        <f t="shared" si="59"/>
        <v>0.2504980774843597</v>
      </c>
      <c r="P389" s="109">
        <v>78803</v>
      </c>
      <c r="Q389" s="213">
        <f>IF($F389="","",IFERROR(IF(P389&gt;0,'פרמטרים לקריטריונים'!$C$25*P389*O389,$AG$2),""))</f>
        <v>5921.9999999999991</v>
      </c>
      <c r="R389" s="213">
        <f>IF($F389="","",IFERROR('פרמטרים לקריטריונים'!$C$26*Q389,""))</f>
        <v>1456.2295081967211</v>
      </c>
      <c r="S389" s="214">
        <f t="shared" si="60"/>
        <v>2.1581545408208321E-5</v>
      </c>
      <c r="T389" s="213">
        <f t="shared" si="61"/>
        <v>1079.0772704104161</v>
      </c>
      <c r="U389" s="213">
        <f>IF($F389="","",'הזנה לתנאי סף'!N389)</f>
        <v>0</v>
      </c>
      <c r="V389" s="213">
        <f>IF($F389="","",'הזנה לתנאי סף'!O389)</f>
        <v>1</v>
      </c>
      <c r="W389" s="109">
        <v>0</v>
      </c>
      <c r="X389" s="109">
        <v>18000</v>
      </c>
      <c r="Y389" s="109">
        <v>1</v>
      </c>
      <c r="Z389" s="214">
        <f t="shared" si="62"/>
        <v>0</v>
      </c>
      <c r="AA389" s="213" t="str">
        <f>IF(OR($F389="",V389=0),"",IF(V389=1,IF(COUNTBLANK(W389:X389)&gt;0,$AG$2,IF(OR(Z389&lt;='פרמטרים לקריטריונים'!$C$27,X389&gt;W389),"",X389-W389))))</f>
        <v/>
      </c>
      <c r="AB389" s="214" t="str">
        <f t="shared" si="63"/>
        <v/>
      </c>
      <c r="AC389" s="225" t="str">
        <f>IF(OR(AB389="",U389=1),"",IF(OR(COUNTBLANK(W389:Y389)&gt;0,AB389&gt;='פרמטרים לקריטריונים'!$E$54),'פרמטרים לקריטריונים'!$F$54,INDEX('פרמטרים לקריטריונים'!$F$49:$F$54,MATCH(AB389,'פרמטרים לקריטריונים'!$E$49:$E$54,1))))</f>
        <v/>
      </c>
      <c r="AD389" s="213" t="str">
        <f t="shared" si="64"/>
        <v/>
      </c>
      <c r="AE389" s="213">
        <f t="shared" si="65"/>
        <v>1079.0772704104161</v>
      </c>
      <c r="AG389" s="175">
        <f t="shared" si="66"/>
        <v>0</v>
      </c>
    </row>
    <row r="390" spans="1:33" ht="15.75" x14ac:dyDescent="0.2">
      <c r="A390" s="206">
        <f t="shared" si="56"/>
        <v>360</v>
      </c>
      <c r="B390" s="88">
        <f>IF($F390="","",'הזנה לתנאי סף'!C390)</f>
        <v>1001351067</v>
      </c>
      <c r="C390" s="88">
        <f>IF($F390="","",'הזנה לתנאי סף'!D390)</f>
        <v>1001268525</v>
      </c>
      <c r="D390" s="88">
        <f>IF($F390="","",'הזנה לתנאי סף'!E390)</f>
        <v>40001704</v>
      </c>
      <c r="E390" s="88">
        <f>IF($F390="","",'הזנה לתנאי סף'!F390)</f>
        <v>20000261</v>
      </c>
      <c r="F390" s="88" t="str">
        <f>IF(OR('הזנה לתנאי סף'!G390="",'הזנה לתנאי סף'!BL390&lt;&gt;1),"",'הזנה לתנאי סף'!G390)</f>
        <v>הוד השרון</v>
      </c>
      <c r="G390" s="88" t="str">
        <f>IF($F390="","",'הזנה לתנאי סף'!H390)</f>
        <v>מרכז ישראלי למקהלות ולחבורות זמר (ע</v>
      </c>
      <c r="H390" s="88" t="str">
        <f>IF($F390="","",'הזנה לתנאי סף'!I390)</f>
        <v>אחר</v>
      </c>
      <c r="I390" s="109">
        <v>26447</v>
      </c>
      <c r="J390" s="213">
        <f>IF($F390="","",'הזנה לתנאי סף'!S390)</f>
        <v>113548</v>
      </c>
      <c r="K390" s="109"/>
      <c r="L390" s="213">
        <f t="shared" si="57"/>
        <v>139995</v>
      </c>
      <c r="M390" s="213">
        <f>IF($F390="","",IF(L390='הזנה לתנאי סף'!R390,1,0))</f>
        <v>1</v>
      </c>
      <c r="N390" s="214">
        <f t="shared" si="58"/>
        <v>0.18891388978177792</v>
      </c>
      <c r="O390" s="214">
        <f t="shared" si="59"/>
        <v>0.81108611021822208</v>
      </c>
      <c r="P390" s="109">
        <v>226301</v>
      </c>
      <c r="Q390" s="213">
        <f>IF($F390="","",IFERROR(IF(P390&gt;0,'פרמטרים לקריטריונים'!$C$25*P390*O390,$AG$2),""))</f>
        <v>55064.879348548166</v>
      </c>
      <c r="R390" s="213">
        <f>IF($F390="","",IFERROR('פרמטרים לקריטריונים'!$C$26*Q390,""))</f>
        <v>13540.544102102007</v>
      </c>
      <c r="S390" s="214">
        <f t="shared" si="60"/>
        <v>2.0067294732492485E-4</v>
      </c>
      <c r="T390" s="213">
        <f t="shared" si="61"/>
        <v>10033.647366246243</v>
      </c>
      <c r="U390" s="213">
        <f>IF($F390="","",'הזנה לתנאי סף'!N390)</f>
        <v>0</v>
      </c>
      <c r="V390" s="213">
        <f>IF($F390="","",'הזנה לתנאי סף'!O390)</f>
        <v>1</v>
      </c>
      <c r="W390" s="109">
        <v>0</v>
      </c>
      <c r="X390" s="109">
        <v>0</v>
      </c>
      <c r="Y390" s="109">
        <v>1</v>
      </c>
      <c r="Z390" s="214">
        <f t="shared" si="62"/>
        <v>0</v>
      </c>
      <c r="AA390" s="213" t="str">
        <f>IF(OR($F390="",V390=0),"",IF(V390=1,IF(COUNTBLANK(W390:X390)&gt;0,$AG$2,IF(OR(Z390&lt;='פרמטרים לקריטריונים'!$C$27,X390&gt;W390),"",X390-W390))))</f>
        <v/>
      </c>
      <c r="AB390" s="214" t="str">
        <f t="shared" si="63"/>
        <v/>
      </c>
      <c r="AC390" s="225" t="str">
        <f>IF(OR(AB390="",U390=1),"",IF(OR(COUNTBLANK(W390:Y390)&gt;0,AB390&gt;='פרמטרים לקריטריונים'!$E$54),'פרמטרים לקריטריונים'!$F$54,INDEX('פרמטרים לקריטריונים'!$F$49:$F$54,MATCH(AB390,'פרמטרים לקריטריונים'!$E$49:$E$54,1))))</f>
        <v/>
      </c>
      <c r="AD390" s="213" t="str">
        <f t="shared" si="64"/>
        <v/>
      </c>
      <c r="AE390" s="213">
        <f t="shared" si="65"/>
        <v>10033.647366246243</v>
      </c>
      <c r="AG390" s="175">
        <f t="shared" si="66"/>
        <v>0</v>
      </c>
    </row>
    <row r="391" spans="1:33" ht="15.75" x14ac:dyDescent="0.2">
      <c r="A391" s="206">
        <f t="shared" si="56"/>
        <v>361</v>
      </c>
      <c r="B391" s="88">
        <f>IF($F391="","",'הזנה לתנאי סף'!C391)</f>
        <v>1001349845</v>
      </c>
      <c r="C391" s="88">
        <f>IF($F391="","",'הזנה לתנאי סף'!D391)</f>
        <v>1001302427</v>
      </c>
      <c r="D391" s="88">
        <f>IF($F391="","",'הזנה לתנאי סף'!E391)</f>
        <v>40000242</v>
      </c>
      <c r="E391" s="88">
        <f>IF($F391="","",'הזנה לתנאי סף'!F391)</f>
        <v>20000159</v>
      </c>
      <c r="F391" s="88" t="str">
        <f>IF(OR('הזנה לתנאי סף'!G391="",'הזנה לתנאי סף'!BL391&lt;&gt;1),"",'הזנה לתנאי סף'!G391)</f>
        <v>ירושלים</v>
      </c>
      <c r="G391" s="88" t="str">
        <f>IF($F391="","",'הזנה לתנאי סף'!H391)</f>
        <v>הזירה הבין-תחומית (ע"ר)</v>
      </c>
      <c r="H391" s="88" t="str">
        <f>IF($F391="","",'הזנה לתנאי סף'!I391)</f>
        <v>ספרות</v>
      </c>
      <c r="I391" s="109">
        <v>64963</v>
      </c>
      <c r="J391" s="213">
        <f>IF($F391="","",'הזנה לתנאי סף'!S391)</f>
        <v>22000</v>
      </c>
      <c r="K391" s="109"/>
      <c r="L391" s="213">
        <f t="shared" si="57"/>
        <v>86963</v>
      </c>
      <c r="M391" s="213">
        <f>IF($F391="","",IF(L391='הזנה לתנאי סף'!R391,1,0))</f>
        <v>1</v>
      </c>
      <c r="N391" s="214">
        <f t="shared" si="58"/>
        <v>0.74701884709589139</v>
      </c>
      <c r="O391" s="214">
        <f t="shared" si="59"/>
        <v>0.25298115290410861</v>
      </c>
      <c r="P391" s="109">
        <v>101570</v>
      </c>
      <c r="Q391" s="213">
        <f>IF($F391="","",IFERROR(IF(P391&gt;0,'פרמטרים לקריטריונים'!$C$25*P391*O391,$AG$2),""))</f>
        <v>7708.5887101410935</v>
      </c>
      <c r="R391" s="213">
        <f>IF($F391="","",IFERROR('פרמטרים לקריטריונים'!$C$26*Q391,""))</f>
        <v>1895.5546008543672</v>
      </c>
      <c r="S391" s="214">
        <f t="shared" si="60"/>
        <v>2.8092410888401223E-5</v>
      </c>
      <c r="T391" s="213">
        <f t="shared" si="61"/>
        <v>1404.6205444200612</v>
      </c>
      <c r="U391" s="213">
        <f>IF($F391="","",'הזנה לתנאי סף'!N391)</f>
        <v>1</v>
      </c>
      <c r="V391" s="213">
        <f>IF($F391="","",'הזנה לתנאי סף'!O391)</f>
        <v>0</v>
      </c>
      <c r="W391" s="109"/>
      <c r="X391" s="109"/>
      <c r="Y391" s="109"/>
      <c r="Z391" s="214" t="str">
        <f t="shared" si="62"/>
        <v/>
      </c>
      <c r="AA391" s="213" t="str">
        <f>IF(OR($F391="",V391=0),"",IF(V391=1,IF(COUNTBLANK(W391:X391)&gt;0,$AG$2,IF(OR(Z391&lt;='פרמטרים לקריטריונים'!$C$27,X391&gt;W391),"",X391-W391))))</f>
        <v/>
      </c>
      <c r="AB391" s="214" t="str">
        <f t="shared" si="63"/>
        <v/>
      </c>
      <c r="AC391" s="225" t="str">
        <f>IF(OR(AB391="",U391=1),"",IF(OR(COUNTBLANK(W391:Y391)&gt;0,AB391&gt;='פרמטרים לקריטריונים'!$E$54),'פרמטרים לקריטריונים'!$F$54,INDEX('פרמטרים לקריטריונים'!$F$49:$F$54,MATCH(AB391,'פרמטרים לקריטריונים'!$E$49:$E$54,1))))</f>
        <v/>
      </c>
      <c r="AD391" s="213" t="str">
        <f t="shared" si="64"/>
        <v/>
      </c>
      <c r="AE391" s="213">
        <f t="shared" si="65"/>
        <v>1404.6205444200612</v>
      </c>
      <c r="AG391" s="175">
        <f t="shared" si="66"/>
        <v>1</v>
      </c>
    </row>
    <row r="392" spans="1:33" ht="15.75" x14ac:dyDescent="0.2">
      <c r="A392" s="206">
        <f t="shared" si="56"/>
        <v>362</v>
      </c>
      <c r="B392" s="88">
        <f>IF($F392="","",'הזנה לתנאי סף'!C392)</f>
        <v>1001350439</v>
      </c>
      <c r="C392" s="88">
        <f>IF($F392="","",'הזנה לתנאי סף'!D392)</f>
        <v>1001290693</v>
      </c>
      <c r="D392" s="88">
        <f>IF($F392="","",'הזנה לתנאי סף'!E392)</f>
        <v>40822203</v>
      </c>
      <c r="E392" s="88">
        <f>IF($F392="","",'הזנה לתנאי סף'!F392)</f>
        <v>20000159</v>
      </c>
      <c r="F392" s="88" t="str">
        <f>IF(OR('הזנה לתנאי סף'!G392="",'הזנה לתנאי סף'!BL392&lt;&gt;1),"",'הזנה לתנאי סף'!G392)</f>
        <v>ירושלים</v>
      </c>
      <c r="G392" s="88" t="str">
        <f>IF($F392="","",'הזנה לתנאי סף'!H392)</f>
        <v>הערת שוליים (ע"ר)</v>
      </c>
      <c r="H392" s="88" t="str">
        <f>IF($F392="","",'הזנה לתנאי סף'!I392)</f>
        <v>אחר</v>
      </c>
      <c r="I392" s="109">
        <v>92867</v>
      </c>
      <c r="J392" s="213">
        <f>IF($F392="","",'הזנה לתנאי סף'!S392)</f>
        <v>97133</v>
      </c>
      <c r="K392" s="109"/>
      <c r="L392" s="213">
        <f t="shared" si="57"/>
        <v>190000</v>
      </c>
      <c r="M392" s="213">
        <f>IF($F392="","",IF(L392='הזנה לתנאי סף'!R392,1,0))</f>
        <v>1</v>
      </c>
      <c r="N392" s="214">
        <f t="shared" si="58"/>
        <v>0.4887736842105263</v>
      </c>
      <c r="O392" s="214">
        <f t="shared" si="59"/>
        <v>0.51122631578947364</v>
      </c>
      <c r="P392" s="109">
        <v>1854413</v>
      </c>
      <c r="Q392" s="213">
        <f>IF($F392="","",IFERROR(IF(P392&gt;0,'פרמטרים לקריטריונים'!$C$25*P392*O392,$AG$2),""))</f>
        <v>284407.41778263159</v>
      </c>
      <c r="R392" s="213">
        <f>IF($F392="","",IFERROR('פרמטרים לקריטריונים'!$C$26*Q392,""))</f>
        <v>69936.250274417602</v>
      </c>
      <c r="S392" s="214">
        <f t="shared" si="60"/>
        <v>1.0364659914399086E-3</v>
      </c>
      <c r="T392" s="213">
        <f t="shared" si="61"/>
        <v>51823.299571995427</v>
      </c>
      <c r="U392" s="213">
        <f>IF($F392="","",'הזנה לתנאי סף'!N392)</f>
        <v>1</v>
      </c>
      <c r="V392" s="213">
        <f>IF($F392="","",'הזנה לתנאי סף'!O392)</f>
        <v>0</v>
      </c>
      <c r="W392" s="109"/>
      <c r="X392" s="109"/>
      <c r="Y392" s="109"/>
      <c r="Z392" s="214" t="str">
        <f t="shared" si="62"/>
        <v/>
      </c>
      <c r="AA392" s="213" t="str">
        <f>IF(OR($F392="",V392=0),"",IF(V392=1,IF(COUNTBLANK(W392:X392)&gt;0,$AG$2,IF(OR(Z392&lt;='פרמטרים לקריטריונים'!$C$27,X392&gt;W392),"",X392-W392))))</f>
        <v/>
      </c>
      <c r="AB392" s="214" t="str">
        <f t="shared" si="63"/>
        <v/>
      </c>
      <c r="AC392" s="225" t="str">
        <f>IF(OR(AB392="",U392=1),"",IF(OR(COUNTBLANK(W392:Y392)&gt;0,AB392&gt;='פרמטרים לקריטריונים'!$E$54),'פרמטרים לקריטריונים'!$F$54,INDEX('פרמטרים לקריטריונים'!$F$49:$F$54,MATCH(AB392,'פרמטרים לקריטריונים'!$E$49:$E$54,1))))</f>
        <v/>
      </c>
      <c r="AD392" s="213" t="str">
        <f t="shared" si="64"/>
        <v/>
      </c>
      <c r="AE392" s="213">
        <f t="shared" si="65"/>
        <v>51823.299571995427</v>
      </c>
      <c r="AG392" s="175">
        <f t="shared" si="66"/>
        <v>1</v>
      </c>
    </row>
    <row r="393" spans="1:33" ht="15.75" x14ac:dyDescent="0.2">
      <c r="A393" s="206">
        <f t="shared" si="56"/>
        <v>363</v>
      </c>
      <c r="B393" s="88">
        <f>IF($F393="","",'הזנה לתנאי סף'!C393)</f>
        <v>1001349364</v>
      </c>
      <c r="C393" s="88">
        <f>IF($F393="","",'הזנה לתנאי סף'!D393)</f>
        <v>1001264263</v>
      </c>
      <c r="D393" s="88">
        <f>IF($F393="","",'הזנה לתנאי סף'!E393)</f>
        <v>40000712</v>
      </c>
      <c r="E393" s="88">
        <f>IF($F393="","",'הזנה לתנאי סף'!F393)</f>
        <v>20000201</v>
      </c>
      <c r="F393" s="88" t="str">
        <f>IF(OR('הזנה לתנאי סף'!G393="",'הזנה לתנאי סף'!BL393&lt;&gt;1),"",'הזנה לתנאי סף'!G393)</f>
        <v>תל אביב -יפו</v>
      </c>
      <c r="G393" s="88" t="str">
        <f>IF($F393="","",'הזנה לתנאי סף'!H393)</f>
        <v>התיאטרון הקאמרי של תל אביב</v>
      </c>
      <c r="H393" s="88" t="str">
        <f>IF($F393="","",'הזנה לתנאי סף'!I393)</f>
        <v>תיאטרון</v>
      </c>
      <c r="I393" s="109">
        <v>26247650</v>
      </c>
      <c r="J393" s="213">
        <f>IF($F393="","",'הזנה לתנאי סף'!S393)</f>
        <v>53807488</v>
      </c>
      <c r="K393" s="109"/>
      <c r="L393" s="213">
        <f t="shared" si="57"/>
        <v>80055138</v>
      </c>
      <c r="M393" s="213">
        <f>IF($F393="","",IF(L393='הזנה לתנאי סף'!R393,1,0))</f>
        <v>1</v>
      </c>
      <c r="N393" s="214">
        <f t="shared" si="58"/>
        <v>0.32786964904113963</v>
      </c>
      <c r="O393" s="214">
        <f t="shared" si="59"/>
        <v>0.67213035095886031</v>
      </c>
      <c r="P393" s="109">
        <v>80025040</v>
      </c>
      <c r="Q393" s="213">
        <f>IF($F393="","",IFERROR(IF(P393&gt;0,'פרמטרים לקריטריונים'!$C$25*P393*O393,$AG$2),""))</f>
        <v>16136177.46620905</v>
      </c>
      <c r="R393" s="213">
        <f>IF($F393="","",IFERROR('פרמטרים לקריטריונים'!$C$26*Q393,""))</f>
        <v>3967912.4916907498</v>
      </c>
      <c r="S393" s="214">
        <f t="shared" si="60"/>
        <v>5.8805073742299652E-2</v>
      </c>
      <c r="T393" s="213">
        <f t="shared" si="61"/>
        <v>2940253.6871149824</v>
      </c>
      <c r="U393" s="213">
        <f>IF($F393="","",'הזנה לתנאי סף'!N393)</f>
        <v>1</v>
      </c>
      <c r="V393" s="213">
        <f>IF($F393="","",'הזנה לתנאי סף'!O393)</f>
        <v>0</v>
      </c>
      <c r="W393" s="109"/>
      <c r="X393" s="109"/>
      <c r="Y393" s="109"/>
      <c r="Z393" s="214" t="str">
        <f t="shared" si="62"/>
        <v/>
      </c>
      <c r="AA393" s="213" t="str">
        <f>IF(OR($F393="",V393=0),"",IF(V393=1,IF(COUNTBLANK(W393:X393)&gt;0,$AG$2,IF(OR(Z393&lt;='פרמטרים לקריטריונים'!$C$27,X393&gt;W393),"",X393-W393))))</f>
        <v/>
      </c>
      <c r="AB393" s="214" t="str">
        <f t="shared" si="63"/>
        <v/>
      </c>
      <c r="AC393" s="225" t="str">
        <f>IF(OR(AB393="",U393=1),"",IF(OR(COUNTBLANK(W393:Y393)&gt;0,AB393&gt;='פרמטרים לקריטריונים'!$E$54),'פרמטרים לקריטריונים'!$F$54,INDEX('פרמטרים לקריטריונים'!$F$49:$F$54,MATCH(AB393,'פרמטרים לקריטריונים'!$E$49:$E$54,1))))</f>
        <v/>
      </c>
      <c r="AD393" s="213" t="str">
        <f t="shared" si="64"/>
        <v/>
      </c>
      <c r="AE393" s="213">
        <f t="shared" si="65"/>
        <v>2940253.6871149824</v>
      </c>
      <c r="AG393" s="175">
        <f t="shared" si="66"/>
        <v>1</v>
      </c>
    </row>
    <row r="394" spans="1:33" ht="15.75" x14ac:dyDescent="0.2">
      <c r="A394" s="206">
        <f t="shared" ref="A394:A457" si="67">IF(F394="","",ROW()-30)</f>
        <v>364</v>
      </c>
      <c r="B394" s="88">
        <f>IF($F394="","",'הזנה לתנאי סף'!C394)</f>
        <v>1001349371</v>
      </c>
      <c r="C394" s="88">
        <f>IF($F394="","",'הזנה לתנאי סף'!D394)</f>
        <v>1001264795</v>
      </c>
      <c r="D394" s="88">
        <f>IF($F394="","",'הזנה לתנאי סף'!E394)</f>
        <v>40000712</v>
      </c>
      <c r="E394" s="88">
        <f>IF($F394="","",'הזנה לתנאי סף'!F394)</f>
        <v>20000201</v>
      </c>
      <c r="F394" s="88" t="str">
        <f>IF(OR('הזנה לתנאי סף'!G394="",'הזנה לתנאי סף'!BL394&lt;&gt;1),"",'הזנה לתנאי סף'!G394)</f>
        <v>תל אביב -יפו</v>
      </c>
      <c r="G394" s="88" t="str">
        <f>IF($F394="","",'הזנה לתנאי סף'!H394)</f>
        <v>התיאטרון הקאמרי של תל אביב</v>
      </c>
      <c r="H394" s="88" t="str">
        <f>IF($F394="","",'הזנה לתנאי סף'!I394)</f>
        <v>סינמטקים ופסטיבלים</v>
      </c>
      <c r="I394" s="109">
        <v>520424</v>
      </c>
      <c r="J394" s="213">
        <f>IF($F394="","",'הזנה לתנאי סף'!S394)</f>
        <v>662261</v>
      </c>
      <c r="K394" s="109"/>
      <c r="L394" s="213">
        <f t="shared" ref="L394:L457" si="68">IF($F394="","",SUM(I394:K394))</f>
        <v>1182685</v>
      </c>
      <c r="M394" s="213">
        <f>IF($F394="","",IF(L394='הזנה לתנאי סף'!R394,1,0))</f>
        <v>1</v>
      </c>
      <c r="N394" s="214">
        <f t="shared" ref="N394:N457" si="69">IF($F394="","",IFERROR(I394/L394,$AG$2))</f>
        <v>0.44003601973475609</v>
      </c>
      <c r="O394" s="214">
        <f t="shared" ref="O394:O457" si="70">IF($F394="","",IFERROR((1-N394),""))</f>
        <v>0.55996398026524385</v>
      </c>
      <c r="P394" s="109">
        <v>1182685</v>
      </c>
      <c r="Q394" s="213">
        <f>IF($F394="","",IFERROR(IF(P394&gt;0,'פרמטרים לקריטריונים'!$C$25*P394*O394,$AG$2),""))</f>
        <v>198678.3</v>
      </c>
      <c r="R394" s="213">
        <f>IF($F394="","",IFERROR('פרמטרים לקריטריונים'!$C$26*Q394,""))</f>
        <v>48855.319672131147</v>
      </c>
      <c r="S394" s="214">
        <f t="shared" ref="S394:S457" si="71">IF($F394="","",IFERROR(R394/$R$501,""))</f>
        <v>7.2404335580473415E-4</v>
      </c>
      <c r="T394" s="213">
        <f t="shared" ref="T394:T457" si="72">IF($F394="","",IFERROR(S394*$C$4,""))</f>
        <v>36202.167790236708</v>
      </c>
      <c r="U394" s="213">
        <f>IF($F394="","",'הזנה לתנאי סף'!N394)</f>
        <v>1</v>
      </c>
      <c r="V394" s="213">
        <f>IF($F394="","",'הזנה לתנאי סף'!O394)</f>
        <v>0</v>
      </c>
      <c r="W394" s="109"/>
      <c r="X394" s="109"/>
      <c r="Y394" s="109"/>
      <c r="Z394" s="214" t="str">
        <f t="shared" ref="Z394:Z457" si="73">IF(OR($F394="",V394&lt;&gt;1),"",IF(COUNTBLANK(W394:Y394)&gt;0,$AG$2,IF(ISBLANK(Y394),$AG$2,W394/Y394)))</f>
        <v/>
      </c>
      <c r="AA394" s="213" t="str">
        <f>IF(OR($F394="",V394=0),"",IF(V394=1,IF(COUNTBLANK(W394:X394)&gt;0,$AG$2,IF(OR(Z394&lt;='פרמטרים לקריטריונים'!$C$27,X394&gt;W394),"",X394-W394))))</f>
        <v/>
      </c>
      <c r="AB394" s="214" t="str">
        <f t="shared" ref="AB394:AB457" si="74">IF(AA394="","",IF(AA394=$AG$2,AG365,-(X394/W394-1)))</f>
        <v/>
      </c>
      <c r="AC394" s="225" t="str">
        <f>IF(OR(AB394="",U394=1),"",IF(OR(COUNTBLANK(W394:Y394)&gt;0,AB394&gt;='פרמטרים לקריטריונים'!$E$54),'פרמטרים לקריטריונים'!$F$54,INDEX('פרמטרים לקריטריונים'!$F$49:$F$54,MATCH(AB394,'פרמטרים לקריטריונים'!$E$49:$E$54,1))))</f>
        <v/>
      </c>
      <c r="AD394" s="213" t="str">
        <f t="shared" ref="AD394:AD457" si="75">IF(OR($F394="",AC394=""),"",IF(COUNTBLANK(W394:X394)&gt;0,-T394,IF(-AC394*AA394&gt;T394,-T394,AC394*AA394)))</f>
        <v/>
      </c>
      <c r="AE394" s="213">
        <f t="shared" ref="AE394:AE457" si="76">IF($F394="","",IF(M394=0,$AG$2,IF(AD394&lt;&gt;"",T394+AD394,T394)))</f>
        <v>36202.167790236708</v>
      </c>
      <c r="AG394" s="175">
        <f t="shared" ref="AG394:AG457" si="77">IF(U394=1,1,0)</f>
        <v>1</v>
      </c>
    </row>
    <row r="395" spans="1:33" ht="15.75" x14ac:dyDescent="0.2">
      <c r="A395" s="206" t="str">
        <f t="shared" si="67"/>
        <v/>
      </c>
      <c r="B395" s="88" t="str">
        <f>IF($F395="","",'הזנה לתנאי סף'!C395)</f>
        <v/>
      </c>
      <c r="C395" s="88" t="str">
        <f>IF($F395="","",'הזנה לתנאי סף'!D395)</f>
        <v/>
      </c>
      <c r="D395" s="88" t="str">
        <f>IF($F395="","",'הזנה לתנאי סף'!E395)</f>
        <v/>
      </c>
      <c r="E395" s="88" t="str">
        <f>IF($F395="","",'הזנה לתנאי סף'!F395)</f>
        <v/>
      </c>
      <c r="F395" s="88" t="str">
        <f>IF(OR('הזנה לתנאי סף'!G395="",'הזנה לתנאי סף'!BL395&lt;&gt;1),"",'הזנה לתנאי סף'!G395)</f>
        <v/>
      </c>
      <c r="G395" s="88" t="str">
        <f>IF($F395="","",'הזנה לתנאי סף'!H395)</f>
        <v/>
      </c>
      <c r="H395" s="88" t="str">
        <f>IF($F395="","",'הזנה לתנאי סף'!I395)</f>
        <v/>
      </c>
      <c r="I395" s="109"/>
      <c r="J395" s="213" t="str">
        <f>IF($F395="","",'הזנה לתנאי סף'!S395)</f>
        <v/>
      </c>
      <c r="K395" s="109"/>
      <c r="L395" s="213" t="str">
        <f t="shared" si="68"/>
        <v/>
      </c>
      <c r="M395" s="213" t="str">
        <f>IF($F395="","",IF(L395='הזנה לתנאי סף'!R395,1,0))</f>
        <v/>
      </c>
      <c r="N395" s="214" t="str">
        <f t="shared" si="69"/>
        <v/>
      </c>
      <c r="O395" s="214" t="str">
        <f t="shared" si="70"/>
        <v/>
      </c>
      <c r="P395" s="109"/>
      <c r="Q395" s="213" t="str">
        <f>IF($F395="","",IFERROR(IF(P395&gt;0,'פרמטרים לקריטריונים'!$C$25*P395*O395,$AG$2),""))</f>
        <v/>
      </c>
      <c r="R395" s="213" t="str">
        <f>IF($F395="","",IFERROR('פרמטרים לקריטריונים'!$C$26*Q395,""))</f>
        <v/>
      </c>
      <c r="S395" s="214" t="str">
        <f t="shared" si="71"/>
        <v/>
      </c>
      <c r="T395" s="213" t="str">
        <f t="shared" si="72"/>
        <v/>
      </c>
      <c r="U395" s="213" t="str">
        <f>IF($F395="","",'הזנה לתנאי סף'!N395)</f>
        <v/>
      </c>
      <c r="V395" s="213" t="str">
        <f>IF($F395="","",'הזנה לתנאי סף'!O395)</f>
        <v/>
      </c>
      <c r="W395" s="109"/>
      <c r="X395" s="109"/>
      <c r="Y395" s="109"/>
      <c r="Z395" s="214" t="str">
        <f t="shared" si="73"/>
        <v/>
      </c>
      <c r="AA395" s="213" t="str">
        <f>IF(OR($F395="",V395=0),"",IF(V395=1,IF(COUNTBLANK(W395:X395)&gt;0,$AG$2,IF(OR(Z395&lt;='פרמטרים לקריטריונים'!$C$27,X395&gt;W395),"",X395-W395))))</f>
        <v/>
      </c>
      <c r="AB395" s="214" t="str">
        <f t="shared" si="74"/>
        <v/>
      </c>
      <c r="AC395" s="225" t="str">
        <f>IF(OR(AB395="",U395=1),"",IF(OR(COUNTBLANK(W395:Y395)&gt;0,AB395&gt;='פרמטרים לקריטריונים'!$E$54),'פרמטרים לקריטריונים'!$F$54,INDEX('פרמטרים לקריטריונים'!$F$49:$F$54,MATCH(AB395,'פרמטרים לקריטריונים'!$E$49:$E$54,1))))</f>
        <v/>
      </c>
      <c r="AD395" s="213" t="str">
        <f t="shared" si="75"/>
        <v/>
      </c>
      <c r="AE395" s="213" t="str">
        <f t="shared" si="76"/>
        <v/>
      </c>
      <c r="AG395" s="175">
        <f t="shared" si="77"/>
        <v>0</v>
      </c>
    </row>
    <row r="396" spans="1:33" ht="15.75" x14ac:dyDescent="0.2">
      <c r="A396" s="206">
        <f t="shared" si="67"/>
        <v>366</v>
      </c>
      <c r="B396" s="88">
        <f>IF($F396="","",'הזנה לתנאי סף'!C396)</f>
        <v>1001350452</v>
      </c>
      <c r="C396" s="88">
        <f>IF($F396="","",'הזנה לתנאי סף'!D396)</f>
        <v>1001302119</v>
      </c>
      <c r="D396" s="88">
        <f>IF($F396="","",'הזנה לתנאי סף'!E396)</f>
        <v>41484947</v>
      </c>
      <c r="E396" s="88">
        <f>IF($F396="","",'הזנה לתנאי סף'!F396)</f>
        <v>20000033</v>
      </c>
      <c r="F396" s="88" t="str">
        <f>IF(OR('הזנה לתנאי סף'!G396="",'הזנה לתנאי סף'!BL396&lt;&gt;1),"",'הזנה לתנאי סף'!G396)</f>
        <v>אכסאל</v>
      </c>
      <c r="G396" s="88" t="str">
        <f>IF($F396="","",'הזנה לתנאי סף'!H396)</f>
        <v>עמותת מוג'תמענא</v>
      </c>
      <c r="H396" s="88" t="str">
        <f>IF($F396="","",'הזנה לתנאי סף'!I396)</f>
        <v>מחול</v>
      </c>
      <c r="I396" s="109">
        <v>24926</v>
      </c>
      <c r="J396" s="213">
        <f>IF($F396="","",'הזנה לתנאי סף'!S396)</f>
        <v>9000</v>
      </c>
      <c r="K396" s="109">
        <v>0</v>
      </c>
      <c r="L396" s="213">
        <f t="shared" si="68"/>
        <v>33926</v>
      </c>
      <c r="M396" s="213">
        <f>IF($F396="","",IF(L396='הזנה לתנאי סף'!R396,1,0))</f>
        <v>1</v>
      </c>
      <c r="N396" s="214">
        <f t="shared" si="69"/>
        <v>0.73471673642633972</v>
      </c>
      <c r="O396" s="214">
        <f t="shared" si="70"/>
        <v>0.26528326357366028</v>
      </c>
      <c r="P396" s="109">
        <v>36909</v>
      </c>
      <c r="Q396" s="213">
        <f>IF($F396="","",IFERROR(IF(P396&gt;0,'פרמטרים לקריטריונים'!$C$25*P396*O396,$AG$2),""))</f>
        <v>2937.4019925720677</v>
      </c>
      <c r="R396" s="213">
        <f>IF($F396="","",IFERROR('פרמטרים לקריטריונים'!$C$26*Q396,""))</f>
        <v>722.311965386574</v>
      </c>
      <c r="S396" s="214">
        <f t="shared" si="71"/>
        <v>1.0704774482413997E-5</v>
      </c>
      <c r="T396" s="213">
        <f t="shared" si="72"/>
        <v>535.23872412069989</v>
      </c>
      <c r="U396" s="213">
        <f>IF($F396="","",'הזנה לתנאי סף'!N396)</f>
        <v>0</v>
      </c>
      <c r="V396" s="213">
        <f>IF($F396="","",'הזנה לתנאי סף'!O396)</f>
        <v>1</v>
      </c>
      <c r="W396" s="109">
        <v>0</v>
      </c>
      <c r="X396" s="109">
        <v>0</v>
      </c>
      <c r="Y396" s="109">
        <v>1</v>
      </c>
      <c r="Z396" s="214">
        <f t="shared" si="73"/>
        <v>0</v>
      </c>
      <c r="AA396" s="213" t="str">
        <f>IF(OR($F396="",V396=0),"",IF(V396=1,IF(COUNTBLANK(W396:X396)&gt;0,$AG$2,IF(OR(Z396&lt;='פרמטרים לקריטריונים'!$C$27,X396&gt;W396),"",X396-W396))))</f>
        <v/>
      </c>
      <c r="AB396" s="214" t="str">
        <f t="shared" si="74"/>
        <v/>
      </c>
      <c r="AC396" s="225" t="str">
        <f>IF(OR(AB396="",U396=1),"",IF(OR(COUNTBLANK(W396:Y396)&gt;0,AB396&gt;='פרמטרים לקריטריונים'!$E$54),'פרמטרים לקריטריונים'!$F$54,INDEX('פרמטרים לקריטריונים'!$F$49:$F$54,MATCH(AB396,'פרמטרים לקריטריונים'!$E$49:$E$54,1))))</f>
        <v/>
      </c>
      <c r="AD396" s="213" t="str">
        <f t="shared" si="75"/>
        <v/>
      </c>
      <c r="AE396" s="213">
        <f t="shared" si="76"/>
        <v>535.23872412069989</v>
      </c>
      <c r="AG396" s="175">
        <f t="shared" si="77"/>
        <v>0</v>
      </c>
    </row>
    <row r="397" spans="1:33" ht="15.75" x14ac:dyDescent="0.2">
      <c r="A397" s="206">
        <f t="shared" si="67"/>
        <v>367</v>
      </c>
      <c r="B397" s="88">
        <f>IF($F397="","",'הזנה לתנאי סף'!C397)</f>
        <v>1001350453</v>
      </c>
      <c r="C397" s="88">
        <f>IF($F397="","",'הזנה לתנאי סף'!D397)</f>
        <v>1001302118</v>
      </c>
      <c r="D397" s="88">
        <f>IF($F397="","",'הזנה לתנאי סף'!E397)</f>
        <v>41484947</v>
      </c>
      <c r="E397" s="88">
        <f>IF($F397="","",'הזנה לתנאי סף'!F397)</f>
        <v>20000033</v>
      </c>
      <c r="F397" s="88" t="str">
        <f>IF(OR('הזנה לתנאי סף'!G397="",'הזנה לתנאי סף'!BL397&lt;&gt;1),"",'הזנה לתנאי סף'!G397)</f>
        <v>אכסאל</v>
      </c>
      <c r="G397" s="88" t="str">
        <f>IF($F397="","",'הזנה לתנאי סף'!H397)</f>
        <v>עמותת מוג'תמענא</v>
      </c>
      <c r="H397" s="88" t="str">
        <f>IF($F397="","",'הזנה לתנאי סף'!I397)</f>
        <v>קבוצות מוסיקה</v>
      </c>
      <c r="I397" s="109">
        <v>24926</v>
      </c>
      <c r="J397" s="213">
        <f>IF($F397="","",'הזנה לתנאי סף'!S397)</f>
        <v>10900</v>
      </c>
      <c r="K397" s="109">
        <v>0</v>
      </c>
      <c r="L397" s="213">
        <f t="shared" si="68"/>
        <v>35826</v>
      </c>
      <c r="M397" s="213">
        <f>IF($F397="","",IF(L397='הזנה לתנאי סף'!R397,1,0))</f>
        <v>1</v>
      </c>
      <c r="N397" s="214">
        <f t="shared" si="69"/>
        <v>0.69575168871769111</v>
      </c>
      <c r="O397" s="214">
        <f t="shared" si="70"/>
        <v>0.30424831128230889</v>
      </c>
      <c r="P397" s="109">
        <v>32015</v>
      </c>
      <c r="Q397" s="213">
        <f>IF($F397="","",IFERROR(IF(P397&gt;0,'פרמטרים לקריטריונים'!$C$25*P397*O397,$AG$2),""))</f>
        <v>2922.1529057109356</v>
      </c>
      <c r="R397" s="213">
        <f>IF($F397="","",IFERROR('פרמטרים לקריטריונים'!$C$26*Q397,""))</f>
        <v>718.56218992891854</v>
      </c>
      <c r="S397" s="214">
        <f t="shared" si="71"/>
        <v>1.0649202233084844E-5</v>
      </c>
      <c r="T397" s="213">
        <f t="shared" si="72"/>
        <v>532.46011165424227</v>
      </c>
      <c r="U397" s="213">
        <f>IF($F397="","",'הזנה לתנאי סף'!N397)</f>
        <v>0</v>
      </c>
      <c r="V397" s="213">
        <f>IF($F397="","",'הזנה לתנאי סף'!O397)</f>
        <v>1</v>
      </c>
      <c r="W397" s="109">
        <v>0</v>
      </c>
      <c r="X397" s="109">
        <v>0</v>
      </c>
      <c r="Y397" s="109">
        <v>1</v>
      </c>
      <c r="Z397" s="214">
        <f t="shared" si="73"/>
        <v>0</v>
      </c>
      <c r="AA397" s="213" t="str">
        <f>IF(OR($F397="",V397=0),"",IF(V397=1,IF(COUNTBLANK(W397:X397)&gt;0,$AG$2,IF(OR(Z397&lt;='פרמטרים לקריטריונים'!$C$27,X397&gt;W397),"",X397-W397))))</f>
        <v/>
      </c>
      <c r="AB397" s="214" t="str">
        <f t="shared" si="74"/>
        <v/>
      </c>
      <c r="AC397" s="225" t="str">
        <f>IF(OR(AB397="",U397=1),"",IF(OR(COUNTBLANK(W397:Y397)&gt;0,AB397&gt;='פרמטרים לקריטריונים'!$E$54),'פרמטרים לקריטריונים'!$F$54,INDEX('פרמטרים לקריטריונים'!$F$49:$F$54,MATCH(AB397,'פרמטרים לקריטריונים'!$E$49:$E$54,1))))</f>
        <v/>
      </c>
      <c r="AD397" s="213" t="str">
        <f t="shared" si="75"/>
        <v/>
      </c>
      <c r="AE397" s="213">
        <f t="shared" si="76"/>
        <v>532.46011165424227</v>
      </c>
      <c r="AG397" s="175">
        <f t="shared" si="77"/>
        <v>0</v>
      </c>
    </row>
    <row r="398" spans="1:33" ht="15.75" x14ac:dyDescent="0.2">
      <c r="A398" s="206">
        <f t="shared" si="67"/>
        <v>368</v>
      </c>
      <c r="B398" s="88">
        <f>IF($F398="","",'הזנה לתנאי סף'!C398)</f>
        <v>1001350454</v>
      </c>
      <c r="C398" s="88">
        <f>IF($F398="","",'הזנה לתנאי סף'!D398)</f>
        <v>1001302117</v>
      </c>
      <c r="D398" s="88">
        <f>IF($F398="","",'הזנה לתנאי סף'!E398)</f>
        <v>41484947</v>
      </c>
      <c r="E398" s="88">
        <f>IF($F398="","",'הזנה לתנאי סף'!F398)</f>
        <v>20000033</v>
      </c>
      <c r="F398" s="88" t="str">
        <f>IF(OR('הזנה לתנאי סף'!G398="",'הזנה לתנאי סף'!BL398&lt;&gt;1),"",'הזנה לתנאי סף'!G398)</f>
        <v>אכסאל</v>
      </c>
      <c r="G398" s="88" t="str">
        <f>IF($F398="","",'הזנה לתנאי סף'!H398)</f>
        <v>עמותת מוג'תמענא</v>
      </c>
      <c r="H398" s="88" t="str">
        <f>IF($F398="","",'הזנה לתנאי סף'!I398)</f>
        <v>חללי תצוגה</v>
      </c>
      <c r="I398" s="109">
        <v>24926</v>
      </c>
      <c r="J398" s="213">
        <f>IF($F398="","",'הזנה לתנאי סף'!S398)</f>
        <v>14600</v>
      </c>
      <c r="K398" s="109">
        <v>0</v>
      </c>
      <c r="L398" s="213">
        <f t="shared" si="68"/>
        <v>39526</v>
      </c>
      <c r="M398" s="213">
        <f>IF($F398="","",IF(L398='הזנה לתנאי סף'!R398,1,0))</f>
        <v>1</v>
      </c>
      <c r="N398" s="214">
        <f t="shared" si="69"/>
        <v>0.63062288114152709</v>
      </c>
      <c r="O398" s="214">
        <f t="shared" si="70"/>
        <v>0.36937711885847291</v>
      </c>
      <c r="P398" s="109">
        <v>43255</v>
      </c>
      <c r="Q398" s="213">
        <f>IF($F398="","",IFERROR(IF(P398&gt;0,'פרמטרים לקריטריונים'!$C$25*P398*O398,$AG$2),""))</f>
        <v>4793.2221828669735</v>
      </c>
      <c r="R398" s="213">
        <f>IF($F398="","",IFERROR('פרמטרים לקריטריונים'!$C$26*Q398,""))</f>
        <v>1178.6611925082721</v>
      </c>
      <c r="S398" s="214">
        <f t="shared" si="71"/>
        <v>1.7467940255179838E-5</v>
      </c>
      <c r="T398" s="213">
        <f t="shared" si="72"/>
        <v>873.39701275899188</v>
      </c>
      <c r="U398" s="213">
        <f>IF($F398="","",'הזנה לתנאי סף'!N398)</f>
        <v>0</v>
      </c>
      <c r="V398" s="213">
        <f>IF($F398="","",'הזנה לתנאי סף'!O398)</f>
        <v>1</v>
      </c>
      <c r="W398" s="109">
        <v>0</v>
      </c>
      <c r="X398" s="109">
        <v>0</v>
      </c>
      <c r="Y398" s="109">
        <v>1</v>
      </c>
      <c r="Z398" s="214">
        <f t="shared" si="73"/>
        <v>0</v>
      </c>
      <c r="AA398" s="213" t="str">
        <f>IF(OR($F398="",V398=0),"",IF(V398=1,IF(COUNTBLANK(W398:X398)&gt;0,$AG$2,IF(OR(Z398&lt;='פרמטרים לקריטריונים'!$C$27,X398&gt;W398),"",X398-W398))))</f>
        <v/>
      </c>
      <c r="AB398" s="214" t="str">
        <f t="shared" si="74"/>
        <v/>
      </c>
      <c r="AC398" s="225" t="str">
        <f>IF(OR(AB398="",U398=1),"",IF(OR(COUNTBLANK(W398:Y398)&gt;0,AB398&gt;='פרמטרים לקריטריונים'!$E$54),'פרמטרים לקריטריונים'!$F$54,INDEX('פרמטרים לקריטריונים'!$F$49:$F$54,MATCH(AB398,'פרמטרים לקריטריונים'!$E$49:$E$54,1))))</f>
        <v/>
      </c>
      <c r="AD398" s="213" t="str">
        <f t="shared" si="75"/>
        <v/>
      </c>
      <c r="AE398" s="213">
        <f t="shared" si="76"/>
        <v>873.39701275899188</v>
      </c>
      <c r="AG398" s="175">
        <f t="shared" si="77"/>
        <v>0</v>
      </c>
    </row>
    <row r="399" spans="1:33" ht="15.75" x14ac:dyDescent="0.2">
      <c r="A399" s="206">
        <f t="shared" si="67"/>
        <v>369</v>
      </c>
      <c r="B399" s="88">
        <f>IF($F399="","",'הזנה לתנאי סף'!C399)</f>
        <v>1001346210</v>
      </c>
      <c r="C399" s="88">
        <f>IF($F399="","",'הזנה לתנאי סף'!D399)</f>
        <v>1001268507</v>
      </c>
      <c r="D399" s="88">
        <f>IF($F399="","",'הזנה לתנאי סף'!E399)</f>
        <v>40383495</v>
      </c>
      <c r="E399" s="88">
        <f>IF($F399="","",'הזנה לתנאי סף'!F399)</f>
        <v>20000035</v>
      </c>
      <c r="F399" s="88" t="str">
        <f>IF(OR('הזנה לתנאי סף'!G399="",'הזנה לתנאי סף'!BL399&lt;&gt;1),"",'הזנה לתנאי סף'!G399)</f>
        <v>מגאר</v>
      </c>
      <c r="G399" s="88" t="str">
        <f>IF($F399="","",'הזנה לתנאי סף'!H399)</f>
        <v>מראות-עמותה לקידום התיאטרון והקרקס</v>
      </c>
      <c r="H399" s="88" t="str">
        <f>IF($F399="","",'הזנה לתנאי סף'!I399)</f>
        <v>תיאטרון</v>
      </c>
      <c r="I399" s="109">
        <v>180319</v>
      </c>
      <c r="J399" s="213">
        <f>IF($F399="","",'הזנה לתנאי סף'!S399)</f>
        <v>159190</v>
      </c>
      <c r="K399" s="109">
        <v>0</v>
      </c>
      <c r="L399" s="213">
        <f t="shared" si="68"/>
        <v>339509</v>
      </c>
      <c r="M399" s="213">
        <f>IF($F399="","",IF(L399='הזנה לתנאי סף'!R399,1,0))</f>
        <v>1</v>
      </c>
      <c r="N399" s="214">
        <f t="shared" si="69"/>
        <v>0.5311169954257472</v>
      </c>
      <c r="O399" s="214">
        <f t="shared" si="70"/>
        <v>0.4688830045742528</v>
      </c>
      <c r="P399" s="109">
        <v>339509</v>
      </c>
      <c r="Q399" s="213">
        <f>IF($F399="","",IFERROR(IF(P399&gt;0,'פרמטרים לקריטריונים'!$C$25*P399*O399,$AG$2),""))</f>
        <v>47757</v>
      </c>
      <c r="R399" s="213">
        <f>IF($F399="","",IFERROR('פרמטרים לקריטריונים'!$C$26*Q399,""))</f>
        <v>11743.524590163934</v>
      </c>
      <c r="S399" s="214">
        <f t="shared" si="71"/>
        <v>1.7404084161766378E-4</v>
      </c>
      <c r="T399" s="213">
        <f t="shared" si="72"/>
        <v>8702.0420808831896</v>
      </c>
      <c r="U399" s="213">
        <f>IF($F399="","",'הזנה לתנאי סף'!N399)</f>
        <v>0</v>
      </c>
      <c r="V399" s="213">
        <f>IF($F399="","",'הזנה לתנאי סף'!O399)</f>
        <v>1</v>
      </c>
      <c r="W399" s="109">
        <v>0</v>
      </c>
      <c r="X399" s="109">
        <v>0</v>
      </c>
      <c r="Y399" s="109">
        <v>1</v>
      </c>
      <c r="Z399" s="214">
        <f t="shared" si="73"/>
        <v>0</v>
      </c>
      <c r="AA399" s="213" t="str">
        <f>IF(OR($F399="",V399=0),"",IF(V399=1,IF(COUNTBLANK(W399:X399)&gt;0,$AG$2,IF(OR(Z399&lt;='פרמטרים לקריטריונים'!$C$27,X399&gt;W399),"",X399-W399))))</f>
        <v/>
      </c>
      <c r="AB399" s="214" t="str">
        <f t="shared" si="74"/>
        <v/>
      </c>
      <c r="AC399" s="225" t="str">
        <f>IF(OR(AB399="",U399=1),"",IF(OR(COUNTBLANK(W399:Y399)&gt;0,AB399&gt;='פרמטרים לקריטריונים'!$E$54),'פרמטרים לקריטריונים'!$F$54,INDEX('פרמטרים לקריטריונים'!$F$49:$F$54,MATCH(AB399,'פרמטרים לקריטריונים'!$E$49:$E$54,1))))</f>
        <v/>
      </c>
      <c r="AD399" s="213" t="str">
        <f t="shared" si="75"/>
        <v/>
      </c>
      <c r="AE399" s="213">
        <f t="shared" si="76"/>
        <v>8702.0420808831896</v>
      </c>
      <c r="AG399" s="175">
        <f t="shared" si="77"/>
        <v>0</v>
      </c>
    </row>
    <row r="400" spans="1:33" ht="15.75" x14ac:dyDescent="0.2">
      <c r="A400" s="206">
        <f t="shared" si="67"/>
        <v>370</v>
      </c>
      <c r="B400" s="88">
        <f>IF($F400="","",'הזנה לתנאי סף'!C400)</f>
        <v>1001348860</v>
      </c>
      <c r="C400" s="88">
        <f>IF($F400="","",'הזנה לתנאי סף'!D400)</f>
        <v>1001274641</v>
      </c>
      <c r="D400" s="88">
        <f>IF($F400="","",'הזנה לתנאי סף'!E400)</f>
        <v>40383495</v>
      </c>
      <c r="E400" s="88">
        <f>IF($F400="","",'הזנה לתנאי סף'!F400)</f>
        <v>20000035</v>
      </c>
      <c r="F400" s="88" t="str">
        <f>IF(OR('הזנה לתנאי סף'!G400="",'הזנה לתנאי סף'!BL400&lt;&gt;1),"",'הזנה לתנאי סף'!G400)</f>
        <v>מגאר</v>
      </c>
      <c r="G400" s="88" t="str">
        <f>IF($F400="","",'הזנה לתנאי סף'!H400)</f>
        <v>מראות-עמותה לקידום התיאטרון והקרקס</v>
      </c>
      <c r="H400" s="88" t="str">
        <f>IF($F400="","",'הזנה לתנאי סף'!I400)</f>
        <v>אחר</v>
      </c>
      <c r="I400" s="109">
        <v>200000</v>
      </c>
      <c r="J400" s="213">
        <f>IF($F400="","",'הזנה לתנאי סף'!S400)</f>
        <v>85756</v>
      </c>
      <c r="K400" s="109">
        <v>0</v>
      </c>
      <c r="L400" s="213">
        <f t="shared" si="68"/>
        <v>285756</v>
      </c>
      <c r="M400" s="213">
        <f>IF($F400="","",IF(L400='הזנה לתנאי סף'!R400,1,0))</f>
        <v>1</v>
      </c>
      <c r="N400" s="214">
        <f t="shared" si="69"/>
        <v>0.69989781491902181</v>
      </c>
      <c r="O400" s="214">
        <f t="shared" si="70"/>
        <v>0.30010218508097819</v>
      </c>
      <c r="P400" s="109">
        <v>285756</v>
      </c>
      <c r="Q400" s="213">
        <f>IF($F400="","",IFERROR(IF(P400&gt;0,'פרמטרים לקריטריונים'!$C$25*P400*O400,$AG$2),""))</f>
        <v>25726.800000000003</v>
      </c>
      <c r="R400" s="213">
        <f>IF($F400="","",IFERROR('פרמטרים לקריטריונים'!$C$26*Q400,""))</f>
        <v>6326.2622950819677</v>
      </c>
      <c r="S400" s="214">
        <f t="shared" si="71"/>
        <v>9.37561807510797E-5</v>
      </c>
      <c r="T400" s="213">
        <f t="shared" si="72"/>
        <v>4687.809037553985</v>
      </c>
      <c r="U400" s="213">
        <f>IF($F400="","",'הזנה לתנאי סף'!N400)</f>
        <v>0</v>
      </c>
      <c r="V400" s="213">
        <f>IF($F400="","",'הזנה לתנאי סף'!O400)</f>
        <v>1</v>
      </c>
      <c r="W400" s="109">
        <v>0</v>
      </c>
      <c r="X400" s="109">
        <v>0</v>
      </c>
      <c r="Y400" s="109">
        <v>1</v>
      </c>
      <c r="Z400" s="214">
        <f t="shared" si="73"/>
        <v>0</v>
      </c>
      <c r="AA400" s="213" t="str">
        <f>IF(OR($F400="",V400=0),"",IF(V400=1,IF(COUNTBLANK(W400:X400)&gt;0,$AG$2,IF(OR(Z400&lt;='פרמטרים לקריטריונים'!$C$27,X400&gt;W400),"",X400-W400))))</f>
        <v/>
      </c>
      <c r="AB400" s="214" t="str">
        <f t="shared" si="74"/>
        <v/>
      </c>
      <c r="AC400" s="225" t="str">
        <f>IF(OR(AB400="",U400=1),"",IF(OR(COUNTBLANK(W400:Y400)&gt;0,AB400&gt;='פרמטרים לקריטריונים'!$E$54),'פרמטרים לקריטריונים'!$F$54,INDEX('פרמטרים לקריטריונים'!$F$49:$F$54,MATCH(AB400,'פרמטרים לקריטריונים'!$E$49:$E$54,1))))</f>
        <v/>
      </c>
      <c r="AD400" s="213" t="str">
        <f t="shared" si="75"/>
        <v/>
      </c>
      <c r="AE400" s="213">
        <f t="shared" si="76"/>
        <v>4687.809037553985</v>
      </c>
      <c r="AG400" s="175">
        <f t="shared" si="77"/>
        <v>0</v>
      </c>
    </row>
    <row r="401" spans="1:33" ht="15.75" x14ac:dyDescent="0.2">
      <c r="A401" s="206">
        <f t="shared" si="67"/>
        <v>371</v>
      </c>
      <c r="B401" s="88">
        <f>IF($F401="","",'הזנה לתנאי סף'!C401)</f>
        <v>1001348861</v>
      </c>
      <c r="C401" s="88">
        <f>IF($F401="","",'הזנה לתנאי סף'!D401)</f>
        <v>1001268570</v>
      </c>
      <c r="D401" s="88">
        <f>IF($F401="","",'הזנה לתנאי סף'!E401)</f>
        <v>40383495</v>
      </c>
      <c r="E401" s="88">
        <f>IF($F401="","",'הזנה לתנאי סף'!F401)</f>
        <v>20000035</v>
      </c>
      <c r="F401" s="88" t="str">
        <f>IF(OR('הזנה לתנאי סף'!G401="",'הזנה לתנאי סף'!BL401&lt;&gt;1),"",'הזנה לתנאי סף'!G401)</f>
        <v>מגאר</v>
      </c>
      <c r="G401" s="88" t="str">
        <f>IF($F401="","",'הזנה לתנאי סף'!H401)</f>
        <v>מראות-עמותה לקידום התיאטרון והקרקס</v>
      </c>
      <c r="H401" s="88" t="str">
        <f>IF($F401="","",'הזנה לתנאי סף'!I401)</f>
        <v>אחר</v>
      </c>
      <c r="I401" s="109">
        <v>0</v>
      </c>
      <c r="J401" s="213">
        <f>IF($F401="","",'הזנה לתנאי סף'!S401)</f>
        <v>19780</v>
      </c>
      <c r="K401" s="109">
        <v>0</v>
      </c>
      <c r="L401" s="213">
        <f t="shared" si="68"/>
        <v>19780</v>
      </c>
      <c r="M401" s="213">
        <f>IF($F401="","",IF(L401='הזנה לתנאי סף'!R401,1,0))</f>
        <v>1</v>
      </c>
      <c r="N401" s="214">
        <f t="shared" si="69"/>
        <v>0</v>
      </c>
      <c r="O401" s="214">
        <f t="shared" si="70"/>
        <v>1</v>
      </c>
      <c r="P401" s="109">
        <v>22305</v>
      </c>
      <c r="Q401" s="213">
        <f>IF($F401="","",IFERROR(IF(P401&gt;0,'פרמטרים לקריטריונים'!$C$25*P401*O401,$AG$2),""))</f>
        <v>6691.5</v>
      </c>
      <c r="R401" s="213">
        <f>IF($F401="","",IFERROR('פרמטרים לקריטריונים'!$C$26*Q401,""))</f>
        <v>1645.450819672131</v>
      </c>
      <c r="S401" s="214">
        <f t="shared" si="71"/>
        <v>2.4385834363226274E-5</v>
      </c>
      <c r="T401" s="213">
        <f t="shared" si="72"/>
        <v>1219.2917181613136</v>
      </c>
      <c r="U401" s="213">
        <f>IF($F401="","",'הזנה לתנאי סף'!N401)</f>
        <v>0</v>
      </c>
      <c r="V401" s="213">
        <f>IF($F401="","",'הזנה לתנאי סף'!O401)</f>
        <v>1</v>
      </c>
      <c r="W401" s="109">
        <v>0</v>
      </c>
      <c r="X401" s="109">
        <v>0</v>
      </c>
      <c r="Y401" s="109">
        <v>1</v>
      </c>
      <c r="Z401" s="214">
        <f t="shared" si="73"/>
        <v>0</v>
      </c>
      <c r="AA401" s="213" t="str">
        <f>IF(OR($F401="",V401=0),"",IF(V401=1,IF(COUNTBLANK(W401:X401)&gt;0,$AG$2,IF(OR(Z401&lt;='פרמטרים לקריטריונים'!$C$27,X401&gt;W401),"",X401-W401))))</f>
        <v/>
      </c>
      <c r="AB401" s="214" t="str">
        <f t="shared" si="74"/>
        <v/>
      </c>
      <c r="AC401" s="225" t="str">
        <f>IF(OR(AB401="",U401=1),"",IF(OR(COUNTBLANK(W401:Y401)&gt;0,AB401&gt;='פרמטרים לקריטריונים'!$E$54),'פרמטרים לקריטריונים'!$F$54,INDEX('פרמטרים לקריטריונים'!$F$49:$F$54,MATCH(AB401,'פרמטרים לקריטריונים'!$E$49:$E$54,1))))</f>
        <v/>
      </c>
      <c r="AD401" s="213" t="str">
        <f t="shared" si="75"/>
        <v/>
      </c>
      <c r="AE401" s="213">
        <f t="shared" si="76"/>
        <v>1219.2917181613136</v>
      </c>
      <c r="AG401" s="175">
        <f t="shared" si="77"/>
        <v>0</v>
      </c>
    </row>
    <row r="402" spans="1:33" ht="15.75" x14ac:dyDescent="0.2">
      <c r="A402" s="206">
        <f t="shared" si="67"/>
        <v>372</v>
      </c>
      <c r="B402" s="88">
        <f>IF($F402="","",'הזנה לתנאי סף'!C402)</f>
        <v>1001349542</v>
      </c>
      <c r="C402" s="88">
        <f>IF($F402="","",'הזנה לתנאי סף'!D402)</f>
        <v>1001268295</v>
      </c>
      <c r="D402" s="88">
        <f>IF($F402="","",'הזנה לתנאי סף'!E402)</f>
        <v>41343408</v>
      </c>
      <c r="E402" s="88">
        <f>IF($F402="","",'הזנה לתנאי סף'!F402)</f>
        <v>20000102</v>
      </c>
      <c r="F402" s="88" t="str">
        <f>IF(OR('הזנה לתנאי סף'!G402="",'הזנה לתנאי סף'!BL402&lt;&gt;1),"",'הזנה לתנאי סף'!G402)</f>
        <v>מעלות-תרשיחא</v>
      </c>
      <c r="G402" s="88" t="str">
        <f>IF($F402="","",'הזנה לתנאי סף'!H402)</f>
        <v>קול יוצר</v>
      </c>
      <c r="H402" s="88" t="str">
        <f>IF($F402="","",'הזנה לתנאי סף'!I402)</f>
        <v>אחר</v>
      </c>
      <c r="I402" s="109">
        <v>138019</v>
      </c>
      <c r="J402" s="213">
        <f>IF($F402="","",'הזנה לתנאי סף'!S402)</f>
        <v>58185</v>
      </c>
      <c r="K402" s="109">
        <v>0</v>
      </c>
      <c r="L402" s="213">
        <f t="shared" si="68"/>
        <v>196204</v>
      </c>
      <c r="M402" s="213">
        <f>IF($F402="","",IF(L402='הזנה לתנאי סף'!R402,1,0))</f>
        <v>1</v>
      </c>
      <c r="N402" s="214">
        <f t="shared" si="69"/>
        <v>0.70344641291716781</v>
      </c>
      <c r="O402" s="214">
        <f t="shared" si="70"/>
        <v>0.29655358708283219</v>
      </c>
      <c r="P402" s="109">
        <v>111929</v>
      </c>
      <c r="Q402" s="213">
        <f>IF($F402="","",IFERROR(IF(P402&gt;0,'פרמטרים לקריטריונים'!$C$25*P402*O402,$AG$2),""))</f>
        <v>9957.8839345782962</v>
      </c>
      <c r="R402" s="213">
        <f>IF($F402="","",IFERROR('פרמטרים לקריטריונים'!$C$26*Q402,""))</f>
        <v>2448.6599839126957</v>
      </c>
      <c r="S402" s="214">
        <f t="shared" si="71"/>
        <v>3.6289517781791568E-5</v>
      </c>
      <c r="T402" s="213">
        <f t="shared" si="72"/>
        <v>1814.4758890895785</v>
      </c>
      <c r="U402" s="213">
        <f>IF($F402="","",'הזנה לתנאי סף'!N402)</f>
        <v>0</v>
      </c>
      <c r="V402" s="213">
        <f>IF($F402="","",'הזנה לתנאי סף'!O402)</f>
        <v>1</v>
      </c>
      <c r="W402" s="109">
        <v>0</v>
      </c>
      <c r="X402" s="109">
        <v>0</v>
      </c>
      <c r="Y402" s="109">
        <v>1</v>
      </c>
      <c r="Z402" s="214">
        <f t="shared" si="73"/>
        <v>0</v>
      </c>
      <c r="AA402" s="213" t="str">
        <f>IF(OR($F402="",V402=0),"",IF(V402=1,IF(COUNTBLANK(W402:X402)&gt;0,$AG$2,IF(OR(Z402&lt;='פרמטרים לקריטריונים'!$C$27,X402&gt;W402),"",X402-W402))))</f>
        <v/>
      </c>
      <c r="AB402" s="214" t="str">
        <f t="shared" si="74"/>
        <v/>
      </c>
      <c r="AC402" s="225" t="str">
        <f>IF(OR(AB402="",U402=1),"",IF(OR(COUNTBLANK(W402:Y402)&gt;0,AB402&gt;='פרמטרים לקריטריונים'!$E$54),'פרמטרים לקריטריונים'!$F$54,INDEX('פרמטרים לקריטריונים'!$F$49:$F$54,MATCH(AB402,'פרמטרים לקריטריונים'!$E$49:$E$54,1))))</f>
        <v/>
      </c>
      <c r="AD402" s="213" t="str">
        <f t="shared" si="75"/>
        <v/>
      </c>
      <c r="AE402" s="213">
        <f t="shared" si="76"/>
        <v>1814.4758890895785</v>
      </c>
      <c r="AG402" s="175">
        <f t="shared" si="77"/>
        <v>0</v>
      </c>
    </row>
    <row r="403" spans="1:33" ht="15.75" x14ac:dyDescent="0.2">
      <c r="A403" s="206">
        <f t="shared" si="67"/>
        <v>373</v>
      </c>
      <c r="B403" s="88">
        <f>IF($F403="","",'הזנה לתנאי סף'!C403)</f>
        <v>1001349543</v>
      </c>
      <c r="C403" s="88">
        <f>IF($F403="","",'הזנה לתנאי סף'!D403)</f>
        <v>1001266976</v>
      </c>
      <c r="D403" s="88">
        <f>IF($F403="","",'הזנה לתנאי סף'!E403)</f>
        <v>41343408</v>
      </c>
      <c r="E403" s="88">
        <f>IF($F403="","",'הזנה לתנאי סף'!F403)</f>
        <v>20000102</v>
      </c>
      <c r="F403" s="88" t="str">
        <f>IF(OR('הזנה לתנאי סף'!G403="",'הזנה לתנאי סף'!BL403&lt;&gt;1),"",'הזנה לתנאי סף'!G403)</f>
        <v>מעלות-תרשיחא</v>
      </c>
      <c r="G403" s="88" t="str">
        <f>IF($F403="","",'הזנה לתנאי סף'!H403)</f>
        <v>קול יוצר</v>
      </c>
      <c r="H403" s="88" t="str">
        <f>IF($F403="","",'הזנה לתנאי סף'!I403)</f>
        <v>אחר</v>
      </c>
      <c r="I403" s="109">
        <v>169438</v>
      </c>
      <c r="J403" s="213">
        <f>IF($F403="","",'הזנה לתנאי סף'!S403)</f>
        <v>69947</v>
      </c>
      <c r="K403" s="109">
        <v>0</v>
      </c>
      <c r="L403" s="213">
        <f t="shared" si="68"/>
        <v>239385</v>
      </c>
      <c r="M403" s="213">
        <f>IF($F403="","",IF(L403='הזנה לתנאי סף'!R403,1,0))</f>
        <v>1</v>
      </c>
      <c r="N403" s="214">
        <f t="shared" si="69"/>
        <v>0.70780541805042085</v>
      </c>
      <c r="O403" s="214">
        <f t="shared" si="70"/>
        <v>0.29219458194957915</v>
      </c>
      <c r="P403" s="109">
        <v>172241</v>
      </c>
      <c r="Q403" s="213">
        <f>IF($F403="","",IFERROR(IF(P403&gt;0,'פרמטרים לקריטריונים'!$C$25*P403*O403,$AG$2),""))</f>
        <v>15098.366096873237</v>
      </c>
      <c r="R403" s="213">
        <f>IF($F403="","",IFERROR('פרמטרים לקריטריונים'!$C$26*Q403,""))</f>
        <v>3712.7129746409596</v>
      </c>
      <c r="S403" s="214">
        <f t="shared" si="71"/>
        <v>5.5022977627393247E-5</v>
      </c>
      <c r="T403" s="213">
        <f t="shared" si="72"/>
        <v>2751.1488813696624</v>
      </c>
      <c r="U403" s="213">
        <f>IF($F403="","",'הזנה לתנאי סף'!N403)</f>
        <v>0</v>
      </c>
      <c r="V403" s="213">
        <f>IF($F403="","",'הזנה לתנאי סף'!O403)</f>
        <v>1</v>
      </c>
      <c r="W403" s="109">
        <v>0</v>
      </c>
      <c r="X403" s="109">
        <v>0</v>
      </c>
      <c r="Y403" s="109">
        <v>1</v>
      </c>
      <c r="Z403" s="214">
        <f t="shared" si="73"/>
        <v>0</v>
      </c>
      <c r="AA403" s="213" t="str">
        <f>IF(OR($F403="",V403=0),"",IF(V403=1,IF(COUNTBLANK(W403:X403)&gt;0,$AG$2,IF(OR(Z403&lt;='פרמטרים לקריטריונים'!$C$27,X403&gt;W403),"",X403-W403))))</f>
        <v/>
      </c>
      <c r="AB403" s="214" t="str">
        <f t="shared" si="74"/>
        <v/>
      </c>
      <c r="AC403" s="225" t="str">
        <f>IF(OR(AB403="",U403=1),"",IF(OR(COUNTBLANK(W403:Y403)&gt;0,AB403&gt;='פרמטרים לקריטריונים'!$E$54),'פרמטרים לקריטריונים'!$F$54,INDEX('פרמטרים לקריטריונים'!$F$49:$F$54,MATCH(AB403,'פרמטרים לקריטריונים'!$E$49:$E$54,1))))</f>
        <v/>
      </c>
      <c r="AD403" s="213" t="str">
        <f t="shared" si="75"/>
        <v/>
      </c>
      <c r="AE403" s="213">
        <f t="shared" si="76"/>
        <v>2751.1488813696624</v>
      </c>
      <c r="AG403" s="175">
        <f t="shared" si="77"/>
        <v>0</v>
      </c>
    </row>
    <row r="404" spans="1:33" ht="15.75" x14ac:dyDescent="0.2">
      <c r="A404" s="206">
        <f t="shared" si="67"/>
        <v>374</v>
      </c>
      <c r="B404" s="88">
        <f>IF($F404="","",'הזנה לתנאי סף'!C404)</f>
        <v>1001349835</v>
      </c>
      <c r="C404" s="88">
        <f>IF($F404="","",'הזנה לתנאי סף'!D404)</f>
        <v>1001272254</v>
      </c>
      <c r="D404" s="88">
        <f>IF($F404="","",'הזנה לתנאי סף'!E404)</f>
        <v>40299606</v>
      </c>
      <c r="E404" s="88">
        <f>IF($F404="","",'הזנה לתנאי סף'!F404)</f>
        <v>20000125</v>
      </c>
      <c r="F404" s="88" t="str">
        <f>IF(OR('הזנה לתנאי סף'!G404="",'הזנה לתנאי סף'!BL404&lt;&gt;1),"",'הזנה לתנאי סף'!G404)</f>
        <v>חצור הגלילית</v>
      </c>
      <c r="G404" s="88" t="str">
        <f>IF($F404="","",'הזנה לתנאי סף'!H404)</f>
        <v>אורות הגליל</v>
      </c>
      <c r="H404" s="88" t="str">
        <f>IF($F404="","",'הזנה לתנאי סף'!I404)</f>
        <v>אחר</v>
      </c>
      <c r="I404" s="109">
        <v>571309</v>
      </c>
      <c r="J404" s="213">
        <f>IF($F404="","",'הזנה לתנאי סף'!S404)</f>
        <v>672289</v>
      </c>
      <c r="K404" s="109">
        <v>2602</v>
      </c>
      <c r="L404" s="213">
        <f t="shared" si="68"/>
        <v>1246200</v>
      </c>
      <c r="M404" s="213">
        <f>IF($F404="","",IF(L404='הזנה לתנאי סף'!R404,1,0))</f>
        <v>1</v>
      </c>
      <c r="N404" s="214">
        <f t="shared" si="69"/>
        <v>0.45844086021505376</v>
      </c>
      <c r="O404" s="214">
        <f t="shared" si="70"/>
        <v>0.54155913978494619</v>
      </c>
      <c r="P404" s="109">
        <v>1180860</v>
      </c>
      <c r="Q404" s="213">
        <f>IF($F404="","",IFERROR(IF(P404&gt;0,'פרמטרים לקריטריונים'!$C$25*P404*O404,$AG$2),""))</f>
        <v>191851.65774193546</v>
      </c>
      <c r="R404" s="213">
        <f>IF($F404="","",IFERROR('פרמטרים לקריטריונים'!$C$26*Q404,""))</f>
        <v>47176.637149656257</v>
      </c>
      <c r="S404" s="214">
        <f t="shared" si="71"/>
        <v>6.9916502249199966E-4</v>
      </c>
      <c r="T404" s="213">
        <f t="shared" si="72"/>
        <v>34958.251124599985</v>
      </c>
      <c r="U404" s="213">
        <f>IF($F404="","",'הזנה לתנאי סף'!N404)</f>
        <v>0</v>
      </c>
      <c r="V404" s="213">
        <f>IF($F404="","",'הזנה לתנאי סף'!O404)</f>
        <v>1</v>
      </c>
      <c r="W404" s="109">
        <v>0</v>
      </c>
      <c r="X404" s="109">
        <v>0</v>
      </c>
      <c r="Y404" s="109">
        <v>1</v>
      </c>
      <c r="Z404" s="214">
        <f t="shared" si="73"/>
        <v>0</v>
      </c>
      <c r="AA404" s="213" t="str">
        <f>IF(OR($F404="",V404=0),"",IF(V404=1,IF(COUNTBLANK(W404:X404)&gt;0,$AG$2,IF(OR(Z404&lt;='פרמטרים לקריטריונים'!$C$27,X404&gt;W404),"",X404-W404))))</f>
        <v/>
      </c>
      <c r="AB404" s="214" t="str">
        <f t="shared" si="74"/>
        <v/>
      </c>
      <c r="AC404" s="225" t="str">
        <f>IF(OR(AB404="",U404=1),"",IF(OR(COUNTBLANK(W404:Y404)&gt;0,AB404&gt;='פרמטרים לקריטריונים'!$E$54),'פרמטרים לקריטריונים'!$F$54,INDEX('פרמטרים לקריטריונים'!$F$49:$F$54,MATCH(AB404,'פרמטרים לקריטריונים'!$E$49:$E$54,1))))</f>
        <v/>
      </c>
      <c r="AD404" s="213" t="str">
        <f t="shared" si="75"/>
        <v/>
      </c>
      <c r="AE404" s="213">
        <f t="shared" si="76"/>
        <v>34958.251124599985</v>
      </c>
      <c r="AG404" s="175">
        <f t="shared" si="77"/>
        <v>0</v>
      </c>
    </row>
    <row r="405" spans="1:33" ht="15.75" x14ac:dyDescent="0.2">
      <c r="A405" s="206">
        <f t="shared" si="67"/>
        <v>375</v>
      </c>
      <c r="B405" s="88">
        <f>IF($F405="","",'הזנה לתנאי סף'!C405)</f>
        <v>1001348945</v>
      </c>
      <c r="C405" s="88">
        <f>IF($F405="","",'הזנה לתנאי סף'!D405)</f>
        <v>1001280733</v>
      </c>
      <c r="D405" s="88">
        <f>IF($F405="","",'הזנה לתנאי סף'!E405)</f>
        <v>41349383</v>
      </c>
      <c r="E405" s="88">
        <f>IF($F405="","",'הזנה לתנאי סף'!F405)</f>
        <v>20000231</v>
      </c>
      <c r="F405" s="88" t="str">
        <f>IF(OR('הזנה לתנאי סף'!G405="",'הזנה לתנאי סף'!BL405&lt;&gt;1),"",'הזנה לתנאי סף'!G405)</f>
        <v>נצרת</v>
      </c>
      <c r="G405" s="88" t="str">
        <f>IF($F405="","",'הזנה לתנאי סף'!H405)</f>
        <v>יאללא</v>
      </c>
      <c r="H405" s="88" t="str">
        <f>IF($F405="","",'הזנה לתנאי סף'!I405)</f>
        <v>תיאטרון</v>
      </c>
      <c r="I405" s="109">
        <v>119906</v>
      </c>
      <c r="J405" s="213">
        <f>IF($F405="","",'הזנה לתנאי סף'!S405)</f>
        <v>160500</v>
      </c>
      <c r="K405" s="109">
        <v>0</v>
      </c>
      <c r="L405" s="213">
        <f t="shared" si="68"/>
        <v>280406</v>
      </c>
      <c r="M405" s="213">
        <f>IF($F405="","",IF(L405='הזנה לתנאי סף'!R405,1,0))</f>
        <v>1</v>
      </c>
      <c r="N405" s="214">
        <f t="shared" si="69"/>
        <v>0.42761567156194946</v>
      </c>
      <c r="O405" s="214">
        <f t="shared" si="70"/>
        <v>0.57238432843805054</v>
      </c>
      <c r="P405" s="109">
        <v>299573</v>
      </c>
      <c r="Q405" s="213">
        <f>IF($F405="","",IFERROR(IF(P405&gt;0,'פרמטרים לקריטריונים'!$C$25*P405*O405,$AG$2),""))</f>
        <v>51441.267126951629</v>
      </c>
      <c r="R405" s="213">
        <f>IF($F405="","",IFERROR('פרמטרים לקריטריונים'!$C$26*Q405,""))</f>
        <v>12649.491916463516</v>
      </c>
      <c r="S405" s="214">
        <f t="shared" si="71"/>
        <v>1.8746741681122608E-4</v>
      </c>
      <c r="T405" s="213">
        <f t="shared" si="72"/>
        <v>9373.3708405613033</v>
      </c>
      <c r="U405" s="213">
        <f>IF($F405="","",'הזנה לתנאי סף'!N405)</f>
        <v>0</v>
      </c>
      <c r="V405" s="213">
        <f>IF($F405="","",'הזנה לתנאי סף'!O405)</f>
        <v>1</v>
      </c>
      <c r="W405" s="109">
        <v>0</v>
      </c>
      <c r="X405" s="109">
        <v>0</v>
      </c>
      <c r="Y405" s="109">
        <v>1</v>
      </c>
      <c r="Z405" s="214">
        <f t="shared" si="73"/>
        <v>0</v>
      </c>
      <c r="AA405" s="213" t="str">
        <f>IF(OR($F405="",V405=0),"",IF(V405=1,IF(COUNTBLANK(W405:X405)&gt;0,$AG$2,IF(OR(Z405&lt;='פרמטרים לקריטריונים'!$C$27,X405&gt;W405),"",X405-W405))))</f>
        <v/>
      </c>
      <c r="AB405" s="214" t="str">
        <f t="shared" si="74"/>
        <v/>
      </c>
      <c r="AC405" s="225" t="str">
        <f>IF(OR(AB405="",U405=1),"",IF(OR(COUNTBLANK(W405:Y405)&gt;0,AB405&gt;='פרמטרים לקריטריונים'!$E$54),'פרמטרים לקריטריונים'!$F$54,INDEX('פרמטרים לקריטריונים'!$F$49:$F$54,MATCH(AB405,'פרמטרים לקריטריונים'!$E$49:$E$54,1))))</f>
        <v/>
      </c>
      <c r="AD405" s="213" t="str">
        <f t="shared" si="75"/>
        <v/>
      </c>
      <c r="AE405" s="213">
        <f t="shared" si="76"/>
        <v>9373.3708405613033</v>
      </c>
      <c r="AG405" s="175">
        <f t="shared" si="77"/>
        <v>0</v>
      </c>
    </row>
    <row r="406" spans="1:33" ht="15.75" x14ac:dyDescent="0.2">
      <c r="A406" s="206">
        <f t="shared" si="67"/>
        <v>376</v>
      </c>
      <c r="B406" s="88">
        <f>IF($F406="","",'הזנה לתנאי סף'!C406)</f>
        <v>1001348078</v>
      </c>
      <c r="C406" s="88">
        <f>IF($F406="","",'הזנה לתנאי סף'!D406)</f>
        <v>1001302078</v>
      </c>
      <c r="D406" s="88">
        <f>IF($F406="","",'הזנה לתנאי סף'!E406)</f>
        <v>40472081</v>
      </c>
      <c r="E406" s="88">
        <f>IF($F406="","",'הזנה לתנאי סף'!F406)</f>
        <v>20000242</v>
      </c>
      <c r="F406" s="88" t="str">
        <f>IF(OR('הזנה לתנאי סף'!G406="",'הזנה לתנאי סף'!BL406&lt;&gt;1),"",'הזנה לתנאי סף'!G406)</f>
        <v>פרדס חנה-כרכור</v>
      </c>
      <c r="G406" s="88" t="str">
        <f>IF($F406="","",'הזנה לתנאי סף'!H406)</f>
        <v>הידית - מרכז ליצירה תיאטרונית אלטרנ</v>
      </c>
      <c r="H406" s="88" t="str">
        <f>IF($F406="","",'הזנה לתנאי סף'!I406)</f>
        <v>תיאטרון</v>
      </c>
      <c r="I406" s="109">
        <v>891886</v>
      </c>
      <c r="J406" s="213">
        <f>IF($F406="","",'הזנה לתנאי סף'!S406)</f>
        <v>308713</v>
      </c>
      <c r="K406" s="109">
        <v>0</v>
      </c>
      <c r="L406" s="213">
        <f t="shared" si="68"/>
        <v>1200599</v>
      </c>
      <c r="M406" s="213">
        <f>IF($F406="","",IF(L406='הזנה לתנאי סף'!R406,1,0))</f>
        <v>1</v>
      </c>
      <c r="N406" s="214">
        <f t="shared" si="69"/>
        <v>0.74286751863028366</v>
      </c>
      <c r="O406" s="214">
        <f t="shared" si="70"/>
        <v>0.25713248136971634</v>
      </c>
      <c r="P406" s="109">
        <v>1330731</v>
      </c>
      <c r="Q406" s="213">
        <f>IF($F406="","",IFERROR(IF(P406&gt;0,'פרמטרים לקריטריונים'!$C$25*P406*O406,$AG$2),""))</f>
        <v>102652.24921968119</v>
      </c>
      <c r="R406" s="213">
        <f>IF($F406="","",IFERROR('פרמטרים לקריטריונים'!$C$26*Q406,""))</f>
        <v>25242.356365495376</v>
      </c>
      <c r="S406" s="214">
        <f t="shared" si="71"/>
        <v>3.7409560584080836E-4</v>
      </c>
      <c r="T406" s="213">
        <f t="shared" si="72"/>
        <v>18704.780292040417</v>
      </c>
      <c r="U406" s="213">
        <f>IF($F406="","",'הזנה לתנאי סף'!N406)</f>
        <v>0</v>
      </c>
      <c r="V406" s="213">
        <f>IF($F406="","",'הזנה לתנאי סף'!O406)</f>
        <v>1</v>
      </c>
      <c r="W406" s="109">
        <v>34000</v>
      </c>
      <c r="X406" s="109">
        <v>69000</v>
      </c>
      <c r="Y406" s="109">
        <v>1325688</v>
      </c>
      <c r="Z406" s="214">
        <f t="shared" si="73"/>
        <v>2.5647060243435861E-2</v>
      </c>
      <c r="AA406" s="213" t="str">
        <f>IF(OR($F406="",V406=0),"",IF(V406=1,IF(COUNTBLANK(W406:X406)&gt;0,$AG$2,IF(OR(Z406&lt;='פרמטרים לקריטריונים'!$C$27,X406&gt;W406),"",X406-W406))))</f>
        <v/>
      </c>
      <c r="AB406" s="214" t="str">
        <f t="shared" si="74"/>
        <v/>
      </c>
      <c r="AC406" s="225" t="str">
        <f>IF(OR(AB406="",U406=1),"",IF(OR(COUNTBLANK(W406:Y406)&gt;0,AB406&gt;='פרמטרים לקריטריונים'!$E$54),'פרמטרים לקריטריונים'!$F$54,INDEX('פרמטרים לקריטריונים'!$F$49:$F$54,MATCH(AB406,'פרמטרים לקריטריונים'!$E$49:$E$54,1))))</f>
        <v/>
      </c>
      <c r="AD406" s="213" t="str">
        <f t="shared" si="75"/>
        <v/>
      </c>
      <c r="AE406" s="213">
        <f t="shared" si="76"/>
        <v>18704.780292040417</v>
      </c>
      <c r="AG406" s="175">
        <f t="shared" si="77"/>
        <v>0</v>
      </c>
    </row>
    <row r="407" spans="1:33" ht="15.75" x14ac:dyDescent="0.2">
      <c r="A407" s="206">
        <f t="shared" si="67"/>
        <v>377</v>
      </c>
      <c r="B407" s="88">
        <f>IF($F407="","",'הזנה לתנאי סף'!C407)</f>
        <v>1001350994</v>
      </c>
      <c r="C407" s="88">
        <f>IF($F407="","",'הזנה לתנאי סף'!D407)</f>
        <v>1001268790</v>
      </c>
      <c r="D407" s="88">
        <f>IF($F407="","",'הזנה לתנאי סף'!E407)</f>
        <v>40000023</v>
      </c>
      <c r="E407" s="88">
        <f>IF($F407="","",'הזנה לתנאי סף'!F407)</f>
        <v>20000201</v>
      </c>
      <c r="F407" s="88" t="str">
        <f>IF(OR('הזנה לתנאי סף'!G407="",'הזנה לתנאי סף'!BL407&lt;&gt;1),"",'הזנה לתנאי סף'!G407)</f>
        <v>תל אביב -יפו</v>
      </c>
      <c r="G407" s="88" t="str">
        <f>IF($F407="","",'הזנה לתנאי סף'!H407)</f>
        <v>קרן מוזיאון רובין</v>
      </c>
      <c r="H407" s="88" t="str">
        <f>IF($F407="","",'הזנה לתנאי סף'!I407)</f>
        <v>מוזיאונים</v>
      </c>
      <c r="I407" s="109">
        <v>860988</v>
      </c>
      <c r="J407" s="213">
        <f>IF($F407="","",'הזנה לתנאי סף'!S407)</f>
        <v>860369</v>
      </c>
      <c r="K407" s="109">
        <v>0</v>
      </c>
      <c r="L407" s="213">
        <f t="shared" si="68"/>
        <v>1721357</v>
      </c>
      <c r="M407" s="213">
        <f>IF($F407="","",IF(L407='הזנה לתנאי סף'!R407,1,0))</f>
        <v>1</v>
      </c>
      <c r="N407" s="214">
        <f t="shared" si="69"/>
        <v>0.50017980000662265</v>
      </c>
      <c r="O407" s="214">
        <f t="shared" si="70"/>
        <v>0.49982019999337735</v>
      </c>
      <c r="P407" s="109">
        <v>1447790</v>
      </c>
      <c r="Q407" s="213">
        <f>IF($F407="","",IFERROR(IF(P407&gt;0,'פרמטרים לקריטריונים'!$C$25*P407*O407,$AG$2),""))</f>
        <v>217090.40620452355</v>
      </c>
      <c r="R407" s="213">
        <f>IF($F407="","",IFERROR('פרמטרים לקריטריונים'!$C$26*Q407,""))</f>
        <v>53382.88677160415</v>
      </c>
      <c r="S407" s="214">
        <f t="shared" si="71"/>
        <v>7.9114259695868203E-4</v>
      </c>
      <c r="T407" s="213">
        <f t="shared" si="72"/>
        <v>39557.129847934099</v>
      </c>
      <c r="U407" s="213">
        <f>IF($F407="","",'הזנה לתנאי סף'!N407)</f>
        <v>1</v>
      </c>
      <c r="V407" s="213">
        <f>IF($F407="","",'הזנה לתנאי סף'!O407)</f>
        <v>1</v>
      </c>
      <c r="W407" s="109"/>
      <c r="X407" s="109"/>
      <c r="Y407" s="109"/>
      <c r="Z407" s="214" t="str">
        <f t="shared" si="73"/>
        <v>בדוק נתוני הזנה</v>
      </c>
      <c r="AA407" s="213" t="str">
        <f>IF(OR($F407="",V407=0),"",IF(V407=1,IF(COUNTBLANK(W407:X407)&gt;0,$AG$2,IF(OR(Z407&lt;='פרמטרים לקריטריונים'!$C$27,X407&gt;W407),"",X407-W407))))</f>
        <v>בדוק נתוני הזנה</v>
      </c>
      <c r="AB407" s="214">
        <f t="shared" si="74"/>
        <v>1</v>
      </c>
      <c r="AC407" s="225" t="str">
        <f>IF(OR(AB407="",U407=1),"",IF(OR(COUNTBLANK(W407:Y407)&gt;0,AB407&gt;='פרמטרים לקריטריונים'!$E$54),'פרמטרים לקריטריונים'!$F$54,INDEX('פרמטרים לקריטריונים'!$F$49:$F$54,MATCH(AB407,'פרמטרים לקריטריונים'!$E$49:$E$54,1))))</f>
        <v/>
      </c>
      <c r="AD407" s="213" t="str">
        <f t="shared" si="75"/>
        <v/>
      </c>
      <c r="AE407" s="213">
        <f t="shared" si="76"/>
        <v>39557.129847934099</v>
      </c>
      <c r="AG407" s="175">
        <f t="shared" si="77"/>
        <v>1</v>
      </c>
    </row>
    <row r="408" spans="1:33" ht="15.75" x14ac:dyDescent="0.2">
      <c r="A408" s="206" t="str">
        <f t="shared" si="67"/>
        <v/>
      </c>
      <c r="B408" s="88" t="str">
        <f>IF($F408="","",'הזנה לתנאי סף'!C408)</f>
        <v/>
      </c>
      <c r="C408" s="88" t="str">
        <f>IF($F408="","",'הזנה לתנאי סף'!D408)</f>
        <v/>
      </c>
      <c r="D408" s="88" t="str">
        <f>IF($F408="","",'הזנה לתנאי סף'!E408)</f>
        <v/>
      </c>
      <c r="E408" s="88" t="str">
        <f>IF($F408="","",'הזנה לתנאי סף'!F408)</f>
        <v/>
      </c>
      <c r="F408" s="88" t="str">
        <f>IF(OR('הזנה לתנאי סף'!G408="",'הזנה לתנאי סף'!BL408&lt;&gt;1),"",'הזנה לתנאי סף'!G408)</f>
        <v/>
      </c>
      <c r="G408" s="88" t="str">
        <f>IF($F408="","",'הזנה לתנאי סף'!H408)</f>
        <v/>
      </c>
      <c r="H408" s="88" t="str">
        <f>IF($F408="","",'הזנה לתנאי סף'!I408)</f>
        <v/>
      </c>
      <c r="I408" s="109"/>
      <c r="J408" s="213" t="str">
        <f>IF($F408="","",'הזנה לתנאי סף'!S408)</f>
        <v/>
      </c>
      <c r="K408" s="109"/>
      <c r="L408" s="213" t="str">
        <f t="shared" si="68"/>
        <v/>
      </c>
      <c r="M408" s="213" t="str">
        <f>IF($F408="","",IF(L408='הזנה לתנאי סף'!R408,1,0))</f>
        <v/>
      </c>
      <c r="N408" s="214" t="str">
        <f t="shared" si="69"/>
        <v/>
      </c>
      <c r="O408" s="214" t="str">
        <f t="shared" si="70"/>
        <v/>
      </c>
      <c r="P408" s="109"/>
      <c r="Q408" s="213" t="str">
        <f>IF($F408="","",IFERROR(IF(P408&gt;0,'פרמטרים לקריטריונים'!$C$25*P408*O408,$AG$2),""))</f>
        <v/>
      </c>
      <c r="R408" s="213" t="str">
        <f>IF($F408="","",IFERROR('פרמטרים לקריטריונים'!$C$26*Q408,""))</f>
        <v/>
      </c>
      <c r="S408" s="214" t="str">
        <f t="shared" si="71"/>
        <v/>
      </c>
      <c r="T408" s="213" t="str">
        <f t="shared" si="72"/>
        <v/>
      </c>
      <c r="U408" s="213" t="str">
        <f>IF($F408="","",'הזנה לתנאי סף'!N408)</f>
        <v/>
      </c>
      <c r="V408" s="213" t="str">
        <f>IF($F408="","",'הזנה לתנאי סף'!O408)</f>
        <v/>
      </c>
      <c r="W408" s="109"/>
      <c r="X408" s="109"/>
      <c r="Y408" s="109"/>
      <c r="Z408" s="214" t="str">
        <f t="shared" si="73"/>
        <v/>
      </c>
      <c r="AA408" s="213" t="str">
        <f>IF(OR($F408="",V408=0),"",IF(V408=1,IF(COUNTBLANK(W408:X408)&gt;0,$AG$2,IF(OR(Z408&lt;='פרמטרים לקריטריונים'!$C$27,X408&gt;W408),"",X408-W408))))</f>
        <v/>
      </c>
      <c r="AB408" s="214" t="str">
        <f t="shared" si="74"/>
        <v/>
      </c>
      <c r="AC408" s="225" t="str">
        <f>IF(OR(AB408="",U408=1),"",IF(OR(COUNTBLANK(W408:Y408)&gt;0,AB408&gt;='פרמטרים לקריטריונים'!$E$54),'פרמטרים לקריטריונים'!$F$54,INDEX('פרמטרים לקריטריונים'!$F$49:$F$54,MATCH(AB408,'פרמטרים לקריטריונים'!$E$49:$E$54,1))))</f>
        <v/>
      </c>
      <c r="AD408" s="213" t="str">
        <f t="shared" si="75"/>
        <v/>
      </c>
      <c r="AE408" s="213" t="str">
        <f t="shared" si="76"/>
        <v/>
      </c>
      <c r="AG408" s="175">
        <f t="shared" si="77"/>
        <v>0</v>
      </c>
    </row>
    <row r="409" spans="1:33" ht="15.75" x14ac:dyDescent="0.2">
      <c r="A409" s="206" t="str">
        <f t="shared" si="67"/>
        <v/>
      </c>
      <c r="B409" s="88" t="str">
        <f>IF($F409="","",'הזנה לתנאי סף'!C409)</f>
        <v/>
      </c>
      <c r="C409" s="88" t="str">
        <f>IF($F409="","",'הזנה לתנאי סף'!D409)</f>
        <v/>
      </c>
      <c r="D409" s="88" t="str">
        <f>IF($F409="","",'הזנה לתנאי סף'!E409)</f>
        <v/>
      </c>
      <c r="E409" s="88" t="str">
        <f>IF($F409="","",'הזנה לתנאי סף'!F409)</f>
        <v/>
      </c>
      <c r="F409" s="88" t="str">
        <f>IF(OR('הזנה לתנאי סף'!G409="",'הזנה לתנאי סף'!BL409&lt;&gt;1),"",'הזנה לתנאי סף'!G409)</f>
        <v/>
      </c>
      <c r="G409" s="88" t="str">
        <f>IF($F409="","",'הזנה לתנאי סף'!H409)</f>
        <v/>
      </c>
      <c r="H409" s="88" t="str">
        <f>IF($F409="","",'הזנה לתנאי סף'!I409)</f>
        <v/>
      </c>
      <c r="I409" s="109"/>
      <c r="J409" s="213" t="str">
        <f>IF($F409="","",'הזנה לתנאי סף'!S409)</f>
        <v/>
      </c>
      <c r="K409" s="109"/>
      <c r="L409" s="213" t="str">
        <f t="shared" si="68"/>
        <v/>
      </c>
      <c r="M409" s="213" t="str">
        <f>IF($F409="","",IF(L409='הזנה לתנאי סף'!R409,1,0))</f>
        <v/>
      </c>
      <c r="N409" s="214" t="str">
        <f t="shared" si="69"/>
        <v/>
      </c>
      <c r="O409" s="214" t="str">
        <f t="shared" si="70"/>
        <v/>
      </c>
      <c r="P409" s="109"/>
      <c r="Q409" s="213" t="str">
        <f>IF($F409="","",IFERROR(IF(P409&gt;0,'פרמטרים לקריטריונים'!$C$25*P409*O409,$AG$2),""))</f>
        <v/>
      </c>
      <c r="R409" s="213" t="str">
        <f>IF($F409="","",IFERROR('פרמטרים לקריטריונים'!$C$26*Q409,""))</f>
        <v/>
      </c>
      <c r="S409" s="214" t="str">
        <f t="shared" si="71"/>
        <v/>
      </c>
      <c r="T409" s="213" t="str">
        <f t="shared" si="72"/>
        <v/>
      </c>
      <c r="U409" s="213" t="str">
        <f>IF($F409="","",'הזנה לתנאי סף'!N409)</f>
        <v/>
      </c>
      <c r="V409" s="213" t="str">
        <f>IF($F409="","",'הזנה לתנאי סף'!O409)</f>
        <v/>
      </c>
      <c r="W409" s="109"/>
      <c r="X409" s="109"/>
      <c r="Y409" s="109"/>
      <c r="Z409" s="214" t="str">
        <f t="shared" si="73"/>
        <v/>
      </c>
      <c r="AA409" s="213" t="str">
        <f>IF(OR($F409="",V409=0),"",IF(V409=1,IF(COUNTBLANK(W409:X409)&gt;0,$AG$2,IF(OR(Z409&lt;='פרמטרים לקריטריונים'!$C$27,X409&gt;W409),"",X409-W409))))</f>
        <v/>
      </c>
      <c r="AB409" s="214" t="str">
        <f t="shared" si="74"/>
        <v/>
      </c>
      <c r="AC409" s="225" t="str">
        <f>IF(OR(AB409="",U409=1),"",IF(OR(COUNTBLANK(W409:Y409)&gt;0,AB409&gt;='פרמטרים לקריטריונים'!$E$54),'פרמטרים לקריטריונים'!$F$54,INDEX('פרמטרים לקריטריונים'!$F$49:$F$54,MATCH(AB409,'פרמטרים לקריטריונים'!$E$49:$E$54,1))))</f>
        <v/>
      </c>
      <c r="AD409" s="213" t="str">
        <f t="shared" si="75"/>
        <v/>
      </c>
      <c r="AE409" s="213" t="str">
        <f t="shared" si="76"/>
        <v/>
      </c>
      <c r="AG409" s="175">
        <f t="shared" si="77"/>
        <v>0</v>
      </c>
    </row>
    <row r="410" spans="1:33" ht="15.75" x14ac:dyDescent="0.2">
      <c r="A410" s="206" t="str">
        <f t="shared" si="67"/>
        <v/>
      </c>
      <c r="B410" s="88" t="str">
        <f>IF($F410="","",'הזנה לתנאי סף'!C410)</f>
        <v/>
      </c>
      <c r="C410" s="88" t="str">
        <f>IF($F410="","",'הזנה לתנאי סף'!D410)</f>
        <v/>
      </c>
      <c r="D410" s="88" t="str">
        <f>IF($F410="","",'הזנה לתנאי סף'!E410)</f>
        <v/>
      </c>
      <c r="E410" s="88" t="str">
        <f>IF($F410="","",'הזנה לתנאי סף'!F410)</f>
        <v/>
      </c>
      <c r="F410" s="88" t="str">
        <f>IF(OR('הזנה לתנאי סף'!G410="",'הזנה לתנאי סף'!BL410&lt;&gt;1),"",'הזנה לתנאי סף'!G410)</f>
        <v/>
      </c>
      <c r="G410" s="88" t="str">
        <f>IF($F410="","",'הזנה לתנאי סף'!H410)</f>
        <v/>
      </c>
      <c r="H410" s="88" t="str">
        <f>IF($F410="","",'הזנה לתנאי סף'!I410)</f>
        <v/>
      </c>
      <c r="I410" s="109"/>
      <c r="J410" s="213" t="str">
        <f>IF($F410="","",'הזנה לתנאי סף'!S410)</f>
        <v/>
      </c>
      <c r="K410" s="109"/>
      <c r="L410" s="213" t="str">
        <f t="shared" si="68"/>
        <v/>
      </c>
      <c r="M410" s="213" t="str">
        <f>IF($F410="","",IF(L410='הזנה לתנאי סף'!R410,1,0))</f>
        <v/>
      </c>
      <c r="N410" s="214" t="str">
        <f t="shared" si="69"/>
        <v/>
      </c>
      <c r="O410" s="214" t="str">
        <f t="shared" si="70"/>
        <v/>
      </c>
      <c r="P410" s="109"/>
      <c r="Q410" s="213" t="str">
        <f>IF($F410="","",IFERROR(IF(P410&gt;0,'פרמטרים לקריטריונים'!$C$25*P410*O410,$AG$2),""))</f>
        <v/>
      </c>
      <c r="R410" s="213" t="str">
        <f>IF($F410="","",IFERROR('פרמטרים לקריטריונים'!$C$26*Q410,""))</f>
        <v/>
      </c>
      <c r="S410" s="214" t="str">
        <f t="shared" si="71"/>
        <v/>
      </c>
      <c r="T410" s="213" t="str">
        <f t="shared" si="72"/>
        <v/>
      </c>
      <c r="U410" s="213" t="str">
        <f>IF($F410="","",'הזנה לתנאי סף'!N410)</f>
        <v/>
      </c>
      <c r="V410" s="213" t="str">
        <f>IF($F410="","",'הזנה לתנאי סף'!O410)</f>
        <v/>
      </c>
      <c r="W410" s="109"/>
      <c r="X410" s="109"/>
      <c r="Y410" s="109"/>
      <c r="Z410" s="214" t="str">
        <f t="shared" si="73"/>
        <v/>
      </c>
      <c r="AA410" s="213" t="str">
        <f>IF(OR($F410="",V410=0),"",IF(V410=1,IF(COUNTBLANK(W410:X410)&gt;0,$AG$2,IF(OR(Z410&lt;='פרמטרים לקריטריונים'!$C$27,X410&gt;W410),"",X410-W410))))</f>
        <v/>
      </c>
      <c r="AB410" s="214" t="str">
        <f t="shared" si="74"/>
        <v/>
      </c>
      <c r="AC410" s="225" t="str">
        <f>IF(OR(AB410="",U410=1),"",IF(OR(COUNTBLANK(W410:Y410)&gt;0,AB410&gt;='פרמטרים לקריטריונים'!$E$54),'פרמטרים לקריטריונים'!$F$54,INDEX('פרמטרים לקריטריונים'!$F$49:$F$54,MATCH(AB410,'פרמטרים לקריטריונים'!$E$49:$E$54,1))))</f>
        <v/>
      </c>
      <c r="AD410" s="213" t="str">
        <f t="shared" si="75"/>
        <v/>
      </c>
      <c r="AE410" s="213" t="str">
        <f t="shared" si="76"/>
        <v/>
      </c>
      <c r="AG410" s="175">
        <f t="shared" si="77"/>
        <v>0</v>
      </c>
    </row>
    <row r="411" spans="1:33" ht="15.75" x14ac:dyDescent="0.2">
      <c r="A411" s="206" t="str">
        <f t="shared" si="67"/>
        <v/>
      </c>
      <c r="B411" s="88" t="str">
        <f>IF($F411="","",'הזנה לתנאי סף'!C411)</f>
        <v/>
      </c>
      <c r="C411" s="88" t="str">
        <f>IF($F411="","",'הזנה לתנאי סף'!D411)</f>
        <v/>
      </c>
      <c r="D411" s="88" t="str">
        <f>IF($F411="","",'הזנה לתנאי סף'!E411)</f>
        <v/>
      </c>
      <c r="E411" s="88" t="str">
        <f>IF($F411="","",'הזנה לתנאי סף'!F411)</f>
        <v/>
      </c>
      <c r="F411" s="88" t="str">
        <f>IF(OR('הזנה לתנאי סף'!G411="",'הזנה לתנאי סף'!BL411&lt;&gt;1),"",'הזנה לתנאי סף'!G411)</f>
        <v/>
      </c>
      <c r="G411" s="88" t="str">
        <f>IF($F411="","",'הזנה לתנאי סף'!H411)</f>
        <v/>
      </c>
      <c r="H411" s="88" t="str">
        <f>IF($F411="","",'הזנה לתנאי סף'!I411)</f>
        <v/>
      </c>
      <c r="I411" s="109"/>
      <c r="J411" s="213" t="str">
        <f>IF($F411="","",'הזנה לתנאי סף'!S411)</f>
        <v/>
      </c>
      <c r="K411" s="109"/>
      <c r="L411" s="213" t="str">
        <f t="shared" si="68"/>
        <v/>
      </c>
      <c r="M411" s="213" t="str">
        <f>IF($F411="","",IF(L411='הזנה לתנאי סף'!R411,1,0))</f>
        <v/>
      </c>
      <c r="N411" s="214" t="str">
        <f t="shared" si="69"/>
        <v/>
      </c>
      <c r="O411" s="214" t="str">
        <f t="shared" si="70"/>
        <v/>
      </c>
      <c r="P411" s="109"/>
      <c r="Q411" s="213" t="str">
        <f>IF($F411="","",IFERROR(IF(P411&gt;0,'פרמטרים לקריטריונים'!$C$25*P411*O411,$AG$2),""))</f>
        <v/>
      </c>
      <c r="R411" s="213" t="str">
        <f>IF($F411="","",IFERROR('פרמטרים לקריטריונים'!$C$26*Q411,""))</f>
        <v/>
      </c>
      <c r="S411" s="214" t="str">
        <f t="shared" si="71"/>
        <v/>
      </c>
      <c r="T411" s="213" t="str">
        <f t="shared" si="72"/>
        <v/>
      </c>
      <c r="U411" s="213" t="str">
        <f>IF($F411="","",'הזנה לתנאי סף'!N411)</f>
        <v/>
      </c>
      <c r="V411" s="213" t="str">
        <f>IF($F411="","",'הזנה לתנאי סף'!O411)</f>
        <v/>
      </c>
      <c r="W411" s="109"/>
      <c r="X411" s="109"/>
      <c r="Y411" s="109"/>
      <c r="Z411" s="214" t="str">
        <f t="shared" si="73"/>
        <v/>
      </c>
      <c r="AA411" s="213" t="str">
        <f>IF(OR($F411="",V411=0),"",IF(V411=1,IF(COUNTBLANK(W411:X411)&gt;0,$AG$2,IF(OR(Z411&lt;='פרמטרים לקריטריונים'!$C$27,X411&gt;W411),"",X411-W411))))</f>
        <v/>
      </c>
      <c r="AB411" s="214" t="str">
        <f t="shared" si="74"/>
        <v/>
      </c>
      <c r="AC411" s="225" t="str">
        <f>IF(OR(AB411="",U411=1),"",IF(OR(COUNTBLANK(W411:Y411)&gt;0,AB411&gt;='פרמטרים לקריטריונים'!$E$54),'פרמטרים לקריטריונים'!$F$54,INDEX('פרמטרים לקריטריונים'!$F$49:$F$54,MATCH(AB411,'פרמטרים לקריטריונים'!$E$49:$E$54,1))))</f>
        <v/>
      </c>
      <c r="AD411" s="213" t="str">
        <f t="shared" si="75"/>
        <v/>
      </c>
      <c r="AE411" s="213" t="str">
        <f t="shared" si="76"/>
        <v/>
      </c>
      <c r="AG411" s="175">
        <f t="shared" si="77"/>
        <v>0</v>
      </c>
    </row>
    <row r="412" spans="1:33" ht="15.75" x14ac:dyDescent="0.2">
      <c r="A412" s="206" t="str">
        <f t="shared" si="67"/>
        <v/>
      </c>
      <c r="B412" s="88" t="str">
        <f>IF($F412="","",'הזנה לתנאי סף'!C412)</f>
        <v/>
      </c>
      <c r="C412" s="88" t="str">
        <f>IF($F412="","",'הזנה לתנאי סף'!D412)</f>
        <v/>
      </c>
      <c r="D412" s="88" t="str">
        <f>IF($F412="","",'הזנה לתנאי סף'!E412)</f>
        <v/>
      </c>
      <c r="E412" s="88" t="str">
        <f>IF($F412="","",'הזנה לתנאי סף'!F412)</f>
        <v/>
      </c>
      <c r="F412" s="88" t="str">
        <f>IF(OR('הזנה לתנאי סף'!G412="",'הזנה לתנאי סף'!BL412&lt;&gt;1),"",'הזנה לתנאי סף'!G412)</f>
        <v/>
      </c>
      <c r="G412" s="88" t="str">
        <f>IF($F412="","",'הזנה לתנאי סף'!H412)</f>
        <v/>
      </c>
      <c r="H412" s="88" t="str">
        <f>IF($F412="","",'הזנה לתנאי סף'!I412)</f>
        <v/>
      </c>
      <c r="I412" s="109"/>
      <c r="J412" s="213" t="str">
        <f>IF($F412="","",'הזנה לתנאי סף'!S412)</f>
        <v/>
      </c>
      <c r="K412" s="109"/>
      <c r="L412" s="213" t="str">
        <f t="shared" si="68"/>
        <v/>
      </c>
      <c r="M412" s="213" t="str">
        <f>IF($F412="","",IF(L412='הזנה לתנאי סף'!R412,1,0))</f>
        <v/>
      </c>
      <c r="N412" s="214" t="str">
        <f t="shared" si="69"/>
        <v/>
      </c>
      <c r="O412" s="214" t="str">
        <f t="shared" si="70"/>
        <v/>
      </c>
      <c r="P412" s="109"/>
      <c r="Q412" s="213" t="str">
        <f>IF($F412="","",IFERROR(IF(P412&gt;0,'פרמטרים לקריטריונים'!$C$25*P412*O412,$AG$2),""))</f>
        <v/>
      </c>
      <c r="R412" s="213" t="str">
        <f>IF($F412="","",IFERROR('פרמטרים לקריטריונים'!$C$26*Q412,""))</f>
        <v/>
      </c>
      <c r="S412" s="214" t="str">
        <f t="shared" si="71"/>
        <v/>
      </c>
      <c r="T412" s="213" t="str">
        <f t="shared" si="72"/>
        <v/>
      </c>
      <c r="U412" s="213" t="str">
        <f>IF($F412="","",'הזנה לתנאי סף'!N412)</f>
        <v/>
      </c>
      <c r="V412" s="213" t="str">
        <f>IF($F412="","",'הזנה לתנאי סף'!O412)</f>
        <v/>
      </c>
      <c r="W412" s="109"/>
      <c r="X412" s="109"/>
      <c r="Y412" s="109"/>
      <c r="Z412" s="214" t="str">
        <f t="shared" si="73"/>
        <v/>
      </c>
      <c r="AA412" s="213" t="str">
        <f>IF(OR($F412="",V412=0),"",IF(V412=1,IF(COUNTBLANK(W412:X412)&gt;0,$AG$2,IF(OR(Z412&lt;='פרמטרים לקריטריונים'!$C$27,X412&gt;W412),"",X412-W412))))</f>
        <v/>
      </c>
      <c r="AB412" s="214" t="str">
        <f t="shared" si="74"/>
        <v/>
      </c>
      <c r="AC412" s="225" t="str">
        <f>IF(OR(AB412="",U412=1),"",IF(OR(COUNTBLANK(W412:Y412)&gt;0,AB412&gt;='פרמטרים לקריטריונים'!$E$54),'פרמטרים לקריטריונים'!$F$54,INDEX('פרמטרים לקריטריונים'!$F$49:$F$54,MATCH(AB412,'פרמטרים לקריטריונים'!$E$49:$E$54,1))))</f>
        <v/>
      </c>
      <c r="AD412" s="213" t="str">
        <f t="shared" si="75"/>
        <v/>
      </c>
      <c r="AE412" s="213" t="str">
        <f t="shared" si="76"/>
        <v/>
      </c>
      <c r="AG412" s="175">
        <f t="shared" si="77"/>
        <v>0</v>
      </c>
    </row>
    <row r="413" spans="1:33" ht="15.75" x14ac:dyDescent="0.2">
      <c r="A413" s="206" t="str">
        <f t="shared" si="67"/>
        <v/>
      </c>
      <c r="B413" s="88" t="str">
        <f>IF($F413="","",'הזנה לתנאי סף'!C413)</f>
        <v/>
      </c>
      <c r="C413" s="88" t="str">
        <f>IF($F413="","",'הזנה לתנאי סף'!D413)</f>
        <v/>
      </c>
      <c r="D413" s="88" t="str">
        <f>IF($F413="","",'הזנה לתנאי סף'!E413)</f>
        <v/>
      </c>
      <c r="E413" s="88" t="str">
        <f>IF($F413="","",'הזנה לתנאי סף'!F413)</f>
        <v/>
      </c>
      <c r="F413" s="88" t="str">
        <f>IF(OR('הזנה לתנאי סף'!G413="",'הזנה לתנאי סף'!BL413&lt;&gt;1),"",'הזנה לתנאי סף'!G413)</f>
        <v/>
      </c>
      <c r="G413" s="88" t="str">
        <f>IF($F413="","",'הזנה לתנאי סף'!H413)</f>
        <v/>
      </c>
      <c r="H413" s="88" t="str">
        <f>IF($F413="","",'הזנה לתנאי סף'!I413)</f>
        <v/>
      </c>
      <c r="I413" s="109"/>
      <c r="J413" s="213" t="str">
        <f>IF($F413="","",'הזנה לתנאי סף'!S413)</f>
        <v/>
      </c>
      <c r="K413" s="109"/>
      <c r="L413" s="213" t="str">
        <f t="shared" si="68"/>
        <v/>
      </c>
      <c r="M413" s="213" t="str">
        <f>IF($F413="","",IF(L413='הזנה לתנאי סף'!R413,1,0))</f>
        <v/>
      </c>
      <c r="N413" s="214" t="str">
        <f t="shared" si="69"/>
        <v/>
      </c>
      <c r="O413" s="214" t="str">
        <f t="shared" si="70"/>
        <v/>
      </c>
      <c r="P413" s="109"/>
      <c r="Q413" s="213" t="str">
        <f>IF($F413="","",IFERROR(IF(P413&gt;0,'פרמטרים לקריטריונים'!$C$25*P413*O413,$AG$2),""))</f>
        <v/>
      </c>
      <c r="R413" s="213" t="str">
        <f>IF($F413="","",IFERROR('פרמטרים לקריטריונים'!$C$26*Q413,""))</f>
        <v/>
      </c>
      <c r="S413" s="214" t="str">
        <f t="shared" si="71"/>
        <v/>
      </c>
      <c r="T413" s="213" t="str">
        <f t="shared" si="72"/>
        <v/>
      </c>
      <c r="U413" s="213" t="str">
        <f>IF($F413="","",'הזנה לתנאי סף'!N413)</f>
        <v/>
      </c>
      <c r="V413" s="213" t="str">
        <f>IF($F413="","",'הזנה לתנאי סף'!O413)</f>
        <v/>
      </c>
      <c r="W413" s="109"/>
      <c r="X413" s="109"/>
      <c r="Y413" s="109"/>
      <c r="Z413" s="214" t="str">
        <f t="shared" si="73"/>
        <v/>
      </c>
      <c r="AA413" s="213" t="str">
        <f>IF(OR($F413="",V413=0),"",IF(V413=1,IF(COUNTBLANK(W413:X413)&gt;0,$AG$2,IF(OR(Z413&lt;='פרמטרים לקריטריונים'!$C$27,X413&gt;W413),"",X413-W413))))</f>
        <v/>
      </c>
      <c r="AB413" s="214" t="str">
        <f t="shared" si="74"/>
        <v/>
      </c>
      <c r="AC413" s="225" t="str">
        <f>IF(OR(AB413="",U413=1),"",IF(OR(COUNTBLANK(W413:Y413)&gt;0,AB413&gt;='פרמטרים לקריטריונים'!$E$54),'פרמטרים לקריטריונים'!$F$54,INDEX('פרמטרים לקריטריונים'!$F$49:$F$54,MATCH(AB413,'פרמטרים לקריטריונים'!$E$49:$E$54,1))))</f>
        <v/>
      </c>
      <c r="AD413" s="213" t="str">
        <f t="shared" si="75"/>
        <v/>
      </c>
      <c r="AE413" s="213" t="str">
        <f t="shared" si="76"/>
        <v/>
      </c>
      <c r="AG413" s="175">
        <f t="shared" si="77"/>
        <v>0</v>
      </c>
    </row>
    <row r="414" spans="1:33" ht="15.75" x14ac:dyDescent="0.2">
      <c r="A414" s="206" t="str">
        <f t="shared" si="67"/>
        <v/>
      </c>
      <c r="B414" s="88" t="str">
        <f>IF($F414="","",'הזנה לתנאי סף'!C414)</f>
        <v/>
      </c>
      <c r="C414" s="88" t="str">
        <f>IF($F414="","",'הזנה לתנאי סף'!D414)</f>
        <v/>
      </c>
      <c r="D414" s="88" t="str">
        <f>IF($F414="","",'הזנה לתנאי סף'!E414)</f>
        <v/>
      </c>
      <c r="E414" s="88" t="str">
        <f>IF($F414="","",'הזנה לתנאי סף'!F414)</f>
        <v/>
      </c>
      <c r="F414" s="88" t="str">
        <f>IF(OR('הזנה לתנאי סף'!G414="",'הזנה לתנאי סף'!BL414&lt;&gt;1),"",'הזנה לתנאי סף'!G414)</f>
        <v/>
      </c>
      <c r="G414" s="88" t="str">
        <f>IF($F414="","",'הזנה לתנאי סף'!H414)</f>
        <v/>
      </c>
      <c r="H414" s="88" t="str">
        <f>IF($F414="","",'הזנה לתנאי סף'!I414)</f>
        <v/>
      </c>
      <c r="I414" s="109"/>
      <c r="J414" s="213" t="str">
        <f>IF($F414="","",'הזנה לתנאי סף'!S414)</f>
        <v/>
      </c>
      <c r="K414" s="109"/>
      <c r="L414" s="213" t="str">
        <f t="shared" si="68"/>
        <v/>
      </c>
      <c r="M414" s="213" t="str">
        <f>IF($F414="","",IF(L414='הזנה לתנאי סף'!R414,1,0))</f>
        <v/>
      </c>
      <c r="N414" s="214" t="str">
        <f t="shared" si="69"/>
        <v/>
      </c>
      <c r="O414" s="214" t="str">
        <f t="shared" si="70"/>
        <v/>
      </c>
      <c r="P414" s="109"/>
      <c r="Q414" s="213" t="str">
        <f>IF($F414="","",IFERROR(IF(P414&gt;0,'פרמטרים לקריטריונים'!$C$25*P414*O414,$AG$2),""))</f>
        <v/>
      </c>
      <c r="R414" s="213" t="str">
        <f>IF($F414="","",IFERROR('פרמטרים לקריטריונים'!$C$26*Q414,""))</f>
        <v/>
      </c>
      <c r="S414" s="214" t="str">
        <f t="shared" si="71"/>
        <v/>
      </c>
      <c r="T414" s="213" t="str">
        <f t="shared" si="72"/>
        <v/>
      </c>
      <c r="U414" s="213" t="str">
        <f>IF($F414="","",'הזנה לתנאי סף'!N414)</f>
        <v/>
      </c>
      <c r="V414" s="213" t="str">
        <f>IF($F414="","",'הזנה לתנאי סף'!O414)</f>
        <v/>
      </c>
      <c r="W414" s="109"/>
      <c r="X414" s="109"/>
      <c r="Y414" s="109"/>
      <c r="Z414" s="214" t="str">
        <f t="shared" si="73"/>
        <v/>
      </c>
      <c r="AA414" s="213" t="str">
        <f>IF(OR($F414="",V414=0),"",IF(V414=1,IF(COUNTBLANK(W414:X414)&gt;0,$AG$2,IF(OR(Z414&lt;='פרמטרים לקריטריונים'!$C$27,X414&gt;W414),"",X414-W414))))</f>
        <v/>
      </c>
      <c r="AB414" s="214" t="str">
        <f t="shared" si="74"/>
        <v/>
      </c>
      <c r="AC414" s="225" t="str">
        <f>IF(OR(AB414="",U414=1),"",IF(OR(COUNTBLANK(W414:Y414)&gt;0,AB414&gt;='פרמטרים לקריטריונים'!$E$54),'פרמטרים לקריטריונים'!$F$54,INDEX('פרמטרים לקריטריונים'!$F$49:$F$54,MATCH(AB414,'פרמטרים לקריטריונים'!$E$49:$E$54,1))))</f>
        <v/>
      </c>
      <c r="AD414" s="213" t="str">
        <f t="shared" si="75"/>
        <v/>
      </c>
      <c r="AE414" s="213" t="str">
        <f t="shared" si="76"/>
        <v/>
      </c>
      <c r="AG414" s="175">
        <f t="shared" si="77"/>
        <v>0</v>
      </c>
    </row>
    <row r="415" spans="1:33" ht="15.75" x14ac:dyDescent="0.2">
      <c r="A415" s="206" t="str">
        <f t="shared" si="67"/>
        <v/>
      </c>
      <c r="B415" s="88" t="str">
        <f>IF($F415="","",'הזנה לתנאי סף'!C415)</f>
        <v/>
      </c>
      <c r="C415" s="88" t="str">
        <f>IF($F415="","",'הזנה לתנאי סף'!D415)</f>
        <v/>
      </c>
      <c r="D415" s="88" t="str">
        <f>IF($F415="","",'הזנה לתנאי סף'!E415)</f>
        <v/>
      </c>
      <c r="E415" s="88" t="str">
        <f>IF($F415="","",'הזנה לתנאי סף'!F415)</f>
        <v/>
      </c>
      <c r="F415" s="88" t="str">
        <f>IF(OR('הזנה לתנאי סף'!G415="",'הזנה לתנאי סף'!BL415&lt;&gt;1),"",'הזנה לתנאי סף'!G415)</f>
        <v/>
      </c>
      <c r="G415" s="88" t="str">
        <f>IF($F415="","",'הזנה לתנאי סף'!H415)</f>
        <v/>
      </c>
      <c r="H415" s="88" t="str">
        <f>IF($F415="","",'הזנה לתנאי סף'!I415)</f>
        <v/>
      </c>
      <c r="I415" s="109"/>
      <c r="J415" s="213" t="str">
        <f>IF($F415="","",'הזנה לתנאי סף'!S415)</f>
        <v/>
      </c>
      <c r="K415" s="109"/>
      <c r="L415" s="213" t="str">
        <f t="shared" si="68"/>
        <v/>
      </c>
      <c r="M415" s="213" t="str">
        <f>IF($F415="","",IF(L415='הזנה לתנאי סף'!R415,1,0))</f>
        <v/>
      </c>
      <c r="N415" s="214" t="str">
        <f t="shared" si="69"/>
        <v/>
      </c>
      <c r="O415" s="214" t="str">
        <f t="shared" si="70"/>
        <v/>
      </c>
      <c r="P415" s="109"/>
      <c r="Q415" s="213" t="str">
        <f>IF($F415="","",IFERROR(IF(P415&gt;0,'פרמטרים לקריטריונים'!$C$25*P415*O415,$AG$2),""))</f>
        <v/>
      </c>
      <c r="R415" s="213" t="str">
        <f>IF($F415="","",IFERROR('פרמטרים לקריטריונים'!$C$26*Q415,""))</f>
        <v/>
      </c>
      <c r="S415" s="214" t="str">
        <f t="shared" si="71"/>
        <v/>
      </c>
      <c r="T415" s="213" t="str">
        <f t="shared" si="72"/>
        <v/>
      </c>
      <c r="U415" s="213" t="str">
        <f>IF($F415="","",'הזנה לתנאי סף'!N415)</f>
        <v/>
      </c>
      <c r="V415" s="213" t="str">
        <f>IF($F415="","",'הזנה לתנאי סף'!O415)</f>
        <v/>
      </c>
      <c r="W415" s="109"/>
      <c r="X415" s="109"/>
      <c r="Y415" s="109"/>
      <c r="Z415" s="214" t="str">
        <f t="shared" si="73"/>
        <v/>
      </c>
      <c r="AA415" s="213" t="str">
        <f>IF(OR($F415="",V415=0),"",IF(V415=1,IF(COUNTBLANK(W415:X415)&gt;0,$AG$2,IF(OR(Z415&lt;='פרמטרים לקריטריונים'!$C$27,X415&gt;W415),"",X415-W415))))</f>
        <v/>
      </c>
      <c r="AB415" s="214" t="str">
        <f t="shared" si="74"/>
        <v/>
      </c>
      <c r="AC415" s="225" t="str">
        <f>IF(OR(AB415="",U415=1),"",IF(OR(COUNTBLANK(W415:Y415)&gt;0,AB415&gt;='פרמטרים לקריטריונים'!$E$54),'פרמטרים לקריטריונים'!$F$54,INDEX('פרמטרים לקריטריונים'!$F$49:$F$54,MATCH(AB415,'פרמטרים לקריטריונים'!$E$49:$E$54,1))))</f>
        <v/>
      </c>
      <c r="AD415" s="213" t="str">
        <f t="shared" si="75"/>
        <v/>
      </c>
      <c r="AE415" s="213" t="str">
        <f t="shared" si="76"/>
        <v/>
      </c>
      <c r="AG415" s="175">
        <f t="shared" si="77"/>
        <v>0</v>
      </c>
    </row>
    <row r="416" spans="1:33" ht="15.75" x14ac:dyDescent="0.2">
      <c r="A416" s="206" t="str">
        <f t="shared" si="67"/>
        <v/>
      </c>
      <c r="B416" s="88" t="str">
        <f>IF($F416="","",'הזנה לתנאי סף'!C416)</f>
        <v/>
      </c>
      <c r="C416" s="88" t="str">
        <f>IF($F416="","",'הזנה לתנאי סף'!D416)</f>
        <v/>
      </c>
      <c r="D416" s="88" t="str">
        <f>IF($F416="","",'הזנה לתנאי סף'!E416)</f>
        <v/>
      </c>
      <c r="E416" s="88" t="str">
        <f>IF($F416="","",'הזנה לתנאי סף'!F416)</f>
        <v/>
      </c>
      <c r="F416" s="88" t="str">
        <f>IF(OR('הזנה לתנאי סף'!G416="",'הזנה לתנאי סף'!BL416&lt;&gt;1),"",'הזנה לתנאי סף'!G416)</f>
        <v/>
      </c>
      <c r="G416" s="88" t="str">
        <f>IF($F416="","",'הזנה לתנאי סף'!H416)</f>
        <v/>
      </c>
      <c r="H416" s="88" t="str">
        <f>IF($F416="","",'הזנה לתנאי סף'!I416)</f>
        <v/>
      </c>
      <c r="I416" s="109"/>
      <c r="J416" s="213" t="str">
        <f>IF($F416="","",'הזנה לתנאי סף'!S416)</f>
        <v/>
      </c>
      <c r="K416" s="109"/>
      <c r="L416" s="213" t="str">
        <f t="shared" si="68"/>
        <v/>
      </c>
      <c r="M416" s="213" t="str">
        <f>IF($F416="","",IF(L416='הזנה לתנאי סף'!R416,1,0))</f>
        <v/>
      </c>
      <c r="N416" s="214" t="str">
        <f t="shared" si="69"/>
        <v/>
      </c>
      <c r="O416" s="214" t="str">
        <f t="shared" si="70"/>
        <v/>
      </c>
      <c r="P416" s="109"/>
      <c r="Q416" s="213" t="str">
        <f>IF($F416="","",IFERROR(IF(P416&gt;0,'פרמטרים לקריטריונים'!$C$25*P416*O416,$AG$2),""))</f>
        <v/>
      </c>
      <c r="R416" s="213" t="str">
        <f>IF($F416="","",IFERROR('פרמטרים לקריטריונים'!$C$26*Q416,""))</f>
        <v/>
      </c>
      <c r="S416" s="214" t="str">
        <f t="shared" si="71"/>
        <v/>
      </c>
      <c r="T416" s="213" t="str">
        <f t="shared" si="72"/>
        <v/>
      </c>
      <c r="U416" s="213" t="str">
        <f>IF($F416="","",'הזנה לתנאי סף'!N416)</f>
        <v/>
      </c>
      <c r="V416" s="213" t="str">
        <f>IF($F416="","",'הזנה לתנאי סף'!O416)</f>
        <v/>
      </c>
      <c r="W416" s="109"/>
      <c r="X416" s="109"/>
      <c r="Y416" s="109"/>
      <c r="Z416" s="214" t="str">
        <f t="shared" si="73"/>
        <v/>
      </c>
      <c r="AA416" s="213" t="str">
        <f>IF(OR($F416="",V416=0),"",IF(V416=1,IF(COUNTBLANK(W416:X416)&gt;0,$AG$2,IF(OR(Z416&lt;='פרמטרים לקריטריונים'!$C$27,X416&gt;W416),"",X416-W416))))</f>
        <v/>
      </c>
      <c r="AB416" s="214" t="str">
        <f t="shared" si="74"/>
        <v/>
      </c>
      <c r="AC416" s="225" t="str">
        <f>IF(OR(AB416="",U416=1),"",IF(OR(COUNTBLANK(W416:Y416)&gt;0,AB416&gt;='פרמטרים לקריטריונים'!$E$54),'פרמטרים לקריטריונים'!$F$54,INDEX('פרמטרים לקריטריונים'!$F$49:$F$54,MATCH(AB416,'פרמטרים לקריטריונים'!$E$49:$E$54,1))))</f>
        <v/>
      </c>
      <c r="AD416" s="213" t="str">
        <f t="shared" si="75"/>
        <v/>
      </c>
      <c r="AE416" s="213" t="str">
        <f t="shared" si="76"/>
        <v/>
      </c>
      <c r="AG416" s="175">
        <f t="shared" si="77"/>
        <v>0</v>
      </c>
    </row>
    <row r="417" spans="1:33" ht="15.75" x14ac:dyDescent="0.2">
      <c r="A417" s="206" t="str">
        <f t="shared" si="67"/>
        <v/>
      </c>
      <c r="B417" s="88" t="str">
        <f>IF($F417="","",'הזנה לתנאי סף'!C417)</f>
        <v/>
      </c>
      <c r="C417" s="88" t="str">
        <f>IF($F417="","",'הזנה לתנאי סף'!D417)</f>
        <v/>
      </c>
      <c r="D417" s="88" t="str">
        <f>IF($F417="","",'הזנה לתנאי סף'!E417)</f>
        <v/>
      </c>
      <c r="E417" s="88" t="str">
        <f>IF($F417="","",'הזנה לתנאי סף'!F417)</f>
        <v/>
      </c>
      <c r="F417" s="88" t="str">
        <f>IF(OR('הזנה לתנאי סף'!G417="",'הזנה לתנאי סף'!BL417&lt;&gt;1),"",'הזנה לתנאי סף'!G417)</f>
        <v/>
      </c>
      <c r="G417" s="88" t="str">
        <f>IF($F417="","",'הזנה לתנאי סף'!H417)</f>
        <v/>
      </c>
      <c r="H417" s="88" t="str">
        <f>IF($F417="","",'הזנה לתנאי סף'!I417)</f>
        <v/>
      </c>
      <c r="I417" s="109"/>
      <c r="J417" s="213" t="str">
        <f>IF($F417="","",'הזנה לתנאי סף'!S417)</f>
        <v/>
      </c>
      <c r="K417" s="109"/>
      <c r="L417" s="213" t="str">
        <f t="shared" si="68"/>
        <v/>
      </c>
      <c r="M417" s="213" t="str">
        <f>IF($F417="","",IF(L417='הזנה לתנאי סף'!R417,1,0))</f>
        <v/>
      </c>
      <c r="N417" s="214" t="str">
        <f t="shared" si="69"/>
        <v/>
      </c>
      <c r="O417" s="214" t="str">
        <f t="shared" si="70"/>
        <v/>
      </c>
      <c r="P417" s="109"/>
      <c r="Q417" s="213" t="str">
        <f>IF($F417="","",IFERROR(IF(P417&gt;0,'פרמטרים לקריטריונים'!$C$25*P417*O417,$AG$2),""))</f>
        <v/>
      </c>
      <c r="R417" s="213" t="str">
        <f>IF($F417="","",IFERROR('פרמטרים לקריטריונים'!$C$26*Q417,""))</f>
        <v/>
      </c>
      <c r="S417" s="214" t="str">
        <f t="shared" si="71"/>
        <v/>
      </c>
      <c r="T417" s="213" t="str">
        <f t="shared" si="72"/>
        <v/>
      </c>
      <c r="U417" s="213" t="str">
        <f>IF($F417="","",'הזנה לתנאי סף'!N417)</f>
        <v/>
      </c>
      <c r="V417" s="213" t="str">
        <f>IF($F417="","",'הזנה לתנאי סף'!O417)</f>
        <v/>
      </c>
      <c r="W417" s="109"/>
      <c r="X417" s="109"/>
      <c r="Y417" s="109"/>
      <c r="Z417" s="214" t="str">
        <f t="shared" si="73"/>
        <v/>
      </c>
      <c r="AA417" s="213" t="str">
        <f>IF(OR($F417="",V417=0),"",IF(V417=1,IF(COUNTBLANK(W417:X417)&gt;0,$AG$2,IF(OR(Z417&lt;='פרמטרים לקריטריונים'!$C$27,X417&gt;W417),"",X417-W417))))</f>
        <v/>
      </c>
      <c r="AB417" s="214" t="str">
        <f t="shared" si="74"/>
        <v/>
      </c>
      <c r="AC417" s="225" t="str">
        <f>IF(OR(AB417="",U417=1),"",IF(OR(COUNTBLANK(W417:Y417)&gt;0,AB417&gt;='פרמטרים לקריטריונים'!$E$54),'פרמטרים לקריטריונים'!$F$54,INDEX('פרמטרים לקריטריונים'!$F$49:$F$54,MATCH(AB417,'פרמטרים לקריטריונים'!$E$49:$E$54,1))))</f>
        <v/>
      </c>
      <c r="AD417" s="213" t="str">
        <f t="shared" si="75"/>
        <v/>
      </c>
      <c r="AE417" s="213" t="str">
        <f t="shared" si="76"/>
        <v/>
      </c>
      <c r="AG417" s="175">
        <f t="shared" si="77"/>
        <v>0</v>
      </c>
    </row>
    <row r="418" spans="1:33" ht="15.75" x14ac:dyDescent="0.2">
      <c r="A418" s="206" t="str">
        <f t="shared" si="67"/>
        <v/>
      </c>
      <c r="B418" s="88" t="str">
        <f>IF($F418="","",'הזנה לתנאי סף'!C418)</f>
        <v/>
      </c>
      <c r="C418" s="88" t="str">
        <f>IF($F418="","",'הזנה לתנאי סף'!D418)</f>
        <v/>
      </c>
      <c r="D418" s="88" t="str">
        <f>IF($F418="","",'הזנה לתנאי סף'!E418)</f>
        <v/>
      </c>
      <c r="E418" s="88" t="str">
        <f>IF($F418="","",'הזנה לתנאי סף'!F418)</f>
        <v/>
      </c>
      <c r="F418" s="88" t="str">
        <f>IF(OR('הזנה לתנאי סף'!G418="",'הזנה לתנאי סף'!BL418&lt;&gt;1),"",'הזנה לתנאי סף'!G418)</f>
        <v/>
      </c>
      <c r="G418" s="88" t="str">
        <f>IF($F418="","",'הזנה לתנאי סף'!H418)</f>
        <v/>
      </c>
      <c r="H418" s="88" t="str">
        <f>IF($F418="","",'הזנה לתנאי סף'!I418)</f>
        <v/>
      </c>
      <c r="I418" s="109"/>
      <c r="J418" s="213" t="str">
        <f>IF($F418="","",'הזנה לתנאי סף'!S418)</f>
        <v/>
      </c>
      <c r="K418" s="109"/>
      <c r="L418" s="213" t="str">
        <f t="shared" si="68"/>
        <v/>
      </c>
      <c r="M418" s="213" t="str">
        <f>IF($F418="","",IF(L418='הזנה לתנאי סף'!R418,1,0))</f>
        <v/>
      </c>
      <c r="N418" s="214" t="str">
        <f t="shared" si="69"/>
        <v/>
      </c>
      <c r="O418" s="214" t="str">
        <f t="shared" si="70"/>
        <v/>
      </c>
      <c r="P418" s="109"/>
      <c r="Q418" s="213" t="str">
        <f>IF($F418="","",IFERROR(IF(P418&gt;0,'פרמטרים לקריטריונים'!$C$25*P418*O418,$AG$2),""))</f>
        <v/>
      </c>
      <c r="R418" s="213" t="str">
        <f>IF($F418="","",IFERROR('פרמטרים לקריטריונים'!$C$26*Q418,""))</f>
        <v/>
      </c>
      <c r="S418" s="214" t="str">
        <f t="shared" si="71"/>
        <v/>
      </c>
      <c r="T418" s="213" t="str">
        <f t="shared" si="72"/>
        <v/>
      </c>
      <c r="U418" s="213" t="str">
        <f>IF($F418="","",'הזנה לתנאי סף'!N418)</f>
        <v/>
      </c>
      <c r="V418" s="213" t="str">
        <f>IF($F418="","",'הזנה לתנאי סף'!O418)</f>
        <v/>
      </c>
      <c r="W418" s="109"/>
      <c r="X418" s="109"/>
      <c r="Y418" s="109"/>
      <c r="Z418" s="214" t="str">
        <f t="shared" si="73"/>
        <v/>
      </c>
      <c r="AA418" s="213" t="str">
        <f>IF(OR($F418="",V418=0),"",IF(V418=1,IF(COUNTBLANK(W418:X418)&gt;0,$AG$2,IF(OR(Z418&lt;='פרמטרים לקריטריונים'!$C$27,X418&gt;W418),"",X418-W418))))</f>
        <v/>
      </c>
      <c r="AB418" s="214" t="str">
        <f t="shared" si="74"/>
        <v/>
      </c>
      <c r="AC418" s="225" t="str">
        <f>IF(OR(AB418="",U418=1),"",IF(OR(COUNTBLANK(W418:Y418)&gt;0,AB418&gt;='פרמטרים לקריטריונים'!$E$54),'פרמטרים לקריטריונים'!$F$54,INDEX('פרמטרים לקריטריונים'!$F$49:$F$54,MATCH(AB418,'פרמטרים לקריטריונים'!$E$49:$E$54,1))))</f>
        <v/>
      </c>
      <c r="AD418" s="213" t="str">
        <f t="shared" si="75"/>
        <v/>
      </c>
      <c r="AE418" s="213" t="str">
        <f t="shared" si="76"/>
        <v/>
      </c>
      <c r="AG418" s="175">
        <f t="shared" si="77"/>
        <v>0</v>
      </c>
    </row>
    <row r="419" spans="1:33" ht="15.75" x14ac:dyDescent="0.2">
      <c r="A419" s="206" t="str">
        <f t="shared" si="67"/>
        <v/>
      </c>
      <c r="B419" s="88" t="str">
        <f>IF($F419="","",'הזנה לתנאי סף'!C419)</f>
        <v/>
      </c>
      <c r="C419" s="88" t="str">
        <f>IF($F419="","",'הזנה לתנאי סף'!D419)</f>
        <v/>
      </c>
      <c r="D419" s="88" t="str">
        <f>IF($F419="","",'הזנה לתנאי סף'!E419)</f>
        <v/>
      </c>
      <c r="E419" s="88" t="str">
        <f>IF($F419="","",'הזנה לתנאי סף'!F419)</f>
        <v/>
      </c>
      <c r="F419" s="88" t="str">
        <f>IF(OR('הזנה לתנאי סף'!G419="",'הזנה לתנאי סף'!BL419&lt;&gt;1),"",'הזנה לתנאי סף'!G419)</f>
        <v/>
      </c>
      <c r="G419" s="88" t="str">
        <f>IF($F419="","",'הזנה לתנאי סף'!H419)</f>
        <v/>
      </c>
      <c r="H419" s="88" t="str">
        <f>IF($F419="","",'הזנה לתנאי סף'!I419)</f>
        <v/>
      </c>
      <c r="I419" s="109"/>
      <c r="J419" s="213" t="str">
        <f>IF($F419="","",'הזנה לתנאי סף'!S419)</f>
        <v/>
      </c>
      <c r="K419" s="109"/>
      <c r="L419" s="213" t="str">
        <f t="shared" si="68"/>
        <v/>
      </c>
      <c r="M419" s="213" t="str">
        <f>IF($F419="","",IF(L419='הזנה לתנאי סף'!R419,1,0))</f>
        <v/>
      </c>
      <c r="N419" s="214" t="str">
        <f t="shared" si="69"/>
        <v/>
      </c>
      <c r="O419" s="214" t="str">
        <f t="shared" si="70"/>
        <v/>
      </c>
      <c r="P419" s="109"/>
      <c r="Q419" s="213" t="str">
        <f>IF($F419="","",IFERROR(IF(P419&gt;0,'פרמטרים לקריטריונים'!$C$25*P419*O419,$AG$2),""))</f>
        <v/>
      </c>
      <c r="R419" s="213" t="str">
        <f>IF($F419="","",IFERROR('פרמטרים לקריטריונים'!$C$26*Q419,""))</f>
        <v/>
      </c>
      <c r="S419" s="214" t="str">
        <f t="shared" si="71"/>
        <v/>
      </c>
      <c r="T419" s="213" t="str">
        <f t="shared" si="72"/>
        <v/>
      </c>
      <c r="U419" s="213" t="str">
        <f>IF($F419="","",'הזנה לתנאי סף'!N419)</f>
        <v/>
      </c>
      <c r="V419" s="213" t="str">
        <f>IF($F419="","",'הזנה לתנאי סף'!O419)</f>
        <v/>
      </c>
      <c r="W419" s="109"/>
      <c r="X419" s="109"/>
      <c r="Y419" s="109"/>
      <c r="Z419" s="214" t="str">
        <f t="shared" si="73"/>
        <v/>
      </c>
      <c r="AA419" s="213" t="str">
        <f>IF(OR($F419="",V419=0),"",IF(V419=1,IF(COUNTBLANK(W419:X419)&gt;0,$AG$2,IF(OR(Z419&lt;='פרמטרים לקריטריונים'!$C$27,X419&gt;W419),"",X419-W419))))</f>
        <v/>
      </c>
      <c r="AB419" s="214" t="str">
        <f t="shared" si="74"/>
        <v/>
      </c>
      <c r="AC419" s="225" t="str">
        <f>IF(OR(AB419="",U419=1),"",IF(OR(COUNTBLANK(W419:Y419)&gt;0,AB419&gt;='פרמטרים לקריטריונים'!$E$54),'פרמטרים לקריטריונים'!$F$54,INDEX('פרמטרים לקריטריונים'!$F$49:$F$54,MATCH(AB419,'פרמטרים לקריטריונים'!$E$49:$E$54,1))))</f>
        <v/>
      </c>
      <c r="AD419" s="213" t="str">
        <f t="shared" si="75"/>
        <v/>
      </c>
      <c r="AE419" s="213" t="str">
        <f t="shared" si="76"/>
        <v/>
      </c>
      <c r="AG419" s="175">
        <f t="shared" si="77"/>
        <v>0</v>
      </c>
    </row>
    <row r="420" spans="1:33" ht="15.75" x14ac:dyDescent="0.2">
      <c r="A420" s="206" t="str">
        <f t="shared" si="67"/>
        <v/>
      </c>
      <c r="B420" s="88" t="str">
        <f>IF($F420="","",'הזנה לתנאי סף'!C420)</f>
        <v/>
      </c>
      <c r="C420" s="88" t="str">
        <f>IF($F420="","",'הזנה לתנאי סף'!D420)</f>
        <v/>
      </c>
      <c r="D420" s="88" t="str">
        <f>IF($F420="","",'הזנה לתנאי סף'!E420)</f>
        <v/>
      </c>
      <c r="E420" s="88" t="str">
        <f>IF($F420="","",'הזנה לתנאי סף'!F420)</f>
        <v/>
      </c>
      <c r="F420" s="88" t="str">
        <f>IF(OR('הזנה לתנאי סף'!G420="",'הזנה לתנאי סף'!BL420&lt;&gt;1),"",'הזנה לתנאי סף'!G420)</f>
        <v/>
      </c>
      <c r="G420" s="88" t="str">
        <f>IF($F420="","",'הזנה לתנאי סף'!H420)</f>
        <v/>
      </c>
      <c r="H420" s="88" t="str">
        <f>IF($F420="","",'הזנה לתנאי סף'!I420)</f>
        <v/>
      </c>
      <c r="I420" s="109"/>
      <c r="J420" s="213" t="str">
        <f>IF($F420="","",'הזנה לתנאי סף'!S420)</f>
        <v/>
      </c>
      <c r="K420" s="109"/>
      <c r="L420" s="213" t="str">
        <f t="shared" si="68"/>
        <v/>
      </c>
      <c r="M420" s="213" t="str">
        <f>IF($F420="","",IF(L420='הזנה לתנאי סף'!R420,1,0))</f>
        <v/>
      </c>
      <c r="N420" s="214" t="str">
        <f t="shared" si="69"/>
        <v/>
      </c>
      <c r="O420" s="214" t="str">
        <f t="shared" si="70"/>
        <v/>
      </c>
      <c r="P420" s="109"/>
      <c r="Q420" s="213" t="str">
        <f>IF($F420="","",IFERROR(IF(P420&gt;0,'פרמטרים לקריטריונים'!$C$25*P420*O420,$AG$2),""))</f>
        <v/>
      </c>
      <c r="R420" s="213" t="str">
        <f>IF($F420="","",IFERROR('פרמטרים לקריטריונים'!$C$26*Q420,""))</f>
        <v/>
      </c>
      <c r="S420" s="214" t="str">
        <f t="shared" si="71"/>
        <v/>
      </c>
      <c r="T420" s="213" t="str">
        <f t="shared" si="72"/>
        <v/>
      </c>
      <c r="U420" s="213" t="str">
        <f>IF($F420="","",'הזנה לתנאי סף'!N420)</f>
        <v/>
      </c>
      <c r="V420" s="213" t="str">
        <f>IF($F420="","",'הזנה לתנאי סף'!O420)</f>
        <v/>
      </c>
      <c r="W420" s="109"/>
      <c r="X420" s="109"/>
      <c r="Y420" s="109"/>
      <c r="Z420" s="214" t="str">
        <f t="shared" si="73"/>
        <v/>
      </c>
      <c r="AA420" s="213" t="str">
        <f>IF(OR($F420="",V420=0),"",IF(V420=1,IF(COUNTBLANK(W420:X420)&gt;0,$AG$2,IF(OR(Z420&lt;='פרמטרים לקריטריונים'!$C$27,X420&gt;W420),"",X420-W420))))</f>
        <v/>
      </c>
      <c r="AB420" s="214" t="str">
        <f t="shared" si="74"/>
        <v/>
      </c>
      <c r="AC420" s="225" t="str">
        <f>IF(OR(AB420="",U420=1),"",IF(OR(COUNTBLANK(W420:Y420)&gt;0,AB420&gt;='פרמטרים לקריטריונים'!$E$54),'פרמטרים לקריטריונים'!$F$54,INDEX('פרמטרים לקריטריונים'!$F$49:$F$54,MATCH(AB420,'פרמטרים לקריטריונים'!$E$49:$E$54,1))))</f>
        <v/>
      </c>
      <c r="AD420" s="213" t="str">
        <f t="shared" si="75"/>
        <v/>
      </c>
      <c r="AE420" s="213" t="str">
        <f t="shared" si="76"/>
        <v/>
      </c>
      <c r="AG420" s="175">
        <f t="shared" si="77"/>
        <v>0</v>
      </c>
    </row>
    <row r="421" spans="1:33" ht="15.75" x14ac:dyDescent="0.2">
      <c r="A421" s="206" t="str">
        <f t="shared" si="67"/>
        <v/>
      </c>
      <c r="B421" s="88" t="str">
        <f>IF($F421="","",'הזנה לתנאי סף'!C421)</f>
        <v/>
      </c>
      <c r="C421" s="88" t="str">
        <f>IF($F421="","",'הזנה לתנאי סף'!D421)</f>
        <v/>
      </c>
      <c r="D421" s="88" t="str">
        <f>IF($F421="","",'הזנה לתנאי סף'!E421)</f>
        <v/>
      </c>
      <c r="E421" s="88" t="str">
        <f>IF($F421="","",'הזנה לתנאי סף'!F421)</f>
        <v/>
      </c>
      <c r="F421" s="88" t="str">
        <f>IF(OR('הזנה לתנאי סף'!G421="",'הזנה לתנאי סף'!BL421&lt;&gt;1),"",'הזנה לתנאי סף'!G421)</f>
        <v/>
      </c>
      <c r="G421" s="88" t="str">
        <f>IF($F421="","",'הזנה לתנאי סף'!H421)</f>
        <v/>
      </c>
      <c r="H421" s="88" t="str">
        <f>IF($F421="","",'הזנה לתנאי סף'!I421)</f>
        <v/>
      </c>
      <c r="I421" s="109"/>
      <c r="J421" s="213" t="str">
        <f>IF($F421="","",'הזנה לתנאי סף'!S421)</f>
        <v/>
      </c>
      <c r="K421" s="109"/>
      <c r="L421" s="213" t="str">
        <f t="shared" si="68"/>
        <v/>
      </c>
      <c r="M421" s="213" t="str">
        <f>IF($F421="","",IF(L421='הזנה לתנאי סף'!R421,1,0))</f>
        <v/>
      </c>
      <c r="N421" s="214" t="str">
        <f t="shared" si="69"/>
        <v/>
      </c>
      <c r="O421" s="214" t="str">
        <f t="shared" si="70"/>
        <v/>
      </c>
      <c r="P421" s="109"/>
      <c r="Q421" s="213" t="str">
        <f>IF($F421="","",IFERROR(IF(P421&gt;0,'פרמטרים לקריטריונים'!$C$25*P421*O421,$AG$2),""))</f>
        <v/>
      </c>
      <c r="R421" s="213" t="str">
        <f>IF($F421="","",IFERROR('פרמטרים לקריטריונים'!$C$26*Q421,""))</f>
        <v/>
      </c>
      <c r="S421" s="214" t="str">
        <f t="shared" si="71"/>
        <v/>
      </c>
      <c r="T421" s="213" t="str">
        <f t="shared" si="72"/>
        <v/>
      </c>
      <c r="U421" s="213" t="str">
        <f>IF($F421="","",'הזנה לתנאי סף'!N421)</f>
        <v/>
      </c>
      <c r="V421" s="213" t="str">
        <f>IF($F421="","",'הזנה לתנאי סף'!O421)</f>
        <v/>
      </c>
      <c r="W421" s="109"/>
      <c r="X421" s="109"/>
      <c r="Y421" s="109"/>
      <c r="Z421" s="214" t="str">
        <f t="shared" si="73"/>
        <v/>
      </c>
      <c r="AA421" s="213" t="str">
        <f>IF(OR($F421="",V421=0),"",IF(V421=1,IF(COUNTBLANK(W421:X421)&gt;0,$AG$2,IF(OR(Z421&lt;='פרמטרים לקריטריונים'!$C$27,X421&gt;W421),"",X421-W421))))</f>
        <v/>
      </c>
      <c r="AB421" s="214" t="str">
        <f t="shared" si="74"/>
        <v/>
      </c>
      <c r="AC421" s="225" t="str">
        <f>IF(OR(AB421="",U421=1),"",IF(OR(COUNTBLANK(W421:Y421)&gt;0,AB421&gt;='פרמטרים לקריטריונים'!$E$54),'פרמטרים לקריטריונים'!$F$54,INDEX('פרמטרים לקריטריונים'!$F$49:$F$54,MATCH(AB421,'פרמטרים לקריטריונים'!$E$49:$E$54,1))))</f>
        <v/>
      </c>
      <c r="AD421" s="213" t="str">
        <f t="shared" si="75"/>
        <v/>
      </c>
      <c r="AE421" s="213" t="str">
        <f t="shared" si="76"/>
        <v/>
      </c>
      <c r="AG421" s="175">
        <f t="shared" si="77"/>
        <v>0</v>
      </c>
    </row>
    <row r="422" spans="1:33" ht="15.75" x14ac:dyDescent="0.2">
      <c r="A422" s="206" t="str">
        <f t="shared" si="67"/>
        <v/>
      </c>
      <c r="B422" s="88" t="str">
        <f>IF($F422="","",'הזנה לתנאי סף'!C422)</f>
        <v/>
      </c>
      <c r="C422" s="88" t="str">
        <f>IF($F422="","",'הזנה לתנאי סף'!D422)</f>
        <v/>
      </c>
      <c r="D422" s="88" t="str">
        <f>IF($F422="","",'הזנה לתנאי סף'!E422)</f>
        <v/>
      </c>
      <c r="E422" s="88" t="str">
        <f>IF($F422="","",'הזנה לתנאי סף'!F422)</f>
        <v/>
      </c>
      <c r="F422" s="88" t="str">
        <f>IF(OR('הזנה לתנאי סף'!G422="",'הזנה לתנאי סף'!BL422&lt;&gt;1),"",'הזנה לתנאי סף'!G422)</f>
        <v/>
      </c>
      <c r="G422" s="88" t="str">
        <f>IF($F422="","",'הזנה לתנאי סף'!H422)</f>
        <v/>
      </c>
      <c r="H422" s="88" t="str">
        <f>IF($F422="","",'הזנה לתנאי סף'!I422)</f>
        <v/>
      </c>
      <c r="I422" s="109"/>
      <c r="J422" s="213" t="str">
        <f>IF($F422="","",'הזנה לתנאי סף'!S422)</f>
        <v/>
      </c>
      <c r="K422" s="109"/>
      <c r="L422" s="213" t="str">
        <f t="shared" si="68"/>
        <v/>
      </c>
      <c r="M422" s="213" t="str">
        <f>IF($F422="","",IF(L422='הזנה לתנאי סף'!R422,1,0))</f>
        <v/>
      </c>
      <c r="N422" s="214" t="str">
        <f t="shared" si="69"/>
        <v/>
      </c>
      <c r="O422" s="214" t="str">
        <f t="shared" si="70"/>
        <v/>
      </c>
      <c r="P422" s="109"/>
      <c r="Q422" s="213" t="str">
        <f>IF($F422="","",IFERROR(IF(P422&gt;0,'פרמטרים לקריטריונים'!$C$25*P422*O422,$AG$2),""))</f>
        <v/>
      </c>
      <c r="R422" s="213" t="str">
        <f>IF($F422="","",IFERROR('פרמטרים לקריטריונים'!$C$26*Q422,""))</f>
        <v/>
      </c>
      <c r="S422" s="214" t="str">
        <f t="shared" si="71"/>
        <v/>
      </c>
      <c r="T422" s="213" t="str">
        <f t="shared" si="72"/>
        <v/>
      </c>
      <c r="U422" s="213" t="str">
        <f>IF($F422="","",'הזנה לתנאי סף'!N422)</f>
        <v/>
      </c>
      <c r="V422" s="213" t="str">
        <f>IF($F422="","",'הזנה לתנאי סף'!O422)</f>
        <v/>
      </c>
      <c r="W422" s="109"/>
      <c r="X422" s="109"/>
      <c r="Y422" s="109"/>
      <c r="Z422" s="214" t="str">
        <f t="shared" si="73"/>
        <v/>
      </c>
      <c r="AA422" s="213" t="str">
        <f>IF(OR($F422="",V422=0),"",IF(V422=1,IF(COUNTBLANK(W422:X422)&gt;0,$AG$2,IF(OR(Z422&lt;='פרמטרים לקריטריונים'!$C$27,X422&gt;W422),"",X422-W422))))</f>
        <v/>
      </c>
      <c r="AB422" s="214" t="str">
        <f t="shared" si="74"/>
        <v/>
      </c>
      <c r="AC422" s="225" t="str">
        <f>IF(OR(AB422="",U422=1),"",IF(OR(COUNTBLANK(W422:Y422)&gt;0,AB422&gt;='פרמטרים לקריטריונים'!$E$54),'פרמטרים לקריטריונים'!$F$54,INDEX('פרמטרים לקריטריונים'!$F$49:$F$54,MATCH(AB422,'פרמטרים לקריטריונים'!$E$49:$E$54,1))))</f>
        <v/>
      </c>
      <c r="AD422" s="213" t="str">
        <f t="shared" si="75"/>
        <v/>
      </c>
      <c r="AE422" s="213" t="str">
        <f t="shared" si="76"/>
        <v/>
      </c>
      <c r="AG422" s="175">
        <f t="shared" si="77"/>
        <v>0</v>
      </c>
    </row>
    <row r="423" spans="1:33" ht="15.75" x14ac:dyDescent="0.2">
      <c r="A423" s="206" t="str">
        <f t="shared" si="67"/>
        <v/>
      </c>
      <c r="B423" s="88" t="str">
        <f>IF($F423="","",'הזנה לתנאי סף'!C423)</f>
        <v/>
      </c>
      <c r="C423" s="88" t="str">
        <f>IF($F423="","",'הזנה לתנאי סף'!D423)</f>
        <v/>
      </c>
      <c r="D423" s="88" t="str">
        <f>IF($F423="","",'הזנה לתנאי סף'!E423)</f>
        <v/>
      </c>
      <c r="E423" s="88" t="str">
        <f>IF($F423="","",'הזנה לתנאי סף'!F423)</f>
        <v/>
      </c>
      <c r="F423" s="88" t="str">
        <f>IF(OR('הזנה לתנאי סף'!G423="",'הזנה לתנאי סף'!BL423&lt;&gt;1),"",'הזנה לתנאי סף'!G423)</f>
        <v/>
      </c>
      <c r="G423" s="88" t="str">
        <f>IF($F423="","",'הזנה לתנאי סף'!H423)</f>
        <v/>
      </c>
      <c r="H423" s="88" t="str">
        <f>IF($F423="","",'הזנה לתנאי סף'!I423)</f>
        <v/>
      </c>
      <c r="I423" s="109"/>
      <c r="J423" s="213" t="str">
        <f>IF($F423="","",'הזנה לתנאי סף'!S423)</f>
        <v/>
      </c>
      <c r="K423" s="109"/>
      <c r="L423" s="213" t="str">
        <f t="shared" si="68"/>
        <v/>
      </c>
      <c r="M423" s="213" t="str">
        <f>IF($F423="","",IF(L423='הזנה לתנאי סף'!R423,1,0))</f>
        <v/>
      </c>
      <c r="N423" s="214" t="str">
        <f t="shared" si="69"/>
        <v/>
      </c>
      <c r="O423" s="214" t="str">
        <f t="shared" si="70"/>
        <v/>
      </c>
      <c r="P423" s="109"/>
      <c r="Q423" s="213" t="str">
        <f>IF($F423="","",IFERROR(IF(P423&gt;0,'פרמטרים לקריטריונים'!$C$25*P423*O423,$AG$2),""))</f>
        <v/>
      </c>
      <c r="R423" s="213" t="str">
        <f>IF($F423="","",IFERROR('פרמטרים לקריטריונים'!$C$26*Q423,""))</f>
        <v/>
      </c>
      <c r="S423" s="214" t="str">
        <f t="shared" si="71"/>
        <v/>
      </c>
      <c r="T423" s="213" t="str">
        <f t="shared" si="72"/>
        <v/>
      </c>
      <c r="U423" s="213" t="str">
        <f>IF($F423="","",'הזנה לתנאי סף'!N423)</f>
        <v/>
      </c>
      <c r="V423" s="213" t="str">
        <f>IF($F423="","",'הזנה לתנאי סף'!O423)</f>
        <v/>
      </c>
      <c r="W423" s="109"/>
      <c r="X423" s="109"/>
      <c r="Y423" s="109"/>
      <c r="Z423" s="214" t="str">
        <f t="shared" si="73"/>
        <v/>
      </c>
      <c r="AA423" s="213" t="str">
        <f>IF(OR($F423="",V423=0),"",IF(V423=1,IF(COUNTBLANK(W423:X423)&gt;0,$AG$2,IF(OR(Z423&lt;='פרמטרים לקריטריונים'!$C$27,X423&gt;W423),"",X423-W423))))</f>
        <v/>
      </c>
      <c r="AB423" s="214" t="str">
        <f t="shared" si="74"/>
        <v/>
      </c>
      <c r="AC423" s="225" t="str">
        <f>IF(OR(AB423="",U423=1),"",IF(OR(COUNTBLANK(W423:Y423)&gt;0,AB423&gt;='פרמטרים לקריטריונים'!$E$54),'פרמטרים לקריטריונים'!$F$54,INDEX('פרמטרים לקריטריונים'!$F$49:$F$54,MATCH(AB423,'פרמטרים לקריטריונים'!$E$49:$E$54,1))))</f>
        <v/>
      </c>
      <c r="AD423" s="213" t="str">
        <f t="shared" si="75"/>
        <v/>
      </c>
      <c r="AE423" s="213" t="str">
        <f t="shared" si="76"/>
        <v/>
      </c>
      <c r="AG423" s="175">
        <f t="shared" si="77"/>
        <v>0</v>
      </c>
    </row>
    <row r="424" spans="1:33" ht="15.75" x14ac:dyDescent="0.2">
      <c r="A424" s="206" t="str">
        <f t="shared" si="67"/>
        <v/>
      </c>
      <c r="B424" s="88" t="str">
        <f>IF($F424="","",'הזנה לתנאי סף'!C424)</f>
        <v/>
      </c>
      <c r="C424" s="88" t="str">
        <f>IF($F424="","",'הזנה לתנאי סף'!D424)</f>
        <v/>
      </c>
      <c r="D424" s="88" t="str">
        <f>IF($F424="","",'הזנה לתנאי סף'!E424)</f>
        <v/>
      </c>
      <c r="E424" s="88" t="str">
        <f>IF($F424="","",'הזנה לתנאי סף'!F424)</f>
        <v/>
      </c>
      <c r="F424" s="88" t="str">
        <f>IF(OR('הזנה לתנאי סף'!G424="",'הזנה לתנאי סף'!BL424&lt;&gt;1),"",'הזנה לתנאי סף'!G424)</f>
        <v/>
      </c>
      <c r="G424" s="88" t="str">
        <f>IF($F424="","",'הזנה לתנאי סף'!H424)</f>
        <v/>
      </c>
      <c r="H424" s="88" t="str">
        <f>IF($F424="","",'הזנה לתנאי סף'!I424)</f>
        <v/>
      </c>
      <c r="I424" s="109"/>
      <c r="J424" s="213" t="str">
        <f>IF($F424="","",'הזנה לתנאי סף'!S424)</f>
        <v/>
      </c>
      <c r="K424" s="109"/>
      <c r="L424" s="213" t="str">
        <f t="shared" si="68"/>
        <v/>
      </c>
      <c r="M424" s="213" t="str">
        <f>IF($F424="","",IF(L424='הזנה לתנאי סף'!R424,1,0))</f>
        <v/>
      </c>
      <c r="N424" s="214" t="str">
        <f t="shared" si="69"/>
        <v/>
      </c>
      <c r="O424" s="214" t="str">
        <f t="shared" si="70"/>
        <v/>
      </c>
      <c r="P424" s="109"/>
      <c r="Q424" s="213" t="str">
        <f>IF($F424="","",IFERROR(IF(P424&gt;0,'פרמטרים לקריטריונים'!$C$25*P424*O424,$AG$2),""))</f>
        <v/>
      </c>
      <c r="R424" s="213" t="str">
        <f>IF($F424="","",IFERROR('פרמטרים לקריטריונים'!$C$26*Q424,""))</f>
        <v/>
      </c>
      <c r="S424" s="214" t="str">
        <f t="shared" si="71"/>
        <v/>
      </c>
      <c r="T424" s="213" t="str">
        <f t="shared" si="72"/>
        <v/>
      </c>
      <c r="U424" s="213" t="str">
        <f>IF($F424="","",'הזנה לתנאי סף'!N424)</f>
        <v/>
      </c>
      <c r="V424" s="213" t="str">
        <f>IF($F424="","",'הזנה לתנאי סף'!O424)</f>
        <v/>
      </c>
      <c r="W424" s="109"/>
      <c r="X424" s="109"/>
      <c r="Y424" s="109"/>
      <c r="Z424" s="214" t="str">
        <f t="shared" si="73"/>
        <v/>
      </c>
      <c r="AA424" s="213" t="str">
        <f>IF(OR($F424="",V424=0),"",IF(V424=1,IF(COUNTBLANK(W424:X424)&gt;0,$AG$2,IF(OR(Z424&lt;='פרמטרים לקריטריונים'!$C$27,X424&gt;W424),"",X424-W424))))</f>
        <v/>
      </c>
      <c r="AB424" s="214" t="str">
        <f t="shared" si="74"/>
        <v/>
      </c>
      <c r="AC424" s="225" t="str">
        <f>IF(OR(AB424="",U424=1),"",IF(OR(COUNTBLANK(W424:Y424)&gt;0,AB424&gt;='פרמטרים לקריטריונים'!$E$54),'פרמטרים לקריטריונים'!$F$54,INDEX('פרמטרים לקריטריונים'!$F$49:$F$54,MATCH(AB424,'פרמטרים לקריטריונים'!$E$49:$E$54,1))))</f>
        <v/>
      </c>
      <c r="AD424" s="213" t="str">
        <f t="shared" si="75"/>
        <v/>
      </c>
      <c r="AE424" s="213" t="str">
        <f t="shared" si="76"/>
        <v/>
      </c>
      <c r="AG424" s="175">
        <f t="shared" si="77"/>
        <v>0</v>
      </c>
    </row>
    <row r="425" spans="1:33" ht="15.75" x14ac:dyDescent="0.2">
      <c r="A425" s="206" t="str">
        <f t="shared" si="67"/>
        <v/>
      </c>
      <c r="B425" s="88" t="str">
        <f>IF($F425="","",'הזנה לתנאי סף'!C425)</f>
        <v/>
      </c>
      <c r="C425" s="88" t="str">
        <f>IF($F425="","",'הזנה לתנאי סף'!D425)</f>
        <v/>
      </c>
      <c r="D425" s="88" t="str">
        <f>IF($F425="","",'הזנה לתנאי סף'!E425)</f>
        <v/>
      </c>
      <c r="E425" s="88" t="str">
        <f>IF($F425="","",'הזנה לתנאי סף'!F425)</f>
        <v/>
      </c>
      <c r="F425" s="88" t="str">
        <f>IF(OR('הזנה לתנאי סף'!G425="",'הזנה לתנאי סף'!BL425&lt;&gt;1),"",'הזנה לתנאי סף'!G425)</f>
        <v/>
      </c>
      <c r="G425" s="88" t="str">
        <f>IF($F425="","",'הזנה לתנאי סף'!H425)</f>
        <v/>
      </c>
      <c r="H425" s="88" t="str">
        <f>IF($F425="","",'הזנה לתנאי סף'!I425)</f>
        <v/>
      </c>
      <c r="I425" s="109"/>
      <c r="J425" s="213" t="str">
        <f>IF($F425="","",'הזנה לתנאי סף'!S425)</f>
        <v/>
      </c>
      <c r="K425" s="109"/>
      <c r="L425" s="213" t="str">
        <f t="shared" si="68"/>
        <v/>
      </c>
      <c r="M425" s="213" t="str">
        <f>IF($F425="","",IF(L425='הזנה לתנאי סף'!R425,1,0))</f>
        <v/>
      </c>
      <c r="N425" s="214" t="str">
        <f t="shared" si="69"/>
        <v/>
      </c>
      <c r="O425" s="214" t="str">
        <f t="shared" si="70"/>
        <v/>
      </c>
      <c r="P425" s="109"/>
      <c r="Q425" s="213" t="str">
        <f>IF($F425="","",IFERROR(IF(P425&gt;0,'פרמטרים לקריטריונים'!$C$25*P425*O425,$AG$2),""))</f>
        <v/>
      </c>
      <c r="R425" s="213" t="str">
        <f>IF($F425="","",IFERROR('פרמטרים לקריטריונים'!$C$26*Q425,""))</f>
        <v/>
      </c>
      <c r="S425" s="214" t="str">
        <f t="shared" si="71"/>
        <v/>
      </c>
      <c r="T425" s="213" t="str">
        <f t="shared" si="72"/>
        <v/>
      </c>
      <c r="U425" s="213" t="str">
        <f>IF($F425="","",'הזנה לתנאי סף'!N425)</f>
        <v/>
      </c>
      <c r="V425" s="213" t="str">
        <f>IF($F425="","",'הזנה לתנאי סף'!O425)</f>
        <v/>
      </c>
      <c r="W425" s="109"/>
      <c r="X425" s="109"/>
      <c r="Y425" s="109"/>
      <c r="Z425" s="214" t="str">
        <f t="shared" si="73"/>
        <v/>
      </c>
      <c r="AA425" s="213" t="str">
        <f>IF(OR($F425="",V425=0),"",IF(V425=1,IF(COUNTBLANK(W425:X425)&gt;0,$AG$2,IF(OR(Z425&lt;='פרמטרים לקריטריונים'!$C$27,X425&gt;W425),"",X425-W425))))</f>
        <v/>
      </c>
      <c r="AB425" s="214" t="str">
        <f t="shared" si="74"/>
        <v/>
      </c>
      <c r="AC425" s="225" t="str">
        <f>IF(OR(AB425="",U425=1),"",IF(OR(COUNTBLANK(W425:Y425)&gt;0,AB425&gt;='פרמטרים לקריטריונים'!$E$54),'פרמטרים לקריטריונים'!$F$54,INDEX('פרמטרים לקריטריונים'!$F$49:$F$54,MATCH(AB425,'פרמטרים לקריטריונים'!$E$49:$E$54,1))))</f>
        <v/>
      </c>
      <c r="AD425" s="213" t="str">
        <f t="shared" si="75"/>
        <v/>
      </c>
      <c r="AE425" s="213" t="str">
        <f t="shared" si="76"/>
        <v/>
      </c>
      <c r="AG425" s="175">
        <f t="shared" si="77"/>
        <v>0</v>
      </c>
    </row>
    <row r="426" spans="1:33" ht="15.75" x14ac:dyDescent="0.2">
      <c r="A426" s="206" t="str">
        <f t="shared" si="67"/>
        <v/>
      </c>
      <c r="B426" s="88" t="str">
        <f>IF($F426="","",'הזנה לתנאי סף'!C426)</f>
        <v/>
      </c>
      <c r="C426" s="88" t="str">
        <f>IF($F426="","",'הזנה לתנאי סף'!D426)</f>
        <v/>
      </c>
      <c r="D426" s="88" t="str">
        <f>IF($F426="","",'הזנה לתנאי סף'!E426)</f>
        <v/>
      </c>
      <c r="E426" s="88" t="str">
        <f>IF($F426="","",'הזנה לתנאי סף'!F426)</f>
        <v/>
      </c>
      <c r="F426" s="88" t="str">
        <f>IF(OR('הזנה לתנאי סף'!G426="",'הזנה לתנאי סף'!BL426&lt;&gt;1),"",'הזנה לתנאי סף'!G426)</f>
        <v/>
      </c>
      <c r="G426" s="88" t="str">
        <f>IF($F426="","",'הזנה לתנאי סף'!H426)</f>
        <v/>
      </c>
      <c r="H426" s="88" t="str">
        <f>IF($F426="","",'הזנה לתנאי סף'!I426)</f>
        <v/>
      </c>
      <c r="I426" s="109"/>
      <c r="J426" s="213" t="str">
        <f>IF($F426="","",'הזנה לתנאי סף'!S426)</f>
        <v/>
      </c>
      <c r="K426" s="109"/>
      <c r="L426" s="213" t="str">
        <f t="shared" si="68"/>
        <v/>
      </c>
      <c r="M426" s="213" t="str">
        <f>IF($F426="","",IF(L426='הזנה לתנאי סף'!R426,1,0))</f>
        <v/>
      </c>
      <c r="N426" s="214" t="str">
        <f t="shared" si="69"/>
        <v/>
      </c>
      <c r="O426" s="214" t="str">
        <f t="shared" si="70"/>
        <v/>
      </c>
      <c r="P426" s="109"/>
      <c r="Q426" s="213" t="str">
        <f>IF($F426="","",IFERROR(IF(P426&gt;0,'פרמטרים לקריטריונים'!$C$25*P426*O426,$AG$2),""))</f>
        <v/>
      </c>
      <c r="R426" s="213" t="str">
        <f>IF($F426="","",IFERROR('פרמטרים לקריטריונים'!$C$26*Q426,""))</f>
        <v/>
      </c>
      <c r="S426" s="214" t="str">
        <f t="shared" si="71"/>
        <v/>
      </c>
      <c r="T426" s="213" t="str">
        <f t="shared" si="72"/>
        <v/>
      </c>
      <c r="U426" s="213" t="str">
        <f>IF($F426="","",'הזנה לתנאי סף'!N426)</f>
        <v/>
      </c>
      <c r="V426" s="213" t="str">
        <f>IF($F426="","",'הזנה לתנאי סף'!O426)</f>
        <v/>
      </c>
      <c r="W426" s="109"/>
      <c r="X426" s="109"/>
      <c r="Y426" s="109"/>
      <c r="Z426" s="214" t="str">
        <f t="shared" si="73"/>
        <v/>
      </c>
      <c r="AA426" s="213" t="str">
        <f>IF(OR($F426="",V426=0),"",IF(V426=1,IF(COUNTBLANK(W426:X426)&gt;0,$AG$2,IF(OR(Z426&lt;='פרמטרים לקריטריונים'!$C$27,X426&gt;W426),"",X426-W426))))</f>
        <v/>
      </c>
      <c r="AB426" s="214" t="str">
        <f t="shared" si="74"/>
        <v/>
      </c>
      <c r="AC426" s="225" t="str">
        <f>IF(OR(AB426="",U426=1),"",IF(OR(COUNTBLANK(W426:Y426)&gt;0,AB426&gt;='פרמטרים לקריטריונים'!$E$54),'פרמטרים לקריטריונים'!$F$54,INDEX('פרמטרים לקריטריונים'!$F$49:$F$54,MATCH(AB426,'פרמטרים לקריטריונים'!$E$49:$E$54,1))))</f>
        <v/>
      </c>
      <c r="AD426" s="213" t="str">
        <f t="shared" si="75"/>
        <v/>
      </c>
      <c r="AE426" s="213" t="str">
        <f t="shared" si="76"/>
        <v/>
      </c>
      <c r="AG426" s="175">
        <f t="shared" si="77"/>
        <v>0</v>
      </c>
    </row>
    <row r="427" spans="1:33" ht="15.75" x14ac:dyDescent="0.2">
      <c r="A427" s="206" t="str">
        <f t="shared" si="67"/>
        <v/>
      </c>
      <c r="B427" s="88" t="str">
        <f>IF($F427="","",'הזנה לתנאי סף'!C427)</f>
        <v/>
      </c>
      <c r="C427" s="88" t="str">
        <f>IF($F427="","",'הזנה לתנאי סף'!D427)</f>
        <v/>
      </c>
      <c r="D427" s="88" t="str">
        <f>IF($F427="","",'הזנה לתנאי סף'!E427)</f>
        <v/>
      </c>
      <c r="E427" s="88" t="str">
        <f>IF($F427="","",'הזנה לתנאי סף'!F427)</f>
        <v/>
      </c>
      <c r="F427" s="88" t="str">
        <f>IF(OR('הזנה לתנאי סף'!G427="",'הזנה לתנאי סף'!BL427&lt;&gt;1),"",'הזנה לתנאי סף'!G427)</f>
        <v/>
      </c>
      <c r="G427" s="88" t="str">
        <f>IF($F427="","",'הזנה לתנאי סף'!H427)</f>
        <v/>
      </c>
      <c r="H427" s="88" t="str">
        <f>IF($F427="","",'הזנה לתנאי סף'!I427)</f>
        <v/>
      </c>
      <c r="I427" s="109"/>
      <c r="J427" s="213" t="str">
        <f>IF($F427="","",'הזנה לתנאי סף'!S427)</f>
        <v/>
      </c>
      <c r="K427" s="109"/>
      <c r="L427" s="213" t="str">
        <f t="shared" si="68"/>
        <v/>
      </c>
      <c r="M427" s="213" t="str">
        <f>IF($F427="","",IF(L427='הזנה לתנאי סף'!R427,1,0))</f>
        <v/>
      </c>
      <c r="N427" s="214" t="str">
        <f t="shared" si="69"/>
        <v/>
      </c>
      <c r="O427" s="214" t="str">
        <f t="shared" si="70"/>
        <v/>
      </c>
      <c r="P427" s="109"/>
      <c r="Q427" s="213" t="str">
        <f>IF($F427="","",IFERROR(IF(P427&gt;0,'פרמטרים לקריטריונים'!$C$25*P427*O427,$AG$2),""))</f>
        <v/>
      </c>
      <c r="R427" s="213" t="str">
        <f>IF($F427="","",IFERROR('פרמטרים לקריטריונים'!$C$26*Q427,""))</f>
        <v/>
      </c>
      <c r="S427" s="214" t="str">
        <f t="shared" si="71"/>
        <v/>
      </c>
      <c r="T427" s="213" t="str">
        <f t="shared" si="72"/>
        <v/>
      </c>
      <c r="U427" s="213" t="str">
        <f>IF($F427="","",'הזנה לתנאי סף'!N427)</f>
        <v/>
      </c>
      <c r="V427" s="213" t="str">
        <f>IF($F427="","",'הזנה לתנאי סף'!O427)</f>
        <v/>
      </c>
      <c r="W427" s="109"/>
      <c r="X427" s="109"/>
      <c r="Y427" s="109"/>
      <c r="Z427" s="214" t="str">
        <f t="shared" si="73"/>
        <v/>
      </c>
      <c r="AA427" s="213" t="str">
        <f>IF(OR($F427="",V427=0),"",IF(V427=1,IF(COUNTBLANK(W427:X427)&gt;0,$AG$2,IF(OR(Z427&lt;='פרמטרים לקריטריונים'!$C$27,X427&gt;W427),"",X427-W427))))</f>
        <v/>
      </c>
      <c r="AB427" s="214" t="str">
        <f t="shared" si="74"/>
        <v/>
      </c>
      <c r="AC427" s="225" t="str">
        <f>IF(OR(AB427="",U427=1),"",IF(OR(COUNTBLANK(W427:Y427)&gt;0,AB427&gt;='פרמטרים לקריטריונים'!$E$54),'פרמטרים לקריטריונים'!$F$54,INDEX('פרמטרים לקריטריונים'!$F$49:$F$54,MATCH(AB427,'פרמטרים לקריטריונים'!$E$49:$E$54,1))))</f>
        <v/>
      </c>
      <c r="AD427" s="213" t="str">
        <f t="shared" si="75"/>
        <v/>
      </c>
      <c r="AE427" s="213" t="str">
        <f t="shared" si="76"/>
        <v/>
      </c>
      <c r="AG427" s="175">
        <f t="shared" si="77"/>
        <v>0</v>
      </c>
    </row>
    <row r="428" spans="1:33" ht="15.75" x14ac:dyDescent="0.2">
      <c r="A428" s="206" t="str">
        <f t="shared" si="67"/>
        <v/>
      </c>
      <c r="B428" s="88" t="str">
        <f>IF($F428="","",'הזנה לתנאי סף'!C428)</f>
        <v/>
      </c>
      <c r="C428" s="88" t="str">
        <f>IF($F428="","",'הזנה לתנאי סף'!D428)</f>
        <v/>
      </c>
      <c r="D428" s="88" t="str">
        <f>IF($F428="","",'הזנה לתנאי סף'!E428)</f>
        <v/>
      </c>
      <c r="E428" s="88" t="str">
        <f>IF($F428="","",'הזנה לתנאי סף'!F428)</f>
        <v/>
      </c>
      <c r="F428" s="88" t="str">
        <f>IF(OR('הזנה לתנאי סף'!G428="",'הזנה לתנאי סף'!BL428&lt;&gt;1),"",'הזנה לתנאי סף'!G428)</f>
        <v/>
      </c>
      <c r="G428" s="88" t="str">
        <f>IF($F428="","",'הזנה לתנאי סף'!H428)</f>
        <v/>
      </c>
      <c r="H428" s="88" t="str">
        <f>IF($F428="","",'הזנה לתנאי סף'!I428)</f>
        <v/>
      </c>
      <c r="I428" s="109"/>
      <c r="J428" s="213" t="str">
        <f>IF($F428="","",'הזנה לתנאי סף'!S428)</f>
        <v/>
      </c>
      <c r="K428" s="109"/>
      <c r="L428" s="213" t="str">
        <f t="shared" si="68"/>
        <v/>
      </c>
      <c r="M428" s="213" t="str">
        <f>IF($F428="","",IF(L428='הזנה לתנאי סף'!R428,1,0))</f>
        <v/>
      </c>
      <c r="N428" s="214" t="str">
        <f t="shared" si="69"/>
        <v/>
      </c>
      <c r="O428" s="214" t="str">
        <f t="shared" si="70"/>
        <v/>
      </c>
      <c r="P428" s="109"/>
      <c r="Q428" s="213" t="str">
        <f>IF($F428="","",IFERROR(IF(P428&gt;0,'פרמטרים לקריטריונים'!$C$25*P428*O428,$AG$2),""))</f>
        <v/>
      </c>
      <c r="R428" s="213" t="str">
        <f>IF($F428="","",IFERROR('פרמטרים לקריטריונים'!$C$26*Q428,""))</f>
        <v/>
      </c>
      <c r="S428" s="214" t="str">
        <f t="shared" si="71"/>
        <v/>
      </c>
      <c r="T428" s="213" t="str">
        <f t="shared" si="72"/>
        <v/>
      </c>
      <c r="U428" s="213" t="str">
        <f>IF($F428="","",'הזנה לתנאי סף'!N428)</f>
        <v/>
      </c>
      <c r="V428" s="213" t="str">
        <f>IF($F428="","",'הזנה לתנאי סף'!O428)</f>
        <v/>
      </c>
      <c r="W428" s="109"/>
      <c r="X428" s="109"/>
      <c r="Y428" s="109"/>
      <c r="Z428" s="214" t="str">
        <f t="shared" si="73"/>
        <v/>
      </c>
      <c r="AA428" s="213" t="str">
        <f>IF(OR($F428="",V428=0),"",IF(V428=1,IF(COUNTBLANK(W428:X428)&gt;0,$AG$2,IF(OR(Z428&lt;='פרמטרים לקריטריונים'!$C$27,X428&gt;W428),"",X428-W428))))</f>
        <v/>
      </c>
      <c r="AB428" s="214" t="str">
        <f t="shared" si="74"/>
        <v/>
      </c>
      <c r="AC428" s="225" t="str">
        <f>IF(OR(AB428="",U428=1),"",IF(OR(COUNTBLANK(W428:Y428)&gt;0,AB428&gt;='פרמטרים לקריטריונים'!$E$54),'פרמטרים לקריטריונים'!$F$54,INDEX('פרמטרים לקריטריונים'!$F$49:$F$54,MATCH(AB428,'פרמטרים לקריטריונים'!$E$49:$E$54,1))))</f>
        <v/>
      </c>
      <c r="AD428" s="213" t="str">
        <f t="shared" si="75"/>
        <v/>
      </c>
      <c r="AE428" s="213" t="str">
        <f t="shared" si="76"/>
        <v/>
      </c>
      <c r="AG428" s="175">
        <f t="shared" si="77"/>
        <v>0</v>
      </c>
    </row>
    <row r="429" spans="1:33" ht="15.75" x14ac:dyDescent="0.2">
      <c r="A429" s="206" t="str">
        <f t="shared" si="67"/>
        <v/>
      </c>
      <c r="B429" s="88" t="str">
        <f>IF($F429="","",'הזנה לתנאי סף'!C429)</f>
        <v/>
      </c>
      <c r="C429" s="88" t="str">
        <f>IF($F429="","",'הזנה לתנאי סף'!D429)</f>
        <v/>
      </c>
      <c r="D429" s="88" t="str">
        <f>IF($F429="","",'הזנה לתנאי סף'!E429)</f>
        <v/>
      </c>
      <c r="E429" s="88" t="str">
        <f>IF($F429="","",'הזנה לתנאי סף'!F429)</f>
        <v/>
      </c>
      <c r="F429" s="88" t="str">
        <f>IF(OR('הזנה לתנאי סף'!G429="",'הזנה לתנאי סף'!BL429&lt;&gt;1),"",'הזנה לתנאי סף'!G429)</f>
        <v/>
      </c>
      <c r="G429" s="88" t="str">
        <f>IF($F429="","",'הזנה לתנאי סף'!H429)</f>
        <v/>
      </c>
      <c r="H429" s="88" t="str">
        <f>IF($F429="","",'הזנה לתנאי סף'!I429)</f>
        <v/>
      </c>
      <c r="I429" s="109"/>
      <c r="J429" s="213" t="str">
        <f>IF($F429="","",'הזנה לתנאי סף'!S429)</f>
        <v/>
      </c>
      <c r="K429" s="109"/>
      <c r="L429" s="213" t="str">
        <f t="shared" si="68"/>
        <v/>
      </c>
      <c r="M429" s="213" t="str">
        <f>IF($F429="","",IF(L429='הזנה לתנאי סף'!R429,1,0))</f>
        <v/>
      </c>
      <c r="N429" s="214" t="str">
        <f t="shared" si="69"/>
        <v/>
      </c>
      <c r="O429" s="214" t="str">
        <f t="shared" si="70"/>
        <v/>
      </c>
      <c r="P429" s="109"/>
      <c r="Q429" s="213" t="str">
        <f>IF($F429="","",IFERROR(IF(P429&gt;0,'פרמטרים לקריטריונים'!$C$25*P429*O429,$AG$2),""))</f>
        <v/>
      </c>
      <c r="R429" s="213" t="str">
        <f>IF($F429="","",IFERROR('פרמטרים לקריטריונים'!$C$26*Q429,""))</f>
        <v/>
      </c>
      <c r="S429" s="214" t="str">
        <f t="shared" si="71"/>
        <v/>
      </c>
      <c r="T429" s="213" t="str">
        <f t="shared" si="72"/>
        <v/>
      </c>
      <c r="U429" s="213" t="str">
        <f>IF($F429="","",'הזנה לתנאי סף'!N429)</f>
        <v/>
      </c>
      <c r="V429" s="213" t="str">
        <f>IF($F429="","",'הזנה לתנאי סף'!O429)</f>
        <v/>
      </c>
      <c r="W429" s="109"/>
      <c r="X429" s="109"/>
      <c r="Y429" s="109"/>
      <c r="Z429" s="214" t="str">
        <f t="shared" si="73"/>
        <v/>
      </c>
      <c r="AA429" s="213" t="str">
        <f>IF(OR($F429="",V429=0),"",IF(V429=1,IF(COUNTBLANK(W429:X429)&gt;0,$AG$2,IF(OR(Z429&lt;='פרמטרים לקריטריונים'!$C$27,X429&gt;W429),"",X429-W429))))</f>
        <v/>
      </c>
      <c r="AB429" s="214" t="str">
        <f t="shared" si="74"/>
        <v/>
      </c>
      <c r="AC429" s="225" t="str">
        <f>IF(OR(AB429="",U429=1),"",IF(OR(COUNTBLANK(W429:Y429)&gt;0,AB429&gt;='פרמטרים לקריטריונים'!$E$54),'פרמטרים לקריטריונים'!$F$54,INDEX('פרמטרים לקריטריונים'!$F$49:$F$54,MATCH(AB429,'פרמטרים לקריטריונים'!$E$49:$E$54,1))))</f>
        <v/>
      </c>
      <c r="AD429" s="213" t="str">
        <f t="shared" si="75"/>
        <v/>
      </c>
      <c r="AE429" s="213" t="str">
        <f t="shared" si="76"/>
        <v/>
      </c>
      <c r="AG429" s="175">
        <f t="shared" si="77"/>
        <v>0</v>
      </c>
    </row>
    <row r="430" spans="1:33" ht="15.75" x14ac:dyDescent="0.2">
      <c r="A430" s="206" t="str">
        <f t="shared" si="67"/>
        <v/>
      </c>
      <c r="B430" s="88" t="str">
        <f>IF($F430="","",'הזנה לתנאי סף'!C430)</f>
        <v/>
      </c>
      <c r="C430" s="88" t="str">
        <f>IF($F430="","",'הזנה לתנאי סף'!D430)</f>
        <v/>
      </c>
      <c r="D430" s="88" t="str">
        <f>IF($F430="","",'הזנה לתנאי סף'!E430)</f>
        <v/>
      </c>
      <c r="E430" s="88" t="str">
        <f>IF($F430="","",'הזנה לתנאי סף'!F430)</f>
        <v/>
      </c>
      <c r="F430" s="88" t="str">
        <f>IF(OR('הזנה לתנאי סף'!G430="",'הזנה לתנאי סף'!BL430&lt;&gt;1),"",'הזנה לתנאי סף'!G430)</f>
        <v/>
      </c>
      <c r="G430" s="88" t="str">
        <f>IF($F430="","",'הזנה לתנאי סף'!H430)</f>
        <v/>
      </c>
      <c r="H430" s="88" t="str">
        <f>IF($F430="","",'הזנה לתנאי סף'!I430)</f>
        <v/>
      </c>
      <c r="I430" s="109"/>
      <c r="J430" s="213" t="str">
        <f>IF($F430="","",'הזנה לתנאי סף'!S430)</f>
        <v/>
      </c>
      <c r="K430" s="109"/>
      <c r="L430" s="213" t="str">
        <f t="shared" si="68"/>
        <v/>
      </c>
      <c r="M430" s="213" t="str">
        <f>IF($F430="","",IF(L430='הזנה לתנאי סף'!R430,1,0))</f>
        <v/>
      </c>
      <c r="N430" s="214" t="str">
        <f t="shared" si="69"/>
        <v/>
      </c>
      <c r="O430" s="214" t="str">
        <f t="shared" si="70"/>
        <v/>
      </c>
      <c r="P430" s="109"/>
      <c r="Q430" s="213" t="str">
        <f>IF($F430="","",IFERROR(IF(P430&gt;0,'פרמטרים לקריטריונים'!$C$25*P430*O430,$AG$2),""))</f>
        <v/>
      </c>
      <c r="R430" s="213" t="str">
        <f>IF($F430="","",IFERROR('פרמטרים לקריטריונים'!$C$26*Q430,""))</f>
        <v/>
      </c>
      <c r="S430" s="214" t="str">
        <f t="shared" si="71"/>
        <v/>
      </c>
      <c r="T430" s="213" t="str">
        <f t="shared" si="72"/>
        <v/>
      </c>
      <c r="U430" s="213" t="str">
        <f>IF($F430="","",'הזנה לתנאי סף'!N430)</f>
        <v/>
      </c>
      <c r="V430" s="213" t="str">
        <f>IF($F430="","",'הזנה לתנאי סף'!O430)</f>
        <v/>
      </c>
      <c r="W430" s="109"/>
      <c r="X430" s="109"/>
      <c r="Y430" s="109"/>
      <c r="Z430" s="214" t="str">
        <f t="shared" si="73"/>
        <v/>
      </c>
      <c r="AA430" s="213" t="str">
        <f>IF(OR($F430="",V430=0),"",IF(V430=1,IF(COUNTBLANK(W430:X430)&gt;0,$AG$2,IF(OR(Z430&lt;='פרמטרים לקריטריונים'!$C$27,X430&gt;W430),"",X430-W430))))</f>
        <v/>
      </c>
      <c r="AB430" s="214" t="str">
        <f t="shared" si="74"/>
        <v/>
      </c>
      <c r="AC430" s="225" t="str">
        <f>IF(OR(AB430="",U430=1),"",IF(OR(COUNTBLANK(W430:Y430)&gt;0,AB430&gt;='פרמטרים לקריטריונים'!$E$54),'פרמטרים לקריטריונים'!$F$54,INDEX('פרמטרים לקריטריונים'!$F$49:$F$54,MATCH(AB430,'פרמטרים לקריטריונים'!$E$49:$E$54,1))))</f>
        <v/>
      </c>
      <c r="AD430" s="213" t="str">
        <f t="shared" si="75"/>
        <v/>
      </c>
      <c r="AE430" s="213" t="str">
        <f t="shared" si="76"/>
        <v/>
      </c>
      <c r="AG430" s="175">
        <f t="shared" si="77"/>
        <v>0</v>
      </c>
    </row>
    <row r="431" spans="1:33" ht="15.75" x14ac:dyDescent="0.2">
      <c r="A431" s="206" t="str">
        <f t="shared" si="67"/>
        <v/>
      </c>
      <c r="B431" s="88" t="str">
        <f>IF($F431="","",'הזנה לתנאי סף'!C431)</f>
        <v/>
      </c>
      <c r="C431" s="88" t="str">
        <f>IF($F431="","",'הזנה לתנאי סף'!D431)</f>
        <v/>
      </c>
      <c r="D431" s="88" t="str">
        <f>IF($F431="","",'הזנה לתנאי סף'!E431)</f>
        <v/>
      </c>
      <c r="E431" s="88" t="str">
        <f>IF($F431="","",'הזנה לתנאי סף'!F431)</f>
        <v/>
      </c>
      <c r="F431" s="88" t="str">
        <f>IF(OR('הזנה לתנאי סף'!G431="",'הזנה לתנאי סף'!BL431&lt;&gt;1),"",'הזנה לתנאי סף'!G431)</f>
        <v/>
      </c>
      <c r="G431" s="88" t="str">
        <f>IF($F431="","",'הזנה לתנאי סף'!H431)</f>
        <v/>
      </c>
      <c r="H431" s="88" t="str">
        <f>IF($F431="","",'הזנה לתנאי סף'!I431)</f>
        <v/>
      </c>
      <c r="I431" s="109"/>
      <c r="J431" s="213" t="str">
        <f>IF($F431="","",'הזנה לתנאי סף'!S431)</f>
        <v/>
      </c>
      <c r="K431" s="109"/>
      <c r="L431" s="213" t="str">
        <f t="shared" si="68"/>
        <v/>
      </c>
      <c r="M431" s="213" t="str">
        <f>IF($F431="","",IF(L431='הזנה לתנאי סף'!R431,1,0))</f>
        <v/>
      </c>
      <c r="N431" s="214" t="str">
        <f t="shared" si="69"/>
        <v/>
      </c>
      <c r="O431" s="214" t="str">
        <f t="shared" si="70"/>
        <v/>
      </c>
      <c r="P431" s="109"/>
      <c r="Q431" s="213" t="str">
        <f>IF($F431="","",IFERROR(IF(P431&gt;0,'פרמטרים לקריטריונים'!$C$25*P431*O431,$AG$2),""))</f>
        <v/>
      </c>
      <c r="R431" s="213" t="str">
        <f>IF($F431="","",IFERROR('פרמטרים לקריטריונים'!$C$26*Q431,""))</f>
        <v/>
      </c>
      <c r="S431" s="214" t="str">
        <f t="shared" si="71"/>
        <v/>
      </c>
      <c r="T431" s="213" t="str">
        <f t="shared" si="72"/>
        <v/>
      </c>
      <c r="U431" s="213" t="str">
        <f>IF($F431="","",'הזנה לתנאי סף'!N431)</f>
        <v/>
      </c>
      <c r="V431" s="213" t="str">
        <f>IF($F431="","",'הזנה לתנאי סף'!O431)</f>
        <v/>
      </c>
      <c r="W431" s="109"/>
      <c r="X431" s="109"/>
      <c r="Y431" s="109"/>
      <c r="Z431" s="214" t="str">
        <f t="shared" si="73"/>
        <v/>
      </c>
      <c r="AA431" s="213" t="str">
        <f>IF(OR($F431="",V431=0),"",IF(V431=1,IF(COUNTBLANK(W431:X431)&gt;0,$AG$2,IF(OR(Z431&lt;='פרמטרים לקריטריונים'!$C$27,X431&gt;W431),"",X431-W431))))</f>
        <v/>
      </c>
      <c r="AB431" s="214" t="str">
        <f t="shared" si="74"/>
        <v/>
      </c>
      <c r="AC431" s="225" t="str">
        <f>IF(OR(AB431="",U431=1),"",IF(OR(COUNTBLANK(W431:Y431)&gt;0,AB431&gt;='פרמטרים לקריטריונים'!$E$54),'פרמטרים לקריטריונים'!$F$54,INDEX('פרמטרים לקריטריונים'!$F$49:$F$54,MATCH(AB431,'פרמטרים לקריטריונים'!$E$49:$E$54,1))))</f>
        <v/>
      </c>
      <c r="AD431" s="213" t="str">
        <f t="shared" si="75"/>
        <v/>
      </c>
      <c r="AE431" s="213" t="str">
        <f t="shared" si="76"/>
        <v/>
      </c>
      <c r="AG431" s="175">
        <f t="shared" si="77"/>
        <v>0</v>
      </c>
    </row>
    <row r="432" spans="1:33" ht="15.75" x14ac:dyDescent="0.2">
      <c r="A432" s="206" t="str">
        <f t="shared" si="67"/>
        <v/>
      </c>
      <c r="B432" s="88" t="str">
        <f>IF($F432="","",'הזנה לתנאי סף'!C432)</f>
        <v/>
      </c>
      <c r="C432" s="88" t="str">
        <f>IF($F432="","",'הזנה לתנאי סף'!D432)</f>
        <v/>
      </c>
      <c r="D432" s="88" t="str">
        <f>IF($F432="","",'הזנה לתנאי סף'!E432)</f>
        <v/>
      </c>
      <c r="E432" s="88" t="str">
        <f>IF($F432="","",'הזנה לתנאי סף'!F432)</f>
        <v/>
      </c>
      <c r="F432" s="88" t="str">
        <f>IF(OR('הזנה לתנאי סף'!G432="",'הזנה לתנאי סף'!BL432&lt;&gt;1),"",'הזנה לתנאי סף'!G432)</f>
        <v/>
      </c>
      <c r="G432" s="88" t="str">
        <f>IF($F432="","",'הזנה לתנאי סף'!H432)</f>
        <v/>
      </c>
      <c r="H432" s="88" t="str">
        <f>IF($F432="","",'הזנה לתנאי סף'!I432)</f>
        <v/>
      </c>
      <c r="I432" s="109"/>
      <c r="J432" s="213" t="str">
        <f>IF($F432="","",'הזנה לתנאי סף'!S432)</f>
        <v/>
      </c>
      <c r="K432" s="109"/>
      <c r="L432" s="213" t="str">
        <f t="shared" si="68"/>
        <v/>
      </c>
      <c r="M432" s="213" t="str">
        <f>IF($F432="","",IF(L432='הזנה לתנאי סף'!R432,1,0))</f>
        <v/>
      </c>
      <c r="N432" s="214" t="str">
        <f t="shared" si="69"/>
        <v/>
      </c>
      <c r="O432" s="214" t="str">
        <f t="shared" si="70"/>
        <v/>
      </c>
      <c r="P432" s="109"/>
      <c r="Q432" s="213" t="str">
        <f>IF($F432="","",IFERROR(IF(P432&gt;0,'פרמטרים לקריטריונים'!$C$25*P432*O432,$AG$2),""))</f>
        <v/>
      </c>
      <c r="R432" s="213" t="str">
        <f>IF($F432="","",IFERROR('פרמטרים לקריטריונים'!$C$26*Q432,""))</f>
        <v/>
      </c>
      <c r="S432" s="214" t="str">
        <f t="shared" si="71"/>
        <v/>
      </c>
      <c r="T432" s="213" t="str">
        <f t="shared" si="72"/>
        <v/>
      </c>
      <c r="U432" s="213" t="str">
        <f>IF($F432="","",'הזנה לתנאי סף'!N432)</f>
        <v/>
      </c>
      <c r="V432" s="213" t="str">
        <f>IF($F432="","",'הזנה לתנאי סף'!O432)</f>
        <v/>
      </c>
      <c r="W432" s="109"/>
      <c r="X432" s="109"/>
      <c r="Y432" s="109"/>
      <c r="Z432" s="214" t="str">
        <f t="shared" si="73"/>
        <v/>
      </c>
      <c r="AA432" s="213" t="str">
        <f>IF(OR($F432="",V432=0),"",IF(V432=1,IF(COUNTBLANK(W432:X432)&gt;0,$AG$2,IF(OR(Z432&lt;='פרמטרים לקריטריונים'!$C$27,X432&gt;W432),"",X432-W432))))</f>
        <v/>
      </c>
      <c r="AB432" s="214" t="str">
        <f t="shared" si="74"/>
        <v/>
      </c>
      <c r="AC432" s="225" t="str">
        <f>IF(OR(AB432="",U432=1),"",IF(OR(COUNTBLANK(W432:Y432)&gt;0,AB432&gt;='פרמטרים לקריטריונים'!$E$54),'פרמטרים לקריטריונים'!$F$54,INDEX('פרמטרים לקריטריונים'!$F$49:$F$54,MATCH(AB432,'פרמטרים לקריטריונים'!$E$49:$E$54,1))))</f>
        <v/>
      </c>
      <c r="AD432" s="213" t="str">
        <f t="shared" si="75"/>
        <v/>
      </c>
      <c r="AE432" s="213" t="str">
        <f t="shared" si="76"/>
        <v/>
      </c>
      <c r="AG432" s="175">
        <f t="shared" si="77"/>
        <v>0</v>
      </c>
    </row>
    <row r="433" spans="1:33" ht="15.75" x14ac:dyDescent="0.2">
      <c r="A433" s="206" t="str">
        <f t="shared" si="67"/>
        <v/>
      </c>
      <c r="B433" s="88" t="str">
        <f>IF($F433="","",'הזנה לתנאי סף'!C433)</f>
        <v/>
      </c>
      <c r="C433" s="88" t="str">
        <f>IF($F433="","",'הזנה לתנאי סף'!D433)</f>
        <v/>
      </c>
      <c r="D433" s="88" t="str">
        <f>IF($F433="","",'הזנה לתנאי סף'!E433)</f>
        <v/>
      </c>
      <c r="E433" s="88" t="str">
        <f>IF($F433="","",'הזנה לתנאי סף'!F433)</f>
        <v/>
      </c>
      <c r="F433" s="88" t="str">
        <f>IF(OR('הזנה לתנאי סף'!G433="",'הזנה לתנאי סף'!BL433&lt;&gt;1),"",'הזנה לתנאי סף'!G433)</f>
        <v/>
      </c>
      <c r="G433" s="88" t="str">
        <f>IF($F433="","",'הזנה לתנאי סף'!H433)</f>
        <v/>
      </c>
      <c r="H433" s="88" t="str">
        <f>IF($F433="","",'הזנה לתנאי סף'!I433)</f>
        <v/>
      </c>
      <c r="I433" s="109"/>
      <c r="J433" s="213" t="str">
        <f>IF($F433="","",'הזנה לתנאי סף'!S433)</f>
        <v/>
      </c>
      <c r="K433" s="109"/>
      <c r="L433" s="213" t="str">
        <f t="shared" si="68"/>
        <v/>
      </c>
      <c r="M433" s="213" t="str">
        <f>IF($F433="","",IF(L433='הזנה לתנאי סף'!R433,1,0))</f>
        <v/>
      </c>
      <c r="N433" s="214" t="str">
        <f t="shared" si="69"/>
        <v/>
      </c>
      <c r="O433" s="214" t="str">
        <f t="shared" si="70"/>
        <v/>
      </c>
      <c r="P433" s="109"/>
      <c r="Q433" s="213" t="str">
        <f>IF($F433="","",IFERROR(IF(P433&gt;0,'פרמטרים לקריטריונים'!$C$25*P433*O433,$AG$2),""))</f>
        <v/>
      </c>
      <c r="R433" s="213" t="str">
        <f>IF($F433="","",IFERROR('פרמטרים לקריטריונים'!$C$26*Q433,""))</f>
        <v/>
      </c>
      <c r="S433" s="214" t="str">
        <f t="shared" si="71"/>
        <v/>
      </c>
      <c r="T433" s="213" t="str">
        <f t="shared" si="72"/>
        <v/>
      </c>
      <c r="U433" s="213" t="str">
        <f>IF($F433="","",'הזנה לתנאי סף'!N433)</f>
        <v/>
      </c>
      <c r="V433" s="213" t="str">
        <f>IF($F433="","",'הזנה לתנאי סף'!O433)</f>
        <v/>
      </c>
      <c r="W433" s="109"/>
      <c r="X433" s="109"/>
      <c r="Y433" s="109"/>
      <c r="Z433" s="214" t="str">
        <f t="shared" si="73"/>
        <v/>
      </c>
      <c r="AA433" s="213" t="str">
        <f>IF(OR($F433="",V433=0),"",IF(V433=1,IF(COUNTBLANK(W433:X433)&gt;0,$AG$2,IF(OR(Z433&lt;='פרמטרים לקריטריונים'!$C$27,X433&gt;W433),"",X433-W433))))</f>
        <v/>
      </c>
      <c r="AB433" s="214" t="str">
        <f t="shared" si="74"/>
        <v/>
      </c>
      <c r="AC433" s="225" t="str">
        <f>IF(OR(AB433="",U433=1),"",IF(OR(COUNTBLANK(W433:Y433)&gt;0,AB433&gt;='פרמטרים לקריטריונים'!$E$54),'פרמטרים לקריטריונים'!$F$54,INDEX('פרמטרים לקריטריונים'!$F$49:$F$54,MATCH(AB433,'פרמטרים לקריטריונים'!$E$49:$E$54,1))))</f>
        <v/>
      </c>
      <c r="AD433" s="213" t="str">
        <f t="shared" si="75"/>
        <v/>
      </c>
      <c r="AE433" s="213" t="str">
        <f t="shared" si="76"/>
        <v/>
      </c>
      <c r="AG433" s="175">
        <f t="shared" si="77"/>
        <v>0</v>
      </c>
    </row>
    <row r="434" spans="1:33" ht="15.75" x14ac:dyDescent="0.2">
      <c r="A434" s="206" t="str">
        <f t="shared" si="67"/>
        <v/>
      </c>
      <c r="B434" s="88" t="str">
        <f>IF($F434="","",'הזנה לתנאי סף'!C434)</f>
        <v/>
      </c>
      <c r="C434" s="88" t="str">
        <f>IF($F434="","",'הזנה לתנאי סף'!D434)</f>
        <v/>
      </c>
      <c r="D434" s="88" t="str">
        <f>IF($F434="","",'הזנה לתנאי סף'!E434)</f>
        <v/>
      </c>
      <c r="E434" s="88" t="str">
        <f>IF($F434="","",'הזנה לתנאי סף'!F434)</f>
        <v/>
      </c>
      <c r="F434" s="88" t="str">
        <f>IF(OR('הזנה לתנאי סף'!G434="",'הזנה לתנאי סף'!BL434&lt;&gt;1),"",'הזנה לתנאי סף'!G434)</f>
        <v/>
      </c>
      <c r="G434" s="88" t="str">
        <f>IF($F434="","",'הזנה לתנאי סף'!H434)</f>
        <v/>
      </c>
      <c r="H434" s="88" t="str">
        <f>IF($F434="","",'הזנה לתנאי סף'!I434)</f>
        <v/>
      </c>
      <c r="I434" s="109"/>
      <c r="J434" s="213" t="str">
        <f>IF($F434="","",'הזנה לתנאי סף'!S434)</f>
        <v/>
      </c>
      <c r="K434" s="109"/>
      <c r="L434" s="213" t="str">
        <f t="shared" si="68"/>
        <v/>
      </c>
      <c r="M434" s="213" t="str">
        <f>IF($F434="","",IF(L434='הזנה לתנאי סף'!R434,1,0))</f>
        <v/>
      </c>
      <c r="N434" s="214" t="str">
        <f t="shared" si="69"/>
        <v/>
      </c>
      <c r="O434" s="214" t="str">
        <f t="shared" si="70"/>
        <v/>
      </c>
      <c r="P434" s="109"/>
      <c r="Q434" s="213" t="str">
        <f>IF($F434="","",IFERROR(IF(P434&gt;0,'פרמטרים לקריטריונים'!$C$25*P434*O434,$AG$2),""))</f>
        <v/>
      </c>
      <c r="R434" s="213" t="str">
        <f>IF($F434="","",IFERROR('פרמטרים לקריטריונים'!$C$26*Q434,""))</f>
        <v/>
      </c>
      <c r="S434" s="214" t="str">
        <f t="shared" si="71"/>
        <v/>
      </c>
      <c r="T434" s="213" t="str">
        <f t="shared" si="72"/>
        <v/>
      </c>
      <c r="U434" s="213" t="str">
        <f>IF($F434="","",'הזנה לתנאי סף'!N434)</f>
        <v/>
      </c>
      <c r="V434" s="213" t="str">
        <f>IF($F434="","",'הזנה לתנאי סף'!O434)</f>
        <v/>
      </c>
      <c r="W434" s="109"/>
      <c r="X434" s="109"/>
      <c r="Y434" s="109"/>
      <c r="Z434" s="214" t="str">
        <f t="shared" si="73"/>
        <v/>
      </c>
      <c r="AA434" s="213" t="str">
        <f>IF(OR($F434="",V434=0),"",IF(V434=1,IF(COUNTBLANK(W434:X434)&gt;0,$AG$2,IF(OR(Z434&lt;='פרמטרים לקריטריונים'!$C$27,X434&gt;W434),"",X434-W434))))</f>
        <v/>
      </c>
      <c r="AB434" s="214" t="str">
        <f t="shared" si="74"/>
        <v/>
      </c>
      <c r="AC434" s="225" t="str">
        <f>IF(OR(AB434="",U434=1),"",IF(OR(COUNTBLANK(W434:Y434)&gt;0,AB434&gt;='פרמטרים לקריטריונים'!$E$54),'פרמטרים לקריטריונים'!$F$54,INDEX('פרמטרים לקריטריונים'!$F$49:$F$54,MATCH(AB434,'פרמטרים לקריטריונים'!$E$49:$E$54,1))))</f>
        <v/>
      </c>
      <c r="AD434" s="213" t="str">
        <f t="shared" si="75"/>
        <v/>
      </c>
      <c r="AE434" s="213" t="str">
        <f t="shared" si="76"/>
        <v/>
      </c>
      <c r="AG434" s="175">
        <f t="shared" si="77"/>
        <v>0</v>
      </c>
    </row>
    <row r="435" spans="1:33" ht="15.75" x14ac:dyDescent="0.2">
      <c r="A435" s="206" t="str">
        <f t="shared" si="67"/>
        <v/>
      </c>
      <c r="B435" s="88" t="str">
        <f>IF($F435="","",'הזנה לתנאי סף'!C435)</f>
        <v/>
      </c>
      <c r="C435" s="88" t="str">
        <f>IF($F435="","",'הזנה לתנאי סף'!D435)</f>
        <v/>
      </c>
      <c r="D435" s="88" t="str">
        <f>IF($F435="","",'הזנה לתנאי סף'!E435)</f>
        <v/>
      </c>
      <c r="E435" s="88" t="str">
        <f>IF($F435="","",'הזנה לתנאי סף'!F435)</f>
        <v/>
      </c>
      <c r="F435" s="88" t="str">
        <f>IF(OR('הזנה לתנאי סף'!G435="",'הזנה לתנאי סף'!BL435&lt;&gt;1),"",'הזנה לתנאי סף'!G435)</f>
        <v/>
      </c>
      <c r="G435" s="88" t="str">
        <f>IF($F435="","",'הזנה לתנאי סף'!H435)</f>
        <v/>
      </c>
      <c r="H435" s="88" t="str">
        <f>IF($F435="","",'הזנה לתנאי סף'!I435)</f>
        <v/>
      </c>
      <c r="I435" s="109"/>
      <c r="J435" s="213" t="str">
        <f>IF($F435="","",'הזנה לתנאי סף'!S435)</f>
        <v/>
      </c>
      <c r="K435" s="109"/>
      <c r="L435" s="213" t="str">
        <f t="shared" si="68"/>
        <v/>
      </c>
      <c r="M435" s="213" t="str">
        <f>IF($F435="","",IF(L435='הזנה לתנאי סף'!R435,1,0))</f>
        <v/>
      </c>
      <c r="N435" s="214" t="str">
        <f t="shared" si="69"/>
        <v/>
      </c>
      <c r="O435" s="214" t="str">
        <f t="shared" si="70"/>
        <v/>
      </c>
      <c r="P435" s="109"/>
      <c r="Q435" s="213" t="str">
        <f>IF($F435="","",IFERROR(IF(P435&gt;0,'פרמטרים לקריטריונים'!$C$25*P435*O435,$AG$2),""))</f>
        <v/>
      </c>
      <c r="R435" s="213" t="str">
        <f>IF($F435="","",IFERROR('פרמטרים לקריטריונים'!$C$26*Q435,""))</f>
        <v/>
      </c>
      <c r="S435" s="214" t="str">
        <f t="shared" si="71"/>
        <v/>
      </c>
      <c r="T435" s="213" t="str">
        <f t="shared" si="72"/>
        <v/>
      </c>
      <c r="U435" s="213" t="str">
        <f>IF($F435="","",'הזנה לתנאי סף'!N435)</f>
        <v/>
      </c>
      <c r="V435" s="213" t="str">
        <f>IF($F435="","",'הזנה לתנאי סף'!O435)</f>
        <v/>
      </c>
      <c r="W435" s="109"/>
      <c r="X435" s="109"/>
      <c r="Y435" s="109"/>
      <c r="Z435" s="214" t="str">
        <f t="shared" si="73"/>
        <v/>
      </c>
      <c r="AA435" s="213" t="str">
        <f>IF(OR($F435="",V435=0),"",IF(V435=1,IF(COUNTBLANK(W435:X435)&gt;0,$AG$2,IF(OR(Z435&lt;='פרמטרים לקריטריונים'!$C$27,X435&gt;W435),"",X435-W435))))</f>
        <v/>
      </c>
      <c r="AB435" s="214" t="str">
        <f t="shared" si="74"/>
        <v/>
      </c>
      <c r="AC435" s="225" t="str">
        <f>IF(OR(AB435="",U435=1),"",IF(OR(COUNTBLANK(W435:Y435)&gt;0,AB435&gt;='פרמטרים לקריטריונים'!$E$54),'פרמטרים לקריטריונים'!$F$54,INDEX('פרמטרים לקריטריונים'!$F$49:$F$54,MATCH(AB435,'פרמטרים לקריטריונים'!$E$49:$E$54,1))))</f>
        <v/>
      </c>
      <c r="AD435" s="213" t="str">
        <f t="shared" si="75"/>
        <v/>
      </c>
      <c r="AE435" s="213" t="str">
        <f t="shared" si="76"/>
        <v/>
      </c>
      <c r="AG435" s="175">
        <f t="shared" si="77"/>
        <v>0</v>
      </c>
    </row>
    <row r="436" spans="1:33" ht="15.75" x14ac:dyDescent="0.2">
      <c r="A436" s="206" t="str">
        <f t="shared" si="67"/>
        <v/>
      </c>
      <c r="B436" s="88" t="str">
        <f>IF($F436="","",'הזנה לתנאי סף'!C436)</f>
        <v/>
      </c>
      <c r="C436" s="88" t="str">
        <f>IF($F436="","",'הזנה לתנאי סף'!D436)</f>
        <v/>
      </c>
      <c r="D436" s="88" t="str">
        <f>IF($F436="","",'הזנה לתנאי סף'!E436)</f>
        <v/>
      </c>
      <c r="E436" s="88" t="str">
        <f>IF($F436="","",'הזנה לתנאי סף'!F436)</f>
        <v/>
      </c>
      <c r="F436" s="88" t="str">
        <f>IF(OR('הזנה לתנאי סף'!G436="",'הזנה לתנאי סף'!BL436&lt;&gt;1),"",'הזנה לתנאי סף'!G436)</f>
        <v/>
      </c>
      <c r="G436" s="88" t="str">
        <f>IF($F436="","",'הזנה לתנאי סף'!H436)</f>
        <v/>
      </c>
      <c r="H436" s="88" t="str">
        <f>IF($F436="","",'הזנה לתנאי סף'!I436)</f>
        <v/>
      </c>
      <c r="I436" s="109"/>
      <c r="J436" s="213" t="str">
        <f>IF($F436="","",'הזנה לתנאי סף'!S436)</f>
        <v/>
      </c>
      <c r="K436" s="109"/>
      <c r="L436" s="213" t="str">
        <f t="shared" si="68"/>
        <v/>
      </c>
      <c r="M436" s="213" t="str">
        <f>IF($F436="","",IF(L436='הזנה לתנאי סף'!R436,1,0))</f>
        <v/>
      </c>
      <c r="N436" s="214" t="str">
        <f t="shared" si="69"/>
        <v/>
      </c>
      <c r="O436" s="214" t="str">
        <f t="shared" si="70"/>
        <v/>
      </c>
      <c r="P436" s="109"/>
      <c r="Q436" s="213" t="str">
        <f>IF($F436="","",IFERROR(IF(P436&gt;0,'פרמטרים לקריטריונים'!$C$25*P436*O436,$AG$2),""))</f>
        <v/>
      </c>
      <c r="R436" s="213" t="str">
        <f>IF($F436="","",IFERROR('פרמטרים לקריטריונים'!$C$26*Q436,""))</f>
        <v/>
      </c>
      <c r="S436" s="214" t="str">
        <f t="shared" si="71"/>
        <v/>
      </c>
      <c r="T436" s="213" t="str">
        <f t="shared" si="72"/>
        <v/>
      </c>
      <c r="U436" s="213" t="str">
        <f>IF($F436="","",'הזנה לתנאי סף'!N436)</f>
        <v/>
      </c>
      <c r="V436" s="213" t="str">
        <f>IF($F436="","",'הזנה לתנאי סף'!O436)</f>
        <v/>
      </c>
      <c r="W436" s="109"/>
      <c r="X436" s="109"/>
      <c r="Y436" s="109"/>
      <c r="Z436" s="214" t="str">
        <f t="shared" si="73"/>
        <v/>
      </c>
      <c r="AA436" s="213" t="str">
        <f>IF(OR($F436="",V436=0),"",IF(V436=1,IF(COUNTBLANK(W436:X436)&gt;0,$AG$2,IF(OR(Z436&lt;='פרמטרים לקריטריונים'!$C$27,X436&gt;W436),"",X436-W436))))</f>
        <v/>
      </c>
      <c r="AB436" s="214" t="str">
        <f t="shared" si="74"/>
        <v/>
      </c>
      <c r="AC436" s="225" t="str">
        <f>IF(OR(AB436="",U436=1),"",IF(OR(COUNTBLANK(W436:Y436)&gt;0,AB436&gt;='פרמטרים לקריטריונים'!$E$54),'פרמטרים לקריטריונים'!$F$54,INDEX('פרמטרים לקריטריונים'!$F$49:$F$54,MATCH(AB436,'פרמטרים לקריטריונים'!$E$49:$E$54,1))))</f>
        <v/>
      </c>
      <c r="AD436" s="213" t="str">
        <f t="shared" si="75"/>
        <v/>
      </c>
      <c r="AE436" s="213" t="str">
        <f t="shared" si="76"/>
        <v/>
      </c>
      <c r="AG436" s="175">
        <f t="shared" si="77"/>
        <v>0</v>
      </c>
    </row>
    <row r="437" spans="1:33" ht="15.75" x14ac:dyDescent="0.2">
      <c r="A437" s="206" t="str">
        <f t="shared" si="67"/>
        <v/>
      </c>
      <c r="B437" s="88" t="str">
        <f>IF($F437="","",'הזנה לתנאי סף'!C437)</f>
        <v/>
      </c>
      <c r="C437" s="88" t="str">
        <f>IF($F437="","",'הזנה לתנאי סף'!D437)</f>
        <v/>
      </c>
      <c r="D437" s="88" t="str">
        <f>IF($F437="","",'הזנה לתנאי סף'!E437)</f>
        <v/>
      </c>
      <c r="E437" s="88" t="str">
        <f>IF($F437="","",'הזנה לתנאי סף'!F437)</f>
        <v/>
      </c>
      <c r="F437" s="88" t="str">
        <f>IF(OR('הזנה לתנאי סף'!G437="",'הזנה לתנאי סף'!BL437&lt;&gt;1),"",'הזנה לתנאי סף'!G437)</f>
        <v/>
      </c>
      <c r="G437" s="88" t="str">
        <f>IF($F437="","",'הזנה לתנאי סף'!H437)</f>
        <v/>
      </c>
      <c r="H437" s="88" t="str">
        <f>IF($F437="","",'הזנה לתנאי סף'!I437)</f>
        <v/>
      </c>
      <c r="I437" s="109"/>
      <c r="J437" s="213" t="str">
        <f>IF($F437="","",'הזנה לתנאי סף'!S437)</f>
        <v/>
      </c>
      <c r="K437" s="109"/>
      <c r="L437" s="213" t="str">
        <f t="shared" si="68"/>
        <v/>
      </c>
      <c r="M437" s="213" t="str">
        <f>IF($F437="","",IF(L437='הזנה לתנאי סף'!R437,1,0))</f>
        <v/>
      </c>
      <c r="N437" s="214" t="str">
        <f t="shared" si="69"/>
        <v/>
      </c>
      <c r="O437" s="214" t="str">
        <f t="shared" si="70"/>
        <v/>
      </c>
      <c r="P437" s="109"/>
      <c r="Q437" s="213" t="str">
        <f>IF($F437="","",IFERROR(IF(P437&gt;0,'פרמטרים לקריטריונים'!$C$25*P437*O437,$AG$2),""))</f>
        <v/>
      </c>
      <c r="R437" s="213" t="str">
        <f>IF($F437="","",IFERROR('פרמטרים לקריטריונים'!$C$26*Q437,""))</f>
        <v/>
      </c>
      <c r="S437" s="214" t="str">
        <f t="shared" si="71"/>
        <v/>
      </c>
      <c r="T437" s="213" t="str">
        <f t="shared" si="72"/>
        <v/>
      </c>
      <c r="U437" s="213" t="str">
        <f>IF($F437="","",'הזנה לתנאי סף'!N437)</f>
        <v/>
      </c>
      <c r="V437" s="213" t="str">
        <f>IF($F437="","",'הזנה לתנאי סף'!O437)</f>
        <v/>
      </c>
      <c r="W437" s="109"/>
      <c r="X437" s="109"/>
      <c r="Y437" s="109"/>
      <c r="Z437" s="214" t="str">
        <f t="shared" si="73"/>
        <v/>
      </c>
      <c r="AA437" s="213" t="str">
        <f>IF(OR($F437="",V437=0),"",IF(V437=1,IF(COUNTBLANK(W437:X437)&gt;0,$AG$2,IF(OR(Z437&lt;='פרמטרים לקריטריונים'!$C$27,X437&gt;W437),"",X437-W437))))</f>
        <v/>
      </c>
      <c r="AB437" s="214" t="str">
        <f t="shared" si="74"/>
        <v/>
      </c>
      <c r="AC437" s="225" t="str">
        <f>IF(OR(AB437="",U437=1),"",IF(OR(COUNTBLANK(W437:Y437)&gt;0,AB437&gt;='פרמטרים לקריטריונים'!$E$54),'פרמטרים לקריטריונים'!$F$54,INDEX('פרמטרים לקריטריונים'!$F$49:$F$54,MATCH(AB437,'פרמטרים לקריטריונים'!$E$49:$E$54,1))))</f>
        <v/>
      </c>
      <c r="AD437" s="213" t="str">
        <f t="shared" si="75"/>
        <v/>
      </c>
      <c r="AE437" s="213" t="str">
        <f t="shared" si="76"/>
        <v/>
      </c>
      <c r="AG437" s="175">
        <f t="shared" si="77"/>
        <v>0</v>
      </c>
    </row>
    <row r="438" spans="1:33" ht="15.75" x14ac:dyDescent="0.2">
      <c r="A438" s="206" t="str">
        <f t="shared" si="67"/>
        <v/>
      </c>
      <c r="B438" s="88" t="str">
        <f>IF($F438="","",'הזנה לתנאי סף'!C438)</f>
        <v/>
      </c>
      <c r="C438" s="88" t="str">
        <f>IF($F438="","",'הזנה לתנאי סף'!D438)</f>
        <v/>
      </c>
      <c r="D438" s="88" t="str">
        <f>IF($F438="","",'הזנה לתנאי סף'!E438)</f>
        <v/>
      </c>
      <c r="E438" s="88" t="str">
        <f>IF($F438="","",'הזנה לתנאי סף'!F438)</f>
        <v/>
      </c>
      <c r="F438" s="88" t="str">
        <f>IF(OR('הזנה לתנאי סף'!G438="",'הזנה לתנאי סף'!BL438&lt;&gt;1),"",'הזנה לתנאי סף'!G438)</f>
        <v/>
      </c>
      <c r="G438" s="88" t="str">
        <f>IF($F438="","",'הזנה לתנאי סף'!H438)</f>
        <v/>
      </c>
      <c r="H438" s="88" t="str">
        <f>IF($F438="","",'הזנה לתנאי סף'!I438)</f>
        <v/>
      </c>
      <c r="I438" s="109"/>
      <c r="J438" s="213" t="str">
        <f>IF($F438="","",'הזנה לתנאי סף'!S438)</f>
        <v/>
      </c>
      <c r="K438" s="109"/>
      <c r="L438" s="213" t="str">
        <f t="shared" si="68"/>
        <v/>
      </c>
      <c r="M438" s="213" t="str">
        <f>IF($F438="","",IF(L438='הזנה לתנאי סף'!R438,1,0))</f>
        <v/>
      </c>
      <c r="N438" s="214" t="str">
        <f t="shared" si="69"/>
        <v/>
      </c>
      <c r="O438" s="214" t="str">
        <f t="shared" si="70"/>
        <v/>
      </c>
      <c r="P438" s="109"/>
      <c r="Q438" s="213" t="str">
        <f>IF($F438="","",IFERROR(IF(P438&gt;0,'פרמטרים לקריטריונים'!$C$25*P438*O438,$AG$2),""))</f>
        <v/>
      </c>
      <c r="R438" s="213" t="str">
        <f>IF($F438="","",IFERROR('פרמטרים לקריטריונים'!$C$26*Q438,""))</f>
        <v/>
      </c>
      <c r="S438" s="214" t="str">
        <f t="shared" si="71"/>
        <v/>
      </c>
      <c r="T438" s="213" t="str">
        <f t="shared" si="72"/>
        <v/>
      </c>
      <c r="U438" s="213" t="str">
        <f>IF($F438="","",'הזנה לתנאי סף'!N438)</f>
        <v/>
      </c>
      <c r="V438" s="213" t="str">
        <f>IF($F438="","",'הזנה לתנאי סף'!O438)</f>
        <v/>
      </c>
      <c r="W438" s="109"/>
      <c r="X438" s="109"/>
      <c r="Y438" s="109"/>
      <c r="Z438" s="214" t="str">
        <f t="shared" si="73"/>
        <v/>
      </c>
      <c r="AA438" s="213" t="str">
        <f>IF(OR($F438="",V438=0),"",IF(V438=1,IF(COUNTBLANK(W438:X438)&gt;0,$AG$2,IF(OR(Z438&lt;='פרמטרים לקריטריונים'!$C$27,X438&gt;W438),"",X438-W438))))</f>
        <v/>
      </c>
      <c r="AB438" s="214" t="str">
        <f t="shared" si="74"/>
        <v/>
      </c>
      <c r="AC438" s="225" t="str">
        <f>IF(OR(AB438="",U438=1),"",IF(OR(COUNTBLANK(W438:Y438)&gt;0,AB438&gt;='פרמטרים לקריטריונים'!$E$54),'פרמטרים לקריטריונים'!$F$54,INDEX('פרמטרים לקריטריונים'!$F$49:$F$54,MATCH(AB438,'פרמטרים לקריטריונים'!$E$49:$E$54,1))))</f>
        <v/>
      </c>
      <c r="AD438" s="213" t="str">
        <f t="shared" si="75"/>
        <v/>
      </c>
      <c r="AE438" s="213" t="str">
        <f t="shared" si="76"/>
        <v/>
      </c>
      <c r="AG438" s="175">
        <f t="shared" si="77"/>
        <v>0</v>
      </c>
    </row>
    <row r="439" spans="1:33" ht="15.75" x14ac:dyDescent="0.2">
      <c r="A439" s="206" t="str">
        <f t="shared" si="67"/>
        <v/>
      </c>
      <c r="B439" s="88" t="str">
        <f>IF($F439="","",'הזנה לתנאי סף'!C439)</f>
        <v/>
      </c>
      <c r="C439" s="88" t="str">
        <f>IF($F439="","",'הזנה לתנאי סף'!D439)</f>
        <v/>
      </c>
      <c r="D439" s="88" t="str">
        <f>IF($F439="","",'הזנה לתנאי סף'!E439)</f>
        <v/>
      </c>
      <c r="E439" s="88" t="str">
        <f>IF($F439="","",'הזנה לתנאי סף'!F439)</f>
        <v/>
      </c>
      <c r="F439" s="88" t="str">
        <f>IF(OR('הזנה לתנאי סף'!G439="",'הזנה לתנאי סף'!BL439&lt;&gt;1),"",'הזנה לתנאי סף'!G439)</f>
        <v/>
      </c>
      <c r="G439" s="88" t="str">
        <f>IF($F439="","",'הזנה לתנאי סף'!H439)</f>
        <v/>
      </c>
      <c r="H439" s="88" t="str">
        <f>IF($F439="","",'הזנה לתנאי סף'!I439)</f>
        <v/>
      </c>
      <c r="I439" s="109"/>
      <c r="J439" s="213" t="str">
        <f>IF($F439="","",'הזנה לתנאי סף'!S439)</f>
        <v/>
      </c>
      <c r="K439" s="109"/>
      <c r="L439" s="213" t="str">
        <f t="shared" si="68"/>
        <v/>
      </c>
      <c r="M439" s="213" t="str">
        <f>IF($F439="","",IF(L439='הזנה לתנאי סף'!R439,1,0))</f>
        <v/>
      </c>
      <c r="N439" s="214" t="str">
        <f t="shared" si="69"/>
        <v/>
      </c>
      <c r="O439" s="214" t="str">
        <f t="shared" si="70"/>
        <v/>
      </c>
      <c r="P439" s="109"/>
      <c r="Q439" s="213" t="str">
        <f>IF($F439="","",IFERROR(IF(P439&gt;0,'פרמטרים לקריטריונים'!$C$25*P439*O439,$AG$2),""))</f>
        <v/>
      </c>
      <c r="R439" s="213" t="str">
        <f>IF($F439="","",IFERROR('פרמטרים לקריטריונים'!$C$26*Q439,""))</f>
        <v/>
      </c>
      <c r="S439" s="214" t="str">
        <f t="shared" si="71"/>
        <v/>
      </c>
      <c r="T439" s="213" t="str">
        <f t="shared" si="72"/>
        <v/>
      </c>
      <c r="U439" s="213" t="str">
        <f>IF($F439="","",'הזנה לתנאי סף'!N439)</f>
        <v/>
      </c>
      <c r="V439" s="213" t="str">
        <f>IF($F439="","",'הזנה לתנאי סף'!O439)</f>
        <v/>
      </c>
      <c r="W439" s="109"/>
      <c r="X439" s="109"/>
      <c r="Y439" s="109"/>
      <c r="Z439" s="214" t="str">
        <f t="shared" si="73"/>
        <v/>
      </c>
      <c r="AA439" s="213" t="str">
        <f>IF(OR($F439="",V439=0),"",IF(V439=1,IF(COUNTBLANK(W439:X439)&gt;0,$AG$2,IF(OR(Z439&lt;='פרמטרים לקריטריונים'!$C$27,X439&gt;W439),"",X439-W439))))</f>
        <v/>
      </c>
      <c r="AB439" s="214" t="str">
        <f t="shared" si="74"/>
        <v/>
      </c>
      <c r="AC439" s="225" t="str">
        <f>IF(OR(AB439="",U439=1),"",IF(OR(COUNTBLANK(W439:Y439)&gt;0,AB439&gt;='פרמטרים לקריטריונים'!$E$54),'פרמטרים לקריטריונים'!$F$54,INDEX('פרמטרים לקריטריונים'!$F$49:$F$54,MATCH(AB439,'פרמטרים לקריטריונים'!$E$49:$E$54,1))))</f>
        <v/>
      </c>
      <c r="AD439" s="213" t="str">
        <f t="shared" si="75"/>
        <v/>
      </c>
      <c r="AE439" s="213" t="str">
        <f t="shared" si="76"/>
        <v/>
      </c>
      <c r="AG439" s="175">
        <f t="shared" si="77"/>
        <v>0</v>
      </c>
    </row>
    <row r="440" spans="1:33" ht="15.75" x14ac:dyDescent="0.2">
      <c r="A440" s="206" t="str">
        <f t="shared" si="67"/>
        <v/>
      </c>
      <c r="B440" s="88" t="str">
        <f>IF($F440="","",'הזנה לתנאי סף'!C440)</f>
        <v/>
      </c>
      <c r="C440" s="88" t="str">
        <f>IF($F440="","",'הזנה לתנאי סף'!D440)</f>
        <v/>
      </c>
      <c r="D440" s="88" t="str">
        <f>IF($F440="","",'הזנה לתנאי סף'!E440)</f>
        <v/>
      </c>
      <c r="E440" s="88" t="str">
        <f>IF($F440="","",'הזנה לתנאי סף'!F440)</f>
        <v/>
      </c>
      <c r="F440" s="88" t="str">
        <f>IF(OR('הזנה לתנאי סף'!G440="",'הזנה לתנאי סף'!BL440&lt;&gt;1),"",'הזנה לתנאי סף'!G440)</f>
        <v/>
      </c>
      <c r="G440" s="88" t="str">
        <f>IF($F440="","",'הזנה לתנאי סף'!H440)</f>
        <v/>
      </c>
      <c r="H440" s="88" t="str">
        <f>IF($F440="","",'הזנה לתנאי סף'!I440)</f>
        <v/>
      </c>
      <c r="I440" s="109"/>
      <c r="J440" s="213" t="str">
        <f>IF($F440="","",'הזנה לתנאי סף'!S440)</f>
        <v/>
      </c>
      <c r="K440" s="109"/>
      <c r="L440" s="213" t="str">
        <f t="shared" si="68"/>
        <v/>
      </c>
      <c r="M440" s="213" t="str">
        <f>IF($F440="","",IF(L440='הזנה לתנאי סף'!R440,1,0))</f>
        <v/>
      </c>
      <c r="N440" s="214" t="str">
        <f t="shared" si="69"/>
        <v/>
      </c>
      <c r="O440" s="214" t="str">
        <f t="shared" si="70"/>
        <v/>
      </c>
      <c r="P440" s="109"/>
      <c r="Q440" s="213" t="str">
        <f>IF($F440="","",IFERROR(IF(P440&gt;0,'פרמטרים לקריטריונים'!$C$25*P440*O440,$AG$2),""))</f>
        <v/>
      </c>
      <c r="R440" s="213" t="str">
        <f>IF($F440="","",IFERROR('פרמטרים לקריטריונים'!$C$26*Q440,""))</f>
        <v/>
      </c>
      <c r="S440" s="214" t="str">
        <f t="shared" si="71"/>
        <v/>
      </c>
      <c r="T440" s="213" t="str">
        <f t="shared" si="72"/>
        <v/>
      </c>
      <c r="U440" s="213" t="str">
        <f>IF($F440="","",'הזנה לתנאי סף'!N440)</f>
        <v/>
      </c>
      <c r="V440" s="213" t="str">
        <f>IF($F440="","",'הזנה לתנאי סף'!O440)</f>
        <v/>
      </c>
      <c r="W440" s="109"/>
      <c r="X440" s="109"/>
      <c r="Y440" s="109"/>
      <c r="Z440" s="214" t="str">
        <f t="shared" si="73"/>
        <v/>
      </c>
      <c r="AA440" s="213" t="str">
        <f>IF(OR($F440="",V440=0),"",IF(V440=1,IF(COUNTBLANK(W440:X440)&gt;0,$AG$2,IF(OR(Z440&lt;='פרמטרים לקריטריונים'!$C$27,X440&gt;W440),"",X440-W440))))</f>
        <v/>
      </c>
      <c r="AB440" s="214" t="str">
        <f t="shared" si="74"/>
        <v/>
      </c>
      <c r="AC440" s="225" t="str">
        <f>IF(OR(AB440="",U440=1),"",IF(OR(COUNTBLANK(W440:Y440)&gt;0,AB440&gt;='פרמטרים לקריטריונים'!$E$54),'פרמטרים לקריטריונים'!$F$54,INDEX('פרמטרים לקריטריונים'!$F$49:$F$54,MATCH(AB440,'פרמטרים לקריטריונים'!$E$49:$E$54,1))))</f>
        <v/>
      </c>
      <c r="AD440" s="213" t="str">
        <f t="shared" si="75"/>
        <v/>
      </c>
      <c r="AE440" s="213" t="str">
        <f t="shared" si="76"/>
        <v/>
      </c>
      <c r="AG440" s="175">
        <f t="shared" si="77"/>
        <v>0</v>
      </c>
    </row>
    <row r="441" spans="1:33" ht="15.75" x14ac:dyDescent="0.2">
      <c r="A441" s="206" t="str">
        <f t="shared" si="67"/>
        <v/>
      </c>
      <c r="B441" s="88" t="str">
        <f>IF($F441="","",'הזנה לתנאי סף'!C441)</f>
        <v/>
      </c>
      <c r="C441" s="88" t="str">
        <f>IF($F441="","",'הזנה לתנאי סף'!D441)</f>
        <v/>
      </c>
      <c r="D441" s="88" t="str">
        <f>IF($F441="","",'הזנה לתנאי סף'!E441)</f>
        <v/>
      </c>
      <c r="E441" s="88" t="str">
        <f>IF($F441="","",'הזנה לתנאי סף'!F441)</f>
        <v/>
      </c>
      <c r="F441" s="88" t="str">
        <f>IF(OR('הזנה לתנאי סף'!G441="",'הזנה לתנאי סף'!BL441&lt;&gt;1),"",'הזנה לתנאי סף'!G441)</f>
        <v/>
      </c>
      <c r="G441" s="88" t="str">
        <f>IF($F441="","",'הזנה לתנאי סף'!H441)</f>
        <v/>
      </c>
      <c r="H441" s="88" t="str">
        <f>IF($F441="","",'הזנה לתנאי סף'!I441)</f>
        <v/>
      </c>
      <c r="I441" s="109"/>
      <c r="J441" s="213" t="str">
        <f>IF($F441="","",'הזנה לתנאי סף'!S441)</f>
        <v/>
      </c>
      <c r="K441" s="109"/>
      <c r="L441" s="213" t="str">
        <f t="shared" si="68"/>
        <v/>
      </c>
      <c r="M441" s="213" t="str">
        <f>IF($F441="","",IF(L441='הזנה לתנאי סף'!R441,1,0))</f>
        <v/>
      </c>
      <c r="N441" s="214" t="str">
        <f t="shared" si="69"/>
        <v/>
      </c>
      <c r="O441" s="214" t="str">
        <f t="shared" si="70"/>
        <v/>
      </c>
      <c r="P441" s="109"/>
      <c r="Q441" s="213" t="str">
        <f>IF($F441="","",IFERROR(IF(P441&gt;0,'פרמטרים לקריטריונים'!$C$25*P441*O441,$AG$2),""))</f>
        <v/>
      </c>
      <c r="R441" s="213" t="str">
        <f>IF($F441="","",IFERROR('פרמטרים לקריטריונים'!$C$26*Q441,""))</f>
        <v/>
      </c>
      <c r="S441" s="214" t="str">
        <f t="shared" si="71"/>
        <v/>
      </c>
      <c r="T441" s="213" t="str">
        <f t="shared" si="72"/>
        <v/>
      </c>
      <c r="U441" s="213" t="str">
        <f>IF($F441="","",'הזנה לתנאי סף'!N441)</f>
        <v/>
      </c>
      <c r="V441" s="213" t="str">
        <f>IF($F441="","",'הזנה לתנאי סף'!O441)</f>
        <v/>
      </c>
      <c r="W441" s="109"/>
      <c r="X441" s="109"/>
      <c r="Y441" s="109"/>
      <c r="Z441" s="214" t="str">
        <f t="shared" si="73"/>
        <v/>
      </c>
      <c r="AA441" s="213" t="str">
        <f>IF(OR($F441="",V441=0),"",IF(V441=1,IF(COUNTBLANK(W441:X441)&gt;0,$AG$2,IF(OR(Z441&lt;='פרמטרים לקריטריונים'!$C$27,X441&gt;W441),"",X441-W441))))</f>
        <v/>
      </c>
      <c r="AB441" s="214" t="str">
        <f t="shared" si="74"/>
        <v/>
      </c>
      <c r="AC441" s="225" t="str">
        <f>IF(OR(AB441="",U441=1),"",IF(OR(COUNTBLANK(W441:Y441)&gt;0,AB441&gt;='פרמטרים לקריטריונים'!$E$54),'פרמטרים לקריטריונים'!$F$54,INDEX('פרמטרים לקריטריונים'!$F$49:$F$54,MATCH(AB441,'פרמטרים לקריטריונים'!$E$49:$E$54,1))))</f>
        <v/>
      </c>
      <c r="AD441" s="213" t="str">
        <f t="shared" si="75"/>
        <v/>
      </c>
      <c r="AE441" s="213" t="str">
        <f t="shared" si="76"/>
        <v/>
      </c>
      <c r="AG441" s="175">
        <f t="shared" si="77"/>
        <v>0</v>
      </c>
    </row>
    <row r="442" spans="1:33" ht="15.75" x14ac:dyDescent="0.2">
      <c r="A442" s="206" t="str">
        <f t="shared" si="67"/>
        <v/>
      </c>
      <c r="B442" s="88" t="str">
        <f>IF($F442="","",'הזנה לתנאי סף'!C442)</f>
        <v/>
      </c>
      <c r="C442" s="88" t="str">
        <f>IF($F442="","",'הזנה לתנאי סף'!D442)</f>
        <v/>
      </c>
      <c r="D442" s="88" t="str">
        <f>IF($F442="","",'הזנה לתנאי סף'!E442)</f>
        <v/>
      </c>
      <c r="E442" s="88" t="str">
        <f>IF($F442="","",'הזנה לתנאי סף'!F442)</f>
        <v/>
      </c>
      <c r="F442" s="88" t="str">
        <f>IF(OR('הזנה לתנאי סף'!G442="",'הזנה לתנאי סף'!BL442&lt;&gt;1),"",'הזנה לתנאי סף'!G442)</f>
        <v/>
      </c>
      <c r="G442" s="88" t="str">
        <f>IF($F442="","",'הזנה לתנאי סף'!H442)</f>
        <v/>
      </c>
      <c r="H442" s="88" t="str">
        <f>IF($F442="","",'הזנה לתנאי סף'!I442)</f>
        <v/>
      </c>
      <c r="I442" s="109"/>
      <c r="J442" s="213" t="str">
        <f>IF($F442="","",'הזנה לתנאי סף'!S442)</f>
        <v/>
      </c>
      <c r="K442" s="109"/>
      <c r="L442" s="213" t="str">
        <f t="shared" si="68"/>
        <v/>
      </c>
      <c r="M442" s="213" t="str">
        <f>IF($F442="","",IF(L442='הזנה לתנאי סף'!R442,1,0))</f>
        <v/>
      </c>
      <c r="N442" s="214" t="str">
        <f t="shared" si="69"/>
        <v/>
      </c>
      <c r="O442" s="214" t="str">
        <f t="shared" si="70"/>
        <v/>
      </c>
      <c r="P442" s="109"/>
      <c r="Q442" s="213" t="str">
        <f>IF($F442="","",IFERROR(IF(P442&gt;0,'פרמטרים לקריטריונים'!$C$25*P442*O442,$AG$2),""))</f>
        <v/>
      </c>
      <c r="R442" s="213" t="str">
        <f>IF($F442="","",IFERROR('פרמטרים לקריטריונים'!$C$26*Q442,""))</f>
        <v/>
      </c>
      <c r="S442" s="214" t="str">
        <f t="shared" si="71"/>
        <v/>
      </c>
      <c r="T442" s="213" t="str">
        <f t="shared" si="72"/>
        <v/>
      </c>
      <c r="U442" s="213" t="str">
        <f>IF($F442="","",'הזנה לתנאי סף'!N442)</f>
        <v/>
      </c>
      <c r="V442" s="213" t="str">
        <f>IF($F442="","",'הזנה לתנאי סף'!O442)</f>
        <v/>
      </c>
      <c r="W442" s="109"/>
      <c r="X442" s="109"/>
      <c r="Y442" s="109"/>
      <c r="Z442" s="214" t="str">
        <f t="shared" si="73"/>
        <v/>
      </c>
      <c r="AA442" s="213" t="str">
        <f>IF(OR($F442="",V442=0),"",IF(V442=1,IF(COUNTBLANK(W442:X442)&gt;0,$AG$2,IF(OR(Z442&lt;='פרמטרים לקריטריונים'!$C$27,X442&gt;W442),"",X442-W442))))</f>
        <v/>
      </c>
      <c r="AB442" s="214" t="str">
        <f t="shared" si="74"/>
        <v/>
      </c>
      <c r="AC442" s="225" t="str">
        <f>IF(OR(AB442="",U442=1),"",IF(OR(COUNTBLANK(W442:Y442)&gt;0,AB442&gt;='פרמטרים לקריטריונים'!$E$54),'פרמטרים לקריטריונים'!$F$54,INDEX('פרמטרים לקריטריונים'!$F$49:$F$54,MATCH(AB442,'פרמטרים לקריטריונים'!$E$49:$E$54,1))))</f>
        <v/>
      </c>
      <c r="AD442" s="213" t="str">
        <f t="shared" si="75"/>
        <v/>
      </c>
      <c r="AE442" s="213" t="str">
        <f t="shared" si="76"/>
        <v/>
      </c>
      <c r="AG442" s="175">
        <f t="shared" si="77"/>
        <v>0</v>
      </c>
    </row>
    <row r="443" spans="1:33" ht="15.75" x14ac:dyDescent="0.2">
      <c r="A443" s="206" t="str">
        <f t="shared" si="67"/>
        <v/>
      </c>
      <c r="B443" s="88" t="str">
        <f>IF($F443="","",'הזנה לתנאי סף'!C443)</f>
        <v/>
      </c>
      <c r="C443" s="88" t="str">
        <f>IF($F443="","",'הזנה לתנאי סף'!D443)</f>
        <v/>
      </c>
      <c r="D443" s="88" t="str">
        <f>IF($F443="","",'הזנה לתנאי סף'!E443)</f>
        <v/>
      </c>
      <c r="E443" s="88" t="str">
        <f>IF($F443="","",'הזנה לתנאי סף'!F443)</f>
        <v/>
      </c>
      <c r="F443" s="88" t="str">
        <f>IF(OR('הזנה לתנאי סף'!G443="",'הזנה לתנאי סף'!BL443&lt;&gt;1),"",'הזנה לתנאי סף'!G443)</f>
        <v/>
      </c>
      <c r="G443" s="88" t="str">
        <f>IF($F443="","",'הזנה לתנאי סף'!H443)</f>
        <v/>
      </c>
      <c r="H443" s="88" t="str">
        <f>IF($F443="","",'הזנה לתנאי סף'!I443)</f>
        <v/>
      </c>
      <c r="I443" s="109"/>
      <c r="J443" s="213" t="str">
        <f>IF($F443="","",'הזנה לתנאי סף'!S443)</f>
        <v/>
      </c>
      <c r="K443" s="109"/>
      <c r="L443" s="213" t="str">
        <f t="shared" si="68"/>
        <v/>
      </c>
      <c r="M443" s="213" t="str">
        <f>IF($F443="","",IF(L443='הזנה לתנאי סף'!R443,1,0))</f>
        <v/>
      </c>
      <c r="N443" s="214" t="str">
        <f t="shared" si="69"/>
        <v/>
      </c>
      <c r="O443" s="214" t="str">
        <f t="shared" si="70"/>
        <v/>
      </c>
      <c r="P443" s="109"/>
      <c r="Q443" s="213" t="str">
        <f>IF($F443="","",IFERROR(IF(P443&gt;0,'פרמטרים לקריטריונים'!$C$25*P443*O443,$AG$2),""))</f>
        <v/>
      </c>
      <c r="R443" s="213" t="str">
        <f>IF($F443="","",IFERROR('פרמטרים לקריטריונים'!$C$26*Q443,""))</f>
        <v/>
      </c>
      <c r="S443" s="214" t="str">
        <f t="shared" si="71"/>
        <v/>
      </c>
      <c r="T443" s="213" t="str">
        <f t="shared" si="72"/>
        <v/>
      </c>
      <c r="U443" s="213" t="str">
        <f>IF($F443="","",'הזנה לתנאי סף'!N443)</f>
        <v/>
      </c>
      <c r="V443" s="213" t="str">
        <f>IF($F443="","",'הזנה לתנאי סף'!O443)</f>
        <v/>
      </c>
      <c r="W443" s="109"/>
      <c r="X443" s="109"/>
      <c r="Y443" s="109"/>
      <c r="Z443" s="214" t="str">
        <f t="shared" si="73"/>
        <v/>
      </c>
      <c r="AA443" s="213" t="str">
        <f>IF(OR($F443="",V443=0),"",IF(V443=1,IF(COUNTBLANK(W443:X443)&gt;0,$AG$2,IF(OR(Z443&lt;='פרמטרים לקריטריונים'!$C$27,X443&gt;W443),"",X443-W443))))</f>
        <v/>
      </c>
      <c r="AB443" s="214" t="str">
        <f t="shared" si="74"/>
        <v/>
      </c>
      <c r="AC443" s="225" t="str">
        <f>IF(OR(AB443="",U443=1),"",IF(OR(COUNTBLANK(W443:Y443)&gt;0,AB443&gt;='פרמטרים לקריטריונים'!$E$54),'פרמטרים לקריטריונים'!$F$54,INDEX('פרמטרים לקריטריונים'!$F$49:$F$54,MATCH(AB443,'פרמטרים לקריטריונים'!$E$49:$E$54,1))))</f>
        <v/>
      </c>
      <c r="AD443" s="213" t="str">
        <f t="shared" si="75"/>
        <v/>
      </c>
      <c r="AE443" s="213" t="str">
        <f t="shared" si="76"/>
        <v/>
      </c>
      <c r="AG443" s="175">
        <f t="shared" si="77"/>
        <v>0</v>
      </c>
    </row>
    <row r="444" spans="1:33" ht="15.75" x14ac:dyDescent="0.2">
      <c r="A444" s="206" t="str">
        <f t="shared" si="67"/>
        <v/>
      </c>
      <c r="B444" s="88" t="str">
        <f>IF($F444="","",'הזנה לתנאי סף'!C444)</f>
        <v/>
      </c>
      <c r="C444" s="88" t="str">
        <f>IF($F444="","",'הזנה לתנאי סף'!D444)</f>
        <v/>
      </c>
      <c r="D444" s="88" t="str">
        <f>IF($F444="","",'הזנה לתנאי סף'!E444)</f>
        <v/>
      </c>
      <c r="E444" s="88" t="str">
        <f>IF($F444="","",'הזנה לתנאי סף'!F444)</f>
        <v/>
      </c>
      <c r="F444" s="88" t="str">
        <f>IF(OR('הזנה לתנאי סף'!G444="",'הזנה לתנאי סף'!BL444&lt;&gt;1),"",'הזנה לתנאי סף'!G444)</f>
        <v/>
      </c>
      <c r="G444" s="88" t="str">
        <f>IF($F444="","",'הזנה לתנאי סף'!H444)</f>
        <v/>
      </c>
      <c r="H444" s="88" t="str">
        <f>IF($F444="","",'הזנה לתנאי סף'!I444)</f>
        <v/>
      </c>
      <c r="I444" s="109"/>
      <c r="J444" s="213" t="str">
        <f>IF($F444="","",'הזנה לתנאי סף'!S444)</f>
        <v/>
      </c>
      <c r="K444" s="109"/>
      <c r="L444" s="213" t="str">
        <f t="shared" si="68"/>
        <v/>
      </c>
      <c r="M444" s="213" t="str">
        <f>IF($F444="","",IF(L444='הזנה לתנאי סף'!R444,1,0))</f>
        <v/>
      </c>
      <c r="N444" s="214" t="str">
        <f t="shared" si="69"/>
        <v/>
      </c>
      <c r="O444" s="214" t="str">
        <f t="shared" si="70"/>
        <v/>
      </c>
      <c r="P444" s="109"/>
      <c r="Q444" s="213" t="str">
        <f>IF($F444="","",IFERROR(IF(P444&gt;0,'פרמטרים לקריטריונים'!$C$25*P444*O444,$AG$2),""))</f>
        <v/>
      </c>
      <c r="R444" s="213" t="str">
        <f>IF($F444="","",IFERROR('פרמטרים לקריטריונים'!$C$26*Q444,""))</f>
        <v/>
      </c>
      <c r="S444" s="214" t="str">
        <f t="shared" si="71"/>
        <v/>
      </c>
      <c r="T444" s="213" t="str">
        <f t="shared" si="72"/>
        <v/>
      </c>
      <c r="U444" s="213" t="str">
        <f>IF($F444="","",'הזנה לתנאי סף'!N444)</f>
        <v/>
      </c>
      <c r="V444" s="213" t="str">
        <f>IF($F444="","",'הזנה לתנאי סף'!O444)</f>
        <v/>
      </c>
      <c r="W444" s="109"/>
      <c r="X444" s="109"/>
      <c r="Y444" s="109"/>
      <c r="Z444" s="214" t="str">
        <f t="shared" si="73"/>
        <v/>
      </c>
      <c r="AA444" s="213" t="str">
        <f>IF(OR($F444="",V444=0),"",IF(V444=1,IF(COUNTBLANK(W444:X444)&gt;0,$AG$2,IF(OR(Z444&lt;='פרמטרים לקריטריונים'!$C$27,X444&gt;W444),"",X444-W444))))</f>
        <v/>
      </c>
      <c r="AB444" s="214" t="str">
        <f t="shared" si="74"/>
        <v/>
      </c>
      <c r="AC444" s="225" t="str">
        <f>IF(OR(AB444="",U444=1),"",IF(OR(COUNTBLANK(W444:Y444)&gt;0,AB444&gt;='פרמטרים לקריטריונים'!$E$54),'פרמטרים לקריטריונים'!$F$54,INDEX('פרמטרים לקריטריונים'!$F$49:$F$54,MATCH(AB444,'פרמטרים לקריטריונים'!$E$49:$E$54,1))))</f>
        <v/>
      </c>
      <c r="AD444" s="213" t="str">
        <f t="shared" si="75"/>
        <v/>
      </c>
      <c r="AE444" s="213" t="str">
        <f t="shared" si="76"/>
        <v/>
      </c>
      <c r="AG444" s="175">
        <f t="shared" si="77"/>
        <v>0</v>
      </c>
    </row>
    <row r="445" spans="1:33" ht="15.75" x14ac:dyDescent="0.2">
      <c r="A445" s="206" t="str">
        <f t="shared" si="67"/>
        <v/>
      </c>
      <c r="B445" s="88" t="str">
        <f>IF($F445="","",'הזנה לתנאי סף'!C445)</f>
        <v/>
      </c>
      <c r="C445" s="88" t="str">
        <f>IF($F445="","",'הזנה לתנאי סף'!D445)</f>
        <v/>
      </c>
      <c r="D445" s="88" t="str">
        <f>IF($F445="","",'הזנה לתנאי סף'!E445)</f>
        <v/>
      </c>
      <c r="E445" s="88" t="str">
        <f>IF($F445="","",'הזנה לתנאי סף'!F445)</f>
        <v/>
      </c>
      <c r="F445" s="88" t="str">
        <f>IF(OR('הזנה לתנאי סף'!G445="",'הזנה לתנאי סף'!BL445&lt;&gt;1),"",'הזנה לתנאי סף'!G445)</f>
        <v/>
      </c>
      <c r="G445" s="88" t="str">
        <f>IF($F445="","",'הזנה לתנאי סף'!H445)</f>
        <v/>
      </c>
      <c r="H445" s="88" t="str">
        <f>IF($F445="","",'הזנה לתנאי סף'!I445)</f>
        <v/>
      </c>
      <c r="I445" s="109"/>
      <c r="J445" s="213" t="str">
        <f>IF($F445="","",'הזנה לתנאי סף'!S445)</f>
        <v/>
      </c>
      <c r="K445" s="109"/>
      <c r="L445" s="213" t="str">
        <f t="shared" si="68"/>
        <v/>
      </c>
      <c r="M445" s="213" t="str">
        <f>IF($F445="","",IF(L445='הזנה לתנאי סף'!R445,1,0))</f>
        <v/>
      </c>
      <c r="N445" s="214" t="str">
        <f t="shared" si="69"/>
        <v/>
      </c>
      <c r="O445" s="214" t="str">
        <f t="shared" si="70"/>
        <v/>
      </c>
      <c r="P445" s="109"/>
      <c r="Q445" s="213" t="str">
        <f>IF($F445="","",IFERROR(IF(P445&gt;0,'פרמטרים לקריטריונים'!$C$25*P445*O445,$AG$2),""))</f>
        <v/>
      </c>
      <c r="R445" s="213" t="str">
        <f>IF($F445="","",IFERROR('פרמטרים לקריטריונים'!$C$26*Q445,""))</f>
        <v/>
      </c>
      <c r="S445" s="214" t="str">
        <f t="shared" si="71"/>
        <v/>
      </c>
      <c r="T445" s="213" t="str">
        <f t="shared" si="72"/>
        <v/>
      </c>
      <c r="U445" s="213" t="str">
        <f>IF($F445="","",'הזנה לתנאי סף'!N445)</f>
        <v/>
      </c>
      <c r="V445" s="213" t="str">
        <f>IF($F445="","",'הזנה לתנאי סף'!O445)</f>
        <v/>
      </c>
      <c r="W445" s="109"/>
      <c r="X445" s="109"/>
      <c r="Y445" s="109"/>
      <c r="Z445" s="214" t="str">
        <f t="shared" si="73"/>
        <v/>
      </c>
      <c r="AA445" s="213" t="str">
        <f>IF(OR($F445="",V445=0),"",IF(V445=1,IF(COUNTBLANK(W445:X445)&gt;0,$AG$2,IF(OR(Z445&lt;='פרמטרים לקריטריונים'!$C$27,X445&gt;W445),"",X445-W445))))</f>
        <v/>
      </c>
      <c r="AB445" s="214" t="str">
        <f t="shared" si="74"/>
        <v/>
      </c>
      <c r="AC445" s="225" t="str">
        <f>IF(OR(AB445="",U445=1),"",IF(OR(COUNTBLANK(W445:Y445)&gt;0,AB445&gt;='פרמטרים לקריטריונים'!$E$54),'פרמטרים לקריטריונים'!$F$54,INDEX('פרמטרים לקריטריונים'!$F$49:$F$54,MATCH(AB445,'פרמטרים לקריטריונים'!$E$49:$E$54,1))))</f>
        <v/>
      </c>
      <c r="AD445" s="213" t="str">
        <f t="shared" si="75"/>
        <v/>
      </c>
      <c r="AE445" s="213" t="str">
        <f t="shared" si="76"/>
        <v/>
      </c>
      <c r="AG445" s="175">
        <f t="shared" si="77"/>
        <v>0</v>
      </c>
    </row>
    <row r="446" spans="1:33" ht="15.75" x14ac:dyDescent="0.2">
      <c r="A446" s="206" t="str">
        <f t="shared" si="67"/>
        <v/>
      </c>
      <c r="B446" s="88" t="str">
        <f>IF($F446="","",'הזנה לתנאי סף'!C446)</f>
        <v/>
      </c>
      <c r="C446" s="88" t="str">
        <f>IF($F446="","",'הזנה לתנאי סף'!D446)</f>
        <v/>
      </c>
      <c r="D446" s="88" t="str">
        <f>IF($F446="","",'הזנה לתנאי סף'!E446)</f>
        <v/>
      </c>
      <c r="E446" s="88" t="str">
        <f>IF($F446="","",'הזנה לתנאי סף'!F446)</f>
        <v/>
      </c>
      <c r="F446" s="88" t="str">
        <f>IF(OR('הזנה לתנאי סף'!G446="",'הזנה לתנאי סף'!BL446&lt;&gt;1),"",'הזנה לתנאי סף'!G446)</f>
        <v/>
      </c>
      <c r="G446" s="88" t="str">
        <f>IF($F446="","",'הזנה לתנאי סף'!H446)</f>
        <v/>
      </c>
      <c r="H446" s="88" t="str">
        <f>IF($F446="","",'הזנה לתנאי סף'!I446)</f>
        <v/>
      </c>
      <c r="I446" s="109"/>
      <c r="J446" s="213" t="str">
        <f>IF($F446="","",'הזנה לתנאי סף'!S446)</f>
        <v/>
      </c>
      <c r="K446" s="109"/>
      <c r="L446" s="213" t="str">
        <f t="shared" si="68"/>
        <v/>
      </c>
      <c r="M446" s="213" t="str">
        <f>IF($F446="","",IF(L446='הזנה לתנאי סף'!R446,1,0))</f>
        <v/>
      </c>
      <c r="N446" s="214" t="str">
        <f t="shared" si="69"/>
        <v/>
      </c>
      <c r="O446" s="214" t="str">
        <f t="shared" si="70"/>
        <v/>
      </c>
      <c r="P446" s="109"/>
      <c r="Q446" s="213" t="str">
        <f>IF($F446="","",IFERROR(IF(P446&gt;0,'פרמטרים לקריטריונים'!$C$25*P446*O446,$AG$2),""))</f>
        <v/>
      </c>
      <c r="R446" s="213" t="str">
        <f>IF($F446="","",IFERROR('פרמטרים לקריטריונים'!$C$26*Q446,""))</f>
        <v/>
      </c>
      <c r="S446" s="214" t="str">
        <f t="shared" si="71"/>
        <v/>
      </c>
      <c r="T446" s="213" t="str">
        <f t="shared" si="72"/>
        <v/>
      </c>
      <c r="U446" s="213" t="str">
        <f>IF($F446="","",'הזנה לתנאי סף'!N446)</f>
        <v/>
      </c>
      <c r="V446" s="213" t="str">
        <f>IF($F446="","",'הזנה לתנאי סף'!O446)</f>
        <v/>
      </c>
      <c r="W446" s="109"/>
      <c r="X446" s="109"/>
      <c r="Y446" s="109"/>
      <c r="Z446" s="214" t="str">
        <f t="shared" si="73"/>
        <v/>
      </c>
      <c r="AA446" s="213" t="str">
        <f>IF(OR($F446="",V446=0),"",IF(V446=1,IF(COUNTBLANK(W446:X446)&gt;0,$AG$2,IF(OR(Z446&lt;='פרמטרים לקריטריונים'!$C$27,X446&gt;W446),"",X446-W446))))</f>
        <v/>
      </c>
      <c r="AB446" s="214" t="str">
        <f t="shared" si="74"/>
        <v/>
      </c>
      <c r="AC446" s="225" t="str">
        <f>IF(OR(AB446="",U446=1),"",IF(OR(COUNTBLANK(W446:Y446)&gt;0,AB446&gt;='פרמטרים לקריטריונים'!$E$54),'פרמטרים לקריטריונים'!$F$54,INDEX('פרמטרים לקריטריונים'!$F$49:$F$54,MATCH(AB446,'פרמטרים לקריטריונים'!$E$49:$E$54,1))))</f>
        <v/>
      </c>
      <c r="AD446" s="213" t="str">
        <f t="shared" si="75"/>
        <v/>
      </c>
      <c r="AE446" s="213" t="str">
        <f t="shared" si="76"/>
        <v/>
      </c>
      <c r="AG446" s="175">
        <f t="shared" si="77"/>
        <v>0</v>
      </c>
    </row>
    <row r="447" spans="1:33" ht="15.75" x14ac:dyDescent="0.2">
      <c r="A447" s="206" t="str">
        <f t="shared" si="67"/>
        <v/>
      </c>
      <c r="B447" s="88" t="str">
        <f>IF($F447="","",'הזנה לתנאי סף'!C447)</f>
        <v/>
      </c>
      <c r="C447" s="88" t="str">
        <f>IF($F447="","",'הזנה לתנאי סף'!D447)</f>
        <v/>
      </c>
      <c r="D447" s="88" t="str">
        <f>IF($F447="","",'הזנה לתנאי סף'!E447)</f>
        <v/>
      </c>
      <c r="E447" s="88" t="str">
        <f>IF($F447="","",'הזנה לתנאי סף'!F447)</f>
        <v/>
      </c>
      <c r="F447" s="88" t="str">
        <f>IF(OR('הזנה לתנאי סף'!G447="",'הזנה לתנאי סף'!BL447&lt;&gt;1),"",'הזנה לתנאי סף'!G447)</f>
        <v/>
      </c>
      <c r="G447" s="88" t="str">
        <f>IF($F447="","",'הזנה לתנאי סף'!H447)</f>
        <v/>
      </c>
      <c r="H447" s="88" t="str">
        <f>IF($F447="","",'הזנה לתנאי סף'!I447)</f>
        <v/>
      </c>
      <c r="I447" s="109"/>
      <c r="J447" s="213" t="str">
        <f>IF($F447="","",'הזנה לתנאי סף'!S447)</f>
        <v/>
      </c>
      <c r="K447" s="109"/>
      <c r="L447" s="213" t="str">
        <f t="shared" si="68"/>
        <v/>
      </c>
      <c r="M447" s="213" t="str">
        <f>IF($F447="","",IF(L447='הזנה לתנאי סף'!R447,1,0))</f>
        <v/>
      </c>
      <c r="N447" s="214" t="str">
        <f t="shared" si="69"/>
        <v/>
      </c>
      <c r="O447" s="214" t="str">
        <f t="shared" si="70"/>
        <v/>
      </c>
      <c r="P447" s="109"/>
      <c r="Q447" s="213" t="str">
        <f>IF($F447="","",IFERROR(IF(P447&gt;0,'פרמטרים לקריטריונים'!$C$25*P447*O447,$AG$2),""))</f>
        <v/>
      </c>
      <c r="R447" s="213" t="str">
        <f>IF($F447="","",IFERROR('פרמטרים לקריטריונים'!$C$26*Q447,""))</f>
        <v/>
      </c>
      <c r="S447" s="214" t="str">
        <f t="shared" si="71"/>
        <v/>
      </c>
      <c r="T447" s="213" t="str">
        <f t="shared" si="72"/>
        <v/>
      </c>
      <c r="U447" s="213" t="str">
        <f>IF($F447="","",'הזנה לתנאי סף'!N447)</f>
        <v/>
      </c>
      <c r="V447" s="213" t="str">
        <f>IF($F447="","",'הזנה לתנאי סף'!O447)</f>
        <v/>
      </c>
      <c r="W447" s="109"/>
      <c r="X447" s="109"/>
      <c r="Y447" s="109"/>
      <c r="Z447" s="214" t="str">
        <f t="shared" si="73"/>
        <v/>
      </c>
      <c r="AA447" s="213" t="str">
        <f>IF(OR($F447="",V447=0),"",IF(V447=1,IF(COUNTBLANK(W447:X447)&gt;0,$AG$2,IF(OR(Z447&lt;='פרמטרים לקריטריונים'!$C$27,X447&gt;W447),"",X447-W447))))</f>
        <v/>
      </c>
      <c r="AB447" s="214" t="str">
        <f t="shared" si="74"/>
        <v/>
      </c>
      <c r="AC447" s="225" t="str">
        <f>IF(OR(AB447="",U447=1),"",IF(OR(COUNTBLANK(W447:Y447)&gt;0,AB447&gt;='פרמטרים לקריטריונים'!$E$54),'פרמטרים לקריטריונים'!$F$54,INDEX('פרמטרים לקריטריונים'!$F$49:$F$54,MATCH(AB447,'פרמטרים לקריטריונים'!$E$49:$E$54,1))))</f>
        <v/>
      </c>
      <c r="AD447" s="213" t="str">
        <f t="shared" si="75"/>
        <v/>
      </c>
      <c r="AE447" s="213" t="str">
        <f t="shared" si="76"/>
        <v/>
      </c>
      <c r="AG447" s="175">
        <f t="shared" si="77"/>
        <v>0</v>
      </c>
    </row>
    <row r="448" spans="1:33" ht="15.75" x14ac:dyDescent="0.2">
      <c r="A448" s="206" t="str">
        <f t="shared" si="67"/>
        <v/>
      </c>
      <c r="B448" s="88" t="str">
        <f>IF($F448="","",'הזנה לתנאי סף'!C448)</f>
        <v/>
      </c>
      <c r="C448" s="88" t="str">
        <f>IF($F448="","",'הזנה לתנאי סף'!D448)</f>
        <v/>
      </c>
      <c r="D448" s="88" t="str">
        <f>IF($F448="","",'הזנה לתנאי סף'!E448)</f>
        <v/>
      </c>
      <c r="E448" s="88" t="str">
        <f>IF($F448="","",'הזנה לתנאי סף'!F448)</f>
        <v/>
      </c>
      <c r="F448" s="88" t="str">
        <f>IF(OR('הזנה לתנאי סף'!G448="",'הזנה לתנאי סף'!BL448&lt;&gt;1),"",'הזנה לתנאי סף'!G448)</f>
        <v/>
      </c>
      <c r="G448" s="88" t="str">
        <f>IF($F448="","",'הזנה לתנאי סף'!H448)</f>
        <v/>
      </c>
      <c r="H448" s="88" t="str">
        <f>IF($F448="","",'הזנה לתנאי סף'!I448)</f>
        <v/>
      </c>
      <c r="I448" s="109"/>
      <c r="J448" s="213" t="str">
        <f>IF($F448="","",'הזנה לתנאי סף'!S448)</f>
        <v/>
      </c>
      <c r="K448" s="109"/>
      <c r="L448" s="213" t="str">
        <f t="shared" si="68"/>
        <v/>
      </c>
      <c r="M448" s="213" t="str">
        <f>IF($F448="","",IF(L448='הזנה לתנאי סף'!R448,1,0))</f>
        <v/>
      </c>
      <c r="N448" s="214" t="str">
        <f t="shared" si="69"/>
        <v/>
      </c>
      <c r="O448" s="214" t="str">
        <f t="shared" si="70"/>
        <v/>
      </c>
      <c r="P448" s="109"/>
      <c r="Q448" s="213" t="str">
        <f>IF($F448="","",IFERROR(IF(P448&gt;0,'פרמטרים לקריטריונים'!$C$25*P448*O448,$AG$2),""))</f>
        <v/>
      </c>
      <c r="R448" s="213" t="str">
        <f>IF($F448="","",IFERROR('פרמטרים לקריטריונים'!$C$26*Q448,""))</f>
        <v/>
      </c>
      <c r="S448" s="214" t="str">
        <f t="shared" si="71"/>
        <v/>
      </c>
      <c r="T448" s="213" t="str">
        <f t="shared" si="72"/>
        <v/>
      </c>
      <c r="U448" s="213" t="str">
        <f>IF($F448="","",'הזנה לתנאי סף'!N448)</f>
        <v/>
      </c>
      <c r="V448" s="213" t="str">
        <f>IF($F448="","",'הזנה לתנאי סף'!O448)</f>
        <v/>
      </c>
      <c r="W448" s="109"/>
      <c r="X448" s="109"/>
      <c r="Y448" s="109"/>
      <c r="Z448" s="214" t="str">
        <f t="shared" si="73"/>
        <v/>
      </c>
      <c r="AA448" s="213" t="str">
        <f>IF(OR($F448="",V448=0),"",IF(V448=1,IF(COUNTBLANK(W448:X448)&gt;0,$AG$2,IF(OR(Z448&lt;='פרמטרים לקריטריונים'!$C$27,X448&gt;W448),"",X448-W448))))</f>
        <v/>
      </c>
      <c r="AB448" s="214" t="str">
        <f t="shared" si="74"/>
        <v/>
      </c>
      <c r="AC448" s="225" t="str">
        <f>IF(OR(AB448="",U448=1),"",IF(OR(COUNTBLANK(W448:Y448)&gt;0,AB448&gt;='פרמטרים לקריטריונים'!$E$54),'פרמטרים לקריטריונים'!$F$54,INDEX('פרמטרים לקריטריונים'!$F$49:$F$54,MATCH(AB448,'פרמטרים לקריטריונים'!$E$49:$E$54,1))))</f>
        <v/>
      </c>
      <c r="AD448" s="213" t="str">
        <f t="shared" si="75"/>
        <v/>
      </c>
      <c r="AE448" s="213" t="str">
        <f t="shared" si="76"/>
        <v/>
      </c>
      <c r="AG448" s="175">
        <f t="shared" si="77"/>
        <v>0</v>
      </c>
    </row>
    <row r="449" spans="1:33" ht="15.75" x14ac:dyDescent="0.2">
      <c r="A449" s="206" t="str">
        <f t="shared" si="67"/>
        <v/>
      </c>
      <c r="B449" s="88" t="str">
        <f>IF($F449="","",'הזנה לתנאי סף'!C449)</f>
        <v/>
      </c>
      <c r="C449" s="88" t="str">
        <f>IF($F449="","",'הזנה לתנאי סף'!D449)</f>
        <v/>
      </c>
      <c r="D449" s="88" t="str">
        <f>IF($F449="","",'הזנה לתנאי סף'!E449)</f>
        <v/>
      </c>
      <c r="E449" s="88" t="str">
        <f>IF($F449="","",'הזנה לתנאי סף'!F449)</f>
        <v/>
      </c>
      <c r="F449" s="88" t="str">
        <f>IF(OR('הזנה לתנאי סף'!G449="",'הזנה לתנאי סף'!BL449&lt;&gt;1),"",'הזנה לתנאי סף'!G449)</f>
        <v/>
      </c>
      <c r="G449" s="88" t="str">
        <f>IF($F449="","",'הזנה לתנאי סף'!H449)</f>
        <v/>
      </c>
      <c r="H449" s="88" t="str">
        <f>IF($F449="","",'הזנה לתנאי סף'!I449)</f>
        <v/>
      </c>
      <c r="I449" s="109"/>
      <c r="J449" s="213" t="str">
        <f>IF($F449="","",'הזנה לתנאי סף'!S449)</f>
        <v/>
      </c>
      <c r="K449" s="109"/>
      <c r="L449" s="213" t="str">
        <f t="shared" si="68"/>
        <v/>
      </c>
      <c r="M449" s="213" t="str">
        <f>IF($F449="","",IF(L449='הזנה לתנאי סף'!R449,1,0))</f>
        <v/>
      </c>
      <c r="N449" s="214" t="str">
        <f t="shared" si="69"/>
        <v/>
      </c>
      <c r="O449" s="214" t="str">
        <f t="shared" si="70"/>
        <v/>
      </c>
      <c r="P449" s="109"/>
      <c r="Q449" s="213" t="str">
        <f>IF($F449="","",IFERROR(IF(P449&gt;0,'פרמטרים לקריטריונים'!$C$25*P449*O449,$AG$2),""))</f>
        <v/>
      </c>
      <c r="R449" s="213" t="str">
        <f>IF($F449="","",IFERROR('פרמטרים לקריטריונים'!$C$26*Q449,""))</f>
        <v/>
      </c>
      <c r="S449" s="214" t="str">
        <f t="shared" si="71"/>
        <v/>
      </c>
      <c r="T449" s="213" t="str">
        <f t="shared" si="72"/>
        <v/>
      </c>
      <c r="U449" s="213" t="str">
        <f>IF($F449="","",'הזנה לתנאי סף'!N449)</f>
        <v/>
      </c>
      <c r="V449" s="213" t="str">
        <f>IF($F449="","",'הזנה לתנאי סף'!O449)</f>
        <v/>
      </c>
      <c r="W449" s="109"/>
      <c r="X449" s="109"/>
      <c r="Y449" s="109"/>
      <c r="Z449" s="214" t="str">
        <f t="shared" si="73"/>
        <v/>
      </c>
      <c r="AA449" s="213" t="str">
        <f>IF(OR($F449="",V449=0),"",IF(V449=1,IF(COUNTBLANK(W449:X449)&gt;0,$AG$2,IF(OR(Z449&lt;='פרמטרים לקריטריונים'!$C$27,X449&gt;W449),"",X449-W449))))</f>
        <v/>
      </c>
      <c r="AB449" s="214" t="str">
        <f t="shared" si="74"/>
        <v/>
      </c>
      <c r="AC449" s="225" t="str">
        <f>IF(OR(AB449="",U449=1),"",IF(OR(COUNTBLANK(W449:Y449)&gt;0,AB449&gt;='פרמטרים לקריטריונים'!$E$54),'פרמטרים לקריטריונים'!$F$54,INDEX('פרמטרים לקריטריונים'!$F$49:$F$54,MATCH(AB449,'פרמטרים לקריטריונים'!$E$49:$E$54,1))))</f>
        <v/>
      </c>
      <c r="AD449" s="213" t="str">
        <f t="shared" si="75"/>
        <v/>
      </c>
      <c r="AE449" s="213" t="str">
        <f t="shared" si="76"/>
        <v/>
      </c>
      <c r="AG449" s="175">
        <f t="shared" si="77"/>
        <v>0</v>
      </c>
    </row>
    <row r="450" spans="1:33" ht="15.75" x14ac:dyDescent="0.2">
      <c r="A450" s="206" t="str">
        <f t="shared" si="67"/>
        <v/>
      </c>
      <c r="B450" s="88" t="str">
        <f>IF($F450="","",'הזנה לתנאי סף'!C450)</f>
        <v/>
      </c>
      <c r="C450" s="88" t="str">
        <f>IF($F450="","",'הזנה לתנאי סף'!D450)</f>
        <v/>
      </c>
      <c r="D450" s="88" t="str">
        <f>IF($F450="","",'הזנה לתנאי סף'!E450)</f>
        <v/>
      </c>
      <c r="E450" s="88" t="str">
        <f>IF($F450="","",'הזנה לתנאי סף'!F450)</f>
        <v/>
      </c>
      <c r="F450" s="88" t="str">
        <f>IF(OR('הזנה לתנאי סף'!G450="",'הזנה לתנאי סף'!BL450&lt;&gt;1),"",'הזנה לתנאי סף'!G450)</f>
        <v/>
      </c>
      <c r="G450" s="88" t="str">
        <f>IF($F450="","",'הזנה לתנאי סף'!H450)</f>
        <v/>
      </c>
      <c r="H450" s="88" t="str">
        <f>IF($F450="","",'הזנה לתנאי סף'!I450)</f>
        <v/>
      </c>
      <c r="I450" s="109"/>
      <c r="J450" s="213" t="str">
        <f>IF($F450="","",'הזנה לתנאי סף'!S450)</f>
        <v/>
      </c>
      <c r="K450" s="109"/>
      <c r="L450" s="213" t="str">
        <f t="shared" si="68"/>
        <v/>
      </c>
      <c r="M450" s="213" t="str">
        <f>IF($F450="","",IF(L450='הזנה לתנאי סף'!R450,1,0))</f>
        <v/>
      </c>
      <c r="N450" s="214" t="str">
        <f t="shared" si="69"/>
        <v/>
      </c>
      <c r="O450" s="214" t="str">
        <f t="shared" si="70"/>
        <v/>
      </c>
      <c r="P450" s="109"/>
      <c r="Q450" s="213" t="str">
        <f>IF($F450="","",IFERROR(IF(P450&gt;0,'פרמטרים לקריטריונים'!$C$25*P450*O450,$AG$2),""))</f>
        <v/>
      </c>
      <c r="R450" s="213" t="str">
        <f>IF($F450="","",IFERROR('פרמטרים לקריטריונים'!$C$26*Q450,""))</f>
        <v/>
      </c>
      <c r="S450" s="214" t="str">
        <f t="shared" si="71"/>
        <v/>
      </c>
      <c r="T450" s="213" t="str">
        <f t="shared" si="72"/>
        <v/>
      </c>
      <c r="U450" s="213" t="str">
        <f>IF($F450="","",'הזנה לתנאי סף'!N450)</f>
        <v/>
      </c>
      <c r="V450" s="213" t="str">
        <f>IF($F450="","",'הזנה לתנאי סף'!O450)</f>
        <v/>
      </c>
      <c r="W450" s="109"/>
      <c r="X450" s="109"/>
      <c r="Y450" s="109"/>
      <c r="Z450" s="214" t="str">
        <f t="shared" si="73"/>
        <v/>
      </c>
      <c r="AA450" s="213" t="str">
        <f>IF(OR($F450="",V450=0),"",IF(V450=1,IF(COUNTBLANK(W450:X450)&gt;0,$AG$2,IF(OR(Z450&lt;='פרמטרים לקריטריונים'!$C$27,X450&gt;W450),"",X450-W450))))</f>
        <v/>
      </c>
      <c r="AB450" s="214" t="str">
        <f t="shared" si="74"/>
        <v/>
      </c>
      <c r="AC450" s="225" t="str">
        <f>IF(OR(AB450="",U450=1),"",IF(OR(COUNTBLANK(W450:Y450)&gt;0,AB450&gt;='פרמטרים לקריטריונים'!$E$54),'פרמטרים לקריטריונים'!$F$54,INDEX('פרמטרים לקריטריונים'!$F$49:$F$54,MATCH(AB450,'פרמטרים לקריטריונים'!$E$49:$E$54,1))))</f>
        <v/>
      </c>
      <c r="AD450" s="213" t="str">
        <f t="shared" si="75"/>
        <v/>
      </c>
      <c r="AE450" s="213" t="str">
        <f t="shared" si="76"/>
        <v/>
      </c>
      <c r="AG450" s="175">
        <f t="shared" si="77"/>
        <v>0</v>
      </c>
    </row>
    <row r="451" spans="1:33" ht="15.75" x14ac:dyDescent="0.2">
      <c r="A451" s="206" t="str">
        <f t="shared" si="67"/>
        <v/>
      </c>
      <c r="B451" s="88" t="str">
        <f>IF($F451="","",'הזנה לתנאי סף'!C451)</f>
        <v/>
      </c>
      <c r="C451" s="88" t="str">
        <f>IF($F451="","",'הזנה לתנאי סף'!D451)</f>
        <v/>
      </c>
      <c r="D451" s="88" t="str">
        <f>IF($F451="","",'הזנה לתנאי סף'!E451)</f>
        <v/>
      </c>
      <c r="E451" s="88" t="str">
        <f>IF($F451="","",'הזנה לתנאי סף'!F451)</f>
        <v/>
      </c>
      <c r="F451" s="88" t="str">
        <f>IF(OR('הזנה לתנאי סף'!G451="",'הזנה לתנאי סף'!BL451&lt;&gt;1),"",'הזנה לתנאי סף'!G451)</f>
        <v/>
      </c>
      <c r="G451" s="88" t="str">
        <f>IF($F451="","",'הזנה לתנאי סף'!H451)</f>
        <v/>
      </c>
      <c r="H451" s="88" t="str">
        <f>IF($F451="","",'הזנה לתנאי סף'!I451)</f>
        <v/>
      </c>
      <c r="I451" s="109"/>
      <c r="J451" s="213" t="str">
        <f>IF($F451="","",'הזנה לתנאי סף'!S451)</f>
        <v/>
      </c>
      <c r="K451" s="109"/>
      <c r="L451" s="213" t="str">
        <f t="shared" si="68"/>
        <v/>
      </c>
      <c r="M451" s="213" t="str">
        <f>IF($F451="","",IF(L451='הזנה לתנאי סף'!R451,1,0))</f>
        <v/>
      </c>
      <c r="N451" s="214" t="str">
        <f t="shared" si="69"/>
        <v/>
      </c>
      <c r="O451" s="214" t="str">
        <f t="shared" si="70"/>
        <v/>
      </c>
      <c r="P451" s="109"/>
      <c r="Q451" s="213" t="str">
        <f>IF($F451="","",IFERROR(IF(P451&gt;0,'פרמטרים לקריטריונים'!$C$25*P451*O451,$AG$2),""))</f>
        <v/>
      </c>
      <c r="R451" s="213" t="str">
        <f>IF($F451="","",IFERROR('פרמטרים לקריטריונים'!$C$26*Q451,""))</f>
        <v/>
      </c>
      <c r="S451" s="214" t="str">
        <f t="shared" si="71"/>
        <v/>
      </c>
      <c r="T451" s="213" t="str">
        <f t="shared" si="72"/>
        <v/>
      </c>
      <c r="U451" s="213" t="str">
        <f>IF($F451="","",'הזנה לתנאי סף'!N451)</f>
        <v/>
      </c>
      <c r="V451" s="213" t="str">
        <f>IF($F451="","",'הזנה לתנאי סף'!O451)</f>
        <v/>
      </c>
      <c r="W451" s="109"/>
      <c r="X451" s="109"/>
      <c r="Y451" s="109"/>
      <c r="Z451" s="214" t="str">
        <f t="shared" si="73"/>
        <v/>
      </c>
      <c r="AA451" s="213" t="str">
        <f>IF(OR($F451="",V451=0),"",IF(V451=1,IF(COUNTBLANK(W451:X451)&gt;0,$AG$2,IF(OR(Z451&lt;='פרמטרים לקריטריונים'!$C$27,X451&gt;W451),"",X451-W451))))</f>
        <v/>
      </c>
      <c r="AB451" s="214" t="str">
        <f t="shared" si="74"/>
        <v/>
      </c>
      <c r="AC451" s="225" t="str">
        <f>IF(OR(AB451="",U451=1),"",IF(OR(COUNTBLANK(W451:Y451)&gt;0,AB451&gt;='פרמטרים לקריטריונים'!$E$54),'פרמטרים לקריטריונים'!$F$54,INDEX('פרמטרים לקריטריונים'!$F$49:$F$54,MATCH(AB451,'פרמטרים לקריטריונים'!$E$49:$E$54,1))))</f>
        <v/>
      </c>
      <c r="AD451" s="213" t="str">
        <f t="shared" si="75"/>
        <v/>
      </c>
      <c r="AE451" s="213" t="str">
        <f t="shared" si="76"/>
        <v/>
      </c>
      <c r="AG451" s="175">
        <f t="shared" si="77"/>
        <v>0</v>
      </c>
    </row>
    <row r="452" spans="1:33" ht="15.75" x14ac:dyDescent="0.2">
      <c r="A452" s="206" t="str">
        <f t="shared" si="67"/>
        <v/>
      </c>
      <c r="B452" s="88" t="str">
        <f>IF($F452="","",'הזנה לתנאי סף'!C452)</f>
        <v/>
      </c>
      <c r="C452" s="88" t="str">
        <f>IF($F452="","",'הזנה לתנאי סף'!D452)</f>
        <v/>
      </c>
      <c r="D452" s="88" t="str">
        <f>IF($F452="","",'הזנה לתנאי סף'!E452)</f>
        <v/>
      </c>
      <c r="E452" s="88" t="str">
        <f>IF($F452="","",'הזנה לתנאי סף'!F452)</f>
        <v/>
      </c>
      <c r="F452" s="88" t="str">
        <f>IF(OR('הזנה לתנאי סף'!G452="",'הזנה לתנאי סף'!BL452&lt;&gt;1),"",'הזנה לתנאי סף'!G452)</f>
        <v/>
      </c>
      <c r="G452" s="88" t="str">
        <f>IF($F452="","",'הזנה לתנאי סף'!H452)</f>
        <v/>
      </c>
      <c r="H452" s="88" t="str">
        <f>IF($F452="","",'הזנה לתנאי סף'!I452)</f>
        <v/>
      </c>
      <c r="I452" s="109"/>
      <c r="J452" s="213" t="str">
        <f>IF($F452="","",'הזנה לתנאי סף'!S452)</f>
        <v/>
      </c>
      <c r="K452" s="109"/>
      <c r="L452" s="213" t="str">
        <f t="shared" si="68"/>
        <v/>
      </c>
      <c r="M452" s="213" t="str">
        <f>IF($F452="","",IF(L452='הזנה לתנאי סף'!R452,1,0))</f>
        <v/>
      </c>
      <c r="N452" s="214" t="str">
        <f t="shared" si="69"/>
        <v/>
      </c>
      <c r="O452" s="214" t="str">
        <f t="shared" si="70"/>
        <v/>
      </c>
      <c r="P452" s="109"/>
      <c r="Q452" s="213" t="str">
        <f>IF($F452="","",IFERROR(IF(P452&gt;0,'פרמטרים לקריטריונים'!$C$25*P452*O452,$AG$2),""))</f>
        <v/>
      </c>
      <c r="R452" s="213" t="str">
        <f>IF($F452="","",IFERROR('פרמטרים לקריטריונים'!$C$26*Q452,""))</f>
        <v/>
      </c>
      <c r="S452" s="214" t="str">
        <f t="shared" si="71"/>
        <v/>
      </c>
      <c r="T452" s="213" t="str">
        <f t="shared" si="72"/>
        <v/>
      </c>
      <c r="U452" s="213" t="str">
        <f>IF($F452="","",'הזנה לתנאי סף'!N452)</f>
        <v/>
      </c>
      <c r="V452" s="213" t="str">
        <f>IF($F452="","",'הזנה לתנאי סף'!O452)</f>
        <v/>
      </c>
      <c r="W452" s="109"/>
      <c r="X452" s="109"/>
      <c r="Y452" s="109"/>
      <c r="Z452" s="214" t="str">
        <f t="shared" si="73"/>
        <v/>
      </c>
      <c r="AA452" s="213" t="str">
        <f>IF(OR($F452="",V452=0),"",IF(V452=1,IF(COUNTBLANK(W452:X452)&gt;0,$AG$2,IF(OR(Z452&lt;='פרמטרים לקריטריונים'!$C$27,X452&gt;W452),"",X452-W452))))</f>
        <v/>
      </c>
      <c r="AB452" s="214" t="str">
        <f t="shared" si="74"/>
        <v/>
      </c>
      <c r="AC452" s="225" t="str">
        <f>IF(OR(AB452="",U452=1),"",IF(OR(COUNTBLANK(W452:Y452)&gt;0,AB452&gt;='פרמטרים לקריטריונים'!$E$54),'פרמטרים לקריטריונים'!$F$54,INDEX('פרמטרים לקריטריונים'!$F$49:$F$54,MATCH(AB452,'פרמטרים לקריטריונים'!$E$49:$E$54,1))))</f>
        <v/>
      </c>
      <c r="AD452" s="213" t="str">
        <f t="shared" si="75"/>
        <v/>
      </c>
      <c r="AE452" s="213" t="str">
        <f t="shared" si="76"/>
        <v/>
      </c>
      <c r="AG452" s="175">
        <f t="shared" si="77"/>
        <v>0</v>
      </c>
    </row>
    <row r="453" spans="1:33" ht="15.75" x14ac:dyDescent="0.2">
      <c r="A453" s="206" t="str">
        <f t="shared" si="67"/>
        <v/>
      </c>
      <c r="B453" s="88" t="str">
        <f>IF($F453="","",'הזנה לתנאי סף'!C453)</f>
        <v/>
      </c>
      <c r="C453" s="88" t="str">
        <f>IF($F453="","",'הזנה לתנאי סף'!D453)</f>
        <v/>
      </c>
      <c r="D453" s="88" t="str">
        <f>IF($F453="","",'הזנה לתנאי סף'!E453)</f>
        <v/>
      </c>
      <c r="E453" s="88" t="str">
        <f>IF($F453="","",'הזנה לתנאי סף'!F453)</f>
        <v/>
      </c>
      <c r="F453" s="88" t="str">
        <f>IF(OR('הזנה לתנאי סף'!G453="",'הזנה לתנאי סף'!BL453&lt;&gt;1),"",'הזנה לתנאי סף'!G453)</f>
        <v/>
      </c>
      <c r="G453" s="88" t="str">
        <f>IF($F453="","",'הזנה לתנאי סף'!H453)</f>
        <v/>
      </c>
      <c r="H453" s="88" t="str">
        <f>IF($F453="","",'הזנה לתנאי סף'!I453)</f>
        <v/>
      </c>
      <c r="I453" s="109"/>
      <c r="J453" s="213" t="str">
        <f>IF($F453="","",'הזנה לתנאי סף'!S453)</f>
        <v/>
      </c>
      <c r="K453" s="109"/>
      <c r="L453" s="213" t="str">
        <f t="shared" si="68"/>
        <v/>
      </c>
      <c r="M453" s="213" t="str">
        <f>IF($F453="","",IF(L453='הזנה לתנאי סף'!R453,1,0))</f>
        <v/>
      </c>
      <c r="N453" s="214" t="str">
        <f t="shared" si="69"/>
        <v/>
      </c>
      <c r="O453" s="214" t="str">
        <f t="shared" si="70"/>
        <v/>
      </c>
      <c r="P453" s="109"/>
      <c r="Q453" s="213" t="str">
        <f>IF($F453="","",IFERROR(IF(P453&gt;0,'פרמטרים לקריטריונים'!$C$25*P453*O453,$AG$2),""))</f>
        <v/>
      </c>
      <c r="R453" s="213" t="str">
        <f>IF($F453="","",IFERROR('פרמטרים לקריטריונים'!$C$26*Q453,""))</f>
        <v/>
      </c>
      <c r="S453" s="214" t="str">
        <f t="shared" si="71"/>
        <v/>
      </c>
      <c r="T453" s="213" t="str">
        <f t="shared" si="72"/>
        <v/>
      </c>
      <c r="U453" s="213" t="str">
        <f>IF($F453="","",'הזנה לתנאי סף'!N453)</f>
        <v/>
      </c>
      <c r="V453" s="213" t="str">
        <f>IF($F453="","",'הזנה לתנאי סף'!O453)</f>
        <v/>
      </c>
      <c r="W453" s="109"/>
      <c r="X453" s="109"/>
      <c r="Y453" s="109"/>
      <c r="Z453" s="214" t="str">
        <f t="shared" si="73"/>
        <v/>
      </c>
      <c r="AA453" s="213" t="str">
        <f>IF(OR($F453="",V453=0),"",IF(V453=1,IF(COUNTBLANK(W453:X453)&gt;0,$AG$2,IF(OR(Z453&lt;='פרמטרים לקריטריונים'!$C$27,X453&gt;W453),"",X453-W453))))</f>
        <v/>
      </c>
      <c r="AB453" s="214" t="str">
        <f t="shared" si="74"/>
        <v/>
      </c>
      <c r="AC453" s="225" t="str">
        <f>IF(OR(AB453="",U453=1),"",IF(OR(COUNTBLANK(W453:Y453)&gt;0,AB453&gt;='פרמטרים לקריטריונים'!$E$54),'פרמטרים לקריטריונים'!$F$54,INDEX('פרמטרים לקריטריונים'!$F$49:$F$54,MATCH(AB453,'פרמטרים לקריטריונים'!$E$49:$E$54,1))))</f>
        <v/>
      </c>
      <c r="AD453" s="213" t="str">
        <f t="shared" si="75"/>
        <v/>
      </c>
      <c r="AE453" s="213" t="str">
        <f t="shared" si="76"/>
        <v/>
      </c>
      <c r="AG453" s="175">
        <f t="shared" si="77"/>
        <v>0</v>
      </c>
    </row>
    <row r="454" spans="1:33" ht="15.75" x14ac:dyDescent="0.2">
      <c r="A454" s="206" t="str">
        <f t="shared" si="67"/>
        <v/>
      </c>
      <c r="B454" s="88" t="str">
        <f>IF($F454="","",'הזנה לתנאי סף'!C454)</f>
        <v/>
      </c>
      <c r="C454" s="88" t="str">
        <f>IF($F454="","",'הזנה לתנאי סף'!D454)</f>
        <v/>
      </c>
      <c r="D454" s="88" t="str">
        <f>IF($F454="","",'הזנה לתנאי סף'!E454)</f>
        <v/>
      </c>
      <c r="E454" s="88" t="str">
        <f>IF($F454="","",'הזנה לתנאי סף'!F454)</f>
        <v/>
      </c>
      <c r="F454" s="88" t="str">
        <f>IF(OR('הזנה לתנאי סף'!G454="",'הזנה לתנאי סף'!BL454&lt;&gt;1),"",'הזנה לתנאי סף'!G454)</f>
        <v/>
      </c>
      <c r="G454" s="88" t="str">
        <f>IF($F454="","",'הזנה לתנאי סף'!H454)</f>
        <v/>
      </c>
      <c r="H454" s="88" t="str">
        <f>IF($F454="","",'הזנה לתנאי סף'!I454)</f>
        <v/>
      </c>
      <c r="I454" s="109"/>
      <c r="J454" s="213" t="str">
        <f>IF($F454="","",'הזנה לתנאי סף'!S454)</f>
        <v/>
      </c>
      <c r="K454" s="109"/>
      <c r="L454" s="213" t="str">
        <f t="shared" si="68"/>
        <v/>
      </c>
      <c r="M454" s="213" t="str">
        <f>IF($F454="","",IF(L454='הזנה לתנאי סף'!R454,1,0))</f>
        <v/>
      </c>
      <c r="N454" s="214" t="str">
        <f t="shared" si="69"/>
        <v/>
      </c>
      <c r="O454" s="214" t="str">
        <f t="shared" si="70"/>
        <v/>
      </c>
      <c r="P454" s="109"/>
      <c r="Q454" s="213" t="str">
        <f>IF($F454="","",IFERROR(IF(P454&gt;0,'פרמטרים לקריטריונים'!$C$25*P454*O454,$AG$2),""))</f>
        <v/>
      </c>
      <c r="R454" s="213" t="str">
        <f>IF($F454="","",IFERROR('פרמטרים לקריטריונים'!$C$26*Q454,""))</f>
        <v/>
      </c>
      <c r="S454" s="214" t="str">
        <f t="shared" si="71"/>
        <v/>
      </c>
      <c r="T454" s="213" t="str">
        <f t="shared" si="72"/>
        <v/>
      </c>
      <c r="U454" s="213" t="str">
        <f>IF($F454="","",'הזנה לתנאי סף'!N454)</f>
        <v/>
      </c>
      <c r="V454" s="213" t="str">
        <f>IF($F454="","",'הזנה לתנאי סף'!O454)</f>
        <v/>
      </c>
      <c r="W454" s="109"/>
      <c r="X454" s="109"/>
      <c r="Y454" s="109"/>
      <c r="Z454" s="214" t="str">
        <f t="shared" si="73"/>
        <v/>
      </c>
      <c r="AA454" s="213" t="str">
        <f>IF(OR($F454="",V454=0),"",IF(V454=1,IF(COUNTBLANK(W454:X454)&gt;0,$AG$2,IF(OR(Z454&lt;='פרמטרים לקריטריונים'!$C$27,X454&gt;W454),"",X454-W454))))</f>
        <v/>
      </c>
      <c r="AB454" s="214" t="str">
        <f t="shared" si="74"/>
        <v/>
      </c>
      <c r="AC454" s="225" t="str">
        <f>IF(OR(AB454="",U454=1),"",IF(OR(COUNTBLANK(W454:Y454)&gt;0,AB454&gt;='פרמטרים לקריטריונים'!$E$54),'פרמטרים לקריטריונים'!$F$54,INDEX('פרמטרים לקריטריונים'!$F$49:$F$54,MATCH(AB454,'פרמטרים לקריטריונים'!$E$49:$E$54,1))))</f>
        <v/>
      </c>
      <c r="AD454" s="213" t="str">
        <f t="shared" si="75"/>
        <v/>
      </c>
      <c r="AE454" s="213" t="str">
        <f t="shared" si="76"/>
        <v/>
      </c>
      <c r="AG454" s="175">
        <f t="shared" si="77"/>
        <v>0</v>
      </c>
    </row>
    <row r="455" spans="1:33" ht="15.75" x14ac:dyDescent="0.2">
      <c r="A455" s="206" t="str">
        <f t="shared" si="67"/>
        <v/>
      </c>
      <c r="B455" s="88" t="str">
        <f>IF($F455="","",'הזנה לתנאי סף'!C455)</f>
        <v/>
      </c>
      <c r="C455" s="88" t="str">
        <f>IF($F455="","",'הזנה לתנאי סף'!D455)</f>
        <v/>
      </c>
      <c r="D455" s="88" t="str">
        <f>IF($F455="","",'הזנה לתנאי סף'!E455)</f>
        <v/>
      </c>
      <c r="E455" s="88" t="str">
        <f>IF($F455="","",'הזנה לתנאי סף'!F455)</f>
        <v/>
      </c>
      <c r="F455" s="88" t="str">
        <f>IF(OR('הזנה לתנאי סף'!G455="",'הזנה לתנאי סף'!BL455&lt;&gt;1),"",'הזנה לתנאי סף'!G455)</f>
        <v/>
      </c>
      <c r="G455" s="88" t="str">
        <f>IF($F455="","",'הזנה לתנאי סף'!H455)</f>
        <v/>
      </c>
      <c r="H455" s="88" t="str">
        <f>IF($F455="","",'הזנה לתנאי סף'!I455)</f>
        <v/>
      </c>
      <c r="I455" s="109"/>
      <c r="J455" s="213" t="str">
        <f>IF($F455="","",'הזנה לתנאי סף'!S455)</f>
        <v/>
      </c>
      <c r="K455" s="109"/>
      <c r="L455" s="213" t="str">
        <f t="shared" si="68"/>
        <v/>
      </c>
      <c r="M455" s="213" t="str">
        <f>IF($F455="","",IF(L455='הזנה לתנאי סף'!R455,1,0))</f>
        <v/>
      </c>
      <c r="N455" s="214" t="str">
        <f t="shared" si="69"/>
        <v/>
      </c>
      <c r="O455" s="214" t="str">
        <f t="shared" si="70"/>
        <v/>
      </c>
      <c r="P455" s="109"/>
      <c r="Q455" s="213" t="str">
        <f>IF($F455="","",IFERROR(IF(P455&gt;0,'פרמטרים לקריטריונים'!$C$25*P455*O455,$AG$2),""))</f>
        <v/>
      </c>
      <c r="R455" s="213" t="str">
        <f>IF($F455="","",IFERROR('פרמטרים לקריטריונים'!$C$26*Q455,""))</f>
        <v/>
      </c>
      <c r="S455" s="214" t="str">
        <f t="shared" si="71"/>
        <v/>
      </c>
      <c r="T455" s="213" t="str">
        <f t="shared" si="72"/>
        <v/>
      </c>
      <c r="U455" s="213" t="str">
        <f>IF($F455="","",'הזנה לתנאי סף'!N455)</f>
        <v/>
      </c>
      <c r="V455" s="213" t="str">
        <f>IF($F455="","",'הזנה לתנאי סף'!O455)</f>
        <v/>
      </c>
      <c r="W455" s="109"/>
      <c r="X455" s="109"/>
      <c r="Y455" s="109"/>
      <c r="Z455" s="214" t="str">
        <f t="shared" si="73"/>
        <v/>
      </c>
      <c r="AA455" s="213" t="str">
        <f>IF(OR($F455="",V455=0),"",IF(V455=1,IF(COUNTBLANK(W455:X455)&gt;0,$AG$2,IF(OR(Z455&lt;='פרמטרים לקריטריונים'!$C$27,X455&gt;W455),"",X455-W455))))</f>
        <v/>
      </c>
      <c r="AB455" s="214" t="str">
        <f t="shared" si="74"/>
        <v/>
      </c>
      <c r="AC455" s="225" t="str">
        <f>IF(OR(AB455="",U455=1),"",IF(OR(COUNTBLANK(W455:Y455)&gt;0,AB455&gt;='פרמטרים לקריטריונים'!$E$54),'פרמטרים לקריטריונים'!$F$54,INDEX('פרמטרים לקריטריונים'!$F$49:$F$54,MATCH(AB455,'פרמטרים לקריטריונים'!$E$49:$E$54,1))))</f>
        <v/>
      </c>
      <c r="AD455" s="213" t="str">
        <f t="shared" si="75"/>
        <v/>
      </c>
      <c r="AE455" s="213" t="str">
        <f t="shared" si="76"/>
        <v/>
      </c>
      <c r="AG455" s="175">
        <f t="shared" si="77"/>
        <v>0</v>
      </c>
    </row>
    <row r="456" spans="1:33" ht="15.75" x14ac:dyDescent="0.2">
      <c r="A456" s="206" t="str">
        <f t="shared" si="67"/>
        <v/>
      </c>
      <c r="B456" s="88" t="str">
        <f>IF($F456="","",'הזנה לתנאי סף'!C456)</f>
        <v/>
      </c>
      <c r="C456" s="88" t="str">
        <f>IF($F456="","",'הזנה לתנאי סף'!D456)</f>
        <v/>
      </c>
      <c r="D456" s="88" t="str">
        <f>IF($F456="","",'הזנה לתנאי סף'!E456)</f>
        <v/>
      </c>
      <c r="E456" s="88" t="str">
        <f>IF($F456="","",'הזנה לתנאי סף'!F456)</f>
        <v/>
      </c>
      <c r="F456" s="88" t="str">
        <f>IF(OR('הזנה לתנאי סף'!G456="",'הזנה לתנאי סף'!BL456&lt;&gt;1),"",'הזנה לתנאי סף'!G456)</f>
        <v/>
      </c>
      <c r="G456" s="88" t="str">
        <f>IF($F456="","",'הזנה לתנאי סף'!H456)</f>
        <v/>
      </c>
      <c r="H456" s="88" t="str">
        <f>IF($F456="","",'הזנה לתנאי סף'!I456)</f>
        <v/>
      </c>
      <c r="I456" s="109"/>
      <c r="J456" s="213" t="str">
        <f>IF($F456="","",'הזנה לתנאי סף'!S456)</f>
        <v/>
      </c>
      <c r="K456" s="109"/>
      <c r="L456" s="213" t="str">
        <f t="shared" si="68"/>
        <v/>
      </c>
      <c r="M456" s="213" t="str">
        <f>IF($F456="","",IF(L456='הזנה לתנאי סף'!R456,1,0))</f>
        <v/>
      </c>
      <c r="N456" s="214" t="str">
        <f t="shared" si="69"/>
        <v/>
      </c>
      <c r="O456" s="214" t="str">
        <f t="shared" si="70"/>
        <v/>
      </c>
      <c r="P456" s="109"/>
      <c r="Q456" s="213" t="str">
        <f>IF($F456="","",IFERROR(IF(P456&gt;0,'פרמטרים לקריטריונים'!$C$25*P456*O456,$AG$2),""))</f>
        <v/>
      </c>
      <c r="R456" s="213" t="str">
        <f>IF($F456="","",IFERROR('פרמטרים לקריטריונים'!$C$26*Q456,""))</f>
        <v/>
      </c>
      <c r="S456" s="214" t="str">
        <f t="shared" si="71"/>
        <v/>
      </c>
      <c r="T456" s="213" t="str">
        <f t="shared" si="72"/>
        <v/>
      </c>
      <c r="U456" s="213" t="str">
        <f>IF($F456="","",'הזנה לתנאי סף'!N456)</f>
        <v/>
      </c>
      <c r="V456" s="213" t="str">
        <f>IF($F456="","",'הזנה לתנאי סף'!O456)</f>
        <v/>
      </c>
      <c r="W456" s="109"/>
      <c r="X456" s="109"/>
      <c r="Y456" s="109"/>
      <c r="Z456" s="214" t="str">
        <f t="shared" si="73"/>
        <v/>
      </c>
      <c r="AA456" s="213" t="str">
        <f>IF(OR($F456="",V456=0),"",IF(V456=1,IF(COUNTBLANK(W456:X456)&gt;0,$AG$2,IF(OR(Z456&lt;='פרמטרים לקריטריונים'!$C$27,X456&gt;W456),"",X456-W456))))</f>
        <v/>
      </c>
      <c r="AB456" s="214" t="str">
        <f t="shared" si="74"/>
        <v/>
      </c>
      <c r="AC456" s="225" t="str">
        <f>IF(OR(AB456="",U456=1),"",IF(OR(COUNTBLANK(W456:Y456)&gt;0,AB456&gt;='פרמטרים לקריטריונים'!$E$54),'פרמטרים לקריטריונים'!$F$54,INDEX('פרמטרים לקריטריונים'!$F$49:$F$54,MATCH(AB456,'פרמטרים לקריטריונים'!$E$49:$E$54,1))))</f>
        <v/>
      </c>
      <c r="AD456" s="213" t="str">
        <f t="shared" si="75"/>
        <v/>
      </c>
      <c r="AE456" s="213" t="str">
        <f t="shared" si="76"/>
        <v/>
      </c>
      <c r="AG456" s="175">
        <f t="shared" si="77"/>
        <v>0</v>
      </c>
    </row>
    <row r="457" spans="1:33" ht="15.75" x14ac:dyDescent="0.2">
      <c r="A457" s="206" t="str">
        <f t="shared" si="67"/>
        <v/>
      </c>
      <c r="B457" s="88" t="str">
        <f>IF($F457="","",'הזנה לתנאי סף'!C457)</f>
        <v/>
      </c>
      <c r="C457" s="88" t="str">
        <f>IF($F457="","",'הזנה לתנאי סף'!D457)</f>
        <v/>
      </c>
      <c r="D457" s="88" t="str">
        <f>IF($F457="","",'הזנה לתנאי סף'!E457)</f>
        <v/>
      </c>
      <c r="E457" s="88" t="str">
        <f>IF($F457="","",'הזנה לתנאי סף'!F457)</f>
        <v/>
      </c>
      <c r="F457" s="88" t="str">
        <f>IF(OR('הזנה לתנאי סף'!G457="",'הזנה לתנאי סף'!BL457&lt;&gt;1),"",'הזנה לתנאי סף'!G457)</f>
        <v/>
      </c>
      <c r="G457" s="88" t="str">
        <f>IF($F457="","",'הזנה לתנאי סף'!H457)</f>
        <v/>
      </c>
      <c r="H457" s="88" t="str">
        <f>IF($F457="","",'הזנה לתנאי סף'!I457)</f>
        <v/>
      </c>
      <c r="I457" s="109"/>
      <c r="J457" s="213" t="str">
        <f>IF($F457="","",'הזנה לתנאי סף'!S457)</f>
        <v/>
      </c>
      <c r="K457" s="109"/>
      <c r="L457" s="213" t="str">
        <f t="shared" si="68"/>
        <v/>
      </c>
      <c r="M457" s="213" t="str">
        <f>IF($F457="","",IF(L457='הזנה לתנאי סף'!R457,1,0))</f>
        <v/>
      </c>
      <c r="N457" s="214" t="str">
        <f t="shared" si="69"/>
        <v/>
      </c>
      <c r="O457" s="214" t="str">
        <f t="shared" si="70"/>
        <v/>
      </c>
      <c r="P457" s="109"/>
      <c r="Q457" s="213" t="str">
        <f>IF($F457="","",IFERROR(IF(P457&gt;0,'פרמטרים לקריטריונים'!$C$25*P457*O457,$AG$2),""))</f>
        <v/>
      </c>
      <c r="R457" s="213" t="str">
        <f>IF($F457="","",IFERROR('פרמטרים לקריטריונים'!$C$26*Q457,""))</f>
        <v/>
      </c>
      <c r="S457" s="214" t="str">
        <f t="shared" si="71"/>
        <v/>
      </c>
      <c r="T457" s="213" t="str">
        <f t="shared" si="72"/>
        <v/>
      </c>
      <c r="U457" s="213" t="str">
        <f>IF($F457="","",'הזנה לתנאי סף'!N457)</f>
        <v/>
      </c>
      <c r="V457" s="213" t="str">
        <f>IF($F457="","",'הזנה לתנאי סף'!O457)</f>
        <v/>
      </c>
      <c r="W457" s="109"/>
      <c r="X457" s="109"/>
      <c r="Y457" s="109"/>
      <c r="Z457" s="214" t="str">
        <f t="shared" si="73"/>
        <v/>
      </c>
      <c r="AA457" s="213" t="str">
        <f>IF(OR($F457="",V457=0),"",IF(V457=1,IF(COUNTBLANK(W457:X457)&gt;0,$AG$2,IF(OR(Z457&lt;='פרמטרים לקריטריונים'!$C$27,X457&gt;W457),"",X457-W457))))</f>
        <v/>
      </c>
      <c r="AB457" s="214" t="str">
        <f t="shared" si="74"/>
        <v/>
      </c>
      <c r="AC457" s="225" t="str">
        <f>IF(OR(AB457="",U457=1),"",IF(OR(COUNTBLANK(W457:Y457)&gt;0,AB457&gt;='פרמטרים לקריטריונים'!$E$54),'פרמטרים לקריטריונים'!$F$54,INDEX('פרמטרים לקריטריונים'!$F$49:$F$54,MATCH(AB457,'פרמטרים לקריטריונים'!$E$49:$E$54,1))))</f>
        <v/>
      </c>
      <c r="AD457" s="213" t="str">
        <f t="shared" si="75"/>
        <v/>
      </c>
      <c r="AE457" s="213" t="str">
        <f t="shared" si="76"/>
        <v/>
      </c>
      <c r="AG457" s="175">
        <f t="shared" si="77"/>
        <v>0</v>
      </c>
    </row>
    <row r="458" spans="1:33" ht="15.75" x14ac:dyDescent="0.2">
      <c r="A458" s="206" t="str">
        <f t="shared" ref="A458:A500" si="78">IF(F458="","",ROW()-30)</f>
        <v/>
      </c>
      <c r="B458" s="88" t="str">
        <f>IF($F458="","",'הזנה לתנאי סף'!C458)</f>
        <v/>
      </c>
      <c r="C458" s="88" t="str">
        <f>IF($F458="","",'הזנה לתנאי סף'!D458)</f>
        <v/>
      </c>
      <c r="D458" s="88" t="str">
        <f>IF($F458="","",'הזנה לתנאי סף'!E458)</f>
        <v/>
      </c>
      <c r="E458" s="88" t="str">
        <f>IF($F458="","",'הזנה לתנאי סף'!F458)</f>
        <v/>
      </c>
      <c r="F458" s="88" t="str">
        <f>IF(OR('הזנה לתנאי סף'!G458="",'הזנה לתנאי סף'!BL458&lt;&gt;1),"",'הזנה לתנאי סף'!G458)</f>
        <v/>
      </c>
      <c r="G458" s="88" t="str">
        <f>IF($F458="","",'הזנה לתנאי סף'!H458)</f>
        <v/>
      </c>
      <c r="H458" s="88" t="str">
        <f>IF($F458="","",'הזנה לתנאי סף'!I458)</f>
        <v/>
      </c>
      <c r="I458" s="109"/>
      <c r="J458" s="213" t="str">
        <f>IF($F458="","",'הזנה לתנאי סף'!S458)</f>
        <v/>
      </c>
      <c r="K458" s="109"/>
      <c r="L458" s="213" t="str">
        <f t="shared" ref="L458:L500" si="79">IF($F458="","",SUM(I458:K458))</f>
        <v/>
      </c>
      <c r="M458" s="213" t="str">
        <f>IF($F458="","",IF(L458='הזנה לתנאי סף'!R458,1,0))</f>
        <v/>
      </c>
      <c r="N458" s="214" t="str">
        <f t="shared" ref="N458:N500" si="80">IF($F458="","",IFERROR(I458/L458,$AG$2))</f>
        <v/>
      </c>
      <c r="O458" s="214" t="str">
        <f t="shared" ref="O458:O500" si="81">IF($F458="","",IFERROR((1-N458),""))</f>
        <v/>
      </c>
      <c r="P458" s="109"/>
      <c r="Q458" s="213" t="str">
        <f>IF($F458="","",IFERROR(IF(P458&gt;0,'פרמטרים לקריטריונים'!$C$25*P458*O458,$AG$2),""))</f>
        <v/>
      </c>
      <c r="R458" s="213" t="str">
        <f>IF($F458="","",IFERROR('פרמטרים לקריטריונים'!$C$26*Q458,""))</f>
        <v/>
      </c>
      <c r="S458" s="214" t="str">
        <f t="shared" ref="S458:S500" si="82">IF($F458="","",IFERROR(R458/$R$501,""))</f>
        <v/>
      </c>
      <c r="T458" s="213" t="str">
        <f t="shared" ref="T458:T500" si="83">IF($F458="","",IFERROR(S458*$C$4,""))</f>
        <v/>
      </c>
      <c r="U458" s="213" t="str">
        <f>IF($F458="","",'הזנה לתנאי סף'!N458)</f>
        <v/>
      </c>
      <c r="V458" s="213" t="str">
        <f>IF($F458="","",'הזנה לתנאי סף'!O458)</f>
        <v/>
      </c>
      <c r="W458" s="109"/>
      <c r="X458" s="109"/>
      <c r="Y458" s="109"/>
      <c r="Z458" s="214" t="str">
        <f t="shared" ref="Z458:Z500" si="84">IF(OR($F458="",V458&lt;&gt;1),"",IF(COUNTBLANK(W458:Y458)&gt;0,$AG$2,IF(ISBLANK(Y458),$AG$2,W458/Y458)))</f>
        <v/>
      </c>
      <c r="AA458" s="213" t="str">
        <f>IF(OR($F458="",V458=0),"",IF(V458=1,IF(COUNTBLANK(W458:X458)&gt;0,$AG$2,IF(OR(Z458&lt;='פרמטרים לקריטריונים'!$C$27,X458&gt;W458),"",X458-W458))))</f>
        <v/>
      </c>
      <c r="AB458" s="214" t="str">
        <f t="shared" ref="AB458:AB500" si="85">IF(AA458="","",IF(AA458=$AG$2,AG429,-(X458/W458-1)))</f>
        <v/>
      </c>
      <c r="AC458" s="225" t="str">
        <f>IF(OR(AB458="",U458=1),"",IF(OR(COUNTBLANK(W458:Y458)&gt;0,AB458&gt;='פרמטרים לקריטריונים'!$E$54),'פרמטרים לקריטריונים'!$F$54,INDEX('פרמטרים לקריטריונים'!$F$49:$F$54,MATCH(AB458,'פרמטרים לקריטריונים'!$E$49:$E$54,1))))</f>
        <v/>
      </c>
      <c r="AD458" s="213" t="str">
        <f t="shared" ref="AD458:AD500" si="86">IF(OR($F458="",AC458=""),"",IF(COUNTBLANK(W458:X458)&gt;0,-T458,IF(-AC458*AA458&gt;T458,-T458,AC458*AA458)))</f>
        <v/>
      </c>
      <c r="AE458" s="213" t="str">
        <f t="shared" ref="AE458:AE500" si="87">IF($F458="","",IF(M458=0,$AG$2,IF(AD458&lt;&gt;"",T458+AD458,T458)))</f>
        <v/>
      </c>
      <c r="AG458" s="175">
        <f t="shared" ref="AG458:AG500" si="88">IF(U458=1,1,0)</f>
        <v>0</v>
      </c>
    </row>
    <row r="459" spans="1:33" ht="15.75" x14ac:dyDescent="0.2">
      <c r="A459" s="206" t="str">
        <f t="shared" si="78"/>
        <v/>
      </c>
      <c r="B459" s="88" t="str">
        <f>IF($F459="","",'הזנה לתנאי סף'!C459)</f>
        <v/>
      </c>
      <c r="C459" s="88" t="str">
        <f>IF($F459="","",'הזנה לתנאי סף'!D459)</f>
        <v/>
      </c>
      <c r="D459" s="88" t="str">
        <f>IF($F459="","",'הזנה לתנאי סף'!E459)</f>
        <v/>
      </c>
      <c r="E459" s="88" t="str">
        <f>IF($F459="","",'הזנה לתנאי סף'!F459)</f>
        <v/>
      </c>
      <c r="F459" s="88" t="str">
        <f>IF(OR('הזנה לתנאי סף'!G459="",'הזנה לתנאי סף'!BL459&lt;&gt;1),"",'הזנה לתנאי סף'!G459)</f>
        <v/>
      </c>
      <c r="G459" s="88" t="str">
        <f>IF($F459="","",'הזנה לתנאי סף'!H459)</f>
        <v/>
      </c>
      <c r="H459" s="88" t="str">
        <f>IF($F459="","",'הזנה לתנאי סף'!I459)</f>
        <v/>
      </c>
      <c r="I459" s="109"/>
      <c r="J459" s="213" t="str">
        <f>IF($F459="","",'הזנה לתנאי סף'!S459)</f>
        <v/>
      </c>
      <c r="K459" s="109"/>
      <c r="L459" s="213" t="str">
        <f t="shared" si="79"/>
        <v/>
      </c>
      <c r="M459" s="213" t="str">
        <f>IF($F459="","",IF(L459='הזנה לתנאי סף'!R459,1,0))</f>
        <v/>
      </c>
      <c r="N459" s="214" t="str">
        <f t="shared" si="80"/>
        <v/>
      </c>
      <c r="O459" s="214" t="str">
        <f t="shared" si="81"/>
        <v/>
      </c>
      <c r="P459" s="109"/>
      <c r="Q459" s="213" t="str">
        <f>IF($F459="","",IFERROR(IF(P459&gt;0,'פרמטרים לקריטריונים'!$C$25*P459*O459,$AG$2),""))</f>
        <v/>
      </c>
      <c r="R459" s="213" t="str">
        <f>IF($F459="","",IFERROR('פרמטרים לקריטריונים'!$C$26*Q459,""))</f>
        <v/>
      </c>
      <c r="S459" s="214" t="str">
        <f t="shared" si="82"/>
        <v/>
      </c>
      <c r="T459" s="213" t="str">
        <f t="shared" si="83"/>
        <v/>
      </c>
      <c r="U459" s="213" t="str">
        <f>IF($F459="","",'הזנה לתנאי סף'!N459)</f>
        <v/>
      </c>
      <c r="V459" s="213" t="str">
        <f>IF($F459="","",'הזנה לתנאי סף'!O459)</f>
        <v/>
      </c>
      <c r="W459" s="109"/>
      <c r="X459" s="109"/>
      <c r="Y459" s="109"/>
      <c r="Z459" s="214" t="str">
        <f t="shared" si="84"/>
        <v/>
      </c>
      <c r="AA459" s="213" t="str">
        <f>IF(OR($F459="",V459=0),"",IF(V459=1,IF(COUNTBLANK(W459:X459)&gt;0,$AG$2,IF(OR(Z459&lt;='פרמטרים לקריטריונים'!$C$27,X459&gt;W459),"",X459-W459))))</f>
        <v/>
      </c>
      <c r="AB459" s="214" t="str">
        <f t="shared" si="85"/>
        <v/>
      </c>
      <c r="AC459" s="225" t="str">
        <f>IF(OR(AB459="",U459=1),"",IF(OR(COUNTBLANK(W459:Y459)&gt;0,AB459&gt;='פרמטרים לקריטריונים'!$E$54),'פרמטרים לקריטריונים'!$F$54,INDEX('פרמטרים לקריטריונים'!$F$49:$F$54,MATCH(AB459,'פרמטרים לקריטריונים'!$E$49:$E$54,1))))</f>
        <v/>
      </c>
      <c r="AD459" s="213" t="str">
        <f t="shared" si="86"/>
        <v/>
      </c>
      <c r="AE459" s="213" t="str">
        <f t="shared" si="87"/>
        <v/>
      </c>
      <c r="AG459" s="175">
        <f t="shared" si="88"/>
        <v>0</v>
      </c>
    </row>
    <row r="460" spans="1:33" ht="15.75" x14ac:dyDescent="0.2">
      <c r="A460" s="206" t="str">
        <f t="shared" si="78"/>
        <v/>
      </c>
      <c r="B460" s="88" t="str">
        <f>IF($F460="","",'הזנה לתנאי סף'!C460)</f>
        <v/>
      </c>
      <c r="C460" s="88" t="str">
        <f>IF($F460="","",'הזנה לתנאי סף'!D460)</f>
        <v/>
      </c>
      <c r="D460" s="88" t="str">
        <f>IF($F460="","",'הזנה לתנאי סף'!E460)</f>
        <v/>
      </c>
      <c r="E460" s="88" t="str">
        <f>IF($F460="","",'הזנה לתנאי סף'!F460)</f>
        <v/>
      </c>
      <c r="F460" s="88" t="str">
        <f>IF(OR('הזנה לתנאי סף'!G460="",'הזנה לתנאי סף'!BL460&lt;&gt;1),"",'הזנה לתנאי סף'!G460)</f>
        <v/>
      </c>
      <c r="G460" s="88" t="str">
        <f>IF($F460="","",'הזנה לתנאי סף'!H460)</f>
        <v/>
      </c>
      <c r="H460" s="88" t="str">
        <f>IF($F460="","",'הזנה לתנאי סף'!I460)</f>
        <v/>
      </c>
      <c r="I460" s="109"/>
      <c r="J460" s="213" t="str">
        <f>IF($F460="","",'הזנה לתנאי סף'!S460)</f>
        <v/>
      </c>
      <c r="K460" s="109"/>
      <c r="L460" s="213" t="str">
        <f t="shared" si="79"/>
        <v/>
      </c>
      <c r="M460" s="213" t="str">
        <f>IF($F460="","",IF(L460='הזנה לתנאי סף'!R460,1,0))</f>
        <v/>
      </c>
      <c r="N460" s="214" t="str">
        <f t="shared" si="80"/>
        <v/>
      </c>
      <c r="O460" s="214" t="str">
        <f t="shared" si="81"/>
        <v/>
      </c>
      <c r="P460" s="109"/>
      <c r="Q460" s="213" t="str">
        <f>IF($F460="","",IFERROR(IF(P460&gt;0,'פרמטרים לקריטריונים'!$C$25*P460*O460,$AG$2),""))</f>
        <v/>
      </c>
      <c r="R460" s="213" t="str">
        <f>IF($F460="","",IFERROR('פרמטרים לקריטריונים'!$C$26*Q460,""))</f>
        <v/>
      </c>
      <c r="S460" s="214" t="str">
        <f t="shared" si="82"/>
        <v/>
      </c>
      <c r="T460" s="213" t="str">
        <f t="shared" si="83"/>
        <v/>
      </c>
      <c r="U460" s="213" t="str">
        <f>IF($F460="","",'הזנה לתנאי סף'!N460)</f>
        <v/>
      </c>
      <c r="V460" s="213" t="str">
        <f>IF($F460="","",'הזנה לתנאי סף'!O460)</f>
        <v/>
      </c>
      <c r="W460" s="109"/>
      <c r="X460" s="109"/>
      <c r="Y460" s="109"/>
      <c r="Z460" s="214" t="str">
        <f t="shared" si="84"/>
        <v/>
      </c>
      <c r="AA460" s="213" t="str">
        <f>IF(OR($F460="",V460=0),"",IF(V460=1,IF(COUNTBLANK(W460:X460)&gt;0,$AG$2,IF(OR(Z460&lt;='פרמטרים לקריטריונים'!$C$27,X460&gt;W460),"",X460-W460))))</f>
        <v/>
      </c>
      <c r="AB460" s="214" t="str">
        <f t="shared" si="85"/>
        <v/>
      </c>
      <c r="AC460" s="225" t="str">
        <f>IF(OR(AB460="",U460=1),"",IF(OR(COUNTBLANK(W460:Y460)&gt;0,AB460&gt;='פרמטרים לקריטריונים'!$E$54),'פרמטרים לקריטריונים'!$F$54,INDEX('פרמטרים לקריטריונים'!$F$49:$F$54,MATCH(AB460,'פרמטרים לקריטריונים'!$E$49:$E$54,1))))</f>
        <v/>
      </c>
      <c r="AD460" s="213" t="str">
        <f t="shared" si="86"/>
        <v/>
      </c>
      <c r="AE460" s="213" t="str">
        <f t="shared" si="87"/>
        <v/>
      </c>
      <c r="AG460" s="175">
        <f t="shared" si="88"/>
        <v>0</v>
      </c>
    </row>
    <row r="461" spans="1:33" ht="15.75" x14ac:dyDescent="0.2">
      <c r="A461" s="206" t="str">
        <f t="shared" si="78"/>
        <v/>
      </c>
      <c r="B461" s="88" t="str">
        <f>IF($F461="","",'הזנה לתנאי סף'!C461)</f>
        <v/>
      </c>
      <c r="C461" s="88" t="str">
        <f>IF($F461="","",'הזנה לתנאי סף'!D461)</f>
        <v/>
      </c>
      <c r="D461" s="88" t="str">
        <f>IF($F461="","",'הזנה לתנאי סף'!E461)</f>
        <v/>
      </c>
      <c r="E461" s="88" t="str">
        <f>IF($F461="","",'הזנה לתנאי סף'!F461)</f>
        <v/>
      </c>
      <c r="F461" s="88" t="str">
        <f>IF(OR('הזנה לתנאי סף'!G461="",'הזנה לתנאי סף'!BL461&lt;&gt;1),"",'הזנה לתנאי סף'!G461)</f>
        <v/>
      </c>
      <c r="G461" s="88" t="str">
        <f>IF($F461="","",'הזנה לתנאי סף'!H461)</f>
        <v/>
      </c>
      <c r="H461" s="88" t="str">
        <f>IF($F461="","",'הזנה לתנאי סף'!I461)</f>
        <v/>
      </c>
      <c r="I461" s="109"/>
      <c r="J461" s="213" t="str">
        <f>IF($F461="","",'הזנה לתנאי סף'!S461)</f>
        <v/>
      </c>
      <c r="K461" s="109"/>
      <c r="L461" s="213" t="str">
        <f t="shared" si="79"/>
        <v/>
      </c>
      <c r="M461" s="213" t="str">
        <f>IF($F461="","",IF(L461='הזנה לתנאי סף'!R461,1,0))</f>
        <v/>
      </c>
      <c r="N461" s="214" t="str">
        <f t="shared" si="80"/>
        <v/>
      </c>
      <c r="O461" s="214" t="str">
        <f t="shared" si="81"/>
        <v/>
      </c>
      <c r="P461" s="109"/>
      <c r="Q461" s="213" t="str">
        <f>IF($F461="","",IFERROR(IF(P461&gt;0,'פרמטרים לקריטריונים'!$C$25*P461*O461,$AG$2),""))</f>
        <v/>
      </c>
      <c r="R461" s="213" t="str">
        <f>IF($F461="","",IFERROR('פרמטרים לקריטריונים'!$C$26*Q461,""))</f>
        <v/>
      </c>
      <c r="S461" s="214" t="str">
        <f t="shared" si="82"/>
        <v/>
      </c>
      <c r="T461" s="213" t="str">
        <f t="shared" si="83"/>
        <v/>
      </c>
      <c r="U461" s="213" t="str">
        <f>IF($F461="","",'הזנה לתנאי סף'!N461)</f>
        <v/>
      </c>
      <c r="V461" s="213" t="str">
        <f>IF($F461="","",'הזנה לתנאי סף'!O461)</f>
        <v/>
      </c>
      <c r="W461" s="109"/>
      <c r="X461" s="109"/>
      <c r="Y461" s="109"/>
      <c r="Z461" s="214" t="str">
        <f t="shared" si="84"/>
        <v/>
      </c>
      <c r="AA461" s="213" t="str">
        <f>IF(OR($F461="",V461=0),"",IF(V461=1,IF(COUNTBLANK(W461:X461)&gt;0,$AG$2,IF(OR(Z461&lt;='פרמטרים לקריטריונים'!$C$27,X461&gt;W461),"",X461-W461))))</f>
        <v/>
      </c>
      <c r="AB461" s="214" t="str">
        <f t="shared" si="85"/>
        <v/>
      </c>
      <c r="AC461" s="225" t="str">
        <f>IF(OR(AB461="",U461=1),"",IF(OR(COUNTBLANK(W461:Y461)&gt;0,AB461&gt;='פרמטרים לקריטריונים'!$E$54),'פרמטרים לקריטריונים'!$F$54,INDEX('פרמטרים לקריטריונים'!$F$49:$F$54,MATCH(AB461,'פרמטרים לקריטריונים'!$E$49:$E$54,1))))</f>
        <v/>
      </c>
      <c r="AD461" s="213" t="str">
        <f t="shared" si="86"/>
        <v/>
      </c>
      <c r="AE461" s="213" t="str">
        <f t="shared" si="87"/>
        <v/>
      </c>
      <c r="AG461" s="175">
        <f t="shared" si="88"/>
        <v>0</v>
      </c>
    </row>
    <row r="462" spans="1:33" ht="15.75" x14ac:dyDescent="0.2">
      <c r="A462" s="206" t="str">
        <f t="shared" si="78"/>
        <v/>
      </c>
      <c r="B462" s="88" t="str">
        <f>IF($F462="","",'הזנה לתנאי סף'!C462)</f>
        <v/>
      </c>
      <c r="C462" s="88" t="str">
        <f>IF($F462="","",'הזנה לתנאי סף'!D462)</f>
        <v/>
      </c>
      <c r="D462" s="88" t="str">
        <f>IF($F462="","",'הזנה לתנאי סף'!E462)</f>
        <v/>
      </c>
      <c r="E462" s="88" t="str">
        <f>IF($F462="","",'הזנה לתנאי סף'!F462)</f>
        <v/>
      </c>
      <c r="F462" s="88" t="str">
        <f>IF(OR('הזנה לתנאי סף'!G462="",'הזנה לתנאי סף'!BL462&lt;&gt;1),"",'הזנה לתנאי סף'!G462)</f>
        <v/>
      </c>
      <c r="G462" s="88" t="str">
        <f>IF($F462="","",'הזנה לתנאי סף'!H462)</f>
        <v/>
      </c>
      <c r="H462" s="88" t="str">
        <f>IF($F462="","",'הזנה לתנאי סף'!I462)</f>
        <v/>
      </c>
      <c r="I462" s="109"/>
      <c r="J462" s="213" t="str">
        <f>IF($F462="","",'הזנה לתנאי סף'!S462)</f>
        <v/>
      </c>
      <c r="K462" s="109"/>
      <c r="L462" s="213" t="str">
        <f t="shared" si="79"/>
        <v/>
      </c>
      <c r="M462" s="213" t="str">
        <f>IF($F462="","",IF(L462='הזנה לתנאי סף'!R462,1,0))</f>
        <v/>
      </c>
      <c r="N462" s="214" t="str">
        <f t="shared" si="80"/>
        <v/>
      </c>
      <c r="O462" s="214" t="str">
        <f t="shared" si="81"/>
        <v/>
      </c>
      <c r="P462" s="109"/>
      <c r="Q462" s="213" t="str">
        <f>IF($F462="","",IFERROR(IF(P462&gt;0,'פרמטרים לקריטריונים'!$C$25*P462*O462,$AG$2),""))</f>
        <v/>
      </c>
      <c r="R462" s="213" t="str">
        <f>IF($F462="","",IFERROR('פרמטרים לקריטריונים'!$C$26*Q462,""))</f>
        <v/>
      </c>
      <c r="S462" s="214" t="str">
        <f t="shared" si="82"/>
        <v/>
      </c>
      <c r="T462" s="213" t="str">
        <f t="shared" si="83"/>
        <v/>
      </c>
      <c r="U462" s="213" t="str">
        <f>IF($F462="","",'הזנה לתנאי סף'!N462)</f>
        <v/>
      </c>
      <c r="V462" s="213" t="str">
        <f>IF($F462="","",'הזנה לתנאי סף'!O462)</f>
        <v/>
      </c>
      <c r="W462" s="109"/>
      <c r="X462" s="109"/>
      <c r="Y462" s="109"/>
      <c r="Z462" s="214" t="str">
        <f t="shared" si="84"/>
        <v/>
      </c>
      <c r="AA462" s="213" t="str">
        <f>IF(OR($F462="",V462=0),"",IF(V462=1,IF(COUNTBLANK(W462:X462)&gt;0,$AG$2,IF(OR(Z462&lt;='פרמטרים לקריטריונים'!$C$27,X462&gt;W462),"",X462-W462))))</f>
        <v/>
      </c>
      <c r="AB462" s="214" t="str">
        <f t="shared" si="85"/>
        <v/>
      </c>
      <c r="AC462" s="225" t="str">
        <f>IF(OR(AB462="",U462=1),"",IF(OR(COUNTBLANK(W462:Y462)&gt;0,AB462&gt;='פרמטרים לקריטריונים'!$E$54),'פרמטרים לקריטריונים'!$F$54,INDEX('פרמטרים לקריטריונים'!$F$49:$F$54,MATCH(AB462,'פרמטרים לקריטריונים'!$E$49:$E$54,1))))</f>
        <v/>
      </c>
      <c r="AD462" s="213" t="str">
        <f t="shared" si="86"/>
        <v/>
      </c>
      <c r="AE462" s="213" t="str">
        <f t="shared" si="87"/>
        <v/>
      </c>
      <c r="AG462" s="175">
        <f t="shared" si="88"/>
        <v>0</v>
      </c>
    </row>
    <row r="463" spans="1:33" ht="15.75" x14ac:dyDescent="0.2">
      <c r="A463" s="206" t="str">
        <f t="shared" si="78"/>
        <v/>
      </c>
      <c r="B463" s="88" t="str">
        <f>IF($F463="","",'הזנה לתנאי סף'!C463)</f>
        <v/>
      </c>
      <c r="C463" s="88" t="str">
        <f>IF($F463="","",'הזנה לתנאי סף'!D463)</f>
        <v/>
      </c>
      <c r="D463" s="88" t="str">
        <f>IF($F463="","",'הזנה לתנאי סף'!E463)</f>
        <v/>
      </c>
      <c r="E463" s="88" t="str">
        <f>IF($F463="","",'הזנה לתנאי סף'!F463)</f>
        <v/>
      </c>
      <c r="F463" s="88" t="str">
        <f>IF(OR('הזנה לתנאי סף'!G463="",'הזנה לתנאי סף'!BL463&lt;&gt;1),"",'הזנה לתנאי סף'!G463)</f>
        <v/>
      </c>
      <c r="G463" s="88" t="str">
        <f>IF($F463="","",'הזנה לתנאי סף'!H463)</f>
        <v/>
      </c>
      <c r="H463" s="88" t="str">
        <f>IF($F463="","",'הזנה לתנאי סף'!I463)</f>
        <v/>
      </c>
      <c r="I463" s="109"/>
      <c r="J463" s="213" t="str">
        <f>IF($F463="","",'הזנה לתנאי סף'!S463)</f>
        <v/>
      </c>
      <c r="K463" s="109"/>
      <c r="L463" s="213" t="str">
        <f t="shared" si="79"/>
        <v/>
      </c>
      <c r="M463" s="213" t="str">
        <f>IF($F463="","",IF(L463='הזנה לתנאי סף'!R463,1,0))</f>
        <v/>
      </c>
      <c r="N463" s="214" t="str">
        <f t="shared" si="80"/>
        <v/>
      </c>
      <c r="O463" s="214" t="str">
        <f t="shared" si="81"/>
        <v/>
      </c>
      <c r="P463" s="109"/>
      <c r="Q463" s="213" t="str">
        <f>IF($F463="","",IFERROR(IF(P463&gt;0,'פרמטרים לקריטריונים'!$C$25*P463*O463,$AG$2),""))</f>
        <v/>
      </c>
      <c r="R463" s="213" t="str">
        <f>IF($F463="","",IFERROR('פרמטרים לקריטריונים'!$C$26*Q463,""))</f>
        <v/>
      </c>
      <c r="S463" s="214" t="str">
        <f t="shared" si="82"/>
        <v/>
      </c>
      <c r="T463" s="213" t="str">
        <f t="shared" si="83"/>
        <v/>
      </c>
      <c r="U463" s="213" t="str">
        <f>IF($F463="","",'הזנה לתנאי סף'!N463)</f>
        <v/>
      </c>
      <c r="V463" s="213" t="str">
        <f>IF($F463="","",'הזנה לתנאי סף'!O463)</f>
        <v/>
      </c>
      <c r="W463" s="109"/>
      <c r="X463" s="109"/>
      <c r="Y463" s="109"/>
      <c r="Z463" s="214" t="str">
        <f t="shared" si="84"/>
        <v/>
      </c>
      <c r="AA463" s="213" t="str">
        <f>IF(OR($F463="",V463=0),"",IF(V463=1,IF(COUNTBLANK(W463:X463)&gt;0,$AG$2,IF(OR(Z463&lt;='פרמטרים לקריטריונים'!$C$27,X463&gt;W463),"",X463-W463))))</f>
        <v/>
      </c>
      <c r="AB463" s="214" t="str">
        <f t="shared" si="85"/>
        <v/>
      </c>
      <c r="AC463" s="225" t="str">
        <f>IF(OR(AB463="",U463=1),"",IF(OR(COUNTBLANK(W463:Y463)&gt;0,AB463&gt;='פרמטרים לקריטריונים'!$E$54),'פרמטרים לקריטריונים'!$F$54,INDEX('פרמטרים לקריטריונים'!$F$49:$F$54,MATCH(AB463,'פרמטרים לקריטריונים'!$E$49:$E$54,1))))</f>
        <v/>
      </c>
      <c r="AD463" s="213" t="str">
        <f t="shared" si="86"/>
        <v/>
      </c>
      <c r="AE463" s="213" t="str">
        <f t="shared" si="87"/>
        <v/>
      </c>
      <c r="AG463" s="175">
        <f t="shared" si="88"/>
        <v>0</v>
      </c>
    </row>
    <row r="464" spans="1:33" ht="15.75" x14ac:dyDescent="0.2">
      <c r="A464" s="206" t="str">
        <f t="shared" si="78"/>
        <v/>
      </c>
      <c r="B464" s="88" t="str">
        <f>IF($F464="","",'הזנה לתנאי סף'!C464)</f>
        <v/>
      </c>
      <c r="C464" s="88" t="str">
        <f>IF($F464="","",'הזנה לתנאי סף'!D464)</f>
        <v/>
      </c>
      <c r="D464" s="88" t="str">
        <f>IF($F464="","",'הזנה לתנאי סף'!E464)</f>
        <v/>
      </c>
      <c r="E464" s="88" t="str">
        <f>IF($F464="","",'הזנה לתנאי סף'!F464)</f>
        <v/>
      </c>
      <c r="F464" s="88" t="str">
        <f>IF(OR('הזנה לתנאי סף'!G464="",'הזנה לתנאי סף'!BL464&lt;&gt;1),"",'הזנה לתנאי סף'!G464)</f>
        <v/>
      </c>
      <c r="G464" s="88" t="str">
        <f>IF($F464="","",'הזנה לתנאי סף'!H464)</f>
        <v/>
      </c>
      <c r="H464" s="88" t="str">
        <f>IF($F464="","",'הזנה לתנאי סף'!I464)</f>
        <v/>
      </c>
      <c r="I464" s="109"/>
      <c r="J464" s="213" t="str">
        <f>IF($F464="","",'הזנה לתנאי סף'!S464)</f>
        <v/>
      </c>
      <c r="K464" s="109"/>
      <c r="L464" s="213" t="str">
        <f t="shared" si="79"/>
        <v/>
      </c>
      <c r="M464" s="213" t="str">
        <f>IF($F464="","",IF(L464='הזנה לתנאי סף'!R464,1,0))</f>
        <v/>
      </c>
      <c r="N464" s="214" t="str">
        <f t="shared" si="80"/>
        <v/>
      </c>
      <c r="O464" s="214" t="str">
        <f t="shared" si="81"/>
        <v/>
      </c>
      <c r="P464" s="109"/>
      <c r="Q464" s="213" t="str">
        <f>IF($F464="","",IFERROR(IF(P464&gt;0,'פרמטרים לקריטריונים'!$C$25*P464*O464,$AG$2),""))</f>
        <v/>
      </c>
      <c r="R464" s="213" t="str">
        <f>IF($F464="","",IFERROR('פרמטרים לקריטריונים'!$C$26*Q464,""))</f>
        <v/>
      </c>
      <c r="S464" s="214" t="str">
        <f t="shared" si="82"/>
        <v/>
      </c>
      <c r="T464" s="213" t="str">
        <f t="shared" si="83"/>
        <v/>
      </c>
      <c r="U464" s="213" t="str">
        <f>IF($F464="","",'הזנה לתנאי סף'!N464)</f>
        <v/>
      </c>
      <c r="V464" s="213" t="str">
        <f>IF($F464="","",'הזנה לתנאי סף'!O464)</f>
        <v/>
      </c>
      <c r="W464" s="109"/>
      <c r="X464" s="109"/>
      <c r="Y464" s="109"/>
      <c r="Z464" s="214" t="str">
        <f t="shared" si="84"/>
        <v/>
      </c>
      <c r="AA464" s="213" t="str">
        <f>IF(OR($F464="",V464=0),"",IF(V464=1,IF(COUNTBLANK(W464:X464)&gt;0,$AG$2,IF(OR(Z464&lt;='פרמטרים לקריטריונים'!$C$27,X464&gt;W464),"",X464-W464))))</f>
        <v/>
      </c>
      <c r="AB464" s="214" t="str">
        <f t="shared" si="85"/>
        <v/>
      </c>
      <c r="AC464" s="225" t="str">
        <f>IF(OR(AB464="",U464=1),"",IF(OR(COUNTBLANK(W464:Y464)&gt;0,AB464&gt;='פרמטרים לקריטריונים'!$E$54),'פרמטרים לקריטריונים'!$F$54,INDEX('פרמטרים לקריטריונים'!$F$49:$F$54,MATCH(AB464,'פרמטרים לקריטריונים'!$E$49:$E$54,1))))</f>
        <v/>
      </c>
      <c r="AD464" s="213" t="str">
        <f t="shared" si="86"/>
        <v/>
      </c>
      <c r="AE464" s="213" t="str">
        <f t="shared" si="87"/>
        <v/>
      </c>
      <c r="AG464" s="175">
        <f t="shared" si="88"/>
        <v>0</v>
      </c>
    </row>
    <row r="465" spans="1:33" ht="15.75" x14ac:dyDescent="0.2">
      <c r="A465" s="206" t="str">
        <f t="shared" si="78"/>
        <v/>
      </c>
      <c r="B465" s="88" t="str">
        <f>IF($F465="","",'הזנה לתנאי סף'!C465)</f>
        <v/>
      </c>
      <c r="C465" s="88" t="str">
        <f>IF($F465="","",'הזנה לתנאי סף'!D465)</f>
        <v/>
      </c>
      <c r="D465" s="88" t="str">
        <f>IF($F465="","",'הזנה לתנאי סף'!E465)</f>
        <v/>
      </c>
      <c r="E465" s="88" t="str">
        <f>IF($F465="","",'הזנה לתנאי סף'!F465)</f>
        <v/>
      </c>
      <c r="F465" s="88" t="str">
        <f>IF(OR('הזנה לתנאי סף'!G465="",'הזנה לתנאי סף'!BL465&lt;&gt;1),"",'הזנה לתנאי סף'!G465)</f>
        <v/>
      </c>
      <c r="G465" s="88" t="str">
        <f>IF($F465="","",'הזנה לתנאי סף'!H465)</f>
        <v/>
      </c>
      <c r="H465" s="88" t="str">
        <f>IF($F465="","",'הזנה לתנאי סף'!I465)</f>
        <v/>
      </c>
      <c r="I465" s="109"/>
      <c r="J465" s="213" t="str">
        <f>IF($F465="","",'הזנה לתנאי סף'!S465)</f>
        <v/>
      </c>
      <c r="K465" s="109"/>
      <c r="L465" s="213" t="str">
        <f t="shared" si="79"/>
        <v/>
      </c>
      <c r="M465" s="213" t="str">
        <f>IF($F465="","",IF(L465='הזנה לתנאי סף'!R465,1,0))</f>
        <v/>
      </c>
      <c r="N465" s="214" t="str">
        <f t="shared" si="80"/>
        <v/>
      </c>
      <c r="O465" s="214" t="str">
        <f t="shared" si="81"/>
        <v/>
      </c>
      <c r="P465" s="109"/>
      <c r="Q465" s="213" t="str">
        <f>IF($F465="","",IFERROR(IF(P465&gt;0,'פרמטרים לקריטריונים'!$C$25*P465*O465,$AG$2),""))</f>
        <v/>
      </c>
      <c r="R465" s="213" t="str">
        <f>IF($F465="","",IFERROR('פרמטרים לקריטריונים'!$C$26*Q465,""))</f>
        <v/>
      </c>
      <c r="S465" s="214" t="str">
        <f t="shared" si="82"/>
        <v/>
      </c>
      <c r="T465" s="213" t="str">
        <f t="shared" si="83"/>
        <v/>
      </c>
      <c r="U465" s="213" t="str">
        <f>IF($F465="","",'הזנה לתנאי סף'!N465)</f>
        <v/>
      </c>
      <c r="V465" s="213" t="str">
        <f>IF($F465="","",'הזנה לתנאי סף'!O465)</f>
        <v/>
      </c>
      <c r="W465" s="109"/>
      <c r="X465" s="109"/>
      <c r="Y465" s="109"/>
      <c r="Z465" s="214" t="str">
        <f t="shared" si="84"/>
        <v/>
      </c>
      <c r="AA465" s="213" t="str">
        <f>IF(OR($F465="",V465=0),"",IF(V465=1,IF(COUNTBLANK(W465:X465)&gt;0,$AG$2,IF(OR(Z465&lt;='פרמטרים לקריטריונים'!$C$27,X465&gt;W465),"",X465-W465))))</f>
        <v/>
      </c>
      <c r="AB465" s="214" t="str">
        <f t="shared" si="85"/>
        <v/>
      </c>
      <c r="AC465" s="225" t="str">
        <f>IF(OR(AB465="",U465=1),"",IF(OR(COUNTBLANK(W465:Y465)&gt;0,AB465&gt;='פרמטרים לקריטריונים'!$E$54),'פרמטרים לקריטריונים'!$F$54,INDEX('פרמטרים לקריטריונים'!$F$49:$F$54,MATCH(AB465,'פרמטרים לקריטריונים'!$E$49:$E$54,1))))</f>
        <v/>
      </c>
      <c r="AD465" s="213" t="str">
        <f t="shared" si="86"/>
        <v/>
      </c>
      <c r="AE465" s="213" t="str">
        <f t="shared" si="87"/>
        <v/>
      </c>
      <c r="AG465" s="175">
        <f t="shared" si="88"/>
        <v>0</v>
      </c>
    </row>
    <row r="466" spans="1:33" ht="15.75" x14ac:dyDescent="0.2">
      <c r="A466" s="206" t="str">
        <f t="shared" si="78"/>
        <v/>
      </c>
      <c r="B466" s="88" t="str">
        <f>IF($F466="","",'הזנה לתנאי סף'!C466)</f>
        <v/>
      </c>
      <c r="C466" s="88" t="str">
        <f>IF($F466="","",'הזנה לתנאי סף'!D466)</f>
        <v/>
      </c>
      <c r="D466" s="88" t="str">
        <f>IF($F466="","",'הזנה לתנאי סף'!E466)</f>
        <v/>
      </c>
      <c r="E466" s="88" t="str">
        <f>IF($F466="","",'הזנה לתנאי סף'!F466)</f>
        <v/>
      </c>
      <c r="F466" s="88" t="str">
        <f>IF(OR('הזנה לתנאי סף'!G466="",'הזנה לתנאי סף'!BL466&lt;&gt;1),"",'הזנה לתנאי סף'!G466)</f>
        <v/>
      </c>
      <c r="G466" s="88" t="str">
        <f>IF($F466="","",'הזנה לתנאי סף'!H466)</f>
        <v/>
      </c>
      <c r="H466" s="88" t="str">
        <f>IF($F466="","",'הזנה לתנאי סף'!I466)</f>
        <v/>
      </c>
      <c r="I466" s="109"/>
      <c r="J466" s="213" t="str">
        <f>IF($F466="","",'הזנה לתנאי סף'!S466)</f>
        <v/>
      </c>
      <c r="K466" s="109"/>
      <c r="L466" s="213" t="str">
        <f t="shared" si="79"/>
        <v/>
      </c>
      <c r="M466" s="213" t="str">
        <f>IF($F466="","",IF(L466='הזנה לתנאי סף'!R466,1,0))</f>
        <v/>
      </c>
      <c r="N466" s="214" t="str">
        <f t="shared" si="80"/>
        <v/>
      </c>
      <c r="O466" s="214" t="str">
        <f t="shared" si="81"/>
        <v/>
      </c>
      <c r="P466" s="109"/>
      <c r="Q466" s="213" t="str">
        <f>IF($F466="","",IFERROR(IF(P466&gt;0,'פרמטרים לקריטריונים'!$C$25*P466*O466,$AG$2),""))</f>
        <v/>
      </c>
      <c r="R466" s="213" t="str">
        <f>IF($F466="","",IFERROR('פרמטרים לקריטריונים'!$C$26*Q466,""))</f>
        <v/>
      </c>
      <c r="S466" s="214" t="str">
        <f t="shared" si="82"/>
        <v/>
      </c>
      <c r="T466" s="213" t="str">
        <f t="shared" si="83"/>
        <v/>
      </c>
      <c r="U466" s="213" t="str">
        <f>IF($F466="","",'הזנה לתנאי סף'!N466)</f>
        <v/>
      </c>
      <c r="V466" s="213" t="str">
        <f>IF($F466="","",'הזנה לתנאי סף'!O466)</f>
        <v/>
      </c>
      <c r="W466" s="109"/>
      <c r="X466" s="109"/>
      <c r="Y466" s="109"/>
      <c r="Z466" s="214" t="str">
        <f t="shared" si="84"/>
        <v/>
      </c>
      <c r="AA466" s="213" t="str">
        <f>IF(OR($F466="",V466=0),"",IF(V466=1,IF(COUNTBLANK(W466:X466)&gt;0,$AG$2,IF(OR(Z466&lt;='פרמטרים לקריטריונים'!$C$27,X466&gt;W466),"",X466-W466))))</f>
        <v/>
      </c>
      <c r="AB466" s="214" t="str">
        <f t="shared" si="85"/>
        <v/>
      </c>
      <c r="AC466" s="225" t="str">
        <f>IF(OR(AB466="",U466=1),"",IF(OR(COUNTBLANK(W466:Y466)&gt;0,AB466&gt;='פרמטרים לקריטריונים'!$E$54),'פרמטרים לקריטריונים'!$F$54,INDEX('פרמטרים לקריטריונים'!$F$49:$F$54,MATCH(AB466,'פרמטרים לקריטריונים'!$E$49:$E$54,1))))</f>
        <v/>
      </c>
      <c r="AD466" s="213" t="str">
        <f t="shared" si="86"/>
        <v/>
      </c>
      <c r="AE466" s="213" t="str">
        <f t="shared" si="87"/>
        <v/>
      </c>
      <c r="AG466" s="175">
        <f t="shared" si="88"/>
        <v>0</v>
      </c>
    </row>
    <row r="467" spans="1:33" ht="15.75" x14ac:dyDescent="0.2">
      <c r="A467" s="206" t="str">
        <f t="shared" si="78"/>
        <v/>
      </c>
      <c r="B467" s="88" t="str">
        <f>IF($F467="","",'הזנה לתנאי סף'!C467)</f>
        <v/>
      </c>
      <c r="C467" s="88" t="str">
        <f>IF($F467="","",'הזנה לתנאי סף'!D467)</f>
        <v/>
      </c>
      <c r="D467" s="88" t="str">
        <f>IF($F467="","",'הזנה לתנאי סף'!E467)</f>
        <v/>
      </c>
      <c r="E467" s="88" t="str">
        <f>IF($F467="","",'הזנה לתנאי סף'!F467)</f>
        <v/>
      </c>
      <c r="F467" s="88" t="str">
        <f>IF(OR('הזנה לתנאי סף'!G467="",'הזנה לתנאי סף'!BL467&lt;&gt;1),"",'הזנה לתנאי סף'!G467)</f>
        <v/>
      </c>
      <c r="G467" s="88" t="str">
        <f>IF($F467="","",'הזנה לתנאי סף'!H467)</f>
        <v/>
      </c>
      <c r="H467" s="88" t="str">
        <f>IF($F467="","",'הזנה לתנאי סף'!I467)</f>
        <v/>
      </c>
      <c r="I467" s="109"/>
      <c r="J467" s="213" t="str">
        <f>IF($F467="","",'הזנה לתנאי סף'!S467)</f>
        <v/>
      </c>
      <c r="K467" s="109"/>
      <c r="L467" s="213" t="str">
        <f t="shared" si="79"/>
        <v/>
      </c>
      <c r="M467" s="213" t="str">
        <f>IF($F467="","",IF(L467='הזנה לתנאי סף'!R467,1,0))</f>
        <v/>
      </c>
      <c r="N467" s="214" t="str">
        <f t="shared" si="80"/>
        <v/>
      </c>
      <c r="O467" s="214" t="str">
        <f t="shared" si="81"/>
        <v/>
      </c>
      <c r="P467" s="109"/>
      <c r="Q467" s="213" t="str">
        <f>IF($F467="","",IFERROR(IF(P467&gt;0,'פרמטרים לקריטריונים'!$C$25*P467*O467,$AG$2),""))</f>
        <v/>
      </c>
      <c r="R467" s="213" t="str">
        <f>IF($F467="","",IFERROR('פרמטרים לקריטריונים'!$C$26*Q467,""))</f>
        <v/>
      </c>
      <c r="S467" s="214" t="str">
        <f t="shared" si="82"/>
        <v/>
      </c>
      <c r="T467" s="213" t="str">
        <f t="shared" si="83"/>
        <v/>
      </c>
      <c r="U467" s="213" t="str">
        <f>IF($F467="","",'הזנה לתנאי סף'!N467)</f>
        <v/>
      </c>
      <c r="V467" s="213" t="str">
        <f>IF($F467="","",'הזנה לתנאי סף'!O467)</f>
        <v/>
      </c>
      <c r="W467" s="109"/>
      <c r="X467" s="109"/>
      <c r="Y467" s="109"/>
      <c r="Z467" s="214" t="str">
        <f t="shared" si="84"/>
        <v/>
      </c>
      <c r="AA467" s="213" t="str">
        <f>IF(OR($F467="",V467=0),"",IF(V467=1,IF(COUNTBLANK(W467:X467)&gt;0,$AG$2,IF(OR(Z467&lt;='פרמטרים לקריטריונים'!$C$27,X467&gt;W467),"",X467-W467))))</f>
        <v/>
      </c>
      <c r="AB467" s="214" t="str">
        <f t="shared" si="85"/>
        <v/>
      </c>
      <c r="AC467" s="225" t="str">
        <f>IF(OR(AB467="",U467=1),"",IF(OR(COUNTBLANK(W467:Y467)&gt;0,AB467&gt;='פרמטרים לקריטריונים'!$E$54),'פרמטרים לקריטריונים'!$F$54,INDEX('פרמטרים לקריטריונים'!$F$49:$F$54,MATCH(AB467,'פרמטרים לקריטריונים'!$E$49:$E$54,1))))</f>
        <v/>
      </c>
      <c r="AD467" s="213" t="str">
        <f t="shared" si="86"/>
        <v/>
      </c>
      <c r="AE467" s="213" t="str">
        <f t="shared" si="87"/>
        <v/>
      </c>
      <c r="AG467" s="175">
        <f t="shared" si="88"/>
        <v>0</v>
      </c>
    </row>
    <row r="468" spans="1:33" ht="15.75" x14ac:dyDescent="0.2">
      <c r="A468" s="206" t="str">
        <f t="shared" si="78"/>
        <v/>
      </c>
      <c r="B468" s="88" t="str">
        <f>IF($F468="","",'הזנה לתנאי סף'!C468)</f>
        <v/>
      </c>
      <c r="C468" s="88" t="str">
        <f>IF($F468="","",'הזנה לתנאי סף'!D468)</f>
        <v/>
      </c>
      <c r="D468" s="88" t="str">
        <f>IF($F468="","",'הזנה לתנאי סף'!E468)</f>
        <v/>
      </c>
      <c r="E468" s="88" t="str">
        <f>IF($F468="","",'הזנה לתנאי סף'!F468)</f>
        <v/>
      </c>
      <c r="F468" s="88" t="str">
        <f>IF(OR('הזנה לתנאי סף'!G468="",'הזנה לתנאי סף'!BL468&lt;&gt;1),"",'הזנה לתנאי סף'!G468)</f>
        <v/>
      </c>
      <c r="G468" s="88" t="str">
        <f>IF($F468="","",'הזנה לתנאי סף'!H468)</f>
        <v/>
      </c>
      <c r="H468" s="88" t="str">
        <f>IF($F468="","",'הזנה לתנאי סף'!I468)</f>
        <v/>
      </c>
      <c r="I468" s="109"/>
      <c r="J468" s="213" t="str">
        <f>IF($F468="","",'הזנה לתנאי סף'!S468)</f>
        <v/>
      </c>
      <c r="K468" s="109"/>
      <c r="L468" s="213" t="str">
        <f t="shared" si="79"/>
        <v/>
      </c>
      <c r="M468" s="213" t="str">
        <f>IF($F468="","",IF(L468='הזנה לתנאי סף'!R468,1,0))</f>
        <v/>
      </c>
      <c r="N468" s="214" t="str">
        <f t="shared" si="80"/>
        <v/>
      </c>
      <c r="O468" s="214" t="str">
        <f t="shared" si="81"/>
        <v/>
      </c>
      <c r="P468" s="109"/>
      <c r="Q468" s="213" t="str">
        <f>IF($F468="","",IFERROR(IF(P468&gt;0,'פרמטרים לקריטריונים'!$C$25*P468*O468,$AG$2),""))</f>
        <v/>
      </c>
      <c r="R468" s="213" t="str">
        <f>IF($F468="","",IFERROR('פרמטרים לקריטריונים'!$C$26*Q468,""))</f>
        <v/>
      </c>
      <c r="S468" s="214" t="str">
        <f t="shared" si="82"/>
        <v/>
      </c>
      <c r="T468" s="213" t="str">
        <f t="shared" si="83"/>
        <v/>
      </c>
      <c r="U468" s="213" t="str">
        <f>IF($F468="","",'הזנה לתנאי סף'!N468)</f>
        <v/>
      </c>
      <c r="V468" s="213" t="str">
        <f>IF($F468="","",'הזנה לתנאי סף'!O468)</f>
        <v/>
      </c>
      <c r="W468" s="109"/>
      <c r="X468" s="109"/>
      <c r="Y468" s="109"/>
      <c r="Z468" s="214" t="str">
        <f t="shared" si="84"/>
        <v/>
      </c>
      <c r="AA468" s="213" t="str">
        <f>IF(OR($F468="",V468=0),"",IF(V468=1,IF(COUNTBLANK(W468:X468)&gt;0,$AG$2,IF(OR(Z468&lt;='פרמטרים לקריטריונים'!$C$27,X468&gt;W468),"",X468-W468))))</f>
        <v/>
      </c>
      <c r="AB468" s="214" t="str">
        <f t="shared" si="85"/>
        <v/>
      </c>
      <c r="AC468" s="225" t="str">
        <f>IF(OR(AB468="",U468=1),"",IF(OR(COUNTBLANK(W468:Y468)&gt;0,AB468&gt;='פרמטרים לקריטריונים'!$E$54),'פרמטרים לקריטריונים'!$F$54,INDEX('פרמטרים לקריטריונים'!$F$49:$F$54,MATCH(AB468,'פרמטרים לקריטריונים'!$E$49:$E$54,1))))</f>
        <v/>
      </c>
      <c r="AD468" s="213" t="str">
        <f t="shared" si="86"/>
        <v/>
      </c>
      <c r="AE468" s="213" t="str">
        <f t="shared" si="87"/>
        <v/>
      </c>
      <c r="AG468" s="175">
        <f t="shared" si="88"/>
        <v>0</v>
      </c>
    </row>
    <row r="469" spans="1:33" ht="15.75" x14ac:dyDescent="0.2">
      <c r="A469" s="206" t="str">
        <f t="shared" si="78"/>
        <v/>
      </c>
      <c r="B469" s="88" t="str">
        <f>IF($F469="","",'הזנה לתנאי סף'!C469)</f>
        <v/>
      </c>
      <c r="C469" s="88" t="str">
        <f>IF($F469="","",'הזנה לתנאי סף'!D469)</f>
        <v/>
      </c>
      <c r="D469" s="88" t="str">
        <f>IF($F469="","",'הזנה לתנאי סף'!E469)</f>
        <v/>
      </c>
      <c r="E469" s="88" t="str">
        <f>IF($F469="","",'הזנה לתנאי סף'!F469)</f>
        <v/>
      </c>
      <c r="F469" s="88" t="str">
        <f>IF(OR('הזנה לתנאי סף'!G469="",'הזנה לתנאי סף'!BL469&lt;&gt;1),"",'הזנה לתנאי סף'!G469)</f>
        <v/>
      </c>
      <c r="G469" s="88" t="str">
        <f>IF($F469="","",'הזנה לתנאי סף'!H469)</f>
        <v/>
      </c>
      <c r="H469" s="88" t="str">
        <f>IF($F469="","",'הזנה לתנאי סף'!I469)</f>
        <v/>
      </c>
      <c r="I469" s="109"/>
      <c r="J469" s="213" t="str">
        <f>IF($F469="","",'הזנה לתנאי סף'!S469)</f>
        <v/>
      </c>
      <c r="K469" s="109"/>
      <c r="L469" s="213" t="str">
        <f t="shared" si="79"/>
        <v/>
      </c>
      <c r="M469" s="213" t="str">
        <f>IF($F469="","",IF(L469='הזנה לתנאי סף'!R469,1,0))</f>
        <v/>
      </c>
      <c r="N469" s="214" t="str">
        <f t="shared" si="80"/>
        <v/>
      </c>
      <c r="O469" s="214" t="str">
        <f t="shared" si="81"/>
        <v/>
      </c>
      <c r="P469" s="109"/>
      <c r="Q469" s="213" t="str">
        <f>IF($F469="","",IFERROR(IF(P469&gt;0,'פרמטרים לקריטריונים'!$C$25*P469*O469,$AG$2),""))</f>
        <v/>
      </c>
      <c r="R469" s="213" t="str">
        <f>IF($F469="","",IFERROR('פרמטרים לקריטריונים'!$C$26*Q469,""))</f>
        <v/>
      </c>
      <c r="S469" s="214" t="str">
        <f t="shared" si="82"/>
        <v/>
      </c>
      <c r="T469" s="213" t="str">
        <f t="shared" si="83"/>
        <v/>
      </c>
      <c r="U469" s="213" t="str">
        <f>IF($F469="","",'הזנה לתנאי סף'!N469)</f>
        <v/>
      </c>
      <c r="V469" s="213" t="str">
        <f>IF($F469="","",'הזנה לתנאי סף'!O469)</f>
        <v/>
      </c>
      <c r="W469" s="109"/>
      <c r="X469" s="109"/>
      <c r="Y469" s="109"/>
      <c r="Z469" s="214" t="str">
        <f t="shared" si="84"/>
        <v/>
      </c>
      <c r="AA469" s="213" t="str">
        <f>IF(OR($F469="",V469=0),"",IF(V469=1,IF(COUNTBLANK(W469:X469)&gt;0,$AG$2,IF(OR(Z469&lt;='פרמטרים לקריטריונים'!$C$27,X469&gt;W469),"",X469-W469))))</f>
        <v/>
      </c>
      <c r="AB469" s="214" t="str">
        <f t="shared" si="85"/>
        <v/>
      </c>
      <c r="AC469" s="225" t="str">
        <f>IF(OR(AB469="",U469=1),"",IF(OR(COUNTBLANK(W469:Y469)&gt;0,AB469&gt;='פרמטרים לקריטריונים'!$E$54),'פרמטרים לקריטריונים'!$F$54,INDEX('פרמטרים לקריטריונים'!$F$49:$F$54,MATCH(AB469,'פרמטרים לקריטריונים'!$E$49:$E$54,1))))</f>
        <v/>
      </c>
      <c r="AD469" s="213" t="str">
        <f t="shared" si="86"/>
        <v/>
      </c>
      <c r="AE469" s="213" t="str">
        <f t="shared" si="87"/>
        <v/>
      </c>
      <c r="AG469" s="175">
        <f t="shared" si="88"/>
        <v>0</v>
      </c>
    </row>
    <row r="470" spans="1:33" ht="15.75" x14ac:dyDescent="0.2">
      <c r="A470" s="206" t="str">
        <f t="shared" si="78"/>
        <v/>
      </c>
      <c r="B470" s="88" t="str">
        <f>IF($F470="","",'הזנה לתנאי סף'!C470)</f>
        <v/>
      </c>
      <c r="C470" s="88" t="str">
        <f>IF($F470="","",'הזנה לתנאי סף'!D470)</f>
        <v/>
      </c>
      <c r="D470" s="88" t="str">
        <f>IF($F470="","",'הזנה לתנאי סף'!E470)</f>
        <v/>
      </c>
      <c r="E470" s="88" t="str">
        <f>IF($F470="","",'הזנה לתנאי סף'!F470)</f>
        <v/>
      </c>
      <c r="F470" s="88" t="str">
        <f>IF(OR('הזנה לתנאי סף'!G470="",'הזנה לתנאי סף'!BL470&lt;&gt;1),"",'הזנה לתנאי סף'!G470)</f>
        <v/>
      </c>
      <c r="G470" s="88" t="str">
        <f>IF($F470="","",'הזנה לתנאי סף'!H470)</f>
        <v/>
      </c>
      <c r="H470" s="88" t="str">
        <f>IF($F470="","",'הזנה לתנאי סף'!I470)</f>
        <v/>
      </c>
      <c r="I470" s="109"/>
      <c r="J470" s="213" t="str">
        <f>IF($F470="","",'הזנה לתנאי סף'!S470)</f>
        <v/>
      </c>
      <c r="K470" s="109"/>
      <c r="L470" s="213" t="str">
        <f t="shared" si="79"/>
        <v/>
      </c>
      <c r="M470" s="213" t="str">
        <f>IF($F470="","",IF(L470='הזנה לתנאי סף'!R470,1,0))</f>
        <v/>
      </c>
      <c r="N470" s="214" t="str">
        <f t="shared" si="80"/>
        <v/>
      </c>
      <c r="O470" s="214" t="str">
        <f t="shared" si="81"/>
        <v/>
      </c>
      <c r="P470" s="109"/>
      <c r="Q470" s="213" t="str">
        <f>IF($F470="","",IFERROR(IF(P470&gt;0,'פרמטרים לקריטריונים'!$C$25*P470*O470,$AG$2),""))</f>
        <v/>
      </c>
      <c r="R470" s="213" t="str">
        <f>IF($F470="","",IFERROR('פרמטרים לקריטריונים'!$C$26*Q470,""))</f>
        <v/>
      </c>
      <c r="S470" s="214" t="str">
        <f t="shared" si="82"/>
        <v/>
      </c>
      <c r="T470" s="213" t="str">
        <f t="shared" si="83"/>
        <v/>
      </c>
      <c r="U470" s="213" t="str">
        <f>IF($F470="","",'הזנה לתנאי סף'!N470)</f>
        <v/>
      </c>
      <c r="V470" s="213" t="str">
        <f>IF($F470="","",'הזנה לתנאי סף'!O470)</f>
        <v/>
      </c>
      <c r="W470" s="109"/>
      <c r="X470" s="109"/>
      <c r="Y470" s="109"/>
      <c r="Z470" s="214" t="str">
        <f t="shared" si="84"/>
        <v/>
      </c>
      <c r="AA470" s="213" t="str">
        <f>IF(OR($F470="",V470=0),"",IF(V470=1,IF(COUNTBLANK(W470:X470)&gt;0,$AG$2,IF(OR(Z470&lt;='פרמטרים לקריטריונים'!$C$27,X470&gt;W470),"",X470-W470))))</f>
        <v/>
      </c>
      <c r="AB470" s="214" t="str">
        <f t="shared" si="85"/>
        <v/>
      </c>
      <c r="AC470" s="225" t="str">
        <f>IF(OR(AB470="",U470=1),"",IF(OR(COUNTBLANK(W470:Y470)&gt;0,AB470&gt;='פרמטרים לקריטריונים'!$E$54),'פרמטרים לקריטריונים'!$F$54,INDEX('פרמטרים לקריטריונים'!$F$49:$F$54,MATCH(AB470,'פרמטרים לקריטריונים'!$E$49:$E$54,1))))</f>
        <v/>
      </c>
      <c r="AD470" s="213" t="str">
        <f t="shared" si="86"/>
        <v/>
      </c>
      <c r="AE470" s="213" t="str">
        <f t="shared" si="87"/>
        <v/>
      </c>
      <c r="AG470" s="175">
        <f t="shared" si="88"/>
        <v>0</v>
      </c>
    </row>
    <row r="471" spans="1:33" ht="15.75" x14ac:dyDescent="0.2">
      <c r="A471" s="206" t="str">
        <f t="shared" si="78"/>
        <v/>
      </c>
      <c r="B471" s="88" t="str">
        <f>IF($F471="","",'הזנה לתנאי סף'!C471)</f>
        <v/>
      </c>
      <c r="C471" s="88" t="str">
        <f>IF($F471="","",'הזנה לתנאי סף'!D471)</f>
        <v/>
      </c>
      <c r="D471" s="88" t="str">
        <f>IF($F471="","",'הזנה לתנאי סף'!E471)</f>
        <v/>
      </c>
      <c r="E471" s="88" t="str">
        <f>IF($F471="","",'הזנה לתנאי סף'!F471)</f>
        <v/>
      </c>
      <c r="F471" s="88" t="str">
        <f>IF(OR('הזנה לתנאי סף'!G471="",'הזנה לתנאי סף'!BL471&lt;&gt;1),"",'הזנה לתנאי סף'!G471)</f>
        <v/>
      </c>
      <c r="G471" s="88" t="str">
        <f>IF($F471="","",'הזנה לתנאי סף'!H471)</f>
        <v/>
      </c>
      <c r="H471" s="88" t="str">
        <f>IF($F471="","",'הזנה לתנאי סף'!I471)</f>
        <v/>
      </c>
      <c r="I471" s="109"/>
      <c r="J471" s="213" t="str">
        <f>IF($F471="","",'הזנה לתנאי סף'!S471)</f>
        <v/>
      </c>
      <c r="K471" s="109"/>
      <c r="L471" s="213" t="str">
        <f t="shared" si="79"/>
        <v/>
      </c>
      <c r="M471" s="213" t="str">
        <f>IF($F471="","",IF(L471='הזנה לתנאי סף'!R471,1,0))</f>
        <v/>
      </c>
      <c r="N471" s="214" t="str">
        <f t="shared" si="80"/>
        <v/>
      </c>
      <c r="O471" s="214" t="str">
        <f t="shared" si="81"/>
        <v/>
      </c>
      <c r="P471" s="109"/>
      <c r="Q471" s="213" t="str">
        <f>IF($F471="","",IFERROR(IF(P471&gt;0,'פרמטרים לקריטריונים'!$C$25*P471*O471,$AG$2),""))</f>
        <v/>
      </c>
      <c r="R471" s="213" t="str">
        <f>IF($F471="","",IFERROR('פרמטרים לקריטריונים'!$C$26*Q471,""))</f>
        <v/>
      </c>
      <c r="S471" s="214" t="str">
        <f t="shared" si="82"/>
        <v/>
      </c>
      <c r="T471" s="213" t="str">
        <f t="shared" si="83"/>
        <v/>
      </c>
      <c r="U471" s="213" t="str">
        <f>IF($F471="","",'הזנה לתנאי סף'!N471)</f>
        <v/>
      </c>
      <c r="V471" s="213" t="str">
        <f>IF($F471="","",'הזנה לתנאי סף'!O471)</f>
        <v/>
      </c>
      <c r="W471" s="109"/>
      <c r="X471" s="109"/>
      <c r="Y471" s="109"/>
      <c r="Z471" s="214" t="str">
        <f t="shared" si="84"/>
        <v/>
      </c>
      <c r="AA471" s="213" t="str">
        <f>IF(OR($F471="",V471=0),"",IF(V471=1,IF(COUNTBLANK(W471:X471)&gt;0,$AG$2,IF(OR(Z471&lt;='פרמטרים לקריטריונים'!$C$27,X471&gt;W471),"",X471-W471))))</f>
        <v/>
      </c>
      <c r="AB471" s="214" t="str">
        <f t="shared" si="85"/>
        <v/>
      </c>
      <c r="AC471" s="225" t="str">
        <f>IF(OR(AB471="",U471=1),"",IF(OR(COUNTBLANK(W471:Y471)&gt;0,AB471&gt;='פרמטרים לקריטריונים'!$E$54),'פרמטרים לקריטריונים'!$F$54,INDEX('פרמטרים לקריטריונים'!$F$49:$F$54,MATCH(AB471,'פרמטרים לקריטריונים'!$E$49:$E$54,1))))</f>
        <v/>
      </c>
      <c r="AD471" s="213" t="str">
        <f t="shared" si="86"/>
        <v/>
      </c>
      <c r="AE471" s="213" t="str">
        <f t="shared" si="87"/>
        <v/>
      </c>
      <c r="AG471" s="175">
        <f t="shared" si="88"/>
        <v>0</v>
      </c>
    </row>
    <row r="472" spans="1:33" ht="15.75" x14ac:dyDescent="0.2">
      <c r="A472" s="206" t="str">
        <f t="shared" si="78"/>
        <v/>
      </c>
      <c r="B472" s="88" t="str">
        <f>IF($F472="","",'הזנה לתנאי סף'!C472)</f>
        <v/>
      </c>
      <c r="C472" s="88" t="str">
        <f>IF($F472="","",'הזנה לתנאי סף'!D472)</f>
        <v/>
      </c>
      <c r="D472" s="88" t="str">
        <f>IF($F472="","",'הזנה לתנאי סף'!E472)</f>
        <v/>
      </c>
      <c r="E472" s="88" t="str">
        <f>IF($F472="","",'הזנה לתנאי סף'!F472)</f>
        <v/>
      </c>
      <c r="F472" s="88" t="str">
        <f>IF(OR('הזנה לתנאי סף'!G472="",'הזנה לתנאי סף'!BL472&lt;&gt;1),"",'הזנה לתנאי סף'!G472)</f>
        <v/>
      </c>
      <c r="G472" s="88" t="str">
        <f>IF($F472="","",'הזנה לתנאי סף'!H472)</f>
        <v/>
      </c>
      <c r="H472" s="88" t="str">
        <f>IF($F472="","",'הזנה לתנאי סף'!I472)</f>
        <v/>
      </c>
      <c r="I472" s="109"/>
      <c r="J472" s="213" t="str">
        <f>IF($F472="","",'הזנה לתנאי סף'!S472)</f>
        <v/>
      </c>
      <c r="K472" s="109"/>
      <c r="L472" s="213" t="str">
        <f t="shared" si="79"/>
        <v/>
      </c>
      <c r="M472" s="213" t="str">
        <f>IF($F472="","",IF(L472='הזנה לתנאי סף'!R472,1,0))</f>
        <v/>
      </c>
      <c r="N472" s="214" t="str">
        <f t="shared" si="80"/>
        <v/>
      </c>
      <c r="O472" s="214" t="str">
        <f t="shared" si="81"/>
        <v/>
      </c>
      <c r="P472" s="109"/>
      <c r="Q472" s="213" t="str">
        <f>IF($F472="","",IFERROR(IF(P472&gt;0,'פרמטרים לקריטריונים'!$C$25*P472*O472,$AG$2),""))</f>
        <v/>
      </c>
      <c r="R472" s="213" t="str">
        <f>IF($F472="","",IFERROR('פרמטרים לקריטריונים'!$C$26*Q472,""))</f>
        <v/>
      </c>
      <c r="S472" s="214" t="str">
        <f t="shared" si="82"/>
        <v/>
      </c>
      <c r="T472" s="213" t="str">
        <f t="shared" si="83"/>
        <v/>
      </c>
      <c r="U472" s="213" t="str">
        <f>IF($F472="","",'הזנה לתנאי סף'!N472)</f>
        <v/>
      </c>
      <c r="V472" s="213" t="str">
        <f>IF($F472="","",'הזנה לתנאי סף'!O472)</f>
        <v/>
      </c>
      <c r="W472" s="109"/>
      <c r="X472" s="109"/>
      <c r="Y472" s="109"/>
      <c r="Z472" s="214" t="str">
        <f t="shared" si="84"/>
        <v/>
      </c>
      <c r="AA472" s="213" t="str">
        <f>IF(OR($F472="",V472=0),"",IF(V472=1,IF(COUNTBLANK(W472:X472)&gt;0,$AG$2,IF(OR(Z472&lt;='פרמטרים לקריטריונים'!$C$27,X472&gt;W472),"",X472-W472))))</f>
        <v/>
      </c>
      <c r="AB472" s="214" t="str">
        <f t="shared" si="85"/>
        <v/>
      </c>
      <c r="AC472" s="225" t="str">
        <f>IF(OR(AB472="",U472=1),"",IF(OR(COUNTBLANK(W472:Y472)&gt;0,AB472&gt;='פרמטרים לקריטריונים'!$E$54),'פרמטרים לקריטריונים'!$F$54,INDEX('פרמטרים לקריטריונים'!$F$49:$F$54,MATCH(AB472,'פרמטרים לקריטריונים'!$E$49:$E$54,1))))</f>
        <v/>
      </c>
      <c r="AD472" s="213" t="str">
        <f t="shared" si="86"/>
        <v/>
      </c>
      <c r="AE472" s="213" t="str">
        <f t="shared" si="87"/>
        <v/>
      </c>
      <c r="AG472" s="175">
        <f t="shared" si="88"/>
        <v>0</v>
      </c>
    </row>
    <row r="473" spans="1:33" ht="15.75" x14ac:dyDescent="0.2">
      <c r="A473" s="206" t="str">
        <f t="shared" si="78"/>
        <v/>
      </c>
      <c r="B473" s="88" t="str">
        <f>IF($F473="","",'הזנה לתנאי סף'!C473)</f>
        <v/>
      </c>
      <c r="C473" s="88" t="str">
        <f>IF($F473="","",'הזנה לתנאי סף'!D473)</f>
        <v/>
      </c>
      <c r="D473" s="88" t="str">
        <f>IF($F473="","",'הזנה לתנאי סף'!E473)</f>
        <v/>
      </c>
      <c r="E473" s="88" t="str">
        <f>IF($F473="","",'הזנה לתנאי סף'!F473)</f>
        <v/>
      </c>
      <c r="F473" s="88" t="str">
        <f>IF(OR('הזנה לתנאי סף'!G473="",'הזנה לתנאי סף'!BL473&lt;&gt;1),"",'הזנה לתנאי סף'!G473)</f>
        <v/>
      </c>
      <c r="G473" s="88" t="str">
        <f>IF($F473="","",'הזנה לתנאי סף'!H473)</f>
        <v/>
      </c>
      <c r="H473" s="88" t="str">
        <f>IF($F473="","",'הזנה לתנאי סף'!I473)</f>
        <v/>
      </c>
      <c r="I473" s="109"/>
      <c r="J473" s="213" t="str">
        <f>IF($F473="","",'הזנה לתנאי סף'!S473)</f>
        <v/>
      </c>
      <c r="K473" s="109"/>
      <c r="L473" s="213" t="str">
        <f t="shared" si="79"/>
        <v/>
      </c>
      <c r="M473" s="213" t="str">
        <f>IF($F473="","",IF(L473='הזנה לתנאי סף'!R473,1,0))</f>
        <v/>
      </c>
      <c r="N473" s="214" t="str">
        <f t="shared" si="80"/>
        <v/>
      </c>
      <c r="O473" s="214" t="str">
        <f t="shared" si="81"/>
        <v/>
      </c>
      <c r="P473" s="109"/>
      <c r="Q473" s="213" t="str">
        <f>IF($F473="","",IFERROR(IF(P473&gt;0,'פרמטרים לקריטריונים'!$C$25*P473*O473,$AG$2),""))</f>
        <v/>
      </c>
      <c r="R473" s="213" t="str">
        <f>IF($F473="","",IFERROR('פרמטרים לקריטריונים'!$C$26*Q473,""))</f>
        <v/>
      </c>
      <c r="S473" s="214" t="str">
        <f t="shared" si="82"/>
        <v/>
      </c>
      <c r="T473" s="213" t="str">
        <f t="shared" si="83"/>
        <v/>
      </c>
      <c r="U473" s="213" t="str">
        <f>IF($F473="","",'הזנה לתנאי סף'!N473)</f>
        <v/>
      </c>
      <c r="V473" s="213" t="str">
        <f>IF($F473="","",'הזנה לתנאי סף'!O473)</f>
        <v/>
      </c>
      <c r="W473" s="109"/>
      <c r="X473" s="109"/>
      <c r="Y473" s="109"/>
      <c r="Z473" s="214" t="str">
        <f t="shared" si="84"/>
        <v/>
      </c>
      <c r="AA473" s="213" t="str">
        <f>IF(OR($F473="",V473=0),"",IF(V473=1,IF(COUNTBLANK(W473:X473)&gt;0,$AG$2,IF(OR(Z473&lt;='פרמטרים לקריטריונים'!$C$27,X473&gt;W473),"",X473-W473))))</f>
        <v/>
      </c>
      <c r="AB473" s="214" t="str">
        <f t="shared" si="85"/>
        <v/>
      </c>
      <c r="AC473" s="225" t="str">
        <f>IF(OR(AB473="",U473=1),"",IF(OR(COUNTBLANK(W473:Y473)&gt;0,AB473&gt;='פרמטרים לקריטריונים'!$E$54),'פרמטרים לקריטריונים'!$F$54,INDEX('פרמטרים לקריטריונים'!$F$49:$F$54,MATCH(AB473,'פרמטרים לקריטריונים'!$E$49:$E$54,1))))</f>
        <v/>
      </c>
      <c r="AD473" s="213" t="str">
        <f t="shared" si="86"/>
        <v/>
      </c>
      <c r="AE473" s="213" t="str">
        <f t="shared" si="87"/>
        <v/>
      </c>
      <c r="AG473" s="175">
        <f t="shared" si="88"/>
        <v>0</v>
      </c>
    </row>
    <row r="474" spans="1:33" ht="15.75" x14ac:dyDescent="0.2">
      <c r="A474" s="206" t="str">
        <f t="shared" si="78"/>
        <v/>
      </c>
      <c r="B474" s="88" t="str">
        <f>IF($F474="","",'הזנה לתנאי סף'!C474)</f>
        <v/>
      </c>
      <c r="C474" s="88" t="str">
        <f>IF($F474="","",'הזנה לתנאי סף'!D474)</f>
        <v/>
      </c>
      <c r="D474" s="88" t="str">
        <f>IF($F474="","",'הזנה לתנאי סף'!E474)</f>
        <v/>
      </c>
      <c r="E474" s="88" t="str">
        <f>IF($F474="","",'הזנה לתנאי סף'!F474)</f>
        <v/>
      </c>
      <c r="F474" s="88" t="str">
        <f>IF(OR('הזנה לתנאי סף'!G474="",'הזנה לתנאי סף'!BL474&lt;&gt;1),"",'הזנה לתנאי סף'!G474)</f>
        <v/>
      </c>
      <c r="G474" s="88" t="str">
        <f>IF($F474="","",'הזנה לתנאי סף'!H474)</f>
        <v/>
      </c>
      <c r="H474" s="88" t="str">
        <f>IF($F474="","",'הזנה לתנאי סף'!I474)</f>
        <v/>
      </c>
      <c r="I474" s="109"/>
      <c r="J474" s="213" t="str">
        <f>IF($F474="","",'הזנה לתנאי סף'!S474)</f>
        <v/>
      </c>
      <c r="K474" s="109"/>
      <c r="L474" s="213" t="str">
        <f t="shared" si="79"/>
        <v/>
      </c>
      <c r="M474" s="213" t="str">
        <f>IF($F474="","",IF(L474='הזנה לתנאי סף'!R474,1,0))</f>
        <v/>
      </c>
      <c r="N474" s="214" t="str">
        <f t="shared" si="80"/>
        <v/>
      </c>
      <c r="O474" s="214" t="str">
        <f t="shared" si="81"/>
        <v/>
      </c>
      <c r="P474" s="109"/>
      <c r="Q474" s="213" t="str">
        <f>IF($F474="","",IFERROR(IF(P474&gt;0,'פרמטרים לקריטריונים'!$C$25*P474*O474,$AG$2),""))</f>
        <v/>
      </c>
      <c r="R474" s="213" t="str">
        <f>IF($F474="","",IFERROR('פרמטרים לקריטריונים'!$C$26*Q474,""))</f>
        <v/>
      </c>
      <c r="S474" s="214" t="str">
        <f t="shared" si="82"/>
        <v/>
      </c>
      <c r="T474" s="213" t="str">
        <f t="shared" si="83"/>
        <v/>
      </c>
      <c r="U474" s="213" t="str">
        <f>IF($F474="","",'הזנה לתנאי סף'!N474)</f>
        <v/>
      </c>
      <c r="V474" s="213" t="str">
        <f>IF($F474="","",'הזנה לתנאי סף'!O474)</f>
        <v/>
      </c>
      <c r="W474" s="109"/>
      <c r="X474" s="109"/>
      <c r="Y474" s="109"/>
      <c r="Z474" s="214" t="str">
        <f t="shared" si="84"/>
        <v/>
      </c>
      <c r="AA474" s="213" t="str">
        <f>IF(OR($F474="",V474=0),"",IF(V474=1,IF(COUNTBLANK(W474:X474)&gt;0,$AG$2,IF(OR(Z474&lt;='פרמטרים לקריטריונים'!$C$27,X474&gt;W474),"",X474-W474))))</f>
        <v/>
      </c>
      <c r="AB474" s="214" t="str">
        <f t="shared" si="85"/>
        <v/>
      </c>
      <c r="AC474" s="225" t="str">
        <f>IF(OR(AB474="",U474=1),"",IF(OR(COUNTBLANK(W474:Y474)&gt;0,AB474&gt;='פרמטרים לקריטריונים'!$E$54),'פרמטרים לקריטריונים'!$F$54,INDEX('פרמטרים לקריטריונים'!$F$49:$F$54,MATCH(AB474,'פרמטרים לקריטריונים'!$E$49:$E$54,1))))</f>
        <v/>
      </c>
      <c r="AD474" s="213" t="str">
        <f t="shared" si="86"/>
        <v/>
      </c>
      <c r="AE474" s="213" t="str">
        <f t="shared" si="87"/>
        <v/>
      </c>
      <c r="AG474" s="175">
        <f t="shared" si="88"/>
        <v>0</v>
      </c>
    </row>
    <row r="475" spans="1:33" ht="15.75" x14ac:dyDescent="0.2">
      <c r="A475" s="206" t="str">
        <f t="shared" si="78"/>
        <v/>
      </c>
      <c r="B475" s="88" t="str">
        <f>IF($F475="","",'הזנה לתנאי סף'!C475)</f>
        <v/>
      </c>
      <c r="C475" s="88" t="str">
        <f>IF($F475="","",'הזנה לתנאי סף'!D475)</f>
        <v/>
      </c>
      <c r="D475" s="88" t="str">
        <f>IF($F475="","",'הזנה לתנאי סף'!E475)</f>
        <v/>
      </c>
      <c r="E475" s="88" t="str">
        <f>IF($F475="","",'הזנה לתנאי סף'!F475)</f>
        <v/>
      </c>
      <c r="F475" s="88" t="str">
        <f>IF(OR('הזנה לתנאי סף'!G475="",'הזנה לתנאי סף'!BL475&lt;&gt;1),"",'הזנה לתנאי סף'!G475)</f>
        <v/>
      </c>
      <c r="G475" s="88" t="str">
        <f>IF($F475="","",'הזנה לתנאי סף'!H475)</f>
        <v/>
      </c>
      <c r="H475" s="88" t="str">
        <f>IF($F475="","",'הזנה לתנאי סף'!I475)</f>
        <v/>
      </c>
      <c r="I475" s="109"/>
      <c r="J475" s="213" t="str">
        <f>IF($F475="","",'הזנה לתנאי סף'!S475)</f>
        <v/>
      </c>
      <c r="K475" s="109"/>
      <c r="L475" s="213" t="str">
        <f t="shared" si="79"/>
        <v/>
      </c>
      <c r="M475" s="213" t="str">
        <f>IF($F475="","",IF(L475='הזנה לתנאי סף'!R475,1,0))</f>
        <v/>
      </c>
      <c r="N475" s="214" t="str">
        <f t="shared" si="80"/>
        <v/>
      </c>
      <c r="O475" s="214" t="str">
        <f t="shared" si="81"/>
        <v/>
      </c>
      <c r="P475" s="109"/>
      <c r="Q475" s="213" t="str">
        <f>IF($F475="","",IFERROR(IF(P475&gt;0,'פרמטרים לקריטריונים'!$C$25*P475*O475,$AG$2),""))</f>
        <v/>
      </c>
      <c r="R475" s="213" t="str">
        <f>IF($F475="","",IFERROR('פרמטרים לקריטריונים'!$C$26*Q475,""))</f>
        <v/>
      </c>
      <c r="S475" s="214" t="str">
        <f t="shared" si="82"/>
        <v/>
      </c>
      <c r="T475" s="213" t="str">
        <f t="shared" si="83"/>
        <v/>
      </c>
      <c r="U475" s="213" t="str">
        <f>IF($F475="","",'הזנה לתנאי סף'!N475)</f>
        <v/>
      </c>
      <c r="V475" s="213" t="str">
        <f>IF($F475="","",'הזנה לתנאי סף'!O475)</f>
        <v/>
      </c>
      <c r="W475" s="109"/>
      <c r="X475" s="109"/>
      <c r="Y475" s="109"/>
      <c r="Z475" s="214" t="str">
        <f t="shared" si="84"/>
        <v/>
      </c>
      <c r="AA475" s="213" t="str">
        <f>IF(OR($F475="",V475=0),"",IF(V475=1,IF(COUNTBLANK(W475:X475)&gt;0,$AG$2,IF(OR(Z475&lt;='פרמטרים לקריטריונים'!$C$27,X475&gt;W475),"",X475-W475))))</f>
        <v/>
      </c>
      <c r="AB475" s="214" t="str">
        <f t="shared" si="85"/>
        <v/>
      </c>
      <c r="AC475" s="225" t="str">
        <f>IF(OR(AB475="",U475=1),"",IF(OR(COUNTBLANK(W475:Y475)&gt;0,AB475&gt;='פרמטרים לקריטריונים'!$E$54),'פרמטרים לקריטריונים'!$F$54,INDEX('פרמטרים לקריטריונים'!$F$49:$F$54,MATCH(AB475,'פרמטרים לקריטריונים'!$E$49:$E$54,1))))</f>
        <v/>
      </c>
      <c r="AD475" s="213" t="str">
        <f t="shared" si="86"/>
        <v/>
      </c>
      <c r="AE475" s="213" t="str">
        <f t="shared" si="87"/>
        <v/>
      </c>
      <c r="AG475" s="175">
        <f t="shared" si="88"/>
        <v>0</v>
      </c>
    </row>
    <row r="476" spans="1:33" ht="15.75" x14ac:dyDescent="0.2">
      <c r="A476" s="206" t="str">
        <f t="shared" si="78"/>
        <v/>
      </c>
      <c r="B476" s="88" t="str">
        <f>IF($F476="","",'הזנה לתנאי סף'!C476)</f>
        <v/>
      </c>
      <c r="C476" s="88" t="str">
        <f>IF($F476="","",'הזנה לתנאי סף'!D476)</f>
        <v/>
      </c>
      <c r="D476" s="88" t="str">
        <f>IF($F476="","",'הזנה לתנאי סף'!E476)</f>
        <v/>
      </c>
      <c r="E476" s="88" t="str">
        <f>IF($F476="","",'הזנה לתנאי סף'!F476)</f>
        <v/>
      </c>
      <c r="F476" s="88" t="str">
        <f>IF(OR('הזנה לתנאי סף'!G476="",'הזנה לתנאי סף'!BL476&lt;&gt;1),"",'הזנה לתנאי סף'!G476)</f>
        <v/>
      </c>
      <c r="G476" s="88" t="str">
        <f>IF($F476="","",'הזנה לתנאי סף'!H476)</f>
        <v/>
      </c>
      <c r="H476" s="88" t="str">
        <f>IF($F476="","",'הזנה לתנאי סף'!I476)</f>
        <v/>
      </c>
      <c r="I476" s="109"/>
      <c r="J476" s="213" t="str">
        <f>IF($F476="","",'הזנה לתנאי סף'!S476)</f>
        <v/>
      </c>
      <c r="K476" s="109"/>
      <c r="L476" s="213" t="str">
        <f t="shared" si="79"/>
        <v/>
      </c>
      <c r="M476" s="213" t="str">
        <f>IF($F476="","",IF(L476='הזנה לתנאי סף'!R476,1,0))</f>
        <v/>
      </c>
      <c r="N476" s="214" t="str">
        <f t="shared" si="80"/>
        <v/>
      </c>
      <c r="O476" s="214" t="str">
        <f t="shared" si="81"/>
        <v/>
      </c>
      <c r="P476" s="109"/>
      <c r="Q476" s="213" t="str">
        <f>IF($F476="","",IFERROR(IF(P476&gt;0,'פרמטרים לקריטריונים'!$C$25*P476*O476,$AG$2),""))</f>
        <v/>
      </c>
      <c r="R476" s="213" t="str">
        <f>IF($F476="","",IFERROR('פרמטרים לקריטריונים'!$C$26*Q476,""))</f>
        <v/>
      </c>
      <c r="S476" s="214" t="str">
        <f t="shared" si="82"/>
        <v/>
      </c>
      <c r="T476" s="213" t="str">
        <f t="shared" si="83"/>
        <v/>
      </c>
      <c r="U476" s="213" t="str">
        <f>IF($F476="","",'הזנה לתנאי סף'!N476)</f>
        <v/>
      </c>
      <c r="V476" s="213" t="str">
        <f>IF($F476="","",'הזנה לתנאי סף'!O476)</f>
        <v/>
      </c>
      <c r="W476" s="109"/>
      <c r="X476" s="109"/>
      <c r="Y476" s="109"/>
      <c r="Z476" s="214" t="str">
        <f t="shared" si="84"/>
        <v/>
      </c>
      <c r="AA476" s="213" t="str">
        <f>IF(OR($F476="",V476=0),"",IF(V476=1,IF(COUNTBLANK(W476:X476)&gt;0,$AG$2,IF(OR(Z476&lt;='פרמטרים לקריטריונים'!$C$27,X476&gt;W476),"",X476-W476))))</f>
        <v/>
      </c>
      <c r="AB476" s="214" t="str">
        <f t="shared" si="85"/>
        <v/>
      </c>
      <c r="AC476" s="225" t="str">
        <f>IF(OR(AB476="",U476=1),"",IF(OR(COUNTBLANK(W476:Y476)&gt;0,AB476&gt;='פרמטרים לקריטריונים'!$E$54),'פרמטרים לקריטריונים'!$F$54,INDEX('פרמטרים לקריטריונים'!$F$49:$F$54,MATCH(AB476,'פרמטרים לקריטריונים'!$E$49:$E$54,1))))</f>
        <v/>
      </c>
      <c r="AD476" s="213" t="str">
        <f t="shared" si="86"/>
        <v/>
      </c>
      <c r="AE476" s="213" t="str">
        <f t="shared" si="87"/>
        <v/>
      </c>
      <c r="AG476" s="175">
        <f t="shared" si="88"/>
        <v>0</v>
      </c>
    </row>
    <row r="477" spans="1:33" ht="15.75" x14ac:dyDescent="0.2">
      <c r="A477" s="206" t="str">
        <f t="shared" si="78"/>
        <v/>
      </c>
      <c r="B477" s="88" t="str">
        <f>IF($F477="","",'הזנה לתנאי סף'!C477)</f>
        <v/>
      </c>
      <c r="C477" s="88" t="str">
        <f>IF($F477="","",'הזנה לתנאי סף'!D477)</f>
        <v/>
      </c>
      <c r="D477" s="88" t="str">
        <f>IF($F477="","",'הזנה לתנאי סף'!E477)</f>
        <v/>
      </c>
      <c r="E477" s="88" t="str">
        <f>IF($F477="","",'הזנה לתנאי סף'!F477)</f>
        <v/>
      </c>
      <c r="F477" s="88" t="str">
        <f>IF(OR('הזנה לתנאי סף'!G477="",'הזנה לתנאי סף'!BL477&lt;&gt;1),"",'הזנה לתנאי סף'!G477)</f>
        <v/>
      </c>
      <c r="G477" s="88" t="str">
        <f>IF($F477="","",'הזנה לתנאי סף'!H477)</f>
        <v/>
      </c>
      <c r="H477" s="88" t="str">
        <f>IF($F477="","",'הזנה לתנאי סף'!I477)</f>
        <v/>
      </c>
      <c r="I477" s="109"/>
      <c r="J477" s="213" t="str">
        <f>IF($F477="","",'הזנה לתנאי סף'!S477)</f>
        <v/>
      </c>
      <c r="K477" s="109"/>
      <c r="L477" s="213" t="str">
        <f t="shared" si="79"/>
        <v/>
      </c>
      <c r="M477" s="213" t="str">
        <f>IF($F477="","",IF(L477='הזנה לתנאי סף'!R477,1,0))</f>
        <v/>
      </c>
      <c r="N477" s="214" t="str">
        <f t="shared" si="80"/>
        <v/>
      </c>
      <c r="O477" s="214" t="str">
        <f t="shared" si="81"/>
        <v/>
      </c>
      <c r="P477" s="109"/>
      <c r="Q477" s="213" t="str">
        <f>IF($F477="","",IFERROR(IF(P477&gt;0,'פרמטרים לקריטריונים'!$C$25*P477*O477,$AG$2),""))</f>
        <v/>
      </c>
      <c r="R477" s="213" t="str">
        <f>IF($F477="","",IFERROR('פרמטרים לקריטריונים'!$C$26*Q477,""))</f>
        <v/>
      </c>
      <c r="S477" s="214" t="str">
        <f t="shared" si="82"/>
        <v/>
      </c>
      <c r="T477" s="213" t="str">
        <f t="shared" si="83"/>
        <v/>
      </c>
      <c r="U477" s="213" t="str">
        <f>IF($F477="","",'הזנה לתנאי סף'!N477)</f>
        <v/>
      </c>
      <c r="V477" s="213" t="str">
        <f>IF($F477="","",'הזנה לתנאי סף'!O477)</f>
        <v/>
      </c>
      <c r="W477" s="109"/>
      <c r="X477" s="109"/>
      <c r="Y477" s="109"/>
      <c r="Z477" s="214" t="str">
        <f t="shared" si="84"/>
        <v/>
      </c>
      <c r="AA477" s="213" t="str">
        <f>IF(OR($F477="",V477=0),"",IF(V477=1,IF(COUNTBLANK(W477:X477)&gt;0,$AG$2,IF(OR(Z477&lt;='פרמטרים לקריטריונים'!$C$27,X477&gt;W477),"",X477-W477))))</f>
        <v/>
      </c>
      <c r="AB477" s="214" t="str">
        <f t="shared" si="85"/>
        <v/>
      </c>
      <c r="AC477" s="225" t="str">
        <f>IF(OR(AB477="",U477=1),"",IF(OR(COUNTBLANK(W477:Y477)&gt;0,AB477&gt;='פרמטרים לקריטריונים'!$E$54),'פרמטרים לקריטריונים'!$F$54,INDEX('פרמטרים לקריטריונים'!$F$49:$F$54,MATCH(AB477,'פרמטרים לקריטריונים'!$E$49:$E$54,1))))</f>
        <v/>
      </c>
      <c r="AD477" s="213" t="str">
        <f t="shared" si="86"/>
        <v/>
      </c>
      <c r="AE477" s="213" t="str">
        <f t="shared" si="87"/>
        <v/>
      </c>
      <c r="AG477" s="175">
        <f t="shared" si="88"/>
        <v>0</v>
      </c>
    </row>
    <row r="478" spans="1:33" ht="15.75" x14ac:dyDescent="0.2">
      <c r="A478" s="206" t="str">
        <f t="shared" si="78"/>
        <v/>
      </c>
      <c r="B478" s="88" t="str">
        <f>IF($F478="","",'הזנה לתנאי סף'!C478)</f>
        <v/>
      </c>
      <c r="C478" s="88" t="str">
        <f>IF($F478="","",'הזנה לתנאי סף'!D478)</f>
        <v/>
      </c>
      <c r="D478" s="88" t="str">
        <f>IF($F478="","",'הזנה לתנאי סף'!E478)</f>
        <v/>
      </c>
      <c r="E478" s="88" t="str">
        <f>IF($F478="","",'הזנה לתנאי סף'!F478)</f>
        <v/>
      </c>
      <c r="F478" s="88" t="str">
        <f>IF(OR('הזנה לתנאי סף'!G478="",'הזנה לתנאי סף'!BL478&lt;&gt;1),"",'הזנה לתנאי סף'!G478)</f>
        <v/>
      </c>
      <c r="G478" s="88" t="str">
        <f>IF($F478="","",'הזנה לתנאי סף'!H478)</f>
        <v/>
      </c>
      <c r="H478" s="88" t="str">
        <f>IF($F478="","",'הזנה לתנאי סף'!I478)</f>
        <v/>
      </c>
      <c r="I478" s="109"/>
      <c r="J478" s="213" t="str">
        <f>IF($F478="","",'הזנה לתנאי סף'!S478)</f>
        <v/>
      </c>
      <c r="K478" s="109"/>
      <c r="L478" s="213" t="str">
        <f t="shared" si="79"/>
        <v/>
      </c>
      <c r="M478" s="213" t="str">
        <f>IF($F478="","",IF(L478='הזנה לתנאי סף'!R478,1,0))</f>
        <v/>
      </c>
      <c r="N478" s="214" t="str">
        <f t="shared" si="80"/>
        <v/>
      </c>
      <c r="O478" s="214" t="str">
        <f t="shared" si="81"/>
        <v/>
      </c>
      <c r="P478" s="109"/>
      <c r="Q478" s="213" t="str">
        <f>IF($F478="","",IFERROR(IF(P478&gt;0,'פרמטרים לקריטריונים'!$C$25*P478*O478,$AG$2),""))</f>
        <v/>
      </c>
      <c r="R478" s="213" t="str">
        <f>IF($F478="","",IFERROR('פרמטרים לקריטריונים'!$C$26*Q478,""))</f>
        <v/>
      </c>
      <c r="S478" s="214" t="str">
        <f t="shared" si="82"/>
        <v/>
      </c>
      <c r="T478" s="213" t="str">
        <f t="shared" si="83"/>
        <v/>
      </c>
      <c r="U478" s="213" t="str">
        <f>IF($F478="","",'הזנה לתנאי סף'!N478)</f>
        <v/>
      </c>
      <c r="V478" s="213" t="str">
        <f>IF($F478="","",'הזנה לתנאי סף'!O478)</f>
        <v/>
      </c>
      <c r="W478" s="109"/>
      <c r="X478" s="109"/>
      <c r="Y478" s="109"/>
      <c r="Z478" s="214" t="str">
        <f t="shared" si="84"/>
        <v/>
      </c>
      <c r="AA478" s="213" t="str">
        <f>IF(OR($F478="",V478=0),"",IF(V478=1,IF(COUNTBLANK(W478:X478)&gt;0,$AG$2,IF(OR(Z478&lt;='פרמטרים לקריטריונים'!$C$27,X478&gt;W478),"",X478-W478))))</f>
        <v/>
      </c>
      <c r="AB478" s="214" t="str">
        <f t="shared" si="85"/>
        <v/>
      </c>
      <c r="AC478" s="225" t="str">
        <f>IF(OR(AB478="",U478=1),"",IF(OR(COUNTBLANK(W478:Y478)&gt;0,AB478&gt;='פרמטרים לקריטריונים'!$E$54),'פרמטרים לקריטריונים'!$F$54,INDEX('פרמטרים לקריטריונים'!$F$49:$F$54,MATCH(AB478,'פרמטרים לקריטריונים'!$E$49:$E$54,1))))</f>
        <v/>
      </c>
      <c r="AD478" s="213" t="str">
        <f t="shared" si="86"/>
        <v/>
      </c>
      <c r="AE478" s="213" t="str">
        <f t="shared" si="87"/>
        <v/>
      </c>
      <c r="AG478" s="175">
        <f t="shared" si="88"/>
        <v>0</v>
      </c>
    </row>
    <row r="479" spans="1:33" ht="15.75" x14ac:dyDescent="0.2">
      <c r="A479" s="206" t="str">
        <f t="shared" si="78"/>
        <v/>
      </c>
      <c r="B479" s="88" t="str">
        <f>IF($F479="","",'הזנה לתנאי סף'!C479)</f>
        <v/>
      </c>
      <c r="C479" s="88" t="str">
        <f>IF($F479="","",'הזנה לתנאי סף'!D479)</f>
        <v/>
      </c>
      <c r="D479" s="88" t="str">
        <f>IF($F479="","",'הזנה לתנאי סף'!E479)</f>
        <v/>
      </c>
      <c r="E479" s="88" t="str">
        <f>IF($F479="","",'הזנה לתנאי סף'!F479)</f>
        <v/>
      </c>
      <c r="F479" s="88" t="str">
        <f>IF(OR('הזנה לתנאי סף'!G479="",'הזנה לתנאי סף'!BL479&lt;&gt;1),"",'הזנה לתנאי סף'!G479)</f>
        <v/>
      </c>
      <c r="G479" s="88" t="str">
        <f>IF($F479="","",'הזנה לתנאי סף'!H479)</f>
        <v/>
      </c>
      <c r="H479" s="88" t="str">
        <f>IF($F479="","",'הזנה לתנאי סף'!I479)</f>
        <v/>
      </c>
      <c r="I479" s="109"/>
      <c r="J479" s="213" t="str">
        <f>IF($F479="","",'הזנה לתנאי סף'!S479)</f>
        <v/>
      </c>
      <c r="K479" s="109"/>
      <c r="L479" s="213" t="str">
        <f t="shared" si="79"/>
        <v/>
      </c>
      <c r="M479" s="213" t="str">
        <f>IF($F479="","",IF(L479='הזנה לתנאי סף'!R479,1,0))</f>
        <v/>
      </c>
      <c r="N479" s="214" t="str">
        <f t="shared" si="80"/>
        <v/>
      </c>
      <c r="O479" s="214" t="str">
        <f t="shared" si="81"/>
        <v/>
      </c>
      <c r="P479" s="109"/>
      <c r="Q479" s="213" t="str">
        <f>IF($F479="","",IFERROR(IF(P479&gt;0,'פרמטרים לקריטריונים'!$C$25*P479*O479,$AG$2),""))</f>
        <v/>
      </c>
      <c r="R479" s="213" t="str">
        <f>IF($F479="","",IFERROR('פרמטרים לקריטריונים'!$C$26*Q479,""))</f>
        <v/>
      </c>
      <c r="S479" s="214" t="str">
        <f t="shared" si="82"/>
        <v/>
      </c>
      <c r="T479" s="213" t="str">
        <f t="shared" si="83"/>
        <v/>
      </c>
      <c r="U479" s="213" t="str">
        <f>IF($F479="","",'הזנה לתנאי סף'!N479)</f>
        <v/>
      </c>
      <c r="V479" s="213" t="str">
        <f>IF($F479="","",'הזנה לתנאי סף'!O479)</f>
        <v/>
      </c>
      <c r="W479" s="109"/>
      <c r="X479" s="109"/>
      <c r="Y479" s="109"/>
      <c r="Z479" s="214" t="str">
        <f t="shared" si="84"/>
        <v/>
      </c>
      <c r="AA479" s="213" t="str">
        <f>IF(OR($F479="",V479=0),"",IF(V479=1,IF(COUNTBLANK(W479:X479)&gt;0,$AG$2,IF(OR(Z479&lt;='פרמטרים לקריטריונים'!$C$27,X479&gt;W479),"",X479-W479))))</f>
        <v/>
      </c>
      <c r="AB479" s="214" t="str">
        <f t="shared" si="85"/>
        <v/>
      </c>
      <c r="AC479" s="225" t="str">
        <f>IF(OR(AB479="",U479=1),"",IF(OR(COUNTBLANK(W479:Y479)&gt;0,AB479&gt;='פרמטרים לקריטריונים'!$E$54),'פרמטרים לקריטריונים'!$F$54,INDEX('פרמטרים לקריטריונים'!$F$49:$F$54,MATCH(AB479,'פרמטרים לקריטריונים'!$E$49:$E$54,1))))</f>
        <v/>
      </c>
      <c r="AD479" s="213" t="str">
        <f t="shared" si="86"/>
        <v/>
      </c>
      <c r="AE479" s="213" t="str">
        <f t="shared" si="87"/>
        <v/>
      </c>
      <c r="AG479" s="175">
        <f t="shared" si="88"/>
        <v>0</v>
      </c>
    </row>
    <row r="480" spans="1:33" ht="15.75" x14ac:dyDescent="0.2">
      <c r="A480" s="206" t="str">
        <f t="shared" si="78"/>
        <v/>
      </c>
      <c r="B480" s="88" t="str">
        <f>IF($F480="","",'הזנה לתנאי סף'!C480)</f>
        <v/>
      </c>
      <c r="C480" s="88" t="str">
        <f>IF($F480="","",'הזנה לתנאי סף'!D480)</f>
        <v/>
      </c>
      <c r="D480" s="88" t="str">
        <f>IF($F480="","",'הזנה לתנאי סף'!E480)</f>
        <v/>
      </c>
      <c r="E480" s="88" t="str">
        <f>IF($F480="","",'הזנה לתנאי סף'!F480)</f>
        <v/>
      </c>
      <c r="F480" s="88" t="str">
        <f>IF(OR('הזנה לתנאי סף'!G480="",'הזנה לתנאי סף'!BL480&lt;&gt;1),"",'הזנה לתנאי סף'!G480)</f>
        <v/>
      </c>
      <c r="G480" s="88" t="str">
        <f>IF($F480="","",'הזנה לתנאי סף'!H480)</f>
        <v/>
      </c>
      <c r="H480" s="88" t="str">
        <f>IF($F480="","",'הזנה לתנאי סף'!I480)</f>
        <v/>
      </c>
      <c r="I480" s="109"/>
      <c r="J480" s="213" t="str">
        <f>IF($F480="","",'הזנה לתנאי סף'!S480)</f>
        <v/>
      </c>
      <c r="K480" s="109"/>
      <c r="L480" s="213" t="str">
        <f t="shared" si="79"/>
        <v/>
      </c>
      <c r="M480" s="213" t="str">
        <f>IF($F480="","",IF(L480='הזנה לתנאי סף'!R480,1,0))</f>
        <v/>
      </c>
      <c r="N480" s="214" t="str">
        <f t="shared" si="80"/>
        <v/>
      </c>
      <c r="O480" s="214" t="str">
        <f t="shared" si="81"/>
        <v/>
      </c>
      <c r="P480" s="109"/>
      <c r="Q480" s="213" t="str">
        <f>IF($F480="","",IFERROR(IF(P480&gt;0,'פרמטרים לקריטריונים'!$C$25*P480*O480,$AG$2),""))</f>
        <v/>
      </c>
      <c r="R480" s="213" t="str">
        <f>IF($F480="","",IFERROR('פרמטרים לקריטריונים'!$C$26*Q480,""))</f>
        <v/>
      </c>
      <c r="S480" s="214" t="str">
        <f t="shared" si="82"/>
        <v/>
      </c>
      <c r="T480" s="213" t="str">
        <f t="shared" si="83"/>
        <v/>
      </c>
      <c r="U480" s="213" t="str">
        <f>IF($F480="","",'הזנה לתנאי סף'!N480)</f>
        <v/>
      </c>
      <c r="V480" s="213" t="str">
        <f>IF($F480="","",'הזנה לתנאי סף'!O480)</f>
        <v/>
      </c>
      <c r="W480" s="109"/>
      <c r="X480" s="109"/>
      <c r="Y480" s="109"/>
      <c r="Z480" s="214" t="str">
        <f t="shared" si="84"/>
        <v/>
      </c>
      <c r="AA480" s="213" t="str">
        <f>IF(OR($F480="",V480=0),"",IF(V480=1,IF(COUNTBLANK(W480:X480)&gt;0,$AG$2,IF(OR(Z480&lt;='פרמטרים לקריטריונים'!$C$27,X480&gt;W480),"",X480-W480))))</f>
        <v/>
      </c>
      <c r="AB480" s="214" t="str">
        <f t="shared" si="85"/>
        <v/>
      </c>
      <c r="AC480" s="225" t="str">
        <f>IF(OR(AB480="",U480=1),"",IF(OR(COUNTBLANK(W480:Y480)&gt;0,AB480&gt;='פרמטרים לקריטריונים'!$E$54),'פרמטרים לקריטריונים'!$F$54,INDEX('פרמטרים לקריטריונים'!$F$49:$F$54,MATCH(AB480,'פרמטרים לקריטריונים'!$E$49:$E$54,1))))</f>
        <v/>
      </c>
      <c r="AD480" s="213" t="str">
        <f t="shared" si="86"/>
        <v/>
      </c>
      <c r="AE480" s="213" t="str">
        <f t="shared" si="87"/>
        <v/>
      </c>
      <c r="AG480" s="175">
        <f t="shared" si="88"/>
        <v>0</v>
      </c>
    </row>
    <row r="481" spans="1:33" ht="15.75" x14ac:dyDescent="0.2">
      <c r="A481" s="206" t="str">
        <f t="shared" si="78"/>
        <v/>
      </c>
      <c r="B481" s="88" t="str">
        <f>IF($F481="","",'הזנה לתנאי סף'!C481)</f>
        <v/>
      </c>
      <c r="C481" s="88" t="str">
        <f>IF($F481="","",'הזנה לתנאי סף'!D481)</f>
        <v/>
      </c>
      <c r="D481" s="88" t="str">
        <f>IF($F481="","",'הזנה לתנאי סף'!E481)</f>
        <v/>
      </c>
      <c r="E481" s="88" t="str">
        <f>IF($F481="","",'הזנה לתנאי סף'!F481)</f>
        <v/>
      </c>
      <c r="F481" s="88" t="str">
        <f>IF(OR('הזנה לתנאי סף'!G481="",'הזנה לתנאי סף'!BL481&lt;&gt;1),"",'הזנה לתנאי סף'!G481)</f>
        <v/>
      </c>
      <c r="G481" s="88" t="str">
        <f>IF($F481="","",'הזנה לתנאי סף'!H481)</f>
        <v/>
      </c>
      <c r="H481" s="88" t="str">
        <f>IF($F481="","",'הזנה לתנאי סף'!I481)</f>
        <v/>
      </c>
      <c r="I481" s="109"/>
      <c r="J481" s="213" t="str">
        <f>IF($F481="","",'הזנה לתנאי סף'!S481)</f>
        <v/>
      </c>
      <c r="K481" s="109"/>
      <c r="L481" s="213" t="str">
        <f t="shared" si="79"/>
        <v/>
      </c>
      <c r="M481" s="213" t="str">
        <f>IF($F481="","",IF(L481='הזנה לתנאי סף'!R481,1,0))</f>
        <v/>
      </c>
      <c r="N481" s="214" t="str">
        <f t="shared" si="80"/>
        <v/>
      </c>
      <c r="O481" s="214" t="str">
        <f t="shared" si="81"/>
        <v/>
      </c>
      <c r="P481" s="109"/>
      <c r="Q481" s="213" t="str">
        <f>IF($F481="","",IFERROR(IF(P481&gt;0,'פרמטרים לקריטריונים'!$C$25*P481*O481,$AG$2),""))</f>
        <v/>
      </c>
      <c r="R481" s="213" t="str">
        <f>IF($F481="","",IFERROR('פרמטרים לקריטריונים'!$C$26*Q481,""))</f>
        <v/>
      </c>
      <c r="S481" s="214" t="str">
        <f t="shared" si="82"/>
        <v/>
      </c>
      <c r="T481" s="213" t="str">
        <f t="shared" si="83"/>
        <v/>
      </c>
      <c r="U481" s="213" t="str">
        <f>IF($F481="","",'הזנה לתנאי סף'!N481)</f>
        <v/>
      </c>
      <c r="V481" s="213" t="str">
        <f>IF($F481="","",'הזנה לתנאי סף'!O481)</f>
        <v/>
      </c>
      <c r="W481" s="109"/>
      <c r="X481" s="109"/>
      <c r="Y481" s="109"/>
      <c r="Z481" s="214" t="str">
        <f t="shared" si="84"/>
        <v/>
      </c>
      <c r="AA481" s="213" t="str">
        <f>IF(OR($F481="",V481=0),"",IF(V481=1,IF(COUNTBLANK(W481:X481)&gt;0,$AG$2,IF(OR(Z481&lt;='פרמטרים לקריטריונים'!$C$27,X481&gt;W481),"",X481-W481))))</f>
        <v/>
      </c>
      <c r="AB481" s="214" t="str">
        <f t="shared" si="85"/>
        <v/>
      </c>
      <c r="AC481" s="225" t="str">
        <f>IF(OR(AB481="",U481=1),"",IF(OR(COUNTBLANK(W481:Y481)&gt;0,AB481&gt;='פרמטרים לקריטריונים'!$E$54),'פרמטרים לקריטריונים'!$F$54,INDEX('פרמטרים לקריטריונים'!$F$49:$F$54,MATCH(AB481,'פרמטרים לקריטריונים'!$E$49:$E$54,1))))</f>
        <v/>
      </c>
      <c r="AD481" s="213" t="str">
        <f t="shared" si="86"/>
        <v/>
      </c>
      <c r="AE481" s="213" t="str">
        <f t="shared" si="87"/>
        <v/>
      </c>
      <c r="AG481" s="175">
        <f t="shared" si="88"/>
        <v>0</v>
      </c>
    </row>
    <row r="482" spans="1:33" ht="15.75" x14ac:dyDescent="0.2">
      <c r="A482" s="206" t="str">
        <f t="shared" si="78"/>
        <v/>
      </c>
      <c r="B482" s="88" t="str">
        <f>IF($F482="","",'הזנה לתנאי סף'!C482)</f>
        <v/>
      </c>
      <c r="C482" s="88" t="str">
        <f>IF($F482="","",'הזנה לתנאי סף'!D482)</f>
        <v/>
      </c>
      <c r="D482" s="88" t="str">
        <f>IF($F482="","",'הזנה לתנאי סף'!E482)</f>
        <v/>
      </c>
      <c r="E482" s="88" t="str">
        <f>IF($F482="","",'הזנה לתנאי סף'!F482)</f>
        <v/>
      </c>
      <c r="F482" s="88" t="str">
        <f>IF(OR('הזנה לתנאי סף'!G482="",'הזנה לתנאי סף'!BL482&lt;&gt;1),"",'הזנה לתנאי סף'!G482)</f>
        <v/>
      </c>
      <c r="G482" s="88" t="str">
        <f>IF($F482="","",'הזנה לתנאי סף'!H482)</f>
        <v/>
      </c>
      <c r="H482" s="88" t="str">
        <f>IF($F482="","",'הזנה לתנאי סף'!I482)</f>
        <v/>
      </c>
      <c r="I482" s="109"/>
      <c r="J482" s="213" t="str">
        <f>IF($F482="","",'הזנה לתנאי סף'!S482)</f>
        <v/>
      </c>
      <c r="K482" s="109"/>
      <c r="L482" s="213" t="str">
        <f t="shared" si="79"/>
        <v/>
      </c>
      <c r="M482" s="213" t="str">
        <f>IF($F482="","",IF(L482='הזנה לתנאי סף'!R482,1,0))</f>
        <v/>
      </c>
      <c r="N482" s="214" t="str">
        <f t="shared" si="80"/>
        <v/>
      </c>
      <c r="O482" s="214" t="str">
        <f t="shared" si="81"/>
        <v/>
      </c>
      <c r="P482" s="109"/>
      <c r="Q482" s="213" t="str">
        <f>IF($F482="","",IFERROR(IF(P482&gt;0,'פרמטרים לקריטריונים'!$C$25*P482*O482,$AG$2),""))</f>
        <v/>
      </c>
      <c r="R482" s="213" t="str">
        <f>IF($F482="","",IFERROR('פרמטרים לקריטריונים'!$C$26*Q482,""))</f>
        <v/>
      </c>
      <c r="S482" s="214" t="str">
        <f t="shared" si="82"/>
        <v/>
      </c>
      <c r="T482" s="213" t="str">
        <f t="shared" si="83"/>
        <v/>
      </c>
      <c r="U482" s="213" t="str">
        <f>IF($F482="","",'הזנה לתנאי סף'!N482)</f>
        <v/>
      </c>
      <c r="V482" s="213" t="str">
        <f>IF($F482="","",'הזנה לתנאי סף'!O482)</f>
        <v/>
      </c>
      <c r="W482" s="109"/>
      <c r="X482" s="109"/>
      <c r="Y482" s="109"/>
      <c r="Z482" s="214" t="str">
        <f t="shared" si="84"/>
        <v/>
      </c>
      <c r="AA482" s="213" t="str">
        <f>IF(OR($F482="",V482=0),"",IF(V482=1,IF(COUNTBLANK(W482:X482)&gt;0,$AG$2,IF(OR(Z482&lt;='פרמטרים לקריטריונים'!$C$27,X482&gt;W482),"",X482-W482))))</f>
        <v/>
      </c>
      <c r="AB482" s="214" t="str">
        <f t="shared" si="85"/>
        <v/>
      </c>
      <c r="AC482" s="225" t="str">
        <f>IF(OR(AB482="",U482=1),"",IF(OR(COUNTBLANK(W482:Y482)&gt;0,AB482&gt;='פרמטרים לקריטריונים'!$E$54),'פרמטרים לקריטריונים'!$F$54,INDEX('פרמטרים לקריטריונים'!$F$49:$F$54,MATCH(AB482,'פרמטרים לקריטריונים'!$E$49:$E$54,1))))</f>
        <v/>
      </c>
      <c r="AD482" s="213" t="str">
        <f t="shared" si="86"/>
        <v/>
      </c>
      <c r="AE482" s="213" t="str">
        <f t="shared" si="87"/>
        <v/>
      </c>
      <c r="AG482" s="175">
        <f t="shared" si="88"/>
        <v>0</v>
      </c>
    </row>
    <row r="483" spans="1:33" ht="15.75" x14ac:dyDescent="0.2">
      <c r="A483" s="206" t="str">
        <f t="shared" si="78"/>
        <v/>
      </c>
      <c r="B483" s="88" t="str">
        <f>IF($F483="","",'הזנה לתנאי סף'!C483)</f>
        <v/>
      </c>
      <c r="C483" s="88" t="str">
        <f>IF($F483="","",'הזנה לתנאי סף'!D483)</f>
        <v/>
      </c>
      <c r="D483" s="88" t="str">
        <f>IF($F483="","",'הזנה לתנאי סף'!E483)</f>
        <v/>
      </c>
      <c r="E483" s="88" t="str">
        <f>IF($F483="","",'הזנה לתנאי סף'!F483)</f>
        <v/>
      </c>
      <c r="F483" s="88" t="str">
        <f>IF(OR('הזנה לתנאי סף'!G483="",'הזנה לתנאי סף'!BL483&lt;&gt;1),"",'הזנה לתנאי סף'!G483)</f>
        <v/>
      </c>
      <c r="G483" s="88" t="str">
        <f>IF($F483="","",'הזנה לתנאי סף'!H483)</f>
        <v/>
      </c>
      <c r="H483" s="88" t="str">
        <f>IF($F483="","",'הזנה לתנאי סף'!I483)</f>
        <v/>
      </c>
      <c r="I483" s="109"/>
      <c r="J483" s="213" t="str">
        <f>IF($F483="","",'הזנה לתנאי סף'!S483)</f>
        <v/>
      </c>
      <c r="K483" s="109"/>
      <c r="L483" s="213" t="str">
        <f t="shared" si="79"/>
        <v/>
      </c>
      <c r="M483" s="213" t="str">
        <f>IF($F483="","",IF(L483='הזנה לתנאי סף'!R483,1,0))</f>
        <v/>
      </c>
      <c r="N483" s="214" t="str">
        <f t="shared" si="80"/>
        <v/>
      </c>
      <c r="O483" s="214" t="str">
        <f t="shared" si="81"/>
        <v/>
      </c>
      <c r="P483" s="109"/>
      <c r="Q483" s="213" t="str">
        <f>IF($F483="","",IFERROR(IF(P483&gt;0,'פרמטרים לקריטריונים'!$C$25*P483*O483,$AG$2),""))</f>
        <v/>
      </c>
      <c r="R483" s="213" t="str">
        <f>IF($F483="","",IFERROR('פרמטרים לקריטריונים'!$C$26*Q483,""))</f>
        <v/>
      </c>
      <c r="S483" s="214" t="str">
        <f t="shared" si="82"/>
        <v/>
      </c>
      <c r="T483" s="213" t="str">
        <f t="shared" si="83"/>
        <v/>
      </c>
      <c r="U483" s="213" t="str">
        <f>IF($F483="","",'הזנה לתנאי סף'!N483)</f>
        <v/>
      </c>
      <c r="V483" s="213" t="str">
        <f>IF($F483="","",'הזנה לתנאי סף'!O483)</f>
        <v/>
      </c>
      <c r="W483" s="109"/>
      <c r="X483" s="109"/>
      <c r="Y483" s="109"/>
      <c r="Z483" s="214" t="str">
        <f t="shared" si="84"/>
        <v/>
      </c>
      <c r="AA483" s="213" t="str">
        <f>IF(OR($F483="",V483=0),"",IF(V483=1,IF(COUNTBLANK(W483:X483)&gt;0,$AG$2,IF(OR(Z483&lt;='פרמטרים לקריטריונים'!$C$27,X483&gt;W483),"",X483-W483))))</f>
        <v/>
      </c>
      <c r="AB483" s="214" t="str">
        <f t="shared" si="85"/>
        <v/>
      </c>
      <c r="AC483" s="225" t="str">
        <f>IF(OR(AB483="",U483=1),"",IF(OR(COUNTBLANK(W483:Y483)&gt;0,AB483&gt;='פרמטרים לקריטריונים'!$E$54),'פרמטרים לקריטריונים'!$F$54,INDEX('פרמטרים לקריטריונים'!$F$49:$F$54,MATCH(AB483,'פרמטרים לקריטריונים'!$E$49:$E$54,1))))</f>
        <v/>
      </c>
      <c r="AD483" s="213" t="str">
        <f t="shared" si="86"/>
        <v/>
      </c>
      <c r="AE483" s="213" t="str">
        <f t="shared" si="87"/>
        <v/>
      </c>
      <c r="AG483" s="175">
        <f t="shared" si="88"/>
        <v>0</v>
      </c>
    </row>
    <row r="484" spans="1:33" ht="15.75" x14ac:dyDescent="0.2">
      <c r="A484" s="206" t="str">
        <f t="shared" si="78"/>
        <v/>
      </c>
      <c r="B484" s="88" t="str">
        <f>IF($F484="","",'הזנה לתנאי סף'!C484)</f>
        <v/>
      </c>
      <c r="C484" s="88" t="str">
        <f>IF($F484="","",'הזנה לתנאי סף'!D484)</f>
        <v/>
      </c>
      <c r="D484" s="88" t="str">
        <f>IF($F484="","",'הזנה לתנאי סף'!E484)</f>
        <v/>
      </c>
      <c r="E484" s="88" t="str">
        <f>IF($F484="","",'הזנה לתנאי סף'!F484)</f>
        <v/>
      </c>
      <c r="F484" s="88" t="str">
        <f>IF(OR('הזנה לתנאי סף'!G484="",'הזנה לתנאי סף'!BL484&lt;&gt;1),"",'הזנה לתנאי סף'!G484)</f>
        <v/>
      </c>
      <c r="G484" s="88" t="str">
        <f>IF($F484="","",'הזנה לתנאי סף'!H484)</f>
        <v/>
      </c>
      <c r="H484" s="88" t="str">
        <f>IF($F484="","",'הזנה לתנאי סף'!I484)</f>
        <v/>
      </c>
      <c r="I484" s="109"/>
      <c r="J484" s="213" t="str">
        <f>IF($F484="","",'הזנה לתנאי סף'!S484)</f>
        <v/>
      </c>
      <c r="K484" s="109"/>
      <c r="L484" s="213" t="str">
        <f t="shared" si="79"/>
        <v/>
      </c>
      <c r="M484" s="213" t="str">
        <f>IF($F484="","",IF(L484='הזנה לתנאי סף'!R484,1,0))</f>
        <v/>
      </c>
      <c r="N484" s="214" t="str">
        <f t="shared" si="80"/>
        <v/>
      </c>
      <c r="O484" s="214" t="str">
        <f t="shared" si="81"/>
        <v/>
      </c>
      <c r="P484" s="109"/>
      <c r="Q484" s="213" t="str">
        <f>IF($F484="","",IFERROR(IF(P484&gt;0,'פרמטרים לקריטריונים'!$C$25*P484*O484,$AG$2),""))</f>
        <v/>
      </c>
      <c r="R484" s="213" t="str">
        <f>IF($F484="","",IFERROR('פרמטרים לקריטריונים'!$C$26*Q484,""))</f>
        <v/>
      </c>
      <c r="S484" s="214" t="str">
        <f t="shared" si="82"/>
        <v/>
      </c>
      <c r="T484" s="213" t="str">
        <f t="shared" si="83"/>
        <v/>
      </c>
      <c r="U484" s="213" t="str">
        <f>IF($F484="","",'הזנה לתנאי סף'!N484)</f>
        <v/>
      </c>
      <c r="V484" s="213" t="str">
        <f>IF($F484="","",'הזנה לתנאי סף'!O484)</f>
        <v/>
      </c>
      <c r="W484" s="109"/>
      <c r="X484" s="109"/>
      <c r="Y484" s="109"/>
      <c r="Z484" s="214" t="str">
        <f t="shared" si="84"/>
        <v/>
      </c>
      <c r="AA484" s="213" t="str">
        <f>IF(OR($F484="",V484=0),"",IF(V484=1,IF(COUNTBLANK(W484:X484)&gt;0,$AG$2,IF(OR(Z484&lt;='פרמטרים לקריטריונים'!$C$27,X484&gt;W484),"",X484-W484))))</f>
        <v/>
      </c>
      <c r="AB484" s="214" t="str">
        <f t="shared" si="85"/>
        <v/>
      </c>
      <c r="AC484" s="225" t="str">
        <f>IF(OR(AB484="",U484=1),"",IF(OR(COUNTBLANK(W484:Y484)&gt;0,AB484&gt;='פרמטרים לקריטריונים'!$E$54),'פרמטרים לקריטריונים'!$F$54,INDEX('פרמטרים לקריטריונים'!$F$49:$F$54,MATCH(AB484,'פרמטרים לקריטריונים'!$E$49:$E$54,1))))</f>
        <v/>
      </c>
      <c r="AD484" s="213" t="str">
        <f t="shared" si="86"/>
        <v/>
      </c>
      <c r="AE484" s="213" t="str">
        <f t="shared" si="87"/>
        <v/>
      </c>
      <c r="AG484" s="175">
        <f t="shared" si="88"/>
        <v>0</v>
      </c>
    </row>
    <row r="485" spans="1:33" ht="15.75" x14ac:dyDescent="0.2">
      <c r="A485" s="206" t="str">
        <f t="shared" si="78"/>
        <v/>
      </c>
      <c r="B485" s="88" t="str">
        <f>IF($F485="","",'הזנה לתנאי סף'!C485)</f>
        <v/>
      </c>
      <c r="C485" s="88" t="str">
        <f>IF($F485="","",'הזנה לתנאי סף'!D485)</f>
        <v/>
      </c>
      <c r="D485" s="88" t="str">
        <f>IF($F485="","",'הזנה לתנאי סף'!E485)</f>
        <v/>
      </c>
      <c r="E485" s="88" t="str">
        <f>IF($F485="","",'הזנה לתנאי סף'!F485)</f>
        <v/>
      </c>
      <c r="F485" s="88" t="str">
        <f>IF(OR('הזנה לתנאי סף'!G485="",'הזנה לתנאי סף'!BL485&lt;&gt;1),"",'הזנה לתנאי סף'!G485)</f>
        <v/>
      </c>
      <c r="G485" s="88" t="str">
        <f>IF($F485="","",'הזנה לתנאי סף'!H485)</f>
        <v/>
      </c>
      <c r="H485" s="88" t="str">
        <f>IF($F485="","",'הזנה לתנאי סף'!I485)</f>
        <v/>
      </c>
      <c r="I485" s="109"/>
      <c r="J485" s="213" t="str">
        <f>IF($F485="","",'הזנה לתנאי סף'!S485)</f>
        <v/>
      </c>
      <c r="K485" s="109"/>
      <c r="L485" s="213" t="str">
        <f t="shared" si="79"/>
        <v/>
      </c>
      <c r="M485" s="213" t="str">
        <f>IF($F485="","",IF(L485='הזנה לתנאי סף'!R485,1,0))</f>
        <v/>
      </c>
      <c r="N485" s="214" t="str">
        <f t="shared" si="80"/>
        <v/>
      </c>
      <c r="O485" s="214" t="str">
        <f t="shared" si="81"/>
        <v/>
      </c>
      <c r="P485" s="109"/>
      <c r="Q485" s="213" t="str">
        <f>IF($F485="","",IFERROR(IF(P485&gt;0,'פרמטרים לקריטריונים'!$C$25*P485*O485,$AG$2),""))</f>
        <v/>
      </c>
      <c r="R485" s="213" t="str">
        <f>IF($F485="","",IFERROR('פרמטרים לקריטריונים'!$C$26*Q485,""))</f>
        <v/>
      </c>
      <c r="S485" s="214" t="str">
        <f t="shared" si="82"/>
        <v/>
      </c>
      <c r="T485" s="213" t="str">
        <f t="shared" si="83"/>
        <v/>
      </c>
      <c r="U485" s="213" t="str">
        <f>IF($F485="","",'הזנה לתנאי סף'!N485)</f>
        <v/>
      </c>
      <c r="V485" s="213" t="str">
        <f>IF($F485="","",'הזנה לתנאי סף'!O485)</f>
        <v/>
      </c>
      <c r="W485" s="109"/>
      <c r="X485" s="109"/>
      <c r="Y485" s="109"/>
      <c r="Z485" s="214" t="str">
        <f t="shared" si="84"/>
        <v/>
      </c>
      <c r="AA485" s="213" t="str">
        <f>IF(OR($F485="",V485=0),"",IF(V485=1,IF(COUNTBLANK(W485:X485)&gt;0,$AG$2,IF(OR(Z485&lt;='פרמטרים לקריטריונים'!$C$27,X485&gt;W485),"",X485-W485))))</f>
        <v/>
      </c>
      <c r="AB485" s="214" t="str">
        <f t="shared" si="85"/>
        <v/>
      </c>
      <c r="AC485" s="225" t="str">
        <f>IF(OR(AB485="",U485=1),"",IF(OR(COUNTBLANK(W485:Y485)&gt;0,AB485&gt;='פרמטרים לקריטריונים'!$E$54),'פרמטרים לקריטריונים'!$F$54,INDEX('פרמטרים לקריטריונים'!$F$49:$F$54,MATCH(AB485,'פרמטרים לקריטריונים'!$E$49:$E$54,1))))</f>
        <v/>
      </c>
      <c r="AD485" s="213" t="str">
        <f t="shared" si="86"/>
        <v/>
      </c>
      <c r="AE485" s="213" t="str">
        <f t="shared" si="87"/>
        <v/>
      </c>
      <c r="AG485" s="175">
        <f t="shared" si="88"/>
        <v>0</v>
      </c>
    </row>
    <row r="486" spans="1:33" ht="15.75" x14ac:dyDescent="0.2">
      <c r="A486" s="206" t="str">
        <f t="shared" si="78"/>
        <v/>
      </c>
      <c r="B486" s="88" t="str">
        <f>IF($F486="","",'הזנה לתנאי סף'!C486)</f>
        <v/>
      </c>
      <c r="C486" s="88" t="str">
        <f>IF($F486="","",'הזנה לתנאי סף'!D486)</f>
        <v/>
      </c>
      <c r="D486" s="88" t="str">
        <f>IF($F486="","",'הזנה לתנאי סף'!E486)</f>
        <v/>
      </c>
      <c r="E486" s="88" t="str">
        <f>IF($F486="","",'הזנה לתנאי סף'!F486)</f>
        <v/>
      </c>
      <c r="F486" s="88" t="str">
        <f>IF(OR('הזנה לתנאי סף'!G486="",'הזנה לתנאי סף'!BL486&lt;&gt;1),"",'הזנה לתנאי סף'!G486)</f>
        <v/>
      </c>
      <c r="G486" s="88" t="str">
        <f>IF($F486="","",'הזנה לתנאי סף'!H486)</f>
        <v/>
      </c>
      <c r="H486" s="88" t="str">
        <f>IF($F486="","",'הזנה לתנאי סף'!I486)</f>
        <v/>
      </c>
      <c r="I486" s="109"/>
      <c r="J486" s="213" t="str">
        <f>IF($F486="","",'הזנה לתנאי סף'!S486)</f>
        <v/>
      </c>
      <c r="K486" s="109"/>
      <c r="L486" s="213" t="str">
        <f t="shared" si="79"/>
        <v/>
      </c>
      <c r="M486" s="213" t="str">
        <f>IF($F486="","",IF(L486='הזנה לתנאי סף'!R486,1,0))</f>
        <v/>
      </c>
      <c r="N486" s="214" t="str">
        <f t="shared" si="80"/>
        <v/>
      </c>
      <c r="O486" s="214" t="str">
        <f t="shared" si="81"/>
        <v/>
      </c>
      <c r="P486" s="109"/>
      <c r="Q486" s="213" t="str">
        <f>IF($F486="","",IFERROR(IF(P486&gt;0,'פרמטרים לקריטריונים'!$C$25*P486*O486,$AG$2),""))</f>
        <v/>
      </c>
      <c r="R486" s="213" t="str">
        <f>IF($F486="","",IFERROR('פרמטרים לקריטריונים'!$C$26*Q486,""))</f>
        <v/>
      </c>
      <c r="S486" s="214" t="str">
        <f t="shared" si="82"/>
        <v/>
      </c>
      <c r="T486" s="213" t="str">
        <f t="shared" si="83"/>
        <v/>
      </c>
      <c r="U486" s="213" t="str">
        <f>IF($F486="","",'הזנה לתנאי סף'!N486)</f>
        <v/>
      </c>
      <c r="V486" s="213" t="str">
        <f>IF($F486="","",'הזנה לתנאי סף'!O486)</f>
        <v/>
      </c>
      <c r="W486" s="109"/>
      <c r="X486" s="109"/>
      <c r="Y486" s="109"/>
      <c r="Z486" s="214" t="str">
        <f t="shared" si="84"/>
        <v/>
      </c>
      <c r="AA486" s="213" t="str">
        <f>IF(OR($F486="",V486=0),"",IF(V486=1,IF(COUNTBLANK(W486:X486)&gt;0,$AG$2,IF(OR(Z486&lt;='פרמטרים לקריטריונים'!$C$27,X486&gt;W486),"",X486-W486))))</f>
        <v/>
      </c>
      <c r="AB486" s="214" t="str">
        <f t="shared" si="85"/>
        <v/>
      </c>
      <c r="AC486" s="225" t="str">
        <f>IF(OR(AB486="",U486=1),"",IF(OR(COUNTBLANK(W486:Y486)&gt;0,AB486&gt;='פרמטרים לקריטריונים'!$E$54),'פרמטרים לקריטריונים'!$F$54,INDEX('פרמטרים לקריטריונים'!$F$49:$F$54,MATCH(AB486,'פרמטרים לקריטריונים'!$E$49:$E$54,1))))</f>
        <v/>
      </c>
      <c r="AD486" s="213" t="str">
        <f t="shared" si="86"/>
        <v/>
      </c>
      <c r="AE486" s="213" t="str">
        <f t="shared" si="87"/>
        <v/>
      </c>
      <c r="AG486" s="175">
        <f t="shared" si="88"/>
        <v>0</v>
      </c>
    </row>
    <row r="487" spans="1:33" ht="15.75" x14ac:dyDescent="0.2">
      <c r="A487" s="206" t="str">
        <f t="shared" si="78"/>
        <v/>
      </c>
      <c r="B487" s="88" t="str">
        <f>IF($F487="","",'הזנה לתנאי סף'!C487)</f>
        <v/>
      </c>
      <c r="C487" s="88" t="str">
        <f>IF($F487="","",'הזנה לתנאי סף'!D487)</f>
        <v/>
      </c>
      <c r="D487" s="88" t="str">
        <f>IF($F487="","",'הזנה לתנאי סף'!E487)</f>
        <v/>
      </c>
      <c r="E487" s="88" t="str">
        <f>IF($F487="","",'הזנה לתנאי סף'!F487)</f>
        <v/>
      </c>
      <c r="F487" s="88" t="str">
        <f>IF(OR('הזנה לתנאי סף'!G487="",'הזנה לתנאי סף'!BL487&lt;&gt;1),"",'הזנה לתנאי סף'!G487)</f>
        <v/>
      </c>
      <c r="G487" s="88" t="str">
        <f>IF($F487="","",'הזנה לתנאי סף'!H487)</f>
        <v/>
      </c>
      <c r="H487" s="88" t="str">
        <f>IF($F487="","",'הזנה לתנאי סף'!I487)</f>
        <v/>
      </c>
      <c r="I487" s="109"/>
      <c r="J487" s="213" t="str">
        <f>IF($F487="","",'הזנה לתנאי סף'!S487)</f>
        <v/>
      </c>
      <c r="K487" s="109"/>
      <c r="L487" s="213" t="str">
        <f t="shared" si="79"/>
        <v/>
      </c>
      <c r="M487" s="213" t="str">
        <f>IF($F487="","",IF(L487='הזנה לתנאי סף'!R487,1,0))</f>
        <v/>
      </c>
      <c r="N487" s="214" t="str">
        <f t="shared" si="80"/>
        <v/>
      </c>
      <c r="O487" s="214" t="str">
        <f t="shared" si="81"/>
        <v/>
      </c>
      <c r="P487" s="109"/>
      <c r="Q487" s="213" t="str">
        <f>IF($F487="","",IFERROR(IF(P487&gt;0,'פרמטרים לקריטריונים'!$C$25*P487*O487,$AG$2),""))</f>
        <v/>
      </c>
      <c r="R487" s="213" t="str">
        <f>IF($F487="","",IFERROR('פרמטרים לקריטריונים'!$C$26*Q487,""))</f>
        <v/>
      </c>
      <c r="S487" s="214" t="str">
        <f t="shared" si="82"/>
        <v/>
      </c>
      <c r="T487" s="213" t="str">
        <f t="shared" si="83"/>
        <v/>
      </c>
      <c r="U487" s="213" t="str">
        <f>IF($F487="","",'הזנה לתנאי סף'!N487)</f>
        <v/>
      </c>
      <c r="V487" s="213" t="str">
        <f>IF($F487="","",'הזנה לתנאי סף'!O487)</f>
        <v/>
      </c>
      <c r="W487" s="109"/>
      <c r="X487" s="109"/>
      <c r="Y487" s="109"/>
      <c r="Z487" s="214" t="str">
        <f t="shared" si="84"/>
        <v/>
      </c>
      <c r="AA487" s="213" t="str">
        <f>IF(OR($F487="",V487=0),"",IF(V487=1,IF(COUNTBLANK(W487:X487)&gt;0,$AG$2,IF(OR(Z487&lt;='פרמטרים לקריטריונים'!$C$27,X487&gt;W487),"",X487-W487))))</f>
        <v/>
      </c>
      <c r="AB487" s="214" t="str">
        <f t="shared" si="85"/>
        <v/>
      </c>
      <c r="AC487" s="225" t="str">
        <f>IF(OR(AB487="",U487=1),"",IF(OR(COUNTBLANK(W487:Y487)&gt;0,AB487&gt;='פרמטרים לקריטריונים'!$E$54),'פרמטרים לקריטריונים'!$F$54,INDEX('פרמטרים לקריטריונים'!$F$49:$F$54,MATCH(AB487,'פרמטרים לקריטריונים'!$E$49:$E$54,1))))</f>
        <v/>
      </c>
      <c r="AD487" s="213" t="str">
        <f t="shared" si="86"/>
        <v/>
      </c>
      <c r="AE487" s="213" t="str">
        <f t="shared" si="87"/>
        <v/>
      </c>
      <c r="AG487" s="175">
        <f t="shared" si="88"/>
        <v>0</v>
      </c>
    </row>
    <row r="488" spans="1:33" ht="15.75" x14ac:dyDescent="0.2">
      <c r="A488" s="206" t="str">
        <f t="shared" si="78"/>
        <v/>
      </c>
      <c r="B488" s="88" t="str">
        <f>IF($F488="","",'הזנה לתנאי סף'!C488)</f>
        <v/>
      </c>
      <c r="C488" s="88" t="str">
        <f>IF($F488="","",'הזנה לתנאי סף'!D488)</f>
        <v/>
      </c>
      <c r="D488" s="88" t="str">
        <f>IF($F488="","",'הזנה לתנאי סף'!E488)</f>
        <v/>
      </c>
      <c r="E488" s="88" t="str">
        <f>IF($F488="","",'הזנה לתנאי סף'!F488)</f>
        <v/>
      </c>
      <c r="F488" s="88" t="str">
        <f>IF(OR('הזנה לתנאי סף'!G488="",'הזנה לתנאי סף'!BL488&lt;&gt;1),"",'הזנה לתנאי סף'!G488)</f>
        <v/>
      </c>
      <c r="G488" s="88" t="str">
        <f>IF($F488="","",'הזנה לתנאי סף'!H488)</f>
        <v/>
      </c>
      <c r="H488" s="88" t="str">
        <f>IF($F488="","",'הזנה לתנאי סף'!I488)</f>
        <v/>
      </c>
      <c r="I488" s="109"/>
      <c r="J488" s="213" t="str">
        <f>IF($F488="","",'הזנה לתנאי סף'!S488)</f>
        <v/>
      </c>
      <c r="K488" s="109"/>
      <c r="L488" s="213" t="str">
        <f t="shared" si="79"/>
        <v/>
      </c>
      <c r="M488" s="213" t="str">
        <f>IF($F488="","",IF(L488='הזנה לתנאי סף'!R488,1,0))</f>
        <v/>
      </c>
      <c r="N488" s="214" t="str">
        <f t="shared" si="80"/>
        <v/>
      </c>
      <c r="O488" s="214" t="str">
        <f t="shared" si="81"/>
        <v/>
      </c>
      <c r="P488" s="109"/>
      <c r="Q488" s="213" t="str">
        <f>IF($F488="","",IFERROR(IF(P488&gt;0,'פרמטרים לקריטריונים'!$C$25*P488*O488,$AG$2),""))</f>
        <v/>
      </c>
      <c r="R488" s="213" t="str">
        <f>IF($F488="","",IFERROR('פרמטרים לקריטריונים'!$C$26*Q488,""))</f>
        <v/>
      </c>
      <c r="S488" s="214" t="str">
        <f t="shared" si="82"/>
        <v/>
      </c>
      <c r="T488" s="213" t="str">
        <f t="shared" si="83"/>
        <v/>
      </c>
      <c r="U488" s="213" t="str">
        <f>IF($F488="","",'הזנה לתנאי סף'!N488)</f>
        <v/>
      </c>
      <c r="V488" s="213" t="str">
        <f>IF($F488="","",'הזנה לתנאי סף'!O488)</f>
        <v/>
      </c>
      <c r="W488" s="109"/>
      <c r="X488" s="109"/>
      <c r="Y488" s="109"/>
      <c r="Z488" s="214" t="str">
        <f t="shared" si="84"/>
        <v/>
      </c>
      <c r="AA488" s="213" t="str">
        <f>IF(OR($F488="",V488=0),"",IF(V488=1,IF(COUNTBLANK(W488:X488)&gt;0,$AG$2,IF(OR(Z488&lt;='פרמטרים לקריטריונים'!$C$27,X488&gt;W488),"",X488-W488))))</f>
        <v/>
      </c>
      <c r="AB488" s="214" t="str">
        <f t="shared" si="85"/>
        <v/>
      </c>
      <c r="AC488" s="225" t="str">
        <f>IF(OR(AB488="",U488=1),"",IF(OR(COUNTBLANK(W488:Y488)&gt;0,AB488&gt;='פרמטרים לקריטריונים'!$E$54),'פרמטרים לקריטריונים'!$F$54,INDEX('פרמטרים לקריטריונים'!$F$49:$F$54,MATCH(AB488,'פרמטרים לקריטריונים'!$E$49:$E$54,1))))</f>
        <v/>
      </c>
      <c r="AD488" s="213" t="str">
        <f t="shared" si="86"/>
        <v/>
      </c>
      <c r="AE488" s="213" t="str">
        <f t="shared" si="87"/>
        <v/>
      </c>
      <c r="AG488" s="175">
        <f t="shared" si="88"/>
        <v>0</v>
      </c>
    </row>
    <row r="489" spans="1:33" ht="15.75" x14ac:dyDescent="0.2">
      <c r="A489" s="206" t="str">
        <f t="shared" si="78"/>
        <v/>
      </c>
      <c r="B489" s="88" t="str">
        <f>IF($F489="","",'הזנה לתנאי סף'!C489)</f>
        <v/>
      </c>
      <c r="C489" s="88" t="str">
        <f>IF($F489="","",'הזנה לתנאי סף'!D489)</f>
        <v/>
      </c>
      <c r="D489" s="88" t="str">
        <f>IF($F489="","",'הזנה לתנאי סף'!E489)</f>
        <v/>
      </c>
      <c r="E489" s="88" t="str">
        <f>IF($F489="","",'הזנה לתנאי סף'!F489)</f>
        <v/>
      </c>
      <c r="F489" s="88" t="str">
        <f>IF(OR('הזנה לתנאי סף'!G489="",'הזנה לתנאי סף'!BL489&lt;&gt;1),"",'הזנה לתנאי סף'!G489)</f>
        <v/>
      </c>
      <c r="G489" s="88" t="str">
        <f>IF($F489="","",'הזנה לתנאי סף'!H489)</f>
        <v/>
      </c>
      <c r="H489" s="88" t="str">
        <f>IF($F489="","",'הזנה לתנאי סף'!I489)</f>
        <v/>
      </c>
      <c r="I489" s="109"/>
      <c r="J489" s="213" t="str">
        <f>IF($F489="","",'הזנה לתנאי סף'!S489)</f>
        <v/>
      </c>
      <c r="K489" s="109"/>
      <c r="L489" s="213" t="str">
        <f t="shared" si="79"/>
        <v/>
      </c>
      <c r="M489" s="213" t="str">
        <f>IF($F489="","",IF(L489='הזנה לתנאי סף'!R489,1,0))</f>
        <v/>
      </c>
      <c r="N489" s="214" t="str">
        <f t="shared" si="80"/>
        <v/>
      </c>
      <c r="O489" s="214" t="str">
        <f t="shared" si="81"/>
        <v/>
      </c>
      <c r="P489" s="109"/>
      <c r="Q489" s="213" t="str">
        <f>IF($F489="","",IFERROR(IF(P489&gt;0,'פרמטרים לקריטריונים'!$C$25*P489*O489,$AG$2),""))</f>
        <v/>
      </c>
      <c r="R489" s="213" t="str">
        <f>IF($F489="","",IFERROR('פרמטרים לקריטריונים'!$C$26*Q489,""))</f>
        <v/>
      </c>
      <c r="S489" s="214" t="str">
        <f t="shared" si="82"/>
        <v/>
      </c>
      <c r="T489" s="213" t="str">
        <f t="shared" si="83"/>
        <v/>
      </c>
      <c r="U489" s="213" t="str">
        <f>IF($F489="","",'הזנה לתנאי סף'!N489)</f>
        <v/>
      </c>
      <c r="V489" s="213" t="str">
        <f>IF($F489="","",'הזנה לתנאי סף'!O489)</f>
        <v/>
      </c>
      <c r="W489" s="109"/>
      <c r="X489" s="109"/>
      <c r="Y489" s="109"/>
      <c r="Z489" s="214" t="str">
        <f t="shared" si="84"/>
        <v/>
      </c>
      <c r="AA489" s="213" t="str">
        <f>IF(OR($F489="",V489=0),"",IF(V489=1,IF(COUNTBLANK(W489:X489)&gt;0,$AG$2,IF(OR(Z489&lt;='פרמטרים לקריטריונים'!$C$27,X489&gt;W489),"",X489-W489))))</f>
        <v/>
      </c>
      <c r="AB489" s="214" t="str">
        <f t="shared" si="85"/>
        <v/>
      </c>
      <c r="AC489" s="225" t="str">
        <f>IF(OR(AB489="",U489=1),"",IF(OR(COUNTBLANK(W489:Y489)&gt;0,AB489&gt;='פרמטרים לקריטריונים'!$E$54),'פרמטרים לקריטריונים'!$F$54,INDEX('פרמטרים לקריטריונים'!$F$49:$F$54,MATCH(AB489,'פרמטרים לקריטריונים'!$E$49:$E$54,1))))</f>
        <v/>
      </c>
      <c r="AD489" s="213" t="str">
        <f t="shared" si="86"/>
        <v/>
      </c>
      <c r="AE489" s="213" t="str">
        <f t="shared" si="87"/>
        <v/>
      </c>
      <c r="AG489" s="175">
        <f t="shared" si="88"/>
        <v>0</v>
      </c>
    </row>
    <row r="490" spans="1:33" ht="15.75" x14ac:dyDescent="0.2">
      <c r="A490" s="206" t="str">
        <f t="shared" si="78"/>
        <v/>
      </c>
      <c r="B490" s="88" t="str">
        <f>IF($F490="","",'הזנה לתנאי סף'!C490)</f>
        <v/>
      </c>
      <c r="C490" s="88" t="str">
        <f>IF($F490="","",'הזנה לתנאי סף'!D490)</f>
        <v/>
      </c>
      <c r="D490" s="88" t="str">
        <f>IF($F490="","",'הזנה לתנאי סף'!E490)</f>
        <v/>
      </c>
      <c r="E490" s="88" t="str">
        <f>IF($F490="","",'הזנה לתנאי סף'!F490)</f>
        <v/>
      </c>
      <c r="F490" s="88" t="str">
        <f>IF(OR('הזנה לתנאי סף'!G490="",'הזנה לתנאי סף'!BL490&lt;&gt;1),"",'הזנה לתנאי סף'!G490)</f>
        <v/>
      </c>
      <c r="G490" s="88" t="str">
        <f>IF($F490="","",'הזנה לתנאי סף'!H490)</f>
        <v/>
      </c>
      <c r="H490" s="88" t="str">
        <f>IF($F490="","",'הזנה לתנאי סף'!I490)</f>
        <v/>
      </c>
      <c r="I490" s="109"/>
      <c r="J490" s="213" t="str">
        <f>IF($F490="","",'הזנה לתנאי סף'!S490)</f>
        <v/>
      </c>
      <c r="K490" s="109"/>
      <c r="L490" s="213" t="str">
        <f t="shared" si="79"/>
        <v/>
      </c>
      <c r="M490" s="213" t="str">
        <f>IF($F490="","",IF(L490='הזנה לתנאי סף'!R490,1,0))</f>
        <v/>
      </c>
      <c r="N490" s="214" t="str">
        <f t="shared" si="80"/>
        <v/>
      </c>
      <c r="O490" s="214" t="str">
        <f t="shared" si="81"/>
        <v/>
      </c>
      <c r="P490" s="109"/>
      <c r="Q490" s="213" t="str">
        <f>IF($F490="","",IFERROR(IF(P490&gt;0,'פרמטרים לקריטריונים'!$C$25*P490*O490,$AG$2),""))</f>
        <v/>
      </c>
      <c r="R490" s="213" t="str">
        <f>IF($F490="","",IFERROR('פרמטרים לקריטריונים'!$C$26*Q490,""))</f>
        <v/>
      </c>
      <c r="S490" s="214" t="str">
        <f t="shared" si="82"/>
        <v/>
      </c>
      <c r="T490" s="213" t="str">
        <f t="shared" si="83"/>
        <v/>
      </c>
      <c r="U490" s="213" t="str">
        <f>IF($F490="","",'הזנה לתנאי סף'!N490)</f>
        <v/>
      </c>
      <c r="V490" s="213" t="str">
        <f>IF($F490="","",'הזנה לתנאי סף'!O490)</f>
        <v/>
      </c>
      <c r="W490" s="109"/>
      <c r="X490" s="109"/>
      <c r="Y490" s="109"/>
      <c r="Z490" s="214" t="str">
        <f t="shared" si="84"/>
        <v/>
      </c>
      <c r="AA490" s="213" t="str">
        <f>IF(OR($F490="",V490=0),"",IF(V490=1,IF(COUNTBLANK(W490:X490)&gt;0,$AG$2,IF(OR(Z490&lt;='פרמטרים לקריטריונים'!$C$27,X490&gt;W490),"",X490-W490))))</f>
        <v/>
      </c>
      <c r="AB490" s="214" t="str">
        <f t="shared" si="85"/>
        <v/>
      </c>
      <c r="AC490" s="225" t="str">
        <f>IF(OR(AB490="",U490=1),"",IF(OR(COUNTBLANK(W490:Y490)&gt;0,AB490&gt;='פרמטרים לקריטריונים'!$E$54),'פרמטרים לקריטריונים'!$F$54,INDEX('פרמטרים לקריטריונים'!$F$49:$F$54,MATCH(AB490,'פרמטרים לקריטריונים'!$E$49:$E$54,1))))</f>
        <v/>
      </c>
      <c r="AD490" s="213" t="str">
        <f t="shared" si="86"/>
        <v/>
      </c>
      <c r="AE490" s="213" t="str">
        <f t="shared" si="87"/>
        <v/>
      </c>
      <c r="AG490" s="175">
        <f t="shared" si="88"/>
        <v>0</v>
      </c>
    </row>
    <row r="491" spans="1:33" ht="15.75" x14ac:dyDescent="0.2">
      <c r="A491" s="206" t="str">
        <f t="shared" si="78"/>
        <v/>
      </c>
      <c r="B491" s="88" t="str">
        <f>IF($F491="","",'הזנה לתנאי סף'!C491)</f>
        <v/>
      </c>
      <c r="C491" s="88" t="str">
        <f>IF($F491="","",'הזנה לתנאי סף'!D491)</f>
        <v/>
      </c>
      <c r="D491" s="88" t="str">
        <f>IF($F491="","",'הזנה לתנאי סף'!E491)</f>
        <v/>
      </c>
      <c r="E491" s="88" t="str">
        <f>IF($F491="","",'הזנה לתנאי סף'!F491)</f>
        <v/>
      </c>
      <c r="F491" s="88" t="str">
        <f>IF(OR('הזנה לתנאי סף'!G491="",'הזנה לתנאי סף'!BL491&lt;&gt;1),"",'הזנה לתנאי סף'!G491)</f>
        <v/>
      </c>
      <c r="G491" s="88" t="str">
        <f>IF($F491="","",'הזנה לתנאי סף'!H491)</f>
        <v/>
      </c>
      <c r="H491" s="88" t="str">
        <f>IF($F491="","",'הזנה לתנאי סף'!I491)</f>
        <v/>
      </c>
      <c r="I491" s="109"/>
      <c r="J491" s="213" t="str">
        <f>IF($F491="","",'הזנה לתנאי סף'!S491)</f>
        <v/>
      </c>
      <c r="K491" s="109"/>
      <c r="L491" s="213" t="str">
        <f t="shared" si="79"/>
        <v/>
      </c>
      <c r="M491" s="213" t="str">
        <f>IF($F491="","",IF(L491='הזנה לתנאי סף'!R491,1,0))</f>
        <v/>
      </c>
      <c r="N491" s="214" t="str">
        <f t="shared" si="80"/>
        <v/>
      </c>
      <c r="O491" s="214" t="str">
        <f t="shared" si="81"/>
        <v/>
      </c>
      <c r="P491" s="109"/>
      <c r="Q491" s="213" t="str">
        <f>IF($F491="","",IFERROR(IF(P491&gt;0,'פרמטרים לקריטריונים'!$C$25*P491*O491,$AG$2),""))</f>
        <v/>
      </c>
      <c r="R491" s="213" t="str">
        <f>IF($F491="","",IFERROR('פרמטרים לקריטריונים'!$C$26*Q491,""))</f>
        <v/>
      </c>
      <c r="S491" s="214" t="str">
        <f t="shared" si="82"/>
        <v/>
      </c>
      <c r="T491" s="213" t="str">
        <f t="shared" si="83"/>
        <v/>
      </c>
      <c r="U491" s="213" t="str">
        <f>IF($F491="","",'הזנה לתנאי סף'!N491)</f>
        <v/>
      </c>
      <c r="V491" s="213" t="str">
        <f>IF($F491="","",'הזנה לתנאי סף'!O491)</f>
        <v/>
      </c>
      <c r="W491" s="109"/>
      <c r="X491" s="109"/>
      <c r="Y491" s="109"/>
      <c r="Z491" s="214" t="str">
        <f t="shared" si="84"/>
        <v/>
      </c>
      <c r="AA491" s="213" t="str">
        <f>IF(OR($F491="",V491=0),"",IF(V491=1,IF(COUNTBLANK(W491:X491)&gt;0,$AG$2,IF(OR(Z491&lt;='פרמטרים לקריטריונים'!$C$27,X491&gt;W491),"",X491-W491))))</f>
        <v/>
      </c>
      <c r="AB491" s="214" t="str">
        <f t="shared" si="85"/>
        <v/>
      </c>
      <c r="AC491" s="225" t="str">
        <f>IF(OR(AB491="",U491=1),"",IF(OR(COUNTBLANK(W491:Y491)&gt;0,AB491&gt;='פרמטרים לקריטריונים'!$E$54),'פרמטרים לקריטריונים'!$F$54,INDEX('פרמטרים לקריטריונים'!$F$49:$F$54,MATCH(AB491,'פרמטרים לקריטריונים'!$E$49:$E$54,1))))</f>
        <v/>
      </c>
      <c r="AD491" s="213" t="str">
        <f t="shared" si="86"/>
        <v/>
      </c>
      <c r="AE491" s="213" t="str">
        <f t="shared" si="87"/>
        <v/>
      </c>
      <c r="AG491" s="175">
        <f t="shared" si="88"/>
        <v>0</v>
      </c>
    </row>
    <row r="492" spans="1:33" ht="15.75" x14ac:dyDescent="0.2">
      <c r="A492" s="206" t="str">
        <f t="shared" si="78"/>
        <v/>
      </c>
      <c r="B492" s="88" t="str">
        <f>IF($F492="","",'הזנה לתנאי סף'!C492)</f>
        <v/>
      </c>
      <c r="C492" s="88" t="str">
        <f>IF($F492="","",'הזנה לתנאי סף'!D492)</f>
        <v/>
      </c>
      <c r="D492" s="88" t="str">
        <f>IF($F492="","",'הזנה לתנאי סף'!E492)</f>
        <v/>
      </c>
      <c r="E492" s="88" t="str">
        <f>IF($F492="","",'הזנה לתנאי סף'!F492)</f>
        <v/>
      </c>
      <c r="F492" s="88" t="str">
        <f>IF(OR('הזנה לתנאי סף'!G492="",'הזנה לתנאי סף'!BL492&lt;&gt;1),"",'הזנה לתנאי סף'!G492)</f>
        <v/>
      </c>
      <c r="G492" s="88" t="str">
        <f>IF($F492="","",'הזנה לתנאי סף'!H492)</f>
        <v/>
      </c>
      <c r="H492" s="88" t="str">
        <f>IF($F492="","",'הזנה לתנאי סף'!I492)</f>
        <v/>
      </c>
      <c r="I492" s="109"/>
      <c r="J492" s="213" t="str">
        <f>IF($F492="","",'הזנה לתנאי סף'!S492)</f>
        <v/>
      </c>
      <c r="K492" s="109"/>
      <c r="L492" s="213" t="str">
        <f t="shared" si="79"/>
        <v/>
      </c>
      <c r="M492" s="213" t="str">
        <f>IF($F492="","",IF(L492='הזנה לתנאי סף'!R492,1,0))</f>
        <v/>
      </c>
      <c r="N492" s="214" t="str">
        <f t="shared" si="80"/>
        <v/>
      </c>
      <c r="O492" s="214" t="str">
        <f t="shared" si="81"/>
        <v/>
      </c>
      <c r="P492" s="109"/>
      <c r="Q492" s="213" t="str">
        <f>IF($F492="","",IFERROR(IF(P492&gt;0,'פרמטרים לקריטריונים'!$C$25*P492*O492,$AG$2),""))</f>
        <v/>
      </c>
      <c r="R492" s="213" t="str">
        <f>IF($F492="","",IFERROR('פרמטרים לקריטריונים'!$C$26*Q492,""))</f>
        <v/>
      </c>
      <c r="S492" s="214" t="str">
        <f t="shared" si="82"/>
        <v/>
      </c>
      <c r="T492" s="213" t="str">
        <f t="shared" si="83"/>
        <v/>
      </c>
      <c r="U492" s="213" t="str">
        <f>IF($F492="","",'הזנה לתנאי סף'!N492)</f>
        <v/>
      </c>
      <c r="V492" s="213" t="str">
        <f>IF($F492="","",'הזנה לתנאי סף'!O492)</f>
        <v/>
      </c>
      <c r="W492" s="109"/>
      <c r="X492" s="109"/>
      <c r="Y492" s="109"/>
      <c r="Z492" s="214" t="str">
        <f t="shared" si="84"/>
        <v/>
      </c>
      <c r="AA492" s="213" t="str">
        <f>IF(OR($F492="",V492=0),"",IF(V492=1,IF(COUNTBLANK(W492:X492)&gt;0,$AG$2,IF(OR(Z492&lt;='פרמטרים לקריטריונים'!$C$27,X492&gt;W492),"",X492-W492))))</f>
        <v/>
      </c>
      <c r="AB492" s="214" t="str">
        <f t="shared" si="85"/>
        <v/>
      </c>
      <c r="AC492" s="225" t="str">
        <f>IF(OR(AB492="",U492=1),"",IF(OR(COUNTBLANK(W492:Y492)&gt;0,AB492&gt;='פרמטרים לקריטריונים'!$E$54),'פרמטרים לקריטריונים'!$F$54,INDEX('פרמטרים לקריטריונים'!$F$49:$F$54,MATCH(AB492,'פרמטרים לקריטריונים'!$E$49:$E$54,1))))</f>
        <v/>
      </c>
      <c r="AD492" s="213" t="str">
        <f t="shared" si="86"/>
        <v/>
      </c>
      <c r="AE492" s="213" t="str">
        <f t="shared" si="87"/>
        <v/>
      </c>
      <c r="AG492" s="175">
        <f t="shared" si="88"/>
        <v>0</v>
      </c>
    </row>
    <row r="493" spans="1:33" ht="15.75" x14ac:dyDescent="0.2">
      <c r="A493" s="206" t="str">
        <f t="shared" si="78"/>
        <v/>
      </c>
      <c r="B493" s="88" t="str">
        <f>IF($F493="","",'הזנה לתנאי סף'!C493)</f>
        <v/>
      </c>
      <c r="C493" s="88" t="str">
        <f>IF($F493="","",'הזנה לתנאי סף'!D493)</f>
        <v/>
      </c>
      <c r="D493" s="88" t="str">
        <f>IF($F493="","",'הזנה לתנאי סף'!E493)</f>
        <v/>
      </c>
      <c r="E493" s="88" t="str">
        <f>IF($F493="","",'הזנה לתנאי סף'!F493)</f>
        <v/>
      </c>
      <c r="F493" s="88" t="str">
        <f>IF(OR('הזנה לתנאי סף'!G493="",'הזנה לתנאי סף'!BL493&lt;&gt;1),"",'הזנה לתנאי סף'!G493)</f>
        <v/>
      </c>
      <c r="G493" s="88" t="str">
        <f>IF($F493="","",'הזנה לתנאי סף'!H493)</f>
        <v/>
      </c>
      <c r="H493" s="88" t="str">
        <f>IF($F493="","",'הזנה לתנאי סף'!I493)</f>
        <v/>
      </c>
      <c r="I493" s="109"/>
      <c r="J493" s="213" t="str">
        <f>IF($F493="","",'הזנה לתנאי סף'!S493)</f>
        <v/>
      </c>
      <c r="K493" s="109"/>
      <c r="L493" s="213" t="str">
        <f t="shared" si="79"/>
        <v/>
      </c>
      <c r="M493" s="213" t="str">
        <f>IF($F493="","",IF(L493='הזנה לתנאי סף'!R493,1,0))</f>
        <v/>
      </c>
      <c r="N493" s="214" t="str">
        <f t="shared" si="80"/>
        <v/>
      </c>
      <c r="O493" s="214" t="str">
        <f t="shared" si="81"/>
        <v/>
      </c>
      <c r="P493" s="109"/>
      <c r="Q493" s="213" t="str">
        <f>IF($F493="","",IFERROR(IF(P493&gt;0,'פרמטרים לקריטריונים'!$C$25*P493*O493,$AG$2),""))</f>
        <v/>
      </c>
      <c r="R493" s="213" t="str">
        <f>IF($F493="","",IFERROR('פרמטרים לקריטריונים'!$C$26*Q493,""))</f>
        <v/>
      </c>
      <c r="S493" s="214" t="str">
        <f t="shared" si="82"/>
        <v/>
      </c>
      <c r="T493" s="213" t="str">
        <f t="shared" si="83"/>
        <v/>
      </c>
      <c r="U493" s="213" t="str">
        <f>IF($F493="","",'הזנה לתנאי סף'!N493)</f>
        <v/>
      </c>
      <c r="V493" s="213" t="str">
        <f>IF($F493="","",'הזנה לתנאי סף'!O493)</f>
        <v/>
      </c>
      <c r="W493" s="109"/>
      <c r="X493" s="109"/>
      <c r="Y493" s="109"/>
      <c r="Z493" s="214" t="str">
        <f t="shared" si="84"/>
        <v/>
      </c>
      <c r="AA493" s="213" t="str">
        <f>IF(OR($F493="",V493=0),"",IF(V493=1,IF(COUNTBLANK(W493:X493)&gt;0,$AG$2,IF(OR(Z493&lt;='פרמטרים לקריטריונים'!$C$27,X493&gt;W493),"",X493-W493))))</f>
        <v/>
      </c>
      <c r="AB493" s="214" t="str">
        <f t="shared" si="85"/>
        <v/>
      </c>
      <c r="AC493" s="225" t="str">
        <f>IF(OR(AB493="",U493=1),"",IF(OR(COUNTBLANK(W493:Y493)&gt;0,AB493&gt;='פרמטרים לקריטריונים'!$E$54),'פרמטרים לקריטריונים'!$F$54,INDEX('פרמטרים לקריטריונים'!$F$49:$F$54,MATCH(AB493,'פרמטרים לקריטריונים'!$E$49:$E$54,1))))</f>
        <v/>
      </c>
      <c r="AD493" s="213" t="str">
        <f t="shared" si="86"/>
        <v/>
      </c>
      <c r="AE493" s="213" t="str">
        <f t="shared" si="87"/>
        <v/>
      </c>
      <c r="AG493" s="175">
        <f t="shared" si="88"/>
        <v>0</v>
      </c>
    </row>
    <row r="494" spans="1:33" ht="15.75" x14ac:dyDescent="0.2">
      <c r="A494" s="206" t="str">
        <f t="shared" si="78"/>
        <v/>
      </c>
      <c r="B494" s="88" t="str">
        <f>IF($F494="","",'הזנה לתנאי סף'!C494)</f>
        <v/>
      </c>
      <c r="C494" s="88" t="str">
        <f>IF($F494="","",'הזנה לתנאי סף'!D494)</f>
        <v/>
      </c>
      <c r="D494" s="88" t="str">
        <f>IF($F494="","",'הזנה לתנאי סף'!E494)</f>
        <v/>
      </c>
      <c r="E494" s="88" t="str">
        <f>IF($F494="","",'הזנה לתנאי סף'!F494)</f>
        <v/>
      </c>
      <c r="F494" s="88" t="str">
        <f>IF(OR('הזנה לתנאי סף'!G494="",'הזנה לתנאי סף'!BL494&lt;&gt;1),"",'הזנה לתנאי סף'!G494)</f>
        <v/>
      </c>
      <c r="G494" s="88" t="str">
        <f>IF($F494="","",'הזנה לתנאי סף'!H494)</f>
        <v/>
      </c>
      <c r="H494" s="88" t="str">
        <f>IF($F494="","",'הזנה לתנאי סף'!I494)</f>
        <v/>
      </c>
      <c r="I494" s="109"/>
      <c r="J494" s="213" t="str">
        <f>IF($F494="","",'הזנה לתנאי סף'!S494)</f>
        <v/>
      </c>
      <c r="K494" s="109"/>
      <c r="L494" s="213" t="str">
        <f t="shared" si="79"/>
        <v/>
      </c>
      <c r="M494" s="213" t="str">
        <f>IF($F494="","",IF(L494='הזנה לתנאי סף'!R494,1,0))</f>
        <v/>
      </c>
      <c r="N494" s="214" t="str">
        <f t="shared" si="80"/>
        <v/>
      </c>
      <c r="O494" s="214" t="str">
        <f t="shared" si="81"/>
        <v/>
      </c>
      <c r="P494" s="109"/>
      <c r="Q494" s="213" t="str">
        <f>IF($F494="","",IFERROR(IF(P494&gt;0,'פרמטרים לקריטריונים'!$C$25*P494*O494,$AG$2),""))</f>
        <v/>
      </c>
      <c r="R494" s="213" t="str">
        <f>IF($F494="","",IFERROR('פרמטרים לקריטריונים'!$C$26*Q494,""))</f>
        <v/>
      </c>
      <c r="S494" s="214" t="str">
        <f t="shared" si="82"/>
        <v/>
      </c>
      <c r="T494" s="213" t="str">
        <f t="shared" si="83"/>
        <v/>
      </c>
      <c r="U494" s="213" t="str">
        <f>IF($F494="","",'הזנה לתנאי סף'!N494)</f>
        <v/>
      </c>
      <c r="V494" s="213" t="str">
        <f>IF($F494="","",'הזנה לתנאי סף'!O494)</f>
        <v/>
      </c>
      <c r="W494" s="109"/>
      <c r="X494" s="109"/>
      <c r="Y494" s="109"/>
      <c r="Z494" s="214" t="str">
        <f t="shared" si="84"/>
        <v/>
      </c>
      <c r="AA494" s="213" t="str">
        <f>IF(OR($F494="",V494=0),"",IF(V494=1,IF(COUNTBLANK(W494:X494)&gt;0,$AG$2,IF(OR(Z494&lt;='פרמטרים לקריטריונים'!$C$27,X494&gt;W494),"",X494-W494))))</f>
        <v/>
      </c>
      <c r="AB494" s="214" t="str">
        <f t="shared" si="85"/>
        <v/>
      </c>
      <c r="AC494" s="225" t="str">
        <f>IF(OR(AB494="",U494=1),"",IF(OR(COUNTBLANK(W494:Y494)&gt;0,AB494&gt;='פרמטרים לקריטריונים'!$E$54),'פרמטרים לקריטריונים'!$F$54,INDEX('פרמטרים לקריטריונים'!$F$49:$F$54,MATCH(AB494,'פרמטרים לקריטריונים'!$E$49:$E$54,1))))</f>
        <v/>
      </c>
      <c r="AD494" s="213" t="str">
        <f t="shared" si="86"/>
        <v/>
      </c>
      <c r="AE494" s="213" t="str">
        <f t="shared" si="87"/>
        <v/>
      </c>
      <c r="AG494" s="175">
        <f t="shared" si="88"/>
        <v>0</v>
      </c>
    </row>
    <row r="495" spans="1:33" ht="15.75" x14ac:dyDescent="0.2">
      <c r="A495" s="206" t="str">
        <f t="shared" si="78"/>
        <v/>
      </c>
      <c r="B495" s="88" t="str">
        <f>IF($F495="","",'הזנה לתנאי סף'!C495)</f>
        <v/>
      </c>
      <c r="C495" s="88" t="str">
        <f>IF($F495="","",'הזנה לתנאי סף'!D495)</f>
        <v/>
      </c>
      <c r="D495" s="88" t="str">
        <f>IF($F495="","",'הזנה לתנאי סף'!E495)</f>
        <v/>
      </c>
      <c r="E495" s="88" t="str">
        <f>IF($F495="","",'הזנה לתנאי סף'!F495)</f>
        <v/>
      </c>
      <c r="F495" s="88" t="str">
        <f>IF(OR('הזנה לתנאי סף'!G495="",'הזנה לתנאי סף'!BL495&lt;&gt;1),"",'הזנה לתנאי סף'!G495)</f>
        <v/>
      </c>
      <c r="G495" s="88" t="str">
        <f>IF($F495="","",'הזנה לתנאי סף'!H495)</f>
        <v/>
      </c>
      <c r="H495" s="88" t="str">
        <f>IF($F495="","",'הזנה לתנאי סף'!I495)</f>
        <v/>
      </c>
      <c r="I495" s="109"/>
      <c r="J495" s="213" t="str">
        <f>IF($F495="","",'הזנה לתנאי סף'!S495)</f>
        <v/>
      </c>
      <c r="K495" s="109"/>
      <c r="L495" s="213" t="str">
        <f t="shared" si="79"/>
        <v/>
      </c>
      <c r="M495" s="213" t="str">
        <f>IF($F495="","",IF(L495='הזנה לתנאי סף'!R495,1,0))</f>
        <v/>
      </c>
      <c r="N495" s="214" t="str">
        <f t="shared" si="80"/>
        <v/>
      </c>
      <c r="O495" s="214" t="str">
        <f t="shared" si="81"/>
        <v/>
      </c>
      <c r="P495" s="109"/>
      <c r="Q495" s="213" t="str">
        <f>IF($F495="","",IFERROR(IF(P495&gt;0,'פרמטרים לקריטריונים'!$C$25*P495*O495,$AG$2),""))</f>
        <v/>
      </c>
      <c r="R495" s="213" t="str">
        <f>IF($F495="","",IFERROR('פרמטרים לקריטריונים'!$C$26*Q495,""))</f>
        <v/>
      </c>
      <c r="S495" s="214" t="str">
        <f t="shared" si="82"/>
        <v/>
      </c>
      <c r="T495" s="213" t="str">
        <f t="shared" si="83"/>
        <v/>
      </c>
      <c r="U495" s="213" t="str">
        <f>IF($F495="","",'הזנה לתנאי סף'!N495)</f>
        <v/>
      </c>
      <c r="V495" s="213" t="str">
        <f>IF($F495="","",'הזנה לתנאי סף'!O495)</f>
        <v/>
      </c>
      <c r="W495" s="109"/>
      <c r="X495" s="109"/>
      <c r="Y495" s="109"/>
      <c r="Z495" s="214" t="str">
        <f t="shared" si="84"/>
        <v/>
      </c>
      <c r="AA495" s="213" t="str">
        <f>IF(OR($F495="",V495=0),"",IF(V495=1,IF(COUNTBLANK(W495:X495)&gt;0,$AG$2,IF(OR(Z495&lt;='פרמטרים לקריטריונים'!$C$27,X495&gt;W495),"",X495-W495))))</f>
        <v/>
      </c>
      <c r="AB495" s="214" t="str">
        <f t="shared" si="85"/>
        <v/>
      </c>
      <c r="AC495" s="225" t="str">
        <f>IF(OR(AB495="",U495=1),"",IF(OR(COUNTBLANK(W495:Y495)&gt;0,AB495&gt;='פרמטרים לקריטריונים'!$E$54),'פרמטרים לקריטריונים'!$F$54,INDEX('פרמטרים לקריטריונים'!$F$49:$F$54,MATCH(AB495,'פרמטרים לקריטריונים'!$E$49:$E$54,1))))</f>
        <v/>
      </c>
      <c r="AD495" s="213" t="str">
        <f t="shared" si="86"/>
        <v/>
      </c>
      <c r="AE495" s="213" t="str">
        <f t="shared" si="87"/>
        <v/>
      </c>
      <c r="AG495" s="175">
        <f t="shared" si="88"/>
        <v>0</v>
      </c>
    </row>
    <row r="496" spans="1:33" ht="15.75" x14ac:dyDescent="0.2">
      <c r="A496" s="206" t="str">
        <f t="shared" si="78"/>
        <v/>
      </c>
      <c r="B496" s="88" t="str">
        <f>IF($F496="","",'הזנה לתנאי סף'!C496)</f>
        <v/>
      </c>
      <c r="C496" s="88" t="str">
        <f>IF($F496="","",'הזנה לתנאי סף'!D496)</f>
        <v/>
      </c>
      <c r="D496" s="88" t="str">
        <f>IF($F496="","",'הזנה לתנאי סף'!E496)</f>
        <v/>
      </c>
      <c r="E496" s="88" t="str">
        <f>IF($F496="","",'הזנה לתנאי סף'!F496)</f>
        <v/>
      </c>
      <c r="F496" s="88" t="str">
        <f>IF(OR('הזנה לתנאי סף'!G496="",'הזנה לתנאי סף'!BL496&lt;&gt;1),"",'הזנה לתנאי סף'!G496)</f>
        <v/>
      </c>
      <c r="G496" s="88" t="str">
        <f>IF($F496="","",'הזנה לתנאי סף'!H496)</f>
        <v/>
      </c>
      <c r="H496" s="88" t="str">
        <f>IF($F496="","",'הזנה לתנאי סף'!I496)</f>
        <v/>
      </c>
      <c r="I496" s="109"/>
      <c r="J496" s="213" t="str">
        <f>IF($F496="","",'הזנה לתנאי סף'!S496)</f>
        <v/>
      </c>
      <c r="K496" s="109"/>
      <c r="L496" s="213" t="str">
        <f t="shared" si="79"/>
        <v/>
      </c>
      <c r="M496" s="213" t="str">
        <f>IF($F496="","",IF(L496='הזנה לתנאי סף'!R496,1,0))</f>
        <v/>
      </c>
      <c r="N496" s="214" t="str">
        <f t="shared" si="80"/>
        <v/>
      </c>
      <c r="O496" s="214" t="str">
        <f t="shared" si="81"/>
        <v/>
      </c>
      <c r="P496" s="109"/>
      <c r="Q496" s="213" t="str">
        <f>IF($F496="","",IFERROR(IF(P496&gt;0,'פרמטרים לקריטריונים'!$C$25*P496*O496,$AG$2),""))</f>
        <v/>
      </c>
      <c r="R496" s="213" t="str">
        <f>IF($F496="","",IFERROR('פרמטרים לקריטריונים'!$C$26*Q496,""))</f>
        <v/>
      </c>
      <c r="S496" s="214" t="str">
        <f t="shared" si="82"/>
        <v/>
      </c>
      <c r="T496" s="213" t="str">
        <f t="shared" si="83"/>
        <v/>
      </c>
      <c r="U496" s="213" t="str">
        <f>IF($F496="","",'הזנה לתנאי סף'!N496)</f>
        <v/>
      </c>
      <c r="V496" s="213" t="str">
        <f>IF($F496="","",'הזנה לתנאי סף'!O496)</f>
        <v/>
      </c>
      <c r="W496" s="109"/>
      <c r="X496" s="109"/>
      <c r="Y496" s="109"/>
      <c r="Z496" s="214" t="str">
        <f t="shared" si="84"/>
        <v/>
      </c>
      <c r="AA496" s="213" t="str">
        <f>IF(OR($F496="",V496=0),"",IF(V496=1,IF(COUNTBLANK(W496:X496)&gt;0,$AG$2,IF(OR(Z496&lt;='פרמטרים לקריטריונים'!$C$27,X496&gt;W496),"",X496-W496))))</f>
        <v/>
      </c>
      <c r="AB496" s="214" t="str">
        <f t="shared" si="85"/>
        <v/>
      </c>
      <c r="AC496" s="225" t="str">
        <f>IF(OR(AB496="",U496=1),"",IF(OR(COUNTBLANK(W496:Y496)&gt;0,AB496&gt;='פרמטרים לקריטריונים'!$E$54),'פרמטרים לקריטריונים'!$F$54,INDEX('פרמטרים לקריטריונים'!$F$49:$F$54,MATCH(AB496,'פרמטרים לקריטריונים'!$E$49:$E$54,1))))</f>
        <v/>
      </c>
      <c r="AD496" s="213" t="str">
        <f t="shared" si="86"/>
        <v/>
      </c>
      <c r="AE496" s="213" t="str">
        <f t="shared" si="87"/>
        <v/>
      </c>
      <c r="AG496" s="175">
        <f t="shared" si="88"/>
        <v>0</v>
      </c>
    </row>
    <row r="497" spans="1:33" ht="15.75" x14ac:dyDescent="0.2">
      <c r="A497" s="206" t="str">
        <f t="shared" si="78"/>
        <v/>
      </c>
      <c r="B497" s="88" t="str">
        <f>IF($F497="","",'הזנה לתנאי סף'!C497)</f>
        <v/>
      </c>
      <c r="C497" s="88" t="str">
        <f>IF($F497="","",'הזנה לתנאי סף'!D497)</f>
        <v/>
      </c>
      <c r="D497" s="88" t="str">
        <f>IF($F497="","",'הזנה לתנאי סף'!E497)</f>
        <v/>
      </c>
      <c r="E497" s="88" t="str">
        <f>IF($F497="","",'הזנה לתנאי סף'!F497)</f>
        <v/>
      </c>
      <c r="F497" s="88" t="str">
        <f>IF(OR('הזנה לתנאי סף'!G497="",'הזנה לתנאי סף'!BL497&lt;&gt;1),"",'הזנה לתנאי סף'!G497)</f>
        <v/>
      </c>
      <c r="G497" s="88" t="str">
        <f>IF($F497="","",'הזנה לתנאי סף'!H497)</f>
        <v/>
      </c>
      <c r="H497" s="88" t="str">
        <f>IF($F497="","",'הזנה לתנאי סף'!I497)</f>
        <v/>
      </c>
      <c r="I497" s="109"/>
      <c r="J497" s="213" t="str">
        <f>IF($F497="","",'הזנה לתנאי סף'!S497)</f>
        <v/>
      </c>
      <c r="K497" s="109"/>
      <c r="L497" s="213" t="str">
        <f t="shared" si="79"/>
        <v/>
      </c>
      <c r="M497" s="213" t="str">
        <f>IF($F497="","",IF(L497='הזנה לתנאי סף'!R497,1,0))</f>
        <v/>
      </c>
      <c r="N497" s="214" t="str">
        <f t="shared" si="80"/>
        <v/>
      </c>
      <c r="O497" s="214" t="str">
        <f t="shared" si="81"/>
        <v/>
      </c>
      <c r="P497" s="109"/>
      <c r="Q497" s="213" t="str">
        <f>IF($F497="","",IFERROR(IF(P497&gt;0,'פרמטרים לקריטריונים'!$C$25*P497*O497,$AG$2),""))</f>
        <v/>
      </c>
      <c r="R497" s="213" t="str">
        <f>IF($F497="","",IFERROR('פרמטרים לקריטריונים'!$C$26*Q497,""))</f>
        <v/>
      </c>
      <c r="S497" s="214" t="str">
        <f t="shared" si="82"/>
        <v/>
      </c>
      <c r="T497" s="213" t="str">
        <f t="shared" si="83"/>
        <v/>
      </c>
      <c r="U497" s="213" t="str">
        <f>IF($F497="","",'הזנה לתנאי סף'!N497)</f>
        <v/>
      </c>
      <c r="V497" s="213" t="str">
        <f>IF($F497="","",'הזנה לתנאי סף'!O497)</f>
        <v/>
      </c>
      <c r="W497" s="109"/>
      <c r="X497" s="109"/>
      <c r="Y497" s="109"/>
      <c r="Z497" s="214" t="str">
        <f t="shared" si="84"/>
        <v/>
      </c>
      <c r="AA497" s="213" t="str">
        <f>IF(OR($F497="",V497=0),"",IF(V497=1,IF(COUNTBLANK(W497:X497)&gt;0,$AG$2,IF(OR(Z497&lt;='פרמטרים לקריטריונים'!$C$27,X497&gt;W497),"",X497-W497))))</f>
        <v/>
      </c>
      <c r="AB497" s="214" t="str">
        <f t="shared" si="85"/>
        <v/>
      </c>
      <c r="AC497" s="225" t="str">
        <f>IF(OR(AB497="",U497=1),"",IF(OR(COUNTBLANK(W497:Y497)&gt;0,AB497&gt;='פרמטרים לקריטריונים'!$E$54),'פרמטרים לקריטריונים'!$F$54,INDEX('פרמטרים לקריטריונים'!$F$49:$F$54,MATCH(AB497,'פרמטרים לקריטריונים'!$E$49:$E$54,1))))</f>
        <v/>
      </c>
      <c r="AD497" s="213" t="str">
        <f t="shared" si="86"/>
        <v/>
      </c>
      <c r="AE497" s="213" t="str">
        <f t="shared" si="87"/>
        <v/>
      </c>
      <c r="AG497" s="175">
        <f t="shared" si="88"/>
        <v>0</v>
      </c>
    </row>
    <row r="498" spans="1:33" ht="15.75" x14ac:dyDescent="0.2">
      <c r="A498" s="206" t="str">
        <f t="shared" si="78"/>
        <v/>
      </c>
      <c r="B498" s="88" t="str">
        <f>IF($F498="","",'הזנה לתנאי סף'!C498)</f>
        <v/>
      </c>
      <c r="C498" s="88" t="str">
        <f>IF($F498="","",'הזנה לתנאי סף'!D498)</f>
        <v/>
      </c>
      <c r="D498" s="88" t="str">
        <f>IF($F498="","",'הזנה לתנאי סף'!E498)</f>
        <v/>
      </c>
      <c r="E498" s="88" t="str">
        <f>IF($F498="","",'הזנה לתנאי סף'!F498)</f>
        <v/>
      </c>
      <c r="F498" s="88" t="str">
        <f>IF(OR('הזנה לתנאי סף'!G498="",'הזנה לתנאי סף'!BL498&lt;&gt;1),"",'הזנה לתנאי סף'!G498)</f>
        <v/>
      </c>
      <c r="G498" s="88" t="str">
        <f>IF($F498="","",'הזנה לתנאי סף'!H498)</f>
        <v/>
      </c>
      <c r="H498" s="88" t="str">
        <f>IF($F498="","",'הזנה לתנאי סף'!I498)</f>
        <v/>
      </c>
      <c r="I498" s="109"/>
      <c r="J498" s="213" t="str">
        <f>IF($F498="","",'הזנה לתנאי סף'!S498)</f>
        <v/>
      </c>
      <c r="K498" s="109"/>
      <c r="L498" s="213" t="str">
        <f t="shared" si="79"/>
        <v/>
      </c>
      <c r="M498" s="213" t="str">
        <f>IF($F498="","",IF(L498='הזנה לתנאי סף'!R498,1,0))</f>
        <v/>
      </c>
      <c r="N498" s="214" t="str">
        <f t="shared" si="80"/>
        <v/>
      </c>
      <c r="O498" s="214" t="str">
        <f t="shared" si="81"/>
        <v/>
      </c>
      <c r="P498" s="109"/>
      <c r="Q498" s="213" t="str">
        <f>IF($F498="","",IFERROR(IF(P498&gt;0,'פרמטרים לקריטריונים'!$C$25*P498*O498,$AG$2),""))</f>
        <v/>
      </c>
      <c r="R498" s="213" t="str">
        <f>IF($F498="","",IFERROR('פרמטרים לקריטריונים'!$C$26*Q498,""))</f>
        <v/>
      </c>
      <c r="S498" s="214" t="str">
        <f t="shared" si="82"/>
        <v/>
      </c>
      <c r="T498" s="213" t="str">
        <f t="shared" si="83"/>
        <v/>
      </c>
      <c r="U498" s="213" t="str">
        <f>IF($F498="","",'הזנה לתנאי סף'!N498)</f>
        <v/>
      </c>
      <c r="V498" s="213" t="str">
        <f>IF($F498="","",'הזנה לתנאי סף'!O498)</f>
        <v/>
      </c>
      <c r="W498" s="109"/>
      <c r="X498" s="109"/>
      <c r="Y498" s="109"/>
      <c r="Z498" s="214" t="str">
        <f t="shared" si="84"/>
        <v/>
      </c>
      <c r="AA498" s="213" t="str">
        <f>IF(OR($F498="",V498=0),"",IF(V498=1,IF(COUNTBLANK(W498:X498)&gt;0,$AG$2,IF(OR(Z498&lt;='פרמטרים לקריטריונים'!$C$27,X498&gt;W498),"",X498-W498))))</f>
        <v/>
      </c>
      <c r="AB498" s="214" t="str">
        <f t="shared" si="85"/>
        <v/>
      </c>
      <c r="AC498" s="225" t="str">
        <f>IF(OR(AB498="",U498=1),"",IF(OR(COUNTBLANK(W498:Y498)&gt;0,AB498&gt;='פרמטרים לקריטריונים'!$E$54),'פרמטרים לקריטריונים'!$F$54,INDEX('פרמטרים לקריטריונים'!$F$49:$F$54,MATCH(AB498,'פרמטרים לקריטריונים'!$E$49:$E$54,1))))</f>
        <v/>
      </c>
      <c r="AD498" s="213" t="str">
        <f t="shared" si="86"/>
        <v/>
      </c>
      <c r="AE498" s="213" t="str">
        <f t="shared" si="87"/>
        <v/>
      </c>
      <c r="AG498" s="175">
        <f t="shared" si="88"/>
        <v>0</v>
      </c>
    </row>
    <row r="499" spans="1:33" ht="15.75" x14ac:dyDescent="0.2">
      <c r="A499" s="206" t="str">
        <f t="shared" si="78"/>
        <v/>
      </c>
      <c r="B499" s="88" t="str">
        <f>IF($F499="","",'הזנה לתנאי סף'!C499)</f>
        <v/>
      </c>
      <c r="C499" s="88" t="str">
        <f>IF($F499="","",'הזנה לתנאי סף'!D499)</f>
        <v/>
      </c>
      <c r="D499" s="88" t="str">
        <f>IF($F499="","",'הזנה לתנאי סף'!E499)</f>
        <v/>
      </c>
      <c r="E499" s="88" t="str">
        <f>IF($F499="","",'הזנה לתנאי סף'!F499)</f>
        <v/>
      </c>
      <c r="F499" s="88" t="str">
        <f>IF(OR('הזנה לתנאי סף'!G499="",'הזנה לתנאי סף'!BL499&lt;&gt;1),"",'הזנה לתנאי סף'!G499)</f>
        <v/>
      </c>
      <c r="G499" s="88" t="str">
        <f>IF($F499="","",'הזנה לתנאי סף'!H499)</f>
        <v/>
      </c>
      <c r="H499" s="88" t="str">
        <f>IF($F499="","",'הזנה לתנאי סף'!I499)</f>
        <v/>
      </c>
      <c r="I499" s="109"/>
      <c r="J499" s="213" t="str">
        <f>IF($F499="","",'הזנה לתנאי סף'!S499)</f>
        <v/>
      </c>
      <c r="K499" s="109"/>
      <c r="L499" s="213" t="str">
        <f t="shared" si="79"/>
        <v/>
      </c>
      <c r="M499" s="213" t="str">
        <f>IF($F499="","",IF(L499='הזנה לתנאי סף'!R499,1,0))</f>
        <v/>
      </c>
      <c r="N499" s="214" t="str">
        <f t="shared" si="80"/>
        <v/>
      </c>
      <c r="O499" s="214" t="str">
        <f t="shared" si="81"/>
        <v/>
      </c>
      <c r="P499" s="109"/>
      <c r="Q499" s="213" t="str">
        <f>IF($F499="","",IFERROR(IF(P499&gt;0,'פרמטרים לקריטריונים'!$C$25*P499*O499,$AG$2),""))</f>
        <v/>
      </c>
      <c r="R499" s="213" t="str">
        <f>IF($F499="","",IFERROR('פרמטרים לקריטריונים'!$C$26*Q499,""))</f>
        <v/>
      </c>
      <c r="S499" s="214" t="str">
        <f t="shared" si="82"/>
        <v/>
      </c>
      <c r="T499" s="213" t="str">
        <f t="shared" si="83"/>
        <v/>
      </c>
      <c r="U499" s="213" t="str">
        <f>IF($F499="","",'הזנה לתנאי סף'!N499)</f>
        <v/>
      </c>
      <c r="V499" s="213" t="str">
        <f>IF($F499="","",'הזנה לתנאי סף'!O499)</f>
        <v/>
      </c>
      <c r="W499" s="109"/>
      <c r="X499" s="109"/>
      <c r="Y499" s="109"/>
      <c r="Z499" s="214" t="str">
        <f t="shared" si="84"/>
        <v/>
      </c>
      <c r="AA499" s="213" t="str">
        <f>IF(OR($F499="",V499=0),"",IF(V499=1,IF(COUNTBLANK(W499:X499)&gt;0,$AG$2,IF(OR(Z499&lt;='פרמטרים לקריטריונים'!$C$27,X499&gt;W499),"",X499-W499))))</f>
        <v/>
      </c>
      <c r="AB499" s="214" t="str">
        <f t="shared" si="85"/>
        <v/>
      </c>
      <c r="AC499" s="225" t="str">
        <f>IF(OR(AB499="",U499=1),"",IF(OR(COUNTBLANK(W499:Y499)&gt;0,AB499&gt;='פרמטרים לקריטריונים'!$E$54),'פרמטרים לקריטריונים'!$F$54,INDEX('פרמטרים לקריטריונים'!$F$49:$F$54,MATCH(AB499,'פרמטרים לקריטריונים'!$E$49:$E$54,1))))</f>
        <v/>
      </c>
      <c r="AD499" s="213" t="str">
        <f t="shared" si="86"/>
        <v/>
      </c>
      <c r="AE499" s="213" t="str">
        <f t="shared" si="87"/>
        <v/>
      </c>
      <c r="AG499" s="175">
        <f t="shared" si="88"/>
        <v>0</v>
      </c>
    </row>
    <row r="500" spans="1:33" ht="16.5" thickBot="1" x14ac:dyDescent="0.25">
      <c r="A500" s="206" t="str">
        <f t="shared" si="78"/>
        <v/>
      </c>
      <c r="B500" s="88" t="str">
        <f>IF($F500="","",'הזנה לתנאי סף'!C500)</f>
        <v/>
      </c>
      <c r="C500" s="88" t="str">
        <f>IF($F500="","",'הזנה לתנאי סף'!D500)</f>
        <v/>
      </c>
      <c r="D500" s="88" t="str">
        <f>IF($F500="","",'הזנה לתנאי סף'!E500)</f>
        <v/>
      </c>
      <c r="E500" s="88" t="str">
        <f>IF($F500="","",'הזנה לתנאי סף'!F500)</f>
        <v/>
      </c>
      <c r="F500" s="88" t="str">
        <f>IF(OR('הזנה לתנאי סף'!G500="",'הזנה לתנאי סף'!BL500&lt;&gt;1),"",'הזנה לתנאי סף'!G500)</f>
        <v/>
      </c>
      <c r="G500" s="88" t="str">
        <f>IF($F500="","",'הזנה לתנאי סף'!H500)</f>
        <v/>
      </c>
      <c r="H500" s="88" t="str">
        <f>IF($F500="","",'הזנה לתנאי סף'!I500)</f>
        <v/>
      </c>
      <c r="I500" s="109"/>
      <c r="J500" s="213" t="str">
        <f>IF($F500="","",'הזנה לתנאי סף'!S500)</f>
        <v/>
      </c>
      <c r="K500" s="109"/>
      <c r="L500" s="213" t="str">
        <f t="shared" si="79"/>
        <v/>
      </c>
      <c r="M500" s="213" t="str">
        <f>IF($F500="","",IF(L500='הזנה לתנאי סף'!R500,1,0))</f>
        <v/>
      </c>
      <c r="N500" s="214" t="str">
        <f t="shared" si="80"/>
        <v/>
      </c>
      <c r="O500" s="214" t="str">
        <f t="shared" si="81"/>
        <v/>
      </c>
      <c r="P500" s="109"/>
      <c r="Q500" s="213" t="str">
        <f>IF($F500="","",IFERROR(IF(P500&gt;0,'פרמטרים לקריטריונים'!$C$25*P500*O500,$AG$2),""))</f>
        <v/>
      </c>
      <c r="R500" s="213" t="str">
        <f>IF($F500="","",IFERROR('פרמטרים לקריטריונים'!$C$26*Q500,""))</f>
        <v/>
      </c>
      <c r="S500" s="214" t="str">
        <f t="shared" si="82"/>
        <v/>
      </c>
      <c r="T500" s="213" t="str">
        <f t="shared" si="83"/>
        <v/>
      </c>
      <c r="U500" s="213" t="str">
        <f>IF($F500="","",'הזנה לתנאי סף'!N500)</f>
        <v/>
      </c>
      <c r="V500" s="213" t="str">
        <f>IF($F500="","",'הזנה לתנאי סף'!O500)</f>
        <v/>
      </c>
      <c r="W500" s="109"/>
      <c r="X500" s="109"/>
      <c r="Y500" s="109"/>
      <c r="Z500" s="214" t="str">
        <f t="shared" si="84"/>
        <v/>
      </c>
      <c r="AA500" s="213" t="str">
        <f>IF(OR($F500="",V500=0),"",IF(V500=1,IF(COUNTBLANK(W500:X500)&gt;0,$AG$2,IF(OR(Z500&lt;='פרמטרים לקריטריונים'!$C$27,X500&gt;W500),"",X500-W500))))</f>
        <v/>
      </c>
      <c r="AB500" s="214" t="str">
        <f t="shared" si="85"/>
        <v/>
      </c>
      <c r="AC500" s="225" t="str">
        <f>IF(OR(AB500="",U500=1),"",IF(OR(COUNTBLANK(W500:Y500)&gt;0,AB500&gt;='פרמטרים לקריטריונים'!$E$54),'פרמטרים לקריטריונים'!$F$54,INDEX('פרמטרים לקריטריונים'!$F$49:$F$54,MATCH(AB500,'פרמטרים לקריטריונים'!$E$49:$E$54,1))))</f>
        <v/>
      </c>
      <c r="AD500" s="213" t="str">
        <f t="shared" si="86"/>
        <v/>
      </c>
      <c r="AE500" s="213" t="str">
        <f t="shared" si="87"/>
        <v/>
      </c>
      <c r="AG500" s="175">
        <f t="shared" si="88"/>
        <v>0</v>
      </c>
    </row>
    <row r="501" spans="1:33" ht="19.5" thickBot="1" x14ac:dyDescent="0.35">
      <c r="A501" s="415" t="s">
        <v>0</v>
      </c>
      <c r="B501" s="416"/>
      <c r="C501" s="416"/>
      <c r="D501" s="416"/>
      <c r="E501" s="416"/>
      <c r="F501" s="416"/>
      <c r="G501" s="416"/>
      <c r="H501" s="416"/>
      <c r="I501" s="221"/>
      <c r="J501" s="221"/>
      <c r="K501" s="221"/>
      <c r="L501" s="221"/>
      <c r="M501" s="222"/>
      <c r="N501" s="221"/>
      <c r="O501" s="221"/>
      <c r="P501" s="221"/>
      <c r="Q501" s="221"/>
      <c r="R501" s="221">
        <f>SUM(R31:R500)</f>
        <v>67475682.60996078</v>
      </c>
      <c r="S501" s="221"/>
      <c r="T501" s="221">
        <f>SUM(T31:T500)</f>
        <v>49999999.999999948</v>
      </c>
      <c r="U501" s="221"/>
      <c r="V501" s="221"/>
      <c r="W501" s="221"/>
      <c r="X501" s="221"/>
      <c r="Y501" s="221"/>
      <c r="Z501" s="221"/>
      <c r="AA501" s="221"/>
      <c r="AB501" s="221"/>
      <c r="AC501" s="221"/>
      <c r="AD501" s="221"/>
      <c r="AE501" s="221">
        <f>SUM(AE31:AE500)</f>
        <v>49837071.789360404</v>
      </c>
    </row>
  </sheetData>
  <sheetProtection password="CCB7" sheet="1" objects="1" scenarios="1" formatColumns="0" formatRows="0" autoFilter="0"/>
  <mergeCells count="24">
    <mergeCell ref="A501:H501"/>
    <mergeCell ref="U29:U30"/>
    <mergeCell ref="V29:V30"/>
    <mergeCell ref="AB29:AB30"/>
    <mergeCell ref="AC29:AC30"/>
    <mergeCell ref="AA29:AA30"/>
    <mergeCell ref="N29:N30"/>
    <mergeCell ref="L29:L30"/>
    <mergeCell ref="O29:O30"/>
    <mergeCell ref="Q29:Q30"/>
    <mergeCell ref="R29:R30"/>
    <mergeCell ref="S29:S30"/>
    <mergeCell ref="T29:T30"/>
    <mergeCell ref="AE29:AE30"/>
    <mergeCell ref="AD29:AD30"/>
    <mergeCell ref="A28:E28"/>
    <mergeCell ref="A1:AE1"/>
    <mergeCell ref="B29:B30"/>
    <mergeCell ref="C29:C30"/>
    <mergeCell ref="D29:D30"/>
    <mergeCell ref="E29:E30"/>
    <mergeCell ref="F29:F30"/>
    <mergeCell ref="G29:G30"/>
    <mergeCell ref="H29:H30"/>
  </mergeCells>
  <conditionalFormatting sqref="A32:A500">
    <cfRule type="containsBlanks" dxfId="508" priority="324">
      <formula>LEN(TRIM(A32))=0</formula>
    </cfRule>
  </conditionalFormatting>
  <conditionalFormatting sqref="G31:H500">
    <cfRule type="containsBlanks" dxfId="507" priority="323">
      <formula>LEN(TRIM(G31))=0</formula>
    </cfRule>
  </conditionalFormatting>
  <conditionalFormatting sqref="G31:H500">
    <cfRule type="containsBlanks" dxfId="506" priority="311">
      <formula>LEN(TRIM(G31))=0</formula>
    </cfRule>
  </conditionalFormatting>
  <conditionalFormatting sqref="G31:H500">
    <cfRule type="containsBlanks" dxfId="505" priority="310">
      <formula>LEN(TRIM(G31))=0</formula>
    </cfRule>
  </conditionalFormatting>
  <conditionalFormatting sqref="F31:F500">
    <cfRule type="containsBlanks" dxfId="504" priority="303">
      <formula>LEN(TRIM(F31))=0</formula>
    </cfRule>
  </conditionalFormatting>
  <conditionalFormatting sqref="F31:F500">
    <cfRule type="containsBlanks" dxfId="503" priority="302">
      <formula>LEN(TRIM(F31))=0</formula>
    </cfRule>
  </conditionalFormatting>
  <conditionalFormatting sqref="F31:F500">
    <cfRule type="containsBlanks" dxfId="502" priority="301">
      <formula>LEN(TRIM(F31))=0</formula>
    </cfRule>
  </conditionalFormatting>
  <conditionalFormatting sqref="B31:E500">
    <cfRule type="containsErrors" dxfId="501" priority="291">
      <formula>ISERROR(B31)</formula>
    </cfRule>
    <cfRule type="containsBlanks" dxfId="500" priority="292">
      <formula>LEN(TRIM(B31))=0</formula>
    </cfRule>
  </conditionalFormatting>
  <conditionalFormatting sqref="B31:E500">
    <cfRule type="containsErrors" dxfId="499" priority="289">
      <formula>ISERROR(B31)</formula>
    </cfRule>
    <cfRule type="containsBlanks" dxfId="498" priority="290">
      <formula>LEN(TRIM(B31))=0</formula>
    </cfRule>
  </conditionalFormatting>
  <conditionalFormatting sqref="A31:A500">
    <cfRule type="containsBlanks" dxfId="497" priority="216">
      <formula>LEN(TRIM(A31))=0</formula>
    </cfRule>
  </conditionalFormatting>
  <conditionalFormatting sqref="F31:F500">
    <cfRule type="containsBlanks" dxfId="496" priority="215">
      <formula>LEN(TRIM(F31))=0</formula>
    </cfRule>
  </conditionalFormatting>
  <conditionalFormatting sqref="F31:F500">
    <cfRule type="containsBlanks" dxfId="495" priority="214">
      <formula>LEN(TRIM(F31))=0</formula>
    </cfRule>
  </conditionalFormatting>
  <conditionalFormatting sqref="F31:F500">
    <cfRule type="containsBlanks" dxfId="494" priority="213">
      <formula>LEN(TRIM(F31))=0</formula>
    </cfRule>
  </conditionalFormatting>
  <conditionalFormatting sqref="B31:E500">
    <cfRule type="containsBlanks" dxfId="493" priority="212">
      <formula>LEN(TRIM(B31))=0</formula>
    </cfRule>
  </conditionalFormatting>
  <conditionalFormatting sqref="B31:E500">
    <cfRule type="containsBlanks" dxfId="492" priority="211">
      <formula>LEN(TRIM(B31))=0</formula>
    </cfRule>
  </conditionalFormatting>
  <conditionalFormatting sqref="B31:E500">
    <cfRule type="containsBlanks" dxfId="491" priority="210">
      <formula>LEN(TRIM(B31))=0</formula>
    </cfRule>
  </conditionalFormatting>
  <conditionalFormatting sqref="I33 I35 I37:I39 I41:I233 K31:K233 I254:I263 K254:K263 I395:I500 K395:K500">
    <cfRule type="expression" dxfId="490" priority="189">
      <formula>$G31&lt;&gt;""</formula>
    </cfRule>
  </conditionalFormatting>
  <conditionalFormatting sqref="L31:L500">
    <cfRule type="containsBlanks" dxfId="489" priority="183">
      <formula>LEN(TRIM(L31))=0</formula>
    </cfRule>
  </conditionalFormatting>
  <conditionalFormatting sqref="L31:L500">
    <cfRule type="containsBlanks" dxfId="488" priority="182">
      <formula>LEN(TRIM(L31))=0</formula>
    </cfRule>
  </conditionalFormatting>
  <conditionalFormatting sqref="L31:L500">
    <cfRule type="containsBlanks" dxfId="487" priority="181">
      <formula>LEN(TRIM(L31))=0</formula>
    </cfRule>
  </conditionalFormatting>
  <conditionalFormatting sqref="M31:M500">
    <cfRule type="containsBlanks" dxfId="486" priority="172">
      <formula>LEN(TRIM(M31))=0</formula>
    </cfRule>
  </conditionalFormatting>
  <conditionalFormatting sqref="M31:M500">
    <cfRule type="containsBlanks" dxfId="485" priority="171">
      <formula>LEN(TRIM(M31))=0</formula>
    </cfRule>
  </conditionalFormatting>
  <conditionalFormatting sqref="M31:M500">
    <cfRule type="containsBlanks" dxfId="484" priority="170">
      <formula>LEN(TRIM(M31))=0</formula>
    </cfRule>
  </conditionalFormatting>
  <conditionalFormatting sqref="Q31:Q500">
    <cfRule type="containsBlanks" dxfId="483" priority="151">
      <formula>LEN(TRIM(Q31))=0</formula>
    </cfRule>
  </conditionalFormatting>
  <conditionalFormatting sqref="R31:R500">
    <cfRule type="containsBlanks" dxfId="482" priority="150">
      <formula>LEN(TRIM(R31))=0</formula>
    </cfRule>
  </conditionalFormatting>
  <conditionalFormatting sqref="R31:R500">
    <cfRule type="containsBlanks" dxfId="481" priority="149">
      <formula>LEN(TRIM(R31))=0</formula>
    </cfRule>
  </conditionalFormatting>
  <conditionalFormatting sqref="N31:N500">
    <cfRule type="containsBlanks" dxfId="480" priority="160">
      <formula>LEN(TRIM(N31))=0</formula>
    </cfRule>
  </conditionalFormatting>
  <conditionalFormatting sqref="N31:N500">
    <cfRule type="containsBlanks" dxfId="479" priority="159">
      <formula>LEN(TRIM(N31))=0</formula>
    </cfRule>
  </conditionalFormatting>
  <conditionalFormatting sqref="N31:N500">
    <cfRule type="containsBlanks" dxfId="478" priority="158">
      <formula>LEN(TRIM(N31))=0</formula>
    </cfRule>
  </conditionalFormatting>
  <conditionalFormatting sqref="O31:O500">
    <cfRule type="containsBlanks" dxfId="477" priority="156">
      <formula>LEN(TRIM(O31))=0</formula>
    </cfRule>
  </conditionalFormatting>
  <conditionalFormatting sqref="O31:O500">
    <cfRule type="containsBlanks" dxfId="476" priority="155">
      <formula>LEN(TRIM(O31))=0</formula>
    </cfRule>
  </conditionalFormatting>
  <conditionalFormatting sqref="O31:O500">
    <cfRule type="containsBlanks" dxfId="475" priority="157">
      <formula>LEN(TRIM(O31))=0</formula>
    </cfRule>
  </conditionalFormatting>
  <conditionalFormatting sqref="P33 P35 P37:P39 P41:P233 P254:P263 P395:P500">
    <cfRule type="expression" dxfId="474" priority="154">
      <formula>$G33&lt;&gt;""</formula>
    </cfRule>
  </conditionalFormatting>
  <conditionalFormatting sqref="Q31:Q500">
    <cfRule type="containsBlanks" dxfId="473" priority="153">
      <formula>LEN(TRIM(Q31))=0</formula>
    </cfRule>
  </conditionalFormatting>
  <conditionalFormatting sqref="Q31:Q500">
    <cfRule type="containsBlanks" dxfId="472" priority="152">
      <formula>LEN(TRIM(Q31))=0</formula>
    </cfRule>
  </conditionalFormatting>
  <conditionalFormatting sqref="R31:R500">
    <cfRule type="containsBlanks" dxfId="471" priority="148">
      <formula>LEN(TRIM(R31))=0</formula>
    </cfRule>
  </conditionalFormatting>
  <conditionalFormatting sqref="S31:S500">
    <cfRule type="containsBlanks" dxfId="470" priority="143">
      <formula>LEN(TRIM(S31))=0</formula>
    </cfRule>
  </conditionalFormatting>
  <conditionalFormatting sqref="S31:S500">
    <cfRule type="containsBlanks" dxfId="469" priority="142">
      <formula>LEN(TRIM(S31))=0</formula>
    </cfRule>
  </conditionalFormatting>
  <conditionalFormatting sqref="S31:S500">
    <cfRule type="containsBlanks" dxfId="468" priority="144">
      <formula>LEN(TRIM(S31))=0</formula>
    </cfRule>
  </conditionalFormatting>
  <conditionalFormatting sqref="T31:U500">
    <cfRule type="containsBlanks" dxfId="467" priority="140">
      <formula>LEN(TRIM(T31))=0</formula>
    </cfRule>
  </conditionalFormatting>
  <conditionalFormatting sqref="T31:U500">
    <cfRule type="containsBlanks" dxfId="466" priority="139">
      <formula>LEN(TRIM(T31))=0</formula>
    </cfRule>
  </conditionalFormatting>
  <conditionalFormatting sqref="T31:U500">
    <cfRule type="containsBlanks" dxfId="465" priority="141">
      <formula>LEN(TRIM(T31))=0</formula>
    </cfRule>
  </conditionalFormatting>
  <conditionalFormatting sqref="V31:V500">
    <cfRule type="containsBlanks" dxfId="464" priority="138">
      <formula>LEN(TRIM(V31))=0</formula>
    </cfRule>
  </conditionalFormatting>
  <conditionalFormatting sqref="V31:V500">
    <cfRule type="containsBlanks" dxfId="463" priority="137">
      <formula>LEN(TRIM(V31))=0</formula>
    </cfRule>
  </conditionalFormatting>
  <conditionalFormatting sqref="V31:V500">
    <cfRule type="containsBlanks" dxfId="462" priority="136">
      <formula>LEN(TRIM(V31))=0</formula>
    </cfRule>
  </conditionalFormatting>
  <conditionalFormatting sqref="AB31:AB500">
    <cfRule type="containsBlanks" dxfId="461" priority="134">
      <formula>LEN(TRIM(AB31))=0</formula>
    </cfRule>
  </conditionalFormatting>
  <conditionalFormatting sqref="AB31:AB500">
    <cfRule type="containsBlanks" dxfId="460" priority="133">
      <formula>LEN(TRIM(AB31))=0</formula>
    </cfRule>
  </conditionalFormatting>
  <conditionalFormatting sqref="AB31:AB500">
    <cfRule type="containsBlanks" dxfId="459" priority="135">
      <formula>LEN(TRIM(AB31))=0</formula>
    </cfRule>
  </conditionalFormatting>
  <conditionalFormatting sqref="W31:X263 W395:X500">
    <cfRule type="expression" dxfId="458" priority="132">
      <formula>$G31&lt;&gt;""</formula>
    </cfRule>
  </conditionalFormatting>
  <conditionalFormatting sqref="AE31:AE500">
    <cfRule type="containsBlanks" dxfId="457" priority="111">
      <formula>LEN(TRIM(AE31))=0</formula>
    </cfRule>
  </conditionalFormatting>
  <conditionalFormatting sqref="AE31:AE500">
    <cfRule type="containsBlanks" dxfId="456" priority="110">
      <formula>LEN(TRIM(AE31))=0</formula>
    </cfRule>
  </conditionalFormatting>
  <conditionalFormatting sqref="AE31:AE500">
    <cfRule type="containsBlanks" dxfId="455" priority="112">
      <formula>LEN(TRIM(AE31))=0</formula>
    </cfRule>
  </conditionalFormatting>
  <conditionalFormatting sqref="AD31:AD500">
    <cfRule type="containsBlanks" dxfId="454" priority="108">
      <formula>LEN(TRIM(AD31))=0</formula>
    </cfRule>
  </conditionalFormatting>
  <conditionalFormatting sqref="AD31:AD500">
    <cfRule type="containsBlanks" dxfId="453" priority="107">
      <formula>LEN(TRIM(AD31))=0</formula>
    </cfRule>
  </conditionalFormatting>
  <conditionalFormatting sqref="AD31:AD500">
    <cfRule type="containsBlanks" dxfId="452" priority="109">
      <formula>LEN(TRIM(AD31))=0</formula>
    </cfRule>
  </conditionalFormatting>
  <conditionalFormatting sqref="AA31:AA500">
    <cfRule type="containsBlanks" dxfId="451" priority="114">
      <formula>LEN(TRIM(AA31))=0</formula>
    </cfRule>
  </conditionalFormatting>
  <conditionalFormatting sqref="AA31:AA500">
    <cfRule type="containsBlanks" dxfId="450" priority="113">
      <formula>LEN(TRIM(AA31))=0</formula>
    </cfRule>
  </conditionalFormatting>
  <conditionalFormatting sqref="AA31:AA500">
    <cfRule type="containsBlanks" dxfId="449" priority="115">
      <formula>LEN(TRIM(AA31))=0</formula>
    </cfRule>
  </conditionalFormatting>
  <conditionalFormatting sqref="W33">
    <cfRule type="expression" priority="105">
      <formula>$V33&lt;&gt;1</formula>
    </cfRule>
  </conditionalFormatting>
  <conditionalFormatting sqref="W33">
    <cfRule type="expression" dxfId="448" priority="104">
      <formula>$V33&lt;&gt;1</formula>
    </cfRule>
  </conditionalFormatting>
  <conditionalFormatting sqref="W32:X263 W395:X500">
    <cfRule type="expression" dxfId="447" priority="103">
      <formula>$V32&lt;&gt;1</formula>
    </cfRule>
  </conditionalFormatting>
  <conditionalFormatting sqref="X31:X36">
    <cfRule type="expression" dxfId="446" priority="102">
      <formula>$V31&lt;&gt;1</formula>
    </cfRule>
  </conditionalFormatting>
  <conditionalFormatting sqref="Z31:Z500">
    <cfRule type="containsBlanks" dxfId="445" priority="100">
      <formula>LEN(TRIM(Z31))=0</formula>
    </cfRule>
  </conditionalFormatting>
  <conditionalFormatting sqref="Z31:Z500">
    <cfRule type="containsBlanks" dxfId="444" priority="99">
      <formula>LEN(TRIM(Z31))=0</formula>
    </cfRule>
  </conditionalFormatting>
  <conditionalFormatting sqref="Z31:Z500">
    <cfRule type="containsBlanks" dxfId="443" priority="101">
      <formula>LEN(TRIM(Z31))=0</formula>
    </cfRule>
  </conditionalFormatting>
  <conditionalFormatting sqref="Y31">
    <cfRule type="expression" dxfId="442" priority="97">
      <formula>$G31&lt;&gt;""</formula>
    </cfRule>
  </conditionalFormatting>
  <conditionalFormatting sqref="Y31">
    <cfRule type="expression" dxfId="441" priority="96">
      <formula>$V31&lt;&gt;1</formula>
    </cfRule>
  </conditionalFormatting>
  <conditionalFormatting sqref="AC31:AC500">
    <cfRule type="containsBlanks" dxfId="440" priority="88">
      <formula>LEN(TRIM(AC31))=0</formula>
    </cfRule>
  </conditionalFormatting>
  <conditionalFormatting sqref="AC31:AC500">
    <cfRule type="containsBlanks" dxfId="439" priority="87">
      <formula>LEN(TRIM(AC31))=0</formula>
    </cfRule>
  </conditionalFormatting>
  <conditionalFormatting sqref="AC31:AC500">
    <cfRule type="containsBlanks" dxfId="438" priority="89">
      <formula>LEN(TRIM(AC31))=0</formula>
    </cfRule>
  </conditionalFormatting>
  <conditionalFormatting sqref="Y32:Y263 Y395:Y500">
    <cfRule type="expression" dxfId="437" priority="75">
      <formula>$G32&lt;&gt;""</formula>
    </cfRule>
  </conditionalFormatting>
  <conditionalFormatting sqref="Y32:Y263 Y395:Y500">
    <cfRule type="expression" dxfId="436" priority="74">
      <formula>$V32&lt;&gt;1</formula>
    </cfRule>
  </conditionalFormatting>
  <conditionalFormatting sqref="Y32:Y263 Y395:Y500">
    <cfRule type="expression" dxfId="435" priority="73">
      <formula>$V32&lt;&gt;1</formula>
    </cfRule>
  </conditionalFormatting>
  <conditionalFormatting sqref="J31:J500">
    <cfRule type="containsBlanks" dxfId="434" priority="70">
      <formula>LEN(TRIM(J31))=0</formula>
    </cfRule>
  </conditionalFormatting>
  <conditionalFormatting sqref="J31:J500">
    <cfRule type="containsBlanks" dxfId="433" priority="69">
      <formula>LEN(TRIM(J31))=0</formula>
    </cfRule>
  </conditionalFormatting>
  <conditionalFormatting sqref="J31:J500">
    <cfRule type="containsBlanks" dxfId="432" priority="68">
      <formula>LEN(TRIM(J31))=0</formula>
    </cfRule>
  </conditionalFormatting>
  <conditionalFormatting sqref="W31:AD263 W395:AD500 Z264:AD394">
    <cfRule type="expression" dxfId="431" priority="67">
      <formula>$AG31=1</formula>
    </cfRule>
  </conditionalFormatting>
  <conditionalFormatting sqref="I31:I32">
    <cfRule type="expression" dxfId="430" priority="66">
      <formula>$G31&lt;&gt;""</formula>
    </cfRule>
  </conditionalFormatting>
  <conditionalFormatting sqref="I34">
    <cfRule type="expression" dxfId="429" priority="65">
      <formula>$G34&lt;&gt;""</formula>
    </cfRule>
  </conditionalFormatting>
  <conditionalFormatting sqref="I36">
    <cfRule type="expression" dxfId="428" priority="64">
      <formula>$G36&lt;&gt;""</formula>
    </cfRule>
  </conditionalFormatting>
  <conditionalFormatting sqref="I40">
    <cfRule type="expression" dxfId="427" priority="63">
      <formula>$G40&lt;&gt;""</formula>
    </cfRule>
  </conditionalFormatting>
  <conditionalFormatting sqref="P31:P32">
    <cfRule type="expression" dxfId="426" priority="62">
      <formula>$G31&lt;&gt;""</formula>
    </cfRule>
  </conditionalFormatting>
  <conditionalFormatting sqref="P34">
    <cfRule type="expression" dxfId="425" priority="61">
      <formula>$G34&lt;&gt;""</formula>
    </cfRule>
  </conditionalFormatting>
  <conditionalFormatting sqref="P36">
    <cfRule type="expression" dxfId="424" priority="60">
      <formula>$G36&lt;&gt;""</formula>
    </cfRule>
  </conditionalFormatting>
  <conditionalFormatting sqref="P40">
    <cfRule type="expression" dxfId="423" priority="59">
      <formula>$G40&lt;&gt;""</formula>
    </cfRule>
  </conditionalFormatting>
  <conditionalFormatting sqref="I234:I253">
    <cfRule type="expression" dxfId="422" priority="58">
      <formula>$G234&lt;&gt;""</formula>
    </cfRule>
  </conditionalFormatting>
  <conditionalFormatting sqref="K234:K253">
    <cfRule type="expression" dxfId="421" priority="57">
      <formula>$G234&lt;&gt;""</formula>
    </cfRule>
  </conditionalFormatting>
  <conditionalFormatting sqref="P234:P253">
    <cfRule type="expression" dxfId="420" priority="56">
      <formula>$G234&lt;&gt;""</formula>
    </cfRule>
  </conditionalFormatting>
  <conditionalFormatting sqref="I264:I370">
    <cfRule type="expression" dxfId="419" priority="55">
      <formula>$G264&lt;&gt;""</formula>
    </cfRule>
  </conditionalFormatting>
  <conditionalFormatting sqref="I371:I394">
    <cfRule type="expression" dxfId="418" priority="54">
      <formula>$G371&lt;&gt;""</formula>
    </cfRule>
  </conditionalFormatting>
  <conditionalFormatting sqref="K264:K370">
    <cfRule type="expression" dxfId="417" priority="53">
      <formula>$G264&lt;&gt;""</formula>
    </cfRule>
  </conditionalFormatting>
  <conditionalFormatting sqref="K371:K394">
    <cfRule type="expression" dxfId="416" priority="52">
      <formula>$G371&lt;&gt;""</formula>
    </cfRule>
  </conditionalFormatting>
  <conditionalFormatting sqref="P264:P370">
    <cfRule type="expression" dxfId="415" priority="51">
      <formula>$G264&lt;&gt;""</formula>
    </cfRule>
  </conditionalFormatting>
  <conditionalFormatting sqref="P371:P394">
    <cfRule type="expression" dxfId="414" priority="50">
      <formula>$G371&lt;&gt;""</formula>
    </cfRule>
  </conditionalFormatting>
  <conditionalFormatting sqref="W264:X370">
    <cfRule type="expression" dxfId="413" priority="49">
      <formula>$G264&lt;&gt;""</formula>
    </cfRule>
  </conditionalFormatting>
  <conditionalFormatting sqref="W266">
    <cfRule type="expression" priority="48">
      <formula>$V266&lt;&gt;1</formula>
    </cfRule>
  </conditionalFormatting>
  <conditionalFormatting sqref="W266">
    <cfRule type="expression" dxfId="412" priority="47">
      <formula>$V266&lt;&gt;1</formula>
    </cfRule>
  </conditionalFormatting>
  <conditionalFormatting sqref="W265:X370">
    <cfRule type="expression" dxfId="411" priority="46">
      <formula>$V265&lt;&gt;1</formula>
    </cfRule>
  </conditionalFormatting>
  <conditionalFormatting sqref="X264:X269">
    <cfRule type="expression" dxfId="410" priority="45">
      <formula>$V264&lt;&gt;1</formula>
    </cfRule>
  </conditionalFormatting>
  <conditionalFormatting sqref="Y264">
    <cfRule type="expression" dxfId="409" priority="44">
      <formula>$G264&lt;&gt;""</formula>
    </cfRule>
  </conditionalFormatting>
  <conditionalFormatting sqref="Y264">
    <cfRule type="expression" dxfId="408" priority="43">
      <formula>$V264&lt;&gt;1</formula>
    </cfRule>
  </conditionalFormatting>
  <conditionalFormatting sqref="Y265:Y281 Y301 Y349:Y350 Y352:Y353 Y355 Y357:Y358 Y360:Y370">
    <cfRule type="expression" dxfId="407" priority="42">
      <formula>$G265&lt;&gt;""</formula>
    </cfRule>
  </conditionalFormatting>
  <conditionalFormatting sqref="Y265:Y281 Y301 Y349:Y350 Y352:Y353 Y355 Y357:Y358 Y360:Y370">
    <cfRule type="expression" dxfId="406" priority="41">
      <formula>$V265&lt;&gt;1</formula>
    </cfRule>
  </conditionalFormatting>
  <conditionalFormatting sqref="Y265:Y281 Y301 Y349:Y350 Y352:Y353 Y355 Y357:Y358 Y360:Y370">
    <cfRule type="expression" dxfId="405" priority="40">
      <formula>$V265&lt;&gt;1</formula>
    </cfRule>
  </conditionalFormatting>
  <conditionalFormatting sqref="W264:Y281 W301:Y301 W282:X300 W349:Y350 W302:X348 W352:Y353 W351:X351 W355:Y355 W354:X354 W357:Y358 W356:X356 W360:Y370 W359:X359">
    <cfRule type="expression" dxfId="404" priority="39">
      <formula>$AG264=1</formula>
    </cfRule>
  </conditionalFormatting>
  <conditionalFormatting sqref="W371:X394">
    <cfRule type="expression" dxfId="403" priority="38">
      <formula>$G371&lt;&gt;""</formula>
    </cfRule>
  </conditionalFormatting>
  <conditionalFormatting sqref="W371:X394">
    <cfRule type="expression" dxfId="402" priority="37">
      <formula>$V371&lt;&gt;1</formula>
    </cfRule>
  </conditionalFormatting>
  <conditionalFormatting sqref="Y371:Y379 Y385 Y391:Y394">
    <cfRule type="expression" dxfId="401" priority="36">
      <formula>$G371&lt;&gt;""</formula>
    </cfRule>
  </conditionalFormatting>
  <conditionalFormatting sqref="Y371:Y379 Y385 Y391:Y394">
    <cfRule type="expression" dxfId="400" priority="35">
      <formula>$V371&lt;&gt;1</formula>
    </cfRule>
  </conditionalFormatting>
  <conditionalFormatting sqref="Y371:Y379 Y385 Y391:Y394">
    <cfRule type="expression" dxfId="399" priority="34">
      <formula>$V371&lt;&gt;1</formula>
    </cfRule>
  </conditionalFormatting>
  <conditionalFormatting sqref="W371:Y379 W385:Y385 W380:X384 W391:Y394 W386:X390">
    <cfRule type="expression" dxfId="398" priority="33">
      <formula>$AG371=1</formula>
    </cfRule>
  </conditionalFormatting>
  <conditionalFormatting sqref="Y282:Y300">
    <cfRule type="expression" dxfId="397" priority="32">
      <formula>$G282&lt;&gt;""</formula>
    </cfRule>
  </conditionalFormatting>
  <conditionalFormatting sqref="Y282:Y300">
    <cfRule type="expression" dxfId="396" priority="31">
      <formula>$V282&lt;&gt;1</formula>
    </cfRule>
  </conditionalFormatting>
  <conditionalFormatting sqref="Y282:Y300">
    <cfRule type="expression" dxfId="395" priority="30">
      <formula>$V282&lt;&gt;1</formula>
    </cfRule>
  </conditionalFormatting>
  <conditionalFormatting sqref="Y282:Y300">
    <cfRule type="expression" dxfId="394" priority="29">
      <formula>$AG282=1</formula>
    </cfRule>
  </conditionalFormatting>
  <conditionalFormatting sqref="Y302:Y348">
    <cfRule type="expression" dxfId="393" priority="28">
      <formula>$G302&lt;&gt;""</formula>
    </cfRule>
  </conditionalFormatting>
  <conditionalFormatting sqref="Y302:Y348">
    <cfRule type="expression" dxfId="392" priority="27">
      <formula>$V302&lt;&gt;1</formula>
    </cfRule>
  </conditionalFormatting>
  <conditionalFormatting sqref="Y302:Y348">
    <cfRule type="expression" dxfId="391" priority="26">
      <formula>$V302&lt;&gt;1</formula>
    </cfRule>
  </conditionalFormatting>
  <conditionalFormatting sqref="Y302:Y348">
    <cfRule type="expression" dxfId="390" priority="25">
      <formula>$AG302=1</formula>
    </cfRule>
  </conditionalFormatting>
  <conditionalFormatting sqref="Y351">
    <cfRule type="expression" dxfId="389" priority="24">
      <formula>$G351&lt;&gt;""</formula>
    </cfRule>
  </conditionalFormatting>
  <conditionalFormatting sqref="Y351">
    <cfRule type="expression" dxfId="388" priority="23">
      <formula>$V351&lt;&gt;1</formula>
    </cfRule>
  </conditionalFormatting>
  <conditionalFormatting sqref="Y351">
    <cfRule type="expression" dxfId="387" priority="22">
      <formula>$V351&lt;&gt;1</formula>
    </cfRule>
  </conditionalFormatting>
  <conditionalFormatting sqref="Y351">
    <cfRule type="expression" dxfId="386" priority="21">
      <formula>$AG351=1</formula>
    </cfRule>
  </conditionalFormatting>
  <conditionalFormatting sqref="Y354">
    <cfRule type="expression" dxfId="385" priority="20">
      <formula>$G354&lt;&gt;""</formula>
    </cfRule>
  </conditionalFormatting>
  <conditionalFormatting sqref="Y354">
    <cfRule type="expression" dxfId="384" priority="19">
      <formula>$V354&lt;&gt;1</formula>
    </cfRule>
  </conditionalFormatting>
  <conditionalFormatting sqref="Y354">
    <cfRule type="expression" dxfId="383" priority="18">
      <formula>$V354&lt;&gt;1</formula>
    </cfRule>
  </conditionalFormatting>
  <conditionalFormatting sqref="Y354">
    <cfRule type="expression" dxfId="382" priority="17">
      <formula>$AG354=1</formula>
    </cfRule>
  </conditionalFormatting>
  <conditionalFormatting sqref="Y356">
    <cfRule type="expression" dxfId="381" priority="16">
      <formula>$G356&lt;&gt;""</formula>
    </cfRule>
  </conditionalFormatting>
  <conditionalFormatting sqref="Y356">
    <cfRule type="expression" dxfId="380" priority="15">
      <formula>$V356&lt;&gt;1</formula>
    </cfRule>
  </conditionalFormatting>
  <conditionalFormatting sqref="Y356">
    <cfRule type="expression" dxfId="379" priority="14">
      <formula>$V356&lt;&gt;1</formula>
    </cfRule>
  </conditionalFormatting>
  <conditionalFormatting sqref="Y356">
    <cfRule type="expression" dxfId="378" priority="13">
      <formula>$AG356=1</formula>
    </cfRule>
  </conditionalFormatting>
  <conditionalFormatting sqref="Y359">
    <cfRule type="expression" dxfId="377" priority="12">
      <formula>$G359&lt;&gt;""</formula>
    </cfRule>
  </conditionalFormatting>
  <conditionalFormatting sqref="Y359">
    <cfRule type="expression" dxfId="376" priority="11">
      <formula>$V359&lt;&gt;1</formula>
    </cfRule>
  </conditionalFormatting>
  <conditionalFormatting sqref="Y359">
    <cfRule type="expression" dxfId="375" priority="10">
      <formula>$V359&lt;&gt;1</formula>
    </cfRule>
  </conditionalFormatting>
  <conditionalFormatting sqref="Y359">
    <cfRule type="expression" dxfId="374" priority="9">
      <formula>$AG359=1</formula>
    </cfRule>
  </conditionalFormatting>
  <conditionalFormatting sqref="Y380:Y384">
    <cfRule type="expression" dxfId="373" priority="8">
      <formula>$G380&lt;&gt;""</formula>
    </cfRule>
  </conditionalFormatting>
  <conditionalFormatting sqref="Y380:Y384">
    <cfRule type="expression" dxfId="372" priority="7">
      <formula>$V380&lt;&gt;1</formula>
    </cfRule>
  </conditionalFormatting>
  <conditionalFormatting sqref="Y380:Y384">
    <cfRule type="expression" dxfId="371" priority="6">
      <formula>$V380&lt;&gt;1</formula>
    </cfRule>
  </conditionalFormatting>
  <conditionalFormatting sqref="Y380:Y384">
    <cfRule type="expression" dxfId="370" priority="5">
      <formula>$AG380=1</formula>
    </cfRule>
  </conditionalFormatting>
  <conditionalFormatting sqref="Y386:Y390">
    <cfRule type="expression" dxfId="369" priority="4">
      <formula>$G386&lt;&gt;""</formula>
    </cfRule>
  </conditionalFormatting>
  <conditionalFormatting sqref="Y386:Y390">
    <cfRule type="expression" dxfId="368" priority="3">
      <formula>$V386&lt;&gt;1</formula>
    </cfRule>
  </conditionalFormatting>
  <conditionalFormatting sqref="Y386:Y390">
    <cfRule type="expression" dxfId="367" priority="2">
      <formula>$V386&lt;&gt;1</formula>
    </cfRule>
  </conditionalFormatting>
  <conditionalFormatting sqref="Y386:Y390">
    <cfRule type="expression" dxfId="366" priority="1">
      <formula>$AG386=1</formula>
    </cfRule>
  </conditionalFormatting>
  <dataValidations count="1">
    <dataValidation type="decimal" operator="greaterThanOrEqual" allowBlank="1" showInputMessage="1" showErrorMessage="1" sqref="Y31:Y500 I31:M500 P31:P500">
      <formula1>0</formula1>
    </dataValidation>
  </dataValidations>
  <pageMargins left="0.7" right="0.7" top="0.75" bottom="0.75" header="0.3" footer="0.3"/>
  <pageSetup paperSize="9" scale="33" orientation="portrait" r:id="rId1"/>
  <colBreaks count="2" manualBreakCount="2">
    <brk id="15" max="330" man="1"/>
    <brk id="31"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
    <tabColor rgb="FFFFFFCC"/>
  </sheetPr>
  <dimension ref="A1:AM501"/>
  <sheetViews>
    <sheetView rightToLeft="1" view="pageBreakPreview" zoomScale="70" zoomScaleNormal="85" zoomScaleSheetLayoutView="70" workbookViewId="0">
      <pane xSplit="7" ySplit="30" topLeftCell="AA229" activePane="bottomRight" state="frozen"/>
      <selection activeCell="F27" sqref="F27"/>
      <selection pane="topRight" activeCell="F27" sqref="F27"/>
      <selection pane="bottomLeft" activeCell="F27" sqref="F27"/>
      <selection pane="bottomRight" activeCell="B5" sqref="B5"/>
    </sheetView>
  </sheetViews>
  <sheetFormatPr defaultColWidth="9" defaultRowHeight="14.25" x14ac:dyDescent="0.2"/>
  <cols>
    <col min="1" max="1" width="6.75" style="175" customWidth="1"/>
    <col min="2" max="4" width="13.125" style="175" customWidth="1"/>
    <col min="5" max="5" width="23.375" style="175" customWidth="1"/>
    <col min="6" max="6" width="13.375" style="175" customWidth="1"/>
    <col min="7" max="7" width="16.75" style="175" customWidth="1"/>
    <col min="8" max="8" width="18.375" style="175" customWidth="1"/>
    <col min="9" max="9" width="15.75" style="175" customWidth="1"/>
    <col min="10" max="10" width="11.625" style="175" customWidth="1"/>
    <col min="11" max="12" width="15.875" style="175" customWidth="1"/>
    <col min="13" max="13" width="12.5" style="175" customWidth="1"/>
    <col min="14" max="14" width="17.875" style="175" customWidth="1"/>
    <col min="15" max="15" width="18.375" style="175" customWidth="1"/>
    <col min="16" max="17" width="12.5" style="175" customWidth="1"/>
    <col min="18" max="19" width="14.625" style="175" customWidth="1"/>
    <col min="20" max="21" width="15.25" style="175" customWidth="1"/>
    <col min="22" max="29" width="14.625" style="175" customWidth="1"/>
    <col min="30" max="30" width="12.5" style="175" customWidth="1"/>
    <col min="31" max="31" width="14.625" style="175" customWidth="1"/>
    <col min="32" max="32" width="12.5" style="175" customWidth="1"/>
    <col min="33" max="35" width="9" style="175" hidden="1" customWidth="1"/>
    <col min="36" max="37" width="9" style="175" customWidth="1"/>
    <col min="38" max="16384" width="9" style="175"/>
  </cols>
  <sheetData>
    <row r="1" spans="1:34" ht="19.5" thickBot="1" x14ac:dyDescent="0.25">
      <c r="A1" s="411" t="str">
        <f ca="1">MID(CELL("filename",AI2),FIND("]",CELL("filename",AI2),1)+1,99)</f>
        <v>תחום תמיכה ב</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228"/>
      <c r="AE1" s="228"/>
      <c r="AF1" s="228"/>
    </row>
    <row r="2" spans="1:34" ht="15" thickBot="1" x14ac:dyDescent="0.25">
      <c r="AH2" s="175" t="s">
        <v>317</v>
      </c>
    </row>
    <row r="3" spans="1:34" ht="15.75" x14ac:dyDescent="0.2">
      <c r="E3" s="218" t="str">
        <f>'פרמטרים לקריטריונים'!$B$4</f>
        <v>שנת תקציב</v>
      </c>
      <c r="F3" s="216">
        <f>'פרמטרים לקריטריונים'!$C$4</f>
        <v>2020</v>
      </c>
    </row>
    <row r="4" spans="1:34" ht="18" thickBot="1" x14ac:dyDescent="0.3">
      <c r="E4" s="219" t="str">
        <f>'פרמטרים לקריטריונים'!$B$6</f>
        <v>תקציב תמיכה תחום ב'</v>
      </c>
      <c r="F4" s="217">
        <f>'פרמטרים לקריטריונים'!$C$6</f>
        <v>100000000</v>
      </c>
      <c r="H4" s="255" t="s">
        <v>495</v>
      </c>
    </row>
    <row r="5" spans="1:34" ht="32.25" thickBot="1" x14ac:dyDescent="0.25">
      <c r="E5" s="219" t="s">
        <v>446</v>
      </c>
      <c r="F5" s="217">
        <f>'תחום תמיכה ג'!F4-'תחום תמיכה ג'!O501</f>
        <v>2991938.9999999963</v>
      </c>
    </row>
    <row r="6" spans="1:34" hidden="1" x14ac:dyDescent="0.2"/>
    <row r="7" spans="1:34" hidden="1" x14ac:dyDescent="0.2"/>
    <row r="8" spans="1:34" hidden="1" x14ac:dyDescent="0.2"/>
    <row r="9" spans="1:34" hidden="1" x14ac:dyDescent="0.2"/>
    <row r="10" spans="1:34" hidden="1" x14ac:dyDescent="0.2"/>
    <row r="11" spans="1:34" hidden="1" x14ac:dyDescent="0.2"/>
    <row r="12" spans="1:34" hidden="1" x14ac:dyDescent="0.2"/>
    <row r="13" spans="1:34" hidden="1" x14ac:dyDescent="0.2"/>
    <row r="14" spans="1:34" hidden="1" x14ac:dyDescent="0.2"/>
    <row r="15" spans="1:34" hidden="1" x14ac:dyDescent="0.2"/>
    <row r="16" spans="1:34" hidden="1" x14ac:dyDescent="0.2"/>
    <row r="17" spans="1:39" hidden="1" x14ac:dyDescent="0.2"/>
    <row r="18" spans="1:39" hidden="1" x14ac:dyDescent="0.2"/>
    <row r="19" spans="1:39" hidden="1" x14ac:dyDescent="0.2"/>
    <row r="20" spans="1:39" hidden="1" x14ac:dyDescent="0.2"/>
    <row r="21" spans="1:39" hidden="1" x14ac:dyDescent="0.2"/>
    <row r="22" spans="1:39" hidden="1" x14ac:dyDescent="0.2"/>
    <row r="23" spans="1:39" hidden="1" x14ac:dyDescent="0.2"/>
    <row r="24" spans="1:39" hidden="1" x14ac:dyDescent="0.2"/>
    <row r="25" spans="1:39" hidden="1" x14ac:dyDescent="0.2"/>
    <row r="26" spans="1:39" s="280" customFormat="1" ht="12.75" x14ac:dyDescent="0.2">
      <c r="A26" s="279"/>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row>
    <row r="27" spans="1:39" s="280" customFormat="1" ht="13.5" thickBot="1" x14ac:dyDescent="0.25">
      <c r="A27" s="279"/>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row>
    <row r="28" spans="1:39" ht="15.75" thickBot="1" x14ac:dyDescent="0.3">
      <c r="A28" s="404" t="s">
        <v>496</v>
      </c>
      <c r="B28" s="405"/>
      <c r="C28" s="405"/>
      <c r="D28" s="405"/>
      <c r="E28" s="406"/>
      <c r="F28" s="3"/>
      <c r="G28" s="3"/>
      <c r="H28" s="3"/>
      <c r="I28" s="3" t="s">
        <v>480</v>
      </c>
      <c r="J28" s="3" t="s">
        <v>480</v>
      </c>
      <c r="K28" s="3" t="s">
        <v>480</v>
      </c>
      <c r="L28" s="3" t="s">
        <v>480</v>
      </c>
      <c r="M28" s="3" t="s">
        <v>480</v>
      </c>
      <c r="N28" s="3" t="s">
        <v>480</v>
      </c>
      <c r="O28" s="3" t="s">
        <v>481</v>
      </c>
      <c r="P28" s="3" t="s">
        <v>482</v>
      </c>
      <c r="Q28" s="3" t="s">
        <v>483</v>
      </c>
      <c r="R28" s="3" t="s">
        <v>484</v>
      </c>
      <c r="S28" s="3" t="s">
        <v>370</v>
      </c>
      <c r="T28" s="3" t="s">
        <v>370</v>
      </c>
      <c r="U28" s="3" t="s">
        <v>370</v>
      </c>
      <c r="V28" s="3" t="s">
        <v>370</v>
      </c>
      <c r="W28" s="3" t="s">
        <v>370</v>
      </c>
      <c r="X28" s="3" t="s">
        <v>370</v>
      </c>
      <c r="Y28" s="3" t="s">
        <v>370</v>
      </c>
      <c r="Z28" s="3" t="s">
        <v>370</v>
      </c>
      <c r="AA28" s="3" t="s">
        <v>370</v>
      </c>
      <c r="AB28" s="3" t="s">
        <v>370</v>
      </c>
      <c r="AC28" s="3" t="s">
        <v>370</v>
      </c>
      <c r="AD28" s="3"/>
      <c r="AE28" s="3" t="s">
        <v>486</v>
      </c>
      <c r="AF28" s="3"/>
    </row>
    <row r="29" spans="1:39" s="105" customFormat="1" ht="105.75" thickBot="1" x14ac:dyDescent="0.25">
      <c r="A29" s="19" t="s">
        <v>1</v>
      </c>
      <c r="B29" s="407" t="s">
        <v>512</v>
      </c>
      <c r="C29" s="407" t="s">
        <v>513</v>
      </c>
      <c r="D29" s="407" t="s">
        <v>515</v>
      </c>
      <c r="E29" s="413" t="s">
        <v>520</v>
      </c>
      <c r="F29" s="413" t="s">
        <v>256</v>
      </c>
      <c r="G29" s="413" t="s">
        <v>358</v>
      </c>
      <c r="H29" s="413" t="s">
        <v>372</v>
      </c>
      <c r="I29" s="20" t="s">
        <v>487</v>
      </c>
      <c r="J29" s="20" t="s">
        <v>424</v>
      </c>
      <c r="K29" s="20" t="s">
        <v>397</v>
      </c>
      <c r="L29" s="407" t="s">
        <v>399</v>
      </c>
      <c r="M29" s="407" t="s">
        <v>422</v>
      </c>
      <c r="N29" s="407" t="s">
        <v>425</v>
      </c>
      <c r="O29" s="407" t="s">
        <v>426</v>
      </c>
      <c r="P29" s="407" t="s">
        <v>427</v>
      </c>
      <c r="Q29" s="407" t="s">
        <v>430</v>
      </c>
      <c r="R29" s="407" t="s">
        <v>428</v>
      </c>
      <c r="S29" s="407" t="s">
        <v>412</v>
      </c>
      <c r="T29" s="407" t="s">
        <v>413</v>
      </c>
      <c r="U29" s="212" t="s">
        <v>415</v>
      </c>
      <c r="V29" s="212" t="s">
        <v>414</v>
      </c>
      <c r="W29" s="20" t="s">
        <v>454</v>
      </c>
      <c r="X29" s="409" t="s">
        <v>453</v>
      </c>
      <c r="Y29" s="409" t="s">
        <v>419</v>
      </c>
      <c r="Z29" s="407" t="s">
        <v>418</v>
      </c>
      <c r="AA29" s="409" t="s">
        <v>457</v>
      </c>
      <c r="AB29" s="409" t="s">
        <v>503</v>
      </c>
      <c r="AC29" s="407" t="s">
        <v>504</v>
      </c>
      <c r="AD29" s="407" t="s">
        <v>505</v>
      </c>
      <c r="AE29" s="407" t="s">
        <v>445</v>
      </c>
      <c r="AF29" s="407" t="s">
        <v>485</v>
      </c>
      <c r="AM29" s="106"/>
    </row>
    <row r="30" spans="1:39" ht="15.75" thickBot="1" x14ac:dyDescent="0.3">
      <c r="A30" s="5"/>
      <c r="B30" s="408"/>
      <c r="C30" s="408"/>
      <c r="D30" s="408"/>
      <c r="E30" s="414"/>
      <c r="F30" s="414"/>
      <c r="G30" s="414"/>
      <c r="H30" s="414"/>
      <c r="I30" s="8" t="s">
        <v>261</v>
      </c>
      <c r="J30" s="8" t="s">
        <v>261</v>
      </c>
      <c r="K30" s="8" t="s">
        <v>261</v>
      </c>
      <c r="L30" s="408"/>
      <c r="M30" s="408"/>
      <c r="N30" s="408"/>
      <c r="O30" s="408"/>
      <c r="P30" s="408"/>
      <c r="Q30" s="408"/>
      <c r="R30" s="408"/>
      <c r="S30" s="408"/>
      <c r="T30" s="408"/>
      <c r="U30" s="8" t="s">
        <v>261</v>
      </c>
      <c r="V30" s="8" t="s">
        <v>261</v>
      </c>
      <c r="W30" s="8" t="s">
        <v>261</v>
      </c>
      <c r="X30" s="410"/>
      <c r="Y30" s="410"/>
      <c r="Z30" s="408"/>
      <c r="AA30" s="410"/>
      <c r="AB30" s="410"/>
      <c r="AC30" s="408"/>
      <c r="AD30" s="408"/>
      <c r="AE30" s="408"/>
      <c r="AF30" s="408"/>
    </row>
    <row r="31" spans="1:39" ht="15.75" x14ac:dyDescent="0.2">
      <c r="A31" s="206">
        <f>IF(F31="","",ROW()-30)</f>
        <v>1</v>
      </c>
      <c r="B31" s="88">
        <f>IF($F31="","",'הזנה לתנאי סף'!C31)</f>
        <v>1001346678</v>
      </c>
      <c r="C31" s="88">
        <f>IF($F31="","",'הזנה לתנאי סף'!D31)</f>
        <v>1001268955</v>
      </c>
      <c r="D31" s="88">
        <f>IF($F31="","",'הזנה לתנאי סף'!E31)</f>
        <v>40000100</v>
      </c>
      <c r="E31" s="88">
        <f>IF($F31="","",'הזנה לתנאי סף'!F31)</f>
        <v>20000159</v>
      </c>
      <c r="F31" s="88" t="str">
        <f>IF(OR('הזנה לתנאי סף'!G31="",'הזנה לתנאי סף'!BL31&lt;&gt;1,'הזנה לתנאי סף'!Q31&lt;&gt;1),"",'הזנה לתנאי סף'!G31)</f>
        <v>ירושלים</v>
      </c>
      <c r="G31" s="88" t="str">
        <f>IF($F31="","",'הזנה לתנאי סף'!H31)</f>
        <v>בית עגנון בירושלים</v>
      </c>
      <c r="H31" s="88" t="str">
        <f>IF($F31="","",'הזנה לתנאי סף'!I31)</f>
        <v>מרכזי פרינג'</v>
      </c>
      <c r="I31" s="213">
        <f>IF($F31="","",'תחום תמיכה א'!$I31)</f>
        <v>1107990</v>
      </c>
      <c r="J31" s="213">
        <f>IF($F31="","",'תחום תמיכה א'!$J31)</f>
        <v>1606271</v>
      </c>
      <c r="K31" s="213">
        <f>IF($F31="","",'תחום תמיכה א'!$K31)</f>
        <v>0</v>
      </c>
      <c r="L31" s="213">
        <f t="shared" ref="L31:L94" si="0">IF($F31="","",SUM(I31:K31))</f>
        <v>2714261</v>
      </c>
      <c r="M31" s="214">
        <f t="shared" ref="M31:M94" si="1">IF($F31="","",IFERROR(I31/L31,$AH$2))</f>
        <v>0.40821055896982639</v>
      </c>
      <c r="N31" s="214">
        <f t="shared" ref="N31:N32" si="2">IF($F31="","",IFERROR((1-M31),""))</f>
        <v>0.59178944103017361</v>
      </c>
      <c r="O31" s="213">
        <f t="shared" ref="O31:O94" si="3">IF($F31="","",IFERROR((N31*J31),""))</f>
        <v>950574.21723297797</v>
      </c>
      <c r="P31" s="213">
        <f>IF($F31="","",'פרמטרים לקריטריונים'!$C$59*O31)</f>
        <v>285172.26516989339</v>
      </c>
      <c r="Q31" s="214">
        <f t="shared" ref="Q31:Q94" si="4">IF($F31="","",IFERROR(P31/$P$501,""))</f>
        <v>1.6201464057179153E-3</v>
      </c>
      <c r="R31" s="213">
        <f t="shared" ref="R31:R32" si="5">IF($F31="","",IFERROR(Q31*$F$4,""))</f>
        <v>162014.64057179153</v>
      </c>
      <c r="S31" s="213">
        <f>IF($F31="","",'הזנה לתנאי סף'!N31)</f>
        <v>1</v>
      </c>
      <c r="T31" s="213">
        <f>IF($F31="","",'הזנה לתנאי סף'!O31)</f>
        <v>1</v>
      </c>
      <c r="U31" s="213">
        <f>IF($F31="","",'תחום תמיכה א'!W31)</f>
        <v>0</v>
      </c>
      <c r="V31" s="213">
        <f>IF($F31="","",'תחום תמיכה א'!X31)</f>
        <v>0</v>
      </c>
      <c r="W31" s="213">
        <f>IF($F31="","",'תחום תמיכה א'!Y31)</f>
        <v>0</v>
      </c>
      <c r="X31" s="231" t="str">
        <f>IF($F31="","",'תחום תמיכה א'!Z31)</f>
        <v>בדוק נתוני הזנה</v>
      </c>
      <c r="Y31" s="213" t="str">
        <f>IF($F31="","",'תחום תמיכה א'!AA31)</f>
        <v>בדוק נתוני הזנה</v>
      </c>
      <c r="Z31" s="214" t="str">
        <f>IF($F31="","",'תחום תמיכה א'!AB31)</f>
        <v>בדוק נתוני הזנה</v>
      </c>
      <c r="AA31" s="225" t="str">
        <f>IF($F31="","",'תחום תמיכה א'!AC31)</f>
        <v/>
      </c>
      <c r="AB31" s="213" t="str">
        <f t="shared" ref="AB31:AB94" si="6">IF(OR($F31="",AA31=""),"",IF(COUNTBLANK(U31:V31)&gt;0,-R31,IF(-AA31*Y31&gt;R31,-R31,AA31*Y31)))</f>
        <v/>
      </c>
      <c r="AC31" s="213">
        <f t="shared" ref="AC31:AC94" si="7">IF($F31="","",IF(AB31&lt;&gt;"",R31+AB31,R31))</f>
        <v>162014.64057179153</v>
      </c>
      <c r="AD31" s="214">
        <f t="shared" ref="AD31:AD94" si="8">IF($F31="","",IFERROR(AC31/$AC$501,""))</f>
        <v>1.6237020414979751E-3</v>
      </c>
      <c r="AE31" s="213">
        <f>IFERROR(AD31*$F$5+AC31,"")</f>
        <v>166872.65803412895</v>
      </c>
      <c r="AF31" s="214">
        <f t="shared" ref="AF31:AF94" si="9">IF($F31="","",IFERROR(AE31/$AE$501,""))</f>
        <v>1.6237020414979755E-3</v>
      </c>
    </row>
    <row r="32" spans="1:39" ht="15.75" x14ac:dyDescent="0.2">
      <c r="A32" s="206">
        <f t="shared" ref="A32:A95" si="10">IF(F32="","",ROW()-30)</f>
        <v>2</v>
      </c>
      <c r="B32" s="88">
        <f>IF($F32="","",'הזנה לתנאי סף'!C32)</f>
        <v>1001349309</v>
      </c>
      <c r="C32" s="88">
        <f>IF($F32="","",'הזנה לתנאי סף'!D32)</f>
        <v>1001263928</v>
      </c>
      <c r="D32" s="88">
        <f>IF($F32="","",'הזנה לתנאי סף'!E32)</f>
        <v>40000096</v>
      </c>
      <c r="E32" s="88">
        <f>IF($F32="","",'הזנה לתנאי סף'!F32)</f>
        <v>20000254</v>
      </c>
      <c r="F32" s="88" t="str">
        <f>IF(OR('הזנה לתנאי סף'!G32="",'הזנה לתנאי סף'!BL32&lt;&gt;1,'הזנה לתנאי סף'!Q32&lt;&gt;1),"",'הזנה לתנאי סף'!G32)</f>
        <v>באר שבע</v>
      </c>
      <c r="G32" s="88" t="str">
        <f>IF($F32="","",'הזנה לתנאי סף'!H32)</f>
        <v>עמותת הסינפונייטה הישראלית באר שבע</v>
      </c>
      <c r="H32" s="88" t="str">
        <f>IF($F32="","",'הזנה לתנאי סף'!I32)</f>
        <v>מוסיקה-גופים כליים</v>
      </c>
      <c r="I32" s="213">
        <f>IF($F32="","",'תחום תמיכה א'!$I32)</f>
        <v>9095979</v>
      </c>
      <c r="J32" s="213">
        <f>IF($F32="","",'תחום תמיכה א'!$J32)</f>
        <v>3053190</v>
      </c>
      <c r="K32" s="213">
        <f>IF($F32="","",'תחום תמיכה א'!$K32)</f>
        <v>0</v>
      </c>
      <c r="L32" s="213">
        <f t="shared" si="0"/>
        <v>12149169</v>
      </c>
      <c r="M32" s="214">
        <f t="shared" si="1"/>
        <v>0.74869145371177237</v>
      </c>
      <c r="N32" s="214">
        <f t="shared" si="2"/>
        <v>0.25130854628822763</v>
      </c>
      <c r="O32" s="213">
        <f t="shared" si="3"/>
        <v>767292.74044175376</v>
      </c>
      <c r="P32" s="213">
        <f>IF($F32="","",'פרמטרים לקריטריונים'!$C$59*O32)</f>
        <v>230187.82213252611</v>
      </c>
      <c r="Q32" s="214">
        <f t="shared" si="4"/>
        <v>1.307763826352E-3</v>
      </c>
      <c r="R32" s="213">
        <f t="shared" si="5"/>
        <v>130776.3826352</v>
      </c>
      <c r="S32" s="213">
        <f>IF($F32="","",'הזנה לתנאי סף'!N32)</f>
        <v>1</v>
      </c>
      <c r="T32" s="213">
        <f>IF($F32="","",'הזנה לתנאי סף'!O32)</f>
        <v>1</v>
      </c>
      <c r="U32" s="213">
        <f>IF($F32="","",'תחום תמיכה א'!W32)</f>
        <v>0</v>
      </c>
      <c r="V32" s="213">
        <f>IF($F32="","",'תחום תמיכה א'!X32)</f>
        <v>0</v>
      </c>
      <c r="W32" s="213">
        <f>IF($F32="","",'תחום תמיכה א'!Y32)</f>
        <v>0</v>
      </c>
      <c r="X32" s="231" t="str">
        <f>IF($F32="","",'תחום תמיכה א'!Z32)</f>
        <v>בדוק נתוני הזנה</v>
      </c>
      <c r="Y32" s="213" t="str">
        <f>IF($F32="","",'תחום תמיכה א'!AA32)</f>
        <v>בדוק נתוני הזנה</v>
      </c>
      <c r="Z32" s="214">
        <f>IF($F32="","",'תחום תמיכה א'!AB32)</f>
        <v>0</v>
      </c>
      <c r="AA32" s="225" t="str">
        <f>IF($F32="","",'תחום תמיכה א'!AC32)</f>
        <v/>
      </c>
      <c r="AB32" s="213" t="str">
        <f t="shared" si="6"/>
        <v/>
      </c>
      <c r="AC32" s="213">
        <f t="shared" si="7"/>
        <v>130776.3826352</v>
      </c>
      <c r="AD32" s="214">
        <f t="shared" si="8"/>
        <v>1.3106338952769035E-3</v>
      </c>
      <c r="AE32" s="213">
        <f t="shared" ref="AE32:AE95" si="11">IFERROR(AD32*$F$5+AC32,"")</f>
        <v>134697.71930120088</v>
      </c>
      <c r="AF32" s="214">
        <f t="shared" si="9"/>
        <v>1.3106338952769037E-3</v>
      </c>
    </row>
    <row r="33" spans="1:32" ht="15.75" x14ac:dyDescent="0.2">
      <c r="A33" s="206">
        <f t="shared" si="10"/>
        <v>3</v>
      </c>
      <c r="B33" s="88">
        <f>IF($F33="","",'הזנה לתנאי סף'!C33)</f>
        <v>1001347990</v>
      </c>
      <c r="C33" s="88">
        <f>IF($F33="","",'הזנה לתנאי סף'!D33)</f>
        <v>1001263876</v>
      </c>
      <c r="D33" s="88">
        <f>IF($F33="","",'הזנה לתנאי סף'!E33)</f>
        <v>40000104</v>
      </c>
      <c r="E33" s="88">
        <f>IF($F33="","",'הזנה לתנאי סף'!F33)</f>
        <v>20000250</v>
      </c>
      <c r="F33" s="88" t="str">
        <f>IF(OR('הזנה לתנאי סף'!G33="",'הזנה לתנאי סף'!BL33&lt;&gt;1,'הזנה לתנאי סף'!Q33&lt;&gt;1),"",'הזנה לתנאי סף'!G33)</f>
        <v>רמת גן</v>
      </c>
      <c r="G33" s="88" t="str">
        <f>IF($F33="","",'הזנה לתנאי סף'!H33)</f>
        <v>בית צבי ביה"ס לאומנויות הבמה</v>
      </c>
      <c r="H33" s="88" t="str">
        <f>IF($F33="","",'הזנה לתנאי סף'!I33)</f>
        <v>בתי ספר למשחק</v>
      </c>
      <c r="I33" s="213">
        <f>IF($F33="","",'תחום תמיכה א'!$I33)</f>
        <v>4050342</v>
      </c>
      <c r="J33" s="213">
        <f>IF($F33="","",'תחום תמיכה א'!$J33)</f>
        <v>5548395</v>
      </c>
      <c r="K33" s="213">
        <f>IF($F33="","",'תחום תמיכה א'!$K33)</f>
        <v>0</v>
      </c>
      <c r="L33" s="213">
        <f t="shared" si="0"/>
        <v>9598737</v>
      </c>
      <c r="M33" s="214">
        <f t="shared" si="1"/>
        <v>0.42196613992028326</v>
      </c>
      <c r="N33" s="214">
        <f>IF($F33="","",IFERROR((1-M33),""))</f>
        <v>0.5780338600797168</v>
      </c>
      <c r="O33" s="213">
        <f t="shared" si="3"/>
        <v>3207160.1790970005</v>
      </c>
      <c r="P33" s="213">
        <f>IF($F33="","",'פרמטרים לקריטריונים'!$C$59*O33)</f>
        <v>962148.05372910015</v>
      </c>
      <c r="Q33" s="214">
        <f t="shared" si="4"/>
        <v>5.4662423433394225E-3</v>
      </c>
      <c r="R33" s="213">
        <f>IF($F33="","",IFERROR(Q33*$F$4,""))</f>
        <v>546624.2343339423</v>
      </c>
      <c r="S33" s="213">
        <f>IF($F33="","",'הזנה לתנאי סף'!N33)</f>
        <v>0</v>
      </c>
      <c r="T33" s="213">
        <f>IF($F33="","",'הזנה לתנאי סף'!O33)</f>
        <v>1</v>
      </c>
      <c r="U33" s="213">
        <f>IF($F33="","",'תחום תמיכה א'!W33)</f>
        <v>0</v>
      </c>
      <c r="V33" s="213">
        <f>IF($F33="","",'תחום תמיכה א'!X33)</f>
        <v>0</v>
      </c>
      <c r="W33" s="213">
        <f>IF($F33="","",'תחום תמיכה א'!Y33)</f>
        <v>1</v>
      </c>
      <c r="X33" s="231">
        <f>IF($F33="","",'תחום תמיכה א'!Z33)</f>
        <v>0</v>
      </c>
      <c r="Y33" s="213" t="str">
        <f>IF($F33="","",'תחום תמיכה א'!AA33)</f>
        <v/>
      </c>
      <c r="Z33" s="214" t="str">
        <f>IF($F33="","",'תחום תמיכה א'!AB33)</f>
        <v/>
      </c>
      <c r="AA33" s="225" t="str">
        <f>IF($F33="","",'תחום תמיכה א'!AC33)</f>
        <v/>
      </c>
      <c r="AB33" s="213" t="str">
        <f t="shared" si="6"/>
        <v/>
      </c>
      <c r="AC33" s="213">
        <f t="shared" si="7"/>
        <v>546624.2343339423</v>
      </c>
      <c r="AD33" s="214">
        <f t="shared" si="8"/>
        <v>5.4782387695820516E-3</v>
      </c>
      <c r="AE33" s="213">
        <f t="shared" si="11"/>
        <v>563014.79055996682</v>
      </c>
      <c r="AF33" s="214">
        <f t="shared" si="9"/>
        <v>5.4782387695820533E-3</v>
      </c>
    </row>
    <row r="34" spans="1:32" ht="15.75" x14ac:dyDescent="0.2">
      <c r="A34" s="206">
        <f t="shared" si="10"/>
        <v>4</v>
      </c>
      <c r="B34" s="88">
        <f>IF($F34="","",'הזנה לתנאי סף'!C34)</f>
        <v>1001347193</v>
      </c>
      <c r="C34" s="88">
        <f>IF($F34="","",'הזנה לתנאי סף'!D34)</f>
        <v>1001266975</v>
      </c>
      <c r="D34" s="88">
        <f>IF($F34="","",'הזנה לתנאי סף'!E34)</f>
        <v>40000118</v>
      </c>
      <c r="E34" s="88">
        <f>IF($F34="","",'הזנה לתנאי סף'!F34)</f>
        <v>20000161</v>
      </c>
      <c r="F34" s="88" t="str">
        <f>IF(OR('הזנה לתנאי סף'!G34="",'הזנה לתנאי סף'!BL34&lt;&gt;1,'הזנה לתנאי סף'!Q34&lt;&gt;1),"",'הזנה לתנאי סף'!G34)</f>
        <v>מנשה</v>
      </c>
      <c r="G34" s="88" t="str">
        <f>IF($F34="","",'הזנה לתנאי סף'!H34)</f>
        <v>מוזיאון חצר ראשונים עין שמר</v>
      </c>
      <c r="H34" s="88" t="str">
        <f>IF($F34="","",'הזנה לתנאי סף'!I34)</f>
        <v>מוזיאונים</v>
      </c>
      <c r="I34" s="213">
        <f>IF($F34="","",'תחום תמיכה א'!$I34)</f>
        <v>405901</v>
      </c>
      <c r="J34" s="213">
        <f>IF($F34="","",'תחום תמיכה א'!$J34)</f>
        <v>1061155</v>
      </c>
      <c r="K34" s="213">
        <f>IF($F34="","",'תחום תמיכה א'!$K34)</f>
        <v>0</v>
      </c>
      <c r="L34" s="213">
        <f t="shared" si="0"/>
        <v>1467056</v>
      </c>
      <c r="M34" s="214">
        <f t="shared" si="1"/>
        <v>0.27667723658810572</v>
      </c>
      <c r="N34" s="214">
        <f t="shared" ref="N34:N97" si="12">IF($F34="","",IFERROR((1-M34),""))</f>
        <v>0.72332276341189428</v>
      </c>
      <c r="O34" s="213">
        <f t="shared" si="3"/>
        <v>767557.56700834865</v>
      </c>
      <c r="P34" s="213">
        <f>IF($F34="","",'פרמטרים לקריטריונים'!$C$59*O34)</f>
        <v>230267.27010250458</v>
      </c>
      <c r="Q34" s="214">
        <f t="shared" si="4"/>
        <v>1.3082151933281171E-3</v>
      </c>
      <c r="R34" s="213">
        <f t="shared" ref="R34:R97" si="13">IF($F34="","",IFERROR(Q34*$F$4,""))</f>
        <v>130821.51933281172</v>
      </c>
      <c r="S34" s="213">
        <f>IF($F34="","",'הזנה לתנאי סף'!N34)</f>
        <v>1</v>
      </c>
      <c r="T34" s="213">
        <f>IF($F34="","",'הזנה לתנאי סף'!O34)</f>
        <v>1</v>
      </c>
      <c r="U34" s="213">
        <f>IF($F34="","",'תחום תמיכה א'!W34)</f>
        <v>0</v>
      </c>
      <c r="V34" s="213">
        <f>IF($F34="","",'תחום תמיכה א'!X34)</f>
        <v>0</v>
      </c>
      <c r="W34" s="213">
        <f>IF($F34="","",'תחום תמיכה א'!Y34)</f>
        <v>0</v>
      </c>
      <c r="X34" s="231" t="str">
        <f>IF($F34="","",'תחום תמיכה א'!Z34)</f>
        <v>בדוק נתוני הזנה</v>
      </c>
      <c r="Y34" s="213" t="str">
        <f>IF($F34="","",'תחום תמיכה א'!AA34)</f>
        <v>בדוק נתוני הזנה</v>
      </c>
      <c r="Z34" s="214">
        <f>IF($F34="","",'תחום תמיכה א'!AB34)</f>
        <v>0</v>
      </c>
      <c r="AA34" s="225" t="str">
        <f>IF($F34="","",'תחום תמיכה א'!AC34)</f>
        <v/>
      </c>
      <c r="AB34" s="213" t="str">
        <f t="shared" si="6"/>
        <v/>
      </c>
      <c r="AC34" s="213">
        <f t="shared" si="7"/>
        <v>130821.51933281172</v>
      </c>
      <c r="AD34" s="214">
        <f t="shared" si="8"/>
        <v>1.3110862528403924E-3</v>
      </c>
      <c r="AE34" s="213">
        <f t="shared" si="11"/>
        <v>134744.20942504873</v>
      </c>
      <c r="AF34" s="214">
        <f t="shared" si="9"/>
        <v>1.3110862528403927E-3</v>
      </c>
    </row>
    <row r="35" spans="1:32" ht="15.75" x14ac:dyDescent="0.2">
      <c r="A35" s="206">
        <f t="shared" si="10"/>
        <v>5</v>
      </c>
      <c r="B35" s="88">
        <f>IF($F35="","",'הזנה לתנאי סף'!C35)</f>
        <v>1001349260</v>
      </c>
      <c r="C35" s="88">
        <f>IF($F35="","",'הזנה לתנאי סף'!D35)</f>
        <v>1001276615</v>
      </c>
      <c r="D35" s="88">
        <f>IF($F35="","",'הזנה לתנאי סף'!E35)</f>
        <v>40000478</v>
      </c>
      <c r="E35" s="88">
        <f>IF($F35="","",'הזנה לתנאי סף'!F35)</f>
        <v>20000201</v>
      </c>
      <c r="F35" s="88" t="str">
        <f>IF(OR('הזנה לתנאי סף'!G35="",'הזנה לתנאי סף'!BL35&lt;&gt;1,'הזנה לתנאי סף'!Q35&lt;&gt;1),"",'הזנה לתנאי סף'!G35)</f>
        <v>תל אביב -יפו</v>
      </c>
      <c r="G35" s="88" t="str">
        <f>IF($F35="","",'הזנה לתנאי סף'!H35)</f>
        <v>תיאטרון היידישפיל</v>
      </c>
      <c r="H35" s="88" t="str">
        <f>IF($F35="","",'הזנה לתנאי סף'!I35)</f>
        <v>תיאטרון</v>
      </c>
      <c r="I35" s="213">
        <f>IF($F35="","",'תחום תמיכה א'!$I35)</f>
        <v>9923256</v>
      </c>
      <c r="J35" s="213">
        <f>IF($F35="","",'תחום תמיכה א'!$J35)</f>
        <v>6943968</v>
      </c>
      <c r="K35" s="213">
        <f>IF($F35="","",'תחום תמיכה א'!$K35)</f>
        <v>0</v>
      </c>
      <c r="L35" s="213">
        <f t="shared" si="0"/>
        <v>16867224</v>
      </c>
      <c r="M35" s="214">
        <f t="shared" si="1"/>
        <v>0.58831589596486056</v>
      </c>
      <c r="N35" s="214">
        <f t="shared" si="12"/>
        <v>0.41168410403513944</v>
      </c>
      <c r="O35" s="213">
        <f t="shared" si="3"/>
        <v>2858721.2445286792</v>
      </c>
      <c r="P35" s="213">
        <f>IF($F35="","",'פרמטרים לקריטריונים'!$C$59*O35)</f>
        <v>857616.37335860368</v>
      </c>
      <c r="Q35" s="214">
        <f t="shared" si="4"/>
        <v>4.8723675282867796E-3</v>
      </c>
      <c r="R35" s="213">
        <f t="shared" si="13"/>
        <v>487236.75282867794</v>
      </c>
      <c r="S35" s="213">
        <f>IF($F35="","",'הזנה לתנאי סף'!N35)</f>
        <v>1</v>
      </c>
      <c r="T35" s="213">
        <f>IF($F35="","",'הזנה לתנאי סף'!O35)</f>
        <v>1</v>
      </c>
      <c r="U35" s="213">
        <f>IF($F35="","",'תחום תמיכה א'!W35)</f>
        <v>0</v>
      </c>
      <c r="V35" s="213">
        <f>IF($F35="","",'תחום תמיכה א'!X35)</f>
        <v>0</v>
      </c>
      <c r="W35" s="213">
        <f>IF($F35="","",'תחום תמיכה א'!Y35)</f>
        <v>0</v>
      </c>
      <c r="X35" s="231" t="str">
        <f>IF($F35="","",'תחום תמיכה א'!Z35)</f>
        <v>בדוק נתוני הזנה</v>
      </c>
      <c r="Y35" s="213" t="str">
        <f>IF($F35="","",'תחום תמיכה א'!AA35)</f>
        <v>בדוק נתוני הזנה</v>
      </c>
      <c r="Z35" s="214">
        <f>IF($F35="","",'תחום תמיכה א'!AB35)</f>
        <v>0</v>
      </c>
      <c r="AA35" s="225" t="str">
        <f>IF($F35="","",'תחום תמיכה א'!AC35)</f>
        <v/>
      </c>
      <c r="AB35" s="213" t="str">
        <f t="shared" si="6"/>
        <v/>
      </c>
      <c r="AC35" s="213">
        <f t="shared" si="7"/>
        <v>487236.75282867794</v>
      </c>
      <c r="AD35" s="214">
        <f t="shared" si="8"/>
        <v>4.8830606139585652E-3</v>
      </c>
      <c r="AE35" s="213">
        <f t="shared" si="11"/>
        <v>501846.5723189445</v>
      </c>
      <c r="AF35" s="214">
        <f t="shared" si="9"/>
        <v>4.8830606139585661E-3</v>
      </c>
    </row>
    <row r="36" spans="1:32" ht="15.75" x14ac:dyDescent="0.2">
      <c r="A36" s="206">
        <f t="shared" si="10"/>
        <v>6</v>
      </c>
      <c r="B36" s="88">
        <f>IF($F36="","",'הזנה לתנאי סף'!C36)</f>
        <v>1001350859</v>
      </c>
      <c r="C36" s="88">
        <f>IF($F36="","",'הזנה לתנאי סף'!D36)</f>
        <v>1001263559</v>
      </c>
      <c r="D36" s="88">
        <f>IF($F36="","",'הזנה לתנאי סף'!E36)</f>
        <v>40000062</v>
      </c>
      <c r="E36" s="88">
        <f>IF($F36="","",'הזנה לתנאי סף'!F36)</f>
        <v>20000201</v>
      </c>
      <c r="F36" s="88" t="str">
        <f>IF(OR('הזנה לתנאי סף'!G36="",'הזנה לתנאי סף'!BL36&lt;&gt;1,'הזנה לתנאי סף'!Q36&lt;&gt;1),"",'הזנה לתנאי סף'!G36)</f>
        <v>תל אביב -יפו</v>
      </c>
      <c r="G36" s="88" t="str">
        <f>IF($F36="","",'הזנה לתנאי סף'!H36)</f>
        <v>תיאטרון אורנה פורת לילדים</v>
      </c>
      <c r="H36" s="88" t="str">
        <f>IF($F36="","",'הזנה לתנאי סף'!I36)</f>
        <v>מחול</v>
      </c>
      <c r="I36" s="213">
        <f>IF($F36="","",'תחום תמיכה א'!$I36)</f>
        <v>6466532</v>
      </c>
      <c r="J36" s="213">
        <f>IF($F36="","",'תחום תמיכה א'!$J36)</f>
        <v>20933344</v>
      </c>
      <c r="K36" s="213">
        <f>IF($F36="","",'תחום תמיכה א'!$K36)</f>
        <v>0</v>
      </c>
      <c r="L36" s="213">
        <f t="shared" si="0"/>
        <v>27399876</v>
      </c>
      <c r="M36" s="214">
        <f t="shared" si="1"/>
        <v>0.2360058855740807</v>
      </c>
      <c r="N36" s="214">
        <f t="shared" si="12"/>
        <v>0.76399411442591925</v>
      </c>
      <c r="O36" s="213">
        <f t="shared" si="3"/>
        <v>15992951.611253129</v>
      </c>
      <c r="P36" s="213">
        <f>IF($F36="","",'פרמטרים לקריטריונים'!$C$59*O36)</f>
        <v>4797885.4833759386</v>
      </c>
      <c r="Q36" s="214">
        <f t="shared" si="4"/>
        <v>2.725817995065791E-2</v>
      </c>
      <c r="R36" s="213">
        <f t="shared" si="13"/>
        <v>2725817.9950657911</v>
      </c>
      <c r="S36" s="213">
        <f>IF($F36="","",'הזנה לתנאי סף'!N36)</f>
        <v>1</v>
      </c>
      <c r="T36" s="213">
        <f>IF($F36="","",'הזנה לתנאי סף'!O36)</f>
        <v>1</v>
      </c>
      <c r="U36" s="213">
        <f>IF($F36="","",'תחום תמיכה א'!W36)</f>
        <v>0</v>
      </c>
      <c r="V36" s="213">
        <f>IF($F36="","",'תחום תמיכה א'!X36)</f>
        <v>0</v>
      </c>
      <c r="W36" s="213">
        <f>IF($F36="","",'תחום תמיכה א'!Y36)</f>
        <v>0</v>
      </c>
      <c r="X36" s="231" t="str">
        <f>IF($F36="","",'תחום תמיכה א'!Z36)</f>
        <v>בדוק נתוני הזנה</v>
      </c>
      <c r="Y36" s="213" t="str">
        <f>IF($F36="","",'תחום תמיכה א'!AA36)</f>
        <v>בדוק נתוני הזנה</v>
      </c>
      <c r="Z36" s="214">
        <f>IF($F36="","",'תחום תמיכה א'!AB36)</f>
        <v>0</v>
      </c>
      <c r="AA36" s="225" t="str">
        <f>IF($F36="","",'תחום תמיכה א'!AC36)</f>
        <v/>
      </c>
      <c r="AB36" s="213" t="str">
        <f t="shared" si="6"/>
        <v/>
      </c>
      <c r="AC36" s="213">
        <f t="shared" si="7"/>
        <v>2725817.9950657911</v>
      </c>
      <c r="AD36" s="214">
        <f t="shared" si="8"/>
        <v>2.7318001803540964E-2</v>
      </c>
      <c r="AE36" s="213">
        <f t="shared" si="11"/>
        <v>2807551.7900638757</v>
      </c>
      <c r="AF36" s="214">
        <f t="shared" si="9"/>
        <v>2.7318001803540975E-2</v>
      </c>
    </row>
    <row r="37" spans="1:32" ht="15.75" x14ac:dyDescent="0.2">
      <c r="A37" s="206">
        <f t="shared" si="10"/>
        <v>7</v>
      </c>
      <c r="B37" s="88">
        <f>IF($F37="","",'הזנה לתנאי סף'!C37)</f>
        <v>1001347316</v>
      </c>
      <c r="C37" s="88">
        <f>IF($F37="","",'הזנה לתנאי סף'!D37)</f>
        <v>1001278100</v>
      </c>
      <c r="D37" s="88">
        <f>IF($F37="","",'הזנה לתנאי סף'!E37)</f>
        <v>40000007</v>
      </c>
      <c r="E37" s="88">
        <f>IF($F37="","",'הזנה לתנאי סף'!F37)</f>
        <v>20000135</v>
      </c>
      <c r="F37" s="88" t="str">
        <f>IF(OR('הזנה לתנאי סף'!G37="",'הזנה לתנאי סף'!BL37&lt;&gt;1,'הזנה לתנאי סף'!Q37&lt;&gt;1),"",'הזנה לתנאי סף'!G37)</f>
        <v>הגלבוע</v>
      </c>
      <c r="G37" s="88" t="str">
        <f>IF($F37="","",'הזנה לתנאי סף'!H37)</f>
        <v>משכן לאמנות עין חרוד ע"ש חיים אתר בע"מ</v>
      </c>
      <c r="H37" s="88" t="str">
        <f>IF($F37="","",'הזנה לתנאי סף'!I37)</f>
        <v>מוזיאונים</v>
      </c>
      <c r="I37" s="213">
        <f>IF($F37="","",'תחום תמיכה א'!$I37)</f>
        <v>540000</v>
      </c>
      <c r="J37" s="213">
        <f>IF($F37="","",'תחום תמיכה א'!$J37)</f>
        <v>1765000</v>
      </c>
      <c r="K37" s="213">
        <f>IF($F37="","",'תחום תמיכה א'!$K37)</f>
        <v>175000</v>
      </c>
      <c r="L37" s="213">
        <f t="shared" si="0"/>
        <v>2480000</v>
      </c>
      <c r="M37" s="214">
        <f t="shared" si="1"/>
        <v>0.21774193548387097</v>
      </c>
      <c r="N37" s="214">
        <f t="shared" si="12"/>
        <v>0.782258064516129</v>
      </c>
      <c r="O37" s="213">
        <f t="shared" si="3"/>
        <v>1380685.4838709678</v>
      </c>
      <c r="P37" s="213">
        <f>IF($F37="","",'פרמטרים לקריטריונים'!$C$59*O37)</f>
        <v>414205.6451612903</v>
      </c>
      <c r="Q37" s="214">
        <f t="shared" si="4"/>
        <v>2.35322248759478E-3</v>
      </c>
      <c r="R37" s="213">
        <f t="shared" si="13"/>
        <v>235322.24875947798</v>
      </c>
      <c r="S37" s="213">
        <f>IF($F37="","",'הזנה לתנאי סף'!N37)</f>
        <v>0</v>
      </c>
      <c r="T37" s="213">
        <f>IF($F37="","",'הזנה לתנאי סף'!O37)</f>
        <v>1</v>
      </c>
      <c r="U37" s="213">
        <f>IF($F37="","",'תחום תמיכה א'!W37)</f>
        <v>0</v>
      </c>
      <c r="V37" s="213">
        <f>IF($F37="","",'תחום תמיכה א'!X37)</f>
        <v>0</v>
      </c>
      <c r="W37" s="213">
        <f>IF($F37="","",'תחום תמיכה א'!Y37)</f>
        <v>1</v>
      </c>
      <c r="X37" s="231">
        <f>IF($F37="","",'תחום תמיכה א'!Z37)</f>
        <v>0</v>
      </c>
      <c r="Y37" s="213" t="str">
        <f>IF($F37="","",'תחום תמיכה א'!AA37)</f>
        <v/>
      </c>
      <c r="Z37" s="214" t="str">
        <f>IF($F37="","",'תחום תמיכה א'!AB37)</f>
        <v/>
      </c>
      <c r="AA37" s="225" t="str">
        <f>IF($F37="","",'תחום תמיכה א'!AC37)</f>
        <v/>
      </c>
      <c r="AB37" s="213" t="str">
        <f t="shared" si="6"/>
        <v/>
      </c>
      <c r="AC37" s="213">
        <f t="shared" si="7"/>
        <v>235322.24875947798</v>
      </c>
      <c r="AD37" s="214">
        <f t="shared" si="8"/>
        <v>2.3583869604139047E-3</v>
      </c>
      <c r="AE37" s="213">
        <f t="shared" si="11"/>
        <v>242378.39868343179</v>
      </c>
      <c r="AF37" s="214">
        <f t="shared" si="9"/>
        <v>2.3583869604139052E-3</v>
      </c>
    </row>
    <row r="38" spans="1:32" ht="15.75" x14ac:dyDescent="0.2">
      <c r="A38" s="206">
        <f t="shared" si="10"/>
        <v>8</v>
      </c>
      <c r="B38" s="88">
        <f>IF($F38="","",'הזנה לתנאי סף'!C38)</f>
        <v>1001349107</v>
      </c>
      <c r="C38" s="88">
        <f>IF($F38="","",'הזנה לתנאי סף'!D38)</f>
        <v>1001277535</v>
      </c>
      <c r="D38" s="88">
        <f>IF($F38="","",'הזנה לתנאי סף'!E38)</f>
        <v>40000019</v>
      </c>
      <c r="E38" s="88">
        <f>IF($F38="","",'הזנה לתנאי סף'!F38)</f>
        <v>20000159</v>
      </c>
      <c r="F38" s="88" t="str">
        <f>IF(OR('הזנה לתנאי סף'!G38="",'הזנה לתנאי סף'!BL38&lt;&gt;1,'הזנה לתנאי סף'!Q38&lt;&gt;1),"",'הזנה לתנאי סף'!G38)</f>
        <v>ירושלים</v>
      </c>
      <c r="G38" s="88" t="str">
        <f>IF($F38="","",'הזנה לתנאי סף'!H38)</f>
        <v>תיאטרון ירושלים לאומנויות הבמה</v>
      </c>
      <c r="H38" s="88" t="str">
        <f>IF($F38="","",'הזנה לתנאי סף'!I38)</f>
        <v>סינמטקים ופסטיבלים</v>
      </c>
      <c r="I38" s="213">
        <f>IF($F38="","",'תחום תמיכה א'!$I38)</f>
        <v>286885</v>
      </c>
      <c r="J38" s="213">
        <f>IF($F38="","",'תחום תמיכה א'!$J38)</f>
        <v>337841</v>
      </c>
      <c r="K38" s="213">
        <f>IF($F38="","",'תחום תמיכה א'!$K38)</f>
        <v>0</v>
      </c>
      <c r="L38" s="213">
        <f t="shared" si="0"/>
        <v>624726</v>
      </c>
      <c r="M38" s="214">
        <f t="shared" si="1"/>
        <v>0.45921732087347095</v>
      </c>
      <c r="N38" s="214">
        <f t="shared" si="12"/>
        <v>0.54078267912652911</v>
      </c>
      <c r="O38" s="213">
        <f t="shared" si="3"/>
        <v>182698.56109878572</v>
      </c>
      <c r="P38" s="213">
        <f>IF($F38="","",'פרמטרים לקריטריונים'!$C$59*O38)</f>
        <v>54809.568329635717</v>
      </c>
      <c r="Q38" s="214">
        <f t="shared" si="4"/>
        <v>3.1138906539633805E-4</v>
      </c>
      <c r="R38" s="213">
        <f t="shared" si="13"/>
        <v>31138.906539633805</v>
      </c>
      <c r="S38" s="213">
        <f>IF($F38="","",'הזנה לתנאי סף'!N38)</f>
        <v>1</v>
      </c>
      <c r="T38" s="213">
        <f>IF($F38="","",'הזנה לתנאי סף'!O38)</f>
        <v>1</v>
      </c>
      <c r="U38" s="213">
        <f>IF($F38="","",'תחום תמיכה א'!W38)</f>
        <v>0</v>
      </c>
      <c r="V38" s="213">
        <f>IF($F38="","",'תחום תמיכה א'!X38)</f>
        <v>0</v>
      </c>
      <c r="W38" s="213">
        <f>IF($F38="","",'תחום תמיכה א'!Y38)</f>
        <v>0</v>
      </c>
      <c r="X38" s="231" t="str">
        <f>IF($F38="","",'תחום תמיכה א'!Z38)</f>
        <v>בדוק נתוני הזנה</v>
      </c>
      <c r="Y38" s="213" t="str">
        <f>IF($F38="","",'תחום תמיכה א'!AA38)</f>
        <v>בדוק נתוני הזנה</v>
      </c>
      <c r="Z38" s="214">
        <f>IF($F38="","",'תחום תמיכה א'!AB38)</f>
        <v>0</v>
      </c>
      <c r="AA38" s="225" t="str">
        <f>IF($F38="","",'תחום תמיכה א'!AC38)</f>
        <v/>
      </c>
      <c r="AB38" s="213" t="str">
        <f t="shared" si="6"/>
        <v/>
      </c>
      <c r="AC38" s="213">
        <f t="shared" si="7"/>
        <v>31138.906539633805</v>
      </c>
      <c r="AD38" s="214">
        <f t="shared" si="8"/>
        <v>3.1207245184742362E-4</v>
      </c>
      <c r="AE38" s="213">
        <f t="shared" si="11"/>
        <v>32072.608279141732</v>
      </c>
      <c r="AF38" s="214">
        <f t="shared" si="9"/>
        <v>3.1207245184742367E-4</v>
      </c>
    </row>
    <row r="39" spans="1:32" ht="15.75" x14ac:dyDescent="0.2">
      <c r="A39" s="206">
        <f t="shared" si="10"/>
        <v>9</v>
      </c>
      <c r="B39" s="88">
        <f>IF($F39="","",'הזנה לתנאי סף'!C39)</f>
        <v>1001349111</v>
      </c>
      <c r="C39" s="88">
        <f>IF($F39="","",'הזנה לתנאי סף'!D39)</f>
        <v>1001277536</v>
      </c>
      <c r="D39" s="88">
        <f>IF($F39="","",'הזנה לתנאי סף'!E39)</f>
        <v>40000019</v>
      </c>
      <c r="E39" s="88">
        <f>IF($F39="","",'הזנה לתנאי סף'!F39)</f>
        <v>20000159</v>
      </c>
      <c r="F39" s="88" t="str">
        <f>IF(OR('הזנה לתנאי סף'!G39="",'הזנה לתנאי סף'!BL39&lt;&gt;1,'הזנה לתנאי סף'!Q39&lt;&gt;1),"",'הזנה לתנאי סף'!G39)</f>
        <v>ירושלים</v>
      </c>
      <c r="G39" s="88" t="str">
        <f>IF($F39="","",'הזנה לתנאי סף'!H39)</f>
        <v>תיאטרון ירושלים לאומנויות הבמה</v>
      </c>
      <c r="H39" s="88" t="str">
        <f>IF($F39="","",'הזנה לתנאי סף'!I39)</f>
        <v>סינמטקים ופסטיבלים</v>
      </c>
      <c r="I39" s="213">
        <f>IF($F39="","",'תחום תמיכה א'!$I39)</f>
        <v>441514</v>
      </c>
      <c r="J39" s="213">
        <f>IF($F39="","",'תחום תמיכה א'!$J39)</f>
        <v>312732</v>
      </c>
      <c r="K39" s="213">
        <f>IF($F39="","",'תחום תמיכה א'!$K39)</f>
        <v>0</v>
      </c>
      <c r="L39" s="213">
        <f t="shared" si="0"/>
        <v>754246</v>
      </c>
      <c r="M39" s="214">
        <f t="shared" si="1"/>
        <v>0.58537135099158633</v>
      </c>
      <c r="N39" s="214">
        <f t="shared" si="12"/>
        <v>0.41462864900841367</v>
      </c>
      <c r="O39" s="213">
        <f t="shared" si="3"/>
        <v>129667.64666169923</v>
      </c>
      <c r="P39" s="213">
        <f>IF($F39="","",'פרמטרים לקריטריונים'!$C$59*O39)</f>
        <v>38900.293998509769</v>
      </c>
      <c r="Q39" s="214">
        <f t="shared" si="4"/>
        <v>2.2100386047538213E-4</v>
      </c>
      <c r="R39" s="213">
        <f t="shared" si="13"/>
        <v>22100.386047538213</v>
      </c>
      <c r="S39" s="213">
        <f>IF($F39="","",'הזנה לתנאי סף'!N39)</f>
        <v>1</v>
      </c>
      <c r="T39" s="213">
        <f>IF($F39="","",'הזנה לתנאי סף'!O39)</f>
        <v>1</v>
      </c>
      <c r="U39" s="213">
        <f>IF($F39="","",'תחום תמיכה א'!W39)</f>
        <v>0</v>
      </c>
      <c r="V39" s="213">
        <f>IF($F39="","",'תחום תמיכה א'!X39)</f>
        <v>0</v>
      </c>
      <c r="W39" s="213">
        <f>IF($F39="","",'תחום תמיכה א'!Y39)</f>
        <v>0</v>
      </c>
      <c r="X39" s="231" t="str">
        <f>IF($F39="","",'תחום תמיכה א'!Z39)</f>
        <v>בדוק נתוני הזנה</v>
      </c>
      <c r="Y39" s="213" t="str">
        <f>IF($F39="","",'תחום תמיכה א'!AA39)</f>
        <v>בדוק נתוני הזנה</v>
      </c>
      <c r="Z39" s="214">
        <f>IF($F39="","",'תחום תמיכה א'!AB39)</f>
        <v>0</v>
      </c>
      <c r="AA39" s="225" t="str">
        <f>IF($F39="","",'תחום תמיכה א'!AC39)</f>
        <v/>
      </c>
      <c r="AB39" s="213" t="str">
        <f t="shared" si="6"/>
        <v/>
      </c>
      <c r="AC39" s="213">
        <f t="shared" si="7"/>
        <v>22100.386047538213</v>
      </c>
      <c r="AD39" s="214">
        <f t="shared" si="8"/>
        <v>2.214888840702031E-4</v>
      </c>
      <c r="AE39" s="213">
        <f t="shared" si="11"/>
        <v>22763.06727785433</v>
      </c>
      <c r="AF39" s="214">
        <f t="shared" si="9"/>
        <v>2.2148888407020316E-4</v>
      </c>
    </row>
    <row r="40" spans="1:32" ht="15.75" x14ac:dyDescent="0.2">
      <c r="A40" s="206">
        <f t="shared" si="10"/>
        <v>10</v>
      </c>
      <c r="B40" s="88">
        <f>IF($F40="","",'הזנה לתנאי סף'!C40)</f>
        <v>1001346994</v>
      </c>
      <c r="C40" s="88">
        <f>IF($F40="","",'הזנה לתנאי סף'!D40)</f>
        <v>1001267387</v>
      </c>
      <c r="D40" s="88">
        <f>IF($F40="","",'הזנה לתנאי סף'!E40)</f>
        <v>40000039</v>
      </c>
      <c r="E40" s="88">
        <f>IF($F40="","",'הזנה לתנאי סף'!F40)</f>
        <v>20000201</v>
      </c>
      <c r="F40" s="88" t="str">
        <f>IF(OR('הזנה לתנאי סף'!G40="",'הזנה לתנאי סף'!BL40&lt;&gt;1,'הזנה לתנאי סף'!Q40&lt;&gt;1),"",'הזנה לתנאי סף'!G40)</f>
        <v>תל אביב -יפו</v>
      </c>
      <c r="G40" s="88" t="str">
        <f>IF($F40="","",'הזנה לתנאי סף'!H40)</f>
        <v>מוזיאון ת"א לאומנות</v>
      </c>
      <c r="H40" s="88" t="str">
        <f>IF($F40="","",'הזנה לתנאי סף'!I40)</f>
        <v>מוזיאונים</v>
      </c>
      <c r="I40" s="213">
        <f>IF($F40="","",'תחום תמיכה א'!$I40)</f>
        <v>48297000</v>
      </c>
      <c r="J40" s="213">
        <f>IF($F40="","",'תחום תמיכה א'!$J40)</f>
        <v>41981000</v>
      </c>
      <c r="K40" s="213">
        <f>IF($F40="","",'תחום תמיכה א'!$K40)</f>
        <v>0</v>
      </c>
      <c r="L40" s="213">
        <f t="shared" si="0"/>
        <v>90278000</v>
      </c>
      <c r="M40" s="214">
        <f t="shared" si="1"/>
        <v>0.53498083697024745</v>
      </c>
      <c r="N40" s="214">
        <f t="shared" si="12"/>
        <v>0.46501916302975255</v>
      </c>
      <c r="O40" s="213">
        <f t="shared" si="3"/>
        <v>19521969.483152043</v>
      </c>
      <c r="P40" s="213">
        <f>IF($F40="","",'פרמטרים לקריטריונים'!$C$59*O40)</f>
        <v>5856590.8449456124</v>
      </c>
      <c r="Q40" s="214">
        <f t="shared" si="4"/>
        <v>3.3272992384256656E-2</v>
      </c>
      <c r="R40" s="213">
        <f t="shared" si="13"/>
        <v>3327299.2384256655</v>
      </c>
      <c r="S40" s="213">
        <f>IF($F40="","",'הזנה לתנאי סף'!N40)</f>
        <v>1</v>
      </c>
      <c r="T40" s="213">
        <f>IF($F40="","",'הזנה לתנאי סף'!O40)</f>
        <v>1</v>
      </c>
      <c r="U40" s="213">
        <f>IF($F40="","",'תחום תמיכה א'!W40)</f>
        <v>0</v>
      </c>
      <c r="V40" s="213">
        <f>IF($F40="","",'תחום תמיכה א'!X40)</f>
        <v>0</v>
      </c>
      <c r="W40" s="213">
        <f>IF($F40="","",'תחום תמיכה א'!Y40)</f>
        <v>0</v>
      </c>
      <c r="X40" s="231" t="str">
        <f>IF($F40="","",'תחום תמיכה א'!Z40)</f>
        <v>בדוק נתוני הזנה</v>
      </c>
      <c r="Y40" s="213" t="str">
        <f>IF($F40="","",'תחום תמיכה א'!AA40)</f>
        <v>בדוק נתוני הזנה</v>
      </c>
      <c r="Z40" s="214">
        <f>IF($F40="","",'תחום תמיכה א'!AB40)</f>
        <v>0</v>
      </c>
      <c r="AA40" s="225" t="str">
        <f>IF($F40="","",'תחום תמיכה א'!AC40)</f>
        <v/>
      </c>
      <c r="AB40" s="213" t="str">
        <f t="shared" si="6"/>
        <v/>
      </c>
      <c r="AC40" s="213">
        <f t="shared" si="7"/>
        <v>3327299.2384256655</v>
      </c>
      <c r="AD40" s="214">
        <f t="shared" si="8"/>
        <v>3.3346014576457056E-2</v>
      </c>
      <c r="AE40" s="213">
        <f t="shared" si="11"/>
        <v>3427068.4799315357</v>
      </c>
      <c r="AF40" s="214">
        <f t="shared" si="9"/>
        <v>3.3346014576457063E-2</v>
      </c>
    </row>
    <row r="41" spans="1:32" ht="15.75" x14ac:dyDescent="0.2">
      <c r="A41" s="206">
        <f t="shared" si="10"/>
        <v>11</v>
      </c>
      <c r="B41" s="88">
        <f>IF($F41="","",'הזנה לתנאי סף'!C41)</f>
        <v>1001350182</v>
      </c>
      <c r="C41" s="88">
        <f>IF($F41="","",'הזנה לתנאי סף'!D41)</f>
        <v>1001344519</v>
      </c>
      <c r="D41" s="88">
        <f>IF($F41="","",'הזנה לתנאי סף'!E41)</f>
        <v>40000070</v>
      </c>
      <c r="E41" s="88">
        <f>IF($F41="","",'הזנה לתנאי סף'!F41)</f>
        <v>20000159</v>
      </c>
      <c r="F41" s="88" t="str">
        <f>IF(OR('הזנה לתנאי סף'!G41="",'הזנה לתנאי סף'!BL41&lt;&gt;1,'הזנה לתנאי סף'!Q41&lt;&gt;1),"",'הזנה לתנאי סף'!G41)</f>
        <v>ירושלים</v>
      </c>
      <c r="G41" s="88" t="str">
        <f>IF($F41="","",'הזנה לתנאי סף'!H41)</f>
        <v>הורה ירושלים</v>
      </c>
      <c r="H41" s="88" t="str">
        <f>IF($F41="","",'הזנה לתנאי סף'!I41)</f>
        <v>מחול</v>
      </c>
      <c r="I41" s="213">
        <f>IF($F41="","",'תחום תמיכה א'!$I41)</f>
        <v>165664</v>
      </c>
      <c r="J41" s="213">
        <f>IF($F41="","",'תחום תמיכה א'!$J41)</f>
        <v>1045610</v>
      </c>
      <c r="K41" s="213">
        <f>IF($F41="","",'תחום תמיכה א'!$K41)</f>
        <v>0</v>
      </c>
      <c r="L41" s="213">
        <f t="shared" si="0"/>
        <v>1211274</v>
      </c>
      <c r="M41" s="214">
        <f t="shared" si="1"/>
        <v>0.13676839426917445</v>
      </c>
      <c r="N41" s="214">
        <f t="shared" si="12"/>
        <v>0.86323160573082558</v>
      </c>
      <c r="O41" s="213">
        <f t="shared" si="3"/>
        <v>902603.59926820849</v>
      </c>
      <c r="P41" s="213">
        <f>IF($F41="","",'פרמטרים לקריטריונים'!$C$59*O41)</f>
        <v>270781.07978046255</v>
      </c>
      <c r="Q41" s="214">
        <f t="shared" si="4"/>
        <v>1.5383859046789522E-3</v>
      </c>
      <c r="R41" s="213">
        <f t="shared" si="13"/>
        <v>153838.59046789521</v>
      </c>
      <c r="S41" s="213">
        <f>IF($F41="","",'הזנה לתנאי סף'!N41)</f>
        <v>0</v>
      </c>
      <c r="T41" s="213">
        <f>IF($F41="","",'הזנה לתנאי סף'!O41)</f>
        <v>1</v>
      </c>
      <c r="U41" s="213">
        <f>IF($F41="","",'תחום תמיכה א'!W41)</f>
        <v>0</v>
      </c>
      <c r="V41" s="213">
        <f>IF($F41="","",'תחום תמיכה א'!X41)</f>
        <v>0</v>
      </c>
      <c r="W41" s="213">
        <f>IF($F41="","",'תחום תמיכה א'!Y41)</f>
        <v>1</v>
      </c>
      <c r="X41" s="231">
        <f>IF($F41="","",'תחום תמיכה א'!Z41)</f>
        <v>0</v>
      </c>
      <c r="Y41" s="213" t="str">
        <f>IF($F41="","",'תחום תמיכה א'!AA41)</f>
        <v/>
      </c>
      <c r="Z41" s="214" t="str">
        <f>IF($F41="","",'תחום תמיכה א'!AB41)</f>
        <v/>
      </c>
      <c r="AA41" s="225" t="str">
        <f>IF($F41="","",'תחום תמיכה א'!AC41)</f>
        <v/>
      </c>
      <c r="AB41" s="213" t="str">
        <f t="shared" si="6"/>
        <v/>
      </c>
      <c r="AC41" s="213">
        <f t="shared" si="7"/>
        <v>153838.59046789521</v>
      </c>
      <c r="AD41" s="214">
        <f t="shared" si="8"/>
        <v>1.541762105710483E-3</v>
      </c>
      <c r="AE41" s="213">
        <f t="shared" si="11"/>
        <v>158451.44864069251</v>
      </c>
      <c r="AF41" s="214">
        <f t="shared" si="9"/>
        <v>1.5417621057104835E-3</v>
      </c>
    </row>
    <row r="42" spans="1:32" ht="15.75" x14ac:dyDescent="0.2">
      <c r="A42" s="206">
        <f t="shared" si="10"/>
        <v>12</v>
      </c>
      <c r="B42" s="88">
        <f>IF($F42="","",'הזנה לתנאי סף'!C42)</f>
        <v>1001349551</v>
      </c>
      <c r="C42" s="88">
        <f>IF($F42="","",'הזנה לתנאי סף'!D42)</f>
        <v>1001271250</v>
      </c>
      <c r="D42" s="88">
        <f>IF($F42="","",'הזנה לתנאי סף'!E42)</f>
        <v>40000101</v>
      </c>
      <c r="E42" s="88">
        <f>IF($F42="","",'הזנה לתנאי סף'!F42)</f>
        <v>20000208</v>
      </c>
      <c r="F42" s="88" t="str">
        <f>IF(OR('הזנה לתנאי סף'!G42="",'הזנה לתנאי סף'!BL42&lt;&gt;1,'הזנה לתנאי סף'!Q42&lt;&gt;1),"",'הזנה לתנאי סף'!G42)</f>
        <v>חוף אשקלון</v>
      </c>
      <c r="G42" s="88" t="str">
        <f>IF($F42="","",'הזנה לתנאי סף'!H42)</f>
        <v>מוזיאון יד מרדכי</v>
      </c>
      <c r="H42" s="88" t="str">
        <f>IF($F42="","",'הזנה לתנאי סף'!I42)</f>
        <v>מוזיאונים</v>
      </c>
      <c r="I42" s="213">
        <f>IF($F42="","",'תחום תמיכה א'!$I42)</f>
        <v>549000</v>
      </c>
      <c r="J42" s="213">
        <f>IF($F42="","",'תחום תמיכה א'!$J42)</f>
        <v>1006664</v>
      </c>
      <c r="K42" s="213">
        <f>IF($F42="","",'תחום תמיכה א'!$K42)</f>
        <v>282665</v>
      </c>
      <c r="L42" s="213">
        <f t="shared" si="0"/>
        <v>1838329</v>
      </c>
      <c r="M42" s="214">
        <f t="shared" si="1"/>
        <v>0.29864077648777776</v>
      </c>
      <c r="N42" s="214">
        <f t="shared" si="12"/>
        <v>0.70135922351222224</v>
      </c>
      <c r="O42" s="213">
        <f t="shared" si="3"/>
        <v>706033.08137770765</v>
      </c>
      <c r="P42" s="213">
        <f>IF($F42="","",'פרמטרים לקריטריונים'!$C$59*O42)</f>
        <v>211809.92441331228</v>
      </c>
      <c r="Q42" s="214">
        <f t="shared" si="4"/>
        <v>1.2033536554796778E-3</v>
      </c>
      <c r="R42" s="213">
        <f t="shared" si="13"/>
        <v>120335.36554796778</v>
      </c>
      <c r="S42" s="213">
        <f>IF($F42="","",'הזנה לתנאי סף'!N42)</f>
        <v>1</v>
      </c>
      <c r="T42" s="213">
        <f>IF($F42="","",'הזנה לתנאי סף'!O42)</f>
        <v>1</v>
      </c>
      <c r="U42" s="213">
        <f>IF($F42="","",'תחום תמיכה א'!W42)</f>
        <v>0</v>
      </c>
      <c r="V42" s="213">
        <f>IF($F42="","",'תחום תמיכה א'!X42)</f>
        <v>0</v>
      </c>
      <c r="W42" s="213">
        <f>IF($F42="","",'תחום תמיכה א'!Y42)</f>
        <v>0</v>
      </c>
      <c r="X42" s="231" t="str">
        <f>IF($F42="","",'תחום תמיכה א'!Z42)</f>
        <v>בדוק נתוני הזנה</v>
      </c>
      <c r="Y42" s="213" t="str">
        <f>IF($F42="","",'תחום תמיכה א'!AA42)</f>
        <v>בדוק נתוני הזנה</v>
      </c>
      <c r="Z42" s="214">
        <f>IF($F42="","",'תחום תמיכה א'!AB42)</f>
        <v>0</v>
      </c>
      <c r="AA42" s="225" t="str">
        <f>IF($F42="","",'תחום תמיכה א'!AC42)</f>
        <v/>
      </c>
      <c r="AB42" s="213" t="str">
        <f t="shared" si="6"/>
        <v/>
      </c>
      <c r="AC42" s="213">
        <f t="shared" si="7"/>
        <v>120335.36554796778</v>
      </c>
      <c r="AD42" s="214">
        <f t="shared" si="8"/>
        <v>1.2059945818171918E-3</v>
      </c>
      <c r="AE42" s="213">
        <f t="shared" si="11"/>
        <v>123943.62777109533</v>
      </c>
      <c r="AF42" s="214">
        <f t="shared" si="9"/>
        <v>1.2059945818171922E-3</v>
      </c>
    </row>
    <row r="43" spans="1:32" ht="15.75" x14ac:dyDescent="0.2">
      <c r="A43" s="206">
        <f t="shared" si="10"/>
        <v>13</v>
      </c>
      <c r="B43" s="88">
        <f>IF($F43="","",'הזנה לתנאי סף'!C43)</f>
        <v>1001347156</v>
      </c>
      <c r="C43" s="88">
        <f>IF($F43="","",'הזנה לתנאי סף'!D43)</f>
        <v>1001263123</v>
      </c>
      <c r="D43" s="88">
        <f>IF($F43="","",'הזנה לתנאי סף'!E43)</f>
        <v>40000052</v>
      </c>
      <c r="E43" s="88">
        <f>IF($F43="","",'הזנה לתנאי סף'!F43)</f>
        <v>20000132</v>
      </c>
      <c r="F43" s="88" t="str">
        <f>IF(OR('הזנה לתנאי סף'!G43="",'הזנה לתנאי סף'!BL43&lt;&gt;1,'הזנה לתנאי סף'!Q43&lt;&gt;1),"",'הזנה לתנאי סף'!G43)</f>
        <v>עמק הירדן</v>
      </c>
      <c r="G43" s="88" t="str">
        <f>IF($F43="","",'הזנה לתנאי סף'!H43)</f>
        <v>בית יגאל אלון</v>
      </c>
      <c r="H43" s="88" t="str">
        <f>IF($F43="","",'הזנה לתנאי סף'!I43)</f>
        <v>מוזיאונים</v>
      </c>
      <c r="I43" s="213">
        <f>IF($F43="","",'תחום תמיכה א'!$I43)</f>
        <v>1021823</v>
      </c>
      <c r="J43" s="213">
        <f>IF($F43="","",'תחום תמיכה א'!$J43)</f>
        <v>3979672</v>
      </c>
      <c r="K43" s="213">
        <f>IF($F43="","",'תחום תמיכה א'!$K43)</f>
        <v>0</v>
      </c>
      <c r="L43" s="213">
        <f t="shared" si="0"/>
        <v>5001495</v>
      </c>
      <c r="M43" s="214">
        <f t="shared" si="1"/>
        <v>0.20430351324953838</v>
      </c>
      <c r="N43" s="214">
        <f t="shared" si="12"/>
        <v>0.79569648675046167</v>
      </c>
      <c r="O43" s="213">
        <f t="shared" si="3"/>
        <v>3166611.0288191834</v>
      </c>
      <c r="P43" s="213">
        <f>IF($F43="","",'פרמטרים לקריטריונים'!$C$59*O43)</f>
        <v>949983.30864575494</v>
      </c>
      <c r="Q43" s="214">
        <f t="shared" si="4"/>
        <v>5.3971308958726963E-3</v>
      </c>
      <c r="R43" s="213">
        <f t="shared" si="13"/>
        <v>539713.08958726958</v>
      </c>
      <c r="S43" s="213">
        <f>IF($F43="","",'הזנה לתנאי סף'!N43)</f>
        <v>0</v>
      </c>
      <c r="T43" s="213">
        <f>IF($F43="","",'הזנה לתנאי סף'!O43)</f>
        <v>1</v>
      </c>
      <c r="U43" s="213">
        <f>IF($F43="","",'תחום תמיכה א'!W43)</f>
        <v>0</v>
      </c>
      <c r="V43" s="213">
        <f>IF($F43="","",'תחום תמיכה א'!X43)</f>
        <v>0</v>
      </c>
      <c r="W43" s="213">
        <f>IF($F43="","",'תחום תמיכה א'!Y43)</f>
        <v>1</v>
      </c>
      <c r="X43" s="231">
        <f>IF($F43="","",'תחום תמיכה א'!Z43)</f>
        <v>0</v>
      </c>
      <c r="Y43" s="213" t="str">
        <f>IF($F43="","",'תחום תמיכה א'!AA43)</f>
        <v/>
      </c>
      <c r="Z43" s="214" t="str">
        <f>IF($F43="","",'תחום תמיכה א'!AB43)</f>
        <v/>
      </c>
      <c r="AA43" s="225" t="str">
        <f>IF($F43="","",'תחום תמיכה א'!AC43)</f>
        <v/>
      </c>
      <c r="AB43" s="213" t="str">
        <f t="shared" si="6"/>
        <v/>
      </c>
      <c r="AC43" s="213">
        <f t="shared" si="7"/>
        <v>539713.08958726958</v>
      </c>
      <c r="AD43" s="214">
        <f t="shared" si="8"/>
        <v>5.4089756474675534E-3</v>
      </c>
      <c r="AE43" s="213">
        <f t="shared" si="11"/>
        <v>555896.41477697797</v>
      </c>
      <c r="AF43" s="214">
        <f t="shared" si="9"/>
        <v>5.4089756474675552E-3</v>
      </c>
    </row>
    <row r="44" spans="1:32" ht="15.75" x14ac:dyDescent="0.2">
      <c r="A44" s="206">
        <f t="shared" si="10"/>
        <v>14</v>
      </c>
      <c r="B44" s="88">
        <f>IF($F44="","",'הזנה לתנאי סף'!C44)</f>
        <v>1001348127</v>
      </c>
      <c r="C44" s="88">
        <f>IF($F44="","",'הזנה לתנאי סף'!D44)</f>
        <v>1001268819</v>
      </c>
      <c r="D44" s="88">
        <f>IF($F44="","",'הזנה לתנאי סף'!E44)</f>
        <v>40000028</v>
      </c>
      <c r="E44" s="88">
        <f>IF($F44="","",'הזנה לתנאי סף'!F44)</f>
        <v>20000159</v>
      </c>
      <c r="F44" s="88" t="str">
        <f>IF(OR('הזנה לתנאי סף'!G44="",'הזנה לתנאי סף'!BL44&lt;&gt;1,'הזנה לתנאי סף'!Q44&lt;&gt;1),"",'הזנה לתנאי סף'!G44)</f>
        <v>ירושלים</v>
      </c>
      <c r="G44" s="88" t="str">
        <f>IF($F44="","",'הזנה לתנאי סף'!H44)</f>
        <v>הקם בע"מ</v>
      </c>
      <c r="H44" s="88" t="str">
        <f>IF($F44="","",'הזנה לתנאי סף'!I44)</f>
        <v>סינמטקים ופסטיבלים</v>
      </c>
      <c r="I44" s="213">
        <f>IF($F44="","",'תחום תמיכה א'!$I44)</f>
        <v>775818</v>
      </c>
      <c r="J44" s="213">
        <f>IF($F44="","",'תחום תמיכה א'!$J44)</f>
        <v>681344</v>
      </c>
      <c r="K44" s="213">
        <f>IF($F44="","",'תחום תמיכה א'!$K44)</f>
        <v>0</v>
      </c>
      <c r="L44" s="213">
        <f t="shared" si="0"/>
        <v>1457162</v>
      </c>
      <c r="M44" s="214">
        <f t="shared" si="1"/>
        <v>0.53241712314759781</v>
      </c>
      <c r="N44" s="214">
        <f t="shared" si="12"/>
        <v>0.46758287685240219</v>
      </c>
      <c r="O44" s="213">
        <f t="shared" si="3"/>
        <v>318584.78764612309</v>
      </c>
      <c r="P44" s="213">
        <f>IF($F44="","",'פרמטרים לקריטריונים'!$C$59*O44)</f>
        <v>95575.43629383693</v>
      </c>
      <c r="Q44" s="214">
        <f t="shared" si="4"/>
        <v>5.429917930277363E-4</v>
      </c>
      <c r="R44" s="213">
        <f t="shared" si="13"/>
        <v>54299.179302773628</v>
      </c>
      <c r="S44" s="213">
        <f>IF($F44="","",'הזנה לתנאי סף'!N44)</f>
        <v>1</v>
      </c>
      <c r="T44" s="213">
        <f>IF($F44="","",'הזנה לתנאי סף'!O44)</f>
        <v>1</v>
      </c>
      <c r="U44" s="213">
        <f>IF($F44="","",'תחום תמיכה א'!W44)</f>
        <v>0</v>
      </c>
      <c r="V44" s="213">
        <f>IF($F44="","",'תחום תמיכה א'!X44)</f>
        <v>0</v>
      </c>
      <c r="W44" s="213">
        <f>IF($F44="","",'תחום תמיכה א'!Y44)</f>
        <v>0</v>
      </c>
      <c r="X44" s="231" t="str">
        <f>IF($F44="","",'תחום תמיכה א'!Z44)</f>
        <v>בדוק נתוני הזנה</v>
      </c>
      <c r="Y44" s="213" t="str">
        <f>IF($F44="","",'תחום תמיכה א'!AA44)</f>
        <v>בדוק נתוני הזנה</v>
      </c>
      <c r="Z44" s="214">
        <f>IF($F44="","",'תחום תמיכה א'!AB44)</f>
        <v>0</v>
      </c>
      <c r="AA44" s="225" t="str">
        <f>IF($F44="","",'תחום תמיכה א'!AC44)</f>
        <v/>
      </c>
      <c r="AB44" s="213" t="str">
        <f t="shared" si="6"/>
        <v/>
      </c>
      <c r="AC44" s="213">
        <f t="shared" si="7"/>
        <v>54299.179302773628</v>
      </c>
      <c r="AD44" s="214">
        <f t="shared" si="8"/>
        <v>5.4418346375622987E-4</v>
      </c>
      <c r="AE44" s="213">
        <f t="shared" si="11"/>
        <v>55927.343031140976</v>
      </c>
      <c r="AF44" s="214">
        <f t="shared" si="9"/>
        <v>5.4418346375622998E-4</v>
      </c>
    </row>
    <row r="45" spans="1:32" ht="15.75" x14ac:dyDescent="0.2">
      <c r="A45" s="206">
        <f t="shared" si="10"/>
        <v>15</v>
      </c>
      <c r="B45" s="88">
        <f>IF($F45="","",'הזנה לתנאי סף'!C45)</f>
        <v>1001346801</v>
      </c>
      <c r="C45" s="88">
        <f>IF($F45="","",'הזנה לתנאי סף'!D45)</f>
        <v>1001274535</v>
      </c>
      <c r="D45" s="88">
        <f>IF($F45="","",'הזנה לתנאי סף'!E45)</f>
        <v>40000095</v>
      </c>
      <c r="E45" s="88">
        <f>IF($F45="","",'הזנה לתנאי סף'!F45)</f>
        <v>20000182</v>
      </c>
      <c r="F45" s="88" t="str">
        <f>IF(OR('הזנה לתנאי סף'!G45="",'הזנה לתנאי סף'!BL45&lt;&gt;1,'הזנה לתנאי סף'!Q45&lt;&gt;1),"",'הזנה לתנאי סף'!G45)</f>
        <v>חיפה</v>
      </c>
      <c r="G45" s="88" t="str">
        <f>IF($F45="","",'הזנה לתנאי סף'!H45)</f>
        <v>בית גפן - מרכז תרבות ערבי יהודי</v>
      </c>
      <c r="H45" s="88" t="str">
        <f>IF($F45="","",'הזנה לתנאי סף'!I45)</f>
        <v>תיאטרון</v>
      </c>
      <c r="I45" s="213">
        <f>IF($F45="","",'תחום תמיכה א'!$I45)</f>
        <v>2001180</v>
      </c>
      <c r="J45" s="213">
        <f>IF($F45="","",'תחום תמיכה א'!$J45)</f>
        <v>696342</v>
      </c>
      <c r="K45" s="213">
        <f>IF($F45="","",'תחום תמיכה א'!$K45)</f>
        <v>0</v>
      </c>
      <c r="L45" s="213">
        <f t="shared" si="0"/>
        <v>2697522</v>
      </c>
      <c r="M45" s="214">
        <f t="shared" si="1"/>
        <v>0.74185863915104311</v>
      </c>
      <c r="N45" s="214">
        <f t="shared" si="12"/>
        <v>0.25814136084895689</v>
      </c>
      <c r="O45" s="213">
        <f t="shared" si="3"/>
        <v>179754.67149628434</v>
      </c>
      <c r="P45" s="213">
        <f>IF($F45="","",'פרמטרים לקריטריונים'!$C$59*O45)</f>
        <v>53926.401448885299</v>
      </c>
      <c r="Q45" s="214">
        <f t="shared" si="4"/>
        <v>3.0637153801987859E-4</v>
      </c>
      <c r="R45" s="213">
        <f t="shared" si="13"/>
        <v>30637.153801987861</v>
      </c>
      <c r="S45" s="213">
        <f>IF($F45="","",'הזנה לתנאי סף'!N45)</f>
        <v>1</v>
      </c>
      <c r="T45" s="213">
        <f>IF($F45="","",'הזנה לתנאי סף'!O45)</f>
        <v>1</v>
      </c>
      <c r="U45" s="213">
        <f>IF($F45="","",'תחום תמיכה א'!W45)</f>
        <v>0</v>
      </c>
      <c r="V45" s="213">
        <f>IF($F45="","",'תחום תמיכה א'!X45)</f>
        <v>0</v>
      </c>
      <c r="W45" s="213">
        <f>IF($F45="","",'תחום תמיכה א'!Y45)</f>
        <v>0</v>
      </c>
      <c r="X45" s="231" t="str">
        <f>IF($F45="","",'תחום תמיכה א'!Z45)</f>
        <v>בדוק נתוני הזנה</v>
      </c>
      <c r="Y45" s="213" t="str">
        <f>IF($F45="","",'תחום תמיכה א'!AA45)</f>
        <v>בדוק נתוני הזנה</v>
      </c>
      <c r="Z45" s="214">
        <f>IF($F45="","",'תחום תמיכה א'!AB45)</f>
        <v>0</v>
      </c>
      <c r="AA45" s="225" t="str">
        <f>IF($F45="","",'תחום תמיכה א'!AC45)</f>
        <v/>
      </c>
      <c r="AB45" s="213" t="str">
        <f t="shared" si="6"/>
        <v/>
      </c>
      <c r="AC45" s="213">
        <f t="shared" si="7"/>
        <v>30637.153801987861</v>
      </c>
      <c r="AD45" s="214">
        <f t="shared" si="8"/>
        <v>3.0704391281189173E-4</v>
      </c>
      <c r="AE45" s="213">
        <f t="shared" si="11"/>
        <v>31555.810459442357</v>
      </c>
      <c r="AF45" s="214">
        <f t="shared" si="9"/>
        <v>3.0704391281189178E-4</v>
      </c>
    </row>
    <row r="46" spans="1:32" ht="15.75" x14ac:dyDescent="0.2">
      <c r="A46" s="206">
        <f t="shared" si="10"/>
        <v>16</v>
      </c>
      <c r="B46" s="88">
        <f>IF($F46="","",'הזנה לתנאי סף'!C46)</f>
        <v>1001348773</v>
      </c>
      <c r="C46" s="88">
        <f>IF($F46="","",'הזנה לתנאי סף'!D46)</f>
        <v>1001262086</v>
      </c>
      <c r="D46" s="88">
        <f>IF($F46="","",'הזנה לתנאי סף'!E46)</f>
        <v>40000043</v>
      </c>
      <c r="E46" s="88">
        <f>IF($F46="","",'הזנה לתנאי סף'!F46)</f>
        <v>20000159</v>
      </c>
      <c r="F46" s="88" t="str">
        <f>IF(OR('הזנה לתנאי סף'!G46="",'הזנה לתנאי סף'!BL46&lt;&gt;1,'הזנה לתנאי סף'!Q46&lt;&gt;1),"",'הזנה לתנאי סף'!G46)</f>
        <v>ירושלים</v>
      </c>
      <c r="G46" s="88" t="str">
        <f>IF($F46="","",'הזנה לתנאי סף'!H46)</f>
        <v>מוזיאון ישראל</v>
      </c>
      <c r="H46" s="88" t="str">
        <f>IF($F46="","",'הזנה לתנאי סף'!I46)</f>
        <v>מוזיאונים</v>
      </c>
      <c r="I46" s="213">
        <f>IF($F46="","",'תחום תמיכה א'!$I46)</f>
        <v>23187000</v>
      </c>
      <c r="J46" s="213">
        <f>IF($F46="","",'תחום תמיכה א'!$J46)</f>
        <v>96928000</v>
      </c>
      <c r="K46" s="213">
        <f>IF($F46="","",'תחום תמיכה א'!$K46)</f>
        <v>0</v>
      </c>
      <c r="L46" s="213">
        <f t="shared" si="0"/>
        <v>120115000</v>
      </c>
      <c r="M46" s="214">
        <f t="shared" si="1"/>
        <v>0.19304000333014196</v>
      </c>
      <c r="N46" s="214">
        <f t="shared" si="12"/>
        <v>0.80695999666985807</v>
      </c>
      <c r="O46" s="213">
        <f t="shared" si="3"/>
        <v>78217018.557216004</v>
      </c>
      <c r="P46" s="213">
        <f>IF($F46="","",'פרמטרים לקריטריונים'!$C$59*O46)</f>
        <v>23465105.567164801</v>
      </c>
      <c r="Q46" s="214">
        <f t="shared" si="4"/>
        <v>0.13331207514792737</v>
      </c>
      <c r="R46" s="213">
        <f t="shared" si="13"/>
        <v>13331207.514792737</v>
      </c>
      <c r="S46" s="213">
        <f>IF($F46="","",'הזנה לתנאי סף'!N46)</f>
        <v>1</v>
      </c>
      <c r="T46" s="213">
        <f>IF($F46="","",'הזנה לתנאי סף'!O46)</f>
        <v>1</v>
      </c>
      <c r="U46" s="213">
        <f>IF($F46="","",'תחום תמיכה א'!W46)</f>
        <v>0</v>
      </c>
      <c r="V46" s="213">
        <f>IF($F46="","",'תחום תמיכה א'!X46)</f>
        <v>0</v>
      </c>
      <c r="W46" s="213">
        <f>IF($F46="","",'תחום תמיכה א'!Y46)</f>
        <v>0</v>
      </c>
      <c r="X46" s="231" t="str">
        <f>IF($F46="","",'תחום תמיכה א'!Z46)</f>
        <v>בדוק נתוני הזנה</v>
      </c>
      <c r="Y46" s="213" t="str">
        <f>IF($F46="","",'תחום תמיכה א'!AA46)</f>
        <v>בדוק נתוני הזנה</v>
      </c>
      <c r="Z46" s="214">
        <f>IF($F46="","",'תחום תמיכה א'!AB46)</f>
        <v>0</v>
      </c>
      <c r="AA46" s="225" t="str">
        <f>IF($F46="","",'תחום תמיכה א'!AC46)</f>
        <v/>
      </c>
      <c r="AB46" s="213" t="str">
        <f t="shared" si="6"/>
        <v/>
      </c>
      <c r="AC46" s="213">
        <f t="shared" si="7"/>
        <v>13331207.514792737</v>
      </c>
      <c r="AD46" s="214">
        <f t="shared" si="8"/>
        <v>0.13360464696899063</v>
      </c>
      <c r="AE46" s="213">
        <f t="shared" si="11"/>
        <v>13730944.468640491</v>
      </c>
      <c r="AF46" s="214">
        <f t="shared" si="9"/>
        <v>0.13360464696899066</v>
      </c>
    </row>
    <row r="47" spans="1:32" ht="15.75" x14ac:dyDescent="0.2">
      <c r="A47" s="206">
        <f t="shared" si="10"/>
        <v>17</v>
      </c>
      <c r="B47" s="88">
        <f>IF($F47="","",'הזנה לתנאי סף'!C47)</f>
        <v>1001346968</v>
      </c>
      <c r="C47" s="88">
        <f>IF($F47="","",'הזנה לתנאי סף'!D47)</f>
        <v>1001266786</v>
      </c>
      <c r="D47" s="88">
        <f>IF($F47="","",'הזנה לתנאי סף'!E47)</f>
        <v>40000128</v>
      </c>
      <c r="E47" s="88">
        <f>IF($F47="","",'הזנה לתנאי סף'!F47)</f>
        <v>20000184</v>
      </c>
      <c r="F47" s="88" t="str">
        <f>IF(OR('הזנה לתנאי סף'!G47="",'הזנה לתנאי סף'!BL47&lt;&gt;1,'הזנה לתנאי סף'!Q47&lt;&gt;1),"",'הזנה לתנאי סף'!G47)</f>
        <v>קצרין</v>
      </c>
      <c r="G47" s="88" t="str">
        <f>IF($F47="","",'הזנה לתנאי סף'!H47)</f>
        <v>מוזיאון עתיקות הגולן</v>
      </c>
      <c r="H47" s="88" t="str">
        <f>IF($F47="","",'הזנה לתנאי סף'!I47)</f>
        <v>מוזיאונים</v>
      </c>
      <c r="I47" s="213">
        <f>IF($F47="","",'תחום תמיכה א'!$I47)</f>
        <v>961348</v>
      </c>
      <c r="J47" s="213">
        <f>IF($F47="","",'תחום תמיכה א'!$J47)</f>
        <v>1428169</v>
      </c>
      <c r="K47" s="213">
        <f>IF($F47="","",'תחום תמיכה א'!$K47)</f>
        <v>0</v>
      </c>
      <c r="L47" s="213">
        <f t="shared" si="0"/>
        <v>2389517</v>
      </c>
      <c r="M47" s="214">
        <f t="shared" si="1"/>
        <v>0.40231896236770864</v>
      </c>
      <c r="N47" s="214">
        <f t="shared" si="12"/>
        <v>0.59768103763229141</v>
      </c>
      <c r="O47" s="213">
        <f t="shared" si="3"/>
        <v>853589.52983427199</v>
      </c>
      <c r="P47" s="213">
        <f>IF($F47="","",'פרמטרים לקריטריונים'!$C$59*O47)</f>
        <v>256076.85895028157</v>
      </c>
      <c r="Q47" s="214">
        <f t="shared" si="4"/>
        <v>1.4548469584469001E-3</v>
      </c>
      <c r="R47" s="213">
        <f t="shared" si="13"/>
        <v>145484.69584469</v>
      </c>
      <c r="S47" s="213">
        <f>IF($F47="","",'הזנה לתנאי סף'!N47)</f>
        <v>1</v>
      </c>
      <c r="T47" s="213">
        <f>IF($F47="","",'הזנה לתנאי סף'!O47)</f>
        <v>1</v>
      </c>
      <c r="U47" s="213">
        <f>IF($F47="","",'תחום תמיכה א'!W47)</f>
        <v>0</v>
      </c>
      <c r="V47" s="213">
        <f>IF($F47="","",'תחום תמיכה א'!X47)</f>
        <v>0</v>
      </c>
      <c r="W47" s="213">
        <f>IF($F47="","",'תחום תמיכה א'!Y47)</f>
        <v>0</v>
      </c>
      <c r="X47" s="231" t="str">
        <f>IF($F47="","",'תחום תמיכה א'!Z47)</f>
        <v>בדוק נתוני הזנה</v>
      </c>
      <c r="Y47" s="213" t="str">
        <f>IF($F47="","",'תחום תמיכה א'!AA47)</f>
        <v>בדוק נתוני הזנה</v>
      </c>
      <c r="Z47" s="214">
        <f>IF($F47="","",'תחום תמיכה א'!AB47)</f>
        <v>0</v>
      </c>
      <c r="AA47" s="225" t="str">
        <f>IF($F47="","",'תחום תמיכה א'!AC47)</f>
        <v/>
      </c>
      <c r="AB47" s="213" t="str">
        <f t="shared" si="6"/>
        <v/>
      </c>
      <c r="AC47" s="213">
        <f t="shared" si="7"/>
        <v>145484.69584469</v>
      </c>
      <c r="AD47" s="214">
        <f t="shared" si="8"/>
        <v>1.4580398216854989E-3</v>
      </c>
      <c r="AE47" s="213">
        <f t="shared" si="11"/>
        <v>149847.06205074387</v>
      </c>
      <c r="AF47" s="214">
        <f t="shared" si="9"/>
        <v>1.4580398216854991E-3</v>
      </c>
    </row>
    <row r="48" spans="1:32" ht="15.75" x14ac:dyDescent="0.2">
      <c r="A48" s="206">
        <f t="shared" si="10"/>
        <v>18</v>
      </c>
      <c r="B48" s="88">
        <f>IF($F48="","",'הזנה לתנאי סף'!C48)</f>
        <v>1001346240</v>
      </c>
      <c r="C48" s="88">
        <f>IF($F48="","",'הזנה לתנאי סף'!D48)</f>
        <v>1001273528</v>
      </c>
      <c r="D48" s="88">
        <f>IF($F48="","",'הזנה לתנאי סף'!E48)</f>
        <v>40000133</v>
      </c>
      <c r="E48" s="88">
        <f>IF($F48="","",'הזנה לתנאי סף'!F48)</f>
        <v>20000201</v>
      </c>
      <c r="F48" s="88" t="str">
        <f>IF(OR('הזנה לתנאי סף'!G48="",'הזנה לתנאי סף'!BL48&lt;&gt;1,'הזנה לתנאי סף'!Q48&lt;&gt;1),"",'הזנה לתנאי סף'!G48)</f>
        <v>תל אביב -יפו</v>
      </c>
      <c r="G48" s="88" t="str">
        <f>IF($F48="","",'הזנה לתנאי סף'!H48)</f>
        <v>האופרה הישראלית ת"א</v>
      </c>
      <c r="H48" s="88" t="str">
        <f>IF($F48="","",'הזנה לתנאי סף'!I48)</f>
        <v>אופרה</v>
      </c>
      <c r="I48" s="213">
        <f>IF($F48="","",'תחום תמיכה א'!$I48)</f>
        <v>29300000</v>
      </c>
      <c r="J48" s="213">
        <f>IF($F48="","",'תחום תמיכה א'!$J48)</f>
        <v>44742000</v>
      </c>
      <c r="K48" s="213">
        <f>IF($F48="","",'תחום תמיכה א'!$K48)</f>
        <v>0</v>
      </c>
      <c r="L48" s="213">
        <f t="shared" si="0"/>
        <v>74042000</v>
      </c>
      <c r="M48" s="214">
        <f t="shared" si="1"/>
        <v>0.3957213473433997</v>
      </c>
      <c r="N48" s="214">
        <f t="shared" si="12"/>
        <v>0.6042786526566003</v>
      </c>
      <c r="O48" s="213">
        <f t="shared" si="3"/>
        <v>27036635.477161612</v>
      </c>
      <c r="P48" s="213">
        <f>IF($F48="","",'פרמטרים לקריטריונים'!$C$59*O48)</f>
        <v>8110990.6431484837</v>
      </c>
      <c r="Q48" s="214">
        <f t="shared" si="4"/>
        <v>4.6080891946065718E-2</v>
      </c>
      <c r="R48" s="213">
        <f t="shared" si="13"/>
        <v>4608089.1946065715</v>
      </c>
      <c r="S48" s="213">
        <f>IF($F48="","",'הזנה לתנאי סף'!N48)</f>
        <v>1</v>
      </c>
      <c r="T48" s="213">
        <f>IF($F48="","",'הזנה לתנאי סף'!O48)</f>
        <v>1</v>
      </c>
      <c r="U48" s="213">
        <f>IF($F48="","",'תחום תמיכה א'!W48)</f>
        <v>0</v>
      </c>
      <c r="V48" s="213">
        <f>IF($F48="","",'תחום תמיכה א'!X48)</f>
        <v>0</v>
      </c>
      <c r="W48" s="213">
        <f>IF($F48="","",'תחום תמיכה א'!Y48)</f>
        <v>0</v>
      </c>
      <c r="X48" s="231" t="str">
        <f>IF($F48="","",'תחום תמיכה א'!Z48)</f>
        <v>בדוק נתוני הזנה</v>
      </c>
      <c r="Y48" s="213" t="str">
        <f>IF($F48="","",'תחום תמיכה א'!AA48)</f>
        <v>בדוק נתוני הזנה</v>
      </c>
      <c r="Z48" s="214">
        <f>IF($F48="","",'תחום תמיכה א'!AB48)</f>
        <v>0</v>
      </c>
      <c r="AA48" s="225" t="str">
        <f>IF($F48="","",'תחום תמיכה א'!AC48)</f>
        <v/>
      </c>
      <c r="AB48" s="213" t="str">
        <f t="shared" si="6"/>
        <v/>
      </c>
      <c r="AC48" s="213">
        <f t="shared" si="7"/>
        <v>4608089.1946065715</v>
      </c>
      <c r="AD48" s="214">
        <f t="shared" si="8"/>
        <v>4.6182022848558379E-2</v>
      </c>
      <c r="AE48" s="213">
        <f t="shared" si="11"/>
        <v>4746262.9898660639</v>
      </c>
      <c r="AF48" s="214">
        <f t="shared" si="9"/>
        <v>4.6182022848558386E-2</v>
      </c>
    </row>
    <row r="49" spans="1:32" ht="15.75" x14ac:dyDescent="0.2">
      <c r="A49" s="206">
        <f t="shared" si="10"/>
        <v>19</v>
      </c>
      <c r="B49" s="88">
        <f>IF($F49="","",'הזנה לתנאי סף'!C49)</f>
        <v>1001348851</v>
      </c>
      <c r="C49" s="88">
        <f>IF($F49="","",'הזנה לתנאי סף'!D49)</f>
        <v>1001270249</v>
      </c>
      <c r="D49" s="88">
        <f>IF($F49="","",'הזנה לתנאי סף'!E49)</f>
        <v>40000134</v>
      </c>
      <c r="E49" s="88">
        <f>IF($F49="","",'הזנה לתנאי סף'!F49)</f>
        <v>20000201</v>
      </c>
      <c r="F49" s="88" t="str">
        <f>IF(OR('הזנה לתנאי סף'!G49="",'הזנה לתנאי סף'!BL49&lt;&gt;1,'הזנה לתנאי סף'!Q49&lt;&gt;1),"",'הזנה לתנאי סף'!G49)</f>
        <v>תל אביב -יפו</v>
      </c>
      <c r="G49" s="88" t="str">
        <f>IF($F49="","",'הזנה לתנאי סף'!H49)</f>
        <v>תיאטרון תמונע</v>
      </c>
      <c r="H49" s="88" t="str">
        <f>IF($F49="","",'הזנה לתנאי סף'!I49)</f>
        <v>מרכזי פרינג'</v>
      </c>
      <c r="I49" s="213">
        <f>IF($F49="","",'תחום תמיכה א'!$I49)</f>
        <v>1480259</v>
      </c>
      <c r="J49" s="213">
        <f>IF($F49="","",'תחום תמיכה א'!$J49)</f>
        <v>686959</v>
      </c>
      <c r="K49" s="213">
        <f>IF($F49="","",'תחום תמיכה א'!$K49)</f>
        <v>0</v>
      </c>
      <c r="L49" s="213">
        <f t="shared" si="0"/>
        <v>2167218</v>
      </c>
      <c r="M49" s="214">
        <f t="shared" si="1"/>
        <v>0.68302265854196487</v>
      </c>
      <c r="N49" s="214">
        <f t="shared" si="12"/>
        <v>0.31697734145803513</v>
      </c>
      <c r="O49" s="213">
        <f t="shared" si="3"/>
        <v>217750.43751067037</v>
      </c>
      <c r="P49" s="213">
        <f>IF($F49="","",'פרמטרים לקריטריונים'!$C$59*O49)</f>
        <v>65325.131253201107</v>
      </c>
      <c r="Q49" s="214">
        <f t="shared" si="4"/>
        <v>3.7113103036114721E-4</v>
      </c>
      <c r="R49" s="213">
        <f t="shared" si="13"/>
        <v>37113.10303611472</v>
      </c>
      <c r="S49" s="213">
        <f>IF($F49="","",'הזנה לתנאי סף'!N49)</f>
        <v>1</v>
      </c>
      <c r="T49" s="213">
        <f>IF($F49="","",'הזנה לתנאי סף'!O49)</f>
        <v>1</v>
      </c>
      <c r="U49" s="213">
        <f>IF($F49="","",'תחום תמיכה א'!W49)</f>
        <v>0</v>
      </c>
      <c r="V49" s="213">
        <f>IF($F49="","",'תחום תמיכה א'!X49)</f>
        <v>0</v>
      </c>
      <c r="W49" s="213">
        <f>IF($F49="","",'תחום תמיכה א'!Y49)</f>
        <v>0</v>
      </c>
      <c r="X49" s="231" t="str">
        <f>IF($F49="","",'תחום תמיכה א'!Z49)</f>
        <v>בדוק נתוני הזנה</v>
      </c>
      <c r="Y49" s="213" t="str">
        <f>IF($F49="","",'תחום תמיכה א'!AA49)</f>
        <v>בדוק נתוני הזנה</v>
      </c>
      <c r="Z49" s="214">
        <f>IF($F49="","",'תחום תמיכה א'!AB49)</f>
        <v>0</v>
      </c>
      <c r="AA49" s="225" t="str">
        <f>IF($F49="","",'תחום תמיכה א'!AC49)</f>
        <v/>
      </c>
      <c r="AB49" s="213" t="str">
        <f t="shared" si="6"/>
        <v/>
      </c>
      <c r="AC49" s="213">
        <f t="shared" si="7"/>
        <v>37113.10303611472</v>
      </c>
      <c r="AD49" s="214">
        <f t="shared" si="8"/>
        <v>3.7194552883238738E-4</v>
      </c>
      <c r="AE49" s="213">
        <f t="shared" si="11"/>
        <v>38225.941369703964</v>
      </c>
      <c r="AF49" s="214">
        <f t="shared" si="9"/>
        <v>3.7194552883238748E-4</v>
      </c>
    </row>
    <row r="50" spans="1:32" ht="15.75" x14ac:dyDescent="0.2">
      <c r="A50" s="206">
        <f t="shared" si="10"/>
        <v>20</v>
      </c>
      <c r="B50" s="88">
        <f>IF($F50="","",'הזנה לתנאי סף'!C50)</f>
        <v>1001350603</v>
      </c>
      <c r="C50" s="88">
        <f>IF($F50="","",'הזנה לתנאי סף'!D50)</f>
        <v>1001334964</v>
      </c>
      <c r="D50" s="88">
        <f>IF($F50="","",'הזנה לתנאי סף'!E50)</f>
        <v>40000065</v>
      </c>
      <c r="E50" s="88">
        <f>IF($F50="","",'הזנה לתנאי סף'!F50)</f>
        <v>20000201</v>
      </c>
      <c r="F50" s="88" t="str">
        <f>IF(OR('הזנה לתנאי סף'!G50="",'הזנה לתנאי סף'!BL50&lt;&gt;1,'הזנה לתנאי סף'!Q50&lt;&gt;1),"",'הזנה לתנאי סף'!G50)</f>
        <v>תל אביב -יפו</v>
      </c>
      <c r="G50" s="88" t="str">
        <f>IF($F50="","",'הזנה לתנאי סף'!H50)</f>
        <v>אנחנו כאן אגודה לתרבות פולקלור</v>
      </c>
      <c r="H50" s="88" t="str">
        <f>IF($F50="","",'הזנה לתנאי סף'!I50)</f>
        <v>מחול</v>
      </c>
      <c r="I50" s="213">
        <f>IF($F50="","",'תחום תמיכה א'!$I50)</f>
        <v>445516</v>
      </c>
      <c r="J50" s="213">
        <f>IF($F50="","",'תחום תמיכה א'!$J50)</f>
        <v>296918</v>
      </c>
      <c r="K50" s="213">
        <f>IF($F50="","",'תחום תמיכה א'!$K50)</f>
        <v>0</v>
      </c>
      <c r="L50" s="213">
        <f t="shared" si="0"/>
        <v>742434</v>
      </c>
      <c r="M50" s="214">
        <f t="shared" si="1"/>
        <v>0.60007488881166537</v>
      </c>
      <c r="N50" s="214">
        <f t="shared" si="12"/>
        <v>0.39992511118833463</v>
      </c>
      <c r="O50" s="213">
        <f t="shared" si="3"/>
        <v>118744.96416381795</v>
      </c>
      <c r="P50" s="213">
        <f>IF($F50="","",'פרמטרים לקריטריונים'!$C$59*O50)</f>
        <v>35623.489249145379</v>
      </c>
      <c r="Q50" s="214">
        <f t="shared" si="4"/>
        <v>2.0238738164719282E-4</v>
      </c>
      <c r="R50" s="213">
        <f t="shared" si="13"/>
        <v>20238.738164719281</v>
      </c>
      <c r="S50" s="213">
        <f>IF($F50="","",'הזנה לתנאי סף'!N50)</f>
        <v>0</v>
      </c>
      <c r="T50" s="213">
        <f>IF($F50="","",'הזנה לתנאי סף'!O50)</f>
        <v>1</v>
      </c>
      <c r="U50" s="213">
        <f>IF($F50="","",'תחום תמיכה א'!W50)</f>
        <v>0</v>
      </c>
      <c r="V50" s="213">
        <f>IF($F50="","",'תחום תמיכה א'!X50)</f>
        <v>0</v>
      </c>
      <c r="W50" s="213">
        <f>IF($F50="","",'תחום תמיכה א'!Y50)</f>
        <v>1</v>
      </c>
      <c r="X50" s="231">
        <f>IF($F50="","",'תחום תמיכה א'!Z50)</f>
        <v>0</v>
      </c>
      <c r="Y50" s="213" t="str">
        <f>IF($F50="","",'תחום תמיכה א'!AA50)</f>
        <v/>
      </c>
      <c r="Z50" s="214" t="str">
        <f>IF($F50="","",'תחום תמיכה א'!AB50)</f>
        <v/>
      </c>
      <c r="AA50" s="225" t="str">
        <f>IF($F50="","",'תחום תמיכה א'!AC50)</f>
        <v/>
      </c>
      <c r="AB50" s="213" t="str">
        <f t="shared" si="6"/>
        <v/>
      </c>
      <c r="AC50" s="213">
        <f t="shared" si="7"/>
        <v>20238.738164719281</v>
      </c>
      <c r="AD50" s="214">
        <f t="shared" si="8"/>
        <v>2.0283154879966597E-4</v>
      </c>
      <c r="AE50" s="213">
        <f t="shared" si="11"/>
        <v>20845.597786003404</v>
      </c>
      <c r="AF50" s="214">
        <f t="shared" si="9"/>
        <v>2.0283154879966603E-4</v>
      </c>
    </row>
    <row r="51" spans="1:32" ht="15.75" x14ac:dyDescent="0.2">
      <c r="A51" s="206">
        <f t="shared" si="10"/>
        <v>21</v>
      </c>
      <c r="B51" s="88">
        <f>IF($F51="","",'הזנה לתנאי סף'!C51)</f>
        <v>1001346663</v>
      </c>
      <c r="C51" s="88">
        <f>IF($F51="","",'הזנה לתנאי סף'!D51)</f>
        <v>1001273853</v>
      </c>
      <c r="D51" s="88">
        <f>IF($F51="","",'הזנה לתנאי סף'!E51)</f>
        <v>40000140</v>
      </c>
      <c r="E51" s="88">
        <f>IF($F51="","",'הזנה לתנאי סף'!F51)</f>
        <v>20000201</v>
      </c>
      <c r="F51" s="88" t="str">
        <f>IF(OR('הזנה לתנאי סף'!G51="",'הזנה לתנאי סף'!BL51&lt;&gt;1,'הזנה לתנאי סף'!Q51&lt;&gt;1),"",'הזנה לתנאי סף'!G51)</f>
        <v>תל אביב -יפו</v>
      </c>
      <c r="G51" s="88" t="str">
        <f>IF($F51="","",'הזנה לתנאי סף'!H51)</f>
        <v>להקת המחול בת שבע</v>
      </c>
      <c r="H51" s="88" t="str">
        <f>IF($F51="","",'הזנה לתנאי סף'!I51)</f>
        <v>מחול</v>
      </c>
      <c r="I51" s="213">
        <f>IF($F51="","",'תחום תמיכה א'!$I51)</f>
        <v>7453841</v>
      </c>
      <c r="J51" s="213">
        <f>IF($F51="","",'תחום תמיכה א'!$J51)</f>
        <v>16090469</v>
      </c>
      <c r="K51" s="213">
        <f>IF($F51="","",'תחום תמיכה א'!$K51)</f>
        <v>0</v>
      </c>
      <c r="L51" s="213">
        <f t="shared" si="0"/>
        <v>23544310</v>
      </c>
      <c r="M51" s="214">
        <f t="shared" si="1"/>
        <v>0.3165877870279486</v>
      </c>
      <c r="N51" s="214">
        <f t="shared" si="12"/>
        <v>0.68341221297205146</v>
      </c>
      <c r="O51" s="213">
        <f t="shared" si="3"/>
        <v>10996423.027048191</v>
      </c>
      <c r="P51" s="213">
        <f>IF($F51="","",'פרמטרים לקריטריונים'!$C$59*O51)</f>
        <v>3298926.908114457</v>
      </c>
      <c r="Q51" s="214">
        <f t="shared" si="4"/>
        <v>1.874216123269766E-2</v>
      </c>
      <c r="R51" s="213">
        <f t="shared" si="13"/>
        <v>1874216.1232697661</v>
      </c>
      <c r="S51" s="213">
        <f>IF($F51="","",'הזנה לתנאי סף'!N51)</f>
        <v>1</v>
      </c>
      <c r="T51" s="213">
        <f>IF($F51="","",'הזנה לתנאי סף'!O51)</f>
        <v>1</v>
      </c>
      <c r="U51" s="213">
        <f>IF($F51="","",'תחום תמיכה א'!W51)</f>
        <v>0</v>
      </c>
      <c r="V51" s="213">
        <f>IF($F51="","",'תחום תמיכה א'!X51)</f>
        <v>0</v>
      </c>
      <c r="W51" s="213">
        <f>IF($F51="","",'תחום תמיכה א'!Y51)</f>
        <v>0</v>
      </c>
      <c r="X51" s="231" t="str">
        <f>IF($F51="","",'תחום תמיכה א'!Z51)</f>
        <v>בדוק נתוני הזנה</v>
      </c>
      <c r="Y51" s="213" t="str">
        <f>IF($F51="","",'תחום תמיכה א'!AA51)</f>
        <v>בדוק נתוני הזנה</v>
      </c>
      <c r="Z51" s="214">
        <f>IF($F51="","",'תחום תמיכה א'!AB51)</f>
        <v>0</v>
      </c>
      <c r="AA51" s="225" t="str">
        <f>IF($F51="","",'תחום תמיכה א'!AC51)</f>
        <v/>
      </c>
      <c r="AB51" s="213" t="str">
        <f t="shared" si="6"/>
        <v/>
      </c>
      <c r="AC51" s="213">
        <f t="shared" si="7"/>
        <v>1874216.1232697661</v>
      </c>
      <c r="AD51" s="214">
        <f t="shared" si="8"/>
        <v>1.878329350249713E-2</v>
      </c>
      <c r="AE51" s="213">
        <f t="shared" si="11"/>
        <v>1930414.5916483337</v>
      </c>
      <c r="AF51" s="214">
        <f t="shared" si="9"/>
        <v>1.8783293502497134E-2</v>
      </c>
    </row>
    <row r="52" spans="1:32" ht="15.75" x14ac:dyDescent="0.2">
      <c r="A52" s="206">
        <f t="shared" si="10"/>
        <v>22</v>
      </c>
      <c r="B52" s="88">
        <f>IF($F52="","",'הזנה לתנאי סף'!C52)</f>
        <v>1001350716</v>
      </c>
      <c r="C52" s="88">
        <f>IF($F52="","",'הזנה לתנאי סף'!D52)</f>
        <v>1001302141</v>
      </c>
      <c r="D52" s="88">
        <f>IF($F52="","",'הזנה לתנאי סף'!E52)</f>
        <v>40000150</v>
      </c>
      <c r="E52" s="88">
        <f>IF($F52="","",'הזנה לתנאי סף'!F52)</f>
        <v>20000233</v>
      </c>
      <c r="F52" s="88" t="str">
        <f>IF(OR('הזנה לתנאי סף'!G52="",'הזנה לתנאי סף'!BL52&lt;&gt;1,'הזנה לתנאי סף'!Q52&lt;&gt;1),"",'הזנה לתנאי סף'!G52)</f>
        <v>נתניה</v>
      </c>
      <c r="G52" s="88" t="str">
        <f>IF($F52="","",'הזנה לתנאי סף'!H52)</f>
        <v>היכל התרבות נתניה</v>
      </c>
      <c r="H52" s="88" t="str">
        <f>IF($F52="","",'הזנה לתנאי סף'!I52)</f>
        <v>קבוצות מוסיקה</v>
      </c>
      <c r="I52" s="213">
        <f>IF($F52="","",'תחום תמיכה א'!$I52)</f>
        <v>90960</v>
      </c>
      <c r="J52" s="213">
        <f>IF($F52="","",'תחום תמיכה א'!$J52)</f>
        <v>180885</v>
      </c>
      <c r="K52" s="213">
        <f>IF($F52="","",'תחום תמיכה א'!$K52)</f>
        <v>0</v>
      </c>
      <c r="L52" s="213">
        <f t="shared" si="0"/>
        <v>271845</v>
      </c>
      <c r="M52" s="214">
        <f t="shared" si="1"/>
        <v>0.33460243888980851</v>
      </c>
      <c r="N52" s="214">
        <f t="shared" si="12"/>
        <v>0.66539756111019144</v>
      </c>
      <c r="O52" s="213">
        <f t="shared" si="3"/>
        <v>120360.43784141698</v>
      </c>
      <c r="P52" s="213">
        <f>IF($F52="","",'פרמטרים לקריטריונים'!$C$59*O52)</f>
        <v>36108.131352425095</v>
      </c>
      <c r="Q52" s="214">
        <f t="shared" si="4"/>
        <v>2.0514077409656168E-4</v>
      </c>
      <c r="R52" s="213">
        <f t="shared" si="13"/>
        <v>20514.077409656169</v>
      </c>
      <c r="S52" s="213">
        <f>IF($F52="","",'הזנה לתנאי סף'!N52)</f>
        <v>0</v>
      </c>
      <c r="T52" s="213">
        <f>IF($F52="","",'הזנה לתנאי סף'!O52)</f>
        <v>1</v>
      </c>
      <c r="U52" s="213">
        <f>IF($F52="","",'תחום תמיכה א'!W52)</f>
        <v>0</v>
      </c>
      <c r="V52" s="213">
        <f>IF($F52="","",'תחום תמיכה א'!X52)</f>
        <v>0</v>
      </c>
      <c r="W52" s="213">
        <f>IF($F52="","",'תחום תמיכה א'!Y52)</f>
        <v>1</v>
      </c>
      <c r="X52" s="231">
        <f>IF($F52="","",'תחום תמיכה א'!Z52)</f>
        <v>0</v>
      </c>
      <c r="Y52" s="213" t="str">
        <f>IF($F52="","",'תחום תמיכה א'!AA52)</f>
        <v/>
      </c>
      <c r="Z52" s="214" t="str">
        <f>IF($F52="","",'תחום תמיכה א'!AB52)</f>
        <v/>
      </c>
      <c r="AA52" s="225" t="str">
        <f>IF($F52="","",'תחום תמיכה א'!AC52)</f>
        <v/>
      </c>
      <c r="AB52" s="213" t="str">
        <f t="shared" si="6"/>
        <v/>
      </c>
      <c r="AC52" s="213">
        <f t="shared" si="7"/>
        <v>20514.077409656169</v>
      </c>
      <c r="AD52" s="214">
        <f t="shared" si="8"/>
        <v>2.0559098395028392E-4</v>
      </c>
      <c r="AE52" s="213">
        <f t="shared" si="11"/>
        <v>21129.193092585396</v>
      </c>
      <c r="AF52" s="214">
        <f t="shared" si="9"/>
        <v>2.0559098395028398E-4</v>
      </c>
    </row>
    <row r="53" spans="1:32" ht="15.75" x14ac:dyDescent="0.2">
      <c r="A53" s="206">
        <f t="shared" si="10"/>
        <v>23</v>
      </c>
      <c r="B53" s="88">
        <f>IF($F53="","",'הזנה לתנאי סף'!C53)</f>
        <v>1001346670</v>
      </c>
      <c r="C53" s="88">
        <f>IF($F53="","",'הזנה לתנאי סף'!D53)</f>
        <v>1001277080</v>
      </c>
      <c r="D53" s="88">
        <f>IF($F53="","",'הזנה לתנאי סף'!E53)</f>
        <v>40000106</v>
      </c>
      <c r="E53" s="88">
        <f>IF($F53="","",'הזנה לתנאי סף'!F53)</f>
        <v>20000201</v>
      </c>
      <c r="F53" s="88" t="str">
        <f>IF(OR('הזנה לתנאי סף'!G53="",'הזנה לתנאי סף'!BL53&lt;&gt;1,'הזנה לתנאי סף'!Q53&lt;&gt;1),"",'הזנה לתנאי סף'!G53)</f>
        <v>תל אביב -יפו</v>
      </c>
      <c r="G53" s="88" t="str">
        <f>IF($F53="","",'הזנה לתנאי סף'!H53)</f>
        <v>התזמורת הקאמרית הישראלית</v>
      </c>
      <c r="H53" s="88" t="str">
        <f>IF($F53="","",'הזנה לתנאי סף'!I53)</f>
        <v>מוסיקה-גופים כליים</v>
      </c>
      <c r="I53" s="213">
        <f>IF($F53="","",'תחום תמיכה א'!$I53)</f>
        <v>3046428</v>
      </c>
      <c r="J53" s="213">
        <f>IF($F53="","",'תחום תמיכה א'!$J53)</f>
        <v>3679784</v>
      </c>
      <c r="K53" s="213">
        <f>IF($F53="","",'תחום תמיכה א'!$K53)</f>
        <v>0</v>
      </c>
      <c r="L53" s="213">
        <f t="shared" si="0"/>
        <v>6726212</v>
      </c>
      <c r="M53" s="214">
        <f t="shared" si="1"/>
        <v>0.45291881968632569</v>
      </c>
      <c r="N53" s="214">
        <f t="shared" si="12"/>
        <v>0.54708118031367436</v>
      </c>
      <c r="O53" s="213">
        <f t="shared" si="3"/>
        <v>2013140.5740193739</v>
      </c>
      <c r="P53" s="213">
        <f>IF($F53="","",'פרמטרים לקריטריונים'!$C$59*O53)</f>
        <v>603942.17220581218</v>
      </c>
      <c r="Q53" s="214">
        <f t="shared" si="4"/>
        <v>3.4311707661254633E-3</v>
      </c>
      <c r="R53" s="213">
        <f t="shared" si="13"/>
        <v>343117.07661254634</v>
      </c>
      <c r="S53" s="213">
        <f>IF($F53="","",'הזנה לתנאי סף'!N53)</f>
        <v>1</v>
      </c>
      <c r="T53" s="213">
        <f>IF($F53="","",'הזנה לתנאי סף'!O53)</f>
        <v>1</v>
      </c>
      <c r="U53" s="213">
        <f>IF($F53="","",'תחום תמיכה א'!W53)</f>
        <v>0</v>
      </c>
      <c r="V53" s="213">
        <f>IF($F53="","",'תחום תמיכה א'!X53)</f>
        <v>0</v>
      </c>
      <c r="W53" s="213">
        <f>IF($F53="","",'תחום תמיכה א'!Y53)</f>
        <v>0</v>
      </c>
      <c r="X53" s="231" t="str">
        <f>IF($F53="","",'תחום תמיכה א'!Z53)</f>
        <v>בדוק נתוני הזנה</v>
      </c>
      <c r="Y53" s="213" t="str">
        <f>IF($F53="","",'תחום תמיכה א'!AA53)</f>
        <v>בדוק נתוני הזנה</v>
      </c>
      <c r="Z53" s="214">
        <f>IF($F53="","",'תחום תמיכה א'!AB53)</f>
        <v>0</v>
      </c>
      <c r="AA53" s="225" t="str">
        <f>IF($F53="","",'תחום תמיכה א'!AC53)</f>
        <v/>
      </c>
      <c r="AB53" s="213" t="str">
        <f t="shared" si="6"/>
        <v/>
      </c>
      <c r="AC53" s="213">
        <f t="shared" si="7"/>
        <v>343117.07661254634</v>
      </c>
      <c r="AD53" s="214">
        <f t="shared" si="8"/>
        <v>3.4387009458058141E-3</v>
      </c>
      <c r="AE53" s="213">
        <f t="shared" si="11"/>
        <v>353405.46008163964</v>
      </c>
      <c r="AF53" s="214">
        <f t="shared" si="9"/>
        <v>3.4387009458058154E-3</v>
      </c>
    </row>
    <row r="54" spans="1:32" ht="15.75" x14ac:dyDescent="0.2">
      <c r="A54" s="206">
        <f t="shared" si="10"/>
        <v>24</v>
      </c>
      <c r="B54" s="88">
        <f>IF($F54="","",'הזנה לתנאי סף'!C54)</f>
        <v>1001346676</v>
      </c>
      <c r="C54" s="88">
        <f>IF($F54="","",'הזנה לתנאי סף'!D54)</f>
        <v>1001266343</v>
      </c>
      <c r="D54" s="88">
        <f>IF($F54="","",'הזנה לתנאי סף'!E54)</f>
        <v>40000132</v>
      </c>
      <c r="E54" s="88">
        <f>IF($F54="","",'הזנה לתנאי סף'!F54)</f>
        <v>20000201</v>
      </c>
      <c r="F54" s="88" t="str">
        <f>IF(OR('הזנה לתנאי סף'!G54="",'הזנה לתנאי סף'!BL54&lt;&gt;1,'הזנה לתנאי סף'!Q54&lt;&gt;1),"",'הזנה לתנאי סף'!G54)</f>
        <v>תל אביב -יפו</v>
      </c>
      <c r="G54" s="88" t="str">
        <f>IF($F54="","",'הזנה לתנאי סף'!H54)</f>
        <v>תיאטרון הנפש</v>
      </c>
      <c r="H54" s="88" t="str">
        <f>IF($F54="","",'הזנה לתנאי סף'!I54)</f>
        <v>תיאטרון</v>
      </c>
      <c r="I54" s="213">
        <f>IF($F54="","",'תחום תמיכה א'!$I54)</f>
        <v>1367542</v>
      </c>
      <c r="J54" s="213">
        <f>IF($F54="","",'תחום תמיכה א'!$J54)</f>
        <v>1660514</v>
      </c>
      <c r="K54" s="213">
        <f>IF($F54="","",'תחום תמיכה א'!$K54)</f>
        <v>60</v>
      </c>
      <c r="L54" s="213">
        <f t="shared" si="0"/>
        <v>3028116</v>
      </c>
      <c r="M54" s="214">
        <f t="shared" si="1"/>
        <v>0.45161479943304683</v>
      </c>
      <c r="N54" s="214">
        <f t="shared" si="12"/>
        <v>0.54838520056695317</v>
      </c>
      <c r="O54" s="213">
        <f t="shared" si="3"/>
        <v>910601.30293423368</v>
      </c>
      <c r="P54" s="213">
        <f>IF($F54="","",'פרמטרים לקריטריונים'!$C$59*O54)</f>
        <v>273180.3908802701</v>
      </c>
      <c r="Q54" s="214">
        <f t="shared" si="4"/>
        <v>1.5520170874036693E-3</v>
      </c>
      <c r="R54" s="213">
        <f t="shared" si="13"/>
        <v>155201.70874036694</v>
      </c>
      <c r="S54" s="213">
        <f>IF($F54="","",'הזנה לתנאי סף'!N54)</f>
        <v>1</v>
      </c>
      <c r="T54" s="213">
        <f>IF($F54="","",'הזנה לתנאי סף'!O54)</f>
        <v>1</v>
      </c>
      <c r="U54" s="213">
        <f>IF($F54="","",'תחום תמיכה א'!W54)</f>
        <v>0</v>
      </c>
      <c r="V54" s="213">
        <f>IF($F54="","",'תחום תמיכה א'!X54)</f>
        <v>0</v>
      </c>
      <c r="W54" s="213">
        <f>IF($F54="","",'תחום תמיכה א'!Y54)</f>
        <v>0</v>
      </c>
      <c r="X54" s="231" t="str">
        <f>IF($F54="","",'תחום תמיכה א'!Z54)</f>
        <v>בדוק נתוני הזנה</v>
      </c>
      <c r="Y54" s="213" t="str">
        <f>IF($F54="","",'תחום תמיכה א'!AA54)</f>
        <v>בדוק נתוני הזנה</v>
      </c>
      <c r="Z54" s="214">
        <f>IF($F54="","",'תחום תמיכה א'!AB54)</f>
        <v>0</v>
      </c>
      <c r="AA54" s="225" t="str">
        <f>IF($F54="","",'תחום תמיכה א'!AC54)</f>
        <v/>
      </c>
      <c r="AB54" s="213" t="str">
        <f t="shared" si="6"/>
        <v/>
      </c>
      <c r="AC54" s="213">
        <f t="shared" si="7"/>
        <v>155201.70874036694</v>
      </c>
      <c r="AD54" s="214">
        <f t="shared" si="8"/>
        <v>1.5554232039544705E-3</v>
      </c>
      <c r="AE54" s="213">
        <f t="shared" si="11"/>
        <v>159855.44008578328</v>
      </c>
      <c r="AF54" s="214">
        <f t="shared" si="9"/>
        <v>1.5554232039544709E-3</v>
      </c>
    </row>
    <row r="55" spans="1:32" ht="15.75" x14ac:dyDescent="0.2">
      <c r="A55" s="206">
        <f t="shared" si="10"/>
        <v>25</v>
      </c>
      <c r="B55" s="88">
        <f>IF($F55="","",'הזנה לתנאי סף'!C55)</f>
        <v>1001346807</v>
      </c>
      <c r="C55" s="88">
        <f>IF($F55="","",'הזנה לתנאי סף'!D55)</f>
        <v>1001266435</v>
      </c>
      <c r="D55" s="88">
        <f>IF($F55="","",'הזנה לתנאי סף'!E55)</f>
        <v>40000132</v>
      </c>
      <c r="E55" s="88">
        <f>IF($F55="","",'הזנה לתנאי סף'!F55)</f>
        <v>20000201</v>
      </c>
      <c r="F55" s="88" t="str">
        <f>IF(OR('הזנה לתנאי סף'!G55="",'הזנה לתנאי סף'!BL55&lt;&gt;1,'הזנה לתנאי סף'!Q55&lt;&gt;1),"",'הזנה לתנאי סף'!G55)</f>
        <v>תל אביב -יפו</v>
      </c>
      <c r="G55" s="88" t="str">
        <f>IF($F55="","",'הזנה לתנאי סף'!H55)</f>
        <v>תיאטרון הנפש</v>
      </c>
      <c r="H55" s="88" t="str">
        <f>IF($F55="","",'הזנה לתנאי סף'!I55)</f>
        <v>סינמטקים ופסטיבלים</v>
      </c>
      <c r="I55" s="213">
        <f>IF($F55="","",'תחום תמיכה א'!$I55)</f>
        <v>343945</v>
      </c>
      <c r="J55" s="213">
        <f>IF($F55="","",'תחום תמיכה א'!$J55)</f>
        <v>199225</v>
      </c>
      <c r="K55" s="213">
        <f>IF($F55="","",'תחום תמיכה א'!$K55)</f>
        <v>0</v>
      </c>
      <c r="L55" s="213">
        <f t="shared" si="0"/>
        <v>543170</v>
      </c>
      <c r="M55" s="214">
        <f t="shared" si="1"/>
        <v>0.63321796122760832</v>
      </c>
      <c r="N55" s="214">
        <f t="shared" si="12"/>
        <v>0.36678203877239168</v>
      </c>
      <c r="O55" s="213">
        <f t="shared" si="3"/>
        <v>73072.151674429726</v>
      </c>
      <c r="P55" s="213">
        <f>IF($F55="","",'פרמטרים לקריטריונים'!$C$59*O55)</f>
        <v>21921.645502328916</v>
      </c>
      <c r="Q55" s="214">
        <f t="shared" si="4"/>
        <v>1.245432305517559E-4</v>
      </c>
      <c r="R55" s="213">
        <f t="shared" si="13"/>
        <v>12454.32305517559</v>
      </c>
      <c r="S55" s="213">
        <f>IF($F55="","",'הזנה לתנאי סף'!N55)</f>
        <v>1</v>
      </c>
      <c r="T55" s="213">
        <f>IF($F55="","",'הזנה לתנאי סף'!O55)</f>
        <v>1</v>
      </c>
      <c r="U55" s="213">
        <f>IF($F55="","",'תחום תמיכה א'!W55)</f>
        <v>0</v>
      </c>
      <c r="V55" s="213">
        <f>IF($F55="","",'תחום תמיכה א'!X55)</f>
        <v>0</v>
      </c>
      <c r="W55" s="213">
        <f>IF($F55="","",'תחום תמיכה א'!Y55)</f>
        <v>0</v>
      </c>
      <c r="X55" s="231" t="str">
        <f>IF($F55="","",'תחום תמיכה א'!Z55)</f>
        <v>בדוק נתוני הזנה</v>
      </c>
      <c r="Y55" s="213" t="str">
        <f>IF($F55="","",'תחום תמיכה א'!AA55)</f>
        <v>בדוק נתוני הזנה</v>
      </c>
      <c r="Z55" s="214">
        <f>IF($F55="","",'תחום תמיכה א'!AB55)</f>
        <v>0</v>
      </c>
      <c r="AA55" s="225" t="str">
        <f>IF($F55="","",'תחום תמיכה א'!AC55)</f>
        <v/>
      </c>
      <c r="AB55" s="213" t="str">
        <f t="shared" si="6"/>
        <v/>
      </c>
      <c r="AC55" s="213">
        <f t="shared" si="7"/>
        <v>12454.32305517559</v>
      </c>
      <c r="AD55" s="214">
        <f t="shared" si="8"/>
        <v>1.2481655792831347E-4</v>
      </c>
      <c r="AE55" s="213">
        <f t="shared" si="11"/>
        <v>12827.766582687069</v>
      </c>
      <c r="AF55" s="214">
        <f t="shared" si="9"/>
        <v>1.248165579283135E-4</v>
      </c>
    </row>
    <row r="56" spans="1:32" ht="15.75" x14ac:dyDescent="0.2">
      <c r="A56" s="206">
        <f t="shared" si="10"/>
        <v>26</v>
      </c>
      <c r="B56" s="88">
        <f>IF($F56="","",'הזנה לתנאי סף'!C56)</f>
        <v>1001346564</v>
      </c>
      <c r="C56" s="88">
        <f>IF($F56="","",'הזנה לתנאי סף'!D56)</f>
        <v>1001269642</v>
      </c>
      <c r="D56" s="88">
        <f>IF($F56="","",'הזנה לתנאי סף'!E56)</f>
        <v>40000060</v>
      </c>
      <c r="E56" s="88">
        <f>IF($F56="","",'הזנה לתנאי סף'!F56)</f>
        <v>20000159</v>
      </c>
      <c r="F56" s="88" t="str">
        <f>IF(OR('הזנה לתנאי סף'!G56="",'הזנה לתנאי סף'!BL56&lt;&gt;1,'הזנה לתנאי סף'!Q56&lt;&gt;1),"",'הזנה לתנאי סף'!G56)</f>
        <v>ירושלים</v>
      </c>
      <c r="G56" s="88" t="str">
        <f>IF($F56="","",'הזנה לתנאי סף'!H56)</f>
        <v>תיאטרון הקרון</v>
      </c>
      <c r="H56" s="88" t="str">
        <f>IF($F56="","",'הזנה לתנאי סף'!I56)</f>
        <v>תיאטרון</v>
      </c>
      <c r="I56" s="213">
        <f>IF($F56="","",'תחום תמיכה א'!$I56)</f>
        <v>3341738</v>
      </c>
      <c r="J56" s="213">
        <f>IF($F56="","",'תחום תמיכה א'!$J56)</f>
        <v>2491488</v>
      </c>
      <c r="K56" s="213">
        <f>IF($F56="","",'תחום תמיכה א'!$K56)</f>
        <v>0</v>
      </c>
      <c r="L56" s="213">
        <f t="shared" si="0"/>
        <v>5833226</v>
      </c>
      <c r="M56" s="214">
        <f t="shared" si="1"/>
        <v>0.57287991241895997</v>
      </c>
      <c r="N56" s="214">
        <f t="shared" si="12"/>
        <v>0.42712008758104003</v>
      </c>
      <c r="O56" s="213">
        <f t="shared" si="3"/>
        <v>1064164.5727671103</v>
      </c>
      <c r="P56" s="213">
        <f>IF($F56="","",'פרמטרים לקריטריונים'!$C$59*O56)</f>
        <v>319249.37183013308</v>
      </c>
      <c r="Q56" s="214">
        <f t="shared" si="4"/>
        <v>1.813748339061474E-3</v>
      </c>
      <c r="R56" s="213">
        <f t="shared" si="13"/>
        <v>181374.8339061474</v>
      </c>
      <c r="S56" s="213">
        <f>IF($F56="","",'הזנה לתנאי סף'!N56)</f>
        <v>1</v>
      </c>
      <c r="T56" s="213">
        <f>IF($F56="","",'הזנה לתנאי סף'!O56)</f>
        <v>1</v>
      </c>
      <c r="U56" s="213">
        <f>IF($F56="","",'תחום תמיכה א'!W56)</f>
        <v>0</v>
      </c>
      <c r="V56" s="213">
        <f>IF($F56="","",'תחום תמיכה א'!X56)</f>
        <v>0</v>
      </c>
      <c r="W56" s="213">
        <f>IF($F56="","",'תחום תמיכה א'!Y56)</f>
        <v>0</v>
      </c>
      <c r="X56" s="231" t="str">
        <f>IF($F56="","",'תחום תמיכה א'!Z56)</f>
        <v>בדוק נתוני הזנה</v>
      </c>
      <c r="Y56" s="213" t="str">
        <f>IF($F56="","",'תחום תמיכה א'!AA56)</f>
        <v>בדוק נתוני הזנה</v>
      </c>
      <c r="Z56" s="214">
        <f>IF($F56="","",'תחום תמיכה א'!AB56)</f>
        <v>0</v>
      </c>
      <c r="AA56" s="225" t="str">
        <f>IF($F56="","",'תחום תמיכה א'!AC56)</f>
        <v/>
      </c>
      <c r="AB56" s="213" t="str">
        <f t="shared" si="6"/>
        <v/>
      </c>
      <c r="AC56" s="213">
        <f t="shared" si="7"/>
        <v>181374.8339061474</v>
      </c>
      <c r="AD56" s="214">
        <f t="shared" si="8"/>
        <v>1.8177288611103644E-3</v>
      </c>
      <c r="AE56" s="213">
        <f t="shared" si="11"/>
        <v>186813.36777712908</v>
      </c>
      <c r="AF56" s="214">
        <f t="shared" si="9"/>
        <v>1.8177288611103651E-3</v>
      </c>
    </row>
    <row r="57" spans="1:32" ht="15.75" x14ac:dyDescent="0.2">
      <c r="A57" s="206">
        <f t="shared" si="10"/>
        <v>27</v>
      </c>
      <c r="B57" s="88">
        <f>IF($F57="","",'הזנה לתנאי סף'!C57)</f>
        <v>1001347019</v>
      </c>
      <c r="C57" s="88">
        <f>IF($F57="","",'הזנה לתנאי סף'!D57)</f>
        <v>1001270522</v>
      </c>
      <c r="D57" s="88">
        <f>IF($F57="","",'הזנה לתנאי סף'!E57)</f>
        <v>40000075</v>
      </c>
      <c r="E57" s="88">
        <f>IF($F57="","",'הזנה לתנאי סף'!F57)</f>
        <v>20000159</v>
      </c>
      <c r="F57" s="88" t="str">
        <f>IF(OR('הזנה לתנאי סף'!G57="",'הזנה לתנאי סף'!BL57&lt;&gt;1,'הזנה לתנאי סף'!Q57&lt;&gt;1),"",'הזנה לתנאי סף'!G57)</f>
        <v>ירושלים</v>
      </c>
      <c r="G57" s="88" t="str">
        <f>IF($F57="","",'הזנה לתנאי סף'!H57)</f>
        <v>מוזיאון חצר הישוב הישן</v>
      </c>
      <c r="H57" s="88" t="str">
        <f>IF($F57="","",'הזנה לתנאי סף'!I57)</f>
        <v>מוזיאונים</v>
      </c>
      <c r="I57" s="213">
        <f>IF($F57="","",'תחום תמיכה א'!$I57)</f>
        <v>620231</v>
      </c>
      <c r="J57" s="213">
        <f>IF($F57="","",'תחום תמיכה א'!$J57)</f>
        <v>228348</v>
      </c>
      <c r="K57" s="213">
        <f>IF($F57="","",'תחום תמיכה א'!$K57)</f>
        <v>0</v>
      </c>
      <c r="L57" s="213">
        <f t="shared" si="0"/>
        <v>848579</v>
      </c>
      <c r="M57" s="214">
        <f t="shared" si="1"/>
        <v>0.73090543131517516</v>
      </c>
      <c r="N57" s="214">
        <f t="shared" si="12"/>
        <v>0.26909456868482484</v>
      </c>
      <c r="O57" s="213">
        <f t="shared" si="3"/>
        <v>61447.206570042385</v>
      </c>
      <c r="P57" s="213">
        <f>IF($F57="","",'פרמטרים לקריטריונים'!$C$59*O57)</f>
        <v>18434.161971012716</v>
      </c>
      <c r="Q57" s="214">
        <f t="shared" si="4"/>
        <v>1.0472982441670906E-4</v>
      </c>
      <c r="R57" s="213">
        <f t="shared" si="13"/>
        <v>10472.982441670905</v>
      </c>
      <c r="S57" s="213">
        <f>IF($F57="","",'הזנה לתנאי סף'!N57)</f>
        <v>1</v>
      </c>
      <c r="T57" s="213">
        <f>IF($F57="","",'הזנה לתנאי סף'!O57)</f>
        <v>1</v>
      </c>
      <c r="U57" s="213">
        <f>IF($F57="","",'תחום תמיכה א'!W57)</f>
        <v>0</v>
      </c>
      <c r="V57" s="213">
        <f>IF($F57="","",'תחום תמיכה א'!X57)</f>
        <v>0</v>
      </c>
      <c r="W57" s="213">
        <f>IF($F57="","",'תחום תמיכה א'!Y57)</f>
        <v>0</v>
      </c>
      <c r="X57" s="231" t="str">
        <f>IF($F57="","",'תחום תמיכה א'!Z57)</f>
        <v>בדוק נתוני הזנה</v>
      </c>
      <c r="Y57" s="213" t="str">
        <f>IF($F57="","",'תחום תמיכה א'!AA57)</f>
        <v>בדוק נתוני הזנה</v>
      </c>
      <c r="Z57" s="214">
        <f>IF($F57="","",'תחום תמיכה א'!AB57)</f>
        <v>0</v>
      </c>
      <c r="AA57" s="225" t="str">
        <f>IF($F57="","",'תחום תמיכה א'!AC57)</f>
        <v/>
      </c>
      <c r="AB57" s="213" t="str">
        <f t="shared" si="6"/>
        <v/>
      </c>
      <c r="AC57" s="213">
        <f t="shared" si="7"/>
        <v>10472.982441670905</v>
      </c>
      <c r="AD57" s="214">
        <f t="shared" si="8"/>
        <v>1.049596685280938E-4</v>
      </c>
      <c r="AE57" s="213">
        <f t="shared" si="11"/>
        <v>10787.015367367181</v>
      </c>
      <c r="AF57" s="214">
        <f t="shared" si="9"/>
        <v>1.0495966852809383E-4</v>
      </c>
    </row>
    <row r="58" spans="1:32" ht="15.75" x14ac:dyDescent="0.2">
      <c r="A58" s="206">
        <f t="shared" si="10"/>
        <v>28</v>
      </c>
      <c r="B58" s="88">
        <f>IF($F58="","",'הזנה לתנאי סף'!C58)</f>
        <v>1001348863</v>
      </c>
      <c r="C58" s="88">
        <f>IF($F58="","",'הזנה לתנאי סף'!D58)</f>
        <v>1001271791</v>
      </c>
      <c r="D58" s="88">
        <f>IF($F58="","",'הזנה לתנאי סף'!E58)</f>
        <v>40000111</v>
      </c>
      <c r="E58" s="88">
        <f>IF($F58="","",'הזנה לתנאי סף'!F58)</f>
        <v>20000201</v>
      </c>
      <c r="F58" s="88" t="str">
        <f>IF(OR('הזנה לתנאי סף'!G58="",'הזנה לתנאי סף'!BL58&lt;&gt;1,'הזנה לתנאי סף'!Q58&lt;&gt;1),"",'הזנה לתנאי סף'!G58)</f>
        <v>תל אביב -יפו</v>
      </c>
      <c r="G58" s="88" t="str">
        <f>IF($F58="","",'הזנה לתנאי סף'!H58)</f>
        <v>הבלט הישראלי</v>
      </c>
      <c r="H58" s="88" t="str">
        <f>IF($F58="","",'הזנה לתנאי סף'!I58)</f>
        <v>מחול</v>
      </c>
      <c r="I58" s="213">
        <f>IF($F58="","",'תחום תמיכה א'!$I58)</f>
        <v>6419463</v>
      </c>
      <c r="J58" s="213">
        <f>IF($F58="","",'תחום תמיכה א'!$J58)</f>
        <v>4232762</v>
      </c>
      <c r="K58" s="213">
        <f>IF($F58="","",'תחום תמיכה א'!$K58)</f>
        <v>0</v>
      </c>
      <c r="L58" s="213">
        <f t="shared" si="0"/>
        <v>10652225</v>
      </c>
      <c r="M58" s="214">
        <f t="shared" si="1"/>
        <v>0.60264057509111946</v>
      </c>
      <c r="N58" s="214">
        <f t="shared" si="12"/>
        <v>0.39735942490888054</v>
      </c>
      <c r="O58" s="213">
        <f t="shared" si="3"/>
        <v>1681927.8740961631</v>
      </c>
      <c r="P58" s="213">
        <f>IF($F58="","",'פרמטרים לקריטריונים'!$C$59*O58)</f>
        <v>504578.36222884891</v>
      </c>
      <c r="Q58" s="214">
        <f t="shared" si="4"/>
        <v>2.8666561226810606E-3</v>
      </c>
      <c r="R58" s="213">
        <f t="shared" si="13"/>
        <v>286665.61226810608</v>
      </c>
      <c r="S58" s="213">
        <f>IF($F58="","",'הזנה לתנאי סף'!N58)</f>
        <v>1</v>
      </c>
      <c r="T58" s="213">
        <f>IF($F58="","",'הזנה לתנאי סף'!O58)</f>
        <v>1</v>
      </c>
      <c r="U58" s="213">
        <f>IF($F58="","",'תחום תמיכה א'!W58)</f>
        <v>0</v>
      </c>
      <c r="V58" s="213">
        <f>IF($F58="","",'תחום תמיכה א'!X58)</f>
        <v>0</v>
      </c>
      <c r="W58" s="213">
        <f>IF($F58="","",'תחום תמיכה א'!Y58)</f>
        <v>0</v>
      </c>
      <c r="X58" s="231" t="str">
        <f>IF($F58="","",'תחום תמיכה א'!Z58)</f>
        <v>בדוק נתוני הזנה</v>
      </c>
      <c r="Y58" s="213" t="str">
        <f>IF($F58="","",'תחום תמיכה א'!AA58)</f>
        <v>בדוק נתוני הזנה</v>
      </c>
      <c r="Z58" s="214">
        <f>IF($F58="","",'תחום תמיכה א'!AB58)</f>
        <v>0</v>
      </c>
      <c r="AA58" s="225" t="str">
        <f>IF($F58="","",'תחום תמיכה א'!AC58)</f>
        <v/>
      </c>
      <c r="AB58" s="213" t="str">
        <f t="shared" si="6"/>
        <v/>
      </c>
      <c r="AC58" s="213">
        <f t="shared" si="7"/>
        <v>286665.61226810608</v>
      </c>
      <c r="AD58" s="214">
        <f t="shared" si="8"/>
        <v>2.8729473967554031E-3</v>
      </c>
      <c r="AE58" s="213">
        <f t="shared" si="11"/>
        <v>295261.29562940705</v>
      </c>
      <c r="AF58" s="214">
        <f t="shared" si="9"/>
        <v>2.872947396755404E-3</v>
      </c>
    </row>
    <row r="59" spans="1:32" ht="15.75" x14ac:dyDescent="0.2">
      <c r="A59" s="206">
        <f t="shared" si="10"/>
        <v>29</v>
      </c>
      <c r="B59" s="88">
        <f>IF($F59="","",'הזנה לתנאי סף'!C59)</f>
        <v>1001350366</v>
      </c>
      <c r="C59" s="88">
        <f>IF($F59="","",'הזנה לתנאי סף'!D59)</f>
        <v>1001276978</v>
      </c>
      <c r="D59" s="88">
        <f>IF($F59="","",'הזנה לתנאי סף'!E59)</f>
        <v>40000047</v>
      </c>
      <c r="E59" s="88">
        <f>IF($F59="","",'הזנה לתנאי סף'!F59)</f>
        <v>20000201</v>
      </c>
      <c r="F59" s="88" t="str">
        <f>IF(OR('הזנה לתנאי סף'!G59="",'הזנה לתנאי סף'!BL59&lt;&gt;1,'הזנה לתנאי סף'!Q59&lt;&gt;1),"",'הזנה לתנאי סף'!G59)</f>
        <v>תל אביב -יפו</v>
      </c>
      <c r="G59" s="88" t="str">
        <f>IF($F59="","",'הזנה לתנאי סף'!H59)</f>
        <v>סינמטק</v>
      </c>
      <c r="H59" s="88" t="str">
        <f>IF($F59="","",'הזנה לתנאי סף'!I59)</f>
        <v>סינמטקים ופסטיבלים</v>
      </c>
      <c r="I59" s="213">
        <f>IF($F59="","",'תחום תמיכה א'!$I59)</f>
        <v>427469</v>
      </c>
      <c r="J59" s="213">
        <f>IF($F59="","",'תחום תמיכה א'!$J59)</f>
        <v>198052</v>
      </c>
      <c r="K59" s="213">
        <f>IF($F59="","",'תחום תמיכה א'!$K59)</f>
        <v>0</v>
      </c>
      <c r="L59" s="213">
        <f t="shared" si="0"/>
        <v>625521</v>
      </c>
      <c r="M59" s="214">
        <f t="shared" si="1"/>
        <v>0.68338073382028741</v>
      </c>
      <c r="N59" s="214">
        <f t="shared" si="12"/>
        <v>0.31661926617971259</v>
      </c>
      <c r="O59" s="213">
        <f t="shared" si="3"/>
        <v>62707.078905424438</v>
      </c>
      <c r="P59" s="213">
        <f>IF($F59="","",'פרמטרים לקריטריונים'!$C$59*O59)</f>
        <v>18812.123671627331</v>
      </c>
      <c r="Q59" s="214">
        <f t="shared" si="4"/>
        <v>1.0687713453603285E-4</v>
      </c>
      <c r="R59" s="213">
        <f t="shared" si="13"/>
        <v>10687.713453603285</v>
      </c>
      <c r="S59" s="213">
        <f>IF($F59="","",'הזנה לתנאי סף'!N59)</f>
        <v>1</v>
      </c>
      <c r="T59" s="213">
        <f>IF($F59="","",'הזנה לתנאי סף'!O59)</f>
        <v>1</v>
      </c>
      <c r="U59" s="213">
        <f>IF($F59="","",'תחום תמיכה א'!W59)</f>
        <v>0</v>
      </c>
      <c r="V59" s="213">
        <f>IF($F59="","",'תחום תמיכה א'!X59)</f>
        <v>0</v>
      </c>
      <c r="W59" s="213">
        <f>IF($F59="","",'תחום תמיכה א'!Y59)</f>
        <v>0</v>
      </c>
      <c r="X59" s="231" t="str">
        <f>IF($F59="","",'תחום תמיכה א'!Z59)</f>
        <v>בדוק נתוני הזנה</v>
      </c>
      <c r="Y59" s="213" t="str">
        <f>IF($F59="","",'תחום תמיכה א'!AA59)</f>
        <v>בדוק נתוני הזנה</v>
      </c>
      <c r="Z59" s="214">
        <f>IF($F59="","",'תחום תמיכה א'!AB59)</f>
        <v>0</v>
      </c>
      <c r="AA59" s="225" t="str">
        <f>IF($F59="","",'תחום תמיכה א'!AC59)</f>
        <v/>
      </c>
      <c r="AB59" s="213" t="str">
        <f t="shared" si="6"/>
        <v/>
      </c>
      <c r="AC59" s="213">
        <f t="shared" si="7"/>
        <v>10687.713453603285</v>
      </c>
      <c r="AD59" s="214">
        <f t="shared" si="8"/>
        <v>1.0711169121701266E-4</v>
      </c>
      <c r="AE59" s="213">
        <f t="shared" si="11"/>
        <v>11008.185099911421</v>
      </c>
      <c r="AF59" s="214">
        <f t="shared" si="9"/>
        <v>1.0711169121701269E-4</v>
      </c>
    </row>
    <row r="60" spans="1:32" ht="15.75" x14ac:dyDescent="0.2">
      <c r="A60" s="206">
        <f t="shared" si="10"/>
        <v>30</v>
      </c>
      <c r="B60" s="88">
        <f>IF($F60="","",'הזנה לתנאי סף'!C60)</f>
        <v>1001350413</v>
      </c>
      <c r="C60" s="88">
        <f>IF($F60="","",'הזנה לתנאי סף'!D60)</f>
        <v>1001279700</v>
      </c>
      <c r="D60" s="88">
        <f>IF($F60="","",'הזנה לתנאי סף'!E60)</f>
        <v>40000047</v>
      </c>
      <c r="E60" s="88">
        <f>IF($F60="","",'הזנה לתנאי סף'!F60)</f>
        <v>20000201</v>
      </c>
      <c r="F60" s="88" t="str">
        <f>IF(OR('הזנה לתנאי סף'!G60="",'הזנה לתנאי סף'!BL60&lt;&gt;1,'הזנה לתנאי סף'!Q60&lt;&gt;1),"",'הזנה לתנאי סף'!G60)</f>
        <v>תל אביב -יפו</v>
      </c>
      <c r="G60" s="88" t="str">
        <f>IF($F60="","",'הזנה לתנאי סף'!H60)</f>
        <v>סינמטק</v>
      </c>
      <c r="H60" s="88" t="str">
        <f>IF($F60="","",'הזנה לתנאי סף'!I60)</f>
        <v>סינמטקים ופסטיבלים</v>
      </c>
      <c r="I60" s="213">
        <f>IF($F60="","",'תחום תמיכה א'!$I60)</f>
        <v>262522</v>
      </c>
      <c r="J60" s="213">
        <f>IF($F60="","",'תחום תמיכה א'!$J60)</f>
        <v>263349</v>
      </c>
      <c r="K60" s="213">
        <f>IF($F60="","",'תחום תמיכה א'!$K60)</f>
        <v>0</v>
      </c>
      <c r="L60" s="213">
        <f t="shared" si="0"/>
        <v>525871</v>
      </c>
      <c r="M60" s="214">
        <f t="shared" si="1"/>
        <v>0.49921368548560391</v>
      </c>
      <c r="N60" s="214">
        <f t="shared" si="12"/>
        <v>0.50078631451439604</v>
      </c>
      <c r="O60" s="213">
        <f t="shared" si="3"/>
        <v>131881.57514105167</v>
      </c>
      <c r="P60" s="213">
        <f>IF($F60="","",'פרמטרים לקריטריונים'!$C$59*O60)</f>
        <v>39564.472542315496</v>
      </c>
      <c r="Q60" s="214">
        <f t="shared" si="4"/>
        <v>2.2477725155133662E-4</v>
      </c>
      <c r="R60" s="213">
        <f t="shared" si="13"/>
        <v>22477.725155133663</v>
      </c>
      <c r="S60" s="213">
        <f>IF($F60="","",'הזנה לתנאי סף'!N60)</f>
        <v>1</v>
      </c>
      <c r="T60" s="213">
        <f>IF($F60="","",'הזנה לתנאי סף'!O60)</f>
        <v>1</v>
      </c>
      <c r="U60" s="213">
        <f>IF($F60="","",'תחום תמיכה א'!W60)</f>
        <v>0</v>
      </c>
      <c r="V60" s="213">
        <f>IF($F60="","",'תחום תמיכה א'!X60)</f>
        <v>0</v>
      </c>
      <c r="W60" s="213">
        <f>IF($F60="","",'תחום תמיכה א'!Y60)</f>
        <v>0</v>
      </c>
      <c r="X60" s="231" t="str">
        <f>IF($F60="","",'תחום תמיכה א'!Z60)</f>
        <v>בדוק נתוני הזנה</v>
      </c>
      <c r="Y60" s="213" t="str">
        <f>IF($F60="","",'תחום תמיכה א'!AA60)</f>
        <v>בדוק נתוני הזנה</v>
      </c>
      <c r="Z60" s="214">
        <f>IF($F60="","",'תחום תמיכה א'!AB60)</f>
        <v>1</v>
      </c>
      <c r="AA60" s="225" t="str">
        <f>IF($F60="","",'תחום תמיכה א'!AC60)</f>
        <v/>
      </c>
      <c r="AB60" s="213" t="str">
        <f t="shared" si="6"/>
        <v/>
      </c>
      <c r="AC60" s="213">
        <f t="shared" si="7"/>
        <v>22477.725155133663</v>
      </c>
      <c r="AD60" s="214">
        <f t="shared" si="8"/>
        <v>2.2527055637572703E-4</v>
      </c>
      <c r="AE60" s="213">
        <f t="shared" si="11"/>
        <v>23151.720918305899</v>
      </c>
      <c r="AF60" s="214">
        <f t="shared" si="9"/>
        <v>2.2527055637572708E-4</v>
      </c>
    </row>
    <row r="61" spans="1:32" ht="15.75" x14ac:dyDescent="0.2">
      <c r="A61" s="206">
        <f t="shared" si="10"/>
        <v>31</v>
      </c>
      <c r="B61" s="88">
        <f>IF($F61="","",'הזנה לתנאי סף'!C61)</f>
        <v>1001350418</v>
      </c>
      <c r="C61" s="88">
        <f>IF($F61="","",'הזנה לתנאי סף'!D61)</f>
        <v>1001279702</v>
      </c>
      <c r="D61" s="88">
        <f>IF($F61="","",'הזנה לתנאי סף'!E61)</f>
        <v>40000047</v>
      </c>
      <c r="E61" s="88">
        <f>IF($F61="","",'הזנה לתנאי סף'!F61)</f>
        <v>20000201</v>
      </c>
      <c r="F61" s="88" t="str">
        <f>IF(OR('הזנה לתנאי סף'!G61="",'הזנה לתנאי סף'!BL61&lt;&gt;1,'הזנה לתנאי סף'!Q61&lt;&gt;1),"",'הזנה לתנאי סף'!G61)</f>
        <v>תל אביב -יפו</v>
      </c>
      <c r="G61" s="88" t="str">
        <f>IF($F61="","",'הזנה לתנאי סף'!H61)</f>
        <v>סינמטק</v>
      </c>
      <c r="H61" s="88" t="str">
        <f>IF($F61="","",'הזנה לתנאי סף'!I61)</f>
        <v>סינמטקים ופסטיבלים</v>
      </c>
      <c r="I61" s="213">
        <f>IF($F61="","",'תחום תמיכה א'!$I61)</f>
        <v>7004000</v>
      </c>
      <c r="J61" s="213">
        <f>IF($F61="","",'תחום תמיכה א'!$J61)</f>
        <v>17444000</v>
      </c>
      <c r="K61" s="213">
        <f>IF($F61="","",'תחום תמיכה א'!$K61)</f>
        <v>0</v>
      </c>
      <c r="L61" s="213">
        <f t="shared" si="0"/>
        <v>24448000</v>
      </c>
      <c r="M61" s="214">
        <f t="shared" si="1"/>
        <v>0.28648560209424084</v>
      </c>
      <c r="N61" s="214">
        <f t="shared" si="12"/>
        <v>0.71351439790575921</v>
      </c>
      <c r="O61" s="213">
        <f t="shared" si="3"/>
        <v>12446545.157068064</v>
      </c>
      <c r="P61" s="213">
        <f>IF($F61="","",'פרמטרים לקריטריונים'!$C$59*O61)</f>
        <v>3733963.5471204193</v>
      </c>
      <c r="Q61" s="214">
        <f t="shared" si="4"/>
        <v>2.1213730642230557E-2</v>
      </c>
      <c r="R61" s="213">
        <f t="shared" si="13"/>
        <v>2121373.0642230557</v>
      </c>
      <c r="S61" s="213">
        <f>IF($F61="","",'הזנה לתנאי סף'!N61)</f>
        <v>1</v>
      </c>
      <c r="T61" s="213">
        <f>IF($F61="","",'הזנה לתנאי סף'!O61)</f>
        <v>1</v>
      </c>
      <c r="U61" s="213">
        <f>IF($F61="","",'תחום תמיכה א'!W61)</f>
        <v>0</v>
      </c>
      <c r="V61" s="213">
        <f>IF($F61="","",'תחום תמיכה א'!X61)</f>
        <v>0</v>
      </c>
      <c r="W61" s="213">
        <f>IF($F61="","",'תחום תמיכה א'!Y61)</f>
        <v>0</v>
      </c>
      <c r="X61" s="231" t="str">
        <f>IF($F61="","",'תחום תמיכה א'!Z61)</f>
        <v>בדוק נתוני הזנה</v>
      </c>
      <c r="Y61" s="213" t="str">
        <f>IF($F61="","",'תחום תמיכה א'!AA61)</f>
        <v>בדוק נתוני הזנה</v>
      </c>
      <c r="Z61" s="214">
        <f>IF($F61="","",'תחום תמיכה א'!AB61)</f>
        <v>1</v>
      </c>
      <c r="AA61" s="225" t="str">
        <f>IF($F61="","",'תחום תמיכה א'!AC61)</f>
        <v/>
      </c>
      <c r="AB61" s="213" t="str">
        <f t="shared" si="6"/>
        <v/>
      </c>
      <c r="AC61" s="213">
        <f t="shared" si="7"/>
        <v>2121373.0642230557</v>
      </c>
      <c r="AD61" s="214">
        <f t="shared" si="8"/>
        <v>2.1260287113567873E-2</v>
      </c>
      <c r="AE61" s="213">
        <f t="shared" si="11"/>
        <v>2184982.5463893367</v>
      </c>
      <c r="AF61" s="214">
        <f t="shared" si="9"/>
        <v>2.126028711356788E-2</v>
      </c>
    </row>
    <row r="62" spans="1:32" ht="15.75" x14ac:dyDescent="0.2">
      <c r="A62" s="206">
        <f t="shared" si="10"/>
        <v>32</v>
      </c>
      <c r="B62" s="88">
        <f>IF($F62="","",'הזנה לתנאי סף'!C62)</f>
        <v>1001350420</v>
      </c>
      <c r="C62" s="88">
        <f>IF($F62="","",'הזנה לתנאי סף'!D62)</f>
        <v>1001279677</v>
      </c>
      <c r="D62" s="88">
        <f>IF($F62="","",'הזנה לתנאי סף'!E62)</f>
        <v>40000047</v>
      </c>
      <c r="E62" s="88">
        <f>IF($F62="","",'הזנה לתנאי סף'!F62)</f>
        <v>20000201</v>
      </c>
      <c r="F62" s="88" t="str">
        <f>IF(OR('הזנה לתנאי סף'!G62="",'הזנה לתנאי סף'!BL62&lt;&gt;1,'הזנה לתנאי סף'!Q62&lt;&gt;1),"",'הזנה לתנאי סף'!G62)</f>
        <v>תל אביב -יפו</v>
      </c>
      <c r="G62" s="88" t="str">
        <f>IF($F62="","",'הזנה לתנאי סף'!H62)</f>
        <v>סינמטק</v>
      </c>
      <c r="H62" s="88" t="str">
        <f>IF($F62="","",'הזנה לתנאי סף'!I62)</f>
        <v>סינמטקים ופסטיבלים</v>
      </c>
      <c r="I62" s="213">
        <f>IF($F62="","",'תחום תמיכה א'!$I62)</f>
        <v>253570</v>
      </c>
      <c r="J62" s="213">
        <f>IF($F62="","",'תחום תמיכה א'!$J62)</f>
        <v>328752</v>
      </c>
      <c r="K62" s="213">
        <f>IF($F62="","",'תחום תמיכה א'!$K62)</f>
        <v>0</v>
      </c>
      <c r="L62" s="213">
        <f t="shared" si="0"/>
        <v>582322</v>
      </c>
      <c r="M62" s="214">
        <f t="shared" si="1"/>
        <v>0.43544636816057097</v>
      </c>
      <c r="N62" s="214">
        <f t="shared" si="12"/>
        <v>0.56455363183942908</v>
      </c>
      <c r="O62" s="213">
        <f t="shared" si="3"/>
        <v>185598.13557447598</v>
      </c>
      <c r="P62" s="213">
        <f>IF($F62="","",'פרמטרים לקריטריונים'!$C$59*O62)</f>
        <v>55679.440672342789</v>
      </c>
      <c r="Q62" s="214">
        <f t="shared" si="4"/>
        <v>3.1633106264361831E-4</v>
      </c>
      <c r="R62" s="213">
        <f t="shared" si="13"/>
        <v>31633.106264361832</v>
      </c>
      <c r="S62" s="213">
        <f>IF($F62="","",'הזנה לתנאי סף'!N62)</f>
        <v>1</v>
      </c>
      <c r="T62" s="213">
        <f>IF($F62="","",'הזנה לתנאי סף'!O62)</f>
        <v>1</v>
      </c>
      <c r="U62" s="213">
        <f>IF($F62="","",'תחום תמיכה א'!W62)</f>
        <v>0</v>
      </c>
      <c r="V62" s="213">
        <f>IF($F62="","",'תחום תמיכה א'!X62)</f>
        <v>0</v>
      </c>
      <c r="W62" s="213">
        <f>IF($F62="","",'תחום תמיכה א'!Y62)</f>
        <v>0</v>
      </c>
      <c r="X62" s="231" t="str">
        <f>IF($F62="","",'תחום תמיכה א'!Z62)</f>
        <v>בדוק נתוני הזנה</v>
      </c>
      <c r="Y62" s="213" t="str">
        <f>IF($F62="","",'תחום תמיכה א'!AA62)</f>
        <v>בדוק נתוני הזנה</v>
      </c>
      <c r="Z62" s="214">
        <f>IF($F62="","",'תחום תמיכה א'!AB62)</f>
        <v>0</v>
      </c>
      <c r="AA62" s="225" t="str">
        <f>IF($F62="","",'תחום תמיכה א'!AC62)</f>
        <v/>
      </c>
      <c r="AB62" s="213" t="str">
        <f t="shared" si="6"/>
        <v/>
      </c>
      <c r="AC62" s="213">
        <f t="shared" si="7"/>
        <v>31633.106264361832</v>
      </c>
      <c r="AD62" s="214">
        <f t="shared" si="8"/>
        <v>3.1702529499244212E-4</v>
      </c>
      <c r="AE62" s="213">
        <f t="shared" si="11"/>
        <v>32581.626608436221</v>
      </c>
      <c r="AF62" s="214">
        <f t="shared" si="9"/>
        <v>3.1702529499244217E-4</v>
      </c>
    </row>
    <row r="63" spans="1:32" ht="15.75" x14ac:dyDescent="0.2">
      <c r="A63" s="206">
        <f t="shared" si="10"/>
        <v>33</v>
      </c>
      <c r="B63" s="88">
        <f>IF($F63="","",'הזנה לתנאי סף'!C63)</f>
        <v>1001346673</v>
      </c>
      <c r="C63" s="88">
        <f>IF($F63="","",'הזנה לתנאי סף'!D63)</f>
        <v>1001280582</v>
      </c>
      <c r="D63" s="88">
        <f>IF($F63="","",'הזנה לתנאי סף'!E63)</f>
        <v>40000026</v>
      </c>
      <c r="E63" s="88">
        <f>IF($F63="","",'הזנה לתנאי סף'!F63)</f>
        <v>20000182</v>
      </c>
      <c r="F63" s="88" t="str">
        <f>IF(OR('הזנה לתנאי סף'!G63="",'הזנה לתנאי סף'!BL63&lt;&gt;1,'הזנה לתנאי סף'!Q63&lt;&gt;1),"",'הזנה לתנאי סף'!G63)</f>
        <v>חיפה</v>
      </c>
      <c r="G63" s="88" t="str">
        <f>IF($F63="","",'הזנה לתנאי סף'!H63)</f>
        <v>מוזיאוני חיפה</v>
      </c>
      <c r="H63" s="88" t="str">
        <f>IF($F63="","",'הזנה לתנאי סף'!I63)</f>
        <v>מוזיאונים</v>
      </c>
      <c r="I63" s="213">
        <f>IF($F63="","",'תחום תמיכה א'!$I63)</f>
        <v>13999101</v>
      </c>
      <c r="J63" s="213">
        <f>IF($F63="","",'תחום תמיכה א'!$J63)</f>
        <v>5869585</v>
      </c>
      <c r="K63" s="213">
        <f>IF($F63="","",'תחום תמיכה א'!$K63)</f>
        <v>0</v>
      </c>
      <c r="L63" s="213">
        <f t="shared" si="0"/>
        <v>19868686</v>
      </c>
      <c r="M63" s="214">
        <f t="shared" si="1"/>
        <v>0.70458111824808145</v>
      </c>
      <c r="N63" s="214">
        <f t="shared" si="12"/>
        <v>0.29541888175191855</v>
      </c>
      <c r="O63" s="213">
        <f t="shared" si="3"/>
        <v>1733986.2370478348</v>
      </c>
      <c r="P63" s="213">
        <f>IF($F63="","",'פרמטרים לקריטריונים'!$C$59*O63)</f>
        <v>520195.87111435039</v>
      </c>
      <c r="Q63" s="214">
        <f t="shared" si="4"/>
        <v>2.955383723424557E-3</v>
      </c>
      <c r="R63" s="213">
        <f t="shared" si="13"/>
        <v>295538.37234245572</v>
      </c>
      <c r="S63" s="213">
        <f>IF($F63="","",'הזנה לתנאי סף'!N63)</f>
        <v>1</v>
      </c>
      <c r="T63" s="213">
        <f>IF($F63="","",'הזנה לתנאי סף'!O63)</f>
        <v>1</v>
      </c>
      <c r="U63" s="213">
        <f>IF($F63="","",'תחום תמיכה א'!W63)</f>
        <v>0</v>
      </c>
      <c r="V63" s="213">
        <f>IF($F63="","",'תחום תמיכה א'!X63)</f>
        <v>0</v>
      </c>
      <c r="W63" s="213">
        <f>IF($F63="","",'תחום תמיכה א'!Y63)</f>
        <v>0</v>
      </c>
      <c r="X63" s="231" t="str">
        <f>IF($F63="","",'תחום תמיכה א'!Z63)</f>
        <v>בדוק נתוני הזנה</v>
      </c>
      <c r="Y63" s="213" t="str">
        <f>IF($F63="","",'תחום תמיכה א'!AA63)</f>
        <v>בדוק נתוני הזנה</v>
      </c>
      <c r="Z63" s="214">
        <f>IF($F63="","",'תחום תמיכה א'!AB63)</f>
        <v>1</v>
      </c>
      <c r="AA63" s="225" t="str">
        <f>IF($F63="","",'תחום תמיכה א'!AC63)</f>
        <v/>
      </c>
      <c r="AB63" s="213" t="str">
        <f t="shared" si="6"/>
        <v/>
      </c>
      <c r="AC63" s="213">
        <f t="shared" si="7"/>
        <v>295538.37234245572</v>
      </c>
      <c r="AD63" s="214">
        <f t="shared" si="8"/>
        <v>2.9618697225131138E-3</v>
      </c>
      <c r="AE63" s="213">
        <f t="shared" si="11"/>
        <v>304400.10587816185</v>
      </c>
      <c r="AF63" s="214">
        <f t="shared" si="9"/>
        <v>2.9618697225131142E-3</v>
      </c>
    </row>
    <row r="64" spans="1:32" ht="15.75" x14ac:dyDescent="0.2">
      <c r="A64" s="206">
        <f t="shared" si="10"/>
        <v>34</v>
      </c>
      <c r="B64" s="88">
        <f>IF($F64="","",'הזנה לתנאי סף'!C64)</f>
        <v>1001349871</v>
      </c>
      <c r="C64" s="88">
        <f>IF($F64="","",'הזנה לתנאי סף'!D64)</f>
        <v>1001270373</v>
      </c>
      <c r="D64" s="88">
        <f>IF($F64="","",'הזנה לתנאי סף'!E64)</f>
        <v>40000076</v>
      </c>
      <c r="E64" s="88">
        <f>IF($F64="","",'הזנה לתנאי סף'!F64)</f>
        <v>20000159</v>
      </c>
      <c r="F64" s="88" t="str">
        <f>IF(OR('הזנה לתנאי סף'!G64="",'הזנה לתנאי סף'!BL64&lt;&gt;1,'הזנה לתנאי סף'!Q64&lt;&gt;1),"",'הזנה לתנאי סף'!G64)</f>
        <v>ירושלים</v>
      </c>
      <c r="G64" s="88" t="str">
        <f>IF($F64="","",'הזנה לתנאי סף'!H64)</f>
        <v>רננות</v>
      </c>
      <c r="H64" s="88" t="str">
        <f>IF($F64="","",'הזנה לתנאי סף'!I64)</f>
        <v>חזנות</v>
      </c>
      <c r="I64" s="213">
        <f>IF($F64="","",'תחום תמיכה א'!$I64)</f>
        <v>167500</v>
      </c>
      <c r="J64" s="213">
        <f>IF($F64="","",'תחום תמיכה א'!$J64)</f>
        <v>96362</v>
      </c>
      <c r="K64" s="213">
        <f>IF($F64="","",'תחום תמיכה א'!$K64)</f>
        <v>0</v>
      </c>
      <c r="L64" s="213">
        <f t="shared" si="0"/>
        <v>263862</v>
      </c>
      <c r="M64" s="214">
        <f t="shared" si="1"/>
        <v>0.63480152503960408</v>
      </c>
      <c r="N64" s="214">
        <f t="shared" si="12"/>
        <v>0.36519847496039592</v>
      </c>
      <c r="O64" s="213">
        <f t="shared" si="3"/>
        <v>35191.255444133669</v>
      </c>
      <c r="P64" s="213">
        <f>IF($F64="","",'פרמטרים לקריטריונים'!$C$59*O64)</f>
        <v>10557.376633240101</v>
      </c>
      <c r="Q64" s="214">
        <f t="shared" si="4"/>
        <v>5.9979520785319467E-5</v>
      </c>
      <c r="R64" s="213">
        <f t="shared" si="13"/>
        <v>5997.9520785319464</v>
      </c>
      <c r="S64" s="213">
        <f>IF($F64="","",'הזנה לתנאי סף'!N64)</f>
        <v>1</v>
      </c>
      <c r="T64" s="213">
        <f>IF($F64="","",'הזנה לתנאי סף'!O64)</f>
        <v>1</v>
      </c>
      <c r="U64" s="213">
        <f>IF($F64="","",'תחום תמיכה א'!W64)</f>
        <v>0</v>
      </c>
      <c r="V64" s="213">
        <f>IF($F64="","",'תחום תמיכה א'!X64)</f>
        <v>0</v>
      </c>
      <c r="W64" s="213">
        <f>IF($F64="","",'תחום תמיכה א'!Y64)</f>
        <v>0</v>
      </c>
      <c r="X64" s="231" t="str">
        <f>IF($F64="","",'תחום תמיכה א'!Z64)</f>
        <v>בדוק נתוני הזנה</v>
      </c>
      <c r="Y64" s="213" t="str">
        <f>IF($F64="","",'תחום תמיכה א'!AA64)</f>
        <v>בדוק נתוני הזנה</v>
      </c>
      <c r="Z64" s="214">
        <f>IF($F64="","",'תחום תמיכה א'!AB64)</f>
        <v>1</v>
      </c>
      <c r="AA64" s="225" t="str">
        <f>IF($F64="","",'תחום תמיכה א'!AC64)</f>
        <v/>
      </c>
      <c r="AB64" s="213" t="str">
        <f t="shared" si="6"/>
        <v/>
      </c>
      <c r="AC64" s="213">
        <f t="shared" si="7"/>
        <v>5997.9520785319464</v>
      </c>
      <c r="AD64" s="214">
        <f t="shared" si="8"/>
        <v>6.0111154154638708E-5</v>
      </c>
      <c r="AE64" s="213">
        <f t="shared" si="11"/>
        <v>6177.800984982222</v>
      </c>
      <c r="AF64" s="214">
        <f t="shared" si="9"/>
        <v>6.0111154154638728E-5</v>
      </c>
    </row>
    <row r="65" spans="1:32" ht="15.75" x14ac:dyDescent="0.2">
      <c r="A65" s="206">
        <f t="shared" si="10"/>
        <v>35</v>
      </c>
      <c r="B65" s="88">
        <f>IF($F65="","",'הזנה לתנאי סף'!C65)</f>
        <v>1001350106</v>
      </c>
      <c r="C65" s="88">
        <f>IF($F65="","",'הזנה לתנאי סף'!D65)</f>
        <v>1001288944</v>
      </c>
      <c r="D65" s="88">
        <f>IF($F65="","",'הזנה לתנאי סף'!E65)</f>
        <v>40000076</v>
      </c>
      <c r="E65" s="88">
        <f>IF($F65="","",'הזנה לתנאי סף'!F65)</f>
        <v>20000159</v>
      </c>
      <c r="F65" s="88" t="str">
        <f>IF(OR('הזנה לתנאי סף'!G65="",'הזנה לתנאי סף'!BL65&lt;&gt;1,'הזנה לתנאי סף'!Q65&lt;&gt;1),"",'הזנה לתנאי סף'!G65)</f>
        <v>ירושלים</v>
      </c>
      <c r="G65" s="88" t="str">
        <f>IF($F65="","",'הזנה לתנאי סף'!H65)</f>
        <v>רננות</v>
      </c>
      <c r="H65" s="88" t="str">
        <f>IF($F65="","",'הזנה לתנאי סף'!I65)</f>
        <v>קבוצות מוסיקה</v>
      </c>
      <c r="I65" s="213">
        <f>IF($F65="","",'תחום תמיכה א'!$I65)</f>
        <v>0</v>
      </c>
      <c r="J65" s="213">
        <f>IF($F65="","",'תחום תמיכה א'!$J65)</f>
        <v>56450</v>
      </c>
      <c r="K65" s="213">
        <f>IF($F65="","",'תחום תמיכה א'!$K65)</f>
        <v>0</v>
      </c>
      <c r="L65" s="213">
        <f t="shared" si="0"/>
        <v>56450</v>
      </c>
      <c r="M65" s="214">
        <f t="shared" si="1"/>
        <v>0</v>
      </c>
      <c r="N65" s="214">
        <f t="shared" si="12"/>
        <v>1</v>
      </c>
      <c r="O65" s="213">
        <f t="shared" si="3"/>
        <v>56450</v>
      </c>
      <c r="P65" s="213">
        <f>IF($F65="","",'פרמטרים לקריטריונים'!$C$59*O65)</f>
        <v>16935</v>
      </c>
      <c r="Q65" s="214">
        <f t="shared" si="4"/>
        <v>9.6212650148453255E-5</v>
      </c>
      <c r="R65" s="213">
        <f t="shared" si="13"/>
        <v>9621.2650148453249</v>
      </c>
      <c r="S65" s="213">
        <f>IF($F65="","",'הזנה לתנאי סף'!N65)</f>
        <v>1</v>
      </c>
      <c r="T65" s="213">
        <f>IF($F65="","",'הזנה לתנאי סף'!O65)</f>
        <v>1</v>
      </c>
      <c r="U65" s="213">
        <f>IF($F65="","",'תחום תמיכה א'!W65)</f>
        <v>0</v>
      </c>
      <c r="V65" s="213">
        <f>IF($F65="","",'תחום תמיכה א'!X65)</f>
        <v>0</v>
      </c>
      <c r="W65" s="213">
        <f>IF($F65="","",'תחום תמיכה א'!Y65)</f>
        <v>0</v>
      </c>
      <c r="X65" s="231" t="str">
        <f>IF($F65="","",'תחום תמיכה א'!Z65)</f>
        <v>בדוק נתוני הזנה</v>
      </c>
      <c r="Y65" s="213" t="str">
        <f>IF($F65="","",'תחום תמיכה א'!AA65)</f>
        <v>בדוק נתוני הזנה</v>
      </c>
      <c r="Z65" s="214">
        <f>IF($F65="","",'תחום תמיכה א'!AB65)</f>
        <v>1</v>
      </c>
      <c r="AA65" s="225" t="str">
        <f>IF($F65="","",'תחום תמיכה א'!AC65)</f>
        <v/>
      </c>
      <c r="AB65" s="213" t="str">
        <f t="shared" si="6"/>
        <v/>
      </c>
      <c r="AC65" s="213">
        <f t="shared" si="7"/>
        <v>9621.2650148453249</v>
      </c>
      <c r="AD65" s="214">
        <f t="shared" si="8"/>
        <v>9.6423802140739161E-5</v>
      </c>
      <c r="AE65" s="213">
        <f t="shared" si="11"/>
        <v>9909.7591489984861</v>
      </c>
      <c r="AF65" s="214">
        <f t="shared" si="9"/>
        <v>9.6423802140739202E-5</v>
      </c>
    </row>
    <row r="66" spans="1:32" ht="15.75" x14ac:dyDescent="0.2">
      <c r="A66" s="206">
        <f t="shared" si="10"/>
        <v>36</v>
      </c>
      <c r="B66" s="88">
        <f>IF($F66="","",'הזנה לתנאי סף'!C66)</f>
        <v>1001348855</v>
      </c>
      <c r="C66" s="88">
        <f>IF($F66="","",'הזנה לתנאי סף'!D66)</f>
        <v>1001272029</v>
      </c>
      <c r="D66" s="88">
        <f>IF($F66="","",'הזנה לתנאי סף'!E66)</f>
        <v>40000107</v>
      </c>
      <c r="E66" s="88">
        <f>IF($F66="","",'הזנה לתנאי סף'!F66)</f>
        <v>20000139</v>
      </c>
      <c r="F66" s="88" t="str">
        <f>IF(OR('הזנה לתנאי סף'!G66="",'הזנה לתנאי סף'!BL66&lt;&gt;1,'הזנה לתנאי סף'!Q66&lt;&gt;1),"",'הזנה לתנאי סף'!G66)</f>
        <v>מטה אשר</v>
      </c>
      <c r="G66" s="88" t="str">
        <f>IF($F66="","",'הזנה לתנאי סף'!H66)</f>
        <v>בית לוחמי הגטאות</v>
      </c>
      <c r="H66" s="88" t="str">
        <f>IF($F66="","",'הזנה לתנאי סף'!I66)</f>
        <v>מוזיאונים</v>
      </c>
      <c r="I66" s="213">
        <f>IF($F66="","",'תחום תמיכה א'!$I66)</f>
        <v>2329805</v>
      </c>
      <c r="J66" s="213">
        <f>IF($F66="","",'תחום תמיכה א'!$J66)</f>
        <v>11602990</v>
      </c>
      <c r="K66" s="213">
        <f>IF($F66="","",'תחום תמיכה א'!$K66)</f>
        <v>0</v>
      </c>
      <c r="L66" s="213">
        <f t="shared" si="0"/>
        <v>13932795</v>
      </c>
      <c r="M66" s="214">
        <f t="shared" si="1"/>
        <v>0.16721734583764419</v>
      </c>
      <c r="N66" s="214">
        <f t="shared" si="12"/>
        <v>0.83278265416235575</v>
      </c>
      <c r="O66" s="213">
        <f t="shared" si="3"/>
        <v>9662768.8084192723</v>
      </c>
      <c r="P66" s="213">
        <f>IF($F66="","",'פרמטרים לקריטריונים'!$C$59*O66)</f>
        <v>2898830.6425257814</v>
      </c>
      <c r="Q66" s="214">
        <f t="shared" si="4"/>
        <v>1.6469098225506289E-2</v>
      </c>
      <c r="R66" s="213">
        <f t="shared" si="13"/>
        <v>1646909.8225506288</v>
      </c>
      <c r="S66" s="213">
        <f>IF($F66="","",'הזנה לתנאי סף'!N66)</f>
        <v>0</v>
      </c>
      <c r="T66" s="213">
        <f>IF($F66="","",'הזנה לתנאי סף'!O66)</f>
        <v>1</v>
      </c>
      <c r="U66" s="213">
        <f>IF($F66="","",'תחום תמיכה א'!W66)</f>
        <v>0</v>
      </c>
      <c r="V66" s="213">
        <f>IF($F66="","",'תחום תמיכה א'!X66)</f>
        <v>0</v>
      </c>
      <c r="W66" s="213">
        <f>IF($F66="","",'תחום תמיכה א'!Y66)</f>
        <v>1</v>
      </c>
      <c r="X66" s="231">
        <f>IF($F66="","",'תחום תמיכה א'!Z66)</f>
        <v>0</v>
      </c>
      <c r="Y66" s="213" t="str">
        <f>IF($F66="","",'תחום תמיכה א'!AA66)</f>
        <v/>
      </c>
      <c r="Z66" s="214" t="str">
        <f>IF($F66="","",'תחום תמיכה א'!AB66)</f>
        <v/>
      </c>
      <c r="AA66" s="225" t="str">
        <f>IF($F66="","",'תחום תמיכה א'!AC66)</f>
        <v/>
      </c>
      <c r="AB66" s="213" t="str">
        <f t="shared" si="6"/>
        <v/>
      </c>
      <c r="AC66" s="213">
        <f t="shared" si="7"/>
        <v>1646909.8225506288</v>
      </c>
      <c r="AD66" s="214">
        <f t="shared" si="8"/>
        <v>1.6505241943573532E-2</v>
      </c>
      <c r="AE66" s="213">
        <f t="shared" si="11"/>
        <v>1696292.4996260421</v>
      </c>
      <c r="AF66" s="214">
        <f t="shared" si="9"/>
        <v>1.6505241943573536E-2</v>
      </c>
    </row>
    <row r="67" spans="1:32" ht="15.75" x14ac:dyDescent="0.2">
      <c r="A67" s="206">
        <f t="shared" si="10"/>
        <v>37</v>
      </c>
      <c r="B67" s="88">
        <f>IF($F67="","",'הזנה לתנאי סף'!C67)</f>
        <v>1001347716</v>
      </c>
      <c r="C67" s="88">
        <f>IF($F67="","",'הזנה לתנאי סף'!D67)</f>
        <v>1001280063</v>
      </c>
      <c r="D67" s="88">
        <f>IF($F67="","",'הזנה לתנאי סף'!E67)</f>
        <v>40000157</v>
      </c>
      <c r="E67" s="88">
        <f>IF($F67="","",'הזנה לתנאי סף'!F67)</f>
        <v>20000201</v>
      </c>
      <c r="F67" s="88" t="str">
        <f>IF(OR('הזנה לתנאי סף'!G67="",'הזנה לתנאי סף'!BL67&lt;&gt;1,'הזנה לתנאי סף'!Q67&lt;&gt;1),"",'הזנה לתנאי סף'!G67)</f>
        <v>תל אביב -יפו</v>
      </c>
      <c r="G67" s="88" t="str">
        <f>IF($F67="","",'הזנה לתנאי סף'!H67)</f>
        <v>מרכז סוזן דלל</v>
      </c>
      <c r="H67" s="88" t="str">
        <f>IF($F67="","",'הזנה לתנאי סף'!I67)</f>
        <v>מחול</v>
      </c>
      <c r="I67" s="213">
        <f>IF($F67="","",'תחום תמיכה א'!$I67)</f>
        <v>446124</v>
      </c>
      <c r="J67" s="213">
        <f>IF($F67="","",'תחום תמיכה א'!$J67)</f>
        <v>755531</v>
      </c>
      <c r="K67" s="213">
        <f>IF($F67="","",'תחום תמיכה א'!$K67)</f>
        <v>0</v>
      </c>
      <c r="L67" s="213">
        <f t="shared" si="0"/>
        <v>1201655</v>
      </c>
      <c r="M67" s="214">
        <f t="shared" si="1"/>
        <v>0.37125797337838229</v>
      </c>
      <c r="N67" s="214">
        <f t="shared" si="12"/>
        <v>0.62874202662161771</v>
      </c>
      <c r="O67" s="213">
        <f t="shared" si="3"/>
        <v>475034.09211545746</v>
      </c>
      <c r="P67" s="213">
        <f>IF($F67="","",'פרמטרים לקריטריונים'!$C$59*O67)</f>
        <v>142510.22763463724</v>
      </c>
      <c r="Q67" s="214">
        <f t="shared" si="4"/>
        <v>8.0964196480589245E-4</v>
      </c>
      <c r="R67" s="213">
        <f t="shared" si="13"/>
        <v>80964.196480589249</v>
      </c>
      <c r="S67" s="213">
        <f>IF($F67="","",'הזנה לתנאי סף'!N67)</f>
        <v>1</v>
      </c>
      <c r="T67" s="213">
        <f>IF($F67="","",'הזנה לתנאי סף'!O67)</f>
        <v>1</v>
      </c>
      <c r="U67" s="213">
        <f>IF($F67="","",'תחום תמיכה א'!W67)</f>
        <v>0</v>
      </c>
      <c r="V67" s="213">
        <f>IF($F67="","",'תחום תמיכה א'!X67)</f>
        <v>0</v>
      </c>
      <c r="W67" s="213">
        <f>IF($F67="","",'תחום תמיכה א'!Y67)</f>
        <v>0</v>
      </c>
      <c r="X67" s="231" t="str">
        <f>IF($F67="","",'תחום תמיכה א'!Z67)</f>
        <v>בדוק נתוני הזנה</v>
      </c>
      <c r="Y67" s="213" t="str">
        <f>IF($F67="","",'תחום תמיכה א'!AA67)</f>
        <v>בדוק נתוני הזנה</v>
      </c>
      <c r="Z67" s="214">
        <f>IF($F67="","",'תחום תמיכה א'!AB67)</f>
        <v>1</v>
      </c>
      <c r="AA67" s="225" t="str">
        <f>IF($F67="","",'תחום תמיכה א'!AC67)</f>
        <v/>
      </c>
      <c r="AB67" s="213" t="str">
        <f t="shared" si="6"/>
        <v/>
      </c>
      <c r="AC67" s="213">
        <f t="shared" si="7"/>
        <v>80964.196480589249</v>
      </c>
      <c r="AD67" s="214">
        <f t="shared" si="8"/>
        <v>8.1141883628426119E-4</v>
      </c>
      <c r="AE67" s="213">
        <f t="shared" si="11"/>
        <v>83391.912142202738</v>
      </c>
      <c r="AF67" s="214">
        <f t="shared" si="9"/>
        <v>8.114188362842613E-4</v>
      </c>
    </row>
    <row r="68" spans="1:32" ht="15.75" x14ac:dyDescent="0.2">
      <c r="A68" s="206">
        <f t="shared" si="10"/>
        <v>38</v>
      </c>
      <c r="B68" s="88">
        <f>IF($F68="","",'הזנה לתנאי סף'!C68)</f>
        <v>1001347748</v>
      </c>
      <c r="C68" s="88">
        <f>IF($F68="","",'הזנה לתנאי סף'!D68)</f>
        <v>1001280061</v>
      </c>
      <c r="D68" s="88">
        <f>IF($F68="","",'הזנה לתנאי סף'!E68)</f>
        <v>40000157</v>
      </c>
      <c r="E68" s="88">
        <f>IF($F68="","",'הזנה לתנאי סף'!F68)</f>
        <v>20000201</v>
      </c>
      <c r="F68" s="88" t="str">
        <f>IF(OR('הזנה לתנאי סף'!G68="",'הזנה לתנאי סף'!BL68&lt;&gt;1,'הזנה לתנאי סף'!Q68&lt;&gt;1),"",'הזנה לתנאי סף'!G68)</f>
        <v>תל אביב -יפו</v>
      </c>
      <c r="G68" s="88" t="str">
        <f>IF($F68="","",'הזנה לתנאי סף'!H68)</f>
        <v>מרכז סוזן דלל</v>
      </c>
      <c r="H68" s="88" t="str">
        <f>IF($F68="","",'הזנה לתנאי סף'!I68)</f>
        <v>מחול</v>
      </c>
      <c r="I68" s="213">
        <f>IF($F68="","",'תחום תמיכה א'!$I68)</f>
        <v>3841491</v>
      </c>
      <c r="J68" s="213">
        <f>IF($F68="","",'תחום תמיכה א'!$J68)</f>
        <v>4469579</v>
      </c>
      <c r="K68" s="213">
        <f>IF($F68="","",'תחום תמיכה א'!$K68)</f>
        <v>0</v>
      </c>
      <c r="L68" s="213">
        <f t="shared" si="0"/>
        <v>8311070</v>
      </c>
      <c r="M68" s="214">
        <f t="shared" si="1"/>
        <v>0.46221377030875688</v>
      </c>
      <c r="N68" s="214">
        <f t="shared" si="12"/>
        <v>0.53778622969124312</v>
      </c>
      <c r="O68" s="213">
        <f t="shared" si="3"/>
        <v>2403678.0387171567</v>
      </c>
      <c r="P68" s="213">
        <f>IF($F68="","",'פרמטרים לקריטריונים'!$C$59*O68)</f>
        <v>721103.41161514702</v>
      </c>
      <c r="Q68" s="214">
        <f t="shared" si="4"/>
        <v>4.096797771631782E-3</v>
      </c>
      <c r="R68" s="213">
        <f t="shared" si="13"/>
        <v>409679.77716317819</v>
      </c>
      <c r="S68" s="213">
        <f>IF($F68="","",'הזנה לתנאי סף'!N68)</f>
        <v>1</v>
      </c>
      <c r="T68" s="213">
        <f>IF($F68="","",'הזנה לתנאי סף'!O68)</f>
        <v>1</v>
      </c>
      <c r="U68" s="213">
        <f>IF($F68="","",'תחום תמיכה א'!W68)</f>
        <v>0</v>
      </c>
      <c r="V68" s="213">
        <f>IF($F68="","",'תחום תמיכה א'!X68)</f>
        <v>0</v>
      </c>
      <c r="W68" s="213">
        <f>IF($F68="","",'תחום תמיכה א'!Y68)</f>
        <v>0</v>
      </c>
      <c r="X68" s="231" t="str">
        <f>IF($F68="","",'תחום תמיכה א'!Z68)</f>
        <v>בדוק נתוני הזנה</v>
      </c>
      <c r="Y68" s="213" t="str">
        <f>IF($F68="","",'תחום תמיכה א'!AA68)</f>
        <v>בדוק נתוני הזנה</v>
      </c>
      <c r="Z68" s="214">
        <f>IF($F68="","",'תחום תמיכה א'!AB68)</f>
        <v>1</v>
      </c>
      <c r="AA68" s="225" t="str">
        <f>IF($F68="","",'תחום תמיכה א'!AC68)</f>
        <v/>
      </c>
      <c r="AB68" s="213" t="str">
        <f t="shared" si="6"/>
        <v/>
      </c>
      <c r="AC68" s="213">
        <f t="shared" si="7"/>
        <v>409679.77716317819</v>
      </c>
      <c r="AD68" s="214">
        <f t="shared" si="8"/>
        <v>4.1057887620071414E-3</v>
      </c>
      <c r="AE68" s="213">
        <f t="shared" si="11"/>
        <v>421964.04668598907</v>
      </c>
      <c r="AF68" s="214">
        <f t="shared" si="9"/>
        <v>4.1057887620071423E-3</v>
      </c>
    </row>
    <row r="69" spans="1:32" ht="15.75" x14ac:dyDescent="0.2">
      <c r="A69" s="206">
        <f t="shared" si="10"/>
        <v>39</v>
      </c>
      <c r="B69" s="88">
        <f>IF($F69="","",'הזנה לתנאי סף'!C69)</f>
        <v>1001346567</v>
      </c>
      <c r="C69" s="88">
        <f>IF($F69="","",'הזנה לתנאי סף'!D69)</f>
        <v>1001271762</v>
      </c>
      <c r="D69" s="88">
        <f>IF($F69="","",'הזנה לתנאי סף'!E69)</f>
        <v>40000192</v>
      </c>
      <c r="E69" s="88">
        <f>IF($F69="","",'הזנה לתנאי סף'!F69)</f>
        <v>20000201</v>
      </c>
      <c r="F69" s="88" t="str">
        <f>IF(OR('הזנה לתנאי סף'!G69="",'הזנה לתנאי סף'!BL69&lt;&gt;1,'הזנה לתנאי סף'!Q69&lt;&gt;1),"",'הזנה לתנאי סף'!G69)</f>
        <v>תל אביב -יפו</v>
      </c>
      <c r="G69" s="88" t="str">
        <f>IF($F69="","",'הזנה לתנאי סף'!H69)</f>
        <v>תיאטרון יפו</v>
      </c>
      <c r="H69" s="88" t="str">
        <f>IF($F69="","",'הזנה לתנאי סף'!I69)</f>
        <v>תיאטרון</v>
      </c>
      <c r="I69" s="213">
        <f>IF($F69="","",'תחום תמיכה א'!$I69)</f>
        <v>991732</v>
      </c>
      <c r="J69" s="213">
        <f>IF($F69="","",'תחום תמיכה א'!$J69)</f>
        <v>2109914</v>
      </c>
      <c r="K69" s="213">
        <f>IF($F69="","",'תחום תמיכה א'!$K69)</f>
        <v>0</v>
      </c>
      <c r="L69" s="213">
        <f t="shared" si="0"/>
        <v>3101646</v>
      </c>
      <c r="M69" s="214">
        <f t="shared" si="1"/>
        <v>0.3197437747570161</v>
      </c>
      <c r="N69" s="214">
        <f t="shared" si="12"/>
        <v>0.6802562252429839</v>
      </c>
      <c r="O69" s="213">
        <f t="shared" si="3"/>
        <v>1435282.133227325</v>
      </c>
      <c r="P69" s="213">
        <f>IF($F69="","",'פרמטרים לקריטריונים'!$C$59*O69)</f>
        <v>430584.6399681975</v>
      </c>
      <c r="Q69" s="214">
        <f t="shared" si="4"/>
        <v>2.4462763108684909E-3</v>
      </c>
      <c r="R69" s="213">
        <f t="shared" si="13"/>
        <v>244627.63108684908</v>
      </c>
      <c r="S69" s="213">
        <f>IF($F69="","",'הזנה לתנאי סף'!N69)</f>
        <v>1</v>
      </c>
      <c r="T69" s="213">
        <f>IF($F69="","",'הזנה לתנאי סף'!O69)</f>
        <v>1</v>
      </c>
      <c r="U69" s="213">
        <f>IF($F69="","",'תחום תמיכה א'!W69)</f>
        <v>0</v>
      </c>
      <c r="V69" s="213">
        <f>IF($F69="","",'תחום תמיכה א'!X69)</f>
        <v>0</v>
      </c>
      <c r="W69" s="213">
        <f>IF($F69="","",'תחום תמיכה א'!Y69)</f>
        <v>0</v>
      </c>
      <c r="X69" s="231" t="str">
        <f>IF($F69="","",'תחום תמיכה א'!Z69)</f>
        <v>בדוק נתוני הזנה</v>
      </c>
      <c r="Y69" s="213" t="str">
        <f>IF($F69="","",'תחום תמיכה א'!AA69)</f>
        <v>בדוק נתוני הזנה</v>
      </c>
      <c r="Z69" s="214">
        <f>IF($F69="","",'תחום תמיכה א'!AB69)</f>
        <v>1</v>
      </c>
      <c r="AA69" s="225" t="str">
        <f>IF($F69="","",'תחום תמיכה א'!AC69)</f>
        <v/>
      </c>
      <c r="AB69" s="213" t="str">
        <f t="shared" si="6"/>
        <v/>
      </c>
      <c r="AC69" s="213">
        <f t="shared" si="7"/>
        <v>244627.63108684908</v>
      </c>
      <c r="AD69" s="214">
        <f t="shared" si="8"/>
        <v>2.451645003196628E-3</v>
      </c>
      <c r="AE69" s="213">
        <f t="shared" si="11"/>
        <v>251962.8033860682</v>
      </c>
      <c r="AF69" s="214">
        <f t="shared" si="9"/>
        <v>2.4516450031966284E-3</v>
      </c>
    </row>
    <row r="70" spans="1:32" ht="15.75" x14ac:dyDescent="0.2">
      <c r="A70" s="206">
        <f t="shared" si="10"/>
        <v>40</v>
      </c>
      <c r="B70" s="88">
        <f>IF($F70="","",'הזנה לתנאי סף'!C70)</f>
        <v>1001346993</v>
      </c>
      <c r="C70" s="88">
        <f>IF($F70="","",'הזנה לתנאי סף'!D70)</f>
        <v>1001277357</v>
      </c>
      <c r="D70" s="88">
        <f>IF($F70="","",'הזנה לתנאי סף'!E70)</f>
        <v>40000192</v>
      </c>
      <c r="E70" s="88">
        <f>IF($F70="","",'הזנה לתנאי סף'!F70)</f>
        <v>20000201</v>
      </c>
      <c r="F70" s="88" t="str">
        <f>IF(OR('הזנה לתנאי סף'!G70="",'הזנה לתנאי סף'!BL70&lt;&gt;1,'הזנה לתנאי סף'!Q70&lt;&gt;1),"",'הזנה לתנאי סף'!G70)</f>
        <v>תל אביב -יפו</v>
      </c>
      <c r="G70" s="88" t="str">
        <f>IF($F70="","",'הזנה לתנאי סף'!H70)</f>
        <v>תיאטרון יפו</v>
      </c>
      <c r="H70" s="88" t="str">
        <f>IF($F70="","",'הזנה לתנאי סף'!I70)</f>
        <v>סינמטקים ופסטיבלים</v>
      </c>
      <c r="I70" s="213">
        <f>IF($F70="","",'תחום תמיכה א'!$I70)</f>
        <v>81348</v>
      </c>
      <c r="J70" s="213">
        <f>IF($F70="","",'תחום תמיכה א'!$J70)</f>
        <v>30920</v>
      </c>
      <c r="K70" s="213">
        <f>IF($F70="","",'תחום תמיכה א'!$K70)</f>
        <v>0</v>
      </c>
      <c r="L70" s="213">
        <f t="shared" si="0"/>
        <v>112268</v>
      </c>
      <c r="M70" s="214">
        <f t="shared" si="1"/>
        <v>0.72458759397156802</v>
      </c>
      <c r="N70" s="214">
        <f t="shared" si="12"/>
        <v>0.27541240602843198</v>
      </c>
      <c r="O70" s="213">
        <f t="shared" si="3"/>
        <v>8515.7515943991166</v>
      </c>
      <c r="P70" s="213">
        <f>IF($F70="","",'פרמטרים לקריטריונים'!$C$59*O70)</f>
        <v>2554.725478319735</v>
      </c>
      <c r="Q70" s="214">
        <f t="shared" si="4"/>
        <v>1.4514136915908861E-5</v>
      </c>
      <c r="R70" s="213">
        <f t="shared" si="13"/>
        <v>1451.4136915908862</v>
      </c>
      <c r="S70" s="213">
        <f>IF($F70="","",'הזנה לתנאי סף'!N70)</f>
        <v>1</v>
      </c>
      <c r="T70" s="213">
        <f>IF($F70="","",'הזנה לתנאי סף'!O70)</f>
        <v>1</v>
      </c>
      <c r="U70" s="213">
        <f>IF($F70="","",'תחום תמיכה א'!W70)</f>
        <v>0</v>
      </c>
      <c r="V70" s="213">
        <f>IF($F70="","",'תחום תמיכה א'!X70)</f>
        <v>0</v>
      </c>
      <c r="W70" s="213">
        <f>IF($F70="","",'תחום תמיכה א'!Y70)</f>
        <v>0</v>
      </c>
      <c r="X70" s="231" t="str">
        <f>IF($F70="","",'תחום תמיכה א'!Z70)</f>
        <v>בדוק נתוני הזנה</v>
      </c>
      <c r="Y70" s="213" t="str">
        <f>IF($F70="","",'תחום תמיכה א'!AA70)</f>
        <v>בדוק נתוני הזנה</v>
      </c>
      <c r="Z70" s="214">
        <f>IF($F70="","",'תחום תמיכה א'!AB70)</f>
        <v>0</v>
      </c>
      <c r="AA70" s="225" t="str">
        <f>IF($F70="","",'תחום תמיכה א'!AC70)</f>
        <v/>
      </c>
      <c r="AB70" s="213" t="str">
        <f t="shared" si="6"/>
        <v/>
      </c>
      <c r="AC70" s="213">
        <f t="shared" si="7"/>
        <v>1451.4136915908862</v>
      </c>
      <c r="AD70" s="214">
        <f t="shared" si="8"/>
        <v>1.454599020049645E-5</v>
      </c>
      <c r="AE70" s="213">
        <f t="shared" si="11"/>
        <v>1494.9344069653694</v>
      </c>
      <c r="AF70" s="214">
        <f t="shared" si="9"/>
        <v>1.4545990200496455E-5</v>
      </c>
    </row>
    <row r="71" spans="1:32" ht="15.75" x14ac:dyDescent="0.2">
      <c r="A71" s="206">
        <f t="shared" si="10"/>
        <v>41</v>
      </c>
      <c r="B71" s="88">
        <f>IF($F71="","",'הזנה לתנאי סף'!C71)</f>
        <v>1001349157</v>
      </c>
      <c r="C71" s="88">
        <f>IF($F71="","",'הזנה לתנאי סף'!D71)</f>
        <v>1001273336</v>
      </c>
      <c r="D71" s="88">
        <f>IF($F71="","",'הזנה לתנאי סף'!E71)</f>
        <v>40000050</v>
      </c>
      <c r="E71" s="88">
        <f>IF($F71="","",'הזנה לתנאי סף'!F71)</f>
        <v>20000250</v>
      </c>
      <c r="F71" s="88" t="str">
        <f>IF(OR('הזנה לתנאי סף'!G71="",'הזנה לתנאי סף'!BL71&lt;&gt;1,'הזנה לתנאי סף'!Q71&lt;&gt;1),"",'הזנה לתנאי סף'!G71)</f>
        <v>רמת גן</v>
      </c>
      <c r="G71" s="88" t="str">
        <f>IF($F71="","",'הזנה לתנאי סף'!H71)</f>
        <v>אגודת שוחרי מוזאון האדם והחי</v>
      </c>
      <c r="H71" s="88" t="str">
        <f>IF($F71="","",'הזנה לתנאי סף'!I71)</f>
        <v>מוזיאונים</v>
      </c>
      <c r="I71" s="213">
        <f>IF($F71="","",'תחום תמיכה א'!$I71)</f>
        <v>974616</v>
      </c>
      <c r="J71" s="213">
        <f>IF($F71="","",'תחום תמיכה א'!$J71)</f>
        <v>398688</v>
      </c>
      <c r="K71" s="213">
        <f>IF($F71="","",'תחום תמיכה א'!$K71)</f>
        <v>0</v>
      </c>
      <c r="L71" s="213">
        <f t="shared" si="0"/>
        <v>1373304</v>
      </c>
      <c r="M71" s="214">
        <f t="shared" si="1"/>
        <v>0.70968700302336551</v>
      </c>
      <c r="N71" s="214">
        <f t="shared" si="12"/>
        <v>0.29031299697663449</v>
      </c>
      <c r="O71" s="213">
        <f t="shared" si="3"/>
        <v>115744.30813862044</v>
      </c>
      <c r="P71" s="213">
        <f>IF($F71="","",'פרמטרים לקריטריונים'!$C$59*O71)</f>
        <v>34723.292441586134</v>
      </c>
      <c r="Q71" s="214">
        <f t="shared" si="4"/>
        <v>1.9727310231383279E-4</v>
      </c>
      <c r="R71" s="213">
        <f t="shared" si="13"/>
        <v>19727.310231383279</v>
      </c>
      <c r="S71" s="213">
        <f>IF($F71="","",'הזנה לתנאי סף'!N71)</f>
        <v>0</v>
      </c>
      <c r="T71" s="213">
        <f>IF($F71="","",'הזנה לתנאי סף'!O71)</f>
        <v>1</v>
      </c>
      <c r="U71" s="213">
        <f>IF($F71="","",'תחום תמיכה א'!W71)</f>
        <v>0</v>
      </c>
      <c r="V71" s="213">
        <f>IF($F71="","",'תחום תמיכה א'!X71)</f>
        <v>0</v>
      </c>
      <c r="W71" s="213">
        <f>IF($F71="","",'תחום תמיכה א'!Y71)</f>
        <v>1</v>
      </c>
      <c r="X71" s="231">
        <f>IF($F71="","",'תחום תמיכה א'!Z71)</f>
        <v>0</v>
      </c>
      <c r="Y71" s="213" t="str">
        <f>IF($F71="","",'תחום תמיכה א'!AA71)</f>
        <v/>
      </c>
      <c r="Z71" s="214" t="str">
        <f>IF($F71="","",'תחום תמיכה א'!AB71)</f>
        <v/>
      </c>
      <c r="AA71" s="225" t="str">
        <f>IF($F71="","",'תחום תמיכה א'!AC71)</f>
        <v/>
      </c>
      <c r="AB71" s="213" t="str">
        <f t="shared" si="6"/>
        <v/>
      </c>
      <c r="AC71" s="213">
        <f t="shared" si="7"/>
        <v>19727.310231383279</v>
      </c>
      <c r="AD71" s="214">
        <f t="shared" si="8"/>
        <v>1.9770604547165785E-4</v>
      </c>
      <c r="AE71" s="213">
        <f t="shared" si="11"/>
        <v>20318.834659365704</v>
      </c>
      <c r="AF71" s="214">
        <f t="shared" si="9"/>
        <v>1.977060454716579E-4</v>
      </c>
    </row>
    <row r="72" spans="1:32" ht="15.75" x14ac:dyDescent="0.2">
      <c r="A72" s="206">
        <f t="shared" si="10"/>
        <v>42</v>
      </c>
      <c r="B72" s="88">
        <f>IF($F72="","",'הזנה לתנאי סף'!C72)</f>
        <v>1001347603</v>
      </c>
      <c r="C72" s="88">
        <f>IF($F72="","",'הזנה לתנאי סף'!D72)</f>
        <v>1001274726</v>
      </c>
      <c r="D72" s="88">
        <f>IF($F72="","",'הזנה לתנאי סף'!E72)</f>
        <v>40000220</v>
      </c>
      <c r="E72" s="88">
        <f>IF($F72="","",'הזנה לתנאי סף'!F72)</f>
        <v>20000136</v>
      </c>
      <c r="F72" s="88" t="str">
        <f>IF(OR('הזנה לתנאי סף'!G72="",'הזנה לתנאי סף'!BL72&lt;&gt;1,'הזנה לתנאי סף'!Q72&lt;&gt;1),"",'הזנה לתנאי סף'!G72)</f>
        <v>עמק יזרעאל</v>
      </c>
      <c r="G72" s="88" t="str">
        <f>IF($F72="","",'הזנה לתנאי סף'!H72)</f>
        <v>מוזיאון העמק</v>
      </c>
      <c r="H72" s="88" t="str">
        <f>IF($F72="","",'הזנה לתנאי סף'!I72)</f>
        <v>מוזיאונים</v>
      </c>
      <c r="I72" s="213">
        <f>IF($F72="","",'תחום תמיכה א'!$I72)</f>
        <v>334429</v>
      </c>
      <c r="J72" s="213">
        <f>IF($F72="","",'תחום תמיכה א'!$J72)</f>
        <v>462235</v>
      </c>
      <c r="K72" s="213">
        <f>IF($F72="","",'תחום תמיכה א'!$K72)</f>
        <v>38023</v>
      </c>
      <c r="L72" s="213">
        <f t="shared" si="0"/>
        <v>834687</v>
      </c>
      <c r="M72" s="214">
        <f t="shared" si="1"/>
        <v>0.40066396146100275</v>
      </c>
      <c r="N72" s="214">
        <f t="shared" si="12"/>
        <v>0.5993360385389972</v>
      </c>
      <c r="O72" s="213">
        <f t="shared" si="3"/>
        <v>277034.09377407335</v>
      </c>
      <c r="P72" s="213">
        <f>IF($F72="","",'פרמטרים לקריטריונים'!$C$59*O72)</f>
        <v>83110.228132222008</v>
      </c>
      <c r="Q72" s="214">
        <f t="shared" si="4"/>
        <v>4.7217332760812601E-4</v>
      </c>
      <c r="R72" s="213">
        <f t="shared" si="13"/>
        <v>47217.332760812598</v>
      </c>
      <c r="S72" s="213">
        <f>IF($F72="","",'הזנה לתנאי סף'!N72)</f>
        <v>1</v>
      </c>
      <c r="T72" s="213">
        <f>IF($F72="","",'הזנה לתנאי סף'!O72)</f>
        <v>1</v>
      </c>
      <c r="U72" s="213">
        <f>IF($F72="","",'תחום תמיכה א'!W72)</f>
        <v>0</v>
      </c>
      <c r="V72" s="213">
        <f>IF($F72="","",'תחום תמיכה א'!X72)</f>
        <v>0</v>
      </c>
      <c r="W72" s="213">
        <f>IF($F72="","",'תחום תמיכה א'!Y72)</f>
        <v>0</v>
      </c>
      <c r="X72" s="231" t="str">
        <f>IF($F72="","",'תחום תמיכה א'!Z72)</f>
        <v>בדוק נתוני הזנה</v>
      </c>
      <c r="Y72" s="213" t="str">
        <f>IF($F72="","",'תחום תמיכה א'!AA72)</f>
        <v>בדוק נתוני הזנה</v>
      </c>
      <c r="Z72" s="214">
        <f>IF($F72="","",'תחום תמיכה א'!AB72)</f>
        <v>0</v>
      </c>
      <c r="AA72" s="225" t="str">
        <f>IF($F72="","",'תחום תמיכה א'!AC72)</f>
        <v/>
      </c>
      <c r="AB72" s="213" t="str">
        <f t="shared" si="6"/>
        <v/>
      </c>
      <c r="AC72" s="213">
        <f t="shared" si="7"/>
        <v>47217.332760812598</v>
      </c>
      <c r="AD72" s="214">
        <f t="shared" si="8"/>
        <v>4.7320957740142126E-4</v>
      </c>
      <c r="AE72" s="213">
        <f t="shared" si="11"/>
        <v>48633.146950613431</v>
      </c>
      <c r="AF72" s="214">
        <f t="shared" si="9"/>
        <v>4.7320957740142142E-4</v>
      </c>
    </row>
    <row r="73" spans="1:32" ht="15.75" x14ac:dyDescent="0.2">
      <c r="A73" s="206">
        <f t="shared" si="10"/>
        <v>43</v>
      </c>
      <c r="B73" s="88">
        <f>IF($F73="","",'הזנה לתנאי סף'!C73)</f>
        <v>1001347012</v>
      </c>
      <c r="C73" s="88">
        <f>IF($F73="","",'הזנה לתנאי סף'!D73)</f>
        <v>1010013470</v>
      </c>
      <c r="D73" s="88">
        <f>IF($F73="","",'הזנה לתנאי סף'!E73)</f>
        <v>40000280</v>
      </c>
      <c r="E73" s="88">
        <f>IF($F73="","",'הזנה לתנאי סף'!F73)</f>
        <v>20000227</v>
      </c>
      <c r="F73" s="88" t="str">
        <f>IF(OR('הזנה לתנאי סף'!G73="",'הזנה לתנאי סף'!BL73&lt;&gt;1,'הזנה לתנאי סף'!Q73&lt;&gt;1),"",'הזנה לתנאי סף'!G73)</f>
        <v>כפר סבא</v>
      </c>
      <c r="G73" s="88" t="str">
        <f>IF($F73="","",'הזנה לתנאי סף'!H73)</f>
        <v>מרכז קהילתי בכפר סבא ע"ש שושנה ופנחס ספיר</v>
      </c>
      <c r="H73" s="88" t="str">
        <f>IF($F73="","",'הזנה לתנאי סף'!I73)</f>
        <v>מוזיאונים</v>
      </c>
      <c r="I73" s="213">
        <f>IF($F73="","",'תחום תמיכה א'!$I73)</f>
        <v>863376</v>
      </c>
      <c r="J73" s="213">
        <f>IF($F73="","",'תחום תמיכה א'!$J73)</f>
        <v>760741</v>
      </c>
      <c r="K73" s="213">
        <f>IF($F73="","",'תחום תמיכה א'!$K73)</f>
        <v>0</v>
      </c>
      <c r="L73" s="213">
        <f t="shared" si="0"/>
        <v>1624117</v>
      </c>
      <c r="M73" s="214">
        <f t="shared" si="1"/>
        <v>0.53159716941575019</v>
      </c>
      <c r="N73" s="214">
        <f t="shared" si="12"/>
        <v>0.46840283058424981</v>
      </c>
      <c r="O73" s="213">
        <f t="shared" si="3"/>
        <v>356333.23774149281</v>
      </c>
      <c r="P73" s="213">
        <f>IF($F73="","",'פרמטרים לקריטריונים'!$C$59*O73)</f>
        <v>106899.97132244783</v>
      </c>
      <c r="Q73" s="214">
        <f t="shared" si="4"/>
        <v>6.0732976331422258E-4</v>
      </c>
      <c r="R73" s="213">
        <f t="shared" si="13"/>
        <v>60732.976331422258</v>
      </c>
      <c r="S73" s="213">
        <f>IF($F73="","",'הזנה לתנאי סף'!N73)</f>
        <v>1</v>
      </c>
      <c r="T73" s="213">
        <f>IF($F73="","",'הזנה לתנאי סף'!O73)</f>
        <v>1</v>
      </c>
      <c r="U73" s="213">
        <f>IF($F73="","",'תחום תמיכה א'!W73)</f>
        <v>0</v>
      </c>
      <c r="V73" s="213">
        <f>IF($F73="","",'תחום תמיכה א'!X73)</f>
        <v>0</v>
      </c>
      <c r="W73" s="213">
        <f>IF($F73="","",'תחום תמיכה א'!Y73)</f>
        <v>0</v>
      </c>
      <c r="X73" s="231" t="str">
        <f>IF($F73="","",'תחום תמיכה א'!Z73)</f>
        <v>בדוק נתוני הזנה</v>
      </c>
      <c r="Y73" s="213" t="str">
        <f>IF($F73="","",'תחום תמיכה א'!AA73)</f>
        <v>בדוק נתוני הזנה</v>
      </c>
      <c r="Z73" s="214">
        <f>IF($F73="","",'תחום תמיכה א'!AB73)</f>
        <v>1</v>
      </c>
      <c r="AA73" s="225" t="str">
        <f>IF($F73="","",'תחום תמיכה א'!AC73)</f>
        <v/>
      </c>
      <c r="AB73" s="213" t="str">
        <f t="shared" si="6"/>
        <v/>
      </c>
      <c r="AC73" s="213">
        <f t="shared" si="7"/>
        <v>60732.976331422258</v>
      </c>
      <c r="AD73" s="214">
        <f t="shared" si="8"/>
        <v>6.0866263263338659E-4</v>
      </c>
      <c r="AE73" s="213">
        <f t="shared" si="11"/>
        <v>62554.057799840761</v>
      </c>
      <c r="AF73" s="214">
        <f t="shared" si="9"/>
        <v>6.0866263263338681E-4</v>
      </c>
    </row>
    <row r="74" spans="1:32" ht="15.75" x14ac:dyDescent="0.2">
      <c r="A74" s="206">
        <f t="shared" si="10"/>
        <v>44</v>
      </c>
      <c r="B74" s="88">
        <f>IF($F74="","",'הזנה לתנאי סף'!C74)</f>
        <v>1001346658</v>
      </c>
      <c r="C74" s="88">
        <f>IF($F74="","",'הזנה לתנאי סף'!D74)</f>
        <v>1001274373</v>
      </c>
      <c r="D74" s="88">
        <f>IF($F74="","",'הזנה לתנאי סף'!E74)</f>
        <v>40000168</v>
      </c>
      <c r="E74" s="88">
        <f>IF($F74="","",'הזנה לתנאי סף'!F74)</f>
        <v>20000139</v>
      </c>
      <c r="F74" s="88" t="str">
        <f>IF(OR('הזנה לתנאי סף'!G74="",'הזנה לתנאי סף'!BL74&lt;&gt;1,'הזנה לתנאי סף'!Q74&lt;&gt;1),"",'הזנה לתנאי סף'!G74)</f>
        <v>מטה אשר</v>
      </c>
      <c r="G74" s="88" t="str">
        <f>IF($F74="","",'הזנה לתנאי סף'!H74)</f>
        <v>קשת איילון</v>
      </c>
      <c r="H74" s="88" t="str">
        <f>IF($F74="","",'הזנה לתנאי סף'!I74)</f>
        <v>מוסיקה-גופים כליים</v>
      </c>
      <c r="I74" s="213">
        <f>IF($F74="","",'תחום תמיכה א'!$I74)</f>
        <v>169000</v>
      </c>
      <c r="J74" s="213">
        <f>IF($F74="","",'תחום תמיכה א'!$J74)</f>
        <v>623000</v>
      </c>
      <c r="K74" s="213">
        <f>IF($F74="","",'תחום תמיכה א'!$K74)</f>
        <v>0</v>
      </c>
      <c r="L74" s="213">
        <f t="shared" si="0"/>
        <v>792000</v>
      </c>
      <c r="M74" s="214">
        <f t="shared" si="1"/>
        <v>0.21338383838383837</v>
      </c>
      <c r="N74" s="214">
        <f t="shared" si="12"/>
        <v>0.78661616161616166</v>
      </c>
      <c r="O74" s="213">
        <f t="shared" si="3"/>
        <v>490061.86868686869</v>
      </c>
      <c r="P74" s="213">
        <f>IF($F74="","",'פרמטרים לקריטריונים'!$C$59*O74)</f>
        <v>147018.56060606061</v>
      </c>
      <c r="Q74" s="214">
        <f t="shared" si="4"/>
        <v>8.3525511289755429E-4</v>
      </c>
      <c r="R74" s="213">
        <f t="shared" si="13"/>
        <v>83525.511289755435</v>
      </c>
      <c r="S74" s="213">
        <f>IF($F74="","",'הזנה לתנאי סף'!N74)</f>
        <v>0</v>
      </c>
      <c r="T74" s="213">
        <f>IF($F74="","",'הזנה לתנאי סף'!O74)</f>
        <v>1</v>
      </c>
      <c r="U74" s="213">
        <f>IF($F74="","",'תחום תמיכה א'!W74)</f>
        <v>0</v>
      </c>
      <c r="V74" s="213">
        <f>IF($F74="","",'תחום תמיכה א'!X74)</f>
        <v>0</v>
      </c>
      <c r="W74" s="213">
        <f>IF($F74="","",'תחום תמיכה א'!Y74)</f>
        <v>1</v>
      </c>
      <c r="X74" s="231">
        <f>IF($F74="","",'תחום תמיכה א'!Z74)</f>
        <v>0</v>
      </c>
      <c r="Y74" s="213" t="str">
        <f>IF($F74="","",'תחום תמיכה א'!AA74)</f>
        <v/>
      </c>
      <c r="Z74" s="214" t="str">
        <f>IF($F74="","",'תחום תמיכה א'!AB74)</f>
        <v/>
      </c>
      <c r="AA74" s="225" t="str">
        <f>IF($F74="","",'תחום תמיכה א'!AC74)</f>
        <v/>
      </c>
      <c r="AB74" s="213" t="str">
        <f t="shared" si="6"/>
        <v/>
      </c>
      <c r="AC74" s="213">
        <f t="shared" si="7"/>
        <v>83525.511289755435</v>
      </c>
      <c r="AD74" s="214">
        <f t="shared" si="8"/>
        <v>8.3708819597845053E-4</v>
      </c>
      <c r="AE74" s="213">
        <f t="shared" si="11"/>
        <v>86030.028109742998</v>
      </c>
      <c r="AF74" s="214">
        <f t="shared" si="9"/>
        <v>8.3708819597845075E-4</v>
      </c>
    </row>
    <row r="75" spans="1:32" ht="15.75" x14ac:dyDescent="0.2">
      <c r="A75" s="206" t="str">
        <f t="shared" si="10"/>
        <v/>
      </c>
      <c r="B75" s="88" t="str">
        <f>IF($F75="","",'הזנה לתנאי סף'!C75)</f>
        <v/>
      </c>
      <c r="C75" s="88" t="str">
        <f>IF($F75="","",'הזנה לתנאי סף'!D75)</f>
        <v/>
      </c>
      <c r="D75" s="88" t="str">
        <f>IF($F75="","",'הזנה לתנאי סף'!E75)</f>
        <v/>
      </c>
      <c r="E75" s="88" t="str">
        <f>IF($F75="","",'הזנה לתנאי סף'!F75)</f>
        <v/>
      </c>
      <c r="F75" s="88" t="str">
        <f>IF(OR('הזנה לתנאי סף'!G75="",'הזנה לתנאי סף'!BL75&lt;&gt;1,'הזנה לתנאי סף'!Q75&lt;&gt;1),"",'הזנה לתנאי סף'!G75)</f>
        <v/>
      </c>
      <c r="G75" s="88" t="str">
        <f>IF($F75="","",'הזנה לתנאי סף'!H75)</f>
        <v/>
      </c>
      <c r="H75" s="88" t="str">
        <f>IF($F75="","",'הזנה לתנאי סף'!I75)</f>
        <v/>
      </c>
      <c r="I75" s="213" t="str">
        <f>IF($F75="","",'תחום תמיכה א'!$I75)</f>
        <v/>
      </c>
      <c r="J75" s="213" t="str">
        <f>IF($F75="","",'תחום תמיכה א'!$J75)</f>
        <v/>
      </c>
      <c r="K75" s="213" t="str">
        <f>IF($F75="","",'תחום תמיכה א'!$K75)</f>
        <v/>
      </c>
      <c r="L75" s="213" t="str">
        <f t="shared" si="0"/>
        <v/>
      </c>
      <c r="M75" s="214" t="str">
        <f t="shared" si="1"/>
        <v/>
      </c>
      <c r="N75" s="214" t="str">
        <f t="shared" si="12"/>
        <v/>
      </c>
      <c r="O75" s="213" t="str">
        <f t="shared" si="3"/>
        <v/>
      </c>
      <c r="P75" s="213" t="str">
        <f>IF($F75="","",'פרמטרים לקריטריונים'!$C$59*O75)</f>
        <v/>
      </c>
      <c r="Q75" s="214" t="str">
        <f t="shared" si="4"/>
        <v/>
      </c>
      <c r="R75" s="213" t="str">
        <f t="shared" si="13"/>
        <v/>
      </c>
      <c r="S75" s="213" t="str">
        <f>IF($F75="","",'הזנה לתנאי סף'!N75)</f>
        <v/>
      </c>
      <c r="T75" s="213" t="str">
        <f>IF($F75="","",'הזנה לתנאי סף'!O75)</f>
        <v/>
      </c>
      <c r="U75" s="213" t="str">
        <f>IF($F75="","",'תחום תמיכה א'!W75)</f>
        <v/>
      </c>
      <c r="V75" s="213" t="str">
        <f>IF($F75="","",'תחום תמיכה א'!X75)</f>
        <v/>
      </c>
      <c r="W75" s="213" t="str">
        <f>IF($F75="","",'תחום תמיכה א'!Y75)</f>
        <v/>
      </c>
      <c r="X75" s="231" t="str">
        <f>IF($F75="","",'תחום תמיכה א'!Z75)</f>
        <v/>
      </c>
      <c r="Y75" s="213" t="str">
        <f>IF($F75="","",'תחום תמיכה א'!AA75)</f>
        <v/>
      </c>
      <c r="Z75" s="214" t="str">
        <f>IF($F75="","",'תחום תמיכה א'!AB75)</f>
        <v/>
      </c>
      <c r="AA75" s="225" t="str">
        <f>IF($F75="","",'תחום תמיכה א'!AC75)</f>
        <v/>
      </c>
      <c r="AB75" s="213" t="str">
        <f t="shared" si="6"/>
        <v/>
      </c>
      <c r="AC75" s="213" t="str">
        <f t="shared" si="7"/>
        <v/>
      </c>
      <c r="AD75" s="214" t="str">
        <f t="shared" si="8"/>
        <v/>
      </c>
      <c r="AE75" s="213" t="str">
        <f t="shared" si="11"/>
        <v/>
      </c>
      <c r="AF75" s="214" t="str">
        <f t="shared" si="9"/>
        <v/>
      </c>
    </row>
    <row r="76" spans="1:32" ht="15.75" x14ac:dyDescent="0.2">
      <c r="A76" s="206">
        <f t="shared" si="10"/>
        <v>46</v>
      </c>
      <c r="B76" s="88">
        <f>IF($F76="","",'הזנה לתנאי סף'!C76)</f>
        <v>1001348760</v>
      </c>
      <c r="C76" s="88">
        <f>IF($F76="","",'הזנה לתנאי סף'!D76)</f>
        <v>1001271005</v>
      </c>
      <c r="D76" s="88">
        <f>IF($F76="","",'הזנה לתנאי סף'!E76)</f>
        <v>40000158</v>
      </c>
      <c r="E76" s="88">
        <f>IF($F76="","",'הזנה לתנאי סף'!F76)</f>
        <v>20000062</v>
      </c>
      <c r="F76" s="88" t="str">
        <f>IF(OR('הזנה לתנאי סף'!G76="",'הזנה לתנאי סף'!BL76&lt;&gt;1,'הזנה לתנאי סף'!Q76&lt;&gt;1),"",'הזנה לתנאי סף'!G76)</f>
        <v>עיילבון</v>
      </c>
      <c r="G76" s="88" t="str">
        <f>IF($F76="","",'הזנה לתנאי סף'!H76)</f>
        <v>ג'בינה- לקידום התיאטרון הערבי</v>
      </c>
      <c r="H76" s="88" t="str">
        <f>IF($F76="","",'הזנה לתנאי סף'!I76)</f>
        <v>תיאטרון</v>
      </c>
      <c r="I76" s="213">
        <f>IF($F76="","",'תחום תמיכה א'!$I76)</f>
        <v>320383</v>
      </c>
      <c r="J76" s="213">
        <f>IF($F76="","",'תחום תמיכה א'!$J76)</f>
        <v>155340</v>
      </c>
      <c r="K76" s="213">
        <f>IF($F76="","",'תחום תמיכה א'!$K76)</f>
        <v>0</v>
      </c>
      <c r="L76" s="213">
        <f t="shared" si="0"/>
        <v>475723</v>
      </c>
      <c r="M76" s="214">
        <f t="shared" si="1"/>
        <v>0.67346544102345274</v>
      </c>
      <c r="N76" s="214">
        <f t="shared" si="12"/>
        <v>0.32653455897654726</v>
      </c>
      <c r="O76" s="213">
        <f t="shared" si="3"/>
        <v>50723.878391416853</v>
      </c>
      <c r="P76" s="213">
        <f>IF($F76="","",'פרמטרים לקריטריונים'!$C$59*O76)</f>
        <v>15217.163517425055</v>
      </c>
      <c r="Q76" s="214">
        <f t="shared" si="4"/>
        <v>8.6453122512773737E-5</v>
      </c>
      <c r="R76" s="213">
        <f t="shared" si="13"/>
        <v>8645.3122512773734</v>
      </c>
      <c r="S76" s="213">
        <f>IF($F76="","",'הזנה לתנאי סף'!N76)</f>
        <v>0</v>
      </c>
      <c r="T76" s="213">
        <f>IF($F76="","",'הזנה לתנאי סף'!O76)</f>
        <v>1</v>
      </c>
      <c r="U76" s="213">
        <f>IF($F76="","",'תחום תמיכה א'!W76)</f>
        <v>0</v>
      </c>
      <c r="V76" s="213">
        <f>IF($F76="","",'תחום תמיכה א'!X76)</f>
        <v>0</v>
      </c>
      <c r="W76" s="213">
        <f>IF($F76="","",'תחום תמיכה א'!Y76)</f>
        <v>1</v>
      </c>
      <c r="X76" s="231">
        <f>IF($F76="","",'תחום תמיכה א'!Z76)</f>
        <v>0</v>
      </c>
      <c r="Y76" s="213" t="str">
        <f>IF($F76="","",'תחום תמיכה א'!AA76)</f>
        <v/>
      </c>
      <c r="Z76" s="214" t="str">
        <f>IF($F76="","",'תחום תמיכה א'!AB76)</f>
        <v/>
      </c>
      <c r="AA76" s="225" t="str">
        <f>IF($F76="","",'תחום תמיכה א'!AC76)</f>
        <v/>
      </c>
      <c r="AB76" s="213" t="str">
        <f t="shared" si="6"/>
        <v/>
      </c>
      <c r="AC76" s="213">
        <f t="shared" si="7"/>
        <v>8645.3122512773734</v>
      </c>
      <c r="AD76" s="214">
        <f t="shared" si="8"/>
        <v>8.664285586935152E-5</v>
      </c>
      <c r="AE76" s="213">
        <f t="shared" si="11"/>
        <v>8904.5423908242647</v>
      </c>
      <c r="AF76" s="214">
        <f t="shared" si="9"/>
        <v>8.6642855869351548E-5</v>
      </c>
    </row>
    <row r="77" spans="1:32" ht="15.75" x14ac:dyDescent="0.2">
      <c r="A77" s="206">
        <f t="shared" si="10"/>
        <v>47</v>
      </c>
      <c r="B77" s="88">
        <f>IF($F77="","",'הזנה לתנאי סף'!C77)</f>
        <v>1001350788</v>
      </c>
      <c r="C77" s="88">
        <f>IF($F77="","",'הזנה לתנאי סף'!D77)</f>
        <v>1001274174</v>
      </c>
      <c r="D77" s="88">
        <f>IF($F77="","",'הזנה לתנאי סף'!E77)</f>
        <v>40000291</v>
      </c>
      <c r="E77" s="88">
        <f>IF($F77="","",'הזנה לתנאי סף'!F77)</f>
        <v>20000014</v>
      </c>
      <c r="F77" s="88" t="str">
        <f>IF(OR('הזנה לתנאי סף'!G77="",'הזנה לתנאי סף'!BL77&lt;&gt;1,'הזנה לתנאי סף'!Q77&lt;&gt;1),"",'הזנה לתנאי סף'!G77)</f>
        <v>אשדוד</v>
      </c>
      <c r="G77" s="88" t="str">
        <f>IF($F77="","",'הזנה לתנאי סף'!H77)</f>
        <v>החברה העירונית לתרבות ופנאי אשדוד</v>
      </c>
      <c r="H77" s="88" t="str">
        <f>IF($F77="","",'הזנה לתנאי סף'!I77)</f>
        <v>תיאטרון</v>
      </c>
      <c r="I77" s="213">
        <f>IF($F77="","",'תחום תמיכה א'!$I77)</f>
        <v>1259757</v>
      </c>
      <c r="J77" s="213">
        <f>IF($F77="","",'תחום תמיכה א'!$J77)</f>
        <v>844877</v>
      </c>
      <c r="K77" s="213">
        <f>IF($F77="","",'תחום תמיכה א'!$K77)</f>
        <v>0</v>
      </c>
      <c r="L77" s="213">
        <f t="shared" si="0"/>
        <v>2104634</v>
      </c>
      <c r="M77" s="214">
        <f t="shared" si="1"/>
        <v>0.59856345568873259</v>
      </c>
      <c r="N77" s="214">
        <f t="shared" si="12"/>
        <v>0.40143654431126741</v>
      </c>
      <c r="O77" s="213">
        <f t="shared" si="3"/>
        <v>339164.50324807066</v>
      </c>
      <c r="P77" s="213">
        <f>IF($F77="","",'פרמטרים לקריטריונים'!$C$59*O77)</f>
        <v>101749.35097442119</v>
      </c>
      <c r="Q77" s="214">
        <f t="shared" si="4"/>
        <v>5.7806759422109055E-4</v>
      </c>
      <c r="R77" s="213">
        <f t="shared" si="13"/>
        <v>57806.759422109055</v>
      </c>
      <c r="S77" s="213">
        <f>IF($F77="","",'הזנה לתנאי סף'!N77)</f>
        <v>1</v>
      </c>
      <c r="T77" s="213">
        <f>IF($F77="","",'הזנה לתנאי סף'!O77)</f>
        <v>1</v>
      </c>
      <c r="U77" s="213">
        <f>IF($F77="","",'תחום תמיכה א'!W77)</f>
        <v>0</v>
      </c>
      <c r="V77" s="213">
        <f>IF($F77="","",'תחום תמיכה א'!X77)</f>
        <v>0</v>
      </c>
      <c r="W77" s="213">
        <f>IF($F77="","",'תחום תמיכה א'!Y77)</f>
        <v>0</v>
      </c>
      <c r="X77" s="231" t="str">
        <f>IF($F77="","",'תחום תמיכה א'!Z77)</f>
        <v>בדוק נתוני הזנה</v>
      </c>
      <c r="Y77" s="213" t="str">
        <f>IF($F77="","",'תחום תמיכה א'!AA77)</f>
        <v>בדוק נתוני הזנה</v>
      </c>
      <c r="Z77" s="214">
        <f>IF($F77="","",'תחום תמיכה א'!AB77)</f>
        <v>1</v>
      </c>
      <c r="AA77" s="225" t="str">
        <f>IF($F77="","",'תחום תמיכה א'!AC77)</f>
        <v/>
      </c>
      <c r="AB77" s="213" t="str">
        <f t="shared" si="6"/>
        <v/>
      </c>
      <c r="AC77" s="213">
        <f t="shared" si="7"/>
        <v>57806.759422109055</v>
      </c>
      <c r="AD77" s="214">
        <f t="shared" si="8"/>
        <v>5.7933624365551911E-4</v>
      </c>
      <c r="AE77" s="213">
        <f t="shared" si="11"/>
        <v>59540.098123615506</v>
      </c>
      <c r="AF77" s="214">
        <f t="shared" si="9"/>
        <v>5.7933624365551933E-4</v>
      </c>
    </row>
    <row r="78" spans="1:32" ht="15.75" x14ac:dyDescent="0.2">
      <c r="A78" s="206">
        <f t="shared" si="10"/>
        <v>48</v>
      </c>
      <c r="B78" s="88">
        <f>IF($F78="","",'הזנה לתנאי סף'!C78)</f>
        <v>1001346581</v>
      </c>
      <c r="C78" s="88">
        <f>IF($F78="","",'הזנה לתנאי סף'!D78)</f>
        <v>1001263210</v>
      </c>
      <c r="D78" s="88">
        <f>IF($F78="","",'הזנה לתנאי סף'!E78)</f>
        <v>40000298</v>
      </c>
      <c r="E78" s="88">
        <f>IF($F78="","",'הזנה לתנאי סף'!F78)</f>
        <v>20000257</v>
      </c>
      <c r="F78" s="88" t="str">
        <f>IF(OR('הזנה לתנאי סף'!G78="",'הזנה לתנאי סף'!BL78&lt;&gt;1,'הזנה לתנאי סף'!Q78&lt;&gt;1),"",'הזנה לתנאי סף'!G78)</f>
        <v>זכרון יעקב</v>
      </c>
      <c r="G78" s="88" t="str">
        <f>IF($F78="","",'הזנה לתנאי סף'!H78)</f>
        <v>בית אהרונסון, מוזיאון נילי</v>
      </c>
      <c r="H78" s="88" t="str">
        <f>IF($F78="","",'הזנה לתנאי סף'!I78)</f>
        <v>מוזיאונים</v>
      </c>
      <c r="I78" s="213">
        <f>IF($F78="","",'תחום תמיכה א'!$I78)</f>
        <v>215783</v>
      </c>
      <c r="J78" s="213">
        <f>IF($F78="","",'תחום תמיכה א'!$J78)</f>
        <v>377427</v>
      </c>
      <c r="K78" s="213">
        <f>IF($F78="","",'תחום תמיכה א'!$K78)</f>
        <v>8025</v>
      </c>
      <c r="L78" s="213">
        <f t="shared" si="0"/>
        <v>601235</v>
      </c>
      <c r="M78" s="214">
        <f t="shared" si="1"/>
        <v>0.35889959832677737</v>
      </c>
      <c r="N78" s="214">
        <f t="shared" si="12"/>
        <v>0.64110040167322269</v>
      </c>
      <c r="O78" s="213">
        <f t="shared" si="3"/>
        <v>241968.60130231941</v>
      </c>
      <c r="P78" s="213">
        <f>IF($F78="","",'פרמטרים לקריטריונים'!$C$59*O78)</f>
        <v>72590.580390695817</v>
      </c>
      <c r="Q78" s="214">
        <f t="shared" si="4"/>
        <v>4.1240815560691989E-4</v>
      </c>
      <c r="R78" s="213">
        <f t="shared" si="13"/>
        <v>41240.81556069199</v>
      </c>
      <c r="S78" s="213">
        <f>IF($F78="","",'הזנה לתנאי סף'!N78)</f>
        <v>0</v>
      </c>
      <c r="T78" s="213">
        <f>IF($F78="","",'הזנה לתנאי סף'!O78)</f>
        <v>1</v>
      </c>
      <c r="U78" s="213">
        <f>IF($F78="","",'תחום תמיכה א'!W78)</f>
        <v>0</v>
      </c>
      <c r="V78" s="213">
        <f>IF($F78="","",'תחום תמיכה א'!X78)</f>
        <v>0</v>
      </c>
      <c r="W78" s="213">
        <f>IF($F78="","",'תחום תמיכה א'!Y78)</f>
        <v>1</v>
      </c>
      <c r="X78" s="231">
        <f>IF($F78="","",'תחום תמיכה א'!Z78)</f>
        <v>0</v>
      </c>
      <c r="Y78" s="213" t="str">
        <f>IF($F78="","",'תחום תמיכה א'!AA78)</f>
        <v/>
      </c>
      <c r="Z78" s="214" t="str">
        <f>IF($F78="","",'תחום תמיכה א'!AB78)</f>
        <v/>
      </c>
      <c r="AA78" s="225" t="str">
        <f>IF($F78="","",'תחום תמיכה א'!AC78)</f>
        <v/>
      </c>
      <c r="AB78" s="213" t="str">
        <f t="shared" si="6"/>
        <v/>
      </c>
      <c r="AC78" s="213">
        <f t="shared" si="7"/>
        <v>41240.81556069199</v>
      </c>
      <c r="AD78" s="214">
        <f t="shared" si="8"/>
        <v>4.1331324244900353E-4</v>
      </c>
      <c r="AE78" s="213">
        <f t="shared" si="11"/>
        <v>42477.423569991617</v>
      </c>
      <c r="AF78" s="214">
        <f t="shared" si="9"/>
        <v>4.1331324244900364E-4</v>
      </c>
    </row>
    <row r="79" spans="1:32" ht="15.75" x14ac:dyDescent="0.2">
      <c r="A79" s="206">
        <f t="shared" si="10"/>
        <v>49</v>
      </c>
      <c r="B79" s="88">
        <f>IF($F79="","",'הזנה לתנאי סף'!C79)</f>
        <v>1001349393</v>
      </c>
      <c r="C79" s="88">
        <f>IF($F79="","",'הזנה לתנאי סף'!D79)</f>
        <v>1001272661</v>
      </c>
      <c r="D79" s="88">
        <f>IF($F79="","",'הזנה לתנאי סף'!E79)</f>
        <v>40000323</v>
      </c>
      <c r="E79" s="88">
        <f>IF($F79="","",'הזנה לתנאי סף'!F79)</f>
        <v>20000127</v>
      </c>
      <c r="F79" s="88" t="str">
        <f>IF(OR('הזנה לתנאי סף'!G79="",'הזנה לתנאי סף'!BL79&lt;&gt;1,'הזנה לתנאי סף'!Q79&lt;&gt;1),"",'הזנה לתנאי סף'!G79)</f>
        <v>הגליל העליון</v>
      </c>
      <c r="G79" s="88" t="str">
        <f>IF($F79="","",'הזנה לתנאי סף'!H79)</f>
        <v>מכון בר דוד לאמנות</v>
      </c>
      <c r="H79" s="88" t="str">
        <f>IF($F79="","",'הזנה לתנאי סף'!I79)</f>
        <v>מוזיאונים</v>
      </c>
      <c r="I79" s="213">
        <f>IF($F79="","",'תחום תמיכה א'!$I79)</f>
        <v>25000</v>
      </c>
      <c r="J79" s="213">
        <f>IF($F79="","",'תחום תמיכה א'!$J79)</f>
        <v>131034</v>
      </c>
      <c r="K79" s="213">
        <f>IF($F79="","",'תחום תמיכה א'!$K79)</f>
        <v>240966</v>
      </c>
      <c r="L79" s="213">
        <f t="shared" si="0"/>
        <v>397000</v>
      </c>
      <c r="M79" s="214">
        <f t="shared" si="1"/>
        <v>6.2972292191435769E-2</v>
      </c>
      <c r="N79" s="214">
        <f t="shared" si="12"/>
        <v>0.93702770780856426</v>
      </c>
      <c r="O79" s="213">
        <f t="shared" si="3"/>
        <v>122782.48866498741</v>
      </c>
      <c r="P79" s="213">
        <f>IF($F79="","",'פרמטרים לקריטריונים'!$C$59*O79)</f>
        <v>36834.746599496219</v>
      </c>
      <c r="Q79" s="214">
        <f t="shared" si="4"/>
        <v>2.0926888620515253E-4</v>
      </c>
      <c r="R79" s="213">
        <f t="shared" si="13"/>
        <v>20926.888620515252</v>
      </c>
      <c r="S79" s="213">
        <f>IF($F79="","",'הזנה לתנאי סף'!N79)</f>
        <v>0</v>
      </c>
      <c r="T79" s="213">
        <f>IF($F79="","",'הזנה לתנאי סף'!O79)</f>
        <v>1</v>
      </c>
      <c r="U79" s="213">
        <f>IF($F79="","",'תחום תמיכה א'!W79)</f>
        <v>0</v>
      </c>
      <c r="V79" s="213">
        <f>IF($F79="","",'תחום תמיכה א'!X79)</f>
        <v>0</v>
      </c>
      <c r="W79" s="213">
        <f>IF($F79="","",'תחום תמיכה א'!Y79)</f>
        <v>1</v>
      </c>
      <c r="X79" s="231">
        <f>IF($F79="","",'תחום תמיכה א'!Z79)</f>
        <v>0</v>
      </c>
      <c r="Y79" s="213" t="str">
        <f>IF($F79="","",'תחום תמיכה א'!AA79)</f>
        <v/>
      </c>
      <c r="Z79" s="214" t="str">
        <f>IF($F79="","",'תחום תמיכה א'!AB79)</f>
        <v/>
      </c>
      <c r="AA79" s="225" t="str">
        <f>IF($F79="","",'תחום תמיכה א'!AC79)</f>
        <v/>
      </c>
      <c r="AB79" s="213" t="str">
        <f t="shared" si="6"/>
        <v/>
      </c>
      <c r="AC79" s="213">
        <f t="shared" si="7"/>
        <v>20926.888620515252</v>
      </c>
      <c r="AD79" s="214">
        <f t="shared" si="8"/>
        <v>2.0972815577290159E-4</v>
      </c>
      <c r="AE79" s="213">
        <f t="shared" si="11"/>
        <v>21554.382469170272</v>
      </c>
      <c r="AF79" s="214">
        <f t="shared" si="9"/>
        <v>2.0972815577290167E-4</v>
      </c>
    </row>
    <row r="80" spans="1:32" ht="15.75" x14ac:dyDescent="0.2">
      <c r="A80" s="206">
        <f t="shared" si="10"/>
        <v>50</v>
      </c>
      <c r="B80" s="88">
        <f>IF($F80="","",'הזנה לתנאי סף'!C80)</f>
        <v>1001348701</v>
      </c>
      <c r="C80" s="88">
        <f>IF($F80="","",'הזנה לתנאי סף'!D80)</f>
        <v>1001266423</v>
      </c>
      <c r="D80" s="88">
        <f>IF($F80="","",'הזנה לתנאי סף'!E80)</f>
        <v>40000341</v>
      </c>
      <c r="E80" s="88">
        <f>IF($F80="","",'הזנה לתנאי סף'!F80)</f>
        <v>20000182</v>
      </c>
      <c r="F80" s="88" t="str">
        <f>IF(OR('הזנה לתנאי סף'!G80="",'הזנה לתנאי סף'!BL80&lt;&gt;1,'הזנה לתנאי סף'!Q80&lt;&gt;1),"",'הזנה לתנאי סף'!G80)</f>
        <v>חיפה</v>
      </c>
      <c r="G80" s="88" t="str">
        <f>IF($F80="","",'הזנה לתנאי סף'!H80)</f>
        <v>מדעטק- המוזיאון הלאומי למדע</v>
      </c>
      <c r="H80" s="88" t="str">
        <f>IF($F80="","",'הזנה לתנאי סף'!I80)</f>
        <v>מוזיאונים</v>
      </c>
      <c r="I80" s="213">
        <f>IF($F80="","",'תחום תמיכה א'!$I80)</f>
        <v>5323573</v>
      </c>
      <c r="J80" s="213">
        <f>IF($F80="","",'תחום תמיכה א'!$J80)</f>
        <v>20040970</v>
      </c>
      <c r="K80" s="213">
        <f>IF($F80="","",'תחום תמיכה א'!$K80)</f>
        <v>0</v>
      </c>
      <c r="L80" s="213">
        <f t="shared" si="0"/>
        <v>25364543</v>
      </c>
      <c r="M80" s="214">
        <f t="shared" si="1"/>
        <v>0.20988247255233416</v>
      </c>
      <c r="N80" s="214">
        <f t="shared" si="12"/>
        <v>0.79011752744766584</v>
      </c>
      <c r="O80" s="213">
        <f t="shared" si="3"/>
        <v>15834721.664052848</v>
      </c>
      <c r="P80" s="213">
        <f>IF($F80="","",'פרמטרים לקריטריונים'!$C$59*O80)</f>
        <v>4750416.4992158543</v>
      </c>
      <c r="Q80" s="214">
        <f t="shared" si="4"/>
        <v>2.6988494874431359E-2</v>
      </c>
      <c r="R80" s="213">
        <f t="shared" si="13"/>
        <v>2698849.4874431361</v>
      </c>
      <c r="S80" s="213">
        <f>IF($F80="","",'הזנה לתנאי סף'!N80)</f>
        <v>1</v>
      </c>
      <c r="T80" s="213">
        <f>IF($F80="","",'הזנה לתנאי סף'!O80)</f>
        <v>1</v>
      </c>
      <c r="U80" s="213">
        <f>IF($F80="","",'תחום תמיכה א'!W80)</f>
        <v>0</v>
      </c>
      <c r="V80" s="213">
        <f>IF($F80="","",'תחום תמיכה א'!X80)</f>
        <v>0</v>
      </c>
      <c r="W80" s="213">
        <f>IF($F80="","",'תחום תמיכה א'!Y80)</f>
        <v>0</v>
      </c>
      <c r="X80" s="231" t="str">
        <f>IF($F80="","",'תחום תמיכה א'!Z80)</f>
        <v>בדוק נתוני הזנה</v>
      </c>
      <c r="Y80" s="213" t="str">
        <f>IF($F80="","",'תחום תמיכה א'!AA80)</f>
        <v>בדוק נתוני הזנה</v>
      </c>
      <c r="Z80" s="214">
        <f>IF($F80="","",'תחום תמיכה א'!AB80)</f>
        <v>1</v>
      </c>
      <c r="AA80" s="225" t="str">
        <f>IF($F80="","",'תחום תמיכה א'!AC80)</f>
        <v/>
      </c>
      <c r="AB80" s="213" t="str">
        <f t="shared" si="6"/>
        <v/>
      </c>
      <c r="AC80" s="213">
        <f t="shared" si="7"/>
        <v>2698849.4874431361</v>
      </c>
      <c r="AD80" s="214">
        <f t="shared" si="8"/>
        <v>2.7047724866046202E-2</v>
      </c>
      <c r="AE80" s="213">
        <f t="shared" si="11"/>
        <v>2779774.6303311293</v>
      </c>
      <c r="AF80" s="214">
        <f t="shared" si="9"/>
        <v>2.7047724866046206E-2</v>
      </c>
    </row>
    <row r="81" spans="1:32" ht="15.75" x14ac:dyDescent="0.2">
      <c r="A81" s="206">
        <f t="shared" si="10"/>
        <v>51</v>
      </c>
      <c r="B81" s="88">
        <f>IF($F81="","",'הזנה לתנאי סף'!C81)</f>
        <v>1001346261</v>
      </c>
      <c r="C81" s="88">
        <f>IF($F81="","",'הזנה לתנאי סף'!D81)</f>
        <v>1001274606</v>
      </c>
      <c r="D81" s="88">
        <f>IF($F81="","",'הזנה לתנאי סף'!E81)</f>
        <v>40000183</v>
      </c>
      <c r="E81" s="88">
        <f>IF($F81="","",'הזנה לתנאי סף'!F81)</f>
        <v>20000159</v>
      </c>
      <c r="F81" s="88" t="str">
        <f>IF(OR('הזנה לתנאי סף'!G81="",'הזנה לתנאי סף'!BL81&lt;&gt;1,'הזנה לתנאי סף'!Q81&lt;&gt;1),"",'הזנה לתנאי סף'!G81)</f>
        <v>ירושלים</v>
      </c>
      <c r="G81" s="88" t="str">
        <f>IF($F81="","",'הזנה לתנאי סף'!H81)</f>
        <v>מוזיאון המדע ע"ש בלומפילד ירושלים</v>
      </c>
      <c r="H81" s="88" t="str">
        <f>IF($F81="","",'הזנה לתנאי סף'!I81)</f>
        <v>מוזיאונים</v>
      </c>
      <c r="I81" s="213">
        <f>IF($F81="","",'תחום תמיכה א'!$I81)</f>
        <v>4226035</v>
      </c>
      <c r="J81" s="213">
        <f>IF($F81="","",'תחום תמיכה א'!$J81)</f>
        <v>11334556</v>
      </c>
      <c r="K81" s="213">
        <f>IF($F81="","",'תחום תמיכה א'!$K81)</f>
        <v>0</v>
      </c>
      <c r="L81" s="213">
        <f t="shared" si="0"/>
        <v>15560591</v>
      </c>
      <c r="M81" s="214">
        <f t="shared" si="1"/>
        <v>0.27158576431962</v>
      </c>
      <c r="N81" s="214">
        <f t="shared" si="12"/>
        <v>0.72841423568038</v>
      </c>
      <c r="O81" s="213">
        <f t="shared" si="3"/>
        <v>8256251.9455164652</v>
      </c>
      <c r="P81" s="213">
        <f>IF($F81="","",'פרמטרים לקריטריונים'!$C$59*O81)</f>
        <v>2476875.5836549397</v>
      </c>
      <c r="Q81" s="214">
        <f t="shared" si="4"/>
        <v>1.4071849069467889E-2</v>
      </c>
      <c r="R81" s="213">
        <f t="shared" si="13"/>
        <v>1407184.9069467888</v>
      </c>
      <c r="S81" s="213">
        <f>IF($F81="","",'הזנה לתנאי סף'!N81)</f>
        <v>1</v>
      </c>
      <c r="T81" s="213">
        <f>IF($F81="","",'הזנה לתנאי סף'!O81)</f>
        <v>1</v>
      </c>
      <c r="U81" s="213">
        <f>IF($F81="","",'תחום תמיכה א'!W81)</f>
        <v>0</v>
      </c>
      <c r="V81" s="213">
        <f>IF($F81="","",'תחום תמיכה א'!X81)</f>
        <v>0</v>
      </c>
      <c r="W81" s="213">
        <f>IF($F81="","",'תחום תמיכה א'!Y81)</f>
        <v>0</v>
      </c>
      <c r="X81" s="231" t="str">
        <f>IF($F81="","",'תחום תמיכה א'!Z81)</f>
        <v>בדוק נתוני הזנה</v>
      </c>
      <c r="Y81" s="213" t="str">
        <f>IF($F81="","",'תחום תמיכה א'!AA81)</f>
        <v>בדוק נתוני הזנה</v>
      </c>
      <c r="Z81" s="214">
        <f>IF($F81="","",'תחום תמיכה א'!AB81)</f>
        <v>0</v>
      </c>
      <c r="AA81" s="225" t="str">
        <f>IF($F81="","",'תחום תמיכה א'!AC81)</f>
        <v/>
      </c>
      <c r="AB81" s="213" t="str">
        <f t="shared" si="6"/>
        <v/>
      </c>
      <c r="AC81" s="213">
        <f t="shared" si="7"/>
        <v>1407184.9069467888</v>
      </c>
      <c r="AD81" s="214">
        <f t="shared" si="8"/>
        <v>1.4102731692091631E-2</v>
      </c>
      <c r="AE81" s="213">
        <f t="shared" si="11"/>
        <v>1449379.4199028937</v>
      </c>
      <c r="AF81" s="214">
        <f t="shared" si="9"/>
        <v>1.4102731692091634E-2</v>
      </c>
    </row>
    <row r="82" spans="1:32" ht="15.75" x14ac:dyDescent="0.2">
      <c r="A82" s="206">
        <f t="shared" si="10"/>
        <v>52</v>
      </c>
      <c r="B82" s="88">
        <f>IF($F82="","",'הזנה לתנאי סף'!C82)</f>
        <v>1001349066</v>
      </c>
      <c r="C82" s="88">
        <f>IF($F82="","",'הזנה לתנאי סף'!D82)</f>
        <v>1001268608</v>
      </c>
      <c r="D82" s="88">
        <f>IF($F82="","",'הזנה לתנאי סף'!E82)</f>
        <v>40000293</v>
      </c>
      <c r="E82" s="88">
        <f>IF($F82="","",'הזנה לתנאי סף'!F82)</f>
        <v>20000224</v>
      </c>
      <c r="F82" s="88" t="str">
        <f>IF(OR('הזנה לתנאי סף'!G82="",'הזנה לתנאי סף'!BL82&lt;&gt;1,'הזנה לתנאי סף'!Q82&lt;&gt;1),"",'הזנה לתנאי סף'!G82)</f>
        <v>חולון</v>
      </c>
      <c r="G82" s="88" t="str">
        <f>IF($F82="","",'הזנה לתנאי סף'!H82)</f>
        <v>החברה לפיתוח תיאטרון מוזיקה אומנות ומחול חולון</v>
      </c>
      <c r="H82" s="88" t="str">
        <f>IF($F82="","",'הזנה לתנאי סף'!I82)</f>
        <v>תיאטרון</v>
      </c>
      <c r="I82" s="213">
        <f>IF($F82="","",'תחום תמיכה א'!$I82)</f>
        <v>8693766</v>
      </c>
      <c r="J82" s="213">
        <f>IF($F82="","",'תחום תמיכה א'!$J82)</f>
        <v>5084758</v>
      </c>
      <c r="K82" s="213">
        <f>IF($F82="","",'תחום תמיכה א'!$K82)</f>
        <v>0</v>
      </c>
      <c r="L82" s="213">
        <f t="shared" si="0"/>
        <v>13778524</v>
      </c>
      <c r="M82" s="214">
        <f t="shared" si="1"/>
        <v>0.63096497128429718</v>
      </c>
      <c r="N82" s="214">
        <f t="shared" si="12"/>
        <v>0.36903502871570282</v>
      </c>
      <c r="O82" s="213">
        <f t="shared" si="3"/>
        <v>1876453.8145423997</v>
      </c>
      <c r="P82" s="213">
        <f>IF($F82="","",'פרמטרים לקריטריונים'!$C$59*O82)</f>
        <v>562936.14436271985</v>
      </c>
      <c r="Q82" s="214">
        <f t="shared" si="4"/>
        <v>3.1982036205190165E-3</v>
      </c>
      <c r="R82" s="213">
        <f t="shared" si="13"/>
        <v>319820.36205190164</v>
      </c>
      <c r="S82" s="213">
        <f>IF($F82="","",'הזנה לתנאי סף'!N82)</f>
        <v>0</v>
      </c>
      <c r="T82" s="213">
        <f>IF($F82="","",'הזנה לתנאי סף'!O82)</f>
        <v>1</v>
      </c>
      <c r="U82" s="213">
        <f>IF($F82="","",'תחום תמיכה א'!W82)</f>
        <v>0</v>
      </c>
      <c r="V82" s="213">
        <f>IF($F82="","",'תחום תמיכה א'!X82)</f>
        <v>0</v>
      </c>
      <c r="W82" s="213">
        <f>IF($F82="","",'תחום תמיכה א'!Y82)</f>
        <v>1</v>
      </c>
      <c r="X82" s="231">
        <f>IF($F82="","",'תחום תמיכה א'!Z82)</f>
        <v>0</v>
      </c>
      <c r="Y82" s="213" t="str">
        <f>IF($F82="","",'תחום תמיכה א'!AA82)</f>
        <v/>
      </c>
      <c r="Z82" s="214" t="str">
        <f>IF($F82="","",'תחום תמיכה א'!AB82)</f>
        <v/>
      </c>
      <c r="AA82" s="225" t="str">
        <f>IF($F82="","",'תחום תמיכה א'!AC82)</f>
        <v/>
      </c>
      <c r="AB82" s="213" t="str">
        <f t="shared" si="6"/>
        <v/>
      </c>
      <c r="AC82" s="213">
        <f t="shared" si="7"/>
        <v>319820.36205190164</v>
      </c>
      <c r="AD82" s="214">
        <f t="shared" si="8"/>
        <v>3.2052225215176548E-3</v>
      </c>
      <c r="AE82" s="213">
        <f t="shared" si="11"/>
        <v>329410.19231770863</v>
      </c>
      <c r="AF82" s="214">
        <f t="shared" si="9"/>
        <v>3.2052225215176556E-3</v>
      </c>
    </row>
    <row r="83" spans="1:32" ht="15.75" x14ac:dyDescent="0.2">
      <c r="A83" s="206">
        <f t="shared" si="10"/>
        <v>53</v>
      </c>
      <c r="B83" s="88">
        <f>IF($F83="","",'הזנה לתנאי סף'!C83)</f>
        <v>1001350257</v>
      </c>
      <c r="C83" s="88">
        <f>IF($F83="","",'הזנה לתנאי סף'!D83)</f>
        <v>1001268522</v>
      </c>
      <c r="D83" s="88">
        <f>IF($F83="","",'הזנה לתנאי סף'!E83)</f>
        <v>40000293</v>
      </c>
      <c r="E83" s="88">
        <f>IF($F83="","",'הזנה לתנאי סף'!F83)</f>
        <v>20000224</v>
      </c>
      <c r="F83" s="88" t="str">
        <f>IF(OR('הזנה לתנאי סף'!G83="",'הזנה לתנאי סף'!BL83&lt;&gt;1,'הזנה לתנאי סף'!Q83&lt;&gt;1),"",'הזנה לתנאי סף'!G83)</f>
        <v>חולון</v>
      </c>
      <c r="G83" s="88" t="str">
        <f>IF($F83="","",'הזנה לתנאי סף'!H83)</f>
        <v>החברה לפיתוח תיאטרון מוזיקה אומנות ומחול חולון</v>
      </c>
      <c r="H83" s="88" t="str">
        <f>IF($F83="","",'הזנה לתנאי סף'!I83)</f>
        <v>מוזיאונים</v>
      </c>
      <c r="I83" s="213">
        <f>IF($F83="","",'תחום תמיכה א'!$I83)</f>
        <v>6724180</v>
      </c>
      <c r="J83" s="213">
        <f>IF($F83="","",'תחום תמיכה א'!$J83)</f>
        <v>3062599</v>
      </c>
      <c r="K83" s="213">
        <f>IF($F83="","",'תחום תמיכה א'!$K83)</f>
        <v>0</v>
      </c>
      <c r="L83" s="213">
        <f t="shared" si="0"/>
        <v>9786779</v>
      </c>
      <c r="M83" s="214">
        <f t="shared" si="1"/>
        <v>0.68706772677711436</v>
      </c>
      <c r="N83" s="214">
        <f t="shared" si="12"/>
        <v>0.31293227322288564</v>
      </c>
      <c r="O83" s="213">
        <f t="shared" si="3"/>
        <v>958386.06704013632</v>
      </c>
      <c r="P83" s="213">
        <f>IF($F83="","",'פרמטרים לקריטריונים'!$C$59*O83)</f>
        <v>287515.82011204091</v>
      </c>
      <c r="Q83" s="214">
        <f t="shared" si="4"/>
        <v>1.6334608215285158E-3</v>
      </c>
      <c r="R83" s="213">
        <f t="shared" si="13"/>
        <v>163346.08215285157</v>
      </c>
      <c r="S83" s="213">
        <f>IF($F83="","",'הזנה לתנאי סף'!N83)</f>
        <v>0</v>
      </c>
      <c r="T83" s="213">
        <f>IF($F83="","",'הזנה לתנאי סף'!O83)</f>
        <v>1</v>
      </c>
      <c r="U83" s="213">
        <f>IF($F83="","",'תחום תמיכה א'!W83)</f>
        <v>0</v>
      </c>
      <c r="V83" s="213">
        <f>IF($F83="","",'תחום תמיכה א'!X83)</f>
        <v>0</v>
      </c>
      <c r="W83" s="213">
        <f>IF($F83="","",'תחום תמיכה א'!Y83)</f>
        <v>1</v>
      </c>
      <c r="X83" s="231">
        <f>IF($F83="","",'תחום תמיכה א'!Z83)</f>
        <v>0</v>
      </c>
      <c r="Y83" s="213" t="str">
        <f>IF($F83="","",'תחום תמיכה א'!AA83)</f>
        <v/>
      </c>
      <c r="Z83" s="214" t="str">
        <f>IF($F83="","",'תחום תמיכה א'!AB83)</f>
        <v/>
      </c>
      <c r="AA83" s="225" t="str">
        <f>IF($F83="","",'תחום תמיכה א'!AC83)</f>
        <v/>
      </c>
      <c r="AB83" s="213" t="str">
        <f t="shared" si="6"/>
        <v/>
      </c>
      <c r="AC83" s="213">
        <f t="shared" si="7"/>
        <v>163346.08215285157</v>
      </c>
      <c r="AD83" s="214">
        <f t="shared" si="8"/>
        <v>1.6370456776389601E-3</v>
      </c>
      <c r="AE83" s="213">
        <f t="shared" si="11"/>
        <v>168244.02296056098</v>
      </c>
      <c r="AF83" s="214">
        <f t="shared" si="9"/>
        <v>1.6370456776389603E-3</v>
      </c>
    </row>
    <row r="84" spans="1:32" ht="15.75" x14ac:dyDescent="0.2">
      <c r="A84" s="206">
        <f t="shared" si="10"/>
        <v>54</v>
      </c>
      <c r="B84" s="88">
        <f>IF($F84="","",'הזנה לתנאי סף'!C84)</f>
        <v>1001350298</v>
      </c>
      <c r="C84" s="88">
        <f>IF($F84="","",'הזנה לתנאי סף'!D84)</f>
        <v>1001268564</v>
      </c>
      <c r="D84" s="88">
        <f>IF($F84="","",'הזנה לתנאי סף'!E84)</f>
        <v>40000293</v>
      </c>
      <c r="E84" s="88">
        <f>IF($F84="","",'הזנה לתנאי סף'!F84)</f>
        <v>20000224</v>
      </c>
      <c r="F84" s="88" t="str">
        <f>IF(OR('הזנה לתנאי סף'!G84="",'הזנה לתנאי סף'!BL84&lt;&gt;1,'הזנה לתנאי סף'!Q84&lt;&gt;1),"",'הזנה לתנאי סף'!G84)</f>
        <v>חולון</v>
      </c>
      <c r="G84" s="88" t="str">
        <f>IF($F84="","",'הזנה לתנאי סף'!H84)</f>
        <v>החברה לפיתוח תיאטרון מוזיקה אומנות ומחול חולון</v>
      </c>
      <c r="H84" s="88" t="str">
        <f>IF($F84="","",'הזנה לתנאי סף'!I84)</f>
        <v>ספרות</v>
      </c>
      <c r="I84" s="213">
        <f>IF($F84="","",'תחום תמיכה א'!$I84)</f>
        <v>357173</v>
      </c>
      <c r="J84" s="213">
        <f>IF($F84="","",'תחום תמיכה א'!$J84)</f>
        <v>167740</v>
      </c>
      <c r="K84" s="213">
        <f>IF($F84="","",'תחום תמיכה א'!$K84)</f>
        <v>0</v>
      </c>
      <c r="L84" s="213">
        <f t="shared" si="0"/>
        <v>524913</v>
      </c>
      <c r="M84" s="214">
        <f t="shared" si="1"/>
        <v>0.68044228281639052</v>
      </c>
      <c r="N84" s="214">
        <f t="shared" si="12"/>
        <v>0.31955771718360948</v>
      </c>
      <c r="O84" s="213">
        <f t="shared" si="3"/>
        <v>53602.611480378655</v>
      </c>
      <c r="P84" s="213">
        <f>IF($F84="","",'פרמטרים לקריטריונים'!$C$59*O84)</f>
        <v>16080.783444113596</v>
      </c>
      <c r="Q84" s="214">
        <f t="shared" si="4"/>
        <v>9.135959796997584E-5</v>
      </c>
      <c r="R84" s="213">
        <f t="shared" si="13"/>
        <v>9135.9597969975839</v>
      </c>
      <c r="S84" s="213">
        <f>IF($F84="","",'הזנה לתנאי סף'!N84)</f>
        <v>0</v>
      </c>
      <c r="T84" s="213">
        <f>IF($F84="","",'הזנה לתנאי סף'!O84)</f>
        <v>1</v>
      </c>
      <c r="U84" s="213">
        <f>IF($F84="","",'תחום תמיכה א'!W84)</f>
        <v>0</v>
      </c>
      <c r="V84" s="213">
        <f>IF($F84="","",'תחום תמיכה א'!X84)</f>
        <v>0</v>
      </c>
      <c r="W84" s="213">
        <f>IF($F84="","",'תחום תמיכה א'!Y84)</f>
        <v>1</v>
      </c>
      <c r="X84" s="231">
        <f>IF($F84="","",'תחום תמיכה א'!Z84)</f>
        <v>0</v>
      </c>
      <c r="Y84" s="213" t="str">
        <f>IF($F84="","",'תחום תמיכה א'!AA84)</f>
        <v/>
      </c>
      <c r="Z84" s="214" t="str">
        <f>IF($F84="","",'תחום תמיכה א'!AB84)</f>
        <v/>
      </c>
      <c r="AA84" s="225" t="str">
        <f>IF($F84="","",'תחום תמיכה א'!AC84)</f>
        <v/>
      </c>
      <c r="AB84" s="213" t="str">
        <f t="shared" si="6"/>
        <v/>
      </c>
      <c r="AC84" s="213">
        <f t="shared" si="7"/>
        <v>9135.9597969975839</v>
      </c>
      <c r="AD84" s="214">
        <f t="shared" si="8"/>
        <v>9.1560099266801523E-5</v>
      </c>
      <c r="AE84" s="213">
        <f t="shared" si="11"/>
        <v>9409.9020288377978</v>
      </c>
      <c r="AF84" s="214">
        <f t="shared" si="9"/>
        <v>9.1560099266801536E-5</v>
      </c>
    </row>
    <row r="85" spans="1:32" ht="15.75" x14ac:dyDescent="0.2">
      <c r="A85" s="206">
        <f t="shared" si="10"/>
        <v>55</v>
      </c>
      <c r="B85" s="88">
        <f>IF($F85="","",'הזנה לתנאי סף'!C85)</f>
        <v>1001350320</v>
      </c>
      <c r="C85" s="88">
        <f>IF($F85="","",'הזנה לתנאי סף'!D85)</f>
        <v>1001268529</v>
      </c>
      <c r="D85" s="88">
        <f>IF($F85="","",'הזנה לתנאי סף'!E85)</f>
        <v>40000293</v>
      </c>
      <c r="E85" s="88">
        <f>IF($F85="","",'הזנה לתנאי סף'!F85)</f>
        <v>20000224</v>
      </c>
      <c r="F85" s="88" t="str">
        <f>IF(OR('הזנה לתנאי סף'!G85="",'הזנה לתנאי סף'!BL85&lt;&gt;1,'הזנה לתנאי סף'!Q85&lt;&gt;1),"",'הזנה לתנאי סף'!G85)</f>
        <v>חולון</v>
      </c>
      <c r="G85" s="88" t="str">
        <f>IF($F85="","",'הזנה לתנאי סף'!H85)</f>
        <v>החברה לפיתוח תיאטרון מוזיקה אומנות ומחול חולון</v>
      </c>
      <c r="H85" s="88" t="str">
        <f>IF($F85="","",'הזנה לתנאי סף'!I85)</f>
        <v>מוזיאונים</v>
      </c>
      <c r="I85" s="213">
        <f>IF($F85="","",'תחום תמיכה א'!$I85)</f>
        <v>1178249</v>
      </c>
      <c r="J85" s="213">
        <f>IF($F85="","",'תחום תמיכה א'!$J85)</f>
        <v>540187</v>
      </c>
      <c r="K85" s="213">
        <f>IF($F85="","",'תחום תמיכה א'!$K85)</f>
        <v>0</v>
      </c>
      <c r="L85" s="213">
        <f t="shared" si="0"/>
        <v>1718436</v>
      </c>
      <c r="M85" s="214">
        <f t="shared" si="1"/>
        <v>0.68565195328775697</v>
      </c>
      <c r="N85" s="214">
        <f t="shared" si="12"/>
        <v>0.31434804671224303</v>
      </c>
      <c r="O85" s="213">
        <f t="shared" si="3"/>
        <v>169806.72830934642</v>
      </c>
      <c r="P85" s="213">
        <f>IF($F85="","",'פרמטרים לקריטריונים'!$C$59*O85)</f>
        <v>50942.018492803923</v>
      </c>
      <c r="Q85" s="214">
        <f t="shared" si="4"/>
        <v>2.8941639227069268E-4</v>
      </c>
      <c r="R85" s="213">
        <f t="shared" si="13"/>
        <v>28941.639227069267</v>
      </c>
      <c r="S85" s="213">
        <f>IF($F85="","",'הזנה לתנאי סף'!N85)</f>
        <v>0</v>
      </c>
      <c r="T85" s="213">
        <f>IF($F85="","",'הזנה לתנאי סף'!O85)</f>
        <v>1</v>
      </c>
      <c r="U85" s="213">
        <f>IF($F85="","",'תחום תמיכה א'!W85)</f>
        <v>0</v>
      </c>
      <c r="V85" s="213">
        <f>IF($F85="","",'תחום תמיכה א'!X85)</f>
        <v>0</v>
      </c>
      <c r="W85" s="213">
        <f>IF($F85="","",'תחום תמיכה א'!Y85)</f>
        <v>1</v>
      </c>
      <c r="X85" s="231">
        <f>IF($F85="","",'תחום תמיכה א'!Z85)</f>
        <v>0</v>
      </c>
      <c r="Y85" s="213" t="str">
        <f>IF($F85="","",'תחום תמיכה א'!AA85)</f>
        <v/>
      </c>
      <c r="Z85" s="214" t="str">
        <f>IF($F85="","",'תחום תמיכה א'!AB85)</f>
        <v/>
      </c>
      <c r="AA85" s="225" t="str">
        <f>IF($F85="","",'תחום תמיכה א'!AC85)</f>
        <v/>
      </c>
      <c r="AB85" s="213" t="str">
        <f t="shared" si="6"/>
        <v/>
      </c>
      <c r="AC85" s="213">
        <f t="shared" si="7"/>
        <v>28941.639227069267</v>
      </c>
      <c r="AD85" s="214">
        <f t="shared" si="8"/>
        <v>2.9005155664599952E-4</v>
      </c>
      <c r="AE85" s="213">
        <f t="shared" si="11"/>
        <v>29809.455791409142</v>
      </c>
      <c r="AF85" s="214">
        <f t="shared" si="9"/>
        <v>2.9005155664599963E-4</v>
      </c>
    </row>
    <row r="86" spans="1:32" ht="15.75" x14ac:dyDescent="0.2">
      <c r="A86" s="206">
        <f t="shared" si="10"/>
        <v>56</v>
      </c>
      <c r="B86" s="88">
        <f>IF($F86="","",'הזנה לתנאי סף'!C86)</f>
        <v>1001350327</v>
      </c>
      <c r="C86" s="88">
        <f>IF($F86="","",'הזנה לתנאי סף'!D86)</f>
        <v>1001268562</v>
      </c>
      <c r="D86" s="88">
        <f>IF($F86="","",'הזנה לתנאי סף'!E86)</f>
        <v>40000293</v>
      </c>
      <c r="E86" s="88">
        <f>IF($F86="","",'הזנה לתנאי סף'!F86)</f>
        <v>20000224</v>
      </c>
      <c r="F86" s="88" t="str">
        <f>IF(OR('הזנה לתנאי סף'!G86="",'הזנה לתנאי סף'!BL86&lt;&gt;1,'הזנה לתנאי סף'!Q86&lt;&gt;1),"",'הזנה לתנאי סף'!G86)</f>
        <v>חולון</v>
      </c>
      <c r="G86" s="88" t="str">
        <f>IF($F86="","",'הזנה לתנאי סף'!H86)</f>
        <v>החברה לפיתוח תיאטרון מוזיקה אומנות ומחול חולון</v>
      </c>
      <c r="H86" s="88" t="str">
        <f>IF($F86="","",'הזנה לתנאי סף'!I86)</f>
        <v>סינמטקים ופסטיבלים</v>
      </c>
      <c r="I86" s="213">
        <f>IF($F86="","",'תחום תמיכה א'!$I86)</f>
        <v>742856</v>
      </c>
      <c r="J86" s="213">
        <f>IF($F86="","",'תחום תמיכה א'!$J86)</f>
        <v>1520104</v>
      </c>
      <c r="K86" s="213">
        <f>IF($F86="","",'תחום תמיכה א'!$K86)</f>
        <v>0</v>
      </c>
      <c r="L86" s="213">
        <f t="shared" si="0"/>
        <v>2262960</v>
      </c>
      <c r="M86" s="214">
        <f t="shared" si="1"/>
        <v>0.3282674019867784</v>
      </c>
      <c r="N86" s="214">
        <f t="shared" si="12"/>
        <v>0.6717325980132216</v>
      </c>
      <c r="O86" s="213">
        <f t="shared" si="3"/>
        <v>1021103.4091702902</v>
      </c>
      <c r="P86" s="213">
        <f>IF($F86="","",'פרמטרים לקריטריונים'!$C$59*O86)</f>
        <v>306331.02275108703</v>
      </c>
      <c r="Q86" s="214">
        <f t="shared" si="4"/>
        <v>1.7403554485720823E-3</v>
      </c>
      <c r="R86" s="213">
        <f t="shared" si="13"/>
        <v>174035.54485720824</v>
      </c>
      <c r="S86" s="213">
        <f>IF($F86="","",'הזנה לתנאי סף'!N86)</f>
        <v>0</v>
      </c>
      <c r="T86" s="213">
        <f>IF($F86="","",'הזנה לתנאי סף'!O86)</f>
        <v>1</v>
      </c>
      <c r="U86" s="213">
        <f>IF($F86="","",'תחום תמיכה א'!W86)</f>
        <v>0</v>
      </c>
      <c r="V86" s="213">
        <f>IF($F86="","",'תחום תמיכה א'!X86)</f>
        <v>0</v>
      </c>
      <c r="W86" s="213">
        <f>IF($F86="","",'תחום תמיכה א'!Y86)</f>
        <v>1</v>
      </c>
      <c r="X86" s="231">
        <f>IF($F86="","",'תחום תמיכה א'!Z86)</f>
        <v>0</v>
      </c>
      <c r="Y86" s="213" t="str">
        <f>IF($F86="","",'תחום תמיכה א'!AA86)</f>
        <v/>
      </c>
      <c r="Z86" s="214" t="str">
        <f>IF($F86="","",'תחום תמיכה א'!AB86)</f>
        <v/>
      </c>
      <c r="AA86" s="225" t="str">
        <f>IF($F86="","",'תחום תמיכה א'!AC86)</f>
        <v/>
      </c>
      <c r="AB86" s="213" t="str">
        <f t="shared" si="6"/>
        <v/>
      </c>
      <c r="AC86" s="213">
        <f t="shared" si="7"/>
        <v>174035.54485720824</v>
      </c>
      <c r="AD86" s="214">
        <f t="shared" si="8"/>
        <v>1.7441748997532383E-3</v>
      </c>
      <c r="AE86" s="213">
        <f t="shared" si="11"/>
        <v>179254.00976260102</v>
      </c>
      <c r="AF86" s="214">
        <f t="shared" si="9"/>
        <v>1.7441748997532385E-3</v>
      </c>
    </row>
    <row r="87" spans="1:32" ht="15.75" x14ac:dyDescent="0.2">
      <c r="A87" s="206">
        <f t="shared" si="10"/>
        <v>57</v>
      </c>
      <c r="B87" s="88">
        <f>IF($F87="","",'הזנה לתנאי סף'!C87)</f>
        <v>1001350660</v>
      </c>
      <c r="C87" s="88">
        <f>IF($F87="","",'הזנה לתנאי סף'!D87)</f>
        <v>1001269476</v>
      </c>
      <c r="D87" s="88">
        <f>IF($F87="","",'הזנה לתנאי סף'!E87)</f>
        <v>40000373</v>
      </c>
      <c r="E87" s="88">
        <f>IF($F87="","",'הזנה לתנאי סף'!F87)</f>
        <v>20000254</v>
      </c>
      <c r="F87" s="88" t="str">
        <f>IF(OR('הזנה לתנאי סף'!G87="",'הזנה לתנאי סף'!BL87&lt;&gt;1,'הזנה לתנאי סף'!Q87&lt;&gt;1),"",'הזנה לתנאי סף'!G87)</f>
        <v>באר שבע</v>
      </c>
      <c r="G87" s="88" t="str">
        <f>IF($F87="","",'הזנה לתנאי סף'!H87)</f>
        <v>תיאטרון באר שבע</v>
      </c>
      <c r="H87" s="88" t="str">
        <f>IF($F87="","",'הזנה לתנאי סף'!I87)</f>
        <v>תיאטרון</v>
      </c>
      <c r="I87" s="213">
        <f>IF($F87="","",'תחום תמיכה א'!$I87)</f>
        <v>15660238</v>
      </c>
      <c r="J87" s="213">
        <f>IF($F87="","",'תחום תמיכה א'!$J87)</f>
        <v>14677899</v>
      </c>
      <c r="K87" s="213">
        <f>IF($F87="","",'תחום תמיכה א'!$K87)</f>
        <v>0</v>
      </c>
      <c r="L87" s="213">
        <f t="shared" si="0"/>
        <v>30338137</v>
      </c>
      <c r="M87" s="214">
        <f t="shared" si="1"/>
        <v>0.51618983723357836</v>
      </c>
      <c r="N87" s="214">
        <f t="shared" si="12"/>
        <v>0.48381016276642164</v>
      </c>
      <c r="O87" s="213">
        <f t="shared" si="3"/>
        <v>7101316.7042590976</v>
      </c>
      <c r="P87" s="213">
        <f>IF($F87="","",'פרמטרים לקריטריונים'!$C$59*O87)</f>
        <v>2130395.0112777292</v>
      </c>
      <c r="Q87" s="214">
        <f t="shared" si="4"/>
        <v>1.2103392376620862E-2</v>
      </c>
      <c r="R87" s="213">
        <f t="shared" si="13"/>
        <v>1210339.2376620863</v>
      </c>
      <c r="S87" s="213">
        <f>IF($F87="","",'הזנה לתנאי סף'!N87)</f>
        <v>1</v>
      </c>
      <c r="T87" s="213">
        <f>IF($F87="","",'הזנה לתנאי סף'!O87)</f>
        <v>1</v>
      </c>
      <c r="U87" s="213">
        <f>IF($F87="","",'תחום תמיכה א'!W87)</f>
        <v>0</v>
      </c>
      <c r="V87" s="213">
        <f>IF($F87="","",'תחום תמיכה א'!X87)</f>
        <v>0</v>
      </c>
      <c r="W87" s="213">
        <f>IF($F87="","",'תחום תמיכה א'!Y87)</f>
        <v>0</v>
      </c>
      <c r="X87" s="231" t="str">
        <f>IF($F87="","",'תחום תמיכה א'!Z87)</f>
        <v>בדוק נתוני הזנה</v>
      </c>
      <c r="Y87" s="213" t="str">
        <f>IF($F87="","",'תחום תמיכה א'!AA87)</f>
        <v>בדוק נתוני הזנה</v>
      </c>
      <c r="Z87" s="214">
        <f>IF($F87="","",'תחום תמיכה א'!AB87)</f>
        <v>1</v>
      </c>
      <c r="AA87" s="225" t="str">
        <f>IF($F87="","",'תחום תמיכה א'!AC87)</f>
        <v/>
      </c>
      <c r="AB87" s="213" t="str">
        <f t="shared" si="6"/>
        <v/>
      </c>
      <c r="AC87" s="213">
        <f t="shared" si="7"/>
        <v>1210339.2376620863</v>
      </c>
      <c r="AD87" s="214">
        <f t="shared" si="8"/>
        <v>1.2129954948276444E-2</v>
      </c>
      <c r="AE87" s="213">
        <f t="shared" si="11"/>
        <v>1246631.3229400774</v>
      </c>
      <c r="AF87" s="214">
        <f t="shared" si="9"/>
        <v>1.2129954948276447E-2</v>
      </c>
    </row>
    <row r="88" spans="1:32" ht="15.75" x14ac:dyDescent="0.2">
      <c r="A88" s="206">
        <f t="shared" si="10"/>
        <v>58</v>
      </c>
      <c r="B88" s="88">
        <f>IF($F88="","",'הזנה לתנאי סף'!C88)</f>
        <v>1001348833</v>
      </c>
      <c r="C88" s="88">
        <f>IF($F88="","",'הזנה לתנאי סף'!D88)</f>
        <v>1001279924</v>
      </c>
      <c r="D88" s="88">
        <f>IF($F88="","",'הזנה לתנאי סף'!E88)</f>
        <v>40000399</v>
      </c>
      <c r="E88" s="88">
        <f>IF($F88="","",'הזנה לתנאי סף'!F88)</f>
        <v>20000159</v>
      </c>
      <c r="F88" s="88" t="str">
        <f>IF(OR('הזנה לתנאי סף'!G88="",'הזנה לתנאי סף'!BL88&lt;&gt;1,'הזנה לתנאי סף'!Q88&lt;&gt;1),"",'הזנה לתנאי סף'!G88)</f>
        <v>ירושלים</v>
      </c>
      <c r="G88" s="88" t="str">
        <f>IF($F88="","",'הזנה לתנאי סף'!H88)</f>
        <v>הקאמרטה הישראלית ירושלים</v>
      </c>
      <c r="H88" s="88" t="str">
        <f>IF($F88="","",'הזנה לתנאי סף'!I88)</f>
        <v>מוסיקה-גופים כליים</v>
      </c>
      <c r="I88" s="213">
        <f>IF($F88="","",'תחום תמיכה א'!$I88)</f>
        <v>5766000</v>
      </c>
      <c r="J88" s="213">
        <f>IF($F88="","",'תחום תמיכה א'!$J88)</f>
        <v>4264000</v>
      </c>
      <c r="K88" s="213">
        <f>IF($F88="","",'תחום תמיכה א'!$K88)</f>
        <v>0</v>
      </c>
      <c r="L88" s="213">
        <f t="shared" si="0"/>
        <v>10030000</v>
      </c>
      <c r="M88" s="214">
        <f t="shared" si="1"/>
        <v>0.57487537387836496</v>
      </c>
      <c r="N88" s="214">
        <f t="shared" si="12"/>
        <v>0.42512462612163504</v>
      </c>
      <c r="O88" s="213">
        <f t="shared" si="3"/>
        <v>1812731.4057826519</v>
      </c>
      <c r="P88" s="213">
        <f>IF($F88="","",'פרמטרים לקריטריונים'!$C$59*O88)</f>
        <v>543819.42173479556</v>
      </c>
      <c r="Q88" s="214">
        <f t="shared" si="4"/>
        <v>3.0895959709066455E-3</v>
      </c>
      <c r="R88" s="213">
        <f t="shared" si="13"/>
        <v>308959.59709066455</v>
      </c>
      <c r="S88" s="213">
        <f>IF($F88="","",'הזנה לתנאי סף'!N88)</f>
        <v>1</v>
      </c>
      <c r="T88" s="213">
        <f>IF($F88="","",'הזנה לתנאי סף'!O88)</f>
        <v>1</v>
      </c>
      <c r="U88" s="213">
        <f>IF($F88="","",'תחום תמיכה א'!W88)</f>
        <v>0</v>
      </c>
      <c r="V88" s="213">
        <f>IF($F88="","",'תחום תמיכה א'!X88)</f>
        <v>0</v>
      </c>
      <c r="W88" s="213">
        <f>IF($F88="","",'תחום תמיכה א'!Y88)</f>
        <v>0</v>
      </c>
      <c r="X88" s="231" t="str">
        <f>IF($F88="","",'תחום תמיכה א'!Z88)</f>
        <v>בדוק נתוני הזנה</v>
      </c>
      <c r="Y88" s="213" t="str">
        <f>IF($F88="","",'תחום תמיכה א'!AA88)</f>
        <v>בדוק נתוני הזנה</v>
      </c>
      <c r="Z88" s="214">
        <f>IF($F88="","",'תחום תמיכה א'!AB88)</f>
        <v>1</v>
      </c>
      <c r="AA88" s="225" t="str">
        <f>IF($F88="","",'תחום תמיכה א'!AC88)</f>
        <v/>
      </c>
      <c r="AB88" s="213" t="str">
        <f t="shared" si="6"/>
        <v/>
      </c>
      <c r="AC88" s="213">
        <f t="shared" si="7"/>
        <v>308959.59709066455</v>
      </c>
      <c r="AD88" s="214">
        <f t="shared" si="8"/>
        <v>3.0963765173691832E-3</v>
      </c>
      <c r="AE88" s="213">
        <f t="shared" si="11"/>
        <v>318223.76675166556</v>
      </c>
      <c r="AF88" s="214">
        <f t="shared" si="9"/>
        <v>3.096376517369184E-3</v>
      </c>
    </row>
    <row r="89" spans="1:32" ht="15.75" x14ac:dyDescent="0.2">
      <c r="A89" s="206">
        <f t="shared" si="10"/>
        <v>59</v>
      </c>
      <c r="B89" s="88">
        <f>IF($F89="","",'הזנה לתנאי סף'!C89)</f>
        <v>1001349874</v>
      </c>
      <c r="C89" s="88">
        <f>IF($F89="","",'הזנה לתנאי סף'!D89)</f>
        <v>1001269409</v>
      </c>
      <c r="D89" s="88">
        <f>IF($F89="","",'הזנה לתנאי סף'!E89)</f>
        <v>40000299</v>
      </c>
      <c r="E89" s="88">
        <f>IF($F89="","",'הזנה לתנאי סף'!F89)</f>
        <v>20000201</v>
      </c>
      <c r="F89" s="88" t="str">
        <f>IF(OR('הזנה לתנאי סף'!G89="",'הזנה לתנאי סף'!BL89&lt;&gt;1,'הזנה לתנאי סף'!Q89&lt;&gt;1),"",'הזנה לתנאי סף'!G89)</f>
        <v>תל אביב -יפו</v>
      </c>
      <c r="G89" s="88" t="str">
        <f>IF($F89="","",'הזנה לתנאי סף'!H89)</f>
        <v>מוזיאון ארץ ישראל ת"א</v>
      </c>
      <c r="H89" s="88" t="str">
        <f>IF($F89="","",'הזנה לתנאי סף'!I89)</f>
        <v>מוזיאונים</v>
      </c>
      <c r="I89" s="213">
        <f>IF($F89="","",'תחום תמיכה א'!$I89)</f>
        <v>17869000</v>
      </c>
      <c r="J89" s="213">
        <f>IF($F89="","",'תחום תמיכה א'!$J89)</f>
        <v>13974000</v>
      </c>
      <c r="K89" s="213">
        <f>IF($F89="","",'תחום תמיכה א'!$K89)</f>
        <v>0</v>
      </c>
      <c r="L89" s="213">
        <f t="shared" si="0"/>
        <v>31843000</v>
      </c>
      <c r="M89" s="214">
        <f t="shared" si="1"/>
        <v>0.56115943849511662</v>
      </c>
      <c r="N89" s="214">
        <f t="shared" si="12"/>
        <v>0.43884056150488338</v>
      </c>
      <c r="O89" s="213">
        <f t="shared" si="3"/>
        <v>6132358.0064692404</v>
      </c>
      <c r="P89" s="213">
        <f>IF($F89="","",'פרמטרים לקריטריונים'!$C$59*O89)</f>
        <v>1839707.4019407721</v>
      </c>
      <c r="Q89" s="214">
        <f t="shared" si="4"/>
        <v>1.0451911699937843E-2</v>
      </c>
      <c r="R89" s="213">
        <f t="shared" si="13"/>
        <v>1045191.1699937843</v>
      </c>
      <c r="S89" s="213">
        <f>IF($F89="","",'הזנה לתנאי סף'!N89)</f>
        <v>1</v>
      </c>
      <c r="T89" s="213">
        <f>IF($F89="","",'הזנה לתנאי סף'!O89)</f>
        <v>1</v>
      </c>
      <c r="U89" s="213">
        <f>IF($F89="","",'תחום תמיכה א'!W89)</f>
        <v>0</v>
      </c>
      <c r="V89" s="213">
        <f>IF($F89="","",'תחום תמיכה א'!X89)</f>
        <v>0</v>
      </c>
      <c r="W89" s="213">
        <f>IF($F89="","",'תחום תמיכה א'!Y89)</f>
        <v>0</v>
      </c>
      <c r="X89" s="231" t="str">
        <f>IF($F89="","",'תחום תמיכה א'!Z89)</f>
        <v>בדוק נתוני הזנה</v>
      </c>
      <c r="Y89" s="213" t="str">
        <f>IF($F89="","",'תחום תמיכה א'!AA89)</f>
        <v>בדוק נתוני הזנה</v>
      </c>
      <c r="Z89" s="214">
        <f>IF($F89="","",'תחום תמיכה א'!AB89)</f>
        <v>1</v>
      </c>
      <c r="AA89" s="225" t="str">
        <f>IF($F89="","",'תחום תמיכה א'!AC89)</f>
        <v/>
      </c>
      <c r="AB89" s="213" t="str">
        <f t="shared" si="6"/>
        <v/>
      </c>
      <c r="AC89" s="213">
        <f t="shared" si="7"/>
        <v>1045191.1699937843</v>
      </c>
      <c r="AD89" s="214">
        <f t="shared" si="8"/>
        <v>1.0474849868413953E-2</v>
      </c>
      <c r="AE89" s="213">
        <f t="shared" si="11"/>
        <v>1076531.2818342368</v>
      </c>
      <c r="AF89" s="214">
        <f t="shared" si="9"/>
        <v>1.0474849868413957E-2</v>
      </c>
    </row>
    <row r="90" spans="1:32" ht="15.75" x14ac:dyDescent="0.2">
      <c r="A90" s="206">
        <f t="shared" si="10"/>
        <v>60</v>
      </c>
      <c r="B90" s="88">
        <f>IF($F90="","",'הזנה לתנאי סף'!C90)</f>
        <v>1001351086</v>
      </c>
      <c r="C90" s="88">
        <f>IF($F90="","",'הזנה לתנאי סף'!D90)</f>
        <v>1001263868</v>
      </c>
      <c r="D90" s="88">
        <f>IF($F90="","",'הזנה לתנאי סף'!E90)</f>
        <v>40000490</v>
      </c>
      <c r="E90" s="88">
        <f>IF($F90="","",'הזנה לתנאי סף'!F90)</f>
        <v>20000201</v>
      </c>
      <c r="F90" s="88" t="str">
        <f>IF(OR('הזנה לתנאי סף'!G90="",'הזנה לתנאי סף'!BL90&lt;&gt;1,'הזנה לתנאי סף'!Q90&lt;&gt;1),"",'הזנה לתנאי סף'!G90)</f>
        <v>תל אביב -יפו</v>
      </c>
      <c r="G90" s="88" t="str">
        <f>IF($F90="","",'הזנה לתנאי סף'!H90)</f>
        <v>המקהלה הקאמרית תל אביב</v>
      </c>
      <c r="H90" s="88" t="str">
        <f>IF($F90="","",'הזנה לתנאי סף'!I90)</f>
        <v>מקהלות</v>
      </c>
      <c r="I90" s="213">
        <f>IF($F90="","",'תחום תמיכה א'!$I90)</f>
        <v>77825</v>
      </c>
      <c r="J90" s="213">
        <f>IF($F90="","",'תחום תמיכה א'!$J90)</f>
        <v>53288</v>
      </c>
      <c r="K90" s="213">
        <f>IF($F90="","",'תחום תמיכה א'!$K90)</f>
        <v>0</v>
      </c>
      <c r="L90" s="213">
        <f t="shared" si="0"/>
        <v>131113</v>
      </c>
      <c r="M90" s="214">
        <f t="shared" si="1"/>
        <v>0.59357195701417864</v>
      </c>
      <c r="N90" s="214">
        <f t="shared" si="12"/>
        <v>0.40642804298582136</v>
      </c>
      <c r="O90" s="213">
        <f t="shared" si="3"/>
        <v>21657.737554628449</v>
      </c>
      <c r="P90" s="213">
        <f>IF($F90="","",'פרמטרים לקריטריונים'!$C$59*O90)</f>
        <v>6497.3212663885342</v>
      </c>
      <c r="Q90" s="214">
        <f t="shared" si="4"/>
        <v>3.6913167871576337E-5</v>
      </c>
      <c r="R90" s="213">
        <f t="shared" si="13"/>
        <v>3691.3167871576338</v>
      </c>
      <c r="S90" s="213">
        <f>IF($F90="","",'הזנה לתנאי סף'!N90)</f>
        <v>1</v>
      </c>
      <c r="T90" s="213">
        <f>IF($F90="","",'הזנה לתנאי סף'!O90)</f>
        <v>1</v>
      </c>
      <c r="U90" s="213">
        <f>IF($F90="","",'תחום תמיכה א'!W90)</f>
        <v>0</v>
      </c>
      <c r="V90" s="213">
        <f>IF($F90="","",'תחום תמיכה א'!X90)</f>
        <v>0</v>
      </c>
      <c r="W90" s="213">
        <f>IF($F90="","",'תחום תמיכה א'!Y90)</f>
        <v>0</v>
      </c>
      <c r="X90" s="231" t="str">
        <f>IF($F90="","",'תחום תמיכה א'!Z90)</f>
        <v>בדוק נתוני הזנה</v>
      </c>
      <c r="Y90" s="213" t="str">
        <f>IF($F90="","",'תחום תמיכה א'!AA90)</f>
        <v>בדוק נתוני הזנה</v>
      </c>
      <c r="Z90" s="214">
        <f>IF($F90="","",'תחום תמיכה א'!AB90)</f>
        <v>1</v>
      </c>
      <c r="AA90" s="225" t="str">
        <f>IF($F90="","",'תחום תמיכה א'!AC90)</f>
        <v/>
      </c>
      <c r="AB90" s="213" t="str">
        <f t="shared" si="6"/>
        <v/>
      </c>
      <c r="AC90" s="213">
        <f t="shared" si="7"/>
        <v>3691.3167871576338</v>
      </c>
      <c r="AD90" s="214">
        <f t="shared" si="8"/>
        <v>3.6994178933278119E-5</v>
      </c>
      <c r="AE90" s="213">
        <f t="shared" si="11"/>
        <v>3802.0011138810869</v>
      </c>
      <c r="AF90" s="214">
        <f t="shared" si="9"/>
        <v>3.6994178933278125E-5</v>
      </c>
    </row>
    <row r="91" spans="1:32" ht="15.75" x14ac:dyDescent="0.2">
      <c r="A91" s="206">
        <f t="shared" si="10"/>
        <v>61</v>
      </c>
      <c r="B91" s="88">
        <f>IF($F91="","",'הזנה לתנאי סף'!C91)</f>
        <v>1001350880</v>
      </c>
      <c r="C91" s="88">
        <f>IF($F91="","",'הזנה לתנאי סף'!D91)</f>
        <v>1001265925</v>
      </c>
      <c r="D91" s="88">
        <f>IF($F91="","",'הזנה לתנאי סף'!E91)</f>
        <v>40000016</v>
      </c>
      <c r="E91" s="88">
        <f>IF($F91="","",'הזנה לתנאי סף'!F91)</f>
        <v>20000015</v>
      </c>
      <c r="F91" s="88" t="str">
        <f>IF(OR('הזנה לתנאי סף'!G91="",'הזנה לתנאי סף'!BL91&lt;&gt;1,'הזנה לתנאי סף'!Q91&lt;&gt;1),"",'הזנה לתנאי סף'!G91)</f>
        <v>מצפה רמון</v>
      </c>
      <c r="G91" s="88" t="str">
        <f>IF($F91="","",'הזנה לתנאי סף'!H91)</f>
        <v>מרכז תרבות מצפה רמון</v>
      </c>
      <c r="H91" s="88" t="str">
        <f>IF($F91="","",'הזנה לתנאי סף'!I91)</f>
        <v>סינמטקים ופסטיבלים</v>
      </c>
      <c r="I91" s="213">
        <f>IF($F91="","",'תחום תמיכה א'!$I91)</f>
        <v>0</v>
      </c>
      <c r="J91" s="213">
        <f>IF($F91="","",'תחום תמיכה א'!$J91)</f>
        <v>55000</v>
      </c>
      <c r="K91" s="213">
        <f>IF($F91="","",'תחום תמיכה א'!$K91)</f>
        <v>0</v>
      </c>
      <c r="L91" s="213">
        <f t="shared" si="0"/>
        <v>55000</v>
      </c>
      <c r="M91" s="214">
        <f t="shared" si="1"/>
        <v>0</v>
      </c>
      <c r="N91" s="214">
        <f t="shared" si="12"/>
        <v>1</v>
      </c>
      <c r="O91" s="213">
        <f t="shared" si="3"/>
        <v>55000</v>
      </c>
      <c r="P91" s="213">
        <f>IF($F91="","",'פרמטרים לקריטריונים'!$C$59*O91)</f>
        <v>16500</v>
      </c>
      <c r="Q91" s="214">
        <f t="shared" si="4"/>
        <v>9.3741288895747191E-5</v>
      </c>
      <c r="R91" s="213">
        <f t="shared" si="13"/>
        <v>9374.1288895747184</v>
      </c>
      <c r="S91" s="213">
        <f>IF($F91="","",'הזנה לתנאי סף'!N91)</f>
        <v>0</v>
      </c>
      <c r="T91" s="213">
        <f>IF($F91="","",'הזנה לתנאי סף'!O91)</f>
        <v>1</v>
      </c>
      <c r="U91" s="213">
        <f>IF($F91="","",'תחום תמיכה א'!W91)</f>
        <v>0</v>
      </c>
      <c r="V91" s="213">
        <f>IF($F91="","",'תחום תמיכה א'!X91)</f>
        <v>0</v>
      </c>
      <c r="W91" s="213">
        <f>IF($F91="","",'תחום תמיכה א'!Y91)</f>
        <v>1</v>
      </c>
      <c r="X91" s="231">
        <f>IF($F91="","",'תחום תמיכה א'!Z91)</f>
        <v>0</v>
      </c>
      <c r="Y91" s="213" t="str">
        <f>IF($F91="","",'תחום תמיכה א'!AA91)</f>
        <v/>
      </c>
      <c r="Z91" s="214" t="str">
        <f>IF($F91="","",'תחום תמיכה א'!AB91)</f>
        <v/>
      </c>
      <c r="AA91" s="225" t="str">
        <f>IF($F91="","",'תחום תמיכה א'!AC91)</f>
        <v/>
      </c>
      <c r="AB91" s="213" t="str">
        <f t="shared" si="6"/>
        <v/>
      </c>
      <c r="AC91" s="213">
        <f t="shared" si="7"/>
        <v>9374.1288895747184</v>
      </c>
      <c r="AD91" s="214">
        <f t="shared" si="8"/>
        <v>9.394701714332425E-5</v>
      </c>
      <c r="AE91" s="213">
        <f t="shared" si="11"/>
        <v>9655.2126340994982</v>
      </c>
      <c r="AF91" s="214">
        <f t="shared" si="9"/>
        <v>9.3947017143324277E-5</v>
      </c>
    </row>
    <row r="92" spans="1:32" ht="15.75" x14ac:dyDescent="0.2">
      <c r="A92" s="206">
        <f t="shared" si="10"/>
        <v>62</v>
      </c>
      <c r="B92" s="88">
        <f>IF($F92="","",'הזנה לתנאי סף'!C92)</f>
        <v>1001347234</v>
      </c>
      <c r="C92" s="88">
        <f>IF($F92="","",'הזנה לתנאי סף'!D92)</f>
        <v>1001262482</v>
      </c>
      <c r="D92" s="88">
        <f>IF($F92="","",'הזנה לתנאי סף'!E92)</f>
        <v>40000408</v>
      </c>
      <c r="E92" s="88">
        <f>IF($F92="","",'הזנה לתנאי סף'!F92)</f>
        <v>20000162</v>
      </c>
      <c r="F92" s="88" t="str">
        <f>IF(OR('הזנה לתנאי סף'!G92="",'הזנה לתנאי סף'!BL92&lt;&gt;1,'הזנה לתנאי סף'!Q92&lt;&gt;1),"",'הזנה לתנאי סף'!G92)</f>
        <v>חוף הכרמל</v>
      </c>
      <c r="G92" s="88" t="str">
        <f>IF($F92="","",'הזנה לתנאי סף'!H92)</f>
        <v>מוזיאון ינקו דאדא עין הוד</v>
      </c>
      <c r="H92" s="88" t="str">
        <f>IF($F92="","",'הזנה לתנאי סף'!I92)</f>
        <v>מוזיאונים</v>
      </c>
      <c r="I92" s="213">
        <f>IF($F92="","",'תחום תמיכה א'!$I92)</f>
        <v>374266</v>
      </c>
      <c r="J92" s="213">
        <f>IF($F92="","",'תחום תמיכה א'!$J92)</f>
        <v>705296</v>
      </c>
      <c r="K92" s="213">
        <f>IF($F92="","",'תחום תמיכה א'!$K92)</f>
        <v>0</v>
      </c>
      <c r="L92" s="213">
        <f t="shared" si="0"/>
        <v>1079562</v>
      </c>
      <c r="M92" s="214">
        <f t="shared" si="1"/>
        <v>0.34668319188708013</v>
      </c>
      <c r="N92" s="214">
        <f t="shared" si="12"/>
        <v>0.65331680811291992</v>
      </c>
      <c r="O92" s="213">
        <f t="shared" si="3"/>
        <v>460781.73149480997</v>
      </c>
      <c r="P92" s="213">
        <f>IF($F92="","",'פרמטרים לקריטריונים'!$C$59*O92)</f>
        <v>138234.519448443</v>
      </c>
      <c r="Q92" s="214">
        <f t="shared" si="4"/>
        <v>7.8535042563522908E-4</v>
      </c>
      <c r="R92" s="213">
        <f t="shared" si="13"/>
        <v>78535.042563522904</v>
      </c>
      <c r="S92" s="213">
        <f>IF($F92="","",'הזנה לתנאי סף'!N92)</f>
        <v>0</v>
      </c>
      <c r="T92" s="213">
        <f>IF($F92="","",'הזנה לתנאי סף'!O92)</f>
        <v>1</v>
      </c>
      <c r="U92" s="213">
        <f>IF($F92="","",'תחום תמיכה א'!W92)</f>
        <v>0</v>
      </c>
      <c r="V92" s="213">
        <f>IF($F92="","",'תחום תמיכה א'!X92)</f>
        <v>0</v>
      </c>
      <c r="W92" s="213">
        <f>IF($F92="","",'תחום תמיכה א'!Y92)</f>
        <v>1</v>
      </c>
      <c r="X92" s="231">
        <f>IF($F92="","",'תחום תמיכה א'!Z92)</f>
        <v>0</v>
      </c>
      <c r="Y92" s="213" t="str">
        <f>IF($F92="","",'תחום תמיכה א'!AA92)</f>
        <v/>
      </c>
      <c r="Z92" s="214" t="str">
        <f>IF($F92="","",'תחום תמיכה א'!AB92)</f>
        <v/>
      </c>
      <c r="AA92" s="225" t="str">
        <f>IF($F92="","",'תחום תמיכה א'!AC92)</f>
        <v/>
      </c>
      <c r="AB92" s="213" t="str">
        <f t="shared" si="6"/>
        <v/>
      </c>
      <c r="AC92" s="213">
        <f t="shared" si="7"/>
        <v>78535.042563522904</v>
      </c>
      <c r="AD92" s="214">
        <f t="shared" si="8"/>
        <v>7.8707398596497362E-4</v>
      </c>
      <c r="AE92" s="213">
        <f t="shared" si="11"/>
        <v>80889.919918016953</v>
      </c>
      <c r="AF92" s="214">
        <f t="shared" si="9"/>
        <v>7.8707398596497384E-4</v>
      </c>
    </row>
    <row r="93" spans="1:32" ht="15.75" x14ac:dyDescent="0.2">
      <c r="A93" s="206">
        <f t="shared" si="10"/>
        <v>63</v>
      </c>
      <c r="B93" s="88">
        <f>IF($F93="","",'הזנה לתנאי סף'!C93)</f>
        <v>1001348950</v>
      </c>
      <c r="C93" s="88">
        <f>IF($F93="","",'הזנה לתנאי סף'!D93)</f>
        <v>1001288866</v>
      </c>
      <c r="D93" s="88">
        <f>IF($F93="","",'הזנה לתנאי סף'!E93)</f>
        <v>40000513</v>
      </c>
      <c r="E93" s="88">
        <f>IF($F93="","",'הזנה לתנאי סף'!F93)</f>
        <v>20000102</v>
      </c>
      <c r="F93" s="88" t="str">
        <f>IF(OR('הזנה לתנאי סף'!G93="",'הזנה לתנאי סף'!BL93&lt;&gt;1,'הזנה לתנאי סף'!Q93&lt;&gt;1),"",'הזנה לתנאי סף'!G93)</f>
        <v>מעלות-תרשיחא</v>
      </c>
      <c r="G93" s="88" t="str">
        <f>IF($F93="","",'הזנה לתנאי סף'!H93)</f>
        <v>בית האומנות לחינוך ולתרבות - תרשיחא</v>
      </c>
      <c r="H93" s="88" t="str">
        <f>IF($F93="","",'הזנה לתנאי סף'!I93)</f>
        <v>תרבות ערבית</v>
      </c>
      <c r="I93" s="213">
        <f>IF($F93="","",'תחום תמיכה א'!$I93)</f>
        <v>958217</v>
      </c>
      <c r="J93" s="213">
        <f>IF($F93="","",'תחום תמיכה א'!$J93)</f>
        <v>435554</v>
      </c>
      <c r="K93" s="213">
        <f>IF($F93="","",'תחום תמיכה א'!$K93)</f>
        <v>0</v>
      </c>
      <c r="L93" s="213">
        <f t="shared" si="0"/>
        <v>1393771</v>
      </c>
      <c r="M93" s="214">
        <f t="shared" si="1"/>
        <v>0.68749959641863689</v>
      </c>
      <c r="N93" s="214">
        <f t="shared" si="12"/>
        <v>0.31250040358136311</v>
      </c>
      <c r="O93" s="213">
        <f t="shared" si="3"/>
        <v>136110.80078147704</v>
      </c>
      <c r="P93" s="213">
        <f>IF($F93="","",'פרמטרים לקריטריונים'!$C$59*O93)</f>
        <v>40833.24023444311</v>
      </c>
      <c r="Q93" s="214">
        <f t="shared" si="4"/>
        <v>2.3198548905250786E-4</v>
      </c>
      <c r="R93" s="213">
        <f t="shared" si="13"/>
        <v>23198.548905250787</v>
      </c>
      <c r="S93" s="213">
        <f>IF($F93="","",'הזנה לתנאי סף'!N93)</f>
        <v>0</v>
      </c>
      <c r="T93" s="213">
        <f>IF($F93="","",'הזנה לתנאי סף'!O93)</f>
        <v>1</v>
      </c>
      <c r="U93" s="213">
        <f>IF($F93="","",'תחום תמיכה א'!W93)</f>
        <v>0</v>
      </c>
      <c r="V93" s="213">
        <f>IF($F93="","",'תחום תמיכה א'!X93)</f>
        <v>0</v>
      </c>
      <c r="W93" s="213">
        <f>IF($F93="","",'תחום תמיכה א'!Y93)</f>
        <v>1</v>
      </c>
      <c r="X93" s="231">
        <f>IF($F93="","",'תחום תמיכה א'!Z93)</f>
        <v>0</v>
      </c>
      <c r="Y93" s="213" t="str">
        <f>IF($F93="","",'תחום תמיכה א'!AA93)</f>
        <v/>
      </c>
      <c r="Z93" s="214" t="str">
        <f>IF($F93="","",'תחום תמיכה א'!AB93)</f>
        <v/>
      </c>
      <c r="AA93" s="225" t="str">
        <f>IF($F93="","",'תחום תמיכה א'!AC93)</f>
        <v/>
      </c>
      <c r="AB93" s="213" t="str">
        <f t="shared" si="6"/>
        <v/>
      </c>
      <c r="AC93" s="213">
        <f t="shared" si="7"/>
        <v>23198.548905250787</v>
      </c>
      <c r="AD93" s="214">
        <f t="shared" si="8"/>
        <v>2.3249461335289124E-4</v>
      </c>
      <c r="AE93" s="213">
        <f t="shared" si="11"/>
        <v>23894.158606231224</v>
      </c>
      <c r="AF93" s="214">
        <f t="shared" si="9"/>
        <v>2.3249461335289129E-4</v>
      </c>
    </row>
    <row r="94" spans="1:32" ht="15.75" x14ac:dyDescent="0.2">
      <c r="A94" s="206">
        <f t="shared" si="10"/>
        <v>64</v>
      </c>
      <c r="B94" s="88">
        <f>IF($F94="","",'הזנה לתנאי סף'!C94)</f>
        <v>1001350242</v>
      </c>
      <c r="C94" s="88">
        <f>IF($F94="","",'הזנה לתנאי סף'!D94)</f>
        <v>1001277229</v>
      </c>
      <c r="D94" s="88">
        <f>IF($F94="","",'הזנה לתנאי סף'!E94)</f>
        <v>40000531</v>
      </c>
      <c r="E94" s="88">
        <f>IF($F94="","",'הזנה לתנאי סף'!F94)</f>
        <v>20000005</v>
      </c>
      <c r="F94" s="88" t="str">
        <f>IF(OR('הזנה לתנאי סף'!G94="",'הזנה לתנאי סף'!BL94&lt;&gt;1,'הזנה לתנאי סף'!Q94&lt;&gt;1),"",'הזנה לתנאי סף'!G94)</f>
        <v>אליכין</v>
      </c>
      <c r="G94" s="88" t="str">
        <f>IF($F94="","",'הזנה לתנאי סף'!H94)</f>
        <v>מכון רימון לידיעת הארץ</v>
      </c>
      <c r="H94" s="88" t="str">
        <f>IF($F94="","",'הזנה לתנאי סף'!I94)</f>
        <v>מוזיאונים</v>
      </c>
      <c r="I94" s="213">
        <f>IF($F94="","",'תחום תמיכה א'!$I94)</f>
        <v>417762</v>
      </c>
      <c r="J94" s="213">
        <f>IF($F94="","",'תחום תמיכה א'!$J94)</f>
        <v>231779</v>
      </c>
      <c r="K94" s="213">
        <f>IF($F94="","",'תחום תמיכה א'!$K94)</f>
        <v>0</v>
      </c>
      <c r="L94" s="213">
        <f t="shared" si="0"/>
        <v>649541</v>
      </c>
      <c r="M94" s="214">
        <f t="shared" si="1"/>
        <v>0.64316494262871782</v>
      </c>
      <c r="N94" s="214">
        <f t="shared" si="12"/>
        <v>0.35683505737128218</v>
      </c>
      <c r="O94" s="213">
        <f t="shared" si="3"/>
        <v>82706.872762458413</v>
      </c>
      <c r="P94" s="213">
        <f>IF($F94="","",'פרמטרים לקריטריונים'!$C$59*O94)</f>
        <v>24812.061828737522</v>
      </c>
      <c r="Q94" s="214">
        <f t="shared" si="4"/>
        <v>1.4096452460526216E-4</v>
      </c>
      <c r="R94" s="213">
        <f t="shared" si="13"/>
        <v>14096.452460526216</v>
      </c>
      <c r="S94" s="213">
        <f>IF($F94="","",'הזנה לתנאי סף'!N94)</f>
        <v>0</v>
      </c>
      <c r="T94" s="213">
        <f>IF($F94="","",'הזנה לתנאי סף'!O94)</f>
        <v>1</v>
      </c>
      <c r="U94" s="213">
        <f>IF($F94="","",'תחום תמיכה א'!W94)</f>
        <v>0</v>
      </c>
      <c r="V94" s="213">
        <f>IF($F94="","",'תחום תמיכה א'!X94)</f>
        <v>0</v>
      </c>
      <c r="W94" s="213">
        <f>IF($F94="","",'תחום תמיכה א'!Y94)</f>
        <v>1</v>
      </c>
      <c r="X94" s="231">
        <f>IF($F94="","",'תחום תמיכה א'!Z94)</f>
        <v>0</v>
      </c>
      <c r="Y94" s="213" t="str">
        <f>IF($F94="","",'תחום תמיכה א'!AA94)</f>
        <v/>
      </c>
      <c r="Z94" s="214" t="str">
        <f>IF($F94="","",'תחום תמיכה א'!AB94)</f>
        <v/>
      </c>
      <c r="AA94" s="225" t="str">
        <f>IF($F94="","",'תחום תמיכה א'!AC94)</f>
        <v/>
      </c>
      <c r="AB94" s="213" t="str">
        <f t="shared" si="6"/>
        <v/>
      </c>
      <c r="AC94" s="213">
        <f t="shared" si="7"/>
        <v>14096.452460526216</v>
      </c>
      <c r="AD94" s="214">
        <f t="shared" si="8"/>
        <v>1.4127389078700761E-4</v>
      </c>
      <c r="AE94" s="213">
        <f t="shared" si="11"/>
        <v>14519.135324053605</v>
      </c>
      <c r="AF94" s="214">
        <f t="shared" si="9"/>
        <v>1.4127389078700766E-4</v>
      </c>
    </row>
    <row r="95" spans="1:32" ht="15.75" x14ac:dyDescent="0.2">
      <c r="A95" s="206">
        <f t="shared" si="10"/>
        <v>65</v>
      </c>
      <c r="B95" s="88">
        <f>IF($F95="","",'הזנה לתנאי סף'!C95)</f>
        <v>1001348656</v>
      </c>
      <c r="C95" s="88">
        <f>IF($F95="","",'הזנה לתנאי סף'!D95)</f>
        <v>1001274980</v>
      </c>
      <c r="D95" s="88">
        <f>IF($F95="","",'הזנה לתנאי סף'!E95)</f>
        <v>40000533</v>
      </c>
      <c r="E95" s="88">
        <f>IF($F95="","",'הזנה לתנאי סף'!F95)</f>
        <v>20000159</v>
      </c>
      <c r="F95" s="88" t="str">
        <f>IF(OR('הזנה לתנאי סף'!G95="",'הזנה לתנאי סף'!BL95&lt;&gt;1,'הזנה לתנאי סף'!Q95&lt;&gt;1),"",'הזנה לתנאי סף'!G95)</f>
        <v>ירושלים</v>
      </c>
      <c r="G95" s="88" t="str">
        <f>IF($F95="","",'הזנה לתנאי סף'!H95)</f>
        <v xml:space="preserve">תזמורת הבארוק ירושלים </v>
      </c>
      <c r="H95" s="88" t="str">
        <f>IF($F95="","",'הזנה לתנאי סף'!I95)</f>
        <v>מוסיקה-גופים כליים</v>
      </c>
      <c r="I95" s="213">
        <f>IF($F95="","",'תחום תמיכה א'!$I95)</f>
        <v>990158</v>
      </c>
      <c r="J95" s="213">
        <f>IF($F95="","",'תחום תמיכה א'!$J95)</f>
        <v>639877</v>
      </c>
      <c r="K95" s="213">
        <f>IF($F95="","",'תחום תמיכה א'!$K95)</f>
        <v>0</v>
      </c>
      <c r="L95" s="213">
        <f t="shared" ref="L95:L158" si="14">IF($F95="","",SUM(I95:K95))</f>
        <v>1630035</v>
      </c>
      <c r="M95" s="214">
        <f t="shared" ref="M95:M158" si="15">IF($F95="","",IFERROR(I95/L95,$AH$2))</f>
        <v>0.60744585238967264</v>
      </c>
      <c r="N95" s="214">
        <f t="shared" si="12"/>
        <v>0.39255414761032736</v>
      </c>
      <c r="O95" s="213">
        <f t="shared" ref="O95:O158" si="16">IF($F95="","",IFERROR((N95*J95),""))</f>
        <v>251186.37031045344</v>
      </c>
      <c r="P95" s="213">
        <f>IF($F95="","",'פרמטרים לקריטריונים'!$C$59*O95)</f>
        <v>75355.911093136034</v>
      </c>
      <c r="Q95" s="214">
        <f t="shared" ref="Q95:Q158" si="17">IF($F95="","",IFERROR(P95/$P$501,""))</f>
        <v>4.2811880192629735E-4</v>
      </c>
      <c r="R95" s="213">
        <f t="shared" si="13"/>
        <v>42811.880192629738</v>
      </c>
      <c r="S95" s="213">
        <f>IF($F95="","",'הזנה לתנאי סף'!N95)</f>
        <v>1</v>
      </c>
      <c r="T95" s="213">
        <f>IF($F95="","",'הזנה לתנאי סף'!O95)</f>
        <v>1</v>
      </c>
      <c r="U95" s="213">
        <f>IF($F95="","",'תחום תמיכה א'!W95)</f>
        <v>0</v>
      </c>
      <c r="V95" s="213">
        <f>IF($F95="","",'תחום תמיכה א'!X95)</f>
        <v>0</v>
      </c>
      <c r="W95" s="213">
        <f>IF($F95="","",'תחום תמיכה א'!Y95)</f>
        <v>0</v>
      </c>
      <c r="X95" s="231" t="str">
        <f>IF($F95="","",'תחום תמיכה א'!Z95)</f>
        <v>בדוק נתוני הזנה</v>
      </c>
      <c r="Y95" s="213" t="str">
        <f>IF($F95="","",'תחום תמיכה א'!AA95)</f>
        <v>בדוק נתוני הזנה</v>
      </c>
      <c r="Z95" s="214">
        <f>IF($F95="","",'תחום תמיכה א'!AB95)</f>
        <v>0</v>
      </c>
      <c r="AA95" s="225" t="str">
        <f>IF($F95="","",'תחום תמיכה א'!AC95)</f>
        <v/>
      </c>
      <c r="AB95" s="213" t="str">
        <f t="shared" ref="AB95:AB158" si="18">IF(OR($F95="",AA95=""),"",IF(COUNTBLANK(U95:V95)&gt;0,-R95,IF(-AA95*Y95&gt;R95,-R95,AA95*Y95)))</f>
        <v/>
      </c>
      <c r="AC95" s="213">
        <f t="shared" ref="AC95:AC158" si="19">IF($F95="","",IF(AB95&lt;&gt;"",R95+AB95,R95))</f>
        <v>42811.880192629738</v>
      </c>
      <c r="AD95" s="214">
        <f t="shared" ref="AD95:AD158" si="20">IF($F95="","",IFERROR(AC95/$AC$501,""))</f>
        <v>4.2905836795864674E-4</v>
      </c>
      <c r="AE95" s="213">
        <f t="shared" si="11"/>
        <v>44095.596657001559</v>
      </c>
      <c r="AF95" s="214">
        <f t="shared" ref="AF95:AF158" si="21">IF($F95="","",IFERROR(AE95/$AE$501,""))</f>
        <v>4.290583679586468E-4</v>
      </c>
    </row>
    <row r="96" spans="1:32" ht="15.75" x14ac:dyDescent="0.2">
      <c r="A96" s="206">
        <f t="shared" ref="A96:A159" si="22">IF(F96="","",ROW()-30)</f>
        <v>66</v>
      </c>
      <c r="B96" s="88">
        <f>IF($F96="","",'הזנה לתנאי סף'!C96)</f>
        <v>1001347378</v>
      </c>
      <c r="C96" s="88">
        <f>IF($F96="","",'הזנה לתנאי סף'!D96)</f>
        <v>1001266836</v>
      </c>
      <c r="D96" s="88">
        <f>IF($F96="","",'הזנה לתנאי סף'!E96)</f>
        <v>40000550</v>
      </c>
      <c r="E96" s="88">
        <f>IF($F96="","",'הזנה לתנאי סף'!F96)</f>
        <v>20000096</v>
      </c>
      <c r="F96" s="88" t="str">
        <f>IF(OR('הזנה לתנאי סף'!G96="",'הזנה לתנאי סף'!BL96&lt;&gt;1,'הזנה לתנאי סף'!Q96&lt;&gt;1),"",'הזנה לתנאי סף'!G96)</f>
        <v>שדרות</v>
      </c>
      <c r="G96" s="88" t="str">
        <f>IF($F96="","",'הזנה לתנאי סף'!H96)</f>
        <v>מרכז התנועה שדרות אדמה (ע''ר)</v>
      </c>
      <c r="H96" s="88" t="str">
        <f>IF($F96="","",'הזנה לתנאי סף'!I96)</f>
        <v>מחול</v>
      </c>
      <c r="I96" s="213">
        <f>IF($F96="","",'תחום תמיכה א'!$I96)</f>
        <v>695300</v>
      </c>
      <c r="J96" s="213">
        <f>IF($F96="","",'תחום תמיכה א'!$J96)</f>
        <v>310507</v>
      </c>
      <c r="K96" s="213">
        <f>IF($F96="","",'תחום תמיכה א'!$K96)</f>
        <v>0</v>
      </c>
      <c r="L96" s="213">
        <f t="shared" si="14"/>
        <v>1005807</v>
      </c>
      <c r="M96" s="214">
        <f t="shared" si="15"/>
        <v>0.69128570391735189</v>
      </c>
      <c r="N96" s="214">
        <f t="shared" si="12"/>
        <v>0.30871429608264811</v>
      </c>
      <c r="O96" s="213">
        <f t="shared" si="16"/>
        <v>95857.94993373481</v>
      </c>
      <c r="P96" s="213">
        <f>IF($F96="","",'פרמטרים לקריטריונים'!$C$59*O96)</f>
        <v>28757.384980120441</v>
      </c>
      <c r="Q96" s="214">
        <f t="shared" si="17"/>
        <v>1.6337905050349647E-4</v>
      </c>
      <c r="R96" s="213">
        <f t="shared" si="13"/>
        <v>16337.905050349647</v>
      </c>
      <c r="S96" s="213">
        <f>IF($F96="","",'הזנה לתנאי סף'!N96)</f>
        <v>0</v>
      </c>
      <c r="T96" s="213">
        <f>IF($F96="","",'הזנה לתנאי סף'!O96)</f>
        <v>1</v>
      </c>
      <c r="U96" s="213">
        <f>IF($F96="","",'תחום תמיכה א'!W96)</f>
        <v>0</v>
      </c>
      <c r="V96" s="213">
        <f>IF($F96="","",'תחום תמיכה א'!X96)</f>
        <v>0</v>
      </c>
      <c r="W96" s="213">
        <f>IF($F96="","",'תחום תמיכה א'!Y96)</f>
        <v>1</v>
      </c>
      <c r="X96" s="231">
        <f>IF($F96="","",'תחום תמיכה א'!Z96)</f>
        <v>0</v>
      </c>
      <c r="Y96" s="213" t="str">
        <f>IF($F96="","",'תחום תמיכה א'!AA96)</f>
        <v/>
      </c>
      <c r="Z96" s="214" t="str">
        <f>IF($F96="","",'תחום תמיכה א'!AB96)</f>
        <v/>
      </c>
      <c r="AA96" s="225" t="str">
        <f>IF($F96="","",'תחום תמיכה א'!AC96)</f>
        <v/>
      </c>
      <c r="AB96" s="213" t="str">
        <f t="shared" si="18"/>
        <v/>
      </c>
      <c r="AC96" s="213">
        <f t="shared" si="19"/>
        <v>16337.905050349647</v>
      </c>
      <c r="AD96" s="214">
        <f t="shared" si="20"/>
        <v>1.6373760846815461E-4</v>
      </c>
      <c r="AE96" s="213">
        <f t="shared" ref="AE96:AE159" si="23">IFERROR(AD96*$F$5+AC96,"")</f>
        <v>16827.797986892248</v>
      </c>
      <c r="AF96" s="214">
        <f t="shared" si="21"/>
        <v>1.6373760846815464E-4</v>
      </c>
    </row>
    <row r="97" spans="1:32" ht="15.75" x14ac:dyDescent="0.2">
      <c r="A97" s="206">
        <f t="shared" si="22"/>
        <v>67</v>
      </c>
      <c r="B97" s="88">
        <f>IF($F97="","",'הזנה לתנאי סף'!C97)</f>
        <v>1001348650</v>
      </c>
      <c r="C97" s="88">
        <f>IF($F97="","",'הזנה לתנאי סף'!D97)</f>
        <v>1001270091</v>
      </c>
      <c r="D97" s="88">
        <f>IF($F97="","",'הזנה לתנאי סף'!E97)</f>
        <v>40000685</v>
      </c>
      <c r="E97" s="88">
        <f>IF($F97="","",'הזנה לתנאי סף'!F97)</f>
        <v>20000231</v>
      </c>
      <c r="F97" s="88" t="str">
        <f>IF(OR('הזנה לתנאי סף'!G97="",'הזנה לתנאי סף'!BL97&lt;&gt;1,'הזנה לתנאי סף'!Q97&lt;&gt;1),"",'הזנה לתנאי סף'!G97)</f>
        <v>נצרת</v>
      </c>
      <c r="G97" s="88" t="str">
        <f>IF($F97="","",'הזנה לתנאי סף'!H97)</f>
        <v>אלערביא לתרבות ואמנות</v>
      </c>
      <c r="H97" s="88" t="str">
        <f>IF($F97="","",'הזנה לתנאי סף'!I97)</f>
        <v>תרבות ערבית</v>
      </c>
      <c r="I97" s="213">
        <f>IF($F97="","",'תחום תמיכה א'!$I97)</f>
        <v>0</v>
      </c>
      <c r="J97" s="213">
        <f>IF($F97="","",'תחום תמיכה א'!$J97)</f>
        <v>37960</v>
      </c>
      <c r="K97" s="213">
        <f>IF($F97="","",'תחום תמיכה א'!$K97)</f>
        <v>0</v>
      </c>
      <c r="L97" s="213">
        <f t="shared" si="14"/>
        <v>37960</v>
      </c>
      <c r="M97" s="214">
        <f t="shared" si="15"/>
        <v>0</v>
      </c>
      <c r="N97" s="214">
        <f t="shared" si="12"/>
        <v>1</v>
      </c>
      <c r="O97" s="213">
        <f t="shared" si="16"/>
        <v>37960</v>
      </c>
      <c r="P97" s="213">
        <f>IF($F97="","",'פרמטרים לקריטריונים'!$C$59*O97)</f>
        <v>11388</v>
      </c>
      <c r="Q97" s="214">
        <f t="shared" si="17"/>
        <v>6.4698533208773883E-5</v>
      </c>
      <c r="R97" s="213">
        <f t="shared" si="13"/>
        <v>6469.8533208773879</v>
      </c>
      <c r="S97" s="213">
        <f>IF($F97="","",'הזנה לתנאי סף'!N97)</f>
        <v>0</v>
      </c>
      <c r="T97" s="213">
        <f>IF($F97="","",'הזנה לתנאי סף'!O97)</f>
        <v>1</v>
      </c>
      <c r="U97" s="213">
        <f>IF($F97="","",'תחום תמיכה א'!W97)</f>
        <v>0</v>
      </c>
      <c r="V97" s="213">
        <f>IF($F97="","",'תחום תמיכה א'!X97)</f>
        <v>0</v>
      </c>
      <c r="W97" s="213">
        <f>IF($F97="","",'תחום תמיכה א'!Y97)</f>
        <v>1</v>
      </c>
      <c r="X97" s="231">
        <f>IF($F97="","",'תחום תמיכה א'!Z97)</f>
        <v>0</v>
      </c>
      <c r="Y97" s="213" t="str">
        <f>IF($F97="","",'תחום תמיכה א'!AA97)</f>
        <v/>
      </c>
      <c r="Z97" s="214" t="str">
        <f>IF($F97="","",'תחום תמיכה א'!AB97)</f>
        <v/>
      </c>
      <c r="AA97" s="225" t="str">
        <f>IF($F97="","",'תחום תמיכה א'!AC97)</f>
        <v/>
      </c>
      <c r="AB97" s="213" t="str">
        <f t="shared" si="18"/>
        <v/>
      </c>
      <c r="AC97" s="213">
        <f t="shared" si="19"/>
        <v>6469.8533208773879</v>
      </c>
      <c r="AD97" s="214">
        <f t="shared" si="20"/>
        <v>6.4840523104737975E-5</v>
      </c>
      <c r="AE97" s="213">
        <f t="shared" si="23"/>
        <v>6663.8522107348545</v>
      </c>
      <c r="AF97" s="214">
        <f t="shared" si="21"/>
        <v>6.4840523104738002E-5</v>
      </c>
    </row>
    <row r="98" spans="1:32" ht="15.75" x14ac:dyDescent="0.2">
      <c r="A98" s="206">
        <f t="shared" si="22"/>
        <v>68</v>
      </c>
      <c r="B98" s="88">
        <f>IF($F98="","",'הזנה לתנאי סף'!C98)</f>
        <v>1001348519</v>
      </c>
      <c r="C98" s="88">
        <f>IF($F98="","",'הזנה לתנאי סף'!D98)</f>
        <v>1001270078</v>
      </c>
      <c r="D98" s="88">
        <f>IF($F98="","",'הזנה לתנאי סף'!E98)</f>
        <v>40000685</v>
      </c>
      <c r="E98" s="88">
        <f>IF($F98="","",'הזנה לתנאי סף'!F98)</f>
        <v>20000231</v>
      </c>
      <c r="F98" s="88" t="str">
        <f>IF(OR('הזנה לתנאי סף'!G98="",'הזנה לתנאי סף'!BL98&lt;&gt;1,'הזנה לתנאי סף'!Q98&lt;&gt;1),"",'הזנה לתנאי סף'!G98)</f>
        <v>נצרת</v>
      </c>
      <c r="G98" s="88" t="str">
        <f>IF($F98="","",'הזנה לתנאי סף'!H98)</f>
        <v>אלערביא לתרבות ואמנות</v>
      </c>
      <c r="H98" s="88" t="str">
        <f>IF($F98="","",'הזנה לתנאי סף'!I98)</f>
        <v>תרבות ערבית</v>
      </c>
      <c r="I98" s="213">
        <f>IF($F98="","",'תחום תמיכה א'!$I98)</f>
        <v>145724</v>
      </c>
      <c r="J98" s="213">
        <f>IF($F98="","",'תחום תמיכה א'!$J98)</f>
        <v>99240</v>
      </c>
      <c r="K98" s="213">
        <f>IF($F98="","",'תחום תמיכה א'!$K98)</f>
        <v>0</v>
      </c>
      <c r="L98" s="213">
        <f t="shared" si="14"/>
        <v>244964</v>
      </c>
      <c r="M98" s="214">
        <f t="shared" si="15"/>
        <v>0.59487924756290722</v>
      </c>
      <c r="N98" s="214">
        <f t="shared" ref="N98:N161" si="24">IF($F98="","",IFERROR((1-M98),""))</f>
        <v>0.40512075243709278</v>
      </c>
      <c r="O98" s="213">
        <f t="shared" si="16"/>
        <v>40204.18347185709</v>
      </c>
      <c r="P98" s="213">
        <f>IF($F98="","",'פרמטרים לקריטריונים'!$C$59*O98)</f>
        <v>12061.255041557126</v>
      </c>
      <c r="Q98" s="214">
        <f t="shared" si="17"/>
        <v>6.8523490502781452E-5</v>
      </c>
      <c r="R98" s="213">
        <f t="shared" ref="R98:R161" si="25">IF($F98="","",IFERROR(Q98*$F$4,""))</f>
        <v>6852.3490502781451</v>
      </c>
      <c r="S98" s="213">
        <f>IF($F98="","",'הזנה לתנאי סף'!N98)</f>
        <v>0</v>
      </c>
      <c r="T98" s="213">
        <f>IF($F98="","",'הזנה לתנאי סף'!O98)</f>
        <v>1</v>
      </c>
      <c r="U98" s="213">
        <f>IF($F98="","",'תחום תמיכה א'!W98)</f>
        <v>0</v>
      </c>
      <c r="V98" s="213">
        <f>IF($F98="","",'תחום תמיכה א'!X98)</f>
        <v>0</v>
      </c>
      <c r="W98" s="213">
        <f>IF($F98="","",'תחום תמיכה א'!Y98)</f>
        <v>1</v>
      </c>
      <c r="X98" s="231">
        <f>IF($F98="","",'תחום תמיכה א'!Z98)</f>
        <v>0</v>
      </c>
      <c r="Y98" s="213" t="str">
        <f>IF($F98="","",'תחום תמיכה א'!AA98)</f>
        <v/>
      </c>
      <c r="Z98" s="214" t="str">
        <f>IF($F98="","",'תחום תמיכה א'!AB98)</f>
        <v/>
      </c>
      <c r="AA98" s="225" t="str">
        <f>IF($F98="","",'תחום תמיכה א'!AC98)</f>
        <v/>
      </c>
      <c r="AB98" s="213" t="str">
        <f t="shared" si="18"/>
        <v/>
      </c>
      <c r="AC98" s="213">
        <f t="shared" si="19"/>
        <v>6852.3490502781451</v>
      </c>
      <c r="AD98" s="214">
        <f t="shared" si="20"/>
        <v>6.8673874797525676E-5</v>
      </c>
      <c r="AE98" s="213">
        <f t="shared" si="23"/>
        <v>7057.8170945659795</v>
      </c>
      <c r="AF98" s="214">
        <f t="shared" si="21"/>
        <v>6.867387479752569E-5</v>
      </c>
    </row>
    <row r="99" spans="1:32" ht="15.75" x14ac:dyDescent="0.2">
      <c r="A99" s="206">
        <f t="shared" si="22"/>
        <v>69</v>
      </c>
      <c r="B99" s="88">
        <f>IF($F99="","",'הזנה לתנאי סף'!C99)</f>
        <v>1001349422</v>
      </c>
      <c r="C99" s="88">
        <f>IF($F99="","",'הזנה לתנאי סף'!D99)</f>
        <v>1001288961</v>
      </c>
      <c r="D99" s="88">
        <f>IF($F99="","",'הזנה לתנאי סף'!E99)</f>
        <v>40000581</v>
      </c>
      <c r="E99" s="88">
        <f>IF($F99="","",'הזנה לתנאי סף'!F99)</f>
        <v>20000111</v>
      </c>
      <c r="F99" s="88" t="str">
        <f>IF(OR('הזנה לתנאי סף'!G99="",'הזנה לתנאי סף'!BL99&lt;&gt;1,'הזנה לתנאי סף'!Q99&lt;&gt;1),"",'הזנה לתנאי סף'!G99)</f>
        <v>מיתר</v>
      </c>
      <c r="G99" s="88" t="str">
        <f>IF($F99="","",'הזנה לתנאי סף'!H99)</f>
        <v>נוה הבדואים</v>
      </c>
      <c r="H99" s="88" t="str">
        <f>IF($F99="","",'הזנה לתנאי סף'!I99)</f>
        <v>תרבות ערבית</v>
      </c>
      <c r="I99" s="213">
        <f>IF($F99="","",'תחום תמיכה א'!$I99)</f>
        <v>451681</v>
      </c>
      <c r="J99" s="213">
        <f>IF($F99="","",'תחום תמיכה א'!$J99)</f>
        <v>753370</v>
      </c>
      <c r="K99" s="213">
        <f>IF($F99="","",'תחום תמיכה א'!$K99)</f>
        <v>473444</v>
      </c>
      <c r="L99" s="213">
        <f t="shared" si="14"/>
        <v>1678495</v>
      </c>
      <c r="M99" s="214">
        <f t="shared" si="15"/>
        <v>0.2690988057754119</v>
      </c>
      <c r="N99" s="214">
        <f t="shared" si="24"/>
        <v>0.7309011942245881</v>
      </c>
      <c r="O99" s="213">
        <f t="shared" si="16"/>
        <v>550639.03269297793</v>
      </c>
      <c r="P99" s="213">
        <f>IF($F99="","",'פרמטרים לקריטריונים'!$C$59*O99)</f>
        <v>165191.70980789338</v>
      </c>
      <c r="Q99" s="214">
        <f t="shared" si="17"/>
        <v>9.3850204801722238E-4</v>
      </c>
      <c r="R99" s="213">
        <f t="shared" si="25"/>
        <v>93850.204801722241</v>
      </c>
      <c r="S99" s="213">
        <f>IF($F99="","",'הזנה לתנאי סף'!N99)</f>
        <v>0</v>
      </c>
      <c r="T99" s="213">
        <f>IF($F99="","",'הזנה לתנאי סף'!O99)</f>
        <v>1</v>
      </c>
      <c r="U99" s="213">
        <f>IF($F99="","",'תחום תמיכה א'!W99)</f>
        <v>0</v>
      </c>
      <c r="V99" s="213">
        <f>IF($F99="","",'תחום תמיכה א'!X99)</f>
        <v>0</v>
      </c>
      <c r="W99" s="213">
        <f>IF($F99="","",'תחום תמיכה א'!Y99)</f>
        <v>1</v>
      </c>
      <c r="X99" s="231">
        <f>IF($F99="","",'תחום תמיכה א'!Z99)</f>
        <v>0</v>
      </c>
      <c r="Y99" s="213" t="str">
        <f>IF($F99="","",'תחום תמיכה א'!AA99)</f>
        <v/>
      </c>
      <c r="Z99" s="214" t="str">
        <f>IF($F99="","",'תחום תמיכה א'!AB99)</f>
        <v/>
      </c>
      <c r="AA99" s="225" t="str">
        <f>IF($F99="","",'תחום תמיכה א'!AC99)</f>
        <v/>
      </c>
      <c r="AB99" s="213" t="str">
        <f t="shared" si="18"/>
        <v/>
      </c>
      <c r="AC99" s="213">
        <f t="shared" si="19"/>
        <v>93850.204801722241</v>
      </c>
      <c r="AD99" s="214">
        <f t="shared" si="20"/>
        <v>9.4056172080346707E-4</v>
      </c>
      <c r="AE99" s="213">
        <f t="shared" si="23"/>
        <v>96664.308096101246</v>
      </c>
      <c r="AF99" s="214">
        <f t="shared" si="21"/>
        <v>9.4056172080346739E-4</v>
      </c>
    </row>
    <row r="100" spans="1:32" ht="15.75" x14ac:dyDescent="0.2">
      <c r="A100" s="206">
        <f t="shared" si="22"/>
        <v>70</v>
      </c>
      <c r="B100" s="88">
        <f>IF($F100="","",'הזנה לתנאי סף'!C100)</f>
        <v>1001349725</v>
      </c>
      <c r="C100" s="88">
        <f>IF($F100="","",'הזנה לתנאי סף'!D100)</f>
        <v>1001268621</v>
      </c>
      <c r="D100" s="88">
        <f>IF($F100="","",'הזנה לתנאי סף'!E100)</f>
        <v>40000391</v>
      </c>
      <c r="E100" s="88">
        <f>IF($F100="","",'הזנה לתנאי סף'!F100)</f>
        <v>20000132</v>
      </c>
      <c r="F100" s="88" t="str">
        <f>IF(OR('הזנה לתנאי סף'!G100="",'הזנה לתנאי סף'!BL100&lt;&gt;1,'הזנה לתנאי סף'!Q100&lt;&gt;1),"",'הזנה לתנאי סף'!G100)</f>
        <v>עמק הירדן</v>
      </c>
      <c r="G100" s="88" t="str">
        <f>IF($F100="","",'הזנה לתנאי סף'!H100)</f>
        <v>מרכז תרבות והנצחה</v>
      </c>
      <c r="H100" s="88" t="str">
        <f>IF($F100="","",'הזנה לתנאי סף'!I100)</f>
        <v>מוזיאונים</v>
      </c>
      <c r="I100" s="213">
        <f>IF($F100="","",'תחום תמיכה א'!$I100)</f>
        <v>166000</v>
      </c>
      <c r="J100" s="213">
        <f>IF($F100="","",'תחום תמיכה א'!$J100)</f>
        <v>66000</v>
      </c>
      <c r="K100" s="213">
        <f>IF($F100="","",'תחום תמיכה א'!$K100)</f>
        <v>0</v>
      </c>
      <c r="L100" s="213">
        <f t="shared" si="14"/>
        <v>232000</v>
      </c>
      <c r="M100" s="214">
        <f t="shared" si="15"/>
        <v>0.71551724137931039</v>
      </c>
      <c r="N100" s="214">
        <f t="shared" si="24"/>
        <v>0.28448275862068961</v>
      </c>
      <c r="O100" s="213">
        <f t="shared" si="16"/>
        <v>18775.862068965514</v>
      </c>
      <c r="P100" s="213">
        <f>IF($F100="","",'פרמטרים לקריטריונים'!$C$59*O100)</f>
        <v>5632.758620689654</v>
      </c>
      <c r="Q100" s="214">
        <f t="shared" si="17"/>
        <v>3.2001336554065413E-5</v>
      </c>
      <c r="R100" s="213">
        <f t="shared" si="25"/>
        <v>3200.1336554065415</v>
      </c>
      <c r="S100" s="213">
        <f>IF($F100="","",'הזנה לתנאי סף'!N100)</f>
        <v>0</v>
      </c>
      <c r="T100" s="213">
        <f>IF($F100="","",'הזנה לתנאי סף'!O100)</f>
        <v>1</v>
      </c>
      <c r="U100" s="213">
        <f>IF($F100="","",'תחום תמיכה א'!W100)</f>
        <v>0</v>
      </c>
      <c r="V100" s="213">
        <f>IF($F100="","",'תחום תמיכה א'!X100)</f>
        <v>0</v>
      </c>
      <c r="W100" s="213">
        <f>IF($F100="","",'תחום תמיכה א'!Y100)</f>
        <v>1</v>
      </c>
      <c r="X100" s="231">
        <f>IF($F100="","",'תחום תמיכה א'!Z100)</f>
        <v>0</v>
      </c>
      <c r="Y100" s="213" t="str">
        <f>IF($F100="","",'תחום תמיכה א'!AA100)</f>
        <v/>
      </c>
      <c r="Z100" s="214" t="str">
        <f>IF($F100="","",'תחום תמיכה א'!AB100)</f>
        <v/>
      </c>
      <c r="AA100" s="225" t="str">
        <f>IF($F100="","",'תחום תמיכה א'!AC100)</f>
        <v/>
      </c>
      <c r="AB100" s="213" t="str">
        <f t="shared" si="18"/>
        <v/>
      </c>
      <c r="AC100" s="213">
        <f t="shared" si="19"/>
        <v>3200.1336554065415</v>
      </c>
      <c r="AD100" s="214">
        <f t="shared" si="20"/>
        <v>3.2071567921341721E-5</v>
      </c>
      <c r="AE100" s="213">
        <f t="shared" si="23"/>
        <v>3296.0898302615524</v>
      </c>
      <c r="AF100" s="214">
        <f t="shared" si="21"/>
        <v>3.2071567921341728E-5</v>
      </c>
    </row>
    <row r="101" spans="1:32" ht="15.75" x14ac:dyDescent="0.2">
      <c r="A101" s="206">
        <f t="shared" si="22"/>
        <v>71</v>
      </c>
      <c r="B101" s="88">
        <f>IF($F101="","",'הזנה לתנאי סף'!C101)</f>
        <v>1001347665</v>
      </c>
      <c r="C101" s="88">
        <f>IF($F101="","",'הזנה לתנאי סף'!D101)</f>
        <v>1001269101</v>
      </c>
      <c r="D101" s="88">
        <f>IF($F101="","",'הזנה לתנאי סף'!E101)</f>
        <v>40000411</v>
      </c>
      <c r="E101" s="88">
        <f>IF($F101="","",'הזנה לתנאי סף'!F101)</f>
        <v>20000159</v>
      </c>
      <c r="F101" s="88" t="str">
        <f>IF(OR('הזנה לתנאי סף'!G101="",'הזנה לתנאי סף'!BL101&lt;&gt;1,'הזנה לתנאי סף'!Q101&lt;&gt;1),"",'הזנה לתנאי סף'!G101)</f>
        <v>ירושלים</v>
      </c>
      <c r="G101" s="88" t="str">
        <f>IF($F101="","",'הזנה לתנאי סף'!H101)</f>
        <v>סינמטק ירושלים</v>
      </c>
      <c r="H101" s="88" t="str">
        <f>IF($F101="","",'הזנה לתנאי סף'!I101)</f>
        <v>סינמטקים ופסטיבלים</v>
      </c>
      <c r="I101" s="213">
        <f>IF($F101="","",'תחום תמיכה א'!$I101)</f>
        <v>1929815</v>
      </c>
      <c r="J101" s="213">
        <f>IF($F101="","",'תחום תמיכה א'!$J101)</f>
        <v>9494594</v>
      </c>
      <c r="K101" s="213">
        <f>IF($F101="","",'תחום תמיכה א'!$K101)</f>
        <v>0</v>
      </c>
      <c r="L101" s="213">
        <f t="shared" si="14"/>
        <v>11424409</v>
      </c>
      <c r="M101" s="214">
        <f t="shared" si="15"/>
        <v>0.16892033539765602</v>
      </c>
      <c r="N101" s="214">
        <f t="shared" si="24"/>
        <v>0.83107966460234395</v>
      </c>
      <c r="O101" s="213">
        <f t="shared" si="16"/>
        <v>7890763.9970554272</v>
      </c>
      <c r="P101" s="213">
        <f>IF($F101="","",'פרמטרים לקריטריונים'!$C$59*O101)</f>
        <v>2367229.1991166282</v>
      </c>
      <c r="Q101" s="214">
        <f t="shared" si="17"/>
        <v>1.3448916135566067E-2</v>
      </c>
      <c r="R101" s="213">
        <f t="shared" si="25"/>
        <v>1344891.6135566067</v>
      </c>
      <c r="S101" s="213">
        <f>IF($F101="","",'הזנה לתנאי סף'!N101)</f>
        <v>1</v>
      </c>
      <c r="T101" s="213">
        <f>IF($F101="","",'הזנה לתנאי סף'!O101)</f>
        <v>1</v>
      </c>
      <c r="U101" s="213">
        <f>IF($F101="","",'תחום תמיכה א'!W101)</f>
        <v>0</v>
      </c>
      <c r="V101" s="213">
        <f>IF($F101="","",'תחום תמיכה א'!X101)</f>
        <v>0</v>
      </c>
      <c r="W101" s="213">
        <f>IF($F101="","",'תחום תמיכה א'!Y101)</f>
        <v>0</v>
      </c>
      <c r="X101" s="231" t="str">
        <f>IF($F101="","",'תחום תמיכה א'!Z101)</f>
        <v>בדוק נתוני הזנה</v>
      </c>
      <c r="Y101" s="213" t="str">
        <f>IF($F101="","",'תחום תמיכה א'!AA101)</f>
        <v>בדוק נתוני הזנה</v>
      </c>
      <c r="Z101" s="214">
        <f>IF($F101="","",'תחום תמיכה א'!AB101)</f>
        <v>1</v>
      </c>
      <c r="AA101" s="225" t="str">
        <f>IF($F101="","",'תחום תמיכה א'!AC101)</f>
        <v/>
      </c>
      <c r="AB101" s="213" t="str">
        <f t="shared" si="18"/>
        <v/>
      </c>
      <c r="AC101" s="213">
        <f t="shared" si="19"/>
        <v>1344891.6135566067</v>
      </c>
      <c r="AD101" s="214">
        <f t="shared" si="20"/>
        <v>1.3478431645550766E-2</v>
      </c>
      <c r="AE101" s="213">
        <f t="shared" si="23"/>
        <v>1385218.2588557641</v>
      </c>
      <c r="AF101" s="214">
        <f t="shared" si="21"/>
        <v>1.3478431645550768E-2</v>
      </c>
    </row>
    <row r="102" spans="1:32" ht="15.75" x14ac:dyDescent="0.2">
      <c r="A102" s="206">
        <f t="shared" si="22"/>
        <v>72</v>
      </c>
      <c r="B102" s="88">
        <f>IF($F102="","",'הזנה לתנאי סף'!C102)</f>
        <v>1001347675</v>
      </c>
      <c r="C102" s="88">
        <f>IF($F102="","",'הזנה לתנאי סף'!D102)</f>
        <v>1001269049</v>
      </c>
      <c r="D102" s="88">
        <f>IF($F102="","",'הזנה לתנאי סף'!E102)</f>
        <v>40000411</v>
      </c>
      <c r="E102" s="88">
        <f>IF($F102="","",'הזנה לתנאי סף'!F102)</f>
        <v>20000159</v>
      </c>
      <c r="F102" s="88" t="str">
        <f>IF(OR('הזנה לתנאי סף'!G102="",'הזנה לתנאי סף'!BL102&lt;&gt;1,'הזנה לתנאי סף'!Q102&lt;&gt;1),"",'הזנה לתנאי סף'!G102)</f>
        <v>ירושלים</v>
      </c>
      <c r="G102" s="88" t="str">
        <f>IF($F102="","",'הזנה לתנאי סף'!H102)</f>
        <v>סינמטק ירושלים</v>
      </c>
      <c r="H102" s="88" t="str">
        <f>IF($F102="","",'הזנה לתנאי סף'!I102)</f>
        <v>סינמטקים ופסטיבלים</v>
      </c>
      <c r="I102" s="213">
        <f>IF($F102="","",'תחום תמיכה א'!$I102)</f>
        <v>3991477</v>
      </c>
      <c r="J102" s="213">
        <f>IF($F102="","",'תחום תמיכה א'!$J102)</f>
        <v>6372892</v>
      </c>
      <c r="K102" s="213">
        <f>IF($F102="","",'תחום תמיכה א'!$K102)</f>
        <v>0</v>
      </c>
      <c r="L102" s="213">
        <f t="shared" si="14"/>
        <v>10364369</v>
      </c>
      <c r="M102" s="214">
        <f t="shared" si="15"/>
        <v>0.38511529259523664</v>
      </c>
      <c r="N102" s="214">
        <f t="shared" si="24"/>
        <v>0.61488470740476342</v>
      </c>
      <c r="O102" s="213">
        <f t="shared" si="16"/>
        <v>3918593.8327421574</v>
      </c>
      <c r="P102" s="213">
        <f>IF($F102="","",'פרמטרים לקריטריונים'!$C$59*O102)</f>
        <v>1175578.1498226472</v>
      </c>
      <c r="Q102" s="214">
        <f t="shared" si="17"/>
        <v>6.6788006643668336E-3</v>
      </c>
      <c r="R102" s="213">
        <f t="shared" si="25"/>
        <v>667880.06643668341</v>
      </c>
      <c r="S102" s="213">
        <f>IF($F102="","",'הזנה לתנאי סף'!N102)</f>
        <v>1</v>
      </c>
      <c r="T102" s="213">
        <f>IF($F102="","",'הזנה לתנאי סף'!O102)</f>
        <v>1</v>
      </c>
      <c r="U102" s="213">
        <f>IF($F102="","",'תחום תמיכה א'!W102)</f>
        <v>0</v>
      </c>
      <c r="V102" s="213">
        <f>IF($F102="","",'תחום תמיכה א'!X102)</f>
        <v>0</v>
      </c>
      <c r="W102" s="213">
        <f>IF($F102="","",'תחום תמיכה א'!Y102)</f>
        <v>0</v>
      </c>
      <c r="X102" s="231" t="str">
        <f>IF($F102="","",'תחום תמיכה א'!Z102)</f>
        <v>בדוק נתוני הזנה</v>
      </c>
      <c r="Y102" s="213" t="str">
        <f>IF($F102="","",'תחום תמיכה א'!AA102)</f>
        <v>בדוק נתוני הזנה</v>
      </c>
      <c r="Z102" s="214">
        <f>IF($F102="","",'תחום תמיכה א'!AB102)</f>
        <v>1</v>
      </c>
      <c r="AA102" s="225" t="str">
        <f>IF($F102="","",'תחום תמיכה א'!AC102)</f>
        <v/>
      </c>
      <c r="AB102" s="213" t="str">
        <f t="shared" si="18"/>
        <v/>
      </c>
      <c r="AC102" s="213">
        <f t="shared" si="19"/>
        <v>667880.06643668341</v>
      </c>
      <c r="AD102" s="214">
        <f t="shared" si="20"/>
        <v>6.6934582178609491E-3</v>
      </c>
      <c r="AE102" s="213">
        <f t="shared" si="23"/>
        <v>687906.48512357206</v>
      </c>
      <c r="AF102" s="214">
        <f t="shared" si="21"/>
        <v>6.6934582178609509E-3</v>
      </c>
    </row>
    <row r="103" spans="1:32" ht="15.75" x14ac:dyDescent="0.2">
      <c r="A103" s="206">
        <f t="shared" si="22"/>
        <v>73</v>
      </c>
      <c r="B103" s="88">
        <f>IF($F103="","",'הזנה לתנאי סף'!C103)</f>
        <v>1001346703</v>
      </c>
      <c r="C103" s="88">
        <f>IF($F103="","",'הזנה לתנאי סף'!D103)</f>
        <v>1001278260</v>
      </c>
      <c r="D103" s="88">
        <f>IF($F103="","",'הזנה לתנאי סף'!E103)</f>
        <v>40000449</v>
      </c>
      <c r="E103" s="88">
        <f>IF($F103="","",'הזנה לתנאי סף'!F103)</f>
        <v>20000201</v>
      </c>
      <c r="F103" s="88" t="str">
        <f>IF(OR('הזנה לתנאי סף'!G103="",'הזנה לתנאי סף'!BL103&lt;&gt;1,'הזנה לתנאי סף'!Q103&lt;&gt;1),"",'הזנה לתנאי סף'!G103)</f>
        <v>תל אביב -יפו</v>
      </c>
      <c r="G103" s="88" t="str">
        <f>IF($F103="","",'הזנה לתנאי סף'!H103)</f>
        <v>תיאטרון בית ליסין</v>
      </c>
      <c r="H103" s="88" t="str">
        <f>IF($F103="","",'הזנה לתנאי סף'!I103)</f>
        <v>תיאטרון</v>
      </c>
      <c r="I103" s="213">
        <f>IF($F103="","",'תחום תמיכה א'!$I103)</f>
        <v>16671616</v>
      </c>
      <c r="J103" s="213">
        <f>IF($F103="","",'תחום תמיכה א'!$J103)</f>
        <v>41065938</v>
      </c>
      <c r="K103" s="213">
        <f>IF($F103="","",'תחום תמיכה א'!$K103)</f>
        <v>172639</v>
      </c>
      <c r="L103" s="213">
        <f t="shared" si="14"/>
        <v>57910193</v>
      </c>
      <c r="M103" s="214">
        <f t="shared" si="15"/>
        <v>0.2878874190593701</v>
      </c>
      <c r="N103" s="214">
        <f t="shared" si="24"/>
        <v>0.7121125809406299</v>
      </c>
      <c r="O103" s="213">
        <f t="shared" si="16"/>
        <v>29243571.097927891</v>
      </c>
      <c r="P103" s="213">
        <f>IF($F103="","",'פרמטרים לקריטריונים'!$C$59*O103)</f>
        <v>8773071.3293783665</v>
      </c>
      <c r="Q103" s="214">
        <f t="shared" si="17"/>
        <v>4.9842364484257842E-2</v>
      </c>
      <c r="R103" s="213">
        <f t="shared" si="25"/>
        <v>4984236.4484257838</v>
      </c>
      <c r="S103" s="213">
        <f>IF($F103="","",'הזנה לתנאי סף'!N103)</f>
        <v>1</v>
      </c>
      <c r="T103" s="213">
        <f>IF($F103="","",'הזנה לתנאי סף'!O103)</f>
        <v>1</v>
      </c>
      <c r="U103" s="213">
        <f>IF($F103="","",'תחום תמיכה א'!W103)</f>
        <v>0</v>
      </c>
      <c r="V103" s="213">
        <f>IF($F103="","",'תחום תמיכה א'!X103)</f>
        <v>0</v>
      </c>
      <c r="W103" s="213">
        <f>IF($F103="","",'תחום תמיכה א'!Y103)</f>
        <v>0</v>
      </c>
      <c r="X103" s="231" t="str">
        <f>IF($F103="","",'תחום תמיכה א'!Z103)</f>
        <v>בדוק נתוני הזנה</v>
      </c>
      <c r="Y103" s="213" t="str">
        <f>IF($F103="","",'תחום תמיכה א'!AA103)</f>
        <v>בדוק נתוני הזנה</v>
      </c>
      <c r="Z103" s="214">
        <f>IF($F103="","",'תחום תמיכה א'!AB103)</f>
        <v>0</v>
      </c>
      <c r="AA103" s="225" t="str">
        <f>IF($F103="","",'תחום תמיכה א'!AC103)</f>
        <v/>
      </c>
      <c r="AB103" s="213" t="str">
        <f t="shared" si="18"/>
        <v/>
      </c>
      <c r="AC103" s="213">
        <f t="shared" si="19"/>
        <v>4984236.4484257838</v>
      </c>
      <c r="AD103" s="214">
        <f t="shared" si="20"/>
        <v>4.9951750459437332E-2</v>
      </c>
      <c r="AE103" s="213">
        <f t="shared" si="23"/>
        <v>5133689.0387436422</v>
      </c>
      <c r="AF103" s="214">
        <f t="shared" si="21"/>
        <v>4.9951750459437345E-2</v>
      </c>
    </row>
    <row r="104" spans="1:32" ht="15.75" x14ac:dyDescent="0.2">
      <c r="A104" s="206">
        <f t="shared" si="22"/>
        <v>74</v>
      </c>
      <c r="B104" s="88">
        <f>IF($F104="","",'הזנה לתנאי סף'!C104)</f>
        <v>1001348511</v>
      </c>
      <c r="C104" s="88">
        <f>IF($F104="","",'הזנה לתנאי סף'!D104)</f>
        <v>1001271268</v>
      </c>
      <c r="D104" s="88">
        <f>IF($F104="","",'הזנה לתנאי סף'!E104)</f>
        <v>40000594</v>
      </c>
      <c r="E104" s="88">
        <f>IF($F104="","",'הזנה לתנאי סף'!F104)</f>
        <v>20000185</v>
      </c>
      <c r="F104" s="88" t="str">
        <f>IF(OR('הזנה לתנאי סף'!G104="",'הזנה לתנאי סף'!BL104&lt;&gt;1,'הזנה לתנאי סף'!Q104&lt;&gt;1),"",'הזנה לתנאי סף'!G104)</f>
        <v>עמק חפר</v>
      </c>
      <c r="G104" s="88" t="str">
        <f>IF($F104="","",'הזנה לתנאי סף'!H104)</f>
        <v>עמותת מקהלות מורן והבית לשירה בישרא</v>
      </c>
      <c r="H104" s="88" t="str">
        <f>IF($F104="","",'הזנה לתנאי סף'!I104)</f>
        <v>מקהלות</v>
      </c>
      <c r="I104" s="213">
        <f>IF($F104="","",'תחום תמיכה א'!$I104)</f>
        <v>211375</v>
      </c>
      <c r="J104" s="213">
        <f>IF($F104="","",'תחום תמיכה א'!$J104)</f>
        <v>212000</v>
      </c>
      <c r="K104" s="213">
        <f>IF($F104="","",'תחום תמיכה א'!$K104)</f>
        <v>120439</v>
      </c>
      <c r="L104" s="213">
        <f t="shared" si="14"/>
        <v>543814</v>
      </c>
      <c r="M104" s="214">
        <f t="shared" si="15"/>
        <v>0.38868988293791629</v>
      </c>
      <c r="N104" s="214">
        <f t="shared" si="24"/>
        <v>0.61131011706208371</v>
      </c>
      <c r="O104" s="213">
        <f t="shared" si="16"/>
        <v>129597.74481716174</v>
      </c>
      <c r="P104" s="213">
        <f>IF($F104="","",'פרמטרים לקריטריונים'!$C$59*O104)</f>
        <v>38879.323445148519</v>
      </c>
      <c r="Q104" s="214">
        <f t="shared" si="17"/>
        <v>2.2088472067532513E-4</v>
      </c>
      <c r="R104" s="213">
        <f t="shared" si="25"/>
        <v>22088.472067532512</v>
      </c>
      <c r="S104" s="213">
        <f>IF($F104="","",'הזנה לתנאי סף'!N104)</f>
        <v>0</v>
      </c>
      <c r="T104" s="213">
        <f>IF($F104="","",'הזנה לתנאי סף'!O104)</f>
        <v>1</v>
      </c>
      <c r="U104" s="213">
        <f>IF($F104="","",'תחום תמיכה א'!W104)</f>
        <v>0</v>
      </c>
      <c r="V104" s="213">
        <f>IF($F104="","",'תחום תמיכה א'!X104)</f>
        <v>0</v>
      </c>
      <c r="W104" s="213">
        <f>IF($F104="","",'תחום תמיכה א'!Y104)</f>
        <v>1</v>
      </c>
      <c r="X104" s="231">
        <f>IF($F104="","",'תחום תמיכה א'!Z104)</f>
        <v>0</v>
      </c>
      <c r="Y104" s="213" t="str">
        <f>IF($F104="","",'תחום תמיכה א'!AA104)</f>
        <v/>
      </c>
      <c r="Z104" s="214" t="str">
        <f>IF($F104="","",'תחום תמיכה א'!AB104)</f>
        <v/>
      </c>
      <c r="AA104" s="225" t="str">
        <f>IF($F104="","",'תחום תמיכה א'!AC104)</f>
        <v/>
      </c>
      <c r="AB104" s="213" t="str">
        <f t="shared" si="18"/>
        <v/>
      </c>
      <c r="AC104" s="213">
        <f t="shared" si="19"/>
        <v>22088.472067532512</v>
      </c>
      <c r="AD104" s="214">
        <f t="shared" si="20"/>
        <v>2.2136948280134647E-4</v>
      </c>
      <c r="AE104" s="213">
        <f t="shared" si="23"/>
        <v>22750.796056535688</v>
      </c>
      <c r="AF104" s="214">
        <f t="shared" si="21"/>
        <v>2.2136948280134652E-4</v>
      </c>
    </row>
    <row r="105" spans="1:32" ht="15.75" x14ac:dyDescent="0.2">
      <c r="A105" s="206">
        <f t="shared" si="22"/>
        <v>75</v>
      </c>
      <c r="B105" s="88">
        <f>IF($F105="","",'הזנה לתנאי סף'!C105)</f>
        <v>1001347498</v>
      </c>
      <c r="C105" s="88">
        <f>IF($F105="","",'הזנה לתנאי סף'!D105)</f>
        <v>1001270248</v>
      </c>
      <c r="D105" s="88">
        <f>IF($F105="","",'הזנה לתנאי סף'!E105)</f>
        <v>40000624</v>
      </c>
      <c r="E105" s="88">
        <f>IF($F105="","",'הזנה לתנאי סף'!F105)</f>
        <v>20000247</v>
      </c>
      <c r="F105" s="88" t="str">
        <f>IF(OR('הזנה לתנאי סף'!G105="",'הזנה לתנאי סף'!BL105&lt;&gt;1,'הזנה לתנאי סף'!Q105&lt;&gt;1),"",'הזנה לתנאי סף'!G105)</f>
        <v>ראשון לציון</v>
      </c>
      <c r="G105" s="88" t="str">
        <f>IF($F105="","",'הזנה לתנאי סף'!H105)</f>
        <v>עמותת התזמורת הסימפונית ראשון לציון</v>
      </c>
      <c r="H105" s="88" t="str">
        <f>IF($F105="","",'הזנה לתנאי סף'!I105)</f>
        <v>מוסיקה-גופים כליים</v>
      </c>
      <c r="I105" s="213">
        <f>IF($F105="","",'תחום תמיכה א'!$I105)</f>
        <v>9171112</v>
      </c>
      <c r="J105" s="213">
        <f>IF($F105="","",'תחום תמיכה א'!$J105)</f>
        <v>7523518</v>
      </c>
      <c r="K105" s="213">
        <f>IF($F105="","",'תחום תמיכה א'!$K105)</f>
        <v>0</v>
      </c>
      <c r="L105" s="213">
        <f t="shared" si="14"/>
        <v>16694630</v>
      </c>
      <c r="M105" s="214">
        <f t="shared" si="15"/>
        <v>0.54934502891049397</v>
      </c>
      <c r="N105" s="214">
        <f t="shared" si="24"/>
        <v>0.45065497108950603</v>
      </c>
      <c r="O105" s="213">
        <f t="shared" si="16"/>
        <v>3390510.7867813781</v>
      </c>
      <c r="P105" s="213">
        <f>IF($F105="","",'פרמטרים לקריטריונים'!$C$59*O105)</f>
        <v>1017153.2360344133</v>
      </c>
      <c r="Q105" s="214">
        <f t="shared" si="17"/>
        <v>5.7787427485058232E-3</v>
      </c>
      <c r="R105" s="213">
        <f t="shared" si="25"/>
        <v>577874.27485058235</v>
      </c>
      <c r="S105" s="213">
        <f>IF($F105="","",'הזנה לתנאי סף'!N105)</f>
        <v>1</v>
      </c>
      <c r="T105" s="213">
        <f>IF($F105="","",'הזנה לתנאי סף'!O105)</f>
        <v>1</v>
      </c>
      <c r="U105" s="213">
        <f>IF($F105="","",'תחום תמיכה א'!W105)</f>
        <v>0</v>
      </c>
      <c r="V105" s="213">
        <f>IF($F105="","",'תחום תמיכה א'!X105)</f>
        <v>0</v>
      </c>
      <c r="W105" s="213">
        <f>IF($F105="","",'תחום תמיכה א'!Y105)</f>
        <v>0</v>
      </c>
      <c r="X105" s="231" t="str">
        <f>IF($F105="","",'תחום תמיכה א'!Z105)</f>
        <v>בדוק נתוני הזנה</v>
      </c>
      <c r="Y105" s="213" t="str">
        <f>IF($F105="","",'תחום תמיכה א'!AA105)</f>
        <v>בדוק נתוני הזנה</v>
      </c>
      <c r="Z105" s="214">
        <f>IF($F105="","",'תחום תמיכה א'!AB105)</f>
        <v>0</v>
      </c>
      <c r="AA105" s="225" t="str">
        <f>IF($F105="","",'תחום תמיכה א'!AC105)</f>
        <v/>
      </c>
      <c r="AB105" s="213" t="str">
        <f t="shared" si="18"/>
        <v/>
      </c>
      <c r="AC105" s="213">
        <f t="shared" si="19"/>
        <v>577874.27485058235</v>
      </c>
      <c r="AD105" s="214">
        <f t="shared" si="20"/>
        <v>5.791425000188654E-3</v>
      </c>
      <c r="AE105" s="213">
        <f t="shared" si="23"/>
        <v>595201.86517422181</v>
      </c>
      <c r="AF105" s="214">
        <f t="shared" si="21"/>
        <v>5.7914250001886557E-3</v>
      </c>
    </row>
    <row r="106" spans="1:32" ht="15.75" x14ac:dyDescent="0.2">
      <c r="A106" s="206">
        <f t="shared" si="22"/>
        <v>76</v>
      </c>
      <c r="B106" s="88">
        <f>IF($F106="","",'הזנה לתנאי סף'!C106)</f>
        <v>1001345723</v>
      </c>
      <c r="C106" s="88">
        <f>IF($F106="","",'הזנה לתנאי סף'!D106)</f>
        <v>1001262216</v>
      </c>
      <c r="D106" s="88">
        <f>IF($F106="","",'הזנה לתנאי סף'!E106)</f>
        <v>40000690</v>
      </c>
      <c r="E106" s="88">
        <f>IF($F106="","",'הזנה לתנאי סף'!F106)</f>
        <v>20000135</v>
      </c>
      <c r="F106" s="88" t="str">
        <f>IF(OR('הזנה לתנאי סף'!G106="",'הזנה לתנאי סף'!BL106&lt;&gt;1,'הזנה לתנאי סף'!Q106&lt;&gt;1),"",'הזנה לתנאי סף'!G106)</f>
        <v>הגלבוע</v>
      </c>
      <c r="G106" s="88" t="str">
        <f>IF($F106="","",'הזנה לתנאי סף'!H106)</f>
        <v>בית חיים שטורמן - מוזיאון ומכון ליד</v>
      </c>
      <c r="H106" s="88" t="str">
        <f>IF($F106="","",'הזנה לתנאי סף'!I106)</f>
        <v>מוזיאונים</v>
      </c>
      <c r="I106" s="213">
        <f>IF($F106="","",'תחום תמיכה א'!$I106)</f>
        <v>498076</v>
      </c>
      <c r="J106" s="213">
        <f>IF($F106="","",'תחום תמיכה א'!$J106)</f>
        <v>282796</v>
      </c>
      <c r="K106" s="213">
        <f>IF($F106="","",'תחום תמיכה א'!$K106)</f>
        <v>0</v>
      </c>
      <c r="L106" s="213">
        <f t="shared" si="14"/>
        <v>780872</v>
      </c>
      <c r="M106" s="214">
        <f t="shared" si="15"/>
        <v>0.63784589535801006</v>
      </c>
      <c r="N106" s="214">
        <f t="shared" si="24"/>
        <v>0.36215410464198994</v>
      </c>
      <c r="O106" s="213">
        <f t="shared" si="16"/>
        <v>102415.73217633618</v>
      </c>
      <c r="P106" s="213">
        <f>IF($F106="","",'פרמטרים לקריטריונים'!$C$59*O106)</f>
        <v>30724.719652900854</v>
      </c>
      <c r="Q106" s="214">
        <f t="shared" si="17"/>
        <v>1.745560497711164E-4</v>
      </c>
      <c r="R106" s="213">
        <f t="shared" si="25"/>
        <v>17455.604977111641</v>
      </c>
      <c r="S106" s="213">
        <f>IF($F106="","",'הזנה לתנאי סף'!N106)</f>
        <v>0</v>
      </c>
      <c r="T106" s="213">
        <f>IF($F106="","",'הזנה לתנאי סף'!O106)</f>
        <v>1</v>
      </c>
      <c r="U106" s="213">
        <f>IF($F106="","",'תחום תמיכה א'!W106)</f>
        <v>0</v>
      </c>
      <c r="V106" s="213">
        <f>IF($F106="","",'תחום תמיכה א'!X106)</f>
        <v>0</v>
      </c>
      <c r="W106" s="213">
        <f>IF($F106="","",'תחום תמיכה א'!Y106)</f>
        <v>1</v>
      </c>
      <c r="X106" s="231">
        <f>IF($F106="","",'תחום תמיכה א'!Z106)</f>
        <v>0</v>
      </c>
      <c r="Y106" s="213" t="str">
        <f>IF($F106="","",'תחום תמיכה א'!AA106)</f>
        <v/>
      </c>
      <c r="Z106" s="214" t="str">
        <f>IF($F106="","",'תחום תמיכה א'!AB106)</f>
        <v/>
      </c>
      <c r="AA106" s="225" t="str">
        <f>IF($F106="","",'תחום תמיכה א'!AC106)</f>
        <v/>
      </c>
      <c r="AB106" s="213" t="str">
        <f t="shared" si="18"/>
        <v/>
      </c>
      <c r="AC106" s="213">
        <f t="shared" si="19"/>
        <v>17455.604977111641</v>
      </c>
      <c r="AD106" s="214">
        <f t="shared" si="20"/>
        <v>1.7493913720938842E-4</v>
      </c>
      <c r="AE106" s="213">
        <f t="shared" si="23"/>
        <v>17979.01220435476</v>
      </c>
      <c r="AF106" s="214">
        <f t="shared" si="21"/>
        <v>1.7493913720938845E-4</v>
      </c>
    </row>
    <row r="107" spans="1:32" ht="15.75" x14ac:dyDescent="0.2">
      <c r="A107" s="206">
        <f t="shared" si="22"/>
        <v>77</v>
      </c>
      <c r="B107" s="88">
        <f>IF($F107="","",'הזנה לתנאי סף'!C107)</f>
        <v>1001350383</v>
      </c>
      <c r="C107" s="88">
        <f>IF($F107="","",'הזנה לתנאי סף'!D107)</f>
        <v>1001289932</v>
      </c>
      <c r="D107" s="88">
        <f>IF($F107="","",'הזנה לתנאי סף'!E107)</f>
        <v>40000702</v>
      </c>
      <c r="E107" s="88">
        <f>IF($F107="","",'הזנה לתנאי סף'!F107)</f>
        <v>20000096</v>
      </c>
      <c r="F107" s="88" t="str">
        <f>IF(OR('הזנה לתנאי סף'!G107="",'הזנה לתנאי סף'!BL107&lt;&gt;1,'הזנה לתנאי סף'!Q107&lt;&gt;1),"",'הזנה לתנאי סף'!G107)</f>
        <v>שדרות</v>
      </c>
      <c r="G107" s="88" t="str">
        <f>IF($F107="","",'הזנה לתנאי סף'!H107)</f>
        <v>סינמטק שדרות</v>
      </c>
      <c r="H107" s="88" t="str">
        <f>IF($F107="","",'הזנה לתנאי סף'!I107)</f>
        <v>סינמטקים ופסטיבלים</v>
      </c>
      <c r="I107" s="213">
        <f>IF($F107="","",'תחום תמיכה א'!$I107)</f>
        <v>392242</v>
      </c>
      <c r="J107" s="213">
        <f>IF($F107="","",'תחום תמיכה א'!$J107)</f>
        <v>1368028</v>
      </c>
      <c r="K107" s="213">
        <f>IF($F107="","",'תחום תמיכה א'!$K107)</f>
        <v>115000</v>
      </c>
      <c r="L107" s="213">
        <f t="shared" si="14"/>
        <v>1875270</v>
      </c>
      <c r="M107" s="214">
        <f t="shared" si="15"/>
        <v>0.20916561348499149</v>
      </c>
      <c r="N107" s="214">
        <f t="shared" si="24"/>
        <v>0.79083438651500848</v>
      </c>
      <c r="O107" s="213">
        <f t="shared" si="16"/>
        <v>1081883.5841153541</v>
      </c>
      <c r="P107" s="213">
        <f>IF($F107="","",'פרמטרים לקריטריונים'!$C$59*O107)</f>
        <v>324565.07523460622</v>
      </c>
      <c r="Q107" s="214">
        <f t="shared" si="17"/>
        <v>1.8439483929113421E-3</v>
      </c>
      <c r="R107" s="213">
        <f t="shared" si="25"/>
        <v>184394.83929113421</v>
      </c>
      <c r="S107" s="213">
        <f>IF($F107="","",'הזנה לתנאי סף'!N107)</f>
        <v>0</v>
      </c>
      <c r="T107" s="213">
        <f>IF($F107="","",'הזנה לתנאי סף'!O107)</f>
        <v>1</v>
      </c>
      <c r="U107" s="213">
        <f>IF($F107="","",'תחום תמיכה א'!W107)</f>
        <v>0</v>
      </c>
      <c r="V107" s="213">
        <f>IF($F107="","",'תחום תמיכה א'!X107)</f>
        <v>0</v>
      </c>
      <c r="W107" s="213">
        <f>IF($F107="","",'תחום תמיכה א'!Y107)</f>
        <v>1</v>
      </c>
      <c r="X107" s="231">
        <f>IF($F107="","",'תחום תמיכה א'!Z107)</f>
        <v>0</v>
      </c>
      <c r="Y107" s="213" t="str">
        <f>IF($F107="","",'תחום תמיכה א'!AA107)</f>
        <v/>
      </c>
      <c r="Z107" s="214" t="str">
        <f>IF($F107="","",'תחום תמיכה א'!AB107)</f>
        <v/>
      </c>
      <c r="AA107" s="225" t="str">
        <f>IF($F107="","",'תחום תמיכה א'!AC107)</f>
        <v/>
      </c>
      <c r="AB107" s="213" t="str">
        <f t="shared" si="18"/>
        <v/>
      </c>
      <c r="AC107" s="213">
        <f t="shared" si="19"/>
        <v>184394.83929113421</v>
      </c>
      <c r="AD107" s="214">
        <f t="shared" si="20"/>
        <v>1.847995193163023E-3</v>
      </c>
      <c r="AE107" s="213">
        <f t="shared" si="23"/>
        <v>189923.92818137119</v>
      </c>
      <c r="AF107" s="214">
        <f t="shared" si="21"/>
        <v>1.8479951931630234E-3</v>
      </c>
    </row>
    <row r="108" spans="1:32" ht="15.75" x14ac:dyDescent="0.2">
      <c r="A108" s="206">
        <f t="shared" si="22"/>
        <v>78</v>
      </c>
      <c r="B108" s="88">
        <f>IF($F108="","",'הזנה לתנאי סף'!C108)</f>
        <v>1001346201</v>
      </c>
      <c r="C108" s="88">
        <f>IF($F108="","",'הזנה לתנאי סף'!D108)</f>
        <v>1001271257</v>
      </c>
      <c r="D108" s="88">
        <f>IF($F108="","",'הזנה לתנאי סף'!E108)</f>
        <v>40002836</v>
      </c>
      <c r="E108" s="88">
        <f>IF($F108="","",'הזנה לתנאי סף'!F108)</f>
        <v>20000244</v>
      </c>
      <c r="F108" s="88" t="str">
        <f>IF(OR('הזנה לתנאי סף'!G108="",'הזנה לתנאי סף'!BL108&lt;&gt;1,'הזנה לתנאי סף'!Q108&lt;&gt;1),"",'הזנה לתנאי סף'!G108)</f>
        <v>צפת</v>
      </c>
      <c r="G108" s="88" t="str">
        <f>IF($F108="","",'הזנה לתנאי סף'!H108)</f>
        <v>בית המאירי</v>
      </c>
      <c r="H108" s="88" t="str">
        <f>IF($F108="","",'הזנה לתנאי סף'!I108)</f>
        <v>מוזיאונים</v>
      </c>
      <c r="I108" s="213">
        <f>IF($F108="","",'תחום תמיכה א'!$I108)</f>
        <v>248370</v>
      </c>
      <c r="J108" s="213">
        <f>IF($F108="","",'תחום תמיכה א'!$J108)</f>
        <v>120892</v>
      </c>
      <c r="K108" s="213">
        <f>IF($F108="","",'תחום תמיכה א'!$K108)</f>
        <v>0</v>
      </c>
      <c r="L108" s="213">
        <f t="shared" si="14"/>
        <v>369262</v>
      </c>
      <c r="M108" s="214">
        <f t="shared" si="15"/>
        <v>0.67261185824698999</v>
      </c>
      <c r="N108" s="214">
        <f t="shared" si="24"/>
        <v>0.32738814175301001</v>
      </c>
      <c r="O108" s="213">
        <f t="shared" si="16"/>
        <v>39578.607232804883</v>
      </c>
      <c r="P108" s="213">
        <f>IF($F108="","",'פרמטרים לקריטריונים'!$C$59*O108)</f>
        <v>11873.582169841464</v>
      </c>
      <c r="Q108" s="214">
        <f t="shared" si="17"/>
        <v>6.7457266449121299E-5</v>
      </c>
      <c r="R108" s="213">
        <f t="shared" si="25"/>
        <v>6745.7266449121298</v>
      </c>
      <c r="S108" s="213">
        <f>IF($F108="","",'הזנה לתנאי סף'!N108)</f>
        <v>0</v>
      </c>
      <c r="T108" s="213">
        <f>IF($F108="","",'הזנה לתנאי סף'!O108)</f>
        <v>1</v>
      </c>
      <c r="U108" s="213">
        <f>IF($F108="","",'תחום תמיכה א'!W108)</f>
        <v>0</v>
      </c>
      <c r="V108" s="213">
        <f>IF($F108="","",'תחום תמיכה א'!X108)</f>
        <v>0</v>
      </c>
      <c r="W108" s="213">
        <f>IF($F108="","",'תחום תמיכה א'!Y108)</f>
        <v>1</v>
      </c>
      <c r="X108" s="231">
        <f>IF($F108="","",'תחום תמיכה א'!Z108)</f>
        <v>0</v>
      </c>
      <c r="Y108" s="213" t="str">
        <f>IF($F108="","",'תחום תמיכה א'!AA108)</f>
        <v/>
      </c>
      <c r="Z108" s="214" t="str">
        <f>IF($F108="","",'תחום תמיכה א'!AB108)</f>
        <v/>
      </c>
      <c r="AA108" s="225" t="str">
        <f>IF($F108="","",'תחום תמיכה א'!AC108)</f>
        <v/>
      </c>
      <c r="AB108" s="213" t="str">
        <f t="shared" si="18"/>
        <v/>
      </c>
      <c r="AC108" s="213">
        <f t="shared" si="19"/>
        <v>6745.7266449121298</v>
      </c>
      <c r="AD108" s="214">
        <f t="shared" si="20"/>
        <v>6.7605310767440319E-5</v>
      </c>
      <c r="AE108" s="213">
        <f t="shared" si="23"/>
        <v>6947.9976108043538</v>
      </c>
      <c r="AF108" s="214">
        <f t="shared" si="21"/>
        <v>6.7605310767440333E-5</v>
      </c>
    </row>
    <row r="109" spans="1:32" ht="15.75" x14ac:dyDescent="0.2">
      <c r="A109" s="206">
        <f t="shared" si="22"/>
        <v>79</v>
      </c>
      <c r="B109" s="88">
        <f>IF($F109="","",'הזנה לתנאי סף'!C109)</f>
        <v>1001350540</v>
      </c>
      <c r="C109" s="88">
        <f>IF($F109="","",'הזנה לתנאי סף'!D109)</f>
        <v>1001274933</v>
      </c>
      <c r="D109" s="88">
        <f>IF($F109="","",'הזנה לתנאי סף'!E109)</f>
        <v>40000481</v>
      </c>
      <c r="E109" s="88">
        <f>IF($F109="","",'הזנה לתנאי סף'!F109)</f>
        <v>20000159</v>
      </c>
      <c r="F109" s="88" t="str">
        <f>IF(OR('הזנה לתנאי סף'!G109="",'הזנה לתנאי סף'!BL109&lt;&gt;1,'הזנה לתנאי סף'!Q109&lt;&gt;1),"",'הזנה לתנאי סף'!G109)</f>
        <v>ירושלים</v>
      </c>
      <c r="G109" s="88" t="str">
        <f>IF($F109="","",'הזנה לתנאי סף'!H109)</f>
        <v>התזמורת הסימפונית ירושלים</v>
      </c>
      <c r="H109" s="88" t="str">
        <f>IF($F109="","",'הזנה לתנאי סף'!I109)</f>
        <v>מוסיקה-גופים כליים</v>
      </c>
      <c r="I109" s="213">
        <f>IF($F109="","",'תחום תמיכה א'!$I109)</f>
        <v>8359143</v>
      </c>
      <c r="J109" s="213">
        <f>IF($F109="","",'תחום תמיכה א'!$J109)</f>
        <v>2968587</v>
      </c>
      <c r="K109" s="213">
        <f>IF($F109="","",'תחום תמיכה א'!$K109)</f>
        <v>0</v>
      </c>
      <c r="L109" s="213">
        <f t="shared" si="14"/>
        <v>11327730</v>
      </c>
      <c r="M109" s="214">
        <f t="shared" si="15"/>
        <v>0.73793628555765367</v>
      </c>
      <c r="N109" s="214">
        <f t="shared" si="24"/>
        <v>0.26206371444234633</v>
      </c>
      <c r="O109" s="213">
        <f t="shared" si="16"/>
        <v>777958.93586526159</v>
      </c>
      <c r="P109" s="213">
        <f>IF($F109="","",'פרמטרים לקריטריונים'!$C$59*O109)</f>
        <v>233387.68075957848</v>
      </c>
      <c r="Q109" s="214">
        <f t="shared" si="17"/>
        <v>1.3259431519267919E-3</v>
      </c>
      <c r="R109" s="213">
        <f t="shared" si="25"/>
        <v>132594.31519267918</v>
      </c>
      <c r="S109" s="213">
        <f>IF($F109="","",'הזנה לתנאי סף'!N109)</f>
        <v>1</v>
      </c>
      <c r="T109" s="213">
        <f>IF($F109="","",'הזנה לתנאי סף'!O109)</f>
        <v>1</v>
      </c>
      <c r="U109" s="213">
        <f>IF($F109="","",'תחום תמיכה א'!W109)</f>
        <v>0</v>
      </c>
      <c r="V109" s="213">
        <f>IF($F109="","",'תחום תמיכה א'!X109)</f>
        <v>0</v>
      </c>
      <c r="W109" s="213">
        <f>IF($F109="","",'תחום תמיכה א'!Y109)</f>
        <v>0</v>
      </c>
      <c r="X109" s="231" t="str">
        <f>IF($F109="","",'תחום תמיכה א'!Z109)</f>
        <v>בדוק נתוני הזנה</v>
      </c>
      <c r="Y109" s="213" t="str">
        <f>IF($F109="","",'תחום תמיכה א'!AA109)</f>
        <v>בדוק נתוני הזנה</v>
      </c>
      <c r="Z109" s="214">
        <f>IF($F109="","",'תחום תמיכה א'!AB109)</f>
        <v>1</v>
      </c>
      <c r="AA109" s="225" t="str">
        <f>IF($F109="","",'תחום תמיכה א'!AC109)</f>
        <v/>
      </c>
      <c r="AB109" s="213" t="str">
        <f t="shared" si="18"/>
        <v/>
      </c>
      <c r="AC109" s="213">
        <f t="shared" si="19"/>
        <v>132594.31519267918</v>
      </c>
      <c r="AD109" s="214">
        <f t="shared" si="20"/>
        <v>1.328853117900655E-3</v>
      </c>
      <c r="AE109" s="213">
        <f t="shared" si="23"/>
        <v>136570.16266139774</v>
      </c>
      <c r="AF109" s="214">
        <f t="shared" si="21"/>
        <v>1.3288531179006554E-3</v>
      </c>
    </row>
    <row r="110" spans="1:32" ht="15.75" x14ac:dyDescent="0.2">
      <c r="A110" s="206">
        <f t="shared" si="22"/>
        <v>80</v>
      </c>
      <c r="B110" s="88">
        <f>IF($F110="","",'הזנה לתנאי סף'!C110)</f>
        <v>1001351066</v>
      </c>
      <c r="C110" s="88">
        <f>IF($F110="","",'הזנה לתנאי סף'!D110)</f>
        <v>1001274404</v>
      </c>
      <c r="D110" s="88">
        <f>IF($F110="","",'הזנה לתנאי סף'!E110)</f>
        <v>40216097</v>
      </c>
      <c r="E110" s="88">
        <f>IF($F110="","",'הזנה לתנאי סף'!F110)</f>
        <v>20000201</v>
      </c>
      <c r="F110" s="88" t="str">
        <f>IF(OR('הזנה לתנאי סף'!G110="",'הזנה לתנאי סף'!BL110&lt;&gt;1,'הזנה לתנאי סף'!Q110&lt;&gt;1),"",'הזנה לתנאי סף'!G110)</f>
        <v>תל אביב -יפו</v>
      </c>
      <c r="G110" s="88" t="str">
        <f>IF($F110="","",'הזנה לתנאי סף'!H110)</f>
        <v>אנסמבל סולני ת"א</v>
      </c>
      <c r="H110" s="88" t="str">
        <f>IF($F110="","",'הזנה לתנאי סף'!I110)</f>
        <v>קבוצות מוסיקה</v>
      </c>
      <c r="I110" s="213">
        <f>IF($F110="","",'תחום תמיכה א'!$I110)</f>
        <v>733812</v>
      </c>
      <c r="J110" s="213">
        <f>IF($F110="","",'תחום תמיכה א'!$J110)</f>
        <v>487346</v>
      </c>
      <c r="K110" s="213">
        <f>IF($F110="","",'תחום תמיכה א'!$K110)</f>
        <v>0</v>
      </c>
      <c r="L110" s="213">
        <f t="shared" si="14"/>
        <v>1221158</v>
      </c>
      <c r="M110" s="214">
        <f t="shared" si="15"/>
        <v>0.60091486932894844</v>
      </c>
      <c r="N110" s="214">
        <f t="shared" si="24"/>
        <v>0.39908513067105156</v>
      </c>
      <c r="O110" s="213">
        <f t="shared" si="16"/>
        <v>194492.54209201428</v>
      </c>
      <c r="P110" s="213">
        <f>IF($F110="","",'פרמטרים לקריטריונים'!$C$59*O110)</f>
        <v>58347.762627604279</v>
      </c>
      <c r="Q110" s="214">
        <f t="shared" si="17"/>
        <v>3.3149057411483237E-4</v>
      </c>
      <c r="R110" s="213">
        <f t="shared" si="25"/>
        <v>33149.057411483234</v>
      </c>
      <c r="S110" s="213">
        <f>IF($F110="","",'הזנה לתנאי סף'!N110)</f>
        <v>1</v>
      </c>
      <c r="T110" s="213">
        <f>IF($F110="","",'הזנה לתנאי סף'!O110)</f>
        <v>1</v>
      </c>
      <c r="U110" s="213">
        <f>IF($F110="","",'תחום תמיכה א'!W110)</f>
        <v>0</v>
      </c>
      <c r="V110" s="213">
        <f>IF($F110="","",'תחום תמיכה א'!X110)</f>
        <v>0</v>
      </c>
      <c r="W110" s="213">
        <f>IF($F110="","",'תחום תמיכה א'!Y110)</f>
        <v>0</v>
      </c>
      <c r="X110" s="231" t="str">
        <f>IF($F110="","",'תחום תמיכה א'!Z110)</f>
        <v>בדוק נתוני הזנה</v>
      </c>
      <c r="Y110" s="213" t="str">
        <f>IF($F110="","",'תחום תמיכה א'!AA110)</f>
        <v>בדוק נתוני הזנה</v>
      </c>
      <c r="Z110" s="214">
        <f>IF($F110="","",'תחום תמיכה א'!AB110)</f>
        <v>1</v>
      </c>
      <c r="AA110" s="225" t="str">
        <f>IF($F110="","",'תחום תמיכה א'!AC110)</f>
        <v/>
      </c>
      <c r="AB110" s="213" t="str">
        <f t="shared" si="18"/>
        <v/>
      </c>
      <c r="AC110" s="213">
        <f t="shared" si="19"/>
        <v>33149.057411483234</v>
      </c>
      <c r="AD110" s="214">
        <f t="shared" si="20"/>
        <v>3.322180761121305E-4</v>
      </c>
      <c r="AE110" s="213">
        <f t="shared" si="23"/>
        <v>34143.033629908088</v>
      </c>
      <c r="AF110" s="214">
        <f t="shared" si="21"/>
        <v>3.3221807611213061E-4</v>
      </c>
    </row>
    <row r="111" spans="1:32" ht="15.75" x14ac:dyDescent="0.2">
      <c r="A111" s="206">
        <f t="shared" si="22"/>
        <v>81</v>
      </c>
      <c r="B111" s="88">
        <f>IF($F111="","",'הזנה לתנאי סף'!C111)</f>
        <v>1001348972</v>
      </c>
      <c r="C111" s="88">
        <f>IF($F111="","",'הזנה לתנאי סף'!D111)</f>
        <v>1001288922</v>
      </c>
      <c r="D111" s="88">
        <f>IF($F111="","",'הזנה לתנאי סף'!E111)</f>
        <v>40216100</v>
      </c>
      <c r="E111" s="88">
        <f>IF($F111="","",'הזנה לתנאי סף'!F111)</f>
        <v>20000201</v>
      </c>
      <c r="F111" s="88" t="str">
        <f>IF(OR('הזנה לתנאי סף'!G111="",'הזנה לתנאי סף'!BL111&lt;&gt;1,'הזנה לתנאי סף'!Q111&lt;&gt;1),"",'הזנה לתנאי סף'!G111)</f>
        <v>תל אביב -יפו</v>
      </c>
      <c r="G111" s="88" t="str">
        <f>IF($F111="","",'הזנה לתנאי סף'!H111)</f>
        <v>אורתו-דה</v>
      </c>
      <c r="H111" s="88" t="str">
        <f>IF($F111="","",'הזנה לתנאי סף'!I111)</f>
        <v>קבוצות תיאטרון</v>
      </c>
      <c r="I111" s="213">
        <f>IF($F111="","",'תחום תמיכה א'!$I111)</f>
        <v>745117</v>
      </c>
      <c r="J111" s="213">
        <f>IF($F111="","",'תחום תמיכה א'!$J111)</f>
        <v>1115793</v>
      </c>
      <c r="K111" s="213">
        <f>IF($F111="","",'תחום תמיכה א'!$K111)</f>
        <v>0</v>
      </c>
      <c r="L111" s="213">
        <f t="shared" si="14"/>
        <v>1860910</v>
      </c>
      <c r="M111" s="214">
        <f t="shared" si="15"/>
        <v>0.40040464074028298</v>
      </c>
      <c r="N111" s="214">
        <f t="shared" si="24"/>
        <v>0.59959535925971696</v>
      </c>
      <c r="O111" s="213">
        <f t="shared" si="16"/>
        <v>669024.30469447735</v>
      </c>
      <c r="P111" s="213">
        <f>IF($F111="","",'פרמטרים לקריטריונים'!$C$59*O111)</f>
        <v>200707.29140834321</v>
      </c>
      <c r="Q111" s="214">
        <f t="shared" si="17"/>
        <v>1.14027637499348E-3</v>
      </c>
      <c r="R111" s="213">
        <f t="shared" si="25"/>
        <v>114027.637499348</v>
      </c>
      <c r="S111" s="213">
        <f>IF($F111="","",'הזנה לתנאי סף'!N111)</f>
        <v>1</v>
      </c>
      <c r="T111" s="213">
        <f>IF($F111="","",'הזנה לתנאי סף'!O111)</f>
        <v>1</v>
      </c>
      <c r="U111" s="213">
        <f>IF($F111="","",'תחום תמיכה א'!W111)</f>
        <v>0</v>
      </c>
      <c r="V111" s="213">
        <f>IF($F111="","",'תחום תמיכה א'!X111)</f>
        <v>0</v>
      </c>
      <c r="W111" s="213">
        <f>IF($F111="","",'תחום תמיכה א'!Y111)</f>
        <v>0</v>
      </c>
      <c r="X111" s="231" t="str">
        <f>IF($F111="","",'תחום תמיכה א'!Z111)</f>
        <v>בדוק נתוני הזנה</v>
      </c>
      <c r="Y111" s="213" t="str">
        <f>IF($F111="","",'תחום תמיכה א'!AA111)</f>
        <v>בדוק נתוני הזנה</v>
      </c>
      <c r="Z111" s="214">
        <f>IF($F111="","",'תחום תמיכה א'!AB111)</f>
        <v>0</v>
      </c>
      <c r="AA111" s="225" t="str">
        <f>IF($F111="","",'תחום תמיכה א'!AC111)</f>
        <v/>
      </c>
      <c r="AB111" s="213" t="str">
        <f t="shared" si="18"/>
        <v/>
      </c>
      <c r="AC111" s="213">
        <f t="shared" si="19"/>
        <v>114027.637499348</v>
      </c>
      <c r="AD111" s="214">
        <f t="shared" si="20"/>
        <v>1.1427788694987756E-3</v>
      </c>
      <c r="AE111" s="213">
        <f t="shared" si="23"/>
        <v>117446.7621673773</v>
      </c>
      <c r="AF111" s="214">
        <f t="shared" si="21"/>
        <v>1.142778869498776E-3</v>
      </c>
    </row>
    <row r="112" spans="1:32" ht="15.75" x14ac:dyDescent="0.2">
      <c r="A112" s="206">
        <f t="shared" si="22"/>
        <v>82</v>
      </c>
      <c r="B112" s="88">
        <f>IF($F112="","",'הזנה לתנאי סף'!C112)</f>
        <v>1001347046</v>
      </c>
      <c r="C112" s="88">
        <f>IF($F112="","",'הזנה לתנאי סף'!D112)</f>
        <v>1001277747</v>
      </c>
      <c r="D112" s="88">
        <f>IF($F112="","",'הזנה לתנאי סף'!E112)</f>
        <v>40216106</v>
      </c>
      <c r="E112" s="88">
        <f>IF($F112="","",'הזנה לתנאי סף'!F112)</f>
        <v>20000201</v>
      </c>
      <c r="F112" s="88" t="str">
        <f>IF(OR('הזנה לתנאי סף'!G112="",'הזנה לתנאי סף'!BL112&lt;&gt;1,'הזנה לתנאי סף'!Q112&lt;&gt;1),"",'הזנה לתנאי סף'!G112)</f>
        <v>תל אביב -יפו</v>
      </c>
      <c r="G112" s="88" t="str">
        <f>IF($F112="","",'הזנה לתנאי סף'!H112)</f>
        <v>העמותה לקידום תרבות הפלמנקו בישראל</v>
      </c>
      <c r="H112" s="88" t="str">
        <f>IF($F112="","",'הזנה לתנאי סף'!I112)</f>
        <v>מחול</v>
      </c>
      <c r="I112" s="213">
        <f>IF($F112="","",'תחום תמיכה א'!$I112)</f>
        <v>673323</v>
      </c>
      <c r="J112" s="213">
        <f>IF($F112="","",'תחום תמיכה א'!$J112)</f>
        <v>1029515</v>
      </c>
      <c r="K112" s="213">
        <f>IF($F112="","",'תחום תמיכה א'!$K112)</f>
        <v>0</v>
      </c>
      <c r="L112" s="213">
        <f t="shared" si="14"/>
        <v>1702838</v>
      </c>
      <c r="M112" s="214">
        <f t="shared" si="15"/>
        <v>0.3954122470839857</v>
      </c>
      <c r="N112" s="214">
        <f t="shared" si="24"/>
        <v>0.6045877529160143</v>
      </c>
      <c r="O112" s="213">
        <f t="shared" si="16"/>
        <v>622432.16044333042</v>
      </c>
      <c r="P112" s="213">
        <f>IF($F112="","",'פרמטרים לקריטריונים'!$C$59*O112)</f>
        <v>186729.64813299911</v>
      </c>
      <c r="Q112" s="214">
        <f t="shared" si="17"/>
        <v>1.0608653267294964E-3</v>
      </c>
      <c r="R112" s="213">
        <f t="shared" si="25"/>
        <v>106086.53267294963</v>
      </c>
      <c r="S112" s="213">
        <f>IF($F112="","",'הזנה לתנאי סף'!N112)</f>
        <v>1</v>
      </c>
      <c r="T112" s="213">
        <f>IF($F112="","",'הזנה לתנאי סף'!O112)</f>
        <v>1</v>
      </c>
      <c r="U112" s="213">
        <f>IF($F112="","",'תחום תמיכה א'!W112)</f>
        <v>0</v>
      </c>
      <c r="V112" s="213">
        <f>IF($F112="","",'תחום תמיכה א'!X112)</f>
        <v>0</v>
      </c>
      <c r="W112" s="213">
        <f>IF($F112="","",'תחום תמיכה א'!Y112)</f>
        <v>0</v>
      </c>
      <c r="X112" s="231" t="str">
        <f>IF($F112="","",'תחום תמיכה א'!Z112)</f>
        <v>בדוק נתוני הזנה</v>
      </c>
      <c r="Y112" s="213" t="str">
        <f>IF($F112="","",'תחום תמיכה א'!AA112)</f>
        <v>בדוק נתוני הזנה</v>
      </c>
      <c r="Z112" s="214">
        <f>IF($F112="","",'תחום תמיכה א'!AB112)</f>
        <v>0</v>
      </c>
      <c r="AA112" s="225" t="str">
        <f>IF($F112="","",'תחום תמיכה א'!AC112)</f>
        <v/>
      </c>
      <c r="AB112" s="213" t="str">
        <f t="shared" si="18"/>
        <v/>
      </c>
      <c r="AC112" s="213">
        <f t="shared" si="19"/>
        <v>106086.53267294963</v>
      </c>
      <c r="AD112" s="214">
        <f t="shared" si="20"/>
        <v>1.0631935426859257E-3</v>
      </c>
      <c r="AE112" s="213">
        <f t="shared" si="23"/>
        <v>109267.54289785981</v>
      </c>
      <c r="AF112" s="214">
        <f t="shared" si="21"/>
        <v>1.063193542685926E-3</v>
      </c>
    </row>
    <row r="113" spans="1:32" ht="15.75" x14ac:dyDescent="0.2">
      <c r="A113" s="206">
        <f t="shared" si="22"/>
        <v>83</v>
      </c>
      <c r="B113" s="88">
        <f>IF($F113="","",'הזנה לתנאי סף'!C113)</f>
        <v>1001346702</v>
      </c>
      <c r="C113" s="88">
        <f>IF($F113="","",'הזנה לתנאי סף'!D113)</f>
        <v>1001277088</v>
      </c>
      <c r="D113" s="88">
        <f>IF($F113="","",'הזנה לתנאי סף'!E113)</f>
        <v>40221541</v>
      </c>
      <c r="E113" s="88">
        <f>IF($F113="","",'הזנה לתנאי סף'!F113)</f>
        <v>20000201</v>
      </c>
      <c r="F113" s="88" t="str">
        <f>IF(OR('הזנה לתנאי סף'!G113="",'הזנה לתנאי סף'!BL113&lt;&gt;1,'הזנה לתנאי סף'!Q113&lt;&gt;1),"",'הזנה לתנאי סף'!G113)</f>
        <v>תל אביב -יפו</v>
      </c>
      <c r="G113" s="88" t="str">
        <f>IF($F113="","",'הזנה לתנאי סף'!H113)</f>
        <v>מרכז פליציה בלומנטל למוזיקה</v>
      </c>
      <c r="H113" s="88" t="str">
        <f>IF($F113="","",'הזנה לתנאי סף'!I113)</f>
        <v>אופרה</v>
      </c>
      <c r="I113" s="213">
        <f>IF($F113="","",'תחום תמיכה א'!$I113)</f>
        <v>120000</v>
      </c>
      <c r="J113" s="213">
        <f>IF($F113="","",'תחום תמיכה א'!$J113)</f>
        <v>42910</v>
      </c>
      <c r="K113" s="213">
        <f>IF($F113="","",'תחום תמיכה א'!$K113)</f>
        <v>0</v>
      </c>
      <c r="L113" s="213">
        <f t="shared" si="14"/>
        <v>162910</v>
      </c>
      <c r="M113" s="214">
        <f t="shared" si="15"/>
        <v>0.73660303234914981</v>
      </c>
      <c r="N113" s="214">
        <f t="shared" si="24"/>
        <v>0.26339696765085019</v>
      </c>
      <c r="O113" s="213">
        <f t="shared" si="16"/>
        <v>11302.363881897982</v>
      </c>
      <c r="P113" s="213">
        <f>IF($F113="","",'פרמטרים לקריטריונים'!$C$59*O113)</f>
        <v>3390.7091645693945</v>
      </c>
      <c r="Q113" s="214">
        <f t="shared" si="17"/>
        <v>1.9263602870142864E-5</v>
      </c>
      <c r="R113" s="213">
        <f t="shared" si="25"/>
        <v>1926.3602870142863</v>
      </c>
      <c r="S113" s="213">
        <f>IF($F113="","",'הזנה לתנאי סף'!N113)</f>
        <v>0</v>
      </c>
      <c r="T113" s="213">
        <f>IF($F113="","",'הזנה לתנאי סף'!O113)</f>
        <v>1</v>
      </c>
      <c r="U113" s="213">
        <f>IF($F113="","",'תחום תמיכה א'!W113)</f>
        <v>0</v>
      </c>
      <c r="V113" s="213">
        <f>IF($F113="","",'תחום תמיכה א'!X113)</f>
        <v>0</v>
      </c>
      <c r="W113" s="213">
        <f>IF($F113="","",'תחום תמיכה א'!Y113)</f>
        <v>1</v>
      </c>
      <c r="X113" s="231">
        <f>IF($F113="","",'תחום תמיכה א'!Z113)</f>
        <v>0</v>
      </c>
      <c r="Y113" s="213" t="str">
        <f>IF($F113="","",'תחום תמיכה א'!AA113)</f>
        <v/>
      </c>
      <c r="Z113" s="214" t="str">
        <f>IF($F113="","",'תחום תמיכה א'!AB113)</f>
        <v/>
      </c>
      <c r="AA113" s="225" t="str">
        <f>IF($F113="","",'תחום תמיכה א'!AC113)</f>
        <v/>
      </c>
      <c r="AB113" s="213" t="str">
        <f t="shared" si="18"/>
        <v/>
      </c>
      <c r="AC113" s="213">
        <f t="shared" si="19"/>
        <v>1926.3602870142863</v>
      </c>
      <c r="AD113" s="214">
        <f t="shared" si="20"/>
        <v>1.930587951586834E-5</v>
      </c>
      <c r="AE113" s="213">
        <f t="shared" si="23"/>
        <v>1984.1223008671138</v>
      </c>
      <c r="AF113" s="214">
        <f t="shared" si="21"/>
        <v>1.9305879515868344E-5</v>
      </c>
    </row>
    <row r="114" spans="1:32" ht="15.75" x14ac:dyDescent="0.2">
      <c r="A114" s="206">
        <f t="shared" si="22"/>
        <v>84</v>
      </c>
      <c r="B114" s="88">
        <f>IF($F114="","",'הזנה לתנאי סף'!C114)</f>
        <v>1001346704</v>
      </c>
      <c r="C114" s="88">
        <f>IF($F114="","",'הזנה לתנאי סף'!D114)</f>
        <v>1001277175</v>
      </c>
      <c r="D114" s="88">
        <f>IF($F114="","",'הזנה לתנאי סף'!E114)</f>
        <v>40221541</v>
      </c>
      <c r="E114" s="88">
        <f>IF($F114="","",'הזנה לתנאי סף'!F114)</f>
        <v>20000201</v>
      </c>
      <c r="F114" s="88" t="str">
        <f>IF(OR('הזנה לתנאי סף'!G114="",'הזנה לתנאי סף'!BL114&lt;&gt;1,'הזנה לתנאי סף'!Q114&lt;&gt;1),"",'הזנה לתנאי סף'!G114)</f>
        <v>תל אביב -יפו</v>
      </c>
      <c r="G114" s="88" t="str">
        <f>IF($F114="","",'הזנה לתנאי סף'!H114)</f>
        <v>מרכז פליציה בלומנטל למוזיקה</v>
      </c>
      <c r="H114" s="88" t="str">
        <f>IF($F114="","",'הזנה לתנאי סף'!I114)</f>
        <v>קבוצות מוסיקה</v>
      </c>
      <c r="I114" s="213">
        <f>IF($F114="","",'תחום תמיכה א'!$I114)</f>
        <v>60000</v>
      </c>
      <c r="J114" s="213">
        <f>IF($F114="","",'תחום תמיכה א'!$J114)</f>
        <v>74905</v>
      </c>
      <c r="K114" s="213">
        <f>IF($F114="","",'תחום תמיכה א'!$K114)</f>
        <v>0</v>
      </c>
      <c r="L114" s="213">
        <f t="shared" si="14"/>
        <v>134905</v>
      </c>
      <c r="M114" s="214">
        <f t="shared" si="15"/>
        <v>0.44475742188947776</v>
      </c>
      <c r="N114" s="214">
        <f t="shared" si="24"/>
        <v>0.55524257811052224</v>
      </c>
      <c r="O114" s="213">
        <f t="shared" si="16"/>
        <v>41590.445313368669</v>
      </c>
      <c r="P114" s="213">
        <f>IF($F114="","",'פרמטרים לקריטריונים'!$C$59*O114)</f>
        <v>12477.1335940106</v>
      </c>
      <c r="Q114" s="214">
        <f t="shared" si="17"/>
        <v>7.0886217262241223E-5</v>
      </c>
      <c r="R114" s="213">
        <f t="shared" si="25"/>
        <v>7088.6217262241225</v>
      </c>
      <c r="S114" s="213">
        <f>IF($F114="","",'הזנה לתנאי סף'!N114)</f>
        <v>0</v>
      </c>
      <c r="T114" s="213">
        <f>IF($F114="","",'הזנה לתנאי סף'!O114)</f>
        <v>1</v>
      </c>
      <c r="U114" s="213">
        <f>IF($F114="","",'תחום תמיכה א'!W114)</f>
        <v>0</v>
      </c>
      <c r="V114" s="213">
        <f>IF($F114="","",'תחום תמיכה א'!X114)</f>
        <v>0</v>
      </c>
      <c r="W114" s="213">
        <f>IF($F114="","",'תחום תמיכה א'!Y114)</f>
        <v>1</v>
      </c>
      <c r="X114" s="231">
        <f>IF($F114="","",'תחום תמיכה א'!Z114)</f>
        <v>0</v>
      </c>
      <c r="Y114" s="213" t="str">
        <f>IF($F114="","",'תחום תמיכה א'!AA114)</f>
        <v/>
      </c>
      <c r="Z114" s="214" t="str">
        <f>IF($F114="","",'תחום תמיכה א'!AB114)</f>
        <v/>
      </c>
      <c r="AA114" s="225" t="str">
        <f>IF($F114="","",'תחום תמיכה א'!AC114)</f>
        <v/>
      </c>
      <c r="AB114" s="213" t="str">
        <f t="shared" si="18"/>
        <v/>
      </c>
      <c r="AC114" s="213">
        <f t="shared" si="19"/>
        <v>7088.6217262241225</v>
      </c>
      <c r="AD114" s="214">
        <f t="shared" si="20"/>
        <v>7.1041786888246118E-5</v>
      </c>
      <c r="AE114" s="213">
        <f t="shared" si="23"/>
        <v>7301.1744190447544</v>
      </c>
      <c r="AF114" s="214">
        <f t="shared" si="21"/>
        <v>7.1041786888246131E-5</v>
      </c>
    </row>
    <row r="115" spans="1:32" ht="15.75" x14ac:dyDescent="0.2">
      <c r="A115" s="206">
        <f t="shared" si="22"/>
        <v>85</v>
      </c>
      <c r="B115" s="88">
        <f>IF($F115="","",'הזנה לתנאי סף'!C115)</f>
        <v>1001346707</v>
      </c>
      <c r="C115" s="88">
        <f>IF($F115="","",'הזנה לתנאי סף'!D115)</f>
        <v>1001277143</v>
      </c>
      <c r="D115" s="88">
        <f>IF($F115="","",'הזנה לתנאי סף'!E115)</f>
        <v>40221541</v>
      </c>
      <c r="E115" s="88">
        <f>IF($F115="","",'הזנה לתנאי סף'!F115)</f>
        <v>20000201</v>
      </c>
      <c r="F115" s="88" t="str">
        <f>IF(OR('הזנה לתנאי סף'!G115="",'הזנה לתנאי סף'!BL115&lt;&gt;1,'הזנה לתנאי סף'!Q115&lt;&gt;1),"",'הזנה לתנאי סף'!G115)</f>
        <v>תל אביב -יפו</v>
      </c>
      <c r="G115" s="88" t="str">
        <f>IF($F115="","",'הזנה לתנאי סף'!H115)</f>
        <v>מרכז פליציה בלומנטל למוזיקה</v>
      </c>
      <c r="H115" s="88" t="str">
        <f>IF($F115="","",'הזנה לתנאי סף'!I115)</f>
        <v>סינמטקים ופסטיבלים</v>
      </c>
      <c r="I115" s="213">
        <f>IF($F115="","",'תחום תמיכה א'!$I115)</f>
        <v>82000</v>
      </c>
      <c r="J115" s="213">
        <f>IF($F115="","",'תחום תמיכה א'!$J115)</f>
        <v>65730</v>
      </c>
      <c r="K115" s="213">
        <f>IF($F115="","",'תחום תמיכה א'!$K115)</f>
        <v>0</v>
      </c>
      <c r="L115" s="213">
        <f t="shared" si="14"/>
        <v>147730</v>
      </c>
      <c r="M115" s="214">
        <f t="shared" si="15"/>
        <v>0.55506667569214108</v>
      </c>
      <c r="N115" s="214">
        <f t="shared" si="24"/>
        <v>0.44493332430785892</v>
      </c>
      <c r="O115" s="213">
        <f t="shared" si="16"/>
        <v>29245.467406755568</v>
      </c>
      <c r="P115" s="213">
        <f>IF($F115="","",'פרמטרים לקריטריונים'!$C$59*O115)</f>
        <v>8773.64022202667</v>
      </c>
      <c r="Q115" s="214">
        <f t="shared" si="17"/>
        <v>4.9845596528506036E-5</v>
      </c>
      <c r="R115" s="213">
        <f t="shared" si="25"/>
        <v>4984.5596528506039</v>
      </c>
      <c r="S115" s="213">
        <f>IF($F115="","",'הזנה לתנאי סף'!N115)</f>
        <v>1</v>
      </c>
      <c r="T115" s="213">
        <f>IF($F115="","",'הזנה לתנאי סף'!O115)</f>
        <v>1</v>
      </c>
      <c r="U115" s="213">
        <f>IF($F115="","",'תחום תמיכה א'!W115)</f>
        <v>0</v>
      </c>
      <c r="V115" s="213">
        <f>IF($F115="","",'תחום תמיכה א'!X115)</f>
        <v>0</v>
      </c>
      <c r="W115" s="213">
        <f>IF($F115="","",'תחום תמיכה א'!Y115)</f>
        <v>0</v>
      </c>
      <c r="X115" s="231" t="str">
        <f>IF($F115="","",'תחום תמיכה א'!Z115)</f>
        <v>בדוק נתוני הזנה</v>
      </c>
      <c r="Y115" s="213" t="str">
        <f>IF($F115="","",'תחום תמיכה א'!AA115)</f>
        <v>בדוק נתוני הזנה</v>
      </c>
      <c r="Z115" s="214">
        <f>IF($F115="","",'תחום תמיכה א'!AB115)</f>
        <v>0</v>
      </c>
      <c r="AA115" s="225" t="str">
        <f>IF($F115="","",'תחום תמיכה א'!AC115)</f>
        <v/>
      </c>
      <c r="AB115" s="213" t="str">
        <f t="shared" si="18"/>
        <v/>
      </c>
      <c r="AC115" s="213">
        <f t="shared" si="19"/>
        <v>4984.5596528506039</v>
      </c>
      <c r="AD115" s="214">
        <f t="shared" si="20"/>
        <v>4.9954989596854477E-5</v>
      </c>
      <c r="AE115" s="213">
        <f t="shared" si="23"/>
        <v>5134.0219344700272</v>
      </c>
      <c r="AF115" s="214">
        <f t="shared" si="21"/>
        <v>4.995498959685449E-5</v>
      </c>
    </row>
    <row r="116" spans="1:32" ht="15.75" x14ac:dyDescent="0.2">
      <c r="A116" s="206">
        <f t="shared" si="22"/>
        <v>86</v>
      </c>
      <c r="B116" s="88">
        <f>IF($F116="","",'הזנה לתנאי סף'!C116)</f>
        <v>1001346708</v>
      </c>
      <c r="C116" s="88">
        <f>IF($F116="","",'הזנה לתנאי סף'!D116)</f>
        <v>1001277166</v>
      </c>
      <c r="D116" s="88">
        <f>IF($F116="","",'הזנה לתנאי סף'!E116)</f>
        <v>40221541</v>
      </c>
      <c r="E116" s="88">
        <f>IF($F116="","",'הזנה לתנאי סף'!F116)</f>
        <v>20000201</v>
      </c>
      <c r="F116" s="88" t="str">
        <f>IF(OR('הזנה לתנאי סף'!G116="",'הזנה לתנאי סף'!BL116&lt;&gt;1,'הזנה לתנאי סף'!Q116&lt;&gt;1),"",'הזנה לתנאי סף'!G116)</f>
        <v>תל אביב -יפו</v>
      </c>
      <c r="G116" s="88" t="str">
        <f>IF($F116="","",'הזנה לתנאי סף'!H116)</f>
        <v>מרכז פליציה בלומנטל למוזיקה</v>
      </c>
      <c r="H116" s="88" t="str">
        <f>IF($F116="","",'הזנה לתנאי סף'!I116)</f>
        <v>מוסיקה-גופים כליים</v>
      </c>
      <c r="I116" s="213">
        <f>IF($F116="","",'תחום תמיכה א'!$I116)</f>
        <v>161960</v>
      </c>
      <c r="J116" s="213">
        <f>IF($F116="","",'תחום תמיכה א'!$J116)</f>
        <v>211212</v>
      </c>
      <c r="K116" s="213">
        <f>IF($F116="","",'תחום תמיכה א'!$K116)</f>
        <v>0</v>
      </c>
      <c r="L116" s="213">
        <f t="shared" si="14"/>
        <v>373172</v>
      </c>
      <c r="M116" s="214">
        <f t="shared" si="15"/>
        <v>0.43400898245313152</v>
      </c>
      <c r="N116" s="214">
        <f t="shared" si="24"/>
        <v>0.56599101754686854</v>
      </c>
      <c r="O116" s="213">
        <f t="shared" si="16"/>
        <v>119544.0947981092</v>
      </c>
      <c r="P116" s="213">
        <f>IF($F116="","",'פרמטרים לקריטריונים'!$C$59*O116)</f>
        <v>35863.228439432758</v>
      </c>
      <c r="Q116" s="214">
        <f t="shared" si="17"/>
        <v>2.0374940956818444E-4</v>
      </c>
      <c r="R116" s="213">
        <f t="shared" si="25"/>
        <v>20374.940956818446</v>
      </c>
      <c r="S116" s="213">
        <f>IF($F116="","",'הזנה לתנאי סף'!N116)</f>
        <v>0</v>
      </c>
      <c r="T116" s="213">
        <f>IF($F116="","",'הזנה לתנאי סף'!O116)</f>
        <v>1</v>
      </c>
      <c r="U116" s="213">
        <f>IF($F116="","",'תחום תמיכה א'!W116)</f>
        <v>0</v>
      </c>
      <c r="V116" s="213">
        <f>IF($F116="","",'תחום תמיכה א'!X116)</f>
        <v>0</v>
      </c>
      <c r="W116" s="213">
        <f>IF($F116="","",'תחום תמיכה א'!Y116)</f>
        <v>1</v>
      </c>
      <c r="X116" s="231">
        <f>IF($F116="","",'תחום תמיכה א'!Z116)</f>
        <v>0</v>
      </c>
      <c r="Y116" s="213" t="str">
        <f>IF($F116="","",'תחום תמיכה א'!AA116)</f>
        <v/>
      </c>
      <c r="Z116" s="214" t="str">
        <f>IF($F116="","",'תחום תמיכה א'!AB116)</f>
        <v/>
      </c>
      <c r="AA116" s="225" t="str">
        <f>IF($F116="","",'תחום תמיכה א'!AC116)</f>
        <v/>
      </c>
      <c r="AB116" s="213" t="str">
        <f t="shared" si="18"/>
        <v/>
      </c>
      <c r="AC116" s="213">
        <f t="shared" si="19"/>
        <v>20374.940956818446</v>
      </c>
      <c r="AD116" s="214">
        <f t="shared" si="20"/>
        <v>2.0419656587965723E-4</v>
      </c>
      <c r="AE116" s="213">
        <f t="shared" si="23"/>
        <v>20985.88462593986</v>
      </c>
      <c r="AF116" s="214">
        <f t="shared" si="21"/>
        <v>2.0419656587965725E-4</v>
      </c>
    </row>
    <row r="117" spans="1:32" ht="15.75" x14ac:dyDescent="0.2">
      <c r="A117" s="206">
        <f t="shared" si="22"/>
        <v>87</v>
      </c>
      <c r="B117" s="88">
        <f>IF($F117="","",'הזנה לתנאי סף'!C117)</f>
        <v>1001346709</v>
      </c>
      <c r="C117" s="88">
        <f>IF($F117="","",'הזנה לתנאי סף'!D117)</f>
        <v>1001277179</v>
      </c>
      <c r="D117" s="88">
        <f>IF($F117="","",'הזנה לתנאי סף'!E117)</f>
        <v>40221541</v>
      </c>
      <c r="E117" s="88">
        <f>IF($F117="","",'הזנה לתנאי סף'!F117)</f>
        <v>20000201</v>
      </c>
      <c r="F117" s="88" t="str">
        <f>IF(OR('הזנה לתנאי סף'!G117="",'הזנה לתנאי סף'!BL117&lt;&gt;1,'הזנה לתנאי סף'!Q117&lt;&gt;1),"",'הזנה לתנאי סף'!G117)</f>
        <v>תל אביב -יפו</v>
      </c>
      <c r="G117" s="88" t="str">
        <f>IF($F117="","",'הזנה לתנאי סף'!H117)</f>
        <v>מרכז פליציה בלומנטל למוזיקה</v>
      </c>
      <c r="H117" s="88" t="str">
        <f>IF($F117="","",'הזנה לתנאי סף'!I117)</f>
        <v>קבוצות מוסיקה</v>
      </c>
      <c r="I117" s="213">
        <f>IF($F117="","",'תחום תמיכה א'!$I117)</f>
        <v>61960</v>
      </c>
      <c r="J117" s="213">
        <f>IF($F117="","",'תחום תמיכה א'!$J117)</f>
        <v>79494</v>
      </c>
      <c r="K117" s="213">
        <f>IF($F117="","",'תחום תמיכה א'!$K117)</f>
        <v>0</v>
      </c>
      <c r="L117" s="213">
        <f t="shared" si="14"/>
        <v>141454</v>
      </c>
      <c r="M117" s="214">
        <f t="shared" si="15"/>
        <v>0.43802225458452926</v>
      </c>
      <c r="N117" s="214">
        <f t="shared" si="24"/>
        <v>0.56197774541547074</v>
      </c>
      <c r="O117" s="213">
        <f t="shared" si="16"/>
        <v>44673.858894057434</v>
      </c>
      <c r="P117" s="213">
        <f>IF($F117="","",'פרמטרים לקריטריונים'!$C$59*O117)</f>
        <v>13402.157668217229</v>
      </c>
      <c r="Q117" s="214">
        <f t="shared" si="17"/>
        <v>7.6141547503194232E-5</v>
      </c>
      <c r="R117" s="213">
        <f t="shared" si="25"/>
        <v>7614.1547503194233</v>
      </c>
      <c r="S117" s="213">
        <f>IF($F117="","",'הזנה לתנאי סף'!N117)</f>
        <v>0</v>
      </c>
      <c r="T117" s="213">
        <f>IF($F117="","",'הזנה לתנאי סף'!O117)</f>
        <v>1</v>
      </c>
      <c r="U117" s="213">
        <f>IF($F117="","",'תחום תמיכה א'!W117)</f>
        <v>0</v>
      </c>
      <c r="V117" s="213">
        <f>IF($F117="","",'תחום תמיכה א'!X117)</f>
        <v>0</v>
      </c>
      <c r="W117" s="213">
        <f>IF($F117="","",'תחום תמיכה א'!Y117)</f>
        <v>1</v>
      </c>
      <c r="X117" s="231">
        <f>IF($F117="","",'תחום תמיכה א'!Z117)</f>
        <v>0</v>
      </c>
      <c r="Y117" s="213" t="str">
        <f>IF($F117="","",'תחום תמיכה א'!AA117)</f>
        <v/>
      </c>
      <c r="Z117" s="214" t="str">
        <f>IF($F117="","",'תחום תמיכה א'!AB117)</f>
        <v/>
      </c>
      <c r="AA117" s="225" t="str">
        <f>IF($F117="","",'תחום תמיכה א'!AC117)</f>
        <v/>
      </c>
      <c r="AB117" s="213" t="str">
        <f t="shared" si="18"/>
        <v/>
      </c>
      <c r="AC117" s="213">
        <f t="shared" si="19"/>
        <v>7614.1547503194233</v>
      </c>
      <c r="AD117" s="214">
        <f t="shared" si="20"/>
        <v>7.6308650679608408E-5</v>
      </c>
      <c r="AE117" s="213">
        <f t="shared" si="23"/>
        <v>7842.4655783251201</v>
      </c>
      <c r="AF117" s="214">
        <f t="shared" si="21"/>
        <v>7.6308650679608435E-5</v>
      </c>
    </row>
    <row r="118" spans="1:32" ht="15.75" x14ac:dyDescent="0.2">
      <c r="A118" s="206">
        <f t="shared" si="22"/>
        <v>88</v>
      </c>
      <c r="B118" s="88">
        <f>IF($F118="","",'הזנה לתנאי סף'!C118)</f>
        <v>1001346710</v>
      </c>
      <c r="C118" s="88">
        <f>IF($F118="","",'הזנה לתנאי סף'!D118)</f>
        <v>1001277161</v>
      </c>
      <c r="D118" s="88">
        <f>IF($F118="","",'הזנה לתנאי סף'!E118)</f>
        <v>40221541</v>
      </c>
      <c r="E118" s="88">
        <f>IF($F118="","",'הזנה לתנאי סף'!F118)</f>
        <v>20000201</v>
      </c>
      <c r="F118" s="88" t="str">
        <f>IF(OR('הזנה לתנאי סף'!G118="",'הזנה לתנאי סף'!BL118&lt;&gt;1,'הזנה לתנאי סף'!Q118&lt;&gt;1),"",'הזנה לתנאי סף'!G118)</f>
        <v>תל אביב -יפו</v>
      </c>
      <c r="G118" s="88" t="str">
        <f>IF($F118="","",'הזנה לתנאי סף'!H118)</f>
        <v>מרכז פליציה בלומנטל למוזיקה</v>
      </c>
      <c r="H118" s="88" t="str">
        <f>IF($F118="","",'הזנה לתנאי סף'!I118)</f>
        <v>קבוצות מוסיקה</v>
      </c>
      <c r="I118" s="213">
        <f>IF($F118="","",'תחום תמיכה א'!$I118)</f>
        <v>55000</v>
      </c>
      <c r="J118" s="213">
        <f>IF($F118="","",'תחום תמיכה א'!$J118)</f>
        <v>29080</v>
      </c>
      <c r="K118" s="213">
        <f>IF($F118="","",'תחום תמיכה א'!$K118)</f>
        <v>0</v>
      </c>
      <c r="L118" s="213">
        <f t="shared" si="14"/>
        <v>84080</v>
      </c>
      <c r="M118" s="214">
        <f t="shared" si="15"/>
        <v>0.65413891531874402</v>
      </c>
      <c r="N118" s="214">
        <f t="shared" si="24"/>
        <v>0.34586108468125598</v>
      </c>
      <c r="O118" s="213">
        <f t="shared" si="16"/>
        <v>10057.640342530924</v>
      </c>
      <c r="P118" s="213">
        <f>IF($F118="","",'פרמטרים לקריטריונים'!$C$59*O118)</f>
        <v>3017.292102759277</v>
      </c>
      <c r="Q118" s="214">
        <f t="shared" si="17"/>
        <v>1.7142112162885692E-5</v>
      </c>
      <c r="R118" s="213">
        <f t="shared" si="25"/>
        <v>1714.2112162885692</v>
      </c>
      <c r="S118" s="213">
        <f>IF($F118="","",'הזנה לתנאי סף'!N118)</f>
        <v>0</v>
      </c>
      <c r="T118" s="213">
        <f>IF($F118="","",'הזנה לתנאי סף'!O118)</f>
        <v>1</v>
      </c>
      <c r="U118" s="213">
        <f>IF($F118="","",'תחום תמיכה א'!W118)</f>
        <v>0</v>
      </c>
      <c r="V118" s="213">
        <f>IF($F118="","",'תחום תמיכה א'!X118)</f>
        <v>0</v>
      </c>
      <c r="W118" s="213">
        <f>IF($F118="","",'תחום תמיכה א'!Y118)</f>
        <v>1</v>
      </c>
      <c r="X118" s="231">
        <f>IF($F118="","",'תחום תמיכה א'!Z118)</f>
        <v>0</v>
      </c>
      <c r="Y118" s="213" t="str">
        <f>IF($F118="","",'תחום תמיכה א'!AA118)</f>
        <v/>
      </c>
      <c r="Z118" s="214" t="str">
        <f>IF($F118="","",'תחום תמיכה א'!AB118)</f>
        <v/>
      </c>
      <c r="AA118" s="225" t="str">
        <f>IF($F118="","",'תחום תמיכה א'!AC118)</f>
        <v/>
      </c>
      <c r="AB118" s="213" t="str">
        <f t="shared" si="18"/>
        <v/>
      </c>
      <c r="AC118" s="213">
        <f t="shared" si="19"/>
        <v>1714.2112162885692</v>
      </c>
      <c r="AD118" s="214">
        <f t="shared" si="20"/>
        <v>1.7179732903293497E-5</v>
      </c>
      <c r="AE118" s="213">
        <f t="shared" si="23"/>
        <v>1765.6119291715161</v>
      </c>
      <c r="AF118" s="214">
        <f t="shared" si="21"/>
        <v>1.7179732903293501E-5</v>
      </c>
    </row>
    <row r="119" spans="1:32" ht="15.75" x14ac:dyDescent="0.2">
      <c r="A119" s="206">
        <f t="shared" si="22"/>
        <v>89</v>
      </c>
      <c r="B119" s="88">
        <f>IF($F119="","",'הזנה לתנאי סף'!C119)</f>
        <v>1001346712</v>
      </c>
      <c r="C119" s="88">
        <f>IF($F119="","",'הזנה לתנאי סף'!D119)</f>
        <v>1001277159</v>
      </c>
      <c r="D119" s="88">
        <f>IF($F119="","",'הזנה לתנאי סף'!E119)</f>
        <v>40221541</v>
      </c>
      <c r="E119" s="88">
        <f>IF($F119="","",'הזנה לתנאי סף'!F119)</f>
        <v>20000201</v>
      </c>
      <c r="F119" s="88" t="str">
        <f>IF(OR('הזנה לתנאי סף'!G119="",'הזנה לתנאי סף'!BL119&lt;&gt;1,'הזנה לתנאי סף'!Q119&lt;&gt;1),"",'הזנה לתנאי סף'!G119)</f>
        <v>תל אביב -יפו</v>
      </c>
      <c r="G119" s="88" t="str">
        <f>IF($F119="","",'הזנה לתנאי סף'!H119)</f>
        <v>מרכז פליציה בלומנטל למוזיקה</v>
      </c>
      <c r="H119" s="88" t="str">
        <f>IF($F119="","",'הזנה לתנאי סף'!I119)</f>
        <v>מוסיקה-גופים כליים</v>
      </c>
      <c r="I119" s="213">
        <f>IF($F119="","",'תחום תמיכה א'!$I119)</f>
        <v>35000</v>
      </c>
      <c r="J119" s="213">
        <f>IF($F119="","",'תחום תמיכה א'!$J119)</f>
        <v>68769</v>
      </c>
      <c r="K119" s="213">
        <f>IF($F119="","",'תחום תמיכה א'!$K119)</f>
        <v>0</v>
      </c>
      <c r="L119" s="213">
        <f t="shared" si="14"/>
        <v>103769</v>
      </c>
      <c r="M119" s="214">
        <f t="shared" si="15"/>
        <v>0.33728762925343792</v>
      </c>
      <c r="N119" s="214">
        <f t="shared" si="24"/>
        <v>0.66271237074656208</v>
      </c>
      <c r="O119" s="213">
        <f t="shared" si="16"/>
        <v>45574.067023870331</v>
      </c>
      <c r="P119" s="213">
        <f>IF($F119="","",'פרמטרים לקריטריונים'!$C$59*O119)</f>
        <v>13672.2201071611</v>
      </c>
      <c r="Q119" s="214">
        <f t="shared" si="17"/>
        <v>7.7675850600704988E-5</v>
      </c>
      <c r="R119" s="213">
        <f t="shared" si="25"/>
        <v>7767.5850600704989</v>
      </c>
      <c r="S119" s="213">
        <f>IF($F119="","",'הזנה לתנאי סף'!N119)</f>
        <v>0</v>
      </c>
      <c r="T119" s="213">
        <f>IF($F119="","",'הזנה לתנאי סף'!O119)</f>
        <v>1</v>
      </c>
      <c r="U119" s="213">
        <f>IF($F119="","",'תחום תמיכה א'!W119)</f>
        <v>0</v>
      </c>
      <c r="V119" s="213">
        <f>IF($F119="","",'תחום תמיכה א'!X119)</f>
        <v>0</v>
      </c>
      <c r="W119" s="213">
        <f>IF($F119="","",'תחום תמיכה א'!Y119)</f>
        <v>1</v>
      </c>
      <c r="X119" s="231">
        <f>IF($F119="","",'תחום תמיכה א'!Z119)</f>
        <v>0</v>
      </c>
      <c r="Y119" s="213" t="str">
        <f>IF($F119="","",'תחום תמיכה א'!AA119)</f>
        <v/>
      </c>
      <c r="Z119" s="214" t="str">
        <f>IF($F119="","",'תחום תמיכה א'!AB119)</f>
        <v/>
      </c>
      <c r="AA119" s="225" t="str">
        <f>IF($F119="","",'תחום תמיכה א'!AC119)</f>
        <v/>
      </c>
      <c r="AB119" s="213" t="str">
        <f t="shared" si="18"/>
        <v/>
      </c>
      <c r="AC119" s="213">
        <f t="shared" si="19"/>
        <v>7767.5850600704989</v>
      </c>
      <c r="AD119" s="214">
        <f t="shared" si="20"/>
        <v>7.7846321017864634E-5</v>
      </c>
      <c r="AE119" s="213">
        <f t="shared" si="23"/>
        <v>8000.4965039303679</v>
      </c>
      <c r="AF119" s="214">
        <f t="shared" si="21"/>
        <v>7.7846321017864661E-5</v>
      </c>
    </row>
    <row r="120" spans="1:32" ht="15.75" x14ac:dyDescent="0.2">
      <c r="A120" s="206">
        <f t="shared" si="22"/>
        <v>90</v>
      </c>
      <c r="B120" s="88">
        <f>IF($F120="","",'הזנה לתנאי סף'!C120)</f>
        <v>1001346713</v>
      </c>
      <c r="C120" s="88">
        <f>IF($F120="","",'הזנה לתנאי סף'!D120)</f>
        <v>1001277173</v>
      </c>
      <c r="D120" s="88">
        <f>IF($F120="","",'הזנה לתנאי סף'!E120)</f>
        <v>40221541</v>
      </c>
      <c r="E120" s="88">
        <f>IF($F120="","",'הזנה לתנאי סף'!F120)</f>
        <v>20000201</v>
      </c>
      <c r="F120" s="88" t="str">
        <f>IF(OR('הזנה לתנאי סף'!G120="",'הזנה לתנאי סף'!BL120&lt;&gt;1,'הזנה לתנאי סף'!Q120&lt;&gt;1),"",'הזנה לתנאי סף'!G120)</f>
        <v>תל אביב -יפו</v>
      </c>
      <c r="G120" s="88" t="str">
        <f>IF($F120="","",'הזנה לתנאי סף'!H120)</f>
        <v>מרכז פליציה בלומנטל למוזיקה</v>
      </c>
      <c r="H120" s="88" t="str">
        <f>IF($F120="","",'הזנה לתנאי סף'!I120)</f>
        <v>קבוצות מוסיקה</v>
      </c>
      <c r="I120" s="213">
        <f>IF($F120="","",'תחום תמיכה א'!$I120)</f>
        <v>61960</v>
      </c>
      <c r="J120" s="213">
        <f>IF($F120="","",'תחום תמיכה א'!$J120)</f>
        <v>59941</v>
      </c>
      <c r="K120" s="213">
        <f>IF($F120="","",'תחום תמיכה א'!$K120)</f>
        <v>0</v>
      </c>
      <c r="L120" s="213">
        <f t="shared" si="14"/>
        <v>121901</v>
      </c>
      <c r="M120" s="214">
        <f t="shared" si="15"/>
        <v>0.50828131024355827</v>
      </c>
      <c r="N120" s="214">
        <f t="shared" si="24"/>
        <v>0.49171868975644173</v>
      </c>
      <c r="O120" s="213">
        <f t="shared" si="16"/>
        <v>29474.109982690872</v>
      </c>
      <c r="P120" s="213">
        <f>IF($F120="","",'פרמטרים לקריטריונים'!$C$59*O120)</f>
        <v>8842.232994807262</v>
      </c>
      <c r="Q120" s="214">
        <f t="shared" si="17"/>
        <v>5.0235291978771845E-5</v>
      </c>
      <c r="R120" s="213">
        <f t="shared" si="25"/>
        <v>5023.5291978771847</v>
      </c>
      <c r="S120" s="213">
        <f>IF($F120="","",'הזנה לתנאי סף'!N120)</f>
        <v>0</v>
      </c>
      <c r="T120" s="213">
        <f>IF($F120="","",'הזנה לתנאי סף'!O120)</f>
        <v>1</v>
      </c>
      <c r="U120" s="213">
        <f>IF($F120="","",'תחום תמיכה א'!W120)</f>
        <v>0</v>
      </c>
      <c r="V120" s="213">
        <f>IF($F120="","",'תחום תמיכה א'!X120)</f>
        <v>0</v>
      </c>
      <c r="W120" s="213">
        <f>IF($F120="","",'תחום תמיכה א'!Y120)</f>
        <v>1</v>
      </c>
      <c r="X120" s="231">
        <f>IF($F120="","",'תחום תמיכה א'!Z120)</f>
        <v>0</v>
      </c>
      <c r="Y120" s="213" t="str">
        <f>IF($F120="","",'תחום תמיכה א'!AA120)</f>
        <v/>
      </c>
      <c r="Z120" s="214" t="str">
        <f>IF($F120="","",'תחום תמיכה א'!AB120)</f>
        <v/>
      </c>
      <c r="AA120" s="225" t="str">
        <f>IF($F120="","",'תחום תמיכה א'!AC120)</f>
        <v/>
      </c>
      <c r="AB120" s="213" t="str">
        <f t="shared" si="18"/>
        <v/>
      </c>
      <c r="AC120" s="213">
        <f t="shared" si="19"/>
        <v>5023.5291978771847</v>
      </c>
      <c r="AD120" s="214">
        <f t="shared" si="20"/>
        <v>5.0345540287783351E-5</v>
      </c>
      <c r="AE120" s="213">
        <f t="shared" si="23"/>
        <v>5174.1599833402752</v>
      </c>
      <c r="AF120" s="214">
        <f t="shared" si="21"/>
        <v>5.0345540287783371E-5</v>
      </c>
    </row>
    <row r="121" spans="1:32" ht="15.75" x14ac:dyDescent="0.2">
      <c r="A121" s="206">
        <f t="shared" si="22"/>
        <v>91</v>
      </c>
      <c r="B121" s="88">
        <f>IF($F121="","",'הזנה לתנאי סף'!C121)</f>
        <v>1001346714</v>
      </c>
      <c r="C121" s="88">
        <f>IF($F121="","",'הזנה לתנאי סף'!D121)</f>
        <v>1001277167</v>
      </c>
      <c r="D121" s="88">
        <f>IF($F121="","",'הזנה לתנאי סף'!E121)</f>
        <v>40221541</v>
      </c>
      <c r="E121" s="88">
        <f>IF($F121="","",'הזנה לתנאי סף'!F121)</f>
        <v>20000201</v>
      </c>
      <c r="F121" s="88" t="str">
        <f>IF(OR('הזנה לתנאי סף'!G121="",'הזנה לתנאי סף'!BL121&lt;&gt;1,'הזנה לתנאי סף'!Q121&lt;&gt;1),"",'הזנה לתנאי סף'!G121)</f>
        <v>תל אביב -יפו</v>
      </c>
      <c r="G121" s="88" t="str">
        <f>IF($F121="","",'הזנה לתנאי סף'!H121)</f>
        <v>מרכז פליציה בלומנטל למוזיקה</v>
      </c>
      <c r="H121" s="88" t="str">
        <f>IF($F121="","",'הזנה לתנאי סף'!I121)</f>
        <v>קבוצות מוסיקה</v>
      </c>
      <c r="I121" s="213">
        <f>IF($F121="","",'תחום תמיכה א'!$I121)</f>
        <v>30000</v>
      </c>
      <c r="J121" s="213">
        <f>IF($F121="","",'תחום תמיכה א'!$J121)</f>
        <v>47032</v>
      </c>
      <c r="K121" s="213">
        <f>IF($F121="","",'תחום תמיכה א'!$K121)</f>
        <v>0</v>
      </c>
      <c r="L121" s="213">
        <f t="shared" si="14"/>
        <v>77032</v>
      </c>
      <c r="M121" s="214">
        <f t="shared" si="15"/>
        <v>0.38944854086613356</v>
      </c>
      <c r="N121" s="214">
        <f t="shared" si="24"/>
        <v>0.61055145913386644</v>
      </c>
      <c r="O121" s="213">
        <f t="shared" si="16"/>
        <v>28715.456225984006</v>
      </c>
      <c r="P121" s="213">
        <f>IF($F121="","",'פרמטרים לקריטריונים'!$C$59*O121)</f>
        <v>8614.6368677952014</v>
      </c>
      <c r="Q121" s="214">
        <f t="shared" si="17"/>
        <v>4.8942252324602713E-5</v>
      </c>
      <c r="R121" s="213">
        <f t="shared" si="25"/>
        <v>4894.2252324602714</v>
      </c>
      <c r="S121" s="213">
        <f>IF($F121="","",'הזנה לתנאי סף'!N121)</f>
        <v>0</v>
      </c>
      <c r="T121" s="213">
        <f>IF($F121="","",'הזנה לתנאי סף'!O121)</f>
        <v>1</v>
      </c>
      <c r="U121" s="213">
        <f>IF($F121="","",'תחום תמיכה א'!W121)</f>
        <v>0</v>
      </c>
      <c r="V121" s="213">
        <f>IF($F121="","",'תחום תמיכה א'!X121)</f>
        <v>0</v>
      </c>
      <c r="W121" s="213">
        <f>IF($F121="","",'תחום תמיכה א'!Y121)</f>
        <v>1</v>
      </c>
      <c r="X121" s="231">
        <f>IF($F121="","",'תחום תמיכה א'!Z121)</f>
        <v>0</v>
      </c>
      <c r="Y121" s="213" t="str">
        <f>IF($F121="","",'תחום תמיכה א'!AA121)</f>
        <v/>
      </c>
      <c r="Z121" s="214" t="str">
        <f>IF($F121="","",'תחום תמיכה א'!AB121)</f>
        <v/>
      </c>
      <c r="AA121" s="225" t="str">
        <f>IF($F121="","",'תחום תמיכה א'!AC121)</f>
        <v/>
      </c>
      <c r="AB121" s="213" t="str">
        <f t="shared" si="18"/>
        <v/>
      </c>
      <c r="AC121" s="213">
        <f t="shared" si="19"/>
        <v>4894.2252324602714</v>
      </c>
      <c r="AD121" s="214">
        <f t="shared" si="20"/>
        <v>4.90496628789254E-5</v>
      </c>
      <c r="AE121" s="213">
        <f t="shared" si="23"/>
        <v>5040.9788317645807</v>
      </c>
      <c r="AF121" s="214">
        <f t="shared" si="21"/>
        <v>4.9049662878925413E-5</v>
      </c>
    </row>
    <row r="122" spans="1:32" ht="15.75" x14ac:dyDescent="0.2">
      <c r="A122" s="206">
        <f t="shared" si="22"/>
        <v>92</v>
      </c>
      <c r="B122" s="88">
        <f>IF($F122="","",'הזנה לתנאי סף'!C122)</f>
        <v>1001346715</v>
      </c>
      <c r="C122" s="88">
        <f>IF($F122="","",'הזנה לתנאי סף'!D122)</f>
        <v>1001277158</v>
      </c>
      <c r="D122" s="88">
        <f>IF($F122="","",'הזנה לתנאי סף'!E122)</f>
        <v>40221541</v>
      </c>
      <c r="E122" s="88">
        <f>IF($F122="","",'הזנה לתנאי סף'!F122)</f>
        <v>20000201</v>
      </c>
      <c r="F122" s="88" t="str">
        <f>IF(OR('הזנה לתנאי סף'!G122="",'הזנה לתנאי סף'!BL122&lt;&gt;1,'הזנה לתנאי סף'!Q122&lt;&gt;1),"",'הזנה לתנאי סף'!G122)</f>
        <v>תל אביב -יפו</v>
      </c>
      <c r="G122" s="88" t="str">
        <f>IF($F122="","",'הזנה לתנאי סף'!H122)</f>
        <v>מרכז פליציה בלומנטל למוזיקה</v>
      </c>
      <c r="H122" s="88" t="str">
        <f>IF($F122="","",'הזנה לתנאי סף'!I122)</f>
        <v>מוסיקה-גופים כליים</v>
      </c>
      <c r="I122" s="213">
        <f>IF($F122="","",'תחום תמיכה א'!$I122)</f>
        <v>30979</v>
      </c>
      <c r="J122" s="213">
        <f>IF($F122="","",'תחום תמיכה א'!$J122)</f>
        <v>309954</v>
      </c>
      <c r="K122" s="213">
        <f>IF($F122="","",'תחום תמיכה א'!$K122)</f>
        <v>0</v>
      </c>
      <c r="L122" s="213">
        <f t="shared" si="14"/>
        <v>340933</v>
      </c>
      <c r="M122" s="214">
        <f t="shared" si="15"/>
        <v>9.0865360642706922E-2</v>
      </c>
      <c r="N122" s="214">
        <f t="shared" si="24"/>
        <v>0.90913463935729311</v>
      </c>
      <c r="O122" s="213">
        <f t="shared" si="16"/>
        <v>281789.91800735041</v>
      </c>
      <c r="P122" s="213">
        <f>IF($F122="","",'פרמטרים לקריטריונים'!$C$59*O122)</f>
        <v>84536.97540220512</v>
      </c>
      <c r="Q122" s="214">
        <f t="shared" si="17"/>
        <v>4.8027909294247182E-4</v>
      </c>
      <c r="R122" s="213">
        <f t="shared" si="25"/>
        <v>48027.909294247183</v>
      </c>
      <c r="S122" s="213">
        <f>IF($F122="","",'הזנה לתנאי סף'!N122)</f>
        <v>0</v>
      </c>
      <c r="T122" s="213">
        <f>IF($F122="","",'הזנה לתנאי סף'!O122)</f>
        <v>1</v>
      </c>
      <c r="U122" s="213">
        <f>IF($F122="","",'תחום תמיכה א'!W122)</f>
        <v>0</v>
      </c>
      <c r="V122" s="213">
        <f>IF($F122="","",'תחום תמיכה א'!X122)</f>
        <v>0</v>
      </c>
      <c r="W122" s="213">
        <f>IF($F122="","",'תחום תמיכה א'!Y122)</f>
        <v>1</v>
      </c>
      <c r="X122" s="231">
        <f>IF($F122="","",'תחום תמיכה א'!Z122)</f>
        <v>0</v>
      </c>
      <c r="Y122" s="213" t="str">
        <f>IF($F122="","",'תחום תמיכה א'!AA122)</f>
        <v/>
      </c>
      <c r="Z122" s="214" t="str">
        <f>IF($F122="","",'תחום תמיכה א'!AB122)</f>
        <v/>
      </c>
      <c r="AA122" s="225" t="str">
        <f>IF($F122="","",'תחום תמיכה א'!AC122)</f>
        <v/>
      </c>
      <c r="AB122" s="213" t="str">
        <f t="shared" si="18"/>
        <v/>
      </c>
      <c r="AC122" s="213">
        <f t="shared" si="19"/>
        <v>48027.909294247183</v>
      </c>
      <c r="AD122" s="214">
        <f t="shared" si="20"/>
        <v>4.8133313196095434E-4</v>
      </c>
      <c r="AE122" s="213">
        <f t="shared" si="23"/>
        <v>49468.028663753306</v>
      </c>
      <c r="AF122" s="214">
        <f t="shared" si="21"/>
        <v>4.8133313196095445E-4</v>
      </c>
    </row>
    <row r="123" spans="1:32" ht="15.75" x14ac:dyDescent="0.2">
      <c r="A123" s="206">
        <f t="shared" si="22"/>
        <v>93</v>
      </c>
      <c r="B123" s="88">
        <f>IF($F123="","",'הזנה לתנאי סף'!C123)</f>
        <v>1001346718</v>
      </c>
      <c r="C123" s="88">
        <f>IF($F123="","",'הזנה לתנאי סף'!D123)</f>
        <v>1001277149</v>
      </c>
      <c r="D123" s="88">
        <f>IF($F123="","",'הזנה לתנאי סף'!E123)</f>
        <v>40221541</v>
      </c>
      <c r="E123" s="88">
        <f>IF($F123="","",'הזנה לתנאי סף'!F123)</f>
        <v>20000201</v>
      </c>
      <c r="F123" s="88" t="str">
        <f>IF(OR('הזנה לתנאי סף'!G123="",'הזנה לתנאי סף'!BL123&lt;&gt;1,'הזנה לתנאי סף'!Q123&lt;&gt;1),"",'הזנה לתנאי סף'!G123)</f>
        <v>תל אביב -יפו</v>
      </c>
      <c r="G123" s="88" t="str">
        <f>IF($F123="","",'הזנה לתנאי סף'!H123)</f>
        <v>מרכז פליציה בלומנטל למוזיקה</v>
      </c>
      <c r="H123" s="88" t="str">
        <f>IF($F123="","",'הזנה לתנאי סף'!I123)</f>
        <v>סינמטקים ופסטיבלים</v>
      </c>
      <c r="I123" s="213">
        <f>IF($F123="","",'תחום תמיכה א'!$I123)</f>
        <v>184000</v>
      </c>
      <c r="J123" s="213">
        <f>IF($F123="","",'תחום תמיכה א'!$J123)</f>
        <v>457584</v>
      </c>
      <c r="K123" s="213">
        <f>IF($F123="","",'תחום תמיכה א'!$K123)</f>
        <v>0</v>
      </c>
      <c r="L123" s="213">
        <f t="shared" si="14"/>
        <v>641584</v>
      </c>
      <c r="M123" s="214">
        <f t="shared" si="15"/>
        <v>0.28679019426918378</v>
      </c>
      <c r="N123" s="214">
        <f t="shared" si="24"/>
        <v>0.71320980573081627</v>
      </c>
      <c r="O123" s="213">
        <f t="shared" si="16"/>
        <v>326353.39574552985</v>
      </c>
      <c r="P123" s="213">
        <f>IF($F123="","",'פרמטרים לקריטריונים'!$C$59*O123)</f>
        <v>97906.018723658955</v>
      </c>
      <c r="Q123" s="214">
        <f t="shared" si="17"/>
        <v>5.5623250823072414E-4</v>
      </c>
      <c r="R123" s="213">
        <f t="shared" si="25"/>
        <v>55623.250823072412</v>
      </c>
      <c r="S123" s="213">
        <f>IF($F123="","",'הזנה לתנאי סף'!N123)</f>
        <v>1</v>
      </c>
      <c r="T123" s="213">
        <f>IF($F123="","",'הזנה לתנאי סף'!O123)</f>
        <v>1</v>
      </c>
      <c r="U123" s="213">
        <f>IF($F123="","",'תחום תמיכה א'!W123)</f>
        <v>0</v>
      </c>
      <c r="V123" s="213">
        <f>IF($F123="","",'תחום תמיכה א'!X123)</f>
        <v>0</v>
      </c>
      <c r="W123" s="213">
        <f>IF($F123="","",'תחום תמיכה א'!Y123)</f>
        <v>0</v>
      </c>
      <c r="X123" s="231" t="str">
        <f>IF($F123="","",'תחום תמיכה א'!Z123)</f>
        <v>בדוק נתוני הזנה</v>
      </c>
      <c r="Y123" s="213" t="str">
        <f>IF($F123="","",'תחום תמיכה א'!AA123)</f>
        <v>בדוק נתוני הזנה</v>
      </c>
      <c r="Z123" s="214">
        <f>IF($F123="","",'תחום תמיכה א'!AB123)</f>
        <v>0</v>
      </c>
      <c r="AA123" s="225" t="str">
        <f>IF($F123="","",'תחום תמיכה א'!AC123)</f>
        <v/>
      </c>
      <c r="AB123" s="213" t="str">
        <f t="shared" si="18"/>
        <v/>
      </c>
      <c r="AC123" s="213">
        <f t="shared" si="19"/>
        <v>55623.250823072412</v>
      </c>
      <c r="AD123" s="214">
        <f t="shared" si="20"/>
        <v>5.5745323754340689E-4</v>
      </c>
      <c r="AE123" s="213">
        <f t="shared" si="23"/>
        <v>57291.116905154791</v>
      </c>
      <c r="AF123" s="214">
        <f t="shared" si="21"/>
        <v>5.57453237543407E-4</v>
      </c>
    </row>
    <row r="124" spans="1:32" ht="15.75" x14ac:dyDescent="0.2">
      <c r="A124" s="206">
        <f t="shared" si="22"/>
        <v>94</v>
      </c>
      <c r="B124" s="88">
        <f>IF($F124="","",'הזנה לתנאי סף'!C124)</f>
        <v>1001347600</v>
      </c>
      <c r="C124" s="88">
        <f>IF($F124="","",'הזנה לתנאי סף'!D124)</f>
        <v>1001277089</v>
      </c>
      <c r="D124" s="88">
        <f>IF($F124="","",'הזנה לתנאי סף'!E124)</f>
        <v>40221541</v>
      </c>
      <c r="E124" s="88">
        <f>IF($F124="","",'הזנה לתנאי סף'!F124)</f>
        <v>20000201</v>
      </c>
      <c r="F124" s="88" t="str">
        <f>IF(OR('הזנה לתנאי סף'!G124="",'הזנה לתנאי סף'!BL124&lt;&gt;1,'הזנה לתנאי סף'!Q124&lt;&gt;1),"",'הזנה לתנאי סף'!G124)</f>
        <v>תל אביב -יפו</v>
      </c>
      <c r="G124" s="88" t="str">
        <f>IF($F124="","",'הזנה לתנאי סף'!H124)</f>
        <v>מרכז פליציה בלומנטל למוזיקה</v>
      </c>
      <c r="H124" s="88" t="str">
        <f>IF($F124="","",'הזנה לתנאי סף'!I124)</f>
        <v>אופרה</v>
      </c>
      <c r="I124" s="213">
        <f>IF($F124="","",'תחום תמיכה א'!$I124)</f>
        <v>50000</v>
      </c>
      <c r="J124" s="213">
        <f>IF($F124="","",'תחום תמיכה א'!$J124)</f>
        <v>107836</v>
      </c>
      <c r="K124" s="213">
        <f>IF($F124="","",'תחום תמיכה א'!$K124)</f>
        <v>0</v>
      </c>
      <c r="L124" s="213">
        <f t="shared" si="14"/>
        <v>157836</v>
      </c>
      <c r="M124" s="214">
        <f t="shared" si="15"/>
        <v>0.31678451050457435</v>
      </c>
      <c r="N124" s="214">
        <f t="shared" si="24"/>
        <v>0.68321548949542565</v>
      </c>
      <c r="O124" s="213">
        <f t="shared" si="16"/>
        <v>73675.225525228714</v>
      </c>
      <c r="P124" s="213">
        <f>IF($F124="","",'פרמטרים לקריטריונים'!$C$59*O124)</f>
        <v>22102.567657568612</v>
      </c>
      <c r="Q124" s="214">
        <f t="shared" si="17"/>
        <v>1.255711018258144E-4</v>
      </c>
      <c r="R124" s="213">
        <f t="shared" si="25"/>
        <v>12557.11018258144</v>
      </c>
      <c r="S124" s="213">
        <f>IF($F124="","",'הזנה לתנאי סף'!N124)</f>
        <v>0</v>
      </c>
      <c r="T124" s="213">
        <f>IF($F124="","",'הזנה לתנאי סף'!O124)</f>
        <v>1</v>
      </c>
      <c r="U124" s="213">
        <f>IF($F124="","",'תחום תמיכה א'!W124)</f>
        <v>0</v>
      </c>
      <c r="V124" s="213">
        <f>IF($F124="","",'תחום תמיכה א'!X124)</f>
        <v>0</v>
      </c>
      <c r="W124" s="213">
        <f>IF($F124="","",'תחום תמיכה א'!Y124)</f>
        <v>1</v>
      </c>
      <c r="X124" s="231">
        <f>IF($F124="","",'תחום תמיכה א'!Z124)</f>
        <v>0</v>
      </c>
      <c r="Y124" s="213" t="str">
        <f>IF($F124="","",'תחום תמיכה א'!AA124)</f>
        <v/>
      </c>
      <c r="Z124" s="214" t="str">
        <f>IF($F124="","",'תחום תמיכה א'!AB124)</f>
        <v/>
      </c>
      <c r="AA124" s="225" t="str">
        <f>IF($F124="","",'תחום תמיכה א'!AC124)</f>
        <v/>
      </c>
      <c r="AB124" s="213" t="str">
        <f t="shared" si="18"/>
        <v/>
      </c>
      <c r="AC124" s="213">
        <f t="shared" si="19"/>
        <v>12557.11018258144</v>
      </c>
      <c r="AD124" s="214">
        <f t="shared" si="20"/>
        <v>1.2584668500830804E-4</v>
      </c>
      <c r="AE124" s="213">
        <f t="shared" si="23"/>
        <v>12933.635787478512</v>
      </c>
      <c r="AF124" s="214">
        <f t="shared" si="21"/>
        <v>1.2584668500830807E-4</v>
      </c>
    </row>
    <row r="125" spans="1:32" ht="15.75" x14ac:dyDescent="0.2">
      <c r="A125" s="206">
        <f t="shared" si="22"/>
        <v>95</v>
      </c>
      <c r="B125" s="88">
        <f>IF($F125="","",'הזנה לתנאי סף'!C125)</f>
        <v>1001347697</v>
      </c>
      <c r="C125" s="88">
        <f>IF($F125="","",'הזנה לתנאי סף'!D125)</f>
        <v>1001277111</v>
      </c>
      <c r="D125" s="88">
        <f>IF($F125="","",'הזנה לתנאי סף'!E125)</f>
        <v>40221541</v>
      </c>
      <c r="E125" s="88">
        <f>IF($F125="","",'הזנה לתנאי סף'!F125)</f>
        <v>20000201</v>
      </c>
      <c r="F125" s="88" t="str">
        <f>IF(OR('הזנה לתנאי סף'!G125="",'הזנה לתנאי סף'!BL125&lt;&gt;1,'הזנה לתנאי סף'!Q125&lt;&gt;1),"",'הזנה לתנאי סף'!G125)</f>
        <v>תל אביב -יפו</v>
      </c>
      <c r="G125" s="88" t="str">
        <f>IF($F125="","",'הזנה לתנאי סף'!H125)</f>
        <v>מרכז פליציה בלומנטל למוזיקה</v>
      </c>
      <c r="H125" s="88" t="str">
        <f>IF($F125="","",'הזנה לתנאי סף'!I125)</f>
        <v>מקהלות</v>
      </c>
      <c r="I125" s="213">
        <f>IF($F125="","",'תחום תמיכה א'!$I125)</f>
        <v>111764</v>
      </c>
      <c r="J125" s="213">
        <f>IF($F125="","",'תחום תמיכה א'!$J125)</f>
        <v>55983</v>
      </c>
      <c r="K125" s="213">
        <f>IF($F125="","",'תחום תמיכה א'!$K125)</f>
        <v>0</v>
      </c>
      <c r="L125" s="213">
        <f t="shared" si="14"/>
        <v>167747</v>
      </c>
      <c r="M125" s="214">
        <f t="shared" si="15"/>
        <v>0.6662652685293925</v>
      </c>
      <c r="N125" s="214">
        <f t="shared" si="24"/>
        <v>0.3337347314706075</v>
      </c>
      <c r="O125" s="213">
        <f t="shared" si="16"/>
        <v>18683.47147191902</v>
      </c>
      <c r="P125" s="213">
        <f>IF($F125="","",'פרמטרים לקריטריונים'!$C$59*O125)</f>
        <v>5605.0414415757059</v>
      </c>
      <c r="Q125" s="214">
        <f t="shared" si="17"/>
        <v>3.1843867214992945E-5</v>
      </c>
      <c r="R125" s="213">
        <f t="shared" si="25"/>
        <v>3184.3867214992947</v>
      </c>
      <c r="S125" s="213">
        <f>IF($F125="","",'הזנה לתנאי סף'!N125)</f>
        <v>0</v>
      </c>
      <c r="T125" s="213">
        <f>IF($F125="","",'הזנה לתנאי סף'!O125)</f>
        <v>1</v>
      </c>
      <c r="U125" s="213">
        <f>IF($F125="","",'תחום תמיכה א'!W125)</f>
        <v>0</v>
      </c>
      <c r="V125" s="213">
        <f>IF($F125="","",'תחום תמיכה א'!X125)</f>
        <v>0</v>
      </c>
      <c r="W125" s="213">
        <f>IF($F125="","",'תחום תמיכה א'!Y125)</f>
        <v>1</v>
      </c>
      <c r="X125" s="231">
        <f>IF($F125="","",'תחום תמיכה א'!Z125)</f>
        <v>0</v>
      </c>
      <c r="Y125" s="213" t="str">
        <f>IF($F125="","",'תחום תמיכה א'!AA125)</f>
        <v/>
      </c>
      <c r="Z125" s="214" t="str">
        <f>IF($F125="","",'תחום תמיכה א'!AB125)</f>
        <v/>
      </c>
      <c r="AA125" s="225" t="str">
        <f>IF($F125="","",'תחום תמיכה א'!AC125)</f>
        <v/>
      </c>
      <c r="AB125" s="213" t="str">
        <f t="shared" si="18"/>
        <v/>
      </c>
      <c r="AC125" s="213">
        <f t="shared" si="19"/>
        <v>3184.3867214992947</v>
      </c>
      <c r="AD125" s="214">
        <f t="shared" si="20"/>
        <v>3.1913752993985203E-5</v>
      </c>
      <c r="AE125" s="213">
        <f t="shared" si="23"/>
        <v>3279.8707237183658</v>
      </c>
      <c r="AF125" s="214">
        <f t="shared" si="21"/>
        <v>3.191375299398521E-5</v>
      </c>
    </row>
    <row r="126" spans="1:32" ht="15.75" x14ac:dyDescent="0.2">
      <c r="A126" s="206">
        <f t="shared" si="22"/>
        <v>96</v>
      </c>
      <c r="B126" s="88">
        <f>IF($F126="","",'הזנה לתנאי סף'!C126)</f>
        <v>1001349148</v>
      </c>
      <c r="C126" s="88">
        <f>IF($F126="","",'הזנה לתנאי סף'!D126)</f>
        <v>1001279372</v>
      </c>
      <c r="D126" s="88">
        <f>IF($F126="","",'הזנה לתנאי סף'!E126)</f>
        <v>40133812</v>
      </c>
      <c r="E126" s="88">
        <f>IF($F126="","",'הזנה לתנאי סף'!F126)</f>
        <v>20000201</v>
      </c>
      <c r="F126" s="88" t="str">
        <f>IF(OR('הזנה לתנאי סף'!G126="",'הזנה לתנאי סף'!BL126&lt;&gt;1,'הזנה לתנאי סף'!Q126&lt;&gt;1),"",'הזנה לתנאי סף'!G126)</f>
        <v>תל אביב -יפו</v>
      </c>
      <c r="G126" s="88" t="str">
        <f>IF($F126="","",'הזנה לתנאי סף'!H126)</f>
        <v>תיאטרון "מלנקי"</v>
      </c>
      <c r="H126" s="88" t="str">
        <f>IF($F126="","",'הזנה לתנאי סף'!I126)</f>
        <v>קבוצות תיאטרון</v>
      </c>
      <c r="I126" s="213">
        <f>IF($F126="","",'תחום תמיכה א'!$I126)</f>
        <v>634967</v>
      </c>
      <c r="J126" s="213">
        <f>IF($F126="","",'תחום תמיכה א'!$J126)</f>
        <v>333249</v>
      </c>
      <c r="K126" s="213">
        <f>IF($F126="","",'תחום תמיכה א'!$K126)</f>
        <v>0</v>
      </c>
      <c r="L126" s="213">
        <f t="shared" si="14"/>
        <v>968216</v>
      </c>
      <c r="M126" s="214">
        <f t="shared" si="15"/>
        <v>0.65581130656795594</v>
      </c>
      <c r="N126" s="214">
        <f t="shared" si="24"/>
        <v>0.34418869343204406</v>
      </c>
      <c r="O126" s="213">
        <f t="shared" si="16"/>
        <v>114700.53789753525</v>
      </c>
      <c r="P126" s="213">
        <f>IF($F126="","",'פרמטרים לקריטריונים'!$C$59*O126)</f>
        <v>34410.161369260575</v>
      </c>
      <c r="Q126" s="214">
        <f t="shared" si="17"/>
        <v>1.9549411381000821E-4</v>
      </c>
      <c r="R126" s="213">
        <f t="shared" si="25"/>
        <v>19549.41138100082</v>
      </c>
      <c r="S126" s="213">
        <f>IF($F126="","",'הזנה לתנאי סף'!N126)</f>
        <v>1</v>
      </c>
      <c r="T126" s="213">
        <f>IF($F126="","",'הזנה לתנאי סף'!O126)</f>
        <v>1</v>
      </c>
      <c r="U126" s="213">
        <f>IF($F126="","",'תחום תמיכה א'!W126)</f>
        <v>0</v>
      </c>
      <c r="V126" s="213">
        <f>IF($F126="","",'תחום תמיכה א'!X126)</f>
        <v>0</v>
      </c>
      <c r="W126" s="213">
        <f>IF($F126="","",'תחום תמיכה א'!Y126)</f>
        <v>0</v>
      </c>
      <c r="X126" s="231" t="str">
        <f>IF($F126="","",'תחום תמיכה א'!Z126)</f>
        <v>בדוק נתוני הזנה</v>
      </c>
      <c r="Y126" s="213" t="str">
        <f>IF($F126="","",'תחום תמיכה א'!AA126)</f>
        <v>בדוק נתוני הזנה</v>
      </c>
      <c r="Z126" s="214">
        <f>IF($F126="","",'תחום תמיכה א'!AB126)</f>
        <v>0</v>
      </c>
      <c r="AA126" s="225" t="str">
        <f>IF($F126="","",'תחום תמיכה א'!AC126)</f>
        <v/>
      </c>
      <c r="AB126" s="213" t="str">
        <f t="shared" si="18"/>
        <v/>
      </c>
      <c r="AC126" s="213">
        <f t="shared" si="19"/>
        <v>19549.41138100082</v>
      </c>
      <c r="AD126" s="214">
        <f t="shared" si="20"/>
        <v>1.9592315273105925E-4</v>
      </c>
      <c r="AE126" s="213">
        <f t="shared" si="23"/>
        <v>20135.601502659832</v>
      </c>
      <c r="AF126" s="214">
        <f t="shared" si="21"/>
        <v>1.959231527310593E-4</v>
      </c>
    </row>
    <row r="127" spans="1:32" ht="15.75" x14ac:dyDescent="0.2">
      <c r="A127" s="206">
        <f t="shared" si="22"/>
        <v>97</v>
      </c>
      <c r="B127" s="88">
        <f>IF($F127="","",'הזנה לתנאי סף'!C127)</f>
        <v>1001350656</v>
      </c>
      <c r="C127" s="88">
        <f>IF($F127="","",'הזנה לתנאי סף'!D127)</f>
        <v>1001288980</v>
      </c>
      <c r="D127" s="88">
        <f>IF($F127="","",'הזנה לתנאי סף'!E127)</f>
        <v>40209197</v>
      </c>
      <c r="E127" s="88">
        <f>IF($F127="","",'הזנה לתנאי סף'!F127)</f>
        <v>20000248</v>
      </c>
      <c r="F127" s="88" t="str">
        <f>IF(OR('הזנה לתנאי סף'!G127="",'הזנה לתנאי סף'!BL127&lt;&gt;1,'הזנה לתנאי סף'!Q127&lt;&gt;1),"",'הזנה לתנאי סף'!G127)</f>
        <v>רחובות</v>
      </c>
      <c r="G127" s="88" t="str">
        <f>IF($F127="","",'הזנה לתנאי סף'!H127)</f>
        <v>מכון דוידסון לחינוך מדעי</v>
      </c>
      <c r="H127" s="88" t="str">
        <f>IF($F127="","",'הזנה לתנאי סף'!I127)</f>
        <v>מוזיאונים</v>
      </c>
      <c r="I127" s="213">
        <f>IF($F127="","",'תחום תמיכה א'!$I127)</f>
        <v>736422</v>
      </c>
      <c r="J127" s="213">
        <f>IF($F127="","",'תחום תמיכה א'!$J127)</f>
        <v>3239345</v>
      </c>
      <c r="K127" s="213">
        <f>IF($F127="","",'תחום תמיכה א'!$K127)</f>
        <v>357487</v>
      </c>
      <c r="L127" s="213">
        <f t="shared" si="14"/>
        <v>4333254</v>
      </c>
      <c r="M127" s="214">
        <f t="shared" si="15"/>
        <v>0.16994664979251159</v>
      </c>
      <c r="N127" s="214">
        <f t="shared" si="24"/>
        <v>0.83005335020748838</v>
      </c>
      <c r="O127" s="213">
        <f t="shared" si="16"/>
        <v>2688829.1697278763</v>
      </c>
      <c r="P127" s="213">
        <f>IF($F127="","",'פרמטרים לקריטריונים'!$C$59*O127)</f>
        <v>806648.75091836287</v>
      </c>
      <c r="Q127" s="214">
        <f t="shared" si="17"/>
        <v>4.5828056725595078E-3</v>
      </c>
      <c r="R127" s="213">
        <f t="shared" si="25"/>
        <v>458280.56725595077</v>
      </c>
      <c r="S127" s="213">
        <f>IF($F127="","",'הזנה לתנאי סף'!N127)</f>
        <v>0</v>
      </c>
      <c r="T127" s="213">
        <f>IF($F127="","",'הזנה לתנאי סף'!O127)</f>
        <v>1</v>
      </c>
      <c r="U127" s="213">
        <f>IF($F127="","",'תחום תמיכה א'!W127)</f>
        <v>0</v>
      </c>
      <c r="V127" s="213">
        <f>IF($F127="","",'תחום תמיכה א'!X127)</f>
        <v>0</v>
      </c>
      <c r="W127" s="213">
        <f>IF($F127="","",'תחום תמיכה א'!Y127)</f>
        <v>1</v>
      </c>
      <c r="X127" s="231">
        <f>IF($F127="","",'תחום תמיכה א'!Z127)</f>
        <v>0</v>
      </c>
      <c r="Y127" s="213" t="str">
        <f>IF($F127="","",'תחום תמיכה א'!AA127)</f>
        <v/>
      </c>
      <c r="Z127" s="214" t="str">
        <f>IF($F127="","",'תחום תמיכה א'!AB127)</f>
        <v/>
      </c>
      <c r="AA127" s="225" t="str">
        <f>IF($F127="","",'תחום תמיכה א'!AC127)</f>
        <v/>
      </c>
      <c r="AB127" s="213" t="str">
        <f t="shared" si="18"/>
        <v/>
      </c>
      <c r="AC127" s="213">
        <f t="shared" si="19"/>
        <v>458280.56725595077</v>
      </c>
      <c r="AD127" s="214">
        <f t="shared" si="20"/>
        <v>4.592863274616275E-3</v>
      </c>
      <c r="AE127" s="213">
        <f t="shared" si="23"/>
        <v>472022.13400894287</v>
      </c>
      <c r="AF127" s="214">
        <f t="shared" si="21"/>
        <v>4.5928632746162759E-3</v>
      </c>
    </row>
    <row r="128" spans="1:32" ht="15.75" x14ac:dyDescent="0.2">
      <c r="A128" s="206">
        <f t="shared" si="22"/>
        <v>98</v>
      </c>
      <c r="B128" s="88">
        <f>IF($F128="","",'הזנה לתנאי סף'!C128)</f>
        <v>1001348864</v>
      </c>
      <c r="C128" s="88">
        <f>IF($F128="","",'הזנה לתנאי סף'!D128)</f>
        <v>1001311515</v>
      </c>
      <c r="D128" s="88">
        <f>IF($F128="","",'הזנה לתנאי סף'!E128)</f>
        <v>40216045</v>
      </c>
      <c r="E128" s="88">
        <f>IF($F128="","",'הזנה לתנאי סף'!F128)</f>
        <v>20000158</v>
      </c>
      <c r="F128" s="88" t="str">
        <f>IF(OR('הזנה לתנאי סף'!G128="",'הזנה לתנאי סף'!BL128&lt;&gt;1,'הזנה לתנאי סף'!Q128&lt;&gt;1),"",'הזנה לתנאי סף'!G128)</f>
        <v>גולן</v>
      </c>
      <c r="G128" s="88" t="str">
        <f>IF($F128="","",'הזנה לתנאי סף'!H128)</f>
        <v>תל-חי כיתות אומן בינ"ל לפסנתר</v>
      </c>
      <c r="H128" s="88" t="str">
        <f>IF($F128="","",'הזנה לתנאי סף'!I128)</f>
        <v>מרכזי מוסיקה</v>
      </c>
      <c r="I128" s="213">
        <f>IF($F128="","",'תחום תמיכה א'!$I128)</f>
        <v>70000</v>
      </c>
      <c r="J128" s="213">
        <f>IF($F128="","",'תחום תמיכה א'!$J128)</f>
        <v>869811</v>
      </c>
      <c r="K128" s="213">
        <f>IF($F128="","",'תחום תמיכה א'!$K128)</f>
        <v>0</v>
      </c>
      <c r="L128" s="213">
        <f t="shared" si="14"/>
        <v>939811</v>
      </c>
      <c r="M128" s="214">
        <f t="shared" si="15"/>
        <v>7.4483060955873037E-2</v>
      </c>
      <c r="N128" s="214">
        <f t="shared" si="24"/>
        <v>0.92551693904412691</v>
      </c>
      <c r="O128" s="213">
        <f t="shared" si="16"/>
        <v>805024.81426691113</v>
      </c>
      <c r="P128" s="213">
        <f>IF($F128="","",'פרמטרים לקריטריונים'!$C$59*O128)</f>
        <v>241507.44428007334</v>
      </c>
      <c r="Q128" s="214">
        <f t="shared" si="17"/>
        <v>1.3720738851352682E-3</v>
      </c>
      <c r="R128" s="213">
        <f t="shared" si="25"/>
        <v>137207.38851352682</v>
      </c>
      <c r="S128" s="213">
        <f>IF($F128="","",'הזנה לתנאי סף'!N128)</f>
        <v>0</v>
      </c>
      <c r="T128" s="213">
        <f>IF($F128="","",'הזנה לתנאי סף'!O128)</f>
        <v>1</v>
      </c>
      <c r="U128" s="213">
        <f>IF($F128="","",'תחום תמיכה א'!W128)</f>
        <v>0</v>
      </c>
      <c r="V128" s="213">
        <f>IF($F128="","",'תחום תמיכה א'!X128)</f>
        <v>0</v>
      </c>
      <c r="W128" s="213">
        <f>IF($F128="","",'תחום תמיכה א'!Y128)</f>
        <v>1</v>
      </c>
      <c r="X128" s="231">
        <f>IF($F128="","",'תחום תמיכה א'!Z128)</f>
        <v>0</v>
      </c>
      <c r="Y128" s="213" t="str">
        <f>IF($F128="","",'תחום תמיכה א'!AA128)</f>
        <v/>
      </c>
      <c r="Z128" s="214" t="str">
        <f>IF($F128="","",'תחום תמיכה א'!AB128)</f>
        <v/>
      </c>
      <c r="AA128" s="225" t="str">
        <f>IF($F128="","",'תחום תמיכה א'!AC128)</f>
        <v/>
      </c>
      <c r="AB128" s="213" t="str">
        <f t="shared" si="18"/>
        <v/>
      </c>
      <c r="AC128" s="213">
        <f t="shared" si="19"/>
        <v>137207.38851352682</v>
      </c>
      <c r="AD128" s="214">
        <f t="shared" si="20"/>
        <v>1.3750850913951808E-3</v>
      </c>
      <c r="AE128" s="213">
        <f t="shared" si="23"/>
        <v>141321.55922679062</v>
      </c>
      <c r="AF128" s="214">
        <f t="shared" si="21"/>
        <v>1.375085091395181E-3</v>
      </c>
    </row>
    <row r="129" spans="1:32" ht="15.75" x14ac:dyDescent="0.2">
      <c r="A129" s="206">
        <f t="shared" si="22"/>
        <v>99</v>
      </c>
      <c r="B129" s="88">
        <f>IF($F129="","",'הזנה לתנאי סף'!C129)</f>
        <v>1001350625</v>
      </c>
      <c r="C129" s="88">
        <f>IF($F129="","",'הזנה לתנאי סף'!D129)</f>
        <v>1001312149</v>
      </c>
      <c r="D129" s="88">
        <f>IF($F129="","",'הזנה לתנאי סף'!E129)</f>
        <v>40233029</v>
      </c>
      <c r="E129" s="88">
        <f>IF($F129="","",'הזנה לתנאי סף'!F129)</f>
        <v>20000159</v>
      </c>
      <c r="F129" s="88" t="str">
        <f>IF(OR('הזנה לתנאי סף'!G129="",'הזנה לתנאי סף'!BL129&lt;&gt;1,'הזנה לתנאי סף'!Q129&lt;&gt;1),"",'הזנה לתנאי סף'!G129)</f>
        <v>ירושלים</v>
      </c>
      <c r="G129" s="88" t="str">
        <f>IF($F129="","",'הזנה לתנאי סף'!H129)</f>
        <v>המרכז למוסיקה ירושלים</v>
      </c>
      <c r="H129" s="88" t="str">
        <f>IF($F129="","",'הזנה לתנאי סף'!I129)</f>
        <v>מרכזי מוסיקה</v>
      </c>
      <c r="I129" s="213">
        <f>IF($F129="","",'תחום תמיכה א'!$I129)</f>
        <v>50000</v>
      </c>
      <c r="J129" s="213">
        <f>IF($F129="","",'תחום תמיכה א'!$J129)</f>
        <v>1805143</v>
      </c>
      <c r="K129" s="213">
        <f>IF($F129="","",'תחום תמיכה א'!$K129)</f>
        <v>0</v>
      </c>
      <c r="L129" s="213">
        <f t="shared" si="14"/>
        <v>1855143</v>
      </c>
      <c r="M129" s="214">
        <f t="shared" si="15"/>
        <v>2.6952100188502987E-2</v>
      </c>
      <c r="N129" s="214">
        <f t="shared" si="24"/>
        <v>0.97304789981149697</v>
      </c>
      <c r="O129" s="213">
        <f t="shared" si="16"/>
        <v>1756490.6050094252</v>
      </c>
      <c r="P129" s="213">
        <f>IF($F129="","",'פרמטרים לקריטריונים'!$C$59*O129)</f>
        <v>526947.18150282756</v>
      </c>
      <c r="Q129" s="214">
        <f t="shared" si="17"/>
        <v>2.9937398772155329E-3</v>
      </c>
      <c r="R129" s="213">
        <f t="shared" si="25"/>
        <v>299373.98772155331</v>
      </c>
      <c r="S129" s="213">
        <f>IF($F129="","",'הזנה לתנאי סף'!N129)</f>
        <v>0</v>
      </c>
      <c r="T129" s="213">
        <f>IF($F129="","",'הזנה לתנאי סף'!O129)</f>
        <v>1</v>
      </c>
      <c r="U129" s="213">
        <f>IF($F129="","",'תחום תמיכה א'!W129)</f>
        <v>0</v>
      </c>
      <c r="V129" s="213">
        <f>IF($F129="","",'תחום תמיכה א'!X129)</f>
        <v>0</v>
      </c>
      <c r="W129" s="213">
        <f>IF($F129="","",'תחום תמיכה א'!Y129)</f>
        <v>1</v>
      </c>
      <c r="X129" s="231">
        <f>IF($F129="","",'תחום תמיכה א'!Z129)</f>
        <v>0</v>
      </c>
      <c r="Y129" s="213" t="str">
        <f>IF($F129="","",'תחום תמיכה א'!AA129)</f>
        <v/>
      </c>
      <c r="Z129" s="214" t="str">
        <f>IF($F129="","",'תחום תמיכה א'!AB129)</f>
        <v/>
      </c>
      <c r="AA129" s="225" t="str">
        <f>IF($F129="","",'תחום תמיכה א'!AC129)</f>
        <v/>
      </c>
      <c r="AB129" s="213" t="str">
        <f t="shared" si="18"/>
        <v/>
      </c>
      <c r="AC129" s="213">
        <f t="shared" si="19"/>
        <v>299373.98772155331</v>
      </c>
      <c r="AD129" s="214">
        <f t="shared" si="20"/>
        <v>3.0003100541983363E-3</v>
      </c>
      <c r="AE129" s="213">
        <f t="shared" si="23"/>
        <v>308350.73238480143</v>
      </c>
      <c r="AF129" s="214">
        <f t="shared" si="21"/>
        <v>3.0003100541983372E-3</v>
      </c>
    </row>
    <row r="130" spans="1:32" ht="15.75" x14ac:dyDescent="0.2">
      <c r="A130" s="206">
        <f t="shared" si="22"/>
        <v>100</v>
      </c>
      <c r="B130" s="88">
        <f>IF($F130="","",'הזנה לתנאי סף'!C130)</f>
        <v>1001347014</v>
      </c>
      <c r="C130" s="88">
        <f>IF($F130="","",'הזנה לתנאי סף'!D130)</f>
        <v>1001269702</v>
      </c>
      <c r="D130" s="88">
        <f>IF($F130="","",'הזנה לתנאי סף'!E130)</f>
        <v>40216083</v>
      </c>
      <c r="E130" s="88">
        <f>IF($F130="","",'הזנה לתנאי סף'!F130)</f>
        <v>20000159</v>
      </c>
      <c r="F130" s="88" t="str">
        <f>IF(OR('הזנה לתנאי סף'!G130="",'הזנה לתנאי סף'!BL130&lt;&gt;1,'הזנה לתנאי סף'!Q130&lt;&gt;1),"",'הזנה לתנאי סף'!G130)</f>
        <v>ירושלים</v>
      </c>
      <c r="G130" s="88" t="str">
        <f>IF($F130="","",'הזנה לתנאי סף'!H130)</f>
        <v>תאטרון "פסיק" ירושלים</v>
      </c>
      <c r="H130" s="88" t="str">
        <f>IF($F130="","",'הזנה לתנאי סף'!I130)</f>
        <v>תיאטרון</v>
      </c>
      <c r="I130" s="213">
        <f>IF($F130="","",'תחום תמיכה א'!$I130)</f>
        <v>1424217</v>
      </c>
      <c r="J130" s="213">
        <f>IF($F130="","",'תחום תמיכה א'!$J130)</f>
        <v>1974355</v>
      </c>
      <c r="K130" s="213">
        <f>IF($F130="","",'תחום תמיכה א'!$K130)</f>
        <v>0</v>
      </c>
      <c r="L130" s="213">
        <f t="shared" si="14"/>
        <v>3398572</v>
      </c>
      <c r="M130" s="214">
        <f t="shared" si="15"/>
        <v>0.41906335955218837</v>
      </c>
      <c r="N130" s="214">
        <f t="shared" si="24"/>
        <v>0.58093664044781157</v>
      </c>
      <c r="O130" s="213">
        <f t="shared" si="16"/>
        <v>1146975.160751339</v>
      </c>
      <c r="P130" s="213">
        <f>IF($F130="","",'פרמטרים לקריטריונים'!$C$59*O130)</f>
        <v>344092.54822540173</v>
      </c>
      <c r="Q130" s="214">
        <f t="shared" si="17"/>
        <v>1.95488963454977E-3</v>
      </c>
      <c r="R130" s="213">
        <f t="shared" si="25"/>
        <v>195488.963454977</v>
      </c>
      <c r="S130" s="213">
        <f>IF($F130="","",'הזנה לתנאי סף'!N130)</f>
        <v>1</v>
      </c>
      <c r="T130" s="213">
        <f>IF($F130="","",'הזנה לתנאי סף'!O130)</f>
        <v>1</v>
      </c>
      <c r="U130" s="213">
        <f>IF($F130="","",'תחום תמיכה א'!W130)</f>
        <v>0</v>
      </c>
      <c r="V130" s="213">
        <f>IF($F130="","",'תחום תמיכה א'!X130)</f>
        <v>0</v>
      </c>
      <c r="W130" s="213">
        <f>IF($F130="","",'תחום תמיכה א'!Y130)</f>
        <v>0</v>
      </c>
      <c r="X130" s="231" t="str">
        <f>IF($F130="","",'תחום תמיכה א'!Z130)</f>
        <v>בדוק נתוני הזנה</v>
      </c>
      <c r="Y130" s="213" t="str">
        <f>IF($F130="","",'תחום תמיכה א'!AA130)</f>
        <v>בדוק נתוני הזנה</v>
      </c>
      <c r="Z130" s="214">
        <f>IF($F130="","",'תחום תמיכה א'!AB130)</f>
        <v>1</v>
      </c>
      <c r="AA130" s="225" t="str">
        <f>IF($F130="","",'תחום תמיכה א'!AC130)</f>
        <v/>
      </c>
      <c r="AB130" s="213" t="str">
        <f t="shared" si="18"/>
        <v/>
      </c>
      <c r="AC130" s="213">
        <f t="shared" si="19"/>
        <v>195488.963454977</v>
      </c>
      <c r="AD130" s="214">
        <f t="shared" si="20"/>
        <v>1.9591799107286025E-3</v>
      </c>
      <c r="AE130" s="213">
        <f t="shared" si="23"/>
        <v>201350.71023790241</v>
      </c>
      <c r="AF130" s="214">
        <f t="shared" si="21"/>
        <v>1.9591799107286033E-3</v>
      </c>
    </row>
    <row r="131" spans="1:32" ht="15.75" x14ac:dyDescent="0.2">
      <c r="A131" s="206">
        <f t="shared" si="22"/>
        <v>101</v>
      </c>
      <c r="B131" s="88">
        <f>IF($F131="","",'הזנה לתנאי סף'!C131)</f>
        <v>1001350428</v>
      </c>
      <c r="C131" s="88">
        <f>IF($F131="","",'הזנה לתנאי סף'!D131)</f>
        <v>1001269684</v>
      </c>
      <c r="D131" s="88">
        <f>IF($F131="","",'הזנה לתנאי סף'!E131)</f>
        <v>40216083</v>
      </c>
      <c r="E131" s="88">
        <f>IF($F131="","",'הזנה לתנאי סף'!F131)</f>
        <v>20000159</v>
      </c>
      <c r="F131" s="88" t="str">
        <f>IF(OR('הזנה לתנאי סף'!G131="",'הזנה לתנאי סף'!BL131&lt;&gt;1,'הזנה לתנאי סף'!Q131&lt;&gt;1),"",'הזנה לתנאי סף'!G131)</f>
        <v>ירושלים</v>
      </c>
      <c r="G131" s="88" t="str">
        <f>IF($F131="","",'הזנה לתנאי סף'!H131)</f>
        <v>תאטרון "פסיק" ירושלים</v>
      </c>
      <c r="H131" s="88" t="str">
        <f>IF($F131="","",'הזנה לתנאי סף'!I131)</f>
        <v>תיאטרון</v>
      </c>
      <c r="I131" s="213">
        <f>IF($F131="","",'תחום תמיכה א'!$I131)</f>
        <v>140225</v>
      </c>
      <c r="J131" s="213">
        <f>IF($F131="","",'תחום תמיכה א'!$J131)</f>
        <v>47637</v>
      </c>
      <c r="K131" s="213">
        <f>IF($F131="","",'תחום תמיכה א'!$K131)</f>
        <v>0</v>
      </c>
      <c r="L131" s="213">
        <f t="shared" si="14"/>
        <v>187862</v>
      </c>
      <c r="M131" s="214">
        <f t="shared" si="15"/>
        <v>0.74642556770395285</v>
      </c>
      <c r="N131" s="214">
        <f t="shared" si="24"/>
        <v>0.25357443229604715</v>
      </c>
      <c r="O131" s="213">
        <f t="shared" si="16"/>
        <v>12079.525231286798</v>
      </c>
      <c r="P131" s="213">
        <f>IF($F131="","",'פרמטרים לקריטריונים'!$C$59*O131)</f>
        <v>3623.8575693860394</v>
      </c>
      <c r="Q131" s="214">
        <f t="shared" si="17"/>
        <v>2.058818662599133E-5</v>
      </c>
      <c r="R131" s="213">
        <f t="shared" si="25"/>
        <v>2058.8186625991329</v>
      </c>
      <c r="S131" s="213">
        <f>IF($F131="","",'הזנה לתנאי סף'!N131)</f>
        <v>1</v>
      </c>
      <c r="T131" s="213">
        <f>IF($F131="","",'הזנה לתנאי סף'!O131)</f>
        <v>1</v>
      </c>
      <c r="U131" s="213">
        <f>IF($F131="","",'תחום תמיכה א'!W131)</f>
        <v>0</v>
      </c>
      <c r="V131" s="213">
        <f>IF($F131="","",'תחום תמיכה א'!X131)</f>
        <v>0</v>
      </c>
      <c r="W131" s="213">
        <f>IF($F131="","",'תחום תמיכה א'!Y131)</f>
        <v>0</v>
      </c>
      <c r="X131" s="231" t="str">
        <f>IF($F131="","",'תחום תמיכה א'!Z131)</f>
        <v>בדוק נתוני הזנה</v>
      </c>
      <c r="Y131" s="213" t="str">
        <f>IF($F131="","",'תחום תמיכה א'!AA131)</f>
        <v>בדוק נתוני הזנה</v>
      </c>
      <c r="Z131" s="214">
        <f>IF($F131="","",'תחום תמיכה א'!AB131)</f>
        <v>1</v>
      </c>
      <c r="AA131" s="225" t="str">
        <f>IF($F131="","",'תחום תמיכה א'!AC131)</f>
        <v/>
      </c>
      <c r="AB131" s="213" t="str">
        <f t="shared" si="18"/>
        <v/>
      </c>
      <c r="AC131" s="213">
        <f t="shared" si="19"/>
        <v>2058.8186625991329</v>
      </c>
      <c r="AD131" s="214">
        <f t="shared" si="20"/>
        <v>2.0633370254307611E-5</v>
      </c>
      <c r="AE131" s="213">
        <f t="shared" si="23"/>
        <v>2120.5524477644358</v>
      </c>
      <c r="AF131" s="214">
        <f t="shared" si="21"/>
        <v>2.0633370254307618E-5</v>
      </c>
    </row>
    <row r="132" spans="1:32" ht="15.75" x14ac:dyDescent="0.2">
      <c r="A132" s="206">
        <f t="shared" si="22"/>
        <v>102</v>
      </c>
      <c r="B132" s="88">
        <f>IF($F132="","",'הזנה לתנאי סף'!C132)</f>
        <v>1001350429</v>
      </c>
      <c r="C132" s="88">
        <f>IF($F132="","",'הזנה לתנאי סף'!D132)</f>
        <v>1001269710</v>
      </c>
      <c r="D132" s="88">
        <f>IF($F132="","",'הזנה לתנאי סף'!E132)</f>
        <v>40216083</v>
      </c>
      <c r="E132" s="88">
        <f>IF($F132="","",'הזנה לתנאי סף'!F132)</f>
        <v>20000159</v>
      </c>
      <c r="F132" s="88" t="str">
        <f>IF(OR('הזנה לתנאי סף'!G132="",'הזנה לתנאי סף'!BL132&lt;&gt;1,'הזנה לתנאי סף'!Q132&lt;&gt;1),"",'הזנה לתנאי סף'!G132)</f>
        <v>ירושלים</v>
      </c>
      <c r="G132" s="88" t="str">
        <f>IF($F132="","",'הזנה לתנאי סף'!H132)</f>
        <v>תאטרון "פסיק" ירושלים</v>
      </c>
      <c r="H132" s="88" t="str">
        <f>IF($F132="","",'הזנה לתנאי סף'!I132)</f>
        <v>תיאטרון</v>
      </c>
      <c r="I132" s="213">
        <f>IF($F132="","",'תחום תמיכה א'!$I132)</f>
        <v>90000</v>
      </c>
      <c r="J132" s="213">
        <f>IF($F132="","",'תחום תמיכה א'!$J132)</f>
        <v>40091</v>
      </c>
      <c r="K132" s="213">
        <f>IF($F132="","",'תחום תמיכה א'!$K132)</f>
        <v>20000</v>
      </c>
      <c r="L132" s="213">
        <f t="shared" si="14"/>
        <v>150091</v>
      </c>
      <c r="M132" s="214">
        <f t="shared" si="15"/>
        <v>0.59963622069277966</v>
      </c>
      <c r="N132" s="214">
        <f t="shared" si="24"/>
        <v>0.40036377930722034</v>
      </c>
      <c r="O132" s="213">
        <f t="shared" si="16"/>
        <v>16050.984276205771</v>
      </c>
      <c r="P132" s="213">
        <f>IF($F132="","",'פרמטרים לקריטריונים'!$C$59*O132)</f>
        <v>4815.2952828617308</v>
      </c>
      <c r="Q132" s="214">
        <f t="shared" si="17"/>
        <v>2.7357090074489106E-5</v>
      </c>
      <c r="R132" s="213">
        <f t="shared" si="25"/>
        <v>2735.7090074489106</v>
      </c>
      <c r="S132" s="213">
        <f>IF($F132="","",'הזנה לתנאי סף'!N132)</f>
        <v>1</v>
      </c>
      <c r="T132" s="213">
        <f>IF($F132="","",'הזנה לתנאי סף'!O132)</f>
        <v>1</v>
      </c>
      <c r="U132" s="213">
        <f>IF($F132="","",'תחום תמיכה א'!W132)</f>
        <v>0</v>
      </c>
      <c r="V132" s="213">
        <f>IF($F132="","",'תחום תמיכה א'!X132)</f>
        <v>0</v>
      </c>
      <c r="W132" s="213">
        <f>IF($F132="","",'תחום תמיכה א'!Y132)</f>
        <v>0</v>
      </c>
      <c r="X132" s="231" t="str">
        <f>IF($F132="","",'תחום תמיכה א'!Z132)</f>
        <v>בדוק נתוני הזנה</v>
      </c>
      <c r="Y132" s="213" t="str">
        <f>IF($F132="","",'תחום תמיכה א'!AA132)</f>
        <v>בדוק נתוני הזנה</v>
      </c>
      <c r="Z132" s="214">
        <f>IF($F132="","",'תחום תמיכה א'!AB132)</f>
        <v>1</v>
      </c>
      <c r="AA132" s="225" t="str">
        <f>IF($F132="","",'תחום תמיכה א'!AC132)</f>
        <v/>
      </c>
      <c r="AB132" s="213" t="str">
        <f t="shared" si="18"/>
        <v/>
      </c>
      <c r="AC132" s="213">
        <f t="shared" si="19"/>
        <v>2735.7090074489106</v>
      </c>
      <c r="AD132" s="214">
        <f t="shared" si="20"/>
        <v>2.7417128999344212E-5</v>
      </c>
      <c r="AE132" s="213">
        <f t="shared" si="23"/>
        <v>2817.7393849700793</v>
      </c>
      <c r="AF132" s="214">
        <f t="shared" si="21"/>
        <v>2.7417128999344218E-5</v>
      </c>
    </row>
    <row r="133" spans="1:32" ht="15.75" x14ac:dyDescent="0.2">
      <c r="A133" s="206">
        <f t="shared" si="22"/>
        <v>103</v>
      </c>
      <c r="B133" s="88">
        <f>IF($F133="","",'הזנה לתנאי סף'!C133)</f>
        <v>1001350431</v>
      </c>
      <c r="C133" s="88">
        <f>IF($F133="","",'הזנה לתנאי סף'!D133)</f>
        <v>1001268315</v>
      </c>
      <c r="D133" s="88">
        <f>IF($F133="","",'הזנה לתנאי סף'!E133)</f>
        <v>40216083</v>
      </c>
      <c r="E133" s="88">
        <f>IF($F133="","",'הזנה לתנאי סף'!F133)</f>
        <v>20000159</v>
      </c>
      <c r="F133" s="88" t="str">
        <f>IF(OR('הזנה לתנאי סף'!G133="",'הזנה לתנאי סף'!BL133&lt;&gt;1,'הזנה לתנאי סף'!Q133&lt;&gt;1),"",'הזנה לתנאי סף'!G133)</f>
        <v>ירושלים</v>
      </c>
      <c r="G133" s="88" t="str">
        <f>IF($F133="","",'הזנה לתנאי סף'!H133)</f>
        <v>תאטרון "פסיק" ירושלים</v>
      </c>
      <c r="H133" s="88" t="str">
        <f>IF($F133="","",'הזנה לתנאי סף'!I133)</f>
        <v>תיאטרון</v>
      </c>
      <c r="I133" s="213">
        <f>IF($F133="","",'תחום תמיכה א'!$I133)</f>
        <v>235413</v>
      </c>
      <c r="J133" s="213">
        <f>IF($F133="","",'תחום תמיכה א'!$J133)</f>
        <v>423216</v>
      </c>
      <c r="K133" s="213">
        <f>IF($F133="","",'תחום תמיכה א'!$K133)</f>
        <v>0</v>
      </c>
      <c r="L133" s="213">
        <f t="shared" si="14"/>
        <v>658629</v>
      </c>
      <c r="M133" s="214">
        <f t="shared" si="15"/>
        <v>0.35742884081933834</v>
      </c>
      <c r="N133" s="214">
        <f t="shared" si="24"/>
        <v>0.64257115918066166</v>
      </c>
      <c r="O133" s="213">
        <f t="shared" si="16"/>
        <v>271946.39570380287</v>
      </c>
      <c r="P133" s="213">
        <f>IF($F133="","",'פרמטרים לקריטריונים'!$C$59*O133)</f>
        <v>81583.918711140854</v>
      </c>
      <c r="Q133" s="214">
        <f t="shared" si="17"/>
        <v>4.6350192079686124E-4</v>
      </c>
      <c r="R133" s="213">
        <f t="shared" si="25"/>
        <v>46350.192079686123</v>
      </c>
      <c r="S133" s="213">
        <f>IF($F133="","",'הזנה לתנאי סף'!N133)</f>
        <v>1</v>
      </c>
      <c r="T133" s="213">
        <f>IF($F133="","",'הזנה לתנאי סף'!O133)</f>
        <v>1</v>
      </c>
      <c r="U133" s="213">
        <f>IF($F133="","",'תחום תמיכה א'!W133)</f>
        <v>0</v>
      </c>
      <c r="V133" s="213">
        <f>IF($F133="","",'תחום תמיכה א'!X133)</f>
        <v>0</v>
      </c>
      <c r="W133" s="213">
        <f>IF($F133="","",'תחום תמיכה א'!Y133)</f>
        <v>0</v>
      </c>
      <c r="X133" s="231" t="str">
        <f>IF($F133="","",'תחום תמיכה א'!Z133)</f>
        <v>בדוק נתוני הזנה</v>
      </c>
      <c r="Y133" s="213" t="str">
        <f>IF($F133="","",'תחום תמיכה א'!AA133)</f>
        <v>בדוק נתוני הזנה</v>
      </c>
      <c r="Z133" s="214">
        <f>IF($F133="","",'תחום תמיכה א'!AB133)</f>
        <v>0</v>
      </c>
      <c r="AA133" s="225" t="str">
        <f>IF($F133="","",'תחום תמיכה א'!AC133)</f>
        <v/>
      </c>
      <c r="AB133" s="213" t="str">
        <f t="shared" si="18"/>
        <v/>
      </c>
      <c r="AC133" s="213">
        <f t="shared" si="19"/>
        <v>46350.192079686123</v>
      </c>
      <c r="AD133" s="214">
        <f t="shared" si="20"/>
        <v>4.6451913998637112E-4</v>
      </c>
      <c r="AE133" s="213">
        <f t="shared" si="23"/>
        <v>47740.005010857807</v>
      </c>
      <c r="AF133" s="214">
        <f t="shared" si="21"/>
        <v>4.6451913998637122E-4</v>
      </c>
    </row>
    <row r="134" spans="1:32" ht="15.75" x14ac:dyDescent="0.2">
      <c r="A134" s="206">
        <f t="shared" si="22"/>
        <v>104</v>
      </c>
      <c r="B134" s="88">
        <f>IF($F134="","",'הזנה לתנאי סף'!C134)</f>
        <v>1001350432</v>
      </c>
      <c r="C134" s="88">
        <f>IF($F134="","",'הזנה לתנאי סף'!D134)</f>
        <v>1001269688</v>
      </c>
      <c r="D134" s="88">
        <f>IF($F134="","",'הזנה לתנאי סף'!E134)</f>
        <v>40216083</v>
      </c>
      <c r="E134" s="88">
        <f>IF($F134="","",'הזנה לתנאי סף'!F134)</f>
        <v>20000159</v>
      </c>
      <c r="F134" s="88" t="str">
        <f>IF(OR('הזנה לתנאי סף'!G134="",'הזנה לתנאי סף'!BL134&lt;&gt;1,'הזנה לתנאי סף'!Q134&lt;&gt;1),"",'הזנה לתנאי סף'!G134)</f>
        <v>ירושלים</v>
      </c>
      <c r="G134" s="88" t="str">
        <f>IF($F134="","",'הזנה לתנאי סף'!H134)</f>
        <v>תאטרון "פסיק" ירושלים</v>
      </c>
      <c r="H134" s="88" t="str">
        <f>IF($F134="","",'הזנה לתנאי סף'!I134)</f>
        <v>תיאטרון</v>
      </c>
      <c r="I134" s="213">
        <f>IF($F134="","",'תחום תמיכה א'!$I134)</f>
        <v>360000</v>
      </c>
      <c r="J134" s="213">
        <f>IF($F134="","",'תחום תמיכה א'!$J134)</f>
        <v>246447</v>
      </c>
      <c r="K134" s="213">
        <f>IF($F134="","",'תחום תמיכה א'!$K134)</f>
        <v>0</v>
      </c>
      <c r="L134" s="213">
        <f t="shared" si="14"/>
        <v>606447</v>
      </c>
      <c r="M134" s="214">
        <f t="shared" si="15"/>
        <v>0.59362153658934746</v>
      </c>
      <c r="N134" s="214">
        <f t="shared" si="24"/>
        <v>0.40637846341065254</v>
      </c>
      <c r="O134" s="213">
        <f t="shared" si="16"/>
        <v>100150.75317216509</v>
      </c>
      <c r="P134" s="213">
        <f>IF($F134="","",'פרמטרים לקריטריונים'!$C$59*O134)</f>
        <v>30045.225951649525</v>
      </c>
      <c r="Q134" s="214">
        <f t="shared" si="17"/>
        <v>1.7069564884070177E-4</v>
      </c>
      <c r="R134" s="213">
        <f t="shared" si="25"/>
        <v>17069.564884070176</v>
      </c>
      <c r="S134" s="213">
        <f>IF($F134="","",'הזנה לתנאי סף'!N134)</f>
        <v>1</v>
      </c>
      <c r="T134" s="213">
        <f>IF($F134="","",'הזנה לתנאי סף'!O134)</f>
        <v>1</v>
      </c>
      <c r="U134" s="213">
        <f>IF($F134="","",'תחום תמיכה א'!W134)</f>
        <v>0</v>
      </c>
      <c r="V134" s="213">
        <f>IF($F134="","",'תחום תמיכה א'!X134)</f>
        <v>0</v>
      </c>
      <c r="W134" s="213">
        <f>IF($F134="","",'תחום תמיכה א'!Y134)</f>
        <v>0</v>
      </c>
      <c r="X134" s="231" t="str">
        <f>IF($F134="","",'תחום תמיכה א'!Z134)</f>
        <v>בדוק נתוני הזנה</v>
      </c>
      <c r="Y134" s="213" t="str">
        <f>IF($F134="","",'תחום תמיכה א'!AA134)</f>
        <v>בדוק נתוני הזנה</v>
      </c>
      <c r="Z134" s="214">
        <f>IF($F134="","",'תחום תמיכה א'!AB134)</f>
        <v>1</v>
      </c>
      <c r="AA134" s="225" t="str">
        <f>IF($F134="","",'תחום תמיכה א'!AC134)</f>
        <v/>
      </c>
      <c r="AB134" s="213" t="str">
        <f t="shared" si="18"/>
        <v/>
      </c>
      <c r="AC134" s="213">
        <f t="shared" si="19"/>
        <v>17069.564884070176</v>
      </c>
      <c r="AD134" s="214">
        <f t="shared" si="20"/>
        <v>1.7107026409422235E-4</v>
      </c>
      <c r="AE134" s="213">
        <f t="shared" si="23"/>
        <v>17581.396678953977</v>
      </c>
      <c r="AF134" s="214">
        <f t="shared" si="21"/>
        <v>1.7107026409422238E-4</v>
      </c>
    </row>
    <row r="135" spans="1:32" ht="15.75" x14ac:dyDescent="0.2">
      <c r="A135" s="206">
        <f t="shared" si="22"/>
        <v>105</v>
      </c>
      <c r="B135" s="88">
        <f>IF($F135="","",'הזנה לתנאי סף'!C135)</f>
        <v>1001350435</v>
      </c>
      <c r="C135" s="88">
        <f>IF($F135="","",'הזנה לתנאי סף'!D135)</f>
        <v>1001269686</v>
      </c>
      <c r="D135" s="88">
        <f>IF($F135="","",'הזנה לתנאי סף'!E135)</f>
        <v>40216083</v>
      </c>
      <c r="E135" s="88">
        <f>IF($F135="","",'הזנה לתנאי סף'!F135)</f>
        <v>20000159</v>
      </c>
      <c r="F135" s="88" t="str">
        <f>IF(OR('הזנה לתנאי סף'!G135="",'הזנה לתנאי סף'!BL135&lt;&gt;1,'הזנה לתנאי סף'!Q135&lt;&gt;1),"",'הזנה לתנאי סף'!G135)</f>
        <v>ירושלים</v>
      </c>
      <c r="G135" s="88" t="str">
        <f>IF($F135="","",'הזנה לתנאי סף'!H135)</f>
        <v>תאטרון "פסיק" ירושלים</v>
      </c>
      <c r="H135" s="88" t="str">
        <f>IF($F135="","",'הזנה לתנאי סף'!I135)</f>
        <v>תיאטרון</v>
      </c>
      <c r="I135" s="213">
        <f>IF($F135="","",'תחום תמיכה א'!$I135)</f>
        <v>105069</v>
      </c>
      <c r="J135" s="213">
        <f>IF($F135="","",'תחום תמיכה א'!$J135)</f>
        <v>59463</v>
      </c>
      <c r="K135" s="213">
        <f>IF($F135="","",'תחום תמיכה א'!$K135)</f>
        <v>0</v>
      </c>
      <c r="L135" s="213">
        <f t="shared" si="14"/>
        <v>164532</v>
      </c>
      <c r="M135" s="214">
        <f t="shared" si="15"/>
        <v>0.63859310043031148</v>
      </c>
      <c r="N135" s="214">
        <f t="shared" si="24"/>
        <v>0.36140689956968852</v>
      </c>
      <c r="O135" s="213">
        <f t="shared" si="16"/>
        <v>21490.33846911239</v>
      </c>
      <c r="P135" s="213">
        <f>IF($F135="","",'פרמטרים לקריטריונים'!$C$59*O135)</f>
        <v>6447.1015407337172</v>
      </c>
      <c r="Q135" s="214">
        <f t="shared" si="17"/>
        <v>3.6627855034553712E-5</v>
      </c>
      <c r="R135" s="213">
        <f t="shared" si="25"/>
        <v>3662.7855034553713</v>
      </c>
      <c r="S135" s="213">
        <f>IF($F135="","",'הזנה לתנאי סף'!N135)</f>
        <v>1</v>
      </c>
      <c r="T135" s="213">
        <f>IF($F135="","",'הזנה לתנאי סף'!O135)</f>
        <v>1</v>
      </c>
      <c r="U135" s="213">
        <f>IF($F135="","",'תחום תמיכה א'!W135)</f>
        <v>0</v>
      </c>
      <c r="V135" s="213">
        <f>IF($F135="","",'תחום תמיכה א'!X135)</f>
        <v>0</v>
      </c>
      <c r="W135" s="213">
        <f>IF($F135="","",'תחום תמיכה א'!Y135)</f>
        <v>0</v>
      </c>
      <c r="X135" s="231" t="str">
        <f>IF($F135="","",'תחום תמיכה א'!Z135)</f>
        <v>בדוק נתוני הזנה</v>
      </c>
      <c r="Y135" s="213" t="str">
        <f>IF($F135="","",'תחום תמיכה א'!AA135)</f>
        <v>בדוק נתוני הזנה</v>
      </c>
      <c r="Z135" s="214">
        <f>IF($F135="","",'תחום תמיכה א'!AB135)</f>
        <v>0</v>
      </c>
      <c r="AA135" s="225" t="str">
        <f>IF($F135="","",'תחום תמיכה א'!AC135)</f>
        <v/>
      </c>
      <c r="AB135" s="213" t="str">
        <f t="shared" si="18"/>
        <v/>
      </c>
      <c r="AC135" s="213">
        <f t="shared" si="19"/>
        <v>3662.7855034553713</v>
      </c>
      <c r="AD135" s="214">
        <f t="shared" si="20"/>
        <v>3.6708239937700779E-5</v>
      </c>
      <c r="AE135" s="213">
        <f t="shared" si="23"/>
        <v>3772.6143181463358</v>
      </c>
      <c r="AF135" s="214">
        <f t="shared" si="21"/>
        <v>3.6708239937700786E-5</v>
      </c>
    </row>
    <row r="136" spans="1:32" ht="15.75" x14ac:dyDescent="0.2">
      <c r="A136" s="206">
        <f t="shared" si="22"/>
        <v>106</v>
      </c>
      <c r="B136" s="88">
        <f>IF($F136="","",'הזנה לתנאי סף'!C136)</f>
        <v>1001350437</v>
      </c>
      <c r="C136" s="88">
        <f>IF($F136="","",'הזנה לתנאי סף'!D136)</f>
        <v>1001269687</v>
      </c>
      <c r="D136" s="88">
        <f>IF($F136="","",'הזנה לתנאי סף'!E136)</f>
        <v>40216083</v>
      </c>
      <c r="E136" s="88">
        <f>IF($F136="","",'הזנה לתנאי סף'!F136)</f>
        <v>20000159</v>
      </c>
      <c r="F136" s="88" t="str">
        <f>IF(OR('הזנה לתנאי סף'!G136="",'הזנה לתנאי סף'!BL136&lt;&gt;1,'הזנה לתנאי סף'!Q136&lt;&gt;1),"",'הזנה לתנאי סף'!G136)</f>
        <v>ירושלים</v>
      </c>
      <c r="G136" s="88" t="str">
        <f>IF($F136="","",'הזנה לתנאי סף'!H136)</f>
        <v>תאטרון "פסיק" ירושלים</v>
      </c>
      <c r="H136" s="88" t="str">
        <f>IF($F136="","",'הזנה לתנאי סף'!I136)</f>
        <v>תיאטרון</v>
      </c>
      <c r="I136" s="213">
        <f>IF($F136="","",'תחום תמיכה א'!$I136)</f>
        <v>103203</v>
      </c>
      <c r="J136" s="213">
        <f>IF($F136="","",'תחום תמיכה א'!$J136)</f>
        <v>58101</v>
      </c>
      <c r="K136" s="213">
        <f>IF($F136="","",'תחום תמיכה א'!$K136)</f>
        <v>0</v>
      </c>
      <c r="L136" s="213">
        <f t="shared" si="14"/>
        <v>161304</v>
      </c>
      <c r="M136" s="214">
        <f t="shared" si="15"/>
        <v>0.63980434459157864</v>
      </c>
      <c r="N136" s="214">
        <f t="shared" si="24"/>
        <v>0.36019565540842136</v>
      </c>
      <c r="O136" s="213">
        <f t="shared" si="16"/>
        <v>20927.72777488469</v>
      </c>
      <c r="P136" s="213">
        <f>IF($F136="","",'פרמטרים לקריטריונים'!$C$59*O136)</f>
        <v>6278.3183324654065</v>
      </c>
      <c r="Q136" s="214">
        <f t="shared" si="17"/>
        <v>3.5668948641400329E-5</v>
      </c>
      <c r="R136" s="213">
        <f t="shared" si="25"/>
        <v>3566.894864140033</v>
      </c>
      <c r="S136" s="213">
        <f>IF($F136="","",'הזנה לתנאי סף'!N136)</f>
        <v>1</v>
      </c>
      <c r="T136" s="213">
        <f>IF($F136="","",'הזנה לתנאי סף'!O136)</f>
        <v>1</v>
      </c>
      <c r="U136" s="213">
        <f>IF($F136="","",'תחום תמיכה א'!W136)</f>
        <v>0</v>
      </c>
      <c r="V136" s="213">
        <f>IF($F136="","",'תחום תמיכה א'!X136)</f>
        <v>0</v>
      </c>
      <c r="W136" s="213">
        <f>IF($F136="","",'תחום תמיכה א'!Y136)</f>
        <v>0</v>
      </c>
      <c r="X136" s="231" t="str">
        <f>IF($F136="","",'תחום תמיכה א'!Z136)</f>
        <v>בדוק נתוני הזנה</v>
      </c>
      <c r="Y136" s="213" t="str">
        <f>IF($F136="","",'תחום תמיכה א'!AA136)</f>
        <v>בדוק נתוני הזנה</v>
      </c>
      <c r="Z136" s="214">
        <f>IF($F136="","",'תחום תמיכה א'!AB136)</f>
        <v>0</v>
      </c>
      <c r="AA136" s="225" t="str">
        <f>IF($F136="","",'תחום תמיכה א'!AC136)</f>
        <v/>
      </c>
      <c r="AB136" s="213" t="str">
        <f t="shared" si="18"/>
        <v/>
      </c>
      <c r="AC136" s="213">
        <f t="shared" si="19"/>
        <v>3566.894864140033</v>
      </c>
      <c r="AD136" s="214">
        <f t="shared" si="20"/>
        <v>3.5747229091598456E-5</v>
      </c>
      <c r="AE136" s="213">
        <f t="shared" si="23"/>
        <v>3673.8483930011207</v>
      </c>
      <c r="AF136" s="214">
        <f t="shared" si="21"/>
        <v>3.5747229091598463E-5</v>
      </c>
    </row>
    <row r="137" spans="1:32" ht="15.75" x14ac:dyDescent="0.2">
      <c r="A137" s="206">
        <f t="shared" si="22"/>
        <v>107</v>
      </c>
      <c r="B137" s="88">
        <f>IF($F137="","",'הזנה לתנאי סף'!C137)</f>
        <v>1001350444</v>
      </c>
      <c r="C137" s="88">
        <f>IF($F137="","",'הזנה לתנאי סף'!D137)</f>
        <v>1001268330</v>
      </c>
      <c r="D137" s="88">
        <f>IF($F137="","",'הזנה לתנאי סף'!E137)</f>
        <v>40216083</v>
      </c>
      <c r="E137" s="88">
        <f>IF($F137="","",'הזנה לתנאי סף'!F137)</f>
        <v>20000159</v>
      </c>
      <c r="F137" s="88" t="str">
        <f>IF(OR('הזנה לתנאי סף'!G137="",'הזנה לתנאי סף'!BL137&lt;&gt;1,'הזנה לתנאי סף'!Q137&lt;&gt;1),"",'הזנה לתנאי סף'!G137)</f>
        <v>ירושלים</v>
      </c>
      <c r="G137" s="88" t="str">
        <f>IF($F137="","",'הזנה לתנאי סף'!H137)</f>
        <v>תאטרון "פסיק" ירושלים</v>
      </c>
      <c r="H137" s="88" t="str">
        <f>IF($F137="","",'הזנה לתנאי סף'!I137)</f>
        <v>תיאטרון</v>
      </c>
      <c r="I137" s="213">
        <f>IF($F137="","",'תחום תמיכה א'!$I137)</f>
        <v>72388</v>
      </c>
      <c r="J137" s="213">
        <f>IF($F137="","",'תחום תמיכה א'!$J137)</f>
        <v>24571</v>
      </c>
      <c r="K137" s="213">
        <f>IF($F137="","",'תחום תמיכה א'!$K137)</f>
        <v>0</v>
      </c>
      <c r="L137" s="213">
        <f t="shared" si="14"/>
        <v>96959</v>
      </c>
      <c r="M137" s="214">
        <f t="shared" si="15"/>
        <v>0.74658360750420283</v>
      </c>
      <c r="N137" s="214">
        <f t="shared" si="24"/>
        <v>0.25341639249579717</v>
      </c>
      <c r="O137" s="213">
        <f t="shared" si="16"/>
        <v>6226.6941800142322</v>
      </c>
      <c r="P137" s="213">
        <f>IF($F137="","",'פרמטרים לקריטריונים'!$C$59*O137)</f>
        <v>1868.0082540042695</v>
      </c>
      <c r="Q137" s="214">
        <f t="shared" si="17"/>
        <v>1.0612697054439669E-5</v>
      </c>
      <c r="R137" s="213">
        <f t="shared" si="25"/>
        <v>1061.2697054439668</v>
      </c>
      <c r="S137" s="213">
        <f>IF($F137="","",'הזנה לתנאי סף'!N137)</f>
        <v>1</v>
      </c>
      <c r="T137" s="213">
        <f>IF($F137="","",'הזנה לתנאי סף'!O137)</f>
        <v>1</v>
      </c>
      <c r="U137" s="213">
        <f>IF($F137="","",'תחום תמיכה א'!W137)</f>
        <v>0</v>
      </c>
      <c r="V137" s="213">
        <f>IF($F137="","",'תחום תמיכה א'!X137)</f>
        <v>0</v>
      </c>
      <c r="W137" s="213">
        <f>IF($F137="","",'תחום תמיכה א'!Y137)</f>
        <v>0</v>
      </c>
      <c r="X137" s="231" t="str">
        <f>IF($F137="","",'תחום תמיכה א'!Z137)</f>
        <v>בדוק נתוני הזנה</v>
      </c>
      <c r="Y137" s="213" t="str">
        <f>IF($F137="","",'תחום תמיכה א'!AA137)</f>
        <v>בדוק נתוני הזנה</v>
      </c>
      <c r="Z137" s="214">
        <f>IF($F137="","",'תחום תמיכה א'!AB137)</f>
        <v>0</v>
      </c>
      <c r="AA137" s="225" t="str">
        <f>IF($F137="","",'תחום תמיכה א'!AC137)</f>
        <v/>
      </c>
      <c r="AB137" s="213" t="str">
        <f t="shared" si="18"/>
        <v/>
      </c>
      <c r="AC137" s="213">
        <f t="shared" si="19"/>
        <v>1061.2697054439668</v>
      </c>
      <c r="AD137" s="214">
        <f t="shared" si="20"/>
        <v>1.0635988088655171E-5</v>
      </c>
      <c r="AE137" s="213">
        <f t="shared" si="23"/>
        <v>1093.0919330099496</v>
      </c>
      <c r="AF137" s="214">
        <f t="shared" si="21"/>
        <v>1.0635988088655173E-5</v>
      </c>
    </row>
    <row r="138" spans="1:32" ht="15.75" x14ac:dyDescent="0.2">
      <c r="A138" s="206">
        <f t="shared" si="22"/>
        <v>108</v>
      </c>
      <c r="B138" s="88">
        <f>IF($F138="","",'הזנה לתנאי סף'!C138)</f>
        <v>1001351084</v>
      </c>
      <c r="C138" s="88">
        <f>IF($F138="","",'הזנה לתנאי סף'!D138)</f>
        <v>1001290814</v>
      </c>
      <c r="D138" s="88">
        <f>IF($F138="","",'הזנה לתנאי סף'!E138)</f>
        <v>40258570</v>
      </c>
      <c r="E138" s="88">
        <f>IF($F138="","",'הזנה לתנאי סף'!F138)</f>
        <v>20000055</v>
      </c>
      <c r="F138" s="88" t="str">
        <f>IF(OR('הזנה לתנאי סף'!G138="",'הזנה לתנאי סף'!BL138&lt;&gt;1,'הזנה לתנאי סף'!Q138&lt;&gt;1),"",'הזנה לתנאי סף'!G138)</f>
        <v>מג'ד אל-כרום</v>
      </c>
      <c r="G138" s="88" t="str">
        <f>IF($F138="","",'הזנה לתנאי סף'!H138)</f>
        <v>עמותת האומנים לקידום תיאטרון מגד אל כרום</v>
      </c>
      <c r="H138" s="88" t="str">
        <f>IF($F138="","",'הזנה לתנאי סף'!I138)</f>
        <v>תיאטרון</v>
      </c>
      <c r="I138" s="213">
        <f>IF($F138="","",'תחום תמיכה א'!$I138)</f>
        <v>0</v>
      </c>
      <c r="J138" s="213">
        <f>IF($F138="","",'תחום תמיכה א'!$J138)</f>
        <v>515250</v>
      </c>
      <c r="K138" s="213">
        <f>IF($F138="","",'תחום תמיכה א'!$K138)</f>
        <v>1016182</v>
      </c>
      <c r="L138" s="213">
        <f t="shared" si="14"/>
        <v>1531432</v>
      </c>
      <c r="M138" s="214">
        <f t="shared" si="15"/>
        <v>0</v>
      </c>
      <c r="N138" s="214">
        <f t="shared" si="24"/>
        <v>1</v>
      </c>
      <c r="O138" s="213">
        <f t="shared" si="16"/>
        <v>515250</v>
      </c>
      <c r="P138" s="213">
        <f>IF($F138="","",'פרמטרים לקריטריונים'!$C$59*O138)</f>
        <v>154575</v>
      </c>
      <c r="Q138" s="214">
        <f t="shared" si="17"/>
        <v>8.7818543824606809E-4</v>
      </c>
      <c r="R138" s="213">
        <f t="shared" si="25"/>
        <v>87818.543824606808</v>
      </c>
      <c r="S138" s="213">
        <f>IF($F138="","",'הזנה לתנאי סף'!N138)</f>
        <v>0</v>
      </c>
      <c r="T138" s="213">
        <f>IF($F138="","",'הזנה לתנאי סף'!O138)</f>
        <v>1</v>
      </c>
      <c r="U138" s="213">
        <f>IF($F138="","",'תחום תמיכה א'!W138)</f>
        <v>0</v>
      </c>
      <c r="V138" s="213">
        <f>IF($F138="","",'תחום תמיכה א'!X138)</f>
        <v>0</v>
      </c>
      <c r="W138" s="213">
        <f>IF($F138="","",'תחום תמיכה א'!Y138)</f>
        <v>1</v>
      </c>
      <c r="X138" s="231">
        <f>IF($F138="","",'תחום תמיכה א'!Z138)</f>
        <v>0</v>
      </c>
      <c r="Y138" s="213" t="str">
        <f>IF($F138="","",'תחום תמיכה א'!AA138)</f>
        <v/>
      </c>
      <c r="Z138" s="214" t="str">
        <f>IF($F138="","",'תחום תמיכה א'!AB138)</f>
        <v/>
      </c>
      <c r="AA138" s="225" t="str">
        <f>IF($F138="","",'תחום תמיכה א'!AC138)</f>
        <v/>
      </c>
      <c r="AB138" s="213" t="str">
        <f t="shared" si="18"/>
        <v/>
      </c>
      <c r="AC138" s="213">
        <f t="shared" si="19"/>
        <v>87818.543824606808</v>
      </c>
      <c r="AD138" s="214">
        <f t="shared" si="20"/>
        <v>8.8011273787450591E-4</v>
      </c>
      <c r="AE138" s="213">
        <f t="shared" si="23"/>
        <v>90451.787449450319</v>
      </c>
      <c r="AF138" s="214">
        <f t="shared" si="21"/>
        <v>8.8011273787450624E-4</v>
      </c>
    </row>
    <row r="139" spans="1:32" ht="15.75" x14ac:dyDescent="0.2">
      <c r="A139" s="206">
        <f t="shared" si="22"/>
        <v>109</v>
      </c>
      <c r="B139" s="88">
        <f>IF($F139="","",'הזנה לתנאי סף'!C139)</f>
        <v>1001347400</v>
      </c>
      <c r="C139" s="88">
        <f>IF($F139="","",'הזנה לתנאי סף'!D139)</f>
        <v>1001266852</v>
      </c>
      <c r="D139" s="88">
        <f>IF($F139="","",'הזנה לתנאי סף'!E139)</f>
        <v>40000550</v>
      </c>
      <c r="E139" s="88">
        <f>IF($F139="","",'הזנה לתנאי סף'!F139)</f>
        <v>20000096</v>
      </c>
      <c r="F139" s="88" t="str">
        <f>IF(OR('הזנה לתנאי סף'!G139="",'הזנה לתנאי סף'!BL139&lt;&gt;1,'הזנה לתנאי סף'!Q139&lt;&gt;1),"",'הזנה לתנאי סף'!G139)</f>
        <v>שדרות</v>
      </c>
      <c r="G139" s="88" t="str">
        <f>IF($F139="","",'הזנה לתנאי סף'!H139)</f>
        <v>מרכז התנועה שדרות אדמה (ע''ר)</v>
      </c>
      <c r="H139" s="88" t="str">
        <f>IF($F139="","",'הזנה לתנאי סף'!I139)</f>
        <v>מרכזי מחול</v>
      </c>
      <c r="I139" s="213">
        <f>IF($F139="","",'תחום תמיכה א'!$I139)</f>
        <v>91538</v>
      </c>
      <c r="J139" s="213">
        <f>IF($F139="","",'תחום תמיכה א'!$J139)</f>
        <v>40776</v>
      </c>
      <c r="K139" s="213">
        <f>IF($F139="","",'תחום תמיכה א'!$K139)</f>
        <v>0</v>
      </c>
      <c r="L139" s="213">
        <f t="shared" si="14"/>
        <v>132314</v>
      </c>
      <c r="M139" s="214">
        <f t="shared" si="15"/>
        <v>0.69182399443747444</v>
      </c>
      <c r="N139" s="214">
        <f t="shared" si="24"/>
        <v>0.30817600556252556</v>
      </c>
      <c r="O139" s="213">
        <f t="shared" si="16"/>
        <v>12566.184802817543</v>
      </c>
      <c r="P139" s="213">
        <f>IF($F139="","",'פרמטרים לקריטריונים'!$C$59*O139)</f>
        <v>3769.8554408452628</v>
      </c>
      <c r="Q139" s="214">
        <f t="shared" si="17"/>
        <v>2.1417642907604861E-5</v>
      </c>
      <c r="R139" s="213">
        <f t="shared" si="25"/>
        <v>2141.7642907604859</v>
      </c>
      <c r="S139" s="213">
        <f>IF($F139="","",'הזנה לתנאי סף'!N139)</f>
        <v>0</v>
      </c>
      <c r="T139" s="213">
        <f>IF($F139="","",'הזנה לתנאי סף'!O139)</f>
        <v>1</v>
      </c>
      <c r="U139" s="213">
        <f>IF($F139="","",'תחום תמיכה א'!W139)</f>
        <v>0</v>
      </c>
      <c r="V139" s="213">
        <f>IF($F139="","",'תחום תמיכה א'!X139)</f>
        <v>0</v>
      </c>
      <c r="W139" s="213">
        <f>IF($F139="","",'תחום תמיכה א'!Y139)</f>
        <v>1</v>
      </c>
      <c r="X139" s="231">
        <f>IF($F139="","",'תחום תמיכה א'!Z139)</f>
        <v>0</v>
      </c>
      <c r="Y139" s="213" t="str">
        <f>IF($F139="","",'תחום תמיכה א'!AA139)</f>
        <v/>
      </c>
      <c r="Z139" s="214" t="str">
        <f>IF($F139="","",'תחום תמיכה א'!AB139)</f>
        <v/>
      </c>
      <c r="AA139" s="225" t="str">
        <f>IF($F139="","",'תחום תמיכה א'!AC139)</f>
        <v/>
      </c>
      <c r="AB139" s="213" t="str">
        <f t="shared" si="18"/>
        <v/>
      </c>
      <c r="AC139" s="213">
        <f t="shared" si="19"/>
        <v>2141.7642907604859</v>
      </c>
      <c r="AD139" s="214">
        <f t="shared" si="20"/>
        <v>2.146464689266328E-5</v>
      </c>
      <c r="AE139" s="213">
        <f t="shared" si="23"/>
        <v>2205.9852049198739</v>
      </c>
      <c r="AF139" s="214">
        <f t="shared" si="21"/>
        <v>2.1464646892663287E-5</v>
      </c>
    </row>
    <row r="140" spans="1:32" ht="15.75" x14ac:dyDescent="0.2">
      <c r="A140" s="206">
        <f t="shared" si="22"/>
        <v>110</v>
      </c>
      <c r="B140" s="88">
        <f>IF($F140="","",'הזנה לתנאי סף'!C140)</f>
        <v>1001350749</v>
      </c>
      <c r="C140" s="88">
        <f>IF($F140="","",'הזנה לתנאי סף'!D140)</f>
        <v>1001270674</v>
      </c>
      <c r="D140" s="88">
        <f>IF($F140="","",'הזנה לתנאי סף'!E140)</f>
        <v>40000590</v>
      </c>
      <c r="E140" s="88">
        <f>IF($F140="","",'הזנה לתנאי סף'!F140)</f>
        <v>20000235</v>
      </c>
      <c r="F140" s="88" t="str">
        <f>IF(OR('הזנה לתנאי סף'!G140="",'הזנה לתנאי סף'!BL140&lt;&gt;1,'הזנה לתנאי סף'!Q140&lt;&gt;1),"",'הזנה לתנאי סף'!G140)</f>
        <v>סח'נין</v>
      </c>
      <c r="G140" s="88" t="str">
        <f>IF($F140="","",'הזנה לתנאי סף'!H140)</f>
        <v>אמנות למען השלום</v>
      </c>
      <c r="H140" s="88" t="str">
        <f>IF($F140="","",'הזנה לתנאי סף'!I140)</f>
        <v>תיאטרון</v>
      </c>
      <c r="I140" s="213">
        <f>IF($F140="","",'תחום תמיכה א'!$I140)</f>
        <v>946629</v>
      </c>
      <c r="J140" s="213">
        <f>IF($F140="","",'תחום תמיכה א'!$J140)</f>
        <v>716285</v>
      </c>
      <c r="K140" s="213">
        <f>IF($F140="","",'תחום תמיכה א'!$K140)</f>
        <v>0</v>
      </c>
      <c r="L140" s="213">
        <f t="shared" si="14"/>
        <v>1662914</v>
      </c>
      <c r="M140" s="214">
        <f t="shared" si="15"/>
        <v>0.56925914388837906</v>
      </c>
      <c r="N140" s="214">
        <f t="shared" si="24"/>
        <v>0.43074085611162094</v>
      </c>
      <c r="O140" s="213">
        <f t="shared" si="16"/>
        <v>308533.21411991242</v>
      </c>
      <c r="P140" s="213">
        <f>IF($F140="","",'פרמטרים לקריטריונים'!$C$59*O140)</f>
        <v>92559.964235973719</v>
      </c>
      <c r="Q140" s="214">
        <f t="shared" si="17"/>
        <v>5.2586002106814794E-4</v>
      </c>
      <c r="R140" s="213">
        <f t="shared" si="25"/>
        <v>52586.002106814791</v>
      </c>
      <c r="S140" s="213">
        <f>IF($F140="","",'הזנה לתנאי סף'!N140)</f>
        <v>0</v>
      </c>
      <c r="T140" s="213">
        <f>IF($F140="","",'הזנה לתנאי סף'!O140)</f>
        <v>1</v>
      </c>
      <c r="U140" s="213">
        <f>IF($F140="","",'תחום תמיכה א'!W140)</f>
        <v>0</v>
      </c>
      <c r="V140" s="213">
        <f>IF($F140="","",'תחום תמיכה א'!X140)</f>
        <v>0</v>
      </c>
      <c r="W140" s="213">
        <f>IF($F140="","",'תחום תמיכה א'!Y140)</f>
        <v>1</v>
      </c>
      <c r="X140" s="231">
        <f>IF($F140="","",'תחום תמיכה א'!Z140)</f>
        <v>0</v>
      </c>
      <c r="Y140" s="213" t="str">
        <f>IF($F140="","",'תחום תמיכה א'!AA140)</f>
        <v/>
      </c>
      <c r="Z140" s="214" t="str">
        <f>IF($F140="","",'תחום תמיכה א'!AB140)</f>
        <v/>
      </c>
      <c r="AA140" s="225" t="str">
        <f>IF($F140="","",'תחום תמיכה א'!AC140)</f>
        <v/>
      </c>
      <c r="AB140" s="213" t="str">
        <f t="shared" si="18"/>
        <v/>
      </c>
      <c r="AC140" s="213">
        <f t="shared" si="19"/>
        <v>52586.002106814791</v>
      </c>
      <c r="AD140" s="214">
        <f t="shared" si="20"/>
        <v>5.2701409374924266E-4</v>
      </c>
      <c r="AE140" s="213">
        <f t="shared" si="23"/>
        <v>54162.796127452806</v>
      </c>
      <c r="AF140" s="214">
        <f t="shared" si="21"/>
        <v>5.2701409374924276E-4</v>
      </c>
    </row>
    <row r="141" spans="1:32" ht="15.75" x14ac:dyDescent="0.2">
      <c r="A141" s="206">
        <f t="shared" si="22"/>
        <v>111</v>
      </c>
      <c r="B141" s="88">
        <f>IF($F141="","",'הזנה לתנאי סף'!C141)</f>
        <v>1001347197</v>
      </c>
      <c r="C141" s="88">
        <f>IF($F141="","",'הזנה לתנאי סף'!D141)</f>
        <v>1001262104</v>
      </c>
      <c r="D141" s="88">
        <f>IF($F141="","",'הזנה לתנאי סף'!E141)</f>
        <v>40000479</v>
      </c>
      <c r="E141" s="88">
        <f>IF($F141="","",'הזנה לתנאי סף'!F141)</f>
        <v>20000162</v>
      </c>
      <c r="F141" s="88" t="str">
        <f>IF(OR('הזנה לתנאי סף'!G141="",'הזנה לתנאי סף'!BL141&lt;&gt;1,'הזנה לתנאי סף'!Q141&lt;&gt;1),"",'הזנה לתנאי סף'!G141)</f>
        <v>חוף הכרמל</v>
      </c>
      <c r="G141" s="88" t="str">
        <f>IF($F141="","",'הזנה לתנאי סף'!H141)</f>
        <v>המזגגה</v>
      </c>
      <c r="H141" s="88" t="str">
        <f>IF($F141="","",'הזנה לתנאי סף'!I141)</f>
        <v>מוזיאונים</v>
      </c>
      <c r="I141" s="213">
        <f>IF($F141="","",'תחום תמיכה א'!$I141)</f>
        <v>434173</v>
      </c>
      <c r="J141" s="213">
        <f>IF($F141="","",'תחום תמיכה א'!$J141)</f>
        <v>340027</v>
      </c>
      <c r="K141" s="213">
        <f>IF($F141="","",'תחום תמיכה א'!$K141)</f>
        <v>0</v>
      </c>
      <c r="L141" s="213">
        <f t="shared" si="14"/>
        <v>774200</v>
      </c>
      <c r="M141" s="214">
        <f t="shared" si="15"/>
        <v>0.56080211831568072</v>
      </c>
      <c r="N141" s="214">
        <f t="shared" si="24"/>
        <v>0.43919788168431928</v>
      </c>
      <c r="O141" s="213">
        <f t="shared" si="16"/>
        <v>149339.13811547402</v>
      </c>
      <c r="P141" s="213">
        <f>IF($F141="","",'פרמטרים לקריטריונים'!$C$59*O141)</f>
        <v>44801.741434642208</v>
      </c>
      <c r="Q141" s="214">
        <f t="shared" si="17"/>
        <v>2.5453169617317348E-4</v>
      </c>
      <c r="R141" s="213">
        <f t="shared" si="25"/>
        <v>25453.169617317348</v>
      </c>
      <c r="S141" s="213">
        <f>IF($F141="","",'הזנה לתנאי סף'!N141)</f>
        <v>1</v>
      </c>
      <c r="T141" s="213">
        <f>IF($F141="","",'הזנה לתנאי סף'!O141)</f>
        <v>1</v>
      </c>
      <c r="U141" s="213">
        <f>IF($F141="","",'תחום תמיכה א'!W141)</f>
        <v>0</v>
      </c>
      <c r="V141" s="213">
        <f>IF($F141="","",'תחום תמיכה א'!X141)</f>
        <v>0</v>
      </c>
      <c r="W141" s="213">
        <f>IF($F141="","",'תחום תמיכה א'!Y141)</f>
        <v>0</v>
      </c>
      <c r="X141" s="231" t="str">
        <f>IF($F141="","",'תחום תמיכה א'!Z141)</f>
        <v>בדוק נתוני הזנה</v>
      </c>
      <c r="Y141" s="213" t="str">
        <f>IF($F141="","",'תחום תמיכה א'!AA141)</f>
        <v>בדוק נתוני הזנה</v>
      </c>
      <c r="Z141" s="214">
        <f>IF($F141="","",'תחום תמיכה א'!AB141)</f>
        <v>1</v>
      </c>
      <c r="AA141" s="225" t="str">
        <f>IF($F141="","",'תחום תמיכה א'!AC141)</f>
        <v/>
      </c>
      <c r="AB141" s="213" t="str">
        <f t="shared" si="18"/>
        <v/>
      </c>
      <c r="AC141" s="213">
        <f t="shared" si="19"/>
        <v>25453.169617317348</v>
      </c>
      <c r="AD141" s="214">
        <f t="shared" si="20"/>
        <v>2.5509030124915829E-4</v>
      </c>
      <c r="AE141" s="213">
        <f t="shared" si="23"/>
        <v>26216.384238146453</v>
      </c>
      <c r="AF141" s="214">
        <f t="shared" si="21"/>
        <v>2.550903012491584E-4</v>
      </c>
    </row>
    <row r="142" spans="1:32" ht="15.75" x14ac:dyDescent="0.2">
      <c r="A142" s="206">
        <f t="shared" si="22"/>
        <v>112</v>
      </c>
      <c r="B142" s="88">
        <f>IF($F142="","",'הזנה לתנאי סף'!C142)</f>
        <v>1001346660</v>
      </c>
      <c r="C142" s="88">
        <f>IF($F142="","",'הזנה לתנאי סף'!D142)</f>
        <v>1001262391</v>
      </c>
      <c r="D142" s="88">
        <f>IF($F142="","",'הזנה לתנאי סף'!E142)</f>
        <v>40000448</v>
      </c>
      <c r="E142" s="88">
        <f>IF($F142="","",'הזנה לתנאי סף'!F142)</f>
        <v>20000238</v>
      </c>
      <c r="F142" s="88" t="str">
        <f>IF(OR('הזנה לתנאי סף'!G142="",'הזנה לתנאי סף'!BL142&lt;&gt;1,'הזנה לתנאי סף'!Q142&lt;&gt;1),"",'הזנה לתנאי סף'!G142)</f>
        <v>עכו</v>
      </c>
      <c r="G142" s="88" t="str">
        <f>IF($F142="","",'הזנה לתנאי סף'!H142)</f>
        <v>המרכז לתיאטרון של עכו</v>
      </c>
      <c r="H142" s="88" t="str">
        <f>IF($F142="","",'הזנה לתנאי סף'!I142)</f>
        <v>תיאטרון</v>
      </c>
      <c r="I142" s="213">
        <f>IF($F142="","",'תחום תמיכה א'!$I142)</f>
        <v>1494987</v>
      </c>
      <c r="J142" s="213">
        <f>IF($F142="","",'תחום תמיכה א'!$J142)</f>
        <v>627462</v>
      </c>
      <c r="K142" s="213">
        <f>IF($F142="","",'תחום תמיכה א'!$K142)</f>
        <v>0</v>
      </c>
      <c r="L142" s="213">
        <f t="shared" si="14"/>
        <v>2122449</v>
      </c>
      <c r="M142" s="214">
        <f t="shared" si="15"/>
        <v>0.70436886822722244</v>
      </c>
      <c r="N142" s="214">
        <f t="shared" si="24"/>
        <v>0.29563113177277756</v>
      </c>
      <c r="O142" s="213">
        <f t="shared" si="16"/>
        <v>185497.30120441056</v>
      </c>
      <c r="P142" s="213">
        <f>IF($F142="","",'פרמטרים לקריטריונים'!$C$59*O142)</f>
        <v>55649.190361323163</v>
      </c>
      <c r="Q142" s="214">
        <f t="shared" si="17"/>
        <v>3.1615920184698335E-4</v>
      </c>
      <c r="R142" s="213">
        <f t="shared" si="25"/>
        <v>31615.920184698334</v>
      </c>
      <c r="S142" s="213">
        <f>IF($F142="","",'הזנה לתנאי סף'!N142)</f>
        <v>0</v>
      </c>
      <c r="T142" s="213">
        <f>IF($F142="","",'הזנה לתנאי סף'!O142)</f>
        <v>1</v>
      </c>
      <c r="U142" s="213">
        <f>IF($F142="","",'תחום תמיכה א'!W142)</f>
        <v>0</v>
      </c>
      <c r="V142" s="213">
        <f>IF($F142="","",'תחום תמיכה א'!X142)</f>
        <v>0</v>
      </c>
      <c r="W142" s="213">
        <f>IF($F142="","",'תחום תמיכה א'!Y142)</f>
        <v>1</v>
      </c>
      <c r="X142" s="231">
        <f>IF($F142="","",'תחום תמיכה א'!Z142)</f>
        <v>0</v>
      </c>
      <c r="Y142" s="213" t="str">
        <f>IF($F142="","",'תחום תמיכה א'!AA142)</f>
        <v/>
      </c>
      <c r="Z142" s="214" t="str">
        <f>IF($F142="","",'תחום תמיכה א'!AB142)</f>
        <v/>
      </c>
      <c r="AA142" s="225" t="str">
        <f>IF($F142="","",'תחום תמיכה א'!AC142)</f>
        <v/>
      </c>
      <c r="AB142" s="213" t="str">
        <f t="shared" si="18"/>
        <v/>
      </c>
      <c r="AC142" s="213">
        <f t="shared" si="19"/>
        <v>31615.920184698334</v>
      </c>
      <c r="AD142" s="214">
        <f t="shared" si="20"/>
        <v>3.1685305702347532E-4</v>
      </c>
      <c r="AE142" s="213">
        <f t="shared" si="23"/>
        <v>32563.925203276092</v>
      </c>
      <c r="AF142" s="214">
        <f t="shared" si="21"/>
        <v>3.1685305702347538E-4</v>
      </c>
    </row>
    <row r="143" spans="1:32" ht="15.75" x14ac:dyDescent="0.2">
      <c r="A143" s="206">
        <f t="shared" si="22"/>
        <v>113</v>
      </c>
      <c r="B143" s="88">
        <f>IF($F143="","",'הזנה לתנאי סף'!C143)</f>
        <v>1001347313</v>
      </c>
      <c r="C143" s="88">
        <f>IF($F143="","",'הזנה לתנאי סף'!D143)</f>
        <v>1001270594</v>
      </c>
      <c r="D143" s="88">
        <f>IF($F143="","",'הזנה לתנאי סף'!E143)</f>
        <v>40002883</v>
      </c>
      <c r="E143" s="88">
        <f>IF($F143="","",'הזנה לתנאי סף'!F143)</f>
        <v>20000254</v>
      </c>
      <c r="F143" s="88" t="str">
        <f>IF(OR('הזנה לתנאי סף'!G143="",'הזנה לתנאי סף'!BL143&lt;&gt;1,'הזנה לתנאי סף'!Q143&lt;&gt;1),"",'הזנה לתנאי סף'!G143)</f>
        <v>באר שבע</v>
      </c>
      <c r="G143" s="88" t="str">
        <f>IF($F143="","",'הזנה לתנאי סף'!H143)</f>
        <v>בת-דור באר-שבע - מרכז עירוני לאמנות</v>
      </c>
      <c r="H143" s="88" t="str">
        <f>IF($F143="","",'הזנה לתנאי סף'!I143)</f>
        <v>מחול</v>
      </c>
      <c r="I143" s="213">
        <f>IF($F143="","",'תחום תמיכה א'!$I143)</f>
        <v>3589940</v>
      </c>
      <c r="J143" s="213">
        <f>IF($F143="","",'תחום תמיכה א'!$J143)</f>
        <v>1560393</v>
      </c>
      <c r="K143" s="213">
        <f>IF($F143="","",'תחום תמיכה א'!$K143)</f>
        <v>0</v>
      </c>
      <c r="L143" s="213">
        <f t="shared" si="14"/>
        <v>5150333</v>
      </c>
      <c r="M143" s="214">
        <f t="shared" si="15"/>
        <v>0.69703065801764663</v>
      </c>
      <c r="N143" s="214">
        <f t="shared" si="24"/>
        <v>0.30296934198235337</v>
      </c>
      <c r="O143" s="213">
        <f t="shared" si="16"/>
        <v>472751.24044387031</v>
      </c>
      <c r="P143" s="213">
        <f>IF($F143="","",'פרמטרים לקריטריונים'!$C$59*O143)</f>
        <v>141825.37213316109</v>
      </c>
      <c r="Q143" s="214">
        <f t="shared" si="17"/>
        <v>8.0575110193221262E-4</v>
      </c>
      <c r="R143" s="213">
        <f t="shared" si="25"/>
        <v>80575.110193221262</v>
      </c>
      <c r="S143" s="213">
        <f>IF($F143="","",'הזנה לתנאי סף'!N143)</f>
        <v>1</v>
      </c>
      <c r="T143" s="213">
        <f>IF($F143="","",'הזנה לתנאי סף'!O143)</f>
        <v>1</v>
      </c>
      <c r="U143" s="213">
        <f>IF($F143="","",'תחום תמיכה א'!W143)</f>
        <v>0</v>
      </c>
      <c r="V143" s="213">
        <f>IF($F143="","",'תחום תמיכה א'!X143)</f>
        <v>0</v>
      </c>
      <c r="W143" s="213">
        <f>IF($F143="","",'תחום תמיכה א'!Y143)</f>
        <v>0</v>
      </c>
      <c r="X143" s="231" t="str">
        <f>IF($F143="","",'תחום תמיכה א'!Z143)</f>
        <v>בדוק נתוני הזנה</v>
      </c>
      <c r="Y143" s="213" t="str">
        <f>IF($F143="","",'תחום תמיכה א'!AA143)</f>
        <v>בדוק נתוני הזנה</v>
      </c>
      <c r="Z143" s="214">
        <f>IF($F143="","",'תחום תמיכה א'!AB143)</f>
        <v>0</v>
      </c>
      <c r="AA143" s="225" t="str">
        <f>IF($F143="","",'תחום תמיכה א'!AC143)</f>
        <v/>
      </c>
      <c r="AB143" s="213" t="str">
        <f t="shared" si="18"/>
        <v/>
      </c>
      <c r="AC143" s="213">
        <f t="shared" si="19"/>
        <v>80575.110193221262</v>
      </c>
      <c r="AD143" s="214">
        <f t="shared" si="20"/>
        <v>8.0751943437287451E-4</v>
      </c>
      <c r="AE143" s="213">
        <f t="shared" si="23"/>
        <v>82991.159082179409</v>
      </c>
      <c r="AF143" s="214">
        <f t="shared" si="21"/>
        <v>8.0751943437287472E-4</v>
      </c>
    </row>
    <row r="144" spans="1:32" ht="15.75" x14ac:dyDescent="0.2">
      <c r="A144" s="206">
        <f t="shared" si="22"/>
        <v>114</v>
      </c>
      <c r="B144" s="88">
        <f>IF($F144="","",'הזנה לתנאי סף'!C144)</f>
        <v>1001346798</v>
      </c>
      <c r="C144" s="88">
        <f>IF($F144="","",'הזנה לתנאי סף'!D144)</f>
        <v>1001266509</v>
      </c>
      <c r="D144" s="88">
        <f>IF($F144="","",'הזנה לתנאי סף'!E144)</f>
        <v>40000709</v>
      </c>
      <c r="E144" s="88">
        <f>IF($F144="","",'הזנה לתנאי סף'!F144)</f>
        <v>20000159</v>
      </c>
      <c r="F144" s="88" t="str">
        <f>IF(OR('הזנה לתנאי סף'!G144="",'הזנה לתנאי סף'!BL144&lt;&gt;1,'הזנה לתנאי סף'!Q144&lt;&gt;1),"",'הזנה לתנאי סף'!G144)</f>
        <v>ירושלים</v>
      </c>
      <c r="G144" s="88" t="str">
        <f>IF($F144="","",'הזנה לתנאי סף'!H144)</f>
        <v>צוללת צהובה - המקום למוסיקה בירושלים</v>
      </c>
      <c r="H144" s="88" t="str">
        <f>IF($F144="","",'הזנה לתנאי סף'!I144)</f>
        <v>מרכזי מוסיקה</v>
      </c>
      <c r="I144" s="213">
        <f>IF($F144="","",'תחום תמיכה א'!$I144)</f>
        <v>2035057</v>
      </c>
      <c r="J144" s="213">
        <f>IF($F144="","",'תחום תמיכה א'!$J144)</f>
        <v>2941299</v>
      </c>
      <c r="K144" s="213">
        <f>IF($F144="","",'תחום תמיכה א'!$K144)</f>
        <v>0</v>
      </c>
      <c r="L144" s="213">
        <f t="shared" si="14"/>
        <v>4976356</v>
      </c>
      <c r="M144" s="214">
        <f t="shared" si="15"/>
        <v>0.40894522015707879</v>
      </c>
      <c r="N144" s="214">
        <f t="shared" si="24"/>
        <v>0.59105477984292121</v>
      </c>
      <c r="O144" s="213">
        <f t="shared" si="16"/>
        <v>1738468.8328972042</v>
      </c>
      <c r="P144" s="213">
        <f>IF($F144="","",'פרמטרים לקריטריונים'!$C$59*O144)</f>
        <v>521540.64986916125</v>
      </c>
      <c r="Q144" s="214">
        <f t="shared" si="17"/>
        <v>2.9630238018339868E-3</v>
      </c>
      <c r="R144" s="213">
        <f t="shared" si="25"/>
        <v>296302.38018339867</v>
      </c>
      <c r="S144" s="213">
        <f>IF($F144="","",'הזנה לתנאי סף'!N144)</f>
        <v>1</v>
      </c>
      <c r="T144" s="213">
        <f>IF($F144="","",'הזנה לתנאי סף'!O144)</f>
        <v>1</v>
      </c>
      <c r="U144" s="213">
        <f>IF($F144="","",'תחום תמיכה א'!W144)</f>
        <v>0</v>
      </c>
      <c r="V144" s="213">
        <f>IF($F144="","",'תחום תמיכה א'!X144)</f>
        <v>0</v>
      </c>
      <c r="W144" s="213">
        <f>IF($F144="","",'תחום תמיכה א'!Y144)</f>
        <v>0</v>
      </c>
      <c r="X144" s="231" t="str">
        <f>IF($F144="","",'תחום תמיכה א'!Z144)</f>
        <v>בדוק נתוני הזנה</v>
      </c>
      <c r="Y144" s="213" t="str">
        <f>IF($F144="","",'תחום תמיכה א'!AA144)</f>
        <v>בדוק נתוני הזנה</v>
      </c>
      <c r="Z144" s="214">
        <f>IF($F144="","",'תחום תמיכה א'!AB144)</f>
        <v>1</v>
      </c>
      <c r="AA144" s="225" t="str">
        <f>IF($F144="","",'תחום תמיכה א'!AC144)</f>
        <v/>
      </c>
      <c r="AB144" s="213" t="str">
        <f t="shared" si="18"/>
        <v/>
      </c>
      <c r="AC144" s="213">
        <f t="shared" si="19"/>
        <v>296302.38018339867</v>
      </c>
      <c r="AD144" s="214">
        <f t="shared" si="20"/>
        <v>2.9695265681332463E-3</v>
      </c>
      <c r="AE144" s="213">
        <f t="shared" si="23"/>
        <v>305187.02253413264</v>
      </c>
      <c r="AF144" s="214">
        <f t="shared" si="21"/>
        <v>2.9695265681332472E-3</v>
      </c>
    </row>
    <row r="145" spans="1:32" ht="15.75" x14ac:dyDescent="0.2">
      <c r="A145" s="206">
        <f t="shared" si="22"/>
        <v>115</v>
      </c>
      <c r="B145" s="88">
        <f>IF($F145="","",'הזנה לתנאי סף'!C145)</f>
        <v>1001346657</v>
      </c>
      <c r="C145" s="88">
        <f>IF($F145="","",'הזנה לתנאי סף'!D145)</f>
        <v>1001288870</v>
      </c>
      <c r="D145" s="88">
        <f>IF($F145="","",'הזנה לתנאי סף'!E145)</f>
        <v>40221446</v>
      </c>
      <c r="E145" s="88">
        <f>IF($F145="","",'הזנה לתנאי סף'!F145)</f>
        <v>20000201</v>
      </c>
      <c r="F145" s="88" t="str">
        <f>IF(OR('הזנה לתנאי סף'!G145="",'הזנה לתנאי סף'!BL145&lt;&gt;1,'הזנה לתנאי סף'!Q145&lt;&gt;1),"",'הזנה לתנאי סף'!G145)</f>
        <v>תל אביב -יפו</v>
      </c>
      <c r="G145" s="88" t="str">
        <f>IF($F145="","",'הזנה לתנאי סף'!H145)</f>
        <v>תאטרון מחול אבשלום פולק</v>
      </c>
      <c r="H145" s="88" t="str">
        <f>IF($F145="","",'הזנה לתנאי סף'!I145)</f>
        <v>תיאטרון</v>
      </c>
      <c r="I145" s="213">
        <f>IF($F145="","",'תחום תמיכה א'!$I145)</f>
        <v>1744770</v>
      </c>
      <c r="J145" s="213">
        <f>IF($F145="","",'תחום תמיכה א'!$J145)</f>
        <v>2321974</v>
      </c>
      <c r="K145" s="213">
        <f>IF($F145="","",'תחום תמיכה א'!$K145)</f>
        <v>0</v>
      </c>
      <c r="L145" s="213">
        <f t="shared" si="14"/>
        <v>4066744</v>
      </c>
      <c r="M145" s="214">
        <f t="shared" si="15"/>
        <v>0.42903364460610255</v>
      </c>
      <c r="N145" s="214">
        <f t="shared" si="24"/>
        <v>0.57096635539389751</v>
      </c>
      <c r="O145" s="213">
        <f t="shared" si="16"/>
        <v>1325769.0320993897</v>
      </c>
      <c r="P145" s="213">
        <f>IF($F145="","",'פרמטרים לקריטריונים'!$C$59*O145)</f>
        <v>397730.70962981688</v>
      </c>
      <c r="Q145" s="214">
        <f t="shared" si="17"/>
        <v>2.2596235972193457E-3</v>
      </c>
      <c r="R145" s="213">
        <f t="shared" si="25"/>
        <v>225962.35972193457</v>
      </c>
      <c r="S145" s="213">
        <f>IF($F145="","",'הזנה לתנאי סף'!N145)</f>
        <v>1</v>
      </c>
      <c r="T145" s="213">
        <f>IF($F145="","",'הזנה לתנאי סף'!O145)</f>
        <v>1</v>
      </c>
      <c r="U145" s="213">
        <f>IF($F145="","",'תחום תמיכה א'!W145)</f>
        <v>0</v>
      </c>
      <c r="V145" s="213">
        <f>IF($F145="","",'תחום תמיכה א'!X145)</f>
        <v>0</v>
      </c>
      <c r="W145" s="213">
        <f>IF($F145="","",'תחום תמיכה א'!Y145)</f>
        <v>0</v>
      </c>
      <c r="X145" s="231" t="str">
        <f>IF($F145="","",'תחום תמיכה א'!Z145)</f>
        <v>בדוק נתוני הזנה</v>
      </c>
      <c r="Y145" s="213" t="str">
        <f>IF($F145="","",'תחום תמיכה א'!AA145)</f>
        <v>בדוק נתוני הזנה</v>
      </c>
      <c r="Z145" s="214">
        <f>IF($F145="","",'תחום תמיכה א'!AB145)</f>
        <v>0</v>
      </c>
      <c r="AA145" s="225" t="str">
        <f>IF($F145="","",'תחום תמיכה א'!AC145)</f>
        <v/>
      </c>
      <c r="AB145" s="213" t="str">
        <f t="shared" si="18"/>
        <v/>
      </c>
      <c r="AC145" s="213">
        <f t="shared" si="19"/>
        <v>225962.35972193457</v>
      </c>
      <c r="AD145" s="214">
        <f t="shared" si="20"/>
        <v>2.2645826543041775E-3</v>
      </c>
      <c r="AE145" s="213">
        <f t="shared" si="23"/>
        <v>232737.85288407074</v>
      </c>
      <c r="AF145" s="214">
        <f t="shared" si="21"/>
        <v>2.2645826543041779E-3</v>
      </c>
    </row>
    <row r="146" spans="1:32" ht="15.75" x14ac:dyDescent="0.2">
      <c r="A146" s="206">
        <f t="shared" si="22"/>
        <v>116</v>
      </c>
      <c r="B146" s="88">
        <f>IF($F146="","",'הזנה לתנאי סף'!C146)</f>
        <v>1001350382</v>
      </c>
      <c r="C146" s="88">
        <f>IF($F146="","",'הזנה לתנאי סף'!D146)</f>
        <v>1001266978</v>
      </c>
      <c r="D146" s="88">
        <f>IF($F146="","",'הזנה לתנאי סף'!E146)</f>
        <v>40000422</v>
      </c>
      <c r="E146" s="88">
        <f>IF($F146="","",'הזנה לתנאי סף'!F146)</f>
        <v>20000201</v>
      </c>
      <c r="F146" s="88" t="str">
        <f>IF(OR('הזנה לתנאי סף'!G146="",'הזנה לתנאי סף'!BL146&lt;&gt;1,'הזנה לתנאי סף'!Q146&lt;&gt;1),"",'הזנה לתנאי סף'!G146)</f>
        <v>תל אביב -יפו</v>
      </c>
      <c r="G146" s="88" t="str">
        <f>IF($F146="","",'הזנה לתנאי סף'!H146)</f>
        <v>מוזיאון נחום גוטמן</v>
      </c>
      <c r="H146" s="88" t="str">
        <f>IF($F146="","",'הזנה לתנאי סף'!I146)</f>
        <v>מוזיאונים</v>
      </c>
      <c r="I146" s="213">
        <f>IF($F146="","",'תחום תמיכה א'!$I146)</f>
        <v>1281992</v>
      </c>
      <c r="J146" s="213">
        <f>IF($F146="","",'תחום תמיכה א'!$J146)</f>
        <v>1139680</v>
      </c>
      <c r="K146" s="213">
        <f>IF($F146="","",'תחום תמיכה א'!$K146)</f>
        <v>0</v>
      </c>
      <c r="L146" s="213">
        <f t="shared" si="14"/>
        <v>2421672</v>
      </c>
      <c r="M146" s="214">
        <f t="shared" si="15"/>
        <v>0.52938300479998945</v>
      </c>
      <c r="N146" s="214">
        <f t="shared" si="24"/>
        <v>0.47061699520001055</v>
      </c>
      <c r="O146" s="213">
        <f t="shared" si="16"/>
        <v>536352.77708954806</v>
      </c>
      <c r="P146" s="213">
        <f>IF($F146="","",'פרמטרים לקריטריונים'!$C$59*O146)</f>
        <v>160905.83312686443</v>
      </c>
      <c r="Q146" s="214">
        <f t="shared" si="17"/>
        <v>9.1415273867613859E-4</v>
      </c>
      <c r="R146" s="213">
        <f t="shared" si="25"/>
        <v>91415.273867613854</v>
      </c>
      <c r="S146" s="213">
        <f>IF($F146="","",'הזנה לתנאי סף'!N146)</f>
        <v>1</v>
      </c>
      <c r="T146" s="213">
        <f>IF($F146="","",'הזנה לתנאי סף'!O146)</f>
        <v>1</v>
      </c>
      <c r="U146" s="213">
        <f>IF($F146="","",'תחום תמיכה א'!W146)</f>
        <v>0</v>
      </c>
      <c r="V146" s="213">
        <f>IF($F146="","",'תחום תמיכה א'!X146)</f>
        <v>0</v>
      </c>
      <c r="W146" s="213">
        <f>IF($F146="","",'תחום תמיכה א'!Y146)</f>
        <v>0</v>
      </c>
      <c r="X146" s="231" t="str">
        <f>IF($F146="","",'תחום תמיכה א'!Z146)</f>
        <v>בדוק נתוני הזנה</v>
      </c>
      <c r="Y146" s="213" t="str">
        <f>IF($F146="","",'תחום תמיכה א'!AA146)</f>
        <v>בדוק נתוני הזנה</v>
      </c>
      <c r="Z146" s="214">
        <f>IF($F146="","",'תחום תמיכה א'!AB146)</f>
        <v>0</v>
      </c>
      <c r="AA146" s="225" t="str">
        <f>IF($F146="","",'תחום תמיכה א'!AC146)</f>
        <v/>
      </c>
      <c r="AB146" s="213" t="str">
        <f t="shared" si="18"/>
        <v/>
      </c>
      <c r="AC146" s="213">
        <f t="shared" si="19"/>
        <v>91415.273867613854</v>
      </c>
      <c r="AD146" s="214">
        <f t="shared" si="20"/>
        <v>9.1615897352911543E-4</v>
      </c>
      <c r="AE146" s="213">
        <f t="shared" si="23"/>
        <v>94156.365630715576</v>
      </c>
      <c r="AF146" s="214">
        <f t="shared" si="21"/>
        <v>9.1615897352911554E-4</v>
      </c>
    </row>
    <row r="147" spans="1:32" ht="15.75" x14ac:dyDescent="0.2">
      <c r="A147" s="206">
        <f t="shared" si="22"/>
        <v>117</v>
      </c>
      <c r="B147" s="88">
        <f>IF($F147="","",'הזנה לתנאי סף'!C147)</f>
        <v>1001347845</v>
      </c>
      <c r="C147" s="88">
        <f>IF($F147="","",'הזנה לתנאי סף'!D147)</f>
        <v>1001268850</v>
      </c>
      <c r="D147" s="88">
        <f>IF($F147="","",'הזנה לתנאי סף'!E147)</f>
        <v>40216081</v>
      </c>
      <c r="E147" s="88">
        <f>IF($F147="","",'הזנה לתנאי סף'!F147)</f>
        <v>20000253</v>
      </c>
      <c r="F147" s="88" t="str">
        <f>IF(OR('הזנה לתנאי סף'!G147="",'הזנה לתנאי סף'!BL147&lt;&gt;1,'הזנה לתנאי סף'!Q147&lt;&gt;1),"",'הזנה לתנאי סף'!G147)</f>
        <v>טמרה</v>
      </c>
      <c r="G147" s="88" t="str">
        <f>IF($F147="","",'הזנה לתנאי סף'!H147)</f>
        <v>אלאג'יאל טמרה (ע"ר)</v>
      </c>
      <c r="H147" s="88" t="str">
        <f>IF($F147="","",'הזנה לתנאי סף'!I147)</f>
        <v>תיאטרון</v>
      </c>
      <c r="I147" s="213">
        <f>IF($F147="","",'תחום תמיכה א'!$I147)</f>
        <v>1017308</v>
      </c>
      <c r="J147" s="213">
        <f>IF($F147="","",'תחום תמיכה א'!$J147)</f>
        <v>707088</v>
      </c>
      <c r="K147" s="213">
        <f>IF($F147="","",'תחום תמיכה א'!$K147)</f>
        <v>1</v>
      </c>
      <c r="L147" s="213">
        <f t="shared" si="14"/>
        <v>1724397</v>
      </c>
      <c r="M147" s="214">
        <f t="shared" si="15"/>
        <v>0.58994999411388449</v>
      </c>
      <c r="N147" s="214">
        <f t="shared" si="24"/>
        <v>0.41005000588611551</v>
      </c>
      <c r="O147" s="213">
        <f t="shared" si="16"/>
        <v>289941.43856200163</v>
      </c>
      <c r="P147" s="213">
        <f>IF($F147="","",'פרמטרים לקריטריונים'!$C$59*O147)</f>
        <v>86982.431568600485</v>
      </c>
      <c r="Q147" s="214">
        <f t="shared" si="17"/>
        <v>4.9417243918343872E-4</v>
      </c>
      <c r="R147" s="213">
        <f t="shared" si="25"/>
        <v>49417.243918343869</v>
      </c>
      <c r="S147" s="213">
        <f>IF($F147="","",'הזנה לתנאי סף'!N147)</f>
        <v>0</v>
      </c>
      <c r="T147" s="213">
        <f>IF($F147="","",'הזנה לתנאי סף'!O147)</f>
        <v>1</v>
      </c>
      <c r="U147" s="213">
        <f>IF($F147="","",'תחום תמיכה א'!W147)</f>
        <v>0</v>
      </c>
      <c r="V147" s="213">
        <f>IF($F147="","",'תחום תמיכה א'!X147)</f>
        <v>0</v>
      </c>
      <c r="W147" s="213">
        <f>IF($F147="","",'תחום תמיכה א'!Y147)</f>
        <v>1</v>
      </c>
      <c r="X147" s="231">
        <f>IF($F147="","",'תחום תמיכה א'!Z147)</f>
        <v>0</v>
      </c>
      <c r="Y147" s="213" t="str">
        <f>IF($F147="","",'תחום תמיכה א'!AA147)</f>
        <v/>
      </c>
      <c r="Z147" s="214" t="str">
        <f>IF($F147="","",'תחום תמיכה א'!AB147)</f>
        <v/>
      </c>
      <c r="AA147" s="225" t="str">
        <f>IF($F147="","",'תחום תמיכה א'!AC147)</f>
        <v/>
      </c>
      <c r="AB147" s="213" t="str">
        <f t="shared" si="18"/>
        <v/>
      </c>
      <c r="AC147" s="213">
        <f t="shared" si="19"/>
        <v>49417.243918343869</v>
      </c>
      <c r="AD147" s="214">
        <f t="shared" si="20"/>
        <v>4.9525696907535383E-4</v>
      </c>
      <c r="AE147" s="213">
        <f t="shared" si="23"/>
        <v>50899.022559142213</v>
      </c>
      <c r="AF147" s="214">
        <f t="shared" si="21"/>
        <v>4.9525696907535394E-4</v>
      </c>
    </row>
    <row r="148" spans="1:32" ht="15.75" x14ac:dyDescent="0.2">
      <c r="A148" s="206">
        <f t="shared" si="22"/>
        <v>118</v>
      </c>
      <c r="B148" s="88">
        <f>IF($F148="","",'הזנה לתנאי סף'!C148)</f>
        <v>1001350385</v>
      </c>
      <c r="C148" s="88">
        <f>IF($F148="","",'הזנה לתנאי סף'!D148)</f>
        <v>1001271278</v>
      </c>
      <c r="D148" s="88">
        <f>IF($F148="","",'הזנה לתנאי סף'!E148)</f>
        <v>40216101</v>
      </c>
      <c r="E148" s="88">
        <f>IF($F148="","",'הזנה לתנאי סף'!F148)</f>
        <v>20000186</v>
      </c>
      <c r="F148" s="88" t="str">
        <f>IF(OR('הזנה לתנאי סף'!G148="",'הזנה לתנאי סף'!BL148&lt;&gt;1,'הזנה לתנאי סף'!Q148&lt;&gt;1),"",'הזנה לתנאי סף'!G148)</f>
        <v>לב השרון</v>
      </c>
      <c r="G148" s="88" t="str">
        <f>IF($F148="","",'הזנה לתנאי סף'!H148)</f>
        <v>איסמבל קולות נשים</v>
      </c>
      <c r="H148" s="88" t="str">
        <f>IF($F148="","",'הזנה לתנאי סף'!I148)</f>
        <v>מקהלות</v>
      </c>
      <c r="I148" s="213">
        <f>IF($F148="","",'תחום תמיכה א'!$I148)</f>
        <v>75000</v>
      </c>
      <c r="J148" s="213">
        <f>IF($F148="","",'תחום תמיכה א'!$J148)</f>
        <v>58597</v>
      </c>
      <c r="K148" s="213">
        <f>IF($F148="","",'תחום תמיכה א'!$K148)</f>
        <v>0</v>
      </c>
      <c r="L148" s="213">
        <f t="shared" si="14"/>
        <v>133597</v>
      </c>
      <c r="M148" s="214">
        <f t="shared" si="15"/>
        <v>0.56138985156852328</v>
      </c>
      <c r="N148" s="214">
        <f t="shared" si="24"/>
        <v>0.43861014843147672</v>
      </c>
      <c r="O148" s="213">
        <f t="shared" si="16"/>
        <v>25701.23886763924</v>
      </c>
      <c r="P148" s="213">
        <f>IF($F148="","",'פרמטרים לקריטריונים'!$C$59*O148)</f>
        <v>7710.3716602917721</v>
      </c>
      <c r="Q148" s="214">
        <f t="shared" si="17"/>
        <v>4.3804859230363213E-5</v>
      </c>
      <c r="R148" s="213">
        <f t="shared" si="25"/>
        <v>4380.4859230363209</v>
      </c>
      <c r="S148" s="213">
        <f>IF($F148="","",'הזנה לתנאי סף'!N148)</f>
        <v>0</v>
      </c>
      <c r="T148" s="213">
        <f>IF($F148="","",'הזנה לתנאי סף'!O148)</f>
        <v>1</v>
      </c>
      <c r="U148" s="213">
        <f>IF($F148="","",'תחום תמיכה א'!W148)</f>
        <v>0</v>
      </c>
      <c r="V148" s="213">
        <f>IF($F148="","",'תחום תמיכה א'!X148)</f>
        <v>0</v>
      </c>
      <c r="W148" s="213">
        <f>IF($F148="","",'תחום תמיכה א'!Y148)</f>
        <v>1</v>
      </c>
      <c r="X148" s="231">
        <f>IF($F148="","",'תחום תמיכה א'!Z148)</f>
        <v>0</v>
      </c>
      <c r="Y148" s="213" t="str">
        <f>IF($F148="","",'תחום תמיכה א'!AA148)</f>
        <v/>
      </c>
      <c r="Z148" s="214" t="str">
        <f>IF($F148="","",'תחום תמיכה א'!AB148)</f>
        <v/>
      </c>
      <c r="AA148" s="225" t="str">
        <f>IF($F148="","",'תחום תמיכה א'!AC148)</f>
        <v/>
      </c>
      <c r="AB148" s="213" t="str">
        <f t="shared" si="18"/>
        <v/>
      </c>
      <c r="AC148" s="213">
        <f t="shared" si="19"/>
        <v>4380.4859230363209</v>
      </c>
      <c r="AD148" s="214">
        <f t="shared" si="20"/>
        <v>4.3900995063686827E-5</v>
      </c>
      <c r="AE148" s="213">
        <f t="shared" si="23"/>
        <v>4511.8350223061725</v>
      </c>
      <c r="AF148" s="214">
        <f t="shared" si="21"/>
        <v>4.3900995063686833E-5</v>
      </c>
    </row>
    <row r="149" spans="1:32" ht="15.75" x14ac:dyDescent="0.2">
      <c r="A149" s="206">
        <f t="shared" si="22"/>
        <v>119</v>
      </c>
      <c r="B149" s="88">
        <f>IF($F149="","",'הזנה לתנאי סף'!C149)</f>
        <v>1001349532</v>
      </c>
      <c r="C149" s="88">
        <f>IF($F149="","",'הזנה לתנאי סף'!D149)</f>
        <v>1001277350</v>
      </c>
      <c r="D149" s="88">
        <f>IF($F149="","",'הזנה לתנאי סף'!E149)</f>
        <v>40000449</v>
      </c>
      <c r="E149" s="88">
        <f>IF($F149="","",'הזנה לתנאי סף'!F149)</f>
        <v>20000201</v>
      </c>
      <c r="F149" s="88" t="str">
        <f>IF(OR('הזנה לתנאי סף'!G149="",'הזנה לתנאי סף'!BL149&lt;&gt;1,'הזנה לתנאי סף'!Q149&lt;&gt;1),"",'הזנה לתנאי סף'!G149)</f>
        <v>תל אביב -יפו</v>
      </c>
      <c r="G149" s="88" t="str">
        <f>IF($F149="","",'הזנה לתנאי סף'!H149)</f>
        <v>תיאטרון מחול ענבל</v>
      </c>
      <c r="H149" s="88" t="str">
        <f>IF($F149="","",'הזנה לתנאי סף'!I149)</f>
        <v>מחול</v>
      </c>
      <c r="I149" s="213">
        <f>IF($F149="","",'תחום תמיכה א'!$I149)</f>
        <v>1200000</v>
      </c>
      <c r="J149" s="213">
        <f>IF($F149="","",'תחום תמיכה א'!$J149)</f>
        <v>606689</v>
      </c>
      <c r="K149" s="213">
        <f>IF($F149="","",'תחום תמיכה א'!$K149)</f>
        <v>0</v>
      </c>
      <c r="L149" s="213">
        <f t="shared" si="14"/>
        <v>1806689</v>
      </c>
      <c r="M149" s="214">
        <f t="shared" si="15"/>
        <v>0.66419843149540403</v>
      </c>
      <c r="N149" s="214">
        <f t="shared" si="24"/>
        <v>0.33580156850459597</v>
      </c>
      <c r="O149" s="213">
        <f t="shared" si="16"/>
        <v>203727.11779448483</v>
      </c>
      <c r="P149" s="213">
        <f>IF($F149="","",'פרמטרים לקריטריונים'!$C$59*O149)</f>
        <v>61118.135338345448</v>
      </c>
      <c r="Q149" s="214">
        <f t="shared" si="17"/>
        <v>3.4722986554674041E-4</v>
      </c>
      <c r="R149" s="213">
        <f t="shared" si="25"/>
        <v>34722.98655467404</v>
      </c>
      <c r="S149" s="213">
        <f>IF($F149="","",'הזנה לתנאי סף'!N149)</f>
        <v>1</v>
      </c>
      <c r="T149" s="213">
        <f>IF($F149="","",'הזנה לתנאי סף'!O149)</f>
        <v>1</v>
      </c>
      <c r="U149" s="213">
        <f>IF($F149="","",'תחום תמיכה א'!W149)</f>
        <v>0</v>
      </c>
      <c r="V149" s="213">
        <f>IF($F149="","",'תחום תמיכה א'!X149)</f>
        <v>0</v>
      </c>
      <c r="W149" s="213">
        <f>IF($F149="","",'תחום תמיכה א'!Y149)</f>
        <v>0</v>
      </c>
      <c r="X149" s="231" t="str">
        <f>IF($F149="","",'תחום תמיכה א'!Z149)</f>
        <v>בדוק נתוני הזנה</v>
      </c>
      <c r="Y149" s="213" t="str">
        <f>IF($F149="","",'תחום תמיכה א'!AA149)</f>
        <v>בדוק נתוני הזנה</v>
      </c>
      <c r="Z149" s="214">
        <f>IF($F149="","",'תחום תמיכה א'!AB149)</f>
        <v>0</v>
      </c>
      <c r="AA149" s="225" t="str">
        <f>IF($F149="","",'תחום תמיכה א'!AC149)</f>
        <v/>
      </c>
      <c r="AB149" s="213" t="str">
        <f t="shared" si="18"/>
        <v/>
      </c>
      <c r="AC149" s="213">
        <f t="shared" si="19"/>
        <v>34722.98655467404</v>
      </c>
      <c r="AD149" s="214">
        <f t="shared" si="20"/>
        <v>3.4799190959997289E-4</v>
      </c>
      <c r="AE149" s="213">
        <f t="shared" si="23"/>
        <v>35764.157120690674</v>
      </c>
      <c r="AF149" s="214">
        <f t="shared" si="21"/>
        <v>3.47991909599973E-4</v>
      </c>
    </row>
    <row r="150" spans="1:32" ht="15.75" x14ac:dyDescent="0.2">
      <c r="A150" s="206">
        <f t="shared" si="22"/>
        <v>120</v>
      </c>
      <c r="B150" s="88">
        <f>IF($F150="","",'הזנה לתנאי סף'!C150)</f>
        <v>1001350998</v>
      </c>
      <c r="C150" s="88">
        <f>IF($F150="","",'הזנה לתנאי סף'!D150)</f>
        <v>1001270595</v>
      </c>
      <c r="D150" s="88">
        <f>IF($F150="","",'הזנה לתנאי סף'!E150)</f>
        <v>40002883</v>
      </c>
      <c r="E150" s="88">
        <f>IF($F150="","",'הזנה לתנאי סף'!F150)</f>
        <v>20000254</v>
      </c>
      <c r="F150" s="88" t="str">
        <f>IF(OR('הזנה לתנאי סף'!G150="",'הזנה לתנאי סף'!BL150&lt;&gt;1,'הזנה לתנאי סף'!Q150&lt;&gt;1),"",'הזנה לתנאי סף'!G150)</f>
        <v>באר שבע</v>
      </c>
      <c r="G150" s="88" t="str">
        <f>IF($F150="","",'הזנה לתנאי סף'!H150)</f>
        <v>בת-דור באר-שבע - מרכז עירוני לאמנות</v>
      </c>
      <c r="H150" s="88" t="str">
        <f>IF($F150="","",'הזנה לתנאי סף'!I150)</f>
        <v>מרכזי מחול</v>
      </c>
      <c r="I150" s="213">
        <f>IF($F150="","",'תחום תמיכה א'!$I150)</f>
        <v>714081</v>
      </c>
      <c r="J150" s="213">
        <f>IF($F150="","",'תחום תמיכה א'!$J150)</f>
        <v>1534433</v>
      </c>
      <c r="K150" s="213">
        <f>IF($F150="","",'תחום תמיכה א'!$K150)</f>
        <v>258610</v>
      </c>
      <c r="L150" s="213">
        <f t="shared" si="14"/>
        <v>2507124</v>
      </c>
      <c r="M150" s="214">
        <f t="shared" si="15"/>
        <v>0.28482077472035688</v>
      </c>
      <c r="N150" s="214">
        <f t="shared" si="24"/>
        <v>0.71517922527964317</v>
      </c>
      <c r="O150" s="213">
        <f t="shared" si="16"/>
        <v>1097394.6041835188</v>
      </c>
      <c r="P150" s="213">
        <f>IF($F150="","",'פרמטרים לקריטריונים'!$C$59*O150)</f>
        <v>329218.3812550556</v>
      </c>
      <c r="Q150" s="214">
        <f t="shared" si="17"/>
        <v>1.870385174970934E-3</v>
      </c>
      <c r="R150" s="213">
        <f t="shared" si="25"/>
        <v>187038.51749709342</v>
      </c>
      <c r="S150" s="213">
        <f>IF($F150="","",'הזנה לתנאי סף'!N150)</f>
        <v>1</v>
      </c>
      <c r="T150" s="213">
        <f>IF($F150="","",'הזנה לתנאי סף'!O150)</f>
        <v>1</v>
      </c>
      <c r="U150" s="213">
        <f>IF($F150="","",'תחום תמיכה א'!W150)</f>
        <v>0</v>
      </c>
      <c r="V150" s="213">
        <f>IF($F150="","",'תחום תמיכה א'!X150)</f>
        <v>0</v>
      </c>
      <c r="W150" s="213">
        <f>IF($F150="","",'תחום תמיכה א'!Y150)</f>
        <v>0</v>
      </c>
      <c r="X150" s="231" t="str">
        <f>IF($F150="","",'תחום תמיכה א'!Z150)</f>
        <v>בדוק נתוני הזנה</v>
      </c>
      <c r="Y150" s="213" t="str">
        <f>IF($F150="","",'תחום תמיכה א'!AA150)</f>
        <v>בדוק נתוני הזנה</v>
      </c>
      <c r="Z150" s="214">
        <f>IF($F150="","",'תחום תמיכה א'!AB150)</f>
        <v>0</v>
      </c>
      <c r="AA150" s="225" t="str">
        <f>IF($F150="","",'תחום תמיכה א'!AC150)</f>
        <v/>
      </c>
      <c r="AB150" s="213" t="str">
        <f t="shared" si="18"/>
        <v/>
      </c>
      <c r="AC150" s="213">
        <f t="shared" si="19"/>
        <v>187038.51749709342</v>
      </c>
      <c r="AD150" s="214">
        <f t="shared" si="20"/>
        <v>1.8744899944040105E-3</v>
      </c>
      <c r="AE150" s="213">
        <f t="shared" si="23"/>
        <v>192646.87721646056</v>
      </c>
      <c r="AF150" s="214">
        <f t="shared" si="21"/>
        <v>1.8744899944040112E-3</v>
      </c>
    </row>
    <row r="151" spans="1:32" ht="15.75" x14ac:dyDescent="0.2">
      <c r="A151" s="206">
        <f t="shared" si="22"/>
        <v>121</v>
      </c>
      <c r="B151" s="88">
        <f>IF($F151="","",'הזנה לתנאי סף'!C151)</f>
        <v>1001350131</v>
      </c>
      <c r="C151" s="88">
        <f>IF($F151="","",'הזנה לתנאי סף'!D151)</f>
        <v>1001270246</v>
      </c>
      <c r="D151" s="88">
        <f>IF($F151="","",'הזנה לתנאי סף'!E151)</f>
        <v>40269761</v>
      </c>
      <c r="E151" s="88">
        <f>IF($F151="","",'הזנה לתנאי סף'!F151)</f>
        <v>20000201</v>
      </c>
      <c r="F151" s="88" t="str">
        <f>IF(OR('הזנה לתנאי סף'!G151="",'הזנה לתנאי סף'!BL151&lt;&gt;1,'הזנה לתנאי סף'!Q151&lt;&gt;1),"",'הזנה לתנאי סף'!G151)</f>
        <v>תל אביב -יפו</v>
      </c>
      <c r="G151" s="88" t="str">
        <f>IF($F151="","",'הזנה לתנאי סף'!H151)</f>
        <v>נא לגעת</v>
      </c>
      <c r="H151" s="88" t="str">
        <f>IF($F151="","",'הזנה לתנאי סף'!I151)</f>
        <v>תיאטרון</v>
      </c>
      <c r="I151" s="213">
        <f>IF($F151="","",'תחום תמיכה א'!$I151)</f>
        <v>1296182</v>
      </c>
      <c r="J151" s="213">
        <f>IF($F151="","",'תחום תמיכה א'!$J151)</f>
        <v>752151</v>
      </c>
      <c r="K151" s="213">
        <f>IF($F151="","",'תחום תמיכה א'!$K151)</f>
        <v>538243</v>
      </c>
      <c r="L151" s="213">
        <f t="shared" si="14"/>
        <v>2586576</v>
      </c>
      <c r="M151" s="214">
        <f t="shared" si="15"/>
        <v>0.50111885365054032</v>
      </c>
      <c r="N151" s="214">
        <f t="shared" si="24"/>
        <v>0.49888114634945968</v>
      </c>
      <c r="O151" s="213">
        <f t="shared" si="16"/>
        <v>375233.95310789248</v>
      </c>
      <c r="P151" s="213">
        <f>IF($F151="","",'פרמטרים לקריטריונים'!$C$59*O151)</f>
        <v>112570.18593236773</v>
      </c>
      <c r="Q151" s="214">
        <f t="shared" si="17"/>
        <v>6.3954389821418555E-4</v>
      </c>
      <c r="R151" s="213">
        <f t="shared" si="25"/>
        <v>63954.389821418554</v>
      </c>
      <c r="S151" s="213">
        <f>IF($F151="","",'הזנה לתנאי סף'!N151)</f>
        <v>1</v>
      </c>
      <c r="T151" s="213">
        <f>IF($F151="","",'הזנה לתנאי סף'!O151)</f>
        <v>1</v>
      </c>
      <c r="U151" s="213">
        <f>IF($F151="","",'תחום תמיכה א'!W151)</f>
        <v>0</v>
      </c>
      <c r="V151" s="213">
        <f>IF($F151="","",'תחום תמיכה א'!X151)</f>
        <v>0</v>
      </c>
      <c r="W151" s="213">
        <f>IF($F151="","",'תחום תמיכה א'!Y151)</f>
        <v>0</v>
      </c>
      <c r="X151" s="231" t="str">
        <f>IF($F151="","",'תחום תמיכה א'!Z151)</f>
        <v>בדוק נתוני הזנה</v>
      </c>
      <c r="Y151" s="213" t="str">
        <f>IF($F151="","",'תחום תמיכה א'!AA151)</f>
        <v>בדוק נתוני הזנה</v>
      </c>
      <c r="Z151" s="214">
        <f>IF($F151="","",'תחום תמיכה א'!AB151)</f>
        <v>0</v>
      </c>
      <c r="AA151" s="225" t="str">
        <f>IF($F151="","",'תחום תמיכה א'!AC151)</f>
        <v/>
      </c>
      <c r="AB151" s="213" t="str">
        <f t="shared" si="18"/>
        <v/>
      </c>
      <c r="AC151" s="213">
        <f t="shared" si="19"/>
        <v>63954.389821418554</v>
      </c>
      <c r="AD151" s="214">
        <f t="shared" si="20"/>
        <v>6.4094746591608198E-4</v>
      </c>
      <c r="AE151" s="213">
        <f t="shared" si="23"/>
        <v>65872.065541644042</v>
      </c>
      <c r="AF151" s="214">
        <f t="shared" si="21"/>
        <v>6.4094746591608208E-4</v>
      </c>
    </row>
    <row r="152" spans="1:32" ht="15.75" x14ac:dyDescent="0.2">
      <c r="A152" s="206">
        <f t="shared" si="22"/>
        <v>122</v>
      </c>
      <c r="B152" s="88">
        <f>IF($F152="","",'הזנה לתנאי סף'!C152)</f>
        <v>1001347266</v>
      </c>
      <c r="C152" s="88">
        <f>IF($F152="","",'הזנה לתנאי סף'!D152)</f>
        <v>1001266737</v>
      </c>
      <c r="D152" s="88">
        <f>IF($F152="","",'הזנה לתנאי סף'!E152)</f>
        <v>40299484</v>
      </c>
      <c r="E152" s="88">
        <f>IF($F152="","",'הזנה לתנאי סף'!F152)</f>
        <v>20000159</v>
      </c>
      <c r="F152" s="88" t="str">
        <f>IF(OR('הזנה לתנאי סף'!G152="",'הזנה לתנאי סף'!BL152&lt;&gt;1,'הזנה לתנאי סף'!Q152&lt;&gt;1),"",'הזנה לתנאי סף'!G152)</f>
        <v>ירושלים</v>
      </c>
      <c r="G152" s="88" t="str">
        <f>IF($F152="","",'הזנה לתנאי סף'!H152)</f>
        <v>קרן אהבת קדומים תזמורת י-ם</v>
      </c>
      <c r="H152" s="88" t="str">
        <f>IF($F152="","",'הזנה לתנאי סף'!I152)</f>
        <v>מוסיקה-גופים כליים</v>
      </c>
      <c r="I152" s="213">
        <f>IF($F152="","",'תחום תמיכה א'!$I152)</f>
        <v>6733045</v>
      </c>
      <c r="J152" s="213">
        <f>IF($F152="","",'תחום תמיכה א'!$J152)</f>
        <v>3382773</v>
      </c>
      <c r="K152" s="213">
        <f>IF($F152="","",'תחום תמיכה א'!$K152)</f>
        <v>0</v>
      </c>
      <c r="L152" s="213">
        <f t="shared" si="14"/>
        <v>10115818</v>
      </c>
      <c r="M152" s="214">
        <f t="shared" si="15"/>
        <v>0.66559570367912901</v>
      </c>
      <c r="N152" s="214">
        <f t="shared" si="24"/>
        <v>0.33440429632087099</v>
      </c>
      <c r="O152" s="213">
        <f t="shared" si="16"/>
        <v>1131213.8246782417</v>
      </c>
      <c r="P152" s="213">
        <f>IF($F152="","",'פרמטרים לקריטריונים'!$C$59*O152)</f>
        <v>339364.14740347251</v>
      </c>
      <c r="Q152" s="214">
        <f t="shared" si="17"/>
        <v>1.9280262171277487E-3</v>
      </c>
      <c r="R152" s="213">
        <f t="shared" si="25"/>
        <v>192802.62171277488</v>
      </c>
      <c r="S152" s="213">
        <f>IF($F152="","",'הזנה לתנאי סף'!N152)</f>
        <v>1</v>
      </c>
      <c r="T152" s="213">
        <f>IF($F152="","",'הזנה לתנאי סף'!O152)</f>
        <v>1</v>
      </c>
      <c r="U152" s="213">
        <f>IF($F152="","",'תחום תמיכה א'!W152)</f>
        <v>0</v>
      </c>
      <c r="V152" s="213">
        <f>IF($F152="","",'תחום תמיכה א'!X152)</f>
        <v>0</v>
      </c>
      <c r="W152" s="213">
        <f>IF($F152="","",'תחום תמיכה א'!Y152)</f>
        <v>0</v>
      </c>
      <c r="X152" s="231" t="str">
        <f>IF($F152="","",'תחום תמיכה א'!Z152)</f>
        <v>בדוק נתוני הזנה</v>
      </c>
      <c r="Y152" s="213" t="str">
        <f>IF($F152="","",'תחום תמיכה א'!AA152)</f>
        <v>בדוק נתוני הזנה</v>
      </c>
      <c r="Z152" s="214">
        <f>IF($F152="","",'תחום תמיכה א'!AB152)</f>
        <v>1</v>
      </c>
      <c r="AA152" s="225" t="str">
        <f>IF($F152="","",'תחום תמיכה א'!AC152)</f>
        <v/>
      </c>
      <c r="AB152" s="213" t="str">
        <f t="shared" si="18"/>
        <v/>
      </c>
      <c r="AC152" s="213">
        <f t="shared" si="19"/>
        <v>192802.62171277488</v>
      </c>
      <c r="AD152" s="214">
        <f t="shared" si="20"/>
        <v>1.9322575378147671E-3</v>
      </c>
      <c r="AE152" s="213">
        <f t="shared" si="23"/>
        <v>198583.81839820684</v>
      </c>
      <c r="AF152" s="214">
        <f t="shared" si="21"/>
        <v>1.9322575378147675E-3</v>
      </c>
    </row>
    <row r="153" spans="1:32" ht="15.75" x14ac:dyDescent="0.2">
      <c r="A153" s="206">
        <f t="shared" si="22"/>
        <v>123</v>
      </c>
      <c r="B153" s="88">
        <f>IF($F153="","",'הזנה לתנאי סף'!C153)</f>
        <v>1001348246</v>
      </c>
      <c r="C153" s="88">
        <f>IF($F153="","",'הזנה לתנאי סף'!D153)</f>
        <v>1001266660</v>
      </c>
      <c r="D153" s="88">
        <f>IF($F153="","",'הזנה לתנאי סף'!E153)</f>
        <v>40327977</v>
      </c>
      <c r="E153" s="88">
        <f>IF($F153="","",'הזנה לתנאי סף'!F153)</f>
        <v>20000159</v>
      </c>
      <c r="F153" s="88" t="str">
        <f>IF(OR('הזנה לתנאי סף'!G153="",'הזנה לתנאי סף'!BL153&lt;&gt;1,'הזנה לתנאי סף'!Q153&lt;&gt;1),"",'הזנה לתנאי סף'!G153)</f>
        <v>ירושלים</v>
      </c>
      <c r="G153" s="88" t="str">
        <f>IF($F153="","",'הזנה לתנאי סף'!H153)</f>
        <v>אביבים</v>
      </c>
      <c r="H153" s="88" t="str">
        <f>IF($F153="","",'הזנה לתנאי סף'!I153)</f>
        <v>תרבות חרדית</v>
      </c>
      <c r="I153" s="213">
        <f>IF($F153="","",'תחום תמיכה א'!$I153)</f>
        <v>180000</v>
      </c>
      <c r="J153" s="213">
        <f>IF($F153="","",'תחום תמיכה א'!$J153)</f>
        <v>124105</v>
      </c>
      <c r="K153" s="213">
        <f>IF($F153="","",'תחום תמיכה א'!$K153)</f>
        <v>0</v>
      </c>
      <c r="L153" s="213">
        <f t="shared" si="14"/>
        <v>304105</v>
      </c>
      <c r="M153" s="214">
        <f t="shared" si="15"/>
        <v>0.59190082372864639</v>
      </c>
      <c r="N153" s="214">
        <f t="shared" si="24"/>
        <v>0.40809917627135361</v>
      </c>
      <c r="O153" s="213">
        <f t="shared" si="16"/>
        <v>50647.148271156337</v>
      </c>
      <c r="P153" s="213">
        <f>IF($F153="","",'פרמטרים לקריטריונים'!$C$59*O153)</f>
        <v>15194.144481346901</v>
      </c>
      <c r="Q153" s="214">
        <f t="shared" si="17"/>
        <v>8.6322344687858352E-5</v>
      </c>
      <c r="R153" s="213">
        <f t="shared" si="25"/>
        <v>8632.2344687858349</v>
      </c>
      <c r="S153" s="213">
        <f>IF($F153="","",'הזנה לתנאי סף'!N153)</f>
        <v>0</v>
      </c>
      <c r="T153" s="213">
        <f>IF($F153="","",'הזנה לתנאי סף'!O153)</f>
        <v>1</v>
      </c>
      <c r="U153" s="213">
        <f>IF($F153="","",'תחום תמיכה א'!W153)</f>
        <v>0</v>
      </c>
      <c r="V153" s="213">
        <f>IF($F153="","",'תחום תמיכה א'!X153)</f>
        <v>0</v>
      </c>
      <c r="W153" s="213">
        <f>IF($F153="","",'תחום תמיכה א'!Y153)</f>
        <v>1</v>
      </c>
      <c r="X153" s="231">
        <f>IF($F153="","",'תחום תמיכה א'!Z153)</f>
        <v>0</v>
      </c>
      <c r="Y153" s="213" t="str">
        <f>IF($F153="","",'תחום תמיכה א'!AA153)</f>
        <v/>
      </c>
      <c r="Z153" s="214" t="str">
        <f>IF($F153="","",'תחום תמיכה א'!AB153)</f>
        <v/>
      </c>
      <c r="AA153" s="225" t="str">
        <f>IF($F153="","",'תחום תמיכה א'!AC153)</f>
        <v/>
      </c>
      <c r="AB153" s="213" t="str">
        <f t="shared" si="18"/>
        <v/>
      </c>
      <c r="AC153" s="213">
        <f t="shared" si="19"/>
        <v>8632.2344687858349</v>
      </c>
      <c r="AD153" s="214">
        <f t="shared" si="20"/>
        <v>8.6511791034378366E-5</v>
      </c>
      <c r="AE153" s="213">
        <f t="shared" si="23"/>
        <v>8891.0724703414417</v>
      </c>
      <c r="AF153" s="214">
        <f t="shared" si="21"/>
        <v>8.6511791034378393E-5</v>
      </c>
    </row>
    <row r="154" spans="1:32" ht="15.75" x14ac:dyDescent="0.2">
      <c r="A154" s="206">
        <f t="shared" si="22"/>
        <v>124</v>
      </c>
      <c r="B154" s="88">
        <f>IF($F154="","",'הזנה לתנאי סף'!C154)</f>
        <v>1001349552</v>
      </c>
      <c r="C154" s="88">
        <f>IF($F154="","",'הזנה לתנאי סף'!D154)</f>
        <v>1001290587</v>
      </c>
      <c r="D154" s="88">
        <f>IF($F154="","",'הזנה לתנאי סף'!E154)</f>
        <v>41053690</v>
      </c>
      <c r="E154" s="88">
        <f>IF($F154="","",'הזנה לתנאי סף'!F154)</f>
        <v>20000072</v>
      </c>
      <c r="F154" s="88" t="str">
        <f>IF(OR('הזנה לתנאי סף'!G154="",'הזנה לתנאי סף'!BL154&lt;&gt;1,'הזנה לתנאי סף'!Q154&lt;&gt;1),"",'הזנה לתנאי סף'!G154)</f>
        <v>ראמה</v>
      </c>
      <c r="G154" s="88" t="str">
        <f>IF($F154="","",'הזנה לתנאי סף'!H154)</f>
        <v>סיראג'</v>
      </c>
      <c r="H154" s="88" t="str">
        <f>IF($F154="","",'הזנה לתנאי סף'!I154)</f>
        <v>תרבות ערבית</v>
      </c>
      <c r="I154" s="213">
        <f>IF($F154="","",'תחום תמיכה א'!$I154)</f>
        <v>435597</v>
      </c>
      <c r="J154" s="213">
        <f>IF($F154="","",'תחום תמיכה א'!$J154)</f>
        <v>807508</v>
      </c>
      <c r="K154" s="213">
        <f>IF($F154="","",'תחום תמיכה א'!$K154)</f>
        <v>0</v>
      </c>
      <c r="L154" s="213">
        <f t="shared" si="14"/>
        <v>1243105</v>
      </c>
      <c r="M154" s="214">
        <f t="shared" si="15"/>
        <v>0.35041046412008642</v>
      </c>
      <c r="N154" s="214">
        <f t="shared" si="24"/>
        <v>0.64958953587991353</v>
      </c>
      <c r="O154" s="213">
        <f t="shared" si="16"/>
        <v>524548.74693931721</v>
      </c>
      <c r="P154" s="213">
        <f>IF($F154="","",'פרמטרים לקריטריונים'!$C$59*O154)</f>
        <v>157364.62408179516</v>
      </c>
      <c r="Q154" s="214">
        <f t="shared" si="17"/>
        <v>8.9403410230437682E-4</v>
      </c>
      <c r="R154" s="213">
        <f t="shared" si="25"/>
        <v>89403.410230437687</v>
      </c>
      <c r="S154" s="213">
        <f>IF($F154="","",'הזנה לתנאי סף'!N154)</f>
        <v>0</v>
      </c>
      <c r="T154" s="213">
        <f>IF($F154="","",'הזנה לתנאי סף'!O154)</f>
        <v>1</v>
      </c>
      <c r="U154" s="213">
        <f>IF($F154="","",'תחום תמיכה א'!W154)</f>
        <v>0</v>
      </c>
      <c r="V154" s="213">
        <f>IF($F154="","",'תחום תמיכה א'!X154)</f>
        <v>0</v>
      </c>
      <c r="W154" s="213">
        <f>IF($F154="","",'תחום תמיכה א'!Y154)</f>
        <v>1</v>
      </c>
      <c r="X154" s="231">
        <f>IF($F154="","",'תחום תמיכה א'!Z154)</f>
        <v>0</v>
      </c>
      <c r="Y154" s="213" t="str">
        <f>IF($F154="","",'תחום תמיכה א'!AA154)</f>
        <v/>
      </c>
      <c r="Z154" s="214" t="str">
        <f>IF($F154="","",'תחום תמיכה א'!AB154)</f>
        <v/>
      </c>
      <c r="AA154" s="225" t="str">
        <f>IF($F154="","",'תחום תמיכה א'!AC154)</f>
        <v/>
      </c>
      <c r="AB154" s="213" t="str">
        <f t="shared" si="18"/>
        <v/>
      </c>
      <c r="AC154" s="213">
        <f t="shared" si="19"/>
        <v>89403.410230437687</v>
      </c>
      <c r="AD154" s="214">
        <f t="shared" si="20"/>
        <v>8.9599618402213274E-4</v>
      </c>
      <c r="AE154" s="213">
        <f t="shared" si="23"/>
        <v>92084.176157264679</v>
      </c>
      <c r="AF154" s="214">
        <f t="shared" si="21"/>
        <v>8.9599618402213296E-4</v>
      </c>
    </row>
    <row r="155" spans="1:32" ht="15.75" x14ac:dyDescent="0.2">
      <c r="A155" s="206">
        <f t="shared" si="22"/>
        <v>125</v>
      </c>
      <c r="B155" s="88">
        <f>IF($F155="","",'הזנה לתנאי סף'!C155)</f>
        <v>1001347776</v>
      </c>
      <c r="C155" s="88">
        <f>IF($F155="","",'הזנה לתנאי סף'!D155)</f>
        <v>1001276514</v>
      </c>
      <c r="D155" s="88">
        <f>IF($F155="","",'הזנה לתנאי סף'!E155)</f>
        <v>40946840</v>
      </c>
      <c r="E155" s="88">
        <f>IF($F155="","",'הזנה לתנאי סף'!F155)</f>
        <v>20000231</v>
      </c>
      <c r="F155" s="88" t="str">
        <f>IF(OR('הזנה לתנאי סף'!G155="",'הזנה לתנאי סף'!BL155&lt;&gt;1,'הזנה לתנאי סף'!Q155&lt;&gt;1),"",'הזנה לתנאי סף'!G155)</f>
        <v>נצרת</v>
      </c>
      <c r="G155" s="88" t="str">
        <f>IF($F155="","",'הזנה לתנאי סף'!H155)</f>
        <v>נצרת עלא אלעהד</v>
      </c>
      <c r="H155" s="88" t="str">
        <f>IF($F155="","",'הזנה לתנאי סף'!I155)</f>
        <v>תרבות ערבית</v>
      </c>
      <c r="I155" s="213">
        <f>IF($F155="","",'תחום תמיכה א'!$I155)</f>
        <v>239206</v>
      </c>
      <c r="J155" s="213">
        <f>IF($F155="","",'תחום תמיכה א'!$J155)</f>
        <v>131667</v>
      </c>
      <c r="K155" s="213">
        <f>IF($F155="","",'תחום תמיכה א'!$K155)</f>
        <v>0</v>
      </c>
      <c r="L155" s="213">
        <f t="shared" si="14"/>
        <v>370873</v>
      </c>
      <c r="M155" s="214">
        <f t="shared" si="15"/>
        <v>0.64498089642546097</v>
      </c>
      <c r="N155" s="214">
        <f t="shared" si="24"/>
        <v>0.35501910357453903</v>
      </c>
      <c r="O155" s="213">
        <f t="shared" si="16"/>
        <v>46744.30031034883</v>
      </c>
      <c r="P155" s="213">
        <f>IF($F155="","",'פרמטרים לקריטריונים'!$C$59*O155)</f>
        <v>14023.290093104648</v>
      </c>
      <c r="Q155" s="214">
        <f t="shared" si="17"/>
        <v>7.9670381084035897E-5</v>
      </c>
      <c r="R155" s="213">
        <f t="shared" si="25"/>
        <v>7967.0381084035898</v>
      </c>
      <c r="S155" s="213">
        <f>IF($F155="","",'הזנה לתנאי סף'!N155)</f>
        <v>0</v>
      </c>
      <c r="T155" s="213">
        <f>IF($F155="","",'הזנה לתנאי סף'!O155)</f>
        <v>1</v>
      </c>
      <c r="U155" s="213">
        <f>IF($F155="","",'תחום תמיכה א'!W155)</f>
        <v>0</v>
      </c>
      <c r="V155" s="213">
        <f>IF($F155="","",'תחום תמיכה א'!X155)</f>
        <v>0</v>
      </c>
      <c r="W155" s="213">
        <f>IF($F155="","",'תחום תמיכה א'!Y155)</f>
        <v>1</v>
      </c>
      <c r="X155" s="231">
        <f>IF($F155="","",'תחום תמיכה א'!Z155)</f>
        <v>0</v>
      </c>
      <c r="Y155" s="213" t="str">
        <f>IF($F155="","",'תחום תמיכה א'!AA155)</f>
        <v/>
      </c>
      <c r="Z155" s="214" t="str">
        <f>IF($F155="","",'תחום תמיכה א'!AB155)</f>
        <v/>
      </c>
      <c r="AA155" s="225" t="str">
        <f>IF($F155="","",'תחום תמיכה א'!AC155)</f>
        <v/>
      </c>
      <c r="AB155" s="213" t="str">
        <f t="shared" si="18"/>
        <v/>
      </c>
      <c r="AC155" s="213">
        <f t="shared" si="19"/>
        <v>7967.0381084035898</v>
      </c>
      <c r="AD155" s="214">
        <f t="shared" si="20"/>
        <v>7.9845228774709794E-5</v>
      </c>
      <c r="AE155" s="213">
        <f t="shared" si="23"/>
        <v>8205.9301623385654</v>
      </c>
      <c r="AF155" s="214">
        <f t="shared" si="21"/>
        <v>7.9845228774709807E-5</v>
      </c>
    </row>
    <row r="156" spans="1:32" ht="15.75" x14ac:dyDescent="0.2">
      <c r="A156" s="206">
        <f t="shared" si="22"/>
        <v>126</v>
      </c>
      <c r="B156" s="88">
        <f>IF($F156="","",'הזנה לתנאי סף'!C156)</f>
        <v>1001348954</v>
      </c>
      <c r="C156" s="88">
        <f>IF($F156="","",'הזנה לתנאי סף'!D156)</f>
        <v>1001290646</v>
      </c>
      <c r="D156" s="88">
        <f>IF($F156="","",'הזנה לתנאי סף'!E156)</f>
        <v>40970756</v>
      </c>
      <c r="E156" s="88">
        <f>IF($F156="","",'הזנה לתנאי סף'!F156)</f>
        <v>20000201</v>
      </c>
      <c r="F156" s="88" t="str">
        <f>IF(OR('הזנה לתנאי סף'!G156="",'הזנה לתנאי סף'!BL156&lt;&gt;1,'הזנה לתנאי סף'!Q156&lt;&gt;1),"",'הזנה לתנאי סף'!G156)</f>
        <v>תל אביב -יפו</v>
      </c>
      <c r="G156" s="88" t="str">
        <f>IF($F156="","",'הזנה לתנאי סף'!H156)</f>
        <v>אלמז אמנות בישראל</v>
      </c>
      <c r="H156" s="88" t="str">
        <f>IF($F156="","",'הזנה לתנאי סף'!I156)</f>
        <v>אחר</v>
      </c>
      <c r="I156" s="213">
        <f>IF($F156="","",'תחום תמיכה א'!$I156)</f>
        <v>0</v>
      </c>
      <c r="J156" s="213">
        <f>IF($F156="","",'תחום תמיכה א'!$J156)</f>
        <v>155151</v>
      </c>
      <c r="K156" s="213">
        <f>IF($F156="","",'תחום תמיכה א'!$K156)</f>
        <v>0</v>
      </c>
      <c r="L156" s="213">
        <f t="shared" si="14"/>
        <v>155151</v>
      </c>
      <c r="M156" s="214">
        <f t="shared" si="15"/>
        <v>0</v>
      </c>
      <c r="N156" s="214">
        <f t="shared" si="24"/>
        <v>1</v>
      </c>
      <c r="O156" s="213">
        <f t="shared" si="16"/>
        <v>155151</v>
      </c>
      <c r="P156" s="213">
        <f>IF($F156="","",'פרמטרים לקריטריונים'!$C$59*O156)</f>
        <v>46545.299999999996</v>
      </c>
      <c r="Q156" s="214">
        <f t="shared" si="17"/>
        <v>2.6443735842661951E-4</v>
      </c>
      <c r="R156" s="213">
        <f t="shared" si="25"/>
        <v>26443.73584266195</v>
      </c>
      <c r="S156" s="213">
        <f>IF($F156="","",'הזנה לתנאי סף'!N156)</f>
        <v>0</v>
      </c>
      <c r="T156" s="213">
        <f>IF($F156="","",'הזנה לתנאי סף'!O156)</f>
        <v>1</v>
      </c>
      <c r="U156" s="213">
        <f>IF($F156="","",'תחום תמיכה א'!W156)</f>
        <v>0</v>
      </c>
      <c r="V156" s="213">
        <f>IF($F156="","",'תחום תמיכה א'!X156)</f>
        <v>0</v>
      </c>
      <c r="W156" s="213">
        <f>IF($F156="","",'תחום תמיכה א'!Y156)</f>
        <v>1</v>
      </c>
      <c r="X156" s="231">
        <f>IF($F156="","",'תחום תמיכה א'!Z156)</f>
        <v>0</v>
      </c>
      <c r="Y156" s="213" t="str">
        <f>IF($F156="","",'תחום תמיכה א'!AA156)</f>
        <v/>
      </c>
      <c r="Z156" s="214" t="str">
        <f>IF($F156="","",'תחום תמיכה א'!AB156)</f>
        <v/>
      </c>
      <c r="AA156" s="225" t="str">
        <f>IF($F156="","",'תחום תמיכה א'!AC156)</f>
        <v/>
      </c>
      <c r="AB156" s="213" t="str">
        <f t="shared" si="18"/>
        <v/>
      </c>
      <c r="AC156" s="213">
        <f t="shared" si="19"/>
        <v>26443.73584266195</v>
      </c>
      <c r="AD156" s="214">
        <f t="shared" si="20"/>
        <v>2.6501770285098004E-4</v>
      </c>
      <c r="AE156" s="213">
        <f t="shared" si="23"/>
        <v>27236.652643512207</v>
      </c>
      <c r="AF156" s="214">
        <f t="shared" si="21"/>
        <v>2.6501770285098009E-4</v>
      </c>
    </row>
    <row r="157" spans="1:32" ht="15.75" x14ac:dyDescent="0.2">
      <c r="A157" s="206">
        <f t="shared" si="22"/>
        <v>127</v>
      </c>
      <c r="B157" s="88">
        <f>IF($F157="","",'הזנה לתנאי סף'!C157)</f>
        <v>1001348952</v>
      </c>
      <c r="C157" s="88">
        <f>IF($F157="","",'הזנה לתנאי סף'!D157)</f>
        <v>1001263412</v>
      </c>
      <c r="D157" s="88">
        <f>IF($F157="","",'הזנה לתנאי סף'!E157)</f>
        <v>40374797</v>
      </c>
      <c r="E157" s="88">
        <f>IF($F157="","",'הזנה לתנאי סף'!F157)</f>
        <v>20000027</v>
      </c>
      <c r="F157" s="88" t="str">
        <f>IF(OR('הזנה לתנאי סף'!G157="",'הזנה לתנאי סף'!BL157&lt;&gt;1,'הזנה לתנאי סף'!Q157&lt;&gt;1),"",'הזנה לתנאי סף'!G157)</f>
        <v>כפר שמריהו</v>
      </c>
      <c r="G157" s="88" t="str">
        <f>IF($F157="","",'הזנה לתנאי סף'!H157)</f>
        <v>בארוקדה</v>
      </c>
      <c r="H157" s="88" t="str">
        <f>IF($F157="","",'הזנה לתנאי סף'!I157)</f>
        <v>מוסיקה-גופים כליים</v>
      </c>
      <c r="I157" s="213">
        <f>IF($F157="","",'תחום תמיכה א'!$I157)</f>
        <v>490764</v>
      </c>
      <c r="J157" s="213">
        <f>IF($F157="","",'תחום תמיכה א'!$J157)</f>
        <v>1076459</v>
      </c>
      <c r="K157" s="213">
        <f>IF($F157="","",'תחום תמיכה א'!$K157)</f>
        <v>123597</v>
      </c>
      <c r="L157" s="213">
        <f t="shared" si="14"/>
        <v>1690820</v>
      </c>
      <c r="M157" s="214">
        <f t="shared" si="15"/>
        <v>0.29025206704439266</v>
      </c>
      <c r="N157" s="214">
        <f t="shared" si="24"/>
        <v>0.70974793295560734</v>
      </c>
      <c r="O157" s="213">
        <f t="shared" si="16"/>
        <v>764014.55016146007</v>
      </c>
      <c r="P157" s="213">
        <f>IF($F157="","",'פרמטרים לקריטריונים'!$C$59*O157)</f>
        <v>229204.36504843802</v>
      </c>
      <c r="Q157" s="214">
        <f t="shared" si="17"/>
        <v>1.3021765212225412E-3</v>
      </c>
      <c r="R157" s="213">
        <f t="shared" si="25"/>
        <v>130217.65212225412</v>
      </c>
      <c r="S157" s="213">
        <f>IF($F157="","",'הזנה לתנאי סף'!N157)</f>
        <v>0</v>
      </c>
      <c r="T157" s="213">
        <f>IF($F157="","",'הזנה לתנאי סף'!O157)</f>
        <v>1</v>
      </c>
      <c r="U157" s="213">
        <f>IF($F157="","",'תחום תמיכה א'!W157)</f>
        <v>0</v>
      </c>
      <c r="V157" s="213">
        <f>IF($F157="","",'תחום תמיכה א'!X157)</f>
        <v>0</v>
      </c>
      <c r="W157" s="213">
        <f>IF($F157="","",'תחום תמיכה א'!Y157)</f>
        <v>1</v>
      </c>
      <c r="X157" s="231">
        <f>IF($F157="","",'תחום תמיכה א'!Z157)</f>
        <v>0</v>
      </c>
      <c r="Y157" s="213" t="str">
        <f>IF($F157="","",'תחום תמיכה א'!AA157)</f>
        <v/>
      </c>
      <c r="Z157" s="214" t="str">
        <f>IF($F157="","",'תחום תמיכה א'!AB157)</f>
        <v/>
      </c>
      <c r="AA157" s="225" t="str">
        <f>IF($F157="","",'תחום תמיכה א'!AC157)</f>
        <v/>
      </c>
      <c r="AB157" s="213" t="str">
        <f t="shared" si="18"/>
        <v/>
      </c>
      <c r="AC157" s="213">
        <f t="shared" si="19"/>
        <v>130217.65212225412</v>
      </c>
      <c r="AD157" s="214">
        <f t="shared" si="20"/>
        <v>1.305034328032143E-3</v>
      </c>
      <c r="AE157" s="213">
        <f t="shared" si="23"/>
        <v>134122.23522463228</v>
      </c>
      <c r="AF157" s="214">
        <f t="shared" si="21"/>
        <v>1.3050343280321434E-3</v>
      </c>
    </row>
    <row r="158" spans="1:32" ht="15.75" x14ac:dyDescent="0.2">
      <c r="A158" s="206">
        <f t="shared" si="22"/>
        <v>128</v>
      </c>
      <c r="B158" s="88">
        <f>IF($F158="","",'הזנה לתנאי סף'!C158)</f>
        <v>1001349365</v>
      </c>
      <c r="C158" s="88">
        <f>IF($F158="","",'הזנה לתנאי סף'!D158)</f>
        <v>1001290811</v>
      </c>
      <c r="D158" s="88">
        <f>IF($F158="","",'הזנה לתנאי סף'!E158)</f>
        <v>40984631</v>
      </c>
      <c r="E158" s="88">
        <f>IF($F158="","",'הזנה לתנאי סף'!F158)</f>
        <v>20000201</v>
      </c>
      <c r="F158" s="88" t="str">
        <f>IF(OR('הזנה לתנאי סף'!G158="",'הזנה לתנאי סף'!BL158&lt;&gt;1,'הזנה לתנאי סף'!Q158&lt;&gt;1),"",'הזנה לתנאי סף'!G158)</f>
        <v>תל אביב -יפו</v>
      </c>
      <c r="G158" s="88" t="str">
        <f>IF($F158="","",'הזנה לתנאי סף'!H158)</f>
        <v>תמיד - תרבות מוסיקלית יהודית</v>
      </c>
      <c r="H158" s="88" t="str">
        <f>IF($F158="","",'הזנה לתנאי סף'!I158)</f>
        <v>אחר</v>
      </c>
      <c r="I158" s="213">
        <f>IF($F158="","",'תחום תמיכה א'!$I158)</f>
        <v>0</v>
      </c>
      <c r="J158" s="213">
        <f>IF($F158="","",'תחום תמיכה א'!$J158)</f>
        <v>398094</v>
      </c>
      <c r="K158" s="213">
        <f>IF($F158="","",'תחום תמיכה א'!$K158)</f>
        <v>0</v>
      </c>
      <c r="L158" s="213">
        <f t="shared" si="14"/>
        <v>398094</v>
      </c>
      <c r="M158" s="214">
        <f t="shared" si="15"/>
        <v>0</v>
      </c>
      <c r="N158" s="214">
        <f t="shared" si="24"/>
        <v>1</v>
      </c>
      <c r="O158" s="213">
        <f t="shared" si="16"/>
        <v>398094</v>
      </c>
      <c r="P158" s="213">
        <f>IF($F158="","",'פרמטרים לקריטריונים'!$C$59*O158)</f>
        <v>119428.2</v>
      </c>
      <c r="Q158" s="214">
        <f t="shared" si="17"/>
        <v>6.7850626657570156E-4</v>
      </c>
      <c r="R158" s="213">
        <f t="shared" si="25"/>
        <v>67850.626657570159</v>
      </c>
      <c r="S158" s="213">
        <f>IF($F158="","",'הזנה לתנאי סף'!N158)</f>
        <v>0</v>
      </c>
      <c r="T158" s="213">
        <f>IF($F158="","",'הזנה לתנאי סף'!O158)</f>
        <v>1</v>
      </c>
      <c r="U158" s="213">
        <f>IF($F158="","",'תחום תמיכה א'!W158)</f>
        <v>0</v>
      </c>
      <c r="V158" s="213">
        <f>IF($F158="","",'תחום תמיכה א'!X158)</f>
        <v>0</v>
      </c>
      <c r="W158" s="213">
        <f>IF($F158="","",'תחום תמיכה א'!Y158)</f>
        <v>1</v>
      </c>
      <c r="X158" s="231">
        <f>IF($F158="","",'תחום תמיכה א'!Z158)</f>
        <v>0</v>
      </c>
      <c r="Y158" s="213" t="str">
        <f>IF($F158="","",'תחום תמיכה א'!AA158)</f>
        <v/>
      </c>
      <c r="Z158" s="214" t="str">
        <f>IF($F158="","",'תחום תמיכה א'!AB158)</f>
        <v/>
      </c>
      <c r="AA158" s="225" t="str">
        <f>IF($F158="","",'תחום תמיכה א'!AC158)</f>
        <v/>
      </c>
      <c r="AB158" s="213" t="str">
        <f t="shared" si="18"/>
        <v/>
      </c>
      <c r="AC158" s="213">
        <f t="shared" si="19"/>
        <v>67850.626657570159</v>
      </c>
      <c r="AD158" s="214">
        <f t="shared" si="20"/>
        <v>6.7999534259371877E-4</v>
      </c>
      <c r="AE158" s="213">
        <f t="shared" si="23"/>
        <v>69885.131242894669</v>
      </c>
      <c r="AF158" s="214">
        <f t="shared" si="21"/>
        <v>6.7999534259371899E-4</v>
      </c>
    </row>
    <row r="159" spans="1:32" ht="15.75" x14ac:dyDescent="0.2">
      <c r="A159" s="206">
        <f t="shared" si="22"/>
        <v>129</v>
      </c>
      <c r="B159" s="88">
        <f>IF($F159="","",'הזנה לתנאי סף'!C159)</f>
        <v>1001347325</v>
      </c>
      <c r="C159" s="88">
        <f>IF($F159="","",'הזנה לתנאי סף'!D159)</f>
        <v>1001270479</v>
      </c>
      <c r="D159" s="88">
        <f>IF($F159="","",'הזנה לתנאי סף'!E159)</f>
        <v>40384065</v>
      </c>
      <c r="E159" s="88">
        <f>IF($F159="","",'הזנה לתנאי סף'!F159)</f>
        <v>20000041</v>
      </c>
      <c r="F159" s="88" t="str">
        <f>IF(OR('הזנה לתנאי סף'!G159="",'הזנה לתנאי סף'!BL159&lt;&gt;1,'הזנה לתנאי סף'!Q159&lt;&gt;1),"",'הזנה לתנאי סף'!G159)</f>
        <v>דייר אל-אסד</v>
      </c>
      <c r="G159" s="88" t="str">
        <f>IF($F159="","",'הזנה לתנאי סף'!H159)</f>
        <v>אל אסדי</v>
      </c>
      <c r="H159" s="88" t="str">
        <f>IF($F159="","",'הזנה לתנאי סף'!I159)</f>
        <v>אחר</v>
      </c>
      <c r="I159" s="213">
        <f>IF($F159="","",'תחום תמיכה א'!$I159)</f>
        <v>496220</v>
      </c>
      <c r="J159" s="213">
        <f>IF($F159="","",'תחום תמיכה א'!$J159)</f>
        <v>601602</v>
      </c>
      <c r="K159" s="213">
        <f>IF($F159="","",'תחום תמיכה א'!$K159)</f>
        <v>0</v>
      </c>
      <c r="L159" s="213">
        <f t="shared" ref="L159:L222" si="26">IF($F159="","",SUM(I159:K159))</f>
        <v>1097822</v>
      </c>
      <c r="M159" s="214">
        <f t="shared" ref="M159:M222" si="27">IF($F159="","",IFERROR(I159/L159,$AH$2))</f>
        <v>0.45200405894580359</v>
      </c>
      <c r="N159" s="214">
        <f t="shared" si="24"/>
        <v>0.54799594105419636</v>
      </c>
      <c r="O159" s="213">
        <f t="shared" ref="O159:O222" si="28">IF($F159="","",IFERROR((N159*J159),""))</f>
        <v>329675.45413008664</v>
      </c>
      <c r="P159" s="213">
        <f>IF($F159="","",'פרמטרים לקריטריונים'!$C$59*O159)</f>
        <v>98902.636239025989</v>
      </c>
      <c r="Q159" s="214">
        <f t="shared" ref="Q159:Q222" si="29">IF($F159="","",IFERROR(P159/$P$501,""))</f>
        <v>5.6189458158991095E-4</v>
      </c>
      <c r="R159" s="213">
        <f t="shared" si="25"/>
        <v>56189.458158991096</v>
      </c>
      <c r="S159" s="213">
        <f>IF($F159="","",'הזנה לתנאי סף'!N159)</f>
        <v>0</v>
      </c>
      <c r="T159" s="213">
        <f>IF($F159="","",'הזנה לתנאי סף'!O159)</f>
        <v>1</v>
      </c>
      <c r="U159" s="213">
        <f>IF($F159="","",'תחום תמיכה א'!W159)</f>
        <v>0</v>
      </c>
      <c r="V159" s="213">
        <f>IF($F159="","",'תחום תמיכה א'!X159)</f>
        <v>0</v>
      </c>
      <c r="W159" s="213">
        <f>IF($F159="","",'תחום תמיכה א'!Y159)</f>
        <v>1</v>
      </c>
      <c r="X159" s="231">
        <f>IF($F159="","",'תחום תמיכה א'!Z159)</f>
        <v>0</v>
      </c>
      <c r="Y159" s="213" t="str">
        <f>IF($F159="","",'תחום תמיכה א'!AA159)</f>
        <v/>
      </c>
      <c r="Z159" s="214" t="str">
        <f>IF($F159="","",'תחום תמיכה א'!AB159)</f>
        <v/>
      </c>
      <c r="AA159" s="225" t="str">
        <f>IF($F159="","",'תחום תמיכה א'!AC159)</f>
        <v/>
      </c>
      <c r="AB159" s="213" t="str">
        <f t="shared" ref="AB159:AB222" si="30">IF(OR($F159="",AA159=""),"",IF(COUNTBLANK(U159:V159)&gt;0,-R159,IF(-AA159*Y159&gt;R159,-R159,AA159*Y159)))</f>
        <v/>
      </c>
      <c r="AC159" s="213">
        <f t="shared" ref="AC159:AC222" si="31">IF($F159="","",IF(AB159&lt;&gt;"",R159+AB159,R159))</f>
        <v>56189.458158991096</v>
      </c>
      <c r="AD159" s="214">
        <f t="shared" ref="AD159:AD222" si="32">IF($F159="","",IFERROR(AC159/$AC$501,""))</f>
        <v>5.631277371071356E-4</v>
      </c>
      <c r="AE159" s="213">
        <f t="shared" si="23"/>
        <v>57874.301997623683</v>
      </c>
      <c r="AF159" s="214">
        <f t="shared" ref="AF159:AF222" si="33">IF($F159="","",IFERROR(AE159/$AE$501,""))</f>
        <v>5.6312773710713582E-4</v>
      </c>
    </row>
    <row r="160" spans="1:32" ht="15.75" x14ac:dyDescent="0.2">
      <c r="A160" s="206">
        <f t="shared" ref="A160:A223" si="34">IF(F160="","",ROW()-30)</f>
        <v>130</v>
      </c>
      <c r="B160" s="88">
        <f>IF($F160="","",'הזנה לתנאי סף'!C160)</f>
        <v>1001350318</v>
      </c>
      <c r="C160" s="88">
        <f>IF($F160="","",'הזנה לתנאי סף'!D160)</f>
        <v>1001265106</v>
      </c>
      <c r="D160" s="88">
        <f>IF($F160="","",'הזנה לתנאי סף'!E160)</f>
        <v>40992259</v>
      </c>
      <c r="E160" s="88">
        <f>IF($F160="","",'הזנה לתנאי סף'!F160)</f>
        <v>20000201</v>
      </c>
      <c r="F160" s="88" t="str">
        <f>IF(OR('הזנה לתנאי סף'!G160="",'הזנה לתנאי סף'!BL160&lt;&gt;1,'הזנה לתנאי סף'!Q160&lt;&gt;1),"",'הזנה לתנאי סף'!G160)</f>
        <v>תל אביב -יפו</v>
      </c>
      <c r="G160" s="88" t="str">
        <f>IF($F160="","",'הזנה לתנאי סף'!H160)</f>
        <v>גלרית תיאטרון החנות</v>
      </c>
      <c r="H160" s="88" t="str">
        <f>IF($F160="","",'הזנה לתנאי סף'!I160)</f>
        <v>קבוצות תיאטרון</v>
      </c>
      <c r="I160" s="213">
        <f>IF($F160="","",'תחום תמיכה א'!$I160)</f>
        <v>296225</v>
      </c>
      <c r="J160" s="213">
        <f>IF($F160="","",'תחום תמיכה א'!$J160)</f>
        <v>378300</v>
      </c>
      <c r="K160" s="213">
        <f>IF($F160="","",'תחום תמיכה א'!$K160)</f>
        <v>0</v>
      </c>
      <c r="L160" s="213">
        <f t="shared" si="26"/>
        <v>674525</v>
      </c>
      <c r="M160" s="214">
        <f t="shared" si="27"/>
        <v>0.43916089099736849</v>
      </c>
      <c r="N160" s="214">
        <f t="shared" si="24"/>
        <v>0.56083910900263145</v>
      </c>
      <c r="O160" s="213">
        <f t="shared" si="28"/>
        <v>212165.43493569549</v>
      </c>
      <c r="P160" s="213">
        <f>IF($F160="","",'פרמטרים לקריטריונים'!$C$59*O160)</f>
        <v>63649.630480708642</v>
      </c>
      <c r="Q160" s="214">
        <f t="shared" si="29"/>
        <v>3.6161202418179787E-4</v>
      </c>
      <c r="R160" s="213">
        <f t="shared" si="25"/>
        <v>36161.20241817979</v>
      </c>
      <c r="S160" s="213">
        <f>IF($F160="","",'הזנה לתנאי סף'!N160)</f>
        <v>1</v>
      </c>
      <c r="T160" s="213">
        <f>IF($F160="","",'הזנה לתנאי סף'!O160)</f>
        <v>1</v>
      </c>
      <c r="U160" s="213">
        <f>IF($F160="","",'תחום תמיכה א'!W160)</f>
        <v>0</v>
      </c>
      <c r="V160" s="213">
        <f>IF($F160="","",'תחום תמיכה א'!X160)</f>
        <v>0</v>
      </c>
      <c r="W160" s="213">
        <f>IF($F160="","",'תחום תמיכה א'!Y160)</f>
        <v>0</v>
      </c>
      <c r="X160" s="231" t="str">
        <f>IF($F160="","",'תחום תמיכה א'!Z160)</f>
        <v>בדוק נתוני הזנה</v>
      </c>
      <c r="Y160" s="213" t="str">
        <f>IF($F160="","",'תחום תמיכה א'!AA160)</f>
        <v>בדוק נתוני הזנה</v>
      </c>
      <c r="Z160" s="214">
        <f>IF($F160="","",'תחום תמיכה א'!AB160)</f>
        <v>1</v>
      </c>
      <c r="AA160" s="225" t="str">
        <f>IF($F160="","",'תחום תמיכה א'!AC160)</f>
        <v/>
      </c>
      <c r="AB160" s="213" t="str">
        <f t="shared" si="30"/>
        <v/>
      </c>
      <c r="AC160" s="213">
        <f t="shared" si="31"/>
        <v>36161.20241817979</v>
      </c>
      <c r="AD160" s="214">
        <f t="shared" si="32"/>
        <v>3.624056318749933E-4</v>
      </c>
      <c r="AE160" s="213">
        <f t="shared" ref="AE160:AE223" si="35">IFERROR(AD160*$F$5+AC160,"")</f>
        <v>37245.497962006222</v>
      </c>
      <c r="AF160" s="214">
        <f t="shared" si="33"/>
        <v>3.6240563187499335E-4</v>
      </c>
    </row>
    <row r="161" spans="1:32" ht="15.75" x14ac:dyDescent="0.2">
      <c r="A161" s="206">
        <f t="shared" si="34"/>
        <v>131</v>
      </c>
      <c r="B161" s="88">
        <f>IF($F161="","",'הזנה לתנאי סף'!C161)</f>
        <v>1001347256</v>
      </c>
      <c r="C161" s="88">
        <f>IF($F161="","",'הזנה לתנאי סף'!D161)</f>
        <v>1001268258</v>
      </c>
      <c r="D161" s="88">
        <f>IF($F161="","",'הזנה לתנאי סף'!E161)</f>
        <v>41484317</v>
      </c>
      <c r="E161" s="88">
        <f>IF($F161="","",'הזנה לתנאי סף'!F161)</f>
        <v>20000201</v>
      </c>
      <c r="F161" s="88" t="str">
        <f>IF(OR('הזנה לתנאי סף'!G161="",'הזנה לתנאי סף'!BL161&lt;&gt;1,'הזנה לתנאי סף'!Q161&lt;&gt;1),"",'הזנה לתנאי סף'!G161)</f>
        <v>תל אביב -יפו</v>
      </c>
      <c r="G161" s="88" t="str">
        <f>IF($F161="","",'הזנה לתנאי סף'!H161)</f>
        <v>קידום נתיב אמן</v>
      </c>
      <c r="H161" s="88" t="str">
        <f>IF($F161="","",'הזנה לתנאי סף'!I161)</f>
        <v>מרכזי פרינג'</v>
      </c>
      <c r="I161" s="213">
        <f>IF($F161="","",'תחום תמיכה א'!$I161)</f>
        <v>0</v>
      </c>
      <c r="J161" s="213">
        <f>IF($F161="","",'תחום תמיכה א'!$J161)</f>
        <v>493002</v>
      </c>
      <c r="K161" s="213">
        <f>IF($F161="","",'תחום תמיכה א'!$K161)</f>
        <v>0</v>
      </c>
      <c r="L161" s="213">
        <f t="shared" si="26"/>
        <v>493002</v>
      </c>
      <c r="M161" s="214">
        <f t="shared" si="27"/>
        <v>0</v>
      </c>
      <c r="N161" s="214">
        <f t="shared" si="24"/>
        <v>1</v>
      </c>
      <c r="O161" s="213">
        <f t="shared" si="28"/>
        <v>493002</v>
      </c>
      <c r="P161" s="213">
        <f>IF($F161="","",'פרמטרים לקריטריונים'!$C$59*O161)</f>
        <v>147900.6</v>
      </c>
      <c r="Q161" s="214">
        <f t="shared" si="29"/>
        <v>8.4026623469420298E-4</v>
      </c>
      <c r="R161" s="213">
        <f t="shared" si="25"/>
        <v>84026.623469420301</v>
      </c>
      <c r="S161" s="213">
        <f>IF($F161="","",'הזנה לתנאי סף'!N161)</f>
        <v>0</v>
      </c>
      <c r="T161" s="213">
        <f>IF($F161="","",'הזנה לתנאי סף'!O161)</f>
        <v>1</v>
      </c>
      <c r="U161" s="213">
        <f>IF($F161="","",'תחום תמיכה א'!W161)</f>
        <v>0</v>
      </c>
      <c r="V161" s="213">
        <f>IF($F161="","",'תחום תמיכה א'!X161)</f>
        <v>0</v>
      </c>
      <c r="W161" s="213">
        <f>IF($F161="","",'תחום תמיכה א'!Y161)</f>
        <v>1</v>
      </c>
      <c r="X161" s="231">
        <f>IF($F161="","",'תחום תמיכה א'!Z161)</f>
        <v>0</v>
      </c>
      <c r="Y161" s="213" t="str">
        <f>IF($F161="","",'תחום תמיכה א'!AA161)</f>
        <v/>
      </c>
      <c r="Z161" s="214" t="str">
        <f>IF($F161="","",'תחום תמיכה א'!AB161)</f>
        <v/>
      </c>
      <c r="AA161" s="225" t="str">
        <f>IF($F161="","",'תחום תמיכה א'!AC161)</f>
        <v/>
      </c>
      <c r="AB161" s="213" t="str">
        <f t="shared" si="30"/>
        <v/>
      </c>
      <c r="AC161" s="213">
        <f t="shared" si="31"/>
        <v>84026.623469420301</v>
      </c>
      <c r="AD161" s="214">
        <f t="shared" si="32"/>
        <v>8.421103153762392E-4</v>
      </c>
      <c r="AE161" s="213">
        <f t="shared" si="35"/>
        <v>86546.166164296767</v>
      </c>
      <c r="AF161" s="214">
        <f t="shared" si="33"/>
        <v>8.4211031537623942E-4</v>
      </c>
    </row>
    <row r="162" spans="1:32" ht="15.75" x14ac:dyDescent="0.2">
      <c r="A162" s="206">
        <f t="shared" si="34"/>
        <v>132</v>
      </c>
      <c r="B162" s="88">
        <f>IF($F162="","",'הזנה לתנאי סף'!C162)</f>
        <v>1001350329</v>
      </c>
      <c r="C162" s="88">
        <f>IF($F162="","",'הזנה לתנאי סף'!D162)</f>
        <v>1001302334</v>
      </c>
      <c r="D162" s="88">
        <f>IF($F162="","",'הזנה לתנאי סף'!E162)</f>
        <v>41484318</v>
      </c>
      <c r="E162" s="88">
        <f>IF($F162="","",'הזנה לתנאי סף'!F162)</f>
        <v>20000182</v>
      </c>
      <c r="F162" s="88" t="str">
        <f>IF(OR('הזנה לתנאי סף'!G162="",'הזנה לתנאי סף'!BL162&lt;&gt;1,'הזנה לתנאי סף'!Q162&lt;&gt;1),"",'הזנה לתנאי סף'!G162)</f>
        <v>חיפה</v>
      </c>
      <c r="G162" s="88" t="str">
        <f>IF($F162="","",'הזנה לתנאי סף'!H162)</f>
        <v>תיאטרון אלמג'ד</v>
      </c>
      <c r="H162" s="88" t="str">
        <f>IF($F162="","",'הזנה לתנאי סף'!I162)</f>
        <v>תיאטרון</v>
      </c>
      <c r="I162" s="213">
        <f>IF($F162="","",'תחום תמיכה א'!$I162)</f>
        <v>414838</v>
      </c>
      <c r="J162" s="213">
        <f>IF($F162="","",'תחום תמיכה א'!$J162)</f>
        <v>381832</v>
      </c>
      <c r="K162" s="213">
        <f>IF($F162="","",'תחום תמיכה א'!$K162)</f>
        <v>0</v>
      </c>
      <c r="L162" s="213">
        <f t="shared" si="26"/>
        <v>796670</v>
      </c>
      <c r="M162" s="214">
        <f t="shared" si="27"/>
        <v>0.52071497608796613</v>
      </c>
      <c r="N162" s="214">
        <f t="shared" ref="N162:N225" si="36">IF($F162="","",IFERROR((1-M162),""))</f>
        <v>0.47928502391203387</v>
      </c>
      <c r="O162" s="213">
        <f t="shared" si="28"/>
        <v>183006.35925037973</v>
      </c>
      <c r="P162" s="213">
        <f>IF($F162="","",'פרמטרים לקריטריונים'!$C$59*O162)</f>
        <v>54901.907775113919</v>
      </c>
      <c r="Q162" s="214">
        <f t="shared" si="29"/>
        <v>3.1191367258634082E-4</v>
      </c>
      <c r="R162" s="213">
        <f t="shared" ref="R162:R225" si="37">IF($F162="","",IFERROR(Q162*$F$4,""))</f>
        <v>31191.367258634084</v>
      </c>
      <c r="S162" s="213">
        <f>IF($F162="","",'הזנה לתנאי סף'!N162)</f>
        <v>0</v>
      </c>
      <c r="T162" s="213">
        <f>IF($F162="","",'הזנה לתנאי סף'!O162)</f>
        <v>1</v>
      </c>
      <c r="U162" s="213">
        <f>IF($F162="","",'תחום תמיכה א'!W162)</f>
        <v>0</v>
      </c>
      <c r="V162" s="213">
        <f>IF($F162="","",'תחום תמיכה א'!X162)</f>
        <v>0</v>
      </c>
      <c r="W162" s="213">
        <f>IF($F162="","",'תחום תמיכה א'!Y162)</f>
        <v>1</v>
      </c>
      <c r="X162" s="231">
        <f>IF($F162="","",'תחום תמיכה א'!Z162)</f>
        <v>0</v>
      </c>
      <c r="Y162" s="213" t="str">
        <f>IF($F162="","",'תחום תמיכה א'!AA162)</f>
        <v/>
      </c>
      <c r="Z162" s="214" t="str">
        <f>IF($F162="","",'תחום תמיכה א'!AB162)</f>
        <v/>
      </c>
      <c r="AA162" s="225" t="str">
        <f>IF($F162="","",'תחום תמיכה א'!AC162)</f>
        <v/>
      </c>
      <c r="AB162" s="213" t="str">
        <f t="shared" si="30"/>
        <v/>
      </c>
      <c r="AC162" s="213">
        <f t="shared" si="31"/>
        <v>31191.367258634084</v>
      </c>
      <c r="AD162" s="214">
        <f t="shared" si="32"/>
        <v>3.1259821036059611E-4</v>
      </c>
      <c r="AE162" s="213">
        <f t="shared" si="35"/>
        <v>32126.642035542154</v>
      </c>
      <c r="AF162" s="214">
        <f t="shared" si="33"/>
        <v>3.1259821036059616E-4</v>
      </c>
    </row>
    <row r="163" spans="1:32" ht="15.75" x14ac:dyDescent="0.2">
      <c r="A163" s="206">
        <f t="shared" si="34"/>
        <v>133</v>
      </c>
      <c r="B163" s="88">
        <f>IF($F163="","",'הזנה לתנאי סף'!C163)</f>
        <v>1001349802</v>
      </c>
      <c r="C163" s="88">
        <f>IF($F163="","",'הזנה לתנאי סף'!D163)</f>
        <v>1001290463</v>
      </c>
      <c r="D163" s="88">
        <f>IF($F163="","",'הזנה לתנאי סף'!E163)</f>
        <v>41484540</v>
      </c>
      <c r="E163" s="88">
        <f>IF($F163="","",'הזנה לתנאי סף'!F163)</f>
        <v>20000231</v>
      </c>
      <c r="F163" s="88" t="str">
        <f>IF(OR('הזנה לתנאי סף'!G163="",'הזנה לתנאי סף'!BL163&lt;&gt;1,'הזנה לתנאי סף'!Q163&lt;&gt;1),"",'הזנה לתנאי סף'!G163)</f>
        <v>נצרת</v>
      </c>
      <c r="G163" s="88" t="str">
        <f>IF($F163="","",'הזנה לתנאי סף'!H163)</f>
        <v>להקת מחול ביסאן</v>
      </c>
      <c r="H163" s="88" t="str">
        <f>IF($F163="","",'הזנה לתנאי סף'!I163)</f>
        <v>מחול</v>
      </c>
      <c r="I163" s="213">
        <f>IF($F163="","",'תחום תמיכה א'!$I163)</f>
        <v>80628</v>
      </c>
      <c r="J163" s="213">
        <f>IF($F163="","",'תחום תמיכה א'!$J163)</f>
        <v>340480</v>
      </c>
      <c r="K163" s="213">
        <f>IF($F163="","",'תחום תמיכה א'!$K163)</f>
        <v>0</v>
      </c>
      <c r="L163" s="213">
        <f t="shared" si="26"/>
        <v>421108</v>
      </c>
      <c r="M163" s="214">
        <f t="shared" si="27"/>
        <v>0.19146632217863352</v>
      </c>
      <c r="N163" s="214">
        <f t="shared" si="36"/>
        <v>0.80853367782136654</v>
      </c>
      <c r="O163" s="213">
        <f t="shared" si="28"/>
        <v>275289.54662461887</v>
      </c>
      <c r="P163" s="213">
        <f>IF($F163="","",'פרמטרים לקריטריונים'!$C$59*O163)</f>
        <v>82586.863987385659</v>
      </c>
      <c r="Q163" s="214">
        <f t="shared" si="29"/>
        <v>4.6919994400213938E-4</v>
      </c>
      <c r="R163" s="213">
        <f t="shared" si="37"/>
        <v>46919.994400213938</v>
      </c>
      <c r="S163" s="213">
        <f>IF($F163="","",'הזנה לתנאי סף'!N163)</f>
        <v>0</v>
      </c>
      <c r="T163" s="213">
        <f>IF($F163="","",'הזנה לתנאי סף'!O163)</f>
        <v>1</v>
      </c>
      <c r="U163" s="213">
        <f>IF($F163="","",'תחום תמיכה א'!W163)</f>
        <v>0</v>
      </c>
      <c r="V163" s="213">
        <f>IF($F163="","",'תחום תמיכה א'!X163)</f>
        <v>0</v>
      </c>
      <c r="W163" s="213">
        <f>IF($F163="","",'תחום תמיכה א'!Y163)</f>
        <v>1</v>
      </c>
      <c r="X163" s="231">
        <f>IF($F163="","",'תחום תמיכה א'!Z163)</f>
        <v>0</v>
      </c>
      <c r="Y163" s="213" t="str">
        <f>IF($F163="","",'תחום תמיכה א'!AA163)</f>
        <v/>
      </c>
      <c r="Z163" s="214" t="str">
        <f>IF($F163="","",'תחום תמיכה א'!AB163)</f>
        <v/>
      </c>
      <c r="AA163" s="225" t="str">
        <f>IF($F163="","",'תחום תמיכה א'!AC163)</f>
        <v/>
      </c>
      <c r="AB163" s="213" t="str">
        <f t="shared" si="30"/>
        <v/>
      </c>
      <c r="AC163" s="213">
        <f t="shared" si="31"/>
        <v>46919.994400213938</v>
      </c>
      <c r="AD163" s="214">
        <f t="shared" si="32"/>
        <v>4.7022966829310972E-4</v>
      </c>
      <c r="AE163" s="213">
        <f t="shared" si="35"/>
        <v>48326.892883737157</v>
      </c>
      <c r="AF163" s="214">
        <f t="shared" si="33"/>
        <v>4.7022966829310983E-4</v>
      </c>
    </row>
    <row r="164" spans="1:32" ht="15.75" x14ac:dyDescent="0.2">
      <c r="A164" s="206">
        <f t="shared" si="34"/>
        <v>134</v>
      </c>
      <c r="B164" s="88">
        <f>IF($F164="","",'הזנה לתנאי סף'!C164)</f>
        <v>1001348957</v>
      </c>
      <c r="C164" s="88">
        <f>IF($F164="","",'הזנה לתנאי סף'!D164)</f>
        <v>1001274725</v>
      </c>
      <c r="D164" s="88">
        <f>IF($F164="","",'הזנה לתנאי סף'!E164)</f>
        <v>40993419</v>
      </c>
      <c r="E164" s="88">
        <f>IF($F164="","",'הזנה לתנאי סף'!F164)</f>
        <v>20000182</v>
      </c>
      <c r="F164" s="88" t="str">
        <f>IF(OR('הזנה לתנאי סף'!G164="",'הזנה לתנאי סף'!BL164&lt;&gt;1,'הזנה לתנאי סף'!Q164&lt;&gt;1),"",'הזנה לתנאי סף'!G164)</f>
        <v>חיפה</v>
      </c>
      <c r="G164" s="88" t="str">
        <f>IF($F164="","",'הזנה לתנאי סף'!H164)</f>
        <v>התאטרון העברי - עמותה לטיפוח תרבות עברית</v>
      </c>
      <c r="H164" s="88" t="str">
        <f>IF($F164="","",'הזנה לתנאי סף'!I164)</f>
        <v>תיאטרון</v>
      </c>
      <c r="I164" s="213">
        <f>IF($F164="","",'תחום תמיכה א'!$I164)</f>
        <v>659786</v>
      </c>
      <c r="J164" s="213">
        <f>IF($F164="","",'תחום תמיכה א'!$J164)</f>
        <v>5697282</v>
      </c>
      <c r="K164" s="213">
        <f>IF($F164="","",'תחום תמיכה א'!$K164)</f>
        <v>0</v>
      </c>
      <c r="L164" s="213">
        <f t="shared" si="26"/>
        <v>6357068</v>
      </c>
      <c r="M164" s="214">
        <f t="shared" si="27"/>
        <v>0.10378778392806243</v>
      </c>
      <c r="N164" s="214">
        <f t="shared" si="36"/>
        <v>0.89621221607193757</v>
      </c>
      <c r="O164" s="213">
        <f t="shared" si="28"/>
        <v>5105973.7268067608</v>
      </c>
      <c r="P164" s="213">
        <f>IF($F164="","",'פרמטרים לקריטריונים'!$C$59*O164)</f>
        <v>1531792.1180420283</v>
      </c>
      <c r="Q164" s="214">
        <f t="shared" si="29"/>
        <v>8.7025556039761372E-3</v>
      </c>
      <c r="R164" s="213">
        <f t="shared" si="37"/>
        <v>870255.56039761368</v>
      </c>
      <c r="S164" s="213">
        <f>IF($F164="","",'הזנה לתנאי סף'!N164)</f>
        <v>0</v>
      </c>
      <c r="T164" s="213">
        <f>IF($F164="","",'הזנה לתנאי סף'!O164)</f>
        <v>1</v>
      </c>
      <c r="U164" s="213">
        <f>IF($F164="","",'תחום תמיכה א'!W164)</f>
        <v>0</v>
      </c>
      <c r="V164" s="213">
        <f>IF($F164="","",'תחום תמיכה א'!X164)</f>
        <v>0</v>
      </c>
      <c r="W164" s="213">
        <f>IF($F164="","",'תחום תמיכה א'!Y164)</f>
        <v>1</v>
      </c>
      <c r="X164" s="231">
        <f>IF($F164="","",'תחום תמיכה א'!Z164)</f>
        <v>0</v>
      </c>
      <c r="Y164" s="213" t="str">
        <f>IF($F164="","",'תחום תמיכה א'!AA164)</f>
        <v/>
      </c>
      <c r="Z164" s="214" t="str">
        <f>IF($F164="","",'תחום תמיכה א'!AB164)</f>
        <v/>
      </c>
      <c r="AA164" s="225" t="str">
        <f>IF($F164="","",'תחום תמיכה א'!AC164)</f>
        <v/>
      </c>
      <c r="AB164" s="213" t="str">
        <f t="shared" si="30"/>
        <v/>
      </c>
      <c r="AC164" s="213">
        <f t="shared" si="31"/>
        <v>870255.56039761368</v>
      </c>
      <c r="AD164" s="214">
        <f t="shared" si="32"/>
        <v>8.7216545681032369E-3</v>
      </c>
      <c r="AE164" s="213">
        <f t="shared" si="35"/>
        <v>896350.21884444985</v>
      </c>
      <c r="AF164" s="214">
        <f t="shared" si="33"/>
        <v>8.7216545681032386E-3</v>
      </c>
    </row>
    <row r="165" spans="1:32" ht="15.75" x14ac:dyDescent="0.2">
      <c r="A165" s="206">
        <f t="shared" si="34"/>
        <v>135</v>
      </c>
      <c r="B165" s="88">
        <f>IF($F165="","",'הזנה לתנאי סף'!C165)</f>
        <v>1001348221</v>
      </c>
      <c r="C165" s="88">
        <f>IF($F165="","",'הזנה לתנאי סף'!D165)</f>
        <v>1001269209</v>
      </c>
      <c r="D165" s="88">
        <f>IF($F165="","",'הזנה לתנאי סף'!E165)</f>
        <v>41489877</v>
      </c>
      <c r="E165" s="88">
        <f>IF($F165="","",'הזנה לתנאי סף'!F165)</f>
        <v>20000201</v>
      </c>
      <c r="F165" s="88" t="str">
        <f>IF(OR('הזנה לתנאי סף'!G165="",'הזנה לתנאי סף'!BL165&lt;&gt;1,'הזנה לתנאי סף'!Q165&lt;&gt;1),"",'הזנה לתנאי סף'!G165)</f>
        <v>תל אביב -יפו</v>
      </c>
      <c r="G165" s="88" t="str">
        <f>IF($F165="","",'הזנה לתנאי סף'!H165)</f>
        <v>עמותת רננה רז</v>
      </c>
      <c r="H165" s="88" t="str">
        <f>IF($F165="","",'הזנה לתנאי סף'!I165)</f>
        <v>מחול</v>
      </c>
      <c r="I165" s="213">
        <f>IF($F165="","",'תחום תמיכה א'!$I165)</f>
        <v>169309</v>
      </c>
      <c r="J165" s="213">
        <f>IF($F165="","",'תחום תמיכה א'!$J165)</f>
        <v>525205</v>
      </c>
      <c r="K165" s="213">
        <f>IF($F165="","",'תחום תמיכה א'!$K165)</f>
        <v>111336</v>
      </c>
      <c r="L165" s="213">
        <f t="shared" si="26"/>
        <v>805850</v>
      </c>
      <c r="M165" s="214">
        <f t="shared" si="27"/>
        <v>0.21009989452131289</v>
      </c>
      <c r="N165" s="214">
        <f t="shared" si="36"/>
        <v>0.78990010547868716</v>
      </c>
      <c r="O165" s="213">
        <f t="shared" si="28"/>
        <v>414859.4848979339</v>
      </c>
      <c r="P165" s="213">
        <f>IF($F165="","",'פרמטרים לקריטריונים'!$C$59*O165)</f>
        <v>124457.84546938016</v>
      </c>
      <c r="Q165" s="214">
        <f t="shared" si="29"/>
        <v>7.0708114227196529E-4</v>
      </c>
      <c r="R165" s="213">
        <f t="shared" si="37"/>
        <v>70708.114227196522</v>
      </c>
      <c r="S165" s="213">
        <f>IF($F165="","",'הזנה לתנאי סף'!N165)</f>
        <v>1</v>
      </c>
      <c r="T165" s="213">
        <f>IF($F165="","",'הזנה לתנאי סף'!O165)</f>
        <v>1</v>
      </c>
      <c r="U165" s="213">
        <f>IF($F165="","",'תחום תמיכה א'!W165)</f>
        <v>0</v>
      </c>
      <c r="V165" s="213">
        <f>IF($F165="","",'תחום תמיכה א'!X165)</f>
        <v>0</v>
      </c>
      <c r="W165" s="213">
        <f>IF($F165="","",'תחום תמיכה א'!Y165)</f>
        <v>0</v>
      </c>
      <c r="X165" s="231" t="str">
        <f>IF($F165="","",'תחום תמיכה א'!Z165)</f>
        <v>בדוק נתוני הזנה</v>
      </c>
      <c r="Y165" s="213" t="str">
        <f>IF($F165="","",'תחום תמיכה א'!AA165)</f>
        <v>בדוק נתוני הזנה</v>
      </c>
      <c r="Z165" s="214">
        <f>IF($F165="","",'תחום תמיכה א'!AB165)</f>
        <v>1</v>
      </c>
      <c r="AA165" s="225" t="str">
        <f>IF($F165="","",'תחום תמיכה א'!AC165)</f>
        <v/>
      </c>
      <c r="AB165" s="213" t="str">
        <f t="shared" si="30"/>
        <v/>
      </c>
      <c r="AC165" s="213">
        <f t="shared" si="31"/>
        <v>70708.114227196522</v>
      </c>
      <c r="AD165" s="214">
        <f t="shared" si="32"/>
        <v>7.0863292981412484E-4</v>
      </c>
      <c r="AE165" s="213">
        <f t="shared" si="35"/>
        <v>72828.300726591668</v>
      </c>
      <c r="AF165" s="214">
        <f t="shared" si="33"/>
        <v>7.0863292981412506E-4</v>
      </c>
    </row>
    <row r="166" spans="1:32" ht="15.75" x14ac:dyDescent="0.2">
      <c r="A166" s="206">
        <f t="shared" si="34"/>
        <v>136</v>
      </c>
      <c r="B166" s="88">
        <f>IF($F166="","",'הזנה לתנאי סף'!C166)</f>
        <v>1001347308</v>
      </c>
      <c r="C166" s="88">
        <f>IF($F166="","",'הזנה לתנאי סף'!D166)</f>
        <v>1001271799</v>
      </c>
      <c r="D166" s="88">
        <f>IF($F166="","",'הזנה לתנאי סף'!E166)</f>
        <v>40221577</v>
      </c>
      <c r="E166" s="88">
        <f>IF($F166="","",'הזנה לתנאי סף'!F166)</f>
        <v>20000159</v>
      </c>
      <c r="F166" s="88" t="str">
        <f>IF(OR('הזנה לתנאי סף'!G166="",'הזנה לתנאי סף'!BL166&lt;&gt;1,'הזנה לתנאי סף'!Q166&lt;&gt;1),"",'הזנה לתנאי סף'!G166)</f>
        <v>ירושלים</v>
      </c>
      <c r="G166" s="88" t="str">
        <f>IF($F166="","",'הזנה לתנאי סף'!H166)</f>
        <v>בלט ירושלים</v>
      </c>
      <c r="H166" s="88" t="str">
        <f>IF($F166="","",'הזנה לתנאי סף'!I166)</f>
        <v>מחול</v>
      </c>
      <c r="I166" s="213">
        <f>IF($F166="","",'תחום תמיכה א'!$I166)</f>
        <v>412938</v>
      </c>
      <c r="J166" s="213">
        <f>IF($F166="","",'תחום תמיכה א'!$J166)</f>
        <v>421351</v>
      </c>
      <c r="K166" s="213">
        <f>IF($F166="","",'תחום תמיכה א'!$K166)</f>
        <v>0</v>
      </c>
      <c r="L166" s="213">
        <f t="shared" si="26"/>
        <v>834289</v>
      </c>
      <c r="M166" s="214">
        <f t="shared" si="27"/>
        <v>0.49495798218602904</v>
      </c>
      <c r="N166" s="214">
        <f t="shared" si="36"/>
        <v>0.50504201781397096</v>
      </c>
      <c r="O166" s="213">
        <f t="shared" si="28"/>
        <v>212799.95924793449</v>
      </c>
      <c r="P166" s="213">
        <f>IF($F166="","",'פרמטרים לקריטריונים'!$C$59*O166)</f>
        <v>63839.987774380344</v>
      </c>
      <c r="Q166" s="214">
        <f t="shared" si="29"/>
        <v>3.6269349921570651E-4</v>
      </c>
      <c r="R166" s="213">
        <f t="shared" si="37"/>
        <v>36269.349921570654</v>
      </c>
      <c r="S166" s="213">
        <f>IF($F166="","",'הזנה לתנאי סף'!N166)</f>
        <v>1</v>
      </c>
      <c r="T166" s="213">
        <f>IF($F166="","",'הזנה לתנאי סף'!O166)</f>
        <v>1</v>
      </c>
      <c r="U166" s="213">
        <f>IF($F166="","",'תחום תמיכה א'!W166)</f>
        <v>0</v>
      </c>
      <c r="V166" s="213">
        <f>IF($F166="","",'תחום תמיכה א'!X166)</f>
        <v>0</v>
      </c>
      <c r="W166" s="213">
        <f>IF($F166="","",'תחום תמיכה א'!Y166)</f>
        <v>0</v>
      </c>
      <c r="X166" s="231" t="str">
        <f>IF($F166="","",'תחום תמיכה א'!Z166)</f>
        <v>בדוק נתוני הזנה</v>
      </c>
      <c r="Y166" s="213" t="str">
        <f>IF($F166="","",'תחום תמיכה א'!AA166)</f>
        <v>בדוק נתוני הזנה</v>
      </c>
      <c r="Z166" s="214">
        <f>IF($F166="","",'תחום תמיכה א'!AB166)</f>
        <v>1</v>
      </c>
      <c r="AA166" s="225" t="str">
        <f>IF($F166="","",'תחום תמיכה א'!AC166)</f>
        <v/>
      </c>
      <c r="AB166" s="213" t="str">
        <f t="shared" si="30"/>
        <v/>
      </c>
      <c r="AC166" s="213">
        <f t="shared" si="31"/>
        <v>36269.349921570654</v>
      </c>
      <c r="AD166" s="214">
        <f t="shared" si="32"/>
        <v>3.6348948035571651E-4</v>
      </c>
      <c r="AE166" s="213">
        <f t="shared" si="35"/>
        <v>37356.888273936653</v>
      </c>
      <c r="AF166" s="214">
        <f t="shared" si="33"/>
        <v>3.6348948035571662E-4</v>
      </c>
    </row>
    <row r="167" spans="1:32" ht="15.75" x14ac:dyDescent="0.2">
      <c r="A167" s="206">
        <f t="shared" si="34"/>
        <v>137</v>
      </c>
      <c r="B167" s="88">
        <f>IF($F167="","",'הזנה לתנאי סף'!C167)</f>
        <v>1001347068</v>
      </c>
      <c r="C167" s="88">
        <f>IF($F167="","",'הזנה לתנאי סף'!D167)</f>
        <v>1001265731</v>
      </c>
      <c r="D167" s="88">
        <f>IF($F167="","",'הזנה לתנאי סף'!E167)</f>
        <v>40000188</v>
      </c>
      <c r="E167" s="88">
        <f>IF($F167="","",'הזנה לתנאי סף'!F167)</f>
        <v>20000228</v>
      </c>
      <c r="F167" s="88" t="str">
        <f>IF(OR('הזנה לתנאי סף'!G167="",'הזנה לתנאי סף'!BL167&lt;&gt;1,'הזנה לתנאי סף'!Q167&lt;&gt;1),"",'הזנה לתנאי סף'!G167)</f>
        <v>לוד</v>
      </c>
      <c r="G167" s="88" t="str">
        <f>IF($F167="","",'הזנה לתנאי סף'!H167)</f>
        <v>מכון הברמן למחקרי ספרות</v>
      </c>
      <c r="H167" s="88" t="str">
        <f>IF($F167="","",'הזנה לתנאי סף'!I167)</f>
        <v>אחר</v>
      </c>
      <c r="I167" s="213">
        <f>IF($F167="","",'תחום תמיכה א'!$I167)</f>
        <v>250000</v>
      </c>
      <c r="J167" s="213">
        <f>IF($F167="","",'תחום תמיכה א'!$J167)</f>
        <v>99412</v>
      </c>
      <c r="K167" s="213">
        <f>IF($F167="","",'תחום תמיכה א'!$K167)</f>
        <v>0</v>
      </c>
      <c r="L167" s="213">
        <f t="shared" si="26"/>
        <v>349412</v>
      </c>
      <c r="M167" s="214">
        <f t="shared" si="27"/>
        <v>0.71548773367829377</v>
      </c>
      <c r="N167" s="214">
        <f t="shared" si="36"/>
        <v>0.28451226632170623</v>
      </c>
      <c r="O167" s="213">
        <f t="shared" si="28"/>
        <v>28283.933419573459</v>
      </c>
      <c r="P167" s="213">
        <f>IF($F167="","",'פרמטרים לקריטריונים'!$C$59*O167)</f>
        <v>8485.1800258720377</v>
      </c>
      <c r="Q167" s="214">
        <f t="shared" si="29"/>
        <v>4.8206770432587538E-5</v>
      </c>
      <c r="R167" s="213">
        <f t="shared" si="37"/>
        <v>4820.6770432587537</v>
      </c>
      <c r="S167" s="213">
        <f>IF($F167="","",'הזנה לתנאי סף'!N167)</f>
        <v>0</v>
      </c>
      <c r="T167" s="213">
        <f>IF($F167="","",'הזנה לתנאי סף'!O167)</f>
        <v>1</v>
      </c>
      <c r="U167" s="213">
        <f>IF($F167="","",'תחום תמיכה א'!W167)</f>
        <v>0</v>
      </c>
      <c r="V167" s="213">
        <f>IF($F167="","",'תחום תמיכה א'!X167)</f>
        <v>0</v>
      </c>
      <c r="W167" s="213">
        <f>IF($F167="","",'תחום תמיכה א'!Y167)</f>
        <v>1</v>
      </c>
      <c r="X167" s="231">
        <f>IF($F167="","",'תחום תמיכה א'!Z167)</f>
        <v>0</v>
      </c>
      <c r="Y167" s="213" t="str">
        <f>IF($F167="","",'תחום תמיכה א'!AA167)</f>
        <v/>
      </c>
      <c r="Z167" s="214" t="str">
        <f>IF($F167="","",'תחום תמיכה א'!AB167)</f>
        <v/>
      </c>
      <c r="AA167" s="225" t="str">
        <f>IF($F167="","",'תחום תמיכה א'!AC167)</f>
        <v/>
      </c>
      <c r="AB167" s="213" t="str">
        <f t="shared" si="30"/>
        <v/>
      </c>
      <c r="AC167" s="213">
        <f t="shared" si="31"/>
        <v>4820.6770432587537</v>
      </c>
      <c r="AD167" s="214">
        <f t="shared" si="32"/>
        <v>4.8312566869987448E-5</v>
      </c>
      <c r="AE167" s="213">
        <f t="shared" si="35"/>
        <v>4965.2252962671764</v>
      </c>
      <c r="AF167" s="214">
        <f t="shared" si="33"/>
        <v>4.8312566869987461E-5</v>
      </c>
    </row>
    <row r="168" spans="1:32" ht="15.75" x14ac:dyDescent="0.2">
      <c r="A168" s="206">
        <f t="shared" si="34"/>
        <v>138</v>
      </c>
      <c r="B168" s="88">
        <f>IF($F168="","",'הזנה לתנאי סף'!C168)</f>
        <v>1001348953</v>
      </c>
      <c r="C168" s="88">
        <f>IF($F168="","",'הזנה לתנאי סף'!D168)</f>
        <v>1001277689</v>
      </c>
      <c r="D168" s="88">
        <f>IF($F168="","",'הזנה לתנאי סף'!E168)</f>
        <v>40821399</v>
      </c>
      <c r="E168" s="88">
        <f>IF($F168="","",'הזנה לתנאי סף'!F168)</f>
        <v>20000233</v>
      </c>
      <c r="F168" s="88" t="str">
        <f>IF(OR('הזנה לתנאי סף'!G168="",'הזנה לתנאי סף'!BL168&lt;&gt;1,'הזנה לתנאי סף'!Q168&lt;&gt;1),"",'הזנה לתנאי סף'!G168)</f>
        <v>נתניה</v>
      </c>
      <c r="G168" s="88" t="str">
        <f>IF($F168="","",'הזנה לתנאי סף'!H168)</f>
        <v>תזמורת נתניה הקאמרית הקיבוצית</v>
      </c>
      <c r="H168" s="88" t="str">
        <f>IF($F168="","",'הזנה לתנאי סף'!I168)</f>
        <v>מוסיקה-גופים כליים</v>
      </c>
      <c r="I168" s="213">
        <f>IF($F168="","",'תחום תמיכה א'!$I168)</f>
        <v>4766000</v>
      </c>
      <c r="J168" s="213">
        <f>IF($F168="","",'תחום תמיכה א'!$J168)</f>
        <v>3199000</v>
      </c>
      <c r="K168" s="213">
        <f>IF($F168="","",'תחום תמיכה א'!$K168)</f>
        <v>0</v>
      </c>
      <c r="L168" s="213">
        <f t="shared" si="26"/>
        <v>7965000</v>
      </c>
      <c r="M168" s="214">
        <f t="shared" si="27"/>
        <v>0.59836785938480852</v>
      </c>
      <c r="N168" s="214">
        <f t="shared" si="36"/>
        <v>0.40163214061519148</v>
      </c>
      <c r="O168" s="213">
        <f t="shared" si="28"/>
        <v>1284821.2178279976</v>
      </c>
      <c r="P168" s="213">
        <f>IF($F168="","",'פרמטרים לקריטריונים'!$C$59*O168)</f>
        <v>385446.36534839927</v>
      </c>
      <c r="Q168" s="214">
        <f t="shared" si="29"/>
        <v>2.1898326719963649E-3</v>
      </c>
      <c r="R168" s="213">
        <f t="shared" si="37"/>
        <v>218983.2671996365</v>
      </c>
      <c r="S168" s="213">
        <f>IF($F168="","",'הזנה לתנאי סף'!N168)</f>
        <v>0</v>
      </c>
      <c r="T168" s="213">
        <f>IF($F168="","",'הזנה לתנאי סף'!O168)</f>
        <v>1</v>
      </c>
      <c r="U168" s="213">
        <f>IF($F168="","",'תחום תמיכה א'!W168)</f>
        <v>1000000</v>
      </c>
      <c r="V168" s="213">
        <f>IF($F168="","",'תחום תמיכה א'!X168)</f>
        <v>650000</v>
      </c>
      <c r="W168" s="213">
        <f>IF($F168="","",'תחום תמיכה א'!Y168)</f>
        <v>7616000</v>
      </c>
      <c r="X168" s="231">
        <f>IF($F168="","",'תחום תמיכה א'!Z168)</f>
        <v>0.13130252100840337</v>
      </c>
      <c r="Y168" s="213">
        <f>IF($F168="","",'תחום תמיכה א'!AA168)</f>
        <v>-350000</v>
      </c>
      <c r="Z168" s="214">
        <f>IF($F168="","",'תחום תמיכה א'!AB168)</f>
        <v>0.35</v>
      </c>
      <c r="AA168" s="225">
        <f>IF($F168="","",'תחום תמיכה א'!AC168)</f>
        <v>4</v>
      </c>
      <c r="AB168" s="213">
        <f t="shared" si="30"/>
        <v>-218983.2671996365</v>
      </c>
      <c r="AC168" s="213">
        <f t="shared" si="31"/>
        <v>0</v>
      </c>
      <c r="AD168" s="214">
        <f t="shared" si="32"/>
        <v>0</v>
      </c>
      <c r="AE168" s="213">
        <f t="shared" si="35"/>
        <v>0</v>
      </c>
      <c r="AF168" s="214">
        <f t="shared" si="33"/>
        <v>0</v>
      </c>
    </row>
    <row r="169" spans="1:32" ht="15.75" x14ac:dyDescent="0.2">
      <c r="A169" s="206">
        <f t="shared" si="34"/>
        <v>139</v>
      </c>
      <c r="B169" s="88">
        <f>IF($F169="","",'הזנה לתנאי סף'!C169)</f>
        <v>1001347059</v>
      </c>
      <c r="C169" s="88">
        <f>IF($F169="","",'הזנה לתנאי סף'!D169)</f>
        <v>1001264877</v>
      </c>
      <c r="D169" s="88">
        <f>IF($F169="","",'הזנה לתנאי סף'!E169)</f>
        <v>41489885</v>
      </c>
      <c r="E169" s="88">
        <f>IF($F169="","",'הזנה לתנאי סף'!F169)</f>
        <v>20000201</v>
      </c>
      <c r="F169" s="88" t="str">
        <f>IF(OR('הזנה לתנאי סף'!G169="",'הזנה לתנאי סף'!BL169&lt;&gt;1,'הזנה לתנאי סף'!Q169&lt;&gt;1),"",'הזנה לתנאי סף'!G169)</f>
        <v>תל אביב -יפו</v>
      </c>
      <c r="G169" s="88" t="str">
        <f>IF($F169="","",'הזנה לתנאי סף'!H169)</f>
        <v>עמותה למחול ואמניות ניב שינפלד</v>
      </c>
      <c r="H169" s="88" t="str">
        <f>IF($F169="","",'הזנה לתנאי סף'!I169)</f>
        <v>מחול</v>
      </c>
      <c r="I169" s="213">
        <f>IF($F169="","",'תחום תמיכה א'!$I169)</f>
        <v>284079</v>
      </c>
      <c r="J169" s="213">
        <f>IF($F169="","",'תחום תמיכה א'!$J169)</f>
        <v>270649</v>
      </c>
      <c r="K169" s="213">
        <f>IF($F169="","",'תחום תמיכה א'!$K169)</f>
        <v>5161</v>
      </c>
      <c r="L169" s="213">
        <f t="shared" si="26"/>
        <v>559889</v>
      </c>
      <c r="M169" s="214">
        <f t="shared" si="27"/>
        <v>0.50738449942756514</v>
      </c>
      <c r="N169" s="214">
        <f t="shared" si="36"/>
        <v>0.49261550057243486</v>
      </c>
      <c r="O169" s="213">
        <f t="shared" si="28"/>
        <v>133325.89261442891</v>
      </c>
      <c r="P169" s="213">
        <f>IF($F169="","",'פרמטרים לקריטריונים'!$C$59*O169)</f>
        <v>39997.767784328673</v>
      </c>
      <c r="Q169" s="214">
        <f t="shared" si="29"/>
        <v>2.2723892757913725E-4</v>
      </c>
      <c r="R169" s="213">
        <f t="shared" si="37"/>
        <v>22723.892757913723</v>
      </c>
      <c r="S169" s="213">
        <f>IF($F169="","",'הזנה לתנאי סף'!N169)</f>
        <v>1</v>
      </c>
      <c r="T169" s="213">
        <f>IF($F169="","",'הזנה לתנאי סף'!O169)</f>
        <v>1</v>
      </c>
      <c r="U169" s="213">
        <f>IF($F169="","",'תחום תמיכה א'!W169)</f>
        <v>0</v>
      </c>
      <c r="V169" s="213">
        <f>IF($F169="","",'תחום תמיכה א'!X169)</f>
        <v>0</v>
      </c>
      <c r="W169" s="213">
        <f>IF($F169="","",'תחום תמיכה א'!Y169)</f>
        <v>0</v>
      </c>
      <c r="X169" s="231" t="str">
        <f>IF($F169="","",'תחום תמיכה א'!Z169)</f>
        <v>בדוק נתוני הזנה</v>
      </c>
      <c r="Y169" s="213" t="str">
        <f>IF($F169="","",'תחום תמיכה א'!AA169)</f>
        <v>בדוק נתוני הזנה</v>
      </c>
      <c r="Z169" s="214">
        <f>IF($F169="","",'תחום תמיכה א'!AB169)</f>
        <v>0</v>
      </c>
      <c r="AA169" s="225" t="str">
        <f>IF($F169="","",'תחום תמיכה א'!AC169)</f>
        <v/>
      </c>
      <c r="AB169" s="213" t="str">
        <f t="shared" si="30"/>
        <v/>
      </c>
      <c r="AC169" s="213">
        <f t="shared" si="31"/>
        <v>22723.892757913723</v>
      </c>
      <c r="AD169" s="214">
        <f t="shared" si="32"/>
        <v>2.2773763489266841E-4</v>
      </c>
      <c r="AE169" s="213">
        <f t="shared" si="35"/>
        <v>23405.269869516858</v>
      </c>
      <c r="AF169" s="214">
        <f t="shared" si="33"/>
        <v>2.2773763489266846E-4</v>
      </c>
    </row>
    <row r="170" spans="1:32" ht="15.75" x14ac:dyDescent="0.2">
      <c r="A170" s="206">
        <f t="shared" si="34"/>
        <v>140</v>
      </c>
      <c r="B170" s="88">
        <f>IF($F170="","",'הזנה לתנאי סף'!C170)</f>
        <v>1001348829</v>
      </c>
      <c r="C170" s="88">
        <f>IF($F170="","",'הזנה לתנאי סף'!D170)</f>
        <v>1001270276</v>
      </c>
      <c r="D170" s="88">
        <f>IF($F170="","",'הזנה לתנאי סף'!E170)</f>
        <v>41489893</v>
      </c>
      <c r="E170" s="88">
        <f>IF($F170="","",'הזנה לתנאי סף'!F170)</f>
        <v>20000201</v>
      </c>
      <c r="F170" s="88" t="str">
        <f>IF(OR('הזנה לתנאי סף'!G170="",'הזנה לתנאי סף'!BL170&lt;&gt;1,'הזנה לתנאי סף'!Q170&lt;&gt;1),"",'הזנה לתנאי סף'!G170)</f>
        <v>תל אביב -יפו</v>
      </c>
      <c r="G170" s="88" t="str">
        <f>IF($F170="","",'הזנה לתנאי סף'!H170)</f>
        <v>תאטרון מחול יוסי ברג ועודד גרף</v>
      </c>
      <c r="H170" s="88" t="str">
        <f>IF($F170="","",'הזנה לתנאי סף'!I170)</f>
        <v>אחר</v>
      </c>
      <c r="I170" s="213">
        <f>IF($F170="","",'תחום תמיכה א'!$I170)</f>
        <v>187946</v>
      </c>
      <c r="J170" s="213">
        <f>IF($F170="","",'תחום תמיכה א'!$J170)</f>
        <v>227671</v>
      </c>
      <c r="K170" s="213">
        <f>IF($F170="","",'תחום תמיכה א'!$K170)</f>
        <v>27000</v>
      </c>
      <c r="L170" s="213">
        <f t="shared" si="26"/>
        <v>442617</v>
      </c>
      <c r="M170" s="214">
        <f t="shared" si="27"/>
        <v>0.42462444958056289</v>
      </c>
      <c r="N170" s="214">
        <f t="shared" si="36"/>
        <v>0.57537555041943711</v>
      </c>
      <c r="O170" s="213">
        <f t="shared" si="28"/>
        <v>130996.32693954367</v>
      </c>
      <c r="P170" s="213">
        <f>IF($F170="","",'פרמטרים לקריטריונים'!$C$59*O170)</f>
        <v>39298.898081863095</v>
      </c>
      <c r="Q170" s="214">
        <f t="shared" si="29"/>
        <v>2.2326844596220932E-4</v>
      </c>
      <c r="R170" s="213">
        <f t="shared" si="37"/>
        <v>22326.844596220933</v>
      </c>
      <c r="S170" s="213">
        <f>IF($F170="","",'הזנה לתנאי סף'!N170)</f>
        <v>1</v>
      </c>
      <c r="T170" s="213">
        <f>IF($F170="","",'הזנה לתנאי סף'!O170)</f>
        <v>1</v>
      </c>
      <c r="U170" s="213">
        <f>IF($F170="","",'תחום תמיכה א'!W170)</f>
        <v>0</v>
      </c>
      <c r="V170" s="213">
        <f>IF($F170="","",'תחום תמיכה א'!X170)</f>
        <v>0</v>
      </c>
      <c r="W170" s="213">
        <f>IF($F170="","",'תחום תמיכה א'!Y170)</f>
        <v>0</v>
      </c>
      <c r="X170" s="231" t="str">
        <f>IF($F170="","",'תחום תמיכה א'!Z170)</f>
        <v>בדוק נתוני הזנה</v>
      </c>
      <c r="Y170" s="213" t="str">
        <f>IF($F170="","",'תחום תמיכה א'!AA170)</f>
        <v>בדוק נתוני הזנה</v>
      </c>
      <c r="Z170" s="214">
        <f>IF($F170="","",'תחום תמיכה א'!AB170)</f>
        <v>1</v>
      </c>
      <c r="AA170" s="225" t="str">
        <f>IF($F170="","",'תחום תמיכה א'!AC170)</f>
        <v/>
      </c>
      <c r="AB170" s="213" t="str">
        <f t="shared" si="30"/>
        <v/>
      </c>
      <c r="AC170" s="213">
        <f t="shared" si="31"/>
        <v>22326.844596220933</v>
      </c>
      <c r="AD170" s="214">
        <f t="shared" si="32"/>
        <v>2.2375843950366941E-4</v>
      </c>
      <c r="AE170" s="213">
        <f t="shared" si="35"/>
        <v>22996.316197951102</v>
      </c>
      <c r="AF170" s="214">
        <f t="shared" si="33"/>
        <v>2.237584395036695E-4</v>
      </c>
    </row>
    <row r="171" spans="1:32" ht="15.75" x14ac:dyDescent="0.2">
      <c r="A171" s="206">
        <f t="shared" si="34"/>
        <v>141</v>
      </c>
      <c r="B171" s="88">
        <f>IF($F171="","",'הזנה לתנאי סף'!C171)</f>
        <v>1001346762</v>
      </c>
      <c r="C171" s="88">
        <f>IF($F171="","",'הזנה לתנאי סף'!D171)</f>
        <v>1001274754</v>
      </c>
      <c r="D171" s="88">
        <f>IF($F171="","",'הזנה לתנאי סף'!E171)</f>
        <v>41512756</v>
      </c>
      <c r="E171" s="88">
        <f>IF($F171="","",'הזנה לתנאי סף'!F171)</f>
        <v>20000071</v>
      </c>
      <c r="F171" s="88" t="str">
        <f>IF(OR('הזנה לתנאי סף'!G171="",'הזנה לתנאי סף'!BL171&lt;&gt;1,'הזנה לתנאי סף'!Q171&lt;&gt;1),"",'הזנה לתנאי סף'!G171)</f>
        <v>ריינה</v>
      </c>
      <c r="G171" s="88" t="str">
        <f>IF($F171="","",'הזנה לתנאי סף'!H171)</f>
        <v>מרכז על-קלעה לאומנויות הבמה</v>
      </c>
      <c r="H171" s="88" t="str">
        <f>IF($F171="","",'הזנה לתנאי סף'!I171)</f>
        <v>אחר</v>
      </c>
      <c r="I171" s="213">
        <f>IF($F171="","",'תחום תמיכה א'!$I171)</f>
        <v>0</v>
      </c>
      <c r="J171" s="213">
        <f>IF($F171="","",'תחום תמיכה א'!$J171)</f>
        <v>650986</v>
      </c>
      <c r="K171" s="213">
        <f>IF($F171="","",'תחום תמיכה א'!$K171)</f>
        <v>0</v>
      </c>
      <c r="L171" s="213">
        <f t="shared" si="26"/>
        <v>650986</v>
      </c>
      <c r="M171" s="214">
        <f t="shared" si="27"/>
        <v>0</v>
      </c>
      <c r="N171" s="214">
        <f t="shared" si="36"/>
        <v>1</v>
      </c>
      <c r="O171" s="213">
        <f t="shared" si="28"/>
        <v>650986</v>
      </c>
      <c r="P171" s="213">
        <f>IF($F171="","",'פרמטרים לקריטריונים'!$C$59*O171)</f>
        <v>195295.8</v>
      </c>
      <c r="Q171" s="214">
        <f t="shared" si="29"/>
        <v>1.1095321216924886E-3</v>
      </c>
      <c r="R171" s="213">
        <f t="shared" si="37"/>
        <v>110953.21216924886</v>
      </c>
      <c r="S171" s="213">
        <f>IF($F171="","",'הזנה לתנאי סף'!N171)</f>
        <v>0</v>
      </c>
      <c r="T171" s="213">
        <f>IF($F171="","",'הזנה לתנאי סף'!O171)</f>
        <v>1</v>
      </c>
      <c r="U171" s="213">
        <f>IF($F171="","",'תחום תמיכה א'!W171)</f>
        <v>0</v>
      </c>
      <c r="V171" s="213">
        <f>IF($F171="","",'תחום תמיכה א'!X171)</f>
        <v>0</v>
      </c>
      <c r="W171" s="213">
        <f>IF($F171="","",'תחום תמיכה א'!Y171)</f>
        <v>1</v>
      </c>
      <c r="X171" s="231">
        <f>IF($F171="","",'תחום תמיכה א'!Z171)</f>
        <v>0</v>
      </c>
      <c r="Y171" s="213" t="str">
        <f>IF($F171="","",'תחום תמיכה א'!AA171)</f>
        <v/>
      </c>
      <c r="Z171" s="214" t="str">
        <f>IF($F171="","",'תחום תמיכה א'!AB171)</f>
        <v/>
      </c>
      <c r="AA171" s="225" t="str">
        <f>IF($F171="","",'תחום תמיכה א'!AC171)</f>
        <v/>
      </c>
      <c r="AB171" s="213" t="str">
        <f t="shared" si="30"/>
        <v/>
      </c>
      <c r="AC171" s="213">
        <f t="shared" si="31"/>
        <v>110953.21216924886</v>
      </c>
      <c r="AD171" s="214">
        <f t="shared" si="32"/>
        <v>1.1119671436738924E-3</v>
      </c>
      <c r="AE171" s="213">
        <f t="shared" si="35"/>
        <v>114280.15003312538</v>
      </c>
      <c r="AF171" s="214">
        <f t="shared" si="33"/>
        <v>1.1119671436738926E-3</v>
      </c>
    </row>
    <row r="172" spans="1:32" ht="15.75" x14ac:dyDescent="0.2">
      <c r="A172" s="206">
        <f t="shared" si="34"/>
        <v>142</v>
      </c>
      <c r="B172" s="88">
        <f>IF($F172="","",'הזנה לתנאי סף'!C172)</f>
        <v>1001348970</v>
      </c>
      <c r="C172" s="88">
        <f>IF($F172="","",'הזנה לתנאי סף'!D172)</f>
        <v>1001274728</v>
      </c>
      <c r="D172" s="88">
        <f>IF($F172="","",'הזנה לתנאי סף'!E172)</f>
        <v>41512788</v>
      </c>
      <c r="E172" s="88">
        <f>IF($F172="","",'הזנה לתנאי סף'!F172)</f>
        <v>20000201</v>
      </c>
      <c r="F172" s="88" t="str">
        <f>IF(OR('הזנה לתנאי סף'!G172="",'הזנה לתנאי סף'!BL172&lt;&gt;1,'הזנה לתנאי סף'!Q172&lt;&gt;1),"",'הזנה לתנאי סף'!G172)</f>
        <v>תל אביב -יפו</v>
      </c>
      <c r="G172" s="88" t="str">
        <f>IF($F172="","",'הזנה לתנאי סף'!H172)</f>
        <v>פלטפורמא - תיאטרון אקטיביסטי</v>
      </c>
      <c r="H172" s="88" t="str">
        <f>IF($F172="","",'הזנה לתנאי סף'!I172)</f>
        <v>תיאטרון</v>
      </c>
      <c r="I172" s="213">
        <f>IF($F172="","",'תחום תמיכה א'!$I172)</f>
        <v>73973</v>
      </c>
      <c r="J172" s="213">
        <f>IF($F172="","",'תחום תמיכה א'!$J172)</f>
        <v>404779</v>
      </c>
      <c r="K172" s="213">
        <f>IF($F172="","",'תחום תמיכה א'!$K172)</f>
        <v>0</v>
      </c>
      <c r="L172" s="213">
        <f t="shared" si="26"/>
        <v>478752</v>
      </c>
      <c r="M172" s="214">
        <f t="shared" si="27"/>
        <v>0.15451214825212217</v>
      </c>
      <c r="N172" s="214">
        <f t="shared" si="36"/>
        <v>0.84548785174787788</v>
      </c>
      <c r="O172" s="213">
        <f t="shared" si="28"/>
        <v>342235.72714265424</v>
      </c>
      <c r="P172" s="213">
        <f>IF($F172="","",'פרמטרים לקריטריונים'!$C$59*O172)</f>
        <v>102670.71814279626</v>
      </c>
      <c r="Q172" s="214">
        <f t="shared" si="29"/>
        <v>5.833021485186484E-4</v>
      </c>
      <c r="R172" s="213">
        <f t="shared" si="37"/>
        <v>58330.214851864839</v>
      </c>
      <c r="S172" s="213">
        <f>IF($F172="","",'הזנה לתנאי סף'!N172)</f>
        <v>0</v>
      </c>
      <c r="T172" s="213">
        <f>IF($F172="","",'הזנה לתנאי סף'!O172)</f>
        <v>1</v>
      </c>
      <c r="U172" s="213">
        <f>IF($F172="","",'תחום תמיכה א'!W172)</f>
        <v>0</v>
      </c>
      <c r="V172" s="213">
        <f>IF($F172="","",'תחום תמיכה א'!X172)</f>
        <v>0</v>
      </c>
      <c r="W172" s="213">
        <f>IF($F172="","",'תחום תמיכה א'!Y172)</f>
        <v>1</v>
      </c>
      <c r="X172" s="231">
        <f>IF($F172="","",'תחום תמיכה א'!Z172)</f>
        <v>0</v>
      </c>
      <c r="Y172" s="213" t="str">
        <f>IF($F172="","",'תחום תמיכה א'!AA172)</f>
        <v/>
      </c>
      <c r="Z172" s="214" t="str">
        <f>IF($F172="","",'תחום תמיכה א'!AB172)</f>
        <v/>
      </c>
      <c r="AA172" s="225" t="str">
        <f>IF($F172="","",'תחום תמיכה א'!AC172)</f>
        <v/>
      </c>
      <c r="AB172" s="213" t="str">
        <f t="shared" si="30"/>
        <v/>
      </c>
      <c r="AC172" s="213">
        <f t="shared" si="31"/>
        <v>58330.214851864839</v>
      </c>
      <c r="AD172" s="214">
        <f t="shared" si="32"/>
        <v>5.8458228590779965E-4</v>
      </c>
      <c r="AE172" s="213">
        <f t="shared" si="35"/>
        <v>60079.24939178153</v>
      </c>
      <c r="AF172" s="214">
        <f t="shared" si="33"/>
        <v>5.8458228590779976E-4</v>
      </c>
    </row>
    <row r="173" spans="1:32" ht="15.75" x14ac:dyDescent="0.2">
      <c r="A173" s="206">
        <f t="shared" si="34"/>
        <v>143</v>
      </c>
      <c r="B173" s="88">
        <f>IF($F173="","",'הזנה לתנאי סף'!C173)</f>
        <v>1001350042</v>
      </c>
      <c r="C173" s="88">
        <f>IF($F173="","",'הזנה לתנאי סף'!D173)</f>
        <v>1001271349</v>
      </c>
      <c r="D173" s="88">
        <f>IF($F173="","",'הזנה לתנאי סף'!E173)</f>
        <v>41553249</v>
      </c>
      <c r="E173" s="88">
        <f>IF($F173="","",'הזנה לתנאי סף'!F173)</f>
        <v>20000201</v>
      </c>
      <c r="F173" s="88" t="str">
        <f>IF(OR('הזנה לתנאי סף'!G173="",'הזנה לתנאי סף'!BL173&lt;&gt;1,'הזנה לתנאי סף'!Q173&lt;&gt;1),"",'הזנה לתנאי סף'!G173)</f>
        <v>תל אביב -יפו</v>
      </c>
      <c r="G173" s="88" t="str">
        <f>IF($F173="","",'הזנה לתנאי סף'!H173)</f>
        <v>גליא</v>
      </c>
      <c r="H173" s="88" t="str">
        <f>IF($F173="","",'הזנה לתנאי סף'!I173)</f>
        <v>מוסיקה-גופים כליים</v>
      </c>
      <c r="I173" s="213">
        <f>IF($F173="","",'תחום תמיכה א'!$I173)</f>
        <v>612037</v>
      </c>
      <c r="J173" s="213">
        <f>IF($F173="","",'תחום תמיכה א'!$J173)</f>
        <v>1161910</v>
      </c>
      <c r="K173" s="213">
        <f>IF($F173="","",'תחום תמיכה א'!$K173)</f>
        <v>0</v>
      </c>
      <c r="L173" s="213">
        <f t="shared" si="26"/>
        <v>1773947</v>
      </c>
      <c r="M173" s="214">
        <f t="shared" si="27"/>
        <v>0.34501425352617637</v>
      </c>
      <c r="N173" s="214">
        <f t="shared" si="36"/>
        <v>0.65498574647382357</v>
      </c>
      <c r="O173" s="213">
        <f t="shared" si="28"/>
        <v>761034.48868540034</v>
      </c>
      <c r="P173" s="213">
        <f>IF($F173="","",'פרמטרים לקריטריונים'!$C$59*O173)</f>
        <v>228310.34660562009</v>
      </c>
      <c r="Q173" s="214">
        <f t="shared" si="29"/>
        <v>1.2970973429724611E-3</v>
      </c>
      <c r="R173" s="213">
        <f t="shared" si="37"/>
        <v>129709.7342972461</v>
      </c>
      <c r="S173" s="213">
        <f>IF($F173="","",'הזנה לתנאי סף'!N173)</f>
        <v>1</v>
      </c>
      <c r="T173" s="213">
        <f>IF($F173="","",'הזנה לתנאי סף'!O173)</f>
        <v>1</v>
      </c>
      <c r="U173" s="213">
        <f>IF($F173="","",'תחום תמיכה א'!W173)</f>
        <v>0</v>
      </c>
      <c r="V173" s="213">
        <f>IF($F173="","",'תחום תמיכה א'!X173)</f>
        <v>0</v>
      </c>
      <c r="W173" s="213">
        <f>IF($F173="","",'תחום תמיכה א'!Y173)</f>
        <v>0</v>
      </c>
      <c r="X173" s="231" t="str">
        <f>IF($F173="","",'תחום תמיכה א'!Z173)</f>
        <v>בדוק נתוני הזנה</v>
      </c>
      <c r="Y173" s="213" t="str">
        <f>IF($F173="","",'תחום תמיכה א'!AA173)</f>
        <v>בדוק נתוני הזנה</v>
      </c>
      <c r="Z173" s="214">
        <f>IF($F173="","",'תחום תמיכה א'!AB173)</f>
        <v>1</v>
      </c>
      <c r="AA173" s="225" t="str">
        <f>IF($F173="","",'תחום תמיכה א'!AC173)</f>
        <v/>
      </c>
      <c r="AB173" s="213" t="str">
        <f t="shared" si="30"/>
        <v/>
      </c>
      <c r="AC173" s="213">
        <f t="shared" si="31"/>
        <v>129709.7342972461</v>
      </c>
      <c r="AD173" s="214">
        <f t="shared" si="32"/>
        <v>1.2999440028216057E-3</v>
      </c>
      <c r="AE173" s="213">
        <f t="shared" si="35"/>
        <v>133599.08745710418</v>
      </c>
      <c r="AF173" s="214">
        <f t="shared" si="33"/>
        <v>1.2999440028216062E-3</v>
      </c>
    </row>
    <row r="174" spans="1:32" ht="15.75" x14ac:dyDescent="0.2">
      <c r="A174" s="206">
        <f t="shared" si="34"/>
        <v>144</v>
      </c>
      <c r="B174" s="88">
        <f>IF($F174="","",'הזנה לתנאי סף'!C174)</f>
        <v>1001348949</v>
      </c>
      <c r="C174" s="88">
        <f>IF($F174="","",'הזנה לתנאי סף'!D174)</f>
        <v>1001290266</v>
      </c>
      <c r="D174" s="88">
        <f>IF($F174="","",'הזנה לתנאי סף'!E174)</f>
        <v>40997665</v>
      </c>
      <c r="E174" s="88">
        <f>IF($F174="","",'הזנה לתנאי סף'!F174)</f>
        <v>20000201</v>
      </c>
      <c r="F174" s="88" t="str">
        <f>IF(OR('הזנה לתנאי סף'!G174="",'הזנה לתנאי סף'!BL174&lt;&gt;1,'הזנה לתנאי סף'!Q174&lt;&gt;1),"",'הזנה לתנאי סף'!G174)</f>
        <v>תל אביב -יפו</v>
      </c>
      <c r="G174" s="88" t="str">
        <f>IF($F174="","",'הזנה לתנאי סף'!H174)</f>
        <v>אלמינא - בית ליוצרים</v>
      </c>
      <c r="H174" s="88" t="str">
        <f>IF($F174="","",'הזנה לתנאי סף'!I174)</f>
        <v>תרבות ערבית</v>
      </c>
      <c r="I174" s="213">
        <f>IF($F174="","",'תחום תמיכה א'!$I174)</f>
        <v>1010000</v>
      </c>
      <c r="J174" s="213">
        <f>IF($F174="","",'תחום תמיכה א'!$J174)</f>
        <v>1010850</v>
      </c>
      <c r="K174" s="213">
        <f>IF($F174="","",'תחום תמיכה א'!$K174)</f>
        <v>0</v>
      </c>
      <c r="L174" s="213">
        <f t="shared" si="26"/>
        <v>2020850</v>
      </c>
      <c r="M174" s="214">
        <f t="shared" si="27"/>
        <v>0.49978969245614469</v>
      </c>
      <c r="N174" s="214">
        <f t="shared" si="36"/>
        <v>0.50021030754385531</v>
      </c>
      <c r="O174" s="213">
        <f t="shared" si="28"/>
        <v>505637.58938070614</v>
      </c>
      <c r="P174" s="213">
        <f>IF($F174="","",'פרמטרים לקריטריונים'!$C$59*O174)</f>
        <v>151691.27681421183</v>
      </c>
      <c r="Q174" s="214">
        <f t="shared" si="29"/>
        <v>8.6180216986701753E-4</v>
      </c>
      <c r="R174" s="213">
        <f t="shared" si="37"/>
        <v>86180.216986701751</v>
      </c>
      <c r="S174" s="213">
        <f>IF($F174="","",'הזנה לתנאי סף'!N174)</f>
        <v>1</v>
      </c>
      <c r="T174" s="213">
        <f>IF($F174="","",'הזנה לתנאי סף'!O174)</f>
        <v>1</v>
      </c>
      <c r="U174" s="213">
        <f>IF($F174="","",'תחום תמיכה א'!W174)</f>
        <v>0</v>
      </c>
      <c r="V174" s="213">
        <f>IF($F174="","",'תחום תמיכה א'!X174)</f>
        <v>0</v>
      </c>
      <c r="W174" s="213">
        <f>IF($F174="","",'תחום תמיכה א'!Y174)</f>
        <v>0</v>
      </c>
      <c r="X174" s="231" t="str">
        <f>IF($F174="","",'תחום תמיכה א'!Z174)</f>
        <v>בדוק נתוני הזנה</v>
      </c>
      <c r="Y174" s="213" t="str">
        <f>IF($F174="","",'תחום תמיכה א'!AA174)</f>
        <v>בדוק נתוני הזנה</v>
      </c>
      <c r="Z174" s="214">
        <f>IF($F174="","",'תחום תמיכה א'!AB174)</f>
        <v>1</v>
      </c>
      <c r="AA174" s="225" t="str">
        <f>IF($F174="","",'תחום תמיכה א'!AC174)</f>
        <v/>
      </c>
      <c r="AB174" s="213" t="str">
        <f t="shared" si="30"/>
        <v/>
      </c>
      <c r="AC174" s="213">
        <f t="shared" si="31"/>
        <v>86180.216986701751</v>
      </c>
      <c r="AD174" s="214">
        <f t="shared" si="32"/>
        <v>8.6369351414287911E-4</v>
      </c>
      <c r="AE174" s="213">
        <f t="shared" si="35"/>
        <v>88764.335295712881</v>
      </c>
      <c r="AF174" s="214">
        <f t="shared" si="33"/>
        <v>8.6369351414287933E-4</v>
      </c>
    </row>
    <row r="175" spans="1:32" ht="15.75" x14ac:dyDescent="0.2">
      <c r="A175" s="206">
        <f t="shared" si="34"/>
        <v>145</v>
      </c>
      <c r="B175" s="88">
        <f>IF($F175="","",'הזנה לתנאי סף'!C175)</f>
        <v>1001350055</v>
      </c>
      <c r="C175" s="88">
        <f>IF($F175="","",'הזנה לתנאי סף'!D175)</f>
        <v>1001271380</v>
      </c>
      <c r="D175" s="88">
        <f>IF($F175="","",'הזנה לתנאי סף'!E175)</f>
        <v>41555435</v>
      </c>
      <c r="E175" s="88">
        <f>IF($F175="","",'הזנה לתנאי סף'!F175)</f>
        <v>20000159</v>
      </c>
      <c r="F175" s="88" t="str">
        <f>IF(OR('הזנה לתנאי סף'!G175="",'הזנה לתנאי סף'!BL175&lt;&gt;1,'הזנה לתנאי סף'!Q175&lt;&gt;1),"",'הזנה לתנאי סף'!G175)</f>
        <v>ירושלים</v>
      </c>
      <c r="G175" s="88" t="str">
        <f>IF($F175="","",'הזנה לתנאי סף'!H175)</f>
        <v>מוזיאון יהדות איטליה</v>
      </c>
      <c r="H175" s="88" t="str">
        <f>IF($F175="","",'הזנה לתנאי סף'!I175)</f>
        <v>מוזיאונים</v>
      </c>
      <c r="I175" s="213">
        <f>IF($F175="","",'תחום תמיכה א'!$I175)</f>
        <v>789490</v>
      </c>
      <c r="J175" s="213">
        <f>IF($F175="","",'תחום תמיכה א'!$J175)</f>
        <v>357178</v>
      </c>
      <c r="K175" s="213">
        <f>IF($F175="","",'תחום תמיכה א'!$K175)</f>
        <v>0</v>
      </c>
      <c r="L175" s="213">
        <f t="shared" si="26"/>
        <v>1146668</v>
      </c>
      <c r="M175" s="214">
        <f t="shared" si="27"/>
        <v>0.68850792033962749</v>
      </c>
      <c r="N175" s="214">
        <f t="shared" si="36"/>
        <v>0.31149207966037251</v>
      </c>
      <c r="O175" s="213">
        <f t="shared" si="28"/>
        <v>111258.11802893253</v>
      </c>
      <c r="P175" s="213">
        <f>IF($F175="","",'פרמטרים לקריטריונים'!$C$59*O175)</f>
        <v>33377.435408679754</v>
      </c>
      <c r="Q175" s="214">
        <f t="shared" si="29"/>
        <v>1.8962689789358731E-4</v>
      </c>
      <c r="R175" s="213">
        <f t="shared" si="37"/>
        <v>18962.68978935873</v>
      </c>
      <c r="S175" s="213">
        <f>IF($F175="","",'הזנה לתנאי סף'!N175)</f>
        <v>1</v>
      </c>
      <c r="T175" s="213">
        <f>IF($F175="","",'הזנה לתנאי סף'!O175)</f>
        <v>1</v>
      </c>
      <c r="U175" s="213">
        <f>IF($F175="","",'תחום תמיכה א'!W175)</f>
        <v>0</v>
      </c>
      <c r="V175" s="213">
        <f>IF($F175="","",'תחום תמיכה א'!X175)</f>
        <v>0</v>
      </c>
      <c r="W175" s="213">
        <f>IF($F175="","",'תחום תמיכה א'!Y175)</f>
        <v>0</v>
      </c>
      <c r="X175" s="231" t="str">
        <f>IF($F175="","",'תחום תמיכה א'!Z175)</f>
        <v>בדוק נתוני הזנה</v>
      </c>
      <c r="Y175" s="213" t="str">
        <f>IF($F175="","",'תחום תמיכה א'!AA175)</f>
        <v>בדוק נתוני הזנה</v>
      </c>
      <c r="Z175" s="214">
        <f>IF($F175="","",'תחום תמיכה א'!AB175)</f>
        <v>1</v>
      </c>
      <c r="AA175" s="225" t="str">
        <f>IF($F175="","",'תחום תמיכה א'!AC175)</f>
        <v/>
      </c>
      <c r="AB175" s="213" t="str">
        <f t="shared" si="30"/>
        <v/>
      </c>
      <c r="AC175" s="213">
        <f t="shared" si="31"/>
        <v>18962.68978935873</v>
      </c>
      <c r="AD175" s="214">
        <f t="shared" si="32"/>
        <v>1.9004306039632939E-4</v>
      </c>
      <c r="AE175" s="213">
        <f t="shared" si="35"/>
        <v>19531.287033437864</v>
      </c>
      <c r="AF175" s="214">
        <f t="shared" si="33"/>
        <v>1.9004306039632944E-4</v>
      </c>
    </row>
    <row r="176" spans="1:32" ht="15.75" x14ac:dyDescent="0.2">
      <c r="A176" s="206">
        <f t="shared" si="34"/>
        <v>146</v>
      </c>
      <c r="B176" s="88">
        <f>IF($F176="","",'הזנה לתנאי סף'!C176)</f>
        <v>1001348980</v>
      </c>
      <c r="C176" s="88">
        <f>IF($F176="","",'הזנה לתנאי סף'!D176)</f>
        <v>1001311679</v>
      </c>
      <c r="D176" s="88">
        <f>IF($F176="","",'הזנה לתנאי סף'!E176)</f>
        <v>41555455</v>
      </c>
      <c r="E176" s="88">
        <f>IF($F176="","",'הזנה לתנאי סף'!F176)</f>
        <v>20000201</v>
      </c>
      <c r="F176" s="88" t="str">
        <f>IF(OR('הזנה לתנאי סף'!G176="",'הזנה לתנאי סף'!BL176&lt;&gt;1,'הזנה לתנאי סף'!Q176&lt;&gt;1),"",'הזנה לתנאי סף'!G176)</f>
        <v>תל אביב -יפו</v>
      </c>
      <c r="G176" s="88" t="str">
        <f>IF($F176="","",'הזנה לתנאי סף'!H176)</f>
        <v>תאטרון השחר</v>
      </c>
      <c r="H176" s="88" t="str">
        <f>IF($F176="","",'הזנה לתנאי סף'!I176)</f>
        <v>תיאטרון</v>
      </c>
      <c r="I176" s="213">
        <f>IF($F176="","",'תחום תמיכה א'!$I176)</f>
        <v>0</v>
      </c>
      <c r="J176" s="213">
        <f>IF($F176="","",'תחום תמיכה א'!$J176)</f>
        <v>523327</v>
      </c>
      <c r="K176" s="213">
        <f>IF($F176="","",'תחום תמיכה א'!$K176)</f>
        <v>0</v>
      </c>
      <c r="L176" s="213">
        <f t="shared" si="26"/>
        <v>523327</v>
      </c>
      <c r="M176" s="214">
        <f t="shared" si="27"/>
        <v>0</v>
      </c>
      <c r="N176" s="214">
        <f t="shared" si="36"/>
        <v>1</v>
      </c>
      <c r="O176" s="213">
        <f t="shared" si="28"/>
        <v>523327</v>
      </c>
      <c r="P176" s="213">
        <f>IF($F176="","",'פרמטרים לקריטריונים'!$C$59*O176)</f>
        <v>156998.1</v>
      </c>
      <c r="Q176" s="214">
        <f t="shared" si="29"/>
        <v>8.9195177261717628E-4</v>
      </c>
      <c r="R176" s="213">
        <f t="shared" si="37"/>
        <v>89195.177261717632</v>
      </c>
      <c r="S176" s="213">
        <f>IF($F176="","",'הזנה לתנאי סף'!N176)</f>
        <v>0</v>
      </c>
      <c r="T176" s="213">
        <f>IF($F176="","",'הזנה לתנאי סף'!O176)</f>
        <v>1</v>
      </c>
      <c r="U176" s="213">
        <f>IF($F176="","",'תחום תמיכה א'!W176)</f>
        <v>0</v>
      </c>
      <c r="V176" s="213">
        <f>IF($F176="","",'תחום תמיכה א'!X176)</f>
        <v>0</v>
      </c>
      <c r="W176" s="213">
        <f>IF($F176="","",'תחום תמיכה א'!Y176)</f>
        <v>1</v>
      </c>
      <c r="X176" s="231">
        <f>IF($F176="","",'תחום תמיכה א'!Z176)</f>
        <v>0</v>
      </c>
      <c r="Y176" s="213" t="str">
        <f>IF($F176="","",'תחום תמיכה א'!AA176)</f>
        <v/>
      </c>
      <c r="Z176" s="214" t="str">
        <f>IF($F176="","",'תחום תמיכה א'!AB176)</f>
        <v/>
      </c>
      <c r="AA176" s="225" t="str">
        <f>IF($F176="","",'תחום תמיכה א'!AC176)</f>
        <v/>
      </c>
      <c r="AB176" s="213" t="str">
        <f t="shared" si="30"/>
        <v/>
      </c>
      <c r="AC176" s="213">
        <f t="shared" si="31"/>
        <v>89195.177261717632</v>
      </c>
      <c r="AD176" s="214">
        <f t="shared" si="32"/>
        <v>8.9390928437389934E-4</v>
      </c>
      <c r="AE176" s="213">
        <f t="shared" si="35"/>
        <v>91869.69931209799</v>
      </c>
      <c r="AF176" s="214">
        <f t="shared" si="33"/>
        <v>8.9390928437389956E-4</v>
      </c>
    </row>
    <row r="177" spans="1:32" ht="15.75" x14ac:dyDescent="0.2">
      <c r="A177" s="206">
        <f t="shared" si="34"/>
        <v>147</v>
      </c>
      <c r="B177" s="88">
        <f>IF($F177="","",'הזנה לתנאי סף'!C177)</f>
        <v>1001348615</v>
      </c>
      <c r="C177" s="88">
        <f>IF($F177="","",'הזנה לתנאי סף'!D177)</f>
        <v>1001267389</v>
      </c>
      <c r="D177" s="88">
        <f>IF($F177="","",'הזנה לתנאי סף'!E177)</f>
        <v>41556008</v>
      </c>
      <c r="E177" s="88">
        <f>IF($F177="","",'הזנה לתנאי סף'!F177)</f>
        <v>20000159</v>
      </c>
      <c r="F177" s="88" t="str">
        <f>IF(OR('הזנה לתנאי סף'!G177="",'הזנה לתנאי סף'!BL177&lt;&gt;1,'הזנה לתנאי סף'!Q177&lt;&gt;1),"",'הזנה לתנאי סף'!G177)</f>
        <v>ירושלים</v>
      </c>
      <c r="G177" s="88" t="str">
        <f>IF($F177="","",'הזנה לתנאי סף'!H177)</f>
        <v>פלמנרו נטורל</v>
      </c>
      <c r="H177" s="88" t="str">
        <f>IF($F177="","",'הזנה לתנאי סף'!I177)</f>
        <v>מחול</v>
      </c>
      <c r="I177" s="213">
        <f>IF($F177="","",'תחום תמיכה א'!$I177)</f>
        <v>323381</v>
      </c>
      <c r="J177" s="213">
        <f>IF($F177="","",'תחום תמיכה א'!$J177)</f>
        <v>215876</v>
      </c>
      <c r="K177" s="213">
        <f>IF($F177="","",'תחום תמיכה א'!$K177)</f>
        <v>0</v>
      </c>
      <c r="L177" s="213">
        <f t="shared" si="26"/>
        <v>539257</v>
      </c>
      <c r="M177" s="214">
        <f t="shared" si="27"/>
        <v>0.59967881733570449</v>
      </c>
      <c r="N177" s="214">
        <f t="shared" si="36"/>
        <v>0.40032118266429551</v>
      </c>
      <c r="O177" s="213">
        <f t="shared" si="28"/>
        <v>86419.735628837458</v>
      </c>
      <c r="P177" s="213">
        <f>IF($F177="","",'פרמטרים לקריטריונים'!$C$59*O177)</f>
        <v>25925.920688651237</v>
      </c>
      <c r="Q177" s="214">
        <f t="shared" si="29"/>
        <v>1.4729268007048998E-4</v>
      </c>
      <c r="R177" s="213">
        <f t="shared" si="37"/>
        <v>14729.268007048999</v>
      </c>
      <c r="S177" s="213">
        <f>IF($F177="","",'הזנה לתנאי סף'!N177)</f>
        <v>1</v>
      </c>
      <c r="T177" s="213">
        <f>IF($F177="","",'הזנה לתנאי סף'!O177)</f>
        <v>1</v>
      </c>
      <c r="U177" s="213">
        <f>IF($F177="","",'תחום תמיכה א'!W177)</f>
        <v>0</v>
      </c>
      <c r="V177" s="213">
        <f>IF($F177="","",'תחום תמיכה א'!X177)</f>
        <v>0</v>
      </c>
      <c r="W177" s="213">
        <f>IF($F177="","",'תחום תמיכה א'!Y177)</f>
        <v>0</v>
      </c>
      <c r="X177" s="231" t="str">
        <f>IF($F177="","",'תחום תמיכה א'!Z177)</f>
        <v>בדוק נתוני הזנה</v>
      </c>
      <c r="Y177" s="213" t="str">
        <f>IF($F177="","",'תחום תמיכה א'!AA177)</f>
        <v>בדוק נתוני הזנה</v>
      </c>
      <c r="Z177" s="214">
        <f>IF($F177="","",'תחום תמיכה א'!AB177)</f>
        <v>0</v>
      </c>
      <c r="AA177" s="225" t="str">
        <f>IF($F177="","",'תחום תמיכה א'!AC177)</f>
        <v/>
      </c>
      <c r="AB177" s="213" t="str">
        <f t="shared" si="30"/>
        <v/>
      </c>
      <c r="AC177" s="213">
        <f t="shared" si="31"/>
        <v>14729.268007048999</v>
      </c>
      <c r="AD177" s="214">
        <f t="shared" si="32"/>
        <v>1.4761593426625353E-4</v>
      </c>
      <c r="AE177" s="213">
        <f t="shared" si="35"/>
        <v>15170.925877801639</v>
      </c>
      <c r="AF177" s="214">
        <f t="shared" si="33"/>
        <v>1.4761593426625356E-4</v>
      </c>
    </row>
    <row r="178" spans="1:32" ht="16.5" customHeight="1" x14ac:dyDescent="0.2">
      <c r="A178" s="206">
        <f t="shared" si="34"/>
        <v>148</v>
      </c>
      <c r="B178" s="88">
        <f>IF($F178="","",'הזנה לתנאי סף'!C178)</f>
        <v>1001348065</v>
      </c>
      <c r="C178" s="88">
        <f>IF($F178="","",'הזנה לתנאי סף'!D178)</f>
        <v>1001268860</v>
      </c>
      <c r="D178" s="88">
        <f>IF($F178="","",'הזנה לתנאי סף'!E178)</f>
        <v>41558839</v>
      </c>
      <c r="E178" s="88">
        <f>IF($F178="","",'הזנה לתנאי סף'!F178)</f>
        <v>20000041</v>
      </c>
      <c r="F178" s="88" t="str">
        <f>IF(OR('הזנה לתנאי סף'!G178="",'הזנה לתנאי סף'!BL178&lt;&gt;1,'הזנה לתנאי סף'!Q178&lt;&gt;1),"",'הזנה לתנאי סף'!G178)</f>
        <v>דייר אל-אסד</v>
      </c>
      <c r="G178" s="88" t="str">
        <f>IF($F178="","",'הזנה לתנאי סף'!H178)</f>
        <v>אג'יאל דיר אל אסד</v>
      </c>
      <c r="H178" s="88" t="str">
        <f>IF($F178="","",'הזנה לתנאי סף'!I178)</f>
        <v>אחר</v>
      </c>
      <c r="I178" s="213">
        <f>IF($F178="","",'תחום תמיכה א'!$I178)</f>
        <v>38725</v>
      </c>
      <c r="J178" s="213">
        <f>IF($F178="","",'תחום תמיכה א'!$J178)</f>
        <v>106420</v>
      </c>
      <c r="K178" s="213">
        <f>IF($F178="","",'תחום תמיכה א'!$K178)</f>
        <v>0</v>
      </c>
      <c r="L178" s="213">
        <f t="shared" si="26"/>
        <v>145145</v>
      </c>
      <c r="M178" s="214">
        <f t="shared" si="27"/>
        <v>0.26680216335388751</v>
      </c>
      <c r="N178" s="214">
        <f t="shared" si="36"/>
        <v>0.73319783664611249</v>
      </c>
      <c r="O178" s="213">
        <f t="shared" si="28"/>
        <v>78026.913775879293</v>
      </c>
      <c r="P178" s="213">
        <f>IF($F178="","",'פרמטרים לקריטריונים'!$C$59*O178)</f>
        <v>23408.074132763788</v>
      </c>
      <c r="Q178" s="214">
        <f t="shared" si="29"/>
        <v>1.3298806301651378E-4</v>
      </c>
      <c r="R178" s="213">
        <f t="shared" si="37"/>
        <v>13298.806301651379</v>
      </c>
      <c r="S178" s="213">
        <f>IF($F178="","",'הזנה לתנאי סף'!N178)</f>
        <v>0</v>
      </c>
      <c r="T178" s="213">
        <f>IF($F178="","",'הזנה לתנאי סף'!O178)</f>
        <v>1</v>
      </c>
      <c r="U178" s="213">
        <f>IF($F178="","",'תחום תמיכה א'!W178)</f>
        <v>0</v>
      </c>
      <c r="V178" s="213">
        <f>IF($F178="","",'תחום תמיכה א'!X178)</f>
        <v>0</v>
      </c>
      <c r="W178" s="213">
        <f>IF($F178="","",'תחום תמיכה א'!Y178)</f>
        <v>1</v>
      </c>
      <c r="X178" s="231">
        <f>IF($F178="","",'תחום תמיכה א'!Z178)</f>
        <v>0</v>
      </c>
      <c r="Y178" s="213" t="str">
        <f>IF($F178="","",'תחום תמיכה א'!AA178)</f>
        <v/>
      </c>
      <c r="Z178" s="214" t="str">
        <f>IF($F178="","",'תחום תמיכה א'!AB178)</f>
        <v/>
      </c>
      <c r="AA178" s="225" t="str">
        <f>IF($F178="","",'תחום תמיכה א'!AC178)</f>
        <v/>
      </c>
      <c r="AB178" s="213" t="str">
        <f t="shared" si="30"/>
        <v/>
      </c>
      <c r="AC178" s="213">
        <f t="shared" si="31"/>
        <v>13298.806301651379</v>
      </c>
      <c r="AD178" s="214">
        <f t="shared" si="32"/>
        <v>1.332799237480585E-4</v>
      </c>
      <c r="AE178" s="213">
        <f t="shared" si="35"/>
        <v>13697.571703430222</v>
      </c>
      <c r="AF178" s="214">
        <f t="shared" si="33"/>
        <v>1.3327992374805852E-4</v>
      </c>
    </row>
    <row r="179" spans="1:32" ht="15.75" x14ac:dyDescent="0.2">
      <c r="A179" s="206">
        <f t="shared" si="34"/>
        <v>149</v>
      </c>
      <c r="B179" s="88">
        <f>IF($F179="","",'הזנה לתנאי סף'!C179)</f>
        <v>1001348191</v>
      </c>
      <c r="C179" s="88">
        <f>IF($F179="","",'הזנה לתנאי סף'!D179)</f>
        <v>1001268861</v>
      </c>
      <c r="D179" s="88">
        <f>IF($F179="","",'הזנה לתנאי סף'!E179)</f>
        <v>41558839</v>
      </c>
      <c r="E179" s="88">
        <f>IF($F179="","",'הזנה לתנאי סף'!F179)</f>
        <v>20000041</v>
      </c>
      <c r="F179" s="88" t="str">
        <f>IF(OR('הזנה לתנאי סף'!G179="",'הזנה לתנאי סף'!BL179&lt;&gt;1,'הזנה לתנאי סף'!Q179&lt;&gt;1),"",'הזנה לתנאי סף'!G179)</f>
        <v>דייר אל-אסד</v>
      </c>
      <c r="G179" s="88" t="str">
        <f>IF($F179="","",'הזנה לתנאי סף'!H179)</f>
        <v>אג'יאל דיר אל אסד</v>
      </c>
      <c r="H179" s="88" t="str">
        <f>IF($F179="","",'הזנה לתנאי סף'!I179)</f>
        <v>קבוצות מוסיקה</v>
      </c>
      <c r="I179" s="213">
        <f>IF($F179="","",'תחום תמיכה א'!$I179)</f>
        <v>38725</v>
      </c>
      <c r="J179" s="213">
        <f>IF($F179="","",'תחום תמיכה א'!$J179)</f>
        <v>95246</v>
      </c>
      <c r="K179" s="213">
        <f>IF($F179="","",'תחום תמיכה א'!$K179)</f>
        <v>0</v>
      </c>
      <c r="L179" s="213">
        <f t="shared" si="26"/>
        <v>133971</v>
      </c>
      <c r="M179" s="214">
        <f t="shared" si="27"/>
        <v>0.28905509401288337</v>
      </c>
      <c r="N179" s="214">
        <f t="shared" si="36"/>
        <v>0.71094490598711668</v>
      </c>
      <c r="O179" s="213">
        <f t="shared" si="28"/>
        <v>67714.658515648916</v>
      </c>
      <c r="P179" s="213">
        <f>IF($F179="","",'פרמטרים לקריטריונים'!$C$59*O179)</f>
        <v>20314.397554694675</v>
      </c>
      <c r="Q179" s="214">
        <f t="shared" si="29"/>
        <v>1.1541198847986024E-4</v>
      </c>
      <c r="R179" s="213">
        <f t="shared" si="37"/>
        <v>11541.198847986025</v>
      </c>
      <c r="S179" s="213">
        <f>IF($F179="","",'הזנה לתנאי סף'!N179)</f>
        <v>0</v>
      </c>
      <c r="T179" s="213">
        <f>IF($F179="","",'הזנה לתנאי סף'!O179)</f>
        <v>1</v>
      </c>
      <c r="U179" s="213">
        <f>IF($F179="","",'תחום תמיכה א'!W179)</f>
        <v>0</v>
      </c>
      <c r="V179" s="213">
        <f>IF($F179="","",'תחום תמיכה א'!X179)</f>
        <v>0</v>
      </c>
      <c r="W179" s="213">
        <f>IF($F179="","",'תחום תמיכה א'!Y179)</f>
        <v>1</v>
      </c>
      <c r="X179" s="231">
        <f>IF($F179="","",'תחום תמיכה א'!Z179)</f>
        <v>0</v>
      </c>
      <c r="Y179" s="213" t="str">
        <f>IF($F179="","",'תחום תמיכה א'!AA179)</f>
        <v/>
      </c>
      <c r="Z179" s="214" t="str">
        <f>IF($F179="","",'תחום תמיכה א'!AB179)</f>
        <v/>
      </c>
      <c r="AA179" s="225" t="str">
        <f>IF($F179="","",'תחום תמיכה א'!AC179)</f>
        <v/>
      </c>
      <c r="AB179" s="213" t="str">
        <f t="shared" si="30"/>
        <v/>
      </c>
      <c r="AC179" s="213">
        <f t="shared" si="31"/>
        <v>11541.198847986025</v>
      </c>
      <c r="AD179" s="214">
        <f t="shared" si="32"/>
        <v>1.1566527608043668E-4</v>
      </c>
      <c r="AE179" s="213">
        <f t="shared" si="35"/>
        <v>11887.26229843685</v>
      </c>
      <c r="AF179" s="214">
        <f t="shared" si="33"/>
        <v>1.1566527608043671E-4</v>
      </c>
    </row>
    <row r="180" spans="1:32" ht="15.75" x14ac:dyDescent="0.2">
      <c r="A180" s="206">
        <f t="shared" si="34"/>
        <v>150</v>
      </c>
      <c r="B180" s="88">
        <f>IF($F180="","",'הזנה לתנאי סף'!C180)</f>
        <v>1001351065</v>
      </c>
      <c r="C180" s="88">
        <f>IF($F180="","",'הזנה לתנאי סף'!D180)</f>
        <v>1001302359</v>
      </c>
      <c r="D180" s="88">
        <f>IF($F180="","",'הזנה לתנאי סף'!E180)</f>
        <v>41635262</v>
      </c>
      <c r="E180" s="88">
        <f>IF($F180="","",'הזנה לתנאי סף'!F180)</f>
        <v>20000231</v>
      </c>
      <c r="F180" s="88" t="str">
        <f>IF(OR('הזנה לתנאי סף'!G180="",'הזנה לתנאי סף'!BL180&lt;&gt;1,'הזנה לתנאי סף'!Q180&lt;&gt;1),"",'הזנה לתנאי סף'!G180)</f>
        <v>נצרת</v>
      </c>
      <c r="G180" s="88" t="str">
        <f>IF($F180="","",'הזנה לתנאי סף'!H180)</f>
        <v>אלמדינה לתרבות ואומנות</v>
      </c>
      <c r="H180" s="88" t="str">
        <f>IF($F180="","",'הזנה לתנאי סף'!I180)</f>
        <v>אחר</v>
      </c>
      <c r="I180" s="213">
        <f>IF($F180="","",'תחום תמיכה א'!$I180)</f>
        <v>0</v>
      </c>
      <c r="J180" s="213">
        <f>IF($F180="","",'תחום תמיכה א'!$J180)</f>
        <v>454330</v>
      </c>
      <c r="K180" s="213">
        <f>IF($F180="","",'תחום תמיכה א'!$K180)</f>
        <v>0</v>
      </c>
      <c r="L180" s="213">
        <f t="shared" si="26"/>
        <v>454330</v>
      </c>
      <c r="M180" s="214">
        <f t="shared" si="27"/>
        <v>0</v>
      </c>
      <c r="N180" s="214">
        <f t="shared" si="36"/>
        <v>1</v>
      </c>
      <c r="O180" s="213">
        <f t="shared" si="28"/>
        <v>454330</v>
      </c>
      <c r="P180" s="213">
        <f>IF($F180="","",'פרמטרים לקריטריונים'!$C$59*O180)</f>
        <v>136299</v>
      </c>
      <c r="Q180" s="214">
        <f t="shared" si="29"/>
        <v>7.7435417789099685E-4</v>
      </c>
      <c r="R180" s="213">
        <f t="shared" si="37"/>
        <v>77435.41778909968</v>
      </c>
      <c r="S180" s="213">
        <f>IF($F180="","",'הזנה לתנאי סף'!N180)</f>
        <v>0</v>
      </c>
      <c r="T180" s="213">
        <f>IF($F180="","",'הזנה לתנאי סף'!O180)</f>
        <v>1</v>
      </c>
      <c r="U180" s="213">
        <f>IF($F180="","",'תחום תמיכה א'!W180)</f>
        <v>0</v>
      </c>
      <c r="V180" s="213">
        <f>IF($F180="","",'תחום תמיכה א'!X180)</f>
        <v>0</v>
      </c>
      <c r="W180" s="213">
        <f>IF($F180="","",'תחום תמיכה א'!Y180)</f>
        <v>1</v>
      </c>
      <c r="X180" s="231">
        <f>IF($F180="","",'תחום תמיכה א'!Z180)</f>
        <v>0</v>
      </c>
      <c r="Y180" s="213" t="str">
        <f>IF($F180="","",'תחום תמיכה א'!AA180)</f>
        <v/>
      </c>
      <c r="Z180" s="214" t="str">
        <f>IF($F180="","",'תחום תמיכה א'!AB180)</f>
        <v/>
      </c>
      <c r="AA180" s="225" t="str">
        <f>IF($F180="","",'תחום תמיכה א'!AC180)</f>
        <v/>
      </c>
      <c r="AB180" s="213" t="str">
        <f t="shared" si="30"/>
        <v/>
      </c>
      <c r="AC180" s="213">
        <f t="shared" si="31"/>
        <v>77435.41778909968</v>
      </c>
      <c r="AD180" s="214">
        <f t="shared" si="32"/>
        <v>7.7605360543139118E-4</v>
      </c>
      <c r="AE180" s="213">
        <f t="shared" si="35"/>
        <v>79757.322837280473</v>
      </c>
      <c r="AF180" s="214">
        <f t="shared" si="33"/>
        <v>7.760536054313914E-4</v>
      </c>
    </row>
    <row r="181" spans="1:32" ht="15.75" x14ac:dyDescent="0.2">
      <c r="A181" s="206">
        <f t="shared" si="34"/>
        <v>151</v>
      </c>
      <c r="B181" s="88">
        <f>IF($F181="","",'הזנה לתנאי סף'!C181)</f>
        <v>1001348955</v>
      </c>
      <c r="C181" s="88">
        <f>IF($F181="","",'הזנה לתנאי סף'!D181)</f>
        <v>1001348955</v>
      </c>
      <c r="D181" s="88">
        <f>IF($F181="","",'הזנה לתנאי סף'!E181)</f>
        <v>41905827</v>
      </c>
      <c r="E181" s="88">
        <f>IF($F181="","",'הזנה לתנאי סף'!F181)</f>
        <v>20000189</v>
      </c>
      <c r="F181" s="88" t="str">
        <f>IF(OR('הזנה לתנאי סף'!G181="",'הזנה לתנאי סף'!BL181&lt;&gt;1,'הזנה לתנאי סף'!Q181&lt;&gt;1),"",'הזנה לתנאי סף'!G181)</f>
        <v>מסעדה</v>
      </c>
      <c r="G181" s="88" t="str">
        <f>IF($F181="","",'הזנה לתנאי סף'!H181)</f>
        <v>גולן הייטז ארטיסטיק פרודקשין</v>
      </c>
      <c r="H181" s="88" t="str">
        <f>IF($F181="","",'הזנה לתנאי סף'!I181)</f>
        <v>תיאטרון</v>
      </c>
      <c r="I181" s="213">
        <f>IF($F181="","",'תחום תמיכה א'!$I181)</f>
        <v>0</v>
      </c>
      <c r="J181" s="213">
        <f>IF($F181="","",'תחום תמיכה א'!$J181)</f>
        <v>227270</v>
      </c>
      <c r="K181" s="213">
        <f>IF($F181="","",'תחום תמיכה א'!$K181)</f>
        <v>0</v>
      </c>
      <c r="L181" s="213">
        <f t="shared" si="26"/>
        <v>227270</v>
      </c>
      <c r="M181" s="214">
        <f t="shared" si="27"/>
        <v>0</v>
      </c>
      <c r="N181" s="214">
        <f t="shared" si="36"/>
        <v>1</v>
      </c>
      <c r="O181" s="213">
        <f t="shared" si="28"/>
        <v>227270</v>
      </c>
      <c r="P181" s="213">
        <f>IF($F181="","",'פרמטרים לקריטריונים'!$C$59*O181)</f>
        <v>68181</v>
      </c>
      <c r="Q181" s="214">
        <f t="shared" si="29"/>
        <v>3.8735604958793575E-4</v>
      </c>
      <c r="R181" s="213">
        <f t="shared" si="37"/>
        <v>38735.604958793578</v>
      </c>
      <c r="S181" s="213">
        <f>IF($F181="","",'הזנה לתנאי סף'!N181)</f>
        <v>0</v>
      </c>
      <c r="T181" s="213">
        <f>IF($F181="","",'הזנה לתנאי סף'!O181)</f>
        <v>1</v>
      </c>
      <c r="U181" s="213">
        <f>IF($F181="","",'תחום תמיכה א'!W181)</f>
        <v>0</v>
      </c>
      <c r="V181" s="213">
        <f>IF($F181="","",'תחום תמיכה א'!X181)</f>
        <v>0</v>
      </c>
      <c r="W181" s="213">
        <f>IF($F181="","",'תחום תמיכה א'!Y181)</f>
        <v>1</v>
      </c>
      <c r="X181" s="231">
        <f>IF($F181="","",'תחום תמיכה א'!Z181)</f>
        <v>0</v>
      </c>
      <c r="Y181" s="213" t="str">
        <f>IF($F181="","",'תחום תמיכה א'!AA181)</f>
        <v/>
      </c>
      <c r="Z181" s="214" t="str">
        <f>IF($F181="","",'תחום תמיכה א'!AB181)</f>
        <v/>
      </c>
      <c r="AA181" s="225" t="str">
        <f>IF($F181="","",'תחום תמיכה א'!AC181)</f>
        <v/>
      </c>
      <c r="AB181" s="213" t="str">
        <f t="shared" si="30"/>
        <v/>
      </c>
      <c r="AC181" s="213">
        <f t="shared" si="31"/>
        <v>38735.604958793578</v>
      </c>
      <c r="AD181" s="214">
        <f t="shared" si="32"/>
        <v>3.8820615611206012E-4</v>
      </c>
      <c r="AE181" s="213">
        <f t="shared" si="35"/>
        <v>39897.094097305337</v>
      </c>
      <c r="AF181" s="214">
        <f t="shared" si="33"/>
        <v>3.8820615611206023E-4</v>
      </c>
    </row>
    <row r="182" spans="1:32" ht="15.75" x14ac:dyDescent="0.2">
      <c r="A182" s="206">
        <f t="shared" si="34"/>
        <v>152</v>
      </c>
      <c r="B182" s="88">
        <f>IF($F182="","",'הזנה לתנאי סף'!C182)</f>
        <v>1001347088</v>
      </c>
      <c r="C182" s="88">
        <f>IF($F182="","",'הזנה לתנאי סף'!D182)</f>
        <v>1001301993</v>
      </c>
      <c r="D182" s="88">
        <f>IF($F182="","",'הזנה לתנאי סף'!E182)</f>
        <v>42000072</v>
      </c>
      <c r="E182" s="88">
        <f>IF($F182="","",'הזנה לתנאי סף'!F182)</f>
        <v>20000055</v>
      </c>
      <c r="F182" s="88" t="str">
        <f>IF(OR('הזנה לתנאי סף'!G182="",'הזנה לתנאי סף'!BL182&lt;&gt;1,'הזנה לתנאי סף'!Q182&lt;&gt;1),"",'הזנה לתנאי סף'!G182)</f>
        <v>מג'ד אל-כרום</v>
      </c>
      <c r="G182" s="88" t="str">
        <f>IF($F182="","",'הזנה לתנאי סף'!H182)</f>
        <v>כנארי עמותה לקידום המוסיקה והשירה</v>
      </c>
      <c r="H182" s="88" t="str">
        <f>IF($F182="","",'הזנה לתנאי סף'!I182)</f>
        <v>אחר</v>
      </c>
      <c r="I182" s="213">
        <f>IF($F182="","",'תחום תמיכה א'!$I182)</f>
        <v>0</v>
      </c>
      <c r="J182" s="213">
        <f>IF($F182="","",'תחום תמיכה א'!$J182)</f>
        <v>174450</v>
      </c>
      <c r="K182" s="213">
        <f>IF($F182="","",'תחום תמיכה א'!$K182)</f>
        <v>0</v>
      </c>
      <c r="L182" s="213">
        <f t="shared" si="26"/>
        <v>174450</v>
      </c>
      <c r="M182" s="214">
        <f t="shared" si="27"/>
        <v>0</v>
      </c>
      <c r="N182" s="214">
        <f t="shared" si="36"/>
        <v>1</v>
      </c>
      <c r="O182" s="213">
        <f t="shared" si="28"/>
        <v>174450</v>
      </c>
      <c r="P182" s="213">
        <f>IF($F182="","",'פרמטרים לקריטריונים'!$C$59*O182)</f>
        <v>52335</v>
      </c>
      <c r="Q182" s="214">
        <f t="shared" si="29"/>
        <v>2.9733032450660177E-4</v>
      </c>
      <c r="R182" s="213">
        <f t="shared" si="37"/>
        <v>29733.032450660176</v>
      </c>
      <c r="S182" s="213">
        <f>IF($F182="","",'הזנה לתנאי סף'!N182)</f>
        <v>0</v>
      </c>
      <c r="T182" s="213">
        <f>IF($F182="","",'הזנה לתנאי סף'!O182)</f>
        <v>1</v>
      </c>
      <c r="U182" s="213">
        <f>IF($F182="","",'תחום תמיכה א'!W182)</f>
        <v>0</v>
      </c>
      <c r="V182" s="213">
        <f>IF($F182="","",'תחום תמיכה א'!X182)</f>
        <v>0</v>
      </c>
      <c r="W182" s="213">
        <f>IF($F182="","",'תחום תמיכה א'!Y182)</f>
        <v>1</v>
      </c>
      <c r="X182" s="231">
        <f>IF($F182="","",'תחום תמיכה א'!Z182)</f>
        <v>0</v>
      </c>
      <c r="Y182" s="213" t="str">
        <f>IF($F182="","",'תחום תמיכה א'!AA182)</f>
        <v/>
      </c>
      <c r="Z182" s="214" t="str">
        <f>IF($F182="","",'תחום תמיכה א'!AB182)</f>
        <v/>
      </c>
      <c r="AA182" s="225" t="str">
        <f>IF($F182="","",'תחום תמיכה א'!AC182)</f>
        <v/>
      </c>
      <c r="AB182" s="213" t="str">
        <f t="shared" si="30"/>
        <v/>
      </c>
      <c r="AC182" s="213">
        <f t="shared" si="31"/>
        <v>29733.032450660176</v>
      </c>
      <c r="AD182" s="214">
        <f t="shared" si="32"/>
        <v>2.9798285710278026E-4</v>
      </c>
      <c r="AE182" s="213">
        <f t="shared" si="35"/>
        <v>30624.578982157411</v>
      </c>
      <c r="AF182" s="214">
        <f t="shared" si="33"/>
        <v>2.9798285710278037E-4</v>
      </c>
    </row>
    <row r="183" spans="1:32" ht="15.75" x14ac:dyDescent="0.2">
      <c r="A183" s="206">
        <f t="shared" si="34"/>
        <v>153</v>
      </c>
      <c r="B183" s="88">
        <f>IF($F183="","",'הזנה לתנאי סף'!C183)</f>
        <v>1001348513</v>
      </c>
      <c r="C183" s="88">
        <f>IF($F183="","",'הזנה לתנאי סף'!D183)</f>
        <v>1001271351</v>
      </c>
      <c r="D183" s="88">
        <f>IF($F183="","",'הזנה לתנאי סף'!E183)</f>
        <v>40000594</v>
      </c>
      <c r="E183" s="88">
        <f>IF($F183="","",'הזנה לתנאי סף'!F183)</f>
        <v>20000185</v>
      </c>
      <c r="F183" s="88" t="str">
        <f>IF(OR('הזנה לתנאי סף'!G183="",'הזנה לתנאי סף'!BL183&lt;&gt;1,'הזנה לתנאי סף'!Q183&lt;&gt;1),"",'הזנה לתנאי סף'!G183)</f>
        <v>עמק חפר</v>
      </c>
      <c r="G183" s="88" t="str">
        <f>IF($F183="","",'הזנה לתנאי סף'!H183)</f>
        <v>עמותת מקהלות מורן והבית לשירה בישרא</v>
      </c>
      <c r="H183" s="88" t="str">
        <f>IF($F183="","",'הזנה לתנאי סף'!I183)</f>
        <v>מקהלות</v>
      </c>
      <c r="I183" s="213">
        <f>IF($F183="","",'תחום תמיכה א'!$I183)</f>
        <v>110053</v>
      </c>
      <c r="J183" s="213">
        <f>IF($F183="","",'תחום תמיכה א'!$J183)</f>
        <v>112516</v>
      </c>
      <c r="K183" s="213">
        <f>IF($F183="","",'תחום תמיכה א'!$K183)</f>
        <v>0</v>
      </c>
      <c r="L183" s="213">
        <f t="shared" si="26"/>
        <v>222569</v>
      </c>
      <c r="M183" s="214">
        <f t="shared" si="27"/>
        <v>0.49446688442685188</v>
      </c>
      <c r="N183" s="214">
        <f t="shared" si="36"/>
        <v>0.50553311557314817</v>
      </c>
      <c r="O183" s="213">
        <f t="shared" si="28"/>
        <v>56880.56403182834</v>
      </c>
      <c r="P183" s="213">
        <f>IF($F183="","",'פרמטרים לקריטריונים'!$C$59*O183)</f>
        <v>17064.169209548501</v>
      </c>
      <c r="Q183" s="214">
        <f t="shared" si="29"/>
        <v>9.6946497917466674E-5</v>
      </c>
      <c r="R183" s="213">
        <f t="shared" si="37"/>
        <v>9694.6497917466677</v>
      </c>
      <c r="S183" s="213">
        <f>IF($F183="","",'הזנה לתנאי סף'!N183)</f>
        <v>0</v>
      </c>
      <c r="T183" s="213">
        <f>IF($F183="","",'הזנה לתנאי סף'!O183)</f>
        <v>1</v>
      </c>
      <c r="U183" s="213">
        <f>IF($F183="","",'תחום תמיכה א'!W183)</f>
        <v>0</v>
      </c>
      <c r="V183" s="213">
        <f>IF($F183="","",'תחום תמיכה א'!X183)</f>
        <v>0</v>
      </c>
      <c r="W183" s="213">
        <f>IF($F183="","",'תחום תמיכה א'!Y183)</f>
        <v>1</v>
      </c>
      <c r="X183" s="231">
        <f>IF($F183="","",'תחום תמיכה א'!Z183)</f>
        <v>0</v>
      </c>
      <c r="Y183" s="213" t="str">
        <f>IF($F183="","",'תחום תמיכה א'!AA183)</f>
        <v/>
      </c>
      <c r="Z183" s="214" t="str">
        <f>IF($F183="","",'תחום תמיכה א'!AB183)</f>
        <v/>
      </c>
      <c r="AA183" s="225" t="str">
        <f>IF($F183="","",'תחום תמיכה א'!AC183)</f>
        <v/>
      </c>
      <c r="AB183" s="213" t="str">
        <f t="shared" si="30"/>
        <v/>
      </c>
      <c r="AC183" s="213">
        <f t="shared" si="31"/>
        <v>9694.6497917466677</v>
      </c>
      <c r="AD183" s="214">
        <f t="shared" si="32"/>
        <v>9.7159260440366006E-5</v>
      </c>
      <c r="AE183" s="213">
        <f t="shared" si="35"/>
        <v>9985.3443722693555</v>
      </c>
      <c r="AF183" s="214">
        <f t="shared" si="33"/>
        <v>9.7159260440366033E-5</v>
      </c>
    </row>
    <row r="184" spans="1:32" ht="15.75" x14ac:dyDescent="0.2">
      <c r="A184" s="206">
        <f t="shared" si="34"/>
        <v>154</v>
      </c>
      <c r="B184" s="88">
        <f>IF($F184="","",'הזנה לתנאי סף'!C184)</f>
        <v>1001347628</v>
      </c>
      <c r="C184" s="88">
        <f>IF($F184="","",'הזנה לתנאי סף'!D184)</f>
        <v>1001263875</v>
      </c>
      <c r="D184" s="88">
        <f>IF($F184="","",'הזנה לתנאי סף'!E184)</f>
        <v>40384415</v>
      </c>
      <c r="E184" s="88">
        <f>IF($F184="","",'הזנה לתנאי סף'!F184)</f>
        <v>20000095</v>
      </c>
      <c r="F184" s="88" t="str">
        <f>IF(OR('הזנה לתנאי סף'!G184="",'הזנה לתנאי סף'!BL184&lt;&gt;1,'הזנה לתנאי סף'!Q184&lt;&gt;1),"",'הזנה לתנאי סף'!G184)</f>
        <v>מטה יהודה</v>
      </c>
      <c r="G184" s="88" t="str">
        <f>IF($F184="","",'הזנה לתנאי סף'!H184)</f>
        <v>סינמטק ראש פינה (ע"ר)</v>
      </c>
      <c r="H184" s="88" t="str">
        <f>IF($F184="","",'הזנה לתנאי סף'!I184)</f>
        <v>סינמטקים ופסטיבלים</v>
      </c>
      <c r="I184" s="213">
        <f>IF($F184="","",'תחום תמיכה א'!$I184)</f>
        <v>361823</v>
      </c>
      <c r="J184" s="213">
        <f>IF($F184="","",'תחום תמיכה א'!$J184)</f>
        <v>1453848</v>
      </c>
      <c r="K184" s="213">
        <f>IF($F184="","",'תחום תמיכה א'!$K184)</f>
        <v>0</v>
      </c>
      <c r="L184" s="213">
        <f t="shared" si="26"/>
        <v>1815671</v>
      </c>
      <c r="M184" s="214">
        <f t="shared" si="27"/>
        <v>0.19927784273692756</v>
      </c>
      <c r="N184" s="214">
        <f t="shared" si="36"/>
        <v>0.8007221572630725</v>
      </c>
      <c r="O184" s="213">
        <f t="shared" si="28"/>
        <v>1164128.3068926034</v>
      </c>
      <c r="P184" s="213">
        <f>IF($F184="","",'פרמטרים לקריטריונים'!$C$59*O184)</f>
        <v>349238.49206778099</v>
      </c>
      <c r="Q184" s="214">
        <f t="shared" si="29"/>
        <v>1.9841252350570287E-3</v>
      </c>
      <c r="R184" s="213">
        <f t="shared" si="37"/>
        <v>198412.52350570288</v>
      </c>
      <c r="S184" s="213">
        <f>IF($F184="","",'הזנה לתנאי סף'!N184)</f>
        <v>1</v>
      </c>
      <c r="T184" s="213">
        <f>IF($F184="","",'הזנה לתנאי סף'!O184)</f>
        <v>1</v>
      </c>
      <c r="U184" s="213">
        <f>IF($F184="","",'תחום תמיכה א'!W184)</f>
        <v>0</v>
      </c>
      <c r="V184" s="213">
        <f>IF($F184="","",'תחום תמיכה א'!X184)</f>
        <v>0</v>
      </c>
      <c r="W184" s="213">
        <f>IF($F184="","",'תחום תמיכה א'!Y184)</f>
        <v>0</v>
      </c>
      <c r="X184" s="231" t="str">
        <f>IF($F184="","",'תחום תמיכה א'!Z184)</f>
        <v>בדוק נתוני הזנה</v>
      </c>
      <c r="Y184" s="213" t="str">
        <f>IF($F184="","",'תחום תמיכה א'!AA184)</f>
        <v>בדוק נתוני הזנה</v>
      </c>
      <c r="Z184" s="214">
        <f>IF($F184="","",'תחום תמיכה א'!AB184)</f>
        <v>0</v>
      </c>
      <c r="AA184" s="225" t="str">
        <f>IF($F184="","",'תחום תמיכה א'!AC184)</f>
        <v/>
      </c>
      <c r="AB184" s="213" t="str">
        <f t="shared" si="30"/>
        <v/>
      </c>
      <c r="AC184" s="213">
        <f t="shared" si="31"/>
        <v>198412.52350570288</v>
      </c>
      <c r="AD184" s="214">
        <f t="shared" si="32"/>
        <v>1.9884796728121537E-3</v>
      </c>
      <c r="AE184" s="213">
        <f t="shared" si="35"/>
        <v>204361.93338949679</v>
      </c>
      <c r="AF184" s="214">
        <f t="shared" si="33"/>
        <v>1.9884796728121541E-3</v>
      </c>
    </row>
    <row r="185" spans="1:32" ht="15.75" x14ac:dyDescent="0.2">
      <c r="A185" s="206">
        <f t="shared" si="34"/>
        <v>155</v>
      </c>
      <c r="B185" s="88">
        <f>IF($F185="","",'הזנה לתנאי סף'!C185)</f>
        <v>1001349214</v>
      </c>
      <c r="C185" s="88">
        <f>IF($F185="","",'הזנה לתנאי סף'!D185)</f>
        <v>1001275601</v>
      </c>
      <c r="D185" s="88">
        <f>IF($F185="","",'הזנה לתנאי סף'!E185)</f>
        <v>40395783</v>
      </c>
      <c r="E185" s="88">
        <f>IF($F185="","",'הזנה לתנאי סף'!F185)</f>
        <v>20000139</v>
      </c>
      <c r="F185" s="88" t="str">
        <f>IF(OR('הזנה לתנאי סף'!G185="",'הזנה לתנאי סף'!BL185&lt;&gt;1,'הזנה לתנאי סף'!Q185&lt;&gt;1),"",'הזנה לתנאי סף'!G185)</f>
        <v>מטה אשר</v>
      </c>
      <c r="G185" s="88" t="str">
        <f>IF($F185="","",'הזנה לתנאי סף'!H185)</f>
        <v>להקת המחול הקיבוצית (ע"ר)</v>
      </c>
      <c r="H185" s="88" t="str">
        <f>IF($F185="","",'הזנה לתנאי סף'!I185)</f>
        <v>מחול</v>
      </c>
      <c r="I185" s="213">
        <f>IF($F185="","",'תחום תמיכה א'!$I185)</f>
        <v>9394488</v>
      </c>
      <c r="J185" s="213">
        <f>IF($F185="","",'תחום תמיכה א'!$J185)</f>
        <v>9293339</v>
      </c>
      <c r="K185" s="213">
        <f>IF($F185="","",'תחום תמיכה א'!$K185)</f>
        <v>400</v>
      </c>
      <c r="L185" s="213">
        <f t="shared" si="26"/>
        <v>18688227</v>
      </c>
      <c r="M185" s="214">
        <f t="shared" si="27"/>
        <v>0.50269552055419708</v>
      </c>
      <c r="N185" s="214">
        <f t="shared" si="36"/>
        <v>0.49730447944580292</v>
      </c>
      <c r="O185" s="213">
        <f t="shared" si="28"/>
        <v>4621619.1137083787</v>
      </c>
      <c r="P185" s="213">
        <f>IF($F185="","",'פרמטרים לקריטריונים'!$C$59*O185)</f>
        <v>1386485.7341125135</v>
      </c>
      <c r="Q185" s="214">
        <f t="shared" si="29"/>
        <v>7.8770278637135312E-3</v>
      </c>
      <c r="R185" s="213">
        <f t="shared" si="37"/>
        <v>787702.78637135308</v>
      </c>
      <c r="S185" s="213">
        <f>IF($F185="","",'הזנה לתנאי סף'!N185)</f>
        <v>0</v>
      </c>
      <c r="T185" s="213">
        <f>IF($F185="","",'הזנה לתנאי סף'!O185)</f>
        <v>1</v>
      </c>
      <c r="U185" s="213">
        <f>IF($F185="","",'תחום תמיכה א'!W185)</f>
        <v>0</v>
      </c>
      <c r="V185" s="213">
        <f>IF($F185="","",'תחום תמיכה א'!X185)</f>
        <v>0</v>
      </c>
      <c r="W185" s="213">
        <f>IF($F185="","",'תחום תמיכה א'!Y185)</f>
        <v>1</v>
      </c>
      <c r="X185" s="231">
        <f>IF($F185="","",'תחום תמיכה א'!Z185)</f>
        <v>0</v>
      </c>
      <c r="Y185" s="213" t="str">
        <f>IF($F185="","",'תחום תמיכה א'!AA185)</f>
        <v/>
      </c>
      <c r="Z185" s="214" t="str">
        <f>IF($F185="","",'תחום תמיכה א'!AB185)</f>
        <v/>
      </c>
      <c r="AA185" s="225" t="str">
        <f>IF($F185="","",'תחום תמיכה א'!AC185)</f>
        <v/>
      </c>
      <c r="AB185" s="213" t="str">
        <f t="shared" si="30"/>
        <v/>
      </c>
      <c r="AC185" s="213">
        <f t="shared" si="31"/>
        <v>787702.78637135308</v>
      </c>
      <c r="AD185" s="214">
        <f t="shared" si="32"/>
        <v>7.8943150928268389E-3</v>
      </c>
      <c r="AE185" s="213">
        <f t="shared" si="35"/>
        <v>811322.09557587025</v>
      </c>
      <c r="AF185" s="214">
        <f t="shared" si="33"/>
        <v>7.8943150928268389E-3</v>
      </c>
    </row>
    <row r="186" spans="1:32" ht="15.75" x14ac:dyDescent="0.2">
      <c r="A186" s="206">
        <f t="shared" si="34"/>
        <v>156</v>
      </c>
      <c r="B186" s="88">
        <f>IF($F186="","",'הזנה לתנאי סף'!C186)</f>
        <v>1001350960</v>
      </c>
      <c r="C186" s="88">
        <f>IF($F186="","",'הזנה לתנאי סף'!D186)</f>
        <v>1001273357</v>
      </c>
      <c r="D186" s="88">
        <f>IF($F186="","",'הזנה לתנאי סף'!E186)</f>
        <v>40404400</v>
      </c>
      <c r="E186" s="88">
        <f>IF($F186="","",'הזנה לתנאי סף'!F186)</f>
        <v>20000159</v>
      </c>
      <c r="F186" s="88" t="str">
        <f>IF(OR('הזנה לתנאי סף'!G186="",'הזנה לתנאי סף'!BL186&lt;&gt;1,'הזנה לתנאי סף'!Q186&lt;&gt;1),"",'הזנה לתנאי סף'!G186)</f>
        <v>ירושלים</v>
      </c>
      <c r="G186" s="88" t="str">
        <f>IF($F186="","",'הזנה לתנאי סף'!H186)</f>
        <v>סדנאות האמנים</v>
      </c>
      <c r="H186" s="88" t="str">
        <f>IF($F186="","",'הזנה לתנאי סף'!I186)</f>
        <v>אחר</v>
      </c>
      <c r="I186" s="213">
        <f>IF($F186="","",'תחום תמיכה א'!$I186)</f>
        <v>539088</v>
      </c>
      <c r="J186" s="213">
        <f>IF($F186="","",'תחום תמיכה א'!$J186)</f>
        <v>513552</v>
      </c>
      <c r="K186" s="213">
        <f>IF($F186="","",'תחום תמיכה א'!$K186)</f>
        <v>0</v>
      </c>
      <c r="L186" s="213">
        <f t="shared" si="26"/>
        <v>1052640</v>
      </c>
      <c r="M186" s="214">
        <f t="shared" si="27"/>
        <v>0.5121295029639763</v>
      </c>
      <c r="N186" s="214">
        <f t="shared" si="36"/>
        <v>0.4878704970360237</v>
      </c>
      <c r="O186" s="213">
        <f t="shared" si="28"/>
        <v>250546.86949384405</v>
      </c>
      <c r="P186" s="213">
        <f>IF($F186="","",'פרמטרים לקריטריונים'!$C$59*O186)</f>
        <v>75164.060848153211</v>
      </c>
      <c r="Q186" s="214">
        <f t="shared" si="29"/>
        <v>4.270288450026819E-4</v>
      </c>
      <c r="R186" s="213">
        <f t="shared" si="37"/>
        <v>42702.884500268192</v>
      </c>
      <c r="S186" s="213">
        <f>IF($F186="","",'הזנה לתנאי סף'!N186)</f>
        <v>1</v>
      </c>
      <c r="T186" s="213">
        <f>IF($F186="","",'הזנה לתנאי סף'!O186)</f>
        <v>1</v>
      </c>
      <c r="U186" s="213">
        <f>IF($F186="","",'תחום תמיכה א'!W186)</f>
        <v>0</v>
      </c>
      <c r="V186" s="213">
        <f>IF($F186="","",'תחום תמיכה א'!X186)</f>
        <v>0</v>
      </c>
      <c r="W186" s="213">
        <f>IF($F186="","",'תחום תמיכה א'!Y186)</f>
        <v>0</v>
      </c>
      <c r="X186" s="231" t="str">
        <f>IF($F186="","",'תחום תמיכה א'!Z186)</f>
        <v>בדוק נתוני הזנה</v>
      </c>
      <c r="Y186" s="213" t="str">
        <f>IF($F186="","",'תחום תמיכה א'!AA186)</f>
        <v>בדוק נתוני הזנה</v>
      </c>
      <c r="Z186" s="214">
        <f>IF($F186="","",'תחום תמיכה א'!AB186)</f>
        <v>0</v>
      </c>
      <c r="AA186" s="225" t="str">
        <f>IF($F186="","",'תחום תמיכה א'!AC186)</f>
        <v/>
      </c>
      <c r="AB186" s="213" t="str">
        <f t="shared" si="30"/>
        <v/>
      </c>
      <c r="AC186" s="213">
        <f t="shared" si="31"/>
        <v>42702.884500268192</v>
      </c>
      <c r="AD186" s="214">
        <f t="shared" si="32"/>
        <v>4.2796601897353444E-4</v>
      </c>
      <c r="AE186" s="213">
        <f t="shared" si="35"/>
        <v>43983.332723109845</v>
      </c>
      <c r="AF186" s="214">
        <f t="shared" si="33"/>
        <v>4.279660189735345E-4</v>
      </c>
    </row>
    <row r="187" spans="1:32" ht="15.75" x14ac:dyDescent="0.2">
      <c r="A187" s="206">
        <f t="shared" si="34"/>
        <v>157</v>
      </c>
      <c r="B187" s="88">
        <f>IF($F187="","",'הזנה לתנאי סף'!C187)</f>
        <v>1001347605</v>
      </c>
      <c r="C187" s="88">
        <f>IF($F187="","",'הזנה לתנאי סף'!D187)</f>
        <v>1001268753</v>
      </c>
      <c r="D187" s="88">
        <f>IF($F187="","",'הזנה לתנאי סף'!E187)</f>
        <v>40507218</v>
      </c>
      <c r="E187" s="88">
        <f>IF($F187="","",'הזנה לתנאי סף'!F187)</f>
        <v>20000122</v>
      </c>
      <c r="F187" s="88" t="str">
        <f>IF(OR('הזנה לתנאי סף'!G187="",'הזנה לתנאי סף'!BL187&lt;&gt;1,'הזנה לתנאי סף'!Q187&lt;&gt;1),"",'הזנה לתנאי סף'!G187)</f>
        <v>אלעד</v>
      </c>
      <c r="G187" s="88" t="str">
        <f>IF($F187="","",'הזנה לתנאי סף'!H187)</f>
        <v>ארגון אמנים משמחי לב (ע"ר)</v>
      </c>
      <c r="H187" s="88" t="str">
        <f>IF($F187="","",'הזנה לתנאי סף'!I187)</f>
        <v>תיאטרון</v>
      </c>
      <c r="I187" s="213">
        <f>IF($F187="","",'תחום תמיכה א'!$I187)</f>
        <v>0</v>
      </c>
      <c r="J187" s="213">
        <f>IF($F187="","",'תחום תמיכה א'!$J187)</f>
        <v>1809543</v>
      </c>
      <c r="K187" s="213">
        <f>IF($F187="","",'תחום תמיכה א'!$K187)</f>
        <v>0</v>
      </c>
      <c r="L187" s="213">
        <f t="shared" si="26"/>
        <v>1809543</v>
      </c>
      <c r="M187" s="214">
        <f t="shared" si="27"/>
        <v>0</v>
      </c>
      <c r="N187" s="214">
        <f t="shared" si="36"/>
        <v>1</v>
      </c>
      <c r="O187" s="213">
        <f t="shared" si="28"/>
        <v>1809543</v>
      </c>
      <c r="P187" s="213">
        <f>IF($F187="","",'פרמטרים לקריטריונים'!$C$59*O187)</f>
        <v>542862.9</v>
      </c>
      <c r="Q187" s="214">
        <f t="shared" si="29"/>
        <v>3.0841616933141285E-3</v>
      </c>
      <c r="R187" s="213">
        <f t="shared" si="37"/>
        <v>308416.16933141288</v>
      </c>
      <c r="S187" s="213">
        <f>IF($F187="","",'הזנה לתנאי סף'!N187)</f>
        <v>0</v>
      </c>
      <c r="T187" s="213">
        <f>IF($F187="","",'הזנה לתנאי סף'!O187)</f>
        <v>1</v>
      </c>
      <c r="U187" s="213">
        <f>IF($F187="","",'תחום תמיכה א'!W187)</f>
        <v>0</v>
      </c>
      <c r="V187" s="213">
        <f>IF($F187="","",'תחום תמיכה א'!X187)</f>
        <v>0</v>
      </c>
      <c r="W187" s="213">
        <f>IF($F187="","",'תחום תמיכה א'!Y187)</f>
        <v>1</v>
      </c>
      <c r="X187" s="231">
        <f>IF($F187="","",'תחום תמיכה א'!Z187)</f>
        <v>0</v>
      </c>
      <c r="Y187" s="213" t="str">
        <f>IF($F187="","",'תחום תמיכה א'!AA187)</f>
        <v/>
      </c>
      <c r="Z187" s="214" t="str">
        <f>IF($F187="","",'תחום תמיכה א'!AB187)</f>
        <v/>
      </c>
      <c r="AA187" s="225" t="str">
        <f>IF($F187="","",'תחום תמיכה א'!AC187)</f>
        <v/>
      </c>
      <c r="AB187" s="213" t="str">
        <f t="shared" si="30"/>
        <v/>
      </c>
      <c r="AC187" s="213">
        <f t="shared" si="31"/>
        <v>308416.16933141288</v>
      </c>
      <c r="AD187" s="214">
        <f t="shared" si="32"/>
        <v>3.0909303135014986E-3</v>
      </c>
      <c r="AE187" s="213">
        <f t="shared" si="35"/>
        <v>317664.04428266024</v>
      </c>
      <c r="AF187" s="214">
        <f t="shared" si="33"/>
        <v>3.0909303135014995E-3</v>
      </c>
    </row>
    <row r="188" spans="1:32" ht="15.75" x14ac:dyDescent="0.2">
      <c r="A188" s="206">
        <f t="shared" si="34"/>
        <v>158</v>
      </c>
      <c r="B188" s="88">
        <f>IF($F188="","",'הזנה לתנאי סף'!C188)</f>
        <v>1001347746</v>
      </c>
      <c r="C188" s="88">
        <f>IF($F188="","",'הזנה לתנאי סף'!D188)</f>
        <v>1001278693</v>
      </c>
      <c r="D188" s="88">
        <f>IF($F188="","",'הזנה לתנאי סף'!E188)</f>
        <v>40521896</v>
      </c>
      <c r="E188" s="88">
        <f>IF($F188="","",'הזנה לתנאי סף'!F188)</f>
        <v>20000254</v>
      </c>
      <c r="F188" s="88" t="str">
        <f>IF(OR('הזנה לתנאי סף'!G188="",'הזנה לתנאי סף'!BL188&lt;&gt;1,'הזנה לתנאי סף'!Q188&lt;&gt;1),"",'הזנה לתנאי סף'!G188)</f>
        <v>באר שבע</v>
      </c>
      <c r="G188" s="88" t="str">
        <f>IF($F188="","",'הזנה לתנאי סף'!H188)</f>
        <v>תיאטרון הפרינג' באר שבע (ע"ר)</v>
      </c>
      <c r="H188" s="88" t="str">
        <f>IF($F188="","",'הזנה לתנאי סף'!I188)</f>
        <v>אחר</v>
      </c>
      <c r="I188" s="213">
        <f>IF($F188="","",'תחום תמיכה א'!$I188)</f>
        <v>1183965</v>
      </c>
      <c r="J188" s="213">
        <f>IF($F188="","",'תחום תמיכה א'!$J188)</f>
        <v>808595</v>
      </c>
      <c r="K188" s="213">
        <f>IF($F188="","",'תחום תמיכה א'!$K188)</f>
        <v>0</v>
      </c>
      <c r="L188" s="213">
        <f t="shared" si="26"/>
        <v>1992560</v>
      </c>
      <c r="M188" s="214">
        <f t="shared" si="27"/>
        <v>0.59419289757899385</v>
      </c>
      <c r="N188" s="214">
        <f t="shared" si="36"/>
        <v>0.40580710242100615</v>
      </c>
      <c r="O188" s="213">
        <f t="shared" si="28"/>
        <v>328133.59398211347</v>
      </c>
      <c r="P188" s="213">
        <f>IF($F188="","",'פרמטרים לקריטריונים'!$C$59*O188)</f>
        <v>98440.078194634043</v>
      </c>
      <c r="Q188" s="214">
        <f t="shared" si="29"/>
        <v>5.5926665508867482E-4</v>
      </c>
      <c r="R188" s="213">
        <f t="shared" si="37"/>
        <v>55926.665508867482</v>
      </c>
      <c r="S188" s="213">
        <f>IF($F188="","",'הזנה לתנאי סף'!N188)</f>
        <v>1</v>
      </c>
      <c r="T188" s="213">
        <f>IF($F188="","",'הזנה לתנאי סף'!O188)</f>
        <v>1</v>
      </c>
      <c r="U188" s="213">
        <f>IF($F188="","",'תחום תמיכה א'!W188)</f>
        <v>0</v>
      </c>
      <c r="V188" s="213">
        <f>IF($F188="","",'תחום תמיכה א'!X188)</f>
        <v>0</v>
      </c>
      <c r="W188" s="213">
        <f>IF($F188="","",'תחום תמיכה א'!Y188)</f>
        <v>0</v>
      </c>
      <c r="X188" s="231" t="str">
        <f>IF($F188="","",'תחום תמיכה א'!Z188)</f>
        <v>בדוק נתוני הזנה</v>
      </c>
      <c r="Y188" s="213" t="str">
        <f>IF($F188="","",'תחום תמיכה א'!AA188)</f>
        <v>בדוק נתוני הזנה</v>
      </c>
      <c r="Z188" s="214">
        <f>IF($F188="","",'תחום תמיכה א'!AB188)</f>
        <v>0</v>
      </c>
      <c r="AA188" s="225" t="str">
        <f>IF($F188="","",'תחום תמיכה א'!AC188)</f>
        <v/>
      </c>
      <c r="AB188" s="213" t="str">
        <f t="shared" si="30"/>
        <v/>
      </c>
      <c r="AC188" s="213">
        <f t="shared" si="31"/>
        <v>55926.665508867482</v>
      </c>
      <c r="AD188" s="214">
        <f t="shared" si="32"/>
        <v>5.6049404325705856E-4</v>
      </c>
      <c r="AE188" s="213">
        <f t="shared" si="35"/>
        <v>57603.629496155962</v>
      </c>
      <c r="AF188" s="214">
        <f t="shared" si="33"/>
        <v>5.6049404325705867E-4</v>
      </c>
    </row>
    <row r="189" spans="1:32" ht="15.75" x14ac:dyDescent="0.2">
      <c r="A189" s="206">
        <f t="shared" si="34"/>
        <v>159</v>
      </c>
      <c r="B189" s="88">
        <f>IF($F189="","",'הזנה לתנאי סף'!C189)</f>
        <v>1001347757</v>
      </c>
      <c r="C189" s="88">
        <f>IF($F189="","",'הזנה לתנאי סף'!D189)</f>
        <v>1001278627</v>
      </c>
      <c r="D189" s="88">
        <f>IF($F189="","",'הזנה לתנאי סף'!E189)</f>
        <v>40521896</v>
      </c>
      <c r="E189" s="88">
        <f>IF($F189="","",'הזנה לתנאי סף'!F189)</f>
        <v>20000254</v>
      </c>
      <c r="F189" s="88" t="str">
        <f>IF(OR('הזנה לתנאי סף'!G189="",'הזנה לתנאי סף'!BL189&lt;&gt;1,'הזנה לתנאי סף'!Q189&lt;&gt;1),"",'הזנה לתנאי סף'!G189)</f>
        <v>באר שבע</v>
      </c>
      <c r="G189" s="88" t="str">
        <f>IF($F189="","",'הזנה לתנאי סף'!H189)</f>
        <v>תיאטרון הפרינג' באר שבע (ע"ר)</v>
      </c>
      <c r="H189" s="88" t="str">
        <f>IF($F189="","",'הזנה לתנאי סף'!I189)</f>
        <v>אחר</v>
      </c>
      <c r="I189" s="213">
        <f>IF($F189="","",'תחום תמיכה א'!$I189)</f>
        <v>730566</v>
      </c>
      <c r="J189" s="213">
        <f>IF($F189="","",'תחום תמיכה א'!$J189)</f>
        <v>601985</v>
      </c>
      <c r="K189" s="213">
        <f>IF($F189="","",'תחום תמיכה א'!$K189)</f>
        <v>0</v>
      </c>
      <c r="L189" s="213">
        <f t="shared" si="26"/>
        <v>1332551</v>
      </c>
      <c r="M189" s="214">
        <f t="shared" si="27"/>
        <v>0.54824618344813825</v>
      </c>
      <c r="N189" s="214">
        <f t="shared" si="36"/>
        <v>0.45175381655186175</v>
      </c>
      <c r="O189" s="213">
        <f t="shared" si="28"/>
        <v>271949.02125697251</v>
      </c>
      <c r="P189" s="213">
        <f>IF($F189="","",'פרמטרים לקריטריונים'!$C$59*O189)</f>
        <v>81584.706377091745</v>
      </c>
      <c r="Q189" s="214">
        <f t="shared" si="29"/>
        <v>4.6350639575573735E-4</v>
      </c>
      <c r="R189" s="213">
        <f t="shared" si="37"/>
        <v>46350.639575573732</v>
      </c>
      <c r="S189" s="213">
        <f>IF($F189="","",'הזנה לתנאי סף'!N189)</f>
        <v>1</v>
      </c>
      <c r="T189" s="213">
        <f>IF($F189="","",'הזנה לתנאי סף'!O189)</f>
        <v>1</v>
      </c>
      <c r="U189" s="213">
        <f>IF($F189="","",'תחום תמיכה א'!W189)</f>
        <v>0</v>
      </c>
      <c r="V189" s="213">
        <f>IF($F189="","",'תחום תמיכה א'!X189)</f>
        <v>0</v>
      </c>
      <c r="W189" s="213">
        <f>IF($F189="","",'תחום תמיכה א'!Y189)</f>
        <v>0</v>
      </c>
      <c r="X189" s="231" t="str">
        <f>IF($F189="","",'תחום תמיכה א'!Z189)</f>
        <v>בדוק נתוני הזנה</v>
      </c>
      <c r="Y189" s="213" t="str">
        <f>IF($F189="","",'תחום תמיכה א'!AA189)</f>
        <v>בדוק נתוני הזנה</v>
      </c>
      <c r="Z189" s="214">
        <f>IF($F189="","",'תחום תמיכה א'!AB189)</f>
        <v>1</v>
      </c>
      <c r="AA189" s="225" t="str">
        <f>IF($F189="","",'תחום תמיכה א'!AC189)</f>
        <v/>
      </c>
      <c r="AB189" s="213" t="str">
        <f t="shared" si="30"/>
        <v/>
      </c>
      <c r="AC189" s="213">
        <f t="shared" si="31"/>
        <v>46350.639575573732</v>
      </c>
      <c r="AD189" s="214">
        <f t="shared" si="32"/>
        <v>4.6452362476616453E-4</v>
      </c>
      <c r="AE189" s="213">
        <f t="shared" si="35"/>
        <v>47740.465924932985</v>
      </c>
      <c r="AF189" s="214">
        <f t="shared" si="33"/>
        <v>4.6452362476616464E-4</v>
      </c>
    </row>
    <row r="190" spans="1:32" ht="15.75" x14ac:dyDescent="0.2">
      <c r="A190" s="206">
        <f t="shared" si="34"/>
        <v>160</v>
      </c>
      <c r="B190" s="88">
        <f>IF($F190="","",'הזנה לתנאי סף'!C190)</f>
        <v>1001350316</v>
      </c>
      <c r="C190" s="88">
        <f>IF($F190="","",'הזנה לתנאי סף'!D190)</f>
        <v>1001265592</v>
      </c>
      <c r="D190" s="88">
        <f>IF($F190="","",'הזנה לתנאי סף'!E190)</f>
        <v>40521896</v>
      </c>
      <c r="E190" s="88">
        <f>IF($F190="","",'הזנה לתנאי סף'!F190)</f>
        <v>20000254</v>
      </c>
      <c r="F190" s="88" t="str">
        <f>IF(OR('הזנה לתנאי סף'!G190="",'הזנה לתנאי סף'!BL190&lt;&gt;1,'הזנה לתנאי סף'!Q190&lt;&gt;1),"",'הזנה לתנאי סף'!G190)</f>
        <v>באר שבע</v>
      </c>
      <c r="G190" s="88" t="str">
        <f>IF($F190="","",'הזנה לתנאי סף'!H190)</f>
        <v>תיאטרון הפרינג' באר שבע (ע"ר)</v>
      </c>
      <c r="H190" s="88" t="str">
        <f>IF($F190="","",'הזנה לתנאי סף'!I190)</f>
        <v>אחר</v>
      </c>
      <c r="I190" s="213">
        <f>IF($F190="","",'תחום תמיכה א'!$I190)</f>
        <v>347873</v>
      </c>
      <c r="J190" s="213">
        <f>IF($F190="","",'תחום תמיכה א'!$J190)</f>
        <v>495323</v>
      </c>
      <c r="K190" s="213">
        <f>IF($F190="","",'תחום תמיכה א'!$K190)</f>
        <v>0</v>
      </c>
      <c r="L190" s="213">
        <f t="shared" si="26"/>
        <v>843196</v>
      </c>
      <c r="M190" s="214">
        <f t="shared" si="27"/>
        <v>0.41256481292605751</v>
      </c>
      <c r="N190" s="214">
        <f t="shared" si="36"/>
        <v>0.58743518707394249</v>
      </c>
      <c r="O190" s="213">
        <f t="shared" si="28"/>
        <v>290970.1591670264</v>
      </c>
      <c r="P190" s="213">
        <f>IF($F190="","",'פרמטרים לקריטריונים'!$C$59*O190)</f>
        <v>87291.047750107915</v>
      </c>
      <c r="Q190" s="214">
        <f t="shared" si="29"/>
        <v>4.9592577728214114E-4</v>
      </c>
      <c r="R190" s="213">
        <f t="shared" si="37"/>
        <v>49592.577728214113</v>
      </c>
      <c r="S190" s="213">
        <f>IF($F190="","",'הזנה לתנאי סף'!N190)</f>
        <v>1</v>
      </c>
      <c r="T190" s="213">
        <f>IF($F190="","",'הזנה לתנאי סף'!O190)</f>
        <v>1</v>
      </c>
      <c r="U190" s="213">
        <f>IF($F190="","",'תחום תמיכה א'!W190)</f>
        <v>0</v>
      </c>
      <c r="V190" s="213">
        <f>IF($F190="","",'תחום תמיכה א'!X190)</f>
        <v>0</v>
      </c>
      <c r="W190" s="213">
        <f>IF($F190="","",'תחום תמיכה א'!Y190)</f>
        <v>0</v>
      </c>
      <c r="X190" s="231" t="str">
        <f>IF($F190="","",'תחום תמיכה א'!Z190)</f>
        <v>בדוק נתוני הזנה</v>
      </c>
      <c r="Y190" s="213" t="str">
        <f>IF($F190="","",'תחום תמיכה א'!AA190)</f>
        <v>בדוק נתוני הזנה</v>
      </c>
      <c r="Z190" s="214">
        <f>IF($F190="","",'תחום תמיכה א'!AB190)</f>
        <v>0</v>
      </c>
      <c r="AA190" s="225" t="str">
        <f>IF($F190="","",'תחום תמיכה א'!AC190)</f>
        <v/>
      </c>
      <c r="AB190" s="213" t="str">
        <f t="shared" si="30"/>
        <v/>
      </c>
      <c r="AC190" s="213">
        <f t="shared" si="31"/>
        <v>49592.577728214113</v>
      </c>
      <c r="AD190" s="214">
        <f t="shared" si="32"/>
        <v>4.9701415511746211E-4</v>
      </c>
      <c r="AE190" s="213">
        <f t="shared" si="35"/>
        <v>51079.613762462097</v>
      </c>
      <c r="AF190" s="214">
        <f t="shared" si="33"/>
        <v>4.9701415511746222E-4</v>
      </c>
    </row>
    <row r="191" spans="1:32" ht="15.75" x14ac:dyDescent="0.2">
      <c r="A191" s="206">
        <f t="shared" si="34"/>
        <v>161</v>
      </c>
      <c r="B191" s="88">
        <f>IF($F191="","",'הזנה לתנאי סף'!C191)</f>
        <v>1001348946</v>
      </c>
      <c r="C191" s="88">
        <f>IF($F191="","",'הזנה לתנאי סף'!D191)</f>
        <v>1001278264</v>
      </c>
      <c r="D191" s="88">
        <f>IF($F191="","",'הזנה לתנאי סף'!E191)</f>
        <v>40526318</v>
      </c>
      <c r="E191" s="88">
        <f>IF($F191="","",'הזנה לתנאי סף'!F191)</f>
        <v>20000159</v>
      </c>
      <c r="F191" s="88" t="str">
        <f>IF(OR('הזנה לתנאי סף'!G191="",'הזנה לתנאי סף'!BL191&lt;&gt;1,'הזנה לתנאי סף'!Q191&lt;&gt;1),"",'הזנה לתנאי סף'!G191)</f>
        <v>ירושלים</v>
      </c>
      <c r="G191" s="88" t="str">
        <f>IF($F191="","",'הזנה לתנאי סף'!H191)</f>
        <v>קהילות שרות פיוט וניגון (ע"ר)</v>
      </c>
      <c r="H191" s="88" t="str">
        <f>IF($F191="","",'הזנה לתנאי סף'!I191)</f>
        <v>חזנות</v>
      </c>
      <c r="I191" s="213">
        <f>IF($F191="","",'תחום תמיכה א'!$I191)</f>
        <v>247286</v>
      </c>
      <c r="J191" s="213">
        <f>IF($F191="","",'תחום תמיכה א'!$J191)</f>
        <v>400428</v>
      </c>
      <c r="K191" s="213">
        <f>IF($F191="","",'תחום תמיכה א'!$K191)</f>
        <v>0</v>
      </c>
      <c r="L191" s="213">
        <f t="shared" si="26"/>
        <v>647714</v>
      </c>
      <c r="M191" s="214">
        <f t="shared" si="27"/>
        <v>0.3817827003893694</v>
      </c>
      <c r="N191" s="214">
        <f t="shared" si="36"/>
        <v>0.61821729961063054</v>
      </c>
      <c r="O191" s="213">
        <f t="shared" si="28"/>
        <v>247551.51684848557</v>
      </c>
      <c r="P191" s="213">
        <f>IF($F191="","",'פרמטרים לקריטריונים'!$C$59*O191)</f>
        <v>74265.455054545673</v>
      </c>
      <c r="Q191" s="214">
        <f t="shared" si="29"/>
        <v>4.2192360468135121E-4</v>
      </c>
      <c r="R191" s="213">
        <f t="shared" si="37"/>
        <v>42192.360468135121</v>
      </c>
      <c r="S191" s="213">
        <f>IF($F191="","",'הזנה לתנאי סף'!N191)</f>
        <v>1</v>
      </c>
      <c r="T191" s="213">
        <f>IF($F191="","",'הזנה לתנאי סף'!O191)</f>
        <v>1</v>
      </c>
      <c r="U191" s="213">
        <f>IF($F191="","",'תחום תמיכה א'!W191)</f>
        <v>0</v>
      </c>
      <c r="V191" s="213">
        <f>IF($F191="","",'תחום תמיכה א'!X191)</f>
        <v>0</v>
      </c>
      <c r="W191" s="213">
        <f>IF($F191="","",'תחום תמיכה א'!Y191)</f>
        <v>0</v>
      </c>
      <c r="X191" s="231" t="str">
        <f>IF($F191="","",'תחום תמיכה א'!Z191)</f>
        <v>בדוק נתוני הזנה</v>
      </c>
      <c r="Y191" s="213" t="str">
        <f>IF($F191="","",'תחום תמיכה א'!AA191)</f>
        <v>בדוק נתוני הזנה</v>
      </c>
      <c r="Z191" s="214">
        <f>IF($F191="","",'תחום תמיכה א'!AB191)</f>
        <v>0</v>
      </c>
      <c r="AA191" s="225" t="str">
        <f>IF($F191="","",'תחום תמיכה א'!AC191)</f>
        <v/>
      </c>
      <c r="AB191" s="213" t="str">
        <f t="shared" si="30"/>
        <v/>
      </c>
      <c r="AC191" s="213">
        <f t="shared" si="31"/>
        <v>42192.360468135121</v>
      </c>
      <c r="AD191" s="214">
        <f t="shared" si="32"/>
        <v>4.2284957449492E-4</v>
      </c>
      <c r="AE191" s="213">
        <f t="shared" si="35"/>
        <v>43457.500601199878</v>
      </c>
      <c r="AF191" s="214">
        <f t="shared" si="33"/>
        <v>4.228495744949201E-4</v>
      </c>
    </row>
    <row r="192" spans="1:32" ht="15.75" x14ac:dyDescent="0.2">
      <c r="A192" s="206">
        <f t="shared" si="34"/>
        <v>162</v>
      </c>
      <c r="B192" s="88">
        <f>IF($F192="","",'הזנה לתנאי סף'!C192)</f>
        <v>1001348956</v>
      </c>
      <c r="C192" s="88">
        <f>IF($F192="","",'הזנה לתנאי סף'!D192)</f>
        <v>1001274741</v>
      </c>
      <c r="D192" s="88">
        <f>IF($F192="","",'הזנה לתנאי סף'!E192)</f>
        <v>40527700</v>
      </c>
      <c r="E192" s="88">
        <f>IF($F192="","",'הזנה לתנאי סף'!F192)</f>
        <v>20000201</v>
      </c>
      <c r="F192" s="88" t="str">
        <f>IF(OR('הזנה לתנאי סף'!G192="",'הזנה לתנאי סף'!BL192&lt;&gt;1,'הזנה לתנאי סף'!Q192&lt;&gt;1),"",'הזנה לתנאי סף'!G192)</f>
        <v>תל אביב -יפו</v>
      </c>
      <c r="G192" s="88" t="str">
        <f>IF($F192="","",'הזנה לתנאי סף'!H192)</f>
        <v>המקהלה הישראלית ע"ש גארי ברתיני (ע"</v>
      </c>
      <c r="H192" s="88" t="str">
        <f>IF($F192="","",'הזנה לתנאי סף'!I192)</f>
        <v>מוסיקה-גופים כליים</v>
      </c>
      <c r="I192" s="213">
        <f>IF($F192="","",'תחום תמיכה א'!$I192)</f>
        <v>284000</v>
      </c>
      <c r="J192" s="213">
        <f>IF($F192="","",'תחום תמיכה א'!$J192)</f>
        <v>1314624</v>
      </c>
      <c r="K192" s="213">
        <f>IF($F192="","",'תחום תמיכה א'!$K192)</f>
        <v>0</v>
      </c>
      <c r="L192" s="213">
        <f t="shared" si="26"/>
        <v>1598624</v>
      </c>
      <c r="M192" s="214">
        <f t="shared" si="27"/>
        <v>0.17765278139199711</v>
      </c>
      <c r="N192" s="214">
        <f t="shared" si="36"/>
        <v>0.82234721860800286</v>
      </c>
      <c r="O192" s="213">
        <f t="shared" si="28"/>
        <v>1081077.3899153271</v>
      </c>
      <c r="P192" s="213">
        <f>IF($F192="","",'פרמטרים לקריטריונים'!$C$59*O192)</f>
        <v>324323.21697459812</v>
      </c>
      <c r="Q192" s="214">
        <f t="shared" si="29"/>
        <v>1.8425743259402366E-3</v>
      </c>
      <c r="R192" s="213">
        <f t="shared" si="37"/>
        <v>184257.43259402367</v>
      </c>
      <c r="S192" s="213">
        <f>IF($F192="","",'הזנה לתנאי סף'!N192)</f>
        <v>1</v>
      </c>
      <c r="T192" s="213">
        <f>IF($F192="","",'הזנה לתנאי סף'!O192)</f>
        <v>1</v>
      </c>
      <c r="U192" s="213">
        <f>IF($F192="","",'תחום תמיכה א'!W192)</f>
        <v>0</v>
      </c>
      <c r="V192" s="213">
        <f>IF($F192="","",'תחום תמיכה א'!X192)</f>
        <v>0</v>
      </c>
      <c r="W192" s="213">
        <f>IF($F192="","",'תחום תמיכה א'!Y192)</f>
        <v>0</v>
      </c>
      <c r="X192" s="231" t="str">
        <f>IF($F192="","",'תחום תמיכה א'!Z192)</f>
        <v>בדוק נתוני הזנה</v>
      </c>
      <c r="Y192" s="213" t="str">
        <f>IF($F192="","",'תחום תמיכה א'!AA192)</f>
        <v>בדוק נתוני הזנה</v>
      </c>
      <c r="Z192" s="214">
        <f>IF($F192="","",'תחום תמיכה א'!AB192)</f>
        <v>0</v>
      </c>
      <c r="AA192" s="225" t="str">
        <f>IF($F192="","",'תחום תמיכה א'!AC192)</f>
        <v/>
      </c>
      <c r="AB192" s="213" t="str">
        <f t="shared" si="30"/>
        <v/>
      </c>
      <c r="AC192" s="213">
        <f t="shared" si="31"/>
        <v>184257.43259402367</v>
      </c>
      <c r="AD192" s="214">
        <f t="shared" si="32"/>
        <v>1.8466181106115544E-3</v>
      </c>
      <c r="AE192" s="213">
        <f t="shared" si="35"/>
        <v>189782.4013372687</v>
      </c>
      <c r="AF192" s="214">
        <f t="shared" si="33"/>
        <v>1.846618110611555E-3</v>
      </c>
    </row>
    <row r="193" spans="1:39" ht="15.75" x14ac:dyDescent="0.2">
      <c r="A193" s="206">
        <f t="shared" si="34"/>
        <v>163</v>
      </c>
      <c r="B193" s="88">
        <f>IF($F193="","",'הזנה לתנאי סף'!C193)</f>
        <v>1001348979</v>
      </c>
      <c r="C193" s="88">
        <f>IF($F193="","",'הזנה לתנאי סף'!D193)</f>
        <v>1001274745</v>
      </c>
      <c r="D193" s="88">
        <f>IF($F193="","",'הזנה לתנאי סף'!E193)</f>
        <v>40527701</v>
      </c>
      <c r="E193" s="88">
        <f>IF($F193="","",'הזנה לתנאי סף'!F193)</f>
        <v>20000201</v>
      </c>
      <c r="F193" s="88" t="str">
        <f>IF(OR('הזנה לתנאי סף'!G193="",'הזנה לתנאי סף'!BL193&lt;&gt;1,'הזנה לתנאי סף'!Q193&lt;&gt;1),"",'הזנה לתנאי סף'!G193)</f>
        <v>תל אביב -יפו</v>
      </c>
      <c r="G193" s="88" t="str">
        <f>IF($F193="","",'הזנה לתנאי סף'!H193)</f>
        <v>תיאטרון הקיבוץ (ע"ר)</v>
      </c>
      <c r="H193" s="88" t="str">
        <f>IF($F193="","",'הזנה לתנאי סף'!I193)</f>
        <v>תיאטרון</v>
      </c>
      <c r="I193" s="213">
        <f>IF($F193="","",'תחום תמיכה א'!$I193)</f>
        <v>749000</v>
      </c>
      <c r="J193" s="213">
        <f>IF($F193="","",'תחום תמיכה א'!$J193)</f>
        <v>5038000</v>
      </c>
      <c r="K193" s="213">
        <f>IF($F193="","",'תחום תמיכה א'!$K193)</f>
        <v>0</v>
      </c>
      <c r="L193" s="213">
        <f t="shared" si="26"/>
        <v>5787000</v>
      </c>
      <c r="M193" s="214">
        <f t="shared" si="27"/>
        <v>0.12942802833938138</v>
      </c>
      <c r="N193" s="214">
        <f t="shared" si="36"/>
        <v>0.87057197166061862</v>
      </c>
      <c r="O193" s="213">
        <f t="shared" si="28"/>
        <v>4385941.5932261962</v>
      </c>
      <c r="P193" s="213">
        <f>IF($F193="","",'פרמטרים לקריטריונים'!$C$59*O193)</f>
        <v>1315782.4779678588</v>
      </c>
      <c r="Q193" s="214">
        <f t="shared" si="29"/>
        <v>7.4753421449180102E-3</v>
      </c>
      <c r="R193" s="213">
        <f t="shared" si="37"/>
        <v>747534.21449180099</v>
      </c>
      <c r="S193" s="213">
        <f>IF($F193="","",'הזנה לתנאי סף'!N193)</f>
        <v>1</v>
      </c>
      <c r="T193" s="213">
        <f>IF($F193="","",'הזנה לתנאי סף'!O193)</f>
        <v>1</v>
      </c>
      <c r="U193" s="213">
        <f>IF($F193="","",'תחום תמיכה א'!W193)</f>
        <v>0</v>
      </c>
      <c r="V193" s="213">
        <f>IF($F193="","",'תחום תמיכה א'!X193)</f>
        <v>0</v>
      </c>
      <c r="W193" s="213">
        <f>IF($F193="","",'תחום תמיכה א'!Y193)</f>
        <v>0</v>
      </c>
      <c r="X193" s="231" t="str">
        <f>IF($F193="","",'תחום תמיכה א'!Z193)</f>
        <v>בדוק נתוני הזנה</v>
      </c>
      <c r="Y193" s="213" t="str">
        <f>IF($F193="","",'תחום תמיכה א'!AA193)</f>
        <v>בדוק נתוני הזנה</v>
      </c>
      <c r="Z193" s="214">
        <f>IF($F193="","",'תחום תמיכה א'!AB193)</f>
        <v>0</v>
      </c>
      <c r="AA193" s="225" t="str">
        <f>IF($F193="","",'תחום תמיכה א'!AC193)</f>
        <v/>
      </c>
      <c r="AB193" s="213" t="str">
        <f t="shared" si="30"/>
        <v/>
      </c>
      <c r="AC193" s="213">
        <f t="shared" si="31"/>
        <v>747534.21449180099</v>
      </c>
      <c r="AD193" s="214">
        <f t="shared" si="32"/>
        <v>7.4917478190625513E-3</v>
      </c>
      <c r="AE193" s="213">
        <f t="shared" si="35"/>
        <v>769949.06696981913</v>
      </c>
      <c r="AF193" s="214">
        <f t="shared" si="33"/>
        <v>7.491747819062553E-3</v>
      </c>
    </row>
    <row r="194" spans="1:39" ht="15.75" x14ac:dyDescent="0.2">
      <c r="A194" s="206">
        <f t="shared" si="34"/>
        <v>164</v>
      </c>
      <c r="B194" s="88">
        <f>IF($F194="","",'הזנה לתנאי סף'!C194)</f>
        <v>1001350362</v>
      </c>
      <c r="C194" s="88">
        <f>IF($F194="","",'הזנה לתנאי סף'!D194)</f>
        <v>1001301999</v>
      </c>
      <c r="D194" s="88">
        <f>IF($F194="","",'הזנה לתנאי סף'!E194)</f>
        <v>40216094</v>
      </c>
      <c r="E194" s="88">
        <f>IF($F194="","",'הזנה לתנאי סף'!F194)</f>
        <v>20000231</v>
      </c>
      <c r="F194" s="88" t="str">
        <f>IF(OR('הזנה לתנאי סף'!G194="",'הזנה לתנאי סף'!BL194&lt;&gt;1,'הזנה לתנאי סף'!Q194&lt;&gt;1),"",'הזנה לתנאי סף'!G194)</f>
        <v>נצרת</v>
      </c>
      <c r="G194" s="88" t="str">
        <f>IF($F194="","",'הזנה לתנאי סף'!H194)</f>
        <v>אלחנין נצרת (ע"ר)</v>
      </c>
      <c r="H194" s="88" t="str">
        <f>IF($F194="","",'הזנה לתנאי סף'!I194)</f>
        <v>תיאטרון</v>
      </c>
      <c r="I194" s="213">
        <f>IF($F194="","",'תחום תמיכה א'!$I194)</f>
        <v>992814</v>
      </c>
      <c r="J194" s="213">
        <f>IF($F194="","",'תחום תמיכה א'!$J194)</f>
        <v>713205</v>
      </c>
      <c r="K194" s="213">
        <f>IF($F194="","",'תחום תמיכה א'!$K194)</f>
        <v>0</v>
      </c>
      <c r="L194" s="213">
        <f t="shared" si="26"/>
        <v>1706019</v>
      </c>
      <c r="M194" s="214">
        <f t="shared" si="27"/>
        <v>0.58194779776778571</v>
      </c>
      <c r="N194" s="214">
        <f t="shared" si="36"/>
        <v>0.41805220223221429</v>
      </c>
      <c r="O194" s="213">
        <f t="shared" si="28"/>
        <v>298156.9208930264</v>
      </c>
      <c r="P194" s="213">
        <f>IF($F194="","",'פרמטרים לקריטריונים'!$C$59*O194)</f>
        <v>89447.07626790792</v>
      </c>
      <c r="Q194" s="214">
        <f t="shared" si="29"/>
        <v>5.0817480104908418E-4</v>
      </c>
      <c r="R194" s="213">
        <f t="shared" si="37"/>
        <v>50817.48010490842</v>
      </c>
      <c r="S194" s="213">
        <f>IF($F194="","",'הזנה לתנאי סף'!N194)</f>
        <v>0</v>
      </c>
      <c r="T194" s="213">
        <f>IF($F194="","",'הזנה לתנאי סף'!O194)</f>
        <v>1</v>
      </c>
      <c r="U194" s="213">
        <f>IF($F194="","",'תחום תמיכה א'!W194)</f>
        <v>0</v>
      </c>
      <c r="V194" s="213">
        <f>IF($F194="","",'תחום תמיכה א'!X194)</f>
        <v>0</v>
      </c>
      <c r="W194" s="213">
        <f>IF($F194="","",'תחום תמיכה א'!Y194)</f>
        <v>1</v>
      </c>
      <c r="X194" s="231">
        <f>IF($F194="","",'תחום תמיכה א'!Z194)</f>
        <v>0</v>
      </c>
      <c r="Y194" s="213" t="str">
        <f>IF($F194="","",'תחום תמיכה א'!AA194)</f>
        <v/>
      </c>
      <c r="Z194" s="214" t="str">
        <f>IF($F194="","",'תחום תמיכה א'!AB194)</f>
        <v/>
      </c>
      <c r="AA194" s="225" t="str">
        <f>IF($F194="","",'תחום תמיכה א'!AC194)</f>
        <v/>
      </c>
      <c r="AB194" s="213" t="str">
        <f t="shared" si="30"/>
        <v/>
      </c>
      <c r="AC194" s="213">
        <f t="shared" si="31"/>
        <v>50817.48010490842</v>
      </c>
      <c r="AD194" s="214">
        <f t="shared" si="32"/>
        <v>5.0929006106432593E-4</v>
      </c>
      <c r="AE194" s="213">
        <f t="shared" si="35"/>
        <v>52341.244900919155</v>
      </c>
      <c r="AF194" s="214">
        <f t="shared" si="33"/>
        <v>5.0929006106432604E-4</v>
      </c>
    </row>
    <row r="195" spans="1:39" ht="15.75" x14ac:dyDescent="0.2">
      <c r="A195" s="206">
        <f t="shared" si="34"/>
        <v>165</v>
      </c>
      <c r="B195" s="88">
        <f>IF($F195="","",'הזנה לתנאי סף'!C195)</f>
        <v>1001349141</v>
      </c>
      <c r="C195" s="88">
        <f>IF($F195="","",'הזנה לתנאי סף'!D195)</f>
        <v>1001263416</v>
      </c>
      <c r="D195" s="88">
        <f>IF($F195="","",'הזנה לתנאי סף'!E195)</f>
        <v>41375324</v>
      </c>
      <c r="E195" s="88">
        <f>IF($F195="","",'הזנה לתנאי סף'!F195)</f>
        <v>20000201</v>
      </c>
      <c r="F195" s="88" t="str">
        <f>IF(OR('הזנה לתנאי סף'!G195="",'הזנה לתנאי סף'!BL195&lt;&gt;1,'הזנה לתנאי סף'!Q195&lt;&gt;1),"",'הזנה לתנאי סף'!G195)</f>
        <v>תל אביב -יפו</v>
      </c>
      <c r="G195" s="88" t="str">
        <f>IF($F195="","",'הזנה לתנאי סף'!H195)</f>
        <v>אדם יוצר - טיפוח הביטוי האמנותי (ע"</v>
      </c>
      <c r="H195" s="88" t="str">
        <f>IF($F195="","",'הזנה לתנאי סף'!I195)</f>
        <v>תיאטרון</v>
      </c>
      <c r="I195" s="213">
        <f>IF($F195="","",'תחום תמיכה א'!$I195)</f>
        <v>0</v>
      </c>
      <c r="J195" s="213">
        <f>IF($F195="","",'תחום תמיכה א'!$J195)</f>
        <v>43249</v>
      </c>
      <c r="K195" s="213">
        <f>IF($F195="","",'תחום תמיכה א'!$K195)</f>
        <v>27023</v>
      </c>
      <c r="L195" s="213">
        <f t="shared" si="26"/>
        <v>70272</v>
      </c>
      <c r="M195" s="214">
        <f t="shared" si="27"/>
        <v>0</v>
      </c>
      <c r="N195" s="214">
        <f t="shared" si="36"/>
        <v>1</v>
      </c>
      <c r="O195" s="213">
        <f t="shared" si="28"/>
        <v>43249</v>
      </c>
      <c r="P195" s="213">
        <f>IF($F195="","",'פרמטרים לקריטריונים'!$C$59*O195)</f>
        <v>12974.699999999999</v>
      </c>
      <c r="Q195" s="214">
        <f t="shared" si="29"/>
        <v>7.371303642640309E-5</v>
      </c>
      <c r="R195" s="213">
        <f t="shared" si="37"/>
        <v>7371.3036426403087</v>
      </c>
      <c r="S195" s="213">
        <f>IF($F195="","",'הזנה לתנאי סף'!N195)</f>
        <v>0</v>
      </c>
      <c r="T195" s="213">
        <f>IF($F195="","",'הזנה לתנאי סף'!O195)</f>
        <v>1</v>
      </c>
      <c r="U195" s="213">
        <f>IF($F195="","",'תחום תמיכה א'!W195)</f>
        <v>0</v>
      </c>
      <c r="V195" s="213">
        <f>IF($F195="","",'תחום תמיכה א'!X195)</f>
        <v>0</v>
      </c>
      <c r="W195" s="213">
        <f>IF($F195="","",'תחום תמיכה א'!Y195)</f>
        <v>1</v>
      </c>
      <c r="X195" s="231">
        <f>IF($F195="","",'תחום תמיכה א'!Z195)</f>
        <v>0</v>
      </c>
      <c r="Y195" s="213" t="str">
        <f>IF($F195="","",'תחום תמיכה א'!AA195)</f>
        <v/>
      </c>
      <c r="Z195" s="214" t="str">
        <f>IF($F195="","",'תחום תמיכה א'!AB195)</f>
        <v/>
      </c>
      <c r="AA195" s="225" t="str">
        <f>IF($F195="","",'תחום תמיכה א'!AC195)</f>
        <v/>
      </c>
      <c r="AB195" s="213" t="str">
        <f t="shared" si="30"/>
        <v/>
      </c>
      <c r="AC195" s="213">
        <f t="shared" si="31"/>
        <v>7371.3036426403087</v>
      </c>
      <c r="AD195" s="214">
        <f t="shared" si="32"/>
        <v>7.387480989875691E-5</v>
      </c>
      <c r="AE195" s="213">
        <f t="shared" si="35"/>
        <v>7592.3325674939852</v>
      </c>
      <c r="AF195" s="214">
        <f t="shared" si="33"/>
        <v>7.3874809898756937E-5</v>
      </c>
      <c r="AM195" s="102"/>
    </row>
    <row r="196" spans="1:39" ht="15.75" x14ac:dyDescent="0.2">
      <c r="A196" s="206">
        <f t="shared" si="34"/>
        <v>166</v>
      </c>
      <c r="B196" s="88">
        <f>IF($F196="","",'הזנה לתנאי סף'!C196)</f>
        <v>1001349841</v>
      </c>
      <c r="C196" s="88">
        <f>IF($F196="","",'הזנה לתנאי סף'!D196)</f>
        <v>1001263630</v>
      </c>
      <c r="D196" s="88">
        <f>IF($F196="","",'הזנה לתנאי סף'!E196)</f>
        <v>40003600</v>
      </c>
      <c r="E196" s="88">
        <f>IF($F196="","",'הזנה לתנאי סף'!F196)</f>
        <v>20000254</v>
      </c>
      <c r="F196" s="88" t="str">
        <f>IF(OR('הזנה לתנאי סף'!G196="",'הזנה לתנאי סף'!BL196&lt;&gt;1,'הזנה לתנאי סף'!Q196&lt;&gt;1),"",'הזנה לתנאי סף'!G196)</f>
        <v>באר שבע</v>
      </c>
      <c r="G196" s="88" t="str">
        <f>IF($F196="","",'הזנה לתנאי סף'!H196)</f>
        <v>חברת בית יציב ב.ש בע"מ - חברה לתועל</v>
      </c>
      <c r="H196" s="88" t="str">
        <f>IF($F196="","",'הזנה לתנאי סף'!I196)</f>
        <v>מוזיאונים</v>
      </c>
      <c r="I196" s="213">
        <f>IF($F196="","",'תחום תמיכה א'!$I196)</f>
        <v>1500000</v>
      </c>
      <c r="J196" s="213">
        <f>IF($F196="","",'תחום תמיכה א'!$J196)</f>
        <v>8387297</v>
      </c>
      <c r="K196" s="213">
        <f>IF($F196="","",'תחום תמיכה א'!$K196)</f>
        <v>0</v>
      </c>
      <c r="L196" s="213">
        <f t="shared" si="26"/>
        <v>9887297</v>
      </c>
      <c r="M196" s="214">
        <f t="shared" si="27"/>
        <v>0.15170981512945347</v>
      </c>
      <c r="N196" s="214">
        <f t="shared" si="36"/>
        <v>0.84829018487054653</v>
      </c>
      <c r="O196" s="213">
        <f t="shared" si="28"/>
        <v>7114861.72269418</v>
      </c>
      <c r="P196" s="213">
        <f>IF($F196="","",'פרמטרים לקריטריונים'!$C$59*O196)</f>
        <v>2134458.5168082537</v>
      </c>
      <c r="Q196" s="214">
        <f t="shared" si="29"/>
        <v>1.2126478330915793E-2</v>
      </c>
      <c r="R196" s="213">
        <f t="shared" si="37"/>
        <v>1212647.8330915791</v>
      </c>
      <c r="S196" s="213">
        <f>IF($F196="","",'הזנה לתנאי סף'!N196)</f>
        <v>1</v>
      </c>
      <c r="T196" s="213">
        <f>IF($F196="","",'הזנה לתנאי סף'!O196)</f>
        <v>1</v>
      </c>
      <c r="U196" s="213">
        <f>IF($F196="","",'תחום תמיכה א'!W196)</f>
        <v>0</v>
      </c>
      <c r="V196" s="213">
        <f>IF($F196="","",'תחום תמיכה א'!X196)</f>
        <v>0</v>
      </c>
      <c r="W196" s="213">
        <f>IF($F196="","",'תחום תמיכה א'!Y196)</f>
        <v>0</v>
      </c>
      <c r="X196" s="231" t="str">
        <f>IF($F196="","",'תחום תמיכה א'!Z196)</f>
        <v>בדוק נתוני הזנה</v>
      </c>
      <c r="Y196" s="213" t="str">
        <f>IF($F196="","",'תחום תמיכה א'!AA196)</f>
        <v>בדוק נתוני הזנה</v>
      </c>
      <c r="Z196" s="214">
        <f>IF($F196="","",'תחום תמיכה א'!AB196)</f>
        <v>0</v>
      </c>
      <c r="AA196" s="225" t="str">
        <f>IF($F196="","",'תחום תמיכה א'!AC196)</f>
        <v/>
      </c>
      <c r="AB196" s="213" t="str">
        <f t="shared" si="30"/>
        <v/>
      </c>
      <c r="AC196" s="213">
        <f t="shared" si="31"/>
        <v>1212647.8330915791</v>
      </c>
      <c r="AD196" s="214">
        <f t="shared" si="32"/>
        <v>1.2153091567896937E-2</v>
      </c>
      <c r="AE196" s="213">
        <f t="shared" si="35"/>
        <v>1249009.1417241411</v>
      </c>
      <c r="AF196" s="214">
        <f t="shared" si="33"/>
        <v>1.2153091567896941E-2</v>
      </c>
    </row>
    <row r="197" spans="1:39" ht="15.75" x14ac:dyDescent="0.2">
      <c r="A197" s="206">
        <f t="shared" si="34"/>
        <v>167</v>
      </c>
      <c r="B197" s="88">
        <f>IF($F197="","",'הזנה לתנאי סף'!C197)</f>
        <v>1001346793</v>
      </c>
      <c r="C197" s="88">
        <f>IF($F197="","",'הזנה לתנאי סף'!D197)</f>
        <v>1001346793</v>
      </c>
      <c r="D197" s="88">
        <f>IF($F197="","",'הזנה לתנאי סף'!E197)</f>
        <v>40462864</v>
      </c>
      <c r="E197" s="88">
        <f>IF($F197="","",'הזנה לתנאי סף'!F197)</f>
        <v>20000244</v>
      </c>
      <c r="F197" s="88" t="str">
        <f>IF(OR('הזנה לתנאי סף'!G197="",'הזנה לתנאי סף'!BL197&lt;&gt;1,'הזנה לתנאי סף'!Q197&lt;&gt;1),"",'הזנה לתנאי סף'!G197)</f>
        <v>צפת</v>
      </c>
      <c r="G197" s="88" t="str">
        <f>IF($F197="","",'הזנה לתנאי סף'!H197)</f>
        <v>עמותת כליזמרים - כיתת אומן בצפת (ע"</v>
      </c>
      <c r="H197" s="88" t="str">
        <f>IF($F197="","",'הזנה לתנאי סף'!I197)</f>
        <v>אחר</v>
      </c>
      <c r="I197" s="213">
        <f>IF($F197="","",'תחום תמיכה א'!$I197)</f>
        <v>98572</v>
      </c>
      <c r="J197" s="213">
        <f>IF($F197="","",'תחום תמיכה א'!$J197)</f>
        <v>353732</v>
      </c>
      <c r="K197" s="213">
        <f>IF($F197="","",'תחום תמיכה א'!$K197)</f>
        <v>0</v>
      </c>
      <c r="L197" s="213">
        <f t="shared" si="26"/>
        <v>452304</v>
      </c>
      <c r="M197" s="214">
        <f t="shared" si="27"/>
        <v>0.21793307156248895</v>
      </c>
      <c r="N197" s="214">
        <f t="shared" si="36"/>
        <v>0.78206692843751102</v>
      </c>
      <c r="O197" s="213">
        <f t="shared" si="28"/>
        <v>276642.09873005765</v>
      </c>
      <c r="P197" s="213">
        <f>IF($F197="","",'פרמטרים לקריטריונים'!$C$59*O197)</f>
        <v>82992.629619017287</v>
      </c>
      <c r="Q197" s="214">
        <f t="shared" si="29"/>
        <v>4.7150521632327547E-4</v>
      </c>
      <c r="R197" s="213">
        <f t="shared" si="37"/>
        <v>47150.521632327545</v>
      </c>
      <c r="S197" s="213">
        <f>IF($F197="","",'הזנה לתנאי סף'!N197)</f>
        <v>0</v>
      </c>
      <c r="T197" s="213">
        <f>IF($F197="","",'הזנה לתנאי סף'!O197)</f>
        <v>1</v>
      </c>
      <c r="U197" s="213">
        <f>IF($F197="","",'תחום תמיכה א'!W197)</f>
        <v>0</v>
      </c>
      <c r="V197" s="213">
        <f>IF($F197="","",'תחום תמיכה א'!X197)</f>
        <v>0</v>
      </c>
      <c r="W197" s="213">
        <f>IF($F197="","",'תחום תמיכה א'!Y197)</f>
        <v>1</v>
      </c>
      <c r="X197" s="231">
        <f>IF($F197="","",'תחום תמיכה א'!Z197)</f>
        <v>0</v>
      </c>
      <c r="Y197" s="213" t="str">
        <f>IF($F197="","",'תחום תמיכה א'!AA197)</f>
        <v/>
      </c>
      <c r="Z197" s="214" t="str">
        <f>IF($F197="","",'תחום תמיכה א'!AB197)</f>
        <v/>
      </c>
      <c r="AA197" s="225" t="str">
        <f>IF($F197="","",'תחום תמיכה א'!AC197)</f>
        <v/>
      </c>
      <c r="AB197" s="213" t="str">
        <f t="shared" si="30"/>
        <v/>
      </c>
      <c r="AC197" s="213">
        <f t="shared" si="31"/>
        <v>47150.521632327545</v>
      </c>
      <c r="AD197" s="214">
        <f t="shared" si="32"/>
        <v>4.7253999985378051E-4</v>
      </c>
      <c r="AE197" s="213">
        <f t="shared" si="35"/>
        <v>48564.332486950065</v>
      </c>
      <c r="AF197" s="214">
        <f t="shared" si="33"/>
        <v>4.7253999985378062E-4</v>
      </c>
    </row>
    <row r="198" spans="1:39" ht="15.75" x14ac:dyDescent="0.2">
      <c r="A198" s="206">
        <f t="shared" si="34"/>
        <v>168</v>
      </c>
      <c r="B198" s="88">
        <f>IF($F198="","",'הזנה לתנאי סף'!C198)</f>
        <v>1001350197</v>
      </c>
      <c r="C198" s="88">
        <f>IF($F198="","",'הזנה לתנאי סף'!D198)</f>
        <v>1001280236</v>
      </c>
      <c r="D198" s="88">
        <f>IF($F198="","",'הזנה לתנאי סף'!E198)</f>
        <v>40384701</v>
      </c>
      <c r="E198" s="88">
        <f>IF($F198="","",'הזנה לתנאי סף'!F198)</f>
        <v>20000201</v>
      </c>
      <c r="F198" s="88" t="str">
        <f>IF(OR('הזנה לתנאי סף'!G198="",'הזנה לתנאי סף'!BL198&lt;&gt;1,'הזנה לתנאי סף'!Q198&lt;&gt;1),"",'הזנה לתנאי סף'!G198)</f>
        <v>תל אביב -יפו</v>
      </c>
      <c r="G198" s="88" t="str">
        <f>IF($F198="","",'הזנה לתנאי סף'!H198)</f>
        <v>תזמורת המהפכה (ע"ר)</v>
      </c>
      <c r="H198" s="88" t="str">
        <f>IF($F198="","",'הזנה לתנאי סף'!I198)</f>
        <v>מרכזי מוסיקה</v>
      </c>
      <c r="I198" s="213">
        <f>IF($F198="","",'תחום תמיכה א'!$I198)</f>
        <v>706000</v>
      </c>
      <c r="J198" s="213">
        <f>IF($F198="","",'תחום תמיכה א'!$J198)</f>
        <v>1012528</v>
      </c>
      <c r="K198" s="213">
        <f>IF($F198="","",'תחום תמיכה א'!$K198)</f>
        <v>0</v>
      </c>
      <c r="L198" s="213">
        <f t="shared" si="26"/>
        <v>1718528</v>
      </c>
      <c r="M198" s="214">
        <f t="shared" si="27"/>
        <v>0.41081669894235068</v>
      </c>
      <c r="N198" s="214">
        <f t="shared" si="36"/>
        <v>0.58918330105764927</v>
      </c>
      <c r="O198" s="213">
        <f t="shared" si="28"/>
        <v>596564.58945329953</v>
      </c>
      <c r="P198" s="213">
        <f>IF($F198="","",'פרמטרים לקריטריונים'!$C$59*O198)</f>
        <v>178969.37683598985</v>
      </c>
      <c r="Q198" s="214">
        <f t="shared" si="29"/>
        <v>1.0167769731802649E-3</v>
      </c>
      <c r="R198" s="213">
        <f t="shared" si="37"/>
        <v>101677.69731802649</v>
      </c>
      <c r="S198" s="213">
        <f>IF($F198="","",'הזנה לתנאי סף'!N198)</f>
        <v>1</v>
      </c>
      <c r="T198" s="213">
        <f>IF($F198="","",'הזנה לתנאי סף'!O198)</f>
        <v>1</v>
      </c>
      <c r="U198" s="213">
        <f>IF($F198="","",'תחום תמיכה א'!W198)</f>
        <v>0</v>
      </c>
      <c r="V198" s="213">
        <f>IF($F198="","",'תחום תמיכה א'!X198)</f>
        <v>0</v>
      </c>
      <c r="W198" s="213">
        <f>IF($F198="","",'תחום תמיכה א'!Y198)</f>
        <v>0</v>
      </c>
      <c r="X198" s="231" t="str">
        <f>IF($F198="","",'תחום תמיכה א'!Z198)</f>
        <v>בדוק נתוני הזנה</v>
      </c>
      <c r="Y198" s="213" t="str">
        <f>IF($F198="","",'תחום תמיכה א'!AA198)</f>
        <v>בדוק נתוני הזנה</v>
      </c>
      <c r="Z198" s="214">
        <f>IF($F198="","",'תחום תמיכה א'!AB198)</f>
        <v>1</v>
      </c>
      <c r="AA198" s="225" t="str">
        <f>IF($F198="","",'תחום תמיכה א'!AC198)</f>
        <v/>
      </c>
      <c r="AB198" s="213" t="str">
        <f t="shared" si="30"/>
        <v/>
      </c>
      <c r="AC198" s="213">
        <f t="shared" si="31"/>
        <v>101677.69731802649</v>
      </c>
      <c r="AD198" s="214">
        <f t="shared" si="32"/>
        <v>1.0190084311358059E-3</v>
      </c>
      <c r="AE198" s="213">
        <f t="shared" si="35"/>
        <v>104726.50838447052</v>
      </c>
      <c r="AF198" s="214">
        <f t="shared" si="33"/>
        <v>1.0190084311358064E-3</v>
      </c>
    </row>
    <row r="199" spans="1:39" ht="15.75" x14ac:dyDescent="0.2">
      <c r="A199" s="206">
        <f t="shared" si="34"/>
        <v>169</v>
      </c>
      <c r="B199" s="88">
        <f>IF($F199="","",'הזנה לתנאי סף'!C199)</f>
        <v>1001350703</v>
      </c>
      <c r="C199" s="88">
        <f>IF($F199="","",'הזנה לתנאי סף'!D199)</f>
        <v>1001279377</v>
      </c>
      <c r="D199" s="88">
        <f>IF($F199="","",'הזנה לתנאי סף'!E199)</f>
        <v>40000394</v>
      </c>
      <c r="E199" s="88">
        <f>IF($F199="","",'הזנה לתנאי סף'!F199)</f>
        <v>20000159</v>
      </c>
      <c r="F199" s="88" t="str">
        <f>IF(OR('הזנה לתנאי סף'!G199="",'הזנה לתנאי סף'!BL199&lt;&gt;1,'הזנה לתנאי סף'!Q199&lt;&gt;1),"",'הזנה לתנאי סף'!G199)</f>
        <v>ירושלים</v>
      </c>
      <c r="G199" s="88" t="str">
        <f>IF($F199="","",'הזנה לתנאי סף'!H199)</f>
        <v>להקת קולבן דאנס</v>
      </c>
      <c r="H199" s="88" t="str">
        <f>IF($F199="","",'הזנה לתנאי סף'!I199)</f>
        <v>מחול</v>
      </c>
      <c r="I199" s="213">
        <f>IF($F199="","",'תחום תמיכה א'!$I199)</f>
        <v>1852521</v>
      </c>
      <c r="J199" s="213">
        <f>IF($F199="","",'תחום תמיכה א'!$J199)</f>
        <v>815910</v>
      </c>
      <c r="K199" s="213">
        <f>IF($F199="","",'תחום תמיכה א'!$K199)</f>
        <v>272000</v>
      </c>
      <c r="L199" s="213">
        <f t="shared" si="26"/>
        <v>2940431</v>
      </c>
      <c r="M199" s="214">
        <f t="shared" si="27"/>
        <v>0.63001682406422732</v>
      </c>
      <c r="N199" s="214">
        <f t="shared" si="36"/>
        <v>0.36998317593577268</v>
      </c>
      <c r="O199" s="213">
        <f t="shared" si="28"/>
        <v>301872.97307775629</v>
      </c>
      <c r="P199" s="213">
        <f>IF($F199="","",'פרמטרים לקריטריונים'!$C$59*O199)</f>
        <v>90561.891923326883</v>
      </c>
      <c r="Q199" s="214">
        <f t="shared" si="29"/>
        <v>5.1450839234727392E-4</v>
      </c>
      <c r="R199" s="213">
        <f t="shared" si="37"/>
        <v>51450.839234727391</v>
      </c>
      <c r="S199" s="213">
        <f>IF($F199="","",'הזנה לתנאי סף'!N199)</f>
        <v>1</v>
      </c>
      <c r="T199" s="213">
        <f>IF($F199="","",'הזנה לתנאי סף'!O199)</f>
        <v>1</v>
      </c>
      <c r="U199" s="213">
        <f>IF($F199="","",'תחום תמיכה א'!W199)</f>
        <v>0</v>
      </c>
      <c r="V199" s="213">
        <f>IF($F199="","",'תחום תמיכה א'!X199)</f>
        <v>0</v>
      </c>
      <c r="W199" s="213">
        <f>IF($F199="","",'תחום תמיכה א'!Y199)</f>
        <v>0</v>
      </c>
      <c r="X199" s="231" t="str">
        <f>IF($F199="","",'תחום תמיכה א'!Z199)</f>
        <v>בדוק נתוני הזנה</v>
      </c>
      <c r="Y199" s="213" t="str">
        <f>IF($F199="","",'תחום תמיכה א'!AA199)</f>
        <v>בדוק נתוני הזנה</v>
      </c>
      <c r="Z199" s="214">
        <f>IF($F199="","",'תחום תמיכה א'!AB199)</f>
        <v>1</v>
      </c>
      <c r="AA199" s="225" t="str">
        <f>IF($F199="","",'תחום תמיכה א'!AC199)</f>
        <v/>
      </c>
      <c r="AB199" s="213" t="str">
        <f t="shared" si="30"/>
        <v/>
      </c>
      <c r="AC199" s="213">
        <f t="shared" si="31"/>
        <v>51450.839234727391</v>
      </c>
      <c r="AD199" s="214">
        <f t="shared" si="32"/>
        <v>5.1563755230622235E-4</v>
      </c>
      <c r="AE199" s="213">
        <f t="shared" si="35"/>
        <v>52993.595337336919</v>
      </c>
      <c r="AF199" s="214">
        <f t="shared" si="33"/>
        <v>5.1563755230622256E-4</v>
      </c>
    </row>
    <row r="200" spans="1:39" ht="15.75" x14ac:dyDescent="0.2">
      <c r="A200" s="206">
        <f t="shared" si="34"/>
        <v>170</v>
      </c>
      <c r="B200" s="88">
        <f>IF($F200="","",'הזנה לתנאי סף'!C200)</f>
        <v>1001346528</v>
      </c>
      <c r="C200" s="88">
        <f>IF($F200="","",'הזנה לתנאי סף'!D200)</f>
        <v>1001266833</v>
      </c>
      <c r="D200" s="88">
        <f>IF($F200="","",'הזנה לתנאי סף'!E200)</f>
        <v>40318159</v>
      </c>
      <c r="E200" s="88">
        <f>IF($F200="","",'הזנה לתנאי סף'!F200)</f>
        <v>20000154</v>
      </c>
      <c r="F200" s="88" t="str">
        <f>IF(OR('הזנה לתנאי סף'!G200="",'הזנה לתנאי סף'!BL200&lt;&gt;1,'הזנה לתנאי סף'!Q200&lt;&gt;1),"",'הזנה לתנאי סף'!G200)</f>
        <v>אום אל-פחם</v>
      </c>
      <c r="G200" s="88" t="str">
        <f>IF($F200="","",'הזנה לתנאי סף'!H200)</f>
        <v>אלמיאדין תאטרון א.א. פחם</v>
      </c>
      <c r="H200" s="88" t="str">
        <f>IF($F200="","",'הזנה לתנאי סף'!I200)</f>
        <v>תיאטרון</v>
      </c>
      <c r="I200" s="213">
        <f>IF($F200="","",'תחום תמיכה א'!$I200)</f>
        <v>215977</v>
      </c>
      <c r="J200" s="213">
        <f>IF($F200="","",'תחום תמיכה א'!$J200)</f>
        <v>534027</v>
      </c>
      <c r="K200" s="213">
        <f>IF($F200="","",'תחום תמיכה א'!$K200)</f>
        <v>0</v>
      </c>
      <c r="L200" s="213">
        <f t="shared" si="26"/>
        <v>750004</v>
      </c>
      <c r="M200" s="214">
        <f t="shared" si="27"/>
        <v>0.28796779750507995</v>
      </c>
      <c r="N200" s="214">
        <f t="shared" si="36"/>
        <v>0.71203220249492005</v>
      </c>
      <c r="O200" s="213">
        <f t="shared" si="28"/>
        <v>380244.42100175464</v>
      </c>
      <c r="P200" s="213">
        <f>IF($F200="","",'פרמטרים לקריטריונים'!$C$59*O200)</f>
        <v>114073.32630052639</v>
      </c>
      <c r="Q200" s="214">
        <f t="shared" si="29"/>
        <v>6.480836749113019E-4</v>
      </c>
      <c r="R200" s="213">
        <f t="shared" si="37"/>
        <v>64808.367491130193</v>
      </c>
      <c r="S200" s="213">
        <f>IF($F200="","",'הזנה לתנאי סף'!N200)</f>
        <v>0</v>
      </c>
      <c r="T200" s="213">
        <f>IF($F200="","",'הזנה לתנאי סף'!O200)</f>
        <v>1</v>
      </c>
      <c r="U200" s="213">
        <f>IF($F200="","",'תחום תמיכה א'!W200)</f>
        <v>0</v>
      </c>
      <c r="V200" s="213">
        <f>IF($F200="","",'תחום תמיכה א'!X200)</f>
        <v>0</v>
      </c>
      <c r="W200" s="213">
        <f>IF($F200="","",'תחום תמיכה א'!Y200)</f>
        <v>1</v>
      </c>
      <c r="X200" s="231">
        <f>IF($F200="","",'תחום תמיכה א'!Z200)</f>
        <v>0</v>
      </c>
      <c r="Y200" s="213" t="str">
        <f>IF($F200="","",'תחום תמיכה א'!AA200)</f>
        <v/>
      </c>
      <c r="Z200" s="214" t="str">
        <f>IF($F200="","",'תחום תמיכה א'!AB200)</f>
        <v/>
      </c>
      <c r="AA200" s="225" t="str">
        <f>IF($F200="","",'תחום תמיכה א'!AC200)</f>
        <v/>
      </c>
      <c r="AB200" s="213" t="str">
        <f t="shared" si="30"/>
        <v/>
      </c>
      <c r="AC200" s="213">
        <f t="shared" si="31"/>
        <v>64808.367491130193</v>
      </c>
      <c r="AD200" s="214">
        <f t="shared" si="32"/>
        <v>6.4950598433645911E-4</v>
      </c>
      <c r="AE200" s="213">
        <f t="shared" si="35"/>
        <v>66751.649776399834</v>
      </c>
      <c r="AF200" s="214">
        <f t="shared" si="33"/>
        <v>6.4950598433645933E-4</v>
      </c>
    </row>
    <row r="201" spans="1:39" ht="15.75" x14ac:dyDescent="0.2">
      <c r="A201" s="206">
        <f t="shared" si="34"/>
        <v>171</v>
      </c>
      <c r="B201" s="88">
        <f>IF($F201="","",'הזנה לתנאי סף'!C201)</f>
        <v>1001349724</v>
      </c>
      <c r="C201" s="88">
        <f>IF($F201="","",'הזנה לתנאי סף'!D201)</f>
        <v>1001269669</v>
      </c>
      <c r="D201" s="88">
        <f>IF($F201="","",'הזנה לתנאי סף'!E201)</f>
        <v>40461779</v>
      </c>
      <c r="E201" s="88">
        <f>IF($F201="","",'הזנה לתנאי סף'!F201)</f>
        <v>20000222</v>
      </c>
      <c r="F201" s="88" t="str">
        <f>IF(OR('הזנה לתנאי סף'!G201="",'הזנה לתנאי סף'!BL201&lt;&gt;1,'הזנה לתנאי סף'!Q201&lt;&gt;1),"",'הזנה לתנאי סף'!G201)</f>
        <v>הרצלייה</v>
      </c>
      <c r="G201" s="88" t="str">
        <f>IF($F201="","",'הזנה לתנאי סף'!H201)</f>
        <v>שיא - עמותה לפיתוח התרבות והאומנות</v>
      </c>
      <c r="H201" s="88" t="str">
        <f>IF($F201="","",'הזנה לתנאי סף'!I201)</f>
        <v>תיאטרון</v>
      </c>
      <c r="I201" s="213">
        <f>IF($F201="","",'תחום תמיכה א'!$I201)</f>
        <v>831531</v>
      </c>
      <c r="J201" s="213">
        <f>IF($F201="","",'תחום תמיכה א'!$J201)</f>
        <v>3542909</v>
      </c>
      <c r="K201" s="213">
        <f>IF($F201="","",'תחום תמיכה א'!$K201)</f>
        <v>0</v>
      </c>
      <c r="L201" s="213">
        <f t="shared" si="26"/>
        <v>4374440</v>
      </c>
      <c r="M201" s="214">
        <f t="shared" si="27"/>
        <v>0.19008855990709669</v>
      </c>
      <c r="N201" s="214">
        <f t="shared" si="36"/>
        <v>0.80991144009290328</v>
      </c>
      <c r="O201" s="213">
        <f t="shared" si="28"/>
        <v>2869442.5303081078</v>
      </c>
      <c r="P201" s="213">
        <f>IF($F201="","",'פרמטרים לקריטריונים'!$C$59*O201)</f>
        <v>860832.75909243233</v>
      </c>
      <c r="Q201" s="214">
        <f t="shared" si="29"/>
        <v>4.8906407491519305E-3</v>
      </c>
      <c r="R201" s="213">
        <f t="shared" si="37"/>
        <v>489064.07491519308</v>
      </c>
      <c r="S201" s="213">
        <f>IF($F201="","",'הזנה לתנאי סף'!N201)</f>
        <v>0</v>
      </c>
      <c r="T201" s="213">
        <f>IF($F201="","",'הזנה לתנאי סף'!O201)</f>
        <v>1</v>
      </c>
      <c r="U201" s="213">
        <f>IF($F201="","",'תחום תמיכה א'!W201)</f>
        <v>0</v>
      </c>
      <c r="V201" s="213">
        <f>IF($F201="","",'תחום תמיכה א'!X201)</f>
        <v>0</v>
      </c>
      <c r="W201" s="213">
        <f>IF($F201="","",'תחום תמיכה א'!Y201)</f>
        <v>1</v>
      </c>
      <c r="X201" s="231">
        <f>IF($F201="","",'תחום תמיכה א'!Z201)</f>
        <v>0</v>
      </c>
      <c r="Y201" s="213" t="str">
        <f>IF($F201="","",'תחום תמיכה א'!AA201)</f>
        <v/>
      </c>
      <c r="Z201" s="214" t="str">
        <f>IF($F201="","",'תחום תמיכה א'!AB201)</f>
        <v/>
      </c>
      <c r="AA201" s="225" t="str">
        <f>IF($F201="","",'תחום תמיכה א'!AC201)</f>
        <v/>
      </c>
      <c r="AB201" s="213" t="str">
        <f t="shared" si="30"/>
        <v/>
      </c>
      <c r="AC201" s="213">
        <f t="shared" si="31"/>
        <v>489064.07491519308</v>
      </c>
      <c r="AD201" s="214">
        <f t="shared" si="32"/>
        <v>4.9013739379389016E-3</v>
      </c>
      <c r="AE201" s="213">
        <f t="shared" si="35"/>
        <v>503728.68675369606</v>
      </c>
      <c r="AF201" s="214">
        <f t="shared" si="33"/>
        <v>4.9013739379389033E-3</v>
      </c>
    </row>
    <row r="202" spans="1:39" ht="15.75" x14ac:dyDescent="0.2">
      <c r="A202" s="206">
        <f t="shared" si="34"/>
        <v>172</v>
      </c>
      <c r="B202" s="88">
        <f>IF($F202="","",'הזנה לתנאי סף'!C202)</f>
        <v>1001350043</v>
      </c>
      <c r="C202" s="88">
        <f>IF($F202="","",'הזנה לתנאי סף'!D202)</f>
        <v>1001280546</v>
      </c>
      <c r="D202" s="88">
        <f>IF($F202="","",'הזנה לתנאי סף'!E202)</f>
        <v>40000403</v>
      </c>
      <c r="E202" s="88">
        <f>IF($F202="","",'הזנה לתנאי סף'!F202)</f>
        <v>20000254</v>
      </c>
      <c r="F202" s="88" t="str">
        <f>IF(OR('הזנה לתנאי סף'!G202="",'הזנה לתנאי סף'!BL202&lt;&gt;1,'הזנה לתנאי סף'!Q202&lt;&gt;1),"",'הזנה לתנאי סף'!G202)</f>
        <v>באר שבע</v>
      </c>
      <c r="G202" s="88" t="str">
        <f>IF($F202="","",'הזנה לתנאי סף'!H202)</f>
        <v>החוג לאופרה קלה בנגב</v>
      </c>
      <c r="H202" s="88" t="str">
        <f>IF($F202="","",'הזנה לתנאי סף'!I202)</f>
        <v>אופרה</v>
      </c>
      <c r="I202" s="213">
        <f>IF($F202="","",'תחום תמיכה א'!$I202)</f>
        <v>78924</v>
      </c>
      <c r="J202" s="213">
        <f>IF($F202="","",'תחום תמיכה א'!$J202)</f>
        <v>293974</v>
      </c>
      <c r="K202" s="213">
        <f>IF($F202="","",'תחום תמיכה א'!$K202)</f>
        <v>0</v>
      </c>
      <c r="L202" s="213">
        <f t="shared" si="26"/>
        <v>372898</v>
      </c>
      <c r="M202" s="214">
        <f t="shared" si="27"/>
        <v>0.21165037087889987</v>
      </c>
      <c r="N202" s="214">
        <f t="shared" si="36"/>
        <v>0.78834962912110007</v>
      </c>
      <c r="O202" s="213">
        <f t="shared" si="28"/>
        <v>231754.29387124628</v>
      </c>
      <c r="P202" s="213">
        <f>IF($F202="","",'פרמטרים לקריטריונים'!$C$59*O202)</f>
        <v>69526.288161373886</v>
      </c>
      <c r="Q202" s="214">
        <f t="shared" si="29"/>
        <v>3.9499902208389807E-4</v>
      </c>
      <c r="R202" s="213">
        <f t="shared" si="37"/>
        <v>39499.902208389809</v>
      </c>
      <c r="S202" s="213">
        <f>IF($F202="","",'הזנה לתנאי סף'!N202)</f>
        <v>0</v>
      </c>
      <c r="T202" s="213">
        <f>IF($F202="","",'הזנה לתנאי סף'!O202)</f>
        <v>1</v>
      </c>
      <c r="U202" s="213">
        <f>IF($F202="","",'תחום תמיכה א'!W202)</f>
        <v>0</v>
      </c>
      <c r="V202" s="213">
        <f>IF($F202="","",'תחום תמיכה א'!X202)</f>
        <v>0</v>
      </c>
      <c r="W202" s="213">
        <f>IF($F202="","",'תחום תמיכה א'!Y202)</f>
        <v>1</v>
      </c>
      <c r="X202" s="231">
        <f>IF($F202="","",'תחום תמיכה א'!Z202)</f>
        <v>0</v>
      </c>
      <c r="Y202" s="213" t="str">
        <f>IF($F202="","",'תחום תמיכה א'!AA202)</f>
        <v/>
      </c>
      <c r="Z202" s="214" t="str">
        <f>IF($F202="","",'תחום תמיכה א'!AB202)</f>
        <v/>
      </c>
      <c r="AA202" s="225" t="str">
        <f>IF($F202="","",'תחום תמיכה א'!AC202)</f>
        <v/>
      </c>
      <c r="AB202" s="213" t="str">
        <f t="shared" si="30"/>
        <v/>
      </c>
      <c r="AC202" s="213">
        <f t="shared" si="31"/>
        <v>39499.902208389809</v>
      </c>
      <c r="AD202" s="214">
        <f t="shared" si="32"/>
        <v>3.9586590217019978E-4</v>
      </c>
      <c r="AE202" s="213">
        <f t="shared" si="35"/>
        <v>40684.308839863013</v>
      </c>
      <c r="AF202" s="214">
        <f t="shared" si="33"/>
        <v>3.9586590217019989E-4</v>
      </c>
    </row>
    <row r="203" spans="1:39" ht="15.75" x14ac:dyDescent="0.2">
      <c r="A203" s="206">
        <f t="shared" si="34"/>
        <v>173</v>
      </c>
      <c r="B203" s="88">
        <f>IF($F203="","",'הזנה לתנאי סף'!C203)</f>
        <v>1001350380</v>
      </c>
      <c r="C203" s="88">
        <f>IF($F203="","",'הזנה לתנאי סף'!D203)</f>
        <v>1001290728</v>
      </c>
      <c r="D203" s="88">
        <f>IF($F203="","",'הזנה לתנאי סף'!E203)</f>
        <v>40221579</v>
      </c>
      <c r="E203" s="88">
        <f>IF($F203="","",'הזנה לתנאי סף'!F203)</f>
        <v>20000159</v>
      </c>
      <c r="F203" s="88" t="str">
        <f>IF(OR('הזנה לתנאי סף'!G203="",'הזנה לתנאי סף'!BL203&lt;&gt;1,'הזנה לתנאי סף'!Q203&lt;&gt;1),"",'הזנה לתנאי סף'!G203)</f>
        <v>ירושלים</v>
      </c>
      <c r="G203" s="88" t="str">
        <f>IF($F203="","",'הזנה לתנאי סף'!H203)</f>
        <v>אספקלריה</v>
      </c>
      <c r="H203" s="88" t="str">
        <f>IF($F203="","",'הזנה לתנאי סף'!I203)</f>
        <v>תיאטרון</v>
      </c>
      <c r="I203" s="213">
        <f>IF($F203="","",'תחום תמיכה א'!$I203)</f>
        <v>2411183</v>
      </c>
      <c r="J203" s="213">
        <f>IF($F203="","",'תחום תמיכה א'!$J203)</f>
        <v>1811241</v>
      </c>
      <c r="K203" s="213">
        <f>IF($F203="","",'תחום תמיכה א'!$K203)</f>
        <v>0</v>
      </c>
      <c r="L203" s="213">
        <f t="shared" si="26"/>
        <v>4222424</v>
      </c>
      <c r="M203" s="214">
        <f t="shared" si="27"/>
        <v>0.57104236808051489</v>
      </c>
      <c r="N203" s="214">
        <f t="shared" si="36"/>
        <v>0.42895763191948511</v>
      </c>
      <c r="O203" s="213">
        <f t="shared" si="28"/>
        <v>776945.65019548009</v>
      </c>
      <c r="P203" s="213">
        <f>IF($F203="","",'פרמטרים לקריטריונים'!$C$59*O203)</f>
        <v>233083.69505864402</v>
      </c>
      <c r="Q203" s="214">
        <f t="shared" si="29"/>
        <v>1.3242161209321571E-3</v>
      </c>
      <c r="R203" s="213">
        <f t="shared" si="37"/>
        <v>132421.61209321572</v>
      </c>
      <c r="S203" s="213">
        <f>IF($F203="","",'הזנה לתנאי סף'!N203)</f>
        <v>1</v>
      </c>
      <c r="T203" s="213">
        <f>IF($F203="","",'הזנה לתנאי סף'!O203)</f>
        <v>1</v>
      </c>
      <c r="U203" s="213">
        <f>IF($F203="","",'תחום תמיכה א'!W203)</f>
        <v>0</v>
      </c>
      <c r="V203" s="213">
        <f>IF($F203="","",'תחום תמיכה א'!X203)</f>
        <v>0</v>
      </c>
      <c r="W203" s="213">
        <f>IF($F203="","",'תחום תמיכה א'!Y203)</f>
        <v>0</v>
      </c>
      <c r="X203" s="231" t="str">
        <f>IF($F203="","",'תחום תמיכה א'!Z203)</f>
        <v>בדוק נתוני הזנה</v>
      </c>
      <c r="Y203" s="213" t="str">
        <f>IF($F203="","",'תחום תמיכה א'!AA203)</f>
        <v>בדוק נתוני הזנה</v>
      </c>
      <c r="Z203" s="214">
        <f>IF($F203="","",'תחום תמיכה א'!AB203)</f>
        <v>1</v>
      </c>
      <c r="AA203" s="225" t="str">
        <f>IF($F203="","",'תחום תמיכה א'!AC203)</f>
        <v/>
      </c>
      <c r="AB203" s="213" t="str">
        <f t="shared" si="30"/>
        <v/>
      </c>
      <c r="AC203" s="213">
        <f t="shared" si="31"/>
        <v>132421.61209321572</v>
      </c>
      <c r="AD203" s="214">
        <f t="shared" si="32"/>
        <v>1.3271222966971998E-3</v>
      </c>
      <c r="AE203" s="213">
        <f t="shared" si="35"/>
        <v>136392.28105047363</v>
      </c>
      <c r="AF203" s="214">
        <f t="shared" si="33"/>
        <v>1.3271222966972E-3</v>
      </c>
    </row>
    <row r="204" spans="1:39" ht="15.75" x14ac:dyDescent="0.2">
      <c r="A204" s="206">
        <f t="shared" si="34"/>
        <v>174</v>
      </c>
      <c r="B204" s="88">
        <f>IF($F204="","",'הזנה לתנאי סף'!C204)</f>
        <v>1001348865</v>
      </c>
      <c r="C204" s="88">
        <f>IF($F204="","",'הזנה לתנאי סף'!D204)</f>
        <v>1001262670</v>
      </c>
      <c r="D204" s="88">
        <f>IF($F204="","",'הזנה לתנאי סף'!E204)</f>
        <v>41481124</v>
      </c>
      <c r="E204" s="88">
        <f>IF($F204="","",'הזנה לתנאי סף'!F204)</f>
        <v>20000159</v>
      </c>
      <c r="F204" s="88" t="str">
        <f>IF(OR('הזנה לתנאי סף'!G204="",'הזנה לתנאי סף'!BL204&lt;&gt;1,'הזנה לתנאי סף'!Q204&lt;&gt;1),"",'הזנה לתנאי סף'!G204)</f>
        <v>ירושלים</v>
      </c>
      <c r="G204" s="88" t="str">
        <f>IF($F204="","",'הזנה לתנאי סף'!H204)</f>
        <v>האיל המרקד</v>
      </c>
      <c r="H204" s="88" t="str">
        <f>IF($F204="","",'הזנה לתנאי סף'!I204)</f>
        <v>תיאטרון</v>
      </c>
      <c r="I204" s="213">
        <f>IF($F204="","",'תחום תמיכה א'!$I204)</f>
        <v>212436</v>
      </c>
      <c r="J204" s="213">
        <f>IF($F204="","",'תחום תמיכה א'!$J204)</f>
        <v>757091</v>
      </c>
      <c r="K204" s="213">
        <f>IF($F204="","",'תחום תמיכה א'!$K204)</f>
        <v>2</v>
      </c>
      <c r="L204" s="213">
        <f t="shared" si="26"/>
        <v>969529</v>
      </c>
      <c r="M204" s="214">
        <f t="shared" si="27"/>
        <v>0.21911257940711418</v>
      </c>
      <c r="N204" s="214">
        <f t="shared" si="36"/>
        <v>0.78088742059288585</v>
      </c>
      <c r="O204" s="213">
        <f t="shared" si="28"/>
        <v>591202.83814408851</v>
      </c>
      <c r="P204" s="213">
        <f>IF($F204="","",'פרמטרים לקריטריונים'!$C$59*O204)</f>
        <v>177360.85144322654</v>
      </c>
      <c r="Q204" s="214">
        <f t="shared" si="29"/>
        <v>1.0076384735718303E-3</v>
      </c>
      <c r="R204" s="213">
        <f t="shared" si="37"/>
        <v>100763.84735718304</v>
      </c>
      <c r="S204" s="213">
        <f>IF($F204="","",'הזנה לתנאי סף'!N204)</f>
        <v>1</v>
      </c>
      <c r="T204" s="213">
        <f>IF($F204="","",'הזנה לתנאי סף'!O204)</f>
        <v>1</v>
      </c>
      <c r="U204" s="213">
        <f>IF($F204="","",'תחום תמיכה א'!W204)</f>
        <v>0</v>
      </c>
      <c r="V204" s="213">
        <f>IF($F204="","",'תחום תמיכה א'!X204)</f>
        <v>0</v>
      </c>
      <c r="W204" s="213">
        <f>IF($F204="","",'תחום תמיכה א'!Y204)</f>
        <v>0</v>
      </c>
      <c r="X204" s="231" t="str">
        <f>IF($F204="","",'תחום תמיכה א'!Z204)</f>
        <v>בדוק נתוני הזנה</v>
      </c>
      <c r="Y204" s="213" t="str">
        <f>IF($F204="","",'תחום תמיכה א'!AA204)</f>
        <v>בדוק נתוני הזנה</v>
      </c>
      <c r="Z204" s="214">
        <f>IF($F204="","",'תחום תמיכה א'!AB204)</f>
        <v>1</v>
      </c>
      <c r="AA204" s="225" t="str">
        <f>IF($F204="","",'תחום תמיכה א'!AC204)</f>
        <v/>
      </c>
      <c r="AB204" s="213" t="str">
        <f t="shared" si="30"/>
        <v/>
      </c>
      <c r="AC204" s="213">
        <f t="shared" si="31"/>
        <v>100763.84735718304</v>
      </c>
      <c r="AD204" s="214">
        <f t="shared" si="32"/>
        <v>1.0098498758237208E-3</v>
      </c>
      <c r="AE204" s="213">
        <f t="shared" si="35"/>
        <v>103785.25658480519</v>
      </c>
      <c r="AF204" s="214">
        <f t="shared" si="33"/>
        <v>1.009849875823721E-3</v>
      </c>
    </row>
    <row r="205" spans="1:39" ht="15.75" x14ac:dyDescent="0.2">
      <c r="A205" s="206">
        <f t="shared" si="34"/>
        <v>175</v>
      </c>
      <c r="B205" s="88">
        <f>IF($F205="","",'הזנה לתנאי סף'!C205)</f>
        <v>1001348123</v>
      </c>
      <c r="C205" s="88">
        <f>IF($F205="","",'הזנה לתנאי סף'!D205)</f>
        <v>1001273976</v>
      </c>
      <c r="D205" s="88">
        <f>IF($F205="","",'הזנה לתנאי סף'!E205)</f>
        <v>41482603</v>
      </c>
      <c r="E205" s="88">
        <f>IF($F205="","",'הזנה לתנאי סף'!F205)</f>
        <v>20000159</v>
      </c>
      <c r="F205" s="88" t="str">
        <f>IF(OR('הזנה לתנאי סף'!G205="",'הזנה לתנאי סף'!BL205&lt;&gt;1,'הזנה לתנאי סף'!Q205&lt;&gt;1),"",'הזנה לתנאי סף'!G205)</f>
        <v>ירושלים</v>
      </c>
      <c r="G205" s="88" t="str">
        <f>IF($F205="","",'הזנה לתנאי סף'!H205)</f>
        <v>במת חוצות</v>
      </c>
      <c r="H205" s="88" t="str">
        <f>IF($F205="","",'הזנה לתנאי סף'!I205)</f>
        <v>קבוצות תיאטרון</v>
      </c>
      <c r="I205" s="213">
        <f>IF($F205="","",'תחום תמיכה א'!$I205)</f>
        <v>1764814</v>
      </c>
      <c r="J205" s="213">
        <f>IF($F205="","",'תחום תמיכה א'!$J205)</f>
        <v>598811</v>
      </c>
      <c r="K205" s="213">
        <f>IF($F205="","",'תחום תמיכה א'!$K205)</f>
        <v>0</v>
      </c>
      <c r="L205" s="213">
        <f t="shared" si="26"/>
        <v>2363625</v>
      </c>
      <c r="M205" s="214">
        <f t="shared" si="27"/>
        <v>0.7466556666137818</v>
      </c>
      <c r="N205" s="214">
        <f t="shared" si="36"/>
        <v>0.2533443333862182</v>
      </c>
      <c r="O205" s="213">
        <f t="shared" si="28"/>
        <v>151705.37361933471</v>
      </c>
      <c r="P205" s="213">
        <f>IF($F205="","",'פרמטרים לקריטריונים'!$C$59*O205)</f>
        <v>45511.612085800414</v>
      </c>
      <c r="Q205" s="214">
        <f t="shared" si="29"/>
        <v>2.5856467737249677E-4</v>
      </c>
      <c r="R205" s="213">
        <f t="shared" si="37"/>
        <v>25856.467737249677</v>
      </c>
      <c r="S205" s="213">
        <f>IF($F205="","",'הזנה לתנאי סף'!N205)</f>
        <v>1</v>
      </c>
      <c r="T205" s="213">
        <f>IF($F205="","",'הזנה לתנאי סף'!O205)</f>
        <v>1</v>
      </c>
      <c r="U205" s="213">
        <f>IF($F205="","",'תחום תמיכה א'!W205)</f>
        <v>0</v>
      </c>
      <c r="V205" s="213">
        <f>IF($F205="","",'תחום תמיכה א'!X205)</f>
        <v>0</v>
      </c>
      <c r="W205" s="213">
        <f>IF($F205="","",'תחום תמיכה א'!Y205)</f>
        <v>0</v>
      </c>
      <c r="X205" s="231" t="str">
        <f>IF($F205="","",'תחום תמיכה א'!Z205)</f>
        <v>בדוק נתוני הזנה</v>
      </c>
      <c r="Y205" s="213" t="str">
        <f>IF($F205="","",'תחום תמיכה א'!AA205)</f>
        <v>בדוק נתוני הזנה</v>
      </c>
      <c r="Z205" s="214">
        <f>IF($F205="","",'תחום תמיכה א'!AB205)</f>
        <v>0</v>
      </c>
      <c r="AA205" s="225" t="str">
        <f>IF($F205="","",'תחום תמיכה א'!AC205)</f>
        <v/>
      </c>
      <c r="AB205" s="213" t="str">
        <f t="shared" si="30"/>
        <v/>
      </c>
      <c r="AC205" s="213">
        <f t="shared" si="31"/>
        <v>25856.467737249677</v>
      </c>
      <c r="AD205" s="214">
        <f t="shared" si="32"/>
        <v>2.5913213338454638E-4</v>
      </c>
      <c r="AE205" s="213">
        <f t="shared" si="35"/>
        <v>26631.775273276104</v>
      </c>
      <c r="AF205" s="214">
        <f t="shared" si="33"/>
        <v>2.5913213338454649E-4</v>
      </c>
    </row>
    <row r="206" spans="1:39" ht="15.75" x14ac:dyDescent="0.2">
      <c r="A206" s="206">
        <f t="shared" si="34"/>
        <v>176</v>
      </c>
      <c r="B206" s="88">
        <f>IF($F206="","",'הזנה לתנאי סף'!C206)</f>
        <v>1001347085</v>
      </c>
      <c r="C206" s="88">
        <f>IF($F206="","",'הזנה לתנאי סף'!D206)</f>
        <v>1001270801</v>
      </c>
      <c r="D206" s="88">
        <f>IF($F206="","",'הזנה לתנאי סף'!E206)</f>
        <v>40323479</v>
      </c>
      <c r="E206" s="88">
        <f>IF($F206="","",'הזנה לתנאי סף'!F206)</f>
        <v>20000201</v>
      </c>
      <c r="F206" s="88" t="str">
        <f>IF(OR('הזנה לתנאי סף'!G206="",'הזנה לתנאי סף'!BL206&lt;&gt;1,'הזנה לתנאי סף'!Q206&lt;&gt;1),"",'הזנה לתנאי סף'!G206)</f>
        <v>תל אביב -יפו</v>
      </c>
      <c r="G206" s="88" t="str">
        <f>IF($F206="","",'הזנה לתנאי סף'!H206)</f>
        <v>להקת יסמין גודר</v>
      </c>
      <c r="H206" s="88" t="str">
        <f>IF($F206="","",'הזנה לתנאי סף'!I206)</f>
        <v>מחול</v>
      </c>
      <c r="I206" s="213">
        <f>IF($F206="","",'תחום תמיכה א'!$I206)</f>
        <v>626267</v>
      </c>
      <c r="J206" s="213">
        <f>IF($F206="","",'תחום תמיכה א'!$J206)</f>
        <v>558630</v>
      </c>
      <c r="K206" s="213">
        <f>IF($F206="","",'תחום תמיכה א'!$K206)</f>
        <v>79565</v>
      </c>
      <c r="L206" s="213">
        <f t="shared" si="26"/>
        <v>1264462</v>
      </c>
      <c r="M206" s="214">
        <f t="shared" si="27"/>
        <v>0.49528336952790991</v>
      </c>
      <c r="N206" s="214">
        <f t="shared" si="36"/>
        <v>0.50471663047209003</v>
      </c>
      <c r="O206" s="213">
        <f t="shared" si="28"/>
        <v>281949.85128062364</v>
      </c>
      <c r="P206" s="213">
        <f>IF($F206="","",'פרמטרים לקריטריונים'!$C$59*O206)</f>
        <v>84584.955384187095</v>
      </c>
      <c r="Q206" s="214">
        <f t="shared" si="29"/>
        <v>4.8055168114563454E-4</v>
      </c>
      <c r="R206" s="213">
        <f t="shared" si="37"/>
        <v>48055.168114563457</v>
      </c>
      <c r="S206" s="213">
        <f>IF($F206="","",'הזנה לתנאי סף'!N206)</f>
        <v>1</v>
      </c>
      <c r="T206" s="213">
        <f>IF($F206="","",'הזנה לתנאי סף'!O206)</f>
        <v>1</v>
      </c>
      <c r="U206" s="213">
        <f>IF($F206="","",'תחום תמיכה א'!W206)</f>
        <v>0</v>
      </c>
      <c r="V206" s="213">
        <f>IF($F206="","",'תחום תמיכה א'!X206)</f>
        <v>0</v>
      </c>
      <c r="W206" s="213">
        <f>IF($F206="","",'תחום תמיכה א'!Y206)</f>
        <v>0</v>
      </c>
      <c r="X206" s="231" t="str">
        <f>IF($F206="","",'תחום תמיכה א'!Z206)</f>
        <v>בדוק נתוני הזנה</v>
      </c>
      <c r="Y206" s="213" t="str">
        <f>IF($F206="","",'תחום תמיכה א'!AA206)</f>
        <v>בדוק נתוני הזנה</v>
      </c>
      <c r="Z206" s="214">
        <f>IF($F206="","",'תחום תמיכה א'!AB206)</f>
        <v>1</v>
      </c>
      <c r="AA206" s="225" t="str">
        <f>IF($F206="","",'תחום תמיכה א'!AC206)</f>
        <v/>
      </c>
      <c r="AB206" s="213" t="str">
        <f t="shared" si="30"/>
        <v/>
      </c>
      <c r="AC206" s="213">
        <f t="shared" si="31"/>
        <v>48055.168114563457</v>
      </c>
      <c r="AD206" s="214">
        <f t="shared" si="32"/>
        <v>4.8160631839669961E-4</v>
      </c>
      <c r="AE206" s="213">
        <f t="shared" si="35"/>
        <v>49496.104841220957</v>
      </c>
      <c r="AF206" s="214">
        <f t="shared" si="33"/>
        <v>4.8160631839669972E-4</v>
      </c>
    </row>
    <row r="207" spans="1:39" ht="15.75" x14ac:dyDescent="0.2">
      <c r="A207" s="206">
        <f t="shared" si="34"/>
        <v>177</v>
      </c>
      <c r="B207" s="88">
        <f>IF($F207="","",'הזנה לתנאי סף'!C207)</f>
        <v>1001350682</v>
      </c>
      <c r="C207" s="88">
        <f>IF($F207="","",'הזנה לתנאי סף'!D207)</f>
        <v>1001270744</v>
      </c>
      <c r="D207" s="88">
        <f>IF($F207="","",'הזנה לתנאי סף'!E207)</f>
        <v>40467070</v>
      </c>
      <c r="E207" s="88">
        <f>IF($F207="","",'הזנה לתנאי סף'!F207)</f>
        <v>20000201</v>
      </c>
      <c r="F207" s="88" t="str">
        <f>IF(OR('הזנה לתנאי סף'!G207="",'הזנה לתנאי סף'!BL207&lt;&gt;1,'הזנה לתנאי סף'!Q207&lt;&gt;1),"",'הזנה לתנאי סף'!G207)</f>
        <v>תל אביב -יפו</v>
      </c>
      <c r="G207" s="88" t="str">
        <f>IF($F207="","",'הזנה לתנאי סף'!H207)</f>
        <v>זמרי קולגיום</v>
      </c>
      <c r="H207" s="88" t="str">
        <f>IF($F207="","",'הזנה לתנאי סף'!I207)</f>
        <v>אחר</v>
      </c>
      <c r="I207" s="213">
        <f>IF($F207="","",'תחום תמיכה א'!$I207)</f>
        <v>190902</v>
      </c>
      <c r="J207" s="213">
        <f>IF($F207="","",'תחום תמיכה א'!$J207)</f>
        <v>128342</v>
      </c>
      <c r="K207" s="213">
        <f>IF($F207="","",'תחום תמיכה א'!$K207)</f>
        <v>0</v>
      </c>
      <c r="L207" s="213">
        <f t="shared" si="26"/>
        <v>319244</v>
      </c>
      <c r="M207" s="214">
        <f t="shared" si="27"/>
        <v>0.59798148124945183</v>
      </c>
      <c r="N207" s="214">
        <f t="shared" si="36"/>
        <v>0.40201851875054817</v>
      </c>
      <c r="O207" s="213">
        <f t="shared" si="28"/>
        <v>51595.860733482856</v>
      </c>
      <c r="P207" s="213">
        <f>IF($F207="","",'פרמטרים לקריטריונים'!$C$59*O207)</f>
        <v>15478.758220044856</v>
      </c>
      <c r="Q207" s="214">
        <f t="shared" si="29"/>
        <v>8.793931794258464E-5</v>
      </c>
      <c r="R207" s="213">
        <f t="shared" si="37"/>
        <v>8793.9317942584639</v>
      </c>
      <c r="S207" s="213">
        <f>IF($F207="","",'הזנה לתנאי סף'!N207)</f>
        <v>1</v>
      </c>
      <c r="T207" s="213">
        <f>IF($F207="","",'הזנה לתנאי סף'!O207)</f>
        <v>1</v>
      </c>
      <c r="U207" s="213">
        <f>IF($F207="","",'תחום תמיכה א'!W207)</f>
        <v>0</v>
      </c>
      <c r="V207" s="213">
        <f>IF($F207="","",'תחום תמיכה א'!X207)</f>
        <v>0</v>
      </c>
      <c r="W207" s="213">
        <f>IF($F207="","",'תחום תמיכה א'!Y207)</f>
        <v>0</v>
      </c>
      <c r="X207" s="231" t="str">
        <f>IF($F207="","",'תחום תמיכה א'!Z207)</f>
        <v>בדוק נתוני הזנה</v>
      </c>
      <c r="Y207" s="213" t="str">
        <f>IF($F207="","",'תחום תמיכה א'!AA207)</f>
        <v>בדוק נתוני הזנה</v>
      </c>
      <c r="Z207" s="214">
        <f>IF($F207="","",'תחום תמיכה א'!AB207)</f>
        <v>0</v>
      </c>
      <c r="AA207" s="225" t="str">
        <f>IF($F207="","",'תחום תמיכה א'!AC207)</f>
        <v/>
      </c>
      <c r="AB207" s="213" t="str">
        <f t="shared" si="30"/>
        <v/>
      </c>
      <c r="AC207" s="213">
        <f t="shared" si="31"/>
        <v>8793.9317942584639</v>
      </c>
      <c r="AD207" s="214">
        <f t="shared" si="32"/>
        <v>8.8132312960965183E-5</v>
      </c>
      <c r="AE207" s="213">
        <f t="shared" si="35"/>
        <v>9057.6182985665801</v>
      </c>
      <c r="AF207" s="214">
        <f t="shared" si="33"/>
        <v>8.8132312960965197E-5</v>
      </c>
    </row>
    <row r="208" spans="1:39" ht="15.75" x14ac:dyDescent="0.2">
      <c r="A208" s="206">
        <f t="shared" si="34"/>
        <v>178</v>
      </c>
      <c r="B208" s="88">
        <f>IF($F208="","",'הזנה לתנאי סף'!C208)</f>
        <v>1001348272</v>
      </c>
      <c r="C208" s="88">
        <f>IF($F208="","",'הזנה לתנאי סף'!D208)</f>
        <v>1001280728</v>
      </c>
      <c r="D208" s="88">
        <f>IF($F208="","",'הזנה לתנאי סף'!E208)</f>
        <v>40343383</v>
      </c>
      <c r="E208" s="88">
        <f>IF($F208="","",'הזנה לתנאי סף'!F208)</f>
        <v>20000231</v>
      </c>
      <c r="F208" s="88" t="str">
        <f>IF(OR('הזנה לתנאי סף'!G208="",'הזנה לתנאי סף'!BL208&lt;&gt;1,'הזנה לתנאי סף'!Q208&lt;&gt;1),"",'הזנה לתנאי סף'!G208)</f>
        <v>נצרת</v>
      </c>
      <c r="G208" s="88" t="str">
        <f>IF($F208="","",'הזנה לתנאי סף'!H208)</f>
        <v>תיאטרון אנסמבל פרינג' נצרת</v>
      </c>
      <c r="H208" s="88" t="str">
        <f>IF($F208="","",'הזנה לתנאי סף'!I208)</f>
        <v>מרכזי פרינג'</v>
      </c>
      <c r="I208" s="213">
        <f>IF($F208="","",'תחום תמיכה א'!$I208)</f>
        <v>1371819</v>
      </c>
      <c r="J208" s="213">
        <f>IF($F208="","",'תחום תמיכה א'!$J208)</f>
        <v>859464</v>
      </c>
      <c r="K208" s="213">
        <f>IF($F208="","",'תחום תמיכה א'!$K208)</f>
        <v>0</v>
      </c>
      <c r="L208" s="213">
        <f t="shared" si="26"/>
        <v>2231283</v>
      </c>
      <c r="M208" s="214">
        <f t="shared" si="27"/>
        <v>0.61481174732205646</v>
      </c>
      <c r="N208" s="214">
        <f t="shared" si="36"/>
        <v>0.38518825267794354</v>
      </c>
      <c r="O208" s="213">
        <f t="shared" si="28"/>
        <v>331055.43639959604</v>
      </c>
      <c r="P208" s="213">
        <f>IF($F208="","",'פרמטרים לקריטריונים'!$C$59*O208)</f>
        <v>99316.630919878808</v>
      </c>
      <c r="Q208" s="214">
        <f t="shared" si="29"/>
        <v>5.6424660552803984E-4</v>
      </c>
      <c r="R208" s="213">
        <f t="shared" si="37"/>
        <v>56424.660552803987</v>
      </c>
      <c r="S208" s="213">
        <f>IF($F208="","",'הזנה לתנאי סף'!N208)</f>
        <v>0</v>
      </c>
      <c r="T208" s="213">
        <f>IF($F208="","",'הזנה לתנאי סף'!O208)</f>
        <v>1</v>
      </c>
      <c r="U208" s="213">
        <f>IF($F208="","",'תחום תמיכה א'!W208)</f>
        <v>0</v>
      </c>
      <c r="V208" s="213">
        <f>IF($F208="","",'תחום תמיכה א'!X208)</f>
        <v>0</v>
      </c>
      <c r="W208" s="213">
        <f>IF($F208="","",'תחום תמיכה א'!Y208)</f>
        <v>1</v>
      </c>
      <c r="X208" s="231">
        <f>IF($F208="","",'תחום תמיכה א'!Z208)</f>
        <v>0</v>
      </c>
      <c r="Y208" s="213" t="str">
        <f>IF($F208="","",'תחום תמיכה א'!AA208)</f>
        <v/>
      </c>
      <c r="Z208" s="214" t="str">
        <f>IF($F208="","",'תחום תמיכה א'!AB208)</f>
        <v/>
      </c>
      <c r="AA208" s="225" t="str">
        <f>IF($F208="","",'תחום תמיכה א'!AC208)</f>
        <v/>
      </c>
      <c r="AB208" s="213" t="str">
        <f t="shared" si="30"/>
        <v/>
      </c>
      <c r="AC208" s="213">
        <f t="shared" si="31"/>
        <v>56424.660552803987</v>
      </c>
      <c r="AD208" s="214">
        <f t="shared" si="32"/>
        <v>5.6548492288770083E-4</v>
      </c>
      <c r="AE208" s="213">
        <f t="shared" si="35"/>
        <v>58116.55694750369</v>
      </c>
      <c r="AF208" s="214">
        <f t="shared" si="33"/>
        <v>5.6548492288770093E-4</v>
      </c>
    </row>
    <row r="209" spans="1:32" ht="15.75" x14ac:dyDescent="0.2">
      <c r="A209" s="206">
        <f t="shared" si="34"/>
        <v>179</v>
      </c>
      <c r="B209" s="88">
        <f>IF($F209="","",'הזנה לתנאי סף'!C209)</f>
        <v>1001346674</v>
      </c>
      <c r="C209" s="88">
        <f>IF($F209="","",'הזנה לתנאי סף'!D209)</f>
        <v>1001263309</v>
      </c>
      <c r="D209" s="88">
        <f>IF($F209="","",'הזנה לתנאי סף'!E209)</f>
        <v>40507679</v>
      </c>
      <c r="E209" s="88">
        <f>IF($F209="","",'הזנה לתנאי סף'!F209)</f>
        <v>20000057</v>
      </c>
      <c r="F209" s="88" t="str">
        <f>IF(OR('הזנה לתנאי סף'!G209="",'הזנה לתנאי סף'!BL209&lt;&gt;1,'הזנה לתנאי סף'!Q209&lt;&gt;1),"",'הזנה לתנאי סף'!G209)</f>
        <v>מעיליא</v>
      </c>
      <c r="G209" s="88" t="str">
        <f>IF($F209="","",'הזנה לתנאי סף'!H209)</f>
        <v>"ביאת" למוסיקה ושירה (ע"ר)</v>
      </c>
      <c r="H209" s="88" t="str">
        <f>IF($F209="","",'הזנה לתנאי סף'!I209)</f>
        <v>אחר</v>
      </c>
      <c r="I209" s="213">
        <f>IF($F209="","",'תחום תמיכה א'!$I209)</f>
        <v>485959</v>
      </c>
      <c r="J209" s="213">
        <f>IF($F209="","",'תחום תמיכה א'!$J209)</f>
        <v>969446</v>
      </c>
      <c r="K209" s="213">
        <f>IF($F209="","",'תחום תמיכה א'!$K209)</f>
        <v>0</v>
      </c>
      <c r="L209" s="213">
        <f t="shared" si="26"/>
        <v>1455405</v>
      </c>
      <c r="M209" s="214">
        <f t="shared" si="27"/>
        <v>0.33389949876494857</v>
      </c>
      <c r="N209" s="214">
        <f t="shared" si="36"/>
        <v>0.66610050123505138</v>
      </c>
      <c r="O209" s="213">
        <f t="shared" si="28"/>
        <v>645748.46652031562</v>
      </c>
      <c r="P209" s="213">
        <f>IF($F209="","",'פרמטרים לקריטריונים'!$C$59*O209)</f>
        <v>193724.53995609467</v>
      </c>
      <c r="Q209" s="214">
        <f t="shared" si="29"/>
        <v>1.1006053373466662E-3</v>
      </c>
      <c r="R209" s="213">
        <f t="shared" si="37"/>
        <v>110060.53373466662</v>
      </c>
      <c r="S209" s="213">
        <f>IF($F209="","",'הזנה לתנאי סף'!N209)</f>
        <v>0</v>
      </c>
      <c r="T209" s="213">
        <f>IF($F209="","",'הזנה לתנאי סף'!O209)</f>
        <v>1</v>
      </c>
      <c r="U209" s="213">
        <f>IF($F209="","",'תחום תמיכה א'!W209)</f>
        <v>0</v>
      </c>
      <c r="V209" s="213">
        <f>IF($F209="","",'תחום תמיכה א'!X209)</f>
        <v>0</v>
      </c>
      <c r="W209" s="213">
        <f>IF($F209="","",'תחום תמיכה א'!Y209)</f>
        <v>1</v>
      </c>
      <c r="X209" s="231">
        <f>IF($F209="","",'תחום תמיכה א'!Z209)</f>
        <v>0</v>
      </c>
      <c r="Y209" s="213" t="str">
        <f>IF($F209="","",'תחום תמיכה א'!AA209)</f>
        <v/>
      </c>
      <c r="Z209" s="214" t="str">
        <f>IF($F209="","",'תחום תמיכה א'!AB209)</f>
        <v/>
      </c>
      <c r="AA209" s="225" t="str">
        <f>IF($F209="","",'תחום תמיכה א'!AC209)</f>
        <v/>
      </c>
      <c r="AB209" s="213" t="str">
        <f t="shared" si="30"/>
        <v/>
      </c>
      <c r="AC209" s="213">
        <f t="shared" si="31"/>
        <v>110060.53373466662</v>
      </c>
      <c r="AD209" s="214">
        <f t="shared" si="32"/>
        <v>1.103020768262899E-3</v>
      </c>
      <c r="AE209" s="213">
        <f t="shared" si="35"/>
        <v>113360.70458904235</v>
      </c>
      <c r="AF209" s="214">
        <f t="shared" si="33"/>
        <v>1.1030207682628992E-3</v>
      </c>
    </row>
    <row r="210" spans="1:32" ht="15.75" x14ac:dyDescent="0.2">
      <c r="A210" s="206">
        <f t="shared" si="34"/>
        <v>180</v>
      </c>
      <c r="B210" s="88">
        <f>IF($F210="","",'הזנה לתנאי סף'!C210)</f>
        <v>1001350423</v>
      </c>
      <c r="C210" s="88">
        <f>IF($F210="","",'הזנה לתנאי סף'!D210)</f>
        <v>1001288875</v>
      </c>
      <c r="D210" s="88">
        <f>IF($F210="","",'הזנה לתנאי סף'!E210)</f>
        <v>41904917</v>
      </c>
      <c r="E210" s="88">
        <f>IF($F210="","",'הזנה לתנאי סף'!F210)</f>
        <v>20000065</v>
      </c>
      <c r="F210" s="88" t="str">
        <f>IF(OR('הזנה לתנאי סף'!G210="",'הזנה לתנאי סף'!BL210&lt;&gt;1,'הזנה לתנאי סף'!Q210&lt;&gt;1),"",'הזנה לתנאי סף'!G210)</f>
        <v>עספיא</v>
      </c>
      <c r="G210" s="88" t="str">
        <f>IF($F210="","",'הזנה לתנאי סף'!H210)</f>
        <v>התאחדות מוסיקאים ואמנים ערבים</v>
      </c>
      <c r="H210" s="88" t="str">
        <f>IF($F210="","",'הזנה לתנאי סף'!I210)</f>
        <v>אחר</v>
      </c>
      <c r="I210" s="213">
        <f>IF($F210="","",'תחום תמיכה א'!$I210)</f>
        <v>0</v>
      </c>
      <c r="J210" s="213">
        <f>IF($F210="","",'תחום תמיכה א'!$J210)</f>
        <v>163700</v>
      </c>
      <c r="K210" s="213">
        <f>IF($F210="","",'תחום תמיכה א'!$K210)</f>
        <v>0</v>
      </c>
      <c r="L210" s="213">
        <f t="shared" si="26"/>
        <v>163700</v>
      </c>
      <c r="M210" s="214">
        <f t="shared" si="27"/>
        <v>0</v>
      </c>
      <c r="N210" s="214">
        <f t="shared" si="36"/>
        <v>1</v>
      </c>
      <c r="O210" s="213">
        <f t="shared" si="28"/>
        <v>163700</v>
      </c>
      <c r="P210" s="213">
        <f>IF($F210="","",'פרמטרים לקריטריונים'!$C$59*O210)</f>
        <v>49110</v>
      </c>
      <c r="Q210" s="214">
        <f t="shared" si="29"/>
        <v>2.790081634951603E-4</v>
      </c>
      <c r="R210" s="213">
        <f t="shared" si="37"/>
        <v>27900.81634951603</v>
      </c>
      <c r="S210" s="213">
        <f>IF($F210="","",'הזנה לתנאי סף'!N210)</f>
        <v>0</v>
      </c>
      <c r="T210" s="213">
        <f>IF($F210="","",'הזנה לתנאי סף'!O210)</f>
        <v>1</v>
      </c>
      <c r="U210" s="213">
        <f>IF($F210="","",'תחום תמיכה א'!W210)</f>
        <v>0</v>
      </c>
      <c r="V210" s="213">
        <f>IF($F210="","",'תחום תמיכה א'!X210)</f>
        <v>0</v>
      </c>
      <c r="W210" s="213">
        <f>IF($F210="","",'תחום תמיכה א'!Y210)</f>
        <v>1</v>
      </c>
      <c r="X210" s="231">
        <f>IF($F210="","",'תחום תמיכה א'!Z210)</f>
        <v>0</v>
      </c>
      <c r="Y210" s="213" t="str">
        <f>IF($F210="","",'תחום תמיכה א'!AA210)</f>
        <v/>
      </c>
      <c r="Z210" s="214" t="str">
        <f>IF($F210="","",'תחום תמיכה א'!AB210)</f>
        <v/>
      </c>
      <c r="AA210" s="225" t="str">
        <f>IF($F210="","",'תחום תמיכה א'!AC210)</f>
        <v/>
      </c>
      <c r="AB210" s="213" t="str">
        <f t="shared" si="30"/>
        <v/>
      </c>
      <c r="AC210" s="213">
        <f t="shared" si="31"/>
        <v>27900.81634951603</v>
      </c>
      <c r="AD210" s="214">
        <f t="shared" si="32"/>
        <v>2.7962048557022152E-4</v>
      </c>
      <c r="AE210" s="213">
        <f t="shared" si="35"/>
        <v>28737.423785492512</v>
      </c>
      <c r="AF210" s="214">
        <f t="shared" si="33"/>
        <v>2.7962048557022157E-4</v>
      </c>
    </row>
    <row r="211" spans="1:32" ht="15.75" x14ac:dyDescent="0.2">
      <c r="A211" s="206">
        <f t="shared" si="34"/>
        <v>181</v>
      </c>
      <c r="B211" s="88">
        <f>IF($F211="","",'הזנה לתנאי סף'!C211)</f>
        <v>1001350410</v>
      </c>
      <c r="C211" s="88">
        <f>IF($F211="","",'הזנה לתנאי סף'!D211)</f>
        <v>1001280469</v>
      </c>
      <c r="D211" s="88">
        <f>IF($F211="","",'הזנה לתנאי סף'!E211)</f>
        <v>40822680</v>
      </c>
      <c r="E211" s="88">
        <f>IF($F211="","",'הזנה לתנאי סף'!F211)</f>
        <v>20000201</v>
      </c>
      <c r="F211" s="88" t="str">
        <f>IF(OR('הזנה לתנאי סף'!G211="",'הזנה לתנאי סף'!BL211&lt;&gt;1,'הזנה לתנאי סף'!Q211&lt;&gt;1),"",'הזנה לתנאי סף'!G211)</f>
        <v>תל אביב -יפו</v>
      </c>
      <c r="G211" s="88" t="str">
        <f>IF($F211="","",'הזנה לתנאי סף'!H211)</f>
        <v>העמותה לקידום סרטי תרבות ואמנות (ע"</v>
      </c>
      <c r="H211" s="88" t="str">
        <f>IF($F211="","",'הזנה לתנאי סף'!I211)</f>
        <v>סינמטקים ופסטיבלים</v>
      </c>
      <c r="I211" s="213">
        <f>IF($F211="","",'תחום תמיכה א'!$I211)</f>
        <v>152615</v>
      </c>
      <c r="J211" s="213">
        <f>IF($F211="","",'תחום תמיכה א'!$J211)</f>
        <v>319691</v>
      </c>
      <c r="K211" s="213">
        <f>IF($F211="","",'תחום תמיכה א'!$K211)</f>
        <v>128068</v>
      </c>
      <c r="L211" s="213">
        <f t="shared" si="26"/>
        <v>600374</v>
      </c>
      <c r="M211" s="214">
        <f t="shared" si="27"/>
        <v>0.25419988207350752</v>
      </c>
      <c r="N211" s="214">
        <f t="shared" si="36"/>
        <v>0.74580011792649248</v>
      </c>
      <c r="O211" s="213">
        <f t="shared" si="28"/>
        <v>238425.58550003832</v>
      </c>
      <c r="P211" s="213">
        <f>IF($F211="","",'פרמטרים לקריטריונים'!$C$59*O211)</f>
        <v>71527.675650011486</v>
      </c>
      <c r="Q211" s="214">
        <f t="shared" si="29"/>
        <v>4.0636948528175934E-4</v>
      </c>
      <c r="R211" s="213">
        <f t="shared" si="37"/>
        <v>40636.948528175933</v>
      </c>
      <c r="S211" s="213">
        <f>IF($F211="","",'הזנה לתנאי סף'!N211)</f>
        <v>1</v>
      </c>
      <c r="T211" s="213">
        <f>IF($F211="","",'הזנה לתנאי סף'!O211)</f>
        <v>1</v>
      </c>
      <c r="U211" s="213">
        <f>IF($F211="","",'תחום תמיכה א'!W211)</f>
        <v>0</v>
      </c>
      <c r="V211" s="213">
        <f>IF($F211="","",'תחום תמיכה א'!X211)</f>
        <v>0</v>
      </c>
      <c r="W211" s="213">
        <f>IF($F211="","",'תחום תמיכה א'!Y211)</f>
        <v>0</v>
      </c>
      <c r="X211" s="231" t="str">
        <f>IF($F211="","",'תחום תמיכה א'!Z211)</f>
        <v>בדוק נתוני הזנה</v>
      </c>
      <c r="Y211" s="213" t="str">
        <f>IF($F211="","",'תחום תמיכה א'!AA211)</f>
        <v>בדוק נתוני הזנה</v>
      </c>
      <c r="Z211" s="214">
        <f>IF($F211="","",'תחום תמיכה א'!AB211)</f>
        <v>0</v>
      </c>
      <c r="AA211" s="225" t="str">
        <f>IF($F211="","",'תחום תמיכה א'!AC211)</f>
        <v/>
      </c>
      <c r="AB211" s="213" t="str">
        <f t="shared" si="30"/>
        <v/>
      </c>
      <c r="AC211" s="213">
        <f t="shared" si="31"/>
        <v>40636.948528175933</v>
      </c>
      <c r="AD211" s="214">
        <f t="shared" si="32"/>
        <v>4.0726131942507679E-4</v>
      </c>
      <c r="AE211" s="213">
        <f t="shared" si="35"/>
        <v>41855.449552955281</v>
      </c>
      <c r="AF211" s="214">
        <f t="shared" si="33"/>
        <v>4.072613194250769E-4</v>
      </c>
    </row>
    <row r="212" spans="1:32" ht="15.75" x14ac:dyDescent="0.2">
      <c r="A212" s="206">
        <f t="shared" si="34"/>
        <v>182</v>
      </c>
      <c r="B212" s="88">
        <f>IF($F212="","",'הזנה לתנאי סף'!C212)</f>
        <v>1001349287</v>
      </c>
      <c r="C212" s="88">
        <f>IF($F212="","",'הזנה לתנאי סף'!D212)</f>
        <v>1001262828</v>
      </c>
      <c r="D212" s="88">
        <f>IF($F212="","",'הזנה לתנאי סף'!E212)</f>
        <v>41489778</v>
      </c>
      <c r="E212" s="88">
        <f>IF($F212="","",'הזנה לתנאי סף'!F212)</f>
        <v>20000211</v>
      </c>
      <c r="F212" s="88" t="str">
        <f>IF(OR('הזנה לתנאי סף'!G212="",'הזנה לתנאי סף'!BL212&lt;&gt;1,'הזנה לתנאי סף'!Q212&lt;&gt;1),"",'הזנה לתנאי סף'!G212)</f>
        <v>בת ים</v>
      </c>
      <c r="G212" s="88" t="str">
        <f>IF($F212="","",'הזנה לתנאי סף'!H212)</f>
        <v>כלים גוף לעבודה כוריאוגרפית</v>
      </c>
      <c r="H212" s="88" t="str">
        <f>IF($F212="","",'הזנה לתנאי סף'!I212)</f>
        <v>מרכזי מחול</v>
      </c>
      <c r="I212" s="213">
        <f>IF($F212="","",'תחום תמיכה א'!$I212)</f>
        <v>440000</v>
      </c>
      <c r="J212" s="213">
        <f>IF($F212="","",'תחום תמיכה א'!$J212)</f>
        <v>525128</v>
      </c>
      <c r="K212" s="213">
        <f>IF($F212="","",'תחום תמיכה א'!$K212)</f>
        <v>0</v>
      </c>
      <c r="L212" s="213">
        <f t="shared" si="26"/>
        <v>965128</v>
      </c>
      <c r="M212" s="214">
        <f t="shared" si="27"/>
        <v>0.45589807776792302</v>
      </c>
      <c r="N212" s="214">
        <f t="shared" si="36"/>
        <v>0.54410192223207698</v>
      </c>
      <c r="O212" s="213">
        <f t="shared" si="28"/>
        <v>285723.1542178861</v>
      </c>
      <c r="P212" s="213">
        <f>IF($F212="","",'פרמטרים לקריטריונים'!$C$59*O212)</f>
        <v>85716.946265365827</v>
      </c>
      <c r="Q212" s="214">
        <f t="shared" si="29"/>
        <v>4.8698284988623616E-4</v>
      </c>
      <c r="R212" s="213">
        <f t="shared" si="37"/>
        <v>48698.284988623614</v>
      </c>
      <c r="S212" s="213">
        <f>IF($F212="","",'הזנה לתנאי סף'!N212)</f>
        <v>0</v>
      </c>
      <c r="T212" s="213">
        <f>IF($F212="","",'הזנה לתנאי סף'!O212)</f>
        <v>1</v>
      </c>
      <c r="U212" s="213">
        <f>IF($F212="","",'תחום תמיכה א'!W212)</f>
        <v>0</v>
      </c>
      <c r="V212" s="213">
        <f>IF($F212="","",'תחום תמיכה א'!X212)</f>
        <v>0</v>
      </c>
      <c r="W212" s="213">
        <f>IF($F212="","",'תחום תמיכה א'!Y212)</f>
        <v>1</v>
      </c>
      <c r="X212" s="231">
        <f>IF($F212="","",'תחום תמיכה א'!Z212)</f>
        <v>0</v>
      </c>
      <c r="Y212" s="213" t="str">
        <f>IF($F212="","",'תחום תמיכה א'!AA212)</f>
        <v/>
      </c>
      <c r="Z212" s="214" t="str">
        <f>IF($F212="","",'תחום תמיכה א'!AB212)</f>
        <v/>
      </c>
      <c r="AA212" s="225" t="str">
        <f>IF($F212="","",'תחום תמיכה א'!AC212)</f>
        <v/>
      </c>
      <c r="AB212" s="213" t="str">
        <f t="shared" si="30"/>
        <v/>
      </c>
      <c r="AC212" s="213">
        <f t="shared" si="31"/>
        <v>48698.284988623614</v>
      </c>
      <c r="AD212" s="214">
        <f t="shared" si="32"/>
        <v>4.8805160122822593E-4</v>
      </c>
      <c r="AE212" s="213">
        <f t="shared" si="35"/>
        <v>50158.505608350788</v>
      </c>
      <c r="AF212" s="214">
        <f t="shared" si="33"/>
        <v>4.8805160122822604E-4</v>
      </c>
    </row>
    <row r="213" spans="1:32" ht="15.75" x14ac:dyDescent="0.2">
      <c r="A213" s="206">
        <f t="shared" si="34"/>
        <v>183</v>
      </c>
      <c r="B213" s="88">
        <f>IF($F213="","",'הזנה לתנאי סף'!C213)</f>
        <v>1001348951</v>
      </c>
      <c r="C213" s="88">
        <f>IF($F213="","",'הזנה לתנאי סף'!D213)</f>
        <v>1001290208</v>
      </c>
      <c r="D213" s="88">
        <f>IF($F213="","",'הזנה לתנאי סף'!E213)</f>
        <v>40298756</v>
      </c>
      <c r="E213" s="88">
        <f>IF($F213="","",'הזנה לתנאי סף'!F213)</f>
        <v>20000182</v>
      </c>
      <c r="F213" s="88" t="str">
        <f>IF(OR('הזנה לתנאי סף'!G213="",'הזנה לתנאי סף'!BL213&lt;&gt;1,'הזנה לתנאי סף'!Q213&lt;&gt;1),"",'הזנה לתנאי סף'!G213)</f>
        <v>חיפה</v>
      </c>
      <c r="G213" s="88" t="str">
        <f>IF($F213="","",'הזנה לתנאי סף'!H213)</f>
        <v>סרד לחינוך ספרותי</v>
      </c>
      <c r="H213" s="88" t="str">
        <f>IF($F213="","",'הזנה לתנאי סף'!I213)</f>
        <v>תרבות ערבית</v>
      </c>
      <c r="I213" s="213">
        <f>IF($F213="","",'תחום תמיכה א'!$I213)</f>
        <v>0</v>
      </c>
      <c r="J213" s="213">
        <f>IF($F213="","",'תחום תמיכה א'!$J213)</f>
        <v>131009</v>
      </c>
      <c r="K213" s="213">
        <f>IF($F213="","",'תחום תמיכה א'!$K213)</f>
        <v>0</v>
      </c>
      <c r="L213" s="213">
        <f t="shared" si="26"/>
        <v>131009</v>
      </c>
      <c r="M213" s="214">
        <f t="shared" si="27"/>
        <v>0</v>
      </c>
      <c r="N213" s="214">
        <f t="shared" si="36"/>
        <v>1</v>
      </c>
      <c r="O213" s="213">
        <f t="shared" si="28"/>
        <v>131009</v>
      </c>
      <c r="P213" s="213">
        <f>IF($F213="","",'פרמטרים לקריטריונים'!$C$59*O213)</f>
        <v>39302.699999999997</v>
      </c>
      <c r="Q213" s="214">
        <f t="shared" si="29"/>
        <v>2.2329004576259896E-4</v>
      </c>
      <c r="R213" s="213">
        <f t="shared" si="37"/>
        <v>22329.004576259897</v>
      </c>
      <c r="S213" s="213">
        <f>IF($F213="","",'הזנה לתנאי סף'!N213)</f>
        <v>1</v>
      </c>
      <c r="T213" s="213">
        <f>IF($F213="","",'הזנה לתנאי סף'!O213)</f>
        <v>1</v>
      </c>
      <c r="U213" s="213">
        <f>IF($F213="","",'תחום תמיכה א'!W213)</f>
        <v>0</v>
      </c>
      <c r="V213" s="213">
        <f>IF($F213="","",'תחום תמיכה א'!X213)</f>
        <v>0</v>
      </c>
      <c r="W213" s="213">
        <f>IF($F213="","",'תחום תמיכה א'!Y213)</f>
        <v>0</v>
      </c>
      <c r="X213" s="231" t="str">
        <f>IF($F213="","",'תחום תמיכה א'!Z213)</f>
        <v>בדוק נתוני הזנה</v>
      </c>
      <c r="Y213" s="213" t="str">
        <f>IF($F213="","",'תחום תמיכה א'!AA213)</f>
        <v>בדוק נתוני הזנה</v>
      </c>
      <c r="Z213" s="214">
        <f>IF($F213="","",'תחום תמיכה א'!AB213)</f>
        <v>1</v>
      </c>
      <c r="AA213" s="225" t="str">
        <f>IF($F213="","",'תחום תמיכה א'!AC213)</f>
        <v/>
      </c>
      <c r="AB213" s="213" t="str">
        <f t="shared" si="30"/>
        <v/>
      </c>
      <c r="AC213" s="213">
        <f t="shared" si="31"/>
        <v>22329.004576259897</v>
      </c>
      <c r="AD213" s="214">
        <f t="shared" si="32"/>
        <v>2.2378008670781395E-4</v>
      </c>
      <c r="AE213" s="213">
        <f t="shared" si="35"/>
        <v>22998.540945104385</v>
      </c>
      <c r="AF213" s="214">
        <f t="shared" si="33"/>
        <v>2.23780086707814E-4</v>
      </c>
    </row>
    <row r="214" spans="1:32" ht="15.75" x14ac:dyDescent="0.2">
      <c r="A214" s="206">
        <f t="shared" si="34"/>
        <v>184</v>
      </c>
      <c r="B214" s="88">
        <f>IF($F214="","",'הזנה לתנאי סף'!C214)</f>
        <v>1001350272</v>
      </c>
      <c r="C214" s="88">
        <f>IF($F214="","",'הזנה לתנאי סף'!D214)</f>
        <v>1001288861</v>
      </c>
      <c r="D214" s="88">
        <f>IF($F214="","",'הזנה לתנאי סף'!E214)</f>
        <v>40000218</v>
      </c>
      <c r="E214" s="88">
        <f>IF($F214="","",'הזנה לתנאי סף'!F214)</f>
        <v>20000061</v>
      </c>
      <c r="F214" s="88" t="str">
        <f>IF(OR('הזנה לתנאי סף'!G214="",'הזנה לתנאי סף'!BL214&lt;&gt;1,'הזנה לתנאי סף'!Q214&lt;&gt;1),"",'הזנה לתנאי סף'!G214)</f>
        <v>אעבלין</v>
      </c>
      <c r="G214" s="88" t="str">
        <f>IF($F214="","",'הזנה לתנאי סף'!H214)</f>
        <v>אלכרואן</v>
      </c>
      <c r="H214" s="88" t="str">
        <f>IF($F214="","",'הזנה לתנאי סף'!I214)</f>
        <v>תרבות ערבית</v>
      </c>
      <c r="I214" s="213">
        <f>IF($F214="","",'תחום תמיכה א'!$I214)</f>
        <v>525448</v>
      </c>
      <c r="J214" s="213">
        <f>IF($F214="","",'תחום תמיכה א'!$J214)</f>
        <v>536382</v>
      </c>
      <c r="K214" s="213">
        <f>IF($F214="","",'תחום תמיכה א'!$K214)</f>
        <v>73880</v>
      </c>
      <c r="L214" s="213">
        <f t="shared" si="26"/>
        <v>1135710</v>
      </c>
      <c r="M214" s="214">
        <f t="shared" si="27"/>
        <v>0.46266036224036067</v>
      </c>
      <c r="N214" s="214">
        <f t="shared" si="36"/>
        <v>0.53733963775963933</v>
      </c>
      <c r="O214" s="213">
        <f t="shared" si="28"/>
        <v>288219.30958079087</v>
      </c>
      <c r="P214" s="213">
        <f>IF($F214="","",'פרמטרים לקריטריונים'!$C$59*O214)</f>
        <v>86465.792874237261</v>
      </c>
      <c r="Q214" s="214">
        <f t="shared" si="29"/>
        <v>4.912372648135584E-4</v>
      </c>
      <c r="R214" s="213">
        <f t="shared" si="37"/>
        <v>49123.726481355843</v>
      </c>
      <c r="S214" s="213">
        <f>IF($F214="","",'הזנה לתנאי סף'!N214)</f>
        <v>0</v>
      </c>
      <c r="T214" s="213">
        <f>IF($F214="","",'הזנה לתנאי סף'!O214)</f>
        <v>1</v>
      </c>
      <c r="U214" s="213">
        <f>IF($F214="","",'תחום תמיכה א'!W214)</f>
        <v>0</v>
      </c>
      <c r="V214" s="213">
        <f>IF($F214="","",'תחום תמיכה א'!X214)</f>
        <v>0</v>
      </c>
      <c r="W214" s="213">
        <f>IF($F214="","",'תחום תמיכה א'!Y214)</f>
        <v>1</v>
      </c>
      <c r="X214" s="231">
        <f>IF($F214="","",'תחום תמיכה א'!Z214)</f>
        <v>0</v>
      </c>
      <c r="Y214" s="213" t="str">
        <f>IF($F214="","",'תחום תמיכה א'!AA214)</f>
        <v/>
      </c>
      <c r="Z214" s="214" t="str">
        <f>IF($F214="","",'תחום תמיכה א'!AB214)</f>
        <v/>
      </c>
      <c r="AA214" s="225" t="str">
        <f>IF($F214="","",'תחום תמיכה א'!AC214)</f>
        <v/>
      </c>
      <c r="AB214" s="213" t="str">
        <f t="shared" si="30"/>
        <v/>
      </c>
      <c r="AC214" s="213">
        <f t="shared" si="31"/>
        <v>49123.726481355843</v>
      </c>
      <c r="AD214" s="214">
        <f t="shared" si="32"/>
        <v>4.9231535305861165E-4</v>
      </c>
      <c r="AE214" s="213">
        <f t="shared" si="35"/>
        <v>50596.703986470668</v>
      </c>
      <c r="AF214" s="214">
        <f t="shared" si="33"/>
        <v>4.9231535305861176E-4</v>
      </c>
    </row>
    <row r="215" spans="1:32" ht="15.75" x14ac:dyDescent="0.2">
      <c r="A215" s="206">
        <f t="shared" si="34"/>
        <v>185</v>
      </c>
      <c r="B215" s="88">
        <f>IF($F215="","",'הזנה לתנאי סף'!C215)</f>
        <v>1001350325</v>
      </c>
      <c r="C215" s="88">
        <f>IF($F215="","",'הזנה לתנאי סף'!D215)</f>
        <v>1001271352</v>
      </c>
      <c r="D215" s="88">
        <f>IF($F215="","",'הזנה לתנאי סף'!E215)</f>
        <v>40000402</v>
      </c>
      <c r="E215" s="88">
        <f>IF($F215="","",'הזנה לתנאי סף'!F215)</f>
        <v>20000159</v>
      </c>
      <c r="F215" s="88" t="str">
        <f>IF(OR('הזנה לתנאי סף'!G215="",'הזנה לתנאי סף'!BL215&lt;&gt;1,'הזנה לתנאי סף'!Q215&lt;&gt;1),"",'הזנה לתנאי סף'!G215)</f>
        <v>ירושלים</v>
      </c>
      <c r="G215" s="88" t="str">
        <f>IF($F215="","",'הזנה לתנאי סף'!H215)</f>
        <v>מרכז החאן</v>
      </c>
      <c r="H215" s="88" t="str">
        <f>IF($F215="","",'הזנה לתנאי סף'!I215)</f>
        <v>תיאטרון</v>
      </c>
      <c r="I215" s="213">
        <f>IF($F215="","",'תחום תמיכה א'!$I215)</f>
        <v>12266220</v>
      </c>
      <c r="J215" s="213">
        <f>IF($F215="","",'תחום תמיכה א'!$J215)</f>
        <v>5499968</v>
      </c>
      <c r="K215" s="213">
        <f>IF($F215="","",'תחום תמיכה א'!$K215)</f>
        <v>0</v>
      </c>
      <c r="L215" s="213">
        <f t="shared" si="26"/>
        <v>17766188</v>
      </c>
      <c r="M215" s="214">
        <f t="shared" si="27"/>
        <v>0.69042498030528554</v>
      </c>
      <c r="N215" s="214">
        <f t="shared" si="36"/>
        <v>0.30957501969471446</v>
      </c>
      <c r="O215" s="213">
        <f t="shared" si="28"/>
        <v>1702652.7019202993</v>
      </c>
      <c r="P215" s="213">
        <f>IF($F215="","",'פרמטרים לקריטריונים'!$C$59*O215)</f>
        <v>510795.81057608977</v>
      </c>
      <c r="Q215" s="214">
        <f t="shared" si="29"/>
        <v>2.9019792512697327E-3</v>
      </c>
      <c r="R215" s="213">
        <f t="shared" si="37"/>
        <v>290197.92512697325</v>
      </c>
      <c r="S215" s="213">
        <f>IF($F215="","",'הזנה לתנאי סף'!N215)</f>
        <v>1</v>
      </c>
      <c r="T215" s="213">
        <f>IF($F215="","",'הזנה לתנאי סף'!O215)</f>
        <v>1</v>
      </c>
      <c r="U215" s="213">
        <f>IF($F215="","",'תחום תמיכה א'!W215)</f>
        <v>0</v>
      </c>
      <c r="V215" s="213">
        <f>IF($F215="","",'תחום תמיכה א'!X215)</f>
        <v>0</v>
      </c>
      <c r="W215" s="213">
        <f>IF($F215="","",'תחום תמיכה א'!Y215)</f>
        <v>0</v>
      </c>
      <c r="X215" s="231" t="str">
        <f>IF($F215="","",'תחום תמיכה א'!Z215)</f>
        <v>בדוק נתוני הזנה</v>
      </c>
      <c r="Y215" s="213" t="str">
        <f>IF($F215="","",'תחום תמיכה א'!AA215)</f>
        <v>בדוק נתוני הזנה</v>
      </c>
      <c r="Z215" s="214">
        <f>IF($F215="","",'תחום תמיכה א'!AB215)</f>
        <v>1</v>
      </c>
      <c r="AA215" s="225" t="str">
        <f>IF($F215="","",'תחום תמיכה א'!AC215)</f>
        <v/>
      </c>
      <c r="AB215" s="213" t="str">
        <f t="shared" si="30"/>
        <v/>
      </c>
      <c r="AC215" s="213">
        <f t="shared" si="31"/>
        <v>290197.92512697325</v>
      </c>
      <c r="AD215" s="214">
        <f t="shared" si="32"/>
        <v>2.9083480468442492E-3</v>
      </c>
      <c r="AE215" s="213">
        <f t="shared" si="35"/>
        <v>298899.52507390035</v>
      </c>
      <c r="AF215" s="214">
        <f t="shared" si="33"/>
        <v>2.9083480468442497E-3</v>
      </c>
    </row>
    <row r="216" spans="1:32" ht="15.75" x14ac:dyDescent="0.2">
      <c r="A216" s="206">
        <f t="shared" si="34"/>
        <v>186</v>
      </c>
      <c r="B216" s="88">
        <f>IF($F216="","",'הזנה לתנאי סף'!C216)</f>
        <v>1001350764</v>
      </c>
      <c r="C216" s="88">
        <f>IF($F216="","",'הזנה לתנאי סף'!D216)</f>
        <v>1001290586</v>
      </c>
      <c r="D216" s="88">
        <f>IF($F216="","",'הזנה לתנאי סף'!E216)</f>
        <v>40000625</v>
      </c>
      <c r="E216" s="88">
        <f>IF($F216="","",'הזנה לתנאי סף'!F216)</f>
        <v>20000154</v>
      </c>
      <c r="F216" s="88" t="str">
        <f>IF(OR('הזנה לתנאי סף'!G216="",'הזנה לתנאי סף'!BL216&lt;&gt;1,'הזנה לתנאי סף'!Q216&lt;&gt;1),"",'הזנה לתנאי סף'!G216)</f>
        <v>אום אל-פחם</v>
      </c>
      <c r="G216" s="88" t="str">
        <f>IF($F216="","",'הזנה לתנאי סף'!H216)</f>
        <v>אבדאע - עמותה לקידום האמנויות במגזר</v>
      </c>
      <c r="H216" s="88" t="str">
        <f>IF($F216="","",'הזנה לתנאי סף'!I216)</f>
        <v>תרבות ערבית</v>
      </c>
      <c r="I216" s="213">
        <f>IF($F216="","",'תחום תמיכה א'!$I216)</f>
        <v>437704</v>
      </c>
      <c r="J216" s="213">
        <f>IF($F216="","",'תחום תמיכה א'!$J216)</f>
        <v>255744</v>
      </c>
      <c r="K216" s="213">
        <f>IF($F216="","",'תחום תמיכה א'!$K216)</f>
        <v>0</v>
      </c>
      <c r="L216" s="213">
        <f t="shared" si="26"/>
        <v>693448</v>
      </c>
      <c r="M216" s="214">
        <f t="shared" si="27"/>
        <v>0.63119945547467149</v>
      </c>
      <c r="N216" s="214">
        <f t="shared" si="36"/>
        <v>0.36880054452532851</v>
      </c>
      <c r="O216" s="213">
        <f t="shared" si="28"/>
        <v>94318.52645908561</v>
      </c>
      <c r="P216" s="213">
        <f>IF($F216="","",'פרמטרים לקריטריונים'!$C$59*O216)</f>
        <v>28295.557937725684</v>
      </c>
      <c r="Q216" s="214">
        <f t="shared" si="29"/>
        <v>1.6075527703676945E-4</v>
      </c>
      <c r="R216" s="213">
        <f t="shared" si="37"/>
        <v>16075.527703676946</v>
      </c>
      <c r="S216" s="213">
        <f>IF($F216="","",'הזנה לתנאי סף'!N216)</f>
        <v>0</v>
      </c>
      <c r="T216" s="213">
        <f>IF($F216="","",'הזנה לתנאי סף'!O216)</f>
        <v>1</v>
      </c>
      <c r="U216" s="213">
        <f>IF($F216="","",'תחום תמיכה א'!W216)</f>
        <v>0</v>
      </c>
      <c r="V216" s="213">
        <f>IF($F216="","",'תחום תמיכה א'!X216)</f>
        <v>0</v>
      </c>
      <c r="W216" s="213">
        <f>IF($F216="","",'תחום תמיכה א'!Y216)</f>
        <v>1</v>
      </c>
      <c r="X216" s="231">
        <f>IF($F216="","",'תחום תמיכה א'!Z216)</f>
        <v>0</v>
      </c>
      <c r="Y216" s="213" t="str">
        <f>IF($F216="","",'תחום תמיכה א'!AA216)</f>
        <v/>
      </c>
      <c r="Z216" s="214" t="str">
        <f>IF($F216="","",'תחום תמיכה א'!AB216)</f>
        <v/>
      </c>
      <c r="AA216" s="225" t="str">
        <f>IF($F216="","",'תחום תמיכה א'!AC216)</f>
        <v/>
      </c>
      <c r="AB216" s="213" t="str">
        <f t="shared" si="30"/>
        <v/>
      </c>
      <c r="AC216" s="213">
        <f t="shared" si="31"/>
        <v>16075.527703676946</v>
      </c>
      <c r="AD216" s="214">
        <f t="shared" si="32"/>
        <v>1.6110807676699635E-4</v>
      </c>
      <c r="AE216" s="213">
        <f t="shared" si="35"/>
        <v>16557.553241771115</v>
      </c>
      <c r="AF216" s="214">
        <f t="shared" si="33"/>
        <v>1.6110807676699638E-4</v>
      </c>
    </row>
    <row r="217" spans="1:32" ht="15.75" x14ac:dyDescent="0.2">
      <c r="A217" s="206">
        <f t="shared" si="34"/>
        <v>187</v>
      </c>
      <c r="B217" s="88">
        <f>IF($F217="","",'הזנה לתנאי סף'!C217)</f>
        <v>1001349137</v>
      </c>
      <c r="C217" s="88">
        <f>IF($F217="","",'הזנה לתנאי סף'!D217)</f>
        <v>1001264894</v>
      </c>
      <c r="D217" s="88">
        <f>IF($F217="","",'הזנה לתנאי סף'!E217)</f>
        <v>40188899</v>
      </c>
      <c r="E217" s="88">
        <f>IF($F217="","",'הזנה לתנאי סף'!F217)</f>
        <v>20000159</v>
      </c>
      <c r="F217" s="88" t="str">
        <f>IF(OR('הזנה לתנאי סף'!G217="",'הזנה לתנאי סף'!BL217&lt;&gt;1,'הזנה לתנאי סף'!Q217&lt;&gt;1),"",'הזנה לתנאי סף'!G217)</f>
        <v>ירושלים</v>
      </c>
      <c r="G217" s="88" t="str">
        <f>IF($F217="","",'הזנה לתנאי סף'!H217)</f>
        <v>נהר אפרסמון</v>
      </c>
      <c r="H217" s="88" t="str">
        <f>IF($F217="","",'הזנה לתנאי סף'!I217)</f>
        <v>תרבות חרדית</v>
      </c>
      <c r="I217" s="213">
        <f>IF($F217="","",'תחום תמיכה א'!$I217)</f>
        <v>127500</v>
      </c>
      <c r="J217" s="213">
        <f>IF($F217="","",'תחום תמיכה א'!$J217)</f>
        <v>85725</v>
      </c>
      <c r="K217" s="213">
        <f>IF($F217="","",'תחום תמיכה א'!$K217)</f>
        <v>0</v>
      </c>
      <c r="L217" s="213">
        <f t="shared" si="26"/>
        <v>213225</v>
      </c>
      <c r="M217" s="214">
        <f t="shared" si="27"/>
        <v>0.59795990151248679</v>
      </c>
      <c r="N217" s="214">
        <f t="shared" si="36"/>
        <v>0.40204009848751321</v>
      </c>
      <c r="O217" s="213">
        <f t="shared" si="28"/>
        <v>34464.887442842068</v>
      </c>
      <c r="P217" s="213">
        <f>IF($F217="","",'פרמטרים לקריטריונים'!$C$59*O217)</f>
        <v>10339.466232852619</v>
      </c>
      <c r="Q217" s="214">
        <f t="shared" si="29"/>
        <v>5.8741508555252142E-5</v>
      </c>
      <c r="R217" s="213">
        <f t="shared" si="37"/>
        <v>5874.150855525214</v>
      </c>
      <c r="S217" s="213">
        <f>IF($F217="","",'הזנה לתנאי סף'!N217)</f>
        <v>0</v>
      </c>
      <c r="T217" s="213">
        <f>IF($F217="","",'הזנה לתנאי סף'!O217)</f>
        <v>1</v>
      </c>
      <c r="U217" s="213">
        <f>IF($F217="","",'תחום תמיכה א'!W217)</f>
        <v>0</v>
      </c>
      <c r="V217" s="213">
        <f>IF($F217="","",'תחום תמיכה א'!X217)</f>
        <v>0</v>
      </c>
      <c r="W217" s="213">
        <f>IF($F217="","",'תחום תמיכה א'!Y217)</f>
        <v>1</v>
      </c>
      <c r="X217" s="231">
        <f>IF($F217="","",'תחום תמיכה א'!Z217)</f>
        <v>0</v>
      </c>
      <c r="Y217" s="213" t="str">
        <f>IF($F217="","",'תחום תמיכה א'!AA217)</f>
        <v/>
      </c>
      <c r="Z217" s="214" t="str">
        <f>IF($F217="","",'תחום תמיכה א'!AB217)</f>
        <v/>
      </c>
      <c r="AA217" s="225" t="str">
        <f>IF($F217="","",'תחום תמיכה א'!AC217)</f>
        <v/>
      </c>
      <c r="AB217" s="213" t="str">
        <f t="shared" si="30"/>
        <v/>
      </c>
      <c r="AC217" s="213">
        <f t="shared" si="31"/>
        <v>5874.150855525214</v>
      </c>
      <c r="AD217" s="214">
        <f t="shared" si="32"/>
        <v>5.8870424935189538E-5</v>
      </c>
      <c r="AE217" s="213">
        <f t="shared" si="35"/>
        <v>6050.2875758353794</v>
      </c>
      <c r="AF217" s="214">
        <f t="shared" si="33"/>
        <v>5.8870424935189545E-5</v>
      </c>
    </row>
    <row r="218" spans="1:32" ht="15.75" x14ac:dyDescent="0.2">
      <c r="A218" s="206">
        <f t="shared" si="34"/>
        <v>188</v>
      </c>
      <c r="B218" s="88">
        <f>IF($F218="","",'הזנה לתנאי סף'!C218)</f>
        <v>1001349367</v>
      </c>
      <c r="C218" s="88">
        <f>IF($F218="","",'הזנה לתנאי סף'!D218)</f>
        <v>1001264905</v>
      </c>
      <c r="D218" s="88">
        <f>IF($F218="","",'הזנה לתנאי סף'!E218)</f>
        <v>40188899</v>
      </c>
      <c r="E218" s="88">
        <f>IF($F218="","",'הזנה לתנאי סף'!F218)</f>
        <v>20000159</v>
      </c>
      <c r="F218" s="88" t="str">
        <f>IF(OR('הזנה לתנאי סף'!G218="",'הזנה לתנאי סף'!BL218&lt;&gt;1,'הזנה לתנאי סף'!Q218&lt;&gt;1),"",'הזנה לתנאי סף'!G218)</f>
        <v>ירושלים</v>
      </c>
      <c r="G218" s="88" t="str">
        <f>IF($F218="","",'הזנה לתנאי סף'!H218)</f>
        <v>נהר אפרסמון</v>
      </c>
      <c r="H218" s="88" t="str">
        <f>IF($F218="","",'הזנה לתנאי סף'!I218)</f>
        <v>אחר</v>
      </c>
      <c r="I218" s="213">
        <f>IF($F218="","",'תחום תמיכה א'!$I218)</f>
        <v>184672</v>
      </c>
      <c r="J218" s="213">
        <f>IF($F218="","",'תחום תמיכה א'!$J218)</f>
        <v>70183</v>
      </c>
      <c r="K218" s="213">
        <f>IF($F218="","",'תחום תמיכה א'!$K218)</f>
        <v>0</v>
      </c>
      <c r="L218" s="213">
        <f t="shared" si="26"/>
        <v>254855</v>
      </c>
      <c r="M218" s="214">
        <f t="shared" si="27"/>
        <v>0.72461595809381807</v>
      </c>
      <c r="N218" s="214">
        <f t="shared" si="36"/>
        <v>0.27538404190618193</v>
      </c>
      <c r="O218" s="213">
        <f t="shared" si="28"/>
        <v>19327.278213101567</v>
      </c>
      <c r="P218" s="213">
        <f>IF($F218="","",'פרמטרים לקריטריונים'!$C$59*O218)</f>
        <v>5798.1834639304698</v>
      </c>
      <c r="Q218" s="214">
        <f t="shared" si="29"/>
        <v>3.2941163100778809E-5</v>
      </c>
      <c r="R218" s="213">
        <f t="shared" si="37"/>
        <v>3294.1163100778808</v>
      </c>
      <c r="S218" s="213">
        <f>IF($F218="","",'הזנה לתנאי סף'!N218)</f>
        <v>1</v>
      </c>
      <c r="T218" s="213">
        <f>IF($F218="","",'הזנה לתנאי סף'!O218)</f>
        <v>1</v>
      </c>
      <c r="U218" s="213">
        <f>IF($F218="","",'תחום תמיכה א'!W218)</f>
        <v>0</v>
      </c>
      <c r="V218" s="213">
        <f>IF($F218="","",'תחום תמיכה א'!X218)</f>
        <v>0</v>
      </c>
      <c r="W218" s="213">
        <f>IF($F218="","",'תחום תמיכה א'!Y218)</f>
        <v>0</v>
      </c>
      <c r="X218" s="231" t="str">
        <f>IF($F218="","",'תחום תמיכה א'!Z218)</f>
        <v>בדוק נתוני הזנה</v>
      </c>
      <c r="Y218" s="213" t="str">
        <f>IF($F218="","",'תחום תמיכה א'!AA218)</f>
        <v>בדוק נתוני הזנה</v>
      </c>
      <c r="Z218" s="214">
        <f>IF($F218="","",'תחום תמיכה א'!AB218)</f>
        <v>1</v>
      </c>
      <c r="AA218" s="225" t="str">
        <f>IF($F218="","",'תחום תמיכה א'!AC218)</f>
        <v/>
      </c>
      <c r="AB218" s="213" t="str">
        <f t="shared" si="30"/>
        <v/>
      </c>
      <c r="AC218" s="213">
        <f t="shared" si="31"/>
        <v>3294.1163100778808</v>
      </c>
      <c r="AD218" s="214">
        <f t="shared" si="32"/>
        <v>3.3013457047637276E-5</v>
      </c>
      <c r="AE218" s="213">
        <f t="shared" si="35"/>
        <v>3392.8905597435314</v>
      </c>
      <c r="AF218" s="214">
        <f t="shared" si="33"/>
        <v>3.3013457047637283E-5</v>
      </c>
    </row>
    <row r="219" spans="1:32" ht="15.75" x14ac:dyDescent="0.2">
      <c r="A219" s="206">
        <f t="shared" si="34"/>
        <v>189</v>
      </c>
      <c r="B219" s="88">
        <f>IF($F219="","",'הזנה לתנאי סף'!C219)</f>
        <v>1001346791</v>
      </c>
      <c r="C219" s="88">
        <f>IF($F219="","",'הזנה לתנאי סף'!D219)</f>
        <v>1001265735</v>
      </c>
      <c r="D219" s="88">
        <f>IF($F219="","",'הזנה לתנאי סף'!E219)</f>
        <v>40221576</v>
      </c>
      <c r="E219" s="88">
        <f>IF($F219="","",'הזנה לתנאי סף'!F219)</f>
        <v>20000231</v>
      </c>
      <c r="F219" s="88" t="str">
        <f>IF(OR('הזנה לתנאי סף'!G219="",'הזנה לתנאי סף'!BL219&lt;&gt;1,'הזנה לתנאי סף'!Q219&lt;&gt;1),"",'הזנה לתנאי סף'!G219)</f>
        <v>נצרת</v>
      </c>
      <c r="G219" s="88" t="str">
        <f>IF($F219="","",'הזנה לתנאי סף'!H219)</f>
        <v>אורפיאוס</v>
      </c>
      <c r="H219" s="88" t="str">
        <f>IF($F219="","",'הזנה לתנאי סף'!I219)</f>
        <v>מוסיקה-גופים כליים</v>
      </c>
      <c r="I219" s="213">
        <f>IF($F219="","",'תחום תמיכה א'!$I219)</f>
        <v>329370</v>
      </c>
      <c r="J219" s="213">
        <f>IF($F219="","",'תחום תמיכה א'!$J219)</f>
        <v>130088</v>
      </c>
      <c r="K219" s="213">
        <f>IF($F219="","",'תחום תמיכה א'!$K219)</f>
        <v>0</v>
      </c>
      <c r="L219" s="213">
        <f t="shared" si="26"/>
        <v>459458</v>
      </c>
      <c r="M219" s="214">
        <f t="shared" si="27"/>
        <v>0.71686639475207747</v>
      </c>
      <c r="N219" s="214">
        <f t="shared" si="36"/>
        <v>0.28313360524792253</v>
      </c>
      <c r="O219" s="213">
        <f t="shared" si="28"/>
        <v>36832.284439491748</v>
      </c>
      <c r="P219" s="213">
        <f>IF($F219="","",'פרמטרים לקריטריונים'!$C$59*O219)</f>
        <v>11049.685331847524</v>
      </c>
      <c r="Q219" s="214">
        <f t="shared" si="29"/>
        <v>6.2776469387867818E-5</v>
      </c>
      <c r="R219" s="213">
        <f t="shared" si="37"/>
        <v>6277.6469387867819</v>
      </c>
      <c r="S219" s="213">
        <f>IF($F219="","",'הזנה לתנאי סף'!N219)</f>
        <v>0</v>
      </c>
      <c r="T219" s="213">
        <f>IF($F219="","",'הזנה לתנאי סף'!O219)</f>
        <v>1</v>
      </c>
      <c r="U219" s="213">
        <f>IF($F219="","",'תחום תמיכה א'!W219)</f>
        <v>0</v>
      </c>
      <c r="V219" s="213">
        <f>IF($F219="","",'תחום תמיכה א'!X219)</f>
        <v>0</v>
      </c>
      <c r="W219" s="213">
        <f>IF($F219="","",'תחום תמיכה א'!Y219)</f>
        <v>1</v>
      </c>
      <c r="X219" s="231">
        <f>IF($F219="","",'תחום תמיכה א'!Z219)</f>
        <v>0</v>
      </c>
      <c r="Y219" s="213" t="str">
        <f>IF($F219="","",'תחום תמיכה א'!AA219)</f>
        <v/>
      </c>
      <c r="Z219" s="214" t="str">
        <f>IF($F219="","",'תחום תמיכה א'!AB219)</f>
        <v/>
      </c>
      <c r="AA219" s="225" t="str">
        <f>IF($F219="","",'תחום תמיכה א'!AC219)</f>
        <v/>
      </c>
      <c r="AB219" s="213" t="str">
        <f t="shared" si="30"/>
        <v/>
      </c>
      <c r="AC219" s="213">
        <f t="shared" si="31"/>
        <v>6277.6469387867819</v>
      </c>
      <c r="AD219" s="214">
        <f t="shared" si="32"/>
        <v>6.291424104844958E-5</v>
      </c>
      <c r="AE219" s="213">
        <f t="shared" si="35"/>
        <v>6465.8825102350393</v>
      </c>
      <c r="AF219" s="214">
        <f t="shared" si="33"/>
        <v>6.2914241048449594E-5</v>
      </c>
    </row>
    <row r="220" spans="1:32" ht="15.75" x14ac:dyDescent="0.2">
      <c r="A220" s="206">
        <f t="shared" si="34"/>
        <v>190</v>
      </c>
      <c r="B220" s="88">
        <f>IF($F220="","",'הזנה לתנאי סף'!C220)</f>
        <v>1001349328</v>
      </c>
      <c r="C220" s="88">
        <f>IF($F220="","",'הזנה לתנאי סף'!D220)</f>
        <v>1001275158</v>
      </c>
      <c r="D220" s="88">
        <f>IF($F220="","",'הזנה לתנאי סף'!E220)</f>
        <v>40268014</v>
      </c>
      <c r="E220" s="88">
        <f>IF($F220="","",'הזנה לתנאי סף'!F220)</f>
        <v>20000194</v>
      </c>
      <c r="F220" s="88" t="str">
        <f>IF(OR('הזנה לתנאי סף'!G220="",'הזנה לתנאי סף'!BL220&lt;&gt;1,'הזנה לתנאי סף'!Q220&lt;&gt;1),"",'הזנה לתנאי סף'!G220)</f>
        <v>גן רווה</v>
      </c>
      <c r="G220" s="88" t="str">
        <f>IF($F220="","",'הזנה לתנאי סף'!H220)</f>
        <v>מוזיאון בית מרים</v>
      </c>
      <c r="H220" s="88" t="str">
        <f>IF($F220="","",'הזנה לתנאי סף'!I220)</f>
        <v>מוזיאונים</v>
      </c>
      <c r="I220" s="213">
        <f>IF($F220="","",'תחום תמיכה א'!$I220)</f>
        <v>85756</v>
      </c>
      <c r="J220" s="213">
        <f>IF($F220="","",'תחום תמיכה א'!$J220)</f>
        <v>185436</v>
      </c>
      <c r="K220" s="213">
        <f>IF($F220="","",'תחום תמיכה א'!$K220)</f>
        <v>0</v>
      </c>
      <c r="L220" s="213">
        <f t="shared" si="26"/>
        <v>271192</v>
      </c>
      <c r="M220" s="214">
        <f t="shared" si="27"/>
        <v>0.31621876751526595</v>
      </c>
      <c r="N220" s="214">
        <f t="shared" si="36"/>
        <v>0.6837812324847341</v>
      </c>
      <c r="O220" s="213">
        <f t="shared" si="28"/>
        <v>126797.65662703915</v>
      </c>
      <c r="P220" s="213">
        <f>IF($F220="","",'פרמטרים לקריטריונים'!$C$59*O220)</f>
        <v>38039.296988111746</v>
      </c>
      <c r="Q220" s="214">
        <f t="shared" si="29"/>
        <v>2.1611228656689147E-4</v>
      </c>
      <c r="R220" s="213">
        <f t="shared" si="37"/>
        <v>21611.228656689145</v>
      </c>
      <c r="S220" s="213">
        <f>IF($F220="","",'הזנה לתנאי סף'!N220)</f>
        <v>0</v>
      </c>
      <c r="T220" s="213">
        <f>IF($F220="","",'הזנה לתנאי סף'!O220)</f>
        <v>1</v>
      </c>
      <c r="U220" s="213">
        <f>IF($F220="","",'תחום תמיכה א'!W220)</f>
        <v>0</v>
      </c>
      <c r="V220" s="213">
        <f>IF($F220="","",'תחום תמיכה א'!X220)</f>
        <v>0</v>
      </c>
      <c r="W220" s="213">
        <f>IF($F220="","",'תחום תמיכה א'!Y220)</f>
        <v>1</v>
      </c>
      <c r="X220" s="231">
        <f>IF($F220="","",'תחום תמיכה א'!Z220)</f>
        <v>0</v>
      </c>
      <c r="Y220" s="213" t="str">
        <f>IF($F220="","",'תחום תמיכה א'!AA220)</f>
        <v/>
      </c>
      <c r="Z220" s="214" t="str">
        <f>IF($F220="","",'תחום תמיכה א'!AB220)</f>
        <v/>
      </c>
      <c r="AA220" s="225" t="str">
        <f>IF($F220="","",'תחום תמיכה א'!AC220)</f>
        <v/>
      </c>
      <c r="AB220" s="213" t="str">
        <f t="shared" si="30"/>
        <v/>
      </c>
      <c r="AC220" s="213">
        <f t="shared" si="31"/>
        <v>21611.228656689145</v>
      </c>
      <c r="AD220" s="214">
        <f t="shared" si="32"/>
        <v>2.1658657492497799E-4</v>
      </c>
      <c r="AE220" s="213">
        <f t="shared" si="35"/>
        <v>22259.242477083608</v>
      </c>
      <c r="AF220" s="214">
        <f t="shared" si="33"/>
        <v>2.1658657492497804E-4</v>
      </c>
    </row>
    <row r="221" spans="1:32" ht="15.75" x14ac:dyDescent="0.2">
      <c r="A221" s="206">
        <f t="shared" si="34"/>
        <v>191</v>
      </c>
      <c r="B221" s="88">
        <f>IF($F221="","",'הזנה לתנאי סף'!C221)</f>
        <v>1001350855</v>
      </c>
      <c r="C221" s="88">
        <f>IF($F221="","",'הזנה לתנאי סף'!D221)</f>
        <v>1001268627</v>
      </c>
      <c r="D221" s="88">
        <f>IF($F221="","",'הזנה לתנאי סף'!E221)</f>
        <v>40000006</v>
      </c>
      <c r="E221" s="88">
        <f>IF($F221="","",'הזנה לתנאי סף'!F221)</f>
        <v>20000137</v>
      </c>
      <c r="F221" s="88" t="str">
        <f>IF(OR('הזנה לתנאי סף'!G221="",'הזנה לתנאי סף'!BL221&lt;&gt;1,'הזנה לתנאי סף'!Q221&lt;&gt;1),"",'הזנה לתנאי סף'!G221)</f>
        <v>מגידו</v>
      </c>
      <c r="G221" s="88" t="str">
        <f>IF($F221="","",'הזנה לתנאי סף'!H221)</f>
        <v>וילפריד ישראל לאמנות וידיעת המזרח בע"מ</v>
      </c>
      <c r="H221" s="88" t="str">
        <f>IF($F221="","",'הזנה לתנאי סף'!I221)</f>
        <v>מוזיאונים</v>
      </c>
      <c r="I221" s="213">
        <f>IF($F221="","",'תחום תמיכה א'!$I221)</f>
        <v>320581</v>
      </c>
      <c r="J221" s="213">
        <f>IF($F221="","",'תחום תמיכה א'!$J221)</f>
        <v>586551</v>
      </c>
      <c r="K221" s="213">
        <f>IF($F221="","",'תחום תמיכה א'!$K221)</f>
        <v>0</v>
      </c>
      <c r="L221" s="213">
        <f t="shared" si="26"/>
        <v>907132</v>
      </c>
      <c r="M221" s="214">
        <f t="shared" si="27"/>
        <v>0.35340060762931969</v>
      </c>
      <c r="N221" s="214">
        <f t="shared" si="36"/>
        <v>0.64659939237068031</v>
      </c>
      <c r="O221" s="213">
        <f t="shared" si="28"/>
        <v>379263.52019441489</v>
      </c>
      <c r="P221" s="213">
        <f>IF($F221="","",'פרמטרים לקריטריונים'!$C$59*O221)</f>
        <v>113779.05605832447</v>
      </c>
      <c r="Q221" s="214">
        <f t="shared" si="29"/>
        <v>6.4641184025750361E-4</v>
      </c>
      <c r="R221" s="213">
        <f t="shared" si="37"/>
        <v>64641.184025750357</v>
      </c>
      <c r="S221" s="213">
        <f>IF($F221="","",'הזנה לתנאי סף'!N221)</f>
        <v>0</v>
      </c>
      <c r="T221" s="213">
        <f>IF($F221="","",'הזנה לתנאי סף'!O221)</f>
        <v>1</v>
      </c>
      <c r="U221" s="213">
        <f>IF($F221="","",'תחום תמיכה א'!W221)</f>
        <v>0</v>
      </c>
      <c r="V221" s="213">
        <f>IF($F221="","",'תחום תמיכה א'!X221)</f>
        <v>0</v>
      </c>
      <c r="W221" s="213">
        <f>IF($F221="","",'תחום תמיכה א'!Y221)</f>
        <v>1</v>
      </c>
      <c r="X221" s="231">
        <f>IF($F221="","",'תחום תמיכה א'!Z221)</f>
        <v>0</v>
      </c>
      <c r="Y221" s="213" t="str">
        <f>IF($F221="","",'תחום תמיכה א'!AA221)</f>
        <v/>
      </c>
      <c r="Z221" s="214" t="str">
        <f>IF($F221="","",'תחום תמיכה א'!AB221)</f>
        <v/>
      </c>
      <c r="AA221" s="225" t="str">
        <f>IF($F221="","",'תחום תמיכה א'!AC221)</f>
        <v/>
      </c>
      <c r="AB221" s="213" t="str">
        <f t="shared" si="30"/>
        <v/>
      </c>
      <c r="AC221" s="213">
        <f t="shared" si="31"/>
        <v>64641.184025750357</v>
      </c>
      <c r="AD221" s="214">
        <f t="shared" si="32"/>
        <v>6.4783048060985829E-4</v>
      </c>
      <c r="AE221" s="213">
        <f t="shared" si="35"/>
        <v>66579.453306075739</v>
      </c>
      <c r="AF221" s="214">
        <f t="shared" si="33"/>
        <v>6.478304806098584E-4</v>
      </c>
    </row>
    <row r="222" spans="1:32" ht="15.75" x14ac:dyDescent="0.2">
      <c r="A222" s="206">
        <f t="shared" si="34"/>
        <v>192</v>
      </c>
      <c r="B222" s="88">
        <f>IF($F222="","",'הזנה לתנאי סף'!C222)</f>
        <v>1001350662</v>
      </c>
      <c r="C222" s="88">
        <f>IF($F222="","",'הזנה לתנאי סף'!D222)</f>
        <v>1001279212</v>
      </c>
      <c r="D222" s="88">
        <f>IF($F222="","",'הזנה לתנאי סף'!E222)</f>
        <v>40000437</v>
      </c>
      <c r="E222" s="88">
        <f>IF($F222="","",'הזנה לתנאי סף'!F222)</f>
        <v>20000201</v>
      </c>
      <c r="F222" s="88" t="str">
        <f>IF(OR('הזנה לתנאי סף'!G222="",'הזנה לתנאי סף'!BL222&lt;&gt;1,'הזנה לתנאי סף'!Q222&lt;&gt;1),"",'הזנה לתנאי סף'!G222)</f>
        <v>תל אביב -יפו</v>
      </c>
      <c r="G222" s="88" t="str">
        <f>IF($F222="","",'הזנה לתנאי סף'!H222)</f>
        <v>עמותת אמנים יוצרים בישראל</v>
      </c>
      <c r="H222" s="88" t="str">
        <f>IF($F222="","",'הזנה לתנאי סף'!I222)</f>
        <v>חללי תצוגה</v>
      </c>
      <c r="I222" s="213">
        <f>IF($F222="","",'תחום תמיכה א'!$I222)</f>
        <v>413597</v>
      </c>
      <c r="J222" s="213">
        <f>IF($F222="","",'תחום תמיכה א'!$J222)</f>
        <v>583296</v>
      </c>
      <c r="K222" s="213">
        <f>IF($F222="","",'תחום תמיכה א'!$K222)</f>
        <v>0</v>
      </c>
      <c r="L222" s="213">
        <f t="shared" si="26"/>
        <v>996893</v>
      </c>
      <c r="M222" s="214">
        <f t="shared" si="27"/>
        <v>0.41488605096033376</v>
      </c>
      <c r="N222" s="214">
        <f t="shared" si="36"/>
        <v>0.58511394903966618</v>
      </c>
      <c r="O222" s="213">
        <f t="shared" si="28"/>
        <v>341294.62601904111</v>
      </c>
      <c r="P222" s="213">
        <f>IF($F222="","",'פרמטרים לקריטריונים'!$C$59*O222)</f>
        <v>102388.38780571234</v>
      </c>
      <c r="Q222" s="214">
        <f t="shared" si="29"/>
        <v>5.8169814793121693E-4</v>
      </c>
      <c r="R222" s="213">
        <f t="shared" si="37"/>
        <v>58169.814793121695</v>
      </c>
      <c r="S222" s="213">
        <f>IF($F222="","",'הזנה לתנאי סף'!N222)</f>
        <v>1</v>
      </c>
      <c r="T222" s="213">
        <f>IF($F222="","",'הזנה לתנאי סף'!O222)</f>
        <v>1</v>
      </c>
      <c r="U222" s="213">
        <f>IF($F222="","",'תחום תמיכה א'!W222)</f>
        <v>0</v>
      </c>
      <c r="V222" s="213">
        <f>IF($F222="","",'תחום תמיכה א'!X222)</f>
        <v>0</v>
      </c>
      <c r="W222" s="213">
        <f>IF($F222="","",'תחום תמיכה א'!Y222)</f>
        <v>1</v>
      </c>
      <c r="X222" s="231">
        <f>IF($F222="","",'תחום תמיכה א'!Z222)</f>
        <v>0</v>
      </c>
      <c r="Y222" s="213" t="str">
        <f>IF($F222="","",'תחום תמיכה א'!AA222)</f>
        <v/>
      </c>
      <c r="Z222" s="214" t="str">
        <f>IF($F222="","",'תחום תמיכה א'!AB222)</f>
        <v/>
      </c>
      <c r="AA222" s="225" t="str">
        <f>IF($F222="","",'תחום תמיכה א'!AC222)</f>
        <v/>
      </c>
      <c r="AB222" s="213" t="str">
        <f t="shared" si="30"/>
        <v/>
      </c>
      <c r="AC222" s="213">
        <f t="shared" si="31"/>
        <v>58169.814793121695</v>
      </c>
      <c r="AD222" s="214">
        <f t="shared" si="32"/>
        <v>5.8297476511882365E-4</v>
      </c>
      <c r="AE222" s="213">
        <f t="shared" si="35"/>
        <v>59914.03972889654</v>
      </c>
      <c r="AF222" s="214">
        <f t="shared" si="33"/>
        <v>5.8297476511882376E-4</v>
      </c>
    </row>
    <row r="223" spans="1:32" ht="15.75" x14ac:dyDescent="0.2">
      <c r="A223" s="206" t="str">
        <f t="shared" si="34"/>
        <v/>
      </c>
      <c r="B223" s="88" t="str">
        <f>IF($F223="","",'הזנה לתנאי סף'!C223)</f>
        <v/>
      </c>
      <c r="C223" s="88" t="str">
        <f>IF($F223="","",'הזנה לתנאי סף'!D223)</f>
        <v/>
      </c>
      <c r="D223" s="88" t="str">
        <f>IF($F223="","",'הזנה לתנאי סף'!E223)</f>
        <v/>
      </c>
      <c r="E223" s="88" t="str">
        <f>IF($F223="","",'הזנה לתנאי סף'!F223)</f>
        <v/>
      </c>
      <c r="F223" s="88" t="str">
        <f>IF(OR('הזנה לתנאי סף'!G223="",'הזנה לתנאי סף'!BL223&lt;&gt;1,'הזנה לתנאי סף'!Q223&lt;&gt;1),"",'הזנה לתנאי סף'!G223)</f>
        <v/>
      </c>
      <c r="G223" s="88" t="str">
        <f>IF($F223="","",'הזנה לתנאי סף'!H223)</f>
        <v/>
      </c>
      <c r="H223" s="88" t="str">
        <f>IF($F223="","",'הזנה לתנאי סף'!I223)</f>
        <v/>
      </c>
      <c r="I223" s="213" t="str">
        <f>IF($F223="","",'תחום תמיכה א'!$I223)</f>
        <v/>
      </c>
      <c r="J223" s="213" t="str">
        <f>IF($F223="","",'תחום תמיכה א'!$J223)</f>
        <v/>
      </c>
      <c r="K223" s="213" t="str">
        <f>IF($F223="","",'תחום תמיכה א'!$K223)</f>
        <v/>
      </c>
      <c r="L223" s="213" t="str">
        <f t="shared" ref="L223:L286" si="38">IF($F223="","",SUM(I223:K223))</f>
        <v/>
      </c>
      <c r="M223" s="214" t="str">
        <f t="shared" ref="M223:M286" si="39">IF($F223="","",IFERROR(I223/L223,$AH$2))</f>
        <v/>
      </c>
      <c r="N223" s="214" t="str">
        <f t="shared" si="36"/>
        <v/>
      </c>
      <c r="O223" s="213" t="str">
        <f t="shared" ref="O223:O286" si="40">IF($F223="","",IFERROR((N223*J223),""))</f>
        <v/>
      </c>
      <c r="P223" s="213" t="str">
        <f>IF($F223="","",'פרמטרים לקריטריונים'!$C$59*O223)</f>
        <v/>
      </c>
      <c r="Q223" s="214" t="str">
        <f t="shared" ref="Q223:Q286" si="41">IF($F223="","",IFERROR(P223/$P$501,""))</f>
        <v/>
      </c>
      <c r="R223" s="213" t="str">
        <f t="shared" si="37"/>
        <v/>
      </c>
      <c r="S223" s="213" t="str">
        <f>IF($F223="","",'הזנה לתנאי סף'!N223)</f>
        <v/>
      </c>
      <c r="T223" s="213" t="str">
        <f>IF($F223="","",'הזנה לתנאי סף'!O223)</f>
        <v/>
      </c>
      <c r="U223" s="213" t="str">
        <f>IF($F223="","",'תחום תמיכה א'!W223)</f>
        <v/>
      </c>
      <c r="V223" s="213" t="str">
        <f>IF($F223="","",'תחום תמיכה א'!X223)</f>
        <v/>
      </c>
      <c r="W223" s="213" t="str">
        <f>IF($F223="","",'תחום תמיכה א'!Y223)</f>
        <v/>
      </c>
      <c r="X223" s="231" t="str">
        <f>IF($F223="","",'תחום תמיכה א'!Z223)</f>
        <v/>
      </c>
      <c r="Y223" s="213" t="str">
        <f>IF($F223="","",'תחום תמיכה א'!AA223)</f>
        <v/>
      </c>
      <c r="Z223" s="214" t="str">
        <f>IF($F223="","",'תחום תמיכה א'!AB223)</f>
        <v/>
      </c>
      <c r="AA223" s="225" t="str">
        <f>IF($F223="","",'תחום תמיכה א'!AC223)</f>
        <v/>
      </c>
      <c r="AB223" s="213" t="str">
        <f t="shared" ref="AB223:AB286" si="42">IF(OR($F223="",AA223=""),"",IF(COUNTBLANK(U223:V223)&gt;0,-R223,IF(-AA223*Y223&gt;R223,-R223,AA223*Y223)))</f>
        <v/>
      </c>
      <c r="AC223" s="213" t="str">
        <f t="shared" ref="AC223:AC286" si="43">IF($F223="","",IF(AB223&lt;&gt;"",R223+AB223,R223))</f>
        <v/>
      </c>
      <c r="AD223" s="214" t="str">
        <f t="shared" ref="AD223:AD286" si="44">IF($F223="","",IFERROR(AC223/$AC$501,""))</f>
        <v/>
      </c>
      <c r="AE223" s="213" t="str">
        <f t="shared" si="35"/>
        <v/>
      </c>
      <c r="AF223" s="214" t="str">
        <f t="shared" ref="AF223:AF286" si="45">IF($F223="","",IFERROR(AE223/$AE$501,""))</f>
        <v/>
      </c>
    </row>
    <row r="224" spans="1:32" ht="15.75" x14ac:dyDescent="0.2">
      <c r="A224" s="206">
        <f t="shared" ref="A224:A287" si="46">IF(F224="","",ROW()-30)</f>
        <v>194</v>
      </c>
      <c r="B224" s="88">
        <f>IF($F224="","",'הזנה לתנאי סף'!C224)</f>
        <v>1001349549</v>
      </c>
      <c r="C224" s="88">
        <f>IF($F224="","",'הזנה לתנאי סף'!D224)</f>
        <v>1001265903</v>
      </c>
      <c r="D224" s="88">
        <f>IF($F224="","",'הזנה לתנאי סף'!E224)</f>
        <v>41534722</v>
      </c>
      <c r="E224" s="88">
        <f>IF($F224="","",'הזנה לתנאי סף'!F224)</f>
        <v>20000228</v>
      </c>
      <c r="F224" s="88" t="str">
        <f>IF(OR('הזנה לתנאי סף'!G224="",'הזנה לתנאי סף'!BL224&lt;&gt;1,'הזנה לתנאי סף'!Q224&lt;&gt;1),"",'הזנה לתנאי סף'!G224)</f>
        <v>לוד</v>
      </c>
      <c r="G224" s="88" t="str">
        <f>IF($F224="","",'הזנה לתנאי סף'!H224)</f>
        <v>המרכז לתאטרון לוד</v>
      </c>
      <c r="H224" s="88" t="str">
        <f>IF($F224="","",'הזנה לתנאי סף'!I224)</f>
        <v>מרכזי פרינג'</v>
      </c>
      <c r="I224" s="213">
        <f>IF($F224="","",'תחום תמיכה א'!$I224)</f>
        <v>0</v>
      </c>
      <c r="J224" s="213">
        <f>IF($F224="","",'תחום תמיכה א'!$J224)</f>
        <v>20685</v>
      </c>
      <c r="K224" s="213">
        <f>IF($F224="","",'תחום תמיכה א'!$K224)</f>
        <v>0</v>
      </c>
      <c r="L224" s="213">
        <f t="shared" si="38"/>
        <v>20685</v>
      </c>
      <c r="M224" s="214">
        <f t="shared" si="39"/>
        <v>0</v>
      </c>
      <c r="N224" s="214">
        <f t="shared" si="36"/>
        <v>1</v>
      </c>
      <c r="O224" s="213">
        <f t="shared" si="40"/>
        <v>20685</v>
      </c>
      <c r="P224" s="213">
        <f>IF($F224="","",'פרמטרים לקריטריונים'!$C$59*O224)</f>
        <v>6205.5</v>
      </c>
      <c r="Q224" s="214">
        <f t="shared" si="41"/>
        <v>3.5255246560155106E-5</v>
      </c>
      <c r="R224" s="213">
        <f t="shared" si="37"/>
        <v>3525.5246560155106</v>
      </c>
      <c r="S224" s="213">
        <f>IF($F224="","",'הזנה לתנאי סף'!N224)</f>
        <v>0</v>
      </c>
      <c r="T224" s="213">
        <f>IF($F224="","",'הזנה לתנאי סף'!O224)</f>
        <v>1</v>
      </c>
      <c r="U224" s="213">
        <f>IF($F224="","",'תחום תמיכה א'!W224)</f>
        <v>0</v>
      </c>
      <c r="V224" s="213">
        <f>IF($F224="","",'תחום תמיכה א'!X224)</f>
        <v>0</v>
      </c>
      <c r="W224" s="213">
        <f>IF($F224="","",'תחום תמיכה א'!Y224)</f>
        <v>1</v>
      </c>
      <c r="X224" s="231">
        <f>IF($F224="","",'תחום תמיכה א'!Z224)</f>
        <v>0</v>
      </c>
      <c r="Y224" s="213" t="str">
        <f>IF($F224="","",'תחום תמיכה א'!AA224)</f>
        <v/>
      </c>
      <c r="Z224" s="214" t="str">
        <f>IF($F224="","",'תחום תמיכה א'!AB224)</f>
        <v/>
      </c>
      <c r="AA224" s="225" t="str">
        <f>IF($F224="","",'תחום תמיכה א'!AC224)</f>
        <v/>
      </c>
      <c r="AB224" s="213" t="str">
        <f t="shared" si="42"/>
        <v/>
      </c>
      <c r="AC224" s="213">
        <f t="shared" si="43"/>
        <v>3525.5246560155106</v>
      </c>
      <c r="AD224" s="214">
        <f t="shared" si="44"/>
        <v>3.5332619083812046E-5</v>
      </c>
      <c r="AE224" s="213">
        <f t="shared" ref="AE224:AE287" si="47">IFERROR(AD224*$F$5+AC224,"")</f>
        <v>3631.2376970245118</v>
      </c>
      <c r="AF224" s="214">
        <f t="shared" si="45"/>
        <v>3.5332619083812053E-5</v>
      </c>
    </row>
    <row r="225" spans="1:32" ht="15.75" x14ac:dyDescent="0.2">
      <c r="A225" s="206">
        <f t="shared" si="46"/>
        <v>195</v>
      </c>
      <c r="B225" s="88">
        <f>IF($F225="","",'הזנה לתנאי סף'!C225)</f>
        <v>1001350350</v>
      </c>
      <c r="C225" s="88">
        <f>IF($F225="","",'הזנה לתנאי סף'!D225)</f>
        <v>1001270597</v>
      </c>
      <c r="D225" s="88">
        <f>IF($F225="","",'הזנה לתנאי סף'!E225)</f>
        <v>41103047</v>
      </c>
      <c r="E225" s="88">
        <f>IF($F225="","",'הזנה לתנאי סף'!F225)</f>
        <v>20000201</v>
      </c>
      <c r="F225" s="88" t="str">
        <f>IF(OR('הזנה לתנאי סף'!G225="",'הזנה לתנאי סף'!BL225&lt;&gt;1,'הזנה לתנאי סף'!Q225&lt;&gt;1),"",'הזנה לתנאי סף'!G225)</f>
        <v>תל אביב -יפו</v>
      </c>
      <c r="G225" s="88" t="str">
        <f>IF($F225="","",'הזנה לתנאי סף'!H225)</f>
        <v>א.מ.א. - אומנות מקורית אלטרנטיבית</v>
      </c>
      <c r="H225" s="88" t="str">
        <f>IF($F225="","",'הזנה לתנאי סף'!I225)</f>
        <v>מרכזי מוסיקה</v>
      </c>
      <c r="I225" s="213">
        <f>IF($F225="","",'תחום תמיכה א'!$I225)</f>
        <v>264612</v>
      </c>
      <c r="J225" s="213">
        <f>IF($F225="","",'תחום תמיכה א'!$J225)</f>
        <v>1472655</v>
      </c>
      <c r="K225" s="213">
        <f>IF($F225="","",'תחום תמיכה א'!$K225)</f>
        <v>0</v>
      </c>
      <c r="L225" s="213">
        <f t="shared" si="38"/>
        <v>1737267</v>
      </c>
      <c r="M225" s="214">
        <f t="shared" si="39"/>
        <v>0.15231510182372657</v>
      </c>
      <c r="N225" s="214">
        <f t="shared" si="36"/>
        <v>0.84768489817627346</v>
      </c>
      <c r="O225" s="213">
        <f t="shared" si="40"/>
        <v>1248347.4037237801</v>
      </c>
      <c r="P225" s="213">
        <f>IF($F225="","",'פרמטרים לקריטריונים'!$C$59*O225)</f>
        <v>374504.22111713403</v>
      </c>
      <c r="Q225" s="214">
        <f t="shared" si="41"/>
        <v>2.1276671748132153E-3</v>
      </c>
      <c r="R225" s="213">
        <f t="shared" si="37"/>
        <v>212766.71748132154</v>
      </c>
      <c r="S225" s="213">
        <f>IF($F225="","",'הזנה לתנאי סף'!N225)</f>
        <v>1</v>
      </c>
      <c r="T225" s="213">
        <f>IF($F225="","",'הזנה לתנאי סף'!O225)</f>
        <v>1</v>
      </c>
      <c r="U225" s="213">
        <f>IF($F225="","",'תחום תמיכה א'!W225)</f>
        <v>0</v>
      </c>
      <c r="V225" s="213">
        <f>IF($F225="","",'תחום תמיכה א'!X225)</f>
        <v>0</v>
      </c>
      <c r="W225" s="213">
        <f>IF($F225="","",'תחום תמיכה א'!Y225)</f>
        <v>0</v>
      </c>
      <c r="X225" s="231" t="str">
        <f>IF($F225="","",'תחום תמיכה א'!Z225)</f>
        <v>בדוק נתוני הזנה</v>
      </c>
      <c r="Y225" s="213" t="str">
        <f>IF($F225="","",'תחום תמיכה א'!AA225)</f>
        <v>בדוק נתוני הזנה</v>
      </c>
      <c r="Z225" s="214">
        <f>IF($F225="","",'תחום תמיכה א'!AB225)</f>
        <v>1</v>
      </c>
      <c r="AA225" s="225" t="str">
        <f>IF($F225="","",'תחום תמיכה א'!AC225)</f>
        <v/>
      </c>
      <c r="AB225" s="213" t="str">
        <f t="shared" si="42"/>
        <v/>
      </c>
      <c r="AC225" s="213">
        <f t="shared" si="43"/>
        <v>212766.71748132154</v>
      </c>
      <c r="AD225" s="214">
        <f t="shared" si="44"/>
        <v>2.1323366352447694E-3</v>
      </c>
      <c r="AE225" s="213">
        <f t="shared" si="47"/>
        <v>219146.53862143913</v>
      </c>
      <c r="AF225" s="214">
        <f t="shared" si="45"/>
        <v>2.1323366352447698E-3</v>
      </c>
    </row>
    <row r="226" spans="1:32" ht="15.75" x14ac:dyDescent="0.2">
      <c r="A226" s="206">
        <f t="shared" si="46"/>
        <v>196</v>
      </c>
      <c r="B226" s="88">
        <f>IF($F226="","",'הזנה לתנאי סף'!C226)</f>
        <v>1001347622</v>
      </c>
      <c r="C226" s="88">
        <f>IF($F226="","",'הזנה לתנאי סף'!D226)</f>
        <v>1001266749</v>
      </c>
      <c r="D226" s="88">
        <f>IF($F226="","",'הזנה לתנאי סף'!E226)</f>
        <v>40000166</v>
      </c>
      <c r="E226" s="88">
        <f>IF($F226="","",'הזנה לתנאי סף'!F226)</f>
        <v>20000231</v>
      </c>
      <c r="F226" s="88" t="str">
        <f>IF(OR('הזנה לתנאי סף'!G226="",'הזנה לתנאי סף'!BL226&lt;&gt;1,'הזנה לתנאי סף'!Q226&lt;&gt;1),"",'הזנה לתנאי סף'!G226)</f>
        <v>נצרת</v>
      </c>
      <c r="G226" s="88" t="str">
        <f>IF($F226="","",'הזנה לתנאי סף'!H226)</f>
        <v>האגודה הנצרתית לאומנות</v>
      </c>
      <c r="H226" s="88" t="str">
        <f>IF($F226="","",'הזנה לתנאי סף'!I226)</f>
        <v>תרבות ערבית</v>
      </c>
      <c r="I226" s="213">
        <f>IF($F226="","",'תחום תמיכה א'!$I226)</f>
        <v>485392</v>
      </c>
      <c r="J226" s="213">
        <f>IF($F226="","",'תחום תמיכה א'!$J226)</f>
        <v>563860</v>
      </c>
      <c r="K226" s="213">
        <f>IF($F226="","",'תחום תמיכה א'!$K226)</f>
        <v>5000</v>
      </c>
      <c r="L226" s="213">
        <f t="shared" si="38"/>
        <v>1054252</v>
      </c>
      <c r="M226" s="214">
        <f t="shared" si="39"/>
        <v>0.46041363924374817</v>
      </c>
      <c r="N226" s="214">
        <f t="shared" ref="N226:N289" si="48">IF($F226="","",IFERROR((1-M226),""))</f>
        <v>0.53958636075625188</v>
      </c>
      <c r="O226" s="213">
        <f t="shared" si="40"/>
        <v>304251.16537602019</v>
      </c>
      <c r="P226" s="213">
        <f>IF($F226="","",'פרמטרים לקריטריונים'!$C$59*O226)</f>
        <v>91275.349612806051</v>
      </c>
      <c r="Q226" s="214">
        <f t="shared" si="41"/>
        <v>5.1856175255238657E-4</v>
      </c>
      <c r="R226" s="213">
        <f t="shared" ref="R226:R289" si="49">IF($F226="","",IFERROR(Q226*$F$4,""))</f>
        <v>51856.175255238661</v>
      </c>
      <c r="S226" s="213">
        <f>IF($F226="","",'הזנה לתנאי סף'!N226)</f>
        <v>0</v>
      </c>
      <c r="T226" s="213">
        <f>IF($F226="","",'הזנה לתנאי סף'!O226)</f>
        <v>1</v>
      </c>
      <c r="U226" s="213">
        <f>IF($F226="","",'תחום תמיכה א'!W226)</f>
        <v>0</v>
      </c>
      <c r="V226" s="213">
        <f>IF($F226="","",'תחום תמיכה א'!X226)</f>
        <v>0</v>
      </c>
      <c r="W226" s="213">
        <f>IF($F226="","",'תחום תמיכה א'!Y226)</f>
        <v>1</v>
      </c>
      <c r="X226" s="231">
        <f>IF($F226="","",'תחום תמיכה א'!Z226)</f>
        <v>0</v>
      </c>
      <c r="Y226" s="213" t="str">
        <f>IF($F226="","",'תחום תמיכה א'!AA226)</f>
        <v/>
      </c>
      <c r="Z226" s="214" t="str">
        <f>IF($F226="","",'תחום תמיכה א'!AB226)</f>
        <v/>
      </c>
      <c r="AA226" s="225" t="str">
        <f>IF($F226="","",'תחום תמיכה א'!AC226)</f>
        <v/>
      </c>
      <c r="AB226" s="213" t="str">
        <f t="shared" si="42"/>
        <v/>
      </c>
      <c r="AC226" s="213">
        <f t="shared" si="43"/>
        <v>51856.175255238661</v>
      </c>
      <c r="AD226" s="214">
        <f t="shared" si="44"/>
        <v>5.1969980817195187E-4</v>
      </c>
      <c r="AE226" s="213">
        <f t="shared" si="47"/>
        <v>53411.085379600838</v>
      </c>
      <c r="AF226" s="214">
        <f t="shared" si="45"/>
        <v>5.1969980817195198E-4</v>
      </c>
    </row>
    <row r="227" spans="1:32" ht="15.75" x14ac:dyDescent="0.2">
      <c r="A227" s="206">
        <f t="shared" si="46"/>
        <v>197</v>
      </c>
      <c r="B227" s="88">
        <f>IF($F227="","",'הזנה לתנאי סף'!C227)</f>
        <v>1001347084</v>
      </c>
      <c r="C227" s="88">
        <f>IF($F227="","",'הזנה לתנאי סף'!D227)</f>
        <v>1001347084</v>
      </c>
      <c r="D227" s="88">
        <f>IF($F227="","",'הזנה לתנאי סף'!E227)</f>
        <v>40461777</v>
      </c>
      <c r="E227" s="88">
        <f>IF($F227="","",'הזנה לתנאי סף'!F227)</f>
        <v>20000256</v>
      </c>
      <c r="F227" s="88" t="str">
        <f>IF(OR('הזנה לתנאי סף'!G227="",'הזנה לתנאי סף'!BL227&lt;&gt;1,'הזנה לתנאי סף'!Q227&lt;&gt;1),"",'הזנה לתנאי סף'!G227)</f>
        <v>בית שאן</v>
      </c>
      <c r="G227" s="88" t="str">
        <f>IF($F227="","",'הזנה לתנאי סף'!H227)</f>
        <v>העמותה לקידום התיאטרון בבית שאן</v>
      </c>
      <c r="H227" s="88" t="str">
        <f>IF($F227="","",'הזנה לתנאי סף'!I227)</f>
        <v>תיאטרון</v>
      </c>
      <c r="I227" s="213">
        <f>IF($F227="","",'תחום תמיכה א'!$I227)</f>
        <v>55609</v>
      </c>
      <c r="J227" s="213">
        <f>IF($F227="","",'תחום תמיכה א'!$J227)</f>
        <v>26907</v>
      </c>
      <c r="K227" s="213">
        <f>IF($F227="","",'תחום תמיכה א'!$K227)</f>
        <v>5078</v>
      </c>
      <c r="L227" s="213">
        <f t="shared" si="38"/>
        <v>87594</v>
      </c>
      <c r="M227" s="214">
        <f t="shared" si="39"/>
        <v>0.63484941890997104</v>
      </c>
      <c r="N227" s="214">
        <f t="shared" si="48"/>
        <v>0.36515058109002896</v>
      </c>
      <c r="O227" s="213">
        <f t="shared" si="40"/>
        <v>9825.1066853894099</v>
      </c>
      <c r="P227" s="213">
        <f>IF($F227="","",'פרמטרים לקריטריונים'!$C$59*O227)</f>
        <v>2947.532005616823</v>
      </c>
      <c r="Q227" s="214">
        <f t="shared" si="41"/>
        <v>1.674578480412047E-5</v>
      </c>
      <c r="R227" s="213">
        <f t="shared" si="49"/>
        <v>1674.5784804120469</v>
      </c>
      <c r="S227" s="213">
        <f>IF($F227="","",'הזנה לתנאי סף'!N227)</f>
        <v>0</v>
      </c>
      <c r="T227" s="213">
        <f>IF($F227="","",'הזנה לתנאי סף'!O227)</f>
        <v>1</v>
      </c>
      <c r="U227" s="213">
        <f>IF($F227="","",'תחום תמיכה א'!W227)</f>
        <v>0</v>
      </c>
      <c r="V227" s="213">
        <f>IF($F227="","",'תחום תמיכה א'!X227)</f>
        <v>0</v>
      </c>
      <c r="W227" s="213">
        <f>IF($F227="","",'תחום תמיכה א'!Y227)</f>
        <v>1</v>
      </c>
      <c r="X227" s="231">
        <f>IF($F227="","",'תחום תמיכה א'!Z227)</f>
        <v>0</v>
      </c>
      <c r="Y227" s="213" t="str">
        <f>IF($F227="","",'תחום תמיכה א'!AA227)</f>
        <v/>
      </c>
      <c r="Z227" s="214" t="str">
        <f>IF($F227="","",'תחום תמיכה א'!AB227)</f>
        <v/>
      </c>
      <c r="AA227" s="225" t="str">
        <f>IF($F227="","",'תחום תמיכה א'!AC227)</f>
        <v/>
      </c>
      <c r="AB227" s="213" t="str">
        <f t="shared" si="42"/>
        <v/>
      </c>
      <c r="AC227" s="213">
        <f t="shared" si="43"/>
        <v>1674.5784804120469</v>
      </c>
      <c r="AD227" s="214">
        <f t="shared" si="44"/>
        <v>1.6782535749223068E-5</v>
      </c>
      <c r="AE227" s="213">
        <f t="shared" si="47"/>
        <v>1724.7908036390415</v>
      </c>
      <c r="AF227" s="214">
        <f t="shared" si="45"/>
        <v>1.6782535749223071E-5</v>
      </c>
    </row>
    <row r="228" spans="1:32" ht="15.75" x14ac:dyDescent="0.2">
      <c r="A228" s="206">
        <f t="shared" si="46"/>
        <v>198</v>
      </c>
      <c r="B228" s="88">
        <f>IF($F228="","",'הזנה לתנאי סף'!C228)</f>
        <v>1001348948</v>
      </c>
      <c r="C228" s="88">
        <f>IF($F228="","",'הזנה לתנאי סף'!D228)</f>
        <v>1001266872</v>
      </c>
      <c r="D228" s="88">
        <f>IF($F228="","",'הזנה לתנאי סף'!E228)</f>
        <v>40000626</v>
      </c>
      <c r="E228" s="88">
        <f>IF($F228="","",'הזנה לתנאי סף'!F228)</f>
        <v>20000052</v>
      </c>
      <c r="F228" s="88" t="str">
        <f>IF(OR('הזנה לתנאי סף'!G228="",'הזנה לתנאי סף'!BL228&lt;&gt;1,'הזנה לתנאי סף'!Q228&lt;&gt;1),"",'הזנה לתנאי סף'!G228)</f>
        <v>כפר כנא</v>
      </c>
      <c r="G228" s="88" t="str">
        <f>IF($F228="","",'הזנה לתנאי סף'!H228)</f>
        <v>עמותת אלפאראבי המוסיקלית כפר קנא</v>
      </c>
      <c r="H228" s="88" t="str">
        <f>IF($F228="","",'הזנה לתנאי סף'!I228)</f>
        <v>תרבות ערבית</v>
      </c>
      <c r="I228" s="213">
        <f>IF($F228="","",'תחום תמיכה א'!$I228)</f>
        <v>1285269</v>
      </c>
      <c r="J228" s="213">
        <f>IF($F228="","",'תחום תמיכה א'!$J228)</f>
        <v>1219515</v>
      </c>
      <c r="K228" s="213">
        <f>IF($F228="","",'תחום תמיכה א'!$K228)</f>
        <v>0</v>
      </c>
      <c r="L228" s="213">
        <f t="shared" si="38"/>
        <v>2504784</v>
      </c>
      <c r="M228" s="214">
        <f t="shared" si="39"/>
        <v>0.51312568269359748</v>
      </c>
      <c r="N228" s="214">
        <f t="shared" si="48"/>
        <v>0.48687431730640252</v>
      </c>
      <c r="O228" s="213">
        <f t="shared" si="40"/>
        <v>593750.53306991747</v>
      </c>
      <c r="P228" s="213">
        <f>IF($F228="","",'פרמטרים לקריטריונים'!$C$59*O228)</f>
        <v>178125.15992097525</v>
      </c>
      <c r="Q228" s="214">
        <f t="shared" si="41"/>
        <v>1.0119807318638369E-3</v>
      </c>
      <c r="R228" s="213">
        <f t="shared" si="49"/>
        <v>101198.07318638368</v>
      </c>
      <c r="S228" s="213">
        <f>IF($F228="","",'הזנה לתנאי סף'!N228)</f>
        <v>0</v>
      </c>
      <c r="T228" s="213">
        <f>IF($F228="","",'הזנה לתנאי סף'!O228)</f>
        <v>1</v>
      </c>
      <c r="U228" s="213">
        <f>IF($F228="","",'תחום תמיכה א'!W228)</f>
        <v>0</v>
      </c>
      <c r="V228" s="213">
        <f>IF($F228="","",'תחום תמיכה א'!X228)</f>
        <v>0</v>
      </c>
      <c r="W228" s="213">
        <f>IF($F228="","",'תחום תמיכה א'!Y228)</f>
        <v>1</v>
      </c>
      <c r="X228" s="231">
        <f>IF($F228="","",'תחום תמיכה א'!Z228)</f>
        <v>0</v>
      </c>
      <c r="Y228" s="213" t="str">
        <f>IF($F228="","",'תחום תמיכה א'!AA228)</f>
        <v/>
      </c>
      <c r="Z228" s="214" t="str">
        <f>IF($F228="","",'תחום תמיכה א'!AB228)</f>
        <v/>
      </c>
      <c r="AA228" s="225" t="str">
        <f>IF($F228="","",'תחום תמיכה א'!AC228)</f>
        <v/>
      </c>
      <c r="AB228" s="213" t="str">
        <f t="shared" si="42"/>
        <v/>
      </c>
      <c r="AC228" s="213">
        <f t="shared" si="43"/>
        <v>101198.07318638368</v>
      </c>
      <c r="AD228" s="214">
        <f t="shared" si="44"/>
        <v>1.0142016638032263E-3</v>
      </c>
      <c r="AE228" s="213">
        <f t="shared" si="47"/>
        <v>104232.50269818144</v>
      </c>
      <c r="AF228" s="214">
        <f t="shared" si="45"/>
        <v>1.0142016638032267E-3</v>
      </c>
    </row>
    <row r="229" spans="1:32" ht="15.75" x14ac:dyDescent="0.2">
      <c r="A229" s="206">
        <f t="shared" si="46"/>
        <v>199</v>
      </c>
      <c r="B229" s="88">
        <f>IF($F229="","",'הזנה לתנאי סף'!C229)</f>
        <v>1001349377</v>
      </c>
      <c r="C229" s="88">
        <f>IF($F229="","",'הזנה לתנאי סף'!D229)</f>
        <v>1001270641</v>
      </c>
      <c r="D229" s="88">
        <f>IF($F229="","",'הזנה לתנאי סף'!E229)</f>
        <v>40376018</v>
      </c>
      <c r="E229" s="88">
        <f>IF($F229="","",'הזנה לתנאי סף'!F229)</f>
        <v>20000130</v>
      </c>
      <c r="F229" s="88" t="str">
        <f>IF(OR('הזנה לתנאי סף'!G229="",'הזנה לתנאי סף'!BL229&lt;&gt;1,'הזנה לתנאי סף'!Q229&lt;&gt;1),"",'הזנה לתנאי סף'!G229)</f>
        <v>דימונה</v>
      </c>
      <c r="G229" s="88" t="str">
        <f>IF($F229="","",'הזנה לתנאי סף'!H229)</f>
        <v>מעבדתרבות דימונה</v>
      </c>
      <c r="H229" s="88" t="str">
        <f>IF($F229="","",'הזנה לתנאי סף'!I229)</f>
        <v>קבוצות תיאטרון</v>
      </c>
      <c r="I229" s="213">
        <f>IF($F229="","",'תחום תמיכה א'!$I229)</f>
        <v>1095581</v>
      </c>
      <c r="J229" s="213">
        <f>IF($F229="","",'תחום תמיכה א'!$J229)</f>
        <v>577774</v>
      </c>
      <c r="K229" s="213">
        <f>IF($F229="","",'תחום תמיכה א'!$K229)</f>
        <v>477000</v>
      </c>
      <c r="L229" s="213">
        <f t="shared" si="38"/>
        <v>2150355</v>
      </c>
      <c r="M229" s="214">
        <f t="shared" si="39"/>
        <v>0.50948843330519844</v>
      </c>
      <c r="N229" s="214">
        <f t="shared" si="48"/>
        <v>0.49051156669480156</v>
      </c>
      <c r="O229" s="213">
        <f t="shared" si="40"/>
        <v>283404.82993552228</v>
      </c>
      <c r="P229" s="213">
        <f>IF($F229="","",'פרמטרים לקריטריונים'!$C$59*O229)</f>
        <v>85021.448980656685</v>
      </c>
      <c r="Q229" s="214">
        <f t="shared" si="41"/>
        <v>4.8303152795337994E-4</v>
      </c>
      <c r="R229" s="213">
        <f t="shared" si="49"/>
        <v>48303.152795337992</v>
      </c>
      <c r="S229" s="213">
        <f>IF($F229="","",'הזנה לתנאי סף'!N229)</f>
        <v>1</v>
      </c>
      <c r="T229" s="213">
        <f>IF($F229="","",'הזנה לתנאי סף'!O229)</f>
        <v>1</v>
      </c>
      <c r="U229" s="213">
        <f>IF($F229="","",'תחום תמיכה א'!W229)</f>
        <v>0</v>
      </c>
      <c r="V229" s="213">
        <f>IF($F229="","",'תחום תמיכה א'!X229)</f>
        <v>0</v>
      </c>
      <c r="W229" s="213">
        <f>IF($F229="","",'תחום תמיכה א'!Y229)</f>
        <v>0</v>
      </c>
      <c r="X229" s="231" t="str">
        <f>IF($F229="","",'תחום תמיכה א'!Z229)</f>
        <v>בדוק נתוני הזנה</v>
      </c>
      <c r="Y229" s="213" t="str">
        <f>IF($F229="","",'תחום תמיכה א'!AA229)</f>
        <v>בדוק נתוני הזנה</v>
      </c>
      <c r="Z229" s="214">
        <f>IF($F229="","",'תחום תמיכה א'!AB229)</f>
        <v>0</v>
      </c>
      <c r="AA229" s="225" t="str">
        <f>IF($F229="","",'תחום תמיכה א'!AC229)</f>
        <v/>
      </c>
      <c r="AB229" s="213" t="str">
        <f t="shared" si="42"/>
        <v/>
      </c>
      <c r="AC229" s="213">
        <f t="shared" si="43"/>
        <v>48303.152795337992</v>
      </c>
      <c r="AD229" s="214">
        <f t="shared" si="44"/>
        <v>4.8409160757188015E-4</v>
      </c>
      <c r="AE229" s="213">
        <f t="shared" si="47"/>
        <v>49751.525355604994</v>
      </c>
      <c r="AF229" s="214">
        <f t="shared" si="45"/>
        <v>4.8409160757188026E-4</v>
      </c>
    </row>
    <row r="230" spans="1:32" ht="15.75" x14ac:dyDescent="0.2">
      <c r="A230" s="206">
        <f t="shared" si="46"/>
        <v>200</v>
      </c>
      <c r="B230" s="88">
        <f>IF($F230="","",'הזנה לתנאי סף'!C230)</f>
        <v>1001350722</v>
      </c>
      <c r="C230" s="88">
        <f>IF($F230="","",'הזנה לתנאי סף'!D230)</f>
        <v>1001288836</v>
      </c>
      <c r="D230" s="88">
        <f>IF($F230="","",'הזנה לתנאי סף'!E230)</f>
        <v>40997574</v>
      </c>
      <c r="E230" s="88">
        <f>IF($F230="","",'הזנה לתנאי סף'!F230)</f>
        <v>20000052</v>
      </c>
      <c r="F230" s="88" t="str">
        <f>IF(OR('הזנה לתנאי סף'!G230="",'הזנה לתנאי סף'!BL230&lt;&gt;1,'הזנה לתנאי סף'!Q230&lt;&gt;1),"",'הזנה לתנאי סף'!G230)</f>
        <v>כפר כנא</v>
      </c>
      <c r="G230" s="88" t="str">
        <f>IF($F230="","",'הזנה לתנאי סף'!H230)</f>
        <v>עמותת אנג'אם לקודום המוסיקה</v>
      </c>
      <c r="H230" s="88" t="str">
        <f>IF($F230="","",'הזנה לתנאי סף'!I230)</f>
        <v>תרבות ערבית</v>
      </c>
      <c r="I230" s="213">
        <f>IF($F230="","",'תחום תמיכה א'!$I230)</f>
        <v>303480</v>
      </c>
      <c r="J230" s="213">
        <f>IF($F230="","",'תחום תמיכה א'!$J230)</f>
        <v>322256</v>
      </c>
      <c r="K230" s="213">
        <f>IF($F230="","",'תחום תמיכה א'!$K230)</f>
        <v>0</v>
      </c>
      <c r="L230" s="213">
        <f t="shared" si="38"/>
        <v>625736</v>
      </c>
      <c r="M230" s="214">
        <f t="shared" si="39"/>
        <v>0.48499686768860989</v>
      </c>
      <c r="N230" s="214">
        <f t="shared" si="48"/>
        <v>0.51500313231139017</v>
      </c>
      <c r="O230" s="213">
        <f t="shared" si="40"/>
        <v>165962.84940613934</v>
      </c>
      <c r="P230" s="213">
        <f>IF($F230="","",'פרמטרים לקריטריונים'!$C$59*O230)</f>
        <v>49788.8548218418</v>
      </c>
      <c r="Q230" s="214">
        <f t="shared" si="41"/>
        <v>2.8286493476622354E-4</v>
      </c>
      <c r="R230" s="213">
        <f t="shared" si="49"/>
        <v>28286.493476622352</v>
      </c>
      <c r="S230" s="213">
        <f>IF($F230="","",'הזנה לתנאי סף'!N230)</f>
        <v>0</v>
      </c>
      <c r="T230" s="213">
        <f>IF($F230="","",'הזנה לתנאי סף'!O230)</f>
        <v>1</v>
      </c>
      <c r="U230" s="213">
        <f>IF($F230="","",'תחום תמיכה א'!W230)</f>
        <v>0</v>
      </c>
      <c r="V230" s="213">
        <f>IF($F230="","",'תחום תמיכה א'!X230)</f>
        <v>0</v>
      </c>
      <c r="W230" s="213">
        <f>IF($F230="","",'תחום תמיכה א'!Y230)</f>
        <v>1</v>
      </c>
      <c r="X230" s="231">
        <f>IF($F230="","",'תחום תמיכה א'!Z230)</f>
        <v>0</v>
      </c>
      <c r="Y230" s="213" t="str">
        <f>IF($F230="","",'תחום תמיכה א'!AA230)</f>
        <v/>
      </c>
      <c r="Z230" s="214" t="str">
        <f>IF($F230="","",'תחום תמיכה א'!AB230)</f>
        <v/>
      </c>
      <c r="AA230" s="225" t="str">
        <f>IF($F230="","",'תחום תמיכה א'!AC230)</f>
        <v/>
      </c>
      <c r="AB230" s="213" t="str">
        <f t="shared" si="42"/>
        <v/>
      </c>
      <c r="AC230" s="213">
        <f t="shared" si="43"/>
        <v>28286.493476622352</v>
      </c>
      <c r="AD230" s="214">
        <f t="shared" si="44"/>
        <v>2.8348572106024573E-4</v>
      </c>
      <c r="AE230" s="213">
        <f t="shared" si="47"/>
        <v>29134.665461405621</v>
      </c>
      <c r="AF230" s="214">
        <f t="shared" si="45"/>
        <v>2.8348572106024579E-4</v>
      </c>
    </row>
    <row r="231" spans="1:32" ht="15.75" x14ac:dyDescent="0.2">
      <c r="A231" s="206">
        <f t="shared" si="46"/>
        <v>201</v>
      </c>
      <c r="B231" s="88">
        <f>IF($F231="","",'הזנה לתנאי סף'!C231)</f>
        <v>1001348110</v>
      </c>
      <c r="C231" s="88">
        <f>IF($F231="","",'הזנה לתנאי סף'!D231)</f>
        <v>1001266857</v>
      </c>
      <c r="D231" s="88">
        <f>IF($F231="","",'הזנה לתנאי סף'!E231)</f>
        <v>41966540</v>
      </c>
      <c r="E231" s="88">
        <f>IF($F231="","",'הזנה לתנאי סף'!F231)</f>
        <v>20000231</v>
      </c>
      <c r="F231" s="88" t="str">
        <f>IF(OR('הזנה לתנאי סף'!G231="",'הזנה לתנאי סף'!BL231&lt;&gt;1,'הזנה לתנאי סף'!Q231&lt;&gt;1),"",'הזנה לתנאי סף'!G231)</f>
        <v>נצרת</v>
      </c>
      <c r="G231" s="88" t="str">
        <f>IF($F231="","",'הזנה לתנאי סף'!H231)</f>
        <v>עוד זיריאב</v>
      </c>
      <c r="H231" s="88" t="str">
        <f>IF($F231="","",'הזנה לתנאי סף'!I231)</f>
        <v>תרבות ערבית</v>
      </c>
      <c r="I231" s="213">
        <f>IF($F231="","",'תחום תמיכה א'!$I231)</f>
        <v>0</v>
      </c>
      <c r="J231" s="213">
        <f>IF($F231="","",'תחום תמיכה א'!$J231)</f>
        <v>427583</v>
      </c>
      <c r="K231" s="213">
        <f>IF($F231="","",'תחום תמיכה א'!$K231)</f>
        <v>0</v>
      </c>
      <c r="L231" s="213">
        <f t="shared" si="38"/>
        <v>427583</v>
      </c>
      <c r="M231" s="214">
        <f t="shared" si="39"/>
        <v>0</v>
      </c>
      <c r="N231" s="214">
        <f t="shared" si="48"/>
        <v>1</v>
      </c>
      <c r="O231" s="213">
        <f t="shared" si="40"/>
        <v>427583</v>
      </c>
      <c r="P231" s="213">
        <f>IF($F231="","",'פרמטרים לקריטריונים'!$C$59*O231)</f>
        <v>128274.9</v>
      </c>
      <c r="Q231" s="214">
        <f t="shared" si="41"/>
        <v>7.2876693690745954E-4</v>
      </c>
      <c r="R231" s="213">
        <f t="shared" si="49"/>
        <v>72876.69369074596</v>
      </c>
      <c r="S231" s="213">
        <f>IF($F231="","",'הזנה לתנאי סף'!N231)</f>
        <v>0</v>
      </c>
      <c r="T231" s="213">
        <f>IF($F231="","",'הזנה לתנאי סף'!O231)</f>
        <v>1</v>
      </c>
      <c r="U231" s="213">
        <f>IF($F231="","",'תחום תמיכה א'!W231)</f>
        <v>0</v>
      </c>
      <c r="V231" s="213">
        <f>IF($F231="","",'תחום תמיכה א'!X231)</f>
        <v>0</v>
      </c>
      <c r="W231" s="213">
        <f>IF($F231="","",'תחום תמיכה א'!Y231)</f>
        <v>1</v>
      </c>
      <c r="X231" s="231">
        <f>IF($F231="","",'תחום תמיכה א'!Z231)</f>
        <v>0</v>
      </c>
      <c r="Y231" s="213" t="str">
        <f>IF($F231="","",'תחום תמיכה א'!AA231)</f>
        <v/>
      </c>
      <c r="Z231" s="214" t="str">
        <f>IF($F231="","",'תחום תמיכה א'!AB231)</f>
        <v/>
      </c>
      <c r="AA231" s="225" t="str">
        <f>IF($F231="","",'תחום תמיכה א'!AC231)</f>
        <v/>
      </c>
      <c r="AB231" s="213" t="str">
        <f t="shared" si="42"/>
        <v/>
      </c>
      <c r="AC231" s="213">
        <f t="shared" si="43"/>
        <v>72876.69369074596</v>
      </c>
      <c r="AD231" s="214">
        <f t="shared" si="44"/>
        <v>7.3036631693080038E-4</v>
      </c>
      <c r="AE231" s="213">
        <f t="shared" si="47"/>
        <v>75061.905158657581</v>
      </c>
      <c r="AF231" s="214">
        <f t="shared" si="45"/>
        <v>7.3036631693080059E-4</v>
      </c>
    </row>
    <row r="232" spans="1:32" ht="15.75" x14ac:dyDescent="0.2">
      <c r="A232" s="206">
        <f t="shared" si="46"/>
        <v>202</v>
      </c>
      <c r="B232" s="88">
        <f>IF($F232="","",'הזנה לתנאי סף'!C232)</f>
        <v>1001349379</v>
      </c>
      <c r="C232" s="88">
        <f>IF($F232="","",'הזנה לתנאי סף'!D232)</f>
        <v>1001274144</v>
      </c>
      <c r="D232" s="88">
        <f>IF($F232="","",'הזנה לתנאי סף'!E232)</f>
        <v>40471611</v>
      </c>
      <c r="E232" s="88">
        <f>IF($F232="","",'הזנה לתנאי סף'!F232)</f>
        <v>20000159</v>
      </c>
      <c r="F232" s="88" t="str">
        <f>IF(OR('הזנה לתנאי סף'!G232="",'הזנה לתנאי סף'!BL232&lt;&gt;1,'הזנה לתנאי סף'!Q232&lt;&gt;1),"",'הזנה לתנאי סף'!G232)</f>
        <v>ירושלים</v>
      </c>
      <c r="G232" s="88" t="str">
        <f>IF($F232="","",'הזנה לתנאי סף'!H232)</f>
        <v>חיבה - התנועה למורשת ישראל (ע"ר)</v>
      </c>
      <c r="H232" s="88" t="str">
        <f>IF($F232="","",'הזנה לתנאי סף'!I232)</f>
        <v>קבוצות מוסיקה</v>
      </c>
      <c r="I232" s="213">
        <f>IF($F232="","",'תחום תמיכה א'!$I232)</f>
        <v>150000</v>
      </c>
      <c r="J232" s="213">
        <f>IF($F232="","",'תחום תמיכה א'!$J232)</f>
        <v>1015221</v>
      </c>
      <c r="K232" s="213">
        <f>IF($F232="","",'תחום תמיכה א'!$K232)</f>
        <v>0</v>
      </c>
      <c r="L232" s="213">
        <f t="shared" si="38"/>
        <v>1165221</v>
      </c>
      <c r="M232" s="214">
        <f t="shared" si="39"/>
        <v>0.1287309446019253</v>
      </c>
      <c r="N232" s="214">
        <f t="shared" si="48"/>
        <v>0.87126905539807464</v>
      </c>
      <c r="O232" s="213">
        <f t="shared" si="40"/>
        <v>884530.64169028879</v>
      </c>
      <c r="P232" s="213">
        <f>IF($F232="","",'פרמטרים לקריטריונים'!$C$59*O232)</f>
        <v>265359.19250708661</v>
      </c>
      <c r="Q232" s="214">
        <f t="shared" si="41"/>
        <v>1.5075825894514546E-3</v>
      </c>
      <c r="R232" s="213">
        <f t="shared" si="49"/>
        <v>150758.25894514547</v>
      </c>
      <c r="S232" s="213">
        <f>IF($F232="","",'הזנה לתנאי סף'!N232)</f>
        <v>1</v>
      </c>
      <c r="T232" s="213">
        <f>IF($F232="","",'הזנה לתנאי סף'!O232)</f>
        <v>1</v>
      </c>
      <c r="U232" s="213">
        <f>IF($F232="","",'תחום תמיכה א'!W232)</f>
        <v>0</v>
      </c>
      <c r="V232" s="213">
        <f>IF($F232="","",'תחום תמיכה א'!X232)</f>
        <v>0</v>
      </c>
      <c r="W232" s="213">
        <f>IF($F232="","",'תחום תמיכה א'!Y232)</f>
        <v>0</v>
      </c>
      <c r="X232" s="231" t="str">
        <f>IF($F232="","",'תחום תמיכה א'!Z232)</f>
        <v>בדוק נתוני הזנה</v>
      </c>
      <c r="Y232" s="213" t="str">
        <f>IF($F232="","",'תחום תמיכה א'!AA232)</f>
        <v>בדוק נתוני הזנה</v>
      </c>
      <c r="Z232" s="214">
        <f>IF($F232="","",'תחום תמיכה א'!AB232)</f>
        <v>1</v>
      </c>
      <c r="AA232" s="225" t="str">
        <f>IF($F232="","",'תחום תמיכה א'!AC232)</f>
        <v/>
      </c>
      <c r="AB232" s="213" t="str">
        <f t="shared" si="42"/>
        <v/>
      </c>
      <c r="AC232" s="213">
        <f t="shared" si="43"/>
        <v>150758.25894514547</v>
      </c>
      <c r="AD232" s="214">
        <f t="shared" si="44"/>
        <v>1.5108911883395123E-3</v>
      </c>
      <c r="AE232" s="213">
        <f t="shared" si="47"/>
        <v>155278.7532162948</v>
      </c>
      <c r="AF232" s="214">
        <f t="shared" si="45"/>
        <v>1.5108911883395127E-3</v>
      </c>
    </row>
    <row r="233" spans="1:32" ht="15.75" x14ac:dyDescent="0.2">
      <c r="A233" s="206">
        <f t="shared" si="46"/>
        <v>203</v>
      </c>
      <c r="B233" s="88">
        <f>IF($F233="","",'הזנה לתנאי סף'!C233)</f>
        <v>1001349381</v>
      </c>
      <c r="C233" s="88">
        <f>IF($F233="","",'הזנה לתנאי סף'!D233)</f>
        <v>1001268664</v>
      </c>
      <c r="D233" s="88">
        <f>IF($F233="","",'הזנה לתנאי סף'!E233)</f>
        <v>40471611</v>
      </c>
      <c r="E233" s="88">
        <f>IF($F233="","",'הזנה לתנאי סף'!F233)</f>
        <v>20000159</v>
      </c>
      <c r="F233" s="88" t="str">
        <f>IF(OR('הזנה לתנאי סף'!G233="",'הזנה לתנאי סף'!BL233&lt;&gt;1,'הזנה לתנאי סף'!Q233&lt;&gt;1),"",'הזנה לתנאי סף'!G233)</f>
        <v>ירושלים</v>
      </c>
      <c r="G233" s="88" t="str">
        <f>IF($F233="","",'הזנה לתנאי סף'!H233)</f>
        <v>חיבה - התנועה למורשת ישראל (ע"ר)</v>
      </c>
      <c r="H233" s="88" t="str">
        <f>IF($F233="","",'הזנה לתנאי סף'!I233)</f>
        <v>אחר</v>
      </c>
      <c r="I233" s="213">
        <f>IF($F233="","",'תחום תמיכה א'!$I233)</f>
        <v>382817</v>
      </c>
      <c r="J233" s="213">
        <f>IF($F233="","",'תחום תמיכה א'!$J233)</f>
        <v>183007</v>
      </c>
      <c r="K233" s="213">
        <f>IF($F233="","",'תחום תמיכה א'!$K233)</f>
        <v>0</v>
      </c>
      <c r="L233" s="213">
        <f t="shared" si="38"/>
        <v>565824</v>
      </c>
      <c r="M233" s="214">
        <f t="shared" si="39"/>
        <v>0.67656550446782038</v>
      </c>
      <c r="N233" s="214">
        <f t="shared" si="48"/>
        <v>0.32343449553217962</v>
      </c>
      <c r="O233" s="213">
        <f t="shared" si="40"/>
        <v>59190.776723857598</v>
      </c>
      <c r="P233" s="213">
        <f>IF($F233="","",'פרמטרים לקריטריונים'!$C$59*O233)</f>
        <v>17757.233017157279</v>
      </c>
      <c r="Q233" s="214">
        <f t="shared" si="41"/>
        <v>1.008839945606328E-4</v>
      </c>
      <c r="R233" s="213">
        <f t="shared" si="49"/>
        <v>10088.39945606328</v>
      </c>
      <c r="S233" s="213">
        <f>IF($F233="","",'הזנה לתנאי סף'!N233)</f>
        <v>1</v>
      </c>
      <c r="T233" s="213">
        <f>IF($F233="","",'הזנה לתנאי סף'!O233)</f>
        <v>1</v>
      </c>
      <c r="U233" s="213">
        <f>IF($F233="","",'תחום תמיכה א'!W233)</f>
        <v>0</v>
      </c>
      <c r="V233" s="213">
        <f>IF($F233="","",'תחום תמיכה א'!X233)</f>
        <v>0</v>
      </c>
      <c r="W233" s="213">
        <f>IF($F233="","",'תחום תמיכה א'!Y233)</f>
        <v>0</v>
      </c>
      <c r="X233" s="231" t="str">
        <f>IF($F233="","",'תחום תמיכה א'!Z233)</f>
        <v>בדוק נתוני הזנה</v>
      </c>
      <c r="Y233" s="213" t="str">
        <f>IF($F233="","",'תחום תמיכה א'!AA233)</f>
        <v>בדוק נתוני הזנה</v>
      </c>
      <c r="Z233" s="214">
        <f>IF($F233="","",'תחום תמיכה א'!AB233)</f>
        <v>1</v>
      </c>
      <c r="AA233" s="225" t="str">
        <f>IF($F233="","",'תחום תמיכה א'!AC233)</f>
        <v/>
      </c>
      <c r="AB233" s="213" t="str">
        <f t="shared" si="42"/>
        <v/>
      </c>
      <c r="AC233" s="213">
        <f t="shared" si="43"/>
        <v>10088.39945606328</v>
      </c>
      <c r="AD233" s="214">
        <f t="shared" si="44"/>
        <v>1.011053984655078E-4</v>
      </c>
      <c r="AE233" s="213">
        <f t="shared" si="47"/>
        <v>10390.900640842772</v>
      </c>
      <c r="AF233" s="214">
        <f t="shared" si="45"/>
        <v>1.0110539846550781E-4</v>
      </c>
    </row>
    <row r="234" spans="1:32" ht="15.75" x14ac:dyDescent="0.2">
      <c r="A234" s="206">
        <f t="shared" si="46"/>
        <v>204</v>
      </c>
      <c r="B234" s="88">
        <f>IF($F234="","",'הזנה לתנאי סף'!C234)</f>
        <v>1001349104</v>
      </c>
      <c r="C234" s="88">
        <f>IF($F234="","",'הזנה לתנאי סף'!D234)</f>
        <v>1001275605</v>
      </c>
      <c r="D234" s="88">
        <f>IF($F234="","",'הזנה לתנאי סף'!E234)</f>
        <v>40541378</v>
      </c>
      <c r="E234" s="88">
        <f>IF($F234="","",'הזנה לתנאי סף'!F234)</f>
        <v>20000253</v>
      </c>
      <c r="F234" s="88" t="str">
        <f>IF(OR('הזנה לתנאי סף'!G234="",'הזנה לתנאי סף'!BL234&lt;&gt;1,'הזנה לתנאי סף'!Q234&lt;&gt;1),"",'הזנה לתנאי סף'!G234)</f>
        <v>טמרה</v>
      </c>
      <c r="G234" s="88" t="str">
        <f>IF($F234="","",'הזנה לתנאי סף'!H234)</f>
        <v>באב אל חארה- התיאטרון הכפרי לתרבות</v>
      </c>
      <c r="H234" s="88" t="str">
        <f>IF($F234="","",'הזנה לתנאי סף'!I234)</f>
        <v>אחר</v>
      </c>
      <c r="I234" s="213">
        <f>IF($F234="","",'תחום תמיכה א'!$I234)</f>
        <v>529112</v>
      </c>
      <c r="J234" s="213">
        <f>IF($F234="","",'תחום תמיכה א'!$J234)</f>
        <v>314260</v>
      </c>
      <c r="K234" s="213">
        <f>IF($F234="","",'תחום תמיכה א'!$K234)</f>
        <v>0</v>
      </c>
      <c r="L234" s="213">
        <f t="shared" si="38"/>
        <v>843372</v>
      </c>
      <c r="M234" s="214">
        <f t="shared" si="39"/>
        <v>0.62737676849598989</v>
      </c>
      <c r="N234" s="214">
        <f t="shared" si="48"/>
        <v>0.37262323150401011</v>
      </c>
      <c r="O234" s="213">
        <f t="shared" si="40"/>
        <v>117100.57673245022</v>
      </c>
      <c r="P234" s="213">
        <f>IF($F234="","",'פרמטרים לקריטריונים'!$C$59*O234)</f>
        <v>35130.173019735063</v>
      </c>
      <c r="Q234" s="214">
        <f t="shared" si="41"/>
        <v>1.9958470896973141E-4</v>
      </c>
      <c r="R234" s="213">
        <f t="shared" si="49"/>
        <v>19958.47089697314</v>
      </c>
      <c r="S234" s="213">
        <f>IF($F234="","",'הזנה לתנאי סף'!N234)</f>
        <v>0</v>
      </c>
      <c r="T234" s="213">
        <f>IF($F234="","",'הזנה לתנאי סף'!O234)</f>
        <v>1</v>
      </c>
      <c r="U234" s="213">
        <f>IF($F234="","",'תחום תמיכה א'!W234)</f>
        <v>0</v>
      </c>
      <c r="V234" s="213">
        <f>IF($F234="","",'תחום תמיכה א'!X234)</f>
        <v>0</v>
      </c>
      <c r="W234" s="213">
        <f>IF($F234="","",'תחום תמיכה א'!Y234)</f>
        <v>1</v>
      </c>
      <c r="X234" s="231">
        <f>IF($F234="","",'תחום תמיכה א'!Z234)</f>
        <v>0</v>
      </c>
      <c r="Y234" s="213" t="str">
        <f>IF($F234="","",'תחום תמיכה א'!AA234)</f>
        <v/>
      </c>
      <c r="Z234" s="214" t="str">
        <f>IF($F234="","",'תחום תמיכה א'!AB234)</f>
        <v/>
      </c>
      <c r="AA234" s="225" t="str">
        <f>IF($F234="","",'תחום תמיכה א'!AC234)</f>
        <v/>
      </c>
      <c r="AB234" s="213" t="str">
        <f t="shared" si="42"/>
        <v/>
      </c>
      <c r="AC234" s="213">
        <f t="shared" si="43"/>
        <v>19958.47089697314</v>
      </c>
      <c r="AD234" s="214">
        <f t="shared" si="44"/>
        <v>2.000227252686665E-4</v>
      </c>
      <c r="AE234" s="213">
        <f t="shared" si="47"/>
        <v>20556.926689590749</v>
      </c>
      <c r="AF234" s="214">
        <f t="shared" si="45"/>
        <v>2.0002272526866658E-4</v>
      </c>
    </row>
    <row r="235" spans="1:32" ht="15.75" x14ac:dyDescent="0.2">
      <c r="A235" s="206">
        <f t="shared" si="46"/>
        <v>205</v>
      </c>
      <c r="B235" s="88">
        <f>IF($F235="","",'הזנה לתנאי סף'!C235)</f>
        <v>1001347304</v>
      </c>
      <c r="C235" s="88">
        <f>IF($F235="","",'הזנה לתנאי סף'!D235)</f>
        <v>1001272196</v>
      </c>
      <c r="D235" s="88">
        <f>IF($F235="","",'הזנה לתנאי סף'!E235)</f>
        <v>40578853</v>
      </c>
      <c r="E235" s="88">
        <f>IF($F235="","",'הזנה לתנאי סף'!F235)</f>
        <v>20000159</v>
      </c>
      <c r="F235" s="88" t="str">
        <f>IF(OR('הזנה לתנאי סף'!G235="",'הזנה לתנאי סף'!BL235&lt;&gt;1,'הזנה לתנאי סף'!Q235&lt;&gt;1),"",'הזנה לתנאי סף'!G235)</f>
        <v>ירושלים</v>
      </c>
      <c r="G235" s="88" t="str">
        <f>IF($F235="","",'הזנה לתנאי סף'!H235)</f>
        <v>להקת הפלמנקו רמנגאר בע"מ חברה לתועל</v>
      </c>
      <c r="H235" s="88" t="str">
        <f>IF($F235="","",'הזנה לתנאי סף'!I235)</f>
        <v>אחר</v>
      </c>
      <c r="I235" s="213">
        <f>IF($F235="","",'תחום תמיכה א'!$I235)</f>
        <v>277231</v>
      </c>
      <c r="J235" s="213">
        <f>IF($F235="","",'תחום תמיכה א'!$J235)</f>
        <v>290412</v>
      </c>
      <c r="K235" s="213">
        <f>IF($F235="","",'תחום תמיכה א'!$K235)</f>
        <v>0</v>
      </c>
      <c r="L235" s="213">
        <f t="shared" si="38"/>
        <v>567643</v>
      </c>
      <c r="M235" s="214">
        <f t="shared" si="39"/>
        <v>0.48838970972953072</v>
      </c>
      <c r="N235" s="214">
        <f t="shared" si="48"/>
        <v>0.51161029027046934</v>
      </c>
      <c r="O235" s="213">
        <f t="shared" si="40"/>
        <v>148577.76761802754</v>
      </c>
      <c r="P235" s="213">
        <f>IF($F235="","",'פרמטרים לקריטריונים'!$C$59*O235)</f>
        <v>44573.330285408265</v>
      </c>
      <c r="Q235" s="214">
        <f t="shared" si="41"/>
        <v>2.5323402614121297E-4</v>
      </c>
      <c r="R235" s="213">
        <f t="shared" si="49"/>
        <v>25323.402614121296</v>
      </c>
      <c r="S235" s="213">
        <f>IF($F235="","",'הזנה לתנאי סף'!N235)</f>
        <v>1</v>
      </c>
      <c r="T235" s="213">
        <f>IF($F235="","",'הזנה לתנאי סף'!O235)</f>
        <v>1</v>
      </c>
      <c r="U235" s="213">
        <f>IF($F235="","",'תחום תמיכה א'!W235)</f>
        <v>0</v>
      </c>
      <c r="V235" s="213">
        <f>IF($F235="","",'תחום תמיכה א'!X235)</f>
        <v>0</v>
      </c>
      <c r="W235" s="213">
        <f>IF($F235="","",'תחום תמיכה א'!Y235)</f>
        <v>0</v>
      </c>
      <c r="X235" s="231" t="str">
        <f>IF($F235="","",'תחום תמיכה א'!Z235)</f>
        <v>בדוק נתוני הזנה</v>
      </c>
      <c r="Y235" s="213" t="str">
        <f>IF($F235="","",'תחום תמיכה א'!AA235)</f>
        <v>בדוק נתוני הזנה</v>
      </c>
      <c r="Z235" s="214">
        <f>IF($F235="","",'תחום תמיכה א'!AB235)</f>
        <v>1</v>
      </c>
      <c r="AA235" s="225" t="str">
        <f>IF($F235="","",'תחום תמיכה א'!AC235)</f>
        <v/>
      </c>
      <c r="AB235" s="213" t="str">
        <f t="shared" si="42"/>
        <v/>
      </c>
      <c r="AC235" s="213">
        <f t="shared" si="43"/>
        <v>25323.402614121296</v>
      </c>
      <c r="AD235" s="214">
        <f t="shared" si="44"/>
        <v>2.5378978330050332E-4</v>
      </c>
      <c r="AE235" s="213">
        <f t="shared" si="47"/>
        <v>26082.726164579621</v>
      </c>
      <c r="AF235" s="214">
        <f t="shared" si="45"/>
        <v>2.5378978330050338E-4</v>
      </c>
    </row>
    <row r="236" spans="1:32" ht="15.75" x14ac:dyDescent="0.2">
      <c r="A236" s="206">
        <f t="shared" si="46"/>
        <v>206</v>
      </c>
      <c r="B236" s="88">
        <f>IF($F236="","",'הזנה לתנאי סף'!C236)</f>
        <v>1001346679</v>
      </c>
      <c r="C236" s="88">
        <f>IF($F236="","",'הזנה לתנאי סף'!D236)</f>
        <v>1001266776</v>
      </c>
      <c r="D236" s="88">
        <f>IF($F236="","",'הזנה לתנאי סף'!E236)</f>
        <v>40819694</v>
      </c>
      <c r="E236" s="88">
        <f>IF($F236="","",'הזנה לתנאי סף'!F236)</f>
        <v>20000182</v>
      </c>
      <c r="F236" s="88" t="str">
        <f>IF(OR('הזנה לתנאי סף'!G236="",'הזנה לתנאי סף'!BL236&lt;&gt;1,'הזנה לתנאי סף'!Q236&lt;&gt;1),"",'הזנה לתנאי סף'!G236)</f>
        <v>חיפה</v>
      </c>
      <c r="G236" s="88" t="str">
        <f>IF($F236="","",'הזנה לתנאי סף'!H236)</f>
        <v>בית 9 - בית ספר ובית יוצר לתיאטרון</v>
      </c>
      <c r="H236" s="88" t="str">
        <f>IF($F236="","",'הזנה לתנאי סף'!I236)</f>
        <v>בתי ספר לבובות</v>
      </c>
      <c r="I236" s="213">
        <f>IF($F236="","",'תחום תמיכה א'!$I236)</f>
        <v>44722</v>
      </c>
      <c r="J236" s="213">
        <f>IF($F236="","",'תחום תמיכה א'!$J236)</f>
        <v>168530</v>
      </c>
      <c r="K236" s="213">
        <f>IF($F236="","",'תחום תמיכה א'!$K236)</f>
        <v>0</v>
      </c>
      <c r="L236" s="213">
        <f t="shared" si="38"/>
        <v>213252</v>
      </c>
      <c r="M236" s="214">
        <f t="shared" si="39"/>
        <v>0.20971432858777408</v>
      </c>
      <c r="N236" s="214">
        <f t="shared" si="48"/>
        <v>0.79028567141222594</v>
      </c>
      <c r="O236" s="213">
        <f t="shared" si="40"/>
        <v>133186.84420310243</v>
      </c>
      <c r="P236" s="213">
        <f>IF($F236="","",'פרמטרים לקריטריונים'!$C$59*O236)</f>
        <v>39956.053260930727</v>
      </c>
      <c r="Q236" s="214">
        <f t="shared" si="41"/>
        <v>2.2700193526465267E-4</v>
      </c>
      <c r="R236" s="213">
        <f t="shared" si="49"/>
        <v>22700.193526465267</v>
      </c>
      <c r="S236" s="213">
        <f>IF($F236="","",'הזנה לתנאי סף'!N236)</f>
        <v>1</v>
      </c>
      <c r="T236" s="213">
        <f>IF($F236="","",'הזנה לתנאי סף'!O236)</f>
        <v>1</v>
      </c>
      <c r="U236" s="213">
        <f>IF($F236="","",'תחום תמיכה א'!W236)</f>
        <v>0</v>
      </c>
      <c r="V236" s="213">
        <f>IF($F236="","",'תחום תמיכה א'!X236)</f>
        <v>0</v>
      </c>
      <c r="W236" s="213">
        <f>IF($F236="","",'תחום תמיכה א'!Y236)</f>
        <v>0</v>
      </c>
      <c r="X236" s="231" t="str">
        <f>IF($F236="","",'תחום תמיכה א'!Z236)</f>
        <v>בדוק נתוני הזנה</v>
      </c>
      <c r="Y236" s="213" t="str">
        <f>IF($F236="","",'תחום תמיכה א'!AA236)</f>
        <v>בדוק נתוני הזנה</v>
      </c>
      <c r="Z236" s="214">
        <f>IF($F236="","",'תחום תמיכה א'!AB236)</f>
        <v>1</v>
      </c>
      <c r="AA236" s="225" t="str">
        <f>IF($F236="","",'תחום תמיכה א'!AC236)</f>
        <v/>
      </c>
      <c r="AB236" s="213" t="str">
        <f t="shared" si="42"/>
        <v/>
      </c>
      <c r="AC236" s="213">
        <f t="shared" si="43"/>
        <v>22700.193526465267</v>
      </c>
      <c r="AD236" s="214">
        <f t="shared" si="44"/>
        <v>2.2750012246571129E-4</v>
      </c>
      <c r="AE236" s="213">
        <f t="shared" si="47"/>
        <v>23380.860015375205</v>
      </c>
      <c r="AF236" s="214">
        <f t="shared" si="45"/>
        <v>2.2750012246571135E-4</v>
      </c>
    </row>
    <row r="237" spans="1:32" ht="15.75" x14ac:dyDescent="0.2">
      <c r="A237" s="206">
        <f t="shared" si="46"/>
        <v>207</v>
      </c>
      <c r="B237" s="88">
        <f>IF($F237="","",'הזנה לתנאי סף'!C237)</f>
        <v>1001350744</v>
      </c>
      <c r="C237" s="88">
        <f>IF($F237="","",'הזנה לתנאי סף'!D237)</f>
        <v>1001280342</v>
      </c>
      <c r="D237" s="88">
        <f>IF($F237="","",'הזנה לתנאי סף'!E237)</f>
        <v>40820736</v>
      </c>
      <c r="E237" s="88">
        <f>IF($F237="","",'הזנה לתנאי סף'!F237)</f>
        <v>20000201</v>
      </c>
      <c r="F237" s="88" t="str">
        <f>IF(OR('הזנה לתנאי סף'!G237="",'הזנה לתנאי סף'!BL237&lt;&gt;1,'הזנה לתנאי סף'!Q237&lt;&gt;1),"",'הזנה לתנאי סף'!G237)</f>
        <v>תל אביב -יפו</v>
      </c>
      <c r="G237" s="88" t="str">
        <f>IF($F237="","",'הזנה לתנאי סף'!H237)</f>
        <v>התיאטרון הלאומי הבימה בע"מ(חל"צ)</v>
      </c>
      <c r="H237" s="88" t="str">
        <f>IF($F237="","",'הזנה לתנאי סף'!I237)</f>
        <v>תיאטרון</v>
      </c>
      <c r="I237" s="213">
        <f>IF($F237="","",'תחום תמיכה א'!$I237)</f>
        <v>18957000</v>
      </c>
      <c r="J237" s="213">
        <f>IF($F237="","",'תחום תמיכה א'!$J237)</f>
        <v>60235000</v>
      </c>
      <c r="K237" s="213">
        <f>IF($F237="","",'תחום תמיכה א'!$K237)</f>
        <v>0</v>
      </c>
      <c r="L237" s="213">
        <f t="shared" si="38"/>
        <v>79192000</v>
      </c>
      <c r="M237" s="214">
        <f t="shared" si="39"/>
        <v>0.23938024042832609</v>
      </c>
      <c r="N237" s="214">
        <f t="shared" si="48"/>
        <v>0.76061975957167394</v>
      </c>
      <c r="O237" s="213">
        <f t="shared" si="40"/>
        <v>45815931.217799783</v>
      </c>
      <c r="P237" s="213">
        <f>IF($F237="","",'פרמטרים לקריטריונים'!$C$59*O237)</f>
        <v>13744779.365339935</v>
      </c>
      <c r="Q237" s="214">
        <f t="shared" si="41"/>
        <v>7.8088080805735496E-2</v>
      </c>
      <c r="R237" s="213">
        <f t="shared" si="49"/>
        <v>7808808.0805735495</v>
      </c>
      <c r="S237" s="213">
        <f>IF($F237="","",'הזנה לתנאי סף'!N237)</f>
        <v>0</v>
      </c>
      <c r="T237" s="213">
        <f>IF($F237="","",'הזנה לתנאי סף'!O237)</f>
        <v>1</v>
      </c>
      <c r="U237" s="213">
        <f>IF($F237="","",'תחום תמיכה א'!W237)</f>
        <v>0</v>
      </c>
      <c r="V237" s="213">
        <f>IF($F237="","",'תחום תמיכה א'!X237)</f>
        <v>0</v>
      </c>
      <c r="W237" s="213">
        <f>IF($F237="","",'תחום תמיכה א'!Y237)</f>
        <v>1</v>
      </c>
      <c r="X237" s="231">
        <f>IF($F237="","",'תחום תמיכה א'!Z237)</f>
        <v>0</v>
      </c>
      <c r="Y237" s="213" t="str">
        <f>IF($F237="","",'תחום תמיכה א'!AA237)</f>
        <v/>
      </c>
      <c r="Z237" s="214" t="str">
        <f>IF($F237="","",'תחום תמיכה א'!AB237)</f>
        <v/>
      </c>
      <c r="AA237" s="225" t="str">
        <f>IF($F237="","",'תחום תמיכה א'!AC237)</f>
        <v/>
      </c>
      <c r="AB237" s="213" t="str">
        <f t="shared" si="42"/>
        <v/>
      </c>
      <c r="AC237" s="213">
        <f t="shared" si="43"/>
        <v>7808808.0805735495</v>
      </c>
      <c r="AD237" s="214">
        <f t="shared" si="44"/>
        <v>7.8259455919200027E-2</v>
      </c>
      <c r="AE237" s="213">
        <f t="shared" si="47"/>
        <v>8042955.5988569846</v>
      </c>
      <c r="AF237" s="214">
        <f t="shared" si="45"/>
        <v>7.8259455919200055E-2</v>
      </c>
    </row>
    <row r="238" spans="1:32" ht="15.75" x14ac:dyDescent="0.2">
      <c r="A238" s="206">
        <f t="shared" si="46"/>
        <v>208</v>
      </c>
      <c r="B238" s="88">
        <f>IF($F238="","",'הזנה לתנאי סף'!C238)</f>
        <v>1001348658</v>
      </c>
      <c r="C238" s="88">
        <f>IF($F238="","",'הזנה לתנאי סף'!D238)</f>
        <v>1001280645</v>
      </c>
      <c r="D238" s="88">
        <f>IF($F238="","",'הזנה לתנאי סף'!E238)</f>
        <v>41085342</v>
      </c>
      <c r="E238" s="88">
        <f>IF($F238="","",'הזנה לתנאי סף'!F238)</f>
        <v>20000254</v>
      </c>
      <c r="F238" s="88" t="str">
        <f>IF(OR('הזנה לתנאי סף'!G238="",'הזנה לתנאי סף'!BL238&lt;&gt;1,'הזנה לתנאי סף'!Q238&lt;&gt;1),"",'הזנה לתנאי סף'!G238)</f>
        <v>באר שבע</v>
      </c>
      <c r="G238" s="88" t="str">
        <f>IF($F238="","",'הזנה לתנאי סף'!H238)</f>
        <v>סאנאם (ע"ר)</v>
      </c>
      <c r="H238" s="88" t="str">
        <f>IF($F238="","",'הזנה לתנאי סף'!I238)</f>
        <v>אחר</v>
      </c>
      <c r="I238" s="213">
        <f>IF($F238="","",'תחום תמיכה א'!$I238)</f>
        <v>520947</v>
      </c>
      <c r="J238" s="213">
        <f>IF($F238="","",'תחום תמיכה א'!$J238)</f>
        <v>335945</v>
      </c>
      <c r="K238" s="213">
        <f>IF($F238="","",'תחום תמיכה א'!$K238)</f>
        <v>225000</v>
      </c>
      <c r="L238" s="213">
        <f t="shared" si="38"/>
        <v>1081892</v>
      </c>
      <c r="M238" s="214">
        <f t="shared" si="39"/>
        <v>0.48151479075545434</v>
      </c>
      <c r="N238" s="214">
        <f t="shared" si="48"/>
        <v>0.51848520924454566</v>
      </c>
      <c r="O238" s="213">
        <f t="shared" si="40"/>
        <v>174182.51361965889</v>
      </c>
      <c r="P238" s="213">
        <f>IF($F238="","",'פרמטרים לקריטריונים'!$C$59*O238)</f>
        <v>52254.754085897664</v>
      </c>
      <c r="Q238" s="214">
        <f t="shared" si="41"/>
        <v>2.9687442417832482E-4</v>
      </c>
      <c r="R238" s="213">
        <f t="shared" si="49"/>
        <v>29687.442417832481</v>
      </c>
      <c r="S238" s="213">
        <f>IF($F238="","",'הזנה לתנאי סף'!N238)</f>
        <v>0</v>
      </c>
      <c r="T238" s="213">
        <f>IF($F238="","",'הזנה לתנאי סף'!O238)</f>
        <v>1</v>
      </c>
      <c r="U238" s="213">
        <f>IF($F238="","",'תחום תמיכה א'!W238)</f>
        <v>0</v>
      </c>
      <c r="V238" s="213">
        <f>IF($F238="","",'תחום תמיכה א'!X238)</f>
        <v>0</v>
      </c>
      <c r="W238" s="213">
        <f>IF($F238="","",'תחום תמיכה א'!Y238)</f>
        <v>1</v>
      </c>
      <c r="X238" s="231">
        <f>IF($F238="","",'תחום תמיכה א'!Z238)</f>
        <v>0</v>
      </c>
      <c r="Y238" s="213" t="str">
        <f>IF($F238="","",'תחום תמיכה א'!AA238)</f>
        <v/>
      </c>
      <c r="Z238" s="214" t="str">
        <f>IF($F238="","",'תחום תמיכה א'!AB238)</f>
        <v/>
      </c>
      <c r="AA238" s="225" t="str">
        <f>IF($F238="","",'תחום תמיכה א'!AC238)</f>
        <v/>
      </c>
      <c r="AB238" s="213" t="str">
        <f t="shared" si="42"/>
        <v/>
      </c>
      <c r="AC238" s="213">
        <f t="shared" si="43"/>
        <v>29687.442417832481</v>
      </c>
      <c r="AD238" s="214">
        <f t="shared" si="44"/>
        <v>2.9752595623806191E-4</v>
      </c>
      <c r="AE238" s="213">
        <f t="shared" si="47"/>
        <v>30577.621929813431</v>
      </c>
      <c r="AF238" s="214">
        <f t="shared" si="45"/>
        <v>2.9752595623806202E-4</v>
      </c>
    </row>
    <row r="239" spans="1:32" ht="15.75" x14ac:dyDescent="0.2">
      <c r="A239" s="206">
        <f t="shared" si="46"/>
        <v>209</v>
      </c>
      <c r="B239" s="88">
        <f>IF($F239="","",'הזנה לתנאי סף'!C239)</f>
        <v>1001350449</v>
      </c>
      <c r="C239" s="88">
        <f>IF($F239="","",'הזנה לתנאי סף'!D239)</f>
        <v>1001280646</v>
      </c>
      <c r="D239" s="88">
        <f>IF($F239="","",'הזנה לתנאי סף'!E239)</f>
        <v>41090413</v>
      </c>
      <c r="E239" s="88">
        <f>IF($F239="","",'הזנה לתנאי סף'!F239)</f>
        <v>20000159</v>
      </c>
      <c r="F239" s="88" t="str">
        <f>IF(OR('הזנה לתנאי סף'!G239="",'הזנה לתנאי סף'!BL239&lt;&gt;1,'הזנה לתנאי סף'!Q239&lt;&gt;1),"",'הזנה לתנאי סף'!G239)</f>
        <v>ירושלים</v>
      </c>
      <c r="G239" s="88" t="str">
        <f>IF($F239="","",'הזנה לתנאי סף'!H239)</f>
        <v>תיאטרון נקודה טובה (ע"ר)</v>
      </c>
      <c r="H239" s="88" t="str">
        <f>IF($F239="","",'הזנה לתנאי סף'!I239)</f>
        <v>תיאטרון</v>
      </c>
      <c r="I239" s="213">
        <f>IF($F239="","",'תחום תמיכה א'!$I239)</f>
        <v>170215</v>
      </c>
      <c r="J239" s="213">
        <f>IF($F239="","",'תחום תמיכה א'!$J239)</f>
        <v>1556408</v>
      </c>
      <c r="K239" s="213">
        <f>IF($F239="","",'תחום תמיכה א'!$K239)</f>
        <v>0</v>
      </c>
      <c r="L239" s="213">
        <f t="shared" si="38"/>
        <v>1726623</v>
      </c>
      <c r="M239" s="214">
        <f t="shared" si="39"/>
        <v>9.8582608942426916E-2</v>
      </c>
      <c r="N239" s="214">
        <f t="shared" si="48"/>
        <v>0.90141739105757313</v>
      </c>
      <c r="O239" s="213">
        <f t="shared" si="40"/>
        <v>1402973.2387811353</v>
      </c>
      <c r="P239" s="213">
        <f>IF($F239="","",'פרמטרים לקריטריונים'!$C$59*O239)</f>
        <v>420891.97163434059</v>
      </c>
      <c r="Q239" s="214">
        <f t="shared" si="41"/>
        <v>2.3912094489015366E-3</v>
      </c>
      <c r="R239" s="213">
        <f t="shared" si="49"/>
        <v>239120.94489015365</v>
      </c>
      <c r="S239" s="213">
        <f>IF($F239="","",'הזנה לתנאי סף'!N239)</f>
        <v>1</v>
      </c>
      <c r="T239" s="213">
        <f>IF($F239="","",'הזנה לתנאי סף'!O239)</f>
        <v>1</v>
      </c>
      <c r="U239" s="213">
        <f>IF($F239="","",'תחום תמיכה א'!W239)</f>
        <v>0</v>
      </c>
      <c r="V239" s="213">
        <f>IF($F239="","",'תחום תמיכה א'!X239)</f>
        <v>0</v>
      </c>
      <c r="W239" s="213">
        <f>IF($F239="","",'תחום תמיכה א'!Y239)</f>
        <v>0</v>
      </c>
      <c r="X239" s="231" t="str">
        <f>IF($F239="","",'תחום תמיכה א'!Z239)</f>
        <v>בדוק נתוני הזנה</v>
      </c>
      <c r="Y239" s="213" t="str">
        <f>IF($F239="","",'תחום תמיכה א'!AA239)</f>
        <v>בדוק נתוני הזנה</v>
      </c>
      <c r="Z239" s="214">
        <f>IF($F239="","",'תחום תמיכה א'!AB239)</f>
        <v>0</v>
      </c>
      <c r="AA239" s="225" t="str">
        <f>IF($F239="","",'תחום תמיכה א'!AC239)</f>
        <v/>
      </c>
      <c r="AB239" s="213" t="str">
        <f t="shared" si="42"/>
        <v/>
      </c>
      <c r="AC239" s="213">
        <f t="shared" si="43"/>
        <v>239120.94489015365</v>
      </c>
      <c r="AD239" s="214">
        <f t="shared" si="44"/>
        <v>2.3964572893708448E-3</v>
      </c>
      <c r="AE239" s="213">
        <f t="shared" si="47"/>
        <v>246290.99891605656</v>
      </c>
      <c r="AF239" s="214">
        <f t="shared" si="45"/>
        <v>2.3964572893708457E-3</v>
      </c>
    </row>
    <row r="240" spans="1:32" ht="15.75" x14ac:dyDescent="0.2">
      <c r="A240" s="206">
        <f t="shared" si="46"/>
        <v>210</v>
      </c>
      <c r="B240" s="88">
        <f>IF($F240="","",'הזנה לתנאי סף'!C240)</f>
        <v>1001347310</v>
      </c>
      <c r="C240" s="88">
        <f>IF($F240="","",'הזנה לתנאי סף'!D240)</f>
        <v>1001270285</v>
      </c>
      <c r="D240" s="88">
        <f>IF($F240="","",'הזנה לתנאי סף'!E240)</f>
        <v>41107963</v>
      </c>
      <c r="E240" s="88">
        <f>IF($F240="","",'הזנה לתנאי סף'!F240)</f>
        <v>20000201</v>
      </c>
      <c r="F240" s="88" t="str">
        <f>IF(OR('הזנה לתנאי סף'!G240="",'הזנה לתנאי סף'!BL240&lt;&gt;1,'הזנה לתנאי סף'!Q240&lt;&gt;1),"",'הזנה לתנאי סף'!G240)</f>
        <v>תל אביב -יפו</v>
      </c>
      <c r="G240" s="88" t="str">
        <f>IF($F240="","",'הזנה לתנאי סף'!H240)</f>
        <v>עלילה מקומית, עמותה רשומה</v>
      </c>
      <c r="H240" s="88" t="str">
        <f>IF($F240="","",'הזנה לתנאי סף'!I240)</f>
        <v>תיאטרון</v>
      </c>
      <c r="I240" s="213">
        <f>IF($F240="","",'תחום תמיכה א'!$I240)</f>
        <v>1072330</v>
      </c>
      <c r="J240" s="213">
        <f>IF($F240="","",'תחום תמיכה א'!$J240)</f>
        <v>417819</v>
      </c>
      <c r="K240" s="213">
        <f>IF($F240="","",'תחום תמיכה א'!$K240)</f>
        <v>0</v>
      </c>
      <c r="L240" s="213">
        <f t="shared" si="38"/>
        <v>1490149</v>
      </c>
      <c r="M240" s="214">
        <f t="shared" si="39"/>
        <v>0.71961260249813941</v>
      </c>
      <c r="N240" s="214">
        <f t="shared" si="48"/>
        <v>0.28038739750186059</v>
      </c>
      <c r="O240" s="213">
        <f t="shared" si="40"/>
        <v>117151.18203682989</v>
      </c>
      <c r="P240" s="213">
        <f>IF($F240="","",'פרמטרים לקריטריונים'!$C$59*O240)</f>
        <v>35145.35461104897</v>
      </c>
      <c r="Q240" s="214">
        <f t="shared" si="41"/>
        <v>1.9967095999623167E-4</v>
      </c>
      <c r="R240" s="213">
        <f t="shared" si="49"/>
        <v>19967.095999623169</v>
      </c>
      <c r="S240" s="213">
        <f>IF($F240="","",'הזנה לתנאי סף'!N240)</f>
        <v>1</v>
      </c>
      <c r="T240" s="213">
        <f>IF($F240="","",'הזנה לתנאי סף'!O240)</f>
        <v>1</v>
      </c>
      <c r="U240" s="213">
        <f>IF($F240="","",'תחום תמיכה א'!W240)</f>
        <v>0</v>
      </c>
      <c r="V240" s="213">
        <f>IF($F240="","",'תחום תמיכה א'!X240)</f>
        <v>0</v>
      </c>
      <c r="W240" s="213">
        <f>IF($F240="","",'תחום תמיכה א'!Y240)</f>
        <v>0</v>
      </c>
      <c r="X240" s="231" t="str">
        <f>IF($F240="","",'תחום תמיכה א'!Z240)</f>
        <v>בדוק נתוני הזנה</v>
      </c>
      <c r="Y240" s="213" t="str">
        <f>IF($F240="","",'תחום תמיכה א'!AA240)</f>
        <v>בדוק נתוני הזנה</v>
      </c>
      <c r="Z240" s="214">
        <f>IF($F240="","",'תחום תמיכה א'!AB240)</f>
        <v>1</v>
      </c>
      <c r="AA240" s="225" t="str">
        <f>IF($F240="","",'תחום תמיכה א'!AC240)</f>
        <v/>
      </c>
      <c r="AB240" s="213" t="str">
        <f t="shared" si="42"/>
        <v/>
      </c>
      <c r="AC240" s="213">
        <f t="shared" si="43"/>
        <v>19967.095999623169</v>
      </c>
      <c r="AD240" s="214">
        <f t="shared" si="44"/>
        <v>2.0010916558499566E-4</v>
      </c>
      <c r="AE240" s="213">
        <f t="shared" si="47"/>
        <v>20565.810416394375</v>
      </c>
      <c r="AF240" s="214">
        <f t="shared" si="45"/>
        <v>2.0010916558499574E-4</v>
      </c>
    </row>
    <row r="241" spans="1:32" ht="15.75" x14ac:dyDescent="0.2">
      <c r="A241" s="206">
        <f t="shared" si="46"/>
        <v>211</v>
      </c>
      <c r="B241" s="88">
        <f>IF($F241="","",'הזנה לתנאי סף'!C241)</f>
        <v>1001350115</v>
      </c>
      <c r="C241" s="88">
        <f>IF($F241="","",'הזנה לתנאי סף'!D241)</f>
        <v>1001272277</v>
      </c>
      <c r="D241" s="88">
        <f>IF($F241="","",'הזנה לתנאי סף'!E241)</f>
        <v>41109519</v>
      </c>
      <c r="E241" s="88">
        <f>IF($F241="","",'הזנה לתנאי סף'!F241)</f>
        <v>20000159</v>
      </c>
      <c r="F241" s="88" t="str">
        <f>IF(OR('הזנה לתנאי סף'!G241="",'הזנה לתנאי סף'!BL241&lt;&gt;1,'הזנה לתנאי סף'!Q241&lt;&gt;1),"",'הזנה לתנאי סף'!G241)</f>
        <v>ירושלים</v>
      </c>
      <c r="G241" s="88" t="str">
        <f>IF($F241="","",'הזנה לתנאי סף'!H241)</f>
        <v>עמותת תיאטרון קומקום (ע"ר)</v>
      </c>
      <c r="H241" s="88" t="str">
        <f>IF($F241="","",'הזנה לתנאי סף'!I241)</f>
        <v>תיאטרון</v>
      </c>
      <c r="I241" s="213">
        <f>IF($F241="","",'תחום תמיכה א'!$I241)</f>
        <v>457705</v>
      </c>
      <c r="J241" s="213">
        <f>IF($F241="","",'תחום תמיכה א'!$J241)</f>
        <v>398342</v>
      </c>
      <c r="K241" s="213">
        <f>IF($F241="","",'תחום תמיכה א'!$K241)</f>
        <v>190582</v>
      </c>
      <c r="L241" s="213">
        <f t="shared" si="38"/>
        <v>1046629</v>
      </c>
      <c r="M241" s="214">
        <f t="shared" si="39"/>
        <v>0.4373135084160672</v>
      </c>
      <c r="N241" s="214">
        <f t="shared" si="48"/>
        <v>0.5626864915839328</v>
      </c>
      <c r="O241" s="213">
        <f t="shared" si="40"/>
        <v>224141.66243052695</v>
      </c>
      <c r="P241" s="213">
        <f>IF($F241="","",'פרמטרים לקריטריונים'!$C$59*O241)</f>
        <v>67242.498729158076</v>
      </c>
      <c r="Q241" s="214">
        <f t="shared" si="41"/>
        <v>3.8202415148132853E-4</v>
      </c>
      <c r="R241" s="213">
        <f t="shared" si="49"/>
        <v>38202.415148132852</v>
      </c>
      <c r="S241" s="213">
        <f>IF($F241="","",'הזנה לתנאי סף'!N241)</f>
        <v>1</v>
      </c>
      <c r="T241" s="213">
        <f>IF($F241="","",'הזנה לתנאי סף'!O241)</f>
        <v>1</v>
      </c>
      <c r="U241" s="213">
        <f>IF($F241="","",'תחום תמיכה א'!W241)</f>
        <v>0</v>
      </c>
      <c r="V241" s="213">
        <f>IF($F241="","",'תחום תמיכה א'!X241)</f>
        <v>0</v>
      </c>
      <c r="W241" s="213">
        <f>IF($F241="","",'תחום תמיכה א'!Y241)</f>
        <v>0</v>
      </c>
      <c r="X241" s="231" t="str">
        <f>IF($F241="","",'תחום תמיכה א'!Z241)</f>
        <v>בדוק נתוני הזנה</v>
      </c>
      <c r="Y241" s="213" t="str">
        <f>IF($F241="","",'תחום תמיכה א'!AA241)</f>
        <v>בדוק נתוני הזנה</v>
      </c>
      <c r="Z241" s="214">
        <f>IF($F241="","",'תחום תמיכה א'!AB241)</f>
        <v>0</v>
      </c>
      <c r="AA241" s="225" t="str">
        <f>IF($F241="","",'תחום תמיכה א'!AC241)</f>
        <v/>
      </c>
      <c r="AB241" s="213" t="str">
        <f t="shared" si="42"/>
        <v/>
      </c>
      <c r="AC241" s="213">
        <f t="shared" si="43"/>
        <v>38202.415148132852</v>
      </c>
      <c r="AD241" s="214">
        <f t="shared" si="44"/>
        <v>3.8286255641625295E-4</v>
      </c>
      <c r="AE241" s="213">
        <f t="shared" si="47"/>
        <v>39347.916562314334</v>
      </c>
      <c r="AF241" s="214">
        <f t="shared" si="45"/>
        <v>3.8286255641625301E-4</v>
      </c>
    </row>
    <row r="242" spans="1:32" ht="15.75" x14ac:dyDescent="0.2">
      <c r="A242" s="206">
        <f t="shared" si="46"/>
        <v>212</v>
      </c>
      <c r="B242" s="88">
        <f>IF($F242="","",'הזנה לתנאי סף'!C242)</f>
        <v>1001348412</v>
      </c>
      <c r="C242" s="88">
        <f>IF($F242="","",'הזנה לתנאי סף'!D242)</f>
        <v>1001275936</v>
      </c>
      <c r="D242" s="88">
        <f>IF($F242="","",'הזנה לתנאי סף'!E242)</f>
        <v>41375155</v>
      </c>
      <c r="E242" s="88">
        <f>IF($F242="","",'הזנה לתנאי סף'!F242)</f>
        <v>20000159</v>
      </c>
      <c r="F242" s="88" t="str">
        <f>IF(OR('הזנה לתנאי סף'!G242="",'הזנה לתנאי סף'!BL242&lt;&gt;1,'הזנה לתנאי סף'!Q242&lt;&gt;1),"",'הזנה לתנאי סף'!G242)</f>
        <v>ירושלים</v>
      </c>
      <c r="G242" s="88" t="str">
        <f>IF($F242="","",'הזנה לתנאי סף'!H242)</f>
        <v>כביש אחד (ע"ר)</v>
      </c>
      <c r="H242" s="88" t="str">
        <f>IF($F242="","",'הזנה לתנאי סף'!I242)</f>
        <v>ספרות</v>
      </c>
      <c r="I242" s="213">
        <f>IF($F242="","",'תחום תמיכה א'!$I242)</f>
        <v>75223</v>
      </c>
      <c r="J242" s="213">
        <f>IF($F242="","",'תחום תמיכה א'!$J242)</f>
        <v>53648</v>
      </c>
      <c r="K242" s="213">
        <f>IF($F242="","",'תחום תמיכה א'!$K242)</f>
        <v>0</v>
      </c>
      <c r="L242" s="213">
        <f t="shared" si="38"/>
        <v>128871</v>
      </c>
      <c r="M242" s="214">
        <f t="shared" si="39"/>
        <v>0.58370773874649839</v>
      </c>
      <c r="N242" s="214">
        <f t="shared" si="48"/>
        <v>0.41629226125350161</v>
      </c>
      <c r="O242" s="213">
        <f t="shared" si="40"/>
        <v>22333.247231727855</v>
      </c>
      <c r="P242" s="213">
        <f>IF($F242="","",'פרמטרים לקריטריונים'!$C$59*O242)</f>
        <v>6699.9741695183566</v>
      </c>
      <c r="Q242" s="214">
        <f t="shared" si="41"/>
        <v>3.8064497831446314E-5</v>
      </c>
      <c r="R242" s="213">
        <f t="shared" si="49"/>
        <v>3806.4497831446315</v>
      </c>
      <c r="S242" s="213">
        <f>IF($F242="","",'הזנה לתנאי סף'!N242)</f>
        <v>1</v>
      </c>
      <c r="T242" s="213">
        <f>IF($F242="","",'הזנה לתנאי סף'!O242)</f>
        <v>1</v>
      </c>
      <c r="U242" s="213">
        <f>IF($F242="","",'תחום תמיכה א'!W242)</f>
        <v>0</v>
      </c>
      <c r="V242" s="213">
        <f>IF($F242="","",'תחום תמיכה א'!X242)</f>
        <v>0</v>
      </c>
      <c r="W242" s="213">
        <f>IF($F242="","",'תחום תמיכה א'!Y242)</f>
        <v>0</v>
      </c>
      <c r="X242" s="231" t="str">
        <f>IF($F242="","",'תחום תמיכה א'!Z242)</f>
        <v>בדוק נתוני הזנה</v>
      </c>
      <c r="Y242" s="213" t="str">
        <f>IF($F242="","",'תחום תמיכה א'!AA242)</f>
        <v>בדוק נתוני הזנה</v>
      </c>
      <c r="Z242" s="214">
        <f>IF($F242="","",'תחום תמיכה א'!AB242)</f>
        <v>1</v>
      </c>
      <c r="AA242" s="225" t="str">
        <f>IF($F242="","",'תחום תמיכה א'!AC242)</f>
        <v/>
      </c>
      <c r="AB242" s="213" t="str">
        <f t="shared" si="42"/>
        <v/>
      </c>
      <c r="AC242" s="213">
        <f t="shared" si="43"/>
        <v>3806.4497831446315</v>
      </c>
      <c r="AD242" s="214">
        <f t="shared" si="44"/>
        <v>3.8148035646277022E-5</v>
      </c>
      <c r="AE242" s="213">
        <f t="shared" si="47"/>
        <v>3920.5863787681178</v>
      </c>
      <c r="AF242" s="214">
        <f t="shared" si="45"/>
        <v>3.8148035646277028E-5</v>
      </c>
    </row>
    <row r="243" spans="1:32" ht="15.75" x14ac:dyDescent="0.2">
      <c r="A243" s="206">
        <f t="shared" si="46"/>
        <v>213</v>
      </c>
      <c r="B243" s="88">
        <f>IF($F243="","",'הזנה לתנאי סף'!C243)</f>
        <v>1001348413</v>
      </c>
      <c r="C243" s="88">
        <f>IF($F243="","",'הזנה לתנאי סף'!D243)</f>
        <v>1001275127</v>
      </c>
      <c r="D243" s="88">
        <f>IF($F243="","",'הזנה לתנאי סף'!E243)</f>
        <v>41375155</v>
      </c>
      <c r="E243" s="88">
        <f>IF($F243="","",'הזנה לתנאי סף'!F243)</f>
        <v>20000159</v>
      </c>
      <c r="F243" s="88" t="str">
        <f>IF(OR('הזנה לתנאי סף'!G243="",'הזנה לתנאי סף'!BL243&lt;&gt;1,'הזנה לתנאי סף'!Q243&lt;&gt;1),"",'הזנה לתנאי סף'!G243)</f>
        <v>ירושלים</v>
      </c>
      <c r="G243" s="88" t="str">
        <f>IF($F243="","",'הזנה לתנאי סף'!H243)</f>
        <v>כביש אחד (ע"ר)</v>
      </c>
      <c r="H243" s="88" t="str">
        <f>IF($F243="","",'הזנה לתנאי סף'!I243)</f>
        <v>אחר</v>
      </c>
      <c r="I243" s="213">
        <f>IF($F243="","",'תחום תמיכה א'!$I243)</f>
        <v>0</v>
      </c>
      <c r="J243" s="213">
        <f>IF($F243="","",'תחום תמיכה א'!$J243)</f>
        <v>39910</v>
      </c>
      <c r="K243" s="213">
        <f>IF($F243="","",'תחום תמיכה א'!$K243)</f>
        <v>0</v>
      </c>
      <c r="L243" s="213">
        <f t="shared" si="38"/>
        <v>39910</v>
      </c>
      <c r="M243" s="214">
        <f t="shared" si="39"/>
        <v>0</v>
      </c>
      <c r="N243" s="214">
        <f t="shared" si="48"/>
        <v>1</v>
      </c>
      <c r="O243" s="213">
        <f t="shared" si="40"/>
        <v>39910</v>
      </c>
      <c r="P243" s="213">
        <f>IF($F243="","",'פרמטרים לקריטריונים'!$C$59*O243)</f>
        <v>11973</v>
      </c>
      <c r="Q243" s="214">
        <f t="shared" si="41"/>
        <v>6.8022087996895829E-5</v>
      </c>
      <c r="R243" s="213">
        <f t="shared" si="49"/>
        <v>6802.2087996895825</v>
      </c>
      <c r="S243" s="213">
        <f>IF($F243="","",'הזנה לתנאי סף'!N243)</f>
        <v>1</v>
      </c>
      <c r="T243" s="213">
        <f>IF($F243="","",'הזנה לתנאי סף'!O243)</f>
        <v>1</v>
      </c>
      <c r="U243" s="213">
        <f>IF($F243="","",'תחום תמיכה א'!W243)</f>
        <v>0</v>
      </c>
      <c r="V243" s="213">
        <f>IF($F243="","",'תחום תמיכה א'!X243)</f>
        <v>0</v>
      </c>
      <c r="W243" s="213">
        <f>IF($F243="","",'תחום תמיכה א'!Y243)</f>
        <v>0</v>
      </c>
      <c r="X243" s="231" t="str">
        <f>IF($F243="","",'תחום תמיכה א'!Z243)</f>
        <v>בדוק נתוני הזנה</v>
      </c>
      <c r="Y243" s="213" t="str">
        <f>IF($F243="","",'תחום תמיכה א'!AA243)</f>
        <v>בדוק נתוני הזנה</v>
      </c>
      <c r="Z243" s="214">
        <f>IF($F243="","",'תחום תמיכה א'!AB243)</f>
        <v>0</v>
      </c>
      <c r="AA243" s="225" t="str">
        <f>IF($F243="","",'תחום תמיכה א'!AC243)</f>
        <v/>
      </c>
      <c r="AB243" s="213" t="str">
        <f t="shared" si="42"/>
        <v/>
      </c>
      <c r="AC243" s="213">
        <f t="shared" si="43"/>
        <v>6802.2087996895825</v>
      </c>
      <c r="AD243" s="214">
        <f t="shared" si="44"/>
        <v>6.8171371894364935E-5</v>
      </c>
      <c r="AE243" s="213">
        <f t="shared" si="47"/>
        <v>7006.1733859438364</v>
      </c>
      <c r="AF243" s="214">
        <f t="shared" si="45"/>
        <v>6.8171371894364948E-5</v>
      </c>
    </row>
    <row r="244" spans="1:32" ht="15.75" x14ac:dyDescent="0.2">
      <c r="A244" s="206">
        <f t="shared" si="46"/>
        <v>214</v>
      </c>
      <c r="B244" s="88">
        <f>IF($F244="","",'הזנה לתנאי סף'!C244)</f>
        <v>1001348578</v>
      </c>
      <c r="C244" s="88">
        <f>IF($F244="","",'הזנה לתנאי סף'!D244)</f>
        <v>1001274514</v>
      </c>
      <c r="D244" s="88">
        <f>IF($F244="","",'הזנה לתנאי סף'!E244)</f>
        <v>41375631</v>
      </c>
      <c r="E244" s="88">
        <f>IF($F244="","",'הזנה לתנאי סף'!F244)</f>
        <v>20000065</v>
      </c>
      <c r="F244" s="88" t="str">
        <f>IF(OR('הזנה לתנאי סף'!G244="",'הזנה לתנאי סף'!BL244&lt;&gt;1,'הזנה לתנאי סף'!Q244&lt;&gt;1),"",'הזנה לתנאי סף'!G244)</f>
        <v>עספיא</v>
      </c>
      <c r="G244" s="88" t="str">
        <f>IF($F244="","",'הזנה לתנאי סף'!H244)</f>
        <v>לוגוס לתרבויות ומורשת עמים (ע"ר)</v>
      </c>
      <c r="H244" s="88" t="str">
        <f>IF($F244="","",'הזנה לתנאי סף'!I244)</f>
        <v>אחר</v>
      </c>
      <c r="I244" s="213">
        <f>IF($F244="","",'תחום תמיכה א'!$I244)</f>
        <v>460433</v>
      </c>
      <c r="J244" s="213">
        <f>IF($F244="","",'תחום תמיכה א'!$J244)</f>
        <v>713299</v>
      </c>
      <c r="K244" s="213">
        <f>IF($F244="","",'תחום תמיכה א'!$K244)</f>
        <v>33055</v>
      </c>
      <c r="L244" s="213">
        <f t="shared" si="38"/>
        <v>1206787</v>
      </c>
      <c r="M244" s="214">
        <f t="shared" si="39"/>
        <v>0.38153626116290612</v>
      </c>
      <c r="N244" s="214">
        <f t="shared" si="48"/>
        <v>0.61846373883709393</v>
      </c>
      <c r="O244" s="213">
        <f t="shared" si="40"/>
        <v>441149.56644876028</v>
      </c>
      <c r="P244" s="213">
        <f>IF($F244="","",'פרמטרים לקריטריונים'!$C$59*O244)</f>
        <v>132344.86993462808</v>
      </c>
      <c r="Q244" s="214">
        <f t="shared" si="41"/>
        <v>7.5188961735830656E-4</v>
      </c>
      <c r="R244" s="213">
        <f t="shared" si="49"/>
        <v>75188.961735830657</v>
      </c>
      <c r="S244" s="213">
        <f>IF($F244="","",'הזנה לתנאי סף'!N244)</f>
        <v>0</v>
      </c>
      <c r="T244" s="213">
        <f>IF($F244="","",'הזנה לתנאי סף'!O244)</f>
        <v>1</v>
      </c>
      <c r="U244" s="213">
        <f>IF($F244="","",'תחום תמיכה א'!W244)</f>
        <v>0</v>
      </c>
      <c r="V244" s="213">
        <f>IF($F244="","",'תחום תמיכה א'!X244)</f>
        <v>0</v>
      </c>
      <c r="W244" s="213">
        <f>IF($F244="","",'תחום תמיכה א'!Y244)</f>
        <v>1</v>
      </c>
      <c r="X244" s="231">
        <f>IF($F244="","",'תחום תמיכה א'!Z244)</f>
        <v>0</v>
      </c>
      <c r="Y244" s="213" t="str">
        <f>IF($F244="","",'תחום תמיכה א'!AA244)</f>
        <v/>
      </c>
      <c r="Z244" s="214" t="str">
        <f>IF($F244="","",'תחום תמיכה א'!AB244)</f>
        <v/>
      </c>
      <c r="AA244" s="225" t="str">
        <f>IF($F244="","",'תחום תמיכה א'!AC244)</f>
        <v/>
      </c>
      <c r="AB244" s="213" t="str">
        <f t="shared" si="42"/>
        <v/>
      </c>
      <c r="AC244" s="213">
        <f t="shared" si="43"/>
        <v>75188.961735830657</v>
      </c>
      <c r="AD244" s="214">
        <f t="shared" si="44"/>
        <v>7.5353974330784996E-4</v>
      </c>
      <c r="AE244" s="213">
        <f t="shared" si="47"/>
        <v>77443.506681883402</v>
      </c>
      <c r="AF244" s="214">
        <f t="shared" si="45"/>
        <v>7.5353974330785018E-4</v>
      </c>
    </row>
    <row r="245" spans="1:32" ht="15.75" x14ac:dyDescent="0.2">
      <c r="A245" s="206">
        <f t="shared" si="46"/>
        <v>215</v>
      </c>
      <c r="B245" s="88">
        <f>IF($F245="","",'הזנה לתנאי סף'!C245)</f>
        <v>1001349368</v>
      </c>
      <c r="C245" s="88">
        <f>IF($F245="","",'הזנה לתנאי סף'!D245)</f>
        <v>1001275002</v>
      </c>
      <c r="D245" s="88">
        <f>IF($F245="","",'הזנה לתנאי סף'!E245)</f>
        <v>41375631</v>
      </c>
      <c r="E245" s="88">
        <f>IF($F245="","",'הזנה לתנאי סף'!F245)</f>
        <v>20000065</v>
      </c>
      <c r="F245" s="88" t="str">
        <f>IF(OR('הזנה לתנאי סף'!G245="",'הזנה לתנאי סף'!BL245&lt;&gt;1,'הזנה לתנאי סף'!Q245&lt;&gt;1),"",'הזנה לתנאי סף'!G245)</f>
        <v>עספיא</v>
      </c>
      <c r="G245" s="88" t="str">
        <f>IF($F245="","",'הזנה לתנאי סף'!H245)</f>
        <v>לוגוס לתרבויות ומורשת עמים (ע"ר)</v>
      </c>
      <c r="H245" s="88" t="str">
        <f>IF($F245="","",'הזנה לתנאי סף'!I245)</f>
        <v>אחר</v>
      </c>
      <c r="I245" s="213">
        <f>IF($F245="","",'תחום תמיכה א'!$I245)</f>
        <v>91395</v>
      </c>
      <c r="J245" s="213">
        <f>IF($F245="","",'תחום תמיכה א'!$J245)</f>
        <v>88000</v>
      </c>
      <c r="K245" s="213">
        <f>IF($F245="","",'תחום תמיכה א'!$K245)</f>
        <v>130945</v>
      </c>
      <c r="L245" s="213">
        <f t="shared" si="38"/>
        <v>310340</v>
      </c>
      <c r="M245" s="214">
        <f t="shared" si="39"/>
        <v>0.29449958110459495</v>
      </c>
      <c r="N245" s="214">
        <f t="shared" si="48"/>
        <v>0.70550041889540505</v>
      </c>
      <c r="O245" s="213">
        <f t="shared" si="40"/>
        <v>62084.036862795641</v>
      </c>
      <c r="P245" s="213">
        <f>IF($F245="","",'פרמטרים לקריטריונים'!$C$59*O245)</f>
        <v>18625.211058838693</v>
      </c>
      <c r="Q245" s="214">
        <f t="shared" si="41"/>
        <v>1.0581522973399172E-4</v>
      </c>
      <c r="R245" s="213">
        <f t="shared" si="49"/>
        <v>10581.522973399173</v>
      </c>
      <c r="S245" s="213">
        <f>IF($F245="","",'הזנה לתנאי סף'!N245)</f>
        <v>0</v>
      </c>
      <c r="T245" s="213">
        <f>IF($F245="","",'הזנה לתנאי סף'!O245)</f>
        <v>1</v>
      </c>
      <c r="U245" s="213">
        <f>IF($F245="","",'תחום תמיכה א'!W245)</f>
        <v>0</v>
      </c>
      <c r="V245" s="213">
        <f>IF($F245="","",'תחום תמיכה א'!X245)</f>
        <v>0</v>
      </c>
      <c r="W245" s="213">
        <f>IF($F245="","",'תחום תמיכה א'!Y245)</f>
        <v>1</v>
      </c>
      <c r="X245" s="231">
        <f>IF($F245="","",'תחום תמיכה א'!Z245)</f>
        <v>0</v>
      </c>
      <c r="Y245" s="213" t="str">
        <f>IF($F245="","",'תחום תמיכה א'!AA245)</f>
        <v/>
      </c>
      <c r="Z245" s="214" t="str">
        <f>IF($F245="","",'תחום תמיכה א'!AB245)</f>
        <v/>
      </c>
      <c r="AA245" s="225" t="str">
        <f>IF($F245="","",'תחום תמיכה א'!AC245)</f>
        <v/>
      </c>
      <c r="AB245" s="213" t="str">
        <f t="shared" si="42"/>
        <v/>
      </c>
      <c r="AC245" s="213">
        <f t="shared" si="43"/>
        <v>10581.522973399173</v>
      </c>
      <c r="AD245" s="214">
        <f t="shared" si="44"/>
        <v>1.0604745591774251E-4</v>
      </c>
      <c r="AE245" s="213">
        <f t="shared" si="47"/>
        <v>10898.810492610248</v>
      </c>
      <c r="AF245" s="214">
        <f t="shared" si="45"/>
        <v>1.0604745591774255E-4</v>
      </c>
    </row>
    <row r="246" spans="1:32" ht="15.75" x14ac:dyDescent="0.2">
      <c r="A246" s="206">
        <f t="shared" si="46"/>
        <v>216</v>
      </c>
      <c r="B246" s="88">
        <f>IF($F246="","",'הזנה לתנאי סף'!C246)</f>
        <v>1001350100</v>
      </c>
      <c r="C246" s="88">
        <f>IF($F246="","",'הזנה לתנאי סף'!D246)</f>
        <v>1001275329</v>
      </c>
      <c r="D246" s="88">
        <f>IF($F246="","",'הזנה לתנאי סף'!E246)</f>
        <v>41375690</v>
      </c>
      <c r="E246" s="88">
        <f>IF($F246="","",'הזנה לתנאי סף'!F246)</f>
        <v>20000201</v>
      </c>
      <c r="F246" s="88" t="str">
        <f>IF(OR('הזנה לתנאי סף'!G246="",'הזנה לתנאי סף'!BL246&lt;&gt;1,'הזנה לתנאי סף'!Q246&lt;&gt;1),"",'הזנה לתנאי סף'!G246)</f>
        <v>תל אביב -יפו</v>
      </c>
      <c r="G246" s="88" t="str">
        <f>IF($F246="","",'הזנה לתנאי סף'!H246)</f>
        <v>העמותה ליצירה פנטסטית וספקולטיבית ב</v>
      </c>
      <c r="H246" s="88" t="str">
        <f>IF($F246="","",'הזנה לתנאי סף'!I246)</f>
        <v>ספרות</v>
      </c>
      <c r="I246" s="213">
        <f>IF($F246="","",'תחום תמיכה א'!$I246)</f>
        <v>45666</v>
      </c>
      <c r="J246" s="213">
        <f>IF($F246="","",'תחום תמיכה א'!$J246)</f>
        <v>27761</v>
      </c>
      <c r="K246" s="213">
        <f>IF($F246="","",'תחום תמיכה א'!$K246)</f>
        <v>0</v>
      </c>
      <c r="L246" s="213">
        <f t="shared" si="38"/>
        <v>73427</v>
      </c>
      <c r="M246" s="214">
        <f t="shared" si="39"/>
        <v>0.6219238154902148</v>
      </c>
      <c r="N246" s="214">
        <f t="shared" si="48"/>
        <v>0.3780761845097852</v>
      </c>
      <c r="O246" s="213">
        <f t="shared" si="40"/>
        <v>10495.772958176147</v>
      </c>
      <c r="P246" s="213">
        <f>IF($F246="","",'פרמטרים לקריטריונים'!$C$59*O246)</f>
        <v>3148.7318874528441</v>
      </c>
      <c r="Q246" s="214">
        <f t="shared" si="41"/>
        <v>1.7888859728301116E-5</v>
      </c>
      <c r="R246" s="213">
        <f t="shared" si="49"/>
        <v>1788.8859728301115</v>
      </c>
      <c r="S246" s="213">
        <f>IF($F246="","",'הזנה לתנאי סף'!N246)</f>
        <v>0</v>
      </c>
      <c r="T246" s="213">
        <f>IF($F246="","",'הזנה לתנאי סף'!O246)</f>
        <v>1</v>
      </c>
      <c r="U246" s="213">
        <f>IF($F246="","",'תחום תמיכה א'!W246)</f>
        <v>0</v>
      </c>
      <c r="V246" s="213">
        <f>IF($F246="","",'תחום תמיכה א'!X246)</f>
        <v>0</v>
      </c>
      <c r="W246" s="213">
        <f>IF($F246="","",'תחום תמיכה א'!Y246)</f>
        <v>1</v>
      </c>
      <c r="X246" s="231">
        <f>IF($F246="","",'תחום תמיכה א'!Z246)</f>
        <v>0</v>
      </c>
      <c r="Y246" s="213" t="str">
        <f>IF($F246="","",'תחום תמיכה א'!AA246)</f>
        <v/>
      </c>
      <c r="Z246" s="214" t="str">
        <f>IF($F246="","",'תחום תמיכה א'!AB246)</f>
        <v/>
      </c>
      <c r="AA246" s="225" t="str">
        <f>IF($F246="","",'תחום תמיכה א'!AC246)</f>
        <v/>
      </c>
      <c r="AB246" s="213" t="str">
        <f t="shared" si="42"/>
        <v/>
      </c>
      <c r="AC246" s="213">
        <f t="shared" si="43"/>
        <v>1788.8859728301115</v>
      </c>
      <c r="AD246" s="214">
        <f t="shared" si="44"/>
        <v>1.7928119309712976E-5</v>
      </c>
      <c r="AE246" s="213">
        <f t="shared" si="47"/>
        <v>1842.5258121894949</v>
      </c>
      <c r="AF246" s="214">
        <f t="shared" si="45"/>
        <v>1.7928119309712983E-5</v>
      </c>
    </row>
    <row r="247" spans="1:32" ht="15.75" x14ac:dyDescent="0.2">
      <c r="A247" s="206">
        <f t="shared" si="46"/>
        <v>217</v>
      </c>
      <c r="B247" s="88">
        <f>IF($F247="","",'הזנה לתנאי סף'!C247)</f>
        <v>1001350112</v>
      </c>
      <c r="C247" s="88">
        <f>IF($F247="","",'הזנה לתנאי סף'!D247)</f>
        <v>1001277938</v>
      </c>
      <c r="D247" s="88">
        <f>IF($F247="","",'הזנה לתנאי סף'!E247)</f>
        <v>41375690</v>
      </c>
      <c r="E247" s="88">
        <f>IF($F247="","",'הזנה לתנאי סף'!F247)</f>
        <v>20000201</v>
      </c>
      <c r="F247" s="88" t="str">
        <f>IF(OR('הזנה לתנאי סף'!G247="",'הזנה לתנאי סף'!BL247&lt;&gt;1,'הזנה לתנאי סף'!Q247&lt;&gt;1),"",'הזנה לתנאי סף'!G247)</f>
        <v>תל אביב -יפו</v>
      </c>
      <c r="G247" s="88" t="str">
        <f>IF($F247="","",'הזנה לתנאי סף'!H247)</f>
        <v>העמותה ליצירה פנטסטית וספקולטיבית ב</v>
      </c>
      <c r="H247" s="88" t="str">
        <f>IF($F247="","",'הזנה לתנאי סף'!I247)</f>
        <v>סינמטקים ופסטיבלים</v>
      </c>
      <c r="I247" s="213">
        <f>IF($F247="","",'תחום תמיכה א'!$I247)</f>
        <v>130443</v>
      </c>
      <c r="J247" s="213">
        <f>IF($F247="","",'תחום תמיכה א'!$J247)</f>
        <v>281141</v>
      </c>
      <c r="K247" s="213">
        <f>IF($F247="","",'תחום תמיכה א'!$K247)</f>
        <v>0</v>
      </c>
      <c r="L247" s="213">
        <f t="shared" si="38"/>
        <v>411584</v>
      </c>
      <c r="M247" s="214">
        <f t="shared" si="39"/>
        <v>0.316929229513295</v>
      </c>
      <c r="N247" s="214">
        <f t="shared" si="48"/>
        <v>0.68307077048670495</v>
      </c>
      <c r="O247" s="213">
        <f t="shared" si="40"/>
        <v>192039.19948540273</v>
      </c>
      <c r="P247" s="213">
        <f>IF($F247="","",'פרמטרים לקריטריונים'!$C$59*O247)</f>
        <v>57611.759845620814</v>
      </c>
      <c r="Q247" s="214">
        <f t="shared" si="41"/>
        <v>3.2730912869580295E-4</v>
      </c>
      <c r="R247" s="213">
        <f t="shared" si="49"/>
        <v>32730.912869580294</v>
      </c>
      <c r="S247" s="213">
        <f>IF($F247="","",'הזנה לתנאי סף'!N247)</f>
        <v>0</v>
      </c>
      <c r="T247" s="213">
        <f>IF($F247="","",'הזנה לתנאי סף'!O247)</f>
        <v>1</v>
      </c>
      <c r="U247" s="213">
        <f>IF($F247="","",'תחום תמיכה א'!W247)</f>
        <v>0</v>
      </c>
      <c r="V247" s="213">
        <f>IF($F247="","",'תחום תמיכה א'!X247)</f>
        <v>0</v>
      </c>
      <c r="W247" s="213">
        <f>IF($F247="","",'תחום תמיכה א'!Y247)</f>
        <v>1</v>
      </c>
      <c r="X247" s="231">
        <f>IF($F247="","",'תחום תמיכה א'!Z247)</f>
        <v>0</v>
      </c>
      <c r="Y247" s="213" t="str">
        <f>IF($F247="","",'תחום תמיכה א'!AA247)</f>
        <v/>
      </c>
      <c r="Z247" s="214" t="str">
        <f>IF($F247="","",'תחום תמיכה א'!AB247)</f>
        <v/>
      </c>
      <c r="AA247" s="225" t="str">
        <f>IF($F247="","",'תחום תמיכה א'!AC247)</f>
        <v/>
      </c>
      <c r="AB247" s="213" t="str">
        <f t="shared" si="42"/>
        <v/>
      </c>
      <c r="AC247" s="213">
        <f t="shared" si="43"/>
        <v>32730.912869580294</v>
      </c>
      <c r="AD247" s="214">
        <f t="shared" si="44"/>
        <v>3.2802745393173448E-4</v>
      </c>
      <c r="AE247" s="213">
        <f t="shared" si="47"/>
        <v>33712.35100206935</v>
      </c>
      <c r="AF247" s="214">
        <f t="shared" si="45"/>
        <v>3.2802745393173454E-4</v>
      </c>
    </row>
    <row r="248" spans="1:32" ht="15.75" x14ac:dyDescent="0.2">
      <c r="A248" s="206">
        <f t="shared" si="46"/>
        <v>218</v>
      </c>
      <c r="B248" s="88">
        <f>IF($F248="","",'הזנה לתנאי סף'!C248)</f>
        <v>1001350278</v>
      </c>
      <c r="C248" s="88">
        <f>IF($F248="","",'הזנה לתנאי סף'!D248)</f>
        <v>1001295236</v>
      </c>
      <c r="D248" s="88">
        <f>IF($F248="","",'הזנה לתנאי סף'!E248)</f>
        <v>41375765</v>
      </c>
      <c r="E248" s="88">
        <f>IF($F248="","",'הזנה לתנאי סף'!F248)</f>
        <v>20000159</v>
      </c>
      <c r="F248" s="88" t="str">
        <f>IF(OR('הזנה לתנאי סף'!G248="",'הזנה לתנאי סף'!BL248&lt;&gt;1,'הזנה לתנאי סף'!Q248&lt;&gt;1),"",'הזנה לתנאי סף'!G248)</f>
        <v>ירושלים</v>
      </c>
      <c r="G248" s="88" t="str">
        <f>IF($F248="","",'הזנה לתנאי סף'!H248)</f>
        <v>התיאטרון החברתי משו משו (ע"ר)</v>
      </c>
      <c r="H248" s="88" t="str">
        <f>IF($F248="","",'הזנה לתנאי סף'!I248)</f>
        <v>אחר</v>
      </c>
      <c r="I248" s="213">
        <f>IF($F248="","",'תחום תמיכה א'!$I248)</f>
        <v>13000</v>
      </c>
      <c r="J248" s="213">
        <f>IF($F248="","",'תחום תמיכה א'!$J248)</f>
        <v>29000</v>
      </c>
      <c r="K248" s="213">
        <f>IF($F248="","",'תחום תמיכה א'!$K248)</f>
        <v>0</v>
      </c>
      <c r="L248" s="213">
        <f t="shared" si="38"/>
        <v>42000</v>
      </c>
      <c r="M248" s="214">
        <f t="shared" si="39"/>
        <v>0.30952380952380953</v>
      </c>
      <c r="N248" s="214">
        <f t="shared" si="48"/>
        <v>0.69047619047619047</v>
      </c>
      <c r="O248" s="213">
        <f t="shared" si="40"/>
        <v>20023.809523809523</v>
      </c>
      <c r="P248" s="213">
        <f>IF($F248="","",'פרמטרים לקריטריונים'!$C$59*O248)</f>
        <v>6007.1428571428569</v>
      </c>
      <c r="Q248" s="214">
        <f t="shared" si="41"/>
        <v>3.4128322061178957E-5</v>
      </c>
      <c r="R248" s="213">
        <f t="shared" si="49"/>
        <v>3412.8322061178956</v>
      </c>
      <c r="S248" s="213">
        <f>IF($F248="","",'הזנה לתנאי סף'!N248)</f>
        <v>0</v>
      </c>
      <c r="T248" s="213">
        <f>IF($F248="","",'הזנה לתנאי סף'!O248)</f>
        <v>1</v>
      </c>
      <c r="U248" s="213">
        <f>IF($F248="","",'תחום תמיכה א'!W248)</f>
        <v>0</v>
      </c>
      <c r="V248" s="213">
        <f>IF($F248="","",'תחום תמיכה א'!X248)</f>
        <v>0</v>
      </c>
      <c r="W248" s="213">
        <f>IF($F248="","",'תחום תמיכה א'!Y248)</f>
        <v>1</v>
      </c>
      <c r="X248" s="231">
        <f>IF($F248="","",'תחום תמיכה א'!Z248)</f>
        <v>0</v>
      </c>
      <c r="Y248" s="213" t="str">
        <f>IF($F248="","",'תחום תמיכה א'!AA248)</f>
        <v/>
      </c>
      <c r="Z248" s="214" t="str">
        <f>IF($F248="","",'תחום תמיכה א'!AB248)</f>
        <v/>
      </c>
      <c r="AA248" s="225" t="str">
        <f>IF($F248="","",'תחום תמיכה א'!AC248)</f>
        <v/>
      </c>
      <c r="AB248" s="213" t="str">
        <f t="shared" si="42"/>
        <v/>
      </c>
      <c r="AC248" s="213">
        <f t="shared" si="43"/>
        <v>3412.8322061178956</v>
      </c>
      <c r="AD248" s="214">
        <f t="shared" si="44"/>
        <v>3.4203221392872599E-5</v>
      </c>
      <c r="AE248" s="213">
        <f t="shared" si="47"/>
        <v>3515.1661581288654</v>
      </c>
      <c r="AF248" s="214">
        <f t="shared" si="45"/>
        <v>3.4203221392872606E-5</v>
      </c>
    </row>
    <row r="249" spans="1:32" ht="15.75" x14ac:dyDescent="0.2">
      <c r="A249" s="206">
        <f t="shared" si="46"/>
        <v>219</v>
      </c>
      <c r="B249" s="88">
        <f>IF($F249="","",'הזנה לתנאי סף'!C249)</f>
        <v>1001347067</v>
      </c>
      <c r="C249" s="88">
        <f>IF($F249="","",'הזנה לתנאי סף'!D249)</f>
        <v>1001347067</v>
      </c>
      <c r="D249" s="88">
        <f>IF($F249="","",'הזנה לתנאי סף'!E249)</f>
        <v>41446343</v>
      </c>
      <c r="E249" s="88">
        <f>IF($F249="","",'הזנה לתנאי סף'!F249)</f>
        <v>20000253</v>
      </c>
      <c r="F249" s="88" t="str">
        <f>IF(OR('הזנה לתנאי סף'!G249="",'הזנה לתנאי סף'!BL249&lt;&gt;1,'הזנה לתנאי סף'!Q249&lt;&gt;1),"",'הזנה לתנאי סף'!G249)</f>
        <v>טמרה</v>
      </c>
      <c r="G249" s="88" t="str">
        <f>IF($F249="","",'הזנה לתנאי סף'!H249)</f>
        <v>תיאטרון אלעין (ע"ר)</v>
      </c>
      <c r="H249" s="88" t="str">
        <f>IF($F249="","",'הזנה לתנאי סף'!I249)</f>
        <v>תיאטרון</v>
      </c>
      <c r="I249" s="213">
        <f>IF($F249="","",'תחום תמיכה א'!$I249)</f>
        <v>0</v>
      </c>
      <c r="J249" s="213">
        <f>IF($F249="","",'תחום תמיכה א'!$J249)</f>
        <v>658631</v>
      </c>
      <c r="K249" s="213">
        <f>IF($F249="","",'תחום תמיכה א'!$K249)</f>
        <v>0</v>
      </c>
      <c r="L249" s="213">
        <f t="shared" si="38"/>
        <v>658631</v>
      </c>
      <c r="M249" s="214">
        <f t="shared" si="39"/>
        <v>0</v>
      </c>
      <c r="N249" s="214">
        <f t="shared" si="48"/>
        <v>1</v>
      </c>
      <c r="O249" s="213">
        <f t="shared" si="40"/>
        <v>658631</v>
      </c>
      <c r="P249" s="213">
        <f>IF($F249="","",'פרמטרים לקריטריונים'!$C$59*O249)</f>
        <v>197589.3</v>
      </c>
      <c r="Q249" s="214">
        <f t="shared" si="41"/>
        <v>1.1225621608489977E-3</v>
      </c>
      <c r="R249" s="213">
        <f t="shared" si="49"/>
        <v>112256.21608489976</v>
      </c>
      <c r="S249" s="213">
        <f>IF($F249="","",'הזנה לתנאי סף'!N249)</f>
        <v>0</v>
      </c>
      <c r="T249" s="213">
        <f>IF($F249="","",'הזנה לתנאי סף'!O249)</f>
        <v>1</v>
      </c>
      <c r="U249" s="213">
        <f>IF($F249="","",'תחום תמיכה א'!W249)</f>
        <v>0</v>
      </c>
      <c r="V249" s="213">
        <f>IF($F249="","",'תחום תמיכה א'!X249)</f>
        <v>0</v>
      </c>
      <c r="W249" s="213">
        <f>IF($F249="","",'תחום תמיכה א'!Y249)</f>
        <v>1</v>
      </c>
      <c r="X249" s="231">
        <f>IF($F249="","",'תחום תמיכה א'!Z249)</f>
        <v>0</v>
      </c>
      <c r="Y249" s="213" t="str">
        <f>IF($F249="","",'תחום תמיכה א'!AA249)</f>
        <v/>
      </c>
      <c r="Z249" s="214" t="str">
        <f>IF($F249="","",'תחום תמיכה א'!AB249)</f>
        <v/>
      </c>
      <c r="AA249" s="225" t="str">
        <f>IF($F249="","",'תחום תמיכה א'!AC249)</f>
        <v/>
      </c>
      <c r="AB249" s="213" t="str">
        <f t="shared" si="42"/>
        <v/>
      </c>
      <c r="AC249" s="213">
        <f t="shared" si="43"/>
        <v>112256.21608489976</v>
      </c>
      <c r="AD249" s="214">
        <f t="shared" si="44"/>
        <v>1.1250257790568145E-3</v>
      </c>
      <c r="AE249" s="213">
        <f t="shared" si="47"/>
        <v>115622.22458926523</v>
      </c>
      <c r="AF249" s="214">
        <f t="shared" si="45"/>
        <v>1.1250257790568149E-3</v>
      </c>
    </row>
    <row r="250" spans="1:32" ht="15.75" x14ac:dyDescent="0.2">
      <c r="A250" s="206">
        <f t="shared" si="46"/>
        <v>220</v>
      </c>
      <c r="B250" s="88">
        <f>IF($F250="","",'הזנה לתנאי סף'!C250)</f>
        <v>1001346668</v>
      </c>
      <c r="C250" s="88">
        <f>IF($F250="","",'הזנה לתנאי סף'!D250)</f>
        <v>1001265550</v>
      </c>
      <c r="D250" s="88">
        <f>IF($F250="","",'הזנה לתנאי סף'!E250)</f>
        <v>41457607</v>
      </c>
      <c r="E250" s="88">
        <f>IF($F250="","",'הזנה לתנאי סף'!F250)</f>
        <v>20000201</v>
      </c>
      <c r="F250" s="88" t="str">
        <f>IF(OR('הזנה לתנאי סף'!G250="",'הזנה לתנאי סף'!BL250&lt;&gt;1,'הזנה לתנאי סף'!Q250&lt;&gt;1),"",'הזנה לתנאי סף'!G250)</f>
        <v>תל אביב -יפו</v>
      </c>
      <c r="G250" s="88" t="str">
        <f>IF($F250="","",'הזנה לתנאי סף'!H250)</f>
        <v>להקת המחול פרסקו (ע"ר)</v>
      </c>
      <c r="H250" s="88" t="str">
        <f>IF($F250="","",'הזנה לתנאי סף'!I250)</f>
        <v>מחול</v>
      </c>
      <c r="I250" s="213">
        <f>IF($F250="","",'תחום תמיכה א'!$I250)</f>
        <v>1465318</v>
      </c>
      <c r="J250" s="213">
        <f>IF($F250="","",'תחום תמיכה א'!$J250)</f>
        <v>1363605</v>
      </c>
      <c r="K250" s="213">
        <f>IF($F250="","",'תחום תמיכה א'!$K250)</f>
        <v>5000</v>
      </c>
      <c r="L250" s="213">
        <f t="shared" si="38"/>
        <v>2833923</v>
      </c>
      <c r="M250" s="214">
        <f t="shared" si="39"/>
        <v>0.51706344879518606</v>
      </c>
      <c r="N250" s="214">
        <f t="shared" si="48"/>
        <v>0.48293655120481394</v>
      </c>
      <c r="O250" s="213">
        <f t="shared" si="40"/>
        <v>658534.69590564026</v>
      </c>
      <c r="P250" s="213">
        <f>IF($F250="","",'פרמטרים לקריטריונים'!$C$59*O250)</f>
        <v>197560.40877169208</v>
      </c>
      <c r="Q250" s="214">
        <f t="shared" si="41"/>
        <v>1.1223980213957028E-3</v>
      </c>
      <c r="R250" s="213">
        <f t="shared" si="49"/>
        <v>112239.80213957028</v>
      </c>
      <c r="S250" s="213">
        <f>IF($F250="","",'הזנה לתנאי סף'!N250)</f>
        <v>1</v>
      </c>
      <c r="T250" s="213">
        <f>IF($F250="","",'הזנה לתנאי סף'!O250)</f>
        <v>1</v>
      </c>
      <c r="U250" s="213">
        <f>IF($F250="","",'תחום תמיכה א'!W250)</f>
        <v>0</v>
      </c>
      <c r="V250" s="213">
        <f>IF($F250="","",'תחום תמיכה א'!X250)</f>
        <v>0</v>
      </c>
      <c r="W250" s="213">
        <f>IF($F250="","",'תחום תמיכה א'!Y250)</f>
        <v>0</v>
      </c>
      <c r="X250" s="231" t="str">
        <f>IF($F250="","",'תחום תמיכה א'!Z250)</f>
        <v>בדוק נתוני הזנה</v>
      </c>
      <c r="Y250" s="213" t="str">
        <f>IF($F250="","",'תחום תמיכה א'!AA250)</f>
        <v>בדוק נתוני הזנה</v>
      </c>
      <c r="Z250" s="214">
        <f>IF($F250="","",'תחום תמיכה א'!AB250)</f>
        <v>0</v>
      </c>
      <c r="AA250" s="225" t="str">
        <f>IF($F250="","",'תחום תמיכה א'!AC250)</f>
        <v/>
      </c>
      <c r="AB250" s="213" t="str">
        <f t="shared" si="42"/>
        <v/>
      </c>
      <c r="AC250" s="213">
        <f t="shared" si="43"/>
        <v>112239.80213957028</v>
      </c>
      <c r="AD250" s="214">
        <f t="shared" si="44"/>
        <v>1.1248612793767457E-3</v>
      </c>
      <c r="AE250" s="213">
        <f t="shared" si="47"/>
        <v>115605.31847092746</v>
      </c>
      <c r="AF250" s="214">
        <f t="shared" si="45"/>
        <v>1.1248612793767461E-3</v>
      </c>
    </row>
    <row r="251" spans="1:32" ht="15.75" x14ac:dyDescent="0.2">
      <c r="A251" s="206">
        <f t="shared" si="46"/>
        <v>221</v>
      </c>
      <c r="B251" s="88">
        <f>IF($F251="","",'הזנה לתנאי סף'!C251)</f>
        <v>1001348185</v>
      </c>
      <c r="C251" s="88">
        <f>IF($F251="","",'הזנה לתנאי סף'!D251)</f>
        <v>1001265555</v>
      </c>
      <c r="D251" s="88">
        <f>IF($F251="","",'הזנה לתנאי סף'!E251)</f>
        <v>41457607</v>
      </c>
      <c r="E251" s="88">
        <f>IF($F251="","",'הזנה לתנאי סף'!F251)</f>
        <v>20000201</v>
      </c>
      <c r="F251" s="88" t="str">
        <f>IF(OR('הזנה לתנאי סף'!G251="",'הזנה לתנאי סף'!BL251&lt;&gt;1,'הזנה לתנאי סף'!Q251&lt;&gt;1),"",'הזנה לתנאי סף'!G251)</f>
        <v>תל אביב -יפו</v>
      </c>
      <c r="G251" s="88" t="str">
        <f>IF($F251="","",'הזנה לתנאי סף'!H251)</f>
        <v>להקת המחול פרסקו (ע"ר)</v>
      </c>
      <c r="H251" s="88" t="str">
        <f>IF($F251="","",'הזנה לתנאי סף'!I251)</f>
        <v>מחול</v>
      </c>
      <c r="I251" s="213">
        <f>IF($F251="","",'תחום תמיכה א'!$I251)</f>
        <v>0</v>
      </c>
      <c r="J251" s="213">
        <f>IF($F251="","",'תחום תמיכה א'!$J251)</f>
        <v>93661</v>
      </c>
      <c r="K251" s="213">
        <f>IF($F251="","",'תחום תמיכה א'!$K251)</f>
        <v>0</v>
      </c>
      <c r="L251" s="213">
        <f t="shared" si="38"/>
        <v>93661</v>
      </c>
      <c r="M251" s="214">
        <f t="shared" si="39"/>
        <v>0</v>
      </c>
      <c r="N251" s="214">
        <f t="shared" si="48"/>
        <v>1</v>
      </c>
      <c r="O251" s="213">
        <f t="shared" si="40"/>
        <v>93661</v>
      </c>
      <c r="P251" s="213">
        <f>IF($F251="","",'פרמטרים לקריטריונים'!$C$59*O251)</f>
        <v>28098.3</v>
      </c>
      <c r="Q251" s="214">
        <f t="shared" si="41"/>
        <v>1.5963459744117414E-4</v>
      </c>
      <c r="R251" s="213">
        <f t="shared" si="49"/>
        <v>15963.459744117414</v>
      </c>
      <c r="S251" s="213">
        <f>IF($F251="","",'הזנה לתנאי סף'!N251)</f>
        <v>1</v>
      </c>
      <c r="T251" s="213">
        <f>IF($F251="","",'הזנה לתנאי סף'!O251)</f>
        <v>1</v>
      </c>
      <c r="U251" s="213">
        <f>IF($F251="","",'תחום תמיכה א'!W251)</f>
        <v>0</v>
      </c>
      <c r="V251" s="213">
        <f>IF($F251="","",'תחום תמיכה א'!X251)</f>
        <v>0</v>
      </c>
      <c r="W251" s="213">
        <f>IF($F251="","",'תחום תמיכה א'!Y251)</f>
        <v>0</v>
      </c>
      <c r="X251" s="231" t="str">
        <f>IF($F251="","",'תחום תמיכה א'!Z251)</f>
        <v>בדוק נתוני הזנה</v>
      </c>
      <c r="Y251" s="213" t="str">
        <f>IF($F251="","",'תחום תמיכה א'!AA251)</f>
        <v>בדוק נתוני הזנה</v>
      </c>
      <c r="Z251" s="214">
        <f>IF($F251="","",'תחום תמיכה א'!AB251)</f>
        <v>1</v>
      </c>
      <c r="AA251" s="225" t="str">
        <f>IF($F251="","",'תחום תמיכה א'!AC251)</f>
        <v/>
      </c>
      <c r="AB251" s="213" t="str">
        <f t="shared" si="42"/>
        <v/>
      </c>
      <c r="AC251" s="213">
        <f t="shared" si="43"/>
        <v>15963.459744117414</v>
      </c>
      <c r="AD251" s="214">
        <f t="shared" si="44"/>
        <v>1.5998493768474352E-4</v>
      </c>
      <c r="AE251" s="213">
        <f t="shared" si="47"/>
        <v>16442.124918588968</v>
      </c>
      <c r="AF251" s="214">
        <f t="shared" si="45"/>
        <v>1.5998493768474358E-4</v>
      </c>
    </row>
    <row r="252" spans="1:32" ht="15.75" x14ac:dyDescent="0.2">
      <c r="A252" s="206">
        <f t="shared" si="46"/>
        <v>222</v>
      </c>
      <c r="B252" s="88">
        <f>IF($F252="","",'הזנה לתנאי סף'!C252)</f>
        <v>1001350356</v>
      </c>
      <c r="C252" s="88">
        <f>IF($F252="","",'הזנה לתנאי סף'!D252)</f>
        <v>1001270272</v>
      </c>
      <c r="D252" s="88">
        <f>IF($F252="","",'הזנה לתנאי סף'!E252)</f>
        <v>41476422</v>
      </c>
      <c r="E252" s="88">
        <f>IF($F252="","",'הזנה לתנאי סף'!F252)</f>
        <v>20000147</v>
      </c>
      <c r="F252" s="88" t="str">
        <f>IF(OR('הזנה לתנאי סף'!G252="",'הזנה לתנאי סף'!BL252&lt;&gt;1,'הזנה לתנאי סף'!Q252&lt;&gt;1),"",'הזנה לתנאי סף'!G252)</f>
        <v>אילת</v>
      </c>
      <c r="G252" s="88" t="str">
        <f>IF($F252="","",'הזנה לתנאי סף'!H252)</f>
        <v>אלעד - תיאטרון אילת והערבה (ע''ר)</v>
      </c>
      <c r="H252" s="88" t="str">
        <f>IF($F252="","",'הזנה לתנאי סף'!I252)</f>
        <v>תיאטרון</v>
      </c>
      <c r="I252" s="213">
        <f>IF($F252="","",'תחום תמיכה א'!$I252)</f>
        <v>1354973</v>
      </c>
      <c r="J252" s="213">
        <f>IF($F252="","",'תחום תמיכה א'!$J252)</f>
        <v>1275592</v>
      </c>
      <c r="K252" s="213">
        <f>IF($F252="","",'תחום תמיכה א'!$K252)</f>
        <v>0</v>
      </c>
      <c r="L252" s="213">
        <f t="shared" si="38"/>
        <v>2630565</v>
      </c>
      <c r="M252" s="214">
        <f t="shared" si="39"/>
        <v>0.51508820348480266</v>
      </c>
      <c r="N252" s="214">
        <f t="shared" si="48"/>
        <v>0.48491179651519734</v>
      </c>
      <c r="O252" s="213">
        <f t="shared" si="40"/>
        <v>618549.60834041354</v>
      </c>
      <c r="P252" s="213">
        <f>IF($F252="","",'פרמטרים לקריטריונים'!$C$59*O252)</f>
        <v>185564.88250212406</v>
      </c>
      <c r="Q252" s="214">
        <f t="shared" si="41"/>
        <v>1.0542479551234542E-3</v>
      </c>
      <c r="R252" s="213">
        <f t="shared" si="49"/>
        <v>105424.79551234542</v>
      </c>
      <c r="S252" s="213">
        <f>IF($F252="","",'הזנה לתנאי סף'!N252)</f>
        <v>0</v>
      </c>
      <c r="T252" s="213">
        <f>IF($F252="","",'הזנה לתנאי סף'!O252)</f>
        <v>1</v>
      </c>
      <c r="U252" s="213">
        <f>IF($F252="","",'תחום תמיכה א'!W252)</f>
        <v>0</v>
      </c>
      <c r="V252" s="213">
        <f>IF($F252="","",'תחום תמיכה א'!X252)</f>
        <v>0</v>
      </c>
      <c r="W252" s="213">
        <f>IF($F252="","",'תחום תמיכה א'!Y252)</f>
        <v>1</v>
      </c>
      <c r="X252" s="231">
        <f>IF($F252="","",'תחום תמיכה א'!Z252)</f>
        <v>0</v>
      </c>
      <c r="Y252" s="213" t="str">
        <f>IF($F252="","",'תחום תמיכה א'!AA252)</f>
        <v/>
      </c>
      <c r="Z252" s="214" t="str">
        <f>IF($F252="","",'תחום תמיכה א'!AB252)</f>
        <v/>
      </c>
      <c r="AA252" s="225" t="str">
        <f>IF($F252="","",'תחום תמיכה א'!AC252)</f>
        <v/>
      </c>
      <c r="AB252" s="213" t="str">
        <f t="shared" si="42"/>
        <v/>
      </c>
      <c r="AC252" s="213">
        <f t="shared" si="43"/>
        <v>105424.79551234542</v>
      </c>
      <c r="AD252" s="214">
        <f t="shared" si="44"/>
        <v>1.0565616483409698E-3</v>
      </c>
      <c r="AE252" s="213">
        <f t="shared" si="47"/>
        <v>108585.96351392104</v>
      </c>
      <c r="AF252" s="214">
        <f t="shared" si="45"/>
        <v>1.05656164834097E-3</v>
      </c>
    </row>
    <row r="253" spans="1:32" ht="15.75" x14ac:dyDescent="0.2">
      <c r="A253" s="206">
        <f t="shared" si="46"/>
        <v>223</v>
      </c>
      <c r="B253" s="88">
        <f>IF($F253="","",'הזנה לתנאי סף'!C253)</f>
        <v>1001350854</v>
      </c>
      <c r="C253" s="88">
        <f>IF($F253="","",'הזנה לתנאי סף'!D253)</f>
        <v>1001311678</v>
      </c>
      <c r="D253" s="88">
        <f>IF($F253="","",'הזנה לתנאי סף'!E253)</f>
        <v>41378459</v>
      </c>
      <c r="E253" s="88">
        <f>IF($F253="","",'הזנה לתנאי סף'!F253)</f>
        <v>20000201</v>
      </c>
      <c r="F253" s="88" t="str">
        <f>IF(OR('הזנה לתנאי סף'!G253="",'הזנה לתנאי סף'!BL253&lt;&gt;1,'הזנה לתנאי סף'!Q253&lt;&gt;1),"",'הזנה לתנאי סף'!G253)</f>
        <v>תל אביב -יפו</v>
      </c>
      <c r="G253" s="88" t="str">
        <f>IF($F253="","",'הזנה לתנאי סף'!H253)</f>
        <v>עמותת תיאטרון גלבוע</v>
      </c>
      <c r="H253" s="88" t="str">
        <f>IF($F253="","",'הזנה לתנאי סף'!I253)</f>
        <v>אחר</v>
      </c>
      <c r="I253" s="213">
        <f>IF($F253="","",'תחום תמיכה א'!$I253)</f>
        <v>182718</v>
      </c>
      <c r="J253" s="213">
        <f>IF($F253="","",'תחום תמיכה א'!$J253)</f>
        <v>201035</v>
      </c>
      <c r="K253" s="213">
        <f>IF($F253="","",'תחום תמיכה א'!$K253)</f>
        <v>0</v>
      </c>
      <c r="L253" s="213">
        <f t="shared" si="38"/>
        <v>383753</v>
      </c>
      <c r="M253" s="214">
        <f t="shared" si="39"/>
        <v>0.47613438852595291</v>
      </c>
      <c r="N253" s="214">
        <f t="shared" si="48"/>
        <v>0.52386561147404709</v>
      </c>
      <c r="O253" s="213">
        <f t="shared" si="40"/>
        <v>105315.32320268506</v>
      </c>
      <c r="P253" s="213">
        <f>IF($F253="","",'פרמטרים לקריטריונים'!$C$59*O253)</f>
        <v>31594.596960805517</v>
      </c>
      <c r="Q253" s="214">
        <f t="shared" si="41"/>
        <v>1.7949807522712522E-4</v>
      </c>
      <c r="R253" s="213">
        <f t="shared" si="49"/>
        <v>17949.807522712523</v>
      </c>
      <c r="S253" s="213">
        <f>IF($F253="","",'הזנה לתנאי סף'!N253)</f>
        <v>1</v>
      </c>
      <c r="T253" s="213">
        <f>IF($F253="","",'הזנה לתנאי סף'!O253)</f>
        <v>1</v>
      </c>
      <c r="U253" s="213">
        <f>IF($F253="","",'תחום תמיכה א'!W253)</f>
        <v>0</v>
      </c>
      <c r="V253" s="213">
        <f>IF($F253="","",'תחום תמיכה א'!X253)</f>
        <v>0</v>
      </c>
      <c r="W253" s="213">
        <f>IF($F253="","",'תחום תמיכה א'!Y253)</f>
        <v>0</v>
      </c>
      <c r="X253" s="231" t="str">
        <f>IF($F253="","",'תחום תמיכה א'!Z253)</f>
        <v>בדוק נתוני הזנה</v>
      </c>
      <c r="Y253" s="213" t="str">
        <f>IF($F253="","",'תחום תמיכה א'!AA253)</f>
        <v>בדוק נתוני הזנה</v>
      </c>
      <c r="Z253" s="214">
        <f>IF($F253="","",'תחום תמיכה א'!AB253)</f>
        <v>0</v>
      </c>
      <c r="AA253" s="225" t="str">
        <f>IF($F253="","",'תחום תמיכה א'!AC253)</f>
        <v/>
      </c>
      <c r="AB253" s="213" t="str">
        <f t="shared" si="42"/>
        <v/>
      </c>
      <c r="AC253" s="213">
        <f t="shared" si="43"/>
        <v>17949.807522712523</v>
      </c>
      <c r="AD253" s="214">
        <f t="shared" si="44"/>
        <v>1.7989200862504343E-4</v>
      </c>
      <c r="AE253" s="213">
        <f t="shared" si="47"/>
        <v>18488.033439106126</v>
      </c>
      <c r="AF253" s="214">
        <f t="shared" si="45"/>
        <v>1.7989200862504346E-4</v>
      </c>
    </row>
    <row r="254" spans="1:32" ht="15.75" x14ac:dyDescent="0.2">
      <c r="A254" s="206">
        <f t="shared" si="46"/>
        <v>224</v>
      </c>
      <c r="B254" s="88">
        <f>IF($F254="","",'הזנה לתנאי סף'!C254)</f>
        <v>1001346584</v>
      </c>
      <c r="C254" s="88">
        <f>IF($F254="","",'הזנה לתנאי סף'!D254)</f>
        <v>1001215908</v>
      </c>
      <c r="D254" s="88">
        <f>IF($F254="","",'הזנה לתנאי סף'!E254)</f>
        <v>40235206</v>
      </c>
      <c r="E254" s="88">
        <f>IF($F254="","",'הזנה לתנאי סף'!F254)</f>
        <v>20000127</v>
      </c>
      <c r="F254" s="88" t="str">
        <f>IF(OR('הזנה לתנאי סף'!G254="",'הזנה לתנאי סף'!BL254&lt;&gt;1,'הזנה לתנאי סף'!Q254&lt;&gt;1),"",'הזנה לתנאי סף'!G254)</f>
        <v>הגליל העליון</v>
      </c>
      <c r="G254" s="88" t="str">
        <f>IF($F254="","",'הזנה לתנאי סף'!H254)</f>
        <v>מוזיאון האדם הקדמון</v>
      </c>
      <c r="H254" s="88" t="str">
        <f>IF($F254="","",'הזנה לתנאי סף'!I254)</f>
        <v>מוזיאונים</v>
      </c>
      <c r="I254" s="213">
        <f>IF($F254="","",'תחום תמיכה א'!$I254)</f>
        <v>178191</v>
      </c>
      <c r="J254" s="213">
        <f>IF($F254="","",'תחום תמיכה א'!$J254)</f>
        <v>156910</v>
      </c>
      <c r="K254" s="213">
        <f>IF($F254="","",'תחום תמיכה א'!$K254)</f>
        <v>0</v>
      </c>
      <c r="L254" s="213">
        <f t="shared" si="38"/>
        <v>335101</v>
      </c>
      <c r="M254" s="214">
        <f t="shared" si="39"/>
        <v>0.53175311324048569</v>
      </c>
      <c r="N254" s="214">
        <f t="shared" si="48"/>
        <v>0.46824688675951431</v>
      </c>
      <c r="O254" s="213">
        <f t="shared" si="40"/>
        <v>73472.619001435392</v>
      </c>
      <c r="P254" s="213">
        <f>IF($F254="","",'פרמטרים לקריטריונים'!$C$59*O254)</f>
        <v>22041.785700430617</v>
      </c>
      <c r="Q254" s="214">
        <f t="shared" si="41"/>
        <v>1.2522578188619492E-4</v>
      </c>
      <c r="R254" s="213">
        <f t="shared" si="49"/>
        <v>12522.578188619491</v>
      </c>
      <c r="S254" s="213">
        <f>IF($F254="","",'הזנה לתנאי סף'!N254)</f>
        <v>0</v>
      </c>
      <c r="T254" s="213">
        <f>IF($F254="","",'הזנה לתנאי סף'!O254)</f>
        <v>1</v>
      </c>
      <c r="U254" s="213">
        <f>IF($F254="","",'תחום תמיכה א'!W254)</f>
        <v>0</v>
      </c>
      <c r="V254" s="213">
        <f>IF($F254="","",'תחום תמיכה א'!X254)</f>
        <v>0</v>
      </c>
      <c r="W254" s="213">
        <f>IF($F254="","",'תחום תמיכה א'!Y254)</f>
        <v>1</v>
      </c>
      <c r="X254" s="231">
        <f>IF($F254="","",'תחום תמיכה א'!Z254)</f>
        <v>0</v>
      </c>
      <c r="Y254" s="213" t="str">
        <f>IF($F254="","",'תחום תמיכה א'!AA254)</f>
        <v/>
      </c>
      <c r="Z254" s="214" t="str">
        <f>IF($F254="","",'תחום תמיכה א'!AB254)</f>
        <v/>
      </c>
      <c r="AA254" s="225" t="str">
        <f>IF($F254="","",'תחום תמיכה א'!AC254)</f>
        <v/>
      </c>
      <c r="AB254" s="213" t="str">
        <f t="shared" si="42"/>
        <v/>
      </c>
      <c r="AC254" s="213">
        <f t="shared" si="43"/>
        <v>12522.578188619491</v>
      </c>
      <c r="AD254" s="214">
        <f t="shared" si="44"/>
        <v>1.2550060721623242E-4</v>
      </c>
      <c r="AE254" s="213">
        <f t="shared" si="47"/>
        <v>12898.068349873418</v>
      </c>
      <c r="AF254" s="214">
        <f t="shared" si="45"/>
        <v>1.2550060721623244E-4</v>
      </c>
    </row>
    <row r="255" spans="1:32" ht="15.75" x14ac:dyDescent="0.2">
      <c r="A255" s="206">
        <f t="shared" si="46"/>
        <v>225</v>
      </c>
      <c r="B255" s="88">
        <f>IF($F255="","",'הזנה לתנאי סף'!C255)</f>
        <v>1001346661</v>
      </c>
      <c r="C255" s="88">
        <f>IF($F255="","",'הזנה לתנאי סף'!D255)</f>
        <v>1001263558</v>
      </c>
      <c r="D255" s="88">
        <f>IF($F255="","",'הזנה לתנאי סף'!E255)</f>
        <v>40000294</v>
      </c>
      <c r="E255" s="88">
        <f>IF($F255="","",'הזנה לתנאי סף'!F255)</f>
        <v>20000201</v>
      </c>
      <c r="F255" s="88" t="str">
        <f>IF(OR('הזנה לתנאי סף'!G255="",'הזנה לתנאי סף'!BL255&lt;&gt;1,'הזנה לתנאי סף'!Q255&lt;&gt;1),"",'הזנה לתנאי סף'!G255)</f>
        <v>תל אביב -יפו</v>
      </c>
      <c r="G255" s="88" t="str">
        <f>IF($F255="","",'הזנה לתנאי סף'!H255)</f>
        <v>התזמורת הפילהרמונית הישראלית</v>
      </c>
      <c r="H255" s="88" t="str">
        <f>IF($F255="","",'הזנה לתנאי סף'!I255)</f>
        <v>מוסיקה-גופים כליים</v>
      </c>
      <c r="I255" s="213">
        <f>IF($F255="","",'תחום תמיכה א'!$I255)</f>
        <v>10420000</v>
      </c>
      <c r="J255" s="213">
        <f>IF($F255="","",'תחום תמיכה א'!$J255)</f>
        <v>59154000</v>
      </c>
      <c r="K255" s="213">
        <f>IF($F255="","",'תחום תמיכה א'!$K255)</f>
        <v>0</v>
      </c>
      <c r="L255" s="213">
        <f t="shared" si="38"/>
        <v>69574000</v>
      </c>
      <c r="M255" s="214">
        <f t="shared" si="39"/>
        <v>0.14976859171529594</v>
      </c>
      <c r="N255" s="214">
        <f t="shared" si="48"/>
        <v>0.850231408284704</v>
      </c>
      <c r="O255" s="213">
        <f t="shared" si="40"/>
        <v>50294588.725673378</v>
      </c>
      <c r="P255" s="213">
        <f>IF($F255="","",'פרמטרים לקריטריונים'!$C$59*O255)</f>
        <v>15088376.617702013</v>
      </c>
      <c r="Q255" s="214">
        <f t="shared" si="41"/>
        <v>8.5721446756838876E-2</v>
      </c>
      <c r="R255" s="213">
        <f t="shared" si="49"/>
        <v>8572144.6756838877</v>
      </c>
      <c r="S255" s="213">
        <f>IF($F255="","",'הזנה לתנאי סף'!N255)</f>
        <v>0</v>
      </c>
      <c r="T255" s="213">
        <f>IF($F255="","",'הזנה לתנאי סף'!O255)</f>
        <v>1</v>
      </c>
      <c r="U255" s="213">
        <f>IF($F255="","",'תחום תמיכה א'!W255)</f>
        <v>0</v>
      </c>
      <c r="V255" s="213">
        <f>IF($F255="","",'תחום תמיכה א'!X255)</f>
        <v>0</v>
      </c>
      <c r="W255" s="213">
        <f>IF($F255="","",'תחום תמיכה א'!Y255)</f>
        <v>1</v>
      </c>
      <c r="X255" s="231">
        <f>IF($F255="","",'תחום תמיכה א'!Z255)</f>
        <v>0</v>
      </c>
      <c r="Y255" s="213" t="str">
        <f>IF($F255="","",'תחום תמיכה א'!AA255)</f>
        <v/>
      </c>
      <c r="Z255" s="214" t="str">
        <f>IF($F255="","",'תחום תמיכה א'!AB255)</f>
        <v/>
      </c>
      <c r="AA255" s="225" t="str">
        <f>IF($F255="","",'תחום תמיכה א'!AC255)</f>
        <v/>
      </c>
      <c r="AB255" s="213" t="str">
        <f t="shared" si="42"/>
        <v/>
      </c>
      <c r="AC255" s="213">
        <f t="shared" si="43"/>
        <v>8572144.6756838877</v>
      </c>
      <c r="AD255" s="214">
        <f t="shared" si="44"/>
        <v>8.5909574349586917E-2</v>
      </c>
      <c r="AE255" s="213">
        <f t="shared" si="47"/>
        <v>8829180.8816538155</v>
      </c>
      <c r="AF255" s="214">
        <f t="shared" si="45"/>
        <v>8.5909574349586931E-2</v>
      </c>
    </row>
    <row r="256" spans="1:32" ht="15.75" x14ac:dyDescent="0.2">
      <c r="A256" s="206">
        <f t="shared" si="46"/>
        <v>226</v>
      </c>
      <c r="B256" s="88">
        <f>IF($F256="","",'הזנה לתנאי סף'!C256)</f>
        <v>1001347595</v>
      </c>
      <c r="C256" s="88">
        <f>IF($F256="","",'הזנה לתנאי סף'!D256)</f>
        <v>1001267946</v>
      </c>
      <c r="D256" s="88">
        <f>IF($F256="","",'הזנה לתנאי סף'!E256)</f>
        <v>40000345</v>
      </c>
      <c r="E256" s="88">
        <f>IF($F256="","",'הזנה לתנאי סף'!F256)</f>
        <v>20000159</v>
      </c>
      <c r="F256" s="88" t="str">
        <f>IF(OR('הזנה לתנאי סף'!G256="",'הזנה לתנאי סף'!BL256&lt;&gt;1,'הזנה לתנאי סף'!Q256&lt;&gt;1),"",'הזנה לתנאי סף'!G256)</f>
        <v>ירושלים</v>
      </c>
      <c r="G256" s="88" t="str">
        <f>IF($F256="","",'הזנה לתנאי סף'!H256)</f>
        <v>מגדל דוד- מוזיאון לתולדות י-ם</v>
      </c>
      <c r="H256" s="88" t="str">
        <f>IF($F256="","",'הזנה לתנאי סף'!I256)</f>
        <v>מוזיאונים</v>
      </c>
      <c r="I256" s="213">
        <f>IF($F256="","",'תחום תמיכה א'!$I256)</f>
        <v>3470173</v>
      </c>
      <c r="J256" s="213">
        <f>IF($F256="","",'תחום תמיכה א'!$J256)</f>
        <v>15436361</v>
      </c>
      <c r="K256" s="213">
        <f>IF($F256="","",'תחום תמיכה א'!$K256)</f>
        <v>0</v>
      </c>
      <c r="L256" s="213">
        <f t="shared" si="38"/>
        <v>18906534</v>
      </c>
      <c r="M256" s="214">
        <f t="shared" si="39"/>
        <v>0.18354358339820509</v>
      </c>
      <c r="N256" s="214">
        <f t="shared" si="48"/>
        <v>0.81645641660179491</v>
      </c>
      <c r="O256" s="213">
        <f t="shared" si="40"/>
        <v>12603115.987431699</v>
      </c>
      <c r="P256" s="213">
        <f>IF($F256="","",'פרמטרים לקריטריונים'!$C$59*O256)</f>
        <v>3780934.7962295096</v>
      </c>
      <c r="Q256" s="214">
        <f t="shared" si="41"/>
        <v>2.148058794117173E-2</v>
      </c>
      <c r="R256" s="213">
        <f t="shared" si="49"/>
        <v>2148058.7941171732</v>
      </c>
      <c r="S256" s="213">
        <f>IF($F256="","",'הזנה לתנאי סף'!N256)</f>
        <v>1</v>
      </c>
      <c r="T256" s="213">
        <f>IF($F256="","",'הזנה לתנאי סף'!O256)</f>
        <v>1</v>
      </c>
      <c r="U256" s="213">
        <f>IF($F256="","",'תחום תמיכה א'!W256)</f>
        <v>0</v>
      </c>
      <c r="V256" s="213">
        <f>IF($F256="","",'תחום תמיכה א'!X256)</f>
        <v>0</v>
      </c>
      <c r="W256" s="213">
        <f>IF($F256="","",'תחום תמיכה א'!Y256)</f>
        <v>0</v>
      </c>
      <c r="X256" s="231" t="str">
        <f>IF($F256="","",'תחום תמיכה א'!Z256)</f>
        <v>בדוק נתוני הזנה</v>
      </c>
      <c r="Y256" s="213" t="str">
        <f>IF($F256="","",'תחום תמיכה א'!AA256)</f>
        <v>בדוק נתוני הזנה</v>
      </c>
      <c r="Z256" s="214">
        <f>IF($F256="","",'תחום תמיכה א'!AB256)</f>
        <v>0</v>
      </c>
      <c r="AA256" s="225" t="str">
        <f>IF($F256="","",'תחום תמיכה א'!AC256)</f>
        <v/>
      </c>
      <c r="AB256" s="213" t="str">
        <f t="shared" si="42"/>
        <v/>
      </c>
      <c r="AC256" s="213">
        <f t="shared" si="43"/>
        <v>2148058.7941171732</v>
      </c>
      <c r="AD256" s="214">
        <f t="shared" si="44"/>
        <v>2.1527730067828182E-2</v>
      </c>
      <c r="AE256" s="213">
        <f t="shared" si="47"/>
        <v>2212468.449288581</v>
      </c>
      <c r="AF256" s="214">
        <f t="shared" si="45"/>
        <v>2.1527730067828189E-2</v>
      </c>
    </row>
    <row r="257" spans="1:32" ht="15.75" x14ac:dyDescent="0.2">
      <c r="A257" s="206">
        <f t="shared" si="46"/>
        <v>227</v>
      </c>
      <c r="B257" s="88">
        <f>IF($F257="","",'הזנה לתנאי סף'!C257)</f>
        <v>1001346662</v>
      </c>
      <c r="C257" s="88">
        <f>IF($F257="","",'הזנה לתנאי סף'!D257)</f>
        <v>1001278692</v>
      </c>
      <c r="D257" s="88">
        <f>IF($F257="","",'הזנה לתנאי סף'!E257)</f>
        <v>40000362</v>
      </c>
      <c r="E257" s="88">
        <f>IF($F257="","",'הזנה לתנאי סף'!F257)</f>
        <v>20000159</v>
      </c>
      <c r="F257" s="88" t="str">
        <f>IF(OR('הזנה לתנאי סף'!G257="",'הזנה לתנאי סף'!BL257&lt;&gt;1,'הזנה לתנאי סף'!Q257&lt;&gt;1),"",'הזנה לתנאי סף'!G257)</f>
        <v>ירושלים</v>
      </c>
      <c r="G257" s="88" t="str">
        <f>IF($F257="","",'הזנה לתנאי סף'!H257)</f>
        <v>מרכז עדן תמיר למוסיקה</v>
      </c>
      <c r="H257" s="88" t="str">
        <f>IF($F257="","",'הזנה לתנאי סף'!I257)</f>
        <v>מרכזי מוסיקה</v>
      </c>
      <c r="I257" s="213">
        <f>IF($F257="","",'תחום תמיכה א'!$I257)</f>
        <v>265658</v>
      </c>
      <c r="J257" s="213">
        <f>IF($F257="","",'תחום תמיכה א'!$J257)</f>
        <v>341209</v>
      </c>
      <c r="K257" s="213">
        <f>IF($F257="","",'תחום תמיכה א'!$K257)</f>
        <v>0</v>
      </c>
      <c r="L257" s="213">
        <f t="shared" si="38"/>
        <v>606867</v>
      </c>
      <c r="M257" s="214">
        <f t="shared" si="39"/>
        <v>0.43775324741664978</v>
      </c>
      <c r="N257" s="214">
        <f t="shared" si="48"/>
        <v>0.56224675258335022</v>
      </c>
      <c r="O257" s="213">
        <f t="shared" si="40"/>
        <v>191843.65220221234</v>
      </c>
      <c r="P257" s="213">
        <f>IF($F257="","",'פרמטרים לקריטריונים'!$C$59*O257)</f>
        <v>57553.095660663697</v>
      </c>
      <c r="Q257" s="214">
        <f t="shared" si="41"/>
        <v>3.2697584043459699E-4</v>
      </c>
      <c r="R257" s="213">
        <f t="shared" si="49"/>
        <v>32697.584043459698</v>
      </c>
      <c r="S257" s="213">
        <f>IF($F257="","",'הזנה לתנאי סף'!N257)</f>
        <v>1</v>
      </c>
      <c r="T257" s="213">
        <f>IF($F257="","",'הזנה לתנאי סף'!O257)</f>
        <v>1</v>
      </c>
      <c r="U257" s="213">
        <f>IF($F257="","",'תחום תמיכה א'!W257)</f>
        <v>0</v>
      </c>
      <c r="V257" s="213">
        <f>IF($F257="","",'תחום תמיכה א'!X257)</f>
        <v>0</v>
      </c>
      <c r="W257" s="213">
        <f>IF($F257="","",'תחום תמיכה א'!Y257)</f>
        <v>0</v>
      </c>
      <c r="X257" s="231" t="str">
        <f>IF($F257="","",'תחום תמיכה א'!Z257)</f>
        <v>בדוק נתוני הזנה</v>
      </c>
      <c r="Y257" s="213" t="str">
        <f>IF($F257="","",'תחום תמיכה א'!AA257)</f>
        <v>בדוק נתוני הזנה</v>
      </c>
      <c r="Z257" s="214">
        <f>IF($F257="","",'תחום תמיכה א'!AB257)</f>
        <v>0</v>
      </c>
      <c r="AA257" s="225" t="str">
        <f>IF($F257="","",'תחום תמיכה א'!AC257)</f>
        <v/>
      </c>
      <c r="AB257" s="213" t="str">
        <f t="shared" si="42"/>
        <v/>
      </c>
      <c r="AC257" s="213">
        <f t="shared" si="43"/>
        <v>32697.584043459698</v>
      </c>
      <c r="AD257" s="214">
        <f t="shared" si="44"/>
        <v>3.2769343422325782E-4</v>
      </c>
      <c r="AE257" s="213">
        <f t="shared" si="47"/>
        <v>33678.022809356196</v>
      </c>
      <c r="AF257" s="214">
        <f t="shared" si="45"/>
        <v>3.2769343422325788E-4</v>
      </c>
    </row>
    <row r="258" spans="1:32" ht="15.75" x14ac:dyDescent="0.2">
      <c r="A258" s="206">
        <f t="shared" si="46"/>
        <v>228</v>
      </c>
      <c r="B258" s="88">
        <f>IF($F258="","",'הזנה לתנאי סף'!C258)</f>
        <v>1001348984</v>
      </c>
      <c r="C258" s="88">
        <f>IF($F258="","",'הזנה לתנאי סף'!D258)</f>
        <v>1001299405</v>
      </c>
      <c r="D258" s="88">
        <f>IF($F258="","",'הזנה לתנאי סף'!E258)</f>
        <v>40000699</v>
      </c>
      <c r="E258" s="88">
        <f>IF($F258="","",'הזנה לתנאי סף'!F258)</f>
        <v>20000102</v>
      </c>
      <c r="F258" s="88" t="str">
        <f>IF(OR('הזנה לתנאי סף'!G258="",'הזנה לתנאי סף'!BL258&lt;&gt;1,'הזנה לתנאי סף'!Q258&lt;&gt;1),"",'הזנה לתנאי סף'!G258)</f>
        <v>מעלות-תרשיחא</v>
      </c>
      <c r="G258" s="88" t="str">
        <f>IF($F258="","",'הזנה לתנאי סף'!H258)</f>
        <v>"קתרין" לקידום המוסיקה, מחול ואומנו</v>
      </c>
      <c r="H258" s="88" t="str">
        <f>IF($F258="","",'הזנה לתנאי סף'!I258)</f>
        <v>אחר</v>
      </c>
      <c r="I258" s="213">
        <f>IF($F258="","",'תחום תמיכה א'!$I258)</f>
        <v>316030</v>
      </c>
      <c r="J258" s="213">
        <f>IF($F258="","",'תחום תמיכה א'!$J258)</f>
        <v>603935</v>
      </c>
      <c r="K258" s="213">
        <f>IF($F258="","",'תחום תמיכה א'!$K258)</f>
        <v>163063</v>
      </c>
      <c r="L258" s="213">
        <f t="shared" si="38"/>
        <v>1083028</v>
      </c>
      <c r="M258" s="214">
        <f t="shared" si="39"/>
        <v>0.29180224333996907</v>
      </c>
      <c r="N258" s="214">
        <f t="shared" si="48"/>
        <v>0.70819775666003093</v>
      </c>
      <c r="O258" s="213">
        <f t="shared" si="40"/>
        <v>427705.4121684758</v>
      </c>
      <c r="P258" s="213">
        <f>IF($F258="","",'פרמטרים לקריטריונים'!$C$59*O258)</f>
        <v>128311.62365054274</v>
      </c>
      <c r="Q258" s="214">
        <f t="shared" si="41"/>
        <v>7.2897557462472213E-4</v>
      </c>
      <c r="R258" s="213">
        <f t="shared" si="49"/>
        <v>72897.557462472207</v>
      </c>
      <c r="S258" s="213">
        <f>IF($F258="","",'הזנה לתנאי סף'!N258)</f>
        <v>0</v>
      </c>
      <c r="T258" s="213">
        <f>IF($F258="","",'הזנה לתנאי סף'!O258)</f>
        <v>1</v>
      </c>
      <c r="U258" s="213">
        <f>IF($F258="","",'תחום תמיכה א'!W258)</f>
        <v>0</v>
      </c>
      <c r="V258" s="213">
        <f>IF($F258="","",'תחום תמיכה א'!X258)</f>
        <v>0</v>
      </c>
      <c r="W258" s="213">
        <f>IF($F258="","",'תחום תמיכה א'!Y258)</f>
        <v>1</v>
      </c>
      <c r="X258" s="231">
        <f>IF($F258="","",'תחום תמיכה א'!Z258)</f>
        <v>0</v>
      </c>
      <c r="Y258" s="213" t="str">
        <f>IF($F258="","",'תחום תמיכה א'!AA258)</f>
        <v/>
      </c>
      <c r="Z258" s="214" t="str">
        <f>IF($F258="","",'תחום תמיכה א'!AB258)</f>
        <v/>
      </c>
      <c r="AA258" s="225" t="str">
        <f>IF($F258="","",'תחום תמיכה א'!AC258)</f>
        <v/>
      </c>
      <c r="AB258" s="213" t="str">
        <f t="shared" si="42"/>
        <v/>
      </c>
      <c r="AC258" s="213">
        <f t="shared" si="43"/>
        <v>72897.557462472207</v>
      </c>
      <c r="AD258" s="214">
        <f t="shared" si="44"/>
        <v>7.305754125324429E-4</v>
      </c>
      <c r="AE258" s="213">
        <f t="shared" si="47"/>
        <v>75083.39453166911</v>
      </c>
      <c r="AF258" s="214">
        <f t="shared" si="45"/>
        <v>7.3057541253244312E-4</v>
      </c>
    </row>
    <row r="259" spans="1:32" ht="15.75" x14ac:dyDescent="0.2">
      <c r="A259" s="206">
        <f t="shared" si="46"/>
        <v>229</v>
      </c>
      <c r="B259" s="88">
        <f>IF($F259="","",'הזנה לתנאי סף'!C259)</f>
        <v>1001347694</v>
      </c>
      <c r="C259" s="88">
        <f>IF($F259="","",'הזנה לתנאי סף'!D259)</f>
        <v>1001302279</v>
      </c>
      <c r="D259" s="88">
        <f>IF($F259="","",'הזנה לתנאי סף'!E259)</f>
        <v>41968223</v>
      </c>
      <c r="E259" s="88">
        <f>IF($F259="","",'הזנה לתנאי סף'!F259)</f>
        <v>20000150</v>
      </c>
      <c r="F259" s="88" t="str">
        <f>IF(OR('הזנה לתנאי סף'!G259="",'הזנה לתנאי סף'!BL259&lt;&gt;1,'הזנה לתנאי סף'!Q259&lt;&gt;1),"",'הזנה לתנאי סף'!G259)</f>
        <v>קריית גת</v>
      </c>
      <c r="G259" s="88" t="str">
        <f>IF($F259="","",'הזנה לתנאי סף'!H259)</f>
        <v>מוזיקה פורטת גבולות</v>
      </c>
      <c r="H259" s="88" t="str">
        <f>IF($F259="","",'הזנה לתנאי סף'!I259)</f>
        <v>תרבות בקהילה</v>
      </c>
      <c r="I259" s="213">
        <f>IF($F259="","",'תחום תמיכה א'!$I259)</f>
        <v>0</v>
      </c>
      <c r="J259" s="213">
        <f>IF($F259="","",'תחום תמיכה א'!$J259)</f>
        <v>345056</v>
      </c>
      <c r="K259" s="213">
        <f>IF($F259="","",'תחום תמיכה א'!$K259)</f>
        <v>0</v>
      </c>
      <c r="L259" s="213">
        <f t="shared" si="38"/>
        <v>345056</v>
      </c>
      <c r="M259" s="214">
        <f t="shared" si="39"/>
        <v>0</v>
      </c>
      <c r="N259" s="214">
        <f t="shared" si="48"/>
        <v>1</v>
      </c>
      <c r="O259" s="213">
        <f t="shared" si="40"/>
        <v>345056</v>
      </c>
      <c r="P259" s="213">
        <f>IF($F259="","",'פרמטרים לקריטריונים'!$C$59*O259)</f>
        <v>103516.8</v>
      </c>
      <c r="Q259" s="214">
        <f t="shared" si="41"/>
        <v>5.8810898511292629E-4</v>
      </c>
      <c r="R259" s="213">
        <f t="shared" si="49"/>
        <v>58810.898511292631</v>
      </c>
      <c r="S259" s="213">
        <f>IF($F259="","",'הזנה לתנאי סף'!N259)</f>
        <v>0</v>
      </c>
      <c r="T259" s="213">
        <f>IF($F259="","",'הזנה לתנאי סף'!O259)</f>
        <v>1</v>
      </c>
      <c r="U259" s="213">
        <f>IF($F259="","",'תחום תמיכה א'!W259)</f>
        <v>0</v>
      </c>
      <c r="V259" s="213">
        <f>IF($F259="","",'תחום תמיכה א'!X259)</f>
        <v>0</v>
      </c>
      <c r="W259" s="213">
        <f>IF($F259="","",'תחום תמיכה א'!Y259)</f>
        <v>1</v>
      </c>
      <c r="X259" s="231">
        <f>IF($F259="","",'תחום תמיכה א'!Z259)</f>
        <v>0</v>
      </c>
      <c r="Y259" s="213" t="str">
        <f>IF($F259="","",'תחום תמיכה א'!AA259)</f>
        <v/>
      </c>
      <c r="Z259" s="214" t="str">
        <f>IF($F259="","",'תחום תמיכה א'!AB259)</f>
        <v/>
      </c>
      <c r="AA259" s="225" t="str">
        <f>IF($F259="","",'תחום תמיכה א'!AC259)</f>
        <v/>
      </c>
      <c r="AB259" s="213" t="str">
        <f t="shared" si="42"/>
        <v/>
      </c>
      <c r="AC259" s="213">
        <f t="shared" si="43"/>
        <v>58810.898511292631</v>
      </c>
      <c r="AD259" s="214">
        <f t="shared" si="44"/>
        <v>5.8939967177103452E-4</v>
      </c>
      <c r="AE259" s="213">
        <f t="shared" si="47"/>
        <v>60574.346375851586</v>
      </c>
      <c r="AF259" s="214">
        <f t="shared" si="45"/>
        <v>5.8939967177103474E-4</v>
      </c>
    </row>
    <row r="260" spans="1:32" ht="15.75" x14ac:dyDescent="0.2">
      <c r="A260" s="206">
        <f t="shared" si="46"/>
        <v>230</v>
      </c>
      <c r="B260" s="88">
        <f>IF($F260="","",'הזנה לתנאי סף'!C260)</f>
        <v>1001349548</v>
      </c>
      <c r="C260" s="88">
        <f>IF($F260="","",'הזנה לתנאי סף'!D260)</f>
        <v>1001302223</v>
      </c>
      <c r="D260" s="88">
        <f>IF($F260="","",'הזנה לתנאי סף'!E260)</f>
        <v>40221328</v>
      </c>
      <c r="E260" s="88">
        <f>IF($F260="","",'הזנה לתנאי סף'!F260)</f>
        <v>20000035</v>
      </c>
      <c r="F260" s="88" t="str">
        <f>IF(OR('הזנה לתנאי סף'!G260="",'הזנה לתנאי סף'!BL260&lt;&gt;1,'הזנה לתנאי סף'!Q260&lt;&gt;1),"",'הזנה לתנאי סף'!G260)</f>
        <v>מגאר</v>
      </c>
      <c r="G260" s="88" t="str">
        <f>IF($F260="","",'הזנה לתנאי סף'!H260)</f>
        <v>תיאטרון הגליל הקהילתי</v>
      </c>
      <c r="H260" s="88" t="str">
        <f>IF($F260="","",'הזנה לתנאי סף'!I260)</f>
        <v>תיאטרון</v>
      </c>
      <c r="I260" s="213">
        <f>IF($F260="","",'תחום תמיכה א'!$I260)</f>
        <v>320000</v>
      </c>
      <c r="J260" s="213">
        <f>IF($F260="","",'תחום תמיכה א'!$J260)</f>
        <v>262378</v>
      </c>
      <c r="K260" s="213">
        <f>IF($F260="","",'תחום תמיכה א'!$K260)</f>
        <v>81858</v>
      </c>
      <c r="L260" s="213">
        <f t="shared" si="38"/>
        <v>664236</v>
      </c>
      <c r="M260" s="214">
        <f t="shared" si="39"/>
        <v>0.48175648414117872</v>
      </c>
      <c r="N260" s="214">
        <f t="shared" si="48"/>
        <v>0.51824351585882122</v>
      </c>
      <c r="O260" s="213">
        <f t="shared" si="40"/>
        <v>135975.69720400579</v>
      </c>
      <c r="P260" s="213">
        <f>IF($F260="","",'פרמטרים לקריטריונים'!$C$59*O260)</f>
        <v>40792.709161201732</v>
      </c>
      <c r="Q260" s="214">
        <f t="shared" si="41"/>
        <v>2.3175522026184272E-4</v>
      </c>
      <c r="R260" s="213">
        <f t="shared" si="49"/>
        <v>23175.522026184273</v>
      </c>
      <c r="S260" s="213">
        <f>IF($F260="","",'הזנה לתנאי סף'!N260)</f>
        <v>0</v>
      </c>
      <c r="T260" s="213">
        <f>IF($F260="","",'הזנה לתנאי סף'!O260)</f>
        <v>1</v>
      </c>
      <c r="U260" s="213">
        <f>IF($F260="","",'תחום תמיכה א'!W260)</f>
        <v>0</v>
      </c>
      <c r="V260" s="213">
        <f>IF($F260="","",'תחום תמיכה א'!X260)</f>
        <v>0</v>
      </c>
      <c r="W260" s="213">
        <f>IF($F260="","",'תחום תמיכה א'!Y260)</f>
        <v>1</v>
      </c>
      <c r="X260" s="231">
        <f>IF($F260="","",'תחום תמיכה א'!Z260)</f>
        <v>0</v>
      </c>
      <c r="Y260" s="213" t="str">
        <f>IF($F260="","",'תחום תמיכה א'!AA260)</f>
        <v/>
      </c>
      <c r="Z260" s="214" t="str">
        <f>IF($F260="","",'תחום תמיכה א'!AB260)</f>
        <v/>
      </c>
      <c r="AA260" s="225" t="str">
        <f>IF($F260="","",'תחום תמיכה א'!AC260)</f>
        <v/>
      </c>
      <c r="AB260" s="213" t="str">
        <f t="shared" si="42"/>
        <v/>
      </c>
      <c r="AC260" s="213">
        <f t="shared" si="43"/>
        <v>23175.522026184273</v>
      </c>
      <c r="AD260" s="214">
        <f t="shared" si="44"/>
        <v>2.3226383920545819E-4</v>
      </c>
      <c r="AE260" s="213">
        <f t="shared" si="47"/>
        <v>23870.441264992813</v>
      </c>
      <c r="AF260" s="214">
        <f t="shared" si="45"/>
        <v>2.3226383920545827E-4</v>
      </c>
    </row>
    <row r="261" spans="1:32" ht="15.75" x14ac:dyDescent="0.2">
      <c r="A261" s="206">
        <f t="shared" si="46"/>
        <v>231</v>
      </c>
      <c r="B261" s="88">
        <f>IF($F261="","",'הזנה לתנאי סף'!C261)</f>
        <v>1001347151</v>
      </c>
      <c r="C261" s="88">
        <f>IF($F261="","",'הזנה לתנאי סף'!D261)</f>
        <v>1001273224</v>
      </c>
      <c r="D261" s="88">
        <f>IF($F261="","",'הזנה לתנאי סף'!E261)</f>
        <v>41072447</v>
      </c>
      <c r="E261" s="88">
        <f>IF($F261="","",'הזנה לתנאי סף'!F261)</f>
        <v>20000159</v>
      </c>
      <c r="F261" s="88" t="str">
        <f>IF(OR('הזנה לתנאי סף'!G261="",'הזנה לתנאי סף'!BL261&lt;&gt;1,'הזנה לתנאי סף'!Q261&lt;&gt;1),"",'הזנה לתנאי סף'!G261)</f>
        <v>ירושלים</v>
      </c>
      <c r="G261" s="88" t="str">
        <f>IF($F261="","",'הזנה לתנאי סף'!H261)</f>
        <v>מחול שלם - בית עכשווי למחול (ע"ר)</v>
      </c>
      <c r="H261" s="88" t="str">
        <f>IF($F261="","",'הזנה לתנאי סף'!I261)</f>
        <v>מרכזי מחול</v>
      </c>
      <c r="I261" s="213">
        <f>IF($F261="","",'תחום תמיכה א'!$I261)</f>
        <v>757773</v>
      </c>
      <c r="J261" s="213">
        <f>IF($F261="","",'תחום תמיכה א'!$J261)</f>
        <v>692995</v>
      </c>
      <c r="K261" s="213">
        <f>IF($F261="","",'תחום תמיכה א'!$K261)</f>
        <v>0</v>
      </c>
      <c r="L261" s="213">
        <f t="shared" si="38"/>
        <v>1450768</v>
      </c>
      <c r="M261" s="214">
        <f t="shared" si="39"/>
        <v>0.52232541660692822</v>
      </c>
      <c r="N261" s="214">
        <f t="shared" si="48"/>
        <v>0.47767458339307178</v>
      </c>
      <c r="O261" s="213">
        <f t="shared" si="40"/>
        <v>331026.0979184818</v>
      </c>
      <c r="P261" s="213">
        <f>IF($F261="","",'פרמטרים לקריטריונים'!$C$59*O261)</f>
        <v>99307.829375544534</v>
      </c>
      <c r="Q261" s="214">
        <f t="shared" si="41"/>
        <v>5.6419660140015091E-4</v>
      </c>
      <c r="R261" s="213">
        <f t="shared" si="49"/>
        <v>56419.66014001509</v>
      </c>
      <c r="S261" s="213">
        <f>IF($F261="","",'הזנה לתנאי סף'!N261)</f>
        <v>1</v>
      </c>
      <c r="T261" s="213">
        <f>IF($F261="","",'הזנה לתנאי סף'!O261)</f>
        <v>1</v>
      </c>
      <c r="U261" s="213">
        <f>IF($F261="","",'תחום תמיכה א'!W261)</f>
        <v>0</v>
      </c>
      <c r="V261" s="213">
        <f>IF($F261="","",'תחום תמיכה א'!X261)</f>
        <v>0</v>
      </c>
      <c r="W261" s="213">
        <f>IF($F261="","",'תחום תמיכה א'!Y261)</f>
        <v>0</v>
      </c>
      <c r="X261" s="231" t="str">
        <f>IF($F261="","",'תחום תמיכה א'!Z261)</f>
        <v>בדוק נתוני הזנה</v>
      </c>
      <c r="Y261" s="213" t="str">
        <f>IF($F261="","",'תחום תמיכה א'!AA261)</f>
        <v>בדוק נתוני הזנה</v>
      </c>
      <c r="Z261" s="214">
        <f>IF($F261="","",'תחום תמיכה א'!AB261)</f>
        <v>1</v>
      </c>
      <c r="AA261" s="225" t="str">
        <f>IF($F261="","",'תחום תמיכה א'!AC261)</f>
        <v/>
      </c>
      <c r="AB261" s="213" t="str">
        <f t="shared" si="42"/>
        <v/>
      </c>
      <c r="AC261" s="213">
        <f t="shared" si="43"/>
        <v>56419.66014001509</v>
      </c>
      <c r="AD261" s="214">
        <f t="shared" si="44"/>
        <v>5.6543480901882445E-4</v>
      </c>
      <c r="AE261" s="213">
        <f t="shared" si="47"/>
        <v>58111.406597076064</v>
      </c>
      <c r="AF261" s="214">
        <f t="shared" si="45"/>
        <v>5.6543480901882456E-4</v>
      </c>
    </row>
    <row r="262" spans="1:32" ht="15.75" x14ac:dyDescent="0.2">
      <c r="A262" s="206">
        <f t="shared" si="46"/>
        <v>232</v>
      </c>
      <c r="B262" s="88">
        <f>IF($F262="","",'הזנה לתנאי סף'!C262)</f>
        <v>1001347854</v>
      </c>
      <c r="C262" s="88">
        <f>IF($F262="","",'הזנה לתנאי סף'!D262)</f>
        <v>1001302179</v>
      </c>
      <c r="D262" s="88">
        <f>IF($F262="","",'הזנה לתנאי סף'!E262)</f>
        <v>41072447</v>
      </c>
      <c r="E262" s="88">
        <f>IF($F262="","",'הזנה לתנאי סף'!F262)</f>
        <v>20000159</v>
      </c>
      <c r="F262" s="88" t="str">
        <f>IF(OR('הזנה לתנאי סף'!G262="",'הזנה לתנאי סף'!BL262&lt;&gt;1,'הזנה לתנאי סף'!Q262&lt;&gt;1),"",'הזנה לתנאי סף'!G262)</f>
        <v>ירושלים</v>
      </c>
      <c r="G262" s="88" t="str">
        <f>IF($F262="","",'הזנה לתנאי סף'!H262)</f>
        <v>מחול שלם - בית עכשווי למחול (ע"ר)</v>
      </c>
      <c r="H262" s="88" t="str">
        <f>IF($F262="","",'הזנה לתנאי סף'!I262)</f>
        <v>מחול</v>
      </c>
      <c r="I262" s="213">
        <f>IF($F262="","",'תחום תמיכה א'!$I262)</f>
        <v>30979</v>
      </c>
      <c r="J262" s="213">
        <f>IF($F262="","",'תחום תמיכה א'!$J262)</f>
        <v>80905</v>
      </c>
      <c r="K262" s="213">
        <f>IF($F262="","",'תחום תמיכה א'!$K262)</f>
        <v>0</v>
      </c>
      <c r="L262" s="213">
        <f t="shared" si="38"/>
        <v>111884</v>
      </c>
      <c r="M262" s="214">
        <f t="shared" si="39"/>
        <v>0.27688498802330985</v>
      </c>
      <c r="N262" s="214">
        <f t="shared" si="48"/>
        <v>0.72311501197669015</v>
      </c>
      <c r="O262" s="213">
        <f t="shared" si="40"/>
        <v>58503.620043974115</v>
      </c>
      <c r="P262" s="213">
        <f>IF($F262="","",'פרמטרים לקריטריונים'!$C$59*O262)</f>
        <v>17551.086013192235</v>
      </c>
      <c r="Q262" s="214">
        <f t="shared" si="41"/>
        <v>9.9712813599803709E-5</v>
      </c>
      <c r="R262" s="213">
        <f t="shared" si="49"/>
        <v>9971.2813599803703</v>
      </c>
      <c r="S262" s="213">
        <f>IF($F262="","",'הזנה לתנאי סף'!N262)</f>
        <v>1</v>
      </c>
      <c r="T262" s="213">
        <f>IF($F262="","",'הזנה לתנאי סף'!O262)</f>
        <v>1</v>
      </c>
      <c r="U262" s="213">
        <f>IF($F262="","",'תחום תמיכה א'!W262)</f>
        <v>0</v>
      </c>
      <c r="V262" s="213">
        <f>IF($F262="","",'תחום תמיכה א'!X262)</f>
        <v>0</v>
      </c>
      <c r="W262" s="213">
        <f>IF($F262="","",'תחום תמיכה א'!Y262)</f>
        <v>0</v>
      </c>
      <c r="X262" s="231" t="str">
        <f>IF($F262="","",'תחום תמיכה א'!Z262)</f>
        <v>בדוק נתוני הזנה</v>
      </c>
      <c r="Y262" s="213" t="str">
        <f>IF($F262="","",'תחום תמיכה א'!AA262)</f>
        <v>בדוק נתוני הזנה</v>
      </c>
      <c r="Z262" s="214">
        <f>IF($F262="","",'תחום תמיכה א'!AB262)</f>
        <v>1</v>
      </c>
      <c r="AA262" s="225" t="str">
        <f>IF($F262="","",'תחום תמיכה א'!AC262)</f>
        <v/>
      </c>
      <c r="AB262" s="213" t="str">
        <f t="shared" si="42"/>
        <v/>
      </c>
      <c r="AC262" s="213">
        <f t="shared" si="43"/>
        <v>9971.2813599803703</v>
      </c>
      <c r="AD262" s="214">
        <f t="shared" si="44"/>
        <v>9.9931647185777547E-5</v>
      </c>
      <c r="AE262" s="213">
        <f t="shared" si="47"/>
        <v>10270.270752529737</v>
      </c>
      <c r="AF262" s="214">
        <f t="shared" si="45"/>
        <v>9.993164718577756E-5</v>
      </c>
    </row>
    <row r="263" spans="1:32" ht="15.75" x14ac:dyDescent="0.2">
      <c r="A263" s="206">
        <f t="shared" si="46"/>
        <v>233</v>
      </c>
      <c r="B263" s="88">
        <f>IF($F263="","",'הזנה לתנאי סף'!C263)</f>
        <v>1001347063</v>
      </c>
      <c r="C263" s="88">
        <f>IF($F263="","",'הזנה לתנאי סף'!D263)</f>
        <v>1001290740</v>
      </c>
      <c r="D263" s="88">
        <f>IF($F263="","",'הזנה לתנאי סף'!E263)</f>
        <v>41635660</v>
      </c>
      <c r="E263" s="88">
        <f>IF($F263="","",'הזנה לתנאי סף'!F263)</f>
        <v>20000254</v>
      </c>
      <c r="F263" s="88" t="str">
        <f>IF(OR('הזנה לתנאי סף'!G263="",'הזנה לתנאי סף'!BL263&lt;&gt;1,'הזנה לתנאי סף'!Q263&lt;&gt;1),"",'הזנה לתנאי סף'!G263)</f>
        <v>באר שבע</v>
      </c>
      <c r="G263" s="88" t="str">
        <f>IF($F263="","",'הזנה לתנאי סף'!H263)</f>
        <v>עמותת הבית למחול</v>
      </c>
      <c r="H263" s="88" t="str">
        <f>IF($F263="","",'הזנה לתנאי סף'!I263)</f>
        <v>מחול</v>
      </c>
      <c r="I263" s="213">
        <f>IF($F263="","",'תחום תמיכה א'!$I263)</f>
        <v>340714</v>
      </c>
      <c r="J263" s="213">
        <f>IF($F263="","",'תחום תמיכה א'!$J263)</f>
        <v>276585</v>
      </c>
      <c r="K263" s="213">
        <f>IF($F263="","",'תחום תמיכה א'!$K263)</f>
        <v>0</v>
      </c>
      <c r="L263" s="213">
        <f t="shared" si="38"/>
        <v>617299</v>
      </c>
      <c r="M263" s="214">
        <f t="shared" si="39"/>
        <v>0.551943223624208</v>
      </c>
      <c r="N263" s="214">
        <f t="shared" si="48"/>
        <v>0.448056776375792</v>
      </c>
      <c r="O263" s="213">
        <f t="shared" si="40"/>
        <v>123925.78349389843</v>
      </c>
      <c r="P263" s="213">
        <f>IF($F263="","",'פרמטרים לקריטריונים'!$C$59*O263)</f>
        <v>37177.735048169525</v>
      </c>
      <c r="Q263" s="214">
        <f t="shared" si="41"/>
        <v>2.1121750312969728E-4</v>
      </c>
      <c r="R263" s="213">
        <f t="shared" si="49"/>
        <v>21121.750312969729</v>
      </c>
      <c r="S263" s="213">
        <f>IF($F263="","",'הזנה לתנאי סף'!N263)</f>
        <v>0</v>
      </c>
      <c r="T263" s="213">
        <f>IF($F263="","",'הזנה לתנאי סף'!O263)</f>
        <v>1</v>
      </c>
      <c r="U263" s="213">
        <f>IF($F263="","",'תחום תמיכה א'!W263)</f>
        <v>0</v>
      </c>
      <c r="V263" s="213">
        <f>IF($F263="","",'תחום תמיכה א'!X263)</f>
        <v>0</v>
      </c>
      <c r="W263" s="213">
        <f>IF($F263="","",'תחום תמיכה א'!Y263)</f>
        <v>1</v>
      </c>
      <c r="X263" s="231">
        <f>IF($F263="","",'תחום תמיכה א'!Z263)</f>
        <v>0</v>
      </c>
      <c r="Y263" s="213" t="str">
        <f>IF($F263="","",'תחום תמיכה א'!AA263)</f>
        <v/>
      </c>
      <c r="Z263" s="214" t="str">
        <f>IF($F263="","",'תחום תמיכה א'!AB263)</f>
        <v/>
      </c>
      <c r="AA263" s="225" t="str">
        <f>IF($F263="","",'תחום תמיכה א'!AC263)</f>
        <v/>
      </c>
      <c r="AB263" s="213" t="str">
        <f t="shared" si="42"/>
        <v/>
      </c>
      <c r="AC263" s="213">
        <f t="shared" si="43"/>
        <v>21121.750312969729</v>
      </c>
      <c r="AD263" s="214">
        <f t="shared" si="44"/>
        <v>2.1168104920729391E-4</v>
      </c>
      <c r="AE263" s="213">
        <f t="shared" si="47"/>
        <v>21755.087099653949</v>
      </c>
      <c r="AF263" s="214">
        <f t="shared" si="45"/>
        <v>2.1168104920729397E-4</v>
      </c>
    </row>
    <row r="264" spans="1:32" ht="15.75" x14ac:dyDescent="0.2">
      <c r="A264" s="206">
        <f t="shared" si="46"/>
        <v>234</v>
      </c>
      <c r="B264" s="88">
        <f>IF($F264="","",'הזנה לתנאי סף'!C264)</f>
        <v>1001347315</v>
      </c>
      <c r="C264" s="88">
        <f>IF($F264="","",'הזנה לתנאי סף'!D264)</f>
        <v>1001270643</v>
      </c>
      <c r="D264" s="88">
        <f>IF($F264="","",'הזנה לתנאי סף'!E264)</f>
        <v>40000252</v>
      </c>
      <c r="E264" s="88">
        <f>IF($F264="","",'הזנה לתנאי סף'!F264)</f>
        <v>20000182</v>
      </c>
      <c r="F264" s="88" t="str">
        <f>IF(OR('הזנה לתנאי סף'!G264="",'הזנה לתנאי סף'!BL264&lt;&gt;1,'הזנה לתנאי סף'!Q264&lt;&gt;1),"",'הזנה לתנאי סף'!G264)</f>
        <v>חיפה</v>
      </c>
      <c r="G264" s="88" t="str">
        <f>IF($F264="","",'הזנה לתנאי סף'!H264)</f>
        <v>אתו"ס - החברה לאומנות תרבות וספורט</v>
      </c>
      <c r="H264" s="88" t="str">
        <f>IF($F264="","",'הזנה לתנאי סף'!I264)</f>
        <v>אחר</v>
      </c>
      <c r="I264" s="213">
        <f>IF($F264="","",'תחום תמיכה א'!$I264)</f>
        <v>442000</v>
      </c>
      <c r="J264" s="213">
        <f>IF($F264="","",'תחום תמיכה א'!$J264)</f>
        <v>182000</v>
      </c>
      <c r="K264" s="213">
        <f>IF($F264="","",'תחום תמיכה א'!$K264)</f>
        <v>0</v>
      </c>
      <c r="L264" s="213">
        <f t="shared" si="38"/>
        <v>624000</v>
      </c>
      <c r="M264" s="214">
        <f t="shared" si="39"/>
        <v>0.70833333333333337</v>
      </c>
      <c r="N264" s="214">
        <f t="shared" si="48"/>
        <v>0.29166666666666663</v>
      </c>
      <c r="O264" s="213">
        <f t="shared" si="40"/>
        <v>53083.333333333328</v>
      </c>
      <c r="P264" s="213">
        <f>IF($F264="","",'פרמטרים לקריטריונים'!$C$59*O264)</f>
        <v>15924.999999999998</v>
      </c>
      <c r="Q264" s="214">
        <f t="shared" si="41"/>
        <v>9.0474547009986299E-5</v>
      </c>
      <c r="R264" s="213">
        <f t="shared" si="49"/>
        <v>9047.4547009986291</v>
      </c>
      <c r="S264" s="213">
        <f>IF($F264="","",'הזנה לתנאי סף'!N264)</f>
        <v>1</v>
      </c>
      <c r="T264" s="213">
        <f>IF($F264="","",'הזנה לתנאי סף'!O264)</f>
        <v>0</v>
      </c>
      <c r="U264" s="213">
        <f>IF($F264="","",'תחום תמיכה א'!W264)</f>
        <v>0</v>
      </c>
      <c r="V264" s="213">
        <f>IF($F264="","",'תחום תמיכה א'!X264)</f>
        <v>0</v>
      </c>
      <c r="W264" s="213">
        <f>IF($F264="","",'תחום תמיכה א'!Y264)</f>
        <v>0</v>
      </c>
      <c r="X264" s="231" t="str">
        <f>IF($F264="","",'תחום תמיכה א'!Z264)</f>
        <v/>
      </c>
      <c r="Y264" s="213" t="str">
        <f>IF($F264="","",'תחום תמיכה א'!AA264)</f>
        <v/>
      </c>
      <c r="Z264" s="214" t="str">
        <f>IF($F264="","",'תחום תמיכה א'!AB264)</f>
        <v/>
      </c>
      <c r="AA264" s="225" t="str">
        <f>IF($F264="","",'תחום תמיכה א'!AC264)</f>
        <v/>
      </c>
      <c r="AB264" s="213" t="str">
        <f t="shared" si="42"/>
        <v/>
      </c>
      <c r="AC264" s="213">
        <f t="shared" si="43"/>
        <v>9047.4547009986291</v>
      </c>
      <c r="AD264" s="214">
        <f t="shared" si="44"/>
        <v>9.0673105939844764E-5</v>
      </c>
      <c r="AE264" s="213">
        <f t="shared" si="47"/>
        <v>9318.7431029111813</v>
      </c>
      <c r="AF264" s="214">
        <f t="shared" si="45"/>
        <v>9.0673105939844778E-5</v>
      </c>
    </row>
    <row r="265" spans="1:32" ht="15.75" x14ac:dyDescent="0.2">
      <c r="A265" s="206">
        <f t="shared" si="46"/>
        <v>235</v>
      </c>
      <c r="B265" s="88">
        <f>IF($F265="","",'הזנה לתנאי סף'!C265)</f>
        <v>1001347608</v>
      </c>
      <c r="C265" s="88">
        <f>IF($F265="","",'הזנה לתנאי סף'!D265)</f>
        <v>1001270721</v>
      </c>
      <c r="D265" s="88">
        <f>IF($F265="","",'הזנה לתנאי סף'!E265)</f>
        <v>40000252</v>
      </c>
      <c r="E265" s="88">
        <f>IF($F265="","",'הזנה לתנאי סף'!F265)</f>
        <v>20000182</v>
      </c>
      <c r="F265" s="88" t="str">
        <f>IF(OR('הזנה לתנאי סף'!G265="",'הזנה לתנאי סף'!BL265&lt;&gt;1,'הזנה לתנאי סף'!Q265&lt;&gt;1),"",'הזנה לתנאי סף'!G265)</f>
        <v>חיפה</v>
      </c>
      <c r="G265" s="88" t="str">
        <f>IF($F265="","",'הזנה לתנאי סף'!H265)</f>
        <v>אתו"ס - החברה לאומנות תרבות וספורט</v>
      </c>
      <c r="H265" s="88" t="str">
        <f>IF($F265="","",'הזנה לתנאי סף'!I265)</f>
        <v>סינמטקים ופסטיבלים</v>
      </c>
      <c r="I265" s="213">
        <f>IF($F265="","",'תחום תמיכה א'!$I265)</f>
        <v>5892000</v>
      </c>
      <c r="J265" s="213">
        <f>IF($F265="","",'תחום תמיכה א'!$J265)</f>
        <v>3884000</v>
      </c>
      <c r="K265" s="213">
        <f>IF($F265="","",'תחום תמיכה א'!$K265)</f>
        <v>0</v>
      </c>
      <c r="L265" s="213">
        <f t="shared" si="38"/>
        <v>9776000</v>
      </c>
      <c r="M265" s="214">
        <f t="shared" si="39"/>
        <v>0.60270049099836331</v>
      </c>
      <c r="N265" s="214">
        <f t="shared" si="48"/>
        <v>0.39729950900163669</v>
      </c>
      <c r="O265" s="213">
        <f t="shared" si="40"/>
        <v>1543111.2929623569</v>
      </c>
      <c r="P265" s="213">
        <f>IF($F265="","",'פרמטרים לקריטריונים'!$C$59*O265)</f>
        <v>462933.38788870705</v>
      </c>
      <c r="Q265" s="214">
        <f t="shared" si="41"/>
        <v>2.6300589365795325E-3</v>
      </c>
      <c r="R265" s="213">
        <f t="shared" si="49"/>
        <v>263005.89365795325</v>
      </c>
      <c r="S265" s="213">
        <f>IF($F265="","",'הזנה לתנאי סף'!N265)</f>
        <v>1</v>
      </c>
      <c r="T265" s="213">
        <f>IF($F265="","",'הזנה לתנאי סף'!O265)</f>
        <v>0</v>
      </c>
      <c r="U265" s="213">
        <f>IF($F265="","",'תחום תמיכה א'!W265)</f>
        <v>0</v>
      </c>
      <c r="V265" s="213">
        <f>IF($F265="","",'תחום תמיכה א'!X265)</f>
        <v>0</v>
      </c>
      <c r="W265" s="213">
        <f>IF($F265="","",'תחום תמיכה א'!Y265)</f>
        <v>0</v>
      </c>
      <c r="X265" s="231" t="str">
        <f>IF($F265="","",'תחום תמיכה א'!Z265)</f>
        <v/>
      </c>
      <c r="Y265" s="213" t="str">
        <f>IF($F265="","",'תחום תמיכה א'!AA265)</f>
        <v/>
      </c>
      <c r="Z265" s="214" t="str">
        <f>IF($F265="","",'תחום תמיכה א'!AB265)</f>
        <v/>
      </c>
      <c r="AA265" s="225" t="str">
        <f>IF($F265="","",'תחום תמיכה א'!AC265)</f>
        <v/>
      </c>
      <c r="AB265" s="213" t="str">
        <f t="shared" si="42"/>
        <v/>
      </c>
      <c r="AC265" s="213">
        <f t="shared" si="43"/>
        <v>263005.89365795325</v>
      </c>
      <c r="AD265" s="214">
        <f t="shared" si="44"/>
        <v>2.6358309653453059E-3</v>
      </c>
      <c r="AE265" s="213">
        <f t="shared" si="47"/>
        <v>270892.13912057749</v>
      </c>
      <c r="AF265" s="214">
        <f t="shared" si="45"/>
        <v>2.6358309653453063E-3</v>
      </c>
    </row>
    <row r="266" spans="1:32" ht="15.75" x14ac:dyDescent="0.2">
      <c r="A266" s="206">
        <f t="shared" si="46"/>
        <v>236</v>
      </c>
      <c r="B266" s="88">
        <f>IF($F266="","",'הזנה לתנאי סף'!C266)</f>
        <v>1001347621</v>
      </c>
      <c r="C266" s="88">
        <f>IF($F266="","",'הזנה לתנאי סף'!D266)</f>
        <v>1001270688</v>
      </c>
      <c r="D266" s="88">
        <f>IF($F266="","",'הזנה לתנאי סף'!E266)</f>
        <v>40000252</v>
      </c>
      <c r="E266" s="88">
        <f>IF($F266="","",'הזנה לתנאי סף'!F266)</f>
        <v>20000182</v>
      </c>
      <c r="F266" s="88" t="str">
        <f>IF(OR('הזנה לתנאי סף'!G266="",'הזנה לתנאי סף'!BL266&lt;&gt;1,'הזנה לתנאי סף'!Q266&lt;&gt;1),"",'הזנה לתנאי סף'!G266)</f>
        <v>חיפה</v>
      </c>
      <c r="G266" s="88" t="str">
        <f>IF($F266="","",'הזנה לתנאי סף'!H266)</f>
        <v>אתו"ס - החברה לאומנות תרבות וספורט</v>
      </c>
      <c r="H266" s="88" t="str">
        <f>IF($F266="","",'הזנה לתנאי סף'!I266)</f>
        <v>סינמטקים ופסטיבלים</v>
      </c>
      <c r="I266" s="213">
        <f>IF($F266="","",'תחום תמיכה א'!$I266)</f>
        <v>2323000</v>
      </c>
      <c r="J266" s="213">
        <f>IF($F266="","",'תחום תמיכה א'!$J266)</f>
        <v>1284000</v>
      </c>
      <c r="K266" s="213">
        <f>IF($F266="","",'תחום תמיכה א'!$K266)</f>
        <v>0</v>
      </c>
      <c r="L266" s="213">
        <f t="shared" si="38"/>
        <v>3607000</v>
      </c>
      <c r="M266" s="214">
        <f t="shared" si="39"/>
        <v>0.64402550596063213</v>
      </c>
      <c r="N266" s="214">
        <f t="shared" si="48"/>
        <v>0.35597449403936787</v>
      </c>
      <c r="O266" s="213">
        <f t="shared" si="40"/>
        <v>457071.25034654833</v>
      </c>
      <c r="P266" s="213">
        <f>IF($F266="","",'פרמטרים לקריטריונים'!$C$59*O266)</f>
        <v>137121.3751039645</v>
      </c>
      <c r="Q266" s="214">
        <f t="shared" si="41"/>
        <v>7.790263295395669E-4</v>
      </c>
      <c r="R266" s="213">
        <f t="shared" si="49"/>
        <v>77902.632953956694</v>
      </c>
      <c r="S266" s="213">
        <f>IF($F266="","",'הזנה לתנאי סף'!N266)</f>
        <v>1</v>
      </c>
      <c r="T266" s="213">
        <f>IF($F266="","",'הזנה לתנאי סף'!O266)</f>
        <v>0</v>
      </c>
      <c r="U266" s="213">
        <f>IF($F266="","",'תחום תמיכה א'!W266)</f>
        <v>0</v>
      </c>
      <c r="V266" s="213">
        <f>IF($F266="","",'תחום תמיכה א'!X266)</f>
        <v>0</v>
      </c>
      <c r="W266" s="213">
        <f>IF($F266="","",'תחום תמיכה א'!Y266)</f>
        <v>0</v>
      </c>
      <c r="X266" s="231" t="str">
        <f>IF($F266="","",'תחום תמיכה א'!Z266)</f>
        <v/>
      </c>
      <c r="Y266" s="213" t="str">
        <f>IF($F266="","",'תחום תמיכה א'!AA266)</f>
        <v/>
      </c>
      <c r="Z266" s="214" t="str">
        <f>IF($F266="","",'תחום תמיכה א'!AB266)</f>
        <v/>
      </c>
      <c r="AA266" s="225" t="str">
        <f>IF($F266="","",'תחום תמיכה א'!AC266)</f>
        <v/>
      </c>
      <c r="AB266" s="213" t="str">
        <f t="shared" si="42"/>
        <v/>
      </c>
      <c r="AC266" s="213">
        <f t="shared" si="43"/>
        <v>77902.632953956694</v>
      </c>
      <c r="AD266" s="214">
        <f t="shared" si="44"/>
        <v>7.8073601076414248E-4</v>
      </c>
      <c r="AE266" s="213">
        <f t="shared" si="47"/>
        <v>80238.547473266342</v>
      </c>
      <c r="AF266" s="214">
        <f t="shared" si="45"/>
        <v>7.8073601076414259E-4</v>
      </c>
    </row>
    <row r="267" spans="1:32" ht="15.75" x14ac:dyDescent="0.2">
      <c r="A267" s="206">
        <f t="shared" si="46"/>
        <v>237</v>
      </c>
      <c r="B267" s="88">
        <f>IF($F267="","",'הזנה לתנאי סף'!C267)</f>
        <v>1001342867</v>
      </c>
      <c r="C267" s="88">
        <f>IF($F267="","",'הזנה לתנאי סף'!D267)</f>
        <v>1001274259</v>
      </c>
      <c r="D267" s="88">
        <f>IF($F267="","",'הזנה לתנאי סף'!E267)</f>
        <v>40000254</v>
      </c>
      <c r="E267" s="88">
        <f>IF($F267="","",'הזנה לתנאי סף'!F267)</f>
        <v>20000182</v>
      </c>
      <c r="F267" s="88" t="str">
        <f>IF(OR('הזנה לתנאי סף'!G267="",'הזנה לתנאי סף'!BL267&lt;&gt;1,'הזנה לתנאי סף'!Q267&lt;&gt;1),"",'הזנה לתנאי סף'!G267)</f>
        <v>חיפה</v>
      </c>
      <c r="G267" s="88" t="str">
        <f>IF($F267="","",'הזנה לתנאי סף'!H267)</f>
        <v>תיאטרון עירוני חיפה בע"מ (חל"צ)</v>
      </c>
      <c r="H267" s="88" t="str">
        <f>IF($F267="","",'הזנה לתנאי סף'!I267)</f>
        <v>תיאטרון</v>
      </c>
      <c r="I267" s="213">
        <f>IF($F267="","",'תחום תמיכה א'!$I267)</f>
        <v>14867000</v>
      </c>
      <c r="J267" s="213">
        <f>IF($F267="","",'תחום תמיכה א'!$J267)</f>
        <v>9815000</v>
      </c>
      <c r="K267" s="213">
        <f>IF($F267="","",'תחום תמיכה א'!$K267)</f>
        <v>0</v>
      </c>
      <c r="L267" s="213">
        <f t="shared" si="38"/>
        <v>24682000</v>
      </c>
      <c r="M267" s="214">
        <f t="shared" si="39"/>
        <v>0.60234178753747669</v>
      </c>
      <c r="N267" s="214">
        <f t="shared" si="48"/>
        <v>0.39765821246252331</v>
      </c>
      <c r="O267" s="213">
        <f t="shared" si="40"/>
        <v>3903015.3553196662</v>
      </c>
      <c r="P267" s="213">
        <f>IF($F267="","",'פרמטרים לקריטריונים'!$C$59*O267)</f>
        <v>1170904.6065958999</v>
      </c>
      <c r="Q267" s="214">
        <f t="shared" si="41"/>
        <v>6.6522489088646957E-3</v>
      </c>
      <c r="R267" s="213">
        <f t="shared" si="49"/>
        <v>665224.89088646951</v>
      </c>
      <c r="S267" s="213">
        <f>IF($F267="","",'הזנה לתנאי סף'!N267)</f>
        <v>1</v>
      </c>
      <c r="T267" s="213">
        <f>IF($F267="","",'הזנה לתנאי סף'!O267)</f>
        <v>0</v>
      </c>
      <c r="U267" s="213">
        <f>IF($F267="","",'תחום תמיכה א'!W267)</f>
        <v>0</v>
      </c>
      <c r="V267" s="213">
        <f>IF($F267="","",'תחום תמיכה א'!X267)</f>
        <v>0</v>
      </c>
      <c r="W267" s="213">
        <f>IF($F267="","",'תחום תמיכה א'!Y267)</f>
        <v>0</v>
      </c>
      <c r="X267" s="231" t="str">
        <f>IF($F267="","",'תחום תמיכה א'!Z267)</f>
        <v/>
      </c>
      <c r="Y267" s="213" t="str">
        <f>IF($F267="","",'תחום תמיכה א'!AA267)</f>
        <v/>
      </c>
      <c r="Z267" s="214" t="str">
        <f>IF($F267="","",'תחום תמיכה א'!AB267)</f>
        <v/>
      </c>
      <c r="AA267" s="225" t="str">
        <f>IF($F267="","",'תחום תמיכה א'!AC267)</f>
        <v/>
      </c>
      <c r="AB267" s="213" t="str">
        <f t="shared" si="42"/>
        <v/>
      </c>
      <c r="AC267" s="213">
        <f t="shared" si="43"/>
        <v>665224.89088646951</v>
      </c>
      <c r="AD267" s="214">
        <f t="shared" si="44"/>
        <v>6.6668481908522641E-3</v>
      </c>
      <c r="AE267" s="213">
        <f t="shared" si="47"/>
        <v>685171.69399575982</v>
      </c>
      <c r="AF267" s="214">
        <f t="shared" si="45"/>
        <v>6.6668481908522658E-3</v>
      </c>
    </row>
    <row r="268" spans="1:32" ht="15.75" x14ac:dyDescent="0.2">
      <c r="A268" s="206">
        <f t="shared" si="46"/>
        <v>238</v>
      </c>
      <c r="B268" s="88">
        <f>IF($F268="","",'הזנה לתנאי סף'!C268)</f>
        <v>1001342869</v>
      </c>
      <c r="C268" s="88">
        <f>IF($F268="","",'הזנה לתנאי סף'!D268)</f>
        <v>1001274254</v>
      </c>
      <c r="D268" s="88">
        <f>IF($F268="","",'הזנה לתנאי סף'!E268)</f>
        <v>40000254</v>
      </c>
      <c r="E268" s="88">
        <f>IF($F268="","",'הזנה לתנאי סף'!F268)</f>
        <v>20000182</v>
      </c>
      <c r="F268" s="88" t="str">
        <f>IF(OR('הזנה לתנאי סף'!G268="",'הזנה לתנאי סף'!BL268&lt;&gt;1,'הזנה לתנאי סף'!Q268&lt;&gt;1),"",'הזנה לתנאי סף'!G268)</f>
        <v>חיפה</v>
      </c>
      <c r="G268" s="88" t="str">
        <f>IF($F268="","",'הזנה לתנאי סף'!H268)</f>
        <v>תיאטרון עירוני חיפה בע"מ (חל"צ)</v>
      </c>
      <c r="H268" s="88" t="str">
        <f>IF($F268="","",'הזנה לתנאי סף'!I268)</f>
        <v>סינמטקים ופסטיבלים</v>
      </c>
      <c r="I268" s="213">
        <f>IF($F268="","",'תחום תמיכה א'!$I268)</f>
        <v>1748000</v>
      </c>
      <c r="J268" s="213">
        <f>IF($F268="","",'תחום תמיכה א'!$J268)</f>
        <v>913000</v>
      </c>
      <c r="K268" s="213">
        <f>IF($F268="","",'תחום תמיכה א'!$K268)</f>
        <v>0</v>
      </c>
      <c r="L268" s="213">
        <f t="shared" si="38"/>
        <v>2661000</v>
      </c>
      <c r="M268" s="214">
        <f t="shared" si="39"/>
        <v>0.65689590379556562</v>
      </c>
      <c r="N268" s="214">
        <f t="shared" si="48"/>
        <v>0.34310409620443438</v>
      </c>
      <c r="O268" s="213">
        <f t="shared" si="40"/>
        <v>313254.0398346486</v>
      </c>
      <c r="P268" s="213">
        <f>IF($F268="","",'פרמטרים לקריטריונים'!$C$59*O268)</f>
        <v>93976.211950394572</v>
      </c>
      <c r="Q268" s="214">
        <f t="shared" si="41"/>
        <v>5.3390613537999444E-4</v>
      </c>
      <c r="R268" s="213">
        <f t="shared" si="49"/>
        <v>53390.613537999445</v>
      </c>
      <c r="S268" s="213">
        <f>IF($F268="","",'הזנה לתנאי סף'!N268)</f>
        <v>1</v>
      </c>
      <c r="T268" s="213">
        <f>IF($F268="","",'הזנה לתנאי סף'!O268)</f>
        <v>0</v>
      </c>
      <c r="U268" s="213">
        <f>IF($F268="","",'תחום תמיכה א'!W268)</f>
        <v>0</v>
      </c>
      <c r="V268" s="213">
        <f>IF($F268="","",'תחום תמיכה א'!X268)</f>
        <v>0</v>
      </c>
      <c r="W268" s="213">
        <f>IF($F268="","",'תחום תמיכה א'!Y268)</f>
        <v>0</v>
      </c>
      <c r="X268" s="231" t="str">
        <f>IF($F268="","",'תחום תמיכה א'!Z268)</f>
        <v/>
      </c>
      <c r="Y268" s="213" t="str">
        <f>IF($F268="","",'תחום תמיכה א'!AA268)</f>
        <v/>
      </c>
      <c r="Z268" s="214" t="str">
        <f>IF($F268="","",'תחום תמיכה א'!AB268)</f>
        <v/>
      </c>
      <c r="AA268" s="225" t="str">
        <f>IF($F268="","",'תחום תמיכה א'!AC268)</f>
        <v/>
      </c>
      <c r="AB268" s="213" t="str">
        <f t="shared" si="42"/>
        <v/>
      </c>
      <c r="AC268" s="213">
        <f t="shared" si="43"/>
        <v>53390.613537999445</v>
      </c>
      <c r="AD268" s="214">
        <f t="shared" si="44"/>
        <v>5.3507786637384204E-4</v>
      </c>
      <c r="AE268" s="213">
        <f t="shared" si="47"/>
        <v>54991.533874440131</v>
      </c>
      <c r="AF268" s="214">
        <f t="shared" si="45"/>
        <v>5.3507786637384226E-4</v>
      </c>
    </row>
    <row r="269" spans="1:32" ht="15.75" x14ac:dyDescent="0.2">
      <c r="A269" s="206">
        <f t="shared" si="46"/>
        <v>239</v>
      </c>
      <c r="B269" s="88">
        <f>IF($F269="","",'הזנה לתנאי סף'!C269)</f>
        <v>1001347742</v>
      </c>
      <c r="C269" s="88">
        <f>IF($F269="","",'הזנה לתנאי סף'!D269)</f>
        <v>1001266912</v>
      </c>
      <c r="D269" s="88">
        <f>IF($F269="","",'הזנה לתנאי סף'!E269)</f>
        <v>40474818</v>
      </c>
      <c r="E269" s="88">
        <f>IF($F269="","",'הזנה לתנאי סף'!F269)</f>
        <v>20000201</v>
      </c>
      <c r="F269" s="88" t="str">
        <f>IF(OR('הזנה לתנאי סף'!G269="",'הזנה לתנאי סף'!BL269&lt;&gt;1,'הזנה לתנאי סף'!Q269&lt;&gt;1),"",'הזנה לתנאי סף'!G269)</f>
        <v>תל אביב -יפו</v>
      </c>
      <c r="G269" s="88" t="str">
        <f>IF($F269="","",'הזנה לתנאי סף'!H269)</f>
        <v>צוותא לתרבות מתקדמת בע"מ (חל"צ)</v>
      </c>
      <c r="H269" s="88" t="str">
        <f>IF($F269="","",'הזנה לתנאי סף'!I269)</f>
        <v>ספרות</v>
      </c>
      <c r="I269" s="213">
        <f>IF($F269="","",'תחום תמיכה א'!$I269)</f>
        <v>441633</v>
      </c>
      <c r="J269" s="213">
        <f>IF($F269="","",'תחום תמיכה א'!$J269)</f>
        <v>229423</v>
      </c>
      <c r="K269" s="213">
        <f>IF($F269="","",'תחום תמיכה א'!$K269)</f>
        <v>0</v>
      </c>
      <c r="L269" s="213">
        <f t="shared" si="38"/>
        <v>671056</v>
      </c>
      <c r="M269" s="214">
        <f t="shared" si="39"/>
        <v>0.65811646121933187</v>
      </c>
      <c r="N269" s="214">
        <f t="shared" si="48"/>
        <v>0.34188353878066813</v>
      </c>
      <c r="O269" s="213">
        <f t="shared" si="40"/>
        <v>78435.94711767722</v>
      </c>
      <c r="P269" s="213">
        <f>IF($F269="","",'פרמטרים לקריטריונים'!$C$59*O269)</f>
        <v>23530.784135303165</v>
      </c>
      <c r="Q269" s="214">
        <f t="shared" si="41"/>
        <v>1.3368521415581326E-4</v>
      </c>
      <c r="R269" s="213">
        <f t="shared" si="49"/>
        <v>13368.521415581326</v>
      </c>
      <c r="S269" s="213">
        <f>IF($F269="","",'הזנה לתנאי סף'!N269)</f>
        <v>1</v>
      </c>
      <c r="T269" s="213">
        <f>IF($F269="","",'הזנה לתנאי סף'!O269)</f>
        <v>0</v>
      </c>
      <c r="U269" s="213">
        <f>IF($F269="","",'תחום תמיכה א'!W269)</f>
        <v>0</v>
      </c>
      <c r="V269" s="213">
        <f>IF($F269="","",'תחום תמיכה א'!X269)</f>
        <v>0</v>
      </c>
      <c r="W269" s="213">
        <f>IF($F269="","",'תחום תמיכה א'!Y269)</f>
        <v>0</v>
      </c>
      <c r="X269" s="231" t="str">
        <f>IF($F269="","",'תחום תמיכה א'!Z269)</f>
        <v/>
      </c>
      <c r="Y269" s="213" t="str">
        <f>IF($F269="","",'תחום תמיכה א'!AA269)</f>
        <v/>
      </c>
      <c r="Z269" s="214" t="str">
        <f>IF($F269="","",'תחום תמיכה א'!AB269)</f>
        <v/>
      </c>
      <c r="AA269" s="225" t="str">
        <f>IF($F269="","",'תחום תמיכה א'!AC269)</f>
        <v/>
      </c>
      <c r="AB269" s="213" t="str">
        <f t="shared" si="42"/>
        <v/>
      </c>
      <c r="AC269" s="213">
        <f t="shared" si="43"/>
        <v>13368.521415581326</v>
      </c>
      <c r="AD269" s="214">
        <f t="shared" si="44"/>
        <v>1.3397860488213267E-4</v>
      </c>
      <c r="AE269" s="213">
        <f t="shared" si="47"/>
        <v>13769.377228693769</v>
      </c>
      <c r="AF269" s="214">
        <f t="shared" si="45"/>
        <v>1.339786048821327E-4</v>
      </c>
    </row>
    <row r="270" spans="1:32" ht="15.75" x14ac:dyDescent="0.2">
      <c r="A270" s="206">
        <f t="shared" si="46"/>
        <v>240</v>
      </c>
      <c r="B270" s="88">
        <f>IF($F270="","",'הזנה לתנאי סף'!C270)</f>
        <v>1001349320</v>
      </c>
      <c r="C270" s="88">
        <f>IF($F270="","",'הזנה לתנאי סף'!D270)</f>
        <v>1001266968</v>
      </c>
      <c r="D270" s="88">
        <f>IF($F270="","",'הזנה לתנאי סף'!E270)</f>
        <v>40474818</v>
      </c>
      <c r="E270" s="88">
        <f>IF($F270="","",'הזנה לתנאי סף'!F270)</f>
        <v>20000201</v>
      </c>
      <c r="F270" s="88" t="str">
        <f>IF(OR('הזנה לתנאי סף'!G270="",'הזנה לתנאי סף'!BL270&lt;&gt;1,'הזנה לתנאי סף'!Q270&lt;&gt;1),"",'הזנה לתנאי סף'!G270)</f>
        <v>תל אביב -יפו</v>
      </c>
      <c r="G270" s="88" t="str">
        <f>IF($F270="","",'הזנה לתנאי סף'!H270)</f>
        <v>צוותא לתרבות מתקדמת בע"מ (חל"צ)</v>
      </c>
      <c r="H270" s="88" t="str">
        <f>IF($F270="","",'הזנה לתנאי סף'!I270)</f>
        <v>מרכזי פרינג'</v>
      </c>
      <c r="I270" s="213">
        <f>IF($F270="","",'תחום תמיכה א'!$I270)</f>
        <v>599896</v>
      </c>
      <c r="J270" s="213">
        <f>IF($F270="","",'תחום תמיכה א'!$J270)</f>
        <v>758301</v>
      </c>
      <c r="K270" s="213">
        <f>IF($F270="","",'תחום תמיכה א'!$K270)</f>
        <v>0</v>
      </c>
      <c r="L270" s="213">
        <f t="shared" si="38"/>
        <v>1358197</v>
      </c>
      <c r="M270" s="214">
        <f t="shared" si="39"/>
        <v>0.44168555813331939</v>
      </c>
      <c r="N270" s="214">
        <f t="shared" si="48"/>
        <v>0.55831444186668056</v>
      </c>
      <c r="O270" s="213">
        <f t="shared" si="40"/>
        <v>423370.39958194573</v>
      </c>
      <c r="P270" s="213">
        <f>IF($F270="","",'פרמטרים לקריטריונים'!$C$59*O270)</f>
        <v>127011.11987458372</v>
      </c>
      <c r="Q270" s="214">
        <f t="shared" si="41"/>
        <v>7.2158703522034735E-4</v>
      </c>
      <c r="R270" s="213">
        <f t="shared" si="49"/>
        <v>72158.703522034732</v>
      </c>
      <c r="S270" s="213">
        <f>IF($F270="","",'הזנה לתנאי סף'!N270)</f>
        <v>1</v>
      </c>
      <c r="T270" s="213">
        <f>IF($F270="","",'הזנה לתנאי סף'!O270)</f>
        <v>0</v>
      </c>
      <c r="U270" s="213">
        <f>IF($F270="","",'תחום תמיכה א'!W270)</f>
        <v>0</v>
      </c>
      <c r="V270" s="213">
        <f>IF($F270="","",'תחום תמיכה א'!X270)</f>
        <v>0</v>
      </c>
      <c r="W270" s="213">
        <f>IF($F270="","",'תחום תמיכה א'!Y270)</f>
        <v>0</v>
      </c>
      <c r="X270" s="231" t="str">
        <f>IF($F270="","",'תחום תמיכה א'!Z270)</f>
        <v/>
      </c>
      <c r="Y270" s="213" t="str">
        <f>IF($F270="","",'תחום תמיכה א'!AA270)</f>
        <v/>
      </c>
      <c r="Z270" s="214" t="str">
        <f>IF($F270="","",'תחום תמיכה א'!AB270)</f>
        <v/>
      </c>
      <c r="AA270" s="225" t="str">
        <f>IF($F270="","",'תחום תמיכה א'!AC270)</f>
        <v/>
      </c>
      <c r="AB270" s="213" t="str">
        <f t="shared" si="42"/>
        <v/>
      </c>
      <c r="AC270" s="213">
        <f t="shared" si="43"/>
        <v>72158.703522034732</v>
      </c>
      <c r="AD270" s="214">
        <f t="shared" si="44"/>
        <v>7.2317065795456548E-4</v>
      </c>
      <c r="AE270" s="213">
        <f t="shared" si="47"/>
        <v>74322.38601722465</v>
      </c>
      <c r="AF270" s="214">
        <f t="shared" si="45"/>
        <v>7.2317065795456559E-4</v>
      </c>
    </row>
    <row r="271" spans="1:32" ht="15.75" x14ac:dyDescent="0.2">
      <c r="A271" s="206">
        <f t="shared" si="46"/>
        <v>241</v>
      </c>
      <c r="B271" s="88">
        <f>IF($F271="","",'הזנה לתנאי סף'!C271)</f>
        <v>1001349321</v>
      </c>
      <c r="C271" s="88">
        <f>IF($F271="","",'הזנה לתנאי סף'!D271)</f>
        <v>1001269429</v>
      </c>
      <c r="D271" s="88">
        <f>IF($F271="","",'הזנה לתנאי סף'!E271)</f>
        <v>40474818</v>
      </c>
      <c r="E271" s="88">
        <f>IF($F271="","",'הזנה לתנאי סף'!F271)</f>
        <v>20000201</v>
      </c>
      <c r="F271" s="88" t="str">
        <f>IF(OR('הזנה לתנאי סף'!G271="",'הזנה לתנאי סף'!BL271&lt;&gt;1,'הזנה לתנאי סף'!Q271&lt;&gt;1),"",'הזנה לתנאי סף'!G271)</f>
        <v>תל אביב -יפו</v>
      </c>
      <c r="G271" s="88" t="str">
        <f>IF($F271="","",'הזנה לתנאי סף'!H271)</f>
        <v>צוותא לתרבות מתקדמת בע"מ (חל"צ)</v>
      </c>
      <c r="H271" s="88" t="str">
        <f>IF($F271="","",'הזנה לתנאי סף'!I271)</f>
        <v>אחר</v>
      </c>
      <c r="I271" s="213">
        <f>IF($F271="","",'תחום תמיכה א'!$I271)</f>
        <v>75000</v>
      </c>
      <c r="J271" s="213">
        <f>IF($F271="","",'תחום תמיכה א'!$J271)</f>
        <v>62800</v>
      </c>
      <c r="K271" s="213">
        <f>IF($F271="","",'תחום תמיכה א'!$K271)</f>
        <v>0</v>
      </c>
      <c r="L271" s="213">
        <f t="shared" si="38"/>
        <v>137800</v>
      </c>
      <c r="M271" s="214">
        <f t="shared" si="39"/>
        <v>0.54426705370101591</v>
      </c>
      <c r="N271" s="214">
        <f t="shared" si="48"/>
        <v>0.45573294629898409</v>
      </c>
      <c r="O271" s="213">
        <f t="shared" si="40"/>
        <v>28620.029027576202</v>
      </c>
      <c r="P271" s="213">
        <f>IF($F271="","",'פרמטרים לקריטריונים'!$C$59*O271)</f>
        <v>8586.0087082728605</v>
      </c>
      <c r="Q271" s="214">
        <f t="shared" si="41"/>
        <v>4.8779607441430755E-5</v>
      </c>
      <c r="R271" s="213">
        <f t="shared" si="49"/>
        <v>4877.9607441430753</v>
      </c>
      <c r="S271" s="213">
        <f>IF($F271="","",'הזנה לתנאי סף'!N271)</f>
        <v>1</v>
      </c>
      <c r="T271" s="213">
        <f>IF($F271="","",'הזנה לתנאי סף'!O271)</f>
        <v>0</v>
      </c>
      <c r="U271" s="213">
        <f>IF($F271="","",'תחום תמיכה א'!W271)</f>
        <v>0</v>
      </c>
      <c r="V271" s="213">
        <f>IF($F271="","",'תחום תמיכה א'!X271)</f>
        <v>0</v>
      </c>
      <c r="W271" s="213">
        <f>IF($F271="","",'תחום תמיכה א'!Y271)</f>
        <v>0</v>
      </c>
      <c r="X271" s="231" t="str">
        <f>IF($F271="","",'תחום תמיכה א'!Z271)</f>
        <v/>
      </c>
      <c r="Y271" s="213" t="str">
        <f>IF($F271="","",'תחום תמיכה א'!AA271)</f>
        <v/>
      </c>
      <c r="Z271" s="214" t="str">
        <f>IF($F271="","",'תחום תמיכה א'!AB271)</f>
        <v/>
      </c>
      <c r="AA271" s="225" t="str">
        <f>IF($F271="","",'תחום תמיכה א'!AC271)</f>
        <v/>
      </c>
      <c r="AB271" s="213" t="str">
        <f t="shared" si="42"/>
        <v/>
      </c>
      <c r="AC271" s="213">
        <f t="shared" si="43"/>
        <v>4877.9607441430753</v>
      </c>
      <c r="AD271" s="214">
        <f t="shared" si="44"/>
        <v>4.8886661049020718E-5</v>
      </c>
      <c r="AE271" s="213">
        <f t="shared" si="47"/>
        <v>5024.2266519154209</v>
      </c>
      <c r="AF271" s="214">
        <f t="shared" si="45"/>
        <v>4.8886661049020725E-5</v>
      </c>
    </row>
    <row r="272" spans="1:32" ht="15.75" x14ac:dyDescent="0.2">
      <c r="A272" s="206">
        <f t="shared" si="46"/>
        <v>242</v>
      </c>
      <c r="B272" s="88">
        <f>IF($F272="","",'הזנה לתנאי סף'!C272)</f>
        <v>1001349324</v>
      </c>
      <c r="C272" s="88">
        <f>IF($F272="","",'הזנה לתנאי סף'!D272)</f>
        <v>1001269399</v>
      </c>
      <c r="D272" s="88">
        <f>IF($F272="","",'הזנה לתנאי סף'!E272)</f>
        <v>40474818</v>
      </c>
      <c r="E272" s="88">
        <f>IF($F272="","",'הזנה לתנאי סף'!F272)</f>
        <v>20000201</v>
      </c>
      <c r="F272" s="88" t="str">
        <f>IF(OR('הזנה לתנאי סף'!G272="",'הזנה לתנאי סף'!BL272&lt;&gt;1,'הזנה לתנאי סף'!Q272&lt;&gt;1),"",'הזנה לתנאי סף'!G272)</f>
        <v>תל אביב -יפו</v>
      </c>
      <c r="G272" s="88" t="str">
        <f>IF($F272="","",'הזנה לתנאי סף'!H272)</f>
        <v>צוותא לתרבות מתקדמת בע"מ (חל"צ)</v>
      </c>
      <c r="H272" s="88" t="str">
        <f>IF($F272="","",'הזנה לתנאי סף'!I272)</f>
        <v>סינמטקים ופסטיבלים</v>
      </c>
      <c r="I272" s="213">
        <f>IF($F272="","",'תחום תמיכה א'!$I272)</f>
        <v>34532</v>
      </c>
      <c r="J272" s="213">
        <f>IF($F272="","",'תחום תמיכה א'!$J272)</f>
        <v>96227</v>
      </c>
      <c r="K272" s="213">
        <f>IF($F272="","",'תחום תמיכה א'!$K272)</f>
        <v>0</v>
      </c>
      <c r="L272" s="213">
        <f t="shared" si="38"/>
        <v>130759</v>
      </c>
      <c r="M272" s="214">
        <f t="shared" si="39"/>
        <v>0.2640888963665981</v>
      </c>
      <c r="N272" s="214">
        <f t="shared" si="48"/>
        <v>0.73591110363340184</v>
      </c>
      <c r="O272" s="213">
        <f t="shared" si="40"/>
        <v>70814.51776933136</v>
      </c>
      <c r="P272" s="213">
        <f>IF($F272="","",'פרמטרים לקריטריונים'!$C$59*O272)</f>
        <v>21244.355330799408</v>
      </c>
      <c r="Q272" s="214">
        <f t="shared" si="41"/>
        <v>1.206953485132348E-4</v>
      </c>
      <c r="R272" s="213">
        <f t="shared" si="49"/>
        <v>12069.53485132348</v>
      </c>
      <c r="S272" s="213">
        <f>IF($F272="","",'הזנה לתנאי סף'!N272)</f>
        <v>1</v>
      </c>
      <c r="T272" s="213">
        <f>IF($F272="","",'הזנה לתנאי סף'!O272)</f>
        <v>0</v>
      </c>
      <c r="U272" s="213">
        <f>IF($F272="","",'תחום תמיכה א'!W272)</f>
        <v>0</v>
      </c>
      <c r="V272" s="213">
        <f>IF($F272="","",'תחום תמיכה א'!X272)</f>
        <v>0</v>
      </c>
      <c r="W272" s="213">
        <f>IF($F272="","",'תחום תמיכה א'!Y272)</f>
        <v>0</v>
      </c>
      <c r="X272" s="231" t="str">
        <f>IF($F272="","",'תחום תמיכה א'!Z272)</f>
        <v/>
      </c>
      <c r="Y272" s="213" t="str">
        <f>IF($F272="","",'תחום תמיכה א'!AA272)</f>
        <v/>
      </c>
      <c r="Z272" s="214" t="str">
        <f>IF($F272="","",'תחום תמיכה א'!AB272)</f>
        <v/>
      </c>
      <c r="AA272" s="225" t="str">
        <f>IF($F272="","",'תחום תמיכה א'!AC272)</f>
        <v/>
      </c>
      <c r="AB272" s="213" t="str">
        <f t="shared" si="42"/>
        <v/>
      </c>
      <c r="AC272" s="213">
        <f t="shared" si="43"/>
        <v>12069.53485132348</v>
      </c>
      <c r="AD272" s="214">
        <f t="shared" si="44"/>
        <v>1.2096023117948389E-4</v>
      </c>
      <c r="AE272" s="213">
        <f t="shared" si="47"/>
        <v>12431.440484438393</v>
      </c>
      <c r="AF272" s="214">
        <f t="shared" si="45"/>
        <v>1.2096023117948392E-4</v>
      </c>
    </row>
    <row r="273" spans="1:32" ht="15.75" x14ac:dyDescent="0.2">
      <c r="A273" s="206">
        <f t="shared" si="46"/>
        <v>243</v>
      </c>
      <c r="B273" s="88">
        <f>IF($F273="","",'הזנה לתנאי סף'!C273)</f>
        <v>1001349326</v>
      </c>
      <c r="C273" s="88">
        <f>IF($F273="","",'הזנה לתנאי סף'!D273)</f>
        <v>1001268650</v>
      </c>
      <c r="D273" s="88">
        <f>IF($F273="","",'הזנה לתנאי סף'!E273)</f>
        <v>40474818</v>
      </c>
      <c r="E273" s="88">
        <f>IF($F273="","",'הזנה לתנאי סף'!F273)</f>
        <v>20000201</v>
      </c>
      <c r="F273" s="88" t="str">
        <f>IF(OR('הזנה לתנאי סף'!G273="",'הזנה לתנאי סף'!BL273&lt;&gt;1,'הזנה לתנאי סף'!Q273&lt;&gt;1),"",'הזנה לתנאי סף'!G273)</f>
        <v>תל אביב -יפו</v>
      </c>
      <c r="G273" s="88" t="str">
        <f>IF($F273="","",'הזנה לתנאי סף'!H273)</f>
        <v>צוותא לתרבות מתקדמת בע"מ (חל"צ)</v>
      </c>
      <c r="H273" s="88" t="str">
        <f>IF($F273="","",'הזנה לתנאי סף'!I273)</f>
        <v>סינמטקים ופסטיבלים</v>
      </c>
      <c r="I273" s="213">
        <f>IF($F273="","",'תחום תמיכה א'!$I273)</f>
        <v>130621</v>
      </c>
      <c r="J273" s="213">
        <f>IF($F273="","",'תחום תמיכה א'!$J273)</f>
        <v>312898</v>
      </c>
      <c r="K273" s="213">
        <f>IF($F273="","",'תחום תמיכה א'!$K273)</f>
        <v>0</v>
      </c>
      <c r="L273" s="213">
        <f t="shared" si="38"/>
        <v>443519</v>
      </c>
      <c r="M273" s="214">
        <f t="shared" si="39"/>
        <v>0.29451049447712502</v>
      </c>
      <c r="N273" s="214">
        <f t="shared" si="48"/>
        <v>0.70548950552287493</v>
      </c>
      <c r="O273" s="213">
        <f t="shared" si="40"/>
        <v>220746.25529909652</v>
      </c>
      <c r="P273" s="213">
        <f>IF($F273="","",'פרמטרים לקריטריונים'!$C$59*O273)</f>
        <v>66223.876589728956</v>
      </c>
      <c r="Q273" s="214">
        <f t="shared" si="41"/>
        <v>3.7623706346630857E-4</v>
      </c>
      <c r="R273" s="213">
        <f t="shared" si="49"/>
        <v>37623.706346630854</v>
      </c>
      <c r="S273" s="213">
        <f>IF($F273="","",'הזנה לתנאי סף'!N273)</f>
        <v>1</v>
      </c>
      <c r="T273" s="213">
        <f>IF($F273="","",'הזנה לתנאי סף'!O273)</f>
        <v>0</v>
      </c>
      <c r="U273" s="213">
        <f>IF($F273="","",'תחום תמיכה א'!W273)</f>
        <v>0</v>
      </c>
      <c r="V273" s="213">
        <f>IF($F273="","",'תחום תמיכה א'!X273)</f>
        <v>0</v>
      </c>
      <c r="W273" s="213">
        <f>IF($F273="","",'תחום תמיכה א'!Y273)</f>
        <v>0</v>
      </c>
      <c r="X273" s="231" t="str">
        <f>IF($F273="","",'תחום תמיכה א'!Z273)</f>
        <v/>
      </c>
      <c r="Y273" s="213" t="str">
        <f>IF($F273="","",'תחום תמיכה א'!AA273)</f>
        <v/>
      </c>
      <c r="Z273" s="214" t="str">
        <f>IF($F273="","",'תחום תמיכה א'!AB273)</f>
        <v/>
      </c>
      <c r="AA273" s="225" t="str">
        <f>IF($F273="","",'תחום תמיכה א'!AC273)</f>
        <v/>
      </c>
      <c r="AB273" s="213" t="str">
        <f t="shared" si="42"/>
        <v/>
      </c>
      <c r="AC273" s="213">
        <f t="shared" si="43"/>
        <v>37623.706346630854</v>
      </c>
      <c r="AD273" s="214">
        <f t="shared" si="44"/>
        <v>3.7706276783470641E-4</v>
      </c>
      <c r="AE273" s="213">
        <f t="shared" si="47"/>
        <v>38751.855147163456</v>
      </c>
      <c r="AF273" s="214">
        <f t="shared" si="45"/>
        <v>3.7706276783470652E-4</v>
      </c>
    </row>
    <row r="274" spans="1:32" ht="15.75" x14ac:dyDescent="0.2">
      <c r="A274" s="206">
        <f t="shared" si="46"/>
        <v>244</v>
      </c>
      <c r="B274" s="88">
        <f>IF($F274="","",'הזנה לתנאי סף'!C274)</f>
        <v>1001347844</v>
      </c>
      <c r="C274" s="88">
        <f>IF($F274="","",'הזנה לתנאי סף'!D274)</f>
        <v>1001265161</v>
      </c>
      <c r="D274" s="88">
        <f>IF($F274="","",'הזנה לתנאי סף'!E274)</f>
        <v>40000054</v>
      </c>
      <c r="E274" s="88">
        <f>IF($F274="","",'הזנה לתנאי סף'!F274)</f>
        <v>20000159</v>
      </c>
      <c r="F274" s="88" t="str">
        <f>IF(OR('הזנה לתנאי סף'!G274="",'הזנה לתנאי סף'!BL274&lt;&gt;1,'הזנה לתנאי סף'!Q274&lt;&gt;1),"",'הזנה לתנאי סף'!G274)</f>
        <v>ירושלים</v>
      </c>
      <c r="G274" s="88" t="str">
        <f>IF($F274="","",'הזנה לתנאי סף'!H274)</f>
        <v>פסטיבל ישראל ירושלים</v>
      </c>
      <c r="H274" s="88" t="str">
        <f>IF($F274="","",'הזנה לתנאי סף'!I274)</f>
        <v>סינמטקים ופסטיבלים</v>
      </c>
      <c r="I274" s="213">
        <f>IF($F274="","",'תחום תמיכה א'!$I274)</f>
        <v>174476</v>
      </c>
      <c r="J274" s="213">
        <f>IF($F274="","",'תחום תמיכה א'!$J274)</f>
        <v>883822</v>
      </c>
      <c r="K274" s="213">
        <f>IF($F274="","",'תחום תמיכה א'!$K274)</f>
        <v>20000</v>
      </c>
      <c r="L274" s="213">
        <f t="shared" si="38"/>
        <v>1078298</v>
      </c>
      <c r="M274" s="214">
        <f t="shared" si="39"/>
        <v>0.16180684745775287</v>
      </c>
      <c r="N274" s="214">
        <f t="shared" si="48"/>
        <v>0.83819315254224713</v>
      </c>
      <c r="O274" s="213">
        <f t="shared" si="40"/>
        <v>740813.54846619396</v>
      </c>
      <c r="P274" s="213">
        <f>IF($F274="","",'פרמטרים לקריטריונים'!$C$59*O274)</f>
        <v>222244.06453985817</v>
      </c>
      <c r="Q274" s="214">
        <f t="shared" si="41"/>
        <v>1.2626330339027836E-3</v>
      </c>
      <c r="R274" s="213">
        <f t="shared" si="49"/>
        <v>126263.30339027835</v>
      </c>
      <c r="S274" s="213">
        <f>IF($F274="","",'הזנה לתנאי סף'!N274)</f>
        <v>1</v>
      </c>
      <c r="T274" s="213">
        <f>IF($F274="","",'הזנה לתנאי סף'!O274)</f>
        <v>0</v>
      </c>
      <c r="U274" s="213">
        <f>IF($F274="","",'תחום תמיכה א'!W274)</f>
        <v>0</v>
      </c>
      <c r="V274" s="213">
        <f>IF($F274="","",'תחום תמיכה א'!X274)</f>
        <v>0</v>
      </c>
      <c r="W274" s="213">
        <f>IF($F274="","",'תחום תמיכה א'!Y274)</f>
        <v>0</v>
      </c>
      <c r="X274" s="231" t="str">
        <f>IF($F274="","",'תחום תמיכה א'!Z274)</f>
        <v/>
      </c>
      <c r="Y274" s="213" t="str">
        <f>IF($F274="","",'תחום תמיכה א'!AA274)</f>
        <v/>
      </c>
      <c r="Z274" s="214" t="str">
        <f>IF($F274="","",'תחום תמיכה א'!AB274)</f>
        <v/>
      </c>
      <c r="AA274" s="225" t="str">
        <f>IF($F274="","",'תחום תמיכה א'!AC274)</f>
        <v/>
      </c>
      <c r="AB274" s="213" t="str">
        <f t="shared" si="42"/>
        <v/>
      </c>
      <c r="AC274" s="213">
        <f t="shared" si="43"/>
        <v>126263.30339027835</v>
      </c>
      <c r="AD274" s="214">
        <f t="shared" si="44"/>
        <v>1.2654040570501889E-3</v>
      </c>
      <c r="AE274" s="213">
        <f t="shared" si="47"/>
        <v>130049.31513932503</v>
      </c>
      <c r="AF274" s="214">
        <f t="shared" si="45"/>
        <v>1.2654040570501891E-3</v>
      </c>
    </row>
    <row r="275" spans="1:32" ht="15.75" x14ac:dyDescent="0.2">
      <c r="A275" s="206" t="str">
        <f t="shared" si="46"/>
        <v/>
      </c>
      <c r="B275" s="88" t="str">
        <f>IF($F275="","",'הזנה לתנאי סף'!C275)</f>
        <v/>
      </c>
      <c r="C275" s="88" t="str">
        <f>IF($F275="","",'הזנה לתנאי סף'!D275)</f>
        <v/>
      </c>
      <c r="D275" s="88" t="str">
        <f>IF($F275="","",'הזנה לתנאי סף'!E275)</f>
        <v/>
      </c>
      <c r="E275" s="88" t="str">
        <f>IF($F275="","",'הזנה לתנאי סף'!F275)</f>
        <v/>
      </c>
      <c r="F275" s="88" t="str">
        <f>IF(OR('הזנה לתנאי סף'!G275="",'הזנה לתנאי סף'!BL275&lt;&gt;1,'הזנה לתנאי סף'!Q275&lt;&gt;1),"",'הזנה לתנאי סף'!G275)</f>
        <v/>
      </c>
      <c r="G275" s="88" t="str">
        <f>IF($F275="","",'הזנה לתנאי סף'!H275)</f>
        <v/>
      </c>
      <c r="H275" s="88" t="str">
        <f>IF($F275="","",'הזנה לתנאי סף'!I275)</f>
        <v/>
      </c>
      <c r="I275" s="213" t="str">
        <f>IF($F275="","",'תחום תמיכה א'!$I275)</f>
        <v/>
      </c>
      <c r="J275" s="213" t="str">
        <f>IF($F275="","",'תחום תמיכה א'!$J275)</f>
        <v/>
      </c>
      <c r="K275" s="213" t="str">
        <f>IF($F275="","",'תחום תמיכה א'!$K275)</f>
        <v/>
      </c>
      <c r="L275" s="213" t="str">
        <f t="shared" si="38"/>
        <v/>
      </c>
      <c r="M275" s="214" t="str">
        <f t="shared" si="39"/>
        <v/>
      </c>
      <c r="N275" s="214" t="str">
        <f t="shared" si="48"/>
        <v/>
      </c>
      <c r="O275" s="213" t="str">
        <f t="shared" si="40"/>
        <v/>
      </c>
      <c r="P275" s="213" t="str">
        <f>IF($F275="","",'פרמטרים לקריטריונים'!$C$59*O275)</f>
        <v/>
      </c>
      <c r="Q275" s="214" t="str">
        <f t="shared" si="41"/>
        <v/>
      </c>
      <c r="R275" s="213" t="str">
        <f t="shared" si="49"/>
        <v/>
      </c>
      <c r="S275" s="213" t="str">
        <f>IF($F275="","",'הזנה לתנאי סף'!N275)</f>
        <v/>
      </c>
      <c r="T275" s="213" t="str">
        <f>IF($F275="","",'הזנה לתנאי סף'!O275)</f>
        <v/>
      </c>
      <c r="U275" s="213" t="str">
        <f>IF($F275="","",'תחום תמיכה א'!W275)</f>
        <v/>
      </c>
      <c r="V275" s="213" t="str">
        <f>IF($F275="","",'תחום תמיכה א'!X275)</f>
        <v/>
      </c>
      <c r="W275" s="213" t="str">
        <f>IF($F275="","",'תחום תמיכה א'!Y275)</f>
        <v/>
      </c>
      <c r="X275" s="231" t="str">
        <f>IF($F275="","",'תחום תמיכה א'!Z275)</f>
        <v/>
      </c>
      <c r="Y275" s="213" t="str">
        <f>IF($F275="","",'תחום תמיכה א'!AA275)</f>
        <v/>
      </c>
      <c r="Z275" s="214" t="str">
        <f>IF($F275="","",'תחום תמיכה א'!AB275)</f>
        <v/>
      </c>
      <c r="AA275" s="225" t="str">
        <f>IF($F275="","",'תחום תמיכה א'!AC275)</f>
        <v/>
      </c>
      <c r="AB275" s="213" t="str">
        <f t="shared" si="42"/>
        <v/>
      </c>
      <c r="AC275" s="213" t="str">
        <f t="shared" si="43"/>
        <v/>
      </c>
      <c r="AD275" s="214" t="str">
        <f t="shared" si="44"/>
        <v/>
      </c>
      <c r="AE275" s="213" t="str">
        <f t="shared" si="47"/>
        <v/>
      </c>
      <c r="AF275" s="214" t="str">
        <f t="shared" si="45"/>
        <v/>
      </c>
    </row>
    <row r="276" spans="1:32" ht="15.75" x14ac:dyDescent="0.2">
      <c r="A276" s="206">
        <f t="shared" si="46"/>
        <v>246</v>
      </c>
      <c r="B276" s="88">
        <f>IF($F276="","",'הזנה לתנאי סף'!C276)</f>
        <v>1001346748</v>
      </c>
      <c r="C276" s="88">
        <f>IF($F276="","",'הזנה לתנאי סף'!D276)</f>
        <v>1001272517</v>
      </c>
      <c r="D276" s="88">
        <f>IF($F276="","",'הזנה לתנאי סף'!E276)</f>
        <v>40000171</v>
      </c>
      <c r="E276" s="88">
        <f>IF($F276="","",'הזנה לתנאי סף'!F276)</f>
        <v>20000201</v>
      </c>
      <c r="F276" s="88" t="str">
        <f>IF(OR('הזנה לתנאי סף'!G276="",'הזנה לתנאי סף'!BL276&lt;&gt;1,'הזנה לתנאי סף'!Q276&lt;&gt;1),"",'הזנה לתנאי סף'!G276)</f>
        <v>תל אביב -יפו</v>
      </c>
      <c r="G276" s="88" t="str">
        <f>IF($F276="","",'הזנה לתנאי סף'!H276)</f>
        <v>תיאטרון "גשר"</v>
      </c>
      <c r="H276" s="88" t="str">
        <f>IF($F276="","",'הזנה לתנאי סף'!I276)</f>
        <v>תיאטרון</v>
      </c>
      <c r="I276" s="213">
        <f>IF($F276="","",'תחום תמיכה א'!$I276)</f>
        <v>9336000</v>
      </c>
      <c r="J276" s="213">
        <f>IF($F276="","",'תחום תמיכה א'!$J276)</f>
        <v>17655000</v>
      </c>
      <c r="K276" s="213">
        <f>IF($F276="","",'תחום תמיכה א'!$K276)</f>
        <v>0</v>
      </c>
      <c r="L276" s="213">
        <f t="shared" si="38"/>
        <v>26991000</v>
      </c>
      <c r="M276" s="214">
        <f t="shared" si="39"/>
        <v>0.34589307546960096</v>
      </c>
      <c r="N276" s="214">
        <f t="shared" si="48"/>
        <v>0.65410692453039898</v>
      </c>
      <c r="O276" s="213">
        <f t="shared" si="40"/>
        <v>11548257.752584195</v>
      </c>
      <c r="P276" s="213">
        <f>IF($F276="","",'פרמטרים לקריטריונים'!$C$59*O276)</f>
        <v>3464477.3257752582</v>
      </c>
      <c r="Q276" s="214">
        <f t="shared" si="41"/>
        <v>1.9682701204137221E-2</v>
      </c>
      <c r="R276" s="213">
        <f t="shared" si="49"/>
        <v>1968270.1204137222</v>
      </c>
      <c r="S276" s="213">
        <f>IF($F276="","",'הזנה לתנאי סף'!N276)</f>
        <v>1</v>
      </c>
      <c r="T276" s="213">
        <f>IF($F276="","",'הזנה לתנאי סף'!O276)</f>
        <v>0</v>
      </c>
      <c r="U276" s="213">
        <f>IF($F276="","",'תחום תמיכה א'!W276)</f>
        <v>0</v>
      </c>
      <c r="V276" s="213">
        <f>IF($F276="","",'תחום תמיכה א'!X276)</f>
        <v>0</v>
      </c>
      <c r="W276" s="213">
        <f>IF($F276="","",'תחום תמיכה א'!Y276)</f>
        <v>0</v>
      </c>
      <c r="X276" s="231" t="str">
        <f>IF($F276="","",'תחום תמיכה א'!Z276)</f>
        <v/>
      </c>
      <c r="Y276" s="213" t="str">
        <f>IF($F276="","",'תחום תמיכה א'!AA276)</f>
        <v/>
      </c>
      <c r="Z276" s="214" t="str">
        <f>IF($F276="","",'תחום תמיכה א'!AB276)</f>
        <v/>
      </c>
      <c r="AA276" s="225" t="str">
        <f>IF($F276="","",'תחום תמיכה א'!AC276)</f>
        <v/>
      </c>
      <c r="AB276" s="213" t="str">
        <f t="shared" si="42"/>
        <v/>
      </c>
      <c r="AC276" s="213">
        <f t="shared" si="43"/>
        <v>1968270.1204137222</v>
      </c>
      <c r="AD276" s="214">
        <f t="shared" si="44"/>
        <v>1.9725897619228265E-2</v>
      </c>
      <c r="AE276" s="213">
        <f t="shared" si="47"/>
        <v>2027288.8028106983</v>
      </c>
      <c r="AF276" s="214">
        <f t="shared" si="45"/>
        <v>1.9725897619228272E-2</v>
      </c>
    </row>
    <row r="277" spans="1:32" ht="15.75" x14ac:dyDescent="0.2">
      <c r="A277" s="206">
        <f t="shared" si="46"/>
        <v>247</v>
      </c>
      <c r="B277" s="88">
        <f>IF($F277="","",'הזנה לתנאי סף'!C277)</f>
        <v>1001346760</v>
      </c>
      <c r="C277" s="88">
        <f>IF($F277="","",'הזנה לתנאי סף'!D277)</f>
        <v>1001272518</v>
      </c>
      <c r="D277" s="88">
        <f>IF($F277="","",'הזנה לתנאי סף'!E277)</f>
        <v>40000171</v>
      </c>
      <c r="E277" s="88">
        <f>IF($F277="","",'הזנה לתנאי סף'!F277)</f>
        <v>20000201</v>
      </c>
      <c r="F277" s="88" t="str">
        <f>IF(OR('הזנה לתנאי סף'!G277="",'הזנה לתנאי סף'!BL277&lt;&gt;1,'הזנה לתנאי סף'!Q277&lt;&gt;1),"",'הזנה לתנאי סף'!G277)</f>
        <v>תל אביב -יפו</v>
      </c>
      <c r="G277" s="88" t="str">
        <f>IF($F277="","",'הזנה לתנאי סף'!H277)</f>
        <v>תיאטרון "גשר"</v>
      </c>
      <c r="H277" s="88" t="str">
        <f>IF($F277="","",'הזנה לתנאי סף'!I277)</f>
        <v>סינמטקים ופסטיבלים</v>
      </c>
      <c r="I277" s="213">
        <f>IF($F277="","",'תחום תמיכה א'!$I277)</f>
        <v>782000</v>
      </c>
      <c r="J277" s="213">
        <f>IF($F277="","",'תחום תמיכה א'!$J277)</f>
        <v>1158000</v>
      </c>
      <c r="K277" s="213">
        <f>IF($F277="","",'תחום תמיכה א'!$K277)</f>
        <v>0</v>
      </c>
      <c r="L277" s="213">
        <f t="shared" si="38"/>
        <v>1940000</v>
      </c>
      <c r="M277" s="214">
        <f t="shared" si="39"/>
        <v>0.40309278350515465</v>
      </c>
      <c r="N277" s="214">
        <f t="shared" si="48"/>
        <v>0.59690721649484535</v>
      </c>
      <c r="O277" s="213">
        <f t="shared" si="40"/>
        <v>691218.55670103093</v>
      </c>
      <c r="P277" s="213">
        <f>IF($F277="","",'פרמטרים לקריטריונים'!$C$59*O277)</f>
        <v>207365.56701030929</v>
      </c>
      <c r="Q277" s="214">
        <f t="shared" si="41"/>
        <v>1.1781039711602319E-3</v>
      </c>
      <c r="R277" s="213">
        <f t="shared" si="49"/>
        <v>117810.39711602319</v>
      </c>
      <c r="S277" s="213">
        <f>IF($F277="","",'הזנה לתנאי סף'!N277)</f>
        <v>1</v>
      </c>
      <c r="T277" s="213">
        <f>IF($F277="","",'הזנה לתנאי סף'!O277)</f>
        <v>0</v>
      </c>
      <c r="U277" s="213">
        <f>IF($F277="","",'תחום תמיכה א'!W277)</f>
        <v>0</v>
      </c>
      <c r="V277" s="213">
        <f>IF($F277="","",'תחום תמיכה א'!X277)</f>
        <v>0</v>
      </c>
      <c r="W277" s="213">
        <f>IF($F277="","",'תחום תמיכה א'!Y277)</f>
        <v>0</v>
      </c>
      <c r="X277" s="231" t="str">
        <f>IF($F277="","",'תחום תמיכה א'!Z277)</f>
        <v/>
      </c>
      <c r="Y277" s="213" t="str">
        <f>IF($F277="","",'תחום תמיכה א'!AA277)</f>
        <v/>
      </c>
      <c r="Z277" s="214" t="str">
        <f>IF($F277="","",'תחום תמיכה א'!AB277)</f>
        <v/>
      </c>
      <c r="AA277" s="225" t="str">
        <f>IF($F277="","",'תחום תמיכה א'!AC277)</f>
        <v/>
      </c>
      <c r="AB277" s="213" t="str">
        <f t="shared" si="42"/>
        <v/>
      </c>
      <c r="AC277" s="213">
        <f t="shared" si="43"/>
        <v>117810.39711602319</v>
      </c>
      <c r="AD277" s="214">
        <f t="shared" si="44"/>
        <v>1.1806894835668291E-3</v>
      </c>
      <c r="AE277" s="213">
        <f t="shared" si="47"/>
        <v>121342.94802879664</v>
      </c>
      <c r="AF277" s="214">
        <f t="shared" si="45"/>
        <v>1.1806894835668295E-3</v>
      </c>
    </row>
    <row r="278" spans="1:32" ht="15.75" x14ac:dyDescent="0.2">
      <c r="A278" s="206">
        <f t="shared" si="46"/>
        <v>248</v>
      </c>
      <c r="B278" s="88">
        <f>IF($F278="","",'הזנה לתנאי סף'!C278)</f>
        <v>1001348549</v>
      </c>
      <c r="C278" s="88">
        <f>IF($F278="","",'הזנה לתנאי סף'!D278)</f>
        <v>1001274935</v>
      </c>
      <c r="D278" s="88">
        <f>IF($F278="","",'הזנה לתנאי סף'!E278)</f>
        <v>40000173</v>
      </c>
      <c r="E278" s="88">
        <f>IF($F278="","",'הזנה לתנאי סף'!F278)</f>
        <v>20000251</v>
      </c>
      <c r="F278" s="88" t="str">
        <f>IF(OR('הזנה לתנאי סף'!G278="",'הזנה לתנאי סף'!BL278&lt;&gt;1,'הזנה לתנאי סף'!Q278&lt;&gt;1),"",'הזנה לתנאי סף'!G278)</f>
        <v>רעננה</v>
      </c>
      <c r="G278" s="88" t="str">
        <f>IF($F278="","",'הזנה לתנאי סף'!H278)</f>
        <v>עמותת תזמורת סימפונט רעננה</v>
      </c>
      <c r="H278" s="88" t="str">
        <f>IF($F278="","",'הזנה לתנאי סף'!I278)</f>
        <v>אחר</v>
      </c>
      <c r="I278" s="213">
        <f>IF($F278="","",'תחום תמיכה א'!$I278)</f>
        <v>4482000</v>
      </c>
      <c r="J278" s="213">
        <f>IF($F278="","",'תחום תמיכה א'!$J278)</f>
        <v>4682000</v>
      </c>
      <c r="K278" s="213">
        <f>IF($F278="","",'תחום תמיכה א'!$K278)</f>
        <v>0</v>
      </c>
      <c r="L278" s="213">
        <f t="shared" si="38"/>
        <v>9164000</v>
      </c>
      <c r="M278" s="214">
        <f t="shared" si="39"/>
        <v>0.4890877346137058</v>
      </c>
      <c r="N278" s="214">
        <f t="shared" si="48"/>
        <v>0.5109122653862942</v>
      </c>
      <c r="O278" s="213">
        <f t="shared" si="40"/>
        <v>2392091.2265386293</v>
      </c>
      <c r="P278" s="213">
        <f>IF($F278="","",'פרמטרים לקריטריונים'!$C$59*O278)</f>
        <v>717627.36796158878</v>
      </c>
      <c r="Q278" s="214">
        <f t="shared" si="41"/>
        <v>4.0770493587625432E-3</v>
      </c>
      <c r="R278" s="213">
        <f t="shared" si="49"/>
        <v>407704.93587625434</v>
      </c>
      <c r="S278" s="213">
        <f>IF($F278="","",'הזנה לתנאי סף'!N278)</f>
        <v>0</v>
      </c>
      <c r="T278" s="213">
        <f>IF($F278="","",'הזנה לתנאי סף'!O278)</f>
        <v>1</v>
      </c>
      <c r="U278" s="213">
        <f>IF($F278="","",'תחום תמיכה א'!W278)</f>
        <v>720000</v>
      </c>
      <c r="V278" s="213">
        <f>IF($F278="","",'תחום תמיכה א'!X278)</f>
        <v>720000</v>
      </c>
      <c r="W278" s="213">
        <f>IF($F278="","",'תחום תמיכה א'!Y278)</f>
        <v>8720675</v>
      </c>
      <c r="X278" s="231">
        <f>IF($F278="","",'תחום תמיכה א'!Z278)</f>
        <v>8.2562416326717833E-2</v>
      </c>
      <c r="Y278" s="213" t="str">
        <f>IF($F278="","",'תחום תמיכה א'!AA278)</f>
        <v/>
      </c>
      <c r="Z278" s="214" t="str">
        <f>IF($F278="","",'תחום תמיכה א'!AB278)</f>
        <v/>
      </c>
      <c r="AA278" s="225" t="str">
        <f>IF($F278="","",'תחום תמיכה א'!AC278)</f>
        <v/>
      </c>
      <c r="AB278" s="213" t="str">
        <f t="shared" si="42"/>
        <v/>
      </c>
      <c r="AC278" s="213">
        <f t="shared" si="43"/>
        <v>407704.93587625434</v>
      </c>
      <c r="AD278" s="214">
        <f t="shared" si="44"/>
        <v>4.0859970085094571E-3</v>
      </c>
      <c r="AE278" s="213">
        <f t="shared" si="47"/>
        <v>419929.98967989709</v>
      </c>
      <c r="AF278" s="214">
        <f t="shared" si="45"/>
        <v>4.085997008509458E-3</v>
      </c>
    </row>
    <row r="279" spans="1:32" ht="15.75" x14ac:dyDescent="0.2">
      <c r="A279" s="206">
        <f t="shared" si="46"/>
        <v>249</v>
      </c>
      <c r="B279" s="88">
        <f>IF($F279="","",'הזנה לתנאי סף'!C279)</f>
        <v>1001348971</v>
      </c>
      <c r="C279" s="88">
        <f>IF($F279="","",'הזנה לתנאי סף'!D279)</f>
        <v>1001274750</v>
      </c>
      <c r="D279" s="88">
        <f>IF($F279="","",'הזנה לתנאי סף'!E279)</f>
        <v>40000174</v>
      </c>
      <c r="E279" s="88">
        <f>IF($F279="","",'הזנה לתנאי סף'!F279)</f>
        <v>20000201</v>
      </c>
      <c r="F279" s="88" t="str">
        <f>IF(OR('הזנה לתנאי סף'!G279="",'הזנה לתנאי סף'!BL279&lt;&gt;1,'הזנה לתנאי סף'!Q279&lt;&gt;1),"",'הזנה לתנאי סף'!G279)</f>
        <v>תל אביב -יפו</v>
      </c>
      <c r="G279" s="88" t="str">
        <f>IF($F279="","",'הזנה לתנאי סף'!H279)</f>
        <v>פרויקטים במחול - שליד תיאטרון מחול</v>
      </c>
      <c r="H279" s="88" t="str">
        <f>IF($F279="","",'הזנה לתנאי סף'!I279)</f>
        <v>מחול</v>
      </c>
      <c r="I279" s="213">
        <f>IF($F279="","",'תחום תמיכה א'!$I279)</f>
        <v>180625</v>
      </c>
      <c r="J279" s="213">
        <f>IF($F279="","",'תחום תמיכה א'!$J279)</f>
        <v>210244</v>
      </c>
      <c r="K279" s="213">
        <f>IF($F279="","",'תחום תמיכה א'!$K279)</f>
        <v>0</v>
      </c>
      <c r="L279" s="213">
        <f t="shared" si="38"/>
        <v>390869</v>
      </c>
      <c r="M279" s="214">
        <f t="shared" si="39"/>
        <v>0.46211134676835464</v>
      </c>
      <c r="N279" s="214">
        <f t="shared" si="48"/>
        <v>0.53788865323164536</v>
      </c>
      <c r="O279" s="213">
        <f t="shared" si="40"/>
        <v>113087.86201003405</v>
      </c>
      <c r="P279" s="213">
        <f>IF($F279="","",'פרמטרים לקריטריונים'!$C$59*O279)</f>
        <v>33926.358603010216</v>
      </c>
      <c r="Q279" s="214">
        <f t="shared" si="41"/>
        <v>1.9274548987790902E-4</v>
      </c>
      <c r="R279" s="213">
        <f t="shared" si="49"/>
        <v>19274.548987790902</v>
      </c>
      <c r="S279" s="213">
        <f>IF($F279="","",'הזנה לתנאי סף'!N279)</f>
        <v>1</v>
      </c>
      <c r="T279" s="213">
        <f>IF($F279="","",'הזנה לתנאי סף'!O279)</f>
        <v>0</v>
      </c>
      <c r="U279" s="213">
        <f>IF($F279="","",'תחום תמיכה א'!W279)</f>
        <v>0</v>
      </c>
      <c r="V279" s="213">
        <f>IF($F279="","",'תחום תמיכה א'!X279)</f>
        <v>0</v>
      </c>
      <c r="W279" s="213">
        <f>IF($F279="","",'תחום תמיכה א'!Y279)</f>
        <v>0</v>
      </c>
      <c r="X279" s="231" t="str">
        <f>IF($F279="","",'תחום תמיכה א'!Z279)</f>
        <v/>
      </c>
      <c r="Y279" s="213" t="str">
        <f>IF($F279="","",'תחום תמיכה א'!AA279)</f>
        <v/>
      </c>
      <c r="Z279" s="214" t="str">
        <f>IF($F279="","",'תחום תמיכה א'!AB279)</f>
        <v/>
      </c>
      <c r="AA279" s="225" t="str">
        <f>IF($F279="","",'תחום תמיכה א'!AC279)</f>
        <v/>
      </c>
      <c r="AB279" s="213" t="str">
        <f t="shared" si="42"/>
        <v/>
      </c>
      <c r="AC279" s="213">
        <f t="shared" si="43"/>
        <v>19274.548987790902</v>
      </c>
      <c r="AD279" s="214">
        <f t="shared" si="44"/>
        <v>1.9316849656288287E-4</v>
      </c>
      <c r="AE279" s="213">
        <f t="shared" si="47"/>
        <v>19852.497346228756</v>
      </c>
      <c r="AF279" s="214">
        <f t="shared" si="45"/>
        <v>1.931684965628829E-4</v>
      </c>
    </row>
    <row r="280" spans="1:32" ht="15.75" x14ac:dyDescent="0.2">
      <c r="A280" s="206">
        <f t="shared" si="46"/>
        <v>250</v>
      </c>
      <c r="B280" s="88">
        <f>IF($F280="","",'הזנה לתנאי סף'!C280)</f>
        <v>1001350351</v>
      </c>
      <c r="C280" s="88">
        <f>IF($F280="","",'הזנה לתנאי סף'!D280)</f>
        <v>1001269665</v>
      </c>
      <c r="D280" s="88">
        <f>IF($F280="","",'הזנה לתנאי סף'!E280)</f>
        <v>40000176</v>
      </c>
      <c r="E280" s="88">
        <f>IF($F280="","",'הזנה לתנאי סף'!F280)</f>
        <v>20000201</v>
      </c>
      <c r="F280" s="88" t="str">
        <f>IF(OR('הזנה לתנאי סף'!G280="",'הזנה לתנאי סף'!BL280&lt;&gt;1,'הזנה לתנאי סף'!Q280&lt;&gt;1),"",'הזנה לתנאי סף'!G280)</f>
        <v>תל אביב -יפו</v>
      </c>
      <c r="G280" s="88" t="str">
        <f>IF($F280="","",'הזנה לתנאי סף'!H280)</f>
        <v>אנסמבל עתים</v>
      </c>
      <c r="H280" s="88" t="str">
        <f>IF($F280="","",'הזנה לתנאי סף'!I280)</f>
        <v>תיאטרון</v>
      </c>
      <c r="I280" s="213">
        <f>IF($F280="","",'תחום תמיכה א'!$I280)</f>
        <v>654185</v>
      </c>
      <c r="J280" s="213">
        <f>IF($F280="","",'תחום תמיכה א'!$J280)</f>
        <v>264702</v>
      </c>
      <c r="K280" s="213">
        <f>IF($F280="","",'תחום תמיכה א'!$K280)</f>
        <v>0</v>
      </c>
      <c r="L280" s="213">
        <f t="shared" si="38"/>
        <v>918887</v>
      </c>
      <c r="M280" s="214">
        <f t="shared" si="39"/>
        <v>0.71193193504750851</v>
      </c>
      <c r="N280" s="214">
        <f t="shared" si="48"/>
        <v>0.28806806495249149</v>
      </c>
      <c r="O280" s="213">
        <f t="shared" si="40"/>
        <v>76252.192929054407</v>
      </c>
      <c r="P280" s="213">
        <f>IF($F280="","",'פרמטרים לקריטריונים'!$C$59*O280)</f>
        <v>22875.65787871632</v>
      </c>
      <c r="Q280" s="214">
        <f t="shared" si="41"/>
        <v>1.2996325175084982E-4</v>
      </c>
      <c r="R280" s="213">
        <f t="shared" si="49"/>
        <v>12996.325175084983</v>
      </c>
      <c r="S280" s="213">
        <f>IF($F280="","",'הזנה לתנאי סף'!N280)</f>
        <v>1</v>
      </c>
      <c r="T280" s="213">
        <f>IF($F280="","",'הזנה לתנאי סף'!O280)</f>
        <v>0</v>
      </c>
      <c r="U280" s="213">
        <f>IF($F280="","",'תחום תמיכה א'!W280)</f>
        <v>0</v>
      </c>
      <c r="V280" s="213">
        <f>IF($F280="","",'תחום תמיכה א'!X280)</f>
        <v>0</v>
      </c>
      <c r="W280" s="213">
        <f>IF($F280="","",'תחום תמיכה א'!Y280)</f>
        <v>0</v>
      </c>
      <c r="X280" s="231" t="str">
        <f>IF($F280="","",'תחום תמיכה א'!Z280)</f>
        <v/>
      </c>
      <c r="Y280" s="213" t="str">
        <f>IF($F280="","",'תחום תמיכה א'!AA280)</f>
        <v/>
      </c>
      <c r="Z280" s="214" t="str">
        <f>IF($F280="","",'תחום תמיכה א'!AB280)</f>
        <v/>
      </c>
      <c r="AA280" s="225" t="str">
        <f>IF($F280="","",'תחום תמיכה א'!AC280)</f>
        <v/>
      </c>
      <c r="AB280" s="213" t="str">
        <f t="shared" si="42"/>
        <v/>
      </c>
      <c r="AC280" s="213">
        <f t="shared" si="43"/>
        <v>12996.325175084983</v>
      </c>
      <c r="AD280" s="214">
        <f t="shared" si="44"/>
        <v>1.3024847411494442E-4</v>
      </c>
      <c r="AE280" s="213">
        <f t="shared" si="47"/>
        <v>13386.020664479975</v>
      </c>
      <c r="AF280" s="214">
        <f t="shared" si="45"/>
        <v>1.3024847411494445E-4</v>
      </c>
    </row>
    <row r="281" spans="1:32" ht="15.75" x14ac:dyDescent="0.2">
      <c r="A281" s="206">
        <f t="shared" si="46"/>
        <v>251</v>
      </c>
      <c r="B281" s="88">
        <f>IF($F281="","",'הזנה לתנאי סף'!C281)</f>
        <v>1001348862</v>
      </c>
      <c r="C281" s="88">
        <f>IF($F281="","",'הזנה לתנאי סף'!D281)</f>
        <v>1001270324</v>
      </c>
      <c r="D281" s="88">
        <f>IF($F281="","",'הזנה לתנאי סף'!E281)</f>
        <v>40000179</v>
      </c>
      <c r="E281" s="88">
        <f>IF($F281="","",'הזנה לתנאי סף'!F281)</f>
        <v>20000201</v>
      </c>
      <c r="F281" s="88" t="str">
        <f>IF(OR('הזנה לתנאי סף'!G281="",'הזנה לתנאי סף'!BL281&lt;&gt;1,'הזנה לתנאי סף'!Q281&lt;&gt;1),"",'הזנה לתנאי סף'!G281)</f>
        <v>תל אביב -יפו</v>
      </c>
      <c r="G281" s="88" t="str">
        <f>IF($F281="","",'הזנה לתנאי סף'!H281)</f>
        <v>מקשב</v>
      </c>
      <c r="H281" s="88" t="str">
        <f>IF($F281="","",'הזנה לתנאי סף'!I281)</f>
        <v>מרכזי מוסיקה</v>
      </c>
      <c r="I281" s="213">
        <f>IF($F281="","",'תחום תמיכה א'!$I281)</f>
        <v>250540</v>
      </c>
      <c r="J281" s="213">
        <f>IF($F281="","",'תחום תמיכה א'!$J281)</f>
        <v>104261</v>
      </c>
      <c r="K281" s="213">
        <f>IF($F281="","",'תחום תמיכה א'!$K281)</f>
        <v>300</v>
      </c>
      <c r="L281" s="213">
        <f t="shared" si="38"/>
        <v>355101</v>
      </c>
      <c r="M281" s="214">
        <f t="shared" si="39"/>
        <v>0.70554574613983068</v>
      </c>
      <c r="N281" s="214">
        <f t="shared" si="48"/>
        <v>0.29445425386016932</v>
      </c>
      <c r="O281" s="213">
        <f t="shared" si="40"/>
        <v>30700.094961715113</v>
      </c>
      <c r="P281" s="213">
        <f>IF($F281="","",'פרמטרים לקריטריונים'!$C$59*O281)</f>
        <v>9210.0284885145338</v>
      </c>
      <c r="Q281" s="214">
        <f t="shared" si="41"/>
        <v>5.2324844926054716E-5</v>
      </c>
      <c r="R281" s="213">
        <f t="shared" si="49"/>
        <v>5232.4844926054711</v>
      </c>
      <c r="S281" s="213">
        <f>IF($F281="","",'הזנה לתנאי סף'!N281)</f>
        <v>1</v>
      </c>
      <c r="T281" s="213">
        <f>IF($F281="","",'הזנה לתנאי סף'!O281)</f>
        <v>0</v>
      </c>
      <c r="U281" s="213">
        <f>IF($F281="","",'תחום תמיכה א'!W281)</f>
        <v>0</v>
      </c>
      <c r="V281" s="213">
        <f>IF($F281="","",'תחום תמיכה א'!X281)</f>
        <v>0</v>
      </c>
      <c r="W281" s="213">
        <f>IF($F281="","",'תחום תמיכה א'!Y281)</f>
        <v>0</v>
      </c>
      <c r="X281" s="231" t="str">
        <f>IF($F281="","",'תחום תמיכה א'!Z281)</f>
        <v/>
      </c>
      <c r="Y281" s="213" t="str">
        <f>IF($F281="","",'תחום תמיכה א'!AA281)</f>
        <v/>
      </c>
      <c r="Z281" s="214" t="str">
        <f>IF($F281="","",'תחום תמיכה א'!AB281)</f>
        <v/>
      </c>
      <c r="AA281" s="225" t="str">
        <f>IF($F281="","",'תחום תמיכה א'!AC281)</f>
        <v/>
      </c>
      <c r="AB281" s="213" t="str">
        <f t="shared" si="42"/>
        <v/>
      </c>
      <c r="AC281" s="213">
        <f t="shared" si="43"/>
        <v>5232.4844926054711</v>
      </c>
      <c r="AD281" s="214">
        <f t="shared" si="44"/>
        <v>5.2439679048544225E-5</v>
      </c>
      <c r="AE281" s="213">
        <f t="shared" si="47"/>
        <v>5389.3808134982937</v>
      </c>
      <c r="AF281" s="214">
        <f t="shared" si="45"/>
        <v>5.2439679048544239E-5</v>
      </c>
    </row>
    <row r="282" spans="1:32" ht="15.75" x14ac:dyDescent="0.2">
      <c r="A282" s="206">
        <f t="shared" si="46"/>
        <v>252</v>
      </c>
      <c r="B282" s="88">
        <f>IF($F282="","",'הזנה לתנאי סף'!C282)</f>
        <v>1001348072</v>
      </c>
      <c r="C282" s="88">
        <f>IF($F282="","",'הזנה לתנאי סף'!D282)</f>
        <v>1001272584</v>
      </c>
      <c r="D282" s="88">
        <f>IF($F282="","",'הזנה לתנאי סף'!E282)</f>
        <v>40000564</v>
      </c>
      <c r="E282" s="88">
        <f>IF($F282="","",'הזנה לתנאי סף'!F282)</f>
        <v>20000201</v>
      </c>
      <c r="F282" s="88" t="str">
        <f>IF(OR('הזנה לתנאי סף'!G282="",'הזנה לתנאי סף'!BL282&lt;&gt;1,'הזנה לתנאי סף'!Q282&lt;&gt;1),"",'הזנה לתנאי סף'!G282)</f>
        <v>תל אביב -יפו</v>
      </c>
      <c r="G282" s="88" t="str">
        <f>IF($F282="","",'הזנה לתנאי סף'!H282)</f>
        <v>עמותת הכוריאוגרפים (ע"ר)</v>
      </c>
      <c r="H282" s="88" t="str">
        <f>IF($F282="","",'הזנה לתנאי סף'!I282)</f>
        <v>יוצרים עצמאיים במחול</v>
      </c>
      <c r="I282" s="213">
        <f>IF($F282="","",'תחום תמיכה א'!$I282)</f>
        <v>99474</v>
      </c>
      <c r="J282" s="213">
        <f>IF($F282="","",'תחום תמיכה א'!$J282)</f>
        <v>51494</v>
      </c>
      <c r="K282" s="213">
        <f>IF($F282="","",'תחום תמיכה א'!$K282)</f>
        <v>0</v>
      </c>
      <c r="L282" s="213">
        <f t="shared" si="38"/>
        <v>150968</v>
      </c>
      <c r="M282" s="214">
        <f t="shared" si="39"/>
        <v>0.65890784802077262</v>
      </c>
      <c r="N282" s="214">
        <f t="shared" si="48"/>
        <v>0.34109215197922738</v>
      </c>
      <c r="O282" s="213">
        <f t="shared" si="40"/>
        <v>17564.199274018334</v>
      </c>
      <c r="P282" s="213">
        <f>IF($F282="","",'פרמטרים לקריטריונים'!$C$59*O282)</f>
        <v>5269.2597822055004</v>
      </c>
      <c r="Q282" s="214">
        <f t="shared" si="41"/>
        <v>2.993619415214956E-5</v>
      </c>
      <c r="R282" s="213">
        <f t="shared" si="49"/>
        <v>2993.619415214956</v>
      </c>
      <c r="S282" s="213">
        <f>IF($F282="","",'הזנה לתנאי סף'!N282)</f>
        <v>0</v>
      </c>
      <c r="T282" s="213">
        <f>IF($F282="","",'הזנה לתנאי סף'!O282)</f>
        <v>1</v>
      </c>
      <c r="U282" s="213">
        <f>IF($F282="","",'תחום תמיכה א'!W282)</f>
        <v>0</v>
      </c>
      <c r="V282" s="213">
        <f>IF($F282="","",'תחום תמיכה א'!X282)</f>
        <v>0</v>
      </c>
      <c r="W282" s="213">
        <f>IF($F282="","",'תחום תמיכה א'!Y282)</f>
        <v>1</v>
      </c>
      <c r="X282" s="231">
        <f>IF($F282="","",'תחום תמיכה א'!Z282)</f>
        <v>0</v>
      </c>
      <c r="Y282" s="213" t="str">
        <f>IF($F282="","",'תחום תמיכה א'!AA282)</f>
        <v/>
      </c>
      <c r="Z282" s="214" t="str">
        <f>IF($F282="","",'תחום תמיכה א'!AB282)</f>
        <v/>
      </c>
      <c r="AA282" s="225" t="str">
        <f>IF($F282="","",'תחום תמיכה א'!AC282)</f>
        <v/>
      </c>
      <c r="AB282" s="213" t="str">
        <f t="shared" si="42"/>
        <v/>
      </c>
      <c r="AC282" s="213">
        <f t="shared" si="43"/>
        <v>2993.619415214956</v>
      </c>
      <c r="AD282" s="214">
        <f t="shared" si="44"/>
        <v>3.0001893278272074E-5</v>
      </c>
      <c r="AE282" s="213">
        <f t="shared" si="47"/>
        <v>3083.3832497880558</v>
      </c>
      <c r="AF282" s="214">
        <f t="shared" si="45"/>
        <v>3.0001893278272077E-5</v>
      </c>
    </row>
    <row r="283" spans="1:32" ht="15.75" x14ac:dyDescent="0.2">
      <c r="A283" s="206">
        <f t="shared" si="46"/>
        <v>253</v>
      </c>
      <c r="B283" s="88">
        <f>IF($F283="","",'הזנה לתנאי סף'!C283)</f>
        <v>1001348120</v>
      </c>
      <c r="C283" s="88">
        <f>IF($F283="","",'הזנה לתנאי סף'!D283)</f>
        <v>1001276731</v>
      </c>
      <c r="D283" s="88">
        <f>IF($F283="","",'הזנה לתנאי סף'!E283)</f>
        <v>40000564</v>
      </c>
      <c r="E283" s="88">
        <f>IF($F283="","",'הזנה לתנאי סף'!F283)</f>
        <v>20000201</v>
      </c>
      <c r="F283" s="88" t="str">
        <f>IF(OR('הזנה לתנאי סף'!G283="",'הזנה לתנאי סף'!BL283&lt;&gt;1,'הזנה לתנאי סף'!Q283&lt;&gt;1),"",'הזנה לתנאי סף'!G283)</f>
        <v>תל אביב -יפו</v>
      </c>
      <c r="G283" s="88" t="str">
        <f>IF($F283="","",'הזנה לתנאי סף'!H283)</f>
        <v>עמותת הכוריאוגרפים (ע"ר)</v>
      </c>
      <c r="H283" s="88" t="str">
        <f>IF($F283="","",'הזנה לתנאי סף'!I283)</f>
        <v>יוצרים עצמאיים במחול</v>
      </c>
      <c r="I283" s="213">
        <f>IF($F283="","",'תחום תמיכה א'!$I283)</f>
        <v>40000</v>
      </c>
      <c r="J283" s="213">
        <f>IF($F283="","",'תחום תמיכה א'!$J283)</f>
        <v>50373</v>
      </c>
      <c r="K283" s="213">
        <f>IF($F283="","",'תחום תמיכה א'!$K283)</f>
        <v>0</v>
      </c>
      <c r="L283" s="213">
        <f t="shared" si="38"/>
        <v>90373</v>
      </c>
      <c r="M283" s="214">
        <f t="shared" si="39"/>
        <v>0.44261007159217908</v>
      </c>
      <c r="N283" s="214">
        <f t="shared" si="48"/>
        <v>0.55738992840782098</v>
      </c>
      <c r="O283" s="213">
        <f t="shared" si="40"/>
        <v>28077.402863687166</v>
      </c>
      <c r="P283" s="213">
        <f>IF($F283="","",'פרמטרים לקריטריונים'!$C$59*O283)</f>
        <v>8423.2208591061499</v>
      </c>
      <c r="Q283" s="214">
        <f t="shared" si="41"/>
        <v>4.785476242340324E-5</v>
      </c>
      <c r="R283" s="213">
        <f t="shared" si="49"/>
        <v>4785.4762423403236</v>
      </c>
      <c r="S283" s="213">
        <f>IF($F283="","",'הזנה לתנאי סף'!N283)</f>
        <v>0</v>
      </c>
      <c r="T283" s="213">
        <f>IF($F283="","",'הזנה לתנאי סף'!O283)</f>
        <v>1</v>
      </c>
      <c r="U283" s="213">
        <f>IF($F283="","",'תחום תמיכה א'!W283)</f>
        <v>0</v>
      </c>
      <c r="V283" s="213">
        <f>IF($F283="","",'תחום תמיכה א'!X283)</f>
        <v>0</v>
      </c>
      <c r="W283" s="213">
        <f>IF($F283="","",'תחום תמיכה א'!Y283)</f>
        <v>1</v>
      </c>
      <c r="X283" s="231">
        <f>IF($F283="","",'תחום תמיכה א'!Z283)</f>
        <v>0</v>
      </c>
      <c r="Y283" s="213" t="str">
        <f>IF($F283="","",'תחום תמיכה א'!AA283)</f>
        <v/>
      </c>
      <c r="Z283" s="214" t="str">
        <f>IF($F283="","",'תחום תמיכה א'!AB283)</f>
        <v/>
      </c>
      <c r="AA283" s="225" t="str">
        <f>IF($F283="","",'תחום תמיכה א'!AC283)</f>
        <v/>
      </c>
      <c r="AB283" s="213" t="str">
        <f t="shared" si="42"/>
        <v/>
      </c>
      <c r="AC283" s="213">
        <f t="shared" si="43"/>
        <v>4785.4762423403236</v>
      </c>
      <c r="AD283" s="214">
        <f t="shared" si="44"/>
        <v>4.7959786330451632E-5</v>
      </c>
      <c r="AE283" s="213">
        <f t="shared" si="47"/>
        <v>4928.9689974940684</v>
      </c>
      <c r="AF283" s="214">
        <f t="shared" si="45"/>
        <v>4.7959786330451638E-5</v>
      </c>
    </row>
    <row r="284" spans="1:32" ht="15.75" x14ac:dyDescent="0.2">
      <c r="A284" s="206">
        <f t="shared" si="46"/>
        <v>254</v>
      </c>
      <c r="B284" s="88">
        <f>IF($F284="","",'הזנה לתנאי סף'!C284)</f>
        <v>1001348124</v>
      </c>
      <c r="C284" s="88">
        <f>IF($F284="","",'הזנה לתנאי סף'!D284)</f>
        <v>1001276699</v>
      </c>
      <c r="D284" s="88">
        <f>IF($F284="","",'הזנה לתנאי סף'!E284)</f>
        <v>40000564</v>
      </c>
      <c r="E284" s="88">
        <f>IF($F284="","",'הזנה לתנאי סף'!F284)</f>
        <v>20000201</v>
      </c>
      <c r="F284" s="88" t="str">
        <f>IF(OR('הזנה לתנאי סף'!G284="",'הזנה לתנאי סף'!BL284&lt;&gt;1,'הזנה לתנאי סף'!Q284&lt;&gt;1),"",'הזנה לתנאי סף'!G284)</f>
        <v>תל אביב -יפו</v>
      </c>
      <c r="G284" s="88" t="str">
        <f>IF($F284="","",'הזנה לתנאי סף'!H284)</f>
        <v>עמותת הכוריאוגרפים (ע"ר)</v>
      </c>
      <c r="H284" s="88" t="str">
        <f>IF($F284="","",'הזנה לתנאי סף'!I284)</f>
        <v>יוצרים עצמאיים במחול</v>
      </c>
      <c r="I284" s="213">
        <f>IF($F284="","",'תחום תמיכה א'!$I284)</f>
        <v>103635</v>
      </c>
      <c r="J284" s="213">
        <f>IF($F284="","",'תחום תמיכה א'!$J284)</f>
        <v>160412</v>
      </c>
      <c r="K284" s="213">
        <f>IF($F284="","",'תחום תמיכה א'!$K284)</f>
        <v>0</v>
      </c>
      <c r="L284" s="213">
        <f t="shared" si="38"/>
        <v>264047</v>
      </c>
      <c r="M284" s="214">
        <f t="shared" si="39"/>
        <v>0.39248694361231146</v>
      </c>
      <c r="N284" s="214">
        <f t="shared" si="48"/>
        <v>0.60751305638768849</v>
      </c>
      <c r="O284" s="213">
        <f t="shared" si="40"/>
        <v>97452.384401261879</v>
      </c>
      <c r="P284" s="213">
        <f>IF($F284="","",'פרמטרים לקריטריונים'!$C$59*O284)</f>
        <v>29235.715320378564</v>
      </c>
      <c r="Q284" s="214">
        <f t="shared" si="41"/>
        <v>1.6609658399523814E-4</v>
      </c>
      <c r="R284" s="213">
        <f t="shared" si="49"/>
        <v>16609.658399523814</v>
      </c>
      <c r="S284" s="213">
        <f>IF($F284="","",'הזנה לתנאי סף'!N284)</f>
        <v>0</v>
      </c>
      <c r="T284" s="213">
        <f>IF($F284="","",'הזנה לתנאי סף'!O284)</f>
        <v>1</v>
      </c>
      <c r="U284" s="213">
        <f>IF($F284="","",'תחום תמיכה א'!W284)</f>
        <v>0</v>
      </c>
      <c r="V284" s="213">
        <f>IF($F284="","",'תחום תמיכה א'!X284)</f>
        <v>0</v>
      </c>
      <c r="W284" s="213">
        <f>IF($F284="","",'תחום תמיכה א'!Y284)</f>
        <v>1</v>
      </c>
      <c r="X284" s="231">
        <f>IF($F284="","",'תחום תמיכה א'!Z284)</f>
        <v>0</v>
      </c>
      <c r="Y284" s="213" t="str">
        <f>IF($F284="","",'תחום תמיכה א'!AA284)</f>
        <v/>
      </c>
      <c r="Z284" s="214" t="str">
        <f>IF($F284="","",'תחום תמיכה א'!AB284)</f>
        <v/>
      </c>
      <c r="AA284" s="225" t="str">
        <f>IF($F284="","",'תחום תמיכה א'!AC284)</f>
        <v/>
      </c>
      <c r="AB284" s="213" t="str">
        <f t="shared" si="42"/>
        <v/>
      </c>
      <c r="AC284" s="213">
        <f t="shared" si="43"/>
        <v>16609.658399523814</v>
      </c>
      <c r="AD284" s="214">
        <f t="shared" si="44"/>
        <v>1.6646110596369411E-4</v>
      </c>
      <c r="AE284" s="213">
        <f t="shared" si="47"/>
        <v>17107.699874439724</v>
      </c>
      <c r="AF284" s="214">
        <f t="shared" si="45"/>
        <v>1.6646110596369416E-4</v>
      </c>
    </row>
    <row r="285" spans="1:32" ht="15.75" x14ac:dyDescent="0.2">
      <c r="A285" s="206">
        <f t="shared" si="46"/>
        <v>255</v>
      </c>
      <c r="B285" s="88">
        <f>IF($F285="","",'הזנה לתנאי סף'!C285)</f>
        <v>1001348125</v>
      </c>
      <c r="C285" s="88">
        <f>IF($F285="","",'הזנה לתנאי סף'!D285)</f>
        <v>1001276698</v>
      </c>
      <c r="D285" s="88">
        <f>IF($F285="","",'הזנה לתנאי סף'!E285)</f>
        <v>40000564</v>
      </c>
      <c r="E285" s="88">
        <f>IF($F285="","",'הזנה לתנאי סף'!F285)</f>
        <v>20000201</v>
      </c>
      <c r="F285" s="88" t="str">
        <f>IF(OR('הזנה לתנאי סף'!G285="",'הזנה לתנאי סף'!BL285&lt;&gt;1,'הזנה לתנאי סף'!Q285&lt;&gt;1),"",'הזנה לתנאי סף'!G285)</f>
        <v>תל אביב -יפו</v>
      </c>
      <c r="G285" s="88" t="str">
        <f>IF($F285="","",'הזנה לתנאי סף'!H285)</f>
        <v>עמותת הכוריאוגרפים (ע"ר)</v>
      </c>
      <c r="H285" s="88" t="str">
        <f>IF($F285="","",'הזנה לתנאי סף'!I285)</f>
        <v>יוצרים עצמאיים במחול</v>
      </c>
      <c r="I285" s="213">
        <f>IF($F285="","",'תחום תמיכה א'!$I285)</f>
        <v>25607</v>
      </c>
      <c r="J285" s="213">
        <f>IF($F285="","",'תחום תמיכה א'!$J285)</f>
        <v>42161</v>
      </c>
      <c r="K285" s="213">
        <f>IF($F285="","",'תחום תמיכה א'!$K285)</f>
        <v>0</v>
      </c>
      <c r="L285" s="213">
        <f t="shared" si="38"/>
        <v>67768</v>
      </c>
      <c r="M285" s="214">
        <f t="shared" si="39"/>
        <v>0.37786270806280248</v>
      </c>
      <c r="N285" s="214">
        <f t="shared" si="48"/>
        <v>0.62213729193719747</v>
      </c>
      <c r="O285" s="213">
        <f t="shared" si="40"/>
        <v>26229.930365364184</v>
      </c>
      <c r="P285" s="213">
        <f>IF($F285="","",'פרמטרים לקריטריונים'!$C$59*O285)</f>
        <v>7868.9791096092549</v>
      </c>
      <c r="Q285" s="214">
        <f t="shared" si="41"/>
        <v>4.4705954183544284E-5</v>
      </c>
      <c r="R285" s="213">
        <f t="shared" si="49"/>
        <v>4470.5954183544281</v>
      </c>
      <c r="S285" s="213">
        <f>IF($F285="","",'הזנה לתנאי סף'!N285)</f>
        <v>0</v>
      </c>
      <c r="T285" s="213">
        <f>IF($F285="","",'הזנה לתנאי סף'!O285)</f>
        <v>1</v>
      </c>
      <c r="U285" s="213">
        <f>IF($F285="","",'תחום תמיכה א'!W285)</f>
        <v>0</v>
      </c>
      <c r="V285" s="213">
        <f>IF($F285="","",'תחום תמיכה א'!X285)</f>
        <v>0</v>
      </c>
      <c r="W285" s="213">
        <f>IF($F285="","",'תחום תמיכה א'!Y285)</f>
        <v>1</v>
      </c>
      <c r="X285" s="231">
        <f>IF($F285="","",'תחום תמיכה א'!Z285)</f>
        <v>0</v>
      </c>
      <c r="Y285" s="213" t="str">
        <f>IF($F285="","",'תחום תמיכה א'!AA285)</f>
        <v/>
      </c>
      <c r="Z285" s="214" t="str">
        <f>IF($F285="","",'תחום תמיכה א'!AB285)</f>
        <v/>
      </c>
      <c r="AA285" s="225" t="str">
        <f>IF($F285="","",'תחום תמיכה א'!AC285)</f>
        <v/>
      </c>
      <c r="AB285" s="213" t="str">
        <f t="shared" si="42"/>
        <v/>
      </c>
      <c r="AC285" s="213">
        <f t="shared" si="43"/>
        <v>4470.5954183544281</v>
      </c>
      <c r="AD285" s="214">
        <f t="shared" si="44"/>
        <v>4.4804067594601276E-5</v>
      </c>
      <c r="AE285" s="213">
        <f t="shared" si="47"/>
        <v>4604.6464555493521</v>
      </c>
      <c r="AF285" s="214">
        <f t="shared" si="45"/>
        <v>4.4804067594601296E-5</v>
      </c>
    </row>
    <row r="286" spans="1:32" ht="15.75" x14ac:dyDescent="0.2">
      <c r="A286" s="206">
        <f t="shared" si="46"/>
        <v>256</v>
      </c>
      <c r="B286" s="88">
        <f>IF($F286="","",'הזנה לתנאי סף'!C286)</f>
        <v>1001348128</v>
      </c>
      <c r="C286" s="88">
        <f>IF($F286="","",'הזנה לתנאי סף'!D286)</f>
        <v>1001273596</v>
      </c>
      <c r="D286" s="88">
        <f>IF($F286="","",'הזנה לתנאי סף'!E286)</f>
        <v>40000564</v>
      </c>
      <c r="E286" s="88">
        <f>IF($F286="","",'הזנה לתנאי סף'!F286)</f>
        <v>20000201</v>
      </c>
      <c r="F286" s="88" t="str">
        <f>IF(OR('הזנה לתנאי סף'!G286="",'הזנה לתנאי סף'!BL286&lt;&gt;1,'הזנה לתנאי סף'!Q286&lt;&gt;1),"",'הזנה לתנאי סף'!G286)</f>
        <v>תל אביב -יפו</v>
      </c>
      <c r="G286" s="88" t="str">
        <f>IF($F286="","",'הזנה לתנאי סף'!H286)</f>
        <v>עמותת הכוריאוגרפים (ע"ר)</v>
      </c>
      <c r="H286" s="88" t="str">
        <f>IF($F286="","",'הזנה לתנאי סף'!I286)</f>
        <v>יוצרים עצמאיים במחול</v>
      </c>
      <c r="I286" s="213">
        <f>IF($F286="","",'תחום תמיכה א'!$I286)</f>
        <v>59160</v>
      </c>
      <c r="J286" s="213">
        <f>IF($F286="","",'תחום תמיכה א'!$J286)</f>
        <v>55052</v>
      </c>
      <c r="K286" s="213">
        <f>IF($F286="","",'תחום תמיכה א'!$K286)</f>
        <v>0</v>
      </c>
      <c r="L286" s="213">
        <f t="shared" si="38"/>
        <v>114212</v>
      </c>
      <c r="M286" s="214">
        <f t="shared" si="39"/>
        <v>0.51798409974433512</v>
      </c>
      <c r="N286" s="214">
        <f t="shared" si="48"/>
        <v>0.48201590025566488</v>
      </c>
      <c r="O286" s="213">
        <f t="shared" si="40"/>
        <v>26535.939340874862</v>
      </c>
      <c r="P286" s="213">
        <f>IF($F286="","",'פרמטרים לקריטריונים'!$C$59*O286)</f>
        <v>7960.7818022624579</v>
      </c>
      <c r="Q286" s="214">
        <f t="shared" si="41"/>
        <v>4.522751192496316E-5</v>
      </c>
      <c r="R286" s="213">
        <f t="shared" si="49"/>
        <v>4522.7511924963164</v>
      </c>
      <c r="S286" s="213">
        <f>IF($F286="","",'הזנה לתנאי סף'!N286)</f>
        <v>0</v>
      </c>
      <c r="T286" s="213">
        <f>IF($F286="","",'הזנה לתנאי סף'!O286)</f>
        <v>1</v>
      </c>
      <c r="U286" s="213">
        <f>IF($F286="","",'תחום תמיכה א'!W286)</f>
        <v>0</v>
      </c>
      <c r="V286" s="213">
        <f>IF($F286="","",'תחום תמיכה א'!X286)</f>
        <v>0</v>
      </c>
      <c r="W286" s="213">
        <f>IF($F286="","",'תחום תמיכה א'!Y286)</f>
        <v>1</v>
      </c>
      <c r="X286" s="231">
        <f>IF($F286="","",'תחום תמיכה א'!Z286)</f>
        <v>0</v>
      </c>
      <c r="Y286" s="213" t="str">
        <f>IF($F286="","",'תחום תמיכה א'!AA286)</f>
        <v/>
      </c>
      <c r="Z286" s="214" t="str">
        <f>IF($F286="","",'תחום תמיכה א'!AB286)</f>
        <v/>
      </c>
      <c r="AA286" s="225" t="str">
        <f>IF($F286="","",'תחום תמיכה א'!AC286)</f>
        <v/>
      </c>
      <c r="AB286" s="213" t="str">
        <f t="shared" si="42"/>
        <v/>
      </c>
      <c r="AC286" s="213">
        <f t="shared" si="43"/>
        <v>4522.7511924963164</v>
      </c>
      <c r="AD286" s="214">
        <f t="shared" si="44"/>
        <v>4.5326769966752431E-5</v>
      </c>
      <c r="AE286" s="213">
        <f t="shared" si="47"/>
        <v>4658.366123303872</v>
      </c>
      <c r="AF286" s="214">
        <f t="shared" si="45"/>
        <v>4.5326769966752445E-5</v>
      </c>
    </row>
    <row r="287" spans="1:32" ht="15.75" x14ac:dyDescent="0.2">
      <c r="A287" s="206">
        <f t="shared" si="46"/>
        <v>257</v>
      </c>
      <c r="B287" s="88">
        <f>IF($F287="","",'הזנה לתנאי סף'!C287)</f>
        <v>1001348129</v>
      </c>
      <c r="C287" s="88">
        <f>IF($F287="","",'הזנה לתנאי סף'!D287)</f>
        <v>1001276685</v>
      </c>
      <c r="D287" s="88">
        <f>IF($F287="","",'הזנה לתנאי סף'!E287)</f>
        <v>40000564</v>
      </c>
      <c r="E287" s="88">
        <f>IF($F287="","",'הזנה לתנאי סף'!F287)</f>
        <v>20000201</v>
      </c>
      <c r="F287" s="88" t="str">
        <f>IF(OR('הזנה לתנאי סף'!G287="",'הזנה לתנאי סף'!BL287&lt;&gt;1,'הזנה לתנאי סף'!Q287&lt;&gt;1),"",'הזנה לתנאי סף'!G287)</f>
        <v>תל אביב -יפו</v>
      </c>
      <c r="G287" s="88" t="str">
        <f>IF($F287="","",'הזנה לתנאי סף'!H287)</f>
        <v>עמותת הכוריאוגרפים (ע"ר)</v>
      </c>
      <c r="H287" s="88" t="str">
        <f>IF($F287="","",'הזנה לתנאי סף'!I287)</f>
        <v>יוצרים עצמאיים במחול</v>
      </c>
      <c r="I287" s="213">
        <f>IF($F287="","",'תחום תמיכה א'!$I287)</f>
        <v>50000</v>
      </c>
      <c r="J287" s="213">
        <f>IF($F287="","",'תחום תמיכה א'!$J287)</f>
        <v>100009</v>
      </c>
      <c r="K287" s="213">
        <f>IF($F287="","",'תחום תמיכה א'!$K287)</f>
        <v>15000</v>
      </c>
      <c r="L287" s="213">
        <f t="shared" ref="L287:L329" si="50">IF($F287="","",SUM(I287:K287))</f>
        <v>165009</v>
      </c>
      <c r="M287" s="214">
        <f t="shared" ref="M287:M329" si="51">IF($F287="","",IFERROR(I287/L287,$AH$2))</f>
        <v>0.30301377500621179</v>
      </c>
      <c r="N287" s="214">
        <f t="shared" si="48"/>
        <v>0.69698622499378815</v>
      </c>
      <c r="O287" s="213">
        <f t="shared" ref="O287:O329" si="52">IF($F287="","",IFERROR((N287*J287),""))</f>
        <v>69704.895375403765</v>
      </c>
      <c r="P287" s="213">
        <f>IF($F287="","",'פרמטרים לקריטריונים'!$C$59*O287)</f>
        <v>20911.468612621127</v>
      </c>
      <c r="Q287" s="214">
        <f t="shared" ref="Q287:Q329" si="53">IF($F287="","",IFERROR(P287/$P$501,""))</f>
        <v>1.188041224515192E-4</v>
      </c>
      <c r="R287" s="213">
        <f t="shared" si="49"/>
        <v>11880.41224515192</v>
      </c>
      <c r="S287" s="213">
        <f>IF($F287="","",'הזנה לתנאי סף'!N287)</f>
        <v>0</v>
      </c>
      <c r="T287" s="213">
        <f>IF($F287="","",'הזנה לתנאי סף'!O287)</f>
        <v>1</v>
      </c>
      <c r="U287" s="213">
        <f>IF($F287="","",'תחום תמיכה א'!W287)</f>
        <v>0</v>
      </c>
      <c r="V287" s="213">
        <f>IF($F287="","",'תחום תמיכה א'!X287)</f>
        <v>0</v>
      </c>
      <c r="W287" s="213">
        <f>IF($F287="","",'תחום תמיכה א'!Y287)</f>
        <v>1</v>
      </c>
      <c r="X287" s="231">
        <f>IF($F287="","",'תחום תמיכה א'!Z287)</f>
        <v>0</v>
      </c>
      <c r="Y287" s="213" t="str">
        <f>IF($F287="","",'תחום תמיכה א'!AA287)</f>
        <v/>
      </c>
      <c r="Z287" s="214" t="str">
        <f>IF($F287="","",'תחום תמיכה א'!AB287)</f>
        <v/>
      </c>
      <c r="AA287" s="225" t="str">
        <f>IF($F287="","",'תחום תמיכה א'!AC287)</f>
        <v/>
      </c>
      <c r="AB287" s="213" t="str">
        <f t="shared" ref="AB287:AB329" si="54">IF(OR($F287="",AA287=""),"",IF(COUNTBLANK(U287:V287)&gt;0,-R287,IF(-AA287*Y287&gt;R287,-R287,AA287*Y287)))</f>
        <v/>
      </c>
      <c r="AC287" s="213">
        <f t="shared" ref="AC287:AC329" si="55">IF($F287="","",IF(AB287&lt;&gt;"",R287+AB287,R287))</f>
        <v>11880.41224515192</v>
      </c>
      <c r="AD287" s="214">
        <f t="shared" ref="AD287:AD329" si="56">IF($F287="","",IFERROR(AC287/$AC$501,""))</f>
        <v>1.1906485456012146E-4</v>
      </c>
      <c r="AE287" s="213">
        <f t="shared" si="47"/>
        <v>12236.647027039675</v>
      </c>
      <c r="AF287" s="214">
        <f t="shared" ref="AF287:AF329" si="57">IF($F287="","",IFERROR(AE287/$AE$501,""))</f>
        <v>1.190648545601215E-4</v>
      </c>
    </row>
    <row r="288" spans="1:32" ht="15.75" x14ac:dyDescent="0.2">
      <c r="A288" s="206">
        <f t="shared" ref="A288:A329" si="58">IF(F288="","",ROW()-30)</f>
        <v>258</v>
      </c>
      <c r="B288" s="88">
        <f>IF($F288="","",'הזנה לתנאי סף'!C288)</f>
        <v>1001348132</v>
      </c>
      <c r="C288" s="88">
        <f>IF($F288="","",'הזנה לתנאי סף'!D288)</f>
        <v>1001276680</v>
      </c>
      <c r="D288" s="88">
        <f>IF($F288="","",'הזנה לתנאי סף'!E288)</f>
        <v>40000564</v>
      </c>
      <c r="E288" s="88">
        <f>IF($F288="","",'הזנה לתנאי סף'!F288)</f>
        <v>20000201</v>
      </c>
      <c r="F288" s="88" t="str">
        <f>IF(OR('הזנה לתנאי סף'!G288="",'הזנה לתנאי סף'!BL288&lt;&gt;1,'הזנה לתנאי סף'!Q288&lt;&gt;1),"",'הזנה לתנאי סף'!G288)</f>
        <v>תל אביב -יפו</v>
      </c>
      <c r="G288" s="88" t="str">
        <f>IF($F288="","",'הזנה לתנאי סף'!H288)</f>
        <v>עמותת הכוריאוגרפים (ע"ר)</v>
      </c>
      <c r="H288" s="88" t="str">
        <f>IF($F288="","",'הזנה לתנאי סף'!I288)</f>
        <v>יוצרים עצמאיים במחול</v>
      </c>
      <c r="I288" s="213">
        <f>IF($F288="","",'תחום תמיכה א'!$I288)</f>
        <v>89847</v>
      </c>
      <c r="J288" s="213">
        <f>IF($F288="","",'תחום תמיכה א'!$J288)</f>
        <v>137852</v>
      </c>
      <c r="K288" s="213">
        <f>IF($F288="","",'תחום תמיכה א'!$K288)</f>
        <v>0</v>
      </c>
      <c r="L288" s="213">
        <f t="shared" si="50"/>
        <v>227699</v>
      </c>
      <c r="M288" s="214">
        <f t="shared" si="51"/>
        <v>0.39458671316079563</v>
      </c>
      <c r="N288" s="214">
        <f t="shared" si="48"/>
        <v>0.60541328683920437</v>
      </c>
      <c r="O288" s="213">
        <f t="shared" si="52"/>
        <v>83457.432417357995</v>
      </c>
      <c r="P288" s="213">
        <f>IF($F288="","",'פרמטרים לקריטריונים'!$C$59*O288)</f>
        <v>25037.229725207399</v>
      </c>
      <c r="Q288" s="214">
        <f t="shared" si="53"/>
        <v>1.4224376877696097E-4</v>
      </c>
      <c r="R288" s="213">
        <f t="shared" si="49"/>
        <v>14224.376877696097</v>
      </c>
      <c r="S288" s="213">
        <f>IF($F288="","",'הזנה לתנאי סף'!N288)</f>
        <v>0</v>
      </c>
      <c r="T288" s="213">
        <f>IF($F288="","",'הזנה לתנאי סף'!O288)</f>
        <v>1</v>
      </c>
      <c r="U288" s="213">
        <f>IF($F288="","",'תחום תמיכה א'!W288)</f>
        <v>0</v>
      </c>
      <c r="V288" s="213">
        <f>IF($F288="","",'תחום תמיכה א'!X288)</f>
        <v>0</v>
      </c>
      <c r="W288" s="213">
        <f>IF($F288="","",'תחום תמיכה א'!Y288)</f>
        <v>1</v>
      </c>
      <c r="X288" s="231">
        <f>IF($F288="","",'תחום תמיכה א'!Z288)</f>
        <v>0</v>
      </c>
      <c r="Y288" s="213" t="str">
        <f>IF($F288="","",'תחום תמיכה א'!AA288)</f>
        <v/>
      </c>
      <c r="Z288" s="214" t="str">
        <f>IF($F288="","",'תחום תמיכה א'!AB288)</f>
        <v/>
      </c>
      <c r="AA288" s="225" t="str">
        <f>IF($F288="","",'תחום תמיכה א'!AC288)</f>
        <v/>
      </c>
      <c r="AB288" s="213" t="str">
        <f t="shared" si="54"/>
        <v/>
      </c>
      <c r="AC288" s="213">
        <f t="shared" si="55"/>
        <v>14224.376877696097</v>
      </c>
      <c r="AD288" s="214">
        <f t="shared" si="56"/>
        <v>1.4255594243729741E-4</v>
      </c>
      <c r="AE288" s="213">
        <f t="shared" ref="AE288:AE329" si="59">IFERROR(AD288*$F$5+AC288,"")</f>
        <v>14650.895561556001</v>
      </c>
      <c r="AF288" s="214">
        <f t="shared" si="57"/>
        <v>1.4255594243729744E-4</v>
      </c>
    </row>
    <row r="289" spans="1:32" ht="15.75" x14ac:dyDescent="0.2">
      <c r="A289" s="206">
        <f t="shared" si="58"/>
        <v>259</v>
      </c>
      <c r="B289" s="88">
        <f>IF($F289="","",'הזנה לתנאי סף'!C289)</f>
        <v>1001348134</v>
      </c>
      <c r="C289" s="88">
        <f>IF($F289="","",'הזנה לתנאי סף'!D289)</f>
        <v>1001276630</v>
      </c>
      <c r="D289" s="88">
        <f>IF($F289="","",'הזנה לתנאי סף'!E289)</f>
        <v>40000564</v>
      </c>
      <c r="E289" s="88">
        <f>IF($F289="","",'הזנה לתנאי סף'!F289)</f>
        <v>20000201</v>
      </c>
      <c r="F289" s="88" t="str">
        <f>IF(OR('הזנה לתנאי סף'!G289="",'הזנה לתנאי סף'!BL289&lt;&gt;1,'הזנה לתנאי סף'!Q289&lt;&gt;1),"",'הזנה לתנאי סף'!G289)</f>
        <v>תל אביב -יפו</v>
      </c>
      <c r="G289" s="88" t="str">
        <f>IF($F289="","",'הזנה לתנאי סף'!H289)</f>
        <v>עמותת הכוריאוגרפים (ע"ר)</v>
      </c>
      <c r="H289" s="88" t="str">
        <f>IF($F289="","",'הזנה לתנאי סף'!I289)</f>
        <v>יוצרים עצמאיים במחול</v>
      </c>
      <c r="I289" s="213">
        <f>IF($F289="","",'תחום תמיכה א'!$I289)</f>
        <v>0</v>
      </c>
      <c r="J289" s="213">
        <f>IF($F289="","",'תחום תמיכה א'!$J289)</f>
        <v>167379</v>
      </c>
      <c r="K289" s="213">
        <f>IF($F289="","",'תחום תמיכה א'!$K289)</f>
        <v>0</v>
      </c>
      <c r="L289" s="213">
        <f t="shared" si="50"/>
        <v>167379</v>
      </c>
      <c r="M289" s="214">
        <f t="shared" si="51"/>
        <v>0</v>
      </c>
      <c r="N289" s="214">
        <f t="shared" si="48"/>
        <v>1</v>
      </c>
      <c r="O289" s="213">
        <f t="shared" si="52"/>
        <v>167379</v>
      </c>
      <c r="P289" s="213">
        <f>IF($F289="","",'פרמטרים לקריטריונים'!$C$59*O289)</f>
        <v>50213.7</v>
      </c>
      <c r="Q289" s="214">
        <f t="shared" si="53"/>
        <v>2.8527860352875033E-4</v>
      </c>
      <c r="R289" s="213">
        <f t="shared" si="49"/>
        <v>28527.860352875032</v>
      </c>
      <c r="S289" s="213">
        <f>IF($F289="","",'הזנה לתנאי סף'!N289)</f>
        <v>0</v>
      </c>
      <c r="T289" s="213">
        <f>IF($F289="","",'הזנה לתנאי סף'!O289)</f>
        <v>1</v>
      </c>
      <c r="U289" s="213">
        <f>IF($F289="","",'תחום תמיכה א'!W289)</f>
        <v>0</v>
      </c>
      <c r="V289" s="213">
        <f>IF($F289="","",'תחום תמיכה א'!X289)</f>
        <v>0</v>
      </c>
      <c r="W289" s="213">
        <f>IF($F289="","",'תחום תמיכה א'!Y289)</f>
        <v>1</v>
      </c>
      <c r="X289" s="231">
        <f>IF($F289="","",'תחום תמיכה א'!Z289)</f>
        <v>0</v>
      </c>
      <c r="Y289" s="213" t="str">
        <f>IF($F289="","",'תחום תמיכה א'!AA289)</f>
        <v/>
      </c>
      <c r="Z289" s="214" t="str">
        <f>IF($F289="","",'תחום תמיכה א'!AB289)</f>
        <v/>
      </c>
      <c r="AA289" s="225" t="str">
        <f>IF($F289="","",'תחום תמיכה א'!AC289)</f>
        <v/>
      </c>
      <c r="AB289" s="213" t="str">
        <f t="shared" si="54"/>
        <v/>
      </c>
      <c r="AC289" s="213">
        <f t="shared" si="55"/>
        <v>28527.860352875032</v>
      </c>
      <c r="AD289" s="214">
        <f t="shared" si="56"/>
        <v>2.859046869533176E-4</v>
      </c>
      <c r="AE289" s="213">
        <f t="shared" si="59"/>
        <v>29383.269736053451</v>
      </c>
      <c r="AF289" s="214">
        <f t="shared" si="57"/>
        <v>2.8590468695331765E-4</v>
      </c>
    </row>
    <row r="290" spans="1:32" ht="15.75" x14ac:dyDescent="0.2">
      <c r="A290" s="206">
        <f t="shared" si="58"/>
        <v>260</v>
      </c>
      <c r="B290" s="88">
        <f>IF($F290="","",'הזנה לתנאי סף'!C290)</f>
        <v>1001348135</v>
      </c>
      <c r="C290" s="88">
        <f>IF($F290="","",'הזנה לתנאי סף'!D290)</f>
        <v>1001275688</v>
      </c>
      <c r="D290" s="88">
        <f>IF($F290="","",'הזנה לתנאי סף'!E290)</f>
        <v>40000564</v>
      </c>
      <c r="E290" s="88">
        <f>IF($F290="","",'הזנה לתנאי סף'!F290)</f>
        <v>20000201</v>
      </c>
      <c r="F290" s="88" t="str">
        <f>IF(OR('הזנה לתנאי סף'!G290="",'הזנה לתנאי סף'!BL290&lt;&gt;1,'הזנה לתנאי סף'!Q290&lt;&gt;1),"",'הזנה לתנאי סף'!G290)</f>
        <v>תל אביב -יפו</v>
      </c>
      <c r="G290" s="88" t="str">
        <f>IF($F290="","",'הזנה לתנאי סף'!H290)</f>
        <v>עמותת הכוריאוגרפים (ע"ר)</v>
      </c>
      <c r="H290" s="88" t="str">
        <f>IF($F290="","",'הזנה לתנאי סף'!I290)</f>
        <v>יוצרים עצמאיים במחול</v>
      </c>
      <c r="I290" s="213">
        <f>IF($F290="","",'תחום תמיכה א'!$I290)</f>
        <v>146750</v>
      </c>
      <c r="J290" s="213">
        <f>IF($F290="","",'תחום תמיכה א'!$J290)</f>
        <v>84485</v>
      </c>
      <c r="K290" s="213">
        <f>IF($F290="","",'תחום תמיכה א'!$K290)</f>
        <v>0</v>
      </c>
      <c r="L290" s="213">
        <f t="shared" si="50"/>
        <v>231235</v>
      </c>
      <c r="M290" s="214">
        <f t="shared" si="51"/>
        <v>0.63463576015741563</v>
      </c>
      <c r="N290" s="214">
        <f t="shared" ref="N290:N329" si="60">IF($F290="","",IFERROR((1-M290),""))</f>
        <v>0.36536423984258437</v>
      </c>
      <c r="O290" s="213">
        <f t="shared" si="52"/>
        <v>30867.797803100741</v>
      </c>
      <c r="P290" s="213">
        <f>IF($F290="","",'פרמטרים לקריטריונים'!$C$59*O290)</f>
        <v>9260.3393409302225</v>
      </c>
      <c r="Q290" s="214">
        <f t="shared" si="53"/>
        <v>5.2610675480654131E-5</v>
      </c>
      <c r="R290" s="213">
        <f t="shared" ref="R290:R329" si="61">IF($F290="","",IFERROR(Q290*$F$4,""))</f>
        <v>5261.0675480654127</v>
      </c>
      <c r="S290" s="213">
        <f>IF($F290="","",'הזנה לתנאי סף'!N290)</f>
        <v>0</v>
      </c>
      <c r="T290" s="213">
        <f>IF($F290="","",'הזנה לתנאי סף'!O290)</f>
        <v>1</v>
      </c>
      <c r="U290" s="213">
        <f>IF($F290="","",'תחום תמיכה א'!W290)</f>
        <v>0</v>
      </c>
      <c r="V290" s="213">
        <f>IF($F290="","",'תחום תמיכה א'!X290)</f>
        <v>0</v>
      </c>
      <c r="W290" s="213">
        <f>IF($F290="","",'תחום תמיכה א'!Y290)</f>
        <v>1</v>
      </c>
      <c r="X290" s="231">
        <f>IF($F290="","",'תחום תמיכה א'!Z290)</f>
        <v>0</v>
      </c>
      <c r="Y290" s="213" t="str">
        <f>IF($F290="","",'תחום תמיכה א'!AA290)</f>
        <v/>
      </c>
      <c r="Z290" s="214" t="str">
        <f>IF($F290="","",'תחום תמיכה א'!AB290)</f>
        <v/>
      </c>
      <c r="AA290" s="225" t="str">
        <f>IF($F290="","",'תחום תמיכה א'!AC290)</f>
        <v/>
      </c>
      <c r="AB290" s="213" t="str">
        <f t="shared" si="54"/>
        <v/>
      </c>
      <c r="AC290" s="213">
        <f t="shared" si="55"/>
        <v>5261.0675480654127</v>
      </c>
      <c r="AD290" s="214">
        <f t="shared" si="56"/>
        <v>5.2726136897901309E-5</v>
      </c>
      <c r="AE290" s="213">
        <f t="shared" si="59"/>
        <v>5418.8209333695822</v>
      </c>
      <c r="AF290" s="214">
        <f t="shared" si="57"/>
        <v>5.2726136897901323E-5</v>
      </c>
    </row>
    <row r="291" spans="1:32" ht="15.75" x14ac:dyDescent="0.2">
      <c r="A291" s="206">
        <f t="shared" si="58"/>
        <v>261</v>
      </c>
      <c r="B291" s="88">
        <f>IF($F291="","",'הזנה לתנאי סף'!C291)</f>
        <v>1001348136</v>
      </c>
      <c r="C291" s="88">
        <f>IF($F291="","",'הזנה לתנאי סף'!D291)</f>
        <v>1001275686</v>
      </c>
      <c r="D291" s="88">
        <f>IF($F291="","",'הזנה לתנאי סף'!E291)</f>
        <v>40000564</v>
      </c>
      <c r="E291" s="88">
        <f>IF($F291="","",'הזנה לתנאי סף'!F291)</f>
        <v>20000201</v>
      </c>
      <c r="F291" s="88" t="str">
        <f>IF(OR('הזנה לתנאי סף'!G291="",'הזנה לתנאי סף'!BL291&lt;&gt;1,'הזנה לתנאי סף'!Q291&lt;&gt;1),"",'הזנה לתנאי סף'!G291)</f>
        <v>תל אביב -יפו</v>
      </c>
      <c r="G291" s="88" t="str">
        <f>IF($F291="","",'הזנה לתנאי סף'!H291)</f>
        <v>עמותת הכוריאוגרפים (ע"ר)</v>
      </c>
      <c r="H291" s="88" t="str">
        <f>IF($F291="","",'הזנה לתנאי סף'!I291)</f>
        <v>יוצרים עצמאיים במחול</v>
      </c>
      <c r="I291" s="213">
        <f>IF($F291="","",'תחום תמיכה א'!$I291)</f>
        <v>31975</v>
      </c>
      <c r="J291" s="213">
        <f>IF($F291="","",'תחום תמיכה א'!$J291)</f>
        <v>44459</v>
      </c>
      <c r="K291" s="213">
        <f>IF($F291="","",'תחום תמיכה א'!$K291)</f>
        <v>0</v>
      </c>
      <c r="L291" s="213">
        <f t="shared" si="50"/>
        <v>76434</v>
      </c>
      <c r="M291" s="214">
        <f t="shared" si="51"/>
        <v>0.41833477248344975</v>
      </c>
      <c r="N291" s="214">
        <f t="shared" si="60"/>
        <v>0.58166522751655025</v>
      </c>
      <c r="O291" s="213">
        <f t="shared" si="52"/>
        <v>25860.25435015831</v>
      </c>
      <c r="P291" s="213">
        <f>IF($F291="","",'פרמטרים לקריטריונים'!$C$59*O291)</f>
        <v>7758.0763050474925</v>
      </c>
      <c r="Q291" s="214">
        <f t="shared" si="53"/>
        <v>4.4075883162830784E-5</v>
      </c>
      <c r="R291" s="213">
        <f t="shared" si="61"/>
        <v>4407.5883162830787</v>
      </c>
      <c r="S291" s="213">
        <f>IF($F291="","",'הזנה לתנאי סף'!N291)</f>
        <v>0</v>
      </c>
      <c r="T291" s="213">
        <f>IF($F291="","",'הזנה לתנאי סף'!O291)</f>
        <v>1</v>
      </c>
      <c r="U291" s="213">
        <f>IF($F291="","",'תחום תמיכה א'!W291)</f>
        <v>0</v>
      </c>
      <c r="V291" s="213">
        <f>IF($F291="","",'תחום תמיכה א'!X291)</f>
        <v>0</v>
      </c>
      <c r="W291" s="213">
        <f>IF($F291="","",'תחום תמיכה א'!Y291)</f>
        <v>1</v>
      </c>
      <c r="X291" s="231">
        <f>IF($F291="","",'תחום תמיכה א'!Z291)</f>
        <v>0</v>
      </c>
      <c r="Y291" s="213" t="str">
        <f>IF($F291="","",'תחום תמיכה א'!AA291)</f>
        <v/>
      </c>
      <c r="Z291" s="214" t="str">
        <f>IF($F291="","",'תחום תמיכה א'!AB291)</f>
        <v/>
      </c>
      <c r="AA291" s="225" t="str">
        <f>IF($F291="","",'תחום תמיכה א'!AC291)</f>
        <v/>
      </c>
      <c r="AB291" s="213" t="str">
        <f t="shared" si="54"/>
        <v/>
      </c>
      <c r="AC291" s="213">
        <f t="shared" si="55"/>
        <v>4407.5883162830787</v>
      </c>
      <c r="AD291" s="214">
        <f t="shared" si="56"/>
        <v>4.4172613795728155E-5</v>
      </c>
      <c r="AE291" s="213">
        <f t="shared" si="59"/>
        <v>4539.7500822304555</v>
      </c>
      <c r="AF291" s="214">
        <f t="shared" si="57"/>
        <v>4.4172613795728169E-5</v>
      </c>
    </row>
    <row r="292" spans="1:32" ht="15.75" x14ac:dyDescent="0.2">
      <c r="A292" s="206">
        <f t="shared" si="58"/>
        <v>262</v>
      </c>
      <c r="B292" s="88">
        <f>IF($F292="","",'הזנה לתנאי סף'!C292)</f>
        <v>1001348137</v>
      </c>
      <c r="C292" s="88">
        <f>IF($F292="","",'הזנה לתנאי סף'!D292)</f>
        <v>1001275685</v>
      </c>
      <c r="D292" s="88">
        <f>IF($F292="","",'הזנה לתנאי סף'!E292)</f>
        <v>40000564</v>
      </c>
      <c r="E292" s="88">
        <f>IF($F292="","",'הזנה לתנאי סף'!F292)</f>
        <v>20000201</v>
      </c>
      <c r="F292" s="88" t="str">
        <f>IF(OR('הזנה לתנאי סף'!G292="",'הזנה לתנאי סף'!BL292&lt;&gt;1,'הזנה לתנאי סף'!Q292&lt;&gt;1),"",'הזנה לתנאי סף'!G292)</f>
        <v>תל אביב -יפו</v>
      </c>
      <c r="G292" s="88" t="str">
        <f>IF($F292="","",'הזנה לתנאי סף'!H292)</f>
        <v>עמותת הכוריאוגרפים (ע"ר)</v>
      </c>
      <c r="H292" s="88" t="str">
        <f>IF($F292="","",'הזנה לתנאי סף'!I292)</f>
        <v>יוצרים עצמאיים במחול</v>
      </c>
      <c r="I292" s="213">
        <f>IF($F292="","",'תחום תמיכה א'!$I292)</f>
        <v>117672</v>
      </c>
      <c r="J292" s="213">
        <f>IF($F292="","",'תחום תמיכה א'!$J292)</f>
        <v>132987</v>
      </c>
      <c r="K292" s="213">
        <f>IF($F292="","",'תחום תמיכה א'!$K292)</f>
        <v>0</v>
      </c>
      <c r="L292" s="213">
        <f t="shared" si="50"/>
        <v>250659</v>
      </c>
      <c r="M292" s="214">
        <f t="shared" si="51"/>
        <v>0.46945052840711882</v>
      </c>
      <c r="N292" s="214">
        <f t="shared" si="60"/>
        <v>0.53054947159288113</v>
      </c>
      <c r="O292" s="213">
        <f t="shared" si="52"/>
        <v>70556.182578722481</v>
      </c>
      <c r="P292" s="213">
        <f>IF($F292="","",'פרמטרים לקריטריונים'!$C$59*O292)</f>
        <v>21166.854773616742</v>
      </c>
      <c r="Q292" s="214">
        <f t="shared" si="53"/>
        <v>1.2025504535442016E-4</v>
      </c>
      <c r="R292" s="213">
        <f t="shared" si="61"/>
        <v>12025.504535442016</v>
      </c>
      <c r="S292" s="213">
        <f>IF($F292="","",'הזנה לתנאי סף'!N292)</f>
        <v>0</v>
      </c>
      <c r="T292" s="213">
        <f>IF($F292="","",'הזנה לתנאי סף'!O292)</f>
        <v>1</v>
      </c>
      <c r="U292" s="213">
        <f>IF($F292="","",'תחום תמיכה א'!W292)</f>
        <v>0</v>
      </c>
      <c r="V292" s="213">
        <f>IF($F292="","",'תחום תמיכה א'!X292)</f>
        <v>0</v>
      </c>
      <c r="W292" s="213">
        <f>IF($F292="","",'תחום תמיכה א'!Y292)</f>
        <v>1</v>
      </c>
      <c r="X292" s="231">
        <f>IF($F292="","",'תחום תמיכה א'!Z292)</f>
        <v>0</v>
      </c>
      <c r="Y292" s="213" t="str">
        <f>IF($F292="","",'תחום תמיכה א'!AA292)</f>
        <v/>
      </c>
      <c r="Z292" s="214" t="str">
        <f>IF($F292="","",'תחום תמיכה א'!AB292)</f>
        <v/>
      </c>
      <c r="AA292" s="225" t="str">
        <f>IF($F292="","",'תחום תמיכה א'!AC292)</f>
        <v/>
      </c>
      <c r="AB292" s="213" t="str">
        <f t="shared" si="54"/>
        <v/>
      </c>
      <c r="AC292" s="213">
        <f t="shared" si="55"/>
        <v>12025.504535442016</v>
      </c>
      <c r="AD292" s="214">
        <f t="shared" si="56"/>
        <v>1.2051896171437741E-4</v>
      </c>
      <c r="AE292" s="213">
        <f t="shared" si="59"/>
        <v>12386.089917234769</v>
      </c>
      <c r="AF292" s="214">
        <f t="shared" si="57"/>
        <v>1.2051896171437743E-4</v>
      </c>
    </row>
    <row r="293" spans="1:32" ht="15.75" x14ac:dyDescent="0.2">
      <c r="A293" s="206">
        <f t="shared" si="58"/>
        <v>263</v>
      </c>
      <c r="B293" s="88">
        <f>IF($F293="","",'הזנה לתנאי סף'!C293)</f>
        <v>1001348138</v>
      </c>
      <c r="C293" s="88">
        <f>IF($F293="","",'הזנה לתנאי סף'!D293)</f>
        <v>1001275682</v>
      </c>
      <c r="D293" s="88">
        <f>IF($F293="","",'הזנה לתנאי סף'!E293)</f>
        <v>40000564</v>
      </c>
      <c r="E293" s="88">
        <f>IF($F293="","",'הזנה לתנאי סף'!F293)</f>
        <v>20000201</v>
      </c>
      <c r="F293" s="88" t="str">
        <f>IF(OR('הזנה לתנאי סף'!G293="",'הזנה לתנאי סף'!BL293&lt;&gt;1,'הזנה לתנאי סף'!Q293&lt;&gt;1),"",'הזנה לתנאי סף'!G293)</f>
        <v>תל אביב -יפו</v>
      </c>
      <c r="G293" s="88" t="str">
        <f>IF($F293="","",'הזנה לתנאי סף'!H293)</f>
        <v>עמותת הכוריאוגרפים (ע"ר)</v>
      </c>
      <c r="H293" s="88" t="str">
        <f>IF($F293="","",'הזנה לתנאי סף'!I293)</f>
        <v>יוצרים עצמאיים במחול</v>
      </c>
      <c r="I293" s="213">
        <f>IF($F293="","",'תחום תמיכה א'!$I293)</f>
        <v>88415</v>
      </c>
      <c r="J293" s="213">
        <f>IF($F293="","",'תחום תמיכה א'!$J293)</f>
        <v>163492</v>
      </c>
      <c r="K293" s="213">
        <f>IF($F293="","",'תחום תמיכה א'!$K293)</f>
        <v>0</v>
      </c>
      <c r="L293" s="213">
        <f t="shared" si="50"/>
        <v>251907</v>
      </c>
      <c r="M293" s="214">
        <f t="shared" si="51"/>
        <v>0.35098270393438846</v>
      </c>
      <c r="N293" s="214">
        <f t="shared" si="60"/>
        <v>0.64901729606561154</v>
      </c>
      <c r="O293" s="213">
        <f t="shared" si="52"/>
        <v>106109.13576835896</v>
      </c>
      <c r="P293" s="213">
        <f>IF($F293="","",'פרמטרים לקריטריונים'!$C$59*O293)</f>
        <v>31832.740730507685</v>
      </c>
      <c r="Q293" s="214">
        <f t="shared" si="53"/>
        <v>1.808510391007236E-4</v>
      </c>
      <c r="R293" s="213">
        <f t="shared" si="61"/>
        <v>18085.103910072361</v>
      </c>
      <c r="S293" s="213">
        <f>IF($F293="","",'הזנה לתנאי סף'!N293)</f>
        <v>0</v>
      </c>
      <c r="T293" s="213">
        <f>IF($F293="","",'הזנה לתנאי סף'!O293)</f>
        <v>1</v>
      </c>
      <c r="U293" s="213">
        <f>IF($F293="","",'תחום תמיכה א'!W293)</f>
        <v>0</v>
      </c>
      <c r="V293" s="213">
        <f>IF($F293="","",'תחום תמיכה א'!X293)</f>
        <v>0</v>
      </c>
      <c r="W293" s="213">
        <f>IF($F293="","",'תחום תמיכה א'!Y293)</f>
        <v>1</v>
      </c>
      <c r="X293" s="231">
        <f>IF($F293="","",'תחום תמיכה א'!Z293)</f>
        <v>0</v>
      </c>
      <c r="Y293" s="213" t="str">
        <f>IF($F293="","",'תחום תמיכה א'!AA293)</f>
        <v/>
      </c>
      <c r="Z293" s="214" t="str">
        <f>IF($F293="","",'תחום תמיכה א'!AB293)</f>
        <v/>
      </c>
      <c r="AA293" s="225" t="str">
        <f>IF($F293="","",'תחום תמיכה א'!AC293)</f>
        <v/>
      </c>
      <c r="AB293" s="213" t="str">
        <f t="shared" si="54"/>
        <v/>
      </c>
      <c r="AC293" s="213">
        <f t="shared" si="55"/>
        <v>18085.103910072361</v>
      </c>
      <c r="AD293" s="214">
        <f t="shared" si="56"/>
        <v>1.8124794176533346E-4</v>
      </c>
      <c r="AE293" s="213">
        <f t="shared" si="59"/>
        <v>18627.386695709789</v>
      </c>
      <c r="AF293" s="214">
        <f t="shared" si="57"/>
        <v>1.8124794176533349E-4</v>
      </c>
    </row>
    <row r="294" spans="1:32" ht="15.75" x14ac:dyDescent="0.2">
      <c r="A294" s="206">
        <f t="shared" si="58"/>
        <v>264</v>
      </c>
      <c r="B294" s="88">
        <f>IF($F294="","",'הזנה לתנאי סף'!C294)</f>
        <v>1001348139</v>
      </c>
      <c r="C294" s="88">
        <f>IF($F294="","",'הזנה לתנאי סף'!D294)</f>
        <v>1001275678</v>
      </c>
      <c r="D294" s="88">
        <f>IF($F294="","",'הזנה לתנאי סף'!E294)</f>
        <v>40000564</v>
      </c>
      <c r="E294" s="88">
        <f>IF($F294="","",'הזנה לתנאי סף'!F294)</f>
        <v>20000201</v>
      </c>
      <c r="F294" s="88" t="str">
        <f>IF(OR('הזנה לתנאי סף'!G294="",'הזנה לתנאי סף'!BL294&lt;&gt;1,'הזנה לתנאי סף'!Q294&lt;&gt;1),"",'הזנה לתנאי סף'!G294)</f>
        <v>תל אביב -יפו</v>
      </c>
      <c r="G294" s="88" t="str">
        <f>IF($F294="","",'הזנה לתנאי סף'!H294)</f>
        <v>עמותת הכוריאוגרפים (ע"ר)</v>
      </c>
      <c r="H294" s="88" t="str">
        <f>IF($F294="","",'הזנה לתנאי סף'!I294)</f>
        <v>יוצרים עצמאיים במחול</v>
      </c>
      <c r="I294" s="213">
        <f>IF($F294="","",'תחום תמיכה א'!$I294)</f>
        <v>223133</v>
      </c>
      <c r="J294" s="213">
        <f>IF($F294="","",'תחום תמיכה א'!$J294)</f>
        <v>142319</v>
      </c>
      <c r="K294" s="213">
        <f>IF($F294="","",'תחום תמיכה א'!$K294)</f>
        <v>0</v>
      </c>
      <c r="L294" s="213">
        <f t="shared" si="50"/>
        <v>365452</v>
      </c>
      <c r="M294" s="214">
        <f t="shared" si="51"/>
        <v>0.61056718803016541</v>
      </c>
      <c r="N294" s="214">
        <f t="shared" si="60"/>
        <v>0.38943281196983459</v>
      </c>
      <c r="O294" s="213">
        <f t="shared" si="52"/>
        <v>55423.688366734888</v>
      </c>
      <c r="P294" s="213">
        <f>IF($F294="","",'פרמטרים לקריטריונים'!$C$59*O294)</f>
        <v>16627.106510020465</v>
      </c>
      <c r="Q294" s="214">
        <f t="shared" si="53"/>
        <v>9.4463417870071966E-5</v>
      </c>
      <c r="R294" s="213">
        <f t="shared" si="61"/>
        <v>9446.3417870071971</v>
      </c>
      <c r="S294" s="213">
        <f>IF($F294="","",'הזנה לתנאי סף'!N294)</f>
        <v>0</v>
      </c>
      <c r="T294" s="213">
        <f>IF($F294="","",'הזנה לתנאי סף'!O294)</f>
        <v>1</v>
      </c>
      <c r="U294" s="213">
        <f>IF($F294="","",'תחום תמיכה א'!W294)</f>
        <v>0</v>
      </c>
      <c r="V294" s="213">
        <f>IF($F294="","",'תחום תמיכה א'!X294)</f>
        <v>0</v>
      </c>
      <c r="W294" s="213">
        <f>IF($F294="","",'תחום תמיכה א'!Y294)</f>
        <v>1</v>
      </c>
      <c r="X294" s="231">
        <f>IF($F294="","",'תחום תמיכה א'!Z294)</f>
        <v>0</v>
      </c>
      <c r="Y294" s="213" t="str">
        <f>IF($F294="","",'תחום תמיכה א'!AA294)</f>
        <v/>
      </c>
      <c r="Z294" s="214" t="str">
        <f>IF($F294="","",'תחום תמיכה א'!AB294)</f>
        <v/>
      </c>
      <c r="AA294" s="225" t="str">
        <f>IF($F294="","",'תחום תמיכה א'!AC294)</f>
        <v/>
      </c>
      <c r="AB294" s="213" t="str">
        <f t="shared" si="54"/>
        <v/>
      </c>
      <c r="AC294" s="213">
        <f t="shared" si="55"/>
        <v>9446.3417870071971</v>
      </c>
      <c r="AD294" s="214">
        <f t="shared" si="56"/>
        <v>9.4670730929743719E-5</v>
      </c>
      <c r="AE294" s="213">
        <f t="shared" si="59"/>
        <v>9729.590839034403</v>
      </c>
      <c r="AF294" s="214">
        <f t="shared" si="57"/>
        <v>9.4670730929743733E-5</v>
      </c>
    </row>
    <row r="295" spans="1:32" ht="15.75" x14ac:dyDescent="0.2">
      <c r="A295" s="206">
        <f t="shared" si="58"/>
        <v>265</v>
      </c>
      <c r="B295" s="88">
        <f>IF($F295="","",'הזנה לתנאי סף'!C295)</f>
        <v>1001348145</v>
      </c>
      <c r="C295" s="88">
        <f>IF($F295="","",'הזנה לתנאי סף'!D295)</f>
        <v>1001275675</v>
      </c>
      <c r="D295" s="88">
        <f>IF($F295="","",'הזנה לתנאי סף'!E295)</f>
        <v>40000564</v>
      </c>
      <c r="E295" s="88">
        <f>IF($F295="","",'הזנה לתנאי סף'!F295)</f>
        <v>20000201</v>
      </c>
      <c r="F295" s="88" t="str">
        <f>IF(OR('הזנה לתנאי סף'!G295="",'הזנה לתנאי סף'!BL295&lt;&gt;1,'הזנה לתנאי סף'!Q295&lt;&gt;1),"",'הזנה לתנאי סף'!G295)</f>
        <v>תל אביב -יפו</v>
      </c>
      <c r="G295" s="88" t="str">
        <f>IF($F295="","",'הזנה לתנאי סף'!H295)</f>
        <v>עמותת הכוריאוגרפים (ע"ר)</v>
      </c>
      <c r="H295" s="88" t="str">
        <f>IF($F295="","",'הזנה לתנאי סף'!I295)</f>
        <v>יוצרים עצמאיים במחול</v>
      </c>
      <c r="I295" s="213">
        <f>IF($F295="","",'תחום תמיכה א'!$I295)</f>
        <v>117535</v>
      </c>
      <c r="J295" s="213">
        <f>IF($F295="","",'תחום תמיכה א'!$J295)</f>
        <v>176239</v>
      </c>
      <c r="K295" s="213">
        <f>IF($F295="","",'תחום תמיכה א'!$K295)</f>
        <v>0</v>
      </c>
      <c r="L295" s="213">
        <f t="shared" si="50"/>
        <v>293774</v>
      </c>
      <c r="M295" s="214">
        <f t="shared" si="51"/>
        <v>0.40008646102105699</v>
      </c>
      <c r="N295" s="214">
        <f t="shared" si="60"/>
        <v>0.59991353897894295</v>
      </c>
      <c r="O295" s="213">
        <f t="shared" si="52"/>
        <v>105728.16219610993</v>
      </c>
      <c r="P295" s="213">
        <f>IF($F295="","",'פרמטרים לקריטריונים'!$C$59*O295)</f>
        <v>31718.448658832978</v>
      </c>
      <c r="Q295" s="214">
        <f t="shared" si="53"/>
        <v>1.8020171266985377E-4</v>
      </c>
      <c r="R295" s="213">
        <f t="shared" si="61"/>
        <v>18020.171266985377</v>
      </c>
      <c r="S295" s="213">
        <f>IF($F295="","",'הזנה לתנאי סף'!N295)</f>
        <v>0</v>
      </c>
      <c r="T295" s="213">
        <f>IF($F295="","",'הזנה לתנאי סף'!O295)</f>
        <v>1</v>
      </c>
      <c r="U295" s="213">
        <f>IF($F295="","",'תחום תמיכה א'!W295)</f>
        <v>0</v>
      </c>
      <c r="V295" s="213">
        <f>IF($F295="","",'תחום תמיכה א'!X295)</f>
        <v>0</v>
      </c>
      <c r="W295" s="213">
        <f>IF($F295="","",'תחום תמיכה א'!Y295)</f>
        <v>1</v>
      </c>
      <c r="X295" s="231">
        <f>IF($F295="","",'תחום תמיכה א'!Z295)</f>
        <v>0</v>
      </c>
      <c r="Y295" s="213" t="str">
        <f>IF($F295="","",'תחום תמיכה א'!AA295)</f>
        <v/>
      </c>
      <c r="Z295" s="214" t="str">
        <f>IF($F295="","",'תחום תמיכה א'!AB295)</f>
        <v/>
      </c>
      <c r="AA295" s="225" t="str">
        <f>IF($F295="","",'תחום תמיכה א'!AC295)</f>
        <v/>
      </c>
      <c r="AB295" s="213" t="str">
        <f t="shared" si="54"/>
        <v/>
      </c>
      <c r="AC295" s="213">
        <f t="shared" si="55"/>
        <v>18020.171266985377</v>
      </c>
      <c r="AD295" s="214">
        <f t="shared" si="56"/>
        <v>1.805971902976383E-4</v>
      </c>
      <c r="AE295" s="213">
        <f t="shared" si="59"/>
        <v>18560.5070439273</v>
      </c>
      <c r="AF295" s="214">
        <f t="shared" si="57"/>
        <v>1.8059719029763833E-4</v>
      </c>
    </row>
    <row r="296" spans="1:32" ht="15.75" x14ac:dyDescent="0.2">
      <c r="A296" s="206">
        <f t="shared" si="58"/>
        <v>266</v>
      </c>
      <c r="B296" s="88">
        <f>IF($F296="","",'הזנה לתנאי סף'!C296)</f>
        <v>1001348146</v>
      </c>
      <c r="C296" s="88">
        <f>IF($F296="","",'הזנה לתנאי סף'!D296)</f>
        <v>1001275667</v>
      </c>
      <c r="D296" s="88">
        <f>IF($F296="","",'הזנה לתנאי סף'!E296)</f>
        <v>40000564</v>
      </c>
      <c r="E296" s="88">
        <f>IF($F296="","",'הזנה לתנאי סף'!F296)</f>
        <v>20000201</v>
      </c>
      <c r="F296" s="88" t="str">
        <f>IF(OR('הזנה לתנאי סף'!G296="",'הזנה לתנאי סף'!BL296&lt;&gt;1,'הזנה לתנאי סף'!Q296&lt;&gt;1),"",'הזנה לתנאי סף'!G296)</f>
        <v>תל אביב -יפו</v>
      </c>
      <c r="G296" s="88" t="str">
        <f>IF($F296="","",'הזנה לתנאי סף'!H296)</f>
        <v>עמותת הכוריאוגרפים (ע"ר)</v>
      </c>
      <c r="H296" s="88" t="str">
        <f>IF($F296="","",'הזנה לתנאי סף'!I296)</f>
        <v>יוצרים עצמאיים במחול</v>
      </c>
      <c r="I296" s="213">
        <f>IF($F296="","",'תחום תמיכה א'!$I296)</f>
        <v>95129</v>
      </c>
      <c r="J296" s="213">
        <f>IF($F296="","",'תחום תמיכה א'!$J296)</f>
        <v>44453</v>
      </c>
      <c r="K296" s="213">
        <f>IF($F296="","",'תחום תמיכה א'!$K296)</f>
        <v>0</v>
      </c>
      <c r="L296" s="213">
        <f t="shared" si="50"/>
        <v>139582</v>
      </c>
      <c r="M296" s="214">
        <f t="shared" si="51"/>
        <v>0.68152770414523367</v>
      </c>
      <c r="N296" s="214">
        <f t="shared" si="60"/>
        <v>0.31847229585476633</v>
      </c>
      <c r="O296" s="213">
        <f t="shared" si="52"/>
        <v>14157.048967631928</v>
      </c>
      <c r="P296" s="213">
        <f>IF($F296="","",'פרמטרים לקריטריונים'!$C$59*O296)</f>
        <v>4247.114690289578</v>
      </c>
      <c r="Q296" s="214">
        <f t="shared" si="53"/>
        <v>2.4129091221564074E-5</v>
      </c>
      <c r="R296" s="213">
        <f t="shared" si="61"/>
        <v>2412.9091221564072</v>
      </c>
      <c r="S296" s="213">
        <f>IF($F296="","",'הזנה לתנאי סף'!N296)</f>
        <v>0</v>
      </c>
      <c r="T296" s="213">
        <f>IF($F296="","",'הזנה לתנאי סף'!O296)</f>
        <v>1</v>
      </c>
      <c r="U296" s="213">
        <f>IF($F296="","",'תחום תמיכה א'!W296)</f>
        <v>0</v>
      </c>
      <c r="V296" s="213">
        <f>IF($F296="","",'תחום תמיכה א'!X296)</f>
        <v>0</v>
      </c>
      <c r="W296" s="213">
        <f>IF($F296="","",'תחום תמיכה א'!Y296)</f>
        <v>1</v>
      </c>
      <c r="X296" s="231">
        <f>IF($F296="","",'תחום תמיכה א'!Z296)</f>
        <v>0</v>
      </c>
      <c r="Y296" s="213" t="str">
        <f>IF($F296="","",'תחום תמיכה א'!AA296)</f>
        <v/>
      </c>
      <c r="Z296" s="214" t="str">
        <f>IF($F296="","",'תחום תמיכה א'!AB296)</f>
        <v/>
      </c>
      <c r="AA296" s="225" t="str">
        <f>IF($F296="","",'תחום תמיכה א'!AC296)</f>
        <v/>
      </c>
      <c r="AB296" s="213" t="str">
        <f t="shared" si="54"/>
        <v/>
      </c>
      <c r="AC296" s="213">
        <f t="shared" si="55"/>
        <v>2412.9091221564072</v>
      </c>
      <c r="AD296" s="214">
        <f t="shared" si="56"/>
        <v>2.4182045855654502E-5</v>
      </c>
      <c r="AE296" s="213">
        <f t="shared" si="59"/>
        <v>2485.260328251728</v>
      </c>
      <c r="AF296" s="214">
        <f t="shared" si="57"/>
        <v>2.4182045855654506E-5</v>
      </c>
    </row>
    <row r="297" spans="1:32" ht="15.75" x14ac:dyDescent="0.2">
      <c r="A297" s="206">
        <f t="shared" si="58"/>
        <v>267</v>
      </c>
      <c r="B297" s="88">
        <f>IF($F297="","",'הזנה לתנאי סף'!C297)</f>
        <v>1001348148</v>
      </c>
      <c r="C297" s="88">
        <f>IF($F297="","",'הזנה לתנאי סף'!D297)</f>
        <v>1001275666</v>
      </c>
      <c r="D297" s="88">
        <f>IF($F297="","",'הזנה לתנאי סף'!E297)</f>
        <v>40000564</v>
      </c>
      <c r="E297" s="88">
        <f>IF($F297="","",'הזנה לתנאי סף'!F297)</f>
        <v>20000201</v>
      </c>
      <c r="F297" s="88" t="str">
        <f>IF(OR('הזנה לתנאי סף'!G297="",'הזנה לתנאי סף'!BL297&lt;&gt;1,'הזנה לתנאי סף'!Q297&lt;&gt;1),"",'הזנה לתנאי סף'!G297)</f>
        <v>תל אביב -יפו</v>
      </c>
      <c r="G297" s="88" t="str">
        <f>IF($F297="","",'הזנה לתנאי סף'!H297)</f>
        <v>עמותת הכוריאוגרפים (ע"ר)</v>
      </c>
      <c r="H297" s="88" t="str">
        <f>IF($F297="","",'הזנה לתנאי סף'!I297)</f>
        <v>יוצרים עצמאיים במחול</v>
      </c>
      <c r="I297" s="213">
        <f>IF($F297="","",'תחום תמיכה א'!$I297)</f>
        <v>0</v>
      </c>
      <c r="J297" s="213">
        <f>IF($F297="","",'תחום תמיכה א'!$J297)</f>
        <v>46428</v>
      </c>
      <c r="K297" s="213">
        <f>IF($F297="","",'תחום תמיכה א'!$K297)</f>
        <v>0</v>
      </c>
      <c r="L297" s="213">
        <f t="shared" si="50"/>
        <v>46428</v>
      </c>
      <c r="M297" s="214">
        <f t="shared" si="51"/>
        <v>0</v>
      </c>
      <c r="N297" s="214">
        <f t="shared" si="60"/>
        <v>1</v>
      </c>
      <c r="O297" s="213">
        <f t="shared" si="52"/>
        <v>46428</v>
      </c>
      <c r="P297" s="213">
        <f>IF($F297="","",'פרמטרים לקריטריונים'!$C$59*O297)</f>
        <v>13928.4</v>
      </c>
      <c r="Q297" s="214">
        <f t="shared" si="53"/>
        <v>7.9131282924577292E-5</v>
      </c>
      <c r="R297" s="213">
        <f t="shared" si="61"/>
        <v>7913.128292457729</v>
      </c>
      <c r="S297" s="213">
        <f>IF($F297="","",'הזנה לתנאי סף'!N297)</f>
        <v>0</v>
      </c>
      <c r="T297" s="213">
        <f>IF($F297="","",'הזנה לתנאי סף'!O297)</f>
        <v>1</v>
      </c>
      <c r="U297" s="213">
        <f>IF($F297="","",'תחום תמיכה א'!W297)</f>
        <v>0</v>
      </c>
      <c r="V297" s="213">
        <f>IF($F297="","",'תחום תמיכה א'!X297)</f>
        <v>0</v>
      </c>
      <c r="W297" s="213">
        <f>IF($F297="","",'תחום תמיכה א'!Y297)</f>
        <v>1</v>
      </c>
      <c r="X297" s="231">
        <f>IF($F297="","",'תחום תמיכה א'!Z297)</f>
        <v>0</v>
      </c>
      <c r="Y297" s="213" t="str">
        <f>IF($F297="","",'תחום תמיכה א'!AA297)</f>
        <v/>
      </c>
      <c r="Z297" s="214" t="str">
        <f>IF($F297="","",'תחום תמיכה א'!AB297)</f>
        <v/>
      </c>
      <c r="AA297" s="225" t="str">
        <f>IF($F297="","",'תחום תמיכה א'!AC297)</f>
        <v/>
      </c>
      <c r="AB297" s="213" t="str">
        <f t="shared" si="54"/>
        <v/>
      </c>
      <c r="AC297" s="213">
        <f t="shared" si="55"/>
        <v>7913.128292457729</v>
      </c>
      <c r="AD297" s="214">
        <f t="shared" si="56"/>
        <v>7.9304947489641079E-5</v>
      </c>
      <c r="AE297" s="213">
        <f t="shared" si="59"/>
        <v>8150.4038577449383</v>
      </c>
      <c r="AF297" s="214">
        <f t="shared" si="57"/>
        <v>7.9304947489641092E-5</v>
      </c>
    </row>
    <row r="298" spans="1:32" ht="15.75" x14ac:dyDescent="0.2">
      <c r="A298" s="206">
        <f t="shared" si="58"/>
        <v>268</v>
      </c>
      <c r="B298" s="88">
        <f>IF($F298="","",'הזנה לתנאי סף'!C298)</f>
        <v>1001348157</v>
      </c>
      <c r="C298" s="88">
        <f>IF($F298="","",'הזנה לתנאי סף'!D298)</f>
        <v>1001275663</v>
      </c>
      <c r="D298" s="88">
        <f>IF($F298="","",'הזנה לתנאי סף'!E298)</f>
        <v>40000564</v>
      </c>
      <c r="E298" s="88">
        <f>IF($F298="","",'הזנה לתנאי סף'!F298)</f>
        <v>20000201</v>
      </c>
      <c r="F298" s="88" t="str">
        <f>IF(OR('הזנה לתנאי סף'!G298="",'הזנה לתנאי סף'!BL298&lt;&gt;1,'הזנה לתנאי סף'!Q298&lt;&gt;1),"",'הזנה לתנאי סף'!G298)</f>
        <v>תל אביב -יפו</v>
      </c>
      <c r="G298" s="88" t="str">
        <f>IF($F298="","",'הזנה לתנאי סף'!H298)</f>
        <v>עמותת הכוריאוגרפים (ע"ר)</v>
      </c>
      <c r="H298" s="88" t="str">
        <f>IF($F298="","",'הזנה לתנאי סף'!I298)</f>
        <v>יוצרים עצמאיים במחול</v>
      </c>
      <c r="I298" s="213">
        <f>IF($F298="","",'תחום תמיכה א'!$I298)</f>
        <v>77121</v>
      </c>
      <c r="J298" s="213">
        <f>IF($F298="","",'תחום תמיכה א'!$J298)</f>
        <v>75820</v>
      </c>
      <c r="K298" s="213">
        <f>IF($F298="","",'תחום תמיכה א'!$K298)</f>
        <v>481</v>
      </c>
      <c r="L298" s="213">
        <f t="shared" si="50"/>
        <v>153422</v>
      </c>
      <c r="M298" s="214">
        <f t="shared" si="51"/>
        <v>0.502672367717798</v>
      </c>
      <c r="N298" s="214">
        <f t="shared" si="60"/>
        <v>0.497327632282202</v>
      </c>
      <c r="O298" s="213">
        <f t="shared" si="52"/>
        <v>37707.381079636558</v>
      </c>
      <c r="P298" s="213">
        <f>IF($F298="","",'פרמטרים לקריטריונים'!$C$59*O298)</f>
        <v>11312.214323890967</v>
      </c>
      <c r="Q298" s="214">
        <f t="shared" si="53"/>
        <v>6.4267972787058954E-5</v>
      </c>
      <c r="R298" s="213">
        <f t="shared" si="61"/>
        <v>6426.7972787058952</v>
      </c>
      <c r="S298" s="213">
        <f>IF($F298="","",'הזנה לתנאי סף'!N298)</f>
        <v>0</v>
      </c>
      <c r="T298" s="213">
        <f>IF($F298="","",'הזנה לתנאי סף'!O298)</f>
        <v>1</v>
      </c>
      <c r="U298" s="213">
        <f>IF($F298="","",'תחום תמיכה א'!W298)</f>
        <v>0</v>
      </c>
      <c r="V298" s="213">
        <f>IF($F298="","",'תחום תמיכה א'!X298)</f>
        <v>0</v>
      </c>
      <c r="W298" s="213">
        <f>IF($F298="","",'תחום תמיכה א'!Y298)</f>
        <v>1</v>
      </c>
      <c r="X298" s="231">
        <f>IF($F298="","",'תחום תמיכה א'!Z298)</f>
        <v>0</v>
      </c>
      <c r="Y298" s="213" t="str">
        <f>IF($F298="","",'תחום תמיכה א'!AA298)</f>
        <v/>
      </c>
      <c r="Z298" s="214" t="str">
        <f>IF($F298="","",'תחום תמיכה א'!AB298)</f>
        <v/>
      </c>
      <c r="AA298" s="225" t="str">
        <f>IF($F298="","",'תחום תמיכה א'!AC298)</f>
        <v/>
      </c>
      <c r="AB298" s="213" t="str">
        <f t="shared" si="54"/>
        <v/>
      </c>
      <c r="AC298" s="213">
        <f t="shared" si="55"/>
        <v>6426.7972787058952</v>
      </c>
      <c r="AD298" s="214">
        <f t="shared" si="56"/>
        <v>6.440901775851776E-5</v>
      </c>
      <c r="AE298" s="213">
        <f t="shared" si="59"/>
        <v>6619.5051308892971</v>
      </c>
      <c r="AF298" s="214">
        <f t="shared" si="57"/>
        <v>6.4409017758517773E-5</v>
      </c>
    </row>
    <row r="299" spans="1:32" ht="15.75" x14ac:dyDescent="0.2">
      <c r="A299" s="206">
        <f t="shared" si="58"/>
        <v>269</v>
      </c>
      <c r="B299" s="88">
        <f>IF($F299="","",'הזנה לתנאי סף'!C299)</f>
        <v>1001348158</v>
      </c>
      <c r="C299" s="88">
        <f>IF($F299="","",'הזנה לתנאי סף'!D299)</f>
        <v>1001275662</v>
      </c>
      <c r="D299" s="88">
        <f>IF($F299="","",'הזנה לתנאי סף'!E299)</f>
        <v>40000564</v>
      </c>
      <c r="E299" s="88">
        <f>IF($F299="","",'הזנה לתנאי סף'!F299)</f>
        <v>20000201</v>
      </c>
      <c r="F299" s="88" t="str">
        <f>IF(OR('הזנה לתנאי סף'!G299="",'הזנה לתנאי סף'!BL299&lt;&gt;1,'הזנה לתנאי סף'!Q299&lt;&gt;1),"",'הזנה לתנאי סף'!G299)</f>
        <v>תל אביב -יפו</v>
      </c>
      <c r="G299" s="88" t="str">
        <f>IF($F299="","",'הזנה לתנאי סף'!H299)</f>
        <v>עמותת הכוריאוגרפים (ע"ר)</v>
      </c>
      <c r="H299" s="88" t="str">
        <f>IF($F299="","",'הזנה לתנאי סף'!I299)</f>
        <v>יוצרים עצמאיים במחול</v>
      </c>
      <c r="I299" s="213">
        <f>IF($F299="","",'תחום תמיכה א'!$I299)</f>
        <v>0</v>
      </c>
      <c r="J299" s="213">
        <f>IF($F299="","",'תחום תמיכה א'!$J299)</f>
        <v>18842</v>
      </c>
      <c r="K299" s="213">
        <f>IF($F299="","",'תחום תמיכה א'!$K299)</f>
        <v>0</v>
      </c>
      <c r="L299" s="213">
        <f t="shared" si="50"/>
        <v>18842</v>
      </c>
      <c r="M299" s="214">
        <f t="shared" si="51"/>
        <v>0</v>
      </c>
      <c r="N299" s="214">
        <f t="shared" si="60"/>
        <v>1</v>
      </c>
      <c r="O299" s="213">
        <f t="shared" si="52"/>
        <v>18842</v>
      </c>
      <c r="P299" s="213">
        <f>IF($F299="","",'פרמטרים לקריטריונים'!$C$59*O299)</f>
        <v>5652.5999999999995</v>
      </c>
      <c r="Q299" s="214">
        <f t="shared" si="53"/>
        <v>3.2114061188612152E-5</v>
      </c>
      <c r="R299" s="213">
        <f t="shared" si="61"/>
        <v>3211.406118861215</v>
      </c>
      <c r="S299" s="213">
        <f>IF($F299="","",'הזנה לתנאי סף'!N299)</f>
        <v>0</v>
      </c>
      <c r="T299" s="213">
        <f>IF($F299="","",'הזנה לתנאי סף'!O299)</f>
        <v>1</v>
      </c>
      <c r="U299" s="213">
        <f>IF($F299="","",'תחום תמיכה א'!W299)</f>
        <v>0</v>
      </c>
      <c r="V299" s="213">
        <f>IF($F299="","",'תחום תמיכה א'!X299)</f>
        <v>0</v>
      </c>
      <c r="W299" s="213">
        <f>IF($F299="","",'תחום תמיכה א'!Y299)</f>
        <v>1</v>
      </c>
      <c r="X299" s="231">
        <f>IF($F299="","",'תחום תמיכה א'!Z299)</f>
        <v>0</v>
      </c>
      <c r="Y299" s="213" t="str">
        <f>IF($F299="","",'תחום תמיכה א'!AA299)</f>
        <v/>
      </c>
      <c r="Z299" s="214" t="str">
        <f>IF($F299="","",'תחום תמיכה א'!AB299)</f>
        <v/>
      </c>
      <c r="AA299" s="225" t="str">
        <f>IF($F299="","",'תחום תמיכה א'!AC299)</f>
        <v/>
      </c>
      <c r="AB299" s="213" t="str">
        <f t="shared" si="54"/>
        <v/>
      </c>
      <c r="AC299" s="213">
        <f t="shared" si="55"/>
        <v>3211.406118861215</v>
      </c>
      <c r="AD299" s="214">
        <f t="shared" si="56"/>
        <v>3.2184539945718462E-5</v>
      </c>
      <c r="AE299" s="213">
        <f t="shared" si="59"/>
        <v>3307.7002991218678</v>
      </c>
      <c r="AF299" s="214">
        <f t="shared" si="57"/>
        <v>3.2184539945718469E-5</v>
      </c>
    </row>
    <row r="300" spans="1:32" ht="15.75" x14ac:dyDescent="0.2">
      <c r="A300" s="206">
        <f t="shared" si="58"/>
        <v>270</v>
      </c>
      <c r="B300" s="88">
        <f>IF($F300="","",'הזנה לתנאי סף'!C300)</f>
        <v>1001348159</v>
      </c>
      <c r="C300" s="88">
        <f>IF($F300="","",'הזנה לתנאי סף'!D300)</f>
        <v>1001275661</v>
      </c>
      <c r="D300" s="88">
        <f>IF($F300="","",'הזנה לתנאי סף'!E300)</f>
        <v>40000564</v>
      </c>
      <c r="E300" s="88">
        <f>IF($F300="","",'הזנה לתנאי סף'!F300)</f>
        <v>20000201</v>
      </c>
      <c r="F300" s="88" t="str">
        <f>IF(OR('הזנה לתנאי סף'!G300="",'הזנה לתנאי סף'!BL300&lt;&gt;1,'הזנה לתנאי סף'!Q300&lt;&gt;1),"",'הזנה לתנאי סף'!G300)</f>
        <v>תל אביב -יפו</v>
      </c>
      <c r="G300" s="88" t="str">
        <f>IF($F300="","",'הזנה לתנאי סף'!H300)</f>
        <v>עמותת הכוריאוגרפים (ע"ר)</v>
      </c>
      <c r="H300" s="88" t="str">
        <f>IF($F300="","",'הזנה לתנאי סף'!I300)</f>
        <v>יוצרים עצמאיים במחול</v>
      </c>
      <c r="I300" s="213">
        <f>IF($F300="","",'תחום תמיכה א'!$I300)</f>
        <v>52199</v>
      </c>
      <c r="J300" s="213">
        <f>IF($F300="","",'תחום תמיכה א'!$J300)</f>
        <v>35987</v>
      </c>
      <c r="K300" s="213">
        <f>IF($F300="","",'תחום תמיכה א'!$K300)</f>
        <v>0</v>
      </c>
      <c r="L300" s="213">
        <f t="shared" si="50"/>
        <v>88186</v>
      </c>
      <c r="M300" s="214">
        <f t="shared" si="51"/>
        <v>0.59191935227813941</v>
      </c>
      <c r="N300" s="214">
        <f t="shared" si="60"/>
        <v>0.40808064772186059</v>
      </c>
      <c r="O300" s="213">
        <f t="shared" si="52"/>
        <v>14685.598269566597</v>
      </c>
      <c r="P300" s="213">
        <f>IF($F300="","",'פרמטרים לקריטריונים'!$C$59*O300)</f>
        <v>4405.6794808699788</v>
      </c>
      <c r="Q300" s="214">
        <f t="shared" si="53"/>
        <v>2.5029943818078681E-5</v>
      </c>
      <c r="R300" s="213">
        <f t="shared" si="61"/>
        <v>2502.9943818078682</v>
      </c>
      <c r="S300" s="213">
        <f>IF($F300="","",'הזנה לתנאי סף'!N300)</f>
        <v>0</v>
      </c>
      <c r="T300" s="213">
        <f>IF($F300="","",'הזנה לתנאי סף'!O300)</f>
        <v>1</v>
      </c>
      <c r="U300" s="213">
        <f>IF($F300="","",'תחום תמיכה א'!W300)</f>
        <v>0</v>
      </c>
      <c r="V300" s="213">
        <f>IF($F300="","",'תחום תמיכה א'!X300)</f>
        <v>0</v>
      </c>
      <c r="W300" s="213">
        <f>IF($F300="","",'תחום תמיכה א'!Y300)</f>
        <v>1</v>
      </c>
      <c r="X300" s="231">
        <f>IF($F300="","",'תחום תמיכה א'!Z300)</f>
        <v>0</v>
      </c>
      <c r="Y300" s="213" t="str">
        <f>IF($F300="","",'תחום תמיכה א'!AA300)</f>
        <v/>
      </c>
      <c r="Z300" s="214" t="str">
        <f>IF($F300="","",'תחום תמיכה א'!AB300)</f>
        <v/>
      </c>
      <c r="AA300" s="225" t="str">
        <f>IF($F300="","",'תחום תמיכה א'!AC300)</f>
        <v/>
      </c>
      <c r="AB300" s="213" t="str">
        <f t="shared" si="54"/>
        <v/>
      </c>
      <c r="AC300" s="213">
        <f t="shared" si="55"/>
        <v>2502.9943818078682</v>
      </c>
      <c r="AD300" s="214">
        <f t="shared" si="56"/>
        <v>2.5084875498017205E-5</v>
      </c>
      <c r="AE300" s="213">
        <f t="shared" si="59"/>
        <v>2578.0467991205301</v>
      </c>
      <c r="AF300" s="214">
        <f t="shared" si="57"/>
        <v>2.5084875498017208E-5</v>
      </c>
    </row>
    <row r="301" spans="1:32" ht="15.75" x14ac:dyDescent="0.2">
      <c r="A301" s="206" t="str">
        <f t="shared" si="58"/>
        <v/>
      </c>
      <c r="B301" s="88" t="str">
        <f>IF($F301="","",'הזנה לתנאי סף'!C301)</f>
        <v/>
      </c>
      <c r="C301" s="88" t="str">
        <f>IF($F301="","",'הזנה לתנאי סף'!D301)</f>
        <v/>
      </c>
      <c r="D301" s="88" t="str">
        <f>IF($F301="","",'הזנה לתנאי סף'!E301)</f>
        <v/>
      </c>
      <c r="E301" s="88" t="str">
        <f>IF($F301="","",'הזנה לתנאי סף'!F301)</f>
        <v/>
      </c>
      <c r="F301" s="88" t="str">
        <f>IF(OR('הזנה לתנאי סף'!G301="",'הזנה לתנאי סף'!BL301&lt;&gt;1,'הזנה לתנאי סף'!Q301&lt;&gt;1),"",'הזנה לתנאי סף'!G301)</f>
        <v/>
      </c>
      <c r="G301" s="88" t="str">
        <f>IF($F301="","",'הזנה לתנאי סף'!H301)</f>
        <v/>
      </c>
      <c r="H301" s="88" t="str">
        <f>IF($F301="","",'הזנה לתנאי סף'!I301)</f>
        <v/>
      </c>
      <c r="I301" s="213" t="str">
        <f>IF($F301="","",'תחום תמיכה א'!$I301)</f>
        <v/>
      </c>
      <c r="J301" s="213" t="str">
        <f>IF($F301="","",'תחום תמיכה א'!$J301)</f>
        <v/>
      </c>
      <c r="K301" s="213" t="str">
        <f>IF($F301="","",'תחום תמיכה א'!$K301)</f>
        <v/>
      </c>
      <c r="L301" s="213" t="str">
        <f t="shared" si="50"/>
        <v/>
      </c>
      <c r="M301" s="214" t="str">
        <f t="shared" si="51"/>
        <v/>
      </c>
      <c r="N301" s="214" t="str">
        <f t="shared" si="60"/>
        <v/>
      </c>
      <c r="O301" s="213" t="str">
        <f t="shared" si="52"/>
        <v/>
      </c>
      <c r="P301" s="213" t="str">
        <f>IF($F301="","",'פרמטרים לקריטריונים'!$C$59*O301)</f>
        <v/>
      </c>
      <c r="Q301" s="214" t="str">
        <f t="shared" si="53"/>
        <v/>
      </c>
      <c r="R301" s="213" t="str">
        <f t="shared" si="61"/>
        <v/>
      </c>
      <c r="S301" s="213" t="str">
        <f>IF($F301="","",'הזנה לתנאי סף'!N301)</f>
        <v/>
      </c>
      <c r="T301" s="213" t="str">
        <f>IF($F301="","",'הזנה לתנאי סף'!O301)</f>
        <v/>
      </c>
      <c r="U301" s="213" t="str">
        <f>IF($F301="","",'תחום תמיכה א'!W301)</f>
        <v/>
      </c>
      <c r="V301" s="213" t="str">
        <f>IF($F301="","",'תחום תמיכה א'!X301)</f>
        <v/>
      </c>
      <c r="W301" s="213" t="str">
        <f>IF($F301="","",'תחום תמיכה א'!Y301)</f>
        <v/>
      </c>
      <c r="X301" s="231" t="str">
        <f>IF($F301="","",'תחום תמיכה א'!Z301)</f>
        <v/>
      </c>
      <c r="Y301" s="213" t="str">
        <f>IF($F301="","",'תחום תמיכה א'!AA301)</f>
        <v/>
      </c>
      <c r="Z301" s="214" t="str">
        <f>IF($F301="","",'תחום תמיכה א'!AB301)</f>
        <v/>
      </c>
      <c r="AA301" s="225" t="str">
        <f>IF($F301="","",'תחום תמיכה א'!AC301)</f>
        <v/>
      </c>
      <c r="AB301" s="213" t="str">
        <f t="shared" si="54"/>
        <v/>
      </c>
      <c r="AC301" s="213" t="str">
        <f t="shared" si="55"/>
        <v/>
      </c>
      <c r="AD301" s="214" t="str">
        <f t="shared" si="56"/>
        <v/>
      </c>
      <c r="AE301" s="213" t="str">
        <f t="shared" si="59"/>
        <v/>
      </c>
      <c r="AF301" s="214" t="str">
        <f t="shared" si="57"/>
        <v/>
      </c>
    </row>
    <row r="302" spans="1:32" ht="15.75" x14ac:dyDescent="0.2">
      <c r="A302" s="206">
        <f t="shared" si="58"/>
        <v>272</v>
      </c>
      <c r="B302" s="88">
        <f>IF($F302="","",'הזנה לתנאי סף'!C302)</f>
        <v>1001348161</v>
      </c>
      <c r="C302" s="88">
        <f>IF($F302="","",'הזנה לתנאי סף'!D302)</f>
        <v>1001275647</v>
      </c>
      <c r="D302" s="88">
        <f>IF($F302="","",'הזנה לתנאי סף'!E302)</f>
        <v>40000564</v>
      </c>
      <c r="E302" s="88">
        <f>IF($F302="","",'הזנה לתנאי סף'!F302)</f>
        <v>20000201</v>
      </c>
      <c r="F302" s="88" t="str">
        <f>IF(OR('הזנה לתנאי סף'!G302="",'הזנה לתנאי סף'!BL302&lt;&gt;1,'הזנה לתנאי סף'!Q302&lt;&gt;1),"",'הזנה לתנאי סף'!G302)</f>
        <v>תל אביב -יפו</v>
      </c>
      <c r="G302" s="88" t="str">
        <f>IF($F302="","",'הזנה לתנאי סף'!H302)</f>
        <v>עמותת הכוריאוגרפים (ע"ר)</v>
      </c>
      <c r="H302" s="88" t="str">
        <f>IF($F302="","",'הזנה לתנאי סף'!I302)</f>
        <v>יוצרים עצמאיים במחול</v>
      </c>
      <c r="I302" s="213">
        <f>IF($F302="","",'תחום תמיכה א'!$I302)</f>
        <v>88531</v>
      </c>
      <c r="J302" s="213">
        <f>IF($F302="","",'תחום תמיכה א'!$J302)</f>
        <v>133965</v>
      </c>
      <c r="K302" s="213">
        <f>IF($F302="","",'תחום תמיכה א'!$K302)</f>
        <v>0</v>
      </c>
      <c r="L302" s="213">
        <f t="shared" si="50"/>
        <v>222496</v>
      </c>
      <c r="M302" s="214">
        <f t="shared" si="51"/>
        <v>0.39789928807708902</v>
      </c>
      <c r="N302" s="214">
        <f t="shared" si="60"/>
        <v>0.60210071192291093</v>
      </c>
      <c r="O302" s="213">
        <f t="shared" si="52"/>
        <v>80660.421872752762</v>
      </c>
      <c r="P302" s="213">
        <f>IF($F302="","",'פרמטרים לקריטריונים'!$C$59*O302)</f>
        <v>24198.126561825829</v>
      </c>
      <c r="Q302" s="214">
        <f t="shared" si="53"/>
        <v>1.374765801677557E-4</v>
      </c>
      <c r="R302" s="213">
        <f t="shared" si="61"/>
        <v>13747.658016775569</v>
      </c>
      <c r="S302" s="213">
        <f>IF($F302="","",'הזנה לתנאי סף'!N302)</f>
        <v>0</v>
      </c>
      <c r="T302" s="213">
        <f>IF($F302="","",'הזנה לתנאי סף'!O302)</f>
        <v>1</v>
      </c>
      <c r="U302" s="213">
        <f>IF($F302="","",'תחום תמיכה א'!W302)</f>
        <v>0</v>
      </c>
      <c r="V302" s="213">
        <f>IF($F302="","",'תחום תמיכה א'!X302)</f>
        <v>0</v>
      </c>
      <c r="W302" s="213">
        <f>IF($F302="","",'תחום תמיכה א'!Y302)</f>
        <v>1</v>
      </c>
      <c r="X302" s="231">
        <f>IF($F302="","",'תחום תמיכה א'!Z302)</f>
        <v>0</v>
      </c>
      <c r="Y302" s="213" t="str">
        <f>IF($F302="","",'תחום תמיכה א'!AA302)</f>
        <v/>
      </c>
      <c r="Z302" s="214" t="str">
        <f>IF($F302="","",'תחום תמיכה א'!AB302)</f>
        <v/>
      </c>
      <c r="AA302" s="225" t="str">
        <f>IF($F302="","",'תחום תמיכה א'!AC302)</f>
        <v/>
      </c>
      <c r="AB302" s="213" t="str">
        <f t="shared" si="54"/>
        <v/>
      </c>
      <c r="AC302" s="213">
        <f t="shared" si="55"/>
        <v>13747.658016775569</v>
      </c>
      <c r="AD302" s="214">
        <f t="shared" si="56"/>
        <v>1.3777829157213221E-4</v>
      </c>
      <c r="AE302" s="213">
        <f t="shared" si="59"/>
        <v>14159.882260683602</v>
      </c>
      <c r="AF302" s="214">
        <f t="shared" si="57"/>
        <v>1.3777829157213224E-4</v>
      </c>
    </row>
    <row r="303" spans="1:32" ht="15.75" x14ac:dyDescent="0.2">
      <c r="A303" s="206">
        <f t="shared" si="58"/>
        <v>273</v>
      </c>
      <c r="B303" s="88">
        <f>IF($F303="","",'הזנה לתנאי סף'!C303)</f>
        <v>1001348162</v>
      </c>
      <c r="C303" s="88">
        <f>IF($F303="","",'הזנה לתנאי סף'!D303)</f>
        <v>1001275646</v>
      </c>
      <c r="D303" s="88">
        <f>IF($F303="","",'הזנה לתנאי סף'!E303)</f>
        <v>40000564</v>
      </c>
      <c r="E303" s="88">
        <f>IF($F303="","",'הזנה לתנאי סף'!F303)</f>
        <v>20000201</v>
      </c>
      <c r="F303" s="88" t="str">
        <f>IF(OR('הזנה לתנאי סף'!G303="",'הזנה לתנאי סף'!BL303&lt;&gt;1,'הזנה לתנאי סף'!Q303&lt;&gt;1),"",'הזנה לתנאי סף'!G303)</f>
        <v>תל אביב -יפו</v>
      </c>
      <c r="G303" s="88" t="str">
        <f>IF($F303="","",'הזנה לתנאי סף'!H303)</f>
        <v>עמותת הכוריאוגרפים (ע"ר)</v>
      </c>
      <c r="H303" s="88" t="str">
        <f>IF($F303="","",'הזנה לתנאי סף'!I303)</f>
        <v>יוצרים עצמאיים במחול</v>
      </c>
      <c r="I303" s="213">
        <f>IF($F303="","",'תחום תמיכה א'!$I303)</f>
        <v>80877</v>
      </c>
      <c r="J303" s="213">
        <f>IF($F303="","",'תחום תמיכה א'!$J303)</f>
        <v>59554</v>
      </c>
      <c r="K303" s="213">
        <f>IF($F303="","",'תחום תמיכה א'!$K303)</f>
        <v>0</v>
      </c>
      <c r="L303" s="213">
        <f t="shared" si="50"/>
        <v>140431</v>
      </c>
      <c r="M303" s="214">
        <f t="shared" si="51"/>
        <v>0.57591984675748231</v>
      </c>
      <c r="N303" s="214">
        <f t="shared" si="60"/>
        <v>0.42408015324251769</v>
      </c>
      <c r="O303" s="213">
        <f t="shared" si="52"/>
        <v>25255.669446204898</v>
      </c>
      <c r="P303" s="213">
        <f>IF($F303="","",'פרמטרים לקריטריונים'!$C$59*O303)</f>
        <v>7576.7008338614687</v>
      </c>
      <c r="Q303" s="214">
        <f t="shared" si="53"/>
        <v>4.3045436469312521E-5</v>
      </c>
      <c r="R303" s="213">
        <f t="shared" si="61"/>
        <v>4304.5436469312517</v>
      </c>
      <c r="S303" s="213">
        <f>IF($F303="","",'הזנה לתנאי סף'!N303)</f>
        <v>0</v>
      </c>
      <c r="T303" s="213">
        <f>IF($F303="","",'הזנה לתנאי סף'!O303)</f>
        <v>1</v>
      </c>
      <c r="U303" s="213">
        <f>IF($F303="","",'תחום תמיכה א'!W303)</f>
        <v>0</v>
      </c>
      <c r="V303" s="213">
        <f>IF($F303="","",'תחום תמיכה א'!X303)</f>
        <v>0</v>
      </c>
      <c r="W303" s="213">
        <f>IF($F303="","",'תחום תמיכה א'!Y303)</f>
        <v>1</v>
      </c>
      <c r="X303" s="231">
        <f>IF($F303="","",'תחום תמיכה א'!Z303)</f>
        <v>0</v>
      </c>
      <c r="Y303" s="213" t="str">
        <f>IF($F303="","",'תחום תמיכה א'!AA303)</f>
        <v/>
      </c>
      <c r="Z303" s="214" t="str">
        <f>IF($F303="","",'תחום תמיכה א'!AB303)</f>
        <v/>
      </c>
      <c r="AA303" s="225" t="str">
        <f>IF($F303="","",'תחום תמיכה א'!AC303)</f>
        <v/>
      </c>
      <c r="AB303" s="213" t="str">
        <f t="shared" si="54"/>
        <v/>
      </c>
      <c r="AC303" s="213">
        <f t="shared" si="55"/>
        <v>4304.5436469312517</v>
      </c>
      <c r="AD303" s="214">
        <f t="shared" si="56"/>
        <v>4.3139905644158945E-5</v>
      </c>
      <c r="AE303" s="213">
        <f t="shared" si="59"/>
        <v>4433.615613084331</v>
      </c>
      <c r="AF303" s="214">
        <f t="shared" si="57"/>
        <v>4.3139905644158958E-5</v>
      </c>
    </row>
    <row r="304" spans="1:32" ht="15.75" x14ac:dyDescent="0.2">
      <c r="A304" s="206">
        <f t="shared" si="58"/>
        <v>274</v>
      </c>
      <c r="B304" s="88">
        <f>IF($F304="","",'הזנה לתנאי סף'!C304)</f>
        <v>1001348163</v>
      </c>
      <c r="C304" s="88">
        <f>IF($F304="","",'הזנה לתנאי סף'!D304)</f>
        <v>1001275645</v>
      </c>
      <c r="D304" s="88">
        <f>IF($F304="","",'הזנה לתנאי סף'!E304)</f>
        <v>40000564</v>
      </c>
      <c r="E304" s="88">
        <f>IF($F304="","",'הזנה לתנאי סף'!F304)</f>
        <v>20000201</v>
      </c>
      <c r="F304" s="88" t="str">
        <f>IF(OR('הזנה לתנאי סף'!G304="",'הזנה לתנאי סף'!BL304&lt;&gt;1,'הזנה לתנאי סף'!Q304&lt;&gt;1),"",'הזנה לתנאי סף'!G304)</f>
        <v>תל אביב -יפו</v>
      </c>
      <c r="G304" s="88" t="str">
        <f>IF($F304="","",'הזנה לתנאי סף'!H304)</f>
        <v>עמותת הכוריאוגרפים (ע"ר)</v>
      </c>
      <c r="H304" s="88" t="str">
        <f>IF($F304="","",'הזנה לתנאי סף'!I304)</f>
        <v>יוצרים עצמאיים במחול</v>
      </c>
      <c r="I304" s="213">
        <f>IF($F304="","",'תחום תמיכה א'!$I304)</f>
        <v>98769</v>
      </c>
      <c r="J304" s="213">
        <f>IF($F304="","",'תחום תמיכה א'!$J304)</f>
        <v>85140</v>
      </c>
      <c r="K304" s="213">
        <f>IF($F304="","",'תחום תמיכה א'!$K304)</f>
        <v>0</v>
      </c>
      <c r="L304" s="213">
        <f t="shared" si="50"/>
        <v>183909</v>
      </c>
      <c r="M304" s="214">
        <f t="shared" si="51"/>
        <v>0.53705365153418272</v>
      </c>
      <c r="N304" s="214">
        <f t="shared" si="60"/>
        <v>0.46294634846581728</v>
      </c>
      <c r="O304" s="213">
        <f t="shared" si="52"/>
        <v>39415.252108379682</v>
      </c>
      <c r="P304" s="213">
        <f>IF($F304="","",'פרמטרים לקריטריונים'!$C$59*O304)</f>
        <v>11824.575632513905</v>
      </c>
      <c r="Q304" s="214">
        <f t="shared" si="53"/>
        <v>6.7178846087096882E-5</v>
      </c>
      <c r="R304" s="213">
        <f t="shared" si="61"/>
        <v>6717.8846087096881</v>
      </c>
      <c r="S304" s="213">
        <f>IF($F304="","",'הזנה לתנאי סף'!N304)</f>
        <v>0</v>
      </c>
      <c r="T304" s="213">
        <f>IF($F304="","",'הזנה לתנאי סף'!O304)</f>
        <v>1</v>
      </c>
      <c r="U304" s="213">
        <f>IF($F304="","",'תחום תמיכה א'!W304)</f>
        <v>0</v>
      </c>
      <c r="V304" s="213">
        <f>IF($F304="","",'תחום תמיכה א'!X304)</f>
        <v>0</v>
      </c>
      <c r="W304" s="213">
        <f>IF($F304="","",'תחום תמיכה א'!Y304)</f>
        <v>1</v>
      </c>
      <c r="X304" s="231">
        <f>IF($F304="","",'תחום תמיכה א'!Z304)</f>
        <v>0</v>
      </c>
      <c r="Y304" s="213" t="str">
        <f>IF($F304="","",'תחום תמיכה א'!AA304)</f>
        <v/>
      </c>
      <c r="Z304" s="214" t="str">
        <f>IF($F304="","",'תחום תמיכה א'!AB304)</f>
        <v/>
      </c>
      <c r="AA304" s="225" t="str">
        <f>IF($F304="","",'תחום תמיכה א'!AC304)</f>
        <v/>
      </c>
      <c r="AB304" s="213" t="str">
        <f t="shared" si="54"/>
        <v/>
      </c>
      <c r="AC304" s="213">
        <f t="shared" si="55"/>
        <v>6717.8846087096881</v>
      </c>
      <c r="AD304" s="214">
        <f t="shared" si="56"/>
        <v>6.7326279373352616E-5</v>
      </c>
      <c r="AE304" s="213">
        <f t="shared" si="59"/>
        <v>6919.3207296917171</v>
      </c>
      <c r="AF304" s="214">
        <f t="shared" si="57"/>
        <v>6.732627937335263E-5</v>
      </c>
    </row>
    <row r="305" spans="1:32" ht="15.75" x14ac:dyDescent="0.2">
      <c r="A305" s="206">
        <f t="shared" si="58"/>
        <v>275</v>
      </c>
      <c r="B305" s="88">
        <f>IF($F305="","",'הזנה לתנאי סף'!C305)</f>
        <v>1001348165</v>
      </c>
      <c r="C305" s="88">
        <f>IF($F305="","",'הזנה לתנאי סף'!D305)</f>
        <v>1001273681</v>
      </c>
      <c r="D305" s="88">
        <f>IF($F305="","",'הזנה לתנאי סף'!E305)</f>
        <v>40000564</v>
      </c>
      <c r="E305" s="88">
        <f>IF($F305="","",'הזנה לתנאי סף'!F305)</f>
        <v>20000201</v>
      </c>
      <c r="F305" s="88" t="str">
        <f>IF(OR('הזנה לתנאי סף'!G305="",'הזנה לתנאי סף'!BL305&lt;&gt;1,'הזנה לתנאי סף'!Q305&lt;&gt;1),"",'הזנה לתנאי סף'!G305)</f>
        <v>תל אביב -יפו</v>
      </c>
      <c r="G305" s="88" t="str">
        <f>IF($F305="","",'הזנה לתנאי סף'!H305)</f>
        <v>עמותת הכוריאוגרפים (ע"ר)</v>
      </c>
      <c r="H305" s="88" t="str">
        <f>IF($F305="","",'הזנה לתנאי סף'!I305)</f>
        <v>יוצרים עצמאיים במחול</v>
      </c>
      <c r="I305" s="213">
        <f>IF($F305="","",'תחום תמיכה א'!$I305)</f>
        <v>81021</v>
      </c>
      <c r="J305" s="213">
        <f>IF($F305="","",'תחום תמיכה א'!$J305)</f>
        <v>138321</v>
      </c>
      <c r="K305" s="213">
        <f>IF($F305="","",'תחום תמיכה א'!$K305)</f>
        <v>0</v>
      </c>
      <c r="L305" s="213">
        <f t="shared" si="50"/>
        <v>219342</v>
      </c>
      <c r="M305" s="214">
        <f t="shared" si="51"/>
        <v>0.36938206089121101</v>
      </c>
      <c r="N305" s="214">
        <f t="shared" si="60"/>
        <v>0.63061793910878894</v>
      </c>
      <c r="O305" s="213">
        <f t="shared" si="52"/>
        <v>87227.703955466801</v>
      </c>
      <c r="P305" s="213">
        <f>IF($F305="","",'פרמטרים לקריטריונים'!$C$59*O305)</f>
        <v>26168.31118664004</v>
      </c>
      <c r="Q305" s="214">
        <f t="shared" si="53"/>
        <v>1.4866977084003862E-4</v>
      </c>
      <c r="R305" s="213">
        <f t="shared" si="61"/>
        <v>14866.977084003862</v>
      </c>
      <c r="S305" s="213">
        <f>IF($F305="","",'הזנה לתנאי סף'!N305)</f>
        <v>0</v>
      </c>
      <c r="T305" s="213">
        <f>IF($F305="","",'הזנה לתנאי סף'!O305)</f>
        <v>1</v>
      </c>
      <c r="U305" s="213">
        <f>IF($F305="","",'תחום תמיכה א'!W305)</f>
        <v>0</v>
      </c>
      <c r="V305" s="213">
        <f>IF($F305="","",'תחום תמיכה א'!X305)</f>
        <v>0</v>
      </c>
      <c r="W305" s="213">
        <f>IF($F305="","",'תחום תמיכה א'!Y305)</f>
        <v>1</v>
      </c>
      <c r="X305" s="231">
        <f>IF($F305="","",'תחום תמיכה א'!Z305)</f>
        <v>0</v>
      </c>
      <c r="Y305" s="213" t="str">
        <f>IF($F305="","",'תחום תמיכה א'!AA305)</f>
        <v/>
      </c>
      <c r="Z305" s="214" t="str">
        <f>IF($F305="","",'תחום תמיכה א'!AB305)</f>
        <v/>
      </c>
      <c r="AA305" s="225" t="str">
        <f>IF($F305="","",'תחום תמיכה א'!AC305)</f>
        <v/>
      </c>
      <c r="AB305" s="213" t="str">
        <f t="shared" si="54"/>
        <v/>
      </c>
      <c r="AC305" s="213">
        <f t="shared" si="55"/>
        <v>14866.977084003862</v>
      </c>
      <c r="AD305" s="214">
        <f t="shared" si="56"/>
        <v>1.4899604725231006E-4</v>
      </c>
      <c r="AE305" s="213">
        <f t="shared" si="59"/>
        <v>15312.764168623891</v>
      </c>
      <c r="AF305" s="214">
        <f t="shared" si="57"/>
        <v>1.4899604725231012E-4</v>
      </c>
    </row>
    <row r="306" spans="1:32" ht="15.75" x14ac:dyDescent="0.2">
      <c r="A306" s="206">
        <f t="shared" si="58"/>
        <v>276</v>
      </c>
      <c r="B306" s="88">
        <f>IF($F306="","",'הזנה לתנאי סף'!C306)</f>
        <v>1001348166</v>
      </c>
      <c r="C306" s="88">
        <f>IF($F306="","",'הזנה לתנאי סף'!D306)</f>
        <v>1001273680</v>
      </c>
      <c r="D306" s="88">
        <f>IF($F306="","",'הזנה לתנאי סף'!E306)</f>
        <v>40000564</v>
      </c>
      <c r="E306" s="88">
        <f>IF($F306="","",'הזנה לתנאי סף'!F306)</f>
        <v>20000201</v>
      </c>
      <c r="F306" s="88" t="str">
        <f>IF(OR('הזנה לתנאי סף'!G306="",'הזנה לתנאי סף'!BL306&lt;&gt;1,'הזנה לתנאי סף'!Q306&lt;&gt;1),"",'הזנה לתנאי סף'!G306)</f>
        <v>תל אביב -יפו</v>
      </c>
      <c r="G306" s="88" t="str">
        <f>IF($F306="","",'הזנה לתנאי סף'!H306)</f>
        <v>עמותת הכוריאוגרפים (ע"ר)</v>
      </c>
      <c r="H306" s="88" t="str">
        <f>IF($F306="","",'הזנה לתנאי סף'!I306)</f>
        <v>יוצרים עצמאיים במחול</v>
      </c>
      <c r="I306" s="213">
        <f>IF($F306="","",'תחום תמיכה א'!$I306)</f>
        <v>119335</v>
      </c>
      <c r="J306" s="213">
        <f>IF($F306="","",'תחום תמיכה א'!$J306)</f>
        <v>104802</v>
      </c>
      <c r="K306" s="213">
        <f>IF($F306="","",'תחום תמיכה א'!$K306)</f>
        <v>0</v>
      </c>
      <c r="L306" s="213">
        <f t="shared" si="50"/>
        <v>224137</v>
      </c>
      <c r="M306" s="214">
        <f t="shared" si="51"/>
        <v>0.53241990389806237</v>
      </c>
      <c r="N306" s="214">
        <f t="shared" si="60"/>
        <v>0.46758009610193763</v>
      </c>
      <c r="O306" s="213">
        <f t="shared" si="52"/>
        <v>49003.32923167527</v>
      </c>
      <c r="P306" s="213">
        <f>IF($F306="","",'פרמטרים לקריטריונים'!$C$59*O306)</f>
        <v>14700.998769502581</v>
      </c>
      <c r="Q306" s="214">
        <f t="shared" si="53"/>
        <v>8.3520640770179728E-5</v>
      </c>
      <c r="R306" s="213">
        <f t="shared" si="61"/>
        <v>8352.0640770179725</v>
      </c>
      <c r="S306" s="213">
        <f>IF($F306="","",'הזנה לתנאי סף'!N306)</f>
        <v>0</v>
      </c>
      <c r="T306" s="213">
        <f>IF($F306="","",'הזנה לתנאי סף'!O306)</f>
        <v>1</v>
      </c>
      <c r="U306" s="213">
        <f>IF($F306="","",'תחום תמיכה א'!W306)</f>
        <v>0</v>
      </c>
      <c r="V306" s="213">
        <f>IF($F306="","",'תחום תמיכה א'!X306)</f>
        <v>0</v>
      </c>
      <c r="W306" s="213">
        <f>IF($F306="","",'תחום תמיכה א'!Y306)</f>
        <v>1</v>
      </c>
      <c r="X306" s="231">
        <f>IF($F306="","",'תחום תמיכה א'!Z306)</f>
        <v>0</v>
      </c>
      <c r="Y306" s="213" t="str">
        <f>IF($F306="","",'תחום תמיכה א'!AA306)</f>
        <v/>
      </c>
      <c r="Z306" s="214" t="str">
        <f>IF($F306="","",'תחום תמיכה א'!AB306)</f>
        <v/>
      </c>
      <c r="AA306" s="225" t="str">
        <f>IF($F306="","",'תחום תמיכה א'!AC306)</f>
        <v/>
      </c>
      <c r="AB306" s="213" t="str">
        <f t="shared" si="54"/>
        <v/>
      </c>
      <c r="AC306" s="213">
        <f t="shared" si="55"/>
        <v>8352.0640770179725</v>
      </c>
      <c r="AD306" s="214">
        <f t="shared" si="56"/>
        <v>8.370393838923926E-5</v>
      </c>
      <c r="AE306" s="213">
        <f t="shared" si="59"/>
        <v>8602.5011547383347</v>
      </c>
      <c r="AF306" s="214">
        <f t="shared" si="57"/>
        <v>8.3703938389239287E-5</v>
      </c>
    </row>
    <row r="307" spans="1:32" ht="15.75" x14ac:dyDescent="0.2">
      <c r="A307" s="206">
        <f t="shared" si="58"/>
        <v>277</v>
      </c>
      <c r="B307" s="88">
        <f>IF($F307="","",'הזנה לתנאי סף'!C307)</f>
        <v>1001348167</v>
      </c>
      <c r="C307" s="88">
        <f>IF($F307="","",'הזנה לתנאי סף'!D307)</f>
        <v>1001273659</v>
      </c>
      <c r="D307" s="88">
        <f>IF($F307="","",'הזנה לתנאי סף'!E307)</f>
        <v>40000564</v>
      </c>
      <c r="E307" s="88">
        <f>IF($F307="","",'הזנה לתנאי סף'!F307)</f>
        <v>20000201</v>
      </c>
      <c r="F307" s="88" t="str">
        <f>IF(OR('הזנה לתנאי סף'!G307="",'הזנה לתנאי סף'!BL307&lt;&gt;1,'הזנה לתנאי סף'!Q307&lt;&gt;1),"",'הזנה לתנאי סף'!G307)</f>
        <v>תל אביב -יפו</v>
      </c>
      <c r="G307" s="88" t="str">
        <f>IF($F307="","",'הזנה לתנאי סף'!H307)</f>
        <v>עמותת הכוריאוגרפים (ע"ר)</v>
      </c>
      <c r="H307" s="88" t="str">
        <f>IF($F307="","",'הזנה לתנאי סף'!I307)</f>
        <v>יוצרים עצמאיים במחול</v>
      </c>
      <c r="I307" s="213">
        <f>IF($F307="","",'תחום תמיכה א'!$I307)</f>
        <v>73514</v>
      </c>
      <c r="J307" s="213">
        <f>IF($F307="","",'תחום תמיכה א'!$J307)</f>
        <v>88054</v>
      </c>
      <c r="K307" s="213">
        <f>IF($F307="","",'תחום תמיכה א'!$K307)</f>
        <v>0</v>
      </c>
      <c r="L307" s="213">
        <f t="shared" si="50"/>
        <v>161568</v>
      </c>
      <c r="M307" s="214">
        <f t="shared" si="51"/>
        <v>0.45500346603287778</v>
      </c>
      <c r="N307" s="214">
        <f t="shared" si="60"/>
        <v>0.54499653396712222</v>
      </c>
      <c r="O307" s="213">
        <f t="shared" si="52"/>
        <v>47989.124801940983</v>
      </c>
      <c r="P307" s="213">
        <f>IF($F307="","",'פרמטרים לקריטריונים'!$C$59*O307)</f>
        <v>14396.737440582294</v>
      </c>
      <c r="Q307" s="214">
        <f t="shared" si="53"/>
        <v>8.1792043852960304E-5</v>
      </c>
      <c r="R307" s="213">
        <f t="shared" si="61"/>
        <v>8179.2043852960305</v>
      </c>
      <c r="S307" s="213">
        <f>IF($F307="","",'הזנה לתנאי סף'!N307)</f>
        <v>0</v>
      </c>
      <c r="T307" s="213">
        <f>IF($F307="","",'הזנה לתנאי סף'!O307)</f>
        <v>1</v>
      </c>
      <c r="U307" s="213">
        <f>IF($F307="","",'תחום תמיכה א'!W307)</f>
        <v>0</v>
      </c>
      <c r="V307" s="213">
        <f>IF($F307="","",'תחום תמיכה א'!X307)</f>
        <v>0</v>
      </c>
      <c r="W307" s="213">
        <f>IF($F307="","",'תחום תמיכה א'!Y307)</f>
        <v>1</v>
      </c>
      <c r="X307" s="231">
        <f>IF($F307="","",'תחום תמיכה א'!Z307)</f>
        <v>0</v>
      </c>
      <c r="Y307" s="213" t="str">
        <f>IF($F307="","",'תחום תמיכה א'!AA307)</f>
        <v/>
      </c>
      <c r="Z307" s="214" t="str">
        <f>IF($F307="","",'תחום תמיכה א'!AB307)</f>
        <v/>
      </c>
      <c r="AA307" s="225" t="str">
        <f>IF($F307="","",'תחום תמיכה א'!AC307)</f>
        <v/>
      </c>
      <c r="AB307" s="213" t="str">
        <f t="shared" si="54"/>
        <v/>
      </c>
      <c r="AC307" s="213">
        <f t="shared" si="55"/>
        <v>8179.2043852960305</v>
      </c>
      <c r="AD307" s="214">
        <f t="shared" si="56"/>
        <v>8.1971547826565041E-5</v>
      </c>
      <c r="AE307" s="213">
        <f t="shared" si="59"/>
        <v>8424.4582561286952</v>
      </c>
      <c r="AF307" s="214">
        <f t="shared" si="57"/>
        <v>8.1971547826565055E-5</v>
      </c>
    </row>
    <row r="308" spans="1:32" ht="15.75" x14ac:dyDescent="0.2">
      <c r="A308" s="206">
        <f t="shared" si="58"/>
        <v>278</v>
      </c>
      <c r="B308" s="88">
        <f>IF($F308="","",'הזנה לתנאי סף'!C308)</f>
        <v>1001348168</v>
      </c>
      <c r="C308" s="88">
        <f>IF($F308="","",'הזנה לתנאי סף'!D308)</f>
        <v>1001273658</v>
      </c>
      <c r="D308" s="88">
        <f>IF($F308="","",'הזנה לתנאי סף'!E308)</f>
        <v>40000564</v>
      </c>
      <c r="E308" s="88">
        <f>IF($F308="","",'הזנה לתנאי סף'!F308)</f>
        <v>20000201</v>
      </c>
      <c r="F308" s="88" t="str">
        <f>IF(OR('הזנה לתנאי סף'!G308="",'הזנה לתנאי סף'!BL308&lt;&gt;1,'הזנה לתנאי סף'!Q308&lt;&gt;1),"",'הזנה לתנאי סף'!G308)</f>
        <v>תל אביב -יפו</v>
      </c>
      <c r="G308" s="88" t="str">
        <f>IF($F308="","",'הזנה לתנאי סף'!H308)</f>
        <v>עמותת הכוריאוגרפים (ע"ר)</v>
      </c>
      <c r="H308" s="88" t="str">
        <f>IF($F308="","",'הזנה לתנאי סף'!I308)</f>
        <v>יוצרים עצמאיים במחול</v>
      </c>
      <c r="I308" s="213">
        <f>IF($F308="","",'תחום תמיכה א'!$I308)</f>
        <v>53478</v>
      </c>
      <c r="J308" s="213">
        <f>IF($F308="","",'תחום תמיכה א'!$J308)</f>
        <v>115120</v>
      </c>
      <c r="K308" s="213">
        <f>IF($F308="","",'תחום תמיכה א'!$K308)</f>
        <v>0</v>
      </c>
      <c r="L308" s="213">
        <f t="shared" si="50"/>
        <v>168598</v>
      </c>
      <c r="M308" s="214">
        <f t="shared" si="51"/>
        <v>0.31719237476126644</v>
      </c>
      <c r="N308" s="214">
        <f t="shared" si="60"/>
        <v>0.68280762523873362</v>
      </c>
      <c r="O308" s="213">
        <f t="shared" si="52"/>
        <v>78604.813817483009</v>
      </c>
      <c r="P308" s="213">
        <f>IF($F308="","",'פרמטרים לקריטריונים'!$C$59*O308)</f>
        <v>23581.444145244903</v>
      </c>
      <c r="Q308" s="214">
        <f t="shared" si="53"/>
        <v>1.3397302837565628E-4</v>
      </c>
      <c r="R308" s="213">
        <f t="shared" si="61"/>
        <v>13397.302837565627</v>
      </c>
      <c r="S308" s="213">
        <f>IF($F308="","",'הזנה לתנאי סף'!N308)</f>
        <v>0</v>
      </c>
      <c r="T308" s="213">
        <f>IF($F308="","",'הזנה לתנאי סף'!O308)</f>
        <v>1</v>
      </c>
      <c r="U308" s="213">
        <f>IF($F308="","",'תחום תמיכה א'!W308)</f>
        <v>0</v>
      </c>
      <c r="V308" s="213">
        <f>IF($F308="","",'תחום תמיכה א'!X308)</f>
        <v>0</v>
      </c>
      <c r="W308" s="213">
        <f>IF($F308="","",'תחום תמיכה א'!Y308)</f>
        <v>1</v>
      </c>
      <c r="X308" s="231">
        <f>IF($F308="","",'תחום תמיכה א'!Z308)</f>
        <v>0</v>
      </c>
      <c r="Y308" s="213" t="str">
        <f>IF($F308="","",'תחום תמיכה א'!AA308)</f>
        <v/>
      </c>
      <c r="Z308" s="214" t="str">
        <f>IF($F308="","",'תחום תמיכה א'!AB308)</f>
        <v/>
      </c>
      <c r="AA308" s="225" t="str">
        <f>IF($F308="","",'תחום תמיכה א'!AC308)</f>
        <v/>
      </c>
      <c r="AB308" s="213" t="str">
        <f t="shared" si="54"/>
        <v/>
      </c>
      <c r="AC308" s="213">
        <f t="shared" si="55"/>
        <v>13397.302837565627</v>
      </c>
      <c r="AD308" s="214">
        <f t="shared" si="56"/>
        <v>1.3426705075016159E-4</v>
      </c>
      <c r="AE308" s="213">
        <f t="shared" si="59"/>
        <v>13799.021663120015</v>
      </c>
      <c r="AF308" s="214">
        <f t="shared" si="57"/>
        <v>1.3426705075016162E-4</v>
      </c>
    </row>
    <row r="309" spans="1:32" ht="15.75" x14ac:dyDescent="0.2">
      <c r="A309" s="206">
        <f t="shared" si="58"/>
        <v>279</v>
      </c>
      <c r="B309" s="88">
        <f>IF($F309="","",'הזנה לתנאי סף'!C309)</f>
        <v>1001348169</v>
      </c>
      <c r="C309" s="88">
        <f>IF($F309="","",'הזנה לתנאי סף'!D309)</f>
        <v>1001273657</v>
      </c>
      <c r="D309" s="88">
        <f>IF($F309="","",'הזנה לתנאי סף'!E309)</f>
        <v>40000564</v>
      </c>
      <c r="E309" s="88">
        <f>IF($F309="","",'הזנה לתנאי סף'!F309)</f>
        <v>20000201</v>
      </c>
      <c r="F309" s="88" t="str">
        <f>IF(OR('הזנה לתנאי סף'!G309="",'הזנה לתנאי סף'!BL309&lt;&gt;1,'הזנה לתנאי סף'!Q309&lt;&gt;1),"",'הזנה לתנאי סף'!G309)</f>
        <v>תל אביב -יפו</v>
      </c>
      <c r="G309" s="88" t="str">
        <f>IF($F309="","",'הזנה לתנאי סף'!H309)</f>
        <v>עמותת הכוריאוגרפים (ע"ר)</v>
      </c>
      <c r="H309" s="88" t="str">
        <f>IF($F309="","",'הזנה לתנאי סף'!I309)</f>
        <v>יוצרים עצמאיים במחול</v>
      </c>
      <c r="I309" s="213">
        <f>IF($F309="","",'תחום תמיכה א'!$I309)</f>
        <v>66717</v>
      </c>
      <c r="J309" s="213">
        <f>IF($F309="","",'תחום תמיכה א'!$J309)</f>
        <v>41609</v>
      </c>
      <c r="K309" s="213">
        <f>IF($F309="","",'תחום תמיכה א'!$K309)</f>
        <v>0</v>
      </c>
      <c r="L309" s="213">
        <f t="shared" si="50"/>
        <v>108326</v>
      </c>
      <c r="M309" s="214">
        <f t="shared" si="51"/>
        <v>0.61589092184701733</v>
      </c>
      <c r="N309" s="214">
        <f t="shared" si="60"/>
        <v>0.38410907815298267</v>
      </c>
      <c r="O309" s="213">
        <f t="shared" si="52"/>
        <v>15982.394632867456</v>
      </c>
      <c r="P309" s="213">
        <f>IF($F309="","",'פרמטרים לקריטריונים'!$C$59*O309)</f>
        <v>4794.7183898602361</v>
      </c>
      <c r="Q309" s="214">
        <f t="shared" si="53"/>
        <v>2.7240186773190318E-5</v>
      </c>
      <c r="R309" s="213">
        <f t="shared" si="61"/>
        <v>2724.0186773190317</v>
      </c>
      <c r="S309" s="213">
        <f>IF($F309="","",'הזנה לתנאי סף'!N309)</f>
        <v>0</v>
      </c>
      <c r="T309" s="213">
        <f>IF($F309="","",'הזנה לתנאי סף'!O309)</f>
        <v>1</v>
      </c>
      <c r="U309" s="213">
        <f>IF($F309="","",'תחום תמיכה א'!W309)</f>
        <v>0</v>
      </c>
      <c r="V309" s="213">
        <f>IF($F309="","",'תחום תמיכה א'!X309)</f>
        <v>0</v>
      </c>
      <c r="W309" s="213">
        <f>IF($F309="","",'תחום תמיכה א'!Y309)</f>
        <v>1</v>
      </c>
      <c r="X309" s="231">
        <f>IF($F309="","",'תחום תמיכה א'!Z309)</f>
        <v>0</v>
      </c>
      <c r="Y309" s="213" t="str">
        <f>IF($F309="","",'תחום תמיכה א'!AA309)</f>
        <v/>
      </c>
      <c r="Z309" s="214" t="str">
        <f>IF($F309="","",'תחום תמיכה א'!AB309)</f>
        <v/>
      </c>
      <c r="AA309" s="225" t="str">
        <f>IF($F309="","",'תחום תמיכה א'!AC309)</f>
        <v/>
      </c>
      <c r="AB309" s="213" t="str">
        <f t="shared" si="54"/>
        <v/>
      </c>
      <c r="AC309" s="213">
        <f t="shared" si="55"/>
        <v>2724.0186773190317</v>
      </c>
      <c r="AD309" s="214">
        <f t="shared" si="56"/>
        <v>2.7299969137552226E-5</v>
      </c>
      <c r="AE309" s="213">
        <f t="shared" si="59"/>
        <v>2805.6985196804703</v>
      </c>
      <c r="AF309" s="214">
        <f t="shared" si="57"/>
        <v>2.729996913755223E-5</v>
      </c>
    </row>
    <row r="310" spans="1:32" ht="15.75" x14ac:dyDescent="0.2">
      <c r="A310" s="206">
        <f t="shared" si="58"/>
        <v>280</v>
      </c>
      <c r="B310" s="88">
        <f>IF($F310="","",'הזנה לתנאי סף'!C310)</f>
        <v>1001348170</v>
      </c>
      <c r="C310" s="88">
        <f>IF($F310="","",'הזנה לתנאי סף'!D310)</f>
        <v>1001273655</v>
      </c>
      <c r="D310" s="88">
        <f>IF($F310="","",'הזנה לתנאי סף'!E310)</f>
        <v>40000564</v>
      </c>
      <c r="E310" s="88">
        <f>IF($F310="","",'הזנה לתנאי סף'!F310)</f>
        <v>20000201</v>
      </c>
      <c r="F310" s="88" t="str">
        <f>IF(OR('הזנה לתנאי סף'!G310="",'הזנה לתנאי סף'!BL310&lt;&gt;1,'הזנה לתנאי סף'!Q310&lt;&gt;1),"",'הזנה לתנאי סף'!G310)</f>
        <v>תל אביב -יפו</v>
      </c>
      <c r="G310" s="88" t="str">
        <f>IF($F310="","",'הזנה לתנאי סף'!H310)</f>
        <v>עמותת הכוריאוגרפים (ע"ר)</v>
      </c>
      <c r="H310" s="88" t="str">
        <f>IF($F310="","",'הזנה לתנאי סף'!I310)</f>
        <v>יוצרים עצמאיים במחול</v>
      </c>
      <c r="I310" s="213">
        <f>IF($F310="","",'תחום תמיכה א'!$I310)</f>
        <v>166862</v>
      </c>
      <c r="J310" s="213">
        <f>IF($F310="","",'תחום תמיכה א'!$J310)</f>
        <v>98541</v>
      </c>
      <c r="K310" s="213">
        <f>IF($F310="","",'תחום תמיכה א'!$K310)</f>
        <v>440</v>
      </c>
      <c r="L310" s="213">
        <f t="shared" si="50"/>
        <v>265843</v>
      </c>
      <c r="M310" s="214">
        <f t="shared" si="51"/>
        <v>0.62767121947916626</v>
      </c>
      <c r="N310" s="214">
        <f t="shared" si="60"/>
        <v>0.37232878052083374</v>
      </c>
      <c r="O310" s="213">
        <f t="shared" si="52"/>
        <v>36689.65036130348</v>
      </c>
      <c r="P310" s="213">
        <f>IF($F310="","",'פרמטרים לקריטריונים'!$C$59*O310)</f>
        <v>11006.895108391043</v>
      </c>
      <c r="Q310" s="214">
        <f t="shared" si="53"/>
        <v>6.2533365709143719E-5</v>
      </c>
      <c r="R310" s="213">
        <f t="shared" si="61"/>
        <v>6253.3365709143718</v>
      </c>
      <c r="S310" s="213">
        <f>IF($F310="","",'הזנה לתנאי סף'!N310)</f>
        <v>0</v>
      </c>
      <c r="T310" s="213">
        <f>IF($F310="","",'הזנה לתנאי סף'!O310)</f>
        <v>1</v>
      </c>
      <c r="U310" s="213">
        <f>IF($F310="","",'תחום תמיכה א'!W310)</f>
        <v>0</v>
      </c>
      <c r="V310" s="213">
        <f>IF($F310="","",'תחום תמיכה א'!X310)</f>
        <v>0</v>
      </c>
      <c r="W310" s="213">
        <f>IF($F310="","",'תחום תמיכה א'!Y310)</f>
        <v>1</v>
      </c>
      <c r="X310" s="231">
        <f>IF($F310="","",'תחום תמיכה א'!Z310)</f>
        <v>0</v>
      </c>
      <c r="Y310" s="213" t="str">
        <f>IF($F310="","",'תחום תמיכה א'!AA310)</f>
        <v/>
      </c>
      <c r="Z310" s="214" t="str">
        <f>IF($F310="","",'תחום תמיכה א'!AB310)</f>
        <v/>
      </c>
      <c r="AA310" s="225" t="str">
        <f>IF($F310="","",'תחום תמיכה א'!AC310)</f>
        <v/>
      </c>
      <c r="AB310" s="213" t="str">
        <f t="shared" si="54"/>
        <v/>
      </c>
      <c r="AC310" s="213">
        <f t="shared" si="55"/>
        <v>6253.3365709143718</v>
      </c>
      <c r="AD310" s="214">
        <f t="shared" si="56"/>
        <v>6.2670603845017291E-5</v>
      </c>
      <c r="AE310" s="213">
        <f t="shared" si="59"/>
        <v>6440.8431947118288</v>
      </c>
      <c r="AF310" s="214">
        <f t="shared" si="57"/>
        <v>6.2670603845017304E-5</v>
      </c>
    </row>
    <row r="311" spans="1:32" ht="15.75" x14ac:dyDescent="0.2">
      <c r="A311" s="206">
        <f t="shared" si="58"/>
        <v>281</v>
      </c>
      <c r="B311" s="88">
        <f>IF($F311="","",'הזנה לתנאי סף'!C311)</f>
        <v>1001348171</v>
      </c>
      <c r="C311" s="88">
        <f>IF($F311="","",'הזנה לתנאי סף'!D311)</f>
        <v>1001273653</v>
      </c>
      <c r="D311" s="88">
        <f>IF($F311="","",'הזנה לתנאי סף'!E311)</f>
        <v>40000564</v>
      </c>
      <c r="E311" s="88">
        <f>IF($F311="","",'הזנה לתנאי סף'!F311)</f>
        <v>20000201</v>
      </c>
      <c r="F311" s="88" t="str">
        <f>IF(OR('הזנה לתנאי סף'!G311="",'הזנה לתנאי סף'!BL311&lt;&gt;1,'הזנה לתנאי סף'!Q311&lt;&gt;1),"",'הזנה לתנאי סף'!G311)</f>
        <v>תל אביב -יפו</v>
      </c>
      <c r="G311" s="88" t="str">
        <f>IF($F311="","",'הזנה לתנאי סף'!H311)</f>
        <v>עמותת הכוריאוגרפים (ע"ר)</v>
      </c>
      <c r="H311" s="88" t="str">
        <f>IF($F311="","",'הזנה לתנאי סף'!I311)</f>
        <v>יוצרים עצמאיים במחול</v>
      </c>
      <c r="I311" s="213">
        <f>IF($F311="","",'תחום תמיכה א'!$I311)</f>
        <v>88652</v>
      </c>
      <c r="J311" s="213">
        <f>IF($F311="","",'תחום תמיכה א'!$J311)</f>
        <v>102769</v>
      </c>
      <c r="K311" s="213">
        <f>IF($F311="","",'תחום תמיכה א'!$K311)</f>
        <v>0</v>
      </c>
      <c r="L311" s="213">
        <f t="shared" si="50"/>
        <v>191421</v>
      </c>
      <c r="M311" s="214">
        <f t="shared" si="51"/>
        <v>0.4631257803480287</v>
      </c>
      <c r="N311" s="214">
        <f t="shared" si="60"/>
        <v>0.53687421965197135</v>
      </c>
      <c r="O311" s="213">
        <f t="shared" si="52"/>
        <v>55174.026679413444</v>
      </c>
      <c r="P311" s="213">
        <f>IF($F311="","",'פרמטרים לקריטריונים'!$C$59*O311)</f>
        <v>16552.208003824031</v>
      </c>
      <c r="Q311" s="214">
        <f t="shared" si="53"/>
        <v>9.403789771811925E-5</v>
      </c>
      <c r="R311" s="213">
        <f t="shared" si="61"/>
        <v>9403.7897718119257</v>
      </c>
      <c r="S311" s="213">
        <f>IF($F311="","",'הזנה לתנאי סף'!N311)</f>
        <v>0</v>
      </c>
      <c r="T311" s="213">
        <f>IF($F311="","",'הזנה לתנאי סף'!O311)</f>
        <v>1</v>
      </c>
      <c r="U311" s="213">
        <f>IF($F311="","",'תחום תמיכה א'!W311)</f>
        <v>0</v>
      </c>
      <c r="V311" s="213">
        <f>IF($F311="","",'תחום תמיכה א'!X311)</f>
        <v>0</v>
      </c>
      <c r="W311" s="213">
        <f>IF($F311="","",'תחום תמיכה א'!Y311)</f>
        <v>1</v>
      </c>
      <c r="X311" s="231">
        <f>IF($F311="","",'תחום תמיכה א'!Z311)</f>
        <v>0</v>
      </c>
      <c r="Y311" s="213" t="str">
        <f>IF($F311="","",'תחום תמיכה א'!AA311)</f>
        <v/>
      </c>
      <c r="Z311" s="214" t="str">
        <f>IF($F311="","",'תחום תמיכה א'!AB311)</f>
        <v/>
      </c>
      <c r="AA311" s="225" t="str">
        <f>IF($F311="","",'תחום תמיכה א'!AC311)</f>
        <v/>
      </c>
      <c r="AB311" s="213" t="str">
        <f t="shared" si="54"/>
        <v/>
      </c>
      <c r="AC311" s="213">
        <f t="shared" si="55"/>
        <v>9403.7897718119257</v>
      </c>
      <c r="AD311" s="214">
        <f t="shared" si="56"/>
        <v>9.4244276914856091E-5</v>
      </c>
      <c r="AE311" s="213">
        <f t="shared" si="59"/>
        <v>9685.7628994402821</v>
      </c>
      <c r="AF311" s="214">
        <f t="shared" si="57"/>
        <v>9.4244276914856104E-5</v>
      </c>
    </row>
    <row r="312" spans="1:32" ht="15.75" x14ac:dyDescent="0.2">
      <c r="A312" s="206">
        <f t="shared" si="58"/>
        <v>282</v>
      </c>
      <c r="B312" s="88">
        <f>IF($F312="","",'הזנה לתנאי סף'!C312)</f>
        <v>1001348172</v>
      </c>
      <c r="C312" s="88">
        <f>IF($F312="","",'הזנה לתנאי סף'!D312)</f>
        <v>1001273649</v>
      </c>
      <c r="D312" s="88">
        <f>IF($F312="","",'הזנה לתנאי סף'!E312)</f>
        <v>40000564</v>
      </c>
      <c r="E312" s="88">
        <f>IF($F312="","",'הזנה לתנאי סף'!F312)</f>
        <v>20000201</v>
      </c>
      <c r="F312" s="88" t="str">
        <f>IF(OR('הזנה לתנאי סף'!G312="",'הזנה לתנאי סף'!BL312&lt;&gt;1,'הזנה לתנאי סף'!Q312&lt;&gt;1),"",'הזנה לתנאי סף'!G312)</f>
        <v>תל אביב -יפו</v>
      </c>
      <c r="G312" s="88" t="str">
        <f>IF($F312="","",'הזנה לתנאי סף'!H312)</f>
        <v>עמותת הכוריאוגרפים (ע"ר)</v>
      </c>
      <c r="H312" s="88" t="str">
        <f>IF($F312="","",'הזנה לתנאי סף'!I312)</f>
        <v>יוצרים עצמאיים במחול</v>
      </c>
      <c r="I312" s="213">
        <f>IF($F312="","",'תחום תמיכה א'!$I312)</f>
        <v>80042</v>
      </c>
      <c r="J312" s="213">
        <f>IF($F312="","",'תחום תמיכה א'!$J312)</f>
        <v>96928</v>
      </c>
      <c r="K312" s="213">
        <f>IF($F312="","",'תחום תמיכה א'!$K312)</f>
        <v>0</v>
      </c>
      <c r="L312" s="213">
        <f t="shared" si="50"/>
        <v>176970</v>
      </c>
      <c r="M312" s="214">
        <f t="shared" si="51"/>
        <v>0.45229134881618355</v>
      </c>
      <c r="N312" s="214">
        <f t="shared" si="60"/>
        <v>0.54770865118381651</v>
      </c>
      <c r="O312" s="213">
        <f t="shared" si="52"/>
        <v>53088.304141944966</v>
      </c>
      <c r="P312" s="213">
        <f>IF($F312="","",'פרמטרים לקריטריונים'!$C$59*O312)</f>
        <v>15926.491242583488</v>
      </c>
      <c r="Q312" s="214">
        <f t="shared" si="53"/>
        <v>9.0483019191915548E-5</v>
      </c>
      <c r="R312" s="213">
        <f t="shared" si="61"/>
        <v>9048.3019191915555</v>
      </c>
      <c r="S312" s="213">
        <f>IF($F312="","",'הזנה לתנאי סף'!N312)</f>
        <v>0</v>
      </c>
      <c r="T312" s="213">
        <f>IF($F312="","",'הזנה לתנאי סף'!O312)</f>
        <v>1</v>
      </c>
      <c r="U312" s="213">
        <f>IF($F312="","",'תחום תמיכה א'!W312)</f>
        <v>0</v>
      </c>
      <c r="V312" s="213">
        <f>IF($F312="","",'תחום תמיכה א'!X312)</f>
        <v>0</v>
      </c>
      <c r="W312" s="213">
        <f>IF($F312="","",'תחום תמיכה א'!Y312)</f>
        <v>1</v>
      </c>
      <c r="X312" s="231">
        <f>IF($F312="","",'תחום תמיכה א'!Z312)</f>
        <v>0</v>
      </c>
      <c r="Y312" s="213" t="str">
        <f>IF($F312="","",'תחום תמיכה א'!AA312)</f>
        <v/>
      </c>
      <c r="Z312" s="214" t="str">
        <f>IF($F312="","",'תחום תמיכה א'!AB312)</f>
        <v/>
      </c>
      <c r="AA312" s="225" t="str">
        <f>IF($F312="","",'תחום תמיכה א'!AC312)</f>
        <v/>
      </c>
      <c r="AB312" s="213" t="str">
        <f t="shared" si="54"/>
        <v/>
      </c>
      <c r="AC312" s="213">
        <f t="shared" si="55"/>
        <v>9048.3019191915555</v>
      </c>
      <c r="AD312" s="214">
        <f t="shared" si="56"/>
        <v>9.0681596715151203E-5</v>
      </c>
      <c r="AE312" s="213">
        <f t="shared" si="59"/>
        <v>9319.6157249858879</v>
      </c>
      <c r="AF312" s="214">
        <f t="shared" si="57"/>
        <v>9.068159671515123E-5</v>
      </c>
    </row>
    <row r="313" spans="1:32" ht="15.75" x14ac:dyDescent="0.2">
      <c r="A313" s="206">
        <f t="shared" si="58"/>
        <v>283</v>
      </c>
      <c r="B313" s="88">
        <f>IF($F313="","",'הזנה לתנאי סף'!C313)</f>
        <v>1001348173</v>
      </c>
      <c r="C313" s="88">
        <f>IF($F313="","",'הזנה לתנאי סף'!D313)</f>
        <v>1001273634</v>
      </c>
      <c r="D313" s="88">
        <f>IF($F313="","",'הזנה לתנאי סף'!E313)</f>
        <v>40000564</v>
      </c>
      <c r="E313" s="88">
        <f>IF($F313="","",'הזנה לתנאי סף'!F313)</f>
        <v>20000201</v>
      </c>
      <c r="F313" s="88" t="str">
        <f>IF(OR('הזנה לתנאי סף'!G313="",'הזנה לתנאי סף'!BL313&lt;&gt;1,'הזנה לתנאי סף'!Q313&lt;&gt;1),"",'הזנה לתנאי סף'!G313)</f>
        <v>תל אביב -יפו</v>
      </c>
      <c r="G313" s="88" t="str">
        <f>IF($F313="","",'הזנה לתנאי סף'!H313)</f>
        <v>עמותת הכוריאוגרפים (ע"ר)</v>
      </c>
      <c r="H313" s="88" t="str">
        <f>IF($F313="","",'הזנה לתנאי סף'!I313)</f>
        <v>יוצרים עצמאיים במחול</v>
      </c>
      <c r="I313" s="213">
        <f>IF($F313="","",'תחום תמיכה א'!$I313)</f>
        <v>144434</v>
      </c>
      <c r="J313" s="213">
        <f>IF($F313="","",'תחום תמיכה א'!$J313)</f>
        <v>115222</v>
      </c>
      <c r="K313" s="213">
        <f>IF($F313="","",'תחום תמיכה א'!$K313)</f>
        <v>0</v>
      </c>
      <c r="L313" s="213">
        <f t="shared" si="50"/>
        <v>259656</v>
      </c>
      <c r="M313" s="214">
        <f t="shared" si="51"/>
        <v>0.55625134793727082</v>
      </c>
      <c r="N313" s="214">
        <f t="shared" si="60"/>
        <v>0.44374865206272918</v>
      </c>
      <c r="O313" s="213">
        <f t="shared" si="52"/>
        <v>51129.607187971778</v>
      </c>
      <c r="P313" s="213">
        <f>IF($F313="","",'פרמטרים לקריטריונים'!$C$59*O313)</f>
        <v>15338.882156391533</v>
      </c>
      <c r="Q313" s="214">
        <f t="shared" si="53"/>
        <v>8.7144641427886084E-5</v>
      </c>
      <c r="R313" s="213">
        <f t="shared" si="61"/>
        <v>8714.464142788609</v>
      </c>
      <c r="S313" s="213">
        <f>IF($F313="","",'הזנה לתנאי סף'!N313)</f>
        <v>0</v>
      </c>
      <c r="T313" s="213">
        <f>IF($F313="","",'הזנה לתנאי סף'!O313)</f>
        <v>1</v>
      </c>
      <c r="U313" s="213">
        <f>IF($F313="","",'תחום תמיכה א'!W313)</f>
        <v>0</v>
      </c>
      <c r="V313" s="213">
        <f>IF($F313="","",'תחום תמיכה א'!X313)</f>
        <v>0</v>
      </c>
      <c r="W313" s="213">
        <f>IF($F313="","",'תחום תמיכה א'!Y313)</f>
        <v>1</v>
      </c>
      <c r="X313" s="231">
        <f>IF($F313="","",'תחום תמיכה א'!Z313)</f>
        <v>0</v>
      </c>
      <c r="Y313" s="213" t="str">
        <f>IF($F313="","",'תחום תמיכה א'!AA313)</f>
        <v/>
      </c>
      <c r="Z313" s="214" t="str">
        <f>IF($F313="","",'תחום תמיכה א'!AB313)</f>
        <v/>
      </c>
      <c r="AA313" s="225" t="str">
        <f>IF($F313="","",'תחום תמיכה א'!AC313)</f>
        <v/>
      </c>
      <c r="AB313" s="213" t="str">
        <f t="shared" si="54"/>
        <v/>
      </c>
      <c r="AC313" s="213">
        <f t="shared" si="55"/>
        <v>8714.464142788609</v>
      </c>
      <c r="AD313" s="214">
        <f t="shared" si="56"/>
        <v>8.7335892418542184E-5</v>
      </c>
      <c r="AE313" s="213">
        <f t="shared" si="59"/>
        <v>8975.7678054154494</v>
      </c>
      <c r="AF313" s="214">
        <f t="shared" si="57"/>
        <v>8.7335892418542212E-5</v>
      </c>
    </row>
    <row r="314" spans="1:32" ht="15.75" x14ac:dyDescent="0.2">
      <c r="A314" s="206">
        <f t="shared" si="58"/>
        <v>284</v>
      </c>
      <c r="B314" s="88">
        <f>IF($F314="","",'הזנה לתנאי סף'!C314)</f>
        <v>1001348174</v>
      </c>
      <c r="C314" s="88">
        <f>IF($F314="","",'הזנה לתנאי סף'!D314)</f>
        <v>1001273636</v>
      </c>
      <c r="D314" s="88">
        <f>IF($F314="","",'הזנה לתנאי סף'!E314)</f>
        <v>40000564</v>
      </c>
      <c r="E314" s="88">
        <f>IF($F314="","",'הזנה לתנאי סף'!F314)</f>
        <v>20000201</v>
      </c>
      <c r="F314" s="88" t="str">
        <f>IF(OR('הזנה לתנאי סף'!G314="",'הזנה לתנאי סף'!BL314&lt;&gt;1,'הזנה לתנאי סף'!Q314&lt;&gt;1),"",'הזנה לתנאי סף'!G314)</f>
        <v>תל אביב -יפו</v>
      </c>
      <c r="G314" s="88" t="str">
        <f>IF($F314="","",'הזנה לתנאי סף'!H314)</f>
        <v>עמותת הכוריאוגרפים (ע"ר)</v>
      </c>
      <c r="H314" s="88" t="str">
        <f>IF($F314="","",'הזנה לתנאי סף'!I314)</f>
        <v>יוצרים עצמאיים במחול</v>
      </c>
      <c r="I314" s="213">
        <f>IF($F314="","",'תחום תמיכה א'!$I314)</f>
        <v>141618</v>
      </c>
      <c r="J314" s="213">
        <f>IF($F314="","",'תחום תמיכה א'!$J314)</f>
        <v>74574</v>
      </c>
      <c r="K314" s="213">
        <f>IF($F314="","",'תחום תמיכה א'!$K314)</f>
        <v>0</v>
      </c>
      <c r="L314" s="213">
        <f t="shared" si="50"/>
        <v>216192</v>
      </c>
      <c r="M314" s="214">
        <f t="shared" si="51"/>
        <v>0.65505661634103018</v>
      </c>
      <c r="N314" s="214">
        <f t="shared" si="60"/>
        <v>0.34494338365896982</v>
      </c>
      <c r="O314" s="213">
        <f t="shared" si="52"/>
        <v>25723.807892984016</v>
      </c>
      <c r="P314" s="213">
        <f>IF($F314="","",'פרמטרים לקריטריונים'!$C$59*O314)</f>
        <v>7717.1423678952042</v>
      </c>
      <c r="Q314" s="214">
        <f t="shared" si="53"/>
        <v>4.3843325585362118E-5</v>
      </c>
      <c r="R314" s="213">
        <f t="shared" si="61"/>
        <v>4384.3325585362118</v>
      </c>
      <c r="S314" s="213">
        <f>IF($F314="","",'הזנה לתנאי סף'!N314)</f>
        <v>0</v>
      </c>
      <c r="T314" s="213">
        <f>IF($F314="","",'הזנה לתנאי סף'!O314)</f>
        <v>1</v>
      </c>
      <c r="U314" s="213">
        <f>IF($F314="","",'תחום תמיכה א'!W314)</f>
        <v>0</v>
      </c>
      <c r="V314" s="213">
        <f>IF($F314="","",'תחום תמיכה א'!X314)</f>
        <v>0</v>
      </c>
      <c r="W314" s="213">
        <f>IF($F314="","",'תחום תמיכה א'!Y314)</f>
        <v>1</v>
      </c>
      <c r="X314" s="231">
        <f>IF($F314="","",'תחום תמיכה א'!Z314)</f>
        <v>0</v>
      </c>
      <c r="Y314" s="213" t="str">
        <f>IF($F314="","",'תחום תמיכה א'!AA314)</f>
        <v/>
      </c>
      <c r="Z314" s="214" t="str">
        <f>IF($F314="","",'תחום תמיכה א'!AB314)</f>
        <v/>
      </c>
      <c r="AA314" s="225" t="str">
        <f>IF($F314="","",'תחום תמיכה א'!AC314)</f>
        <v/>
      </c>
      <c r="AB314" s="213" t="str">
        <f t="shared" si="54"/>
        <v/>
      </c>
      <c r="AC314" s="213">
        <f t="shared" si="55"/>
        <v>4384.3325585362118</v>
      </c>
      <c r="AD314" s="214">
        <f t="shared" si="56"/>
        <v>4.3939545838431807E-5</v>
      </c>
      <c r="AE314" s="213">
        <f t="shared" si="59"/>
        <v>4515.7969993725037</v>
      </c>
      <c r="AF314" s="214">
        <f t="shared" si="57"/>
        <v>4.393954583843182E-5</v>
      </c>
    </row>
    <row r="315" spans="1:32" ht="15.75" x14ac:dyDescent="0.2">
      <c r="A315" s="206">
        <f t="shared" si="58"/>
        <v>285</v>
      </c>
      <c r="B315" s="88">
        <f>IF($F315="","",'הזנה לתנאי סף'!C315)</f>
        <v>1001348175</v>
      </c>
      <c r="C315" s="88">
        <f>IF($F315="","",'הזנה לתנאי סף'!D315)</f>
        <v>1001273638</v>
      </c>
      <c r="D315" s="88">
        <f>IF($F315="","",'הזנה לתנאי סף'!E315)</f>
        <v>40000564</v>
      </c>
      <c r="E315" s="88">
        <f>IF($F315="","",'הזנה לתנאי סף'!F315)</f>
        <v>20000201</v>
      </c>
      <c r="F315" s="88" t="str">
        <f>IF(OR('הזנה לתנאי סף'!G315="",'הזנה לתנאי סף'!BL315&lt;&gt;1,'הזנה לתנאי סף'!Q315&lt;&gt;1),"",'הזנה לתנאי סף'!G315)</f>
        <v>תל אביב -יפו</v>
      </c>
      <c r="G315" s="88" t="str">
        <f>IF($F315="","",'הזנה לתנאי סף'!H315)</f>
        <v>עמותת הכוריאוגרפים (ע"ר)</v>
      </c>
      <c r="H315" s="88" t="str">
        <f>IF($F315="","",'הזנה לתנאי סף'!I315)</f>
        <v>יוצרים עצמאיים במחול</v>
      </c>
      <c r="I315" s="213">
        <f>IF($F315="","",'תחום תמיכה א'!$I315)</f>
        <v>213945</v>
      </c>
      <c r="J315" s="213">
        <f>IF($F315="","",'תחום תמיכה א'!$J315)</f>
        <v>175215</v>
      </c>
      <c r="K315" s="213">
        <f>IF($F315="","",'תחום תמיכה א'!$K315)</f>
        <v>0</v>
      </c>
      <c r="L315" s="213">
        <f t="shared" si="50"/>
        <v>389160</v>
      </c>
      <c r="M315" s="214">
        <f t="shared" si="51"/>
        <v>0.54976102374344737</v>
      </c>
      <c r="N315" s="214">
        <f t="shared" si="60"/>
        <v>0.45023897625655263</v>
      </c>
      <c r="O315" s="213">
        <f t="shared" si="52"/>
        <v>78888.622224791863</v>
      </c>
      <c r="P315" s="213">
        <f>IF($F315="","",'פרמטרים לקריטריונים'!$C$59*O315)</f>
        <v>23666.586667437557</v>
      </c>
      <c r="Q315" s="214">
        <f t="shared" si="53"/>
        <v>1.3445674775566685E-4</v>
      </c>
      <c r="R315" s="213">
        <f t="shared" si="61"/>
        <v>13445.674775566686</v>
      </c>
      <c r="S315" s="213">
        <f>IF($F315="","",'הזנה לתנאי סף'!N315)</f>
        <v>0</v>
      </c>
      <c r="T315" s="213">
        <f>IF($F315="","",'הזנה לתנאי סף'!O315)</f>
        <v>1</v>
      </c>
      <c r="U315" s="213">
        <f>IF($F315="","",'תחום תמיכה א'!W315)</f>
        <v>0</v>
      </c>
      <c r="V315" s="213">
        <f>IF($F315="","",'תחום תמיכה א'!X315)</f>
        <v>0</v>
      </c>
      <c r="W315" s="213">
        <f>IF($F315="","",'תחום תמיכה א'!Y315)</f>
        <v>1</v>
      </c>
      <c r="X315" s="231">
        <f>IF($F315="","",'תחום תמיכה א'!Z315)</f>
        <v>0</v>
      </c>
      <c r="Y315" s="213" t="str">
        <f>IF($F315="","",'תחום תמיכה א'!AA315)</f>
        <v/>
      </c>
      <c r="Z315" s="214" t="str">
        <f>IF($F315="","",'תחום תמיכה א'!AB315)</f>
        <v/>
      </c>
      <c r="AA315" s="225" t="str">
        <f>IF($F315="","",'תחום תמיכה א'!AC315)</f>
        <v/>
      </c>
      <c r="AB315" s="213" t="str">
        <f t="shared" si="54"/>
        <v/>
      </c>
      <c r="AC315" s="213">
        <f t="shared" si="55"/>
        <v>13445.674775566686</v>
      </c>
      <c r="AD315" s="214">
        <f t="shared" si="56"/>
        <v>1.3475183171937733E-4</v>
      </c>
      <c r="AE315" s="213">
        <f t="shared" si="59"/>
        <v>13848.844036209328</v>
      </c>
      <c r="AF315" s="214">
        <f t="shared" si="57"/>
        <v>1.3475183171937735E-4</v>
      </c>
    </row>
    <row r="316" spans="1:32" ht="15.75" x14ac:dyDescent="0.2">
      <c r="A316" s="206">
        <f t="shared" si="58"/>
        <v>286</v>
      </c>
      <c r="B316" s="88">
        <f>IF($F316="","",'הזנה לתנאי סף'!C316)</f>
        <v>1001348176</v>
      </c>
      <c r="C316" s="88">
        <f>IF($F316="","",'הזנה לתנאי סף'!D316)</f>
        <v>1001273641</v>
      </c>
      <c r="D316" s="88">
        <f>IF($F316="","",'הזנה לתנאי סף'!E316)</f>
        <v>40000564</v>
      </c>
      <c r="E316" s="88">
        <f>IF($F316="","",'הזנה לתנאי סף'!F316)</f>
        <v>20000201</v>
      </c>
      <c r="F316" s="88" t="str">
        <f>IF(OR('הזנה לתנאי סף'!G316="",'הזנה לתנאי סף'!BL316&lt;&gt;1,'הזנה לתנאי סף'!Q316&lt;&gt;1),"",'הזנה לתנאי סף'!G316)</f>
        <v>תל אביב -יפו</v>
      </c>
      <c r="G316" s="88" t="str">
        <f>IF($F316="","",'הזנה לתנאי סף'!H316)</f>
        <v>עמותת הכוריאוגרפים (ע"ר)</v>
      </c>
      <c r="H316" s="88" t="str">
        <f>IF($F316="","",'הזנה לתנאי סף'!I316)</f>
        <v>יוצרים עצמאיים במחול</v>
      </c>
      <c r="I316" s="213">
        <f>IF($F316="","",'תחום תמיכה א'!$I316)</f>
        <v>98318</v>
      </c>
      <c r="J316" s="213">
        <f>IF($F316="","",'תחום תמיכה א'!$J316)</f>
        <v>179529</v>
      </c>
      <c r="K316" s="213">
        <f>IF($F316="","",'תחום תמיכה א'!$K316)</f>
        <v>0</v>
      </c>
      <c r="L316" s="213">
        <f t="shared" si="50"/>
        <v>277847</v>
      </c>
      <c r="M316" s="214">
        <f t="shared" si="51"/>
        <v>0.35385661893056253</v>
      </c>
      <c r="N316" s="214">
        <f t="shared" si="60"/>
        <v>0.64614338106943747</v>
      </c>
      <c r="O316" s="213">
        <f t="shared" si="52"/>
        <v>116001.47506001504</v>
      </c>
      <c r="P316" s="213">
        <f>IF($F316="","",'פרמטרים לקריטריונים'!$C$59*O316)</f>
        <v>34800.442518004515</v>
      </c>
      <c r="Q316" s="214">
        <f t="shared" si="53"/>
        <v>1.9771141428970334E-4</v>
      </c>
      <c r="R316" s="213">
        <f t="shared" si="61"/>
        <v>19771.141428970335</v>
      </c>
      <c r="S316" s="213">
        <f>IF($F316="","",'הזנה לתנאי סף'!N316)</f>
        <v>0</v>
      </c>
      <c r="T316" s="213">
        <f>IF($F316="","",'הזנה לתנאי סף'!O316)</f>
        <v>1</v>
      </c>
      <c r="U316" s="213">
        <f>IF($F316="","",'תחום תמיכה א'!W316)</f>
        <v>0</v>
      </c>
      <c r="V316" s="213">
        <f>IF($F316="","",'תחום תמיכה א'!X316)</f>
        <v>0</v>
      </c>
      <c r="W316" s="213">
        <f>IF($F316="","",'תחום תמיכה א'!Y316)</f>
        <v>1</v>
      </c>
      <c r="X316" s="231">
        <f>IF($F316="","",'תחום תמיכה א'!Z316)</f>
        <v>0</v>
      </c>
      <c r="Y316" s="213" t="str">
        <f>IF($F316="","",'תחום תמיכה א'!AA316)</f>
        <v/>
      </c>
      <c r="Z316" s="214" t="str">
        <f>IF($F316="","",'תחום תמיכה א'!AB316)</f>
        <v/>
      </c>
      <c r="AA316" s="225" t="str">
        <f>IF($F316="","",'תחום תמיכה א'!AC316)</f>
        <v/>
      </c>
      <c r="AB316" s="213" t="str">
        <f t="shared" si="54"/>
        <v/>
      </c>
      <c r="AC316" s="213">
        <f t="shared" si="55"/>
        <v>19771.141428970335</v>
      </c>
      <c r="AD316" s="214">
        <f t="shared" si="56"/>
        <v>1.9814531938389338E-4</v>
      </c>
      <c r="AE316" s="213">
        <f t="shared" si="59"/>
        <v>20363.98013770246</v>
      </c>
      <c r="AF316" s="214">
        <f t="shared" si="57"/>
        <v>1.9814531938389343E-4</v>
      </c>
    </row>
    <row r="317" spans="1:32" ht="15.75" x14ac:dyDescent="0.2">
      <c r="A317" s="206">
        <f t="shared" si="58"/>
        <v>287</v>
      </c>
      <c r="B317" s="88">
        <f>IF($F317="","",'הזנה לתנאי סף'!C317)</f>
        <v>1001348177</v>
      </c>
      <c r="C317" s="88">
        <f>IF($F317="","",'הזנה לתנאי סף'!D317)</f>
        <v>1001273591</v>
      </c>
      <c r="D317" s="88">
        <f>IF($F317="","",'הזנה לתנאי סף'!E317)</f>
        <v>40000564</v>
      </c>
      <c r="E317" s="88">
        <f>IF($F317="","",'הזנה לתנאי סף'!F317)</f>
        <v>20000201</v>
      </c>
      <c r="F317" s="88" t="str">
        <f>IF(OR('הזנה לתנאי סף'!G317="",'הזנה לתנאי סף'!BL317&lt;&gt;1,'הזנה לתנאי סף'!Q317&lt;&gt;1),"",'הזנה לתנאי סף'!G317)</f>
        <v>תל אביב -יפו</v>
      </c>
      <c r="G317" s="88" t="str">
        <f>IF($F317="","",'הזנה לתנאי סף'!H317)</f>
        <v>עמותת הכוריאוגרפים (ע"ר)</v>
      </c>
      <c r="H317" s="88" t="str">
        <f>IF($F317="","",'הזנה לתנאי סף'!I317)</f>
        <v>יוצרים עצמאיים במחול</v>
      </c>
      <c r="I317" s="213">
        <f>IF($F317="","",'תחום תמיכה א'!$I317)</f>
        <v>23275</v>
      </c>
      <c r="J317" s="213">
        <f>IF($F317="","",'תחום תמיכה א'!$J317)</f>
        <v>55622</v>
      </c>
      <c r="K317" s="213">
        <f>IF($F317="","",'תחום תמיכה א'!$K317)</f>
        <v>0</v>
      </c>
      <c r="L317" s="213">
        <f t="shared" si="50"/>
        <v>78897</v>
      </c>
      <c r="M317" s="214">
        <f t="shared" si="51"/>
        <v>0.29500487977996631</v>
      </c>
      <c r="N317" s="214">
        <f t="shared" si="60"/>
        <v>0.70499512022003374</v>
      </c>
      <c r="O317" s="213">
        <f t="shared" si="52"/>
        <v>39213.238576878714</v>
      </c>
      <c r="P317" s="213">
        <f>IF($F317="","",'פרמטרים לקריטריונים'!$C$59*O317)</f>
        <v>11763.971573063614</v>
      </c>
      <c r="Q317" s="214">
        <f t="shared" si="53"/>
        <v>6.683453683587357E-5</v>
      </c>
      <c r="R317" s="213">
        <f t="shared" si="61"/>
        <v>6683.4536835873569</v>
      </c>
      <c r="S317" s="213">
        <f>IF($F317="","",'הזנה לתנאי סף'!N317)</f>
        <v>0</v>
      </c>
      <c r="T317" s="213">
        <f>IF($F317="","",'הזנה לתנאי סף'!O317)</f>
        <v>1</v>
      </c>
      <c r="U317" s="213">
        <f>IF($F317="","",'תחום תמיכה א'!W317)</f>
        <v>0</v>
      </c>
      <c r="V317" s="213">
        <f>IF($F317="","",'תחום תמיכה א'!X317)</f>
        <v>0</v>
      </c>
      <c r="W317" s="213">
        <f>IF($F317="","",'תחום תמיכה א'!Y317)</f>
        <v>1</v>
      </c>
      <c r="X317" s="231">
        <f>IF($F317="","",'תחום תמיכה א'!Z317)</f>
        <v>0</v>
      </c>
      <c r="Y317" s="213" t="str">
        <f>IF($F317="","",'תחום תמיכה א'!AA317)</f>
        <v/>
      </c>
      <c r="Z317" s="214" t="str">
        <f>IF($F317="","",'תחום תמיכה א'!AB317)</f>
        <v/>
      </c>
      <c r="AA317" s="225" t="str">
        <f>IF($F317="","",'תחום תמיכה א'!AC317)</f>
        <v/>
      </c>
      <c r="AB317" s="213" t="str">
        <f t="shared" si="54"/>
        <v/>
      </c>
      <c r="AC317" s="213">
        <f t="shared" si="55"/>
        <v>6683.4536835873569</v>
      </c>
      <c r="AD317" s="214">
        <f t="shared" si="56"/>
        <v>6.6981214487768896E-5</v>
      </c>
      <c r="AE317" s="213">
        <f t="shared" si="59"/>
        <v>6883.8573914806775</v>
      </c>
      <c r="AF317" s="214">
        <f t="shared" si="57"/>
        <v>6.698121448776891E-5</v>
      </c>
    </row>
    <row r="318" spans="1:32" ht="15.75" x14ac:dyDescent="0.2">
      <c r="A318" s="206">
        <f t="shared" si="58"/>
        <v>288</v>
      </c>
      <c r="B318" s="88">
        <f>IF($F318="","",'הזנה לתנאי סף'!C318)</f>
        <v>1001348178</v>
      </c>
      <c r="C318" s="88">
        <f>IF($F318="","",'הזנה לתנאי סף'!D318)</f>
        <v>1001273593</v>
      </c>
      <c r="D318" s="88">
        <f>IF($F318="","",'הזנה לתנאי סף'!E318)</f>
        <v>40000564</v>
      </c>
      <c r="E318" s="88">
        <f>IF($F318="","",'הזנה לתנאי סף'!F318)</f>
        <v>20000201</v>
      </c>
      <c r="F318" s="88" t="str">
        <f>IF(OR('הזנה לתנאי סף'!G318="",'הזנה לתנאי סף'!BL318&lt;&gt;1,'הזנה לתנאי סף'!Q318&lt;&gt;1),"",'הזנה לתנאי סף'!G318)</f>
        <v>תל אביב -יפו</v>
      </c>
      <c r="G318" s="88" t="str">
        <f>IF($F318="","",'הזנה לתנאי סף'!H318)</f>
        <v>עמותת הכוריאוגרפים (ע"ר)</v>
      </c>
      <c r="H318" s="88" t="str">
        <f>IF($F318="","",'הזנה לתנאי סף'!I318)</f>
        <v>יוצרים עצמאיים במחול</v>
      </c>
      <c r="I318" s="213">
        <f>IF($F318="","",'תחום תמיכה א'!$I318)</f>
        <v>107253</v>
      </c>
      <c r="J318" s="213">
        <f>IF($F318="","",'תחום תמיכה א'!$J318)</f>
        <v>155738</v>
      </c>
      <c r="K318" s="213">
        <f>IF($F318="","",'תחום תמיכה א'!$K318)</f>
        <v>0</v>
      </c>
      <c r="L318" s="213">
        <f t="shared" si="50"/>
        <v>262991</v>
      </c>
      <c r="M318" s="214">
        <f t="shared" si="51"/>
        <v>0.40782003946903128</v>
      </c>
      <c r="N318" s="214">
        <f t="shared" si="60"/>
        <v>0.59217996053096877</v>
      </c>
      <c r="O318" s="213">
        <f t="shared" si="52"/>
        <v>92224.922693172019</v>
      </c>
      <c r="P318" s="213">
        <f>IF($F318="","",'פרמטרים לקריטריונים'!$C$59*O318)</f>
        <v>27667.476807951603</v>
      </c>
      <c r="Q318" s="214">
        <f t="shared" si="53"/>
        <v>1.5718696584670163E-4</v>
      </c>
      <c r="R318" s="213">
        <f t="shared" si="61"/>
        <v>15718.696584670162</v>
      </c>
      <c r="S318" s="213">
        <f>IF($F318="","",'הזנה לתנאי סף'!N318)</f>
        <v>0</v>
      </c>
      <c r="T318" s="213">
        <f>IF($F318="","",'הזנה לתנאי סף'!O318)</f>
        <v>1</v>
      </c>
      <c r="U318" s="213">
        <f>IF($F318="","",'תחום תמיכה א'!W318)</f>
        <v>0</v>
      </c>
      <c r="V318" s="213">
        <f>IF($F318="","",'תחום תמיכה א'!X318)</f>
        <v>0</v>
      </c>
      <c r="W318" s="213">
        <f>IF($F318="","",'תחום תמיכה א'!Y318)</f>
        <v>1</v>
      </c>
      <c r="X318" s="231">
        <f>IF($F318="","",'תחום תמיכה א'!Z318)</f>
        <v>0</v>
      </c>
      <c r="Y318" s="213" t="str">
        <f>IF($F318="","",'תחום תמיכה א'!AA318)</f>
        <v/>
      </c>
      <c r="Z318" s="214" t="str">
        <f>IF($F318="","",'תחום תמיכה א'!AB318)</f>
        <v/>
      </c>
      <c r="AA318" s="225" t="str">
        <f>IF($F318="","",'תחום תמיכה א'!AC318)</f>
        <v/>
      </c>
      <c r="AB318" s="213" t="str">
        <f t="shared" si="54"/>
        <v/>
      </c>
      <c r="AC318" s="213">
        <f t="shared" si="55"/>
        <v>15718.696584670162</v>
      </c>
      <c r="AD318" s="214">
        <f t="shared" si="56"/>
        <v>1.575319344235852E-4</v>
      </c>
      <c r="AE318" s="213">
        <f t="shared" si="59"/>
        <v>16190.022523017529</v>
      </c>
      <c r="AF318" s="214">
        <f t="shared" si="57"/>
        <v>1.5753193442358525E-4</v>
      </c>
    </row>
    <row r="319" spans="1:32" ht="15.75" x14ac:dyDescent="0.2">
      <c r="A319" s="206">
        <f t="shared" si="58"/>
        <v>289</v>
      </c>
      <c r="B319" s="88">
        <f>IF($F319="","",'הזנה לתנאי סף'!C319)</f>
        <v>1001348197</v>
      </c>
      <c r="C319" s="88">
        <f>IF($F319="","",'הזנה לתנאי סף'!D319)</f>
        <v>1001273523</v>
      </c>
      <c r="D319" s="88">
        <f>IF($F319="","",'הזנה לתנאי סף'!E319)</f>
        <v>40000564</v>
      </c>
      <c r="E319" s="88">
        <f>IF($F319="","",'הזנה לתנאי סף'!F319)</f>
        <v>20000201</v>
      </c>
      <c r="F319" s="88" t="str">
        <f>IF(OR('הזנה לתנאי סף'!G319="",'הזנה לתנאי סף'!BL319&lt;&gt;1,'הזנה לתנאי סף'!Q319&lt;&gt;1),"",'הזנה לתנאי סף'!G319)</f>
        <v>תל אביב -יפו</v>
      </c>
      <c r="G319" s="88" t="str">
        <f>IF($F319="","",'הזנה לתנאי סף'!H319)</f>
        <v>עמותת הכוריאוגרפים (ע"ר)</v>
      </c>
      <c r="H319" s="88" t="str">
        <f>IF($F319="","",'הזנה לתנאי סף'!I319)</f>
        <v>יוצרים עצמאיים במחול</v>
      </c>
      <c r="I319" s="213">
        <f>IF($F319="","",'תחום תמיכה א'!$I319)</f>
        <v>55565</v>
      </c>
      <c r="J319" s="213">
        <f>IF($F319="","",'תחום תמיכה א'!$J319)</f>
        <v>218181</v>
      </c>
      <c r="K319" s="213">
        <f>IF($F319="","",'תחום תמיכה א'!$K319)</f>
        <v>0</v>
      </c>
      <c r="L319" s="213">
        <f t="shared" si="50"/>
        <v>273746</v>
      </c>
      <c r="M319" s="214">
        <f t="shared" si="51"/>
        <v>0.2029801348695506</v>
      </c>
      <c r="N319" s="214">
        <f t="shared" si="60"/>
        <v>0.79701986513044942</v>
      </c>
      <c r="O319" s="213">
        <f t="shared" si="52"/>
        <v>173894.59119402658</v>
      </c>
      <c r="P319" s="213">
        <f>IF($F319="","",'פרמטרים לקריטריונים'!$C$59*O319)</f>
        <v>52168.377358207974</v>
      </c>
      <c r="Q319" s="214">
        <f t="shared" si="53"/>
        <v>2.9638369291867458E-4</v>
      </c>
      <c r="R319" s="213">
        <f t="shared" si="61"/>
        <v>29638.369291867457</v>
      </c>
      <c r="S319" s="213">
        <f>IF($F319="","",'הזנה לתנאי סף'!N319)</f>
        <v>0</v>
      </c>
      <c r="T319" s="213">
        <f>IF($F319="","",'הזנה לתנאי סף'!O319)</f>
        <v>1</v>
      </c>
      <c r="U319" s="213">
        <f>IF($F319="","",'תחום תמיכה א'!W319)</f>
        <v>0</v>
      </c>
      <c r="V319" s="213">
        <f>IF($F319="","",'תחום תמיכה א'!X319)</f>
        <v>0</v>
      </c>
      <c r="W319" s="213">
        <f>IF($F319="","",'תחום תמיכה א'!Y319)</f>
        <v>1</v>
      </c>
      <c r="X319" s="231">
        <f>IF($F319="","",'תחום תמיכה א'!Z319)</f>
        <v>0</v>
      </c>
      <c r="Y319" s="213" t="str">
        <f>IF($F319="","",'תחום תמיכה א'!AA319)</f>
        <v/>
      </c>
      <c r="Z319" s="214" t="str">
        <f>IF($F319="","",'תחום תמיכה א'!AB319)</f>
        <v/>
      </c>
      <c r="AA319" s="225" t="str">
        <f>IF($F319="","",'תחום תמיכה א'!AC319)</f>
        <v/>
      </c>
      <c r="AB319" s="213" t="str">
        <f t="shared" si="54"/>
        <v/>
      </c>
      <c r="AC319" s="213">
        <f t="shared" si="55"/>
        <v>29638.369291867457</v>
      </c>
      <c r="AD319" s="214">
        <f t="shared" si="56"/>
        <v>2.9703414800066506E-4</v>
      </c>
      <c r="AE319" s="213">
        <f t="shared" si="59"/>
        <v>30527.077343602417</v>
      </c>
      <c r="AF319" s="214">
        <f t="shared" si="57"/>
        <v>2.9703414800066517E-4</v>
      </c>
    </row>
    <row r="320" spans="1:32" ht="15.75" x14ac:dyDescent="0.2">
      <c r="A320" s="206">
        <f t="shared" si="58"/>
        <v>290</v>
      </c>
      <c r="B320" s="88">
        <f>IF($F320="","",'הזנה לתנאי סף'!C320)</f>
        <v>1001348198</v>
      </c>
      <c r="C320" s="88">
        <f>IF($F320="","",'הזנה לתנאי סף'!D320)</f>
        <v>1001273524</v>
      </c>
      <c r="D320" s="88">
        <f>IF($F320="","",'הזנה לתנאי סף'!E320)</f>
        <v>40000564</v>
      </c>
      <c r="E320" s="88">
        <f>IF($F320="","",'הזנה לתנאי סף'!F320)</f>
        <v>20000201</v>
      </c>
      <c r="F320" s="88" t="str">
        <f>IF(OR('הזנה לתנאי סף'!G320="",'הזנה לתנאי סף'!BL320&lt;&gt;1,'הזנה לתנאי סף'!Q320&lt;&gt;1),"",'הזנה לתנאי סף'!G320)</f>
        <v>תל אביב -יפו</v>
      </c>
      <c r="G320" s="88" t="str">
        <f>IF($F320="","",'הזנה לתנאי סף'!H320)</f>
        <v>עמותת הכוריאוגרפים (ע"ר)</v>
      </c>
      <c r="H320" s="88" t="str">
        <f>IF($F320="","",'הזנה לתנאי סף'!I320)</f>
        <v>יוצרים עצמאיים במחול</v>
      </c>
      <c r="I320" s="213">
        <f>IF($F320="","",'תחום תמיכה א'!$I320)</f>
        <v>71548</v>
      </c>
      <c r="J320" s="213">
        <f>IF($F320="","",'תחום תמיכה א'!$J320)</f>
        <v>153225</v>
      </c>
      <c r="K320" s="213">
        <f>IF($F320="","",'תחום תמיכה א'!$K320)</f>
        <v>0</v>
      </c>
      <c r="L320" s="213">
        <f t="shared" si="50"/>
        <v>224773</v>
      </c>
      <c r="M320" s="214">
        <f t="shared" si="51"/>
        <v>0.31831225280616443</v>
      </c>
      <c r="N320" s="214">
        <f t="shared" si="60"/>
        <v>0.68168774719383562</v>
      </c>
      <c r="O320" s="213">
        <f t="shared" si="52"/>
        <v>104451.60506377547</v>
      </c>
      <c r="P320" s="213">
        <f>IF($F320="","",'פרמטרים לקריטריונים'!$C$59*O320)</f>
        <v>31335.481519132638</v>
      </c>
      <c r="Q320" s="214">
        <f t="shared" si="53"/>
        <v>1.7802596519832483E-4</v>
      </c>
      <c r="R320" s="213">
        <f t="shared" si="61"/>
        <v>17802.596519832485</v>
      </c>
      <c r="S320" s="213">
        <f>IF($F320="","",'הזנה לתנאי סף'!N320)</f>
        <v>0</v>
      </c>
      <c r="T320" s="213">
        <f>IF($F320="","",'הזנה לתנאי סף'!O320)</f>
        <v>1</v>
      </c>
      <c r="U320" s="213">
        <f>IF($F320="","",'תחום תמיכה א'!W320)</f>
        <v>0</v>
      </c>
      <c r="V320" s="213">
        <f>IF($F320="","",'תחום תמיכה א'!X320)</f>
        <v>0</v>
      </c>
      <c r="W320" s="213">
        <f>IF($F320="","",'תחום תמיכה א'!Y320)</f>
        <v>1</v>
      </c>
      <c r="X320" s="231">
        <f>IF($F320="","",'תחום תמיכה א'!Z320)</f>
        <v>0</v>
      </c>
      <c r="Y320" s="213" t="str">
        <f>IF($F320="","",'תחום תמיכה א'!AA320)</f>
        <v/>
      </c>
      <c r="Z320" s="214" t="str">
        <f>IF($F320="","",'תחום תמיכה א'!AB320)</f>
        <v/>
      </c>
      <c r="AA320" s="225" t="str">
        <f>IF($F320="","",'תחום תמיכה א'!AC320)</f>
        <v/>
      </c>
      <c r="AB320" s="213" t="str">
        <f t="shared" si="54"/>
        <v/>
      </c>
      <c r="AC320" s="213">
        <f t="shared" si="55"/>
        <v>17802.596519832485</v>
      </c>
      <c r="AD320" s="214">
        <f t="shared" si="56"/>
        <v>1.7841666784680453E-4</v>
      </c>
      <c r="AE320" s="213">
        <f t="shared" si="59"/>
        <v>18336.408306613386</v>
      </c>
      <c r="AF320" s="214">
        <f t="shared" si="57"/>
        <v>1.7841666784680459E-4</v>
      </c>
    </row>
    <row r="321" spans="1:32" ht="15.75" x14ac:dyDescent="0.2">
      <c r="A321" s="206">
        <f t="shared" si="58"/>
        <v>291</v>
      </c>
      <c r="B321" s="88">
        <f>IF($F321="","",'הזנה לתנאי סף'!C321)</f>
        <v>1001348199</v>
      </c>
      <c r="C321" s="88">
        <f>IF($F321="","",'הזנה לתנאי סף'!D321)</f>
        <v>1001273525</v>
      </c>
      <c r="D321" s="88">
        <f>IF($F321="","",'הזנה לתנאי סף'!E321)</f>
        <v>40000564</v>
      </c>
      <c r="E321" s="88">
        <f>IF($F321="","",'הזנה לתנאי סף'!F321)</f>
        <v>20000201</v>
      </c>
      <c r="F321" s="88" t="str">
        <f>IF(OR('הזנה לתנאי סף'!G321="",'הזנה לתנאי סף'!BL321&lt;&gt;1,'הזנה לתנאי סף'!Q321&lt;&gt;1),"",'הזנה לתנאי סף'!G321)</f>
        <v>תל אביב -יפו</v>
      </c>
      <c r="G321" s="88" t="str">
        <f>IF($F321="","",'הזנה לתנאי סף'!H321)</f>
        <v>עמותת הכוריאוגרפים (ע"ר)</v>
      </c>
      <c r="H321" s="88" t="str">
        <f>IF($F321="","",'הזנה לתנאי סף'!I321)</f>
        <v>יוצרים עצמאיים במחול</v>
      </c>
      <c r="I321" s="213">
        <f>IF($F321="","",'תחום תמיכה א'!$I321)</f>
        <v>190289</v>
      </c>
      <c r="J321" s="213">
        <f>IF($F321="","",'תחום תמיכה א'!$J321)</f>
        <v>122007</v>
      </c>
      <c r="K321" s="213">
        <f>IF($F321="","",'תחום תמיכה א'!$K321)</f>
        <v>0</v>
      </c>
      <c r="L321" s="213">
        <f t="shared" si="50"/>
        <v>312296</v>
      </c>
      <c r="M321" s="214">
        <f t="shared" si="51"/>
        <v>0.60932256577093524</v>
      </c>
      <c r="N321" s="214">
        <f t="shared" si="60"/>
        <v>0.39067743422906476</v>
      </c>
      <c r="O321" s="213">
        <f t="shared" si="52"/>
        <v>47665.381717985503</v>
      </c>
      <c r="P321" s="213">
        <f>IF($F321="","",'פרמטרים לקריטריונים'!$C$59*O321)</f>
        <v>14299.614515395651</v>
      </c>
      <c r="Q321" s="214">
        <f t="shared" si="53"/>
        <v>8.1240260326395384E-5</v>
      </c>
      <c r="R321" s="213">
        <f t="shared" si="61"/>
        <v>8124.0260326395382</v>
      </c>
      <c r="S321" s="213">
        <f>IF($F321="","",'הזנה לתנאי סף'!N321)</f>
        <v>0</v>
      </c>
      <c r="T321" s="213">
        <f>IF($F321="","",'הזנה לתנאי סף'!O321)</f>
        <v>1</v>
      </c>
      <c r="U321" s="213">
        <f>IF($F321="","",'תחום תמיכה א'!W321)</f>
        <v>0</v>
      </c>
      <c r="V321" s="213">
        <f>IF($F321="","",'תחום תמיכה א'!X321)</f>
        <v>0</v>
      </c>
      <c r="W321" s="213">
        <f>IF($F321="","",'תחום תמיכה א'!Y321)</f>
        <v>1</v>
      </c>
      <c r="X321" s="231">
        <f>IF($F321="","",'תחום תמיכה א'!Z321)</f>
        <v>0</v>
      </c>
      <c r="Y321" s="213" t="str">
        <f>IF($F321="","",'תחום תמיכה א'!AA321)</f>
        <v/>
      </c>
      <c r="Z321" s="214" t="str">
        <f>IF($F321="","",'תחום תמיכה א'!AB321)</f>
        <v/>
      </c>
      <c r="AA321" s="225" t="str">
        <f>IF($F321="","",'תחום תמיכה א'!AC321)</f>
        <v/>
      </c>
      <c r="AB321" s="213" t="str">
        <f t="shared" si="54"/>
        <v/>
      </c>
      <c r="AC321" s="213">
        <f t="shared" si="55"/>
        <v>8124.0260326395382</v>
      </c>
      <c r="AD321" s="214">
        <f t="shared" si="56"/>
        <v>8.1418553334594167E-5</v>
      </c>
      <c r="AE321" s="213">
        <f t="shared" si="59"/>
        <v>8367.6253776848898</v>
      </c>
      <c r="AF321" s="214">
        <f t="shared" si="57"/>
        <v>8.141855333459418E-5</v>
      </c>
    </row>
    <row r="322" spans="1:32" ht="15.75" x14ac:dyDescent="0.2">
      <c r="A322" s="206">
        <f t="shared" si="58"/>
        <v>292</v>
      </c>
      <c r="B322" s="88">
        <f>IF($F322="","",'הזנה לתנאי סף'!C322)</f>
        <v>1001348210</v>
      </c>
      <c r="C322" s="88">
        <f>IF($F322="","",'הזנה לתנאי סף'!D322)</f>
        <v>1001273526</v>
      </c>
      <c r="D322" s="88">
        <f>IF($F322="","",'הזנה לתנאי סף'!E322)</f>
        <v>40000564</v>
      </c>
      <c r="E322" s="88">
        <f>IF($F322="","",'הזנה לתנאי סף'!F322)</f>
        <v>20000201</v>
      </c>
      <c r="F322" s="88" t="str">
        <f>IF(OR('הזנה לתנאי סף'!G322="",'הזנה לתנאי סף'!BL322&lt;&gt;1,'הזנה לתנאי סף'!Q322&lt;&gt;1),"",'הזנה לתנאי סף'!G322)</f>
        <v>תל אביב -יפו</v>
      </c>
      <c r="G322" s="88" t="str">
        <f>IF($F322="","",'הזנה לתנאי סף'!H322)</f>
        <v>עמותת הכוריאוגרפים (ע"ר)</v>
      </c>
      <c r="H322" s="88" t="str">
        <f>IF($F322="","",'הזנה לתנאי סף'!I322)</f>
        <v>יוצרים עצמאיים במחול</v>
      </c>
      <c r="I322" s="213">
        <f>IF($F322="","",'תחום תמיכה א'!$I322)</f>
        <v>133154</v>
      </c>
      <c r="J322" s="213">
        <f>IF($F322="","",'תחום תמיכה א'!$J322)</f>
        <v>125838</v>
      </c>
      <c r="K322" s="213">
        <f>IF($F322="","",'תחום תמיכה א'!$K322)</f>
        <v>0</v>
      </c>
      <c r="L322" s="213">
        <f t="shared" si="50"/>
        <v>258992</v>
      </c>
      <c r="M322" s="214">
        <f t="shared" si="51"/>
        <v>0.51412398838574169</v>
      </c>
      <c r="N322" s="214">
        <f t="shared" si="60"/>
        <v>0.48587601161425831</v>
      </c>
      <c r="O322" s="213">
        <f t="shared" si="52"/>
        <v>61141.665549515033</v>
      </c>
      <c r="P322" s="213">
        <f>IF($F322="","",'פרמטרים לקריטריונים'!$C$59*O322)</f>
        <v>18342.499664854509</v>
      </c>
      <c r="Q322" s="214">
        <f t="shared" si="53"/>
        <v>1.0420906425171349E-4</v>
      </c>
      <c r="R322" s="213">
        <f t="shared" si="61"/>
        <v>10420.90642517135</v>
      </c>
      <c r="S322" s="213">
        <f>IF($F322="","",'הזנה לתנאי סף'!N322)</f>
        <v>0</v>
      </c>
      <c r="T322" s="213">
        <f>IF($F322="","",'הזנה לתנאי סף'!O322)</f>
        <v>1</v>
      </c>
      <c r="U322" s="213">
        <f>IF($F322="","",'תחום תמיכה א'!W322)</f>
        <v>0</v>
      </c>
      <c r="V322" s="213">
        <f>IF($F322="","",'תחום תמיכה א'!X322)</f>
        <v>0</v>
      </c>
      <c r="W322" s="213">
        <f>IF($F322="","",'תחום תמיכה א'!Y322)</f>
        <v>1</v>
      </c>
      <c r="X322" s="231">
        <f>IF($F322="","",'תחום תמיכה א'!Z322)</f>
        <v>0</v>
      </c>
      <c r="Y322" s="213" t="str">
        <f>IF($F322="","",'תחום תמיכה א'!AA322)</f>
        <v/>
      </c>
      <c r="Z322" s="214" t="str">
        <f>IF($F322="","",'תחום תמיכה א'!AB322)</f>
        <v/>
      </c>
      <c r="AA322" s="225" t="str">
        <f>IF($F322="","",'תחום תמיכה א'!AC322)</f>
        <v/>
      </c>
      <c r="AB322" s="213" t="str">
        <f t="shared" si="54"/>
        <v/>
      </c>
      <c r="AC322" s="213">
        <f t="shared" si="55"/>
        <v>10420.90642517135</v>
      </c>
      <c r="AD322" s="214">
        <f t="shared" si="56"/>
        <v>1.0443776548275795E-4</v>
      </c>
      <c r="AE322" s="213">
        <f t="shared" si="59"/>
        <v>10733.377848792066</v>
      </c>
      <c r="AF322" s="214">
        <f t="shared" si="57"/>
        <v>1.0443776548275797E-4</v>
      </c>
    </row>
    <row r="323" spans="1:32" ht="15.75" x14ac:dyDescent="0.2">
      <c r="A323" s="206">
        <f t="shared" si="58"/>
        <v>293</v>
      </c>
      <c r="B323" s="88">
        <f>IF($F323="","",'הזנה לתנאי סף'!C323)</f>
        <v>1001348211</v>
      </c>
      <c r="C323" s="88">
        <f>IF($F323="","",'הזנה לתנאי סף'!D323)</f>
        <v>1001273529</v>
      </c>
      <c r="D323" s="88">
        <f>IF($F323="","",'הזנה לתנאי סף'!E323)</f>
        <v>40000564</v>
      </c>
      <c r="E323" s="88">
        <f>IF($F323="","",'הזנה לתנאי סף'!F323)</f>
        <v>20000201</v>
      </c>
      <c r="F323" s="88" t="str">
        <f>IF(OR('הזנה לתנאי סף'!G323="",'הזנה לתנאי סף'!BL323&lt;&gt;1,'הזנה לתנאי סף'!Q323&lt;&gt;1),"",'הזנה לתנאי סף'!G323)</f>
        <v>תל אביב -יפו</v>
      </c>
      <c r="G323" s="88" t="str">
        <f>IF($F323="","",'הזנה לתנאי סף'!H323)</f>
        <v>עמותת הכוריאוגרפים (ע"ר)</v>
      </c>
      <c r="H323" s="88" t="str">
        <f>IF($F323="","",'הזנה לתנאי סף'!I323)</f>
        <v>יוצרים עצמאיים במחול</v>
      </c>
      <c r="I323" s="213">
        <f>IF($F323="","",'תחום תמיכה א'!$I323)</f>
        <v>122306</v>
      </c>
      <c r="J323" s="213">
        <f>IF($F323="","",'תחום תמיכה א'!$J323)</f>
        <v>219850</v>
      </c>
      <c r="K323" s="213">
        <f>IF($F323="","",'תחום תמיכה א'!$K323)</f>
        <v>0</v>
      </c>
      <c r="L323" s="213">
        <f t="shared" si="50"/>
        <v>342156</v>
      </c>
      <c r="M323" s="214">
        <f t="shared" si="51"/>
        <v>0.35745683255591015</v>
      </c>
      <c r="N323" s="214">
        <f t="shared" si="60"/>
        <v>0.64254316744408979</v>
      </c>
      <c r="O323" s="213">
        <f t="shared" si="52"/>
        <v>141263.11536258314</v>
      </c>
      <c r="P323" s="213">
        <f>IF($F323="","",'פרמטרים לקריטריונים'!$C$59*O323)</f>
        <v>42378.934608774936</v>
      </c>
      <c r="Q323" s="214">
        <f t="shared" si="53"/>
        <v>2.4076702740940306E-4</v>
      </c>
      <c r="R323" s="213">
        <f t="shared" si="61"/>
        <v>24076.702740940305</v>
      </c>
      <c r="S323" s="213">
        <f>IF($F323="","",'הזנה לתנאי סף'!N323)</f>
        <v>0</v>
      </c>
      <c r="T323" s="213">
        <f>IF($F323="","",'הזנה לתנאי סף'!O323)</f>
        <v>1</v>
      </c>
      <c r="U323" s="213">
        <f>IF($F323="","",'תחום תמיכה א'!W323)</f>
        <v>0</v>
      </c>
      <c r="V323" s="213">
        <f>IF($F323="","",'תחום תמיכה א'!X323)</f>
        <v>0</v>
      </c>
      <c r="W323" s="213">
        <f>IF($F323="","",'תחום תמיכה א'!Y323)</f>
        <v>1</v>
      </c>
      <c r="X323" s="231">
        <f>IF($F323="","",'תחום תמיכה א'!Z323)</f>
        <v>0</v>
      </c>
      <c r="Y323" s="213" t="str">
        <f>IF($F323="","",'תחום תמיכה א'!AA323)</f>
        <v/>
      </c>
      <c r="Z323" s="214" t="str">
        <f>IF($F323="","",'תחום תמיכה א'!AB323)</f>
        <v/>
      </c>
      <c r="AA323" s="225" t="str">
        <f>IF($F323="","",'תחום תמיכה א'!AC323)</f>
        <v/>
      </c>
      <c r="AB323" s="213" t="str">
        <f t="shared" si="54"/>
        <v/>
      </c>
      <c r="AC323" s="213">
        <f t="shared" si="55"/>
        <v>24076.702740940305</v>
      </c>
      <c r="AD323" s="214">
        <f t="shared" si="56"/>
        <v>2.412954240125089E-4</v>
      </c>
      <c r="AE323" s="213">
        <f t="shared" si="59"/>
        <v>24798.643930564867</v>
      </c>
      <c r="AF323" s="214">
        <f t="shared" si="57"/>
        <v>2.4129542401250895E-4</v>
      </c>
    </row>
    <row r="324" spans="1:32" ht="15.75" x14ac:dyDescent="0.2">
      <c r="A324" s="206">
        <f t="shared" si="58"/>
        <v>294</v>
      </c>
      <c r="B324" s="88">
        <f>IF($F324="","",'הזנה לתנאי סף'!C324)</f>
        <v>1001348212</v>
      </c>
      <c r="C324" s="88">
        <f>IF($F324="","",'הזנה לתנאי סף'!D324)</f>
        <v>1001273573</v>
      </c>
      <c r="D324" s="88">
        <f>IF($F324="","",'הזנה לתנאי סף'!E324)</f>
        <v>40000564</v>
      </c>
      <c r="E324" s="88">
        <f>IF($F324="","",'הזנה לתנאי סף'!F324)</f>
        <v>20000201</v>
      </c>
      <c r="F324" s="88" t="str">
        <f>IF(OR('הזנה לתנאי סף'!G324="",'הזנה לתנאי סף'!BL324&lt;&gt;1,'הזנה לתנאי סף'!Q324&lt;&gt;1),"",'הזנה לתנאי סף'!G324)</f>
        <v>תל אביב -יפו</v>
      </c>
      <c r="G324" s="88" t="str">
        <f>IF($F324="","",'הזנה לתנאי סף'!H324)</f>
        <v>עמותת הכוריאוגרפים (ע"ר)</v>
      </c>
      <c r="H324" s="88" t="str">
        <f>IF($F324="","",'הזנה לתנאי סף'!I324)</f>
        <v>יוצרים עצמאיים במחול</v>
      </c>
      <c r="I324" s="213">
        <f>IF($F324="","",'תחום תמיכה א'!$I324)</f>
        <v>150375</v>
      </c>
      <c r="J324" s="213">
        <f>IF($F324="","",'תחום תמיכה א'!$J324)</f>
        <v>296495</v>
      </c>
      <c r="K324" s="213">
        <f>IF($F324="","",'תחום תמיכה א'!$K324)</f>
        <v>0</v>
      </c>
      <c r="L324" s="213">
        <f t="shared" si="50"/>
        <v>446870</v>
      </c>
      <c r="M324" s="214">
        <f t="shared" si="51"/>
        <v>0.33650726161971045</v>
      </c>
      <c r="N324" s="214">
        <f t="shared" si="60"/>
        <v>0.66349273838028955</v>
      </c>
      <c r="O324" s="213">
        <f t="shared" si="52"/>
        <v>196722.27946606395</v>
      </c>
      <c r="P324" s="213">
        <f>IF($F324="","",'פרמטרים לקריטריונים'!$C$59*O324)</f>
        <v>59016.683839819183</v>
      </c>
      <c r="Q324" s="214">
        <f t="shared" si="53"/>
        <v>3.3529090966651304E-4</v>
      </c>
      <c r="R324" s="213">
        <f t="shared" si="61"/>
        <v>33529.090966651303</v>
      </c>
      <c r="S324" s="213">
        <f>IF($F324="","",'הזנה לתנאי סף'!N324)</f>
        <v>0</v>
      </c>
      <c r="T324" s="213">
        <f>IF($F324="","",'הזנה לתנאי סף'!O324)</f>
        <v>1</v>
      </c>
      <c r="U324" s="213">
        <f>IF($F324="","",'תחום תמיכה א'!W324)</f>
        <v>0</v>
      </c>
      <c r="V324" s="213">
        <f>IF($F324="","",'תחום תמיכה א'!X324)</f>
        <v>0</v>
      </c>
      <c r="W324" s="213">
        <f>IF($F324="","",'תחום תמיכה א'!Y324)</f>
        <v>1</v>
      </c>
      <c r="X324" s="231">
        <f>IF($F324="","",'תחום תמיכה א'!Z324)</f>
        <v>0</v>
      </c>
      <c r="Y324" s="213" t="str">
        <f>IF($F324="","",'תחום תמיכה א'!AA324)</f>
        <v/>
      </c>
      <c r="Z324" s="214" t="str">
        <f>IF($F324="","",'תחום תמיכה א'!AB324)</f>
        <v/>
      </c>
      <c r="AA324" s="225" t="str">
        <f>IF($F324="","",'תחום תמיכה א'!AC324)</f>
        <v/>
      </c>
      <c r="AB324" s="213" t="str">
        <f t="shared" si="54"/>
        <v/>
      </c>
      <c r="AC324" s="213">
        <f t="shared" si="55"/>
        <v>33529.090966651303</v>
      </c>
      <c r="AD324" s="214">
        <f t="shared" si="56"/>
        <v>3.3602675202676612E-4</v>
      </c>
      <c r="AE324" s="213">
        <f t="shared" si="59"/>
        <v>34534.462511083511</v>
      </c>
      <c r="AF324" s="214">
        <f t="shared" si="57"/>
        <v>3.3602675202676617E-4</v>
      </c>
    </row>
    <row r="325" spans="1:32" ht="15.75" x14ac:dyDescent="0.2">
      <c r="A325" s="206">
        <f t="shared" si="58"/>
        <v>295</v>
      </c>
      <c r="B325" s="88">
        <f>IF($F325="","",'הזנה לתנאי סף'!C325)</f>
        <v>1001348213</v>
      </c>
      <c r="C325" s="88">
        <f>IF($F325="","",'הזנה לתנאי סף'!D325)</f>
        <v>1001273578</v>
      </c>
      <c r="D325" s="88">
        <f>IF($F325="","",'הזנה לתנאי סף'!E325)</f>
        <v>40000564</v>
      </c>
      <c r="E325" s="88">
        <f>IF($F325="","",'הזנה לתנאי סף'!F325)</f>
        <v>20000201</v>
      </c>
      <c r="F325" s="88" t="str">
        <f>IF(OR('הזנה לתנאי סף'!G325="",'הזנה לתנאי סף'!BL325&lt;&gt;1,'הזנה לתנאי סף'!Q325&lt;&gt;1),"",'הזנה לתנאי סף'!G325)</f>
        <v>תל אביב -יפו</v>
      </c>
      <c r="G325" s="88" t="str">
        <f>IF($F325="","",'הזנה לתנאי סף'!H325)</f>
        <v>עמותת הכוריאוגרפים (ע"ר)</v>
      </c>
      <c r="H325" s="88" t="str">
        <f>IF($F325="","",'הזנה לתנאי סף'!I325)</f>
        <v>יוצרים עצמאיים במחול</v>
      </c>
      <c r="I325" s="213">
        <f>IF($F325="","",'תחום תמיכה א'!$I325)</f>
        <v>0</v>
      </c>
      <c r="J325" s="213">
        <f>IF($F325="","",'תחום תמיכה א'!$J325)</f>
        <v>41887</v>
      </c>
      <c r="K325" s="213">
        <f>IF($F325="","",'תחום תמיכה א'!$K325)</f>
        <v>0</v>
      </c>
      <c r="L325" s="213">
        <f t="shared" si="50"/>
        <v>41887</v>
      </c>
      <c r="M325" s="214">
        <f t="shared" si="51"/>
        <v>0</v>
      </c>
      <c r="N325" s="214">
        <f t="shared" si="60"/>
        <v>1</v>
      </c>
      <c r="O325" s="213">
        <f t="shared" si="52"/>
        <v>41887</v>
      </c>
      <c r="P325" s="213">
        <f>IF($F325="","",'פרמטרים לקריטריונים'!$C$59*O325)</f>
        <v>12566.1</v>
      </c>
      <c r="Q325" s="214">
        <f t="shared" si="53"/>
        <v>7.1391661235930236E-5</v>
      </c>
      <c r="R325" s="213">
        <f t="shared" si="61"/>
        <v>7139.1661235930233</v>
      </c>
      <c r="S325" s="213">
        <f>IF($F325="","",'הזנה לתנאי סף'!N325)</f>
        <v>0</v>
      </c>
      <c r="T325" s="213">
        <f>IF($F325="","",'הזנה לתנאי סף'!O325)</f>
        <v>1</v>
      </c>
      <c r="U325" s="213">
        <f>IF($F325="","",'תחום תמיכה א'!W325)</f>
        <v>0</v>
      </c>
      <c r="V325" s="213">
        <f>IF($F325="","",'תחום תמיכה א'!X325)</f>
        <v>0</v>
      </c>
      <c r="W325" s="213">
        <f>IF($F325="","",'תחום תמיכה א'!Y325)</f>
        <v>1</v>
      </c>
      <c r="X325" s="231">
        <f>IF($F325="","",'תחום תמיכה א'!Z325)</f>
        <v>0</v>
      </c>
      <c r="Y325" s="213" t="str">
        <f>IF($F325="","",'תחום תמיכה א'!AA325)</f>
        <v/>
      </c>
      <c r="Z325" s="214" t="str">
        <f>IF($F325="","",'תחום תמיכה א'!AB325)</f>
        <v/>
      </c>
      <c r="AA325" s="225" t="str">
        <f>IF($F325="","",'תחום תמיכה א'!AC325)</f>
        <v/>
      </c>
      <c r="AB325" s="213" t="str">
        <f t="shared" si="54"/>
        <v/>
      </c>
      <c r="AC325" s="213">
        <f t="shared" si="55"/>
        <v>7139.1661235930233</v>
      </c>
      <c r="AD325" s="214">
        <f t="shared" si="56"/>
        <v>7.1548340128771339E-5</v>
      </c>
      <c r="AE325" s="213">
        <f t="shared" si="59"/>
        <v>7353.2343928095588</v>
      </c>
      <c r="AF325" s="214">
        <f t="shared" si="57"/>
        <v>7.1548340128771353E-5</v>
      </c>
    </row>
    <row r="326" spans="1:32" ht="15.75" x14ac:dyDescent="0.2">
      <c r="A326" s="206">
        <f t="shared" si="58"/>
        <v>296</v>
      </c>
      <c r="B326" s="88">
        <f>IF($F326="","",'הזנה לתנאי סף'!C326)</f>
        <v>1001348214</v>
      </c>
      <c r="C326" s="88">
        <f>IF($F326="","",'הזנה לתנאי סף'!D326)</f>
        <v>1001273579</v>
      </c>
      <c r="D326" s="88">
        <f>IF($F326="","",'הזנה לתנאי סף'!E326)</f>
        <v>40000564</v>
      </c>
      <c r="E326" s="88">
        <f>IF($F326="","",'הזנה לתנאי סף'!F326)</f>
        <v>20000201</v>
      </c>
      <c r="F326" s="88" t="str">
        <f>IF(OR('הזנה לתנאי סף'!G326="",'הזנה לתנאי סף'!BL326&lt;&gt;1,'הזנה לתנאי סף'!Q326&lt;&gt;1),"",'הזנה לתנאי סף'!G326)</f>
        <v>תל אביב -יפו</v>
      </c>
      <c r="G326" s="88" t="str">
        <f>IF($F326="","",'הזנה לתנאי סף'!H326)</f>
        <v>עמותת הכוריאוגרפים (ע"ר)</v>
      </c>
      <c r="H326" s="88" t="str">
        <f>IF($F326="","",'הזנה לתנאי סף'!I326)</f>
        <v>יוצרים עצמאיים במחול</v>
      </c>
      <c r="I326" s="213">
        <f>IF($F326="","",'תחום תמיכה א'!$I326)</f>
        <v>69679</v>
      </c>
      <c r="J326" s="213">
        <f>IF($F326="","",'תחום תמיכה א'!$J326)</f>
        <v>41788</v>
      </c>
      <c r="K326" s="213">
        <f>IF($F326="","",'תחום תמיכה א'!$K326)</f>
        <v>0</v>
      </c>
      <c r="L326" s="213">
        <f t="shared" si="50"/>
        <v>111467</v>
      </c>
      <c r="M326" s="214">
        <f t="shared" si="51"/>
        <v>0.62510877658858677</v>
      </c>
      <c r="N326" s="214">
        <f t="shared" si="60"/>
        <v>0.37489122341141323</v>
      </c>
      <c r="O326" s="213">
        <f t="shared" si="52"/>
        <v>15665.954443916136</v>
      </c>
      <c r="P326" s="213">
        <f>IF($F326="","",'פרמטרים לקריטריונים'!$C$59*O326)</f>
        <v>4699.7863331748404</v>
      </c>
      <c r="Q326" s="214">
        <f t="shared" si="53"/>
        <v>2.6700850206450126E-5</v>
      </c>
      <c r="R326" s="213">
        <f t="shared" si="61"/>
        <v>2670.0850206450127</v>
      </c>
      <c r="S326" s="213">
        <f>IF($F326="","",'הזנה לתנאי סף'!N326)</f>
        <v>0</v>
      </c>
      <c r="T326" s="213">
        <f>IF($F326="","",'הזנה לתנאי סף'!O326)</f>
        <v>1</v>
      </c>
      <c r="U326" s="213">
        <f>IF($F326="","",'תחום תמיכה א'!W326)</f>
        <v>0</v>
      </c>
      <c r="V326" s="213">
        <f>IF($F326="","",'תחום תמיכה א'!X326)</f>
        <v>0</v>
      </c>
      <c r="W326" s="213">
        <f>IF($F326="","",'תחום תמיכה א'!Y326)</f>
        <v>1</v>
      </c>
      <c r="X326" s="231">
        <f>IF($F326="","",'תחום תמיכה א'!Z326)</f>
        <v>0</v>
      </c>
      <c r="Y326" s="213" t="str">
        <f>IF($F326="","",'תחום תמיכה א'!AA326)</f>
        <v/>
      </c>
      <c r="Z326" s="214" t="str">
        <f>IF($F326="","",'תחום תמיכה א'!AB326)</f>
        <v/>
      </c>
      <c r="AA326" s="225" t="str">
        <f>IF($F326="","",'תחום תמיכה א'!AC326)</f>
        <v/>
      </c>
      <c r="AB326" s="213" t="str">
        <f t="shared" si="54"/>
        <v/>
      </c>
      <c r="AC326" s="213">
        <f t="shared" si="55"/>
        <v>2670.0850206450127</v>
      </c>
      <c r="AD326" s="214">
        <f t="shared" si="56"/>
        <v>2.6759448921984109E-5</v>
      </c>
      <c r="AE326" s="213">
        <f t="shared" si="59"/>
        <v>2750.1476594932046</v>
      </c>
      <c r="AF326" s="214">
        <f t="shared" si="57"/>
        <v>2.6759448921984116E-5</v>
      </c>
    </row>
    <row r="327" spans="1:32" ht="15.75" x14ac:dyDescent="0.2">
      <c r="A327" s="206">
        <f t="shared" si="58"/>
        <v>297</v>
      </c>
      <c r="B327" s="88">
        <f>IF($F327="","",'הזנה לתנאי סף'!C327)</f>
        <v>1001348215</v>
      </c>
      <c r="C327" s="88">
        <f>IF($F327="","",'הזנה לתנאי סף'!D327)</f>
        <v>1001275690</v>
      </c>
      <c r="D327" s="88">
        <f>IF($F327="","",'הזנה לתנאי סף'!E327)</f>
        <v>40000564</v>
      </c>
      <c r="E327" s="88">
        <f>IF($F327="","",'הזנה לתנאי סף'!F327)</f>
        <v>20000201</v>
      </c>
      <c r="F327" s="88" t="str">
        <f>IF(OR('הזנה לתנאי סף'!G327="",'הזנה לתנאי סף'!BL327&lt;&gt;1,'הזנה לתנאי סף'!Q327&lt;&gt;1),"",'הזנה לתנאי סף'!G327)</f>
        <v>תל אביב -יפו</v>
      </c>
      <c r="G327" s="88" t="str">
        <f>IF($F327="","",'הזנה לתנאי סף'!H327)</f>
        <v>עמותת הכוריאוגרפים (ע"ר)</v>
      </c>
      <c r="H327" s="88" t="str">
        <f>IF($F327="","",'הזנה לתנאי סף'!I327)</f>
        <v>יוצרים עצמאיים במחול</v>
      </c>
      <c r="I327" s="213">
        <f>IF($F327="","",'תחום תמיכה א'!$I327)</f>
        <v>0</v>
      </c>
      <c r="J327" s="213">
        <f>IF($F327="","",'תחום תמיכה א'!$J327)</f>
        <v>49871</v>
      </c>
      <c r="K327" s="213">
        <f>IF($F327="","",'תחום תמיכה א'!$K327)</f>
        <v>0</v>
      </c>
      <c r="L327" s="213">
        <f t="shared" si="50"/>
        <v>49871</v>
      </c>
      <c r="M327" s="214">
        <f t="shared" si="51"/>
        <v>0</v>
      </c>
      <c r="N327" s="214">
        <f t="shared" si="60"/>
        <v>1</v>
      </c>
      <c r="O327" s="213">
        <f t="shared" si="52"/>
        <v>49871</v>
      </c>
      <c r="P327" s="213">
        <f>IF($F327="","",'פרמטרים לקריטריונים'!$C$59*O327)</f>
        <v>14961.3</v>
      </c>
      <c r="Q327" s="214">
        <f t="shared" si="53"/>
        <v>8.4999487609451057E-5</v>
      </c>
      <c r="R327" s="213">
        <f t="shared" si="61"/>
        <v>8499.9487609451062</v>
      </c>
      <c r="S327" s="213">
        <f>IF($F327="","",'הזנה לתנאי סף'!N327)</f>
        <v>0</v>
      </c>
      <c r="T327" s="213">
        <f>IF($F327="","",'הזנה לתנאי סף'!O327)</f>
        <v>1</v>
      </c>
      <c r="U327" s="213">
        <f>IF($F327="","",'תחום תמיכה א'!W327)</f>
        <v>0</v>
      </c>
      <c r="V327" s="213">
        <f>IF($F327="","",'תחום תמיכה א'!X327)</f>
        <v>0</v>
      </c>
      <c r="W327" s="213">
        <f>IF($F327="","",'תחום תמיכה א'!Y327)</f>
        <v>1</v>
      </c>
      <c r="X327" s="231">
        <f>IF($F327="","",'תחום תמיכה א'!Z327)</f>
        <v>0</v>
      </c>
      <c r="Y327" s="213" t="str">
        <f>IF($F327="","",'תחום תמיכה א'!AA327)</f>
        <v/>
      </c>
      <c r="Z327" s="214" t="str">
        <f>IF($F327="","",'תחום תמיכה א'!AB327)</f>
        <v/>
      </c>
      <c r="AA327" s="225" t="str">
        <f>IF($F327="","",'תחום תמיכה א'!AC327)</f>
        <v/>
      </c>
      <c r="AB327" s="213" t="str">
        <f t="shared" si="54"/>
        <v/>
      </c>
      <c r="AC327" s="213">
        <f t="shared" si="55"/>
        <v>8499.9487609451062</v>
      </c>
      <c r="AD327" s="214">
        <f t="shared" si="56"/>
        <v>8.5186030762813176E-5</v>
      </c>
      <c r="AE327" s="213">
        <f t="shared" si="59"/>
        <v>8754.820168639566</v>
      </c>
      <c r="AF327" s="214">
        <f t="shared" si="57"/>
        <v>8.5186030762813189E-5</v>
      </c>
    </row>
    <row r="328" spans="1:32" ht="15.75" x14ac:dyDescent="0.2">
      <c r="A328" s="206">
        <f t="shared" si="58"/>
        <v>298</v>
      </c>
      <c r="B328" s="88">
        <f>IF($F328="","",'הזנה לתנאי סף'!C328)</f>
        <v>1001348216</v>
      </c>
      <c r="C328" s="88">
        <f>IF($F328="","",'הזנה לתנאי סף'!D328)</f>
        <v>1001273592</v>
      </c>
      <c r="D328" s="88">
        <f>IF($F328="","",'הזנה לתנאי סף'!E328)</f>
        <v>40000564</v>
      </c>
      <c r="E328" s="88">
        <f>IF($F328="","",'הזנה לתנאי סף'!F328)</f>
        <v>20000201</v>
      </c>
      <c r="F328" s="88" t="str">
        <f>IF(OR('הזנה לתנאי סף'!G328="",'הזנה לתנאי סף'!BL328&lt;&gt;1,'הזנה לתנאי סף'!Q328&lt;&gt;1),"",'הזנה לתנאי סף'!G328)</f>
        <v>תל אביב -יפו</v>
      </c>
      <c r="G328" s="88" t="str">
        <f>IF($F328="","",'הזנה לתנאי סף'!H328)</f>
        <v>עמותת הכוריאוגרפים (ע"ר)</v>
      </c>
      <c r="H328" s="88" t="str">
        <f>IF($F328="","",'הזנה לתנאי סף'!I328)</f>
        <v>יוצרים עצמאיים במחול</v>
      </c>
      <c r="I328" s="213">
        <f>IF($F328="","",'תחום תמיכה א'!$I328)</f>
        <v>104604</v>
      </c>
      <c r="J328" s="213">
        <f>IF($F328="","",'תחום תמיכה א'!$J328)</f>
        <v>53335</v>
      </c>
      <c r="K328" s="213">
        <f>IF($F328="","",'תחום תמיכה א'!$K328)</f>
        <v>0</v>
      </c>
      <c r="L328" s="213">
        <f t="shared" si="50"/>
        <v>157939</v>
      </c>
      <c r="M328" s="214">
        <f t="shared" si="51"/>
        <v>0.66230633345785395</v>
      </c>
      <c r="N328" s="214">
        <f t="shared" si="60"/>
        <v>0.33769366654214605</v>
      </c>
      <c r="O328" s="213">
        <f t="shared" si="52"/>
        <v>18010.891705025359</v>
      </c>
      <c r="P328" s="213">
        <f>IF($F328="","",'פרמטרים לקריטריונים'!$C$59*O328)</f>
        <v>5403.2675115076072</v>
      </c>
      <c r="Q328" s="214">
        <f t="shared" si="53"/>
        <v>3.0697530956196342E-5</v>
      </c>
      <c r="R328" s="213">
        <f t="shared" si="61"/>
        <v>3069.7530956196342</v>
      </c>
      <c r="S328" s="213">
        <f>IF($F328="","",'הזנה לתנאי סף'!N328)</f>
        <v>0</v>
      </c>
      <c r="T328" s="213">
        <f>IF($F328="","",'הזנה לתנאי סף'!O328)</f>
        <v>1</v>
      </c>
      <c r="U328" s="213">
        <f>IF($F328="","",'תחום תמיכה א'!W328)</f>
        <v>0</v>
      </c>
      <c r="V328" s="213">
        <f>IF($F328="","",'תחום תמיכה א'!X328)</f>
        <v>0</v>
      </c>
      <c r="W328" s="213">
        <f>IF($F328="","",'תחום תמיכה א'!Y328)</f>
        <v>1</v>
      </c>
      <c r="X328" s="231">
        <f>IF($F328="","",'תחום תמיכה א'!Z328)</f>
        <v>0</v>
      </c>
      <c r="Y328" s="213" t="str">
        <f>IF($F328="","",'תחום תמיכה א'!AA328)</f>
        <v/>
      </c>
      <c r="Z328" s="214" t="str">
        <f>IF($F328="","",'תחום תמיכה א'!AB328)</f>
        <v/>
      </c>
      <c r="AA328" s="225" t="str">
        <f>IF($F328="","",'תחום תמיכה א'!AC328)</f>
        <v/>
      </c>
      <c r="AB328" s="213" t="str">
        <f t="shared" si="54"/>
        <v/>
      </c>
      <c r="AC328" s="213">
        <f t="shared" si="55"/>
        <v>3069.7530956196342</v>
      </c>
      <c r="AD328" s="214">
        <f t="shared" si="56"/>
        <v>3.0764900941428617E-5</v>
      </c>
      <c r="AE328" s="213">
        <f t="shared" si="59"/>
        <v>3161.7998025774309</v>
      </c>
      <c r="AF328" s="214">
        <f t="shared" si="57"/>
        <v>3.0764900941428624E-5</v>
      </c>
    </row>
    <row r="329" spans="1:32" ht="15.75" x14ac:dyDescent="0.2">
      <c r="A329" s="206">
        <f t="shared" si="58"/>
        <v>299</v>
      </c>
      <c r="B329" s="88">
        <f>IF($F329="","",'הזנה לתנאי סף'!C329)</f>
        <v>1001348217</v>
      </c>
      <c r="C329" s="88">
        <f>IF($F329="","",'הזנה לתנאי סף'!D329)</f>
        <v>1001272602</v>
      </c>
      <c r="D329" s="88">
        <f>IF($F329="","",'הזנה לתנאי סף'!E329)</f>
        <v>40000564</v>
      </c>
      <c r="E329" s="88">
        <f>IF($F329="","",'הזנה לתנאי סף'!F329)</f>
        <v>20000201</v>
      </c>
      <c r="F329" s="88" t="str">
        <f>IF(OR('הזנה לתנאי סף'!G329="",'הזנה לתנאי סף'!BL329&lt;&gt;1,'הזנה לתנאי סף'!Q329&lt;&gt;1),"",'הזנה לתנאי סף'!G329)</f>
        <v>תל אביב -יפו</v>
      </c>
      <c r="G329" s="88" t="str">
        <f>IF($F329="","",'הזנה לתנאי סף'!H329)</f>
        <v>עמותת הכוריאוגרפים (ע"ר)</v>
      </c>
      <c r="H329" s="88" t="str">
        <f>IF($F329="","",'הזנה לתנאי סף'!I329)</f>
        <v>יוצרים עצמאיים במחול</v>
      </c>
      <c r="I329" s="213">
        <f>IF($F329="","",'תחום תמיכה א'!$I329)</f>
        <v>78112</v>
      </c>
      <c r="J329" s="213">
        <f>IF($F329="","",'תחום תמיכה א'!$J329)</f>
        <v>240541</v>
      </c>
      <c r="K329" s="213">
        <f>IF($F329="","",'תחום תמיכה א'!$K329)</f>
        <v>0</v>
      </c>
      <c r="L329" s="213">
        <f t="shared" si="50"/>
        <v>318653</v>
      </c>
      <c r="M329" s="214">
        <f t="shared" si="51"/>
        <v>0.24513185188904546</v>
      </c>
      <c r="N329" s="214">
        <f t="shared" si="60"/>
        <v>0.75486814811095448</v>
      </c>
      <c r="O329" s="213">
        <f t="shared" si="52"/>
        <v>181576.73921475711</v>
      </c>
      <c r="P329" s="213">
        <f>IF($F329="","",'פרמטרים לקריטריונים'!$C$59*O329)</f>
        <v>54473.021764427132</v>
      </c>
      <c r="Q329" s="214">
        <f t="shared" si="53"/>
        <v>3.0947704668142354E-4</v>
      </c>
      <c r="R329" s="213">
        <f t="shared" si="61"/>
        <v>30947.704668142353</v>
      </c>
      <c r="S329" s="213">
        <f>IF($F329="","",'הזנה לתנאי סף'!N329)</f>
        <v>0</v>
      </c>
      <c r="T329" s="213">
        <f>IF($F329="","",'הזנה לתנאי סף'!O329)</f>
        <v>1</v>
      </c>
      <c r="U329" s="213">
        <f>IF($F329="","",'תחום תמיכה א'!W329)</f>
        <v>0</v>
      </c>
      <c r="V329" s="213">
        <f>IF($F329="","",'תחום תמיכה א'!X329)</f>
        <v>0</v>
      </c>
      <c r="W329" s="213">
        <f>IF($F329="","",'תחום תמיכה א'!Y329)</f>
        <v>1</v>
      </c>
      <c r="X329" s="231">
        <f>IF($F329="","",'תחום תמיכה א'!Z329)</f>
        <v>0</v>
      </c>
      <c r="Y329" s="213" t="str">
        <f>IF($F329="","",'תחום תמיכה א'!AA329)</f>
        <v/>
      </c>
      <c r="Z329" s="214" t="str">
        <f>IF($F329="","",'תחום תמיכה א'!AB329)</f>
        <v/>
      </c>
      <c r="AA329" s="225" t="str">
        <f>IF($F329="","",'תחום תמיכה א'!AC329)</f>
        <v/>
      </c>
      <c r="AB329" s="213" t="str">
        <f t="shared" si="54"/>
        <v/>
      </c>
      <c r="AC329" s="213">
        <f t="shared" si="55"/>
        <v>30947.704668142353</v>
      </c>
      <c r="AD329" s="214">
        <f t="shared" si="56"/>
        <v>3.1015623694250372E-4</v>
      </c>
      <c r="AE329" s="213">
        <f t="shared" si="59"/>
        <v>31875.673209543867</v>
      </c>
      <c r="AF329" s="214">
        <f t="shared" si="57"/>
        <v>3.1015623694250377E-4</v>
      </c>
    </row>
    <row r="330" spans="1:32" ht="15.75" x14ac:dyDescent="0.2">
      <c r="A330" s="206">
        <f t="shared" ref="A330:A393" si="62">IF(F330="","",ROW()-30)</f>
        <v>300</v>
      </c>
      <c r="B330" s="88">
        <f>IF($F330="","",'הזנה לתנאי סף'!C330)</f>
        <v>1001348219</v>
      </c>
      <c r="C330" s="88">
        <f>IF($F330="","",'הזנה לתנאי סף'!D330)</f>
        <v>1001272603</v>
      </c>
      <c r="D330" s="88">
        <f>IF($F330="","",'הזנה לתנאי סף'!E330)</f>
        <v>40000564</v>
      </c>
      <c r="E330" s="88">
        <f>IF($F330="","",'הזנה לתנאי סף'!F330)</f>
        <v>20000201</v>
      </c>
      <c r="F330" s="88" t="str">
        <f>IF(OR('הזנה לתנאי סף'!G330="",'הזנה לתנאי סף'!BL330&lt;&gt;1,'הזנה לתנאי סף'!Q330&lt;&gt;1),"",'הזנה לתנאי סף'!G330)</f>
        <v>תל אביב -יפו</v>
      </c>
      <c r="G330" s="88" t="str">
        <f>IF($F330="","",'הזנה לתנאי סף'!H330)</f>
        <v>עמותת הכוריאוגרפים (ע"ר)</v>
      </c>
      <c r="H330" s="88" t="str">
        <f>IF($F330="","",'הזנה לתנאי סף'!I330)</f>
        <v>יוצרים עצמאיים במחול</v>
      </c>
      <c r="I330" s="213">
        <f>IF($F330="","",'תחום תמיכה א'!$I330)</f>
        <v>0</v>
      </c>
      <c r="J330" s="213">
        <f>IF($F330="","",'תחום תמיכה א'!$J330)</f>
        <v>75112</v>
      </c>
      <c r="K330" s="213">
        <f>IF($F330="","",'תחום תמיכה א'!$K330)</f>
        <v>0</v>
      </c>
      <c r="L330" s="213">
        <f t="shared" ref="L330:L393" si="63">IF($F330="","",SUM(I330:K330))</f>
        <v>75112</v>
      </c>
      <c r="M330" s="214">
        <f t="shared" ref="M330:M393" si="64">IF($F330="","",IFERROR(I330/L330,$AH$2))</f>
        <v>0</v>
      </c>
      <c r="N330" s="214">
        <f t="shared" ref="N330:N393" si="65">IF($F330="","",IFERROR((1-M330),""))</f>
        <v>1</v>
      </c>
      <c r="O330" s="213">
        <f t="shared" ref="O330:O393" si="66">IF($F330="","",IFERROR((N330*J330),""))</f>
        <v>75112</v>
      </c>
      <c r="P330" s="213">
        <f>IF($F330="","",'פרמטרים לקריטריונים'!$C$59*O330)</f>
        <v>22533.599999999999</v>
      </c>
      <c r="Q330" s="214">
        <f t="shared" ref="Q330:Q393" si="67">IF($F330="","",IFERROR(P330/$P$501,""))</f>
        <v>1.2801992166431569E-4</v>
      </c>
      <c r="R330" s="213">
        <f t="shared" ref="R330:R393" si="68">IF($F330="","",IFERROR(Q330*$F$4,""))</f>
        <v>12801.99216643157</v>
      </c>
      <c r="S330" s="213">
        <f>IF($F330="","",'הזנה לתנאי סף'!N330)</f>
        <v>0</v>
      </c>
      <c r="T330" s="213">
        <f>IF($F330="","",'הזנה לתנאי סף'!O330)</f>
        <v>1</v>
      </c>
      <c r="U330" s="213">
        <f>IF($F330="","",'תחום תמיכה א'!W330)</f>
        <v>0</v>
      </c>
      <c r="V330" s="213">
        <f>IF($F330="","",'תחום תמיכה א'!X330)</f>
        <v>0</v>
      </c>
      <c r="W330" s="213">
        <f>IF($F330="","",'תחום תמיכה א'!Y330)</f>
        <v>1</v>
      </c>
      <c r="X330" s="231">
        <f>IF($F330="","",'תחום תמיכה א'!Z330)</f>
        <v>0</v>
      </c>
      <c r="Y330" s="213" t="str">
        <f>IF($F330="","",'תחום תמיכה א'!AA330)</f>
        <v/>
      </c>
      <c r="Z330" s="214" t="str">
        <f>IF($F330="","",'תחום תמיכה א'!AB330)</f>
        <v/>
      </c>
      <c r="AA330" s="225" t="str">
        <f>IF($F330="","",'תחום תמיכה א'!AC330)</f>
        <v/>
      </c>
      <c r="AB330" s="213" t="str">
        <f t="shared" ref="AB330:AB393" si="69">IF(OR($F330="",AA330=""),"",IF(COUNTBLANK(U330:V330)&gt;0,-R330,IF(-AA330*Y330&gt;R330,-R330,AA330*Y330)))</f>
        <v/>
      </c>
      <c r="AC330" s="213">
        <f t="shared" ref="AC330:AC393" si="70">IF($F330="","",IF(AB330&lt;&gt;"",R330+AB330,R330))</f>
        <v>12801.99216643157</v>
      </c>
      <c r="AD330" s="214">
        <f t="shared" ref="AD330:AD393" si="71">IF($F330="","",IFERROR(AC330/$AC$501,""))</f>
        <v>1.283008791212613E-4</v>
      </c>
      <c r="AE330" s="213">
        <f t="shared" ref="AE330:AE393" si="72">IFERROR(AD330*$F$5+AC330,"")</f>
        <v>13185.860570408757</v>
      </c>
      <c r="AF330" s="214">
        <f t="shared" ref="AF330:AF393" si="73">IF($F330="","",IFERROR(AE330/$AE$501,""))</f>
        <v>1.2830087912126133E-4</v>
      </c>
    </row>
    <row r="331" spans="1:32" ht="15.75" x14ac:dyDescent="0.2">
      <c r="A331" s="206">
        <f t="shared" si="62"/>
        <v>301</v>
      </c>
      <c r="B331" s="88">
        <f>IF($F331="","",'הזנה לתנאי סף'!C331)</f>
        <v>1001348220</v>
      </c>
      <c r="C331" s="88">
        <f>IF($F331="","",'הזנה לתנאי סף'!D331)</f>
        <v>1001272604</v>
      </c>
      <c r="D331" s="88">
        <f>IF($F331="","",'הזנה לתנאי סף'!E331)</f>
        <v>40000564</v>
      </c>
      <c r="E331" s="88">
        <f>IF($F331="","",'הזנה לתנאי סף'!F331)</f>
        <v>20000201</v>
      </c>
      <c r="F331" s="88" t="str">
        <f>IF(OR('הזנה לתנאי סף'!G331="",'הזנה לתנאי סף'!BL331&lt;&gt;1,'הזנה לתנאי סף'!Q331&lt;&gt;1),"",'הזנה לתנאי סף'!G331)</f>
        <v>תל אביב -יפו</v>
      </c>
      <c r="G331" s="88" t="str">
        <f>IF($F331="","",'הזנה לתנאי סף'!H331)</f>
        <v>עמותת הכוריאוגרפים (ע"ר)</v>
      </c>
      <c r="H331" s="88" t="str">
        <f>IF($F331="","",'הזנה לתנאי סף'!I331)</f>
        <v>יוצרים עצמאיים במחול</v>
      </c>
      <c r="I331" s="213">
        <f>IF($F331="","",'תחום תמיכה א'!$I331)</f>
        <v>104578</v>
      </c>
      <c r="J331" s="213">
        <f>IF($F331="","",'תחום תמיכה א'!$J331)</f>
        <v>104440</v>
      </c>
      <c r="K331" s="213">
        <f>IF($F331="","",'תחום תמיכה א'!$K331)</f>
        <v>0</v>
      </c>
      <c r="L331" s="213">
        <f t="shared" si="63"/>
        <v>209018</v>
      </c>
      <c r="M331" s="214">
        <f t="shared" si="64"/>
        <v>0.50033011510970349</v>
      </c>
      <c r="N331" s="214">
        <f t="shared" si="65"/>
        <v>0.49966988489029651</v>
      </c>
      <c r="O331" s="213">
        <f t="shared" si="66"/>
        <v>52185.52277794257</v>
      </c>
      <c r="P331" s="213">
        <f>IF($F331="","",'פרמטרים לקריטריונים'!$C$59*O331)</f>
        <v>15655.656833382771</v>
      </c>
      <c r="Q331" s="214">
        <f t="shared" si="67"/>
        <v>8.8944330307322002E-5</v>
      </c>
      <c r="R331" s="213">
        <f t="shared" si="68"/>
        <v>8894.4330307321998</v>
      </c>
      <c r="S331" s="213">
        <f>IF($F331="","",'הזנה לתנאי סף'!N331)</f>
        <v>0</v>
      </c>
      <c r="T331" s="213">
        <f>IF($F331="","",'הזנה לתנאי סף'!O331)</f>
        <v>1</v>
      </c>
      <c r="U331" s="213">
        <f>IF($F331="","",'תחום תמיכה א'!W331)</f>
        <v>0</v>
      </c>
      <c r="V331" s="213">
        <f>IF($F331="","",'תחום תמיכה א'!X331)</f>
        <v>0</v>
      </c>
      <c r="W331" s="213">
        <f>IF($F331="","",'תחום תמיכה א'!Y331)</f>
        <v>1</v>
      </c>
      <c r="X331" s="231">
        <f>IF($F331="","",'תחום תמיכה א'!Z331)</f>
        <v>0</v>
      </c>
      <c r="Y331" s="213" t="str">
        <f>IF($F331="","",'תחום תמיכה א'!AA331)</f>
        <v/>
      </c>
      <c r="Z331" s="214" t="str">
        <f>IF($F331="","",'תחום תמיכה א'!AB331)</f>
        <v/>
      </c>
      <c r="AA331" s="225" t="str">
        <f>IF($F331="","",'תחום תמיכה א'!AC331)</f>
        <v/>
      </c>
      <c r="AB331" s="213" t="str">
        <f t="shared" si="69"/>
        <v/>
      </c>
      <c r="AC331" s="213">
        <f t="shared" si="70"/>
        <v>8894.4330307321998</v>
      </c>
      <c r="AD331" s="214">
        <f t="shared" si="71"/>
        <v>8.9139530964594708E-5</v>
      </c>
      <c r="AE331" s="213">
        <f t="shared" si="72"/>
        <v>9161.1330698668771</v>
      </c>
      <c r="AF331" s="214">
        <f t="shared" si="73"/>
        <v>8.9139530964594722E-5</v>
      </c>
    </row>
    <row r="332" spans="1:32" ht="15.75" x14ac:dyDescent="0.2">
      <c r="A332" s="206">
        <f t="shared" si="62"/>
        <v>302</v>
      </c>
      <c r="B332" s="88">
        <f>IF($F332="","",'הזנה לתנאי סף'!C332)</f>
        <v>1001348222</v>
      </c>
      <c r="C332" s="88">
        <f>IF($F332="","",'הזנה לתנאי סף'!D332)</f>
        <v>1001272607</v>
      </c>
      <c r="D332" s="88">
        <f>IF($F332="","",'הזנה לתנאי סף'!E332)</f>
        <v>40000564</v>
      </c>
      <c r="E332" s="88">
        <f>IF($F332="","",'הזנה לתנאי סף'!F332)</f>
        <v>20000201</v>
      </c>
      <c r="F332" s="88" t="str">
        <f>IF(OR('הזנה לתנאי סף'!G332="",'הזנה לתנאי סף'!BL332&lt;&gt;1,'הזנה לתנאי סף'!Q332&lt;&gt;1),"",'הזנה לתנאי סף'!G332)</f>
        <v>תל אביב -יפו</v>
      </c>
      <c r="G332" s="88" t="str">
        <f>IF($F332="","",'הזנה לתנאי סף'!H332)</f>
        <v>עמותת הכוריאוגרפים (ע"ר)</v>
      </c>
      <c r="H332" s="88" t="str">
        <f>IF($F332="","",'הזנה לתנאי סף'!I332)</f>
        <v>יוצרים עצמאיים במחול</v>
      </c>
      <c r="I332" s="213">
        <f>IF($F332="","",'תחום תמיכה א'!$I332)</f>
        <v>0</v>
      </c>
      <c r="J332" s="213">
        <f>IF($F332="","",'תחום תמיכה א'!$J332)</f>
        <v>138688</v>
      </c>
      <c r="K332" s="213">
        <f>IF($F332="","",'תחום תמיכה א'!$K332)</f>
        <v>0</v>
      </c>
      <c r="L332" s="213">
        <f t="shared" si="63"/>
        <v>138688</v>
      </c>
      <c r="M332" s="214">
        <f t="shared" si="64"/>
        <v>0</v>
      </c>
      <c r="N332" s="214">
        <f t="shared" si="65"/>
        <v>1</v>
      </c>
      <c r="O332" s="213">
        <f t="shared" si="66"/>
        <v>138688</v>
      </c>
      <c r="P332" s="213">
        <f>IF($F332="","",'פרמטרים לקריטריונים'!$C$59*O332)</f>
        <v>41606.400000000001</v>
      </c>
      <c r="Q332" s="214">
        <f t="shared" si="67"/>
        <v>2.3637803407951615E-4</v>
      </c>
      <c r="R332" s="213">
        <f t="shared" si="68"/>
        <v>23637.803407951615</v>
      </c>
      <c r="S332" s="213">
        <f>IF($F332="","",'הזנה לתנאי סף'!N332)</f>
        <v>0</v>
      </c>
      <c r="T332" s="213">
        <f>IF($F332="","",'הזנה לתנאי סף'!O332)</f>
        <v>1</v>
      </c>
      <c r="U332" s="213">
        <f>IF($F332="","",'תחום תמיכה א'!W332)</f>
        <v>0</v>
      </c>
      <c r="V332" s="213">
        <f>IF($F332="","",'תחום תמיכה א'!X332)</f>
        <v>0</v>
      </c>
      <c r="W332" s="213">
        <f>IF($F332="","",'תחום תמיכה א'!Y332)</f>
        <v>1</v>
      </c>
      <c r="X332" s="231">
        <f>IF($F332="","",'תחום תמיכה א'!Z332)</f>
        <v>0</v>
      </c>
      <c r="Y332" s="213" t="str">
        <f>IF($F332="","",'תחום תמיכה א'!AA332)</f>
        <v/>
      </c>
      <c r="Z332" s="214" t="str">
        <f>IF($F332="","",'תחום תמיכה א'!AB332)</f>
        <v/>
      </c>
      <c r="AA332" s="225" t="str">
        <f>IF($F332="","",'תחום תמיכה א'!AC332)</f>
        <v/>
      </c>
      <c r="AB332" s="213" t="str">
        <f t="shared" si="69"/>
        <v/>
      </c>
      <c r="AC332" s="213">
        <f t="shared" si="70"/>
        <v>23637.803407951615</v>
      </c>
      <c r="AD332" s="214">
        <f t="shared" si="71"/>
        <v>2.3689679842860649E-4</v>
      </c>
      <c r="AE332" s="213">
        <f t="shared" si="72"/>
        <v>24346.584178145302</v>
      </c>
      <c r="AF332" s="214">
        <f t="shared" si="73"/>
        <v>2.3689679842860654E-4</v>
      </c>
    </row>
    <row r="333" spans="1:32" ht="15.75" x14ac:dyDescent="0.2">
      <c r="A333" s="206">
        <f t="shared" si="62"/>
        <v>303</v>
      </c>
      <c r="B333" s="88">
        <f>IF($F333="","",'הזנה לתנאי סף'!C333)</f>
        <v>1001348223</v>
      </c>
      <c r="C333" s="88">
        <f>IF($F333="","",'הזנה לתנאי סף'!D333)</f>
        <v>1001273498</v>
      </c>
      <c r="D333" s="88">
        <f>IF($F333="","",'הזנה לתנאי סף'!E333)</f>
        <v>40000564</v>
      </c>
      <c r="E333" s="88">
        <f>IF($F333="","",'הזנה לתנאי סף'!F333)</f>
        <v>20000201</v>
      </c>
      <c r="F333" s="88" t="str">
        <f>IF(OR('הזנה לתנאי סף'!G333="",'הזנה לתנאי סף'!BL333&lt;&gt;1,'הזנה לתנאי סף'!Q333&lt;&gt;1),"",'הזנה לתנאי סף'!G333)</f>
        <v>תל אביב -יפו</v>
      </c>
      <c r="G333" s="88" t="str">
        <f>IF($F333="","",'הזנה לתנאי סף'!H333)</f>
        <v>עמותת הכוריאוגרפים (ע"ר)</v>
      </c>
      <c r="H333" s="88" t="str">
        <f>IF($F333="","",'הזנה לתנאי סף'!I333)</f>
        <v>יוצרים עצמאיים במחול</v>
      </c>
      <c r="I333" s="213">
        <f>IF($F333="","",'תחום תמיכה א'!$I333)</f>
        <v>31095</v>
      </c>
      <c r="J333" s="213">
        <f>IF($F333="","",'תחום תמיכה א'!$J333)</f>
        <v>44828</v>
      </c>
      <c r="K333" s="213">
        <f>IF($F333="","",'תחום תמיכה א'!$K333)</f>
        <v>0</v>
      </c>
      <c r="L333" s="213">
        <f t="shared" si="63"/>
        <v>75923</v>
      </c>
      <c r="M333" s="214">
        <f t="shared" si="64"/>
        <v>0.40955968547080596</v>
      </c>
      <c r="N333" s="214">
        <f t="shared" si="65"/>
        <v>0.5904403145291941</v>
      </c>
      <c r="O333" s="213">
        <f t="shared" si="66"/>
        <v>26468.258419714712</v>
      </c>
      <c r="P333" s="213">
        <f>IF($F333="","",'פרמטרים לקריטריונים'!$C$59*O333)</f>
        <v>7940.4775259144135</v>
      </c>
      <c r="Q333" s="214">
        <f t="shared" si="67"/>
        <v>4.5112157437995818E-5</v>
      </c>
      <c r="R333" s="213">
        <f t="shared" si="68"/>
        <v>4511.215743799582</v>
      </c>
      <c r="S333" s="213">
        <f>IF($F333="","",'הזנה לתנאי סף'!N333)</f>
        <v>0</v>
      </c>
      <c r="T333" s="213">
        <f>IF($F333="","",'הזנה לתנאי סף'!O333)</f>
        <v>1</v>
      </c>
      <c r="U333" s="213">
        <f>IF($F333="","",'תחום תמיכה א'!W333)</f>
        <v>0</v>
      </c>
      <c r="V333" s="213">
        <f>IF($F333="","",'תחום תמיכה א'!X333)</f>
        <v>0</v>
      </c>
      <c r="W333" s="213">
        <f>IF($F333="","",'תחום תמיכה א'!Y333)</f>
        <v>1</v>
      </c>
      <c r="X333" s="231">
        <f>IF($F333="","",'תחום תמיכה א'!Z333)</f>
        <v>0</v>
      </c>
      <c r="Y333" s="213" t="str">
        <f>IF($F333="","",'תחום תמיכה א'!AA333)</f>
        <v/>
      </c>
      <c r="Z333" s="214" t="str">
        <f>IF($F333="","",'תחום תמיכה א'!AB333)</f>
        <v/>
      </c>
      <c r="AA333" s="225" t="str">
        <f>IF($F333="","",'תחום תמיכה א'!AC333)</f>
        <v/>
      </c>
      <c r="AB333" s="213" t="str">
        <f t="shared" si="69"/>
        <v/>
      </c>
      <c r="AC333" s="213">
        <f t="shared" si="70"/>
        <v>4511.215743799582</v>
      </c>
      <c r="AD333" s="214">
        <f t="shared" si="71"/>
        <v>4.5211162318379547E-5</v>
      </c>
      <c r="AE333" s="213">
        <f t="shared" si="72"/>
        <v>4646.4847835752716</v>
      </c>
      <c r="AF333" s="214">
        <f t="shared" si="73"/>
        <v>4.5211162318379554E-5</v>
      </c>
    </row>
    <row r="334" spans="1:32" ht="15.75" x14ac:dyDescent="0.2">
      <c r="A334" s="206">
        <f t="shared" si="62"/>
        <v>304</v>
      </c>
      <c r="B334" s="88">
        <f>IF($F334="","",'הזנה לתנאי סף'!C334)</f>
        <v>1001348230</v>
      </c>
      <c r="C334" s="88">
        <f>IF($F334="","",'הזנה לתנאי סף'!D334)</f>
        <v>1001273594</v>
      </c>
      <c r="D334" s="88">
        <f>IF($F334="","",'הזנה לתנאי סף'!E334)</f>
        <v>40000564</v>
      </c>
      <c r="E334" s="88">
        <f>IF($F334="","",'הזנה לתנאי סף'!F334)</f>
        <v>20000201</v>
      </c>
      <c r="F334" s="88" t="str">
        <f>IF(OR('הזנה לתנאי סף'!G334="",'הזנה לתנאי סף'!BL334&lt;&gt;1,'הזנה לתנאי סף'!Q334&lt;&gt;1),"",'הזנה לתנאי סף'!G334)</f>
        <v>תל אביב -יפו</v>
      </c>
      <c r="G334" s="88" t="str">
        <f>IF($F334="","",'הזנה לתנאי סף'!H334)</f>
        <v>עמותת הכוריאוגרפים (ע"ר)</v>
      </c>
      <c r="H334" s="88" t="str">
        <f>IF($F334="","",'הזנה לתנאי סף'!I334)</f>
        <v>יוצרים עצמאיים במחול</v>
      </c>
      <c r="I334" s="213">
        <f>IF($F334="","",'תחום תמיכה א'!$I334)</f>
        <v>16060</v>
      </c>
      <c r="J334" s="213">
        <f>IF($F334="","",'תחום תמיכה א'!$J334)</f>
        <v>64932</v>
      </c>
      <c r="K334" s="213">
        <f>IF($F334="","",'תחום תמיכה א'!$K334)</f>
        <v>0</v>
      </c>
      <c r="L334" s="213">
        <f t="shared" si="63"/>
        <v>80992</v>
      </c>
      <c r="M334" s="214">
        <f t="shared" si="64"/>
        <v>0.19829118925325959</v>
      </c>
      <c r="N334" s="214">
        <f t="shared" si="65"/>
        <v>0.80170881074674039</v>
      </c>
      <c r="O334" s="213">
        <f t="shared" si="66"/>
        <v>52056.55649940735</v>
      </c>
      <c r="P334" s="213">
        <f>IF($F334="","",'פרמטרים לקריטריונים'!$C$59*O334)</f>
        <v>15616.966949822205</v>
      </c>
      <c r="Q334" s="214">
        <f t="shared" si="67"/>
        <v>8.8724521849613286E-5</v>
      </c>
      <c r="R334" s="213">
        <f t="shared" si="68"/>
        <v>8872.4521849613284</v>
      </c>
      <c r="S334" s="213">
        <f>IF($F334="","",'הזנה לתנאי סף'!N334)</f>
        <v>0</v>
      </c>
      <c r="T334" s="213">
        <f>IF($F334="","",'הזנה לתנאי סף'!O334)</f>
        <v>1</v>
      </c>
      <c r="U334" s="213">
        <f>IF($F334="","",'תחום תמיכה א'!W334)</f>
        <v>0</v>
      </c>
      <c r="V334" s="213">
        <f>IF($F334="","",'תחום תמיכה א'!X334)</f>
        <v>0</v>
      </c>
      <c r="W334" s="213">
        <f>IF($F334="","",'תחום תמיכה א'!Y334)</f>
        <v>1</v>
      </c>
      <c r="X334" s="231">
        <f>IF($F334="","",'תחום תמיכה א'!Z334)</f>
        <v>0</v>
      </c>
      <c r="Y334" s="213" t="str">
        <f>IF($F334="","",'תחום תמיכה א'!AA334)</f>
        <v/>
      </c>
      <c r="Z334" s="214" t="str">
        <f>IF($F334="","",'תחום תמיכה א'!AB334)</f>
        <v/>
      </c>
      <c r="AA334" s="225" t="str">
        <f>IF($F334="","",'תחום תמיכה א'!AC334)</f>
        <v/>
      </c>
      <c r="AB334" s="213" t="str">
        <f t="shared" si="69"/>
        <v/>
      </c>
      <c r="AC334" s="213">
        <f t="shared" si="70"/>
        <v>8872.4521849613284</v>
      </c>
      <c r="AD334" s="214">
        <f t="shared" si="71"/>
        <v>8.8919240106768188E-5</v>
      </c>
      <c r="AE334" s="213">
        <f t="shared" si="72"/>
        <v>9138.4931272871327</v>
      </c>
      <c r="AF334" s="214">
        <f t="shared" si="73"/>
        <v>8.8919240106768215E-5</v>
      </c>
    </row>
    <row r="335" spans="1:32" ht="15.75" x14ac:dyDescent="0.2">
      <c r="A335" s="206">
        <f t="shared" si="62"/>
        <v>305</v>
      </c>
      <c r="B335" s="88">
        <f>IF($F335="","",'הזנה לתנאי סף'!C335)</f>
        <v>1001348231</v>
      </c>
      <c r="C335" s="88">
        <f>IF($F335="","",'הזנה לתנאי סף'!D335)</f>
        <v>1001273598</v>
      </c>
      <c r="D335" s="88">
        <f>IF($F335="","",'הזנה לתנאי סף'!E335)</f>
        <v>40000564</v>
      </c>
      <c r="E335" s="88">
        <f>IF($F335="","",'הזנה לתנאי סף'!F335)</f>
        <v>20000201</v>
      </c>
      <c r="F335" s="88" t="str">
        <f>IF(OR('הזנה לתנאי סף'!G335="",'הזנה לתנאי סף'!BL335&lt;&gt;1,'הזנה לתנאי סף'!Q335&lt;&gt;1),"",'הזנה לתנאי סף'!G335)</f>
        <v>תל אביב -יפו</v>
      </c>
      <c r="G335" s="88" t="str">
        <f>IF($F335="","",'הזנה לתנאי סף'!H335)</f>
        <v>עמותת הכוריאוגרפים (ע"ר)</v>
      </c>
      <c r="H335" s="88" t="str">
        <f>IF($F335="","",'הזנה לתנאי סף'!I335)</f>
        <v>יוצרים עצמאיים במחול</v>
      </c>
      <c r="I335" s="213">
        <f>IF($F335="","",'תחום תמיכה א'!$I335)</f>
        <v>80000</v>
      </c>
      <c r="J335" s="213">
        <f>IF($F335="","",'תחום תמיכה א'!$J335)</f>
        <v>235471</v>
      </c>
      <c r="K335" s="213">
        <f>IF($F335="","",'תחום תמיכה א'!$K335)</f>
        <v>0</v>
      </c>
      <c r="L335" s="213">
        <f t="shared" si="63"/>
        <v>315471</v>
      </c>
      <c r="M335" s="214">
        <f t="shared" si="64"/>
        <v>0.25358907791841406</v>
      </c>
      <c r="N335" s="214">
        <f t="shared" si="65"/>
        <v>0.74641092208158599</v>
      </c>
      <c r="O335" s="213">
        <f t="shared" si="66"/>
        <v>175758.12623347313</v>
      </c>
      <c r="P335" s="213">
        <f>IF($F335="","",'פרמטרים לקריטריונים'!$C$59*O335)</f>
        <v>52727.43787004194</v>
      </c>
      <c r="Q335" s="214">
        <f t="shared" si="67"/>
        <v>2.9955987794594925E-4</v>
      </c>
      <c r="R335" s="213">
        <f t="shared" si="68"/>
        <v>29955.987794594927</v>
      </c>
      <c r="S335" s="213">
        <f>IF($F335="","",'הזנה לתנאי סף'!N335)</f>
        <v>0</v>
      </c>
      <c r="T335" s="213">
        <f>IF($F335="","",'הזנה לתנאי סף'!O335)</f>
        <v>1</v>
      </c>
      <c r="U335" s="213">
        <f>IF($F335="","",'תחום תמיכה א'!W335)</f>
        <v>0</v>
      </c>
      <c r="V335" s="213">
        <f>IF($F335="","",'תחום תמיכה א'!X335)</f>
        <v>0</v>
      </c>
      <c r="W335" s="213">
        <f>IF($F335="","",'תחום תמיכה א'!Y335)</f>
        <v>1</v>
      </c>
      <c r="X335" s="231">
        <f>IF($F335="","",'תחום תמיכה א'!Z335)</f>
        <v>0</v>
      </c>
      <c r="Y335" s="213" t="str">
        <f>IF($F335="","",'תחום תמיכה א'!AA335)</f>
        <v/>
      </c>
      <c r="Z335" s="214" t="str">
        <f>IF($F335="","",'תחום תמיכה א'!AB335)</f>
        <v/>
      </c>
      <c r="AA335" s="225" t="str">
        <f>IF($F335="","",'תחום תמיכה א'!AC335)</f>
        <v/>
      </c>
      <c r="AB335" s="213" t="str">
        <f t="shared" si="69"/>
        <v/>
      </c>
      <c r="AC335" s="213">
        <f t="shared" si="70"/>
        <v>29955.987794594927</v>
      </c>
      <c r="AD335" s="214">
        <f t="shared" si="71"/>
        <v>3.0021730360608458E-4</v>
      </c>
      <c r="AE335" s="213">
        <f t="shared" si="72"/>
        <v>30854.219653728811</v>
      </c>
      <c r="AF335" s="214">
        <f t="shared" si="73"/>
        <v>3.0021730360608464E-4</v>
      </c>
    </row>
    <row r="336" spans="1:32" ht="15.75" x14ac:dyDescent="0.2">
      <c r="A336" s="206">
        <f t="shared" si="62"/>
        <v>306</v>
      </c>
      <c r="B336" s="88">
        <f>IF($F336="","",'הזנה לתנאי סף'!C336)</f>
        <v>1001348232</v>
      </c>
      <c r="C336" s="88">
        <f>IF($F336="","",'הזנה לתנאי סף'!D336)</f>
        <v>1001273521</v>
      </c>
      <c r="D336" s="88">
        <f>IF($F336="","",'הזנה לתנאי סף'!E336)</f>
        <v>40000564</v>
      </c>
      <c r="E336" s="88">
        <f>IF($F336="","",'הזנה לתנאי סף'!F336)</f>
        <v>20000201</v>
      </c>
      <c r="F336" s="88" t="str">
        <f>IF(OR('הזנה לתנאי סף'!G336="",'הזנה לתנאי סף'!BL336&lt;&gt;1,'הזנה לתנאי סף'!Q336&lt;&gt;1),"",'הזנה לתנאי סף'!G336)</f>
        <v>תל אביב -יפו</v>
      </c>
      <c r="G336" s="88" t="str">
        <f>IF($F336="","",'הזנה לתנאי סף'!H336)</f>
        <v>עמותת הכוריאוגרפים (ע"ר)</v>
      </c>
      <c r="H336" s="88" t="str">
        <f>IF($F336="","",'הזנה לתנאי סף'!I336)</f>
        <v>יוצרים עצמאיים במחול</v>
      </c>
      <c r="I336" s="213">
        <f>IF($F336="","",'תחום תמיכה א'!$I336)</f>
        <v>68615</v>
      </c>
      <c r="J336" s="213">
        <f>IF($F336="","",'תחום תמיכה א'!$J336)</f>
        <v>52236</v>
      </c>
      <c r="K336" s="213">
        <f>IF($F336="","",'תחום תמיכה א'!$K336)</f>
        <v>0</v>
      </c>
      <c r="L336" s="213">
        <f t="shared" si="63"/>
        <v>120851</v>
      </c>
      <c r="M336" s="214">
        <f t="shared" si="64"/>
        <v>0.56776526466475241</v>
      </c>
      <c r="N336" s="214">
        <f t="shared" si="65"/>
        <v>0.43223473533524759</v>
      </c>
      <c r="O336" s="213">
        <f t="shared" si="66"/>
        <v>22578.213634971991</v>
      </c>
      <c r="P336" s="213">
        <f>IF($F336="","",'פרמטרים לקריטריונים'!$C$59*O336)</f>
        <v>6773.4640904915968</v>
      </c>
      <c r="Q336" s="214">
        <f t="shared" si="67"/>
        <v>3.8482015401923777E-5</v>
      </c>
      <c r="R336" s="213">
        <f t="shared" si="68"/>
        <v>3848.2015401923777</v>
      </c>
      <c r="S336" s="213">
        <f>IF($F336="","",'הזנה לתנאי סף'!N336)</f>
        <v>0</v>
      </c>
      <c r="T336" s="213">
        <f>IF($F336="","",'הזנה לתנאי סף'!O336)</f>
        <v>1</v>
      </c>
      <c r="U336" s="213">
        <f>IF($F336="","",'תחום תמיכה א'!W336)</f>
        <v>0</v>
      </c>
      <c r="V336" s="213">
        <f>IF($F336="","",'תחום תמיכה א'!X336)</f>
        <v>0</v>
      </c>
      <c r="W336" s="213">
        <f>IF($F336="","",'תחום תמיכה א'!Y336)</f>
        <v>1</v>
      </c>
      <c r="X336" s="231">
        <f>IF($F336="","",'תחום תמיכה א'!Z336)</f>
        <v>0</v>
      </c>
      <c r="Y336" s="213" t="str">
        <f>IF($F336="","",'תחום תמיכה א'!AA336)</f>
        <v/>
      </c>
      <c r="Z336" s="214" t="str">
        <f>IF($F336="","",'תחום תמיכה א'!AB336)</f>
        <v/>
      </c>
      <c r="AA336" s="225" t="str">
        <f>IF($F336="","",'תחום תמיכה א'!AC336)</f>
        <v/>
      </c>
      <c r="AB336" s="213" t="str">
        <f t="shared" si="69"/>
        <v/>
      </c>
      <c r="AC336" s="213">
        <f t="shared" si="70"/>
        <v>3848.2015401923777</v>
      </c>
      <c r="AD336" s="214">
        <f t="shared" si="71"/>
        <v>3.8566469516915476E-5</v>
      </c>
      <c r="AE336" s="213">
        <f t="shared" si="72"/>
        <v>3963.5900644323483</v>
      </c>
      <c r="AF336" s="214">
        <f t="shared" si="73"/>
        <v>3.8566469516915489E-5</v>
      </c>
    </row>
    <row r="337" spans="1:32" ht="15.75" x14ac:dyDescent="0.2">
      <c r="A337" s="206">
        <f t="shared" si="62"/>
        <v>307</v>
      </c>
      <c r="B337" s="88">
        <f>IF($F337="","",'הזנה לתנאי סף'!C337)</f>
        <v>1001348233</v>
      </c>
      <c r="C337" s="88">
        <f>IF($F337="","",'הזנה לתנאי סף'!D337)</f>
        <v>1001272589</v>
      </c>
      <c r="D337" s="88">
        <f>IF($F337="","",'הזנה לתנאי סף'!E337)</f>
        <v>40000564</v>
      </c>
      <c r="E337" s="88">
        <f>IF($F337="","",'הזנה לתנאי סף'!F337)</f>
        <v>20000201</v>
      </c>
      <c r="F337" s="88" t="str">
        <f>IF(OR('הזנה לתנאי סף'!G337="",'הזנה לתנאי סף'!BL337&lt;&gt;1,'הזנה לתנאי סף'!Q337&lt;&gt;1),"",'הזנה לתנאי סף'!G337)</f>
        <v>תל אביב -יפו</v>
      </c>
      <c r="G337" s="88" t="str">
        <f>IF($F337="","",'הזנה לתנאי סף'!H337)</f>
        <v>עמותת הכוריאוגרפים (ע"ר)</v>
      </c>
      <c r="H337" s="88" t="str">
        <f>IF($F337="","",'הזנה לתנאי סף'!I337)</f>
        <v>יוצרים עצמאיים במחול</v>
      </c>
      <c r="I337" s="213">
        <f>IF($F337="","",'תחום תמיכה א'!$I337)</f>
        <v>57100</v>
      </c>
      <c r="J337" s="213">
        <f>IF($F337="","",'תחום תמיכה א'!$J337)</f>
        <v>75871</v>
      </c>
      <c r="K337" s="213">
        <f>IF($F337="","",'תחום תמיכה א'!$K337)</f>
        <v>0</v>
      </c>
      <c r="L337" s="213">
        <f t="shared" si="63"/>
        <v>132971</v>
      </c>
      <c r="M337" s="214">
        <f t="shared" si="64"/>
        <v>0.42941694053590634</v>
      </c>
      <c r="N337" s="214">
        <f t="shared" si="65"/>
        <v>0.57058305946409371</v>
      </c>
      <c r="O337" s="213">
        <f t="shared" si="66"/>
        <v>43290.707304600255</v>
      </c>
      <c r="P337" s="213">
        <f>IF($F337="","",'פרמטרים לקריטריונים'!$C$59*O337)</f>
        <v>12987.212191380077</v>
      </c>
      <c r="Q337" s="214">
        <f t="shared" si="67"/>
        <v>7.3784121817123023E-5</v>
      </c>
      <c r="R337" s="213">
        <f t="shared" si="68"/>
        <v>7378.4121817123023</v>
      </c>
      <c r="S337" s="213">
        <f>IF($F337="","",'הזנה לתנאי סף'!N337)</f>
        <v>0</v>
      </c>
      <c r="T337" s="213">
        <f>IF($F337="","",'הזנה לתנאי סף'!O337)</f>
        <v>1</v>
      </c>
      <c r="U337" s="213">
        <f>IF($F337="","",'תחום תמיכה א'!W337)</f>
        <v>0</v>
      </c>
      <c r="V337" s="213">
        <f>IF($F337="","",'תחום תמיכה א'!X337)</f>
        <v>0</v>
      </c>
      <c r="W337" s="213">
        <f>IF($F337="","",'תחום תמיכה א'!Y337)</f>
        <v>1</v>
      </c>
      <c r="X337" s="231">
        <f>IF($F337="","",'תחום תמיכה א'!Z337)</f>
        <v>0</v>
      </c>
      <c r="Y337" s="213" t="str">
        <f>IF($F337="","",'תחום תמיכה א'!AA337)</f>
        <v/>
      </c>
      <c r="Z337" s="214" t="str">
        <f>IF($F337="","",'תחום תמיכה א'!AB337)</f>
        <v/>
      </c>
      <c r="AA337" s="225" t="str">
        <f>IF($F337="","",'תחום תמיכה א'!AC337)</f>
        <v/>
      </c>
      <c r="AB337" s="213" t="str">
        <f t="shared" si="69"/>
        <v/>
      </c>
      <c r="AC337" s="213">
        <f t="shared" si="70"/>
        <v>7378.4121817123023</v>
      </c>
      <c r="AD337" s="214">
        <f t="shared" si="71"/>
        <v>7.394605129621661E-5</v>
      </c>
      <c r="AE337" s="213">
        <f t="shared" si="72"/>
        <v>7599.6542564814526</v>
      </c>
      <c r="AF337" s="214">
        <f t="shared" si="73"/>
        <v>7.3946051296216623E-5</v>
      </c>
    </row>
    <row r="338" spans="1:32" ht="15.75" x14ac:dyDescent="0.2">
      <c r="A338" s="206">
        <f t="shared" si="62"/>
        <v>308</v>
      </c>
      <c r="B338" s="88">
        <f>IF($F338="","",'הזנה לתנאי סף'!C338)</f>
        <v>1001348234</v>
      </c>
      <c r="C338" s="88">
        <f>IF($F338="","",'הזנה לתנאי סף'!D338)</f>
        <v>1001272587</v>
      </c>
      <c r="D338" s="88">
        <f>IF($F338="","",'הזנה לתנאי סף'!E338)</f>
        <v>40000564</v>
      </c>
      <c r="E338" s="88">
        <f>IF($F338="","",'הזנה לתנאי סף'!F338)</f>
        <v>20000201</v>
      </c>
      <c r="F338" s="88" t="str">
        <f>IF(OR('הזנה לתנאי סף'!G338="",'הזנה לתנאי סף'!BL338&lt;&gt;1,'הזנה לתנאי סף'!Q338&lt;&gt;1),"",'הזנה לתנאי סף'!G338)</f>
        <v>תל אביב -יפו</v>
      </c>
      <c r="G338" s="88" t="str">
        <f>IF($F338="","",'הזנה לתנאי סף'!H338)</f>
        <v>עמותת הכוריאוגרפים (ע"ר)</v>
      </c>
      <c r="H338" s="88" t="str">
        <f>IF($F338="","",'הזנה לתנאי סף'!I338)</f>
        <v>יוצרים עצמאיים במחול</v>
      </c>
      <c r="I338" s="213">
        <f>IF($F338="","",'תחום תמיכה א'!$I338)</f>
        <v>59526</v>
      </c>
      <c r="J338" s="213">
        <f>IF($F338="","",'תחום תמיכה א'!$J338)</f>
        <v>38065</v>
      </c>
      <c r="K338" s="213">
        <f>IF($F338="","",'תחום תמיכה א'!$K338)</f>
        <v>0</v>
      </c>
      <c r="L338" s="213">
        <f t="shared" si="63"/>
        <v>97591</v>
      </c>
      <c r="M338" s="214">
        <f t="shared" si="64"/>
        <v>0.60995378672213629</v>
      </c>
      <c r="N338" s="214">
        <f t="shared" si="65"/>
        <v>0.39004621327786371</v>
      </c>
      <c r="O338" s="213">
        <f t="shared" si="66"/>
        <v>14847.109108421882</v>
      </c>
      <c r="P338" s="213">
        <f>IF($F338="","",'פרמטרים לקריטריונים'!$C$59*O338)</f>
        <v>4454.1327325265647</v>
      </c>
      <c r="Q338" s="214">
        <f t="shared" si="67"/>
        <v>2.5305220803622825E-5</v>
      </c>
      <c r="R338" s="213">
        <f t="shared" si="68"/>
        <v>2530.5220803622824</v>
      </c>
      <c r="S338" s="213">
        <f>IF($F338="","",'הזנה לתנאי סף'!N338)</f>
        <v>0</v>
      </c>
      <c r="T338" s="213">
        <f>IF($F338="","",'הזנה לתנאי סף'!O338)</f>
        <v>1</v>
      </c>
      <c r="U338" s="213">
        <f>IF($F338="","",'תחום תמיכה א'!W338)</f>
        <v>0</v>
      </c>
      <c r="V338" s="213">
        <f>IF($F338="","",'תחום תמיכה א'!X338)</f>
        <v>0</v>
      </c>
      <c r="W338" s="213">
        <f>IF($F338="","",'תחום תמיכה א'!Y338)</f>
        <v>1</v>
      </c>
      <c r="X338" s="231">
        <f>IF($F338="","",'תחום תמיכה א'!Z338)</f>
        <v>0</v>
      </c>
      <c r="Y338" s="213" t="str">
        <f>IF($F338="","",'תחום תמיכה א'!AA338)</f>
        <v/>
      </c>
      <c r="Z338" s="214" t="str">
        <f>IF($F338="","",'תחום תמיכה א'!AB338)</f>
        <v/>
      </c>
      <c r="AA338" s="225" t="str">
        <f>IF($F338="","",'תחום תמיכה א'!AC338)</f>
        <v/>
      </c>
      <c r="AB338" s="213" t="str">
        <f t="shared" si="69"/>
        <v/>
      </c>
      <c r="AC338" s="213">
        <f t="shared" si="70"/>
        <v>2530.5220803622824</v>
      </c>
      <c r="AD338" s="214">
        <f t="shared" si="71"/>
        <v>2.536075661704939E-5</v>
      </c>
      <c r="AE338" s="213">
        <f t="shared" si="72"/>
        <v>2606.3999171543405</v>
      </c>
      <c r="AF338" s="214">
        <f t="shared" si="73"/>
        <v>2.5360756617049396E-5</v>
      </c>
    </row>
    <row r="339" spans="1:32" ht="15.75" x14ac:dyDescent="0.2">
      <c r="A339" s="206">
        <f t="shared" si="62"/>
        <v>309</v>
      </c>
      <c r="B339" s="88">
        <f>IF($F339="","",'הזנה לתנאי סף'!C339)</f>
        <v>1001348235</v>
      </c>
      <c r="C339" s="88">
        <f>IF($F339="","",'הזנה לתנאי סף'!D339)</f>
        <v>1001272585</v>
      </c>
      <c r="D339" s="88">
        <f>IF($F339="","",'הזנה לתנאי סף'!E339)</f>
        <v>40000564</v>
      </c>
      <c r="E339" s="88">
        <f>IF($F339="","",'הזנה לתנאי סף'!F339)</f>
        <v>20000201</v>
      </c>
      <c r="F339" s="88" t="str">
        <f>IF(OR('הזנה לתנאי סף'!G339="",'הזנה לתנאי סף'!BL339&lt;&gt;1,'הזנה לתנאי סף'!Q339&lt;&gt;1),"",'הזנה לתנאי סף'!G339)</f>
        <v>תל אביב -יפו</v>
      </c>
      <c r="G339" s="88" t="str">
        <f>IF($F339="","",'הזנה לתנאי סף'!H339)</f>
        <v>עמותת הכוריאוגרפים (ע"ר)</v>
      </c>
      <c r="H339" s="88" t="str">
        <f>IF($F339="","",'הזנה לתנאי סף'!I339)</f>
        <v>יוצרים עצמאיים במחול</v>
      </c>
      <c r="I339" s="213">
        <f>IF($F339="","",'תחום תמיכה א'!$I339)</f>
        <v>0</v>
      </c>
      <c r="J339" s="213">
        <f>IF($F339="","",'תחום תמיכה א'!$J339)</f>
        <v>47332</v>
      </c>
      <c r="K339" s="213">
        <f>IF($F339="","",'תחום תמיכה א'!$K339)</f>
        <v>0</v>
      </c>
      <c r="L339" s="213">
        <f t="shared" si="63"/>
        <v>47332</v>
      </c>
      <c r="M339" s="214">
        <f t="shared" si="64"/>
        <v>0</v>
      </c>
      <c r="N339" s="214">
        <f t="shared" si="65"/>
        <v>1</v>
      </c>
      <c r="O339" s="213">
        <f t="shared" si="66"/>
        <v>47332</v>
      </c>
      <c r="P339" s="213">
        <f>IF($F339="","",'פרמטרים לקריטריונים'!$C$59*O339)</f>
        <v>14199.6</v>
      </c>
      <c r="Q339" s="214">
        <f t="shared" si="67"/>
        <v>8.0672048836609211E-5</v>
      </c>
      <c r="R339" s="213">
        <f t="shared" si="68"/>
        <v>8067.204883660921</v>
      </c>
      <c r="S339" s="213">
        <f>IF($F339="","",'הזנה לתנאי סף'!N339)</f>
        <v>0</v>
      </c>
      <c r="T339" s="213">
        <f>IF($F339="","",'הזנה לתנאי סף'!O339)</f>
        <v>1</v>
      </c>
      <c r="U339" s="213">
        <f>IF($F339="","",'תחום תמיכה א'!W339)</f>
        <v>0</v>
      </c>
      <c r="V339" s="213">
        <f>IF($F339="","",'תחום תמיכה א'!X339)</f>
        <v>0</v>
      </c>
      <c r="W339" s="213">
        <f>IF($F339="","",'תחום תמיכה א'!Y339)</f>
        <v>1</v>
      </c>
      <c r="X339" s="231">
        <f>IF($F339="","",'תחום תמיכה א'!Z339)</f>
        <v>0</v>
      </c>
      <c r="Y339" s="213" t="str">
        <f>IF($F339="","",'תחום תמיכה א'!AA339)</f>
        <v/>
      </c>
      <c r="Z339" s="214" t="str">
        <f>IF($F339="","",'תחום תמיכה א'!AB339)</f>
        <v/>
      </c>
      <c r="AA339" s="225" t="str">
        <f>IF($F339="","",'תחום תמיכה א'!AC339)</f>
        <v/>
      </c>
      <c r="AB339" s="213" t="str">
        <f t="shared" si="69"/>
        <v/>
      </c>
      <c r="AC339" s="213">
        <f t="shared" si="70"/>
        <v>8067.204883660921</v>
      </c>
      <c r="AD339" s="214">
        <f t="shared" si="71"/>
        <v>8.0849094825960436E-5</v>
      </c>
      <c r="AE339" s="213">
        <f t="shared" si="72"/>
        <v>8309.1004435854102</v>
      </c>
      <c r="AF339" s="214">
        <f t="shared" si="73"/>
        <v>8.0849094825960463E-5</v>
      </c>
    </row>
    <row r="340" spans="1:32" ht="15.75" x14ac:dyDescent="0.2">
      <c r="A340" s="206">
        <f t="shared" si="62"/>
        <v>310</v>
      </c>
      <c r="B340" s="88">
        <f>IF($F340="","",'הזנה לתנאי סף'!C340)</f>
        <v>1001348236</v>
      </c>
      <c r="C340" s="88">
        <f>IF($F340="","",'הזנה לתנאי סף'!D340)</f>
        <v>1001272586</v>
      </c>
      <c r="D340" s="88">
        <f>IF($F340="","",'הזנה לתנאי סף'!E340)</f>
        <v>40000564</v>
      </c>
      <c r="E340" s="88">
        <f>IF($F340="","",'הזנה לתנאי סף'!F340)</f>
        <v>20000201</v>
      </c>
      <c r="F340" s="88" t="str">
        <f>IF(OR('הזנה לתנאי סף'!G340="",'הזנה לתנאי סף'!BL340&lt;&gt;1,'הזנה לתנאי סף'!Q340&lt;&gt;1),"",'הזנה לתנאי סף'!G340)</f>
        <v>תל אביב -יפו</v>
      </c>
      <c r="G340" s="88" t="str">
        <f>IF($F340="","",'הזנה לתנאי סף'!H340)</f>
        <v>עמותת הכוריאוגרפים (ע"ר)</v>
      </c>
      <c r="H340" s="88" t="str">
        <f>IF($F340="","",'הזנה לתנאי סף'!I340)</f>
        <v>יוצרים עצמאיים במחול</v>
      </c>
      <c r="I340" s="213">
        <f>IF($F340="","",'תחום תמיכה א'!$I340)</f>
        <v>0</v>
      </c>
      <c r="J340" s="213">
        <f>IF($F340="","",'תחום תמיכה א'!$J340)</f>
        <v>41582</v>
      </c>
      <c r="K340" s="213">
        <f>IF($F340="","",'תחום תמיכה א'!$K340)</f>
        <v>0</v>
      </c>
      <c r="L340" s="213">
        <f t="shared" si="63"/>
        <v>41582</v>
      </c>
      <c r="M340" s="214">
        <f t="shared" si="64"/>
        <v>0</v>
      </c>
      <c r="N340" s="214">
        <f t="shared" si="65"/>
        <v>1</v>
      </c>
      <c r="O340" s="213">
        <f t="shared" si="66"/>
        <v>41582</v>
      </c>
      <c r="P340" s="213">
        <f>IF($F340="","",'פרמטרים לקריטריונים'!$C$59*O340)</f>
        <v>12474.6</v>
      </c>
      <c r="Q340" s="214">
        <f t="shared" si="67"/>
        <v>7.0871823179326549E-5</v>
      </c>
      <c r="R340" s="213">
        <f t="shared" si="68"/>
        <v>7087.1823179326548</v>
      </c>
      <c r="S340" s="213">
        <f>IF($F340="","",'הזנה לתנאי סף'!N340)</f>
        <v>0</v>
      </c>
      <c r="T340" s="213">
        <f>IF($F340="","",'הזנה לתנאי סף'!O340)</f>
        <v>1</v>
      </c>
      <c r="U340" s="213">
        <f>IF($F340="","",'תחום תמיכה א'!W340)</f>
        <v>0</v>
      </c>
      <c r="V340" s="213">
        <f>IF($F340="","",'תחום תמיכה א'!X340)</f>
        <v>0</v>
      </c>
      <c r="W340" s="213">
        <f>IF($F340="","",'תחום תמיכה א'!Y340)</f>
        <v>1</v>
      </c>
      <c r="X340" s="231">
        <f>IF($F340="","",'תחום תמיכה א'!Z340)</f>
        <v>0</v>
      </c>
      <c r="Y340" s="213" t="str">
        <f>IF($F340="","",'תחום תמיכה א'!AA340)</f>
        <v/>
      </c>
      <c r="Z340" s="214" t="str">
        <f>IF($F340="","",'תחום תמיכה א'!AB340)</f>
        <v/>
      </c>
      <c r="AA340" s="225" t="str">
        <f>IF($F340="","",'תחום תמיכה א'!AC340)</f>
        <v/>
      </c>
      <c r="AB340" s="213" t="str">
        <f t="shared" si="69"/>
        <v/>
      </c>
      <c r="AC340" s="213">
        <f t="shared" si="70"/>
        <v>7087.1823179326548</v>
      </c>
      <c r="AD340" s="214">
        <f t="shared" si="71"/>
        <v>7.1027361215521994E-5</v>
      </c>
      <c r="AE340" s="213">
        <f t="shared" si="72"/>
        <v>7299.691850020462</v>
      </c>
      <c r="AF340" s="214">
        <f t="shared" si="73"/>
        <v>7.1027361215522008E-5</v>
      </c>
    </row>
    <row r="341" spans="1:32" ht="15.75" x14ac:dyDescent="0.2">
      <c r="A341" s="206">
        <f t="shared" si="62"/>
        <v>311</v>
      </c>
      <c r="B341" s="88">
        <f>IF($F341="","",'הזנה לתנאי סף'!C341)</f>
        <v>1001348240</v>
      </c>
      <c r="C341" s="88">
        <f>IF($F341="","",'הזנה לתנאי סף'!D341)</f>
        <v>1001270940</v>
      </c>
      <c r="D341" s="88">
        <f>IF($F341="","",'הזנה לתנאי סף'!E341)</f>
        <v>40000564</v>
      </c>
      <c r="E341" s="88">
        <f>IF($F341="","",'הזנה לתנאי סף'!F341)</f>
        <v>20000201</v>
      </c>
      <c r="F341" s="88" t="str">
        <f>IF(OR('הזנה לתנאי סף'!G341="",'הזנה לתנאי סף'!BL341&lt;&gt;1,'הזנה לתנאי סף'!Q341&lt;&gt;1),"",'הזנה לתנאי סף'!G341)</f>
        <v>תל אביב -יפו</v>
      </c>
      <c r="G341" s="88" t="str">
        <f>IF($F341="","",'הזנה לתנאי סף'!H341)</f>
        <v>עמותת הכוריאוגרפים (ע"ר)</v>
      </c>
      <c r="H341" s="88" t="str">
        <f>IF($F341="","",'הזנה לתנאי סף'!I341)</f>
        <v>יוצרים עצמאיים במחול</v>
      </c>
      <c r="I341" s="213">
        <f>IF($F341="","",'תחום תמיכה א'!$I341)</f>
        <v>134139</v>
      </c>
      <c r="J341" s="213">
        <f>IF($F341="","",'תחום תמיכה א'!$J341)</f>
        <v>52044</v>
      </c>
      <c r="K341" s="213">
        <f>IF($F341="","",'תחום תמיכה א'!$K341)</f>
        <v>0</v>
      </c>
      <c r="L341" s="213">
        <f t="shared" si="63"/>
        <v>186183</v>
      </c>
      <c r="M341" s="214">
        <f t="shared" si="64"/>
        <v>0.72046857124442076</v>
      </c>
      <c r="N341" s="214">
        <f t="shared" si="65"/>
        <v>0.27953142875557924</v>
      </c>
      <c r="O341" s="213">
        <f t="shared" si="66"/>
        <v>14547.933678155367</v>
      </c>
      <c r="P341" s="213">
        <f>IF($F341="","",'פרמטרים לקריטריונים'!$C$59*O341)</f>
        <v>4364.3801034466096</v>
      </c>
      <c r="Q341" s="214">
        <f t="shared" si="67"/>
        <v>2.4795310068366042E-5</v>
      </c>
      <c r="R341" s="213">
        <f t="shared" si="68"/>
        <v>2479.5310068366043</v>
      </c>
      <c r="S341" s="213">
        <f>IF($F341="","",'הזנה לתנאי סף'!N341)</f>
        <v>0</v>
      </c>
      <c r="T341" s="213">
        <f>IF($F341="","",'הזנה לתנאי סף'!O341)</f>
        <v>1</v>
      </c>
      <c r="U341" s="213">
        <f>IF($F341="","",'תחום תמיכה א'!W341)</f>
        <v>0</v>
      </c>
      <c r="V341" s="213">
        <f>IF($F341="","",'תחום תמיכה א'!X341)</f>
        <v>0</v>
      </c>
      <c r="W341" s="213">
        <f>IF($F341="","",'תחום תמיכה א'!Y341)</f>
        <v>1</v>
      </c>
      <c r="X341" s="231">
        <f>IF($F341="","",'תחום תמיכה א'!Z341)</f>
        <v>0</v>
      </c>
      <c r="Y341" s="213" t="str">
        <f>IF($F341="","",'תחום תמיכה א'!AA341)</f>
        <v/>
      </c>
      <c r="Z341" s="214" t="str">
        <f>IF($F341="","",'תחום תמיכה א'!AB341)</f>
        <v/>
      </c>
      <c r="AA341" s="225" t="str">
        <f>IF($F341="","",'תחום תמיכה א'!AC341)</f>
        <v/>
      </c>
      <c r="AB341" s="213" t="str">
        <f t="shared" si="69"/>
        <v/>
      </c>
      <c r="AC341" s="213">
        <f t="shared" si="70"/>
        <v>2479.5310068366043</v>
      </c>
      <c r="AD341" s="214">
        <f t="shared" si="71"/>
        <v>2.4849726812029214E-5</v>
      </c>
      <c r="AE341" s="213">
        <f t="shared" si="72"/>
        <v>2553.87987362486</v>
      </c>
      <c r="AF341" s="214">
        <f t="shared" si="73"/>
        <v>2.4849726812029217E-5</v>
      </c>
    </row>
    <row r="342" spans="1:32" ht="15.75" x14ac:dyDescent="0.2">
      <c r="A342" s="206">
        <f t="shared" si="62"/>
        <v>312</v>
      </c>
      <c r="B342" s="88">
        <f>IF($F342="","",'הזנה לתנאי סף'!C342)</f>
        <v>1001348241</v>
      </c>
      <c r="C342" s="88">
        <f>IF($F342="","",'הזנה לתנאי סף'!D342)</f>
        <v>1001272574</v>
      </c>
      <c r="D342" s="88">
        <f>IF($F342="","",'הזנה לתנאי סף'!E342)</f>
        <v>40000564</v>
      </c>
      <c r="E342" s="88">
        <f>IF($F342="","",'הזנה לתנאי סף'!F342)</f>
        <v>20000201</v>
      </c>
      <c r="F342" s="88" t="str">
        <f>IF(OR('הזנה לתנאי סף'!G342="",'הזנה לתנאי סף'!BL342&lt;&gt;1,'הזנה לתנאי סף'!Q342&lt;&gt;1),"",'הזנה לתנאי סף'!G342)</f>
        <v>תל אביב -יפו</v>
      </c>
      <c r="G342" s="88" t="str">
        <f>IF($F342="","",'הזנה לתנאי סף'!H342)</f>
        <v>עמותת הכוריאוגרפים (ע"ר)</v>
      </c>
      <c r="H342" s="88" t="str">
        <f>IF($F342="","",'הזנה לתנאי סף'!I342)</f>
        <v>יוצרים עצמאיים במחול</v>
      </c>
      <c r="I342" s="213">
        <f>IF($F342="","",'תחום תמיכה א'!$I342)</f>
        <v>48675</v>
      </c>
      <c r="J342" s="213">
        <f>IF($F342="","",'תחום תמיכה א'!$J342)</f>
        <v>166975</v>
      </c>
      <c r="K342" s="213">
        <f>IF($F342="","",'תחום תמיכה א'!$K342)</f>
        <v>0</v>
      </c>
      <c r="L342" s="213">
        <f t="shared" si="63"/>
        <v>215650</v>
      </c>
      <c r="M342" s="214">
        <f t="shared" si="64"/>
        <v>0.22571296081613726</v>
      </c>
      <c r="N342" s="214">
        <f t="shared" si="65"/>
        <v>0.77428703918386277</v>
      </c>
      <c r="O342" s="213">
        <f t="shared" si="66"/>
        <v>129286.57836772548</v>
      </c>
      <c r="P342" s="213">
        <f>IF($F342="","",'פרמטרים לקריטריונים'!$C$59*O342)</f>
        <v>38785.973510317643</v>
      </c>
      <c r="Q342" s="214">
        <f t="shared" si="67"/>
        <v>2.2035437260202933E-4</v>
      </c>
      <c r="R342" s="213">
        <f t="shared" si="68"/>
        <v>22035.437260202933</v>
      </c>
      <c r="S342" s="213">
        <f>IF($F342="","",'הזנה לתנאי סף'!N342)</f>
        <v>0</v>
      </c>
      <c r="T342" s="213">
        <f>IF($F342="","",'הזנה לתנאי סף'!O342)</f>
        <v>1</v>
      </c>
      <c r="U342" s="213">
        <f>IF($F342="","",'תחום תמיכה א'!W342)</f>
        <v>0</v>
      </c>
      <c r="V342" s="213">
        <f>IF($F342="","",'תחום תמיכה א'!X342)</f>
        <v>0</v>
      </c>
      <c r="W342" s="213">
        <f>IF($F342="","",'תחום תמיכה א'!Y342)</f>
        <v>1</v>
      </c>
      <c r="X342" s="231">
        <f>IF($F342="","",'תחום תמיכה א'!Z342)</f>
        <v>0</v>
      </c>
      <c r="Y342" s="213" t="str">
        <f>IF($F342="","",'תחום תמיכה א'!AA342)</f>
        <v/>
      </c>
      <c r="Z342" s="214" t="str">
        <f>IF($F342="","",'תחום תמיכה א'!AB342)</f>
        <v/>
      </c>
      <c r="AA342" s="225" t="str">
        <f>IF($F342="","",'תחום תמיכה א'!AC342)</f>
        <v/>
      </c>
      <c r="AB342" s="213" t="str">
        <f t="shared" si="69"/>
        <v/>
      </c>
      <c r="AC342" s="213">
        <f t="shared" si="70"/>
        <v>22035.437260202933</v>
      </c>
      <c r="AD342" s="214">
        <f t="shared" si="71"/>
        <v>2.2083797080571711E-4</v>
      </c>
      <c r="AE342" s="213">
        <f t="shared" si="72"/>
        <v>22696.170997737419</v>
      </c>
      <c r="AF342" s="214">
        <f t="shared" si="73"/>
        <v>2.2083797080571716E-4</v>
      </c>
    </row>
    <row r="343" spans="1:32" ht="15.75" x14ac:dyDescent="0.2">
      <c r="A343" s="206">
        <f t="shared" si="62"/>
        <v>313</v>
      </c>
      <c r="B343" s="88">
        <f>IF($F343="","",'הזנה לתנאי סף'!C343)</f>
        <v>1001348248</v>
      </c>
      <c r="C343" s="88">
        <f>IF($F343="","",'הזנה לתנאי סף'!D343)</f>
        <v>1001272582</v>
      </c>
      <c r="D343" s="88">
        <f>IF($F343="","",'הזנה לתנאי סף'!E343)</f>
        <v>40000564</v>
      </c>
      <c r="E343" s="88">
        <f>IF($F343="","",'הזנה לתנאי סף'!F343)</f>
        <v>20000201</v>
      </c>
      <c r="F343" s="88" t="str">
        <f>IF(OR('הזנה לתנאי סף'!G343="",'הזנה לתנאי סף'!BL343&lt;&gt;1,'הזנה לתנאי סף'!Q343&lt;&gt;1),"",'הזנה לתנאי סף'!G343)</f>
        <v>תל אביב -יפו</v>
      </c>
      <c r="G343" s="88" t="str">
        <f>IF($F343="","",'הזנה לתנאי סף'!H343)</f>
        <v>עמותת הכוריאוגרפים (ע"ר)</v>
      </c>
      <c r="H343" s="88" t="str">
        <f>IF($F343="","",'הזנה לתנאי סף'!I343)</f>
        <v>יוצרים עצמאיים במחול</v>
      </c>
      <c r="I343" s="213">
        <f>IF($F343="","",'תחום תמיכה א'!$I343)</f>
        <v>0</v>
      </c>
      <c r="J343" s="213">
        <f>IF($F343="","",'תחום תמיכה א'!$J343)</f>
        <v>349701</v>
      </c>
      <c r="K343" s="213">
        <f>IF($F343="","",'תחום תמיכה א'!$K343)</f>
        <v>0</v>
      </c>
      <c r="L343" s="213">
        <f t="shared" si="63"/>
        <v>349701</v>
      </c>
      <c r="M343" s="214">
        <f t="shared" si="64"/>
        <v>0</v>
      </c>
      <c r="N343" s="214">
        <f t="shared" si="65"/>
        <v>1</v>
      </c>
      <c r="O343" s="213">
        <f t="shared" si="66"/>
        <v>349701</v>
      </c>
      <c r="P343" s="213">
        <f>IF($F343="","",'פרמטרים לקריטריונים'!$C$59*O343)</f>
        <v>104910.3</v>
      </c>
      <c r="Q343" s="214">
        <f t="shared" si="67"/>
        <v>5.9602586305693985E-4</v>
      </c>
      <c r="R343" s="213">
        <f t="shared" si="68"/>
        <v>59602.586305693985</v>
      </c>
      <c r="S343" s="213">
        <f>IF($F343="","",'הזנה לתנאי סף'!N343)</f>
        <v>0</v>
      </c>
      <c r="T343" s="213">
        <f>IF($F343="","",'הזנה לתנאי סף'!O343)</f>
        <v>1</v>
      </c>
      <c r="U343" s="213">
        <f>IF($F343="","",'תחום תמיכה א'!W343)</f>
        <v>0</v>
      </c>
      <c r="V343" s="213">
        <f>IF($F343="","",'תחום תמיכה א'!X343)</f>
        <v>0</v>
      </c>
      <c r="W343" s="213">
        <f>IF($F343="","",'תחום תמיכה א'!Y343)</f>
        <v>1</v>
      </c>
      <c r="X343" s="231">
        <f>IF($F343="","",'תחום תמיכה א'!Z343)</f>
        <v>0</v>
      </c>
      <c r="Y343" s="213" t="str">
        <f>IF($F343="","",'תחום תמיכה א'!AA343)</f>
        <v/>
      </c>
      <c r="Z343" s="214" t="str">
        <f>IF($F343="","",'תחום תמיכה א'!AB343)</f>
        <v/>
      </c>
      <c r="AA343" s="225" t="str">
        <f>IF($F343="","",'תחום תמיכה א'!AC343)</f>
        <v/>
      </c>
      <c r="AB343" s="213" t="str">
        <f t="shared" si="69"/>
        <v/>
      </c>
      <c r="AC343" s="213">
        <f t="shared" si="70"/>
        <v>59602.586305693985</v>
      </c>
      <c r="AD343" s="214">
        <f t="shared" si="71"/>
        <v>5.9733392440068438E-4</v>
      </c>
      <c r="AE343" s="213">
        <f t="shared" si="72"/>
        <v>61389.772970131446</v>
      </c>
      <c r="AF343" s="214">
        <f t="shared" si="73"/>
        <v>5.9733392440068449E-4</v>
      </c>
    </row>
    <row r="344" spans="1:32" ht="15.75" x14ac:dyDescent="0.2">
      <c r="A344" s="206">
        <f t="shared" si="62"/>
        <v>314</v>
      </c>
      <c r="B344" s="88">
        <f>IF($F344="","",'הזנה לתנאי סף'!C344)</f>
        <v>1001348257</v>
      </c>
      <c r="C344" s="88">
        <f>IF($F344="","",'הזנה לתנאי סף'!D344)</f>
        <v>1001272579</v>
      </c>
      <c r="D344" s="88">
        <f>IF($F344="","",'הזנה לתנאי סף'!E344)</f>
        <v>40000564</v>
      </c>
      <c r="E344" s="88">
        <f>IF($F344="","",'הזנה לתנאי סף'!F344)</f>
        <v>20000201</v>
      </c>
      <c r="F344" s="88" t="str">
        <f>IF(OR('הזנה לתנאי סף'!G344="",'הזנה לתנאי סף'!BL344&lt;&gt;1,'הזנה לתנאי סף'!Q344&lt;&gt;1),"",'הזנה לתנאי סף'!G344)</f>
        <v>תל אביב -יפו</v>
      </c>
      <c r="G344" s="88" t="str">
        <f>IF($F344="","",'הזנה לתנאי סף'!H344)</f>
        <v>עמותת הכוריאוגרפים (ע"ר)</v>
      </c>
      <c r="H344" s="88" t="str">
        <f>IF($F344="","",'הזנה לתנאי סף'!I344)</f>
        <v>יוצרים עצמאיים במחול</v>
      </c>
      <c r="I344" s="213">
        <f>IF($F344="","",'תחום תמיכה א'!$I344)</f>
        <v>0</v>
      </c>
      <c r="J344" s="213">
        <f>IF($F344="","",'תחום תמיכה א'!$J344)</f>
        <v>106279</v>
      </c>
      <c r="K344" s="213">
        <f>IF($F344="","",'תחום תמיכה א'!$K344)</f>
        <v>0</v>
      </c>
      <c r="L344" s="213">
        <f t="shared" si="63"/>
        <v>106279</v>
      </c>
      <c r="M344" s="214">
        <f t="shared" si="64"/>
        <v>0</v>
      </c>
      <c r="N344" s="214">
        <f t="shared" si="65"/>
        <v>1</v>
      </c>
      <c r="O344" s="213">
        <f t="shared" si="66"/>
        <v>106279</v>
      </c>
      <c r="P344" s="213">
        <f>IF($F344="","",'פרמטרים לקריטריונים'!$C$59*O344)</f>
        <v>31883.699999999997</v>
      </c>
      <c r="Q344" s="214">
        <f t="shared" si="67"/>
        <v>1.8114055350092938E-4</v>
      </c>
      <c r="R344" s="213">
        <f t="shared" si="68"/>
        <v>18114.055350092938</v>
      </c>
      <c r="S344" s="213">
        <f>IF($F344="","",'הזנה לתנאי סף'!N344)</f>
        <v>0</v>
      </c>
      <c r="T344" s="213">
        <f>IF($F344="","",'הזנה לתנאי סף'!O344)</f>
        <v>1</v>
      </c>
      <c r="U344" s="213">
        <f>IF($F344="","",'תחום תמיכה א'!W344)</f>
        <v>0</v>
      </c>
      <c r="V344" s="213">
        <f>IF($F344="","",'תחום תמיכה א'!X344)</f>
        <v>0</v>
      </c>
      <c r="W344" s="213">
        <f>IF($F344="","",'תחום תמיכה א'!Y344)</f>
        <v>1</v>
      </c>
      <c r="X344" s="231">
        <f>IF($F344="","",'תחום תמיכה א'!Z344)</f>
        <v>0</v>
      </c>
      <c r="Y344" s="213" t="str">
        <f>IF($F344="","",'תחום תמיכה א'!AA344)</f>
        <v/>
      </c>
      <c r="Z344" s="214" t="str">
        <f>IF($F344="","",'תחום תמיכה א'!AB344)</f>
        <v/>
      </c>
      <c r="AA344" s="225" t="str">
        <f>IF($F344="","",'תחום תמיכה א'!AC344)</f>
        <v/>
      </c>
      <c r="AB344" s="213" t="str">
        <f t="shared" si="69"/>
        <v/>
      </c>
      <c r="AC344" s="213">
        <f t="shared" si="70"/>
        <v>18114.055350092938</v>
      </c>
      <c r="AD344" s="214">
        <f t="shared" si="71"/>
        <v>1.8153809154500654E-4</v>
      </c>
      <c r="AE344" s="213">
        <f t="shared" si="72"/>
        <v>18657.206246172012</v>
      </c>
      <c r="AF344" s="214">
        <f t="shared" si="73"/>
        <v>1.8153809154500657E-4</v>
      </c>
    </row>
    <row r="345" spans="1:32" ht="15.75" x14ac:dyDescent="0.2">
      <c r="A345" s="206">
        <f t="shared" si="62"/>
        <v>315</v>
      </c>
      <c r="B345" s="88">
        <f>IF($F345="","",'הזנה לתנאי סף'!C345)</f>
        <v>1001349448</v>
      </c>
      <c r="C345" s="88">
        <f>IF($F345="","",'הזנה לתנאי סף'!D345)</f>
        <v>1001272605</v>
      </c>
      <c r="D345" s="88">
        <f>IF($F345="","",'הזנה לתנאי סף'!E345)</f>
        <v>40000564</v>
      </c>
      <c r="E345" s="88">
        <f>IF($F345="","",'הזנה לתנאי סף'!F345)</f>
        <v>20000201</v>
      </c>
      <c r="F345" s="88" t="str">
        <f>IF(OR('הזנה לתנאי סף'!G345="",'הזנה לתנאי סף'!BL345&lt;&gt;1,'הזנה לתנאי סף'!Q345&lt;&gt;1),"",'הזנה לתנאי סף'!G345)</f>
        <v>תל אביב -יפו</v>
      </c>
      <c r="G345" s="88" t="str">
        <f>IF($F345="","",'הזנה לתנאי סף'!H345)</f>
        <v>עמותת הכוריאוגרפים (ע"ר)</v>
      </c>
      <c r="H345" s="88" t="str">
        <f>IF($F345="","",'הזנה לתנאי סף'!I345)</f>
        <v>יוצרים עצמאיים במחול</v>
      </c>
      <c r="I345" s="213">
        <f>IF($F345="","",'תחום תמיכה א'!$I345)</f>
        <v>0</v>
      </c>
      <c r="J345" s="213">
        <f>IF($F345="","",'תחום תמיכה א'!$J345)</f>
        <v>45591</v>
      </c>
      <c r="K345" s="213">
        <f>IF($F345="","",'תחום תמיכה א'!$K345)</f>
        <v>0</v>
      </c>
      <c r="L345" s="213">
        <f t="shared" si="63"/>
        <v>45591</v>
      </c>
      <c r="M345" s="214">
        <f t="shared" si="64"/>
        <v>0</v>
      </c>
      <c r="N345" s="214">
        <f t="shared" si="65"/>
        <v>1</v>
      </c>
      <c r="O345" s="213">
        <f t="shared" si="66"/>
        <v>45591</v>
      </c>
      <c r="P345" s="213">
        <f>IF($F345="","",'פרמטרים לקריטריונים'!$C$59*O345)</f>
        <v>13677.3</v>
      </c>
      <c r="Q345" s="214">
        <f t="shared" si="67"/>
        <v>7.7704710946291096E-5</v>
      </c>
      <c r="R345" s="213">
        <f t="shared" si="68"/>
        <v>7770.4710946291098</v>
      </c>
      <c r="S345" s="213">
        <f>IF($F345="","",'הזנה לתנאי סף'!N345)</f>
        <v>0</v>
      </c>
      <c r="T345" s="213">
        <f>IF($F345="","",'הזנה לתנאי סף'!O345)</f>
        <v>1</v>
      </c>
      <c r="U345" s="213">
        <f>IF($F345="","",'תחום תמיכה א'!W345)</f>
        <v>0</v>
      </c>
      <c r="V345" s="213">
        <f>IF($F345="","",'תחום תמיכה א'!X345)</f>
        <v>0</v>
      </c>
      <c r="W345" s="213">
        <f>IF($F345="","",'תחום תמיכה א'!Y345)</f>
        <v>1</v>
      </c>
      <c r="X345" s="231">
        <f>IF($F345="","",'תחום תמיכה א'!Z345)</f>
        <v>0</v>
      </c>
      <c r="Y345" s="213" t="str">
        <f>IF($F345="","",'תחום תמיכה א'!AA345)</f>
        <v/>
      </c>
      <c r="Z345" s="214" t="str">
        <f>IF($F345="","",'תחום תמיכה א'!AB345)</f>
        <v/>
      </c>
      <c r="AA345" s="225" t="str">
        <f>IF($F345="","",'תחום תמיכה א'!AC345)</f>
        <v/>
      </c>
      <c r="AB345" s="213" t="str">
        <f t="shared" si="69"/>
        <v/>
      </c>
      <c r="AC345" s="213">
        <f t="shared" si="70"/>
        <v>7770.4710946291098</v>
      </c>
      <c r="AD345" s="214">
        <f t="shared" si="71"/>
        <v>7.7875244701478111E-5</v>
      </c>
      <c r="AE345" s="213">
        <f t="shared" si="72"/>
        <v>8003.4690763860053</v>
      </c>
      <c r="AF345" s="214">
        <f t="shared" si="73"/>
        <v>7.7875244701478138E-5</v>
      </c>
    </row>
    <row r="346" spans="1:32" ht="15.75" x14ac:dyDescent="0.2">
      <c r="A346" s="206">
        <f t="shared" si="62"/>
        <v>316</v>
      </c>
      <c r="B346" s="88">
        <f>IF($F346="","",'הזנה לתנאי סף'!C346)</f>
        <v>1001349449</v>
      </c>
      <c r="C346" s="88">
        <f>IF($F346="","",'הזנה לתנאי סף'!D346)</f>
        <v>1001273656</v>
      </c>
      <c r="D346" s="88">
        <f>IF($F346="","",'הזנה לתנאי סף'!E346)</f>
        <v>40000564</v>
      </c>
      <c r="E346" s="88">
        <f>IF($F346="","",'הזנה לתנאי סף'!F346)</f>
        <v>20000201</v>
      </c>
      <c r="F346" s="88" t="str">
        <f>IF(OR('הזנה לתנאי סף'!G346="",'הזנה לתנאי סף'!BL346&lt;&gt;1,'הזנה לתנאי סף'!Q346&lt;&gt;1),"",'הזנה לתנאי סף'!G346)</f>
        <v>תל אביב -יפו</v>
      </c>
      <c r="G346" s="88" t="str">
        <f>IF($F346="","",'הזנה לתנאי סף'!H346)</f>
        <v>עמותת הכוריאוגרפים (ע"ר)</v>
      </c>
      <c r="H346" s="88" t="str">
        <f>IF($F346="","",'הזנה לתנאי סף'!I346)</f>
        <v>יוצרים עצמאיים במחול</v>
      </c>
      <c r="I346" s="213">
        <f>IF($F346="","",'תחום תמיכה א'!$I346)</f>
        <v>0</v>
      </c>
      <c r="J346" s="213">
        <f>IF($F346="","",'תחום תמיכה א'!$J346)</f>
        <v>57620</v>
      </c>
      <c r="K346" s="213">
        <f>IF($F346="","",'תחום תמיכה א'!$K346)</f>
        <v>0</v>
      </c>
      <c r="L346" s="213">
        <f t="shared" si="63"/>
        <v>57620</v>
      </c>
      <c r="M346" s="214">
        <f t="shared" si="64"/>
        <v>0</v>
      </c>
      <c r="N346" s="214">
        <f t="shared" si="65"/>
        <v>1</v>
      </c>
      <c r="O346" s="213">
        <f t="shared" si="66"/>
        <v>57620</v>
      </c>
      <c r="P346" s="213">
        <f>IF($F346="","",'פרמטרים לקריטריונים'!$C$59*O346)</f>
        <v>17286</v>
      </c>
      <c r="Q346" s="214">
        <f t="shared" si="67"/>
        <v>9.8206783021326423E-5</v>
      </c>
      <c r="R346" s="213">
        <f t="shared" si="68"/>
        <v>9820.6783021326428</v>
      </c>
      <c r="S346" s="213">
        <f>IF($F346="","",'הזנה לתנאי סף'!N346)</f>
        <v>0</v>
      </c>
      <c r="T346" s="213">
        <f>IF($F346="","",'הזנה לתנאי סף'!O346)</f>
        <v>1</v>
      </c>
      <c r="U346" s="213">
        <f>IF($F346="","",'תחום תמיכה א'!W346)</f>
        <v>0</v>
      </c>
      <c r="V346" s="213">
        <f>IF($F346="","",'תחום תמיכה א'!X346)</f>
        <v>0</v>
      </c>
      <c r="W346" s="213">
        <f>IF($F346="","",'תחום תמיכה א'!Y346)</f>
        <v>1</v>
      </c>
      <c r="X346" s="231">
        <f>IF($F346="","",'תחום תמיכה א'!Z346)</f>
        <v>0</v>
      </c>
      <c r="Y346" s="213" t="str">
        <f>IF($F346="","",'תחום תמיכה א'!AA346)</f>
        <v/>
      </c>
      <c r="Z346" s="214" t="str">
        <f>IF($F346="","",'תחום תמיכה א'!AB346)</f>
        <v/>
      </c>
      <c r="AA346" s="225" t="str">
        <f>IF($F346="","",'תחום תמיכה א'!AC346)</f>
        <v/>
      </c>
      <c r="AB346" s="213" t="str">
        <f t="shared" si="69"/>
        <v/>
      </c>
      <c r="AC346" s="213">
        <f t="shared" si="70"/>
        <v>9820.6783021326428</v>
      </c>
      <c r="AD346" s="214">
        <f t="shared" si="71"/>
        <v>9.8422311414515351E-5</v>
      </c>
      <c r="AE346" s="213">
        <f t="shared" si="72"/>
        <v>10115.151854123877</v>
      </c>
      <c r="AF346" s="214">
        <f t="shared" si="73"/>
        <v>9.8422311414515378E-5</v>
      </c>
    </row>
    <row r="347" spans="1:32" ht="15.75" x14ac:dyDescent="0.2">
      <c r="A347" s="206">
        <f t="shared" si="62"/>
        <v>317</v>
      </c>
      <c r="B347" s="88">
        <f>IF($F347="","",'הזנה לתנאי סף'!C347)</f>
        <v>1001349480</v>
      </c>
      <c r="C347" s="88">
        <f>IF($F347="","",'הזנה לתנאי סף'!D347)</f>
        <v>1001272601</v>
      </c>
      <c r="D347" s="88">
        <f>IF($F347="","",'הזנה לתנאי סף'!E347)</f>
        <v>40000564</v>
      </c>
      <c r="E347" s="88">
        <f>IF($F347="","",'הזנה לתנאי סף'!F347)</f>
        <v>20000201</v>
      </c>
      <c r="F347" s="88" t="str">
        <f>IF(OR('הזנה לתנאי סף'!G347="",'הזנה לתנאי סף'!BL347&lt;&gt;1,'הזנה לתנאי סף'!Q347&lt;&gt;1),"",'הזנה לתנאי סף'!G347)</f>
        <v>תל אביב -יפו</v>
      </c>
      <c r="G347" s="88" t="str">
        <f>IF($F347="","",'הזנה לתנאי סף'!H347)</f>
        <v>עמותת הכוריאוגרפים (ע"ר)</v>
      </c>
      <c r="H347" s="88" t="str">
        <f>IF($F347="","",'הזנה לתנאי סף'!I347)</f>
        <v>יוצרים עצמאיים במחול</v>
      </c>
      <c r="I347" s="213">
        <f>IF($F347="","",'תחום תמיכה א'!$I347)</f>
        <v>0</v>
      </c>
      <c r="J347" s="213">
        <f>IF($F347="","",'תחום תמיכה א'!$J347)</f>
        <v>45448</v>
      </c>
      <c r="K347" s="213">
        <f>IF($F347="","",'תחום תמיכה א'!$K347)</f>
        <v>0</v>
      </c>
      <c r="L347" s="213">
        <f t="shared" si="63"/>
        <v>45448</v>
      </c>
      <c r="M347" s="214">
        <f t="shared" si="64"/>
        <v>0</v>
      </c>
      <c r="N347" s="214">
        <f t="shared" si="65"/>
        <v>1</v>
      </c>
      <c r="O347" s="213">
        <f t="shared" si="66"/>
        <v>45448</v>
      </c>
      <c r="P347" s="213">
        <f>IF($F347="","",'פרמטרים לקריטריונים'!$C$59*O347)</f>
        <v>13634.4</v>
      </c>
      <c r="Q347" s="214">
        <f t="shared" si="67"/>
        <v>7.7460983595162153E-5</v>
      </c>
      <c r="R347" s="213">
        <f t="shared" si="68"/>
        <v>7746.0983595162152</v>
      </c>
      <c r="S347" s="213">
        <f>IF($F347="","",'הזנה לתנאי סף'!N347)</f>
        <v>0</v>
      </c>
      <c r="T347" s="213">
        <f>IF($F347="","",'הזנה לתנאי סף'!O347)</f>
        <v>1</v>
      </c>
      <c r="U347" s="213">
        <f>IF($F347="","",'תחום תמיכה א'!W347)</f>
        <v>0</v>
      </c>
      <c r="V347" s="213">
        <f>IF($F347="","",'תחום תמיכה א'!X347)</f>
        <v>0</v>
      </c>
      <c r="W347" s="213">
        <f>IF($F347="","",'תחום תמיכה א'!Y347)</f>
        <v>1</v>
      </c>
      <c r="X347" s="231">
        <f>IF($F347="","",'תחום תמיכה א'!Z347)</f>
        <v>0</v>
      </c>
      <c r="Y347" s="213" t="str">
        <f>IF($F347="","",'תחום תמיכה א'!AA347)</f>
        <v/>
      </c>
      <c r="Z347" s="214" t="str">
        <f>IF($F347="","",'תחום תמיכה א'!AB347)</f>
        <v/>
      </c>
      <c r="AA347" s="225" t="str">
        <f>IF($F347="","",'תחום תמיכה א'!AC347)</f>
        <v/>
      </c>
      <c r="AB347" s="213" t="str">
        <f t="shared" si="69"/>
        <v/>
      </c>
      <c r="AC347" s="213">
        <f t="shared" si="70"/>
        <v>7746.0983595162152</v>
      </c>
      <c r="AD347" s="214">
        <f t="shared" si="71"/>
        <v>7.7630982456905476E-5</v>
      </c>
      <c r="AE347" s="213">
        <f t="shared" si="72"/>
        <v>7978.3655235373462</v>
      </c>
      <c r="AF347" s="214">
        <f t="shared" si="73"/>
        <v>7.7630982456905489E-5</v>
      </c>
    </row>
    <row r="348" spans="1:32" ht="15.75" x14ac:dyDescent="0.2">
      <c r="A348" s="206">
        <f t="shared" si="62"/>
        <v>318</v>
      </c>
      <c r="B348" s="88">
        <f>IF($F348="","",'הזנה לתנאי סף'!C348)</f>
        <v>1001349483</v>
      </c>
      <c r="C348" s="88">
        <f>IF($F348="","",'הזנה לתנאי סף'!D348)</f>
        <v>1001276682</v>
      </c>
      <c r="D348" s="88">
        <f>IF($F348="","",'הזנה לתנאי סף'!E348)</f>
        <v>40000564</v>
      </c>
      <c r="E348" s="88">
        <f>IF($F348="","",'הזנה לתנאי סף'!F348)</f>
        <v>20000201</v>
      </c>
      <c r="F348" s="88" t="str">
        <f>IF(OR('הזנה לתנאי סף'!G348="",'הזנה לתנאי סף'!BL348&lt;&gt;1,'הזנה לתנאי סף'!Q348&lt;&gt;1),"",'הזנה לתנאי סף'!G348)</f>
        <v>תל אביב -יפו</v>
      </c>
      <c r="G348" s="88" t="str">
        <f>IF($F348="","",'הזנה לתנאי סף'!H348)</f>
        <v>עמותת הכוריאוגרפים (ע"ר)</v>
      </c>
      <c r="H348" s="88" t="str">
        <f>IF($F348="","",'הזנה לתנאי סף'!I348)</f>
        <v>יוצרים עצמאיים במחול</v>
      </c>
      <c r="I348" s="213">
        <f>IF($F348="","",'תחום תמיכה א'!$I348)</f>
        <v>0</v>
      </c>
      <c r="J348" s="213">
        <f>IF($F348="","",'תחום תמיכה א'!$J348)</f>
        <v>69327</v>
      </c>
      <c r="K348" s="213">
        <f>IF($F348="","",'תחום תמיכה א'!$K348)</f>
        <v>0</v>
      </c>
      <c r="L348" s="213">
        <f t="shared" si="63"/>
        <v>69327</v>
      </c>
      <c r="M348" s="214">
        <f t="shared" si="64"/>
        <v>0</v>
      </c>
      <c r="N348" s="214">
        <f t="shared" si="65"/>
        <v>1</v>
      </c>
      <c r="O348" s="213">
        <f t="shared" si="66"/>
        <v>69327</v>
      </c>
      <c r="P348" s="213">
        <f>IF($F348="","",'פרמטרים לקריטריונים'!$C$59*O348)</f>
        <v>20798.099999999999</v>
      </c>
      <c r="Q348" s="214">
        <f t="shared" si="67"/>
        <v>1.1816004245955392E-4</v>
      </c>
      <c r="R348" s="213">
        <f t="shared" si="68"/>
        <v>11816.004245955392</v>
      </c>
      <c r="S348" s="213">
        <f>IF($F348="","",'הזנה לתנאי סף'!N348)</f>
        <v>0</v>
      </c>
      <c r="T348" s="213">
        <f>IF($F348="","",'הזנה לתנאי סף'!O348)</f>
        <v>1</v>
      </c>
      <c r="U348" s="213">
        <f>IF($F348="","",'תחום תמיכה א'!W348)</f>
        <v>0</v>
      </c>
      <c r="V348" s="213">
        <f>IF($F348="","",'תחום תמיכה א'!X348)</f>
        <v>0</v>
      </c>
      <c r="W348" s="213">
        <f>IF($F348="","",'תחום תמיכה א'!Y348)</f>
        <v>1</v>
      </c>
      <c r="X348" s="231">
        <f>IF($F348="","",'תחום תמיכה א'!Z348)</f>
        <v>0</v>
      </c>
      <c r="Y348" s="213" t="str">
        <f>IF($F348="","",'תחום תמיכה א'!AA348)</f>
        <v/>
      </c>
      <c r="Z348" s="214" t="str">
        <f>IF($F348="","",'תחום תמיכה א'!AB348)</f>
        <v/>
      </c>
      <c r="AA348" s="225" t="str">
        <f>IF($F348="","",'תחום תמיכה א'!AC348)</f>
        <v/>
      </c>
      <c r="AB348" s="213" t="str">
        <f t="shared" si="69"/>
        <v/>
      </c>
      <c r="AC348" s="213">
        <f t="shared" si="70"/>
        <v>11816.004245955392</v>
      </c>
      <c r="AD348" s="214">
        <f t="shared" si="71"/>
        <v>1.1841936104536801E-4</v>
      </c>
      <c r="AE348" s="213">
        <f t="shared" si="72"/>
        <v>12170.307750622109</v>
      </c>
      <c r="AF348" s="214">
        <f t="shared" si="73"/>
        <v>1.1841936104536805E-4</v>
      </c>
    </row>
    <row r="349" spans="1:32" ht="15.75" x14ac:dyDescent="0.2">
      <c r="A349" s="206">
        <f t="shared" si="62"/>
        <v>319</v>
      </c>
      <c r="B349" s="88">
        <f>IF($F349="","",'הזנה לתנאי סף'!C349)</f>
        <v>1001349487</v>
      </c>
      <c r="C349" s="88">
        <f>IF($F349="","",'הזנה לתנאי סף'!D349)</f>
        <v>1001263329</v>
      </c>
      <c r="D349" s="88">
        <f>IF($F349="","",'הזנה לתנאי סף'!E349)</f>
        <v>40000567</v>
      </c>
      <c r="E349" s="88">
        <f>IF($F349="","",'הזנה לתנאי סף'!F349)</f>
        <v>20000201</v>
      </c>
      <c r="F349" s="88" t="str">
        <f>IF(OR('הזנה לתנאי סף'!G349="",'הזנה לתנאי סף'!BL349&lt;&gt;1,'הזנה לתנאי סף'!Q349&lt;&gt;1),"",'הזנה לתנאי סף'!G349)</f>
        <v>תל אביב -יפו</v>
      </c>
      <c r="G349" s="88" t="str">
        <f>IF($F349="","",'הזנה לתנאי סף'!H349)</f>
        <v>תיאטרון ארצי לילדים ונוער (ע"ר)</v>
      </c>
      <c r="H349" s="88" t="str">
        <f>IF($F349="","",'הזנה לתנאי סף'!I349)</f>
        <v>תיאטרון</v>
      </c>
      <c r="I349" s="213">
        <f>IF($F349="","",'תחום תמיכה א'!$I349)</f>
        <v>4083866</v>
      </c>
      <c r="J349" s="213">
        <f>IF($F349="","",'תחום תמיכה א'!$J349)</f>
        <v>10240674</v>
      </c>
      <c r="K349" s="213">
        <f>IF($F349="","",'תחום תמיכה א'!$K349)</f>
        <v>0</v>
      </c>
      <c r="L349" s="213">
        <f t="shared" si="63"/>
        <v>14324540</v>
      </c>
      <c r="M349" s="214">
        <f t="shared" si="64"/>
        <v>0.28509578667098562</v>
      </c>
      <c r="N349" s="214">
        <f t="shared" si="65"/>
        <v>0.71490421332901444</v>
      </c>
      <c r="O349" s="213">
        <f t="shared" si="66"/>
        <v>7321100.9899288919</v>
      </c>
      <c r="P349" s="213">
        <f>IF($F349="","",'פרמטרים לקריטריונים'!$C$59*O349)</f>
        <v>2196330.2969786674</v>
      </c>
      <c r="Q349" s="214">
        <f t="shared" si="67"/>
        <v>1.2477989871488454E-2</v>
      </c>
      <c r="R349" s="213">
        <f t="shared" si="68"/>
        <v>1247798.9871488453</v>
      </c>
      <c r="S349" s="213">
        <f>IF($F349="","",'הזנה לתנאי סף'!N349)</f>
        <v>1</v>
      </c>
      <c r="T349" s="213">
        <f>IF($F349="","",'הזנה לתנאי סף'!O349)</f>
        <v>0</v>
      </c>
      <c r="U349" s="213">
        <f>IF($F349="","",'תחום תמיכה א'!W349)</f>
        <v>0</v>
      </c>
      <c r="V349" s="213">
        <f>IF($F349="","",'תחום תמיכה א'!X349)</f>
        <v>0</v>
      </c>
      <c r="W349" s="213">
        <f>IF($F349="","",'תחום תמיכה א'!Y349)</f>
        <v>0</v>
      </c>
      <c r="X349" s="231" t="str">
        <f>IF($F349="","",'תחום תמיכה א'!Z349)</f>
        <v/>
      </c>
      <c r="Y349" s="213" t="str">
        <f>IF($F349="","",'תחום תמיכה א'!AA349)</f>
        <v/>
      </c>
      <c r="Z349" s="214" t="str">
        <f>IF($F349="","",'תחום תמיכה א'!AB349)</f>
        <v/>
      </c>
      <c r="AA349" s="225" t="str">
        <f>IF($F349="","",'תחום תמיכה א'!AC349)</f>
        <v/>
      </c>
      <c r="AB349" s="213" t="str">
        <f t="shared" si="69"/>
        <v/>
      </c>
      <c r="AC349" s="213">
        <f t="shared" si="70"/>
        <v>1247798.9871488453</v>
      </c>
      <c r="AD349" s="214">
        <f t="shared" si="71"/>
        <v>1.250537454925196E-2</v>
      </c>
      <c r="AE349" s="213">
        <f t="shared" si="72"/>
        <v>1285214.3049723597</v>
      </c>
      <c r="AF349" s="214">
        <f t="shared" si="73"/>
        <v>1.2505374549251963E-2</v>
      </c>
    </row>
    <row r="350" spans="1:32" ht="15.75" x14ac:dyDescent="0.2">
      <c r="A350" s="206">
        <f t="shared" si="62"/>
        <v>320</v>
      </c>
      <c r="B350" s="88">
        <f>IF($F350="","",'הזנה לתנאי סף'!C350)</f>
        <v>1001347578</v>
      </c>
      <c r="C350" s="88">
        <f>IF($F350="","",'הזנה לתנאי סף'!D350)</f>
        <v>1001275925</v>
      </c>
      <c r="D350" s="88">
        <f>IF($F350="","",'הזנה לתנאי סף'!E350)</f>
        <v>40000632</v>
      </c>
      <c r="E350" s="88">
        <f>IF($F350="","",'הזנה לתנאי סף'!F350)</f>
        <v>20000201</v>
      </c>
      <c r="F350" s="88" t="str">
        <f>IF(OR('הזנה לתנאי סף'!G350="",'הזנה לתנאי סף'!BL350&lt;&gt;1,'הזנה לתנאי סף'!Q350&lt;&gt;1),"",'הזנה לתנאי סף'!G350)</f>
        <v>תל אביב -יפו</v>
      </c>
      <c r="G350" s="88" t="str">
        <f>IF($F350="","",'הזנה לתנאי סף'!H350)</f>
        <v>האנסמבל הקולי הישראלי (1995) (ע"ר)</v>
      </c>
      <c r="H350" s="88" t="str">
        <f>IF($F350="","",'הזנה לתנאי סף'!I350)</f>
        <v>אחר</v>
      </c>
      <c r="I350" s="213">
        <f>IF($F350="","",'תחום תמיכה א'!$I350)</f>
        <v>966949</v>
      </c>
      <c r="J350" s="213">
        <f>IF($F350="","",'תחום תמיכה א'!$J350)</f>
        <v>700434</v>
      </c>
      <c r="K350" s="213">
        <f>IF($F350="","",'תחום תמיכה א'!$K350)</f>
        <v>0</v>
      </c>
      <c r="L350" s="213">
        <f t="shared" si="63"/>
        <v>1667383</v>
      </c>
      <c r="M350" s="214">
        <f t="shared" si="64"/>
        <v>0.5799201503193927</v>
      </c>
      <c r="N350" s="214">
        <f t="shared" si="65"/>
        <v>0.4200798496806073</v>
      </c>
      <c r="O350" s="213">
        <f t="shared" si="66"/>
        <v>294238.20943118649</v>
      </c>
      <c r="P350" s="213">
        <f>IF($F350="","",'פרמטרים לקריטריונים'!$C$59*O350)</f>
        <v>88271.462829355951</v>
      </c>
      <c r="Q350" s="214">
        <f t="shared" si="67"/>
        <v>5.0149579989920408E-4</v>
      </c>
      <c r="R350" s="213">
        <f t="shared" si="68"/>
        <v>50149.579989920407</v>
      </c>
      <c r="S350" s="213">
        <f>IF($F350="","",'הזנה לתנאי סף'!N350)</f>
        <v>1</v>
      </c>
      <c r="T350" s="213">
        <f>IF($F350="","",'הזנה לתנאי סף'!O350)</f>
        <v>0</v>
      </c>
      <c r="U350" s="213">
        <f>IF($F350="","",'תחום תמיכה א'!W350)</f>
        <v>0</v>
      </c>
      <c r="V350" s="213">
        <f>IF($F350="","",'תחום תמיכה א'!X350)</f>
        <v>0</v>
      </c>
      <c r="W350" s="213">
        <f>IF($F350="","",'תחום תמיכה א'!Y350)</f>
        <v>0</v>
      </c>
      <c r="X350" s="231" t="str">
        <f>IF($F350="","",'תחום תמיכה א'!Z350)</f>
        <v/>
      </c>
      <c r="Y350" s="213" t="str">
        <f>IF($F350="","",'תחום תמיכה א'!AA350)</f>
        <v/>
      </c>
      <c r="Z350" s="214" t="str">
        <f>IF($F350="","",'תחום תמיכה א'!AB350)</f>
        <v/>
      </c>
      <c r="AA350" s="225" t="str">
        <f>IF($F350="","",'תחום תמיכה א'!AC350)</f>
        <v/>
      </c>
      <c r="AB350" s="213" t="str">
        <f t="shared" si="69"/>
        <v/>
      </c>
      <c r="AC350" s="213">
        <f t="shared" si="70"/>
        <v>50149.579989920407</v>
      </c>
      <c r="AD350" s="214">
        <f t="shared" si="71"/>
        <v>5.0259640192095844E-4</v>
      </c>
      <c r="AE350" s="213">
        <f t="shared" si="72"/>
        <v>51653.317766087392</v>
      </c>
      <c r="AF350" s="214">
        <f t="shared" si="73"/>
        <v>5.0259640192095855E-4</v>
      </c>
    </row>
    <row r="351" spans="1:32" ht="15.75" x14ac:dyDescent="0.2">
      <c r="A351" s="206">
        <f t="shared" si="62"/>
        <v>321</v>
      </c>
      <c r="B351" s="88">
        <f>IF($F351="","",'הזנה לתנאי סף'!C351)</f>
        <v>1001349109</v>
      </c>
      <c r="C351" s="88">
        <f>IF($F351="","",'הזנה לתנאי סף'!D351)</f>
        <v>1001289001</v>
      </c>
      <c r="D351" s="88">
        <f>IF($F351="","",'הזנה לתנאי סף'!E351)</f>
        <v>40000632</v>
      </c>
      <c r="E351" s="88">
        <f>IF($F351="","",'הזנה לתנאי סף'!F351)</f>
        <v>20000201</v>
      </c>
      <c r="F351" s="88" t="str">
        <f>IF(OR('הזנה לתנאי סף'!G351="",'הזנה לתנאי סף'!BL351&lt;&gt;1,'הזנה לתנאי סף'!Q351&lt;&gt;1),"",'הזנה לתנאי סף'!G351)</f>
        <v>תל אביב -יפו</v>
      </c>
      <c r="G351" s="88" t="str">
        <f>IF($F351="","",'הזנה לתנאי סף'!H351)</f>
        <v>האנסמבל הקולי הישראלי (1995) (ע"ר)</v>
      </c>
      <c r="H351" s="88" t="str">
        <f>IF($F351="","",'הזנה לתנאי סף'!I351)</f>
        <v>מקהלות</v>
      </c>
      <c r="I351" s="213">
        <f>IF($F351="","",'תחום תמיכה א'!$I351)</f>
        <v>31727</v>
      </c>
      <c r="J351" s="213">
        <f>IF($F351="","",'תחום תמיכה א'!$J351)</f>
        <v>23550</v>
      </c>
      <c r="K351" s="213">
        <f>IF($F351="","",'תחום תמיכה א'!$K351)</f>
        <v>0</v>
      </c>
      <c r="L351" s="213">
        <f t="shared" si="63"/>
        <v>55277</v>
      </c>
      <c r="M351" s="214">
        <f t="shared" si="64"/>
        <v>0.57396385476780576</v>
      </c>
      <c r="N351" s="214">
        <f t="shared" si="65"/>
        <v>0.42603614523219424</v>
      </c>
      <c r="O351" s="213">
        <f t="shared" si="66"/>
        <v>10033.151220218175</v>
      </c>
      <c r="P351" s="213">
        <f>IF($F351="","",'פרמטרים לקריטריונים'!$C$59*O351)</f>
        <v>3009.9453660654522</v>
      </c>
      <c r="Q351" s="214">
        <f t="shared" si="67"/>
        <v>1.7100373219439825E-5</v>
      </c>
      <c r="R351" s="213">
        <f t="shared" si="68"/>
        <v>1710.0373219439825</v>
      </c>
      <c r="S351" s="213">
        <f>IF($F351="","",'הזנה לתנאי סף'!N351)</f>
        <v>0</v>
      </c>
      <c r="T351" s="213">
        <f>IF($F351="","",'הזנה לתנאי סף'!O351)</f>
        <v>1</v>
      </c>
      <c r="U351" s="213">
        <f>IF($F351="","",'תחום תמיכה א'!W351)</f>
        <v>0</v>
      </c>
      <c r="V351" s="213">
        <f>IF($F351="","",'תחום תמיכה א'!X351)</f>
        <v>0</v>
      </c>
      <c r="W351" s="213">
        <f>IF($F351="","",'תחום תמיכה א'!Y351)</f>
        <v>1</v>
      </c>
      <c r="X351" s="231">
        <f>IF($F351="","",'תחום תמיכה א'!Z351)</f>
        <v>0</v>
      </c>
      <c r="Y351" s="213" t="str">
        <f>IF($F351="","",'תחום תמיכה א'!AA351)</f>
        <v/>
      </c>
      <c r="Z351" s="214" t="str">
        <f>IF($F351="","",'תחום תמיכה א'!AB351)</f>
        <v/>
      </c>
      <c r="AA351" s="225" t="str">
        <f>IF($F351="","",'תחום תמיכה א'!AC351)</f>
        <v/>
      </c>
      <c r="AB351" s="213" t="str">
        <f t="shared" si="69"/>
        <v/>
      </c>
      <c r="AC351" s="213">
        <f t="shared" si="70"/>
        <v>1710.0373219439825</v>
      </c>
      <c r="AD351" s="214">
        <f t="shared" si="71"/>
        <v>1.7137902357952755E-5</v>
      </c>
      <c r="AE351" s="213">
        <f t="shared" si="72"/>
        <v>1761.3128803869333</v>
      </c>
      <c r="AF351" s="214">
        <f t="shared" si="73"/>
        <v>1.7137902357952762E-5</v>
      </c>
    </row>
    <row r="352" spans="1:32" ht="15.75" x14ac:dyDescent="0.2">
      <c r="A352" s="206">
        <f t="shared" si="62"/>
        <v>322</v>
      </c>
      <c r="B352" s="88">
        <f>IF($F352="","",'הזנה לתנאי סף'!C352)</f>
        <v>1001348981</v>
      </c>
      <c r="C352" s="88">
        <f>IF($F352="","",'הזנה לתנאי סף'!D352)</f>
        <v>1001276716</v>
      </c>
      <c r="D352" s="88">
        <f>IF($F352="","",'הזנה לתנאי סף'!E352)</f>
        <v>40000644</v>
      </c>
      <c r="E352" s="88">
        <f>IF($F352="","",'הזנה לתנאי סף'!F352)</f>
        <v>20000201</v>
      </c>
      <c r="F352" s="88" t="str">
        <f>IF(OR('הזנה לתנאי סף'!G352="",'הזנה לתנאי סף'!BL352&lt;&gt;1,'הזנה לתנאי סף'!Q352&lt;&gt;1),"",'הזנה לתנאי סף'!G352)</f>
        <v>תל אביב -יפו</v>
      </c>
      <c r="G352" s="88" t="str">
        <f>IF($F352="","",'הזנה לתנאי סף'!H352)</f>
        <v>תיאטרון השעה הישראלי (ע"ר)</v>
      </c>
      <c r="H352" s="88" t="str">
        <f>IF($F352="","",'הזנה לתנאי סף'!I352)</f>
        <v>תיאטרון</v>
      </c>
      <c r="I352" s="213">
        <f>IF($F352="","",'תחום תמיכה א'!$I352)</f>
        <v>4164549</v>
      </c>
      <c r="J352" s="213">
        <f>IF($F352="","",'תחום תמיכה א'!$J352)</f>
        <v>16614428</v>
      </c>
      <c r="K352" s="213">
        <f>IF($F352="","",'תחום תמיכה א'!$K352)</f>
        <v>0</v>
      </c>
      <c r="L352" s="213">
        <f t="shared" si="63"/>
        <v>20778977</v>
      </c>
      <c r="M352" s="214">
        <f t="shared" si="64"/>
        <v>0.20042127194230977</v>
      </c>
      <c r="N352" s="214">
        <f t="shared" si="65"/>
        <v>0.79957872805769026</v>
      </c>
      <c r="O352" s="213">
        <f t="shared" si="66"/>
        <v>13284543.207646074</v>
      </c>
      <c r="P352" s="213">
        <f>IF($F352="","",'פרמטרים לקריטריונים'!$C$59*O352)</f>
        <v>3985362.9622938219</v>
      </c>
      <c r="Q352" s="214">
        <f t="shared" si="67"/>
        <v>2.2642003685017939E-2</v>
      </c>
      <c r="R352" s="213">
        <f t="shared" si="68"/>
        <v>2264200.3685017941</v>
      </c>
      <c r="S352" s="213">
        <f>IF($F352="","",'הזנה לתנאי סף'!N352)</f>
        <v>1</v>
      </c>
      <c r="T352" s="213">
        <f>IF($F352="","",'הזנה לתנאי סף'!O352)</f>
        <v>0</v>
      </c>
      <c r="U352" s="213">
        <f>IF($F352="","",'תחום תמיכה א'!W352)</f>
        <v>0</v>
      </c>
      <c r="V352" s="213">
        <f>IF($F352="","",'תחום תמיכה א'!X352)</f>
        <v>0</v>
      </c>
      <c r="W352" s="213">
        <f>IF($F352="","",'תחום תמיכה א'!Y352)</f>
        <v>0</v>
      </c>
      <c r="X352" s="231" t="str">
        <f>IF($F352="","",'תחום תמיכה א'!Z352)</f>
        <v/>
      </c>
      <c r="Y352" s="213" t="str">
        <f>IF($F352="","",'תחום תמיכה א'!AA352)</f>
        <v/>
      </c>
      <c r="Z352" s="214" t="str">
        <f>IF($F352="","",'תחום תמיכה א'!AB352)</f>
        <v/>
      </c>
      <c r="AA352" s="225" t="str">
        <f>IF($F352="","",'תחום תמיכה א'!AC352)</f>
        <v/>
      </c>
      <c r="AB352" s="213" t="str">
        <f t="shared" si="69"/>
        <v/>
      </c>
      <c r="AC352" s="213">
        <f t="shared" si="70"/>
        <v>2264200.3685017941</v>
      </c>
      <c r="AD352" s="214">
        <f t="shared" si="71"/>
        <v>2.2691694699453775E-2</v>
      </c>
      <c r="AE352" s="213">
        <f t="shared" si="72"/>
        <v>2332092.5348491832</v>
      </c>
      <c r="AF352" s="214">
        <f t="shared" si="73"/>
        <v>2.2691694699453781E-2</v>
      </c>
    </row>
    <row r="353" spans="1:32" ht="15.75" x14ac:dyDescent="0.2">
      <c r="A353" s="206" t="str">
        <f t="shared" si="62"/>
        <v/>
      </c>
      <c r="B353" s="88" t="str">
        <f>IF($F353="","",'הזנה לתנאי סף'!C353)</f>
        <v/>
      </c>
      <c r="C353" s="88" t="str">
        <f>IF($F353="","",'הזנה לתנאי סף'!D353)</f>
        <v/>
      </c>
      <c r="D353" s="88" t="str">
        <f>IF($F353="","",'הזנה לתנאי סף'!E353)</f>
        <v/>
      </c>
      <c r="E353" s="88" t="str">
        <f>IF($F353="","",'הזנה לתנאי סף'!F353)</f>
        <v/>
      </c>
      <c r="F353" s="88" t="str">
        <f>IF(OR('הזנה לתנאי סף'!G353="",'הזנה לתנאי סף'!BL353&lt;&gt;1,'הזנה לתנאי סף'!Q353&lt;&gt;1),"",'הזנה לתנאי סף'!G353)</f>
        <v/>
      </c>
      <c r="G353" s="88" t="str">
        <f>IF($F353="","",'הזנה לתנאי סף'!H353)</f>
        <v/>
      </c>
      <c r="H353" s="88" t="str">
        <f>IF($F353="","",'הזנה לתנאי סף'!I353)</f>
        <v/>
      </c>
      <c r="I353" s="213" t="str">
        <f>IF($F353="","",'תחום תמיכה א'!$I353)</f>
        <v/>
      </c>
      <c r="J353" s="213" t="str">
        <f>IF($F353="","",'תחום תמיכה א'!$J353)</f>
        <v/>
      </c>
      <c r="K353" s="213" t="str">
        <f>IF($F353="","",'תחום תמיכה א'!$K353)</f>
        <v/>
      </c>
      <c r="L353" s="213" t="str">
        <f t="shared" si="63"/>
        <v/>
      </c>
      <c r="M353" s="214" t="str">
        <f t="shared" si="64"/>
        <v/>
      </c>
      <c r="N353" s="214" t="str">
        <f t="shared" si="65"/>
        <v/>
      </c>
      <c r="O353" s="213" t="str">
        <f t="shared" si="66"/>
        <v/>
      </c>
      <c r="P353" s="213" t="str">
        <f>IF($F353="","",'פרמטרים לקריטריונים'!$C$59*O353)</f>
        <v/>
      </c>
      <c r="Q353" s="214" t="str">
        <f t="shared" si="67"/>
        <v/>
      </c>
      <c r="R353" s="213" t="str">
        <f t="shared" si="68"/>
        <v/>
      </c>
      <c r="S353" s="213" t="str">
        <f>IF($F353="","",'הזנה לתנאי סף'!N353)</f>
        <v/>
      </c>
      <c r="T353" s="213" t="str">
        <f>IF($F353="","",'הזנה לתנאי סף'!O353)</f>
        <v/>
      </c>
      <c r="U353" s="213" t="str">
        <f>IF($F353="","",'תחום תמיכה א'!W353)</f>
        <v/>
      </c>
      <c r="V353" s="213" t="str">
        <f>IF($F353="","",'תחום תמיכה א'!X353)</f>
        <v/>
      </c>
      <c r="W353" s="213" t="str">
        <f>IF($F353="","",'תחום תמיכה א'!Y353)</f>
        <v/>
      </c>
      <c r="X353" s="231" t="str">
        <f>IF($F353="","",'תחום תמיכה א'!Z353)</f>
        <v/>
      </c>
      <c r="Y353" s="213" t="str">
        <f>IF($F353="","",'תחום תמיכה א'!AA353)</f>
        <v/>
      </c>
      <c r="Z353" s="214" t="str">
        <f>IF($F353="","",'תחום תמיכה א'!AB353)</f>
        <v/>
      </c>
      <c r="AA353" s="225" t="str">
        <f>IF($F353="","",'תחום תמיכה א'!AC353)</f>
        <v/>
      </c>
      <c r="AB353" s="213" t="str">
        <f t="shared" si="69"/>
        <v/>
      </c>
      <c r="AC353" s="213" t="str">
        <f t="shared" si="70"/>
        <v/>
      </c>
      <c r="AD353" s="214" t="str">
        <f t="shared" si="71"/>
        <v/>
      </c>
      <c r="AE353" s="213" t="str">
        <f t="shared" si="72"/>
        <v/>
      </c>
      <c r="AF353" s="214" t="str">
        <f t="shared" si="73"/>
        <v/>
      </c>
    </row>
    <row r="354" spans="1:32" ht="15.75" x14ac:dyDescent="0.2">
      <c r="A354" s="206">
        <f t="shared" si="62"/>
        <v>324</v>
      </c>
      <c r="B354" s="88">
        <f>IF($F354="","",'הזנה לתנאי סף'!C354)</f>
        <v>1001349067</v>
      </c>
      <c r="C354" s="88">
        <f>IF($F354="","",'הזנה לתנאי סף'!D354)</f>
        <v>1001302269</v>
      </c>
      <c r="D354" s="88">
        <f>IF($F354="","",'הזנה לתנאי סף'!E354)</f>
        <v>40000662</v>
      </c>
      <c r="E354" s="88">
        <f>IF($F354="","",'הזנה לתנאי סף'!F354)</f>
        <v>20000095</v>
      </c>
      <c r="F354" s="88" t="str">
        <f>IF(OR('הזנה לתנאי סף'!G354="",'הזנה לתנאי סף'!BL354&lt;&gt;1,'הזנה לתנאי סף'!Q354&lt;&gt;1),"",'הזנה לתנאי סף'!G354)</f>
        <v>מטה יהודה</v>
      </c>
      <c r="G354" s="88" t="str">
        <f>IF($F354="","",'הזנה לתנאי סף'!H354)</f>
        <v>תזמורת יד-חריף (ע"ר)</v>
      </c>
      <c r="H354" s="88" t="str">
        <f>IF($F354="","",'הזנה לתנאי סף'!I354)</f>
        <v>אחר</v>
      </c>
      <c r="I354" s="213">
        <f>IF($F354="","",'תחום תמיכה א'!$I354)</f>
        <v>652932</v>
      </c>
      <c r="J354" s="213">
        <f>IF($F354="","",'תחום תמיכה א'!$J354)</f>
        <v>536181</v>
      </c>
      <c r="K354" s="213">
        <f>IF($F354="","",'תחום תמיכה א'!$K354)</f>
        <v>0</v>
      </c>
      <c r="L354" s="213">
        <f t="shared" si="63"/>
        <v>1189113</v>
      </c>
      <c r="M354" s="214">
        <f t="shared" si="64"/>
        <v>0.54909163384808679</v>
      </c>
      <c r="N354" s="214">
        <f t="shared" si="65"/>
        <v>0.45090836615191321</v>
      </c>
      <c r="O354" s="213">
        <f t="shared" si="66"/>
        <v>241768.49867169897</v>
      </c>
      <c r="P354" s="213">
        <f>IF($F354="","",'פרמטרים לקריטריונים'!$C$59*O354)</f>
        <v>72530.549601509687</v>
      </c>
      <c r="Q354" s="214">
        <f t="shared" si="67"/>
        <v>4.1206710327045101E-4</v>
      </c>
      <c r="R354" s="213">
        <f t="shared" si="68"/>
        <v>41206.710327045104</v>
      </c>
      <c r="S354" s="213">
        <f>IF($F354="","",'הזנה לתנאי סף'!N354)</f>
        <v>0</v>
      </c>
      <c r="T354" s="213">
        <f>IF($F354="","",'הזנה לתנאי סף'!O354)</f>
        <v>1</v>
      </c>
      <c r="U354" s="213">
        <f>IF($F354="","",'תחום תמיכה א'!W354)</f>
        <v>0</v>
      </c>
      <c r="V354" s="213">
        <f>IF($F354="","",'תחום תמיכה א'!X354)</f>
        <v>0</v>
      </c>
      <c r="W354" s="213">
        <f>IF($F354="","",'תחום תמיכה א'!Y354)</f>
        <v>1</v>
      </c>
      <c r="X354" s="231">
        <f>IF($F354="","",'תחום תמיכה א'!Z354)</f>
        <v>0</v>
      </c>
      <c r="Y354" s="213" t="str">
        <f>IF($F354="","",'תחום תמיכה א'!AA354)</f>
        <v/>
      </c>
      <c r="Z354" s="214" t="str">
        <f>IF($F354="","",'תחום תמיכה א'!AB354)</f>
        <v/>
      </c>
      <c r="AA354" s="225" t="str">
        <f>IF($F354="","",'תחום תמיכה א'!AC354)</f>
        <v/>
      </c>
      <c r="AB354" s="213" t="str">
        <f t="shared" si="69"/>
        <v/>
      </c>
      <c r="AC354" s="213">
        <f t="shared" si="70"/>
        <v>41206.710327045104</v>
      </c>
      <c r="AD354" s="214">
        <f t="shared" si="71"/>
        <v>4.12971441625925E-4</v>
      </c>
      <c r="AE354" s="213">
        <f t="shared" si="72"/>
        <v>42442.295689131934</v>
      </c>
      <c r="AF354" s="214">
        <f t="shared" si="73"/>
        <v>4.1297144162592511E-4</v>
      </c>
    </row>
    <row r="355" spans="1:32" ht="15.75" x14ac:dyDescent="0.2">
      <c r="A355" s="206">
        <f t="shared" si="62"/>
        <v>325</v>
      </c>
      <c r="B355" s="88">
        <f>IF($F355="","",'הזנה לתנאי סף'!C355)</f>
        <v>1001347016</v>
      </c>
      <c r="C355" s="88">
        <f>IF($F355="","",'הזנה לתנאי סף'!D355)</f>
        <v>1001288832</v>
      </c>
      <c r="D355" s="88">
        <f>IF($F355="","",'הזנה לתנאי סף'!E355)</f>
        <v>40000665</v>
      </c>
      <c r="E355" s="88">
        <f>IF($F355="","",'הזנה לתנאי סף'!F355)</f>
        <v>20000201</v>
      </c>
      <c r="F355" s="88" t="str">
        <f>IF(OR('הזנה לתנאי סף'!G355="",'הזנה לתנאי סף'!BL355&lt;&gt;1,'הזנה לתנאי סף'!Q355&lt;&gt;1),"",'הזנה לתנאי סף'!G355)</f>
        <v>תל אביב -יפו</v>
      </c>
      <c r="G355" s="88" t="str">
        <f>IF($F355="","",'הזנה לתנאי סף'!H355)</f>
        <v>תיאטרון "אלסראיא" הערבי - יפו (ע"ר)</v>
      </c>
      <c r="H355" s="88" t="str">
        <f>IF($F355="","",'הזנה לתנאי סף'!I355)</f>
        <v>תיאטרון</v>
      </c>
      <c r="I355" s="213">
        <f>IF($F355="","",'תחום תמיכה א'!$I355)</f>
        <v>733170</v>
      </c>
      <c r="J355" s="213">
        <f>IF($F355="","",'תחום תמיכה א'!$J355)</f>
        <v>357246</v>
      </c>
      <c r="K355" s="213">
        <f>IF($F355="","",'תחום תמיכה א'!$K355)</f>
        <v>0</v>
      </c>
      <c r="L355" s="213">
        <f t="shared" si="63"/>
        <v>1090416</v>
      </c>
      <c r="M355" s="214">
        <f t="shared" si="64"/>
        <v>0.67237641413919091</v>
      </c>
      <c r="N355" s="214">
        <f t="shared" si="65"/>
        <v>0.32762358586080909</v>
      </c>
      <c r="O355" s="213">
        <f t="shared" si="66"/>
        <v>117042.2155544306</v>
      </c>
      <c r="P355" s="213">
        <f>IF($F355="","",'פרמטרים לקריטריונים'!$C$59*O355)</f>
        <v>35112.664666329176</v>
      </c>
      <c r="Q355" s="214">
        <f t="shared" si="67"/>
        <v>1.9948523893247624E-4</v>
      </c>
      <c r="R355" s="213">
        <f t="shared" si="68"/>
        <v>19948.523893247624</v>
      </c>
      <c r="S355" s="213">
        <f>IF($F355="","",'הזנה לתנאי סף'!N355)</f>
        <v>1</v>
      </c>
      <c r="T355" s="213">
        <f>IF($F355="","",'הזנה לתנאי סף'!O355)</f>
        <v>0</v>
      </c>
      <c r="U355" s="213">
        <f>IF($F355="","",'תחום תמיכה א'!W355)</f>
        <v>0</v>
      </c>
      <c r="V355" s="213">
        <f>IF($F355="","",'תחום תמיכה א'!X355)</f>
        <v>0</v>
      </c>
      <c r="W355" s="213">
        <f>IF($F355="","",'תחום תמיכה א'!Y355)</f>
        <v>0</v>
      </c>
      <c r="X355" s="231" t="str">
        <f>IF($F355="","",'תחום תמיכה א'!Z355)</f>
        <v/>
      </c>
      <c r="Y355" s="213" t="str">
        <f>IF($F355="","",'תחום תמיכה א'!AA355)</f>
        <v/>
      </c>
      <c r="Z355" s="214" t="str">
        <f>IF($F355="","",'תחום תמיכה א'!AB355)</f>
        <v/>
      </c>
      <c r="AA355" s="225" t="str">
        <f>IF($F355="","",'תחום תמיכה א'!AC355)</f>
        <v/>
      </c>
      <c r="AB355" s="213" t="str">
        <f t="shared" si="69"/>
        <v/>
      </c>
      <c r="AC355" s="213">
        <f t="shared" si="70"/>
        <v>19948.523893247624</v>
      </c>
      <c r="AD355" s="214">
        <f t="shared" si="71"/>
        <v>1.9992303693063169E-4</v>
      </c>
      <c r="AE355" s="213">
        <f t="shared" si="72"/>
        <v>20546.681424438822</v>
      </c>
      <c r="AF355" s="214">
        <f t="shared" si="73"/>
        <v>1.9992303693063177E-4</v>
      </c>
    </row>
    <row r="356" spans="1:32" ht="15.75" x14ac:dyDescent="0.2">
      <c r="A356" s="206">
        <f t="shared" si="62"/>
        <v>326</v>
      </c>
      <c r="B356" s="88">
        <f>IF($F356="","",'הזנה לתנאי סף'!C356)</f>
        <v>1001349530</v>
      </c>
      <c r="C356" s="88">
        <f>IF($F356="","",'הזנה לתנאי סף'!D356)</f>
        <v>1001263122</v>
      </c>
      <c r="D356" s="88">
        <f>IF($F356="","",'הזנה לתנאי סף'!E356)</f>
        <v>40000667</v>
      </c>
      <c r="E356" s="88">
        <f>IF($F356="","",'הזנה לתנאי סף'!F356)</f>
        <v>20000235</v>
      </c>
      <c r="F356" s="88" t="str">
        <f>IF(OR('הזנה לתנאי סף'!G356="",'הזנה לתנאי סף'!BL356&lt;&gt;1,'הזנה לתנאי סף'!Q356&lt;&gt;1),"",'הזנה לתנאי סף'!G356)</f>
        <v>סח'נין</v>
      </c>
      <c r="G356" s="88" t="str">
        <f>IF($F356="","",'הזנה לתנאי סף'!H356)</f>
        <v>אלג'ואל אלבלדי (ע"ר)</v>
      </c>
      <c r="H356" s="88" t="str">
        <f>IF($F356="","",'הזנה לתנאי סף'!I356)</f>
        <v>תיאטרון</v>
      </c>
      <c r="I356" s="213">
        <f>IF($F356="","",'תחום תמיכה א'!$I356)</f>
        <v>953833</v>
      </c>
      <c r="J356" s="213">
        <f>IF($F356="","",'תחום תמיכה א'!$J356)</f>
        <v>477820</v>
      </c>
      <c r="K356" s="213">
        <f>IF($F356="","",'תחום תמיכה א'!$K356)</f>
        <v>0</v>
      </c>
      <c r="L356" s="213">
        <f t="shared" si="63"/>
        <v>1431653</v>
      </c>
      <c r="M356" s="214">
        <f t="shared" si="64"/>
        <v>0.6662459408809257</v>
      </c>
      <c r="N356" s="214">
        <f t="shared" si="65"/>
        <v>0.3337540591190743</v>
      </c>
      <c r="O356" s="213">
        <f t="shared" si="66"/>
        <v>159474.36452827608</v>
      </c>
      <c r="P356" s="213">
        <f>IF($F356="","",'פרמטרים לקריטריונים'!$C$59*O356)</f>
        <v>47842.309358482824</v>
      </c>
      <c r="Q356" s="214">
        <f t="shared" si="67"/>
        <v>2.7180604503110594E-4</v>
      </c>
      <c r="R356" s="213">
        <f t="shared" si="68"/>
        <v>27180.604503110593</v>
      </c>
      <c r="S356" s="213">
        <f>IF($F356="","",'הזנה לתנאי סף'!N356)</f>
        <v>0</v>
      </c>
      <c r="T356" s="213">
        <f>IF($F356="","",'הזנה לתנאי סף'!O356)</f>
        <v>1</v>
      </c>
      <c r="U356" s="213">
        <f>IF($F356="","",'תחום תמיכה א'!W356)</f>
        <v>0</v>
      </c>
      <c r="V356" s="213">
        <f>IF($F356="","",'תחום תמיכה א'!X356)</f>
        <v>0</v>
      </c>
      <c r="W356" s="213">
        <f>IF($F356="","",'תחום תמיכה א'!Y356)</f>
        <v>1</v>
      </c>
      <c r="X356" s="231">
        <f>IF($F356="","",'תחום תמיכה א'!Z356)</f>
        <v>0</v>
      </c>
      <c r="Y356" s="213" t="str">
        <f>IF($F356="","",'תחום תמיכה א'!AA356)</f>
        <v/>
      </c>
      <c r="Z356" s="214" t="str">
        <f>IF($F356="","",'תחום תמיכה א'!AB356)</f>
        <v/>
      </c>
      <c r="AA356" s="225" t="str">
        <f>IF($F356="","",'תחום תמיכה א'!AC356)</f>
        <v/>
      </c>
      <c r="AB356" s="213" t="str">
        <f t="shared" si="69"/>
        <v/>
      </c>
      <c r="AC356" s="213">
        <f t="shared" si="70"/>
        <v>27180.604503110593</v>
      </c>
      <c r="AD356" s="214">
        <f t="shared" si="71"/>
        <v>2.7240256105924901E-4</v>
      </c>
      <c r="AE356" s="213">
        <f t="shared" si="72"/>
        <v>27995.616349243639</v>
      </c>
      <c r="AF356" s="214">
        <f t="shared" si="73"/>
        <v>2.7240256105924907E-4</v>
      </c>
    </row>
    <row r="357" spans="1:32" ht="15.75" x14ac:dyDescent="0.2">
      <c r="A357" s="206">
        <f t="shared" si="62"/>
        <v>327</v>
      </c>
      <c r="B357" s="88">
        <f>IF($F357="","",'הזנה לתנאי סף'!C357)</f>
        <v>1001348825</v>
      </c>
      <c r="C357" s="88">
        <f>IF($F357="","",'הזנה לתנאי סף'!D357)</f>
        <v>1001270277</v>
      </c>
      <c r="D357" s="88">
        <f>IF($F357="","",'הזנה לתנאי סף'!E357)</f>
        <v>40000678</v>
      </c>
      <c r="E357" s="88">
        <f>IF($F357="","",'הזנה לתנאי סף'!F357)</f>
        <v>20000201</v>
      </c>
      <c r="F357" s="88" t="str">
        <f>IF(OR('הזנה לתנאי סף'!G357="",'הזנה לתנאי סף'!BL357&lt;&gt;1,'הזנה לתנאי סף'!Q357&lt;&gt;1),"",'הזנה לתנאי סף'!G357)</f>
        <v>תל אביב -יפו</v>
      </c>
      <c r="G357" s="88" t="str">
        <f>IF($F357="","",'הזנה לתנאי סף'!H357)</f>
        <v>תיאטרון מחול קליפה (ע"ר)</v>
      </c>
      <c r="H357" s="88" t="str">
        <f>IF($F357="","",'הזנה לתנאי סף'!I357)</f>
        <v>תיאטרון</v>
      </c>
      <c r="I357" s="213">
        <f>IF($F357="","",'תחום תמיכה א'!$I357)</f>
        <v>1261950</v>
      </c>
      <c r="J357" s="213">
        <f>IF($F357="","",'תחום תמיכה א'!$J357)</f>
        <v>663703</v>
      </c>
      <c r="K357" s="213">
        <f>IF($F357="","",'תחום תמיכה א'!$K357)</f>
        <v>97036</v>
      </c>
      <c r="L357" s="213">
        <f t="shared" si="63"/>
        <v>2022689</v>
      </c>
      <c r="M357" s="214">
        <f t="shared" si="64"/>
        <v>0.6238971982346273</v>
      </c>
      <c r="N357" s="214">
        <f t="shared" si="65"/>
        <v>0.3761028017653727</v>
      </c>
      <c r="O357" s="213">
        <f t="shared" si="66"/>
        <v>249620.55784008314</v>
      </c>
      <c r="P357" s="213">
        <f>IF($F357="","",'פרמטרים לקריטריונים'!$C$59*O357)</f>
        <v>74886.167352024946</v>
      </c>
      <c r="Q357" s="214">
        <f t="shared" si="67"/>
        <v>4.2545005139645107E-4</v>
      </c>
      <c r="R357" s="213">
        <f t="shared" si="68"/>
        <v>42545.005139645109</v>
      </c>
      <c r="S357" s="213">
        <f>IF($F357="","",'הזנה לתנאי סף'!N357)</f>
        <v>1</v>
      </c>
      <c r="T357" s="213">
        <f>IF($F357="","",'הזנה לתנאי סף'!O357)</f>
        <v>0</v>
      </c>
      <c r="U357" s="213">
        <f>IF($F357="","",'תחום תמיכה א'!W357)</f>
        <v>0</v>
      </c>
      <c r="V357" s="213">
        <f>IF($F357="","",'תחום תמיכה א'!X357)</f>
        <v>0</v>
      </c>
      <c r="W357" s="213">
        <f>IF($F357="","",'תחום תמיכה א'!Y357)</f>
        <v>0</v>
      </c>
      <c r="X357" s="231" t="str">
        <f>IF($F357="","",'תחום תמיכה א'!Z357)</f>
        <v/>
      </c>
      <c r="Y357" s="213" t="str">
        <f>IF($F357="","",'תחום תמיכה א'!AA357)</f>
        <v/>
      </c>
      <c r="Z357" s="214" t="str">
        <f>IF($F357="","",'תחום תמיכה א'!AB357)</f>
        <v/>
      </c>
      <c r="AA357" s="225" t="str">
        <f>IF($F357="","",'תחום תמיכה א'!AC357)</f>
        <v/>
      </c>
      <c r="AB357" s="213" t="str">
        <f t="shared" si="69"/>
        <v/>
      </c>
      <c r="AC357" s="213">
        <f t="shared" si="70"/>
        <v>42545.005139645109</v>
      </c>
      <c r="AD357" s="214">
        <f t="shared" si="71"/>
        <v>4.2638376048597201E-4</v>
      </c>
      <c r="AE357" s="213">
        <f t="shared" si="72"/>
        <v>43820.719341609743</v>
      </c>
      <c r="AF357" s="214">
        <f t="shared" si="73"/>
        <v>4.2638376048597206E-4</v>
      </c>
    </row>
    <row r="358" spans="1:32" ht="15.75" x14ac:dyDescent="0.2">
      <c r="A358" s="206">
        <f t="shared" si="62"/>
        <v>328</v>
      </c>
      <c r="B358" s="88">
        <f>IF($F358="","",'הזנה לתנאי סף'!C358)</f>
        <v>1001346996</v>
      </c>
      <c r="C358" s="88">
        <f>IF($F358="","",'הזנה לתנאי סף'!D358)</f>
        <v>1001262285</v>
      </c>
      <c r="D358" s="88">
        <f>IF($F358="","",'הזנה לתנאי סף'!E358)</f>
        <v>40000234</v>
      </c>
      <c r="E358" s="88">
        <f>IF($F358="","",'הזנה לתנאי סף'!F358)</f>
        <v>20000159</v>
      </c>
      <c r="F358" s="88" t="str">
        <f>IF(OR('הזנה לתנאי סף'!G358="",'הזנה לתנאי סף'!BL358&lt;&gt;1,'הזנה לתנאי סף'!Q358&lt;&gt;1),"",'הזנה לתנאי סף'!G358)</f>
        <v>ירושלים</v>
      </c>
      <c r="G358" s="88" t="str">
        <f>IF($F358="","",'הזנה לתנאי סף'!H358)</f>
        <v>עמותת ורטיגו למחול - ירושלים (ע"ר)</v>
      </c>
      <c r="H358" s="88" t="str">
        <f>IF($F358="","",'הזנה לתנאי סף'!I358)</f>
        <v>מחול</v>
      </c>
      <c r="I358" s="213">
        <f>IF($F358="","",'תחום תמיכה א'!$I358)</f>
        <v>5227416</v>
      </c>
      <c r="J358" s="213">
        <f>IF($F358="","",'תחום תמיכה א'!$J358)</f>
        <v>4557272</v>
      </c>
      <c r="K358" s="213">
        <f>IF($F358="","",'תחום תמיכה א'!$K358)</f>
        <v>0</v>
      </c>
      <c r="L358" s="213">
        <f t="shared" si="63"/>
        <v>9784688</v>
      </c>
      <c r="M358" s="214">
        <f t="shared" si="64"/>
        <v>0.53424452573245051</v>
      </c>
      <c r="N358" s="214">
        <f t="shared" si="65"/>
        <v>0.46575547426754949</v>
      </c>
      <c r="O358" s="213">
        <f t="shared" si="66"/>
        <v>2122574.381726224</v>
      </c>
      <c r="P358" s="213">
        <f>IF($F358="","",'פרמטרים לקריטריונים'!$C$59*O358)</f>
        <v>636772.31451786717</v>
      </c>
      <c r="Q358" s="214">
        <f t="shared" si="67"/>
        <v>3.6176883330929083E-3</v>
      </c>
      <c r="R358" s="213">
        <f t="shared" si="68"/>
        <v>361768.83330929081</v>
      </c>
      <c r="S358" s="213">
        <f>IF($F358="","",'הזנה לתנאי סף'!N358)</f>
        <v>1</v>
      </c>
      <c r="T358" s="213">
        <f>IF($F358="","",'הזנה לתנאי סף'!O358)</f>
        <v>0</v>
      </c>
      <c r="U358" s="213">
        <f>IF($F358="","",'תחום תמיכה א'!W358)</f>
        <v>0</v>
      </c>
      <c r="V358" s="213">
        <f>IF($F358="","",'תחום תמיכה א'!X358)</f>
        <v>0</v>
      </c>
      <c r="W358" s="213">
        <f>IF($F358="","",'תחום תמיכה א'!Y358)</f>
        <v>0</v>
      </c>
      <c r="X358" s="231" t="str">
        <f>IF($F358="","",'תחום תמיכה א'!Z358)</f>
        <v/>
      </c>
      <c r="Y358" s="213" t="str">
        <f>IF($F358="","",'תחום תמיכה א'!AA358)</f>
        <v/>
      </c>
      <c r="Z358" s="214" t="str">
        <f>IF($F358="","",'תחום תמיכה א'!AB358)</f>
        <v/>
      </c>
      <c r="AA358" s="225" t="str">
        <f>IF($F358="","",'תחום תמיכה א'!AC358)</f>
        <v/>
      </c>
      <c r="AB358" s="213" t="str">
        <f t="shared" si="69"/>
        <v/>
      </c>
      <c r="AC358" s="213">
        <f t="shared" si="70"/>
        <v>361768.83330929081</v>
      </c>
      <c r="AD358" s="214">
        <f t="shared" si="71"/>
        <v>3.6256278514184446E-3</v>
      </c>
      <c r="AE358" s="213">
        <f t="shared" si="72"/>
        <v>372616.49067743582</v>
      </c>
      <c r="AF358" s="214">
        <f t="shared" si="73"/>
        <v>3.6256278514184455E-3</v>
      </c>
    </row>
    <row r="359" spans="1:32" ht="15.75" x14ac:dyDescent="0.2">
      <c r="A359" s="206">
        <f t="shared" si="62"/>
        <v>329</v>
      </c>
      <c r="B359" s="88">
        <f>IF($F359="","",'הזנה לתנאי סף'!C359)</f>
        <v>1001347696</v>
      </c>
      <c r="C359" s="88">
        <f>IF($F359="","",'הזנה לתנאי סף'!D359)</f>
        <v>1001262291</v>
      </c>
      <c r="D359" s="88">
        <f>IF($F359="","",'הזנה לתנאי סף'!E359)</f>
        <v>40000234</v>
      </c>
      <c r="E359" s="88">
        <f>IF($F359="","",'הזנה לתנאי סף'!F359)</f>
        <v>20000159</v>
      </c>
      <c r="F359" s="88" t="str">
        <f>IF(OR('הזנה לתנאי סף'!G359="",'הזנה לתנאי סף'!BL359&lt;&gt;1,'הזנה לתנאי סף'!Q359&lt;&gt;1),"",'הזנה לתנאי סף'!G359)</f>
        <v>ירושלים</v>
      </c>
      <c r="G359" s="88" t="str">
        <f>IF($F359="","",'הזנה לתנאי סף'!H359)</f>
        <v>עמותת ורטיגו למחול - ירושלים (ע"ר)</v>
      </c>
      <c r="H359" s="88" t="str">
        <f>IF($F359="","",'הזנה לתנאי סף'!I359)</f>
        <v>מחול</v>
      </c>
      <c r="I359" s="213">
        <f>IF($F359="","",'תחום תמיכה א'!$I359)</f>
        <v>600000</v>
      </c>
      <c r="J359" s="213">
        <f>IF($F359="","",'תחום תמיכה א'!$J359)</f>
        <v>826689</v>
      </c>
      <c r="K359" s="213">
        <f>IF($F359="","",'תחום תמיכה א'!$K359)</f>
        <v>0</v>
      </c>
      <c r="L359" s="213">
        <f t="shared" si="63"/>
        <v>1426689</v>
      </c>
      <c r="M359" s="214">
        <f t="shared" si="64"/>
        <v>0.4205541642221956</v>
      </c>
      <c r="N359" s="214">
        <f t="shared" si="65"/>
        <v>0.5794458357778044</v>
      </c>
      <c r="O359" s="213">
        <f t="shared" si="66"/>
        <v>479021.49853331735</v>
      </c>
      <c r="P359" s="213">
        <f>IF($F359="","",'פרמטרים לקריטריונים'!$C$59*O359)</f>
        <v>143706.44955999521</v>
      </c>
      <c r="Q359" s="214">
        <f t="shared" si="67"/>
        <v>8.1643804875064442E-4</v>
      </c>
      <c r="R359" s="213">
        <f t="shared" si="68"/>
        <v>81643.804875064438</v>
      </c>
      <c r="S359" s="213">
        <f>IF($F359="","",'הזנה לתנאי סף'!N359)</f>
        <v>0</v>
      </c>
      <c r="T359" s="213">
        <f>IF($F359="","",'הזנה לתנאי סף'!O359)</f>
        <v>1</v>
      </c>
      <c r="U359" s="213">
        <f>IF($F359="","",'תחום תמיכה א'!W359)</f>
        <v>0</v>
      </c>
      <c r="V359" s="213">
        <f>IF($F359="","",'תחום תמיכה א'!X359)</f>
        <v>0</v>
      </c>
      <c r="W359" s="213">
        <f>IF($F359="","",'תחום תמיכה א'!Y359)</f>
        <v>1</v>
      </c>
      <c r="X359" s="231">
        <f>IF($F359="","",'תחום תמיכה א'!Z359)</f>
        <v>0</v>
      </c>
      <c r="Y359" s="213" t="str">
        <f>IF($F359="","",'תחום תמיכה א'!AA359)</f>
        <v/>
      </c>
      <c r="Z359" s="214" t="str">
        <f>IF($F359="","",'תחום תמיכה א'!AB359)</f>
        <v/>
      </c>
      <c r="AA359" s="225" t="str">
        <f>IF($F359="","",'תחום תמיכה א'!AC359)</f>
        <v/>
      </c>
      <c r="AB359" s="213" t="str">
        <f t="shared" si="69"/>
        <v/>
      </c>
      <c r="AC359" s="213">
        <f t="shared" si="70"/>
        <v>81643.804875064438</v>
      </c>
      <c r="AD359" s="214">
        <f t="shared" si="71"/>
        <v>8.1822983517691706E-4</v>
      </c>
      <c r="AE359" s="213">
        <f t="shared" si="72"/>
        <v>84091.898629893825</v>
      </c>
      <c r="AF359" s="214">
        <f t="shared" si="73"/>
        <v>8.1822983517691728E-4</v>
      </c>
    </row>
    <row r="360" spans="1:32" ht="15.75" x14ac:dyDescent="0.2">
      <c r="A360" s="206">
        <f t="shared" si="62"/>
        <v>330</v>
      </c>
      <c r="B360" s="88">
        <f>IF($F360="","",'הזנה לתנאי סף'!C360)</f>
        <v>1001348126</v>
      </c>
      <c r="C360" s="88">
        <f>IF($F360="","",'הזנה לתנאי סף'!D360)</f>
        <v>1001263224</v>
      </c>
      <c r="D360" s="88">
        <f>IF($F360="","",'הזנה לתנאי סף'!E360)</f>
        <v>40000681</v>
      </c>
      <c r="E360" s="88">
        <f>IF($F360="","",'הזנה לתנאי סף'!F360)</f>
        <v>20000201</v>
      </c>
      <c r="F360" s="88" t="str">
        <f>IF(OR('הזנה לתנאי סף'!G360="",'הזנה לתנאי סף'!BL360&lt;&gt;1,'הזנה לתנאי סף'!Q360&lt;&gt;1),"",'הזנה לתנאי סף'!G360)</f>
        <v>תל אביב -יפו</v>
      </c>
      <c r="G360" s="88" t="str">
        <f>IF($F360="","",'הזנה לתנאי סף'!H360)</f>
        <v>דוקאביב - העמותה לקידום הסרט הדוקומ</v>
      </c>
      <c r="H360" s="88" t="str">
        <f>IF($F360="","",'הזנה לתנאי סף'!I360)</f>
        <v>סינמטקים ופסטיבלים</v>
      </c>
      <c r="I360" s="213">
        <f>IF($F360="","",'תחום תמיכה א'!$I360)</f>
        <v>940399</v>
      </c>
      <c r="J360" s="213">
        <f>IF($F360="","",'תחום תמיכה א'!$J360)</f>
        <v>3412378</v>
      </c>
      <c r="K360" s="213">
        <f>IF($F360="","",'תחום תמיכה א'!$K360)</f>
        <v>0</v>
      </c>
      <c r="L360" s="213">
        <f t="shared" si="63"/>
        <v>4352777</v>
      </c>
      <c r="M360" s="214">
        <f t="shared" si="64"/>
        <v>0.21604575653657423</v>
      </c>
      <c r="N360" s="214">
        <f t="shared" si="65"/>
        <v>0.78395424346342579</v>
      </c>
      <c r="O360" s="213">
        <f t="shared" si="66"/>
        <v>2675148.213401238</v>
      </c>
      <c r="P360" s="213">
        <f>IF($F360="","",'פרמטרים לקריטריונים'!$C$59*O360)</f>
        <v>802544.46402037132</v>
      </c>
      <c r="Q360" s="214">
        <f t="shared" si="67"/>
        <v>4.5594880274797706E-3</v>
      </c>
      <c r="R360" s="213">
        <f t="shared" si="68"/>
        <v>455948.80274797708</v>
      </c>
      <c r="S360" s="213">
        <f>IF($F360="","",'הזנה לתנאי סף'!N360)</f>
        <v>1</v>
      </c>
      <c r="T360" s="213">
        <f>IF($F360="","",'הזנה לתנאי סף'!O360)</f>
        <v>0</v>
      </c>
      <c r="U360" s="213">
        <f>IF($F360="","",'תחום תמיכה א'!W360)</f>
        <v>0</v>
      </c>
      <c r="V360" s="213">
        <f>IF($F360="","",'תחום תמיכה א'!X360)</f>
        <v>0</v>
      </c>
      <c r="W360" s="213">
        <f>IF($F360="","",'תחום תמיכה א'!Y360)</f>
        <v>0</v>
      </c>
      <c r="X360" s="231" t="str">
        <f>IF($F360="","",'תחום תמיכה א'!Z360)</f>
        <v/>
      </c>
      <c r="Y360" s="213" t="str">
        <f>IF($F360="","",'תחום תמיכה א'!AA360)</f>
        <v/>
      </c>
      <c r="Z360" s="214" t="str">
        <f>IF($F360="","",'תחום תמיכה א'!AB360)</f>
        <v/>
      </c>
      <c r="AA360" s="225" t="str">
        <f>IF($F360="","",'תחום תמיכה א'!AC360)</f>
        <v/>
      </c>
      <c r="AB360" s="213" t="str">
        <f t="shared" si="69"/>
        <v/>
      </c>
      <c r="AC360" s="213">
        <f t="shared" si="70"/>
        <v>455948.80274797708</v>
      </c>
      <c r="AD360" s="214">
        <f t="shared" si="71"/>
        <v>4.5694944557334426E-3</v>
      </c>
      <c r="AE360" s="213">
        <f t="shared" si="72"/>
        <v>469620.45142036973</v>
      </c>
      <c r="AF360" s="214">
        <f t="shared" si="73"/>
        <v>4.5694944557334444E-3</v>
      </c>
    </row>
    <row r="361" spans="1:32" ht="15.75" x14ac:dyDescent="0.2">
      <c r="A361" s="206" t="str">
        <f t="shared" si="62"/>
        <v/>
      </c>
      <c r="B361" s="88" t="str">
        <f>IF($F361="","",'הזנה לתנאי סף'!C361)</f>
        <v/>
      </c>
      <c r="C361" s="88" t="str">
        <f>IF($F361="","",'הזנה לתנאי סף'!D361)</f>
        <v/>
      </c>
      <c r="D361" s="88" t="str">
        <f>IF($F361="","",'הזנה לתנאי סף'!E361)</f>
        <v/>
      </c>
      <c r="E361" s="88" t="str">
        <f>IF($F361="","",'הזנה לתנאי סף'!F361)</f>
        <v/>
      </c>
      <c r="F361" s="88" t="str">
        <f>IF(OR('הזנה לתנאי סף'!G361="",'הזנה לתנאי סף'!BL361&lt;&gt;1,'הזנה לתנאי סף'!Q361&lt;&gt;1),"",'הזנה לתנאי סף'!G361)</f>
        <v/>
      </c>
      <c r="G361" s="88" t="str">
        <f>IF($F361="","",'הזנה לתנאי סף'!H361)</f>
        <v/>
      </c>
      <c r="H361" s="88" t="str">
        <f>IF($F361="","",'הזנה לתנאי סף'!I361)</f>
        <v/>
      </c>
      <c r="I361" s="213" t="str">
        <f>IF($F361="","",'תחום תמיכה א'!$I361)</f>
        <v/>
      </c>
      <c r="J361" s="213" t="str">
        <f>IF($F361="","",'תחום תמיכה א'!$J361)</f>
        <v/>
      </c>
      <c r="K361" s="213" t="str">
        <f>IF($F361="","",'תחום תמיכה א'!$K361)</f>
        <v/>
      </c>
      <c r="L361" s="213" t="str">
        <f t="shared" si="63"/>
        <v/>
      </c>
      <c r="M361" s="214" t="str">
        <f t="shared" si="64"/>
        <v/>
      </c>
      <c r="N361" s="214" t="str">
        <f t="shared" si="65"/>
        <v/>
      </c>
      <c r="O361" s="213" t="str">
        <f t="shared" si="66"/>
        <v/>
      </c>
      <c r="P361" s="213" t="str">
        <f>IF($F361="","",'פרמטרים לקריטריונים'!$C$59*O361)</f>
        <v/>
      </c>
      <c r="Q361" s="214" t="str">
        <f t="shared" si="67"/>
        <v/>
      </c>
      <c r="R361" s="213" t="str">
        <f t="shared" si="68"/>
        <v/>
      </c>
      <c r="S361" s="213" t="str">
        <f>IF($F361="","",'הזנה לתנאי סף'!N361)</f>
        <v/>
      </c>
      <c r="T361" s="213" t="str">
        <f>IF($F361="","",'הזנה לתנאי סף'!O361)</f>
        <v/>
      </c>
      <c r="U361" s="213" t="str">
        <f>IF($F361="","",'תחום תמיכה א'!W361)</f>
        <v/>
      </c>
      <c r="V361" s="213" t="str">
        <f>IF($F361="","",'תחום תמיכה א'!X361)</f>
        <v/>
      </c>
      <c r="W361" s="213" t="str">
        <f>IF($F361="","",'תחום תמיכה א'!Y361)</f>
        <v/>
      </c>
      <c r="X361" s="231" t="str">
        <f>IF($F361="","",'תחום תמיכה א'!Z361)</f>
        <v/>
      </c>
      <c r="Y361" s="213" t="str">
        <f>IF($F361="","",'תחום תמיכה א'!AA361)</f>
        <v/>
      </c>
      <c r="Z361" s="214" t="str">
        <f>IF($F361="","",'תחום תמיכה א'!AB361)</f>
        <v/>
      </c>
      <c r="AA361" s="225" t="str">
        <f>IF($F361="","",'תחום תמיכה א'!AC361)</f>
        <v/>
      </c>
      <c r="AB361" s="213" t="str">
        <f t="shared" si="69"/>
        <v/>
      </c>
      <c r="AC361" s="213" t="str">
        <f t="shared" si="70"/>
        <v/>
      </c>
      <c r="AD361" s="214" t="str">
        <f t="shared" si="71"/>
        <v/>
      </c>
      <c r="AE361" s="213" t="str">
        <f t="shared" si="72"/>
        <v/>
      </c>
      <c r="AF361" s="214" t="str">
        <f t="shared" si="73"/>
        <v/>
      </c>
    </row>
    <row r="362" spans="1:32" ht="15.75" x14ac:dyDescent="0.2">
      <c r="A362" s="206">
        <f t="shared" si="62"/>
        <v>332</v>
      </c>
      <c r="B362" s="88">
        <f>IF($F362="","",'הזנה לתנאי סף'!C362)</f>
        <v>1001346979</v>
      </c>
      <c r="C362" s="88">
        <f>IF($F362="","",'הזנה לתנאי סף'!D362)</f>
        <v>1001273202</v>
      </c>
      <c r="D362" s="88">
        <f>IF($F362="","",'הזנה לתנאי סף'!E362)</f>
        <v>40000237</v>
      </c>
      <c r="E362" s="88">
        <f>IF($F362="","",'הזנה לתנאי סף'!F362)</f>
        <v>20000248</v>
      </c>
      <c r="F362" s="88" t="str">
        <f>IF(OR('הזנה לתנאי סף'!G362="",'הזנה לתנאי סף'!BL362&lt;&gt;1,'הזנה לתנאי סף'!Q362&lt;&gt;1),"",'הזנה לתנאי סף'!G362)</f>
        <v>רחובות</v>
      </c>
      <c r="G362" s="88" t="str">
        <f>IF($F362="","",'הזנה לתנאי סף'!H362)</f>
        <v>מועצה לשימור אתרי מורשת בישראל (ע"ר</v>
      </c>
      <c r="H362" s="88" t="str">
        <f>IF($F362="","",'הזנה לתנאי סף'!I362)</f>
        <v>מועצה לשימור אתרים</v>
      </c>
      <c r="I362" s="213">
        <f>IF($F362="","",'תחום תמיכה א'!$I362)</f>
        <v>15086672</v>
      </c>
      <c r="J362" s="213">
        <f>IF($F362="","",'תחום תמיכה א'!$J362)</f>
        <v>8603966</v>
      </c>
      <c r="K362" s="213">
        <f>IF($F362="","",'תחום תמיכה א'!$K362)</f>
        <v>0</v>
      </c>
      <c r="L362" s="213">
        <f t="shared" si="63"/>
        <v>23690638</v>
      </c>
      <c r="M362" s="214">
        <f t="shared" si="64"/>
        <v>0.63681999615206653</v>
      </c>
      <c r="N362" s="214">
        <f t="shared" si="65"/>
        <v>0.36318000384793347</v>
      </c>
      <c r="O362" s="213">
        <f t="shared" si="66"/>
        <v>3124788.4049874889</v>
      </c>
      <c r="P362" s="213">
        <f>IF($F362="","",'פרמטרים לקריטריונים'!$C$59*O362)</f>
        <v>937436.52149624669</v>
      </c>
      <c r="Q362" s="214">
        <f t="shared" si="67"/>
        <v>5.3258489565456962E-3</v>
      </c>
      <c r="R362" s="213">
        <f t="shared" si="68"/>
        <v>532584.89565456961</v>
      </c>
      <c r="S362" s="213">
        <f>IF($F362="","",'הזנה לתנאי סף'!N362)</f>
        <v>0</v>
      </c>
      <c r="T362" s="213">
        <f>IF($F362="","",'הזנה לתנאי סף'!O362)</f>
        <v>1</v>
      </c>
      <c r="U362" s="213">
        <f>IF($F362="","",'תחום תמיכה א'!W362)</f>
        <v>240000</v>
      </c>
      <c r="V362" s="213">
        <f>IF($F362="","",'תחום תמיכה א'!X362)</f>
        <v>240000</v>
      </c>
      <c r="W362" s="213">
        <f>IF($F362="","",'תחום תמיכה א'!Y362)</f>
        <v>21501518</v>
      </c>
      <c r="X362" s="231">
        <f>IF($F362="","",'תחום תמיכה א'!Z362)</f>
        <v>1.1162002608373977E-2</v>
      </c>
      <c r="Y362" s="213" t="str">
        <f>IF($F362="","",'תחום תמיכה א'!AA362)</f>
        <v/>
      </c>
      <c r="Z362" s="214" t="str">
        <f>IF($F362="","",'תחום תמיכה א'!AB362)</f>
        <v/>
      </c>
      <c r="AA362" s="225" t="str">
        <f>IF($F362="","",'תחום תמיכה א'!AC362)</f>
        <v/>
      </c>
      <c r="AB362" s="213" t="str">
        <f t="shared" si="69"/>
        <v/>
      </c>
      <c r="AC362" s="213">
        <f t="shared" si="70"/>
        <v>532584.89565456961</v>
      </c>
      <c r="AD362" s="214">
        <f t="shared" si="71"/>
        <v>5.3375372700476455E-3</v>
      </c>
      <c r="AE362" s="213">
        <f t="shared" si="72"/>
        <v>548554.48157677869</v>
      </c>
      <c r="AF362" s="214">
        <f t="shared" si="73"/>
        <v>5.3375372700476473E-3</v>
      </c>
    </row>
    <row r="363" spans="1:32" ht="15.75" x14ac:dyDescent="0.2">
      <c r="A363" s="206">
        <f t="shared" si="62"/>
        <v>333</v>
      </c>
      <c r="B363" s="88">
        <f>IF($F363="","",'הזנה לתנאי סף'!C363)</f>
        <v>1001348103</v>
      </c>
      <c r="C363" s="88">
        <f>IF($F363="","",'הזנה לתנאי סף'!D363)</f>
        <v>1001263126</v>
      </c>
      <c r="D363" s="88">
        <f>IF($F363="","",'הזנה לתנאי סף'!E363)</f>
        <v>40000242</v>
      </c>
      <c r="E363" s="88">
        <f>IF($F363="","",'הזנה לתנאי סף'!F363)</f>
        <v>20000159</v>
      </c>
      <c r="F363" s="88" t="str">
        <f>IF(OR('הזנה לתנאי סף'!G363="",'הזנה לתנאי סף'!BL363&lt;&gt;1,'הזנה לתנאי סף'!Q363&lt;&gt;1),"",'הזנה לתנאי סף'!G363)</f>
        <v>ירושלים</v>
      </c>
      <c r="G363" s="88" t="str">
        <f>IF($F363="","",'הזנה לתנאי סף'!H363)</f>
        <v>הזירה הבין-תחומית (ע"ר)</v>
      </c>
      <c r="H363" s="88" t="str">
        <f>IF($F363="","",'הזנה לתנאי סף'!I363)</f>
        <v>תיאטרון</v>
      </c>
      <c r="I363" s="213">
        <f>IF($F363="","",'תחום תמיכה א'!$I363)</f>
        <v>1448939</v>
      </c>
      <c r="J363" s="213">
        <f>IF($F363="","",'תחום תמיכה א'!$J363)</f>
        <v>941707</v>
      </c>
      <c r="K363" s="213">
        <f>IF($F363="","",'תחום תמיכה א'!$K363)</f>
        <v>0</v>
      </c>
      <c r="L363" s="213">
        <f t="shared" si="63"/>
        <v>2390646</v>
      </c>
      <c r="M363" s="214">
        <f t="shared" si="64"/>
        <v>0.60608680666229964</v>
      </c>
      <c r="N363" s="214">
        <f t="shared" si="65"/>
        <v>0.39391319333770036</v>
      </c>
      <c r="O363" s="213">
        <f t="shared" si="66"/>
        <v>370950.81155846582</v>
      </c>
      <c r="P363" s="213">
        <f>IF($F363="","",'פרמטרים לקריטריונים'!$C$59*O363)</f>
        <v>111285.24346753974</v>
      </c>
      <c r="Q363" s="214">
        <f t="shared" si="67"/>
        <v>6.3224376713480034E-4</v>
      </c>
      <c r="R363" s="213">
        <f t="shared" si="68"/>
        <v>63224.376713480036</v>
      </c>
      <c r="S363" s="213">
        <f>IF($F363="","",'הזנה לתנאי סף'!N363)</f>
        <v>1</v>
      </c>
      <c r="T363" s="213">
        <f>IF($F363="","",'הזנה לתנאי סף'!O363)</f>
        <v>0</v>
      </c>
      <c r="U363" s="213">
        <f>IF($F363="","",'תחום תמיכה א'!W363)</f>
        <v>0</v>
      </c>
      <c r="V363" s="213">
        <f>IF($F363="","",'תחום תמיכה א'!X363)</f>
        <v>0</v>
      </c>
      <c r="W363" s="213">
        <f>IF($F363="","",'תחום תמיכה א'!Y363)</f>
        <v>0</v>
      </c>
      <c r="X363" s="231" t="str">
        <f>IF($F363="","",'תחום תמיכה א'!Z363)</f>
        <v/>
      </c>
      <c r="Y363" s="213" t="str">
        <f>IF($F363="","",'תחום תמיכה א'!AA363)</f>
        <v/>
      </c>
      <c r="Z363" s="214" t="str">
        <f>IF($F363="","",'תחום תמיכה א'!AB363)</f>
        <v/>
      </c>
      <c r="AA363" s="225" t="str">
        <f>IF($F363="","",'תחום תמיכה א'!AC363)</f>
        <v/>
      </c>
      <c r="AB363" s="213" t="str">
        <f t="shared" si="69"/>
        <v/>
      </c>
      <c r="AC363" s="213">
        <f t="shared" si="70"/>
        <v>63224.376713480036</v>
      </c>
      <c r="AD363" s="214">
        <f t="shared" si="71"/>
        <v>6.3363131368751331E-4</v>
      </c>
      <c r="AE363" s="213">
        <f t="shared" si="72"/>
        <v>65120.162952522936</v>
      </c>
      <c r="AF363" s="214">
        <f t="shared" si="73"/>
        <v>6.3363131368751352E-4</v>
      </c>
    </row>
    <row r="364" spans="1:32" ht="15.75" x14ac:dyDescent="0.2">
      <c r="A364" s="206">
        <f t="shared" si="62"/>
        <v>334</v>
      </c>
      <c r="B364" s="88">
        <f>IF($F364="","",'הזנה לתנאי סף'!C364)</f>
        <v>1001348542</v>
      </c>
      <c r="C364" s="88">
        <f>IF($F364="","",'הזנה לתנאי סף'!D364)</f>
        <v>1001268714</v>
      </c>
      <c r="D364" s="88">
        <f>IF($F364="","",'הזנה לתנאי סף'!E364)</f>
        <v>40000242</v>
      </c>
      <c r="E364" s="88">
        <f>IF($F364="","",'הזנה לתנאי סף'!F364)</f>
        <v>20000159</v>
      </c>
      <c r="F364" s="88" t="str">
        <f>IF(OR('הזנה לתנאי סף'!G364="",'הזנה לתנאי סף'!BL364&lt;&gt;1,'הזנה לתנאי סף'!Q364&lt;&gt;1),"",'הזנה לתנאי סף'!G364)</f>
        <v>ירושלים</v>
      </c>
      <c r="G364" s="88" t="str">
        <f>IF($F364="","",'הזנה לתנאי סף'!H364)</f>
        <v>הזירה הבין-תחומית (ע"ר)</v>
      </c>
      <c r="H364" s="88" t="str">
        <f>IF($F364="","",'הזנה לתנאי סף'!I364)</f>
        <v>אחר</v>
      </c>
      <c r="I364" s="213">
        <f>IF($F364="","",'תחום תמיכה א'!$I364)</f>
        <v>50379</v>
      </c>
      <c r="J364" s="213">
        <f>IF($F364="","",'תחום תמיכה א'!$J364)</f>
        <v>22000</v>
      </c>
      <c r="K364" s="213">
        <f>IF($F364="","",'תחום תמיכה א'!$K364)</f>
        <v>0</v>
      </c>
      <c r="L364" s="213">
        <f t="shared" si="63"/>
        <v>72379</v>
      </c>
      <c r="M364" s="214">
        <f t="shared" si="64"/>
        <v>0.69604443277746308</v>
      </c>
      <c r="N364" s="214">
        <f t="shared" si="65"/>
        <v>0.30395556722253692</v>
      </c>
      <c r="O364" s="213">
        <f t="shared" si="66"/>
        <v>6687.0224788958121</v>
      </c>
      <c r="P364" s="213">
        <f>IF($F364="","",'פרמטרים לקריטריונים'!$C$59*O364)</f>
        <v>2006.1067436687435</v>
      </c>
      <c r="Q364" s="214">
        <f t="shared" si="67"/>
        <v>1.1397274655391415E-5</v>
      </c>
      <c r="R364" s="213">
        <f t="shared" si="68"/>
        <v>1139.7274655391416</v>
      </c>
      <c r="S364" s="213">
        <f>IF($F364="","",'הזנה לתנאי סף'!N364)</f>
        <v>1</v>
      </c>
      <c r="T364" s="213">
        <f>IF($F364="","",'הזנה לתנאי סף'!O364)</f>
        <v>0</v>
      </c>
      <c r="U364" s="213">
        <f>IF($F364="","",'תחום תמיכה א'!W364)</f>
        <v>0</v>
      </c>
      <c r="V364" s="213">
        <f>IF($F364="","",'תחום תמיכה א'!X364)</f>
        <v>0</v>
      </c>
      <c r="W364" s="213">
        <f>IF($F364="","",'תחום תמיכה א'!Y364)</f>
        <v>0</v>
      </c>
      <c r="X364" s="231" t="str">
        <f>IF($F364="","",'תחום תמיכה א'!Z364)</f>
        <v/>
      </c>
      <c r="Y364" s="213" t="str">
        <f>IF($F364="","",'תחום תמיכה א'!AA364)</f>
        <v/>
      </c>
      <c r="Z364" s="214" t="str">
        <f>IF($F364="","",'תחום תמיכה א'!AB364)</f>
        <v/>
      </c>
      <c r="AA364" s="225" t="str">
        <f>IF($F364="","",'תחום תמיכה א'!AC364)</f>
        <v/>
      </c>
      <c r="AB364" s="213" t="str">
        <f t="shared" si="69"/>
        <v/>
      </c>
      <c r="AC364" s="213">
        <f t="shared" si="70"/>
        <v>1139.7274655391416</v>
      </c>
      <c r="AD364" s="214">
        <f t="shared" si="71"/>
        <v>1.142228755386581E-5</v>
      </c>
      <c r="AE364" s="213">
        <f t="shared" si="72"/>
        <v>1173.9022531407672</v>
      </c>
      <c r="AF364" s="214">
        <f t="shared" si="73"/>
        <v>1.1422287553865813E-5</v>
      </c>
    </row>
    <row r="365" spans="1:32" ht="15.75" x14ac:dyDescent="0.2">
      <c r="A365" s="206" t="str">
        <f t="shared" si="62"/>
        <v/>
      </c>
      <c r="B365" s="88" t="str">
        <f>IF($F365="","",'הזנה לתנאי סף'!C365)</f>
        <v/>
      </c>
      <c r="C365" s="88" t="str">
        <f>IF($F365="","",'הזנה לתנאי סף'!D365)</f>
        <v/>
      </c>
      <c r="D365" s="88" t="str">
        <f>IF($F365="","",'הזנה לתנאי סף'!E365)</f>
        <v/>
      </c>
      <c r="E365" s="88" t="str">
        <f>IF($F365="","",'הזנה לתנאי סף'!F365)</f>
        <v/>
      </c>
      <c r="F365" s="88" t="str">
        <f>IF(OR('הזנה לתנאי סף'!G365="",'הזנה לתנאי סף'!BL365&lt;&gt;1,'הזנה לתנאי סף'!Q365&lt;&gt;1),"",'הזנה לתנאי סף'!G365)</f>
        <v/>
      </c>
      <c r="G365" s="88" t="str">
        <f>IF($F365="","",'הזנה לתנאי סף'!H365)</f>
        <v/>
      </c>
      <c r="H365" s="88" t="str">
        <f>IF($F365="","",'הזנה לתנאי סף'!I365)</f>
        <v/>
      </c>
      <c r="I365" s="213" t="str">
        <f>IF($F365="","",'תחום תמיכה א'!$I365)</f>
        <v/>
      </c>
      <c r="J365" s="213" t="str">
        <f>IF($F365="","",'תחום תמיכה א'!$J365)</f>
        <v/>
      </c>
      <c r="K365" s="213" t="str">
        <f>IF($F365="","",'תחום תמיכה א'!$K365)</f>
        <v/>
      </c>
      <c r="L365" s="213" t="str">
        <f t="shared" si="63"/>
        <v/>
      </c>
      <c r="M365" s="214" t="str">
        <f t="shared" si="64"/>
        <v/>
      </c>
      <c r="N365" s="214" t="str">
        <f t="shared" si="65"/>
        <v/>
      </c>
      <c r="O365" s="213" t="str">
        <f t="shared" si="66"/>
        <v/>
      </c>
      <c r="P365" s="213" t="str">
        <f>IF($F365="","",'פרמטרים לקריטריונים'!$C$59*O365)</f>
        <v/>
      </c>
      <c r="Q365" s="214" t="str">
        <f t="shared" si="67"/>
        <v/>
      </c>
      <c r="R365" s="213" t="str">
        <f t="shared" si="68"/>
        <v/>
      </c>
      <c r="S365" s="213" t="str">
        <f>IF($F365="","",'הזנה לתנאי סף'!N365)</f>
        <v/>
      </c>
      <c r="T365" s="213" t="str">
        <f>IF($F365="","",'הזנה לתנאי סף'!O365)</f>
        <v/>
      </c>
      <c r="U365" s="213" t="str">
        <f>IF($F365="","",'תחום תמיכה א'!W365)</f>
        <v/>
      </c>
      <c r="V365" s="213" t="str">
        <f>IF($F365="","",'תחום תמיכה א'!X365)</f>
        <v/>
      </c>
      <c r="W365" s="213" t="str">
        <f>IF($F365="","",'תחום תמיכה א'!Y365)</f>
        <v/>
      </c>
      <c r="X365" s="231" t="str">
        <f>IF($F365="","",'תחום תמיכה א'!Z365)</f>
        <v/>
      </c>
      <c r="Y365" s="213" t="str">
        <f>IF($F365="","",'תחום תמיכה א'!AA365)</f>
        <v/>
      </c>
      <c r="Z365" s="214" t="str">
        <f>IF($F365="","",'תחום תמיכה א'!AB365)</f>
        <v/>
      </c>
      <c r="AA365" s="225" t="str">
        <f>IF($F365="","",'תחום תמיכה א'!AC365)</f>
        <v/>
      </c>
      <c r="AB365" s="213" t="str">
        <f t="shared" si="69"/>
        <v/>
      </c>
      <c r="AC365" s="213" t="str">
        <f t="shared" si="70"/>
        <v/>
      </c>
      <c r="AD365" s="214" t="str">
        <f t="shared" si="71"/>
        <v/>
      </c>
      <c r="AE365" s="213" t="str">
        <f t="shared" si="72"/>
        <v/>
      </c>
      <c r="AF365" s="214" t="str">
        <f t="shared" si="73"/>
        <v/>
      </c>
    </row>
    <row r="366" spans="1:32" ht="15.75" x14ac:dyDescent="0.2">
      <c r="A366" s="206" t="str">
        <f t="shared" si="62"/>
        <v/>
      </c>
      <c r="B366" s="88" t="str">
        <f>IF($F366="","",'הזנה לתנאי סף'!C366)</f>
        <v/>
      </c>
      <c r="C366" s="88" t="str">
        <f>IF($F366="","",'הזנה לתנאי סף'!D366)</f>
        <v/>
      </c>
      <c r="D366" s="88" t="str">
        <f>IF($F366="","",'הזנה לתנאי סף'!E366)</f>
        <v/>
      </c>
      <c r="E366" s="88" t="str">
        <f>IF($F366="","",'הזנה לתנאי סף'!F366)</f>
        <v/>
      </c>
      <c r="F366" s="88" t="str">
        <f>IF(OR('הזנה לתנאי סף'!G366="",'הזנה לתנאי סף'!BL366&lt;&gt;1,'הזנה לתנאי סף'!Q366&lt;&gt;1),"",'הזנה לתנאי סף'!G366)</f>
        <v/>
      </c>
      <c r="G366" s="88" t="str">
        <f>IF($F366="","",'הזנה לתנאי סף'!H366)</f>
        <v/>
      </c>
      <c r="H366" s="88" t="str">
        <f>IF($F366="","",'הזנה לתנאי סף'!I366)</f>
        <v/>
      </c>
      <c r="I366" s="213" t="str">
        <f>IF($F366="","",'תחום תמיכה א'!$I366)</f>
        <v/>
      </c>
      <c r="J366" s="213" t="str">
        <f>IF($F366="","",'תחום תמיכה א'!$J366)</f>
        <v/>
      </c>
      <c r="K366" s="213" t="str">
        <f>IF($F366="","",'תחום תמיכה א'!$K366)</f>
        <v/>
      </c>
      <c r="L366" s="213" t="str">
        <f t="shared" si="63"/>
        <v/>
      </c>
      <c r="M366" s="214" t="str">
        <f t="shared" si="64"/>
        <v/>
      </c>
      <c r="N366" s="214" t="str">
        <f t="shared" si="65"/>
        <v/>
      </c>
      <c r="O366" s="213" t="str">
        <f t="shared" si="66"/>
        <v/>
      </c>
      <c r="P366" s="213" t="str">
        <f>IF($F366="","",'פרמטרים לקריטריונים'!$C$59*O366)</f>
        <v/>
      </c>
      <c r="Q366" s="214" t="str">
        <f t="shared" si="67"/>
        <v/>
      </c>
      <c r="R366" s="213" t="str">
        <f t="shared" si="68"/>
        <v/>
      </c>
      <c r="S366" s="213" t="str">
        <f>IF($F366="","",'הזנה לתנאי סף'!N366)</f>
        <v/>
      </c>
      <c r="T366" s="213" t="str">
        <f>IF($F366="","",'הזנה לתנאי סף'!O366)</f>
        <v/>
      </c>
      <c r="U366" s="213" t="str">
        <f>IF($F366="","",'תחום תמיכה א'!W366)</f>
        <v/>
      </c>
      <c r="V366" s="213" t="str">
        <f>IF($F366="","",'תחום תמיכה א'!X366)</f>
        <v/>
      </c>
      <c r="W366" s="213" t="str">
        <f>IF($F366="","",'תחום תמיכה א'!Y366)</f>
        <v/>
      </c>
      <c r="X366" s="231" t="str">
        <f>IF($F366="","",'תחום תמיכה א'!Z366)</f>
        <v/>
      </c>
      <c r="Y366" s="213" t="str">
        <f>IF($F366="","",'תחום תמיכה א'!AA366)</f>
        <v/>
      </c>
      <c r="Z366" s="214" t="str">
        <f>IF($F366="","",'תחום תמיכה א'!AB366)</f>
        <v/>
      </c>
      <c r="AA366" s="225" t="str">
        <f>IF($F366="","",'תחום תמיכה א'!AC366)</f>
        <v/>
      </c>
      <c r="AB366" s="213" t="str">
        <f t="shared" si="69"/>
        <v/>
      </c>
      <c r="AC366" s="213" t="str">
        <f t="shared" si="70"/>
        <v/>
      </c>
      <c r="AD366" s="214" t="str">
        <f t="shared" si="71"/>
        <v/>
      </c>
      <c r="AE366" s="213" t="str">
        <f t="shared" si="72"/>
        <v/>
      </c>
      <c r="AF366" s="214" t="str">
        <f t="shared" si="73"/>
        <v/>
      </c>
    </row>
    <row r="367" spans="1:32" ht="15.75" x14ac:dyDescent="0.2">
      <c r="A367" s="206">
        <f t="shared" si="62"/>
        <v>337</v>
      </c>
      <c r="B367" s="88">
        <f>IF($F367="","",'הזנה לתנאי סף'!C367)</f>
        <v>1001349557</v>
      </c>
      <c r="C367" s="88">
        <f>IF($F367="","",'הזנה לתנאי סף'!D367)</f>
        <v>1001262290</v>
      </c>
      <c r="D367" s="88">
        <f>IF($F367="","",'הזנה לתנאי סף'!E367)</f>
        <v>41099000</v>
      </c>
      <c r="E367" s="88">
        <f>IF($F367="","",'הזנה לתנאי סף'!F367)</f>
        <v>20000159</v>
      </c>
      <c r="F367" s="88" t="str">
        <f>IF(OR('הזנה לתנאי סף'!G367="",'הזנה לתנאי סף'!BL367&lt;&gt;1,'הזנה לתנאי סף'!Q367&lt;&gt;1),"",'הזנה לתנאי סף'!G367)</f>
        <v>ירושלים</v>
      </c>
      <c r="G367" s="88" t="str">
        <f>IF($F367="","",'הזנה לתנאי סף'!H367)</f>
        <v>בר-קיימא לתרבות, אמנות, מוסיקה ושלו</v>
      </c>
      <c r="H367" s="88" t="str">
        <f>IF($F367="","",'הזנה לתנאי סף'!I367)</f>
        <v>אחר</v>
      </c>
      <c r="I367" s="213">
        <f>IF($F367="","",'תחום תמיכה א'!$I367)</f>
        <v>284467</v>
      </c>
      <c r="J367" s="213">
        <f>IF($F367="","",'תחום תמיכה א'!$J367)</f>
        <v>290043</v>
      </c>
      <c r="K367" s="213">
        <f>IF($F367="","",'תחום תמיכה א'!$K367)</f>
        <v>0</v>
      </c>
      <c r="L367" s="213">
        <f t="shared" si="63"/>
        <v>574510</v>
      </c>
      <c r="M367" s="214">
        <f t="shared" si="64"/>
        <v>0.49514716889175125</v>
      </c>
      <c r="N367" s="214">
        <f t="shared" si="65"/>
        <v>0.50485283110824875</v>
      </c>
      <c r="O367" s="213">
        <f t="shared" si="66"/>
        <v>146429.02969312979</v>
      </c>
      <c r="P367" s="213">
        <f>IF($F367="","",'פרמטרים לקריטריונים'!$C$59*O367)</f>
        <v>43928.708907938933</v>
      </c>
      <c r="Q367" s="214">
        <f t="shared" si="67"/>
        <v>2.4957174500341131E-4</v>
      </c>
      <c r="R367" s="213">
        <f t="shared" si="68"/>
        <v>24957.174500341131</v>
      </c>
      <c r="S367" s="213">
        <f>IF($F367="","",'הזנה לתנאי סף'!N367)</f>
        <v>1</v>
      </c>
      <c r="T367" s="213">
        <f>IF($F367="","",'הזנה לתנאי סף'!O367)</f>
        <v>0</v>
      </c>
      <c r="U367" s="213">
        <f>IF($F367="","",'תחום תמיכה א'!W367)</f>
        <v>0</v>
      </c>
      <c r="V367" s="213">
        <f>IF($F367="","",'תחום תמיכה א'!X367)</f>
        <v>0</v>
      </c>
      <c r="W367" s="213">
        <f>IF($F367="","",'תחום תמיכה א'!Y367)</f>
        <v>0</v>
      </c>
      <c r="X367" s="231" t="str">
        <f>IF($F367="","",'תחום תמיכה א'!Z367)</f>
        <v/>
      </c>
      <c r="Y367" s="213" t="str">
        <f>IF($F367="","",'תחום תמיכה א'!AA367)</f>
        <v/>
      </c>
      <c r="Z367" s="214" t="str">
        <f>IF($F367="","",'תחום תמיכה א'!AB367)</f>
        <v/>
      </c>
      <c r="AA367" s="225" t="str">
        <f>IF($F367="","",'תחום תמיכה א'!AC367)</f>
        <v/>
      </c>
      <c r="AB367" s="213" t="str">
        <f t="shared" si="69"/>
        <v/>
      </c>
      <c r="AC367" s="213">
        <f t="shared" si="70"/>
        <v>24957.174500341131</v>
      </c>
      <c r="AD367" s="214">
        <f t="shared" si="71"/>
        <v>2.5011946477928725E-4</v>
      </c>
      <c r="AE367" s="213">
        <f t="shared" si="72"/>
        <v>25705.516681673405</v>
      </c>
      <c r="AF367" s="214">
        <f t="shared" si="73"/>
        <v>2.501194647792873E-4</v>
      </c>
    </row>
    <row r="368" spans="1:32" ht="15.75" x14ac:dyDescent="0.2">
      <c r="A368" s="206">
        <f t="shared" si="62"/>
        <v>338</v>
      </c>
      <c r="B368" s="88">
        <f>IF($F368="","",'הזנה לתנאי סף'!C368)</f>
        <v>1001349558</v>
      </c>
      <c r="C368" s="88">
        <f>IF($F368="","",'הזנה לתנאי סף'!D368)</f>
        <v>1001262294</v>
      </c>
      <c r="D368" s="88">
        <f>IF($F368="","",'הזנה לתנאי סף'!E368)</f>
        <v>41099000</v>
      </c>
      <c r="E368" s="88">
        <f>IF($F368="","",'הזנה לתנאי סף'!F368)</f>
        <v>20000159</v>
      </c>
      <c r="F368" s="88" t="str">
        <f>IF(OR('הזנה לתנאי סף'!G368="",'הזנה לתנאי סף'!BL368&lt;&gt;1,'הזנה לתנאי סף'!Q368&lt;&gt;1),"",'הזנה לתנאי סף'!G368)</f>
        <v>ירושלים</v>
      </c>
      <c r="G368" s="88" t="str">
        <f>IF($F368="","",'הזנה לתנאי סף'!H368)</f>
        <v>בר-קיימא לתרבות, אמנות, מוסיקה ושלו</v>
      </c>
      <c r="H368" s="88" t="str">
        <f>IF($F368="","",'הזנה לתנאי סף'!I368)</f>
        <v>אחר</v>
      </c>
      <c r="I368" s="213">
        <f>IF($F368="","",'תחום תמיכה א'!$I368)</f>
        <v>107077</v>
      </c>
      <c r="J368" s="213">
        <f>IF($F368="","",'תחום תמיכה א'!$J368)</f>
        <v>216741</v>
      </c>
      <c r="K368" s="213">
        <f>IF($F368="","",'תחום תמיכה א'!$K368)</f>
        <v>10000</v>
      </c>
      <c r="L368" s="213">
        <f t="shared" si="63"/>
        <v>333818</v>
      </c>
      <c r="M368" s="214">
        <f t="shared" si="64"/>
        <v>0.32076460825959058</v>
      </c>
      <c r="N368" s="214">
        <f t="shared" si="65"/>
        <v>0.67923539174040948</v>
      </c>
      <c r="O368" s="213">
        <f t="shared" si="66"/>
        <v>147218.15804120808</v>
      </c>
      <c r="P368" s="213">
        <f>IF($F368="","",'פרמטרים לקריטריונים'!$C$59*O368)</f>
        <v>44165.447412362424</v>
      </c>
      <c r="Q368" s="214">
        <f t="shared" si="67"/>
        <v>2.5091672515710283E-4</v>
      </c>
      <c r="R368" s="213">
        <f t="shared" si="68"/>
        <v>25091.672515710285</v>
      </c>
      <c r="S368" s="213">
        <f>IF($F368="","",'הזנה לתנאי סף'!N368)</f>
        <v>1</v>
      </c>
      <c r="T368" s="213">
        <f>IF($F368="","",'הזנה לתנאי סף'!O368)</f>
        <v>0</v>
      </c>
      <c r="U368" s="213">
        <f>IF($F368="","",'תחום תמיכה א'!W368)</f>
        <v>0</v>
      </c>
      <c r="V368" s="213">
        <f>IF($F368="","",'תחום תמיכה א'!X368)</f>
        <v>0</v>
      </c>
      <c r="W368" s="213">
        <f>IF($F368="","",'תחום תמיכה א'!Y368)</f>
        <v>0</v>
      </c>
      <c r="X368" s="231" t="str">
        <f>IF($F368="","",'תחום תמיכה א'!Z368)</f>
        <v/>
      </c>
      <c r="Y368" s="213" t="str">
        <f>IF($F368="","",'תחום תמיכה א'!AA368)</f>
        <v/>
      </c>
      <c r="Z368" s="214" t="str">
        <f>IF($F368="","",'תחום תמיכה א'!AB368)</f>
        <v/>
      </c>
      <c r="AA368" s="225" t="str">
        <f>IF($F368="","",'תחום תמיכה א'!AC368)</f>
        <v/>
      </c>
      <c r="AB368" s="213" t="str">
        <f t="shared" si="69"/>
        <v/>
      </c>
      <c r="AC368" s="213">
        <f t="shared" si="70"/>
        <v>25091.672515710285</v>
      </c>
      <c r="AD368" s="214">
        <f t="shared" si="71"/>
        <v>2.5146739667829087E-4</v>
      </c>
      <c r="AE368" s="213">
        <f t="shared" si="72"/>
        <v>25844.047627060532</v>
      </c>
      <c r="AF368" s="214">
        <f t="shared" si="73"/>
        <v>2.5146739667829092E-4</v>
      </c>
    </row>
    <row r="369" spans="1:32" ht="15.75" x14ac:dyDescent="0.2">
      <c r="A369" s="206">
        <f t="shared" si="62"/>
        <v>339</v>
      </c>
      <c r="B369" s="88">
        <f>IF($F369="","",'הזנה לתנאי סף'!C369)</f>
        <v>1001349559</v>
      </c>
      <c r="C369" s="88">
        <f>IF($F369="","",'הזנה לתנאי סף'!D369)</f>
        <v>1001262292</v>
      </c>
      <c r="D369" s="88">
        <f>IF($F369="","",'הזנה לתנאי סף'!E369)</f>
        <v>41099000</v>
      </c>
      <c r="E369" s="88">
        <f>IF($F369="","",'הזנה לתנאי סף'!F369)</f>
        <v>20000159</v>
      </c>
      <c r="F369" s="88" t="str">
        <f>IF(OR('הזנה לתנאי סף'!G369="",'הזנה לתנאי סף'!BL369&lt;&gt;1,'הזנה לתנאי סף'!Q369&lt;&gt;1),"",'הזנה לתנאי סף'!G369)</f>
        <v>ירושלים</v>
      </c>
      <c r="G369" s="88" t="str">
        <f>IF($F369="","",'הזנה לתנאי סף'!H369)</f>
        <v>בר-קיימא לתרבות, אמנות, מוסיקה ושלו</v>
      </c>
      <c r="H369" s="88" t="str">
        <f>IF($F369="","",'הזנה לתנאי סף'!I369)</f>
        <v>סינמטקים ופסטיבלים</v>
      </c>
      <c r="I369" s="213">
        <f>IF($F369="","",'תחום תמיכה א'!$I369)</f>
        <v>0</v>
      </c>
      <c r="J369" s="213">
        <f>IF($F369="","",'תחום תמיכה א'!$J369)</f>
        <v>362717</v>
      </c>
      <c r="K369" s="213">
        <f>IF($F369="","",'תחום תמיכה א'!$K369)</f>
        <v>0</v>
      </c>
      <c r="L369" s="213">
        <f t="shared" si="63"/>
        <v>362717</v>
      </c>
      <c r="M369" s="214">
        <f t="shared" si="64"/>
        <v>0</v>
      </c>
      <c r="N369" s="214">
        <f t="shared" si="65"/>
        <v>1</v>
      </c>
      <c r="O369" s="213">
        <f t="shared" si="66"/>
        <v>362717</v>
      </c>
      <c r="P369" s="213">
        <f>IF($F369="","",'פרמטרים לקריטריונים'!$C$59*O369)</f>
        <v>108815.09999999999</v>
      </c>
      <c r="Q369" s="214">
        <f t="shared" si="67"/>
        <v>6.1821016517088609E-4</v>
      </c>
      <c r="R369" s="213">
        <f t="shared" si="68"/>
        <v>61821.01651708861</v>
      </c>
      <c r="S369" s="213">
        <f>IF($F369="","",'הזנה לתנאי סף'!N369)</f>
        <v>0</v>
      </c>
      <c r="T369" s="213">
        <f>IF($F369="","",'הזנה לתנאי סף'!O369)</f>
        <v>1</v>
      </c>
      <c r="U369" s="213">
        <f>IF($F369="","",'תחום תמיכה א'!W369)</f>
        <v>0</v>
      </c>
      <c r="V369" s="213">
        <f>IF($F369="","",'תחום תמיכה א'!X369)</f>
        <v>10000</v>
      </c>
      <c r="W369" s="213">
        <f>IF($F369="","",'תחום תמיכה א'!Y369)</f>
        <v>1</v>
      </c>
      <c r="X369" s="231">
        <f>IF($F369="","",'תחום תמיכה א'!Z369)</f>
        <v>0</v>
      </c>
      <c r="Y369" s="213" t="str">
        <f>IF($F369="","",'תחום תמיכה א'!AA369)</f>
        <v/>
      </c>
      <c r="Z369" s="214" t="str">
        <f>IF($F369="","",'תחום תמיכה א'!AB369)</f>
        <v/>
      </c>
      <c r="AA369" s="225" t="str">
        <f>IF($F369="","",'תחום תמיכה א'!AC369)</f>
        <v/>
      </c>
      <c r="AB369" s="213" t="str">
        <f t="shared" si="69"/>
        <v/>
      </c>
      <c r="AC369" s="213">
        <f t="shared" si="70"/>
        <v>61821.01651708861</v>
      </c>
      <c r="AD369" s="214">
        <f t="shared" si="71"/>
        <v>6.1956691303954815E-4</v>
      </c>
      <c r="AE369" s="213">
        <f t="shared" si="72"/>
        <v>63674.722927321243</v>
      </c>
      <c r="AF369" s="214">
        <f t="shared" si="73"/>
        <v>6.1956691303954826E-4</v>
      </c>
    </row>
    <row r="370" spans="1:32" ht="15.75" x14ac:dyDescent="0.2">
      <c r="A370" s="206">
        <f t="shared" si="62"/>
        <v>340</v>
      </c>
      <c r="B370" s="88">
        <f>IF($F370="","",'הזנה לתנאי סף'!C370)</f>
        <v>1001349660</v>
      </c>
      <c r="C370" s="88">
        <f>IF($F370="","",'הזנה לתנאי סף'!D370)</f>
        <v>1001262293</v>
      </c>
      <c r="D370" s="88">
        <f>IF($F370="","",'הזנה לתנאי סף'!E370)</f>
        <v>41099000</v>
      </c>
      <c r="E370" s="88">
        <f>IF($F370="","",'הזנה לתנאי סף'!F370)</f>
        <v>20000159</v>
      </c>
      <c r="F370" s="88" t="str">
        <f>IF(OR('הזנה לתנאי סף'!G370="",'הזנה לתנאי סף'!BL370&lt;&gt;1,'הזנה לתנאי סף'!Q370&lt;&gt;1),"",'הזנה לתנאי סף'!G370)</f>
        <v>ירושלים</v>
      </c>
      <c r="G370" s="88" t="str">
        <f>IF($F370="","",'הזנה לתנאי סף'!H370)</f>
        <v>בר-קיימא לתרבות, אמנות, מוסיקה ושלו</v>
      </c>
      <c r="H370" s="88" t="str">
        <f>IF($F370="","",'הזנה לתנאי סף'!I370)</f>
        <v>סינמטקים ופסטיבלים</v>
      </c>
      <c r="I370" s="213">
        <f>IF($F370="","",'תחום תמיכה א'!$I370)</f>
        <v>0</v>
      </c>
      <c r="J370" s="213">
        <f>IF($F370="","",'תחום תמיכה א'!$J370)</f>
        <v>29480</v>
      </c>
      <c r="K370" s="213">
        <f>IF($F370="","",'תחום תמיכה א'!$K370)</f>
        <v>0</v>
      </c>
      <c r="L370" s="213">
        <f t="shared" si="63"/>
        <v>29480</v>
      </c>
      <c r="M370" s="214">
        <f t="shared" si="64"/>
        <v>0</v>
      </c>
      <c r="N370" s="214">
        <f t="shared" si="65"/>
        <v>1</v>
      </c>
      <c r="O370" s="213">
        <f t="shared" si="66"/>
        <v>29480</v>
      </c>
      <c r="P370" s="213">
        <f>IF($F370="","",'פרמטרים לקריטריונים'!$C$59*O370)</f>
        <v>8844</v>
      </c>
      <c r="Q370" s="214">
        <f t="shared" si="67"/>
        <v>5.0245330848120497E-5</v>
      </c>
      <c r="R370" s="213">
        <f t="shared" si="68"/>
        <v>5024.5330848120493</v>
      </c>
      <c r="S370" s="213">
        <f>IF($F370="","",'הזנה לתנאי סף'!N370)</f>
        <v>0</v>
      </c>
      <c r="T370" s="213">
        <f>IF($F370="","",'הזנה לתנאי סף'!O370)</f>
        <v>1</v>
      </c>
      <c r="U370" s="213">
        <f>IF($F370="","",'תחום תמיכה א'!W370)</f>
        <v>0</v>
      </c>
      <c r="V370" s="213">
        <f>IF($F370="","",'תחום תמיכה א'!X370)</f>
        <v>0</v>
      </c>
      <c r="W370" s="213">
        <f>IF($F370="","",'תחום תמיכה א'!Y370)</f>
        <v>1</v>
      </c>
      <c r="X370" s="231">
        <f>IF($F370="","",'תחום תמיכה א'!Z370)</f>
        <v>0</v>
      </c>
      <c r="Y370" s="213" t="str">
        <f>IF($F370="","",'תחום תמיכה א'!AA370)</f>
        <v/>
      </c>
      <c r="Z370" s="214" t="str">
        <f>IF($F370="","",'תחום תמיכה א'!AB370)</f>
        <v/>
      </c>
      <c r="AA370" s="225" t="str">
        <f>IF($F370="","",'תחום תמיכה א'!AC370)</f>
        <v/>
      </c>
      <c r="AB370" s="213" t="str">
        <f t="shared" si="69"/>
        <v/>
      </c>
      <c r="AC370" s="213">
        <f t="shared" si="70"/>
        <v>5024.5330848120493</v>
      </c>
      <c r="AD370" s="214">
        <f t="shared" si="71"/>
        <v>5.0355601188821803E-5</v>
      </c>
      <c r="AE370" s="213">
        <f t="shared" si="72"/>
        <v>5175.193971877331</v>
      </c>
      <c r="AF370" s="214">
        <f t="shared" si="73"/>
        <v>5.035560118882181E-5</v>
      </c>
    </row>
    <row r="371" spans="1:32" ht="15.75" x14ac:dyDescent="0.2">
      <c r="A371" s="206">
        <f t="shared" si="62"/>
        <v>341</v>
      </c>
      <c r="B371" s="88">
        <f>IF($F371="","",'הזנה לתנאי סף'!C371)</f>
        <v>1001346562</v>
      </c>
      <c r="C371" s="88">
        <f>IF($F371="","",'הזנה לתנאי סף'!D371)</f>
        <v>1001268829</v>
      </c>
      <c r="D371" s="88">
        <f>IF($F371="","",'הזנה לתנאי סף'!E371)</f>
        <v>40371504</v>
      </c>
      <c r="E371" s="88">
        <f>IF($F371="","",'הזנה לתנאי סף'!F371)</f>
        <v>20000253</v>
      </c>
      <c r="F371" s="88" t="str">
        <f>IF(OR('הזנה לתנאי סף'!G371="",'הזנה לתנאי סף'!BL371&lt;&gt;1,'הזנה לתנאי סף'!Q371&lt;&gt;1),"",'הזנה לתנאי סף'!G371)</f>
        <v>טמרה</v>
      </c>
      <c r="G371" s="88" t="str">
        <f>IF($F371="","",'הזנה לתנאי סף'!H371)</f>
        <v>סינמה דרמה (ע"ר)</v>
      </c>
      <c r="H371" s="88" t="str">
        <f>IF($F371="","",'הזנה לתנאי סף'!I371)</f>
        <v>תיאטרון</v>
      </c>
      <c r="I371" s="213">
        <f>IF($F371="","",'תחום תמיכה א'!$I371)</f>
        <v>800286</v>
      </c>
      <c r="J371" s="213">
        <f>IF($F371="","",'תחום תמיכה א'!$J371)</f>
        <v>602738</v>
      </c>
      <c r="K371" s="213">
        <f>IF($F371="","",'תחום תמיכה א'!$K371)</f>
        <v>0</v>
      </c>
      <c r="L371" s="213">
        <f t="shared" si="63"/>
        <v>1403024</v>
      </c>
      <c r="M371" s="214">
        <f t="shared" si="64"/>
        <v>0.57040079143336109</v>
      </c>
      <c r="N371" s="214">
        <f t="shared" si="65"/>
        <v>0.42959920856663891</v>
      </c>
      <c r="O371" s="213">
        <f t="shared" si="66"/>
        <v>258935.76777303879</v>
      </c>
      <c r="P371" s="213">
        <f>IF($F371="","",'פרמטרים לקריטריונים'!$C$59*O371)</f>
        <v>77680.730331911633</v>
      </c>
      <c r="Q371" s="214">
        <f t="shared" si="67"/>
        <v>4.4132677476826427E-4</v>
      </c>
      <c r="R371" s="213">
        <f t="shared" si="68"/>
        <v>44132.677476826429</v>
      </c>
      <c r="S371" s="213">
        <f>IF($F371="","",'הזנה לתנאי סף'!N371)</f>
        <v>0</v>
      </c>
      <c r="T371" s="213">
        <f>IF($F371="","",'הזנה לתנאי סף'!O371)</f>
        <v>1</v>
      </c>
      <c r="U371" s="213">
        <f>IF($F371="","",'תחום תמיכה א'!W371)</f>
        <v>0</v>
      </c>
      <c r="V371" s="213">
        <f>IF($F371="","",'תחום תמיכה א'!X371)</f>
        <v>0</v>
      </c>
      <c r="W371" s="213">
        <f>IF($F371="","",'תחום תמיכה א'!Y371)</f>
        <v>1</v>
      </c>
      <c r="X371" s="231">
        <f>IF($F371="","",'תחום תמיכה א'!Z371)</f>
        <v>0</v>
      </c>
      <c r="Y371" s="213" t="str">
        <f>IF($F371="","",'תחום תמיכה א'!AA371)</f>
        <v/>
      </c>
      <c r="Z371" s="214" t="str">
        <f>IF($F371="","",'תחום תמיכה א'!AB371)</f>
        <v/>
      </c>
      <c r="AA371" s="225" t="str">
        <f>IF($F371="","",'תחום תמיכה א'!AC371)</f>
        <v/>
      </c>
      <c r="AB371" s="213" t="str">
        <f t="shared" si="69"/>
        <v/>
      </c>
      <c r="AC371" s="213">
        <f t="shared" si="70"/>
        <v>44132.677476826429</v>
      </c>
      <c r="AD371" s="214">
        <f t="shared" si="71"/>
        <v>4.4229532752715464E-4</v>
      </c>
      <c r="AE371" s="213">
        <f t="shared" si="72"/>
        <v>45455.998116772695</v>
      </c>
      <c r="AF371" s="214">
        <f t="shared" si="73"/>
        <v>4.4229532752715475E-4</v>
      </c>
    </row>
    <row r="372" spans="1:32" ht="15.75" x14ac:dyDescent="0.2">
      <c r="A372" s="206">
        <f t="shared" si="62"/>
        <v>342</v>
      </c>
      <c r="B372" s="88">
        <f>IF($F372="","",'הזנה לתנאי סף'!C372)</f>
        <v>1001349210</v>
      </c>
      <c r="C372" s="88">
        <f>IF($F372="","",'הזנה לתנאי סף'!D372)</f>
        <v>1001288841</v>
      </c>
      <c r="D372" s="88">
        <f>IF($F372="","",'הזנה לתנאי סף'!E372)</f>
        <v>40465932</v>
      </c>
      <c r="E372" s="88">
        <f>IF($F372="","",'הזנה לתנאי סף'!F372)</f>
        <v>20000159</v>
      </c>
      <c r="F372" s="88" t="str">
        <f>IF(OR('הזנה לתנאי סף'!G372="",'הזנה לתנאי סף'!BL372&lt;&gt;1,'הזנה לתנאי סף'!Q372&lt;&gt;1),"",'הזנה לתנאי סף'!G372)</f>
        <v>ירושלים</v>
      </c>
      <c r="G372" s="88" t="str">
        <f>IF($F372="","",'הזנה לתנאי סף'!H372)</f>
        <v>תיאטרון האינקובטור (ע"ר)</v>
      </c>
      <c r="H372" s="88" t="str">
        <f>IF($F372="","",'הזנה לתנאי סף'!I372)</f>
        <v>תיאטרון</v>
      </c>
      <c r="I372" s="213">
        <f>IF($F372="","",'תחום תמיכה א'!$I372)</f>
        <v>3212105</v>
      </c>
      <c r="J372" s="213">
        <f>IF($F372="","",'תחום תמיכה א'!$J372)</f>
        <v>2617067</v>
      </c>
      <c r="K372" s="213">
        <f>IF($F372="","",'תחום תמיכה א'!$K372)</f>
        <v>0</v>
      </c>
      <c r="L372" s="213">
        <f t="shared" si="63"/>
        <v>5829172</v>
      </c>
      <c r="M372" s="214">
        <f t="shared" si="64"/>
        <v>0.55103966738329213</v>
      </c>
      <c r="N372" s="214">
        <f t="shared" si="65"/>
        <v>0.44896033261670787</v>
      </c>
      <c r="O372" s="213">
        <f t="shared" si="66"/>
        <v>1174959.2708002098</v>
      </c>
      <c r="P372" s="213">
        <f>IF($F372="","",'פרמטרים לקריטריונים'!$C$59*O372)</f>
        <v>352487.78124006296</v>
      </c>
      <c r="Q372" s="214">
        <f t="shared" si="67"/>
        <v>2.0025853899057989E-3</v>
      </c>
      <c r="R372" s="213">
        <f t="shared" si="68"/>
        <v>200258.53899057989</v>
      </c>
      <c r="S372" s="213">
        <f>IF($F372="","",'הזנה לתנאי סף'!N372)</f>
        <v>1</v>
      </c>
      <c r="T372" s="213">
        <f>IF($F372="","",'הזנה לתנאי סף'!O372)</f>
        <v>0</v>
      </c>
      <c r="U372" s="213">
        <f>IF($F372="","",'תחום תמיכה א'!W372)</f>
        <v>0</v>
      </c>
      <c r="V372" s="213">
        <f>IF($F372="","",'תחום תמיכה א'!X372)</f>
        <v>0</v>
      </c>
      <c r="W372" s="213">
        <f>IF($F372="","",'תחום תמיכה א'!Y372)</f>
        <v>0</v>
      </c>
      <c r="X372" s="231" t="str">
        <f>IF($F372="","",'תחום תמיכה א'!Z372)</f>
        <v/>
      </c>
      <c r="Y372" s="213" t="str">
        <f>IF($F372="","",'תחום תמיכה א'!AA372)</f>
        <v/>
      </c>
      <c r="Z372" s="214" t="str">
        <f>IF($F372="","",'תחום תמיכה א'!AB372)</f>
        <v/>
      </c>
      <c r="AA372" s="225" t="str">
        <f>IF($F372="","",'תחום תמיכה א'!AC372)</f>
        <v/>
      </c>
      <c r="AB372" s="213" t="str">
        <f t="shared" si="69"/>
        <v/>
      </c>
      <c r="AC372" s="213">
        <f t="shared" si="70"/>
        <v>200258.53899057989</v>
      </c>
      <c r="AD372" s="214">
        <f t="shared" si="71"/>
        <v>2.0069803410286383E-3</v>
      </c>
      <c r="AE372" s="213">
        <f t="shared" si="72"/>
        <v>206263.30174513676</v>
      </c>
      <c r="AF372" s="214">
        <f t="shared" si="73"/>
        <v>2.0069803410286387E-3</v>
      </c>
    </row>
    <row r="373" spans="1:32" ht="15.75" x14ac:dyDescent="0.2">
      <c r="A373" s="206">
        <f t="shared" si="62"/>
        <v>343</v>
      </c>
      <c r="B373" s="88">
        <f>IF($F373="","",'הזנה לתנאי סף'!C373)</f>
        <v>1001349220</v>
      </c>
      <c r="C373" s="88">
        <f>IF($F373="","",'הזנה לתנאי סף'!D373)</f>
        <v>1001280749</v>
      </c>
      <c r="D373" s="88">
        <f>IF($F373="","",'הזנה לתנאי סף'!E373)</f>
        <v>40465932</v>
      </c>
      <c r="E373" s="88">
        <f>IF($F373="","",'הזנה לתנאי סף'!F373)</f>
        <v>20000159</v>
      </c>
      <c r="F373" s="88" t="str">
        <f>IF(OR('הזנה לתנאי סף'!G373="",'הזנה לתנאי סף'!BL373&lt;&gt;1,'הזנה לתנאי סף'!Q373&lt;&gt;1),"",'הזנה לתנאי סף'!G373)</f>
        <v>ירושלים</v>
      </c>
      <c r="G373" s="88" t="str">
        <f>IF($F373="","",'הזנה לתנאי סף'!H373)</f>
        <v>תיאטרון האינקובטור (ע"ר)</v>
      </c>
      <c r="H373" s="88" t="str">
        <f>IF($F373="","",'הזנה לתנאי סף'!I373)</f>
        <v>ספרות</v>
      </c>
      <c r="I373" s="213">
        <f>IF($F373="","",'תחום תמיכה א'!$I373)</f>
        <v>606780</v>
      </c>
      <c r="J373" s="213">
        <f>IF($F373="","",'תחום תמיכה א'!$J373)</f>
        <v>1732151</v>
      </c>
      <c r="K373" s="213">
        <f>IF($F373="","",'תחום תמיכה א'!$K373)</f>
        <v>0</v>
      </c>
      <c r="L373" s="213">
        <f t="shared" si="63"/>
        <v>2338931</v>
      </c>
      <c r="M373" s="214">
        <f t="shared" si="64"/>
        <v>0.25942620795568572</v>
      </c>
      <c r="N373" s="214">
        <f t="shared" si="65"/>
        <v>0.74057379204431428</v>
      </c>
      <c r="O373" s="213">
        <f t="shared" si="66"/>
        <v>1282785.634463351</v>
      </c>
      <c r="P373" s="213">
        <f>IF($F373="","",'פרמטרים לקריטריונים'!$C$59*O373)</f>
        <v>384835.69033900526</v>
      </c>
      <c r="Q373" s="214">
        <f t="shared" si="67"/>
        <v>2.1863632500280605E-3</v>
      </c>
      <c r="R373" s="213">
        <f t="shared" si="68"/>
        <v>218636.32500280606</v>
      </c>
      <c r="S373" s="213">
        <f>IF($F373="","",'הזנה לתנאי סף'!N373)</f>
        <v>1</v>
      </c>
      <c r="T373" s="213">
        <f>IF($F373="","",'הזנה לתנאי סף'!O373)</f>
        <v>0</v>
      </c>
      <c r="U373" s="213">
        <f>IF($F373="","",'תחום תמיכה א'!W373)</f>
        <v>0</v>
      </c>
      <c r="V373" s="213">
        <f>IF($F373="","",'תחום תמיכה א'!X373)</f>
        <v>0</v>
      </c>
      <c r="W373" s="213">
        <f>IF($F373="","",'תחום תמיכה א'!Y373)</f>
        <v>0</v>
      </c>
      <c r="X373" s="231" t="str">
        <f>IF($F373="","",'תחום תמיכה א'!Z373)</f>
        <v/>
      </c>
      <c r="Y373" s="213" t="str">
        <f>IF($F373="","",'תחום תמיכה א'!AA373)</f>
        <v/>
      </c>
      <c r="Z373" s="214" t="str">
        <f>IF($F373="","",'תחום תמיכה א'!AB373)</f>
        <v/>
      </c>
      <c r="AA373" s="225" t="str">
        <f>IF($F373="","",'תחום תמיכה א'!AC373)</f>
        <v/>
      </c>
      <c r="AB373" s="213" t="str">
        <f t="shared" si="69"/>
        <v/>
      </c>
      <c r="AC373" s="213">
        <f t="shared" si="70"/>
        <v>218636.32500280606</v>
      </c>
      <c r="AD373" s="214">
        <f t="shared" si="71"/>
        <v>2.1911615271297913E-3</v>
      </c>
      <c r="AE373" s="213">
        <f t="shared" si="72"/>
        <v>225192.14663112524</v>
      </c>
      <c r="AF373" s="214">
        <f t="shared" si="73"/>
        <v>2.1911615271297917E-3</v>
      </c>
    </row>
    <row r="374" spans="1:32" ht="15.75" x14ac:dyDescent="0.2">
      <c r="A374" s="206">
        <f t="shared" si="62"/>
        <v>344</v>
      </c>
      <c r="B374" s="88">
        <f>IF($F374="","",'הזנה לתנאי סף'!C374)</f>
        <v>1001350587</v>
      </c>
      <c r="C374" s="88">
        <f>IF($F374="","",'הזנה לתנאי סף'!D374)</f>
        <v>1001302052</v>
      </c>
      <c r="D374" s="88">
        <f>IF($F374="","",'הזנה לתנאי סף'!E374)</f>
        <v>40822203</v>
      </c>
      <c r="E374" s="88">
        <f>IF($F374="","",'הזנה לתנאי סף'!F374)</f>
        <v>20000159</v>
      </c>
      <c r="F374" s="88" t="str">
        <f>IF(OR('הזנה לתנאי סף'!G374="",'הזנה לתנאי סף'!BL374&lt;&gt;1,'הזנה לתנאי סף'!Q374&lt;&gt;1),"",'הזנה לתנאי סף'!G374)</f>
        <v>ירושלים</v>
      </c>
      <c r="G374" s="88" t="str">
        <f>IF($F374="","",'הזנה לתנאי סף'!H374)</f>
        <v>הערת שוליים (ע"ר)</v>
      </c>
      <c r="H374" s="88" t="str">
        <f>IF($F374="","",'הזנה לתנאי סף'!I374)</f>
        <v>מקהלות</v>
      </c>
      <c r="I374" s="213">
        <f>IF($F374="","",'תחום תמיכה א'!$I374)</f>
        <v>123045</v>
      </c>
      <c r="J374" s="213">
        <f>IF($F374="","",'תחום תמיכה א'!$J374)</f>
        <v>58955</v>
      </c>
      <c r="K374" s="213">
        <f>IF($F374="","",'תחום תמיכה א'!$K374)</f>
        <v>0</v>
      </c>
      <c r="L374" s="213">
        <f t="shared" si="63"/>
        <v>182000</v>
      </c>
      <c r="M374" s="214">
        <f t="shared" si="64"/>
        <v>0.67607142857142855</v>
      </c>
      <c r="N374" s="214">
        <f t="shared" si="65"/>
        <v>0.32392857142857145</v>
      </c>
      <c r="O374" s="213">
        <f t="shared" si="66"/>
        <v>19097.208928571432</v>
      </c>
      <c r="P374" s="213">
        <f>IF($F374="","",'פרמטרים לקריטריונים'!$C$59*O374)</f>
        <v>5729.1626785714298</v>
      </c>
      <c r="Q374" s="214">
        <f t="shared" si="67"/>
        <v>3.2549035986830137E-5</v>
      </c>
      <c r="R374" s="213">
        <f t="shared" si="68"/>
        <v>3254.9035986830136</v>
      </c>
      <c r="S374" s="213">
        <f>IF($F374="","",'הזנה לתנאי סף'!N374)</f>
        <v>1</v>
      </c>
      <c r="T374" s="213">
        <f>IF($F374="","",'הזנה לתנאי סף'!O374)</f>
        <v>0</v>
      </c>
      <c r="U374" s="213">
        <f>IF($F374="","",'תחום תמיכה א'!W374)</f>
        <v>0</v>
      </c>
      <c r="V374" s="213">
        <f>IF($F374="","",'תחום תמיכה א'!X374)</f>
        <v>0</v>
      </c>
      <c r="W374" s="213">
        <f>IF($F374="","",'תחום תמיכה א'!Y374)</f>
        <v>0</v>
      </c>
      <c r="X374" s="231" t="str">
        <f>IF($F374="","",'תחום תמיכה א'!Z374)</f>
        <v/>
      </c>
      <c r="Y374" s="213" t="str">
        <f>IF($F374="","",'תחום תמיכה א'!AA374)</f>
        <v/>
      </c>
      <c r="Z374" s="214" t="str">
        <f>IF($F374="","",'תחום תמיכה א'!AB374)</f>
        <v/>
      </c>
      <c r="AA374" s="225" t="str">
        <f>IF($F374="","",'תחום תמיכה א'!AC374)</f>
        <v/>
      </c>
      <c r="AB374" s="213" t="str">
        <f t="shared" si="69"/>
        <v/>
      </c>
      <c r="AC374" s="213">
        <f t="shared" si="70"/>
        <v>3254.9035986830136</v>
      </c>
      <c r="AD374" s="214">
        <f t="shared" si="71"/>
        <v>3.2620469356402644E-5</v>
      </c>
      <c r="AE374" s="213">
        <f t="shared" si="72"/>
        <v>3352.5020531487394</v>
      </c>
      <c r="AF374" s="214">
        <f t="shared" si="73"/>
        <v>3.2620469356402657E-5</v>
      </c>
    </row>
    <row r="375" spans="1:32" ht="15.75" x14ac:dyDescent="0.2">
      <c r="A375" s="206">
        <f t="shared" si="62"/>
        <v>345</v>
      </c>
      <c r="B375" s="88">
        <f>IF($F375="","",'הזנה לתנאי סף'!C375)</f>
        <v>1001347740</v>
      </c>
      <c r="C375" s="88">
        <f>IF($F375="","",'הזנה לתנאי סף'!D375)</f>
        <v>1001265444</v>
      </c>
      <c r="D375" s="88">
        <f>IF($F375="","",'הזנה לתנאי סף'!E375)</f>
        <v>41376759</v>
      </c>
      <c r="E375" s="88">
        <f>IF($F375="","",'הזנה לתנאי סף'!F375)</f>
        <v>20000159</v>
      </c>
      <c r="F375" s="88" t="str">
        <f>IF(OR('הזנה לתנאי סף'!G375="",'הזנה לתנאי סף'!BL375&lt;&gt;1,'הזנה לתנאי סף'!Q375&lt;&gt;1),"",'הזנה לתנאי סף'!G375)</f>
        <v>ירושלים</v>
      </c>
      <c r="G375" s="88" t="str">
        <f>IF($F375="","",'הזנה לתנאי סף'!H375)</f>
        <v>בין שמיים לארץ (ע"ר)</v>
      </c>
      <c r="H375" s="88" t="str">
        <f>IF($F375="","",'הזנה לתנאי סף'!I375)</f>
        <v>מחול</v>
      </c>
      <c r="I375" s="213">
        <f>IF($F375="","",'תחום תמיכה א'!$I375)</f>
        <v>240829</v>
      </c>
      <c r="J375" s="213">
        <f>IF($F375="","",'תחום תמיכה א'!$J375)</f>
        <v>451883</v>
      </c>
      <c r="K375" s="213">
        <f>IF($F375="","",'תחום תמיכה א'!$K375)</f>
        <v>310</v>
      </c>
      <c r="L375" s="213">
        <f t="shared" si="63"/>
        <v>693022</v>
      </c>
      <c r="M375" s="214">
        <f t="shared" si="64"/>
        <v>0.34750556259397247</v>
      </c>
      <c r="N375" s="214">
        <f t="shared" si="65"/>
        <v>0.65249443740602753</v>
      </c>
      <c r="O375" s="213">
        <f t="shared" si="66"/>
        <v>294851.14385834796</v>
      </c>
      <c r="P375" s="213">
        <f>IF($F375="","",'פרמטרים לקריטריונים'!$C$59*O375)</f>
        <v>88455.34315750438</v>
      </c>
      <c r="Q375" s="214">
        <f t="shared" si="67"/>
        <v>5.0254047741212567E-4</v>
      </c>
      <c r="R375" s="213">
        <f t="shared" si="68"/>
        <v>50254.047741212569</v>
      </c>
      <c r="S375" s="213">
        <f>IF($F375="","",'הזנה לתנאי סף'!N375)</f>
        <v>1</v>
      </c>
      <c r="T375" s="213">
        <f>IF($F375="","",'הזנה לתנאי סף'!O375)</f>
        <v>0</v>
      </c>
      <c r="U375" s="213">
        <f>IF($F375="","",'תחום תמיכה א'!W375)</f>
        <v>0</v>
      </c>
      <c r="V375" s="213">
        <f>IF($F375="","",'תחום תמיכה א'!X375)</f>
        <v>0</v>
      </c>
      <c r="W375" s="213">
        <f>IF($F375="","",'תחום תמיכה א'!Y375)</f>
        <v>0</v>
      </c>
      <c r="X375" s="231" t="str">
        <f>IF($F375="","",'תחום תמיכה א'!Z375)</f>
        <v/>
      </c>
      <c r="Y375" s="213" t="str">
        <f>IF($F375="","",'תחום תמיכה א'!AA375)</f>
        <v/>
      </c>
      <c r="Z375" s="214" t="str">
        <f>IF($F375="","",'תחום תמיכה א'!AB375)</f>
        <v/>
      </c>
      <c r="AA375" s="225" t="str">
        <f>IF($F375="","",'תחום תמיכה א'!AC375)</f>
        <v/>
      </c>
      <c r="AB375" s="213" t="str">
        <f t="shared" si="69"/>
        <v/>
      </c>
      <c r="AC375" s="213">
        <f t="shared" si="70"/>
        <v>50254.047741212569</v>
      </c>
      <c r="AD375" s="214">
        <f t="shared" si="71"/>
        <v>5.0364337212343614E-4</v>
      </c>
      <c r="AE375" s="213">
        <f t="shared" si="72"/>
        <v>51760.91798836019</v>
      </c>
      <c r="AF375" s="214">
        <f t="shared" si="73"/>
        <v>5.0364337212343625E-4</v>
      </c>
    </row>
    <row r="376" spans="1:32" ht="15.75" x14ac:dyDescent="0.2">
      <c r="A376" s="206">
        <f t="shared" si="62"/>
        <v>346</v>
      </c>
      <c r="B376" s="88">
        <f>IF($F376="","",'הזנה לתנאי סף'!C376)</f>
        <v>1001348720</v>
      </c>
      <c r="C376" s="88">
        <f>IF($F376="","",'הזנה לתנאי סף'!D376)</f>
        <v>1001266717</v>
      </c>
      <c r="D376" s="88">
        <f>IF($F376="","",'הזנה לתנאי סף'!E376)</f>
        <v>41376759</v>
      </c>
      <c r="E376" s="88">
        <f>IF($F376="","",'הזנה לתנאי סף'!F376)</f>
        <v>20000159</v>
      </c>
      <c r="F376" s="88" t="str">
        <f>IF(OR('הזנה לתנאי סף'!G376="",'הזנה לתנאי סף'!BL376&lt;&gt;1,'הזנה לתנאי סף'!Q376&lt;&gt;1),"",'הזנה לתנאי סף'!G376)</f>
        <v>ירושלים</v>
      </c>
      <c r="G376" s="88" t="str">
        <f>IF($F376="","",'הזנה לתנאי סף'!H376)</f>
        <v>בין שמיים לארץ (ע"ר)</v>
      </c>
      <c r="H376" s="88" t="str">
        <f>IF($F376="","",'הזנה לתנאי סף'!I376)</f>
        <v>יוצרים עצמאיים במחול</v>
      </c>
      <c r="I376" s="213">
        <f>IF($F376="","",'תחום תמיכה א'!$I376)</f>
        <v>163888</v>
      </c>
      <c r="J376" s="213">
        <f>IF($F376="","",'תחום תמיכה א'!$J376)</f>
        <v>103937</v>
      </c>
      <c r="K376" s="213">
        <f>IF($F376="","",'תחום תמיכה א'!$K376)</f>
        <v>0</v>
      </c>
      <c r="L376" s="213">
        <f t="shared" si="63"/>
        <v>267825</v>
      </c>
      <c r="M376" s="214">
        <f t="shared" si="64"/>
        <v>0.61192196396900966</v>
      </c>
      <c r="N376" s="214">
        <f t="shared" si="65"/>
        <v>0.38807803603099034</v>
      </c>
      <c r="O376" s="213">
        <f t="shared" si="66"/>
        <v>40335.666830953043</v>
      </c>
      <c r="P376" s="213">
        <f>IF($F376="","",'פרמטרים לקריטריונים'!$C$59*O376)</f>
        <v>12100.700049285913</v>
      </c>
      <c r="Q376" s="214">
        <f t="shared" si="67"/>
        <v>6.874758904005413E-5</v>
      </c>
      <c r="R376" s="213">
        <f t="shared" si="68"/>
        <v>6874.7589040054127</v>
      </c>
      <c r="S376" s="213">
        <f>IF($F376="","",'הזנה לתנאי סף'!N376)</f>
        <v>1</v>
      </c>
      <c r="T376" s="213">
        <f>IF($F376="","",'הזנה לתנאי סף'!O376)</f>
        <v>0</v>
      </c>
      <c r="U376" s="213">
        <f>IF($F376="","",'תחום תמיכה א'!W376)</f>
        <v>0</v>
      </c>
      <c r="V376" s="213">
        <f>IF($F376="","",'תחום תמיכה א'!X376)</f>
        <v>0</v>
      </c>
      <c r="W376" s="213">
        <f>IF($F376="","",'תחום תמיכה א'!Y376)</f>
        <v>0</v>
      </c>
      <c r="X376" s="231" t="str">
        <f>IF($F376="","",'תחום תמיכה א'!Z376)</f>
        <v/>
      </c>
      <c r="Y376" s="213" t="str">
        <f>IF($F376="","",'תחום תמיכה א'!AA376)</f>
        <v/>
      </c>
      <c r="Z376" s="214" t="str">
        <f>IF($F376="","",'תחום תמיכה א'!AB376)</f>
        <v/>
      </c>
      <c r="AA376" s="225" t="str">
        <f>IF($F376="","",'תחום תמיכה א'!AC376)</f>
        <v/>
      </c>
      <c r="AB376" s="213" t="str">
        <f t="shared" si="69"/>
        <v/>
      </c>
      <c r="AC376" s="213">
        <f t="shared" si="70"/>
        <v>6874.7589040054127</v>
      </c>
      <c r="AD376" s="214">
        <f t="shared" si="71"/>
        <v>6.8898465150090202E-5</v>
      </c>
      <c r="AE376" s="213">
        <f t="shared" si="72"/>
        <v>7080.8989089281085</v>
      </c>
      <c r="AF376" s="214">
        <f t="shared" si="73"/>
        <v>6.8898465150090229E-5</v>
      </c>
    </row>
    <row r="377" spans="1:32" ht="15.75" x14ac:dyDescent="0.2">
      <c r="A377" s="206">
        <f t="shared" si="62"/>
        <v>347</v>
      </c>
      <c r="B377" s="88">
        <f>IF($F377="","",'הזנה לתנאי סף'!C377)</f>
        <v>1001348726</v>
      </c>
      <c r="C377" s="88">
        <f>IF($F377="","",'הזנה לתנאי סף'!D377)</f>
        <v>1001266714</v>
      </c>
      <c r="D377" s="88">
        <f>IF($F377="","",'הזנה לתנאי סף'!E377)</f>
        <v>41376759</v>
      </c>
      <c r="E377" s="88">
        <f>IF($F377="","",'הזנה לתנאי סף'!F377)</f>
        <v>20000159</v>
      </c>
      <c r="F377" s="88" t="str">
        <f>IF(OR('הזנה לתנאי סף'!G377="",'הזנה לתנאי סף'!BL377&lt;&gt;1,'הזנה לתנאי סף'!Q377&lt;&gt;1),"",'הזנה לתנאי סף'!G377)</f>
        <v>ירושלים</v>
      </c>
      <c r="G377" s="88" t="str">
        <f>IF($F377="","",'הזנה לתנאי סף'!H377)</f>
        <v>בין שמיים לארץ (ע"ר)</v>
      </c>
      <c r="H377" s="88" t="str">
        <f>IF($F377="","",'הזנה לתנאי סף'!I377)</f>
        <v>סינמטקים ופסטיבלים</v>
      </c>
      <c r="I377" s="213">
        <f>IF($F377="","",'תחום תמיכה א'!$I377)</f>
        <v>170820</v>
      </c>
      <c r="J377" s="213">
        <f>IF($F377="","",'תחום תמיכה א'!$J377)</f>
        <v>198777</v>
      </c>
      <c r="K377" s="213">
        <f>IF($F377="","",'תחום תמיכה א'!$K377)</f>
        <v>0</v>
      </c>
      <c r="L377" s="213">
        <f t="shared" si="63"/>
        <v>369597</v>
      </c>
      <c r="M377" s="214">
        <f t="shared" si="64"/>
        <v>0.46217907612886466</v>
      </c>
      <c r="N377" s="214">
        <f t="shared" si="65"/>
        <v>0.53782092387113534</v>
      </c>
      <c r="O377" s="213">
        <f t="shared" si="66"/>
        <v>106906.42978433266</v>
      </c>
      <c r="P377" s="213">
        <f>IF($F377="","",'פרמטרים לקריטריונים'!$C$59*O377)</f>
        <v>32071.928935299798</v>
      </c>
      <c r="Q377" s="214">
        <f t="shared" si="67"/>
        <v>1.8220993671320073E-4</v>
      </c>
      <c r="R377" s="213">
        <f t="shared" si="68"/>
        <v>18220.993671320073</v>
      </c>
      <c r="S377" s="213">
        <f>IF($F377="","",'הזנה לתנאי סף'!N377)</f>
        <v>1</v>
      </c>
      <c r="T377" s="213">
        <f>IF($F377="","",'הזנה לתנאי סף'!O377)</f>
        <v>0</v>
      </c>
      <c r="U377" s="213">
        <f>IF($F377="","",'תחום תמיכה א'!W377)</f>
        <v>0</v>
      </c>
      <c r="V377" s="213">
        <f>IF($F377="","",'תחום תמיכה א'!X377)</f>
        <v>0</v>
      </c>
      <c r="W377" s="213">
        <f>IF($F377="","",'תחום תמיכה א'!Y377)</f>
        <v>0</v>
      </c>
      <c r="X377" s="231" t="str">
        <f>IF($F377="","",'תחום תמיכה א'!Z377)</f>
        <v/>
      </c>
      <c r="Y377" s="213" t="str">
        <f>IF($F377="","",'תחום תמיכה א'!AA377)</f>
        <v/>
      </c>
      <c r="Z377" s="214" t="str">
        <f>IF($F377="","",'תחום תמיכה א'!AB377)</f>
        <v/>
      </c>
      <c r="AA377" s="225" t="str">
        <f>IF($F377="","",'תחום תמיכה א'!AC377)</f>
        <v/>
      </c>
      <c r="AB377" s="213" t="str">
        <f t="shared" si="69"/>
        <v/>
      </c>
      <c r="AC377" s="213">
        <f t="shared" si="70"/>
        <v>18220.993671320073</v>
      </c>
      <c r="AD377" s="214">
        <f t="shared" si="71"/>
        <v>1.8260982166691438E-4</v>
      </c>
      <c r="AE377" s="213">
        <f t="shared" si="72"/>
        <v>18767.351118548358</v>
      </c>
      <c r="AF377" s="214">
        <f t="shared" si="73"/>
        <v>1.8260982166691444E-4</v>
      </c>
    </row>
    <row r="378" spans="1:32" ht="15.75" x14ac:dyDescent="0.2">
      <c r="A378" s="206">
        <f t="shared" si="62"/>
        <v>348</v>
      </c>
      <c r="B378" s="88">
        <f>IF($F378="","",'הזנה לתנאי סף'!C378)</f>
        <v>1001348730</v>
      </c>
      <c r="C378" s="88">
        <f>IF($F378="","",'הזנה לתנאי סף'!D378)</f>
        <v>1001266783</v>
      </c>
      <c r="D378" s="88">
        <f>IF($F378="","",'הזנה לתנאי סף'!E378)</f>
        <v>41376759</v>
      </c>
      <c r="E378" s="88">
        <f>IF($F378="","",'הזנה לתנאי סף'!F378)</f>
        <v>20000159</v>
      </c>
      <c r="F378" s="88" t="str">
        <f>IF(OR('הזנה לתנאי סף'!G378="",'הזנה לתנאי סף'!BL378&lt;&gt;1,'הזנה לתנאי סף'!Q378&lt;&gt;1),"",'הזנה לתנאי סף'!G378)</f>
        <v>ירושלים</v>
      </c>
      <c r="G378" s="88" t="str">
        <f>IF($F378="","",'הזנה לתנאי סף'!H378)</f>
        <v>בין שמיים לארץ (ע"ר)</v>
      </c>
      <c r="H378" s="88" t="str">
        <f>IF($F378="","",'הזנה לתנאי סף'!I378)</f>
        <v>אחר</v>
      </c>
      <c r="I378" s="213">
        <f>IF($F378="","",'תחום תמיכה א'!$I378)</f>
        <v>31902</v>
      </c>
      <c r="J378" s="213">
        <f>IF($F378="","",'תחום תמיכה א'!$J378)</f>
        <v>31282</v>
      </c>
      <c r="K378" s="213">
        <f>IF($F378="","",'תחום תמיכה א'!$K378)</f>
        <v>0</v>
      </c>
      <c r="L378" s="213">
        <f t="shared" si="63"/>
        <v>63184</v>
      </c>
      <c r="M378" s="214">
        <f t="shared" si="64"/>
        <v>0.50490630539377057</v>
      </c>
      <c r="N378" s="214">
        <f t="shared" si="65"/>
        <v>0.49509369460622943</v>
      </c>
      <c r="O378" s="213">
        <f t="shared" si="66"/>
        <v>15487.520954672069</v>
      </c>
      <c r="P378" s="213">
        <f>IF($F378="","",'פרמטרים לקריטריונים'!$C$59*O378)</f>
        <v>4646.2562864016209</v>
      </c>
      <c r="Q378" s="214">
        <f t="shared" si="67"/>
        <v>2.6396730474379145E-5</v>
      </c>
      <c r="R378" s="213">
        <f t="shared" si="68"/>
        <v>2639.6730474379146</v>
      </c>
      <c r="S378" s="213">
        <f>IF($F378="","",'הזנה לתנאי סף'!N378)</f>
        <v>1</v>
      </c>
      <c r="T378" s="213">
        <f>IF($F378="","",'הזנה לתנאי סף'!O378)</f>
        <v>0</v>
      </c>
      <c r="U378" s="213">
        <f>IF($F378="","",'תחום תמיכה א'!W378)</f>
        <v>0</v>
      </c>
      <c r="V378" s="213">
        <f>IF($F378="","",'תחום תמיכה א'!X378)</f>
        <v>0</v>
      </c>
      <c r="W378" s="213">
        <f>IF($F378="","",'תחום תמיכה א'!Y378)</f>
        <v>0</v>
      </c>
      <c r="X378" s="231" t="str">
        <f>IF($F378="","",'תחום תמיכה א'!Z378)</f>
        <v/>
      </c>
      <c r="Y378" s="213" t="str">
        <f>IF($F378="","",'תחום תמיכה א'!AA378)</f>
        <v/>
      </c>
      <c r="Z378" s="214" t="str">
        <f>IF($F378="","",'תחום תמיכה א'!AB378)</f>
        <v/>
      </c>
      <c r="AA378" s="225" t="str">
        <f>IF($F378="","",'תחום תמיכה א'!AC378)</f>
        <v/>
      </c>
      <c r="AB378" s="213" t="str">
        <f t="shared" si="69"/>
        <v/>
      </c>
      <c r="AC378" s="213">
        <f t="shared" si="70"/>
        <v>2639.6730474379146</v>
      </c>
      <c r="AD378" s="214">
        <f t="shared" si="71"/>
        <v>2.645466175702129E-5</v>
      </c>
      <c r="AE378" s="213">
        <f t="shared" si="72"/>
        <v>2718.8237816805549</v>
      </c>
      <c r="AF378" s="214">
        <f t="shared" si="73"/>
        <v>2.6454661757021293E-5</v>
      </c>
    </row>
    <row r="379" spans="1:32" ht="15.75" x14ac:dyDescent="0.2">
      <c r="A379" s="206">
        <f t="shared" si="62"/>
        <v>349</v>
      </c>
      <c r="B379" s="88">
        <f>IF($F379="","",'הזנה לתנאי סף'!C379)</f>
        <v>1001350095</v>
      </c>
      <c r="C379" s="88">
        <f>IF($F379="","",'הזנה לתנאי סף'!D379)</f>
        <v>1001271678</v>
      </c>
      <c r="D379" s="88">
        <f>IF($F379="","",'הזנה לתנאי סף'!E379)</f>
        <v>41556504</v>
      </c>
      <c r="E379" s="88">
        <f>IF($F379="","",'הזנה לתנאי סף'!F379)</f>
        <v>20000254</v>
      </c>
      <c r="F379" s="88" t="str">
        <f>IF(OR('הזנה לתנאי סף'!G379="",'הזנה לתנאי סף'!BL379&lt;&gt;1,'הזנה לתנאי סף'!Q379&lt;&gt;1),"",'הזנה לתנאי סף'!G379)</f>
        <v>באר שבע</v>
      </c>
      <c r="G379" s="88" t="str">
        <f>IF($F379="","",'הזנה לתנאי סף'!H379)</f>
        <v>תיאטרון לילדים ולנוער באר - שבע (ע"</v>
      </c>
      <c r="H379" s="88" t="str">
        <f>IF($F379="","",'הזנה לתנאי סף'!I379)</f>
        <v>תיאטרון</v>
      </c>
      <c r="I379" s="213">
        <f>IF($F379="","",'תחום תמיכה א'!$I379)</f>
        <v>0</v>
      </c>
      <c r="J379" s="213">
        <f>IF($F379="","",'תחום תמיכה א'!$J379)</f>
        <v>2974576</v>
      </c>
      <c r="K379" s="213">
        <f>IF($F379="","",'תחום תמיכה א'!$K379)</f>
        <v>0</v>
      </c>
      <c r="L379" s="213">
        <f t="shared" si="63"/>
        <v>2974576</v>
      </c>
      <c r="M379" s="214">
        <f t="shared" si="64"/>
        <v>0</v>
      </c>
      <c r="N379" s="214">
        <f t="shared" si="65"/>
        <v>1</v>
      </c>
      <c r="O379" s="213">
        <f t="shared" si="66"/>
        <v>2974576</v>
      </c>
      <c r="P379" s="213">
        <f>IF($F379="","",'פרמטרים לקריטריונים'!$C$59*O379)</f>
        <v>892372.79999999993</v>
      </c>
      <c r="Q379" s="214">
        <f t="shared" si="67"/>
        <v>5.0698288756064747E-3</v>
      </c>
      <c r="R379" s="213">
        <f t="shared" si="68"/>
        <v>506982.88756064745</v>
      </c>
      <c r="S379" s="213">
        <f>IF($F379="","",'הזנה לתנאי סף'!N379)</f>
        <v>1</v>
      </c>
      <c r="T379" s="213">
        <f>IF($F379="","",'הזנה לתנאי סף'!O379)</f>
        <v>0</v>
      </c>
      <c r="U379" s="213">
        <f>IF($F379="","",'תחום תמיכה א'!W379)</f>
        <v>0</v>
      </c>
      <c r="V379" s="213">
        <f>IF($F379="","",'תחום תמיכה א'!X379)</f>
        <v>0</v>
      </c>
      <c r="W379" s="213">
        <f>IF($F379="","",'תחום תמיכה א'!Y379)</f>
        <v>0</v>
      </c>
      <c r="X379" s="231" t="str">
        <f>IF($F379="","",'תחום תמיכה א'!Z379)</f>
        <v/>
      </c>
      <c r="Y379" s="213" t="str">
        <f>IF($F379="","",'תחום תמיכה א'!AA379)</f>
        <v/>
      </c>
      <c r="Z379" s="214" t="str">
        <f>IF($F379="","",'תחום תמיכה א'!AB379)</f>
        <v/>
      </c>
      <c r="AA379" s="225" t="str">
        <f>IF($F379="","",'תחום תמיכה א'!AC379)</f>
        <v/>
      </c>
      <c r="AB379" s="213" t="str">
        <f t="shared" si="69"/>
        <v/>
      </c>
      <c r="AC379" s="213">
        <f t="shared" si="70"/>
        <v>506982.88756064745</v>
      </c>
      <c r="AD379" s="214">
        <f t="shared" si="71"/>
        <v>5.0809553175658346E-3</v>
      </c>
      <c r="AE379" s="213">
        <f t="shared" si="72"/>
        <v>522184.79593253002</v>
      </c>
      <c r="AF379" s="214">
        <f t="shared" si="73"/>
        <v>5.0809553175658355E-3</v>
      </c>
    </row>
    <row r="380" spans="1:32" ht="15.75" x14ac:dyDescent="0.2">
      <c r="A380" s="206">
        <f t="shared" si="62"/>
        <v>350</v>
      </c>
      <c r="B380" s="88">
        <f>IF($F380="","",'הזנה לתנאי סף'!C380)</f>
        <v>1001350450</v>
      </c>
      <c r="C380" s="88">
        <f>IF($F380="","",'הזנה לתנאי סף'!D380)</f>
        <v>1001288912</v>
      </c>
      <c r="D380" s="88">
        <f>IF($F380="","",'הזנה לתנאי סף'!E380)</f>
        <v>41556986</v>
      </c>
      <c r="E380" s="88">
        <f>IF($F380="","",'הזנה לתנאי סף'!F380)</f>
        <v>20000231</v>
      </c>
      <c r="F380" s="88" t="str">
        <f>IF(OR('הזנה לתנאי סף'!G380="",'הזנה לתנאי סף'!BL380&lt;&gt;1,'הזנה לתנאי סף'!Q380&lt;&gt;1),"",'הזנה לתנאי סף'!G380)</f>
        <v>נצרת</v>
      </c>
      <c r="G380" s="88" t="str">
        <f>IF($F380="","",'הזנה לתנאי סף'!H380)</f>
        <v>עמותת אלמאוכב נצרת (ע"ר)</v>
      </c>
      <c r="H380" s="88" t="str">
        <f>IF($F380="","",'הזנה לתנאי סף'!I380)</f>
        <v>סינמטקים ופסטיבלים</v>
      </c>
      <c r="I380" s="213">
        <f>IF($F380="","",'תחום תמיכה א'!$I380)</f>
        <v>50388</v>
      </c>
      <c r="J380" s="213">
        <f>IF($F380="","",'תחום תמיכה א'!$J380)</f>
        <v>747540</v>
      </c>
      <c r="K380" s="213">
        <f>IF($F380="","",'תחום תמיכה א'!$K380)</f>
        <v>30000</v>
      </c>
      <c r="L380" s="213">
        <f t="shared" si="63"/>
        <v>827928</v>
      </c>
      <c r="M380" s="214">
        <f t="shared" si="64"/>
        <v>6.0860364669391542E-2</v>
      </c>
      <c r="N380" s="214">
        <f t="shared" si="65"/>
        <v>0.93913963533060851</v>
      </c>
      <c r="O380" s="213">
        <f t="shared" si="66"/>
        <v>702044.44299504312</v>
      </c>
      <c r="P380" s="213">
        <f>IF($F380="","",'פרמטרים לקריטריונים'!$C$59*O380)</f>
        <v>210613.33289851292</v>
      </c>
      <c r="Q380" s="214">
        <f t="shared" si="67"/>
        <v>1.196555471790041E-3</v>
      </c>
      <c r="R380" s="213">
        <f t="shared" si="68"/>
        <v>119655.5471790041</v>
      </c>
      <c r="S380" s="213">
        <f>IF($F380="","",'הזנה לתנאי סף'!N380)</f>
        <v>0</v>
      </c>
      <c r="T380" s="213">
        <f>IF($F380="","",'הזנה לתנאי סף'!O380)</f>
        <v>1</v>
      </c>
      <c r="U380" s="213">
        <f>IF($F380="","",'תחום תמיכה א'!W380)</f>
        <v>0</v>
      </c>
      <c r="V380" s="213">
        <f>IF($F380="","",'תחום תמיכה א'!X380)</f>
        <v>0</v>
      </c>
      <c r="W380" s="213">
        <f>IF($F380="","",'תחום תמיכה א'!Y380)</f>
        <v>1</v>
      </c>
      <c r="X380" s="231">
        <f>IF($F380="","",'תחום תמיכה א'!Z380)</f>
        <v>0</v>
      </c>
      <c r="Y380" s="213" t="str">
        <f>IF($F380="","",'תחום תמיכה א'!AA380)</f>
        <v/>
      </c>
      <c r="Z380" s="214" t="str">
        <f>IF($F380="","",'תחום תמיכה א'!AB380)</f>
        <v/>
      </c>
      <c r="AA380" s="225" t="str">
        <f>IF($F380="","",'תחום תמיכה א'!AC380)</f>
        <v/>
      </c>
      <c r="AB380" s="213" t="str">
        <f t="shared" si="69"/>
        <v/>
      </c>
      <c r="AC380" s="213">
        <f t="shared" si="70"/>
        <v>119655.5471790041</v>
      </c>
      <c r="AD380" s="214">
        <f t="shared" si="71"/>
        <v>1.1991814785714699E-3</v>
      </c>
      <c r="AE380" s="213">
        <f t="shared" si="72"/>
        <v>123243.42501281975</v>
      </c>
      <c r="AF380" s="214">
        <f t="shared" si="73"/>
        <v>1.1991814785714703E-3</v>
      </c>
    </row>
    <row r="381" spans="1:32" ht="15.75" x14ac:dyDescent="0.2">
      <c r="A381" s="206">
        <f t="shared" si="62"/>
        <v>351</v>
      </c>
      <c r="B381" s="88">
        <f>IF($F381="","",'הזנה לתנאי סף'!C381)</f>
        <v>1001346583</v>
      </c>
      <c r="C381" s="88">
        <f>IF($F381="","",'הזנה לתנאי סף'!D381)</f>
        <v>1001280079</v>
      </c>
      <c r="D381" s="88">
        <f>IF($F381="","",'הזנה לתנאי סף'!E381)</f>
        <v>41559386</v>
      </c>
      <c r="E381" s="88">
        <f>IF($F381="","",'הזנה לתנאי סף'!F381)</f>
        <v>20000055</v>
      </c>
      <c r="F381" s="88" t="str">
        <f>IF(OR('הזנה לתנאי סף'!G381="",'הזנה לתנאי סף'!BL381&lt;&gt;1,'הזנה לתנאי סף'!Q381&lt;&gt;1),"",'הזנה לתנאי סף'!G381)</f>
        <v>מג'ד אל-כרום</v>
      </c>
      <c r="G381" s="88" t="str">
        <f>IF($F381="","",'הזנה לתנאי סף'!H381)</f>
        <v>אלמדאין גרוב - מג'ד אלכרום (ע"ר)</v>
      </c>
      <c r="H381" s="88" t="str">
        <f>IF($F381="","",'הזנה לתנאי סף'!I381)</f>
        <v>תיאטרון</v>
      </c>
      <c r="I381" s="213">
        <f>IF($F381="","",'תחום תמיכה א'!$I381)</f>
        <v>0</v>
      </c>
      <c r="J381" s="213">
        <f>IF($F381="","",'תחום תמיכה א'!$J381)</f>
        <v>139764</v>
      </c>
      <c r="K381" s="213">
        <f>IF($F381="","",'תחום תמיכה א'!$K381)</f>
        <v>0</v>
      </c>
      <c r="L381" s="213">
        <f t="shared" si="63"/>
        <v>139764</v>
      </c>
      <c r="M381" s="214">
        <f t="shared" si="64"/>
        <v>0</v>
      </c>
      <c r="N381" s="214">
        <f t="shared" si="65"/>
        <v>1</v>
      </c>
      <c r="O381" s="213">
        <f t="shared" si="66"/>
        <v>139764</v>
      </c>
      <c r="P381" s="213">
        <f>IF($F381="","",'פרמטרים לקריטריונים'!$C$59*O381)</f>
        <v>41929.199999999997</v>
      </c>
      <c r="Q381" s="214">
        <f t="shared" si="67"/>
        <v>2.3821195456773109E-4</v>
      </c>
      <c r="R381" s="213">
        <f t="shared" si="68"/>
        <v>23821.195456773108</v>
      </c>
      <c r="S381" s="213">
        <f>IF($F381="","",'הזנה לתנאי סף'!N381)</f>
        <v>0</v>
      </c>
      <c r="T381" s="213">
        <f>IF($F381="","",'הזנה לתנאי סף'!O381)</f>
        <v>1</v>
      </c>
      <c r="U381" s="213">
        <f>IF($F381="","",'תחום תמיכה א'!W381)</f>
        <v>0</v>
      </c>
      <c r="V381" s="213">
        <f>IF($F381="","",'תחום תמיכה א'!X381)</f>
        <v>0</v>
      </c>
      <c r="W381" s="213">
        <f>IF($F381="","",'תחום תמיכה א'!Y381)</f>
        <v>1</v>
      </c>
      <c r="X381" s="231">
        <f>IF($F381="","",'תחום תמיכה א'!Z381)</f>
        <v>0</v>
      </c>
      <c r="Y381" s="213" t="str">
        <f>IF($F381="","",'תחום תמיכה א'!AA381)</f>
        <v/>
      </c>
      <c r="Z381" s="214" t="str">
        <f>IF($F381="","",'תחום תמיכה א'!AB381)</f>
        <v/>
      </c>
      <c r="AA381" s="225" t="str">
        <f>IF($F381="","",'תחום תמיכה א'!AC381)</f>
        <v/>
      </c>
      <c r="AB381" s="213" t="str">
        <f t="shared" si="69"/>
        <v/>
      </c>
      <c r="AC381" s="213">
        <f t="shared" si="70"/>
        <v>23821.195456773108</v>
      </c>
      <c r="AD381" s="214">
        <f t="shared" si="71"/>
        <v>2.3873474370944675E-4</v>
      </c>
      <c r="AE381" s="213">
        <f t="shared" si="72"/>
        <v>24535.475247132406</v>
      </c>
      <c r="AF381" s="214">
        <f t="shared" si="73"/>
        <v>2.387347437094468E-4</v>
      </c>
    </row>
    <row r="382" spans="1:32" ht="15.75" x14ac:dyDescent="0.2">
      <c r="A382" s="206">
        <f t="shared" si="62"/>
        <v>352</v>
      </c>
      <c r="B382" s="88">
        <f>IF($F382="","",'הזנה לתנאי סף'!C382)</f>
        <v>1001348419</v>
      </c>
      <c r="C382" s="88">
        <f>IF($F382="","",'הזנה לתנאי סף'!D382)</f>
        <v>1001302056</v>
      </c>
      <c r="D382" s="88">
        <f>IF($F382="","",'הזנה לתנאי סף'!E382)</f>
        <v>41559387</v>
      </c>
      <c r="E382" s="88">
        <f>IF($F382="","",'הזנה לתנאי סף'!F382)</f>
        <v>20000055</v>
      </c>
      <c r="F382" s="88" t="str">
        <f>IF(OR('הזנה לתנאי סף'!G382="",'הזנה לתנאי סף'!BL382&lt;&gt;1,'הזנה לתנאי סף'!Q382&lt;&gt;1),"",'הזנה לתנאי סף'!G382)</f>
        <v>מג'ד אל-כרום</v>
      </c>
      <c r="G382" s="88" t="str">
        <f>IF($F382="","",'הזנה לתנאי סף'!H382)</f>
        <v>עמותת אדים למוסיקה אומנות ותרבות (ע</v>
      </c>
      <c r="H382" s="88" t="str">
        <f>IF($F382="","",'הזנה לתנאי סף'!I382)</f>
        <v>אחר</v>
      </c>
      <c r="I382" s="213">
        <f>IF($F382="","",'תחום תמיכה א'!$I382)</f>
        <v>0</v>
      </c>
      <c r="J382" s="213">
        <f>IF($F382="","",'תחום תמיכה א'!$J382)</f>
        <v>444001</v>
      </c>
      <c r="K382" s="213">
        <f>IF($F382="","",'תחום תמיכה א'!$K382)</f>
        <v>0</v>
      </c>
      <c r="L382" s="213">
        <f t="shared" si="63"/>
        <v>444001</v>
      </c>
      <c r="M382" s="214">
        <f t="shared" si="64"/>
        <v>0</v>
      </c>
      <c r="N382" s="214">
        <f t="shared" si="65"/>
        <v>1</v>
      </c>
      <c r="O382" s="213">
        <f t="shared" si="66"/>
        <v>444001</v>
      </c>
      <c r="P382" s="213">
        <f>IF($F382="","",'פרמטרים לקריטריונים'!$C$59*O382)</f>
        <v>133200.29999999999</v>
      </c>
      <c r="Q382" s="214">
        <f t="shared" si="67"/>
        <v>7.567495638363754E-4</v>
      </c>
      <c r="R382" s="213">
        <f t="shared" si="68"/>
        <v>75674.956383637546</v>
      </c>
      <c r="S382" s="213">
        <f>IF($F382="","",'הזנה לתנאי סף'!N382)</f>
        <v>0</v>
      </c>
      <c r="T382" s="213">
        <f>IF($F382="","",'הזנה לתנאי סף'!O382)</f>
        <v>1</v>
      </c>
      <c r="U382" s="213">
        <f>IF($F382="","",'תחום תמיכה א'!W382)</f>
        <v>0</v>
      </c>
      <c r="V382" s="213">
        <f>IF($F382="","",'תחום תמיכה א'!X382)</f>
        <v>0</v>
      </c>
      <c r="W382" s="213">
        <f>IF($F382="","",'תחום תמיכה א'!Y382)</f>
        <v>1</v>
      </c>
      <c r="X382" s="231">
        <f>IF($F382="","",'תחום תמיכה א'!Z382)</f>
        <v>0</v>
      </c>
      <c r="Y382" s="213" t="str">
        <f>IF($F382="","",'תחום תמיכה א'!AA382)</f>
        <v/>
      </c>
      <c r="Z382" s="214" t="str">
        <f>IF($F382="","",'תחום תמיכה א'!AB382)</f>
        <v/>
      </c>
      <c r="AA382" s="225" t="str">
        <f>IF($F382="","",'תחום תמיכה א'!AC382)</f>
        <v/>
      </c>
      <c r="AB382" s="213" t="str">
        <f t="shared" si="69"/>
        <v/>
      </c>
      <c r="AC382" s="213">
        <f t="shared" si="70"/>
        <v>75674.956383637546</v>
      </c>
      <c r="AD382" s="214">
        <f t="shared" si="71"/>
        <v>7.5841035561187485E-4</v>
      </c>
      <c r="AE382" s="213">
        <f t="shared" si="72"/>
        <v>77944.073904596575</v>
      </c>
      <c r="AF382" s="214">
        <f t="shared" si="73"/>
        <v>7.5841035561187496E-4</v>
      </c>
    </row>
    <row r="383" spans="1:32" ht="15.75" x14ac:dyDescent="0.2">
      <c r="A383" s="206">
        <f t="shared" si="62"/>
        <v>353</v>
      </c>
      <c r="B383" s="88">
        <f>IF($F383="","",'הזנה לתנאי סף'!C383)</f>
        <v>1001347369</v>
      </c>
      <c r="C383" s="88">
        <f>IF($F383="","",'הזנה לתנאי סף'!D383)</f>
        <v>1001269042</v>
      </c>
      <c r="D383" s="88">
        <f>IF($F383="","",'הזנה לתנאי סף'!E383)</f>
        <v>41604114</v>
      </c>
      <c r="E383" s="88">
        <f>IF($F383="","",'הזנה לתנאי סף'!F383)</f>
        <v>20000201</v>
      </c>
      <c r="F383" s="88" t="str">
        <f>IF(OR('הזנה לתנאי סף'!G383="",'הזנה לתנאי סף'!BL383&lt;&gt;1,'הזנה לתנאי סף'!Q383&lt;&gt;1),"",'הזנה לתנאי סף'!G383)</f>
        <v>תל אביב -יפו</v>
      </c>
      <c r="G383" s="88" t="str">
        <f>IF($F383="","",'הזנה לתנאי סף'!H383)</f>
        <v>העמותה לקונטאקט אימפרוביזציה בישראל</v>
      </c>
      <c r="H383" s="88" t="str">
        <f>IF($F383="","",'הזנה לתנאי סף'!I383)</f>
        <v>אחר</v>
      </c>
      <c r="I383" s="213">
        <f>IF($F383="","",'תחום תמיכה א'!$I383)</f>
        <v>0</v>
      </c>
      <c r="J383" s="213">
        <f>IF($F383="","",'תחום תמיכה א'!$J383)</f>
        <v>324782</v>
      </c>
      <c r="K383" s="213">
        <f>IF($F383="","",'תחום תמיכה א'!$K383)</f>
        <v>0</v>
      </c>
      <c r="L383" s="213">
        <f t="shared" si="63"/>
        <v>324782</v>
      </c>
      <c r="M383" s="214">
        <f t="shared" si="64"/>
        <v>0</v>
      </c>
      <c r="N383" s="214">
        <f t="shared" si="65"/>
        <v>1</v>
      </c>
      <c r="O383" s="213">
        <f t="shared" si="66"/>
        <v>324782</v>
      </c>
      <c r="P383" s="213">
        <f>IF($F383="","",'פרמטרים לקריטריונים'!$C$59*O383)</f>
        <v>97434.599999999991</v>
      </c>
      <c r="Q383" s="214">
        <f t="shared" si="67"/>
        <v>5.5355424163888299E-4</v>
      </c>
      <c r="R383" s="213">
        <f t="shared" si="68"/>
        <v>55355.424163888296</v>
      </c>
      <c r="S383" s="213">
        <f>IF($F383="","",'הזנה לתנאי סף'!N383)</f>
        <v>0</v>
      </c>
      <c r="T383" s="213">
        <f>IF($F383="","",'הזנה לתנאי סף'!O383)</f>
        <v>1</v>
      </c>
      <c r="U383" s="213">
        <f>IF($F383="","",'תחום תמיכה א'!W383)</f>
        <v>0</v>
      </c>
      <c r="V383" s="213">
        <f>IF($F383="","",'תחום תמיכה א'!X383)</f>
        <v>0</v>
      </c>
      <c r="W383" s="213">
        <f>IF($F383="","",'תחום תמיכה א'!Y383)</f>
        <v>1</v>
      </c>
      <c r="X383" s="231">
        <f>IF($F383="","",'תחום תמיכה א'!Z383)</f>
        <v>0</v>
      </c>
      <c r="Y383" s="213" t="str">
        <f>IF($F383="","",'תחום תמיכה א'!AA383)</f>
        <v/>
      </c>
      <c r="Z383" s="214" t="str">
        <f>IF($F383="","",'תחום תמיכה א'!AB383)</f>
        <v/>
      </c>
      <c r="AA383" s="225" t="str">
        <f>IF($F383="","",'תחום תמיכה א'!AC383)</f>
        <v/>
      </c>
      <c r="AB383" s="213" t="str">
        <f t="shared" si="69"/>
        <v/>
      </c>
      <c r="AC383" s="213">
        <f t="shared" si="70"/>
        <v>55355.424163888296</v>
      </c>
      <c r="AD383" s="214">
        <f t="shared" si="71"/>
        <v>5.5476909312442071E-4</v>
      </c>
      <c r="AE383" s="213">
        <f t="shared" si="72"/>
        <v>57015.259449601879</v>
      </c>
      <c r="AF383" s="214">
        <f t="shared" si="73"/>
        <v>5.5476909312442081E-4</v>
      </c>
    </row>
    <row r="384" spans="1:32" ht="15.75" x14ac:dyDescent="0.2">
      <c r="A384" s="206">
        <f t="shared" si="62"/>
        <v>354</v>
      </c>
      <c r="B384" s="88">
        <f>IF($F384="","",'הזנה לתנאי סף'!C384)</f>
        <v>1001350655</v>
      </c>
      <c r="C384" s="88">
        <f>IF($F384="","",'הזנה לתנאי סף'!D384)</f>
        <v>1001273979</v>
      </c>
      <c r="D384" s="88">
        <f>IF($F384="","",'הזנה לתנאי סף'!E384)</f>
        <v>41626750</v>
      </c>
      <c r="E384" s="88">
        <f>IF($F384="","",'הזנה לתנאי סף'!F384)</f>
        <v>20000250</v>
      </c>
      <c r="F384" s="88" t="str">
        <f>IF(OR('הזנה לתנאי סף'!G384="",'הזנה לתנאי סף'!BL384&lt;&gt;1,'הזנה לתנאי סף'!Q384&lt;&gt;1),"",'הזנה לתנאי סף'!G384)</f>
        <v>רמת גן</v>
      </c>
      <c r="G384" s="88" t="str">
        <f>IF($F384="","",'הזנה לתנאי סף'!H384)</f>
        <v>להקת מחול רועי אסף (ע"ר)</v>
      </c>
      <c r="H384" s="88" t="str">
        <f>IF($F384="","",'הזנה לתנאי סף'!I384)</f>
        <v>מחול</v>
      </c>
      <c r="I384" s="213">
        <f>IF($F384="","",'תחום תמיכה א'!$I384)</f>
        <v>109358</v>
      </c>
      <c r="J384" s="213">
        <f>IF($F384="","",'תחום תמיכה א'!$J384)</f>
        <v>314692</v>
      </c>
      <c r="K384" s="213">
        <f>IF($F384="","",'תחום תמיכה א'!$K384)</f>
        <v>0</v>
      </c>
      <c r="L384" s="213">
        <f t="shared" si="63"/>
        <v>424050</v>
      </c>
      <c r="M384" s="214">
        <f t="shared" si="64"/>
        <v>0.25788939983492515</v>
      </c>
      <c r="N384" s="214">
        <f t="shared" si="65"/>
        <v>0.7421106001650748</v>
      </c>
      <c r="O384" s="213">
        <f t="shared" si="66"/>
        <v>233536.26898714772</v>
      </c>
      <c r="P384" s="213">
        <f>IF($F384="","",'פרמטרים לקריטריונים'!$C$59*O384)</f>
        <v>70060.880696144319</v>
      </c>
      <c r="Q384" s="214">
        <f t="shared" si="67"/>
        <v>3.9803619743198438E-4</v>
      </c>
      <c r="R384" s="213">
        <f t="shared" si="68"/>
        <v>39803.61974319844</v>
      </c>
      <c r="S384" s="213">
        <f>IF($F384="","",'הזנה לתנאי סף'!N384)</f>
        <v>0</v>
      </c>
      <c r="T384" s="213">
        <f>IF($F384="","",'הזנה לתנאי סף'!O384)</f>
        <v>1</v>
      </c>
      <c r="U384" s="213">
        <f>IF($F384="","",'תחום תמיכה א'!W384)</f>
        <v>0</v>
      </c>
      <c r="V384" s="213">
        <f>IF($F384="","",'תחום תמיכה א'!X384)</f>
        <v>0</v>
      </c>
      <c r="W384" s="213">
        <f>IF($F384="","",'תחום תמיכה א'!Y384)</f>
        <v>1</v>
      </c>
      <c r="X384" s="231">
        <f>IF($F384="","",'תחום תמיכה א'!Z384)</f>
        <v>0</v>
      </c>
      <c r="Y384" s="213" t="str">
        <f>IF($F384="","",'תחום תמיכה א'!AA384)</f>
        <v/>
      </c>
      <c r="Z384" s="214" t="str">
        <f>IF($F384="","",'תחום תמיכה א'!AB384)</f>
        <v/>
      </c>
      <c r="AA384" s="225" t="str">
        <f>IF($F384="","",'תחום תמיכה א'!AC384)</f>
        <v/>
      </c>
      <c r="AB384" s="213" t="str">
        <f t="shared" si="69"/>
        <v/>
      </c>
      <c r="AC384" s="213">
        <f t="shared" si="70"/>
        <v>39803.61974319844</v>
      </c>
      <c r="AD384" s="214">
        <f t="shared" si="71"/>
        <v>3.9890974302042825E-4</v>
      </c>
      <c r="AE384" s="213">
        <f t="shared" si="72"/>
        <v>40997.133360821237</v>
      </c>
      <c r="AF384" s="214">
        <f t="shared" si="73"/>
        <v>3.9890974302042836E-4</v>
      </c>
    </row>
    <row r="385" spans="1:32" ht="15.75" x14ac:dyDescent="0.2">
      <c r="A385" s="206">
        <f t="shared" si="62"/>
        <v>355</v>
      </c>
      <c r="B385" s="88">
        <f>IF($F385="","",'הזנה לתנאי סף'!C385)</f>
        <v>1001347018</v>
      </c>
      <c r="C385" s="88">
        <f>IF($F385="","",'הזנה לתנאי סף'!D385)</f>
        <v>1001271538</v>
      </c>
      <c r="D385" s="88">
        <f>IF($F385="","",'הזנה לתנאי סף'!E385)</f>
        <v>41627319</v>
      </c>
      <c r="E385" s="88">
        <f>IF($F385="","",'הזנה לתנאי סף'!F385)</f>
        <v>20000159</v>
      </c>
      <c r="F385" s="88" t="str">
        <f>IF(OR('הזנה לתנאי סף'!G385="",'הזנה לתנאי סף'!BL385&lt;&gt;1,'הזנה לתנאי סף'!Q385&lt;&gt;1),"",'הזנה לתנאי סף'!G385)</f>
        <v>ירושלים</v>
      </c>
      <c r="G385" s="88" t="str">
        <f>IF($F385="","",'הזנה לתנאי סף'!H385)</f>
        <v>ק.ט.מ.ו.ן - קבוצת מחול בירושלים (ע'</v>
      </c>
      <c r="H385" s="88" t="str">
        <f>IF($F385="","",'הזנה לתנאי סף'!I385)</f>
        <v>מחול</v>
      </c>
      <c r="I385" s="213">
        <f>IF($F385="","",'תחום תמיכה א'!$I385)</f>
        <v>150288</v>
      </c>
      <c r="J385" s="213">
        <f>IF($F385="","",'תחום תמיכה א'!$J385)</f>
        <v>200209</v>
      </c>
      <c r="K385" s="213">
        <f>IF($F385="","",'תחום תמיכה א'!$K385)</f>
        <v>0</v>
      </c>
      <c r="L385" s="213">
        <f t="shared" si="63"/>
        <v>350497</v>
      </c>
      <c r="M385" s="214">
        <f t="shared" si="64"/>
        <v>0.428785410431473</v>
      </c>
      <c r="N385" s="214">
        <f t="shared" si="65"/>
        <v>0.571214589568527</v>
      </c>
      <c r="O385" s="213">
        <f t="shared" si="66"/>
        <v>114362.30176292523</v>
      </c>
      <c r="P385" s="213">
        <f>IF($F385="","",'פרמטרים לקריטריונים'!$C$59*O385)</f>
        <v>34308.690528877567</v>
      </c>
      <c r="Q385" s="214">
        <f t="shared" si="67"/>
        <v>1.9491762851529077E-4</v>
      </c>
      <c r="R385" s="213">
        <f t="shared" si="68"/>
        <v>19491.762851529078</v>
      </c>
      <c r="S385" s="213">
        <f>IF($F385="","",'הזנה לתנאי סף'!N385)</f>
        <v>1</v>
      </c>
      <c r="T385" s="213">
        <f>IF($F385="","",'הזנה לתנאי סף'!O385)</f>
        <v>0</v>
      </c>
      <c r="U385" s="213">
        <f>IF($F385="","",'תחום תמיכה א'!W385)</f>
        <v>0</v>
      </c>
      <c r="V385" s="213">
        <f>IF($F385="","",'תחום תמיכה א'!X385)</f>
        <v>0</v>
      </c>
      <c r="W385" s="213">
        <f>IF($F385="","",'תחום תמיכה א'!Y385)</f>
        <v>0</v>
      </c>
      <c r="X385" s="231" t="str">
        <f>IF($F385="","",'תחום תמיכה א'!Z385)</f>
        <v/>
      </c>
      <c r="Y385" s="213" t="str">
        <f>IF($F385="","",'תחום תמיכה א'!AA385)</f>
        <v/>
      </c>
      <c r="Z385" s="214" t="str">
        <f>IF($F385="","",'תחום תמיכה א'!AB385)</f>
        <v/>
      </c>
      <c r="AA385" s="225" t="str">
        <f>IF($F385="","",'תחום תמיכה א'!AC385)</f>
        <v/>
      </c>
      <c r="AB385" s="213" t="str">
        <f t="shared" si="69"/>
        <v/>
      </c>
      <c r="AC385" s="213">
        <f t="shared" si="70"/>
        <v>19491.762851529078</v>
      </c>
      <c r="AD385" s="214">
        <f t="shared" si="71"/>
        <v>1.9534540225948289E-4</v>
      </c>
      <c r="AE385" s="213">
        <f t="shared" si="72"/>
        <v>20076.224379019914</v>
      </c>
      <c r="AF385" s="214">
        <f t="shared" si="73"/>
        <v>1.9534540225948295E-4</v>
      </c>
    </row>
    <row r="386" spans="1:32" ht="15.75" x14ac:dyDescent="0.2">
      <c r="A386" s="206">
        <f t="shared" si="62"/>
        <v>356</v>
      </c>
      <c r="B386" s="88">
        <f>IF($F386="","",'הזנה לתנאי סף'!C386)</f>
        <v>1001348655</v>
      </c>
      <c r="C386" s="88">
        <f>IF($F386="","",'הזנה לתנאי סף'!D386)</f>
        <v>1001266859</v>
      </c>
      <c r="D386" s="88">
        <f>IF($F386="","",'הזנה לתנאי סף'!E386)</f>
        <v>41633210</v>
      </c>
      <c r="E386" s="88">
        <f>IF($F386="","",'הזנה לתנאי סף'!F386)</f>
        <v>20000052</v>
      </c>
      <c r="F386" s="88" t="str">
        <f>IF(OR('הזנה לתנאי סף'!G386="",'הזנה לתנאי סף'!BL386&lt;&gt;1,'הזנה לתנאי סף'!Q386&lt;&gt;1),"",'הזנה לתנאי סף'!G386)</f>
        <v>כפר כנא</v>
      </c>
      <c r="G386" s="88" t="str">
        <f>IF($F386="","",'הזנה לתנאי סף'!H386)</f>
        <v>סול (ע''ר)</v>
      </c>
      <c r="H386" s="88" t="str">
        <f>IF($F386="","",'הזנה לתנאי סף'!I386)</f>
        <v>אחר</v>
      </c>
      <c r="I386" s="213">
        <f>IF($F386="","",'תחום תמיכה א'!$I386)</f>
        <v>0</v>
      </c>
      <c r="J386" s="213">
        <f>IF($F386="","",'תחום תמיכה א'!$J386)</f>
        <v>212774</v>
      </c>
      <c r="K386" s="213">
        <f>IF($F386="","",'תחום תמיכה א'!$K386)</f>
        <v>0</v>
      </c>
      <c r="L386" s="213">
        <f t="shared" si="63"/>
        <v>212774</v>
      </c>
      <c r="M386" s="214">
        <f t="shared" si="64"/>
        <v>0</v>
      </c>
      <c r="N386" s="214">
        <f t="shared" si="65"/>
        <v>1</v>
      </c>
      <c r="O386" s="213">
        <f t="shared" si="66"/>
        <v>212774</v>
      </c>
      <c r="P386" s="213">
        <f>IF($F386="","",'פרמטרים לקריטריונים'!$C$59*O386)</f>
        <v>63832.2</v>
      </c>
      <c r="Q386" s="214">
        <f t="shared" si="67"/>
        <v>3.626492546091584E-4</v>
      </c>
      <c r="R386" s="213">
        <f t="shared" si="68"/>
        <v>36264.925460915838</v>
      </c>
      <c r="S386" s="213">
        <f>IF($F386="","",'הזנה לתנאי סף'!N386)</f>
        <v>0</v>
      </c>
      <c r="T386" s="213">
        <f>IF($F386="","",'הזנה לתנאי סף'!O386)</f>
        <v>1</v>
      </c>
      <c r="U386" s="213">
        <f>IF($F386="","",'תחום תמיכה א'!W386)</f>
        <v>0</v>
      </c>
      <c r="V386" s="213">
        <f>IF($F386="","",'תחום תמיכה א'!X386)</f>
        <v>0</v>
      </c>
      <c r="W386" s="213">
        <f>IF($F386="","",'תחום תמיכה א'!Y386)</f>
        <v>1</v>
      </c>
      <c r="X386" s="231">
        <f>IF($F386="","",'תחום תמיכה א'!Z386)</f>
        <v>0</v>
      </c>
      <c r="Y386" s="213" t="str">
        <f>IF($F386="","",'תחום תמיכה א'!AA386)</f>
        <v/>
      </c>
      <c r="Z386" s="214" t="str">
        <f>IF($F386="","",'תחום תמיכה א'!AB386)</f>
        <v/>
      </c>
      <c r="AA386" s="225" t="str">
        <f>IF($F386="","",'תחום תמיכה א'!AC386)</f>
        <v/>
      </c>
      <c r="AB386" s="213" t="str">
        <f t="shared" si="69"/>
        <v/>
      </c>
      <c r="AC386" s="213">
        <f t="shared" si="70"/>
        <v>36264.925460915838</v>
      </c>
      <c r="AD386" s="214">
        <f t="shared" si="71"/>
        <v>3.6344513864824859E-4</v>
      </c>
      <c r="AE386" s="213">
        <f t="shared" si="72"/>
        <v>37352.331145597942</v>
      </c>
      <c r="AF386" s="214">
        <f t="shared" si="73"/>
        <v>3.6344513864824875E-4</v>
      </c>
    </row>
    <row r="387" spans="1:32" ht="15.75" x14ac:dyDescent="0.2">
      <c r="A387" s="206">
        <f t="shared" si="62"/>
        <v>357</v>
      </c>
      <c r="B387" s="88">
        <f>IF($F387="","",'הזנה לתנאי סף'!C387)</f>
        <v>1001347153</v>
      </c>
      <c r="C387" s="88">
        <f>IF($F387="","",'הזנה לתנאי סף'!D387)</f>
        <v>1001280237</v>
      </c>
      <c r="D387" s="88">
        <f>IF($F387="","",'הזנה לתנאי סף'!E387)</f>
        <v>41634844</v>
      </c>
      <c r="E387" s="88">
        <f>IF($F387="","",'הזנה לתנאי סף'!F387)</f>
        <v>20000201</v>
      </c>
      <c r="F387" s="88" t="str">
        <f>IF(OR('הזנה לתנאי סף'!G387="",'הזנה לתנאי סף'!BL387&lt;&gt;1,'הזנה לתנאי סף'!Q387&lt;&gt;1),"",'הזנה לתנאי סף'!G387)</f>
        <v>תל אביב -יפו</v>
      </c>
      <c r="G387" s="88" t="str">
        <f>IF($F387="","",'הזנה לתנאי סף'!H387)</f>
        <v>האורקסטרה - תזמורת הג'אז הישראלית (</v>
      </c>
      <c r="H387" s="88" t="str">
        <f>IF($F387="","",'הזנה לתנאי סף'!I387)</f>
        <v>אחר</v>
      </c>
      <c r="I387" s="213">
        <f>IF($F387="","",'תחום תמיכה א'!$I387)</f>
        <v>280000</v>
      </c>
      <c r="J387" s="213">
        <f>IF($F387="","",'תחום תמיכה א'!$J387)</f>
        <v>98579</v>
      </c>
      <c r="K387" s="213">
        <f>IF($F387="","",'תחום תמיכה א'!$K387)</f>
        <v>0</v>
      </c>
      <c r="L387" s="213">
        <f t="shared" si="63"/>
        <v>378579</v>
      </c>
      <c r="M387" s="214">
        <f t="shared" si="64"/>
        <v>0.73960784935244694</v>
      </c>
      <c r="N387" s="214">
        <f t="shared" si="65"/>
        <v>0.26039215064755306</v>
      </c>
      <c r="O387" s="213">
        <f t="shared" si="66"/>
        <v>25669.197818685134</v>
      </c>
      <c r="P387" s="213">
        <f>IF($F387="","",'פרמטרים לקריטריונים'!$C$59*O387)</f>
        <v>7700.7593456055401</v>
      </c>
      <c r="Q387" s="214">
        <f t="shared" si="67"/>
        <v>4.3750248880789946E-5</v>
      </c>
      <c r="R387" s="213">
        <f t="shared" si="68"/>
        <v>4375.024888078995</v>
      </c>
      <c r="S387" s="213">
        <f>IF($F387="","",'הזנה לתנאי סף'!N387)</f>
        <v>0</v>
      </c>
      <c r="T387" s="213">
        <f>IF($F387="","",'הזנה לתנאי סף'!O387)</f>
        <v>1</v>
      </c>
      <c r="U387" s="213">
        <f>IF($F387="","",'תחום תמיכה א'!W387)</f>
        <v>0</v>
      </c>
      <c r="V387" s="213">
        <f>IF($F387="","",'תחום תמיכה א'!X387)</f>
        <v>0</v>
      </c>
      <c r="W387" s="213">
        <f>IF($F387="","",'תחום תמיכה א'!Y387)</f>
        <v>1</v>
      </c>
      <c r="X387" s="231">
        <f>IF($F387="","",'תחום תמיכה א'!Z387)</f>
        <v>0</v>
      </c>
      <c r="Y387" s="213" t="str">
        <f>IF($F387="","",'תחום תמיכה א'!AA387)</f>
        <v/>
      </c>
      <c r="Z387" s="214" t="str">
        <f>IF($F387="","",'תחום תמיכה א'!AB387)</f>
        <v/>
      </c>
      <c r="AA387" s="225" t="str">
        <f>IF($F387="","",'תחום תמיכה א'!AC387)</f>
        <v/>
      </c>
      <c r="AB387" s="213" t="str">
        <f t="shared" si="69"/>
        <v/>
      </c>
      <c r="AC387" s="213">
        <f t="shared" si="70"/>
        <v>4375.024888078995</v>
      </c>
      <c r="AD387" s="214">
        <f t="shared" si="71"/>
        <v>4.3846264864134443E-5</v>
      </c>
      <c r="AE387" s="213">
        <f t="shared" si="72"/>
        <v>4506.2102379303287</v>
      </c>
      <c r="AF387" s="214">
        <f t="shared" si="73"/>
        <v>4.3846264864134457E-5</v>
      </c>
    </row>
    <row r="388" spans="1:32" ht="15.75" x14ac:dyDescent="0.2">
      <c r="A388" s="206">
        <f t="shared" si="62"/>
        <v>358</v>
      </c>
      <c r="B388" s="88">
        <f>IF($F388="","",'הזנה לתנאי סף'!C388)</f>
        <v>1001350425</v>
      </c>
      <c r="C388" s="88">
        <f>IF($F388="","",'הזנה לתנאי סף'!D388)</f>
        <v>1001302446</v>
      </c>
      <c r="D388" s="88">
        <f>IF($F388="","",'הזנה לתנאי סף'!E388)</f>
        <v>40528079</v>
      </c>
      <c r="E388" s="88">
        <f>IF($F388="","",'הזנה לתנאי סף'!F388)</f>
        <v>20000201</v>
      </c>
      <c r="F388" s="88" t="str">
        <f>IF(OR('הזנה לתנאי סף'!G388="",'הזנה לתנאי סף'!BL388&lt;&gt;1,'הזנה לתנאי סף'!Q388&lt;&gt;1),"",'הזנה לתנאי סף'!G388)</f>
        <v>תל אביב -יפו</v>
      </c>
      <c r="G388" s="88" t="str">
        <f>IF($F388="","",'הזנה לתנאי סף'!H388)</f>
        <v>"קבוצת עבודה" - עמותה ליצירה וקידום</v>
      </c>
      <c r="H388" s="88" t="str">
        <f>IF($F388="","",'הזנה לתנאי סף'!I388)</f>
        <v>קבוצות תיאטרון</v>
      </c>
      <c r="I388" s="213">
        <f>IF($F388="","",'תחום תמיכה א'!$I388)</f>
        <v>180902</v>
      </c>
      <c r="J388" s="213">
        <f>IF($F388="","",'תחום תמיכה א'!$J388)</f>
        <v>117832</v>
      </c>
      <c r="K388" s="213">
        <f>IF($F388="","",'תחום תמיכה א'!$K388)</f>
        <v>0</v>
      </c>
      <c r="L388" s="213">
        <f t="shared" si="63"/>
        <v>298734</v>
      </c>
      <c r="M388" s="214">
        <f t="shared" si="64"/>
        <v>0.60556213889279431</v>
      </c>
      <c r="N388" s="214">
        <f t="shared" si="65"/>
        <v>0.39443786110720569</v>
      </c>
      <c r="O388" s="213">
        <f t="shared" si="66"/>
        <v>46477.402049984259</v>
      </c>
      <c r="P388" s="213">
        <f>IF($F388="","",'פרמטרים לקריטריונים'!$C$59*O388)</f>
        <v>13943.220614995278</v>
      </c>
      <c r="Q388" s="214">
        <f t="shared" si="67"/>
        <v>7.921548313984304E-5</v>
      </c>
      <c r="R388" s="213">
        <f t="shared" si="68"/>
        <v>7921.5483139843036</v>
      </c>
      <c r="S388" s="213">
        <f>IF($F388="","",'הזנה לתנאי סף'!N388)</f>
        <v>0</v>
      </c>
      <c r="T388" s="213">
        <f>IF($F388="","",'הזנה לתנאי סף'!O388)</f>
        <v>1</v>
      </c>
      <c r="U388" s="213">
        <f>IF($F388="","",'תחום תמיכה א'!W388)</f>
        <v>0</v>
      </c>
      <c r="V388" s="213">
        <f>IF($F388="","",'תחום תמיכה א'!X388)</f>
        <v>18000</v>
      </c>
      <c r="W388" s="213">
        <f>IF($F388="","",'תחום תמיכה א'!Y388)</f>
        <v>1</v>
      </c>
      <c r="X388" s="231">
        <f>IF($F388="","",'תחום תמיכה א'!Z388)</f>
        <v>0</v>
      </c>
      <c r="Y388" s="213" t="str">
        <f>IF($F388="","",'תחום תמיכה א'!AA388)</f>
        <v/>
      </c>
      <c r="Z388" s="214" t="str">
        <f>IF($F388="","",'תחום תמיכה א'!AB388)</f>
        <v/>
      </c>
      <c r="AA388" s="225" t="str">
        <f>IF($F388="","",'תחום תמיכה א'!AC388)</f>
        <v/>
      </c>
      <c r="AB388" s="213" t="str">
        <f t="shared" si="69"/>
        <v/>
      </c>
      <c r="AC388" s="213">
        <f t="shared" si="70"/>
        <v>7921.5483139843036</v>
      </c>
      <c r="AD388" s="214">
        <f t="shared" si="71"/>
        <v>7.938933249394627E-5</v>
      </c>
      <c r="AE388" s="213">
        <f t="shared" si="72"/>
        <v>8159.0763540569087</v>
      </c>
      <c r="AF388" s="214">
        <f t="shared" si="73"/>
        <v>7.9389332493946297E-5</v>
      </c>
    </row>
    <row r="389" spans="1:32" ht="15.75" x14ac:dyDescent="0.2">
      <c r="A389" s="206">
        <f t="shared" si="62"/>
        <v>359</v>
      </c>
      <c r="B389" s="88">
        <f>IF($F389="","",'הזנה לתנאי סף'!C389)</f>
        <v>1001350430</v>
      </c>
      <c r="C389" s="88">
        <f>IF($F389="","",'הזנה לתנאי סף'!D389)</f>
        <v>1001302428</v>
      </c>
      <c r="D389" s="88">
        <f>IF($F389="","",'הזנה לתנאי סף'!E389)</f>
        <v>40528079</v>
      </c>
      <c r="E389" s="88">
        <f>IF($F389="","",'הזנה לתנאי סף'!F389)</f>
        <v>20000201</v>
      </c>
      <c r="F389" s="88" t="str">
        <f>IF(OR('הזנה לתנאי סף'!G389="",'הזנה לתנאי סף'!BL389&lt;&gt;1,'הזנה לתנאי סף'!Q389&lt;&gt;1),"",'הזנה לתנאי סף'!G389)</f>
        <v>תל אביב -יפו</v>
      </c>
      <c r="G389" s="88" t="str">
        <f>IF($F389="","",'הזנה לתנאי סף'!H389)</f>
        <v>"קבוצת עבודה" - עמותה ליצירה וקידום</v>
      </c>
      <c r="H389" s="88" t="str">
        <f>IF($F389="","",'הזנה לתנאי סף'!I389)</f>
        <v>אחר</v>
      </c>
      <c r="I389" s="213">
        <f>IF($F389="","",'תחום תמיכה א'!$I389)</f>
        <v>59063</v>
      </c>
      <c r="J389" s="213">
        <f>IF($F389="","",'תחום תמיכה א'!$J389)</f>
        <v>19740</v>
      </c>
      <c r="K389" s="213">
        <f>IF($F389="","",'תחום תמיכה א'!$K389)</f>
        <v>0</v>
      </c>
      <c r="L389" s="213">
        <f t="shared" si="63"/>
        <v>78803</v>
      </c>
      <c r="M389" s="214">
        <f t="shared" si="64"/>
        <v>0.7495019225156403</v>
      </c>
      <c r="N389" s="214">
        <f t="shared" si="65"/>
        <v>0.2504980774843597</v>
      </c>
      <c r="O389" s="213">
        <f t="shared" si="66"/>
        <v>4944.8320495412609</v>
      </c>
      <c r="P389" s="213">
        <f>IF($F389="","",'פרמטרים לקריטריונים'!$C$59*O389)</f>
        <v>1483.4496148623782</v>
      </c>
      <c r="Q389" s="214">
        <f t="shared" si="67"/>
        <v>8.4279078126726731E-6</v>
      </c>
      <c r="R389" s="213">
        <f t="shared" si="68"/>
        <v>842.79078126726733</v>
      </c>
      <c r="S389" s="213">
        <f>IF($F389="","",'הזנה לתנאי סף'!N389)</f>
        <v>0</v>
      </c>
      <c r="T389" s="213">
        <f>IF($F389="","",'הזנה לתנאי סף'!O389)</f>
        <v>1</v>
      </c>
      <c r="U389" s="213">
        <f>IF($F389="","",'תחום תמיכה א'!W389)</f>
        <v>0</v>
      </c>
      <c r="V389" s="213">
        <f>IF($F389="","",'תחום תמיכה א'!X389)</f>
        <v>18000</v>
      </c>
      <c r="W389" s="213">
        <f>IF($F389="","",'תחום תמיכה א'!Y389)</f>
        <v>1</v>
      </c>
      <c r="X389" s="231">
        <f>IF($F389="","",'תחום תמיכה א'!Z389)</f>
        <v>0</v>
      </c>
      <c r="Y389" s="213" t="str">
        <f>IF($F389="","",'תחום תמיכה א'!AA389)</f>
        <v/>
      </c>
      <c r="Z389" s="214" t="str">
        <f>IF($F389="","",'תחום תמיכה א'!AB389)</f>
        <v/>
      </c>
      <c r="AA389" s="225" t="str">
        <f>IF($F389="","",'תחום תמיכה א'!AC389)</f>
        <v/>
      </c>
      <c r="AB389" s="213" t="str">
        <f t="shared" si="69"/>
        <v/>
      </c>
      <c r="AC389" s="213">
        <f t="shared" si="70"/>
        <v>842.79078126726733</v>
      </c>
      <c r="AD389" s="214">
        <f t="shared" si="71"/>
        <v>8.4464040241656741E-6</v>
      </c>
      <c r="AE389" s="213">
        <f t="shared" si="72"/>
        <v>868.06190687692549</v>
      </c>
      <c r="AF389" s="214">
        <f t="shared" si="73"/>
        <v>8.4464040241656757E-6</v>
      </c>
    </row>
    <row r="390" spans="1:32" ht="15.75" x14ac:dyDescent="0.2">
      <c r="A390" s="206">
        <f t="shared" si="62"/>
        <v>360</v>
      </c>
      <c r="B390" s="88">
        <f>IF($F390="","",'הזנה לתנאי סף'!C390)</f>
        <v>1001351067</v>
      </c>
      <c r="C390" s="88">
        <f>IF($F390="","",'הזנה לתנאי סף'!D390)</f>
        <v>1001268525</v>
      </c>
      <c r="D390" s="88">
        <f>IF($F390="","",'הזנה לתנאי סף'!E390)</f>
        <v>40001704</v>
      </c>
      <c r="E390" s="88">
        <f>IF($F390="","",'הזנה לתנאי סף'!F390)</f>
        <v>20000261</v>
      </c>
      <c r="F390" s="88" t="str">
        <f>IF(OR('הזנה לתנאי סף'!G390="",'הזנה לתנאי סף'!BL390&lt;&gt;1,'הזנה לתנאי סף'!Q390&lt;&gt;1),"",'הזנה לתנאי סף'!G390)</f>
        <v>הוד השרון</v>
      </c>
      <c r="G390" s="88" t="str">
        <f>IF($F390="","",'הזנה לתנאי סף'!H390)</f>
        <v>מרכז ישראלי למקהלות ולחבורות זמר (ע</v>
      </c>
      <c r="H390" s="88" t="str">
        <f>IF($F390="","",'הזנה לתנאי סף'!I390)</f>
        <v>אחר</v>
      </c>
      <c r="I390" s="213">
        <f>IF($F390="","",'תחום תמיכה א'!$I390)</f>
        <v>26447</v>
      </c>
      <c r="J390" s="213">
        <f>IF($F390="","",'תחום תמיכה א'!$J390)</f>
        <v>113548</v>
      </c>
      <c r="K390" s="213">
        <f>IF($F390="","",'תחום תמיכה א'!$K390)</f>
        <v>0</v>
      </c>
      <c r="L390" s="213">
        <f t="shared" si="63"/>
        <v>139995</v>
      </c>
      <c r="M390" s="214">
        <f t="shared" si="64"/>
        <v>0.18891388978177792</v>
      </c>
      <c r="N390" s="214">
        <f t="shared" si="65"/>
        <v>0.81108611021822208</v>
      </c>
      <c r="O390" s="213">
        <f t="shared" si="66"/>
        <v>92097.205643058682</v>
      </c>
      <c r="P390" s="213">
        <f>IF($F390="","",'פרמטרים לקריטריונים'!$C$59*O390)</f>
        <v>27629.161692917605</v>
      </c>
      <c r="Q390" s="214">
        <f t="shared" si="67"/>
        <v>1.569692865577637E-4</v>
      </c>
      <c r="R390" s="213">
        <f t="shared" si="68"/>
        <v>15696.92865577637</v>
      </c>
      <c r="S390" s="213">
        <f>IF($F390="","",'הזנה לתנאי סף'!N390)</f>
        <v>0</v>
      </c>
      <c r="T390" s="213">
        <f>IF($F390="","",'הזנה לתנאי סף'!O390)</f>
        <v>1</v>
      </c>
      <c r="U390" s="213">
        <f>IF($F390="","",'תחום תמיכה א'!W390)</f>
        <v>0</v>
      </c>
      <c r="V390" s="213">
        <f>IF($F390="","",'תחום תמיכה א'!X390)</f>
        <v>0</v>
      </c>
      <c r="W390" s="213">
        <f>IF($F390="","",'תחום תמיכה א'!Y390)</f>
        <v>1</v>
      </c>
      <c r="X390" s="231">
        <f>IF($F390="","",'תחום תמיכה א'!Z390)</f>
        <v>0</v>
      </c>
      <c r="Y390" s="213" t="str">
        <f>IF($F390="","",'תחום תמיכה א'!AA390)</f>
        <v/>
      </c>
      <c r="Z390" s="214" t="str">
        <f>IF($F390="","",'תחום תמיכה א'!AB390)</f>
        <v/>
      </c>
      <c r="AA390" s="225" t="str">
        <f>IF($F390="","",'תחום תמיכה א'!AC390)</f>
        <v/>
      </c>
      <c r="AB390" s="213" t="str">
        <f t="shared" si="69"/>
        <v/>
      </c>
      <c r="AC390" s="213">
        <f t="shared" si="70"/>
        <v>15696.92865577637</v>
      </c>
      <c r="AD390" s="214">
        <f t="shared" si="71"/>
        <v>1.5731377740728535E-4</v>
      </c>
      <c r="AE390" s="213">
        <f t="shared" si="72"/>
        <v>16167.601881638546</v>
      </c>
      <c r="AF390" s="214">
        <f t="shared" si="73"/>
        <v>1.573137774072854E-4</v>
      </c>
    </row>
    <row r="391" spans="1:32" ht="15.75" x14ac:dyDescent="0.2">
      <c r="A391" s="206">
        <f t="shared" si="62"/>
        <v>361</v>
      </c>
      <c r="B391" s="88">
        <f>IF($F391="","",'הזנה לתנאי סף'!C391)</f>
        <v>1001349845</v>
      </c>
      <c r="C391" s="88">
        <f>IF($F391="","",'הזנה לתנאי סף'!D391)</f>
        <v>1001302427</v>
      </c>
      <c r="D391" s="88">
        <f>IF($F391="","",'הזנה לתנאי סף'!E391)</f>
        <v>40000242</v>
      </c>
      <c r="E391" s="88">
        <f>IF($F391="","",'הזנה לתנאי סף'!F391)</f>
        <v>20000159</v>
      </c>
      <c r="F391" s="88" t="str">
        <f>IF(OR('הזנה לתנאי סף'!G391="",'הזנה לתנאי סף'!BL391&lt;&gt;1,'הזנה לתנאי סף'!Q391&lt;&gt;1),"",'הזנה לתנאי סף'!G391)</f>
        <v>ירושלים</v>
      </c>
      <c r="G391" s="88" t="str">
        <f>IF($F391="","",'הזנה לתנאי סף'!H391)</f>
        <v>הזירה הבין-תחומית (ע"ר)</v>
      </c>
      <c r="H391" s="88" t="str">
        <f>IF($F391="","",'הזנה לתנאי סף'!I391)</f>
        <v>ספרות</v>
      </c>
      <c r="I391" s="213">
        <f>IF($F391="","",'תחום תמיכה א'!$I391)</f>
        <v>64963</v>
      </c>
      <c r="J391" s="213">
        <f>IF($F391="","",'תחום תמיכה א'!$J391)</f>
        <v>22000</v>
      </c>
      <c r="K391" s="213">
        <f>IF($F391="","",'תחום תמיכה א'!$K391)</f>
        <v>0</v>
      </c>
      <c r="L391" s="213">
        <f t="shared" si="63"/>
        <v>86963</v>
      </c>
      <c r="M391" s="214">
        <f t="shared" si="64"/>
        <v>0.74701884709589139</v>
      </c>
      <c r="N391" s="214">
        <f t="shared" si="65"/>
        <v>0.25298115290410861</v>
      </c>
      <c r="O391" s="213">
        <f t="shared" si="66"/>
        <v>5565.5853638903891</v>
      </c>
      <c r="P391" s="213">
        <f>IF($F391="","",'פרמטרים לקריטריונים'!$C$59*O391)</f>
        <v>1669.6756091671166</v>
      </c>
      <c r="Q391" s="214">
        <f t="shared" si="67"/>
        <v>9.4859117358252955E-6</v>
      </c>
      <c r="R391" s="213">
        <f t="shared" si="68"/>
        <v>948.59117358252956</v>
      </c>
      <c r="S391" s="213">
        <f>IF($F391="","",'הזנה לתנאי סף'!N391)</f>
        <v>1</v>
      </c>
      <c r="T391" s="213">
        <f>IF($F391="","",'הזנה לתנאי סף'!O391)</f>
        <v>0</v>
      </c>
      <c r="U391" s="213">
        <f>IF($F391="","",'תחום תמיכה א'!W391)</f>
        <v>0</v>
      </c>
      <c r="V391" s="213">
        <f>IF($F391="","",'תחום תמיכה א'!X391)</f>
        <v>0</v>
      </c>
      <c r="W391" s="213">
        <f>IF($F391="","",'תחום תמיכה א'!Y391)</f>
        <v>0</v>
      </c>
      <c r="X391" s="231" t="str">
        <f>IF($F391="","",'תחום תמיכה א'!Z391)</f>
        <v/>
      </c>
      <c r="Y391" s="213" t="str">
        <f>IF($F391="","",'תחום תמיכה א'!AA391)</f>
        <v/>
      </c>
      <c r="Z391" s="214" t="str">
        <f>IF($F391="","",'תחום תמיכה א'!AB391)</f>
        <v/>
      </c>
      <c r="AA391" s="225" t="str">
        <f>IF($F391="","",'תחום תמיכה א'!AC391)</f>
        <v/>
      </c>
      <c r="AB391" s="213" t="str">
        <f t="shared" si="69"/>
        <v/>
      </c>
      <c r="AC391" s="213">
        <f t="shared" si="70"/>
        <v>948.59117358252956</v>
      </c>
      <c r="AD391" s="214">
        <f t="shared" si="71"/>
        <v>9.5067298835280912E-6</v>
      </c>
      <c r="AE391" s="213">
        <f t="shared" si="72"/>
        <v>977.03472948352271</v>
      </c>
      <c r="AF391" s="214">
        <f t="shared" si="73"/>
        <v>9.5067298835280929E-6</v>
      </c>
    </row>
    <row r="392" spans="1:32" ht="15.75" x14ac:dyDescent="0.2">
      <c r="A392" s="206">
        <f t="shared" si="62"/>
        <v>362</v>
      </c>
      <c r="B392" s="88">
        <f>IF($F392="","",'הזנה לתנאי סף'!C392)</f>
        <v>1001350439</v>
      </c>
      <c r="C392" s="88">
        <f>IF($F392="","",'הזנה לתנאי סף'!D392)</f>
        <v>1001290693</v>
      </c>
      <c r="D392" s="88">
        <f>IF($F392="","",'הזנה לתנאי סף'!E392)</f>
        <v>40822203</v>
      </c>
      <c r="E392" s="88">
        <f>IF($F392="","",'הזנה לתנאי סף'!F392)</f>
        <v>20000159</v>
      </c>
      <c r="F392" s="88" t="str">
        <f>IF(OR('הזנה לתנאי סף'!G392="",'הזנה לתנאי סף'!BL392&lt;&gt;1,'הזנה לתנאי סף'!Q392&lt;&gt;1),"",'הזנה לתנאי סף'!G392)</f>
        <v>ירושלים</v>
      </c>
      <c r="G392" s="88" t="str">
        <f>IF($F392="","",'הזנה לתנאי סף'!H392)</f>
        <v>הערת שוליים (ע"ר)</v>
      </c>
      <c r="H392" s="88" t="str">
        <f>IF($F392="","",'הזנה לתנאי סף'!I392)</f>
        <v>אחר</v>
      </c>
      <c r="I392" s="213">
        <f>IF($F392="","",'תחום תמיכה א'!$I392)</f>
        <v>92867</v>
      </c>
      <c r="J392" s="213">
        <f>IF($F392="","",'תחום תמיכה א'!$J392)</f>
        <v>97133</v>
      </c>
      <c r="K392" s="213">
        <f>IF($F392="","",'תחום תמיכה א'!$K392)</f>
        <v>0</v>
      </c>
      <c r="L392" s="213">
        <f t="shared" si="63"/>
        <v>190000</v>
      </c>
      <c r="M392" s="214">
        <f t="shared" si="64"/>
        <v>0.4887736842105263</v>
      </c>
      <c r="N392" s="214">
        <f t="shared" si="65"/>
        <v>0.51122631578947364</v>
      </c>
      <c r="O392" s="213">
        <f t="shared" si="66"/>
        <v>49656.94573157894</v>
      </c>
      <c r="P392" s="213">
        <f>IF($F392="","",'פרמטרים לקריטריונים'!$C$59*O392)</f>
        <v>14897.083719473681</v>
      </c>
      <c r="Q392" s="214">
        <f t="shared" si="67"/>
        <v>8.4634656281897848E-5</v>
      </c>
      <c r="R392" s="213">
        <f t="shared" si="68"/>
        <v>8463.4656281897842</v>
      </c>
      <c r="S392" s="213">
        <f>IF($F392="","",'הזנה לתנאי סף'!N392)</f>
        <v>1</v>
      </c>
      <c r="T392" s="213">
        <f>IF($F392="","",'הזנה לתנאי סף'!O392)</f>
        <v>0</v>
      </c>
      <c r="U392" s="213">
        <f>IF($F392="","",'תחום תמיכה א'!W392)</f>
        <v>0</v>
      </c>
      <c r="V392" s="213">
        <f>IF($F392="","",'תחום תמיכה א'!X392)</f>
        <v>0</v>
      </c>
      <c r="W392" s="213">
        <f>IF($F392="","",'תחום תמיכה א'!Y392)</f>
        <v>0</v>
      </c>
      <c r="X392" s="231" t="str">
        <f>IF($F392="","",'תחום תמיכה א'!Z392)</f>
        <v/>
      </c>
      <c r="Y392" s="213" t="str">
        <f>IF($F392="","",'תחום תמיכה א'!AA392)</f>
        <v/>
      </c>
      <c r="Z392" s="214" t="str">
        <f>IF($F392="","",'תחום תמיכה א'!AB392)</f>
        <v/>
      </c>
      <c r="AA392" s="225" t="str">
        <f>IF($F392="","",'תחום תמיכה א'!AC392)</f>
        <v/>
      </c>
      <c r="AB392" s="213" t="str">
        <f t="shared" si="69"/>
        <v/>
      </c>
      <c r="AC392" s="213">
        <f t="shared" si="70"/>
        <v>8463.4656281897842</v>
      </c>
      <c r="AD392" s="214">
        <f t="shared" si="71"/>
        <v>8.4820398762359427E-5</v>
      </c>
      <c r="AE392" s="213">
        <f t="shared" si="72"/>
        <v>8717.2430872424393</v>
      </c>
      <c r="AF392" s="214">
        <f t="shared" si="73"/>
        <v>8.4820398762359454E-5</v>
      </c>
    </row>
    <row r="393" spans="1:32" ht="15.75" x14ac:dyDescent="0.2">
      <c r="A393" s="206">
        <f t="shared" si="62"/>
        <v>363</v>
      </c>
      <c r="B393" s="88">
        <f>IF($F393="","",'הזנה לתנאי סף'!C393)</f>
        <v>1001349364</v>
      </c>
      <c r="C393" s="88">
        <f>IF($F393="","",'הזנה לתנאי סף'!D393)</f>
        <v>1001264263</v>
      </c>
      <c r="D393" s="88">
        <f>IF($F393="","",'הזנה לתנאי סף'!E393)</f>
        <v>40000712</v>
      </c>
      <c r="E393" s="88">
        <f>IF($F393="","",'הזנה לתנאי סף'!F393)</f>
        <v>20000201</v>
      </c>
      <c r="F393" s="88" t="str">
        <f>IF(OR('הזנה לתנאי סף'!G393="",'הזנה לתנאי סף'!BL393&lt;&gt;1,'הזנה לתנאי סף'!Q393&lt;&gt;1),"",'הזנה לתנאי סף'!G393)</f>
        <v>תל אביב -יפו</v>
      </c>
      <c r="G393" s="88" t="str">
        <f>IF($F393="","",'הזנה לתנאי סף'!H393)</f>
        <v>התיאטרון הקאמרי של תל אביב</v>
      </c>
      <c r="H393" s="88" t="str">
        <f>IF($F393="","",'הזנה לתנאי סף'!I393)</f>
        <v>תיאטרון</v>
      </c>
      <c r="I393" s="213">
        <f>IF($F393="","",'תחום תמיכה א'!$I393)</f>
        <v>26247650</v>
      </c>
      <c r="J393" s="213">
        <f>IF($F393="","",'תחום תמיכה א'!$J393)</f>
        <v>53807488</v>
      </c>
      <c r="K393" s="213">
        <f>IF($F393="","",'תחום תמיכה א'!$K393)</f>
        <v>0</v>
      </c>
      <c r="L393" s="213">
        <f t="shared" si="63"/>
        <v>80055138</v>
      </c>
      <c r="M393" s="214">
        <f t="shared" si="64"/>
        <v>0.32786964904113963</v>
      </c>
      <c r="N393" s="214">
        <f t="shared" si="65"/>
        <v>0.67213035095886031</v>
      </c>
      <c r="O393" s="213">
        <f t="shared" si="66"/>
        <v>36165645.793654665</v>
      </c>
      <c r="P393" s="213">
        <f>IF($F393="","",'פרמטרים לקריטריונים'!$C$59*O393)</f>
        <v>10849693.738096399</v>
      </c>
      <c r="Q393" s="214">
        <f t="shared" si="67"/>
        <v>6.1640259098986294E-2</v>
      </c>
      <c r="R393" s="213">
        <f t="shared" si="68"/>
        <v>6164025.9098986294</v>
      </c>
      <c r="S393" s="213">
        <f>IF($F393="","",'הזנה לתנאי סף'!N393)</f>
        <v>1</v>
      </c>
      <c r="T393" s="213">
        <f>IF($F393="","",'הזנה לתנאי סף'!O393)</f>
        <v>0</v>
      </c>
      <c r="U393" s="213">
        <f>IF($F393="","",'תחום תמיכה א'!W393)</f>
        <v>0</v>
      </c>
      <c r="V393" s="213">
        <f>IF($F393="","",'תחום תמיכה א'!X393)</f>
        <v>0</v>
      </c>
      <c r="W393" s="213">
        <f>IF($F393="","",'תחום תמיכה א'!Y393)</f>
        <v>0</v>
      </c>
      <c r="X393" s="231" t="str">
        <f>IF($F393="","",'תחום תמיכה א'!Z393)</f>
        <v/>
      </c>
      <c r="Y393" s="213" t="str">
        <f>IF($F393="","",'תחום תמיכה א'!AA393)</f>
        <v/>
      </c>
      <c r="Z393" s="214" t="str">
        <f>IF($F393="","",'תחום תמיכה א'!AB393)</f>
        <v/>
      </c>
      <c r="AA393" s="225" t="str">
        <f>IF($F393="","",'תחום תמיכה א'!AC393)</f>
        <v/>
      </c>
      <c r="AB393" s="213" t="str">
        <f t="shared" si="69"/>
        <v/>
      </c>
      <c r="AC393" s="213">
        <f t="shared" si="70"/>
        <v>6164025.9098986294</v>
      </c>
      <c r="AD393" s="214">
        <f t="shared" si="71"/>
        <v>6.1775537188652141E-2</v>
      </c>
      <c r="AE393" s="213">
        <f t="shared" si="72"/>
        <v>6348854.5488593075</v>
      </c>
      <c r="AF393" s="214">
        <f t="shared" si="73"/>
        <v>6.1775537188652155E-2</v>
      </c>
    </row>
    <row r="394" spans="1:32" ht="15.75" x14ac:dyDescent="0.2">
      <c r="A394" s="206">
        <f t="shared" ref="A394:A457" si="74">IF(F394="","",ROW()-30)</f>
        <v>364</v>
      </c>
      <c r="B394" s="88">
        <f>IF($F394="","",'הזנה לתנאי סף'!C394)</f>
        <v>1001349371</v>
      </c>
      <c r="C394" s="88">
        <f>IF($F394="","",'הזנה לתנאי סף'!D394)</f>
        <v>1001264795</v>
      </c>
      <c r="D394" s="88">
        <f>IF($F394="","",'הזנה לתנאי סף'!E394)</f>
        <v>40000712</v>
      </c>
      <c r="E394" s="88">
        <f>IF($F394="","",'הזנה לתנאי סף'!F394)</f>
        <v>20000201</v>
      </c>
      <c r="F394" s="88" t="str">
        <f>IF(OR('הזנה לתנאי סף'!G394="",'הזנה לתנאי סף'!BL394&lt;&gt;1,'הזנה לתנאי סף'!Q394&lt;&gt;1),"",'הזנה לתנאי סף'!G394)</f>
        <v>תל אביב -יפו</v>
      </c>
      <c r="G394" s="88" t="str">
        <f>IF($F394="","",'הזנה לתנאי סף'!H394)</f>
        <v>התיאטרון הקאמרי של תל אביב</v>
      </c>
      <c r="H394" s="88" t="str">
        <f>IF($F394="","",'הזנה לתנאי סף'!I394)</f>
        <v>סינמטקים ופסטיבלים</v>
      </c>
      <c r="I394" s="213">
        <f>IF($F394="","",'תחום תמיכה א'!$I394)</f>
        <v>520424</v>
      </c>
      <c r="J394" s="213">
        <f>IF($F394="","",'תחום תמיכה א'!$J394)</f>
        <v>662261</v>
      </c>
      <c r="K394" s="213">
        <f>IF($F394="","",'תחום תמיכה א'!$K394)</f>
        <v>0</v>
      </c>
      <c r="L394" s="213">
        <f t="shared" ref="L394:L457" si="75">IF($F394="","",SUM(I394:K394))</f>
        <v>1182685</v>
      </c>
      <c r="M394" s="214">
        <f t="shared" ref="M394:M457" si="76">IF($F394="","",IFERROR(I394/L394,$AH$2))</f>
        <v>0.44003601973475609</v>
      </c>
      <c r="N394" s="214">
        <f t="shared" ref="N394:N457" si="77">IF($F394="","",IFERROR((1-M394),""))</f>
        <v>0.55996398026524385</v>
      </c>
      <c r="O394" s="213">
        <f t="shared" ref="O394:O457" si="78">IF($F394="","",IFERROR((N394*J394),""))</f>
        <v>370842.30553444067</v>
      </c>
      <c r="P394" s="213">
        <f>IF($F394="","",'פרמטרים לקריטריונים'!$C$59*O394)</f>
        <v>111252.6916603322</v>
      </c>
      <c r="Q394" s="214">
        <f t="shared" ref="Q394:Q457" si="79">IF($F394="","",IFERROR(P394/$P$501,""))</f>
        <v>6.3205883087034465E-4</v>
      </c>
      <c r="R394" s="213">
        <f t="shared" ref="R394:R457" si="80">IF($F394="","",IFERROR(Q394*$F$4,""))</f>
        <v>63205.883087034468</v>
      </c>
      <c r="S394" s="213">
        <f>IF($F394="","",'הזנה לתנאי סף'!N394)</f>
        <v>1</v>
      </c>
      <c r="T394" s="213">
        <f>IF($F394="","",'הזנה לתנאי סף'!O394)</f>
        <v>0</v>
      </c>
      <c r="U394" s="213">
        <f>IF($F394="","",'תחום תמיכה א'!W394)</f>
        <v>0</v>
      </c>
      <c r="V394" s="213">
        <f>IF($F394="","",'תחום תמיכה א'!X394)</f>
        <v>0</v>
      </c>
      <c r="W394" s="213">
        <f>IF($F394="","",'תחום תמיכה א'!Y394)</f>
        <v>0</v>
      </c>
      <c r="X394" s="231" t="str">
        <f>IF($F394="","",'תחום תמיכה א'!Z394)</f>
        <v/>
      </c>
      <c r="Y394" s="213" t="str">
        <f>IF($F394="","",'תחום תמיכה א'!AA394)</f>
        <v/>
      </c>
      <c r="Z394" s="214" t="str">
        <f>IF($F394="","",'תחום תמיכה א'!AB394)</f>
        <v/>
      </c>
      <c r="AA394" s="225" t="str">
        <f>IF($F394="","",'תחום תמיכה א'!AC394)</f>
        <v/>
      </c>
      <c r="AB394" s="213" t="str">
        <f t="shared" ref="AB394:AB457" si="81">IF(OR($F394="",AA394=""),"",IF(COUNTBLANK(U394:V394)&gt;0,-R394,IF(-AA394*Y394&gt;R394,-R394,AA394*Y394)))</f>
        <v/>
      </c>
      <c r="AC394" s="213">
        <f t="shared" ref="AC394:AC457" si="82">IF($F394="","",IF(AB394&lt;&gt;"",R394+AB394,R394))</f>
        <v>63205.883087034468</v>
      </c>
      <c r="AD394" s="214">
        <f t="shared" ref="AD394:AD457" si="83">IF($F394="","",IFERROR(AC394/$AC$501,""))</f>
        <v>6.3344597155479999E-4</v>
      </c>
      <c r="AE394" s="213">
        <f t="shared" ref="AE394:AE457" si="84">IFERROR(AD394*$F$5+AC394,"")</f>
        <v>65101.114793722161</v>
      </c>
      <c r="AF394" s="214">
        <f t="shared" ref="AF394:AF457" si="85">IF($F394="","",IFERROR(AE394/$AE$501,""))</f>
        <v>6.334459715548001E-4</v>
      </c>
    </row>
    <row r="395" spans="1:32" ht="15.75" x14ac:dyDescent="0.2">
      <c r="A395" s="206" t="str">
        <f t="shared" si="74"/>
        <v/>
      </c>
      <c r="B395" s="88" t="str">
        <f>IF($F395="","",'הזנה לתנאי סף'!C395)</f>
        <v/>
      </c>
      <c r="C395" s="88" t="str">
        <f>IF($F395="","",'הזנה לתנאי סף'!D395)</f>
        <v/>
      </c>
      <c r="D395" s="88" t="str">
        <f>IF($F395="","",'הזנה לתנאי סף'!E395)</f>
        <v/>
      </c>
      <c r="E395" s="88" t="str">
        <f>IF($F395="","",'הזנה לתנאי סף'!F395)</f>
        <v/>
      </c>
      <c r="F395" s="88" t="str">
        <f>IF(OR('הזנה לתנאי סף'!G395="",'הזנה לתנאי סף'!BL395&lt;&gt;1,'הזנה לתנאי סף'!Q395&lt;&gt;1),"",'הזנה לתנאי סף'!G395)</f>
        <v/>
      </c>
      <c r="G395" s="88" t="str">
        <f>IF($F395="","",'הזנה לתנאי סף'!H395)</f>
        <v/>
      </c>
      <c r="H395" s="88" t="str">
        <f>IF($F395="","",'הזנה לתנאי סף'!I395)</f>
        <v/>
      </c>
      <c r="I395" s="213" t="str">
        <f>IF($F395="","",'תחום תמיכה א'!$I395)</f>
        <v/>
      </c>
      <c r="J395" s="213" t="str">
        <f>IF($F395="","",'תחום תמיכה א'!$J395)</f>
        <v/>
      </c>
      <c r="K395" s="213" t="str">
        <f>IF($F395="","",'תחום תמיכה א'!$K395)</f>
        <v/>
      </c>
      <c r="L395" s="213" t="str">
        <f t="shared" si="75"/>
        <v/>
      </c>
      <c r="M395" s="214" t="str">
        <f t="shared" si="76"/>
        <v/>
      </c>
      <c r="N395" s="214" t="str">
        <f t="shared" si="77"/>
        <v/>
      </c>
      <c r="O395" s="213" t="str">
        <f t="shared" si="78"/>
        <v/>
      </c>
      <c r="P395" s="213" t="str">
        <f>IF($F395="","",'פרמטרים לקריטריונים'!$C$59*O395)</f>
        <v/>
      </c>
      <c r="Q395" s="214" t="str">
        <f t="shared" si="79"/>
        <v/>
      </c>
      <c r="R395" s="213" t="str">
        <f t="shared" si="80"/>
        <v/>
      </c>
      <c r="S395" s="213" t="str">
        <f>IF($F395="","",'הזנה לתנאי סף'!N395)</f>
        <v/>
      </c>
      <c r="T395" s="213" t="str">
        <f>IF($F395="","",'הזנה לתנאי סף'!O395)</f>
        <v/>
      </c>
      <c r="U395" s="213" t="str">
        <f>IF($F395="","",'תחום תמיכה א'!W395)</f>
        <v/>
      </c>
      <c r="V395" s="213" t="str">
        <f>IF($F395="","",'תחום תמיכה א'!X395)</f>
        <v/>
      </c>
      <c r="W395" s="213" t="str">
        <f>IF($F395="","",'תחום תמיכה א'!Y395)</f>
        <v/>
      </c>
      <c r="X395" s="231" t="str">
        <f>IF($F395="","",'תחום תמיכה א'!Z395)</f>
        <v/>
      </c>
      <c r="Y395" s="213" t="str">
        <f>IF($F395="","",'תחום תמיכה א'!AA395)</f>
        <v/>
      </c>
      <c r="Z395" s="214" t="str">
        <f>IF($F395="","",'תחום תמיכה א'!AB395)</f>
        <v/>
      </c>
      <c r="AA395" s="225" t="str">
        <f>IF($F395="","",'תחום תמיכה א'!AC395)</f>
        <v/>
      </c>
      <c r="AB395" s="213" t="str">
        <f t="shared" si="81"/>
        <v/>
      </c>
      <c r="AC395" s="213" t="str">
        <f t="shared" si="82"/>
        <v/>
      </c>
      <c r="AD395" s="214" t="str">
        <f t="shared" si="83"/>
        <v/>
      </c>
      <c r="AE395" s="213" t="str">
        <f t="shared" si="84"/>
        <v/>
      </c>
      <c r="AF395" s="214" t="str">
        <f t="shared" si="85"/>
        <v/>
      </c>
    </row>
    <row r="396" spans="1:32" ht="15.75" x14ac:dyDescent="0.2">
      <c r="A396" s="206">
        <f t="shared" si="74"/>
        <v>366</v>
      </c>
      <c r="B396" s="88">
        <f>IF($F396="","",'הזנה לתנאי סף'!C396)</f>
        <v>1001350452</v>
      </c>
      <c r="C396" s="88">
        <f>IF($F396="","",'הזנה לתנאי סף'!D396)</f>
        <v>1001302119</v>
      </c>
      <c r="D396" s="88">
        <f>IF($F396="","",'הזנה לתנאי סף'!E396)</f>
        <v>41484947</v>
      </c>
      <c r="E396" s="88">
        <f>IF($F396="","",'הזנה לתנאי סף'!F396)</f>
        <v>20000033</v>
      </c>
      <c r="F396" s="88" t="str">
        <f>IF(OR('הזנה לתנאי סף'!G396="",'הזנה לתנאי סף'!BL396&lt;&gt;1,'הזנה לתנאי סף'!Q396&lt;&gt;1),"",'הזנה לתנאי סף'!G396)</f>
        <v>אכסאל</v>
      </c>
      <c r="G396" s="88" t="str">
        <f>IF($F396="","",'הזנה לתנאי סף'!H396)</f>
        <v>עמותת מוג'תמענא</v>
      </c>
      <c r="H396" s="88" t="str">
        <f>IF($F396="","",'הזנה לתנאי סף'!I396)</f>
        <v>מחול</v>
      </c>
      <c r="I396" s="213">
        <f>IF($F396="","",'תחום תמיכה א'!$I396)</f>
        <v>24926</v>
      </c>
      <c r="J396" s="213">
        <f>IF($F396="","",'תחום תמיכה א'!$J396)</f>
        <v>9000</v>
      </c>
      <c r="K396" s="213">
        <f>IF($F396="","",'תחום תמיכה א'!$K396)</f>
        <v>0</v>
      </c>
      <c r="L396" s="213">
        <f t="shared" si="75"/>
        <v>33926</v>
      </c>
      <c r="M396" s="214">
        <f t="shared" si="76"/>
        <v>0.73471673642633972</v>
      </c>
      <c r="N396" s="214">
        <f t="shared" si="77"/>
        <v>0.26528326357366028</v>
      </c>
      <c r="O396" s="213">
        <f t="shared" si="78"/>
        <v>2387.5493721629423</v>
      </c>
      <c r="P396" s="213">
        <f>IF($F396="","",'פרמטרים לקריטריונים'!$C$59*O396)</f>
        <v>716.26481164888264</v>
      </c>
      <c r="Q396" s="214">
        <f t="shared" si="79"/>
        <v>4.0693082808870219E-6</v>
      </c>
      <c r="R396" s="213">
        <f t="shared" si="80"/>
        <v>406.93082808870219</v>
      </c>
      <c r="S396" s="213">
        <f>IF($F396="","",'הזנה לתנאי סף'!N396)</f>
        <v>0</v>
      </c>
      <c r="T396" s="213">
        <f>IF($F396="","",'הזנה לתנאי סף'!O396)</f>
        <v>1</v>
      </c>
      <c r="U396" s="213">
        <f>IF($F396="","",'תחום תמיכה א'!W396)</f>
        <v>0</v>
      </c>
      <c r="V396" s="213">
        <f>IF($F396="","",'תחום תמיכה א'!X396)</f>
        <v>0</v>
      </c>
      <c r="W396" s="213">
        <f>IF($F396="","",'תחום תמיכה א'!Y396)</f>
        <v>1</v>
      </c>
      <c r="X396" s="231">
        <f>IF($F396="","",'תחום תמיכה א'!Z396)</f>
        <v>0</v>
      </c>
      <c r="Y396" s="213" t="str">
        <f>IF($F396="","",'תחום תמיכה א'!AA396)</f>
        <v/>
      </c>
      <c r="Z396" s="214" t="str">
        <f>IF($F396="","",'תחום תמיכה א'!AB396)</f>
        <v/>
      </c>
      <c r="AA396" s="225" t="str">
        <f>IF($F396="","",'תחום תמיכה א'!AC396)</f>
        <v/>
      </c>
      <c r="AB396" s="213" t="str">
        <f t="shared" si="81"/>
        <v/>
      </c>
      <c r="AC396" s="213">
        <f t="shared" si="82"/>
        <v>406.93082808870219</v>
      </c>
      <c r="AD396" s="214">
        <f t="shared" si="83"/>
        <v>4.0782389417659091E-6</v>
      </c>
      <c r="AE396" s="213">
        <f t="shared" si="84"/>
        <v>419.13267022989032</v>
      </c>
      <c r="AF396" s="214">
        <f t="shared" si="85"/>
        <v>4.0782389417659099E-6</v>
      </c>
    </row>
    <row r="397" spans="1:32" ht="15.75" x14ac:dyDescent="0.2">
      <c r="A397" s="206">
        <f t="shared" si="74"/>
        <v>367</v>
      </c>
      <c r="B397" s="88">
        <f>IF($F397="","",'הזנה לתנאי סף'!C397)</f>
        <v>1001350453</v>
      </c>
      <c r="C397" s="88">
        <f>IF($F397="","",'הזנה לתנאי סף'!D397)</f>
        <v>1001302118</v>
      </c>
      <c r="D397" s="88">
        <f>IF($F397="","",'הזנה לתנאי סף'!E397)</f>
        <v>41484947</v>
      </c>
      <c r="E397" s="88">
        <f>IF($F397="","",'הזנה לתנאי סף'!F397)</f>
        <v>20000033</v>
      </c>
      <c r="F397" s="88" t="str">
        <f>IF(OR('הזנה לתנאי סף'!G397="",'הזנה לתנאי סף'!BL397&lt;&gt;1,'הזנה לתנאי סף'!Q397&lt;&gt;1),"",'הזנה לתנאי סף'!G397)</f>
        <v>אכסאל</v>
      </c>
      <c r="G397" s="88" t="str">
        <f>IF($F397="","",'הזנה לתנאי סף'!H397)</f>
        <v>עמותת מוג'תמענא</v>
      </c>
      <c r="H397" s="88" t="str">
        <f>IF($F397="","",'הזנה לתנאי סף'!I397)</f>
        <v>קבוצות מוסיקה</v>
      </c>
      <c r="I397" s="213">
        <f>IF($F397="","",'תחום תמיכה א'!$I397)</f>
        <v>24926</v>
      </c>
      <c r="J397" s="213">
        <f>IF($F397="","",'תחום תמיכה א'!$J397)</f>
        <v>10900</v>
      </c>
      <c r="K397" s="213">
        <f>IF($F397="","",'תחום תמיכה א'!$K397)</f>
        <v>0</v>
      </c>
      <c r="L397" s="213">
        <f t="shared" si="75"/>
        <v>35826</v>
      </c>
      <c r="M397" s="214">
        <f t="shared" si="76"/>
        <v>0.69575168871769111</v>
      </c>
      <c r="N397" s="214">
        <f t="shared" si="77"/>
        <v>0.30424831128230889</v>
      </c>
      <c r="O397" s="213">
        <f t="shared" si="78"/>
        <v>3316.3065929771669</v>
      </c>
      <c r="P397" s="213">
        <f>IF($F397="","",'פרמטרים לקריטריונים'!$C$59*O397)</f>
        <v>994.89197789315006</v>
      </c>
      <c r="Q397" s="214">
        <f t="shared" si="79"/>
        <v>5.6522700799844315E-6</v>
      </c>
      <c r="R397" s="213">
        <f t="shared" si="80"/>
        <v>565.22700799844313</v>
      </c>
      <c r="S397" s="213">
        <f>IF($F397="","",'הזנה לתנאי סף'!N397)</f>
        <v>0</v>
      </c>
      <c r="T397" s="213">
        <f>IF($F397="","",'הזנה לתנאי סף'!O397)</f>
        <v>1</v>
      </c>
      <c r="U397" s="213">
        <f>IF($F397="","",'תחום תמיכה א'!W397)</f>
        <v>0</v>
      </c>
      <c r="V397" s="213">
        <f>IF($F397="","",'תחום תמיכה א'!X397)</f>
        <v>0</v>
      </c>
      <c r="W397" s="213">
        <f>IF($F397="","",'תחום תמיכה א'!Y397)</f>
        <v>1</v>
      </c>
      <c r="X397" s="231">
        <f>IF($F397="","",'תחום תמיכה א'!Z397)</f>
        <v>0</v>
      </c>
      <c r="Y397" s="213" t="str">
        <f>IF($F397="","",'תחום תמיכה א'!AA397)</f>
        <v/>
      </c>
      <c r="Z397" s="214" t="str">
        <f>IF($F397="","",'תחום תמיכה א'!AB397)</f>
        <v/>
      </c>
      <c r="AA397" s="225" t="str">
        <f>IF($F397="","",'תחום תמיכה א'!AC397)</f>
        <v/>
      </c>
      <c r="AB397" s="213" t="str">
        <f t="shared" si="81"/>
        <v/>
      </c>
      <c r="AC397" s="213">
        <f t="shared" si="82"/>
        <v>565.22700799844313</v>
      </c>
      <c r="AD397" s="214">
        <f t="shared" si="83"/>
        <v>5.6646747698717303E-6</v>
      </c>
      <c r="AE397" s="213">
        <f t="shared" si="84"/>
        <v>582.17536936473834</v>
      </c>
      <c r="AF397" s="214">
        <f t="shared" si="85"/>
        <v>5.664674769871732E-6</v>
      </c>
    </row>
    <row r="398" spans="1:32" ht="15.75" x14ac:dyDescent="0.2">
      <c r="A398" s="206">
        <f t="shared" si="74"/>
        <v>368</v>
      </c>
      <c r="B398" s="88">
        <f>IF($F398="","",'הזנה לתנאי סף'!C398)</f>
        <v>1001350454</v>
      </c>
      <c r="C398" s="88">
        <f>IF($F398="","",'הזנה לתנאי סף'!D398)</f>
        <v>1001302117</v>
      </c>
      <c r="D398" s="88">
        <f>IF($F398="","",'הזנה לתנאי סף'!E398)</f>
        <v>41484947</v>
      </c>
      <c r="E398" s="88">
        <f>IF($F398="","",'הזנה לתנאי סף'!F398)</f>
        <v>20000033</v>
      </c>
      <c r="F398" s="88" t="str">
        <f>IF(OR('הזנה לתנאי סף'!G398="",'הזנה לתנאי סף'!BL398&lt;&gt;1,'הזנה לתנאי סף'!Q398&lt;&gt;1),"",'הזנה לתנאי סף'!G398)</f>
        <v>אכסאל</v>
      </c>
      <c r="G398" s="88" t="str">
        <f>IF($F398="","",'הזנה לתנאי סף'!H398)</f>
        <v>עמותת מוג'תמענא</v>
      </c>
      <c r="H398" s="88" t="str">
        <f>IF($F398="","",'הזנה לתנאי סף'!I398)</f>
        <v>חללי תצוגה</v>
      </c>
      <c r="I398" s="213">
        <f>IF($F398="","",'תחום תמיכה א'!$I398)</f>
        <v>24926</v>
      </c>
      <c r="J398" s="213">
        <f>IF($F398="","",'תחום תמיכה א'!$J398)</f>
        <v>14600</v>
      </c>
      <c r="K398" s="213">
        <f>IF($F398="","",'תחום תמיכה א'!$K398)</f>
        <v>0</v>
      </c>
      <c r="L398" s="213">
        <f t="shared" si="75"/>
        <v>39526</v>
      </c>
      <c r="M398" s="214">
        <f t="shared" si="76"/>
        <v>0.63062288114152709</v>
      </c>
      <c r="N398" s="214">
        <f t="shared" si="77"/>
        <v>0.36937711885847291</v>
      </c>
      <c r="O398" s="213">
        <f t="shared" si="78"/>
        <v>5392.9059353337043</v>
      </c>
      <c r="P398" s="213">
        <f>IF($F398="","",'פרמטרים לקריטריונים'!$C$59*O398)</f>
        <v>1617.8717806001112</v>
      </c>
      <c r="Q398" s="214">
        <f t="shared" si="79"/>
        <v>9.191599150394663E-6</v>
      </c>
      <c r="R398" s="213">
        <f t="shared" si="80"/>
        <v>919.15991503946634</v>
      </c>
      <c r="S398" s="213">
        <f>IF($F398="","",'הזנה לתנאי סף'!N398)</f>
        <v>0</v>
      </c>
      <c r="T398" s="213">
        <f>IF($F398="","",'הזנה לתנאי סף'!O398)</f>
        <v>1</v>
      </c>
      <c r="U398" s="213">
        <f>IF($F398="","",'תחום תמיכה א'!W398)</f>
        <v>0</v>
      </c>
      <c r="V398" s="213">
        <f>IF($F398="","",'תחום תמיכה א'!X398)</f>
        <v>0</v>
      </c>
      <c r="W398" s="213">
        <f>IF($F398="","",'תחום תמיכה א'!Y398)</f>
        <v>1</v>
      </c>
      <c r="X398" s="231">
        <f>IF($F398="","",'תחום תמיכה א'!Z398)</f>
        <v>0</v>
      </c>
      <c r="Y398" s="213" t="str">
        <f>IF($F398="","",'תחום תמיכה א'!AA398)</f>
        <v/>
      </c>
      <c r="Z398" s="214" t="str">
        <f>IF($F398="","",'תחום תמיכה א'!AB398)</f>
        <v/>
      </c>
      <c r="AA398" s="225" t="str">
        <f>IF($F398="","",'תחום תמיכה א'!AC398)</f>
        <v/>
      </c>
      <c r="AB398" s="213" t="str">
        <f t="shared" si="81"/>
        <v/>
      </c>
      <c r="AC398" s="213">
        <f t="shared" si="82"/>
        <v>919.15991503946634</v>
      </c>
      <c r="AD398" s="214">
        <f t="shared" si="83"/>
        <v>9.2117713883478294E-6</v>
      </c>
      <c r="AE398" s="213">
        <f t="shared" si="84"/>
        <v>946.72097311534833</v>
      </c>
      <c r="AF398" s="214">
        <f t="shared" si="85"/>
        <v>9.2117713883478328E-6</v>
      </c>
    </row>
    <row r="399" spans="1:32" ht="15.75" x14ac:dyDescent="0.2">
      <c r="A399" s="206">
        <f t="shared" si="74"/>
        <v>369</v>
      </c>
      <c r="B399" s="88">
        <f>IF($F399="","",'הזנה לתנאי סף'!C399)</f>
        <v>1001346210</v>
      </c>
      <c r="C399" s="88">
        <f>IF($F399="","",'הזנה לתנאי סף'!D399)</f>
        <v>1001268507</v>
      </c>
      <c r="D399" s="88">
        <f>IF($F399="","",'הזנה לתנאי סף'!E399)</f>
        <v>40383495</v>
      </c>
      <c r="E399" s="88">
        <f>IF($F399="","",'הזנה לתנאי סף'!F399)</f>
        <v>20000035</v>
      </c>
      <c r="F399" s="88" t="str">
        <f>IF(OR('הזנה לתנאי סף'!G399="",'הזנה לתנאי סף'!BL399&lt;&gt;1,'הזנה לתנאי סף'!Q399&lt;&gt;1),"",'הזנה לתנאי סף'!G399)</f>
        <v>מגאר</v>
      </c>
      <c r="G399" s="88" t="str">
        <f>IF($F399="","",'הזנה לתנאי סף'!H399)</f>
        <v>מראות-עמותה לקידום התיאטרון והקרקס</v>
      </c>
      <c r="H399" s="88" t="str">
        <f>IF($F399="","",'הזנה לתנאי סף'!I399)</f>
        <v>תיאטרון</v>
      </c>
      <c r="I399" s="213">
        <f>IF($F399="","",'תחום תמיכה א'!$I399)</f>
        <v>180319</v>
      </c>
      <c r="J399" s="213">
        <f>IF($F399="","",'תחום תמיכה א'!$J399)</f>
        <v>159190</v>
      </c>
      <c r="K399" s="213">
        <f>IF($F399="","",'תחום תמיכה א'!$K399)</f>
        <v>0</v>
      </c>
      <c r="L399" s="213">
        <f t="shared" si="75"/>
        <v>339509</v>
      </c>
      <c r="M399" s="214">
        <f t="shared" si="76"/>
        <v>0.5311169954257472</v>
      </c>
      <c r="N399" s="214">
        <f t="shared" si="77"/>
        <v>0.4688830045742528</v>
      </c>
      <c r="O399" s="213">
        <f t="shared" si="78"/>
        <v>74641.485498175301</v>
      </c>
      <c r="P399" s="213">
        <f>IF($F399="","",'פרמטרים לקריטריונים'!$C$59*O399)</f>
        <v>22392.445649452591</v>
      </c>
      <c r="Q399" s="214">
        <f t="shared" si="79"/>
        <v>1.2721798283076683E-4</v>
      </c>
      <c r="R399" s="213">
        <f t="shared" si="80"/>
        <v>12721.798283076683</v>
      </c>
      <c r="S399" s="213">
        <f>IF($F399="","",'הזנה לתנאי סף'!N399)</f>
        <v>0</v>
      </c>
      <c r="T399" s="213">
        <f>IF($F399="","",'הזנה לתנאי סף'!O399)</f>
        <v>1</v>
      </c>
      <c r="U399" s="213">
        <f>IF($F399="","",'תחום תמיכה א'!W399)</f>
        <v>0</v>
      </c>
      <c r="V399" s="213">
        <f>IF($F399="","",'תחום תמיכה א'!X399)</f>
        <v>0</v>
      </c>
      <c r="W399" s="213">
        <f>IF($F399="","",'תחום תמיכה א'!Y399)</f>
        <v>1</v>
      </c>
      <c r="X399" s="231">
        <f>IF($F399="","",'תחום תמיכה א'!Z399)</f>
        <v>0</v>
      </c>
      <c r="Y399" s="213" t="str">
        <f>IF($F399="","",'תחום תמיכה א'!AA399)</f>
        <v/>
      </c>
      <c r="Z399" s="214" t="str">
        <f>IF($F399="","",'תחום תמיכה א'!AB399)</f>
        <v/>
      </c>
      <c r="AA399" s="225" t="str">
        <f>IF($F399="","",'תחום תמיכה א'!AC399)</f>
        <v/>
      </c>
      <c r="AB399" s="213" t="str">
        <f t="shared" si="81"/>
        <v/>
      </c>
      <c r="AC399" s="213">
        <f t="shared" si="82"/>
        <v>12721.798283076683</v>
      </c>
      <c r="AD399" s="214">
        <f t="shared" si="83"/>
        <v>1.27497180321823E-4</v>
      </c>
      <c r="AE399" s="213">
        <f t="shared" si="84"/>
        <v>13103.262069271577</v>
      </c>
      <c r="AF399" s="214">
        <f t="shared" si="85"/>
        <v>1.2749718032182303E-4</v>
      </c>
    </row>
    <row r="400" spans="1:32" ht="15.75" x14ac:dyDescent="0.2">
      <c r="A400" s="206">
        <f t="shared" si="74"/>
        <v>370</v>
      </c>
      <c r="B400" s="88">
        <f>IF($F400="","",'הזנה לתנאי סף'!C400)</f>
        <v>1001348860</v>
      </c>
      <c r="C400" s="88">
        <f>IF($F400="","",'הזנה לתנאי סף'!D400)</f>
        <v>1001274641</v>
      </c>
      <c r="D400" s="88">
        <f>IF($F400="","",'הזנה לתנאי סף'!E400)</f>
        <v>40383495</v>
      </c>
      <c r="E400" s="88">
        <f>IF($F400="","",'הזנה לתנאי סף'!F400)</f>
        <v>20000035</v>
      </c>
      <c r="F400" s="88" t="str">
        <f>IF(OR('הזנה לתנאי סף'!G400="",'הזנה לתנאי סף'!BL400&lt;&gt;1,'הזנה לתנאי סף'!Q400&lt;&gt;1),"",'הזנה לתנאי סף'!G400)</f>
        <v>מגאר</v>
      </c>
      <c r="G400" s="88" t="str">
        <f>IF($F400="","",'הזנה לתנאי סף'!H400)</f>
        <v>מראות-עמותה לקידום התיאטרון והקרקס</v>
      </c>
      <c r="H400" s="88" t="str">
        <f>IF($F400="","",'הזנה לתנאי סף'!I400)</f>
        <v>אחר</v>
      </c>
      <c r="I400" s="213">
        <f>IF($F400="","",'תחום תמיכה א'!$I400)</f>
        <v>200000</v>
      </c>
      <c r="J400" s="213">
        <f>IF($F400="","",'תחום תמיכה א'!$J400)</f>
        <v>85756</v>
      </c>
      <c r="K400" s="213">
        <f>IF($F400="","",'תחום תמיכה א'!$K400)</f>
        <v>0</v>
      </c>
      <c r="L400" s="213">
        <f t="shared" si="75"/>
        <v>285756</v>
      </c>
      <c r="M400" s="214">
        <f t="shared" si="76"/>
        <v>0.69989781491902181</v>
      </c>
      <c r="N400" s="214">
        <f t="shared" si="77"/>
        <v>0.30010218508097819</v>
      </c>
      <c r="O400" s="213">
        <f t="shared" si="78"/>
        <v>25735.562983804364</v>
      </c>
      <c r="P400" s="213">
        <f>IF($F400="","",'פרמטרים לקריטריונים'!$C$59*O400)</f>
        <v>7720.6688951413089</v>
      </c>
      <c r="Q400" s="214">
        <f t="shared" si="79"/>
        <v>4.3863360810172772E-5</v>
      </c>
      <c r="R400" s="213">
        <f t="shared" si="80"/>
        <v>4386.3360810172771</v>
      </c>
      <c r="S400" s="213">
        <f>IF($F400="","",'הזנה לתנאי סף'!N400)</f>
        <v>0</v>
      </c>
      <c r="T400" s="213">
        <f>IF($F400="","",'הזנה לתנאי סף'!O400)</f>
        <v>1</v>
      </c>
      <c r="U400" s="213">
        <f>IF($F400="","",'תחום תמיכה א'!W400)</f>
        <v>0</v>
      </c>
      <c r="V400" s="213">
        <f>IF($F400="","",'תחום תמיכה א'!X400)</f>
        <v>0</v>
      </c>
      <c r="W400" s="213">
        <f>IF($F400="","",'תחום תמיכה א'!Y400)</f>
        <v>1</v>
      </c>
      <c r="X400" s="231">
        <f>IF($F400="","",'תחום תמיכה א'!Z400)</f>
        <v>0</v>
      </c>
      <c r="Y400" s="213" t="str">
        <f>IF($F400="","",'תחום תמיכה א'!AA400)</f>
        <v/>
      </c>
      <c r="Z400" s="214" t="str">
        <f>IF($F400="","",'תחום תמיכה א'!AB400)</f>
        <v/>
      </c>
      <c r="AA400" s="225" t="str">
        <f>IF($F400="","",'תחום תמיכה א'!AC400)</f>
        <v/>
      </c>
      <c r="AB400" s="213" t="str">
        <f t="shared" si="81"/>
        <v/>
      </c>
      <c r="AC400" s="213">
        <f t="shared" si="82"/>
        <v>4386.3360810172771</v>
      </c>
      <c r="AD400" s="214">
        <f t="shared" si="83"/>
        <v>4.3959625033319451E-5</v>
      </c>
      <c r="AE400" s="213">
        <f t="shared" si="84"/>
        <v>4517.8605975798419</v>
      </c>
      <c r="AF400" s="214">
        <f t="shared" si="85"/>
        <v>4.3959625033319464E-5</v>
      </c>
    </row>
    <row r="401" spans="1:32" ht="15.75" x14ac:dyDescent="0.2">
      <c r="A401" s="206">
        <f t="shared" si="74"/>
        <v>371</v>
      </c>
      <c r="B401" s="88">
        <f>IF($F401="","",'הזנה לתנאי סף'!C401)</f>
        <v>1001348861</v>
      </c>
      <c r="C401" s="88">
        <f>IF($F401="","",'הזנה לתנאי סף'!D401)</f>
        <v>1001268570</v>
      </c>
      <c r="D401" s="88">
        <f>IF($F401="","",'הזנה לתנאי סף'!E401)</f>
        <v>40383495</v>
      </c>
      <c r="E401" s="88">
        <f>IF($F401="","",'הזנה לתנאי סף'!F401)</f>
        <v>20000035</v>
      </c>
      <c r="F401" s="88" t="str">
        <f>IF(OR('הזנה לתנאי סף'!G401="",'הזנה לתנאי סף'!BL401&lt;&gt;1,'הזנה לתנאי סף'!Q401&lt;&gt;1),"",'הזנה לתנאי סף'!G401)</f>
        <v>מגאר</v>
      </c>
      <c r="G401" s="88" t="str">
        <f>IF($F401="","",'הזנה לתנאי סף'!H401)</f>
        <v>מראות-עמותה לקידום התיאטרון והקרקס</v>
      </c>
      <c r="H401" s="88" t="str">
        <f>IF($F401="","",'הזנה לתנאי סף'!I401)</f>
        <v>אחר</v>
      </c>
      <c r="I401" s="213">
        <f>IF($F401="","",'תחום תמיכה א'!$I401)</f>
        <v>0</v>
      </c>
      <c r="J401" s="213">
        <f>IF($F401="","",'תחום תמיכה א'!$J401)</f>
        <v>19780</v>
      </c>
      <c r="K401" s="213">
        <f>IF($F401="","",'תחום תמיכה א'!$K401)</f>
        <v>0</v>
      </c>
      <c r="L401" s="213">
        <f t="shared" si="75"/>
        <v>19780</v>
      </c>
      <c r="M401" s="214">
        <f t="shared" si="76"/>
        <v>0</v>
      </c>
      <c r="N401" s="214">
        <f t="shared" si="77"/>
        <v>1</v>
      </c>
      <c r="O401" s="213">
        <f t="shared" si="78"/>
        <v>19780</v>
      </c>
      <c r="P401" s="213">
        <f>IF($F401="","",'פרמטרים לקריטריונים'!$C$59*O401)</f>
        <v>5934</v>
      </c>
      <c r="Q401" s="214">
        <f t="shared" si="79"/>
        <v>3.3712776261052357E-5</v>
      </c>
      <c r="R401" s="213">
        <f t="shared" si="80"/>
        <v>3371.2776261052359</v>
      </c>
      <c r="S401" s="213">
        <f>IF($F401="","",'הזנה לתנאי סף'!N401)</f>
        <v>0</v>
      </c>
      <c r="T401" s="213">
        <f>IF($F401="","",'הזנה לתנאי סף'!O401)</f>
        <v>1</v>
      </c>
      <c r="U401" s="213">
        <f>IF($F401="","",'תחום תמיכה א'!W401)</f>
        <v>0</v>
      </c>
      <c r="V401" s="213">
        <f>IF($F401="","",'תחום תמיכה א'!X401)</f>
        <v>0</v>
      </c>
      <c r="W401" s="213">
        <f>IF($F401="","",'תחום תמיכה א'!Y401)</f>
        <v>1</v>
      </c>
      <c r="X401" s="231">
        <f>IF($F401="","",'תחום תמיכה א'!Z401)</f>
        <v>0</v>
      </c>
      <c r="Y401" s="213" t="str">
        <f>IF($F401="","",'תחום תמיכה א'!AA401)</f>
        <v/>
      </c>
      <c r="Z401" s="214" t="str">
        <f>IF($F401="","",'תחום תמיכה א'!AB401)</f>
        <v/>
      </c>
      <c r="AA401" s="225" t="str">
        <f>IF($F401="","",'תחום תמיכה א'!AC401)</f>
        <v/>
      </c>
      <c r="AB401" s="213" t="str">
        <f t="shared" si="81"/>
        <v/>
      </c>
      <c r="AC401" s="213">
        <f t="shared" si="82"/>
        <v>3371.2776261052359</v>
      </c>
      <c r="AD401" s="214">
        <f t="shared" si="83"/>
        <v>3.3786763619908257E-5</v>
      </c>
      <c r="AE401" s="213">
        <f t="shared" si="84"/>
        <v>3472.3655618634202</v>
      </c>
      <c r="AF401" s="214">
        <f t="shared" si="85"/>
        <v>3.3786763619908264E-5</v>
      </c>
    </row>
    <row r="402" spans="1:32" ht="15.75" x14ac:dyDescent="0.2">
      <c r="A402" s="206">
        <f t="shared" si="74"/>
        <v>372</v>
      </c>
      <c r="B402" s="88">
        <f>IF($F402="","",'הזנה לתנאי סף'!C402)</f>
        <v>1001349542</v>
      </c>
      <c r="C402" s="88">
        <f>IF($F402="","",'הזנה לתנאי סף'!D402)</f>
        <v>1001268295</v>
      </c>
      <c r="D402" s="88">
        <f>IF($F402="","",'הזנה לתנאי סף'!E402)</f>
        <v>41343408</v>
      </c>
      <c r="E402" s="88">
        <f>IF($F402="","",'הזנה לתנאי סף'!F402)</f>
        <v>20000102</v>
      </c>
      <c r="F402" s="88" t="str">
        <f>IF(OR('הזנה לתנאי סף'!G402="",'הזנה לתנאי סף'!BL402&lt;&gt;1,'הזנה לתנאי סף'!Q402&lt;&gt;1),"",'הזנה לתנאי סף'!G402)</f>
        <v>מעלות-תרשיחא</v>
      </c>
      <c r="G402" s="88" t="str">
        <f>IF($F402="","",'הזנה לתנאי סף'!H402)</f>
        <v>קול יוצר</v>
      </c>
      <c r="H402" s="88" t="str">
        <f>IF($F402="","",'הזנה לתנאי סף'!I402)</f>
        <v>אחר</v>
      </c>
      <c r="I402" s="213">
        <f>IF($F402="","",'תחום תמיכה א'!$I402)</f>
        <v>138019</v>
      </c>
      <c r="J402" s="213">
        <f>IF($F402="","",'תחום תמיכה א'!$J402)</f>
        <v>58185</v>
      </c>
      <c r="K402" s="213">
        <f>IF($F402="","",'תחום תמיכה א'!$K402)</f>
        <v>0</v>
      </c>
      <c r="L402" s="213">
        <f t="shared" si="75"/>
        <v>196204</v>
      </c>
      <c r="M402" s="214">
        <f t="shared" si="76"/>
        <v>0.70344641291716781</v>
      </c>
      <c r="N402" s="214">
        <f t="shared" si="77"/>
        <v>0.29655358708283219</v>
      </c>
      <c r="O402" s="213">
        <f t="shared" si="78"/>
        <v>17254.97046441459</v>
      </c>
      <c r="P402" s="213">
        <f>IF($F402="","",'פרמטרים לקריטריונים'!$C$59*O402)</f>
        <v>5176.4911393243765</v>
      </c>
      <c r="Q402" s="214">
        <f t="shared" si="79"/>
        <v>2.9409148567132239E-5</v>
      </c>
      <c r="R402" s="213">
        <f t="shared" si="80"/>
        <v>2940.9148567132238</v>
      </c>
      <c r="S402" s="213">
        <f>IF($F402="","",'הזנה לתנאי סף'!N402)</f>
        <v>0</v>
      </c>
      <c r="T402" s="213">
        <f>IF($F402="","",'הזנה לתנאי סף'!O402)</f>
        <v>1</v>
      </c>
      <c r="U402" s="213">
        <f>IF($F402="","",'תחום תמיכה א'!W402)</f>
        <v>0</v>
      </c>
      <c r="V402" s="213">
        <f>IF($F402="","",'תחום תמיכה א'!X402)</f>
        <v>0</v>
      </c>
      <c r="W402" s="213">
        <f>IF($F402="","",'תחום תמיכה א'!Y402)</f>
        <v>1</v>
      </c>
      <c r="X402" s="231">
        <f>IF($F402="","",'תחום תמיכה א'!Z402)</f>
        <v>0</v>
      </c>
      <c r="Y402" s="213" t="str">
        <f>IF($F402="","",'תחום תמיכה א'!AA402)</f>
        <v/>
      </c>
      <c r="Z402" s="214" t="str">
        <f>IF($F402="","",'תחום תמיכה א'!AB402)</f>
        <v/>
      </c>
      <c r="AA402" s="225" t="str">
        <f>IF($F402="","",'תחום תמיכה א'!AC402)</f>
        <v/>
      </c>
      <c r="AB402" s="213" t="str">
        <f t="shared" si="81"/>
        <v/>
      </c>
      <c r="AC402" s="213">
        <f t="shared" si="82"/>
        <v>2940.9148567132238</v>
      </c>
      <c r="AD402" s="214">
        <f t="shared" si="83"/>
        <v>2.9473691018689295E-5</v>
      </c>
      <c r="AE402" s="213">
        <f t="shared" si="84"/>
        <v>3029.0983423459897</v>
      </c>
      <c r="AF402" s="214">
        <f t="shared" si="85"/>
        <v>2.9473691018689298E-5</v>
      </c>
    </row>
    <row r="403" spans="1:32" ht="15.75" x14ac:dyDescent="0.2">
      <c r="A403" s="206">
        <f t="shared" si="74"/>
        <v>373</v>
      </c>
      <c r="B403" s="88">
        <f>IF($F403="","",'הזנה לתנאי סף'!C403)</f>
        <v>1001349543</v>
      </c>
      <c r="C403" s="88">
        <f>IF($F403="","",'הזנה לתנאי סף'!D403)</f>
        <v>1001266976</v>
      </c>
      <c r="D403" s="88">
        <f>IF($F403="","",'הזנה לתנאי סף'!E403)</f>
        <v>41343408</v>
      </c>
      <c r="E403" s="88">
        <f>IF($F403="","",'הזנה לתנאי סף'!F403)</f>
        <v>20000102</v>
      </c>
      <c r="F403" s="88" t="str">
        <f>IF(OR('הזנה לתנאי סף'!G403="",'הזנה לתנאי סף'!BL403&lt;&gt;1,'הזנה לתנאי סף'!Q403&lt;&gt;1),"",'הזנה לתנאי סף'!G403)</f>
        <v>מעלות-תרשיחא</v>
      </c>
      <c r="G403" s="88" t="str">
        <f>IF($F403="","",'הזנה לתנאי סף'!H403)</f>
        <v>קול יוצר</v>
      </c>
      <c r="H403" s="88" t="str">
        <f>IF($F403="","",'הזנה לתנאי סף'!I403)</f>
        <v>אחר</v>
      </c>
      <c r="I403" s="213">
        <f>IF($F403="","",'תחום תמיכה א'!$I403)</f>
        <v>169438</v>
      </c>
      <c r="J403" s="213">
        <f>IF($F403="","",'תחום תמיכה א'!$J403)</f>
        <v>69947</v>
      </c>
      <c r="K403" s="213">
        <f>IF($F403="","",'תחום תמיכה א'!$K403)</f>
        <v>0</v>
      </c>
      <c r="L403" s="213">
        <f t="shared" si="75"/>
        <v>239385</v>
      </c>
      <c r="M403" s="214">
        <f t="shared" si="76"/>
        <v>0.70780541805042085</v>
      </c>
      <c r="N403" s="214">
        <f t="shared" si="77"/>
        <v>0.29219458194957915</v>
      </c>
      <c r="O403" s="213">
        <f t="shared" si="78"/>
        <v>20438.134423627213</v>
      </c>
      <c r="P403" s="213">
        <f>IF($F403="","",'פרמטרים לקריטריונים'!$C$59*O403)</f>
        <v>6131.4403270881639</v>
      </c>
      <c r="Q403" s="214">
        <f t="shared" si="79"/>
        <v>3.4834492063551898E-5</v>
      </c>
      <c r="R403" s="213">
        <f t="shared" si="80"/>
        <v>3483.4492063551897</v>
      </c>
      <c r="S403" s="213">
        <f>IF($F403="","",'הזנה לתנאי סף'!N403)</f>
        <v>0</v>
      </c>
      <c r="T403" s="213">
        <f>IF($F403="","",'הזנה לתנאי סף'!O403)</f>
        <v>1</v>
      </c>
      <c r="U403" s="213">
        <f>IF($F403="","",'תחום תמיכה א'!W403)</f>
        <v>0</v>
      </c>
      <c r="V403" s="213">
        <f>IF($F403="","",'תחום תמיכה א'!X403)</f>
        <v>0</v>
      </c>
      <c r="W403" s="213">
        <f>IF($F403="","",'תחום תמיכה א'!Y403)</f>
        <v>1</v>
      </c>
      <c r="X403" s="231">
        <f>IF($F403="","",'תחום תמיכה א'!Z403)</f>
        <v>0</v>
      </c>
      <c r="Y403" s="213" t="str">
        <f>IF($F403="","",'תחום תמיכה א'!AA403)</f>
        <v/>
      </c>
      <c r="Z403" s="214" t="str">
        <f>IF($F403="","",'תחום תמיכה א'!AB403)</f>
        <v/>
      </c>
      <c r="AA403" s="225" t="str">
        <f>IF($F403="","",'תחום תמיכה א'!AC403)</f>
        <v/>
      </c>
      <c r="AB403" s="213" t="str">
        <f t="shared" si="81"/>
        <v/>
      </c>
      <c r="AC403" s="213">
        <f t="shared" si="82"/>
        <v>3483.4492063551897</v>
      </c>
      <c r="AD403" s="214">
        <f t="shared" si="83"/>
        <v>3.4910941183164942E-5</v>
      </c>
      <c r="AE403" s="213">
        <f t="shared" si="84"/>
        <v>3587.9006128078067</v>
      </c>
      <c r="AF403" s="214">
        <f t="shared" si="85"/>
        <v>3.4910941183164949E-5</v>
      </c>
    </row>
    <row r="404" spans="1:32" ht="15.75" x14ac:dyDescent="0.2">
      <c r="A404" s="206">
        <f t="shared" si="74"/>
        <v>374</v>
      </c>
      <c r="B404" s="88">
        <f>IF($F404="","",'הזנה לתנאי סף'!C404)</f>
        <v>1001349835</v>
      </c>
      <c r="C404" s="88">
        <f>IF($F404="","",'הזנה לתנאי סף'!D404)</f>
        <v>1001272254</v>
      </c>
      <c r="D404" s="88">
        <f>IF($F404="","",'הזנה לתנאי סף'!E404)</f>
        <v>40299606</v>
      </c>
      <c r="E404" s="88">
        <f>IF($F404="","",'הזנה לתנאי סף'!F404)</f>
        <v>20000125</v>
      </c>
      <c r="F404" s="88" t="str">
        <f>IF(OR('הזנה לתנאי סף'!G404="",'הזנה לתנאי סף'!BL404&lt;&gt;1,'הזנה לתנאי סף'!Q404&lt;&gt;1),"",'הזנה לתנאי סף'!G404)</f>
        <v>חצור הגלילית</v>
      </c>
      <c r="G404" s="88" t="str">
        <f>IF($F404="","",'הזנה לתנאי סף'!H404)</f>
        <v>אורות הגליל</v>
      </c>
      <c r="H404" s="88" t="str">
        <f>IF($F404="","",'הזנה לתנאי סף'!I404)</f>
        <v>אחר</v>
      </c>
      <c r="I404" s="213">
        <f>IF($F404="","",'תחום תמיכה א'!$I404)</f>
        <v>571309</v>
      </c>
      <c r="J404" s="213">
        <f>IF($F404="","",'תחום תמיכה א'!$J404)</f>
        <v>672289</v>
      </c>
      <c r="K404" s="213">
        <f>IF($F404="","",'תחום תמיכה א'!$K404)</f>
        <v>2602</v>
      </c>
      <c r="L404" s="213">
        <f t="shared" si="75"/>
        <v>1246200</v>
      </c>
      <c r="M404" s="214">
        <f t="shared" si="76"/>
        <v>0.45844086021505376</v>
      </c>
      <c r="N404" s="214">
        <f t="shared" si="77"/>
        <v>0.54155913978494619</v>
      </c>
      <c r="O404" s="213">
        <f t="shared" si="78"/>
        <v>364084.2525268817</v>
      </c>
      <c r="P404" s="213">
        <f>IF($F404="","",'פרמטרים לקריטריונים'!$C$59*O404)</f>
        <v>109225.27575806451</v>
      </c>
      <c r="Q404" s="214">
        <f t="shared" si="79"/>
        <v>6.205404927002654E-4</v>
      </c>
      <c r="R404" s="213">
        <f t="shared" si="80"/>
        <v>62054.049270026539</v>
      </c>
      <c r="S404" s="213">
        <f>IF($F404="","",'הזנה לתנאי סף'!N404)</f>
        <v>0</v>
      </c>
      <c r="T404" s="213">
        <f>IF($F404="","",'הזנה לתנאי סף'!O404)</f>
        <v>1</v>
      </c>
      <c r="U404" s="213">
        <f>IF($F404="","",'תחום תמיכה א'!W404)</f>
        <v>0</v>
      </c>
      <c r="V404" s="213">
        <f>IF($F404="","",'תחום תמיכה א'!X404)</f>
        <v>0</v>
      </c>
      <c r="W404" s="213">
        <f>IF($F404="","",'תחום תמיכה א'!Y404)</f>
        <v>1</v>
      </c>
      <c r="X404" s="231">
        <f>IF($F404="","",'תחום תמיכה א'!Z404)</f>
        <v>0</v>
      </c>
      <c r="Y404" s="213" t="str">
        <f>IF($F404="","",'תחום תמיכה א'!AA404)</f>
        <v/>
      </c>
      <c r="Z404" s="214" t="str">
        <f>IF($F404="","",'תחום תמיכה א'!AB404)</f>
        <v/>
      </c>
      <c r="AA404" s="225" t="str">
        <f>IF($F404="","",'תחום תמיכה א'!AC404)</f>
        <v/>
      </c>
      <c r="AB404" s="213" t="str">
        <f t="shared" si="81"/>
        <v/>
      </c>
      <c r="AC404" s="213">
        <f t="shared" si="82"/>
        <v>62054.049270026539</v>
      </c>
      <c r="AD404" s="214">
        <f t="shared" si="83"/>
        <v>6.2190235479558833E-4</v>
      </c>
      <c r="AE404" s="213">
        <f t="shared" si="84"/>
        <v>63914.743179531295</v>
      </c>
      <c r="AF404" s="214">
        <f t="shared" si="85"/>
        <v>6.2190235479558855E-4</v>
      </c>
    </row>
    <row r="405" spans="1:32" ht="15.75" x14ac:dyDescent="0.2">
      <c r="A405" s="206">
        <f t="shared" si="74"/>
        <v>375</v>
      </c>
      <c r="B405" s="88">
        <f>IF($F405="","",'הזנה לתנאי סף'!C405)</f>
        <v>1001348945</v>
      </c>
      <c r="C405" s="88">
        <f>IF($F405="","",'הזנה לתנאי סף'!D405)</f>
        <v>1001280733</v>
      </c>
      <c r="D405" s="88">
        <f>IF($F405="","",'הזנה לתנאי סף'!E405)</f>
        <v>41349383</v>
      </c>
      <c r="E405" s="88">
        <f>IF($F405="","",'הזנה לתנאי סף'!F405)</f>
        <v>20000231</v>
      </c>
      <c r="F405" s="88" t="str">
        <f>IF(OR('הזנה לתנאי סף'!G405="",'הזנה לתנאי סף'!BL405&lt;&gt;1,'הזנה לתנאי סף'!Q405&lt;&gt;1),"",'הזנה לתנאי סף'!G405)</f>
        <v>נצרת</v>
      </c>
      <c r="G405" s="88" t="str">
        <f>IF($F405="","",'הזנה לתנאי סף'!H405)</f>
        <v>יאללא</v>
      </c>
      <c r="H405" s="88" t="str">
        <f>IF($F405="","",'הזנה לתנאי סף'!I405)</f>
        <v>תיאטרון</v>
      </c>
      <c r="I405" s="213">
        <f>IF($F405="","",'תחום תמיכה א'!$I405)</f>
        <v>119906</v>
      </c>
      <c r="J405" s="213">
        <f>IF($F405="","",'תחום תמיכה א'!$J405)</f>
        <v>160500</v>
      </c>
      <c r="K405" s="213">
        <f>IF($F405="","",'תחום תמיכה א'!$K405)</f>
        <v>0</v>
      </c>
      <c r="L405" s="213">
        <f t="shared" si="75"/>
        <v>280406</v>
      </c>
      <c r="M405" s="214">
        <f t="shared" si="76"/>
        <v>0.42761567156194946</v>
      </c>
      <c r="N405" s="214">
        <f t="shared" si="77"/>
        <v>0.57238432843805054</v>
      </c>
      <c r="O405" s="213">
        <f t="shared" si="78"/>
        <v>91867.684714307106</v>
      </c>
      <c r="P405" s="213">
        <f>IF($F405="","",'פרמטרים לקריטריונים'!$C$59*O405)</f>
        <v>27560.305414292132</v>
      </c>
      <c r="Q405" s="214">
        <f t="shared" si="79"/>
        <v>1.5657809405431421E-4</v>
      </c>
      <c r="R405" s="213">
        <f t="shared" si="80"/>
        <v>15657.809405431421</v>
      </c>
      <c r="S405" s="213">
        <f>IF($F405="","",'הזנה לתנאי סף'!N405)</f>
        <v>0</v>
      </c>
      <c r="T405" s="213">
        <f>IF($F405="","",'הזנה לתנאי סף'!O405)</f>
        <v>1</v>
      </c>
      <c r="U405" s="213">
        <f>IF($F405="","",'תחום תמיכה א'!W405)</f>
        <v>0</v>
      </c>
      <c r="V405" s="213">
        <f>IF($F405="","",'תחום תמיכה א'!X405)</f>
        <v>0</v>
      </c>
      <c r="W405" s="213">
        <f>IF($F405="","",'תחום תמיכה א'!Y405)</f>
        <v>1</v>
      </c>
      <c r="X405" s="231">
        <f>IF($F405="","",'תחום תמיכה א'!Z405)</f>
        <v>0</v>
      </c>
      <c r="Y405" s="213" t="str">
        <f>IF($F405="","",'תחום תמיכה א'!AA405)</f>
        <v/>
      </c>
      <c r="Z405" s="214" t="str">
        <f>IF($F405="","",'תחום תמיכה א'!AB405)</f>
        <v/>
      </c>
      <c r="AA405" s="225" t="str">
        <f>IF($F405="","",'תחום תמיכה א'!AC405)</f>
        <v/>
      </c>
      <c r="AB405" s="213" t="str">
        <f t="shared" si="81"/>
        <v/>
      </c>
      <c r="AC405" s="213">
        <f t="shared" si="82"/>
        <v>15657.809405431421</v>
      </c>
      <c r="AD405" s="214">
        <f t="shared" si="83"/>
        <v>1.5692172637768215E-4</v>
      </c>
      <c r="AE405" s="213">
        <f t="shared" si="84"/>
        <v>16127.309638528135</v>
      </c>
      <c r="AF405" s="214">
        <f t="shared" si="85"/>
        <v>1.5692172637768218E-4</v>
      </c>
    </row>
    <row r="406" spans="1:32" ht="15.75" x14ac:dyDescent="0.2">
      <c r="A406" s="206">
        <f t="shared" si="74"/>
        <v>376</v>
      </c>
      <c r="B406" s="88">
        <f>IF($F406="","",'הזנה לתנאי סף'!C406)</f>
        <v>1001348078</v>
      </c>
      <c r="C406" s="88">
        <f>IF($F406="","",'הזנה לתנאי סף'!D406)</f>
        <v>1001302078</v>
      </c>
      <c r="D406" s="88">
        <f>IF($F406="","",'הזנה לתנאי סף'!E406)</f>
        <v>40472081</v>
      </c>
      <c r="E406" s="88">
        <f>IF($F406="","",'הזנה לתנאי סף'!F406)</f>
        <v>20000242</v>
      </c>
      <c r="F406" s="88" t="str">
        <f>IF(OR('הזנה לתנאי סף'!G406="",'הזנה לתנאי סף'!BL406&lt;&gt;1,'הזנה לתנאי סף'!Q406&lt;&gt;1),"",'הזנה לתנאי סף'!G406)</f>
        <v>פרדס חנה-כרכור</v>
      </c>
      <c r="G406" s="88" t="str">
        <f>IF($F406="","",'הזנה לתנאי סף'!H406)</f>
        <v>הידית - מרכז ליצירה תיאטרונית אלטרנ</v>
      </c>
      <c r="H406" s="88" t="str">
        <f>IF($F406="","",'הזנה לתנאי סף'!I406)</f>
        <v>תיאטרון</v>
      </c>
      <c r="I406" s="213">
        <f>IF($F406="","",'תחום תמיכה א'!$I406)</f>
        <v>891886</v>
      </c>
      <c r="J406" s="213">
        <f>IF($F406="","",'תחום תמיכה א'!$J406)</f>
        <v>308713</v>
      </c>
      <c r="K406" s="213">
        <f>IF($F406="","",'תחום תמיכה א'!$K406)</f>
        <v>0</v>
      </c>
      <c r="L406" s="213">
        <f t="shared" si="75"/>
        <v>1200599</v>
      </c>
      <c r="M406" s="214">
        <f t="shared" si="76"/>
        <v>0.74286751863028366</v>
      </c>
      <c r="N406" s="214">
        <f t="shared" si="77"/>
        <v>0.25713248136971634</v>
      </c>
      <c r="O406" s="213">
        <f t="shared" si="78"/>
        <v>79380.139721089246</v>
      </c>
      <c r="P406" s="213">
        <f>IF($F406="","",'פרמטרים לקריטריונים'!$C$59*O406)</f>
        <v>23814.041916326772</v>
      </c>
      <c r="Q406" s="214">
        <f t="shared" si="79"/>
        <v>1.3529448382144371E-4</v>
      </c>
      <c r="R406" s="213">
        <f t="shared" si="80"/>
        <v>13529.44838214437</v>
      </c>
      <c r="S406" s="213">
        <f>IF($F406="","",'הזנה לתנאי סף'!N406)</f>
        <v>0</v>
      </c>
      <c r="T406" s="213">
        <f>IF($F406="","",'הזנה לתנאי סף'!O406)</f>
        <v>1</v>
      </c>
      <c r="U406" s="213">
        <f>IF($F406="","",'תחום תמיכה א'!W406)</f>
        <v>34000</v>
      </c>
      <c r="V406" s="213">
        <f>IF($F406="","",'תחום תמיכה א'!X406)</f>
        <v>69000</v>
      </c>
      <c r="W406" s="213">
        <f>IF($F406="","",'תחום תמיכה א'!Y406)</f>
        <v>1325688</v>
      </c>
      <c r="X406" s="231">
        <f>IF($F406="","",'תחום תמיכה א'!Z406)</f>
        <v>2.5647060243435861E-2</v>
      </c>
      <c r="Y406" s="213" t="str">
        <f>IF($F406="","",'תחום תמיכה א'!AA406)</f>
        <v/>
      </c>
      <c r="Z406" s="214" t="str">
        <f>IF($F406="","",'תחום תמיכה א'!AB406)</f>
        <v/>
      </c>
      <c r="AA406" s="225" t="str">
        <f>IF($F406="","",'תחום תמיכה א'!AC406)</f>
        <v/>
      </c>
      <c r="AB406" s="213" t="str">
        <f t="shared" si="81"/>
        <v/>
      </c>
      <c r="AC406" s="213">
        <f t="shared" si="82"/>
        <v>13529.44838214437</v>
      </c>
      <c r="AD406" s="214">
        <f t="shared" si="83"/>
        <v>1.3559140631302992E-4</v>
      </c>
      <c r="AE406" s="213">
        <f t="shared" si="84"/>
        <v>13935.12959875717</v>
      </c>
      <c r="AF406" s="214">
        <f t="shared" si="85"/>
        <v>1.3559140631302997E-4</v>
      </c>
    </row>
    <row r="407" spans="1:32" ht="15.75" x14ac:dyDescent="0.2">
      <c r="A407" s="206">
        <f t="shared" si="74"/>
        <v>377</v>
      </c>
      <c r="B407" s="88">
        <f>IF($F407="","",'הזנה לתנאי סף'!C407)</f>
        <v>1001350994</v>
      </c>
      <c r="C407" s="88">
        <f>IF($F407="","",'הזנה לתנאי סף'!D407)</f>
        <v>1001268790</v>
      </c>
      <c r="D407" s="88">
        <f>IF($F407="","",'הזנה לתנאי סף'!E407)</f>
        <v>40000023</v>
      </c>
      <c r="E407" s="88">
        <f>IF($F407="","",'הזנה לתנאי סף'!F407)</f>
        <v>20000201</v>
      </c>
      <c r="F407" s="88" t="str">
        <f>IF(OR('הזנה לתנאי סף'!G407="",'הזנה לתנאי סף'!BL407&lt;&gt;1,'הזנה לתנאי סף'!Q407&lt;&gt;1),"",'הזנה לתנאי סף'!G407)</f>
        <v>תל אביב -יפו</v>
      </c>
      <c r="G407" s="88" t="str">
        <f>IF($F407="","",'הזנה לתנאי סף'!H407)</f>
        <v>קרן מוזיאון רובין</v>
      </c>
      <c r="H407" s="88" t="str">
        <f>IF($F407="","",'הזנה לתנאי סף'!I407)</f>
        <v>מוזיאונים</v>
      </c>
      <c r="I407" s="213">
        <f>IF($F407="","",'תחום תמיכה א'!$I407)</f>
        <v>860988</v>
      </c>
      <c r="J407" s="213">
        <f>IF($F407="","",'תחום תמיכה א'!$J407)</f>
        <v>860369</v>
      </c>
      <c r="K407" s="213">
        <f>IF($F407="","",'תחום תמיכה א'!$K407)</f>
        <v>0</v>
      </c>
      <c r="L407" s="213">
        <f t="shared" si="75"/>
        <v>1721357</v>
      </c>
      <c r="M407" s="214">
        <f t="shared" si="76"/>
        <v>0.50017980000662265</v>
      </c>
      <c r="N407" s="214">
        <f t="shared" si="77"/>
        <v>0.49982019999337735</v>
      </c>
      <c r="O407" s="213">
        <f t="shared" si="78"/>
        <v>430029.80564810208</v>
      </c>
      <c r="P407" s="213">
        <f>IF($F407="","",'פרמטרים לקריטריונים'!$C$59*O407)</f>
        <v>129008.94169443061</v>
      </c>
      <c r="Q407" s="214">
        <f t="shared" si="79"/>
        <v>7.3293724081892277E-4</v>
      </c>
      <c r="R407" s="213">
        <f t="shared" si="80"/>
        <v>73293.724081892273</v>
      </c>
      <c r="S407" s="213">
        <f>IF($F407="","",'הזנה לתנאי סף'!N407)</f>
        <v>1</v>
      </c>
      <c r="T407" s="213">
        <f>IF($F407="","",'הזנה לתנאי סף'!O407)</f>
        <v>1</v>
      </c>
      <c r="U407" s="213">
        <f>IF($F407="","",'תחום תמיכה א'!W407)</f>
        <v>0</v>
      </c>
      <c r="V407" s="213">
        <f>IF($F407="","",'תחום תמיכה א'!X407)</f>
        <v>0</v>
      </c>
      <c r="W407" s="213">
        <f>IF($F407="","",'תחום תמיכה א'!Y407)</f>
        <v>0</v>
      </c>
      <c r="X407" s="231" t="str">
        <f>IF($F407="","",'תחום תמיכה א'!Z407)</f>
        <v>בדוק נתוני הזנה</v>
      </c>
      <c r="Y407" s="213" t="str">
        <f>IF($F407="","",'תחום תמיכה א'!AA407)</f>
        <v>בדוק נתוני הזנה</v>
      </c>
      <c r="Z407" s="214">
        <f>IF($F407="","",'תחום תמיכה א'!AB407)</f>
        <v>1</v>
      </c>
      <c r="AA407" s="225" t="str">
        <f>IF($F407="","",'תחום תמיכה א'!AC407)</f>
        <v/>
      </c>
      <c r="AB407" s="213" t="str">
        <f t="shared" si="81"/>
        <v/>
      </c>
      <c r="AC407" s="213">
        <f t="shared" si="82"/>
        <v>73293.724081892273</v>
      </c>
      <c r="AD407" s="214">
        <f t="shared" si="83"/>
        <v>7.3454577315204799E-4</v>
      </c>
      <c r="AE407" s="213">
        <f t="shared" si="84"/>
        <v>75491.440227871033</v>
      </c>
      <c r="AF407" s="214">
        <f t="shared" si="85"/>
        <v>7.3454577315204821E-4</v>
      </c>
    </row>
    <row r="408" spans="1:32" ht="15.75" x14ac:dyDescent="0.2">
      <c r="A408" s="206" t="str">
        <f t="shared" si="74"/>
        <v/>
      </c>
      <c r="B408" s="88" t="str">
        <f>IF($F408="","",'הזנה לתנאי סף'!C408)</f>
        <v/>
      </c>
      <c r="C408" s="88" t="str">
        <f>IF($F408="","",'הזנה לתנאי סף'!D408)</f>
        <v/>
      </c>
      <c r="D408" s="88" t="str">
        <f>IF($F408="","",'הזנה לתנאי סף'!E408)</f>
        <v/>
      </c>
      <c r="E408" s="88" t="str">
        <f>IF($F408="","",'הזנה לתנאי סף'!F408)</f>
        <v/>
      </c>
      <c r="F408" s="88" t="str">
        <f>IF(OR('הזנה לתנאי סף'!G408="",'הזנה לתנאי סף'!BL408&lt;&gt;1,'הזנה לתנאי סף'!Q408&lt;&gt;1),"",'הזנה לתנאי סף'!G408)</f>
        <v/>
      </c>
      <c r="G408" s="88" t="str">
        <f>IF($F408="","",'הזנה לתנאי סף'!H408)</f>
        <v/>
      </c>
      <c r="H408" s="88" t="str">
        <f>IF($F408="","",'הזנה לתנאי סף'!I408)</f>
        <v/>
      </c>
      <c r="I408" s="213" t="str">
        <f>IF($F408="","",'תחום תמיכה א'!$I408)</f>
        <v/>
      </c>
      <c r="J408" s="213" t="str">
        <f>IF($F408="","",'תחום תמיכה א'!$J408)</f>
        <v/>
      </c>
      <c r="K408" s="213" t="str">
        <f>IF($F408="","",'תחום תמיכה א'!$K408)</f>
        <v/>
      </c>
      <c r="L408" s="213" t="str">
        <f t="shared" si="75"/>
        <v/>
      </c>
      <c r="M408" s="214" t="str">
        <f t="shared" si="76"/>
        <v/>
      </c>
      <c r="N408" s="214" t="str">
        <f t="shared" si="77"/>
        <v/>
      </c>
      <c r="O408" s="213" t="str">
        <f t="shared" si="78"/>
        <v/>
      </c>
      <c r="P408" s="213" t="str">
        <f>IF($F408="","",'פרמטרים לקריטריונים'!$C$59*O408)</f>
        <v/>
      </c>
      <c r="Q408" s="214" t="str">
        <f t="shared" si="79"/>
        <v/>
      </c>
      <c r="R408" s="213" t="str">
        <f t="shared" si="80"/>
        <v/>
      </c>
      <c r="S408" s="213" t="str">
        <f>IF($F408="","",'הזנה לתנאי סף'!N408)</f>
        <v/>
      </c>
      <c r="T408" s="213" t="str">
        <f>IF($F408="","",'הזנה לתנאי סף'!O408)</f>
        <v/>
      </c>
      <c r="U408" s="213" t="str">
        <f>IF($F408="","",'תחום תמיכה א'!W408)</f>
        <v/>
      </c>
      <c r="V408" s="213" t="str">
        <f>IF($F408="","",'תחום תמיכה א'!X408)</f>
        <v/>
      </c>
      <c r="W408" s="213" t="str">
        <f>IF($F408="","",'תחום תמיכה א'!Y408)</f>
        <v/>
      </c>
      <c r="X408" s="231" t="str">
        <f>IF($F408="","",'תחום תמיכה א'!Z408)</f>
        <v/>
      </c>
      <c r="Y408" s="213" t="str">
        <f>IF($F408="","",'תחום תמיכה א'!AA408)</f>
        <v/>
      </c>
      <c r="Z408" s="214" t="str">
        <f>IF($F408="","",'תחום תמיכה א'!AB408)</f>
        <v/>
      </c>
      <c r="AA408" s="225" t="str">
        <f>IF($F408="","",'תחום תמיכה א'!AC408)</f>
        <v/>
      </c>
      <c r="AB408" s="213" t="str">
        <f t="shared" si="81"/>
        <v/>
      </c>
      <c r="AC408" s="213" t="str">
        <f t="shared" si="82"/>
        <v/>
      </c>
      <c r="AD408" s="214" t="str">
        <f t="shared" si="83"/>
        <v/>
      </c>
      <c r="AE408" s="213" t="str">
        <f t="shared" si="84"/>
        <v/>
      </c>
      <c r="AF408" s="214" t="str">
        <f t="shared" si="85"/>
        <v/>
      </c>
    </row>
    <row r="409" spans="1:32" ht="15.75" x14ac:dyDescent="0.2">
      <c r="A409" s="206" t="str">
        <f t="shared" si="74"/>
        <v/>
      </c>
      <c r="B409" s="88" t="str">
        <f>IF($F409="","",'הזנה לתנאי סף'!C409)</f>
        <v/>
      </c>
      <c r="C409" s="88" t="str">
        <f>IF($F409="","",'הזנה לתנאי סף'!D409)</f>
        <v/>
      </c>
      <c r="D409" s="88" t="str">
        <f>IF($F409="","",'הזנה לתנאי סף'!E409)</f>
        <v/>
      </c>
      <c r="E409" s="88" t="str">
        <f>IF($F409="","",'הזנה לתנאי סף'!F409)</f>
        <v/>
      </c>
      <c r="F409" s="88" t="str">
        <f>IF(OR('הזנה לתנאי סף'!G409="",'הזנה לתנאי סף'!BL409&lt;&gt;1,'הזנה לתנאי סף'!Q409&lt;&gt;1),"",'הזנה לתנאי סף'!G409)</f>
        <v/>
      </c>
      <c r="G409" s="88" t="str">
        <f>IF($F409="","",'הזנה לתנאי סף'!H409)</f>
        <v/>
      </c>
      <c r="H409" s="88" t="str">
        <f>IF($F409="","",'הזנה לתנאי סף'!I409)</f>
        <v/>
      </c>
      <c r="I409" s="213" t="str">
        <f>IF($F409="","",'תחום תמיכה א'!$I409)</f>
        <v/>
      </c>
      <c r="J409" s="213" t="str">
        <f>IF($F409="","",'תחום תמיכה א'!$J409)</f>
        <v/>
      </c>
      <c r="K409" s="213" t="str">
        <f>IF($F409="","",'תחום תמיכה א'!$K409)</f>
        <v/>
      </c>
      <c r="L409" s="213" t="str">
        <f t="shared" si="75"/>
        <v/>
      </c>
      <c r="M409" s="214" t="str">
        <f t="shared" si="76"/>
        <v/>
      </c>
      <c r="N409" s="214" t="str">
        <f t="shared" si="77"/>
        <v/>
      </c>
      <c r="O409" s="213" t="str">
        <f t="shared" si="78"/>
        <v/>
      </c>
      <c r="P409" s="213" t="str">
        <f>IF($F409="","",'פרמטרים לקריטריונים'!$C$59*O409)</f>
        <v/>
      </c>
      <c r="Q409" s="214" t="str">
        <f t="shared" si="79"/>
        <v/>
      </c>
      <c r="R409" s="213" t="str">
        <f t="shared" si="80"/>
        <v/>
      </c>
      <c r="S409" s="213" t="str">
        <f>IF($F409="","",'הזנה לתנאי סף'!N409)</f>
        <v/>
      </c>
      <c r="T409" s="213" t="str">
        <f>IF($F409="","",'הזנה לתנאי סף'!O409)</f>
        <v/>
      </c>
      <c r="U409" s="213" t="str">
        <f>IF($F409="","",'תחום תמיכה א'!W409)</f>
        <v/>
      </c>
      <c r="V409" s="213" t="str">
        <f>IF($F409="","",'תחום תמיכה א'!X409)</f>
        <v/>
      </c>
      <c r="W409" s="213" t="str">
        <f>IF($F409="","",'תחום תמיכה א'!Y409)</f>
        <v/>
      </c>
      <c r="X409" s="231" t="str">
        <f>IF($F409="","",'תחום תמיכה א'!Z409)</f>
        <v/>
      </c>
      <c r="Y409" s="213" t="str">
        <f>IF($F409="","",'תחום תמיכה א'!AA409)</f>
        <v/>
      </c>
      <c r="Z409" s="214" t="str">
        <f>IF($F409="","",'תחום תמיכה א'!AB409)</f>
        <v/>
      </c>
      <c r="AA409" s="225" t="str">
        <f>IF($F409="","",'תחום תמיכה א'!AC409)</f>
        <v/>
      </c>
      <c r="AB409" s="213" t="str">
        <f t="shared" si="81"/>
        <v/>
      </c>
      <c r="AC409" s="213" t="str">
        <f t="shared" si="82"/>
        <v/>
      </c>
      <c r="AD409" s="214" t="str">
        <f t="shared" si="83"/>
        <v/>
      </c>
      <c r="AE409" s="213" t="str">
        <f t="shared" si="84"/>
        <v/>
      </c>
      <c r="AF409" s="214" t="str">
        <f t="shared" si="85"/>
        <v/>
      </c>
    </row>
    <row r="410" spans="1:32" ht="15.75" x14ac:dyDescent="0.2">
      <c r="A410" s="206" t="str">
        <f t="shared" si="74"/>
        <v/>
      </c>
      <c r="B410" s="88" t="str">
        <f>IF($F410="","",'הזנה לתנאי סף'!C410)</f>
        <v/>
      </c>
      <c r="C410" s="88" t="str">
        <f>IF($F410="","",'הזנה לתנאי סף'!D410)</f>
        <v/>
      </c>
      <c r="D410" s="88" t="str">
        <f>IF($F410="","",'הזנה לתנאי סף'!E410)</f>
        <v/>
      </c>
      <c r="E410" s="88" t="str">
        <f>IF($F410="","",'הזנה לתנאי סף'!F410)</f>
        <v/>
      </c>
      <c r="F410" s="88" t="str">
        <f>IF(OR('הזנה לתנאי סף'!G410="",'הזנה לתנאי סף'!BL410&lt;&gt;1,'הזנה לתנאי סף'!Q410&lt;&gt;1),"",'הזנה לתנאי סף'!G410)</f>
        <v/>
      </c>
      <c r="G410" s="88" t="str">
        <f>IF($F410="","",'הזנה לתנאי סף'!H410)</f>
        <v/>
      </c>
      <c r="H410" s="88" t="str">
        <f>IF($F410="","",'הזנה לתנאי סף'!I410)</f>
        <v/>
      </c>
      <c r="I410" s="213" t="str">
        <f>IF($F410="","",'תחום תמיכה א'!$I410)</f>
        <v/>
      </c>
      <c r="J410" s="213" t="str">
        <f>IF($F410="","",'תחום תמיכה א'!$J410)</f>
        <v/>
      </c>
      <c r="K410" s="213" t="str">
        <f>IF($F410="","",'תחום תמיכה א'!$K410)</f>
        <v/>
      </c>
      <c r="L410" s="213" t="str">
        <f t="shared" si="75"/>
        <v/>
      </c>
      <c r="M410" s="214" t="str">
        <f t="shared" si="76"/>
        <v/>
      </c>
      <c r="N410" s="214" t="str">
        <f t="shared" si="77"/>
        <v/>
      </c>
      <c r="O410" s="213" t="str">
        <f t="shared" si="78"/>
        <v/>
      </c>
      <c r="P410" s="213" t="str">
        <f>IF($F410="","",'פרמטרים לקריטריונים'!$C$59*O410)</f>
        <v/>
      </c>
      <c r="Q410" s="214" t="str">
        <f t="shared" si="79"/>
        <v/>
      </c>
      <c r="R410" s="213" t="str">
        <f t="shared" si="80"/>
        <v/>
      </c>
      <c r="S410" s="213" t="str">
        <f>IF($F410="","",'הזנה לתנאי סף'!N410)</f>
        <v/>
      </c>
      <c r="T410" s="213" t="str">
        <f>IF($F410="","",'הזנה לתנאי סף'!O410)</f>
        <v/>
      </c>
      <c r="U410" s="213" t="str">
        <f>IF($F410="","",'תחום תמיכה א'!W410)</f>
        <v/>
      </c>
      <c r="V410" s="213" t="str">
        <f>IF($F410="","",'תחום תמיכה א'!X410)</f>
        <v/>
      </c>
      <c r="W410" s="213" t="str">
        <f>IF($F410="","",'תחום תמיכה א'!Y410)</f>
        <v/>
      </c>
      <c r="X410" s="231" t="str">
        <f>IF($F410="","",'תחום תמיכה א'!Z410)</f>
        <v/>
      </c>
      <c r="Y410" s="213" t="str">
        <f>IF($F410="","",'תחום תמיכה א'!AA410)</f>
        <v/>
      </c>
      <c r="Z410" s="214" t="str">
        <f>IF($F410="","",'תחום תמיכה א'!AB410)</f>
        <v/>
      </c>
      <c r="AA410" s="225" t="str">
        <f>IF($F410="","",'תחום תמיכה א'!AC410)</f>
        <v/>
      </c>
      <c r="AB410" s="213" t="str">
        <f t="shared" si="81"/>
        <v/>
      </c>
      <c r="AC410" s="213" t="str">
        <f t="shared" si="82"/>
        <v/>
      </c>
      <c r="AD410" s="214" t="str">
        <f t="shared" si="83"/>
        <v/>
      </c>
      <c r="AE410" s="213" t="str">
        <f t="shared" si="84"/>
        <v/>
      </c>
      <c r="AF410" s="214" t="str">
        <f t="shared" si="85"/>
        <v/>
      </c>
    </row>
    <row r="411" spans="1:32" ht="15.75" x14ac:dyDescent="0.2">
      <c r="A411" s="206" t="str">
        <f t="shared" si="74"/>
        <v/>
      </c>
      <c r="B411" s="88" t="str">
        <f>IF($F411="","",'הזנה לתנאי סף'!C411)</f>
        <v/>
      </c>
      <c r="C411" s="88" t="str">
        <f>IF($F411="","",'הזנה לתנאי סף'!D411)</f>
        <v/>
      </c>
      <c r="D411" s="88" t="str">
        <f>IF($F411="","",'הזנה לתנאי סף'!E411)</f>
        <v/>
      </c>
      <c r="E411" s="88" t="str">
        <f>IF($F411="","",'הזנה לתנאי סף'!F411)</f>
        <v/>
      </c>
      <c r="F411" s="88" t="str">
        <f>IF(OR('הזנה לתנאי סף'!G411="",'הזנה לתנאי סף'!BL411&lt;&gt;1,'הזנה לתנאי סף'!Q411&lt;&gt;1),"",'הזנה לתנאי סף'!G411)</f>
        <v/>
      </c>
      <c r="G411" s="88" t="str">
        <f>IF($F411="","",'הזנה לתנאי סף'!H411)</f>
        <v/>
      </c>
      <c r="H411" s="88" t="str">
        <f>IF($F411="","",'הזנה לתנאי סף'!I411)</f>
        <v/>
      </c>
      <c r="I411" s="213" t="str">
        <f>IF($F411="","",'תחום תמיכה א'!$I411)</f>
        <v/>
      </c>
      <c r="J411" s="213" t="str">
        <f>IF($F411="","",'תחום תמיכה א'!$J411)</f>
        <v/>
      </c>
      <c r="K411" s="213" t="str">
        <f>IF($F411="","",'תחום תמיכה א'!$K411)</f>
        <v/>
      </c>
      <c r="L411" s="213" t="str">
        <f t="shared" si="75"/>
        <v/>
      </c>
      <c r="M411" s="214" t="str">
        <f t="shared" si="76"/>
        <v/>
      </c>
      <c r="N411" s="214" t="str">
        <f t="shared" si="77"/>
        <v/>
      </c>
      <c r="O411" s="213" t="str">
        <f t="shared" si="78"/>
        <v/>
      </c>
      <c r="P411" s="213" t="str">
        <f>IF($F411="","",'פרמטרים לקריטריונים'!$C$59*O411)</f>
        <v/>
      </c>
      <c r="Q411" s="214" t="str">
        <f t="shared" si="79"/>
        <v/>
      </c>
      <c r="R411" s="213" t="str">
        <f t="shared" si="80"/>
        <v/>
      </c>
      <c r="S411" s="213" t="str">
        <f>IF($F411="","",'הזנה לתנאי סף'!N411)</f>
        <v/>
      </c>
      <c r="T411" s="213" t="str">
        <f>IF($F411="","",'הזנה לתנאי סף'!O411)</f>
        <v/>
      </c>
      <c r="U411" s="213" t="str">
        <f>IF($F411="","",'תחום תמיכה א'!W411)</f>
        <v/>
      </c>
      <c r="V411" s="213" t="str">
        <f>IF($F411="","",'תחום תמיכה א'!X411)</f>
        <v/>
      </c>
      <c r="W411" s="213" t="str">
        <f>IF($F411="","",'תחום תמיכה א'!Y411)</f>
        <v/>
      </c>
      <c r="X411" s="231" t="str">
        <f>IF($F411="","",'תחום תמיכה א'!Z411)</f>
        <v/>
      </c>
      <c r="Y411" s="213" t="str">
        <f>IF($F411="","",'תחום תמיכה א'!AA411)</f>
        <v/>
      </c>
      <c r="Z411" s="214" t="str">
        <f>IF($F411="","",'תחום תמיכה א'!AB411)</f>
        <v/>
      </c>
      <c r="AA411" s="225" t="str">
        <f>IF($F411="","",'תחום תמיכה א'!AC411)</f>
        <v/>
      </c>
      <c r="AB411" s="213" t="str">
        <f t="shared" si="81"/>
        <v/>
      </c>
      <c r="AC411" s="213" t="str">
        <f t="shared" si="82"/>
        <v/>
      </c>
      <c r="AD411" s="214" t="str">
        <f t="shared" si="83"/>
        <v/>
      </c>
      <c r="AE411" s="213" t="str">
        <f t="shared" si="84"/>
        <v/>
      </c>
      <c r="AF411" s="214" t="str">
        <f t="shared" si="85"/>
        <v/>
      </c>
    </row>
    <row r="412" spans="1:32" ht="15.75" x14ac:dyDescent="0.2">
      <c r="A412" s="206" t="str">
        <f t="shared" si="74"/>
        <v/>
      </c>
      <c r="B412" s="88" t="str">
        <f>IF($F412="","",'הזנה לתנאי סף'!C412)</f>
        <v/>
      </c>
      <c r="C412" s="88" t="str">
        <f>IF($F412="","",'הזנה לתנאי סף'!D412)</f>
        <v/>
      </c>
      <c r="D412" s="88" t="str">
        <f>IF($F412="","",'הזנה לתנאי סף'!E412)</f>
        <v/>
      </c>
      <c r="E412" s="88" t="str">
        <f>IF($F412="","",'הזנה לתנאי סף'!F412)</f>
        <v/>
      </c>
      <c r="F412" s="88" t="str">
        <f>IF(OR('הזנה לתנאי סף'!G412="",'הזנה לתנאי סף'!BL412&lt;&gt;1,'הזנה לתנאי סף'!Q412&lt;&gt;1),"",'הזנה לתנאי סף'!G412)</f>
        <v/>
      </c>
      <c r="G412" s="88" t="str">
        <f>IF($F412="","",'הזנה לתנאי סף'!H412)</f>
        <v/>
      </c>
      <c r="H412" s="88" t="str">
        <f>IF($F412="","",'הזנה לתנאי סף'!I412)</f>
        <v/>
      </c>
      <c r="I412" s="213" t="str">
        <f>IF($F412="","",'תחום תמיכה א'!$I412)</f>
        <v/>
      </c>
      <c r="J412" s="213" t="str">
        <f>IF($F412="","",'תחום תמיכה א'!$J412)</f>
        <v/>
      </c>
      <c r="K412" s="213" t="str">
        <f>IF($F412="","",'תחום תמיכה א'!$K412)</f>
        <v/>
      </c>
      <c r="L412" s="213" t="str">
        <f t="shared" si="75"/>
        <v/>
      </c>
      <c r="M412" s="214" t="str">
        <f t="shared" si="76"/>
        <v/>
      </c>
      <c r="N412" s="214" t="str">
        <f t="shared" si="77"/>
        <v/>
      </c>
      <c r="O412" s="213" t="str">
        <f t="shared" si="78"/>
        <v/>
      </c>
      <c r="P412" s="213" t="str">
        <f>IF($F412="","",'פרמטרים לקריטריונים'!$C$59*O412)</f>
        <v/>
      </c>
      <c r="Q412" s="214" t="str">
        <f t="shared" si="79"/>
        <v/>
      </c>
      <c r="R412" s="213" t="str">
        <f t="shared" si="80"/>
        <v/>
      </c>
      <c r="S412" s="213" t="str">
        <f>IF($F412="","",'הזנה לתנאי סף'!N412)</f>
        <v/>
      </c>
      <c r="T412" s="213" t="str">
        <f>IF($F412="","",'הזנה לתנאי סף'!O412)</f>
        <v/>
      </c>
      <c r="U412" s="213" t="str">
        <f>IF($F412="","",'תחום תמיכה א'!W412)</f>
        <v/>
      </c>
      <c r="V412" s="213" t="str">
        <f>IF($F412="","",'תחום תמיכה א'!X412)</f>
        <v/>
      </c>
      <c r="W412" s="213" t="str">
        <f>IF($F412="","",'תחום תמיכה א'!Y412)</f>
        <v/>
      </c>
      <c r="X412" s="231" t="str">
        <f>IF($F412="","",'תחום תמיכה א'!Z412)</f>
        <v/>
      </c>
      <c r="Y412" s="213" t="str">
        <f>IF($F412="","",'תחום תמיכה א'!AA412)</f>
        <v/>
      </c>
      <c r="Z412" s="214" t="str">
        <f>IF($F412="","",'תחום תמיכה א'!AB412)</f>
        <v/>
      </c>
      <c r="AA412" s="225" t="str">
        <f>IF($F412="","",'תחום תמיכה א'!AC412)</f>
        <v/>
      </c>
      <c r="AB412" s="213" t="str">
        <f t="shared" si="81"/>
        <v/>
      </c>
      <c r="AC412" s="213" t="str">
        <f t="shared" si="82"/>
        <v/>
      </c>
      <c r="AD412" s="214" t="str">
        <f t="shared" si="83"/>
        <v/>
      </c>
      <c r="AE412" s="213" t="str">
        <f t="shared" si="84"/>
        <v/>
      </c>
      <c r="AF412" s="214" t="str">
        <f t="shared" si="85"/>
        <v/>
      </c>
    </row>
    <row r="413" spans="1:32" ht="15.75" x14ac:dyDescent="0.2">
      <c r="A413" s="206" t="str">
        <f t="shared" si="74"/>
        <v/>
      </c>
      <c r="B413" s="88" t="str">
        <f>IF($F413="","",'הזנה לתנאי סף'!C413)</f>
        <v/>
      </c>
      <c r="C413" s="88" t="str">
        <f>IF($F413="","",'הזנה לתנאי סף'!D413)</f>
        <v/>
      </c>
      <c r="D413" s="88" t="str">
        <f>IF($F413="","",'הזנה לתנאי סף'!E413)</f>
        <v/>
      </c>
      <c r="E413" s="88" t="str">
        <f>IF($F413="","",'הזנה לתנאי סף'!F413)</f>
        <v/>
      </c>
      <c r="F413" s="88" t="str">
        <f>IF(OR('הזנה לתנאי סף'!G413="",'הזנה לתנאי סף'!BL413&lt;&gt;1,'הזנה לתנאי סף'!Q413&lt;&gt;1),"",'הזנה לתנאי סף'!G413)</f>
        <v/>
      </c>
      <c r="G413" s="88" t="str">
        <f>IF($F413="","",'הזנה לתנאי סף'!H413)</f>
        <v/>
      </c>
      <c r="H413" s="88" t="str">
        <f>IF($F413="","",'הזנה לתנאי סף'!I413)</f>
        <v/>
      </c>
      <c r="I413" s="213" t="str">
        <f>IF($F413="","",'תחום תמיכה א'!$I413)</f>
        <v/>
      </c>
      <c r="J413" s="213" t="str">
        <f>IF($F413="","",'תחום תמיכה א'!$J413)</f>
        <v/>
      </c>
      <c r="K413" s="213" t="str">
        <f>IF($F413="","",'תחום תמיכה א'!$K413)</f>
        <v/>
      </c>
      <c r="L413" s="213" t="str">
        <f t="shared" si="75"/>
        <v/>
      </c>
      <c r="M413" s="214" t="str">
        <f t="shared" si="76"/>
        <v/>
      </c>
      <c r="N413" s="214" t="str">
        <f t="shared" si="77"/>
        <v/>
      </c>
      <c r="O413" s="213" t="str">
        <f t="shared" si="78"/>
        <v/>
      </c>
      <c r="P413" s="213" t="str">
        <f>IF($F413="","",'פרמטרים לקריטריונים'!$C$59*O413)</f>
        <v/>
      </c>
      <c r="Q413" s="214" t="str">
        <f t="shared" si="79"/>
        <v/>
      </c>
      <c r="R413" s="213" t="str">
        <f t="shared" si="80"/>
        <v/>
      </c>
      <c r="S413" s="213" t="str">
        <f>IF($F413="","",'הזנה לתנאי סף'!N413)</f>
        <v/>
      </c>
      <c r="T413" s="213" t="str">
        <f>IF($F413="","",'הזנה לתנאי סף'!O413)</f>
        <v/>
      </c>
      <c r="U413" s="213" t="str">
        <f>IF($F413="","",'תחום תמיכה א'!W413)</f>
        <v/>
      </c>
      <c r="V413" s="213" t="str">
        <f>IF($F413="","",'תחום תמיכה א'!X413)</f>
        <v/>
      </c>
      <c r="W413" s="213" t="str">
        <f>IF($F413="","",'תחום תמיכה א'!Y413)</f>
        <v/>
      </c>
      <c r="X413" s="231" t="str">
        <f>IF($F413="","",'תחום תמיכה א'!Z413)</f>
        <v/>
      </c>
      <c r="Y413" s="213" t="str">
        <f>IF($F413="","",'תחום תמיכה א'!AA413)</f>
        <v/>
      </c>
      <c r="Z413" s="214" t="str">
        <f>IF($F413="","",'תחום תמיכה א'!AB413)</f>
        <v/>
      </c>
      <c r="AA413" s="225" t="str">
        <f>IF($F413="","",'תחום תמיכה א'!AC413)</f>
        <v/>
      </c>
      <c r="AB413" s="213" t="str">
        <f t="shared" si="81"/>
        <v/>
      </c>
      <c r="AC413" s="213" t="str">
        <f t="shared" si="82"/>
        <v/>
      </c>
      <c r="AD413" s="214" t="str">
        <f t="shared" si="83"/>
        <v/>
      </c>
      <c r="AE413" s="213" t="str">
        <f t="shared" si="84"/>
        <v/>
      </c>
      <c r="AF413" s="214" t="str">
        <f t="shared" si="85"/>
        <v/>
      </c>
    </row>
    <row r="414" spans="1:32" ht="15.75" x14ac:dyDescent="0.2">
      <c r="A414" s="206" t="str">
        <f t="shared" si="74"/>
        <v/>
      </c>
      <c r="B414" s="88" t="str">
        <f>IF($F414="","",'הזנה לתנאי סף'!C414)</f>
        <v/>
      </c>
      <c r="C414" s="88" t="str">
        <f>IF($F414="","",'הזנה לתנאי סף'!D414)</f>
        <v/>
      </c>
      <c r="D414" s="88" t="str">
        <f>IF($F414="","",'הזנה לתנאי סף'!E414)</f>
        <v/>
      </c>
      <c r="E414" s="88" t="str">
        <f>IF($F414="","",'הזנה לתנאי סף'!F414)</f>
        <v/>
      </c>
      <c r="F414" s="88" t="str">
        <f>IF(OR('הזנה לתנאי סף'!G414="",'הזנה לתנאי סף'!BL414&lt;&gt;1,'הזנה לתנאי סף'!Q414&lt;&gt;1),"",'הזנה לתנאי סף'!G414)</f>
        <v/>
      </c>
      <c r="G414" s="88" t="str">
        <f>IF($F414="","",'הזנה לתנאי סף'!H414)</f>
        <v/>
      </c>
      <c r="H414" s="88" t="str">
        <f>IF($F414="","",'הזנה לתנאי סף'!I414)</f>
        <v/>
      </c>
      <c r="I414" s="213" t="str">
        <f>IF($F414="","",'תחום תמיכה א'!$I414)</f>
        <v/>
      </c>
      <c r="J414" s="213" t="str">
        <f>IF($F414="","",'תחום תמיכה א'!$J414)</f>
        <v/>
      </c>
      <c r="K414" s="213" t="str">
        <f>IF($F414="","",'תחום תמיכה א'!$K414)</f>
        <v/>
      </c>
      <c r="L414" s="213" t="str">
        <f t="shared" si="75"/>
        <v/>
      </c>
      <c r="M414" s="214" t="str">
        <f t="shared" si="76"/>
        <v/>
      </c>
      <c r="N414" s="214" t="str">
        <f t="shared" si="77"/>
        <v/>
      </c>
      <c r="O414" s="213" t="str">
        <f t="shared" si="78"/>
        <v/>
      </c>
      <c r="P414" s="213" t="str">
        <f>IF($F414="","",'פרמטרים לקריטריונים'!$C$59*O414)</f>
        <v/>
      </c>
      <c r="Q414" s="214" t="str">
        <f t="shared" si="79"/>
        <v/>
      </c>
      <c r="R414" s="213" t="str">
        <f t="shared" si="80"/>
        <v/>
      </c>
      <c r="S414" s="213" t="str">
        <f>IF($F414="","",'הזנה לתנאי סף'!N414)</f>
        <v/>
      </c>
      <c r="T414" s="213" t="str">
        <f>IF($F414="","",'הזנה לתנאי סף'!O414)</f>
        <v/>
      </c>
      <c r="U414" s="213" t="str">
        <f>IF($F414="","",'תחום תמיכה א'!W414)</f>
        <v/>
      </c>
      <c r="V414" s="213" t="str">
        <f>IF($F414="","",'תחום תמיכה א'!X414)</f>
        <v/>
      </c>
      <c r="W414" s="213" t="str">
        <f>IF($F414="","",'תחום תמיכה א'!Y414)</f>
        <v/>
      </c>
      <c r="X414" s="231" t="str">
        <f>IF($F414="","",'תחום תמיכה א'!Z414)</f>
        <v/>
      </c>
      <c r="Y414" s="213" t="str">
        <f>IF($F414="","",'תחום תמיכה א'!AA414)</f>
        <v/>
      </c>
      <c r="Z414" s="214" t="str">
        <f>IF($F414="","",'תחום תמיכה א'!AB414)</f>
        <v/>
      </c>
      <c r="AA414" s="225" t="str">
        <f>IF($F414="","",'תחום תמיכה א'!AC414)</f>
        <v/>
      </c>
      <c r="AB414" s="213" t="str">
        <f t="shared" si="81"/>
        <v/>
      </c>
      <c r="AC414" s="213" t="str">
        <f t="shared" si="82"/>
        <v/>
      </c>
      <c r="AD414" s="214" t="str">
        <f t="shared" si="83"/>
        <v/>
      </c>
      <c r="AE414" s="213" t="str">
        <f t="shared" si="84"/>
        <v/>
      </c>
      <c r="AF414" s="214" t="str">
        <f t="shared" si="85"/>
        <v/>
      </c>
    </row>
    <row r="415" spans="1:32" ht="15.75" x14ac:dyDescent="0.2">
      <c r="A415" s="206" t="str">
        <f t="shared" si="74"/>
        <v/>
      </c>
      <c r="B415" s="88" t="str">
        <f>IF($F415="","",'הזנה לתנאי סף'!C415)</f>
        <v/>
      </c>
      <c r="C415" s="88" t="str">
        <f>IF($F415="","",'הזנה לתנאי סף'!D415)</f>
        <v/>
      </c>
      <c r="D415" s="88" t="str">
        <f>IF($F415="","",'הזנה לתנאי סף'!E415)</f>
        <v/>
      </c>
      <c r="E415" s="88" t="str">
        <f>IF($F415="","",'הזנה לתנאי סף'!F415)</f>
        <v/>
      </c>
      <c r="F415" s="88" t="str">
        <f>IF(OR('הזנה לתנאי סף'!G415="",'הזנה לתנאי סף'!BL415&lt;&gt;1,'הזנה לתנאי סף'!Q415&lt;&gt;1),"",'הזנה לתנאי סף'!G415)</f>
        <v/>
      </c>
      <c r="G415" s="88" t="str">
        <f>IF($F415="","",'הזנה לתנאי סף'!H415)</f>
        <v/>
      </c>
      <c r="H415" s="88" t="str">
        <f>IF($F415="","",'הזנה לתנאי סף'!I415)</f>
        <v/>
      </c>
      <c r="I415" s="213" t="str">
        <f>IF($F415="","",'תחום תמיכה א'!$I415)</f>
        <v/>
      </c>
      <c r="J415" s="213" t="str">
        <f>IF($F415="","",'תחום תמיכה א'!$J415)</f>
        <v/>
      </c>
      <c r="K415" s="213" t="str">
        <f>IF($F415="","",'תחום תמיכה א'!$K415)</f>
        <v/>
      </c>
      <c r="L415" s="213" t="str">
        <f t="shared" si="75"/>
        <v/>
      </c>
      <c r="M415" s="214" t="str">
        <f t="shared" si="76"/>
        <v/>
      </c>
      <c r="N415" s="214" t="str">
        <f t="shared" si="77"/>
        <v/>
      </c>
      <c r="O415" s="213" t="str">
        <f t="shared" si="78"/>
        <v/>
      </c>
      <c r="P415" s="213" t="str">
        <f>IF($F415="","",'פרמטרים לקריטריונים'!$C$59*O415)</f>
        <v/>
      </c>
      <c r="Q415" s="214" t="str">
        <f t="shared" si="79"/>
        <v/>
      </c>
      <c r="R415" s="213" t="str">
        <f t="shared" si="80"/>
        <v/>
      </c>
      <c r="S415" s="213" t="str">
        <f>IF($F415="","",'הזנה לתנאי סף'!N415)</f>
        <v/>
      </c>
      <c r="T415" s="213" t="str">
        <f>IF($F415="","",'הזנה לתנאי סף'!O415)</f>
        <v/>
      </c>
      <c r="U415" s="213" t="str">
        <f>IF($F415="","",'תחום תמיכה א'!W415)</f>
        <v/>
      </c>
      <c r="V415" s="213" t="str">
        <f>IF($F415="","",'תחום תמיכה א'!X415)</f>
        <v/>
      </c>
      <c r="W415" s="213" t="str">
        <f>IF($F415="","",'תחום תמיכה א'!Y415)</f>
        <v/>
      </c>
      <c r="X415" s="231" t="str">
        <f>IF($F415="","",'תחום תמיכה א'!Z415)</f>
        <v/>
      </c>
      <c r="Y415" s="213" t="str">
        <f>IF($F415="","",'תחום תמיכה א'!AA415)</f>
        <v/>
      </c>
      <c r="Z415" s="214" t="str">
        <f>IF($F415="","",'תחום תמיכה א'!AB415)</f>
        <v/>
      </c>
      <c r="AA415" s="225" t="str">
        <f>IF($F415="","",'תחום תמיכה א'!AC415)</f>
        <v/>
      </c>
      <c r="AB415" s="213" t="str">
        <f t="shared" si="81"/>
        <v/>
      </c>
      <c r="AC415" s="213" t="str">
        <f t="shared" si="82"/>
        <v/>
      </c>
      <c r="AD415" s="214" t="str">
        <f t="shared" si="83"/>
        <v/>
      </c>
      <c r="AE415" s="213" t="str">
        <f t="shared" si="84"/>
        <v/>
      </c>
      <c r="AF415" s="214" t="str">
        <f t="shared" si="85"/>
        <v/>
      </c>
    </row>
    <row r="416" spans="1:32" ht="15.75" x14ac:dyDescent="0.2">
      <c r="A416" s="206" t="str">
        <f t="shared" si="74"/>
        <v/>
      </c>
      <c r="B416" s="88" t="str">
        <f>IF($F416="","",'הזנה לתנאי סף'!C416)</f>
        <v/>
      </c>
      <c r="C416" s="88" t="str">
        <f>IF($F416="","",'הזנה לתנאי סף'!D416)</f>
        <v/>
      </c>
      <c r="D416" s="88" t="str">
        <f>IF($F416="","",'הזנה לתנאי סף'!E416)</f>
        <v/>
      </c>
      <c r="E416" s="88" t="str">
        <f>IF($F416="","",'הזנה לתנאי סף'!F416)</f>
        <v/>
      </c>
      <c r="F416" s="88" t="str">
        <f>IF(OR('הזנה לתנאי סף'!G416="",'הזנה לתנאי סף'!BL416&lt;&gt;1,'הזנה לתנאי סף'!Q416&lt;&gt;1),"",'הזנה לתנאי סף'!G416)</f>
        <v/>
      </c>
      <c r="G416" s="88" t="str">
        <f>IF($F416="","",'הזנה לתנאי סף'!H416)</f>
        <v/>
      </c>
      <c r="H416" s="88" t="str">
        <f>IF($F416="","",'הזנה לתנאי סף'!I416)</f>
        <v/>
      </c>
      <c r="I416" s="213" t="str">
        <f>IF($F416="","",'תחום תמיכה א'!$I416)</f>
        <v/>
      </c>
      <c r="J416" s="213" t="str">
        <f>IF($F416="","",'תחום תמיכה א'!$J416)</f>
        <v/>
      </c>
      <c r="K416" s="213" t="str">
        <f>IF($F416="","",'תחום תמיכה א'!$K416)</f>
        <v/>
      </c>
      <c r="L416" s="213" t="str">
        <f t="shared" si="75"/>
        <v/>
      </c>
      <c r="M416" s="214" t="str">
        <f t="shared" si="76"/>
        <v/>
      </c>
      <c r="N416" s="214" t="str">
        <f t="shared" si="77"/>
        <v/>
      </c>
      <c r="O416" s="213" t="str">
        <f t="shared" si="78"/>
        <v/>
      </c>
      <c r="P416" s="213" t="str">
        <f>IF($F416="","",'פרמטרים לקריטריונים'!$C$59*O416)</f>
        <v/>
      </c>
      <c r="Q416" s="214" t="str">
        <f t="shared" si="79"/>
        <v/>
      </c>
      <c r="R416" s="213" t="str">
        <f t="shared" si="80"/>
        <v/>
      </c>
      <c r="S416" s="213" t="str">
        <f>IF($F416="","",'הזנה לתנאי סף'!N416)</f>
        <v/>
      </c>
      <c r="T416" s="213" t="str">
        <f>IF($F416="","",'הזנה לתנאי סף'!O416)</f>
        <v/>
      </c>
      <c r="U416" s="213" t="str">
        <f>IF($F416="","",'תחום תמיכה א'!W416)</f>
        <v/>
      </c>
      <c r="V416" s="213" t="str">
        <f>IF($F416="","",'תחום תמיכה א'!X416)</f>
        <v/>
      </c>
      <c r="W416" s="213" t="str">
        <f>IF($F416="","",'תחום תמיכה א'!Y416)</f>
        <v/>
      </c>
      <c r="X416" s="231" t="str">
        <f>IF($F416="","",'תחום תמיכה א'!Z416)</f>
        <v/>
      </c>
      <c r="Y416" s="213" t="str">
        <f>IF($F416="","",'תחום תמיכה א'!AA416)</f>
        <v/>
      </c>
      <c r="Z416" s="214" t="str">
        <f>IF($F416="","",'תחום תמיכה א'!AB416)</f>
        <v/>
      </c>
      <c r="AA416" s="225" t="str">
        <f>IF($F416="","",'תחום תמיכה א'!AC416)</f>
        <v/>
      </c>
      <c r="AB416" s="213" t="str">
        <f t="shared" si="81"/>
        <v/>
      </c>
      <c r="AC416" s="213" t="str">
        <f t="shared" si="82"/>
        <v/>
      </c>
      <c r="AD416" s="214" t="str">
        <f t="shared" si="83"/>
        <v/>
      </c>
      <c r="AE416" s="213" t="str">
        <f t="shared" si="84"/>
        <v/>
      </c>
      <c r="AF416" s="214" t="str">
        <f t="shared" si="85"/>
        <v/>
      </c>
    </row>
    <row r="417" spans="1:32" ht="15.75" x14ac:dyDescent="0.2">
      <c r="A417" s="206" t="str">
        <f t="shared" si="74"/>
        <v/>
      </c>
      <c r="B417" s="88" t="str">
        <f>IF($F417="","",'הזנה לתנאי סף'!C417)</f>
        <v/>
      </c>
      <c r="C417" s="88" t="str">
        <f>IF($F417="","",'הזנה לתנאי סף'!D417)</f>
        <v/>
      </c>
      <c r="D417" s="88" t="str">
        <f>IF($F417="","",'הזנה לתנאי סף'!E417)</f>
        <v/>
      </c>
      <c r="E417" s="88" t="str">
        <f>IF($F417="","",'הזנה לתנאי סף'!F417)</f>
        <v/>
      </c>
      <c r="F417" s="88" t="str">
        <f>IF(OR('הזנה לתנאי סף'!G417="",'הזנה לתנאי סף'!BL417&lt;&gt;1,'הזנה לתנאי סף'!Q417&lt;&gt;1),"",'הזנה לתנאי סף'!G417)</f>
        <v/>
      </c>
      <c r="G417" s="88" t="str">
        <f>IF($F417="","",'הזנה לתנאי סף'!H417)</f>
        <v/>
      </c>
      <c r="H417" s="88" t="str">
        <f>IF($F417="","",'הזנה לתנאי סף'!I417)</f>
        <v/>
      </c>
      <c r="I417" s="213" t="str">
        <f>IF($F417="","",'תחום תמיכה א'!$I417)</f>
        <v/>
      </c>
      <c r="J417" s="213" t="str">
        <f>IF($F417="","",'תחום תמיכה א'!$J417)</f>
        <v/>
      </c>
      <c r="K417" s="213" t="str">
        <f>IF($F417="","",'תחום תמיכה א'!$K417)</f>
        <v/>
      </c>
      <c r="L417" s="213" t="str">
        <f t="shared" si="75"/>
        <v/>
      </c>
      <c r="M417" s="214" t="str">
        <f t="shared" si="76"/>
        <v/>
      </c>
      <c r="N417" s="214" t="str">
        <f t="shared" si="77"/>
        <v/>
      </c>
      <c r="O417" s="213" t="str">
        <f t="shared" si="78"/>
        <v/>
      </c>
      <c r="P417" s="213" t="str">
        <f>IF($F417="","",'פרמטרים לקריטריונים'!$C$59*O417)</f>
        <v/>
      </c>
      <c r="Q417" s="214" t="str">
        <f t="shared" si="79"/>
        <v/>
      </c>
      <c r="R417" s="213" t="str">
        <f t="shared" si="80"/>
        <v/>
      </c>
      <c r="S417" s="213" t="str">
        <f>IF($F417="","",'הזנה לתנאי סף'!N417)</f>
        <v/>
      </c>
      <c r="T417" s="213" t="str">
        <f>IF($F417="","",'הזנה לתנאי סף'!O417)</f>
        <v/>
      </c>
      <c r="U417" s="213" t="str">
        <f>IF($F417="","",'תחום תמיכה א'!W417)</f>
        <v/>
      </c>
      <c r="V417" s="213" t="str">
        <f>IF($F417="","",'תחום תמיכה א'!X417)</f>
        <v/>
      </c>
      <c r="W417" s="213" t="str">
        <f>IF($F417="","",'תחום תמיכה א'!Y417)</f>
        <v/>
      </c>
      <c r="X417" s="231" t="str">
        <f>IF($F417="","",'תחום תמיכה א'!Z417)</f>
        <v/>
      </c>
      <c r="Y417" s="213" t="str">
        <f>IF($F417="","",'תחום תמיכה א'!AA417)</f>
        <v/>
      </c>
      <c r="Z417" s="214" t="str">
        <f>IF($F417="","",'תחום תמיכה א'!AB417)</f>
        <v/>
      </c>
      <c r="AA417" s="225" t="str">
        <f>IF($F417="","",'תחום תמיכה א'!AC417)</f>
        <v/>
      </c>
      <c r="AB417" s="213" t="str">
        <f t="shared" si="81"/>
        <v/>
      </c>
      <c r="AC417" s="213" t="str">
        <f t="shared" si="82"/>
        <v/>
      </c>
      <c r="AD417" s="214" t="str">
        <f t="shared" si="83"/>
        <v/>
      </c>
      <c r="AE417" s="213" t="str">
        <f t="shared" si="84"/>
        <v/>
      </c>
      <c r="AF417" s="214" t="str">
        <f t="shared" si="85"/>
        <v/>
      </c>
    </row>
    <row r="418" spans="1:32" ht="15.75" x14ac:dyDescent="0.2">
      <c r="A418" s="206" t="str">
        <f t="shared" si="74"/>
        <v/>
      </c>
      <c r="B418" s="88" t="str">
        <f>IF($F418="","",'הזנה לתנאי סף'!C418)</f>
        <v/>
      </c>
      <c r="C418" s="88" t="str">
        <f>IF($F418="","",'הזנה לתנאי סף'!D418)</f>
        <v/>
      </c>
      <c r="D418" s="88" t="str">
        <f>IF($F418="","",'הזנה לתנאי סף'!E418)</f>
        <v/>
      </c>
      <c r="E418" s="88" t="str">
        <f>IF($F418="","",'הזנה לתנאי סף'!F418)</f>
        <v/>
      </c>
      <c r="F418" s="88" t="str">
        <f>IF(OR('הזנה לתנאי סף'!G418="",'הזנה לתנאי סף'!BL418&lt;&gt;1,'הזנה לתנאי סף'!Q418&lt;&gt;1),"",'הזנה לתנאי סף'!G418)</f>
        <v/>
      </c>
      <c r="G418" s="88" t="str">
        <f>IF($F418="","",'הזנה לתנאי סף'!H418)</f>
        <v/>
      </c>
      <c r="H418" s="88" t="str">
        <f>IF($F418="","",'הזנה לתנאי סף'!I418)</f>
        <v/>
      </c>
      <c r="I418" s="213" t="str">
        <f>IF($F418="","",'תחום תמיכה א'!$I418)</f>
        <v/>
      </c>
      <c r="J418" s="213" t="str">
        <f>IF($F418="","",'תחום תמיכה א'!$J418)</f>
        <v/>
      </c>
      <c r="K418" s="213" t="str">
        <f>IF($F418="","",'תחום תמיכה א'!$K418)</f>
        <v/>
      </c>
      <c r="L418" s="213" t="str">
        <f t="shared" si="75"/>
        <v/>
      </c>
      <c r="M418" s="214" t="str">
        <f t="shared" si="76"/>
        <v/>
      </c>
      <c r="N418" s="214" t="str">
        <f t="shared" si="77"/>
        <v/>
      </c>
      <c r="O418" s="213" t="str">
        <f t="shared" si="78"/>
        <v/>
      </c>
      <c r="P418" s="213" t="str">
        <f>IF($F418="","",'פרמטרים לקריטריונים'!$C$59*O418)</f>
        <v/>
      </c>
      <c r="Q418" s="214" t="str">
        <f t="shared" si="79"/>
        <v/>
      </c>
      <c r="R418" s="213" t="str">
        <f t="shared" si="80"/>
        <v/>
      </c>
      <c r="S418" s="213" t="str">
        <f>IF($F418="","",'הזנה לתנאי סף'!N418)</f>
        <v/>
      </c>
      <c r="T418" s="213" t="str">
        <f>IF($F418="","",'הזנה לתנאי סף'!O418)</f>
        <v/>
      </c>
      <c r="U418" s="213" t="str">
        <f>IF($F418="","",'תחום תמיכה א'!W418)</f>
        <v/>
      </c>
      <c r="V418" s="213" t="str">
        <f>IF($F418="","",'תחום תמיכה א'!X418)</f>
        <v/>
      </c>
      <c r="W418" s="213" t="str">
        <f>IF($F418="","",'תחום תמיכה א'!Y418)</f>
        <v/>
      </c>
      <c r="X418" s="231" t="str">
        <f>IF($F418="","",'תחום תמיכה א'!Z418)</f>
        <v/>
      </c>
      <c r="Y418" s="213" t="str">
        <f>IF($F418="","",'תחום תמיכה א'!AA418)</f>
        <v/>
      </c>
      <c r="Z418" s="214" t="str">
        <f>IF($F418="","",'תחום תמיכה א'!AB418)</f>
        <v/>
      </c>
      <c r="AA418" s="225" t="str">
        <f>IF($F418="","",'תחום תמיכה א'!AC418)</f>
        <v/>
      </c>
      <c r="AB418" s="213" t="str">
        <f t="shared" si="81"/>
        <v/>
      </c>
      <c r="AC418" s="213" t="str">
        <f t="shared" si="82"/>
        <v/>
      </c>
      <c r="AD418" s="214" t="str">
        <f t="shared" si="83"/>
        <v/>
      </c>
      <c r="AE418" s="213" t="str">
        <f t="shared" si="84"/>
        <v/>
      </c>
      <c r="AF418" s="214" t="str">
        <f t="shared" si="85"/>
        <v/>
      </c>
    </row>
    <row r="419" spans="1:32" ht="15.75" x14ac:dyDescent="0.2">
      <c r="A419" s="206" t="str">
        <f t="shared" si="74"/>
        <v/>
      </c>
      <c r="B419" s="88" t="str">
        <f>IF($F419="","",'הזנה לתנאי סף'!C419)</f>
        <v/>
      </c>
      <c r="C419" s="88" t="str">
        <f>IF($F419="","",'הזנה לתנאי סף'!D419)</f>
        <v/>
      </c>
      <c r="D419" s="88" t="str">
        <f>IF($F419="","",'הזנה לתנאי סף'!E419)</f>
        <v/>
      </c>
      <c r="E419" s="88" t="str">
        <f>IF($F419="","",'הזנה לתנאי סף'!F419)</f>
        <v/>
      </c>
      <c r="F419" s="88" t="str">
        <f>IF(OR('הזנה לתנאי סף'!G419="",'הזנה לתנאי סף'!BL419&lt;&gt;1,'הזנה לתנאי סף'!Q419&lt;&gt;1),"",'הזנה לתנאי סף'!G419)</f>
        <v/>
      </c>
      <c r="G419" s="88" t="str">
        <f>IF($F419="","",'הזנה לתנאי סף'!H419)</f>
        <v/>
      </c>
      <c r="H419" s="88" t="str">
        <f>IF($F419="","",'הזנה לתנאי סף'!I419)</f>
        <v/>
      </c>
      <c r="I419" s="213" t="str">
        <f>IF($F419="","",'תחום תמיכה א'!$I419)</f>
        <v/>
      </c>
      <c r="J419" s="213" t="str">
        <f>IF($F419="","",'תחום תמיכה א'!$J419)</f>
        <v/>
      </c>
      <c r="K419" s="213" t="str">
        <f>IF($F419="","",'תחום תמיכה א'!$K419)</f>
        <v/>
      </c>
      <c r="L419" s="213" t="str">
        <f t="shared" si="75"/>
        <v/>
      </c>
      <c r="M419" s="214" t="str">
        <f t="shared" si="76"/>
        <v/>
      </c>
      <c r="N419" s="214" t="str">
        <f t="shared" si="77"/>
        <v/>
      </c>
      <c r="O419" s="213" t="str">
        <f t="shared" si="78"/>
        <v/>
      </c>
      <c r="P419" s="213" t="str">
        <f>IF($F419="","",'פרמטרים לקריטריונים'!$C$59*O419)</f>
        <v/>
      </c>
      <c r="Q419" s="214" t="str">
        <f t="shared" si="79"/>
        <v/>
      </c>
      <c r="R419" s="213" t="str">
        <f t="shared" si="80"/>
        <v/>
      </c>
      <c r="S419" s="213" t="str">
        <f>IF($F419="","",'הזנה לתנאי סף'!N419)</f>
        <v/>
      </c>
      <c r="T419" s="213" t="str">
        <f>IF($F419="","",'הזנה לתנאי סף'!O419)</f>
        <v/>
      </c>
      <c r="U419" s="213" t="str">
        <f>IF($F419="","",'תחום תמיכה א'!W419)</f>
        <v/>
      </c>
      <c r="V419" s="213" t="str">
        <f>IF($F419="","",'תחום תמיכה א'!X419)</f>
        <v/>
      </c>
      <c r="W419" s="213" t="str">
        <f>IF($F419="","",'תחום תמיכה א'!Y419)</f>
        <v/>
      </c>
      <c r="X419" s="231" t="str">
        <f>IF($F419="","",'תחום תמיכה א'!Z419)</f>
        <v/>
      </c>
      <c r="Y419" s="213" t="str">
        <f>IF($F419="","",'תחום תמיכה א'!AA419)</f>
        <v/>
      </c>
      <c r="Z419" s="214" t="str">
        <f>IF($F419="","",'תחום תמיכה א'!AB419)</f>
        <v/>
      </c>
      <c r="AA419" s="225" t="str">
        <f>IF($F419="","",'תחום תמיכה א'!AC419)</f>
        <v/>
      </c>
      <c r="AB419" s="213" t="str">
        <f t="shared" si="81"/>
        <v/>
      </c>
      <c r="AC419" s="213" t="str">
        <f t="shared" si="82"/>
        <v/>
      </c>
      <c r="AD419" s="214" t="str">
        <f t="shared" si="83"/>
        <v/>
      </c>
      <c r="AE419" s="213" t="str">
        <f t="shared" si="84"/>
        <v/>
      </c>
      <c r="AF419" s="214" t="str">
        <f t="shared" si="85"/>
        <v/>
      </c>
    </row>
    <row r="420" spans="1:32" ht="15.75" x14ac:dyDescent="0.2">
      <c r="A420" s="206" t="str">
        <f t="shared" si="74"/>
        <v/>
      </c>
      <c r="B420" s="88" t="str">
        <f>IF($F420="","",'הזנה לתנאי סף'!C420)</f>
        <v/>
      </c>
      <c r="C420" s="88" t="str">
        <f>IF($F420="","",'הזנה לתנאי סף'!D420)</f>
        <v/>
      </c>
      <c r="D420" s="88" t="str">
        <f>IF($F420="","",'הזנה לתנאי סף'!E420)</f>
        <v/>
      </c>
      <c r="E420" s="88" t="str">
        <f>IF($F420="","",'הזנה לתנאי סף'!F420)</f>
        <v/>
      </c>
      <c r="F420" s="88" t="str">
        <f>IF(OR('הזנה לתנאי סף'!G420="",'הזנה לתנאי סף'!BL420&lt;&gt;1,'הזנה לתנאי סף'!Q420&lt;&gt;1),"",'הזנה לתנאי סף'!G420)</f>
        <v/>
      </c>
      <c r="G420" s="88" t="str">
        <f>IF($F420="","",'הזנה לתנאי סף'!H420)</f>
        <v/>
      </c>
      <c r="H420" s="88" t="str">
        <f>IF($F420="","",'הזנה לתנאי סף'!I420)</f>
        <v/>
      </c>
      <c r="I420" s="213" t="str">
        <f>IF($F420="","",'תחום תמיכה א'!$I420)</f>
        <v/>
      </c>
      <c r="J420" s="213" t="str">
        <f>IF($F420="","",'תחום תמיכה א'!$J420)</f>
        <v/>
      </c>
      <c r="K420" s="213" t="str">
        <f>IF($F420="","",'תחום תמיכה א'!$K420)</f>
        <v/>
      </c>
      <c r="L420" s="213" t="str">
        <f t="shared" si="75"/>
        <v/>
      </c>
      <c r="M420" s="214" t="str">
        <f t="shared" si="76"/>
        <v/>
      </c>
      <c r="N420" s="214" t="str">
        <f t="shared" si="77"/>
        <v/>
      </c>
      <c r="O420" s="213" t="str">
        <f t="shared" si="78"/>
        <v/>
      </c>
      <c r="P420" s="213" t="str">
        <f>IF($F420="","",'פרמטרים לקריטריונים'!$C$59*O420)</f>
        <v/>
      </c>
      <c r="Q420" s="214" t="str">
        <f t="shared" si="79"/>
        <v/>
      </c>
      <c r="R420" s="213" t="str">
        <f t="shared" si="80"/>
        <v/>
      </c>
      <c r="S420" s="213" t="str">
        <f>IF($F420="","",'הזנה לתנאי סף'!N420)</f>
        <v/>
      </c>
      <c r="T420" s="213" t="str">
        <f>IF($F420="","",'הזנה לתנאי סף'!O420)</f>
        <v/>
      </c>
      <c r="U420" s="213" t="str">
        <f>IF($F420="","",'תחום תמיכה א'!W420)</f>
        <v/>
      </c>
      <c r="V420" s="213" t="str">
        <f>IF($F420="","",'תחום תמיכה א'!X420)</f>
        <v/>
      </c>
      <c r="W420" s="213" t="str">
        <f>IF($F420="","",'תחום תמיכה א'!Y420)</f>
        <v/>
      </c>
      <c r="X420" s="231" t="str">
        <f>IF($F420="","",'תחום תמיכה א'!Z420)</f>
        <v/>
      </c>
      <c r="Y420" s="213" t="str">
        <f>IF($F420="","",'תחום תמיכה א'!AA420)</f>
        <v/>
      </c>
      <c r="Z420" s="214" t="str">
        <f>IF($F420="","",'תחום תמיכה א'!AB420)</f>
        <v/>
      </c>
      <c r="AA420" s="225" t="str">
        <f>IF($F420="","",'תחום תמיכה א'!AC420)</f>
        <v/>
      </c>
      <c r="AB420" s="213" t="str">
        <f t="shared" si="81"/>
        <v/>
      </c>
      <c r="AC420" s="213" t="str">
        <f t="shared" si="82"/>
        <v/>
      </c>
      <c r="AD420" s="214" t="str">
        <f t="shared" si="83"/>
        <v/>
      </c>
      <c r="AE420" s="213" t="str">
        <f t="shared" si="84"/>
        <v/>
      </c>
      <c r="AF420" s="214" t="str">
        <f t="shared" si="85"/>
        <v/>
      </c>
    </row>
    <row r="421" spans="1:32" ht="15.75" x14ac:dyDescent="0.2">
      <c r="A421" s="206" t="str">
        <f t="shared" si="74"/>
        <v/>
      </c>
      <c r="B421" s="88" t="str">
        <f>IF($F421="","",'הזנה לתנאי סף'!C421)</f>
        <v/>
      </c>
      <c r="C421" s="88" t="str">
        <f>IF($F421="","",'הזנה לתנאי סף'!D421)</f>
        <v/>
      </c>
      <c r="D421" s="88" t="str">
        <f>IF($F421="","",'הזנה לתנאי סף'!E421)</f>
        <v/>
      </c>
      <c r="E421" s="88" t="str">
        <f>IF($F421="","",'הזנה לתנאי סף'!F421)</f>
        <v/>
      </c>
      <c r="F421" s="88" t="str">
        <f>IF(OR('הזנה לתנאי סף'!G421="",'הזנה לתנאי סף'!BL421&lt;&gt;1,'הזנה לתנאי סף'!Q421&lt;&gt;1),"",'הזנה לתנאי סף'!G421)</f>
        <v/>
      </c>
      <c r="G421" s="88" t="str">
        <f>IF($F421="","",'הזנה לתנאי סף'!H421)</f>
        <v/>
      </c>
      <c r="H421" s="88" t="str">
        <f>IF($F421="","",'הזנה לתנאי סף'!I421)</f>
        <v/>
      </c>
      <c r="I421" s="213" t="str">
        <f>IF($F421="","",'תחום תמיכה א'!$I421)</f>
        <v/>
      </c>
      <c r="J421" s="213" t="str">
        <f>IF($F421="","",'תחום תמיכה א'!$J421)</f>
        <v/>
      </c>
      <c r="K421" s="213" t="str">
        <f>IF($F421="","",'תחום תמיכה א'!$K421)</f>
        <v/>
      </c>
      <c r="L421" s="213" t="str">
        <f t="shared" si="75"/>
        <v/>
      </c>
      <c r="M421" s="214" t="str">
        <f t="shared" si="76"/>
        <v/>
      </c>
      <c r="N421" s="214" t="str">
        <f t="shared" si="77"/>
        <v/>
      </c>
      <c r="O421" s="213" t="str">
        <f t="shared" si="78"/>
        <v/>
      </c>
      <c r="P421" s="213" t="str">
        <f>IF($F421="","",'פרמטרים לקריטריונים'!$C$59*O421)</f>
        <v/>
      </c>
      <c r="Q421" s="214" t="str">
        <f t="shared" si="79"/>
        <v/>
      </c>
      <c r="R421" s="213" t="str">
        <f t="shared" si="80"/>
        <v/>
      </c>
      <c r="S421" s="213" t="str">
        <f>IF($F421="","",'הזנה לתנאי סף'!N421)</f>
        <v/>
      </c>
      <c r="T421" s="213" t="str">
        <f>IF($F421="","",'הזנה לתנאי סף'!O421)</f>
        <v/>
      </c>
      <c r="U421" s="213" t="str">
        <f>IF($F421="","",'תחום תמיכה א'!W421)</f>
        <v/>
      </c>
      <c r="V421" s="213" t="str">
        <f>IF($F421="","",'תחום תמיכה א'!X421)</f>
        <v/>
      </c>
      <c r="W421" s="213" t="str">
        <f>IF($F421="","",'תחום תמיכה א'!Y421)</f>
        <v/>
      </c>
      <c r="X421" s="231" t="str">
        <f>IF($F421="","",'תחום תמיכה א'!Z421)</f>
        <v/>
      </c>
      <c r="Y421" s="213" t="str">
        <f>IF($F421="","",'תחום תמיכה א'!AA421)</f>
        <v/>
      </c>
      <c r="Z421" s="214" t="str">
        <f>IF($F421="","",'תחום תמיכה א'!AB421)</f>
        <v/>
      </c>
      <c r="AA421" s="225" t="str">
        <f>IF($F421="","",'תחום תמיכה א'!AC421)</f>
        <v/>
      </c>
      <c r="AB421" s="213" t="str">
        <f t="shared" si="81"/>
        <v/>
      </c>
      <c r="AC421" s="213" t="str">
        <f t="shared" si="82"/>
        <v/>
      </c>
      <c r="AD421" s="214" t="str">
        <f t="shared" si="83"/>
        <v/>
      </c>
      <c r="AE421" s="213" t="str">
        <f t="shared" si="84"/>
        <v/>
      </c>
      <c r="AF421" s="214" t="str">
        <f t="shared" si="85"/>
        <v/>
      </c>
    </row>
    <row r="422" spans="1:32" ht="15.75" x14ac:dyDescent="0.2">
      <c r="A422" s="206" t="str">
        <f t="shared" si="74"/>
        <v/>
      </c>
      <c r="B422" s="88" t="str">
        <f>IF($F422="","",'הזנה לתנאי סף'!C422)</f>
        <v/>
      </c>
      <c r="C422" s="88" t="str">
        <f>IF($F422="","",'הזנה לתנאי סף'!D422)</f>
        <v/>
      </c>
      <c r="D422" s="88" t="str">
        <f>IF($F422="","",'הזנה לתנאי סף'!E422)</f>
        <v/>
      </c>
      <c r="E422" s="88" t="str">
        <f>IF($F422="","",'הזנה לתנאי סף'!F422)</f>
        <v/>
      </c>
      <c r="F422" s="88" t="str">
        <f>IF(OR('הזנה לתנאי סף'!G422="",'הזנה לתנאי סף'!BL422&lt;&gt;1,'הזנה לתנאי סף'!Q422&lt;&gt;1),"",'הזנה לתנאי סף'!G422)</f>
        <v/>
      </c>
      <c r="G422" s="88" t="str">
        <f>IF($F422="","",'הזנה לתנאי סף'!H422)</f>
        <v/>
      </c>
      <c r="H422" s="88" t="str">
        <f>IF($F422="","",'הזנה לתנאי סף'!I422)</f>
        <v/>
      </c>
      <c r="I422" s="213" t="str">
        <f>IF($F422="","",'תחום תמיכה א'!$I422)</f>
        <v/>
      </c>
      <c r="J422" s="213" t="str">
        <f>IF($F422="","",'תחום תמיכה א'!$J422)</f>
        <v/>
      </c>
      <c r="K422" s="213" t="str">
        <f>IF($F422="","",'תחום תמיכה א'!$K422)</f>
        <v/>
      </c>
      <c r="L422" s="213" t="str">
        <f t="shared" si="75"/>
        <v/>
      </c>
      <c r="M422" s="214" t="str">
        <f t="shared" si="76"/>
        <v/>
      </c>
      <c r="N422" s="214" t="str">
        <f t="shared" si="77"/>
        <v/>
      </c>
      <c r="O422" s="213" t="str">
        <f t="shared" si="78"/>
        <v/>
      </c>
      <c r="P422" s="213" t="str">
        <f>IF($F422="","",'פרמטרים לקריטריונים'!$C$59*O422)</f>
        <v/>
      </c>
      <c r="Q422" s="214" t="str">
        <f t="shared" si="79"/>
        <v/>
      </c>
      <c r="R422" s="213" t="str">
        <f t="shared" si="80"/>
        <v/>
      </c>
      <c r="S422" s="213" t="str">
        <f>IF($F422="","",'הזנה לתנאי סף'!N422)</f>
        <v/>
      </c>
      <c r="T422" s="213" t="str">
        <f>IF($F422="","",'הזנה לתנאי סף'!O422)</f>
        <v/>
      </c>
      <c r="U422" s="213" t="str">
        <f>IF($F422="","",'תחום תמיכה א'!W422)</f>
        <v/>
      </c>
      <c r="V422" s="213" t="str">
        <f>IF($F422="","",'תחום תמיכה א'!X422)</f>
        <v/>
      </c>
      <c r="W422" s="213" t="str">
        <f>IF($F422="","",'תחום תמיכה א'!Y422)</f>
        <v/>
      </c>
      <c r="X422" s="231" t="str">
        <f>IF($F422="","",'תחום תמיכה א'!Z422)</f>
        <v/>
      </c>
      <c r="Y422" s="213" t="str">
        <f>IF($F422="","",'תחום תמיכה א'!AA422)</f>
        <v/>
      </c>
      <c r="Z422" s="214" t="str">
        <f>IF($F422="","",'תחום תמיכה א'!AB422)</f>
        <v/>
      </c>
      <c r="AA422" s="225" t="str">
        <f>IF($F422="","",'תחום תמיכה א'!AC422)</f>
        <v/>
      </c>
      <c r="AB422" s="213" t="str">
        <f t="shared" si="81"/>
        <v/>
      </c>
      <c r="AC422" s="213" t="str">
        <f t="shared" si="82"/>
        <v/>
      </c>
      <c r="AD422" s="214" t="str">
        <f t="shared" si="83"/>
        <v/>
      </c>
      <c r="AE422" s="213" t="str">
        <f t="shared" si="84"/>
        <v/>
      </c>
      <c r="AF422" s="214" t="str">
        <f t="shared" si="85"/>
        <v/>
      </c>
    </row>
    <row r="423" spans="1:32" ht="15.75" x14ac:dyDescent="0.2">
      <c r="A423" s="206" t="str">
        <f t="shared" si="74"/>
        <v/>
      </c>
      <c r="B423" s="88" t="str">
        <f>IF($F423="","",'הזנה לתנאי סף'!C423)</f>
        <v/>
      </c>
      <c r="C423" s="88" t="str">
        <f>IF($F423="","",'הזנה לתנאי סף'!D423)</f>
        <v/>
      </c>
      <c r="D423" s="88" t="str">
        <f>IF($F423="","",'הזנה לתנאי סף'!E423)</f>
        <v/>
      </c>
      <c r="E423" s="88" t="str">
        <f>IF($F423="","",'הזנה לתנאי סף'!F423)</f>
        <v/>
      </c>
      <c r="F423" s="88" t="str">
        <f>IF(OR('הזנה לתנאי סף'!G423="",'הזנה לתנאי סף'!BL423&lt;&gt;1,'הזנה לתנאי סף'!Q423&lt;&gt;1),"",'הזנה לתנאי סף'!G423)</f>
        <v/>
      </c>
      <c r="G423" s="88" t="str">
        <f>IF($F423="","",'הזנה לתנאי סף'!H423)</f>
        <v/>
      </c>
      <c r="H423" s="88" t="str">
        <f>IF($F423="","",'הזנה לתנאי סף'!I423)</f>
        <v/>
      </c>
      <c r="I423" s="213" t="str">
        <f>IF($F423="","",'תחום תמיכה א'!$I423)</f>
        <v/>
      </c>
      <c r="J423" s="213" t="str">
        <f>IF($F423="","",'תחום תמיכה א'!$J423)</f>
        <v/>
      </c>
      <c r="K423" s="213" t="str">
        <f>IF($F423="","",'תחום תמיכה א'!$K423)</f>
        <v/>
      </c>
      <c r="L423" s="213" t="str">
        <f t="shared" si="75"/>
        <v/>
      </c>
      <c r="M423" s="214" t="str">
        <f t="shared" si="76"/>
        <v/>
      </c>
      <c r="N423" s="214" t="str">
        <f t="shared" si="77"/>
        <v/>
      </c>
      <c r="O423" s="213" t="str">
        <f t="shared" si="78"/>
        <v/>
      </c>
      <c r="P423" s="213" t="str">
        <f>IF($F423="","",'פרמטרים לקריטריונים'!$C$59*O423)</f>
        <v/>
      </c>
      <c r="Q423" s="214" t="str">
        <f t="shared" si="79"/>
        <v/>
      </c>
      <c r="R423" s="213" t="str">
        <f t="shared" si="80"/>
        <v/>
      </c>
      <c r="S423" s="213" t="str">
        <f>IF($F423="","",'הזנה לתנאי סף'!N423)</f>
        <v/>
      </c>
      <c r="T423" s="213" t="str">
        <f>IF($F423="","",'הזנה לתנאי סף'!O423)</f>
        <v/>
      </c>
      <c r="U423" s="213" t="str">
        <f>IF($F423="","",'תחום תמיכה א'!W423)</f>
        <v/>
      </c>
      <c r="V423" s="213" t="str">
        <f>IF($F423="","",'תחום תמיכה א'!X423)</f>
        <v/>
      </c>
      <c r="W423" s="213" t="str">
        <f>IF($F423="","",'תחום תמיכה א'!Y423)</f>
        <v/>
      </c>
      <c r="X423" s="231" t="str">
        <f>IF($F423="","",'תחום תמיכה א'!Z423)</f>
        <v/>
      </c>
      <c r="Y423" s="213" t="str">
        <f>IF($F423="","",'תחום תמיכה א'!AA423)</f>
        <v/>
      </c>
      <c r="Z423" s="214" t="str">
        <f>IF($F423="","",'תחום תמיכה א'!AB423)</f>
        <v/>
      </c>
      <c r="AA423" s="225" t="str">
        <f>IF($F423="","",'תחום תמיכה א'!AC423)</f>
        <v/>
      </c>
      <c r="AB423" s="213" t="str">
        <f t="shared" si="81"/>
        <v/>
      </c>
      <c r="AC423" s="213" t="str">
        <f t="shared" si="82"/>
        <v/>
      </c>
      <c r="AD423" s="214" t="str">
        <f t="shared" si="83"/>
        <v/>
      </c>
      <c r="AE423" s="213" t="str">
        <f t="shared" si="84"/>
        <v/>
      </c>
      <c r="AF423" s="214" t="str">
        <f t="shared" si="85"/>
        <v/>
      </c>
    </row>
    <row r="424" spans="1:32" ht="15.75" x14ac:dyDescent="0.2">
      <c r="A424" s="206" t="str">
        <f t="shared" si="74"/>
        <v/>
      </c>
      <c r="B424" s="88" t="str">
        <f>IF($F424="","",'הזנה לתנאי סף'!C424)</f>
        <v/>
      </c>
      <c r="C424" s="88" t="str">
        <f>IF($F424="","",'הזנה לתנאי סף'!D424)</f>
        <v/>
      </c>
      <c r="D424" s="88" t="str">
        <f>IF($F424="","",'הזנה לתנאי סף'!E424)</f>
        <v/>
      </c>
      <c r="E424" s="88" t="str">
        <f>IF($F424="","",'הזנה לתנאי סף'!F424)</f>
        <v/>
      </c>
      <c r="F424" s="88" t="str">
        <f>IF(OR('הזנה לתנאי סף'!G424="",'הזנה לתנאי סף'!BL424&lt;&gt;1,'הזנה לתנאי סף'!Q424&lt;&gt;1),"",'הזנה לתנאי סף'!G424)</f>
        <v/>
      </c>
      <c r="G424" s="88" t="str">
        <f>IF($F424="","",'הזנה לתנאי סף'!H424)</f>
        <v/>
      </c>
      <c r="H424" s="88" t="str">
        <f>IF($F424="","",'הזנה לתנאי סף'!I424)</f>
        <v/>
      </c>
      <c r="I424" s="213" t="str">
        <f>IF($F424="","",'תחום תמיכה א'!$I424)</f>
        <v/>
      </c>
      <c r="J424" s="213" t="str">
        <f>IF($F424="","",'תחום תמיכה א'!$J424)</f>
        <v/>
      </c>
      <c r="K424" s="213" t="str">
        <f>IF($F424="","",'תחום תמיכה א'!$K424)</f>
        <v/>
      </c>
      <c r="L424" s="213" t="str">
        <f t="shared" si="75"/>
        <v/>
      </c>
      <c r="M424" s="214" t="str">
        <f t="shared" si="76"/>
        <v/>
      </c>
      <c r="N424" s="214" t="str">
        <f t="shared" si="77"/>
        <v/>
      </c>
      <c r="O424" s="213" t="str">
        <f t="shared" si="78"/>
        <v/>
      </c>
      <c r="P424" s="213" t="str">
        <f>IF($F424="","",'פרמטרים לקריטריונים'!$C$59*O424)</f>
        <v/>
      </c>
      <c r="Q424" s="214" t="str">
        <f t="shared" si="79"/>
        <v/>
      </c>
      <c r="R424" s="213" t="str">
        <f t="shared" si="80"/>
        <v/>
      </c>
      <c r="S424" s="213" t="str">
        <f>IF($F424="","",'הזנה לתנאי סף'!N424)</f>
        <v/>
      </c>
      <c r="T424" s="213" t="str">
        <f>IF($F424="","",'הזנה לתנאי סף'!O424)</f>
        <v/>
      </c>
      <c r="U424" s="213" t="str">
        <f>IF($F424="","",'תחום תמיכה א'!W424)</f>
        <v/>
      </c>
      <c r="V424" s="213" t="str">
        <f>IF($F424="","",'תחום תמיכה א'!X424)</f>
        <v/>
      </c>
      <c r="W424" s="213" t="str">
        <f>IF($F424="","",'תחום תמיכה א'!Y424)</f>
        <v/>
      </c>
      <c r="X424" s="231" t="str">
        <f>IF($F424="","",'תחום תמיכה א'!Z424)</f>
        <v/>
      </c>
      <c r="Y424" s="213" t="str">
        <f>IF($F424="","",'תחום תמיכה א'!AA424)</f>
        <v/>
      </c>
      <c r="Z424" s="214" t="str">
        <f>IF($F424="","",'תחום תמיכה א'!AB424)</f>
        <v/>
      </c>
      <c r="AA424" s="225" t="str">
        <f>IF($F424="","",'תחום תמיכה א'!AC424)</f>
        <v/>
      </c>
      <c r="AB424" s="213" t="str">
        <f t="shared" si="81"/>
        <v/>
      </c>
      <c r="AC424" s="213" t="str">
        <f t="shared" si="82"/>
        <v/>
      </c>
      <c r="AD424" s="214" t="str">
        <f t="shared" si="83"/>
        <v/>
      </c>
      <c r="AE424" s="213" t="str">
        <f t="shared" si="84"/>
        <v/>
      </c>
      <c r="AF424" s="214" t="str">
        <f t="shared" si="85"/>
        <v/>
      </c>
    </row>
    <row r="425" spans="1:32" ht="15.75" x14ac:dyDescent="0.2">
      <c r="A425" s="206" t="str">
        <f t="shared" si="74"/>
        <v/>
      </c>
      <c r="B425" s="88" t="str">
        <f>IF($F425="","",'הזנה לתנאי סף'!C425)</f>
        <v/>
      </c>
      <c r="C425" s="88" t="str">
        <f>IF($F425="","",'הזנה לתנאי סף'!D425)</f>
        <v/>
      </c>
      <c r="D425" s="88" t="str">
        <f>IF($F425="","",'הזנה לתנאי סף'!E425)</f>
        <v/>
      </c>
      <c r="E425" s="88" t="str">
        <f>IF($F425="","",'הזנה לתנאי סף'!F425)</f>
        <v/>
      </c>
      <c r="F425" s="88" t="str">
        <f>IF(OR('הזנה לתנאי סף'!G425="",'הזנה לתנאי סף'!BL425&lt;&gt;1,'הזנה לתנאי סף'!Q425&lt;&gt;1),"",'הזנה לתנאי סף'!G425)</f>
        <v/>
      </c>
      <c r="G425" s="88" t="str">
        <f>IF($F425="","",'הזנה לתנאי סף'!H425)</f>
        <v/>
      </c>
      <c r="H425" s="88" t="str">
        <f>IF($F425="","",'הזנה לתנאי סף'!I425)</f>
        <v/>
      </c>
      <c r="I425" s="213" t="str">
        <f>IF($F425="","",'תחום תמיכה א'!$I425)</f>
        <v/>
      </c>
      <c r="J425" s="213" t="str">
        <f>IF($F425="","",'תחום תמיכה א'!$J425)</f>
        <v/>
      </c>
      <c r="K425" s="213" t="str">
        <f>IF($F425="","",'תחום תמיכה א'!$K425)</f>
        <v/>
      </c>
      <c r="L425" s="213" t="str">
        <f t="shared" si="75"/>
        <v/>
      </c>
      <c r="M425" s="214" t="str">
        <f t="shared" si="76"/>
        <v/>
      </c>
      <c r="N425" s="214" t="str">
        <f t="shared" si="77"/>
        <v/>
      </c>
      <c r="O425" s="213" t="str">
        <f t="shared" si="78"/>
        <v/>
      </c>
      <c r="P425" s="213" t="str">
        <f>IF($F425="","",'פרמטרים לקריטריונים'!$C$59*O425)</f>
        <v/>
      </c>
      <c r="Q425" s="214" t="str">
        <f t="shared" si="79"/>
        <v/>
      </c>
      <c r="R425" s="213" t="str">
        <f t="shared" si="80"/>
        <v/>
      </c>
      <c r="S425" s="213" t="str">
        <f>IF($F425="","",'הזנה לתנאי סף'!N425)</f>
        <v/>
      </c>
      <c r="T425" s="213" t="str">
        <f>IF($F425="","",'הזנה לתנאי סף'!O425)</f>
        <v/>
      </c>
      <c r="U425" s="213" t="str">
        <f>IF($F425="","",'תחום תמיכה א'!W425)</f>
        <v/>
      </c>
      <c r="V425" s="213" t="str">
        <f>IF($F425="","",'תחום תמיכה א'!X425)</f>
        <v/>
      </c>
      <c r="W425" s="213" t="str">
        <f>IF($F425="","",'תחום תמיכה א'!Y425)</f>
        <v/>
      </c>
      <c r="X425" s="231" t="str">
        <f>IF($F425="","",'תחום תמיכה א'!Z425)</f>
        <v/>
      </c>
      <c r="Y425" s="213" t="str">
        <f>IF($F425="","",'תחום תמיכה א'!AA425)</f>
        <v/>
      </c>
      <c r="Z425" s="214" t="str">
        <f>IF($F425="","",'תחום תמיכה א'!AB425)</f>
        <v/>
      </c>
      <c r="AA425" s="225" t="str">
        <f>IF($F425="","",'תחום תמיכה א'!AC425)</f>
        <v/>
      </c>
      <c r="AB425" s="213" t="str">
        <f t="shared" si="81"/>
        <v/>
      </c>
      <c r="AC425" s="213" t="str">
        <f t="shared" si="82"/>
        <v/>
      </c>
      <c r="AD425" s="214" t="str">
        <f t="shared" si="83"/>
        <v/>
      </c>
      <c r="AE425" s="213" t="str">
        <f t="shared" si="84"/>
        <v/>
      </c>
      <c r="AF425" s="214" t="str">
        <f t="shared" si="85"/>
        <v/>
      </c>
    </row>
    <row r="426" spans="1:32" ht="15.75" x14ac:dyDescent="0.2">
      <c r="A426" s="206" t="str">
        <f t="shared" si="74"/>
        <v/>
      </c>
      <c r="B426" s="88" t="str">
        <f>IF($F426="","",'הזנה לתנאי סף'!C426)</f>
        <v/>
      </c>
      <c r="C426" s="88" t="str">
        <f>IF($F426="","",'הזנה לתנאי סף'!D426)</f>
        <v/>
      </c>
      <c r="D426" s="88" t="str">
        <f>IF($F426="","",'הזנה לתנאי סף'!E426)</f>
        <v/>
      </c>
      <c r="E426" s="88" t="str">
        <f>IF($F426="","",'הזנה לתנאי סף'!F426)</f>
        <v/>
      </c>
      <c r="F426" s="88" t="str">
        <f>IF(OR('הזנה לתנאי סף'!G426="",'הזנה לתנאי סף'!BL426&lt;&gt;1,'הזנה לתנאי סף'!Q426&lt;&gt;1),"",'הזנה לתנאי סף'!G426)</f>
        <v/>
      </c>
      <c r="G426" s="88" t="str">
        <f>IF($F426="","",'הזנה לתנאי סף'!H426)</f>
        <v/>
      </c>
      <c r="H426" s="88" t="str">
        <f>IF($F426="","",'הזנה לתנאי סף'!I426)</f>
        <v/>
      </c>
      <c r="I426" s="213" t="str">
        <f>IF($F426="","",'תחום תמיכה א'!$I426)</f>
        <v/>
      </c>
      <c r="J426" s="213" t="str">
        <f>IF($F426="","",'תחום תמיכה א'!$J426)</f>
        <v/>
      </c>
      <c r="K426" s="213" t="str">
        <f>IF($F426="","",'תחום תמיכה א'!$K426)</f>
        <v/>
      </c>
      <c r="L426" s="213" t="str">
        <f t="shared" si="75"/>
        <v/>
      </c>
      <c r="M426" s="214" t="str">
        <f t="shared" si="76"/>
        <v/>
      </c>
      <c r="N426" s="214" t="str">
        <f t="shared" si="77"/>
        <v/>
      </c>
      <c r="O426" s="213" t="str">
        <f t="shared" si="78"/>
        <v/>
      </c>
      <c r="P426" s="213" t="str">
        <f>IF($F426="","",'פרמטרים לקריטריונים'!$C$59*O426)</f>
        <v/>
      </c>
      <c r="Q426" s="214" t="str">
        <f t="shared" si="79"/>
        <v/>
      </c>
      <c r="R426" s="213" t="str">
        <f t="shared" si="80"/>
        <v/>
      </c>
      <c r="S426" s="213" t="str">
        <f>IF($F426="","",'הזנה לתנאי סף'!N426)</f>
        <v/>
      </c>
      <c r="T426" s="213" t="str">
        <f>IF($F426="","",'הזנה לתנאי סף'!O426)</f>
        <v/>
      </c>
      <c r="U426" s="213" t="str">
        <f>IF($F426="","",'תחום תמיכה א'!W426)</f>
        <v/>
      </c>
      <c r="V426" s="213" t="str">
        <f>IF($F426="","",'תחום תמיכה א'!X426)</f>
        <v/>
      </c>
      <c r="W426" s="213" t="str">
        <f>IF($F426="","",'תחום תמיכה א'!Y426)</f>
        <v/>
      </c>
      <c r="X426" s="231" t="str">
        <f>IF($F426="","",'תחום תמיכה א'!Z426)</f>
        <v/>
      </c>
      <c r="Y426" s="213" t="str">
        <f>IF($F426="","",'תחום תמיכה א'!AA426)</f>
        <v/>
      </c>
      <c r="Z426" s="214" t="str">
        <f>IF($F426="","",'תחום תמיכה א'!AB426)</f>
        <v/>
      </c>
      <c r="AA426" s="225" t="str">
        <f>IF($F426="","",'תחום תמיכה א'!AC426)</f>
        <v/>
      </c>
      <c r="AB426" s="213" t="str">
        <f t="shared" si="81"/>
        <v/>
      </c>
      <c r="AC426" s="213" t="str">
        <f t="shared" si="82"/>
        <v/>
      </c>
      <c r="AD426" s="214" t="str">
        <f t="shared" si="83"/>
        <v/>
      </c>
      <c r="AE426" s="213" t="str">
        <f t="shared" si="84"/>
        <v/>
      </c>
      <c r="AF426" s="214" t="str">
        <f t="shared" si="85"/>
        <v/>
      </c>
    </row>
    <row r="427" spans="1:32" ht="15.75" x14ac:dyDescent="0.2">
      <c r="A427" s="206" t="str">
        <f t="shared" si="74"/>
        <v/>
      </c>
      <c r="B427" s="88" t="str">
        <f>IF($F427="","",'הזנה לתנאי סף'!C427)</f>
        <v/>
      </c>
      <c r="C427" s="88" t="str">
        <f>IF($F427="","",'הזנה לתנאי סף'!D427)</f>
        <v/>
      </c>
      <c r="D427" s="88" t="str">
        <f>IF($F427="","",'הזנה לתנאי סף'!E427)</f>
        <v/>
      </c>
      <c r="E427" s="88" t="str">
        <f>IF($F427="","",'הזנה לתנאי סף'!F427)</f>
        <v/>
      </c>
      <c r="F427" s="88" t="str">
        <f>IF(OR('הזנה לתנאי סף'!G427="",'הזנה לתנאי סף'!BL427&lt;&gt;1,'הזנה לתנאי סף'!Q427&lt;&gt;1),"",'הזנה לתנאי סף'!G427)</f>
        <v/>
      </c>
      <c r="G427" s="88" t="str">
        <f>IF($F427="","",'הזנה לתנאי סף'!H427)</f>
        <v/>
      </c>
      <c r="H427" s="88" t="str">
        <f>IF($F427="","",'הזנה לתנאי סף'!I427)</f>
        <v/>
      </c>
      <c r="I427" s="213" t="str">
        <f>IF($F427="","",'תחום תמיכה א'!$I427)</f>
        <v/>
      </c>
      <c r="J427" s="213" t="str">
        <f>IF($F427="","",'תחום תמיכה א'!$J427)</f>
        <v/>
      </c>
      <c r="K427" s="213" t="str">
        <f>IF($F427="","",'תחום תמיכה א'!$K427)</f>
        <v/>
      </c>
      <c r="L427" s="213" t="str">
        <f t="shared" si="75"/>
        <v/>
      </c>
      <c r="M427" s="214" t="str">
        <f t="shared" si="76"/>
        <v/>
      </c>
      <c r="N427" s="214" t="str">
        <f t="shared" si="77"/>
        <v/>
      </c>
      <c r="O427" s="213" t="str">
        <f t="shared" si="78"/>
        <v/>
      </c>
      <c r="P427" s="213" t="str">
        <f>IF($F427="","",'פרמטרים לקריטריונים'!$C$59*O427)</f>
        <v/>
      </c>
      <c r="Q427" s="214" t="str">
        <f t="shared" si="79"/>
        <v/>
      </c>
      <c r="R427" s="213" t="str">
        <f t="shared" si="80"/>
        <v/>
      </c>
      <c r="S427" s="213" t="str">
        <f>IF($F427="","",'הזנה לתנאי סף'!N427)</f>
        <v/>
      </c>
      <c r="T427" s="213" t="str">
        <f>IF($F427="","",'הזנה לתנאי סף'!O427)</f>
        <v/>
      </c>
      <c r="U427" s="213" t="str">
        <f>IF($F427="","",'תחום תמיכה א'!W427)</f>
        <v/>
      </c>
      <c r="V427" s="213" t="str">
        <f>IF($F427="","",'תחום תמיכה א'!X427)</f>
        <v/>
      </c>
      <c r="W427" s="213" t="str">
        <f>IF($F427="","",'תחום תמיכה א'!Y427)</f>
        <v/>
      </c>
      <c r="X427" s="231" t="str">
        <f>IF($F427="","",'תחום תמיכה א'!Z427)</f>
        <v/>
      </c>
      <c r="Y427" s="213" t="str">
        <f>IF($F427="","",'תחום תמיכה א'!AA427)</f>
        <v/>
      </c>
      <c r="Z427" s="214" t="str">
        <f>IF($F427="","",'תחום תמיכה א'!AB427)</f>
        <v/>
      </c>
      <c r="AA427" s="225" t="str">
        <f>IF($F427="","",'תחום תמיכה א'!AC427)</f>
        <v/>
      </c>
      <c r="AB427" s="213" t="str">
        <f t="shared" si="81"/>
        <v/>
      </c>
      <c r="AC427" s="213" t="str">
        <f t="shared" si="82"/>
        <v/>
      </c>
      <c r="AD427" s="214" t="str">
        <f t="shared" si="83"/>
        <v/>
      </c>
      <c r="AE427" s="213" t="str">
        <f t="shared" si="84"/>
        <v/>
      </c>
      <c r="AF427" s="214" t="str">
        <f t="shared" si="85"/>
        <v/>
      </c>
    </row>
    <row r="428" spans="1:32" ht="15.75" x14ac:dyDescent="0.2">
      <c r="A428" s="206" t="str">
        <f t="shared" si="74"/>
        <v/>
      </c>
      <c r="B428" s="88" t="str">
        <f>IF($F428="","",'הזנה לתנאי סף'!C428)</f>
        <v/>
      </c>
      <c r="C428" s="88" t="str">
        <f>IF($F428="","",'הזנה לתנאי סף'!D428)</f>
        <v/>
      </c>
      <c r="D428" s="88" t="str">
        <f>IF($F428="","",'הזנה לתנאי סף'!E428)</f>
        <v/>
      </c>
      <c r="E428" s="88" t="str">
        <f>IF($F428="","",'הזנה לתנאי סף'!F428)</f>
        <v/>
      </c>
      <c r="F428" s="88" t="str">
        <f>IF(OR('הזנה לתנאי סף'!G428="",'הזנה לתנאי סף'!BL428&lt;&gt;1,'הזנה לתנאי סף'!Q428&lt;&gt;1),"",'הזנה לתנאי סף'!G428)</f>
        <v/>
      </c>
      <c r="G428" s="88" t="str">
        <f>IF($F428="","",'הזנה לתנאי סף'!H428)</f>
        <v/>
      </c>
      <c r="H428" s="88" t="str">
        <f>IF($F428="","",'הזנה לתנאי סף'!I428)</f>
        <v/>
      </c>
      <c r="I428" s="213" t="str">
        <f>IF($F428="","",'תחום תמיכה א'!$I428)</f>
        <v/>
      </c>
      <c r="J428" s="213" t="str">
        <f>IF($F428="","",'תחום תמיכה א'!$J428)</f>
        <v/>
      </c>
      <c r="K428" s="213" t="str">
        <f>IF($F428="","",'תחום תמיכה א'!$K428)</f>
        <v/>
      </c>
      <c r="L428" s="213" t="str">
        <f t="shared" si="75"/>
        <v/>
      </c>
      <c r="M428" s="214" t="str">
        <f t="shared" si="76"/>
        <v/>
      </c>
      <c r="N428" s="214" t="str">
        <f t="shared" si="77"/>
        <v/>
      </c>
      <c r="O428" s="213" t="str">
        <f t="shared" si="78"/>
        <v/>
      </c>
      <c r="P428" s="213" t="str">
        <f>IF($F428="","",'פרמטרים לקריטריונים'!$C$59*O428)</f>
        <v/>
      </c>
      <c r="Q428" s="214" t="str">
        <f t="shared" si="79"/>
        <v/>
      </c>
      <c r="R428" s="213" t="str">
        <f t="shared" si="80"/>
        <v/>
      </c>
      <c r="S428" s="213" t="str">
        <f>IF($F428="","",'הזנה לתנאי סף'!N428)</f>
        <v/>
      </c>
      <c r="T428" s="213" t="str">
        <f>IF($F428="","",'הזנה לתנאי סף'!O428)</f>
        <v/>
      </c>
      <c r="U428" s="213" t="str">
        <f>IF($F428="","",'תחום תמיכה א'!W428)</f>
        <v/>
      </c>
      <c r="V428" s="213" t="str">
        <f>IF($F428="","",'תחום תמיכה א'!X428)</f>
        <v/>
      </c>
      <c r="W428" s="213" t="str">
        <f>IF($F428="","",'תחום תמיכה א'!Y428)</f>
        <v/>
      </c>
      <c r="X428" s="231" t="str">
        <f>IF($F428="","",'תחום תמיכה א'!Z428)</f>
        <v/>
      </c>
      <c r="Y428" s="213" t="str">
        <f>IF($F428="","",'תחום תמיכה א'!AA428)</f>
        <v/>
      </c>
      <c r="Z428" s="214" t="str">
        <f>IF($F428="","",'תחום תמיכה א'!AB428)</f>
        <v/>
      </c>
      <c r="AA428" s="225" t="str">
        <f>IF($F428="","",'תחום תמיכה א'!AC428)</f>
        <v/>
      </c>
      <c r="AB428" s="213" t="str">
        <f t="shared" si="81"/>
        <v/>
      </c>
      <c r="AC428" s="213" t="str">
        <f t="shared" si="82"/>
        <v/>
      </c>
      <c r="AD428" s="214" t="str">
        <f t="shared" si="83"/>
        <v/>
      </c>
      <c r="AE428" s="213" t="str">
        <f t="shared" si="84"/>
        <v/>
      </c>
      <c r="AF428" s="214" t="str">
        <f t="shared" si="85"/>
        <v/>
      </c>
    </row>
    <row r="429" spans="1:32" ht="15.75" x14ac:dyDescent="0.2">
      <c r="A429" s="206" t="str">
        <f t="shared" si="74"/>
        <v/>
      </c>
      <c r="B429" s="88" t="str">
        <f>IF($F429="","",'הזנה לתנאי סף'!C429)</f>
        <v/>
      </c>
      <c r="C429" s="88" t="str">
        <f>IF($F429="","",'הזנה לתנאי סף'!D429)</f>
        <v/>
      </c>
      <c r="D429" s="88" t="str">
        <f>IF($F429="","",'הזנה לתנאי סף'!E429)</f>
        <v/>
      </c>
      <c r="E429" s="88" t="str">
        <f>IF($F429="","",'הזנה לתנאי סף'!F429)</f>
        <v/>
      </c>
      <c r="F429" s="88" t="str">
        <f>IF(OR('הזנה לתנאי סף'!G429="",'הזנה לתנאי סף'!BL429&lt;&gt;1,'הזנה לתנאי סף'!Q429&lt;&gt;1),"",'הזנה לתנאי סף'!G429)</f>
        <v/>
      </c>
      <c r="G429" s="88" t="str">
        <f>IF($F429="","",'הזנה לתנאי סף'!H429)</f>
        <v/>
      </c>
      <c r="H429" s="88" t="str">
        <f>IF($F429="","",'הזנה לתנאי סף'!I429)</f>
        <v/>
      </c>
      <c r="I429" s="213" t="str">
        <f>IF($F429="","",'תחום תמיכה א'!$I429)</f>
        <v/>
      </c>
      <c r="J429" s="213" t="str">
        <f>IF($F429="","",'תחום תמיכה א'!$J429)</f>
        <v/>
      </c>
      <c r="K429" s="213" t="str">
        <f>IF($F429="","",'תחום תמיכה א'!$K429)</f>
        <v/>
      </c>
      <c r="L429" s="213" t="str">
        <f t="shared" si="75"/>
        <v/>
      </c>
      <c r="M429" s="214" t="str">
        <f t="shared" si="76"/>
        <v/>
      </c>
      <c r="N429" s="214" t="str">
        <f t="shared" si="77"/>
        <v/>
      </c>
      <c r="O429" s="213" t="str">
        <f t="shared" si="78"/>
        <v/>
      </c>
      <c r="P429" s="213" t="str">
        <f>IF($F429="","",'פרמטרים לקריטריונים'!$C$59*O429)</f>
        <v/>
      </c>
      <c r="Q429" s="214" t="str">
        <f t="shared" si="79"/>
        <v/>
      </c>
      <c r="R429" s="213" t="str">
        <f t="shared" si="80"/>
        <v/>
      </c>
      <c r="S429" s="213" t="str">
        <f>IF($F429="","",'הזנה לתנאי סף'!N429)</f>
        <v/>
      </c>
      <c r="T429" s="213" t="str">
        <f>IF($F429="","",'הזנה לתנאי סף'!O429)</f>
        <v/>
      </c>
      <c r="U429" s="213" t="str">
        <f>IF($F429="","",'תחום תמיכה א'!W429)</f>
        <v/>
      </c>
      <c r="V429" s="213" t="str">
        <f>IF($F429="","",'תחום תמיכה א'!X429)</f>
        <v/>
      </c>
      <c r="W429" s="213" t="str">
        <f>IF($F429="","",'תחום תמיכה א'!Y429)</f>
        <v/>
      </c>
      <c r="X429" s="231" t="str">
        <f>IF($F429="","",'תחום תמיכה א'!Z429)</f>
        <v/>
      </c>
      <c r="Y429" s="213" t="str">
        <f>IF($F429="","",'תחום תמיכה א'!AA429)</f>
        <v/>
      </c>
      <c r="Z429" s="214" t="str">
        <f>IF($F429="","",'תחום תמיכה א'!AB429)</f>
        <v/>
      </c>
      <c r="AA429" s="225" t="str">
        <f>IF($F429="","",'תחום תמיכה א'!AC429)</f>
        <v/>
      </c>
      <c r="AB429" s="213" t="str">
        <f t="shared" si="81"/>
        <v/>
      </c>
      <c r="AC429" s="213" t="str">
        <f t="shared" si="82"/>
        <v/>
      </c>
      <c r="AD429" s="214" t="str">
        <f t="shared" si="83"/>
        <v/>
      </c>
      <c r="AE429" s="213" t="str">
        <f t="shared" si="84"/>
        <v/>
      </c>
      <c r="AF429" s="214" t="str">
        <f t="shared" si="85"/>
        <v/>
      </c>
    </row>
    <row r="430" spans="1:32" ht="15.75" x14ac:dyDescent="0.2">
      <c r="A430" s="206" t="str">
        <f t="shared" si="74"/>
        <v/>
      </c>
      <c r="B430" s="88" t="str">
        <f>IF($F430="","",'הזנה לתנאי סף'!C430)</f>
        <v/>
      </c>
      <c r="C430" s="88" t="str">
        <f>IF($F430="","",'הזנה לתנאי סף'!D430)</f>
        <v/>
      </c>
      <c r="D430" s="88" t="str">
        <f>IF($F430="","",'הזנה לתנאי סף'!E430)</f>
        <v/>
      </c>
      <c r="E430" s="88" t="str">
        <f>IF($F430="","",'הזנה לתנאי סף'!F430)</f>
        <v/>
      </c>
      <c r="F430" s="88" t="str">
        <f>IF(OR('הזנה לתנאי סף'!G430="",'הזנה לתנאי סף'!BL430&lt;&gt;1,'הזנה לתנאי סף'!Q430&lt;&gt;1),"",'הזנה לתנאי סף'!G430)</f>
        <v/>
      </c>
      <c r="G430" s="88" t="str">
        <f>IF($F430="","",'הזנה לתנאי סף'!H430)</f>
        <v/>
      </c>
      <c r="H430" s="88" t="str">
        <f>IF($F430="","",'הזנה לתנאי סף'!I430)</f>
        <v/>
      </c>
      <c r="I430" s="213" t="str">
        <f>IF($F430="","",'תחום תמיכה א'!$I430)</f>
        <v/>
      </c>
      <c r="J430" s="213" t="str">
        <f>IF($F430="","",'תחום תמיכה א'!$J430)</f>
        <v/>
      </c>
      <c r="K430" s="213" t="str">
        <f>IF($F430="","",'תחום תמיכה א'!$K430)</f>
        <v/>
      </c>
      <c r="L430" s="213" t="str">
        <f t="shared" si="75"/>
        <v/>
      </c>
      <c r="M430" s="214" t="str">
        <f t="shared" si="76"/>
        <v/>
      </c>
      <c r="N430" s="214" t="str">
        <f t="shared" si="77"/>
        <v/>
      </c>
      <c r="O430" s="213" t="str">
        <f t="shared" si="78"/>
        <v/>
      </c>
      <c r="P430" s="213" t="str">
        <f>IF($F430="","",'פרמטרים לקריטריונים'!$C$59*O430)</f>
        <v/>
      </c>
      <c r="Q430" s="214" t="str">
        <f t="shared" si="79"/>
        <v/>
      </c>
      <c r="R430" s="213" t="str">
        <f t="shared" si="80"/>
        <v/>
      </c>
      <c r="S430" s="213" t="str">
        <f>IF($F430="","",'הזנה לתנאי סף'!N430)</f>
        <v/>
      </c>
      <c r="T430" s="213" t="str">
        <f>IF($F430="","",'הזנה לתנאי סף'!O430)</f>
        <v/>
      </c>
      <c r="U430" s="213" t="str">
        <f>IF($F430="","",'תחום תמיכה א'!W430)</f>
        <v/>
      </c>
      <c r="V430" s="213" t="str">
        <f>IF($F430="","",'תחום תמיכה א'!X430)</f>
        <v/>
      </c>
      <c r="W430" s="213" t="str">
        <f>IF($F430="","",'תחום תמיכה א'!Y430)</f>
        <v/>
      </c>
      <c r="X430" s="231" t="str">
        <f>IF($F430="","",'תחום תמיכה א'!Z430)</f>
        <v/>
      </c>
      <c r="Y430" s="213" t="str">
        <f>IF($F430="","",'תחום תמיכה א'!AA430)</f>
        <v/>
      </c>
      <c r="Z430" s="214" t="str">
        <f>IF($F430="","",'תחום תמיכה א'!AB430)</f>
        <v/>
      </c>
      <c r="AA430" s="225" t="str">
        <f>IF($F430="","",'תחום תמיכה א'!AC430)</f>
        <v/>
      </c>
      <c r="AB430" s="213" t="str">
        <f t="shared" si="81"/>
        <v/>
      </c>
      <c r="AC430" s="213" t="str">
        <f t="shared" si="82"/>
        <v/>
      </c>
      <c r="AD430" s="214" t="str">
        <f t="shared" si="83"/>
        <v/>
      </c>
      <c r="AE430" s="213" t="str">
        <f t="shared" si="84"/>
        <v/>
      </c>
      <c r="AF430" s="214" t="str">
        <f t="shared" si="85"/>
        <v/>
      </c>
    </row>
    <row r="431" spans="1:32" ht="15.75" x14ac:dyDescent="0.2">
      <c r="A431" s="206" t="str">
        <f t="shared" si="74"/>
        <v/>
      </c>
      <c r="B431" s="88" t="str">
        <f>IF($F431="","",'הזנה לתנאי סף'!C431)</f>
        <v/>
      </c>
      <c r="C431" s="88" t="str">
        <f>IF($F431="","",'הזנה לתנאי סף'!D431)</f>
        <v/>
      </c>
      <c r="D431" s="88" t="str">
        <f>IF($F431="","",'הזנה לתנאי סף'!E431)</f>
        <v/>
      </c>
      <c r="E431" s="88" t="str">
        <f>IF($F431="","",'הזנה לתנאי סף'!F431)</f>
        <v/>
      </c>
      <c r="F431" s="88" t="str">
        <f>IF(OR('הזנה לתנאי סף'!G431="",'הזנה לתנאי סף'!BL431&lt;&gt;1,'הזנה לתנאי סף'!Q431&lt;&gt;1),"",'הזנה לתנאי סף'!G431)</f>
        <v/>
      </c>
      <c r="G431" s="88" t="str">
        <f>IF($F431="","",'הזנה לתנאי סף'!H431)</f>
        <v/>
      </c>
      <c r="H431" s="88" t="str">
        <f>IF($F431="","",'הזנה לתנאי סף'!I431)</f>
        <v/>
      </c>
      <c r="I431" s="213" t="str">
        <f>IF($F431="","",'תחום תמיכה א'!$I431)</f>
        <v/>
      </c>
      <c r="J431" s="213" t="str">
        <f>IF($F431="","",'תחום תמיכה א'!$J431)</f>
        <v/>
      </c>
      <c r="K431" s="213" t="str">
        <f>IF($F431="","",'תחום תמיכה א'!$K431)</f>
        <v/>
      </c>
      <c r="L431" s="213" t="str">
        <f t="shared" si="75"/>
        <v/>
      </c>
      <c r="M431" s="214" t="str">
        <f t="shared" si="76"/>
        <v/>
      </c>
      <c r="N431" s="214" t="str">
        <f t="shared" si="77"/>
        <v/>
      </c>
      <c r="O431" s="213" t="str">
        <f t="shared" si="78"/>
        <v/>
      </c>
      <c r="P431" s="213" t="str">
        <f>IF($F431="","",'פרמטרים לקריטריונים'!$C$59*O431)</f>
        <v/>
      </c>
      <c r="Q431" s="214" t="str">
        <f t="shared" si="79"/>
        <v/>
      </c>
      <c r="R431" s="213" t="str">
        <f t="shared" si="80"/>
        <v/>
      </c>
      <c r="S431" s="213" t="str">
        <f>IF($F431="","",'הזנה לתנאי סף'!N431)</f>
        <v/>
      </c>
      <c r="T431" s="213" t="str">
        <f>IF($F431="","",'הזנה לתנאי סף'!O431)</f>
        <v/>
      </c>
      <c r="U431" s="213" t="str">
        <f>IF($F431="","",'תחום תמיכה א'!W431)</f>
        <v/>
      </c>
      <c r="V431" s="213" t="str">
        <f>IF($F431="","",'תחום תמיכה א'!X431)</f>
        <v/>
      </c>
      <c r="W431" s="213" t="str">
        <f>IF($F431="","",'תחום תמיכה א'!Y431)</f>
        <v/>
      </c>
      <c r="X431" s="231" t="str">
        <f>IF($F431="","",'תחום תמיכה א'!Z431)</f>
        <v/>
      </c>
      <c r="Y431" s="213" t="str">
        <f>IF($F431="","",'תחום תמיכה א'!AA431)</f>
        <v/>
      </c>
      <c r="Z431" s="214" t="str">
        <f>IF($F431="","",'תחום תמיכה א'!AB431)</f>
        <v/>
      </c>
      <c r="AA431" s="225" t="str">
        <f>IF($F431="","",'תחום תמיכה א'!AC431)</f>
        <v/>
      </c>
      <c r="AB431" s="213" t="str">
        <f t="shared" si="81"/>
        <v/>
      </c>
      <c r="AC431" s="213" t="str">
        <f t="shared" si="82"/>
        <v/>
      </c>
      <c r="AD431" s="214" t="str">
        <f t="shared" si="83"/>
        <v/>
      </c>
      <c r="AE431" s="213" t="str">
        <f t="shared" si="84"/>
        <v/>
      </c>
      <c r="AF431" s="214" t="str">
        <f t="shared" si="85"/>
        <v/>
      </c>
    </row>
    <row r="432" spans="1:32" ht="15.75" x14ac:dyDescent="0.2">
      <c r="A432" s="206" t="str">
        <f t="shared" si="74"/>
        <v/>
      </c>
      <c r="B432" s="88" t="str">
        <f>IF($F432="","",'הזנה לתנאי סף'!C432)</f>
        <v/>
      </c>
      <c r="C432" s="88" t="str">
        <f>IF($F432="","",'הזנה לתנאי סף'!D432)</f>
        <v/>
      </c>
      <c r="D432" s="88" t="str">
        <f>IF($F432="","",'הזנה לתנאי סף'!E432)</f>
        <v/>
      </c>
      <c r="E432" s="88" t="str">
        <f>IF($F432="","",'הזנה לתנאי סף'!F432)</f>
        <v/>
      </c>
      <c r="F432" s="88" t="str">
        <f>IF(OR('הזנה לתנאי סף'!G432="",'הזנה לתנאי סף'!BL432&lt;&gt;1,'הזנה לתנאי סף'!Q432&lt;&gt;1),"",'הזנה לתנאי סף'!G432)</f>
        <v/>
      </c>
      <c r="G432" s="88" t="str">
        <f>IF($F432="","",'הזנה לתנאי סף'!H432)</f>
        <v/>
      </c>
      <c r="H432" s="88" t="str">
        <f>IF($F432="","",'הזנה לתנאי סף'!I432)</f>
        <v/>
      </c>
      <c r="I432" s="213" t="str">
        <f>IF($F432="","",'תחום תמיכה א'!$I432)</f>
        <v/>
      </c>
      <c r="J432" s="213" t="str">
        <f>IF($F432="","",'תחום תמיכה א'!$J432)</f>
        <v/>
      </c>
      <c r="K432" s="213" t="str">
        <f>IF($F432="","",'תחום תמיכה א'!$K432)</f>
        <v/>
      </c>
      <c r="L432" s="213" t="str">
        <f t="shared" si="75"/>
        <v/>
      </c>
      <c r="M432" s="214" t="str">
        <f t="shared" si="76"/>
        <v/>
      </c>
      <c r="N432" s="214" t="str">
        <f t="shared" si="77"/>
        <v/>
      </c>
      <c r="O432" s="213" t="str">
        <f t="shared" si="78"/>
        <v/>
      </c>
      <c r="P432" s="213" t="str">
        <f>IF($F432="","",'פרמטרים לקריטריונים'!$C$59*O432)</f>
        <v/>
      </c>
      <c r="Q432" s="214" t="str">
        <f t="shared" si="79"/>
        <v/>
      </c>
      <c r="R432" s="213" t="str">
        <f t="shared" si="80"/>
        <v/>
      </c>
      <c r="S432" s="213" t="str">
        <f>IF($F432="","",'הזנה לתנאי סף'!N432)</f>
        <v/>
      </c>
      <c r="T432" s="213" t="str">
        <f>IF($F432="","",'הזנה לתנאי סף'!O432)</f>
        <v/>
      </c>
      <c r="U432" s="213" t="str">
        <f>IF($F432="","",'תחום תמיכה א'!W432)</f>
        <v/>
      </c>
      <c r="V432" s="213" t="str">
        <f>IF($F432="","",'תחום תמיכה א'!X432)</f>
        <v/>
      </c>
      <c r="W432" s="213" t="str">
        <f>IF($F432="","",'תחום תמיכה א'!Y432)</f>
        <v/>
      </c>
      <c r="X432" s="231" t="str">
        <f>IF($F432="","",'תחום תמיכה א'!Z432)</f>
        <v/>
      </c>
      <c r="Y432" s="213" t="str">
        <f>IF($F432="","",'תחום תמיכה א'!AA432)</f>
        <v/>
      </c>
      <c r="Z432" s="214" t="str">
        <f>IF($F432="","",'תחום תמיכה א'!AB432)</f>
        <v/>
      </c>
      <c r="AA432" s="225" t="str">
        <f>IF($F432="","",'תחום תמיכה א'!AC432)</f>
        <v/>
      </c>
      <c r="AB432" s="213" t="str">
        <f t="shared" si="81"/>
        <v/>
      </c>
      <c r="AC432" s="213" t="str">
        <f t="shared" si="82"/>
        <v/>
      </c>
      <c r="AD432" s="214" t="str">
        <f t="shared" si="83"/>
        <v/>
      </c>
      <c r="AE432" s="213" t="str">
        <f t="shared" si="84"/>
        <v/>
      </c>
      <c r="AF432" s="214" t="str">
        <f t="shared" si="85"/>
        <v/>
      </c>
    </row>
    <row r="433" spans="1:32" ht="15.75" x14ac:dyDescent="0.2">
      <c r="A433" s="206" t="str">
        <f t="shared" si="74"/>
        <v/>
      </c>
      <c r="B433" s="88" t="str">
        <f>IF($F433="","",'הזנה לתנאי סף'!C433)</f>
        <v/>
      </c>
      <c r="C433" s="88" t="str">
        <f>IF($F433="","",'הזנה לתנאי סף'!D433)</f>
        <v/>
      </c>
      <c r="D433" s="88" t="str">
        <f>IF($F433="","",'הזנה לתנאי סף'!E433)</f>
        <v/>
      </c>
      <c r="E433" s="88" t="str">
        <f>IF($F433="","",'הזנה לתנאי סף'!F433)</f>
        <v/>
      </c>
      <c r="F433" s="88" t="str">
        <f>IF(OR('הזנה לתנאי סף'!G433="",'הזנה לתנאי סף'!BL433&lt;&gt;1,'הזנה לתנאי סף'!Q433&lt;&gt;1),"",'הזנה לתנאי סף'!G433)</f>
        <v/>
      </c>
      <c r="G433" s="88" t="str">
        <f>IF($F433="","",'הזנה לתנאי סף'!H433)</f>
        <v/>
      </c>
      <c r="H433" s="88" t="str">
        <f>IF($F433="","",'הזנה לתנאי סף'!I433)</f>
        <v/>
      </c>
      <c r="I433" s="213" t="str">
        <f>IF($F433="","",'תחום תמיכה א'!$I433)</f>
        <v/>
      </c>
      <c r="J433" s="213" t="str">
        <f>IF($F433="","",'תחום תמיכה א'!$J433)</f>
        <v/>
      </c>
      <c r="K433" s="213" t="str">
        <f>IF($F433="","",'תחום תמיכה א'!$K433)</f>
        <v/>
      </c>
      <c r="L433" s="213" t="str">
        <f t="shared" si="75"/>
        <v/>
      </c>
      <c r="M433" s="214" t="str">
        <f t="shared" si="76"/>
        <v/>
      </c>
      <c r="N433" s="214" t="str">
        <f t="shared" si="77"/>
        <v/>
      </c>
      <c r="O433" s="213" t="str">
        <f t="shared" si="78"/>
        <v/>
      </c>
      <c r="P433" s="213" t="str">
        <f>IF($F433="","",'פרמטרים לקריטריונים'!$C$59*O433)</f>
        <v/>
      </c>
      <c r="Q433" s="214" t="str">
        <f t="shared" si="79"/>
        <v/>
      </c>
      <c r="R433" s="213" t="str">
        <f t="shared" si="80"/>
        <v/>
      </c>
      <c r="S433" s="213" t="str">
        <f>IF($F433="","",'הזנה לתנאי סף'!N433)</f>
        <v/>
      </c>
      <c r="T433" s="213" t="str">
        <f>IF($F433="","",'הזנה לתנאי סף'!O433)</f>
        <v/>
      </c>
      <c r="U433" s="213" t="str">
        <f>IF($F433="","",'תחום תמיכה א'!W433)</f>
        <v/>
      </c>
      <c r="V433" s="213" t="str">
        <f>IF($F433="","",'תחום תמיכה א'!X433)</f>
        <v/>
      </c>
      <c r="W433" s="213" t="str">
        <f>IF($F433="","",'תחום תמיכה א'!Y433)</f>
        <v/>
      </c>
      <c r="X433" s="231" t="str">
        <f>IF($F433="","",'תחום תמיכה א'!Z433)</f>
        <v/>
      </c>
      <c r="Y433" s="213" t="str">
        <f>IF($F433="","",'תחום תמיכה א'!AA433)</f>
        <v/>
      </c>
      <c r="Z433" s="214" t="str">
        <f>IF($F433="","",'תחום תמיכה א'!AB433)</f>
        <v/>
      </c>
      <c r="AA433" s="225" t="str">
        <f>IF($F433="","",'תחום תמיכה א'!AC433)</f>
        <v/>
      </c>
      <c r="AB433" s="213" t="str">
        <f t="shared" si="81"/>
        <v/>
      </c>
      <c r="AC433" s="213" t="str">
        <f t="shared" si="82"/>
        <v/>
      </c>
      <c r="AD433" s="214" t="str">
        <f t="shared" si="83"/>
        <v/>
      </c>
      <c r="AE433" s="213" t="str">
        <f t="shared" si="84"/>
        <v/>
      </c>
      <c r="AF433" s="214" t="str">
        <f t="shared" si="85"/>
        <v/>
      </c>
    </row>
    <row r="434" spans="1:32" ht="15.75" x14ac:dyDescent="0.2">
      <c r="A434" s="206" t="str">
        <f t="shared" si="74"/>
        <v/>
      </c>
      <c r="B434" s="88" t="str">
        <f>IF($F434="","",'הזנה לתנאי סף'!C434)</f>
        <v/>
      </c>
      <c r="C434" s="88" t="str">
        <f>IF($F434="","",'הזנה לתנאי סף'!D434)</f>
        <v/>
      </c>
      <c r="D434" s="88" t="str">
        <f>IF($F434="","",'הזנה לתנאי סף'!E434)</f>
        <v/>
      </c>
      <c r="E434" s="88" t="str">
        <f>IF($F434="","",'הזנה לתנאי סף'!F434)</f>
        <v/>
      </c>
      <c r="F434" s="88" t="str">
        <f>IF(OR('הזנה לתנאי סף'!G434="",'הזנה לתנאי סף'!BL434&lt;&gt;1,'הזנה לתנאי סף'!Q434&lt;&gt;1),"",'הזנה לתנאי סף'!G434)</f>
        <v/>
      </c>
      <c r="G434" s="88" t="str">
        <f>IF($F434="","",'הזנה לתנאי סף'!H434)</f>
        <v/>
      </c>
      <c r="H434" s="88" t="str">
        <f>IF($F434="","",'הזנה לתנאי סף'!I434)</f>
        <v/>
      </c>
      <c r="I434" s="213" t="str">
        <f>IF($F434="","",'תחום תמיכה א'!$I434)</f>
        <v/>
      </c>
      <c r="J434" s="213" t="str">
        <f>IF($F434="","",'תחום תמיכה א'!$J434)</f>
        <v/>
      </c>
      <c r="K434" s="213" t="str">
        <f>IF($F434="","",'תחום תמיכה א'!$K434)</f>
        <v/>
      </c>
      <c r="L434" s="213" t="str">
        <f t="shared" si="75"/>
        <v/>
      </c>
      <c r="M434" s="214" t="str">
        <f t="shared" si="76"/>
        <v/>
      </c>
      <c r="N434" s="214" t="str">
        <f t="shared" si="77"/>
        <v/>
      </c>
      <c r="O434" s="213" t="str">
        <f t="shared" si="78"/>
        <v/>
      </c>
      <c r="P434" s="213" t="str">
        <f>IF($F434="","",'פרמטרים לקריטריונים'!$C$59*O434)</f>
        <v/>
      </c>
      <c r="Q434" s="214" t="str">
        <f t="shared" si="79"/>
        <v/>
      </c>
      <c r="R434" s="213" t="str">
        <f t="shared" si="80"/>
        <v/>
      </c>
      <c r="S434" s="213" t="str">
        <f>IF($F434="","",'הזנה לתנאי סף'!N434)</f>
        <v/>
      </c>
      <c r="T434" s="213" t="str">
        <f>IF($F434="","",'הזנה לתנאי סף'!O434)</f>
        <v/>
      </c>
      <c r="U434" s="213" t="str">
        <f>IF($F434="","",'תחום תמיכה א'!W434)</f>
        <v/>
      </c>
      <c r="V434" s="213" t="str">
        <f>IF($F434="","",'תחום תמיכה א'!X434)</f>
        <v/>
      </c>
      <c r="W434" s="213" t="str">
        <f>IF($F434="","",'תחום תמיכה א'!Y434)</f>
        <v/>
      </c>
      <c r="X434" s="231" t="str">
        <f>IF($F434="","",'תחום תמיכה א'!Z434)</f>
        <v/>
      </c>
      <c r="Y434" s="213" t="str">
        <f>IF($F434="","",'תחום תמיכה א'!AA434)</f>
        <v/>
      </c>
      <c r="Z434" s="214" t="str">
        <f>IF($F434="","",'תחום תמיכה א'!AB434)</f>
        <v/>
      </c>
      <c r="AA434" s="225" t="str">
        <f>IF($F434="","",'תחום תמיכה א'!AC434)</f>
        <v/>
      </c>
      <c r="AB434" s="213" t="str">
        <f t="shared" si="81"/>
        <v/>
      </c>
      <c r="AC434" s="213" t="str">
        <f t="shared" si="82"/>
        <v/>
      </c>
      <c r="AD434" s="214" t="str">
        <f t="shared" si="83"/>
        <v/>
      </c>
      <c r="AE434" s="213" t="str">
        <f t="shared" si="84"/>
        <v/>
      </c>
      <c r="AF434" s="214" t="str">
        <f t="shared" si="85"/>
        <v/>
      </c>
    </row>
    <row r="435" spans="1:32" ht="15.75" x14ac:dyDescent="0.2">
      <c r="A435" s="206" t="str">
        <f t="shared" si="74"/>
        <v/>
      </c>
      <c r="B435" s="88" t="str">
        <f>IF($F435="","",'הזנה לתנאי סף'!C435)</f>
        <v/>
      </c>
      <c r="C435" s="88" t="str">
        <f>IF($F435="","",'הזנה לתנאי סף'!D435)</f>
        <v/>
      </c>
      <c r="D435" s="88" t="str">
        <f>IF($F435="","",'הזנה לתנאי סף'!E435)</f>
        <v/>
      </c>
      <c r="E435" s="88" t="str">
        <f>IF($F435="","",'הזנה לתנאי סף'!F435)</f>
        <v/>
      </c>
      <c r="F435" s="88" t="str">
        <f>IF(OR('הזנה לתנאי סף'!G435="",'הזנה לתנאי סף'!BL435&lt;&gt;1,'הזנה לתנאי סף'!Q435&lt;&gt;1),"",'הזנה לתנאי סף'!G435)</f>
        <v/>
      </c>
      <c r="G435" s="88" t="str">
        <f>IF($F435="","",'הזנה לתנאי סף'!H435)</f>
        <v/>
      </c>
      <c r="H435" s="88" t="str">
        <f>IF($F435="","",'הזנה לתנאי סף'!I435)</f>
        <v/>
      </c>
      <c r="I435" s="213" t="str">
        <f>IF($F435="","",'תחום תמיכה א'!$I435)</f>
        <v/>
      </c>
      <c r="J435" s="213" t="str">
        <f>IF($F435="","",'תחום תמיכה א'!$J435)</f>
        <v/>
      </c>
      <c r="K435" s="213" t="str">
        <f>IF($F435="","",'תחום תמיכה א'!$K435)</f>
        <v/>
      </c>
      <c r="L435" s="213" t="str">
        <f t="shared" si="75"/>
        <v/>
      </c>
      <c r="M435" s="214" t="str">
        <f t="shared" si="76"/>
        <v/>
      </c>
      <c r="N435" s="214" t="str">
        <f t="shared" si="77"/>
        <v/>
      </c>
      <c r="O435" s="213" t="str">
        <f t="shared" si="78"/>
        <v/>
      </c>
      <c r="P435" s="213" t="str">
        <f>IF($F435="","",'פרמטרים לקריטריונים'!$C$59*O435)</f>
        <v/>
      </c>
      <c r="Q435" s="214" t="str">
        <f t="shared" si="79"/>
        <v/>
      </c>
      <c r="R435" s="213" t="str">
        <f t="shared" si="80"/>
        <v/>
      </c>
      <c r="S435" s="213" t="str">
        <f>IF($F435="","",'הזנה לתנאי סף'!N435)</f>
        <v/>
      </c>
      <c r="T435" s="213" t="str">
        <f>IF($F435="","",'הזנה לתנאי סף'!O435)</f>
        <v/>
      </c>
      <c r="U435" s="213" t="str">
        <f>IF($F435="","",'תחום תמיכה א'!W435)</f>
        <v/>
      </c>
      <c r="V435" s="213" t="str">
        <f>IF($F435="","",'תחום תמיכה א'!X435)</f>
        <v/>
      </c>
      <c r="W435" s="213" t="str">
        <f>IF($F435="","",'תחום תמיכה א'!Y435)</f>
        <v/>
      </c>
      <c r="X435" s="231" t="str">
        <f>IF($F435="","",'תחום תמיכה א'!Z435)</f>
        <v/>
      </c>
      <c r="Y435" s="213" t="str">
        <f>IF($F435="","",'תחום תמיכה א'!AA435)</f>
        <v/>
      </c>
      <c r="Z435" s="214" t="str">
        <f>IF($F435="","",'תחום תמיכה א'!AB435)</f>
        <v/>
      </c>
      <c r="AA435" s="225" t="str">
        <f>IF($F435="","",'תחום תמיכה א'!AC435)</f>
        <v/>
      </c>
      <c r="AB435" s="213" t="str">
        <f t="shared" si="81"/>
        <v/>
      </c>
      <c r="AC435" s="213" t="str">
        <f t="shared" si="82"/>
        <v/>
      </c>
      <c r="AD435" s="214" t="str">
        <f t="shared" si="83"/>
        <v/>
      </c>
      <c r="AE435" s="213" t="str">
        <f t="shared" si="84"/>
        <v/>
      </c>
      <c r="AF435" s="214" t="str">
        <f t="shared" si="85"/>
        <v/>
      </c>
    </row>
    <row r="436" spans="1:32" ht="15.75" x14ac:dyDescent="0.2">
      <c r="A436" s="206" t="str">
        <f t="shared" si="74"/>
        <v/>
      </c>
      <c r="B436" s="88" t="str">
        <f>IF($F436="","",'הזנה לתנאי סף'!C436)</f>
        <v/>
      </c>
      <c r="C436" s="88" t="str">
        <f>IF($F436="","",'הזנה לתנאי סף'!D436)</f>
        <v/>
      </c>
      <c r="D436" s="88" t="str">
        <f>IF($F436="","",'הזנה לתנאי סף'!E436)</f>
        <v/>
      </c>
      <c r="E436" s="88" t="str">
        <f>IF($F436="","",'הזנה לתנאי סף'!F436)</f>
        <v/>
      </c>
      <c r="F436" s="88" t="str">
        <f>IF(OR('הזנה לתנאי סף'!G436="",'הזנה לתנאי סף'!BL436&lt;&gt;1,'הזנה לתנאי סף'!Q436&lt;&gt;1),"",'הזנה לתנאי סף'!G436)</f>
        <v/>
      </c>
      <c r="G436" s="88" t="str">
        <f>IF($F436="","",'הזנה לתנאי סף'!H436)</f>
        <v/>
      </c>
      <c r="H436" s="88" t="str">
        <f>IF($F436="","",'הזנה לתנאי סף'!I436)</f>
        <v/>
      </c>
      <c r="I436" s="213" t="str">
        <f>IF($F436="","",'תחום תמיכה א'!$I436)</f>
        <v/>
      </c>
      <c r="J436" s="213" t="str">
        <f>IF($F436="","",'תחום תמיכה א'!$J436)</f>
        <v/>
      </c>
      <c r="K436" s="213" t="str">
        <f>IF($F436="","",'תחום תמיכה א'!$K436)</f>
        <v/>
      </c>
      <c r="L436" s="213" t="str">
        <f t="shared" si="75"/>
        <v/>
      </c>
      <c r="M436" s="214" t="str">
        <f t="shared" si="76"/>
        <v/>
      </c>
      <c r="N436" s="214" t="str">
        <f t="shared" si="77"/>
        <v/>
      </c>
      <c r="O436" s="213" t="str">
        <f t="shared" si="78"/>
        <v/>
      </c>
      <c r="P436" s="213" t="str">
        <f>IF($F436="","",'פרמטרים לקריטריונים'!$C$59*O436)</f>
        <v/>
      </c>
      <c r="Q436" s="214" t="str">
        <f t="shared" si="79"/>
        <v/>
      </c>
      <c r="R436" s="213" t="str">
        <f t="shared" si="80"/>
        <v/>
      </c>
      <c r="S436" s="213" t="str">
        <f>IF($F436="","",'הזנה לתנאי סף'!N436)</f>
        <v/>
      </c>
      <c r="T436" s="213" t="str">
        <f>IF($F436="","",'הזנה לתנאי סף'!O436)</f>
        <v/>
      </c>
      <c r="U436" s="213" t="str">
        <f>IF($F436="","",'תחום תמיכה א'!W436)</f>
        <v/>
      </c>
      <c r="V436" s="213" t="str">
        <f>IF($F436="","",'תחום תמיכה א'!X436)</f>
        <v/>
      </c>
      <c r="W436" s="213" t="str">
        <f>IF($F436="","",'תחום תמיכה א'!Y436)</f>
        <v/>
      </c>
      <c r="X436" s="231" t="str">
        <f>IF($F436="","",'תחום תמיכה א'!Z436)</f>
        <v/>
      </c>
      <c r="Y436" s="213" t="str">
        <f>IF($F436="","",'תחום תמיכה א'!AA436)</f>
        <v/>
      </c>
      <c r="Z436" s="214" t="str">
        <f>IF($F436="","",'תחום תמיכה א'!AB436)</f>
        <v/>
      </c>
      <c r="AA436" s="225" t="str">
        <f>IF($F436="","",'תחום תמיכה א'!AC436)</f>
        <v/>
      </c>
      <c r="AB436" s="213" t="str">
        <f t="shared" si="81"/>
        <v/>
      </c>
      <c r="AC436" s="213" t="str">
        <f t="shared" si="82"/>
        <v/>
      </c>
      <c r="AD436" s="214" t="str">
        <f t="shared" si="83"/>
        <v/>
      </c>
      <c r="AE436" s="213" t="str">
        <f t="shared" si="84"/>
        <v/>
      </c>
      <c r="AF436" s="214" t="str">
        <f t="shared" si="85"/>
        <v/>
      </c>
    </row>
    <row r="437" spans="1:32" ht="15.75" x14ac:dyDescent="0.2">
      <c r="A437" s="206" t="str">
        <f t="shared" si="74"/>
        <v/>
      </c>
      <c r="B437" s="88" t="str">
        <f>IF($F437="","",'הזנה לתנאי סף'!C437)</f>
        <v/>
      </c>
      <c r="C437" s="88" t="str">
        <f>IF($F437="","",'הזנה לתנאי סף'!D437)</f>
        <v/>
      </c>
      <c r="D437" s="88" t="str">
        <f>IF($F437="","",'הזנה לתנאי סף'!E437)</f>
        <v/>
      </c>
      <c r="E437" s="88" t="str">
        <f>IF($F437="","",'הזנה לתנאי סף'!F437)</f>
        <v/>
      </c>
      <c r="F437" s="88" t="str">
        <f>IF(OR('הזנה לתנאי סף'!G437="",'הזנה לתנאי סף'!BL437&lt;&gt;1,'הזנה לתנאי סף'!Q437&lt;&gt;1),"",'הזנה לתנאי סף'!G437)</f>
        <v/>
      </c>
      <c r="G437" s="88" t="str">
        <f>IF($F437="","",'הזנה לתנאי סף'!H437)</f>
        <v/>
      </c>
      <c r="H437" s="88" t="str">
        <f>IF($F437="","",'הזנה לתנאי סף'!I437)</f>
        <v/>
      </c>
      <c r="I437" s="213" t="str">
        <f>IF($F437="","",'תחום תמיכה א'!$I437)</f>
        <v/>
      </c>
      <c r="J437" s="213" t="str">
        <f>IF($F437="","",'תחום תמיכה א'!$J437)</f>
        <v/>
      </c>
      <c r="K437" s="213" t="str">
        <f>IF($F437="","",'תחום תמיכה א'!$K437)</f>
        <v/>
      </c>
      <c r="L437" s="213" t="str">
        <f t="shared" si="75"/>
        <v/>
      </c>
      <c r="M437" s="214" t="str">
        <f t="shared" si="76"/>
        <v/>
      </c>
      <c r="N437" s="214" t="str">
        <f t="shared" si="77"/>
        <v/>
      </c>
      <c r="O437" s="213" t="str">
        <f t="shared" si="78"/>
        <v/>
      </c>
      <c r="P437" s="213" t="str">
        <f>IF($F437="","",'פרמטרים לקריטריונים'!$C$59*O437)</f>
        <v/>
      </c>
      <c r="Q437" s="214" t="str">
        <f t="shared" si="79"/>
        <v/>
      </c>
      <c r="R437" s="213" t="str">
        <f t="shared" si="80"/>
        <v/>
      </c>
      <c r="S437" s="213" t="str">
        <f>IF($F437="","",'הזנה לתנאי סף'!N437)</f>
        <v/>
      </c>
      <c r="T437" s="213" t="str">
        <f>IF($F437="","",'הזנה לתנאי סף'!O437)</f>
        <v/>
      </c>
      <c r="U437" s="213" t="str">
        <f>IF($F437="","",'תחום תמיכה א'!W437)</f>
        <v/>
      </c>
      <c r="V437" s="213" t="str">
        <f>IF($F437="","",'תחום תמיכה א'!X437)</f>
        <v/>
      </c>
      <c r="W437" s="213" t="str">
        <f>IF($F437="","",'תחום תמיכה א'!Y437)</f>
        <v/>
      </c>
      <c r="X437" s="231" t="str">
        <f>IF($F437="","",'תחום תמיכה א'!Z437)</f>
        <v/>
      </c>
      <c r="Y437" s="213" t="str">
        <f>IF($F437="","",'תחום תמיכה א'!AA437)</f>
        <v/>
      </c>
      <c r="Z437" s="214" t="str">
        <f>IF($F437="","",'תחום תמיכה א'!AB437)</f>
        <v/>
      </c>
      <c r="AA437" s="225" t="str">
        <f>IF($F437="","",'תחום תמיכה א'!AC437)</f>
        <v/>
      </c>
      <c r="AB437" s="213" t="str">
        <f t="shared" si="81"/>
        <v/>
      </c>
      <c r="AC437" s="213" t="str">
        <f t="shared" si="82"/>
        <v/>
      </c>
      <c r="AD437" s="214" t="str">
        <f t="shared" si="83"/>
        <v/>
      </c>
      <c r="AE437" s="213" t="str">
        <f t="shared" si="84"/>
        <v/>
      </c>
      <c r="AF437" s="214" t="str">
        <f t="shared" si="85"/>
        <v/>
      </c>
    </row>
    <row r="438" spans="1:32" ht="15.75" x14ac:dyDescent="0.2">
      <c r="A438" s="206" t="str">
        <f t="shared" si="74"/>
        <v/>
      </c>
      <c r="B438" s="88" t="str">
        <f>IF($F438="","",'הזנה לתנאי סף'!C438)</f>
        <v/>
      </c>
      <c r="C438" s="88" t="str">
        <f>IF($F438="","",'הזנה לתנאי סף'!D438)</f>
        <v/>
      </c>
      <c r="D438" s="88" t="str">
        <f>IF($F438="","",'הזנה לתנאי סף'!E438)</f>
        <v/>
      </c>
      <c r="E438" s="88" t="str">
        <f>IF($F438="","",'הזנה לתנאי סף'!F438)</f>
        <v/>
      </c>
      <c r="F438" s="88" t="str">
        <f>IF(OR('הזנה לתנאי סף'!G438="",'הזנה לתנאי סף'!BL438&lt;&gt;1,'הזנה לתנאי סף'!Q438&lt;&gt;1),"",'הזנה לתנאי סף'!G438)</f>
        <v/>
      </c>
      <c r="G438" s="88" t="str">
        <f>IF($F438="","",'הזנה לתנאי סף'!H438)</f>
        <v/>
      </c>
      <c r="H438" s="88" t="str">
        <f>IF($F438="","",'הזנה לתנאי סף'!I438)</f>
        <v/>
      </c>
      <c r="I438" s="213" t="str">
        <f>IF($F438="","",'תחום תמיכה א'!$I438)</f>
        <v/>
      </c>
      <c r="J438" s="213" t="str">
        <f>IF($F438="","",'תחום תמיכה א'!$J438)</f>
        <v/>
      </c>
      <c r="K438" s="213" t="str">
        <f>IF($F438="","",'תחום תמיכה א'!$K438)</f>
        <v/>
      </c>
      <c r="L438" s="213" t="str">
        <f t="shared" si="75"/>
        <v/>
      </c>
      <c r="M438" s="214" t="str">
        <f t="shared" si="76"/>
        <v/>
      </c>
      <c r="N438" s="214" t="str">
        <f t="shared" si="77"/>
        <v/>
      </c>
      <c r="O438" s="213" t="str">
        <f t="shared" si="78"/>
        <v/>
      </c>
      <c r="P438" s="213" t="str">
        <f>IF($F438="","",'פרמטרים לקריטריונים'!$C$59*O438)</f>
        <v/>
      </c>
      <c r="Q438" s="214" t="str">
        <f t="shared" si="79"/>
        <v/>
      </c>
      <c r="R438" s="213" t="str">
        <f t="shared" si="80"/>
        <v/>
      </c>
      <c r="S438" s="213" t="str">
        <f>IF($F438="","",'הזנה לתנאי סף'!N438)</f>
        <v/>
      </c>
      <c r="T438" s="213" t="str">
        <f>IF($F438="","",'הזנה לתנאי סף'!O438)</f>
        <v/>
      </c>
      <c r="U438" s="213" t="str">
        <f>IF($F438="","",'תחום תמיכה א'!W438)</f>
        <v/>
      </c>
      <c r="V438" s="213" t="str">
        <f>IF($F438="","",'תחום תמיכה א'!X438)</f>
        <v/>
      </c>
      <c r="W438" s="213" t="str">
        <f>IF($F438="","",'תחום תמיכה א'!Y438)</f>
        <v/>
      </c>
      <c r="X438" s="231" t="str">
        <f>IF($F438="","",'תחום תמיכה א'!Z438)</f>
        <v/>
      </c>
      <c r="Y438" s="213" t="str">
        <f>IF($F438="","",'תחום תמיכה א'!AA438)</f>
        <v/>
      </c>
      <c r="Z438" s="214" t="str">
        <f>IF($F438="","",'תחום תמיכה א'!AB438)</f>
        <v/>
      </c>
      <c r="AA438" s="225" t="str">
        <f>IF($F438="","",'תחום תמיכה א'!AC438)</f>
        <v/>
      </c>
      <c r="AB438" s="213" t="str">
        <f t="shared" si="81"/>
        <v/>
      </c>
      <c r="AC438" s="213" t="str">
        <f t="shared" si="82"/>
        <v/>
      </c>
      <c r="AD438" s="214" t="str">
        <f t="shared" si="83"/>
        <v/>
      </c>
      <c r="AE438" s="213" t="str">
        <f t="shared" si="84"/>
        <v/>
      </c>
      <c r="AF438" s="214" t="str">
        <f t="shared" si="85"/>
        <v/>
      </c>
    </row>
    <row r="439" spans="1:32" ht="15.75" x14ac:dyDescent="0.2">
      <c r="A439" s="206" t="str">
        <f t="shared" si="74"/>
        <v/>
      </c>
      <c r="B439" s="88" t="str">
        <f>IF($F439="","",'הזנה לתנאי סף'!C439)</f>
        <v/>
      </c>
      <c r="C439" s="88" t="str">
        <f>IF($F439="","",'הזנה לתנאי סף'!D439)</f>
        <v/>
      </c>
      <c r="D439" s="88" t="str">
        <f>IF($F439="","",'הזנה לתנאי סף'!E439)</f>
        <v/>
      </c>
      <c r="E439" s="88" t="str">
        <f>IF($F439="","",'הזנה לתנאי סף'!F439)</f>
        <v/>
      </c>
      <c r="F439" s="88" t="str">
        <f>IF(OR('הזנה לתנאי סף'!G439="",'הזנה לתנאי סף'!BL439&lt;&gt;1,'הזנה לתנאי סף'!Q439&lt;&gt;1),"",'הזנה לתנאי סף'!G439)</f>
        <v/>
      </c>
      <c r="G439" s="88" t="str">
        <f>IF($F439="","",'הזנה לתנאי סף'!H439)</f>
        <v/>
      </c>
      <c r="H439" s="88" t="str">
        <f>IF($F439="","",'הזנה לתנאי סף'!I439)</f>
        <v/>
      </c>
      <c r="I439" s="213" t="str">
        <f>IF($F439="","",'תחום תמיכה א'!$I439)</f>
        <v/>
      </c>
      <c r="J439" s="213" t="str">
        <f>IF($F439="","",'תחום תמיכה א'!$J439)</f>
        <v/>
      </c>
      <c r="K439" s="213" t="str">
        <f>IF($F439="","",'תחום תמיכה א'!$K439)</f>
        <v/>
      </c>
      <c r="L439" s="213" t="str">
        <f t="shared" si="75"/>
        <v/>
      </c>
      <c r="M439" s="214" t="str">
        <f t="shared" si="76"/>
        <v/>
      </c>
      <c r="N439" s="214" t="str">
        <f t="shared" si="77"/>
        <v/>
      </c>
      <c r="O439" s="213" t="str">
        <f t="shared" si="78"/>
        <v/>
      </c>
      <c r="P439" s="213" t="str">
        <f>IF($F439="","",'פרמטרים לקריטריונים'!$C$59*O439)</f>
        <v/>
      </c>
      <c r="Q439" s="214" t="str">
        <f t="shared" si="79"/>
        <v/>
      </c>
      <c r="R439" s="213" t="str">
        <f t="shared" si="80"/>
        <v/>
      </c>
      <c r="S439" s="213" t="str">
        <f>IF($F439="","",'הזנה לתנאי סף'!N439)</f>
        <v/>
      </c>
      <c r="T439" s="213" t="str">
        <f>IF($F439="","",'הזנה לתנאי סף'!O439)</f>
        <v/>
      </c>
      <c r="U439" s="213" t="str">
        <f>IF($F439="","",'תחום תמיכה א'!W439)</f>
        <v/>
      </c>
      <c r="V439" s="213" t="str">
        <f>IF($F439="","",'תחום תמיכה א'!X439)</f>
        <v/>
      </c>
      <c r="W439" s="213" t="str">
        <f>IF($F439="","",'תחום תמיכה א'!Y439)</f>
        <v/>
      </c>
      <c r="X439" s="231" t="str">
        <f>IF($F439="","",'תחום תמיכה א'!Z439)</f>
        <v/>
      </c>
      <c r="Y439" s="213" t="str">
        <f>IF($F439="","",'תחום תמיכה א'!AA439)</f>
        <v/>
      </c>
      <c r="Z439" s="214" t="str">
        <f>IF($F439="","",'תחום תמיכה א'!AB439)</f>
        <v/>
      </c>
      <c r="AA439" s="225" t="str">
        <f>IF($F439="","",'תחום תמיכה א'!AC439)</f>
        <v/>
      </c>
      <c r="AB439" s="213" t="str">
        <f t="shared" si="81"/>
        <v/>
      </c>
      <c r="AC439" s="213" t="str">
        <f t="shared" si="82"/>
        <v/>
      </c>
      <c r="AD439" s="214" t="str">
        <f t="shared" si="83"/>
        <v/>
      </c>
      <c r="AE439" s="213" t="str">
        <f t="shared" si="84"/>
        <v/>
      </c>
      <c r="AF439" s="214" t="str">
        <f t="shared" si="85"/>
        <v/>
      </c>
    </row>
    <row r="440" spans="1:32" ht="15.75" x14ac:dyDescent="0.2">
      <c r="A440" s="206" t="str">
        <f t="shared" si="74"/>
        <v/>
      </c>
      <c r="B440" s="88" t="str">
        <f>IF($F440="","",'הזנה לתנאי סף'!C440)</f>
        <v/>
      </c>
      <c r="C440" s="88" t="str">
        <f>IF($F440="","",'הזנה לתנאי סף'!D440)</f>
        <v/>
      </c>
      <c r="D440" s="88" t="str">
        <f>IF($F440="","",'הזנה לתנאי סף'!E440)</f>
        <v/>
      </c>
      <c r="E440" s="88" t="str">
        <f>IF($F440="","",'הזנה לתנאי סף'!F440)</f>
        <v/>
      </c>
      <c r="F440" s="88" t="str">
        <f>IF(OR('הזנה לתנאי סף'!G440="",'הזנה לתנאי סף'!BL440&lt;&gt;1,'הזנה לתנאי סף'!Q440&lt;&gt;1),"",'הזנה לתנאי סף'!G440)</f>
        <v/>
      </c>
      <c r="G440" s="88" t="str">
        <f>IF($F440="","",'הזנה לתנאי סף'!H440)</f>
        <v/>
      </c>
      <c r="H440" s="88" t="str">
        <f>IF($F440="","",'הזנה לתנאי סף'!I440)</f>
        <v/>
      </c>
      <c r="I440" s="213" t="str">
        <f>IF($F440="","",'תחום תמיכה א'!$I440)</f>
        <v/>
      </c>
      <c r="J440" s="213" t="str">
        <f>IF($F440="","",'תחום תמיכה א'!$J440)</f>
        <v/>
      </c>
      <c r="K440" s="213" t="str">
        <f>IF($F440="","",'תחום תמיכה א'!$K440)</f>
        <v/>
      </c>
      <c r="L440" s="213" t="str">
        <f t="shared" si="75"/>
        <v/>
      </c>
      <c r="M440" s="214" t="str">
        <f t="shared" si="76"/>
        <v/>
      </c>
      <c r="N440" s="214" t="str">
        <f t="shared" si="77"/>
        <v/>
      </c>
      <c r="O440" s="213" t="str">
        <f t="shared" si="78"/>
        <v/>
      </c>
      <c r="P440" s="213" t="str">
        <f>IF($F440="","",'פרמטרים לקריטריונים'!$C$59*O440)</f>
        <v/>
      </c>
      <c r="Q440" s="214" t="str">
        <f t="shared" si="79"/>
        <v/>
      </c>
      <c r="R440" s="213" t="str">
        <f t="shared" si="80"/>
        <v/>
      </c>
      <c r="S440" s="213" t="str">
        <f>IF($F440="","",'הזנה לתנאי סף'!N440)</f>
        <v/>
      </c>
      <c r="T440" s="213" t="str">
        <f>IF($F440="","",'הזנה לתנאי סף'!O440)</f>
        <v/>
      </c>
      <c r="U440" s="213" t="str">
        <f>IF($F440="","",'תחום תמיכה א'!W440)</f>
        <v/>
      </c>
      <c r="V440" s="213" t="str">
        <f>IF($F440="","",'תחום תמיכה א'!X440)</f>
        <v/>
      </c>
      <c r="W440" s="213" t="str">
        <f>IF($F440="","",'תחום תמיכה א'!Y440)</f>
        <v/>
      </c>
      <c r="X440" s="231" t="str">
        <f>IF($F440="","",'תחום תמיכה א'!Z440)</f>
        <v/>
      </c>
      <c r="Y440" s="213" t="str">
        <f>IF($F440="","",'תחום תמיכה א'!AA440)</f>
        <v/>
      </c>
      <c r="Z440" s="214" t="str">
        <f>IF($F440="","",'תחום תמיכה א'!AB440)</f>
        <v/>
      </c>
      <c r="AA440" s="225" t="str">
        <f>IF($F440="","",'תחום תמיכה א'!AC440)</f>
        <v/>
      </c>
      <c r="AB440" s="213" t="str">
        <f t="shared" si="81"/>
        <v/>
      </c>
      <c r="AC440" s="213" t="str">
        <f t="shared" si="82"/>
        <v/>
      </c>
      <c r="AD440" s="214" t="str">
        <f t="shared" si="83"/>
        <v/>
      </c>
      <c r="AE440" s="213" t="str">
        <f t="shared" si="84"/>
        <v/>
      </c>
      <c r="AF440" s="214" t="str">
        <f t="shared" si="85"/>
        <v/>
      </c>
    </row>
    <row r="441" spans="1:32" ht="15.75" x14ac:dyDescent="0.2">
      <c r="A441" s="206" t="str">
        <f t="shared" si="74"/>
        <v/>
      </c>
      <c r="B441" s="88" t="str">
        <f>IF($F441="","",'הזנה לתנאי סף'!C441)</f>
        <v/>
      </c>
      <c r="C441" s="88" t="str">
        <f>IF($F441="","",'הזנה לתנאי סף'!D441)</f>
        <v/>
      </c>
      <c r="D441" s="88" t="str">
        <f>IF($F441="","",'הזנה לתנאי סף'!E441)</f>
        <v/>
      </c>
      <c r="E441" s="88" t="str">
        <f>IF($F441="","",'הזנה לתנאי סף'!F441)</f>
        <v/>
      </c>
      <c r="F441" s="88" t="str">
        <f>IF(OR('הזנה לתנאי סף'!G441="",'הזנה לתנאי סף'!BL441&lt;&gt;1,'הזנה לתנאי סף'!Q441&lt;&gt;1),"",'הזנה לתנאי סף'!G441)</f>
        <v/>
      </c>
      <c r="G441" s="88" t="str">
        <f>IF($F441="","",'הזנה לתנאי סף'!H441)</f>
        <v/>
      </c>
      <c r="H441" s="88" t="str">
        <f>IF($F441="","",'הזנה לתנאי סף'!I441)</f>
        <v/>
      </c>
      <c r="I441" s="213" t="str">
        <f>IF($F441="","",'תחום תמיכה א'!$I441)</f>
        <v/>
      </c>
      <c r="J441" s="213" t="str">
        <f>IF($F441="","",'תחום תמיכה א'!$J441)</f>
        <v/>
      </c>
      <c r="K441" s="213" t="str">
        <f>IF($F441="","",'תחום תמיכה א'!$K441)</f>
        <v/>
      </c>
      <c r="L441" s="213" t="str">
        <f t="shared" si="75"/>
        <v/>
      </c>
      <c r="M441" s="214" t="str">
        <f t="shared" si="76"/>
        <v/>
      </c>
      <c r="N441" s="214" t="str">
        <f t="shared" si="77"/>
        <v/>
      </c>
      <c r="O441" s="213" t="str">
        <f t="shared" si="78"/>
        <v/>
      </c>
      <c r="P441" s="213" t="str">
        <f>IF($F441="","",'פרמטרים לקריטריונים'!$C$59*O441)</f>
        <v/>
      </c>
      <c r="Q441" s="214" t="str">
        <f t="shared" si="79"/>
        <v/>
      </c>
      <c r="R441" s="213" t="str">
        <f t="shared" si="80"/>
        <v/>
      </c>
      <c r="S441" s="213" t="str">
        <f>IF($F441="","",'הזנה לתנאי סף'!N441)</f>
        <v/>
      </c>
      <c r="T441" s="213" t="str">
        <f>IF($F441="","",'הזנה לתנאי סף'!O441)</f>
        <v/>
      </c>
      <c r="U441" s="213" t="str">
        <f>IF($F441="","",'תחום תמיכה א'!W441)</f>
        <v/>
      </c>
      <c r="V441" s="213" t="str">
        <f>IF($F441="","",'תחום תמיכה א'!X441)</f>
        <v/>
      </c>
      <c r="W441" s="213" t="str">
        <f>IF($F441="","",'תחום תמיכה א'!Y441)</f>
        <v/>
      </c>
      <c r="X441" s="231" t="str">
        <f>IF($F441="","",'תחום תמיכה א'!Z441)</f>
        <v/>
      </c>
      <c r="Y441" s="213" t="str">
        <f>IF($F441="","",'תחום תמיכה א'!AA441)</f>
        <v/>
      </c>
      <c r="Z441" s="214" t="str">
        <f>IF($F441="","",'תחום תמיכה א'!AB441)</f>
        <v/>
      </c>
      <c r="AA441" s="225" t="str">
        <f>IF($F441="","",'תחום תמיכה א'!AC441)</f>
        <v/>
      </c>
      <c r="AB441" s="213" t="str">
        <f t="shared" si="81"/>
        <v/>
      </c>
      <c r="AC441" s="213" t="str">
        <f t="shared" si="82"/>
        <v/>
      </c>
      <c r="AD441" s="214" t="str">
        <f t="shared" si="83"/>
        <v/>
      </c>
      <c r="AE441" s="213" t="str">
        <f t="shared" si="84"/>
        <v/>
      </c>
      <c r="AF441" s="214" t="str">
        <f t="shared" si="85"/>
        <v/>
      </c>
    </row>
    <row r="442" spans="1:32" ht="15.75" x14ac:dyDescent="0.2">
      <c r="A442" s="206" t="str">
        <f t="shared" si="74"/>
        <v/>
      </c>
      <c r="B442" s="88" t="str">
        <f>IF($F442="","",'הזנה לתנאי סף'!C442)</f>
        <v/>
      </c>
      <c r="C442" s="88" t="str">
        <f>IF($F442="","",'הזנה לתנאי סף'!D442)</f>
        <v/>
      </c>
      <c r="D442" s="88" t="str">
        <f>IF($F442="","",'הזנה לתנאי סף'!E442)</f>
        <v/>
      </c>
      <c r="E442" s="88" t="str">
        <f>IF($F442="","",'הזנה לתנאי סף'!F442)</f>
        <v/>
      </c>
      <c r="F442" s="88" t="str">
        <f>IF(OR('הזנה לתנאי סף'!G442="",'הזנה לתנאי סף'!BL442&lt;&gt;1,'הזנה לתנאי סף'!Q442&lt;&gt;1),"",'הזנה לתנאי סף'!G442)</f>
        <v/>
      </c>
      <c r="G442" s="88" t="str">
        <f>IF($F442="","",'הזנה לתנאי סף'!H442)</f>
        <v/>
      </c>
      <c r="H442" s="88" t="str">
        <f>IF($F442="","",'הזנה לתנאי סף'!I442)</f>
        <v/>
      </c>
      <c r="I442" s="213" t="str">
        <f>IF($F442="","",'תחום תמיכה א'!$I442)</f>
        <v/>
      </c>
      <c r="J442" s="213" t="str">
        <f>IF($F442="","",'תחום תמיכה א'!$J442)</f>
        <v/>
      </c>
      <c r="K442" s="213" t="str">
        <f>IF($F442="","",'תחום תמיכה א'!$K442)</f>
        <v/>
      </c>
      <c r="L442" s="213" t="str">
        <f t="shared" si="75"/>
        <v/>
      </c>
      <c r="M442" s="214" t="str">
        <f t="shared" si="76"/>
        <v/>
      </c>
      <c r="N442" s="214" t="str">
        <f t="shared" si="77"/>
        <v/>
      </c>
      <c r="O442" s="213" t="str">
        <f t="shared" si="78"/>
        <v/>
      </c>
      <c r="P442" s="213" t="str">
        <f>IF($F442="","",'פרמטרים לקריטריונים'!$C$59*O442)</f>
        <v/>
      </c>
      <c r="Q442" s="214" t="str">
        <f t="shared" si="79"/>
        <v/>
      </c>
      <c r="R442" s="213" t="str">
        <f t="shared" si="80"/>
        <v/>
      </c>
      <c r="S442" s="213" t="str">
        <f>IF($F442="","",'הזנה לתנאי סף'!N442)</f>
        <v/>
      </c>
      <c r="T442" s="213" t="str">
        <f>IF($F442="","",'הזנה לתנאי סף'!O442)</f>
        <v/>
      </c>
      <c r="U442" s="213" t="str">
        <f>IF($F442="","",'תחום תמיכה א'!W442)</f>
        <v/>
      </c>
      <c r="V442" s="213" t="str">
        <f>IF($F442="","",'תחום תמיכה א'!X442)</f>
        <v/>
      </c>
      <c r="W442" s="213" t="str">
        <f>IF($F442="","",'תחום תמיכה א'!Y442)</f>
        <v/>
      </c>
      <c r="X442" s="231" t="str">
        <f>IF($F442="","",'תחום תמיכה א'!Z442)</f>
        <v/>
      </c>
      <c r="Y442" s="213" t="str">
        <f>IF($F442="","",'תחום תמיכה א'!AA442)</f>
        <v/>
      </c>
      <c r="Z442" s="214" t="str">
        <f>IF($F442="","",'תחום תמיכה א'!AB442)</f>
        <v/>
      </c>
      <c r="AA442" s="225" t="str">
        <f>IF($F442="","",'תחום תמיכה א'!AC442)</f>
        <v/>
      </c>
      <c r="AB442" s="213" t="str">
        <f t="shared" si="81"/>
        <v/>
      </c>
      <c r="AC442" s="213" t="str">
        <f t="shared" si="82"/>
        <v/>
      </c>
      <c r="AD442" s="214" t="str">
        <f t="shared" si="83"/>
        <v/>
      </c>
      <c r="AE442" s="213" t="str">
        <f t="shared" si="84"/>
        <v/>
      </c>
      <c r="AF442" s="214" t="str">
        <f t="shared" si="85"/>
        <v/>
      </c>
    </row>
    <row r="443" spans="1:32" ht="15.75" x14ac:dyDescent="0.2">
      <c r="A443" s="206" t="str">
        <f t="shared" si="74"/>
        <v/>
      </c>
      <c r="B443" s="88" t="str">
        <f>IF($F443="","",'הזנה לתנאי סף'!C443)</f>
        <v/>
      </c>
      <c r="C443" s="88" t="str">
        <f>IF($F443="","",'הזנה לתנאי סף'!D443)</f>
        <v/>
      </c>
      <c r="D443" s="88" t="str">
        <f>IF($F443="","",'הזנה לתנאי סף'!E443)</f>
        <v/>
      </c>
      <c r="E443" s="88" t="str">
        <f>IF($F443="","",'הזנה לתנאי סף'!F443)</f>
        <v/>
      </c>
      <c r="F443" s="88" t="str">
        <f>IF(OR('הזנה לתנאי סף'!G443="",'הזנה לתנאי סף'!BL443&lt;&gt;1,'הזנה לתנאי סף'!Q443&lt;&gt;1),"",'הזנה לתנאי סף'!G443)</f>
        <v/>
      </c>
      <c r="G443" s="88" t="str">
        <f>IF($F443="","",'הזנה לתנאי סף'!H443)</f>
        <v/>
      </c>
      <c r="H443" s="88" t="str">
        <f>IF($F443="","",'הזנה לתנאי סף'!I443)</f>
        <v/>
      </c>
      <c r="I443" s="213" t="str">
        <f>IF($F443="","",'תחום תמיכה א'!$I443)</f>
        <v/>
      </c>
      <c r="J443" s="213" t="str">
        <f>IF($F443="","",'תחום תמיכה א'!$J443)</f>
        <v/>
      </c>
      <c r="K443" s="213" t="str">
        <f>IF($F443="","",'תחום תמיכה א'!$K443)</f>
        <v/>
      </c>
      <c r="L443" s="213" t="str">
        <f t="shared" si="75"/>
        <v/>
      </c>
      <c r="M443" s="214" t="str">
        <f t="shared" si="76"/>
        <v/>
      </c>
      <c r="N443" s="214" t="str">
        <f t="shared" si="77"/>
        <v/>
      </c>
      <c r="O443" s="213" t="str">
        <f t="shared" si="78"/>
        <v/>
      </c>
      <c r="P443" s="213" t="str">
        <f>IF($F443="","",'פרמטרים לקריטריונים'!$C$59*O443)</f>
        <v/>
      </c>
      <c r="Q443" s="214" t="str">
        <f t="shared" si="79"/>
        <v/>
      </c>
      <c r="R443" s="213" t="str">
        <f t="shared" si="80"/>
        <v/>
      </c>
      <c r="S443" s="213" t="str">
        <f>IF($F443="","",'הזנה לתנאי סף'!N443)</f>
        <v/>
      </c>
      <c r="T443" s="213" t="str">
        <f>IF($F443="","",'הזנה לתנאי סף'!O443)</f>
        <v/>
      </c>
      <c r="U443" s="213" t="str">
        <f>IF($F443="","",'תחום תמיכה א'!W443)</f>
        <v/>
      </c>
      <c r="V443" s="213" t="str">
        <f>IF($F443="","",'תחום תמיכה א'!X443)</f>
        <v/>
      </c>
      <c r="W443" s="213" t="str">
        <f>IF($F443="","",'תחום תמיכה א'!Y443)</f>
        <v/>
      </c>
      <c r="X443" s="231" t="str">
        <f>IF($F443="","",'תחום תמיכה א'!Z443)</f>
        <v/>
      </c>
      <c r="Y443" s="213" t="str">
        <f>IF($F443="","",'תחום תמיכה א'!AA443)</f>
        <v/>
      </c>
      <c r="Z443" s="214" t="str">
        <f>IF($F443="","",'תחום תמיכה א'!AB443)</f>
        <v/>
      </c>
      <c r="AA443" s="225" t="str">
        <f>IF($F443="","",'תחום תמיכה א'!AC443)</f>
        <v/>
      </c>
      <c r="AB443" s="213" t="str">
        <f t="shared" si="81"/>
        <v/>
      </c>
      <c r="AC443" s="213" t="str">
        <f t="shared" si="82"/>
        <v/>
      </c>
      <c r="AD443" s="214" t="str">
        <f t="shared" si="83"/>
        <v/>
      </c>
      <c r="AE443" s="213" t="str">
        <f t="shared" si="84"/>
        <v/>
      </c>
      <c r="AF443" s="214" t="str">
        <f t="shared" si="85"/>
        <v/>
      </c>
    </row>
    <row r="444" spans="1:32" ht="15.75" x14ac:dyDescent="0.2">
      <c r="A444" s="206" t="str">
        <f t="shared" si="74"/>
        <v/>
      </c>
      <c r="B444" s="88" t="str">
        <f>IF($F444="","",'הזנה לתנאי סף'!C444)</f>
        <v/>
      </c>
      <c r="C444" s="88" t="str">
        <f>IF($F444="","",'הזנה לתנאי סף'!D444)</f>
        <v/>
      </c>
      <c r="D444" s="88" t="str">
        <f>IF($F444="","",'הזנה לתנאי סף'!E444)</f>
        <v/>
      </c>
      <c r="E444" s="88" t="str">
        <f>IF($F444="","",'הזנה לתנאי סף'!F444)</f>
        <v/>
      </c>
      <c r="F444" s="88" t="str">
        <f>IF(OR('הזנה לתנאי סף'!G444="",'הזנה לתנאי סף'!BL444&lt;&gt;1,'הזנה לתנאי סף'!Q444&lt;&gt;1),"",'הזנה לתנאי סף'!G444)</f>
        <v/>
      </c>
      <c r="G444" s="88" t="str">
        <f>IF($F444="","",'הזנה לתנאי סף'!H444)</f>
        <v/>
      </c>
      <c r="H444" s="88" t="str">
        <f>IF($F444="","",'הזנה לתנאי סף'!I444)</f>
        <v/>
      </c>
      <c r="I444" s="213" t="str">
        <f>IF($F444="","",'תחום תמיכה א'!$I444)</f>
        <v/>
      </c>
      <c r="J444" s="213" t="str">
        <f>IF($F444="","",'תחום תמיכה א'!$J444)</f>
        <v/>
      </c>
      <c r="K444" s="213" t="str">
        <f>IF($F444="","",'תחום תמיכה א'!$K444)</f>
        <v/>
      </c>
      <c r="L444" s="213" t="str">
        <f t="shared" si="75"/>
        <v/>
      </c>
      <c r="M444" s="214" t="str">
        <f t="shared" si="76"/>
        <v/>
      </c>
      <c r="N444" s="214" t="str">
        <f t="shared" si="77"/>
        <v/>
      </c>
      <c r="O444" s="213" t="str">
        <f t="shared" si="78"/>
        <v/>
      </c>
      <c r="P444" s="213" t="str">
        <f>IF($F444="","",'פרמטרים לקריטריונים'!$C$59*O444)</f>
        <v/>
      </c>
      <c r="Q444" s="214" t="str">
        <f t="shared" si="79"/>
        <v/>
      </c>
      <c r="R444" s="213" t="str">
        <f t="shared" si="80"/>
        <v/>
      </c>
      <c r="S444" s="213" t="str">
        <f>IF($F444="","",'הזנה לתנאי סף'!N444)</f>
        <v/>
      </c>
      <c r="T444" s="213" t="str">
        <f>IF($F444="","",'הזנה לתנאי סף'!O444)</f>
        <v/>
      </c>
      <c r="U444" s="213" t="str">
        <f>IF($F444="","",'תחום תמיכה א'!W444)</f>
        <v/>
      </c>
      <c r="V444" s="213" t="str">
        <f>IF($F444="","",'תחום תמיכה א'!X444)</f>
        <v/>
      </c>
      <c r="W444" s="213" t="str">
        <f>IF($F444="","",'תחום תמיכה א'!Y444)</f>
        <v/>
      </c>
      <c r="X444" s="231" t="str">
        <f>IF($F444="","",'תחום תמיכה א'!Z444)</f>
        <v/>
      </c>
      <c r="Y444" s="213" t="str">
        <f>IF($F444="","",'תחום תמיכה א'!AA444)</f>
        <v/>
      </c>
      <c r="Z444" s="214" t="str">
        <f>IF($F444="","",'תחום תמיכה א'!AB444)</f>
        <v/>
      </c>
      <c r="AA444" s="225" t="str">
        <f>IF($F444="","",'תחום תמיכה א'!AC444)</f>
        <v/>
      </c>
      <c r="AB444" s="213" t="str">
        <f t="shared" si="81"/>
        <v/>
      </c>
      <c r="AC444" s="213" t="str">
        <f t="shared" si="82"/>
        <v/>
      </c>
      <c r="AD444" s="214" t="str">
        <f t="shared" si="83"/>
        <v/>
      </c>
      <c r="AE444" s="213" t="str">
        <f t="shared" si="84"/>
        <v/>
      </c>
      <c r="AF444" s="214" t="str">
        <f t="shared" si="85"/>
        <v/>
      </c>
    </row>
    <row r="445" spans="1:32" ht="15.75" x14ac:dyDescent="0.2">
      <c r="A445" s="206" t="str">
        <f t="shared" si="74"/>
        <v/>
      </c>
      <c r="B445" s="88" t="str">
        <f>IF($F445="","",'הזנה לתנאי סף'!C445)</f>
        <v/>
      </c>
      <c r="C445" s="88" t="str">
        <f>IF($F445="","",'הזנה לתנאי סף'!D445)</f>
        <v/>
      </c>
      <c r="D445" s="88" t="str">
        <f>IF($F445="","",'הזנה לתנאי סף'!E445)</f>
        <v/>
      </c>
      <c r="E445" s="88" t="str">
        <f>IF($F445="","",'הזנה לתנאי סף'!F445)</f>
        <v/>
      </c>
      <c r="F445" s="88" t="str">
        <f>IF(OR('הזנה לתנאי סף'!G445="",'הזנה לתנאי סף'!BL445&lt;&gt;1,'הזנה לתנאי סף'!Q445&lt;&gt;1),"",'הזנה לתנאי סף'!G445)</f>
        <v/>
      </c>
      <c r="G445" s="88" t="str">
        <f>IF($F445="","",'הזנה לתנאי סף'!H445)</f>
        <v/>
      </c>
      <c r="H445" s="88" t="str">
        <f>IF($F445="","",'הזנה לתנאי סף'!I445)</f>
        <v/>
      </c>
      <c r="I445" s="213" t="str">
        <f>IF($F445="","",'תחום תמיכה א'!$I445)</f>
        <v/>
      </c>
      <c r="J445" s="213" t="str">
        <f>IF($F445="","",'תחום תמיכה א'!$J445)</f>
        <v/>
      </c>
      <c r="K445" s="213" t="str">
        <f>IF($F445="","",'תחום תמיכה א'!$K445)</f>
        <v/>
      </c>
      <c r="L445" s="213" t="str">
        <f t="shared" si="75"/>
        <v/>
      </c>
      <c r="M445" s="214" t="str">
        <f t="shared" si="76"/>
        <v/>
      </c>
      <c r="N445" s="214" t="str">
        <f t="shared" si="77"/>
        <v/>
      </c>
      <c r="O445" s="213" t="str">
        <f t="shared" si="78"/>
        <v/>
      </c>
      <c r="P445" s="213" t="str">
        <f>IF($F445="","",'פרמטרים לקריטריונים'!$C$59*O445)</f>
        <v/>
      </c>
      <c r="Q445" s="214" t="str">
        <f t="shared" si="79"/>
        <v/>
      </c>
      <c r="R445" s="213" t="str">
        <f t="shared" si="80"/>
        <v/>
      </c>
      <c r="S445" s="213" t="str">
        <f>IF($F445="","",'הזנה לתנאי סף'!N445)</f>
        <v/>
      </c>
      <c r="T445" s="213" t="str">
        <f>IF($F445="","",'הזנה לתנאי סף'!O445)</f>
        <v/>
      </c>
      <c r="U445" s="213" t="str">
        <f>IF($F445="","",'תחום תמיכה א'!W445)</f>
        <v/>
      </c>
      <c r="V445" s="213" t="str">
        <f>IF($F445="","",'תחום תמיכה א'!X445)</f>
        <v/>
      </c>
      <c r="W445" s="213" t="str">
        <f>IF($F445="","",'תחום תמיכה א'!Y445)</f>
        <v/>
      </c>
      <c r="X445" s="231" t="str">
        <f>IF($F445="","",'תחום תמיכה א'!Z445)</f>
        <v/>
      </c>
      <c r="Y445" s="213" t="str">
        <f>IF($F445="","",'תחום תמיכה א'!AA445)</f>
        <v/>
      </c>
      <c r="Z445" s="214" t="str">
        <f>IF($F445="","",'תחום תמיכה א'!AB445)</f>
        <v/>
      </c>
      <c r="AA445" s="225" t="str">
        <f>IF($F445="","",'תחום תמיכה א'!AC445)</f>
        <v/>
      </c>
      <c r="AB445" s="213" t="str">
        <f t="shared" si="81"/>
        <v/>
      </c>
      <c r="AC445" s="213" t="str">
        <f t="shared" si="82"/>
        <v/>
      </c>
      <c r="AD445" s="214" t="str">
        <f t="shared" si="83"/>
        <v/>
      </c>
      <c r="AE445" s="213" t="str">
        <f t="shared" si="84"/>
        <v/>
      </c>
      <c r="AF445" s="214" t="str">
        <f t="shared" si="85"/>
        <v/>
      </c>
    </row>
    <row r="446" spans="1:32" ht="15.75" x14ac:dyDescent="0.2">
      <c r="A446" s="206" t="str">
        <f t="shared" si="74"/>
        <v/>
      </c>
      <c r="B446" s="88" t="str">
        <f>IF($F446="","",'הזנה לתנאי סף'!C446)</f>
        <v/>
      </c>
      <c r="C446" s="88" t="str">
        <f>IF($F446="","",'הזנה לתנאי סף'!D446)</f>
        <v/>
      </c>
      <c r="D446" s="88" t="str">
        <f>IF($F446="","",'הזנה לתנאי סף'!E446)</f>
        <v/>
      </c>
      <c r="E446" s="88" t="str">
        <f>IF($F446="","",'הזנה לתנאי סף'!F446)</f>
        <v/>
      </c>
      <c r="F446" s="88" t="str">
        <f>IF(OR('הזנה לתנאי סף'!G446="",'הזנה לתנאי סף'!BL446&lt;&gt;1,'הזנה לתנאי סף'!Q446&lt;&gt;1),"",'הזנה לתנאי סף'!G446)</f>
        <v/>
      </c>
      <c r="G446" s="88" t="str">
        <f>IF($F446="","",'הזנה לתנאי סף'!H446)</f>
        <v/>
      </c>
      <c r="H446" s="88" t="str">
        <f>IF($F446="","",'הזנה לתנאי סף'!I446)</f>
        <v/>
      </c>
      <c r="I446" s="213" t="str">
        <f>IF($F446="","",'תחום תמיכה א'!$I446)</f>
        <v/>
      </c>
      <c r="J446" s="213" t="str">
        <f>IF($F446="","",'תחום תמיכה א'!$J446)</f>
        <v/>
      </c>
      <c r="K446" s="213" t="str">
        <f>IF($F446="","",'תחום תמיכה א'!$K446)</f>
        <v/>
      </c>
      <c r="L446" s="213" t="str">
        <f t="shared" si="75"/>
        <v/>
      </c>
      <c r="M446" s="214" t="str">
        <f t="shared" si="76"/>
        <v/>
      </c>
      <c r="N446" s="214" t="str">
        <f t="shared" si="77"/>
        <v/>
      </c>
      <c r="O446" s="213" t="str">
        <f t="shared" si="78"/>
        <v/>
      </c>
      <c r="P446" s="213" t="str">
        <f>IF($F446="","",'פרמטרים לקריטריונים'!$C$59*O446)</f>
        <v/>
      </c>
      <c r="Q446" s="214" t="str">
        <f t="shared" si="79"/>
        <v/>
      </c>
      <c r="R446" s="213" t="str">
        <f t="shared" si="80"/>
        <v/>
      </c>
      <c r="S446" s="213" t="str">
        <f>IF($F446="","",'הזנה לתנאי סף'!N446)</f>
        <v/>
      </c>
      <c r="T446" s="213" t="str">
        <f>IF($F446="","",'הזנה לתנאי סף'!O446)</f>
        <v/>
      </c>
      <c r="U446" s="213" t="str">
        <f>IF($F446="","",'תחום תמיכה א'!W446)</f>
        <v/>
      </c>
      <c r="V446" s="213" t="str">
        <f>IF($F446="","",'תחום תמיכה א'!X446)</f>
        <v/>
      </c>
      <c r="W446" s="213" t="str">
        <f>IF($F446="","",'תחום תמיכה א'!Y446)</f>
        <v/>
      </c>
      <c r="X446" s="231" t="str">
        <f>IF($F446="","",'תחום תמיכה א'!Z446)</f>
        <v/>
      </c>
      <c r="Y446" s="213" t="str">
        <f>IF($F446="","",'תחום תמיכה א'!AA446)</f>
        <v/>
      </c>
      <c r="Z446" s="214" t="str">
        <f>IF($F446="","",'תחום תמיכה א'!AB446)</f>
        <v/>
      </c>
      <c r="AA446" s="225" t="str">
        <f>IF($F446="","",'תחום תמיכה א'!AC446)</f>
        <v/>
      </c>
      <c r="AB446" s="213" t="str">
        <f t="shared" si="81"/>
        <v/>
      </c>
      <c r="AC446" s="213" t="str">
        <f t="shared" si="82"/>
        <v/>
      </c>
      <c r="AD446" s="214" t="str">
        <f t="shared" si="83"/>
        <v/>
      </c>
      <c r="AE446" s="213" t="str">
        <f t="shared" si="84"/>
        <v/>
      </c>
      <c r="AF446" s="214" t="str">
        <f t="shared" si="85"/>
        <v/>
      </c>
    </row>
    <row r="447" spans="1:32" ht="15.75" x14ac:dyDescent="0.2">
      <c r="A447" s="206" t="str">
        <f t="shared" si="74"/>
        <v/>
      </c>
      <c r="B447" s="88" t="str">
        <f>IF($F447="","",'הזנה לתנאי סף'!C447)</f>
        <v/>
      </c>
      <c r="C447" s="88" t="str">
        <f>IF($F447="","",'הזנה לתנאי סף'!D447)</f>
        <v/>
      </c>
      <c r="D447" s="88" t="str">
        <f>IF($F447="","",'הזנה לתנאי סף'!E447)</f>
        <v/>
      </c>
      <c r="E447" s="88" t="str">
        <f>IF($F447="","",'הזנה לתנאי סף'!F447)</f>
        <v/>
      </c>
      <c r="F447" s="88" t="str">
        <f>IF(OR('הזנה לתנאי סף'!G447="",'הזנה לתנאי סף'!BL447&lt;&gt;1,'הזנה לתנאי סף'!Q447&lt;&gt;1),"",'הזנה לתנאי סף'!G447)</f>
        <v/>
      </c>
      <c r="G447" s="88" t="str">
        <f>IF($F447="","",'הזנה לתנאי סף'!H447)</f>
        <v/>
      </c>
      <c r="H447" s="88" t="str">
        <f>IF($F447="","",'הזנה לתנאי סף'!I447)</f>
        <v/>
      </c>
      <c r="I447" s="213" t="str">
        <f>IF($F447="","",'תחום תמיכה א'!$I447)</f>
        <v/>
      </c>
      <c r="J447" s="213" t="str">
        <f>IF($F447="","",'תחום תמיכה א'!$J447)</f>
        <v/>
      </c>
      <c r="K447" s="213" t="str">
        <f>IF($F447="","",'תחום תמיכה א'!$K447)</f>
        <v/>
      </c>
      <c r="L447" s="213" t="str">
        <f t="shared" si="75"/>
        <v/>
      </c>
      <c r="M447" s="214" t="str">
        <f t="shared" si="76"/>
        <v/>
      </c>
      <c r="N447" s="214" t="str">
        <f t="shared" si="77"/>
        <v/>
      </c>
      <c r="O447" s="213" t="str">
        <f t="shared" si="78"/>
        <v/>
      </c>
      <c r="P447" s="213" t="str">
        <f>IF($F447="","",'פרמטרים לקריטריונים'!$C$59*O447)</f>
        <v/>
      </c>
      <c r="Q447" s="214" t="str">
        <f t="shared" si="79"/>
        <v/>
      </c>
      <c r="R447" s="213" t="str">
        <f t="shared" si="80"/>
        <v/>
      </c>
      <c r="S447" s="213" t="str">
        <f>IF($F447="","",'הזנה לתנאי סף'!N447)</f>
        <v/>
      </c>
      <c r="T447" s="213" t="str">
        <f>IF($F447="","",'הזנה לתנאי סף'!O447)</f>
        <v/>
      </c>
      <c r="U447" s="213" t="str">
        <f>IF($F447="","",'תחום תמיכה א'!W447)</f>
        <v/>
      </c>
      <c r="V447" s="213" t="str">
        <f>IF($F447="","",'תחום תמיכה א'!X447)</f>
        <v/>
      </c>
      <c r="W447" s="213" t="str">
        <f>IF($F447="","",'תחום תמיכה א'!Y447)</f>
        <v/>
      </c>
      <c r="X447" s="231" t="str">
        <f>IF($F447="","",'תחום תמיכה א'!Z447)</f>
        <v/>
      </c>
      <c r="Y447" s="213" t="str">
        <f>IF($F447="","",'תחום תמיכה א'!AA447)</f>
        <v/>
      </c>
      <c r="Z447" s="214" t="str">
        <f>IF($F447="","",'תחום תמיכה א'!AB447)</f>
        <v/>
      </c>
      <c r="AA447" s="225" t="str">
        <f>IF($F447="","",'תחום תמיכה א'!AC447)</f>
        <v/>
      </c>
      <c r="AB447" s="213" t="str">
        <f t="shared" si="81"/>
        <v/>
      </c>
      <c r="AC447" s="213" t="str">
        <f t="shared" si="82"/>
        <v/>
      </c>
      <c r="AD447" s="214" t="str">
        <f t="shared" si="83"/>
        <v/>
      </c>
      <c r="AE447" s="213" t="str">
        <f t="shared" si="84"/>
        <v/>
      </c>
      <c r="AF447" s="214" t="str">
        <f t="shared" si="85"/>
        <v/>
      </c>
    </row>
    <row r="448" spans="1:32" ht="15.75" x14ac:dyDescent="0.2">
      <c r="A448" s="206" t="str">
        <f t="shared" si="74"/>
        <v/>
      </c>
      <c r="B448" s="88" t="str">
        <f>IF($F448="","",'הזנה לתנאי סף'!C448)</f>
        <v/>
      </c>
      <c r="C448" s="88" t="str">
        <f>IF($F448="","",'הזנה לתנאי סף'!D448)</f>
        <v/>
      </c>
      <c r="D448" s="88" t="str">
        <f>IF($F448="","",'הזנה לתנאי סף'!E448)</f>
        <v/>
      </c>
      <c r="E448" s="88" t="str">
        <f>IF($F448="","",'הזנה לתנאי סף'!F448)</f>
        <v/>
      </c>
      <c r="F448" s="88" t="str">
        <f>IF(OR('הזנה לתנאי סף'!G448="",'הזנה לתנאי סף'!BL448&lt;&gt;1,'הזנה לתנאי סף'!Q448&lt;&gt;1),"",'הזנה לתנאי סף'!G448)</f>
        <v/>
      </c>
      <c r="G448" s="88" t="str">
        <f>IF($F448="","",'הזנה לתנאי סף'!H448)</f>
        <v/>
      </c>
      <c r="H448" s="88" t="str">
        <f>IF($F448="","",'הזנה לתנאי סף'!I448)</f>
        <v/>
      </c>
      <c r="I448" s="213" t="str">
        <f>IF($F448="","",'תחום תמיכה א'!$I448)</f>
        <v/>
      </c>
      <c r="J448" s="213" t="str">
        <f>IF($F448="","",'תחום תמיכה א'!$J448)</f>
        <v/>
      </c>
      <c r="K448" s="213" t="str">
        <f>IF($F448="","",'תחום תמיכה א'!$K448)</f>
        <v/>
      </c>
      <c r="L448" s="213" t="str">
        <f t="shared" si="75"/>
        <v/>
      </c>
      <c r="M448" s="214" t="str">
        <f t="shared" si="76"/>
        <v/>
      </c>
      <c r="N448" s="214" t="str">
        <f t="shared" si="77"/>
        <v/>
      </c>
      <c r="O448" s="213" t="str">
        <f t="shared" si="78"/>
        <v/>
      </c>
      <c r="P448" s="213" t="str">
        <f>IF($F448="","",'פרמטרים לקריטריונים'!$C$59*O448)</f>
        <v/>
      </c>
      <c r="Q448" s="214" t="str">
        <f t="shared" si="79"/>
        <v/>
      </c>
      <c r="R448" s="213" t="str">
        <f t="shared" si="80"/>
        <v/>
      </c>
      <c r="S448" s="213" t="str">
        <f>IF($F448="","",'הזנה לתנאי סף'!N448)</f>
        <v/>
      </c>
      <c r="T448" s="213" t="str">
        <f>IF($F448="","",'הזנה לתנאי סף'!O448)</f>
        <v/>
      </c>
      <c r="U448" s="213" t="str">
        <f>IF($F448="","",'תחום תמיכה א'!W448)</f>
        <v/>
      </c>
      <c r="V448" s="213" t="str">
        <f>IF($F448="","",'תחום תמיכה א'!X448)</f>
        <v/>
      </c>
      <c r="W448" s="213" t="str">
        <f>IF($F448="","",'תחום תמיכה א'!Y448)</f>
        <v/>
      </c>
      <c r="X448" s="231" t="str">
        <f>IF($F448="","",'תחום תמיכה א'!Z448)</f>
        <v/>
      </c>
      <c r="Y448" s="213" t="str">
        <f>IF($F448="","",'תחום תמיכה א'!AA448)</f>
        <v/>
      </c>
      <c r="Z448" s="214" t="str">
        <f>IF($F448="","",'תחום תמיכה א'!AB448)</f>
        <v/>
      </c>
      <c r="AA448" s="225" t="str">
        <f>IF($F448="","",'תחום תמיכה א'!AC448)</f>
        <v/>
      </c>
      <c r="AB448" s="213" t="str">
        <f t="shared" si="81"/>
        <v/>
      </c>
      <c r="AC448" s="213" t="str">
        <f t="shared" si="82"/>
        <v/>
      </c>
      <c r="AD448" s="214" t="str">
        <f t="shared" si="83"/>
        <v/>
      </c>
      <c r="AE448" s="213" t="str">
        <f t="shared" si="84"/>
        <v/>
      </c>
      <c r="AF448" s="214" t="str">
        <f t="shared" si="85"/>
        <v/>
      </c>
    </row>
    <row r="449" spans="1:32" ht="15.75" x14ac:dyDescent="0.2">
      <c r="A449" s="206" t="str">
        <f t="shared" si="74"/>
        <v/>
      </c>
      <c r="B449" s="88" t="str">
        <f>IF($F449="","",'הזנה לתנאי סף'!C449)</f>
        <v/>
      </c>
      <c r="C449" s="88" t="str">
        <f>IF($F449="","",'הזנה לתנאי סף'!D449)</f>
        <v/>
      </c>
      <c r="D449" s="88" t="str">
        <f>IF($F449="","",'הזנה לתנאי סף'!E449)</f>
        <v/>
      </c>
      <c r="E449" s="88" t="str">
        <f>IF($F449="","",'הזנה לתנאי סף'!F449)</f>
        <v/>
      </c>
      <c r="F449" s="88" t="str">
        <f>IF(OR('הזנה לתנאי סף'!G449="",'הזנה לתנאי סף'!BL449&lt;&gt;1,'הזנה לתנאי סף'!Q449&lt;&gt;1),"",'הזנה לתנאי סף'!G449)</f>
        <v/>
      </c>
      <c r="G449" s="88" t="str">
        <f>IF($F449="","",'הזנה לתנאי סף'!H449)</f>
        <v/>
      </c>
      <c r="H449" s="88" t="str">
        <f>IF($F449="","",'הזנה לתנאי סף'!I449)</f>
        <v/>
      </c>
      <c r="I449" s="213" t="str">
        <f>IF($F449="","",'תחום תמיכה א'!$I449)</f>
        <v/>
      </c>
      <c r="J449" s="213" t="str">
        <f>IF($F449="","",'תחום תמיכה א'!$J449)</f>
        <v/>
      </c>
      <c r="K449" s="213" t="str">
        <f>IF($F449="","",'תחום תמיכה א'!$K449)</f>
        <v/>
      </c>
      <c r="L449" s="213" t="str">
        <f t="shared" si="75"/>
        <v/>
      </c>
      <c r="M449" s="214" t="str">
        <f t="shared" si="76"/>
        <v/>
      </c>
      <c r="N449" s="214" t="str">
        <f t="shared" si="77"/>
        <v/>
      </c>
      <c r="O449" s="213" t="str">
        <f t="shared" si="78"/>
        <v/>
      </c>
      <c r="P449" s="213" t="str">
        <f>IF($F449="","",'פרמטרים לקריטריונים'!$C$59*O449)</f>
        <v/>
      </c>
      <c r="Q449" s="214" t="str">
        <f t="shared" si="79"/>
        <v/>
      </c>
      <c r="R449" s="213" t="str">
        <f t="shared" si="80"/>
        <v/>
      </c>
      <c r="S449" s="213" t="str">
        <f>IF($F449="","",'הזנה לתנאי סף'!N449)</f>
        <v/>
      </c>
      <c r="T449" s="213" t="str">
        <f>IF($F449="","",'הזנה לתנאי סף'!O449)</f>
        <v/>
      </c>
      <c r="U449" s="213" t="str">
        <f>IF($F449="","",'תחום תמיכה א'!W449)</f>
        <v/>
      </c>
      <c r="V449" s="213" t="str">
        <f>IF($F449="","",'תחום תמיכה א'!X449)</f>
        <v/>
      </c>
      <c r="W449" s="213" t="str">
        <f>IF($F449="","",'תחום תמיכה א'!Y449)</f>
        <v/>
      </c>
      <c r="X449" s="231" t="str">
        <f>IF($F449="","",'תחום תמיכה א'!Z449)</f>
        <v/>
      </c>
      <c r="Y449" s="213" t="str">
        <f>IF($F449="","",'תחום תמיכה א'!AA449)</f>
        <v/>
      </c>
      <c r="Z449" s="214" t="str">
        <f>IF($F449="","",'תחום תמיכה א'!AB449)</f>
        <v/>
      </c>
      <c r="AA449" s="225" t="str">
        <f>IF($F449="","",'תחום תמיכה א'!AC449)</f>
        <v/>
      </c>
      <c r="AB449" s="213" t="str">
        <f t="shared" si="81"/>
        <v/>
      </c>
      <c r="AC449" s="213" t="str">
        <f t="shared" si="82"/>
        <v/>
      </c>
      <c r="AD449" s="214" t="str">
        <f t="shared" si="83"/>
        <v/>
      </c>
      <c r="AE449" s="213" t="str">
        <f t="shared" si="84"/>
        <v/>
      </c>
      <c r="AF449" s="214" t="str">
        <f t="shared" si="85"/>
        <v/>
      </c>
    </row>
    <row r="450" spans="1:32" ht="15.75" x14ac:dyDescent="0.2">
      <c r="A450" s="206" t="str">
        <f t="shared" si="74"/>
        <v/>
      </c>
      <c r="B450" s="88" t="str">
        <f>IF($F450="","",'הזנה לתנאי סף'!C450)</f>
        <v/>
      </c>
      <c r="C450" s="88" t="str">
        <f>IF($F450="","",'הזנה לתנאי סף'!D450)</f>
        <v/>
      </c>
      <c r="D450" s="88" t="str">
        <f>IF($F450="","",'הזנה לתנאי סף'!E450)</f>
        <v/>
      </c>
      <c r="E450" s="88" t="str">
        <f>IF($F450="","",'הזנה לתנאי סף'!F450)</f>
        <v/>
      </c>
      <c r="F450" s="88" t="str">
        <f>IF(OR('הזנה לתנאי סף'!G450="",'הזנה לתנאי סף'!BL450&lt;&gt;1,'הזנה לתנאי סף'!Q450&lt;&gt;1),"",'הזנה לתנאי סף'!G450)</f>
        <v/>
      </c>
      <c r="G450" s="88" t="str">
        <f>IF($F450="","",'הזנה לתנאי סף'!H450)</f>
        <v/>
      </c>
      <c r="H450" s="88" t="str">
        <f>IF($F450="","",'הזנה לתנאי סף'!I450)</f>
        <v/>
      </c>
      <c r="I450" s="213" t="str">
        <f>IF($F450="","",'תחום תמיכה א'!$I450)</f>
        <v/>
      </c>
      <c r="J450" s="213" t="str">
        <f>IF($F450="","",'תחום תמיכה א'!$J450)</f>
        <v/>
      </c>
      <c r="K450" s="213" t="str">
        <f>IF($F450="","",'תחום תמיכה א'!$K450)</f>
        <v/>
      </c>
      <c r="L450" s="213" t="str">
        <f t="shared" si="75"/>
        <v/>
      </c>
      <c r="M450" s="214" t="str">
        <f t="shared" si="76"/>
        <v/>
      </c>
      <c r="N450" s="214" t="str">
        <f t="shared" si="77"/>
        <v/>
      </c>
      <c r="O450" s="213" t="str">
        <f t="shared" si="78"/>
        <v/>
      </c>
      <c r="P450" s="213" t="str">
        <f>IF($F450="","",'פרמטרים לקריטריונים'!$C$59*O450)</f>
        <v/>
      </c>
      <c r="Q450" s="214" t="str">
        <f t="shared" si="79"/>
        <v/>
      </c>
      <c r="R450" s="213" t="str">
        <f t="shared" si="80"/>
        <v/>
      </c>
      <c r="S450" s="213" t="str">
        <f>IF($F450="","",'הזנה לתנאי סף'!N450)</f>
        <v/>
      </c>
      <c r="T450" s="213" t="str">
        <f>IF($F450="","",'הזנה לתנאי סף'!O450)</f>
        <v/>
      </c>
      <c r="U450" s="213" t="str">
        <f>IF($F450="","",'תחום תמיכה א'!W450)</f>
        <v/>
      </c>
      <c r="V450" s="213" t="str">
        <f>IF($F450="","",'תחום תמיכה א'!X450)</f>
        <v/>
      </c>
      <c r="W450" s="213" t="str">
        <f>IF($F450="","",'תחום תמיכה א'!Y450)</f>
        <v/>
      </c>
      <c r="X450" s="231" t="str">
        <f>IF($F450="","",'תחום תמיכה א'!Z450)</f>
        <v/>
      </c>
      <c r="Y450" s="213" t="str">
        <f>IF($F450="","",'תחום תמיכה א'!AA450)</f>
        <v/>
      </c>
      <c r="Z450" s="214" t="str">
        <f>IF($F450="","",'תחום תמיכה א'!AB450)</f>
        <v/>
      </c>
      <c r="AA450" s="225" t="str">
        <f>IF($F450="","",'תחום תמיכה א'!AC450)</f>
        <v/>
      </c>
      <c r="AB450" s="213" t="str">
        <f t="shared" si="81"/>
        <v/>
      </c>
      <c r="AC450" s="213" t="str">
        <f t="shared" si="82"/>
        <v/>
      </c>
      <c r="AD450" s="214" t="str">
        <f t="shared" si="83"/>
        <v/>
      </c>
      <c r="AE450" s="213" t="str">
        <f t="shared" si="84"/>
        <v/>
      </c>
      <c r="AF450" s="214" t="str">
        <f t="shared" si="85"/>
        <v/>
      </c>
    </row>
    <row r="451" spans="1:32" ht="15.75" x14ac:dyDescent="0.2">
      <c r="A451" s="206" t="str">
        <f t="shared" si="74"/>
        <v/>
      </c>
      <c r="B451" s="88" t="str">
        <f>IF($F451="","",'הזנה לתנאי סף'!C451)</f>
        <v/>
      </c>
      <c r="C451" s="88" t="str">
        <f>IF($F451="","",'הזנה לתנאי סף'!D451)</f>
        <v/>
      </c>
      <c r="D451" s="88" t="str">
        <f>IF($F451="","",'הזנה לתנאי סף'!E451)</f>
        <v/>
      </c>
      <c r="E451" s="88" t="str">
        <f>IF($F451="","",'הזנה לתנאי סף'!F451)</f>
        <v/>
      </c>
      <c r="F451" s="88" t="str">
        <f>IF(OR('הזנה לתנאי סף'!G451="",'הזנה לתנאי סף'!BL451&lt;&gt;1,'הזנה לתנאי סף'!Q451&lt;&gt;1),"",'הזנה לתנאי סף'!G451)</f>
        <v/>
      </c>
      <c r="G451" s="88" t="str">
        <f>IF($F451="","",'הזנה לתנאי סף'!H451)</f>
        <v/>
      </c>
      <c r="H451" s="88" t="str">
        <f>IF($F451="","",'הזנה לתנאי סף'!I451)</f>
        <v/>
      </c>
      <c r="I451" s="213" t="str">
        <f>IF($F451="","",'תחום תמיכה א'!$I451)</f>
        <v/>
      </c>
      <c r="J451" s="213" t="str">
        <f>IF($F451="","",'תחום תמיכה א'!$J451)</f>
        <v/>
      </c>
      <c r="K451" s="213" t="str">
        <f>IF($F451="","",'תחום תמיכה א'!$K451)</f>
        <v/>
      </c>
      <c r="L451" s="213" t="str">
        <f t="shared" si="75"/>
        <v/>
      </c>
      <c r="M451" s="214" t="str">
        <f t="shared" si="76"/>
        <v/>
      </c>
      <c r="N451" s="214" t="str">
        <f t="shared" si="77"/>
        <v/>
      </c>
      <c r="O451" s="213" t="str">
        <f t="shared" si="78"/>
        <v/>
      </c>
      <c r="P451" s="213" t="str">
        <f>IF($F451="","",'פרמטרים לקריטריונים'!$C$59*O451)</f>
        <v/>
      </c>
      <c r="Q451" s="214" t="str">
        <f t="shared" si="79"/>
        <v/>
      </c>
      <c r="R451" s="213" t="str">
        <f t="shared" si="80"/>
        <v/>
      </c>
      <c r="S451" s="213" t="str">
        <f>IF($F451="","",'הזנה לתנאי סף'!N451)</f>
        <v/>
      </c>
      <c r="T451" s="213" t="str">
        <f>IF($F451="","",'הזנה לתנאי סף'!O451)</f>
        <v/>
      </c>
      <c r="U451" s="213" t="str">
        <f>IF($F451="","",'תחום תמיכה א'!W451)</f>
        <v/>
      </c>
      <c r="V451" s="213" t="str">
        <f>IF($F451="","",'תחום תמיכה א'!X451)</f>
        <v/>
      </c>
      <c r="W451" s="213" t="str">
        <f>IF($F451="","",'תחום תמיכה א'!Y451)</f>
        <v/>
      </c>
      <c r="X451" s="231" t="str">
        <f>IF($F451="","",'תחום תמיכה א'!Z451)</f>
        <v/>
      </c>
      <c r="Y451" s="213" t="str">
        <f>IF($F451="","",'תחום תמיכה א'!AA451)</f>
        <v/>
      </c>
      <c r="Z451" s="214" t="str">
        <f>IF($F451="","",'תחום תמיכה א'!AB451)</f>
        <v/>
      </c>
      <c r="AA451" s="225" t="str">
        <f>IF($F451="","",'תחום תמיכה א'!AC451)</f>
        <v/>
      </c>
      <c r="AB451" s="213" t="str">
        <f t="shared" si="81"/>
        <v/>
      </c>
      <c r="AC451" s="213" t="str">
        <f t="shared" si="82"/>
        <v/>
      </c>
      <c r="AD451" s="214" t="str">
        <f t="shared" si="83"/>
        <v/>
      </c>
      <c r="AE451" s="213" t="str">
        <f t="shared" si="84"/>
        <v/>
      </c>
      <c r="AF451" s="214" t="str">
        <f t="shared" si="85"/>
        <v/>
      </c>
    </row>
    <row r="452" spans="1:32" ht="15.75" x14ac:dyDescent="0.2">
      <c r="A452" s="206" t="str">
        <f t="shared" si="74"/>
        <v/>
      </c>
      <c r="B452" s="88" t="str">
        <f>IF($F452="","",'הזנה לתנאי סף'!C452)</f>
        <v/>
      </c>
      <c r="C452" s="88" t="str">
        <f>IF($F452="","",'הזנה לתנאי סף'!D452)</f>
        <v/>
      </c>
      <c r="D452" s="88" t="str">
        <f>IF($F452="","",'הזנה לתנאי סף'!E452)</f>
        <v/>
      </c>
      <c r="E452" s="88" t="str">
        <f>IF($F452="","",'הזנה לתנאי סף'!F452)</f>
        <v/>
      </c>
      <c r="F452" s="88" t="str">
        <f>IF(OR('הזנה לתנאי סף'!G452="",'הזנה לתנאי סף'!BL452&lt;&gt;1,'הזנה לתנאי סף'!Q452&lt;&gt;1),"",'הזנה לתנאי סף'!G452)</f>
        <v/>
      </c>
      <c r="G452" s="88" t="str">
        <f>IF($F452="","",'הזנה לתנאי סף'!H452)</f>
        <v/>
      </c>
      <c r="H452" s="88" t="str">
        <f>IF($F452="","",'הזנה לתנאי סף'!I452)</f>
        <v/>
      </c>
      <c r="I452" s="213" t="str">
        <f>IF($F452="","",'תחום תמיכה א'!$I452)</f>
        <v/>
      </c>
      <c r="J452" s="213" t="str">
        <f>IF($F452="","",'תחום תמיכה א'!$J452)</f>
        <v/>
      </c>
      <c r="K452" s="213" t="str">
        <f>IF($F452="","",'תחום תמיכה א'!$K452)</f>
        <v/>
      </c>
      <c r="L452" s="213" t="str">
        <f t="shared" si="75"/>
        <v/>
      </c>
      <c r="M452" s="214" t="str">
        <f t="shared" si="76"/>
        <v/>
      </c>
      <c r="N452" s="214" t="str">
        <f t="shared" si="77"/>
        <v/>
      </c>
      <c r="O452" s="213" t="str">
        <f t="shared" si="78"/>
        <v/>
      </c>
      <c r="P452" s="213" t="str">
        <f>IF($F452="","",'פרמטרים לקריטריונים'!$C$59*O452)</f>
        <v/>
      </c>
      <c r="Q452" s="214" t="str">
        <f t="shared" si="79"/>
        <v/>
      </c>
      <c r="R452" s="213" t="str">
        <f t="shared" si="80"/>
        <v/>
      </c>
      <c r="S452" s="213" t="str">
        <f>IF($F452="","",'הזנה לתנאי סף'!N452)</f>
        <v/>
      </c>
      <c r="T452" s="213" t="str">
        <f>IF($F452="","",'הזנה לתנאי סף'!O452)</f>
        <v/>
      </c>
      <c r="U452" s="213" t="str">
        <f>IF($F452="","",'תחום תמיכה א'!W452)</f>
        <v/>
      </c>
      <c r="V452" s="213" t="str">
        <f>IF($F452="","",'תחום תמיכה א'!X452)</f>
        <v/>
      </c>
      <c r="W452" s="213" t="str">
        <f>IF($F452="","",'תחום תמיכה א'!Y452)</f>
        <v/>
      </c>
      <c r="X452" s="231" t="str">
        <f>IF($F452="","",'תחום תמיכה א'!Z452)</f>
        <v/>
      </c>
      <c r="Y452" s="213" t="str">
        <f>IF($F452="","",'תחום תמיכה א'!AA452)</f>
        <v/>
      </c>
      <c r="Z452" s="214" t="str">
        <f>IF($F452="","",'תחום תמיכה א'!AB452)</f>
        <v/>
      </c>
      <c r="AA452" s="225" t="str">
        <f>IF($F452="","",'תחום תמיכה א'!AC452)</f>
        <v/>
      </c>
      <c r="AB452" s="213" t="str">
        <f t="shared" si="81"/>
        <v/>
      </c>
      <c r="AC452" s="213" t="str">
        <f t="shared" si="82"/>
        <v/>
      </c>
      <c r="AD452" s="214" t="str">
        <f t="shared" si="83"/>
        <v/>
      </c>
      <c r="AE452" s="213" t="str">
        <f t="shared" si="84"/>
        <v/>
      </c>
      <c r="AF452" s="214" t="str">
        <f t="shared" si="85"/>
        <v/>
      </c>
    </row>
    <row r="453" spans="1:32" ht="15.75" x14ac:dyDescent="0.2">
      <c r="A453" s="206" t="str">
        <f t="shared" si="74"/>
        <v/>
      </c>
      <c r="B453" s="88" t="str">
        <f>IF($F453="","",'הזנה לתנאי סף'!C453)</f>
        <v/>
      </c>
      <c r="C453" s="88" t="str">
        <f>IF($F453="","",'הזנה לתנאי סף'!D453)</f>
        <v/>
      </c>
      <c r="D453" s="88" t="str">
        <f>IF($F453="","",'הזנה לתנאי סף'!E453)</f>
        <v/>
      </c>
      <c r="E453" s="88" t="str">
        <f>IF($F453="","",'הזנה לתנאי סף'!F453)</f>
        <v/>
      </c>
      <c r="F453" s="88" t="str">
        <f>IF(OR('הזנה לתנאי סף'!G453="",'הזנה לתנאי סף'!BL453&lt;&gt;1,'הזנה לתנאי סף'!Q453&lt;&gt;1),"",'הזנה לתנאי סף'!G453)</f>
        <v/>
      </c>
      <c r="G453" s="88" t="str">
        <f>IF($F453="","",'הזנה לתנאי סף'!H453)</f>
        <v/>
      </c>
      <c r="H453" s="88" t="str">
        <f>IF($F453="","",'הזנה לתנאי סף'!I453)</f>
        <v/>
      </c>
      <c r="I453" s="213" t="str">
        <f>IF($F453="","",'תחום תמיכה א'!$I453)</f>
        <v/>
      </c>
      <c r="J453" s="213" t="str">
        <f>IF($F453="","",'תחום תמיכה א'!$J453)</f>
        <v/>
      </c>
      <c r="K453" s="213" t="str">
        <f>IF($F453="","",'תחום תמיכה א'!$K453)</f>
        <v/>
      </c>
      <c r="L453" s="213" t="str">
        <f t="shared" si="75"/>
        <v/>
      </c>
      <c r="M453" s="214" t="str">
        <f t="shared" si="76"/>
        <v/>
      </c>
      <c r="N453" s="214" t="str">
        <f t="shared" si="77"/>
        <v/>
      </c>
      <c r="O453" s="213" t="str">
        <f t="shared" si="78"/>
        <v/>
      </c>
      <c r="P453" s="213" t="str">
        <f>IF($F453="","",'פרמטרים לקריטריונים'!$C$59*O453)</f>
        <v/>
      </c>
      <c r="Q453" s="214" t="str">
        <f t="shared" si="79"/>
        <v/>
      </c>
      <c r="R453" s="213" t="str">
        <f t="shared" si="80"/>
        <v/>
      </c>
      <c r="S453" s="213" t="str">
        <f>IF($F453="","",'הזנה לתנאי סף'!N453)</f>
        <v/>
      </c>
      <c r="T453" s="213" t="str">
        <f>IF($F453="","",'הזנה לתנאי סף'!O453)</f>
        <v/>
      </c>
      <c r="U453" s="213" t="str">
        <f>IF($F453="","",'תחום תמיכה א'!W453)</f>
        <v/>
      </c>
      <c r="V453" s="213" t="str">
        <f>IF($F453="","",'תחום תמיכה א'!X453)</f>
        <v/>
      </c>
      <c r="W453" s="213" t="str">
        <f>IF($F453="","",'תחום תמיכה א'!Y453)</f>
        <v/>
      </c>
      <c r="X453" s="231" t="str">
        <f>IF($F453="","",'תחום תמיכה א'!Z453)</f>
        <v/>
      </c>
      <c r="Y453" s="213" t="str">
        <f>IF($F453="","",'תחום תמיכה א'!AA453)</f>
        <v/>
      </c>
      <c r="Z453" s="214" t="str">
        <f>IF($F453="","",'תחום תמיכה א'!AB453)</f>
        <v/>
      </c>
      <c r="AA453" s="225" t="str">
        <f>IF($F453="","",'תחום תמיכה א'!AC453)</f>
        <v/>
      </c>
      <c r="AB453" s="213" t="str">
        <f t="shared" si="81"/>
        <v/>
      </c>
      <c r="AC453" s="213" t="str">
        <f t="shared" si="82"/>
        <v/>
      </c>
      <c r="AD453" s="214" t="str">
        <f t="shared" si="83"/>
        <v/>
      </c>
      <c r="AE453" s="213" t="str">
        <f t="shared" si="84"/>
        <v/>
      </c>
      <c r="AF453" s="214" t="str">
        <f t="shared" si="85"/>
        <v/>
      </c>
    </row>
    <row r="454" spans="1:32" ht="15.75" x14ac:dyDescent="0.2">
      <c r="A454" s="206" t="str">
        <f t="shared" si="74"/>
        <v/>
      </c>
      <c r="B454" s="88" t="str">
        <f>IF($F454="","",'הזנה לתנאי סף'!C454)</f>
        <v/>
      </c>
      <c r="C454" s="88" t="str">
        <f>IF($F454="","",'הזנה לתנאי סף'!D454)</f>
        <v/>
      </c>
      <c r="D454" s="88" t="str">
        <f>IF($F454="","",'הזנה לתנאי סף'!E454)</f>
        <v/>
      </c>
      <c r="E454" s="88" t="str">
        <f>IF($F454="","",'הזנה לתנאי סף'!F454)</f>
        <v/>
      </c>
      <c r="F454" s="88" t="str">
        <f>IF(OR('הזנה לתנאי סף'!G454="",'הזנה לתנאי סף'!BL454&lt;&gt;1,'הזנה לתנאי סף'!Q454&lt;&gt;1),"",'הזנה לתנאי סף'!G454)</f>
        <v/>
      </c>
      <c r="G454" s="88" t="str">
        <f>IF($F454="","",'הזנה לתנאי סף'!H454)</f>
        <v/>
      </c>
      <c r="H454" s="88" t="str">
        <f>IF($F454="","",'הזנה לתנאי סף'!I454)</f>
        <v/>
      </c>
      <c r="I454" s="213" t="str">
        <f>IF($F454="","",'תחום תמיכה א'!$I454)</f>
        <v/>
      </c>
      <c r="J454" s="213" t="str">
        <f>IF($F454="","",'תחום תמיכה א'!$J454)</f>
        <v/>
      </c>
      <c r="K454" s="213" t="str">
        <f>IF($F454="","",'תחום תמיכה א'!$K454)</f>
        <v/>
      </c>
      <c r="L454" s="213" t="str">
        <f t="shared" si="75"/>
        <v/>
      </c>
      <c r="M454" s="214" t="str">
        <f t="shared" si="76"/>
        <v/>
      </c>
      <c r="N454" s="214" t="str">
        <f t="shared" si="77"/>
        <v/>
      </c>
      <c r="O454" s="213" t="str">
        <f t="shared" si="78"/>
        <v/>
      </c>
      <c r="P454" s="213" t="str">
        <f>IF($F454="","",'פרמטרים לקריטריונים'!$C$59*O454)</f>
        <v/>
      </c>
      <c r="Q454" s="214" t="str">
        <f t="shared" si="79"/>
        <v/>
      </c>
      <c r="R454" s="213" t="str">
        <f t="shared" si="80"/>
        <v/>
      </c>
      <c r="S454" s="213" t="str">
        <f>IF($F454="","",'הזנה לתנאי סף'!N454)</f>
        <v/>
      </c>
      <c r="T454" s="213" t="str">
        <f>IF($F454="","",'הזנה לתנאי סף'!O454)</f>
        <v/>
      </c>
      <c r="U454" s="213" t="str">
        <f>IF($F454="","",'תחום תמיכה א'!W454)</f>
        <v/>
      </c>
      <c r="V454" s="213" t="str">
        <f>IF($F454="","",'תחום תמיכה א'!X454)</f>
        <v/>
      </c>
      <c r="W454" s="213" t="str">
        <f>IF($F454="","",'תחום תמיכה א'!Y454)</f>
        <v/>
      </c>
      <c r="X454" s="231" t="str">
        <f>IF($F454="","",'תחום תמיכה א'!Z454)</f>
        <v/>
      </c>
      <c r="Y454" s="213" t="str">
        <f>IF($F454="","",'תחום תמיכה א'!AA454)</f>
        <v/>
      </c>
      <c r="Z454" s="214" t="str">
        <f>IF($F454="","",'תחום תמיכה א'!AB454)</f>
        <v/>
      </c>
      <c r="AA454" s="225" t="str">
        <f>IF($F454="","",'תחום תמיכה א'!AC454)</f>
        <v/>
      </c>
      <c r="AB454" s="213" t="str">
        <f t="shared" si="81"/>
        <v/>
      </c>
      <c r="AC454" s="213" t="str">
        <f t="shared" si="82"/>
        <v/>
      </c>
      <c r="AD454" s="214" t="str">
        <f t="shared" si="83"/>
        <v/>
      </c>
      <c r="AE454" s="213" t="str">
        <f t="shared" si="84"/>
        <v/>
      </c>
      <c r="AF454" s="214" t="str">
        <f t="shared" si="85"/>
        <v/>
      </c>
    </row>
    <row r="455" spans="1:32" ht="15.75" x14ac:dyDescent="0.2">
      <c r="A455" s="206" t="str">
        <f t="shared" si="74"/>
        <v/>
      </c>
      <c r="B455" s="88" t="str">
        <f>IF($F455="","",'הזנה לתנאי סף'!C455)</f>
        <v/>
      </c>
      <c r="C455" s="88" t="str">
        <f>IF($F455="","",'הזנה לתנאי סף'!D455)</f>
        <v/>
      </c>
      <c r="D455" s="88" t="str">
        <f>IF($F455="","",'הזנה לתנאי סף'!E455)</f>
        <v/>
      </c>
      <c r="E455" s="88" t="str">
        <f>IF($F455="","",'הזנה לתנאי סף'!F455)</f>
        <v/>
      </c>
      <c r="F455" s="88" t="str">
        <f>IF(OR('הזנה לתנאי סף'!G455="",'הזנה לתנאי סף'!BL455&lt;&gt;1,'הזנה לתנאי סף'!Q455&lt;&gt;1),"",'הזנה לתנאי סף'!G455)</f>
        <v/>
      </c>
      <c r="G455" s="88" t="str">
        <f>IF($F455="","",'הזנה לתנאי סף'!H455)</f>
        <v/>
      </c>
      <c r="H455" s="88" t="str">
        <f>IF($F455="","",'הזנה לתנאי סף'!I455)</f>
        <v/>
      </c>
      <c r="I455" s="213" t="str">
        <f>IF($F455="","",'תחום תמיכה א'!$I455)</f>
        <v/>
      </c>
      <c r="J455" s="213" t="str">
        <f>IF($F455="","",'תחום תמיכה א'!$J455)</f>
        <v/>
      </c>
      <c r="K455" s="213" t="str">
        <f>IF($F455="","",'תחום תמיכה א'!$K455)</f>
        <v/>
      </c>
      <c r="L455" s="213" t="str">
        <f t="shared" si="75"/>
        <v/>
      </c>
      <c r="M455" s="214" t="str">
        <f t="shared" si="76"/>
        <v/>
      </c>
      <c r="N455" s="214" t="str">
        <f t="shared" si="77"/>
        <v/>
      </c>
      <c r="O455" s="213" t="str">
        <f t="shared" si="78"/>
        <v/>
      </c>
      <c r="P455" s="213" t="str">
        <f>IF($F455="","",'פרמטרים לקריטריונים'!$C$59*O455)</f>
        <v/>
      </c>
      <c r="Q455" s="214" t="str">
        <f t="shared" si="79"/>
        <v/>
      </c>
      <c r="R455" s="213" t="str">
        <f t="shared" si="80"/>
        <v/>
      </c>
      <c r="S455" s="213" t="str">
        <f>IF($F455="","",'הזנה לתנאי סף'!N455)</f>
        <v/>
      </c>
      <c r="T455" s="213" t="str">
        <f>IF($F455="","",'הזנה לתנאי סף'!O455)</f>
        <v/>
      </c>
      <c r="U455" s="213" t="str">
        <f>IF($F455="","",'תחום תמיכה א'!W455)</f>
        <v/>
      </c>
      <c r="V455" s="213" t="str">
        <f>IF($F455="","",'תחום תמיכה א'!X455)</f>
        <v/>
      </c>
      <c r="W455" s="213" t="str">
        <f>IF($F455="","",'תחום תמיכה א'!Y455)</f>
        <v/>
      </c>
      <c r="X455" s="231" t="str">
        <f>IF($F455="","",'תחום תמיכה א'!Z455)</f>
        <v/>
      </c>
      <c r="Y455" s="213" t="str">
        <f>IF($F455="","",'תחום תמיכה א'!AA455)</f>
        <v/>
      </c>
      <c r="Z455" s="214" t="str">
        <f>IF($F455="","",'תחום תמיכה א'!AB455)</f>
        <v/>
      </c>
      <c r="AA455" s="225" t="str">
        <f>IF($F455="","",'תחום תמיכה א'!AC455)</f>
        <v/>
      </c>
      <c r="AB455" s="213" t="str">
        <f t="shared" si="81"/>
        <v/>
      </c>
      <c r="AC455" s="213" t="str">
        <f t="shared" si="82"/>
        <v/>
      </c>
      <c r="AD455" s="214" t="str">
        <f t="shared" si="83"/>
        <v/>
      </c>
      <c r="AE455" s="213" t="str">
        <f t="shared" si="84"/>
        <v/>
      </c>
      <c r="AF455" s="214" t="str">
        <f t="shared" si="85"/>
        <v/>
      </c>
    </row>
    <row r="456" spans="1:32" ht="15.75" x14ac:dyDescent="0.2">
      <c r="A456" s="206" t="str">
        <f t="shared" si="74"/>
        <v/>
      </c>
      <c r="B456" s="88" t="str">
        <f>IF($F456="","",'הזנה לתנאי סף'!C456)</f>
        <v/>
      </c>
      <c r="C456" s="88" t="str">
        <f>IF($F456="","",'הזנה לתנאי סף'!D456)</f>
        <v/>
      </c>
      <c r="D456" s="88" t="str">
        <f>IF($F456="","",'הזנה לתנאי סף'!E456)</f>
        <v/>
      </c>
      <c r="E456" s="88" t="str">
        <f>IF($F456="","",'הזנה לתנאי סף'!F456)</f>
        <v/>
      </c>
      <c r="F456" s="88" t="str">
        <f>IF(OR('הזנה לתנאי סף'!G456="",'הזנה לתנאי סף'!BL456&lt;&gt;1,'הזנה לתנאי סף'!Q456&lt;&gt;1),"",'הזנה לתנאי סף'!G456)</f>
        <v/>
      </c>
      <c r="G456" s="88" t="str">
        <f>IF($F456="","",'הזנה לתנאי סף'!H456)</f>
        <v/>
      </c>
      <c r="H456" s="88" t="str">
        <f>IF($F456="","",'הזנה לתנאי סף'!I456)</f>
        <v/>
      </c>
      <c r="I456" s="213" t="str">
        <f>IF($F456="","",'תחום תמיכה א'!$I456)</f>
        <v/>
      </c>
      <c r="J456" s="213" t="str">
        <f>IF($F456="","",'תחום תמיכה א'!$J456)</f>
        <v/>
      </c>
      <c r="K456" s="213" t="str">
        <f>IF($F456="","",'תחום תמיכה א'!$K456)</f>
        <v/>
      </c>
      <c r="L456" s="213" t="str">
        <f t="shared" si="75"/>
        <v/>
      </c>
      <c r="M456" s="214" t="str">
        <f t="shared" si="76"/>
        <v/>
      </c>
      <c r="N456" s="214" t="str">
        <f t="shared" si="77"/>
        <v/>
      </c>
      <c r="O456" s="213" t="str">
        <f t="shared" si="78"/>
        <v/>
      </c>
      <c r="P456" s="213" t="str">
        <f>IF($F456="","",'פרמטרים לקריטריונים'!$C$59*O456)</f>
        <v/>
      </c>
      <c r="Q456" s="214" t="str">
        <f t="shared" si="79"/>
        <v/>
      </c>
      <c r="R456" s="213" t="str">
        <f t="shared" si="80"/>
        <v/>
      </c>
      <c r="S456" s="213" t="str">
        <f>IF($F456="","",'הזנה לתנאי סף'!N456)</f>
        <v/>
      </c>
      <c r="T456" s="213" t="str">
        <f>IF($F456="","",'הזנה לתנאי סף'!O456)</f>
        <v/>
      </c>
      <c r="U456" s="213" t="str">
        <f>IF($F456="","",'תחום תמיכה א'!W456)</f>
        <v/>
      </c>
      <c r="V456" s="213" t="str">
        <f>IF($F456="","",'תחום תמיכה א'!X456)</f>
        <v/>
      </c>
      <c r="W456" s="213" t="str">
        <f>IF($F456="","",'תחום תמיכה א'!Y456)</f>
        <v/>
      </c>
      <c r="X456" s="231" t="str">
        <f>IF($F456="","",'תחום תמיכה א'!Z456)</f>
        <v/>
      </c>
      <c r="Y456" s="213" t="str">
        <f>IF($F456="","",'תחום תמיכה א'!AA456)</f>
        <v/>
      </c>
      <c r="Z456" s="214" t="str">
        <f>IF($F456="","",'תחום תמיכה א'!AB456)</f>
        <v/>
      </c>
      <c r="AA456" s="225" t="str">
        <f>IF($F456="","",'תחום תמיכה א'!AC456)</f>
        <v/>
      </c>
      <c r="AB456" s="213" t="str">
        <f t="shared" si="81"/>
        <v/>
      </c>
      <c r="AC456" s="213" t="str">
        <f t="shared" si="82"/>
        <v/>
      </c>
      <c r="AD456" s="214" t="str">
        <f t="shared" si="83"/>
        <v/>
      </c>
      <c r="AE456" s="213" t="str">
        <f t="shared" si="84"/>
        <v/>
      </c>
      <c r="AF456" s="214" t="str">
        <f t="shared" si="85"/>
        <v/>
      </c>
    </row>
    <row r="457" spans="1:32" ht="15.75" x14ac:dyDescent="0.2">
      <c r="A457" s="206" t="str">
        <f t="shared" si="74"/>
        <v/>
      </c>
      <c r="B457" s="88" t="str">
        <f>IF($F457="","",'הזנה לתנאי סף'!C457)</f>
        <v/>
      </c>
      <c r="C457" s="88" t="str">
        <f>IF($F457="","",'הזנה לתנאי סף'!D457)</f>
        <v/>
      </c>
      <c r="D457" s="88" t="str">
        <f>IF($F457="","",'הזנה לתנאי סף'!E457)</f>
        <v/>
      </c>
      <c r="E457" s="88" t="str">
        <f>IF($F457="","",'הזנה לתנאי סף'!F457)</f>
        <v/>
      </c>
      <c r="F457" s="88" t="str">
        <f>IF(OR('הזנה לתנאי סף'!G457="",'הזנה לתנאי סף'!BL457&lt;&gt;1,'הזנה לתנאי סף'!Q457&lt;&gt;1),"",'הזנה לתנאי סף'!G457)</f>
        <v/>
      </c>
      <c r="G457" s="88" t="str">
        <f>IF($F457="","",'הזנה לתנאי סף'!H457)</f>
        <v/>
      </c>
      <c r="H457" s="88" t="str">
        <f>IF($F457="","",'הזנה לתנאי סף'!I457)</f>
        <v/>
      </c>
      <c r="I457" s="213" t="str">
        <f>IF($F457="","",'תחום תמיכה א'!$I457)</f>
        <v/>
      </c>
      <c r="J457" s="213" t="str">
        <f>IF($F457="","",'תחום תמיכה א'!$J457)</f>
        <v/>
      </c>
      <c r="K457" s="213" t="str">
        <f>IF($F457="","",'תחום תמיכה א'!$K457)</f>
        <v/>
      </c>
      <c r="L457" s="213" t="str">
        <f t="shared" si="75"/>
        <v/>
      </c>
      <c r="M457" s="214" t="str">
        <f t="shared" si="76"/>
        <v/>
      </c>
      <c r="N457" s="214" t="str">
        <f t="shared" si="77"/>
        <v/>
      </c>
      <c r="O457" s="213" t="str">
        <f t="shared" si="78"/>
        <v/>
      </c>
      <c r="P457" s="213" t="str">
        <f>IF($F457="","",'פרמטרים לקריטריונים'!$C$59*O457)</f>
        <v/>
      </c>
      <c r="Q457" s="214" t="str">
        <f t="shared" si="79"/>
        <v/>
      </c>
      <c r="R457" s="213" t="str">
        <f t="shared" si="80"/>
        <v/>
      </c>
      <c r="S457" s="213" t="str">
        <f>IF($F457="","",'הזנה לתנאי סף'!N457)</f>
        <v/>
      </c>
      <c r="T457" s="213" t="str">
        <f>IF($F457="","",'הזנה לתנאי סף'!O457)</f>
        <v/>
      </c>
      <c r="U457" s="213" t="str">
        <f>IF($F457="","",'תחום תמיכה א'!W457)</f>
        <v/>
      </c>
      <c r="V457" s="213" t="str">
        <f>IF($F457="","",'תחום תמיכה א'!X457)</f>
        <v/>
      </c>
      <c r="W457" s="213" t="str">
        <f>IF($F457="","",'תחום תמיכה א'!Y457)</f>
        <v/>
      </c>
      <c r="X457" s="231" t="str">
        <f>IF($F457="","",'תחום תמיכה א'!Z457)</f>
        <v/>
      </c>
      <c r="Y457" s="213" t="str">
        <f>IF($F457="","",'תחום תמיכה א'!AA457)</f>
        <v/>
      </c>
      <c r="Z457" s="214" t="str">
        <f>IF($F457="","",'תחום תמיכה א'!AB457)</f>
        <v/>
      </c>
      <c r="AA457" s="225" t="str">
        <f>IF($F457="","",'תחום תמיכה א'!AC457)</f>
        <v/>
      </c>
      <c r="AB457" s="213" t="str">
        <f t="shared" si="81"/>
        <v/>
      </c>
      <c r="AC457" s="213" t="str">
        <f t="shared" si="82"/>
        <v/>
      </c>
      <c r="AD457" s="214" t="str">
        <f t="shared" si="83"/>
        <v/>
      </c>
      <c r="AE457" s="213" t="str">
        <f t="shared" si="84"/>
        <v/>
      </c>
      <c r="AF457" s="214" t="str">
        <f t="shared" si="85"/>
        <v/>
      </c>
    </row>
    <row r="458" spans="1:32" ht="15.75" x14ac:dyDescent="0.2">
      <c r="A458" s="206" t="str">
        <f t="shared" ref="A458:A500" si="86">IF(F458="","",ROW()-30)</f>
        <v/>
      </c>
      <c r="B458" s="88" t="str">
        <f>IF($F458="","",'הזנה לתנאי סף'!C458)</f>
        <v/>
      </c>
      <c r="C458" s="88" t="str">
        <f>IF($F458="","",'הזנה לתנאי סף'!D458)</f>
        <v/>
      </c>
      <c r="D458" s="88" t="str">
        <f>IF($F458="","",'הזנה לתנאי סף'!E458)</f>
        <v/>
      </c>
      <c r="E458" s="88" t="str">
        <f>IF($F458="","",'הזנה לתנאי סף'!F458)</f>
        <v/>
      </c>
      <c r="F458" s="88" t="str">
        <f>IF(OR('הזנה לתנאי סף'!G458="",'הזנה לתנאי סף'!BL458&lt;&gt;1,'הזנה לתנאי סף'!Q458&lt;&gt;1),"",'הזנה לתנאי סף'!G458)</f>
        <v/>
      </c>
      <c r="G458" s="88" t="str">
        <f>IF($F458="","",'הזנה לתנאי סף'!H458)</f>
        <v/>
      </c>
      <c r="H458" s="88" t="str">
        <f>IF($F458="","",'הזנה לתנאי סף'!I458)</f>
        <v/>
      </c>
      <c r="I458" s="213" t="str">
        <f>IF($F458="","",'תחום תמיכה א'!$I458)</f>
        <v/>
      </c>
      <c r="J458" s="213" t="str">
        <f>IF($F458="","",'תחום תמיכה א'!$J458)</f>
        <v/>
      </c>
      <c r="K458" s="213" t="str">
        <f>IF($F458="","",'תחום תמיכה א'!$K458)</f>
        <v/>
      </c>
      <c r="L458" s="213" t="str">
        <f t="shared" ref="L458:L500" si="87">IF($F458="","",SUM(I458:K458))</f>
        <v/>
      </c>
      <c r="M458" s="214" t="str">
        <f t="shared" ref="M458:M500" si="88">IF($F458="","",IFERROR(I458/L458,$AH$2))</f>
        <v/>
      </c>
      <c r="N458" s="214" t="str">
        <f t="shared" ref="N458:N500" si="89">IF($F458="","",IFERROR((1-M458),""))</f>
        <v/>
      </c>
      <c r="O458" s="213" t="str">
        <f t="shared" ref="O458:O500" si="90">IF($F458="","",IFERROR((N458*J458),""))</f>
        <v/>
      </c>
      <c r="P458" s="213" t="str">
        <f>IF($F458="","",'פרמטרים לקריטריונים'!$C$59*O458)</f>
        <v/>
      </c>
      <c r="Q458" s="214" t="str">
        <f t="shared" ref="Q458:Q500" si="91">IF($F458="","",IFERROR(P458/$P$501,""))</f>
        <v/>
      </c>
      <c r="R458" s="213" t="str">
        <f t="shared" ref="R458:R500" si="92">IF($F458="","",IFERROR(Q458*$F$4,""))</f>
        <v/>
      </c>
      <c r="S458" s="213" t="str">
        <f>IF($F458="","",'הזנה לתנאי סף'!N458)</f>
        <v/>
      </c>
      <c r="T458" s="213" t="str">
        <f>IF($F458="","",'הזנה לתנאי סף'!O458)</f>
        <v/>
      </c>
      <c r="U458" s="213" t="str">
        <f>IF($F458="","",'תחום תמיכה א'!W458)</f>
        <v/>
      </c>
      <c r="V458" s="213" t="str">
        <f>IF($F458="","",'תחום תמיכה א'!X458)</f>
        <v/>
      </c>
      <c r="W458" s="213" t="str">
        <f>IF($F458="","",'תחום תמיכה א'!Y458)</f>
        <v/>
      </c>
      <c r="X458" s="231" t="str">
        <f>IF($F458="","",'תחום תמיכה א'!Z458)</f>
        <v/>
      </c>
      <c r="Y458" s="213" t="str">
        <f>IF($F458="","",'תחום תמיכה א'!AA458)</f>
        <v/>
      </c>
      <c r="Z458" s="214" t="str">
        <f>IF($F458="","",'תחום תמיכה א'!AB458)</f>
        <v/>
      </c>
      <c r="AA458" s="225" t="str">
        <f>IF($F458="","",'תחום תמיכה א'!AC458)</f>
        <v/>
      </c>
      <c r="AB458" s="213" t="str">
        <f t="shared" ref="AB458:AB500" si="93">IF(OR($F458="",AA458=""),"",IF(COUNTBLANK(U458:V458)&gt;0,-R458,IF(-AA458*Y458&gt;R458,-R458,AA458*Y458)))</f>
        <v/>
      </c>
      <c r="AC458" s="213" t="str">
        <f t="shared" ref="AC458:AC500" si="94">IF($F458="","",IF(AB458&lt;&gt;"",R458+AB458,R458))</f>
        <v/>
      </c>
      <c r="AD458" s="214" t="str">
        <f t="shared" ref="AD458:AD500" si="95">IF($F458="","",IFERROR(AC458/$AC$501,""))</f>
        <v/>
      </c>
      <c r="AE458" s="213" t="str">
        <f t="shared" ref="AE458:AE500" si="96">IFERROR(AD458*$F$5+AC458,"")</f>
        <v/>
      </c>
      <c r="AF458" s="214" t="str">
        <f t="shared" ref="AF458:AF500" si="97">IF($F458="","",IFERROR(AE458/$AE$501,""))</f>
        <v/>
      </c>
    </row>
    <row r="459" spans="1:32" ht="15.75" x14ac:dyDescent="0.2">
      <c r="A459" s="206" t="str">
        <f t="shared" si="86"/>
        <v/>
      </c>
      <c r="B459" s="88" t="str">
        <f>IF($F459="","",'הזנה לתנאי סף'!C459)</f>
        <v/>
      </c>
      <c r="C459" s="88" t="str">
        <f>IF($F459="","",'הזנה לתנאי סף'!D459)</f>
        <v/>
      </c>
      <c r="D459" s="88" t="str">
        <f>IF($F459="","",'הזנה לתנאי סף'!E459)</f>
        <v/>
      </c>
      <c r="E459" s="88" t="str">
        <f>IF($F459="","",'הזנה לתנאי סף'!F459)</f>
        <v/>
      </c>
      <c r="F459" s="88" t="str">
        <f>IF(OR('הזנה לתנאי סף'!G459="",'הזנה לתנאי סף'!BL459&lt;&gt;1,'הזנה לתנאי סף'!Q459&lt;&gt;1),"",'הזנה לתנאי סף'!G459)</f>
        <v/>
      </c>
      <c r="G459" s="88" t="str">
        <f>IF($F459="","",'הזנה לתנאי סף'!H459)</f>
        <v/>
      </c>
      <c r="H459" s="88" t="str">
        <f>IF($F459="","",'הזנה לתנאי סף'!I459)</f>
        <v/>
      </c>
      <c r="I459" s="213" t="str">
        <f>IF($F459="","",'תחום תמיכה א'!$I459)</f>
        <v/>
      </c>
      <c r="J459" s="213" t="str">
        <f>IF($F459="","",'תחום תמיכה א'!$J459)</f>
        <v/>
      </c>
      <c r="K459" s="213" t="str">
        <f>IF($F459="","",'תחום תמיכה א'!$K459)</f>
        <v/>
      </c>
      <c r="L459" s="213" t="str">
        <f t="shared" si="87"/>
        <v/>
      </c>
      <c r="M459" s="214" t="str">
        <f t="shared" si="88"/>
        <v/>
      </c>
      <c r="N459" s="214" t="str">
        <f t="shared" si="89"/>
        <v/>
      </c>
      <c r="O459" s="213" t="str">
        <f t="shared" si="90"/>
        <v/>
      </c>
      <c r="P459" s="213" t="str">
        <f>IF($F459="","",'פרמטרים לקריטריונים'!$C$59*O459)</f>
        <v/>
      </c>
      <c r="Q459" s="214" t="str">
        <f t="shared" si="91"/>
        <v/>
      </c>
      <c r="R459" s="213" t="str">
        <f t="shared" si="92"/>
        <v/>
      </c>
      <c r="S459" s="213" t="str">
        <f>IF($F459="","",'הזנה לתנאי סף'!N459)</f>
        <v/>
      </c>
      <c r="T459" s="213" t="str">
        <f>IF($F459="","",'הזנה לתנאי סף'!O459)</f>
        <v/>
      </c>
      <c r="U459" s="213" t="str">
        <f>IF($F459="","",'תחום תמיכה א'!W459)</f>
        <v/>
      </c>
      <c r="V459" s="213" t="str">
        <f>IF($F459="","",'תחום תמיכה א'!X459)</f>
        <v/>
      </c>
      <c r="W459" s="213" t="str">
        <f>IF($F459="","",'תחום תמיכה א'!Y459)</f>
        <v/>
      </c>
      <c r="X459" s="231" t="str">
        <f>IF($F459="","",'תחום תמיכה א'!Z459)</f>
        <v/>
      </c>
      <c r="Y459" s="213" t="str">
        <f>IF($F459="","",'תחום תמיכה א'!AA459)</f>
        <v/>
      </c>
      <c r="Z459" s="214" t="str">
        <f>IF($F459="","",'תחום תמיכה א'!AB459)</f>
        <v/>
      </c>
      <c r="AA459" s="225" t="str">
        <f>IF($F459="","",'תחום תמיכה א'!AC459)</f>
        <v/>
      </c>
      <c r="AB459" s="213" t="str">
        <f t="shared" si="93"/>
        <v/>
      </c>
      <c r="AC459" s="213" t="str">
        <f t="shared" si="94"/>
        <v/>
      </c>
      <c r="AD459" s="214" t="str">
        <f t="shared" si="95"/>
        <v/>
      </c>
      <c r="AE459" s="213" t="str">
        <f t="shared" si="96"/>
        <v/>
      </c>
      <c r="AF459" s="214" t="str">
        <f t="shared" si="97"/>
        <v/>
      </c>
    </row>
    <row r="460" spans="1:32" ht="15.75" x14ac:dyDescent="0.2">
      <c r="A460" s="206" t="str">
        <f t="shared" si="86"/>
        <v/>
      </c>
      <c r="B460" s="88" t="str">
        <f>IF($F460="","",'הזנה לתנאי סף'!C460)</f>
        <v/>
      </c>
      <c r="C460" s="88" t="str">
        <f>IF($F460="","",'הזנה לתנאי סף'!D460)</f>
        <v/>
      </c>
      <c r="D460" s="88" t="str">
        <f>IF($F460="","",'הזנה לתנאי סף'!E460)</f>
        <v/>
      </c>
      <c r="E460" s="88" t="str">
        <f>IF($F460="","",'הזנה לתנאי סף'!F460)</f>
        <v/>
      </c>
      <c r="F460" s="88" t="str">
        <f>IF(OR('הזנה לתנאי סף'!G460="",'הזנה לתנאי סף'!BL460&lt;&gt;1,'הזנה לתנאי סף'!Q460&lt;&gt;1),"",'הזנה לתנאי סף'!G460)</f>
        <v/>
      </c>
      <c r="G460" s="88" t="str">
        <f>IF($F460="","",'הזנה לתנאי סף'!H460)</f>
        <v/>
      </c>
      <c r="H460" s="88" t="str">
        <f>IF($F460="","",'הזנה לתנאי סף'!I460)</f>
        <v/>
      </c>
      <c r="I460" s="213" t="str">
        <f>IF($F460="","",'תחום תמיכה א'!$I460)</f>
        <v/>
      </c>
      <c r="J460" s="213" t="str">
        <f>IF($F460="","",'תחום תמיכה א'!$J460)</f>
        <v/>
      </c>
      <c r="K460" s="213" t="str">
        <f>IF($F460="","",'תחום תמיכה א'!$K460)</f>
        <v/>
      </c>
      <c r="L460" s="213" t="str">
        <f t="shared" si="87"/>
        <v/>
      </c>
      <c r="M460" s="214" t="str">
        <f t="shared" si="88"/>
        <v/>
      </c>
      <c r="N460" s="214" t="str">
        <f t="shared" si="89"/>
        <v/>
      </c>
      <c r="O460" s="213" t="str">
        <f t="shared" si="90"/>
        <v/>
      </c>
      <c r="P460" s="213" t="str">
        <f>IF($F460="","",'פרמטרים לקריטריונים'!$C$59*O460)</f>
        <v/>
      </c>
      <c r="Q460" s="214" t="str">
        <f t="shared" si="91"/>
        <v/>
      </c>
      <c r="R460" s="213" t="str">
        <f t="shared" si="92"/>
        <v/>
      </c>
      <c r="S460" s="213" t="str">
        <f>IF($F460="","",'הזנה לתנאי סף'!N460)</f>
        <v/>
      </c>
      <c r="T460" s="213" t="str">
        <f>IF($F460="","",'הזנה לתנאי סף'!O460)</f>
        <v/>
      </c>
      <c r="U460" s="213" t="str">
        <f>IF($F460="","",'תחום תמיכה א'!W460)</f>
        <v/>
      </c>
      <c r="V460" s="213" t="str">
        <f>IF($F460="","",'תחום תמיכה א'!X460)</f>
        <v/>
      </c>
      <c r="W460" s="213" t="str">
        <f>IF($F460="","",'תחום תמיכה א'!Y460)</f>
        <v/>
      </c>
      <c r="X460" s="231" t="str">
        <f>IF($F460="","",'תחום תמיכה א'!Z460)</f>
        <v/>
      </c>
      <c r="Y460" s="213" t="str">
        <f>IF($F460="","",'תחום תמיכה א'!AA460)</f>
        <v/>
      </c>
      <c r="Z460" s="214" t="str">
        <f>IF($F460="","",'תחום תמיכה א'!AB460)</f>
        <v/>
      </c>
      <c r="AA460" s="225" t="str">
        <f>IF($F460="","",'תחום תמיכה א'!AC460)</f>
        <v/>
      </c>
      <c r="AB460" s="213" t="str">
        <f t="shared" si="93"/>
        <v/>
      </c>
      <c r="AC460" s="213" t="str">
        <f t="shared" si="94"/>
        <v/>
      </c>
      <c r="AD460" s="214" t="str">
        <f t="shared" si="95"/>
        <v/>
      </c>
      <c r="AE460" s="213" t="str">
        <f t="shared" si="96"/>
        <v/>
      </c>
      <c r="AF460" s="214" t="str">
        <f t="shared" si="97"/>
        <v/>
      </c>
    </row>
    <row r="461" spans="1:32" ht="15.75" x14ac:dyDescent="0.2">
      <c r="A461" s="206" t="str">
        <f t="shared" si="86"/>
        <v/>
      </c>
      <c r="B461" s="88" t="str">
        <f>IF($F461="","",'הזנה לתנאי סף'!C461)</f>
        <v/>
      </c>
      <c r="C461" s="88" t="str">
        <f>IF($F461="","",'הזנה לתנאי סף'!D461)</f>
        <v/>
      </c>
      <c r="D461" s="88" t="str">
        <f>IF($F461="","",'הזנה לתנאי סף'!E461)</f>
        <v/>
      </c>
      <c r="E461" s="88" t="str">
        <f>IF($F461="","",'הזנה לתנאי סף'!F461)</f>
        <v/>
      </c>
      <c r="F461" s="88" t="str">
        <f>IF(OR('הזנה לתנאי סף'!G461="",'הזנה לתנאי סף'!BL461&lt;&gt;1,'הזנה לתנאי סף'!Q461&lt;&gt;1),"",'הזנה לתנאי סף'!G461)</f>
        <v/>
      </c>
      <c r="G461" s="88" t="str">
        <f>IF($F461="","",'הזנה לתנאי סף'!H461)</f>
        <v/>
      </c>
      <c r="H461" s="88" t="str">
        <f>IF($F461="","",'הזנה לתנאי סף'!I461)</f>
        <v/>
      </c>
      <c r="I461" s="213" t="str">
        <f>IF($F461="","",'תחום תמיכה א'!$I461)</f>
        <v/>
      </c>
      <c r="J461" s="213" t="str">
        <f>IF($F461="","",'תחום תמיכה א'!$J461)</f>
        <v/>
      </c>
      <c r="K461" s="213" t="str">
        <f>IF($F461="","",'תחום תמיכה א'!$K461)</f>
        <v/>
      </c>
      <c r="L461" s="213" t="str">
        <f t="shared" si="87"/>
        <v/>
      </c>
      <c r="M461" s="214" t="str">
        <f t="shared" si="88"/>
        <v/>
      </c>
      <c r="N461" s="214" t="str">
        <f t="shared" si="89"/>
        <v/>
      </c>
      <c r="O461" s="213" t="str">
        <f t="shared" si="90"/>
        <v/>
      </c>
      <c r="P461" s="213" t="str">
        <f>IF($F461="","",'פרמטרים לקריטריונים'!$C$59*O461)</f>
        <v/>
      </c>
      <c r="Q461" s="214" t="str">
        <f t="shared" si="91"/>
        <v/>
      </c>
      <c r="R461" s="213" t="str">
        <f t="shared" si="92"/>
        <v/>
      </c>
      <c r="S461" s="213" t="str">
        <f>IF($F461="","",'הזנה לתנאי סף'!N461)</f>
        <v/>
      </c>
      <c r="T461" s="213" t="str">
        <f>IF($F461="","",'הזנה לתנאי סף'!O461)</f>
        <v/>
      </c>
      <c r="U461" s="213" t="str">
        <f>IF($F461="","",'תחום תמיכה א'!W461)</f>
        <v/>
      </c>
      <c r="V461" s="213" t="str">
        <f>IF($F461="","",'תחום תמיכה א'!X461)</f>
        <v/>
      </c>
      <c r="W461" s="213" t="str">
        <f>IF($F461="","",'תחום תמיכה א'!Y461)</f>
        <v/>
      </c>
      <c r="X461" s="231" t="str">
        <f>IF($F461="","",'תחום תמיכה א'!Z461)</f>
        <v/>
      </c>
      <c r="Y461" s="213" t="str">
        <f>IF($F461="","",'תחום תמיכה א'!AA461)</f>
        <v/>
      </c>
      <c r="Z461" s="214" t="str">
        <f>IF($F461="","",'תחום תמיכה א'!AB461)</f>
        <v/>
      </c>
      <c r="AA461" s="225" t="str">
        <f>IF($F461="","",'תחום תמיכה א'!AC461)</f>
        <v/>
      </c>
      <c r="AB461" s="213" t="str">
        <f t="shared" si="93"/>
        <v/>
      </c>
      <c r="AC461" s="213" t="str">
        <f t="shared" si="94"/>
        <v/>
      </c>
      <c r="AD461" s="214" t="str">
        <f t="shared" si="95"/>
        <v/>
      </c>
      <c r="AE461" s="213" t="str">
        <f t="shared" si="96"/>
        <v/>
      </c>
      <c r="AF461" s="214" t="str">
        <f t="shared" si="97"/>
        <v/>
      </c>
    </row>
    <row r="462" spans="1:32" ht="15.75" x14ac:dyDescent="0.2">
      <c r="A462" s="206" t="str">
        <f t="shared" si="86"/>
        <v/>
      </c>
      <c r="B462" s="88" t="str">
        <f>IF($F462="","",'הזנה לתנאי סף'!C462)</f>
        <v/>
      </c>
      <c r="C462" s="88" t="str">
        <f>IF($F462="","",'הזנה לתנאי סף'!D462)</f>
        <v/>
      </c>
      <c r="D462" s="88" t="str">
        <f>IF($F462="","",'הזנה לתנאי סף'!E462)</f>
        <v/>
      </c>
      <c r="E462" s="88" t="str">
        <f>IF($F462="","",'הזנה לתנאי סף'!F462)</f>
        <v/>
      </c>
      <c r="F462" s="88" t="str">
        <f>IF(OR('הזנה לתנאי סף'!G462="",'הזנה לתנאי סף'!BL462&lt;&gt;1,'הזנה לתנאי סף'!Q462&lt;&gt;1),"",'הזנה לתנאי סף'!G462)</f>
        <v/>
      </c>
      <c r="G462" s="88" t="str">
        <f>IF($F462="","",'הזנה לתנאי סף'!H462)</f>
        <v/>
      </c>
      <c r="H462" s="88" t="str">
        <f>IF($F462="","",'הזנה לתנאי סף'!I462)</f>
        <v/>
      </c>
      <c r="I462" s="213" t="str">
        <f>IF($F462="","",'תחום תמיכה א'!$I462)</f>
        <v/>
      </c>
      <c r="J462" s="213" t="str">
        <f>IF($F462="","",'תחום תמיכה א'!$J462)</f>
        <v/>
      </c>
      <c r="K462" s="213" t="str">
        <f>IF($F462="","",'תחום תמיכה א'!$K462)</f>
        <v/>
      </c>
      <c r="L462" s="213" t="str">
        <f t="shared" si="87"/>
        <v/>
      </c>
      <c r="M462" s="214" t="str">
        <f t="shared" si="88"/>
        <v/>
      </c>
      <c r="N462" s="214" t="str">
        <f t="shared" si="89"/>
        <v/>
      </c>
      <c r="O462" s="213" t="str">
        <f t="shared" si="90"/>
        <v/>
      </c>
      <c r="P462" s="213" t="str">
        <f>IF($F462="","",'פרמטרים לקריטריונים'!$C$59*O462)</f>
        <v/>
      </c>
      <c r="Q462" s="214" t="str">
        <f t="shared" si="91"/>
        <v/>
      </c>
      <c r="R462" s="213" t="str">
        <f t="shared" si="92"/>
        <v/>
      </c>
      <c r="S462" s="213" t="str">
        <f>IF($F462="","",'הזנה לתנאי סף'!N462)</f>
        <v/>
      </c>
      <c r="T462" s="213" t="str">
        <f>IF($F462="","",'הזנה לתנאי סף'!O462)</f>
        <v/>
      </c>
      <c r="U462" s="213" t="str">
        <f>IF($F462="","",'תחום תמיכה א'!W462)</f>
        <v/>
      </c>
      <c r="V462" s="213" t="str">
        <f>IF($F462="","",'תחום תמיכה א'!X462)</f>
        <v/>
      </c>
      <c r="W462" s="213" t="str">
        <f>IF($F462="","",'תחום תמיכה א'!Y462)</f>
        <v/>
      </c>
      <c r="X462" s="231" t="str">
        <f>IF($F462="","",'תחום תמיכה א'!Z462)</f>
        <v/>
      </c>
      <c r="Y462" s="213" t="str">
        <f>IF($F462="","",'תחום תמיכה א'!AA462)</f>
        <v/>
      </c>
      <c r="Z462" s="214" t="str">
        <f>IF($F462="","",'תחום תמיכה א'!AB462)</f>
        <v/>
      </c>
      <c r="AA462" s="225" t="str">
        <f>IF($F462="","",'תחום תמיכה א'!AC462)</f>
        <v/>
      </c>
      <c r="AB462" s="213" t="str">
        <f t="shared" si="93"/>
        <v/>
      </c>
      <c r="AC462" s="213" t="str">
        <f t="shared" si="94"/>
        <v/>
      </c>
      <c r="AD462" s="214" t="str">
        <f t="shared" si="95"/>
        <v/>
      </c>
      <c r="AE462" s="213" t="str">
        <f t="shared" si="96"/>
        <v/>
      </c>
      <c r="AF462" s="214" t="str">
        <f t="shared" si="97"/>
        <v/>
      </c>
    </row>
    <row r="463" spans="1:32" ht="15.75" x14ac:dyDescent="0.2">
      <c r="A463" s="206" t="str">
        <f t="shared" si="86"/>
        <v/>
      </c>
      <c r="B463" s="88" t="str">
        <f>IF($F463="","",'הזנה לתנאי סף'!C463)</f>
        <v/>
      </c>
      <c r="C463" s="88" t="str">
        <f>IF($F463="","",'הזנה לתנאי סף'!D463)</f>
        <v/>
      </c>
      <c r="D463" s="88" t="str">
        <f>IF($F463="","",'הזנה לתנאי סף'!E463)</f>
        <v/>
      </c>
      <c r="E463" s="88" t="str">
        <f>IF($F463="","",'הזנה לתנאי סף'!F463)</f>
        <v/>
      </c>
      <c r="F463" s="88" t="str">
        <f>IF(OR('הזנה לתנאי סף'!G463="",'הזנה לתנאי סף'!BL463&lt;&gt;1,'הזנה לתנאי סף'!Q463&lt;&gt;1),"",'הזנה לתנאי סף'!G463)</f>
        <v/>
      </c>
      <c r="G463" s="88" t="str">
        <f>IF($F463="","",'הזנה לתנאי סף'!H463)</f>
        <v/>
      </c>
      <c r="H463" s="88" t="str">
        <f>IF($F463="","",'הזנה לתנאי סף'!I463)</f>
        <v/>
      </c>
      <c r="I463" s="213" t="str">
        <f>IF($F463="","",'תחום תמיכה א'!$I463)</f>
        <v/>
      </c>
      <c r="J463" s="213" t="str">
        <f>IF($F463="","",'תחום תמיכה א'!$J463)</f>
        <v/>
      </c>
      <c r="K463" s="213" t="str">
        <f>IF($F463="","",'תחום תמיכה א'!$K463)</f>
        <v/>
      </c>
      <c r="L463" s="213" t="str">
        <f t="shared" si="87"/>
        <v/>
      </c>
      <c r="M463" s="214" t="str">
        <f t="shared" si="88"/>
        <v/>
      </c>
      <c r="N463" s="214" t="str">
        <f t="shared" si="89"/>
        <v/>
      </c>
      <c r="O463" s="213" t="str">
        <f t="shared" si="90"/>
        <v/>
      </c>
      <c r="P463" s="213" t="str">
        <f>IF($F463="","",'פרמטרים לקריטריונים'!$C$59*O463)</f>
        <v/>
      </c>
      <c r="Q463" s="214" t="str">
        <f t="shared" si="91"/>
        <v/>
      </c>
      <c r="R463" s="213" t="str">
        <f t="shared" si="92"/>
        <v/>
      </c>
      <c r="S463" s="213" t="str">
        <f>IF($F463="","",'הזנה לתנאי סף'!N463)</f>
        <v/>
      </c>
      <c r="T463" s="213" t="str">
        <f>IF($F463="","",'הזנה לתנאי סף'!O463)</f>
        <v/>
      </c>
      <c r="U463" s="213" t="str">
        <f>IF($F463="","",'תחום תמיכה א'!W463)</f>
        <v/>
      </c>
      <c r="V463" s="213" t="str">
        <f>IF($F463="","",'תחום תמיכה א'!X463)</f>
        <v/>
      </c>
      <c r="W463" s="213" t="str">
        <f>IF($F463="","",'תחום תמיכה א'!Y463)</f>
        <v/>
      </c>
      <c r="X463" s="231" t="str">
        <f>IF($F463="","",'תחום תמיכה א'!Z463)</f>
        <v/>
      </c>
      <c r="Y463" s="213" t="str">
        <f>IF($F463="","",'תחום תמיכה א'!AA463)</f>
        <v/>
      </c>
      <c r="Z463" s="214" t="str">
        <f>IF($F463="","",'תחום תמיכה א'!AB463)</f>
        <v/>
      </c>
      <c r="AA463" s="225" t="str">
        <f>IF($F463="","",'תחום תמיכה א'!AC463)</f>
        <v/>
      </c>
      <c r="AB463" s="213" t="str">
        <f t="shared" si="93"/>
        <v/>
      </c>
      <c r="AC463" s="213" t="str">
        <f t="shared" si="94"/>
        <v/>
      </c>
      <c r="AD463" s="214" t="str">
        <f t="shared" si="95"/>
        <v/>
      </c>
      <c r="AE463" s="213" t="str">
        <f t="shared" si="96"/>
        <v/>
      </c>
      <c r="AF463" s="214" t="str">
        <f t="shared" si="97"/>
        <v/>
      </c>
    </row>
    <row r="464" spans="1:32" ht="15.75" x14ac:dyDescent="0.2">
      <c r="A464" s="206" t="str">
        <f t="shared" si="86"/>
        <v/>
      </c>
      <c r="B464" s="88" t="str">
        <f>IF($F464="","",'הזנה לתנאי סף'!C464)</f>
        <v/>
      </c>
      <c r="C464" s="88" t="str">
        <f>IF($F464="","",'הזנה לתנאי סף'!D464)</f>
        <v/>
      </c>
      <c r="D464" s="88" t="str">
        <f>IF($F464="","",'הזנה לתנאי סף'!E464)</f>
        <v/>
      </c>
      <c r="E464" s="88" t="str">
        <f>IF($F464="","",'הזנה לתנאי סף'!F464)</f>
        <v/>
      </c>
      <c r="F464" s="88" t="str">
        <f>IF(OR('הזנה לתנאי סף'!G464="",'הזנה לתנאי סף'!BL464&lt;&gt;1,'הזנה לתנאי סף'!Q464&lt;&gt;1),"",'הזנה לתנאי סף'!G464)</f>
        <v/>
      </c>
      <c r="G464" s="88" t="str">
        <f>IF($F464="","",'הזנה לתנאי סף'!H464)</f>
        <v/>
      </c>
      <c r="H464" s="88" t="str">
        <f>IF($F464="","",'הזנה לתנאי סף'!I464)</f>
        <v/>
      </c>
      <c r="I464" s="213" t="str">
        <f>IF($F464="","",'תחום תמיכה א'!$I464)</f>
        <v/>
      </c>
      <c r="J464" s="213" t="str">
        <f>IF($F464="","",'תחום תמיכה א'!$J464)</f>
        <v/>
      </c>
      <c r="K464" s="213" t="str">
        <f>IF($F464="","",'תחום תמיכה א'!$K464)</f>
        <v/>
      </c>
      <c r="L464" s="213" t="str">
        <f t="shared" si="87"/>
        <v/>
      </c>
      <c r="M464" s="214" t="str">
        <f t="shared" si="88"/>
        <v/>
      </c>
      <c r="N464" s="214" t="str">
        <f t="shared" si="89"/>
        <v/>
      </c>
      <c r="O464" s="213" t="str">
        <f t="shared" si="90"/>
        <v/>
      </c>
      <c r="P464" s="213" t="str">
        <f>IF($F464="","",'פרמטרים לקריטריונים'!$C$59*O464)</f>
        <v/>
      </c>
      <c r="Q464" s="214" t="str">
        <f t="shared" si="91"/>
        <v/>
      </c>
      <c r="R464" s="213" t="str">
        <f t="shared" si="92"/>
        <v/>
      </c>
      <c r="S464" s="213" t="str">
        <f>IF($F464="","",'הזנה לתנאי סף'!N464)</f>
        <v/>
      </c>
      <c r="T464" s="213" t="str">
        <f>IF($F464="","",'הזנה לתנאי סף'!O464)</f>
        <v/>
      </c>
      <c r="U464" s="213" t="str">
        <f>IF($F464="","",'תחום תמיכה א'!W464)</f>
        <v/>
      </c>
      <c r="V464" s="213" t="str">
        <f>IF($F464="","",'תחום תמיכה א'!X464)</f>
        <v/>
      </c>
      <c r="W464" s="213" t="str">
        <f>IF($F464="","",'תחום תמיכה א'!Y464)</f>
        <v/>
      </c>
      <c r="X464" s="231" t="str">
        <f>IF($F464="","",'תחום תמיכה א'!Z464)</f>
        <v/>
      </c>
      <c r="Y464" s="213" t="str">
        <f>IF($F464="","",'תחום תמיכה א'!AA464)</f>
        <v/>
      </c>
      <c r="Z464" s="214" t="str">
        <f>IF($F464="","",'תחום תמיכה א'!AB464)</f>
        <v/>
      </c>
      <c r="AA464" s="225" t="str">
        <f>IF($F464="","",'תחום תמיכה א'!AC464)</f>
        <v/>
      </c>
      <c r="AB464" s="213" t="str">
        <f t="shared" si="93"/>
        <v/>
      </c>
      <c r="AC464" s="213" t="str">
        <f t="shared" si="94"/>
        <v/>
      </c>
      <c r="AD464" s="214" t="str">
        <f t="shared" si="95"/>
        <v/>
      </c>
      <c r="AE464" s="213" t="str">
        <f t="shared" si="96"/>
        <v/>
      </c>
      <c r="AF464" s="214" t="str">
        <f t="shared" si="97"/>
        <v/>
      </c>
    </row>
    <row r="465" spans="1:32" ht="15.75" x14ac:dyDescent="0.2">
      <c r="A465" s="206" t="str">
        <f t="shared" si="86"/>
        <v/>
      </c>
      <c r="B465" s="88" t="str">
        <f>IF($F465="","",'הזנה לתנאי סף'!C465)</f>
        <v/>
      </c>
      <c r="C465" s="88" t="str">
        <f>IF($F465="","",'הזנה לתנאי סף'!D465)</f>
        <v/>
      </c>
      <c r="D465" s="88" t="str">
        <f>IF($F465="","",'הזנה לתנאי סף'!E465)</f>
        <v/>
      </c>
      <c r="E465" s="88" t="str">
        <f>IF($F465="","",'הזנה לתנאי סף'!F465)</f>
        <v/>
      </c>
      <c r="F465" s="88" t="str">
        <f>IF(OR('הזנה לתנאי סף'!G465="",'הזנה לתנאי סף'!BL465&lt;&gt;1,'הזנה לתנאי סף'!Q465&lt;&gt;1),"",'הזנה לתנאי סף'!G465)</f>
        <v/>
      </c>
      <c r="G465" s="88" t="str">
        <f>IF($F465="","",'הזנה לתנאי סף'!H465)</f>
        <v/>
      </c>
      <c r="H465" s="88" t="str">
        <f>IF($F465="","",'הזנה לתנאי סף'!I465)</f>
        <v/>
      </c>
      <c r="I465" s="213" t="str">
        <f>IF($F465="","",'תחום תמיכה א'!$I465)</f>
        <v/>
      </c>
      <c r="J465" s="213" t="str">
        <f>IF($F465="","",'תחום תמיכה א'!$J465)</f>
        <v/>
      </c>
      <c r="K465" s="213" t="str">
        <f>IF($F465="","",'תחום תמיכה א'!$K465)</f>
        <v/>
      </c>
      <c r="L465" s="213" t="str">
        <f t="shared" si="87"/>
        <v/>
      </c>
      <c r="M465" s="214" t="str">
        <f t="shared" si="88"/>
        <v/>
      </c>
      <c r="N465" s="214" t="str">
        <f t="shared" si="89"/>
        <v/>
      </c>
      <c r="O465" s="213" t="str">
        <f t="shared" si="90"/>
        <v/>
      </c>
      <c r="P465" s="213" t="str">
        <f>IF($F465="","",'פרמטרים לקריטריונים'!$C$59*O465)</f>
        <v/>
      </c>
      <c r="Q465" s="214" t="str">
        <f t="shared" si="91"/>
        <v/>
      </c>
      <c r="R465" s="213" t="str">
        <f t="shared" si="92"/>
        <v/>
      </c>
      <c r="S465" s="213" t="str">
        <f>IF($F465="","",'הזנה לתנאי סף'!N465)</f>
        <v/>
      </c>
      <c r="T465" s="213" t="str">
        <f>IF($F465="","",'הזנה לתנאי סף'!O465)</f>
        <v/>
      </c>
      <c r="U465" s="213" t="str">
        <f>IF($F465="","",'תחום תמיכה א'!W465)</f>
        <v/>
      </c>
      <c r="V465" s="213" t="str">
        <f>IF($F465="","",'תחום תמיכה א'!X465)</f>
        <v/>
      </c>
      <c r="W465" s="213" t="str">
        <f>IF($F465="","",'תחום תמיכה א'!Y465)</f>
        <v/>
      </c>
      <c r="X465" s="231" t="str">
        <f>IF($F465="","",'תחום תמיכה א'!Z465)</f>
        <v/>
      </c>
      <c r="Y465" s="213" t="str">
        <f>IF($F465="","",'תחום תמיכה א'!AA465)</f>
        <v/>
      </c>
      <c r="Z465" s="214" t="str">
        <f>IF($F465="","",'תחום תמיכה א'!AB465)</f>
        <v/>
      </c>
      <c r="AA465" s="225" t="str">
        <f>IF($F465="","",'תחום תמיכה א'!AC465)</f>
        <v/>
      </c>
      <c r="AB465" s="213" t="str">
        <f t="shared" si="93"/>
        <v/>
      </c>
      <c r="AC465" s="213" t="str">
        <f t="shared" si="94"/>
        <v/>
      </c>
      <c r="AD465" s="214" t="str">
        <f t="shared" si="95"/>
        <v/>
      </c>
      <c r="AE465" s="213" t="str">
        <f t="shared" si="96"/>
        <v/>
      </c>
      <c r="AF465" s="214" t="str">
        <f t="shared" si="97"/>
        <v/>
      </c>
    </row>
    <row r="466" spans="1:32" ht="15.75" x14ac:dyDescent="0.2">
      <c r="A466" s="206" t="str">
        <f t="shared" si="86"/>
        <v/>
      </c>
      <c r="B466" s="88" t="str">
        <f>IF($F466="","",'הזנה לתנאי סף'!C466)</f>
        <v/>
      </c>
      <c r="C466" s="88" t="str">
        <f>IF($F466="","",'הזנה לתנאי סף'!D466)</f>
        <v/>
      </c>
      <c r="D466" s="88" t="str">
        <f>IF($F466="","",'הזנה לתנאי סף'!E466)</f>
        <v/>
      </c>
      <c r="E466" s="88" t="str">
        <f>IF($F466="","",'הזנה לתנאי סף'!F466)</f>
        <v/>
      </c>
      <c r="F466" s="88" t="str">
        <f>IF(OR('הזנה לתנאי סף'!G466="",'הזנה לתנאי סף'!BL466&lt;&gt;1,'הזנה לתנאי סף'!Q466&lt;&gt;1),"",'הזנה לתנאי סף'!G466)</f>
        <v/>
      </c>
      <c r="G466" s="88" t="str">
        <f>IF($F466="","",'הזנה לתנאי סף'!H466)</f>
        <v/>
      </c>
      <c r="H466" s="88" t="str">
        <f>IF($F466="","",'הזנה לתנאי סף'!I466)</f>
        <v/>
      </c>
      <c r="I466" s="213" t="str">
        <f>IF($F466="","",'תחום תמיכה א'!$I466)</f>
        <v/>
      </c>
      <c r="J466" s="213" t="str">
        <f>IF($F466="","",'תחום תמיכה א'!$J466)</f>
        <v/>
      </c>
      <c r="K466" s="213" t="str">
        <f>IF($F466="","",'תחום תמיכה א'!$K466)</f>
        <v/>
      </c>
      <c r="L466" s="213" t="str">
        <f t="shared" si="87"/>
        <v/>
      </c>
      <c r="M466" s="214" t="str">
        <f t="shared" si="88"/>
        <v/>
      </c>
      <c r="N466" s="214" t="str">
        <f t="shared" si="89"/>
        <v/>
      </c>
      <c r="O466" s="213" t="str">
        <f t="shared" si="90"/>
        <v/>
      </c>
      <c r="P466" s="213" t="str">
        <f>IF($F466="","",'פרמטרים לקריטריונים'!$C$59*O466)</f>
        <v/>
      </c>
      <c r="Q466" s="214" t="str">
        <f t="shared" si="91"/>
        <v/>
      </c>
      <c r="R466" s="213" t="str">
        <f t="shared" si="92"/>
        <v/>
      </c>
      <c r="S466" s="213" t="str">
        <f>IF($F466="","",'הזנה לתנאי סף'!N466)</f>
        <v/>
      </c>
      <c r="T466" s="213" t="str">
        <f>IF($F466="","",'הזנה לתנאי סף'!O466)</f>
        <v/>
      </c>
      <c r="U466" s="213" t="str">
        <f>IF($F466="","",'תחום תמיכה א'!W466)</f>
        <v/>
      </c>
      <c r="V466" s="213" t="str">
        <f>IF($F466="","",'תחום תמיכה א'!X466)</f>
        <v/>
      </c>
      <c r="W466" s="213" t="str">
        <f>IF($F466="","",'תחום תמיכה א'!Y466)</f>
        <v/>
      </c>
      <c r="X466" s="231" t="str">
        <f>IF($F466="","",'תחום תמיכה א'!Z466)</f>
        <v/>
      </c>
      <c r="Y466" s="213" t="str">
        <f>IF($F466="","",'תחום תמיכה א'!AA466)</f>
        <v/>
      </c>
      <c r="Z466" s="214" t="str">
        <f>IF($F466="","",'תחום תמיכה א'!AB466)</f>
        <v/>
      </c>
      <c r="AA466" s="225" t="str">
        <f>IF($F466="","",'תחום תמיכה א'!AC466)</f>
        <v/>
      </c>
      <c r="AB466" s="213" t="str">
        <f t="shared" si="93"/>
        <v/>
      </c>
      <c r="AC466" s="213" t="str">
        <f t="shared" si="94"/>
        <v/>
      </c>
      <c r="AD466" s="214" t="str">
        <f t="shared" si="95"/>
        <v/>
      </c>
      <c r="AE466" s="213" t="str">
        <f t="shared" si="96"/>
        <v/>
      </c>
      <c r="AF466" s="214" t="str">
        <f t="shared" si="97"/>
        <v/>
      </c>
    </row>
    <row r="467" spans="1:32" ht="15.75" x14ac:dyDescent="0.2">
      <c r="A467" s="206" t="str">
        <f t="shared" si="86"/>
        <v/>
      </c>
      <c r="B467" s="88" t="str">
        <f>IF($F467="","",'הזנה לתנאי סף'!C467)</f>
        <v/>
      </c>
      <c r="C467" s="88" t="str">
        <f>IF($F467="","",'הזנה לתנאי סף'!D467)</f>
        <v/>
      </c>
      <c r="D467" s="88" t="str">
        <f>IF($F467="","",'הזנה לתנאי סף'!E467)</f>
        <v/>
      </c>
      <c r="E467" s="88" t="str">
        <f>IF($F467="","",'הזנה לתנאי סף'!F467)</f>
        <v/>
      </c>
      <c r="F467" s="88" t="str">
        <f>IF(OR('הזנה לתנאי סף'!G467="",'הזנה לתנאי סף'!BL467&lt;&gt;1,'הזנה לתנאי סף'!Q467&lt;&gt;1),"",'הזנה לתנאי סף'!G467)</f>
        <v/>
      </c>
      <c r="G467" s="88" t="str">
        <f>IF($F467="","",'הזנה לתנאי סף'!H467)</f>
        <v/>
      </c>
      <c r="H467" s="88" t="str">
        <f>IF($F467="","",'הזנה לתנאי סף'!I467)</f>
        <v/>
      </c>
      <c r="I467" s="213" t="str">
        <f>IF($F467="","",'תחום תמיכה א'!$I467)</f>
        <v/>
      </c>
      <c r="J467" s="213" t="str">
        <f>IF($F467="","",'תחום תמיכה א'!$J467)</f>
        <v/>
      </c>
      <c r="K467" s="213" t="str">
        <f>IF($F467="","",'תחום תמיכה א'!$K467)</f>
        <v/>
      </c>
      <c r="L467" s="213" t="str">
        <f t="shared" si="87"/>
        <v/>
      </c>
      <c r="M467" s="214" t="str">
        <f t="shared" si="88"/>
        <v/>
      </c>
      <c r="N467" s="214" t="str">
        <f t="shared" si="89"/>
        <v/>
      </c>
      <c r="O467" s="213" t="str">
        <f t="shared" si="90"/>
        <v/>
      </c>
      <c r="P467" s="213" t="str">
        <f>IF($F467="","",'פרמטרים לקריטריונים'!$C$59*O467)</f>
        <v/>
      </c>
      <c r="Q467" s="214" t="str">
        <f t="shared" si="91"/>
        <v/>
      </c>
      <c r="R467" s="213" t="str">
        <f t="shared" si="92"/>
        <v/>
      </c>
      <c r="S467" s="213" t="str">
        <f>IF($F467="","",'הזנה לתנאי סף'!N467)</f>
        <v/>
      </c>
      <c r="T467" s="213" t="str">
        <f>IF($F467="","",'הזנה לתנאי סף'!O467)</f>
        <v/>
      </c>
      <c r="U467" s="213" t="str">
        <f>IF($F467="","",'תחום תמיכה א'!W467)</f>
        <v/>
      </c>
      <c r="V467" s="213" t="str">
        <f>IF($F467="","",'תחום תמיכה א'!X467)</f>
        <v/>
      </c>
      <c r="W467" s="213" t="str">
        <f>IF($F467="","",'תחום תמיכה א'!Y467)</f>
        <v/>
      </c>
      <c r="X467" s="231" t="str">
        <f>IF($F467="","",'תחום תמיכה א'!Z467)</f>
        <v/>
      </c>
      <c r="Y467" s="213" t="str">
        <f>IF($F467="","",'תחום תמיכה א'!AA467)</f>
        <v/>
      </c>
      <c r="Z467" s="214" t="str">
        <f>IF($F467="","",'תחום תמיכה א'!AB467)</f>
        <v/>
      </c>
      <c r="AA467" s="225" t="str">
        <f>IF($F467="","",'תחום תמיכה א'!AC467)</f>
        <v/>
      </c>
      <c r="AB467" s="213" t="str">
        <f t="shared" si="93"/>
        <v/>
      </c>
      <c r="AC467" s="213" t="str">
        <f t="shared" si="94"/>
        <v/>
      </c>
      <c r="AD467" s="214" t="str">
        <f t="shared" si="95"/>
        <v/>
      </c>
      <c r="AE467" s="213" t="str">
        <f t="shared" si="96"/>
        <v/>
      </c>
      <c r="AF467" s="214" t="str">
        <f t="shared" si="97"/>
        <v/>
      </c>
    </row>
    <row r="468" spans="1:32" ht="15.75" x14ac:dyDescent="0.2">
      <c r="A468" s="206" t="str">
        <f t="shared" si="86"/>
        <v/>
      </c>
      <c r="B468" s="88" t="str">
        <f>IF($F468="","",'הזנה לתנאי סף'!C468)</f>
        <v/>
      </c>
      <c r="C468" s="88" t="str">
        <f>IF($F468="","",'הזנה לתנאי סף'!D468)</f>
        <v/>
      </c>
      <c r="D468" s="88" t="str">
        <f>IF($F468="","",'הזנה לתנאי סף'!E468)</f>
        <v/>
      </c>
      <c r="E468" s="88" t="str">
        <f>IF($F468="","",'הזנה לתנאי סף'!F468)</f>
        <v/>
      </c>
      <c r="F468" s="88" t="str">
        <f>IF(OR('הזנה לתנאי סף'!G468="",'הזנה לתנאי סף'!BL468&lt;&gt;1,'הזנה לתנאי סף'!Q468&lt;&gt;1),"",'הזנה לתנאי סף'!G468)</f>
        <v/>
      </c>
      <c r="G468" s="88" t="str">
        <f>IF($F468="","",'הזנה לתנאי סף'!H468)</f>
        <v/>
      </c>
      <c r="H468" s="88" t="str">
        <f>IF($F468="","",'הזנה לתנאי סף'!I468)</f>
        <v/>
      </c>
      <c r="I468" s="213" t="str">
        <f>IF($F468="","",'תחום תמיכה א'!$I468)</f>
        <v/>
      </c>
      <c r="J468" s="213" t="str">
        <f>IF($F468="","",'תחום תמיכה א'!$J468)</f>
        <v/>
      </c>
      <c r="K468" s="213" t="str">
        <f>IF($F468="","",'תחום תמיכה א'!$K468)</f>
        <v/>
      </c>
      <c r="L468" s="213" t="str">
        <f t="shared" si="87"/>
        <v/>
      </c>
      <c r="M468" s="214" t="str">
        <f t="shared" si="88"/>
        <v/>
      </c>
      <c r="N468" s="214" t="str">
        <f t="shared" si="89"/>
        <v/>
      </c>
      <c r="O468" s="213" t="str">
        <f t="shared" si="90"/>
        <v/>
      </c>
      <c r="P468" s="213" t="str">
        <f>IF($F468="","",'פרמטרים לקריטריונים'!$C$59*O468)</f>
        <v/>
      </c>
      <c r="Q468" s="214" t="str">
        <f t="shared" si="91"/>
        <v/>
      </c>
      <c r="R468" s="213" t="str">
        <f t="shared" si="92"/>
        <v/>
      </c>
      <c r="S468" s="213" t="str">
        <f>IF($F468="","",'הזנה לתנאי סף'!N468)</f>
        <v/>
      </c>
      <c r="T468" s="213" t="str">
        <f>IF($F468="","",'הזנה לתנאי סף'!O468)</f>
        <v/>
      </c>
      <c r="U468" s="213" t="str">
        <f>IF($F468="","",'תחום תמיכה א'!W468)</f>
        <v/>
      </c>
      <c r="V468" s="213" t="str">
        <f>IF($F468="","",'תחום תמיכה א'!X468)</f>
        <v/>
      </c>
      <c r="W468" s="213" t="str">
        <f>IF($F468="","",'תחום תמיכה א'!Y468)</f>
        <v/>
      </c>
      <c r="X468" s="231" t="str">
        <f>IF($F468="","",'תחום תמיכה א'!Z468)</f>
        <v/>
      </c>
      <c r="Y468" s="213" t="str">
        <f>IF($F468="","",'תחום תמיכה א'!AA468)</f>
        <v/>
      </c>
      <c r="Z468" s="214" t="str">
        <f>IF($F468="","",'תחום תמיכה א'!AB468)</f>
        <v/>
      </c>
      <c r="AA468" s="225" t="str">
        <f>IF($F468="","",'תחום תמיכה א'!AC468)</f>
        <v/>
      </c>
      <c r="AB468" s="213" t="str">
        <f t="shared" si="93"/>
        <v/>
      </c>
      <c r="AC468" s="213" t="str">
        <f t="shared" si="94"/>
        <v/>
      </c>
      <c r="AD468" s="214" t="str">
        <f t="shared" si="95"/>
        <v/>
      </c>
      <c r="AE468" s="213" t="str">
        <f t="shared" si="96"/>
        <v/>
      </c>
      <c r="AF468" s="214" t="str">
        <f t="shared" si="97"/>
        <v/>
      </c>
    </row>
    <row r="469" spans="1:32" ht="15.75" x14ac:dyDescent="0.2">
      <c r="A469" s="206" t="str">
        <f t="shared" si="86"/>
        <v/>
      </c>
      <c r="B469" s="88" t="str">
        <f>IF($F469="","",'הזנה לתנאי סף'!C469)</f>
        <v/>
      </c>
      <c r="C469" s="88" t="str">
        <f>IF($F469="","",'הזנה לתנאי סף'!D469)</f>
        <v/>
      </c>
      <c r="D469" s="88" t="str">
        <f>IF($F469="","",'הזנה לתנאי סף'!E469)</f>
        <v/>
      </c>
      <c r="E469" s="88" t="str">
        <f>IF($F469="","",'הזנה לתנאי סף'!F469)</f>
        <v/>
      </c>
      <c r="F469" s="88" t="str">
        <f>IF(OR('הזנה לתנאי סף'!G469="",'הזנה לתנאי סף'!BL469&lt;&gt;1,'הזנה לתנאי סף'!Q469&lt;&gt;1),"",'הזנה לתנאי סף'!G469)</f>
        <v/>
      </c>
      <c r="G469" s="88" t="str">
        <f>IF($F469="","",'הזנה לתנאי סף'!H469)</f>
        <v/>
      </c>
      <c r="H469" s="88" t="str">
        <f>IF($F469="","",'הזנה לתנאי סף'!I469)</f>
        <v/>
      </c>
      <c r="I469" s="213" t="str">
        <f>IF($F469="","",'תחום תמיכה א'!$I469)</f>
        <v/>
      </c>
      <c r="J469" s="213" t="str">
        <f>IF($F469="","",'תחום תמיכה א'!$J469)</f>
        <v/>
      </c>
      <c r="K469" s="213" t="str">
        <f>IF($F469="","",'תחום תמיכה א'!$K469)</f>
        <v/>
      </c>
      <c r="L469" s="213" t="str">
        <f t="shared" si="87"/>
        <v/>
      </c>
      <c r="M469" s="214" t="str">
        <f t="shared" si="88"/>
        <v/>
      </c>
      <c r="N469" s="214" t="str">
        <f t="shared" si="89"/>
        <v/>
      </c>
      <c r="O469" s="213" t="str">
        <f t="shared" si="90"/>
        <v/>
      </c>
      <c r="P469" s="213" t="str">
        <f>IF($F469="","",'פרמטרים לקריטריונים'!$C$59*O469)</f>
        <v/>
      </c>
      <c r="Q469" s="214" t="str">
        <f t="shared" si="91"/>
        <v/>
      </c>
      <c r="R469" s="213" t="str">
        <f t="shared" si="92"/>
        <v/>
      </c>
      <c r="S469" s="213" t="str">
        <f>IF($F469="","",'הזנה לתנאי סף'!N469)</f>
        <v/>
      </c>
      <c r="T469" s="213" t="str">
        <f>IF($F469="","",'הזנה לתנאי סף'!O469)</f>
        <v/>
      </c>
      <c r="U469" s="213" t="str">
        <f>IF($F469="","",'תחום תמיכה א'!W469)</f>
        <v/>
      </c>
      <c r="V469" s="213" t="str">
        <f>IF($F469="","",'תחום תמיכה א'!X469)</f>
        <v/>
      </c>
      <c r="W469" s="213" t="str">
        <f>IF($F469="","",'תחום תמיכה א'!Y469)</f>
        <v/>
      </c>
      <c r="X469" s="231" t="str">
        <f>IF($F469="","",'תחום תמיכה א'!Z469)</f>
        <v/>
      </c>
      <c r="Y469" s="213" t="str">
        <f>IF($F469="","",'תחום תמיכה א'!AA469)</f>
        <v/>
      </c>
      <c r="Z469" s="214" t="str">
        <f>IF($F469="","",'תחום תמיכה א'!AB469)</f>
        <v/>
      </c>
      <c r="AA469" s="225" t="str">
        <f>IF($F469="","",'תחום תמיכה א'!AC469)</f>
        <v/>
      </c>
      <c r="AB469" s="213" t="str">
        <f t="shared" si="93"/>
        <v/>
      </c>
      <c r="AC469" s="213" t="str">
        <f t="shared" si="94"/>
        <v/>
      </c>
      <c r="AD469" s="214" t="str">
        <f t="shared" si="95"/>
        <v/>
      </c>
      <c r="AE469" s="213" t="str">
        <f t="shared" si="96"/>
        <v/>
      </c>
      <c r="AF469" s="214" t="str">
        <f t="shared" si="97"/>
        <v/>
      </c>
    </row>
    <row r="470" spans="1:32" ht="15.75" x14ac:dyDescent="0.2">
      <c r="A470" s="206" t="str">
        <f t="shared" si="86"/>
        <v/>
      </c>
      <c r="B470" s="88" t="str">
        <f>IF($F470="","",'הזנה לתנאי סף'!C470)</f>
        <v/>
      </c>
      <c r="C470" s="88" t="str">
        <f>IF($F470="","",'הזנה לתנאי סף'!D470)</f>
        <v/>
      </c>
      <c r="D470" s="88" t="str">
        <f>IF($F470="","",'הזנה לתנאי סף'!E470)</f>
        <v/>
      </c>
      <c r="E470" s="88" t="str">
        <f>IF($F470="","",'הזנה לתנאי סף'!F470)</f>
        <v/>
      </c>
      <c r="F470" s="88" t="str">
        <f>IF(OR('הזנה לתנאי סף'!G470="",'הזנה לתנאי סף'!BL470&lt;&gt;1,'הזנה לתנאי סף'!Q470&lt;&gt;1),"",'הזנה לתנאי סף'!G470)</f>
        <v/>
      </c>
      <c r="G470" s="88" t="str">
        <f>IF($F470="","",'הזנה לתנאי סף'!H470)</f>
        <v/>
      </c>
      <c r="H470" s="88" t="str">
        <f>IF($F470="","",'הזנה לתנאי סף'!I470)</f>
        <v/>
      </c>
      <c r="I470" s="213" t="str">
        <f>IF($F470="","",'תחום תמיכה א'!$I470)</f>
        <v/>
      </c>
      <c r="J470" s="213" t="str">
        <f>IF($F470="","",'תחום תמיכה א'!$J470)</f>
        <v/>
      </c>
      <c r="K470" s="213" t="str">
        <f>IF($F470="","",'תחום תמיכה א'!$K470)</f>
        <v/>
      </c>
      <c r="L470" s="213" t="str">
        <f t="shared" si="87"/>
        <v/>
      </c>
      <c r="M470" s="214" t="str">
        <f t="shared" si="88"/>
        <v/>
      </c>
      <c r="N470" s="214" t="str">
        <f t="shared" si="89"/>
        <v/>
      </c>
      <c r="O470" s="213" t="str">
        <f t="shared" si="90"/>
        <v/>
      </c>
      <c r="P470" s="213" t="str">
        <f>IF($F470="","",'פרמטרים לקריטריונים'!$C$59*O470)</f>
        <v/>
      </c>
      <c r="Q470" s="214" t="str">
        <f t="shared" si="91"/>
        <v/>
      </c>
      <c r="R470" s="213" t="str">
        <f t="shared" si="92"/>
        <v/>
      </c>
      <c r="S470" s="213" t="str">
        <f>IF($F470="","",'הזנה לתנאי סף'!N470)</f>
        <v/>
      </c>
      <c r="T470" s="213" t="str">
        <f>IF($F470="","",'הזנה לתנאי סף'!O470)</f>
        <v/>
      </c>
      <c r="U470" s="213" t="str">
        <f>IF($F470="","",'תחום תמיכה א'!W470)</f>
        <v/>
      </c>
      <c r="V470" s="213" t="str">
        <f>IF($F470="","",'תחום תמיכה א'!X470)</f>
        <v/>
      </c>
      <c r="W470" s="213" t="str">
        <f>IF($F470="","",'תחום תמיכה א'!Y470)</f>
        <v/>
      </c>
      <c r="X470" s="231" t="str">
        <f>IF($F470="","",'תחום תמיכה א'!Z470)</f>
        <v/>
      </c>
      <c r="Y470" s="213" t="str">
        <f>IF($F470="","",'תחום תמיכה א'!AA470)</f>
        <v/>
      </c>
      <c r="Z470" s="214" t="str">
        <f>IF($F470="","",'תחום תמיכה א'!AB470)</f>
        <v/>
      </c>
      <c r="AA470" s="225" t="str">
        <f>IF($F470="","",'תחום תמיכה א'!AC470)</f>
        <v/>
      </c>
      <c r="AB470" s="213" t="str">
        <f t="shared" si="93"/>
        <v/>
      </c>
      <c r="AC470" s="213" t="str">
        <f t="shared" si="94"/>
        <v/>
      </c>
      <c r="AD470" s="214" t="str">
        <f t="shared" si="95"/>
        <v/>
      </c>
      <c r="AE470" s="213" t="str">
        <f t="shared" si="96"/>
        <v/>
      </c>
      <c r="AF470" s="214" t="str">
        <f t="shared" si="97"/>
        <v/>
      </c>
    </row>
    <row r="471" spans="1:32" ht="15.75" x14ac:dyDescent="0.2">
      <c r="A471" s="206" t="str">
        <f t="shared" si="86"/>
        <v/>
      </c>
      <c r="B471" s="88" t="str">
        <f>IF($F471="","",'הזנה לתנאי סף'!C471)</f>
        <v/>
      </c>
      <c r="C471" s="88" t="str">
        <f>IF($F471="","",'הזנה לתנאי סף'!D471)</f>
        <v/>
      </c>
      <c r="D471" s="88" t="str">
        <f>IF($F471="","",'הזנה לתנאי סף'!E471)</f>
        <v/>
      </c>
      <c r="E471" s="88" t="str">
        <f>IF($F471="","",'הזנה לתנאי סף'!F471)</f>
        <v/>
      </c>
      <c r="F471" s="88" t="str">
        <f>IF(OR('הזנה לתנאי סף'!G471="",'הזנה לתנאי סף'!BL471&lt;&gt;1,'הזנה לתנאי סף'!Q471&lt;&gt;1),"",'הזנה לתנאי סף'!G471)</f>
        <v/>
      </c>
      <c r="G471" s="88" t="str">
        <f>IF($F471="","",'הזנה לתנאי סף'!H471)</f>
        <v/>
      </c>
      <c r="H471" s="88" t="str">
        <f>IF($F471="","",'הזנה לתנאי סף'!I471)</f>
        <v/>
      </c>
      <c r="I471" s="213" t="str">
        <f>IF($F471="","",'תחום תמיכה א'!$I471)</f>
        <v/>
      </c>
      <c r="J471" s="213" t="str">
        <f>IF($F471="","",'תחום תמיכה א'!$J471)</f>
        <v/>
      </c>
      <c r="K471" s="213" t="str">
        <f>IF($F471="","",'תחום תמיכה א'!$K471)</f>
        <v/>
      </c>
      <c r="L471" s="213" t="str">
        <f t="shared" si="87"/>
        <v/>
      </c>
      <c r="M471" s="214" t="str">
        <f t="shared" si="88"/>
        <v/>
      </c>
      <c r="N471" s="214" t="str">
        <f t="shared" si="89"/>
        <v/>
      </c>
      <c r="O471" s="213" t="str">
        <f t="shared" si="90"/>
        <v/>
      </c>
      <c r="P471" s="213" t="str">
        <f>IF($F471="","",'פרמטרים לקריטריונים'!$C$59*O471)</f>
        <v/>
      </c>
      <c r="Q471" s="214" t="str">
        <f t="shared" si="91"/>
        <v/>
      </c>
      <c r="R471" s="213" t="str">
        <f t="shared" si="92"/>
        <v/>
      </c>
      <c r="S471" s="213" t="str">
        <f>IF($F471="","",'הזנה לתנאי סף'!N471)</f>
        <v/>
      </c>
      <c r="T471" s="213" t="str">
        <f>IF($F471="","",'הזנה לתנאי סף'!O471)</f>
        <v/>
      </c>
      <c r="U471" s="213" t="str">
        <f>IF($F471="","",'תחום תמיכה א'!W471)</f>
        <v/>
      </c>
      <c r="V471" s="213" t="str">
        <f>IF($F471="","",'תחום תמיכה א'!X471)</f>
        <v/>
      </c>
      <c r="W471" s="213" t="str">
        <f>IF($F471="","",'תחום תמיכה א'!Y471)</f>
        <v/>
      </c>
      <c r="X471" s="231" t="str">
        <f>IF($F471="","",'תחום תמיכה א'!Z471)</f>
        <v/>
      </c>
      <c r="Y471" s="213" t="str">
        <f>IF($F471="","",'תחום תמיכה א'!AA471)</f>
        <v/>
      </c>
      <c r="Z471" s="214" t="str">
        <f>IF($F471="","",'תחום תמיכה א'!AB471)</f>
        <v/>
      </c>
      <c r="AA471" s="225" t="str">
        <f>IF($F471="","",'תחום תמיכה א'!AC471)</f>
        <v/>
      </c>
      <c r="AB471" s="213" t="str">
        <f t="shared" si="93"/>
        <v/>
      </c>
      <c r="AC471" s="213" t="str">
        <f t="shared" si="94"/>
        <v/>
      </c>
      <c r="AD471" s="214" t="str">
        <f t="shared" si="95"/>
        <v/>
      </c>
      <c r="AE471" s="213" t="str">
        <f t="shared" si="96"/>
        <v/>
      </c>
      <c r="AF471" s="214" t="str">
        <f t="shared" si="97"/>
        <v/>
      </c>
    </row>
    <row r="472" spans="1:32" ht="15.75" x14ac:dyDescent="0.2">
      <c r="A472" s="206" t="str">
        <f t="shared" si="86"/>
        <v/>
      </c>
      <c r="B472" s="88" t="str">
        <f>IF($F472="","",'הזנה לתנאי סף'!C472)</f>
        <v/>
      </c>
      <c r="C472" s="88" t="str">
        <f>IF($F472="","",'הזנה לתנאי סף'!D472)</f>
        <v/>
      </c>
      <c r="D472" s="88" t="str">
        <f>IF($F472="","",'הזנה לתנאי סף'!E472)</f>
        <v/>
      </c>
      <c r="E472" s="88" t="str">
        <f>IF($F472="","",'הזנה לתנאי סף'!F472)</f>
        <v/>
      </c>
      <c r="F472" s="88" t="str">
        <f>IF(OR('הזנה לתנאי סף'!G472="",'הזנה לתנאי סף'!BL472&lt;&gt;1,'הזנה לתנאי סף'!Q472&lt;&gt;1),"",'הזנה לתנאי סף'!G472)</f>
        <v/>
      </c>
      <c r="G472" s="88" t="str">
        <f>IF($F472="","",'הזנה לתנאי סף'!H472)</f>
        <v/>
      </c>
      <c r="H472" s="88" t="str">
        <f>IF($F472="","",'הזנה לתנאי סף'!I472)</f>
        <v/>
      </c>
      <c r="I472" s="213" t="str">
        <f>IF($F472="","",'תחום תמיכה א'!$I472)</f>
        <v/>
      </c>
      <c r="J472" s="213" t="str">
        <f>IF($F472="","",'תחום תמיכה א'!$J472)</f>
        <v/>
      </c>
      <c r="K472" s="213" t="str">
        <f>IF($F472="","",'תחום תמיכה א'!$K472)</f>
        <v/>
      </c>
      <c r="L472" s="213" t="str">
        <f t="shared" si="87"/>
        <v/>
      </c>
      <c r="M472" s="214" t="str">
        <f t="shared" si="88"/>
        <v/>
      </c>
      <c r="N472" s="214" t="str">
        <f t="shared" si="89"/>
        <v/>
      </c>
      <c r="O472" s="213" t="str">
        <f t="shared" si="90"/>
        <v/>
      </c>
      <c r="P472" s="213" t="str">
        <f>IF($F472="","",'פרמטרים לקריטריונים'!$C$59*O472)</f>
        <v/>
      </c>
      <c r="Q472" s="214" t="str">
        <f t="shared" si="91"/>
        <v/>
      </c>
      <c r="R472" s="213" t="str">
        <f t="shared" si="92"/>
        <v/>
      </c>
      <c r="S472" s="213" t="str">
        <f>IF($F472="","",'הזנה לתנאי סף'!N472)</f>
        <v/>
      </c>
      <c r="T472" s="213" t="str">
        <f>IF($F472="","",'הזנה לתנאי סף'!O472)</f>
        <v/>
      </c>
      <c r="U472" s="213" t="str">
        <f>IF($F472="","",'תחום תמיכה א'!W472)</f>
        <v/>
      </c>
      <c r="V472" s="213" t="str">
        <f>IF($F472="","",'תחום תמיכה א'!X472)</f>
        <v/>
      </c>
      <c r="W472" s="213" t="str">
        <f>IF($F472="","",'תחום תמיכה א'!Y472)</f>
        <v/>
      </c>
      <c r="X472" s="231" t="str">
        <f>IF($F472="","",'תחום תמיכה א'!Z472)</f>
        <v/>
      </c>
      <c r="Y472" s="213" t="str">
        <f>IF($F472="","",'תחום תמיכה א'!AA472)</f>
        <v/>
      </c>
      <c r="Z472" s="214" t="str">
        <f>IF($F472="","",'תחום תמיכה א'!AB472)</f>
        <v/>
      </c>
      <c r="AA472" s="225" t="str">
        <f>IF($F472="","",'תחום תמיכה א'!AC472)</f>
        <v/>
      </c>
      <c r="AB472" s="213" t="str">
        <f t="shared" si="93"/>
        <v/>
      </c>
      <c r="AC472" s="213" t="str">
        <f t="shared" si="94"/>
        <v/>
      </c>
      <c r="AD472" s="214" t="str">
        <f t="shared" si="95"/>
        <v/>
      </c>
      <c r="AE472" s="213" t="str">
        <f t="shared" si="96"/>
        <v/>
      </c>
      <c r="AF472" s="214" t="str">
        <f t="shared" si="97"/>
        <v/>
      </c>
    </row>
    <row r="473" spans="1:32" ht="15.75" x14ac:dyDescent="0.2">
      <c r="A473" s="206" t="str">
        <f t="shared" si="86"/>
        <v/>
      </c>
      <c r="B473" s="88" t="str">
        <f>IF($F473="","",'הזנה לתנאי סף'!C473)</f>
        <v/>
      </c>
      <c r="C473" s="88" t="str">
        <f>IF($F473="","",'הזנה לתנאי סף'!D473)</f>
        <v/>
      </c>
      <c r="D473" s="88" t="str">
        <f>IF($F473="","",'הזנה לתנאי סף'!E473)</f>
        <v/>
      </c>
      <c r="E473" s="88" t="str">
        <f>IF($F473="","",'הזנה לתנאי סף'!F473)</f>
        <v/>
      </c>
      <c r="F473" s="88" t="str">
        <f>IF(OR('הזנה לתנאי סף'!G473="",'הזנה לתנאי סף'!BL473&lt;&gt;1,'הזנה לתנאי סף'!Q473&lt;&gt;1),"",'הזנה לתנאי סף'!G473)</f>
        <v/>
      </c>
      <c r="G473" s="88" t="str">
        <f>IF($F473="","",'הזנה לתנאי סף'!H473)</f>
        <v/>
      </c>
      <c r="H473" s="88" t="str">
        <f>IF($F473="","",'הזנה לתנאי סף'!I473)</f>
        <v/>
      </c>
      <c r="I473" s="213" t="str">
        <f>IF($F473="","",'תחום תמיכה א'!$I473)</f>
        <v/>
      </c>
      <c r="J473" s="213" t="str">
        <f>IF($F473="","",'תחום תמיכה א'!$J473)</f>
        <v/>
      </c>
      <c r="K473" s="213" t="str">
        <f>IF($F473="","",'תחום תמיכה א'!$K473)</f>
        <v/>
      </c>
      <c r="L473" s="213" t="str">
        <f t="shared" si="87"/>
        <v/>
      </c>
      <c r="M473" s="214" t="str">
        <f t="shared" si="88"/>
        <v/>
      </c>
      <c r="N473" s="214" t="str">
        <f t="shared" si="89"/>
        <v/>
      </c>
      <c r="O473" s="213" t="str">
        <f t="shared" si="90"/>
        <v/>
      </c>
      <c r="P473" s="213" t="str">
        <f>IF($F473="","",'פרמטרים לקריטריונים'!$C$59*O473)</f>
        <v/>
      </c>
      <c r="Q473" s="214" t="str">
        <f t="shared" si="91"/>
        <v/>
      </c>
      <c r="R473" s="213" t="str">
        <f t="shared" si="92"/>
        <v/>
      </c>
      <c r="S473" s="213" t="str">
        <f>IF($F473="","",'הזנה לתנאי סף'!N473)</f>
        <v/>
      </c>
      <c r="T473" s="213" t="str">
        <f>IF($F473="","",'הזנה לתנאי סף'!O473)</f>
        <v/>
      </c>
      <c r="U473" s="213" t="str">
        <f>IF($F473="","",'תחום תמיכה א'!W473)</f>
        <v/>
      </c>
      <c r="V473" s="213" t="str">
        <f>IF($F473="","",'תחום תמיכה א'!X473)</f>
        <v/>
      </c>
      <c r="W473" s="213" t="str">
        <f>IF($F473="","",'תחום תמיכה א'!Y473)</f>
        <v/>
      </c>
      <c r="X473" s="231" t="str">
        <f>IF($F473="","",'תחום תמיכה א'!Z473)</f>
        <v/>
      </c>
      <c r="Y473" s="213" t="str">
        <f>IF($F473="","",'תחום תמיכה א'!AA473)</f>
        <v/>
      </c>
      <c r="Z473" s="214" t="str">
        <f>IF($F473="","",'תחום תמיכה א'!AB473)</f>
        <v/>
      </c>
      <c r="AA473" s="225" t="str">
        <f>IF($F473="","",'תחום תמיכה א'!AC473)</f>
        <v/>
      </c>
      <c r="AB473" s="213" t="str">
        <f t="shared" si="93"/>
        <v/>
      </c>
      <c r="AC473" s="213" t="str">
        <f t="shared" si="94"/>
        <v/>
      </c>
      <c r="AD473" s="214" t="str">
        <f t="shared" si="95"/>
        <v/>
      </c>
      <c r="AE473" s="213" t="str">
        <f t="shared" si="96"/>
        <v/>
      </c>
      <c r="AF473" s="214" t="str">
        <f t="shared" si="97"/>
        <v/>
      </c>
    </row>
    <row r="474" spans="1:32" ht="15.75" x14ac:dyDescent="0.2">
      <c r="A474" s="206" t="str">
        <f t="shared" si="86"/>
        <v/>
      </c>
      <c r="B474" s="88" t="str">
        <f>IF($F474="","",'הזנה לתנאי סף'!C474)</f>
        <v/>
      </c>
      <c r="C474" s="88" t="str">
        <f>IF($F474="","",'הזנה לתנאי סף'!D474)</f>
        <v/>
      </c>
      <c r="D474" s="88" t="str">
        <f>IF($F474="","",'הזנה לתנאי סף'!E474)</f>
        <v/>
      </c>
      <c r="E474" s="88" t="str">
        <f>IF($F474="","",'הזנה לתנאי סף'!F474)</f>
        <v/>
      </c>
      <c r="F474" s="88" t="str">
        <f>IF(OR('הזנה לתנאי סף'!G474="",'הזנה לתנאי סף'!BL474&lt;&gt;1,'הזנה לתנאי סף'!Q474&lt;&gt;1),"",'הזנה לתנאי סף'!G474)</f>
        <v/>
      </c>
      <c r="G474" s="88" t="str">
        <f>IF($F474="","",'הזנה לתנאי סף'!H474)</f>
        <v/>
      </c>
      <c r="H474" s="88" t="str">
        <f>IF($F474="","",'הזנה לתנאי סף'!I474)</f>
        <v/>
      </c>
      <c r="I474" s="213" t="str">
        <f>IF($F474="","",'תחום תמיכה א'!$I474)</f>
        <v/>
      </c>
      <c r="J474" s="213" t="str">
        <f>IF($F474="","",'תחום תמיכה א'!$J474)</f>
        <v/>
      </c>
      <c r="K474" s="213" t="str">
        <f>IF($F474="","",'תחום תמיכה א'!$K474)</f>
        <v/>
      </c>
      <c r="L474" s="213" t="str">
        <f t="shared" si="87"/>
        <v/>
      </c>
      <c r="M474" s="214" t="str">
        <f t="shared" si="88"/>
        <v/>
      </c>
      <c r="N474" s="214" t="str">
        <f t="shared" si="89"/>
        <v/>
      </c>
      <c r="O474" s="213" t="str">
        <f t="shared" si="90"/>
        <v/>
      </c>
      <c r="P474" s="213" t="str">
        <f>IF($F474="","",'פרמטרים לקריטריונים'!$C$59*O474)</f>
        <v/>
      </c>
      <c r="Q474" s="214" t="str">
        <f t="shared" si="91"/>
        <v/>
      </c>
      <c r="R474" s="213" t="str">
        <f t="shared" si="92"/>
        <v/>
      </c>
      <c r="S474" s="213" t="str">
        <f>IF($F474="","",'הזנה לתנאי סף'!N474)</f>
        <v/>
      </c>
      <c r="T474" s="213" t="str">
        <f>IF($F474="","",'הזנה לתנאי סף'!O474)</f>
        <v/>
      </c>
      <c r="U474" s="213" t="str">
        <f>IF($F474="","",'תחום תמיכה א'!W474)</f>
        <v/>
      </c>
      <c r="V474" s="213" t="str">
        <f>IF($F474="","",'תחום תמיכה א'!X474)</f>
        <v/>
      </c>
      <c r="W474" s="213" t="str">
        <f>IF($F474="","",'תחום תמיכה א'!Y474)</f>
        <v/>
      </c>
      <c r="X474" s="231" t="str">
        <f>IF($F474="","",'תחום תמיכה א'!Z474)</f>
        <v/>
      </c>
      <c r="Y474" s="213" t="str">
        <f>IF($F474="","",'תחום תמיכה א'!AA474)</f>
        <v/>
      </c>
      <c r="Z474" s="214" t="str">
        <f>IF($F474="","",'תחום תמיכה א'!AB474)</f>
        <v/>
      </c>
      <c r="AA474" s="225" t="str">
        <f>IF($F474="","",'תחום תמיכה א'!AC474)</f>
        <v/>
      </c>
      <c r="AB474" s="213" t="str">
        <f t="shared" si="93"/>
        <v/>
      </c>
      <c r="AC474" s="213" t="str">
        <f t="shared" si="94"/>
        <v/>
      </c>
      <c r="AD474" s="214" t="str">
        <f t="shared" si="95"/>
        <v/>
      </c>
      <c r="AE474" s="213" t="str">
        <f t="shared" si="96"/>
        <v/>
      </c>
      <c r="AF474" s="214" t="str">
        <f t="shared" si="97"/>
        <v/>
      </c>
    </row>
    <row r="475" spans="1:32" ht="15.75" x14ac:dyDescent="0.2">
      <c r="A475" s="206" t="str">
        <f t="shared" si="86"/>
        <v/>
      </c>
      <c r="B475" s="88" t="str">
        <f>IF($F475="","",'הזנה לתנאי סף'!C475)</f>
        <v/>
      </c>
      <c r="C475" s="88" t="str">
        <f>IF($F475="","",'הזנה לתנאי סף'!D475)</f>
        <v/>
      </c>
      <c r="D475" s="88" t="str">
        <f>IF($F475="","",'הזנה לתנאי סף'!E475)</f>
        <v/>
      </c>
      <c r="E475" s="88" t="str">
        <f>IF($F475="","",'הזנה לתנאי סף'!F475)</f>
        <v/>
      </c>
      <c r="F475" s="88" t="str">
        <f>IF(OR('הזנה לתנאי סף'!G475="",'הזנה לתנאי סף'!BL475&lt;&gt;1,'הזנה לתנאי סף'!Q475&lt;&gt;1),"",'הזנה לתנאי סף'!G475)</f>
        <v/>
      </c>
      <c r="G475" s="88" t="str">
        <f>IF($F475="","",'הזנה לתנאי סף'!H475)</f>
        <v/>
      </c>
      <c r="H475" s="88" t="str">
        <f>IF($F475="","",'הזנה לתנאי סף'!I475)</f>
        <v/>
      </c>
      <c r="I475" s="213" t="str">
        <f>IF($F475="","",'תחום תמיכה א'!$I475)</f>
        <v/>
      </c>
      <c r="J475" s="213" t="str">
        <f>IF($F475="","",'תחום תמיכה א'!$J475)</f>
        <v/>
      </c>
      <c r="K475" s="213" t="str">
        <f>IF($F475="","",'תחום תמיכה א'!$K475)</f>
        <v/>
      </c>
      <c r="L475" s="213" t="str">
        <f t="shared" si="87"/>
        <v/>
      </c>
      <c r="M475" s="214" t="str">
        <f t="shared" si="88"/>
        <v/>
      </c>
      <c r="N475" s="214" t="str">
        <f t="shared" si="89"/>
        <v/>
      </c>
      <c r="O475" s="213" t="str">
        <f t="shared" si="90"/>
        <v/>
      </c>
      <c r="P475" s="213" t="str">
        <f>IF($F475="","",'פרמטרים לקריטריונים'!$C$59*O475)</f>
        <v/>
      </c>
      <c r="Q475" s="214" t="str">
        <f t="shared" si="91"/>
        <v/>
      </c>
      <c r="R475" s="213" t="str">
        <f t="shared" si="92"/>
        <v/>
      </c>
      <c r="S475" s="213" t="str">
        <f>IF($F475="","",'הזנה לתנאי סף'!N475)</f>
        <v/>
      </c>
      <c r="T475" s="213" t="str">
        <f>IF($F475="","",'הזנה לתנאי סף'!O475)</f>
        <v/>
      </c>
      <c r="U475" s="213" t="str">
        <f>IF($F475="","",'תחום תמיכה א'!W475)</f>
        <v/>
      </c>
      <c r="V475" s="213" t="str">
        <f>IF($F475="","",'תחום תמיכה א'!X475)</f>
        <v/>
      </c>
      <c r="W475" s="213" t="str">
        <f>IF($F475="","",'תחום תמיכה א'!Y475)</f>
        <v/>
      </c>
      <c r="X475" s="231" t="str">
        <f>IF($F475="","",'תחום תמיכה א'!Z475)</f>
        <v/>
      </c>
      <c r="Y475" s="213" t="str">
        <f>IF($F475="","",'תחום תמיכה א'!AA475)</f>
        <v/>
      </c>
      <c r="Z475" s="214" t="str">
        <f>IF($F475="","",'תחום תמיכה א'!AB475)</f>
        <v/>
      </c>
      <c r="AA475" s="225" t="str">
        <f>IF($F475="","",'תחום תמיכה א'!AC475)</f>
        <v/>
      </c>
      <c r="AB475" s="213" t="str">
        <f t="shared" si="93"/>
        <v/>
      </c>
      <c r="AC475" s="213" t="str">
        <f t="shared" si="94"/>
        <v/>
      </c>
      <c r="AD475" s="214" t="str">
        <f t="shared" si="95"/>
        <v/>
      </c>
      <c r="AE475" s="213" t="str">
        <f t="shared" si="96"/>
        <v/>
      </c>
      <c r="AF475" s="214" t="str">
        <f t="shared" si="97"/>
        <v/>
      </c>
    </row>
    <row r="476" spans="1:32" ht="15.75" x14ac:dyDescent="0.2">
      <c r="A476" s="206" t="str">
        <f t="shared" si="86"/>
        <v/>
      </c>
      <c r="B476" s="88" t="str">
        <f>IF($F476="","",'הזנה לתנאי סף'!C476)</f>
        <v/>
      </c>
      <c r="C476" s="88" t="str">
        <f>IF($F476="","",'הזנה לתנאי סף'!D476)</f>
        <v/>
      </c>
      <c r="D476" s="88" t="str">
        <f>IF($F476="","",'הזנה לתנאי סף'!E476)</f>
        <v/>
      </c>
      <c r="E476" s="88" t="str">
        <f>IF($F476="","",'הזנה לתנאי סף'!F476)</f>
        <v/>
      </c>
      <c r="F476" s="88" t="str">
        <f>IF(OR('הזנה לתנאי סף'!G476="",'הזנה לתנאי סף'!BL476&lt;&gt;1,'הזנה לתנאי סף'!Q476&lt;&gt;1),"",'הזנה לתנאי סף'!G476)</f>
        <v/>
      </c>
      <c r="G476" s="88" t="str">
        <f>IF($F476="","",'הזנה לתנאי סף'!H476)</f>
        <v/>
      </c>
      <c r="H476" s="88" t="str">
        <f>IF($F476="","",'הזנה לתנאי סף'!I476)</f>
        <v/>
      </c>
      <c r="I476" s="213" t="str">
        <f>IF($F476="","",'תחום תמיכה א'!$I476)</f>
        <v/>
      </c>
      <c r="J476" s="213" t="str">
        <f>IF($F476="","",'תחום תמיכה א'!$J476)</f>
        <v/>
      </c>
      <c r="K476" s="213" t="str">
        <f>IF($F476="","",'תחום תמיכה א'!$K476)</f>
        <v/>
      </c>
      <c r="L476" s="213" t="str">
        <f t="shared" si="87"/>
        <v/>
      </c>
      <c r="M476" s="214" t="str">
        <f t="shared" si="88"/>
        <v/>
      </c>
      <c r="N476" s="214" t="str">
        <f t="shared" si="89"/>
        <v/>
      </c>
      <c r="O476" s="213" t="str">
        <f t="shared" si="90"/>
        <v/>
      </c>
      <c r="P476" s="213" t="str">
        <f>IF($F476="","",'פרמטרים לקריטריונים'!$C$59*O476)</f>
        <v/>
      </c>
      <c r="Q476" s="214" t="str">
        <f t="shared" si="91"/>
        <v/>
      </c>
      <c r="R476" s="213" t="str">
        <f t="shared" si="92"/>
        <v/>
      </c>
      <c r="S476" s="213" t="str">
        <f>IF($F476="","",'הזנה לתנאי סף'!N476)</f>
        <v/>
      </c>
      <c r="T476" s="213" t="str">
        <f>IF($F476="","",'הזנה לתנאי סף'!O476)</f>
        <v/>
      </c>
      <c r="U476" s="213" t="str">
        <f>IF($F476="","",'תחום תמיכה א'!W476)</f>
        <v/>
      </c>
      <c r="V476" s="213" t="str">
        <f>IF($F476="","",'תחום תמיכה א'!X476)</f>
        <v/>
      </c>
      <c r="W476" s="213" t="str">
        <f>IF($F476="","",'תחום תמיכה א'!Y476)</f>
        <v/>
      </c>
      <c r="X476" s="231" t="str">
        <f>IF($F476="","",'תחום תמיכה א'!Z476)</f>
        <v/>
      </c>
      <c r="Y476" s="213" t="str">
        <f>IF($F476="","",'תחום תמיכה א'!AA476)</f>
        <v/>
      </c>
      <c r="Z476" s="214" t="str">
        <f>IF($F476="","",'תחום תמיכה א'!AB476)</f>
        <v/>
      </c>
      <c r="AA476" s="225" t="str">
        <f>IF($F476="","",'תחום תמיכה א'!AC476)</f>
        <v/>
      </c>
      <c r="AB476" s="213" t="str">
        <f t="shared" si="93"/>
        <v/>
      </c>
      <c r="AC476" s="213" t="str">
        <f t="shared" si="94"/>
        <v/>
      </c>
      <c r="AD476" s="214" t="str">
        <f t="shared" si="95"/>
        <v/>
      </c>
      <c r="AE476" s="213" t="str">
        <f t="shared" si="96"/>
        <v/>
      </c>
      <c r="AF476" s="214" t="str">
        <f t="shared" si="97"/>
        <v/>
      </c>
    </row>
    <row r="477" spans="1:32" ht="15.75" x14ac:dyDescent="0.2">
      <c r="A477" s="206" t="str">
        <f t="shared" si="86"/>
        <v/>
      </c>
      <c r="B477" s="88" t="str">
        <f>IF($F477="","",'הזנה לתנאי סף'!C477)</f>
        <v/>
      </c>
      <c r="C477" s="88" t="str">
        <f>IF($F477="","",'הזנה לתנאי סף'!D477)</f>
        <v/>
      </c>
      <c r="D477" s="88" t="str">
        <f>IF($F477="","",'הזנה לתנאי סף'!E477)</f>
        <v/>
      </c>
      <c r="E477" s="88" t="str">
        <f>IF($F477="","",'הזנה לתנאי סף'!F477)</f>
        <v/>
      </c>
      <c r="F477" s="88" t="str">
        <f>IF(OR('הזנה לתנאי סף'!G477="",'הזנה לתנאי סף'!BL477&lt;&gt;1,'הזנה לתנאי סף'!Q477&lt;&gt;1),"",'הזנה לתנאי סף'!G477)</f>
        <v/>
      </c>
      <c r="G477" s="88" t="str">
        <f>IF($F477="","",'הזנה לתנאי סף'!H477)</f>
        <v/>
      </c>
      <c r="H477" s="88" t="str">
        <f>IF($F477="","",'הזנה לתנאי סף'!I477)</f>
        <v/>
      </c>
      <c r="I477" s="213" t="str">
        <f>IF($F477="","",'תחום תמיכה א'!$I477)</f>
        <v/>
      </c>
      <c r="J477" s="213" t="str">
        <f>IF($F477="","",'תחום תמיכה א'!$J477)</f>
        <v/>
      </c>
      <c r="K477" s="213" t="str">
        <f>IF($F477="","",'תחום תמיכה א'!$K477)</f>
        <v/>
      </c>
      <c r="L477" s="213" t="str">
        <f t="shared" si="87"/>
        <v/>
      </c>
      <c r="M477" s="214" t="str">
        <f t="shared" si="88"/>
        <v/>
      </c>
      <c r="N477" s="214" t="str">
        <f t="shared" si="89"/>
        <v/>
      </c>
      <c r="O477" s="213" t="str">
        <f t="shared" si="90"/>
        <v/>
      </c>
      <c r="P477" s="213" t="str">
        <f>IF($F477="","",'פרמטרים לקריטריונים'!$C$59*O477)</f>
        <v/>
      </c>
      <c r="Q477" s="214" t="str">
        <f t="shared" si="91"/>
        <v/>
      </c>
      <c r="R477" s="213" t="str">
        <f t="shared" si="92"/>
        <v/>
      </c>
      <c r="S477" s="213" t="str">
        <f>IF($F477="","",'הזנה לתנאי סף'!N477)</f>
        <v/>
      </c>
      <c r="T477" s="213" t="str">
        <f>IF($F477="","",'הזנה לתנאי סף'!O477)</f>
        <v/>
      </c>
      <c r="U477" s="213" t="str">
        <f>IF($F477="","",'תחום תמיכה א'!W477)</f>
        <v/>
      </c>
      <c r="V477" s="213" t="str">
        <f>IF($F477="","",'תחום תמיכה א'!X477)</f>
        <v/>
      </c>
      <c r="W477" s="213" t="str">
        <f>IF($F477="","",'תחום תמיכה א'!Y477)</f>
        <v/>
      </c>
      <c r="X477" s="231" t="str">
        <f>IF($F477="","",'תחום תמיכה א'!Z477)</f>
        <v/>
      </c>
      <c r="Y477" s="213" t="str">
        <f>IF($F477="","",'תחום תמיכה א'!AA477)</f>
        <v/>
      </c>
      <c r="Z477" s="214" t="str">
        <f>IF($F477="","",'תחום תמיכה א'!AB477)</f>
        <v/>
      </c>
      <c r="AA477" s="225" t="str">
        <f>IF($F477="","",'תחום תמיכה א'!AC477)</f>
        <v/>
      </c>
      <c r="AB477" s="213" t="str">
        <f t="shared" si="93"/>
        <v/>
      </c>
      <c r="AC477" s="213" t="str">
        <f t="shared" si="94"/>
        <v/>
      </c>
      <c r="AD477" s="214" t="str">
        <f t="shared" si="95"/>
        <v/>
      </c>
      <c r="AE477" s="213" t="str">
        <f t="shared" si="96"/>
        <v/>
      </c>
      <c r="AF477" s="214" t="str">
        <f t="shared" si="97"/>
        <v/>
      </c>
    </row>
    <row r="478" spans="1:32" ht="15.75" x14ac:dyDescent="0.2">
      <c r="A478" s="206" t="str">
        <f t="shared" si="86"/>
        <v/>
      </c>
      <c r="B478" s="88" t="str">
        <f>IF($F478="","",'הזנה לתנאי סף'!C478)</f>
        <v/>
      </c>
      <c r="C478" s="88" t="str">
        <f>IF($F478="","",'הזנה לתנאי סף'!D478)</f>
        <v/>
      </c>
      <c r="D478" s="88" t="str">
        <f>IF($F478="","",'הזנה לתנאי סף'!E478)</f>
        <v/>
      </c>
      <c r="E478" s="88" t="str">
        <f>IF($F478="","",'הזנה לתנאי סף'!F478)</f>
        <v/>
      </c>
      <c r="F478" s="88" t="str">
        <f>IF(OR('הזנה לתנאי סף'!G478="",'הזנה לתנאי סף'!BL478&lt;&gt;1,'הזנה לתנאי סף'!Q478&lt;&gt;1),"",'הזנה לתנאי סף'!G478)</f>
        <v/>
      </c>
      <c r="G478" s="88" t="str">
        <f>IF($F478="","",'הזנה לתנאי סף'!H478)</f>
        <v/>
      </c>
      <c r="H478" s="88" t="str">
        <f>IF($F478="","",'הזנה לתנאי סף'!I478)</f>
        <v/>
      </c>
      <c r="I478" s="213" t="str">
        <f>IF($F478="","",'תחום תמיכה א'!$I478)</f>
        <v/>
      </c>
      <c r="J478" s="213" t="str">
        <f>IF($F478="","",'תחום תמיכה א'!$J478)</f>
        <v/>
      </c>
      <c r="K478" s="213" t="str">
        <f>IF($F478="","",'תחום תמיכה א'!$K478)</f>
        <v/>
      </c>
      <c r="L478" s="213" t="str">
        <f t="shared" si="87"/>
        <v/>
      </c>
      <c r="M478" s="214" t="str">
        <f t="shared" si="88"/>
        <v/>
      </c>
      <c r="N478" s="214" t="str">
        <f t="shared" si="89"/>
        <v/>
      </c>
      <c r="O478" s="213" t="str">
        <f t="shared" si="90"/>
        <v/>
      </c>
      <c r="P478" s="213" t="str">
        <f>IF($F478="","",'פרמטרים לקריטריונים'!$C$59*O478)</f>
        <v/>
      </c>
      <c r="Q478" s="214" t="str">
        <f t="shared" si="91"/>
        <v/>
      </c>
      <c r="R478" s="213" t="str">
        <f t="shared" si="92"/>
        <v/>
      </c>
      <c r="S478" s="213" t="str">
        <f>IF($F478="","",'הזנה לתנאי סף'!N478)</f>
        <v/>
      </c>
      <c r="T478" s="213" t="str">
        <f>IF($F478="","",'הזנה לתנאי סף'!O478)</f>
        <v/>
      </c>
      <c r="U478" s="213" t="str">
        <f>IF($F478="","",'תחום תמיכה א'!W478)</f>
        <v/>
      </c>
      <c r="V478" s="213" t="str">
        <f>IF($F478="","",'תחום תמיכה א'!X478)</f>
        <v/>
      </c>
      <c r="W478" s="213" t="str">
        <f>IF($F478="","",'תחום תמיכה א'!Y478)</f>
        <v/>
      </c>
      <c r="X478" s="231" t="str">
        <f>IF($F478="","",'תחום תמיכה א'!Z478)</f>
        <v/>
      </c>
      <c r="Y478" s="213" t="str">
        <f>IF($F478="","",'תחום תמיכה א'!AA478)</f>
        <v/>
      </c>
      <c r="Z478" s="214" t="str">
        <f>IF($F478="","",'תחום תמיכה א'!AB478)</f>
        <v/>
      </c>
      <c r="AA478" s="225" t="str">
        <f>IF($F478="","",'תחום תמיכה א'!AC478)</f>
        <v/>
      </c>
      <c r="AB478" s="213" t="str">
        <f t="shared" si="93"/>
        <v/>
      </c>
      <c r="AC478" s="213" t="str">
        <f t="shared" si="94"/>
        <v/>
      </c>
      <c r="AD478" s="214" t="str">
        <f t="shared" si="95"/>
        <v/>
      </c>
      <c r="AE478" s="213" t="str">
        <f t="shared" si="96"/>
        <v/>
      </c>
      <c r="AF478" s="214" t="str">
        <f t="shared" si="97"/>
        <v/>
      </c>
    </row>
    <row r="479" spans="1:32" ht="15.75" x14ac:dyDescent="0.2">
      <c r="A479" s="206" t="str">
        <f t="shared" si="86"/>
        <v/>
      </c>
      <c r="B479" s="88" t="str">
        <f>IF($F479="","",'הזנה לתנאי סף'!C479)</f>
        <v/>
      </c>
      <c r="C479" s="88" t="str">
        <f>IF($F479="","",'הזנה לתנאי סף'!D479)</f>
        <v/>
      </c>
      <c r="D479" s="88" t="str">
        <f>IF($F479="","",'הזנה לתנאי סף'!E479)</f>
        <v/>
      </c>
      <c r="E479" s="88" t="str">
        <f>IF($F479="","",'הזנה לתנאי סף'!F479)</f>
        <v/>
      </c>
      <c r="F479" s="88" t="str">
        <f>IF(OR('הזנה לתנאי סף'!G479="",'הזנה לתנאי סף'!BL479&lt;&gt;1,'הזנה לתנאי סף'!Q479&lt;&gt;1),"",'הזנה לתנאי סף'!G479)</f>
        <v/>
      </c>
      <c r="G479" s="88" t="str">
        <f>IF($F479="","",'הזנה לתנאי סף'!H479)</f>
        <v/>
      </c>
      <c r="H479" s="88" t="str">
        <f>IF($F479="","",'הזנה לתנאי סף'!I479)</f>
        <v/>
      </c>
      <c r="I479" s="213" t="str">
        <f>IF($F479="","",'תחום תמיכה א'!$I479)</f>
        <v/>
      </c>
      <c r="J479" s="213" t="str">
        <f>IF($F479="","",'תחום תמיכה א'!$J479)</f>
        <v/>
      </c>
      <c r="K479" s="213" t="str">
        <f>IF($F479="","",'תחום תמיכה א'!$K479)</f>
        <v/>
      </c>
      <c r="L479" s="213" t="str">
        <f t="shared" si="87"/>
        <v/>
      </c>
      <c r="M479" s="214" t="str">
        <f t="shared" si="88"/>
        <v/>
      </c>
      <c r="N479" s="214" t="str">
        <f t="shared" si="89"/>
        <v/>
      </c>
      <c r="O479" s="213" t="str">
        <f t="shared" si="90"/>
        <v/>
      </c>
      <c r="P479" s="213" t="str">
        <f>IF($F479="","",'פרמטרים לקריטריונים'!$C$59*O479)</f>
        <v/>
      </c>
      <c r="Q479" s="214" t="str">
        <f t="shared" si="91"/>
        <v/>
      </c>
      <c r="R479" s="213" t="str">
        <f t="shared" si="92"/>
        <v/>
      </c>
      <c r="S479" s="213" t="str">
        <f>IF($F479="","",'הזנה לתנאי סף'!N479)</f>
        <v/>
      </c>
      <c r="T479" s="213" t="str">
        <f>IF($F479="","",'הזנה לתנאי סף'!O479)</f>
        <v/>
      </c>
      <c r="U479" s="213" t="str">
        <f>IF($F479="","",'תחום תמיכה א'!W479)</f>
        <v/>
      </c>
      <c r="V479" s="213" t="str">
        <f>IF($F479="","",'תחום תמיכה א'!X479)</f>
        <v/>
      </c>
      <c r="W479" s="213" t="str">
        <f>IF($F479="","",'תחום תמיכה א'!Y479)</f>
        <v/>
      </c>
      <c r="X479" s="231" t="str">
        <f>IF($F479="","",'תחום תמיכה א'!Z479)</f>
        <v/>
      </c>
      <c r="Y479" s="213" t="str">
        <f>IF($F479="","",'תחום תמיכה א'!AA479)</f>
        <v/>
      </c>
      <c r="Z479" s="214" t="str">
        <f>IF($F479="","",'תחום תמיכה א'!AB479)</f>
        <v/>
      </c>
      <c r="AA479" s="225" t="str">
        <f>IF($F479="","",'תחום תמיכה א'!AC479)</f>
        <v/>
      </c>
      <c r="AB479" s="213" t="str">
        <f t="shared" si="93"/>
        <v/>
      </c>
      <c r="AC479" s="213" t="str">
        <f t="shared" si="94"/>
        <v/>
      </c>
      <c r="AD479" s="214" t="str">
        <f t="shared" si="95"/>
        <v/>
      </c>
      <c r="AE479" s="213" t="str">
        <f t="shared" si="96"/>
        <v/>
      </c>
      <c r="AF479" s="214" t="str">
        <f t="shared" si="97"/>
        <v/>
      </c>
    </row>
    <row r="480" spans="1:32" ht="15.75" x14ac:dyDescent="0.2">
      <c r="A480" s="206" t="str">
        <f t="shared" si="86"/>
        <v/>
      </c>
      <c r="B480" s="88" t="str">
        <f>IF($F480="","",'הזנה לתנאי סף'!C480)</f>
        <v/>
      </c>
      <c r="C480" s="88" t="str">
        <f>IF($F480="","",'הזנה לתנאי סף'!D480)</f>
        <v/>
      </c>
      <c r="D480" s="88" t="str">
        <f>IF($F480="","",'הזנה לתנאי סף'!E480)</f>
        <v/>
      </c>
      <c r="E480" s="88" t="str">
        <f>IF($F480="","",'הזנה לתנאי סף'!F480)</f>
        <v/>
      </c>
      <c r="F480" s="88" t="str">
        <f>IF(OR('הזנה לתנאי סף'!G480="",'הזנה לתנאי סף'!BL480&lt;&gt;1,'הזנה לתנאי סף'!Q480&lt;&gt;1),"",'הזנה לתנאי סף'!G480)</f>
        <v/>
      </c>
      <c r="G480" s="88" t="str">
        <f>IF($F480="","",'הזנה לתנאי סף'!H480)</f>
        <v/>
      </c>
      <c r="H480" s="88" t="str">
        <f>IF($F480="","",'הזנה לתנאי סף'!I480)</f>
        <v/>
      </c>
      <c r="I480" s="213" t="str">
        <f>IF($F480="","",'תחום תמיכה א'!$I480)</f>
        <v/>
      </c>
      <c r="J480" s="213" t="str">
        <f>IF($F480="","",'תחום תמיכה א'!$J480)</f>
        <v/>
      </c>
      <c r="K480" s="213" t="str">
        <f>IF($F480="","",'תחום תמיכה א'!$K480)</f>
        <v/>
      </c>
      <c r="L480" s="213" t="str">
        <f t="shared" si="87"/>
        <v/>
      </c>
      <c r="M480" s="214" t="str">
        <f t="shared" si="88"/>
        <v/>
      </c>
      <c r="N480" s="214" t="str">
        <f t="shared" si="89"/>
        <v/>
      </c>
      <c r="O480" s="213" t="str">
        <f t="shared" si="90"/>
        <v/>
      </c>
      <c r="P480" s="213" t="str">
        <f>IF($F480="","",'פרמטרים לקריטריונים'!$C$59*O480)</f>
        <v/>
      </c>
      <c r="Q480" s="214" t="str">
        <f t="shared" si="91"/>
        <v/>
      </c>
      <c r="R480" s="213" t="str">
        <f t="shared" si="92"/>
        <v/>
      </c>
      <c r="S480" s="213" t="str">
        <f>IF($F480="","",'הזנה לתנאי סף'!N480)</f>
        <v/>
      </c>
      <c r="T480" s="213" t="str">
        <f>IF($F480="","",'הזנה לתנאי סף'!O480)</f>
        <v/>
      </c>
      <c r="U480" s="213" t="str">
        <f>IF($F480="","",'תחום תמיכה א'!W480)</f>
        <v/>
      </c>
      <c r="V480" s="213" t="str">
        <f>IF($F480="","",'תחום תמיכה א'!X480)</f>
        <v/>
      </c>
      <c r="W480" s="213" t="str">
        <f>IF($F480="","",'תחום תמיכה א'!Y480)</f>
        <v/>
      </c>
      <c r="X480" s="231" t="str">
        <f>IF($F480="","",'תחום תמיכה א'!Z480)</f>
        <v/>
      </c>
      <c r="Y480" s="213" t="str">
        <f>IF($F480="","",'תחום תמיכה א'!AA480)</f>
        <v/>
      </c>
      <c r="Z480" s="214" t="str">
        <f>IF($F480="","",'תחום תמיכה א'!AB480)</f>
        <v/>
      </c>
      <c r="AA480" s="225" t="str">
        <f>IF($F480="","",'תחום תמיכה א'!AC480)</f>
        <v/>
      </c>
      <c r="AB480" s="213" t="str">
        <f t="shared" si="93"/>
        <v/>
      </c>
      <c r="AC480" s="213" t="str">
        <f t="shared" si="94"/>
        <v/>
      </c>
      <c r="AD480" s="214" t="str">
        <f t="shared" si="95"/>
        <v/>
      </c>
      <c r="AE480" s="213" t="str">
        <f t="shared" si="96"/>
        <v/>
      </c>
      <c r="AF480" s="214" t="str">
        <f t="shared" si="97"/>
        <v/>
      </c>
    </row>
    <row r="481" spans="1:32" ht="15.75" x14ac:dyDescent="0.2">
      <c r="A481" s="206" t="str">
        <f t="shared" si="86"/>
        <v/>
      </c>
      <c r="B481" s="88" t="str">
        <f>IF($F481="","",'הזנה לתנאי סף'!C481)</f>
        <v/>
      </c>
      <c r="C481" s="88" t="str">
        <f>IF($F481="","",'הזנה לתנאי סף'!D481)</f>
        <v/>
      </c>
      <c r="D481" s="88" t="str">
        <f>IF($F481="","",'הזנה לתנאי סף'!E481)</f>
        <v/>
      </c>
      <c r="E481" s="88" t="str">
        <f>IF($F481="","",'הזנה לתנאי סף'!F481)</f>
        <v/>
      </c>
      <c r="F481" s="88" t="str">
        <f>IF(OR('הזנה לתנאי סף'!G481="",'הזנה לתנאי סף'!BL481&lt;&gt;1,'הזנה לתנאי סף'!Q481&lt;&gt;1),"",'הזנה לתנאי סף'!G481)</f>
        <v/>
      </c>
      <c r="G481" s="88" t="str">
        <f>IF($F481="","",'הזנה לתנאי סף'!H481)</f>
        <v/>
      </c>
      <c r="H481" s="88" t="str">
        <f>IF($F481="","",'הזנה לתנאי סף'!I481)</f>
        <v/>
      </c>
      <c r="I481" s="213" t="str">
        <f>IF($F481="","",'תחום תמיכה א'!$I481)</f>
        <v/>
      </c>
      <c r="J481" s="213" t="str">
        <f>IF($F481="","",'תחום תמיכה א'!$J481)</f>
        <v/>
      </c>
      <c r="K481" s="213" t="str">
        <f>IF($F481="","",'תחום תמיכה א'!$K481)</f>
        <v/>
      </c>
      <c r="L481" s="213" t="str">
        <f t="shared" si="87"/>
        <v/>
      </c>
      <c r="M481" s="214" t="str">
        <f t="shared" si="88"/>
        <v/>
      </c>
      <c r="N481" s="214" t="str">
        <f t="shared" si="89"/>
        <v/>
      </c>
      <c r="O481" s="213" t="str">
        <f t="shared" si="90"/>
        <v/>
      </c>
      <c r="P481" s="213" t="str">
        <f>IF($F481="","",'פרמטרים לקריטריונים'!$C$59*O481)</f>
        <v/>
      </c>
      <c r="Q481" s="214" t="str">
        <f t="shared" si="91"/>
        <v/>
      </c>
      <c r="R481" s="213" t="str">
        <f t="shared" si="92"/>
        <v/>
      </c>
      <c r="S481" s="213" t="str">
        <f>IF($F481="","",'הזנה לתנאי סף'!N481)</f>
        <v/>
      </c>
      <c r="T481" s="213" t="str">
        <f>IF($F481="","",'הזנה לתנאי סף'!O481)</f>
        <v/>
      </c>
      <c r="U481" s="213" t="str">
        <f>IF($F481="","",'תחום תמיכה א'!W481)</f>
        <v/>
      </c>
      <c r="V481" s="213" t="str">
        <f>IF($F481="","",'תחום תמיכה א'!X481)</f>
        <v/>
      </c>
      <c r="W481" s="213" t="str">
        <f>IF($F481="","",'תחום תמיכה א'!Y481)</f>
        <v/>
      </c>
      <c r="X481" s="231" t="str">
        <f>IF($F481="","",'תחום תמיכה א'!Z481)</f>
        <v/>
      </c>
      <c r="Y481" s="213" t="str">
        <f>IF($F481="","",'תחום תמיכה א'!AA481)</f>
        <v/>
      </c>
      <c r="Z481" s="214" t="str">
        <f>IF($F481="","",'תחום תמיכה א'!AB481)</f>
        <v/>
      </c>
      <c r="AA481" s="225" t="str">
        <f>IF($F481="","",'תחום תמיכה א'!AC481)</f>
        <v/>
      </c>
      <c r="AB481" s="213" t="str">
        <f t="shared" si="93"/>
        <v/>
      </c>
      <c r="AC481" s="213" t="str">
        <f t="shared" si="94"/>
        <v/>
      </c>
      <c r="AD481" s="214" t="str">
        <f t="shared" si="95"/>
        <v/>
      </c>
      <c r="AE481" s="213" t="str">
        <f t="shared" si="96"/>
        <v/>
      </c>
      <c r="AF481" s="214" t="str">
        <f t="shared" si="97"/>
        <v/>
      </c>
    </row>
    <row r="482" spans="1:32" ht="15.75" x14ac:dyDescent="0.2">
      <c r="A482" s="206" t="str">
        <f t="shared" si="86"/>
        <v/>
      </c>
      <c r="B482" s="88" t="str">
        <f>IF($F482="","",'הזנה לתנאי סף'!C482)</f>
        <v/>
      </c>
      <c r="C482" s="88" t="str">
        <f>IF($F482="","",'הזנה לתנאי סף'!D482)</f>
        <v/>
      </c>
      <c r="D482" s="88" t="str">
        <f>IF($F482="","",'הזנה לתנאי סף'!E482)</f>
        <v/>
      </c>
      <c r="E482" s="88" t="str">
        <f>IF($F482="","",'הזנה לתנאי סף'!F482)</f>
        <v/>
      </c>
      <c r="F482" s="88" t="str">
        <f>IF(OR('הזנה לתנאי סף'!G482="",'הזנה לתנאי סף'!BL482&lt;&gt;1,'הזנה לתנאי סף'!Q482&lt;&gt;1),"",'הזנה לתנאי סף'!G482)</f>
        <v/>
      </c>
      <c r="G482" s="88" t="str">
        <f>IF($F482="","",'הזנה לתנאי סף'!H482)</f>
        <v/>
      </c>
      <c r="H482" s="88" t="str">
        <f>IF($F482="","",'הזנה לתנאי סף'!I482)</f>
        <v/>
      </c>
      <c r="I482" s="213" t="str">
        <f>IF($F482="","",'תחום תמיכה א'!$I482)</f>
        <v/>
      </c>
      <c r="J482" s="213" t="str">
        <f>IF($F482="","",'תחום תמיכה א'!$J482)</f>
        <v/>
      </c>
      <c r="K482" s="213" t="str">
        <f>IF($F482="","",'תחום תמיכה א'!$K482)</f>
        <v/>
      </c>
      <c r="L482" s="213" t="str">
        <f t="shared" si="87"/>
        <v/>
      </c>
      <c r="M482" s="214" t="str">
        <f t="shared" si="88"/>
        <v/>
      </c>
      <c r="N482" s="214" t="str">
        <f t="shared" si="89"/>
        <v/>
      </c>
      <c r="O482" s="213" t="str">
        <f t="shared" si="90"/>
        <v/>
      </c>
      <c r="P482" s="213" t="str">
        <f>IF($F482="","",'פרמטרים לקריטריונים'!$C$59*O482)</f>
        <v/>
      </c>
      <c r="Q482" s="214" t="str">
        <f t="shared" si="91"/>
        <v/>
      </c>
      <c r="R482" s="213" t="str">
        <f t="shared" si="92"/>
        <v/>
      </c>
      <c r="S482" s="213" t="str">
        <f>IF($F482="","",'הזנה לתנאי סף'!N482)</f>
        <v/>
      </c>
      <c r="T482" s="213" t="str">
        <f>IF($F482="","",'הזנה לתנאי סף'!O482)</f>
        <v/>
      </c>
      <c r="U482" s="213" t="str">
        <f>IF($F482="","",'תחום תמיכה א'!W482)</f>
        <v/>
      </c>
      <c r="V482" s="213" t="str">
        <f>IF($F482="","",'תחום תמיכה א'!X482)</f>
        <v/>
      </c>
      <c r="W482" s="213" t="str">
        <f>IF($F482="","",'תחום תמיכה א'!Y482)</f>
        <v/>
      </c>
      <c r="X482" s="231" t="str">
        <f>IF($F482="","",'תחום תמיכה א'!Z482)</f>
        <v/>
      </c>
      <c r="Y482" s="213" t="str">
        <f>IF($F482="","",'תחום תמיכה א'!AA482)</f>
        <v/>
      </c>
      <c r="Z482" s="214" t="str">
        <f>IF($F482="","",'תחום תמיכה א'!AB482)</f>
        <v/>
      </c>
      <c r="AA482" s="225" t="str">
        <f>IF($F482="","",'תחום תמיכה א'!AC482)</f>
        <v/>
      </c>
      <c r="AB482" s="213" t="str">
        <f t="shared" si="93"/>
        <v/>
      </c>
      <c r="AC482" s="213" t="str">
        <f t="shared" si="94"/>
        <v/>
      </c>
      <c r="AD482" s="214" t="str">
        <f t="shared" si="95"/>
        <v/>
      </c>
      <c r="AE482" s="213" t="str">
        <f t="shared" si="96"/>
        <v/>
      </c>
      <c r="AF482" s="214" t="str">
        <f t="shared" si="97"/>
        <v/>
      </c>
    </row>
    <row r="483" spans="1:32" ht="15.75" x14ac:dyDescent="0.2">
      <c r="A483" s="206" t="str">
        <f t="shared" si="86"/>
        <v/>
      </c>
      <c r="B483" s="88" t="str">
        <f>IF($F483="","",'הזנה לתנאי סף'!C483)</f>
        <v/>
      </c>
      <c r="C483" s="88" t="str">
        <f>IF($F483="","",'הזנה לתנאי סף'!D483)</f>
        <v/>
      </c>
      <c r="D483" s="88" t="str">
        <f>IF($F483="","",'הזנה לתנאי סף'!E483)</f>
        <v/>
      </c>
      <c r="E483" s="88" t="str">
        <f>IF($F483="","",'הזנה לתנאי סף'!F483)</f>
        <v/>
      </c>
      <c r="F483" s="88" t="str">
        <f>IF(OR('הזנה לתנאי סף'!G483="",'הזנה לתנאי סף'!BL483&lt;&gt;1,'הזנה לתנאי סף'!Q483&lt;&gt;1),"",'הזנה לתנאי סף'!G483)</f>
        <v/>
      </c>
      <c r="G483" s="88" t="str">
        <f>IF($F483="","",'הזנה לתנאי סף'!H483)</f>
        <v/>
      </c>
      <c r="H483" s="88" t="str">
        <f>IF($F483="","",'הזנה לתנאי סף'!I483)</f>
        <v/>
      </c>
      <c r="I483" s="213" t="str">
        <f>IF($F483="","",'תחום תמיכה א'!$I483)</f>
        <v/>
      </c>
      <c r="J483" s="213" t="str">
        <f>IF($F483="","",'תחום תמיכה א'!$J483)</f>
        <v/>
      </c>
      <c r="K483" s="213" t="str">
        <f>IF($F483="","",'תחום תמיכה א'!$K483)</f>
        <v/>
      </c>
      <c r="L483" s="213" t="str">
        <f t="shared" si="87"/>
        <v/>
      </c>
      <c r="M483" s="214" t="str">
        <f t="shared" si="88"/>
        <v/>
      </c>
      <c r="N483" s="214" t="str">
        <f t="shared" si="89"/>
        <v/>
      </c>
      <c r="O483" s="213" t="str">
        <f t="shared" si="90"/>
        <v/>
      </c>
      <c r="P483" s="213" t="str">
        <f>IF($F483="","",'פרמטרים לקריטריונים'!$C$59*O483)</f>
        <v/>
      </c>
      <c r="Q483" s="214" t="str">
        <f t="shared" si="91"/>
        <v/>
      </c>
      <c r="R483" s="213" t="str">
        <f t="shared" si="92"/>
        <v/>
      </c>
      <c r="S483" s="213" t="str">
        <f>IF($F483="","",'הזנה לתנאי סף'!N483)</f>
        <v/>
      </c>
      <c r="T483" s="213" t="str">
        <f>IF($F483="","",'הזנה לתנאי סף'!O483)</f>
        <v/>
      </c>
      <c r="U483" s="213" t="str">
        <f>IF($F483="","",'תחום תמיכה א'!W483)</f>
        <v/>
      </c>
      <c r="V483" s="213" t="str">
        <f>IF($F483="","",'תחום תמיכה א'!X483)</f>
        <v/>
      </c>
      <c r="W483" s="213" t="str">
        <f>IF($F483="","",'תחום תמיכה א'!Y483)</f>
        <v/>
      </c>
      <c r="X483" s="231" t="str">
        <f>IF($F483="","",'תחום תמיכה א'!Z483)</f>
        <v/>
      </c>
      <c r="Y483" s="213" t="str">
        <f>IF($F483="","",'תחום תמיכה א'!AA483)</f>
        <v/>
      </c>
      <c r="Z483" s="214" t="str">
        <f>IF($F483="","",'תחום תמיכה א'!AB483)</f>
        <v/>
      </c>
      <c r="AA483" s="225" t="str">
        <f>IF($F483="","",'תחום תמיכה א'!AC483)</f>
        <v/>
      </c>
      <c r="AB483" s="213" t="str">
        <f t="shared" si="93"/>
        <v/>
      </c>
      <c r="AC483" s="213" t="str">
        <f t="shared" si="94"/>
        <v/>
      </c>
      <c r="AD483" s="214" t="str">
        <f t="shared" si="95"/>
        <v/>
      </c>
      <c r="AE483" s="213" t="str">
        <f t="shared" si="96"/>
        <v/>
      </c>
      <c r="AF483" s="214" t="str">
        <f t="shared" si="97"/>
        <v/>
      </c>
    </row>
    <row r="484" spans="1:32" ht="15.75" x14ac:dyDescent="0.2">
      <c r="A484" s="206" t="str">
        <f t="shared" si="86"/>
        <v/>
      </c>
      <c r="B484" s="88" t="str">
        <f>IF($F484="","",'הזנה לתנאי סף'!C484)</f>
        <v/>
      </c>
      <c r="C484" s="88" t="str">
        <f>IF($F484="","",'הזנה לתנאי סף'!D484)</f>
        <v/>
      </c>
      <c r="D484" s="88" t="str">
        <f>IF($F484="","",'הזנה לתנאי סף'!E484)</f>
        <v/>
      </c>
      <c r="E484" s="88" t="str">
        <f>IF($F484="","",'הזנה לתנאי סף'!F484)</f>
        <v/>
      </c>
      <c r="F484" s="88" t="str">
        <f>IF(OR('הזנה לתנאי סף'!G484="",'הזנה לתנאי סף'!BL484&lt;&gt;1,'הזנה לתנאי סף'!Q484&lt;&gt;1),"",'הזנה לתנאי סף'!G484)</f>
        <v/>
      </c>
      <c r="G484" s="88" t="str">
        <f>IF($F484="","",'הזנה לתנאי סף'!H484)</f>
        <v/>
      </c>
      <c r="H484" s="88" t="str">
        <f>IF($F484="","",'הזנה לתנאי סף'!I484)</f>
        <v/>
      </c>
      <c r="I484" s="213" t="str">
        <f>IF($F484="","",'תחום תמיכה א'!$I484)</f>
        <v/>
      </c>
      <c r="J484" s="213" t="str">
        <f>IF($F484="","",'תחום תמיכה א'!$J484)</f>
        <v/>
      </c>
      <c r="K484" s="213" t="str">
        <f>IF($F484="","",'תחום תמיכה א'!$K484)</f>
        <v/>
      </c>
      <c r="L484" s="213" t="str">
        <f t="shared" si="87"/>
        <v/>
      </c>
      <c r="M484" s="214" t="str">
        <f t="shared" si="88"/>
        <v/>
      </c>
      <c r="N484" s="214" t="str">
        <f t="shared" si="89"/>
        <v/>
      </c>
      <c r="O484" s="213" t="str">
        <f t="shared" si="90"/>
        <v/>
      </c>
      <c r="P484" s="213" t="str">
        <f>IF($F484="","",'פרמטרים לקריטריונים'!$C$59*O484)</f>
        <v/>
      </c>
      <c r="Q484" s="214" t="str">
        <f t="shared" si="91"/>
        <v/>
      </c>
      <c r="R484" s="213" t="str">
        <f t="shared" si="92"/>
        <v/>
      </c>
      <c r="S484" s="213" t="str">
        <f>IF($F484="","",'הזנה לתנאי סף'!N484)</f>
        <v/>
      </c>
      <c r="T484" s="213" t="str">
        <f>IF($F484="","",'הזנה לתנאי סף'!O484)</f>
        <v/>
      </c>
      <c r="U484" s="213" t="str">
        <f>IF($F484="","",'תחום תמיכה א'!W484)</f>
        <v/>
      </c>
      <c r="V484" s="213" t="str">
        <f>IF($F484="","",'תחום תמיכה א'!X484)</f>
        <v/>
      </c>
      <c r="W484" s="213" t="str">
        <f>IF($F484="","",'תחום תמיכה א'!Y484)</f>
        <v/>
      </c>
      <c r="X484" s="231" t="str">
        <f>IF($F484="","",'תחום תמיכה א'!Z484)</f>
        <v/>
      </c>
      <c r="Y484" s="213" t="str">
        <f>IF($F484="","",'תחום תמיכה א'!AA484)</f>
        <v/>
      </c>
      <c r="Z484" s="214" t="str">
        <f>IF($F484="","",'תחום תמיכה א'!AB484)</f>
        <v/>
      </c>
      <c r="AA484" s="225" t="str">
        <f>IF($F484="","",'תחום תמיכה א'!AC484)</f>
        <v/>
      </c>
      <c r="AB484" s="213" t="str">
        <f t="shared" si="93"/>
        <v/>
      </c>
      <c r="AC484" s="213" t="str">
        <f t="shared" si="94"/>
        <v/>
      </c>
      <c r="AD484" s="214" t="str">
        <f t="shared" si="95"/>
        <v/>
      </c>
      <c r="AE484" s="213" t="str">
        <f t="shared" si="96"/>
        <v/>
      </c>
      <c r="AF484" s="214" t="str">
        <f t="shared" si="97"/>
        <v/>
      </c>
    </row>
    <row r="485" spans="1:32" ht="15.75" x14ac:dyDescent="0.2">
      <c r="A485" s="206" t="str">
        <f t="shared" si="86"/>
        <v/>
      </c>
      <c r="B485" s="88" t="str">
        <f>IF($F485="","",'הזנה לתנאי סף'!C485)</f>
        <v/>
      </c>
      <c r="C485" s="88" t="str">
        <f>IF($F485="","",'הזנה לתנאי סף'!D485)</f>
        <v/>
      </c>
      <c r="D485" s="88" t="str">
        <f>IF($F485="","",'הזנה לתנאי סף'!E485)</f>
        <v/>
      </c>
      <c r="E485" s="88" t="str">
        <f>IF($F485="","",'הזנה לתנאי סף'!F485)</f>
        <v/>
      </c>
      <c r="F485" s="88" t="str">
        <f>IF(OR('הזנה לתנאי סף'!G485="",'הזנה לתנאי סף'!BL485&lt;&gt;1,'הזנה לתנאי סף'!Q485&lt;&gt;1),"",'הזנה לתנאי סף'!G485)</f>
        <v/>
      </c>
      <c r="G485" s="88" t="str">
        <f>IF($F485="","",'הזנה לתנאי סף'!H485)</f>
        <v/>
      </c>
      <c r="H485" s="88" t="str">
        <f>IF($F485="","",'הזנה לתנאי סף'!I485)</f>
        <v/>
      </c>
      <c r="I485" s="213" t="str">
        <f>IF($F485="","",'תחום תמיכה א'!$I485)</f>
        <v/>
      </c>
      <c r="J485" s="213" t="str">
        <f>IF($F485="","",'תחום תמיכה א'!$J485)</f>
        <v/>
      </c>
      <c r="K485" s="213" t="str">
        <f>IF($F485="","",'תחום תמיכה א'!$K485)</f>
        <v/>
      </c>
      <c r="L485" s="213" t="str">
        <f t="shared" si="87"/>
        <v/>
      </c>
      <c r="M485" s="214" t="str">
        <f t="shared" si="88"/>
        <v/>
      </c>
      <c r="N485" s="214" t="str">
        <f t="shared" si="89"/>
        <v/>
      </c>
      <c r="O485" s="213" t="str">
        <f t="shared" si="90"/>
        <v/>
      </c>
      <c r="P485" s="213" t="str">
        <f>IF($F485="","",'פרמטרים לקריטריונים'!$C$59*O485)</f>
        <v/>
      </c>
      <c r="Q485" s="214" t="str">
        <f t="shared" si="91"/>
        <v/>
      </c>
      <c r="R485" s="213" t="str">
        <f t="shared" si="92"/>
        <v/>
      </c>
      <c r="S485" s="213" t="str">
        <f>IF($F485="","",'הזנה לתנאי סף'!N485)</f>
        <v/>
      </c>
      <c r="T485" s="213" t="str">
        <f>IF($F485="","",'הזנה לתנאי סף'!O485)</f>
        <v/>
      </c>
      <c r="U485" s="213" t="str">
        <f>IF($F485="","",'תחום תמיכה א'!W485)</f>
        <v/>
      </c>
      <c r="V485" s="213" t="str">
        <f>IF($F485="","",'תחום תמיכה א'!X485)</f>
        <v/>
      </c>
      <c r="W485" s="213" t="str">
        <f>IF($F485="","",'תחום תמיכה א'!Y485)</f>
        <v/>
      </c>
      <c r="X485" s="231" t="str">
        <f>IF($F485="","",'תחום תמיכה א'!Z485)</f>
        <v/>
      </c>
      <c r="Y485" s="213" t="str">
        <f>IF($F485="","",'תחום תמיכה א'!AA485)</f>
        <v/>
      </c>
      <c r="Z485" s="214" t="str">
        <f>IF($F485="","",'תחום תמיכה א'!AB485)</f>
        <v/>
      </c>
      <c r="AA485" s="225" t="str">
        <f>IF($F485="","",'תחום תמיכה א'!AC485)</f>
        <v/>
      </c>
      <c r="AB485" s="213" t="str">
        <f t="shared" si="93"/>
        <v/>
      </c>
      <c r="AC485" s="213" t="str">
        <f t="shared" si="94"/>
        <v/>
      </c>
      <c r="AD485" s="214" t="str">
        <f t="shared" si="95"/>
        <v/>
      </c>
      <c r="AE485" s="213" t="str">
        <f t="shared" si="96"/>
        <v/>
      </c>
      <c r="AF485" s="214" t="str">
        <f t="shared" si="97"/>
        <v/>
      </c>
    </row>
    <row r="486" spans="1:32" ht="15.75" x14ac:dyDescent="0.2">
      <c r="A486" s="206" t="str">
        <f t="shared" si="86"/>
        <v/>
      </c>
      <c r="B486" s="88" t="str">
        <f>IF($F486="","",'הזנה לתנאי סף'!C486)</f>
        <v/>
      </c>
      <c r="C486" s="88" t="str">
        <f>IF($F486="","",'הזנה לתנאי סף'!D486)</f>
        <v/>
      </c>
      <c r="D486" s="88" t="str">
        <f>IF($F486="","",'הזנה לתנאי סף'!E486)</f>
        <v/>
      </c>
      <c r="E486" s="88" t="str">
        <f>IF($F486="","",'הזנה לתנאי סף'!F486)</f>
        <v/>
      </c>
      <c r="F486" s="88" t="str">
        <f>IF(OR('הזנה לתנאי סף'!G486="",'הזנה לתנאי סף'!BL486&lt;&gt;1,'הזנה לתנאי סף'!Q486&lt;&gt;1),"",'הזנה לתנאי סף'!G486)</f>
        <v/>
      </c>
      <c r="G486" s="88" t="str">
        <f>IF($F486="","",'הזנה לתנאי סף'!H486)</f>
        <v/>
      </c>
      <c r="H486" s="88" t="str">
        <f>IF($F486="","",'הזנה לתנאי סף'!I486)</f>
        <v/>
      </c>
      <c r="I486" s="213" t="str">
        <f>IF($F486="","",'תחום תמיכה א'!$I486)</f>
        <v/>
      </c>
      <c r="J486" s="213" t="str">
        <f>IF($F486="","",'תחום תמיכה א'!$J486)</f>
        <v/>
      </c>
      <c r="K486" s="213" t="str">
        <f>IF($F486="","",'תחום תמיכה א'!$K486)</f>
        <v/>
      </c>
      <c r="L486" s="213" t="str">
        <f t="shared" si="87"/>
        <v/>
      </c>
      <c r="M486" s="214" t="str">
        <f t="shared" si="88"/>
        <v/>
      </c>
      <c r="N486" s="214" t="str">
        <f t="shared" si="89"/>
        <v/>
      </c>
      <c r="O486" s="213" t="str">
        <f t="shared" si="90"/>
        <v/>
      </c>
      <c r="P486" s="213" t="str">
        <f>IF($F486="","",'פרמטרים לקריטריונים'!$C$59*O486)</f>
        <v/>
      </c>
      <c r="Q486" s="214" t="str">
        <f t="shared" si="91"/>
        <v/>
      </c>
      <c r="R486" s="213" t="str">
        <f t="shared" si="92"/>
        <v/>
      </c>
      <c r="S486" s="213" t="str">
        <f>IF($F486="","",'הזנה לתנאי סף'!N486)</f>
        <v/>
      </c>
      <c r="T486" s="213" t="str">
        <f>IF($F486="","",'הזנה לתנאי סף'!O486)</f>
        <v/>
      </c>
      <c r="U486" s="213" t="str">
        <f>IF($F486="","",'תחום תמיכה א'!W486)</f>
        <v/>
      </c>
      <c r="V486" s="213" t="str">
        <f>IF($F486="","",'תחום תמיכה א'!X486)</f>
        <v/>
      </c>
      <c r="W486" s="213" t="str">
        <f>IF($F486="","",'תחום תמיכה א'!Y486)</f>
        <v/>
      </c>
      <c r="X486" s="231" t="str">
        <f>IF($F486="","",'תחום תמיכה א'!Z486)</f>
        <v/>
      </c>
      <c r="Y486" s="213" t="str">
        <f>IF($F486="","",'תחום תמיכה א'!AA486)</f>
        <v/>
      </c>
      <c r="Z486" s="214" t="str">
        <f>IF($F486="","",'תחום תמיכה א'!AB486)</f>
        <v/>
      </c>
      <c r="AA486" s="225" t="str">
        <f>IF($F486="","",'תחום תמיכה א'!AC486)</f>
        <v/>
      </c>
      <c r="AB486" s="213" t="str">
        <f t="shared" si="93"/>
        <v/>
      </c>
      <c r="AC486" s="213" t="str">
        <f t="shared" si="94"/>
        <v/>
      </c>
      <c r="AD486" s="214" t="str">
        <f t="shared" si="95"/>
        <v/>
      </c>
      <c r="AE486" s="213" t="str">
        <f t="shared" si="96"/>
        <v/>
      </c>
      <c r="AF486" s="214" t="str">
        <f t="shared" si="97"/>
        <v/>
      </c>
    </row>
    <row r="487" spans="1:32" ht="15.75" x14ac:dyDescent="0.2">
      <c r="A487" s="206" t="str">
        <f t="shared" si="86"/>
        <v/>
      </c>
      <c r="B487" s="88" t="str">
        <f>IF($F487="","",'הזנה לתנאי סף'!C487)</f>
        <v/>
      </c>
      <c r="C487" s="88" t="str">
        <f>IF($F487="","",'הזנה לתנאי סף'!D487)</f>
        <v/>
      </c>
      <c r="D487" s="88" t="str">
        <f>IF($F487="","",'הזנה לתנאי סף'!E487)</f>
        <v/>
      </c>
      <c r="E487" s="88" t="str">
        <f>IF($F487="","",'הזנה לתנאי סף'!F487)</f>
        <v/>
      </c>
      <c r="F487" s="88" t="str">
        <f>IF(OR('הזנה לתנאי סף'!G487="",'הזנה לתנאי סף'!BL487&lt;&gt;1,'הזנה לתנאי סף'!Q487&lt;&gt;1),"",'הזנה לתנאי סף'!G487)</f>
        <v/>
      </c>
      <c r="G487" s="88" t="str">
        <f>IF($F487="","",'הזנה לתנאי סף'!H487)</f>
        <v/>
      </c>
      <c r="H487" s="88" t="str">
        <f>IF($F487="","",'הזנה לתנאי סף'!I487)</f>
        <v/>
      </c>
      <c r="I487" s="213" t="str">
        <f>IF($F487="","",'תחום תמיכה א'!$I487)</f>
        <v/>
      </c>
      <c r="J487" s="213" t="str">
        <f>IF($F487="","",'תחום תמיכה א'!$J487)</f>
        <v/>
      </c>
      <c r="K487" s="213" t="str">
        <f>IF($F487="","",'תחום תמיכה א'!$K487)</f>
        <v/>
      </c>
      <c r="L487" s="213" t="str">
        <f t="shared" si="87"/>
        <v/>
      </c>
      <c r="M487" s="214" t="str">
        <f t="shared" si="88"/>
        <v/>
      </c>
      <c r="N487" s="214" t="str">
        <f t="shared" si="89"/>
        <v/>
      </c>
      <c r="O487" s="213" t="str">
        <f t="shared" si="90"/>
        <v/>
      </c>
      <c r="P487" s="213" t="str">
        <f>IF($F487="","",'פרמטרים לקריטריונים'!$C$59*O487)</f>
        <v/>
      </c>
      <c r="Q487" s="214" t="str">
        <f t="shared" si="91"/>
        <v/>
      </c>
      <c r="R487" s="213" t="str">
        <f t="shared" si="92"/>
        <v/>
      </c>
      <c r="S487" s="213" t="str">
        <f>IF($F487="","",'הזנה לתנאי סף'!N487)</f>
        <v/>
      </c>
      <c r="T487" s="213" t="str">
        <f>IF($F487="","",'הזנה לתנאי סף'!O487)</f>
        <v/>
      </c>
      <c r="U487" s="213" t="str">
        <f>IF($F487="","",'תחום תמיכה א'!W487)</f>
        <v/>
      </c>
      <c r="V487" s="213" t="str">
        <f>IF($F487="","",'תחום תמיכה א'!X487)</f>
        <v/>
      </c>
      <c r="W487" s="213" t="str">
        <f>IF($F487="","",'תחום תמיכה א'!Y487)</f>
        <v/>
      </c>
      <c r="X487" s="231" t="str">
        <f>IF($F487="","",'תחום תמיכה א'!Z487)</f>
        <v/>
      </c>
      <c r="Y487" s="213" t="str">
        <f>IF($F487="","",'תחום תמיכה א'!AA487)</f>
        <v/>
      </c>
      <c r="Z487" s="214" t="str">
        <f>IF($F487="","",'תחום תמיכה א'!AB487)</f>
        <v/>
      </c>
      <c r="AA487" s="225" t="str">
        <f>IF($F487="","",'תחום תמיכה א'!AC487)</f>
        <v/>
      </c>
      <c r="AB487" s="213" t="str">
        <f t="shared" si="93"/>
        <v/>
      </c>
      <c r="AC487" s="213" t="str">
        <f t="shared" si="94"/>
        <v/>
      </c>
      <c r="AD487" s="214" t="str">
        <f t="shared" si="95"/>
        <v/>
      </c>
      <c r="AE487" s="213" t="str">
        <f t="shared" si="96"/>
        <v/>
      </c>
      <c r="AF487" s="214" t="str">
        <f t="shared" si="97"/>
        <v/>
      </c>
    </row>
    <row r="488" spans="1:32" ht="15.75" x14ac:dyDescent="0.2">
      <c r="A488" s="206" t="str">
        <f t="shared" si="86"/>
        <v/>
      </c>
      <c r="B488" s="88" t="str">
        <f>IF($F488="","",'הזנה לתנאי סף'!C488)</f>
        <v/>
      </c>
      <c r="C488" s="88" t="str">
        <f>IF($F488="","",'הזנה לתנאי סף'!D488)</f>
        <v/>
      </c>
      <c r="D488" s="88" t="str">
        <f>IF($F488="","",'הזנה לתנאי סף'!E488)</f>
        <v/>
      </c>
      <c r="E488" s="88" t="str">
        <f>IF($F488="","",'הזנה לתנאי סף'!F488)</f>
        <v/>
      </c>
      <c r="F488" s="88" t="str">
        <f>IF(OR('הזנה לתנאי סף'!G488="",'הזנה לתנאי סף'!BL488&lt;&gt;1,'הזנה לתנאי סף'!Q488&lt;&gt;1),"",'הזנה לתנאי סף'!G488)</f>
        <v/>
      </c>
      <c r="G488" s="88" t="str">
        <f>IF($F488="","",'הזנה לתנאי סף'!H488)</f>
        <v/>
      </c>
      <c r="H488" s="88" t="str">
        <f>IF($F488="","",'הזנה לתנאי סף'!I488)</f>
        <v/>
      </c>
      <c r="I488" s="213" t="str">
        <f>IF($F488="","",'תחום תמיכה א'!$I488)</f>
        <v/>
      </c>
      <c r="J488" s="213" t="str">
        <f>IF($F488="","",'תחום תמיכה א'!$J488)</f>
        <v/>
      </c>
      <c r="K488" s="213" t="str">
        <f>IF($F488="","",'תחום תמיכה א'!$K488)</f>
        <v/>
      </c>
      <c r="L488" s="213" t="str">
        <f t="shared" si="87"/>
        <v/>
      </c>
      <c r="M488" s="214" t="str">
        <f t="shared" si="88"/>
        <v/>
      </c>
      <c r="N488" s="214" t="str">
        <f t="shared" si="89"/>
        <v/>
      </c>
      <c r="O488" s="213" t="str">
        <f t="shared" si="90"/>
        <v/>
      </c>
      <c r="P488" s="213" t="str">
        <f>IF($F488="","",'פרמטרים לקריטריונים'!$C$59*O488)</f>
        <v/>
      </c>
      <c r="Q488" s="214" t="str">
        <f t="shared" si="91"/>
        <v/>
      </c>
      <c r="R488" s="213" t="str">
        <f t="shared" si="92"/>
        <v/>
      </c>
      <c r="S488" s="213" t="str">
        <f>IF($F488="","",'הזנה לתנאי סף'!N488)</f>
        <v/>
      </c>
      <c r="T488" s="213" t="str">
        <f>IF($F488="","",'הזנה לתנאי סף'!O488)</f>
        <v/>
      </c>
      <c r="U488" s="213" t="str">
        <f>IF($F488="","",'תחום תמיכה א'!W488)</f>
        <v/>
      </c>
      <c r="V488" s="213" t="str">
        <f>IF($F488="","",'תחום תמיכה א'!X488)</f>
        <v/>
      </c>
      <c r="W488" s="213" t="str">
        <f>IF($F488="","",'תחום תמיכה א'!Y488)</f>
        <v/>
      </c>
      <c r="X488" s="231" t="str">
        <f>IF($F488="","",'תחום תמיכה א'!Z488)</f>
        <v/>
      </c>
      <c r="Y488" s="213" t="str">
        <f>IF($F488="","",'תחום תמיכה א'!AA488)</f>
        <v/>
      </c>
      <c r="Z488" s="214" t="str">
        <f>IF($F488="","",'תחום תמיכה א'!AB488)</f>
        <v/>
      </c>
      <c r="AA488" s="225" t="str">
        <f>IF($F488="","",'תחום תמיכה א'!AC488)</f>
        <v/>
      </c>
      <c r="AB488" s="213" t="str">
        <f t="shared" si="93"/>
        <v/>
      </c>
      <c r="AC488" s="213" t="str">
        <f t="shared" si="94"/>
        <v/>
      </c>
      <c r="AD488" s="214" t="str">
        <f t="shared" si="95"/>
        <v/>
      </c>
      <c r="AE488" s="213" t="str">
        <f t="shared" si="96"/>
        <v/>
      </c>
      <c r="AF488" s="214" t="str">
        <f t="shared" si="97"/>
        <v/>
      </c>
    </row>
    <row r="489" spans="1:32" ht="15.75" x14ac:dyDescent="0.2">
      <c r="A489" s="206" t="str">
        <f t="shared" si="86"/>
        <v/>
      </c>
      <c r="B489" s="88" t="str">
        <f>IF($F489="","",'הזנה לתנאי סף'!C489)</f>
        <v/>
      </c>
      <c r="C489" s="88" t="str">
        <f>IF($F489="","",'הזנה לתנאי סף'!D489)</f>
        <v/>
      </c>
      <c r="D489" s="88" t="str">
        <f>IF($F489="","",'הזנה לתנאי סף'!E489)</f>
        <v/>
      </c>
      <c r="E489" s="88" t="str">
        <f>IF($F489="","",'הזנה לתנאי סף'!F489)</f>
        <v/>
      </c>
      <c r="F489" s="88" t="str">
        <f>IF(OR('הזנה לתנאי סף'!G489="",'הזנה לתנאי סף'!BL489&lt;&gt;1,'הזנה לתנאי סף'!Q489&lt;&gt;1),"",'הזנה לתנאי סף'!G489)</f>
        <v/>
      </c>
      <c r="G489" s="88" t="str">
        <f>IF($F489="","",'הזנה לתנאי סף'!H489)</f>
        <v/>
      </c>
      <c r="H489" s="88" t="str">
        <f>IF($F489="","",'הזנה לתנאי סף'!I489)</f>
        <v/>
      </c>
      <c r="I489" s="213" t="str">
        <f>IF($F489="","",'תחום תמיכה א'!$I489)</f>
        <v/>
      </c>
      <c r="J489" s="213" t="str">
        <f>IF($F489="","",'תחום תמיכה א'!$J489)</f>
        <v/>
      </c>
      <c r="K489" s="213" t="str">
        <f>IF($F489="","",'תחום תמיכה א'!$K489)</f>
        <v/>
      </c>
      <c r="L489" s="213" t="str">
        <f t="shared" si="87"/>
        <v/>
      </c>
      <c r="M489" s="214" t="str">
        <f t="shared" si="88"/>
        <v/>
      </c>
      <c r="N489" s="214" t="str">
        <f t="shared" si="89"/>
        <v/>
      </c>
      <c r="O489" s="213" t="str">
        <f t="shared" si="90"/>
        <v/>
      </c>
      <c r="P489" s="213" t="str">
        <f>IF($F489="","",'פרמטרים לקריטריונים'!$C$59*O489)</f>
        <v/>
      </c>
      <c r="Q489" s="214" t="str">
        <f t="shared" si="91"/>
        <v/>
      </c>
      <c r="R489" s="213" t="str">
        <f t="shared" si="92"/>
        <v/>
      </c>
      <c r="S489" s="213" t="str">
        <f>IF($F489="","",'הזנה לתנאי סף'!N489)</f>
        <v/>
      </c>
      <c r="T489" s="213" t="str">
        <f>IF($F489="","",'הזנה לתנאי סף'!O489)</f>
        <v/>
      </c>
      <c r="U489" s="213" t="str">
        <f>IF($F489="","",'תחום תמיכה א'!W489)</f>
        <v/>
      </c>
      <c r="V489" s="213" t="str">
        <f>IF($F489="","",'תחום תמיכה א'!X489)</f>
        <v/>
      </c>
      <c r="W489" s="213" t="str">
        <f>IF($F489="","",'תחום תמיכה א'!Y489)</f>
        <v/>
      </c>
      <c r="X489" s="231" t="str">
        <f>IF($F489="","",'תחום תמיכה א'!Z489)</f>
        <v/>
      </c>
      <c r="Y489" s="213" t="str">
        <f>IF($F489="","",'תחום תמיכה א'!AA489)</f>
        <v/>
      </c>
      <c r="Z489" s="214" t="str">
        <f>IF($F489="","",'תחום תמיכה א'!AB489)</f>
        <v/>
      </c>
      <c r="AA489" s="225" t="str">
        <f>IF($F489="","",'תחום תמיכה א'!AC489)</f>
        <v/>
      </c>
      <c r="AB489" s="213" t="str">
        <f t="shared" si="93"/>
        <v/>
      </c>
      <c r="AC489" s="213" t="str">
        <f t="shared" si="94"/>
        <v/>
      </c>
      <c r="AD489" s="214" t="str">
        <f t="shared" si="95"/>
        <v/>
      </c>
      <c r="AE489" s="213" t="str">
        <f t="shared" si="96"/>
        <v/>
      </c>
      <c r="AF489" s="214" t="str">
        <f t="shared" si="97"/>
        <v/>
      </c>
    </row>
    <row r="490" spans="1:32" ht="15.75" x14ac:dyDescent="0.2">
      <c r="A490" s="206" t="str">
        <f t="shared" si="86"/>
        <v/>
      </c>
      <c r="B490" s="88" t="str">
        <f>IF($F490="","",'הזנה לתנאי סף'!C490)</f>
        <v/>
      </c>
      <c r="C490" s="88" t="str">
        <f>IF($F490="","",'הזנה לתנאי סף'!D490)</f>
        <v/>
      </c>
      <c r="D490" s="88" t="str">
        <f>IF($F490="","",'הזנה לתנאי סף'!E490)</f>
        <v/>
      </c>
      <c r="E490" s="88" t="str">
        <f>IF($F490="","",'הזנה לתנאי סף'!F490)</f>
        <v/>
      </c>
      <c r="F490" s="88" t="str">
        <f>IF(OR('הזנה לתנאי סף'!G490="",'הזנה לתנאי סף'!BL490&lt;&gt;1,'הזנה לתנאי סף'!Q490&lt;&gt;1),"",'הזנה לתנאי סף'!G490)</f>
        <v/>
      </c>
      <c r="G490" s="88" t="str">
        <f>IF($F490="","",'הזנה לתנאי סף'!H490)</f>
        <v/>
      </c>
      <c r="H490" s="88" t="str">
        <f>IF($F490="","",'הזנה לתנאי סף'!I490)</f>
        <v/>
      </c>
      <c r="I490" s="213" t="str">
        <f>IF($F490="","",'תחום תמיכה א'!$I490)</f>
        <v/>
      </c>
      <c r="J490" s="213" t="str">
        <f>IF($F490="","",'תחום תמיכה א'!$J490)</f>
        <v/>
      </c>
      <c r="K490" s="213" t="str">
        <f>IF($F490="","",'תחום תמיכה א'!$K490)</f>
        <v/>
      </c>
      <c r="L490" s="213" t="str">
        <f t="shared" si="87"/>
        <v/>
      </c>
      <c r="M490" s="214" t="str">
        <f t="shared" si="88"/>
        <v/>
      </c>
      <c r="N490" s="214" t="str">
        <f t="shared" si="89"/>
        <v/>
      </c>
      <c r="O490" s="213" t="str">
        <f t="shared" si="90"/>
        <v/>
      </c>
      <c r="P490" s="213" t="str">
        <f>IF($F490="","",'פרמטרים לקריטריונים'!$C$59*O490)</f>
        <v/>
      </c>
      <c r="Q490" s="214" t="str">
        <f t="shared" si="91"/>
        <v/>
      </c>
      <c r="R490" s="213" t="str">
        <f t="shared" si="92"/>
        <v/>
      </c>
      <c r="S490" s="213" t="str">
        <f>IF($F490="","",'הזנה לתנאי סף'!N490)</f>
        <v/>
      </c>
      <c r="T490" s="213" t="str">
        <f>IF($F490="","",'הזנה לתנאי סף'!O490)</f>
        <v/>
      </c>
      <c r="U490" s="213" t="str">
        <f>IF($F490="","",'תחום תמיכה א'!W490)</f>
        <v/>
      </c>
      <c r="V490" s="213" t="str">
        <f>IF($F490="","",'תחום תמיכה א'!X490)</f>
        <v/>
      </c>
      <c r="W490" s="213" t="str">
        <f>IF($F490="","",'תחום תמיכה א'!Y490)</f>
        <v/>
      </c>
      <c r="X490" s="231" t="str">
        <f>IF($F490="","",'תחום תמיכה א'!Z490)</f>
        <v/>
      </c>
      <c r="Y490" s="213" t="str">
        <f>IF($F490="","",'תחום תמיכה א'!AA490)</f>
        <v/>
      </c>
      <c r="Z490" s="214" t="str">
        <f>IF($F490="","",'תחום תמיכה א'!AB490)</f>
        <v/>
      </c>
      <c r="AA490" s="225" t="str">
        <f>IF($F490="","",'תחום תמיכה א'!AC490)</f>
        <v/>
      </c>
      <c r="AB490" s="213" t="str">
        <f t="shared" si="93"/>
        <v/>
      </c>
      <c r="AC490" s="213" t="str">
        <f t="shared" si="94"/>
        <v/>
      </c>
      <c r="AD490" s="214" t="str">
        <f t="shared" si="95"/>
        <v/>
      </c>
      <c r="AE490" s="213" t="str">
        <f t="shared" si="96"/>
        <v/>
      </c>
      <c r="AF490" s="214" t="str">
        <f t="shared" si="97"/>
        <v/>
      </c>
    </row>
    <row r="491" spans="1:32" ht="15.75" x14ac:dyDescent="0.2">
      <c r="A491" s="206" t="str">
        <f t="shared" si="86"/>
        <v/>
      </c>
      <c r="B491" s="88" t="str">
        <f>IF($F491="","",'הזנה לתנאי סף'!C491)</f>
        <v/>
      </c>
      <c r="C491" s="88" t="str">
        <f>IF($F491="","",'הזנה לתנאי סף'!D491)</f>
        <v/>
      </c>
      <c r="D491" s="88" t="str">
        <f>IF($F491="","",'הזנה לתנאי סף'!E491)</f>
        <v/>
      </c>
      <c r="E491" s="88" t="str">
        <f>IF($F491="","",'הזנה לתנאי סף'!F491)</f>
        <v/>
      </c>
      <c r="F491" s="88" t="str">
        <f>IF(OR('הזנה לתנאי סף'!G491="",'הזנה לתנאי סף'!BL491&lt;&gt;1,'הזנה לתנאי סף'!Q491&lt;&gt;1),"",'הזנה לתנאי סף'!G491)</f>
        <v/>
      </c>
      <c r="G491" s="88" t="str">
        <f>IF($F491="","",'הזנה לתנאי סף'!H491)</f>
        <v/>
      </c>
      <c r="H491" s="88" t="str">
        <f>IF($F491="","",'הזנה לתנאי סף'!I491)</f>
        <v/>
      </c>
      <c r="I491" s="213" t="str">
        <f>IF($F491="","",'תחום תמיכה א'!$I491)</f>
        <v/>
      </c>
      <c r="J491" s="213" t="str">
        <f>IF($F491="","",'תחום תמיכה א'!$J491)</f>
        <v/>
      </c>
      <c r="K491" s="213" t="str">
        <f>IF($F491="","",'תחום תמיכה א'!$K491)</f>
        <v/>
      </c>
      <c r="L491" s="213" t="str">
        <f t="shared" si="87"/>
        <v/>
      </c>
      <c r="M491" s="214" t="str">
        <f t="shared" si="88"/>
        <v/>
      </c>
      <c r="N491" s="214" t="str">
        <f t="shared" si="89"/>
        <v/>
      </c>
      <c r="O491" s="213" t="str">
        <f t="shared" si="90"/>
        <v/>
      </c>
      <c r="P491" s="213" t="str">
        <f>IF($F491="","",'פרמטרים לקריטריונים'!$C$59*O491)</f>
        <v/>
      </c>
      <c r="Q491" s="214" t="str">
        <f t="shared" si="91"/>
        <v/>
      </c>
      <c r="R491" s="213" t="str">
        <f t="shared" si="92"/>
        <v/>
      </c>
      <c r="S491" s="213" t="str">
        <f>IF($F491="","",'הזנה לתנאי סף'!N491)</f>
        <v/>
      </c>
      <c r="T491" s="213" t="str">
        <f>IF($F491="","",'הזנה לתנאי סף'!O491)</f>
        <v/>
      </c>
      <c r="U491" s="213" t="str">
        <f>IF($F491="","",'תחום תמיכה א'!W491)</f>
        <v/>
      </c>
      <c r="V491" s="213" t="str">
        <f>IF($F491="","",'תחום תמיכה א'!X491)</f>
        <v/>
      </c>
      <c r="W491" s="213" t="str">
        <f>IF($F491="","",'תחום תמיכה א'!Y491)</f>
        <v/>
      </c>
      <c r="X491" s="231" t="str">
        <f>IF($F491="","",'תחום תמיכה א'!Z491)</f>
        <v/>
      </c>
      <c r="Y491" s="213" t="str">
        <f>IF($F491="","",'תחום תמיכה א'!AA491)</f>
        <v/>
      </c>
      <c r="Z491" s="214" t="str">
        <f>IF($F491="","",'תחום תמיכה א'!AB491)</f>
        <v/>
      </c>
      <c r="AA491" s="225" t="str">
        <f>IF($F491="","",'תחום תמיכה א'!AC491)</f>
        <v/>
      </c>
      <c r="AB491" s="213" t="str">
        <f t="shared" si="93"/>
        <v/>
      </c>
      <c r="AC491" s="213" t="str">
        <f t="shared" si="94"/>
        <v/>
      </c>
      <c r="AD491" s="214" t="str">
        <f t="shared" si="95"/>
        <v/>
      </c>
      <c r="AE491" s="213" t="str">
        <f t="shared" si="96"/>
        <v/>
      </c>
      <c r="AF491" s="214" t="str">
        <f t="shared" si="97"/>
        <v/>
      </c>
    </row>
    <row r="492" spans="1:32" ht="15.75" x14ac:dyDescent="0.2">
      <c r="A492" s="206" t="str">
        <f t="shared" si="86"/>
        <v/>
      </c>
      <c r="B492" s="88" t="str">
        <f>IF($F492="","",'הזנה לתנאי סף'!C492)</f>
        <v/>
      </c>
      <c r="C492" s="88" t="str">
        <f>IF($F492="","",'הזנה לתנאי סף'!D492)</f>
        <v/>
      </c>
      <c r="D492" s="88" t="str">
        <f>IF($F492="","",'הזנה לתנאי סף'!E492)</f>
        <v/>
      </c>
      <c r="E492" s="88" t="str">
        <f>IF($F492="","",'הזנה לתנאי סף'!F492)</f>
        <v/>
      </c>
      <c r="F492" s="88" t="str">
        <f>IF(OR('הזנה לתנאי סף'!G492="",'הזנה לתנאי סף'!BL492&lt;&gt;1,'הזנה לתנאי סף'!Q492&lt;&gt;1),"",'הזנה לתנאי סף'!G492)</f>
        <v/>
      </c>
      <c r="G492" s="88" t="str">
        <f>IF($F492="","",'הזנה לתנאי סף'!H492)</f>
        <v/>
      </c>
      <c r="H492" s="88" t="str">
        <f>IF($F492="","",'הזנה לתנאי סף'!I492)</f>
        <v/>
      </c>
      <c r="I492" s="213" t="str">
        <f>IF($F492="","",'תחום תמיכה א'!$I492)</f>
        <v/>
      </c>
      <c r="J492" s="213" t="str">
        <f>IF($F492="","",'תחום תמיכה א'!$J492)</f>
        <v/>
      </c>
      <c r="K492" s="213" t="str">
        <f>IF($F492="","",'תחום תמיכה א'!$K492)</f>
        <v/>
      </c>
      <c r="L492" s="213" t="str">
        <f t="shared" si="87"/>
        <v/>
      </c>
      <c r="M492" s="214" t="str">
        <f t="shared" si="88"/>
        <v/>
      </c>
      <c r="N492" s="214" t="str">
        <f t="shared" si="89"/>
        <v/>
      </c>
      <c r="O492" s="213" t="str">
        <f t="shared" si="90"/>
        <v/>
      </c>
      <c r="P492" s="213" t="str">
        <f>IF($F492="","",'פרמטרים לקריטריונים'!$C$59*O492)</f>
        <v/>
      </c>
      <c r="Q492" s="214" t="str">
        <f t="shared" si="91"/>
        <v/>
      </c>
      <c r="R492" s="213" t="str">
        <f t="shared" si="92"/>
        <v/>
      </c>
      <c r="S492" s="213" t="str">
        <f>IF($F492="","",'הזנה לתנאי סף'!N492)</f>
        <v/>
      </c>
      <c r="T492" s="213" t="str">
        <f>IF($F492="","",'הזנה לתנאי סף'!O492)</f>
        <v/>
      </c>
      <c r="U492" s="213" t="str">
        <f>IF($F492="","",'תחום תמיכה א'!W492)</f>
        <v/>
      </c>
      <c r="V492" s="213" t="str">
        <f>IF($F492="","",'תחום תמיכה א'!X492)</f>
        <v/>
      </c>
      <c r="W492" s="213" t="str">
        <f>IF($F492="","",'תחום תמיכה א'!Y492)</f>
        <v/>
      </c>
      <c r="X492" s="231" t="str">
        <f>IF($F492="","",'תחום תמיכה א'!Z492)</f>
        <v/>
      </c>
      <c r="Y492" s="213" t="str">
        <f>IF($F492="","",'תחום תמיכה א'!AA492)</f>
        <v/>
      </c>
      <c r="Z492" s="214" t="str">
        <f>IF($F492="","",'תחום תמיכה א'!AB492)</f>
        <v/>
      </c>
      <c r="AA492" s="225" t="str">
        <f>IF($F492="","",'תחום תמיכה א'!AC492)</f>
        <v/>
      </c>
      <c r="AB492" s="213" t="str">
        <f t="shared" si="93"/>
        <v/>
      </c>
      <c r="AC492" s="213" t="str">
        <f t="shared" si="94"/>
        <v/>
      </c>
      <c r="AD492" s="214" t="str">
        <f t="shared" si="95"/>
        <v/>
      </c>
      <c r="AE492" s="213" t="str">
        <f t="shared" si="96"/>
        <v/>
      </c>
      <c r="AF492" s="214" t="str">
        <f t="shared" si="97"/>
        <v/>
      </c>
    </row>
    <row r="493" spans="1:32" ht="15.75" x14ac:dyDescent="0.2">
      <c r="A493" s="206" t="str">
        <f t="shared" si="86"/>
        <v/>
      </c>
      <c r="B493" s="88" t="str">
        <f>IF($F493="","",'הזנה לתנאי סף'!C493)</f>
        <v/>
      </c>
      <c r="C493" s="88" t="str">
        <f>IF($F493="","",'הזנה לתנאי סף'!D493)</f>
        <v/>
      </c>
      <c r="D493" s="88" t="str">
        <f>IF($F493="","",'הזנה לתנאי סף'!E493)</f>
        <v/>
      </c>
      <c r="E493" s="88" t="str">
        <f>IF($F493="","",'הזנה לתנאי סף'!F493)</f>
        <v/>
      </c>
      <c r="F493" s="88" t="str">
        <f>IF(OR('הזנה לתנאי סף'!G493="",'הזנה לתנאי סף'!BL493&lt;&gt;1,'הזנה לתנאי סף'!Q493&lt;&gt;1),"",'הזנה לתנאי סף'!G493)</f>
        <v/>
      </c>
      <c r="G493" s="88" t="str">
        <f>IF($F493="","",'הזנה לתנאי סף'!H493)</f>
        <v/>
      </c>
      <c r="H493" s="88" t="str">
        <f>IF($F493="","",'הזנה לתנאי סף'!I493)</f>
        <v/>
      </c>
      <c r="I493" s="213" t="str">
        <f>IF($F493="","",'תחום תמיכה א'!$I493)</f>
        <v/>
      </c>
      <c r="J493" s="213" t="str">
        <f>IF($F493="","",'תחום תמיכה א'!$J493)</f>
        <v/>
      </c>
      <c r="K493" s="213" t="str">
        <f>IF($F493="","",'תחום תמיכה א'!$K493)</f>
        <v/>
      </c>
      <c r="L493" s="213" t="str">
        <f t="shared" si="87"/>
        <v/>
      </c>
      <c r="M493" s="214" t="str">
        <f t="shared" si="88"/>
        <v/>
      </c>
      <c r="N493" s="214" t="str">
        <f t="shared" si="89"/>
        <v/>
      </c>
      <c r="O493" s="213" t="str">
        <f t="shared" si="90"/>
        <v/>
      </c>
      <c r="P493" s="213" t="str">
        <f>IF($F493="","",'פרמטרים לקריטריונים'!$C$59*O493)</f>
        <v/>
      </c>
      <c r="Q493" s="214" t="str">
        <f t="shared" si="91"/>
        <v/>
      </c>
      <c r="R493" s="213" t="str">
        <f t="shared" si="92"/>
        <v/>
      </c>
      <c r="S493" s="213" t="str">
        <f>IF($F493="","",'הזנה לתנאי סף'!N493)</f>
        <v/>
      </c>
      <c r="T493" s="213" t="str">
        <f>IF($F493="","",'הזנה לתנאי סף'!O493)</f>
        <v/>
      </c>
      <c r="U493" s="213" t="str">
        <f>IF($F493="","",'תחום תמיכה א'!W493)</f>
        <v/>
      </c>
      <c r="V493" s="213" t="str">
        <f>IF($F493="","",'תחום תמיכה א'!X493)</f>
        <v/>
      </c>
      <c r="W493" s="213" t="str">
        <f>IF($F493="","",'תחום תמיכה א'!Y493)</f>
        <v/>
      </c>
      <c r="X493" s="231" t="str">
        <f>IF($F493="","",'תחום תמיכה א'!Z493)</f>
        <v/>
      </c>
      <c r="Y493" s="213" t="str">
        <f>IF($F493="","",'תחום תמיכה א'!AA493)</f>
        <v/>
      </c>
      <c r="Z493" s="214" t="str">
        <f>IF($F493="","",'תחום תמיכה א'!AB493)</f>
        <v/>
      </c>
      <c r="AA493" s="225" t="str">
        <f>IF($F493="","",'תחום תמיכה א'!AC493)</f>
        <v/>
      </c>
      <c r="AB493" s="213" t="str">
        <f t="shared" si="93"/>
        <v/>
      </c>
      <c r="AC493" s="213" t="str">
        <f t="shared" si="94"/>
        <v/>
      </c>
      <c r="AD493" s="214" t="str">
        <f t="shared" si="95"/>
        <v/>
      </c>
      <c r="AE493" s="213" t="str">
        <f t="shared" si="96"/>
        <v/>
      </c>
      <c r="AF493" s="214" t="str">
        <f t="shared" si="97"/>
        <v/>
      </c>
    </row>
    <row r="494" spans="1:32" ht="15.75" x14ac:dyDescent="0.2">
      <c r="A494" s="206" t="str">
        <f t="shared" si="86"/>
        <v/>
      </c>
      <c r="B494" s="88" t="str">
        <f>IF($F494="","",'הזנה לתנאי סף'!C494)</f>
        <v/>
      </c>
      <c r="C494" s="88" t="str">
        <f>IF($F494="","",'הזנה לתנאי סף'!D494)</f>
        <v/>
      </c>
      <c r="D494" s="88" t="str">
        <f>IF($F494="","",'הזנה לתנאי סף'!E494)</f>
        <v/>
      </c>
      <c r="E494" s="88" t="str">
        <f>IF($F494="","",'הזנה לתנאי סף'!F494)</f>
        <v/>
      </c>
      <c r="F494" s="88" t="str">
        <f>IF(OR('הזנה לתנאי סף'!G494="",'הזנה לתנאי סף'!BL494&lt;&gt;1,'הזנה לתנאי סף'!Q494&lt;&gt;1),"",'הזנה לתנאי סף'!G494)</f>
        <v/>
      </c>
      <c r="G494" s="88" t="str">
        <f>IF($F494="","",'הזנה לתנאי סף'!H494)</f>
        <v/>
      </c>
      <c r="H494" s="88" t="str">
        <f>IF($F494="","",'הזנה לתנאי סף'!I494)</f>
        <v/>
      </c>
      <c r="I494" s="213" t="str">
        <f>IF($F494="","",'תחום תמיכה א'!$I494)</f>
        <v/>
      </c>
      <c r="J494" s="213" t="str">
        <f>IF($F494="","",'תחום תמיכה א'!$J494)</f>
        <v/>
      </c>
      <c r="K494" s="213" t="str">
        <f>IF($F494="","",'תחום תמיכה א'!$K494)</f>
        <v/>
      </c>
      <c r="L494" s="213" t="str">
        <f t="shared" si="87"/>
        <v/>
      </c>
      <c r="M494" s="214" t="str">
        <f t="shared" si="88"/>
        <v/>
      </c>
      <c r="N494" s="214" t="str">
        <f t="shared" si="89"/>
        <v/>
      </c>
      <c r="O494" s="213" t="str">
        <f t="shared" si="90"/>
        <v/>
      </c>
      <c r="P494" s="213" t="str">
        <f>IF($F494="","",'פרמטרים לקריטריונים'!$C$59*O494)</f>
        <v/>
      </c>
      <c r="Q494" s="214" t="str">
        <f t="shared" si="91"/>
        <v/>
      </c>
      <c r="R494" s="213" t="str">
        <f t="shared" si="92"/>
        <v/>
      </c>
      <c r="S494" s="213" t="str">
        <f>IF($F494="","",'הזנה לתנאי סף'!N494)</f>
        <v/>
      </c>
      <c r="T494" s="213" t="str">
        <f>IF($F494="","",'הזנה לתנאי סף'!O494)</f>
        <v/>
      </c>
      <c r="U494" s="213" t="str">
        <f>IF($F494="","",'תחום תמיכה א'!W494)</f>
        <v/>
      </c>
      <c r="V494" s="213" t="str">
        <f>IF($F494="","",'תחום תמיכה א'!X494)</f>
        <v/>
      </c>
      <c r="W494" s="213" t="str">
        <f>IF($F494="","",'תחום תמיכה א'!Y494)</f>
        <v/>
      </c>
      <c r="X494" s="231" t="str">
        <f>IF($F494="","",'תחום תמיכה א'!Z494)</f>
        <v/>
      </c>
      <c r="Y494" s="213" t="str">
        <f>IF($F494="","",'תחום תמיכה א'!AA494)</f>
        <v/>
      </c>
      <c r="Z494" s="214" t="str">
        <f>IF($F494="","",'תחום תמיכה א'!AB494)</f>
        <v/>
      </c>
      <c r="AA494" s="225" t="str">
        <f>IF($F494="","",'תחום תמיכה א'!AC494)</f>
        <v/>
      </c>
      <c r="AB494" s="213" t="str">
        <f t="shared" si="93"/>
        <v/>
      </c>
      <c r="AC494" s="213" t="str">
        <f t="shared" si="94"/>
        <v/>
      </c>
      <c r="AD494" s="214" t="str">
        <f t="shared" si="95"/>
        <v/>
      </c>
      <c r="AE494" s="213" t="str">
        <f t="shared" si="96"/>
        <v/>
      </c>
      <c r="AF494" s="214" t="str">
        <f t="shared" si="97"/>
        <v/>
      </c>
    </row>
    <row r="495" spans="1:32" ht="15.75" x14ac:dyDescent="0.2">
      <c r="A495" s="206" t="str">
        <f t="shared" si="86"/>
        <v/>
      </c>
      <c r="B495" s="88" t="str">
        <f>IF($F495="","",'הזנה לתנאי סף'!C495)</f>
        <v/>
      </c>
      <c r="C495" s="88" t="str">
        <f>IF($F495="","",'הזנה לתנאי סף'!D495)</f>
        <v/>
      </c>
      <c r="D495" s="88" t="str">
        <f>IF($F495="","",'הזנה לתנאי סף'!E495)</f>
        <v/>
      </c>
      <c r="E495" s="88" t="str">
        <f>IF($F495="","",'הזנה לתנאי סף'!F495)</f>
        <v/>
      </c>
      <c r="F495" s="88" t="str">
        <f>IF(OR('הזנה לתנאי סף'!G495="",'הזנה לתנאי סף'!BL495&lt;&gt;1,'הזנה לתנאי סף'!Q495&lt;&gt;1),"",'הזנה לתנאי סף'!G495)</f>
        <v/>
      </c>
      <c r="G495" s="88" t="str">
        <f>IF($F495="","",'הזנה לתנאי סף'!H495)</f>
        <v/>
      </c>
      <c r="H495" s="88" t="str">
        <f>IF($F495="","",'הזנה לתנאי סף'!I495)</f>
        <v/>
      </c>
      <c r="I495" s="213" t="str">
        <f>IF($F495="","",'תחום תמיכה א'!$I495)</f>
        <v/>
      </c>
      <c r="J495" s="213" t="str">
        <f>IF($F495="","",'תחום תמיכה א'!$J495)</f>
        <v/>
      </c>
      <c r="K495" s="213" t="str">
        <f>IF($F495="","",'תחום תמיכה א'!$K495)</f>
        <v/>
      </c>
      <c r="L495" s="213" t="str">
        <f t="shared" si="87"/>
        <v/>
      </c>
      <c r="M495" s="214" t="str">
        <f t="shared" si="88"/>
        <v/>
      </c>
      <c r="N495" s="214" t="str">
        <f t="shared" si="89"/>
        <v/>
      </c>
      <c r="O495" s="213" t="str">
        <f t="shared" si="90"/>
        <v/>
      </c>
      <c r="P495" s="213" t="str">
        <f>IF($F495="","",'פרמטרים לקריטריונים'!$C$59*O495)</f>
        <v/>
      </c>
      <c r="Q495" s="214" t="str">
        <f t="shared" si="91"/>
        <v/>
      </c>
      <c r="R495" s="213" t="str">
        <f t="shared" si="92"/>
        <v/>
      </c>
      <c r="S495" s="213" t="str">
        <f>IF($F495="","",'הזנה לתנאי סף'!N495)</f>
        <v/>
      </c>
      <c r="T495" s="213" t="str">
        <f>IF($F495="","",'הזנה לתנאי סף'!O495)</f>
        <v/>
      </c>
      <c r="U495" s="213" t="str">
        <f>IF($F495="","",'תחום תמיכה א'!W495)</f>
        <v/>
      </c>
      <c r="V495" s="213" t="str">
        <f>IF($F495="","",'תחום תמיכה א'!X495)</f>
        <v/>
      </c>
      <c r="W495" s="213" t="str">
        <f>IF($F495="","",'תחום תמיכה א'!Y495)</f>
        <v/>
      </c>
      <c r="X495" s="231" t="str">
        <f>IF($F495="","",'תחום תמיכה א'!Z495)</f>
        <v/>
      </c>
      <c r="Y495" s="213" t="str">
        <f>IF($F495="","",'תחום תמיכה א'!AA495)</f>
        <v/>
      </c>
      <c r="Z495" s="214" t="str">
        <f>IF($F495="","",'תחום תמיכה א'!AB495)</f>
        <v/>
      </c>
      <c r="AA495" s="225" t="str">
        <f>IF($F495="","",'תחום תמיכה א'!AC495)</f>
        <v/>
      </c>
      <c r="AB495" s="213" t="str">
        <f t="shared" si="93"/>
        <v/>
      </c>
      <c r="AC495" s="213" t="str">
        <f t="shared" si="94"/>
        <v/>
      </c>
      <c r="AD495" s="214" t="str">
        <f t="shared" si="95"/>
        <v/>
      </c>
      <c r="AE495" s="213" t="str">
        <f t="shared" si="96"/>
        <v/>
      </c>
      <c r="AF495" s="214" t="str">
        <f t="shared" si="97"/>
        <v/>
      </c>
    </row>
    <row r="496" spans="1:32" ht="15.75" x14ac:dyDescent="0.2">
      <c r="A496" s="206" t="str">
        <f t="shared" si="86"/>
        <v/>
      </c>
      <c r="B496" s="88" t="str">
        <f>IF($F496="","",'הזנה לתנאי סף'!C496)</f>
        <v/>
      </c>
      <c r="C496" s="88" t="str">
        <f>IF($F496="","",'הזנה לתנאי סף'!D496)</f>
        <v/>
      </c>
      <c r="D496" s="88" t="str">
        <f>IF($F496="","",'הזנה לתנאי סף'!E496)</f>
        <v/>
      </c>
      <c r="E496" s="88" t="str">
        <f>IF($F496="","",'הזנה לתנאי סף'!F496)</f>
        <v/>
      </c>
      <c r="F496" s="88" t="str">
        <f>IF(OR('הזנה לתנאי סף'!G496="",'הזנה לתנאי סף'!BL496&lt;&gt;1,'הזנה לתנאי סף'!Q496&lt;&gt;1),"",'הזנה לתנאי סף'!G496)</f>
        <v/>
      </c>
      <c r="G496" s="88" t="str">
        <f>IF($F496="","",'הזנה לתנאי סף'!H496)</f>
        <v/>
      </c>
      <c r="H496" s="88" t="str">
        <f>IF($F496="","",'הזנה לתנאי סף'!I496)</f>
        <v/>
      </c>
      <c r="I496" s="213" t="str">
        <f>IF($F496="","",'תחום תמיכה א'!$I496)</f>
        <v/>
      </c>
      <c r="J496" s="213" t="str">
        <f>IF($F496="","",'תחום תמיכה א'!$J496)</f>
        <v/>
      </c>
      <c r="K496" s="213" t="str">
        <f>IF($F496="","",'תחום תמיכה א'!$K496)</f>
        <v/>
      </c>
      <c r="L496" s="213" t="str">
        <f t="shared" si="87"/>
        <v/>
      </c>
      <c r="M496" s="214" t="str">
        <f t="shared" si="88"/>
        <v/>
      </c>
      <c r="N496" s="214" t="str">
        <f t="shared" si="89"/>
        <v/>
      </c>
      <c r="O496" s="213" t="str">
        <f t="shared" si="90"/>
        <v/>
      </c>
      <c r="P496" s="213" t="str">
        <f>IF($F496="","",'פרמטרים לקריטריונים'!$C$59*O496)</f>
        <v/>
      </c>
      <c r="Q496" s="214" t="str">
        <f t="shared" si="91"/>
        <v/>
      </c>
      <c r="R496" s="213" t="str">
        <f t="shared" si="92"/>
        <v/>
      </c>
      <c r="S496" s="213" t="str">
        <f>IF($F496="","",'הזנה לתנאי סף'!N496)</f>
        <v/>
      </c>
      <c r="T496" s="213" t="str">
        <f>IF($F496="","",'הזנה לתנאי סף'!O496)</f>
        <v/>
      </c>
      <c r="U496" s="213" t="str">
        <f>IF($F496="","",'תחום תמיכה א'!W496)</f>
        <v/>
      </c>
      <c r="V496" s="213" t="str">
        <f>IF($F496="","",'תחום תמיכה א'!X496)</f>
        <v/>
      </c>
      <c r="W496" s="213" t="str">
        <f>IF($F496="","",'תחום תמיכה א'!Y496)</f>
        <v/>
      </c>
      <c r="X496" s="231" t="str">
        <f>IF($F496="","",'תחום תמיכה א'!Z496)</f>
        <v/>
      </c>
      <c r="Y496" s="213" t="str">
        <f>IF($F496="","",'תחום תמיכה א'!AA496)</f>
        <v/>
      </c>
      <c r="Z496" s="214" t="str">
        <f>IF($F496="","",'תחום תמיכה א'!AB496)</f>
        <v/>
      </c>
      <c r="AA496" s="225" t="str">
        <f>IF($F496="","",'תחום תמיכה א'!AC496)</f>
        <v/>
      </c>
      <c r="AB496" s="213" t="str">
        <f t="shared" si="93"/>
        <v/>
      </c>
      <c r="AC496" s="213" t="str">
        <f t="shared" si="94"/>
        <v/>
      </c>
      <c r="AD496" s="214" t="str">
        <f t="shared" si="95"/>
        <v/>
      </c>
      <c r="AE496" s="213" t="str">
        <f t="shared" si="96"/>
        <v/>
      </c>
      <c r="AF496" s="214" t="str">
        <f t="shared" si="97"/>
        <v/>
      </c>
    </row>
    <row r="497" spans="1:32" ht="15.75" x14ac:dyDescent="0.2">
      <c r="A497" s="206" t="str">
        <f t="shared" si="86"/>
        <v/>
      </c>
      <c r="B497" s="88" t="str">
        <f>IF($F497="","",'הזנה לתנאי סף'!C497)</f>
        <v/>
      </c>
      <c r="C497" s="88" t="str">
        <f>IF($F497="","",'הזנה לתנאי סף'!D497)</f>
        <v/>
      </c>
      <c r="D497" s="88" t="str">
        <f>IF($F497="","",'הזנה לתנאי סף'!E497)</f>
        <v/>
      </c>
      <c r="E497" s="88" t="str">
        <f>IF($F497="","",'הזנה לתנאי סף'!F497)</f>
        <v/>
      </c>
      <c r="F497" s="88" t="str">
        <f>IF(OR('הזנה לתנאי סף'!G497="",'הזנה לתנאי סף'!BL497&lt;&gt;1,'הזנה לתנאי סף'!Q497&lt;&gt;1),"",'הזנה לתנאי סף'!G497)</f>
        <v/>
      </c>
      <c r="G497" s="88" t="str">
        <f>IF($F497="","",'הזנה לתנאי סף'!H497)</f>
        <v/>
      </c>
      <c r="H497" s="88" t="str">
        <f>IF($F497="","",'הזנה לתנאי סף'!I497)</f>
        <v/>
      </c>
      <c r="I497" s="213" t="str">
        <f>IF($F497="","",'תחום תמיכה א'!$I497)</f>
        <v/>
      </c>
      <c r="J497" s="213" t="str">
        <f>IF($F497="","",'תחום תמיכה א'!$J497)</f>
        <v/>
      </c>
      <c r="K497" s="213" t="str">
        <f>IF($F497="","",'תחום תמיכה א'!$K497)</f>
        <v/>
      </c>
      <c r="L497" s="213" t="str">
        <f t="shared" si="87"/>
        <v/>
      </c>
      <c r="M497" s="214" t="str">
        <f t="shared" si="88"/>
        <v/>
      </c>
      <c r="N497" s="214" t="str">
        <f t="shared" si="89"/>
        <v/>
      </c>
      <c r="O497" s="213" t="str">
        <f t="shared" si="90"/>
        <v/>
      </c>
      <c r="P497" s="213" t="str">
        <f>IF($F497="","",'פרמטרים לקריטריונים'!$C$59*O497)</f>
        <v/>
      </c>
      <c r="Q497" s="214" t="str">
        <f t="shared" si="91"/>
        <v/>
      </c>
      <c r="R497" s="213" t="str">
        <f t="shared" si="92"/>
        <v/>
      </c>
      <c r="S497" s="213" t="str">
        <f>IF($F497="","",'הזנה לתנאי סף'!N497)</f>
        <v/>
      </c>
      <c r="T497" s="213" t="str">
        <f>IF($F497="","",'הזנה לתנאי סף'!O497)</f>
        <v/>
      </c>
      <c r="U497" s="213" t="str">
        <f>IF($F497="","",'תחום תמיכה א'!W497)</f>
        <v/>
      </c>
      <c r="V497" s="213" t="str">
        <f>IF($F497="","",'תחום תמיכה א'!X497)</f>
        <v/>
      </c>
      <c r="W497" s="213" t="str">
        <f>IF($F497="","",'תחום תמיכה א'!Y497)</f>
        <v/>
      </c>
      <c r="X497" s="231" t="str">
        <f>IF($F497="","",'תחום תמיכה א'!Z497)</f>
        <v/>
      </c>
      <c r="Y497" s="213" t="str">
        <f>IF($F497="","",'תחום תמיכה א'!AA497)</f>
        <v/>
      </c>
      <c r="Z497" s="214" t="str">
        <f>IF($F497="","",'תחום תמיכה א'!AB497)</f>
        <v/>
      </c>
      <c r="AA497" s="225" t="str">
        <f>IF($F497="","",'תחום תמיכה א'!AC497)</f>
        <v/>
      </c>
      <c r="AB497" s="213" t="str">
        <f t="shared" si="93"/>
        <v/>
      </c>
      <c r="AC497" s="213" t="str">
        <f t="shared" si="94"/>
        <v/>
      </c>
      <c r="AD497" s="214" t="str">
        <f t="shared" si="95"/>
        <v/>
      </c>
      <c r="AE497" s="213" t="str">
        <f t="shared" si="96"/>
        <v/>
      </c>
      <c r="AF497" s="214" t="str">
        <f t="shared" si="97"/>
        <v/>
      </c>
    </row>
    <row r="498" spans="1:32" ht="15.75" x14ac:dyDescent="0.2">
      <c r="A498" s="206" t="str">
        <f t="shared" si="86"/>
        <v/>
      </c>
      <c r="B498" s="88" t="str">
        <f>IF($F498="","",'הזנה לתנאי סף'!C498)</f>
        <v/>
      </c>
      <c r="C498" s="88" t="str">
        <f>IF($F498="","",'הזנה לתנאי סף'!D498)</f>
        <v/>
      </c>
      <c r="D498" s="88" t="str">
        <f>IF($F498="","",'הזנה לתנאי סף'!E498)</f>
        <v/>
      </c>
      <c r="E498" s="88" t="str">
        <f>IF($F498="","",'הזנה לתנאי סף'!F498)</f>
        <v/>
      </c>
      <c r="F498" s="88" t="str">
        <f>IF(OR('הזנה לתנאי סף'!G498="",'הזנה לתנאי סף'!BL498&lt;&gt;1,'הזנה לתנאי סף'!Q498&lt;&gt;1),"",'הזנה לתנאי סף'!G498)</f>
        <v/>
      </c>
      <c r="G498" s="88" t="str">
        <f>IF($F498="","",'הזנה לתנאי סף'!H498)</f>
        <v/>
      </c>
      <c r="H498" s="88" t="str">
        <f>IF($F498="","",'הזנה לתנאי סף'!I498)</f>
        <v/>
      </c>
      <c r="I498" s="213" t="str">
        <f>IF($F498="","",'תחום תמיכה א'!$I498)</f>
        <v/>
      </c>
      <c r="J498" s="213" t="str">
        <f>IF($F498="","",'תחום תמיכה א'!$J498)</f>
        <v/>
      </c>
      <c r="K498" s="213" t="str">
        <f>IF($F498="","",'תחום תמיכה א'!$K498)</f>
        <v/>
      </c>
      <c r="L498" s="213" t="str">
        <f t="shared" si="87"/>
        <v/>
      </c>
      <c r="M498" s="214" t="str">
        <f t="shared" si="88"/>
        <v/>
      </c>
      <c r="N498" s="214" t="str">
        <f t="shared" si="89"/>
        <v/>
      </c>
      <c r="O498" s="213" t="str">
        <f t="shared" si="90"/>
        <v/>
      </c>
      <c r="P498" s="213" t="str">
        <f>IF($F498="","",'פרמטרים לקריטריונים'!$C$59*O498)</f>
        <v/>
      </c>
      <c r="Q498" s="214" t="str">
        <f t="shared" si="91"/>
        <v/>
      </c>
      <c r="R498" s="213" t="str">
        <f t="shared" si="92"/>
        <v/>
      </c>
      <c r="S498" s="213" t="str">
        <f>IF($F498="","",'הזנה לתנאי סף'!N498)</f>
        <v/>
      </c>
      <c r="T498" s="213" t="str">
        <f>IF($F498="","",'הזנה לתנאי סף'!O498)</f>
        <v/>
      </c>
      <c r="U498" s="213" t="str">
        <f>IF($F498="","",'תחום תמיכה א'!W498)</f>
        <v/>
      </c>
      <c r="V498" s="213" t="str">
        <f>IF($F498="","",'תחום תמיכה א'!X498)</f>
        <v/>
      </c>
      <c r="W498" s="213" t="str">
        <f>IF($F498="","",'תחום תמיכה א'!Y498)</f>
        <v/>
      </c>
      <c r="X498" s="231" t="str">
        <f>IF($F498="","",'תחום תמיכה א'!Z498)</f>
        <v/>
      </c>
      <c r="Y498" s="213" t="str">
        <f>IF($F498="","",'תחום תמיכה א'!AA498)</f>
        <v/>
      </c>
      <c r="Z498" s="214" t="str">
        <f>IF($F498="","",'תחום תמיכה א'!AB498)</f>
        <v/>
      </c>
      <c r="AA498" s="225" t="str">
        <f>IF($F498="","",'תחום תמיכה א'!AC498)</f>
        <v/>
      </c>
      <c r="AB498" s="213" t="str">
        <f t="shared" si="93"/>
        <v/>
      </c>
      <c r="AC498" s="213" t="str">
        <f t="shared" si="94"/>
        <v/>
      </c>
      <c r="AD498" s="214" t="str">
        <f t="shared" si="95"/>
        <v/>
      </c>
      <c r="AE498" s="213" t="str">
        <f t="shared" si="96"/>
        <v/>
      </c>
      <c r="AF498" s="214" t="str">
        <f t="shared" si="97"/>
        <v/>
      </c>
    </row>
    <row r="499" spans="1:32" ht="15.75" x14ac:dyDescent="0.2">
      <c r="A499" s="206" t="str">
        <f t="shared" si="86"/>
        <v/>
      </c>
      <c r="B499" s="88" t="str">
        <f>IF($F499="","",'הזנה לתנאי סף'!C499)</f>
        <v/>
      </c>
      <c r="C499" s="88" t="str">
        <f>IF($F499="","",'הזנה לתנאי סף'!D499)</f>
        <v/>
      </c>
      <c r="D499" s="88" t="str">
        <f>IF($F499="","",'הזנה לתנאי סף'!E499)</f>
        <v/>
      </c>
      <c r="E499" s="88" t="str">
        <f>IF($F499="","",'הזנה לתנאי סף'!F499)</f>
        <v/>
      </c>
      <c r="F499" s="88" t="str">
        <f>IF(OR('הזנה לתנאי סף'!G499="",'הזנה לתנאי סף'!BL499&lt;&gt;1,'הזנה לתנאי סף'!Q499&lt;&gt;1),"",'הזנה לתנאי סף'!G499)</f>
        <v/>
      </c>
      <c r="G499" s="88" t="str">
        <f>IF($F499="","",'הזנה לתנאי סף'!H499)</f>
        <v/>
      </c>
      <c r="H499" s="88" t="str">
        <f>IF($F499="","",'הזנה לתנאי סף'!I499)</f>
        <v/>
      </c>
      <c r="I499" s="213" t="str">
        <f>IF($F499="","",'תחום תמיכה א'!$I499)</f>
        <v/>
      </c>
      <c r="J499" s="213" t="str">
        <f>IF($F499="","",'תחום תמיכה א'!$J499)</f>
        <v/>
      </c>
      <c r="K499" s="213" t="str">
        <f>IF($F499="","",'תחום תמיכה א'!$K499)</f>
        <v/>
      </c>
      <c r="L499" s="213" t="str">
        <f t="shared" si="87"/>
        <v/>
      </c>
      <c r="M499" s="214" t="str">
        <f t="shared" si="88"/>
        <v/>
      </c>
      <c r="N499" s="214" t="str">
        <f t="shared" si="89"/>
        <v/>
      </c>
      <c r="O499" s="213" t="str">
        <f t="shared" si="90"/>
        <v/>
      </c>
      <c r="P499" s="213" t="str">
        <f>IF($F499="","",'פרמטרים לקריטריונים'!$C$59*O499)</f>
        <v/>
      </c>
      <c r="Q499" s="214" t="str">
        <f t="shared" si="91"/>
        <v/>
      </c>
      <c r="R499" s="213" t="str">
        <f t="shared" si="92"/>
        <v/>
      </c>
      <c r="S499" s="213" t="str">
        <f>IF($F499="","",'הזנה לתנאי סף'!N499)</f>
        <v/>
      </c>
      <c r="T499" s="213" t="str">
        <f>IF($F499="","",'הזנה לתנאי סף'!O499)</f>
        <v/>
      </c>
      <c r="U499" s="213" t="str">
        <f>IF($F499="","",'תחום תמיכה א'!W499)</f>
        <v/>
      </c>
      <c r="V499" s="213" t="str">
        <f>IF($F499="","",'תחום תמיכה א'!X499)</f>
        <v/>
      </c>
      <c r="W499" s="213" t="str">
        <f>IF($F499="","",'תחום תמיכה א'!Y499)</f>
        <v/>
      </c>
      <c r="X499" s="231" t="str">
        <f>IF($F499="","",'תחום תמיכה א'!Z499)</f>
        <v/>
      </c>
      <c r="Y499" s="213" t="str">
        <f>IF($F499="","",'תחום תמיכה א'!AA499)</f>
        <v/>
      </c>
      <c r="Z499" s="214" t="str">
        <f>IF($F499="","",'תחום תמיכה א'!AB499)</f>
        <v/>
      </c>
      <c r="AA499" s="225" t="str">
        <f>IF($F499="","",'תחום תמיכה א'!AC499)</f>
        <v/>
      </c>
      <c r="AB499" s="213" t="str">
        <f t="shared" si="93"/>
        <v/>
      </c>
      <c r="AC499" s="213" t="str">
        <f t="shared" si="94"/>
        <v/>
      </c>
      <c r="AD499" s="214" t="str">
        <f t="shared" si="95"/>
        <v/>
      </c>
      <c r="AE499" s="213" t="str">
        <f t="shared" si="96"/>
        <v/>
      </c>
      <c r="AF499" s="214" t="str">
        <f t="shared" si="97"/>
        <v/>
      </c>
    </row>
    <row r="500" spans="1:32" ht="16.5" thickBot="1" x14ac:dyDescent="0.25">
      <c r="A500" s="206" t="str">
        <f t="shared" si="86"/>
        <v/>
      </c>
      <c r="B500" s="88" t="str">
        <f>IF($F500="","",'הזנה לתנאי סף'!C500)</f>
        <v/>
      </c>
      <c r="C500" s="88" t="str">
        <f>IF($F500="","",'הזנה לתנאי סף'!D500)</f>
        <v/>
      </c>
      <c r="D500" s="88" t="str">
        <f>IF($F500="","",'הזנה לתנאי סף'!E500)</f>
        <v/>
      </c>
      <c r="E500" s="88" t="str">
        <f>IF($F500="","",'הזנה לתנאי סף'!F500)</f>
        <v/>
      </c>
      <c r="F500" s="88" t="str">
        <f>IF(OR('הזנה לתנאי סף'!G500="",'הזנה לתנאי סף'!BL500&lt;&gt;1,'הזנה לתנאי סף'!Q500&lt;&gt;1),"",'הזנה לתנאי סף'!G500)</f>
        <v/>
      </c>
      <c r="G500" s="88" t="str">
        <f>IF($F500="","",'הזנה לתנאי סף'!H500)</f>
        <v/>
      </c>
      <c r="H500" s="88" t="str">
        <f>IF($F500="","",'הזנה לתנאי סף'!I500)</f>
        <v/>
      </c>
      <c r="I500" s="213" t="str">
        <f>IF($F500="","",'תחום תמיכה א'!$I500)</f>
        <v/>
      </c>
      <c r="J500" s="213" t="str">
        <f>IF($F500="","",'תחום תמיכה א'!$J500)</f>
        <v/>
      </c>
      <c r="K500" s="213" t="str">
        <f>IF($F500="","",'תחום תמיכה א'!$K500)</f>
        <v/>
      </c>
      <c r="L500" s="213" t="str">
        <f t="shared" si="87"/>
        <v/>
      </c>
      <c r="M500" s="214" t="str">
        <f t="shared" si="88"/>
        <v/>
      </c>
      <c r="N500" s="214" t="str">
        <f t="shared" si="89"/>
        <v/>
      </c>
      <c r="O500" s="213" t="str">
        <f t="shared" si="90"/>
        <v/>
      </c>
      <c r="P500" s="213" t="str">
        <f>IF($F500="","",'פרמטרים לקריטריונים'!$C$59*O500)</f>
        <v/>
      </c>
      <c r="Q500" s="214" t="str">
        <f t="shared" si="91"/>
        <v/>
      </c>
      <c r="R500" s="213" t="str">
        <f t="shared" si="92"/>
        <v/>
      </c>
      <c r="S500" s="213" t="str">
        <f>IF($F500="","",'הזנה לתנאי סף'!N500)</f>
        <v/>
      </c>
      <c r="T500" s="213" t="str">
        <f>IF($F500="","",'הזנה לתנאי סף'!O500)</f>
        <v/>
      </c>
      <c r="U500" s="213" t="str">
        <f>IF($F500="","",'תחום תמיכה א'!W500)</f>
        <v/>
      </c>
      <c r="V500" s="213" t="str">
        <f>IF($F500="","",'תחום תמיכה א'!X500)</f>
        <v/>
      </c>
      <c r="W500" s="213" t="str">
        <f>IF($F500="","",'תחום תמיכה א'!Y500)</f>
        <v/>
      </c>
      <c r="X500" s="231" t="str">
        <f>IF($F500="","",'תחום תמיכה א'!Z500)</f>
        <v/>
      </c>
      <c r="Y500" s="213" t="str">
        <f>IF($F500="","",'תחום תמיכה א'!AA500)</f>
        <v/>
      </c>
      <c r="Z500" s="214" t="str">
        <f>IF($F500="","",'תחום תמיכה א'!AB500)</f>
        <v/>
      </c>
      <c r="AA500" s="225" t="str">
        <f>IF($F500="","",'תחום תמיכה א'!AC500)</f>
        <v/>
      </c>
      <c r="AB500" s="213" t="str">
        <f t="shared" si="93"/>
        <v/>
      </c>
      <c r="AC500" s="213" t="str">
        <f t="shared" si="94"/>
        <v/>
      </c>
      <c r="AD500" s="214" t="str">
        <f t="shared" si="95"/>
        <v/>
      </c>
      <c r="AE500" s="213" t="str">
        <f t="shared" si="96"/>
        <v/>
      </c>
      <c r="AF500" s="214" t="str">
        <f t="shared" si="97"/>
        <v/>
      </c>
    </row>
    <row r="501" spans="1:32" ht="19.5" thickBot="1" x14ac:dyDescent="0.35">
      <c r="A501" s="415" t="s">
        <v>0</v>
      </c>
      <c r="B501" s="416"/>
      <c r="C501" s="416"/>
      <c r="D501" s="416"/>
      <c r="E501" s="416"/>
      <c r="F501" s="416"/>
      <c r="G501" s="416"/>
      <c r="H501" s="416"/>
      <c r="I501" s="221"/>
      <c r="J501" s="221"/>
      <c r="K501" s="221"/>
      <c r="L501" s="221"/>
      <c r="M501" s="221"/>
      <c r="N501" s="221"/>
      <c r="O501" s="221"/>
      <c r="P501" s="221">
        <f>SUM(P31:P500)</f>
        <v>176016355.16608053</v>
      </c>
      <c r="Q501" s="221"/>
      <c r="R501" s="221">
        <f>SUM(R31:R500)</f>
        <v>99999999.999999985</v>
      </c>
      <c r="S501" s="221"/>
      <c r="T501" s="221"/>
      <c r="U501" s="221"/>
      <c r="V501" s="221"/>
      <c r="W501" s="221"/>
      <c r="X501" s="221"/>
      <c r="Y501" s="221"/>
      <c r="Z501" s="221"/>
      <c r="AA501" s="221"/>
      <c r="AB501" s="221">
        <f>SUM(AB31:AB500)</f>
        <v>-218983.2671996365</v>
      </c>
      <c r="AC501" s="221">
        <f>SUM(AC31:AC500)</f>
        <v>99781016.73280035</v>
      </c>
      <c r="AD501" s="229">
        <f>SUM(AD31:AD500)</f>
        <v>0.99999999999999956</v>
      </c>
      <c r="AE501" s="221">
        <f>SUM(AE31:AE500)</f>
        <v>102772955.73280032</v>
      </c>
      <c r="AF501" s="229">
        <f>SUM(AF31:AF500)</f>
        <v>0.99999999999999956</v>
      </c>
    </row>
  </sheetData>
  <sheetProtection password="CCB7" sheet="1" objects="1" scenarios="1" formatColumns="0" formatRows="0" autoFilter="0"/>
  <mergeCells count="28">
    <mergeCell ref="A1:AC1"/>
    <mergeCell ref="A28:E28"/>
    <mergeCell ref="L29:L30"/>
    <mergeCell ref="M29:M30"/>
    <mergeCell ref="N29:N30"/>
    <mergeCell ref="P29:P30"/>
    <mergeCell ref="Q29:Q30"/>
    <mergeCell ref="R29:R30"/>
    <mergeCell ref="E29:E30"/>
    <mergeCell ref="F29:F30"/>
    <mergeCell ref="G29:G30"/>
    <mergeCell ref="H29:H30"/>
    <mergeCell ref="A501:H501"/>
    <mergeCell ref="O29:O30"/>
    <mergeCell ref="AD29:AD30"/>
    <mergeCell ref="AE29:AE30"/>
    <mergeCell ref="AF29:AF30"/>
    <mergeCell ref="Y29:Y30"/>
    <mergeCell ref="S29:S30"/>
    <mergeCell ref="T29:T30"/>
    <mergeCell ref="X29:X30"/>
    <mergeCell ref="Z29:Z30"/>
    <mergeCell ref="AA29:AA30"/>
    <mergeCell ref="AB29:AB30"/>
    <mergeCell ref="AC29:AC30"/>
    <mergeCell ref="B29:B30"/>
    <mergeCell ref="C29:C30"/>
    <mergeCell ref="D29:D30"/>
  </mergeCells>
  <conditionalFormatting sqref="A32:A500 U31:Y500 I31:K500">
    <cfRule type="containsBlanks" dxfId="365" priority="120">
      <formula>LEN(TRIM(A31))=0</formula>
    </cfRule>
  </conditionalFormatting>
  <conditionalFormatting sqref="G31:H500">
    <cfRule type="containsBlanks" dxfId="364" priority="119">
      <formula>LEN(TRIM(G31))=0</formula>
    </cfRule>
  </conditionalFormatting>
  <conditionalFormatting sqref="G31:H500">
    <cfRule type="containsBlanks" dxfId="363" priority="118">
      <formula>LEN(TRIM(G31))=0</formula>
    </cfRule>
  </conditionalFormatting>
  <conditionalFormatting sqref="G31:H500">
    <cfRule type="containsBlanks" dxfId="362" priority="117">
      <formula>LEN(TRIM(G31))=0</formula>
    </cfRule>
  </conditionalFormatting>
  <conditionalFormatting sqref="F31:F500">
    <cfRule type="containsBlanks" dxfId="361" priority="116">
      <formula>LEN(TRIM(F31))=0</formula>
    </cfRule>
  </conditionalFormatting>
  <conditionalFormatting sqref="F31:F500">
    <cfRule type="containsBlanks" dxfId="360" priority="115">
      <formula>LEN(TRIM(F31))=0</formula>
    </cfRule>
  </conditionalFormatting>
  <conditionalFormatting sqref="F31:F500">
    <cfRule type="containsBlanks" dxfId="359" priority="114">
      <formula>LEN(TRIM(F31))=0</formula>
    </cfRule>
  </conditionalFormatting>
  <conditionalFormatting sqref="B31:E500">
    <cfRule type="containsErrors" dxfId="358" priority="112">
      <formula>ISERROR(B31)</formula>
    </cfRule>
    <cfRule type="containsBlanks" dxfId="357" priority="113">
      <formula>LEN(TRIM(B31))=0</formula>
    </cfRule>
  </conditionalFormatting>
  <conditionalFormatting sqref="B31:E500">
    <cfRule type="containsErrors" dxfId="356" priority="110">
      <formula>ISERROR(B31)</formula>
    </cfRule>
    <cfRule type="containsBlanks" dxfId="355" priority="111">
      <formula>LEN(TRIM(B31))=0</formula>
    </cfRule>
  </conditionalFormatting>
  <conditionalFormatting sqref="A31:A500">
    <cfRule type="containsBlanks" dxfId="354" priority="109">
      <formula>LEN(TRIM(A31))=0</formula>
    </cfRule>
  </conditionalFormatting>
  <conditionalFormatting sqref="F31:F500">
    <cfRule type="containsBlanks" dxfId="353" priority="108">
      <formula>LEN(TRIM(F31))=0</formula>
    </cfRule>
  </conditionalFormatting>
  <conditionalFormatting sqref="F31:F500">
    <cfRule type="containsBlanks" dxfId="352" priority="107">
      <formula>LEN(TRIM(F31))=0</formula>
    </cfRule>
  </conditionalFormatting>
  <conditionalFormatting sqref="F31:F500">
    <cfRule type="containsBlanks" dxfId="351" priority="106">
      <formula>LEN(TRIM(F31))=0</formula>
    </cfRule>
  </conditionalFormatting>
  <conditionalFormatting sqref="B31:E500">
    <cfRule type="containsBlanks" dxfId="350" priority="105">
      <formula>LEN(TRIM(B31))=0</formula>
    </cfRule>
  </conditionalFormatting>
  <conditionalFormatting sqref="B31:E500">
    <cfRule type="containsBlanks" dxfId="349" priority="104">
      <formula>LEN(TRIM(B31))=0</formula>
    </cfRule>
  </conditionalFormatting>
  <conditionalFormatting sqref="B31:E500">
    <cfRule type="containsBlanks" dxfId="348" priority="103">
      <formula>LEN(TRIM(B31))=0</formula>
    </cfRule>
  </conditionalFormatting>
  <conditionalFormatting sqref="L31:L500">
    <cfRule type="containsBlanks" dxfId="347" priority="99">
      <formula>LEN(TRIM(L31))=0</formula>
    </cfRule>
  </conditionalFormatting>
  <conditionalFormatting sqref="L31:L500">
    <cfRule type="containsBlanks" dxfId="346" priority="98">
      <formula>LEN(TRIM(L31))=0</formula>
    </cfRule>
  </conditionalFormatting>
  <conditionalFormatting sqref="L31:L500">
    <cfRule type="containsBlanks" dxfId="345" priority="97">
      <formula>LEN(TRIM(L31))=0</formula>
    </cfRule>
  </conditionalFormatting>
  <conditionalFormatting sqref="N31:N500">
    <cfRule type="containsBlanks" dxfId="344" priority="87">
      <formula>LEN(TRIM(N31))=0</formula>
    </cfRule>
  </conditionalFormatting>
  <conditionalFormatting sqref="N31:N500">
    <cfRule type="containsBlanks" dxfId="343" priority="86">
      <formula>LEN(TRIM(N31))=0</formula>
    </cfRule>
  </conditionalFormatting>
  <conditionalFormatting sqref="N31:N500">
    <cfRule type="containsBlanks" dxfId="342" priority="85">
      <formula>LEN(TRIM(N31))=0</formula>
    </cfRule>
  </conditionalFormatting>
  <conditionalFormatting sqref="P31:P500">
    <cfRule type="containsBlanks" dxfId="341" priority="81">
      <formula>LEN(TRIM(P31))=0</formula>
    </cfRule>
  </conditionalFormatting>
  <conditionalFormatting sqref="Q31:Q500">
    <cfRule type="containsBlanks" dxfId="340" priority="77">
      <formula>LEN(TRIM(Q31))=0</formula>
    </cfRule>
  </conditionalFormatting>
  <conditionalFormatting sqref="Q31:Q500">
    <cfRule type="containsBlanks" dxfId="339" priority="76">
      <formula>LEN(TRIM(Q31))=0</formula>
    </cfRule>
  </conditionalFormatting>
  <conditionalFormatting sqref="M31:M500">
    <cfRule type="containsBlanks" dxfId="338" priority="90">
      <formula>LEN(TRIM(M31))=0</formula>
    </cfRule>
  </conditionalFormatting>
  <conditionalFormatting sqref="M31:M500">
    <cfRule type="containsBlanks" dxfId="337" priority="89">
      <formula>LEN(TRIM(M31))=0</formula>
    </cfRule>
  </conditionalFormatting>
  <conditionalFormatting sqref="M31:M500">
    <cfRule type="containsBlanks" dxfId="336" priority="88">
      <formula>LEN(TRIM(M31))=0</formula>
    </cfRule>
  </conditionalFormatting>
  <conditionalFormatting sqref="P31:P500">
    <cfRule type="containsBlanks" dxfId="335" priority="83">
      <formula>LEN(TRIM(P31))=0</formula>
    </cfRule>
  </conditionalFormatting>
  <conditionalFormatting sqref="P31:P500">
    <cfRule type="containsBlanks" dxfId="334" priority="82">
      <formula>LEN(TRIM(P31))=0</formula>
    </cfRule>
  </conditionalFormatting>
  <conditionalFormatting sqref="Q31:Q500">
    <cfRule type="containsBlanks" dxfId="333" priority="75">
      <formula>LEN(TRIM(Q31))=0</formula>
    </cfRule>
  </conditionalFormatting>
  <conditionalFormatting sqref="R31:S500">
    <cfRule type="containsBlanks" dxfId="332" priority="73">
      <formula>LEN(TRIM(R31))=0</formula>
    </cfRule>
  </conditionalFormatting>
  <conditionalFormatting sqref="R31:S500">
    <cfRule type="containsBlanks" dxfId="331" priority="72">
      <formula>LEN(TRIM(R31))=0</formula>
    </cfRule>
  </conditionalFormatting>
  <conditionalFormatting sqref="R31:S500">
    <cfRule type="containsBlanks" dxfId="330" priority="74">
      <formula>LEN(TRIM(R31))=0</formula>
    </cfRule>
  </conditionalFormatting>
  <conditionalFormatting sqref="T31:T500">
    <cfRule type="containsBlanks" dxfId="329" priority="71">
      <formula>LEN(TRIM(T31))=0</formula>
    </cfRule>
  </conditionalFormatting>
  <conditionalFormatting sqref="T31:T500">
    <cfRule type="containsBlanks" dxfId="328" priority="70">
      <formula>LEN(TRIM(T31))=0</formula>
    </cfRule>
  </conditionalFormatting>
  <conditionalFormatting sqref="T31:T500">
    <cfRule type="containsBlanks" dxfId="327" priority="69">
      <formula>LEN(TRIM(T31))=0</formula>
    </cfRule>
  </conditionalFormatting>
  <conditionalFormatting sqref="AC31:AC500">
    <cfRule type="containsBlanks" dxfId="326" priority="53">
      <formula>LEN(TRIM(AC31))=0</formula>
    </cfRule>
  </conditionalFormatting>
  <conditionalFormatting sqref="AC31:AC500">
    <cfRule type="containsBlanks" dxfId="325" priority="54">
      <formula>LEN(TRIM(AC31))=0</formula>
    </cfRule>
  </conditionalFormatting>
  <conditionalFormatting sqref="AC31:AC500">
    <cfRule type="containsBlanks" dxfId="324" priority="55">
      <formula>LEN(TRIM(AC31))=0</formula>
    </cfRule>
  </conditionalFormatting>
  <conditionalFormatting sqref="O31:O500">
    <cfRule type="containsBlanks" dxfId="323" priority="35">
      <formula>LEN(TRIM(O31))=0</formula>
    </cfRule>
  </conditionalFormatting>
  <conditionalFormatting sqref="O31:O500">
    <cfRule type="containsBlanks" dxfId="322" priority="34">
      <formula>LEN(TRIM(O31))=0</formula>
    </cfRule>
  </conditionalFormatting>
  <conditionalFormatting sqref="O31:O500">
    <cfRule type="containsBlanks" dxfId="321" priority="33">
      <formula>LEN(TRIM(O31))=0</formula>
    </cfRule>
  </conditionalFormatting>
  <conditionalFormatting sqref="AD31:AD500">
    <cfRule type="containsBlanks" dxfId="320" priority="29">
      <formula>LEN(TRIM(AD31))=0</formula>
    </cfRule>
  </conditionalFormatting>
  <conditionalFormatting sqref="AD31:AD500">
    <cfRule type="containsBlanks" dxfId="319" priority="28">
      <formula>LEN(TRIM(AD31))=0</formula>
    </cfRule>
  </conditionalFormatting>
  <conditionalFormatting sqref="AD31:AD500">
    <cfRule type="containsBlanks" dxfId="318" priority="27">
      <formula>LEN(TRIM(AD31))=0</formula>
    </cfRule>
  </conditionalFormatting>
  <conditionalFormatting sqref="AE31:AE500">
    <cfRule type="containsBlanks" dxfId="317" priority="25">
      <formula>LEN(TRIM(AE31))=0</formula>
    </cfRule>
  </conditionalFormatting>
  <conditionalFormatting sqref="AE31:AE500">
    <cfRule type="containsBlanks" dxfId="316" priority="24">
      <formula>LEN(TRIM(AE31))=0</formula>
    </cfRule>
  </conditionalFormatting>
  <conditionalFormatting sqref="AE31:AE500">
    <cfRule type="containsBlanks" dxfId="315" priority="26">
      <formula>LEN(TRIM(AE31))=0</formula>
    </cfRule>
  </conditionalFormatting>
  <conditionalFormatting sqref="AF31:AF500">
    <cfRule type="containsBlanks" dxfId="314" priority="23">
      <formula>LEN(TRIM(AF31))=0</formula>
    </cfRule>
  </conditionalFormatting>
  <conditionalFormatting sqref="AF31:AF500">
    <cfRule type="containsBlanks" dxfId="313" priority="22">
      <formula>LEN(TRIM(AF31))=0</formula>
    </cfRule>
  </conditionalFormatting>
  <conditionalFormatting sqref="AF31:AF500">
    <cfRule type="containsBlanks" dxfId="312" priority="21">
      <formula>LEN(TRIM(AF31))=0</formula>
    </cfRule>
  </conditionalFormatting>
  <conditionalFormatting sqref="Z31:Z500">
    <cfRule type="containsBlanks" dxfId="311" priority="18">
      <formula>LEN(TRIM(Z31))=0</formula>
    </cfRule>
  </conditionalFormatting>
  <conditionalFormatting sqref="Z31:Z500">
    <cfRule type="containsBlanks" dxfId="310" priority="17">
      <formula>LEN(TRIM(Z31))=0</formula>
    </cfRule>
  </conditionalFormatting>
  <conditionalFormatting sqref="Z31:Z500">
    <cfRule type="containsBlanks" dxfId="309" priority="19">
      <formula>LEN(TRIM(Z31))=0</formula>
    </cfRule>
  </conditionalFormatting>
  <conditionalFormatting sqref="AA31:AA500">
    <cfRule type="containsBlanks" dxfId="308" priority="9">
      <formula>LEN(TRIM(AA31))=0</formula>
    </cfRule>
  </conditionalFormatting>
  <conditionalFormatting sqref="AA31:AA500">
    <cfRule type="containsBlanks" dxfId="307" priority="8">
      <formula>LEN(TRIM(AA31))=0</formula>
    </cfRule>
  </conditionalFormatting>
  <conditionalFormatting sqref="AA31:AA500">
    <cfRule type="containsBlanks" dxfId="306" priority="10">
      <formula>LEN(TRIM(AA31))=0</formula>
    </cfRule>
  </conditionalFormatting>
  <conditionalFormatting sqref="AB31:AB500">
    <cfRule type="containsBlanks" dxfId="305" priority="3">
      <formula>LEN(TRIM(AB31))=0</formula>
    </cfRule>
  </conditionalFormatting>
  <conditionalFormatting sqref="AB31:AB500">
    <cfRule type="containsBlanks" dxfId="304" priority="2">
      <formula>LEN(TRIM(AB31))=0</formula>
    </cfRule>
  </conditionalFormatting>
  <conditionalFormatting sqref="AB31:AB500">
    <cfRule type="containsBlanks" dxfId="303" priority="4">
      <formula>LEN(TRIM(AB31))=0</formula>
    </cfRule>
  </conditionalFormatting>
  <dataValidations count="1">
    <dataValidation type="decimal" operator="greaterThanOrEqual" allowBlank="1" showInputMessage="1" showErrorMessage="1" sqref="I31:L500">
      <formula1>0</formula1>
    </dataValidation>
  </dataValidations>
  <pageMargins left="0.7" right="0.7" top="0.75" bottom="0.75" header="0.3" footer="0.3"/>
  <pageSetup paperSize="9" scale="60" orientation="portrait" r:id="rId1"/>
  <colBreaks count="2" manualBreakCount="2">
    <brk id="8" max="330" man="1"/>
    <brk id="14" max="330" man="1"/>
  </colBreaks>
  <extLst>
    <ext xmlns:x14="http://schemas.microsoft.com/office/spreadsheetml/2009/9/main" uri="{78C0D931-6437-407d-A8EE-F0AAD7539E65}">
      <x14:conditionalFormattings>
        <x14:conditionalFormatting xmlns:xm="http://schemas.microsoft.com/office/excel/2006/main">
          <x14:cfRule type="expression" priority="1" id="{F4857737-9196-4CE2-9522-8EC05789DA72}">
            <xm:f>'תחום תמיכה א'!$AG31=1</xm:f>
            <x14:dxf>
              <fill>
                <patternFill>
                  <bgColor theme="1"/>
                </patternFill>
              </fill>
            </x14:dxf>
          </x14:cfRule>
          <xm:sqref>U31:AB500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
    <tabColor rgb="FFFFFFCC"/>
  </sheetPr>
  <dimension ref="A1:O331"/>
  <sheetViews>
    <sheetView rightToLeft="1" view="pageBreakPreview" zoomScale="70" zoomScaleNormal="85" zoomScaleSheetLayoutView="70" workbookViewId="0">
      <pane xSplit="4" ySplit="30" topLeftCell="E109" activePane="bottomRight" state="frozen"/>
      <selection activeCell="F27" sqref="F27"/>
      <selection pane="topRight" activeCell="F27" sqref="F27"/>
      <selection pane="bottomLeft" activeCell="F27" sqref="F27"/>
      <selection pane="bottomRight" activeCell="D224" sqref="D224"/>
    </sheetView>
  </sheetViews>
  <sheetFormatPr defaultColWidth="9" defaultRowHeight="14.25" x14ac:dyDescent="0.2"/>
  <cols>
    <col min="1" max="1" width="5.875" style="175" customWidth="1"/>
    <col min="2" max="2" width="16.125" style="175" customWidth="1"/>
    <col min="3" max="3" width="11.125" style="175" bestFit="1" customWidth="1"/>
    <col min="4" max="4" width="21.375" style="175" bestFit="1" customWidth="1"/>
    <col min="5" max="5" width="16.75" style="175" customWidth="1"/>
    <col min="6" max="7" width="15.25" style="175" bestFit="1" customWidth="1"/>
    <col min="8" max="8" width="15.875" style="175" customWidth="1"/>
    <col min="9" max="10" width="9" style="175" hidden="1" customWidth="1"/>
    <col min="11" max="11" width="9" style="175" customWidth="1"/>
    <col min="12" max="16384" width="9" style="175"/>
  </cols>
  <sheetData>
    <row r="1" spans="1:10" ht="19.5" thickBot="1" x14ac:dyDescent="0.25">
      <c r="A1" s="411" t="str">
        <f ca="1">MID(CELL("filename",K2),FIND("]",CELL("filename",K2),1)+1,99)</f>
        <v>גיליון עזר לתחום תמיכה ג</v>
      </c>
      <c r="B1" s="412"/>
      <c r="C1" s="412"/>
      <c r="D1" s="412"/>
      <c r="E1" s="412"/>
      <c r="F1" s="412"/>
      <c r="G1" s="412"/>
      <c r="H1" s="412"/>
    </row>
    <row r="2" spans="1:10" ht="15" thickBot="1" x14ac:dyDescent="0.25">
      <c r="J2" s="175" t="s">
        <v>317</v>
      </c>
    </row>
    <row r="3" spans="1:10" ht="15.75" x14ac:dyDescent="0.2">
      <c r="B3" s="218" t="str">
        <f>'פרמטרים לקריטריונים'!$B$4</f>
        <v>שנת תקציב</v>
      </c>
      <c r="C3" s="216">
        <f>'פרמטרים לקריטריונים'!$C$4</f>
        <v>2020</v>
      </c>
    </row>
    <row r="4" spans="1:10" ht="32.25" thickBot="1" x14ac:dyDescent="0.25">
      <c r="B4" s="219" t="str">
        <f>'פרמטרים לקריטריונים'!$B$5</f>
        <v>תקציב תמיכה תחום א'</v>
      </c>
      <c r="C4" s="217">
        <f>'פרמטרים לקריטריונים'!$C$5</f>
        <v>50000000</v>
      </c>
    </row>
    <row r="5" spans="1:10" hidden="1" x14ac:dyDescent="0.2"/>
    <row r="6" spans="1:10" hidden="1" x14ac:dyDescent="0.2"/>
    <row r="7" spans="1:10" hidden="1" x14ac:dyDescent="0.2"/>
    <row r="8" spans="1:10" hidden="1" x14ac:dyDescent="0.2"/>
    <row r="9" spans="1:10" hidden="1" x14ac:dyDescent="0.2"/>
    <row r="10" spans="1:10" hidden="1" x14ac:dyDescent="0.2"/>
    <row r="11" spans="1:10" hidden="1" x14ac:dyDescent="0.2"/>
    <row r="12" spans="1:10" hidden="1" x14ac:dyDescent="0.2"/>
    <row r="13" spans="1:10" hidden="1" x14ac:dyDescent="0.2"/>
    <row r="14" spans="1:10" hidden="1" x14ac:dyDescent="0.2"/>
    <row r="15" spans="1:10" hidden="1" x14ac:dyDescent="0.2"/>
    <row r="16" spans="1:10" hidden="1" x14ac:dyDescent="0.2"/>
    <row r="17" spans="1:15" hidden="1" x14ac:dyDescent="0.2"/>
    <row r="18" spans="1:15" hidden="1" x14ac:dyDescent="0.2"/>
    <row r="19" spans="1:15" hidden="1" x14ac:dyDescent="0.2"/>
    <row r="20" spans="1:15" hidden="1" x14ac:dyDescent="0.2"/>
    <row r="21" spans="1:15" hidden="1" x14ac:dyDescent="0.2"/>
    <row r="22" spans="1:15" hidden="1" x14ac:dyDescent="0.2"/>
    <row r="23" spans="1:15" hidden="1" x14ac:dyDescent="0.2"/>
    <row r="24" spans="1:15" hidden="1" x14ac:dyDescent="0.2"/>
    <row r="25" spans="1:15" hidden="1" x14ac:dyDescent="0.2"/>
    <row r="26" spans="1:15" s="280" customFormat="1" ht="12.75" x14ac:dyDescent="0.2">
      <c r="A26" s="279"/>
      <c r="B26" s="279"/>
      <c r="C26" s="279"/>
      <c r="D26" s="279"/>
      <c r="E26" s="279"/>
      <c r="F26" s="279"/>
      <c r="G26" s="279"/>
      <c r="H26" s="279"/>
    </row>
    <row r="27" spans="1:15" s="280" customFormat="1" ht="13.5" thickBot="1" x14ac:dyDescent="0.25">
      <c r="A27" s="279"/>
      <c r="B27" s="279"/>
      <c r="C27" s="279"/>
      <c r="D27" s="279"/>
      <c r="E27" s="279"/>
      <c r="F27" s="279" t="s">
        <v>526</v>
      </c>
      <c r="G27" s="279" t="s">
        <v>526</v>
      </c>
      <c r="H27" s="279"/>
    </row>
    <row r="28" spans="1:15" ht="15.75" thickBot="1" x14ac:dyDescent="0.3">
      <c r="A28" s="404" t="s">
        <v>496</v>
      </c>
      <c r="B28" s="406"/>
      <c r="C28" s="3"/>
      <c r="D28" s="3"/>
      <c r="E28" s="3">
        <v>10</v>
      </c>
      <c r="F28" s="3" t="s">
        <v>462</v>
      </c>
      <c r="G28" s="3" t="s">
        <v>462</v>
      </c>
      <c r="H28" s="3" t="s">
        <v>462</v>
      </c>
    </row>
    <row r="29" spans="1:15" s="105" customFormat="1" ht="84.6" customHeight="1" thickBot="1" x14ac:dyDescent="0.25">
      <c r="A29" s="19" t="s">
        <v>1</v>
      </c>
      <c r="B29" s="63" t="s">
        <v>257</v>
      </c>
      <c r="C29" s="63" t="s">
        <v>253</v>
      </c>
      <c r="D29" s="63" t="s">
        <v>256</v>
      </c>
      <c r="E29" s="20" t="s">
        <v>434</v>
      </c>
      <c r="F29" s="20" t="s">
        <v>437</v>
      </c>
      <c r="G29" s="20" t="s">
        <v>438</v>
      </c>
      <c r="H29" s="407" t="s">
        <v>439</v>
      </c>
      <c r="O29" s="106"/>
    </row>
    <row r="30" spans="1:15" ht="15.75" thickBot="1" x14ac:dyDescent="0.3">
      <c r="A30" s="5"/>
      <c r="B30" s="7"/>
      <c r="C30" s="7"/>
      <c r="D30" s="7"/>
      <c r="E30" s="207"/>
      <c r="F30" s="8" t="s">
        <v>261</v>
      </c>
      <c r="G30" s="8" t="s">
        <v>261</v>
      </c>
      <c r="H30" s="408"/>
    </row>
    <row r="31" spans="1:15" ht="15.75" x14ac:dyDescent="0.2">
      <c r="A31" s="206">
        <f>IF(C31="","",ROW()-30)</f>
        <v>1</v>
      </c>
      <c r="B31" s="88">
        <f>IF('הזנה לסיווג רשויות'!B2="","",'הזנה לסיווג רשויות'!B2)</f>
        <v>472</v>
      </c>
      <c r="C31" s="88">
        <f>IF('הזנה לסיווג רשויות'!C2="","",'הזנה לסיווג רשויות'!C2)</f>
        <v>20000031</v>
      </c>
      <c r="D31" s="88" t="str">
        <f>IF('הזנה לסיווג רשויות'!D2="","",'הזנה לסיווג רשויות'!D2)</f>
        <v>אבו גוש</v>
      </c>
      <c r="E31" s="88">
        <f>IF(D31="","",IF(SUMIF('הזנה לתנאי סף'!$F$31:$F$500,C31,'הזנה לתנאי סף'!$N$31:$N$500)&gt;0,1,0))</f>
        <v>0</v>
      </c>
      <c r="F31" s="109"/>
      <c r="G31" s="109"/>
      <c r="H31" s="213" t="str">
        <f>IF(E31=1,IF(OR(F31="",G31=""),$J$2,IF(G31&gt;=F31,G31-F31,"")),"")</f>
        <v/>
      </c>
    </row>
    <row r="32" spans="1:15" ht="15.75" x14ac:dyDescent="0.2">
      <c r="A32" s="206">
        <f t="shared" ref="A32:A95" si="0">IF(C32="","",ROW()-30)</f>
        <v>2</v>
      </c>
      <c r="B32" s="88">
        <f>IF('הזנה לסיווג רשויות'!B3="","",'הזנה לסיווג רשויות'!B3)</f>
        <v>473</v>
      </c>
      <c r="C32" s="88">
        <f>IF('הזנה לסיווג רשויות'!C3="","",'הזנה לסיווג רשויות'!C3)</f>
        <v>20000032</v>
      </c>
      <c r="D32" s="88" t="str">
        <f>IF('הזנה לסיווג רשויות'!D3="","",'הזנה לסיווג רשויות'!D3)</f>
        <v>אבו סנאן</v>
      </c>
      <c r="E32" s="88">
        <f>IF(D32="","",IF(SUMIF('הזנה לתנאי סף'!$F$31:$F$500,C32,'הזנה לתנאי סף'!$N$31:$N$500)&gt;0,1,0))</f>
        <v>0</v>
      </c>
      <c r="F32" s="109"/>
      <c r="G32" s="109"/>
      <c r="H32" s="213" t="str">
        <f t="shared" ref="H32:H95" si="1">IF(E32=1,IF(OR(F32="",G32=""),$J$2,IF(G32&gt;=F32,G32-F32,"")),"")</f>
        <v/>
      </c>
    </row>
    <row r="33" spans="1:8" ht="15.75" x14ac:dyDescent="0.2">
      <c r="A33" s="206">
        <f t="shared" si="0"/>
        <v>3</v>
      </c>
      <c r="B33" s="88">
        <f>IF('הזנה לסיווג רשויות'!B4="","",'הזנה לסיווג רשויות'!B4)</f>
        <v>182</v>
      </c>
      <c r="C33" s="88">
        <f>IF('הזנה לסיווג רשויות'!C4="","",'הזנה לסיווג רשויות'!C4)</f>
        <v>20000021</v>
      </c>
      <c r="D33" s="88" t="str">
        <f>IF('הזנה לסיווג רשויות'!D4="","",'הזנה לסיווג רשויות'!D4)</f>
        <v>אבן יהודה</v>
      </c>
      <c r="E33" s="88">
        <f>IF(D33="","",IF(SUMIF('הזנה לתנאי סף'!$F$31:$F$500,C33,'הזנה לתנאי סף'!$N$31:$N$500)&gt;0,1,0))</f>
        <v>0</v>
      </c>
      <c r="F33" s="109"/>
      <c r="G33" s="109"/>
      <c r="H33" s="213" t="str">
        <f t="shared" si="1"/>
        <v/>
      </c>
    </row>
    <row r="34" spans="1:8" ht="15.75" x14ac:dyDescent="0.2">
      <c r="A34" s="206">
        <f t="shared" si="0"/>
        <v>4</v>
      </c>
      <c r="B34" s="88">
        <f>IF('הזנה לסיווג רשויות'!B5="","",'הזנה לסיווג רשויות'!B5)</f>
        <v>2710</v>
      </c>
      <c r="C34" s="88">
        <f>IF('הזנה לסיווג רשויות'!C5="","",'הזנה לסיווג רשויות'!C5)</f>
        <v>20000154</v>
      </c>
      <c r="D34" s="88" t="str">
        <f>IF('הזנה לסיווג רשויות'!D5="","",'הזנה לסיווג רשויות'!D5)</f>
        <v>אום אל-פחם</v>
      </c>
      <c r="E34" s="88">
        <f>IF(D34="","",IF(SUMIF('הזנה לתנאי סף'!$F$31:$F$500,C34,'הזנה לתנאי סף'!$N$31:$N$500)&gt;0,1,0))</f>
        <v>0</v>
      </c>
      <c r="F34" s="109"/>
      <c r="G34" s="109"/>
      <c r="H34" s="213" t="str">
        <f t="shared" si="1"/>
        <v/>
      </c>
    </row>
    <row r="35" spans="1:8" ht="15.75" x14ac:dyDescent="0.2">
      <c r="A35" s="206">
        <f t="shared" si="0"/>
        <v>5</v>
      </c>
      <c r="B35" s="88">
        <f>IF('הזנה לסיווג רשויות'!B6="","",'הזנה לסיווג רשויות'!B6)</f>
        <v>31</v>
      </c>
      <c r="C35" s="88">
        <f>IF('הזנה לסיווג רשויות'!C6="","",'הזנה לסיווג רשויות'!C6)</f>
        <v>20000004</v>
      </c>
      <c r="D35" s="88" t="str">
        <f>IF('הזנה לסיווג רשויות'!D6="","",'הזנה לסיווג רשויות'!D6)</f>
        <v>אופקים</v>
      </c>
      <c r="E35" s="88">
        <f>IF(D35="","",IF(SUMIF('הזנה לתנאי סף'!$F$31:$F$500,C35,'הזנה לתנאי סף'!$N$31:$N$500)&gt;0,1,0))</f>
        <v>0</v>
      </c>
      <c r="F35" s="109"/>
      <c r="G35" s="109"/>
      <c r="H35" s="213" t="str">
        <f t="shared" si="1"/>
        <v/>
      </c>
    </row>
    <row r="36" spans="1:8" ht="15.75" x14ac:dyDescent="0.2">
      <c r="A36" s="206">
        <f t="shared" si="0"/>
        <v>6</v>
      </c>
      <c r="B36" s="88">
        <f>IF('הזנה לסיווג רשויות'!B7="","",'הזנה לסיווג רשויות'!B7)</f>
        <v>2400</v>
      </c>
      <c r="C36" s="88">
        <f>IF('הזנה לסיווג רשויות'!C7="","",'הזנה לסיווג רשויות'!C7)</f>
        <v>20000138</v>
      </c>
      <c r="D36" s="88" t="str">
        <f>IF('הזנה לסיווג רשויות'!D7="","",'הזנה לסיווג רשויות'!D7)</f>
        <v>אור יהודה</v>
      </c>
      <c r="E36" s="88">
        <f>IF(D36="","",IF(SUMIF('הזנה לתנאי סף'!$F$31:$F$500,C36,'הזנה לתנאי סף'!$N$31:$N$500)&gt;0,1,0))</f>
        <v>0</v>
      </c>
      <c r="F36" s="109"/>
      <c r="G36" s="109"/>
      <c r="H36" s="213" t="str">
        <f t="shared" si="1"/>
        <v/>
      </c>
    </row>
    <row r="37" spans="1:8" ht="15.75" x14ac:dyDescent="0.2">
      <c r="A37" s="206">
        <f t="shared" si="0"/>
        <v>7</v>
      </c>
      <c r="B37" s="88">
        <f>IF('הזנה לסיווג רשויות'!B8="","",'הזנה לסיווג רשויות'!B8)</f>
        <v>1020</v>
      </c>
      <c r="C37" s="88">
        <f>IF('הזנה לסיווג רשויות'!C8="","",'הזנה לסיווג רשויות'!C8)</f>
        <v>20000094</v>
      </c>
      <c r="D37" s="88" t="str">
        <f>IF('הזנה לסיווג רשויות'!D8="","",'הזנה לסיווג רשויות'!D8)</f>
        <v>אור עקיבא</v>
      </c>
      <c r="E37" s="88">
        <f>IF(D37="","",IF(SUMIF('הזנה לתנאי סף'!$F$31:$F$500,C37,'הזנה לתנאי סף'!$N$31:$N$500)&gt;0,1,0))</f>
        <v>0</v>
      </c>
      <c r="F37" s="109"/>
      <c r="G37" s="109"/>
      <c r="H37" s="213" t="str">
        <f t="shared" si="1"/>
        <v/>
      </c>
    </row>
    <row r="38" spans="1:8" ht="15.75" x14ac:dyDescent="0.2">
      <c r="A38" s="206">
        <f t="shared" si="0"/>
        <v>8</v>
      </c>
      <c r="B38" s="88">
        <f>IF('הזנה לסיווג רשויות'!B9="","",'הזנה לסיווג רשויות'!B9)</f>
        <v>3760</v>
      </c>
      <c r="C38" s="88">
        <f>IF('הזנה לסיווג רשויות'!C9="","",'הזנה לסיווג רשויות'!C9)</f>
        <v>20000178</v>
      </c>
      <c r="D38" s="88" t="str">
        <f>IF('הזנה לסיווג רשויות'!D9="","",'הזנה לסיווג רשויות'!D9)</f>
        <v>אורנית</v>
      </c>
      <c r="E38" s="88">
        <f>IF(D38="","",IF(SUMIF('הזנה לתנאי סף'!$F$31:$F$500,C38,'הזנה לתנאי סף'!$N$31:$N$500)&gt;0,1,0))</f>
        <v>0</v>
      </c>
      <c r="F38" s="109"/>
      <c r="G38" s="109"/>
      <c r="H38" s="213" t="str">
        <f t="shared" si="1"/>
        <v/>
      </c>
    </row>
    <row r="39" spans="1:8" ht="15.75" x14ac:dyDescent="0.2">
      <c r="A39" s="206">
        <f t="shared" si="0"/>
        <v>9</v>
      </c>
      <c r="B39" s="88">
        <f>IF('הזנה לסיווג רשויות'!B10="","",'הזנה לסיווג רשויות'!B10)</f>
        <v>565</v>
      </c>
      <c r="C39" s="88">
        <f>IF('הזנה לסיווג רשויות'!C10="","",'הזנה לסיווג רשויות'!C10)</f>
        <v>20000073</v>
      </c>
      <c r="D39" s="88" t="str">
        <f>IF('הזנה לסיווג רשויות'!D10="","",'הזנה לסיווג רשויות'!D10)</f>
        <v>אזור</v>
      </c>
      <c r="E39" s="88">
        <f>IF(D39="","",IF(SUMIF('הזנה לתנאי סף'!$F$31:$F$500,C39,'הזנה לתנאי סף'!$N$31:$N$500)&gt;0,1,0))</f>
        <v>0</v>
      </c>
      <c r="F39" s="109"/>
      <c r="G39" s="109"/>
      <c r="H39" s="213" t="str">
        <f t="shared" si="1"/>
        <v/>
      </c>
    </row>
    <row r="40" spans="1:8" ht="15.75" x14ac:dyDescent="0.2">
      <c r="A40" s="206">
        <f t="shared" si="0"/>
        <v>10</v>
      </c>
      <c r="B40" s="88">
        <f>IF('הזנה לסיווג רשויות'!B11="","",'הזנה לסיווג רשויות'!B11)</f>
        <v>2600</v>
      </c>
      <c r="C40" s="88">
        <f>IF('הזנה לסיווג רשויות'!C11="","",'הזנה לסיווג רשויות'!C11)</f>
        <v>20000147</v>
      </c>
      <c r="D40" s="88" t="str">
        <f>IF('הזנה לסיווג רשויות'!D11="","",'הזנה לסיווג רשויות'!D11)</f>
        <v>אילת</v>
      </c>
      <c r="E40" s="88">
        <f>IF(D40="","",IF(SUMIF('הזנה לתנאי סף'!$F$31:$F$500,C40,'הזנה לתנאי סף'!$N$31:$N$500)&gt;0,1,0))</f>
        <v>0</v>
      </c>
      <c r="F40" s="109"/>
      <c r="G40" s="109"/>
      <c r="H40" s="213" t="str">
        <f t="shared" si="1"/>
        <v/>
      </c>
    </row>
    <row r="41" spans="1:8" ht="15.75" x14ac:dyDescent="0.2">
      <c r="A41" s="206">
        <f t="shared" si="0"/>
        <v>11</v>
      </c>
      <c r="B41" s="88">
        <f>IF('הזנה לסיווג רשויות'!B12="","",'הזנה לסיווג רשויות'!B12)</f>
        <v>478</v>
      </c>
      <c r="C41" s="88">
        <f>IF('הזנה לסיווג רשויות'!C12="","",'הזנה לסיווג רשויות'!C12)</f>
        <v>20000033</v>
      </c>
      <c r="D41" s="88" t="str">
        <f>IF('הזנה לסיווג רשויות'!D12="","",'הזנה לסיווג רשויות'!D12)</f>
        <v>אכסאל</v>
      </c>
      <c r="E41" s="88">
        <f>IF(D41="","",IF(SUMIF('הזנה לתנאי סף'!$F$31:$F$500,C41,'הזנה לתנאי סף'!$N$31:$N$500)&gt;0,1,0))</f>
        <v>0</v>
      </c>
      <c r="F41" s="109"/>
      <c r="G41" s="109"/>
      <c r="H41" s="213" t="str">
        <f t="shared" si="1"/>
        <v/>
      </c>
    </row>
    <row r="42" spans="1:8" ht="15.75" x14ac:dyDescent="0.2">
      <c r="A42" s="206">
        <f t="shared" si="0"/>
        <v>12</v>
      </c>
      <c r="B42" s="88">
        <f>IF('הזנה לסיווג רשויות'!B13="","",'הזנה לסיווג רשויות'!B13)</f>
        <v>65</v>
      </c>
      <c r="C42" s="88">
        <f>IF('הזנה לסיווג רשויות'!C13="","",'הזנה לסיווג רשויות'!C13)</f>
        <v>20000145</v>
      </c>
      <c r="D42" s="88" t="str">
        <f>IF('הזנה לסיווג רשויות'!D13="","",'הזנה לסיווג רשויות'!D13)</f>
        <v>אל-בטוף</v>
      </c>
      <c r="E42" s="88">
        <f>IF(D42="","",IF(SUMIF('הזנה לתנאי סף'!$F$31:$F$500,C42,'הזנה לתנאי סף'!$N$31:$N$500)&gt;0,1,0))</f>
        <v>0</v>
      </c>
      <c r="F42" s="109"/>
      <c r="G42" s="109"/>
      <c r="H42" s="213" t="str">
        <f t="shared" si="1"/>
        <v/>
      </c>
    </row>
    <row r="43" spans="1:8" ht="15.75" x14ac:dyDescent="0.2">
      <c r="A43" s="206">
        <f t="shared" si="0"/>
        <v>13</v>
      </c>
      <c r="B43" s="88">
        <f>IF('הזנה לסיווג רשויות'!B14="","",'הזנה לסיווג רשויות'!B14)</f>
        <v>69</v>
      </c>
      <c r="C43" s="88">
        <f>IF('הזנה לסיווג רשויות'!C14="","",'הזנה לסיווג רשויות'!C14)</f>
        <v>20000862</v>
      </c>
      <c r="D43" s="88" t="str">
        <f>IF('הזנה לסיווג רשויות'!D14="","",'הזנה לסיווג רשויות'!D14)</f>
        <v>אל קסום</v>
      </c>
      <c r="E43" s="88">
        <f>IF(D43="","",IF(SUMIF('הזנה לתנאי סף'!$F$31:$F$500,C43,'הזנה לתנאי סף'!$N$31:$N$500)&gt;0,1,0))</f>
        <v>0</v>
      </c>
      <c r="F43" s="109"/>
      <c r="G43" s="109"/>
      <c r="H43" s="213" t="str">
        <f t="shared" si="1"/>
        <v/>
      </c>
    </row>
    <row r="44" spans="1:8" ht="15.75" x14ac:dyDescent="0.2">
      <c r="A44" s="206">
        <f t="shared" si="0"/>
        <v>14</v>
      </c>
      <c r="B44" s="88">
        <f>IF('הזנה לסיווג רשויות'!B15="","",'הזנה לסיווג רשויות'!B15)</f>
        <v>45</v>
      </c>
      <c r="C44" s="88">
        <f>IF('הזנה לסיווג רשויות'!C15="","",'הזנה לסיווג רשויות'!C15)</f>
        <v>20000163</v>
      </c>
      <c r="D44" s="88" t="str">
        <f>IF('הזנה לסיווג רשויות'!D15="","",'הזנה לסיווג רשויות'!D15)</f>
        <v>אלונה</v>
      </c>
      <c r="E44" s="88">
        <f>IF(D44="","",IF(SUMIF('הזנה לתנאי סף'!$F$31:$F$500,C44,'הזנה לתנאי סף'!$N$31:$N$500)&gt;0,1,0))</f>
        <v>0</v>
      </c>
      <c r="F44" s="109"/>
      <c r="G44" s="109"/>
      <c r="H44" s="213" t="str">
        <f t="shared" si="1"/>
        <v/>
      </c>
    </row>
    <row r="45" spans="1:8" ht="15.75" x14ac:dyDescent="0.2">
      <c r="A45" s="206">
        <f t="shared" si="0"/>
        <v>15</v>
      </c>
      <c r="B45" s="88">
        <f>IF('הזנה לסיווג רשויות'!B16="","",'הזנה לסיווג רשויות'!B16)</f>
        <v>41</v>
      </c>
      <c r="C45" s="88">
        <f>IF('הזנה לסיווג רשויות'!C16="","",'הזנה לסיווג רשויות'!C16)</f>
        <v>20000005</v>
      </c>
      <c r="D45" s="88" t="str">
        <f>IF('הזנה לסיווג רשויות'!D16="","",'הזנה לסיווג רשויות'!D16)</f>
        <v>אליכין</v>
      </c>
      <c r="E45" s="88">
        <f>IF(D45="","",IF(SUMIF('הזנה לתנאי סף'!$F$31:$F$500,C45,'הזנה לתנאי סף'!$N$31:$N$500)&gt;0,1,0))</f>
        <v>0</v>
      </c>
      <c r="F45" s="109"/>
      <c r="G45" s="109"/>
      <c r="H45" s="213" t="str">
        <f t="shared" si="1"/>
        <v/>
      </c>
    </row>
    <row r="46" spans="1:8" ht="15.75" x14ac:dyDescent="0.2">
      <c r="A46" s="206">
        <f t="shared" si="0"/>
        <v>16</v>
      </c>
      <c r="B46" s="88">
        <f>IF('הזנה לסיווג רשויות'!B17="","",'הזנה לסיווג רשויות'!B17)</f>
        <v>1309</v>
      </c>
      <c r="C46" s="88">
        <f>IF('הזנה לסיווג רשויות'!C17="","",'הזנה לסיווג רשויות'!C17)</f>
        <v>20000122</v>
      </c>
      <c r="D46" s="88" t="str">
        <f>IF('הזנה לסיווג רשויות'!D17="","",'הזנה לסיווג רשויות'!D17)</f>
        <v>אלעד</v>
      </c>
      <c r="E46" s="88">
        <f>IF(D46="","",IF(SUMIF('הזנה לתנאי סף'!$F$31:$F$500,C46,'הזנה לתנאי סף'!$N$31:$N$500)&gt;0,1,0))</f>
        <v>0</v>
      </c>
      <c r="F46" s="109"/>
      <c r="G46" s="109"/>
      <c r="H46" s="213" t="str">
        <f t="shared" si="1"/>
        <v/>
      </c>
    </row>
    <row r="47" spans="1:8" ht="15.75" x14ac:dyDescent="0.2">
      <c r="A47" s="206">
        <f t="shared" si="0"/>
        <v>17</v>
      </c>
      <c r="B47" s="88">
        <f>IF('הזנה לסיווג רשויות'!B18="","",'הזנה לסיווג רשויות'!B18)</f>
        <v>3750</v>
      </c>
      <c r="C47" s="88">
        <f>IF('הזנה לסיווג רשויות'!C18="","",'הזנה לסיווג רשויות'!C18)</f>
        <v>20000177</v>
      </c>
      <c r="D47" s="88" t="str">
        <f>IF('הזנה לסיווג רשויות'!D18="","",'הזנה לסיווג רשויות'!D18)</f>
        <v>אלפי מנשה</v>
      </c>
      <c r="E47" s="88">
        <f>IF(D47="","",IF(SUMIF('הזנה לתנאי סף'!$F$31:$F$500,C47,'הזנה לתנאי סף'!$N$31:$N$500)&gt;0,1,0))</f>
        <v>0</v>
      </c>
      <c r="F47" s="109"/>
      <c r="G47" s="109"/>
      <c r="H47" s="213" t="str">
        <f t="shared" si="1"/>
        <v/>
      </c>
    </row>
    <row r="48" spans="1:8" ht="15.75" x14ac:dyDescent="0.2">
      <c r="A48" s="206">
        <f t="shared" si="0"/>
        <v>18</v>
      </c>
      <c r="B48" s="88">
        <f>IF('הזנה לסיווג רשויות'!B19="","",'הזנה לסיווג רשויות'!B19)</f>
        <v>3560</v>
      </c>
      <c r="C48" s="88">
        <f>IF('הזנה לסיווג רשויות'!C19="","",'הזנה לסיווג רשויות'!C19)</f>
        <v>20000166</v>
      </c>
      <c r="D48" s="88" t="str">
        <f>IF('הזנה לסיווג רשויות'!D19="","",'הזנה לסיווג רשויות'!D19)</f>
        <v>אלקנה</v>
      </c>
      <c r="E48" s="88">
        <f>IF(D48="","",IF(SUMIF('הזנה לתנאי סף'!$F$31:$F$500,C48,'הזנה לתנאי סף'!$N$31:$N$500)&gt;0,1,0))</f>
        <v>0</v>
      </c>
      <c r="F48" s="109"/>
      <c r="G48" s="109"/>
      <c r="H48" s="213" t="str">
        <f t="shared" si="1"/>
        <v/>
      </c>
    </row>
    <row r="49" spans="1:8" ht="15.75" x14ac:dyDescent="0.2">
      <c r="A49" s="206">
        <f t="shared" si="0"/>
        <v>19</v>
      </c>
      <c r="B49" s="88">
        <f>IF('הזנה לסיווג רשויות'!B20="","",'הזנה לסיווג רשויות'!B20)</f>
        <v>529</v>
      </c>
      <c r="C49" s="88">
        <f>IF('הזנה לסיווג רשויות'!C20="","",'הזנה לסיווג רשויות'!C20)</f>
        <v>20000061</v>
      </c>
      <c r="D49" s="88" t="str">
        <f>IF('הזנה לסיווג רשויות'!D20="","",'הזנה לסיווג רשויות'!D20)</f>
        <v>אעבלין</v>
      </c>
      <c r="E49" s="88">
        <f>IF(D49="","",IF(SUMIF('הזנה לתנאי סף'!$F$31:$F$500,C49,'הזנה לתנאי סף'!$N$31:$N$500)&gt;0,1,0))</f>
        <v>0</v>
      </c>
      <c r="F49" s="109"/>
      <c r="G49" s="109"/>
      <c r="H49" s="213" t="str">
        <f t="shared" si="1"/>
        <v/>
      </c>
    </row>
    <row r="50" spans="1:8" ht="15.75" x14ac:dyDescent="0.2">
      <c r="A50" s="206">
        <f t="shared" si="0"/>
        <v>20</v>
      </c>
      <c r="B50" s="88">
        <f>IF('הזנה לסיווג רשויות'!B21="","",'הזנה לסיווג רשויות'!B21)</f>
        <v>3650</v>
      </c>
      <c r="C50" s="88">
        <f>IF('הזנה לסיווג רשויות'!C21="","",'הזנה לסיווג רשויות'!C21)</f>
        <v>20000173</v>
      </c>
      <c r="D50" s="88" t="str">
        <f>IF('הזנה לסיווג רשויות'!D21="","",'הזנה לסיווג רשויות'!D21)</f>
        <v>אפרת</v>
      </c>
      <c r="E50" s="88">
        <f>IF(D50="","",IF(SUMIF('הזנה לתנאי סף'!$F$31:$F$500,C50,'הזנה לתנאי סף'!$N$31:$N$500)&gt;0,1,0))</f>
        <v>0</v>
      </c>
      <c r="F50" s="109"/>
      <c r="G50" s="109"/>
      <c r="H50" s="213" t="str">
        <f t="shared" si="1"/>
        <v/>
      </c>
    </row>
    <row r="51" spans="1:8" ht="15.75" x14ac:dyDescent="0.2">
      <c r="A51" s="206">
        <f t="shared" si="0"/>
        <v>21</v>
      </c>
      <c r="B51" s="88">
        <f>IF('הזנה לסיווג רשויות'!B22="","",'הזנה לסיווג רשויות'!B22)</f>
        <v>3570</v>
      </c>
      <c r="C51" s="88">
        <f>IF('הזנה לסיווג רשויות'!C22="","",'הזנה לסיווג רשויות'!C22)</f>
        <v>20000167</v>
      </c>
      <c r="D51" s="88" t="str">
        <f>IF('הזנה לסיווג רשויות'!D22="","",'הזנה לסיווג רשויות'!D22)</f>
        <v>אריאל</v>
      </c>
      <c r="E51" s="88">
        <f>IF(D51="","",IF(SUMIF('הזנה לתנאי סף'!$F$31:$F$500,C51,'הזנה לתנאי סף'!$N$31:$N$500)&gt;0,1,0))</f>
        <v>0</v>
      </c>
      <c r="F51" s="109"/>
      <c r="G51" s="109"/>
      <c r="H51" s="213" t="str">
        <f t="shared" si="1"/>
        <v/>
      </c>
    </row>
    <row r="52" spans="1:8" ht="15.75" x14ac:dyDescent="0.2">
      <c r="A52" s="206">
        <f t="shared" si="0"/>
        <v>22</v>
      </c>
      <c r="B52" s="88">
        <f>IF('הזנה לסיווג רשויות'!B23="","",'הזנה לסיווג רשויות'!B23)</f>
        <v>70</v>
      </c>
      <c r="C52" s="88">
        <f>IF('הזנה לסיווג רשויות'!C23="","",'הזנה לסיווג רשויות'!C23)</f>
        <v>20000014</v>
      </c>
      <c r="D52" s="88" t="str">
        <f>IF('הזנה לסיווג רשויות'!D23="","",'הזנה לסיווג רשויות'!D23)</f>
        <v>אשדוד</v>
      </c>
      <c r="E52" s="88">
        <f>IF(D52="","",IF(SUMIF('הזנה לתנאי סף'!$F$31:$F$500,C52,'הזנה לתנאי סף'!$N$31:$N$500)&gt;0,1,0))</f>
        <v>1</v>
      </c>
      <c r="F52" s="109">
        <v>816756</v>
      </c>
      <c r="G52" s="109">
        <v>816755</v>
      </c>
      <c r="H52" s="213" t="str">
        <f t="shared" si="1"/>
        <v/>
      </c>
    </row>
    <row r="53" spans="1:8" ht="15.75" x14ac:dyDescent="0.2">
      <c r="A53" s="206">
        <f t="shared" si="0"/>
        <v>23</v>
      </c>
      <c r="B53" s="88">
        <f>IF('הזנה לסיווג רשויות'!B24="","",'הזנה לסיווג רשויות'!B24)</f>
        <v>38</v>
      </c>
      <c r="C53" s="88">
        <f>IF('הזנה לסיווג רשויות'!C24="","",'הזנה לסיווג רשויות'!C24)</f>
        <v>20000212</v>
      </c>
      <c r="D53" s="88" t="str">
        <f>IF('הזנה לסיווג רשויות'!D24="","",'הזנה לסיווג רשויות'!D24)</f>
        <v>אשכול</v>
      </c>
      <c r="E53" s="88">
        <f>IF(D53="","",IF(SUMIF('הזנה לתנאי סף'!$F$31:$F$500,C53,'הזנה לתנאי סף'!$N$31:$N$500)&gt;0,1,0))</f>
        <v>0</v>
      </c>
      <c r="F53" s="109"/>
      <c r="G53" s="109"/>
      <c r="H53" s="213" t="str">
        <f t="shared" si="1"/>
        <v/>
      </c>
    </row>
    <row r="54" spans="1:8" ht="15.75" x14ac:dyDescent="0.2">
      <c r="A54" s="206">
        <f t="shared" si="0"/>
        <v>24</v>
      </c>
      <c r="B54" s="88">
        <f>IF('הזנה לסיווג רשויות'!B25="","",'הזנה לסיווג רשויות'!B25)</f>
        <v>7100</v>
      </c>
      <c r="C54" s="88">
        <f>IF('הזנה לסיווג רשויות'!C25="","",'הזנה לסיווג רשויות'!C25)</f>
        <v>20000229</v>
      </c>
      <c r="D54" s="88" t="str">
        <f>IF('הזנה לסיווג רשויות'!D25="","",'הזנה לסיווג רשויות'!D25)</f>
        <v>אשקלון</v>
      </c>
      <c r="E54" s="88">
        <f>IF(D54="","",IF(SUMIF('הזנה לתנאי סף'!$F$31:$F$500,C54,'הזנה לתנאי סף'!$N$31:$N$500)&gt;0,1,0))</f>
        <v>0</v>
      </c>
      <c r="F54" s="109"/>
      <c r="G54" s="109"/>
      <c r="H54" s="213" t="str">
        <f t="shared" si="1"/>
        <v/>
      </c>
    </row>
    <row r="55" spans="1:8" ht="15.75" x14ac:dyDescent="0.2">
      <c r="A55" s="206">
        <f t="shared" si="0"/>
        <v>25</v>
      </c>
      <c r="B55" s="88">
        <f>IF('הזנה לסיווג רשויות'!B26="","",'הזנה לסיווג רשויות'!B26)</f>
        <v>6000</v>
      </c>
      <c r="C55" s="88">
        <f>IF('הזנה לסיווג רשויות'!C26="","",'הזנה לסיווג רשויות'!C26)</f>
        <v>20000203</v>
      </c>
      <c r="D55" s="88" t="str">
        <f>IF('הזנה לסיווג רשויות'!D26="","",'הזנה לסיווג רשויות'!D26)</f>
        <v>באקה אל-גרביה</v>
      </c>
      <c r="E55" s="88">
        <f>IF(D55="","",IF(SUMIF('הזנה לתנאי סף'!$F$31:$F$500,C55,'הזנה לתנאי סף'!$N$31:$N$500)&gt;0,1,0))</f>
        <v>0</v>
      </c>
      <c r="F55" s="109"/>
      <c r="G55" s="109"/>
      <c r="H55" s="213" t="str">
        <f t="shared" si="1"/>
        <v/>
      </c>
    </row>
    <row r="56" spans="1:8" ht="15.75" x14ac:dyDescent="0.2">
      <c r="A56" s="206">
        <f t="shared" si="0"/>
        <v>26</v>
      </c>
      <c r="B56" s="88">
        <f>IF('הזנה לסיווג רשויות'!B27="","",'הזנה לסיווג רשויות'!B27)</f>
        <v>33</v>
      </c>
      <c r="C56" s="88">
        <f>IF('הזנה לסיווג רשויות'!C27="","",'הזנה לסיווג רשויות'!C27)</f>
        <v>20000205</v>
      </c>
      <c r="D56" s="88" t="str">
        <f>IF('הזנה לסיווג רשויות'!D27="","",'הזנה לסיווג רשויות'!D27)</f>
        <v>באר טוביה</v>
      </c>
      <c r="E56" s="88">
        <f>IF(D56="","",IF(SUMIF('הזנה לתנאי סף'!$F$31:$F$500,C56,'הזנה לתנאי סף'!$N$31:$N$500)&gt;0,1,0))</f>
        <v>0</v>
      </c>
      <c r="F56" s="109"/>
      <c r="G56" s="109"/>
      <c r="H56" s="213" t="str">
        <f t="shared" si="1"/>
        <v/>
      </c>
    </row>
    <row r="57" spans="1:8" ht="15.75" x14ac:dyDescent="0.2">
      <c r="A57" s="206">
        <f t="shared" si="0"/>
        <v>27</v>
      </c>
      <c r="B57" s="88">
        <f>IF('הזנה לסיווג רשויות'!B28="","",'הזנה לסיווג רשויות'!B28)</f>
        <v>2530</v>
      </c>
      <c r="C57" s="88">
        <f>IF('הזנה לסיווג רשויות'!C28="","",'הזנה לסיווג רשויות'!C28)</f>
        <v>20000142</v>
      </c>
      <c r="D57" s="88" t="str">
        <f>IF('הזנה לסיווג רשויות'!D28="","",'הזנה לסיווג רשויות'!D28)</f>
        <v>באר יעקב</v>
      </c>
      <c r="E57" s="88">
        <f>IF(D57="","",IF(SUMIF('הזנה לתנאי סף'!$F$31:$F$500,C57,'הזנה לתנאי סף'!$N$31:$N$500)&gt;0,1,0))</f>
        <v>0</v>
      </c>
      <c r="F57" s="109"/>
      <c r="G57" s="109"/>
      <c r="H57" s="213" t="str">
        <f t="shared" si="1"/>
        <v/>
      </c>
    </row>
    <row r="58" spans="1:8" ht="15.75" x14ac:dyDescent="0.2">
      <c r="A58" s="206">
        <f t="shared" si="0"/>
        <v>28</v>
      </c>
      <c r="B58" s="88">
        <f>IF('הזנה לסיווג רשויות'!B29="","",'הזנה לסיווג רשויות'!B29)</f>
        <v>9000</v>
      </c>
      <c r="C58" s="88">
        <f>IF('הזנה לסיווג רשויות'!C29="","",'הזנה לסיווג רשויות'!C29)</f>
        <v>20000254</v>
      </c>
      <c r="D58" s="88" t="str">
        <f>IF('הזנה לסיווג רשויות'!D29="","",'הזנה לסיווג רשויות'!D29)</f>
        <v>באר שבע</v>
      </c>
      <c r="E58" s="88">
        <f>IF(D58="","",IF(SUMIF('הזנה לתנאי סף'!$F$31:$F$500,C58,'הזנה לתנאי סף'!$N$31:$N$500)&gt;0,1,0))</f>
        <v>1</v>
      </c>
      <c r="F58" s="109">
        <v>12593869</v>
      </c>
      <c r="G58" s="109">
        <v>12637775</v>
      </c>
      <c r="H58" s="213">
        <f t="shared" si="1"/>
        <v>43906</v>
      </c>
    </row>
    <row r="59" spans="1:8" ht="15.75" x14ac:dyDescent="0.2">
      <c r="A59" s="206">
        <f t="shared" si="0"/>
        <v>29</v>
      </c>
      <c r="B59" s="88">
        <f>IF('הזנה לסיווג רשויות'!B30="","",'הזנה לסיווג רשויות'!B30)</f>
        <v>66</v>
      </c>
      <c r="C59" s="88">
        <f>IF('הזנה לסיווג רשויות'!C30="","",'הזנה לסיווג רשויות'!C30)</f>
        <v>20000146</v>
      </c>
      <c r="D59" s="88" t="str">
        <f>IF('הזנה לסיווג רשויות'!D30="","",'הזנה לסיווג רשויות'!D30)</f>
        <v>בוסתן אל-מרג'</v>
      </c>
      <c r="E59" s="88">
        <f>IF(D59="","",IF(SUMIF('הזנה לתנאי סף'!$F$31:$F$500,C59,'הזנה לתנאי סף'!$N$31:$N$500)&gt;0,1,0))</f>
        <v>0</v>
      </c>
      <c r="F59" s="109"/>
      <c r="G59" s="109"/>
      <c r="H59" s="213" t="str">
        <f t="shared" si="1"/>
        <v/>
      </c>
    </row>
    <row r="60" spans="1:8" ht="15.75" x14ac:dyDescent="0.2">
      <c r="A60" s="206">
        <f t="shared" si="0"/>
        <v>30</v>
      </c>
      <c r="B60" s="88">
        <f>IF('הזנה לסיווג רשויות'!B31="","",'הזנה לסיווג רשויות'!B31)</f>
        <v>482</v>
      </c>
      <c r="C60" s="88">
        <f>IF('הזנה לסיווג רשויות'!C31="","",'הזנה לסיווג רשויות'!C31)</f>
        <v>20000036</v>
      </c>
      <c r="D60" s="88" t="str">
        <f>IF('הזנה לסיווג רשויות'!D31="","",'הזנה לסיווג רשויות'!D31)</f>
        <v>בועיינה-נוג'ידאת</v>
      </c>
      <c r="E60" s="88">
        <f>IF(D60="","",IF(SUMIF('הזנה לתנאי סף'!$F$31:$F$500,C60,'הזנה לתנאי סף'!$N$31:$N$500)&gt;0,1,0))</f>
        <v>0</v>
      </c>
      <c r="F60" s="109"/>
      <c r="G60" s="109"/>
      <c r="H60" s="213" t="str">
        <f t="shared" si="1"/>
        <v/>
      </c>
    </row>
    <row r="61" spans="1:8" ht="15.75" x14ac:dyDescent="0.2">
      <c r="A61" s="206">
        <f t="shared" si="0"/>
        <v>31</v>
      </c>
      <c r="B61" s="88">
        <f>IF('הזנה לסיווג רשויות'!B32="","",'הזנה לסיווג רשויות'!B32)</f>
        <v>4001</v>
      </c>
      <c r="C61" s="88">
        <f>IF('הזנה לסיווג רשויות'!C32="","",'הזנה לסיווג רשויות'!C32)</f>
        <v>20000183</v>
      </c>
      <c r="D61" s="88" t="str">
        <f>IF('הזנה לסיווג רשויות'!D32="","",'הזנה לסיווג רשויות'!D32)</f>
        <v>בוקעאתא</v>
      </c>
      <c r="E61" s="88">
        <f>IF(D61="","",IF(SUMIF('הזנה לתנאי סף'!$F$31:$F$500,C61,'הזנה לתנאי סף'!$N$31:$N$500)&gt;0,1,0))</f>
        <v>0</v>
      </c>
      <c r="F61" s="109"/>
      <c r="G61" s="109"/>
      <c r="H61" s="213" t="str">
        <f t="shared" si="1"/>
        <v/>
      </c>
    </row>
    <row r="62" spans="1:8" ht="15.75" x14ac:dyDescent="0.2">
      <c r="A62" s="206">
        <f t="shared" si="0"/>
        <v>32</v>
      </c>
      <c r="B62" s="88">
        <f>IF('הזנה לסיווג רשויות'!B33="","",'הזנה לסיווג רשויות'!B33)</f>
        <v>998</v>
      </c>
      <c r="C62" s="88">
        <f>IF('הזנה לסיווג רשויות'!C33="","",'הזנה לסיווג רשויות'!C33)</f>
        <v>20000092</v>
      </c>
      <c r="D62" s="88" t="str">
        <f>IF('הזנה לסיווג רשויות'!D33="","",'הזנה לסיווג רשויות'!D33)</f>
        <v>ביר אל-מכסור</v>
      </c>
      <c r="E62" s="88">
        <f>IF(D62="","",IF(SUMIF('הזנה לתנאי סף'!$F$31:$F$500,C62,'הזנה לתנאי סף'!$N$31:$N$500)&gt;0,1,0))</f>
        <v>0</v>
      </c>
      <c r="F62" s="109"/>
      <c r="G62" s="109"/>
      <c r="H62" s="213" t="str">
        <f t="shared" si="1"/>
        <v/>
      </c>
    </row>
    <row r="63" spans="1:8" ht="15.75" x14ac:dyDescent="0.2">
      <c r="A63" s="206">
        <f t="shared" si="0"/>
        <v>33</v>
      </c>
      <c r="B63" s="88">
        <f>IF('הזנה לסיווג רשויות'!B34="","",'הזנה לסיווג רשויות'!B34)</f>
        <v>3574</v>
      </c>
      <c r="C63" s="88">
        <f>IF('הזנה לסיווג רשויות'!C34="","",'הזנה לסיווג רשויות'!C34)</f>
        <v>20000168</v>
      </c>
      <c r="D63" s="88" t="str">
        <f>IF('הזנה לסיווג רשויות'!D34="","",'הזנה לסיווג רשויות'!D34)</f>
        <v>בית אל</v>
      </c>
      <c r="E63" s="88">
        <f>IF(D63="","",IF(SUMIF('הזנה לתנאי סף'!$F$31:$F$500,C63,'הזנה לתנאי סף'!$N$31:$N$500)&gt;0,1,0))</f>
        <v>0</v>
      </c>
      <c r="F63" s="109"/>
      <c r="G63" s="109"/>
      <c r="H63" s="213" t="str">
        <f t="shared" si="1"/>
        <v/>
      </c>
    </row>
    <row r="64" spans="1:8" ht="15.75" x14ac:dyDescent="0.2">
      <c r="A64" s="206">
        <f t="shared" si="0"/>
        <v>34</v>
      </c>
      <c r="B64" s="88">
        <f>IF('הזנה לסיווג רשויות'!B35="","",'הזנה לסיווג רשויות'!B35)</f>
        <v>3652</v>
      </c>
      <c r="C64" s="88">
        <f>IF('הזנה לסיווג רשויות'!C35="","",'הזנה לסיווג רשויות'!C35)</f>
        <v>20000174</v>
      </c>
      <c r="D64" s="88" t="str">
        <f>IF('הזנה לסיווג רשויות'!D35="","",'הזנה לסיווג רשויות'!D35)</f>
        <v>בית אריה</v>
      </c>
      <c r="E64" s="88">
        <f>IF(D64="","",IF(SUMIF('הזנה לתנאי סף'!$F$31:$F$500,C64,'הזנה לתנאי סף'!$N$31:$N$500)&gt;0,1,0))</f>
        <v>0</v>
      </c>
      <c r="F64" s="109"/>
      <c r="G64" s="109"/>
      <c r="H64" s="213" t="str">
        <f t="shared" si="1"/>
        <v/>
      </c>
    </row>
    <row r="65" spans="1:8" ht="15.75" x14ac:dyDescent="0.2">
      <c r="A65" s="206">
        <f t="shared" si="0"/>
        <v>35</v>
      </c>
      <c r="B65" s="88">
        <f>IF('הזנה לסיווג רשויות'!B36="","",'הזנה לסיווג רשויות'!B36)</f>
        <v>480</v>
      </c>
      <c r="C65" s="88">
        <f>IF('הזנה לסיווג רשויות'!C36="","",'הזנה לסיווג רשויות'!C36)</f>
        <v>20000034</v>
      </c>
      <c r="D65" s="88" t="str">
        <f>IF('הזנה לסיווג רשויות'!D36="","",'הזנה לסיווג רשויות'!D36)</f>
        <v>בית ג'ן</v>
      </c>
      <c r="E65" s="88">
        <f>IF(D65="","",IF(SUMIF('הזנה לתנאי סף'!$F$31:$F$500,C65,'הזנה לתנאי סף'!$N$31:$N$500)&gt;0,1,0))</f>
        <v>0</v>
      </c>
      <c r="F65" s="109"/>
      <c r="G65" s="109"/>
      <c r="H65" s="213" t="str">
        <f t="shared" si="1"/>
        <v/>
      </c>
    </row>
    <row r="66" spans="1:8" ht="15.75" x14ac:dyDescent="0.2">
      <c r="A66" s="206">
        <f t="shared" si="0"/>
        <v>36</v>
      </c>
      <c r="B66" s="88">
        <f>IF('הזנה לסיווג רשויות'!B37="","",'הזנה לסיווג רשויות'!B37)</f>
        <v>466</v>
      </c>
      <c r="C66" s="88">
        <f>IF('הזנה לסיווג רשויות'!C37="","",'הזנה לסיווג רשויות'!C37)</f>
        <v>20000029</v>
      </c>
      <c r="D66" s="88" t="str">
        <f>IF('הזנה לסיווג רשויות'!D37="","",'הזנה לסיווג רשויות'!D37)</f>
        <v>בית דגן</v>
      </c>
      <c r="E66" s="88">
        <f>IF(D66="","",IF(SUMIF('הזנה לתנאי סף'!$F$31:$F$500,C66,'הזנה לתנאי סף'!$N$31:$N$500)&gt;0,1,0))</f>
        <v>0</v>
      </c>
      <c r="F66" s="109"/>
      <c r="G66" s="109"/>
      <c r="H66" s="213" t="str">
        <f t="shared" si="1"/>
        <v/>
      </c>
    </row>
    <row r="67" spans="1:8" ht="15.75" x14ac:dyDescent="0.2">
      <c r="A67" s="206">
        <f t="shared" si="0"/>
        <v>37</v>
      </c>
      <c r="B67" s="88">
        <f>IF('הזנה לסיווג רשויות'!B38="","",'הזנה לסיווג רשויות'!B38)</f>
        <v>9200</v>
      </c>
      <c r="C67" s="88">
        <f>IF('הזנה לסיווג רשויות'!C38="","",'הזנה לסיווג רשויות'!C38)</f>
        <v>20000256</v>
      </c>
      <c r="D67" s="88" t="str">
        <f>IF('הזנה לסיווג רשויות'!D38="","",'הזנה לסיווג רשויות'!D38)</f>
        <v>בית שאן</v>
      </c>
      <c r="E67" s="88">
        <f>IF(D67="","",IF(SUMIF('הזנה לתנאי סף'!$F$31:$F$500,C67,'הזנה לתנאי סף'!$N$31:$N$500)&gt;0,1,0))</f>
        <v>0</v>
      </c>
      <c r="F67" s="109"/>
      <c r="G67" s="109"/>
      <c r="H67" s="213" t="str">
        <f t="shared" si="1"/>
        <v/>
      </c>
    </row>
    <row r="68" spans="1:8" ht="15.75" x14ac:dyDescent="0.2">
      <c r="A68" s="206">
        <f t="shared" si="0"/>
        <v>38</v>
      </c>
      <c r="B68" s="88">
        <f>IF('הזנה לסיווג רשויות'!B39="","",'הזנה לסיווג רשויות'!B39)</f>
        <v>2610</v>
      </c>
      <c r="C68" s="88">
        <f>IF('הזנה לסיווג רשויות'!C39="","",'הזנה לסיווג רשויות'!C39)</f>
        <v>20000148</v>
      </c>
      <c r="D68" s="88" t="str">
        <f>IF('הזנה לסיווג רשויות'!D39="","",'הזנה לסיווג רשויות'!D39)</f>
        <v>בית שמש</v>
      </c>
      <c r="E68" s="88">
        <f>IF(D68="","",IF(SUMIF('הזנה לתנאי סף'!$F$31:$F$500,C68,'הזנה לתנאי סף'!$N$31:$N$500)&gt;0,1,0))</f>
        <v>0</v>
      </c>
      <c r="F68" s="109"/>
      <c r="G68" s="109"/>
      <c r="H68" s="213" t="str">
        <f t="shared" si="1"/>
        <v/>
      </c>
    </row>
    <row r="69" spans="1:8" ht="15.75" x14ac:dyDescent="0.2">
      <c r="A69" s="206">
        <f t="shared" si="0"/>
        <v>39</v>
      </c>
      <c r="B69" s="88">
        <f>IF('הזנה לסיווג רשויות'!B40="","",'הזנה לסיווג רשויות'!B40)</f>
        <v>3780</v>
      </c>
      <c r="C69" s="88">
        <f>IF('הזנה לסיווג רשויות'!C40="","",'הזנה לסיווג רשויות'!C40)</f>
        <v>20000180</v>
      </c>
      <c r="D69" s="88" t="str">
        <f>IF('הזנה לסיווג רשויות'!D40="","",'הזנה לסיווג רשויות'!D40)</f>
        <v>ביתר עילית</v>
      </c>
      <c r="E69" s="88">
        <f>IF(D69="","",IF(SUMIF('הזנה לתנאי סף'!$F$31:$F$500,C69,'הזנה לתנאי סף'!$N$31:$N$500)&gt;0,1,0))</f>
        <v>0</v>
      </c>
      <c r="F69" s="109"/>
      <c r="G69" s="109"/>
      <c r="H69" s="213" t="str">
        <f t="shared" si="1"/>
        <v/>
      </c>
    </row>
    <row r="70" spans="1:8" ht="15.75" x14ac:dyDescent="0.2">
      <c r="A70" s="206">
        <f t="shared" si="0"/>
        <v>40</v>
      </c>
      <c r="B70" s="88">
        <f>IF('הזנה לסיווג רשויות'!B41="","",'הזנה לסיווג רשויות'!B41)</f>
        <v>6100</v>
      </c>
      <c r="C70" s="88">
        <f>IF('הזנה לסיווג רשויות'!C41="","",'הזנה לסיווג רשויות'!C41)</f>
        <v>20000204</v>
      </c>
      <c r="D70" s="88" t="str">
        <f>IF('הזנה לסיווג רשויות'!D41="","",'הזנה לסיווג רשויות'!D41)</f>
        <v>בני ברק</v>
      </c>
      <c r="E70" s="88">
        <f>IF(D70="","",IF(SUMIF('הזנה לתנאי סף'!$F$31:$F$500,C70,'הזנה לתנאי סף'!$N$31:$N$500)&gt;0,1,0))</f>
        <v>0</v>
      </c>
      <c r="F70" s="109"/>
      <c r="G70" s="109"/>
      <c r="H70" s="213" t="str">
        <f t="shared" si="1"/>
        <v/>
      </c>
    </row>
    <row r="71" spans="1:8" ht="15.75" x14ac:dyDescent="0.2">
      <c r="A71" s="206">
        <f t="shared" si="0"/>
        <v>41</v>
      </c>
      <c r="B71" s="88">
        <f>IF('הזנה לסיווג רשויות'!B42="","",'הזנה לסיווג רשויות'!B42)</f>
        <v>1066</v>
      </c>
      <c r="C71" s="88">
        <f>IF('הזנה לסיווג רשויות'!C42="","",'הזנה לסיווג רשויות'!C42)</f>
        <v>20000103</v>
      </c>
      <c r="D71" s="88" t="str">
        <f>IF('הזנה לסיווג רשויות'!D42="","",'הזנה לסיווג רשויות'!D42)</f>
        <v>בני עי"ש</v>
      </c>
      <c r="E71" s="88">
        <f>IF(D71="","",IF(SUMIF('הזנה לתנאי סף'!$F$31:$F$500,C71,'הזנה לתנאי סף'!$N$31:$N$500)&gt;0,1,0))</f>
        <v>0</v>
      </c>
      <c r="F71" s="109"/>
      <c r="G71" s="109"/>
      <c r="H71" s="213" t="str">
        <f t="shared" si="1"/>
        <v/>
      </c>
    </row>
    <row r="72" spans="1:8" ht="15.75" x14ac:dyDescent="0.2">
      <c r="A72" s="206">
        <f t="shared" si="0"/>
        <v>42</v>
      </c>
      <c r="B72" s="88">
        <f>IF('הזנה לסיווג רשויות'!B43="","",'הזנה לסיווג רשויות'!B43)</f>
        <v>41</v>
      </c>
      <c r="C72" s="88">
        <f>IF('הזנה לסיווג רשויות'!C43="","",'הזנה לסיווג רשויות'!C43)</f>
        <v>20000214</v>
      </c>
      <c r="D72" s="88" t="str">
        <f>IF('הזנה לסיווג רשויות'!D43="","",'הזנה לסיווג רשויות'!D43)</f>
        <v>בני שמעון</v>
      </c>
      <c r="E72" s="88">
        <f>IF(D72="","",IF(SUMIF('הזנה לתנאי סף'!$F$31:$F$500,C72,'הזנה לתנאי סף'!$N$31:$N$500)&gt;0,1,0))</f>
        <v>0</v>
      </c>
      <c r="F72" s="109">
        <v>254000</v>
      </c>
      <c r="G72" s="109">
        <v>253999</v>
      </c>
      <c r="H72" s="213" t="str">
        <f t="shared" si="1"/>
        <v/>
      </c>
    </row>
    <row r="73" spans="1:8" ht="15.75" x14ac:dyDescent="0.2">
      <c r="A73" s="206">
        <f t="shared" si="0"/>
        <v>43</v>
      </c>
      <c r="B73" s="88">
        <f>IF('הזנה לסיווג רשויות'!B44="","",'הזנה לסיווג רשויות'!B44)</f>
        <v>9800</v>
      </c>
      <c r="C73" s="88">
        <f>IF('הזנה לסיווג רשויות'!C44="","",'הזנה לסיווג רשויות'!C44)</f>
        <v>20000457</v>
      </c>
      <c r="D73" s="88" t="str">
        <f>IF('הזנה לסיווג רשויות'!D44="","",'הזנה לסיווג רשויות'!D44)</f>
        <v>בנימינה-גבעת עדה*</v>
      </c>
      <c r="E73" s="88">
        <f>IF(D73="","",IF(SUMIF('הזנה לתנאי סף'!$F$31:$F$500,C73,'הזנה לתנאי סף'!$N$31:$N$500)&gt;0,1,0))</f>
        <v>0</v>
      </c>
      <c r="F73" s="109"/>
      <c r="G73" s="109"/>
      <c r="H73" s="213" t="str">
        <f t="shared" si="1"/>
        <v/>
      </c>
    </row>
    <row r="74" spans="1:8" ht="15.75" x14ac:dyDescent="0.2">
      <c r="A74" s="206">
        <f t="shared" si="0"/>
        <v>44</v>
      </c>
      <c r="B74" s="88">
        <f>IF('הזנה לסיווג רשויות'!B45="","",'הזנה לסיווג רשויות'!B45)</f>
        <v>1326</v>
      </c>
      <c r="C74" s="88">
        <f>IF('הזנה לסיווג רשויות'!C45="","",'הזנה לסיווג רשויות'!C45)</f>
        <v>20000123</v>
      </c>
      <c r="D74" s="88" t="str">
        <f>IF('הזנה לסיווג רשויות'!D45="","",'הזנה לסיווג רשויות'!D45)</f>
        <v>בסמ"ה</v>
      </c>
      <c r="E74" s="88">
        <f>IF(D74="","",IF(SUMIF('הזנה לתנאי סף'!$F$31:$F$500,C74,'הזנה לתנאי סף'!$N$31:$N$500)&gt;0,1,0))</f>
        <v>0</v>
      </c>
      <c r="F74" s="109"/>
      <c r="G74" s="109"/>
      <c r="H74" s="213" t="str">
        <f t="shared" si="1"/>
        <v/>
      </c>
    </row>
    <row r="75" spans="1:8" ht="15.75" x14ac:dyDescent="0.2">
      <c r="A75" s="206">
        <f t="shared" si="0"/>
        <v>45</v>
      </c>
      <c r="B75" s="88">
        <f>IF('הזנה לסיווג רשויות'!B46="","",'הזנה לסיווג רשויות'!B46)</f>
        <v>944</v>
      </c>
      <c r="C75" s="88">
        <f>IF('הזנה לסיווג רשויות'!C46="","",'הזנה לסיווג רשויות'!C46)</f>
        <v>20000089</v>
      </c>
      <c r="D75" s="88" t="str">
        <f>IF('הזנה לסיווג רשויות'!D46="","",'הזנה לסיווג רשויות'!D46)</f>
        <v>בסמת טבעון</v>
      </c>
      <c r="E75" s="88">
        <f>IF(D75="","",IF(SUMIF('הזנה לתנאי סף'!$F$31:$F$500,C75,'הזנה לתנאי סף'!$N$31:$N$500)&gt;0,1,0))</f>
        <v>0</v>
      </c>
      <c r="F75" s="109"/>
      <c r="G75" s="109"/>
      <c r="H75" s="213" t="str">
        <f t="shared" si="1"/>
        <v/>
      </c>
    </row>
    <row r="76" spans="1:8" ht="15.75" x14ac:dyDescent="0.2">
      <c r="A76" s="206">
        <f t="shared" si="0"/>
        <v>46</v>
      </c>
      <c r="B76" s="88">
        <f>IF('הזנה לסיווג רשויות'!B47="","",'הזנה לסיווג רשויות'!B47)</f>
        <v>483</v>
      </c>
      <c r="C76" s="88">
        <f>IF('הזנה לסיווג רשויות'!C47="","",'הזנה לסיווג רשויות'!C47)</f>
        <v>20000037</v>
      </c>
      <c r="D76" s="88" t="str">
        <f>IF('הזנה לסיווג רשויות'!D47="","",'הזנה לסיווג רשויות'!D47)</f>
        <v>בענה</v>
      </c>
      <c r="E76" s="88">
        <f>IF(D76="","",IF(SUMIF('הזנה לתנאי סף'!$F$31:$F$500,C76,'הזנה לתנאי סף'!$N$31:$N$500)&gt;0,1,0))</f>
        <v>0</v>
      </c>
      <c r="F76" s="109"/>
      <c r="G76" s="109"/>
      <c r="H76" s="213" t="str">
        <f t="shared" si="1"/>
        <v/>
      </c>
    </row>
    <row r="77" spans="1:8" ht="15.75" x14ac:dyDescent="0.2">
      <c r="A77" s="206">
        <f t="shared" si="0"/>
        <v>47</v>
      </c>
      <c r="B77" s="88">
        <f>IF('הזנה לסיווג רשויות'!B48="","",'הזנה לסיווג רשויות'!B48)</f>
        <v>28</v>
      </c>
      <c r="C77" s="88">
        <f>IF('הזנה לסיווג רשויות'!C48="","",'הזנה לסיווג רשויות'!C48)</f>
        <v>20000195</v>
      </c>
      <c r="D77" s="88" t="str">
        <f>IF('הזנה לסיווג רשויות'!D48="","",'הזנה לסיווג רשויות'!D48)</f>
        <v>ברנר</v>
      </c>
      <c r="E77" s="88">
        <f>IF(D77="","",IF(SUMIF('הזנה לתנאי סף'!$F$31:$F$500,C77,'הזנה לתנאי סף'!$N$31:$N$500)&gt;0,1,0))</f>
        <v>0</v>
      </c>
      <c r="F77" s="109"/>
      <c r="G77" s="109"/>
      <c r="H77" s="213" t="str">
        <f t="shared" si="1"/>
        <v/>
      </c>
    </row>
    <row r="78" spans="1:8" ht="15.75" x14ac:dyDescent="0.2">
      <c r="A78" s="206">
        <f t="shared" si="0"/>
        <v>48</v>
      </c>
      <c r="B78" s="88">
        <f>IF('הזנה לסיווג רשויות'!B49="","",'הזנה לסיווג רשויות'!B49)</f>
        <v>6200</v>
      </c>
      <c r="C78" s="88">
        <f>IF('הזנה לסיווג רשויות'!C49="","",'הזנה לסיווג רשויות'!C49)</f>
        <v>20000211</v>
      </c>
      <c r="D78" s="88" t="str">
        <f>IF('הזנה לסיווג רשויות'!D49="","",'הזנה לסיווג רשויות'!D49)</f>
        <v>בת ים</v>
      </c>
      <c r="E78" s="88">
        <f>IF(D78="","",IF(SUMIF('הזנה לתנאי סף'!$F$31:$F$500,C78,'הזנה לתנאי סף'!$N$31:$N$500)&gt;0,1,0))</f>
        <v>0</v>
      </c>
      <c r="F78" s="109"/>
      <c r="G78" s="109"/>
      <c r="H78" s="213" t="str">
        <f t="shared" si="1"/>
        <v/>
      </c>
    </row>
    <row r="79" spans="1:8" ht="15.75" x14ac:dyDescent="0.2">
      <c r="A79" s="206">
        <f t="shared" si="0"/>
        <v>49</v>
      </c>
      <c r="B79" s="88">
        <f>IF('הזנה לסיווג רשויות'!B50="","",'הזנה לסיווג רשויות'!B50)</f>
        <v>1292</v>
      </c>
      <c r="C79" s="88">
        <f>IF('הזנה לסיווג רשויות'!C50="","",'הזנה לסיווג רשויות'!C50)</f>
        <v>20000116</v>
      </c>
      <c r="D79" s="88" t="str">
        <f>IF('הזנה לסיווג רשויות'!D50="","",'הזנה לסיווג רשויות'!D50)</f>
        <v>ג'דיידה-מכר</v>
      </c>
      <c r="E79" s="88">
        <f>IF(D79="","",IF(SUMIF('הזנה לתנאי סף'!$F$31:$F$500,C79,'הזנה לתנאי סף'!$N$31:$N$500)&gt;0,1,0))</f>
        <v>0</v>
      </c>
      <c r="F79" s="109"/>
      <c r="G79" s="109"/>
      <c r="H79" s="213" t="str">
        <f t="shared" si="1"/>
        <v/>
      </c>
    </row>
    <row r="80" spans="1:8" ht="15.75" x14ac:dyDescent="0.2">
      <c r="A80" s="206">
        <f t="shared" si="0"/>
        <v>50</v>
      </c>
      <c r="B80" s="88">
        <f>IF('הזנה לסיווג רשויות'!B51="","",'הזנה לסיווג רשויות'!B51)</f>
        <v>485</v>
      </c>
      <c r="C80" s="88">
        <f>IF('הזנה לסיווג רשויות'!C51="","",'הזנה לסיווג רשויות'!C51)</f>
        <v>20000038</v>
      </c>
      <c r="D80" s="88" t="str">
        <f>IF('הזנה לסיווג רשויות'!D51="","",'הזנה לסיווג רשויות'!D51)</f>
        <v>ג'ולס</v>
      </c>
      <c r="E80" s="88">
        <f>IF(D80="","",IF(SUMIF('הזנה לתנאי סף'!$F$31:$F$500,C80,'הזנה לתנאי סף'!$N$31:$N$500)&gt;0,1,0))</f>
        <v>0</v>
      </c>
      <c r="F80" s="109"/>
      <c r="G80" s="109"/>
      <c r="H80" s="213" t="str">
        <f t="shared" si="1"/>
        <v/>
      </c>
    </row>
    <row r="81" spans="1:8" ht="15.75" x14ac:dyDescent="0.2">
      <c r="A81" s="206">
        <f t="shared" si="0"/>
        <v>51</v>
      </c>
      <c r="B81" s="88">
        <f>IF('הזנה לסיווג רשויות'!B52="","",'הזנה לסיווג רשויות'!B52)</f>
        <v>627</v>
      </c>
      <c r="C81" s="88">
        <f>IF('הזנה לסיווג רשויות'!C52="","",'הזנה לסיווג רשויות'!C52)</f>
        <v>20000075</v>
      </c>
      <c r="D81" s="88" t="str">
        <f>IF('הזנה לסיווג רשויות'!D52="","",'הזנה לסיווג רשויות'!D52)</f>
        <v>ג'לג'וליה</v>
      </c>
      <c r="E81" s="88">
        <f>IF(D81="","",IF(SUMIF('הזנה לתנאי סף'!$F$31:$F$500,C81,'הזנה לתנאי סף'!$N$31:$N$500)&gt;0,1,0))</f>
        <v>0</v>
      </c>
      <c r="F81" s="109"/>
      <c r="G81" s="109"/>
      <c r="H81" s="213" t="str">
        <f t="shared" si="1"/>
        <v/>
      </c>
    </row>
    <row r="82" spans="1:8" ht="15.75" x14ac:dyDescent="0.2">
      <c r="A82" s="206">
        <f t="shared" si="0"/>
        <v>52</v>
      </c>
      <c r="B82" s="88">
        <f>IF('הזנה לסיווג רשויות'!B53="","",'הזנה לסיווג רשויות'!B53)</f>
        <v>541</v>
      </c>
      <c r="C82" s="88">
        <f>IF('הזנה לסיווג רשויות'!C53="","",'הזנה לסיווג רשויות'!C53)</f>
        <v>20000070</v>
      </c>
      <c r="D82" s="88" t="str">
        <f>IF('הזנה לסיווג רשויות'!D53="","",'הזנה לסיווג רשויות'!D53)</f>
        <v>ג'סר א-זרקא</v>
      </c>
      <c r="E82" s="88">
        <f>IF(D82="","",IF(SUMIF('הזנה לתנאי סף'!$F$31:$F$500,C82,'הזנה לתנאי סף'!$N$31:$N$500)&gt;0,1,0))</f>
        <v>0</v>
      </c>
      <c r="F82" s="109"/>
      <c r="G82" s="109"/>
      <c r="H82" s="213" t="str">
        <f t="shared" si="1"/>
        <v/>
      </c>
    </row>
    <row r="83" spans="1:8" ht="15.75" x14ac:dyDescent="0.2">
      <c r="A83" s="206">
        <f t="shared" si="0"/>
        <v>53</v>
      </c>
      <c r="B83" s="88">
        <f>IF('הזנה לסיווג רשויות'!B54="","",'הזנה לסיווג רשויות'!B54)</f>
        <v>487</v>
      </c>
      <c r="C83" s="88">
        <f>IF('הזנה לסיווג רשויות'!C54="","",'הזנה לסיווג רשויות'!C54)</f>
        <v>20000039</v>
      </c>
      <c r="D83" s="88" t="str">
        <f>IF('הזנה לסיווג רשויות'!D54="","",'הזנה לסיווג רשויות'!D54)</f>
        <v>ג'ש (גוש חלב)</v>
      </c>
      <c r="E83" s="88">
        <f>IF(D83="","",IF(SUMIF('הזנה לתנאי סף'!$F$31:$F$500,C83,'הזנה לתנאי סף'!$N$31:$N$500)&gt;0,1,0))</f>
        <v>0</v>
      </c>
      <c r="F83" s="109"/>
      <c r="G83" s="109"/>
      <c r="H83" s="213" t="str">
        <f t="shared" si="1"/>
        <v/>
      </c>
    </row>
    <row r="84" spans="1:8" ht="15.75" x14ac:dyDescent="0.2">
      <c r="A84" s="206">
        <f t="shared" si="0"/>
        <v>54</v>
      </c>
      <c r="B84" s="88">
        <f>IF('הזנה לסיווג רשויות'!B55="","",'הזנה לסיווג רשויות'!B55)</f>
        <v>628</v>
      </c>
      <c r="C84" s="88">
        <f>IF('הזנה לסיווג רשויות'!C55="","",'הזנה לסיווג רשויות'!C55)</f>
        <v>20000076</v>
      </c>
      <c r="D84" s="88" t="str">
        <f>IF('הזנה לסיווג רשויות'!D55="","",'הזנה לסיווג רשויות'!D55)</f>
        <v>ג'ת</v>
      </c>
      <c r="E84" s="88">
        <f>IF(D84="","",IF(SUMIF('הזנה לתנאי סף'!$F$31:$F$500,C84,'הזנה לתנאי סף'!$N$31:$N$500)&gt;0,1,0))</f>
        <v>0</v>
      </c>
      <c r="F84" s="109"/>
      <c r="G84" s="109"/>
      <c r="H84" s="213" t="str">
        <f t="shared" si="1"/>
        <v/>
      </c>
    </row>
    <row r="85" spans="1:8" ht="15.75" x14ac:dyDescent="0.2">
      <c r="A85" s="206">
        <f t="shared" si="0"/>
        <v>55</v>
      </c>
      <c r="B85" s="88">
        <f>IF('הזנה לסיווג רשויות'!B56="","",'הזנה לסיווג רשויות'!B56)</f>
        <v>3730</v>
      </c>
      <c r="C85" s="88">
        <f>IF('הזנה לסיווג רשויות'!C56="","",'הזנה לסיווג רשויות'!C56)</f>
        <v>20000176</v>
      </c>
      <c r="D85" s="88" t="str">
        <f>IF('הזנה לסיווג רשויות'!D56="","",'הזנה לסיווג רשויות'!D56)</f>
        <v>גבעת זאב</v>
      </c>
      <c r="E85" s="88">
        <f>IF(D85="","",IF(SUMIF('הזנה לתנאי סף'!$F$31:$F$500,C85,'הזנה לתנאי סף'!$N$31:$N$500)&gt;0,1,0))</f>
        <v>0</v>
      </c>
      <c r="F85" s="109"/>
      <c r="G85" s="109"/>
      <c r="H85" s="213" t="str">
        <f t="shared" si="1"/>
        <v/>
      </c>
    </row>
    <row r="86" spans="1:8" ht="15.75" x14ac:dyDescent="0.2">
      <c r="A86" s="206">
        <f t="shared" si="0"/>
        <v>56</v>
      </c>
      <c r="B86" s="88">
        <f>IF('הזנה לסיווג רשויות'!B57="","",'הזנה לסיווג רשויות'!B57)</f>
        <v>681</v>
      </c>
      <c r="C86" s="88">
        <f>IF('הזנה לסיווג רשויות'!C57="","",'הזנה לסיווג רשויות'!C57)</f>
        <v>20000083</v>
      </c>
      <c r="D86" s="88" t="str">
        <f>IF('הזנה לסיווג רשויות'!D57="","",'הזנה לסיווג רשויות'!D57)</f>
        <v>גבעת שמואל</v>
      </c>
      <c r="E86" s="88">
        <f>IF(D86="","",IF(SUMIF('הזנה לתנאי סף'!$F$31:$F$500,C86,'הזנה לתנאי סף'!$N$31:$N$500)&gt;0,1,0))</f>
        <v>0</v>
      </c>
      <c r="F86" s="109"/>
      <c r="G86" s="109"/>
      <c r="H86" s="213" t="str">
        <f t="shared" si="1"/>
        <v/>
      </c>
    </row>
    <row r="87" spans="1:8" ht="15.75" x14ac:dyDescent="0.2">
      <c r="A87" s="206">
        <f t="shared" si="0"/>
        <v>57</v>
      </c>
      <c r="B87" s="88">
        <f>IF('הזנה לסיווג רשויות'!B58="","",'הזנה לסיווג רשויות'!B58)</f>
        <v>6300</v>
      </c>
      <c r="C87" s="88">
        <f>IF('הזנה לסיווג רשויות'!C58="","",'הזנה לסיווג רשויות'!C58)</f>
        <v>20000221</v>
      </c>
      <c r="D87" s="88" t="str">
        <f>IF('הזנה לסיווג רשויות'!D58="","",'הזנה לסיווג רשויות'!D58)</f>
        <v>גבעתיים</v>
      </c>
      <c r="E87" s="88">
        <f>IF(D87="","",IF(SUMIF('הזנה לתנאי סף'!$F$31:$F$500,C87,'הזנה לתנאי סף'!$N$31:$N$500)&gt;0,1,0))</f>
        <v>0</v>
      </c>
      <c r="F87" s="109"/>
      <c r="G87" s="109"/>
      <c r="H87" s="213" t="str">
        <f t="shared" si="1"/>
        <v/>
      </c>
    </row>
    <row r="88" spans="1:8" ht="15.75" x14ac:dyDescent="0.2">
      <c r="A88" s="206">
        <f t="shared" si="0"/>
        <v>58</v>
      </c>
      <c r="B88" s="88">
        <f>IF('הזנה לסיווג רשויות'!B59="","",'הזנה לסיווג רשויות'!B59)</f>
        <v>2550</v>
      </c>
      <c r="C88" s="88">
        <f>IF('הזנה לסיווג רשויות'!C59="","",'הזנה לסיווג רשויות'!C59)</f>
        <v>20000143</v>
      </c>
      <c r="D88" s="88" t="str">
        <f>IF('הזנה לסיווג רשויות'!D59="","",'הזנה לסיווג רשויות'!D59)</f>
        <v>גדרה</v>
      </c>
      <c r="E88" s="88">
        <f>IF(D88="","",IF(SUMIF('הזנה לתנאי סף'!$F$31:$F$500,C88,'הזנה לתנאי סף'!$N$31:$N$500)&gt;0,1,0))</f>
        <v>0</v>
      </c>
      <c r="F88" s="109"/>
      <c r="G88" s="109"/>
      <c r="H88" s="213" t="str">
        <f t="shared" si="1"/>
        <v/>
      </c>
    </row>
    <row r="89" spans="1:8" ht="15.75" x14ac:dyDescent="0.2">
      <c r="A89" s="206">
        <f t="shared" si="0"/>
        <v>59</v>
      </c>
      <c r="B89" s="88">
        <f>IF('הזנה לסיווג רשויות'!B60="","",'הזנה לסיווג רשויות'!B60)</f>
        <v>32</v>
      </c>
      <c r="C89" s="88">
        <f>IF('הזנה לסיווג רשויות'!C60="","",'הזנה לסיווג רשויות'!C60)</f>
        <v>20000198</v>
      </c>
      <c r="D89" s="88" t="str">
        <f>IF('הזנה לסיווג רשויות'!D60="","",'הזנה לסיווג רשויות'!D60)</f>
        <v>גדרות</v>
      </c>
      <c r="E89" s="88">
        <f>IF(D89="","",IF(SUMIF('הזנה לתנאי סף'!$F$31:$F$500,C89,'הזנה לתנאי סף'!$N$31:$N$500)&gt;0,1,0))</f>
        <v>0</v>
      </c>
      <c r="F89" s="109"/>
      <c r="G89" s="109"/>
      <c r="H89" s="213" t="str">
        <f t="shared" si="1"/>
        <v/>
      </c>
    </row>
    <row r="90" spans="1:8" ht="15.75" x14ac:dyDescent="0.2">
      <c r="A90" s="206">
        <f t="shared" si="0"/>
        <v>60</v>
      </c>
      <c r="B90" s="88">
        <f>IF('הזנה לסיווג רשויות'!B61="","",'הזנה לסיווג רשויות'!B61)</f>
        <v>71</v>
      </c>
      <c r="C90" s="88">
        <f>IF('הזנה לסיווג רשויות'!C61="","",'הזנה לסיווג רשויות'!C61)</f>
        <v>20000158</v>
      </c>
      <c r="D90" s="88" t="str">
        <f>IF('הזנה לסיווג רשויות'!D61="","",'הזנה לסיווג רשויות'!D61)</f>
        <v>גולן</v>
      </c>
      <c r="E90" s="88">
        <f>IF(D90="","",IF(SUMIF('הזנה לתנאי סף'!$F$31:$F$500,C90,'הזנה לתנאי סף'!$N$31:$N$500)&gt;0,1,0))</f>
        <v>0</v>
      </c>
      <c r="F90" s="109"/>
      <c r="G90" s="109"/>
      <c r="H90" s="213" t="str">
        <f t="shared" si="1"/>
        <v/>
      </c>
    </row>
    <row r="91" spans="1:8" ht="15.75" x14ac:dyDescent="0.2">
      <c r="A91" s="206">
        <f t="shared" si="0"/>
        <v>61</v>
      </c>
      <c r="B91" s="88">
        <f>IF('הזנה לסיווג רשויות'!B62="","",'הזנה לסיווג רשויות'!B62)</f>
        <v>76</v>
      </c>
      <c r="C91" s="88">
        <f>IF('הזנה לסיווג רשויות'!C62="","",'הזנה לסיווג רשויות'!C62)</f>
        <v>20000239</v>
      </c>
      <c r="D91" s="88" t="str">
        <f>IF('הזנה לסיווג רשויות'!D62="","",'הזנה לסיווג רשויות'!D62)</f>
        <v>גוש עציון</v>
      </c>
      <c r="E91" s="88">
        <f>IF(D91="","",IF(SUMIF('הזנה לתנאי סף'!$F$31:$F$500,C91,'הזנה לתנאי סף'!$N$31:$N$500)&gt;0,1,0))</f>
        <v>0</v>
      </c>
      <c r="F91" s="109"/>
      <c r="G91" s="109"/>
      <c r="H91" s="213" t="str">
        <f t="shared" si="1"/>
        <v/>
      </c>
    </row>
    <row r="92" spans="1:8" ht="15.75" x14ac:dyDescent="0.2">
      <c r="A92" s="206">
        <f t="shared" si="0"/>
        <v>62</v>
      </c>
      <c r="B92" s="88">
        <f>IF('הזנה לסיווג רשויות'!B63="","",'הזנה לסיווג רשויות'!B63)</f>
        <v>30</v>
      </c>
      <c r="C92" s="88">
        <f>IF('הזנה לסיווג רשויות'!C63="","",'הזנה לסיווג רשויות'!C63)</f>
        <v>20000192</v>
      </c>
      <c r="D92" s="88" t="str">
        <f>IF('הזנה לסיווג רשויות'!D63="","",'הזנה לסיווג רשויות'!D63)</f>
        <v>גזר</v>
      </c>
      <c r="E92" s="88">
        <f>IF(D92="","",IF(SUMIF('הזנה לתנאי סף'!$F$31:$F$500,C92,'הזנה לתנאי סף'!$N$31:$N$500)&gt;0,1,0))</f>
        <v>0</v>
      </c>
      <c r="F92" s="109"/>
      <c r="G92" s="109"/>
      <c r="H92" s="213" t="str">
        <f t="shared" si="1"/>
        <v/>
      </c>
    </row>
    <row r="93" spans="1:8" ht="15.75" x14ac:dyDescent="0.2">
      <c r="A93" s="206">
        <f t="shared" si="0"/>
        <v>63</v>
      </c>
      <c r="B93" s="88">
        <f>IF('הזנה לסיווג רשויות'!B64="","",'הזנה לסיווג רשויות'!B64)</f>
        <v>166</v>
      </c>
      <c r="C93" s="88">
        <f>IF('הזנה לסיווג רשויות'!C64="","",'הזנה לסיווג רשויות'!C64)</f>
        <v>20000018</v>
      </c>
      <c r="D93" s="88" t="str">
        <f>IF('הזנה לסיווג רשויות'!D64="","",'הזנה לסיווג רשויות'!D64)</f>
        <v>גן יבנה</v>
      </c>
      <c r="E93" s="88">
        <f>IF(D93="","",IF(SUMIF('הזנה לתנאי סף'!$F$31:$F$500,C93,'הזנה לתנאי סף'!$N$31:$N$500)&gt;0,1,0))</f>
        <v>0</v>
      </c>
      <c r="F93" s="109"/>
      <c r="G93" s="109"/>
      <c r="H93" s="213" t="str">
        <f t="shared" si="1"/>
        <v/>
      </c>
    </row>
    <row r="94" spans="1:8" ht="15.75" x14ac:dyDescent="0.2">
      <c r="A94" s="206">
        <f t="shared" si="0"/>
        <v>64</v>
      </c>
      <c r="B94" s="88">
        <f>IF('הזנה לסיווג רשויות'!B65="","",'הזנה לסיווג רשויות'!B65)</f>
        <v>27</v>
      </c>
      <c r="C94" s="88">
        <f>IF('הזנה לסיווג רשויות'!C65="","",'הזנה לסיווג רשויות'!C65)</f>
        <v>20000194</v>
      </c>
      <c r="D94" s="88" t="str">
        <f>IF('הזנה לסיווג רשויות'!D65="","",'הזנה לסיווג רשויות'!D65)</f>
        <v>גן רווה</v>
      </c>
      <c r="E94" s="88">
        <f>IF(D94="","",IF(SUMIF('הזנה לתנאי סף'!$F$31:$F$500,C94,'הזנה לתנאי סף'!$N$31:$N$500)&gt;0,1,0))</f>
        <v>0</v>
      </c>
      <c r="F94" s="109"/>
      <c r="G94" s="109"/>
      <c r="H94" s="213" t="str">
        <f t="shared" si="1"/>
        <v/>
      </c>
    </row>
    <row r="95" spans="1:8" ht="15.75" x14ac:dyDescent="0.2">
      <c r="A95" s="206">
        <f t="shared" si="0"/>
        <v>65</v>
      </c>
      <c r="B95" s="88">
        <f>IF('הזנה לסיווג רשויות'!B66="","",'הזנה לסיווג רשויות'!B66)</f>
        <v>229</v>
      </c>
      <c r="C95" s="88">
        <f>IF('הזנה לסיווג רשויות'!C66="","",'הזנה לסיווג רשויות'!C66)</f>
        <v>20000024</v>
      </c>
      <c r="D95" s="88" t="str">
        <f>IF('הזנה לסיווג רשויות'!D66="","",'הזנה לסיווג רשויות'!D66)</f>
        <v>גני תקווה</v>
      </c>
      <c r="E95" s="88">
        <f>IF(D95="","",IF(SUMIF('הזנה לתנאי סף'!$F$31:$F$500,C95,'הזנה לתנאי סף'!$N$31:$N$500)&gt;0,1,0))</f>
        <v>0</v>
      </c>
      <c r="F95" s="109"/>
      <c r="G95" s="109"/>
      <c r="H95" s="213" t="str">
        <f t="shared" si="1"/>
        <v/>
      </c>
    </row>
    <row r="96" spans="1:8" ht="15.75" x14ac:dyDescent="0.2">
      <c r="A96" s="206">
        <f t="shared" ref="A96:A159" si="2">IF(C96="","",ROW()-30)</f>
        <v>66</v>
      </c>
      <c r="B96" s="88">
        <f>IF('הזנה לסיווג רשויות'!B67="","",'הזנה לסיווג רשויות'!B67)</f>
        <v>494</v>
      </c>
      <c r="C96" s="88">
        <f>IF('הזנה לסיווג רשויות'!C67="","",'הזנה לסיווג רשויות'!C67)</f>
        <v>20000043</v>
      </c>
      <c r="D96" s="88" t="str">
        <f>IF('הזנה לסיווג רשויות'!D67="","",'הזנה לסיווג רשויות'!D67)</f>
        <v>דאלית אל-כרמל</v>
      </c>
      <c r="E96" s="88">
        <f>IF(D96="","",IF(SUMIF('הזנה לתנאי סף'!$F$31:$F$500,C96,'הזנה לתנאי סף'!$N$31:$N$500)&gt;0,1,0))</f>
        <v>0</v>
      </c>
      <c r="F96" s="109"/>
      <c r="G96" s="109"/>
      <c r="H96" s="213" t="str">
        <f t="shared" ref="H96:H159" si="3">IF(E96=1,IF(OR(F96="",G96=""),$J$2,IF(G96&gt;=F96,G96-F96,"")),"")</f>
        <v/>
      </c>
    </row>
    <row r="97" spans="1:8" ht="15.75" x14ac:dyDescent="0.2">
      <c r="A97" s="206">
        <f t="shared" si="2"/>
        <v>67</v>
      </c>
      <c r="B97" s="88">
        <f>IF('הזנה לסיווג רשויות'!B68="","",'הזנה לסיווג רשויות'!B68)</f>
        <v>489</v>
      </c>
      <c r="C97" s="88">
        <f>IF('הזנה לסיווג רשויות'!C68="","",'הזנה לסיווג רשויות'!C68)</f>
        <v>20000040</v>
      </c>
      <c r="D97" s="88" t="str">
        <f>IF('הזנה לסיווג רשויות'!D68="","",'הזנה לסיווג רשויות'!D68)</f>
        <v>דבורייה</v>
      </c>
      <c r="E97" s="88">
        <f>IF(D97="","",IF(SUMIF('הזנה לתנאי סף'!$F$31:$F$500,C97,'הזנה לתנאי סף'!$N$31:$N$500)&gt;0,1,0))</f>
        <v>0</v>
      </c>
      <c r="F97" s="109"/>
      <c r="G97" s="109"/>
      <c r="H97" s="213" t="str">
        <f t="shared" si="3"/>
        <v/>
      </c>
    </row>
    <row r="98" spans="1:8" ht="15.75" x14ac:dyDescent="0.2">
      <c r="A98" s="206">
        <f t="shared" si="2"/>
        <v>68</v>
      </c>
      <c r="B98" s="88">
        <f>IF('הזנה לסיווג רשויות'!B69="","",'הזנה לסיווג רשויות'!B69)</f>
        <v>490</v>
      </c>
      <c r="C98" s="88">
        <f>IF('הזנה לסיווג רשויות'!C69="","",'הזנה לסיווג רשויות'!C69)</f>
        <v>20000041</v>
      </c>
      <c r="D98" s="88" t="str">
        <f>IF('הזנה לסיווג רשויות'!D69="","",'הזנה לסיווג רשויות'!D69)</f>
        <v>דייר אל-אסד</v>
      </c>
      <c r="E98" s="88">
        <f>IF(D98="","",IF(SUMIF('הזנה לתנאי סף'!$F$31:$F$500,C98,'הזנה לתנאי סף'!$N$31:$N$500)&gt;0,1,0))</f>
        <v>0</v>
      </c>
      <c r="F98" s="109"/>
      <c r="G98" s="109"/>
      <c r="H98" s="213" t="str">
        <f t="shared" si="3"/>
        <v/>
      </c>
    </row>
    <row r="99" spans="1:8" ht="15.75" x14ac:dyDescent="0.2">
      <c r="A99" s="206">
        <f t="shared" si="2"/>
        <v>69</v>
      </c>
      <c r="B99" s="88">
        <f>IF('הזנה לסיווג רשויות'!B70="","",'הזנה לסיווג רשויות'!B70)</f>
        <v>492</v>
      </c>
      <c r="C99" s="88">
        <f>IF('הזנה לסיווג רשויות'!C70="","",'הזנה לסיווג רשויות'!C70)</f>
        <v>20000042</v>
      </c>
      <c r="D99" s="88" t="str">
        <f>IF('הזנה לסיווג רשויות'!D70="","",'הזנה לסיווג רשויות'!D70)</f>
        <v>דייר חנא</v>
      </c>
      <c r="E99" s="88">
        <f>IF(D99="","",IF(SUMIF('הזנה לתנאי סף'!$F$31:$F$500,C99,'הזנה לתנאי סף'!$N$31:$N$500)&gt;0,1,0))</f>
        <v>0</v>
      </c>
      <c r="F99" s="109"/>
      <c r="G99" s="109"/>
      <c r="H99" s="213" t="str">
        <f t="shared" si="3"/>
        <v/>
      </c>
    </row>
    <row r="100" spans="1:8" ht="15.75" x14ac:dyDescent="0.2">
      <c r="A100" s="206">
        <f t="shared" si="2"/>
        <v>70</v>
      </c>
      <c r="B100" s="88">
        <f>IF('הזנה לסיווג רשויות'!B71="","",'הזנה לסיווג רשויות'!B71)</f>
        <v>2200</v>
      </c>
      <c r="C100" s="88">
        <f>IF('הזנה לסיווג רשויות'!C71="","",'הזנה לסיווג רשויות'!C71)</f>
        <v>20000130</v>
      </c>
      <c r="D100" s="88" t="str">
        <f>IF('הזנה לסיווג רשויות'!D71="","",'הזנה לסיווג רשויות'!D71)</f>
        <v>דימונה</v>
      </c>
      <c r="E100" s="88">
        <f>IF(D100="","",IF(SUMIF('הזנה לתנאי סף'!$F$31:$F$500,C100,'הזנה לתנאי סף'!$N$31:$N$500)&gt;0,1,0))</f>
        <v>1</v>
      </c>
      <c r="F100" s="109">
        <v>589248</v>
      </c>
      <c r="G100" s="109">
        <v>590850</v>
      </c>
      <c r="H100" s="213">
        <f t="shared" si="3"/>
        <v>1602</v>
      </c>
    </row>
    <row r="101" spans="1:8" ht="15.75" x14ac:dyDescent="0.2">
      <c r="A101" s="206">
        <f t="shared" si="2"/>
        <v>71</v>
      </c>
      <c r="B101" s="88">
        <f>IF('הזנה לסיווג רשויות'!B72="","",'הזנה לסיווג רשויות'!B72)</f>
        <v>20</v>
      </c>
      <c r="C101" s="88">
        <f>IF('הזנה לסיווג רשויות'!C72="","",'הזנה לסיווג רשויות'!C72)</f>
        <v>20000190</v>
      </c>
      <c r="D101" s="88" t="str">
        <f>IF('הזנה לסיווג רשויות'!D72="","",'הזנה לסיווג רשויות'!D72)</f>
        <v>דרום השרון</v>
      </c>
      <c r="E101" s="88">
        <f>IF(D101="","",IF(SUMIF('הזנה לתנאי סף'!$F$31:$F$500,C101,'הזנה לתנאי סף'!$N$31:$N$500)&gt;0,1,0))</f>
        <v>0</v>
      </c>
      <c r="F101" s="109"/>
      <c r="G101" s="109"/>
      <c r="H101" s="213" t="str">
        <f t="shared" si="3"/>
        <v/>
      </c>
    </row>
    <row r="102" spans="1:8" ht="15.75" x14ac:dyDescent="0.2">
      <c r="A102" s="206">
        <f t="shared" si="2"/>
        <v>72</v>
      </c>
      <c r="B102" s="88">
        <f>IF('הזנה לסיווג רשויות'!B73="","",'הזנה לסיווג רשויות'!B73)</f>
        <v>8</v>
      </c>
      <c r="C102" s="88">
        <f>IF('הזנה לסיווג רשויות'!C73="","",'הזנה לסיווג רשויות'!C73)</f>
        <v>20000135</v>
      </c>
      <c r="D102" s="88" t="str">
        <f>IF('הזנה לסיווג רשויות'!D73="","",'הזנה לסיווג רשויות'!D73)</f>
        <v>הגלבוע</v>
      </c>
      <c r="E102" s="88">
        <f>IF(D102="","",IF(SUMIF('הזנה לתנאי סף'!$F$31:$F$500,C102,'הזנה לתנאי סף'!$N$31:$N$500)&gt;0,1,0))</f>
        <v>0</v>
      </c>
      <c r="F102" s="109"/>
      <c r="G102" s="109"/>
      <c r="H102" s="213" t="str">
        <f t="shared" si="3"/>
        <v/>
      </c>
    </row>
    <row r="103" spans="1:8" ht="15.75" x14ac:dyDescent="0.2">
      <c r="A103" s="206">
        <f t="shared" si="2"/>
        <v>73</v>
      </c>
      <c r="B103" s="88">
        <f>IF('הזנה לסיווג רשויות'!B74="","",'הזנה לסיווג רשויות'!B74)</f>
        <v>1</v>
      </c>
      <c r="C103" s="88">
        <f>IF('הזנה לסיווג רשויות'!C74="","",'הזנה לסיווג רשויות'!C74)</f>
        <v>20000127</v>
      </c>
      <c r="D103" s="88" t="str">
        <f>IF('הזנה לסיווג רשויות'!D74="","",'הזנה לסיווג רשויות'!D74)</f>
        <v>הגליל העליון</v>
      </c>
      <c r="E103" s="88">
        <f>IF(D103="","",IF(SUMIF('הזנה לתנאי סף'!$F$31:$F$500,C103,'הזנה לתנאי סף'!$N$31:$N$500)&gt;0,1,0))</f>
        <v>0</v>
      </c>
      <c r="F103" s="109"/>
      <c r="G103" s="109"/>
      <c r="H103" s="213" t="str">
        <f t="shared" si="3"/>
        <v/>
      </c>
    </row>
    <row r="104" spans="1:8" ht="15.75" x14ac:dyDescent="0.2">
      <c r="A104" s="206">
        <f t="shared" si="2"/>
        <v>74</v>
      </c>
      <c r="B104" s="88">
        <f>IF('הזנה לסיווג רשויות'!B75="","",'הזנה לסיווג רשויות'!B75)</f>
        <v>3</v>
      </c>
      <c r="C104" s="88">
        <f>IF('הזנה לסיווג רשויות'!C75="","",'הזנה לסיווג רשויות'!C75)</f>
        <v>20000131</v>
      </c>
      <c r="D104" s="88" t="str">
        <f>IF('הזנה לסיווג רשויות'!D75="","",'הזנה לסיווג רשויות'!D75)</f>
        <v>הגליל התחתון</v>
      </c>
      <c r="E104" s="88">
        <f>IF(D104="","",IF(SUMIF('הזנה לתנאי סף'!$F$31:$F$500,C104,'הזנה לתנאי סף'!$N$31:$N$500)&gt;0,1,0))</f>
        <v>0</v>
      </c>
      <c r="F104" s="109"/>
      <c r="G104" s="109"/>
      <c r="H104" s="213" t="str">
        <f t="shared" si="3"/>
        <v/>
      </c>
    </row>
    <row r="105" spans="1:8" ht="15.75" x14ac:dyDescent="0.2">
      <c r="A105" s="206">
        <f t="shared" si="2"/>
        <v>75</v>
      </c>
      <c r="B105" s="88">
        <f>IF('הזנה לסיווג רשויות'!B76="","",'הזנה לסיווג רשויות'!B76)</f>
        <v>9700</v>
      </c>
      <c r="C105" s="88">
        <f>IF('הזנה לסיווג רשויות'!C76="","",'הזנה לסיווג רשויות'!C76)</f>
        <v>20000261</v>
      </c>
      <c r="D105" s="88" t="str">
        <f>IF('הזנה לסיווג רשויות'!D76="","",'הזנה לסיווג רשויות'!D76)</f>
        <v>הוד השרון</v>
      </c>
      <c r="E105" s="88">
        <f>IF(D105="","",IF(SUMIF('הזנה לתנאי סף'!$F$31:$F$500,C105,'הזנה לתנאי סף'!$N$31:$N$500)&gt;0,1,0))</f>
        <v>0</v>
      </c>
      <c r="F105" s="109"/>
      <c r="G105" s="109"/>
      <c r="H105" s="213" t="str">
        <f t="shared" si="3"/>
        <v/>
      </c>
    </row>
    <row r="106" spans="1:8" ht="15.75" x14ac:dyDescent="0.2">
      <c r="A106" s="206">
        <f t="shared" si="2"/>
        <v>76</v>
      </c>
      <c r="B106" s="88">
        <f>IF('הזנה לסיווג רשויות'!B77="","",'הזנה לסיווג רשויות'!B77)</f>
        <v>54</v>
      </c>
      <c r="C106" s="88">
        <f>IF('הזנה לסיווג רשויות'!C77="","",'הזנה לסיווג רשויות'!C77)</f>
        <v>20000220</v>
      </c>
      <c r="D106" s="88" t="str">
        <f>IF('הזנה לסיווג רשויות'!D77="","",'הזנה לסיווג רשויות'!D77)</f>
        <v>הערבה התיכונה</v>
      </c>
      <c r="E106" s="88">
        <f>IF(D106="","",IF(SUMIF('הזנה לתנאי סף'!$F$31:$F$500,C106,'הזנה לתנאי סף'!$N$31:$N$500)&gt;0,1,0))</f>
        <v>0</v>
      </c>
      <c r="F106" s="109"/>
      <c r="G106" s="109"/>
      <c r="H106" s="213" t="str">
        <f t="shared" si="3"/>
        <v/>
      </c>
    </row>
    <row r="107" spans="1:8" ht="15.75" x14ac:dyDescent="0.2">
      <c r="A107" s="206">
        <f t="shared" si="2"/>
        <v>77</v>
      </c>
      <c r="B107" s="88">
        <f>IF('הזנה לסיווג רשויות'!B78="","",'הזנה לסיווג רשויות'!B78)</f>
        <v>3769</v>
      </c>
      <c r="C107" s="88">
        <f>IF('הזנה לסיווג רשויות'!C78="","",'הזנה לסיווג רשויות'!C78)</f>
        <v>20000179</v>
      </c>
      <c r="D107" s="88" t="str">
        <f>IF('הזנה לסיווג רשויות'!D78="","",'הזנה לסיווג רשויות'!D78)</f>
        <v>הר אדר</v>
      </c>
      <c r="E107" s="88">
        <f>IF(D107="","",IF(SUMIF('הזנה לתנאי סף'!$F$31:$F$500,C107,'הזנה לתנאי סף'!$N$31:$N$500)&gt;0,1,0))</f>
        <v>0</v>
      </c>
      <c r="F107" s="109"/>
      <c r="G107" s="109"/>
      <c r="H107" s="213" t="str">
        <f t="shared" si="3"/>
        <v/>
      </c>
    </row>
    <row r="108" spans="1:8" ht="15.75" x14ac:dyDescent="0.2">
      <c r="A108" s="206">
        <f t="shared" si="2"/>
        <v>78</v>
      </c>
      <c r="B108" s="88">
        <f>IF('הזנה לסיווג רשויות'!B79="","",'הזנה לסיווג רשויות'!B79)</f>
        <v>78</v>
      </c>
      <c r="C108" s="88">
        <f>IF('הזנה לסיווג רשויות'!C79="","",'הזנה לסיווג רשויות'!C79)</f>
        <v>20000241</v>
      </c>
      <c r="D108" s="88" t="str">
        <f>IF('הזנה לסיווג רשויות'!D79="","",'הזנה לסיווג רשויות'!D79)</f>
        <v>הר חברון</v>
      </c>
      <c r="E108" s="88">
        <f>IF(D108="","",IF(SUMIF('הזנה לתנאי סף'!$F$31:$F$500,C108,'הזנה לתנאי סף'!$N$31:$N$500)&gt;0,1,0))</f>
        <v>0</v>
      </c>
      <c r="F108" s="109"/>
      <c r="G108" s="109"/>
      <c r="H108" s="213" t="str">
        <f t="shared" si="3"/>
        <v/>
      </c>
    </row>
    <row r="109" spans="1:8" ht="15.75" x14ac:dyDescent="0.2">
      <c r="A109" s="206">
        <f t="shared" si="2"/>
        <v>79</v>
      </c>
      <c r="B109" s="88">
        <f>IF('הזנה לסיווג רשויות'!B80="","",'הזנה לסיווג רשויות'!B80)</f>
        <v>6400</v>
      </c>
      <c r="C109" s="88">
        <f>IF('הזנה לסיווג רשויות'!C80="","",'הזנה לסיווג רשויות'!C80)</f>
        <v>20000222</v>
      </c>
      <c r="D109" s="88" t="str">
        <f>IF('הזנה לסיווג רשויות'!D80="","",'הזנה לסיווג רשויות'!D80)</f>
        <v>הרצלייה</v>
      </c>
      <c r="E109" s="88">
        <f>IF(D109="","",IF(SUMIF('הזנה לתנאי סף'!$F$31:$F$500,C109,'הזנה לתנאי סף'!$N$31:$N$500)&gt;0,1,0))</f>
        <v>0</v>
      </c>
      <c r="F109" s="109"/>
      <c r="G109" s="109"/>
      <c r="H109" s="213" t="str">
        <f t="shared" si="3"/>
        <v/>
      </c>
    </row>
    <row r="110" spans="1:8" ht="15.75" x14ac:dyDescent="0.2">
      <c r="A110" s="206">
        <f t="shared" si="2"/>
        <v>80</v>
      </c>
      <c r="B110" s="88">
        <f>IF('הזנה לסיווג רשויות'!B81="","",'הזנה לסיווג רשויות'!B81)</f>
        <v>12</v>
      </c>
      <c r="C110" s="88">
        <f>IF('הזנה לסיווג רשויות'!C81="","",'הזנה לסיווג רשויות'!C81)</f>
        <v>20000160</v>
      </c>
      <c r="D110" s="88" t="str">
        <f>IF('הזנה לסיווג רשויות'!D81="","",'הזנה לסיווג רשויות'!D81)</f>
        <v>זבולון</v>
      </c>
      <c r="E110" s="88">
        <f>IF(D110="","",IF(SUMIF('הזנה לתנאי סף'!$F$31:$F$500,C110,'הזנה לתנאי סף'!$N$31:$N$500)&gt;0,1,0))</f>
        <v>0</v>
      </c>
      <c r="F110" s="109"/>
      <c r="G110" s="109"/>
      <c r="H110" s="213" t="str">
        <f t="shared" si="3"/>
        <v/>
      </c>
    </row>
    <row r="111" spans="1:8" ht="15.75" x14ac:dyDescent="0.2">
      <c r="A111" s="206">
        <f t="shared" si="2"/>
        <v>81</v>
      </c>
      <c r="B111" s="88">
        <f>IF('הזנה לסיווג רשויות'!B82="","",'הזנה לסיווג רשויות'!B82)</f>
        <v>9300</v>
      </c>
      <c r="C111" s="88">
        <f>IF('הזנה לסיווג רשויות'!C82="","",'הזנה לסיווג רשויות'!C82)</f>
        <v>20000257</v>
      </c>
      <c r="D111" s="88" t="str">
        <f>IF('הזנה לסיווג רשויות'!D82="","",'הזנה לסיווג רשויות'!D82)</f>
        <v>זכרון יעקב</v>
      </c>
      <c r="E111" s="88">
        <f>IF(D111="","",IF(SUMIF('הזנה לתנאי סף'!$F$31:$F$500,C111,'הזנה לתנאי סף'!$N$31:$N$500)&gt;0,1,0))</f>
        <v>0</v>
      </c>
      <c r="F111" s="109"/>
      <c r="G111" s="109"/>
      <c r="H111" s="213" t="str">
        <f t="shared" si="3"/>
        <v/>
      </c>
    </row>
    <row r="112" spans="1:8" ht="15.75" x14ac:dyDescent="0.2">
      <c r="A112" s="206">
        <f t="shared" si="2"/>
        <v>82</v>
      </c>
      <c r="B112" s="88">
        <f>IF('הזנה לסיווג רשויות'!B83="","",'הזנה לסיווג רשויות'!B83)</f>
        <v>1290</v>
      </c>
      <c r="C112" s="88">
        <f>IF('הזנה לסיווג רשויות'!C83="","",'הזנה לסיווג רשויות'!C83)</f>
        <v>20000115</v>
      </c>
      <c r="D112" s="88" t="str">
        <f>IF('הזנה לסיווג רשויות'!D83="","",'הזנה לסיווג רשויות'!D83)</f>
        <v>זמר</v>
      </c>
      <c r="E112" s="88">
        <f>IF(D112="","",IF(SUMIF('הזנה לתנאי סף'!$F$31:$F$500,C112,'הזנה לתנאי סף'!$N$31:$N$500)&gt;0,1,0))</f>
        <v>0</v>
      </c>
      <c r="F112" s="109"/>
      <c r="G112" s="109"/>
      <c r="H112" s="213" t="str">
        <f t="shared" si="3"/>
        <v/>
      </c>
    </row>
    <row r="113" spans="1:8" ht="15.75" x14ac:dyDescent="0.2">
      <c r="A113" s="206">
        <f t="shared" si="2"/>
        <v>83</v>
      </c>
      <c r="B113" s="88">
        <f>IF('הזנה לסיווג רשויות'!B84="","",'הזנה לסיווג רשויות'!B84)</f>
        <v>975</v>
      </c>
      <c r="C113" s="88">
        <f>IF('הזנה לסיווג רשויות'!C84="","",'הזנה לסיווג רשויות'!C84)</f>
        <v>20000296</v>
      </c>
      <c r="D113" s="88" t="str">
        <f>IF('הזנה לסיווג רשויות'!D84="","",'הזנה לסיווג רשויות'!D84)</f>
        <v>זרזיר</v>
      </c>
      <c r="E113" s="88">
        <f>IF(D113="","",IF(SUMIF('הזנה לתנאי סף'!$F$31:$F$500,C113,'הזנה לתנאי סף'!$N$31:$N$500)&gt;0,1,0))</f>
        <v>0</v>
      </c>
      <c r="F113" s="109"/>
      <c r="G113" s="109"/>
      <c r="H113" s="213" t="str">
        <f t="shared" si="3"/>
        <v/>
      </c>
    </row>
    <row r="114" spans="1:8" ht="15.75" x14ac:dyDescent="0.2">
      <c r="A114" s="206">
        <f t="shared" si="2"/>
        <v>84</v>
      </c>
      <c r="B114" s="88">
        <f>IF('הזנה לסיווג רשויות'!B85="","",'הזנה לסיווג רשויות'!B85)</f>
        <v>53</v>
      </c>
      <c r="C114" s="88">
        <f>IF('הזנה לסיווג רשויות'!C85="","",'הזנה לסיווג רשויות'!C85)</f>
        <v>20000219</v>
      </c>
      <c r="D114" s="88" t="str">
        <f>IF('הזנה לסיווג רשויות'!D85="","",'הזנה לסיווג רשויות'!D85)</f>
        <v>חבל אילות</v>
      </c>
      <c r="E114" s="88">
        <f>IF(D114="","",IF(SUMIF('הזנה לתנאי סף'!$F$31:$F$500,C114,'הזנה לתנאי סף'!$N$31:$N$500)&gt;0,1,0))</f>
        <v>0</v>
      </c>
      <c r="F114" s="109"/>
      <c r="G114" s="109"/>
      <c r="H114" s="213" t="str">
        <f t="shared" si="3"/>
        <v/>
      </c>
    </row>
    <row r="115" spans="1:8" ht="15.75" x14ac:dyDescent="0.2">
      <c r="A115" s="206">
        <f t="shared" si="2"/>
        <v>85</v>
      </c>
      <c r="B115" s="88">
        <f>IF('הזנה לסיווג רשויות'!B86="","",'הזנה לסיווג רשויות'!B86)</f>
        <v>29</v>
      </c>
      <c r="C115" s="88">
        <f>IF('הזנה לסיווג רשויות'!C86="","",'הזנה לסיווג רשויות'!C86)</f>
        <v>20000196</v>
      </c>
      <c r="D115" s="88" t="str">
        <f>IF('הזנה לסיווג רשויות'!D86="","",'הזנה לסיווג רשויות'!D86)</f>
        <v>חבל יבנה</v>
      </c>
      <c r="E115" s="88">
        <f>IF(D115="","",IF(SUMIF('הזנה לתנאי סף'!$F$31:$F$500,C115,'הזנה לתנאי סף'!$N$31:$N$500)&gt;0,1,0))</f>
        <v>0</v>
      </c>
      <c r="F115" s="109"/>
      <c r="G115" s="109"/>
      <c r="H115" s="213" t="str">
        <f t="shared" si="3"/>
        <v/>
      </c>
    </row>
    <row r="116" spans="1:8" ht="15.75" x14ac:dyDescent="0.2">
      <c r="A116" s="206">
        <f t="shared" si="2"/>
        <v>86</v>
      </c>
      <c r="B116" s="88">
        <f>IF('הזנה לסיווג רשויות'!B87="","",'הזנה לסיווג רשויות'!B87)</f>
        <v>25</v>
      </c>
      <c r="C116" s="88">
        <f>IF('הזנה לסיווג רשויות'!C87="","",'הזנה לסיווג רשויות'!C87)</f>
        <v>20000191</v>
      </c>
      <c r="D116" s="88" t="str">
        <f>IF('הזנה לסיווג רשויות'!D87="","",'הזנה לסיווג רשויות'!D87)</f>
        <v>חבל מודיעין</v>
      </c>
      <c r="E116" s="88">
        <f>IF(D116="","",IF(SUMIF('הזנה לתנאי סף'!$F$31:$F$500,C116,'הזנה לתנאי סף'!$N$31:$N$500)&gt;0,1,0))</f>
        <v>0</v>
      </c>
      <c r="F116" s="109"/>
      <c r="G116" s="109"/>
      <c r="H116" s="213" t="str">
        <f t="shared" si="3"/>
        <v/>
      </c>
    </row>
    <row r="117" spans="1:8" ht="15.75" x14ac:dyDescent="0.2">
      <c r="A117" s="206">
        <f t="shared" si="2"/>
        <v>87</v>
      </c>
      <c r="B117" s="88">
        <f>IF('הזנה לסיווג רשויות'!B88="","",'הזנה לסיווג רשויות'!B88)</f>
        <v>6500</v>
      </c>
      <c r="C117" s="88">
        <f>IF('הזנה לסיווג רשויות'!C88="","",'הזנה לסיווג רשויות'!C88)</f>
        <v>20000223</v>
      </c>
      <c r="D117" s="88" t="str">
        <f>IF('הזנה לסיווג רשויות'!D88="","",'הזנה לסיווג רשויות'!D88)</f>
        <v>חדרה</v>
      </c>
      <c r="E117" s="88">
        <f>IF(D117="","",IF(SUMIF('הזנה לתנאי סף'!$F$31:$F$500,C117,'הזנה לתנאי סף'!$N$31:$N$500)&gt;0,1,0))</f>
        <v>0</v>
      </c>
      <c r="F117" s="109"/>
      <c r="G117" s="109"/>
      <c r="H117" s="213" t="str">
        <f t="shared" si="3"/>
        <v/>
      </c>
    </row>
    <row r="118" spans="1:8" ht="15.75" x14ac:dyDescent="0.2">
      <c r="A118" s="206">
        <f t="shared" si="2"/>
        <v>88</v>
      </c>
      <c r="B118" s="88">
        <f>IF('הזנה לסיווג רשויות'!B89="","",'הזנה לסיווג רשויות'!B89)</f>
        <v>6600</v>
      </c>
      <c r="C118" s="88">
        <f>IF('הזנה לסיווג רשויות'!C89="","",'הזנה לסיווג רשויות'!C89)</f>
        <v>20000224</v>
      </c>
      <c r="D118" s="88" t="str">
        <f>IF('הזנה לסיווג רשויות'!D89="","",'הזנה לסיווג רשויות'!D89)</f>
        <v>חולון</v>
      </c>
      <c r="E118" s="88">
        <f>IF(D118="","",IF(SUMIF('הזנה לתנאי סף'!$F$31:$F$500,C118,'הזנה לתנאי סף'!$N$31:$N$500)&gt;0,1,0))</f>
        <v>0</v>
      </c>
      <c r="F118" s="109"/>
      <c r="G118" s="109"/>
      <c r="H118" s="213" t="str">
        <f t="shared" si="3"/>
        <v/>
      </c>
    </row>
    <row r="119" spans="1:8" ht="15.75" x14ac:dyDescent="0.2">
      <c r="A119" s="206">
        <f t="shared" si="2"/>
        <v>89</v>
      </c>
      <c r="B119" s="88">
        <f>IF('הזנה לסיווג רשויות'!B90="","",'הזנה לסיווג רשויות'!B90)</f>
        <v>36</v>
      </c>
      <c r="C119" s="88">
        <f>IF('הזנה לסיווג רשויות'!C90="","",'הזנה לסיווג רשויות'!C90)</f>
        <v>20000208</v>
      </c>
      <c r="D119" s="88" t="str">
        <f>IF('הזנה לסיווג רשויות'!D90="","",'הזנה לסיווג רשויות'!D90)</f>
        <v>חוף אשקלון</v>
      </c>
      <c r="E119" s="88">
        <f>IF(D119="","",IF(SUMIF('הזנה לתנאי סף'!$F$31:$F$500,C119,'הזנה לתנאי סף'!$N$31:$N$500)&gt;0,1,0))</f>
        <v>1</v>
      </c>
      <c r="F119" s="109">
        <v>60000</v>
      </c>
      <c r="G119" s="109">
        <v>59999</v>
      </c>
      <c r="H119" s="213" t="str">
        <f t="shared" si="3"/>
        <v/>
      </c>
    </row>
    <row r="120" spans="1:8" ht="15.75" x14ac:dyDescent="0.2">
      <c r="A120" s="206">
        <f t="shared" si="2"/>
        <v>90</v>
      </c>
      <c r="B120" s="88">
        <f>IF('הזנה לסיווג רשויות'!B91="","",'הזנה לסיווג רשויות'!B91)</f>
        <v>15</v>
      </c>
      <c r="C120" s="88">
        <f>IF('הזנה לסיווג רשויות'!C91="","",'הזנה לסיווג רשויות'!C91)</f>
        <v>20000162</v>
      </c>
      <c r="D120" s="88" t="str">
        <f>IF('הזנה לסיווג רשויות'!D91="","",'הזנה לסיווג רשויות'!D91)</f>
        <v>חוף הכרמל</v>
      </c>
      <c r="E120" s="88">
        <f>IF(D120="","",IF(SUMIF('הזנה לתנאי סף'!$F$31:$F$500,C120,'הזנה לתנאי סף'!$N$31:$N$500)&gt;0,1,0))</f>
        <v>1</v>
      </c>
      <c r="F120" s="109">
        <v>35000</v>
      </c>
      <c r="G120" s="109">
        <v>34999</v>
      </c>
      <c r="H120" s="213" t="str">
        <f t="shared" si="3"/>
        <v/>
      </c>
    </row>
    <row r="121" spans="1:8" ht="15.75" x14ac:dyDescent="0.2">
      <c r="A121" s="206">
        <f t="shared" si="2"/>
        <v>91</v>
      </c>
      <c r="B121" s="88">
        <f>IF('הזנה לסיווג רשויות'!B92="","",'הזנה לסיווג רשויות'!B92)</f>
        <v>19</v>
      </c>
      <c r="C121" s="88">
        <f>IF('הזנה לסיווג רשויות'!C92="","",'הזנה לסיווג רשויות'!C92)</f>
        <v>20000187</v>
      </c>
      <c r="D121" s="88" t="str">
        <f>IF('הזנה לסיווג רשויות'!D92="","",'הזנה לסיווג רשויות'!D92)</f>
        <v>חוף השרון</v>
      </c>
      <c r="E121" s="88">
        <f>IF(D121="","",IF(SUMIF('הזנה לתנאי סף'!$F$31:$F$500,C121,'הזנה לתנאי סף'!$N$31:$N$500)&gt;0,1,0))</f>
        <v>0</v>
      </c>
      <c r="F121" s="109"/>
      <c r="G121" s="109"/>
      <c r="H121" s="213" t="str">
        <f t="shared" si="3"/>
        <v/>
      </c>
    </row>
    <row r="122" spans="1:8" ht="15.75" x14ac:dyDescent="0.2">
      <c r="A122" s="206">
        <f t="shared" si="2"/>
        <v>92</v>
      </c>
      <c r="B122" s="88">
        <f>IF('הזנה לסיווג רשויות'!B93="","",'הזנה לסיווג רשויות'!B93)</f>
        <v>1303</v>
      </c>
      <c r="C122" s="88">
        <f>IF('הזנה לסיווג רשויות'!C93="","",'הזנה לסיווג רשויות'!C93)</f>
        <v>20000119</v>
      </c>
      <c r="D122" s="88" t="str">
        <f>IF('הזנה לסיווג רשויות'!D93="","",'הזנה לסיווג רשויות'!D93)</f>
        <v>חורה</v>
      </c>
      <c r="E122" s="88">
        <f>IF(D122="","",IF(SUMIF('הזנה לתנאי סף'!$F$31:$F$500,C122,'הזנה לתנאי סף'!$N$31:$N$500)&gt;0,1,0))</f>
        <v>0</v>
      </c>
      <c r="F122" s="109"/>
      <c r="G122" s="109"/>
      <c r="H122" s="213" t="str">
        <f t="shared" si="3"/>
        <v/>
      </c>
    </row>
    <row r="123" spans="1:8" ht="15.75" x14ac:dyDescent="0.2">
      <c r="A123" s="206">
        <f t="shared" si="2"/>
        <v>93</v>
      </c>
      <c r="B123" s="88">
        <f>IF('הזנה לסיווג רשויות'!B94="","",'הזנה לסיווג רשויות'!B94)</f>
        <v>496</v>
      </c>
      <c r="C123" s="88">
        <f>IF('הזנה לסיווג רשויות'!C94="","",'הזנה לסיווג רשויות'!C94)</f>
        <v>20000044</v>
      </c>
      <c r="D123" s="88" t="str">
        <f>IF('הזנה לסיווג רשויות'!D94="","",'הזנה לסיווג רשויות'!D94)</f>
        <v>חורפיש</v>
      </c>
      <c r="E123" s="88">
        <f>IF(D123="","",IF(SUMIF('הזנה לתנאי סף'!$F$31:$F$500,C123,'הזנה לתנאי סף'!$N$31:$N$500)&gt;0,1,0))</f>
        <v>0</v>
      </c>
      <c r="F123" s="109"/>
      <c r="G123" s="109"/>
      <c r="H123" s="213" t="str">
        <f t="shared" si="3"/>
        <v/>
      </c>
    </row>
    <row r="124" spans="1:8" ht="15.75" x14ac:dyDescent="0.2">
      <c r="A124" s="206">
        <f t="shared" si="2"/>
        <v>94</v>
      </c>
      <c r="B124" s="88">
        <f>IF('הזנה לסיווג רשויות'!B95="","",'הזנה לסיווג רשויות'!B95)</f>
        <v>4000</v>
      </c>
      <c r="C124" s="88">
        <f>IF('הזנה לסיווג רשויות'!C95="","",'הזנה לסיווג רשויות'!C95)</f>
        <v>20000182</v>
      </c>
      <c r="D124" s="88" t="str">
        <f>IF('הזנה לסיווג רשויות'!D95="","",'הזנה לסיווג רשויות'!D95)</f>
        <v>חיפה</v>
      </c>
      <c r="E124" s="88">
        <f>IF(D124="","",IF(SUMIF('הזנה לתנאי סף'!$F$31:$F$500,C124,'הזנה לתנאי סף'!$N$31:$N$500)&gt;0,1,0))</f>
        <v>1</v>
      </c>
      <c r="F124" s="109">
        <v>34523281</v>
      </c>
      <c r="G124" s="109">
        <v>35417765</v>
      </c>
      <c r="H124" s="213">
        <f t="shared" si="3"/>
        <v>894484</v>
      </c>
    </row>
    <row r="125" spans="1:8" ht="15.75" x14ac:dyDescent="0.2">
      <c r="A125" s="206">
        <f t="shared" si="2"/>
        <v>95</v>
      </c>
      <c r="B125" s="88">
        <f>IF('הזנה לסיווג רשויות'!B96="","",'הזנה לסיווג רשויות'!B96)</f>
        <v>2034</v>
      </c>
      <c r="C125" s="88">
        <f>IF('הזנה לסיווג רשויות'!C96="","",'הזנה לסיווג רשויות'!C96)</f>
        <v>20000125</v>
      </c>
      <c r="D125" s="88" t="str">
        <f>IF('הזנה לסיווג רשויות'!D96="","",'הזנה לסיווג רשויות'!D96)</f>
        <v>חצור הגלילית</v>
      </c>
      <c r="E125" s="88">
        <f>IF(D125="","",IF(SUMIF('הזנה לתנאי סף'!$F$31:$F$500,C125,'הזנה לתנאי סף'!$N$31:$N$500)&gt;0,1,0))</f>
        <v>0</v>
      </c>
      <c r="F125" s="109"/>
      <c r="G125" s="109"/>
      <c r="H125" s="213" t="str">
        <f t="shared" si="3"/>
        <v/>
      </c>
    </row>
    <row r="126" spans="1:8" ht="15.75" x14ac:dyDescent="0.2">
      <c r="A126" s="206">
        <f t="shared" si="2"/>
        <v>96</v>
      </c>
      <c r="B126" s="88">
        <f>IF('הזנה לסיווג רשויות'!B97="","",'הזנה לסיווג רשויות'!B97)</f>
        <v>1247</v>
      </c>
      <c r="C126" s="88">
        <f>IF('הזנה לסיווג רשויות'!C97="","",'הזנה לסיווג רשויות'!C97)</f>
        <v>20000109</v>
      </c>
      <c r="D126" s="88" t="str">
        <f>IF('הזנה לסיווג רשויות'!D97="","",'הזנה לסיווג רשויות'!D97)</f>
        <v>חריש</v>
      </c>
      <c r="E126" s="88">
        <f>IF(D126="","",IF(SUMIF('הזנה לתנאי סף'!$F$31:$F$500,C126,'הזנה לתנאי סף'!$N$31:$N$500)&gt;0,1,0))</f>
        <v>0</v>
      </c>
      <c r="F126" s="109"/>
      <c r="G126" s="109"/>
      <c r="H126" s="213" t="str">
        <f t="shared" si="3"/>
        <v/>
      </c>
    </row>
    <row r="127" spans="1:8" ht="15.75" x14ac:dyDescent="0.2">
      <c r="A127" s="206">
        <f t="shared" si="2"/>
        <v>97</v>
      </c>
      <c r="B127" s="88">
        <f>IF('הזנה לסיווג רשויות'!B98="","",'הזנה לסיווג רשויות'!B98)</f>
        <v>6700</v>
      </c>
      <c r="C127" s="88">
        <f>IF('הזנה לסיווג רשויות'!C98="","",'הזנה לסיווג רשויות'!C98)</f>
        <v>20000225</v>
      </c>
      <c r="D127" s="88" t="str">
        <f>IF('הזנה לסיווג רשויות'!D98="","",'הזנה לסיווג רשויות'!D98)</f>
        <v>טבריה</v>
      </c>
      <c r="E127" s="88">
        <f>IF(D127="","",IF(SUMIF('הזנה לתנאי סף'!$F$31:$F$500,C127,'הזנה לתנאי סף'!$N$31:$N$500)&gt;0,1,0))</f>
        <v>0</v>
      </c>
      <c r="F127" s="109"/>
      <c r="G127" s="109"/>
      <c r="H127" s="213" t="str">
        <f t="shared" si="3"/>
        <v/>
      </c>
    </row>
    <row r="128" spans="1:8" ht="15.75" x14ac:dyDescent="0.2">
      <c r="A128" s="206">
        <f t="shared" si="2"/>
        <v>98</v>
      </c>
      <c r="B128" s="88">
        <f>IF('הזנה לסיווג רשויות'!B99="","",'הזנה לסיווג רשויות'!B99)</f>
        <v>962</v>
      </c>
      <c r="C128" s="88">
        <f>IF('הזנה לסיווג רשויות'!C99="","",'הזנה לסיווג רשויות'!C99)</f>
        <v>20000090</v>
      </c>
      <c r="D128" s="88" t="str">
        <f>IF('הזנה לסיווג רשויות'!D99="","",'הזנה לסיווג רשויות'!D99)</f>
        <v>טובא-זנגרייה</v>
      </c>
      <c r="E128" s="88">
        <f>IF(D128="","",IF(SUMIF('הזנה לתנאי סף'!$F$31:$F$500,C128,'הזנה לתנאי סף'!$N$31:$N$500)&gt;0,1,0))</f>
        <v>0</v>
      </c>
      <c r="F128" s="109"/>
      <c r="G128" s="109"/>
      <c r="H128" s="213" t="str">
        <f t="shared" si="3"/>
        <v/>
      </c>
    </row>
    <row r="129" spans="1:8" ht="15.75" x14ac:dyDescent="0.2">
      <c r="A129" s="206">
        <f t="shared" si="2"/>
        <v>99</v>
      </c>
      <c r="B129" s="88">
        <f>IF('הזנה לסיווג רשויות'!B100="","",'הזנה לסיווג רשויות'!B100)</f>
        <v>498</v>
      </c>
      <c r="C129" s="88">
        <f>IF('הזנה לסיווג רשויות'!C100="","",'הזנה לסיווג רשויות'!C100)</f>
        <v>20000045</v>
      </c>
      <c r="D129" s="88" t="str">
        <f>IF('הזנה לסיווג רשויות'!D100="","",'הזנה לסיווג רשויות'!D100)</f>
        <v>טורעאן</v>
      </c>
      <c r="E129" s="88">
        <f>IF(D129="","",IF(SUMIF('הזנה לתנאי סף'!$F$31:$F$500,C129,'הזנה לתנאי סף'!$N$31:$N$500)&gt;0,1,0))</f>
        <v>0</v>
      </c>
      <c r="F129" s="109"/>
      <c r="G129" s="109"/>
      <c r="H129" s="213" t="str">
        <f t="shared" si="3"/>
        <v/>
      </c>
    </row>
    <row r="130" spans="1:8" ht="15.75" x14ac:dyDescent="0.2">
      <c r="A130" s="206">
        <f t="shared" si="2"/>
        <v>100</v>
      </c>
      <c r="B130" s="88">
        <f>IF('הזנה לסיווג רשויות'!B101="","",'הזנה לסיווג רשויות'!B101)</f>
        <v>2730</v>
      </c>
      <c r="C130" s="88">
        <f>IF('הזנה לסיווג רשויות'!C101="","",'הזנה לסיווג רשויות'!C101)</f>
        <v>20000156</v>
      </c>
      <c r="D130" s="88" t="str">
        <f>IF('הזנה לסיווג רשויות'!D101="","",'הזנה לסיווג רשויות'!D101)</f>
        <v>טייבה</v>
      </c>
      <c r="E130" s="88">
        <f>IF(D130="","",IF(SUMIF('הזנה לתנאי סף'!$F$31:$F$500,C130,'הזנה לתנאי סף'!$N$31:$N$500)&gt;0,1,0))</f>
        <v>0</v>
      </c>
      <c r="F130" s="109"/>
      <c r="G130" s="109"/>
      <c r="H130" s="213" t="str">
        <f t="shared" si="3"/>
        <v/>
      </c>
    </row>
    <row r="131" spans="1:8" ht="15.75" x14ac:dyDescent="0.2">
      <c r="A131" s="206">
        <f t="shared" si="2"/>
        <v>101</v>
      </c>
      <c r="B131" s="88">
        <f>IF('הזנה לסיווג רשויות'!B102="","",'הזנה לסיווג רשויות'!B102)</f>
        <v>2720</v>
      </c>
      <c r="C131" s="88">
        <f>IF('הזנה לסיווג רשויות'!C102="","",'הזנה לסיווג רשויות'!C102)</f>
        <v>20000155</v>
      </c>
      <c r="D131" s="88" t="str">
        <f>IF('הזנה לסיווג רשויות'!D102="","",'הזנה לסיווג רשויות'!D102)</f>
        <v>טירה</v>
      </c>
      <c r="E131" s="88">
        <f>IF(D131="","",IF(SUMIF('הזנה לתנאי סף'!$F$31:$F$500,C131,'הזנה לתנאי סף'!$N$31:$N$500)&gt;0,1,0))</f>
        <v>0</v>
      </c>
      <c r="F131" s="109"/>
      <c r="G131" s="109"/>
      <c r="H131" s="213" t="str">
        <f t="shared" si="3"/>
        <v/>
      </c>
    </row>
    <row r="132" spans="1:8" ht="15.75" x14ac:dyDescent="0.2">
      <c r="A132" s="206">
        <f t="shared" si="2"/>
        <v>102</v>
      </c>
      <c r="B132" s="88">
        <f>IF('הזנה לסיווג רשויות'!B103="","",'הזנה לסיווג רשויות'!B103)</f>
        <v>2100</v>
      </c>
      <c r="C132" s="88">
        <f>IF('הזנה לסיווג רשויות'!C103="","",'הזנה לסיווג רשויות'!C103)</f>
        <v>20000126</v>
      </c>
      <c r="D132" s="88" t="str">
        <f>IF('הזנה לסיווג רשויות'!D103="","",'הזנה לסיווג רשויות'!D103)</f>
        <v>טירת כרמל</v>
      </c>
      <c r="E132" s="88">
        <f>IF(D132="","",IF(SUMIF('הזנה לתנאי סף'!$F$31:$F$500,C132,'הזנה לתנאי סף'!$N$31:$N$500)&gt;0,1,0))</f>
        <v>0</v>
      </c>
      <c r="F132" s="109"/>
      <c r="G132" s="109"/>
      <c r="H132" s="213" t="str">
        <f t="shared" si="3"/>
        <v/>
      </c>
    </row>
    <row r="133" spans="1:8" ht="15.75" x14ac:dyDescent="0.2">
      <c r="A133" s="206">
        <f t="shared" si="2"/>
        <v>103</v>
      </c>
      <c r="B133" s="88">
        <f>IF('הזנה לסיווג רשויות'!B104="","",'הזנה לסיווג רשויות'!B104)</f>
        <v>8900</v>
      </c>
      <c r="C133" s="88">
        <f>IF('הזנה לסיווג רשויות'!C104="","",'הזנה לסיווג רשויות'!C104)</f>
        <v>20000253</v>
      </c>
      <c r="D133" s="88" t="str">
        <f>IF('הזנה לסיווג רשויות'!D104="","",'הזנה לסיווג רשויות'!D104)</f>
        <v>טמרה</v>
      </c>
      <c r="E133" s="88">
        <f>IF(D133="","",IF(SUMIF('הזנה לתנאי סף'!$F$31:$F$500,C133,'הזנה לתנאי סף'!$N$31:$N$500)&gt;0,1,0))</f>
        <v>0</v>
      </c>
      <c r="F133" s="109"/>
      <c r="G133" s="109"/>
      <c r="H133" s="213" t="str">
        <f t="shared" si="3"/>
        <v/>
      </c>
    </row>
    <row r="134" spans="1:8" ht="15.75" x14ac:dyDescent="0.2">
      <c r="A134" s="206">
        <f t="shared" si="2"/>
        <v>104</v>
      </c>
      <c r="B134" s="88">
        <f>IF('הזנה לסיווג רשויות'!B105="","",'הזנה לסיווג רשויות'!B105)</f>
        <v>1295</v>
      </c>
      <c r="C134" s="88">
        <f>IF('הזנה לסיווג רשויות'!C105="","",'הזנה לסיווג רשויות'!C105)</f>
        <v>20000117</v>
      </c>
      <c r="D134" s="88" t="str">
        <f>IF('הזנה לסיווג רשויות'!D105="","",'הזנה לסיווג רשויות'!D105)</f>
        <v>יאנוח-ג'ת</v>
      </c>
      <c r="E134" s="88">
        <f>IF(D134="","",IF(SUMIF('הזנה לתנאי סף'!$F$31:$F$500,C134,'הזנה לתנאי סף'!$N$31:$N$500)&gt;0,1,0))</f>
        <v>0</v>
      </c>
      <c r="F134" s="109"/>
      <c r="G134" s="109"/>
      <c r="H134" s="213" t="str">
        <f t="shared" si="3"/>
        <v/>
      </c>
    </row>
    <row r="135" spans="1:8" ht="15.75" x14ac:dyDescent="0.2">
      <c r="A135" s="206">
        <f t="shared" si="2"/>
        <v>105</v>
      </c>
      <c r="B135" s="88">
        <f>IF('הזנה לסיווג רשויות'!B106="","",'הזנה לסיווג רשויות'!B106)</f>
        <v>46</v>
      </c>
      <c r="C135" s="88">
        <f>IF('הזנה לסיווג רשויות'!C106="","",'הזנה לסיווג רשויות'!C106)</f>
        <v>20000007</v>
      </c>
      <c r="D135" s="88" t="str">
        <f>IF('הזנה לסיווג רשויות'!D106="","",'הזנה לסיווג רשויות'!D106)</f>
        <v>יבנאל</v>
      </c>
      <c r="E135" s="88">
        <f>IF(D135="","",IF(SUMIF('הזנה לתנאי סף'!$F$31:$F$500,C135,'הזנה לתנאי סף'!$N$31:$N$500)&gt;0,1,0))</f>
        <v>0</v>
      </c>
      <c r="F135" s="109"/>
      <c r="G135" s="109"/>
      <c r="H135" s="213" t="str">
        <f t="shared" si="3"/>
        <v/>
      </c>
    </row>
    <row r="136" spans="1:8" ht="15.75" x14ac:dyDescent="0.2">
      <c r="A136" s="206">
        <f t="shared" si="2"/>
        <v>106</v>
      </c>
      <c r="B136" s="88">
        <f>IF('הזנה לסיווג רשויות'!B107="","",'הזנה לסיווג רשויות'!B107)</f>
        <v>2660</v>
      </c>
      <c r="C136" s="88">
        <f>IF('הזנה לסיווג רשויות'!C107="","",'הזנה לסיווג רשויות'!C107)</f>
        <v>20000153</v>
      </c>
      <c r="D136" s="88" t="str">
        <f>IF('הזנה לסיווג רשויות'!D107="","",'הזנה לסיווג רשויות'!D107)</f>
        <v>יבנה</v>
      </c>
      <c r="E136" s="88">
        <f>IF(D136="","",IF(SUMIF('הזנה לתנאי סף'!$F$31:$F$500,C136,'הזנה לתנאי סף'!$N$31:$N$500)&gt;0,1,0))</f>
        <v>0</v>
      </c>
      <c r="F136" s="109"/>
      <c r="G136" s="109"/>
      <c r="H136" s="213" t="str">
        <f t="shared" si="3"/>
        <v/>
      </c>
    </row>
    <row r="137" spans="1:8" ht="15.75" x14ac:dyDescent="0.2">
      <c r="A137" s="206">
        <f t="shared" si="2"/>
        <v>107</v>
      </c>
      <c r="B137" s="88">
        <f>IF('הזנה לסיווג רשויות'!B108="","",'הזנה לסיווג רשויות'!B108)</f>
        <v>9400</v>
      </c>
      <c r="C137" s="88">
        <f>IF('הזנה לסיווג רשויות'!C108="","",'הזנה לסיווג רשויות'!C108)</f>
        <v>20000459</v>
      </c>
      <c r="D137" s="88" t="str">
        <f>IF('הזנה לסיווג רשויות'!D108="","",'הזנה לסיווג רשויות'!D108)</f>
        <v>יהוד</v>
      </c>
      <c r="E137" s="88">
        <f>IF(D137="","",IF(SUMIF('הזנה לתנאי סף'!$F$31:$F$500,C137,'הזנה לתנאי סף'!$N$31:$N$500)&gt;0,1,0))</f>
        <v>0</v>
      </c>
      <c r="F137" s="109"/>
      <c r="G137" s="109"/>
      <c r="H137" s="213" t="str">
        <f t="shared" si="3"/>
        <v/>
      </c>
    </row>
    <row r="138" spans="1:8" ht="15.75" x14ac:dyDescent="0.2">
      <c r="A138" s="206">
        <f t="shared" si="2"/>
        <v>108</v>
      </c>
      <c r="B138" s="88">
        <f>IF('הזנה לסיווג רשויות'!B109="","",'הזנה לסיווג רשויות'!B109)</f>
        <v>35</v>
      </c>
      <c r="C138" s="88">
        <f>IF('הזנה לסיווג רשויות'!C109="","",'הזנה לסיווג רשויות'!C109)</f>
        <v>20000207</v>
      </c>
      <c r="D138" s="88" t="str">
        <f>IF('הזנה לסיווג רשויות'!D109="","",'הזנה לסיווג רשויות'!D109)</f>
        <v>יואב</v>
      </c>
      <c r="E138" s="88">
        <f>IF(D138="","",IF(SUMIF('הזנה לתנאי סף'!$F$31:$F$500,C138,'הזנה לתנאי סף'!$N$31:$N$500)&gt;0,1,0))</f>
        <v>0</v>
      </c>
      <c r="F138" s="109"/>
      <c r="G138" s="109"/>
      <c r="H138" s="213" t="str">
        <f t="shared" si="3"/>
        <v/>
      </c>
    </row>
    <row r="139" spans="1:8" ht="15.75" x14ac:dyDescent="0.2">
      <c r="A139" s="206">
        <f t="shared" si="2"/>
        <v>109</v>
      </c>
      <c r="B139" s="88">
        <f>IF('הזנה לסיווג רשויות'!B110="","",'הזנה לסיווג רשויות'!B110)</f>
        <v>29</v>
      </c>
      <c r="C139" s="88">
        <f>IF('הזנה לסיווג רשויות'!C110="","",'הזנה לסיווג רשויות'!C110)</f>
        <v>20000003</v>
      </c>
      <c r="D139" s="88" t="str">
        <f>IF('הזנה לסיווג רשויות'!D110="","",'הזנה לסיווג רשויות'!D110)</f>
        <v>יסוד המעלה</v>
      </c>
      <c r="E139" s="88">
        <f>IF(D139="","",IF(SUMIF('הזנה לתנאי סף'!$F$31:$F$500,C139,'הזנה לתנאי סף'!$N$31:$N$500)&gt;0,1,0))</f>
        <v>0</v>
      </c>
      <c r="F139" s="109"/>
      <c r="G139" s="109"/>
      <c r="H139" s="213" t="str">
        <f t="shared" si="3"/>
        <v/>
      </c>
    </row>
    <row r="140" spans="1:8" ht="15.75" x14ac:dyDescent="0.2">
      <c r="A140" s="206">
        <f t="shared" si="2"/>
        <v>110</v>
      </c>
      <c r="B140" s="88">
        <f>IF('הזנה לסיווג רשויות'!B111="","",'הזנה לסיווג רשויות'!B111)</f>
        <v>499</v>
      </c>
      <c r="C140" s="88">
        <f>IF('הזנה לסיווג רשויות'!C111="","",'הזנה לסיווג רשויות'!C111)</f>
        <v>20000046</v>
      </c>
      <c r="D140" s="88" t="str">
        <f>IF('הזנה לסיווג רשויות'!D111="","",'הזנה לסיווג רשויות'!D111)</f>
        <v>יפיע</v>
      </c>
      <c r="E140" s="88">
        <f>IF(D140="","",IF(SUMIF('הזנה לתנאי סף'!$F$31:$F$500,C140,'הזנה לתנאי סף'!$N$31:$N$500)&gt;0,1,0))</f>
        <v>0</v>
      </c>
      <c r="F140" s="109"/>
      <c r="G140" s="109"/>
      <c r="H140" s="213" t="str">
        <f t="shared" si="3"/>
        <v/>
      </c>
    </row>
    <row r="141" spans="1:8" ht="15.75" x14ac:dyDescent="0.2">
      <c r="A141" s="206">
        <f t="shared" si="2"/>
        <v>111</v>
      </c>
      <c r="B141" s="88">
        <f>IF('הזנה לסיווג רשויות'!B112="","",'הזנה לסיווג רשויות'!B112)</f>
        <v>240</v>
      </c>
      <c r="C141" s="88">
        <f>IF('הזנה לסיווג רשויות'!C112="","",'הזנה לסיווג רשויות'!C112)</f>
        <v>20000025</v>
      </c>
      <c r="D141" s="88" t="str">
        <f>IF('הזנה לסיווג רשויות'!D112="","",'הזנה לסיווג רשויות'!D112)</f>
        <v>יקנעם עילית</v>
      </c>
      <c r="E141" s="88">
        <f>IF(D141="","",IF(SUMIF('הזנה לתנאי סף'!$F$31:$F$500,C141,'הזנה לתנאי סף'!$N$31:$N$500)&gt;0,1,0))</f>
        <v>0</v>
      </c>
      <c r="F141" s="109"/>
      <c r="G141" s="109"/>
      <c r="H141" s="213" t="str">
        <f t="shared" si="3"/>
        <v/>
      </c>
    </row>
    <row r="142" spans="1:8" ht="15.75" x14ac:dyDescent="0.2">
      <c r="A142" s="206">
        <f t="shared" si="2"/>
        <v>112</v>
      </c>
      <c r="B142" s="88">
        <f>IF('הזנה לסיווג רשויות'!B113="","",'הזנה לסיווג רשויות'!B113)</f>
        <v>831</v>
      </c>
      <c r="C142" s="88">
        <f>IF('הזנה לסיווג רשויות'!C113="","",'הזנה לסיווג רשויות'!C113)</f>
        <v>20000085</v>
      </c>
      <c r="D142" s="88" t="str">
        <f>IF('הזנה לסיווג רשויות'!D113="","",'הזנה לסיווג רשויות'!D113)</f>
        <v>ירוחם</v>
      </c>
      <c r="E142" s="88">
        <f>IF(D142="","",IF(SUMIF('הזנה לתנאי סף'!$F$31:$F$500,C142,'הזנה לתנאי סף'!$N$31:$N$500)&gt;0,1,0))</f>
        <v>0</v>
      </c>
      <c r="F142" s="109"/>
      <c r="G142" s="109"/>
      <c r="H142" s="213" t="str">
        <f t="shared" si="3"/>
        <v/>
      </c>
    </row>
    <row r="143" spans="1:8" ht="15.75" x14ac:dyDescent="0.2">
      <c r="A143" s="206">
        <f t="shared" si="2"/>
        <v>113</v>
      </c>
      <c r="B143" s="88">
        <f>IF('הזנה לסיווג רשויות'!B114="","",'הזנה לסיווג רשויות'!B114)</f>
        <v>3000</v>
      </c>
      <c r="C143" s="88">
        <f>IF('הזנה לסיווג רשויות'!C114="","",'הזנה לסיווג רשויות'!C114)</f>
        <v>20000159</v>
      </c>
      <c r="D143" s="88" t="str">
        <f>IF('הזנה לסיווג רשויות'!D114="","",'הזנה לסיווג רשויות'!D114)</f>
        <v>ירושלים</v>
      </c>
      <c r="E143" s="88">
        <f>IF(D143="","",IF(SUMIF('הזנה לתנאי סף'!$F$31:$F$500,C143,'הזנה לתנאי סף'!$N$31:$N$500)&gt;0,1,0))</f>
        <v>1</v>
      </c>
      <c r="F143" s="109">
        <v>35051257</v>
      </c>
      <c r="G143" s="109">
        <v>39041963</v>
      </c>
      <c r="H143" s="213">
        <f t="shared" si="3"/>
        <v>3990706</v>
      </c>
    </row>
    <row r="144" spans="1:8" ht="15.75" x14ac:dyDescent="0.2">
      <c r="A144" s="206">
        <f t="shared" si="2"/>
        <v>114</v>
      </c>
      <c r="B144" s="88">
        <f>IF('הזנה לסיווג רשויות'!B115="","",'הזנה לסיווג רשויות'!B115)</f>
        <v>502</v>
      </c>
      <c r="C144" s="88">
        <f>IF('הזנה לסיווג רשויות'!C115="","",'הזנה לסיווג רשויות'!C115)</f>
        <v>20000047</v>
      </c>
      <c r="D144" s="88" t="str">
        <f>IF('הזנה לסיווג רשויות'!D115="","",'הזנה לסיווג רשויות'!D115)</f>
        <v>ירכא</v>
      </c>
      <c r="E144" s="88">
        <f>IF(D144="","",IF(SUMIF('הזנה לתנאי סף'!$F$31:$F$500,C144,'הזנה לתנאי סף'!$N$31:$N$500)&gt;0,1,0))</f>
        <v>0</v>
      </c>
      <c r="F144" s="109"/>
      <c r="G144" s="109"/>
      <c r="H144" s="213" t="str">
        <f t="shared" si="3"/>
        <v/>
      </c>
    </row>
    <row r="145" spans="1:8" ht="15.75" x14ac:dyDescent="0.2">
      <c r="A145" s="206">
        <f t="shared" si="2"/>
        <v>115</v>
      </c>
      <c r="B145" s="88">
        <f>IF('הזנה לסיווג רשויות'!B116="","",'הזנה לסיווג רשויות'!B116)</f>
        <v>504</v>
      </c>
      <c r="C145" s="88">
        <f>IF('הזנה לסיווג רשויות'!C116="","",'הזנה לסיווג רשויות'!C116)</f>
        <v>20000048</v>
      </c>
      <c r="D145" s="88" t="str">
        <f>IF('הזנה לסיווג רשויות'!D116="","",'הזנה לסיווג רשויות'!D116)</f>
        <v>כאבול</v>
      </c>
      <c r="E145" s="88">
        <f>IF(D145="","",IF(SUMIF('הזנה לתנאי סף'!$F$31:$F$500,C145,'הזנה לתנאי סף'!$N$31:$N$500)&gt;0,1,0))</f>
        <v>0</v>
      </c>
      <c r="F145" s="109"/>
      <c r="G145" s="109"/>
      <c r="H145" s="213" t="str">
        <f t="shared" si="3"/>
        <v/>
      </c>
    </row>
    <row r="146" spans="1:8" ht="15.75" x14ac:dyDescent="0.2">
      <c r="A146" s="206">
        <f t="shared" si="2"/>
        <v>116</v>
      </c>
      <c r="B146" s="88">
        <f>IF('הזנה לסיווג רשויות'!B117="","",'הזנה לסיווג רשויות'!B117)</f>
        <v>505</v>
      </c>
      <c r="C146" s="88">
        <f>IF('הזנה לסיווג רשויות'!C117="","",'הזנה לסיווג רשויות'!C117)</f>
        <v>20000049</v>
      </c>
      <c r="D146" s="88" t="str">
        <f>IF('הזנה לסיווג רשויות'!D117="","",'הזנה לסיווג רשויות'!D117)</f>
        <v>כאוכב אבו אל-היג'א</v>
      </c>
      <c r="E146" s="88">
        <f>IF(D146="","",IF(SUMIF('הזנה לתנאי סף'!$F$31:$F$500,C146,'הזנה לתנאי סף'!$N$31:$N$500)&gt;0,1,0))</f>
        <v>0</v>
      </c>
      <c r="F146" s="109"/>
      <c r="G146" s="109"/>
      <c r="H146" s="213" t="str">
        <f t="shared" si="3"/>
        <v/>
      </c>
    </row>
    <row r="147" spans="1:8" ht="15.75" x14ac:dyDescent="0.2">
      <c r="A147" s="206">
        <f t="shared" si="2"/>
        <v>117</v>
      </c>
      <c r="B147" s="88">
        <f>IF('הזנה לסיווג רשויות'!B118="","",'הזנה לסיווג רשויות'!B118)</f>
        <v>1224</v>
      </c>
      <c r="C147" s="88">
        <f>IF('הזנה לסיווג רשויות'!C118="","",'הזנה לסיווג רשויות'!C118)</f>
        <v>20000108</v>
      </c>
      <c r="D147" s="88" t="str">
        <f>IF('הזנה לסיווג רשויות'!D118="","",'הזנה לסיווג רשויות'!D118)</f>
        <v>כוכב יאיר</v>
      </c>
      <c r="E147" s="88">
        <f>IF(D147="","",IF(SUMIF('הזנה לתנאי סף'!$F$31:$F$500,C147,'הזנה לתנאי סף'!$N$31:$N$500)&gt;0,1,0))</f>
        <v>0</v>
      </c>
      <c r="F147" s="109"/>
      <c r="G147" s="109"/>
      <c r="H147" s="213" t="str">
        <f t="shared" si="3"/>
        <v/>
      </c>
    </row>
    <row r="148" spans="1:8" ht="15.75" x14ac:dyDescent="0.2">
      <c r="A148" s="206">
        <f t="shared" si="2"/>
        <v>118</v>
      </c>
      <c r="B148" s="88">
        <f>IF('הזנה לסיווג רשויות'!B119="","",'הזנה לסיווג רשויות'!B119)</f>
        <v>1059</v>
      </c>
      <c r="C148" s="88">
        <f>IF('הזנה לסיווג רשויות'!C119="","",'הזנה לסיווג רשויות'!C119)</f>
        <v>20000099</v>
      </c>
      <c r="D148" s="88" t="str">
        <f>IF('הזנה לסיווג רשויות'!D119="","",'הזנה לסיווג רשויות'!D119)</f>
        <v>כסיפה</v>
      </c>
      <c r="E148" s="88">
        <f>IF(D148="","",IF(SUMIF('הזנה לתנאי סף'!$F$31:$F$500,C148,'הזנה לתנאי סף'!$N$31:$N$500)&gt;0,1,0))</f>
        <v>0</v>
      </c>
      <c r="F148" s="109"/>
      <c r="G148" s="109"/>
      <c r="H148" s="213" t="str">
        <f t="shared" si="3"/>
        <v/>
      </c>
    </row>
    <row r="149" spans="1:8" ht="15.75" x14ac:dyDescent="0.2">
      <c r="A149" s="206">
        <f t="shared" si="2"/>
        <v>119</v>
      </c>
      <c r="B149" s="88">
        <f>IF('הזנה לסיווג רשויות'!B120="","",'הזנה לסיווג רשויות'!B120)</f>
        <v>1296</v>
      </c>
      <c r="C149" s="88">
        <f>IF('הזנה לסיווג רשויות'!C120="","",'הזנה לסיווג רשויות'!C120)</f>
        <v>20000118</v>
      </c>
      <c r="D149" s="88" t="str">
        <f>IF('הזנה לסיווג רשויות'!D120="","",'הזנה לסיווג רשויות'!D120)</f>
        <v>כסרא-סמיע</v>
      </c>
      <c r="E149" s="88">
        <f>IF(D149="","",IF(SUMIF('הזנה לתנאי סף'!$F$31:$F$500,C149,'הזנה לתנאי סף'!$N$31:$N$500)&gt;0,1,0))</f>
        <v>0</v>
      </c>
      <c r="F149" s="109"/>
      <c r="G149" s="109"/>
      <c r="H149" s="213" t="str">
        <f t="shared" si="3"/>
        <v/>
      </c>
    </row>
    <row r="150" spans="1:8" ht="15.75" x14ac:dyDescent="0.2">
      <c r="A150" s="206">
        <f t="shared" si="2"/>
        <v>120</v>
      </c>
      <c r="B150" s="88">
        <f>IF('הזנה לסיווג רשויות'!B121="","",'הזנה לסיווג רשויות'!B121)</f>
        <v>978</v>
      </c>
      <c r="C150" s="88">
        <f>IF('הזנה לסיווג רשויות'!C121="","",'הזנה לסיווג רשויות'!C121)</f>
        <v>20000091</v>
      </c>
      <c r="D150" s="88" t="str">
        <f>IF('הזנה לסיווג רשויות'!D121="","",'הזנה לסיווג רשויות'!D121)</f>
        <v>כעביה-טבאש-חג'אג'רה</v>
      </c>
      <c r="E150" s="88">
        <f>IF(D150="","",IF(SUMIF('הזנה לתנאי סף'!$F$31:$F$500,C150,'הזנה לתנאי סף'!$N$31:$N$500)&gt;0,1,0))</f>
        <v>0</v>
      </c>
      <c r="F150" s="109"/>
      <c r="G150" s="109"/>
      <c r="H150" s="213" t="str">
        <f t="shared" si="3"/>
        <v/>
      </c>
    </row>
    <row r="151" spans="1:8" ht="15.75" x14ac:dyDescent="0.2">
      <c r="A151" s="206">
        <f t="shared" si="2"/>
        <v>121</v>
      </c>
      <c r="B151" s="88">
        <f>IF('הזנה לסיווג רשויות'!B122="","",'הזנה לסיווג רשויות'!B122)</f>
        <v>633</v>
      </c>
      <c r="C151" s="88">
        <f>IF('הזנה לסיווג רשויות'!C122="","",'הזנה לסיווג רשויות'!C122)</f>
        <v>20000077</v>
      </c>
      <c r="D151" s="88" t="str">
        <f>IF('הזנה לסיווג רשויות'!D122="","",'הזנה לסיווג רשויות'!D122)</f>
        <v>כפר ברא</v>
      </c>
      <c r="E151" s="88">
        <f>IF(D151="","",IF(SUMIF('הזנה לתנאי סף'!$F$31:$F$500,C151,'הזנה לתנאי סף'!$N$31:$N$500)&gt;0,1,0))</f>
        <v>0</v>
      </c>
      <c r="F151" s="109"/>
      <c r="G151" s="109"/>
      <c r="H151" s="213" t="str">
        <f t="shared" si="3"/>
        <v/>
      </c>
    </row>
    <row r="152" spans="1:8" ht="15.75" x14ac:dyDescent="0.2">
      <c r="A152" s="206">
        <f t="shared" si="2"/>
        <v>122</v>
      </c>
      <c r="B152" s="88">
        <f>IF('הזנה לסיווג רשויות'!B123="","",'הזנה לסיווג רשויות'!B123)</f>
        <v>1263</v>
      </c>
      <c r="C152" s="88">
        <f>IF('הזנה לסיווג רשויות'!C123="","",'הזנה לסיווג רשויות'!C123)</f>
        <v>20000110</v>
      </c>
      <c r="D152" s="88" t="str">
        <f>IF('הזנה לסיווג רשויות'!D123="","",'הזנה לסיווג רשויות'!D123)</f>
        <v>כפר ורדים</v>
      </c>
      <c r="E152" s="88">
        <f>IF(D152="","",IF(SUMIF('הזנה לתנאי סף'!$F$31:$F$500,C152,'הזנה לתנאי סף'!$N$31:$N$500)&gt;0,1,0))</f>
        <v>0</v>
      </c>
      <c r="F152" s="109"/>
      <c r="G152" s="109"/>
      <c r="H152" s="213" t="str">
        <f t="shared" si="3"/>
        <v/>
      </c>
    </row>
    <row r="153" spans="1:8" ht="15.75" x14ac:dyDescent="0.2">
      <c r="A153" s="206">
        <f t="shared" si="2"/>
        <v>123</v>
      </c>
      <c r="B153" s="88">
        <f>IF('הזנה לסיווג רשויות'!B124="","",'הזנה לסיווג רשויות'!B124)</f>
        <v>507</v>
      </c>
      <c r="C153" s="88">
        <f>IF('הזנה לסיווג רשויות'!C124="","",'הזנה לסיווג רשויות'!C124)</f>
        <v>20000050</v>
      </c>
      <c r="D153" s="88" t="str">
        <f>IF('הזנה לסיווג רשויות'!D124="","",'הזנה לסיווג רשויות'!D124)</f>
        <v>כפר יאסיף</v>
      </c>
      <c r="E153" s="88">
        <f>IF(D153="","",IF(SUMIF('הזנה לתנאי סף'!$F$31:$F$500,C153,'הזנה לתנאי סף'!$N$31:$N$500)&gt;0,1,0))</f>
        <v>0</v>
      </c>
      <c r="F153" s="109"/>
      <c r="G153" s="109"/>
      <c r="H153" s="213" t="str">
        <f t="shared" si="3"/>
        <v/>
      </c>
    </row>
    <row r="154" spans="1:8" ht="15.75" x14ac:dyDescent="0.2">
      <c r="A154" s="206">
        <f t="shared" si="2"/>
        <v>124</v>
      </c>
      <c r="B154" s="88">
        <f>IF('הזנה לסיווג רשויות'!B125="","",'הזנה לסיווג רשויות'!B125)</f>
        <v>168</v>
      </c>
      <c r="C154" s="88">
        <f>IF('הזנה לסיווג רשויות'!C125="","",'הזנה לסיווג רשויות'!C125)</f>
        <v>20000019</v>
      </c>
      <c r="D154" s="88" t="str">
        <f>IF('הזנה לסיווג רשויות'!D125="","",'הזנה לסיווג רשויות'!D125)</f>
        <v>כפר יונה</v>
      </c>
      <c r="E154" s="88">
        <f>IF(D154="","",IF(SUMIF('הזנה לתנאי סף'!$F$31:$F$500,C154,'הזנה לתנאי סף'!$N$31:$N$500)&gt;0,1,0))</f>
        <v>0</v>
      </c>
      <c r="F154" s="109"/>
      <c r="G154" s="109"/>
      <c r="H154" s="213" t="str">
        <f t="shared" si="3"/>
        <v/>
      </c>
    </row>
    <row r="155" spans="1:8" ht="15.75" x14ac:dyDescent="0.2">
      <c r="A155" s="206">
        <f t="shared" si="2"/>
        <v>125</v>
      </c>
      <c r="B155" s="88">
        <f>IF('הזנה לסיווג רשויות'!B126="","",'הזנה לסיווג רשויות'!B126)</f>
        <v>508</v>
      </c>
      <c r="C155" s="88">
        <f>IF('הזנה לסיווג רשויות'!C126="","",'הזנה לסיווג רשויות'!C126)</f>
        <v>20000051</v>
      </c>
      <c r="D155" s="88" t="str">
        <f>IF('הזנה לסיווג רשויות'!D126="","",'הזנה לסיווג רשויות'!D126)</f>
        <v>כפר כמא</v>
      </c>
      <c r="E155" s="88">
        <f>IF(D155="","",IF(SUMIF('הזנה לתנאי סף'!$F$31:$F$500,C155,'הזנה לתנאי סף'!$N$31:$N$500)&gt;0,1,0))</f>
        <v>0</v>
      </c>
      <c r="F155" s="109"/>
      <c r="G155" s="109"/>
      <c r="H155" s="213" t="str">
        <f t="shared" si="3"/>
        <v/>
      </c>
    </row>
    <row r="156" spans="1:8" ht="15.75" x14ac:dyDescent="0.2">
      <c r="A156" s="206">
        <f t="shared" si="2"/>
        <v>126</v>
      </c>
      <c r="B156" s="88">
        <f>IF('הזנה לסיווג רשויות'!B127="","",'הזנה לסיווג רשויות'!B127)</f>
        <v>509</v>
      </c>
      <c r="C156" s="88">
        <f>IF('הזנה לסיווג רשויות'!C127="","",'הזנה לסיווג רשויות'!C127)</f>
        <v>20000052</v>
      </c>
      <c r="D156" s="88" t="str">
        <f>IF('הזנה לסיווג רשויות'!D127="","",'הזנה לסיווג רשויות'!D127)</f>
        <v>כפר כנא</v>
      </c>
      <c r="E156" s="88">
        <f>IF(D156="","",IF(SUMIF('הזנה לתנאי סף'!$F$31:$F$500,C156,'הזנה לתנאי סף'!$N$31:$N$500)&gt;0,1,0))</f>
        <v>0</v>
      </c>
      <c r="F156" s="109"/>
      <c r="G156" s="109"/>
      <c r="H156" s="213" t="str">
        <f t="shared" si="3"/>
        <v/>
      </c>
    </row>
    <row r="157" spans="1:8" ht="15.75" x14ac:dyDescent="0.2">
      <c r="A157" s="206">
        <f t="shared" si="2"/>
        <v>127</v>
      </c>
      <c r="B157" s="88">
        <f>IF('הזנה לסיווג רשויות'!B128="","",'הזנה לסיווג רשויות'!B128)</f>
        <v>510</v>
      </c>
      <c r="C157" s="88">
        <f>IF('הזנה לסיווג רשויות'!C128="","",'הזנה לסיווג רשויות'!C128)</f>
        <v>20000053</v>
      </c>
      <c r="D157" s="88" t="str">
        <f>IF('הזנה לסיווג רשויות'!D128="","",'הזנה לסיווג רשויות'!D128)</f>
        <v>כפר מנדא</v>
      </c>
      <c r="E157" s="88">
        <f>IF(D157="","",IF(SUMIF('הזנה לתנאי סף'!$F$31:$F$500,C157,'הזנה לתנאי סף'!$N$31:$N$500)&gt;0,1,0))</f>
        <v>0</v>
      </c>
      <c r="F157" s="109"/>
      <c r="G157" s="109"/>
      <c r="H157" s="213" t="str">
        <f t="shared" si="3"/>
        <v/>
      </c>
    </row>
    <row r="158" spans="1:8" ht="15.75" x14ac:dyDescent="0.2">
      <c r="A158" s="206">
        <f t="shared" si="2"/>
        <v>128</v>
      </c>
      <c r="B158" s="88">
        <f>IF('הזנה לסיווג רשויות'!B129="","",'הזנה לסיווג רשויות'!B129)</f>
        <v>6900</v>
      </c>
      <c r="C158" s="88">
        <f>IF('הזנה לסיווג רשויות'!C129="","",'הזנה לסיווג רשויות'!C129)</f>
        <v>20000227</v>
      </c>
      <c r="D158" s="88" t="str">
        <f>IF('הזנה לסיווג רשויות'!D129="","",'הזנה לסיווג רשויות'!D129)</f>
        <v>כפר סבא</v>
      </c>
      <c r="E158" s="88">
        <f>IF(D158="","",IF(SUMIF('הזנה לתנאי סף'!$F$31:$F$500,C158,'הזנה לתנאי סף'!$N$31:$N$500)&gt;0,1,0))</f>
        <v>1</v>
      </c>
      <c r="F158" s="109">
        <v>158200</v>
      </c>
      <c r="G158" s="109">
        <v>158199</v>
      </c>
      <c r="H158" s="213" t="str">
        <f t="shared" si="3"/>
        <v/>
      </c>
    </row>
    <row r="159" spans="1:8" ht="15.75" x14ac:dyDescent="0.2">
      <c r="A159" s="206">
        <f t="shared" si="2"/>
        <v>129</v>
      </c>
      <c r="B159" s="88">
        <f>IF('הזנה לסיווג רשויות'!B130="","",'הזנה לסיווג רשויות'!B130)</f>
        <v>634</v>
      </c>
      <c r="C159" s="88">
        <f>IF('הזנה לסיווג רשויות'!C130="","",'הזנה לסיווג רשויות'!C130)</f>
        <v>20000078</v>
      </c>
      <c r="D159" s="88" t="str">
        <f>IF('הזנה לסיווג רשויות'!D130="","",'הזנה לסיווג רשויות'!D130)</f>
        <v>כפר קאסם</v>
      </c>
      <c r="E159" s="88">
        <f>IF(D159="","",IF(SUMIF('הזנה לתנאי סף'!$F$31:$F$500,C159,'הזנה לתנאי סף'!$N$31:$N$500)&gt;0,1,0))</f>
        <v>0</v>
      </c>
      <c r="F159" s="109"/>
      <c r="G159" s="109"/>
      <c r="H159" s="213" t="str">
        <f t="shared" si="3"/>
        <v/>
      </c>
    </row>
    <row r="160" spans="1:8" ht="15.75" x14ac:dyDescent="0.2">
      <c r="A160" s="206">
        <f t="shared" ref="A160:A223" si="4">IF(C160="","",ROW()-30)</f>
        <v>130</v>
      </c>
      <c r="B160" s="88">
        <f>IF('הזנה לסיווג רשויות'!B131="","",'הזנה לסיווג רשויות'!B131)</f>
        <v>654</v>
      </c>
      <c r="C160" s="88">
        <f>IF('הזנה לסיווג רשויות'!C131="","",'הזנה לסיווג רשויות'!C131)</f>
        <v>20000081</v>
      </c>
      <c r="D160" s="88" t="str">
        <f>IF('הזנה לסיווג רשויות'!D131="","",'הזנה לסיווג רשויות'!D131)</f>
        <v>כפר קרע</v>
      </c>
      <c r="E160" s="88">
        <f>IF(D160="","",IF(SUMIF('הזנה לתנאי סף'!$F$31:$F$500,C160,'הזנה לתנאי סף'!$N$31:$N$500)&gt;0,1,0))</f>
        <v>0</v>
      </c>
      <c r="F160" s="109"/>
      <c r="G160" s="109"/>
      <c r="H160" s="213" t="str">
        <f t="shared" ref="H160:H223" si="5">IF(E160=1,IF(OR(F160="",G160=""),$J$2,IF(G160&gt;=F160,G160-F160,"")),"")</f>
        <v/>
      </c>
    </row>
    <row r="161" spans="1:8" ht="15.75" x14ac:dyDescent="0.2">
      <c r="A161" s="206">
        <f t="shared" si="4"/>
        <v>131</v>
      </c>
      <c r="B161" s="88">
        <f>IF('הזנה לסיווג רשויות'!B132="","",'הזנה לסיווג רשויות'!B132)</f>
        <v>267</v>
      </c>
      <c r="C161" s="88">
        <f>IF('הזנה לסיווג רשויות'!C132="","",'הזנה לסיווג רשויות'!C132)</f>
        <v>20000027</v>
      </c>
      <c r="D161" s="88" t="str">
        <f>IF('הזנה לסיווג רשויות'!D132="","",'הזנה לסיווג רשויות'!D132)</f>
        <v>כפר שמריהו</v>
      </c>
      <c r="E161" s="88">
        <f>IF(D161="","",IF(SUMIF('הזנה לתנאי סף'!$F$31:$F$500,C161,'הזנה לתנאי סף'!$N$31:$N$500)&gt;0,1,0))</f>
        <v>0</v>
      </c>
      <c r="F161" s="109"/>
      <c r="G161" s="109"/>
      <c r="H161" s="213" t="str">
        <f t="shared" si="5"/>
        <v/>
      </c>
    </row>
    <row r="162" spans="1:8" ht="15.75" x14ac:dyDescent="0.2">
      <c r="A162" s="206">
        <f t="shared" si="4"/>
        <v>132</v>
      </c>
      <c r="B162" s="88">
        <f>IF('הזנה לסיווג רשויות'!B133="","",'הזנה לסיווג רשויות'!B133)</f>
        <v>47</v>
      </c>
      <c r="C162" s="88">
        <f>IF('הזנה לסיווג רשויות'!C133="","",'הזנה לסיווג רשויות'!C133)</f>
        <v>20000008</v>
      </c>
      <c r="D162" s="88" t="str">
        <f>IF('הזנה לסיווג רשויות'!D133="","",'הזנה לסיווג רשויות'!D133)</f>
        <v>כפר תבור</v>
      </c>
      <c r="E162" s="88">
        <f>IF(D162="","",IF(SUMIF('הזנה לתנאי סף'!$F$31:$F$500,C162,'הזנה לתנאי סף'!$N$31:$N$500)&gt;0,1,0))</f>
        <v>0</v>
      </c>
      <c r="F162" s="109"/>
      <c r="G162" s="109"/>
      <c r="H162" s="213" t="str">
        <f t="shared" si="5"/>
        <v/>
      </c>
    </row>
    <row r="163" spans="1:8" ht="15.75" x14ac:dyDescent="0.2">
      <c r="A163" s="206">
        <f t="shared" si="4"/>
        <v>133</v>
      </c>
      <c r="B163" s="88">
        <f>IF('הזנה לסיווג רשויות'!B134="","",'הזנה לסיווג רשויות'!B134)</f>
        <v>1139</v>
      </c>
      <c r="C163" s="88">
        <f>IF('הזנה לסיווג רשויות'!C134="","",'הזנה לסיווג רשויות'!C134)</f>
        <v>20000105</v>
      </c>
      <c r="D163" s="88" t="str">
        <f>IF('הזנה לסיווג רשויות'!D134="","",'הזנה לסיווג רשויות'!D134)</f>
        <v>כרמיאל</v>
      </c>
      <c r="E163" s="88">
        <f>IF(D163="","",IF(SUMIF('הזנה לתנאי סף'!$F$31:$F$500,C163,'הזנה לתנאי סף'!$N$31:$N$500)&gt;0,1,0))</f>
        <v>0</v>
      </c>
      <c r="F163" s="109"/>
      <c r="G163" s="109"/>
      <c r="H163" s="213" t="str">
        <f t="shared" si="5"/>
        <v/>
      </c>
    </row>
    <row r="164" spans="1:8" ht="15.75" x14ac:dyDescent="0.2">
      <c r="A164" s="206">
        <f t="shared" si="4"/>
        <v>134</v>
      </c>
      <c r="B164" s="88">
        <f>IF('הזנה לסיווג רשויות'!B135="","",'הזנה לסיווג רשויות'!B135)</f>
        <v>18</v>
      </c>
      <c r="C164" s="88">
        <f>IF('הזנה לסיווג רשויות'!C135="","",'הזנה לסיווג רשויות'!C135)</f>
        <v>20000186</v>
      </c>
      <c r="D164" s="88" t="str">
        <f>IF('הזנה לסיווג רשויות'!D135="","",'הזנה לסיווג רשויות'!D135)</f>
        <v>לב השרון</v>
      </c>
      <c r="E164" s="88">
        <f>IF(D164="","",IF(SUMIF('הזנה לתנאי סף'!$F$31:$F$500,C164,'הזנה לתנאי סף'!$N$31:$N$500)&gt;0,1,0))</f>
        <v>0</v>
      </c>
      <c r="F164" s="109"/>
      <c r="G164" s="109"/>
      <c r="H164" s="213" t="str">
        <f t="shared" si="5"/>
        <v/>
      </c>
    </row>
    <row r="165" spans="1:8" ht="15.75" x14ac:dyDescent="0.2">
      <c r="A165" s="206">
        <f t="shared" si="4"/>
        <v>135</v>
      </c>
      <c r="B165" s="88">
        <f>IF('הזנה לסיווג רשויות'!B136="","",'הזנה לסיווג רשויות'!B136)</f>
        <v>1271</v>
      </c>
      <c r="C165" s="88">
        <f>IF('הזנה לסיווג רשויות'!C136="","",'הזנה לסיווג רשויות'!C136)</f>
        <v>20000112</v>
      </c>
      <c r="D165" s="88" t="str">
        <f>IF('הזנה לסיווג רשויות'!D136="","",'הזנה לסיווג רשויות'!D136)</f>
        <v>להבים</v>
      </c>
      <c r="E165" s="88">
        <f>IF(D165="","",IF(SUMIF('הזנה לתנאי סף'!$F$31:$F$500,C165,'הזנה לתנאי סף'!$N$31:$N$500)&gt;0,1,0))</f>
        <v>0</v>
      </c>
      <c r="F165" s="109"/>
      <c r="G165" s="109"/>
      <c r="H165" s="213" t="str">
        <f t="shared" si="5"/>
        <v/>
      </c>
    </row>
    <row r="166" spans="1:8" ht="15.75" x14ac:dyDescent="0.2">
      <c r="A166" s="206">
        <f t="shared" si="4"/>
        <v>136</v>
      </c>
      <c r="B166" s="88">
        <f>IF('הזנה לסיווג רשויות'!B137="","",'הזנה לסיווג רשויות'!B137)</f>
        <v>7000</v>
      </c>
      <c r="C166" s="88">
        <f>IF('הזנה לסיווג רשויות'!C137="","",'הזנה לסיווג רשויות'!C137)</f>
        <v>20000228</v>
      </c>
      <c r="D166" s="88" t="str">
        <f>IF('הזנה לסיווג רשויות'!D137="","",'הזנה לסיווג רשויות'!D137)</f>
        <v>לוד</v>
      </c>
      <c r="E166" s="88">
        <f>IF(D166="","",IF(SUMIF('הזנה לתנאי סף'!$F$31:$F$500,C166,'הזנה לתנאי סף'!$N$31:$N$500)&gt;0,1,0))</f>
        <v>0</v>
      </c>
      <c r="F166" s="109"/>
      <c r="G166" s="109"/>
      <c r="H166" s="213" t="str">
        <f t="shared" si="5"/>
        <v/>
      </c>
    </row>
    <row r="167" spans="1:8" ht="15.75" x14ac:dyDescent="0.2">
      <c r="A167" s="206">
        <f t="shared" si="4"/>
        <v>137</v>
      </c>
      <c r="B167" s="88">
        <f>IF('הזנה לסיווג רשויות'!B138="","",'הזנה לסיווג רשויות'!B138)</f>
        <v>50</v>
      </c>
      <c r="C167" s="88">
        <f>IF('הזנה לסיווג רשויות'!C138="","",'הזנה לסיווג רשויות'!C138)</f>
        <v>20000210</v>
      </c>
      <c r="D167" s="88" t="str">
        <f>IF('הזנה לסיווג רשויות'!D138="","",'הזנה לסיווג רשויות'!D138)</f>
        <v>לכיש</v>
      </c>
      <c r="E167" s="88">
        <f>IF(D167="","",IF(SUMIF('הזנה לתנאי סף'!$F$31:$F$500,C167,'הזנה לתנאי סף'!$N$31:$N$500)&gt;0,1,0))</f>
        <v>0</v>
      </c>
      <c r="F167" s="109"/>
      <c r="G167" s="109"/>
      <c r="H167" s="213" t="str">
        <f t="shared" si="5"/>
        <v/>
      </c>
    </row>
    <row r="168" spans="1:8" ht="15.75" x14ac:dyDescent="0.2">
      <c r="A168" s="206">
        <f t="shared" si="4"/>
        <v>138</v>
      </c>
      <c r="B168" s="88">
        <f>IF('הזנה לסיווג רשויות'!B139="","",'הזנה לסיווג רשויות'!B139)</f>
        <v>1060</v>
      </c>
      <c r="C168" s="88">
        <f>IF('הזנה לסיווג רשויות'!C139="","",'הזנה לסיווג רשויות'!C139)</f>
        <v>20000297</v>
      </c>
      <c r="D168" s="88" t="str">
        <f>IF('הזנה לסיווג רשויות'!D139="","",'הזנה לסיווג רשויות'!D139)</f>
        <v>לקיה</v>
      </c>
      <c r="E168" s="88">
        <f>IF(D168="","",IF(SUMIF('הזנה לתנאי סף'!$F$31:$F$500,C168,'הזנה לתנאי סף'!$N$31:$N$500)&gt;0,1,0))</f>
        <v>0</v>
      </c>
      <c r="F168" s="109"/>
      <c r="G168" s="109"/>
      <c r="H168" s="213" t="str">
        <f t="shared" si="5"/>
        <v/>
      </c>
    </row>
    <row r="169" spans="1:8" ht="15.75" x14ac:dyDescent="0.2">
      <c r="A169" s="206">
        <f t="shared" si="4"/>
        <v>139</v>
      </c>
      <c r="B169" s="88">
        <f>IF('הזנה לסיווג רשויות'!B140="","",'הזנה לסיווג רשויות'!B140)</f>
        <v>55</v>
      </c>
      <c r="C169" s="88">
        <f>IF('הזנה לסיווג רשויות'!C140="","",'הזנה לסיווג רשויות'!C140)</f>
        <v>20000129</v>
      </c>
      <c r="D169" s="88" t="str">
        <f>IF('הזנה לסיווג רשויות'!D140="","",'הזנה לסיווג רשויות'!D140)</f>
        <v>מבואות החרמון</v>
      </c>
      <c r="E169" s="88">
        <f>IF(D169="","",IF(SUMIF('הזנה לתנאי סף'!$F$31:$F$500,C169,'הזנה לתנאי סף'!$N$31:$N$500)&gt;0,1,0))</f>
        <v>0</v>
      </c>
      <c r="F169" s="109"/>
      <c r="G169" s="109"/>
      <c r="H169" s="213" t="str">
        <f t="shared" si="5"/>
        <v/>
      </c>
    </row>
    <row r="170" spans="1:8" ht="15.75" x14ac:dyDescent="0.2">
      <c r="A170" s="206">
        <f t="shared" si="4"/>
        <v>140</v>
      </c>
      <c r="B170" s="88">
        <f>IF('הזנה לסיווג רשויות'!B141="","",'הזנה לסיווג רשויות'!B141)</f>
        <v>1015</v>
      </c>
      <c r="C170" s="88">
        <f>IF('הזנה לסיווג רשויות'!C141="","",'הזנה לסיווג רשויות'!C141)</f>
        <v>20000093</v>
      </c>
      <c r="D170" s="88" t="str">
        <f>IF('הזנה לסיווג רשויות'!D141="","",'הזנה לסיווג רשויות'!D141)</f>
        <v>מבשרת ציון</v>
      </c>
      <c r="E170" s="88">
        <f>IF(D170="","",IF(SUMIF('הזנה לתנאי סף'!$F$31:$F$500,C170,'הזנה לתנאי סף'!$N$31:$N$500)&gt;0,1,0))</f>
        <v>0</v>
      </c>
      <c r="F170" s="109"/>
      <c r="G170" s="109"/>
      <c r="H170" s="213" t="str">
        <f t="shared" si="5"/>
        <v/>
      </c>
    </row>
    <row r="171" spans="1:8" ht="15.75" x14ac:dyDescent="0.2">
      <c r="A171" s="206">
        <f t="shared" si="4"/>
        <v>141</v>
      </c>
      <c r="B171" s="88">
        <f>IF('הזנה לסיווג רשויות'!B142="","",'הזנה לסיווג רשויות'!B142)</f>
        <v>516</v>
      </c>
      <c r="C171" s="88">
        <f>IF('הזנה לסיווג רשויות'!C142="","",'הזנה לסיווג רשויות'!C142)</f>
        <v>20000055</v>
      </c>
      <c r="D171" s="88" t="str">
        <f>IF('הזנה לסיווג רשויות'!D142="","",'הזנה לסיווג רשויות'!D142)</f>
        <v>מג'ד אל-כרום</v>
      </c>
      <c r="E171" s="88">
        <f>IF(D171="","",IF(SUMIF('הזנה לתנאי סף'!$F$31:$F$500,C171,'הזנה לתנאי סף'!$N$31:$N$500)&gt;0,1,0))</f>
        <v>0</v>
      </c>
      <c r="F171" s="109"/>
      <c r="G171" s="109"/>
      <c r="H171" s="213" t="str">
        <f t="shared" si="5"/>
        <v/>
      </c>
    </row>
    <row r="172" spans="1:8" ht="15.75" x14ac:dyDescent="0.2">
      <c r="A172" s="206">
        <f t="shared" si="4"/>
        <v>142</v>
      </c>
      <c r="B172" s="88">
        <f>IF('הזנה לסיווג רשויות'!B143="","",'הזנה לסיווג רשויות'!B143)</f>
        <v>4201</v>
      </c>
      <c r="C172" s="88">
        <f>IF('הזנה לסיווג רשויות'!C143="","",'הזנה לסיווג רשויות'!C143)</f>
        <v>20000188</v>
      </c>
      <c r="D172" s="88" t="str">
        <f>IF('הזנה לסיווג רשויות'!D143="","",'הזנה לסיווג רשויות'!D143)</f>
        <v>מג'דל שמס</v>
      </c>
      <c r="E172" s="88">
        <f>IF(D172="","",IF(SUMIF('הזנה לתנאי סף'!$F$31:$F$500,C172,'הזנה לתנאי סף'!$N$31:$N$500)&gt;0,1,0))</f>
        <v>0</v>
      </c>
      <c r="F172" s="109"/>
      <c r="G172" s="109"/>
      <c r="H172" s="213" t="str">
        <f t="shared" si="5"/>
        <v/>
      </c>
    </row>
    <row r="173" spans="1:8" ht="15.75" x14ac:dyDescent="0.2">
      <c r="A173" s="206">
        <f t="shared" si="4"/>
        <v>143</v>
      </c>
      <c r="B173" s="88">
        <f>IF('הזנה לסיווג רשויות'!B144="","",'הזנה לסיווג רשויות'!B144)</f>
        <v>481</v>
      </c>
      <c r="C173" s="88">
        <f>IF('הזנה לסיווג רשויות'!C144="","",'הזנה לסיווג רשויות'!C144)</f>
        <v>20000035</v>
      </c>
      <c r="D173" s="88" t="str">
        <f>IF('הזנה לסיווג רשויות'!D144="","",'הזנה לסיווג רשויות'!D144)</f>
        <v>מגאר</v>
      </c>
      <c r="E173" s="88">
        <f>IF(D173="","",IF(SUMIF('הזנה לתנאי סף'!$F$31:$F$500,C173,'הזנה לתנאי סף'!$N$31:$N$500)&gt;0,1,0))</f>
        <v>0</v>
      </c>
      <c r="F173" s="109"/>
      <c r="G173" s="109"/>
      <c r="H173" s="213" t="str">
        <f t="shared" si="5"/>
        <v/>
      </c>
    </row>
    <row r="174" spans="1:8" ht="15.75" x14ac:dyDescent="0.2">
      <c r="A174" s="206">
        <f t="shared" si="4"/>
        <v>144</v>
      </c>
      <c r="B174" s="88">
        <f>IF('הזנה לסיווג רשויות'!B145="","",'הזנה לסיווג רשויות'!B145)</f>
        <v>65</v>
      </c>
      <c r="C174" s="88">
        <f>IF('הזנה לסיווג רשויות'!C145="","",'הזנה לסיווג רשויות'!C145)</f>
        <v>20000013</v>
      </c>
      <c r="D174" s="88" t="str">
        <f>IF('הזנה לסיווג רשויות'!D145="","",'הזנה לסיווג רשויות'!D145)</f>
        <v>מגדל</v>
      </c>
      <c r="E174" s="88">
        <f>IF(D174="","",IF(SUMIF('הזנה לתנאי סף'!$F$31:$F$500,C174,'הזנה לתנאי סף'!$N$31:$N$500)&gt;0,1,0))</f>
        <v>0</v>
      </c>
      <c r="F174" s="109"/>
      <c r="G174" s="109"/>
      <c r="H174" s="213" t="str">
        <f t="shared" si="5"/>
        <v/>
      </c>
    </row>
    <row r="175" spans="1:8" ht="15.75" x14ac:dyDescent="0.2">
      <c r="A175" s="206">
        <f t="shared" si="4"/>
        <v>145</v>
      </c>
      <c r="B175" s="88">
        <f>IF('הזנה לסיווג רשויות'!B146="","",'הזנה לסיווג רשויות'!B146)</f>
        <v>874</v>
      </c>
      <c r="C175" s="88">
        <f>IF('הזנה לסיווג רשויות'!C146="","",'הזנה לסיווג רשויות'!C146)</f>
        <v>20000086</v>
      </c>
      <c r="D175" s="88" t="str">
        <f>IF('הזנה לסיווג רשויות'!D146="","",'הזנה לסיווג רשויות'!D146)</f>
        <v>מגדל העמק</v>
      </c>
      <c r="E175" s="88">
        <f>IF(D175="","",IF(SUMIF('הזנה לתנאי סף'!$F$31:$F$500,C175,'הזנה לתנאי סף'!$N$31:$N$500)&gt;0,1,0))</f>
        <v>0</v>
      </c>
      <c r="F175" s="109"/>
      <c r="G175" s="109"/>
      <c r="H175" s="213" t="str">
        <f t="shared" si="5"/>
        <v/>
      </c>
    </row>
    <row r="176" spans="1:8" ht="15.75" x14ac:dyDescent="0.2">
      <c r="A176" s="206">
        <f t="shared" si="4"/>
        <v>146</v>
      </c>
      <c r="B176" s="88">
        <f>IF('הזנה לסיווג רשויות'!B147="","",'הזנה לסיווג רשויות'!B147)</f>
        <v>13</v>
      </c>
      <c r="C176" s="88">
        <f>IF('הזנה לסיווג רשויות'!C147="","",'הזנה לסיווג רשויות'!C147)</f>
        <v>20000137</v>
      </c>
      <c r="D176" s="88" t="str">
        <f>IF('הזנה לסיווג רשויות'!D147="","",'הזנה לסיווג רשויות'!D147)</f>
        <v>מגידו</v>
      </c>
      <c r="E176" s="88">
        <f>IF(D176="","",IF(SUMIF('הזנה לתנאי סף'!$F$31:$F$500,C176,'הזנה לתנאי סף'!$N$31:$N$500)&gt;0,1,0))</f>
        <v>0</v>
      </c>
      <c r="F176" s="109"/>
      <c r="G176" s="109"/>
      <c r="H176" s="213" t="str">
        <f t="shared" si="5"/>
        <v/>
      </c>
    </row>
    <row r="177" spans="1:8" ht="15.75" x14ac:dyDescent="0.2">
      <c r="A177" s="206">
        <f t="shared" si="4"/>
        <v>147</v>
      </c>
      <c r="B177" s="88">
        <f>IF('הזנה לסיווג רשויות'!B148="","",'הזנה לסיווג רשויות'!B148)</f>
        <v>74</v>
      </c>
      <c r="C177" s="88">
        <f>IF('הזנה לסיווג רשויות'!C148="","",'הזנה לסיווג רשויות'!C148)</f>
        <v>20000236</v>
      </c>
      <c r="D177" s="88" t="str">
        <f>IF('הזנה לסיווג רשויות'!D148="","",'הזנה לסיווג רשויות'!D148)</f>
        <v>מגילות ים המלח</v>
      </c>
      <c r="E177" s="88">
        <f>IF(D177="","",IF(SUMIF('הזנה לתנאי סף'!$F$31:$F$500,C177,'הזנה לתנאי סף'!$N$31:$N$500)&gt;0,1,0))</f>
        <v>0</v>
      </c>
      <c r="F177" s="109"/>
      <c r="G177" s="109"/>
      <c r="H177" s="213" t="str">
        <f t="shared" si="5"/>
        <v/>
      </c>
    </row>
    <row r="178" spans="1:8" ht="16.5" customHeight="1" x14ac:dyDescent="0.2">
      <c r="A178" s="206">
        <f t="shared" si="4"/>
        <v>148</v>
      </c>
      <c r="B178" s="88">
        <f>IF('הזנה לסיווג רשויות'!B149="","",'הזנה לסיווג רשויות'!B149)</f>
        <v>1200</v>
      </c>
      <c r="C178" s="88">
        <f>IF('הזנה לסיווג רשויות'!C149="","",'הזנה לסיווג רשויות'!C149)</f>
        <v>20000401</v>
      </c>
      <c r="D178" s="88" t="str">
        <f>IF('הזנה לסיווג רשויות'!D149="","",'הזנה לסיווג רשויות'!D149)</f>
        <v>מודיעין-מכבים-רעות*</v>
      </c>
      <c r="E178" s="88">
        <f>IF(D178="","",IF(SUMIF('הזנה לתנאי סף'!$F$31:$F$500,C178,'הזנה לתנאי סף'!$N$31:$N$500)&gt;0,1,0))</f>
        <v>0</v>
      </c>
      <c r="F178" s="109"/>
      <c r="G178" s="109"/>
      <c r="H178" s="213" t="str">
        <f t="shared" si="5"/>
        <v/>
      </c>
    </row>
    <row r="179" spans="1:8" ht="15.75" x14ac:dyDescent="0.2">
      <c r="A179" s="206">
        <f t="shared" si="4"/>
        <v>149</v>
      </c>
      <c r="B179" s="88">
        <f>IF('הזנה לסיווג רשויות'!B150="","",'הזנה לסיווג רשויות'!B150)</f>
        <v>3797</v>
      </c>
      <c r="C179" s="88">
        <f>IF('הזנה לסיווג רשויות'!C150="","",'הזנה לסיווג רשויות'!C150)</f>
        <v>20000181</v>
      </c>
      <c r="D179" s="88" t="str">
        <f>IF('הזנה לסיווג רשויות'!D150="","",'הזנה לסיווג רשויות'!D150)</f>
        <v>מודיעין עילית</v>
      </c>
      <c r="E179" s="88">
        <f>IF(D179="","",IF(SUMIF('הזנה לתנאי סף'!$F$31:$F$500,C179,'הזנה לתנאי סף'!$N$31:$N$500)&gt;0,1,0))</f>
        <v>0</v>
      </c>
      <c r="F179" s="109"/>
      <c r="G179" s="109"/>
      <c r="H179" s="213" t="str">
        <f t="shared" si="5"/>
        <v/>
      </c>
    </row>
    <row r="180" spans="1:8" ht="15.75" x14ac:dyDescent="0.2">
      <c r="A180" s="206">
        <f t="shared" si="4"/>
        <v>150</v>
      </c>
      <c r="B180" s="88">
        <f>IF('הזנה לסיווג רשויות'!B151="","",'הזנה לסיווג רשויות'!B151)</f>
        <v>28</v>
      </c>
      <c r="C180" s="88">
        <f>IF('הזנה לסיווג רשויות'!C151="","",'הזנה לסיווג רשויות'!C151)</f>
        <v>20000002</v>
      </c>
      <c r="D180" s="88" t="str">
        <f>IF('הזנה לסיווג רשויות'!D151="","",'הזנה לסיווג רשויות'!D151)</f>
        <v>מזכרת בתיה</v>
      </c>
      <c r="E180" s="88">
        <f>IF(D180="","",IF(SUMIF('הזנה לתנאי סף'!$F$31:$F$500,C180,'הזנה לתנאי סף'!$N$31:$N$500)&gt;0,1,0))</f>
        <v>0</v>
      </c>
      <c r="F180" s="109"/>
      <c r="G180" s="109"/>
      <c r="H180" s="213" t="str">
        <f t="shared" si="5"/>
        <v/>
      </c>
    </row>
    <row r="181" spans="1:8" ht="15.75" x14ac:dyDescent="0.2">
      <c r="A181" s="206">
        <f t="shared" si="4"/>
        <v>151</v>
      </c>
      <c r="B181" s="88">
        <f>IF('הזנה לסיווג רשויות'!B152="","",'הזנה לסיווג רשויות'!B152)</f>
        <v>517</v>
      </c>
      <c r="C181" s="88">
        <f>IF('הזנה לסיווג רשויות'!C152="","",'הזנה לסיווג רשויות'!C152)</f>
        <v>20000056</v>
      </c>
      <c r="D181" s="88" t="str">
        <f>IF('הזנה לסיווג רשויות'!D152="","",'הזנה לסיווג רשויות'!D152)</f>
        <v>מזרעה</v>
      </c>
      <c r="E181" s="88">
        <f>IF(D181="","",IF(SUMIF('הזנה לתנאי סף'!$F$31:$F$500,C181,'הזנה לתנאי סף'!$N$31:$N$500)&gt;0,1,0))</f>
        <v>0</v>
      </c>
      <c r="F181" s="109"/>
      <c r="G181" s="109"/>
      <c r="H181" s="213" t="str">
        <f t="shared" si="5"/>
        <v/>
      </c>
    </row>
    <row r="182" spans="1:8" ht="15.75" x14ac:dyDescent="0.2">
      <c r="A182" s="206">
        <f t="shared" si="4"/>
        <v>152</v>
      </c>
      <c r="B182" s="88">
        <f>IF('הזנה לסיווג רשויות'!B153="","",'הזנה לסיווג רשויות'!B153)</f>
        <v>4</v>
      </c>
      <c r="C182" s="88">
        <f>IF('הזנה לסיווג רשויות'!C153="","",'הזנה לסיווג רשויות'!C153)</f>
        <v>20000139</v>
      </c>
      <c r="D182" s="88" t="str">
        <f>IF('הזנה לסיווג רשויות'!D153="","",'הזנה לסיווג רשויות'!D153)</f>
        <v>מטה אשר</v>
      </c>
      <c r="E182" s="88">
        <f>IF(D182="","",IF(SUMIF('הזנה לתנאי סף'!$F$31:$F$500,C182,'הזנה לתנאי סף'!$N$31:$N$500)&gt;0,1,0))</f>
        <v>0</v>
      </c>
      <c r="F182" s="109"/>
      <c r="G182" s="109"/>
      <c r="H182" s="213" t="str">
        <f t="shared" si="5"/>
        <v/>
      </c>
    </row>
    <row r="183" spans="1:8" ht="15.75" x14ac:dyDescent="0.2">
      <c r="A183" s="206">
        <f t="shared" si="4"/>
        <v>153</v>
      </c>
      <c r="B183" s="88">
        <f>IF('הזנה לסיווג רשויות'!B154="","",'הזנה לסיווג רשויות'!B154)</f>
        <v>73</v>
      </c>
      <c r="C183" s="88">
        <f>IF('הזנה לסיווג רשויות'!C154="","",'הזנה לסיווג רשויות'!C154)</f>
        <v>20000234</v>
      </c>
      <c r="D183" s="88" t="str">
        <f>IF('הזנה לסיווג רשויות'!D154="","",'הזנה לסיווג רשויות'!D154)</f>
        <v>מטה בנימין</v>
      </c>
      <c r="E183" s="88">
        <f>IF(D183="","",IF(SUMIF('הזנה לתנאי סף'!$F$31:$F$500,C183,'הזנה לתנאי סף'!$N$31:$N$500)&gt;0,1,0))</f>
        <v>0</v>
      </c>
      <c r="F183" s="109"/>
      <c r="G183" s="109"/>
      <c r="H183" s="213" t="str">
        <f t="shared" si="5"/>
        <v/>
      </c>
    </row>
    <row r="184" spans="1:8" ht="15.75" x14ac:dyDescent="0.2">
      <c r="A184" s="206">
        <f t="shared" si="4"/>
        <v>154</v>
      </c>
      <c r="B184" s="88">
        <f>IF('הזנה לסיווג רשויות'!B155="","",'הזנה לסיווג רשויות'!B155)</f>
        <v>26</v>
      </c>
      <c r="C184" s="88">
        <f>IF('הזנה לסיווג רשויות'!C155="","",'הזנה לסיווג רשויות'!C155)</f>
        <v>20000095</v>
      </c>
      <c r="D184" s="88" t="str">
        <f>IF('הזנה לסיווג רשויות'!D155="","",'הזנה לסיווג רשויות'!D155)</f>
        <v>מטה יהודה</v>
      </c>
      <c r="E184" s="88">
        <f>IF(D184="","",IF(SUMIF('הזנה לתנאי סף'!$F$31:$F$500,C184,'הזנה לתנאי סף'!$N$31:$N$500)&gt;0,1,0))</f>
        <v>1</v>
      </c>
      <c r="F184" s="109">
        <v>120000</v>
      </c>
      <c r="G184" s="109">
        <v>119999</v>
      </c>
      <c r="H184" s="213" t="str">
        <f t="shared" si="5"/>
        <v/>
      </c>
    </row>
    <row r="185" spans="1:8" ht="15.75" x14ac:dyDescent="0.2">
      <c r="A185" s="206">
        <f t="shared" si="4"/>
        <v>155</v>
      </c>
      <c r="B185" s="88">
        <f>IF('הזנה לסיווג רשויות'!B156="","",'הזנה לסיווג רשויות'!B156)</f>
        <v>43</v>
      </c>
      <c r="C185" s="88">
        <f>IF('הזנה לסיווג רשויות'!C156="","",'הזנה לסיווג רשויות'!C156)</f>
        <v>20000006</v>
      </c>
      <c r="D185" s="88" t="str">
        <f>IF('הזנה לסיווג רשויות'!D156="","",'הזנה לסיווג רשויות'!D156)</f>
        <v>מטולה</v>
      </c>
      <c r="E185" s="88">
        <f>IF(D185="","",IF(SUMIF('הזנה לתנאי סף'!$F$31:$F$500,C185,'הזנה לתנאי סף'!$N$31:$N$500)&gt;0,1,0))</f>
        <v>0</v>
      </c>
      <c r="F185" s="109"/>
      <c r="G185" s="109"/>
      <c r="H185" s="213" t="str">
        <f t="shared" si="5"/>
        <v/>
      </c>
    </row>
    <row r="186" spans="1:8" ht="15.75" x14ac:dyDescent="0.2">
      <c r="A186" s="206">
        <f t="shared" si="4"/>
        <v>156</v>
      </c>
      <c r="B186" s="88">
        <f>IF('הזנה לסיווג רשויות'!B157="","",'הזנה לסיווג רשויות'!B157)</f>
        <v>1268</v>
      </c>
      <c r="C186" s="88">
        <f>IF('הזנה לסיווג רשויות'!C157="","",'הזנה לסיווג רשויות'!C157)</f>
        <v>20000111</v>
      </c>
      <c r="D186" s="88" t="str">
        <f>IF('הזנה לסיווג רשויות'!D157="","",'הזנה לסיווג רשויות'!D157)</f>
        <v>מיתר</v>
      </c>
      <c r="E186" s="88">
        <f>IF(D186="","",IF(SUMIF('הזנה לתנאי סף'!$F$31:$F$500,C186,'הזנה לתנאי סף'!$N$31:$N$500)&gt;0,1,0))</f>
        <v>0</v>
      </c>
      <c r="F186" s="109"/>
      <c r="G186" s="109"/>
      <c r="H186" s="213" t="str">
        <f t="shared" si="5"/>
        <v/>
      </c>
    </row>
    <row r="187" spans="1:8" ht="15.75" x14ac:dyDescent="0.2">
      <c r="A187" s="206">
        <f t="shared" si="4"/>
        <v>157</v>
      </c>
      <c r="B187" s="88">
        <f>IF('הזנה לסיווג רשויות'!B158="","",'הזנה לסיווג רשויות'!B158)</f>
        <v>14</v>
      </c>
      <c r="C187" s="88">
        <f>IF('הזנה לסיווג רשויות'!C158="","",'הזנה לסיווג רשויות'!C158)</f>
        <v>20000161</v>
      </c>
      <c r="D187" s="88" t="str">
        <f>IF('הזנה לסיווג רשויות'!D158="","",'הזנה לסיווג רשויות'!D158)</f>
        <v>מנשה</v>
      </c>
      <c r="E187" s="88">
        <f>IF(D187="","",IF(SUMIF('הזנה לתנאי סף'!$F$31:$F$500,C187,'הזנה לתנאי סף'!$N$31:$N$500)&gt;0,1,0))</f>
        <v>1</v>
      </c>
      <c r="F187" s="109">
        <v>40000</v>
      </c>
      <c r="G187" s="109">
        <v>39999</v>
      </c>
      <c r="H187" s="213" t="str">
        <f t="shared" si="5"/>
        <v/>
      </c>
    </row>
    <row r="188" spans="1:8" ht="15.75" x14ac:dyDescent="0.2">
      <c r="A188" s="206">
        <f t="shared" si="4"/>
        <v>158</v>
      </c>
      <c r="B188" s="88">
        <f>IF('הזנה לסיווג רשויות'!B159="","",'הזנה לסיווג רשויות'!B159)</f>
        <v>4203</v>
      </c>
      <c r="C188" s="88">
        <f>IF('הזנה לסיווג רשויות'!C159="","",'הזנה לסיווג רשויות'!C159)</f>
        <v>20000189</v>
      </c>
      <c r="D188" s="88" t="str">
        <f>IF('הזנה לסיווג רשויות'!D159="","",'הזנה לסיווג רשויות'!D159)</f>
        <v>מסעדה</v>
      </c>
      <c r="E188" s="88">
        <f>IF(D188="","",IF(SUMIF('הזנה לתנאי סף'!$F$31:$F$500,C188,'הזנה לתנאי סף'!$N$31:$N$500)&gt;0,1,0))</f>
        <v>0</v>
      </c>
      <c r="F188" s="109"/>
      <c r="G188" s="109"/>
      <c r="H188" s="213" t="str">
        <f t="shared" si="5"/>
        <v/>
      </c>
    </row>
    <row r="189" spans="1:8" ht="15.75" x14ac:dyDescent="0.2">
      <c r="A189" s="206">
        <f t="shared" si="4"/>
        <v>159</v>
      </c>
      <c r="B189" s="88">
        <f>IF('הזנה לסיווג רשויות'!B160="","",'הזנה לסיווג רשויות'!B160)</f>
        <v>518</v>
      </c>
      <c r="C189" s="88">
        <f>IF('הזנה לסיווג רשויות'!C160="","",'הזנה לסיווג רשויות'!C160)</f>
        <v>20000057</v>
      </c>
      <c r="D189" s="88" t="str">
        <f>IF('הזנה לסיווג רשויות'!D160="","",'הזנה לסיווג רשויות'!D160)</f>
        <v>מעיליא</v>
      </c>
      <c r="E189" s="88">
        <f>IF(D189="","",IF(SUMIF('הזנה לתנאי סף'!$F$31:$F$500,C189,'הזנה לתנאי סף'!$N$31:$N$500)&gt;0,1,0))</f>
        <v>0</v>
      </c>
      <c r="F189" s="109"/>
      <c r="G189" s="109"/>
      <c r="H189" s="213" t="str">
        <f t="shared" si="5"/>
        <v/>
      </c>
    </row>
    <row r="190" spans="1:8" ht="15.75" x14ac:dyDescent="0.2">
      <c r="A190" s="206">
        <f t="shared" si="4"/>
        <v>160</v>
      </c>
      <c r="B190" s="88">
        <f>IF('הזנה לסיווג רשויות'!B161="","",'הזנה לסיווג רשויות'!B161)</f>
        <v>3616</v>
      </c>
      <c r="C190" s="88">
        <f>IF('הזנה לסיווג רשויות'!C161="","",'הזנה לסיווג רשויות'!C161)</f>
        <v>20000171</v>
      </c>
      <c r="D190" s="88" t="str">
        <f>IF('הזנה לסיווג רשויות'!D161="","",'הזנה לסיווג רשויות'!D161)</f>
        <v>מעלה אדומים</v>
      </c>
      <c r="E190" s="88">
        <f>IF(D190="","",IF(SUMIF('הזנה לתנאי סף'!$F$31:$F$500,C190,'הזנה לתנאי סף'!$N$31:$N$500)&gt;0,1,0))</f>
        <v>0</v>
      </c>
      <c r="F190" s="109"/>
      <c r="G190" s="109"/>
      <c r="H190" s="213" t="str">
        <f t="shared" si="5"/>
        <v/>
      </c>
    </row>
    <row r="191" spans="1:8" ht="15.75" x14ac:dyDescent="0.2">
      <c r="A191" s="206">
        <f t="shared" si="4"/>
        <v>161</v>
      </c>
      <c r="B191" s="88">
        <f>IF('הזנה לסיווג רשויות'!B162="","",'הזנה לסיווג רשויות'!B162)</f>
        <v>3608</v>
      </c>
      <c r="C191" s="88">
        <f>IF('הזנה לסיווג רשויות'!C162="","",'הזנה לסיווג רשויות'!C162)</f>
        <v>20000169</v>
      </c>
      <c r="D191" s="88" t="str">
        <f>IF('הזנה לסיווג רשויות'!D162="","",'הזנה לסיווג רשויות'!D162)</f>
        <v>מעלה אפרים</v>
      </c>
      <c r="E191" s="88">
        <f>IF(D191="","",IF(SUMIF('הזנה לתנאי סף'!$F$31:$F$500,C191,'הזנה לתנאי סף'!$N$31:$N$500)&gt;0,1,0))</f>
        <v>0</v>
      </c>
      <c r="F191" s="109"/>
      <c r="G191" s="109"/>
      <c r="H191" s="213" t="str">
        <f t="shared" si="5"/>
        <v/>
      </c>
    </row>
    <row r="192" spans="1:8" ht="15.75" x14ac:dyDescent="0.2">
      <c r="A192" s="206">
        <f t="shared" si="4"/>
        <v>162</v>
      </c>
      <c r="B192" s="88">
        <f>IF('הזנה לסיווג רשויות'!B163="","",'הזנה לסיווג רשויות'!B163)</f>
        <v>52</v>
      </c>
      <c r="C192" s="88">
        <f>IF('הזנה לסיווג רשויות'!C163="","",'הזנה לסיווג רשויות'!C163)</f>
        <v>20000218</v>
      </c>
      <c r="D192" s="88" t="str">
        <f>IF('הזנה לסיווג רשויות'!D163="","",'הזנה לסיווג רשויות'!D163)</f>
        <v>מעלה יוסף</v>
      </c>
      <c r="E192" s="88">
        <f>IF(D192="","",IF(SUMIF('הזנה לתנאי סף'!$F$31:$F$500,C192,'הזנה לתנאי סף'!$N$31:$N$500)&gt;0,1,0))</f>
        <v>0</v>
      </c>
      <c r="F192" s="109"/>
      <c r="G192" s="109"/>
      <c r="H192" s="213" t="str">
        <f t="shared" si="5"/>
        <v/>
      </c>
    </row>
    <row r="193" spans="1:15" ht="15.75" x14ac:dyDescent="0.2">
      <c r="A193" s="206">
        <f t="shared" si="4"/>
        <v>163</v>
      </c>
      <c r="B193" s="88">
        <f>IF('הזנה לסיווג רשויות'!B164="","",'הזנה לסיווג רשויות'!B164)</f>
        <v>1327</v>
      </c>
      <c r="C193" s="88">
        <f>IF('הזנה לסיווג רשויות'!C164="","",'הזנה לסיווג רשויות'!C164)</f>
        <v>20000124</v>
      </c>
      <c r="D193" s="88" t="str">
        <f>IF('הזנה לסיווג רשויות'!D164="","",'הזנה לסיווג רשויות'!D164)</f>
        <v>מעלה עירון</v>
      </c>
      <c r="E193" s="88">
        <f>IF(D193="","",IF(SUMIF('הזנה לתנאי סף'!$F$31:$F$500,C193,'הזנה לתנאי סף'!$N$31:$N$500)&gt;0,1,0))</f>
        <v>0</v>
      </c>
      <c r="F193" s="109"/>
      <c r="G193" s="109"/>
      <c r="H193" s="213" t="str">
        <f t="shared" si="5"/>
        <v/>
      </c>
    </row>
    <row r="194" spans="1:15" ht="15.75" x14ac:dyDescent="0.2">
      <c r="A194" s="206">
        <f t="shared" si="4"/>
        <v>164</v>
      </c>
      <c r="B194" s="88">
        <f>IF('הזנה לסיווג רשויות'!B165="","",'הזנה לסיווג רשויות'!B165)</f>
        <v>1063</v>
      </c>
      <c r="C194" s="88">
        <f>IF('הזנה לסיווג רשויות'!C165="","",'הזנה לסיווג רשויות'!C165)</f>
        <v>20000102</v>
      </c>
      <c r="D194" s="88" t="str">
        <f>IF('הזנה לסיווג רשויות'!D165="","",'הזנה לסיווג רשויות'!D165)</f>
        <v>מעלות-תרשיחא</v>
      </c>
      <c r="E194" s="88">
        <f>IF(D194="","",IF(SUMIF('הזנה לתנאי סף'!$F$31:$F$500,C194,'הזנה לתנאי סף'!$N$31:$N$500)&gt;0,1,0))</f>
        <v>0</v>
      </c>
      <c r="F194" s="109"/>
      <c r="G194" s="109"/>
      <c r="H194" s="213" t="str">
        <f t="shared" si="5"/>
        <v/>
      </c>
    </row>
    <row r="195" spans="1:15" ht="15.75" x14ac:dyDescent="0.2">
      <c r="A195" s="206">
        <f t="shared" si="4"/>
        <v>165</v>
      </c>
      <c r="B195" s="88">
        <f>IF('הזנה לסיווג רשויות'!B166="","",'הזנה לסיווג רשויות'!B166)</f>
        <v>99</v>
      </c>
      <c r="C195" s="88">
        <f>IF('הזנה לסיווג רשויות'!C166="","",'הזנה לסיווג רשויות'!C166)</f>
        <v>20000015</v>
      </c>
      <c r="D195" s="88" t="str">
        <f>IF('הזנה לסיווג רשויות'!D166="","",'הזנה לסיווג רשויות'!D166)</f>
        <v>מצפה רמון</v>
      </c>
      <c r="E195" s="88">
        <f>IF(D195="","",IF(SUMIF('הזנה לתנאי סף'!$F$31:$F$500,C195,'הזנה לתנאי סף'!$N$31:$N$500)&gt;0,1,0))</f>
        <v>0</v>
      </c>
      <c r="F195" s="109"/>
      <c r="G195" s="109"/>
      <c r="H195" s="213" t="str">
        <f t="shared" si="5"/>
        <v/>
      </c>
      <c r="O195" s="102"/>
    </row>
    <row r="196" spans="1:15" ht="15.75" x14ac:dyDescent="0.2">
      <c r="A196" s="206">
        <f t="shared" si="4"/>
        <v>166</v>
      </c>
      <c r="B196" s="88">
        <f>IF('הזנה לסיווג רשויות'!B167="","",'הזנה לסיווג רשויות'!B167)</f>
        <v>2</v>
      </c>
      <c r="C196" s="88">
        <f>IF('הזנה לסיווג רשויות'!C167="","",'הזנה לסיווג רשויות'!C167)</f>
        <v>20000128</v>
      </c>
      <c r="D196" s="88" t="str">
        <f>IF('הזנה לסיווג רשויות'!D167="","",'הזנה לסיווג רשויות'!D167)</f>
        <v>מרום הגליל</v>
      </c>
      <c r="E196" s="88">
        <f>IF(D196="","",IF(SUMIF('הזנה לתנאי סף'!$F$31:$F$500,C196,'הזנה לתנאי סף'!$N$31:$N$500)&gt;0,1,0))</f>
        <v>0</v>
      </c>
      <c r="F196" s="109"/>
      <c r="G196" s="109"/>
      <c r="H196" s="213" t="str">
        <f t="shared" si="5"/>
        <v/>
      </c>
    </row>
    <row r="197" spans="1:15" ht="15.75" x14ac:dyDescent="0.2">
      <c r="A197" s="206">
        <f t="shared" si="4"/>
        <v>167</v>
      </c>
      <c r="B197" s="88">
        <f>IF('הזנה לסיווג רשויות'!B168="","",'הזנה לסיווג רשויות'!B168)</f>
        <v>42</v>
      </c>
      <c r="C197" s="88">
        <f>IF('הזנה לסיווג רשויות'!C168="","",'הזנה לסיווג רשויות'!C168)</f>
        <v>20000215</v>
      </c>
      <c r="D197" s="88" t="str">
        <f>IF('הזנה לסיווג רשויות'!D168="","",'הזנה לסיווג רשויות'!D168)</f>
        <v>מרחבים</v>
      </c>
      <c r="E197" s="88">
        <f>IF(D197="","",IF(SUMIF('הזנה לתנאי סף'!$F$31:$F$500,C197,'הזנה לתנאי סף'!$N$31:$N$500)&gt;0,1,0))</f>
        <v>0</v>
      </c>
      <c r="F197" s="109"/>
      <c r="G197" s="109"/>
      <c r="H197" s="213" t="str">
        <f t="shared" si="5"/>
        <v/>
      </c>
    </row>
    <row r="198" spans="1:15" ht="15.75" x14ac:dyDescent="0.2">
      <c r="A198" s="206">
        <f t="shared" si="4"/>
        <v>168</v>
      </c>
      <c r="B198" s="88">
        <f>IF('הזנה לסיווג רשויות'!B169="","",'הזנה לסיווג רשויות'!B169)</f>
        <v>56</v>
      </c>
      <c r="C198" s="88">
        <f>IF('הזנה לסיווג רשויות'!C169="","",'הזנה לסיווג רשויות'!C169)</f>
        <v>20000140</v>
      </c>
      <c r="D198" s="88" t="str">
        <f>IF('הזנה לסיווג רשויות'!D169="","",'הזנה לסיווג רשויות'!D169)</f>
        <v>משגב</v>
      </c>
      <c r="E198" s="88">
        <f>IF(D198="","",IF(SUMIF('הזנה לתנאי סף'!$F$31:$F$500,C198,'הזנה לתנאי סף'!$N$31:$N$500)&gt;0,1,0))</f>
        <v>0</v>
      </c>
      <c r="F198" s="109"/>
      <c r="G198" s="109"/>
      <c r="H198" s="213" t="str">
        <f t="shared" si="5"/>
        <v/>
      </c>
    </row>
    <row r="199" spans="1:15" ht="15.75" x14ac:dyDescent="0.2">
      <c r="A199" s="206">
        <f t="shared" si="4"/>
        <v>169</v>
      </c>
      <c r="B199" s="88">
        <f>IF('הזנה לסיווג רשויות'!B170="","",'הזנה לסיווג רשויות'!B170)</f>
        <v>520</v>
      </c>
      <c r="C199" s="88">
        <f>IF('הזנה לסיווג רשויות'!C170="","",'הזנה לסיווג רשויות'!C170)</f>
        <v>20000058</v>
      </c>
      <c r="D199" s="88" t="str">
        <f>IF('הזנה לסיווג רשויות'!D170="","",'הזנה לסיווג רשויות'!D170)</f>
        <v>משהד</v>
      </c>
      <c r="E199" s="88">
        <f>IF(D199="","",IF(SUMIF('הזנה לתנאי סף'!$F$31:$F$500,C199,'הזנה לתנאי סף'!$N$31:$N$500)&gt;0,1,0))</f>
        <v>0</v>
      </c>
      <c r="F199" s="109"/>
      <c r="G199" s="109"/>
      <c r="H199" s="213" t="str">
        <f t="shared" si="5"/>
        <v/>
      </c>
    </row>
    <row r="200" spans="1:15" ht="15.75" x14ac:dyDescent="0.2">
      <c r="A200" s="206">
        <f t="shared" si="4"/>
        <v>170</v>
      </c>
      <c r="B200" s="88">
        <f>IF('הזנה לסיווג רשויות'!B171="","",'הזנה לסיווג רשויות'!B171)</f>
        <v>9100</v>
      </c>
      <c r="C200" s="88">
        <f>IF('הזנה לסיווג רשויות'!C171="","",'הזנה לסיווג רשויות'!C171)</f>
        <v>20000255</v>
      </c>
      <c r="D200" s="88" t="str">
        <f>IF('הזנה לסיווג רשויות'!D171="","",'הזנה לסיווג רשויות'!D171)</f>
        <v>נהרייה</v>
      </c>
      <c r="E200" s="88">
        <f>IF(D200="","",IF(SUMIF('הזנה לתנאי סף'!$F$31:$F$500,C200,'הזנה לתנאי סף'!$N$31:$N$500)&gt;0,1,0))</f>
        <v>0</v>
      </c>
      <c r="F200" s="109"/>
      <c r="G200" s="109"/>
      <c r="H200" s="213" t="str">
        <f t="shared" si="5"/>
        <v/>
      </c>
    </row>
    <row r="201" spans="1:15" ht="15.75" x14ac:dyDescent="0.2">
      <c r="A201" s="206">
        <f t="shared" si="4"/>
        <v>171</v>
      </c>
      <c r="B201" s="88">
        <f>IF('הזנה לסיווג רשויות'!B172="","",'הזנה לסיווג רשויות'!B172)</f>
        <v>68</v>
      </c>
      <c r="C201" s="88">
        <f>IF('הזנה לסיווג רשויות'!C172="","",'הזנה לסיווג רשויות'!C172)</f>
        <v>20000861</v>
      </c>
      <c r="D201" s="88" t="str">
        <f>IF('הזנה לסיווג רשויות'!D172="","",'הזנה לסיווג רשויות'!D172)</f>
        <v>נווה מדבר</v>
      </c>
      <c r="E201" s="88">
        <f>IF(D201="","",IF(SUMIF('הזנה לתנאי סף'!$F$31:$F$500,C201,'הזנה לתנאי סף'!$N$31:$N$500)&gt;0,1,0))</f>
        <v>0</v>
      </c>
      <c r="F201" s="109"/>
      <c r="G201" s="109"/>
      <c r="H201" s="213" t="str">
        <f t="shared" si="5"/>
        <v/>
      </c>
    </row>
    <row r="202" spans="1:15" ht="15.75" x14ac:dyDescent="0.2">
      <c r="A202" s="206">
        <f t="shared" si="4"/>
        <v>172</v>
      </c>
      <c r="B202" s="88">
        <f>IF('הזנה לסיווג רשויות'!B173="","",'הזנה לסיווג רשויות'!B173)</f>
        <v>31</v>
      </c>
      <c r="C202" s="88">
        <f>IF('הזנה לסיווג רשויות'!C173="","",'הזנה לסיווג רשויות'!C173)</f>
        <v>20000197</v>
      </c>
      <c r="D202" s="88" t="str">
        <f>IF('הזנה לסיווג רשויות'!D173="","",'הזנה לסיווג רשויות'!D173)</f>
        <v>נחל שורק</v>
      </c>
      <c r="E202" s="88">
        <f>IF(D202="","",IF(SUMIF('הזנה לתנאי סף'!$F$31:$F$500,C202,'הזנה לתנאי סף'!$N$31:$N$500)&gt;0,1,0))</f>
        <v>0</v>
      </c>
      <c r="F202" s="109"/>
      <c r="G202" s="109"/>
      <c r="H202" s="213" t="str">
        <f t="shared" si="5"/>
        <v/>
      </c>
    </row>
    <row r="203" spans="1:15" ht="15.75" x14ac:dyDescent="0.2">
      <c r="A203" s="206">
        <f t="shared" si="4"/>
        <v>173</v>
      </c>
      <c r="B203" s="88">
        <f>IF('הזנה לסיווג רשויות'!B174="","",'הזנה לסיווג רשויות'!B174)</f>
        <v>522</v>
      </c>
      <c r="C203" s="88">
        <f>IF('הזנה לסיווג רשויות'!C174="","",'הזנה לסיווג רשויות'!C174)</f>
        <v>20000059</v>
      </c>
      <c r="D203" s="88" t="str">
        <f>IF('הזנה לסיווג רשויות'!D174="","",'הזנה לסיווג רשויות'!D174)</f>
        <v>נחף</v>
      </c>
      <c r="E203" s="88">
        <f>IF(D203="","",IF(SUMIF('הזנה לתנאי סף'!$F$31:$F$500,C203,'הזנה לתנאי סף'!$N$31:$N$500)&gt;0,1,0))</f>
        <v>0</v>
      </c>
      <c r="F203" s="109"/>
      <c r="G203" s="109"/>
      <c r="H203" s="213" t="str">
        <f t="shared" si="5"/>
        <v/>
      </c>
    </row>
    <row r="204" spans="1:15" ht="15.75" x14ac:dyDescent="0.2">
      <c r="A204" s="206">
        <f t="shared" si="4"/>
        <v>174</v>
      </c>
      <c r="B204" s="88">
        <f>IF('הזנה לסיווג רשויות'!B175="","",'הזנה לסיווג רשויות'!B175)</f>
        <v>7200</v>
      </c>
      <c r="C204" s="88">
        <f>IF('הזנה לסיווג רשויות'!C175="","",'הזנה לסיווג רשויות'!C175)</f>
        <v>20000230</v>
      </c>
      <c r="D204" s="88" t="str">
        <f>IF('הזנה לסיווג רשויות'!D175="","",'הזנה לסיווג רשויות'!D175)</f>
        <v>נס ציונה</v>
      </c>
      <c r="E204" s="88">
        <f>IF(D204="","",IF(SUMIF('הזנה לתנאי סף'!$F$31:$F$500,C204,'הזנה לתנאי סף'!$N$31:$N$500)&gt;0,1,0))</f>
        <v>0</v>
      </c>
      <c r="F204" s="109"/>
      <c r="G204" s="109"/>
      <c r="H204" s="213" t="str">
        <f t="shared" si="5"/>
        <v/>
      </c>
    </row>
    <row r="205" spans="1:15" ht="15.75" x14ac:dyDescent="0.2">
      <c r="A205" s="206">
        <f t="shared" si="4"/>
        <v>175</v>
      </c>
      <c r="B205" s="88">
        <f>IF('הזנה לסיווג רשויות'!B176="","",'הזנה לסיווג רשויות'!B176)</f>
        <v>7300</v>
      </c>
      <c r="C205" s="88">
        <f>IF('הזנה לסיווג רשויות'!C176="","",'הזנה לסיווג רשויות'!C176)</f>
        <v>20000231</v>
      </c>
      <c r="D205" s="88" t="str">
        <f>IF('הזנה לסיווג רשויות'!D176="","",'הזנה לסיווג רשויות'!D176)</f>
        <v>נצרת</v>
      </c>
      <c r="E205" s="88">
        <f>IF(D205="","",IF(SUMIF('הזנה לתנאי סף'!$F$31:$F$500,C205,'הזנה לתנאי סף'!$N$31:$N$500)&gt;0,1,0))</f>
        <v>0</v>
      </c>
      <c r="F205" s="109"/>
      <c r="G205" s="109"/>
      <c r="H205" s="213" t="str">
        <f t="shared" si="5"/>
        <v/>
      </c>
    </row>
    <row r="206" spans="1:15" ht="15.75" x14ac:dyDescent="0.2">
      <c r="A206" s="206">
        <f t="shared" si="4"/>
        <v>176</v>
      </c>
      <c r="B206" s="88">
        <f>IF('הזנה לסיווג רשויות'!B177="","",'הזנה לסיווג רשויות'!B177)</f>
        <v>1061</v>
      </c>
      <c r="C206" s="88">
        <f>IF('הזנה לסיווג רשויות'!C177="","",'הזנה לסיווג רשויות'!C177)</f>
        <v>20000100</v>
      </c>
      <c r="D206" s="88" t="str">
        <f>IF('הזנה לסיווג רשויות'!D177="","",'הזנה לסיווג רשויות'!D177)</f>
        <v>נצרת עילית</v>
      </c>
      <c r="E206" s="88">
        <f>IF(D206="","",IF(SUMIF('הזנה לתנאי סף'!$F$31:$F$500,C206,'הזנה לתנאי סף'!$N$31:$N$500)&gt;0,1,0))</f>
        <v>0</v>
      </c>
      <c r="F206" s="109"/>
      <c r="G206" s="109"/>
      <c r="H206" s="213" t="str">
        <f t="shared" si="5"/>
        <v/>
      </c>
    </row>
    <row r="207" spans="1:15" ht="15.75" x14ac:dyDescent="0.2">
      <c r="A207" s="206">
        <f t="shared" si="4"/>
        <v>177</v>
      </c>
      <c r="B207" s="88">
        <f>IF('הזנה לסיווג רשויות'!B178="","",'הזנה לסיווג רשויות'!B178)</f>
        <v>2500</v>
      </c>
      <c r="C207" s="88">
        <f>IF('הזנה לסיווג רשויות'!C178="","",'הזנה לסיווג רשויות'!C178)</f>
        <v>20000141</v>
      </c>
      <c r="D207" s="88" t="str">
        <f>IF('הזנה לסיווג רשויות'!D178="","",'הזנה לסיווג רשויות'!D178)</f>
        <v>נשר</v>
      </c>
      <c r="E207" s="88">
        <f>IF(D207="","",IF(SUMIF('הזנה לתנאי סף'!$F$31:$F$500,C207,'הזנה לתנאי סף'!$N$31:$N$500)&gt;0,1,0))</f>
        <v>0</v>
      </c>
      <c r="F207" s="109"/>
      <c r="G207" s="109"/>
      <c r="H207" s="213" t="str">
        <f t="shared" si="5"/>
        <v/>
      </c>
    </row>
    <row r="208" spans="1:15" ht="15.75" x14ac:dyDescent="0.2">
      <c r="A208" s="206">
        <f t="shared" si="4"/>
        <v>178</v>
      </c>
      <c r="B208" s="88">
        <f>IF('הזנה לסיווג רשויות'!B179="","",'הזנה לסיווג רשויות'!B179)</f>
        <v>246</v>
      </c>
      <c r="C208" s="88">
        <f>IF('הזנה לסיווג רשויות'!C179="","",'הזנה לסיווג רשויות'!C179)</f>
        <v>20000026</v>
      </c>
      <c r="D208" s="88" t="str">
        <f>IF('הזנה לסיווג רשויות'!D179="","",'הזנה לסיווג רשויות'!D179)</f>
        <v>נתיבות</v>
      </c>
      <c r="E208" s="88">
        <f>IF(D208="","",IF(SUMIF('הזנה לתנאי סף'!$F$31:$F$500,C208,'הזנה לתנאי סף'!$N$31:$N$500)&gt;0,1,0))</f>
        <v>0</v>
      </c>
      <c r="F208" s="109"/>
      <c r="G208" s="109"/>
      <c r="H208" s="213" t="str">
        <f t="shared" si="5"/>
        <v/>
      </c>
    </row>
    <row r="209" spans="1:8" ht="15.75" x14ac:dyDescent="0.2">
      <c r="A209" s="206">
        <f t="shared" si="4"/>
        <v>179</v>
      </c>
      <c r="B209" s="88">
        <f>IF('הזנה לסיווג רשויות'!B180="","",'הזנה לסיווג רשויות'!B180)</f>
        <v>7400</v>
      </c>
      <c r="C209" s="88">
        <f>IF('הזנה לסיווג רשויות'!C180="","",'הזנה לסיווג רשויות'!C180)</f>
        <v>20000233</v>
      </c>
      <c r="D209" s="88" t="str">
        <f>IF('הזנה לסיווג רשויות'!D180="","",'הזנה לסיווג רשויות'!D180)</f>
        <v>נתניה</v>
      </c>
      <c r="E209" s="88">
        <f>IF(D209="","",IF(SUMIF('הזנה לתנאי סף'!$F$31:$F$500,C209,'הזנה לתנאי סף'!$N$31:$N$500)&gt;0,1,0))</f>
        <v>0</v>
      </c>
      <c r="F209" s="109"/>
      <c r="G209" s="109"/>
      <c r="H209" s="213" t="str">
        <f t="shared" si="5"/>
        <v/>
      </c>
    </row>
    <row r="210" spans="1:8" ht="15.75" x14ac:dyDescent="0.2">
      <c r="A210" s="206">
        <f t="shared" si="4"/>
        <v>180</v>
      </c>
      <c r="B210" s="88">
        <f>IF('הזנה לסיווג רשויות'!B181="","",'הזנה לסיווג רשויות'!B181)</f>
        <v>525</v>
      </c>
      <c r="C210" s="88">
        <f>IF('הזנה לסיווג רשויות'!C181="","",'הזנה לסיווג רשויות'!C181)</f>
        <v>20000060</v>
      </c>
      <c r="D210" s="88" t="str">
        <f>IF('הזנה לסיווג רשויות'!D181="","",'הזנה לסיווג רשויות'!D181)</f>
        <v>סאג'ור</v>
      </c>
      <c r="E210" s="88">
        <f>IF(D210="","",IF(SUMIF('הזנה לתנאי סף'!$F$31:$F$500,C210,'הזנה לתנאי סף'!$N$31:$N$500)&gt;0,1,0))</f>
        <v>0</v>
      </c>
      <c r="F210" s="109"/>
      <c r="G210" s="109"/>
      <c r="H210" s="213" t="str">
        <f t="shared" si="5"/>
        <v/>
      </c>
    </row>
    <row r="211" spans="1:8" ht="15.75" x14ac:dyDescent="0.2">
      <c r="A211" s="206">
        <f t="shared" si="4"/>
        <v>181</v>
      </c>
      <c r="B211" s="88">
        <f>IF('הזנה לסיווג רשויות'!B182="","",'הזנה לסיווג רשויות'!B182)</f>
        <v>587</v>
      </c>
      <c r="C211" s="88">
        <f>IF('הזנה לסיווג רשויות'!C182="","",'הזנה לסיווג רשויות'!C182)</f>
        <v>20000074</v>
      </c>
      <c r="D211" s="88" t="str">
        <f>IF('הזנה לסיווג רשויות'!D182="","",'הזנה לסיווג רשויות'!D182)</f>
        <v>סביון*</v>
      </c>
      <c r="E211" s="88">
        <f>IF(D211="","",IF(SUMIF('הזנה לתנאי סף'!$F$31:$F$500,C211,'הזנה לתנאי סף'!$N$31:$N$500)&gt;0,1,0))</f>
        <v>0</v>
      </c>
      <c r="F211" s="109"/>
      <c r="G211" s="109"/>
      <c r="H211" s="213" t="str">
        <f t="shared" si="5"/>
        <v/>
      </c>
    </row>
    <row r="212" spans="1:8" ht="15.75" x14ac:dyDescent="0.2">
      <c r="A212" s="206">
        <f t="shared" si="4"/>
        <v>182</v>
      </c>
      <c r="B212" s="88">
        <f>IF('הזנה לסיווג רשויות'!B183="","",'הזנה לסיווג רשויות'!B183)</f>
        <v>7500</v>
      </c>
      <c r="C212" s="88">
        <f>IF('הזנה לסיווג רשויות'!C183="","",'הזנה לסיווג רשויות'!C183)</f>
        <v>20000235</v>
      </c>
      <c r="D212" s="88" t="str">
        <f>IF('הזנה לסיווג רשויות'!D183="","",'הזנה לסיווג רשויות'!D183)</f>
        <v>סח'נין</v>
      </c>
      <c r="E212" s="88">
        <f>IF(D212="","",IF(SUMIF('הזנה לתנאי סף'!$F$31:$F$500,C212,'הזנה לתנאי סף'!$N$31:$N$500)&gt;0,1,0))</f>
        <v>0</v>
      </c>
      <c r="F212" s="109"/>
      <c r="G212" s="109"/>
      <c r="H212" s="213" t="str">
        <f t="shared" si="5"/>
        <v/>
      </c>
    </row>
    <row r="213" spans="1:8" ht="15.75" x14ac:dyDescent="0.2">
      <c r="A213" s="206">
        <f t="shared" si="4"/>
        <v>183</v>
      </c>
      <c r="B213" s="88">
        <f>IF('הזנה לסיווג רשויות'!B184="","",'הזנה לסיווג רשויות'!B184)</f>
        <v>4501</v>
      </c>
      <c r="C213" s="88">
        <f>IF('הזנה לסיווג רשויות'!C184="","",'הזנה לסיווג רשויות'!C184)</f>
        <v>20000199</v>
      </c>
      <c r="D213" s="88" t="str">
        <f>IF('הזנה לסיווג רשויות'!D184="","",'הזנה לסיווג רשויות'!D184)</f>
        <v>ע'ג'ר</v>
      </c>
      <c r="E213" s="88">
        <f>IF(D213="","",IF(SUMIF('הזנה לתנאי סף'!$F$31:$F$500,C213,'הזנה לתנאי סף'!$N$31:$N$500)&gt;0,1,0))</f>
        <v>0</v>
      </c>
      <c r="F213" s="109"/>
      <c r="G213" s="109"/>
      <c r="H213" s="213" t="str">
        <f t="shared" si="5"/>
        <v/>
      </c>
    </row>
    <row r="214" spans="1:8" ht="15.75" x14ac:dyDescent="0.2">
      <c r="A214" s="206">
        <f t="shared" si="4"/>
        <v>184</v>
      </c>
      <c r="B214" s="88">
        <f>IF('הזנה לסיווג רשויות'!B185="","",'הזנה לסיווג רשויות'!B185)</f>
        <v>666</v>
      </c>
      <c r="C214" s="88">
        <f>IF('הזנה לסיווג רשויות'!C185="","",'הזנה לסיווג רשויות'!C185)</f>
        <v>20000082</v>
      </c>
      <c r="D214" s="88" t="str">
        <f>IF('הזנה לסיווג רשויות'!D185="","",'הזנה לסיווג רשויות'!D185)</f>
        <v>עומר</v>
      </c>
      <c r="E214" s="88">
        <f>IF(D214="","",IF(SUMIF('הזנה לתנאי סף'!$F$31:$F$500,C214,'הזנה לתנאי סף'!$N$31:$N$500)&gt;0,1,0))</f>
        <v>0</v>
      </c>
      <c r="F214" s="109"/>
      <c r="G214" s="109"/>
      <c r="H214" s="213" t="str">
        <f t="shared" si="5"/>
        <v/>
      </c>
    </row>
    <row r="215" spans="1:8" ht="15.75" x14ac:dyDescent="0.2">
      <c r="A215" s="206">
        <f t="shared" si="4"/>
        <v>185</v>
      </c>
      <c r="B215" s="88">
        <f>IF('הזנה לסיווג רשויות'!B186="","",'הזנה לסיווג רשויות'!B186)</f>
        <v>530</v>
      </c>
      <c r="C215" s="88">
        <f>IF('הזנה לסיווג רשויות'!C186="","",'הזנה לסיווג רשויות'!C186)</f>
        <v>20000062</v>
      </c>
      <c r="D215" s="88" t="str">
        <f>IF('הזנה לסיווג רשויות'!D186="","",'הזנה לסיווג רשויות'!D186)</f>
        <v>עיילבון</v>
      </c>
      <c r="E215" s="88">
        <f>IF(D215="","",IF(SUMIF('הזנה לתנאי סף'!$F$31:$F$500,C215,'הזנה לתנאי סף'!$N$31:$N$500)&gt;0,1,0))</f>
        <v>0</v>
      </c>
      <c r="F215" s="109"/>
      <c r="G215" s="109"/>
      <c r="H215" s="213" t="str">
        <f t="shared" si="5"/>
        <v/>
      </c>
    </row>
    <row r="216" spans="1:8" ht="15.75" x14ac:dyDescent="0.2">
      <c r="A216" s="206">
        <f t="shared" si="4"/>
        <v>186</v>
      </c>
      <c r="B216" s="88">
        <f>IF('הזנה לסיווג רשויות'!B187="","",'הזנה לסיווג רשויות'!B187)</f>
        <v>511</v>
      </c>
      <c r="C216" s="88">
        <f>IF('הזנה לסיווג רשויות'!C187="","",'הזנה לסיווג רשויות'!C187)</f>
        <v>20000054</v>
      </c>
      <c r="D216" s="88" t="str">
        <f>IF('הזנה לסיווג רשויות'!D187="","",'הזנה לסיווג רשויות'!D187)</f>
        <v>עילוט</v>
      </c>
      <c r="E216" s="88">
        <f>IF(D216="","",IF(SUMIF('הזנה לתנאי סף'!$F$31:$F$500,C216,'הזנה לתנאי סף'!$N$31:$N$500)&gt;0,1,0))</f>
        <v>0</v>
      </c>
      <c r="F216" s="109"/>
      <c r="G216" s="109"/>
      <c r="H216" s="213" t="str">
        <f t="shared" si="5"/>
        <v/>
      </c>
    </row>
    <row r="217" spans="1:8" ht="15.75" x14ac:dyDescent="0.2">
      <c r="A217" s="206">
        <f t="shared" si="4"/>
        <v>187</v>
      </c>
      <c r="B217" s="88">
        <f>IF('הזנה לסיווג רשויות'!B188="","",'הזנה לסיווג רשויות'!B188)</f>
        <v>532</v>
      </c>
      <c r="C217" s="88">
        <f>IF('הזנה לסיווג רשויות'!C188="","",'הזנה לסיווג רשויות'!C188)</f>
        <v>20000064</v>
      </c>
      <c r="D217" s="88" t="str">
        <f>IF('הזנה לסיווג רשויות'!D188="","",'הזנה לסיווג רשויות'!D188)</f>
        <v>עין מאהל</v>
      </c>
      <c r="E217" s="88">
        <f>IF(D217="","",IF(SUMIF('הזנה לתנאי סף'!$F$31:$F$500,C217,'הזנה לתנאי סף'!$N$31:$N$500)&gt;0,1,0))</f>
        <v>0</v>
      </c>
      <c r="F217" s="109"/>
      <c r="G217" s="109"/>
      <c r="H217" s="213" t="str">
        <f t="shared" si="5"/>
        <v/>
      </c>
    </row>
    <row r="218" spans="1:8" ht="15.75" x14ac:dyDescent="0.2">
      <c r="A218" s="206">
        <f t="shared" si="4"/>
        <v>188</v>
      </c>
      <c r="B218" s="88">
        <f>IF('הזנה לסיווג רשויות'!B189="","",'הזנה לסיווג רשויות'!B189)</f>
        <v>4502</v>
      </c>
      <c r="C218" s="88">
        <f>IF('הזנה לסיווג רשויות'!C189="","",'הזנה לסיווג רשויות'!C189)</f>
        <v>20000200</v>
      </c>
      <c r="D218" s="88" t="str">
        <f>IF('הזנה לסיווג רשויות'!D189="","",'הזנה לסיווג רשויות'!D189)</f>
        <v>עין קנייא</v>
      </c>
      <c r="E218" s="88">
        <f>IF(D218="","",IF(SUMIF('הזנה לתנאי סף'!$F$31:$F$500,C218,'הזנה לתנאי סף'!$N$31:$N$500)&gt;0,1,0))</f>
        <v>0</v>
      </c>
      <c r="F218" s="109"/>
      <c r="G218" s="109"/>
      <c r="H218" s="213" t="str">
        <f t="shared" si="5"/>
        <v/>
      </c>
    </row>
    <row r="219" spans="1:8" ht="15.75" x14ac:dyDescent="0.2">
      <c r="A219" s="206">
        <f t="shared" si="4"/>
        <v>189</v>
      </c>
      <c r="B219" s="88">
        <f>IF('הזנה לסיווג רשויות'!B190="","",'הזנה לסיווג רשויות'!B190)</f>
        <v>7600</v>
      </c>
      <c r="C219" s="88">
        <f>IF('הזנה לסיווג רשויות'!C190="","",'הזנה לסיווג רשויות'!C190)</f>
        <v>20000238</v>
      </c>
      <c r="D219" s="88" t="str">
        <f>IF('הזנה לסיווג רשויות'!D190="","",'הזנה לסיווג רשויות'!D190)</f>
        <v>עכו</v>
      </c>
      <c r="E219" s="88">
        <f>IF(D219="","",IF(SUMIF('הזנה לתנאי סף'!$F$31:$F$500,C219,'הזנה לתנאי סף'!$N$31:$N$500)&gt;0,1,0))</f>
        <v>0</v>
      </c>
      <c r="F219" s="109"/>
      <c r="G219" s="109"/>
      <c r="H219" s="213" t="str">
        <f t="shared" si="5"/>
        <v/>
      </c>
    </row>
    <row r="220" spans="1:8" ht="15.75" x14ac:dyDescent="0.2">
      <c r="A220" s="206">
        <f t="shared" si="4"/>
        <v>190</v>
      </c>
      <c r="B220" s="88">
        <f>IF('הזנה לסיווג רשויות'!B191="","",'הזנה לסיווג רשויות'!B191)</f>
        <v>3660</v>
      </c>
      <c r="C220" s="88">
        <f>IF('הזנה לסיווג רשויות'!C191="","",'הזנה לסיווג רשויות'!C191)</f>
        <v>20000175</v>
      </c>
      <c r="D220" s="88" t="str">
        <f>IF('הזנה לסיווג רשויות'!D191="","",'הזנה לסיווג רשויות'!D191)</f>
        <v>עמנואל</v>
      </c>
      <c r="E220" s="88">
        <f>IF(D220="","",IF(SUMIF('הזנה לתנאי סף'!$F$31:$F$500,C220,'הזנה לתנאי סף'!$N$31:$N$500)&gt;0,1,0))</f>
        <v>0</v>
      </c>
      <c r="F220" s="109"/>
      <c r="G220" s="109"/>
      <c r="H220" s="213" t="str">
        <f t="shared" si="5"/>
        <v/>
      </c>
    </row>
    <row r="221" spans="1:8" ht="15.75" x14ac:dyDescent="0.2">
      <c r="A221" s="206">
        <f t="shared" si="4"/>
        <v>191</v>
      </c>
      <c r="B221" s="88">
        <f>IF('הזנה לסיווג רשויות'!B192="","",'הזנה לסיווג רשויות'!B192)</f>
        <v>6</v>
      </c>
      <c r="C221" s="88">
        <f>IF('הזנה לסיווג רשויות'!C192="","",'הזנה לסיווג רשויות'!C192)</f>
        <v>20000132</v>
      </c>
      <c r="D221" s="88" t="str">
        <f>IF('הזנה לסיווג רשויות'!D192="","",'הזנה לסיווג רשויות'!D192)</f>
        <v>עמק הירדן</v>
      </c>
      <c r="E221" s="88">
        <f>IF(D221="","",IF(SUMIF('הזנה לתנאי סף'!$F$31:$F$500,C221,'הזנה לתנאי סף'!$N$31:$N$500)&gt;0,1,0))</f>
        <v>0</v>
      </c>
      <c r="F221" s="109"/>
      <c r="G221" s="109"/>
      <c r="H221" s="213" t="str">
        <f t="shared" si="5"/>
        <v/>
      </c>
    </row>
    <row r="222" spans="1:8" ht="15.75" x14ac:dyDescent="0.2">
      <c r="A222" s="206">
        <f t="shared" si="4"/>
        <v>192</v>
      </c>
      <c r="B222" s="88">
        <f>IF('הזנה לסיווג רשויות'!B193="","",'הזנה לסיווג רשויות'!B193)</f>
        <v>7</v>
      </c>
      <c r="C222" s="88">
        <f>IF('הזנה לסיווג רשויות'!C193="","",'הזנה לסיווג רשויות'!C193)</f>
        <v>20000134</v>
      </c>
      <c r="D222" s="88" t="str">
        <f>IF('הזנה לסיווג רשויות'!D193="","",'הזנה לסיווג רשויות'!D193)</f>
        <v>עמק המעיינות</v>
      </c>
      <c r="E222" s="88">
        <f>IF(D222="","",IF(SUMIF('הזנה לתנאי סף'!$F$31:$F$500,C222,'הזנה לתנאי סף'!$N$31:$N$500)&gt;0,1,0))</f>
        <v>0</v>
      </c>
      <c r="F222" s="109"/>
      <c r="G222" s="109"/>
      <c r="H222" s="213" t="str">
        <f t="shared" si="5"/>
        <v/>
      </c>
    </row>
    <row r="223" spans="1:8" ht="15.75" x14ac:dyDescent="0.2">
      <c r="A223" s="206">
        <f t="shared" si="4"/>
        <v>193</v>
      </c>
      <c r="B223" s="88">
        <f>IF('הזנה לסיווג רשויות'!B194="","",'הזנה לסיווג רשויות'!B194)</f>
        <v>16</v>
      </c>
      <c r="C223" s="88">
        <f>IF('הזנה לסיווג רשויות'!C194="","",'הזנה לסיווג רשויות'!C194)</f>
        <v>20000185</v>
      </c>
      <c r="D223" s="88" t="str">
        <f>IF('הזנה לסיווג רשויות'!D194="","",'הזנה לסיווג רשויות'!D194)</f>
        <v>עמק חפר</v>
      </c>
      <c r="E223" s="88">
        <f>IF(D223="","",IF(SUMIF('הזנה לתנאי סף'!$F$31:$F$500,C223,'הזנה לתנאי סף'!$N$31:$N$500)&gt;0,1,0))</f>
        <v>0</v>
      </c>
      <c r="F223" s="109"/>
      <c r="G223" s="109"/>
      <c r="H223" s="213" t="str">
        <f t="shared" si="5"/>
        <v/>
      </c>
    </row>
    <row r="224" spans="1:8" ht="15.75" x14ac:dyDescent="0.2">
      <c r="A224" s="206">
        <f t="shared" ref="A224:A287" si="6">IF(C224="","",ROW()-30)</f>
        <v>194</v>
      </c>
      <c r="B224" s="88">
        <f>IF('הזנה לסיווג רשויות'!B195="","",'הזנה לסיווג רשויות'!B195)</f>
        <v>9</v>
      </c>
      <c r="C224" s="88">
        <f>IF('הזנה לסיווג רשויות'!C195="","",'הזנה לסיווג רשויות'!C195)</f>
        <v>20000136</v>
      </c>
      <c r="D224" s="88" t="str">
        <f>IF('הזנה לסיווג רשויות'!D195="","",'הזנה לסיווג רשויות'!D195)</f>
        <v>עמק יזרעאל</v>
      </c>
      <c r="E224" s="88">
        <f>IF(D224="","",IF(SUMIF('הזנה לתנאי סף'!$F$31:$F$500,C224,'הזנה לתנאי סף'!$N$31:$N$500)&gt;0,1,0))</f>
        <v>1</v>
      </c>
      <c r="F224" s="109">
        <v>107763</v>
      </c>
      <c r="G224" s="109">
        <v>170000</v>
      </c>
      <c r="H224" s="213">
        <f t="shared" ref="H224:H287" si="7">IF(E224=1,IF(OR(F224="",G224=""),$J$2,IF(G224&gt;=F224,G224-F224,"")),"")</f>
        <v>62237</v>
      </c>
    </row>
    <row r="225" spans="1:8" ht="15.75" x14ac:dyDescent="0.2">
      <c r="A225" s="206">
        <f t="shared" si="6"/>
        <v>195</v>
      </c>
      <c r="B225" s="88">
        <f>IF('הזנה לסיווג רשויות'!B196="","",'הזנה לסיווג רשויות'!B196)</f>
        <v>40</v>
      </c>
      <c r="C225" s="88">
        <f>IF('הזנה לסיווג רשויות'!C196="","",'הזנה לסיווג רשויות'!C196)</f>
        <v>20000193</v>
      </c>
      <c r="D225" s="88" t="str">
        <f>IF('הזנה לסיווג רשויות'!D196="","",'הזנה לסיווג רשויות'!D196)</f>
        <v>עמק לוד - שדות דן</v>
      </c>
      <c r="E225" s="88">
        <f>IF(D225="","",IF(SUMIF('הזנה לתנאי סף'!$F$31:$F$500,C225,'הזנה לתנאי סף'!$N$31:$N$500)&gt;0,1,0))</f>
        <v>0</v>
      </c>
      <c r="F225" s="109"/>
      <c r="G225" s="109"/>
      <c r="H225" s="213" t="str">
        <f t="shared" si="7"/>
        <v/>
      </c>
    </row>
    <row r="226" spans="1:8" ht="15.75" x14ac:dyDescent="0.2">
      <c r="A226" s="206">
        <f t="shared" si="6"/>
        <v>196</v>
      </c>
      <c r="B226" s="88">
        <f>IF('הזנה לסיווג רשויות'!B197="","",'הזנה לסיווג רשויות'!B197)</f>
        <v>534</v>
      </c>
      <c r="C226" s="88">
        <f>IF('הזנה לסיווג רשויות'!C197="","",'הזנה לסיווג רשויות'!C197)</f>
        <v>20000065</v>
      </c>
      <c r="D226" s="88" t="str">
        <f>IF('הזנה לסיווג רשויות'!D197="","",'הזנה לסיווג רשויות'!D197)</f>
        <v>עספיא</v>
      </c>
      <c r="E226" s="88">
        <f>IF(D226="","",IF(SUMIF('הזנה לתנאי סף'!$F$31:$F$500,C226,'הזנה לתנאי סף'!$N$31:$N$500)&gt;0,1,0))</f>
        <v>0</v>
      </c>
      <c r="F226" s="109"/>
      <c r="G226" s="109"/>
      <c r="H226" s="213" t="str">
        <f t="shared" si="7"/>
        <v/>
      </c>
    </row>
    <row r="227" spans="1:8" ht="15.75" x14ac:dyDescent="0.2">
      <c r="A227" s="206">
        <f t="shared" si="6"/>
        <v>197</v>
      </c>
      <c r="B227" s="88">
        <f>IF('הזנה לסיווג רשויות'!B198="","",'הזנה לסיווג רשויות'!B198)</f>
        <v>7700</v>
      </c>
      <c r="C227" s="88">
        <f>IF('הזנה לסיווג רשויות'!C198="","",'הזנה לסיווג רשויות'!C198)</f>
        <v>20000240</v>
      </c>
      <c r="D227" s="88" t="str">
        <f>IF('הזנה לסיווג רשויות'!D198="","",'הזנה לסיווג רשויות'!D198)</f>
        <v>עפולה</v>
      </c>
      <c r="E227" s="88">
        <f>IF(D227="","",IF(SUMIF('הזנה לתנאי סף'!$F$31:$F$500,C227,'הזנה לתנאי סף'!$N$31:$N$500)&gt;0,1,0))</f>
        <v>0</v>
      </c>
      <c r="F227" s="109"/>
      <c r="G227" s="109"/>
      <c r="H227" s="213" t="str">
        <f t="shared" si="7"/>
        <v/>
      </c>
    </row>
    <row r="228" spans="1:8" ht="15.75" x14ac:dyDescent="0.2">
      <c r="A228" s="206">
        <f t="shared" si="6"/>
        <v>198</v>
      </c>
      <c r="B228" s="88">
        <f>IF('הזנה לסיווג רשויות'!B199="","",'הזנה לסיווג רשויות'!B199)</f>
        <v>531</v>
      </c>
      <c r="C228" s="88">
        <f>IF('הזנה לסיווג רשויות'!C199="","",'הזנה לסיווג רשויות'!C199)</f>
        <v>20000063</v>
      </c>
      <c r="D228" s="88" t="str">
        <f>IF('הזנה לסיווג רשויות'!D199="","",'הזנה לסיווג רשויות'!D199)</f>
        <v>עראבה</v>
      </c>
      <c r="E228" s="88">
        <f>IF(D228="","",IF(SUMIF('הזנה לתנאי סף'!$F$31:$F$500,C228,'הזנה לתנאי סף'!$N$31:$N$500)&gt;0,1,0))</f>
        <v>0</v>
      </c>
      <c r="F228" s="109"/>
      <c r="G228" s="109"/>
      <c r="H228" s="213" t="str">
        <f t="shared" si="7"/>
        <v/>
      </c>
    </row>
    <row r="229" spans="1:8" ht="15.75" x14ac:dyDescent="0.2">
      <c r="A229" s="206">
        <f t="shared" si="6"/>
        <v>199</v>
      </c>
      <c r="B229" s="88">
        <f>IF('הזנה לסיווג רשויות'!B200="","",'הזנה לסיווג רשויות'!B200)</f>
        <v>75</v>
      </c>
      <c r="C229" s="88">
        <f>IF('הזנה לסיווג רשויות'!C200="","",'הזנה לסיווג רשויות'!C200)</f>
        <v>20000237</v>
      </c>
      <c r="D229" s="88" t="str">
        <f>IF('הזנה לסיווג רשויות'!D200="","",'הזנה לסיווג רשויות'!D200)</f>
        <v>ערבות הירדן</v>
      </c>
      <c r="E229" s="88">
        <f>IF(D229="","",IF(SUMIF('הזנה לתנאי סף'!$F$31:$F$500,C229,'הזנה לתנאי סף'!$N$31:$N$500)&gt;0,1,0))</f>
        <v>0</v>
      </c>
      <c r="F229" s="109"/>
      <c r="G229" s="109"/>
      <c r="H229" s="213" t="str">
        <f t="shared" si="7"/>
        <v/>
      </c>
    </row>
    <row r="230" spans="1:8" ht="15.75" x14ac:dyDescent="0.2">
      <c r="A230" s="206">
        <f t="shared" si="6"/>
        <v>200</v>
      </c>
      <c r="B230" s="88">
        <f>IF('הזנה לסיווג רשויות'!B201="","",'הזנה לסיווג רשויות'!B201)</f>
        <v>2560</v>
      </c>
      <c r="C230" s="88">
        <f>IF('הזנה לסיווג רשויות'!C201="","",'הזנה לסיווג רשויות'!C201)</f>
        <v>20000144</v>
      </c>
      <c r="D230" s="88" t="str">
        <f>IF('הזנה לסיווג רשויות'!D201="","",'הזנה לסיווג רשויות'!D201)</f>
        <v>ערד</v>
      </c>
      <c r="E230" s="88">
        <f>IF(D230="","",IF(SUMIF('הזנה לתנאי סף'!$F$31:$F$500,C230,'הזנה לתנאי סף'!$N$31:$N$500)&gt;0,1,0))</f>
        <v>0</v>
      </c>
      <c r="F230" s="109"/>
      <c r="G230" s="109"/>
      <c r="H230" s="213" t="str">
        <f t="shared" si="7"/>
        <v/>
      </c>
    </row>
    <row r="231" spans="1:8" ht="15.75" x14ac:dyDescent="0.2">
      <c r="A231" s="206">
        <f t="shared" si="6"/>
        <v>201</v>
      </c>
      <c r="B231" s="88">
        <f>IF('הזנה לסיווג רשויות'!B202="","",'הזנה לסיווג רשויות'!B202)</f>
        <v>637</v>
      </c>
      <c r="C231" s="88">
        <f>IF('הזנה לסיווג רשויות'!C202="","",'הזנה לסיווג רשויות'!C202)</f>
        <v>20000079</v>
      </c>
      <c r="D231" s="88" t="str">
        <f>IF('הזנה לסיווג רשויות'!D202="","",'הזנה לסיווג רשויות'!D202)</f>
        <v>ערערה</v>
      </c>
      <c r="E231" s="88">
        <f>IF(D231="","",IF(SUMIF('הזנה לתנאי סף'!$F$31:$F$500,C231,'הזנה לתנאי סף'!$N$31:$N$500)&gt;0,1,0))</f>
        <v>0</v>
      </c>
      <c r="F231" s="109"/>
      <c r="G231" s="109"/>
      <c r="H231" s="213" t="str">
        <f t="shared" si="7"/>
        <v/>
      </c>
    </row>
    <row r="232" spans="1:8" ht="15.75" x14ac:dyDescent="0.2">
      <c r="A232" s="206">
        <f t="shared" si="6"/>
        <v>202</v>
      </c>
      <c r="B232" s="88">
        <f>IF('הזנה לסיווג רשויות'!B203="","",'הזנה לסיווג רשויות'!B203)</f>
        <v>1192</v>
      </c>
      <c r="C232" s="88">
        <f>IF('הזנה לסיווג רשויות'!C203="","",'הזנה לסיווג רשויות'!C203)</f>
        <v>20000298</v>
      </c>
      <c r="D232" s="88" t="str">
        <f>IF('הזנה לסיווג רשויות'!D203="","",'הזנה לסיווג רשויות'!D203)</f>
        <v>ערערה-בנגב</v>
      </c>
      <c r="E232" s="88">
        <f>IF(D232="","",IF(SUMIF('הזנה לתנאי סף'!$F$31:$F$500,C232,'הזנה לתנאי סף'!$N$31:$N$500)&gt;0,1,0))</f>
        <v>0</v>
      </c>
      <c r="F232" s="109"/>
      <c r="G232" s="109"/>
      <c r="H232" s="213" t="str">
        <f t="shared" si="7"/>
        <v/>
      </c>
    </row>
    <row r="233" spans="1:8" ht="15.75" x14ac:dyDescent="0.2">
      <c r="A233" s="206">
        <f t="shared" si="6"/>
        <v>203</v>
      </c>
      <c r="B233" s="88">
        <f>IF('הזנה לסיווג רשויות'!B204="","",'הזנה לסיווג רשויות'!B204)</f>
        <v>537</v>
      </c>
      <c r="C233" s="88">
        <f>IF('הזנה לסיווג רשויות'!C204="","",'הזנה לסיווג רשויות'!C204)</f>
        <v>20000068</v>
      </c>
      <c r="D233" s="88" t="str">
        <f>IF('הזנה לסיווג רשויות'!D204="","",'הזנה לסיווג רשויות'!D204)</f>
        <v>פוריידיס</v>
      </c>
      <c r="E233" s="88">
        <f>IF(D233="","",IF(SUMIF('הזנה לתנאי סף'!$F$31:$F$500,C233,'הזנה לתנאי סף'!$N$31:$N$500)&gt;0,1,0))</f>
        <v>0</v>
      </c>
      <c r="F233" s="109"/>
      <c r="G233" s="109"/>
      <c r="H233" s="213" t="str">
        <f t="shared" si="7"/>
        <v/>
      </c>
    </row>
    <row r="234" spans="1:8" ht="15.75" x14ac:dyDescent="0.2">
      <c r="A234" s="206">
        <f t="shared" si="6"/>
        <v>204</v>
      </c>
      <c r="B234" s="88">
        <f>IF('הזנה לסיווג רשויות'!B205="","",'הזנה לסיווג רשויות'!B205)</f>
        <v>535</v>
      </c>
      <c r="C234" s="88">
        <f>IF('הזנה לסיווג רשויות'!C205="","",'הזנה לסיווג רשויות'!C205)</f>
        <v>20000066</v>
      </c>
      <c r="D234" s="88" t="str">
        <f>IF('הזנה לסיווג רשויות'!D205="","",'הזנה לסיווג רשויות'!D205)</f>
        <v>פסוטה</v>
      </c>
      <c r="E234" s="88">
        <f>IF(D234="","",IF(SUMIF('הזנה לתנאי סף'!$F$31:$F$500,C234,'הזנה לתנאי סף'!$N$31:$N$500)&gt;0,1,0))</f>
        <v>0</v>
      </c>
      <c r="F234" s="109"/>
      <c r="G234" s="109"/>
      <c r="H234" s="213" t="str">
        <f t="shared" si="7"/>
        <v/>
      </c>
    </row>
    <row r="235" spans="1:8" ht="15.75" x14ac:dyDescent="0.2">
      <c r="A235" s="206">
        <f t="shared" si="6"/>
        <v>205</v>
      </c>
      <c r="B235" s="88">
        <f>IF('הזנה לסיווג רשויות'!B206="","",'הזנה לסיווג רשויות'!B206)</f>
        <v>536</v>
      </c>
      <c r="C235" s="88">
        <f>IF('הזנה לסיווג רשויות'!C206="","",'הזנה לסיווג רשויות'!C206)</f>
        <v>20000067</v>
      </c>
      <c r="D235" s="88" t="str">
        <f>IF('הזנה לסיווג רשויות'!D206="","",'הזנה לסיווג רשויות'!D206)</f>
        <v>פקיעין (בוקייעה)</v>
      </c>
      <c r="E235" s="88">
        <f>IF(D235="","",IF(SUMIF('הזנה לתנאי סף'!$F$31:$F$500,C235,'הזנה לתנאי סף'!$N$31:$N$500)&gt;0,1,0))</f>
        <v>0</v>
      </c>
      <c r="F235" s="109"/>
      <c r="G235" s="109"/>
      <c r="H235" s="213" t="str">
        <f t="shared" si="7"/>
        <v/>
      </c>
    </row>
    <row r="236" spans="1:8" ht="15.75" x14ac:dyDescent="0.2">
      <c r="A236" s="206">
        <f t="shared" si="6"/>
        <v>206</v>
      </c>
      <c r="B236" s="88">
        <f>IF('הזנה לסיווג רשויות'!B207="","",'הזנה לסיווג רשויות'!B207)</f>
        <v>7800</v>
      </c>
      <c r="C236" s="88">
        <f>IF('הזנה לסיווג רשויות'!C207="","",'הזנה לסיווג רשויות'!C207)</f>
        <v>20000242</v>
      </c>
      <c r="D236" s="88" t="str">
        <f>IF('הזנה לסיווג רשויות'!D207="","",'הזנה לסיווג רשויות'!D207)</f>
        <v>פרדס חנה-כרכור</v>
      </c>
      <c r="E236" s="88">
        <f>IF(D236="","",IF(SUMIF('הזנה לתנאי סף'!$F$31:$F$500,C236,'הזנה לתנאי סף'!$N$31:$N$500)&gt;0,1,0))</f>
        <v>0</v>
      </c>
      <c r="F236" s="109"/>
      <c r="G236" s="109"/>
      <c r="H236" s="213" t="str">
        <f t="shared" si="7"/>
        <v/>
      </c>
    </row>
    <row r="237" spans="1:8" ht="15.75" x14ac:dyDescent="0.2">
      <c r="A237" s="206">
        <f t="shared" si="6"/>
        <v>207</v>
      </c>
      <c r="B237" s="88">
        <f>IF('הזנה לסיווג רשויות'!B208="","",'הזנה לסיווג רשויות'!B208)</f>
        <v>171</v>
      </c>
      <c r="C237" s="88">
        <f>IF('הזנה לסיווג רשויות'!C208="","",'הזנה לסיווג רשויות'!C208)</f>
        <v>20000020</v>
      </c>
      <c r="D237" s="88" t="str">
        <f>IF('הזנה לסיווג רשויות'!D208="","",'הזנה לסיווג רשויות'!D208)</f>
        <v>פרדסייה</v>
      </c>
      <c r="E237" s="88">
        <f>IF(D237="","",IF(SUMIF('הזנה לתנאי סף'!$F$31:$F$500,C237,'הזנה לתנאי סף'!$N$31:$N$500)&gt;0,1,0))</f>
        <v>0</v>
      </c>
      <c r="F237" s="109"/>
      <c r="G237" s="109"/>
      <c r="H237" s="213" t="str">
        <f t="shared" si="7"/>
        <v/>
      </c>
    </row>
    <row r="238" spans="1:8" ht="15.75" x14ac:dyDescent="0.2">
      <c r="A238" s="206">
        <f t="shared" si="6"/>
        <v>208</v>
      </c>
      <c r="B238" s="88">
        <f>IF('הזנה לסיווג רשויות'!B209="","",'הזנה לסיווג רשויות'!B209)</f>
        <v>7900</v>
      </c>
      <c r="C238" s="88">
        <f>IF('הזנה לסיווג רשויות'!C209="","",'הזנה לסיווג רשויות'!C209)</f>
        <v>20000243</v>
      </c>
      <c r="D238" s="88" t="str">
        <f>IF('הזנה לסיווג רשויות'!D209="","",'הזנה לסיווג רשויות'!D209)</f>
        <v>פתח תקווה</v>
      </c>
      <c r="E238" s="88">
        <f>IF(D238="","",IF(SUMIF('הזנה לתנאי סף'!$F$31:$F$500,C238,'הזנה לתנאי סף'!$N$31:$N$500)&gt;0,1,0))</f>
        <v>0</v>
      </c>
      <c r="F238" s="109"/>
      <c r="G238" s="109"/>
      <c r="H238" s="213" t="str">
        <f t="shared" si="7"/>
        <v/>
      </c>
    </row>
    <row r="239" spans="1:8" ht="15.75" x14ac:dyDescent="0.2">
      <c r="A239" s="206">
        <f t="shared" si="6"/>
        <v>209</v>
      </c>
      <c r="B239" s="88">
        <f>IF('הזנה לסיווג רשויות'!B210="","",'הזנה לסיווג רשויות'!B210)</f>
        <v>8000</v>
      </c>
      <c r="C239" s="88">
        <f>IF('הזנה לסיווג רשויות'!C210="","",'הזנה לסיווג רשויות'!C210)</f>
        <v>20000244</v>
      </c>
      <c r="D239" s="88" t="str">
        <f>IF('הזנה לסיווג רשויות'!D210="","",'הזנה לסיווג רשויות'!D210)</f>
        <v>צפת</v>
      </c>
      <c r="E239" s="88">
        <f>IF(D239="","",IF(SUMIF('הזנה לתנאי סף'!$F$31:$F$500,C239,'הזנה לתנאי סף'!$N$31:$N$500)&gt;0,1,0))</f>
        <v>0</v>
      </c>
      <c r="F239" s="109"/>
      <c r="G239" s="109"/>
      <c r="H239" s="213" t="str">
        <f t="shared" si="7"/>
        <v/>
      </c>
    </row>
    <row r="240" spans="1:8" ht="15.75" x14ac:dyDescent="0.2">
      <c r="A240" s="206">
        <f t="shared" si="6"/>
        <v>210</v>
      </c>
      <c r="B240" s="88">
        <f>IF('הזנה לסיווג רשויות'!B211="","",'הזנה לסיווג רשויות'!B211)</f>
        <v>3557</v>
      </c>
      <c r="C240" s="88">
        <f>IF('הזנה לסיווג רשויות'!C211="","",'הזנה לסיווג רשויות'!C211)</f>
        <v>20000165</v>
      </c>
      <c r="D240" s="88" t="str">
        <f>IF('הזנה לסיווג רשויות'!D211="","",'הזנה לסיווג רשויות'!D211)</f>
        <v>קדומים</v>
      </c>
      <c r="E240" s="88">
        <f>IF(D240="","",IF(SUMIF('הזנה לתנאי סף'!$F$31:$F$500,C240,'הזנה לתנאי סף'!$N$31:$N$500)&gt;0,1,0))</f>
        <v>0</v>
      </c>
      <c r="F240" s="109"/>
      <c r="G240" s="109"/>
      <c r="H240" s="213" t="str">
        <f t="shared" si="7"/>
        <v/>
      </c>
    </row>
    <row r="241" spans="1:8" ht="15.75" x14ac:dyDescent="0.2">
      <c r="A241" s="206">
        <f t="shared" si="6"/>
        <v>211</v>
      </c>
      <c r="B241" s="88">
        <f>IF('הזנה לסיווג רשויות'!B212="","",'הזנה לסיווג רשויות'!B212)</f>
        <v>195</v>
      </c>
      <c r="C241" s="88">
        <f>IF('הזנה לסיווג רשויות'!C212="","",'הזנה לסיווג רשויות'!C212)</f>
        <v>20000022</v>
      </c>
      <c r="D241" s="88" t="str">
        <f>IF('הזנה לסיווג רשויות'!D212="","",'הזנה לסיווג רשויות'!D212)</f>
        <v>קדימה-צורן</v>
      </c>
      <c r="E241" s="88">
        <f>IF(D241="","",IF(SUMIF('הזנה לתנאי סף'!$F$31:$F$500,C241,'הזנה לתנאי סף'!$N$31:$N$500)&gt;0,1,0))</f>
        <v>0</v>
      </c>
      <c r="F241" s="109"/>
      <c r="G241" s="109"/>
      <c r="H241" s="213" t="str">
        <f t="shared" si="7"/>
        <v/>
      </c>
    </row>
    <row r="242" spans="1:8" ht="15.75" x14ac:dyDescent="0.2">
      <c r="A242" s="206">
        <f t="shared" si="6"/>
        <v>212</v>
      </c>
      <c r="B242" s="88">
        <f>IF('הזנה לסיווג רשויות'!B213="","",'הזנה לסיווג רשויות'!B213)</f>
        <v>638</v>
      </c>
      <c r="C242" s="88">
        <f>IF('הזנה לסיווג רשויות'!C213="","",'הזנה לסיווג רשויות'!C213)</f>
        <v>20000080</v>
      </c>
      <c r="D242" s="88" t="str">
        <f>IF('הזנה לסיווג רשויות'!D213="","",'הזנה לסיווג רשויות'!D213)</f>
        <v>קלנסווה</v>
      </c>
      <c r="E242" s="88">
        <f>IF(D242="","",IF(SUMIF('הזנה לתנאי סף'!$F$31:$F$500,C242,'הזנה לתנאי סף'!$N$31:$N$500)&gt;0,1,0))</f>
        <v>0</v>
      </c>
      <c r="F242" s="109"/>
      <c r="G242" s="109"/>
      <c r="H242" s="213" t="str">
        <f t="shared" si="7"/>
        <v/>
      </c>
    </row>
    <row r="243" spans="1:8" ht="15.75" x14ac:dyDescent="0.2">
      <c r="A243" s="206">
        <f t="shared" si="6"/>
        <v>213</v>
      </c>
      <c r="B243" s="88">
        <f>IF('הזנה לסיווג רשויות'!B214="","",'הזנה לסיווג רשויות'!B214)</f>
        <v>4100</v>
      </c>
      <c r="C243" s="88">
        <f>IF('הזנה לסיווג רשויות'!C214="","",'הזנה לסיווג רשויות'!C214)</f>
        <v>20000184</v>
      </c>
      <c r="D243" s="88" t="str">
        <f>IF('הזנה לסיווג רשויות'!D214="","",'הזנה לסיווג רשויות'!D214)</f>
        <v>קצרין</v>
      </c>
      <c r="E243" s="88">
        <f>IF(D243="","",IF(SUMIF('הזנה לתנאי סף'!$F$31:$F$500,C243,'הזנה לתנאי סף'!$N$31:$N$500)&gt;0,1,0))</f>
        <v>1</v>
      </c>
      <c r="F243" s="109">
        <v>1850000</v>
      </c>
      <c r="G243" s="109">
        <v>1849999</v>
      </c>
      <c r="H243" s="213" t="str">
        <f t="shared" si="7"/>
        <v/>
      </c>
    </row>
    <row r="244" spans="1:8" ht="15.75" x14ac:dyDescent="0.2">
      <c r="A244" s="206">
        <f t="shared" si="6"/>
        <v>214</v>
      </c>
      <c r="B244" s="88">
        <f>IF('הזנה לסיווג רשויות'!B215="","",'הזנה לסיווג רשויות'!B215)</f>
        <v>2620</v>
      </c>
      <c r="C244" s="88">
        <f>IF('הזנה לסיווג רשויות'!C215="","",'הזנה לסיווג רשויות'!C215)</f>
        <v>20000149</v>
      </c>
      <c r="D244" s="88" t="str">
        <f>IF('הזנה לסיווג רשויות'!D215="","",'הזנה לסיווג רשויות'!D215)</f>
        <v>קריית אונו</v>
      </c>
      <c r="E244" s="88">
        <f>IF(D244="","",IF(SUMIF('הזנה לתנאי סף'!$F$31:$F$500,C244,'הזנה לתנאי סף'!$N$31:$N$500)&gt;0,1,0))</f>
        <v>0</v>
      </c>
      <c r="F244" s="109"/>
      <c r="G244" s="109"/>
      <c r="H244" s="213" t="str">
        <f t="shared" si="7"/>
        <v/>
      </c>
    </row>
    <row r="245" spans="1:8" ht="15.75" x14ac:dyDescent="0.2">
      <c r="A245" s="206">
        <f t="shared" si="6"/>
        <v>215</v>
      </c>
      <c r="B245" s="88">
        <f>IF('הזנה לסיווג רשויות'!B216="","",'הזנה לסיווג רשויות'!B216)</f>
        <v>3611</v>
      </c>
      <c r="C245" s="88">
        <f>IF('הזנה לסיווג רשויות'!C216="","",'הזנה לסיווג רשויות'!C216)</f>
        <v>20000170</v>
      </c>
      <c r="D245" s="88" t="str">
        <f>IF('הזנה לסיווג רשויות'!D216="","",'הזנה לסיווג רשויות'!D216)</f>
        <v>קריית ארבע</v>
      </c>
      <c r="E245" s="88">
        <f>IF(D245="","",IF(SUMIF('הזנה לתנאי סף'!$F$31:$F$500,C245,'הזנה לתנאי סף'!$N$31:$N$500)&gt;0,1,0))</f>
        <v>0</v>
      </c>
      <c r="F245" s="109"/>
      <c r="G245" s="109"/>
      <c r="H245" s="213" t="str">
        <f t="shared" si="7"/>
        <v/>
      </c>
    </row>
    <row r="246" spans="1:8" ht="15.75" x14ac:dyDescent="0.2">
      <c r="A246" s="206">
        <f t="shared" si="6"/>
        <v>216</v>
      </c>
      <c r="B246" s="88">
        <f>IF('הזנה לסיווג רשויות'!B217="","",'הזנה לסיווג רשויות'!B217)</f>
        <v>6800</v>
      </c>
      <c r="C246" s="88">
        <f>IF('הזנה לסיווג רשויות'!C217="","",'הזנה לסיווג רשויות'!C217)</f>
        <v>20000226</v>
      </c>
      <c r="D246" s="88" t="str">
        <f>IF('הזנה לסיווג רשויות'!D217="","",'הזנה לסיווג רשויות'!D217)</f>
        <v>קריית אתא</v>
      </c>
      <c r="E246" s="88">
        <f>IF(D246="","",IF(SUMIF('הזנה לתנאי סף'!$F$31:$F$500,C246,'הזנה לתנאי סף'!$N$31:$N$500)&gt;0,1,0))</f>
        <v>0</v>
      </c>
      <c r="F246" s="109"/>
      <c r="G246" s="109"/>
      <c r="H246" s="213" t="str">
        <f t="shared" si="7"/>
        <v/>
      </c>
    </row>
    <row r="247" spans="1:8" ht="15.75" x14ac:dyDescent="0.2">
      <c r="A247" s="206">
        <f t="shared" si="6"/>
        <v>217</v>
      </c>
      <c r="B247" s="88">
        <f>IF('הזנה לסיווג רשויות'!B218="","",'הזנה לסיווג רשויות'!B218)</f>
        <v>9500</v>
      </c>
      <c r="C247" s="88">
        <f>IF('הזנה לסיווג רשויות'!C218="","",'הזנה לסיווג רשויות'!C218)</f>
        <v>20000259</v>
      </c>
      <c r="D247" s="88" t="str">
        <f>IF('הזנה לסיווג רשויות'!D218="","",'הזנה לסיווג רשויות'!D218)</f>
        <v>קריית ביאליק</v>
      </c>
      <c r="E247" s="88">
        <f>IF(D247="","",IF(SUMIF('הזנה לתנאי סף'!$F$31:$F$500,C247,'הזנה לתנאי סף'!$N$31:$N$500)&gt;0,1,0))</f>
        <v>0</v>
      </c>
      <c r="F247" s="109"/>
      <c r="G247" s="109"/>
      <c r="H247" s="213" t="str">
        <f t="shared" si="7"/>
        <v/>
      </c>
    </row>
    <row r="248" spans="1:8" ht="15.75" x14ac:dyDescent="0.2">
      <c r="A248" s="206">
        <f t="shared" si="6"/>
        <v>218</v>
      </c>
      <c r="B248" s="88">
        <f>IF('הזנה לסיווג רשויות'!B219="","",'הזנה לסיווג רשויות'!B219)</f>
        <v>2630</v>
      </c>
      <c r="C248" s="88">
        <f>IF('הזנה לסיווג רשויות'!C219="","",'הזנה לסיווג רשויות'!C219)</f>
        <v>20000150</v>
      </c>
      <c r="D248" s="88" t="str">
        <f>IF('הזנה לסיווג רשויות'!D219="","",'הזנה לסיווג רשויות'!D219)</f>
        <v>קריית גת</v>
      </c>
      <c r="E248" s="88">
        <f>IF(D248="","",IF(SUMIF('הזנה לתנאי סף'!$F$31:$F$500,C248,'הזנה לתנאי סף'!$N$31:$N$500)&gt;0,1,0))</f>
        <v>0</v>
      </c>
      <c r="F248" s="109"/>
      <c r="G248" s="109"/>
      <c r="H248" s="213" t="str">
        <f t="shared" si="7"/>
        <v/>
      </c>
    </row>
    <row r="249" spans="1:8" ht="15.75" x14ac:dyDescent="0.2">
      <c r="A249" s="206">
        <f t="shared" si="6"/>
        <v>219</v>
      </c>
      <c r="B249" s="88">
        <f>IF('הזנה לסיווג רשויות'!B220="","",'הזנה לסיווג רשויות'!B220)</f>
        <v>2300</v>
      </c>
      <c r="C249" s="88">
        <f>IF('הזנה לסיווג רשויות'!C220="","",'הזנה לסיווג רשויות'!C220)</f>
        <v>20000133</v>
      </c>
      <c r="D249" s="88" t="str">
        <f>IF('הזנה לסיווג רשויות'!D220="","",'הזנה לסיווג רשויות'!D220)</f>
        <v>קריית טבעון</v>
      </c>
      <c r="E249" s="88">
        <f>IF(D249="","",IF(SUMIF('הזנה לתנאי סף'!$F$31:$F$500,C249,'הזנה לתנאי סף'!$N$31:$N$500)&gt;0,1,0))</f>
        <v>0</v>
      </c>
      <c r="F249" s="109"/>
      <c r="G249" s="109"/>
      <c r="H249" s="213" t="str">
        <f t="shared" si="7"/>
        <v/>
      </c>
    </row>
    <row r="250" spans="1:8" ht="15.75" x14ac:dyDescent="0.2">
      <c r="A250" s="206">
        <f t="shared" si="6"/>
        <v>220</v>
      </c>
      <c r="B250" s="88">
        <f>IF('הזנה לסיווג רשויות'!B221="","",'הזנה לסיווג רשויות'!B221)</f>
        <v>9600</v>
      </c>
      <c r="C250" s="88">
        <f>IF('הזנה לסיווג רשויות'!C221="","",'הזנה לסיווג רשויות'!C221)</f>
        <v>20000260</v>
      </c>
      <c r="D250" s="88" t="str">
        <f>IF('הזנה לסיווג רשויות'!D221="","",'הזנה לסיווג רשויות'!D221)</f>
        <v>קריית ים</v>
      </c>
      <c r="E250" s="88">
        <f>IF(D250="","",IF(SUMIF('הזנה לתנאי סף'!$F$31:$F$500,C250,'הזנה לתנאי סף'!$N$31:$N$500)&gt;0,1,0))</f>
        <v>0</v>
      </c>
      <c r="F250" s="109"/>
      <c r="G250" s="109"/>
      <c r="H250" s="213" t="str">
        <f t="shared" si="7"/>
        <v/>
      </c>
    </row>
    <row r="251" spans="1:8" ht="15.75" x14ac:dyDescent="0.2">
      <c r="A251" s="206">
        <f t="shared" si="6"/>
        <v>221</v>
      </c>
      <c r="B251" s="88">
        <f>IF('הזנה לסיווג רשויות'!B222="","",'הזנה לסיווג רשויות'!B222)</f>
        <v>1137</v>
      </c>
      <c r="C251" s="88">
        <f>IF('הזנה לסיווג רשויות'!C222="","",'הזנה לסיווג רשויות'!C222)</f>
        <v>20000104</v>
      </c>
      <c r="D251" s="88" t="str">
        <f>IF('הזנה לסיווג רשויות'!D222="","",'הזנה לסיווג רשויות'!D222)</f>
        <v>קריית יערים</v>
      </c>
      <c r="E251" s="88">
        <f>IF(D251="","",IF(SUMIF('הזנה לתנאי סף'!$F$31:$F$500,C251,'הזנה לתנאי סף'!$N$31:$N$500)&gt;0,1,0))</f>
        <v>0</v>
      </c>
      <c r="F251" s="109"/>
      <c r="G251" s="109"/>
      <c r="H251" s="213" t="str">
        <f t="shared" si="7"/>
        <v/>
      </c>
    </row>
    <row r="252" spans="1:8" ht="15.75" x14ac:dyDescent="0.2">
      <c r="A252" s="206">
        <f t="shared" si="6"/>
        <v>222</v>
      </c>
      <c r="B252" s="88">
        <f>IF('הזנה לסיווג רשויות'!B223="","",'הזנה לסיווג רשויות'!B223)</f>
        <v>8200</v>
      </c>
      <c r="C252" s="88">
        <f>IF('הזנה לסיווג רשויות'!C223="","",'הזנה לסיווג רשויות'!C223)</f>
        <v>20000245</v>
      </c>
      <c r="D252" s="88" t="str">
        <f>IF('הזנה לסיווג רשויות'!D223="","",'הזנה לסיווג רשויות'!D223)</f>
        <v>קריית מוצקין</v>
      </c>
      <c r="E252" s="88">
        <f>IF(D252="","",IF(SUMIF('הזנה לתנאי סף'!$F$31:$F$500,C252,'הזנה לתנאי סף'!$N$31:$N$500)&gt;0,1,0))</f>
        <v>0</v>
      </c>
      <c r="F252" s="109"/>
      <c r="G252" s="109"/>
      <c r="H252" s="213" t="str">
        <f t="shared" si="7"/>
        <v/>
      </c>
    </row>
    <row r="253" spans="1:8" ht="15.75" x14ac:dyDescent="0.2">
      <c r="A253" s="206">
        <f t="shared" si="6"/>
        <v>223</v>
      </c>
      <c r="B253" s="88">
        <f>IF('הזנה לסיווג רשויות'!B224="","",'הזנה לסיווג רשויות'!B224)</f>
        <v>1034</v>
      </c>
      <c r="C253" s="88">
        <f>IF('הזנה לסיווג רשויות'!C224="","",'הזנה לסיווג רשויות'!C224)</f>
        <v>20000097</v>
      </c>
      <c r="D253" s="88" t="str">
        <f>IF('הזנה לסיווג רשויות'!D224="","",'הזנה לסיווג רשויות'!D224)</f>
        <v>קריית מלאכי</v>
      </c>
      <c r="E253" s="88">
        <f>IF(D253="","",IF(SUMIF('הזנה לתנאי סף'!$F$31:$F$500,C253,'הזנה לתנאי סף'!$N$31:$N$500)&gt;0,1,0))</f>
        <v>0</v>
      </c>
      <c r="F253" s="109"/>
      <c r="G253" s="109"/>
      <c r="H253" s="213" t="str">
        <f t="shared" si="7"/>
        <v/>
      </c>
    </row>
    <row r="254" spans="1:8" ht="15.75" x14ac:dyDescent="0.2">
      <c r="A254" s="206">
        <f t="shared" si="6"/>
        <v>224</v>
      </c>
      <c r="B254" s="88">
        <f>IF('הזנה לסיווג רשויות'!B225="","",'הזנה לסיווג רשויות'!B225)</f>
        <v>469</v>
      </c>
      <c r="C254" s="88">
        <f>IF('הזנה לסיווג רשויות'!C225="","",'הזנה לסיווג רשויות'!C225)</f>
        <v>20000030</v>
      </c>
      <c r="D254" s="88" t="str">
        <f>IF('הזנה לסיווג רשויות'!D225="","",'הזנה לסיווג רשויות'!D225)</f>
        <v>קריית עקרון</v>
      </c>
      <c r="E254" s="88">
        <f>IF(D254="","",IF(SUMIF('הזנה לתנאי סף'!$F$31:$F$500,C254,'הזנה לתנאי סף'!$N$31:$N$500)&gt;0,1,0))</f>
        <v>0</v>
      </c>
      <c r="F254" s="109"/>
      <c r="G254" s="109"/>
      <c r="H254" s="213" t="str">
        <f t="shared" si="7"/>
        <v/>
      </c>
    </row>
    <row r="255" spans="1:8" ht="15.75" x14ac:dyDescent="0.2">
      <c r="A255" s="206">
        <f t="shared" si="6"/>
        <v>225</v>
      </c>
      <c r="B255" s="88">
        <f>IF('הזנה לסיווג רשויות'!B226="","",'הזנה לסיווג רשויות'!B226)</f>
        <v>2800</v>
      </c>
      <c r="C255" s="88">
        <f>IF('הזנה לסיווג רשויות'!C226="","",'הזנה לסיווג רשויות'!C226)</f>
        <v>20000157</v>
      </c>
      <c r="D255" s="88" t="str">
        <f>IF('הזנה לסיווג רשויות'!D226="","",'הזנה לסיווג רשויות'!D226)</f>
        <v>קריית שמונה</v>
      </c>
      <c r="E255" s="88">
        <f>IF(D255="","",IF(SUMIF('הזנה לתנאי סף'!$F$31:$F$500,C255,'הזנה לתנאי סף'!$N$31:$N$500)&gt;0,1,0))</f>
        <v>0</v>
      </c>
      <c r="F255" s="109"/>
      <c r="G255" s="109"/>
      <c r="H255" s="213" t="str">
        <f t="shared" si="7"/>
        <v/>
      </c>
    </row>
    <row r="256" spans="1:8" ht="15.75" x14ac:dyDescent="0.2">
      <c r="A256" s="206">
        <f t="shared" si="6"/>
        <v>226</v>
      </c>
      <c r="B256" s="88">
        <f>IF('הזנה לסיווג רשויות'!B227="","",'הזנה לסיווג רשויות'!B227)</f>
        <v>3640</v>
      </c>
      <c r="C256" s="88">
        <f>IF('הזנה לסיווג רשויות'!C227="","",'הזנה לסיווג רשויות'!C227)</f>
        <v>20000172</v>
      </c>
      <c r="D256" s="88" t="str">
        <f>IF('הזנה לסיווג רשויות'!D227="","",'הזנה לסיווג רשויות'!D227)</f>
        <v>קרני שומרון</v>
      </c>
      <c r="E256" s="88">
        <f>IF(D256="","",IF(SUMIF('הזנה לתנאי סף'!$F$31:$F$500,C256,'הזנה לתנאי סף'!$N$31:$N$500)&gt;0,1,0))</f>
        <v>0</v>
      </c>
      <c r="F256" s="109"/>
      <c r="G256" s="109"/>
      <c r="H256" s="213" t="str">
        <f t="shared" si="7"/>
        <v/>
      </c>
    </row>
    <row r="257" spans="1:8" ht="15.75" x14ac:dyDescent="0.2">
      <c r="A257" s="206">
        <f t="shared" si="6"/>
        <v>227</v>
      </c>
      <c r="B257" s="88">
        <f>IF('הזנה לסיווג רשויות'!B228="","",'הזנה לסיווג רשויות'!B228)</f>
        <v>543</v>
      </c>
      <c r="C257" s="88">
        <f>IF('הזנה לסיווג רשויות'!C228="","",'הזנה לסיווג רשויות'!C228)</f>
        <v>20000072</v>
      </c>
      <c r="D257" s="88" t="str">
        <f>IF('הזנה לסיווג רשויות'!D228="","",'הזנה לסיווג רשויות'!D228)</f>
        <v>ראמה</v>
      </c>
      <c r="E257" s="88">
        <f>IF(D257="","",IF(SUMIF('הזנה לתנאי סף'!$F$31:$F$500,C257,'הזנה לתנאי סף'!$N$31:$N$500)&gt;0,1,0))</f>
        <v>0</v>
      </c>
      <c r="F257" s="109"/>
      <c r="G257" s="109"/>
      <c r="H257" s="213" t="str">
        <f t="shared" si="7"/>
        <v/>
      </c>
    </row>
    <row r="258" spans="1:8" ht="15.75" x14ac:dyDescent="0.2">
      <c r="A258" s="206">
        <f t="shared" si="6"/>
        <v>228</v>
      </c>
      <c r="B258" s="88">
        <f>IF('הזנה לסיווג רשויות'!B229="","",'הזנה לסיווג רשויות'!B229)</f>
        <v>2640</v>
      </c>
      <c r="C258" s="88">
        <f>IF('הזנה לסיווג רשויות'!C229="","",'הזנה לסיווג רשויות'!C229)</f>
        <v>20000151</v>
      </c>
      <c r="D258" s="88" t="str">
        <f>IF('הזנה לסיווג רשויות'!D229="","",'הזנה לסיווג רשויות'!D229)</f>
        <v>ראש העין</v>
      </c>
      <c r="E258" s="88">
        <f>IF(D258="","",IF(SUMIF('הזנה לתנאי סף'!$F$31:$F$500,C258,'הזנה לתנאי סף'!$N$31:$N$500)&gt;0,1,0))</f>
        <v>0</v>
      </c>
      <c r="F258" s="109"/>
      <c r="G258" s="109"/>
      <c r="H258" s="213" t="str">
        <f t="shared" si="7"/>
        <v/>
      </c>
    </row>
    <row r="259" spans="1:8" ht="15.75" x14ac:dyDescent="0.2">
      <c r="A259" s="206">
        <f t="shared" si="6"/>
        <v>229</v>
      </c>
      <c r="B259" s="88">
        <f>IF('הזנה לסיווג רשויות'!B230="","",'הזנה לסיווג רשויות'!B230)</f>
        <v>26</v>
      </c>
      <c r="C259" s="88">
        <f>IF('הזנה לסיווג רשויות'!C230="","",'הזנה לסיווג רשויות'!C230)</f>
        <v>20000001</v>
      </c>
      <c r="D259" s="88" t="str">
        <f>IF('הזנה לסיווג רשויות'!D230="","",'הזנה לסיווג רשויות'!D230)</f>
        <v>ראש פינה</v>
      </c>
      <c r="E259" s="88">
        <f>IF(D259="","",IF(SUMIF('הזנה לתנאי סף'!$F$31:$F$500,C259,'הזנה לתנאי סף'!$N$31:$N$500)&gt;0,1,0))</f>
        <v>0</v>
      </c>
      <c r="F259" s="109">
        <v>120000</v>
      </c>
      <c r="G259" s="109">
        <v>119999</v>
      </c>
      <c r="H259" s="213" t="str">
        <f t="shared" si="7"/>
        <v/>
      </c>
    </row>
    <row r="260" spans="1:8" ht="15.75" x14ac:dyDescent="0.2">
      <c r="A260" s="206">
        <f t="shared" si="6"/>
        <v>230</v>
      </c>
      <c r="B260" s="88">
        <f>IF('הזנה לסיווג רשויות'!B231="","",'הזנה לסיווג רשויות'!B231)</f>
        <v>8300</v>
      </c>
      <c r="C260" s="88">
        <f>IF('הזנה לסיווג רשויות'!C231="","",'הזנה לסיווג רשויות'!C231)</f>
        <v>20000247</v>
      </c>
      <c r="D260" s="88" t="str">
        <f>IF('הזנה לסיווג רשויות'!D231="","",'הזנה לסיווג רשויות'!D231)</f>
        <v>ראשון לציון</v>
      </c>
      <c r="E260" s="88">
        <f>IF(D260="","",IF(SUMIF('הזנה לתנאי סף'!$F$31:$F$500,C260,'הזנה לתנאי סף'!$N$31:$N$500)&gt;0,1,0))</f>
        <v>1</v>
      </c>
      <c r="F260" s="109">
        <v>5880000</v>
      </c>
      <c r="G260" s="109">
        <v>6900000</v>
      </c>
      <c r="H260" s="213">
        <f t="shared" si="7"/>
        <v>1020000</v>
      </c>
    </row>
    <row r="261" spans="1:8" ht="15.75" x14ac:dyDescent="0.2">
      <c r="A261" s="206">
        <f t="shared" si="6"/>
        <v>231</v>
      </c>
      <c r="B261" s="88">
        <f>IF('הזנה לסיווג רשויות'!B232="","",'הזנה לסיווג רשויות'!B232)</f>
        <v>1161</v>
      </c>
      <c r="C261" s="88">
        <f>IF('הזנה לסיווג רשויות'!C232="","",'הזנה לסיווג רשויות'!C232)</f>
        <v>20000106</v>
      </c>
      <c r="D261" s="88" t="str">
        <f>IF('הזנה לסיווג רשויות'!D232="","",'הזנה לסיווג רשויות'!D232)</f>
        <v>רהט</v>
      </c>
      <c r="E261" s="88">
        <f>IF(D261="","",IF(SUMIF('הזנה לתנאי סף'!$F$31:$F$500,C261,'הזנה לתנאי סף'!$N$31:$N$500)&gt;0,1,0))</f>
        <v>0</v>
      </c>
      <c r="F261" s="109"/>
      <c r="G261" s="109"/>
      <c r="H261" s="213" t="str">
        <f t="shared" si="7"/>
        <v/>
      </c>
    </row>
    <row r="262" spans="1:8" ht="15.75" x14ac:dyDescent="0.2">
      <c r="A262" s="206">
        <f t="shared" si="6"/>
        <v>232</v>
      </c>
      <c r="B262" s="88">
        <f>IF('הזנה לסיווג רשויות'!B233="","",'הזנה לסיווג רשויות'!B233)</f>
        <v>8400</v>
      </c>
      <c r="C262" s="88">
        <f>IF('הזנה לסיווג רשויות'!C233="","",'הזנה לסיווג רשויות'!C233)</f>
        <v>20000248</v>
      </c>
      <c r="D262" s="88" t="str">
        <f>IF('הזנה לסיווג רשויות'!D233="","",'הזנה לסיווג רשויות'!D233)</f>
        <v>רחובות</v>
      </c>
      <c r="E262" s="88">
        <f>IF(D262="","",IF(SUMIF('הזנה לתנאי סף'!$F$31:$F$500,C262,'הזנה לתנאי סף'!$N$31:$N$500)&gt;0,1,0))</f>
        <v>0</v>
      </c>
      <c r="F262" s="109"/>
      <c r="G262" s="109"/>
      <c r="H262" s="213" t="str">
        <f t="shared" si="7"/>
        <v/>
      </c>
    </row>
    <row r="263" spans="1:8" ht="15.75" x14ac:dyDescent="0.2">
      <c r="A263" s="206">
        <f t="shared" si="6"/>
        <v>233</v>
      </c>
      <c r="B263" s="88">
        <f>IF('הזנה לסיווג רשויות'!B234="","",'הזנה לסיווג רשויות'!B234)</f>
        <v>542</v>
      </c>
      <c r="C263" s="88">
        <f>IF('הזנה לסיווג רשויות'!C234="","",'הזנה לסיווג רשויות'!C234)</f>
        <v>20000071</v>
      </c>
      <c r="D263" s="88" t="str">
        <f>IF('הזנה לסיווג רשויות'!D234="","",'הזנה לסיווג רשויות'!D234)</f>
        <v>ריינה</v>
      </c>
      <c r="E263" s="88">
        <f>IF(D263="","",IF(SUMIF('הזנה לתנאי סף'!$F$31:$F$500,C263,'הזנה לתנאי סף'!$N$31:$N$500)&gt;0,1,0))</f>
        <v>0</v>
      </c>
      <c r="F263" s="109"/>
      <c r="G263" s="109"/>
      <c r="H263" s="213" t="str">
        <f t="shared" si="7"/>
        <v/>
      </c>
    </row>
    <row r="264" spans="1:8" ht="15.75" x14ac:dyDescent="0.2">
      <c r="A264" s="206">
        <f t="shared" si="6"/>
        <v>234</v>
      </c>
      <c r="B264" s="88">
        <f>IF('הזנה לסיווג רשויות'!B235="","",'הזנה לסיווג רשויות'!B235)</f>
        <v>922</v>
      </c>
      <c r="C264" s="88">
        <f>IF('הזנה לסיווג רשויות'!C235="","",'הזנה לסיווג רשויות'!C235)</f>
        <v>20000088</v>
      </c>
      <c r="D264" s="88" t="str">
        <f>IF('הזנה לסיווג רשויות'!D235="","",'הזנה לסיווג רשויות'!D235)</f>
        <v>רכסים</v>
      </c>
      <c r="E264" s="88">
        <f>IF(D264="","",IF(SUMIF('הזנה לתנאי סף'!$F$31:$F$500,C264,'הזנה לתנאי סף'!$N$31:$N$500)&gt;0,1,0))</f>
        <v>0</v>
      </c>
      <c r="F264" s="109"/>
      <c r="G264" s="109"/>
      <c r="H264" s="213" t="str">
        <f t="shared" si="7"/>
        <v/>
      </c>
    </row>
    <row r="265" spans="1:8" ht="15.75" x14ac:dyDescent="0.2">
      <c r="A265" s="206">
        <f t="shared" si="6"/>
        <v>235</v>
      </c>
      <c r="B265" s="88">
        <f>IF('הזנה לסיווג רשויות'!B236="","",'הזנה לסיווג רשויות'!B236)</f>
        <v>8500</v>
      </c>
      <c r="C265" s="88">
        <f>IF('הזנה לסיווג רשויות'!C236="","",'הזנה לסיווג רשויות'!C236)</f>
        <v>20000249</v>
      </c>
      <c r="D265" s="88" t="str">
        <f>IF('הזנה לסיווג רשויות'!D236="","",'הזנה לסיווג רשויות'!D236)</f>
        <v>רמלה</v>
      </c>
      <c r="E265" s="88">
        <f>IF(D265="","",IF(SUMIF('הזנה לתנאי סף'!$F$31:$F$500,C265,'הזנה לתנאי סף'!$N$31:$N$500)&gt;0,1,0))</f>
        <v>0</v>
      </c>
      <c r="F265" s="109"/>
      <c r="G265" s="109"/>
      <c r="H265" s="213" t="str">
        <f t="shared" si="7"/>
        <v/>
      </c>
    </row>
    <row r="266" spans="1:8" ht="15.75" x14ac:dyDescent="0.2">
      <c r="A266" s="206">
        <f t="shared" si="6"/>
        <v>236</v>
      </c>
      <c r="B266" s="88">
        <f>IF('הזנה לסיווג רשויות'!B237="","",'הזנה לסיווג רשויות'!B237)</f>
        <v>8600</v>
      </c>
      <c r="C266" s="88">
        <f>IF('הזנה לסיווג רשויות'!C237="","",'הזנה לסיווג רשויות'!C237)</f>
        <v>20000250</v>
      </c>
      <c r="D266" s="88" t="str">
        <f>IF('הזנה לסיווג רשויות'!D237="","",'הזנה לסיווג רשויות'!D237)</f>
        <v>רמת גן</v>
      </c>
      <c r="E266" s="88">
        <f>IF(D266="","",IF(SUMIF('הזנה לתנאי סף'!$F$31:$F$500,C266,'הזנה לתנאי סף'!$N$31:$N$500)&gt;0,1,0))</f>
        <v>0</v>
      </c>
      <c r="F266" s="109"/>
      <c r="G266" s="109"/>
      <c r="H266" s="213" t="str">
        <f t="shared" si="7"/>
        <v/>
      </c>
    </row>
    <row r="267" spans="1:8" ht="15.75" x14ac:dyDescent="0.2">
      <c r="A267" s="206">
        <f t="shared" si="6"/>
        <v>237</v>
      </c>
      <c r="B267" s="88">
        <f>IF('הזנה לסיווג רשויות'!B238="","",'הזנה לסיווג רשויות'!B238)</f>
        <v>2650</v>
      </c>
      <c r="C267" s="88">
        <f>IF('הזנה לסיווג רשויות'!C238="","",'הזנה לסיווג רשויות'!C238)</f>
        <v>20000152</v>
      </c>
      <c r="D267" s="88" t="str">
        <f>IF('הזנה לסיווג רשויות'!D238="","",'הזנה לסיווג רשויות'!D238)</f>
        <v>רמת השרון</v>
      </c>
      <c r="E267" s="88">
        <f>IF(D267="","",IF(SUMIF('הזנה לתנאי סף'!$F$31:$F$500,C267,'הזנה לתנאי סף'!$N$31:$N$500)&gt;0,1,0))</f>
        <v>0</v>
      </c>
      <c r="F267" s="109"/>
      <c r="G267" s="109"/>
      <c r="H267" s="213" t="str">
        <f t="shared" si="7"/>
        <v/>
      </c>
    </row>
    <row r="268" spans="1:8" ht="15.75" x14ac:dyDescent="0.2">
      <c r="A268" s="206">
        <f t="shared" si="6"/>
        <v>238</v>
      </c>
      <c r="B268" s="88">
        <f>IF('הזנה לסיווג רשויות'!B239="","",'הזנה לסיווג רשויות'!B239)</f>
        <v>122</v>
      </c>
      <c r="C268" s="88">
        <f>IF('הזנה לסיווג רשויות'!C239="","",'הזנה לסיווג רשויות'!C239)</f>
        <v>20000016</v>
      </c>
      <c r="D268" s="88" t="str">
        <f>IF('הזנה לסיווג רשויות'!D239="","",'הזנה לסיווג רשויות'!D239)</f>
        <v>רמת ישי</v>
      </c>
      <c r="E268" s="88">
        <f>IF(D268="","",IF(SUMIF('הזנה לתנאי סף'!$F$31:$F$500,C268,'הזנה לתנאי סף'!$N$31:$N$500)&gt;0,1,0))</f>
        <v>0</v>
      </c>
      <c r="F268" s="109"/>
      <c r="G268" s="109"/>
      <c r="H268" s="213" t="str">
        <f t="shared" si="7"/>
        <v/>
      </c>
    </row>
    <row r="269" spans="1:8" ht="15.75" x14ac:dyDescent="0.2">
      <c r="A269" s="206">
        <f t="shared" si="6"/>
        <v>239</v>
      </c>
      <c r="B269" s="88">
        <f>IF('הזנה לסיווג רשויות'!B240="","",'הזנה לסיווג רשויות'!B240)</f>
        <v>48</v>
      </c>
      <c r="C269" s="88">
        <f>IF('הזנה לסיווג רשויות'!C240="","",'הזנה לסיווג רשויות'!C240)</f>
        <v>20000216</v>
      </c>
      <c r="D269" s="88" t="str">
        <f>IF('הזנה לסיווג רשויות'!D240="","",'הזנה לסיווג רשויות'!D240)</f>
        <v>רמת נגב</v>
      </c>
      <c r="E269" s="88">
        <f>IF(D269="","",IF(SUMIF('הזנה לתנאי סף'!$F$31:$F$500,C269,'הזנה לתנאי סף'!$N$31:$N$500)&gt;0,1,0))</f>
        <v>0</v>
      </c>
      <c r="F269" s="109"/>
      <c r="G269" s="109"/>
      <c r="H269" s="213" t="str">
        <f t="shared" si="7"/>
        <v/>
      </c>
    </row>
    <row r="270" spans="1:8" ht="15.75" x14ac:dyDescent="0.2">
      <c r="A270" s="206">
        <f t="shared" si="6"/>
        <v>240</v>
      </c>
      <c r="B270" s="88">
        <f>IF('הזנה לסיווג רשויות'!B241="","",'הזנה לסיווג רשויות'!B241)</f>
        <v>8700</v>
      </c>
      <c r="C270" s="88">
        <f>IF('הזנה לסיווג רשויות'!C241="","",'הזנה לסיווג רשויות'!C241)</f>
        <v>20000251</v>
      </c>
      <c r="D270" s="88" t="str">
        <f>IF('הזנה לסיווג רשויות'!D241="","",'הזנה לסיווג רשויות'!D241)</f>
        <v>רעננה</v>
      </c>
      <c r="E270" s="88">
        <f>IF(D270="","",IF(SUMIF('הזנה לתנאי סף'!$F$31:$F$500,C270,'הזנה לתנאי סף'!$N$31:$N$500)&gt;0,1,0))</f>
        <v>0</v>
      </c>
      <c r="F270" s="109"/>
      <c r="G270" s="109"/>
      <c r="H270" s="213" t="str">
        <f t="shared" si="7"/>
        <v/>
      </c>
    </row>
    <row r="271" spans="1:8" ht="15.75" x14ac:dyDescent="0.2">
      <c r="A271" s="206">
        <f t="shared" si="6"/>
        <v>241</v>
      </c>
      <c r="B271" s="88">
        <f>IF('הזנה לסיווג רשויות'!B242="","",'הזנה לסיווג רשויות'!B242)</f>
        <v>913</v>
      </c>
      <c r="C271" s="88">
        <f>IF('הזנה לסיווג רשויות'!C242="","",'הזנה לסיווג רשויות'!C242)</f>
        <v>20000087</v>
      </c>
      <c r="D271" s="88" t="str">
        <f>IF('הזנה לסיווג רשויות'!D242="","",'הזנה לסיווג רשויות'!D242)</f>
        <v>שבלי - אום אל-גנם</v>
      </c>
      <c r="E271" s="88">
        <f>IF(D271="","",IF(SUMIF('הזנה לתנאי סף'!$F$31:$F$500,C271,'הזנה לתנאי סף'!$N$31:$N$500)&gt;0,1,0))</f>
        <v>0</v>
      </c>
      <c r="F271" s="109"/>
      <c r="G271" s="109"/>
      <c r="H271" s="213" t="str">
        <f t="shared" si="7"/>
        <v/>
      </c>
    </row>
    <row r="272" spans="1:8" ht="15.75" x14ac:dyDescent="0.2">
      <c r="A272" s="206">
        <f t="shared" si="6"/>
        <v>242</v>
      </c>
      <c r="B272" s="88">
        <f>IF('הזנה לסיווג רשויות'!B243="","",'הזנה לסיווג רשויות'!B243)</f>
        <v>1286</v>
      </c>
      <c r="C272" s="88">
        <f>IF('הזנה לסיווג רשויות'!C243="","",'הזנה לסיווג רשויות'!C243)</f>
        <v>20000114</v>
      </c>
      <c r="D272" s="88" t="str">
        <f>IF('הזנה לסיווג רשויות'!D243="","",'הזנה לסיווג רשויות'!D243)</f>
        <v>שגב-שלום</v>
      </c>
      <c r="E272" s="88">
        <f>IF(D272="","",IF(SUMIF('הזנה לתנאי סף'!$F$31:$F$500,C272,'הזנה לתנאי סף'!$N$31:$N$500)&gt;0,1,0))</f>
        <v>0</v>
      </c>
      <c r="F272" s="109"/>
      <c r="G272" s="109"/>
      <c r="H272" s="213" t="str">
        <f t="shared" si="7"/>
        <v/>
      </c>
    </row>
    <row r="273" spans="1:8" ht="15.75" x14ac:dyDescent="0.2">
      <c r="A273" s="206">
        <f t="shared" si="6"/>
        <v>243</v>
      </c>
      <c r="B273" s="88">
        <f>IF('הזנה לסיווג רשויות'!B244="","",'הזנה לסיווג רשויות'!B244)</f>
        <v>39</v>
      </c>
      <c r="C273" s="88">
        <f>IF('הזנה לסיווג רשויות'!C244="","",'הזנה לסיווג רשויות'!C244)</f>
        <v>20000213</v>
      </c>
      <c r="D273" s="88" t="str">
        <f>IF('הזנה לסיווג רשויות'!D244="","",'הזנה לסיווג רשויות'!D244)</f>
        <v>שדות נגב</v>
      </c>
      <c r="E273" s="88">
        <f>IF(D273="","",IF(SUMIF('הזנה לתנאי סף'!$F$31:$F$500,C273,'הזנה לתנאי סף'!$N$31:$N$500)&gt;0,1,0))</f>
        <v>0</v>
      </c>
      <c r="F273" s="109"/>
      <c r="G273" s="109"/>
      <c r="H273" s="213" t="str">
        <f t="shared" si="7"/>
        <v/>
      </c>
    </row>
    <row r="274" spans="1:8" ht="15.75" x14ac:dyDescent="0.2">
      <c r="A274" s="206">
        <f t="shared" si="6"/>
        <v>244</v>
      </c>
      <c r="B274" s="88">
        <f>IF('הזנה לסיווג רשויות'!B245="","",'הזנה לסיווג רשויות'!B245)</f>
        <v>1031</v>
      </c>
      <c r="C274" s="88">
        <f>IF('הזנה לסיווג רשויות'!C245="","",'הזנה לסיווג רשויות'!C245)</f>
        <v>20000096</v>
      </c>
      <c r="D274" s="88" t="str">
        <f>IF('הזנה לסיווג רשויות'!D245="","",'הזנה לסיווג רשויות'!D245)</f>
        <v>שדרות</v>
      </c>
      <c r="E274" s="88">
        <f>IF(D274="","",IF(SUMIF('הזנה לתנאי סף'!$F$31:$F$500,C274,'הזנה לתנאי סף'!$N$31:$N$500)&gt;0,1,0))</f>
        <v>0</v>
      </c>
      <c r="F274" s="109"/>
      <c r="G274" s="109"/>
      <c r="H274" s="213" t="str">
        <f t="shared" si="7"/>
        <v/>
      </c>
    </row>
    <row r="275" spans="1:8" ht="15.75" x14ac:dyDescent="0.2">
      <c r="A275" s="206">
        <f t="shared" si="6"/>
        <v>245</v>
      </c>
      <c r="B275" s="88">
        <f>IF('הזנה לסיווג רשויות'!B246="","",'הזנה לסיווג רשויות'!B246)</f>
        <v>1304</v>
      </c>
      <c r="C275" s="88">
        <f>IF('הזנה לסיווג רשויות'!C246="","",'הזנה לסיווג רשויות'!C246)</f>
        <v>20000120</v>
      </c>
      <c r="D275" s="88" t="str">
        <f>IF('הזנה לסיווג רשויות'!D246="","",'הזנה לסיווג רשויות'!D246)</f>
        <v>שוהם</v>
      </c>
      <c r="E275" s="88">
        <f>IF(D275="","",IF(SUMIF('הזנה לתנאי סף'!$F$31:$F$500,C275,'הזנה לתנאי סף'!$N$31:$N$500)&gt;0,1,0))</f>
        <v>0</v>
      </c>
      <c r="F275" s="109"/>
      <c r="G275" s="109"/>
      <c r="H275" s="213" t="str">
        <f t="shared" si="7"/>
        <v/>
      </c>
    </row>
    <row r="276" spans="1:8" ht="15.75" x14ac:dyDescent="0.2">
      <c r="A276" s="206">
        <f t="shared" si="6"/>
        <v>246</v>
      </c>
      <c r="B276" s="88">
        <f>IF('הזנה לסיווג רשויות'!B247="","",'הזנה לסיווג רשויות'!B247)</f>
        <v>72</v>
      </c>
      <c r="C276" s="88">
        <f>IF('הזנה לסיווג רשויות'!C247="","",'הזנה לסיווג רשויות'!C247)</f>
        <v>20000232</v>
      </c>
      <c r="D276" s="88" t="str">
        <f>IF('הזנה לסיווג רשויות'!D247="","",'הזנה לסיווג רשויות'!D247)</f>
        <v>שומרון</v>
      </c>
      <c r="E276" s="88">
        <f>IF(D276="","",IF(SUMIF('הזנה לתנאי סף'!$F$31:$F$500,C276,'הזנה לתנאי סף'!$N$31:$N$500)&gt;0,1,0))</f>
        <v>0</v>
      </c>
      <c r="F276" s="109"/>
      <c r="G276" s="109"/>
      <c r="H276" s="213" t="str">
        <f t="shared" si="7"/>
        <v/>
      </c>
    </row>
    <row r="277" spans="1:8" ht="15.75" x14ac:dyDescent="0.2">
      <c r="A277" s="206">
        <f t="shared" si="6"/>
        <v>247</v>
      </c>
      <c r="B277" s="88">
        <f>IF('הזנה לסיווג רשויות'!B248="","",'הזנה לסיווג רשויות'!B248)</f>
        <v>812</v>
      </c>
      <c r="C277" s="88">
        <f>IF('הזנה לסיווג רשויות'!C248="","",'הזנה לסיווג רשויות'!C248)</f>
        <v>20000084</v>
      </c>
      <c r="D277" s="88" t="str">
        <f>IF('הזנה לסיווג רשויות'!D248="","",'הזנה לסיווג רשויות'!D248)</f>
        <v>שלומי</v>
      </c>
      <c r="E277" s="88">
        <f>IF(D277="","",IF(SUMIF('הזנה לתנאי סף'!$F$31:$F$500,C277,'הזנה לתנאי סף'!$N$31:$N$500)&gt;0,1,0))</f>
        <v>0</v>
      </c>
      <c r="F277" s="109"/>
      <c r="G277" s="109"/>
      <c r="H277" s="213" t="str">
        <f t="shared" si="7"/>
        <v/>
      </c>
    </row>
    <row r="278" spans="1:8" ht="15.75" x14ac:dyDescent="0.2">
      <c r="A278" s="206">
        <f t="shared" si="6"/>
        <v>248</v>
      </c>
      <c r="B278" s="88">
        <f>IF('הזנה לסיווג רשויות'!B249="","",'הזנה לסיווג רשויות'!B249)</f>
        <v>538</v>
      </c>
      <c r="C278" s="88">
        <f>IF('הזנה לסיווג רשויות'!C249="","",'הזנה לסיווג רשויות'!C249)</f>
        <v>20000069</v>
      </c>
      <c r="D278" s="88" t="str">
        <f>IF('הזנה לסיווג רשויות'!D249="","",'הזנה לסיווג רשויות'!D249)</f>
        <v>שעב</v>
      </c>
      <c r="E278" s="88">
        <f>IF(D278="","",IF(SUMIF('הזנה לתנאי סף'!$F$31:$F$500,C278,'הזנה לתנאי סף'!$N$31:$N$500)&gt;0,1,0))</f>
        <v>0</v>
      </c>
      <c r="F278" s="109"/>
      <c r="G278" s="109"/>
      <c r="H278" s="213" t="str">
        <f t="shared" si="7"/>
        <v/>
      </c>
    </row>
    <row r="279" spans="1:8" ht="15.75" x14ac:dyDescent="0.2">
      <c r="A279" s="206">
        <f t="shared" si="6"/>
        <v>249</v>
      </c>
      <c r="B279" s="88">
        <f>IF('הזנה לסיווג רשויות'!B250="","",'הזנה לסיווג רשויות'!B250)</f>
        <v>37</v>
      </c>
      <c r="C279" s="88">
        <f>IF('הזנה לסיווג רשויות'!C250="","",'הזנה לסיווג רשויות'!C250)</f>
        <v>20000209</v>
      </c>
      <c r="D279" s="88" t="str">
        <f>IF('הזנה לסיווג רשויות'!D250="","",'הזנה לסיווג רשויות'!D250)</f>
        <v>שער הנגב</v>
      </c>
      <c r="E279" s="88">
        <f>IF(D279="","",IF(SUMIF('הזנה לתנאי סף'!$F$31:$F$500,C279,'הזנה לתנאי סף'!$N$31:$N$500)&gt;0,1,0))</f>
        <v>0</v>
      </c>
      <c r="F279" s="109"/>
      <c r="G279" s="109"/>
      <c r="H279" s="213" t="str">
        <f t="shared" si="7"/>
        <v/>
      </c>
    </row>
    <row r="280" spans="1:8" ht="15.75" x14ac:dyDescent="0.2">
      <c r="A280" s="206">
        <f t="shared" si="6"/>
        <v>250</v>
      </c>
      <c r="B280" s="88">
        <f>IF('הזנה לסיווג רשויות'!B251="","",'הזנה לסיווג רשויות'!B251)</f>
        <v>34</v>
      </c>
      <c r="C280" s="88">
        <f>IF('הזנה לסיווג רשויות'!C251="","",'הזנה לסיווג רשויות'!C251)</f>
        <v>20000206</v>
      </c>
      <c r="D280" s="88" t="str">
        <f>IF('הזנה לסיווג רשויות'!D251="","",'הזנה לסיווג רשויות'!D251)</f>
        <v>שפיר</v>
      </c>
      <c r="E280" s="88">
        <f>IF(D280="","",IF(SUMIF('הזנה לתנאי סף'!$F$31:$F$500,C280,'הזנה לתנאי סף'!$N$31:$N$500)&gt;0,1,0))</f>
        <v>0</v>
      </c>
      <c r="F280" s="109"/>
      <c r="G280" s="109"/>
      <c r="H280" s="213" t="str">
        <f t="shared" si="7"/>
        <v/>
      </c>
    </row>
    <row r="281" spans="1:8" ht="15.75" x14ac:dyDescent="0.2">
      <c r="A281" s="206">
        <f t="shared" si="6"/>
        <v>251</v>
      </c>
      <c r="B281" s="88">
        <f>IF('הזנה לסיווג רשויות'!B252="","",'הזנה לסיווג רשויות'!B252)</f>
        <v>8800</v>
      </c>
      <c r="C281" s="88">
        <f>IF('הזנה לסיווג רשויות'!C252="","",'הזנה לסיווג רשויות'!C252)</f>
        <v>20000252</v>
      </c>
      <c r="D281" s="88" t="str">
        <f>IF('הזנה לסיווג רשויות'!D252="","",'הזנה לסיווג רשויות'!D252)</f>
        <v>שפרעם</v>
      </c>
      <c r="E281" s="88">
        <f>IF(D281="","",IF(SUMIF('הזנה לתנאי סף'!$F$31:$F$500,C281,'הזנה לתנאי סף'!$N$31:$N$500)&gt;0,1,0))</f>
        <v>0</v>
      </c>
      <c r="F281" s="109"/>
      <c r="G281" s="109"/>
      <c r="H281" s="213" t="str">
        <f t="shared" si="7"/>
        <v/>
      </c>
    </row>
    <row r="282" spans="1:8" ht="15.75" x14ac:dyDescent="0.2">
      <c r="A282" s="206">
        <f t="shared" si="6"/>
        <v>252</v>
      </c>
      <c r="B282" s="88">
        <f>IF('הזנה לסיווג רשויות'!B253="","",'הזנה לסיווג רשויות'!B253)</f>
        <v>5000</v>
      </c>
      <c r="C282" s="88">
        <f>IF('הזנה לסיווג רשויות'!C253="","",'הזנה לסיווג רשויות'!C253)</f>
        <v>20000201</v>
      </c>
      <c r="D282" s="88" t="str">
        <f>IF('הזנה לסיווג רשויות'!D253="","",'הזנה לסיווג רשויות'!D253)</f>
        <v>תל אביב -יפו</v>
      </c>
      <c r="E282" s="88">
        <f>IF(D282="","",IF(SUMIF('הזנה לתנאי סף'!$F$31:$F$500,C282,'הזנה לתנאי סף'!$N$31:$N$500)&gt;0,1,0))</f>
        <v>1</v>
      </c>
      <c r="F282" s="109">
        <v>105445874</v>
      </c>
      <c r="G282" s="109">
        <v>121441000</v>
      </c>
      <c r="H282" s="213">
        <f t="shared" si="7"/>
        <v>15995126</v>
      </c>
    </row>
    <row r="283" spans="1:8" ht="15.75" x14ac:dyDescent="0.2">
      <c r="A283" s="206">
        <f t="shared" si="6"/>
        <v>253</v>
      </c>
      <c r="B283" s="88">
        <f>IF('הזנה לסיווג רשויות'!B254="","",'הזנה לסיווג רשויות'!B254)</f>
        <v>154</v>
      </c>
      <c r="C283" s="88">
        <f>IF('הזנה לסיווג רשויות'!C254="","",'הזנה לסיווג רשויות'!C254)</f>
        <v>20000017</v>
      </c>
      <c r="D283" s="88" t="str">
        <f>IF('הזנה לסיווג רשויות'!D254="","",'הזנה לסיווג רשויות'!D254)</f>
        <v>תל מונד</v>
      </c>
      <c r="E283" s="88">
        <f>IF(D283="","",IF(SUMIF('הזנה לתנאי סף'!$F$31:$F$500,C283,'הזנה לתנאי סף'!$N$31:$N$500)&gt;0,1,0))</f>
        <v>0</v>
      </c>
      <c r="F283" s="109"/>
      <c r="G283" s="109"/>
      <c r="H283" s="213" t="str">
        <f t="shared" si="7"/>
        <v/>
      </c>
    </row>
    <row r="284" spans="1:8" ht="15.75" x14ac:dyDescent="0.2">
      <c r="A284" s="206">
        <f t="shared" si="6"/>
        <v>254</v>
      </c>
      <c r="B284" s="88">
        <f>IF('הזנה לסיווג רשויות'!B255="","",'הזנה לסיווג רשויות'!B255)</f>
        <v>1054</v>
      </c>
      <c r="C284" s="88">
        <f>IF('הזנה לסיווג רשויות'!C255="","",'הזנה לסיווג רשויות'!C255)</f>
        <v>20000098</v>
      </c>
      <c r="D284" s="88" t="str">
        <f>IF('הזנה לסיווג רשויות'!D255="","",'הזנה לסיווג רשויות'!D255)</f>
        <v>תל שבע</v>
      </c>
      <c r="E284" s="88">
        <f>IF(D284="","",IF(SUMIF('הזנה לתנאי סף'!$F$31:$F$500,C284,'הזנה לתנאי סף'!$N$31:$N$500)&gt;0,1,0))</f>
        <v>0</v>
      </c>
      <c r="F284" s="109"/>
      <c r="G284" s="109"/>
      <c r="H284" s="213" t="str">
        <f t="shared" si="7"/>
        <v/>
      </c>
    </row>
    <row r="285" spans="1:8" ht="15.75" x14ac:dyDescent="0.2">
      <c r="A285" s="206">
        <f t="shared" si="6"/>
        <v>255</v>
      </c>
      <c r="B285" s="88">
        <f>IF('הזנה לסיווג רשויות'!B256="","",'הזנה לסיווג רשויות'!B256)</f>
        <v>51</v>
      </c>
      <c r="C285" s="88">
        <f>IF('הזנה לסיווג רשויות'!C256="","",'הזנה לסיווג רשויות'!C256)</f>
        <v>20000217</v>
      </c>
      <c r="D285" s="88" t="str">
        <f>IF('הזנה לסיווג רשויות'!D256="","",'הזנה לסיווג רשויות'!D256)</f>
        <v>תמר</v>
      </c>
      <c r="E285" s="88">
        <f>IF(D285="","",IF(SUMIF('הזנה לתנאי סף'!$F$31:$F$500,C285,'הזנה לתנאי סף'!$N$31:$N$500)&gt;0,1,0))</f>
        <v>0</v>
      </c>
      <c r="F285" s="109"/>
      <c r="G285" s="109"/>
      <c r="H285" s="213" t="str">
        <f t="shared" si="7"/>
        <v/>
      </c>
    </row>
    <row r="286" spans="1:8" ht="15.75" x14ac:dyDescent="0.2">
      <c r="A286" s="206">
        <f t="shared" si="6"/>
        <v>256</v>
      </c>
      <c r="B286" s="88">
        <f>IF('הזנה לסיווג רשויות'!B257="","",'הזנה לסיווג רשויות'!B257)</f>
        <v>3</v>
      </c>
      <c r="C286" s="88">
        <f>IF('הזנה לסיווג רשויות'!C257="","",'הזנה לסיווג רשויות'!C257)</f>
        <v>20000467</v>
      </c>
      <c r="D286" s="88" t="str">
        <f>IF('הזנה לסיווג רשויות'!D257="","",'הזנה לסיווג רשויות'!D257)</f>
        <v>מנהלת מוניציפלית חברון</v>
      </c>
      <c r="E286" s="88">
        <f>IF(D286="","",IF(SUMIF('הזנה לתנאי סף'!$F$31:$F$500,C286,'הזנה לתנאי סף'!$N$31:$N$500)&gt;0,1,0))</f>
        <v>0</v>
      </c>
      <c r="F286" s="109"/>
      <c r="G286" s="109"/>
      <c r="H286" s="213" t="str">
        <f t="shared" si="7"/>
        <v/>
      </c>
    </row>
    <row r="287" spans="1:8" ht="15.75" x14ac:dyDescent="0.2">
      <c r="A287" s="206" t="str">
        <f t="shared" si="6"/>
        <v/>
      </c>
      <c r="B287" s="88" t="str">
        <f>IF('הזנה לסיווג רשויות'!B258="","",'הזנה לסיווג רשויות'!B258)</f>
        <v/>
      </c>
      <c r="C287" s="88" t="str">
        <f>IF('הזנה לסיווג רשויות'!C258="","",'הזנה לסיווג רשויות'!C258)</f>
        <v/>
      </c>
      <c r="D287" s="88" t="str">
        <f>IF('הזנה לסיווג רשויות'!D258="","",'הזנה לסיווג רשויות'!D258)</f>
        <v/>
      </c>
      <c r="E287" s="88" t="str">
        <f>IF(D287="","",IF(SUMIF('הזנה לתנאי סף'!$F$31:$F$500,C287,'הזנה לתנאי סף'!$N$31:$N$500)&gt;0,1,0))</f>
        <v/>
      </c>
      <c r="F287" s="109"/>
      <c r="G287" s="109"/>
      <c r="H287" s="213" t="str">
        <f t="shared" si="7"/>
        <v/>
      </c>
    </row>
    <row r="288" spans="1:8" ht="15.75" x14ac:dyDescent="0.2">
      <c r="A288" s="206" t="str">
        <f t="shared" ref="A288:A330" si="8">IF(C288="","",ROW()-30)</f>
        <v/>
      </c>
      <c r="B288" s="88" t="str">
        <f>IF('הזנה לסיווג רשויות'!B259="","",'הזנה לסיווג רשויות'!B259)</f>
        <v/>
      </c>
      <c r="C288" s="88" t="str">
        <f>IF('הזנה לסיווג רשויות'!C259="","",'הזנה לסיווג רשויות'!C259)</f>
        <v/>
      </c>
      <c r="D288" s="88" t="str">
        <f>IF('הזנה לסיווג רשויות'!D259="","",'הזנה לסיווג רשויות'!D259)</f>
        <v/>
      </c>
      <c r="E288" s="88" t="str">
        <f>IF(D288="","",IF(SUMIF('הזנה לתנאי סף'!$F$31:$F$500,C288,'הזנה לתנאי סף'!$N$31:$N$500)&gt;0,1,0))</f>
        <v/>
      </c>
      <c r="F288" s="109"/>
      <c r="G288" s="109"/>
      <c r="H288" s="213" t="str">
        <f t="shared" ref="H288:H330" si="9">IF(E288=1,IF(OR(F288="",G288=""),$J$2,IF(G288&gt;=F288,G288-F288,"")),"")</f>
        <v/>
      </c>
    </row>
    <row r="289" spans="1:8" ht="16.5" thickBot="1" x14ac:dyDescent="0.25">
      <c r="A289" s="206" t="str">
        <f t="shared" si="8"/>
        <v/>
      </c>
      <c r="B289" s="88" t="str">
        <f>IF('הזנה לסיווג רשויות'!B260="","",'הזנה לסיווג רשויות'!B260)</f>
        <v/>
      </c>
      <c r="C289" s="88" t="str">
        <f>IF('הזנה לסיווג רשויות'!C260="","",'הזנה לסיווג רשויות'!C260)</f>
        <v/>
      </c>
      <c r="D289" s="88" t="str">
        <f>IF('הזנה לסיווג רשויות'!D260="","",'הזנה לסיווג רשויות'!D260)</f>
        <v/>
      </c>
      <c r="E289" s="88" t="str">
        <f>IF(D289="","",IF(SUMIF('הזנה לתנאי סף'!$F$31:$F$500,C289,'הזנה לתנאי סף'!$N$31:$N$500)&gt;0,1,0))</f>
        <v/>
      </c>
      <c r="F289" s="109"/>
      <c r="G289" s="109"/>
      <c r="H289" s="213" t="str">
        <f t="shared" si="9"/>
        <v/>
      </c>
    </row>
    <row r="290" spans="1:8" ht="15.75" hidden="1" x14ac:dyDescent="0.2">
      <c r="A290" s="206" t="str">
        <f t="shared" si="8"/>
        <v/>
      </c>
      <c r="B290" s="88" t="str">
        <f>IF('הזנה לסיווג רשויות'!B261="","",'הזנה לסיווג רשויות'!B261)</f>
        <v/>
      </c>
      <c r="C290" s="88" t="str">
        <f>IF('הזנה לסיווג רשויות'!C261="","",'הזנה לסיווג רשויות'!C261)</f>
        <v/>
      </c>
      <c r="D290" s="88" t="str">
        <f>IF('הזנה לסיווג רשויות'!D261="","",'הזנה לסיווג רשויות'!D261)</f>
        <v/>
      </c>
      <c r="E290" s="88" t="str">
        <f>IF(D290="","",IF(SUMIF('הזנה לתנאי סף'!$F$31:$F$500,C290,'הזנה לתנאי סף'!$N$31:$N$500)&gt;0,1,0))</f>
        <v/>
      </c>
      <c r="F290" s="109"/>
      <c r="G290" s="109"/>
      <c r="H290" s="213" t="str">
        <f t="shared" si="9"/>
        <v/>
      </c>
    </row>
    <row r="291" spans="1:8" ht="15.75" hidden="1" x14ac:dyDescent="0.2">
      <c r="A291" s="206" t="str">
        <f t="shared" si="8"/>
        <v/>
      </c>
      <c r="B291" s="88" t="str">
        <f>IF('הזנה לסיווג רשויות'!B262="","",'הזנה לסיווג רשויות'!B262)</f>
        <v/>
      </c>
      <c r="C291" s="88" t="str">
        <f>IF('הזנה לסיווג רשויות'!C262="","",'הזנה לסיווג רשויות'!C262)</f>
        <v/>
      </c>
      <c r="D291" s="88" t="str">
        <f>IF('הזנה לסיווג רשויות'!D262="","",'הזנה לסיווג רשויות'!D262)</f>
        <v/>
      </c>
      <c r="E291" s="88" t="str">
        <f>IF(D291="","",IF(SUMIF('הזנה לתנאי סף'!$F$31:$F$500,C291,'הזנה לתנאי סף'!$N$31:$N$500)&gt;0,1,0))</f>
        <v/>
      </c>
      <c r="F291" s="109"/>
      <c r="G291" s="109"/>
      <c r="H291" s="213" t="str">
        <f t="shared" si="9"/>
        <v/>
      </c>
    </row>
    <row r="292" spans="1:8" ht="15.75" hidden="1" x14ac:dyDescent="0.2">
      <c r="A292" s="206" t="str">
        <f t="shared" si="8"/>
        <v/>
      </c>
      <c r="B292" s="88" t="str">
        <f>IF('הזנה לסיווג רשויות'!B263="","",'הזנה לסיווג רשויות'!B263)</f>
        <v/>
      </c>
      <c r="C292" s="88" t="str">
        <f>IF('הזנה לסיווג רשויות'!C263="","",'הזנה לסיווג רשויות'!C263)</f>
        <v/>
      </c>
      <c r="D292" s="88" t="str">
        <f>IF('הזנה לסיווג רשויות'!D263="","",'הזנה לסיווג רשויות'!D263)</f>
        <v/>
      </c>
      <c r="E292" s="88" t="str">
        <f>IF(D292="","",IF(SUMIF('הזנה לתנאי סף'!$F$31:$F$500,C292,'הזנה לתנאי סף'!$N$31:$N$500)&gt;0,1,0))</f>
        <v/>
      </c>
      <c r="F292" s="109"/>
      <c r="G292" s="109"/>
      <c r="H292" s="213" t="str">
        <f t="shared" si="9"/>
        <v/>
      </c>
    </row>
    <row r="293" spans="1:8" ht="15.75" hidden="1" x14ac:dyDescent="0.2">
      <c r="A293" s="206" t="str">
        <f t="shared" si="8"/>
        <v/>
      </c>
      <c r="B293" s="88" t="str">
        <f>IF('הזנה לסיווג רשויות'!B264="","",'הזנה לסיווג רשויות'!B264)</f>
        <v/>
      </c>
      <c r="C293" s="88" t="str">
        <f>IF('הזנה לסיווג רשויות'!C264="","",'הזנה לסיווג רשויות'!C264)</f>
        <v/>
      </c>
      <c r="D293" s="88" t="str">
        <f>IF('הזנה לסיווג רשויות'!D264="","",'הזנה לסיווג רשויות'!D264)</f>
        <v/>
      </c>
      <c r="E293" s="88" t="str">
        <f>IF(D293="","",IF(SUMIF('הזנה לתנאי סף'!$F$31:$F$500,C293,'הזנה לתנאי סף'!$N$31:$N$500)&gt;0,1,0))</f>
        <v/>
      </c>
      <c r="F293" s="109"/>
      <c r="G293" s="109"/>
      <c r="H293" s="213" t="str">
        <f t="shared" si="9"/>
        <v/>
      </c>
    </row>
    <row r="294" spans="1:8" ht="15.75" hidden="1" x14ac:dyDescent="0.2">
      <c r="A294" s="206" t="str">
        <f t="shared" si="8"/>
        <v/>
      </c>
      <c r="B294" s="88" t="str">
        <f>IF('הזנה לסיווג רשויות'!B265="","",'הזנה לסיווג רשויות'!B265)</f>
        <v/>
      </c>
      <c r="C294" s="88" t="str">
        <f>IF('הזנה לסיווג רשויות'!C265="","",'הזנה לסיווג רשויות'!C265)</f>
        <v/>
      </c>
      <c r="D294" s="88" t="str">
        <f>IF('הזנה לסיווג רשויות'!D265="","",'הזנה לסיווג רשויות'!D265)</f>
        <v/>
      </c>
      <c r="E294" s="88" t="str">
        <f>IF(D294="","",IF(SUMIF('הזנה לתנאי סף'!$F$31:$F$500,C294,'הזנה לתנאי סף'!$N$31:$N$500)&gt;0,1,0))</f>
        <v/>
      </c>
      <c r="F294" s="109"/>
      <c r="G294" s="109"/>
      <c r="H294" s="213" t="str">
        <f t="shared" si="9"/>
        <v/>
      </c>
    </row>
    <row r="295" spans="1:8" ht="15.75" hidden="1" x14ac:dyDescent="0.2">
      <c r="A295" s="206" t="str">
        <f t="shared" si="8"/>
        <v/>
      </c>
      <c r="B295" s="88" t="str">
        <f>IF('הזנה לסיווג רשויות'!B266="","",'הזנה לסיווג רשויות'!B266)</f>
        <v/>
      </c>
      <c r="C295" s="88" t="str">
        <f>IF('הזנה לסיווג רשויות'!C266="","",'הזנה לסיווג רשויות'!C266)</f>
        <v/>
      </c>
      <c r="D295" s="88" t="str">
        <f>IF('הזנה לסיווג רשויות'!D266="","",'הזנה לסיווג רשויות'!D266)</f>
        <v/>
      </c>
      <c r="E295" s="88" t="str">
        <f>IF(D295="","",IF(SUMIF('הזנה לתנאי סף'!$F$31:$F$500,C295,'הזנה לתנאי סף'!$N$31:$N$500)&gt;0,1,0))</f>
        <v/>
      </c>
      <c r="F295" s="109"/>
      <c r="G295" s="109"/>
      <c r="H295" s="213" t="str">
        <f t="shared" si="9"/>
        <v/>
      </c>
    </row>
    <row r="296" spans="1:8" ht="15.75" hidden="1" x14ac:dyDescent="0.2">
      <c r="A296" s="206" t="str">
        <f t="shared" si="8"/>
        <v/>
      </c>
      <c r="B296" s="88" t="str">
        <f>IF('הזנה לסיווג רשויות'!B267="","",'הזנה לסיווג רשויות'!B267)</f>
        <v/>
      </c>
      <c r="C296" s="88" t="str">
        <f>IF('הזנה לסיווג רשויות'!C267="","",'הזנה לסיווג רשויות'!C267)</f>
        <v/>
      </c>
      <c r="D296" s="88" t="str">
        <f>IF('הזנה לסיווג רשויות'!D267="","",'הזנה לסיווג רשויות'!D267)</f>
        <v/>
      </c>
      <c r="E296" s="88" t="str">
        <f>IF(D296="","",IF(SUMIF('הזנה לתנאי סף'!$F$31:$F$500,C296,'הזנה לתנאי סף'!$N$31:$N$500)&gt;0,1,0))</f>
        <v/>
      </c>
      <c r="F296" s="109"/>
      <c r="G296" s="109"/>
      <c r="H296" s="213" t="str">
        <f t="shared" si="9"/>
        <v/>
      </c>
    </row>
    <row r="297" spans="1:8" ht="15.75" hidden="1" x14ac:dyDescent="0.2">
      <c r="A297" s="206" t="str">
        <f t="shared" si="8"/>
        <v/>
      </c>
      <c r="B297" s="88" t="str">
        <f>IF('הזנה לסיווג רשויות'!B268="","",'הזנה לסיווג רשויות'!B268)</f>
        <v/>
      </c>
      <c r="C297" s="88" t="str">
        <f>IF('הזנה לסיווג רשויות'!C268="","",'הזנה לסיווג רשויות'!C268)</f>
        <v/>
      </c>
      <c r="D297" s="88" t="str">
        <f>IF('הזנה לסיווג רשויות'!D268="","",'הזנה לסיווג רשויות'!D268)</f>
        <v/>
      </c>
      <c r="E297" s="88" t="str">
        <f>IF(D297="","",IF(SUMIF('הזנה לתנאי סף'!$F$31:$F$500,C297,'הזנה לתנאי סף'!$N$31:$N$500)&gt;0,1,0))</f>
        <v/>
      </c>
      <c r="F297" s="109"/>
      <c r="G297" s="109"/>
      <c r="H297" s="213" t="str">
        <f t="shared" si="9"/>
        <v/>
      </c>
    </row>
    <row r="298" spans="1:8" ht="15.75" hidden="1" x14ac:dyDescent="0.2">
      <c r="A298" s="206" t="str">
        <f t="shared" si="8"/>
        <v/>
      </c>
      <c r="B298" s="88" t="str">
        <f>IF('הזנה לסיווג רשויות'!B269="","",'הזנה לסיווג רשויות'!B269)</f>
        <v/>
      </c>
      <c r="C298" s="88" t="str">
        <f>IF('הזנה לסיווג רשויות'!C269="","",'הזנה לסיווג רשויות'!C269)</f>
        <v/>
      </c>
      <c r="D298" s="88" t="str">
        <f>IF('הזנה לסיווג רשויות'!D269="","",'הזנה לסיווג רשויות'!D269)</f>
        <v/>
      </c>
      <c r="E298" s="88" t="str">
        <f>IF(D298="","",IF(SUMIF('הזנה לתנאי סף'!$F$31:$F$500,C298,'הזנה לתנאי סף'!$N$31:$N$500)&gt;0,1,0))</f>
        <v/>
      </c>
      <c r="F298" s="109"/>
      <c r="G298" s="109"/>
      <c r="H298" s="213" t="str">
        <f t="shared" si="9"/>
        <v/>
      </c>
    </row>
    <row r="299" spans="1:8" ht="15.75" hidden="1" x14ac:dyDescent="0.2">
      <c r="A299" s="206" t="str">
        <f t="shared" si="8"/>
        <v/>
      </c>
      <c r="B299" s="88" t="str">
        <f>IF('הזנה לסיווג רשויות'!B270="","",'הזנה לסיווג רשויות'!B270)</f>
        <v/>
      </c>
      <c r="C299" s="88" t="str">
        <f>IF('הזנה לסיווג רשויות'!C270="","",'הזנה לסיווג רשויות'!C270)</f>
        <v/>
      </c>
      <c r="D299" s="88" t="str">
        <f>IF('הזנה לסיווג רשויות'!D270="","",'הזנה לסיווג רשויות'!D270)</f>
        <v/>
      </c>
      <c r="E299" s="88" t="str">
        <f>IF(D299="","",IF(SUMIF('הזנה לתנאי סף'!$F$31:$F$500,C299,'הזנה לתנאי סף'!$N$31:$N$500)&gt;0,1,0))</f>
        <v/>
      </c>
      <c r="F299" s="109"/>
      <c r="G299" s="109"/>
      <c r="H299" s="213" t="str">
        <f t="shared" si="9"/>
        <v/>
      </c>
    </row>
    <row r="300" spans="1:8" ht="15.75" hidden="1" x14ac:dyDescent="0.2">
      <c r="A300" s="206" t="str">
        <f t="shared" si="8"/>
        <v/>
      </c>
      <c r="B300" s="88" t="str">
        <f>IF('הזנה לסיווג רשויות'!B271="","",'הזנה לסיווג רשויות'!B271)</f>
        <v/>
      </c>
      <c r="C300" s="88" t="str">
        <f>IF('הזנה לסיווג רשויות'!C271="","",'הזנה לסיווג רשויות'!C271)</f>
        <v/>
      </c>
      <c r="D300" s="88" t="str">
        <f>IF('הזנה לסיווג רשויות'!D271="","",'הזנה לסיווג רשויות'!D271)</f>
        <v/>
      </c>
      <c r="E300" s="88" t="str">
        <f>IF(D300="","",IF(SUMIF('הזנה לתנאי סף'!$F$31:$F$500,C300,'הזנה לתנאי סף'!$N$31:$N$500)&gt;0,1,0))</f>
        <v/>
      </c>
      <c r="F300" s="109"/>
      <c r="G300" s="109"/>
      <c r="H300" s="213" t="str">
        <f t="shared" si="9"/>
        <v/>
      </c>
    </row>
    <row r="301" spans="1:8" ht="15.75" hidden="1" x14ac:dyDescent="0.2">
      <c r="A301" s="206" t="str">
        <f t="shared" si="8"/>
        <v/>
      </c>
      <c r="B301" s="88" t="str">
        <f>IF('הזנה לסיווג רשויות'!B272="","",'הזנה לסיווג רשויות'!B272)</f>
        <v/>
      </c>
      <c r="C301" s="88" t="str">
        <f>IF('הזנה לסיווג רשויות'!C272="","",'הזנה לסיווג רשויות'!C272)</f>
        <v/>
      </c>
      <c r="D301" s="88" t="str">
        <f>IF('הזנה לסיווג רשויות'!D272="","",'הזנה לסיווג רשויות'!D272)</f>
        <v/>
      </c>
      <c r="E301" s="88" t="str">
        <f>IF(D301="","",IF(SUMIF('הזנה לתנאי סף'!$F$31:$F$500,C301,'הזנה לתנאי סף'!$N$31:$N$500)&gt;0,1,0))</f>
        <v/>
      </c>
      <c r="F301" s="109"/>
      <c r="G301" s="109"/>
      <c r="H301" s="213" t="str">
        <f t="shared" si="9"/>
        <v/>
      </c>
    </row>
    <row r="302" spans="1:8" ht="15.75" hidden="1" x14ac:dyDescent="0.2">
      <c r="A302" s="206" t="str">
        <f t="shared" si="8"/>
        <v/>
      </c>
      <c r="B302" s="88" t="str">
        <f>IF('הזנה לסיווג רשויות'!B273="","",'הזנה לסיווג רשויות'!B273)</f>
        <v/>
      </c>
      <c r="C302" s="88" t="str">
        <f>IF('הזנה לסיווג רשויות'!C273="","",'הזנה לסיווג רשויות'!C273)</f>
        <v/>
      </c>
      <c r="D302" s="88" t="str">
        <f>IF('הזנה לסיווג רשויות'!D273="","",'הזנה לסיווג רשויות'!D273)</f>
        <v/>
      </c>
      <c r="E302" s="88" t="str">
        <f>IF(D302="","",IF(SUMIF('הזנה לתנאי סף'!$F$31:$F$500,C302,'הזנה לתנאי סף'!$N$31:$N$500)&gt;0,1,0))</f>
        <v/>
      </c>
      <c r="F302" s="109"/>
      <c r="G302" s="109"/>
      <c r="H302" s="213" t="str">
        <f t="shared" si="9"/>
        <v/>
      </c>
    </row>
    <row r="303" spans="1:8" ht="15.75" hidden="1" x14ac:dyDescent="0.2">
      <c r="A303" s="206" t="str">
        <f t="shared" si="8"/>
        <v/>
      </c>
      <c r="B303" s="88" t="str">
        <f>IF('הזנה לסיווג רשויות'!B274="","",'הזנה לסיווג רשויות'!B274)</f>
        <v/>
      </c>
      <c r="C303" s="88" t="str">
        <f>IF('הזנה לסיווג רשויות'!C274="","",'הזנה לסיווג רשויות'!C274)</f>
        <v/>
      </c>
      <c r="D303" s="88" t="str">
        <f>IF('הזנה לסיווג רשויות'!D274="","",'הזנה לסיווג רשויות'!D274)</f>
        <v/>
      </c>
      <c r="E303" s="88" t="str">
        <f>IF(D303="","",IF(SUMIF('הזנה לתנאי סף'!$F$31:$F$500,C303,'הזנה לתנאי סף'!$N$31:$N$500)&gt;0,1,0))</f>
        <v/>
      </c>
      <c r="F303" s="109"/>
      <c r="G303" s="109"/>
      <c r="H303" s="213" t="str">
        <f t="shared" si="9"/>
        <v/>
      </c>
    </row>
    <row r="304" spans="1:8" ht="15.75" hidden="1" x14ac:dyDescent="0.2">
      <c r="A304" s="206" t="str">
        <f t="shared" si="8"/>
        <v/>
      </c>
      <c r="B304" s="88" t="str">
        <f>IF('הזנה לסיווג רשויות'!B275="","",'הזנה לסיווג רשויות'!B275)</f>
        <v/>
      </c>
      <c r="C304" s="88" t="str">
        <f>IF('הזנה לסיווג רשויות'!C275="","",'הזנה לסיווג רשויות'!C275)</f>
        <v/>
      </c>
      <c r="D304" s="88" t="str">
        <f>IF('הזנה לסיווג רשויות'!D275="","",'הזנה לסיווג רשויות'!D275)</f>
        <v/>
      </c>
      <c r="E304" s="88" t="str">
        <f>IF(D304="","",IF(SUMIF('הזנה לתנאי סף'!$F$31:$F$500,C304,'הזנה לתנאי סף'!$N$31:$N$500)&gt;0,1,0))</f>
        <v/>
      </c>
      <c r="F304" s="109"/>
      <c r="G304" s="109"/>
      <c r="H304" s="213" t="str">
        <f t="shared" si="9"/>
        <v/>
      </c>
    </row>
    <row r="305" spans="1:8" ht="15.75" hidden="1" x14ac:dyDescent="0.2">
      <c r="A305" s="206" t="str">
        <f t="shared" si="8"/>
        <v/>
      </c>
      <c r="B305" s="88" t="str">
        <f>IF('הזנה לסיווג רשויות'!B276="","",'הזנה לסיווג רשויות'!B276)</f>
        <v/>
      </c>
      <c r="C305" s="88" t="str">
        <f>IF('הזנה לסיווג רשויות'!C276="","",'הזנה לסיווג רשויות'!C276)</f>
        <v/>
      </c>
      <c r="D305" s="88" t="str">
        <f>IF('הזנה לסיווג רשויות'!D276="","",'הזנה לסיווג רשויות'!D276)</f>
        <v/>
      </c>
      <c r="E305" s="88" t="str">
        <f>IF(D305="","",IF(SUMIF('הזנה לתנאי סף'!$F$31:$F$500,C305,'הזנה לתנאי סף'!$N$31:$N$500)&gt;0,1,0))</f>
        <v/>
      </c>
      <c r="F305" s="109"/>
      <c r="G305" s="109"/>
      <c r="H305" s="213" t="str">
        <f t="shared" si="9"/>
        <v/>
      </c>
    </row>
    <row r="306" spans="1:8" ht="15.75" hidden="1" x14ac:dyDescent="0.2">
      <c r="A306" s="206" t="str">
        <f t="shared" si="8"/>
        <v/>
      </c>
      <c r="B306" s="88" t="str">
        <f>IF('הזנה לסיווג רשויות'!B277="","",'הזנה לסיווג רשויות'!B277)</f>
        <v/>
      </c>
      <c r="C306" s="88" t="str">
        <f>IF('הזנה לסיווג רשויות'!C277="","",'הזנה לסיווג רשויות'!C277)</f>
        <v/>
      </c>
      <c r="D306" s="88" t="str">
        <f>IF('הזנה לסיווג רשויות'!D277="","",'הזנה לסיווג רשויות'!D277)</f>
        <v/>
      </c>
      <c r="E306" s="88" t="str">
        <f>IF(D306="","",IF(SUMIF('הזנה לתנאי סף'!$F$31:$F$500,C306,'הזנה לתנאי סף'!$N$31:$N$500)&gt;0,1,0))</f>
        <v/>
      </c>
      <c r="F306" s="109"/>
      <c r="G306" s="109"/>
      <c r="H306" s="213" t="str">
        <f t="shared" si="9"/>
        <v/>
      </c>
    </row>
    <row r="307" spans="1:8" ht="15.75" hidden="1" x14ac:dyDescent="0.2">
      <c r="A307" s="206" t="str">
        <f t="shared" si="8"/>
        <v/>
      </c>
      <c r="B307" s="88" t="str">
        <f>IF('הזנה לסיווג רשויות'!B278="","",'הזנה לסיווג רשויות'!B278)</f>
        <v/>
      </c>
      <c r="C307" s="88" t="str">
        <f>IF('הזנה לסיווג רשויות'!C278="","",'הזנה לסיווג רשויות'!C278)</f>
        <v/>
      </c>
      <c r="D307" s="88" t="str">
        <f>IF('הזנה לסיווג רשויות'!D278="","",'הזנה לסיווג רשויות'!D278)</f>
        <v/>
      </c>
      <c r="E307" s="88" t="str">
        <f>IF(D307="","",IF(SUMIF('הזנה לתנאי סף'!$F$31:$F$500,C307,'הזנה לתנאי סף'!$N$31:$N$500)&gt;0,1,0))</f>
        <v/>
      </c>
      <c r="F307" s="109"/>
      <c r="G307" s="109"/>
      <c r="H307" s="213" t="str">
        <f t="shared" si="9"/>
        <v/>
      </c>
    </row>
    <row r="308" spans="1:8" ht="15.75" hidden="1" x14ac:dyDescent="0.2">
      <c r="A308" s="206" t="str">
        <f t="shared" si="8"/>
        <v/>
      </c>
      <c r="B308" s="88" t="str">
        <f>IF('הזנה לסיווג רשויות'!B279="","",'הזנה לסיווג רשויות'!B279)</f>
        <v/>
      </c>
      <c r="C308" s="88" t="str">
        <f>IF('הזנה לסיווג רשויות'!C279="","",'הזנה לסיווג רשויות'!C279)</f>
        <v/>
      </c>
      <c r="D308" s="88" t="str">
        <f>IF('הזנה לסיווג רשויות'!D279="","",'הזנה לסיווג רשויות'!D279)</f>
        <v/>
      </c>
      <c r="E308" s="88" t="str">
        <f>IF(D308="","",IF(SUMIF('הזנה לתנאי סף'!$F$31:$F$500,C308,'הזנה לתנאי סף'!$N$31:$N$500)&gt;0,1,0))</f>
        <v/>
      </c>
      <c r="F308" s="109"/>
      <c r="G308" s="109"/>
      <c r="H308" s="213" t="str">
        <f t="shared" si="9"/>
        <v/>
      </c>
    </row>
    <row r="309" spans="1:8" ht="15.75" hidden="1" x14ac:dyDescent="0.2">
      <c r="A309" s="206" t="str">
        <f t="shared" si="8"/>
        <v/>
      </c>
      <c r="B309" s="88" t="str">
        <f>IF('הזנה לסיווג רשויות'!B280="","",'הזנה לסיווג רשויות'!B280)</f>
        <v/>
      </c>
      <c r="C309" s="88" t="str">
        <f>IF('הזנה לסיווג רשויות'!C280="","",'הזנה לסיווג רשויות'!C280)</f>
        <v/>
      </c>
      <c r="D309" s="88" t="str">
        <f>IF('הזנה לסיווג רשויות'!D280="","",'הזנה לסיווג רשויות'!D280)</f>
        <v/>
      </c>
      <c r="E309" s="88" t="str">
        <f>IF(D309="","",IF(SUMIF('הזנה לתנאי סף'!$F$31:$F$500,C309,'הזנה לתנאי סף'!$N$31:$N$500)&gt;0,1,0))</f>
        <v/>
      </c>
      <c r="F309" s="109"/>
      <c r="G309" s="109"/>
      <c r="H309" s="213" t="str">
        <f t="shared" si="9"/>
        <v/>
      </c>
    </row>
    <row r="310" spans="1:8" ht="15.75" hidden="1" x14ac:dyDescent="0.2">
      <c r="A310" s="206" t="str">
        <f t="shared" si="8"/>
        <v/>
      </c>
      <c r="B310" s="88" t="str">
        <f>IF('הזנה לסיווג רשויות'!B281="","",'הזנה לסיווג רשויות'!B281)</f>
        <v/>
      </c>
      <c r="C310" s="88" t="str">
        <f>IF('הזנה לסיווג רשויות'!C281="","",'הזנה לסיווג רשויות'!C281)</f>
        <v/>
      </c>
      <c r="D310" s="88" t="str">
        <f>IF('הזנה לסיווג רשויות'!D281="","",'הזנה לסיווג רשויות'!D281)</f>
        <v/>
      </c>
      <c r="E310" s="88" t="str">
        <f>IF(D310="","",IF(SUMIF('הזנה לתנאי סף'!$F$31:$F$500,C310,'הזנה לתנאי סף'!$N$31:$N$500)&gt;0,1,0))</f>
        <v/>
      </c>
      <c r="F310" s="109"/>
      <c r="G310" s="109"/>
      <c r="H310" s="213" t="str">
        <f t="shared" si="9"/>
        <v/>
      </c>
    </row>
    <row r="311" spans="1:8" ht="15.75" hidden="1" x14ac:dyDescent="0.2">
      <c r="A311" s="206" t="str">
        <f t="shared" si="8"/>
        <v/>
      </c>
      <c r="B311" s="88" t="str">
        <f>IF('הזנה לסיווג רשויות'!B282="","",'הזנה לסיווג רשויות'!B282)</f>
        <v/>
      </c>
      <c r="C311" s="88" t="str">
        <f>IF('הזנה לסיווג רשויות'!C282="","",'הזנה לסיווג רשויות'!C282)</f>
        <v/>
      </c>
      <c r="D311" s="88" t="str">
        <f>IF('הזנה לסיווג רשויות'!D282="","",'הזנה לסיווג רשויות'!D282)</f>
        <v/>
      </c>
      <c r="E311" s="88" t="str">
        <f>IF(D311="","",IF(SUMIF('הזנה לתנאי סף'!$F$31:$F$500,C311,'הזנה לתנאי סף'!$N$31:$N$500)&gt;0,1,0))</f>
        <v/>
      </c>
      <c r="F311" s="109"/>
      <c r="G311" s="109"/>
      <c r="H311" s="213" t="str">
        <f t="shared" si="9"/>
        <v/>
      </c>
    </row>
    <row r="312" spans="1:8" ht="15.75" hidden="1" x14ac:dyDescent="0.2">
      <c r="A312" s="206" t="str">
        <f t="shared" si="8"/>
        <v/>
      </c>
      <c r="B312" s="88" t="str">
        <f>IF('הזנה לסיווג רשויות'!B283="","",'הזנה לסיווג רשויות'!B283)</f>
        <v/>
      </c>
      <c r="C312" s="88" t="str">
        <f>IF('הזנה לסיווג רשויות'!C283="","",'הזנה לסיווג רשויות'!C283)</f>
        <v/>
      </c>
      <c r="D312" s="88" t="str">
        <f>IF('הזנה לסיווג רשויות'!D283="","",'הזנה לסיווג רשויות'!D283)</f>
        <v/>
      </c>
      <c r="E312" s="88" t="str">
        <f>IF(D312="","",IF(SUMIF('הזנה לתנאי סף'!$F$31:$F$500,C312,'הזנה לתנאי סף'!$N$31:$N$500)&gt;0,1,0))</f>
        <v/>
      </c>
      <c r="F312" s="109"/>
      <c r="G312" s="109"/>
      <c r="H312" s="213" t="str">
        <f t="shared" si="9"/>
        <v/>
      </c>
    </row>
    <row r="313" spans="1:8" ht="15.75" hidden="1" x14ac:dyDescent="0.2">
      <c r="A313" s="206" t="str">
        <f t="shared" si="8"/>
        <v/>
      </c>
      <c r="B313" s="88" t="str">
        <f>IF('הזנה לסיווג רשויות'!B284="","",'הזנה לסיווג רשויות'!B284)</f>
        <v/>
      </c>
      <c r="C313" s="88" t="str">
        <f>IF('הזנה לסיווג רשויות'!C284="","",'הזנה לסיווג רשויות'!C284)</f>
        <v/>
      </c>
      <c r="D313" s="88" t="str">
        <f>IF('הזנה לסיווג רשויות'!D284="","",'הזנה לסיווג רשויות'!D284)</f>
        <v/>
      </c>
      <c r="E313" s="88" t="str">
        <f>IF(D313="","",IF(SUMIF('הזנה לתנאי סף'!$F$31:$F$500,C313,'הזנה לתנאי סף'!$N$31:$N$500)&gt;0,1,0))</f>
        <v/>
      </c>
      <c r="F313" s="109"/>
      <c r="G313" s="109"/>
      <c r="H313" s="213" t="str">
        <f t="shared" si="9"/>
        <v/>
      </c>
    </row>
    <row r="314" spans="1:8" ht="15.75" hidden="1" x14ac:dyDescent="0.2">
      <c r="A314" s="206" t="str">
        <f t="shared" si="8"/>
        <v/>
      </c>
      <c r="B314" s="88" t="str">
        <f>IF('הזנה לסיווג רשויות'!B285="","",'הזנה לסיווג רשויות'!B285)</f>
        <v/>
      </c>
      <c r="C314" s="88" t="str">
        <f>IF('הזנה לסיווג רשויות'!C285="","",'הזנה לסיווג רשויות'!C285)</f>
        <v/>
      </c>
      <c r="D314" s="88" t="str">
        <f>IF('הזנה לסיווג רשויות'!D285="","",'הזנה לסיווג רשויות'!D285)</f>
        <v/>
      </c>
      <c r="E314" s="88" t="str">
        <f>IF(D314="","",IF(SUMIF('הזנה לתנאי סף'!$F$31:$F$500,C314,'הזנה לתנאי סף'!$N$31:$N$500)&gt;0,1,0))</f>
        <v/>
      </c>
      <c r="F314" s="109"/>
      <c r="G314" s="109"/>
      <c r="H314" s="213" t="str">
        <f t="shared" si="9"/>
        <v/>
      </c>
    </row>
    <row r="315" spans="1:8" ht="15.75" hidden="1" x14ac:dyDescent="0.2">
      <c r="A315" s="206" t="str">
        <f t="shared" si="8"/>
        <v/>
      </c>
      <c r="B315" s="88" t="str">
        <f>IF('הזנה לסיווג רשויות'!B286="","",'הזנה לסיווג רשויות'!B286)</f>
        <v/>
      </c>
      <c r="C315" s="88" t="str">
        <f>IF('הזנה לסיווג רשויות'!C286="","",'הזנה לסיווג רשויות'!C286)</f>
        <v/>
      </c>
      <c r="D315" s="88" t="str">
        <f>IF('הזנה לסיווג רשויות'!D286="","",'הזנה לסיווג רשויות'!D286)</f>
        <v/>
      </c>
      <c r="E315" s="88" t="str">
        <f>IF(D315="","",IF(SUMIF('הזנה לתנאי סף'!$F$31:$F$500,C315,'הזנה לתנאי סף'!$N$31:$N$500)&gt;0,1,0))</f>
        <v/>
      </c>
      <c r="F315" s="109"/>
      <c r="G315" s="109"/>
      <c r="H315" s="213" t="str">
        <f t="shared" si="9"/>
        <v/>
      </c>
    </row>
    <row r="316" spans="1:8" ht="15.75" hidden="1" x14ac:dyDescent="0.2">
      <c r="A316" s="206" t="str">
        <f t="shared" si="8"/>
        <v/>
      </c>
      <c r="B316" s="88" t="str">
        <f>IF('הזנה לסיווג רשויות'!B287="","",'הזנה לסיווג רשויות'!B287)</f>
        <v/>
      </c>
      <c r="C316" s="88" t="str">
        <f>IF('הזנה לסיווג רשויות'!C287="","",'הזנה לסיווג רשויות'!C287)</f>
        <v/>
      </c>
      <c r="D316" s="88" t="str">
        <f>IF('הזנה לסיווג רשויות'!D287="","",'הזנה לסיווג רשויות'!D287)</f>
        <v/>
      </c>
      <c r="E316" s="88" t="str">
        <f>IF(D316="","",IF(SUMIF('הזנה לתנאי סף'!$F$31:$F$500,C316,'הזנה לתנאי סף'!$N$31:$N$500)&gt;0,1,0))</f>
        <v/>
      </c>
      <c r="F316" s="109"/>
      <c r="G316" s="109"/>
      <c r="H316" s="213" t="str">
        <f t="shared" si="9"/>
        <v/>
      </c>
    </row>
    <row r="317" spans="1:8" ht="15.75" hidden="1" x14ac:dyDescent="0.2">
      <c r="A317" s="206" t="str">
        <f t="shared" si="8"/>
        <v/>
      </c>
      <c r="B317" s="88" t="str">
        <f>IF('הזנה לסיווג רשויות'!B288="","",'הזנה לסיווג רשויות'!B288)</f>
        <v/>
      </c>
      <c r="C317" s="88" t="str">
        <f>IF('הזנה לסיווג רשויות'!C288="","",'הזנה לסיווג רשויות'!C288)</f>
        <v/>
      </c>
      <c r="D317" s="88" t="str">
        <f>IF('הזנה לסיווג רשויות'!D288="","",'הזנה לסיווג רשויות'!D288)</f>
        <v/>
      </c>
      <c r="E317" s="88" t="str">
        <f>IF(D317="","",IF(SUMIF('הזנה לתנאי סף'!$F$31:$F$500,C317,'הזנה לתנאי סף'!$N$31:$N$500)&gt;0,1,0))</f>
        <v/>
      </c>
      <c r="F317" s="109"/>
      <c r="G317" s="109"/>
      <c r="H317" s="213" t="str">
        <f t="shared" si="9"/>
        <v/>
      </c>
    </row>
    <row r="318" spans="1:8" ht="15.75" hidden="1" x14ac:dyDescent="0.2">
      <c r="A318" s="206" t="str">
        <f t="shared" si="8"/>
        <v/>
      </c>
      <c r="B318" s="88" t="str">
        <f>IF('הזנה לסיווג רשויות'!B289="","",'הזנה לסיווג רשויות'!B289)</f>
        <v/>
      </c>
      <c r="C318" s="88" t="str">
        <f>IF('הזנה לסיווג רשויות'!C289="","",'הזנה לסיווג רשויות'!C289)</f>
        <v/>
      </c>
      <c r="D318" s="88" t="str">
        <f>IF('הזנה לסיווג רשויות'!D289="","",'הזנה לסיווג רשויות'!D289)</f>
        <v/>
      </c>
      <c r="E318" s="88" t="str">
        <f>IF(D318="","",IF(SUMIF('הזנה לתנאי סף'!$F$31:$F$500,C318,'הזנה לתנאי סף'!$N$31:$N$500)&gt;0,1,0))</f>
        <v/>
      </c>
      <c r="F318" s="109"/>
      <c r="G318" s="109"/>
      <c r="H318" s="213" t="str">
        <f t="shared" si="9"/>
        <v/>
      </c>
    </row>
    <row r="319" spans="1:8" ht="15.75" hidden="1" x14ac:dyDescent="0.2">
      <c r="A319" s="206" t="str">
        <f t="shared" si="8"/>
        <v/>
      </c>
      <c r="B319" s="88" t="str">
        <f>IF('הזנה לסיווג רשויות'!B290="","",'הזנה לסיווג רשויות'!B290)</f>
        <v/>
      </c>
      <c r="C319" s="88" t="str">
        <f>IF('הזנה לסיווג רשויות'!C290="","",'הזנה לסיווג רשויות'!C290)</f>
        <v/>
      </c>
      <c r="D319" s="88" t="str">
        <f>IF('הזנה לסיווג רשויות'!D290="","",'הזנה לסיווג רשויות'!D290)</f>
        <v/>
      </c>
      <c r="E319" s="88" t="str">
        <f>IF(D319="","",IF(SUMIF('הזנה לתנאי סף'!$F$31:$F$500,C319,'הזנה לתנאי סף'!$N$31:$N$500)&gt;0,1,0))</f>
        <v/>
      </c>
      <c r="F319" s="109"/>
      <c r="G319" s="109"/>
      <c r="H319" s="213" t="str">
        <f t="shared" si="9"/>
        <v/>
      </c>
    </row>
    <row r="320" spans="1:8" ht="15.75" hidden="1" x14ac:dyDescent="0.2">
      <c r="A320" s="206" t="str">
        <f t="shared" si="8"/>
        <v/>
      </c>
      <c r="B320" s="88" t="str">
        <f>IF('הזנה לסיווג רשויות'!B291="","",'הזנה לסיווג רשויות'!B291)</f>
        <v/>
      </c>
      <c r="C320" s="88" t="str">
        <f>IF('הזנה לסיווג רשויות'!C291="","",'הזנה לסיווג רשויות'!C291)</f>
        <v/>
      </c>
      <c r="D320" s="88" t="str">
        <f>IF('הזנה לסיווג רשויות'!D291="","",'הזנה לסיווג רשויות'!D291)</f>
        <v/>
      </c>
      <c r="E320" s="88" t="str">
        <f>IF(D320="","",IF(SUMIF('הזנה לתנאי סף'!$F$31:$F$500,C320,'הזנה לתנאי סף'!$N$31:$N$500)&gt;0,1,0))</f>
        <v/>
      </c>
      <c r="F320" s="109"/>
      <c r="G320" s="109"/>
      <c r="H320" s="213" t="str">
        <f t="shared" si="9"/>
        <v/>
      </c>
    </row>
    <row r="321" spans="1:8" ht="15.75" hidden="1" x14ac:dyDescent="0.2">
      <c r="A321" s="206" t="str">
        <f t="shared" si="8"/>
        <v/>
      </c>
      <c r="B321" s="88" t="str">
        <f>IF('הזנה לסיווג רשויות'!B292="","",'הזנה לסיווג רשויות'!B292)</f>
        <v/>
      </c>
      <c r="C321" s="88" t="str">
        <f>IF('הזנה לסיווג רשויות'!C292="","",'הזנה לסיווג רשויות'!C292)</f>
        <v/>
      </c>
      <c r="D321" s="88" t="str">
        <f>IF('הזנה לסיווג רשויות'!D292="","",'הזנה לסיווג רשויות'!D292)</f>
        <v/>
      </c>
      <c r="E321" s="88" t="str">
        <f>IF(D321="","",IF(SUMIF('הזנה לתנאי סף'!$F$31:$F$500,C321,'הזנה לתנאי סף'!$N$31:$N$500)&gt;0,1,0))</f>
        <v/>
      </c>
      <c r="F321" s="109"/>
      <c r="G321" s="109"/>
      <c r="H321" s="213" t="str">
        <f t="shared" si="9"/>
        <v/>
      </c>
    </row>
    <row r="322" spans="1:8" ht="15.75" hidden="1" x14ac:dyDescent="0.2">
      <c r="A322" s="206" t="str">
        <f t="shared" si="8"/>
        <v/>
      </c>
      <c r="B322" s="88" t="str">
        <f>IF('הזנה לסיווג רשויות'!B293="","",'הזנה לסיווג רשויות'!B293)</f>
        <v/>
      </c>
      <c r="C322" s="88" t="str">
        <f>IF('הזנה לסיווג רשויות'!C293="","",'הזנה לסיווג רשויות'!C293)</f>
        <v/>
      </c>
      <c r="D322" s="88" t="str">
        <f>IF('הזנה לסיווג רשויות'!D293="","",'הזנה לסיווג רשויות'!D293)</f>
        <v/>
      </c>
      <c r="E322" s="88" t="str">
        <f>IF(D322="","",IF(SUMIF('הזנה לתנאי סף'!$F$31:$F$500,C322,'הזנה לתנאי סף'!$N$31:$N$500)&gt;0,1,0))</f>
        <v/>
      </c>
      <c r="F322" s="109"/>
      <c r="G322" s="109"/>
      <c r="H322" s="213" t="str">
        <f t="shared" si="9"/>
        <v/>
      </c>
    </row>
    <row r="323" spans="1:8" ht="15.75" hidden="1" x14ac:dyDescent="0.2">
      <c r="A323" s="206" t="str">
        <f t="shared" si="8"/>
        <v/>
      </c>
      <c r="B323" s="88" t="str">
        <f>IF('הזנה לסיווג רשויות'!B294="","",'הזנה לסיווג רשויות'!B294)</f>
        <v/>
      </c>
      <c r="C323" s="88" t="str">
        <f>IF('הזנה לסיווג רשויות'!C294="","",'הזנה לסיווג רשויות'!C294)</f>
        <v/>
      </c>
      <c r="D323" s="88" t="str">
        <f>IF('הזנה לסיווג רשויות'!D294="","",'הזנה לסיווג רשויות'!D294)</f>
        <v/>
      </c>
      <c r="E323" s="88" t="str">
        <f>IF(D323="","",IF(SUMIF('הזנה לתנאי סף'!$F$31:$F$500,C323,'הזנה לתנאי סף'!$N$31:$N$500)&gt;0,1,0))</f>
        <v/>
      </c>
      <c r="F323" s="109"/>
      <c r="G323" s="109"/>
      <c r="H323" s="213" t="str">
        <f t="shared" si="9"/>
        <v/>
      </c>
    </row>
    <row r="324" spans="1:8" ht="15.75" hidden="1" x14ac:dyDescent="0.2">
      <c r="A324" s="206" t="str">
        <f t="shared" si="8"/>
        <v/>
      </c>
      <c r="B324" s="88" t="str">
        <f>IF('הזנה לסיווג רשויות'!B295="","",'הזנה לסיווג רשויות'!B295)</f>
        <v/>
      </c>
      <c r="C324" s="88" t="str">
        <f>IF('הזנה לסיווג רשויות'!C295="","",'הזנה לסיווג רשויות'!C295)</f>
        <v/>
      </c>
      <c r="D324" s="88" t="str">
        <f>IF('הזנה לסיווג רשויות'!D295="","",'הזנה לסיווג רשויות'!D295)</f>
        <v/>
      </c>
      <c r="E324" s="88" t="str">
        <f>IF(D324="","",IF(SUMIF('הזנה לתנאי סף'!$F$31:$F$500,C324,'הזנה לתנאי סף'!$N$31:$N$500)&gt;0,1,0))</f>
        <v/>
      </c>
      <c r="F324" s="109"/>
      <c r="G324" s="109"/>
      <c r="H324" s="213" t="str">
        <f t="shared" si="9"/>
        <v/>
      </c>
    </row>
    <row r="325" spans="1:8" ht="15.75" hidden="1" x14ac:dyDescent="0.2">
      <c r="A325" s="206" t="str">
        <f t="shared" si="8"/>
        <v/>
      </c>
      <c r="B325" s="88" t="str">
        <f>IF('הזנה לסיווג רשויות'!B296="","",'הזנה לסיווג רשויות'!B296)</f>
        <v/>
      </c>
      <c r="C325" s="88" t="str">
        <f>IF('הזנה לסיווג רשויות'!C296="","",'הזנה לסיווג רשויות'!C296)</f>
        <v/>
      </c>
      <c r="D325" s="88" t="str">
        <f>IF('הזנה לסיווג רשויות'!D296="","",'הזנה לסיווג רשויות'!D296)</f>
        <v/>
      </c>
      <c r="E325" s="88" t="str">
        <f>IF(D325="","",IF(SUMIF('הזנה לתנאי סף'!$F$31:$F$500,C325,'הזנה לתנאי סף'!$N$31:$N$500)&gt;0,1,0))</f>
        <v/>
      </c>
      <c r="F325" s="109"/>
      <c r="G325" s="109"/>
      <c r="H325" s="213" t="str">
        <f t="shared" si="9"/>
        <v/>
      </c>
    </row>
    <row r="326" spans="1:8" ht="15.75" hidden="1" x14ac:dyDescent="0.2">
      <c r="A326" s="206" t="str">
        <f t="shared" si="8"/>
        <v/>
      </c>
      <c r="B326" s="88" t="str">
        <f>IF('הזנה לסיווג רשויות'!B297="","",'הזנה לסיווג רשויות'!B297)</f>
        <v/>
      </c>
      <c r="C326" s="88" t="str">
        <f>IF('הזנה לסיווג רשויות'!C297="","",'הזנה לסיווג רשויות'!C297)</f>
        <v/>
      </c>
      <c r="D326" s="88" t="str">
        <f>IF('הזנה לסיווג רשויות'!D297="","",'הזנה לסיווג רשויות'!D297)</f>
        <v/>
      </c>
      <c r="E326" s="88" t="str">
        <f>IF(D326="","",IF(SUMIF('הזנה לתנאי סף'!$F$31:$F$500,C326,'הזנה לתנאי סף'!$N$31:$N$500)&gt;0,1,0))</f>
        <v/>
      </c>
      <c r="F326" s="109"/>
      <c r="G326" s="109"/>
      <c r="H326" s="213" t="str">
        <f t="shared" si="9"/>
        <v/>
      </c>
    </row>
    <row r="327" spans="1:8" ht="15.75" hidden="1" x14ac:dyDescent="0.2">
      <c r="A327" s="206" t="str">
        <f t="shared" si="8"/>
        <v/>
      </c>
      <c r="B327" s="88" t="str">
        <f>IF('הזנה לסיווג רשויות'!B298="","",'הזנה לסיווג רשויות'!B298)</f>
        <v/>
      </c>
      <c r="C327" s="88" t="str">
        <f>IF('הזנה לסיווג רשויות'!C298="","",'הזנה לסיווג רשויות'!C298)</f>
        <v/>
      </c>
      <c r="D327" s="88" t="str">
        <f>IF('הזנה לסיווג רשויות'!D298="","",'הזנה לסיווג רשויות'!D298)</f>
        <v/>
      </c>
      <c r="E327" s="88" t="str">
        <f>IF(D327="","",IF(SUMIF('הזנה לתנאי סף'!$F$31:$F$500,C327,'הזנה לתנאי סף'!$N$31:$N$500)&gt;0,1,0))</f>
        <v/>
      </c>
      <c r="F327" s="109"/>
      <c r="G327" s="109"/>
      <c r="H327" s="213" t="str">
        <f t="shared" si="9"/>
        <v/>
      </c>
    </row>
    <row r="328" spans="1:8" ht="15.75" hidden="1" x14ac:dyDescent="0.2">
      <c r="A328" s="206" t="str">
        <f t="shared" si="8"/>
        <v/>
      </c>
      <c r="B328" s="88" t="str">
        <f>IF('הזנה לסיווג רשויות'!B299="","",'הזנה לסיווג רשויות'!B299)</f>
        <v/>
      </c>
      <c r="C328" s="88" t="str">
        <f>IF('הזנה לסיווג רשויות'!C299="","",'הזנה לסיווג רשויות'!C299)</f>
        <v/>
      </c>
      <c r="D328" s="88" t="str">
        <f>IF('הזנה לסיווג רשויות'!D299="","",'הזנה לסיווג רשויות'!D299)</f>
        <v/>
      </c>
      <c r="E328" s="88" t="str">
        <f>IF(D328="","",IF(SUMIF('הזנה לתנאי סף'!$F$31:$F$500,C328,'הזנה לתנאי סף'!$N$31:$N$500)&gt;0,1,0))</f>
        <v/>
      </c>
      <c r="F328" s="109"/>
      <c r="G328" s="109"/>
      <c r="H328" s="213" t="str">
        <f t="shared" si="9"/>
        <v/>
      </c>
    </row>
    <row r="329" spans="1:8" ht="15.75" hidden="1" x14ac:dyDescent="0.2">
      <c r="A329" s="206" t="str">
        <f t="shared" si="8"/>
        <v/>
      </c>
      <c r="B329" s="88" t="str">
        <f>IF('הזנה לסיווג רשויות'!B300="","",'הזנה לסיווג רשויות'!B300)</f>
        <v/>
      </c>
      <c r="C329" s="88" t="str">
        <f>IF('הזנה לסיווג רשויות'!C300="","",'הזנה לסיווג רשויות'!C300)</f>
        <v/>
      </c>
      <c r="D329" s="88" t="str">
        <f>IF('הזנה לסיווג רשויות'!D300="","",'הזנה לסיווג רשויות'!D300)</f>
        <v/>
      </c>
      <c r="E329" s="88" t="str">
        <f>IF(D329="","",IF(SUMIF('הזנה לתנאי סף'!$F$31:$F$500,C329,'הזנה לתנאי סף'!$N$31:$N$500)&gt;0,1,0))</f>
        <v/>
      </c>
      <c r="F329" s="109"/>
      <c r="G329" s="109"/>
      <c r="H329" s="213" t="str">
        <f t="shared" si="9"/>
        <v/>
      </c>
    </row>
    <row r="330" spans="1:8" ht="16.5" hidden="1" thickBot="1" x14ac:dyDescent="0.25">
      <c r="A330" s="206" t="str">
        <f t="shared" si="8"/>
        <v/>
      </c>
      <c r="B330" s="88" t="str">
        <f>IF('הזנה לסיווג רשויות'!B301="","",'הזנה לסיווג רשויות'!B301)</f>
        <v/>
      </c>
      <c r="C330" s="88" t="str">
        <f>IF('הזנה לסיווג רשויות'!C301="","",'הזנה לסיווג רשויות'!C301)</f>
        <v/>
      </c>
      <c r="D330" s="88" t="str">
        <f>IF('הזנה לסיווג רשויות'!D301="","",'הזנה לסיווג רשויות'!D301)</f>
        <v/>
      </c>
      <c r="E330" s="88" t="str">
        <f>IF(D330="","",IF(SUMIF('הזנה לתנאי סף'!$F$31:$F$500,C330,'הזנה לתנאי סף'!$N$31:$N$500)&gt;0,1,0))</f>
        <v/>
      </c>
      <c r="F330" s="109"/>
      <c r="G330" s="109"/>
      <c r="H330" s="213" t="str">
        <f t="shared" si="9"/>
        <v/>
      </c>
    </row>
    <row r="331" spans="1:8" ht="19.5" thickBot="1" x14ac:dyDescent="0.35">
      <c r="A331" s="415" t="s">
        <v>0</v>
      </c>
      <c r="B331" s="416"/>
      <c r="C331" s="416"/>
      <c r="D331" s="416"/>
      <c r="E331" s="416"/>
      <c r="F331" s="221">
        <f>SUM(F31:F330)</f>
        <v>197645248</v>
      </c>
      <c r="G331" s="221">
        <f>SUM(G31:G330)</f>
        <v>219653300</v>
      </c>
      <c r="H331" s="221">
        <f>SUM(H31:H330)</f>
        <v>22008061</v>
      </c>
    </row>
  </sheetData>
  <sheetProtection password="CCB7" sheet="1" objects="1" scenarios="1" formatColumns="0" formatRows="0" autoFilter="0"/>
  <mergeCells count="4">
    <mergeCell ref="A331:E331"/>
    <mergeCell ref="A1:H1"/>
    <mergeCell ref="A28:B28"/>
    <mergeCell ref="H29:H30"/>
  </mergeCells>
  <conditionalFormatting sqref="A32:A330">
    <cfRule type="containsBlanks" dxfId="301" priority="96">
      <formula>LEN(TRIM(A32))=0</formula>
    </cfRule>
  </conditionalFormatting>
  <conditionalFormatting sqref="B31:E330">
    <cfRule type="containsErrors" dxfId="300" priority="88">
      <formula>ISERROR(B31)</formula>
    </cfRule>
    <cfRule type="containsBlanks" dxfId="299" priority="89">
      <formula>LEN(TRIM(B31))=0</formula>
    </cfRule>
  </conditionalFormatting>
  <conditionalFormatting sqref="B31:E330">
    <cfRule type="containsErrors" dxfId="298" priority="86">
      <formula>ISERROR(B31)</formula>
    </cfRule>
    <cfRule type="containsBlanks" dxfId="297" priority="87">
      <formula>LEN(TRIM(B31))=0</formula>
    </cfRule>
  </conditionalFormatting>
  <conditionalFormatting sqref="A31:A330">
    <cfRule type="containsBlanks" dxfId="296" priority="85">
      <formula>LEN(TRIM(A31))=0</formula>
    </cfRule>
  </conditionalFormatting>
  <conditionalFormatting sqref="B31:E330">
    <cfRule type="containsBlanks" dxfId="295" priority="81">
      <formula>LEN(TRIM(B31))=0</formula>
    </cfRule>
  </conditionalFormatting>
  <conditionalFormatting sqref="B31:E330">
    <cfRule type="containsBlanks" dxfId="294" priority="80">
      <formula>LEN(TRIM(B31))=0</formula>
    </cfRule>
  </conditionalFormatting>
  <conditionalFormatting sqref="B31:E330">
    <cfRule type="containsBlanks" dxfId="293" priority="79">
      <formula>LEN(TRIM(B31))=0</formula>
    </cfRule>
  </conditionalFormatting>
  <conditionalFormatting sqref="F31:G57 F59:G123 F125:G186 F283:G330 F188:G281">
    <cfRule type="expression" dxfId="292" priority="78">
      <formula>$D31&lt;&gt;""</formula>
    </cfRule>
  </conditionalFormatting>
  <conditionalFormatting sqref="G31:G57 G59:G123 G125:G186 G283:G330 G188:G281">
    <cfRule type="expression" dxfId="291" priority="76">
      <formula>_xludf.isformula(G31)</formula>
    </cfRule>
  </conditionalFormatting>
  <conditionalFormatting sqref="H31:H330">
    <cfRule type="containsBlanks" dxfId="290" priority="75">
      <formula>LEN(TRIM(H31))=0</formula>
    </cfRule>
  </conditionalFormatting>
  <conditionalFormatting sqref="H31:H330">
    <cfRule type="containsBlanks" dxfId="289" priority="74">
      <formula>LEN(TRIM(H31))=0</formula>
    </cfRule>
  </conditionalFormatting>
  <conditionalFormatting sqref="H31:H330">
    <cfRule type="containsBlanks" dxfId="288" priority="73">
      <formula>LEN(TRIM(H31))=0</formula>
    </cfRule>
  </conditionalFormatting>
  <conditionalFormatting sqref="F31:F57 F59:F123 F125:F186 F283:F330 F188:F281">
    <cfRule type="expression" dxfId="287" priority="20">
      <formula>$E31&lt;&gt;1</formula>
    </cfRule>
  </conditionalFormatting>
  <conditionalFormatting sqref="G31:G57 G59:G123 G125:G186 G283:G330 G188:G281">
    <cfRule type="expression" dxfId="286" priority="19">
      <formula>$E31&lt;&gt;1</formula>
    </cfRule>
  </conditionalFormatting>
  <conditionalFormatting sqref="F58:G58">
    <cfRule type="expression" dxfId="285" priority="17">
      <formula>$D58&lt;&gt;""</formula>
    </cfRule>
  </conditionalFormatting>
  <conditionalFormatting sqref="G58">
    <cfRule type="expression" dxfId="284" priority="16">
      <formula>_xludf.isformula(G58)</formula>
    </cfRule>
  </conditionalFormatting>
  <conditionalFormatting sqref="F58">
    <cfRule type="expression" dxfId="283" priority="15">
      <formula>$E58&lt;&gt;1</formula>
    </cfRule>
  </conditionalFormatting>
  <conditionalFormatting sqref="G58">
    <cfRule type="expression" dxfId="282" priority="14">
      <formula>$E58&lt;&gt;1</formula>
    </cfRule>
  </conditionalFormatting>
  <conditionalFormatting sqref="F124:G124">
    <cfRule type="expression" dxfId="281" priority="13">
      <formula>$D124&lt;&gt;""</formula>
    </cfRule>
  </conditionalFormatting>
  <conditionalFormatting sqref="G124">
    <cfRule type="expression" dxfId="280" priority="12">
      <formula>_xludf.isformula(G124)</formula>
    </cfRule>
  </conditionalFormatting>
  <conditionalFormatting sqref="F124:G124">
    <cfRule type="expression" dxfId="279" priority="11">
      <formula>$E124&lt;&gt;1</formula>
    </cfRule>
  </conditionalFormatting>
  <conditionalFormatting sqref="G124">
    <cfRule type="expression" dxfId="278" priority="10">
      <formula>$E124&lt;&gt;1</formula>
    </cfRule>
  </conditionalFormatting>
  <conditionalFormatting sqref="G124">
    <cfRule type="expression" dxfId="277" priority="9">
      <formula>$E124&lt;&gt;1</formula>
    </cfRule>
  </conditionalFormatting>
  <conditionalFormatting sqref="F187:G187">
    <cfRule type="expression" dxfId="276" priority="8">
      <formula>$D187&lt;&gt;""</formula>
    </cfRule>
  </conditionalFormatting>
  <conditionalFormatting sqref="G187">
    <cfRule type="expression" dxfId="275" priority="7">
      <formula>_xludf.isformula(G187)</formula>
    </cfRule>
  </conditionalFormatting>
  <conditionalFormatting sqref="F187">
    <cfRule type="expression" dxfId="274" priority="6">
      <formula>$E187&lt;&gt;1</formula>
    </cfRule>
  </conditionalFormatting>
  <conditionalFormatting sqref="G187">
    <cfRule type="expression" dxfId="273" priority="5">
      <formula>$E187&lt;&gt;1</formula>
    </cfRule>
  </conditionalFormatting>
  <conditionalFormatting sqref="F282:G282">
    <cfRule type="expression" dxfId="272" priority="4">
      <formula>$D282&lt;&gt;""</formula>
    </cfRule>
  </conditionalFormatting>
  <conditionalFormatting sqref="G282">
    <cfRule type="expression" dxfId="271" priority="3">
      <formula>_xludf.isformula(G282)</formula>
    </cfRule>
  </conditionalFormatting>
  <conditionalFormatting sqref="F282">
    <cfRule type="expression" dxfId="270" priority="2">
      <formula>$E282&lt;&gt;1</formula>
    </cfRule>
  </conditionalFormatting>
  <conditionalFormatting sqref="G282">
    <cfRule type="expression" dxfId="269" priority="1">
      <formula>$E282&lt;&gt;1</formula>
    </cfRule>
  </conditionalFormatting>
  <dataValidations count="1">
    <dataValidation type="decimal" operator="greaterThanOrEqual" allowBlank="1" showInputMessage="1" showErrorMessage="1" sqref="F31:G330">
      <formula1>0</formula1>
    </dataValidation>
  </dataValidations>
  <pageMargins left="0.7" right="0.7" top="0.75" bottom="0.75" header="0.3" footer="0.3"/>
  <pageSetup paperSize="9" scale="7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6">
    <tabColor rgb="FFFFFFCC"/>
  </sheetPr>
  <dimension ref="A1:V501"/>
  <sheetViews>
    <sheetView rightToLeft="1" view="pageBreakPreview" zoomScale="70" zoomScaleNormal="85" zoomScaleSheetLayoutView="70" workbookViewId="0">
      <pane xSplit="7" ySplit="30" topLeftCell="H205" activePane="bottomRight" state="frozen"/>
      <selection activeCell="F27" sqref="F27"/>
      <selection pane="topRight" activeCell="F27" sqref="F27"/>
      <selection pane="bottomLeft" activeCell="F27" sqref="F27"/>
      <selection pane="bottomRight" activeCell="G394" sqref="G394"/>
    </sheetView>
  </sheetViews>
  <sheetFormatPr defaultColWidth="9" defaultRowHeight="14.25" x14ac:dyDescent="0.2"/>
  <cols>
    <col min="1" max="1" width="6.375" style="175" customWidth="1"/>
    <col min="2" max="4" width="13.125" style="175" customWidth="1"/>
    <col min="5" max="5" width="16.125" style="175" customWidth="1"/>
    <col min="6" max="6" width="12.375" style="175" customWidth="1"/>
    <col min="7" max="7" width="16.75" style="175" customWidth="1"/>
    <col min="8" max="8" width="12" style="175" customWidth="1"/>
    <col min="9" max="9" width="18.625" style="175" customWidth="1"/>
    <col min="10" max="15" width="15.875" style="175" customWidth="1"/>
    <col min="16" max="17" width="9" style="175" hidden="1" customWidth="1"/>
    <col min="18" max="18" width="9" style="175" customWidth="1"/>
    <col min="19" max="16384" width="9" style="175"/>
  </cols>
  <sheetData>
    <row r="1" spans="1:17" ht="19.5" thickBot="1" x14ac:dyDescent="0.25">
      <c r="A1" s="411" t="str">
        <f ca="1">MID(CELL("filename",R2),FIND("]",CELL("filename",R2),1)+1,99)</f>
        <v>תחום תמיכה ג</v>
      </c>
      <c r="B1" s="412"/>
      <c r="C1" s="412"/>
      <c r="D1" s="412"/>
      <c r="E1" s="412"/>
      <c r="F1" s="412"/>
      <c r="G1" s="412"/>
      <c r="H1" s="412"/>
      <c r="I1" s="412"/>
      <c r="J1" s="412"/>
      <c r="K1" s="412"/>
      <c r="L1" s="412"/>
      <c r="M1" s="412"/>
      <c r="N1" s="412"/>
      <c r="O1" s="412"/>
    </row>
    <row r="2" spans="1:17" ht="15" thickBot="1" x14ac:dyDescent="0.25">
      <c r="Q2" s="175" t="s">
        <v>317</v>
      </c>
    </row>
    <row r="3" spans="1:17" ht="15.75" x14ac:dyDescent="0.2">
      <c r="E3" s="218" t="str">
        <f>'פרמטרים לקריטריונים'!$B$4</f>
        <v>שנת תקציב</v>
      </c>
      <c r="F3" s="216">
        <f>'פרמטרים לקריטריונים'!$C$4</f>
        <v>2020</v>
      </c>
    </row>
    <row r="4" spans="1:17" ht="32.25" thickBot="1" x14ac:dyDescent="0.3">
      <c r="E4" s="219" t="str">
        <f>'פרמטרים לקריטריונים'!$B$7</f>
        <v>תקציב תמיכה תחום ג'</v>
      </c>
      <c r="F4" s="217">
        <f>'פרמטרים לקריטריונים'!$C$7</f>
        <v>25000000</v>
      </c>
      <c r="H4" s="417" t="s">
        <v>495</v>
      </c>
      <c r="I4" s="417"/>
      <c r="J4" s="417"/>
      <c r="K4" s="417"/>
      <c r="L4" s="417"/>
      <c r="M4" s="417"/>
      <c r="N4" s="417"/>
      <c r="O4" s="417"/>
    </row>
    <row r="5" spans="1:17" hidden="1" x14ac:dyDescent="0.2"/>
    <row r="6" spans="1:17" hidden="1" x14ac:dyDescent="0.2"/>
    <row r="7" spans="1:17" hidden="1" x14ac:dyDescent="0.2"/>
    <row r="8" spans="1:17" hidden="1" x14ac:dyDescent="0.2"/>
    <row r="9" spans="1:17" hidden="1" x14ac:dyDescent="0.2"/>
    <row r="10" spans="1:17" hidden="1" x14ac:dyDescent="0.2"/>
    <row r="11" spans="1:17" hidden="1" x14ac:dyDescent="0.2"/>
    <row r="12" spans="1:17" hidden="1" x14ac:dyDescent="0.2"/>
    <row r="13" spans="1:17" hidden="1" x14ac:dyDescent="0.2"/>
    <row r="14" spans="1:17" hidden="1" x14ac:dyDescent="0.2"/>
    <row r="15" spans="1:17" hidden="1" x14ac:dyDescent="0.2"/>
    <row r="16" spans="1:17" hidden="1" x14ac:dyDescent="0.2"/>
    <row r="17" spans="1:22" hidden="1" x14ac:dyDescent="0.2"/>
    <row r="18" spans="1:22" hidden="1" x14ac:dyDescent="0.2"/>
    <row r="19" spans="1:22" hidden="1" x14ac:dyDescent="0.2"/>
    <row r="20" spans="1:22" hidden="1" x14ac:dyDescent="0.2"/>
    <row r="21" spans="1:22" hidden="1" x14ac:dyDescent="0.2"/>
    <row r="22" spans="1:22" hidden="1" x14ac:dyDescent="0.2"/>
    <row r="23" spans="1:22" hidden="1" x14ac:dyDescent="0.2"/>
    <row r="24" spans="1:22" hidden="1" x14ac:dyDescent="0.2"/>
    <row r="25" spans="1:22" hidden="1" x14ac:dyDescent="0.2"/>
    <row r="26" spans="1:22" s="280" customFormat="1" ht="12.75" x14ac:dyDescent="0.2">
      <c r="A26" s="279"/>
      <c r="B26" s="279"/>
      <c r="C26" s="279"/>
      <c r="D26" s="279"/>
      <c r="E26" s="279"/>
      <c r="F26" s="279"/>
      <c r="G26" s="279"/>
      <c r="H26" s="279"/>
      <c r="I26" s="279"/>
      <c r="J26" s="279"/>
      <c r="K26" s="279"/>
      <c r="L26" s="279"/>
      <c r="M26" s="279"/>
      <c r="N26" s="279"/>
      <c r="O26" s="279"/>
    </row>
    <row r="27" spans="1:22" s="280" customFormat="1" ht="13.5" thickBot="1" x14ac:dyDescent="0.25">
      <c r="A27" s="279"/>
      <c r="B27" s="279"/>
      <c r="C27" s="279"/>
      <c r="D27" s="279"/>
      <c r="E27" s="279"/>
      <c r="F27" s="279"/>
      <c r="G27" s="279"/>
      <c r="H27" s="279"/>
      <c r="I27" s="279"/>
      <c r="J27" s="279"/>
      <c r="K27" s="279"/>
      <c r="L27" s="279"/>
      <c r="M27" s="279"/>
      <c r="N27" s="279"/>
      <c r="O27" s="279"/>
    </row>
    <row r="28" spans="1:22" ht="15.75" thickBot="1" x14ac:dyDescent="0.3">
      <c r="A28" s="404" t="s">
        <v>496</v>
      </c>
      <c r="B28" s="405"/>
      <c r="C28" s="405"/>
      <c r="D28" s="405"/>
      <c r="E28" s="406"/>
      <c r="F28" s="3"/>
      <c r="G28" s="3"/>
      <c r="H28" s="3"/>
      <c r="I28" s="3">
        <v>10</v>
      </c>
      <c r="J28" s="3" t="s">
        <v>462</v>
      </c>
      <c r="K28" s="3" t="s">
        <v>462</v>
      </c>
      <c r="L28" s="3" t="s">
        <v>463</v>
      </c>
      <c r="M28" s="3" t="s">
        <v>463</v>
      </c>
      <c r="N28" s="3" t="s">
        <v>464</v>
      </c>
      <c r="O28" s="3" t="s">
        <v>464</v>
      </c>
    </row>
    <row r="29" spans="1:22" s="105" customFormat="1" ht="84.6" customHeight="1" thickBot="1" x14ac:dyDescent="0.25">
      <c r="A29" s="19" t="s">
        <v>1</v>
      </c>
      <c r="B29" s="407" t="s">
        <v>512</v>
      </c>
      <c r="C29" s="407" t="s">
        <v>513</v>
      </c>
      <c r="D29" s="407" t="s">
        <v>515</v>
      </c>
      <c r="E29" s="413" t="s">
        <v>520</v>
      </c>
      <c r="F29" s="413" t="s">
        <v>256</v>
      </c>
      <c r="G29" s="413" t="s">
        <v>358</v>
      </c>
      <c r="H29" s="63" t="s">
        <v>372</v>
      </c>
      <c r="I29" s="212" t="s">
        <v>435</v>
      </c>
      <c r="J29" s="212" t="s">
        <v>440</v>
      </c>
      <c r="K29" s="212" t="s">
        <v>442</v>
      </c>
      <c r="L29" s="212" t="s">
        <v>465</v>
      </c>
      <c r="M29" s="212" t="s">
        <v>441</v>
      </c>
      <c r="N29" s="212" t="s">
        <v>443</v>
      </c>
      <c r="O29" s="212" t="s">
        <v>444</v>
      </c>
      <c r="V29" s="106"/>
    </row>
    <row r="30" spans="1:22" ht="15.75" thickBot="1" x14ac:dyDescent="0.3">
      <c r="A30" s="5"/>
      <c r="B30" s="408"/>
      <c r="C30" s="408"/>
      <c r="D30" s="408"/>
      <c r="E30" s="414"/>
      <c r="F30" s="414"/>
      <c r="G30" s="414"/>
      <c r="H30" s="207"/>
      <c r="I30" s="207" t="s">
        <v>319</v>
      </c>
      <c r="J30" s="8" t="s">
        <v>261</v>
      </c>
      <c r="K30" s="8" t="s">
        <v>261</v>
      </c>
      <c r="L30" s="8" t="s">
        <v>261</v>
      </c>
      <c r="M30" s="8" t="s">
        <v>261</v>
      </c>
      <c r="N30" s="8"/>
      <c r="O30" s="8" t="s">
        <v>261</v>
      </c>
    </row>
    <row r="31" spans="1:22" ht="15.75" x14ac:dyDescent="0.2">
      <c r="A31" s="206">
        <f>IF(F31="","",ROW()-30)</f>
        <v>1</v>
      </c>
      <c r="B31" s="88">
        <f>IF($F31="","",'הזנה לתנאי סף'!C31)</f>
        <v>1001346678</v>
      </c>
      <c r="C31" s="88">
        <f>IF($F31="","",'הזנה לתנאי סף'!D31)</f>
        <v>1001268955</v>
      </c>
      <c r="D31" s="88">
        <f>IF($F31="","",'הזנה לתנאי סף'!E31)</f>
        <v>40000100</v>
      </c>
      <c r="E31" s="88">
        <f>IF($F31="","",'הזנה לתנאי סף'!F31)</f>
        <v>20000159</v>
      </c>
      <c r="F31" s="88" t="str">
        <f>IF(OR('הזנה לתנאי סף'!G31="",'הזנה לתנאי סף'!BL31&lt;&gt;1,'הזנה לתנאי סף'!Q31&lt;&gt;1,'הזנה לתנאי סף'!N31&lt;&gt;1),"",'הזנה לתנאי סף'!G31)</f>
        <v>ירושלים</v>
      </c>
      <c r="G31" s="88" t="str">
        <f>IF($F31="","",'הזנה לתנאי סף'!H31)</f>
        <v>בית עגנון בירושלים</v>
      </c>
      <c r="H31" s="88" t="str">
        <f>IF($F31="","",'הזנה לתנאי סף'!I31)</f>
        <v>מרכזי פרינג'</v>
      </c>
      <c r="I31" s="88">
        <f>IF($F31="","",IF(AND('הזנה לתנאי סף'!N31=0,J31&gt;0),$Q$2,'הזנה לתנאי סף'!N31))</f>
        <v>1</v>
      </c>
      <c r="J31" s="213">
        <f>IF($F31="","",INDEX('גיליון עזר לתחום תמיכה ג'!$H$31:$H$330,MATCH(E31,'גיליון עזר לתחום תמיכה ג'!$C$31:$C$330,0)))</f>
        <v>3990706</v>
      </c>
      <c r="K31" s="213">
        <f>IF(OR(F31="",J31=""),"",IF(AND(J31&gt;0,I31=1),J31*'פרמטרים לקריטריונים'!$C$64,$Q$2))</f>
        <v>3990706</v>
      </c>
      <c r="L31" s="227">
        <f>IF(OR(F31="",J31=""),"",IF(J31&gt;0,'תחום תמיכה ב'!AC31/SUMIFS('תחום תמיכה ב'!$AC$31:$AC$500,'תחום תמיכה ב'!$E$31:$E$500,E31,'תחום תמיכה ב'!$S$31:$S$500,"=1"),0))</f>
        <v>7.0181087026511511E-3</v>
      </c>
      <c r="M31" s="213">
        <f>IF(OR(F31="",J31=""),"",IFERROR(K31*L31,$Q$2))</f>
        <v>28007.208508322165</v>
      </c>
      <c r="N31" s="227">
        <f>IF(OR(F31="",J31=""),"",IFERROR(M31/$M$501,$Q$2))</f>
        <v>1.2725886441482582E-3</v>
      </c>
      <c r="O31" s="213">
        <f>IF(N31="","",IF($M$501&lt;$F$4,M31,N31*$F$4))</f>
        <v>28007.208508322165</v>
      </c>
    </row>
    <row r="32" spans="1:22" ht="15.75" x14ac:dyDescent="0.2">
      <c r="A32" s="206">
        <f t="shared" ref="A32:A95" si="0">IF(F32="","",ROW()-30)</f>
        <v>2</v>
      </c>
      <c r="B32" s="88">
        <f>IF($F32="","",'הזנה לתנאי סף'!C32)</f>
        <v>1001349309</v>
      </c>
      <c r="C32" s="88">
        <f>IF($F32="","",'הזנה לתנאי סף'!D32)</f>
        <v>1001263928</v>
      </c>
      <c r="D32" s="88">
        <f>IF($F32="","",'הזנה לתנאי סף'!E32)</f>
        <v>40000096</v>
      </c>
      <c r="E32" s="88">
        <f>IF($F32="","",'הזנה לתנאי סף'!F32)</f>
        <v>20000254</v>
      </c>
      <c r="F32" s="88" t="str">
        <f>IF(OR('הזנה לתנאי סף'!G32="",'הזנה לתנאי סף'!BL32&lt;&gt;1,'הזנה לתנאי סף'!Q32&lt;&gt;1,'הזנה לתנאי סף'!N32&lt;&gt;1),"",'הזנה לתנאי סף'!G32)</f>
        <v>באר שבע</v>
      </c>
      <c r="G32" s="88" t="str">
        <f>IF($F32="","",'הזנה לתנאי סף'!H32)</f>
        <v>עמותת הסינפונייטה הישראלית באר שבע</v>
      </c>
      <c r="H32" s="88" t="str">
        <f>IF($F32="","",'הזנה לתנאי סף'!I32)</f>
        <v>מוסיקה-גופים כליים</v>
      </c>
      <c r="I32" s="88">
        <f>IF($F32="","",IF(AND('הזנה לתנאי סף'!N32=0,J32&gt;0),$Q$2,'הזנה לתנאי סף'!N32))</f>
        <v>1</v>
      </c>
      <c r="J32" s="213">
        <f>IF($F32="","",INDEX('גיליון עזר לתחום תמיכה ג'!$H$31:$H$330,MATCH(E32,'גיליון עזר לתחום תמיכה ג'!$C$31:$C$330,0)))</f>
        <v>43906</v>
      </c>
      <c r="K32" s="213">
        <f>IF(OR(F32="",J32=""),"",IF(AND(J32&gt;0,I32=1),J32*'פרמטרים לקריטריונים'!$C$64,$Q$2))</f>
        <v>43906</v>
      </c>
      <c r="L32" s="227">
        <f>IF(OR(F32="",J32=""),"",IF(J32&gt;0,'תחום תמיכה ב'!AC32/SUMIFS('תחום תמיכה ב'!$AC$31:$AC$500,'תחום תמיכה ב'!$E$31:$E$500,E32,'תחום תמיכה ב'!$S$31:$S$500,"=1"),0))</f>
        <v>3.7576938368200058E-2</v>
      </c>
      <c r="M32" s="213">
        <f t="shared" ref="M32:M95" si="1">IF(OR(F32="",J32=""),"",IFERROR(K32*L32,$Q$2))</f>
        <v>1649.8530559941917</v>
      </c>
      <c r="N32" s="227">
        <f t="shared" ref="N32:N95" si="2">IF(OR(F32="",J32=""),"",IFERROR(M32/$M$501,$Q$2))</f>
        <v>7.4965852557124017E-5</v>
      </c>
      <c r="O32" s="213">
        <f t="shared" ref="O32:O95" si="3">IF(N32="","",IF($M$501&lt;$F$4,M32,N32*$F$4))</f>
        <v>1649.8530559941917</v>
      </c>
    </row>
    <row r="33" spans="1:15" ht="15.75" x14ac:dyDescent="0.2">
      <c r="A33" s="206" t="str">
        <f t="shared" si="0"/>
        <v/>
      </c>
      <c r="B33" s="88" t="str">
        <f>IF($F33="","",'הזנה לתנאי סף'!C33)</f>
        <v/>
      </c>
      <c r="C33" s="88" t="str">
        <f>IF($F33="","",'הזנה לתנאי סף'!D33)</f>
        <v/>
      </c>
      <c r="D33" s="88" t="str">
        <f>IF($F33="","",'הזנה לתנאי סף'!E33)</f>
        <v/>
      </c>
      <c r="E33" s="88" t="str">
        <f>IF($F33="","",'הזנה לתנאי סף'!F33)</f>
        <v/>
      </c>
      <c r="F33" s="88" t="str">
        <f>IF(OR('הזנה לתנאי סף'!G33="",'הזנה לתנאי סף'!BL33&lt;&gt;1,'הזנה לתנאי סף'!Q33&lt;&gt;1,'הזנה לתנאי סף'!N33&lt;&gt;1),"",'הזנה לתנאי סף'!G33)</f>
        <v/>
      </c>
      <c r="G33" s="88" t="str">
        <f>IF($F33="","",'הזנה לתנאי סף'!H33)</f>
        <v/>
      </c>
      <c r="H33" s="88" t="str">
        <f>IF($F33="","",'הזנה לתנאי סף'!I33)</f>
        <v/>
      </c>
      <c r="I33" s="88" t="str">
        <f>IF($F33="","",IF(AND('הזנה לתנאי סף'!N33=0,J33&gt;0),$Q$2,'הזנה לתנאי סף'!N33))</f>
        <v/>
      </c>
      <c r="J33" s="213" t="str">
        <f>IF($F33="","",INDEX('גיליון עזר לתחום תמיכה ג'!$H$31:$H$330,MATCH(E33,'גיליון עזר לתחום תמיכה ג'!$C$31:$C$330,0)))</f>
        <v/>
      </c>
      <c r="K33" s="213" t="str">
        <f>IF(OR(F33="",J33=""),"",IF(AND(J33&gt;0,I33=1),J33*'פרמטרים לקריטריונים'!$C$64,$Q$2))</f>
        <v/>
      </c>
      <c r="L33" s="227" t="str">
        <f>IF(OR(F33="",J33=""),"",IF(J33&gt;0,'תחום תמיכה ב'!AC33/SUMIFS('תחום תמיכה ב'!$AC$31:$AC$500,'תחום תמיכה ב'!$E$31:$E$500,E33,'תחום תמיכה ב'!$S$31:$S$500,"=1"),0))</f>
        <v/>
      </c>
      <c r="M33" s="213" t="str">
        <f t="shared" si="1"/>
        <v/>
      </c>
      <c r="N33" s="227" t="str">
        <f t="shared" si="2"/>
        <v/>
      </c>
      <c r="O33" s="213" t="str">
        <f t="shared" si="3"/>
        <v/>
      </c>
    </row>
    <row r="34" spans="1:15" ht="15.75" x14ac:dyDescent="0.2">
      <c r="A34" s="206">
        <f t="shared" si="0"/>
        <v>4</v>
      </c>
      <c r="B34" s="88">
        <f>IF($F34="","",'הזנה לתנאי סף'!C34)</f>
        <v>1001347193</v>
      </c>
      <c r="C34" s="88">
        <f>IF($F34="","",'הזנה לתנאי סף'!D34)</f>
        <v>1001266975</v>
      </c>
      <c r="D34" s="88">
        <f>IF($F34="","",'הזנה לתנאי סף'!E34)</f>
        <v>40000118</v>
      </c>
      <c r="E34" s="88">
        <f>IF($F34="","",'הזנה לתנאי סף'!F34)</f>
        <v>20000161</v>
      </c>
      <c r="F34" s="88" t="str">
        <f>IF(OR('הזנה לתנאי סף'!G34="",'הזנה לתנאי סף'!BL34&lt;&gt;1,'הזנה לתנאי סף'!Q34&lt;&gt;1,'הזנה לתנאי סף'!N34&lt;&gt;1),"",'הזנה לתנאי סף'!G34)</f>
        <v>מנשה</v>
      </c>
      <c r="G34" s="88" t="str">
        <f>IF($F34="","",'הזנה לתנאי סף'!H34)</f>
        <v>מוזיאון חצר ראשונים עין שמר</v>
      </c>
      <c r="H34" s="88" t="str">
        <f>IF($F34="","",'הזנה לתנאי סף'!I34)</f>
        <v>מוזיאונים</v>
      </c>
      <c r="I34" s="88">
        <f>IF($F34="","",IF(AND('הזנה לתנאי סף'!N34=0,J34&gt;0),$Q$2,'הזנה לתנאי סף'!N34))</f>
        <v>1</v>
      </c>
      <c r="J34" s="213" t="str">
        <f>IF($F34="","",INDEX('גיליון עזר לתחום תמיכה ג'!$H$31:$H$330,MATCH(E34,'גיליון עזר לתחום תמיכה ג'!$C$31:$C$330,0)))</f>
        <v/>
      </c>
      <c r="K34" s="213" t="str">
        <f>IF(OR(F34="",J34=""),"",IF(AND(J34&gt;0,I34=1),J34*'פרמטרים לקריטריונים'!$C$64,$Q$2))</f>
        <v/>
      </c>
      <c r="L34" s="227" t="str">
        <f>IF(OR(F34="",J34=""),"",IF(J34&gt;0,'תחום תמיכה ב'!AC34/SUMIFS('תחום תמיכה ב'!$AC$31:$AC$500,'תחום תמיכה ב'!$E$31:$E$500,E34,'תחום תמיכה ב'!$S$31:$S$500,"=1"),0))</f>
        <v/>
      </c>
      <c r="M34" s="213" t="str">
        <f t="shared" si="1"/>
        <v/>
      </c>
      <c r="N34" s="227" t="str">
        <f t="shared" si="2"/>
        <v/>
      </c>
      <c r="O34" s="213" t="str">
        <f t="shared" si="3"/>
        <v/>
      </c>
    </row>
    <row r="35" spans="1:15" ht="15.75" x14ac:dyDescent="0.2">
      <c r="A35" s="206">
        <f t="shared" si="0"/>
        <v>5</v>
      </c>
      <c r="B35" s="88">
        <f>IF($F35="","",'הזנה לתנאי סף'!C35)</f>
        <v>1001349260</v>
      </c>
      <c r="C35" s="88">
        <f>IF($F35="","",'הזנה לתנאי סף'!D35)</f>
        <v>1001276615</v>
      </c>
      <c r="D35" s="88">
        <f>IF($F35="","",'הזנה לתנאי סף'!E35)</f>
        <v>40000478</v>
      </c>
      <c r="E35" s="88">
        <f>IF($F35="","",'הזנה לתנאי סף'!F35)</f>
        <v>20000201</v>
      </c>
      <c r="F35" s="88" t="str">
        <f>IF(OR('הזנה לתנאי סף'!G35="",'הזנה לתנאי סף'!BL35&lt;&gt;1,'הזנה לתנאי סף'!Q35&lt;&gt;1,'הזנה לתנאי סף'!N35&lt;&gt;1),"",'הזנה לתנאי סף'!G35)</f>
        <v>תל אביב -יפו</v>
      </c>
      <c r="G35" s="88" t="str">
        <f>IF($F35="","",'הזנה לתנאי סף'!H35)</f>
        <v>תיאטרון היידישפיל</v>
      </c>
      <c r="H35" s="88" t="str">
        <f>IF($F35="","",'הזנה לתנאי סף'!I35)</f>
        <v>תיאטרון</v>
      </c>
      <c r="I35" s="88">
        <f>IF($F35="","",IF(AND('הזנה לתנאי סף'!N35=0,J35&gt;0),$Q$2,'הזנה לתנאי סף'!N35))</f>
        <v>1</v>
      </c>
      <c r="J35" s="213">
        <f>IF($F35="","",INDEX('גיליון עזר לתחום תמיכה ג'!$H$31:$H$330,MATCH(E35,'גיליון עזר לתחום תמיכה ג'!$C$31:$C$330,0)))</f>
        <v>15995126</v>
      </c>
      <c r="K35" s="213">
        <f>IF(OR(F35="",J35=""),"",IF(AND(J35&gt;0,I35=1),J35*'פרמטרים לקריטריונים'!$C$64,$Q$2))</f>
        <v>15995126</v>
      </c>
      <c r="L35" s="227">
        <f>IF(OR(F35="",J35=""),"",IF(J35&gt;0,'תחום תמיכה ב'!AC35/SUMIFS('תחום תמיכה ב'!$AC$31:$AC$500,'תחום תמיכה ב'!$E$31:$E$500,E35,'תחום תמיכה ב'!$S$31:$S$500,"=1"),0))</f>
        <v>1.2773841810205591E-2</v>
      </c>
      <c r="M35" s="213">
        <f t="shared" si="1"/>
        <v>204319.20925830651</v>
      </c>
      <c r="N35" s="227">
        <f t="shared" si="2"/>
        <v>9.2838351028882767E-3</v>
      </c>
      <c r="O35" s="213">
        <f t="shared" si="3"/>
        <v>204319.20925830651</v>
      </c>
    </row>
    <row r="36" spans="1:15" ht="15.75" x14ac:dyDescent="0.2">
      <c r="A36" s="206">
        <f t="shared" si="0"/>
        <v>6</v>
      </c>
      <c r="B36" s="88">
        <f>IF($F36="","",'הזנה לתנאי סף'!C36)</f>
        <v>1001350859</v>
      </c>
      <c r="C36" s="88">
        <f>IF($F36="","",'הזנה לתנאי סף'!D36)</f>
        <v>1001263559</v>
      </c>
      <c r="D36" s="88">
        <f>IF($F36="","",'הזנה לתנאי סף'!E36)</f>
        <v>40000062</v>
      </c>
      <c r="E36" s="88">
        <f>IF($F36="","",'הזנה לתנאי סף'!F36)</f>
        <v>20000201</v>
      </c>
      <c r="F36" s="88" t="str">
        <f>IF(OR('הזנה לתנאי סף'!G36="",'הזנה לתנאי סף'!BL36&lt;&gt;1,'הזנה לתנאי סף'!Q36&lt;&gt;1,'הזנה לתנאי סף'!N36&lt;&gt;1),"",'הזנה לתנאי סף'!G36)</f>
        <v>תל אביב -יפו</v>
      </c>
      <c r="G36" s="88" t="str">
        <f>IF($F36="","",'הזנה לתנאי סף'!H36)</f>
        <v>תיאטרון אורנה פורת לילדים</v>
      </c>
      <c r="H36" s="88" t="str">
        <f>IF($F36="","",'הזנה לתנאי סף'!I36)</f>
        <v>מחול</v>
      </c>
      <c r="I36" s="88">
        <f>IF($F36="","",IF(AND('הזנה לתנאי סף'!N36=0,J36&gt;0),$Q$2,'הזנה לתנאי סף'!N36))</f>
        <v>1</v>
      </c>
      <c r="J36" s="213">
        <f>IF($F36="","",INDEX('גיליון עזר לתחום תמיכה ג'!$H$31:$H$330,MATCH(E36,'גיליון עזר לתחום תמיכה ג'!$C$31:$C$330,0)))</f>
        <v>15995126</v>
      </c>
      <c r="K36" s="213">
        <f>IF(OR(F36="",J36=""),"",IF(AND(J36&gt;0,I36=1),J36*'פרמטרים לקריטריונים'!$C$64,$Q$2))</f>
        <v>15995126</v>
      </c>
      <c r="L36" s="227">
        <f>IF(OR(F36="",J36=""),"",IF(J36&gt;0,'תחום תמיכה ב'!AC36/SUMIFS('תחום תמיכה ב'!$AC$31:$AC$500,'תחום תמיכה ב'!$E$31:$E$500,E36,'תחום תמיכה ב'!$S$31:$S$500,"=1"),0))</f>
        <v>7.1462523445199308E-2</v>
      </c>
      <c r="M36" s="213">
        <f t="shared" si="1"/>
        <v>1143052.0667839171</v>
      </c>
      <c r="N36" s="227">
        <f t="shared" si="2"/>
        <v>5.1937881614555544E-2</v>
      </c>
      <c r="O36" s="213">
        <f t="shared" si="3"/>
        <v>1143052.0667839171</v>
      </c>
    </row>
    <row r="37" spans="1:15" ht="15.75" x14ac:dyDescent="0.2">
      <c r="A37" s="206" t="str">
        <f t="shared" si="0"/>
        <v/>
      </c>
      <c r="B37" s="88" t="str">
        <f>IF($F37="","",'הזנה לתנאי סף'!C37)</f>
        <v/>
      </c>
      <c r="C37" s="88" t="str">
        <f>IF($F37="","",'הזנה לתנאי סף'!D37)</f>
        <v/>
      </c>
      <c r="D37" s="88" t="str">
        <f>IF($F37="","",'הזנה לתנאי סף'!E37)</f>
        <v/>
      </c>
      <c r="E37" s="88" t="str">
        <f>IF($F37="","",'הזנה לתנאי סף'!F37)</f>
        <v/>
      </c>
      <c r="F37" s="88" t="str">
        <f>IF(OR('הזנה לתנאי סף'!G37="",'הזנה לתנאי סף'!BL37&lt;&gt;1,'הזנה לתנאי סף'!Q37&lt;&gt;1,'הזנה לתנאי סף'!N37&lt;&gt;1),"",'הזנה לתנאי סף'!G37)</f>
        <v/>
      </c>
      <c r="G37" s="88" t="str">
        <f>IF($F37="","",'הזנה לתנאי סף'!H37)</f>
        <v/>
      </c>
      <c r="H37" s="88" t="str">
        <f>IF($F37="","",'הזנה לתנאי סף'!I37)</f>
        <v/>
      </c>
      <c r="I37" s="88" t="str">
        <f>IF($F37="","",IF(AND('הזנה לתנאי סף'!N37=0,J37&gt;0),$Q$2,'הזנה לתנאי סף'!N37))</f>
        <v/>
      </c>
      <c r="J37" s="213" t="str">
        <f>IF($F37="","",INDEX('גיליון עזר לתחום תמיכה ג'!$H$31:$H$330,MATCH(E37,'גיליון עזר לתחום תמיכה ג'!$C$31:$C$330,0)))</f>
        <v/>
      </c>
      <c r="K37" s="213" t="str">
        <f>IF(OR(F37="",J37=""),"",IF(AND(J37&gt;0,I37=1),J37*'פרמטרים לקריטריונים'!$C$64,$Q$2))</f>
        <v/>
      </c>
      <c r="L37" s="227" t="str">
        <f>IF(OR(F37="",J37=""),"",IF(J37&gt;0,'תחום תמיכה ב'!AC37/SUMIFS('תחום תמיכה ב'!$AC$31:$AC$500,'תחום תמיכה ב'!$E$31:$E$500,E37,'תחום תמיכה ב'!$S$31:$S$500,"=1"),0))</f>
        <v/>
      </c>
      <c r="M37" s="213" t="str">
        <f t="shared" si="1"/>
        <v/>
      </c>
      <c r="N37" s="227" t="str">
        <f t="shared" si="2"/>
        <v/>
      </c>
      <c r="O37" s="213" t="str">
        <f t="shared" si="3"/>
        <v/>
      </c>
    </row>
    <row r="38" spans="1:15" ht="15.75" x14ac:dyDescent="0.2">
      <c r="A38" s="206">
        <f t="shared" si="0"/>
        <v>8</v>
      </c>
      <c r="B38" s="88">
        <f>IF($F38="","",'הזנה לתנאי סף'!C38)</f>
        <v>1001349107</v>
      </c>
      <c r="C38" s="88">
        <f>IF($F38="","",'הזנה לתנאי סף'!D38)</f>
        <v>1001277535</v>
      </c>
      <c r="D38" s="88">
        <f>IF($F38="","",'הזנה לתנאי סף'!E38)</f>
        <v>40000019</v>
      </c>
      <c r="E38" s="88">
        <f>IF($F38="","",'הזנה לתנאי סף'!F38)</f>
        <v>20000159</v>
      </c>
      <c r="F38" s="88" t="str">
        <f>IF(OR('הזנה לתנאי סף'!G38="",'הזנה לתנאי סף'!BL38&lt;&gt;1,'הזנה לתנאי סף'!Q38&lt;&gt;1,'הזנה לתנאי סף'!N38&lt;&gt;1),"",'הזנה לתנאי סף'!G38)</f>
        <v>ירושלים</v>
      </c>
      <c r="G38" s="88" t="str">
        <f>IF($F38="","",'הזנה לתנאי סף'!H38)</f>
        <v>תיאטרון ירושלים לאומנויות הבמה</v>
      </c>
      <c r="H38" s="88" t="str">
        <f>IF($F38="","",'הזנה לתנאי סף'!I38)</f>
        <v>סינמטקים ופסטיבלים</v>
      </c>
      <c r="I38" s="88">
        <f>IF($F38="","",IF(AND('הזנה לתנאי סף'!N38=0,J38&gt;0),$Q$2,'הזנה לתנאי סף'!N38))</f>
        <v>1</v>
      </c>
      <c r="J38" s="213">
        <f>IF($F38="","",INDEX('גיליון עזר לתחום תמיכה ג'!$H$31:$H$330,MATCH(E38,'גיליון עזר לתחום תמיכה ג'!$C$31:$C$330,0)))</f>
        <v>3990706</v>
      </c>
      <c r="K38" s="213">
        <f>IF(OR(F38="",J38=""),"",IF(AND(J38&gt;0,I38=1),J38*'פרמטרים לקריטריונים'!$C$64,$Q$2))</f>
        <v>3990706</v>
      </c>
      <c r="L38" s="227">
        <f>IF(OR(F38="",J38=""),"",IF(J38&gt;0,'תחום תמיכה ב'!AC38/SUMIFS('תחום תמיכה ב'!$AC$31:$AC$500,'תחום תמיכה ב'!$E$31:$E$500,E38,'תחום תמיכה ב'!$S$31:$S$500,"=1"),0))</f>
        <v>1.3488671777166189E-3</v>
      </c>
      <c r="M38" s="213">
        <f t="shared" si="1"/>
        <v>5382.932339316777</v>
      </c>
      <c r="N38" s="227">
        <f t="shared" si="2"/>
        <v>2.445891230180058E-4</v>
      </c>
      <c r="O38" s="213">
        <f t="shared" si="3"/>
        <v>5382.932339316777</v>
      </c>
    </row>
    <row r="39" spans="1:15" ht="15.75" x14ac:dyDescent="0.2">
      <c r="A39" s="206">
        <f t="shared" si="0"/>
        <v>9</v>
      </c>
      <c r="B39" s="88">
        <f>IF($F39="","",'הזנה לתנאי סף'!C39)</f>
        <v>1001349111</v>
      </c>
      <c r="C39" s="88">
        <f>IF($F39="","",'הזנה לתנאי סף'!D39)</f>
        <v>1001277536</v>
      </c>
      <c r="D39" s="88">
        <f>IF($F39="","",'הזנה לתנאי סף'!E39)</f>
        <v>40000019</v>
      </c>
      <c r="E39" s="88">
        <f>IF($F39="","",'הזנה לתנאי סף'!F39)</f>
        <v>20000159</v>
      </c>
      <c r="F39" s="88" t="str">
        <f>IF(OR('הזנה לתנאי סף'!G39="",'הזנה לתנאי סף'!BL39&lt;&gt;1,'הזנה לתנאי סף'!Q39&lt;&gt;1,'הזנה לתנאי סף'!N39&lt;&gt;1),"",'הזנה לתנאי סף'!G39)</f>
        <v>ירושלים</v>
      </c>
      <c r="G39" s="88" t="str">
        <f>IF($F39="","",'הזנה לתנאי סף'!H39)</f>
        <v>תיאטרון ירושלים לאומנויות הבמה</v>
      </c>
      <c r="H39" s="88" t="str">
        <f>IF($F39="","",'הזנה לתנאי סף'!I39)</f>
        <v>סינמטקים ופסטיבלים</v>
      </c>
      <c r="I39" s="88">
        <f>IF($F39="","",IF(AND('הזנה לתנאי סף'!N39=0,J39&gt;0),$Q$2,'הזנה לתנאי סף'!N39))</f>
        <v>1</v>
      </c>
      <c r="J39" s="213">
        <f>IF($F39="","",INDEX('גיליון עזר לתחום תמיכה ג'!$H$31:$H$330,MATCH(E39,'גיליון עזר לתחום תמיכה ג'!$C$31:$C$330,0)))</f>
        <v>3990706</v>
      </c>
      <c r="K39" s="213">
        <f>IF(OR(F39="",J39=""),"",IF(AND(J39&gt;0,I39=1),J39*'פרמטרים לקריטריונים'!$C$64,$Q$2))</f>
        <v>3990706</v>
      </c>
      <c r="L39" s="227">
        <f>IF(OR(F39="",J39=""),"",IF(J39&gt;0,'תחום תמיכה ב'!AC39/SUMIFS('תחום תמיכה ב'!$AC$31:$AC$500,'תחום תמיכה ב'!$E$31:$E$500,E39,'תחום תמיכה ב'!$S$31:$S$500,"=1"),0))</f>
        <v>9.5733886212245856E-4</v>
      </c>
      <c r="M39" s="213">
        <f t="shared" si="1"/>
        <v>3820.4579411052682</v>
      </c>
      <c r="N39" s="227">
        <f t="shared" si="2"/>
        <v>1.7359357287792266E-4</v>
      </c>
      <c r="O39" s="213">
        <f t="shared" si="3"/>
        <v>3820.4579411052682</v>
      </c>
    </row>
    <row r="40" spans="1:15" ht="15.75" x14ac:dyDescent="0.2">
      <c r="A40" s="206">
        <f t="shared" si="0"/>
        <v>10</v>
      </c>
      <c r="B40" s="88">
        <f>IF($F40="","",'הזנה לתנאי סף'!C40)</f>
        <v>1001346994</v>
      </c>
      <c r="C40" s="88">
        <f>IF($F40="","",'הזנה לתנאי סף'!D40)</f>
        <v>1001267387</v>
      </c>
      <c r="D40" s="88">
        <f>IF($F40="","",'הזנה לתנאי סף'!E40)</f>
        <v>40000039</v>
      </c>
      <c r="E40" s="88">
        <f>IF($F40="","",'הזנה לתנאי סף'!F40)</f>
        <v>20000201</v>
      </c>
      <c r="F40" s="88" t="str">
        <f>IF(OR('הזנה לתנאי סף'!G40="",'הזנה לתנאי סף'!BL40&lt;&gt;1,'הזנה לתנאי סף'!Q40&lt;&gt;1,'הזנה לתנאי סף'!N40&lt;&gt;1),"",'הזנה לתנאי סף'!G40)</f>
        <v>תל אביב -יפו</v>
      </c>
      <c r="G40" s="88" t="str">
        <f>IF($F40="","",'הזנה לתנאי סף'!H40)</f>
        <v>מוזיאון ת"א לאומנות</v>
      </c>
      <c r="H40" s="88" t="str">
        <f>IF($F40="","",'הזנה לתנאי סף'!I40)</f>
        <v>מוזיאונים</v>
      </c>
      <c r="I40" s="88">
        <f>IF($F40="","",IF(AND('הזנה לתנאי סף'!N40=0,J40&gt;0),$Q$2,'הזנה לתנאי סף'!N40))</f>
        <v>1</v>
      </c>
      <c r="J40" s="213">
        <f>IF($F40="","",INDEX('גיליון עזר לתחום תמיכה ג'!$H$31:$H$330,MATCH(E40,'גיליון עזר לתחום תמיכה ג'!$C$31:$C$330,0)))</f>
        <v>15995126</v>
      </c>
      <c r="K40" s="213">
        <f>IF(OR(F40="",J40=""),"",IF(AND(J40&gt;0,I40=1),J40*'פרמטרים לקריטריונים'!$C$64,$Q$2))</f>
        <v>15995126</v>
      </c>
      <c r="L40" s="227">
        <f>IF(OR(F40="",J40=""),"",IF(J40&gt;0,'תחום תמיכה ב'!AC40/SUMIFS('תחום תמיכה ב'!$AC$31:$AC$500,'תחום תמיכה ב'!$E$31:$E$500,E40,'תחום תמיכה ב'!$S$31:$S$500,"=1"),0))</f>
        <v>8.7231502714270132E-2</v>
      </c>
      <c r="M40" s="213">
        <f t="shared" si="1"/>
        <v>1395278.8770840927</v>
      </c>
      <c r="N40" s="227">
        <f t="shared" si="2"/>
        <v>6.3398537339754396E-2</v>
      </c>
      <c r="O40" s="213">
        <f t="shared" si="3"/>
        <v>1395278.8770840927</v>
      </c>
    </row>
    <row r="41" spans="1:15" ht="15.75" x14ac:dyDescent="0.2">
      <c r="A41" s="206" t="str">
        <f t="shared" si="0"/>
        <v/>
      </c>
      <c r="B41" s="88" t="str">
        <f>IF($F41="","",'הזנה לתנאי סף'!C41)</f>
        <v/>
      </c>
      <c r="C41" s="88" t="str">
        <f>IF($F41="","",'הזנה לתנאי סף'!D41)</f>
        <v/>
      </c>
      <c r="D41" s="88" t="str">
        <f>IF($F41="","",'הזנה לתנאי סף'!E41)</f>
        <v/>
      </c>
      <c r="E41" s="88" t="str">
        <f>IF($F41="","",'הזנה לתנאי סף'!F41)</f>
        <v/>
      </c>
      <c r="F41" s="88" t="str">
        <f>IF(OR('הזנה לתנאי סף'!G41="",'הזנה לתנאי סף'!BL41&lt;&gt;1,'הזנה לתנאי סף'!Q41&lt;&gt;1,'הזנה לתנאי סף'!N41&lt;&gt;1),"",'הזנה לתנאי סף'!G41)</f>
        <v/>
      </c>
      <c r="G41" s="88" t="str">
        <f>IF($F41="","",'הזנה לתנאי סף'!H41)</f>
        <v/>
      </c>
      <c r="H41" s="88" t="str">
        <f>IF($F41="","",'הזנה לתנאי סף'!I41)</f>
        <v/>
      </c>
      <c r="I41" s="88" t="str">
        <f>IF($F41="","",IF(AND('הזנה לתנאי סף'!N41=0,J41&gt;0),$Q$2,'הזנה לתנאי סף'!N41))</f>
        <v/>
      </c>
      <c r="J41" s="213" t="str">
        <f>IF($F41="","",INDEX('גיליון עזר לתחום תמיכה ג'!$H$31:$H$330,MATCH(E41,'גיליון עזר לתחום תמיכה ג'!$C$31:$C$330,0)))</f>
        <v/>
      </c>
      <c r="K41" s="213" t="str">
        <f>IF(OR(F41="",J41=""),"",IF(AND(J41&gt;0,I41=1),J41*'פרמטרים לקריטריונים'!$C$64,$Q$2))</f>
        <v/>
      </c>
      <c r="L41" s="227" t="str">
        <f>IF(OR(F41="",J41=""),"",IF(J41&gt;0,'תחום תמיכה ב'!AC41/SUMIFS('תחום תמיכה ב'!$AC$31:$AC$500,'תחום תמיכה ב'!$E$31:$E$500,E41,'תחום תמיכה ב'!$S$31:$S$500,"=1"),0))</f>
        <v/>
      </c>
      <c r="M41" s="213" t="str">
        <f t="shared" si="1"/>
        <v/>
      </c>
      <c r="N41" s="227" t="str">
        <f t="shared" si="2"/>
        <v/>
      </c>
      <c r="O41" s="213" t="str">
        <f t="shared" si="3"/>
        <v/>
      </c>
    </row>
    <row r="42" spans="1:15" ht="15.75" x14ac:dyDescent="0.2">
      <c r="A42" s="206">
        <f t="shared" si="0"/>
        <v>12</v>
      </c>
      <c r="B42" s="88">
        <f>IF($F42="","",'הזנה לתנאי סף'!C42)</f>
        <v>1001349551</v>
      </c>
      <c r="C42" s="88">
        <f>IF($F42="","",'הזנה לתנאי סף'!D42)</f>
        <v>1001271250</v>
      </c>
      <c r="D42" s="88">
        <f>IF($F42="","",'הזנה לתנאי סף'!E42)</f>
        <v>40000101</v>
      </c>
      <c r="E42" s="88">
        <f>IF($F42="","",'הזנה לתנאי סף'!F42)</f>
        <v>20000208</v>
      </c>
      <c r="F42" s="88" t="str">
        <f>IF(OR('הזנה לתנאי סף'!G42="",'הזנה לתנאי סף'!BL42&lt;&gt;1,'הזנה לתנאי סף'!Q42&lt;&gt;1,'הזנה לתנאי סף'!N42&lt;&gt;1),"",'הזנה לתנאי סף'!G42)</f>
        <v>חוף אשקלון</v>
      </c>
      <c r="G42" s="88" t="str">
        <f>IF($F42="","",'הזנה לתנאי סף'!H42)</f>
        <v>מוזיאון יד מרדכי</v>
      </c>
      <c r="H42" s="88" t="str">
        <f>IF($F42="","",'הזנה לתנאי סף'!I42)</f>
        <v>מוזיאונים</v>
      </c>
      <c r="I42" s="88">
        <f>IF($F42="","",IF(AND('הזנה לתנאי סף'!N42=0,J42&gt;0),$Q$2,'הזנה לתנאי סף'!N42))</f>
        <v>1</v>
      </c>
      <c r="J42" s="213" t="str">
        <f>IF($F42="","",INDEX('גיליון עזר לתחום תמיכה ג'!$H$31:$H$330,MATCH(E42,'גיליון עזר לתחום תמיכה ג'!$C$31:$C$330,0)))</f>
        <v/>
      </c>
      <c r="K42" s="213" t="str">
        <f>IF(OR(F42="",J42=""),"",IF(AND(J42&gt;0,I42=1),J42*'פרמטרים לקריטריונים'!$C$64,$Q$2))</f>
        <v/>
      </c>
      <c r="L42" s="227" t="str">
        <f>IF(OR(F42="",J42=""),"",IF(J42&gt;0,'תחום תמיכה ב'!AC42/SUMIFS('תחום תמיכה ב'!$AC$31:$AC$500,'תחום תמיכה ב'!$E$31:$E$500,E42,'תחום תמיכה ב'!$S$31:$S$500,"=1"),0))</f>
        <v/>
      </c>
      <c r="M42" s="213" t="str">
        <f t="shared" si="1"/>
        <v/>
      </c>
      <c r="N42" s="227" t="str">
        <f t="shared" si="2"/>
        <v/>
      </c>
      <c r="O42" s="213" t="str">
        <f t="shared" si="3"/>
        <v/>
      </c>
    </row>
    <row r="43" spans="1:15" ht="15.75" x14ac:dyDescent="0.2">
      <c r="A43" s="206" t="str">
        <f t="shared" si="0"/>
        <v/>
      </c>
      <c r="B43" s="88" t="str">
        <f>IF($F43="","",'הזנה לתנאי סף'!C43)</f>
        <v/>
      </c>
      <c r="C43" s="88" t="str">
        <f>IF($F43="","",'הזנה לתנאי סף'!D43)</f>
        <v/>
      </c>
      <c r="D43" s="88" t="str">
        <f>IF($F43="","",'הזנה לתנאי סף'!E43)</f>
        <v/>
      </c>
      <c r="E43" s="88" t="str">
        <f>IF($F43="","",'הזנה לתנאי סף'!F43)</f>
        <v/>
      </c>
      <c r="F43" s="88" t="str">
        <f>IF(OR('הזנה לתנאי סף'!G43="",'הזנה לתנאי סף'!BL43&lt;&gt;1,'הזנה לתנאי סף'!Q43&lt;&gt;1,'הזנה לתנאי סף'!N43&lt;&gt;1),"",'הזנה לתנאי סף'!G43)</f>
        <v/>
      </c>
      <c r="G43" s="88" t="str">
        <f>IF($F43="","",'הזנה לתנאי סף'!H43)</f>
        <v/>
      </c>
      <c r="H43" s="88" t="str">
        <f>IF($F43="","",'הזנה לתנאי סף'!I43)</f>
        <v/>
      </c>
      <c r="I43" s="88" t="str">
        <f>IF($F43="","",IF(AND('הזנה לתנאי סף'!N43=0,J43&gt;0),$Q$2,'הזנה לתנאי סף'!N43))</f>
        <v/>
      </c>
      <c r="J43" s="213" t="str">
        <f>IF($F43="","",INDEX('גיליון עזר לתחום תמיכה ג'!$H$31:$H$330,MATCH(E43,'גיליון עזר לתחום תמיכה ג'!$C$31:$C$330,0)))</f>
        <v/>
      </c>
      <c r="K43" s="213" t="str">
        <f>IF(OR(F43="",J43=""),"",IF(AND(J43&gt;0,I43=1),J43*'פרמטרים לקריטריונים'!$C$64,$Q$2))</f>
        <v/>
      </c>
      <c r="L43" s="227" t="str">
        <f>IF(OR(F43="",J43=""),"",IF(J43&gt;0,'תחום תמיכה ב'!AC43/SUMIFS('תחום תמיכה ב'!$AC$31:$AC$500,'תחום תמיכה ב'!$E$31:$E$500,E43,'תחום תמיכה ב'!$S$31:$S$500,"=1"),0))</f>
        <v/>
      </c>
      <c r="M43" s="213" t="str">
        <f t="shared" si="1"/>
        <v/>
      </c>
      <c r="N43" s="227" t="str">
        <f t="shared" si="2"/>
        <v/>
      </c>
      <c r="O43" s="213" t="str">
        <f t="shared" si="3"/>
        <v/>
      </c>
    </row>
    <row r="44" spans="1:15" ht="15.75" x14ac:dyDescent="0.2">
      <c r="A44" s="206">
        <f t="shared" si="0"/>
        <v>14</v>
      </c>
      <c r="B44" s="88">
        <f>IF($F44="","",'הזנה לתנאי סף'!C44)</f>
        <v>1001348127</v>
      </c>
      <c r="C44" s="88">
        <f>IF($F44="","",'הזנה לתנאי סף'!D44)</f>
        <v>1001268819</v>
      </c>
      <c r="D44" s="88">
        <f>IF($F44="","",'הזנה לתנאי סף'!E44)</f>
        <v>40000028</v>
      </c>
      <c r="E44" s="88">
        <f>IF($F44="","",'הזנה לתנאי סף'!F44)</f>
        <v>20000159</v>
      </c>
      <c r="F44" s="88" t="str">
        <f>IF(OR('הזנה לתנאי סף'!G44="",'הזנה לתנאי סף'!BL44&lt;&gt;1,'הזנה לתנאי סף'!Q44&lt;&gt;1,'הזנה לתנאי סף'!N44&lt;&gt;1),"",'הזנה לתנאי סף'!G44)</f>
        <v>ירושלים</v>
      </c>
      <c r="G44" s="88" t="str">
        <f>IF($F44="","",'הזנה לתנאי סף'!H44)</f>
        <v>הקם בע"מ</v>
      </c>
      <c r="H44" s="88" t="str">
        <f>IF($F44="","",'הזנה לתנאי סף'!I44)</f>
        <v>סינמטקים ופסטיבלים</v>
      </c>
      <c r="I44" s="88">
        <f>IF($F44="","",IF(AND('הזנה לתנאי סף'!N44=0,J44&gt;0),$Q$2,'הזנה לתנאי סף'!N44))</f>
        <v>1</v>
      </c>
      <c r="J44" s="213">
        <f>IF($F44="","",INDEX('גיליון עזר לתחום תמיכה ג'!$H$31:$H$330,MATCH(E44,'גיליון עזר לתחום תמיכה ג'!$C$31:$C$330,0)))</f>
        <v>3990706</v>
      </c>
      <c r="K44" s="213">
        <f>IF(OR(F44="",J44=""),"",IF(AND(J44&gt;0,I44=1),J44*'פרמטרים לקריטריונים'!$C$64,$Q$2))</f>
        <v>3990706</v>
      </c>
      <c r="L44" s="227">
        <f>IF(OR(F44="",J44=""),"",IF(J44&gt;0,'תחום תמיכה ב'!AC44/SUMIFS('תחום תמיכה ב'!$AC$31:$AC$500,'תחום תמיכה ב'!$E$31:$E$500,E44,'תחום תמיכה ב'!$S$31:$S$500,"=1"),0))</f>
        <v>2.3521179411113077E-3</v>
      </c>
      <c r="M44" s="213">
        <f t="shared" si="1"/>
        <v>9386.6111803005424</v>
      </c>
      <c r="N44" s="227">
        <f t="shared" si="2"/>
        <v>4.2650786819886319E-4</v>
      </c>
      <c r="O44" s="213">
        <f t="shared" si="3"/>
        <v>9386.6111803005424</v>
      </c>
    </row>
    <row r="45" spans="1:15" ht="15.75" x14ac:dyDescent="0.2">
      <c r="A45" s="206">
        <f t="shared" si="0"/>
        <v>15</v>
      </c>
      <c r="B45" s="88">
        <f>IF($F45="","",'הזנה לתנאי סף'!C45)</f>
        <v>1001346801</v>
      </c>
      <c r="C45" s="88">
        <f>IF($F45="","",'הזנה לתנאי סף'!D45)</f>
        <v>1001274535</v>
      </c>
      <c r="D45" s="88">
        <f>IF($F45="","",'הזנה לתנאי סף'!E45)</f>
        <v>40000095</v>
      </c>
      <c r="E45" s="88">
        <f>IF($F45="","",'הזנה לתנאי סף'!F45)</f>
        <v>20000182</v>
      </c>
      <c r="F45" s="88" t="str">
        <f>IF(OR('הזנה לתנאי סף'!G45="",'הזנה לתנאי סף'!BL45&lt;&gt;1,'הזנה לתנאי סף'!Q45&lt;&gt;1,'הזנה לתנאי סף'!N45&lt;&gt;1),"",'הזנה לתנאי סף'!G45)</f>
        <v>חיפה</v>
      </c>
      <c r="G45" s="88" t="str">
        <f>IF($F45="","",'הזנה לתנאי סף'!H45)</f>
        <v>בית גפן - מרכז תרבות ערבי יהודי</v>
      </c>
      <c r="H45" s="88" t="str">
        <f>IF($F45="","",'הזנה לתנאי סף'!I45)</f>
        <v>תיאטרון</v>
      </c>
      <c r="I45" s="88">
        <f>IF($F45="","",IF(AND('הזנה לתנאי סף'!N45=0,J45&gt;0),$Q$2,'הזנה לתנאי סף'!N45))</f>
        <v>1</v>
      </c>
      <c r="J45" s="213">
        <f>IF($F45="","",INDEX('גיליון עזר לתחום תמיכה ג'!$H$31:$H$330,MATCH(E45,'גיליון עזר לתחום תמיכה ג'!$C$31:$C$330,0)))</f>
        <v>894484</v>
      </c>
      <c r="K45" s="213">
        <f>IF(OR(F45="",J45=""),"",IF(AND(J45&gt;0,I45=1),J45*'פרמטרים לקריטריונים'!$C$64,$Q$2))</f>
        <v>894484</v>
      </c>
      <c r="L45" s="227">
        <f>IF(OR(F45="",J45=""),"",IF(J45&gt;0,'תחום תמיכה ב'!AC45/SUMIFS('תחום תמיכה ב'!$AC$31:$AC$500,'תחום תמיכה ב'!$E$31:$E$500,E45,'תחום תמיכה ב'!$S$31:$S$500,"=1"),0))</f>
        <v>7.4027360872547746E-3</v>
      </c>
      <c r="M45" s="213">
        <f t="shared" si="1"/>
        <v>6621.6289862719996</v>
      </c>
      <c r="N45" s="227">
        <f t="shared" si="2"/>
        <v>3.0087289317636836E-4</v>
      </c>
      <c r="O45" s="213">
        <f t="shared" si="3"/>
        <v>6621.6289862719996</v>
      </c>
    </row>
    <row r="46" spans="1:15" ht="15.75" x14ac:dyDescent="0.2">
      <c r="A46" s="206">
        <f t="shared" si="0"/>
        <v>16</v>
      </c>
      <c r="B46" s="88">
        <f>IF($F46="","",'הזנה לתנאי סף'!C46)</f>
        <v>1001348773</v>
      </c>
      <c r="C46" s="88">
        <f>IF($F46="","",'הזנה לתנאי סף'!D46)</f>
        <v>1001262086</v>
      </c>
      <c r="D46" s="88">
        <f>IF($F46="","",'הזנה לתנאי סף'!E46)</f>
        <v>40000043</v>
      </c>
      <c r="E46" s="88">
        <f>IF($F46="","",'הזנה לתנאי סף'!F46)</f>
        <v>20000159</v>
      </c>
      <c r="F46" s="88" t="str">
        <f>IF(OR('הזנה לתנאי סף'!G46="",'הזנה לתנאי סף'!BL46&lt;&gt;1,'הזנה לתנאי סף'!Q46&lt;&gt;1,'הזנה לתנאי סף'!N46&lt;&gt;1),"",'הזנה לתנאי סף'!G46)</f>
        <v>ירושלים</v>
      </c>
      <c r="G46" s="88" t="str">
        <f>IF($F46="","",'הזנה לתנאי סף'!H46)</f>
        <v>מוזיאון ישראל</v>
      </c>
      <c r="H46" s="88" t="str">
        <f>IF($F46="","",'הזנה לתנאי סף'!I46)</f>
        <v>מוזיאונים</v>
      </c>
      <c r="I46" s="88">
        <f>IF($F46="","",IF(AND('הזנה לתנאי סף'!N46=0,J46&gt;0),$Q$2,'הזנה לתנאי סף'!N46))</f>
        <v>1</v>
      </c>
      <c r="J46" s="213">
        <f>IF($F46="","",INDEX('גיליון עזר לתחום תמיכה ג'!$H$31:$H$330,MATCH(E46,'גיליון עזר לתחום תמיכה ג'!$C$31:$C$330,0)))</f>
        <v>3990706</v>
      </c>
      <c r="K46" s="213">
        <f>IF(OR(F46="",J46=""),"",IF(AND(J46&gt;0,I46=1),J46*'פרמטרים לקריטריונים'!$C$64,$Q$2))</f>
        <v>3990706</v>
      </c>
      <c r="L46" s="227">
        <f>IF(OR(F46="",J46=""),"",IF(J46&gt;0,'תחום תמיכה ב'!AC46/SUMIFS('תחום תמיכה ב'!$AC$31:$AC$500,'תחום תמיכה ב'!$E$31:$E$500,E46,'תחום תמיכה ב'!$S$31:$S$500,"=1"),0))</f>
        <v>0.57747783253549423</v>
      </c>
      <c r="M46" s="213">
        <f t="shared" si="1"/>
        <v>2304544.2511663921</v>
      </c>
      <c r="N46" s="227">
        <f t="shared" si="2"/>
        <v>0.10471364338577541</v>
      </c>
      <c r="O46" s="213">
        <f t="shared" si="3"/>
        <v>2304544.2511663921</v>
      </c>
    </row>
    <row r="47" spans="1:15" ht="15.75" x14ac:dyDescent="0.2">
      <c r="A47" s="206">
        <f t="shared" si="0"/>
        <v>17</v>
      </c>
      <c r="B47" s="88">
        <f>IF($F47="","",'הזנה לתנאי סף'!C47)</f>
        <v>1001346968</v>
      </c>
      <c r="C47" s="88">
        <f>IF($F47="","",'הזנה לתנאי סף'!D47)</f>
        <v>1001266786</v>
      </c>
      <c r="D47" s="88">
        <f>IF($F47="","",'הזנה לתנאי סף'!E47)</f>
        <v>40000128</v>
      </c>
      <c r="E47" s="88">
        <f>IF($F47="","",'הזנה לתנאי סף'!F47)</f>
        <v>20000184</v>
      </c>
      <c r="F47" s="88" t="str">
        <f>IF(OR('הזנה לתנאי סף'!G47="",'הזנה לתנאי סף'!BL47&lt;&gt;1,'הזנה לתנאי סף'!Q47&lt;&gt;1,'הזנה לתנאי סף'!N47&lt;&gt;1),"",'הזנה לתנאי סף'!G47)</f>
        <v>קצרין</v>
      </c>
      <c r="G47" s="88" t="str">
        <f>IF($F47="","",'הזנה לתנאי סף'!H47)</f>
        <v>מוזיאון עתיקות הגולן</v>
      </c>
      <c r="H47" s="88" t="str">
        <f>IF($F47="","",'הזנה לתנאי סף'!I47)</f>
        <v>מוזיאונים</v>
      </c>
      <c r="I47" s="88">
        <f>IF($F47="","",IF(AND('הזנה לתנאי סף'!N47=0,J47&gt;0),$Q$2,'הזנה לתנאי סף'!N47))</f>
        <v>1</v>
      </c>
      <c r="J47" s="213" t="str">
        <f>IF($F47="","",INDEX('גיליון עזר לתחום תמיכה ג'!$H$31:$H$330,MATCH(E47,'גיליון עזר לתחום תמיכה ג'!$C$31:$C$330,0)))</f>
        <v/>
      </c>
      <c r="K47" s="213" t="str">
        <f>IF(OR(F47="",J47=""),"",IF(AND(J47&gt;0,I47=1),J47*'פרמטרים לקריטריונים'!$C$64,$Q$2))</f>
        <v/>
      </c>
      <c r="L47" s="227" t="str">
        <f>IF(OR(F47="",J47=""),"",IF(J47&gt;0,'תחום תמיכה ב'!AC47/SUMIFS('תחום תמיכה ב'!$AC$31:$AC$500,'תחום תמיכה ב'!$E$31:$E$500,E47,'תחום תמיכה ב'!$S$31:$S$500,"=1"),0))</f>
        <v/>
      </c>
      <c r="M47" s="213" t="str">
        <f t="shared" si="1"/>
        <v/>
      </c>
      <c r="N47" s="227" t="str">
        <f t="shared" si="2"/>
        <v/>
      </c>
      <c r="O47" s="213" t="str">
        <f t="shared" si="3"/>
        <v/>
      </c>
    </row>
    <row r="48" spans="1:15" ht="15.75" x14ac:dyDescent="0.2">
      <c r="A48" s="206">
        <f t="shared" si="0"/>
        <v>18</v>
      </c>
      <c r="B48" s="88">
        <f>IF($F48="","",'הזנה לתנאי סף'!C48)</f>
        <v>1001346240</v>
      </c>
      <c r="C48" s="88">
        <f>IF($F48="","",'הזנה לתנאי סף'!D48)</f>
        <v>1001273528</v>
      </c>
      <c r="D48" s="88">
        <f>IF($F48="","",'הזנה לתנאי סף'!E48)</f>
        <v>40000133</v>
      </c>
      <c r="E48" s="88">
        <f>IF($F48="","",'הזנה לתנאי סף'!F48)</f>
        <v>20000201</v>
      </c>
      <c r="F48" s="88" t="str">
        <f>IF(OR('הזנה לתנאי סף'!G48="",'הזנה לתנאי סף'!BL48&lt;&gt;1,'הזנה לתנאי סף'!Q48&lt;&gt;1,'הזנה לתנאי סף'!N48&lt;&gt;1),"",'הזנה לתנאי סף'!G48)</f>
        <v>תל אביב -יפו</v>
      </c>
      <c r="G48" s="88" t="str">
        <f>IF($F48="","",'הזנה לתנאי סף'!H48)</f>
        <v>האופרה הישראלית ת"א</v>
      </c>
      <c r="H48" s="88" t="str">
        <f>IF($F48="","",'הזנה לתנאי סף'!I48)</f>
        <v>אופרה</v>
      </c>
      <c r="I48" s="88">
        <f>IF($F48="","",IF(AND('הזנה לתנאי סף'!N48=0,J48&gt;0),$Q$2,'הזנה לתנאי סף'!N48))</f>
        <v>1</v>
      </c>
      <c r="J48" s="213">
        <f>IF($F48="","",INDEX('גיליון עזר לתחום תמיכה ג'!$H$31:$H$330,MATCH(E48,'גיליון עזר לתחום תמיכה ג'!$C$31:$C$330,0)))</f>
        <v>15995126</v>
      </c>
      <c r="K48" s="213">
        <f>IF(OR(F48="",J48=""),"",IF(AND(J48&gt;0,I48=1),J48*'פרמטרים לקריטריונים'!$C$64,$Q$2))</f>
        <v>15995126</v>
      </c>
      <c r="L48" s="227">
        <f>IF(OR(F48="",J48=""),"",IF(J48&gt;0,'תחום תמיכה ב'!AC48/SUMIFS('תחום תמיכה ב'!$AC$31:$AC$500,'תחום תמיכה ב'!$E$31:$E$500,E48,'תחום תמיכה ב'!$S$31:$S$500,"=1"),0))</f>
        <v>0.12080985696889623</v>
      </c>
      <c r="M48" s="213">
        <f t="shared" si="1"/>
        <v>1932368.8842594733</v>
      </c>
      <c r="N48" s="227">
        <f t="shared" si="2"/>
        <v>8.780277754862062E-2</v>
      </c>
      <c r="O48" s="213">
        <f t="shared" si="3"/>
        <v>1932368.8842594733</v>
      </c>
    </row>
    <row r="49" spans="1:15" ht="15.75" x14ac:dyDescent="0.2">
      <c r="A49" s="206">
        <f t="shared" si="0"/>
        <v>19</v>
      </c>
      <c r="B49" s="88">
        <f>IF($F49="","",'הזנה לתנאי סף'!C49)</f>
        <v>1001348851</v>
      </c>
      <c r="C49" s="88">
        <f>IF($F49="","",'הזנה לתנאי סף'!D49)</f>
        <v>1001270249</v>
      </c>
      <c r="D49" s="88">
        <f>IF($F49="","",'הזנה לתנאי סף'!E49)</f>
        <v>40000134</v>
      </c>
      <c r="E49" s="88">
        <f>IF($F49="","",'הזנה לתנאי סף'!F49)</f>
        <v>20000201</v>
      </c>
      <c r="F49" s="88" t="str">
        <f>IF(OR('הזנה לתנאי סף'!G49="",'הזנה לתנאי סף'!BL49&lt;&gt;1,'הזנה לתנאי סף'!Q49&lt;&gt;1,'הזנה לתנאי סף'!N49&lt;&gt;1),"",'הזנה לתנאי סף'!G49)</f>
        <v>תל אביב -יפו</v>
      </c>
      <c r="G49" s="88" t="str">
        <f>IF($F49="","",'הזנה לתנאי סף'!H49)</f>
        <v>תיאטרון תמונע</v>
      </c>
      <c r="H49" s="88" t="str">
        <f>IF($F49="","",'הזנה לתנאי סף'!I49)</f>
        <v>מרכזי פרינג'</v>
      </c>
      <c r="I49" s="88">
        <f>IF($F49="","",IF(AND('הזנה לתנאי סף'!N49=0,J49&gt;0),$Q$2,'הזנה לתנאי סף'!N49))</f>
        <v>1</v>
      </c>
      <c r="J49" s="213">
        <f>IF($F49="","",INDEX('גיליון עזר לתחום תמיכה ג'!$H$31:$H$330,MATCH(E49,'גיליון עזר לתחום תמיכה ג'!$C$31:$C$330,0)))</f>
        <v>15995126</v>
      </c>
      <c r="K49" s="213">
        <f>IF(OR(F49="",J49=""),"",IF(AND(J49&gt;0,I49=1),J49*'פרמטרים לקריטריונים'!$C$64,$Q$2))</f>
        <v>15995126</v>
      </c>
      <c r="L49" s="227">
        <f>IF(OR(F49="",J49=""),"",IF(J49&gt;0,'תחום תמיכה ב'!AC49/SUMIFS('תחום תמיכה ב'!$AC$31:$AC$500,'תחום תמיכה ב'!$E$31:$E$500,E49,'תחום תמיכה ב'!$S$31:$S$500,"=1"),0))</f>
        <v>9.7299086022742019E-4</v>
      </c>
      <c r="M49" s="213">
        <f t="shared" si="1"/>
        <v>15563.111406185975</v>
      </c>
      <c r="N49" s="227">
        <f t="shared" si="2"/>
        <v>7.0715504678880948E-4</v>
      </c>
      <c r="O49" s="213">
        <f t="shared" si="3"/>
        <v>15563.111406185975</v>
      </c>
    </row>
    <row r="50" spans="1:15" ht="15.75" x14ac:dyDescent="0.2">
      <c r="A50" s="206" t="str">
        <f t="shared" si="0"/>
        <v/>
      </c>
      <c r="B50" s="88" t="str">
        <f>IF($F50="","",'הזנה לתנאי סף'!C50)</f>
        <v/>
      </c>
      <c r="C50" s="88" t="str">
        <f>IF($F50="","",'הזנה לתנאי סף'!D50)</f>
        <v/>
      </c>
      <c r="D50" s="88" t="str">
        <f>IF($F50="","",'הזנה לתנאי סף'!E50)</f>
        <v/>
      </c>
      <c r="E50" s="88" t="str">
        <f>IF($F50="","",'הזנה לתנאי סף'!F50)</f>
        <v/>
      </c>
      <c r="F50" s="88" t="str">
        <f>IF(OR('הזנה לתנאי סף'!G50="",'הזנה לתנאי סף'!BL50&lt;&gt;1,'הזנה לתנאי סף'!Q50&lt;&gt;1,'הזנה לתנאי סף'!N50&lt;&gt;1),"",'הזנה לתנאי סף'!G50)</f>
        <v/>
      </c>
      <c r="G50" s="88" t="str">
        <f>IF($F50="","",'הזנה לתנאי סף'!H50)</f>
        <v/>
      </c>
      <c r="H50" s="88" t="str">
        <f>IF($F50="","",'הזנה לתנאי סף'!I50)</f>
        <v/>
      </c>
      <c r="I50" s="88" t="str">
        <f>IF($F50="","",IF(AND('הזנה לתנאי סף'!N50=0,J50&gt;0),$Q$2,'הזנה לתנאי סף'!N50))</f>
        <v/>
      </c>
      <c r="J50" s="213" t="str">
        <f>IF($F50="","",INDEX('גיליון עזר לתחום תמיכה ג'!$H$31:$H$330,MATCH(E50,'גיליון עזר לתחום תמיכה ג'!$C$31:$C$330,0)))</f>
        <v/>
      </c>
      <c r="K50" s="213" t="str">
        <f>IF(OR(F50="",J50=""),"",IF(AND(J50&gt;0,I50=1),J50*'פרמטרים לקריטריונים'!$C$64,$Q$2))</f>
        <v/>
      </c>
      <c r="L50" s="227" t="str">
        <f>IF(OR(F50="",J50=""),"",IF(J50&gt;0,'תחום תמיכה ב'!AC50/SUMIFS('תחום תמיכה ב'!$AC$31:$AC$500,'תחום תמיכה ב'!$E$31:$E$500,E50,'תחום תמיכה ב'!$S$31:$S$500,"=1"),0))</f>
        <v/>
      </c>
      <c r="M50" s="213" t="str">
        <f t="shared" si="1"/>
        <v/>
      </c>
      <c r="N50" s="227" t="str">
        <f t="shared" si="2"/>
        <v/>
      </c>
      <c r="O50" s="213" t="str">
        <f t="shared" si="3"/>
        <v/>
      </c>
    </row>
    <row r="51" spans="1:15" ht="15.75" x14ac:dyDescent="0.2">
      <c r="A51" s="206">
        <f t="shared" si="0"/>
        <v>21</v>
      </c>
      <c r="B51" s="88">
        <f>IF($F51="","",'הזנה לתנאי סף'!C51)</f>
        <v>1001346663</v>
      </c>
      <c r="C51" s="88">
        <f>IF($F51="","",'הזנה לתנאי סף'!D51)</f>
        <v>1001273853</v>
      </c>
      <c r="D51" s="88">
        <f>IF($F51="","",'הזנה לתנאי סף'!E51)</f>
        <v>40000140</v>
      </c>
      <c r="E51" s="88">
        <f>IF($F51="","",'הזנה לתנאי סף'!F51)</f>
        <v>20000201</v>
      </c>
      <c r="F51" s="88" t="str">
        <f>IF(OR('הזנה לתנאי סף'!G51="",'הזנה לתנאי סף'!BL51&lt;&gt;1,'הזנה לתנאי סף'!Q51&lt;&gt;1,'הזנה לתנאי סף'!N51&lt;&gt;1),"",'הזנה לתנאי סף'!G51)</f>
        <v>תל אביב -יפו</v>
      </c>
      <c r="G51" s="88" t="str">
        <f>IF($F51="","",'הזנה לתנאי סף'!H51)</f>
        <v>להקת המחול בת שבע</v>
      </c>
      <c r="H51" s="88" t="str">
        <f>IF($F51="","",'הזנה לתנאי סף'!I51)</f>
        <v>מחול</v>
      </c>
      <c r="I51" s="88">
        <f>IF($F51="","",IF(AND('הזנה לתנאי סף'!N51=0,J51&gt;0),$Q$2,'הזנה לתנאי סף'!N51))</f>
        <v>1</v>
      </c>
      <c r="J51" s="213">
        <f>IF($F51="","",INDEX('גיליון עזר לתחום תמיכה ג'!$H$31:$H$330,MATCH(E51,'גיליון עזר לתחום תמיכה ג'!$C$31:$C$330,0)))</f>
        <v>15995126</v>
      </c>
      <c r="K51" s="213">
        <f>IF(OR(F51="",J51=""),"",IF(AND(J51&gt;0,I51=1),J51*'פרמטרים לקריטריונים'!$C$64,$Q$2))</f>
        <v>15995126</v>
      </c>
      <c r="L51" s="227">
        <f>IF(OR(F51="",J51=""),"",IF(J51&gt;0,'תחום תמיכה ב'!AC51/SUMIFS('תחום תמיכה ב'!$AC$31:$AC$500,'תחום תמיכה ב'!$E$31:$E$500,E51,'תחום תמיכה ב'!$S$31:$S$500,"=1"),0))</f>
        <v>4.9136154318807884E-2</v>
      </c>
      <c r="M51" s="213">
        <f t="shared" si="1"/>
        <v>785938.97948477627</v>
      </c>
      <c r="N51" s="227">
        <f t="shared" si="2"/>
        <v>3.5711414080721426E-2</v>
      </c>
      <c r="O51" s="213">
        <f t="shared" si="3"/>
        <v>785938.97948477627</v>
      </c>
    </row>
    <row r="52" spans="1:15" ht="15.75" x14ac:dyDescent="0.2">
      <c r="A52" s="206" t="str">
        <f t="shared" si="0"/>
        <v/>
      </c>
      <c r="B52" s="88" t="str">
        <f>IF($F52="","",'הזנה לתנאי סף'!C52)</f>
        <v/>
      </c>
      <c r="C52" s="88" t="str">
        <f>IF($F52="","",'הזנה לתנאי סף'!D52)</f>
        <v/>
      </c>
      <c r="D52" s="88" t="str">
        <f>IF($F52="","",'הזנה לתנאי סף'!E52)</f>
        <v/>
      </c>
      <c r="E52" s="88" t="str">
        <f>IF($F52="","",'הזנה לתנאי סף'!F52)</f>
        <v/>
      </c>
      <c r="F52" s="88" t="str">
        <f>IF(OR('הזנה לתנאי סף'!G52="",'הזנה לתנאי סף'!BL52&lt;&gt;1,'הזנה לתנאי סף'!Q52&lt;&gt;1,'הזנה לתנאי סף'!N52&lt;&gt;1),"",'הזנה לתנאי סף'!G52)</f>
        <v/>
      </c>
      <c r="G52" s="88" t="str">
        <f>IF($F52="","",'הזנה לתנאי סף'!H52)</f>
        <v/>
      </c>
      <c r="H52" s="88" t="str">
        <f>IF($F52="","",'הזנה לתנאי סף'!I52)</f>
        <v/>
      </c>
      <c r="I52" s="88" t="str">
        <f>IF($F52="","",IF(AND('הזנה לתנאי סף'!N52=0,J52&gt;0),$Q$2,'הזנה לתנאי סף'!N52))</f>
        <v/>
      </c>
      <c r="J52" s="213" t="str">
        <f>IF($F52="","",INDEX('גיליון עזר לתחום תמיכה ג'!$H$31:$H$330,MATCH(E52,'גיליון עזר לתחום תמיכה ג'!$C$31:$C$330,0)))</f>
        <v/>
      </c>
      <c r="K52" s="213" t="str">
        <f>IF(OR(F52="",J52=""),"",IF(AND(J52&gt;0,I52=1),J52*'פרמטרים לקריטריונים'!$C$64,$Q$2))</f>
        <v/>
      </c>
      <c r="L52" s="227" t="str">
        <f>IF(OR(F52="",J52=""),"",IF(J52&gt;0,'תחום תמיכה ב'!AC52/SUMIFS('תחום תמיכה ב'!$AC$31:$AC$500,'תחום תמיכה ב'!$E$31:$E$500,E52,'תחום תמיכה ב'!$S$31:$S$500,"=1"),0))</f>
        <v/>
      </c>
      <c r="M52" s="213" t="str">
        <f t="shared" si="1"/>
        <v/>
      </c>
      <c r="N52" s="227" t="str">
        <f t="shared" si="2"/>
        <v/>
      </c>
      <c r="O52" s="213" t="str">
        <f t="shared" si="3"/>
        <v/>
      </c>
    </row>
    <row r="53" spans="1:15" ht="15.75" x14ac:dyDescent="0.2">
      <c r="A53" s="206">
        <f t="shared" si="0"/>
        <v>23</v>
      </c>
      <c r="B53" s="88">
        <f>IF($F53="","",'הזנה לתנאי סף'!C53)</f>
        <v>1001346670</v>
      </c>
      <c r="C53" s="88">
        <f>IF($F53="","",'הזנה לתנאי סף'!D53)</f>
        <v>1001277080</v>
      </c>
      <c r="D53" s="88">
        <f>IF($F53="","",'הזנה לתנאי סף'!E53)</f>
        <v>40000106</v>
      </c>
      <c r="E53" s="88">
        <f>IF($F53="","",'הזנה לתנאי סף'!F53)</f>
        <v>20000201</v>
      </c>
      <c r="F53" s="88" t="str">
        <f>IF(OR('הזנה לתנאי סף'!G53="",'הזנה לתנאי סף'!BL53&lt;&gt;1,'הזנה לתנאי סף'!Q53&lt;&gt;1,'הזנה לתנאי סף'!N53&lt;&gt;1),"",'הזנה לתנאי סף'!G53)</f>
        <v>תל אביב -יפו</v>
      </c>
      <c r="G53" s="88" t="str">
        <f>IF($F53="","",'הזנה לתנאי סף'!H53)</f>
        <v>התזמורת הקאמרית הישראלית</v>
      </c>
      <c r="H53" s="88" t="str">
        <f>IF($F53="","",'הזנה לתנאי סף'!I53)</f>
        <v>מוסיקה-גופים כליים</v>
      </c>
      <c r="I53" s="88">
        <f>IF($F53="","",IF(AND('הזנה לתנאי סף'!N53=0,J53&gt;0),$Q$2,'הזנה לתנאי סף'!N53))</f>
        <v>1</v>
      </c>
      <c r="J53" s="213">
        <f>IF($F53="","",INDEX('גיליון עזר לתחום תמיכה ג'!$H$31:$H$330,MATCH(E53,'גיליון עזר לתחום תמיכה ג'!$C$31:$C$330,0)))</f>
        <v>15995126</v>
      </c>
      <c r="K53" s="213">
        <f>IF(OR(F53="",J53=""),"",IF(AND(J53&gt;0,I53=1),J53*'פרמטרים לקריטריונים'!$C$64,$Q$2))</f>
        <v>15995126</v>
      </c>
      <c r="L53" s="227">
        <f>IF(OR(F53="",J53=""),"",IF(J53&gt;0,'תחום תמיכה ב'!AC53/SUMIFS('תחום תמיכה ב'!$AC$31:$AC$500,'תחום תמיכה ב'!$E$31:$E$500,E53,'תחום תמיכה ב'!$S$31:$S$500,"=1"),0))</f>
        <v>8.9954693146269728E-3</v>
      </c>
      <c r="M53" s="213">
        <f t="shared" si="1"/>
        <v>143883.66511659208</v>
      </c>
      <c r="N53" s="227">
        <f t="shared" si="2"/>
        <v>6.5377710974443438E-3</v>
      </c>
      <c r="O53" s="213">
        <f t="shared" si="3"/>
        <v>143883.66511659208</v>
      </c>
    </row>
    <row r="54" spans="1:15" ht="15.75" x14ac:dyDescent="0.2">
      <c r="A54" s="206">
        <f t="shared" si="0"/>
        <v>24</v>
      </c>
      <c r="B54" s="88">
        <f>IF($F54="","",'הזנה לתנאי סף'!C54)</f>
        <v>1001346676</v>
      </c>
      <c r="C54" s="88">
        <f>IF($F54="","",'הזנה לתנאי סף'!D54)</f>
        <v>1001266343</v>
      </c>
      <c r="D54" s="88">
        <f>IF($F54="","",'הזנה לתנאי סף'!E54)</f>
        <v>40000132</v>
      </c>
      <c r="E54" s="88">
        <f>IF($F54="","",'הזנה לתנאי סף'!F54)</f>
        <v>20000201</v>
      </c>
      <c r="F54" s="88" t="str">
        <f>IF(OR('הזנה לתנאי סף'!G54="",'הזנה לתנאי סף'!BL54&lt;&gt;1,'הזנה לתנאי סף'!Q54&lt;&gt;1,'הזנה לתנאי סף'!N54&lt;&gt;1),"",'הזנה לתנאי סף'!G54)</f>
        <v>תל אביב -יפו</v>
      </c>
      <c r="G54" s="88" t="str">
        <f>IF($F54="","",'הזנה לתנאי סף'!H54)</f>
        <v>תיאטרון הנפש</v>
      </c>
      <c r="H54" s="88" t="str">
        <f>IF($F54="","",'הזנה לתנאי סף'!I54)</f>
        <v>תיאטרון</v>
      </c>
      <c r="I54" s="88">
        <f>IF($F54="","",IF(AND('הזנה לתנאי סף'!N54=0,J54&gt;0),$Q$2,'הזנה לתנאי סף'!N54))</f>
        <v>1</v>
      </c>
      <c r="J54" s="213">
        <f>IF($F54="","",INDEX('גיליון עזר לתחום תמיכה ג'!$H$31:$H$330,MATCH(E54,'גיליון עזר לתחום תמיכה ג'!$C$31:$C$330,0)))</f>
        <v>15995126</v>
      </c>
      <c r="K54" s="213">
        <f>IF(OR(F54="",J54=""),"",IF(AND(J54&gt;0,I54=1),J54*'פרמטרים לקריטריונים'!$C$64,$Q$2))</f>
        <v>15995126</v>
      </c>
      <c r="L54" s="227">
        <f>IF(OR(F54="",J54=""),"",IF(J54&gt;0,'תחום תמיכה ב'!AC54/SUMIFS('תחום תמיכה ב'!$AC$31:$AC$500,'תחום תמיכה ב'!$E$31:$E$500,E54,'תחום תמיכה ב'!$S$31:$S$500,"=1"),0))</f>
        <v>4.0689091383468434E-3</v>
      </c>
      <c r="M54" s="213">
        <f t="shared" si="1"/>
        <v>65082.714350409195</v>
      </c>
      <c r="N54" s="227">
        <f t="shared" si="2"/>
        <v>2.9572216448513653E-3</v>
      </c>
      <c r="O54" s="213">
        <f t="shared" si="3"/>
        <v>65082.714350409195</v>
      </c>
    </row>
    <row r="55" spans="1:15" ht="15.75" x14ac:dyDescent="0.2">
      <c r="A55" s="206">
        <f t="shared" si="0"/>
        <v>25</v>
      </c>
      <c r="B55" s="88">
        <f>IF($F55="","",'הזנה לתנאי סף'!C55)</f>
        <v>1001346807</v>
      </c>
      <c r="C55" s="88">
        <f>IF($F55="","",'הזנה לתנאי סף'!D55)</f>
        <v>1001266435</v>
      </c>
      <c r="D55" s="88">
        <f>IF($F55="","",'הזנה לתנאי סף'!E55)</f>
        <v>40000132</v>
      </c>
      <c r="E55" s="88">
        <f>IF($F55="","",'הזנה לתנאי סף'!F55)</f>
        <v>20000201</v>
      </c>
      <c r="F55" s="88" t="str">
        <f>IF(OR('הזנה לתנאי סף'!G55="",'הזנה לתנאי סף'!BL55&lt;&gt;1,'הזנה לתנאי סף'!Q55&lt;&gt;1,'הזנה לתנאי סף'!N55&lt;&gt;1),"",'הזנה לתנאי סף'!G55)</f>
        <v>תל אביב -יפו</v>
      </c>
      <c r="G55" s="88" t="str">
        <f>IF($F55="","",'הזנה לתנאי סף'!H55)</f>
        <v>תיאטרון הנפש</v>
      </c>
      <c r="H55" s="88" t="str">
        <f>IF($F55="","",'הזנה לתנאי סף'!I55)</f>
        <v>סינמטקים ופסטיבלים</v>
      </c>
      <c r="I55" s="88">
        <f>IF($F55="","",IF(AND('הזנה לתנאי סף'!N55=0,J55&gt;0),$Q$2,'הזנה לתנאי סף'!N55))</f>
        <v>1</v>
      </c>
      <c r="J55" s="213">
        <f>IF($F55="","",INDEX('גיליון עזר לתחום תמיכה ג'!$H$31:$H$330,MATCH(E55,'גיליון עזר לתחום תמיכה ג'!$C$31:$C$330,0)))</f>
        <v>15995126</v>
      </c>
      <c r="K55" s="213">
        <f>IF(OR(F55="",J55=""),"",IF(AND(J55&gt;0,I55=1),J55*'פרמטרים לקריטריונים'!$C$64,$Q$2))</f>
        <v>15995126</v>
      </c>
      <c r="L55" s="227">
        <f>IF(OR(F55="",J55=""),"",IF(J55&gt;0,'תחום תמיכה ב'!AC55/SUMIFS('תחום תמיכה ב'!$AC$31:$AC$500,'תחום תמיכה ב'!$E$31:$E$500,E55,'תחום תמיכה ב'!$S$31:$S$500,"=1"),0))</f>
        <v>3.2651385930229366E-4</v>
      </c>
      <c r="M55" s="213">
        <f t="shared" si="1"/>
        <v>5222.6303202864592</v>
      </c>
      <c r="N55" s="227">
        <f t="shared" si="2"/>
        <v>2.3730533645315043E-4</v>
      </c>
      <c r="O55" s="213">
        <f t="shared" si="3"/>
        <v>5222.6303202864592</v>
      </c>
    </row>
    <row r="56" spans="1:15" ht="15.75" x14ac:dyDescent="0.2">
      <c r="A56" s="206">
        <f t="shared" si="0"/>
        <v>26</v>
      </c>
      <c r="B56" s="88">
        <f>IF($F56="","",'הזנה לתנאי סף'!C56)</f>
        <v>1001346564</v>
      </c>
      <c r="C56" s="88">
        <f>IF($F56="","",'הזנה לתנאי סף'!D56)</f>
        <v>1001269642</v>
      </c>
      <c r="D56" s="88">
        <f>IF($F56="","",'הזנה לתנאי סף'!E56)</f>
        <v>40000060</v>
      </c>
      <c r="E56" s="88">
        <f>IF($F56="","",'הזנה לתנאי סף'!F56)</f>
        <v>20000159</v>
      </c>
      <c r="F56" s="88" t="str">
        <f>IF(OR('הזנה לתנאי סף'!G56="",'הזנה לתנאי סף'!BL56&lt;&gt;1,'הזנה לתנאי סף'!Q56&lt;&gt;1,'הזנה לתנאי סף'!N56&lt;&gt;1),"",'הזנה לתנאי סף'!G56)</f>
        <v>ירושלים</v>
      </c>
      <c r="G56" s="88" t="str">
        <f>IF($F56="","",'הזנה לתנאי סף'!H56)</f>
        <v>תיאטרון הקרון</v>
      </c>
      <c r="H56" s="88" t="str">
        <f>IF($F56="","",'הזנה לתנאי סף'!I56)</f>
        <v>תיאטרון</v>
      </c>
      <c r="I56" s="88">
        <f>IF($F56="","",IF(AND('הזנה לתנאי סף'!N56=0,J56&gt;0),$Q$2,'הזנה לתנאי סף'!N56))</f>
        <v>1</v>
      </c>
      <c r="J56" s="213">
        <f>IF($F56="","",INDEX('גיליון עזר לתחום תמיכה ג'!$H$31:$H$330,MATCH(E56,'גיליון עזר לתחום תמיכה ג'!$C$31:$C$330,0)))</f>
        <v>3990706</v>
      </c>
      <c r="K56" s="213">
        <f>IF(OR(F56="",J56=""),"",IF(AND(J56&gt;0,I56=1),J56*'פרמטרים לקריטריונים'!$C$64,$Q$2))</f>
        <v>3990706</v>
      </c>
      <c r="L56" s="227">
        <f>IF(OR(F56="",J56=""),"",IF(J56&gt;0,'תחום תמיכה ב'!AC56/SUMIFS('תחום תמיכה ב'!$AC$31:$AC$500,'תחום תמיכה ב'!$E$31:$E$500,E56,'תחום תמיכה ב'!$S$31:$S$500,"=1"),0))</f>
        <v>7.856748598683537E-3</v>
      </c>
      <c r="M56" s="213">
        <f t="shared" si="1"/>
        <v>31353.973773257982</v>
      </c>
      <c r="N56" s="227">
        <f t="shared" si="2"/>
        <v>1.4246586181880347E-3</v>
      </c>
      <c r="O56" s="213">
        <f t="shared" si="3"/>
        <v>31353.973773257982</v>
      </c>
    </row>
    <row r="57" spans="1:15" ht="15.75" x14ac:dyDescent="0.2">
      <c r="A57" s="206">
        <f t="shared" si="0"/>
        <v>27</v>
      </c>
      <c r="B57" s="88">
        <f>IF($F57="","",'הזנה לתנאי סף'!C57)</f>
        <v>1001347019</v>
      </c>
      <c r="C57" s="88">
        <f>IF($F57="","",'הזנה לתנאי סף'!D57)</f>
        <v>1001270522</v>
      </c>
      <c r="D57" s="88">
        <f>IF($F57="","",'הזנה לתנאי סף'!E57)</f>
        <v>40000075</v>
      </c>
      <c r="E57" s="88">
        <f>IF($F57="","",'הזנה לתנאי סף'!F57)</f>
        <v>20000159</v>
      </c>
      <c r="F57" s="88" t="str">
        <f>IF(OR('הזנה לתנאי סף'!G57="",'הזנה לתנאי סף'!BL57&lt;&gt;1,'הזנה לתנאי סף'!Q57&lt;&gt;1,'הזנה לתנאי סף'!N57&lt;&gt;1),"",'הזנה לתנאי סף'!G57)</f>
        <v>ירושלים</v>
      </c>
      <c r="G57" s="88" t="str">
        <f>IF($F57="","",'הזנה לתנאי סף'!H57)</f>
        <v>מוזיאון חצר הישוב הישן</v>
      </c>
      <c r="H57" s="88" t="str">
        <f>IF($F57="","",'הזנה לתנאי סף'!I57)</f>
        <v>מוזיאונים</v>
      </c>
      <c r="I57" s="88">
        <f>IF($F57="","",IF(AND('הזנה לתנאי סף'!N57=0,J57&gt;0),$Q$2,'הזנה לתנאי סף'!N57))</f>
        <v>1</v>
      </c>
      <c r="J57" s="213">
        <f>IF($F57="","",INDEX('גיליון עזר לתחום תמיכה ג'!$H$31:$H$330,MATCH(E57,'גיליון עזר לתחום תמיכה ג'!$C$31:$C$330,0)))</f>
        <v>3990706</v>
      </c>
      <c r="K57" s="213">
        <f>IF(OR(F57="",J57=""),"",IF(AND(J57&gt;0,I57=1),J57*'פרמטרים לקריטריונים'!$C$64,$Q$2))</f>
        <v>3990706</v>
      </c>
      <c r="L57" s="227">
        <f>IF(OR(F57="",J57=""),"",IF(J57&gt;0,'תחום תמיכה ב'!AC57/SUMIFS('תחום תמיכה ב'!$AC$31:$AC$500,'תחום תמיכה ב'!$E$31:$E$500,E57,'תחום תמיכה ב'!$S$31:$S$500,"=1"),0))</f>
        <v>4.5366597090979507E-4</v>
      </c>
      <c r="M57" s="213">
        <f t="shared" si="1"/>
        <v>1810.4475121055445</v>
      </c>
      <c r="N57" s="227">
        <f t="shared" si="2"/>
        <v>8.2262926847828365E-5</v>
      </c>
      <c r="O57" s="213">
        <f t="shared" si="3"/>
        <v>1810.4475121055445</v>
      </c>
    </row>
    <row r="58" spans="1:15" ht="15.75" x14ac:dyDescent="0.2">
      <c r="A58" s="206">
        <f t="shared" si="0"/>
        <v>28</v>
      </c>
      <c r="B58" s="88">
        <f>IF($F58="","",'הזנה לתנאי סף'!C58)</f>
        <v>1001348863</v>
      </c>
      <c r="C58" s="88">
        <f>IF($F58="","",'הזנה לתנאי סף'!D58)</f>
        <v>1001271791</v>
      </c>
      <c r="D58" s="88">
        <f>IF($F58="","",'הזנה לתנאי סף'!E58)</f>
        <v>40000111</v>
      </c>
      <c r="E58" s="88">
        <f>IF($F58="","",'הזנה לתנאי סף'!F58)</f>
        <v>20000201</v>
      </c>
      <c r="F58" s="88" t="str">
        <f>IF(OR('הזנה לתנאי סף'!G58="",'הזנה לתנאי סף'!BL58&lt;&gt;1,'הזנה לתנאי סף'!Q58&lt;&gt;1,'הזנה לתנאי סף'!N58&lt;&gt;1),"",'הזנה לתנאי סף'!G58)</f>
        <v>תל אביב -יפו</v>
      </c>
      <c r="G58" s="88" t="str">
        <f>IF($F58="","",'הזנה לתנאי סף'!H58)</f>
        <v>הבלט הישראלי</v>
      </c>
      <c r="H58" s="88" t="str">
        <f>IF($F58="","",'הזנה לתנאי סף'!I58)</f>
        <v>מחול</v>
      </c>
      <c r="I58" s="88">
        <f>IF($F58="","",IF(AND('הזנה לתנאי סף'!N58=0,J58&gt;0),$Q$2,'הזנה לתנאי סף'!N58))</f>
        <v>1</v>
      </c>
      <c r="J58" s="213">
        <f>IF($F58="","",INDEX('גיליון עזר לתחום תמיכה ג'!$H$31:$H$330,MATCH(E58,'גיליון עזר לתחום תמיכה ג'!$C$31:$C$330,0)))</f>
        <v>15995126</v>
      </c>
      <c r="K58" s="213">
        <f>IF(OR(F58="",J58=""),"",IF(AND(J58&gt;0,I58=1),J58*'פרמטרים לקריטריונים'!$C$64,$Q$2))</f>
        <v>15995126</v>
      </c>
      <c r="L58" s="227">
        <f>IF(OR(F58="",J58=""),"",IF(J58&gt;0,'תחום תמיכה ב'!AC58/SUMIFS('תחום תמיכה ב'!$AC$31:$AC$500,'תחום תמיכה ב'!$E$31:$E$500,E58,'תחום תמיכה ב'!$S$31:$S$500,"=1"),0))</f>
        <v>7.5154863878384125E-3</v>
      </c>
      <c r="M58" s="213">
        <f t="shared" si="1"/>
        <v>120211.15172476028</v>
      </c>
      <c r="N58" s="227">
        <f t="shared" si="2"/>
        <v>5.4621418817750577E-3</v>
      </c>
      <c r="O58" s="213">
        <f t="shared" si="3"/>
        <v>120211.15172476028</v>
      </c>
    </row>
    <row r="59" spans="1:15" ht="15.75" x14ac:dyDescent="0.2">
      <c r="A59" s="206">
        <f t="shared" si="0"/>
        <v>29</v>
      </c>
      <c r="B59" s="88">
        <f>IF($F59="","",'הזנה לתנאי סף'!C59)</f>
        <v>1001350366</v>
      </c>
      <c r="C59" s="88">
        <f>IF($F59="","",'הזנה לתנאי סף'!D59)</f>
        <v>1001276978</v>
      </c>
      <c r="D59" s="88">
        <f>IF($F59="","",'הזנה לתנאי סף'!E59)</f>
        <v>40000047</v>
      </c>
      <c r="E59" s="88">
        <f>IF($F59="","",'הזנה לתנאי סף'!F59)</f>
        <v>20000201</v>
      </c>
      <c r="F59" s="88" t="str">
        <f>IF(OR('הזנה לתנאי סף'!G59="",'הזנה לתנאי סף'!BL59&lt;&gt;1,'הזנה לתנאי סף'!Q59&lt;&gt;1,'הזנה לתנאי סף'!N59&lt;&gt;1),"",'הזנה לתנאי סף'!G59)</f>
        <v>תל אביב -יפו</v>
      </c>
      <c r="G59" s="88" t="str">
        <f>IF($F59="","",'הזנה לתנאי סף'!H59)</f>
        <v>סינמטק</v>
      </c>
      <c r="H59" s="88" t="str">
        <f>IF($F59="","",'הזנה לתנאי סף'!I59)</f>
        <v>סינמטקים ופסטיבלים</v>
      </c>
      <c r="I59" s="88">
        <f>IF($F59="","",IF(AND('הזנה לתנאי סף'!N59=0,J59&gt;0),$Q$2,'הזנה לתנאי סף'!N59))</f>
        <v>1</v>
      </c>
      <c r="J59" s="213">
        <f>IF($F59="","",INDEX('גיליון עזר לתחום תמיכה ג'!$H$31:$H$330,MATCH(E59,'גיליון עזר לתחום תמיכה ג'!$C$31:$C$330,0)))</f>
        <v>15995126</v>
      </c>
      <c r="K59" s="213">
        <f>IF(OR(F59="",J59=""),"",IF(AND(J59&gt;0,I59=1),J59*'פרמטרים לקריטריונים'!$C$64,$Q$2))</f>
        <v>15995126</v>
      </c>
      <c r="L59" s="227">
        <f>IF(OR(F59="",J59=""),"",IF(J59&gt;0,'תחום תמיכה ב'!AC59/SUMIFS('תחום תמיכה ב'!$AC$31:$AC$500,'תחום תמיכה ב'!$E$31:$E$500,E59,'תחום תמיכה ב'!$S$31:$S$500,"=1"),0))</f>
        <v>2.8019881541476956E-4</v>
      </c>
      <c r="M59" s="213">
        <f t="shared" si="1"/>
        <v>4481.8153576099812</v>
      </c>
      <c r="N59" s="227">
        <f t="shared" si="2"/>
        <v>2.0364426278216788E-4</v>
      </c>
      <c r="O59" s="213">
        <f t="shared" si="3"/>
        <v>4481.8153576099812</v>
      </c>
    </row>
    <row r="60" spans="1:15" ht="15.75" x14ac:dyDescent="0.2">
      <c r="A60" s="206">
        <f t="shared" si="0"/>
        <v>30</v>
      </c>
      <c r="B60" s="88">
        <f>IF($F60="","",'הזנה לתנאי סף'!C60)</f>
        <v>1001350413</v>
      </c>
      <c r="C60" s="88">
        <f>IF($F60="","",'הזנה לתנאי סף'!D60)</f>
        <v>1001279700</v>
      </c>
      <c r="D60" s="88">
        <f>IF($F60="","",'הזנה לתנאי סף'!E60)</f>
        <v>40000047</v>
      </c>
      <c r="E60" s="88">
        <f>IF($F60="","",'הזנה לתנאי סף'!F60)</f>
        <v>20000201</v>
      </c>
      <c r="F60" s="88" t="str">
        <f>IF(OR('הזנה לתנאי סף'!G60="",'הזנה לתנאי סף'!BL60&lt;&gt;1,'הזנה לתנאי סף'!Q60&lt;&gt;1,'הזנה לתנאי סף'!N60&lt;&gt;1),"",'הזנה לתנאי סף'!G60)</f>
        <v>תל אביב -יפו</v>
      </c>
      <c r="G60" s="88" t="str">
        <f>IF($F60="","",'הזנה לתנאי סף'!H60)</f>
        <v>סינמטק</v>
      </c>
      <c r="H60" s="88" t="str">
        <f>IF($F60="","",'הזנה לתנאי סף'!I60)</f>
        <v>סינמטקים ופסטיבלים</v>
      </c>
      <c r="I60" s="88">
        <f>IF($F60="","",IF(AND('הזנה לתנאי סף'!N60=0,J60&gt;0),$Q$2,'הזנה לתנאי סף'!N60))</f>
        <v>1</v>
      </c>
      <c r="J60" s="213">
        <f>IF($F60="","",INDEX('גיליון עזר לתחום תמיכה ג'!$H$31:$H$330,MATCH(E60,'גיליון עזר לתחום תמיכה ג'!$C$31:$C$330,0)))</f>
        <v>15995126</v>
      </c>
      <c r="K60" s="213">
        <f>IF(OR(F60="",J60=""),"",IF(AND(J60&gt;0,I60=1),J60*'פרמטרים לקריטריונים'!$C$64,$Q$2))</f>
        <v>15995126</v>
      </c>
      <c r="L60" s="227">
        <f>IF(OR(F60="",J60=""),"",IF(J60&gt;0,'תחום תמיכה ב'!AC60/SUMIFS('תחום תמיכה ב'!$AC$31:$AC$500,'תחום תמיכה ב'!$E$31:$E$500,E60,'תחום תמיכה ב'!$S$31:$S$500,"=1"),0))</f>
        <v>5.8929648413841187E-4</v>
      </c>
      <c r="M60" s="213">
        <f t="shared" si="1"/>
        <v>9425.8715151508986</v>
      </c>
      <c r="N60" s="227">
        <f t="shared" si="2"/>
        <v>4.2829177523412431E-4</v>
      </c>
      <c r="O60" s="213">
        <f t="shared" si="3"/>
        <v>9425.8715151508986</v>
      </c>
    </row>
    <row r="61" spans="1:15" ht="15.75" x14ac:dyDescent="0.2">
      <c r="A61" s="206">
        <f t="shared" si="0"/>
        <v>31</v>
      </c>
      <c r="B61" s="88">
        <f>IF($F61="","",'הזנה לתנאי סף'!C61)</f>
        <v>1001350418</v>
      </c>
      <c r="C61" s="88">
        <f>IF($F61="","",'הזנה לתנאי סף'!D61)</f>
        <v>1001279702</v>
      </c>
      <c r="D61" s="88">
        <f>IF($F61="","",'הזנה לתנאי סף'!E61)</f>
        <v>40000047</v>
      </c>
      <c r="E61" s="88">
        <f>IF($F61="","",'הזנה לתנאי סף'!F61)</f>
        <v>20000201</v>
      </c>
      <c r="F61" s="88" t="str">
        <f>IF(OR('הזנה לתנאי סף'!G61="",'הזנה לתנאי סף'!BL61&lt;&gt;1,'הזנה לתנאי סף'!Q61&lt;&gt;1,'הזנה לתנאי סף'!N61&lt;&gt;1),"",'הזנה לתנאי סף'!G61)</f>
        <v>תל אביב -יפו</v>
      </c>
      <c r="G61" s="88" t="str">
        <f>IF($F61="","",'הזנה לתנאי סף'!H61)</f>
        <v>סינמטק</v>
      </c>
      <c r="H61" s="88" t="str">
        <f>IF($F61="","",'הזנה לתנאי סף'!I61)</f>
        <v>סינמטקים ופסטיבלים</v>
      </c>
      <c r="I61" s="88">
        <f>IF($F61="","",IF(AND('הזנה לתנאי סף'!N61=0,J61&gt;0),$Q$2,'הזנה לתנאי סף'!N61))</f>
        <v>1</v>
      </c>
      <c r="J61" s="213">
        <f>IF($F61="","",INDEX('גיליון עזר לתחום תמיכה ג'!$H$31:$H$330,MATCH(E61,'גיליון עזר לתחום תמיכה ג'!$C$31:$C$330,0)))</f>
        <v>15995126</v>
      </c>
      <c r="K61" s="213">
        <f>IF(OR(F61="",J61=""),"",IF(AND(J61&gt;0,I61=1),J61*'פרמטרים לקריטריונים'!$C$64,$Q$2))</f>
        <v>15995126</v>
      </c>
      <c r="L61" s="227">
        <f>IF(OR(F61="",J61=""),"",IF(J61&gt;0,'תחום תמיכה ב'!AC61/SUMIFS('תחום תמיכה ב'!$AC$31:$AC$500,'תחום תמיכה ב'!$E$31:$E$500,E61,'תחום תמיכה ב'!$S$31:$S$500,"=1"),0))</f>
        <v>5.5615845449870326E-2</v>
      </c>
      <c r="M61" s="213">
        <f t="shared" si="1"/>
        <v>889582.45556720253</v>
      </c>
      <c r="N61" s="227">
        <f t="shared" si="2"/>
        <v>4.0420755629821378E-2</v>
      </c>
      <c r="O61" s="213">
        <f t="shared" si="3"/>
        <v>889582.45556720253</v>
      </c>
    </row>
    <row r="62" spans="1:15" ht="15.75" x14ac:dyDescent="0.2">
      <c r="A62" s="206">
        <f t="shared" si="0"/>
        <v>32</v>
      </c>
      <c r="B62" s="88">
        <f>IF($F62="","",'הזנה לתנאי סף'!C62)</f>
        <v>1001350420</v>
      </c>
      <c r="C62" s="88">
        <f>IF($F62="","",'הזנה לתנאי סף'!D62)</f>
        <v>1001279677</v>
      </c>
      <c r="D62" s="88">
        <f>IF($F62="","",'הזנה לתנאי סף'!E62)</f>
        <v>40000047</v>
      </c>
      <c r="E62" s="88">
        <f>IF($F62="","",'הזנה לתנאי סף'!F62)</f>
        <v>20000201</v>
      </c>
      <c r="F62" s="88" t="str">
        <f>IF(OR('הזנה לתנאי סף'!G62="",'הזנה לתנאי סף'!BL62&lt;&gt;1,'הזנה לתנאי סף'!Q62&lt;&gt;1,'הזנה לתנאי סף'!N62&lt;&gt;1),"",'הזנה לתנאי סף'!G62)</f>
        <v>תל אביב -יפו</v>
      </c>
      <c r="G62" s="88" t="str">
        <f>IF($F62="","",'הזנה לתנאי סף'!H62)</f>
        <v>סינמטק</v>
      </c>
      <c r="H62" s="88" t="str">
        <f>IF($F62="","",'הזנה לתנאי סף'!I62)</f>
        <v>סינמטקים ופסטיבלים</v>
      </c>
      <c r="I62" s="88">
        <f>IF($F62="","",IF(AND('הזנה לתנאי סף'!N62=0,J62&gt;0),$Q$2,'הזנה לתנאי סף'!N62))</f>
        <v>1</v>
      </c>
      <c r="J62" s="213">
        <f>IF($F62="","",INDEX('גיליון עזר לתחום תמיכה ג'!$H$31:$H$330,MATCH(E62,'גיליון עזר לתחום תמיכה ג'!$C$31:$C$330,0)))</f>
        <v>15995126</v>
      </c>
      <c r="K62" s="213">
        <f>IF(OR(F62="",J62=""),"",IF(AND(J62&gt;0,I62=1),J62*'פרמטרים לקריטריונים'!$C$64,$Q$2))</f>
        <v>15995126</v>
      </c>
      <c r="L62" s="227">
        <f>IF(OR(F62="",J62=""),"",IF(J62&gt;0,'תחום תמיכה ב'!AC62/SUMIFS('תחום תמיכה ב'!$AC$31:$AC$500,'תחום תמיכה ב'!$E$31:$E$500,E62,'תחום תמיכה ב'!$S$31:$S$500,"=1"),0))</f>
        <v>8.293222812944547E-4</v>
      </c>
      <c r="M62" s="213">
        <f t="shared" si="1"/>
        <v>13265.114383912247</v>
      </c>
      <c r="N62" s="227">
        <f t="shared" si="2"/>
        <v>6.027388957124503E-4</v>
      </c>
      <c r="O62" s="213">
        <f t="shared" si="3"/>
        <v>13265.114383912247</v>
      </c>
    </row>
    <row r="63" spans="1:15" ht="15.75" x14ac:dyDescent="0.2">
      <c r="A63" s="206">
        <f t="shared" si="0"/>
        <v>33</v>
      </c>
      <c r="B63" s="88">
        <f>IF($F63="","",'הזנה לתנאי סף'!C63)</f>
        <v>1001346673</v>
      </c>
      <c r="C63" s="88">
        <f>IF($F63="","",'הזנה לתנאי סף'!D63)</f>
        <v>1001280582</v>
      </c>
      <c r="D63" s="88">
        <f>IF($F63="","",'הזנה לתנאי סף'!E63)</f>
        <v>40000026</v>
      </c>
      <c r="E63" s="88">
        <f>IF($F63="","",'הזנה לתנאי סף'!F63)</f>
        <v>20000182</v>
      </c>
      <c r="F63" s="88" t="str">
        <f>IF(OR('הזנה לתנאי סף'!G63="",'הזנה לתנאי סף'!BL63&lt;&gt;1,'הזנה לתנאי סף'!Q63&lt;&gt;1,'הזנה לתנאי סף'!N63&lt;&gt;1),"",'הזנה לתנאי סף'!G63)</f>
        <v>חיפה</v>
      </c>
      <c r="G63" s="88" t="str">
        <f>IF($F63="","",'הזנה לתנאי סף'!H63)</f>
        <v>מוזיאוני חיפה</v>
      </c>
      <c r="H63" s="88" t="str">
        <f>IF($F63="","",'הזנה לתנאי סף'!I63)</f>
        <v>מוזיאונים</v>
      </c>
      <c r="I63" s="88">
        <f>IF($F63="","",IF(AND('הזנה לתנאי סף'!N63=0,J63&gt;0),$Q$2,'הזנה לתנאי סף'!N63))</f>
        <v>1</v>
      </c>
      <c r="J63" s="213">
        <f>IF($F63="","",INDEX('גיליון עזר לתחום תמיכה ג'!$H$31:$H$330,MATCH(E63,'גיליון עזר לתחום תמיכה ג'!$C$31:$C$330,0)))</f>
        <v>894484</v>
      </c>
      <c r="K63" s="213">
        <f>IF(OR(F63="",J63=""),"",IF(AND(J63&gt;0,I63=1),J63*'פרמטרים לקריטריונים'!$C$64,$Q$2))</f>
        <v>894484</v>
      </c>
      <c r="L63" s="227">
        <f>IF(OR(F63="",J63=""),"",IF(J63&gt;0,'תחום תמיכה ב'!AC63/SUMIFS('תחום תמיכה ב'!$AC$31:$AC$500,'תחום תמיכה ב'!$E$31:$E$500,E63,'תחום תמיכה ב'!$S$31:$S$500,"=1"),0))</f>
        <v>7.1409785264259187E-2</v>
      </c>
      <c r="M63" s="213">
        <f t="shared" si="1"/>
        <v>63874.910362315612</v>
      </c>
      <c r="N63" s="227">
        <f t="shared" si="2"/>
        <v>2.9023415721319383E-3</v>
      </c>
      <c r="O63" s="213">
        <f t="shared" si="3"/>
        <v>63874.910362315612</v>
      </c>
    </row>
    <row r="64" spans="1:15" ht="15.75" x14ac:dyDescent="0.2">
      <c r="A64" s="206">
        <f t="shared" si="0"/>
        <v>34</v>
      </c>
      <c r="B64" s="88">
        <f>IF($F64="","",'הזנה לתנאי סף'!C64)</f>
        <v>1001349871</v>
      </c>
      <c r="C64" s="88">
        <f>IF($F64="","",'הזנה לתנאי סף'!D64)</f>
        <v>1001270373</v>
      </c>
      <c r="D64" s="88">
        <f>IF($F64="","",'הזנה לתנאי סף'!E64)</f>
        <v>40000076</v>
      </c>
      <c r="E64" s="88">
        <f>IF($F64="","",'הזנה לתנאי סף'!F64)</f>
        <v>20000159</v>
      </c>
      <c r="F64" s="88" t="str">
        <f>IF(OR('הזנה לתנאי סף'!G64="",'הזנה לתנאי סף'!BL64&lt;&gt;1,'הזנה לתנאי סף'!Q64&lt;&gt;1,'הזנה לתנאי סף'!N64&lt;&gt;1),"",'הזנה לתנאי סף'!G64)</f>
        <v>ירושלים</v>
      </c>
      <c r="G64" s="88" t="str">
        <f>IF($F64="","",'הזנה לתנאי סף'!H64)</f>
        <v>רננות</v>
      </c>
      <c r="H64" s="88" t="str">
        <f>IF($F64="","",'הזנה לתנאי סף'!I64)</f>
        <v>חזנות</v>
      </c>
      <c r="I64" s="88">
        <f>IF($F64="","",IF(AND('הזנה לתנאי סף'!N64=0,J64&gt;0),$Q$2,'הזנה לתנאי סף'!N64))</f>
        <v>1</v>
      </c>
      <c r="J64" s="213">
        <f>IF($F64="","",INDEX('גיליון עזר לתחום תמיכה ג'!$H$31:$H$330,MATCH(E64,'גיליון עזר לתחום תמיכה ג'!$C$31:$C$330,0)))</f>
        <v>3990706</v>
      </c>
      <c r="K64" s="213">
        <f>IF(OR(F64="",J64=""),"",IF(AND(J64&gt;0,I64=1),J64*'פרמטרים לקריטריונים'!$C$64,$Q$2))</f>
        <v>3990706</v>
      </c>
      <c r="L64" s="227">
        <f>IF(OR(F64="",J64=""),"",IF(J64&gt;0,'תחום תמיכה ב'!AC64/SUMIFS('תחום תמיכה ב'!$AC$31:$AC$500,'תחום תמיכה ב'!$E$31:$E$500,E64,'תחום תמיכה ב'!$S$31:$S$500,"=1"),0))</f>
        <v>2.5981775185173405E-4</v>
      </c>
      <c r="M64" s="213">
        <f t="shared" si="1"/>
        <v>1036.8562612212261</v>
      </c>
      <c r="N64" s="227">
        <f t="shared" si="2"/>
        <v>4.7112567582451991E-5</v>
      </c>
      <c r="O64" s="213">
        <f t="shared" si="3"/>
        <v>1036.8562612212261</v>
      </c>
    </row>
    <row r="65" spans="1:15" ht="15.75" x14ac:dyDescent="0.2">
      <c r="A65" s="206">
        <f t="shared" si="0"/>
        <v>35</v>
      </c>
      <c r="B65" s="88">
        <f>IF($F65="","",'הזנה לתנאי סף'!C65)</f>
        <v>1001350106</v>
      </c>
      <c r="C65" s="88">
        <f>IF($F65="","",'הזנה לתנאי סף'!D65)</f>
        <v>1001288944</v>
      </c>
      <c r="D65" s="88">
        <f>IF($F65="","",'הזנה לתנאי סף'!E65)</f>
        <v>40000076</v>
      </c>
      <c r="E65" s="88">
        <f>IF($F65="","",'הזנה לתנאי סף'!F65)</f>
        <v>20000159</v>
      </c>
      <c r="F65" s="88" t="str">
        <f>IF(OR('הזנה לתנאי סף'!G65="",'הזנה לתנאי סף'!BL65&lt;&gt;1,'הזנה לתנאי סף'!Q65&lt;&gt;1,'הזנה לתנאי סף'!N65&lt;&gt;1),"",'הזנה לתנאי סף'!G65)</f>
        <v>ירושלים</v>
      </c>
      <c r="G65" s="88" t="str">
        <f>IF($F65="","",'הזנה לתנאי סף'!H65)</f>
        <v>רננות</v>
      </c>
      <c r="H65" s="88" t="str">
        <f>IF($F65="","",'הזנה לתנאי סף'!I65)</f>
        <v>קבוצות מוסיקה</v>
      </c>
      <c r="I65" s="88">
        <f>IF($F65="","",IF(AND('הזנה לתנאי סף'!N65=0,J65&gt;0),$Q$2,'הזנה לתנאי סף'!N65))</f>
        <v>1</v>
      </c>
      <c r="J65" s="213">
        <f>IF($F65="","",INDEX('גיליון עזר לתחום תמיכה ג'!$H$31:$H$330,MATCH(E65,'גיליון עזר לתחום תמיכה ג'!$C$31:$C$330,0)))</f>
        <v>3990706</v>
      </c>
      <c r="K65" s="213">
        <f>IF(OR(F65="",J65=""),"",IF(AND(J65&gt;0,I65=1),J65*'פרמטרים לקריטריונים'!$C$64,$Q$2))</f>
        <v>3990706</v>
      </c>
      <c r="L65" s="227">
        <f>IF(OR(F65="",J65=""),"",IF(J65&gt;0,'תחום תמיכה ב'!AC65/SUMIFS('תחום תמיכה ב'!$AC$31:$AC$500,'תחום תמיכה ב'!$E$31:$E$500,E65,'תחום תמיכה ב'!$S$31:$S$500,"=1"),0))</f>
        <v>4.1677149356930102E-4</v>
      </c>
      <c r="M65" s="213">
        <f t="shared" si="1"/>
        <v>1663.212500015971</v>
      </c>
      <c r="N65" s="227">
        <f t="shared" si="2"/>
        <v>7.5572877593167828E-5</v>
      </c>
      <c r="O65" s="213">
        <f t="shared" si="3"/>
        <v>1663.212500015971</v>
      </c>
    </row>
    <row r="66" spans="1:15" ht="15.75" x14ac:dyDescent="0.2">
      <c r="A66" s="206" t="str">
        <f t="shared" si="0"/>
        <v/>
      </c>
      <c r="B66" s="88" t="str">
        <f>IF($F66="","",'הזנה לתנאי סף'!C66)</f>
        <v/>
      </c>
      <c r="C66" s="88" t="str">
        <f>IF($F66="","",'הזנה לתנאי סף'!D66)</f>
        <v/>
      </c>
      <c r="D66" s="88" t="str">
        <f>IF($F66="","",'הזנה לתנאי סף'!E66)</f>
        <v/>
      </c>
      <c r="E66" s="88" t="str">
        <f>IF($F66="","",'הזנה לתנאי סף'!F66)</f>
        <v/>
      </c>
      <c r="F66" s="88" t="str">
        <f>IF(OR('הזנה לתנאי סף'!G66="",'הזנה לתנאי סף'!BL66&lt;&gt;1,'הזנה לתנאי סף'!Q66&lt;&gt;1,'הזנה לתנאי סף'!N66&lt;&gt;1),"",'הזנה לתנאי סף'!G66)</f>
        <v/>
      </c>
      <c r="G66" s="88" t="str">
        <f>IF($F66="","",'הזנה לתנאי סף'!H66)</f>
        <v/>
      </c>
      <c r="H66" s="88" t="str">
        <f>IF($F66="","",'הזנה לתנאי סף'!I66)</f>
        <v/>
      </c>
      <c r="I66" s="88" t="str">
        <f>IF($F66="","",IF(AND('הזנה לתנאי סף'!N66=0,J66&gt;0),$Q$2,'הזנה לתנאי סף'!N66))</f>
        <v/>
      </c>
      <c r="J66" s="213" t="str">
        <f>IF($F66="","",INDEX('גיליון עזר לתחום תמיכה ג'!$H$31:$H$330,MATCH(E66,'גיליון עזר לתחום תמיכה ג'!$C$31:$C$330,0)))</f>
        <v/>
      </c>
      <c r="K66" s="213" t="str">
        <f>IF(OR(F66="",J66=""),"",IF(AND(J66&gt;0,I66=1),J66*'פרמטרים לקריטריונים'!$C$64,$Q$2))</f>
        <v/>
      </c>
      <c r="L66" s="227" t="str">
        <f>IF(OR(F66="",J66=""),"",IF(J66&gt;0,'תחום תמיכה ב'!AC66/SUMIFS('תחום תמיכה ב'!$AC$31:$AC$500,'תחום תמיכה ב'!$E$31:$E$500,E66,'תחום תמיכה ב'!$S$31:$S$500,"=1"),0))</f>
        <v/>
      </c>
      <c r="M66" s="213" t="str">
        <f t="shared" si="1"/>
        <v/>
      </c>
      <c r="N66" s="227" t="str">
        <f t="shared" si="2"/>
        <v/>
      </c>
      <c r="O66" s="213" t="str">
        <f t="shared" si="3"/>
        <v/>
      </c>
    </row>
    <row r="67" spans="1:15" ht="15.75" x14ac:dyDescent="0.2">
      <c r="A67" s="206">
        <f t="shared" si="0"/>
        <v>37</v>
      </c>
      <c r="B67" s="88">
        <f>IF($F67="","",'הזנה לתנאי סף'!C67)</f>
        <v>1001347716</v>
      </c>
      <c r="C67" s="88">
        <f>IF($F67="","",'הזנה לתנאי סף'!D67)</f>
        <v>1001280063</v>
      </c>
      <c r="D67" s="88">
        <f>IF($F67="","",'הזנה לתנאי סף'!E67)</f>
        <v>40000157</v>
      </c>
      <c r="E67" s="88">
        <f>IF($F67="","",'הזנה לתנאי סף'!F67)</f>
        <v>20000201</v>
      </c>
      <c r="F67" s="88" t="str">
        <f>IF(OR('הזנה לתנאי סף'!G67="",'הזנה לתנאי סף'!BL67&lt;&gt;1,'הזנה לתנאי סף'!Q67&lt;&gt;1,'הזנה לתנאי סף'!N67&lt;&gt;1),"",'הזנה לתנאי סף'!G67)</f>
        <v>תל אביב -יפו</v>
      </c>
      <c r="G67" s="88" t="str">
        <f>IF($F67="","",'הזנה לתנאי סף'!H67)</f>
        <v>מרכז סוזן דלל</v>
      </c>
      <c r="H67" s="88" t="str">
        <f>IF($F67="","",'הזנה לתנאי סף'!I67)</f>
        <v>מחול</v>
      </c>
      <c r="I67" s="88">
        <f>IF($F67="","",IF(AND('הזנה לתנאי סף'!N67=0,J67&gt;0),$Q$2,'הזנה לתנאי סף'!N67))</f>
        <v>1</v>
      </c>
      <c r="J67" s="213">
        <f>IF($F67="","",INDEX('גיליון עזר לתחום תמיכה ג'!$H$31:$H$330,MATCH(E67,'גיליון עזר לתחום תמיכה ג'!$C$31:$C$330,0)))</f>
        <v>15995126</v>
      </c>
      <c r="K67" s="213">
        <f>IF(OR(F67="",J67=""),"",IF(AND(J67&gt;0,I67=1),J67*'פרמטרים לקריטריונים'!$C$64,$Q$2))</f>
        <v>15995126</v>
      </c>
      <c r="L67" s="227">
        <f>IF(OR(F67="",J67=""),"",IF(J67&gt;0,'תחום תמיכה ב'!AC67/SUMIFS('תחום תמיכה ב'!$AC$31:$AC$500,'תחום תמיכה ב'!$E$31:$E$500,E67,'תחום תמיכה ב'!$S$31:$S$500,"=1"),0))</f>
        <v>2.1226310045972759E-3</v>
      </c>
      <c r="M67" s="213">
        <f t="shared" si="1"/>
        <v>33951.750370040005</v>
      </c>
      <c r="N67" s="227">
        <f t="shared" si="2"/>
        <v>1.5426961225725429E-3</v>
      </c>
      <c r="O67" s="213">
        <f t="shared" si="3"/>
        <v>33951.750370040005</v>
      </c>
    </row>
    <row r="68" spans="1:15" ht="15.75" x14ac:dyDescent="0.2">
      <c r="A68" s="206">
        <f t="shared" si="0"/>
        <v>38</v>
      </c>
      <c r="B68" s="88">
        <f>IF($F68="","",'הזנה לתנאי סף'!C68)</f>
        <v>1001347748</v>
      </c>
      <c r="C68" s="88">
        <f>IF($F68="","",'הזנה לתנאי סף'!D68)</f>
        <v>1001280061</v>
      </c>
      <c r="D68" s="88">
        <f>IF($F68="","",'הזנה לתנאי סף'!E68)</f>
        <v>40000157</v>
      </c>
      <c r="E68" s="88">
        <f>IF($F68="","",'הזנה לתנאי סף'!F68)</f>
        <v>20000201</v>
      </c>
      <c r="F68" s="88" t="str">
        <f>IF(OR('הזנה לתנאי סף'!G68="",'הזנה לתנאי סף'!BL68&lt;&gt;1,'הזנה לתנאי סף'!Q68&lt;&gt;1,'הזנה לתנאי סף'!N68&lt;&gt;1),"",'הזנה לתנאי סף'!G68)</f>
        <v>תל אביב -יפו</v>
      </c>
      <c r="G68" s="88" t="str">
        <f>IF($F68="","",'הזנה לתנאי סף'!H68)</f>
        <v>מרכז סוזן דלל</v>
      </c>
      <c r="H68" s="88" t="str">
        <f>IF($F68="","",'הזנה לתנאי סף'!I68)</f>
        <v>מחול</v>
      </c>
      <c r="I68" s="88">
        <f>IF($F68="","",IF(AND('הזנה לתנאי סף'!N68=0,J68&gt;0),$Q$2,'הזנה לתנאי סף'!N68))</f>
        <v>1</v>
      </c>
      <c r="J68" s="213">
        <f>IF($F68="","",INDEX('גיליון עזר לתחום תמיכה ג'!$H$31:$H$330,MATCH(E68,'גיליון עזר לתחום תמיכה ג'!$C$31:$C$330,0)))</f>
        <v>15995126</v>
      </c>
      <c r="K68" s="213">
        <f>IF(OR(F68="",J68=""),"",IF(AND(J68&gt;0,I68=1),J68*'פרמטרים לקריטריונים'!$C$64,$Q$2))</f>
        <v>15995126</v>
      </c>
      <c r="L68" s="227">
        <f>IF(OR(F68="",J68=""),"",IF(J68&gt;0,'תחום תמיכה ב'!AC68/SUMIFS('תחום תמיכה ב'!$AC$31:$AC$500,'תחום תמיכה ב'!$E$31:$E$500,E68,'תחום תמיכה ב'!$S$31:$S$500,"=1"),0))</f>
        <v>1.0740537605057898E-2</v>
      </c>
      <c r="M68" s="213">
        <f t="shared" si="1"/>
        <v>171796.25230063932</v>
      </c>
      <c r="N68" s="227">
        <f t="shared" si="2"/>
        <v>7.8060603476444055E-3</v>
      </c>
      <c r="O68" s="213">
        <f t="shared" si="3"/>
        <v>171796.25230063932</v>
      </c>
    </row>
    <row r="69" spans="1:15" ht="15.75" x14ac:dyDescent="0.2">
      <c r="A69" s="206">
        <f t="shared" si="0"/>
        <v>39</v>
      </c>
      <c r="B69" s="88">
        <f>IF($F69="","",'הזנה לתנאי סף'!C69)</f>
        <v>1001346567</v>
      </c>
      <c r="C69" s="88">
        <f>IF($F69="","",'הזנה לתנאי סף'!D69)</f>
        <v>1001271762</v>
      </c>
      <c r="D69" s="88">
        <f>IF($F69="","",'הזנה לתנאי סף'!E69)</f>
        <v>40000192</v>
      </c>
      <c r="E69" s="88">
        <f>IF($F69="","",'הזנה לתנאי סף'!F69)</f>
        <v>20000201</v>
      </c>
      <c r="F69" s="88" t="str">
        <f>IF(OR('הזנה לתנאי סף'!G69="",'הזנה לתנאי סף'!BL69&lt;&gt;1,'הזנה לתנאי סף'!Q69&lt;&gt;1,'הזנה לתנאי סף'!N69&lt;&gt;1),"",'הזנה לתנאי סף'!G69)</f>
        <v>תל אביב -יפו</v>
      </c>
      <c r="G69" s="88" t="str">
        <f>IF($F69="","",'הזנה לתנאי סף'!H69)</f>
        <v>תיאטרון יפו</v>
      </c>
      <c r="H69" s="88" t="str">
        <f>IF($F69="","",'הזנה לתנאי סף'!I69)</f>
        <v>תיאטרון</v>
      </c>
      <c r="I69" s="88">
        <f>IF($F69="","",IF(AND('הזנה לתנאי סף'!N69=0,J69&gt;0),$Q$2,'הזנה לתנאי סף'!N69))</f>
        <v>1</v>
      </c>
      <c r="J69" s="213">
        <f>IF($F69="","",INDEX('גיליון עזר לתחום תמיכה ג'!$H$31:$H$330,MATCH(E69,'גיליון עזר לתחום תמיכה ג'!$C$31:$C$330,0)))</f>
        <v>15995126</v>
      </c>
      <c r="K69" s="213">
        <f>IF(OR(F69="",J69=""),"",IF(AND(J69&gt;0,I69=1),J69*'פרמטרים לקריטריונים'!$C$64,$Q$2))</f>
        <v>15995126</v>
      </c>
      <c r="L69" s="227">
        <f>IF(OR(F69="",J69=""),"",IF(J69&gt;0,'תחום תמיכה ב'!AC69/SUMIFS('תחום תמיכה ב'!$AC$31:$AC$500,'תחום תמיכה ב'!$E$31:$E$500,E69,'תחום תמיכה ב'!$S$31:$S$500,"=1"),0))</f>
        <v>6.4133804434237645E-3</v>
      </c>
      <c r="M69" s="213">
        <f t="shared" si="1"/>
        <v>102582.82827849899</v>
      </c>
      <c r="N69" s="227">
        <f t="shared" si="2"/>
        <v>4.6611479438601593E-3</v>
      </c>
      <c r="O69" s="213">
        <f t="shared" si="3"/>
        <v>102582.82827849899</v>
      </c>
    </row>
    <row r="70" spans="1:15" ht="15.75" x14ac:dyDescent="0.2">
      <c r="A70" s="206">
        <f t="shared" si="0"/>
        <v>40</v>
      </c>
      <c r="B70" s="88">
        <f>IF($F70="","",'הזנה לתנאי סף'!C70)</f>
        <v>1001346993</v>
      </c>
      <c r="C70" s="88">
        <f>IF($F70="","",'הזנה לתנאי סף'!D70)</f>
        <v>1001277357</v>
      </c>
      <c r="D70" s="88">
        <f>IF($F70="","",'הזנה לתנאי סף'!E70)</f>
        <v>40000192</v>
      </c>
      <c r="E70" s="88">
        <f>IF($F70="","",'הזנה לתנאי סף'!F70)</f>
        <v>20000201</v>
      </c>
      <c r="F70" s="88" t="str">
        <f>IF(OR('הזנה לתנאי סף'!G70="",'הזנה לתנאי סף'!BL70&lt;&gt;1,'הזנה לתנאי סף'!Q70&lt;&gt;1,'הזנה לתנאי סף'!N70&lt;&gt;1),"",'הזנה לתנאי סף'!G70)</f>
        <v>תל אביב -יפו</v>
      </c>
      <c r="G70" s="88" t="str">
        <f>IF($F70="","",'הזנה לתנאי סף'!H70)</f>
        <v>תיאטרון יפו</v>
      </c>
      <c r="H70" s="88" t="str">
        <f>IF($F70="","",'הזנה לתנאי סף'!I70)</f>
        <v>סינמטקים ופסטיבלים</v>
      </c>
      <c r="I70" s="88">
        <f>IF($F70="","",IF(AND('הזנה לתנאי סף'!N70=0,J70&gt;0),$Q$2,'הזנה לתנאי סף'!N70))</f>
        <v>1</v>
      </c>
      <c r="J70" s="213">
        <f>IF($F70="","",INDEX('גיליון עזר לתחום תמיכה ג'!$H$31:$H$330,MATCH(E70,'גיליון עזר לתחום תמיכה ג'!$C$31:$C$330,0)))</f>
        <v>15995126</v>
      </c>
      <c r="K70" s="213">
        <f>IF(OR(F70="",J70=""),"",IF(AND(J70&gt;0,I70=1),J70*'פרמטרים לקריטריונים'!$C$64,$Q$2))</f>
        <v>15995126</v>
      </c>
      <c r="L70" s="227">
        <f>IF(OR(F70="",J70=""),"",IF(J70&gt;0,'תחום תמיכה ב'!AC70/SUMIFS('תחום תמיכה ב'!$AC$31:$AC$500,'תחום תמיכה ב'!$E$31:$E$500,E70,'תחום תמיכה ב'!$S$31:$S$500,"=1"),0))</f>
        <v>3.8051581269091127E-5</v>
      </c>
      <c r="M70" s="213">
        <f t="shared" si="1"/>
        <v>608.63983689835243</v>
      </c>
      <c r="N70" s="227">
        <f t="shared" si="2"/>
        <v>2.7655313973291527E-5</v>
      </c>
      <c r="O70" s="213">
        <f t="shared" si="3"/>
        <v>608.63983689835243</v>
      </c>
    </row>
    <row r="71" spans="1:15" ht="15.75" x14ac:dyDescent="0.2">
      <c r="A71" s="206" t="str">
        <f t="shared" si="0"/>
        <v/>
      </c>
      <c r="B71" s="88" t="str">
        <f>IF($F71="","",'הזנה לתנאי סף'!C71)</f>
        <v/>
      </c>
      <c r="C71" s="88" t="str">
        <f>IF($F71="","",'הזנה לתנאי סף'!D71)</f>
        <v/>
      </c>
      <c r="D71" s="88" t="str">
        <f>IF($F71="","",'הזנה לתנאי סף'!E71)</f>
        <v/>
      </c>
      <c r="E71" s="88" t="str">
        <f>IF($F71="","",'הזנה לתנאי סף'!F71)</f>
        <v/>
      </c>
      <c r="F71" s="88" t="str">
        <f>IF(OR('הזנה לתנאי סף'!G71="",'הזנה לתנאי סף'!BL71&lt;&gt;1,'הזנה לתנאי סף'!Q71&lt;&gt;1,'הזנה לתנאי סף'!N71&lt;&gt;1),"",'הזנה לתנאי סף'!G71)</f>
        <v/>
      </c>
      <c r="G71" s="88" t="str">
        <f>IF($F71="","",'הזנה לתנאי סף'!H71)</f>
        <v/>
      </c>
      <c r="H71" s="88" t="str">
        <f>IF($F71="","",'הזנה לתנאי סף'!I71)</f>
        <v/>
      </c>
      <c r="I71" s="88" t="str">
        <f>IF($F71="","",IF(AND('הזנה לתנאי סף'!N71=0,J71&gt;0),$Q$2,'הזנה לתנאי סף'!N71))</f>
        <v/>
      </c>
      <c r="J71" s="213" t="str">
        <f>IF($F71="","",INDEX('גיליון עזר לתחום תמיכה ג'!$H$31:$H$330,MATCH(E71,'גיליון עזר לתחום תמיכה ג'!$C$31:$C$330,0)))</f>
        <v/>
      </c>
      <c r="K71" s="213" t="str">
        <f>IF(OR(F71="",J71=""),"",IF(AND(J71&gt;0,I71=1),J71*'פרמטרים לקריטריונים'!$C$64,$Q$2))</f>
        <v/>
      </c>
      <c r="L71" s="227" t="str">
        <f>IF(OR(F71="",J71=""),"",IF(J71&gt;0,'תחום תמיכה ב'!AC71/SUMIFS('תחום תמיכה ב'!$AC$31:$AC$500,'תחום תמיכה ב'!$E$31:$E$500,E71,'תחום תמיכה ב'!$S$31:$S$500,"=1"),0))</f>
        <v/>
      </c>
      <c r="M71" s="213" t="str">
        <f t="shared" si="1"/>
        <v/>
      </c>
      <c r="N71" s="227" t="str">
        <f t="shared" si="2"/>
        <v/>
      </c>
      <c r="O71" s="213" t="str">
        <f t="shared" si="3"/>
        <v/>
      </c>
    </row>
    <row r="72" spans="1:15" ht="15.75" x14ac:dyDescent="0.2">
      <c r="A72" s="206">
        <f t="shared" si="0"/>
        <v>42</v>
      </c>
      <c r="B72" s="88">
        <f>IF($F72="","",'הזנה לתנאי סף'!C72)</f>
        <v>1001347603</v>
      </c>
      <c r="C72" s="88">
        <f>IF($F72="","",'הזנה לתנאי סף'!D72)</f>
        <v>1001274726</v>
      </c>
      <c r="D72" s="88">
        <f>IF($F72="","",'הזנה לתנאי סף'!E72)</f>
        <v>40000220</v>
      </c>
      <c r="E72" s="88">
        <f>IF($F72="","",'הזנה לתנאי סף'!F72)</f>
        <v>20000136</v>
      </c>
      <c r="F72" s="88" t="str">
        <f>IF(OR('הזנה לתנאי סף'!G72="",'הזנה לתנאי סף'!BL72&lt;&gt;1,'הזנה לתנאי סף'!Q72&lt;&gt;1,'הזנה לתנאי סף'!N72&lt;&gt;1),"",'הזנה לתנאי סף'!G72)</f>
        <v>עמק יזרעאל</v>
      </c>
      <c r="G72" s="88" t="str">
        <f>IF($F72="","",'הזנה לתנאי סף'!H72)</f>
        <v>מוזיאון העמק</v>
      </c>
      <c r="H72" s="88" t="str">
        <f>IF($F72="","",'הזנה לתנאי סף'!I72)</f>
        <v>מוזיאונים</v>
      </c>
      <c r="I72" s="88">
        <f>IF($F72="","",IF(AND('הזנה לתנאי סף'!N72=0,J72&gt;0),$Q$2,'הזנה לתנאי סף'!N72))</f>
        <v>1</v>
      </c>
      <c r="J72" s="213">
        <f>IF($F72="","",INDEX('גיליון עזר לתחום תמיכה ג'!$H$31:$H$330,MATCH(E72,'גיליון עזר לתחום תמיכה ג'!$C$31:$C$330,0)))</f>
        <v>62237</v>
      </c>
      <c r="K72" s="213">
        <f>IF(OR(F72="",J72=""),"",IF(AND(J72&gt;0,I72=1),J72*'פרמטרים לקריטריונים'!$C$64,$Q$2))</f>
        <v>62237</v>
      </c>
      <c r="L72" s="227">
        <f>IF(OR(F72="",J72=""),"",IF(J72&gt;0,'תחום תמיכה ב'!AC72/SUMIFS('תחום תמיכה ב'!$AC$31:$AC$500,'תחום תמיכה ב'!$E$31:$E$500,E72,'תחום תמיכה ב'!$S$31:$S$500,"=1"),0))</f>
        <v>1</v>
      </c>
      <c r="M72" s="213">
        <f t="shared" si="1"/>
        <v>62237</v>
      </c>
      <c r="N72" s="227">
        <f t="shared" si="2"/>
        <v>2.8279183704552615E-3</v>
      </c>
      <c r="O72" s="213">
        <f t="shared" si="3"/>
        <v>62237</v>
      </c>
    </row>
    <row r="73" spans="1:15" ht="15.75" x14ac:dyDescent="0.2">
      <c r="A73" s="206">
        <f t="shared" si="0"/>
        <v>43</v>
      </c>
      <c r="B73" s="88">
        <f>IF($F73="","",'הזנה לתנאי סף'!C73)</f>
        <v>1001347012</v>
      </c>
      <c r="C73" s="88">
        <f>IF($F73="","",'הזנה לתנאי סף'!D73)</f>
        <v>1010013470</v>
      </c>
      <c r="D73" s="88">
        <f>IF($F73="","",'הזנה לתנאי סף'!E73)</f>
        <v>40000280</v>
      </c>
      <c r="E73" s="88">
        <f>IF($F73="","",'הזנה לתנאי סף'!F73)</f>
        <v>20000227</v>
      </c>
      <c r="F73" s="88" t="str">
        <f>IF(OR('הזנה לתנאי סף'!G73="",'הזנה לתנאי סף'!BL73&lt;&gt;1,'הזנה לתנאי סף'!Q73&lt;&gt;1,'הזנה לתנאי סף'!N73&lt;&gt;1),"",'הזנה לתנאי סף'!G73)</f>
        <v>כפר סבא</v>
      </c>
      <c r="G73" s="88" t="str">
        <f>IF($F73="","",'הזנה לתנאי סף'!H73)</f>
        <v>מרכז קהילתי בכפר סבא ע"ש שושנה ופנחס ספיר</v>
      </c>
      <c r="H73" s="88" t="str">
        <f>IF($F73="","",'הזנה לתנאי סף'!I73)</f>
        <v>מוזיאונים</v>
      </c>
      <c r="I73" s="88">
        <f>IF($F73="","",IF(AND('הזנה לתנאי סף'!N73=0,J73&gt;0),$Q$2,'הזנה לתנאי סף'!N73))</f>
        <v>1</v>
      </c>
      <c r="J73" s="213" t="str">
        <f>IF($F73="","",INDEX('גיליון עזר לתחום תמיכה ג'!$H$31:$H$330,MATCH(E73,'גיליון עזר לתחום תמיכה ג'!$C$31:$C$330,0)))</f>
        <v/>
      </c>
      <c r="K73" s="213" t="str">
        <f>IF(OR(F73="",J73=""),"",IF(AND(J73&gt;0,I73=1),J73*'פרמטרים לקריטריונים'!$C$64,$Q$2))</f>
        <v/>
      </c>
      <c r="L73" s="227" t="str">
        <f>IF(OR(F73="",J73=""),"",IF(J73&gt;0,'תחום תמיכה ב'!AC73/SUMIFS('תחום תמיכה ב'!$AC$31:$AC$500,'תחום תמיכה ב'!$E$31:$E$500,E73,'תחום תמיכה ב'!$S$31:$S$500,"=1"),0))</f>
        <v/>
      </c>
      <c r="M73" s="213" t="str">
        <f t="shared" si="1"/>
        <v/>
      </c>
      <c r="N73" s="227" t="str">
        <f t="shared" si="2"/>
        <v/>
      </c>
      <c r="O73" s="213" t="str">
        <f t="shared" si="3"/>
        <v/>
      </c>
    </row>
    <row r="74" spans="1:15" ht="15.75" x14ac:dyDescent="0.2">
      <c r="A74" s="206" t="str">
        <f t="shared" si="0"/>
        <v/>
      </c>
      <c r="B74" s="88" t="str">
        <f>IF($F74="","",'הזנה לתנאי סף'!C74)</f>
        <v/>
      </c>
      <c r="C74" s="88" t="str">
        <f>IF($F74="","",'הזנה לתנאי סף'!D74)</f>
        <v/>
      </c>
      <c r="D74" s="88" t="str">
        <f>IF($F74="","",'הזנה לתנאי סף'!E74)</f>
        <v/>
      </c>
      <c r="E74" s="88" t="str">
        <f>IF($F74="","",'הזנה לתנאי סף'!F74)</f>
        <v/>
      </c>
      <c r="F74" s="88" t="str">
        <f>IF(OR('הזנה לתנאי סף'!G74="",'הזנה לתנאי סף'!BL74&lt;&gt;1,'הזנה לתנאי סף'!Q74&lt;&gt;1,'הזנה לתנאי סף'!N74&lt;&gt;1),"",'הזנה לתנאי סף'!G74)</f>
        <v/>
      </c>
      <c r="G74" s="88" t="str">
        <f>IF($F74="","",'הזנה לתנאי סף'!H74)</f>
        <v/>
      </c>
      <c r="H74" s="88" t="str">
        <f>IF($F74="","",'הזנה לתנאי סף'!I74)</f>
        <v/>
      </c>
      <c r="I74" s="88" t="str">
        <f>IF($F74="","",IF(AND('הזנה לתנאי סף'!N74=0,J74&gt;0),$Q$2,'הזנה לתנאי סף'!N74))</f>
        <v/>
      </c>
      <c r="J74" s="213" t="str">
        <f>IF($F74="","",INDEX('גיליון עזר לתחום תמיכה ג'!$H$31:$H$330,MATCH(E74,'גיליון עזר לתחום תמיכה ג'!$C$31:$C$330,0)))</f>
        <v/>
      </c>
      <c r="K74" s="213" t="str">
        <f>IF(OR(F74="",J74=""),"",IF(AND(J74&gt;0,I74=1),J74*'פרמטרים לקריטריונים'!$C$64,$Q$2))</f>
        <v/>
      </c>
      <c r="L74" s="227" t="str">
        <f>IF(OR(F74="",J74=""),"",IF(J74&gt;0,'תחום תמיכה ב'!AC74/SUMIFS('תחום תמיכה ב'!$AC$31:$AC$500,'תחום תמיכה ב'!$E$31:$E$500,E74,'תחום תמיכה ב'!$S$31:$S$500,"=1"),0))</f>
        <v/>
      </c>
      <c r="M74" s="213" t="str">
        <f t="shared" si="1"/>
        <v/>
      </c>
      <c r="N74" s="227" t="str">
        <f t="shared" si="2"/>
        <v/>
      </c>
      <c r="O74" s="213" t="str">
        <f t="shared" si="3"/>
        <v/>
      </c>
    </row>
    <row r="75" spans="1:15" ht="15.75" x14ac:dyDescent="0.2">
      <c r="A75" s="206" t="str">
        <f t="shared" si="0"/>
        <v/>
      </c>
      <c r="B75" s="88" t="str">
        <f>IF($F75="","",'הזנה לתנאי סף'!C75)</f>
        <v/>
      </c>
      <c r="C75" s="88" t="str">
        <f>IF($F75="","",'הזנה לתנאי סף'!D75)</f>
        <v/>
      </c>
      <c r="D75" s="88" t="str">
        <f>IF($F75="","",'הזנה לתנאי סף'!E75)</f>
        <v/>
      </c>
      <c r="E75" s="88" t="str">
        <f>IF($F75="","",'הזנה לתנאי סף'!F75)</f>
        <v/>
      </c>
      <c r="F75" s="88" t="str">
        <f>IF(OR('הזנה לתנאי סף'!G75="",'הזנה לתנאי סף'!BL75&lt;&gt;1,'הזנה לתנאי סף'!Q75&lt;&gt;1,'הזנה לתנאי סף'!N75&lt;&gt;1),"",'הזנה לתנאי סף'!G75)</f>
        <v/>
      </c>
      <c r="G75" s="88" t="str">
        <f>IF($F75="","",'הזנה לתנאי סף'!H75)</f>
        <v/>
      </c>
      <c r="H75" s="88" t="str">
        <f>IF($F75="","",'הזנה לתנאי סף'!I75)</f>
        <v/>
      </c>
      <c r="I75" s="88" t="str">
        <f>IF($F75="","",IF(AND('הזנה לתנאי סף'!N75=0,J75&gt;0),$Q$2,'הזנה לתנאי סף'!N75))</f>
        <v/>
      </c>
      <c r="J75" s="213" t="str">
        <f>IF($F75="","",INDEX('גיליון עזר לתחום תמיכה ג'!$H$31:$H$330,MATCH(E75,'גיליון עזר לתחום תמיכה ג'!$C$31:$C$330,0)))</f>
        <v/>
      </c>
      <c r="K75" s="213" t="str">
        <f>IF(OR(F75="",J75=""),"",IF(AND(J75&gt;0,I75=1),J75*'פרמטרים לקריטריונים'!$C$64,$Q$2))</f>
        <v/>
      </c>
      <c r="L75" s="227" t="str">
        <f>IF(OR(F75="",J75=""),"",IF(J75&gt;0,'תחום תמיכה ב'!AC75/SUMIFS('תחום תמיכה ב'!$AC$31:$AC$500,'תחום תמיכה ב'!$E$31:$E$500,E75,'תחום תמיכה ב'!$S$31:$S$500,"=1"),0))</f>
        <v/>
      </c>
      <c r="M75" s="213" t="str">
        <f t="shared" si="1"/>
        <v/>
      </c>
      <c r="N75" s="227" t="str">
        <f t="shared" si="2"/>
        <v/>
      </c>
      <c r="O75" s="213" t="str">
        <f t="shared" si="3"/>
        <v/>
      </c>
    </row>
    <row r="76" spans="1:15" ht="15.75" x14ac:dyDescent="0.2">
      <c r="A76" s="206" t="str">
        <f t="shared" si="0"/>
        <v/>
      </c>
      <c r="B76" s="88" t="str">
        <f>IF($F76="","",'הזנה לתנאי סף'!C76)</f>
        <v/>
      </c>
      <c r="C76" s="88" t="str">
        <f>IF($F76="","",'הזנה לתנאי סף'!D76)</f>
        <v/>
      </c>
      <c r="D76" s="88" t="str">
        <f>IF($F76="","",'הזנה לתנאי סף'!E76)</f>
        <v/>
      </c>
      <c r="E76" s="88" t="str">
        <f>IF($F76="","",'הזנה לתנאי סף'!F76)</f>
        <v/>
      </c>
      <c r="F76" s="88" t="str">
        <f>IF(OR('הזנה לתנאי סף'!G76="",'הזנה לתנאי סף'!BL76&lt;&gt;1,'הזנה לתנאי סף'!Q76&lt;&gt;1,'הזנה לתנאי סף'!N76&lt;&gt;1),"",'הזנה לתנאי סף'!G76)</f>
        <v/>
      </c>
      <c r="G76" s="88" t="str">
        <f>IF($F76="","",'הזנה לתנאי סף'!H76)</f>
        <v/>
      </c>
      <c r="H76" s="88" t="str">
        <f>IF($F76="","",'הזנה לתנאי סף'!I76)</f>
        <v/>
      </c>
      <c r="I76" s="88" t="str">
        <f>IF($F76="","",IF(AND('הזנה לתנאי סף'!N76=0,J76&gt;0),$Q$2,'הזנה לתנאי סף'!N76))</f>
        <v/>
      </c>
      <c r="J76" s="213" t="str">
        <f>IF($F76="","",INDEX('גיליון עזר לתחום תמיכה ג'!$H$31:$H$330,MATCH(E76,'גיליון עזר לתחום תמיכה ג'!$C$31:$C$330,0)))</f>
        <v/>
      </c>
      <c r="K76" s="213" t="str">
        <f>IF(OR(F76="",J76=""),"",IF(AND(J76&gt;0,I76=1),J76*'פרמטרים לקריטריונים'!$C$64,$Q$2))</f>
        <v/>
      </c>
      <c r="L76" s="227" t="str">
        <f>IF(OR(F76="",J76=""),"",IF(J76&gt;0,'תחום תמיכה ב'!AC76/SUMIFS('תחום תמיכה ב'!$AC$31:$AC$500,'תחום תמיכה ב'!$E$31:$E$500,E76,'תחום תמיכה ב'!$S$31:$S$500,"=1"),0))</f>
        <v/>
      </c>
      <c r="M76" s="213" t="str">
        <f t="shared" si="1"/>
        <v/>
      </c>
      <c r="N76" s="227" t="str">
        <f t="shared" si="2"/>
        <v/>
      </c>
      <c r="O76" s="213" t="str">
        <f t="shared" si="3"/>
        <v/>
      </c>
    </row>
    <row r="77" spans="1:15" ht="15.75" x14ac:dyDescent="0.2">
      <c r="A77" s="206">
        <f t="shared" si="0"/>
        <v>47</v>
      </c>
      <c r="B77" s="88">
        <f>IF($F77="","",'הזנה לתנאי סף'!C77)</f>
        <v>1001350788</v>
      </c>
      <c r="C77" s="88">
        <f>IF($F77="","",'הזנה לתנאי סף'!D77)</f>
        <v>1001274174</v>
      </c>
      <c r="D77" s="88">
        <f>IF($F77="","",'הזנה לתנאי סף'!E77)</f>
        <v>40000291</v>
      </c>
      <c r="E77" s="88">
        <f>IF($F77="","",'הזנה לתנאי סף'!F77)</f>
        <v>20000014</v>
      </c>
      <c r="F77" s="88" t="str">
        <f>IF(OR('הזנה לתנאי סף'!G77="",'הזנה לתנאי סף'!BL77&lt;&gt;1,'הזנה לתנאי סף'!Q77&lt;&gt;1,'הזנה לתנאי סף'!N77&lt;&gt;1),"",'הזנה לתנאי סף'!G77)</f>
        <v>אשדוד</v>
      </c>
      <c r="G77" s="88" t="str">
        <f>IF($F77="","",'הזנה לתנאי סף'!H77)</f>
        <v>החברה העירונית לתרבות ופנאי אשדוד</v>
      </c>
      <c r="H77" s="88" t="str">
        <f>IF($F77="","",'הזנה לתנאי סף'!I77)</f>
        <v>תיאטרון</v>
      </c>
      <c r="I77" s="88">
        <f>IF($F77="","",IF(AND('הזנה לתנאי סף'!N77=0,J77&gt;0),$Q$2,'הזנה לתנאי סף'!N77))</f>
        <v>1</v>
      </c>
      <c r="J77" s="213" t="str">
        <f>IF($F77="","",INDEX('גיליון עזר לתחום תמיכה ג'!$H$31:$H$330,MATCH(E77,'גיליון עזר לתחום תמיכה ג'!$C$31:$C$330,0)))</f>
        <v/>
      </c>
      <c r="K77" s="213" t="str">
        <f>IF(OR(F77="",J77=""),"",IF(AND(J77&gt;0,I77=1),J77*'פרמטרים לקריטריונים'!$C$64,$Q$2))</f>
        <v/>
      </c>
      <c r="L77" s="227" t="str">
        <f>IF(OR(F77="",J77=""),"",IF(J77&gt;0,'תחום תמיכה ב'!AC77/SUMIFS('תחום תמיכה ב'!$AC$31:$AC$500,'תחום תמיכה ב'!$E$31:$E$500,E77,'תחום תמיכה ב'!$S$31:$S$500,"=1"),0))</f>
        <v/>
      </c>
      <c r="M77" s="213" t="str">
        <f t="shared" si="1"/>
        <v/>
      </c>
      <c r="N77" s="227" t="str">
        <f t="shared" si="2"/>
        <v/>
      </c>
      <c r="O77" s="213" t="str">
        <f t="shared" si="3"/>
        <v/>
      </c>
    </row>
    <row r="78" spans="1:15" ht="15.75" x14ac:dyDescent="0.2">
      <c r="A78" s="206" t="str">
        <f t="shared" si="0"/>
        <v/>
      </c>
      <c r="B78" s="88" t="str">
        <f>IF($F78="","",'הזנה לתנאי סף'!C78)</f>
        <v/>
      </c>
      <c r="C78" s="88" t="str">
        <f>IF($F78="","",'הזנה לתנאי סף'!D78)</f>
        <v/>
      </c>
      <c r="D78" s="88" t="str">
        <f>IF($F78="","",'הזנה לתנאי סף'!E78)</f>
        <v/>
      </c>
      <c r="E78" s="88" t="str">
        <f>IF($F78="","",'הזנה לתנאי סף'!F78)</f>
        <v/>
      </c>
      <c r="F78" s="88" t="str">
        <f>IF(OR('הזנה לתנאי סף'!G78="",'הזנה לתנאי סף'!BL78&lt;&gt;1,'הזנה לתנאי סף'!Q78&lt;&gt;1,'הזנה לתנאי סף'!N78&lt;&gt;1),"",'הזנה לתנאי סף'!G78)</f>
        <v/>
      </c>
      <c r="G78" s="88" t="str">
        <f>IF($F78="","",'הזנה לתנאי סף'!H78)</f>
        <v/>
      </c>
      <c r="H78" s="88" t="str">
        <f>IF($F78="","",'הזנה לתנאי סף'!I78)</f>
        <v/>
      </c>
      <c r="I78" s="88" t="str">
        <f>IF($F78="","",IF(AND('הזנה לתנאי סף'!N78=0,J78&gt;0),$Q$2,'הזנה לתנאי סף'!N78))</f>
        <v/>
      </c>
      <c r="J78" s="213" t="str">
        <f>IF($F78="","",INDEX('גיליון עזר לתחום תמיכה ג'!$H$31:$H$330,MATCH(E78,'גיליון עזר לתחום תמיכה ג'!$C$31:$C$330,0)))</f>
        <v/>
      </c>
      <c r="K78" s="213" t="str">
        <f>IF(OR(F78="",J78=""),"",IF(AND(J78&gt;0,I78=1),J78*'פרמטרים לקריטריונים'!$C$64,$Q$2))</f>
        <v/>
      </c>
      <c r="L78" s="227" t="str">
        <f>IF(OR(F78="",J78=""),"",IF(J78&gt;0,'תחום תמיכה ב'!AC78/SUMIFS('תחום תמיכה ב'!$AC$31:$AC$500,'תחום תמיכה ב'!$E$31:$E$500,E78,'תחום תמיכה ב'!$S$31:$S$500,"=1"),0))</f>
        <v/>
      </c>
      <c r="M78" s="213" t="str">
        <f t="shared" si="1"/>
        <v/>
      </c>
      <c r="N78" s="227" t="str">
        <f t="shared" si="2"/>
        <v/>
      </c>
      <c r="O78" s="213" t="str">
        <f t="shared" si="3"/>
        <v/>
      </c>
    </row>
    <row r="79" spans="1:15" ht="15.75" x14ac:dyDescent="0.2">
      <c r="A79" s="206" t="str">
        <f t="shared" si="0"/>
        <v/>
      </c>
      <c r="B79" s="88" t="str">
        <f>IF($F79="","",'הזנה לתנאי סף'!C79)</f>
        <v/>
      </c>
      <c r="C79" s="88" t="str">
        <f>IF($F79="","",'הזנה לתנאי סף'!D79)</f>
        <v/>
      </c>
      <c r="D79" s="88" t="str">
        <f>IF($F79="","",'הזנה לתנאי סף'!E79)</f>
        <v/>
      </c>
      <c r="E79" s="88" t="str">
        <f>IF($F79="","",'הזנה לתנאי סף'!F79)</f>
        <v/>
      </c>
      <c r="F79" s="88" t="str">
        <f>IF(OR('הזנה לתנאי סף'!G79="",'הזנה לתנאי סף'!BL79&lt;&gt;1,'הזנה לתנאי סף'!Q79&lt;&gt;1,'הזנה לתנאי סף'!N79&lt;&gt;1),"",'הזנה לתנאי סף'!G79)</f>
        <v/>
      </c>
      <c r="G79" s="88" t="str">
        <f>IF($F79="","",'הזנה לתנאי סף'!H79)</f>
        <v/>
      </c>
      <c r="H79" s="88" t="str">
        <f>IF($F79="","",'הזנה לתנאי סף'!I79)</f>
        <v/>
      </c>
      <c r="I79" s="88" t="str">
        <f>IF($F79="","",IF(AND('הזנה לתנאי סף'!N79=0,J79&gt;0),$Q$2,'הזנה לתנאי סף'!N79))</f>
        <v/>
      </c>
      <c r="J79" s="213" t="str">
        <f>IF($F79="","",INDEX('גיליון עזר לתחום תמיכה ג'!$H$31:$H$330,MATCH(E79,'גיליון עזר לתחום תמיכה ג'!$C$31:$C$330,0)))</f>
        <v/>
      </c>
      <c r="K79" s="213" t="str">
        <f>IF(OR(F79="",J79=""),"",IF(AND(J79&gt;0,I79=1),J79*'פרמטרים לקריטריונים'!$C$64,$Q$2))</f>
        <v/>
      </c>
      <c r="L79" s="227" t="str">
        <f>IF(OR(F79="",J79=""),"",IF(J79&gt;0,'תחום תמיכה ב'!AC79/SUMIFS('תחום תמיכה ב'!$AC$31:$AC$500,'תחום תמיכה ב'!$E$31:$E$500,E79,'תחום תמיכה ב'!$S$31:$S$500,"=1"),0))</f>
        <v/>
      </c>
      <c r="M79" s="213" t="str">
        <f t="shared" si="1"/>
        <v/>
      </c>
      <c r="N79" s="227" t="str">
        <f t="shared" si="2"/>
        <v/>
      </c>
      <c r="O79" s="213" t="str">
        <f t="shared" si="3"/>
        <v/>
      </c>
    </row>
    <row r="80" spans="1:15" ht="15.75" x14ac:dyDescent="0.2">
      <c r="A80" s="206">
        <f t="shared" si="0"/>
        <v>50</v>
      </c>
      <c r="B80" s="88">
        <f>IF($F80="","",'הזנה לתנאי סף'!C80)</f>
        <v>1001348701</v>
      </c>
      <c r="C80" s="88">
        <f>IF($F80="","",'הזנה לתנאי סף'!D80)</f>
        <v>1001266423</v>
      </c>
      <c r="D80" s="88">
        <f>IF($F80="","",'הזנה לתנאי סף'!E80)</f>
        <v>40000341</v>
      </c>
      <c r="E80" s="88">
        <f>IF($F80="","",'הזנה לתנאי סף'!F80)</f>
        <v>20000182</v>
      </c>
      <c r="F80" s="88" t="str">
        <f>IF(OR('הזנה לתנאי סף'!G80="",'הזנה לתנאי סף'!BL80&lt;&gt;1,'הזנה לתנאי סף'!Q80&lt;&gt;1,'הזנה לתנאי סף'!N80&lt;&gt;1),"",'הזנה לתנאי סף'!G80)</f>
        <v>חיפה</v>
      </c>
      <c r="G80" s="88" t="str">
        <f>IF($F80="","",'הזנה לתנאי סף'!H80)</f>
        <v>מדעטק- המוזיאון הלאומי למדע</v>
      </c>
      <c r="H80" s="88" t="str">
        <f>IF($F80="","",'הזנה לתנאי סף'!I80)</f>
        <v>מוזיאונים</v>
      </c>
      <c r="I80" s="88">
        <f>IF($F80="","",IF(AND('הזנה לתנאי סף'!N80=0,J80&gt;0),$Q$2,'הזנה לתנאי סף'!N80))</f>
        <v>1</v>
      </c>
      <c r="J80" s="213">
        <f>IF($F80="","",INDEX('גיליון עזר לתחום תמיכה ג'!$H$31:$H$330,MATCH(E80,'גיליון עזר לתחום תמיכה ג'!$C$31:$C$330,0)))</f>
        <v>894484</v>
      </c>
      <c r="K80" s="213">
        <f>IF(OR(F80="",J80=""),"",IF(AND(J80&gt;0,I80=1),J80*'פרמטרים לקריטריונים'!$C$64,$Q$2))</f>
        <v>894484</v>
      </c>
      <c r="L80" s="227">
        <f>IF(OR(F80="",J80=""),"",IF(J80&gt;0,'תחום תמיכה ב'!AC80/SUMIFS('תחום תמיכה ב'!$AC$31:$AC$500,'תחום תמיכה ב'!$E$31:$E$500,E80,'תחום תמיכה ב'!$S$31:$S$500,"=1"),0))</f>
        <v>0.65211248485712947</v>
      </c>
      <c r="M80" s="213">
        <f t="shared" si="1"/>
        <v>583304.18390494457</v>
      </c>
      <c r="N80" s="227">
        <f t="shared" si="2"/>
        <v>2.6504115192380849E-2</v>
      </c>
      <c r="O80" s="213">
        <f t="shared" si="3"/>
        <v>583304.18390494457</v>
      </c>
    </row>
    <row r="81" spans="1:15" ht="15.75" x14ac:dyDescent="0.2">
      <c r="A81" s="206">
        <f t="shared" si="0"/>
        <v>51</v>
      </c>
      <c r="B81" s="88">
        <f>IF($F81="","",'הזנה לתנאי סף'!C81)</f>
        <v>1001346261</v>
      </c>
      <c r="C81" s="88">
        <f>IF($F81="","",'הזנה לתנאי סף'!D81)</f>
        <v>1001274606</v>
      </c>
      <c r="D81" s="88">
        <f>IF($F81="","",'הזנה לתנאי סף'!E81)</f>
        <v>40000183</v>
      </c>
      <c r="E81" s="88">
        <f>IF($F81="","",'הזנה לתנאי סף'!F81)</f>
        <v>20000159</v>
      </c>
      <c r="F81" s="88" t="str">
        <f>IF(OR('הזנה לתנאי סף'!G81="",'הזנה לתנאי סף'!BL81&lt;&gt;1,'הזנה לתנאי סף'!Q81&lt;&gt;1,'הזנה לתנאי סף'!N81&lt;&gt;1),"",'הזנה לתנאי סף'!G81)</f>
        <v>ירושלים</v>
      </c>
      <c r="G81" s="88" t="str">
        <f>IF($F81="","",'הזנה לתנאי סף'!H81)</f>
        <v>מוזיאון המדע ע"ש בלומפילד ירושלים</v>
      </c>
      <c r="H81" s="88" t="str">
        <f>IF($F81="","",'הזנה לתנאי סף'!I81)</f>
        <v>מוזיאונים</v>
      </c>
      <c r="I81" s="88">
        <f>IF($F81="","",IF(AND('הזנה לתנאי סף'!N81=0,J81&gt;0),$Q$2,'הזנה לתנאי סף'!N81))</f>
        <v>1</v>
      </c>
      <c r="J81" s="213">
        <f>IF($F81="","",INDEX('גיליון עזר לתחום תמיכה ג'!$H$31:$H$330,MATCH(E81,'גיליון עזר לתחום תמיכה ג'!$C$31:$C$330,0)))</f>
        <v>3990706</v>
      </c>
      <c r="K81" s="213">
        <f>IF(OR(F81="",J81=""),"",IF(AND(J81&gt;0,I81=1),J81*'פרמטרים לקריטריונים'!$C$64,$Q$2))</f>
        <v>3990706</v>
      </c>
      <c r="L81" s="227">
        <f>IF(OR(F81="",J81=""),"",IF(J81&gt;0,'תחום תמיכה ב'!AC81/SUMIFS('תחום תמיכה ב'!$AC$31:$AC$500,'תחום תמיכה ב'!$E$31:$E$500,E81,'תחום תמיכה ב'!$S$31:$S$500,"=1"),0))</f>
        <v>6.0956075369660676E-2</v>
      </c>
      <c r="M81" s="213">
        <f t="shared" si="1"/>
        <v>243257.77571415706</v>
      </c>
      <c r="N81" s="227">
        <f t="shared" si="2"/>
        <v>1.1053121659111952E-2</v>
      </c>
      <c r="O81" s="213">
        <f t="shared" si="3"/>
        <v>243257.77571415706</v>
      </c>
    </row>
    <row r="82" spans="1:15" ht="15.75" x14ac:dyDescent="0.2">
      <c r="A82" s="206" t="str">
        <f t="shared" si="0"/>
        <v/>
      </c>
      <c r="B82" s="88" t="str">
        <f>IF($F82="","",'הזנה לתנאי סף'!C82)</f>
        <v/>
      </c>
      <c r="C82" s="88" t="str">
        <f>IF($F82="","",'הזנה לתנאי סף'!D82)</f>
        <v/>
      </c>
      <c r="D82" s="88" t="str">
        <f>IF($F82="","",'הזנה לתנאי סף'!E82)</f>
        <v/>
      </c>
      <c r="E82" s="88" t="str">
        <f>IF($F82="","",'הזנה לתנאי סף'!F82)</f>
        <v/>
      </c>
      <c r="F82" s="88" t="str">
        <f>IF(OR('הזנה לתנאי סף'!G82="",'הזנה לתנאי סף'!BL82&lt;&gt;1,'הזנה לתנאי סף'!Q82&lt;&gt;1,'הזנה לתנאי סף'!N82&lt;&gt;1),"",'הזנה לתנאי סף'!G82)</f>
        <v/>
      </c>
      <c r="G82" s="88" t="str">
        <f>IF($F82="","",'הזנה לתנאי סף'!H82)</f>
        <v/>
      </c>
      <c r="H82" s="88" t="str">
        <f>IF($F82="","",'הזנה לתנאי סף'!I82)</f>
        <v/>
      </c>
      <c r="I82" s="88" t="str">
        <f>IF($F82="","",IF(AND('הזנה לתנאי סף'!N82=0,J82&gt;0),$Q$2,'הזנה לתנאי סף'!N82))</f>
        <v/>
      </c>
      <c r="J82" s="213" t="str">
        <f>IF($F82="","",INDEX('גיליון עזר לתחום תמיכה ג'!$H$31:$H$330,MATCH(E82,'גיליון עזר לתחום תמיכה ג'!$C$31:$C$330,0)))</f>
        <v/>
      </c>
      <c r="K82" s="213" t="str">
        <f>IF(OR(F82="",J82=""),"",IF(AND(J82&gt;0,I82=1),J82*'פרמטרים לקריטריונים'!$C$64,$Q$2))</f>
        <v/>
      </c>
      <c r="L82" s="227" t="str">
        <f>IF(OR(F82="",J82=""),"",IF(J82&gt;0,'תחום תמיכה ב'!AC82/SUMIFS('תחום תמיכה ב'!$AC$31:$AC$500,'תחום תמיכה ב'!$E$31:$E$500,E82,'תחום תמיכה ב'!$S$31:$S$500,"=1"),0))</f>
        <v/>
      </c>
      <c r="M82" s="213" t="str">
        <f t="shared" si="1"/>
        <v/>
      </c>
      <c r="N82" s="227" t="str">
        <f t="shared" si="2"/>
        <v/>
      </c>
      <c r="O82" s="213" t="str">
        <f t="shared" si="3"/>
        <v/>
      </c>
    </row>
    <row r="83" spans="1:15" ht="15.75" x14ac:dyDescent="0.2">
      <c r="A83" s="206" t="str">
        <f t="shared" si="0"/>
        <v/>
      </c>
      <c r="B83" s="88" t="str">
        <f>IF($F83="","",'הזנה לתנאי סף'!C83)</f>
        <v/>
      </c>
      <c r="C83" s="88" t="str">
        <f>IF($F83="","",'הזנה לתנאי סף'!D83)</f>
        <v/>
      </c>
      <c r="D83" s="88" t="str">
        <f>IF($F83="","",'הזנה לתנאי סף'!E83)</f>
        <v/>
      </c>
      <c r="E83" s="88" t="str">
        <f>IF($F83="","",'הזנה לתנאי סף'!F83)</f>
        <v/>
      </c>
      <c r="F83" s="88" t="str">
        <f>IF(OR('הזנה לתנאי סף'!G83="",'הזנה לתנאי סף'!BL83&lt;&gt;1,'הזנה לתנאי סף'!Q83&lt;&gt;1,'הזנה לתנאי סף'!N83&lt;&gt;1),"",'הזנה לתנאי סף'!G83)</f>
        <v/>
      </c>
      <c r="G83" s="88" t="str">
        <f>IF($F83="","",'הזנה לתנאי סף'!H83)</f>
        <v/>
      </c>
      <c r="H83" s="88" t="str">
        <f>IF($F83="","",'הזנה לתנאי סף'!I83)</f>
        <v/>
      </c>
      <c r="I83" s="88" t="str">
        <f>IF($F83="","",IF(AND('הזנה לתנאי סף'!N83=0,J83&gt;0),$Q$2,'הזנה לתנאי סף'!N83))</f>
        <v/>
      </c>
      <c r="J83" s="213" t="str">
        <f>IF($F83="","",INDEX('גיליון עזר לתחום תמיכה ג'!$H$31:$H$330,MATCH(E83,'גיליון עזר לתחום תמיכה ג'!$C$31:$C$330,0)))</f>
        <v/>
      </c>
      <c r="K83" s="213" t="str">
        <f>IF(OR(F83="",J83=""),"",IF(AND(J83&gt;0,I83=1),J83*'פרמטרים לקריטריונים'!$C$64,$Q$2))</f>
        <v/>
      </c>
      <c r="L83" s="227" t="str">
        <f>IF(OR(F83="",J83=""),"",IF(J83&gt;0,'תחום תמיכה ב'!AC83/SUMIFS('תחום תמיכה ב'!$AC$31:$AC$500,'תחום תמיכה ב'!$E$31:$E$500,E83,'תחום תמיכה ב'!$S$31:$S$500,"=1"),0))</f>
        <v/>
      </c>
      <c r="M83" s="213" t="str">
        <f t="shared" si="1"/>
        <v/>
      </c>
      <c r="N83" s="227" t="str">
        <f t="shared" si="2"/>
        <v/>
      </c>
      <c r="O83" s="213" t="str">
        <f t="shared" si="3"/>
        <v/>
      </c>
    </row>
    <row r="84" spans="1:15" ht="15.75" x14ac:dyDescent="0.2">
      <c r="A84" s="206" t="str">
        <f t="shared" si="0"/>
        <v/>
      </c>
      <c r="B84" s="88" t="str">
        <f>IF($F84="","",'הזנה לתנאי סף'!C84)</f>
        <v/>
      </c>
      <c r="C84" s="88" t="str">
        <f>IF($F84="","",'הזנה לתנאי סף'!D84)</f>
        <v/>
      </c>
      <c r="D84" s="88" t="str">
        <f>IF($F84="","",'הזנה לתנאי סף'!E84)</f>
        <v/>
      </c>
      <c r="E84" s="88" t="str">
        <f>IF($F84="","",'הזנה לתנאי סף'!F84)</f>
        <v/>
      </c>
      <c r="F84" s="88" t="str">
        <f>IF(OR('הזנה לתנאי סף'!G84="",'הזנה לתנאי סף'!BL84&lt;&gt;1,'הזנה לתנאי סף'!Q84&lt;&gt;1,'הזנה לתנאי סף'!N84&lt;&gt;1),"",'הזנה לתנאי סף'!G84)</f>
        <v/>
      </c>
      <c r="G84" s="88" t="str">
        <f>IF($F84="","",'הזנה לתנאי סף'!H84)</f>
        <v/>
      </c>
      <c r="H84" s="88" t="str">
        <f>IF($F84="","",'הזנה לתנאי סף'!I84)</f>
        <v/>
      </c>
      <c r="I84" s="88" t="str">
        <f>IF($F84="","",IF(AND('הזנה לתנאי סף'!N84=0,J84&gt;0),$Q$2,'הזנה לתנאי סף'!N84))</f>
        <v/>
      </c>
      <c r="J84" s="213" t="str">
        <f>IF($F84="","",INDEX('גיליון עזר לתחום תמיכה ג'!$H$31:$H$330,MATCH(E84,'גיליון עזר לתחום תמיכה ג'!$C$31:$C$330,0)))</f>
        <v/>
      </c>
      <c r="K84" s="213" t="str">
        <f>IF(OR(F84="",J84=""),"",IF(AND(J84&gt;0,I84=1),J84*'פרמטרים לקריטריונים'!$C$64,$Q$2))</f>
        <v/>
      </c>
      <c r="L84" s="227" t="str">
        <f>IF(OR(F84="",J84=""),"",IF(J84&gt;0,'תחום תמיכה ב'!AC84/SUMIFS('תחום תמיכה ב'!$AC$31:$AC$500,'תחום תמיכה ב'!$E$31:$E$500,E84,'תחום תמיכה ב'!$S$31:$S$500,"=1"),0))</f>
        <v/>
      </c>
      <c r="M84" s="213" t="str">
        <f t="shared" si="1"/>
        <v/>
      </c>
      <c r="N84" s="227" t="str">
        <f t="shared" si="2"/>
        <v/>
      </c>
      <c r="O84" s="213" t="str">
        <f t="shared" si="3"/>
        <v/>
      </c>
    </row>
    <row r="85" spans="1:15" ht="15.75" x14ac:dyDescent="0.2">
      <c r="A85" s="206" t="str">
        <f t="shared" si="0"/>
        <v/>
      </c>
      <c r="B85" s="88" t="str">
        <f>IF($F85="","",'הזנה לתנאי סף'!C85)</f>
        <v/>
      </c>
      <c r="C85" s="88" t="str">
        <f>IF($F85="","",'הזנה לתנאי סף'!D85)</f>
        <v/>
      </c>
      <c r="D85" s="88" t="str">
        <f>IF($F85="","",'הזנה לתנאי סף'!E85)</f>
        <v/>
      </c>
      <c r="E85" s="88" t="str">
        <f>IF($F85="","",'הזנה לתנאי סף'!F85)</f>
        <v/>
      </c>
      <c r="F85" s="88" t="str">
        <f>IF(OR('הזנה לתנאי סף'!G85="",'הזנה לתנאי סף'!BL85&lt;&gt;1,'הזנה לתנאי סף'!Q85&lt;&gt;1,'הזנה לתנאי סף'!N85&lt;&gt;1),"",'הזנה לתנאי סף'!G85)</f>
        <v/>
      </c>
      <c r="G85" s="88" t="str">
        <f>IF($F85="","",'הזנה לתנאי סף'!H85)</f>
        <v/>
      </c>
      <c r="H85" s="88" t="str">
        <f>IF($F85="","",'הזנה לתנאי סף'!I85)</f>
        <v/>
      </c>
      <c r="I85" s="88" t="str">
        <f>IF($F85="","",IF(AND('הזנה לתנאי סף'!N85=0,J85&gt;0),$Q$2,'הזנה לתנאי סף'!N85))</f>
        <v/>
      </c>
      <c r="J85" s="213" t="str">
        <f>IF($F85="","",INDEX('גיליון עזר לתחום תמיכה ג'!$H$31:$H$330,MATCH(E85,'גיליון עזר לתחום תמיכה ג'!$C$31:$C$330,0)))</f>
        <v/>
      </c>
      <c r="K85" s="213" t="str">
        <f>IF(OR(F85="",J85=""),"",IF(AND(J85&gt;0,I85=1),J85*'פרמטרים לקריטריונים'!$C$64,$Q$2))</f>
        <v/>
      </c>
      <c r="L85" s="227" t="str">
        <f>IF(OR(F85="",J85=""),"",IF(J85&gt;0,'תחום תמיכה ב'!AC85/SUMIFS('תחום תמיכה ב'!$AC$31:$AC$500,'תחום תמיכה ב'!$E$31:$E$500,E85,'תחום תמיכה ב'!$S$31:$S$500,"=1"),0))</f>
        <v/>
      </c>
      <c r="M85" s="213" t="str">
        <f t="shared" si="1"/>
        <v/>
      </c>
      <c r="N85" s="227" t="str">
        <f t="shared" si="2"/>
        <v/>
      </c>
      <c r="O85" s="213" t="str">
        <f t="shared" si="3"/>
        <v/>
      </c>
    </row>
    <row r="86" spans="1:15" ht="15.75" x14ac:dyDescent="0.2">
      <c r="A86" s="206" t="str">
        <f t="shared" si="0"/>
        <v/>
      </c>
      <c r="B86" s="88" t="str">
        <f>IF($F86="","",'הזנה לתנאי סף'!C86)</f>
        <v/>
      </c>
      <c r="C86" s="88" t="str">
        <f>IF($F86="","",'הזנה לתנאי סף'!D86)</f>
        <v/>
      </c>
      <c r="D86" s="88" t="str">
        <f>IF($F86="","",'הזנה לתנאי סף'!E86)</f>
        <v/>
      </c>
      <c r="E86" s="88" t="str">
        <f>IF($F86="","",'הזנה לתנאי סף'!F86)</f>
        <v/>
      </c>
      <c r="F86" s="88" t="str">
        <f>IF(OR('הזנה לתנאי סף'!G86="",'הזנה לתנאי סף'!BL86&lt;&gt;1,'הזנה לתנאי סף'!Q86&lt;&gt;1,'הזנה לתנאי סף'!N86&lt;&gt;1),"",'הזנה לתנאי סף'!G86)</f>
        <v/>
      </c>
      <c r="G86" s="88" t="str">
        <f>IF($F86="","",'הזנה לתנאי סף'!H86)</f>
        <v/>
      </c>
      <c r="H86" s="88" t="str">
        <f>IF($F86="","",'הזנה לתנאי סף'!I86)</f>
        <v/>
      </c>
      <c r="I86" s="88" t="str">
        <f>IF($F86="","",IF(AND('הזנה לתנאי סף'!N86=0,J86&gt;0),$Q$2,'הזנה לתנאי סף'!N86))</f>
        <v/>
      </c>
      <c r="J86" s="213" t="str">
        <f>IF($F86="","",INDEX('גיליון עזר לתחום תמיכה ג'!$H$31:$H$330,MATCH(E86,'גיליון עזר לתחום תמיכה ג'!$C$31:$C$330,0)))</f>
        <v/>
      </c>
      <c r="K86" s="213" t="str">
        <f>IF(OR(F86="",J86=""),"",IF(AND(J86&gt;0,I86=1),J86*'פרמטרים לקריטריונים'!$C$64,$Q$2))</f>
        <v/>
      </c>
      <c r="L86" s="227" t="str">
        <f>IF(OR(F86="",J86=""),"",IF(J86&gt;0,'תחום תמיכה ב'!AC86/SUMIFS('תחום תמיכה ב'!$AC$31:$AC$500,'תחום תמיכה ב'!$E$31:$E$500,E86,'תחום תמיכה ב'!$S$31:$S$500,"=1"),0))</f>
        <v/>
      </c>
      <c r="M86" s="213" t="str">
        <f t="shared" si="1"/>
        <v/>
      </c>
      <c r="N86" s="227" t="str">
        <f t="shared" si="2"/>
        <v/>
      </c>
      <c r="O86" s="213" t="str">
        <f t="shared" si="3"/>
        <v/>
      </c>
    </row>
    <row r="87" spans="1:15" ht="15.75" x14ac:dyDescent="0.2">
      <c r="A87" s="206">
        <f t="shared" si="0"/>
        <v>57</v>
      </c>
      <c r="B87" s="88">
        <f>IF($F87="","",'הזנה לתנאי סף'!C87)</f>
        <v>1001350660</v>
      </c>
      <c r="C87" s="88">
        <f>IF($F87="","",'הזנה לתנאי סף'!D87)</f>
        <v>1001269476</v>
      </c>
      <c r="D87" s="88">
        <f>IF($F87="","",'הזנה לתנאי סף'!E87)</f>
        <v>40000373</v>
      </c>
      <c r="E87" s="88">
        <f>IF($F87="","",'הזנה לתנאי סף'!F87)</f>
        <v>20000254</v>
      </c>
      <c r="F87" s="88" t="str">
        <f>IF(OR('הזנה לתנאי סף'!G87="",'הזנה לתנאי סף'!BL87&lt;&gt;1,'הזנה לתנאי סף'!Q87&lt;&gt;1,'הזנה לתנאי סף'!N87&lt;&gt;1),"",'הזנה לתנאי סף'!G87)</f>
        <v>באר שבע</v>
      </c>
      <c r="G87" s="88" t="str">
        <f>IF($F87="","",'הזנה לתנאי סף'!H87)</f>
        <v>תיאטרון באר שבע</v>
      </c>
      <c r="H87" s="88" t="str">
        <f>IF($F87="","",'הזנה לתנאי סף'!I87)</f>
        <v>תיאטרון</v>
      </c>
      <c r="I87" s="88">
        <f>IF($F87="","",IF(AND('הזנה לתנאי סף'!N87=0,J87&gt;0),$Q$2,'הזנה לתנאי סף'!N87))</f>
        <v>1</v>
      </c>
      <c r="J87" s="213">
        <f>IF($F87="","",INDEX('גיליון עזר לתחום תמיכה ג'!$H$31:$H$330,MATCH(E87,'גיליון עזר לתחום תמיכה ג'!$C$31:$C$330,0)))</f>
        <v>43906</v>
      </c>
      <c r="K87" s="213">
        <f>IF(OR(F87="",J87=""),"",IF(AND(J87&gt;0,I87=1),J87*'פרמטרים לקריטריונים'!$C$64,$Q$2))</f>
        <v>43906</v>
      </c>
      <c r="L87" s="227">
        <f>IF(OR(F87="",J87=""),"",IF(J87&gt;0,'תחום תמיכה ב'!AC87/SUMIFS('תחום תמיכה ב'!$AC$31:$AC$500,'תחום תמיכה ב'!$E$31:$E$500,E87,'תחום תמיכה ב'!$S$31:$S$500,"=1"),0))</f>
        <v>0.34777566118425995</v>
      </c>
      <c r="M87" s="213">
        <f t="shared" si="1"/>
        <v>15269.438179956118</v>
      </c>
      <c r="N87" s="227">
        <f t="shared" si="2"/>
        <v>6.9381115310231621E-4</v>
      </c>
      <c r="O87" s="213">
        <f t="shared" si="3"/>
        <v>15269.438179956118</v>
      </c>
    </row>
    <row r="88" spans="1:15" ht="15.75" x14ac:dyDescent="0.2">
      <c r="A88" s="206">
        <f t="shared" si="0"/>
        <v>58</v>
      </c>
      <c r="B88" s="88">
        <f>IF($F88="","",'הזנה לתנאי סף'!C88)</f>
        <v>1001348833</v>
      </c>
      <c r="C88" s="88">
        <f>IF($F88="","",'הזנה לתנאי סף'!D88)</f>
        <v>1001279924</v>
      </c>
      <c r="D88" s="88">
        <f>IF($F88="","",'הזנה לתנאי סף'!E88)</f>
        <v>40000399</v>
      </c>
      <c r="E88" s="88">
        <f>IF($F88="","",'הזנה לתנאי סף'!F88)</f>
        <v>20000159</v>
      </c>
      <c r="F88" s="88" t="str">
        <f>IF(OR('הזנה לתנאי סף'!G88="",'הזנה לתנאי סף'!BL88&lt;&gt;1,'הזנה לתנאי סף'!Q88&lt;&gt;1,'הזנה לתנאי סף'!N88&lt;&gt;1),"",'הזנה לתנאי סף'!G88)</f>
        <v>ירושלים</v>
      </c>
      <c r="G88" s="88" t="str">
        <f>IF($F88="","",'הזנה לתנאי סף'!H88)</f>
        <v>הקאמרטה הישראלית ירושלים</v>
      </c>
      <c r="H88" s="88" t="str">
        <f>IF($F88="","",'הזנה לתנאי סף'!I88)</f>
        <v>מוסיקה-גופים כליים</v>
      </c>
      <c r="I88" s="88">
        <f>IF($F88="","",IF(AND('הזנה לתנאי סף'!N88=0,J88&gt;0),$Q$2,'הזנה לתנאי סף'!N88))</f>
        <v>1</v>
      </c>
      <c r="J88" s="213">
        <f>IF($F88="","",INDEX('גיליון עזר לתחום תמיכה ג'!$H$31:$H$330,MATCH(E88,'גיליון עזר לתחום תמיכה ג'!$C$31:$C$330,0)))</f>
        <v>3990706</v>
      </c>
      <c r="K88" s="213">
        <f>IF(OR(F88="",J88=""),"",IF(AND(J88&gt;0,I88=1),J88*'פרמטרים לקריטריונים'!$C$64,$Q$2))</f>
        <v>3990706</v>
      </c>
      <c r="L88" s="227">
        <f>IF(OR(F88="",J88=""),"",IF(J88&gt;0,'תחום תמיכה ב'!AC88/SUMIFS('תחום תמיכה ב'!$AC$31:$AC$500,'תחום תמיכה ב'!$E$31:$E$500,E88,'תחום תמיכה ב'!$S$31:$S$500,"=1"),0))</f>
        <v>1.3383432691373154E-2</v>
      </c>
      <c r="M88" s="213">
        <f t="shared" si="1"/>
        <v>53409.345142058992</v>
      </c>
      <c r="N88" s="227">
        <f t="shared" si="2"/>
        <v>2.4268083018335412E-3</v>
      </c>
      <c r="O88" s="213">
        <f t="shared" si="3"/>
        <v>53409.345142058992</v>
      </c>
    </row>
    <row r="89" spans="1:15" ht="15.75" x14ac:dyDescent="0.2">
      <c r="A89" s="206">
        <f t="shared" si="0"/>
        <v>59</v>
      </c>
      <c r="B89" s="88">
        <f>IF($F89="","",'הזנה לתנאי סף'!C89)</f>
        <v>1001349874</v>
      </c>
      <c r="C89" s="88">
        <f>IF($F89="","",'הזנה לתנאי סף'!D89)</f>
        <v>1001269409</v>
      </c>
      <c r="D89" s="88">
        <f>IF($F89="","",'הזנה לתנאי סף'!E89)</f>
        <v>40000299</v>
      </c>
      <c r="E89" s="88">
        <f>IF($F89="","",'הזנה לתנאי סף'!F89)</f>
        <v>20000201</v>
      </c>
      <c r="F89" s="88" t="str">
        <f>IF(OR('הזנה לתנאי סף'!G89="",'הזנה לתנאי סף'!BL89&lt;&gt;1,'הזנה לתנאי סף'!Q89&lt;&gt;1,'הזנה לתנאי סף'!N89&lt;&gt;1),"",'הזנה לתנאי סף'!G89)</f>
        <v>תל אביב -יפו</v>
      </c>
      <c r="G89" s="88" t="str">
        <f>IF($F89="","",'הזנה לתנאי סף'!H89)</f>
        <v>מוזיאון ארץ ישראל ת"א</v>
      </c>
      <c r="H89" s="88" t="str">
        <f>IF($F89="","",'הזנה לתנאי סף'!I89)</f>
        <v>מוזיאונים</v>
      </c>
      <c r="I89" s="88">
        <f>IF($F89="","",IF(AND('הזנה לתנאי סף'!N89=0,J89&gt;0),$Q$2,'הזנה לתנאי סף'!N89))</f>
        <v>1</v>
      </c>
      <c r="J89" s="213">
        <f>IF($F89="","",INDEX('גיליון עזר לתחום תמיכה ג'!$H$31:$H$330,MATCH(E89,'גיליון עזר לתחום תמיכה ג'!$C$31:$C$330,0)))</f>
        <v>15995126</v>
      </c>
      <c r="K89" s="213">
        <f>IF(OR(F89="",J89=""),"",IF(AND(J89&gt;0,I89=1),J89*'פרמטרים לקריטריונים'!$C$64,$Q$2))</f>
        <v>15995126</v>
      </c>
      <c r="L89" s="227">
        <f>IF(OR(F89="",J89=""),"",IF(J89&gt;0,'תחום תמיכה ב'!AC89/SUMIFS('תחום תמיכה ב'!$AC$31:$AC$500,'תחום תמיכה ב'!$E$31:$E$500,E89,'תחום תמיכה ב'!$S$31:$S$500,"=1"),0))</f>
        <v>2.7401682220016793E-2</v>
      </c>
      <c r="M89" s="213">
        <f t="shared" si="1"/>
        <v>438293.3597211283</v>
      </c>
      <c r="N89" s="227">
        <f t="shared" si="2"/>
        <v>1.991512835779255E-2</v>
      </c>
      <c r="O89" s="213">
        <f t="shared" si="3"/>
        <v>438293.3597211283</v>
      </c>
    </row>
    <row r="90" spans="1:15" ht="15.75" x14ac:dyDescent="0.2">
      <c r="A90" s="206">
        <f t="shared" si="0"/>
        <v>60</v>
      </c>
      <c r="B90" s="88">
        <f>IF($F90="","",'הזנה לתנאי סף'!C90)</f>
        <v>1001351086</v>
      </c>
      <c r="C90" s="88">
        <f>IF($F90="","",'הזנה לתנאי סף'!D90)</f>
        <v>1001263868</v>
      </c>
      <c r="D90" s="88">
        <f>IF($F90="","",'הזנה לתנאי סף'!E90)</f>
        <v>40000490</v>
      </c>
      <c r="E90" s="88">
        <f>IF($F90="","",'הזנה לתנאי סף'!F90)</f>
        <v>20000201</v>
      </c>
      <c r="F90" s="88" t="str">
        <f>IF(OR('הזנה לתנאי סף'!G90="",'הזנה לתנאי סף'!BL90&lt;&gt;1,'הזנה לתנאי סף'!Q90&lt;&gt;1,'הזנה לתנאי סף'!N90&lt;&gt;1),"",'הזנה לתנאי סף'!G90)</f>
        <v>תל אביב -יפו</v>
      </c>
      <c r="G90" s="88" t="str">
        <f>IF($F90="","",'הזנה לתנאי סף'!H90)</f>
        <v>המקהלה הקאמרית תל אביב</v>
      </c>
      <c r="H90" s="88" t="str">
        <f>IF($F90="","",'הזנה לתנאי סף'!I90)</f>
        <v>מקהלות</v>
      </c>
      <c r="I90" s="88">
        <f>IF($F90="","",IF(AND('הזנה לתנאי סף'!N90=0,J90&gt;0),$Q$2,'הזנה לתנאי סף'!N90))</f>
        <v>1</v>
      </c>
      <c r="J90" s="213">
        <f>IF($F90="","",INDEX('גיליון עזר לתחום תמיכה ג'!$H$31:$H$330,MATCH(E90,'גיליון עזר לתחום תמיכה ג'!$C$31:$C$330,0)))</f>
        <v>15995126</v>
      </c>
      <c r="K90" s="213">
        <f>IF(OR(F90="",J90=""),"",IF(AND(J90&gt;0,I90=1),J90*'פרמטרים לקריטריונים'!$C$64,$Q$2))</f>
        <v>15995126</v>
      </c>
      <c r="L90" s="227">
        <f>IF(OR(F90="",J90=""),"",IF(J90&gt;0,'תחום תמיכה ב'!AC90/SUMIFS('תחום תמיכה ב'!$AC$31:$AC$500,'תחום תמיכה ב'!$E$31:$E$500,E90,'תחום תמיכה ב'!$S$31:$S$500,"=1"),0))</f>
        <v>9.6774917813081387E-5</v>
      </c>
      <c r="M90" s="213">
        <f t="shared" si="1"/>
        <v>1547.9270040598813</v>
      </c>
      <c r="N90" s="227">
        <f t="shared" si="2"/>
        <v>7.0334547148877903E-5</v>
      </c>
      <c r="O90" s="213">
        <f t="shared" si="3"/>
        <v>1547.9270040598813</v>
      </c>
    </row>
    <row r="91" spans="1:15" ht="15.75" x14ac:dyDescent="0.2">
      <c r="A91" s="206" t="str">
        <f t="shared" si="0"/>
        <v/>
      </c>
      <c r="B91" s="88" t="str">
        <f>IF($F91="","",'הזנה לתנאי סף'!C91)</f>
        <v/>
      </c>
      <c r="C91" s="88" t="str">
        <f>IF($F91="","",'הזנה לתנאי סף'!D91)</f>
        <v/>
      </c>
      <c r="D91" s="88" t="str">
        <f>IF($F91="","",'הזנה לתנאי סף'!E91)</f>
        <v/>
      </c>
      <c r="E91" s="88" t="str">
        <f>IF($F91="","",'הזנה לתנאי סף'!F91)</f>
        <v/>
      </c>
      <c r="F91" s="88" t="str">
        <f>IF(OR('הזנה לתנאי סף'!G91="",'הזנה לתנאי סף'!BL91&lt;&gt;1,'הזנה לתנאי סף'!Q91&lt;&gt;1,'הזנה לתנאי סף'!N91&lt;&gt;1),"",'הזנה לתנאי סף'!G91)</f>
        <v/>
      </c>
      <c r="G91" s="88" t="str">
        <f>IF($F91="","",'הזנה לתנאי סף'!H91)</f>
        <v/>
      </c>
      <c r="H91" s="88" t="str">
        <f>IF($F91="","",'הזנה לתנאי סף'!I91)</f>
        <v/>
      </c>
      <c r="I91" s="88" t="str">
        <f>IF($F91="","",IF(AND('הזנה לתנאי סף'!N91=0,J91&gt;0),$Q$2,'הזנה לתנאי סף'!N91))</f>
        <v/>
      </c>
      <c r="J91" s="213" t="str">
        <f>IF($F91="","",INDEX('גיליון עזר לתחום תמיכה ג'!$H$31:$H$330,MATCH(E91,'גיליון עזר לתחום תמיכה ג'!$C$31:$C$330,0)))</f>
        <v/>
      </c>
      <c r="K91" s="213" t="str">
        <f>IF(OR(F91="",J91=""),"",IF(AND(J91&gt;0,I91=1),J91*'פרמטרים לקריטריונים'!$C$64,$Q$2))</f>
        <v/>
      </c>
      <c r="L91" s="227" t="str">
        <f>IF(OR(F91="",J91=""),"",IF(J91&gt;0,'תחום תמיכה ב'!AC91/SUMIFS('תחום תמיכה ב'!$AC$31:$AC$500,'תחום תמיכה ב'!$E$31:$E$500,E91,'תחום תמיכה ב'!$S$31:$S$500,"=1"),0))</f>
        <v/>
      </c>
      <c r="M91" s="213" t="str">
        <f t="shared" si="1"/>
        <v/>
      </c>
      <c r="N91" s="227" t="str">
        <f t="shared" si="2"/>
        <v/>
      </c>
      <c r="O91" s="213" t="str">
        <f t="shared" si="3"/>
        <v/>
      </c>
    </row>
    <row r="92" spans="1:15" ht="15.75" x14ac:dyDescent="0.2">
      <c r="A92" s="206" t="str">
        <f t="shared" si="0"/>
        <v/>
      </c>
      <c r="B92" s="88" t="str">
        <f>IF($F92="","",'הזנה לתנאי סף'!C92)</f>
        <v/>
      </c>
      <c r="C92" s="88" t="str">
        <f>IF($F92="","",'הזנה לתנאי סף'!D92)</f>
        <v/>
      </c>
      <c r="D92" s="88" t="str">
        <f>IF($F92="","",'הזנה לתנאי סף'!E92)</f>
        <v/>
      </c>
      <c r="E92" s="88" t="str">
        <f>IF($F92="","",'הזנה לתנאי סף'!F92)</f>
        <v/>
      </c>
      <c r="F92" s="88" t="str">
        <f>IF(OR('הזנה לתנאי סף'!G92="",'הזנה לתנאי סף'!BL92&lt;&gt;1,'הזנה לתנאי סף'!Q92&lt;&gt;1,'הזנה לתנאי סף'!N92&lt;&gt;1),"",'הזנה לתנאי סף'!G92)</f>
        <v/>
      </c>
      <c r="G92" s="88" t="str">
        <f>IF($F92="","",'הזנה לתנאי סף'!H92)</f>
        <v/>
      </c>
      <c r="H92" s="88" t="str">
        <f>IF($F92="","",'הזנה לתנאי סף'!I92)</f>
        <v/>
      </c>
      <c r="I92" s="88" t="str">
        <f>IF($F92="","",IF(AND('הזנה לתנאי סף'!N92=0,J92&gt;0),$Q$2,'הזנה לתנאי סף'!N92))</f>
        <v/>
      </c>
      <c r="J92" s="213" t="str">
        <f>IF($F92="","",INDEX('גיליון עזר לתחום תמיכה ג'!$H$31:$H$330,MATCH(E92,'גיליון עזר לתחום תמיכה ג'!$C$31:$C$330,0)))</f>
        <v/>
      </c>
      <c r="K92" s="213" t="str">
        <f>IF(OR(F92="",J92=""),"",IF(AND(J92&gt;0,I92=1),J92*'פרמטרים לקריטריונים'!$C$64,$Q$2))</f>
        <v/>
      </c>
      <c r="L92" s="227" t="str">
        <f>IF(OR(F92="",J92=""),"",IF(J92&gt;0,'תחום תמיכה ב'!AC92/SUMIFS('תחום תמיכה ב'!$AC$31:$AC$500,'תחום תמיכה ב'!$E$31:$E$500,E92,'תחום תמיכה ב'!$S$31:$S$500,"=1"),0))</f>
        <v/>
      </c>
      <c r="M92" s="213" t="str">
        <f t="shared" si="1"/>
        <v/>
      </c>
      <c r="N92" s="227" t="str">
        <f t="shared" si="2"/>
        <v/>
      </c>
      <c r="O92" s="213" t="str">
        <f t="shared" si="3"/>
        <v/>
      </c>
    </row>
    <row r="93" spans="1:15" ht="15.75" x14ac:dyDescent="0.2">
      <c r="A93" s="206" t="str">
        <f t="shared" si="0"/>
        <v/>
      </c>
      <c r="B93" s="88" t="str">
        <f>IF($F93="","",'הזנה לתנאי סף'!C93)</f>
        <v/>
      </c>
      <c r="C93" s="88" t="str">
        <f>IF($F93="","",'הזנה לתנאי סף'!D93)</f>
        <v/>
      </c>
      <c r="D93" s="88" t="str">
        <f>IF($F93="","",'הזנה לתנאי סף'!E93)</f>
        <v/>
      </c>
      <c r="E93" s="88" t="str">
        <f>IF($F93="","",'הזנה לתנאי סף'!F93)</f>
        <v/>
      </c>
      <c r="F93" s="88" t="str">
        <f>IF(OR('הזנה לתנאי סף'!G93="",'הזנה לתנאי סף'!BL93&lt;&gt;1,'הזנה לתנאי סף'!Q93&lt;&gt;1,'הזנה לתנאי סף'!N93&lt;&gt;1),"",'הזנה לתנאי סף'!G93)</f>
        <v/>
      </c>
      <c r="G93" s="88" t="str">
        <f>IF($F93="","",'הזנה לתנאי סף'!H93)</f>
        <v/>
      </c>
      <c r="H93" s="88" t="str">
        <f>IF($F93="","",'הזנה לתנאי סף'!I93)</f>
        <v/>
      </c>
      <c r="I93" s="88" t="str">
        <f>IF($F93="","",IF(AND('הזנה לתנאי סף'!N93=0,J93&gt;0),$Q$2,'הזנה לתנאי סף'!N93))</f>
        <v/>
      </c>
      <c r="J93" s="213" t="str">
        <f>IF($F93="","",INDEX('גיליון עזר לתחום תמיכה ג'!$H$31:$H$330,MATCH(E93,'גיליון עזר לתחום תמיכה ג'!$C$31:$C$330,0)))</f>
        <v/>
      </c>
      <c r="K93" s="213" t="str">
        <f>IF(OR(F93="",J93=""),"",IF(AND(J93&gt;0,I93=1),J93*'פרמטרים לקריטריונים'!$C$64,$Q$2))</f>
        <v/>
      </c>
      <c r="L93" s="227" t="str">
        <f>IF(OR(F93="",J93=""),"",IF(J93&gt;0,'תחום תמיכה ב'!AC93/SUMIFS('תחום תמיכה ב'!$AC$31:$AC$500,'תחום תמיכה ב'!$E$31:$E$500,E93,'תחום תמיכה ב'!$S$31:$S$500,"=1"),0))</f>
        <v/>
      </c>
      <c r="M93" s="213" t="str">
        <f t="shared" si="1"/>
        <v/>
      </c>
      <c r="N93" s="227" t="str">
        <f t="shared" si="2"/>
        <v/>
      </c>
      <c r="O93" s="213" t="str">
        <f t="shared" si="3"/>
        <v/>
      </c>
    </row>
    <row r="94" spans="1:15" ht="15.75" x14ac:dyDescent="0.2">
      <c r="A94" s="206" t="str">
        <f t="shared" si="0"/>
        <v/>
      </c>
      <c r="B94" s="88" t="str">
        <f>IF($F94="","",'הזנה לתנאי סף'!C94)</f>
        <v/>
      </c>
      <c r="C94" s="88" t="str">
        <f>IF($F94="","",'הזנה לתנאי סף'!D94)</f>
        <v/>
      </c>
      <c r="D94" s="88" t="str">
        <f>IF($F94="","",'הזנה לתנאי סף'!E94)</f>
        <v/>
      </c>
      <c r="E94" s="88" t="str">
        <f>IF($F94="","",'הזנה לתנאי סף'!F94)</f>
        <v/>
      </c>
      <c r="F94" s="88" t="str">
        <f>IF(OR('הזנה לתנאי סף'!G94="",'הזנה לתנאי סף'!BL94&lt;&gt;1,'הזנה לתנאי סף'!Q94&lt;&gt;1,'הזנה לתנאי סף'!N94&lt;&gt;1),"",'הזנה לתנאי סף'!G94)</f>
        <v/>
      </c>
      <c r="G94" s="88" t="str">
        <f>IF($F94="","",'הזנה לתנאי סף'!H94)</f>
        <v/>
      </c>
      <c r="H94" s="88" t="str">
        <f>IF($F94="","",'הזנה לתנאי סף'!I94)</f>
        <v/>
      </c>
      <c r="I94" s="88" t="str">
        <f>IF($F94="","",IF(AND('הזנה לתנאי סף'!N94=0,J94&gt;0),$Q$2,'הזנה לתנאי סף'!N94))</f>
        <v/>
      </c>
      <c r="J94" s="213" t="str">
        <f>IF($F94="","",INDEX('גיליון עזר לתחום תמיכה ג'!$H$31:$H$330,MATCH(E94,'גיליון עזר לתחום תמיכה ג'!$C$31:$C$330,0)))</f>
        <v/>
      </c>
      <c r="K94" s="213" t="str">
        <f>IF(OR(F94="",J94=""),"",IF(AND(J94&gt;0,I94=1),J94*'פרמטרים לקריטריונים'!$C$64,$Q$2))</f>
        <v/>
      </c>
      <c r="L94" s="227" t="str">
        <f>IF(OR(F94="",J94=""),"",IF(J94&gt;0,'תחום תמיכה ב'!AC94/SUMIFS('תחום תמיכה ב'!$AC$31:$AC$500,'תחום תמיכה ב'!$E$31:$E$500,E94,'תחום תמיכה ב'!$S$31:$S$500,"=1"),0))</f>
        <v/>
      </c>
      <c r="M94" s="213" t="str">
        <f t="shared" si="1"/>
        <v/>
      </c>
      <c r="N94" s="227" t="str">
        <f t="shared" si="2"/>
        <v/>
      </c>
      <c r="O94" s="213" t="str">
        <f t="shared" si="3"/>
        <v/>
      </c>
    </row>
    <row r="95" spans="1:15" ht="15.75" x14ac:dyDescent="0.2">
      <c r="A95" s="206">
        <f t="shared" si="0"/>
        <v>65</v>
      </c>
      <c r="B95" s="88">
        <f>IF($F95="","",'הזנה לתנאי סף'!C95)</f>
        <v>1001348656</v>
      </c>
      <c r="C95" s="88">
        <f>IF($F95="","",'הזנה לתנאי סף'!D95)</f>
        <v>1001274980</v>
      </c>
      <c r="D95" s="88">
        <f>IF($F95="","",'הזנה לתנאי סף'!E95)</f>
        <v>40000533</v>
      </c>
      <c r="E95" s="88">
        <f>IF($F95="","",'הזנה לתנאי סף'!F95)</f>
        <v>20000159</v>
      </c>
      <c r="F95" s="88" t="str">
        <f>IF(OR('הזנה לתנאי סף'!G95="",'הזנה לתנאי סף'!BL95&lt;&gt;1,'הזנה לתנאי סף'!Q95&lt;&gt;1,'הזנה לתנאי סף'!N95&lt;&gt;1),"",'הזנה לתנאי סף'!G95)</f>
        <v>ירושלים</v>
      </c>
      <c r="G95" s="88" t="str">
        <f>IF($F95="","",'הזנה לתנאי סף'!H95)</f>
        <v xml:space="preserve">תזמורת הבארוק ירושלים </v>
      </c>
      <c r="H95" s="88" t="str">
        <f>IF($F95="","",'הזנה לתנאי סף'!I95)</f>
        <v>מוסיקה-גופים כליים</v>
      </c>
      <c r="I95" s="88">
        <f>IF($F95="","",IF(AND('הזנה לתנאי סף'!N95=0,J95&gt;0),$Q$2,'הזנה לתנאי סף'!N95))</f>
        <v>1</v>
      </c>
      <c r="J95" s="213">
        <f>IF($F95="","",INDEX('גיליון עזר לתחום תמיכה ג'!$H$31:$H$330,MATCH(E95,'גיליון עזר לתחום תמיכה ג'!$C$31:$C$330,0)))</f>
        <v>3990706</v>
      </c>
      <c r="K95" s="213">
        <f>IF(OR(F95="",J95=""),"",IF(AND(J95&gt;0,I95=1),J95*'פרמטרים לקריטריונים'!$C$64,$Q$2))</f>
        <v>3990706</v>
      </c>
      <c r="L95" s="227">
        <f>IF(OR(F95="",J95=""),"",IF(J95&gt;0,'תחום תמיכה ב'!AC95/SUMIFS('תחום תמיכה ב'!$AC$31:$AC$500,'תחום תמיכה ב'!$E$31:$E$500,E95,'תחום תמיכה ב'!$S$31:$S$500,"=1"),0))</f>
        <v>1.8545140605587111E-3</v>
      </c>
      <c r="M95" s="213">
        <f t="shared" si="1"/>
        <v>7400.8203885560115</v>
      </c>
      <c r="N95" s="227">
        <f t="shared" si="2"/>
        <v>3.3627771154196685E-4</v>
      </c>
      <c r="O95" s="213">
        <f t="shared" si="3"/>
        <v>7400.8203885560115</v>
      </c>
    </row>
    <row r="96" spans="1:15" ht="15.75" x14ac:dyDescent="0.2">
      <c r="A96" s="206" t="str">
        <f t="shared" ref="A96:A159" si="4">IF(F96="","",ROW()-30)</f>
        <v/>
      </c>
      <c r="B96" s="88" t="str">
        <f>IF($F96="","",'הזנה לתנאי סף'!C96)</f>
        <v/>
      </c>
      <c r="C96" s="88" t="str">
        <f>IF($F96="","",'הזנה לתנאי סף'!D96)</f>
        <v/>
      </c>
      <c r="D96" s="88" t="str">
        <f>IF($F96="","",'הזנה לתנאי סף'!E96)</f>
        <v/>
      </c>
      <c r="E96" s="88" t="str">
        <f>IF($F96="","",'הזנה לתנאי סף'!F96)</f>
        <v/>
      </c>
      <c r="F96" s="88" t="str">
        <f>IF(OR('הזנה לתנאי סף'!G96="",'הזנה לתנאי סף'!BL96&lt;&gt;1,'הזנה לתנאי סף'!Q96&lt;&gt;1,'הזנה לתנאי סף'!N96&lt;&gt;1),"",'הזנה לתנאי סף'!G96)</f>
        <v/>
      </c>
      <c r="G96" s="88" t="str">
        <f>IF($F96="","",'הזנה לתנאי סף'!H96)</f>
        <v/>
      </c>
      <c r="H96" s="88" t="str">
        <f>IF($F96="","",'הזנה לתנאי סף'!I96)</f>
        <v/>
      </c>
      <c r="I96" s="88" t="str">
        <f>IF($F96="","",IF(AND('הזנה לתנאי סף'!N96=0,J96&gt;0),$Q$2,'הזנה לתנאי סף'!N96))</f>
        <v/>
      </c>
      <c r="J96" s="213" t="str">
        <f>IF($F96="","",INDEX('גיליון עזר לתחום תמיכה ג'!$H$31:$H$330,MATCH(E96,'גיליון עזר לתחום תמיכה ג'!$C$31:$C$330,0)))</f>
        <v/>
      </c>
      <c r="K96" s="213" t="str">
        <f>IF(OR(F96="",J96=""),"",IF(AND(J96&gt;0,I96=1),J96*'פרמטרים לקריטריונים'!$C$64,$Q$2))</f>
        <v/>
      </c>
      <c r="L96" s="227" t="str">
        <f>IF(OR(F96="",J96=""),"",IF(J96&gt;0,'תחום תמיכה ב'!AC96/SUMIFS('תחום תמיכה ב'!$AC$31:$AC$500,'תחום תמיכה ב'!$E$31:$E$500,E96,'תחום תמיכה ב'!$S$31:$S$500,"=1"),0))</f>
        <v/>
      </c>
      <c r="M96" s="213" t="str">
        <f t="shared" ref="M96:M159" si="5">IF(OR(F96="",J96=""),"",IFERROR(K96*L96,$Q$2))</f>
        <v/>
      </c>
      <c r="N96" s="227" t="str">
        <f t="shared" ref="N96:N159" si="6">IF(OR(F96="",J96=""),"",IFERROR(M96/$M$501,$Q$2))</f>
        <v/>
      </c>
      <c r="O96" s="213" t="str">
        <f t="shared" ref="O96:O159" si="7">IF(N96="","",IF($M$501&lt;$F$4,M96,N96*$F$4))</f>
        <v/>
      </c>
    </row>
    <row r="97" spans="1:15" ht="15.75" x14ac:dyDescent="0.2">
      <c r="A97" s="206" t="str">
        <f t="shared" si="4"/>
        <v/>
      </c>
      <c r="B97" s="88" t="str">
        <f>IF($F97="","",'הזנה לתנאי סף'!C97)</f>
        <v/>
      </c>
      <c r="C97" s="88" t="str">
        <f>IF($F97="","",'הזנה לתנאי סף'!D97)</f>
        <v/>
      </c>
      <c r="D97" s="88" t="str">
        <f>IF($F97="","",'הזנה לתנאי סף'!E97)</f>
        <v/>
      </c>
      <c r="E97" s="88" t="str">
        <f>IF($F97="","",'הזנה לתנאי סף'!F97)</f>
        <v/>
      </c>
      <c r="F97" s="88" t="str">
        <f>IF(OR('הזנה לתנאי סף'!G97="",'הזנה לתנאי סף'!BL97&lt;&gt;1,'הזנה לתנאי סף'!Q97&lt;&gt;1,'הזנה לתנאי סף'!N97&lt;&gt;1),"",'הזנה לתנאי סף'!G97)</f>
        <v/>
      </c>
      <c r="G97" s="88" t="str">
        <f>IF($F97="","",'הזנה לתנאי סף'!H97)</f>
        <v/>
      </c>
      <c r="H97" s="88" t="str">
        <f>IF($F97="","",'הזנה לתנאי סף'!I97)</f>
        <v/>
      </c>
      <c r="I97" s="88" t="str">
        <f>IF($F97="","",IF(AND('הזנה לתנאי סף'!N97=0,J97&gt;0),$Q$2,'הזנה לתנאי סף'!N97))</f>
        <v/>
      </c>
      <c r="J97" s="213" t="str">
        <f>IF($F97="","",INDEX('גיליון עזר לתחום תמיכה ג'!$H$31:$H$330,MATCH(E97,'גיליון עזר לתחום תמיכה ג'!$C$31:$C$330,0)))</f>
        <v/>
      </c>
      <c r="K97" s="213" t="str">
        <f>IF(OR(F97="",J97=""),"",IF(AND(J97&gt;0,I97=1),J97*'פרמטרים לקריטריונים'!$C$64,$Q$2))</f>
        <v/>
      </c>
      <c r="L97" s="227" t="str">
        <f>IF(OR(F97="",J97=""),"",IF(J97&gt;0,'תחום תמיכה ב'!AC97/SUMIFS('תחום תמיכה ב'!$AC$31:$AC$500,'תחום תמיכה ב'!$E$31:$E$500,E97,'תחום תמיכה ב'!$S$31:$S$500,"=1"),0))</f>
        <v/>
      </c>
      <c r="M97" s="213" t="str">
        <f t="shared" si="5"/>
        <v/>
      </c>
      <c r="N97" s="227" t="str">
        <f t="shared" si="6"/>
        <v/>
      </c>
      <c r="O97" s="213" t="str">
        <f t="shared" si="7"/>
        <v/>
      </c>
    </row>
    <row r="98" spans="1:15" ht="15.75" x14ac:dyDescent="0.2">
      <c r="A98" s="206" t="str">
        <f t="shared" si="4"/>
        <v/>
      </c>
      <c r="B98" s="88" t="str">
        <f>IF($F98="","",'הזנה לתנאי סף'!C98)</f>
        <v/>
      </c>
      <c r="C98" s="88" t="str">
        <f>IF($F98="","",'הזנה לתנאי סף'!D98)</f>
        <v/>
      </c>
      <c r="D98" s="88" t="str">
        <f>IF($F98="","",'הזנה לתנאי סף'!E98)</f>
        <v/>
      </c>
      <c r="E98" s="88" t="str">
        <f>IF($F98="","",'הזנה לתנאי סף'!F98)</f>
        <v/>
      </c>
      <c r="F98" s="88" t="str">
        <f>IF(OR('הזנה לתנאי סף'!G98="",'הזנה לתנאי סף'!BL98&lt;&gt;1,'הזנה לתנאי סף'!Q98&lt;&gt;1,'הזנה לתנאי סף'!N98&lt;&gt;1),"",'הזנה לתנאי סף'!G98)</f>
        <v/>
      </c>
      <c r="G98" s="88" t="str">
        <f>IF($F98="","",'הזנה לתנאי סף'!H98)</f>
        <v/>
      </c>
      <c r="H98" s="88" t="str">
        <f>IF($F98="","",'הזנה לתנאי סף'!I98)</f>
        <v/>
      </c>
      <c r="I98" s="88" t="str">
        <f>IF($F98="","",IF(AND('הזנה לתנאי סף'!N98=0,J98&gt;0),$Q$2,'הזנה לתנאי סף'!N98))</f>
        <v/>
      </c>
      <c r="J98" s="213" t="str">
        <f>IF($F98="","",INDEX('גיליון עזר לתחום תמיכה ג'!$H$31:$H$330,MATCH(E98,'גיליון עזר לתחום תמיכה ג'!$C$31:$C$330,0)))</f>
        <v/>
      </c>
      <c r="K98" s="213" t="str">
        <f>IF(OR(F98="",J98=""),"",IF(AND(J98&gt;0,I98=1),J98*'פרמטרים לקריטריונים'!$C$64,$Q$2))</f>
        <v/>
      </c>
      <c r="L98" s="227" t="str">
        <f>IF(OR(F98="",J98=""),"",IF(J98&gt;0,'תחום תמיכה ב'!AC98/SUMIFS('תחום תמיכה ב'!$AC$31:$AC$500,'תחום תמיכה ב'!$E$31:$E$500,E98,'תחום תמיכה ב'!$S$31:$S$500,"=1"),0))</f>
        <v/>
      </c>
      <c r="M98" s="213" t="str">
        <f t="shared" si="5"/>
        <v/>
      </c>
      <c r="N98" s="227" t="str">
        <f t="shared" si="6"/>
        <v/>
      </c>
      <c r="O98" s="213" t="str">
        <f t="shared" si="7"/>
        <v/>
      </c>
    </row>
    <row r="99" spans="1:15" ht="15.75" x14ac:dyDescent="0.2">
      <c r="A99" s="206" t="str">
        <f t="shared" si="4"/>
        <v/>
      </c>
      <c r="B99" s="88" t="str">
        <f>IF($F99="","",'הזנה לתנאי סף'!C99)</f>
        <v/>
      </c>
      <c r="C99" s="88" t="str">
        <f>IF($F99="","",'הזנה לתנאי סף'!D99)</f>
        <v/>
      </c>
      <c r="D99" s="88" t="str">
        <f>IF($F99="","",'הזנה לתנאי סף'!E99)</f>
        <v/>
      </c>
      <c r="E99" s="88" t="str">
        <f>IF($F99="","",'הזנה לתנאי סף'!F99)</f>
        <v/>
      </c>
      <c r="F99" s="88" t="str">
        <f>IF(OR('הזנה לתנאי סף'!G99="",'הזנה לתנאי סף'!BL99&lt;&gt;1,'הזנה לתנאי סף'!Q99&lt;&gt;1,'הזנה לתנאי סף'!N99&lt;&gt;1),"",'הזנה לתנאי סף'!G99)</f>
        <v/>
      </c>
      <c r="G99" s="88" t="str">
        <f>IF($F99="","",'הזנה לתנאי סף'!H99)</f>
        <v/>
      </c>
      <c r="H99" s="88" t="str">
        <f>IF($F99="","",'הזנה לתנאי סף'!I99)</f>
        <v/>
      </c>
      <c r="I99" s="88" t="str">
        <f>IF($F99="","",IF(AND('הזנה לתנאי סף'!N99=0,J99&gt;0),$Q$2,'הזנה לתנאי סף'!N99))</f>
        <v/>
      </c>
      <c r="J99" s="213" t="str">
        <f>IF($F99="","",INDEX('גיליון עזר לתחום תמיכה ג'!$H$31:$H$330,MATCH(E99,'גיליון עזר לתחום תמיכה ג'!$C$31:$C$330,0)))</f>
        <v/>
      </c>
      <c r="K99" s="213" t="str">
        <f>IF(OR(F99="",J99=""),"",IF(AND(J99&gt;0,I99=1),J99*'פרמטרים לקריטריונים'!$C$64,$Q$2))</f>
        <v/>
      </c>
      <c r="L99" s="227" t="str">
        <f>IF(OR(F99="",J99=""),"",IF(J99&gt;0,'תחום תמיכה ב'!AC99/SUMIFS('תחום תמיכה ב'!$AC$31:$AC$500,'תחום תמיכה ב'!$E$31:$E$500,E99,'תחום תמיכה ב'!$S$31:$S$500,"=1"),0))</f>
        <v/>
      </c>
      <c r="M99" s="213" t="str">
        <f t="shared" si="5"/>
        <v/>
      </c>
      <c r="N99" s="227" t="str">
        <f t="shared" si="6"/>
        <v/>
      </c>
      <c r="O99" s="213" t="str">
        <f t="shared" si="7"/>
        <v/>
      </c>
    </row>
    <row r="100" spans="1:15" ht="15.75" x14ac:dyDescent="0.2">
      <c r="A100" s="206" t="str">
        <f t="shared" si="4"/>
        <v/>
      </c>
      <c r="B100" s="88" t="str">
        <f>IF($F100="","",'הזנה לתנאי סף'!C100)</f>
        <v/>
      </c>
      <c r="C100" s="88" t="str">
        <f>IF($F100="","",'הזנה לתנאי סף'!D100)</f>
        <v/>
      </c>
      <c r="D100" s="88" t="str">
        <f>IF($F100="","",'הזנה לתנאי סף'!E100)</f>
        <v/>
      </c>
      <c r="E100" s="88" t="str">
        <f>IF($F100="","",'הזנה לתנאי סף'!F100)</f>
        <v/>
      </c>
      <c r="F100" s="88" t="str">
        <f>IF(OR('הזנה לתנאי סף'!G100="",'הזנה לתנאי סף'!BL100&lt;&gt;1,'הזנה לתנאי סף'!Q100&lt;&gt;1,'הזנה לתנאי סף'!N100&lt;&gt;1),"",'הזנה לתנאי סף'!G100)</f>
        <v/>
      </c>
      <c r="G100" s="88" t="str">
        <f>IF($F100="","",'הזנה לתנאי סף'!H100)</f>
        <v/>
      </c>
      <c r="H100" s="88" t="str">
        <f>IF($F100="","",'הזנה לתנאי סף'!I100)</f>
        <v/>
      </c>
      <c r="I100" s="88" t="str">
        <f>IF($F100="","",IF(AND('הזנה לתנאי סף'!N100=0,J100&gt;0),$Q$2,'הזנה לתנאי סף'!N100))</f>
        <v/>
      </c>
      <c r="J100" s="213" t="str">
        <f>IF($F100="","",INDEX('גיליון עזר לתחום תמיכה ג'!$H$31:$H$330,MATCH(E100,'גיליון עזר לתחום תמיכה ג'!$C$31:$C$330,0)))</f>
        <v/>
      </c>
      <c r="K100" s="213" t="str">
        <f>IF(OR(F100="",J100=""),"",IF(AND(J100&gt;0,I100=1),J100*'פרמטרים לקריטריונים'!$C$64,$Q$2))</f>
        <v/>
      </c>
      <c r="L100" s="227" t="str">
        <f>IF(OR(F100="",J100=""),"",IF(J100&gt;0,'תחום תמיכה ב'!AC100/SUMIFS('תחום תמיכה ב'!$AC$31:$AC$500,'תחום תמיכה ב'!$E$31:$E$500,E100,'תחום תמיכה ב'!$S$31:$S$500,"=1"),0))</f>
        <v/>
      </c>
      <c r="M100" s="213" t="str">
        <f t="shared" si="5"/>
        <v/>
      </c>
      <c r="N100" s="227" t="str">
        <f t="shared" si="6"/>
        <v/>
      </c>
      <c r="O100" s="213" t="str">
        <f t="shared" si="7"/>
        <v/>
      </c>
    </row>
    <row r="101" spans="1:15" ht="15.75" x14ac:dyDescent="0.2">
      <c r="A101" s="206">
        <f t="shared" si="4"/>
        <v>71</v>
      </c>
      <c r="B101" s="88">
        <f>IF($F101="","",'הזנה לתנאי סף'!C101)</f>
        <v>1001347665</v>
      </c>
      <c r="C101" s="88">
        <f>IF($F101="","",'הזנה לתנאי סף'!D101)</f>
        <v>1001269101</v>
      </c>
      <c r="D101" s="88">
        <f>IF($F101="","",'הזנה לתנאי סף'!E101)</f>
        <v>40000411</v>
      </c>
      <c r="E101" s="88">
        <f>IF($F101="","",'הזנה לתנאי סף'!F101)</f>
        <v>20000159</v>
      </c>
      <c r="F101" s="88" t="str">
        <f>IF(OR('הזנה לתנאי סף'!G101="",'הזנה לתנאי סף'!BL101&lt;&gt;1,'הזנה לתנאי סף'!Q101&lt;&gt;1,'הזנה לתנאי סף'!N101&lt;&gt;1),"",'הזנה לתנאי סף'!G101)</f>
        <v>ירושלים</v>
      </c>
      <c r="G101" s="88" t="str">
        <f>IF($F101="","",'הזנה לתנאי סף'!H101)</f>
        <v>סינמטק ירושלים</v>
      </c>
      <c r="H101" s="88" t="str">
        <f>IF($F101="","",'הזנה לתנאי סף'!I101)</f>
        <v>סינמטקים ופסטיבלים</v>
      </c>
      <c r="I101" s="88">
        <f>IF($F101="","",IF(AND('הזנה לתנאי סף'!N101=0,J101&gt;0),$Q$2,'הזנה לתנאי סף'!N101))</f>
        <v>1</v>
      </c>
      <c r="J101" s="213">
        <f>IF($F101="","",INDEX('גיליון עזר לתחום תמיכה ג'!$H$31:$H$330,MATCH(E101,'גיליון עזר לתחום תמיכה ג'!$C$31:$C$330,0)))</f>
        <v>3990706</v>
      </c>
      <c r="K101" s="213">
        <f>IF(OR(F101="",J101=""),"",IF(AND(J101&gt;0,I101=1),J101*'פרמטרים לקריטריונים'!$C$64,$Q$2))</f>
        <v>3990706</v>
      </c>
      <c r="L101" s="227">
        <f>IF(OR(F101="",J101=""),"",IF(J101&gt;0,'תחום תמיכה ב'!AC101/SUMIFS('תחום תמיכה ב'!$AC$31:$AC$500,'תחום תמיכה ב'!$E$31:$E$500,E101,'תחום תמיכה ב'!$S$31:$S$500,"=1"),0))</f>
        <v>5.825767044208429E-2</v>
      </c>
      <c r="M101" s="213">
        <f t="shared" si="5"/>
        <v>232489.23497924843</v>
      </c>
      <c r="N101" s="227">
        <f t="shared" si="6"/>
        <v>1.0563821818707627E-2</v>
      </c>
      <c r="O101" s="213">
        <f t="shared" si="7"/>
        <v>232489.23497924843</v>
      </c>
    </row>
    <row r="102" spans="1:15" ht="15.75" x14ac:dyDescent="0.2">
      <c r="A102" s="206">
        <f t="shared" si="4"/>
        <v>72</v>
      </c>
      <c r="B102" s="88">
        <f>IF($F102="","",'הזנה לתנאי סף'!C102)</f>
        <v>1001347675</v>
      </c>
      <c r="C102" s="88">
        <f>IF($F102="","",'הזנה לתנאי סף'!D102)</f>
        <v>1001269049</v>
      </c>
      <c r="D102" s="88">
        <f>IF($F102="","",'הזנה לתנאי סף'!E102)</f>
        <v>40000411</v>
      </c>
      <c r="E102" s="88">
        <f>IF($F102="","",'הזנה לתנאי סף'!F102)</f>
        <v>20000159</v>
      </c>
      <c r="F102" s="88" t="str">
        <f>IF(OR('הזנה לתנאי סף'!G102="",'הזנה לתנאי סף'!BL102&lt;&gt;1,'הזנה לתנאי סף'!Q102&lt;&gt;1,'הזנה לתנאי סף'!N102&lt;&gt;1),"",'הזנה לתנאי סף'!G102)</f>
        <v>ירושלים</v>
      </c>
      <c r="G102" s="88" t="str">
        <f>IF($F102="","",'הזנה לתנאי סף'!H102)</f>
        <v>סינמטק ירושלים</v>
      </c>
      <c r="H102" s="88" t="str">
        <f>IF($F102="","",'הזנה לתנאי סף'!I102)</f>
        <v>סינמטקים ופסטיבלים</v>
      </c>
      <c r="I102" s="88">
        <f>IF($F102="","",IF(AND('הזנה לתנאי סף'!N102=0,J102&gt;0),$Q$2,'הזנה לתנאי סף'!N102))</f>
        <v>1</v>
      </c>
      <c r="J102" s="213">
        <f>IF($F102="","",INDEX('גיליון עזר לתחום תמיכה ג'!$H$31:$H$330,MATCH(E102,'גיליון עזר לתחום תמיכה ג'!$C$31:$C$330,0)))</f>
        <v>3990706</v>
      </c>
      <c r="K102" s="213">
        <f>IF(OR(F102="",J102=""),"",IF(AND(J102&gt;0,I102=1),J102*'פרמטרים לקריטריונים'!$C$64,$Q$2))</f>
        <v>3990706</v>
      </c>
      <c r="L102" s="227">
        <f>IF(OR(F102="",J102=""),"",IF(J102&gt;0,'תחום תמיכה ב'!AC102/SUMIFS('תחום תמיכה ב'!$AC$31:$AC$500,'תחום תמיכה ב'!$E$31:$E$500,E102,'תחום תמיכה ב'!$S$31:$S$500,"=1"),0))</f>
        <v>2.8931057650370257E-2</v>
      </c>
      <c r="M102" s="213">
        <f t="shared" si="5"/>
        <v>115455.34535167849</v>
      </c>
      <c r="N102" s="227">
        <f t="shared" si="6"/>
        <v>5.2460480435636047E-3</v>
      </c>
      <c r="O102" s="213">
        <f t="shared" si="7"/>
        <v>115455.34535167849</v>
      </c>
    </row>
    <row r="103" spans="1:15" ht="15.75" x14ac:dyDescent="0.2">
      <c r="A103" s="206">
        <f t="shared" si="4"/>
        <v>73</v>
      </c>
      <c r="B103" s="88">
        <f>IF($F103="","",'הזנה לתנאי סף'!C103)</f>
        <v>1001346703</v>
      </c>
      <c r="C103" s="88">
        <f>IF($F103="","",'הזנה לתנאי סף'!D103)</f>
        <v>1001278260</v>
      </c>
      <c r="D103" s="88">
        <f>IF($F103="","",'הזנה לתנאי סף'!E103)</f>
        <v>40000449</v>
      </c>
      <c r="E103" s="88">
        <f>IF($F103="","",'הזנה לתנאי סף'!F103)</f>
        <v>20000201</v>
      </c>
      <c r="F103" s="88" t="str">
        <f>IF(OR('הזנה לתנאי סף'!G103="",'הזנה לתנאי סף'!BL103&lt;&gt;1,'הזנה לתנאי סף'!Q103&lt;&gt;1,'הזנה לתנאי סף'!N103&lt;&gt;1),"",'הזנה לתנאי סף'!G103)</f>
        <v>תל אביב -יפו</v>
      </c>
      <c r="G103" s="88" t="str">
        <f>IF($F103="","",'הזנה לתנאי סף'!H103)</f>
        <v>תיאטרון בית ליסין</v>
      </c>
      <c r="H103" s="88" t="str">
        <f>IF($F103="","",'הזנה לתנאי סף'!I103)</f>
        <v>תיאטרון</v>
      </c>
      <c r="I103" s="88">
        <f>IF($F103="","",IF(AND('הזנה לתנאי סף'!N103=0,J103&gt;0),$Q$2,'הזנה לתנאי סף'!N103))</f>
        <v>1</v>
      </c>
      <c r="J103" s="213">
        <f>IF($F103="","",INDEX('גיליון עזר לתחום תמיכה ג'!$H$31:$H$330,MATCH(E103,'גיליון עזר לתחום תמיכה ג'!$C$31:$C$330,0)))</f>
        <v>15995126</v>
      </c>
      <c r="K103" s="213">
        <f>IF(OR(F103="",J103=""),"",IF(AND(J103&gt;0,I103=1),J103*'פרמטרים לקריטריונים'!$C$64,$Q$2))</f>
        <v>15995126</v>
      </c>
      <c r="L103" s="227">
        <f>IF(OR(F103="",J103=""),"",IF(J103&gt;0,'תחום תמיכה ב'!AC103/SUMIFS('תחום תמיכה ב'!$AC$31:$AC$500,'תחום תמיכה ב'!$E$31:$E$500,E103,'תחום תמיכה ב'!$S$31:$S$500,"=1"),0))</f>
        <v>0.1306712754471516</v>
      </c>
      <c r="M103" s="213">
        <f t="shared" si="5"/>
        <v>2090103.5153578962</v>
      </c>
      <c r="N103" s="227">
        <f t="shared" si="6"/>
        <v>9.4969907406104337E-2</v>
      </c>
      <c r="O103" s="213">
        <f t="shared" si="7"/>
        <v>2090103.5153578962</v>
      </c>
    </row>
    <row r="104" spans="1:15" ht="15.75" x14ac:dyDescent="0.2">
      <c r="A104" s="206" t="str">
        <f t="shared" si="4"/>
        <v/>
      </c>
      <c r="B104" s="88" t="str">
        <f>IF($F104="","",'הזנה לתנאי סף'!C104)</f>
        <v/>
      </c>
      <c r="C104" s="88" t="str">
        <f>IF($F104="","",'הזנה לתנאי סף'!D104)</f>
        <v/>
      </c>
      <c r="D104" s="88" t="str">
        <f>IF($F104="","",'הזנה לתנאי סף'!E104)</f>
        <v/>
      </c>
      <c r="E104" s="88" t="str">
        <f>IF($F104="","",'הזנה לתנאי סף'!F104)</f>
        <v/>
      </c>
      <c r="F104" s="88" t="str">
        <f>IF(OR('הזנה לתנאי סף'!G104="",'הזנה לתנאי סף'!BL104&lt;&gt;1,'הזנה לתנאי סף'!Q104&lt;&gt;1,'הזנה לתנאי סף'!N104&lt;&gt;1),"",'הזנה לתנאי סף'!G104)</f>
        <v/>
      </c>
      <c r="G104" s="88" t="str">
        <f>IF($F104="","",'הזנה לתנאי סף'!H104)</f>
        <v/>
      </c>
      <c r="H104" s="88" t="str">
        <f>IF($F104="","",'הזנה לתנאי סף'!I104)</f>
        <v/>
      </c>
      <c r="I104" s="88" t="str">
        <f>IF($F104="","",IF(AND('הזנה לתנאי סף'!N104=0,J104&gt;0),$Q$2,'הזנה לתנאי סף'!N104))</f>
        <v/>
      </c>
      <c r="J104" s="213" t="str">
        <f>IF($F104="","",INDEX('גיליון עזר לתחום תמיכה ג'!$H$31:$H$330,MATCH(E104,'גיליון עזר לתחום תמיכה ג'!$C$31:$C$330,0)))</f>
        <v/>
      </c>
      <c r="K104" s="213" t="str">
        <f>IF(OR(F104="",J104=""),"",IF(AND(J104&gt;0,I104=1),J104*'פרמטרים לקריטריונים'!$C$64,$Q$2))</f>
        <v/>
      </c>
      <c r="L104" s="227" t="str">
        <f>IF(OR(F104="",J104=""),"",IF(J104&gt;0,'תחום תמיכה ב'!AC104/SUMIFS('תחום תמיכה ב'!$AC$31:$AC$500,'תחום תמיכה ב'!$E$31:$E$500,E104,'תחום תמיכה ב'!$S$31:$S$500,"=1"),0))</f>
        <v/>
      </c>
      <c r="M104" s="213" t="str">
        <f t="shared" si="5"/>
        <v/>
      </c>
      <c r="N104" s="227" t="str">
        <f t="shared" si="6"/>
        <v/>
      </c>
      <c r="O104" s="213" t="str">
        <f t="shared" si="7"/>
        <v/>
      </c>
    </row>
    <row r="105" spans="1:15" ht="15.75" x14ac:dyDescent="0.2">
      <c r="A105" s="206">
        <f t="shared" si="4"/>
        <v>75</v>
      </c>
      <c r="B105" s="88">
        <f>IF($F105="","",'הזנה לתנאי סף'!C105)</f>
        <v>1001347498</v>
      </c>
      <c r="C105" s="88">
        <f>IF($F105="","",'הזנה לתנאי סף'!D105)</f>
        <v>1001270248</v>
      </c>
      <c r="D105" s="88">
        <f>IF($F105="","",'הזנה לתנאי סף'!E105)</f>
        <v>40000624</v>
      </c>
      <c r="E105" s="88">
        <f>IF($F105="","",'הזנה לתנאי סף'!F105)</f>
        <v>20000247</v>
      </c>
      <c r="F105" s="88" t="str">
        <f>IF(OR('הזנה לתנאי סף'!G105="",'הזנה לתנאי סף'!BL105&lt;&gt;1,'הזנה לתנאי סף'!Q105&lt;&gt;1,'הזנה לתנאי סף'!N105&lt;&gt;1),"",'הזנה לתנאי סף'!G105)</f>
        <v>ראשון לציון</v>
      </c>
      <c r="G105" s="88" t="str">
        <f>IF($F105="","",'הזנה לתנאי סף'!H105)</f>
        <v>עמותת התזמורת הסימפונית ראשון לציון</v>
      </c>
      <c r="H105" s="88" t="str">
        <f>IF($F105="","",'הזנה לתנאי סף'!I105)</f>
        <v>מוסיקה-גופים כליים</v>
      </c>
      <c r="I105" s="88">
        <f>IF($F105="","",IF(AND('הזנה לתנאי סף'!N105=0,J105&gt;0),$Q$2,'הזנה לתנאי סף'!N105))</f>
        <v>1</v>
      </c>
      <c r="J105" s="213">
        <f>IF($F105="","",INDEX('גיליון עזר לתחום תמיכה ג'!$H$31:$H$330,MATCH(E105,'גיליון עזר לתחום תמיכה ג'!$C$31:$C$330,0)))</f>
        <v>1020000</v>
      </c>
      <c r="K105" s="213">
        <f>IF(OR(F105="",J105=""),"",IF(AND(J105&gt;0,I105=1),J105*'פרמטרים לקריטריונים'!$C$64,$Q$2))</f>
        <v>1020000</v>
      </c>
      <c r="L105" s="227">
        <f>IF(OR(F105="",J105=""),"",IF(J105&gt;0,'תחום תמיכה ב'!AC105/SUMIFS('תחום תמיכה ב'!$AC$31:$AC$500,'תחום תמיכה ב'!$E$31:$E$500,E105,'תחום תמיכה ב'!$S$31:$S$500,"=1"),0))</f>
        <v>1</v>
      </c>
      <c r="M105" s="213">
        <f t="shared" si="5"/>
        <v>1020000</v>
      </c>
      <c r="N105" s="227">
        <f t="shared" si="6"/>
        <v>4.6346654528084043E-2</v>
      </c>
      <c r="O105" s="213">
        <f t="shared" si="7"/>
        <v>1020000</v>
      </c>
    </row>
    <row r="106" spans="1:15" ht="15.75" x14ac:dyDescent="0.2">
      <c r="A106" s="206" t="str">
        <f t="shared" si="4"/>
        <v/>
      </c>
      <c r="B106" s="88" t="str">
        <f>IF($F106="","",'הזנה לתנאי סף'!C106)</f>
        <v/>
      </c>
      <c r="C106" s="88" t="str">
        <f>IF($F106="","",'הזנה לתנאי סף'!D106)</f>
        <v/>
      </c>
      <c r="D106" s="88" t="str">
        <f>IF($F106="","",'הזנה לתנאי סף'!E106)</f>
        <v/>
      </c>
      <c r="E106" s="88" t="str">
        <f>IF($F106="","",'הזנה לתנאי סף'!F106)</f>
        <v/>
      </c>
      <c r="F106" s="88" t="str">
        <f>IF(OR('הזנה לתנאי סף'!G106="",'הזנה לתנאי סף'!BL106&lt;&gt;1,'הזנה לתנאי סף'!Q106&lt;&gt;1,'הזנה לתנאי סף'!N106&lt;&gt;1),"",'הזנה לתנאי סף'!G106)</f>
        <v/>
      </c>
      <c r="G106" s="88" t="str">
        <f>IF($F106="","",'הזנה לתנאי סף'!H106)</f>
        <v/>
      </c>
      <c r="H106" s="88" t="str">
        <f>IF($F106="","",'הזנה לתנאי סף'!I106)</f>
        <v/>
      </c>
      <c r="I106" s="88" t="str">
        <f>IF($F106="","",IF(AND('הזנה לתנאי סף'!N106=0,J106&gt;0),$Q$2,'הזנה לתנאי סף'!N106))</f>
        <v/>
      </c>
      <c r="J106" s="213" t="str">
        <f>IF($F106="","",INDEX('גיליון עזר לתחום תמיכה ג'!$H$31:$H$330,MATCH(E106,'גיליון עזר לתחום תמיכה ג'!$C$31:$C$330,0)))</f>
        <v/>
      </c>
      <c r="K106" s="213" t="str">
        <f>IF(OR(F106="",J106=""),"",IF(AND(J106&gt;0,I106=1),J106*'פרמטרים לקריטריונים'!$C$64,$Q$2))</f>
        <v/>
      </c>
      <c r="L106" s="227" t="str">
        <f>IF(OR(F106="",J106=""),"",IF(J106&gt;0,'תחום תמיכה ב'!AC106/SUMIFS('תחום תמיכה ב'!$AC$31:$AC$500,'תחום תמיכה ב'!$E$31:$E$500,E106,'תחום תמיכה ב'!$S$31:$S$500,"=1"),0))</f>
        <v/>
      </c>
      <c r="M106" s="213" t="str">
        <f t="shared" si="5"/>
        <v/>
      </c>
      <c r="N106" s="227" t="str">
        <f t="shared" si="6"/>
        <v/>
      </c>
      <c r="O106" s="213" t="str">
        <f t="shared" si="7"/>
        <v/>
      </c>
    </row>
    <row r="107" spans="1:15" ht="15.75" x14ac:dyDescent="0.2">
      <c r="A107" s="206" t="str">
        <f t="shared" si="4"/>
        <v/>
      </c>
      <c r="B107" s="88" t="str">
        <f>IF($F107="","",'הזנה לתנאי סף'!C107)</f>
        <v/>
      </c>
      <c r="C107" s="88" t="str">
        <f>IF($F107="","",'הזנה לתנאי סף'!D107)</f>
        <v/>
      </c>
      <c r="D107" s="88" t="str">
        <f>IF($F107="","",'הזנה לתנאי סף'!E107)</f>
        <v/>
      </c>
      <c r="E107" s="88" t="str">
        <f>IF($F107="","",'הזנה לתנאי סף'!F107)</f>
        <v/>
      </c>
      <c r="F107" s="88" t="str">
        <f>IF(OR('הזנה לתנאי סף'!G107="",'הזנה לתנאי סף'!BL107&lt;&gt;1,'הזנה לתנאי סף'!Q107&lt;&gt;1,'הזנה לתנאי סף'!N107&lt;&gt;1),"",'הזנה לתנאי סף'!G107)</f>
        <v/>
      </c>
      <c r="G107" s="88" t="str">
        <f>IF($F107="","",'הזנה לתנאי סף'!H107)</f>
        <v/>
      </c>
      <c r="H107" s="88" t="str">
        <f>IF($F107="","",'הזנה לתנאי סף'!I107)</f>
        <v/>
      </c>
      <c r="I107" s="88" t="str">
        <f>IF($F107="","",IF(AND('הזנה לתנאי סף'!N107=0,J107&gt;0),$Q$2,'הזנה לתנאי סף'!N107))</f>
        <v/>
      </c>
      <c r="J107" s="213" t="str">
        <f>IF($F107="","",INDEX('גיליון עזר לתחום תמיכה ג'!$H$31:$H$330,MATCH(E107,'גיליון עזר לתחום תמיכה ג'!$C$31:$C$330,0)))</f>
        <v/>
      </c>
      <c r="K107" s="213" t="str">
        <f>IF(OR(F107="",J107=""),"",IF(AND(J107&gt;0,I107=1),J107*'פרמטרים לקריטריונים'!$C$64,$Q$2))</f>
        <v/>
      </c>
      <c r="L107" s="227" t="str">
        <f>IF(OR(F107="",J107=""),"",IF(J107&gt;0,'תחום תמיכה ב'!AC107/SUMIFS('תחום תמיכה ב'!$AC$31:$AC$500,'תחום תמיכה ב'!$E$31:$E$500,E107,'תחום תמיכה ב'!$S$31:$S$500,"=1"),0))</f>
        <v/>
      </c>
      <c r="M107" s="213" t="str">
        <f t="shared" si="5"/>
        <v/>
      </c>
      <c r="N107" s="227" t="str">
        <f t="shared" si="6"/>
        <v/>
      </c>
      <c r="O107" s="213" t="str">
        <f t="shared" si="7"/>
        <v/>
      </c>
    </row>
    <row r="108" spans="1:15" ht="15.75" x14ac:dyDescent="0.2">
      <c r="A108" s="206" t="str">
        <f t="shared" si="4"/>
        <v/>
      </c>
      <c r="B108" s="88" t="str">
        <f>IF($F108="","",'הזנה לתנאי סף'!C108)</f>
        <v/>
      </c>
      <c r="C108" s="88" t="str">
        <f>IF($F108="","",'הזנה לתנאי סף'!D108)</f>
        <v/>
      </c>
      <c r="D108" s="88" t="str">
        <f>IF($F108="","",'הזנה לתנאי סף'!E108)</f>
        <v/>
      </c>
      <c r="E108" s="88" t="str">
        <f>IF($F108="","",'הזנה לתנאי סף'!F108)</f>
        <v/>
      </c>
      <c r="F108" s="88" t="str">
        <f>IF(OR('הזנה לתנאי סף'!G108="",'הזנה לתנאי סף'!BL108&lt;&gt;1,'הזנה לתנאי סף'!Q108&lt;&gt;1,'הזנה לתנאי סף'!N108&lt;&gt;1),"",'הזנה לתנאי סף'!G108)</f>
        <v/>
      </c>
      <c r="G108" s="88" t="str">
        <f>IF($F108="","",'הזנה לתנאי סף'!H108)</f>
        <v/>
      </c>
      <c r="H108" s="88" t="str">
        <f>IF($F108="","",'הזנה לתנאי סף'!I108)</f>
        <v/>
      </c>
      <c r="I108" s="88" t="str">
        <f>IF($F108="","",IF(AND('הזנה לתנאי סף'!N108=0,J108&gt;0),$Q$2,'הזנה לתנאי סף'!N108))</f>
        <v/>
      </c>
      <c r="J108" s="213" t="str">
        <f>IF($F108="","",INDEX('גיליון עזר לתחום תמיכה ג'!$H$31:$H$330,MATCH(E108,'גיליון עזר לתחום תמיכה ג'!$C$31:$C$330,0)))</f>
        <v/>
      </c>
      <c r="K108" s="213" t="str">
        <f>IF(OR(F108="",J108=""),"",IF(AND(J108&gt;0,I108=1),J108*'פרמטרים לקריטריונים'!$C$64,$Q$2))</f>
        <v/>
      </c>
      <c r="L108" s="227" t="str">
        <f>IF(OR(F108="",J108=""),"",IF(J108&gt;0,'תחום תמיכה ב'!AC108/SUMIFS('תחום תמיכה ב'!$AC$31:$AC$500,'תחום תמיכה ב'!$E$31:$E$500,E108,'תחום תמיכה ב'!$S$31:$S$500,"=1"),0))</f>
        <v/>
      </c>
      <c r="M108" s="213" t="str">
        <f t="shared" si="5"/>
        <v/>
      </c>
      <c r="N108" s="227" t="str">
        <f t="shared" si="6"/>
        <v/>
      </c>
      <c r="O108" s="213" t="str">
        <f t="shared" si="7"/>
        <v/>
      </c>
    </row>
    <row r="109" spans="1:15" ht="15.75" x14ac:dyDescent="0.2">
      <c r="A109" s="206">
        <f t="shared" si="4"/>
        <v>79</v>
      </c>
      <c r="B109" s="88">
        <f>IF($F109="","",'הזנה לתנאי סף'!C109)</f>
        <v>1001350540</v>
      </c>
      <c r="C109" s="88">
        <f>IF($F109="","",'הזנה לתנאי סף'!D109)</f>
        <v>1001274933</v>
      </c>
      <c r="D109" s="88">
        <f>IF($F109="","",'הזנה לתנאי סף'!E109)</f>
        <v>40000481</v>
      </c>
      <c r="E109" s="88">
        <f>IF($F109="","",'הזנה לתנאי סף'!F109)</f>
        <v>20000159</v>
      </c>
      <c r="F109" s="88" t="str">
        <f>IF(OR('הזנה לתנאי סף'!G109="",'הזנה לתנאי סף'!BL109&lt;&gt;1,'הזנה לתנאי סף'!Q109&lt;&gt;1,'הזנה לתנאי סף'!N109&lt;&gt;1),"",'הזנה לתנאי סף'!G109)</f>
        <v>ירושלים</v>
      </c>
      <c r="G109" s="88" t="str">
        <f>IF($F109="","",'הזנה לתנאי סף'!H109)</f>
        <v>התזמורת הסימפונית ירושלים</v>
      </c>
      <c r="H109" s="88" t="str">
        <f>IF($F109="","",'הזנה לתנאי סף'!I109)</f>
        <v>מוסיקה-גופים כליים</v>
      </c>
      <c r="I109" s="88">
        <f>IF($F109="","",IF(AND('הזנה לתנאי סף'!N109=0,J109&gt;0),$Q$2,'הזנה לתנאי סף'!N109))</f>
        <v>1</v>
      </c>
      <c r="J109" s="213">
        <f>IF($F109="","",INDEX('גיליון עזר לתחום תמיכה ג'!$H$31:$H$330,MATCH(E109,'גיליון עזר לתחום תמיכה ג'!$C$31:$C$330,0)))</f>
        <v>3990706</v>
      </c>
      <c r="K109" s="213">
        <f>IF(OR(F109="",J109=""),"",IF(AND(J109&gt;0,I109=1),J109*'פרמטרים לקריטריונים'!$C$64,$Q$2))</f>
        <v>3990706</v>
      </c>
      <c r="L109" s="227">
        <f>IF(OR(F109="",J109=""),"",IF(J109&gt;0,'תחום תמיכה ב'!AC109/SUMIFS('תחום תמיכה ב'!$AC$31:$AC$500,'תחום תמיכה ב'!$E$31:$E$500,E109,'תחום תמיכה ב'!$S$31:$S$500,"=1"),0))</f>
        <v>5.7436865834570262E-3</v>
      </c>
      <c r="M109" s="213">
        <f t="shared" si="5"/>
        <v>22921.364510721454</v>
      </c>
      <c r="N109" s="227">
        <f t="shared" si="6"/>
        <v>1.0414985904810719E-3</v>
      </c>
      <c r="O109" s="213">
        <f t="shared" si="7"/>
        <v>22921.364510721454</v>
      </c>
    </row>
    <row r="110" spans="1:15" ht="15.75" x14ac:dyDescent="0.2">
      <c r="A110" s="206">
        <f t="shared" si="4"/>
        <v>80</v>
      </c>
      <c r="B110" s="88">
        <f>IF($F110="","",'הזנה לתנאי סף'!C110)</f>
        <v>1001351066</v>
      </c>
      <c r="C110" s="88">
        <f>IF($F110="","",'הזנה לתנאי סף'!D110)</f>
        <v>1001274404</v>
      </c>
      <c r="D110" s="88">
        <f>IF($F110="","",'הזנה לתנאי סף'!E110)</f>
        <v>40216097</v>
      </c>
      <c r="E110" s="88">
        <f>IF($F110="","",'הזנה לתנאי סף'!F110)</f>
        <v>20000201</v>
      </c>
      <c r="F110" s="88" t="str">
        <f>IF(OR('הזנה לתנאי סף'!G110="",'הזנה לתנאי סף'!BL110&lt;&gt;1,'הזנה לתנאי סף'!Q110&lt;&gt;1,'הזנה לתנאי סף'!N110&lt;&gt;1),"",'הזנה לתנאי סף'!G110)</f>
        <v>תל אביב -יפו</v>
      </c>
      <c r="G110" s="88" t="str">
        <f>IF($F110="","",'הזנה לתנאי סף'!H110)</f>
        <v>אנסמבל סולני ת"א</v>
      </c>
      <c r="H110" s="88" t="str">
        <f>IF($F110="","",'הזנה לתנאי סף'!I110)</f>
        <v>קבוצות מוסיקה</v>
      </c>
      <c r="I110" s="88">
        <f>IF($F110="","",IF(AND('הזנה לתנאי סף'!N110=0,J110&gt;0),$Q$2,'הזנה לתנאי סף'!N110))</f>
        <v>1</v>
      </c>
      <c r="J110" s="213">
        <f>IF($F110="","",INDEX('גיליון עזר לתחום תמיכה ג'!$H$31:$H$330,MATCH(E110,'גיליון עזר לתחום תמיכה ג'!$C$31:$C$330,0)))</f>
        <v>15995126</v>
      </c>
      <c r="K110" s="213">
        <f>IF(OR(F110="",J110=""),"",IF(AND(J110&gt;0,I110=1),J110*'פרמטרים לקריטריונים'!$C$64,$Q$2))</f>
        <v>15995126</v>
      </c>
      <c r="L110" s="227">
        <f>IF(OR(F110="",J110=""),"",IF(J110&gt;0,'תחום תמיכה ב'!AC110/SUMIFS('תחום תמיכה ב'!$AC$31:$AC$500,'תחום תמיכה ב'!$E$31:$E$500,E110,'תחום תמיכה ב'!$S$31:$S$500,"=1"),0))</f>
        <v>8.6906583518875109E-4</v>
      </c>
      <c r="M110" s="213">
        <f t="shared" si="5"/>
        <v>13900.817536139308</v>
      </c>
      <c r="N110" s="227">
        <f t="shared" si="6"/>
        <v>6.3162390980919694E-4</v>
      </c>
      <c r="O110" s="213">
        <f t="shared" si="7"/>
        <v>13900.817536139308</v>
      </c>
    </row>
    <row r="111" spans="1:15" ht="15.75" x14ac:dyDescent="0.2">
      <c r="A111" s="206">
        <f t="shared" si="4"/>
        <v>81</v>
      </c>
      <c r="B111" s="88">
        <f>IF($F111="","",'הזנה לתנאי סף'!C111)</f>
        <v>1001348972</v>
      </c>
      <c r="C111" s="88">
        <f>IF($F111="","",'הזנה לתנאי סף'!D111)</f>
        <v>1001288922</v>
      </c>
      <c r="D111" s="88">
        <f>IF($F111="","",'הזנה לתנאי סף'!E111)</f>
        <v>40216100</v>
      </c>
      <c r="E111" s="88">
        <f>IF($F111="","",'הזנה לתנאי סף'!F111)</f>
        <v>20000201</v>
      </c>
      <c r="F111" s="88" t="str">
        <f>IF(OR('הזנה לתנאי סף'!G111="",'הזנה לתנאי סף'!BL111&lt;&gt;1,'הזנה לתנאי סף'!Q111&lt;&gt;1,'הזנה לתנאי סף'!N111&lt;&gt;1),"",'הזנה לתנאי סף'!G111)</f>
        <v>תל אביב -יפו</v>
      </c>
      <c r="G111" s="88" t="str">
        <f>IF($F111="","",'הזנה לתנאי סף'!H111)</f>
        <v>אורתו-דה</v>
      </c>
      <c r="H111" s="88" t="str">
        <f>IF($F111="","",'הזנה לתנאי סף'!I111)</f>
        <v>קבוצות תיאטרון</v>
      </c>
      <c r="I111" s="88">
        <f>IF($F111="","",IF(AND('הזנה לתנאי סף'!N111=0,J111&gt;0),$Q$2,'הזנה לתנאי סף'!N111))</f>
        <v>1</v>
      </c>
      <c r="J111" s="213">
        <f>IF($F111="","",INDEX('גיליון עזר לתחום תמיכה ג'!$H$31:$H$330,MATCH(E111,'גיליון עזר לתחום תמיכה ג'!$C$31:$C$330,0)))</f>
        <v>15995126</v>
      </c>
      <c r="K111" s="213">
        <f>IF(OR(F111="",J111=""),"",IF(AND(J111&gt;0,I111=1),J111*'פרמטרים לקריטריונים'!$C$64,$Q$2))</f>
        <v>15995126</v>
      </c>
      <c r="L111" s="227">
        <f>IF(OR(F111="",J111=""),"",IF(J111&gt;0,'תחום תמיכה ב'!AC111/SUMIFS('תחום תמיכה ב'!$AC$31:$AC$500,'תחום תמיכה ב'!$E$31:$E$500,E111,'תחום תמיכה ב'!$S$31:$S$500,"=1"),0))</f>
        <v>2.9894522425739454E-3</v>
      </c>
      <c r="M111" s="213">
        <f t="shared" si="5"/>
        <v>47816.66529095282</v>
      </c>
      <c r="N111" s="227">
        <f t="shared" si="6"/>
        <v>2.1726886930635465E-3</v>
      </c>
      <c r="O111" s="213">
        <f t="shared" si="7"/>
        <v>47816.66529095282</v>
      </c>
    </row>
    <row r="112" spans="1:15" ht="15.75" x14ac:dyDescent="0.2">
      <c r="A112" s="206">
        <f t="shared" si="4"/>
        <v>82</v>
      </c>
      <c r="B112" s="88">
        <f>IF($F112="","",'הזנה לתנאי סף'!C112)</f>
        <v>1001347046</v>
      </c>
      <c r="C112" s="88">
        <f>IF($F112="","",'הזנה לתנאי סף'!D112)</f>
        <v>1001277747</v>
      </c>
      <c r="D112" s="88">
        <f>IF($F112="","",'הזנה לתנאי סף'!E112)</f>
        <v>40216106</v>
      </c>
      <c r="E112" s="88">
        <f>IF($F112="","",'הזנה לתנאי סף'!F112)</f>
        <v>20000201</v>
      </c>
      <c r="F112" s="88" t="str">
        <f>IF(OR('הזנה לתנאי סף'!G112="",'הזנה לתנאי סף'!BL112&lt;&gt;1,'הזנה לתנאי סף'!Q112&lt;&gt;1,'הזנה לתנאי סף'!N112&lt;&gt;1),"",'הזנה לתנאי סף'!G112)</f>
        <v>תל אביב -יפו</v>
      </c>
      <c r="G112" s="88" t="str">
        <f>IF($F112="","",'הזנה לתנאי סף'!H112)</f>
        <v>העמותה לקידום תרבות הפלמנקו בישראל</v>
      </c>
      <c r="H112" s="88" t="str">
        <f>IF($F112="","",'הזנה לתנאי סף'!I112)</f>
        <v>מחול</v>
      </c>
      <c r="I112" s="88">
        <f>IF($F112="","",IF(AND('הזנה לתנאי סף'!N112=0,J112&gt;0),$Q$2,'הזנה לתנאי סף'!N112))</f>
        <v>1</v>
      </c>
      <c r="J112" s="213">
        <f>IF($F112="","",INDEX('גיליון עזר לתחום תמיכה ג'!$H$31:$H$330,MATCH(E112,'גיליון עזר לתחום תמיכה ג'!$C$31:$C$330,0)))</f>
        <v>15995126</v>
      </c>
      <c r="K112" s="213">
        <f>IF(OR(F112="",J112=""),"",IF(AND(J112&gt;0,I112=1),J112*'פרמטרים לקריטריונים'!$C$64,$Q$2))</f>
        <v>15995126</v>
      </c>
      <c r="L112" s="227">
        <f>IF(OR(F112="",J112=""),"",IF(J112&gt;0,'תחום תמיכה ב'!AC112/SUMIFS('תחום תמיכה ב'!$AC$31:$AC$500,'תחום תמיכה ב'!$E$31:$E$500,E112,'תחום תמיכה ב'!$S$31:$S$500,"=1"),0))</f>
        <v>2.7812610167237462E-3</v>
      </c>
      <c r="M112" s="213">
        <f t="shared" si="5"/>
        <v>44486.620401384425</v>
      </c>
      <c r="N112" s="227">
        <f t="shared" si="6"/>
        <v>2.0213784577107641E-3</v>
      </c>
      <c r="O112" s="213">
        <f t="shared" si="7"/>
        <v>44486.620401384425</v>
      </c>
    </row>
    <row r="113" spans="1:15" ht="15.75" x14ac:dyDescent="0.2">
      <c r="A113" s="206" t="str">
        <f t="shared" si="4"/>
        <v/>
      </c>
      <c r="B113" s="88" t="str">
        <f>IF($F113="","",'הזנה לתנאי סף'!C113)</f>
        <v/>
      </c>
      <c r="C113" s="88" t="str">
        <f>IF($F113="","",'הזנה לתנאי סף'!D113)</f>
        <v/>
      </c>
      <c r="D113" s="88" t="str">
        <f>IF($F113="","",'הזנה לתנאי סף'!E113)</f>
        <v/>
      </c>
      <c r="E113" s="88" t="str">
        <f>IF($F113="","",'הזנה לתנאי סף'!F113)</f>
        <v/>
      </c>
      <c r="F113" s="88" t="str">
        <f>IF(OR('הזנה לתנאי סף'!G113="",'הזנה לתנאי סף'!BL113&lt;&gt;1,'הזנה לתנאי סף'!Q113&lt;&gt;1,'הזנה לתנאי סף'!N113&lt;&gt;1),"",'הזנה לתנאי סף'!G113)</f>
        <v/>
      </c>
      <c r="G113" s="88" t="str">
        <f>IF($F113="","",'הזנה לתנאי סף'!H113)</f>
        <v/>
      </c>
      <c r="H113" s="88" t="str">
        <f>IF($F113="","",'הזנה לתנאי סף'!I113)</f>
        <v/>
      </c>
      <c r="I113" s="88" t="str">
        <f>IF($F113="","",IF(AND('הזנה לתנאי סף'!N113=0,J113&gt;0),$Q$2,'הזנה לתנאי סף'!N113))</f>
        <v/>
      </c>
      <c r="J113" s="213" t="str">
        <f>IF($F113="","",INDEX('גיליון עזר לתחום תמיכה ג'!$H$31:$H$330,MATCH(E113,'גיליון עזר לתחום תמיכה ג'!$C$31:$C$330,0)))</f>
        <v/>
      </c>
      <c r="K113" s="213" t="str">
        <f>IF(OR(F113="",J113=""),"",IF(AND(J113&gt;0,I113=1),J113*'פרמטרים לקריטריונים'!$C$64,$Q$2))</f>
        <v/>
      </c>
      <c r="L113" s="227" t="str">
        <f>IF(OR(F113="",J113=""),"",IF(J113&gt;0,'תחום תמיכה ב'!AC113/SUMIFS('תחום תמיכה ב'!$AC$31:$AC$500,'תחום תמיכה ב'!$E$31:$E$500,E113,'תחום תמיכה ב'!$S$31:$S$500,"=1"),0))</f>
        <v/>
      </c>
      <c r="M113" s="213" t="str">
        <f t="shared" si="5"/>
        <v/>
      </c>
      <c r="N113" s="227" t="str">
        <f t="shared" si="6"/>
        <v/>
      </c>
      <c r="O113" s="213" t="str">
        <f t="shared" si="7"/>
        <v/>
      </c>
    </row>
    <row r="114" spans="1:15" ht="15.75" x14ac:dyDescent="0.2">
      <c r="A114" s="206" t="str">
        <f t="shared" si="4"/>
        <v/>
      </c>
      <c r="B114" s="88" t="str">
        <f>IF($F114="","",'הזנה לתנאי סף'!C114)</f>
        <v/>
      </c>
      <c r="C114" s="88" t="str">
        <f>IF($F114="","",'הזנה לתנאי סף'!D114)</f>
        <v/>
      </c>
      <c r="D114" s="88" t="str">
        <f>IF($F114="","",'הזנה לתנאי סף'!E114)</f>
        <v/>
      </c>
      <c r="E114" s="88" t="str">
        <f>IF($F114="","",'הזנה לתנאי סף'!F114)</f>
        <v/>
      </c>
      <c r="F114" s="88" t="str">
        <f>IF(OR('הזנה לתנאי סף'!G114="",'הזנה לתנאי סף'!BL114&lt;&gt;1,'הזנה לתנאי סף'!Q114&lt;&gt;1,'הזנה לתנאי סף'!N114&lt;&gt;1),"",'הזנה לתנאי סף'!G114)</f>
        <v/>
      </c>
      <c r="G114" s="88" t="str">
        <f>IF($F114="","",'הזנה לתנאי סף'!H114)</f>
        <v/>
      </c>
      <c r="H114" s="88" t="str">
        <f>IF($F114="","",'הזנה לתנאי סף'!I114)</f>
        <v/>
      </c>
      <c r="I114" s="88" t="str">
        <f>IF($F114="","",IF(AND('הזנה לתנאי סף'!N114=0,J114&gt;0),$Q$2,'הזנה לתנאי סף'!N114))</f>
        <v/>
      </c>
      <c r="J114" s="213" t="str">
        <f>IF($F114="","",INDEX('גיליון עזר לתחום תמיכה ג'!$H$31:$H$330,MATCH(E114,'גיליון עזר לתחום תמיכה ג'!$C$31:$C$330,0)))</f>
        <v/>
      </c>
      <c r="K114" s="213" t="str">
        <f>IF(OR(F114="",J114=""),"",IF(AND(J114&gt;0,I114=1),J114*'פרמטרים לקריטריונים'!$C$64,$Q$2))</f>
        <v/>
      </c>
      <c r="L114" s="227" t="str">
        <f>IF(OR(F114="",J114=""),"",IF(J114&gt;0,'תחום תמיכה ב'!AC114/SUMIFS('תחום תמיכה ב'!$AC$31:$AC$500,'תחום תמיכה ב'!$E$31:$E$500,E114,'תחום תמיכה ב'!$S$31:$S$500,"=1"),0))</f>
        <v/>
      </c>
      <c r="M114" s="213" t="str">
        <f t="shared" si="5"/>
        <v/>
      </c>
      <c r="N114" s="227" t="str">
        <f t="shared" si="6"/>
        <v/>
      </c>
      <c r="O114" s="213" t="str">
        <f t="shared" si="7"/>
        <v/>
      </c>
    </row>
    <row r="115" spans="1:15" ht="15.75" x14ac:dyDescent="0.2">
      <c r="A115" s="206">
        <f t="shared" si="4"/>
        <v>85</v>
      </c>
      <c r="B115" s="88">
        <f>IF($F115="","",'הזנה לתנאי סף'!C115)</f>
        <v>1001346707</v>
      </c>
      <c r="C115" s="88">
        <f>IF($F115="","",'הזנה לתנאי סף'!D115)</f>
        <v>1001277143</v>
      </c>
      <c r="D115" s="88">
        <f>IF($F115="","",'הזנה לתנאי סף'!E115)</f>
        <v>40221541</v>
      </c>
      <c r="E115" s="88">
        <f>IF($F115="","",'הזנה לתנאי סף'!F115)</f>
        <v>20000201</v>
      </c>
      <c r="F115" s="88" t="str">
        <f>IF(OR('הזנה לתנאי סף'!G115="",'הזנה לתנאי סף'!BL115&lt;&gt;1,'הזנה לתנאי סף'!Q115&lt;&gt;1,'הזנה לתנאי סף'!N115&lt;&gt;1),"",'הזנה לתנאי סף'!G115)</f>
        <v>תל אביב -יפו</v>
      </c>
      <c r="G115" s="88" t="str">
        <f>IF($F115="","",'הזנה לתנאי סף'!H115)</f>
        <v>מרכז פליציה בלומנטל למוזיקה</v>
      </c>
      <c r="H115" s="88" t="str">
        <f>IF($F115="","",'הזנה לתנאי סף'!I115)</f>
        <v>סינמטקים ופסטיבלים</v>
      </c>
      <c r="I115" s="88">
        <f>IF($F115="","",IF(AND('הזנה לתנאי סף'!N115=0,J115&gt;0),$Q$2,'הזנה לתנאי סף'!N115))</f>
        <v>1</v>
      </c>
      <c r="J115" s="213">
        <f>IF($F115="","",INDEX('גיליון עזר לתחום תמיכה ג'!$H$31:$H$330,MATCH(E115,'גיליון עזר לתחום תמיכה ג'!$C$31:$C$330,0)))</f>
        <v>15995126</v>
      </c>
      <c r="K115" s="213">
        <f>IF(OR(F115="",J115=""),"",IF(AND(J115&gt;0,I115=1),J115*'פרמטרים לקריטריונים'!$C$64,$Q$2))</f>
        <v>15995126</v>
      </c>
      <c r="L115" s="227">
        <f>IF(OR(F115="",J115=""),"",IF(J115&gt;0,'תחום תמיכה ב'!AC115/SUMIFS('תחום תמיכה ב'!$AC$31:$AC$500,'תחום תמיכה ב'!$E$31:$E$500,E115,'תחום תמיכה ב'!$S$31:$S$500,"=1"),0))</f>
        <v>1.3067974886827807E-4</v>
      </c>
      <c r="M115" s="213">
        <f t="shared" si="5"/>
        <v>2090.2390487964653</v>
      </c>
      <c r="N115" s="227">
        <f t="shared" si="6"/>
        <v>9.4976065760471362E-5</v>
      </c>
      <c r="O115" s="213">
        <f t="shared" si="7"/>
        <v>2090.2390487964653</v>
      </c>
    </row>
    <row r="116" spans="1:15" ht="15.75" x14ac:dyDescent="0.2">
      <c r="A116" s="206" t="str">
        <f t="shared" si="4"/>
        <v/>
      </c>
      <c r="B116" s="88" t="str">
        <f>IF($F116="","",'הזנה לתנאי סף'!C116)</f>
        <v/>
      </c>
      <c r="C116" s="88" t="str">
        <f>IF($F116="","",'הזנה לתנאי סף'!D116)</f>
        <v/>
      </c>
      <c r="D116" s="88" t="str">
        <f>IF($F116="","",'הזנה לתנאי סף'!E116)</f>
        <v/>
      </c>
      <c r="E116" s="88" t="str">
        <f>IF($F116="","",'הזנה לתנאי סף'!F116)</f>
        <v/>
      </c>
      <c r="F116" s="88" t="str">
        <f>IF(OR('הזנה לתנאי סף'!G116="",'הזנה לתנאי סף'!BL116&lt;&gt;1,'הזנה לתנאי סף'!Q116&lt;&gt;1,'הזנה לתנאי סף'!N116&lt;&gt;1),"",'הזנה לתנאי סף'!G116)</f>
        <v/>
      </c>
      <c r="G116" s="88" t="str">
        <f>IF($F116="","",'הזנה לתנאי סף'!H116)</f>
        <v/>
      </c>
      <c r="H116" s="88" t="str">
        <f>IF($F116="","",'הזנה לתנאי סף'!I116)</f>
        <v/>
      </c>
      <c r="I116" s="88" t="str">
        <f>IF($F116="","",IF(AND('הזנה לתנאי סף'!N116=0,J116&gt;0),$Q$2,'הזנה לתנאי סף'!N116))</f>
        <v/>
      </c>
      <c r="J116" s="213" t="str">
        <f>IF($F116="","",INDEX('גיליון עזר לתחום תמיכה ג'!$H$31:$H$330,MATCH(E116,'גיליון עזר לתחום תמיכה ג'!$C$31:$C$330,0)))</f>
        <v/>
      </c>
      <c r="K116" s="213" t="str">
        <f>IF(OR(F116="",J116=""),"",IF(AND(J116&gt;0,I116=1),J116*'פרמטרים לקריטריונים'!$C$64,$Q$2))</f>
        <v/>
      </c>
      <c r="L116" s="227" t="str">
        <f>IF(OR(F116="",J116=""),"",IF(J116&gt;0,'תחום תמיכה ב'!AC116/SUMIFS('תחום תמיכה ב'!$AC$31:$AC$500,'תחום תמיכה ב'!$E$31:$E$500,E116,'תחום תמיכה ב'!$S$31:$S$500,"=1"),0))</f>
        <v/>
      </c>
      <c r="M116" s="213" t="str">
        <f t="shared" si="5"/>
        <v/>
      </c>
      <c r="N116" s="227" t="str">
        <f t="shared" si="6"/>
        <v/>
      </c>
      <c r="O116" s="213" t="str">
        <f t="shared" si="7"/>
        <v/>
      </c>
    </row>
    <row r="117" spans="1:15" ht="15.75" x14ac:dyDescent="0.2">
      <c r="A117" s="206" t="str">
        <f t="shared" si="4"/>
        <v/>
      </c>
      <c r="B117" s="88" t="str">
        <f>IF($F117="","",'הזנה לתנאי סף'!C117)</f>
        <v/>
      </c>
      <c r="C117" s="88" t="str">
        <f>IF($F117="","",'הזנה לתנאי סף'!D117)</f>
        <v/>
      </c>
      <c r="D117" s="88" t="str">
        <f>IF($F117="","",'הזנה לתנאי סף'!E117)</f>
        <v/>
      </c>
      <c r="E117" s="88" t="str">
        <f>IF($F117="","",'הזנה לתנאי סף'!F117)</f>
        <v/>
      </c>
      <c r="F117" s="88" t="str">
        <f>IF(OR('הזנה לתנאי סף'!G117="",'הזנה לתנאי סף'!BL117&lt;&gt;1,'הזנה לתנאי סף'!Q117&lt;&gt;1,'הזנה לתנאי סף'!N117&lt;&gt;1),"",'הזנה לתנאי סף'!G117)</f>
        <v/>
      </c>
      <c r="G117" s="88" t="str">
        <f>IF($F117="","",'הזנה לתנאי סף'!H117)</f>
        <v/>
      </c>
      <c r="H117" s="88" t="str">
        <f>IF($F117="","",'הזנה לתנאי סף'!I117)</f>
        <v/>
      </c>
      <c r="I117" s="88" t="str">
        <f>IF($F117="","",IF(AND('הזנה לתנאי סף'!N117=0,J117&gt;0),$Q$2,'הזנה לתנאי סף'!N117))</f>
        <v/>
      </c>
      <c r="J117" s="213" t="str">
        <f>IF($F117="","",INDEX('גיליון עזר לתחום תמיכה ג'!$H$31:$H$330,MATCH(E117,'גיליון עזר לתחום תמיכה ג'!$C$31:$C$330,0)))</f>
        <v/>
      </c>
      <c r="K117" s="213" t="str">
        <f>IF(OR(F117="",J117=""),"",IF(AND(J117&gt;0,I117=1),J117*'פרמטרים לקריטריונים'!$C$64,$Q$2))</f>
        <v/>
      </c>
      <c r="L117" s="227" t="str">
        <f>IF(OR(F117="",J117=""),"",IF(J117&gt;0,'תחום תמיכה ב'!AC117/SUMIFS('תחום תמיכה ב'!$AC$31:$AC$500,'תחום תמיכה ב'!$E$31:$E$500,E117,'תחום תמיכה ב'!$S$31:$S$500,"=1"),0))</f>
        <v/>
      </c>
      <c r="M117" s="213" t="str">
        <f t="shared" si="5"/>
        <v/>
      </c>
      <c r="N117" s="227" t="str">
        <f t="shared" si="6"/>
        <v/>
      </c>
      <c r="O117" s="213" t="str">
        <f t="shared" si="7"/>
        <v/>
      </c>
    </row>
    <row r="118" spans="1:15" ht="15.75" x14ac:dyDescent="0.2">
      <c r="A118" s="206" t="str">
        <f t="shared" si="4"/>
        <v/>
      </c>
      <c r="B118" s="88" t="str">
        <f>IF($F118="","",'הזנה לתנאי סף'!C118)</f>
        <v/>
      </c>
      <c r="C118" s="88" t="str">
        <f>IF($F118="","",'הזנה לתנאי סף'!D118)</f>
        <v/>
      </c>
      <c r="D118" s="88" t="str">
        <f>IF($F118="","",'הזנה לתנאי סף'!E118)</f>
        <v/>
      </c>
      <c r="E118" s="88" t="str">
        <f>IF($F118="","",'הזנה לתנאי סף'!F118)</f>
        <v/>
      </c>
      <c r="F118" s="88" t="str">
        <f>IF(OR('הזנה לתנאי סף'!G118="",'הזנה לתנאי סף'!BL118&lt;&gt;1,'הזנה לתנאי סף'!Q118&lt;&gt;1,'הזנה לתנאי סף'!N118&lt;&gt;1),"",'הזנה לתנאי סף'!G118)</f>
        <v/>
      </c>
      <c r="G118" s="88" t="str">
        <f>IF($F118="","",'הזנה לתנאי סף'!H118)</f>
        <v/>
      </c>
      <c r="H118" s="88" t="str">
        <f>IF($F118="","",'הזנה לתנאי סף'!I118)</f>
        <v/>
      </c>
      <c r="I118" s="88" t="str">
        <f>IF($F118="","",IF(AND('הזנה לתנאי סף'!N118=0,J118&gt;0),$Q$2,'הזנה לתנאי סף'!N118))</f>
        <v/>
      </c>
      <c r="J118" s="213" t="str">
        <f>IF($F118="","",INDEX('גיליון עזר לתחום תמיכה ג'!$H$31:$H$330,MATCH(E118,'גיליון עזר לתחום תמיכה ג'!$C$31:$C$330,0)))</f>
        <v/>
      </c>
      <c r="K118" s="213" t="str">
        <f>IF(OR(F118="",J118=""),"",IF(AND(J118&gt;0,I118=1),J118*'פרמטרים לקריטריונים'!$C$64,$Q$2))</f>
        <v/>
      </c>
      <c r="L118" s="227" t="str">
        <f>IF(OR(F118="",J118=""),"",IF(J118&gt;0,'תחום תמיכה ב'!AC118/SUMIFS('תחום תמיכה ב'!$AC$31:$AC$500,'תחום תמיכה ב'!$E$31:$E$500,E118,'תחום תמיכה ב'!$S$31:$S$500,"=1"),0))</f>
        <v/>
      </c>
      <c r="M118" s="213" t="str">
        <f t="shared" si="5"/>
        <v/>
      </c>
      <c r="N118" s="227" t="str">
        <f t="shared" si="6"/>
        <v/>
      </c>
      <c r="O118" s="213" t="str">
        <f t="shared" si="7"/>
        <v/>
      </c>
    </row>
    <row r="119" spans="1:15" ht="15.75" x14ac:dyDescent="0.2">
      <c r="A119" s="206" t="str">
        <f t="shared" si="4"/>
        <v/>
      </c>
      <c r="B119" s="88" t="str">
        <f>IF($F119="","",'הזנה לתנאי סף'!C119)</f>
        <v/>
      </c>
      <c r="C119" s="88" t="str">
        <f>IF($F119="","",'הזנה לתנאי סף'!D119)</f>
        <v/>
      </c>
      <c r="D119" s="88" t="str">
        <f>IF($F119="","",'הזנה לתנאי סף'!E119)</f>
        <v/>
      </c>
      <c r="E119" s="88" t="str">
        <f>IF($F119="","",'הזנה לתנאי סף'!F119)</f>
        <v/>
      </c>
      <c r="F119" s="88" t="str">
        <f>IF(OR('הזנה לתנאי סף'!G119="",'הזנה לתנאי סף'!BL119&lt;&gt;1,'הזנה לתנאי סף'!Q119&lt;&gt;1,'הזנה לתנאי סף'!N119&lt;&gt;1),"",'הזנה לתנאי סף'!G119)</f>
        <v/>
      </c>
      <c r="G119" s="88" t="str">
        <f>IF($F119="","",'הזנה לתנאי סף'!H119)</f>
        <v/>
      </c>
      <c r="H119" s="88" t="str">
        <f>IF($F119="","",'הזנה לתנאי סף'!I119)</f>
        <v/>
      </c>
      <c r="I119" s="88" t="str">
        <f>IF($F119="","",IF(AND('הזנה לתנאי סף'!N119=0,J119&gt;0),$Q$2,'הזנה לתנאי סף'!N119))</f>
        <v/>
      </c>
      <c r="J119" s="213" t="str">
        <f>IF($F119="","",INDEX('גיליון עזר לתחום תמיכה ג'!$H$31:$H$330,MATCH(E119,'גיליון עזר לתחום תמיכה ג'!$C$31:$C$330,0)))</f>
        <v/>
      </c>
      <c r="K119" s="213" t="str">
        <f>IF(OR(F119="",J119=""),"",IF(AND(J119&gt;0,I119=1),J119*'פרמטרים לקריטריונים'!$C$64,$Q$2))</f>
        <v/>
      </c>
      <c r="L119" s="227" t="str">
        <f>IF(OR(F119="",J119=""),"",IF(J119&gt;0,'תחום תמיכה ב'!AC119/SUMIFS('תחום תמיכה ב'!$AC$31:$AC$500,'תחום תמיכה ב'!$E$31:$E$500,E119,'תחום תמיכה ב'!$S$31:$S$500,"=1"),0))</f>
        <v/>
      </c>
      <c r="M119" s="213" t="str">
        <f t="shared" si="5"/>
        <v/>
      </c>
      <c r="N119" s="227" t="str">
        <f t="shared" si="6"/>
        <v/>
      </c>
      <c r="O119" s="213" t="str">
        <f t="shared" si="7"/>
        <v/>
      </c>
    </row>
    <row r="120" spans="1:15" ht="15.75" x14ac:dyDescent="0.2">
      <c r="A120" s="206" t="str">
        <f t="shared" si="4"/>
        <v/>
      </c>
      <c r="B120" s="88" t="str">
        <f>IF($F120="","",'הזנה לתנאי סף'!C120)</f>
        <v/>
      </c>
      <c r="C120" s="88" t="str">
        <f>IF($F120="","",'הזנה לתנאי סף'!D120)</f>
        <v/>
      </c>
      <c r="D120" s="88" t="str">
        <f>IF($F120="","",'הזנה לתנאי סף'!E120)</f>
        <v/>
      </c>
      <c r="E120" s="88" t="str">
        <f>IF($F120="","",'הזנה לתנאי סף'!F120)</f>
        <v/>
      </c>
      <c r="F120" s="88" t="str">
        <f>IF(OR('הזנה לתנאי סף'!G120="",'הזנה לתנאי סף'!BL120&lt;&gt;1,'הזנה לתנאי סף'!Q120&lt;&gt;1,'הזנה לתנאי סף'!N120&lt;&gt;1),"",'הזנה לתנאי סף'!G120)</f>
        <v/>
      </c>
      <c r="G120" s="88" t="str">
        <f>IF($F120="","",'הזנה לתנאי סף'!H120)</f>
        <v/>
      </c>
      <c r="H120" s="88" t="str">
        <f>IF($F120="","",'הזנה לתנאי סף'!I120)</f>
        <v/>
      </c>
      <c r="I120" s="88" t="str">
        <f>IF($F120="","",IF(AND('הזנה לתנאי סף'!N120=0,J120&gt;0),$Q$2,'הזנה לתנאי סף'!N120))</f>
        <v/>
      </c>
      <c r="J120" s="213" t="str">
        <f>IF($F120="","",INDEX('גיליון עזר לתחום תמיכה ג'!$H$31:$H$330,MATCH(E120,'גיליון עזר לתחום תמיכה ג'!$C$31:$C$330,0)))</f>
        <v/>
      </c>
      <c r="K120" s="213" t="str">
        <f>IF(OR(F120="",J120=""),"",IF(AND(J120&gt;0,I120=1),J120*'פרמטרים לקריטריונים'!$C$64,$Q$2))</f>
        <v/>
      </c>
      <c r="L120" s="227" t="str">
        <f>IF(OR(F120="",J120=""),"",IF(J120&gt;0,'תחום תמיכה ב'!AC120/SUMIFS('תחום תמיכה ב'!$AC$31:$AC$500,'תחום תמיכה ב'!$E$31:$E$500,E120,'תחום תמיכה ב'!$S$31:$S$500,"=1"),0))</f>
        <v/>
      </c>
      <c r="M120" s="213" t="str">
        <f t="shared" si="5"/>
        <v/>
      </c>
      <c r="N120" s="227" t="str">
        <f t="shared" si="6"/>
        <v/>
      </c>
      <c r="O120" s="213" t="str">
        <f t="shared" si="7"/>
        <v/>
      </c>
    </row>
    <row r="121" spans="1:15" ht="15.75" x14ac:dyDescent="0.2">
      <c r="A121" s="206" t="str">
        <f t="shared" si="4"/>
        <v/>
      </c>
      <c r="B121" s="88" t="str">
        <f>IF($F121="","",'הזנה לתנאי סף'!C121)</f>
        <v/>
      </c>
      <c r="C121" s="88" t="str">
        <f>IF($F121="","",'הזנה לתנאי סף'!D121)</f>
        <v/>
      </c>
      <c r="D121" s="88" t="str">
        <f>IF($F121="","",'הזנה לתנאי סף'!E121)</f>
        <v/>
      </c>
      <c r="E121" s="88" t="str">
        <f>IF($F121="","",'הזנה לתנאי סף'!F121)</f>
        <v/>
      </c>
      <c r="F121" s="88" t="str">
        <f>IF(OR('הזנה לתנאי סף'!G121="",'הזנה לתנאי סף'!BL121&lt;&gt;1,'הזנה לתנאי סף'!Q121&lt;&gt;1,'הזנה לתנאי סף'!N121&lt;&gt;1),"",'הזנה לתנאי סף'!G121)</f>
        <v/>
      </c>
      <c r="G121" s="88" t="str">
        <f>IF($F121="","",'הזנה לתנאי סף'!H121)</f>
        <v/>
      </c>
      <c r="H121" s="88" t="str">
        <f>IF($F121="","",'הזנה לתנאי סף'!I121)</f>
        <v/>
      </c>
      <c r="I121" s="88" t="str">
        <f>IF($F121="","",IF(AND('הזנה לתנאי סף'!N121=0,J121&gt;0),$Q$2,'הזנה לתנאי סף'!N121))</f>
        <v/>
      </c>
      <c r="J121" s="213" t="str">
        <f>IF($F121="","",INDEX('גיליון עזר לתחום תמיכה ג'!$H$31:$H$330,MATCH(E121,'גיליון עזר לתחום תמיכה ג'!$C$31:$C$330,0)))</f>
        <v/>
      </c>
      <c r="K121" s="213" t="str">
        <f>IF(OR(F121="",J121=""),"",IF(AND(J121&gt;0,I121=1),J121*'פרמטרים לקריטריונים'!$C$64,$Q$2))</f>
        <v/>
      </c>
      <c r="L121" s="227" t="str">
        <f>IF(OR(F121="",J121=""),"",IF(J121&gt;0,'תחום תמיכה ב'!AC121/SUMIFS('תחום תמיכה ב'!$AC$31:$AC$500,'תחום תמיכה ב'!$E$31:$E$500,E121,'תחום תמיכה ב'!$S$31:$S$500,"=1"),0))</f>
        <v/>
      </c>
      <c r="M121" s="213" t="str">
        <f t="shared" si="5"/>
        <v/>
      </c>
      <c r="N121" s="227" t="str">
        <f t="shared" si="6"/>
        <v/>
      </c>
      <c r="O121" s="213" t="str">
        <f t="shared" si="7"/>
        <v/>
      </c>
    </row>
    <row r="122" spans="1:15" ht="15.75" x14ac:dyDescent="0.2">
      <c r="A122" s="206" t="str">
        <f t="shared" si="4"/>
        <v/>
      </c>
      <c r="B122" s="88" t="str">
        <f>IF($F122="","",'הזנה לתנאי סף'!C122)</f>
        <v/>
      </c>
      <c r="C122" s="88" t="str">
        <f>IF($F122="","",'הזנה לתנאי סף'!D122)</f>
        <v/>
      </c>
      <c r="D122" s="88" t="str">
        <f>IF($F122="","",'הזנה לתנאי סף'!E122)</f>
        <v/>
      </c>
      <c r="E122" s="88" t="str">
        <f>IF($F122="","",'הזנה לתנאי סף'!F122)</f>
        <v/>
      </c>
      <c r="F122" s="88" t="str">
        <f>IF(OR('הזנה לתנאי סף'!G122="",'הזנה לתנאי סף'!BL122&lt;&gt;1,'הזנה לתנאי סף'!Q122&lt;&gt;1,'הזנה לתנאי סף'!N122&lt;&gt;1),"",'הזנה לתנאי סף'!G122)</f>
        <v/>
      </c>
      <c r="G122" s="88" t="str">
        <f>IF($F122="","",'הזנה לתנאי סף'!H122)</f>
        <v/>
      </c>
      <c r="H122" s="88" t="str">
        <f>IF($F122="","",'הזנה לתנאי סף'!I122)</f>
        <v/>
      </c>
      <c r="I122" s="88" t="str">
        <f>IF($F122="","",IF(AND('הזנה לתנאי סף'!N122=0,J122&gt;0),$Q$2,'הזנה לתנאי סף'!N122))</f>
        <v/>
      </c>
      <c r="J122" s="213" t="str">
        <f>IF($F122="","",INDEX('גיליון עזר לתחום תמיכה ג'!$H$31:$H$330,MATCH(E122,'גיליון עזר לתחום תמיכה ג'!$C$31:$C$330,0)))</f>
        <v/>
      </c>
      <c r="K122" s="213" t="str">
        <f>IF(OR(F122="",J122=""),"",IF(AND(J122&gt;0,I122=1),J122*'פרמטרים לקריטריונים'!$C$64,$Q$2))</f>
        <v/>
      </c>
      <c r="L122" s="227" t="str">
        <f>IF(OR(F122="",J122=""),"",IF(J122&gt;0,'תחום תמיכה ב'!AC122/SUMIFS('תחום תמיכה ב'!$AC$31:$AC$500,'תחום תמיכה ב'!$E$31:$E$500,E122,'תחום תמיכה ב'!$S$31:$S$500,"=1"),0))</f>
        <v/>
      </c>
      <c r="M122" s="213" t="str">
        <f t="shared" si="5"/>
        <v/>
      </c>
      <c r="N122" s="227" t="str">
        <f t="shared" si="6"/>
        <v/>
      </c>
      <c r="O122" s="213" t="str">
        <f t="shared" si="7"/>
        <v/>
      </c>
    </row>
    <row r="123" spans="1:15" ht="15.75" x14ac:dyDescent="0.2">
      <c r="A123" s="206">
        <f t="shared" si="4"/>
        <v>93</v>
      </c>
      <c r="B123" s="88">
        <f>IF($F123="","",'הזנה לתנאי סף'!C123)</f>
        <v>1001346718</v>
      </c>
      <c r="C123" s="88">
        <f>IF($F123="","",'הזנה לתנאי סף'!D123)</f>
        <v>1001277149</v>
      </c>
      <c r="D123" s="88">
        <f>IF($F123="","",'הזנה לתנאי סף'!E123)</f>
        <v>40221541</v>
      </c>
      <c r="E123" s="88">
        <f>IF($F123="","",'הזנה לתנאי סף'!F123)</f>
        <v>20000201</v>
      </c>
      <c r="F123" s="88" t="str">
        <f>IF(OR('הזנה לתנאי סף'!G123="",'הזנה לתנאי סף'!BL123&lt;&gt;1,'הזנה לתנאי סף'!Q123&lt;&gt;1,'הזנה לתנאי סף'!N123&lt;&gt;1),"",'הזנה לתנאי סף'!G123)</f>
        <v>תל אביב -יפו</v>
      </c>
      <c r="G123" s="88" t="str">
        <f>IF($F123="","",'הזנה לתנאי סף'!H123)</f>
        <v>מרכז פליציה בלומנטל למוזיקה</v>
      </c>
      <c r="H123" s="88" t="str">
        <f>IF($F123="","",'הזנה לתנאי סף'!I123)</f>
        <v>סינמטקים ופסטיבלים</v>
      </c>
      <c r="I123" s="88">
        <f>IF($F123="","",IF(AND('הזנה לתנאי סף'!N123=0,J123&gt;0),$Q$2,'הזנה לתנאי סף'!N123))</f>
        <v>1</v>
      </c>
      <c r="J123" s="213">
        <f>IF($F123="","",INDEX('גיליון עזר לתחום תמיכה ג'!$H$31:$H$330,MATCH(E123,'גיליון עזר לתחום תמיכה ג'!$C$31:$C$330,0)))</f>
        <v>15995126</v>
      </c>
      <c r="K123" s="213">
        <f>IF(OR(F123="",J123=""),"",IF(AND(J123&gt;0,I123=1),J123*'פרמטרים לקריטריונים'!$C$64,$Q$2))</f>
        <v>15995126</v>
      </c>
      <c r="L123" s="227">
        <f>IF(OR(F123="",J123=""),"",IF(J123&gt;0,'תחום תמיכה ב'!AC123/SUMIFS('תחום תמיכה ב'!$AC$31:$AC$500,'תחום תמיכה ב'!$E$31:$E$500,E123,'תחום תמיכה ב'!$S$31:$S$500,"=1"),0))</f>
        <v>1.4582697279265974E-3</v>
      </c>
      <c r="M123" s="213">
        <f t="shared" si="5"/>
        <v>23325.208040171645</v>
      </c>
      <c r="N123" s="227">
        <f t="shared" si="6"/>
        <v>1.0598483910132584E-3</v>
      </c>
      <c r="O123" s="213">
        <f t="shared" si="7"/>
        <v>23325.208040171645</v>
      </c>
    </row>
    <row r="124" spans="1:15" ht="15.75" x14ac:dyDescent="0.2">
      <c r="A124" s="206" t="str">
        <f t="shared" si="4"/>
        <v/>
      </c>
      <c r="B124" s="88" t="str">
        <f>IF($F124="","",'הזנה לתנאי סף'!C124)</f>
        <v/>
      </c>
      <c r="C124" s="88" t="str">
        <f>IF($F124="","",'הזנה לתנאי סף'!D124)</f>
        <v/>
      </c>
      <c r="D124" s="88" t="str">
        <f>IF($F124="","",'הזנה לתנאי סף'!E124)</f>
        <v/>
      </c>
      <c r="E124" s="88" t="str">
        <f>IF($F124="","",'הזנה לתנאי סף'!F124)</f>
        <v/>
      </c>
      <c r="F124" s="88" t="str">
        <f>IF(OR('הזנה לתנאי סף'!G124="",'הזנה לתנאי סף'!BL124&lt;&gt;1,'הזנה לתנאי סף'!Q124&lt;&gt;1,'הזנה לתנאי סף'!N124&lt;&gt;1),"",'הזנה לתנאי סף'!G124)</f>
        <v/>
      </c>
      <c r="G124" s="88" t="str">
        <f>IF($F124="","",'הזנה לתנאי סף'!H124)</f>
        <v/>
      </c>
      <c r="H124" s="88" t="str">
        <f>IF($F124="","",'הזנה לתנאי סף'!I124)</f>
        <v/>
      </c>
      <c r="I124" s="88" t="str">
        <f>IF($F124="","",IF(AND('הזנה לתנאי סף'!N124=0,J124&gt;0),$Q$2,'הזנה לתנאי סף'!N124))</f>
        <v/>
      </c>
      <c r="J124" s="213" t="str">
        <f>IF($F124="","",INDEX('גיליון עזר לתחום תמיכה ג'!$H$31:$H$330,MATCH(E124,'גיליון עזר לתחום תמיכה ג'!$C$31:$C$330,0)))</f>
        <v/>
      </c>
      <c r="K124" s="213" t="str">
        <f>IF(OR(F124="",J124=""),"",IF(AND(J124&gt;0,I124=1),J124*'פרמטרים לקריטריונים'!$C$64,$Q$2))</f>
        <v/>
      </c>
      <c r="L124" s="227" t="str">
        <f>IF(OR(F124="",J124=""),"",IF(J124&gt;0,'תחום תמיכה ב'!AC124/SUMIFS('תחום תמיכה ב'!$AC$31:$AC$500,'תחום תמיכה ב'!$E$31:$E$500,E124,'תחום תמיכה ב'!$S$31:$S$500,"=1"),0))</f>
        <v/>
      </c>
      <c r="M124" s="213" t="str">
        <f t="shared" si="5"/>
        <v/>
      </c>
      <c r="N124" s="227" t="str">
        <f t="shared" si="6"/>
        <v/>
      </c>
      <c r="O124" s="213" t="str">
        <f t="shared" si="7"/>
        <v/>
      </c>
    </row>
    <row r="125" spans="1:15" ht="15.75" x14ac:dyDescent="0.2">
      <c r="A125" s="206" t="str">
        <f t="shared" si="4"/>
        <v/>
      </c>
      <c r="B125" s="88" t="str">
        <f>IF($F125="","",'הזנה לתנאי סף'!C125)</f>
        <v/>
      </c>
      <c r="C125" s="88" t="str">
        <f>IF($F125="","",'הזנה לתנאי סף'!D125)</f>
        <v/>
      </c>
      <c r="D125" s="88" t="str">
        <f>IF($F125="","",'הזנה לתנאי סף'!E125)</f>
        <v/>
      </c>
      <c r="E125" s="88" t="str">
        <f>IF($F125="","",'הזנה לתנאי סף'!F125)</f>
        <v/>
      </c>
      <c r="F125" s="88" t="str">
        <f>IF(OR('הזנה לתנאי סף'!G125="",'הזנה לתנאי סף'!BL125&lt;&gt;1,'הזנה לתנאי סף'!Q125&lt;&gt;1,'הזנה לתנאי סף'!N125&lt;&gt;1),"",'הזנה לתנאי סף'!G125)</f>
        <v/>
      </c>
      <c r="G125" s="88" t="str">
        <f>IF($F125="","",'הזנה לתנאי סף'!H125)</f>
        <v/>
      </c>
      <c r="H125" s="88" t="str">
        <f>IF($F125="","",'הזנה לתנאי סף'!I125)</f>
        <v/>
      </c>
      <c r="I125" s="88" t="str">
        <f>IF($F125="","",IF(AND('הזנה לתנאי סף'!N125=0,J125&gt;0),$Q$2,'הזנה לתנאי סף'!N125))</f>
        <v/>
      </c>
      <c r="J125" s="213" t="str">
        <f>IF($F125="","",INDEX('גיליון עזר לתחום תמיכה ג'!$H$31:$H$330,MATCH(E125,'גיליון עזר לתחום תמיכה ג'!$C$31:$C$330,0)))</f>
        <v/>
      </c>
      <c r="K125" s="213" t="str">
        <f>IF(OR(F125="",J125=""),"",IF(AND(J125&gt;0,I125=1),J125*'פרמטרים לקריטריונים'!$C$64,$Q$2))</f>
        <v/>
      </c>
      <c r="L125" s="227" t="str">
        <f>IF(OR(F125="",J125=""),"",IF(J125&gt;0,'תחום תמיכה ב'!AC125/SUMIFS('תחום תמיכה ב'!$AC$31:$AC$500,'תחום תמיכה ב'!$E$31:$E$500,E125,'תחום תמיכה ב'!$S$31:$S$500,"=1"),0))</f>
        <v/>
      </c>
      <c r="M125" s="213" t="str">
        <f t="shared" si="5"/>
        <v/>
      </c>
      <c r="N125" s="227" t="str">
        <f t="shared" si="6"/>
        <v/>
      </c>
      <c r="O125" s="213" t="str">
        <f t="shared" si="7"/>
        <v/>
      </c>
    </row>
    <row r="126" spans="1:15" ht="15.75" x14ac:dyDescent="0.2">
      <c r="A126" s="206">
        <f t="shared" si="4"/>
        <v>96</v>
      </c>
      <c r="B126" s="88">
        <f>IF($F126="","",'הזנה לתנאי סף'!C126)</f>
        <v>1001349148</v>
      </c>
      <c r="C126" s="88">
        <f>IF($F126="","",'הזנה לתנאי סף'!D126)</f>
        <v>1001279372</v>
      </c>
      <c r="D126" s="88">
        <f>IF($F126="","",'הזנה לתנאי סף'!E126)</f>
        <v>40133812</v>
      </c>
      <c r="E126" s="88">
        <f>IF($F126="","",'הזנה לתנאי סף'!F126)</f>
        <v>20000201</v>
      </c>
      <c r="F126" s="88" t="str">
        <f>IF(OR('הזנה לתנאי סף'!G126="",'הזנה לתנאי סף'!BL126&lt;&gt;1,'הזנה לתנאי סף'!Q126&lt;&gt;1,'הזנה לתנאי סף'!N126&lt;&gt;1),"",'הזנה לתנאי סף'!G126)</f>
        <v>תל אביב -יפו</v>
      </c>
      <c r="G126" s="88" t="str">
        <f>IF($F126="","",'הזנה לתנאי סף'!H126)</f>
        <v>תיאטרון "מלנקי"</v>
      </c>
      <c r="H126" s="88" t="str">
        <f>IF($F126="","",'הזנה לתנאי סף'!I126)</f>
        <v>קבוצות תיאטרון</v>
      </c>
      <c r="I126" s="88">
        <f>IF($F126="","",IF(AND('הזנה לתנאי סף'!N126=0,J126&gt;0),$Q$2,'הזנה לתנאי סף'!N126))</f>
        <v>1</v>
      </c>
      <c r="J126" s="213">
        <f>IF($F126="","",INDEX('גיליון עזר לתחום תמיכה ג'!$H$31:$H$330,MATCH(E126,'גיליון עזר לתחום תמיכה ג'!$C$31:$C$330,0)))</f>
        <v>15995126</v>
      </c>
      <c r="K126" s="213">
        <f>IF(OR(F126="",J126=""),"",IF(AND(J126&gt;0,I126=1),J126*'פרמטרים לקריטריונים'!$C$64,$Q$2))</f>
        <v>15995126</v>
      </c>
      <c r="L126" s="227">
        <f>IF(OR(F126="",J126=""),"",IF(J126&gt;0,'תחום תמיכה ב'!AC126/SUMIFS('תחום תמיכה ב'!$AC$31:$AC$500,'תחום תמיכה ב'!$E$31:$E$500,E126,'תחום תמיכה ב'!$S$31:$S$500,"=1"),0))</f>
        <v>5.1252514719747372E-4</v>
      </c>
      <c r="M126" s="213">
        <f t="shared" si="5"/>
        <v>8197.90430759214</v>
      </c>
      <c r="N126" s="227">
        <f t="shared" si="6"/>
        <v>3.7249552823359307E-4</v>
      </c>
      <c r="O126" s="213">
        <f t="shared" si="7"/>
        <v>8197.90430759214</v>
      </c>
    </row>
    <row r="127" spans="1:15" ht="15.75" x14ac:dyDescent="0.2">
      <c r="A127" s="206" t="str">
        <f t="shared" si="4"/>
        <v/>
      </c>
      <c r="B127" s="88" t="str">
        <f>IF($F127="","",'הזנה לתנאי סף'!C127)</f>
        <v/>
      </c>
      <c r="C127" s="88" t="str">
        <f>IF($F127="","",'הזנה לתנאי סף'!D127)</f>
        <v/>
      </c>
      <c r="D127" s="88" t="str">
        <f>IF($F127="","",'הזנה לתנאי סף'!E127)</f>
        <v/>
      </c>
      <c r="E127" s="88" t="str">
        <f>IF($F127="","",'הזנה לתנאי סף'!F127)</f>
        <v/>
      </c>
      <c r="F127" s="88" t="str">
        <f>IF(OR('הזנה לתנאי סף'!G127="",'הזנה לתנאי סף'!BL127&lt;&gt;1,'הזנה לתנאי סף'!Q127&lt;&gt;1,'הזנה לתנאי סף'!N127&lt;&gt;1),"",'הזנה לתנאי סף'!G127)</f>
        <v/>
      </c>
      <c r="G127" s="88" t="str">
        <f>IF($F127="","",'הזנה לתנאי סף'!H127)</f>
        <v/>
      </c>
      <c r="H127" s="88" t="str">
        <f>IF($F127="","",'הזנה לתנאי סף'!I127)</f>
        <v/>
      </c>
      <c r="I127" s="88" t="str">
        <f>IF($F127="","",IF(AND('הזנה לתנאי סף'!N127=0,J127&gt;0),$Q$2,'הזנה לתנאי סף'!N127))</f>
        <v/>
      </c>
      <c r="J127" s="213" t="str">
        <f>IF($F127="","",INDEX('גיליון עזר לתחום תמיכה ג'!$H$31:$H$330,MATCH(E127,'גיליון עזר לתחום תמיכה ג'!$C$31:$C$330,0)))</f>
        <v/>
      </c>
      <c r="K127" s="213" t="str">
        <f>IF(OR(F127="",J127=""),"",IF(AND(J127&gt;0,I127=1),J127*'פרמטרים לקריטריונים'!$C$64,$Q$2))</f>
        <v/>
      </c>
      <c r="L127" s="227" t="str">
        <f>IF(OR(F127="",J127=""),"",IF(J127&gt;0,'תחום תמיכה ב'!AC127/SUMIFS('תחום תמיכה ב'!$AC$31:$AC$500,'תחום תמיכה ב'!$E$31:$E$500,E127,'תחום תמיכה ב'!$S$31:$S$500,"=1"),0))</f>
        <v/>
      </c>
      <c r="M127" s="213" t="str">
        <f t="shared" si="5"/>
        <v/>
      </c>
      <c r="N127" s="227" t="str">
        <f t="shared" si="6"/>
        <v/>
      </c>
      <c r="O127" s="213" t="str">
        <f t="shared" si="7"/>
        <v/>
      </c>
    </row>
    <row r="128" spans="1:15" ht="15.75" x14ac:dyDescent="0.2">
      <c r="A128" s="206" t="str">
        <f t="shared" si="4"/>
        <v/>
      </c>
      <c r="B128" s="88" t="str">
        <f>IF($F128="","",'הזנה לתנאי סף'!C128)</f>
        <v/>
      </c>
      <c r="C128" s="88" t="str">
        <f>IF($F128="","",'הזנה לתנאי סף'!D128)</f>
        <v/>
      </c>
      <c r="D128" s="88" t="str">
        <f>IF($F128="","",'הזנה לתנאי סף'!E128)</f>
        <v/>
      </c>
      <c r="E128" s="88" t="str">
        <f>IF($F128="","",'הזנה לתנאי סף'!F128)</f>
        <v/>
      </c>
      <c r="F128" s="88" t="str">
        <f>IF(OR('הזנה לתנאי סף'!G128="",'הזנה לתנאי סף'!BL128&lt;&gt;1,'הזנה לתנאי סף'!Q128&lt;&gt;1,'הזנה לתנאי סף'!N128&lt;&gt;1),"",'הזנה לתנאי סף'!G128)</f>
        <v/>
      </c>
      <c r="G128" s="88" t="str">
        <f>IF($F128="","",'הזנה לתנאי סף'!H128)</f>
        <v/>
      </c>
      <c r="H128" s="88" t="str">
        <f>IF($F128="","",'הזנה לתנאי סף'!I128)</f>
        <v/>
      </c>
      <c r="I128" s="88" t="str">
        <f>IF($F128="","",IF(AND('הזנה לתנאי סף'!N128=0,J128&gt;0),$Q$2,'הזנה לתנאי סף'!N128))</f>
        <v/>
      </c>
      <c r="J128" s="213" t="str">
        <f>IF($F128="","",INDEX('גיליון עזר לתחום תמיכה ג'!$H$31:$H$330,MATCH(E128,'גיליון עזר לתחום תמיכה ג'!$C$31:$C$330,0)))</f>
        <v/>
      </c>
      <c r="K128" s="213" t="str">
        <f>IF(OR(F128="",J128=""),"",IF(AND(J128&gt;0,I128=1),J128*'פרמטרים לקריטריונים'!$C$64,$Q$2))</f>
        <v/>
      </c>
      <c r="L128" s="227" t="str">
        <f>IF(OR(F128="",J128=""),"",IF(J128&gt;0,'תחום תמיכה ב'!AC128/SUMIFS('תחום תמיכה ב'!$AC$31:$AC$500,'תחום תמיכה ב'!$E$31:$E$500,E128,'תחום תמיכה ב'!$S$31:$S$500,"=1"),0))</f>
        <v/>
      </c>
      <c r="M128" s="213" t="str">
        <f t="shared" si="5"/>
        <v/>
      </c>
      <c r="N128" s="227" t="str">
        <f t="shared" si="6"/>
        <v/>
      </c>
      <c r="O128" s="213" t="str">
        <f t="shared" si="7"/>
        <v/>
      </c>
    </row>
    <row r="129" spans="1:15" ht="15.75" x14ac:dyDescent="0.2">
      <c r="A129" s="206" t="str">
        <f t="shared" si="4"/>
        <v/>
      </c>
      <c r="B129" s="88" t="str">
        <f>IF($F129="","",'הזנה לתנאי סף'!C129)</f>
        <v/>
      </c>
      <c r="C129" s="88" t="str">
        <f>IF($F129="","",'הזנה לתנאי סף'!D129)</f>
        <v/>
      </c>
      <c r="D129" s="88" t="str">
        <f>IF($F129="","",'הזנה לתנאי סף'!E129)</f>
        <v/>
      </c>
      <c r="E129" s="88" t="str">
        <f>IF($F129="","",'הזנה לתנאי סף'!F129)</f>
        <v/>
      </c>
      <c r="F129" s="88" t="str">
        <f>IF(OR('הזנה לתנאי סף'!G129="",'הזנה לתנאי סף'!BL129&lt;&gt;1,'הזנה לתנאי סף'!Q129&lt;&gt;1,'הזנה לתנאי סף'!N129&lt;&gt;1),"",'הזנה לתנאי סף'!G129)</f>
        <v/>
      </c>
      <c r="G129" s="88" t="str">
        <f>IF($F129="","",'הזנה לתנאי סף'!H129)</f>
        <v/>
      </c>
      <c r="H129" s="88" t="str">
        <f>IF($F129="","",'הזנה לתנאי סף'!I129)</f>
        <v/>
      </c>
      <c r="I129" s="88" t="str">
        <f>IF($F129="","",IF(AND('הזנה לתנאי סף'!N129=0,J129&gt;0),$Q$2,'הזנה לתנאי סף'!N129))</f>
        <v/>
      </c>
      <c r="J129" s="213" t="str">
        <f>IF($F129="","",INDEX('גיליון עזר לתחום תמיכה ג'!$H$31:$H$330,MATCH(E129,'גיליון עזר לתחום תמיכה ג'!$C$31:$C$330,0)))</f>
        <v/>
      </c>
      <c r="K129" s="213" t="str">
        <f>IF(OR(F129="",J129=""),"",IF(AND(J129&gt;0,I129=1),J129*'פרמטרים לקריטריונים'!$C$64,$Q$2))</f>
        <v/>
      </c>
      <c r="L129" s="227" t="str">
        <f>IF(OR(F129="",J129=""),"",IF(J129&gt;0,'תחום תמיכה ב'!AC129/SUMIFS('תחום תמיכה ב'!$AC$31:$AC$500,'תחום תמיכה ב'!$E$31:$E$500,E129,'תחום תמיכה ב'!$S$31:$S$500,"=1"),0))</f>
        <v/>
      </c>
      <c r="M129" s="213" t="str">
        <f t="shared" si="5"/>
        <v/>
      </c>
      <c r="N129" s="227" t="str">
        <f t="shared" si="6"/>
        <v/>
      </c>
      <c r="O129" s="213" t="str">
        <f t="shared" si="7"/>
        <v/>
      </c>
    </row>
    <row r="130" spans="1:15" ht="15.75" x14ac:dyDescent="0.2">
      <c r="A130" s="206">
        <f t="shared" si="4"/>
        <v>100</v>
      </c>
      <c r="B130" s="88">
        <f>IF($F130="","",'הזנה לתנאי סף'!C130)</f>
        <v>1001347014</v>
      </c>
      <c r="C130" s="88">
        <f>IF($F130="","",'הזנה לתנאי סף'!D130)</f>
        <v>1001269702</v>
      </c>
      <c r="D130" s="88">
        <f>IF($F130="","",'הזנה לתנאי סף'!E130)</f>
        <v>40216083</v>
      </c>
      <c r="E130" s="88">
        <f>IF($F130="","",'הזנה לתנאי סף'!F130)</f>
        <v>20000159</v>
      </c>
      <c r="F130" s="88" t="str">
        <f>IF(OR('הזנה לתנאי סף'!G130="",'הזנה לתנאי סף'!BL130&lt;&gt;1,'הזנה לתנאי סף'!Q130&lt;&gt;1,'הזנה לתנאי סף'!N130&lt;&gt;1),"",'הזנה לתנאי סף'!G130)</f>
        <v>ירושלים</v>
      </c>
      <c r="G130" s="88" t="str">
        <f>IF($F130="","",'הזנה לתנאי סף'!H130)</f>
        <v>תאטרון "פסיק" ירושלים</v>
      </c>
      <c r="H130" s="88" t="str">
        <f>IF($F130="","",'הזנה לתנאי סף'!I130)</f>
        <v>תיאטרון</v>
      </c>
      <c r="I130" s="88">
        <f>IF($F130="","",IF(AND('הזנה לתנאי סף'!N130=0,J130&gt;0),$Q$2,'הזנה לתנאי סף'!N130))</f>
        <v>1</v>
      </c>
      <c r="J130" s="213">
        <f>IF($F130="","",INDEX('גיליון עזר לתחום תמיכה ג'!$H$31:$H$330,MATCH(E130,'גיליון עזר לתחום תמיכה ג'!$C$31:$C$330,0)))</f>
        <v>3990706</v>
      </c>
      <c r="K130" s="213">
        <f>IF(OR(F130="",J130=""),"",IF(AND(J130&gt;0,I130=1),J130*'פרמטרים לקריטריונים'!$C$64,$Q$2))</f>
        <v>3990706</v>
      </c>
      <c r="L130" s="227">
        <f>IF(OR(F130="",J130=""),"",IF(J130&gt;0,'תחום תמיכה ב'!AC130/SUMIFS('תחום תמיכה ב'!$AC$31:$AC$500,'תחום תמיכה ב'!$E$31:$E$500,E130,'תחום תמיכה ב'!$S$31:$S$500,"=1"),0))</f>
        <v>8.4681408473556204E-3</v>
      </c>
      <c r="M130" s="213">
        <f t="shared" si="5"/>
        <v>33793.860488387159</v>
      </c>
      <c r="N130" s="227">
        <f t="shared" si="6"/>
        <v>1.5355219384564208E-3</v>
      </c>
      <c r="O130" s="213">
        <f t="shared" si="7"/>
        <v>33793.860488387159</v>
      </c>
    </row>
    <row r="131" spans="1:15" ht="15.75" x14ac:dyDescent="0.2">
      <c r="A131" s="206">
        <f t="shared" si="4"/>
        <v>101</v>
      </c>
      <c r="B131" s="88">
        <f>IF($F131="","",'הזנה לתנאי סף'!C131)</f>
        <v>1001350428</v>
      </c>
      <c r="C131" s="88">
        <f>IF($F131="","",'הזנה לתנאי סף'!D131)</f>
        <v>1001269684</v>
      </c>
      <c r="D131" s="88">
        <f>IF($F131="","",'הזנה לתנאי סף'!E131)</f>
        <v>40216083</v>
      </c>
      <c r="E131" s="88">
        <f>IF($F131="","",'הזנה לתנאי סף'!F131)</f>
        <v>20000159</v>
      </c>
      <c r="F131" s="88" t="str">
        <f>IF(OR('הזנה לתנאי סף'!G131="",'הזנה לתנאי סף'!BL131&lt;&gt;1,'הזנה לתנאי סף'!Q131&lt;&gt;1,'הזנה לתנאי סף'!N131&lt;&gt;1),"",'הזנה לתנאי סף'!G131)</f>
        <v>ירושלים</v>
      </c>
      <c r="G131" s="88" t="str">
        <f>IF($F131="","",'הזנה לתנאי סף'!H131)</f>
        <v>תאטרון "פסיק" ירושלים</v>
      </c>
      <c r="H131" s="88" t="str">
        <f>IF($F131="","",'הזנה לתנאי סף'!I131)</f>
        <v>תיאטרון</v>
      </c>
      <c r="I131" s="88">
        <f>IF($F131="","",IF(AND('הזנה לתנאי סף'!N131=0,J131&gt;0),$Q$2,'הזנה לתנאי סף'!N131))</f>
        <v>1</v>
      </c>
      <c r="J131" s="213">
        <f>IF($F131="","",INDEX('גיליון עזר לתחום תמיכה ג'!$H$31:$H$330,MATCH(E131,'גיליון עזר לתחום תמיכה ג'!$C$31:$C$330,0)))</f>
        <v>3990706</v>
      </c>
      <c r="K131" s="213">
        <f>IF(OR(F131="",J131=""),"",IF(AND(J131&gt;0,I131=1),J131*'פרמטרים לקריטריונים'!$C$64,$Q$2))</f>
        <v>3990706</v>
      </c>
      <c r="L131" s="227">
        <f>IF(OR(F131="",J131=""),"",IF(J131&gt;0,'תחום תמיכה ב'!AC131/SUMIFS('תחום תמיכה ב'!$AC$31:$AC$500,'תחום תמיכה ב'!$E$31:$E$500,E131,'תחום תמיכה ב'!$S$31:$S$500,"=1"),0))</f>
        <v>8.9183379490725509E-5</v>
      </c>
      <c r="M131" s="213">
        <f t="shared" si="5"/>
        <v>355.90464763391526</v>
      </c>
      <c r="N131" s="227">
        <f t="shared" si="6"/>
        <v>1.6171558577282896E-5</v>
      </c>
      <c r="O131" s="213">
        <f t="shared" si="7"/>
        <v>355.90464763391526</v>
      </c>
    </row>
    <row r="132" spans="1:15" ht="15.75" x14ac:dyDescent="0.2">
      <c r="A132" s="206">
        <f t="shared" si="4"/>
        <v>102</v>
      </c>
      <c r="B132" s="88">
        <f>IF($F132="","",'הזנה לתנאי סף'!C132)</f>
        <v>1001350429</v>
      </c>
      <c r="C132" s="88">
        <f>IF($F132="","",'הזנה לתנאי סף'!D132)</f>
        <v>1001269710</v>
      </c>
      <c r="D132" s="88">
        <f>IF($F132="","",'הזנה לתנאי סף'!E132)</f>
        <v>40216083</v>
      </c>
      <c r="E132" s="88">
        <f>IF($F132="","",'הזנה לתנאי סף'!F132)</f>
        <v>20000159</v>
      </c>
      <c r="F132" s="88" t="str">
        <f>IF(OR('הזנה לתנאי סף'!G132="",'הזנה לתנאי סף'!BL132&lt;&gt;1,'הזנה לתנאי סף'!Q132&lt;&gt;1,'הזנה לתנאי סף'!N132&lt;&gt;1),"",'הזנה לתנאי סף'!G132)</f>
        <v>ירושלים</v>
      </c>
      <c r="G132" s="88" t="str">
        <f>IF($F132="","",'הזנה לתנאי סף'!H132)</f>
        <v>תאטרון "פסיק" ירושלים</v>
      </c>
      <c r="H132" s="88" t="str">
        <f>IF($F132="","",'הזנה לתנאי סף'!I132)</f>
        <v>תיאטרון</v>
      </c>
      <c r="I132" s="88">
        <f>IF($F132="","",IF(AND('הזנה לתנאי סף'!N132=0,J132&gt;0),$Q$2,'הזנה לתנאי סף'!N132))</f>
        <v>1</v>
      </c>
      <c r="J132" s="213">
        <f>IF($F132="","",INDEX('גיליון עזר לתחום תמיכה ג'!$H$31:$H$330,MATCH(E132,'גיליון עזר לתחום תמיכה ג'!$C$31:$C$330,0)))</f>
        <v>3990706</v>
      </c>
      <c r="K132" s="213">
        <f>IF(OR(F132="",J132=""),"",IF(AND(J132&gt;0,I132=1),J132*'פרמטרים לקריטריונים'!$C$64,$Q$2))</f>
        <v>3990706</v>
      </c>
      <c r="L132" s="227">
        <f>IF(OR(F132="",J132=""),"",IF(J132&gt;0,'תחום תמיכה ב'!AC132/SUMIFS('תחום תמיכה ב'!$AC$31:$AC$500,'תחום תמיכה ב'!$E$31:$E$500,E132,'תחום תמיכה ב'!$S$31:$S$500,"=1"),0))</f>
        <v>1.1850474207354555E-4</v>
      </c>
      <c r="M132" s="213">
        <f t="shared" si="5"/>
        <v>472.91758522135063</v>
      </c>
      <c r="N132" s="227">
        <f t="shared" si="6"/>
        <v>2.1488380335793806E-5</v>
      </c>
      <c r="O132" s="213">
        <f t="shared" si="7"/>
        <v>472.91758522135063</v>
      </c>
    </row>
    <row r="133" spans="1:15" ht="15.75" x14ac:dyDescent="0.2">
      <c r="A133" s="206">
        <f t="shared" si="4"/>
        <v>103</v>
      </c>
      <c r="B133" s="88">
        <f>IF($F133="","",'הזנה לתנאי סף'!C133)</f>
        <v>1001350431</v>
      </c>
      <c r="C133" s="88">
        <f>IF($F133="","",'הזנה לתנאי סף'!D133)</f>
        <v>1001268315</v>
      </c>
      <c r="D133" s="88">
        <f>IF($F133="","",'הזנה לתנאי סף'!E133)</f>
        <v>40216083</v>
      </c>
      <c r="E133" s="88">
        <f>IF($F133="","",'הזנה לתנאי סף'!F133)</f>
        <v>20000159</v>
      </c>
      <c r="F133" s="88" t="str">
        <f>IF(OR('הזנה לתנאי סף'!G133="",'הזנה לתנאי סף'!BL133&lt;&gt;1,'הזנה לתנאי סף'!Q133&lt;&gt;1,'הזנה לתנאי סף'!N133&lt;&gt;1),"",'הזנה לתנאי סף'!G133)</f>
        <v>ירושלים</v>
      </c>
      <c r="G133" s="88" t="str">
        <f>IF($F133="","",'הזנה לתנאי סף'!H133)</f>
        <v>תאטרון "פסיק" ירושלים</v>
      </c>
      <c r="H133" s="88" t="str">
        <f>IF($F133="","",'הזנה לתנאי סף'!I133)</f>
        <v>תיאטרון</v>
      </c>
      <c r="I133" s="88">
        <f>IF($F133="","",IF(AND('הזנה לתנאי סף'!N133=0,J133&gt;0),$Q$2,'הזנה לתנאי סף'!N133))</f>
        <v>1</v>
      </c>
      <c r="J133" s="213">
        <f>IF($F133="","",INDEX('גיליון עזר לתחום תמיכה ג'!$H$31:$H$330,MATCH(E133,'גיליון עזר לתחום תמיכה ג'!$C$31:$C$330,0)))</f>
        <v>3990706</v>
      </c>
      <c r="K133" s="213">
        <f>IF(OR(F133="",J133=""),"",IF(AND(J133&gt;0,I133=1),J133*'פרמטרים לקריטריונים'!$C$64,$Q$2))</f>
        <v>3990706</v>
      </c>
      <c r="L133" s="227">
        <f>IF(OR(F133="",J133=""),"",IF(J133&gt;0,'תחום תמיכה ב'!AC133/SUMIFS('תחום תמיכה ב'!$AC$31:$AC$500,'תחום תמיכה ב'!$E$31:$E$500,E133,'תחום תמיכה ב'!$S$31:$S$500,"=1"),0))</f>
        <v>2.0077857485963167E-3</v>
      </c>
      <c r="M133" s="213">
        <f t="shared" si="5"/>
        <v>8012.4826336378128</v>
      </c>
      <c r="N133" s="227">
        <f t="shared" si="6"/>
        <v>3.6407035738576928E-4</v>
      </c>
      <c r="O133" s="213">
        <f t="shared" si="7"/>
        <v>8012.4826336378128</v>
      </c>
    </row>
    <row r="134" spans="1:15" ht="15.75" x14ac:dyDescent="0.2">
      <c r="A134" s="206">
        <f t="shared" si="4"/>
        <v>104</v>
      </c>
      <c r="B134" s="88">
        <f>IF($F134="","",'הזנה לתנאי סף'!C134)</f>
        <v>1001350432</v>
      </c>
      <c r="C134" s="88">
        <f>IF($F134="","",'הזנה לתנאי סף'!D134)</f>
        <v>1001269688</v>
      </c>
      <c r="D134" s="88">
        <f>IF($F134="","",'הזנה לתנאי סף'!E134)</f>
        <v>40216083</v>
      </c>
      <c r="E134" s="88">
        <f>IF($F134="","",'הזנה לתנאי סף'!F134)</f>
        <v>20000159</v>
      </c>
      <c r="F134" s="88" t="str">
        <f>IF(OR('הזנה לתנאי סף'!G134="",'הזנה לתנאי סף'!BL134&lt;&gt;1,'הזנה לתנאי סף'!Q134&lt;&gt;1,'הזנה לתנאי סף'!N134&lt;&gt;1),"",'הזנה לתנאי סף'!G134)</f>
        <v>ירושלים</v>
      </c>
      <c r="G134" s="88" t="str">
        <f>IF($F134="","",'הזנה לתנאי סף'!H134)</f>
        <v>תאטרון "פסיק" ירושלים</v>
      </c>
      <c r="H134" s="88" t="str">
        <f>IF($F134="","",'הזנה לתנאי סף'!I134)</f>
        <v>תיאטרון</v>
      </c>
      <c r="I134" s="88">
        <f>IF($F134="","",IF(AND('הזנה לתנאי סף'!N134=0,J134&gt;0),$Q$2,'הזנה לתנאי סף'!N134))</f>
        <v>1</v>
      </c>
      <c r="J134" s="213">
        <f>IF($F134="","",INDEX('גיליון עזר לתחום תמיכה ג'!$H$31:$H$330,MATCH(E134,'גיליון עזר לתחום תמיכה ג'!$C$31:$C$330,0)))</f>
        <v>3990706</v>
      </c>
      <c r="K134" s="213">
        <f>IF(OR(F134="",J134=""),"",IF(AND(J134&gt;0,I134=1),J134*'פרמטרים לקריטריונים'!$C$64,$Q$2))</f>
        <v>3990706</v>
      </c>
      <c r="L134" s="227">
        <f>IF(OR(F134="",J134=""),"",IF(J134&gt;0,'תחום תמיכה ב'!AC134/SUMIFS('תחום תמיכה ב'!$AC$31:$AC$500,'תחום תמיכה ב'!$E$31:$E$500,E134,'תחום תמיכה ב'!$S$31:$S$500,"=1"),0))</f>
        <v>7.3941503953328007E-4</v>
      </c>
      <c r="M134" s="213">
        <f t="shared" si="5"/>
        <v>2950.7880347556979</v>
      </c>
      <c r="N134" s="227">
        <f t="shared" si="6"/>
        <v>1.3407760160041803E-4</v>
      </c>
      <c r="O134" s="213">
        <f t="shared" si="7"/>
        <v>2950.7880347556979</v>
      </c>
    </row>
    <row r="135" spans="1:15" ht="15.75" x14ac:dyDescent="0.2">
      <c r="A135" s="206">
        <f t="shared" si="4"/>
        <v>105</v>
      </c>
      <c r="B135" s="88">
        <f>IF($F135="","",'הזנה לתנאי סף'!C135)</f>
        <v>1001350435</v>
      </c>
      <c r="C135" s="88">
        <f>IF($F135="","",'הזנה לתנאי סף'!D135)</f>
        <v>1001269686</v>
      </c>
      <c r="D135" s="88">
        <f>IF($F135="","",'הזנה לתנאי סף'!E135)</f>
        <v>40216083</v>
      </c>
      <c r="E135" s="88">
        <f>IF($F135="","",'הזנה לתנאי סף'!F135)</f>
        <v>20000159</v>
      </c>
      <c r="F135" s="88" t="str">
        <f>IF(OR('הזנה לתנאי סף'!G135="",'הזנה לתנאי סף'!BL135&lt;&gt;1,'הזנה לתנאי סף'!Q135&lt;&gt;1,'הזנה לתנאי סף'!N135&lt;&gt;1),"",'הזנה לתנאי סף'!G135)</f>
        <v>ירושלים</v>
      </c>
      <c r="G135" s="88" t="str">
        <f>IF($F135="","",'הזנה לתנאי סף'!H135)</f>
        <v>תאטרון "פסיק" ירושלים</v>
      </c>
      <c r="H135" s="88" t="str">
        <f>IF($F135="","",'הזנה לתנאי סף'!I135)</f>
        <v>תיאטרון</v>
      </c>
      <c r="I135" s="88">
        <f>IF($F135="","",IF(AND('הזנה לתנאי סף'!N135=0,J135&gt;0),$Q$2,'הזנה לתנאי סף'!N135))</f>
        <v>1</v>
      </c>
      <c r="J135" s="213">
        <f>IF($F135="","",INDEX('גיליון עזר לתחום תמיכה ג'!$H$31:$H$330,MATCH(E135,'גיליון עזר לתחום תמיכה ג'!$C$31:$C$330,0)))</f>
        <v>3990706</v>
      </c>
      <c r="K135" s="213">
        <f>IF(OR(F135="",J135=""),"",IF(AND(J135&gt;0,I135=1),J135*'פרמטרים לקריטריונים'!$C$64,$Q$2))</f>
        <v>3990706</v>
      </c>
      <c r="L135" s="227">
        <f>IF(OR(F135="",J135=""),"",IF(J135&gt;0,'תחום תמיכה ב'!AC135/SUMIFS('תחום תמיכה ב'!$AC$31:$AC$500,'תחום תמיכה ב'!$E$31:$E$500,E135,'תחום תמיכה ב'!$S$31:$S$500,"=1"),0))</f>
        <v>1.5866360427071351E-4</v>
      </c>
      <c r="M135" s="213">
        <f t="shared" si="5"/>
        <v>633.1797975447621</v>
      </c>
      <c r="N135" s="227">
        <f t="shared" si="6"/>
        <v>2.8770358167616948E-5</v>
      </c>
      <c r="O135" s="213">
        <f t="shared" si="7"/>
        <v>633.1797975447621</v>
      </c>
    </row>
    <row r="136" spans="1:15" ht="15.75" x14ac:dyDescent="0.2">
      <c r="A136" s="206">
        <f t="shared" si="4"/>
        <v>106</v>
      </c>
      <c r="B136" s="88">
        <f>IF($F136="","",'הזנה לתנאי סף'!C136)</f>
        <v>1001350437</v>
      </c>
      <c r="C136" s="88">
        <f>IF($F136="","",'הזנה לתנאי סף'!D136)</f>
        <v>1001269687</v>
      </c>
      <c r="D136" s="88">
        <f>IF($F136="","",'הזנה לתנאי סף'!E136)</f>
        <v>40216083</v>
      </c>
      <c r="E136" s="88">
        <f>IF($F136="","",'הזנה לתנאי סף'!F136)</f>
        <v>20000159</v>
      </c>
      <c r="F136" s="88" t="str">
        <f>IF(OR('הזנה לתנאי סף'!G136="",'הזנה לתנאי סף'!BL136&lt;&gt;1,'הזנה לתנאי סף'!Q136&lt;&gt;1,'הזנה לתנאי סף'!N136&lt;&gt;1),"",'הזנה לתנאי סף'!G136)</f>
        <v>ירושלים</v>
      </c>
      <c r="G136" s="88" t="str">
        <f>IF($F136="","",'הזנה לתנאי סף'!H136)</f>
        <v>תאטרון "פסיק" ירושלים</v>
      </c>
      <c r="H136" s="88" t="str">
        <f>IF($F136="","",'הזנה לתנאי סף'!I136)</f>
        <v>תיאטרון</v>
      </c>
      <c r="I136" s="88">
        <f>IF($F136="","",IF(AND('הזנה לתנאי סף'!N136=0,J136&gt;0),$Q$2,'הזנה לתנאי סף'!N136))</f>
        <v>1</v>
      </c>
      <c r="J136" s="213">
        <f>IF($F136="","",INDEX('גיליון עזר לתחום תמיכה ג'!$H$31:$H$330,MATCH(E136,'גיליון עזר לתחום תמיכה ג'!$C$31:$C$330,0)))</f>
        <v>3990706</v>
      </c>
      <c r="K136" s="213">
        <f>IF(OR(F136="",J136=""),"",IF(AND(J136&gt;0,I136=1),J136*'פרמטרים לקריטריונים'!$C$64,$Q$2))</f>
        <v>3990706</v>
      </c>
      <c r="L136" s="227">
        <f>IF(OR(F136="",J136=""),"",IF(J136&gt;0,'תחום תמיכה ב'!AC136/SUMIFS('תחום תמיכה ב'!$AC$31:$AC$500,'תחום תמיכה ב'!$E$31:$E$500,E136,'תחום תמיכה ב'!$S$31:$S$500,"=1"),0))</f>
        <v>1.545098381178111E-4</v>
      </c>
      <c r="M136" s="213">
        <f t="shared" si="5"/>
        <v>616.60333803577748</v>
      </c>
      <c r="N136" s="227">
        <f t="shared" si="6"/>
        <v>2.8017158714517257E-5</v>
      </c>
      <c r="O136" s="213">
        <f t="shared" si="7"/>
        <v>616.60333803577748</v>
      </c>
    </row>
    <row r="137" spans="1:15" ht="15.75" x14ac:dyDescent="0.2">
      <c r="A137" s="206">
        <f t="shared" si="4"/>
        <v>107</v>
      </c>
      <c r="B137" s="88">
        <f>IF($F137="","",'הזנה לתנאי סף'!C137)</f>
        <v>1001350444</v>
      </c>
      <c r="C137" s="88">
        <f>IF($F137="","",'הזנה לתנאי סף'!D137)</f>
        <v>1001268330</v>
      </c>
      <c r="D137" s="88">
        <f>IF($F137="","",'הזנה לתנאי סף'!E137)</f>
        <v>40216083</v>
      </c>
      <c r="E137" s="88">
        <f>IF($F137="","",'הזנה לתנאי סף'!F137)</f>
        <v>20000159</v>
      </c>
      <c r="F137" s="88" t="str">
        <f>IF(OR('הזנה לתנאי סף'!G137="",'הזנה לתנאי סף'!BL137&lt;&gt;1,'הזנה לתנאי סף'!Q137&lt;&gt;1,'הזנה לתנאי סף'!N137&lt;&gt;1),"",'הזנה לתנאי סף'!G137)</f>
        <v>ירושלים</v>
      </c>
      <c r="G137" s="88" t="str">
        <f>IF($F137="","",'הזנה לתנאי סף'!H137)</f>
        <v>תאטרון "פסיק" ירושלים</v>
      </c>
      <c r="H137" s="88" t="str">
        <f>IF($F137="","",'הזנה לתנאי סף'!I137)</f>
        <v>תיאטרון</v>
      </c>
      <c r="I137" s="88">
        <f>IF($F137="","",IF(AND('הזנה לתנאי סף'!N137=0,J137&gt;0),$Q$2,'הזנה לתנאי סף'!N137))</f>
        <v>1</v>
      </c>
      <c r="J137" s="213">
        <f>IF($F137="","",INDEX('גיליון עזר לתחום תמיכה ג'!$H$31:$H$330,MATCH(E137,'גיליון עזר לתחום תמיכה ג'!$C$31:$C$330,0)))</f>
        <v>3990706</v>
      </c>
      <c r="K137" s="213">
        <f>IF(OR(F137="",J137=""),"",IF(AND(J137&gt;0,I137=1),J137*'פרמטרים לקריטריונים'!$C$64,$Q$2))</f>
        <v>3990706</v>
      </c>
      <c r="L137" s="227">
        <f>IF(OR(F137="",J137=""),"",IF(J137&gt;0,'תחום תמיכה ב'!AC137/SUMIFS('תחום תמיכה ב'!$AC$31:$AC$500,'תחום תמיכה ב'!$E$31:$E$500,E137,'תחום תמיכה ב'!$S$31:$S$500,"=1"),0))</f>
        <v>4.5971809271989466E-5</v>
      </c>
      <c r="M137" s="213">
        <f t="shared" si="5"/>
        <v>183.45997509258399</v>
      </c>
      <c r="N137" s="227">
        <f t="shared" si="6"/>
        <v>8.3360353777910722E-6</v>
      </c>
      <c r="O137" s="213">
        <f t="shared" si="7"/>
        <v>183.45997509258399</v>
      </c>
    </row>
    <row r="138" spans="1:15" ht="15.75" x14ac:dyDescent="0.2">
      <c r="A138" s="206" t="str">
        <f t="shared" si="4"/>
        <v/>
      </c>
      <c r="B138" s="88" t="str">
        <f>IF($F138="","",'הזנה לתנאי סף'!C138)</f>
        <v/>
      </c>
      <c r="C138" s="88" t="str">
        <f>IF($F138="","",'הזנה לתנאי סף'!D138)</f>
        <v/>
      </c>
      <c r="D138" s="88" t="str">
        <f>IF($F138="","",'הזנה לתנאי סף'!E138)</f>
        <v/>
      </c>
      <c r="E138" s="88" t="str">
        <f>IF($F138="","",'הזנה לתנאי סף'!F138)</f>
        <v/>
      </c>
      <c r="F138" s="88" t="str">
        <f>IF(OR('הזנה לתנאי סף'!G138="",'הזנה לתנאי סף'!BL138&lt;&gt;1,'הזנה לתנאי סף'!Q138&lt;&gt;1,'הזנה לתנאי סף'!N138&lt;&gt;1),"",'הזנה לתנאי סף'!G138)</f>
        <v/>
      </c>
      <c r="G138" s="88" t="str">
        <f>IF($F138="","",'הזנה לתנאי סף'!H138)</f>
        <v/>
      </c>
      <c r="H138" s="88" t="str">
        <f>IF($F138="","",'הזנה לתנאי סף'!I138)</f>
        <v/>
      </c>
      <c r="I138" s="88" t="str">
        <f>IF($F138="","",IF(AND('הזנה לתנאי סף'!N138=0,J138&gt;0),$Q$2,'הזנה לתנאי סף'!N138))</f>
        <v/>
      </c>
      <c r="J138" s="213" t="str">
        <f>IF($F138="","",INDEX('גיליון עזר לתחום תמיכה ג'!$H$31:$H$330,MATCH(E138,'גיליון עזר לתחום תמיכה ג'!$C$31:$C$330,0)))</f>
        <v/>
      </c>
      <c r="K138" s="213" t="str">
        <f>IF(OR(F138="",J138=""),"",IF(AND(J138&gt;0,I138=1),J138*'פרמטרים לקריטריונים'!$C$64,$Q$2))</f>
        <v/>
      </c>
      <c r="L138" s="227" t="str">
        <f>IF(OR(F138="",J138=""),"",IF(J138&gt;0,'תחום תמיכה ב'!AC138/SUMIFS('תחום תמיכה ב'!$AC$31:$AC$500,'תחום תמיכה ב'!$E$31:$E$500,E138,'תחום תמיכה ב'!$S$31:$S$500,"=1"),0))</f>
        <v/>
      </c>
      <c r="M138" s="213" t="str">
        <f t="shared" si="5"/>
        <v/>
      </c>
      <c r="N138" s="227" t="str">
        <f t="shared" si="6"/>
        <v/>
      </c>
      <c r="O138" s="213" t="str">
        <f t="shared" si="7"/>
        <v/>
      </c>
    </row>
    <row r="139" spans="1:15" ht="15.75" x14ac:dyDescent="0.2">
      <c r="A139" s="206" t="str">
        <f t="shared" si="4"/>
        <v/>
      </c>
      <c r="B139" s="88" t="str">
        <f>IF($F139="","",'הזנה לתנאי סף'!C139)</f>
        <v/>
      </c>
      <c r="C139" s="88" t="str">
        <f>IF($F139="","",'הזנה לתנאי סף'!D139)</f>
        <v/>
      </c>
      <c r="D139" s="88" t="str">
        <f>IF($F139="","",'הזנה לתנאי סף'!E139)</f>
        <v/>
      </c>
      <c r="E139" s="88" t="str">
        <f>IF($F139="","",'הזנה לתנאי סף'!F139)</f>
        <v/>
      </c>
      <c r="F139" s="88" t="str">
        <f>IF(OR('הזנה לתנאי סף'!G139="",'הזנה לתנאי סף'!BL139&lt;&gt;1,'הזנה לתנאי סף'!Q139&lt;&gt;1,'הזנה לתנאי סף'!N139&lt;&gt;1),"",'הזנה לתנאי סף'!G139)</f>
        <v/>
      </c>
      <c r="G139" s="88" t="str">
        <f>IF($F139="","",'הזנה לתנאי סף'!H139)</f>
        <v/>
      </c>
      <c r="H139" s="88" t="str">
        <f>IF($F139="","",'הזנה לתנאי סף'!I139)</f>
        <v/>
      </c>
      <c r="I139" s="88" t="str">
        <f>IF($F139="","",IF(AND('הזנה לתנאי סף'!N139=0,J139&gt;0),$Q$2,'הזנה לתנאי סף'!N139))</f>
        <v/>
      </c>
      <c r="J139" s="213" t="str">
        <f>IF($F139="","",INDEX('גיליון עזר לתחום תמיכה ג'!$H$31:$H$330,MATCH(E139,'גיליון עזר לתחום תמיכה ג'!$C$31:$C$330,0)))</f>
        <v/>
      </c>
      <c r="K139" s="213" t="str">
        <f>IF(OR(F139="",J139=""),"",IF(AND(J139&gt;0,I139=1),J139*'פרמטרים לקריטריונים'!$C$64,$Q$2))</f>
        <v/>
      </c>
      <c r="L139" s="227" t="str">
        <f>IF(OR(F139="",J139=""),"",IF(J139&gt;0,'תחום תמיכה ב'!AC139/SUMIFS('תחום תמיכה ב'!$AC$31:$AC$500,'תחום תמיכה ב'!$E$31:$E$500,E139,'תחום תמיכה ב'!$S$31:$S$500,"=1"),0))</f>
        <v/>
      </c>
      <c r="M139" s="213" t="str">
        <f t="shared" si="5"/>
        <v/>
      </c>
      <c r="N139" s="227" t="str">
        <f t="shared" si="6"/>
        <v/>
      </c>
      <c r="O139" s="213" t="str">
        <f t="shared" si="7"/>
        <v/>
      </c>
    </row>
    <row r="140" spans="1:15" ht="15.75" x14ac:dyDescent="0.2">
      <c r="A140" s="206" t="str">
        <f t="shared" si="4"/>
        <v/>
      </c>
      <c r="B140" s="88" t="str">
        <f>IF($F140="","",'הזנה לתנאי סף'!C140)</f>
        <v/>
      </c>
      <c r="C140" s="88" t="str">
        <f>IF($F140="","",'הזנה לתנאי סף'!D140)</f>
        <v/>
      </c>
      <c r="D140" s="88" t="str">
        <f>IF($F140="","",'הזנה לתנאי סף'!E140)</f>
        <v/>
      </c>
      <c r="E140" s="88" t="str">
        <f>IF($F140="","",'הזנה לתנאי סף'!F140)</f>
        <v/>
      </c>
      <c r="F140" s="88" t="str">
        <f>IF(OR('הזנה לתנאי סף'!G140="",'הזנה לתנאי סף'!BL140&lt;&gt;1,'הזנה לתנאי סף'!Q140&lt;&gt;1,'הזנה לתנאי סף'!N140&lt;&gt;1),"",'הזנה לתנאי סף'!G140)</f>
        <v/>
      </c>
      <c r="G140" s="88" t="str">
        <f>IF($F140="","",'הזנה לתנאי סף'!H140)</f>
        <v/>
      </c>
      <c r="H140" s="88" t="str">
        <f>IF($F140="","",'הזנה לתנאי סף'!I140)</f>
        <v/>
      </c>
      <c r="I140" s="88" t="str">
        <f>IF($F140="","",IF(AND('הזנה לתנאי סף'!N140=0,J140&gt;0),$Q$2,'הזנה לתנאי סף'!N140))</f>
        <v/>
      </c>
      <c r="J140" s="213" t="str">
        <f>IF($F140="","",INDEX('גיליון עזר לתחום תמיכה ג'!$H$31:$H$330,MATCH(E140,'גיליון עזר לתחום תמיכה ג'!$C$31:$C$330,0)))</f>
        <v/>
      </c>
      <c r="K140" s="213" t="str">
        <f>IF(OR(F140="",J140=""),"",IF(AND(J140&gt;0,I140=1),J140*'פרמטרים לקריטריונים'!$C$64,$Q$2))</f>
        <v/>
      </c>
      <c r="L140" s="227" t="str">
        <f>IF(OR(F140="",J140=""),"",IF(J140&gt;0,'תחום תמיכה ב'!AC140/SUMIFS('תחום תמיכה ב'!$AC$31:$AC$500,'תחום תמיכה ב'!$E$31:$E$500,E140,'תחום תמיכה ב'!$S$31:$S$500,"=1"),0))</f>
        <v/>
      </c>
      <c r="M140" s="213" t="str">
        <f t="shared" si="5"/>
        <v/>
      </c>
      <c r="N140" s="227" t="str">
        <f t="shared" si="6"/>
        <v/>
      </c>
      <c r="O140" s="213" t="str">
        <f t="shared" si="7"/>
        <v/>
      </c>
    </row>
    <row r="141" spans="1:15" ht="15.75" x14ac:dyDescent="0.2">
      <c r="A141" s="206">
        <f t="shared" si="4"/>
        <v>111</v>
      </c>
      <c r="B141" s="88">
        <f>IF($F141="","",'הזנה לתנאי סף'!C141)</f>
        <v>1001347197</v>
      </c>
      <c r="C141" s="88">
        <f>IF($F141="","",'הזנה לתנאי סף'!D141)</f>
        <v>1001262104</v>
      </c>
      <c r="D141" s="88">
        <f>IF($F141="","",'הזנה לתנאי סף'!E141)</f>
        <v>40000479</v>
      </c>
      <c r="E141" s="88">
        <f>IF($F141="","",'הזנה לתנאי סף'!F141)</f>
        <v>20000162</v>
      </c>
      <c r="F141" s="88" t="str">
        <f>IF(OR('הזנה לתנאי סף'!G141="",'הזנה לתנאי סף'!BL141&lt;&gt;1,'הזנה לתנאי סף'!Q141&lt;&gt;1,'הזנה לתנאי סף'!N141&lt;&gt;1),"",'הזנה לתנאי סף'!G141)</f>
        <v>חוף הכרמל</v>
      </c>
      <c r="G141" s="88" t="str">
        <f>IF($F141="","",'הזנה לתנאי סף'!H141)</f>
        <v>המזגגה</v>
      </c>
      <c r="H141" s="88" t="str">
        <f>IF($F141="","",'הזנה לתנאי סף'!I141)</f>
        <v>מוזיאונים</v>
      </c>
      <c r="I141" s="88">
        <f>IF($F141="","",IF(AND('הזנה לתנאי סף'!N141=0,J141&gt;0),$Q$2,'הזנה לתנאי סף'!N141))</f>
        <v>1</v>
      </c>
      <c r="J141" s="213" t="str">
        <f>IF($F141="","",INDEX('גיליון עזר לתחום תמיכה ג'!$H$31:$H$330,MATCH(E141,'גיליון עזר לתחום תמיכה ג'!$C$31:$C$330,0)))</f>
        <v/>
      </c>
      <c r="K141" s="213" t="str">
        <f>IF(OR(F141="",J141=""),"",IF(AND(J141&gt;0,I141=1),J141*'פרמטרים לקריטריונים'!$C$64,$Q$2))</f>
        <v/>
      </c>
      <c r="L141" s="227" t="str">
        <f>IF(OR(F141="",J141=""),"",IF(J141&gt;0,'תחום תמיכה ב'!AC141/SUMIFS('תחום תמיכה ב'!$AC$31:$AC$500,'תחום תמיכה ב'!$E$31:$E$500,E141,'תחום תמיכה ב'!$S$31:$S$500,"=1"),0))</f>
        <v/>
      </c>
      <c r="M141" s="213" t="str">
        <f t="shared" si="5"/>
        <v/>
      </c>
      <c r="N141" s="227" t="str">
        <f t="shared" si="6"/>
        <v/>
      </c>
      <c r="O141" s="213" t="str">
        <f t="shared" si="7"/>
        <v/>
      </c>
    </row>
    <row r="142" spans="1:15" ht="15.75" x14ac:dyDescent="0.2">
      <c r="A142" s="206" t="str">
        <f t="shared" si="4"/>
        <v/>
      </c>
      <c r="B142" s="88" t="str">
        <f>IF($F142="","",'הזנה לתנאי סף'!C142)</f>
        <v/>
      </c>
      <c r="C142" s="88" t="str">
        <f>IF($F142="","",'הזנה לתנאי סף'!D142)</f>
        <v/>
      </c>
      <c r="D142" s="88" t="str">
        <f>IF($F142="","",'הזנה לתנאי סף'!E142)</f>
        <v/>
      </c>
      <c r="E142" s="88" t="str">
        <f>IF($F142="","",'הזנה לתנאי סף'!F142)</f>
        <v/>
      </c>
      <c r="F142" s="88" t="str">
        <f>IF(OR('הזנה לתנאי סף'!G142="",'הזנה לתנאי סף'!BL142&lt;&gt;1,'הזנה לתנאי סף'!Q142&lt;&gt;1,'הזנה לתנאי סף'!N142&lt;&gt;1),"",'הזנה לתנאי סף'!G142)</f>
        <v/>
      </c>
      <c r="G142" s="88" t="str">
        <f>IF($F142="","",'הזנה לתנאי סף'!H142)</f>
        <v/>
      </c>
      <c r="H142" s="88" t="str">
        <f>IF($F142="","",'הזנה לתנאי סף'!I142)</f>
        <v/>
      </c>
      <c r="I142" s="88" t="str">
        <f>IF($F142="","",IF(AND('הזנה לתנאי סף'!N142=0,J142&gt;0),$Q$2,'הזנה לתנאי סף'!N142))</f>
        <v/>
      </c>
      <c r="J142" s="213" t="str">
        <f>IF($F142="","",INDEX('גיליון עזר לתחום תמיכה ג'!$H$31:$H$330,MATCH(E142,'גיליון עזר לתחום תמיכה ג'!$C$31:$C$330,0)))</f>
        <v/>
      </c>
      <c r="K142" s="213" t="str">
        <f>IF(OR(F142="",J142=""),"",IF(AND(J142&gt;0,I142=1),J142*'פרמטרים לקריטריונים'!$C$64,$Q$2))</f>
        <v/>
      </c>
      <c r="L142" s="227" t="str">
        <f>IF(OR(F142="",J142=""),"",IF(J142&gt;0,'תחום תמיכה ב'!AC142/SUMIFS('תחום תמיכה ב'!$AC$31:$AC$500,'תחום תמיכה ב'!$E$31:$E$500,E142,'תחום תמיכה ב'!$S$31:$S$500,"=1"),0))</f>
        <v/>
      </c>
      <c r="M142" s="213" t="str">
        <f t="shared" si="5"/>
        <v/>
      </c>
      <c r="N142" s="227" t="str">
        <f t="shared" si="6"/>
        <v/>
      </c>
      <c r="O142" s="213" t="str">
        <f t="shared" si="7"/>
        <v/>
      </c>
    </row>
    <row r="143" spans="1:15" ht="15.75" x14ac:dyDescent="0.2">
      <c r="A143" s="206">
        <f t="shared" si="4"/>
        <v>113</v>
      </c>
      <c r="B143" s="88">
        <f>IF($F143="","",'הזנה לתנאי סף'!C143)</f>
        <v>1001347313</v>
      </c>
      <c r="C143" s="88">
        <f>IF($F143="","",'הזנה לתנאי סף'!D143)</f>
        <v>1001270594</v>
      </c>
      <c r="D143" s="88">
        <f>IF($F143="","",'הזנה לתנאי סף'!E143)</f>
        <v>40002883</v>
      </c>
      <c r="E143" s="88">
        <f>IF($F143="","",'הזנה לתנאי סף'!F143)</f>
        <v>20000254</v>
      </c>
      <c r="F143" s="88" t="str">
        <f>IF(OR('הזנה לתנאי סף'!G143="",'הזנה לתנאי סף'!BL143&lt;&gt;1,'הזנה לתנאי סף'!Q143&lt;&gt;1,'הזנה לתנאי סף'!N143&lt;&gt;1),"",'הזנה לתנאי סף'!G143)</f>
        <v>באר שבע</v>
      </c>
      <c r="G143" s="88" t="str">
        <f>IF($F143="","",'הזנה לתנאי סף'!H143)</f>
        <v>בת-דור באר-שבע - מרכז עירוני לאמנות</v>
      </c>
      <c r="H143" s="88" t="str">
        <f>IF($F143="","",'הזנה לתנאי סף'!I143)</f>
        <v>מחול</v>
      </c>
      <c r="I143" s="88">
        <f>IF($F143="","",IF(AND('הזנה לתנאי סף'!N143=0,J143&gt;0),$Q$2,'הזנה לתנאי סף'!N143))</f>
        <v>1</v>
      </c>
      <c r="J143" s="213">
        <f>IF($F143="","",INDEX('גיליון עזר לתחום תמיכה ג'!$H$31:$H$330,MATCH(E143,'גיליון עזר לתחום תמיכה ג'!$C$31:$C$330,0)))</f>
        <v>43906</v>
      </c>
      <c r="K143" s="213">
        <f>IF(OR(F143="",J143=""),"",IF(AND(J143&gt;0,I143=1),J143*'פרמטרים לקריטריונים'!$C$64,$Q$2))</f>
        <v>43906</v>
      </c>
      <c r="L143" s="227">
        <f>IF(OR(F143="",J143=""),"",IF(J143&gt;0,'תחום תמיכה ב'!AC143/SUMIFS('תחום תמיכה ב'!$AC$31:$AC$500,'תחום תמיכה ב'!$E$31:$E$500,E143,'תחום תמיכה ב'!$S$31:$S$500,"=1"),0))</f>
        <v>2.3152238108524074E-2</v>
      </c>
      <c r="M143" s="213">
        <f t="shared" si="5"/>
        <v>1016.522166392858</v>
      </c>
      <c r="N143" s="227">
        <f t="shared" si="6"/>
        <v>4.618862908426407E-5</v>
      </c>
      <c r="O143" s="213">
        <f t="shared" si="7"/>
        <v>1016.522166392858</v>
      </c>
    </row>
    <row r="144" spans="1:15" ht="15.75" x14ac:dyDescent="0.2">
      <c r="A144" s="206">
        <f t="shared" si="4"/>
        <v>114</v>
      </c>
      <c r="B144" s="88">
        <f>IF($F144="","",'הזנה לתנאי סף'!C144)</f>
        <v>1001346798</v>
      </c>
      <c r="C144" s="88">
        <f>IF($F144="","",'הזנה לתנאי סף'!D144)</f>
        <v>1001266509</v>
      </c>
      <c r="D144" s="88">
        <f>IF($F144="","",'הזנה לתנאי סף'!E144)</f>
        <v>40000709</v>
      </c>
      <c r="E144" s="88">
        <f>IF($F144="","",'הזנה לתנאי סף'!F144)</f>
        <v>20000159</v>
      </c>
      <c r="F144" s="88" t="str">
        <f>IF(OR('הזנה לתנאי סף'!G144="",'הזנה לתנאי סף'!BL144&lt;&gt;1,'הזנה לתנאי סף'!Q144&lt;&gt;1,'הזנה לתנאי סף'!N144&lt;&gt;1),"",'הזנה לתנאי סף'!G144)</f>
        <v>ירושלים</v>
      </c>
      <c r="G144" s="88" t="str">
        <f>IF($F144="","",'הזנה לתנאי סף'!H144)</f>
        <v>צוללת צהובה - המקום למוסיקה בירושלים</v>
      </c>
      <c r="H144" s="88" t="str">
        <f>IF($F144="","",'הזנה לתנאי סף'!I144)</f>
        <v>מרכזי מוסיקה</v>
      </c>
      <c r="I144" s="88">
        <f>IF($F144="","",IF(AND('הזנה לתנאי סף'!N144=0,J144&gt;0),$Q$2,'הזנה לתנאי סף'!N144))</f>
        <v>1</v>
      </c>
      <c r="J144" s="213">
        <f>IF($F144="","",INDEX('גיליון עזר לתחום תמיכה ג'!$H$31:$H$330,MATCH(E144,'גיליון עזר לתחום תמיכה ג'!$C$31:$C$330,0)))</f>
        <v>3990706</v>
      </c>
      <c r="K144" s="213">
        <f>IF(OR(F144="",J144=""),"",IF(AND(J144&gt;0,I144=1),J144*'פרמטרים לקריטריונים'!$C$64,$Q$2))</f>
        <v>3990706</v>
      </c>
      <c r="L144" s="227">
        <f>IF(OR(F144="",J144=""),"",IF(J144&gt;0,'תחום תמיכה ב'!AC144/SUMIFS('תחום תמיכה ב'!$AC$31:$AC$500,'תחום תמיכה ב'!$E$31:$E$500,E144,'תחום תמיכה ב'!$S$31:$S$500,"=1"),0))</f>
        <v>1.283515061134185E-2</v>
      </c>
      <c r="M144" s="213">
        <f t="shared" si="5"/>
        <v>51221.312555585588</v>
      </c>
      <c r="N144" s="227">
        <f t="shared" si="6"/>
        <v>2.3273887034203321E-3</v>
      </c>
      <c r="O144" s="213">
        <f t="shared" si="7"/>
        <v>51221.312555585588</v>
      </c>
    </row>
    <row r="145" spans="1:15" ht="15.75" x14ac:dyDescent="0.2">
      <c r="A145" s="206">
        <f t="shared" si="4"/>
        <v>115</v>
      </c>
      <c r="B145" s="88">
        <f>IF($F145="","",'הזנה לתנאי סף'!C145)</f>
        <v>1001346657</v>
      </c>
      <c r="C145" s="88">
        <f>IF($F145="","",'הזנה לתנאי סף'!D145)</f>
        <v>1001288870</v>
      </c>
      <c r="D145" s="88">
        <f>IF($F145="","",'הזנה לתנאי סף'!E145)</f>
        <v>40221446</v>
      </c>
      <c r="E145" s="88">
        <f>IF($F145="","",'הזנה לתנאי סף'!F145)</f>
        <v>20000201</v>
      </c>
      <c r="F145" s="88" t="str">
        <f>IF(OR('הזנה לתנאי סף'!G145="",'הזנה לתנאי סף'!BL145&lt;&gt;1,'הזנה לתנאי סף'!Q145&lt;&gt;1,'הזנה לתנאי סף'!N145&lt;&gt;1),"",'הזנה לתנאי סף'!G145)</f>
        <v>תל אביב -יפו</v>
      </c>
      <c r="G145" s="88" t="str">
        <f>IF($F145="","",'הזנה לתנאי סף'!H145)</f>
        <v>תאטרון מחול אבשלום פולק</v>
      </c>
      <c r="H145" s="88" t="str">
        <f>IF($F145="","",'הזנה לתנאי סף'!I145)</f>
        <v>תיאטרון</v>
      </c>
      <c r="I145" s="88">
        <f>IF($F145="","",IF(AND('הזנה לתנאי סף'!N145=0,J145&gt;0),$Q$2,'הזנה לתנאי סף'!N145))</f>
        <v>1</v>
      </c>
      <c r="J145" s="213">
        <f>IF($F145="","",INDEX('גיליון עזר לתחום תמיכה ג'!$H$31:$H$330,MATCH(E145,'גיליון עזר לתחום תמיכה ג'!$C$31:$C$330,0)))</f>
        <v>15995126</v>
      </c>
      <c r="K145" s="213">
        <f>IF(OR(F145="",J145=""),"",IF(AND(J145&gt;0,I145=1),J145*'פרמטרים לקריטריונים'!$C$64,$Q$2))</f>
        <v>15995126</v>
      </c>
      <c r="L145" s="227">
        <f>IF(OR(F145="",J145=""),"",IF(J145&gt;0,'תחום תמיכה ב'!AC145/SUMIFS('תחום תמיכה ב'!$AC$31:$AC$500,'תחום תמיכה ב'!$E$31:$E$500,E145,'תחום תמיכה ב'!$S$31:$S$500,"=1"),0))</f>
        <v>5.9240347149339149E-3</v>
      </c>
      <c r="M145" s="213">
        <f t="shared" si="5"/>
        <v>94755.681693742052</v>
      </c>
      <c r="N145" s="227">
        <f t="shared" si="6"/>
        <v>4.3054988666989804E-3</v>
      </c>
      <c r="O145" s="213">
        <f t="shared" si="7"/>
        <v>94755.681693742052</v>
      </c>
    </row>
    <row r="146" spans="1:15" ht="15.75" x14ac:dyDescent="0.2">
      <c r="A146" s="206">
        <f t="shared" si="4"/>
        <v>116</v>
      </c>
      <c r="B146" s="88">
        <f>IF($F146="","",'הזנה לתנאי סף'!C146)</f>
        <v>1001350382</v>
      </c>
      <c r="C146" s="88">
        <f>IF($F146="","",'הזנה לתנאי סף'!D146)</f>
        <v>1001266978</v>
      </c>
      <c r="D146" s="88">
        <f>IF($F146="","",'הזנה לתנאי סף'!E146)</f>
        <v>40000422</v>
      </c>
      <c r="E146" s="88">
        <f>IF($F146="","",'הזנה לתנאי סף'!F146)</f>
        <v>20000201</v>
      </c>
      <c r="F146" s="88" t="str">
        <f>IF(OR('הזנה לתנאי סף'!G146="",'הזנה לתנאי סף'!BL146&lt;&gt;1,'הזנה לתנאי סף'!Q146&lt;&gt;1,'הזנה לתנאי סף'!N146&lt;&gt;1),"",'הזנה לתנאי סף'!G146)</f>
        <v>תל אביב -יפו</v>
      </c>
      <c r="G146" s="88" t="str">
        <f>IF($F146="","",'הזנה לתנאי סף'!H146)</f>
        <v>מוזיאון נחום גוטמן</v>
      </c>
      <c r="H146" s="88" t="str">
        <f>IF($F146="","",'הזנה לתנאי סף'!I146)</f>
        <v>מוזיאונים</v>
      </c>
      <c r="I146" s="88">
        <f>IF($F146="","",IF(AND('הזנה לתנאי סף'!N146=0,J146&gt;0),$Q$2,'הזנה לתנאי סף'!N146))</f>
        <v>1</v>
      </c>
      <c r="J146" s="213">
        <f>IF($F146="","",INDEX('גיליון עזר לתחום תמיכה ג'!$H$31:$H$330,MATCH(E146,'גיליון עזר לתחום תמיכה ג'!$C$31:$C$330,0)))</f>
        <v>15995126</v>
      </c>
      <c r="K146" s="213">
        <f>IF(OR(F146="",J146=""),"",IF(AND(J146&gt;0,I146=1),J146*'פרמטרים לקריטריונים'!$C$64,$Q$2))</f>
        <v>15995126</v>
      </c>
      <c r="L146" s="227">
        <f>IF(OR(F146="",J146=""),"",IF(J146&gt;0,'תחום תמיכה ב'!AC146/SUMIFS('תחום תמיכה ב'!$AC$31:$AC$500,'תחום תמיכה ב'!$E$31:$E$500,E146,'תחום תמיכה ב'!$S$31:$S$500,"=1"),0))</f>
        <v>2.3966259536913779E-3</v>
      </c>
      <c r="M146" s="213">
        <f t="shared" si="5"/>
        <v>38334.334104163754</v>
      </c>
      <c r="N146" s="227">
        <f t="shared" si="6"/>
        <v>1.7418315091076741E-3</v>
      </c>
      <c r="O146" s="213">
        <f t="shared" si="7"/>
        <v>38334.334104163754</v>
      </c>
    </row>
    <row r="147" spans="1:15" ht="15.75" x14ac:dyDescent="0.2">
      <c r="A147" s="206" t="str">
        <f t="shared" si="4"/>
        <v/>
      </c>
      <c r="B147" s="88" t="str">
        <f>IF($F147="","",'הזנה לתנאי סף'!C147)</f>
        <v/>
      </c>
      <c r="C147" s="88" t="str">
        <f>IF($F147="","",'הזנה לתנאי סף'!D147)</f>
        <v/>
      </c>
      <c r="D147" s="88" t="str">
        <f>IF($F147="","",'הזנה לתנאי סף'!E147)</f>
        <v/>
      </c>
      <c r="E147" s="88" t="str">
        <f>IF($F147="","",'הזנה לתנאי סף'!F147)</f>
        <v/>
      </c>
      <c r="F147" s="88" t="str">
        <f>IF(OR('הזנה לתנאי סף'!G147="",'הזנה לתנאי סף'!BL147&lt;&gt;1,'הזנה לתנאי סף'!Q147&lt;&gt;1,'הזנה לתנאי סף'!N147&lt;&gt;1),"",'הזנה לתנאי סף'!G147)</f>
        <v/>
      </c>
      <c r="G147" s="88" t="str">
        <f>IF($F147="","",'הזנה לתנאי סף'!H147)</f>
        <v/>
      </c>
      <c r="H147" s="88" t="str">
        <f>IF($F147="","",'הזנה לתנאי סף'!I147)</f>
        <v/>
      </c>
      <c r="I147" s="88" t="str">
        <f>IF($F147="","",IF(AND('הזנה לתנאי סף'!N147=0,J147&gt;0),$Q$2,'הזנה לתנאי סף'!N147))</f>
        <v/>
      </c>
      <c r="J147" s="213" t="str">
        <f>IF($F147="","",INDEX('גיליון עזר לתחום תמיכה ג'!$H$31:$H$330,MATCH(E147,'גיליון עזר לתחום תמיכה ג'!$C$31:$C$330,0)))</f>
        <v/>
      </c>
      <c r="K147" s="213" t="str">
        <f>IF(OR(F147="",J147=""),"",IF(AND(J147&gt;0,I147=1),J147*'פרמטרים לקריטריונים'!$C$64,$Q$2))</f>
        <v/>
      </c>
      <c r="L147" s="227" t="str">
        <f>IF(OR(F147="",J147=""),"",IF(J147&gt;0,'תחום תמיכה ב'!AC147/SUMIFS('תחום תמיכה ב'!$AC$31:$AC$500,'תחום תמיכה ב'!$E$31:$E$500,E147,'תחום תמיכה ב'!$S$31:$S$500,"=1"),0))</f>
        <v/>
      </c>
      <c r="M147" s="213" t="str">
        <f t="shared" si="5"/>
        <v/>
      </c>
      <c r="N147" s="227" t="str">
        <f t="shared" si="6"/>
        <v/>
      </c>
      <c r="O147" s="213" t="str">
        <f t="shared" si="7"/>
        <v/>
      </c>
    </row>
    <row r="148" spans="1:15" ht="15.75" x14ac:dyDescent="0.2">
      <c r="A148" s="206" t="str">
        <f t="shared" si="4"/>
        <v/>
      </c>
      <c r="B148" s="88" t="str">
        <f>IF($F148="","",'הזנה לתנאי סף'!C148)</f>
        <v/>
      </c>
      <c r="C148" s="88" t="str">
        <f>IF($F148="","",'הזנה לתנאי סף'!D148)</f>
        <v/>
      </c>
      <c r="D148" s="88" t="str">
        <f>IF($F148="","",'הזנה לתנאי סף'!E148)</f>
        <v/>
      </c>
      <c r="E148" s="88" t="str">
        <f>IF($F148="","",'הזנה לתנאי סף'!F148)</f>
        <v/>
      </c>
      <c r="F148" s="88" t="str">
        <f>IF(OR('הזנה לתנאי סף'!G148="",'הזנה לתנאי סף'!BL148&lt;&gt;1,'הזנה לתנאי סף'!Q148&lt;&gt;1,'הזנה לתנאי סף'!N148&lt;&gt;1),"",'הזנה לתנאי סף'!G148)</f>
        <v/>
      </c>
      <c r="G148" s="88" t="str">
        <f>IF($F148="","",'הזנה לתנאי סף'!H148)</f>
        <v/>
      </c>
      <c r="H148" s="88" t="str">
        <f>IF($F148="","",'הזנה לתנאי סף'!I148)</f>
        <v/>
      </c>
      <c r="I148" s="88" t="str">
        <f>IF($F148="","",IF(AND('הזנה לתנאי סף'!N148=0,J148&gt;0),$Q$2,'הזנה לתנאי סף'!N148))</f>
        <v/>
      </c>
      <c r="J148" s="213" t="str">
        <f>IF($F148="","",INDEX('גיליון עזר לתחום תמיכה ג'!$H$31:$H$330,MATCH(E148,'גיליון עזר לתחום תמיכה ג'!$C$31:$C$330,0)))</f>
        <v/>
      </c>
      <c r="K148" s="213" t="str">
        <f>IF(OR(F148="",J148=""),"",IF(AND(J148&gt;0,I148=1),J148*'פרמטרים לקריטריונים'!$C$64,$Q$2))</f>
        <v/>
      </c>
      <c r="L148" s="227" t="str">
        <f>IF(OR(F148="",J148=""),"",IF(J148&gt;0,'תחום תמיכה ב'!AC148/SUMIFS('תחום תמיכה ב'!$AC$31:$AC$500,'תחום תמיכה ב'!$E$31:$E$500,E148,'תחום תמיכה ב'!$S$31:$S$500,"=1"),0))</f>
        <v/>
      </c>
      <c r="M148" s="213" t="str">
        <f t="shared" si="5"/>
        <v/>
      </c>
      <c r="N148" s="227" t="str">
        <f t="shared" si="6"/>
        <v/>
      </c>
      <c r="O148" s="213" t="str">
        <f t="shared" si="7"/>
        <v/>
      </c>
    </row>
    <row r="149" spans="1:15" ht="15.75" x14ac:dyDescent="0.2">
      <c r="A149" s="206">
        <f t="shared" si="4"/>
        <v>119</v>
      </c>
      <c r="B149" s="88">
        <f>IF($F149="","",'הזנה לתנאי סף'!C149)</f>
        <v>1001349532</v>
      </c>
      <c r="C149" s="88">
        <f>IF($F149="","",'הזנה לתנאי סף'!D149)</f>
        <v>1001277350</v>
      </c>
      <c r="D149" s="88">
        <f>IF($F149="","",'הזנה לתנאי סף'!E149)</f>
        <v>40000449</v>
      </c>
      <c r="E149" s="88">
        <f>IF($F149="","",'הזנה לתנאי סף'!F149)</f>
        <v>20000201</v>
      </c>
      <c r="F149" s="88" t="str">
        <f>IF(OR('הזנה לתנאי סף'!G149="",'הזנה לתנאי סף'!BL149&lt;&gt;1,'הזנה לתנאי סף'!Q149&lt;&gt;1,'הזנה לתנאי סף'!N149&lt;&gt;1),"",'הזנה לתנאי סף'!G149)</f>
        <v>תל אביב -יפו</v>
      </c>
      <c r="G149" s="88" t="str">
        <f>IF($F149="","",'הזנה לתנאי סף'!H149)</f>
        <v>תיאטרון מחול ענבל</v>
      </c>
      <c r="H149" s="88" t="str">
        <f>IF($F149="","",'הזנה לתנאי סף'!I149)</f>
        <v>מחול</v>
      </c>
      <c r="I149" s="88">
        <f>IF($F149="","",IF(AND('הזנה לתנאי סף'!N149=0,J149&gt;0),$Q$2,'הזנה לתנאי סף'!N149))</f>
        <v>1</v>
      </c>
      <c r="J149" s="213">
        <f>IF($F149="","",INDEX('גיליון עזר לתחום תמיכה ג'!$H$31:$H$330,MATCH(E149,'גיליון עזר לתחום תמיכה ג'!$C$31:$C$330,0)))</f>
        <v>15995126</v>
      </c>
      <c r="K149" s="213">
        <f>IF(OR(F149="",J149=""),"",IF(AND(J149&gt;0,I149=1),J149*'פרמטרים לקריטריונים'!$C$64,$Q$2))</f>
        <v>15995126</v>
      </c>
      <c r="L149" s="227">
        <f>IF(OR(F149="",J149=""),"",IF(J149&gt;0,'תחום תמיכה ב'!AC149/SUMIFS('תחום תמיכה ב'!$AC$31:$AC$500,'תחום תמיכה ב'!$E$31:$E$500,E149,'תחום תמיכה ב'!$S$31:$S$500,"=1"),0))</f>
        <v>9.1032939295378104E-4</v>
      </c>
      <c r="M149" s="213">
        <f t="shared" si="5"/>
        <v>14560.83334179924</v>
      </c>
      <c r="N149" s="227">
        <f t="shared" si="6"/>
        <v>6.6161363973860478E-4</v>
      </c>
      <c r="O149" s="213">
        <f t="shared" si="7"/>
        <v>14560.83334179924</v>
      </c>
    </row>
    <row r="150" spans="1:15" ht="15.75" x14ac:dyDescent="0.2">
      <c r="A150" s="206">
        <f t="shared" si="4"/>
        <v>120</v>
      </c>
      <c r="B150" s="88">
        <f>IF($F150="","",'הזנה לתנאי סף'!C150)</f>
        <v>1001350998</v>
      </c>
      <c r="C150" s="88">
        <f>IF($F150="","",'הזנה לתנאי סף'!D150)</f>
        <v>1001270595</v>
      </c>
      <c r="D150" s="88">
        <f>IF($F150="","",'הזנה לתנאי סף'!E150)</f>
        <v>40002883</v>
      </c>
      <c r="E150" s="88">
        <f>IF($F150="","",'הזנה לתנאי סף'!F150)</f>
        <v>20000254</v>
      </c>
      <c r="F150" s="88" t="str">
        <f>IF(OR('הזנה לתנאי סף'!G150="",'הזנה לתנאי סף'!BL150&lt;&gt;1,'הזנה לתנאי סף'!Q150&lt;&gt;1,'הזנה לתנאי סף'!N150&lt;&gt;1),"",'הזנה לתנאי סף'!G150)</f>
        <v>באר שבע</v>
      </c>
      <c r="G150" s="88" t="str">
        <f>IF($F150="","",'הזנה לתנאי סף'!H150)</f>
        <v>בת-דור באר-שבע - מרכז עירוני לאמנות</v>
      </c>
      <c r="H150" s="88" t="str">
        <f>IF($F150="","",'הזנה לתנאי סף'!I150)</f>
        <v>מרכזי מחול</v>
      </c>
      <c r="I150" s="88">
        <f>IF($F150="","",IF(AND('הזנה לתנאי סף'!N150=0,J150&gt;0),$Q$2,'הזנה לתנאי סף'!N150))</f>
        <v>1</v>
      </c>
      <c r="J150" s="213">
        <f>IF($F150="","",INDEX('גיליון עזר לתחום תמיכה ג'!$H$31:$H$330,MATCH(E150,'גיליון עזר לתחום תמיכה ג'!$C$31:$C$330,0)))</f>
        <v>43906</v>
      </c>
      <c r="K150" s="213">
        <f>IF(OR(F150="",J150=""),"",IF(AND(J150&gt;0,I150=1),J150*'פרמטרים לקריטריונים'!$C$64,$Q$2))</f>
        <v>43906</v>
      </c>
      <c r="L150" s="227">
        <f>IF(OR(F150="",J150=""),"",IF(J150&gt;0,'תחום תמיכה ב'!AC150/SUMIFS('תחום תמיכה ב'!$AC$31:$AC$500,'תחום תמיכה ב'!$E$31:$E$500,E150,'תחום תמיכה ב'!$S$31:$S$500,"=1"),0))</f>
        <v>5.3743150734435655E-2</v>
      </c>
      <c r="M150" s="213">
        <f t="shared" si="5"/>
        <v>2359.6467761461317</v>
      </c>
      <c r="N150" s="227">
        <f t="shared" si="6"/>
        <v>1.0721738621799219E-4</v>
      </c>
      <c r="O150" s="213">
        <f t="shared" si="7"/>
        <v>2359.6467761461317</v>
      </c>
    </row>
    <row r="151" spans="1:15" ht="15.75" x14ac:dyDescent="0.2">
      <c r="A151" s="206">
        <f t="shared" si="4"/>
        <v>121</v>
      </c>
      <c r="B151" s="88">
        <f>IF($F151="","",'הזנה לתנאי סף'!C151)</f>
        <v>1001350131</v>
      </c>
      <c r="C151" s="88">
        <f>IF($F151="","",'הזנה לתנאי סף'!D151)</f>
        <v>1001270246</v>
      </c>
      <c r="D151" s="88">
        <f>IF($F151="","",'הזנה לתנאי סף'!E151)</f>
        <v>40269761</v>
      </c>
      <c r="E151" s="88">
        <f>IF($F151="","",'הזנה לתנאי סף'!F151)</f>
        <v>20000201</v>
      </c>
      <c r="F151" s="88" t="str">
        <f>IF(OR('הזנה לתנאי סף'!G151="",'הזנה לתנאי סף'!BL151&lt;&gt;1,'הזנה לתנאי סף'!Q151&lt;&gt;1,'הזנה לתנאי סף'!N151&lt;&gt;1),"",'הזנה לתנאי סף'!G151)</f>
        <v>תל אביב -יפו</v>
      </c>
      <c r="G151" s="88" t="str">
        <f>IF($F151="","",'הזנה לתנאי סף'!H151)</f>
        <v>נא לגעת</v>
      </c>
      <c r="H151" s="88" t="str">
        <f>IF($F151="","",'הזנה לתנאי סף'!I151)</f>
        <v>תיאטרון</v>
      </c>
      <c r="I151" s="88">
        <f>IF($F151="","",IF(AND('הזנה לתנאי סף'!N151=0,J151&gt;0),$Q$2,'הזנה לתנאי סף'!N151))</f>
        <v>1</v>
      </c>
      <c r="J151" s="213">
        <f>IF($F151="","",INDEX('גיליון עזר לתחום תמיכה ג'!$H$31:$H$330,MATCH(E151,'גיליון עזר לתחום תמיכה ג'!$C$31:$C$330,0)))</f>
        <v>15995126</v>
      </c>
      <c r="K151" s="213">
        <f>IF(OR(F151="",J151=""),"",IF(AND(J151&gt;0,I151=1),J151*'פרמטרים לקריטריונים'!$C$64,$Q$2))</f>
        <v>15995126</v>
      </c>
      <c r="L151" s="227">
        <f>IF(OR(F151="",J151=""),"",IF(J151&gt;0,'תחום תמיכה ב'!AC151/SUMIFS('תחום תמיכה ב'!$AC$31:$AC$500,'תחום תמיכה ב'!$E$31:$E$500,E151,'תחום תמיכה ב'!$S$31:$S$500,"=1"),0))</f>
        <v>1.6766864443296145E-3</v>
      </c>
      <c r="M151" s="213">
        <f t="shared" si="5"/>
        <v>26818.810939544168</v>
      </c>
      <c r="N151" s="227">
        <f t="shared" si="6"/>
        <v>1.2185903583029948E-3</v>
      </c>
      <c r="O151" s="213">
        <f t="shared" si="7"/>
        <v>26818.810939544168</v>
      </c>
    </row>
    <row r="152" spans="1:15" ht="15.75" x14ac:dyDescent="0.2">
      <c r="A152" s="206">
        <f t="shared" si="4"/>
        <v>122</v>
      </c>
      <c r="B152" s="88">
        <f>IF($F152="","",'הזנה לתנאי סף'!C152)</f>
        <v>1001347266</v>
      </c>
      <c r="C152" s="88">
        <f>IF($F152="","",'הזנה לתנאי סף'!D152)</f>
        <v>1001266737</v>
      </c>
      <c r="D152" s="88">
        <f>IF($F152="","",'הזנה לתנאי סף'!E152)</f>
        <v>40299484</v>
      </c>
      <c r="E152" s="88">
        <f>IF($F152="","",'הזנה לתנאי סף'!F152)</f>
        <v>20000159</v>
      </c>
      <c r="F152" s="88" t="str">
        <f>IF(OR('הזנה לתנאי סף'!G152="",'הזנה לתנאי סף'!BL152&lt;&gt;1,'הזנה לתנאי סף'!Q152&lt;&gt;1,'הזנה לתנאי סף'!N152&lt;&gt;1),"",'הזנה לתנאי סף'!G152)</f>
        <v>ירושלים</v>
      </c>
      <c r="G152" s="88" t="str">
        <f>IF($F152="","",'הזנה לתנאי סף'!H152)</f>
        <v>קרן אהבת קדומים תזמורת י-ם</v>
      </c>
      <c r="H152" s="88" t="str">
        <f>IF($F152="","",'הזנה לתנאי סף'!I152)</f>
        <v>מוסיקה-גופים כליים</v>
      </c>
      <c r="I152" s="88">
        <f>IF($F152="","",IF(AND('הזנה לתנאי סף'!N152=0,J152&gt;0),$Q$2,'הזנה לתנאי סף'!N152))</f>
        <v>1</v>
      </c>
      <c r="J152" s="213">
        <f>IF($F152="","",INDEX('גיליון עזר לתחום תמיכה ג'!$H$31:$H$330,MATCH(E152,'גיליון עזר לתחום תמיכה ג'!$C$31:$C$330,0)))</f>
        <v>3990706</v>
      </c>
      <c r="K152" s="213">
        <f>IF(OR(F152="",J152=""),"",IF(AND(J152&gt;0,I152=1),J152*'פרמטרים לקריטריונים'!$C$64,$Q$2))</f>
        <v>3990706</v>
      </c>
      <c r="L152" s="227">
        <f>IF(OR(F152="",J152=""),"",IF(J152&gt;0,'תחום תמיכה ב'!AC152/SUMIFS('תחום תמיכה ב'!$AC$31:$AC$500,'תחום תמיכה ב'!$E$31:$E$500,E152,'תחום תמיכה ב'!$S$31:$S$500,"=1"),0))</f>
        <v>8.3517745838333456E-3</v>
      </c>
      <c r="M152" s="213">
        <f t="shared" si="5"/>
        <v>33329.476942351233</v>
      </c>
      <c r="N152" s="227">
        <f t="shared" si="6"/>
        <v>1.5144213269106819E-3</v>
      </c>
      <c r="O152" s="213">
        <f t="shared" si="7"/>
        <v>33329.476942351233</v>
      </c>
    </row>
    <row r="153" spans="1:15" ht="15.75" x14ac:dyDescent="0.2">
      <c r="A153" s="206" t="str">
        <f t="shared" si="4"/>
        <v/>
      </c>
      <c r="B153" s="88" t="str">
        <f>IF($F153="","",'הזנה לתנאי סף'!C153)</f>
        <v/>
      </c>
      <c r="C153" s="88" t="str">
        <f>IF($F153="","",'הזנה לתנאי סף'!D153)</f>
        <v/>
      </c>
      <c r="D153" s="88" t="str">
        <f>IF($F153="","",'הזנה לתנאי סף'!E153)</f>
        <v/>
      </c>
      <c r="E153" s="88" t="str">
        <f>IF($F153="","",'הזנה לתנאי סף'!F153)</f>
        <v/>
      </c>
      <c r="F153" s="88" t="str">
        <f>IF(OR('הזנה לתנאי סף'!G153="",'הזנה לתנאי סף'!BL153&lt;&gt;1,'הזנה לתנאי סף'!Q153&lt;&gt;1,'הזנה לתנאי סף'!N153&lt;&gt;1),"",'הזנה לתנאי סף'!G153)</f>
        <v/>
      </c>
      <c r="G153" s="88" t="str">
        <f>IF($F153="","",'הזנה לתנאי סף'!H153)</f>
        <v/>
      </c>
      <c r="H153" s="88" t="str">
        <f>IF($F153="","",'הזנה לתנאי סף'!I153)</f>
        <v/>
      </c>
      <c r="I153" s="88" t="str">
        <f>IF($F153="","",IF(AND('הזנה לתנאי סף'!N153=0,J153&gt;0),$Q$2,'הזנה לתנאי סף'!N153))</f>
        <v/>
      </c>
      <c r="J153" s="213" t="str">
        <f>IF($F153="","",INDEX('גיליון עזר לתחום תמיכה ג'!$H$31:$H$330,MATCH(E153,'גיליון עזר לתחום תמיכה ג'!$C$31:$C$330,0)))</f>
        <v/>
      </c>
      <c r="K153" s="213" t="str">
        <f>IF(OR(F153="",J153=""),"",IF(AND(J153&gt;0,I153=1),J153*'פרמטרים לקריטריונים'!$C$64,$Q$2))</f>
        <v/>
      </c>
      <c r="L153" s="227" t="str">
        <f>IF(OR(F153="",J153=""),"",IF(J153&gt;0,'תחום תמיכה ב'!AC153/SUMIFS('תחום תמיכה ב'!$AC$31:$AC$500,'תחום תמיכה ב'!$E$31:$E$500,E153,'תחום תמיכה ב'!$S$31:$S$500,"=1"),0))</f>
        <v/>
      </c>
      <c r="M153" s="213" t="str">
        <f t="shared" si="5"/>
        <v/>
      </c>
      <c r="N153" s="227" t="str">
        <f t="shared" si="6"/>
        <v/>
      </c>
      <c r="O153" s="213" t="str">
        <f t="shared" si="7"/>
        <v/>
      </c>
    </row>
    <row r="154" spans="1:15" ht="15.75" x14ac:dyDescent="0.2">
      <c r="A154" s="206" t="str">
        <f t="shared" si="4"/>
        <v/>
      </c>
      <c r="B154" s="88" t="str">
        <f>IF($F154="","",'הזנה לתנאי סף'!C154)</f>
        <v/>
      </c>
      <c r="C154" s="88" t="str">
        <f>IF($F154="","",'הזנה לתנאי סף'!D154)</f>
        <v/>
      </c>
      <c r="D154" s="88" t="str">
        <f>IF($F154="","",'הזנה לתנאי סף'!E154)</f>
        <v/>
      </c>
      <c r="E154" s="88" t="str">
        <f>IF($F154="","",'הזנה לתנאי סף'!F154)</f>
        <v/>
      </c>
      <c r="F154" s="88" t="str">
        <f>IF(OR('הזנה לתנאי סף'!G154="",'הזנה לתנאי סף'!BL154&lt;&gt;1,'הזנה לתנאי סף'!Q154&lt;&gt;1,'הזנה לתנאי סף'!N154&lt;&gt;1),"",'הזנה לתנאי סף'!G154)</f>
        <v/>
      </c>
      <c r="G154" s="88" t="str">
        <f>IF($F154="","",'הזנה לתנאי סף'!H154)</f>
        <v/>
      </c>
      <c r="H154" s="88" t="str">
        <f>IF($F154="","",'הזנה לתנאי סף'!I154)</f>
        <v/>
      </c>
      <c r="I154" s="88" t="str">
        <f>IF($F154="","",IF(AND('הזנה לתנאי סף'!N154=0,J154&gt;0),$Q$2,'הזנה לתנאי סף'!N154))</f>
        <v/>
      </c>
      <c r="J154" s="213" t="str">
        <f>IF($F154="","",INDEX('גיליון עזר לתחום תמיכה ג'!$H$31:$H$330,MATCH(E154,'גיליון עזר לתחום תמיכה ג'!$C$31:$C$330,0)))</f>
        <v/>
      </c>
      <c r="K154" s="213" t="str">
        <f>IF(OR(F154="",J154=""),"",IF(AND(J154&gt;0,I154=1),J154*'פרמטרים לקריטריונים'!$C$64,$Q$2))</f>
        <v/>
      </c>
      <c r="L154" s="227" t="str">
        <f>IF(OR(F154="",J154=""),"",IF(J154&gt;0,'תחום תמיכה ב'!AC154/SUMIFS('תחום תמיכה ב'!$AC$31:$AC$500,'תחום תמיכה ב'!$E$31:$E$500,E154,'תחום תמיכה ב'!$S$31:$S$500,"=1"),0))</f>
        <v/>
      </c>
      <c r="M154" s="213" t="str">
        <f t="shared" si="5"/>
        <v/>
      </c>
      <c r="N154" s="227" t="str">
        <f t="shared" si="6"/>
        <v/>
      </c>
      <c r="O154" s="213" t="str">
        <f t="shared" si="7"/>
        <v/>
      </c>
    </row>
    <row r="155" spans="1:15" ht="15.75" x14ac:dyDescent="0.2">
      <c r="A155" s="206" t="str">
        <f t="shared" si="4"/>
        <v/>
      </c>
      <c r="B155" s="88" t="str">
        <f>IF($F155="","",'הזנה לתנאי סף'!C155)</f>
        <v/>
      </c>
      <c r="C155" s="88" t="str">
        <f>IF($F155="","",'הזנה לתנאי סף'!D155)</f>
        <v/>
      </c>
      <c r="D155" s="88" t="str">
        <f>IF($F155="","",'הזנה לתנאי סף'!E155)</f>
        <v/>
      </c>
      <c r="E155" s="88" t="str">
        <f>IF($F155="","",'הזנה לתנאי סף'!F155)</f>
        <v/>
      </c>
      <c r="F155" s="88" t="str">
        <f>IF(OR('הזנה לתנאי סף'!G155="",'הזנה לתנאי סף'!BL155&lt;&gt;1,'הזנה לתנאי סף'!Q155&lt;&gt;1,'הזנה לתנאי סף'!N155&lt;&gt;1),"",'הזנה לתנאי סף'!G155)</f>
        <v/>
      </c>
      <c r="G155" s="88" t="str">
        <f>IF($F155="","",'הזנה לתנאי סף'!H155)</f>
        <v/>
      </c>
      <c r="H155" s="88" t="str">
        <f>IF($F155="","",'הזנה לתנאי סף'!I155)</f>
        <v/>
      </c>
      <c r="I155" s="88" t="str">
        <f>IF($F155="","",IF(AND('הזנה לתנאי סף'!N155=0,J155&gt;0),$Q$2,'הזנה לתנאי סף'!N155))</f>
        <v/>
      </c>
      <c r="J155" s="213" t="str">
        <f>IF($F155="","",INDEX('גיליון עזר לתחום תמיכה ג'!$H$31:$H$330,MATCH(E155,'גיליון עזר לתחום תמיכה ג'!$C$31:$C$330,0)))</f>
        <v/>
      </c>
      <c r="K155" s="213" t="str">
        <f>IF(OR(F155="",J155=""),"",IF(AND(J155&gt;0,I155=1),J155*'פרמטרים לקריטריונים'!$C$64,$Q$2))</f>
        <v/>
      </c>
      <c r="L155" s="227" t="str">
        <f>IF(OR(F155="",J155=""),"",IF(J155&gt;0,'תחום תמיכה ב'!AC155/SUMIFS('תחום תמיכה ב'!$AC$31:$AC$500,'תחום תמיכה ב'!$E$31:$E$500,E155,'תחום תמיכה ב'!$S$31:$S$500,"=1"),0))</f>
        <v/>
      </c>
      <c r="M155" s="213" t="str">
        <f t="shared" si="5"/>
        <v/>
      </c>
      <c r="N155" s="227" t="str">
        <f t="shared" si="6"/>
        <v/>
      </c>
      <c r="O155" s="213" t="str">
        <f t="shared" si="7"/>
        <v/>
      </c>
    </row>
    <row r="156" spans="1:15" ht="15.75" x14ac:dyDescent="0.2">
      <c r="A156" s="206" t="str">
        <f t="shared" si="4"/>
        <v/>
      </c>
      <c r="B156" s="88" t="str">
        <f>IF($F156="","",'הזנה לתנאי סף'!C156)</f>
        <v/>
      </c>
      <c r="C156" s="88" t="str">
        <f>IF($F156="","",'הזנה לתנאי סף'!D156)</f>
        <v/>
      </c>
      <c r="D156" s="88" t="str">
        <f>IF($F156="","",'הזנה לתנאי סף'!E156)</f>
        <v/>
      </c>
      <c r="E156" s="88" t="str">
        <f>IF($F156="","",'הזנה לתנאי סף'!F156)</f>
        <v/>
      </c>
      <c r="F156" s="88" t="str">
        <f>IF(OR('הזנה לתנאי סף'!G156="",'הזנה לתנאי סף'!BL156&lt;&gt;1,'הזנה לתנאי סף'!Q156&lt;&gt;1,'הזנה לתנאי סף'!N156&lt;&gt;1),"",'הזנה לתנאי סף'!G156)</f>
        <v/>
      </c>
      <c r="G156" s="88" t="str">
        <f>IF($F156="","",'הזנה לתנאי סף'!H156)</f>
        <v/>
      </c>
      <c r="H156" s="88" t="str">
        <f>IF($F156="","",'הזנה לתנאי סף'!I156)</f>
        <v/>
      </c>
      <c r="I156" s="88" t="str">
        <f>IF($F156="","",IF(AND('הזנה לתנאי סף'!N156=0,J156&gt;0),$Q$2,'הזנה לתנאי סף'!N156))</f>
        <v/>
      </c>
      <c r="J156" s="213" t="str">
        <f>IF($F156="","",INDEX('גיליון עזר לתחום תמיכה ג'!$H$31:$H$330,MATCH(E156,'גיליון עזר לתחום תמיכה ג'!$C$31:$C$330,0)))</f>
        <v/>
      </c>
      <c r="K156" s="213" t="str">
        <f>IF(OR(F156="",J156=""),"",IF(AND(J156&gt;0,I156=1),J156*'פרמטרים לקריטריונים'!$C$64,$Q$2))</f>
        <v/>
      </c>
      <c r="L156" s="227" t="str">
        <f>IF(OR(F156="",J156=""),"",IF(J156&gt;0,'תחום תמיכה ב'!AC156/SUMIFS('תחום תמיכה ב'!$AC$31:$AC$500,'תחום תמיכה ב'!$E$31:$E$500,E156,'תחום תמיכה ב'!$S$31:$S$500,"=1"),0))</f>
        <v/>
      </c>
      <c r="M156" s="213" t="str">
        <f t="shared" si="5"/>
        <v/>
      </c>
      <c r="N156" s="227" t="str">
        <f t="shared" si="6"/>
        <v/>
      </c>
      <c r="O156" s="213" t="str">
        <f t="shared" si="7"/>
        <v/>
      </c>
    </row>
    <row r="157" spans="1:15" ht="15.75" x14ac:dyDescent="0.2">
      <c r="A157" s="206" t="str">
        <f t="shared" si="4"/>
        <v/>
      </c>
      <c r="B157" s="88" t="str">
        <f>IF($F157="","",'הזנה לתנאי סף'!C157)</f>
        <v/>
      </c>
      <c r="C157" s="88" t="str">
        <f>IF($F157="","",'הזנה לתנאי סף'!D157)</f>
        <v/>
      </c>
      <c r="D157" s="88" t="str">
        <f>IF($F157="","",'הזנה לתנאי סף'!E157)</f>
        <v/>
      </c>
      <c r="E157" s="88" t="str">
        <f>IF($F157="","",'הזנה לתנאי סף'!F157)</f>
        <v/>
      </c>
      <c r="F157" s="88" t="str">
        <f>IF(OR('הזנה לתנאי סף'!G157="",'הזנה לתנאי סף'!BL157&lt;&gt;1,'הזנה לתנאי סף'!Q157&lt;&gt;1,'הזנה לתנאי סף'!N157&lt;&gt;1),"",'הזנה לתנאי סף'!G157)</f>
        <v/>
      </c>
      <c r="G157" s="88" t="str">
        <f>IF($F157="","",'הזנה לתנאי סף'!H157)</f>
        <v/>
      </c>
      <c r="H157" s="88" t="str">
        <f>IF($F157="","",'הזנה לתנאי סף'!I157)</f>
        <v/>
      </c>
      <c r="I157" s="88" t="str">
        <f>IF($F157="","",IF(AND('הזנה לתנאי סף'!N157=0,J157&gt;0),$Q$2,'הזנה לתנאי סף'!N157))</f>
        <v/>
      </c>
      <c r="J157" s="213" t="str">
        <f>IF($F157="","",INDEX('גיליון עזר לתחום תמיכה ג'!$H$31:$H$330,MATCH(E157,'גיליון עזר לתחום תמיכה ג'!$C$31:$C$330,0)))</f>
        <v/>
      </c>
      <c r="K157" s="213" t="str">
        <f>IF(OR(F157="",J157=""),"",IF(AND(J157&gt;0,I157=1),J157*'פרמטרים לקריטריונים'!$C$64,$Q$2))</f>
        <v/>
      </c>
      <c r="L157" s="227" t="str">
        <f>IF(OR(F157="",J157=""),"",IF(J157&gt;0,'תחום תמיכה ב'!AC157/SUMIFS('תחום תמיכה ב'!$AC$31:$AC$500,'תחום תמיכה ב'!$E$31:$E$500,E157,'תחום תמיכה ב'!$S$31:$S$500,"=1"),0))</f>
        <v/>
      </c>
      <c r="M157" s="213" t="str">
        <f t="shared" si="5"/>
        <v/>
      </c>
      <c r="N157" s="227" t="str">
        <f t="shared" si="6"/>
        <v/>
      </c>
      <c r="O157" s="213" t="str">
        <f t="shared" si="7"/>
        <v/>
      </c>
    </row>
    <row r="158" spans="1:15" ht="15.75" x14ac:dyDescent="0.2">
      <c r="A158" s="206" t="str">
        <f t="shared" si="4"/>
        <v/>
      </c>
      <c r="B158" s="88" t="str">
        <f>IF($F158="","",'הזנה לתנאי סף'!C158)</f>
        <v/>
      </c>
      <c r="C158" s="88" t="str">
        <f>IF($F158="","",'הזנה לתנאי סף'!D158)</f>
        <v/>
      </c>
      <c r="D158" s="88" t="str">
        <f>IF($F158="","",'הזנה לתנאי סף'!E158)</f>
        <v/>
      </c>
      <c r="E158" s="88" t="str">
        <f>IF($F158="","",'הזנה לתנאי סף'!F158)</f>
        <v/>
      </c>
      <c r="F158" s="88" t="str">
        <f>IF(OR('הזנה לתנאי סף'!G158="",'הזנה לתנאי סף'!BL158&lt;&gt;1,'הזנה לתנאי סף'!Q158&lt;&gt;1,'הזנה לתנאי סף'!N158&lt;&gt;1),"",'הזנה לתנאי סף'!G158)</f>
        <v/>
      </c>
      <c r="G158" s="88" t="str">
        <f>IF($F158="","",'הזנה לתנאי סף'!H158)</f>
        <v/>
      </c>
      <c r="H158" s="88" t="str">
        <f>IF($F158="","",'הזנה לתנאי סף'!I158)</f>
        <v/>
      </c>
      <c r="I158" s="88" t="str">
        <f>IF($F158="","",IF(AND('הזנה לתנאי סף'!N158=0,J158&gt;0),$Q$2,'הזנה לתנאי סף'!N158))</f>
        <v/>
      </c>
      <c r="J158" s="213" t="str">
        <f>IF($F158="","",INDEX('גיליון עזר לתחום תמיכה ג'!$H$31:$H$330,MATCH(E158,'גיליון עזר לתחום תמיכה ג'!$C$31:$C$330,0)))</f>
        <v/>
      </c>
      <c r="K158" s="213" t="str">
        <f>IF(OR(F158="",J158=""),"",IF(AND(J158&gt;0,I158=1),J158*'פרמטרים לקריטריונים'!$C$64,$Q$2))</f>
        <v/>
      </c>
      <c r="L158" s="227" t="str">
        <f>IF(OR(F158="",J158=""),"",IF(J158&gt;0,'תחום תמיכה ב'!AC158/SUMIFS('תחום תמיכה ב'!$AC$31:$AC$500,'תחום תמיכה ב'!$E$31:$E$500,E158,'תחום תמיכה ב'!$S$31:$S$500,"=1"),0))</f>
        <v/>
      </c>
      <c r="M158" s="213" t="str">
        <f t="shared" si="5"/>
        <v/>
      </c>
      <c r="N158" s="227" t="str">
        <f t="shared" si="6"/>
        <v/>
      </c>
      <c r="O158" s="213" t="str">
        <f t="shared" si="7"/>
        <v/>
      </c>
    </row>
    <row r="159" spans="1:15" ht="15.75" x14ac:dyDescent="0.2">
      <c r="A159" s="206" t="str">
        <f t="shared" si="4"/>
        <v/>
      </c>
      <c r="B159" s="88" t="str">
        <f>IF($F159="","",'הזנה לתנאי סף'!C159)</f>
        <v/>
      </c>
      <c r="C159" s="88" t="str">
        <f>IF($F159="","",'הזנה לתנאי סף'!D159)</f>
        <v/>
      </c>
      <c r="D159" s="88" t="str">
        <f>IF($F159="","",'הזנה לתנאי סף'!E159)</f>
        <v/>
      </c>
      <c r="E159" s="88" t="str">
        <f>IF($F159="","",'הזנה לתנאי סף'!F159)</f>
        <v/>
      </c>
      <c r="F159" s="88" t="str">
        <f>IF(OR('הזנה לתנאי סף'!G159="",'הזנה לתנאי סף'!BL159&lt;&gt;1,'הזנה לתנאי סף'!Q159&lt;&gt;1,'הזנה לתנאי סף'!N159&lt;&gt;1),"",'הזנה לתנאי סף'!G159)</f>
        <v/>
      </c>
      <c r="G159" s="88" t="str">
        <f>IF($F159="","",'הזנה לתנאי סף'!H159)</f>
        <v/>
      </c>
      <c r="H159" s="88" t="str">
        <f>IF($F159="","",'הזנה לתנאי סף'!I159)</f>
        <v/>
      </c>
      <c r="I159" s="88" t="str">
        <f>IF($F159="","",IF(AND('הזנה לתנאי סף'!N159=0,J159&gt;0),$Q$2,'הזנה לתנאי סף'!N159))</f>
        <v/>
      </c>
      <c r="J159" s="213" t="str">
        <f>IF($F159="","",INDEX('גיליון עזר לתחום תמיכה ג'!$H$31:$H$330,MATCH(E159,'גיליון עזר לתחום תמיכה ג'!$C$31:$C$330,0)))</f>
        <v/>
      </c>
      <c r="K159" s="213" t="str">
        <f>IF(OR(F159="",J159=""),"",IF(AND(J159&gt;0,I159=1),J159*'פרמטרים לקריטריונים'!$C$64,$Q$2))</f>
        <v/>
      </c>
      <c r="L159" s="227" t="str">
        <f>IF(OR(F159="",J159=""),"",IF(J159&gt;0,'תחום תמיכה ב'!AC159/SUMIFS('תחום תמיכה ב'!$AC$31:$AC$500,'תחום תמיכה ב'!$E$31:$E$500,E159,'תחום תמיכה ב'!$S$31:$S$500,"=1"),0))</f>
        <v/>
      </c>
      <c r="M159" s="213" t="str">
        <f t="shared" si="5"/>
        <v/>
      </c>
      <c r="N159" s="227" t="str">
        <f t="shared" si="6"/>
        <v/>
      </c>
      <c r="O159" s="213" t="str">
        <f t="shared" si="7"/>
        <v/>
      </c>
    </row>
    <row r="160" spans="1:15" ht="15.75" x14ac:dyDescent="0.2">
      <c r="A160" s="206">
        <f t="shared" ref="A160:A223" si="8">IF(F160="","",ROW()-30)</f>
        <v>130</v>
      </c>
      <c r="B160" s="88">
        <f>IF($F160="","",'הזנה לתנאי סף'!C160)</f>
        <v>1001350318</v>
      </c>
      <c r="C160" s="88">
        <f>IF($F160="","",'הזנה לתנאי סף'!D160)</f>
        <v>1001265106</v>
      </c>
      <c r="D160" s="88">
        <f>IF($F160="","",'הזנה לתנאי סף'!E160)</f>
        <v>40992259</v>
      </c>
      <c r="E160" s="88">
        <f>IF($F160="","",'הזנה לתנאי סף'!F160)</f>
        <v>20000201</v>
      </c>
      <c r="F160" s="88" t="str">
        <f>IF(OR('הזנה לתנאי סף'!G160="",'הזנה לתנאי סף'!BL160&lt;&gt;1,'הזנה לתנאי סף'!Q160&lt;&gt;1,'הזנה לתנאי סף'!N160&lt;&gt;1),"",'הזנה לתנאי סף'!G160)</f>
        <v>תל אביב -יפו</v>
      </c>
      <c r="G160" s="88" t="str">
        <f>IF($F160="","",'הזנה לתנאי סף'!H160)</f>
        <v>גלרית תיאטרון החנות</v>
      </c>
      <c r="H160" s="88" t="str">
        <f>IF($F160="","",'הזנה לתנאי סף'!I160)</f>
        <v>קבוצות תיאטרון</v>
      </c>
      <c r="I160" s="88">
        <f>IF($F160="","",IF(AND('הזנה לתנאי סף'!N160=0,J160&gt;0),$Q$2,'הזנה לתנאי סף'!N160))</f>
        <v>1</v>
      </c>
      <c r="J160" s="213">
        <f>IF($F160="","",INDEX('גיליון עזר לתחום תמיכה ג'!$H$31:$H$330,MATCH(E160,'גיליון עזר לתחום תמיכה ג'!$C$31:$C$330,0)))</f>
        <v>15995126</v>
      </c>
      <c r="K160" s="213">
        <f>IF(OR(F160="",J160=""),"",IF(AND(J160&gt;0,I160=1),J160*'פרמטרים לקריטריונים'!$C$64,$Q$2))</f>
        <v>15995126</v>
      </c>
      <c r="L160" s="227">
        <f>IF(OR(F160="",J160=""),"",IF(J160&gt;0,'תחום תמיכה ב'!AC160/SUMIFS('תחום תמיכה ב'!$AC$31:$AC$500,'תחום תמיכה ב'!$E$31:$E$500,E160,'תחום תמיכה ב'!$S$31:$S$500,"=1"),0))</f>
        <v>9.4803496795955338E-4</v>
      </c>
      <c r="M160" s="213">
        <f t="shared" ref="M160:M223" si="9">IF(OR(F160="",J160=""),"",IFERROR(K160*L160,$Q$2))</f>
        <v>15163.938764919019</v>
      </c>
      <c r="N160" s="227">
        <f t="shared" ref="N160:N223" si="10">IF(OR(F160="",J160=""),"",IFERROR(M160/$M$501,$Q$2))</f>
        <v>6.8901748159090517E-4</v>
      </c>
      <c r="O160" s="213">
        <f t="shared" ref="O160:O223" si="11">IF(N160="","",IF($M$501&lt;$F$4,M160,N160*$F$4))</f>
        <v>15163.938764919019</v>
      </c>
    </row>
    <row r="161" spans="1:15" ht="15.75" x14ac:dyDescent="0.2">
      <c r="A161" s="206" t="str">
        <f t="shared" si="8"/>
        <v/>
      </c>
      <c r="B161" s="88" t="str">
        <f>IF($F161="","",'הזנה לתנאי סף'!C161)</f>
        <v/>
      </c>
      <c r="C161" s="88" t="str">
        <f>IF($F161="","",'הזנה לתנאי סף'!D161)</f>
        <v/>
      </c>
      <c r="D161" s="88" t="str">
        <f>IF($F161="","",'הזנה לתנאי סף'!E161)</f>
        <v/>
      </c>
      <c r="E161" s="88" t="str">
        <f>IF($F161="","",'הזנה לתנאי סף'!F161)</f>
        <v/>
      </c>
      <c r="F161" s="88" t="str">
        <f>IF(OR('הזנה לתנאי סף'!G161="",'הזנה לתנאי סף'!BL161&lt;&gt;1,'הזנה לתנאי סף'!Q161&lt;&gt;1,'הזנה לתנאי סף'!N161&lt;&gt;1),"",'הזנה לתנאי סף'!G161)</f>
        <v/>
      </c>
      <c r="G161" s="88" t="str">
        <f>IF($F161="","",'הזנה לתנאי סף'!H161)</f>
        <v/>
      </c>
      <c r="H161" s="88" t="str">
        <f>IF($F161="","",'הזנה לתנאי סף'!I161)</f>
        <v/>
      </c>
      <c r="I161" s="88" t="str">
        <f>IF($F161="","",IF(AND('הזנה לתנאי סף'!N161=0,J161&gt;0),$Q$2,'הזנה לתנאי סף'!N161))</f>
        <v/>
      </c>
      <c r="J161" s="213" t="str">
        <f>IF($F161="","",INDEX('גיליון עזר לתחום תמיכה ג'!$H$31:$H$330,MATCH(E161,'גיליון עזר לתחום תמיכה ג'!$C$31:$C$330,0)))</f>
        <v/>
      </c>
      <c r="K161" s="213" t="str">
        <f>IF(OR(F161="",J161=""),"",IF(AND(J161&gt;0,I161=1),J161*'פרמטרים לקריטריונים'!$C$64,$Q$2))</f>
        <v/>
      </c>
      <c r="L161" s="227" t="str">
        <f>IF(OR(F161="",J161=""),"",IF(J161&gt;0,'תחום תמיכה ב'!AC161/SUMIFS('תחום תמיכה ב'!$AC$31:$AC$500,'תחום תמיכה ב'!$E$31:$E$500,E161,'תחום תמיכה ב'!$S$31:$S$500,"=1"),0))</f>
        <v/>
      </c>
      <c r="M161" s="213" t="str">
        <f t="shared" si="9"/>
        <v/>
      </c>
      <c r="N161" s="227" t="str">
        <f t="shared" si="10"/>
        <v/>
      </c>
      <c r="O161" s="213" t="str">
        <f t="shared" si="11"/>
        <v/>
      </c>
    </row>
    <row r="162" spans="1:15" ht="15.75" x14ac:dyDescent="0.2">
      <c r="A162" s="206" t="str">
        <f t="shared" si="8"/>
        <v/>
      </c>
      <c r="B162" s="88" t="str">
        <f>IF($F162="","",'הזנה לתנאי סף'!C162)</f>
        <v/>
      </c>
      <c r="C162" s="88" t="str">
        <f>IF($F162="","",'הזנה לתנאי סף'!D162)</f>
        <v/>
      </c>
      <c r="D162" s="88" t="str">
        <f>IF($F162="","",'הזנה לתנאי סף'!E162)</f>
        <v/>
      </c>
      <c r="E162" s="88" t="str">
        <f>IF($F162="","",'הזנה לתנאי סף'!F162)</f>
        <v/>
      </c>
      <c r="F162" s="88" t="str">
        <f>IF(OR('הזנה לתנאי סף'!G162="",'הזנה לתנאי סף'!BL162&lt;&gt;1,'הזנה לתנאי סף'!Q162&lt;&gt;1,'הזנה לתנאי סף'!N162&lt;&gt;1),"",'הזנה לתנאי סף'!G162)</f>
        <v/>
      </c>
      <c r="G162" s="88" t="str">
        <f>IF($F162="","",'הזנה לתנאי סף'!H162)</f>
        <v/>
      </c>
      <c r="H162" s="88" t="str">
        <f>IF($F162="","",'הזנה לתנאי סף'!I162)</f>
        <v/>
      </c>
      <c r="I162" s="88" t="str">
        <f>IF($F162="","",IF(AND('הזנה לתנאי סף'!N162=0,J162&gt;0),$Q$2,'הזנה לתנאי סף'!N162))</f>
        <v/>
      </c>
      <c r="J162" s="213" t="str">
        <f>IF($F162="","",INDEX('גיליון עזר לתחום תמיכה ג'!$H$31:$H$330,MATCH(E162,'גיליון עזר לתחום תמיכה ג'!$C$31:$C$330,0)))</f>
        <v/>
      </c>
      <c r="K162" s="213" t="str">
        <f>IF(OR(F162="",J162=""),"",IF(AND(J162&gt;0,I162=1),J162*'פרמטרים לקריטריונים'!$C$64,$Q$2))</f>
        <v/>
      </c>
      <c r="L162" s="227" t="str">
        <f>IF(OR(F162="",J162=""),"",IF(J162&gt;0,'תחום תמיכה ב'!AC162/SUMIFS('תחום תמיכה ב'!$AC$31:$AC$500,'תחום תמיכה ב'!$E$31:$E$500,E162,'תחום תמיכה ב'!$S$31:$S$500,"=1"),0))</f>
        <v/>
      </c>
      <c r="M162" s="213" t="str">
        <f t="shared" si="9"/>
        <v/>
      </c>
      <c r="N162" s="227" t="str">
        <f t="shared" si="10"/>
        <v/>
      </c>
      <c r="O162" s="213" t="str">
        <f t="shared" si="11"/>
        <v/>
      </c>
    </row>
    <row r="163" spans="1:15" ht="15.75" x14ac:dyDescent="0.2">
      <c r="A163" s="206" t="str">
        <f t="shared" si="8"/>
        <v/>
      </c>
      <c r="B163" s="88" t="str">
        <f>IF($F163="","",'הזנה לתנאי סף'!C163)</f>
        <v/>
      </c>
      <c r="C163" s="88" t="str">
        <f>IF($F163="","",'הזנה לתנאי סף'!D163)</f>
        <v/>
      </c>
      <c r="D163" s="88" t="str">
        <f>IF($F163="","",'הזנה לתנאי סף'!E163)</f>
        <v/>
      </c>
      <c r="E163" s="88" t="str">
        <f>IF($F163="","",'הזנה לתנאי סף'!F163)</f>
        <v/>
      </c>
      <c r="F163" s="88" t="str">
        <f>IF(OR('הזנה לתנאי סף'!G163="",'הזנה לתנאי סף'!BL163&lt;&gt;1,'הזנה לתנאי סף'!Q163&lt;&gt;1,'הזנה לתנאי סף'!N163&lt;&gt;1),"",'הזנה לתנאי סף'!G163)</f>
        <v/>
      </c>
      <c r="G163" s="88" t="str">
        <f>IF($F163="","",'הזנה לתנאי סף'!H163)</f>
        <v/>
      </c>
      <c r="H163" s="88" t="str">
        <f>IF($F163="","",'הזנה לתנאי סף'!I163)</f>
        <v/>
      </c>
      <c r="I163" s="88" t="str">
        <f>IF($F163="","",IF(AND('הזנה לתנאי סף'!N163=0,J163&gt;0),$Q$2,'הזנה לתנאי סף'!N163))</f>
        <v/>
      </c>
      <c r="J163" s="213" t="str">
        <f>IF($F163="","",INDEX('גיליון עזר לתחום תמיכה ג'!$H$31:$H$330,MATCH(E163,'גיליון עזר לתחום תמיכה ג'!$C$31:$C$330,0)))</f>
        <v/>
      </c>
      <c r="K163" s="213" t="str">
        <f>IF(OR(F163="",J163=""),"",IF(AND(J163&gt;0,I163=1),J163*'פרמטרים לקריטריונים'!$C$64,$Q$2))</f>
        <v/>
      </c>
      <c r="L163" s="227" t="str">
        <f>IF(OR(F163="",J163=""),"",IF(J163&gt;0,'תחום תמיכה ב'!AC163/SUMIFS('תחום תמיכה ב'!$AC$31:$AC$500,'תחום תמיכה ב'!$E$31:$E$500,E163,'תחום תמיכה ב'!$S$31:$S$500,"=1"),0))</f>
        <v/>
      </c>
      <c r="M163" s="213" t="str">
        <f t="shared" si="9"/>
        <v/>
      </c>
      <c r="N163" s="227" t="str">
        <f t="shared" si="10"/>
        <v/>
      </c>
      <c r="O163" s="213" t="str">
        <f t="shared" si="11"/>
        <v/>
      </c>
    </row>
    <row r="164" spans="1:15" ht="15.75" x14ac:dyDescent="0.2">
      <c r="A164" s="206" t="str">
        <f t="shared" si="8"/>
        <v/>
      </c>
      <c r="B164" s="88" t="str">
        <f>IF($F164="","",'הזנה לתנאי סף'!C164)</f>
        <v/>
      </c>
      <c r="C164" s="88" t="str">
        <f>IF($F164="","",'הזנה לתנאי סף'!D164)</f>
        <v/>
      </c>
      <c r="D164" s="88" t="str">
        <f>IF($F164="","",'הזנה לתנאי סף'!E164)</f>
        <v/>
      </c>
      <c r="E164" s="88" t="str">
        <f>IF($F164="","",'הזנה לתנאי סף'!F164)</f>
        <v/>
      </c>
      <c r="F164" s="88" t="str">
        <f>IF(OR('הזנה לתנאי סף'!G164="",'הזנה לתנאי סף'!BL164&lt;&gt;1,'הזנה לתנאי סף'!Q164&lt;&gt;1,'הזנה לתנאי סף'!N164&lt;&gt;1),"",'הזנה לתנאי סף'!G164)</f>
        <v/>
      </c>
      <c r="G164" s="88" t="str">
        <f>IF($F164="","",'הזנה לתנאי סף'!H164)</f>
        <v/>
      </c>
      <c r="H164" s="88" t="str">
        <f>IF($F164="","",'הזנה לתנאי סף'!I164)</f>
        <v/>
      </c>
      <c r="I164" s="88" t="str">
        <f>IF($F164="","",IF(AND('הזנה לתנאי סף'!N164=0,J164&gt;0),$Q$2,'הזנה לתנאי סף'!N164))</f>
        <v/>
      </c>
      <c r="J164" s="213" t="str">
        <f>IF($F164="","",INDEX('גיליון עזר לתחום תמיכה ג'!$H$31:$H$330,MATCH(E164,'גיליון עזר לתחום תמיכה ג'!$C$31:$C$330,0)))</f>
        <v/>
      </c>
      <c r="K164" s="213" t="str">
        <f>IF(OR(F164="",J164=""),"",IF(AND(J164&gt;0,I164=1),J164*'פרמטרים לקריטריונים'!$C$64,$Q$2))</f>
        <v/>
      </c>
      <c r="L164" s="227" t="str">
        <f>IF(OR(F164="",J164=""),"",IF(J164&gt;0,'תחום תמיכה ב'!AC164/SUMIFS('תחום תמיכה ב'!$AC$31:$AC$500,'תחום תמיכה ב'!$E$31:$E$500,E164,'תחום תמיכה ב'!$S$31:$S$500,"=1"),0))</f>
        <v/>
      </c>
      <c r="M164" s="213" t="str">
        <f t="shared" si="9"/>
        <v/>
      </c>
      <c r="N164" s="227" t="str">
        <f t="shared" si="10"/>
        <v/>
      </c>
      <c r="O164" s="213" t="str">
        <f t="shared" si="11"/>
        <v/>
      </c>
    </row>
    <row r="165" spans="1:15" ht="15.75" x14ac:dyDescent="0.2">
      <c r="A165" s="206">
        <f t="shared" si="8"/>
        <v>135</v>
      </c>
      <c r="B165" s="88">
        <f>IF($F165="","",'הזנה לתנאי סף'!C165)</f>
        <v>1001348221</v>
      </c>
      <c r="C165" s="88">
        <f>IF($F165="","",'הזנה לתנאי סף'!D165)</f>
        <v>1001269209</v>
      </c>
      <c r="D165" s="88">
        <f>IF($F165="","",'הזנה לתנאי סף'!E165)</f>
        <v>41489877</v>
      </c>
      <c r="E165" s="88">
        <f>IF($F165="","",'הזנה לתנאי סף'!F165)</f>
        <v>20000201</v>
      </c>
      <c r="F165" s="88" t="str">
        <f>IF(OR('הזנה לתנאי סף'!G165="",'הזנה לתנאי סף'!BL165&lt;&gt;1,'הזנה לתנאי סף'!Q165&lt;&gt;1,'הזנה לתנאי סף'!N165&lt;&gt;1),"",'הזנה לתנאי סף'!G165)</f>
        <v>תל אביב -יפו</v>
      </c>
      <c r="G165" s="88" t="str">
        <f>IF($F165="","",'הזנה לתנאי סף'!H165)</f>
        <v>עמותת רננה רז</v>
      </c>
      <c r="H165" s="88" t="str">
        <f>IF($F165="","",'הזנה לתנאי סף'!I165)</f>
        <v>מחול</v>
      </c>
      <c r="I165" s="88">
        <f>IF($F165="","",IF(AND('הזנה לתנאי סף'!N165=0,J165&gt;0),$Q$2,'הזנה לתנאי סף'!N165))</f>
        <v>1</v>
      </c>
      <c r="J165" s="213">
        <f>IF($F165="","",INDEX('גיליון עזר לתחום תמיכה ג'!$H$31:$H$330,MATCH(E165,'גיליון עזר לתחום תמיכה ג'!$C$31:$C$330,0)))</f>
        <v>15995126</v>
      </c>
      <c r="K165" s="213">
        <f>IF(OR(F165="",J165=""),"",IF(AND(J165&gt;0,I165=1),J165*'פרמטרים לקריטריונים'!$C$64,$Q$2))</f>
        <v>15995126</v>
      </c>
      <c r="L165" s="227">
        <f>IF(OR(F165="",J165=""),"",IF(J165&gt;0,'תחום תמיכה ב'!AC165/SUMIFS('תחום תמיכה ב'!$AC$31:$AC$500,'תחום תמיכה ב'!$E$31:$E$500,E165,'תחום תמיכה ב'!$S$31:$S$500,"=1"),0))</f>
        <v>1.8537482252570213E-3</v>
      </c>
      <c r="M165" s="213">
        <f t="shared" si="9"/>
        <v>29650.936435262436</v>
      </c>
      <c r="N165" s="227">
        <f t="shared" si="10"/>
        <v>1.347276183724792E-3</v>
      </c>
      <c r="O165" s="213">
        <f t="shared" si="11"/>
        <v>29650.936435262436</v>
      </c>
    </row>
    <row r="166" spans="1:15" ht="15.75" x14ac:dyDescent="0.2">
      <c r="A166" s="206">
        <f t="shared" si="8"/>
        <v>136</v>
      </c>
      <c r="B166" s="88">
        <f>IF($F166="","",'הזנה לתנאי סף'!C166)</f>
        <v>1001347308</v>
      </c>
      <c r="C166" s="88">
        <f>IF($F166="","",'הזנה לתנאי סף'!D166)</f>
        <v>1001271799</v>
      </c>
      <c r="D166" s="88">
        <f>IF($F166="","",'הזנה לתנאי סף'!E166)</f>
        <v>40221577</v>
      </c>
      <c r="E166" s="88">
        <f>IF($F166="","",'הזנה לתנאי סף'!F166)</f>
        <v>20000159</v>
      </c>
      <c r="F166" s="88" t="str">
        <f>IF(OR('הזנה לתנאי סף'!G166="",'הזנה לתנאי סף'!BL166&lt;&gt;1,'הזנה לתנאי סף'!Q166&lt;&gt;1,'הזנה לתנאי סף'!N166&lt;&gt;1),"",'הזנה לתנאי סף'!G166)</f>
        <v>ירושלים</v>
      </c>
      <c r="G166" s="88" t="str">
        <f>IF($F166="","",'הזנה לתנאי סף'!H166)</f>
        <v>בלט ירושלים</v>
      </c>
      <c r="H166" s="88" t="str">
        <f>IF($F166="","",'הזנה לתנאי סף'!I166)</f>
        <v>מחול</v>
      </c>
      <c r="I166" s="88">
        <f>IF($F166="","",IF(AND('הזנה לתנאי סף'!N166=0,J166&gt;0),$Q$2,'הזנה לתנאי סף'!N166))</f>
        <v>1</v>
      </c>
      <c r="J166" s="213">
        <f>IF($F166="","",INDEX('גיליון עזר לתחום תמיכה ג'!$H$31:$H$330,MATCH(E166,'גיליון עזר לתחום תמיכה ג'!$C$31:$C$330,0)))</f>
        <v>3990706</v>
      </c>
      <c r="K166" s="213">
        <f>IF(OR(F166="",J166=""),"",IF(AND(J166&gt;0,I166=1),J166*'פרמטרים לקריטריונים'!$C$64,$Q$2))</f>
        <v>3990706</v>
      </c>
      <c r="L166" s="227">
        <f>IF(OR(F166="",J166=""),"",IF(J166&gt;0,'תחום תמיכה ב'!AC166/SUMIFS('תחום תמיכה ב'!$AC$31:$AC$500,'תחום תמיכה ב'!$E$31:$E$500,E166,'תחום תמיכה ב'!$S$31:$S$500,"=1"),0))</f>
        <v>1.5711064100486815E-3</v>
      </c>
      <c r="M166" s="213">
        <f t="shared" si="9"/>
        <v>6269.8237772197335</v>
      </c>
      <c r="N166" s="227">
        <f t="shared" si="10"/>
        <v>2.8488760446546076E-4</v>
      </c>
      <c r="O166" s="213">
        <f t="shared" si="11"/>
        <v>6269.8237772197335</v>
      </c>
    </row>
    <row r="167" spans="1:15" ht="15.75" x14ac:dyDescent="0.2">
      <c r="A167" s="206" t="str">
        <f t="shared" si="8"/>
        <v/>
      </c>
      <c r="B167" s="88" t="str">
        <f>IF($F167="","",'הזנה לתנאי סף'!C167)</f>
        <v/>
      </c>
      <c r="C167" s="88" t="str">
        <f>IF($F167="","",'הזנה לתנאי סף'!D167)</f>
        <v/>
      </c>
      <c r="D167" s="88" t="str">
        <f>IF($F167="","",'הזנה לתנאי סף'!E167)</f>
        <v/>
      </c>
      <c r="E167" s="88" t="str">
        <f>IF($F167="","",'הזנה לתנאי סף'!F167)</f>
        <v/>
      </c>
      <c r="F167" s="88" t="str">
        <f>IF(OR('הזנה לתנאי סף'!G167="",'הזנה לתנאי סף'!BL167&lt;&gt;1,'הזנה לתנאי סף'!Q167&lt;&gt;1,'הזנה לתנאי סף'!N167&lt;&gt;1),"",'הזנה לתנאי סף'!G167)</f>
        <v/>
      </c>
      <c r="G167" s="88" t="str">
        <f>IF($F167="","",'הזנה לתנאי סף'!H167)</f>
        <v/>
      </c>
      <c r="H167" s="88" t="str">
        <f>IF($F167="","",'הזנה לתנאי סף'!I167)</f>
        <v/>
      </c>
      <c r="I167" s="88" t="str">
        <f>IF($F167="","",IF(AND('הזנה לתנאי סף'!N167=0,J167&gt;0),$Q$2,'הזנה לתנאי סף'!N167))</f>
        <v/>
      </c>
      <c r="J167" s="213" t="str">
        <f>IF($F167="","",INDEX('גיליון עזר לתחום תמיכה ג'!$H$31:$H$330,MATCH(E167,'גיליון עזר לתחום תמיכה ג'!$C$31:$C$330,0)))</f>
        <v/>
      </c>
      <c r="K167" s="213" t="str">
        <f>IF(OR(F167="",J167=""),"",IF(AND(J167&gt;0,I167=1),J167*'פרמטרים לקריטריונים'!$C$64,$Q$2))</f>
        <v/>
      </c>
      <c r="L167" s="227" t="str">
        <f>IF(OR(F167="",J167=""),"",IF(J167&gt;0,'תחום תמיכה ב'!AC167/SUMIFS('תחום תמיכה ב'!$AC$31:$AC$500,'תחום תמיכה ב'!$E$31:$E$500,E167,'תחום תמיכה ב'!$S$31:$S$500,"=1"),0))</f>
        <v/>
      </c>
      <c r="M167" s="213" t="str">
        <f t="shared" si="9"/>
        <v/>
      </c>
      <c r="N167" s="227" t="str">
        <f t="shared" si="10"/>
        <v/>
      </c>
      <c r="O167" s="213" t="str">
        <f t="shared" si="11"/>
        <v/>
      </c>
    </row>
    <row r="168" spans="1:15" ht="15.75" x14ac:dyDescent="0.2">
      <c r="A168" s="206" t="str">
        <f t="shared" si="8"/>
        <v/>
      </c>
      <c r="B168" s="88" t="str">
        <f>IF($F168="","",'הזנה לתנאי סף'!C168)</f>
        <v/>
      </c>
      <c r="C168" s="88" t="str">
        <f>IF($F168="","",'הזנה לתנאי סף'!D168)</f>
        <v/>
      </c>
      <c r="D168" s="88" t="str">
        <f>IF($F168="","",'הזנה לתנאי סף'!E168)</f>
        <v/>
      </c>
      <c r="E168" s="88" t="str">
        <f>IF($F168="","",'הזנה לתנאי סף'!F168)</f>
        <v/>
      </c>
      <c r="F168" s="88" t="str">
        <f>IF(OR('הזנה לתנאי סף'!G168="",'הזנה לתנאי סף'!BL168&lt;&gt;1,'הזנה לתנאי סף'!Q168&lt;&gt;1,'הזנה לתנאי סף'!N168&lt;&gt;1),"",'הזנה לתנאי סף'!G168)</f>
        <v/>
      </c>
      <c r="G168" s="88" t="str">
        <f>IF($F168="","",'הזנה לתנאי סף'!H168)</f>
        <v/>
      </c>
      <c r="H168" s="88" t="str">
        <f>IF($F168="","",'הזנה לתנאי סף'!I168)</f>
        <v/>
      </c>
      <c r="I168" s="88" t="str">
        <f>IF($F168="","",IF(AND('הזנה לתנאי סף'!N168=0,J168&gt;0),$Q$2,'הזנה לתנאי סף'!N168))</f>
        <v/>
      </c>
      <c r="J168" s="213" t="str">
        <f>IF($F168="","",INDEX('גיליון עזר לתחום תמיכה ג'!$H$31:$H$330,MATCH(E168,'גיליון עזר לתחום תמיכה ג'!$C$31:$C$330,0)))</f>
        <v/>
      </c>
      <c r="K168" s="213" t="str">
        <f>IF(OR(F168="",J168=""),"",IF(AND(J168&gt;0,I168=1),J168*'פרמטרים לקריטריונים'!$C$64,$Q$2))</f>
        <v/>
      </c>
      <c r="L168" s="227" t="str">
        <f>IF(OR(F168="",J168=""),"",IF(J168&gt;0,'תחום תמיכה ב'!AC168/SUMIFS('תחום תמיכה ב'!$AC$31:$AC$500,'תחום תמיכה ב'!$E$31:$E$500,E168,'תחום תמיכה ב'!$S$31:$S$500,"=1"),0))</f>
        <v/>
      </c>
      <c r="M168" s="213" t="str">
        <f t="shared" si="9"/>
        <v/>
      </c>
      <c r="N168" s="227" t="str">
        <f t="shared" si="10"/>
        <v/>
      </c>
      <c r="O168" s="213" t="str">
        <f t="shared" si="11"/>
        <v/>
      </c>
    </row>
    <row r="169" spans="1:15" ht="15.75" x14ac:dyDescent="0.2">
      <c r="A169" s="206">
        <f t="shared" si="8"/>
        <v>139</v>
      </c>
      <c r="B169" s="88">
        <f>IF($F169="","",'הזנה לתנאי סף'!C169)</f>
        <v>1001347059</v>
      </c>
      <c r="C169" s="88">
        <f>IF($F169="","",'הזנה לתנאי סף'!D169)</f>
        <v>1001264877</v>
      </c>
      <c r="D169" s="88">
        <f>IF($F169="","",'הזנה לתנאי סף'!E169)</f>
        <v>41489885</v>
      </c>
      <c r="E169" s="88">
        <f>IF($F169="","",'הזנה לתנאי סף'!F169)</f>
        <v>20000201</v>
      </c>
      <c r="F169" s="88" t="str">
        <f>IF(OR('הזנה לתנאי סף'!G169="",'הזנה לתנאי סף'!BL169&lt;&gt;1,'הזנה לתנאי סף'!Q169&lt;&gt;1,'הזנה לתנאי סף'!N169&lt;&gt;1),"",'הזנה לתנאי סף'!G169)</f>
        <v>תל אביב -יפו</v>
      </c>
      <c r="G169" s="88" t="str">
        <f>IF($F169="","",'הזנה לתנאי סף'!H169)</f>
        <v>עמותה למחול ואמניות ניב שינפלד</v>
      </c>
      <c r="H169" s="88" t="str">
        <f>IF($F169="","",'הזנה לתנאי סף'!I169)</f>
        <v>מחול</v>
      </c>
      <c r="I169" s="88">
        <f>IF($F169="","",IF(AND('הזנה לתנאי סף'!N169=0,J169&gt;0),$Q$2,'הזנה לתנאי סף'!N169))</f>
        <v>1</v>
      </c>
      <c r="J169" s="213">
        <f>IF($F169="","",INDEX('גיליון עזר לתחום תמיכה ג'!$H$31:$H$330,MATCH(E169,'גיליון עזר לתחום תמיכה ג'!$C$31:$C$330,0)))</f>
        <v>15995126</v>
      </c>
      <c r="K169" s="213">
        <f>IF(OR(F169="",J169=""),"",IF(AND(J169&gt;0,I169=1),J169*'פרמטרים לקריטריונים'!$C$64,$Q$2))</f>
        <v>15995126</v>
      </c>
      <c r="L169" s="227">
        <f>IF(OR(F169="",J169=""),"",IF(J169&gt;0,'תחום תמיכה ב'!AC169/SUMIFS('תחום תמיכה ב'!$AC$31:$AC$500,'תחום תמיכה ב'!$E$31:$E$500,E169,'תחום תמיכה ב'!$S$31:$S$500,"=1"),0))</f>
        <v>5.9575023788021079E-4</v>
      </c>
      <c r="M169" s="213">
        <f t="shared" si="9"/>
        <v>9529.1001194239452</v>
      </c>
      <c r="N169" s="227">
        <f t="shared" si="10"/>
        <v>4.3298226588084902E-4</v>
      </c>
      <c r="O169" s="213">
        <f t="shared" si="11"/>
        <v>9529.1001194239452</v>
      </c>
    </row>
    <row r="170" spans="1:15" ht="15.75" x14ac:dyDescent="0.2">
      <c r="A170" s="206">
        <f t="shared" si="8"/>
        <v>140</v>
      </c>
      <c r="B170" s="88">
        <f>IF($F170="","",'הזנה לתנאי סף'!C170)</f>
        <v>1001348829</v>
      </c>
      <c r="C170" s="88">
        <f>IF($F170="","",'הזנה לתנאי סף'!D170)</f>
        <v>1001270276</v>
      </c>
      <c r="D170" s="88">
        <f>IF($F170="","",'הזנה לתנאי סף'!E170)</f>
        <v>41489893</v>
      </c>
      <c r="E170" s="88">
        <f>IF($F170="","",'הזנה לתנאי סף'!F170)</f>
        <v>20000201</v>
      </c>
      <c r="F170" s="88" t="str">
        <f>IF(OR('הזנה לתנאי סף'!G170="",'הזנה לתנאי סף'!BL170&lt;&gt;1,'הזנה לתנאי סף'!Q170&lt;&gt;1,'הזנה לתנאי סף'!N170&lt;&gt;1),"",'הזנה לתנאי סף'!G170)</f>
        <v>תל אביב -יפו</v>
      </c>
      <c r="G170" s="88" t="str">
        <f>IF($F170="","",'הזנה לתנאי סף'!H170)</f>
        <v>תאטרון מחול יוסי ברג ועודד גרף</v>
      </c>
      <c r="H170" s="88" t="str">
        <f>IF($F170="","",'הזנה לתנאי סף'!I170)</f>
        <v>אחר</v>
      </c>
      <c r="I170" s="88">
        <f>IF($F170="","",IF(AND('הזנה לתנאי סף'!N170=0,J170&gt;0),$Q$2,'הזנה לתנאי סף'!N170))</f>
        <v>1</v>
      </c>
      <c r="J170" s="213">
        <f>IF($F170="","",INDEX('גיליון עזר לתחום תמיכה ג'!$H$31:$H$330,MATCH(E170,'גיליון עזר לתחום תמיכה ג'!$C$31:$C$330,0)))</f>
        <v>15995126</v>
      </c>
      <c r="K170" s="213">
        <f>IF(OR(F170="",J170=""),"",IF(AND(J170&gt;0,I170=1),J170*'פרמטרים לקריטריונים'!$C$64,$Q$2))</f>
        <v>15995126</v>
      </c>
      <c r="L170" s="227">
        <f>IF(OR(F170="",J170=""),"",IF(J170&gt;0,'תחום תמיכה ב'!AC170/SUMIFS('תחום תמיכה ב'!$AC$31:$AC$500,'תחום תמיכה ב'!$E$31:$E$500,E170,'תחום תמיכה ב'!$S$31:$S$500,"=1"),0))</f>
        <v>5.853408621936439E-4</v>
      </c>
      <c r="M170" s="213">
        <f t="shared" si="9"/>
        <v>9362.6008437359706</v>
      </c>
      <c r="N170" s="227">
        <f t="shared" si="10"/>
        <v>4.2541688900880312E-4</v>
      </c>
      <c r="O170" s="213">
        <f t="shared" si="11"/>
        <v>9362.6008437359706</v>
      </c>
    </row>
    <row r="171" spans="1:15" ht="15.75" x14ac:dyDescent="0.2">
      <c r="A171" s="206" t="str">
        <f t="shared" si="8"/>
        <v/>
      </c>
      <c r="B171" s="88" t="str">
        <f>IF($F171="","",'הזנה לתנאי סף'!C171)</f>
        <v/>
      </c>
      <c r="C171" s="88" t="str">
        <f>IF($F171="","",'הזנה לתנאי סף'!D171)</f>
        <v/>
      </c>
      <c r="D171" s="88" t="str">
        <f>IF($F171="","",'הזנה לתנאי סף'!E171)</f>
        <v/>
      </c>
      <c r="E171" s="88" t="str">
        <f>IF($F171="","",'הזנה לתנאי סף'!F171)</f>
        <v/>
      </c>
      <c r="F171" s="88" t="str">
        <f>IF(OR('הזנה לתנאי סף'!G171="",'הזנה לתנאי סף'!BL171&lt;&gt;1,'הזנה לתנאי סף'!Q171&lt;&gt;1,'הזנה לתנאי סף'!N171&lt;&gt;1),"",'הזנה לתנאי סף'!G171)</f>
        <v/>
      </c>
      <c r="G171" s="88" t="str">
        <f>IF($F171="","",'הזנה לתנאי סף'!H171)</f>
        <v/>
      </c>
      <c r="H171" s="88" t="str">
        <f>IF($F171="","",'הזנה לתנאי סף'!I171)</f>
        <v/>
      </c>
      <c r="I171" s="88" t="str">
        <f>IF($F171="","",IF(AND('הזנה לתנאי סף'!N171=0,J171&gt;0),$Q$2,'הזנה לתנאי סף'!N171))</f>
        <v/>
      </c>
      <c r="J171" s="213" t="str">
        <f>IF($F171="","",INDEX('גיליון עזר לתחום תמיכה ג'!$H$31:$H$330,MATCH(E171,'גיליון עזר לתחום תמיכה ג'!$C$31:$C$330,0)))</f>
        <v/>
      </c>
      <c r="K171" s="213" t="str">
        <f>IF(OR(F171="",J171=""),"",IF(AND(J171&gt;0,I171=1),J171*'פרמטרים לקריטריונים'!$C$64,$Q$2))</f>
        <v/>
      </c>
      <c r="L171" s="227" t="str">
        <f>IF(OR(F171="",J171=""),"",IF(J171&gt;0,'תחום תמיכה ב'!AC171/SUMIFS('תחום תמיכה ב'!$AC$31:$AC$500,'תחום תמיכה ב'!$E$31:$E$500,E171,'תחום תמיכה ב'!$S$31:$S$500,"=1"),0))</f>
        <v/>
      </c>
      <c r="M171" s="213" t="str">
        <f t="shared" si="9"/>
        <v/>
      </c>
      <c r="N171" s="227" t="str">
        <f t="shared" si="10"/>
        <v/>
      </c>
      <c r="O171" s="213" t="str">
        <f t="shared" si="11"/>
        <v/>
      </c>
    </row>
    <row r="172" spans="1:15" ht="15.75" x14ac:dyDescent="0.2">
      <c r="A172" s="206" t="str">
        <f t="shared" si="8"/>
        <v/>
      </c>
      <c r="B172" s="88" t="str">
        <f>IF($F172="","",'הזנה לתנאי סף'!C172)</f>
        <v/>
      </c>
      <c r="C172" s="88" t="str">
        <f>IF($F172="","",'הזנה לתנאי סף'!D172)</f>
        <v/>
      </c>
      <c r="D172" s="88" t="str">
        <f>IF($F172="","",'הזנה לתנאי סף'!E172)</f>
        <v/>
      </c>
      <c r="E172" s="88" t="str">
        <f>IF($F172="","",'הזנה לתנאי סף'!F172)</f>
        <v/>
      </c>
      <c r="F172" s="88" t="str">
        <f>IF(OR('הזנה לתנאי סף'!G172="",'הזנה לתנאי סף'!BL172&lt;&gt;1,'הזנה לתנאי סף'!Q172&lt;&gt;1,'הזנה לתנאי סף'!N172&lt;&gt;1),"",'הזנה לתנאי סף'!G172)</f>
        <v/>
      </c>
      <c r="G172" s="88" t="str">
        <f>IF($F172="","",'הזנה לתנאי סף'!H172)</f>
        <v/>
      </c>
      <c r="H172" s="88" t="str">
        <f>IF($F172="","",'הזנה לתנאי סף'!I172)</f>
        <v/>
      </c>
      <c r="I172" s="88" t="str">
        <f>IF($F172="","",IF(AND('הזנה לתנאי סף'!N172=0,J172&gt;0),$Q$2,'הזנה לתנאי סף'!N172))</f>
        <v/>
      </c>
      <c r="J172" s="213" t="str">
        <f>IF($F172="","",INDEX('גיליון עזר לתחום תמיכה ג'!$H$31:$H$330,MATCH(E172,'גיליון עזר לתחום תמיכה ג'!$C$31:$C$330,0)))</f>
        <v/>
      </c>
      <c r="K172" s="213" t="str">
        <f>IF(OR(F172="",J172=""),"",IF(AND(J172&gt;0,I172=1),J172*'פרמטרים לקריטריונים'!$C$64,$Q$2))</f>
        <v/>
      </c>
      <c r="L172" s="227" t="str">
        <f>IF(OR(F172="",J172=""),"",IF(J172&gt;0,'תחום תמיכה ב'!AC172/SUMIFS('תחום תמיכה ב'!$AC$31:$AC$500,'תחום תמיכה ב'!$E$31:$E$500,E172,'תחום תמיכה ב'!$S$31:$S$500,"=1"),0))</f>
        <v/>
      </c>
      <c r="M172" s="213" t="str">
        <f t="shared" si="9"/>
        <v/>
      </c>
      <c r="N172" s="227" t="str">
        <f t="shared" si="10"/>
        <v/>
      </c>
      <c r="O172" s="213" t="str">
        <f t="shared" si="11"/>
        <v/>
      </c>
    </row>
    <row r="173" spans="1:15" ht="15.75" x14ac:dyDescent="0.2">
      <c r="A173" s="206">
        <f t="shared" si="8"/>
        <v>143</v>
      </c>
      <c r="B173" s="88">
        <f>IF($F173="","",'הזנה לתנאי סף'!C173)</f>
        <v>1001350042</v>
      </c>
      <c r="C173" s="88">
        <f>IF($F173="","",'הזנה לתנאי סף'!D173)</f>
        <v>1001271349</v>
      </c>
      <c r="D173" s="88">
        <f>IF($F173="","",'הזנה לתנאי סף'!E173)</f>
        <v>41553249</v>
      </c>
      <c r="E173" s="88">
        <f>IF($F173="","",'הזנה לתנאי סף'!F173)</f>
        <v>20000201</v>
      </c>
      <c r="F173" s="88" t="str">
        <f>IF(OR('הזנה לתנאי סף'!G173="",'הזנה לתנאי סף'!BL173&lt;&gt;1,'הזנה לתנאי סף'!Q173&lt;&gt;1,'הזנה לתנאי סף'!N173&lt;&gt;1),"",'הזנה לתנאי סף'!G173)</f>
        <v>תל אביב -יפו</v>
      </c>
      <c r="G173" s="88" t="str">
        <f>IF($F173="","",'הזנה לתנאי סף'!H173)</f>
        <v>גליא</v>
      </c>
      <c r="H173" s="88" t="str">
        <f>IF($F173="","",'הזנה לתנאי סף'!I173)</f>
        <v>מוסיקה-גופים כליים</v>
      </c>
      <c r="I173" s="88">
        <f>IF($F173="","",IF(AND('הזנה לתנאי סף'!N173=0,J173&gt;0),$Q$2,'הזנה לתנאי סף'!N173))</f>
        <v>1</v>
      </c>
      <c r="J173" s="213">
        <f>IF($F173="","",INDEX('גיליון עזר לתחום תמיכה ג'!$H$31:$H$330,MATCH(E173,'גיליון עזר לתחום תמיכה ג'!$C$31:$C$330,0)))</f>
        <v>15995126</v>
      </c>
      <c r="K173" s="213">
        <f>IF(OR(F173="",J173=""),"",IF(AND(J173&gt;0,I173=1),J173*'פרמטרים לקריטריונים'!$C$64,$Q$2))</f>
        <v>15995126</v>
      </c>
      <c r="L173" s="227">
        <f>IF(OR(F173="",J173=""),"",IF(J173&gt;0,'תחום תמיכה ב'!AC173/SUMIFS('תחום תמיכה ב'!$AC$31:$AC$500,'תחום תמיכה ב'!$E$31:$E$500,E173,'תחום תמיכה ב'!$S$31:$S$500,"=1"),0))</f>
        <v>3.4005883536856593E-3</v>
      </c>
      <c r="M173" s="213">
        <f t="shared" si="9"/>
        <v>54392.839191334686</v>
      </c>
      <c r="N173" s="227">
        <f t="shared" si="10"/>
        <v>2.4714962027474695E-3</v>
      </c>
      <c r="O173" s="213">
        <f t="shared" si="11"/>
        <v>54392.839191334686</v>
      </c>
    </row>
    <row r="174" spans="1:15" ht="15.75" x14ac:dyDescent="0.2">
      <c r="A174" s="206">
        <f t="shared" si="8"/>
        <v>144</v>
      </c>
      <c r="B174" s="88">
        <f>IF($F174="","",'הזנה לתנאי סף'!C174)</f>
        <v>1001348949</v>
      </c>
      <c r="C174" s="88">
        <f>IF($F174="","",'הזנה לתנאי סף'!D174)</f>
        <v>1001290266</v>
      </c>
      <c r="D174" s="88">
        <f>IF($F174="","",'הזנה לתנאי סף'!E174)</f>
        <v>40997665</v>
      </c>
      <c r="E174" s="88">
        <f>IF($F174="","",'הזנה לתנאי סף'!F174)</f>
        <v>20000201</v>
      </c>
      <c r="F174" s="88" t="str">
        <f>IF(OR('הזנה לתנאי סף'!G174="",'הזנה לתנאי סף'!BL174&lt;&gt;1,'הזנה לתנאי סף'!Q174&lt;&gt;1,'הזנה לתנאי סף'!N174&lt;&gt;1),"",'הזנה לתנאי סף'!G174)</f>
        <v>תל אביב -יפו</v>
      </c>
      <c r="G174" s="88" t="str">
        <f>IF($F174="","",'הזנה לתנאי סף'!H174)</f>
        <v>אלמינא - בית ליוצרים</v>
      </c>
      <c r="H174" s="88" t="str">
        <f>IF($F174="","",'הזנה לתנאי סף'!I174)</f>
        <v>תרבות ערבית</v>
      </c>
      <c r="I174" s="88">
        <f>IF($F174="","",IF(AND('הזנה לתנאי סף'!N174=0,J174&gt;0),$Q$2,'הזנה לתנאי סף'!N174))</f>
        <v>1</v>
      </c>
      <c r="J174" s="213">
        <f>IF($F174="","",INDEX('גיליון עזר לתחום תמיכה ג'!$H$31:$H$330,MATCH(E174,'גיליון עזר לתחום תמיכה ג'!$C$31:$C$330,0)))</f>
        <v>15995126</v>
      </c>
      <c r="K174" s="213">
        <f>IF(OR(F174="",J174=""),"",IF(AND(J174&gt;0,I174=1),J174*'פרמטרים לקריטריונים'!$C$64,$Q$2))</f>
        <v>15995126</v>
      </c>
      <c r="L174" s="227">
        <f>IF(OR(F174="",J174=""),"",IF(J174&gt;0,'תחום תמיכה ב'!AC174/SUMIFS('תחום תמיכה ב'!$AC$31:$AC$500,'תחום תמיכה ב'!$E$31:$E$500,E174,'תחום תמיכה ב'!$S$31:$S$500,"=1"),0))</f>
        <v>2.2593789416875173E-3</v>
      </c>
      <c r="M174" s="213">
        <f t="shared" si="9"/>
        <v>36139.050854038491</v>
      </c>
      <c r="N174" s="227">
        <f t="shared" si="10"/>
        <v>1.6420824557891985E-3</v>
      </c>
      <c r="O174" s="213">
        <f t="shared" si="11"/>
        <v>36139.050854038491</v>
      </c>
    </row>
    <row r="175" spans="1:15" ht="15.75" x14ac:dyDescent="0.2">
      <c r="A175" s="206">
        <f t="shared" si="8"/>
        <v>145</v>
      </c>
      <c r="B175" s="88">
        <f>IF($F175="","",'הזנה לתנאי סף'!C175)</f>
        <v>1001350055</v>
      </c>
      <c r="C175" s="88">
        <f>IF($F175="","",'הזנה לתנאי סף'!D175)</f>
        <v>1001271380</v>
      </c>
      <c r="D175" s="88">
        <f>IF($F175="","",'הזנה לתנאי סף'!E175)</f>
        <v>41555435</v>
      </c>
      <c r="E175" s="88">
        <f>IF($F175="","",'הזנה לתנאי סף'!F175)</f>
        <v>20000159</v>
      </c>
      <c r="F175" s="88" t="str">
        <f>IF(OR('הזנה לתנאי סף'!G175="",'הזנה לתנאי סף'!BL175&lt;&gt;1,'הזנה לתנאי סף'!Q175&lt;&gt;1,'הזנה לתנאי סף'!N175&lt;&gt;1),"",'הזנה לתנאי סף'!G175)</f>
        <v>ירושלים</v>
      </c>
      <c r="G175" s="88" t="str">
        <f>IF($F175="","",'הזנה לתנאי סף'!H175)</f>
        <v>מוזיאון יהדות איטליה</v>
      </c>
      <c r="H175" s="88" t="str">
        <f>IF($F175="","",'הזנה לתנאי סף'!I175)</f>
        <v>מוזיאונים</v>
      </c>
      <c r="I175" s="88">
        <f>IF($F175="","",IF(AND('הזנה לתנאי סף'!N175=0,J175&gt;0),$Q$2,'הזנה לתנאי סף'!N175))</f>
        <v>1</v>
      </c>
      <c r="J175" s="213">
        <f>IF($F175="","",INDEX('גיליון עזר לתחום תמיכה ג'!$H$31:$H$330,MATCH(E175,'גיליון עזר לתחום תמיכה ג'!$C$31:$C$330,0)))</f>
        <v>3990706</v>
      </c>
      <c r="K175" s="213">
        <f>IF(OR(F175="",J175=""),"",IF(AND(J175&gt;0,I175=1),J175*'פרמטרים לקריטריונים'!$C$64,$Q$2))</f>
        <v>3990706</v>
      </c>
      <c r="L175" s="227">
        <f>IF(OR(F175="",J175=""),"",IF(J175&gt;0,'תחום תמיכה ב'!AC175/SUMIFS('תחום תמיכה ב'!$AC$31:$AC$500,'תחום תמיכה ב'!$E$31:$E$500,E175,'תחום תמיכה ב'!$S$31:$S$500,"=1"),0))</f>
        <v>8.2142093928481454E-4</v>
      </c>
      <c r="M175" s="213">
        <f t="shared" si="9"/>
        <v>3278.0494709295449</v>
      </c>
      <c r="N175" s="227">
        <f t="shared" si="10"/>
        <v>1.4894767289719637E-4</v>
      </c>
      <c r="O175" s="213">
        <f t="shared" si="11"/>
        <v>3278.0494709295449</v>
      </c>
    </row>
    <row r="176" spans="1:15" ht="15.75" x14ac:dyDescent="0.2">
      <c r="A176" s="206" t="str">
        <f t="shared" si="8"/>
        <v/>
      </c>
      <c r="B176" s="88" t="str">
        <f>IF($F176="","",'הזנה לתנאי סף'!C176)</f>
        <v/>
      </c>
      <c r="C176" s="88" t="str">
        <f>IF($F176="","",'הזנה לתנאי סף'!D176)</f>
        <v/>
      </c>
      <c r="D176" s="88" t="str">
        <f>IF($F176="","",'הזנה לתנאי סף'!E176)</f>
        <v/>
      </c>
      <c r="E176" s="88" t="str">
        <f>IF($F176="","",'הזנה לתנאי סף'!F176)</f>
        <v/>
      </c>
      <c r="F176" s="88" t="str">
        <f>IF(OR('הזנה לתנאי סף'!G176="",'הזנה לתנאי סף'!BL176&lt;&gt;1,'הזנה לתנאי סף'!Q176&lt;&gt;1,'הזנה לתנאי סף'!N176&lt;&gt;1),"",'הזנה לתנאי סף'!G176)</f>
        <v/>
      </c>
      <c r="G176" s="88" t="str">
        <f>IF($F176="","",'הזנה לתנאי סף'!H176)</f>
        <v/>
      </c>
      <c r="H176" s="88" t="str">
        <f>IF($F176="","",'הזנה לתנאי סף'!I176)</f>
        <v/>
      </c>
      <c r="I176" s="88" t="str">
        <f>IF($F176="","",IF(AND('הזנה לתנאי סף'!N176=0,J176&gt;0),$Q$2,'הזנה לתנאי סף'!N176))</f>
        <v/>
      </c>
      <c r="J176" s="213" t="str">
        <f>IF($F176="","",INDEX('גיליון עזר לתחום תמיכה ג'!$H$31:$H$330,MATCH(E176,'גיליון עזר לתחום תמיכה ג'!$C$31:$C$330,0)))</f>
        <v/>
      </c>
      <c r="K176" s="213" t="str">
        <f>IF(OR(F176="",J176=""),"",IF(AND(J176&gt;0,I176=1),J176*'פרמטרים לקריטריונים'!$C$64,$Q$2))</f>
        <v/>
      </c>
      <c r="L176" s="227" t="str">
        <f>IF(OR(F176="",J176=""),"",IF(J176&gt;0,'תחום תמיכה ב'!AC176/SUMIFS('תחום תמיכה ב'!$AC$31:$AC$500,'תחום תמיכה ב'!$E$31:$E$500,E176,'תחום תמיכה ב'!$S$31:$S$500,"=1"),0))</f>
        <v/>
      </c>
      <c r="M176" s="213" t="str">
        <f t="shared" si="9"/>
        <v/>
      </c>
      <c r="N176" s="227" t="str">
        <f t="shared" si="10"/>
        <v/>
      </c>
      <c r="O176" s="213" t="str">
        <f t="shared" si="11"/>
        <v/>
      </c>
    </row>
    <row r="177" spans="1:15" ht="15.75" x14ac:dyDescent="0.2">
      <c r="A177" s="206">
        <f t="shared" si="8"/>
        <v>147</v>
      </c>
      <c r="B177" s="88">
        <f>IF($F177="","",'הזנה לתנאי סף'!C177)</f>
        <v>1001348615</v>
      </c>
      <c r="C177" s="88">
        <f>IF($F177="","",'הזנה לתנאי סף'!D177)</f>
        <v>1001267389</v>
      </c>
      <c r="D177" s="88">
        <f>IF($F177="","",'הזנה לתנאי סף'!E177)</f>
        <v>41556008</v>
      </c>
      <c r="E177" s="88">
        <f>IF($F177="","",'הזנה לתנאי סף'!F177)</f>
        <v>20000159</v>
      </c>
      <c r="F177" s="88" t="str">
        <f>IF(OR('הזנה לתנאי סף'!G177="",'הזנה לתנאי סף'!BL177&lt;&gt;1,'הזנה לתנאי סף'!Q177&lt;&gt;1,'הזנה לתנאי סף'!N177&lt;&gt;1),"",'הזנה לתנאי סף'!G177)</f>
        <v>ירושלים</v>
      </c>
      <c r="G177" s="88" t="str">
        <f>IF($F177="","",'הזנה לתנאי סף'!H177)</f>
        <v>פלמנרו נטורל</v>
      </c>
      <c r="H177" s="88" t="str">
        <f>IF($F177="","",'הזנה לתנאי סף'!I177)</f>
        <v>מחול</v>
      </c>
      <c r="I177" s="88">
        <f>IF($F177="","",IF(AND('הזנה לתנאי סף'!N177=0,J177&gt;0),$Q$2,'הזנה לתנאי סף'!N177))</f>
        <v>1</v>
      </c>
      <c r="J177" s="213">
        <f>IF($F177="","",INDEX('גיליון עזר לתחום תמיכה ג'!$H$31:$H$330,MATCH(E177,'גיליון עזר לתחום תמיכה ג'!$C$31:$C$330,0)))</f>
        <v>3990706</v>
      </c>
      <c r="K177" s="213">
        <f>IF(OR(F177="",J177=""),"",IF(AND(J177&gt;0,I177=1),J177*'פרמטרים לקריטריונים'!$C$64,$Q$2))</f>
        <v>3990706</v>
      </c>
      <c r="L177" s="227">
        <f>IF(OR(F177="",J177=""),"",IF(J177&gt;0,'תחום תמיכה ב'!AC177/SUMIFS('תחום תמיכה ב'!$AC$31:$AC$500,'תחום תמיכה ב'!$E$31:$E$500,E177,'תחום תמיכה ב'!$S$31:$S$500,"=1"),0))</f>
        <v>6.3803865884667368E-4</v>
      </c>
      <c r="M177" s="213">
        <f t="shared" si="9"/>
        <v>2546.2247040913735</v>
      </c>
      <c r="N177" s="227">
        <f t="shared" si="10"/>
        <v>1.1569509481509403E-4</v>
      </c>
      <c r="O177" s="213">
        <f t="shared" si="11"/>
        <v>2546.2247040913735</v>
      </c>
    </row>
    <row r="178" spans="1:15" ht="16.5" customHeight="1" x14ac:dyDescent="0.2">
      <c r="A178" s="206" t="str">
        <f t="shared" si="8"/>
        <v/>
      </c>
      <c r="B178" s="88" t="str">
        <f>IF($F178="","",'הזנה לתנאי סף'!C178)</f>
        <v/>
      </c>
      <c r="C178" s="88" t="str">
        <f>IF($F178="","",'הזנה לתנאי סף'!D178)</f>
        <v/>
      </c>
      <c r="D178" s="88" t="str">
        <f>IF($F178="","",'הזנה לתנאי סף'!E178)</f>
        <v/>
      </c>
      <c r="E178" s="88" t="str">
        <f>IF($F178="","",'הזנה לתנאי סף'!F178)</f>
        <v/>
      </c>
      <c r="F178" s="88" t="str">
        <f>IF(OR('הזנה לתנאי סף'!G178="",'הזנה לתנאי סף'!BL178&lt;&gt;1,'הזנה לתנאי סף'!Q178&lt;&gt;1,'הזנה לתנאי סף'!N178&lt;&gt;1),"",'הזנה לתנאי סף'!G178)</f>
        <v/>
      </c>
      <c r="G178" s="88" t="str">
        <f>IF($F178="","",'הזנה לתנאי סף'!H178)</f>
        <v/>
      </c>
      <c r="H178" s="88" t="str">
        <f>IF($F178="","",'הזנה לתנאי סף'!I178)</f>
        <v/>
      </c>
      <c r="I178" s="88" t="str">
        <f>IF($F178="","",IF(AND('הזנה לתנאי סף'!N178=0,J178&gt;0),$Q$2,'הזנה לתנאי סף'!N178))</f>
        <v/>
      </c>
      <c r="J178" s="213" t="str">
        <f>IF($F178="","",INDEX('גיליון עזר לתחום תמיכה ג'!$H$31:$H$330,MATCH(E178,'גיליון עזר לתחום תמיכה ג'!$C$31:$C$330,0)))</f>
        <v/>
      </c>
      <c r="K178" s="213" t="str">
        <f>IF(OR(F178="",J178=""),"",IF(AND(J178&gt;0,I178=1),J178*'פרמטרים לקריטריונים'!$C$64,$Q$2))</f>
        <v/>
      </c>
      <c r="L178" s="227" t="str">
        <f>IF(OR(F178="",J178=""),"",IF(J178&gt;0,'תחום תמיכה ב'!AC178/SUMIFS('תחום תמיכה ב'!$AC$31:$AC$500,'תחום תמיכה ב'!$E$31:$E$500,E178,'תחום תמיכה ב'!$S$31:$S$500,"=1"),0))</f>
        <v/>
      </c>
      <c r="M178" s="213" t="str">
        <f t="shared" si="9"/>
        <v/>
      </c>
      <c r="N178" s="227" t="str">
        <f t="shared" si="10"/>
        <v/>
      </c>
      <c r="O178" s="213" t="str">
        <f t="shared" si="11"/>
        <v/>
      </c>
    </row>
    <row r="179" spans="1:15" ht="15.75" x14ac:dyDescent="0.2">
      <c r="A179" s="206" t="str">
        <f t="shared" si="8"/>
        <v/>
      </c>
      <c r="B179" s="88" t="str">
        <f>IF($F179="","",'הזנה לתנאי סף'!C179)</f>
        <v/>
      </c>
      <c r="C179" s="88" t="str">
        <f>IF($F179="","",'הזנה לתנאי סף'!D179)</f>
        <v/>
      </c>
      <c r="D179" s="88" t="str">
        <f>IF($F179="","",'הזנה לתנאי סף'!E179)</f>
        <v/>
      </c>
      <c r="E179" s="88" t="str">
        <f>IF($F179="","",'הזנה לתנאי סף'!F179)</f>
        <v/>
      </c>
      <c r="F179" s="88" t="str">
        <f>IF(OR('הזנה לתנאי סף'!G179="",'הזנה לתנאי סף'!BL179&lt;&gt;1,'הזנה לתנאי סף'!Q179&lt;&gt;1,'הזנה לתנאי סף'!N179&lt;&gt;1),"",'הזנה לתנאי סף'!G179)</f>
        <v/>
      </c>
      <c r="G179" s="88" t="str">
        <f>IF($F179="","",'הזנה לתנאי סף'!H179)</f>
        <v/>
      </c>
      <c r="H179" s="88" t="str">
        <f>IF($F179="","",'הזנה לתנאי סף'!I179)</f>
        <v/>
      </c>
      <c r="I179" s="88" t="str">
        <f>IF($F179="","",IF(AND('הזנה לתנאי סף'!N179=0,J179&gt;0),$Q$2,'הזנה לתנאי סף'!N179))</f>
        <v/>
      </c>
      <c r="J179" s="213" t="str">
        <f>IF($F179="","",INDEX('גיליון עזר לתחום תמיכה ג'!$H$31:$H$330,MATCH(E179,'גיליון עזר לתחום תמיכה ג'!$C$31:$C$330,0)))</f>
        <v/>
      </c>
      <c r="K179" s="213" t="str">
        <f>IF(OR(F179="",J179=""),"",IF(AND(J179&gt;0,I179=1),J179*'פרמטרים לקריטריונים'!$C$64,$Q$2))</f>
        <v/>
      </c>
      <c r="L179" s="227" t="str">
        <f>IF(OR(F179="",J179=""),"",IF(J179&gt;0,'תחום תמיכה ב'!AC179/SUMIFS('תחום תמיכה ב'!$AC$31:$AC$500,'תחום תמיכה ב'!$E$31:$E$500,E179,'תחום תמיכה ב'!$S$31:$S$500,"=1"),0))</f>
        <v/>
      </c>
      <c r="M179" s="213" t="str">
        <f t="shared" si="9"/>
        <v/>
      </c>
      <c r="N179" s="227" t="str">
        <f t="shared" si="10"/>
        <v/>
      </c>
      <c r="O179" s="213" t="str">
        <f t="shared" si="11"/>
        <v/>
      </c>
    </row>
    <row r="180" spans="1:15" ht="15.75" x14ac:dyDescent="0.2">
      <c r="A180" s="206" t="str">
        <f t="shared" si="8"/>
        <v/>
      </c>
      <c r="B180" s="88" t="str">
        <f>IF($F180="","",'הזנה לתנאי סף'!C180)</f>
        <v/>
      </c>
      <c r="C180" s="88" t="str">
        <f>IF($F180="","",'הזנה לתנאי סף'!D180)</f>
        <v/>
      </c>
      <c r="D180" s="88" t="str">
        <f>IF($F180="","",'הזנה לתנאי סף'!E180)</f>
        <v/>
      </c>
      <c r="E180" s="88" t="str">
        <f>IF($F180="","",'הזנה לתנאי סף'!F180)</f>
        <v/>
      </c>
      <c r="F180" s="88" t="str">
        <f>IF(OR('הזנה לתנאי סף'!G180="",'הזנה לתנאי סף'!BL180&lt;&gt;1,'הזנה לתנאי סף'!Q180&lt;&gt;1,'הזנה לתנאי סף'!N180&lt;&gt;1),"",'הזנה לתנאי סף'!G180)</f>
        <v/>
      </c>
      <c r="G180" s="88" t="str">
        <f>IF($F180="","",'הזנה לתנאי סף'!H180)</f>
        <v/>
      </c>
      <c r="H180" s="88" t="str">
        <f>IF($F180="","",'הזנה לתנאי סף'!I180)</f>
        <v/>
      </c>
      <c r="I180" s="88" t="str">
        <f>IF($F180="","",IF(AND('הזנה לתנאי סף'!N180=0,J180&gt;0),$Q$2,'הזנה לתנאי סף'!N180))</f>
        <v/>
      </c>
      <c r="J180" s="213" t="str">
        <f>IF($F180="","",INDEX('גיליון עזר לתחום תמיכה ג'!$H$31:$H$330,MATCH(E180,'גיליון עזר לתחום תמיכה ג'!$C$31:$C$330,0)))</f>
        <v/>
      </c>
      <c r="K180" s="213" t="str">
        <f>IF(OR(F180="",J180=""),"",IF(AND(J180&gt;0,I180=1),J180*'פרמטרים לקריטריונים'!$C$64,$Q$2))</f>
        <v/>
      </c>
      <c r="L180" s="227" t="str">
        <f>IF(OR(F180="",J180=""),"",IF(J180&gt;0,'תחום תמיכה ב'!AC180/SUMIFS('תחום תמיכה ב'!$AC$31:$AC$500,'תחום תמיכה ב'!$E$31:$E$500,E180,'תחום תמיכה ב'!$S$31:$S$500,"=1"),0))</f>
        <v/>
      </c>
      <c r="M180" s="213" t="str">
        <f t="shared" si="9"/>
        <v/>
      </c>
      <c r="N180" s="227" t="str">
        <f t="shared" si="10"/>
        <v/>
      </c>
      <c r="O180" s="213" t="str">
        <f t="shared" si="11"/>
        <v/>
      </c>
    </row>
    <row r="181" spans="1:15" ht="15.75" x14ac:dyDescent="0.2">
      <c r="A181" s="206" t="str">
        <f t="shared" si="8"/>
        <v/>
      </c>
      <c r="B181" s="88" t="str">
        <f>IF($F181="","",'הזנה לתנאי סף'!C181)</f>
        <v/>
      </c>
      <c r="C181" s="88" t="str">
        <f>IF($F181="","",'הזנה לתנאי סף'!D181)</f>
        <v/>
      </c>
      <c r="D181" s="88" t="str">
        <f>IF($F181="","",'הזנה לתנאי סף'!E181)</f>
        <v/>
      </c>
      <c r="E181" s="88" t="str">
        <f>IF($F181="","",'הזנה לתנאי סף'!F181)</f>
        <v/>
      </c>
      <c r="F181" s="88" t="str">
        <f>IF(OR('הזנה לתנאי סף'!G181="",'הזנה לתנאי סף'!BL181&lt;&gt;1,'הזנה לתנאי סף'!Q181&lt;&gt;1,'הזנה לתנאי סף'!N181&lt;&gt;1),"",'הזנה לתנאי סף'!G181)</f>
        <v/>
      </c>
      <c r="G181" s="88" t="str">
        <f>IF($F181="","",'הזנה לתנאי סף'!H181)</f>
        <v/>
      </c>
      <c r="H181" s="88" t="str">
        <f>IF($F181="","",'הזנה לתנאי סף'!I181)</f>
        <v/>
      </c>
      <c r="I181" s="88" t="str">
        <f>IF($F181="","",IF(AND('הזנה לתנאי סף'!N181=0,J181&gt;0),$Q$2,'הזנה לתנאי סף'!N181))</f>
        <v/>
      </c>
      <c r="J181" s="213" t="str">
        <f>IF($F181="","",INDEX('גיליון עזר לתחום תמיכה ג'!$H$31:$H$330,MATCH(E181,'גיליון עזר לתחום תמיכה ג'!$C$31:$C$330,0)))</f>
        <v/>
      </c>
      <c r="K181" s="213" t="str">
        <f>IF(OR(F181="",J181=""),"",IF(AND(J181&gt;0,I181=1),J181*'פרמטרים לקריטריונים'!$C$64,$Q$2))</f>
        <v/>
      </c>
      <c r="L181" s="227" t="str">
        <f>IF(OR(F181="",J181=""),"",IF(J181&gt;0,'תחום תמיכה ב'!AC181/SUMIFS('תחום תמיכה ב'!$AC$31:$AC$500,'תחום תמיכה ב'!$E$31:$E$500,E181,'תחום תמיכה ב'!$S$31:$S$500,"=1"),0))</f>
        <v/>
      </c>
      <c r="M181" s="213" t="str">
        <f t="shared" si="9"/>
        <v/>
      </c>
      <c r="N181" s="227" t="str">
        <f t="shared" si="10"/>
        <v/>
      </c>
      <c r="O181" s="213" t="str">
        <f t="shared" si="11"/>
        <v/>
      </c>
    </row>
    <row r="182" spans="1:15" ht="15.75" x14ac:dyDescent="0.2">
      <c r="A182" s="206" t="str">
        <f t="shared" si="8"/>
        <v/>
      </c>
      <c r="B182" s="88" t="str">
        <f>IF($F182="","",'הזנה לתנאי סף'!C182)</f>
        <v/>
      </c>
      <c r="C182" s="88" t="str">
        <f>IF($F182="","",'הזנה לתנאי סף'!D182)</f>
        <v/>
      </c>
      <c r="D182" s="88" t="str">
        <f>IF($F182="","",'הזנה לתנאי סף'!E182)</f>
        <v/>
      </c>
      <c r="E182" s="88" t="str">
        <f>IF($F182="","",'הזנה לתנאי סף'!F182)</f>
        <v/>
      </c>
      <c r="F182" s="88" t="str">
        <f>IF(OR('הזנה לתנאי סף'!G182="",'הזנה לתנאי סף'!BL182&lt;&gt;1,'הזנה לתנאי סף'!Q182&lt;&gt;1,'הזנה לתנאי סף'!N182&lt;&gt;1),"",'הזנה לתנאי סף'!G182)</f>
        <v/>
      </c>
      <c r="G182" s="88" t="str">
        <f>IF($F182="","",'הזנה לתנאי סף'!H182)</f>
        <v/>
      </c>
      <c r="H182" s="88" t="str">
        <f>IF($F182="","",'הזנה לתנאי סף'!I182)</f>
        <v/>
      </c>
      <c r="I182" s="88" t="str">
        <f>IF($F182="","",IF(AND('הזנה לתנאי סף'!N182=0,J182&gt;0),$Q$2,'הזנה לתנאי סף'!N182))</f>
        <v/>
      </c>
      <c r="J182" s="213" t="str">
        <f>IF($F182="","",INDEX('גיליון עזר לתחום תמיכה ג'!$H$31:$H$330,MATCH(E182,'גיליון עזר לתחום תמיכה ג'!$C$31:$C$330,0)))</f>
        <v/>
      </c>
      <c r="K182" s="213" t="str">
        <f>IF(OR(F182="",J182=""),"",IF(AND(J182&gt;0,I182=1),J182*'פרמטרים לקריטריונים'!$C$64,$Q$2))</f>
        <v/>
      </c>
      <c r="L182" s="227" t="str">
        <f>IF(OR(F182="",J182=""),"",IF(J182&gt;0,'תחום תמיכה ב'!AC182/SUMIFS('תחום תמיכה ב'!$AC$31:$AC$500,'תחום תמיכה ב'!$E$31:$E$500,E182,'תחום תמיכה ב'!$S$31:$S$500,"=1"),0))</f>
        <v/>
      </c>
      <c r="M182" s="213" t="str">
        <f t="shared" si="9"/>
        <v/>
      </c>
      <c r="N182" s="227" t="str">
        <f t="shared" si="10"/>
        <v/>
      </c>
      <c r="O182" s="213" t="str">
        <f t="shared" si="11"/>
        <v/>
      </c>
    </row>
    <row r="183" spans="1:15" ht="15.75" x14ac:dyDescent="0.2">
      <c r="A183" s="206" t="str">
        <f t="shared" si="8"/>
        <v/>
      </c>
      <c r="B183" s="88" t="str">
        <f>IF($F183="","",'הזנה לתנאי סף'!C183)</f>
        <v/>
      </c>
      <c r="C183" s="88" t="str">
        <f>IF($F183="","",'הזנה לתנאי סף'!D183)</f>
        <v/>
      </c>
      <c r="D183" s="88" t="str">
        <f>IF($F183="","",'הזנה לתנאי סף'!E183)</f>
        <v/>
      </c>
      <c r="E183" s="88" t="str">
        <f>IF($F183="","",'הזנה לתנאי סף'!F183)</f>
        <v/>
      </c>
      <c r="F183" s="88" t="str">
        <f>IF(OR('הזנה לתנאי סף'!G183="",'הזנה לתנאי סף'!BL183&lt;&gt;1,'הזנה לתנאי סף'!Q183&lt;&gt;1,'הזנה לתנאי סף'!N183&lt;&gt;1),"",'הזנה לתנאי סף'!G183)</f>
        <v/>
      </c>
      <c r="G183" s="88" t="str">
        <f>IF($F183="","",'הזנה לתנאי סף'!H183)</f>
        <v/>
      </c>
      <c r="H183" s="88" t="str">
        <f>IF($F183="","",'הזנה לתנאי סף'!I183)</f>
        <v/>
      </c>
      <c r="I183" s="88" t="str">
        <f>IF($F183="","",IF(AND('הזנה לתנאי סף'!N183=0,J183&gt;0),$Q$2,'הזנה לתנאי סף'!N183))</f>
        <v/>
      </c>
      <c r="J183" s="213" t="str">
        <f>IF($F183="","",INDEX('גיליון עזר לתחום תמיכה ג'!$H$31:$H$330,MATCH(E183,'גיליון עזר לתחום תמיכה ג'!$C$31:$C$330,0)))</f>
        <v/>
      </c>
      <c r="K183" s="213" t="str">
        <f>IF(OR(F183="",J183=""),"",IF(AND(J183&gt;0,I183=1),J183*'פרמטרים לקריטריונים'!$C$64,$Q$2))</f>
        <v/>
      </c>
      <c r="L183" s="227" t="str">
        <f>IF(OR(F183="",J183=""),"",IF(J183&gt;0,'תחום תמיכה ב'!AC183/SUMIFS('תחום תמיכה ב'!$AC$31:$AC$500,'תחום תמיכה ב'!$E$31:$E$500,E183,'תחום תמיכה ב'!$S$31:$S$500,"=1"),0))</f>
        <v/>
      </c>
      <c r="M183" s="213" t="str">
        <f t="shared" si="9"/>
        <v/>
      </c>
      <c r="N183" s="227" t="str">
        <f t="shared" si="10"/>
        <v/>
      </c>
      <c r="O183" s="213" t="str">
        <f t="shared" si="11"/>
        <v/>
      </c>
    </row>
    <row r="184" spans="1:15" ht="15.75" x14ac:dyDescent="0.2">
      <c r="A184" s="206">
        <f t="shared" si="8"/>
        <v>154</v>
      </c>
      <c r="B184" s="88">
        <f>IF($F184="","",'הזנה לתנאי סף'!C184)</f>
        <v>1001347628</v>
      </c>
      <c r="C184" s="88">
        <f>IF($F184="","",'הזנה לתנאי סף'!D184)</f>
        <v>1001263875</v>
      </c>
      <c r="D184" s="88">
        <f>IF($F184="","",'הזנה לתנאי סף'!E184)</f>
        <v>40384415</v>
      </c>
      <c r="E184" s="88">
        <f>IF($F184="","",'הזנה לתנאי סף'!F184)</f>
        <v>20000095</v>
      </c>
      <c r="F184" s="88" t="str">
        <f>IF(OR('הזנה לתנאי סף'!G184="",'הזנה לתנאי סף'!BL184&lt;&gt;1,'הזנה לתנאי סף'!Q184&lt;&gt;1,'הזנה לתנאי סף'!N184&lt;&gt;1),"",'הזנה לתנאי סף'!G184)</f>
        <v>מטה יהודה</v>
      </c>
      <c r="G184" s="88" t="str">
        <f>IF($F184="","",'הזנה לתנאי סף'!H184)</f>
        <v>סינמטק ראש פינה (ע"ר)</v>
      </c>
      <c r="H184" s="88" t="str">
        <f>IF($F184="","",'הזנה לתנאי סף'!I184)</f>
        <v>סינמטקים ופסטיבלים</v>
      </c>
      <c r="I184" s="88">
        <f>IF($F184="","",IF(AND('הזנה לתנאי סף'!N184=0,J184&gt;0),$Q$2,'הזנה לתנאי סף'!N184))</f>
        <v>1</v>
      </c>
      <c r="J184" s="213" t="str">
        <f>IF($F184="","",INDEX('גיליון עזר לתחום תמיכה ג'!$H$31:$H$330,MATCH(E184,'גיליון עזר לתחום תמיכה ג'!$C$31:$C$330,0)))</f>
        <v/>
      </c>
      <c r="K184" s="213" t="str">
        <f>IF(OR(F184="",J184=""),"",IF(AND(J184&gt;0,I184=1),J184*'פרמטרים לקריטריונים'!$C$64,$Q$2))</f>
        <v/>
      </c>
      <c r="L184" s="227" t="str">
        <f>IF(OR(F184="",J184=""),"",IF(J184&gt;0,'תחום תמיכה ב'!AC184/SUMIFS('תחום תמיכה ב'!$AC$31:$AC$500,'תחום תמיכה ב'!$E$31:$E$500,E184,'תחום תמיכה ב'!$S$31:$S$500,"=1"),0))</f>
        <v/>
      </c>
      <c r="M184" s="213" t="str">
        <f t="shared" si="9"/>
        <v/>
      </c>
      <c r="N184" s="227" t="str">
        <f t="shared" si="10"/>
        <v/>
      </c>
      <c r="O184" s="213" t="str">
        <f t="shared" si="11"/>
        <v/>
      </c>
    </row>
    <row r="185" spans="1:15" ht="15.75" x14ac:dyDescent="0.2">
      <c r="A185" s="206" t="str">
        <f t="shared" si="8"/>
        <v/>
      </c>
      <c r="B185" s="88" t="str">
        <f>IF($F185="","",'הזנה לתנאי סף'!C185)</f>
        <v/>
      </c>
      <c r="C185" s="88" t="str">
        <f>IF($F185="","",'הזנה לתנאי סף'!D185)</f>
        <v/>
      </c>
      <c r="D185" s="88" t="str">
        <f>IF($F185="","",'הזנה לתנאי סף'!E185)</f>
        <v/>
      </c>
      <c r="E185" s="88" t="str">
        <f>IF($F185="","",'הזנה לתנאי סף'!F185)</f>
        <v/>
      </c>
      <c r="F185" s="88" t="str">
        <f>IF(OR('הזנה לתנאי סף'!G185="",'הזנה לתנאי סף'!BL185&lt;&gt;1,'הזנה לתנאי סף'!Q185&lt;&gt;1,'הזנה לתנאי סף'!N185&lt;&gt;1),"",'הזנה לתנאי סף'!G185)</f>
        <v/>
      </c>
      <c r="G185" s="88" t="str">
        <f>IF($F185="","",'הזנה לתנאי סף'!H185)</f>
        <v/>
      </c>
      <c r="H185" s="88" t="str">
        <f>IF($F185="","",'הזנה לתנאי סף'!I185)</f>
        <v/>
      </c>
      <c r="I185" s="88" t="str">
        <f>IF($F185="","",IF(AND('הזנה לתנאי סף'!N185=0,J185&gt;0),$Q$2,'הזנה לתנאי סף'!N185))</f>
        <v/>
      </c>
      <c r="J185" s="213" t="str">
        <f>IF($F185="","",INDEX('גיליון עזר לתחום תמיכה ג'!$H$31:$H$330,MATCH(E185,'גיליון עזר לתחום תמיכה ג'!$C$31:$C$330,0)))</f>
        <v/>
      </c>
      <c r="K185" s="213" t="str">
        <f>IF(OR(F185="",J185=""),"",IF(AND(J185&gt;0,I185=1),J185*'פרמטרים לקריטריונים'!$C$64,$Q$2))</f>
        <v/>
      </c>
      <c r="L185" s="227" t="str">
        <f>IF(OR(F185="",J185=""),"",IF(J185&gt;0,'תחום תמיכה ב'!AC185/SUMIFS('תחום תמיכה ב'!$AC$31:$AC$500,'תחום תמיכה ב'!$E$31:$E$500,E185,'תחום תמיכה ב'!$S$31:$S$500,"=1"),0))</f>
        <v/>
      </c>
      <c r="M185" s="213" t="str">
        <f t="shared" si="9"/>
        <v/>
      </c>
      <c r="N185" s="227" t="str">
        <f t="shared" si="10"/>
        <v/>
      </c>
      <c r="O185" s="213" t="str">
        <f t="shared" si="11"/>
        <v/>
      </c>
    </row>
    <row r="186" spans="1:15" ht="15.75" x14ac:dyDescent="0.2">
      <c r="A186" s="206">
        <f t="shared" si="8"/>
        <v>156</v>
      </c>
      <c r="B186" s="88">
        <f>IF($F186="","",'הזנה לתנאי סף'!C186)</f>
        <v>1001350960</v>
      </c>
      <c r="C186" s="88">
        <f>IF($F186="","",'הזנה לתנאי סף'!D186)</f>
        <v>1001273357</v>
      </c>
      <c r="D186" s="88">
        <f>IF($F186="","",'הזנה לתנאי סף'!E186)</f>
        <v>40404400</v>
      </c>
      <c r="E186" s="88">
        <f>IF($F186="","",'הזנה לתנאי סף'!F186)</f>
        <v>20000159</v>
      </c>
      <c r="F186" s="88" t="str">
        <f>IF(OR('הזנה לתנאי סף'!G186="",'הזנה לתנאי סף'!BL186&lt;&gt;1,'הזנה לתנאי סף'!Q186&lt;&gt;1,'הזנה לתנאי סף'!N186&lt;&gt;1),"",'הזנה לתנאי סף'!G186)</f>
        <v>ירושלים</v>
      </c>
      <c r="G186" s="88" t="str">
        <f>IF($F186="","",'הזנה לתנאי סף'!H186)</f>
        <v>סדנאות האמנים</v>
      </c>
      <c r="H186" s="88" t="str">
        <f>IF($F186="","",'הזנה לתנאי סף'!I186)</f>
        <v>אחר</v>
      </c>
      <c r="I186" s="88">
        <f>IF($F186="","",IF(AND('הזנה לתנאי סף'!N186=0,J186&gt;0),$Q$2,'הזנה לתנאי סף'!N186))</f>
        <v>1</v>
      </c>
      <c r="J186" s="213">
        <f>IF($F186="","",INDEX('גיליון עזר לתחום תמיכה ג'!$H$31:$H$330,MATCH(E186,'גיליון עזר לתחום תמיכה ג'!$C$31:$C$330,0)))</f>
        <v>3990706</v>
      </c>
      <c r="K186" s="213">
        <f>IF(OR(F186="",J186=""),"",IF(AND(J186&gt;0,I186=1),J186*'פרמטרים לקריטריונים'!$C$64,$Q$2))</f>
        <v>3990706</v>
      </c>
      <c r="L186" s="227">
        <f>IF(OR(F186="",J186=""),"",IF(J186&gt;0,'תחום תמיכה ב'!AC186/SUMIFS('תחום תמיכה ב'!$AC$31:$AC$500,'תחום תמיכה ב'!$E$31:$E$500,E186,'תחום תמיכה ב'!$S$31:$S$500,"=1"),0))</f>
        <v>1.8497926130746172E-3</v>
      </c>
      <c r="M186" s="213">
        <f t="shared" si="9"/>
        <v>7381.9784797525535</v>
      </c>
      <c r="N186" s="227">
        <f t="shared" si="10"/>
        <v>3.3542157483808102E-4</v>
      </c>
      <c r="O186" s="213">
        <f t="shared" si="11"/>
        <v>7381.9784797525535</v>
      </c>
    </row>
    <row r="187" spans="1:15" ht="15.75" x14ac:dyDescent="0.2">
      <c r="A187" s="206" t="str">
        <f t="shared" si="8"/>
        <v/>
      </c>
      <c r="B187" s="88" t="str">
        <f>IF($F187="","",'הזנה לתנאי סף'!C187)</f>
        <v/>
      </c>
      <c r="C187" s="88" t="str">
        <f>IF($F187="","",'הזנה לתנאי סף'!D187)</f>
        <v/>
      </c>
      <c r="D187" s="88" t="str">
        <f>IF($F187="","",'הזנה לתנאי סף'!E187)</f>
        <v/>
      </c>
      <c r="E187" s="88" t="str">
        <f>IF($F187="","",'הזנה לתנאי סף'!F187)</f>
        <v/>
      </c>
      <c r="F187" s="88" t="str">
        <f>IF(OR('הזנה לתנאי סף'!G187="",'הזנה לתנאי סף'!BL187&lt;&gt;1,'הזנה לתנאי סף'!Q187&lt;&gt;1,'הזנה לתנאי סף'!N187&lt;&gt;1),"",'הזנה לתנאי סף'!G187)</f>
        <v/>
      </c>
      <c r="G187" s="88" t="str">
        <f>IF($F187="","",'הזנה לתנאי סף'!H187)</f>
        <v/>
      </c>
      <c r="H187" s="88" t="str">
        <f>IF($F187="","",'הזנה לתנאי סף'!I187)</f>
        <v/>
      </c>
      <c r="I187" s="88" t="str">
        <f>IF($F187="","",IF(AND('הזנה לתנאי סף'!N187=0,J187&gt;0),$Q$2,'הזנה לתנאי סף'!N187))</f>
        <v/>
      </c>
      <c r="J187" s="213" t="str">
        <f>IF($F187="","",INDEX('גיליון עזר לתחום תמיכה ג'!$H$31:$H$330,MATCH(E187,'גיליון עזר לתחום תמיכה ג'!$C$31:$C$330,0)))</f>
        <v/>
      </c>
      <c r="K187" s="213" t="str">
        <f>IF(OR(F187="",J187=""),"",IF(AND(J187&gt;0,I187=1),J187*'פרמטרים לקריטריונים'!$C$64,$Q$2))</f>
        <v/>
      </c>
      <c r="L187" s="227" t="str">
        <f>IF(OR(F187="",J187=""),"",IF(J187&gt;0,'תחום תמיכה ב'!AC187/SUMIFS('תחום תמיכה ב'!$AC$31:$AC$500,'תחום תמיכה ב'!$E$31:$E$500,E187,'תחום תמיכה ב'!$S$31:$S$500,"=1"),0))</f>
        <v/>
      </c>
      <c r="M187" s="213" t="str">
        <f t="shared" si="9"/>
        <v/>
      </c>
      <c r="N187" s="227" t="str">
        <f t="shared" si="10"/>
        <v/>
      </c>
      <c r="O187" s="213" t="str">
        <f t="shared" si="11"/>
        <v/>
      </c>
    </row>
    <row r="188" spans="1:15" ht="15.75" x14ac:dyDescent="0.2">
      <c r="A188" s="206">
        <f t="shared" si="8"/>
        <v>158</v>
      </c>
      <c r="B188" s="88">
        <f>IF($F188="","",'הזנה לתנאי סף'!C188)</f>
        <v>1001347746</v>
      </c>
      <c r="C188" s="88">
        <f>IF($F188="","",'הזנה לתנאי סף'!D188)</f>
        <v>1001278693</v>
      </c>
      <c r="D188" s="88">
        <f>IF($F188="","",'הזנה לתנאי סף'!E188)</f>
        <v>40521896</v>
      </c>
      <c r="E188" s="88">
        <f>IF($F188="","",'הזנה לתנאי סף'!F188)</f>
        <v>20000254</v>
      </c>
      <c r="F188" s="88" t="str">
        <f>IF(OR('הזנה לתנאי סף'!G188="",'הזנה לתנאי סף'!BL188&lt;&gt;1,'הזנה לתנאי סף'!Q188&lt;&gt;1,'הזנה לתנאי סף'!N188&lt;&gt;1),"",'הזנה לתנאי סף'!G188)</f>
        <v>באר שבע</v>
      </c>
      <c r="G188" s="88" t="str">
        <f>IF($F188="","",'הזנה לתנאי סף'!H188)</f>
        <v>תיאטרון הפרינג' באר שבע (ע"ר)</v>
      </c>
      <c r="H188" s="88" t="str">
        <f>IF($F188="","",'הזנה לתנאי סף'!I188)</f>
        <v>אחר</v>
      </c>
      <c r="I188" s="88">
        <f>IF($F188="","",IF(AND('הזנה לתנאי סף'!N188=0,J188&gt;0),$Q$2,'הזנה לתנאי סף'!N188))</f>
        <v>1</v>
      </c>
      <c r="J188" s="213">
        <f>IF($F188="","",INDEX('גיליון עזר לתחום תמיכה ג'!$H$31:$H$330,MATCH(E188,'גיליון עזר לתחום תמיכה ג'!$C$31:$C$330,0)))</f>
        <v>43906</v>
      </c>
      <c r="K188" s="213">
        <f>IF(OR(F188="",J188=""),"",IF(AND(J188&gt;0,I188=1),J188*'פרמטרים לקריטריונים'!$C$64,$Q$2))</f>
        <v>43906</v>
      </c>
      <c r="L188" s="227">
        <f>IF(OR(F188="",J188=""),"",IF(J188&gt;0,'תחום תמיכה ב'!AC188/SUMIFS('תחום תמיכה ב'!$AC$31:$AC$500,'תחום תמיכה ב'!$E$31:$E$500,E188,'תחום תמיכה ב'!$S$31:$S$500,"=1"),0))</f>
        <v>1.6069819493539007E-2</v>
      </c>
      <c r="M188" s="213">
        <f t="shared" si="9"/>
        <v>705.56149468332364</v>
      </c>
      <c r="N188" s="227">
        <f t="shared" si="10"/>
        <v>3.2059230237653533E-5</v>
      </c>
      <c r="O188" s="213">
        <f t="shared" si="11"/>
        <v>705.56149468332364</v>
      </c>
    </row>
    <row r="189" spans="1:15" ht="15.75" x14ac:dyDescent="0.2">
      <c r="A189" s="206">
        <f t="shared" si="8"/>
        <v>159</v>
      </c>
      <c r="B189" s="88">
        <f>IF($F189="","",'הזנה לתנאי סף'!C189)</f>
        <v>1001347757</v>
      </c>
      <c r="C189" s="88">
        <f>IF($F189="","",'הזנה לתנאי סף'!D189)</f>
        <v>1001278627</v>
      </c>
      <c r="D189" s="88">
        <f>IF($F189="","",'הזנה לתנאי סף'!E189)</f>
        <v>40521896</v>
      </c>
      <c r="E189" s="88">
        <f>IF($F189="","",'הזנה לתנאי סף'!F189)</f>
        <v>20000254</v>
      </c>
      <c r="F189" s="88" t="str">
        <f>IF(OR('הזנה לתנאי סף'!G189="",'הזנה לתנאי סף'!BL189&lt;&gt;1,'הזנה לתנאי סף'!Q189&lt;&gt;1,'הזנה לתנאי סף'!N189&lt;&gt;1),"",'הזנה לתנאי סף'!G189)</f>
        <v>באר שבע</v>
      </c>
      <c r="G189" s="88" t="str">
        <f>IF($F189="","",'הזנה לתנאי סף'!H189)</f>
        <v>תיאטרון הפרינג' באר שבע (ע"ר)</v>
      </c>
      <c r="H189" s="88" t="str">
        <f>IF($F189="","",'הזנה לתנאי סף'!I189)</f>
        <v>אחר</v>
      </c>
      <c r="I189" s="88">
        <f>IF($F189="","",IF(AND('הזנה לתנאי סף'!N189=0,J189&gt;0),$Q$2,'הזנה לתנאי סף'!N189))</f>
        <v>1</v>
      </c>
      <c r="J189" s="213">
        <f>IF($F189="","",INDEX('גיליון עזר לתחום תמיכה ג'!$H$31:$H$330,MATCH(E189,'גיליון עזר לתחום תמיכה ג'!$C$31:$C$330,0)))</f>
        <v>43906</v>
      </c>
      <c r="K189" s="213">
        <f>IF(OR(F189="",J189=""),"",IF(AND(J189&gt;0,I189=1),J189*'פרמטרים לקריטריונים'!$C$64,$Q$2))</f>
        <v>43906</v>
      </c>
      <c r="L189" s="227">
        <f>IF(OR(F189="",J189=""),"",IF(J189&gt;0,'תחום תמיכה ב'!AC189/SUMIFS('תחום תמיכה ב'!$AC$31:$AC$500,'תחום תמיכה ב'!$E$31:$E$500,E189,'תחום תמיכה ב'!$S$31:$S$500,"=1"),0))</f>
        <v>1.3318269641365546E-2</v>
      </c>
      <c r="M189" s="213">
        <f t="shared" si="9"/>
        <v>584.75194687379565</v>
      </c>
      <c r="N189" s="227">
        <f t="shared" si="10"/>
        <v>2.6569898496455256E-5</v>
      </c>
      <c r="O189" s="213">
        <f t="shared" si="11"/>
        <v>584.75194687379565</v>
      </c>
    </row>
    <row r="190" spans="1:15" ht="15.75" x14ac:dyDescent="0.2">
      <c r="A190" s="206">
        <f t="shared" si="8"/>
        <v>160</v>
      </c>
      <c r="B190" s="88">
        <f>IF($F190="","",'הזנה לתנאי סף'!C190)</f>
        <v>1001350316</v>
      </c>
      <c r="C190" s="88">
        <f>IF($F190="","",'הזנה לתנאי סף'!D190)</f>
        <v>1001265592</v>
      </c>
      <c r="D190" s="88">
        <f>IF($F190="","",'הזנה לתנאי סף'!E190)</f>
        <v>40521896</v>
      </c>
      <c r="E190" s="88">
        <f>IF($F190="","",'הזנה לתנאי סף'!F190)</f>
        <v>20000254</v>
      </c>
      <c r="F190" s="88" t="str">
        <f>IF(OR('הזנה לתנאי סף'!G190="",'הזנה לתנאי סף'!BL190&lt;&gt;1,'הזנה לתנאי סף'!Q190&lt;&gt;1,'הזנה לתנאי סף'!N190&lt;&gt;1),"",'הזנה לתנאי סף'!G190)</f>
        <v>באר שבע</v>
      </c>
      <c r="G190" s="88" t="str">
        <f>IF($F190="","",'הזנה לתנאי סף'!H190)</f>
        <v>תיאטרון הפרינג' באר שבע (ע"ר)</v>
      </c>
      <c r="H190" s="88" t="str">
        <f>IF($F190="","",'הזנה לתנאי סף'!I190)</f>
        <v>אחר</v>
      </c>
      <c r="I190" s="88">
        <f>IF($F190="","",IF(AND('הזנה לתנאי סף'!N190=0,J190&gt;0),$Q$2,'הזנה לתנאי סף'!N190))</f>
        <v>1</v>
      </c>
      <c r="J190" s="213">
        <f>IF($F190="","",INDEX('גיליון עזר לתחום תמיכה ג'!$H$31:$H$330,MATCH(E190,'גיליון עזר לתחום תמיכה ג'!$C$31:$C$330,0)))</f>
        <v>43906</v>
      </c>
      <c r="K190" s="213">
        <f>IF(OR(F190="",J190=""),"",IF(AND(J190&gt;0,I190=1),J190*'פרמטרים לקריטריונים'!$C$64,$Q$2))</f>
        <v>43906</v>
      </c>
      <c r="L190" s="227">
        <f>IF(OR(F190="",J190=""),"",IF(J190&gt;0,'תחום תמיכה ב'!AC190/SUMIFS('תחום תמיכה ב'!$AC$31:$AC$500,'תחום תמיכה ב'!$E$31:$E$500,E190,'תחום תמיכה ב'!$S$31:$S$500,"=1"),0))</f>
        <v>1.4249799537670339E-2</v>
      </c>
      <c r="M190" s="213">
        <f t="shared" si="9"/>
        <v>625.6516985009539</v>
      </c>
      <c r="N190" s="227">
        <f t="shared" si="10"/>
        <v>2.8428297181698734E-5</v>
      </c>
      <c r="O190" s="213">
        <f t="shared" si="11"/>
        <v>625.6516985009539</v>
      </c>
    </row>
    <row r="191" spans="1:15" ht="15.75" x14ac:dyDescent="0.2">
      <c r="A191" s="206">
        <f t="shared" si="8"/>
        <v>161</v>
      </c>
      <c r="B191" s="88">
        <f>IF($F191="","",'הזנה לתנאי סף'!C191)</f>
        <v>1001348946</v>
      </c>
      <c r="C191" s="88">
        <f>IF($F191="","",'הזנה לתנאי סף'!D191)</f>
        <v>1001278264</v>
      </c>
      <c r="D191" s="88">
        <f>IF($F191="","",'הזנה לתנאי סף'!E191)</f>
        <v>40526318</v>
      </c>
      <c r="E191" s="88">
        <f>IF($F191="","",'הזנה לתנאי סף'!F191)</f>
        <v>20000159</v>
      </c>
      <c r="F191" s="88" t="str">
        <f>IF(OR('הזנה לתנאי סף'!G191="",'הזנה לתנאי סף'!BL191&lt;&gt;1,'הזנה לתנאי סף'!Q191&lt;&gt;1,'הזנה לתנאי סף'!N191&lt;&gt;1),"",'הזנה לתנאי סף'!G191)</f>
        <v>ירושלים</v>
      </c>
      <c r="G191" s="88" t="str">
        <f>IF($F191="","",'הזנה לתנאי סף'!H191)</f>
        <v>קהילות שרות פיוט וניגון (ע"ר)</v>
      </c>
      <c r="H191" s="88" t="str">
        <f>IF($F191="","",'הזנה לתנאי סף'!I191)</f>
        <v>חזנות</v>
      </c>
      <c r="I191" s="88">
        <f>IF($F191="","",IF(AND('הזנה לתנאי סף'!N191=0,J191&gt;0),$Q$2,'הזנה לתנאי סף'!N191))</f>
        <v>1</v>
      </c>
      <c r="J191" s="213">
        <f>IF($F191="","",INDEX('גיליון עזר לתחום תמיכה ג'!$H$31:$H$330,MATCH(E191,'גיליון עזר לתחום תמיכה ג'!$C$31:$C$330,0)))</f>
        <v>3990706</v>
      </c>
      <c r="K191" s="213">
        <f>IF(OR(F191="",J191=""),"",IF(AND(J191&gt;0,I191=1),J191*'פרמטרים לקריטריונים'!$C$64,$Q$2))</f>
        <v>3990706</v>
      </c>
      <c r="L191" s="227">
        <f>IF(OR(F191="",J191=""),"",IF(J191&gt;0,'תחום תמיכה ב'!AC191/SUMIFS('תחום תמיכה ב'!$AC$31:$AC$500,'תחום תמיכה ב'!$E$31:$E$500,E191,'תחום תמיכה ב'!$S$31:$S$500,"=1"),0))</f>
        <v>1.8276778638138056E-3</v>
      </c>
      <c r="M191" s="213">
        <f t="shared" si="9"/>
        <v>7293.7250171889373</v>
      </c>
      <c r="N191" s="227">
        <f t="shared" si="10"/>
        <v>3.3141152313186225E-4</v>
      </c>
      <c r="O191" s="213">
        <f t="shared" si="11"/>
        <v>7293.7250171889373</v>
      </c>
    </row>
    <row r="192" spans="1:15" ht="15.75" x14ac:dyDescent="0.2">
      <c r="A192" s="206">
        <f t="shared" si="8"/>
        <v>162</v>
      </c>
      <c r="B192" s="88">
        <f>IF($F192="","",'הזנה לתנאי סף'!C192)</f>
        <v>1001348956</v>
      </c>
      <c r="C192" s="88">
        <f>IF($F192="","",'הזנה לתנאי סף'!D192)</f>
        <v>1001274741</v>
      </c>
      <c r="D192" s="88">
        <f>IF($F192="","",'הזנה לתנאי סף'!E192)</f>
        <v>40527700</v>
      </c>
      <c r="E192" s="88">
        <f>IF($F192="","",'הזנה לתנאי סף'!F192)</f>
        <v>20000201</v>
      </c>
      <c r="F192" s="88" t="str">
        <f>IF(OR('הזנה לתנאי סף'!G192="",'הזנה לתנאי סף'!BL192&lt;&gt;1,'הזנה לתנאי סף'!Q192&lt;&gt;1,'הזנה לתנאי סף'!N192&lt;&gt;1),"",'הזנה לתנאי סף'!G192)</f>
        <v>תל אביב -יפו</v>
      </c>
      <c r="G192" s="88" t="str">
        <f>IF($F192="","",'הזנה לתנאי סף'!H192)</f>
        <v>המקהלה הישראלית ע"ש גארי ברתיני (ע"</v>
      </c>
      <c r="H192" s="88" t="str">
        <f>IF($F192="","",'הזנה לתנאי סף'!I192)</f>
        <v>מוסיקה-גופים כליים</v>
      </c>
      <c r="I192" s="88">
        <f>IF($F192="","",IF(AND('הזנה לתנאי סף'!N192=0,J192&gt;0),$Q$2,'הזנה לתנאי סף'!N192))</f>
        <v>1</v>
      </c>
      <c r="J192" s="213">
        <f>IF($F192="","",INDEX('גיליון עזר לתחום תמיכה ג'!$H$31:$H$330,MATCH(E192,'גיליון עזר לתחום תמיכה ג'!$C$31:$C$330,0)))</f>
        <v>15995126</v>
      </c>
      <c r="K192" s="213">
        <f>IF(OR(F192="",J192=""),"",IF(AND(J192&gt;0,I192=1),J192*'פרמטרים לקריטריונים'!$C$64,$Q$2))</f>
        <v>15995126</v>
      </c>
      <c r="L192" s="227">
        <f>IF(OR(F192="",J192=""),"",IF(J192&gt;0,'תחום תמיכה ב'!AC192/SUMIFS('תחום תמיכה ב'!$AC$31:$AC$500,'תחום תמיכה ב'!$E$31:$E$500,E192,'תחום תמיכה ב'!$S$31:$S$500,"=1"),0))</f>
        <v>4.8306604184645257E-3</v>
      </c>
      <c r="M192" s="213">
        <f t="shared" si="9"/>
        <v>77267.022056552814</v>
      </c>
      <c r="N192" s="227">
        <f t="shared" si="10"/>
        <v>3.5108509584989246E-3</v>
      </c>
      <c r="O192" s="213">
        <f t="shared" si="11"/>
        <v>77267.022056552814</v>
      </c>
    </row>
    <row r="193" spans="1:22" ht="15.75" x14ac:dyDescent="0.2">
      <c r="A193" s="206">
        <f t="shared" si="8"/>
        <v>163</v>
      </c>
      <c r="B193" s="88">
        <f>IF($F193="","",'הזנה לתנאי סף'!C193)</f>
        <v>1001348979</v>
      </c>
      <c r="C193" s="88">
        <f>IF($F193="","",'הזנה לתנאי סף'!D193)</f>
        <v>1001274745</v>
      </c>
      <c r="D193" s="88">
        <f>IF($F193="","",'הזנה לתנאי סף'!E193)</f>
        <v>40527701</v>
      </c>
      <c r="E193" s="88">
        <f>IF($F193="","",'הזנה לתנאי סף'!F193)</f>
        <v>20000201</v>
      </c>
      <c r="F193" s="88" t="str">
        <f>IF(OR('הזנה לתנאי סף'!G193="",'הזנה לתנאי סף'!BL193&lt;&gt;1,'הזנה לתנאי סף'!Q193&lt;&gt;1,'הזנה לתנאי סף'!N193&lt;&gt;1),"",'הזנה לתנאי סף'!G193)</f>
        <v>תל אביב -יפו</v>
      </c>
      <c r="G193" s="88" t="str">
        <f>IF($F193="","",'הזנה לתנאי סף'!H193)</f>
        <v>תיאטרון הקיבוץ (ע"ר)</v>
      </c>
      <c r="H193" s="88" t="str">
        <f>IF($F193="","",'הזנה לתנאי סף'!I193)</f>
        <v>תיאטרון</v>
      </c>
      <c r="I193" s="88">
        <f>IF($F193="","",IF(AND('הזנה לתנאי סף'!N193=0,J193&gt;0),$Q$2,'הזנה לתנאי סף'!N193))</f>
        <v>1</v>
      </c>
      <c r="J193" s="213">
        <f>IF($F193="","",INDEX('גיליון עזר לתחום תמיכה ג'!$H$31:$H$330,MATCH(E193,'גיליון עזר לתחום תמיכה ג'!$C$31:$C$330,0)))</f>
        <v>15995126</v>
      </c>
      <c r="K193" s="213">
        <f>IF(OR(F193="",J193=""),"",IF(AND(J193&gt;0,I193=1),J193*'פרמטרים לקריטריונים'!$C$64,$Q$2))</f>
        <v>15995126</v>
      </c>
      <c r="L193" s="227">
        <f>IF(OR(F193="",J193=""),"",IF(J193&gt;0,'תחום תמיכה ב'!AC193/SUMIFS('תחום תמיכה ב'!$AC$31:$AC$500,'תחום תמיכה ב'!$E$31:$E$500,E193,'תחום תמיכה ב'!$S$31:$S$500,"=1"),0))</f>
        <v>1.9598036782319944E-2</v>
      </c>
      <c r="M193" s="213">
        <f t="shared" si="9"/>
        <v>313473.06768584211</v>
      </c>
      <c r="N193" s="227">
        <f t="shared" si="10"/>
        <v>1.4243556835190617E-2</v>
      </c>
      <c r="O193" s="213">
        <f t="shared" si="11"/>
        <v>313473.06768584211</v>
      </c>
    </row>
    <row r="194" spans="1:22" ht="15.75" x14ac:dyDescent="0.2">
      <c r="A194" s="206" t="str">
        <f t="shared" si="8"/>
        <v/>
      </c>
      <c r="B194" s="88" t="str">
        <f>IF($F194="","",'הזנה לתנאי סף'!C194)</f>
        <v/>
      </c>
      <c r="C194" s="88" t="str">
        <f>IF($F194="","",'הזנה לתנאי סף'!D194)</f>
        <v/>
      </c>
      <c r="D194" s="88" t="str">
        <f>IF($F194="","",'הזנה לתנאי סף'!E194)</f>
        <v/>
      </c>
      <c r="E194" s="88" t="str">
        <f>IF($F194="","",'הזנה לתנאי סף'!F194)</f>
        <v/>
      </c>
      <c r="F194" s="88" t="str">
        <f>IF(OR('הזנה לתנאי סף'!G194="",'הזנה לתנאי סף'!BL194&lt;&gt;1,'הזנה לתנאי סף'!Q194&lt;&gt;1,'הזנה לתנאי סף'!N194&lt;&gt;1),"",'הזנה לתנאי סף'!G194)</f>
        <v/>
      </c>
      <c r="G194" s="88" t="str">
        <f>IF($F194="","",'הזנה לתנאי סף'!H194)</f>
        <v/>
      </c>
      <c r="H194" s="88" t="str">
        <f>IF($F194="","",'הזנה לתנאי סף'!I194)</f>
        <v/>
      </c>
      <c r="I194" s="88" t="str">
        <f>IF($F194="","",IF(AND('הזנה לתנאי סף'!N194=0,J194&gt;0),$Q$2,'הזנה לתנאי סף'!N194))</f>
        <v/>
      </c>
      <c r="J194" s="213" t="str">
        <f>IF($F194="","",INDEX('גיליון עזר לתחום תמיכה ג'!$H$31:$H$330,MATCH(E194,'גיליון עזר לתחום תמיכה ג'!$C$31:$C$330,0)))</f>
        <v/>
      </c>
      <c r="K194" s="213" t="str">
        <f>IF(OR(F194="",J194=""),"",IF(AND(J194&gt;0,I194=1),J194*'פרמטרים לקריטריונים'!$C$64,$Q$2))</f>
        <v/>
      </c>
      <c r="L194" s="227" t="str">
        <f>IF(OR(F194="",J194=""),"",IF(J194&gt;0,'תחום תמיכה ב'!AC194/SUMIFS('תחום תמיכה ב'!$AC$31:$AC$500,'תחום תמיכה ב'!$E$31:$E$500,E194,'תחום תמיכה ב'!$S$31:$S$500,"=1"),0))</f>
        <v/>
      </c>
      <c r="M194" s="213" t="str">
        <f t="shared" si="9"/>
        <v/>
      </c>
      <c r="N194" s="227" t="str">
        <f t="shared" si="10"/>
        <v/>
      </c>
      <c r="O194" s="213" t="str">
        <f t="shared" si="11"/>
        <v/>
      </c>
    </row>
    <row r="195" spans="1:22" ht="15.75" x14ac:dyDescent="0.2">
      <c r="A195" s="206" t="str">
        <f t="shared" si="8"/>
        <v/>
      </c>
      <c r="B195" s="88" t="str">
        <f>IF($F195="","",'הזנה לתנאי סף'!C195)</f>
        <v/>
      </c>
      <c r="C195" s="88" t="str">
        <f>IF($F195="","",'הזנה לתנאי סף'!D195)</f>
        <v/>
      </c>
      <c r="D195" s="88" t="str">
        <f>IF($F195="","",'הזנה לתנאי סף'!E195)</f>
        <v/>
      </c>
      <c r="E195" s="88" t="str">
        <f>IF($F195="","",'הזנה לתנאי סף'!F195)</f>
        <v/>
      </c>
      <c r="F195" s="88" t="str">
        <f>IF(OR('הזנה לתנאי סף'!G195="",'הזנה לתנאי סף'!BL195&lt;&gt;1,'הזנה לתנאי סף'!Q195&lt;&gt;1,'הזנה לתנאי סף'!N195&lt;&gt;1),"",'הזנה לתנאי סף'!G195)</f>
        <v/>
      </c>
      <c r="G195" s="88" t="str">
        <f>IF($F195="","",'הזנה לתנאי סף'!H195)</f>
        <v/>
      </c>
      <c r="H195" s="88" t="str">
        <f>IF($F195="","",'הזנה לתנאי סף'!I195)</f>
        <v/>
      </c>
      <c r="I195" s="88" t="str">
        <f>IF($F195="","",IF(AND('הזנה לתנאי סף'!N195=0,J195&gt;0),$Q$2,'הזנה לתנאי סף'!N195))</f>
        <v/>
      </c>
      <c r="J195" s="213" t="str">
        <f>IF($F195="","",INDEX('גיליון עזר לתחום תמיכה ג'!$H$31:$H$330,MATCH(E195,'גיליון עזר לתחום תמיכה ג'!$C$31:$C$330,0)))</f>
        <v/>
      </c>
      <c r="K195" s="213" t="str">
        <f>IF(OR(F195="",J195=""),"",IF(AND(J195&gt;0,I195=1),J195*'פרמטרים לקריטריונים'!$C$64,$Q$2))</f>
        <v/>
      </c>
      <c r="L195" s="227" t="str">
        <f>IF(OR(F195="",J195=""),"",IF(J195&gt;0,'תחום תמיכה ב'!AC195/SUMIFS('תחום תמיכה ב'!$AC$31:$AC$500,'תחום תמיכה ב'!$E$31:$E$500,E195,'תחום תמיכה ב'!$S$31:$S$500,"=1"),0))</f>
        <v/>
      </c>
      <c r="M195" s="213" t="str">
        <f t="shared" si="9"/>
        <v/>
      </c>
      <c r="N195" s="227" t="str">
        <f t="shared" si="10"/>
        <v/>
      </c>
      <c r="O195" s="213" t="str">
        <f t="shared" si="11"/>
        <v/>
      </c>
      <c r="V195" s="102"/>
    </row>
    <row r="196" spans="1:22" ht="15.75" x14ac:dyDescent="0.2">
      <c r="A196" s="206">
        <f t="shared" si="8"/>
        <v>166</v>
      </c>
      <c r="B196" s="88">
        <f>IF($F196="","",'הזנה לתנאי סף'!C196)</f>
        <v>1001349841</v>
      </c>
      <c r="C196" s="88">
        <f>IF($F196="","",'הזנה לתנאי סף'!D196)</f>
        <v>1001263630</v>
      </c>
      <c r="D196" s="88">
        <f>IF($F196="","",'הזנה לתנאי סף'!E196)</f>
        <v>40003600</v>
      </c>
      <c r="E196" s="88">
        <f>IF($F196="","",'הזנה לתנאי סף'!F196)</f>
        <v>20000254</v>
      </c>
      <c r="F196" s="88" t="str">
        <f>IF(OR('הזנה לתנאי סף'!G196="",'הזנה לתנאי סף'!BL196&lt;&gt;1,'הזנה לתנאי סף'!Q196&lt;&gt;1,'הזנה לתנאי סף'!N196&lt;&gt;1),"",'הזנה לתנאי סף'!G196)</f>
        <v>באר שבע</v>
      </c>
      <c r="G196" s="88" t="str">
        <f>IF($F196="","",'הזנה לתנאי סף'!H196)</f>
        <v>חברת בית יציב ב.ש בע"מ - חברה לתועל</v>
      </c>
      <c r="H196" s="88" t="str">
        <f>IF($F196="","",'הזנה לתנאי סף'!I196)</f>
        <v>מוזיאונים</v>
      </c>
      <c r="I196" s="88">
        <f>IF($F196="","",IF(AND('הזנה לתנאי סף'!N196=0,J196&gt;0),$Q$2,'הזנה לתנאי סף'!N196))</f>
        <v>1</v>
      </c>
      <c r="J196" s="213">
        <f>IF($F196="","",INDEX('גיליון עזר לתחום תמיכה ג'!$H$31:$H$330,MATCH(E196,'גיליון עזר לתחום תמיכה ג'!$C$31:$C$330,0)))</f>
        <v>43906</v>
      </c>
      <c r="K196" s="213">
        <f>IF(OR(F196="",J196=""),"",IF(AND(J196&gt;0,I196=1),J196*'פרמטרים לקריטריונים'!$C$64,$Q$2))</f>
        <v>43906</v>
      </c>
      <c r="L196" s="227">
        <f>IF(OR(F196="",J196=""),"",IF(J196&gt;0,'תחום תמיכה ב'!AC196/SUMIFS('תחום תמיכה ב'!$AC$31:$AC$500,'תחום תמיכה ב'!$E$31:$E$500,E196,'תחום תמיכה ב'!$S$31:$S$500,"=1"),0))</f>
        <v>0.34843900686199714</v>
      </c>
      <c r="M196" s="213">
        <f t="shared" si="9"/>
        <v>15298.563035282847</v>
      </c>
      <c r="N196" s="227">
        <f t="shared" si="10"/>
        <v>6.9513452526703031E-4</v>
      </c>
      <c r="O196" s="213">
        <f t="shared" si="11"/>
        <v>15298.563035282847</v>
      </c>
    </row>
    <row r="197" spans="1:22" ht="15.75" x14ac:dyDescent="0.2">
      <c r="A197" s="206" t="str">
        <f t="shared" si="8"/>
        <v/>
      </c>
      <c r="B197" s="88" t="str">
        <f>IF($F197="","",'הזנה לתנאי סף'!C197)</f>
        <v/>
      </c>
      <c r="C197" s="88" t="str">
        <f>IF($F197="","",'הזנה לתנאי סף'!D197)</f>
        <v/>
      </c>
      <c r="D197" s="88" t="str">
        <f>IF($F197="","",'הזנה לתנאי סף'!E197)</f>
        <v/>
      </c>
      <c r="E197" s="88" t="str">
        <f>IF($F197="","",'הזנה לתנאי סף'!F197)</f>
        <v/>
      </c>
      <c r="F197" s="88" t="str">
        <f>IF(OR('הזנה לתנאי סף'!G197="",'הזנה לתנאי סף'!BL197&lt;&gt;1,'הזנה לתנאי סף'!Q197&lt;&gt;1,'הזנה לתנאי סף'!N197&lt;&gt;1),"",'הזנה לתנאי סף'!G197)</f>
        <v/>
      </c>
      <c r="G197" s="88" t="str">
        <f>IF($F197="","",'הזנה לתנאי סף'!H197)</f>
        <v/>
      </c>
      <c r="H197" s="88" t="str">
        <f>IF($F197="","",'הזנה לתנאי סף'!I197)</f>
        <v/>
      </c>
      <c r="I197" s="88" t="str">
        <f>IF($F197="","",IF(AND('הזנה לתנאי סף'!N197=0,J197&gt;0),$Q$2,'הזנה לתנאי סף'!N197))</f>
        <v/>
      </c>
      <c r="J197" s="213" t="str">
        <f>IF($F197="","",INDEX('גיליון עזר לתחום תמיכה ג'!$H$31:$H$330,MATCH(E197,'גיליון עזר לתחום תמיכה ג'!$C$31:$C$330,0)))</f>
        <v/>
      </c>
      <c r="K197" s="213" t="str">
        <f>IF(OR(F197="",J197=""),"",IF(AND(J197&gt;0,I197=1),J197*'פרמטרים לקריטריונים'!$C$64,$Q$2))</f>
        <v/>
      </c>
      <c r="L197" s="227" t="str">
        <f>IF(OR(F197="",J197=""),"",IF(J197&gt;0,'תחום תמיכה ב'!AC197/SUMIFS('תחום תמיכה ב'!$AC$31:$AC$500,'תחום תמיכה ב'!$E$31:$E$500,E197,'תחום תמיכה ב'!$S$31:$S$500,"=1"),0))</f>
        <v/>
      </c>
      <c r="M197" s="213" t="str">
        <f t="shared" si="9"/>
        <v/>
      </c>
      <c r="N197" s="227" t="str">
        <f t="shared" si="10"/>
        <v/>
      </c>
      <c r="O197" s="213" t="str">
        <f t="shared" si="11"/>
        <v/>
      </c>
    </row>
    <row r="198" spans="1:22" ht="15.75" x14ac:dyDescent="0.2">
      <c r="A198" s="206">
        <f t="shared" si="8"/>
        <v>168</v>
      </c>
      <c r="B198" s="88">
        <f>IF($F198="","",'הזנה לתנאי סף'!C198)</f>
        <v>1001350197</v>
      </c>
      <c r="C198" s="88">
        <f>IF($F198="","",'הזנה לתנאי סף'!D198)</f>
        <v>1001280236</v>
      </c>
      <c r="D198" s="88">
        <f>IF($F198="","",'הזנה לתנאי סף'!E198)</f>
        <v>40384701</v>
      </c>
      <c r="E198" s="88">
        <f>IF($F198="","",'הזנה לתנאי סף'!F198)</f>
        <v>20000201</v>
      </c>
      <c r="F198" s="88" t="str">
        <f>IF(OR('הזנה לתנאי סף'!G198="",'הזנה לתנאי סף'!BL198&lt;&gt;1,'הזנה לתנאי סף'!Q198&lt;&gt;1,'הזנה לתנאי סף'!N198&lt;&gt;1),"",'הזנה לתנאי סף'!G198)</f>
        <v>תל אביב -יפו</v>
      </c>
      <c r="G198" s="88" t="str">
        <f>IF($F198="","",'הזנה לתנאי סף'!H198)</f>
        <v>תזמורת המהפכה (ע"ר)</v>
      </c>
      <c r="H198" s="88" t="str">
        <f>IF($F198="","",'הזנה לתנאי סף'!I198)</f>
        <v>מרכזי מוסיקה</v>
      </c>
      <c r="I198" s="88">
        <f>IF($F198="","",IF(AND('הזנה לתנאי סף'!N198=0,J198&gt;0),$Q$2,'הזנה לתנאי סף'!N198))</f>
        <v>1</v>
      </c>
      <c r="J198" s="213">
        <f>IF($F198="","",INDEX('גיליון עזר לתחום תמיכה ג'!$H$31:$H$330,MATCH(E198,'גיליון עזר לתחום תמיכה ג'!$C$31:$C$330,0)))</f>
        <v>15995126</v>
      </c>
      <c r="K198" s="213">
        <f>IF(OR(F198="",J198=""),"",IF(AND(J198&gt;0,I198=1),J198*'פרמטרים לקריטריונים'!$C$64,$Q$2))</f>
        <v>15995126</v>
      </c>
      <c r="L198" s="227">
        <f>IF(OR(F198="",J198=""),"",IF(J198&gt;0,'תחום תמיכה ב'!AC198/SUMIFS('תחום תמיכה ב'!$AC$31:$AC$500,'תחום תמיכה ב'!$E$31:$E$500,E198,'תחום תמיכה ב'!$S$31:$S$500,"=1"),0))</f>
        <v>2.6656749796194553E-3</v>
      </c>
      <c r="M198" s="213">
        <f t="shared" si="9"/>
        <v>42637.807174060617</v>
      </c>
      <c r="N198" s="227">
        <f t="shared" si="10"/>
        <v>1.9373722734620106E-3</v>
      </c>
      <c r="O198" s="213">
        <f t="shared" si="11"/>
        <v>42637.807174060617</v>
      </c>
    </row>
    <row r="199" spans="1:22" ht="15.75" x14ac:dyDescent="0.2">
      <c r="A199" s="206">
        <f t="shared" si="8"/>
        <v>169</v>
      </c>
      <c r="B199" s="88">
        <f>IF($F199="","",'הזנה לתנאי סף'!C199)</f>
        <v>1001350703</v>
      </c>
      <c r="C199" s="88">
        <f>IF($F199="","",'הזנה לתנאי סף'!D199)</f>
        <v>1001279377</v>
      </c>
      <c r="D199" s="88">
        <f>IF($F199="","",'הזנה לתנאי סף'!E199)</f>
        <v>40000394</v>
      </c>
      <c r="E199" s="88">
        <f>IF($F199="","",'הזנה לתנאי סף'!F199)</f>
        <v>20000159</v>
      </c>
      <c r="F199" s="88" t="str">
        <f>IF(OR('הזנה לתנאי סף'!G199="",'הזנה לתנאי סף'!BL199&lt;&gt;1,'הזנה לתנאי סף'!Q199&lt;&gt;1,'הזנה לתנאי סף'!N199&lt;&gt;1),"",'הזנה לתנאי סף'!G199)</f>
        <v>ירושלים</v>
      </c>
      <c r="G199" s="88" t="str">
        <f>IF($F199="","",'הזנה לתנאי סף'!H199)</f>
        <v>להקת קולבן דאנס</v>
      </c>
      <c r="H199" s="88" t="str">
        <f>IF($F199="","",'הזנה לתנאי סף'!I199)</f>
        <v>מחול</v>
      </c>
      <c r="I199" s="88">
        <f>IF($F199="","",IF(AND('הזנה לתנאי סף'!N199=0,J199&gt;0),$Q$2,'הזנה לתנאי סף'!N199))</f>
        <v>1</v>
      </c>
      <c r="J199" s="213">
        <f>IF($F199="","",INDEX('גיליון עזר לתחום תמיכה ג'!$H$31:$H$330,MATCH(E199,'גיליון עזר לתחום תמיכה ג'!$C$31:$C$330,0)))</f>
        <v>3990706</v>
      </c>
      <c r="K199" s="213">
        <f>IF(OR(F199="",J199=""),"",IF(AND(J199&gt;0,I199=1),J199*'פרמטרים לקריטריונים'!$C$64,$Q$2))</f>
        <v>3990706</v>
      </c>
      <c r="L199" s="227">
        <f>IF(OR(F199="",J199=""),"",IF(J199&gt;0,'תחום תמיכה ב'!AC199/SUMIFS('תחום תמיכה ב'!$AC$31:$AC$500,'תחום תמיכה ב'!$E$31:$E$500,E199,'תחום תמיכה ב'!$S$31:$S$500,"=1"),0))</f>
        <v>2.2287342756035764E-3</v>
      </c>
      <c r="M199" s="213">
        <f t="shared" si="9"/>
        <v>8894.2232460568466</v>
      </c>
      <c r="N199" s="227">
        <f t="shared" si="10"/>
        <v>4.0413479615750088E-4</v>
      </c>
      <c r="O199" s="213">
        <f t="shared" si="11"/>
        <v>8894.2232460568466</v>
      </c>
    </row>
    <row r="200" spans="1:22" ht="15.75" x14ac:dyDescent="0.2">
      <c r="A200" s="206" t="str">
        <f t="shared" si="8"/>
        <v/>
      </c>
      <c r="B200" s="88" t="str">
        <f>IF($F200="","",'הזנה לתנאי סף'!C200)</f>
        <v/>
      </c>
      <c r="C200" s="88" t="str">
        <f>IF($F200="","",'הזנה לתנאי סף'!D200)</f>
        <v/>
      </c>
      <c r="D200" s="88" t="str">
        <f>IF($F200="","",'הזנה לתנאי סף'!E200)</f>
        <v/>
      </c>
      <c r="E200" s="88" t="str">
        <f>IF($F200="","",'הזנה לתנאי סף'!F200)</f>
        <v/>
      </c>
      <c r="F200" s="88" t="str">
        <f>IF(OR('הזנה לתנאי סף'!G200="",'הזנה לתנאי סף'!BL200&lt;&gt;1,'הזנה לתנאי סף'!Q200&lt;&gt;1,'הזנה לתנאי סף'!N200&lt;&gt;1),"",'הזנה לתנאי סף'!G200)</f>
        <v/>
      </c>
      <c r="G200" s="88" t="str">
        <f>IF($F200="","",'הזנה לתנאי סף'!H200)</f>
        <v/>
      </c>
      <c r="H200" s="88" t="str">
        <f>IF($F200="","",'הזנה לתנאי סף'!I200)</f>
        <v/>
      </c>
      <c r="I200" s="88" t="str">
        <f>IF($F200="","",IF(AND('הזנה לתנאי סף'!N200=0,J200&gt;0),$Q$2,'הזנה לתנאי סף'!N200))</f>
        <v/>
      </c>
      <c r="J200" s="213" t="str">
        <f>IF($F200="","",INDEX('גיליון עזר לתחום תמיכה ג'!$H$31:$H$330,MATCH(E200,'גיליון עזר לתחום תמיכה ג'!$C$31:$C$330,0)))</f>
        <v/>
      </c>
      <c r="K200" s="213" t="str">
        <f>IF(OR(F200="",J200=""),"",IF(AND(J200&gt;0,I200=1),J200*'פרמטרים לקריטריונים'!$C$64,$Q$2))</f>
        <v/>
      </c>
      <c r="L200" s="227" t="str">
        <f>IF(OR(F200="",J200=""),"",IF(J200&gt;0,'תחום תמיכה ב'!AC200/SUMIFS('תחום תמיכה ב'!$AC$31:$AC$500,'תחום תמיכה ב'!$E$31:$E$500,E200,'תחום תמיכה ב'!$S$31:$S$500,"=1"),0))</f>
        <v/>
      </c>
      <c r="M200" s="213" t="str">
        <f t="shared" si="9"/>
        <v/>
      </c>
      <c r="N200" s="227" t="str">
        <f t="shared" si="10"/>
        <v/>
      </c>
      <c r="O200" s="213" t="str">
        <f t="shared" si="11"/>
        <v/>
      </c>
    </row>
    <row r="201" spans="1:22" ht="15.75" x14ac:dyDescent="0.2">
      <c r="A201" s="206" t="str">
        <f t="shared" si="8"/>
        <v/>
      </c>
      <c r="B201" s="88" t="str">
        <f>IF($F201="","",'הזנה לתנאי סף'!C201)</f>
        <v/>
      </c>
      <c r="C201" s="88" t="str">
        <f>IF($F201="","",'הזנה לתנאי סף'!D201)</f>
        <v/>
      </c>
      <c r="D201" s="88" t="str">
        <f>IF($F201="","",'הזנה לתנאי סף'!E201)</f>
        <v/>
      </c>
      <c r="E201" s="88" t="str">
        <f>IF($F201="","",'הזנה לתנאי סף'!F201)</f>
        <v/>
      </c>
      <c r="F201" s="88" t="str">
        <f>IF(OR('הזנה לתנאי סף'!G201="",'הזנה לתנאי סף'!BL201&lt;&gt;1,'הזנה לתנאי סף'!Q201&lt;&gt;1,'הזנה לתנאי סף'!N201&lt;&gt;1),"",'הזנה לתנאי סף'!G201)</f>
        <v/>
      </c>
      <c r="G201" s="88" t="str">
        <f>IF($F201="","",'הזנה לתנאי סף'!H201)</f>
        <v/>
      </c>
      <c r="H201" s="88" t="str">
        <f>IF($F201="","",'הזנה לתנאי סף'!I201)</f>
        <v/>
      </c>
      <c r="I201" s="88" t="str">
        <f>IF($F201="","",IF(AND('הזנה לתנאי סף'!N201=0,J201&gt;0),$Q$2,'הזנה לתנאי סף'!N201))</f>
        <v/>
      </c>
      <c r="J201" s="213" t="str">
        <f>IF($F201="","",INDEX('גיליון עזר לתחום תמיכה ג'!$H$31:$H$330,MATCH(E201,'גיליון עזר לתחום תמיכה ג'!$C$31:$C$330,0)))</f>
        <v/>
      </c>
      <c r="K201" s="213" t="str">
        <f>IF(OR(F201="",J201=""),"",IF(AND(J201&gt;0,I201=1),J201*'פרמטרים לקריטריונים'!$C$64,$Q$2))</f>
        <v/>
      </c>
      <c r="L201" s="227" t="str">
        <f>IF(OR(F201="",J201=""),"",IF(J201&gt;0,'תחום תמיכה ב'!AC201/SUMIFS('תחום תמיכה ב'!$AC$31:$AC$500,'תחום תמיכה ב'!$E$31:$E$500,E201,'תחום תמיכה ב'!$S$31:$S$500,"=1"),0))</f>
        <v/>
      </c>
      <c r="M201" s="213" t="str">
        <f t="shared" si="9"/>
        <v/>
      </c>
      <c r="N201" s="227" t="str">
        <f t="shared" si="10"/>
        <v/>
      </c>
      <c r="O201" s="213" t="str">
        <f t="shared" si="11"/>
        <v/>
      </c>
    </row>
    <row r="202" spans="1:22" ht="15.75" x14ac:dyDescent="0.2">
      <c r="A202" s="206" t="str">
        <f t="shared" si="8"/>
        <v/>
      </c>
      <c r="B202" s="88" t="str">
        <f>IF($F202="","",'הזנה לתנאי סף'!C202)</f>
        <v/>
      </c>
      <c r="C202" s="88" t="str">
        <f>IF($F202="","",'הזנה לתנאי סף'!D202)</f>
        <v/>
      </c>
      <c r="D202" s="88" t="str">
        <f>IF($F202="","",'הזנה לתנאי סף'!E202)</f>
        <v/>
      </c>
      <c r="E202" s="88" t="str">
        <f>IF($F202="","",'הזנה לתנאי סף'!F202)</f>
        <v/>
      </c>
      <c r="F202" s="88" t="str">
        <f>IF(OR('הזנה לתנאי סף'!G202="",'הזנה לתנאי סף'!BL202&lt;&gt;1,'הזנה לתנאי סף'!Q202&lt;&gt;1,'הזנה לתנאי סף'!N202&lt;&gt;1),"",'הזנה לתנאי סף'!G202)</f>
        <v/>
      </c>
      <c r="G202" s="88" t="str">
        <f>IF($F202="","",'הזנה לתנאי סף'!H202)</f>
        <v/>
      </c>
      <c r="H202" s="88" t="str">
        <f>IF($F202="","",'הזנה לתנאי סף'!I202)</f>
        <v/>
      </c>
      <c r="I202" s="88" t="str">
        <f>IF($F202="","",IF(AND('הזנה לתנאי סף'!N202=0,J202&gt;0),$Q$2,'הזנה לתנאי סף'!N202))</f>
        <v/>
      </c>
      <c r="J202" s="213" t="str">
        <f>IF($F202="","",INDEX('גיליון עזר לתחום תמיכה ג'!$H$31:$H$330,MATCH(E202,'גיליון עזר לתחום תמיכה ג'!$C$31:$C$330,0)))</f>
        <v/>
      </c>
      <c r="K202" s="213" t="str">
        <f>IF(OR(F202="",J202=""),"",IF(AND(J202&gt;0,I202=1),J202*'פרמטרים לקריטריונים'!$C$64,$Q$2))</f>
        <v/>
      </c>
      <c r="L202" s="227" t="str">
        <f>IF(OR(F202="",J202=""),"",IF(J202&gt;0,'תחום תמיכה ב'!AC202/SUMIFS('תחום תמיכה ב'!$AC$31:$AC$500,'תחום תמיכה ב'!$E$31:$E$500,E202,'תחום תמיכה ב'!$S$31:$S$500,"=1"),0))</f>
        <v/>
      </c>
      <c r="M202" s="213" t="str">
        <f t="shared" si="9"/>
        <v/>
      </c>
      <c r="N202" s="227" t="str">
        <f t="shared" si="10"/>
        <v/>
      </c>
      <c r="O202" s="213" t="str">
        <f t="shared" si="11"/>
        <v/>
      </c>
    </row>
    <row r="203" spans="1:22" ht="15.75" x14ac:dyDescent="0.2">
      <c r="A203" s="206">
        <f t="shared" si="8"/>
        <v>173</v>
      </c>
      <c r="B203" s="88">
        <f>IF($F203="","",'הזנה לתנאי סף'!C203)</f>
        <v>1001350380</v>
      </c>
      <c r="C203" s="88">
        <f>IF($F203="","",'הזנה לתנאי סף'!D203)</f>
        <v>1001290728</v>
      </c>
      <c r="D203" s="88">
        <f>IF($F203="","",'הזנה לתנאי סף'!E203)</f>
        <v>40221579</v>
      </c>
      <c r="E203" s="88">
        <f>IF($F203="","",'הזנה לתנאי סף'!F203)</f>
        <v>20000159</v>
      </c>
      <c r="F203" s="88" t="str">
        <f>IF(OR('הזנה לתנאי סף'!G203="",'הזנה לתנאי סף'!BL203&lt;&gt;1,'הזנה לתנאי סף'!Q203&lt;&gt;1,'הזנה לתנאי סף'!N203&lt;&gt;1),"",'הזנה לתנאי סף'!G203)</f>
        <v>ירושלים</v>
      </c>
      <c r="G203" s="88" t="str">
        <f>IF($F203="","",'הזנה לתנאי סף'!H203)</f>
        <v>אספקלריה</v>
      </c>
      <c r="H203" s="88" t="str">
        <f>IF($F203="","",'הזנה לתנאי סף'!I203)</f>
        <v>תיאטרון</v>
      </c>
      <c r="I203" s="88">
        <f>IF($F203="","",IF(AND('הזנה לתנאי סף'!N203=0,J203&gt;0),$Q$2,'הזנה לתנאי סף'!N203))</f>
        <v>1</v>
      </c>
      <c r="J203" s="213">
        <f>IF($F203="","",INDEX('גיליון עזר לתחום תמיכה ג'!$H$31:$H$330,MATCH(E203,'גיליון עזר לתחום תמיכה ג'!$C$31:$C$330,0)))</f>
        <v>3990706</v>
      </c>
      <c r="K203" s="213">
        <f>IF(OR(F203="",J203=""),"",IF(AND(J203&gt;0,I203=1),J203*'פרמטרים לקריטריונים'!$C$64,$Q$2))</f>
        <v>3990706</v>
      </c>
      <c r="L203" s="227">
        <f>IF(OR(F203="",J203=""),"",IF(J203&gt;0,'תחום תמיכה ב'!AC203/SUMIFS('תחום תמיכה ב'!$AC$31:$AC$500,'תחום תמיכה ב'!$E$31:$E$500,E203,'תחום תמיכה ב'!$S$31:$S$500,"=1"),0))</f>
        <v>5.7362054748297956E-3</v>
      </c>
      <c r="M203" s="213">
        <f t="shared" si="9"/>
        <v>22891.509605636114</v>
      </c>
      <c r="N203" s="227">
        <f t="shared" si="10"/>
        <v>1.040142046390916E-3</v>
      </c>
      <c r="O203" s="213">
        <f t="shared" si="11"/>
        <v>22891.509605636114</v>
      </c>
    </row>
    <row r="204" spans="1:22" ht="15.75" x14ac:dyDescent="0.2">
      <c r="A204" s="206">
        <f t="shared" si="8"/>
        <v>174</v>
      </c>
      <c r="B204" s="88">
        <f>IF($F204="","",'הזנה לתנאי סף'!C204)</f>
        <v>1001348865</v>
      </c>
      <c r="C204" s="88">
        <f>IF($F204="","",'הזנה לתנאי סף'!D204)</f>
        <v>1001262670</v>
      </c>
      <c r="D204" s="88">
        <f>IF($F204="","",'הזנה לתנאי סף'!E204)</f>
        <v>41481124</v>
      </c>
      <c r="E204" s="88">
        <f>IF($F204="","",'הזנה לתנאי סף'!F204)</f>
        <v>20000159</v>
      </c>
      <c r="F204" s="88" t="str">
        <f>IF(OR('הזנה לתנאי סף'!G204="",'הזנה לתנאי סף'!BL204&lt;&gt;1,'הזנה לתנאי סף'!Q204&lt;&gt;1,'הזנה לתנאי סף'!N204&lt;&gt;1),"",'הזנה לתנאי סף'!G204)</f>
        <v>ירושלים</v>
      </c>
      <c r="G204" s="88" t="str">
        <f>IF($F204="","",'הזנה לתנאי סף'!H204)</f>
        <v>האיל המרקד</v>
      </c>
      <c r="H204" s="88" t="str">
        <f>IF($F204="","",'הזנה לתנאי סף'!I204)</f>
        <v>תיאטרון</v>
      </c>
      <c r="I204" s="88">
        <f>IF($F204="","",IF(AND('הזנה לתנאי סף'!N204=0,J204&gt;0),$Q$2,'הזנה לתנאי סף'!N204))</f>
        <v>1</v>
      </c>
      <c r="J204" s="213">
        <f>IF($F204="","",INDEX('גיליון עזר לתחום תמיכה ג'!$H$31:$H$330,MATCH(E204,'גיליון עזר לתחום תמיכה ג'!$C$31:$C$330,0)))</f>
        <v>3990706</v>
      </c>
      <c r="K204" s="213">
        <f>IF(OR(F204="",J204=""),"",IF(AND(J204&gt;0,I204=1),J204*'פרמטרים לקריטריונים'!$C$64,$Q$2))</f>
        <v>3990706</v>
      </c>
      <c r="L204" s="227">
        <f>IF(OR(F204="",J204=""),"",IF(J204&gt;0,'תחום תמיכה ב'!AC204/SUMIFS('תחום תמיכה ב'!$AC$31:$AC$500,'תחום תמיכה ב'!$E$31:$E$500,E204,'תחום תמיכה ב'!$S$31:$S$500,"=1"),0))</f>
        <v>4.3648625306593712E-3</v>
      </c>
      <c r="M204" s="213">
        <f t="shared" si="9"/>
        <v>17418.883090277537</v>
      </c>
      <c r="N204" s="227">
        <f t="shared" si="10"/>
        <v>7.9147740867664511E-4</v>
      </c>
      <c r="O204" s="213">
        <f t="shared" si="11"/>
        <v>17418.883090277537</v>
      </c>
    </row>
    <row r="205" spans="1:22" ht="15.75" x14ac:dyDescent="0.2">
      <c r="A205" s="206">
        <f t="shared" si="8"/>
        <v>175</v>
      </c>
      <c r="B205" s="88">
        <f>IF($F205="","",'הזנה לתנאי סף'!C205)</f>
        <v>1001348123</v>
      </c>
      <c r="C205" s="88">
        <f>IF($F205="","",'הזנה לתנאי סף'!D205)</f>
        <v>1001273976</v>
      </c>
      <c r="D205" s="88">
        <f>IF($F205="","",'הזנה לתנאי סף'!E205)</f>
        <v>41482603</v>
      </c>
      <c r="E205" s="88">
        <f>IF($F205="","",'הזנה לתנאי סף'!F205)</f>
        <v>20000159</v>
      </c>
      <c r="F205" s="88" t="str">
        <f>IF(OR('הזנה לתנאי סף'!G205="",'הזנה לתנאי סף'!BL205&lt;&gt;1,'הזנה לתנאי סף'!Q205&lt;&gt;1,'הזנה לתנאי סף'!N205&lt;&gt;1),"",'הזנה לתנאי סף'!G205)</f>
        <v>ירושלים</v>
      </c>
      <c r="G205" s="88" t="str">
        <f>IF($F205="","",'הזנה לתנאי סף'!H205)</f>
        <v>במת חוצות</v>
      </c>
      <c r="H205" s="88" t="str">
        <f>IF($F205="","",'הזנה לתנאי סף'!I205)</f>
        <v>קבוצות תיאטרון</v>
      </c>
      <c r="I205" s="88">
        <f>IF($F205="","",IF(AND('הזנה לתנאי סף'!N205=0,J205&gt;0),$Q$2,'הזנה לתנאי סף'!N205))</f>
        <v>1</v>
      </c>
      <c r="J205" s="213">
        <f>IF($F205="","",INDEX('גיליון עזר לתחום תמיכה ג'!$H$31:$H$330,MATCH(E205,'גיליון עזר לתחום תמיכה ג'!$C$31:$C$330,0)))</f>
        <v>3990706</v>
      </c>
      <c r="K205" s="213">
        <f>IF(OR(F205="",J205=""),"",IF(AND(J205&gt;0,I205=1),J205*'פרמטרים לקריטריונים'!$C$64,$Q$2))</f>
        <v>3990706</v>
      </c>
      <c r="L205" s="227">
        <f>IF(OR(F205="",J205=""),"",IF(J205&gt;0,'תחום תמיכה ב'!AC205/SUMIFS('תחום תמיכה ב'!$AC$31:$AC$500,'תחום תמיכה ב'!$E$31:$E$500,E205,'תחום תמיכה ב'!$S$31:$S$500,"=1"),0))</f>
        <v>1.1200438466929846E-3</v>
      </c>
      <c r="M205" s="213">
        <f t="shared" si="9"/>
        <v>4469.7656992607735</v>
      </c>
      <c r="N205" s="227">
        <f t="shared" si="10"/>
        <v>2.0309675165207752E-4</v>
      </c>
      <c r="O205" s="213">
        <f t="shared" si="11"/>
        <v>4469.7656992607735</v>
      </c>
    </row>
    <row r="206" spans="1:22" ht="15.75" x14ac:dyDescent="0.2">
      <c r="A206" s="206">
        <f t="shared" si="8"/>
        <v>176</v>
      </c>
      <c r="B206" s="88">
        <f>IF($F206="","",'הזנה לתנאי סף'!C206)</f>
        <v>1001347085</v>
      </c>
      <c r="C206" s="88">
        <f>IF($F206="","",'הזנה לתנאי סף'!D206)</f>
        <v>1001270801</v>
      </c>
      <c r="D206" s="88">
        <f>IF($F206="","",'הזנה לתנאי סף'!E206)</f>
        <v>40323479</v>
      </c>
      <c r="E206" s="88">
        <f>IF($F206="","",'הזנה לתנאי סף'!F206)</f>
        <v>20000201</v>
      </c>
      <c r="F206" s="88" t="str">
        <f>IF(OR('הזנה לתנאי סף'!G206="",'הזנה לתנאי סף'!BL206&lt;&gt;1,'הזנה לתנאי סף'!Q206&lt;&gt;1,'הזנה לתנאי סף'!N206&lt;&gt;1),"",'הזנה לתנאי סף'!G206)</f>
        <v>תל אביב -יפו</v>
      </c>
      <c r="G206" s="88" t="str">
        <f>IF($F206="","",'הזנה לתנאי סף'!H206)</f>
        <v>להקת יסמין גודר</v>
      </c>
      <c r="H206" s="88" t="str">
        <f>IF($F206="","",'הזנה לתנאי סף'!I206)</f>
        <v>מחול</v>
      </c>
      <c r="I206" s="88">
        <f>IF($F206="","",IF(AND('הזנה לתנאי סף'!N206=0,J206&gt;0),$Q$2,'הזנה לתנאי סף'!N206))</f>
        <v>1</v>
      </c>
      <c r="J206" s="213">
        <f>IF($F206="","",INDEX('גיליון עזר לתחום תמיכה ג'!$H$31:$H$330,MATCH(E206,'גיליון עזר לתחום תמיכה ג'!$C$31:$C$330,0)))</f>
        <v>15995126</v>
      </c>
      <c r="K206" s="213">
        <f>IF(OR(F206="",J206=""),"",IF(AND(J206&gt;0,I206=1),J206*'פרמטרים לקריטריונים'!$C$64,$Q$2))</f>
        <v>15995126</v>
      </c>
      <c r="L206" s="227">
        <f>IF(OR(F206="",J206=""),"",IF(J206&gt;0,'תחום תמיכה ב'!AC206/SUMIFS('תחום תמיכה ב'!$AC$31:$AC$500,'תחום תמיכה ב'!$E$31:$E$500,E206,'תחום תמיכה ב'!$S$31:$S$500,"=1"),0))</f>
        <v>1.2598579891490878E-3</v>
      </c>
      <c r="M206" s="213">
        <f t="shared" si="9"/>
        <v>20151.587278546293</v>
      </c>
      <c r="N206" s="227">
        <f t="shared" si="10"/>
        <v>9.1564573901109644E-4</v>
      </c>
      <c r="O206" s="213">
        <f t="shared" si="11"/>
        <v>20151.587278546293</v>
      </c>
    </row>
    <row r="207" spans="1:22" ht="15.75" x14ac:dyDescent="0.2">
      <c r="A207" s="206">
        <f t="shared" si="8"/>
        <v>177</v>
      </c>
      <c r="B207" s="88">
        <f>IF($F207="","",'הזנה לתנאי סף'!C207)</f>
        <v>1001350682</v>
      </c>
      <c r="C207" s="88">
        <f>IF($F207="","",'הזנה לתנאי סף'!D207)</f>
        <v>1001270744</v>
      </c>
      <c r="D207" s="88">
        <f>IF($F207="","",'הזנה לתנאי סף'!E207)</f>
        <v>40467070</v>
      </c>
      <c r="E207" s="88">
        <f>IF($F207="","",'הזנה לתנאי סף'!F207)</f>
        <v>20000201</v>
      </c>
      <c r="F207" s="88" t="str">
        <f>IF(OR('הזנה לתנאי סף'!G207="",'הזנה לתנאי סף'!BL207&lt;&gt;1,'הזנה לתנאי סף'!Q207&lt;&gt;1,'הזנה לתנאי סף'!N207&lt;&gt;1),"",'הזנה לתנאי סף'!G207)</f>
        <v>תל אביב -יפו</v>
      </c>
      <c r="G207" s="88" t="str">
        <f>IF($F207="","",'הזנה לתנאי סף'!H207)</f>
        <v>זמרי קולגיום</v>
      </c>
      <c r="H207" s="88" t="str">
        <f>IF($F207="","",'הזנה לתנאי סף'!I207)</f>
        <v>אחר</v>
      </c>
      <c r="I207" s="88">
        <f>IF($F207="","",IF(AND('הזנה לתנאי סף'!N207=0,J207&gt;0),$Q$2,'הזנה לתנאי סף'!N207))</f>
        <v>1</v>
      </c>
      <c r="J207" s="213">
        <f>IF($F207="","",INDEX('גיליון עזר לתחום תמיכה ג'!$H$31:$H$330,MATCH(E207,'גיליון עזר לתחום תמיכה ג'!$C$31:$C$330,0)))</f>
        <v>15995126</v>
      </c>
      <c r="K207" s="213">
        <f>IF(OR(F207="",J207=""),"",IF(AND(J207&gt;0,I207=1),J207*'פרמטרים לקריטריונים'!$C$64,$Q$2))</f>
        <v>15995126</v>
      </c>
      <c r="L207" s="227">
        <f>IF(OR(F207="",J207=""),"",IF(J207&gt;0,'תחום תמיכה ב'!AC207/SUMIFS('תחום תמיכה ב'!$AC$31:$AC$500,'תחום תמיכה ב'!$E$31:$E$500,E207,'תחום תמיכה ב'!$S$31:$S$500,"=1"),0))</f>
        <v>2.3054971320912092E-4</v>
      </c>
      <c r="M207" s="213">
        <f t="shared" si="9"/>
        <v>3687.6717120437534</v>
      </c>
      <c r="N207" s="227">
        <f t="shared" si="10"/>
        <v>1.6756004593243142E-4</v>
      </c>
      <c r="O207" s="213">
        <f t="shared" si="11"/>
        <v>3687.6717120437534</v>
      </c>
    </row>
    <row r="208" spans="1:22" ht="15.75" x14ac:dyDescent="0.2">
      <c r="A208" s="206" t="str">
        <f t="shared" si="8"/>
        <v/>
      </c>
      <c r="B208" s="88" t="str">
        <f>IF($F208="","",'הזנה לתנאי סף'!C208)</f>
        <v/>
      </c>
      <c r="C208" s="88" t="str">
        <f>IF($F208="","",'הזנה לתנאי סף'!D208)</f>
        <v/>
      </c>
      <c r="D208" s="88" t="str">
        <f>IF($F208="","",'הזנה לתנאי סף'!E208)</f>
        <v/>
      </c>
      <c r="E208" s="88" t="str">
        <f>IF($F208="","",'הזנה לתנאי סף'!F208)</f>
        <v/>
      </c>
      <c r="F208" s="88" t="str">
        <f>IF(OR('הזנה לתנאי סף'!G208="",'הזנה לתנאי סף'!BL208&lt;&gt;1,'הזנה לתנאי סף'!Q208&lt;&gt;1,'הזנה לתנאי סף'!N208&lt;&gt;1),"",'הזנה לתנאי סף'!G208)</f>
        <v/>
      </c>
      <c r="G208" s="88" t="str">
        <f>IF($F208="","",'הזנה לתנאי סף'!H208)</f>
        <v/>
      </c>
      <c r="H208" s="88" t="str">
        <f>IF($F208="","",'הזנה לתנאי סף'!I208)</f>
        <v/>
      </c>
      <c r="I208" s="88" t="str">
        <f>IF($F208="","",IF(AND('הזנה לתנאי סף'!N208=0,J208&gt;0),$Q$2,'הזנה לתנאי סף'!N208))</f>
        <v/>
      </c>
      <c r="J208" s="213" t="str">
        <f>IF($F208="","",INDEX('גיליון עזר לתחום תמיכה ג'!$H$31:$H$330,MATCH(E208,'גיליון עזר לתחום תמיכה ג'!$C$31:$C$330,0)))</f>
        <v/>
      </c>
      <c r="K208" s="213" t="str">
        <f>IF(OR(F208="",J208=""),"",IF(AND(J208&gt;0,I208=1),J208*'פרמטרים לקריטריונים'!$C$64,$Q$2))</f>
        <v/>
      </c>
      <c r="L208" s="227" t="str">
        <f>IF(OR(F208="",J208=""),"",IF(J208&gt;0,'תחום תמיכה ב'!AC208/SUMIFS('תחום תמיכה ב'!$AC$31:$AC$500,'תחום תמיכה ב'!$E$31:$E$500,E208,'תחום תמיכה ב'!$S$31:$S$500,"=1"),0))</f>
        <v/>
      </c>
      <c r="M208" s="213" t="str">
        <f t="shared" si="9"/>
        <v/>
      </c>
      <c r="N208" s="227" t="str">
        <f t="shared" si="10"/>
        <v/>
      </c>
      <c r="O208" s="213" t="str">
        <f t="shared" si="11"/>
        <v/>
      </c>
    </row>
    <row r="209" spans="1:15" ht="15.75" x14ac:dyDescent="0.2">
      <c r="A209" s="206" t="str">
        <f t="shared" si="8"/>
        <v/>
      </c>
      <c r="B209" s="88" t="str">
        <f>IF($F209="","",'הזנה לתנאי סף'!C209)</f>
        <v/>
      </c>
      <c r="C209" s="88" t="str">
        <f>IF($F209="","",'הזנה לתנאי סף'!D209)</f>
        <v/>
      </c>
      <c r="D209" s="88" t="str">
        <f>IF($F209="","",'הזנה לתנאי סף'!E209)</f>
        <v/>
      </c>
      <c r="E209" s="88" t="str">
        <f>IF($F209="","",'הזנה לתנאי סף'!F209)</f>
        <v/>
      </c>
      <c r="F209" s="88" t="str">
        <f>IF(OR('הזנה לתנאי סף'!G209="",'הזנה לתנאי סף'!BL209&lt;&gt;1,'הזנה לתנאי סף'!Q209&lt;&gt;1,'הזנה לתנאי סף'!N209&lt;&gt;1),"",'הזנה לתנאי סף'!G209)</f>
        <v/>
      </c>
      <c r="G209" s="88" t="str">
        <f>IF($F209="","",'הזנה לתנאי סף'!H209)</f>
        <v/>
      </c>
      <c r="H209" s="88" t="str">
        <f>IF($F209="","",'הזנה לתנאי סף'!I209)</f>
        <v/>
      </c>
      <c r="I209" s="88" t="str">
        <f>IF($F209="","",IF(AND('הזנה לתנאי סף'!N209=0,J209&gt;0),$Q$2,'הזנה לתנאי סף'!N209))</f>
        <v/>
      </c>
      <c r="J209" s="213" t="str">
        <f>IF($F209="","",INDEX('גיליון עזר לתחום תמיכה ג'!$H$31:$H$330,MATCH(E209,'גיליון עזר לתחום תמיכה ג'!$C$31:$C$330,0)))</f>
        <v/>
      </c>
      <c r="K209" s="213" t="str">
        <f>IF(OR(F209="",J209=""),"",IF(AND(J209&gt;0,I209=1),J209*'פרמטרים לקריטריונים'!$C$64,$Q$2))</f>
        <v/>
      </c>
      <c r="L209" s="227" t="str">
        <f>IF(OR(F209="",J209=""),"",IF(J209&gt;0,'תחום תמיכה ב'!AC209/SUMIFS('תחום תמיכה ב'!$AC$31:$AC$500,'תחום תמיכה ב'!$E$31:$E$500,E209,'תחום תמיכה ב'!$S$31:$S$500,"=1"),0))</f>
        <v/>
      </c>
      <c r="M209" s="213" t="str">
        <f t="shared" si="9"/>
        <v/>
      </c>
      <c r="N209" s="227" t="str">
        <f t="shared" si="10"/>
        <v/>
      </c>
      <c r="O209" s="213" t="str">
        <f t="shared" si="11"/>
        <v/>
      </c>
    </row>
    <row r="210" spans="1:15" ht="15.75" x14ac:dyDescent="0.2">
      <c r="A210" s="206" t="str">
        <f t="shared" si="8"/>
        <v/>
      </c>
      <c r="B210" s="88" t="str">
        <f>IF($F210="","",'הזנה לתנאי סף'!C210)</f>
        <v/>
      </c>
      <c r="C210" s="88" t="str">
        <f>IF($F210="","",'הזנה לתנאי סף'!D210)</f>
        <v/>
      </c>
      <c r="D210" s="88" t="str">
        <f>IF($F210="","",'הזנה לתנאי סף'!E210)</f>
        <v/>
      </c>
      <c r="E210" s="88" t="str">
        <f>IF($F210="","",'הזנה לתנאי סף'!F210)</f>
        <v/>
      </c>
      <c r="F210" s="88" t="str">
        <f>IF(OR('הזנה לתנאי סף'!G210="",'הזנה לתנאי סף'!BL210&lt;&gt;1,'הזנה לתנאי סף'!Q210&lt;&gt;1,'הזנה לתנאי סף'!N210&lt;&gt;1),"",'הזנה לתנאי סף'!G210)</f>
        <v/>
      </c>
      <c r="G210" s="88" t="str">
        <f>IF($F210="","",'הזנה לתנאי סף'!H210)</f>
        <v/>
      </c>
      <c r="H210" s="88" t="str">
        <f>IF($F210="","",'הזנה לתנאי סף'!I210)</f>
        <v/>
      </c>
      <c r="I210" s="88" t="str">
        <f>IF($F210="","",IF(AND('הזנה לתנאי סף'!N210=0,J210&gt;0),$Q$2,'הזנה לתנאי סף'!N210))</f>
        <v/>
      </c>
      <c r="J210" s="213" t="str">
        <f>IF($F210="","",INDEX('גיליון עזר לתחום תמיכה ג'!$H$31:$H$330,MATCH(E210,'גיליון עזר לתחום תמיכה ג'!$C$31:$C$330,0)))</f>
        <v/>
      </c>
      <c r="K210" s="213" t="str">
        <f>IF(OR(F210="",J210=""),"",IF(AND(J210&gt;0,I210=1),J210*'פרמטרים לקריטריונים'!$C$64,$Q$2))</f>
        <v/>
      </c>
      <c r="L210" s="227" t="str">
        <f>IF(OR(F210="",J210=""),"",IF(J210&gt;0,'תחום תמיכה ב'!AC210/SUMIFS('תחום תמיכה ב'!$AC$31:$AC$500,'תחום תמיכה ב'!$E$31:$E$500,E210,'תחום תמיכה ב'!$S$31:$S$500,"=1"),0))</f>
        <v/>
      </c>
      <c r="M210" s="213" t="str">
        <f t="shared" si="9"/>
        <v/>
      </c>
      <c r="N210" s="227" t="str">
        <f t="shared" si="10"/>
        <v/>
      </c>
      <c r="O210" s="213" t="str">
        <f t="shared" si="11"/>
        <v/>
      </c>
    </row>
    <row r="211" spans="1:15" ht="15.75" x14ac:dyDescent="0.2">
      <c r="A211" s="206">
        <f t="shared" si="8"/>
        <v>181</v>
      </c>
      <c r="B211" s="88">
        <f>IF($F211="","",'הזנה לתנאי סף'!C211)</f>
        <v>1001350410</v>
      </c>
      <c r="C211" s="88">
        <f>IF($F211="","",'הזנה לתנאי סף'!D211)</f>
        <v>1001280469</v>
      </c>
      <c r="D211" s="88">
        <f>IF($F211="","",'הזנה לתנאי סף'!E211)</f>
        <v>40822680</v>
      </c>
      <c r="E211" s="88">
        <f>IF($F211="","",'הזנה לתנאי סף'!F211)</f>
        <v>20000201</v>
      </c>
      <c r="F211" s="88" t="str">
        <f>IF(OR('הזנה לתנאי סף'!G211="",'הזנה לתנאי סף'!BL211&lt;&gt;1,'הזנה לתנאי סף'!Q211&lt;&gt;1,'הזנה לתנאי סף'!N211&lt;&gt;1),"",'הזנה לתנאי סף'!G211)</f>
        <v>תל אביב -יפו</v>
      </c>
      <c r="G211" s="88" t="str">
        <f>IF($F211="","",'הזנה לתנאי סף'!H211)</f>
        <v>העמותה לקידום סרטי תרבות ואמנות (ע"</v>
      </c>
      <c r="H211" s="88" t="str">
        <f>IF($F211="","",'הזנה לתנאי סף'!I211)</f>
        <v>סינמטקים ופסטיבלים</v>
      </c>
      <c r="I211" s="88">
        <f>IF($F211="","",IF(AND('הזנה לתנאי סף'!N211=0,J211&gt;0),$Q$2,'הזנה לתנאי סף'!N211))</f>
        <v>1</v>
      </c>
      <c r="J211" s="213">
        <f>IF($F211="","",INDEX('גיליון עזר לתחום תמיכה ג'!$H$31:$H$330,MATCH(E211,'גיליון עזר לתחום תמיכה ג'!$C$31:$C$330,0)))</f>
        <v>15995126</v>
      </c>
      <c r="K211" s="213">
        <f>IF(OR(F211="",J211=""),"",IF(AND(J211&gt;0,I211=1),J211*'פרמטרים לקריטריונים'!$C$64,$Q$2))</f>
        <v>15995126</v>
      </c>
      <c r="L211" s="227">
        <f>IF(OR(F211="",J211=""),"",IF(J211&gt;0,'תחום תמיכה ב'!AC211/SUMIFS('תחום תמיכה ב'!$AC$31:$AC$500,'תחום תמיכה ב'!$E$31:$E$500,E211,'תחום תמיכה ב'!$S$31:$S$500,"=1"),0))</f>
        <v>1.0653751982681581E-3</v>
      </c>
      <c r="M211" s="213">
        <f t="shared" si="9"/>
        <v>17040.810533574171</v>
      </c>
      <c r="N211" s="227">
        <f t="shared" si="10"/>
        <v>7.7429858693931137E-4</v>
      </c>
      <c r="O211" s="213">
        <f t="shared" si="11"/>
        <v>17040.810533574171</v>
      </c>
    </row>
    <row r="212" spans="1:15" ht="15.75" x14ac:dyDescent="0.2">
      <c r="A212" s="206" t="str">
        <f t="shared" si="8"/>
        <v/>
      </c>
      <c r="B212" s="88" t="str">
        <f>IF($F212="","",'הזנה לתנאי סף'!C212)</f>
        <v/>
      </c>
      <c r="C212" s="88" t="str">
        <f>IF($F212="","",'הזנה לתנאי סף'!D212)</f>
        <v/>
      </c>
      <c r="D212" s="88" t="str">
        <f>IF($F212="","",'הזנה לתנאי סף'!E212)</f>
        <v/>
      </c>
      <c r="E212" s="88" t="str">
        <f>IF($F212="","",'הזנה לתנאי סף'!F212)</f>
        <v/>
      </c>
      <c r="F212" s="88" t="str">
        <f>IF(OR('הזנה לתנאי סף'!G212="",'הזנה לתנאי סף'!BL212&lt;&gt;1,'הזנה לתנאי סף'!Q212&lt;&gt;1,'הזנה לתנאי סף'!N212&lt;&gt;1),"",'הזנה לתנאי סף'!G212)</f>
        <v/>
      </c>
      <c r="G212" s="88" t="str">
        <f>IF($F212="","",'הזנה לתנאי סף'!H212)</f>
        <v/>
      </c>
      <c r="H212" s="88" t="str">
        <f>IF($F212="","",'הזנה לתנאי סף'!I212)</f>
        <v/>
      </c>
      <c r="I212" s="88" t="str">
        <f>IF($F212="","",IF(AND('הזנה לתנאי סף'!N212=0,J212&gt;0),$Q$2,'הזנה לתנאי סף'!N212))</f>
        <v/>
      </c>
      <c r="J212" s="213" t="str">
        <f>IF($F212="","",INDEX('גיליון עזר לתחום תמיכה ג'!$H$31:$H$330,MATCH(E212,'גיליון עזר לתחום תמיכה ג'!$C$31:$C$330,0)))</f>
        <v/>
      </c>
      <c r="K212" s="213" t="str">
        <f>IF(OR(F212="",J212=""),"",IF(AND(J212&gt;0,I212=1),J212*'פרמטרים לקריטריונים'!$C$64,$Q$2))</f>
        <v/>
      </c>
      <c r="L212" s="227" t="str">
        <f>IF(OR(F212="",J212=""),"",IF(J212&gt;0,'תחום תמיכה ב'!AC212/SUMIFS('תחום תמיכה ב'!$AC$31:$AC$500,'תחום תמיכה ב'!$E$31:$E$500,E212,'תחום תמיכה ב'!$S$31:$S$500,"=1"),0))</f>
        <v/>
      </c>
      <c r="M212" s="213" t="str">
        <f t="shared" si="9"/>
        <v/>
      </c>
      <c r="N212" s="227" t="str">
        <f t="shared" si="10"/>
        <v/>
      </c>
      <c r="O212" s="213" t="str">
        <f t="shared" si="11"/>
        <v/>
      </c>
    </row>
    <row r="213" spans="1:15" ht="15.75" x14ac:dyDescent="0.2">
      <c r="A213" s="206">
        <f t="shared" si="8"/>
        <v>183</v>
      </c>
      <c r="B213" s="88">
        <f>IF($F213="","",'הזנה לתנאי סף'!C213)</f>
        <v>1001348951</v>
      </c>
      <c r="C213" s="88">
        <f>IF($F213="","",'הזנה לתנאי סף'!D213)</f>
        <v>1001290208</v>
      </c>
      <c r="D213" s="88">
        <f>IF($F213="","",'הזנה לתנאי סף'!E213)</f>
        <v>40298756</v>
      </c>
      <c r="E213" s="88">
        <f>IF($F213="","",'הזנה לתנאי סף'!F213)</f>
        <v>20000182</v>
      </c>
      <c r="F213" s="88" t="str">
        <f>IF(OR('הזנה לתנאי סף'!G213="",'הזנה לתנאי סף'!BL213&lt;&gt;1,'הזנה לתנאי סף'!Q213&lt;&gt;1,'הזנה לתנאי סף'!N213&lt;&gt;1),"",'הזנה לתנאי סף'!G213)</f>
        <v>חיפה</v>
      </c>
      <c r="G213" s="88" t="str">
        <f>IF($F213="","",'הזנה לתנאי סף'!H213)</f>
        <v>סרד לחינוך ספרותי</v>
      </c>
      <c r="H213" s="88" t="str">
        <f>IF($F213="","",'הזנה לתנאי סף'!I213)</f>
        <v>תרבות ערבית</v>
      </c>
      <c r="I213" s="88">
        <f>IF($F213="","",IF(AND('הזנה לתנאי סף'!N213=0,J213&gt;0),$Q$2,'הזנה לתנאי סף'!N213))</f>
        <v>1</v>
      </c>
      <c r="J213" s="213">
        <f>IF($F213="","",INDEX('גיליון עזר לתחום תמיכה ג'!$H$31:$H$330,MATCH(E213,'גיליון עזר לתחום תמיכה ג'!$C$31:$C$330,0)))</f>
        <v>894484</v>
      </c>
      <c r="K213" s="213">
        <f>IF(OR(F213="",J213=""),"",IF(AND(J213&gt;0,I213=1),J213*'פרמטרים לקריטריונים'!$C$64,$Q$2))</f>
        <v>894484</v>
      </c>
      <c r="L213" s="227">
        <f>IF(OR(F213="",J213=""),"",IF(J213&gt;0,'תחום תמיכה ב'!AC213/SUMIFS('תחום תמיכה ב'!$AC$31:$AC$500,'תחום תמיכה ב'!$E$31:$E$500,E213,'תחום תמיכה ב'!$S$31:$S$500,"=1"),0))</f>
        <v>5.3952703647827463E-3</v>
      </c>
      <c r="M213" s="213">
        <f t="shared" si="9"/>
        <v>4825.98301697233</v>
      </c>
      <c r="N213" s="227">
        <f t="shared" si="10"/>
        <v>2.1928251730001698E-4</v>
      </c>
      <c r="O213" s="213">
        <f t="shared" si="11"/>
        <v>4825.98301697233</v>
      </c>
    </row>
    <row r="214" spans="1:15" ht="15.75" x14ac:dyDescent="0.2">
      <c r="A214" s="206" t="str">
        <f t="shared" si="8"/>
        <v/>
      </c>
      <c r="B214" s="88" t="str">
        <f>IF($F214="","",'הזנה לתנאי סף'!C214)</f>
        <v/>
      </c>
      <c r="C214" s="88" t="str">
        <f>IF($F214="","",'הזנה לתנאי סף'!D214)</f>
        <v/>
      </c>
      <c r="D214" s="88" t="str">
        <f>IF($F214="","",'הזנה לתנאי סף'!E214)</f>
        <v/>
      </c>
      <c r="E214" s="88" t="str">
        <f>IF($F214="","",'הזנה לתנאי סף'!F214)</f>
        <v/>
      </c>
      <c r="F214" s="88" t="str">
        <f>IF(OR('הזנה לתנאי סף'!G214="",'הזנה לתנאי סף'!BL214&lt;&gt;1,'הזנה לתנאי סף'!Q214&lt;&gt;1,'הזנה לתנאי סף'!N214&lt;&gt;1),"",'הזנה לתנאי סף'!G214)</f>
        <v/>
      </c>
      <c r="G214" s="88" t="str">
        <f>IF($F214="","",'הזנה לתנאי סף'!H214)</f>
        <v/>
      </c>
      <c r="H214" s="88" t="str">
        <f>IF($F214="","",'הזנה לתנאי סף'!I214)</f>
        <v/>
      </c>
      <c r="I214" s="88" t="str">
        <f>IF($F214="","",IF(AND('הזנה לתנאי סף'!N214=0,J214&gt;0),$Q$2,'הזנה לתנאי סף'!N214))</f>
        <v/>
      </c>
      <c r="J214" s="213" t="str">
        <f>IF($F214="","",INDEX('גיליון עזר לתחום תמיכה ג'!$H$31:$H$330,MATCH(E214,'גיליון עזר לתחום תמיכה ג'!$C$31:$C$330,0)))</f>
        <v/>
      </c>
      <c r="K214" s="213" t="str">
        <f>IF(OR(F214="",J214=""),"",IF(AND(J214&gt;0,I214=1),J214*'פרמטרים לקריטריונים'!$C$64,$Q$2))</f>
        <v/>
      </c>
      <c r="L214" s="227" t="str">
        <f>IF(OR(F214="",J214=""),"",IF(J214&gt;0,'תחום תמיכה ב'!AC214/SUMIFS('תחום תמיכה ב'!$AC$31:$AC$500,'תחום תמיכה ב'!$E$31:$E$500,E214,'תחום תמיכה ב'!$S$31:$S$500,"=1"),0))</f>
        <v/>
      </c>
      <c r="M214" s="213" t="str">
        <f t="shared" si="9"/>
        <v/>
      </c>
      <c r="N214" s="227" t="str">
        <f t="shared" si="10"/>
        <v/>
      </c>
      <c r="O214" s="213" t="str">
        <f t="shared" si="11"/>
        <v/>
      </c>
    </row>
    <row r="215" spans="1:15" ht="15.75" x14ac:dyDescent="0.2">
      <c r="A215" s="206">
        <f t="shared" si="8"/>
        <v>185</v>
      </c>
      <c r="B215" s="88">
        <f>IF($F215="","",'הזנה לתנאי סף'!C215)</f>
        <v>1001350325</v>
      </c>
      <c r="C215" s="88">
        <f>IF($F215="","",'הזנה לתנאי סף'!D215)</f>
        <v>1001271352</v>
      </c>
      <c r="D215" s="88">
        <f>IF($F215="","",'הזנה לתנאי סף'!E215)</f>
        <v>40000402</v>
      </c>
      <c r="E215" s="88">
        <f>IF($F215="","",'הזנה לתנאי סף'!F215)</f>
        <v>20000159</v>
      </c>
      <c r="F215" s="88" t="str">
        <f>IF(OR('הזנה לתנאי סף'!G215="",'הזנה לתנאי סף'!BL215&lt;&gt;1,'הזנה לתנאי סף'!Q215&lt;&gt;1,'הזנה לתנאי סף'!N215&lt;&gt;1),"",'הזנה לתנאי סף'!G215)</f>
        <v>ירושלים</v>
      </c>
      <c r="G215" s="88" t="str">
        <f>IF($F215="","",'הזנה לתנאי סף'!H215)</f>
        <v>מרכז החאן</v>
      </c>
      <c r="H215" s="88" t="str">
        <f>IF($F215="","",'הזנה לתנאי סף'!I215)</f>
        <v>תיאטרון</v>
      </c>
      <c r="I215" s="88">
        <f>IF($F215="","",IF(AND('הזנה לתנאי סף'!N215=0,J215&gt;0),$Q$2,'הזנה לתנאי סף'!N215))</f>
        <v>1</v>
      </c>
      <c r="J215" s="213">
        <f>IF($F215="","",INDEX('גיליון עזר לתחום תמיכה ג'!$H$31:$H$330,MATCH(E215,'גיליון עזר לתחום תמיכה ג'!$C$31:$C$330,0)))</f>
        <v>3990706</v>
      </c>
      <c r="K215" s="213">
        <f>IF(OR(F215="",J215=""),"",IF(AND(J215&gt;0,I215=1),J215*'פרמטרים לקריטריונים'!$C$64,$Q$2))</f>
        <v>3990706</v>
      </c>
      <c r="L215" s="227">
        <f>IF(OR(F215="",J215=""),"",IF(J215&gt;0,'תחום תמיכה ב'!AC215/SUMIFS('תחום תמיכה ב'!$AC$31:$AC$500,'תחום תמיכה ב'!$E$31:$E$500,E215,'תחום תמיכה ב'!$S$31:$S$500,"=1"),0))</f>
        <v>1.2570719390772879E-2</v>
      </c>
      <c r="M215" s="213">
        <f t="shared" si="9"/>
        <v>50166.045297073673</v>
      </c>
      <c r="N215" s="227">
        <f t="shared" si="10"/>
        <v>2.2794395788467538E-3</v>
      </c>
      <c r="O215" s="213">
        <f t="shared" si="11"/>
        <v>50166.045297073673</v>
      </c>
    </row>
    <row r="216" spans="1:15" ht="15.75" x14ac:dyDescent="0.2">
      <c r="A216" s="206" t="str">
        <f t="shared" si="8"/>
        <v/>
      </c>
      <c r="B216" s="88" t="str">
        <f>IF($F216="","",'הזנה לתנאי סף'!C216)</f>
        <v/>
      </c>
      <c r="C216" s="88" t="str">
        <f>IF($F216="","",'הזנה לתנאי סף'!D216)</f>
        <v/>
      </c>
      <c r="D216" s="88" t="str">
        <f>IF($F216="","",'הזנה לתנאי סף'!E216)</f>
        <v/>
      </c>
      <c r="E216" s="88" t="str">
        <f>IF($F216="","",'הזנה לתנאי סף'!F216)</f>
        <v/>
      </c>
      <c r="F216" s="88" t="str">
        <f>IF(OR('הזנה לתנאי סף'!G216="",'הזנה לתנאי סף'!BL216&lt;&gt;1,'הזנה לתנאי סף'!Q216&lt;&gt;1,'הזנה לתנאי סף'!N216&lt;&gt;1),"",'הזנה לתנאי סף'!G216)</f>
        <v/>
      </c>
      <c r="G216" s="88" t="str">
        <f>IF($F216="","",'הזנה לתנאי סף'!H216)</f>
        <v/>
      </c>
      <c r="H216" s="88" t="str">
        <f>IF($F216="","",'הזנה לתנאי סף'!I216)</f>
        <v/>
      </c>
      <c r="I216" s="88" t="str">
        <f>IF($F216="","",IF(AND('הזנה לתנאי סף'!N216=0,J216&gt;0),$Q$2,'הזנה לתנאי סף'!N216))</f>
        <v/>
      </c>
      <c r="J216" s="213" t="str">
        <f>IF($F216="","",INDEX('גיליון עזר לתחום תמיכה ג'!$H$31:$H$330,MATCH(E216,'גיליון עזר לתחום תמיכה ג'!$C$31:$C$330,0)))</f>
        <v/>
      </c>
      <c r="K216" s="213" t="str">
        <f>IF(OR(F216="",J216=""),"",IF(AND(J216&gt;0,I216=1),J216*'פרמטרים לקריטריונים'!$C$64,$Q$2))</f>
        <v/>
      </c>
      <c r="L216" s="227" t="str">
        <f>IF(OR(F216="",J216=""),"",IF(J216&gt;0,'תחום תמיכה ב'!AC216/SUMIFS('תחום תמיכה ב'!$AC$31:$AC$500,'תחום תמיכה ב'!$E$31:$E$500,E216,'תחום תמיכה ב'!$S$31:$S$500,"=1"),0))</f>
        <v/>
      </c>
      <c r="M216" s="213" t="str">
        <f t="shared" si="9"/>
        <v/>
      </c>
      <c r="N216" s="227" t="str">
        <f t="shared" si="10"/>
        <v/>
      </c>
      <c r="O216" s="213" t="str">
        <f t="shared" si="11"/>
        <v/>
      </c>
    </row>
    <row r="217" spans="1:15" ht="15.75" x14ac:dyDescent="0.2">
      <c r="A217" s="206" t="str">
        <f t="shared" si="8"/>
        <v/>
      </c>
      <c r="B217" s="88" t="str">
        <f>IF($F217="","",'הזנה לתנאי סף'!C217)</f>
        <v/>
      </c>
      <c r="C217" s="88" t="str">
        <f>IF($F217="","",'הזנה לתנאי סף'!D217)</f>
        <v/>
      </c>
      <c r="D217" s="88" t="str">
        <f>IF($F217="","",'הזנה לתנאי סף'!E217)</f>
        <v/>
      </c>
      <c r="E217" s="88" t="str">
        <f>IF($F217="","",'הזנה לתנאי סף'!F217)</f>
        <v/>
      </c>
      <c r="F217" s="88" t="str">
        <f>IF(OR('הזנה לתנאי סף'!G217="",'הזנה לתנאי סף'!BL217&lt;&gt;1,'הזנה לתנאי סף'!Q217&lt;&gt;1,'הזנה לתנאי סף'!N217&lt;&gt;1),"",'הזנה לתנאי סף'!G217)</f>
        <v/>
      </c>
      <c r="G217" s="88" t="str">
        <f>IF($F217="","",'הזנה לתנאי סף'!H217)</f>
        <v/>
      </c>
      <c r="H217" s="88" t="str">
        <f>IF($F217="","",'הזנה לתנאי סף'!I217)</f>
        <v/>
      </c>
      <c r="I217" s="88" t="str">
        <f>IF($F217="","",IF(AND('הזנה לתנאי סף'!N217=0,J217&gt;0),$Q$2,'הזנה לתנאי סף'!N217))</f>
        <v/>
      </c>
      <c r="J217" s="213" t="str">
        <f>IF($F217="","",INDEX('גיליון עזר לתחום תמיכה ג'!$H$31:$H$330,MATCH(E217,'גיליון עזר לתחום תמיכה ג'!$C$31:$C$330,0)))</f>
        <v/>
      </c>
      <c r="K217" s="213" t="str">
        <f>IF(OR(F217="",J217=""),"",IF(AND(J217&gt;0,I217=1),J217*'פרמטרים לקריטריונים'!$C$64,$Q$2))</f>
        <v/>
      </c>
      <c r="L217" s="227" t="str">
        <f>IF(OR(F217="",J217=""),"",IF(J217&gt;0,'תחום תמיכה ב'!AC217/SUMIFS('תחום תמיכה ב'!$AC$31:$AC$500,'תחום תמיכה ב'!$E$31:$E$500,E217,'תחום תמיכה ב'!$S$31:$S$500,"=1"),0))</f>
        <v/>
      </c>
      <c r="M217" s="213" t="str">
        <f t="shared" si="9"/>
        <v/>
      </c>
      <c r="N217" s="227" t="str">
        <f t="shared" si="10"/>
        <v/>
      </c>
      <c r="O217" s="213" t="str">
        <f t="shared" si="11"/>
        <v/>
      </c>
    </row>
    <row r="218" spans="1:15" ht="15.75" x14ac:dyDescent="0.2">
      <c r="A218" s="206">
        <f t="shared" si="8"/>
        <v>188</v>
      </c>
      <c r="B218" s="88">
        <f>IF($F218="","",'הזנה לתנאי סף'!C218)</f>
        <v>1001349367</v>
      </c>
      <c r="C218" s="88">
        <f>IF($F218="","",'הזנה לתנאי סף'!D218)</f>
        <v>1001264905</v>
      </c>
      <c r="D218" s="88">
        <f>IF($F218="","",'הזנה לתנאי סף'!E218)</f>
        <v>40188899</v>
      </c>
      <c r="E218" s="88">
        <f>IF($F218="","",'הזנה לתנאי סף'!F218)</f>
        <v>20000159</v>
      </c>
      <c r="F218" s="88" t="str">
        <f>IF(OR('הזנה לתנאי סף'!G218="",'הזנה לתנאי סף'!BL218&lt;&gt;1,'הזנה לתנאי סף'!Q218&lt;&gt;1,'הזנה לתנאי סף'!N218&lt;&gt;1),"",'הזנה לתנאי סף'!G218)</f>
        <v>ירושלים</v>
      </c>
      <c r="G218" s="88" t="str">
        <f>IF($F218="","",'הזנה לתנאי סף'!H218)</f>
        <v>נהר אפרסמון</v>
      </c>
      <c r="H218" s="88" t="str">
        <f>IF($F218="","",'הזנה לתנאי סף'!I218)</f>
        <v>אחר</v>
      </c>
      <c r="I218" s="88">
        <f>IF($F218="","",IF(AND('הזנה לתנאי סף'!N218=0,J218&gt;0),$Q$2,'הזנה לתנאי סף'!N218))</f>
        <v>1</v>
      </c>
      <c r="J218" s="213">
        <f>IF($F218="","",INDEX('גיליון עזר לתחום תמיכה ג'!$H$31:$H$330,MATCH(E218,'גיליון עזר לתחום תמיכה ג'!$C$31:$C$330,0)))</f>
        <v>3990706</v>
      </c>
      <c r="K218" s="213">
        <f>IF(OR(F218="",J218=""),"",IF(AND(J218&gt;0,I218=1),J218*'פרמטרים לקריטריונים'!$C$64,$Q$2))</f>
        <v>3990706</v>
      </c>
      <c r="L218" s="227">
        <f>IF(OR(F218="",J218=""),"",IF(J218&gt;0,'תחום תמיכה ב'!AC218/SUMIFS('תחום תמיכה ב'!$AC$31:$AC$500,'תחום תמיכה ב'!$E$31:$E$500,E218,'תחום תמיכה ב'!$S$31:$S$500,"=1"),0))</f>
        <v>1.4269368658111162E-4</v>
      </c>
      <c r="M218" s="213">
        <f t="shared" si="9"/>
        <v>569.44855120136162</v>
      </c>
      <c r="N218" s="227">
        <f t="shared" si="10"/>
        <v>2.5874544386321063E-5</v>
      </c>
      <c r="O218" s="213">
        <f t="shared" si="11"/>
        <v>569.44855120136162</v>
      </c>
    </row>
    <row r="219" spans="1:15" ht="15.75" x14ac:dyDescent="0.2">
      <c r="A219" s="206" t="str">
        <f t="shared" si="8"/>
        <v/>
      </c>
      <c r="B219" s="88" t="str">
        <f>IF($F219="","",'הזנה לתנאי סף'!C219)</f>
        <v/>
      </c>
      <c r="C219" s="88" t="str">
        <f>IF($F219="","",'הזנה לתנאי סף'!D219)</f>
        <v/>
      </c>
      <c r="D219" s="88" t="str">
        <f>IF($F219="","",'הזנה לתנאי סף'!E219)</f>
        <v/>
      </c>
      <c r="E219" s="88" t="str">
        <f>IF($F219="","",'הזנה לתנאי סף'!F219)</f>
        <v/>
      </c>
      <c r="F219" s="88" t="str">
        <f>IF(OR('הזנה לתנאי סף'!G219="",'הזנה לתנאי סף'!BL219&lt;&gt;1,'הזנה לתנאי סף'!Q219&lt;&gt;1,'הזנה לתנאי סף'!N219&lt;&gt;1),"",'הזנה לתנאי סף'!G219)</f>
        <v/>
      </c>
      <c r="G219" s="88" t="str">
        <f>IF($F219="","",'הזנה לתנאי סף'!H219)</f>
        <v/>
      </c>
      <c r="H219" s="88" t="str">
        <f>IF($F219="","",'הזנה לתנאי סף'!I219)</f>
        <v/>
      </c>
      <c r="I219" s="88" t="str">
        <f>IF($F219="","",IF(AND('הזנה לתנאי סף'!N219=0,J219&gt;0),$Q$2,'הזנה לתנאי סף'!N219))</f>
        <v/>
      </c>
      <c r="J219" s="213" t="str">
        <f>IF($F219="","",INDEX('גיליון עזר לתחום תמיכה ג'!$H$31:$H$330,MATCH(E219,'גיליון עזר לתחום תמיכה ג'!$C$31:$C$330,0)))</f>
        <v/>
      </c>
      <c r="K219" s="213" t="str">
        <f>IF(OR(F219="",J219=""),"",IF(AND(J219&gt;0,I219=1),J219*'פרמטרים לקריטריונים'!$C$64,$Q$2))</f>
        <v/>
      </c>
      <c r="L219" s="227" t="str">
        <f>IF(OR(F219="",J219=""),"",IF(J219&gt;0,'תחום תמיכה ב'!AC219/SUMIFS('תחום תמיכה ב'!$AC$31:$AC$500,'תחום תמיכה ב'!$E$31:$E$500,E219,'תחום תמיכה ב'!$S$31:$S$500,"=1"),0))</f>
        <v/>
      </c>
      <c r="M219" s="213" t="str">
        <f t="shared" si="9"/>
        <v/>
      </c>
      <c r="N219" s="227" t="str">
        <f t="shared" si="10"/>
        <v/>
      </c>
      <c r="O219" s="213" t="str">
        <f t="shared" si="11"/>
        <v/>
      </c>
    </row>
    <row r="220" spans="1:15" ht="15.75" x14ac:dyDescent="0.2">
      <c r="A220" s="206" t="str">
        <f t="shared" si="8"/>
        <v/>
      </c>
      <c r="B220" s="88" t="str">
        <f>IF($F220="","",'הזנה לתנאי סף'!C220)</f>
        <v/>
      </c>
      <c r="C220" s="88" t="str">
        <f>IF($F220="","",'הזנה לתנאי סף'!D220)</f>
        <v/>
      </c>
      <c r="D220" s="88" t="str">
        <f>IF($F220="","",'הזנה לתנאי סף'!E220)</f>
        <v/>
      </c>
      <c r="E220" s="88" t="str">
        <f>IF($F220="","",'הזנה לתנאי סף'!F220)</f>
        <v/>
      </c>
      <c r="F220" s="88" t="str">
        <f>IF(OR('הזנה לתנאי סף'!G220="",'הזנה לתנאי סף'!BL220&lt;&gt;1,'הזנה לתנאי סף'!Q220&lt;&gt;1,'הזנה לתנאי סף'!N220&lt;&gt;1),"",'הזנה לתנאי סף'!G220)</f>
        <v/>
      </c>
      <c r="G220" s="88" t="str">
        <f>IF($F220="","",'הזנה לתנאי סף'!H220)</f>
        <v/>
      </c>
      <c r="H220" s="88" t="str">
        <f>IF($F220="","",'הזנה לתנאי סף'!I220)</f>
        <v/>
      </c>
      <c r="I220" s="88" t="str">
        <f>IF($F220="","",IF(AND('הזנה לתנאי סף'!N220=0,J220&gt;0),$Q$2,'הזנה לתנאי סף'!N220))</f>
        <v/>
      </c>
      <c r="J220" s="213" t="str">
        <f>IF($F220="","",INDEX('גיליון עזר לתחום תמיכה ג'!$H$31:$H$330,MATCH(E220,'גיליון עזר לתחום תמיכה ג'!$C$31:$C$330,0)))</f>
        <v/>
      </c>
      <c r="K220" s="213" t="str">
        <f>IF(OR(F220="",J220=""),"",IF(AND(J220&gt;0,I220=1),J220*'פרמטרים לקריטריונים'!$C$64,$Q$2))</f>
        <v/>
      </c>
      <c r="L220" s="227" t="str">
        <f>IF(OR(F220="",J220=""),"",IF(J220&gt;0,'תחום תמיכה ב'!AC220/SUMIFS('תחום תמיכה ב'!$AC$31:$AC$500,'תחום תמיכה ב'!$E$31:$E$500,E220,'תחום תמיכה ב'!$S$31:$S$500,"=1"),0))</f>
        <v/>
      </c>
      <c r="M220" s="213" t="str">
        <f t="shared" si="9"/>
        <v/>
      </c>
      <c r="N220" s="227" t="str">
        <f t="shared" si="10"/>
        <v/>
      </c>
      <c r="O220" s="213" t="str">
        <f t="shared" si="11"/>
        <v/>
      </c>
    </row>
    <row r="221" spans="1:15" ht="15.75" x14ac:dyDescent="0.2">
      <c r="A221" s="206" t="str">
        <f t="shared" si="8"/>
        <v/>
      </c>
      <c r="B221" s="88" t="str">
        <f>IF($F221="","",'הזנה לתנאי סף'!C221)</f>
        <v/>
      </c>
      <c r="C221" s="88" t="str">
        <f>IF($F221="","",'הזנה לתנאי סף'!D221)</f>
        <v/>
      </c>
      <c r="D221" s="88" t="str">
        <f>IF($F221="","",'הזנה לתנאי סף'!E221)</f>
        <v/>
      </c>
      <c r="E221" s="88" t="str">
        <f>IF($F221="","",'הזנה לתנאי סף'!F221)</f>
        <v/>
      </c>
      <c r="F221" s="88" t="str">
        <f>IF(OR('הזנה לתנאי סף'!G221="",'הזנה לתנאי סף'!BL221&lt;&gt;1,'הזנה לתנאי סף'!Q221&lt;&gt;1,'הזנה לתנאי סף'!N221&lt;&gt;1),"",'הזנה לתנאי סף'!G221)</f>
        <v/>
      </c>
      <c r="G221" s="88" t="str">
        <f>IF($F221="","",'הזנה לתנאי סף'!H221)</f>
        <v/>
      </c>
      <c r="H221" s="88" t="str">
        <f>IF($F221="","",'הזנה לתנאי סף'!I221)</f>
        <v/>
      </c>
      <c r="I221" s="88" t="str">
        <f>IF($F221="","",IF(AND('הזנה לתנאי סף'!N221=0,J221&gt;0),$Q$2,'הזנה לתנאי סף'!N221))</f>
        <v/>
      </c>
      <c r="J221" s="213" t="str">
        <f>IF($F221="","",INDEX('גיליון עזר לתחום תמיכה ג'!$H$31:$H$330,MATCH(E221,'גיליון עזר לתחום תמיכה ג'!$C$31:$C$330,0)))</f>
        <v/>
      </c>
      <c r="K221" s="213" t="str">
        <f>IF(OR(F221="",J221=""),"",IF(AND(J221&gt;0,I221=1),J221*'פרמטרים לקריטריונים'!$C$64,$Q$2))</f>
        <v/>
      </c>
      <c r="L221" s="227" t="str">
        <f>IF(OR(F221="",J221=""),"",IF(J221&gt;0,'תחום תמיכה ב'!AC221/SUMIFS('תחום תמיכה ב'!$AC$31:$AC$500,'תחום תמיכה ב'!$E$31:$E$500,E221,'תחום תמיכה ב'!$S$31:$S$500,"=1"),0))</f>
        <v/>
      </c>
      <c r="M221" s="213" t="str">
        <f t="shared" si="9"/>
        <v/>
      </c>
      <c r="N221" s="227" t="str">
        <f t="shared" si="10"/>
        <v/>
      </c>
      <c r="O221" s="213" t="str">
        <f t="shared" si="11"/>
        <v/>
      </c>
    </row>
    <row r="222" spans="1:15" ht="15.75" x14ac:dyDescent="0.2">
      <c r="A222" s="206">
        <f t="shared" si="8"/>
        <v>192</v>
      </c>
      <c r="B222" s="88">
        <f>IF($F222="","",'הזנה לתנאי סף'!C222)</f>
        <v>1001350662</v>
      </c>
      <c r="C222" s="88">
        <f>IF($F222="","",'הזנה לתנאי סף'!D222)</f>
        <v>1001279212</v>
      </c>
      <c r="D222" s="88">
        <f>IF($F222="","",'הזנה לתנאי סף'!E222)</f>
        <v>40000437</v>
      </c>
      <c r="E222" s="88">
        <f>IF($F222="","",'הזנה לתנאי סף'!F222)</f>
        <v>20000201</v>
      </c>
      <c r="F222" s="88" t="str">
        <f>IF(OR('הזנה לתנאי סף'!G222="",'הזנה לתנאי סף'!BL222&lt;&gt;1,'הזנה לתנאי סף'!Q222&lt;&gt;1,'הזנה לתנאי סף'!N222&lt;&gt;1),"",'הזנה לתנאי סף'!G222)</f>
        <v>תל אביב -יפו</v>
      </c>
      <c r="G222" s="88" t="str">
        <f>IF($F222="","",'הזנה לתנאי סף'!H222)</f>
        <v>עמותת אמנים יוצרים בישראל</v>
      </c>
      <c r="H222" s="88" t="str">
        <f>IF($F222="","",'הזנה לתנאי סף'!I222)</f>
        <v>חללי תצוגה</v>
      </c>
      <c r="I222" s="88">
        <f>IF($F222="","",IF(AND('הזנה לתנאי סף'!N222=0,J222&gt;0),$Q$2,'הזנה לתנאי סף'!N222))</f>
        <v>1</v>
      </c>
      <c r="J222" s="213">
        <f>IF($F222="","",INDEX('גיליון עזר לתחום תמיכה ג'!$H$31:$H$330,MATCH(E222,'גיליון עזר לתחום תמיכה ג'!$C$31:$C$330,0)))</f>
        <v>15995126</v>
      </c>
      <c r="K222" s="213">
        <f>IF(OR(F222="",J222=""),"",IF(AND(J222&gt;0,I222=1),J222*'פרמטרים לקריטריונים'!$C$64,$Q$2))</f>
        <v>15995126</v>
      </c>
      <c r="L222" s="227">
        <f>IF(OR(F222="",J222=""),"",IF(J222&gt;0,'תחום תמיכה ב'!AC222/SUMIFS('תחום תמיכה ב'!$AC$31:$AC$500,'תחום תמיכה ב'!$E$31:$E$500,E222,'תחום תמיכה ב'!$S$31:$S$500,"=1"),0))</f>
        <v>1.5250327648365339E-3</v>
      </c>
      <c r="M222" s="213">
        <f t="shared" si="9"/>
        <v>24393.091227688728</v>
      </c>
      <c r="N222" s="227">
        <f t="shared" si="10"/>
        <v>1.1083707568644381E-3</v>
      </c>
      <c r="O222" s="213">
        <f t="shared" si="11"/>
        <v>24393.091227688728</v>
      </c>
    </row>
    <row r="223" spans="1:15" ht="15.75" x14ac:dyDescent="0.2">
      <c r="A223" s="206" t="str">
        <f t="shared" si="8"/>
        <v/>
      </c>
      <c r="B223" s="88" t="str">
        <f>IF($F223="","",'הזנה לתנאי סף'!C223)</f>
        <v/>
      </c>
      <c r="C223" s="88" t="str">
        <f>IF($F223="","",'הזנה לתנאי סף'!D223)</f>
        <v/>
      </c>
      <c r="D223" s="88" t="str">
        <f>IF($F223="","",'הזנה לתנאי סף'!E223)</f>
        <v/>
      </c>
      <c r="E223" s="88" t="str">
        <f>IF($F223="","",'הזנה לתנאי סף'!F223)</f>
        <v/>
      </c>
      <c r="F223" s="88" t="str">
        <f>IF(OR('הזנה לתנאי סף'!G223="",'הזנה לתנאי סף'!BL223&lt;&gt;1,'הזנה לתנאי סף'!Q223&lt;&gt;1,'הזנה לתנאי סף'!N223&lt;&gt;1),"",'הזנה לתנאי סף'!G223)</f>
        <v/>
      </c>
      <c r="G223" s="88" t="str">
        <f>IF($F223="","",'הזנה לתנאי סף'!H223)</f>
        <v/>
      </c>
      <c r="H223" s="88" t="str">
        <f>IF($F223="","",'הזנה לתנאי סף'!I223)</f>
        <v/>
      </c>
      <c r="I223" s="88" t="str">
        <f>IF($F223="","",IF(AND('הזנה לתנאי סף'!N223=0,J223&gt;0),$Q$2,'הזנה לתנאי סף'!N223))</f>
        <v/>
      </c>
      <c r="J223" s="213" t="str">
        <f>IF($F223="","",INDEX('גיליון עזר לתחום תמיכה ג'!$H$31:$H$330,MATCH(E223,'גיליון עזר לתחום תמיכה ג'!$C$31:$C$330,0)))</f>
        <v/>
      </c>
      <c r="K223" s="213" t="str">
        <f>IF(OR(F223="",J223=""),"",IF(AND(J223&gt;0,I223=1),J223*'פרמטרים לקריטריונים'!$C$64,$Q$2))</f>
        <v/>
      </c>
      <c r="L223" s="227" t="str">
        <f>IF(OR(F223="",J223=""),"",IF(J223&gt;0,'תחום תמיכה ב'!AC223/SUMIFS('תחום תמיכה ב'!$AC$31:$AC$500,'תחום תמיכה ב'!$E$31:$E$500,E223,'תחום תמיכה ב'!$S$31:$S$500,"=1"),0))</f>
        <v/>
      </c>
      <c r="M223" s="213" t="str">
        <f t="shared" si="9"/>
        <v/>
      </c>
      <c r="N223" s="227" t="str">
        <f t="shared" si="10"/>
        <v/>
      </c>
      <c r="O223" s="213" t="str">
        <f t="shared" si="11"/>
        <v/>
      </c>
    </row>
    <row r="224" spans="1:15" ht="15.75" x14ac:dyDescent="0.2">
      <c r="A224" s="206" t="str">
        <f t="shared" ref="A224:A287" si="12">IF(F224="","",ROW()-30)</f>
        <v/>
      </c>
      <c r="B224" s="88" t="str">
        <f>IF($F224="","",'הזנה לתנאי סף'!C224)</f>
        <v/>
      </c>
      <c r="C224" s="88" t="str">
        <f>IF($F224="","",'הזנה לתנאי סף'!D224)</f>
        <v/>
      </c>
      <c r="D224" s="88" t="str">
        <f>IF($F224="","",'הזנה לתנאי סף'!E224)</f>
        <v/>
      </c>
      <c r="E224" s="88" t="str">
        <f>IF($F224="","",'הזנה לתנאי סף'!F224)</f>
        <v/>
      </c>
      <c r="F224" s="88" t="str">
        <f>IF(OR('הזנה לתנאי סף'!G224="",'הזנה לתנאי סף'!BL224&lt;&gt;1,'הזנה לתנאי סף'!Q224&lt;&gt;1,'הזנה לתנאי סף'!N224&lt;&gt;1),"",'הזנה לתנאי סף'!G224)</f>
        <v/>
      </c>
      <c r="G224" s="88" t="str">
        <f>IF($F224="","",'הזנה לתנאי סף'!H224)</f>
        <v/>
      </c>
      <c r="H224" s="88" t="str">
        <f>IF($F224="","",'הזנה לתנאי סף'!I224)</f>
        <v/>
      </c>
      <c r="I224" s="88" t="str">
        <f>IF($F224="","",IF(AND('הזנה לתנאי סף'!N224=0,J224&gt;0),$Q$2,'הזנה לתנאי סף'!N224))</f>
        <v/>
      </c>
      <c r="J224" s="213" t="str">
        <f>IF($F224="","",INDEX('גיליון עזר לתחום תמיכה ג'!$H$31:$H$330,MATCH(E224,'גיליון עזר לתחום תמיכה ג'!$C$31:$C$330,0)))</f>
        <v/>
      </c>
      <c r="K224" s="213" t="str">
        <f>IF(OR(F224="",J224=""),"",IF(AND(J224&gt;0,I224=1),J224*'פרמטרים לקריטריונים'!$C$64,$Q$2))</f>
        <v/>
      </c>
      <c r="L224" s="227" t="str">
        <f>IF(OR(F224="",J224=""),"",IF(J224&gt;0,'תחום תמיכה ב'!AC224/SUMIFS('תחום תמיכה ב'!$AC$31:$AC$500,'תחום תמיכה ב'!$E$31:$E$500,E224,'תחום תמיכה ב'!$S$31:$S$500,"=1"),0))</f>
        <v/>
      </c>
      <c r="M224" s="213" t="str">
        <f t="shared" ref="M224:M287" si="13">IF(OR(F224="",J224=""),"",IFERROR(K224*L224,$Q$2))</f>
        <v/>
      </c>
      <c r="N224" s="227" t="str">
        <f t="shared" ref="N224:N287" si="14">IF(OR(F224="",J224=""),"",IFERROR(M224/$M$501,$Q$2))</f>
        <v/>
      </c>
      <c r="O224" s="213" t="str">
        <f t="shared" ref="O224:O287" si="15">IF(N224="","",IF($M$501&lt;$F$4,M224,N224*$F$4))</f>
        <v/>
      </c>
    </row>
    <row r="225" spans="1:15" ht="15.75" x14ac:dyDescent="0.2">
      <c r="A225" s="206">
        <f t="shared" si="12"/>
        <v>195</v>
      </c>
      <c r="B225" s="88">
        <f>IF($F225="","",'הזנה לתנאי סף'!C225)</f>
        <v>1001350350</v>
      </c>
      <c r="C225" s="88">
        <f>IF($F225="","",'הזנה לתנאי סף'!D225)</f>
        <v>1001270597</v>
      </c>
      <c r="D225" s="88">
        <f>IF($F225="","",'הזנה לתנאי סף'!E225)</f>
        <v>41103047</v>
      </c>
      <c r="E225" s="88">
        <f>IF($F225="","",'הזנה לתנאי סף'!F225)</f>
        <v>20000201</v>
      </c>
      <c r="F225" s="88" t="str">
        <f>IF(OR('הזנה לתנאי סף'!G225="",'הזנה לתנאי סף'!BL225&lt;&gt;1,'הזנה לתנאי סף'!Q225&lt;&gt;1,'הזנה לתנאי סף'!N225&lt;&gt;1),"",'הזנה לתנאי סף'!G225)</f>
        <v>תל אביב -יפו</v>
      </c>
      <c r="G225" s="88" t="str">
        <f>IF($F225="","",'הזנה לתנאי סף'!H225)</f>
        <v>א.מ.א. - אומנות מקורית אלטרנטיבית</v>
      </c>
      <c r="H225" s="88" t="str">
        <f>IF($F225="","",'הזנה לתנאי סף'!I225)</f>
        <v>מרכזי מוסיקה</v>
      </c>
      <c r="I225" s="88">
        <f>IF($F225="","",IF(AND('הזנה לתנאי סף'!N225=0,J225&gt;0),$Q$2,'הזנה לתנאי סף'!N225))</f>
        <v>1</v>
      </c>
      <c r="J225" s="213">
        <f>IF($F225="","",INDEX('גיליון עזר לתחום תמיכה ג'!$H$31:$H$330,MATCH(E225,'גיליון עזר לתחום תמיכה ג'!$C$31:$C$330,0)))</f>
        <v>15995126</v>
      </c>
      <c r="K225" s="213">
        <f>IF(OR(F225="",J225=""),"",IF(AND(J225&gt;0,I225=1),J225*'פרמטרים לקריטריונים'!$C$64,$Q$2))</f>
        <v>15995126</v>
      </c>
      <c r="L225" s="227">
        <f>IF(OR(F225="",J225=""),"",IF(J225&gt;0,'תחום תמיכה ב'!AC225/SUMIFS('תחום תמיכה ב'!$AC$31:$AC$500,'תחום תמיכה ב'!$E$31:$E$500,E225,'תחום תמיכה ב'!$S$31:$S$500,"=1"),0))</f>
        <v>5.578085757703001E-3</v>
      </c>
      <c r="M225" s="213">
        <f t="shared" si="13"/>
        <v>89222.184533264968</v>
      </c>
      <c r="N225" s="227">
        <f t="shared" si="14"/>
        <v>4.0540683949060732E-3</v>
      </c>
      <c r="O225" s="213">
        <f t="shared" si="15"/>
        <v>89222.184533264968</v>
      </c>
    </row>
    <row r="226" spans="1:15" ht="15.75" x14ac:dyDescent="0.2">
      <c r="A226" s="206" t="str">
        <f t="shared" si="12"/>
        <v/>
      </c>
      <c r="B226" s="88" t="str">
        <f>IF($F226="","",'הזנה לתנאי סף'!C226)</f>
        <v/>
      </c>
      <c r="C226" s="88" t="str">
        <f>IF($F226="","",'הזנה לתנאי סף'!D226)</f>
        <v/>
      </c>
      <c r="D226" s="88" t="str">
        <f>IF($F226="","",'הזנה לתנאי סף'!E226)</f>
        <v/>
      </c>
      <c r="E226" s="88" t="str">
        <f>IF($F226="","",'הזנה לתנאי סף'!F226)</f>
        <v/>
      </c>
      <c r="F226" s="88" t="str">
        <f>IF(OR('הזנה לתנאי סף'!G226="",'הזנה לתנאי סף'!BL226&lt;&gt;1,'הזנה לתנאי סף'!Q226&lt;&gt;1,'הזנה לתנאי סף'!N226&lt;&gt;1),"",'הזנה לתנאי סף'!G226)</f>
        <v/>
      </c>
      <c r="G226" s="88" t="str">
        <f>IF($F226="","",'הזנה לתנאי סף'!H226)</f>
        <v/>
      </c>
      <c r="H226" s="88" t="str">
        <f>IF($F226="","",'הזנה לתנאי סף'!I226)</f>
        <v/>
      </c>
      <c r="I226" s="88" t="str">
        <f>IF($F226="","",IF(AND('הזנה לתנאי סף'!N226=0,J226&gt;0),$Q$2,'הזנה לתנאי סף'!N226))</f>
        <v/>
      </c>
      <c r="J226" s="213" t="str">
        <f>IF($F226="","",INDEX('גיליון עזר לתחום תמיכה ג'!$H$31:$H$330,MATCH(E226,'גיליון עזר לתחום תמיכה ג'!$C$31:$C$330,0)))</f>
        <v/>
      </c>
      <c r="K226" s="213" t="str">
        <f>IF(OR(F226="",J226=""),"",IF(AND(J226&gt;0,I226=1),J226*'פרמטרים לקריטריונים'!$C$64,$Q$2))</f>
        <v/>
      </c>
      <c r="L226" s="227" t="str">
        <f>IF(OR(F226="",J226=""),"",IF(J226&gt;0,'תחום תמיכה ב'!AC226/SUMIFS('תחום תמיכה ב'!$AC$31:$AC$500,'תחום תמיכה ב'!$E$31:$E$500,E226,'תחום תמיכה ב'!$S$31:$S$500,"=1"),0))</f>
        <v/>
      </c>
      <c r="M226" s="213" t="str">
        <f t="shared" si="13"/>
        <v/>
      </c>
      <c r="N226" s="227" t="str">
        <f t="shared" si="14"/>
        <v/>
      </c>
      <c r="O226" s="213" t="str">
        <f t="shared" si="15"/>
        <v/>
      </c>
    </row>
    <row r="227" spans="1:15" ht="15.75" x14ac:dyDescent="0.2">
      <c r="A227" s="206" t="str">
        <f t="shared" si="12"/>
        <v/>
      </c>
      <c r="B227" s="88" t="str">
        <f>IF($F227="","",'הזנה לתנאי סף'!C227)</f>
        <v/>
      </c>
      <c r="C227" s="88" t="str">
        <f>IF($F227="","",'הזנה לתנאי סף'!D227)</f>
        <v/>
      </c>
      <c r="D227" s="88" t="str">
        <f>IF($F227="","",'הזנה לתנאי סף'!E227)</f>
        <v/>
      </c>
      <c r="E227" s="88" t="str">
        <f>IF($F227="","",'הזנה לתנאי סף'!F227)</f>
        <v/>
      </c>
      <c r="F227" s="88" t="str">
        <f>IF(OR('הזנה לתנאי סף'!G227="",'הזנה לתנאי סף'!BL227&lt;&gt;1,'הזנה לתנאי סף'!Q227&lt;&gt;1,'הזנה לתנאי סף'!N227&lt;&gt;1),"",'הזנה לתנאי סף'!G227)</f>
        <v/>
      </c>
      <c r="G227" s="88" t="str">
        <f>IF($F227="","",'הזנה לתנאי סף'!H227)</f>
        <v/>
      </c>
      <c r="H227" s="88" t="str">
        <f>IF($F227="","",'הזנה לתנאי סף'!I227)</f>
        <v/>
      </c>
      <c r="I227" s="88" t="str">
        <f>IF($F227="","",IF(AND('הזנה לתנאי סף'!N227=0,J227&gt;0),$Q$2,'הזנה לתנאי סף'!N227))</f>
        <v/>
      </c>
      <c r="J227" s="213" t="str">
        <f>IF($F227="","",INDEX('גיליון עזר לתחום תמיכה ג'!$H$31:$H$330,MATCH(E227,'גיליון עזר לתחום תמיכה ג'!$C$31:$C$330,0)))</f>
        <v/>
      </c>
      <c r="K227" s="213" t="str">
        <f>IF(OR(F227="",J227=""),"",IF(AND(J227&gt;0,I227=1),J227*'פרמטרים לקריטריונים'!$C$64,$Q$2))</f>
        <v/>
      </c>
      <c r="L227" s="227" t="str">
        <f>IF(OR(F227="",J227=""),"",IF(J227&gt;0,'תחום תמיכה ב'!AC227/SUMIFS('תחום תמיכה ב'!$AC$31:$AC$500,'תחום תמיכה ב'!$E$31:$E$500,E227,'תחום תמיכה ב'!$S$31:$S$500,"=1"),0))</f>
        <v/>
      </c>
      <c r="M227" s="213" t="str">
        <f t="shared" si="13"/>
        <v/>
      </c>
      <c r="N227" s="227" t="str">
        <f t="shared" si="14"/>
        <v/>
      </c>
      <c r="O227" s="213" t="str">
        <f t="shared" si="15"/>
        <v/>
      </c>
    </row>
    <row r="228" spans="1:15" ht="15.75" x14ac:dyDescent="0.2">
      <c r="A228" s="206" t="str">
        <f t="shared" si="12"/>
        <v/>
      </c>
      <c r="B228" s="88" t="str">
        <f>IF($F228="","",'הזנה לתנאי סף'!C228)</f>
        <v/>
      </c>
      <c r="C228" s="88" t="str">
        <f>IF($F228="","",'הזנה לתנאי סף'!D228)</f>
        <v/>
      </c>
      <c r="D228" s="88" t="str">
        <f>IF($F228="","",'הזנה לתנאי סף'!E228)</f>
        <v/>
      </c>
      <c r="E228" s="88" t="str">
        <f>IF($F228="","",'הזנה לתנאי סף'!F228)</f>
        <v/>
      </c>
      <c r="F228" s="88" t="str">
        <f>IF(OR('הזנה לתנאי סף'!G228="",'הזנה לתנאי סף'!BL228&lt;&gt;1,'הזנה לתנאי סף'!Q228&lt;&gt;1,'הזנה לתנאי סף'!N228&lt;&gt;1),"",'הזנה לתנאי סף'!G228)</f>
        <v/>
      </c>
      <c r="G228" s="88" t="str">
        <f>IF($F228="","",'הזנה לתנאי סף'!H228)</f>
        <v/>
      </c>
      <c r="H228" s="88" t="str">
        <f>IF($F228="","",'הזנה לתנאי סף'!I228)</f>
        <v/>
      </c>
      <c r="I228" s="88" t="str">
        <f>IF($F228="","",IF(AND('הזנה לתנאי סף'!N228=0,J228&gt;0),$Q$2,'הזנה לתנאי סף'!N228))</f>
        <v/>
      </c>
      <c r="J228" s="213" t="str">
        <f>IF($F228="","",INDEX('גיליון עזר לתחום תמיכה ג'!$H$31:$H$330,MATCH(E228,'גיליון עזר לתחום תמיכה ג'!$C$31:$C$330,0)))</f>
        <v/>
      </c>
      <c r="K228" s="213" t="str">
        <f>IF(OR(F228="",J228=""),"",IF(AND(J228&gt;0,I228=1),J228*'פרמטרים לקריטריונים'!$C$64,$Q$2))</f>
        <v/>
      </c>
      <c r="L228" s="227" t="str">
        <f>IF(OR(F228="",J228=""),"",IF(J228&gt;0,'תחום תמיכה ב'!AC228/SUMIFS('תחום תמיכה ב'!$AC$31:$AC$500,'תחום תמיכה ב'!$E$31:$E$500,E228,'תחום תמיכה ב'!$S$31:$S$500,"=1"),0))</f>
        <v/>
      </c>
      <c r="M228" s="213" t="str">
        <f t="shared" si="13"/>
        <v/>
      </c>
      <c r="N228" s="227" t="str">
        <f t="shared" si="14"/>
        <v/>
      </c>
      <c r="O228" s="213" t="str">
        <f t="shared" si="15"/>
        <v/>
      </c>
    </row>
    <row r="229" spans="1:15" ht="15.75" x14ac:dyDescent="0.2">
      <c r="A229" s="206">
        <f t="shared" si="12"/>
        <v>199</v>
      </c>
      <c r="B229" s="88">
        <f>IF($F229="","",'הזנה לתנאי סף'!C229)</f>
        <v>1001349377</v>
      </c>
      <c r="C229" s="88">
        <f>IF($F229="","",'הזנה לתנאי סף'!D229)</f>
        <v>1001270641</v>
      </c>
      <c r="D229" s="88">
        <f>IF($F229="","",'הזנה לתנאי סף'!E229)</f>
        <v>40376018</v>
      </c>
      <c r="E229" s="88">
        <f>IF($F229="","",'הזנה לתנאי סף'!F229)</f>
        <v>20000130</v>
      </c>
      <c r="F229" s="88" t="str">
        <f>IF(OR('הזנה לתנאי סף'!G229="",'הזנה לתנאי סף'!BL229&lt;&gt;1,'הזנה לתנאי סף'!Q229&lt;&gt;1,'הזנה לתנאי סף'!N229&lt;&gt;1),"",'הזנה לתנאי סף'!G229)</f>
        <v>דימונה</v>
      </c>
      <c r="G229" s="88" t="str">
        <f>IF($F229="","",'הזנה לתנאי סף'!H229)</f>
        <v>מעבדתרבות דימונה</v>
      </c>
      <c r="H229" s="88" t="str">
        <f>IF($F229="","",'הזנה לתנאי סף'!I229)</f>
        <v>קבוצות תיאטרון</v>
      </c>
      <c r="I229" s="88">
        <f>IF($F229="","",IF(AND('הזנה לתנאי סף'!N229=0,J229&gt;0),$Q$2,'הזנה לתנאי סף'!N229))</f>
        <v>1</v>
      </c>
      <c r="J229" s="213">
        <f>IF($F229="","",INDEX('גיליון עזר לתחום תמיכה ג'!$H$31:$H$330,MATCH(E229,'גיליון עזר לתחום תמיכה ג'!$C$31:$C$330,0)))</f>
        <v>1602</v>
      </c>
      <c r="K229" s="213">
        <f>IF(OR(F229="",J229=""),"",IF(AND(J229&gt;0,I229=1),J229*'פרמטרים לקריטריונים'!$C$64,$Q$2))</f>
        <v>1602</v>
      </c>
      <c r="L229" s="227">
        <f>IF(OR(F229="",J229=""),"",IF(J229&gt;0,'תחום תמיכה ב'!AC229/SUMIFS('תחום תמיכה ב'!$AC$31:$AC$500,'תחום תמיכה ב'!$E$31:$E$500,E229,'תחום תמיכה ב'!$S$31:$S$500,"=1"),0))</f>
        <v>1</v>
      </c>
      <c r="M229" s="213">
        <f t="shared" si="13"/>
        <v>1602</v>
      </c>
      <c r="N229" s="227">
        <f t="shared" si="14"/>
        <v>7.2791510347049643E-5</v>
      </c>
      <c r="O229" s="213">
        <f t="shared" si="15"/>
        <v>1602</v>
      </c>
    </row>
    <row r="230" spans="1:15" ht="15.75" x14ac:dyDescent="0.2">
      <c r="A230" s="206" t="str">
        <f t="shared" si="12"/>
        <v/>
      </c>
      <c r="B230" s="88" t="str">
        <f>IF($F230="","",'הזנה לתנאי סף'!C230)</f>
        <v/>
      </c>
      <c r="C230" s="88" t="str">
        <f>IF($F230="","",'הזנה לתנאי סף'!D230)</f>
        <v/>
      </c>
      <c r="D230" s="88" t="str">
        <f>IF($F230="","",'הזנה לתנאי סף'!E230)</f>
        <v/>
      </c>
      <c r="E230" s="88" t="str">
        <f>IF($F230="","",'הזנה לתנאי סף'!F230)</f>
        <v/>
      </c>
      <c r="F230" s="88" t="str">
        <f>IF(OR('הזנה לתנאי סף'!G230="",'הזנה לתנאי סף'!BL230&lt;&gt;1,'הזנה לתנאי סף'!Q230&lt;&gt;1,'הזנה לתנאי סף'!N230&lt;&gt;1),"",'הזנה לתנאי סף'!G230)</f>
        <v/>
      </c>
      <c r="G230" s="88" t="str">
        <f>IF($F230="","",'הזנה לתנאי סף'!H230)</f>
        <v/>
      </c>
      <c r="H230" s="88" t="str">
        <f>IF($F230="","",'הזנה לתנאי סף'!I230)</f>
        <v/>
      </c>
      <c r="I230" s="88" t="str">
        <f>IF($F230="","",IF(AND('הזנה לתנאי סף'!N230=0,J230&gt;0),$Q$2,'הזנה לתנאי סף'!N230))</f>
        <v/>
      </c>
      <c r="J230" s="213" t="str">
        <f>IF($F230="","",INDEX('גיליון עזר לתחום תמיכה ג'!$H$31:$H$330,MATCH(E230,'גיליון עזר לתחום תמיכה ג'!$C$31:$C$330,0)))</f>
        <v/>
      </c>
      <c r="K230" s="213" t="str">
        <f>IF(OR(F230="",J230=""),"",IF(AND(J230&gt;0,I230=1),J230*'פרמטרים לקריטריונים'!$C$64,$Q$2))</f>
        <v/>
      </c>
      <c r="L230" s="227" t="str">
        <f>IF(OR(F230="",J230=""),"",IF(J230&gt;0,'תחום תמיכה ב'!AC230/SUMIFS('תחום תמיכה ב'!$AC$31:$AC$500,'תחום תמיכה ב'!$E$31:$E$500,E230,'תחום תמיכה ב'!$S$31:$S$500,"=1"),0))</f>
        <v/>
      </c>
      <c r="M230" s="213" t="str">
        <f t="shared" si="13"/>
        <v/>
      </c>
      <c r="N230" s="227" t="str">
        <f t="shared" si="14"/>
        <v/>
      </c>
      <c r="O230" s="213" t="str">
        <f t="shared" si="15"/>
        <v/>
      </c>
    </row>
    <row r="231" spans="1:15" ht="15.75" x14ac:dyDescent="0.2">
      <c r="A231" s="206" t="str">
        <f t="shared" si="12"/>
        <v/>
      </c>
      <c r="B231" s="88" t="str">
        <f>IF($F231="","",'הזנה לתנאי סף'!C231)</f>
        <v/>
      </c>
      <c r="C231" s="88" t="str">
        <f>IF($F231="","",'הזנה לתנאי סף'!D231)</f>
        <v/>
      </c>
      <c r="D231" s="88" t="str">
        <f>IF($F231="","",'הזנה לתנאי סף'!E231)</f>
        <v/>
      </c>
      <c r="E231" s="88" t="str">
        <f>IF($F231="","",'הזנה לתנאי סף'!F231)</f>
        <v/>
      </c>
      <c r="F231" s="88" t="str">
        <f>IF(OR('הזנה לתנאי סף'!G231="",'הזנה לתנאי סף'!BL231&lt;&gt;1,'הזנה לתנאי סף'!Q231&lt;&gt;1,'הזנה לתנאי סף'!N231&lt;&gt;1),"",'הזנה לתנאי סף'!G231)</f>
        <v/>
      </c>
      <c r="G231" s="88" t="str">
        <f>IF($F231="","",'הזנה לתנאי סף'!H231)</f>
        <v/>
      </c>
      <c r="H231" s="88" t="str">
        <f>IF($F231="","",'הזנה לתנאי סף'!I231)</f>
        <v/>
      </c>
      <c r="I231" s="88" t="str">
        <f>IF($F231="","",IF(AND('הזנה לתנאי סף'!N231=0,J231&gt;0),$Q$2,'הזנה לתנאי סף'!N231))</f>
        <v/>
      </c>
      <c r="J231" s="213" t="str">
        <f>IF($F231="","",INDEX('גיליון עזר לתחום תמיכה ג'!$H$31:$H$330,MATCH(E231,'גיליון עזר לתחום תמיכה ג'!$C$31:$C$330,0)))</f>
        <v/>
      </c>
      <c r="K231" s="213" t="str">
        <f>IF(OR(F231="",J231=""),"",IF(AND(J231&gt;0,I231=1),J231*'פרמטרים לקריטריונים'!$C$64,$Q$2))</f>
        <v/>
      </c>
      <c r="L231" s="227" t="str">
        <f>IF(OR(F231="",J231=""),"",IF(J231&gt;0,'תחום תמיכה ב'!AC231/SUMIFS('תחום תמיכה ב'!$AC$31:$AC$500,'תחום תמיכה ב'!$E$31:$E$500,E231,'תחום תמיכה ב'!$S$31:$S$500,"=1"),0))</f>
        <v/>
      </c>
      <c r="M231" s="213" t="str">
        <f t="shared" si="13"/>
        <v/>
      </c>
      <c r="N231" s="227" t="str">
        <f t="shared" si="14"/>
        <v/>
      </c>
      <c r="O231" s="213" t="str">
        <f t="shared" si="15"/>
        <v/>
      </c>
    </row>
    <row r="232" spans="1:15" ht="15.75" x14ac:dyDescent="0.2">
      <c r="A232" s="206">
        <f t="shared" si="12"/>
        <v>202</v>
      </c>
      <c r="B232" s="88">
        <f>IF($F232="","",'הזנה לתנאי סף'!C232)</f>
        <v>1001349379</v>
      </c>
      <c r="C232" s="88">
        <f>IF($F232="","",'הזנה לתנאי סף'!D232)</f>
        <v>1001274144</v>
      </c>
      <c r="D232" s="88">
        <f>IF($F232="","",'הזנה לתנאי סף'!E232)</f>
        <v>40471611</v>
      </c>
      <c r="E232" s="88">
        <f>IF($F232="","",'הזנה לתנאי סף'!F232)</f>
        <v>20000159</v>
      </c>
      <c r="F232" s="88" t="str">
        <f>IF(OR('הזנה לתנאי סף'!G232="",'הזנה לתנאי סף'!BL232&lt;&gt;1,'הזנה לתנאי סף'!Q232&lt;&gt;1,'הזנה לתנאי סף'!N232&lt;&gt;1),"",'הזנה לתנאי סף'!G232)</f>
        <v>ירושלים</v>
      </c>
      <c r="G232" s="88" t="str">
        <f>IF($F232="","",'הזנה לתנאי סף'!H232)</f>
        <v>חיבה - התנועה למורשת ישראל (ע"ר)</v>
      </c>
      <c r="H232" s="88" t="str">
        <f>IF($F232="","",'הזנה לתנאי סף'!I232)</f>
        <v>קבוצות מוסיקה</v>
      </c>
      <c r="I232" s="88">
        <f>IF($F232="","",IF(AND('הזנה לתנאי סף'!N232=0,J232&gt;0),$Q$2,'הזנה לתנאי סף'!N232))</f>
        <v>1</v>
      </c>
      <c r="J232" s="213">
        <f>IF($F232="","",INDEX('גיליון עזר לתחום תמיכה ג'!$H$31:$H$330,MATCH(E232,'גיליון עזר לתחום תמיכה ג'!$C$31:$C$330,0)))</f>
        <v>3990706</v>
      </c>
      <c r="K232" s="213">
        <f>IF(OR(F232="",J232=""),"",IF(AND(J232&gt;0,I232=1),J232*'פרמטרים לקריטריונים'!$C$64,$Q$2))</f>
        <v>3990706</v>
      </c>
      <c r="L232" s="227">
        <f>IF(OR(F232="",J232=""),"",IF(J232&gt;0,'תחום תמיכה ב'!AC232/SUMIFS('תחום תמיכה ב'!$AC$31:$AC$500,'תחום תמיכה ב'!$E$31:$E$500,E232,'תחום תמיכה ב'!$S$31:$S$500,"=1"),0))</f>
        <v>6.5305076465026384E-3</v>
      </c>
      <c r="M232" s="213">
        <f t="shared" si="13"/>
        <v>26061.336047943958</v>
      </c>
      <c r="N232" s="227">
        <f t="shared" si="14"/>
        <v>1.1841722925042763E-3</v>
      </c>
      <c r="O232" s="213">
        <f t="shared" si="15"/>
        <v>26061.336047943958</v>
      </c>
    </row>
    <row r="233" spans="1:15" ht="15.75" x14ac:dyDescent="0.2">
      <c r="A233" s="206">
        <f t="shared" si="12"/>
        <v>203</v>
      </c>
      <c r="B233" s="88">
        <f>IF($F233="","",'הזנה לתנאי סף'!C233)</f>
        <v>1001349381</v>
      </c>
      <c r="C233" s="88">
        <f>IF($F233="","",'הזנה לתנאי סף'!D233)</f>
        <v>1001268664</v>
      </c>
      <c r="D233" s="88">
        <f>IF($F233="","",'הזנה לתנאי סף'!E233)</f>
        <v>40471611</v>
      </c>
      <c r="E233" s="88">
        <f>IF($F233="","",'הזנה לתנאי סף'!F233)</f>
        <v>20000159</v>
      </c>
      <c r="F233" s="88" t="str">
        <f>IF(OR('הזנה לתנאי סף'!G233="",'הזנה לתנאי סף'!BL233&lt;&gt;1,'הזנה לתנאי סף'!Q233&lt;&gt;1,'הזנה לתנאי סף'!N233&lt;&gt;1),"",'הזנה לתנאי סף'!G233)</f>
        <v>ירושלים</v>
      </c>
      <c r="G233" s="88" t="str">
        <f>IF($F233="","",'הזנה לתנאי סף'!H233)</f>
        <v>חיבה - התנועה למורשת ישראל (ע"ר)</v>
      </c>
      <c r="H233" s="88" t="str">
        <f>IF($F233="","",'הזנה לתנאי סף'!I233)</f>
        <v>אחר</v>
      </c>
      <c r="I233" s="88">
        <f>IF($F233="","",IF(AND('הזנה לתנאי סף'!N233=0,J233&gt;0),$Q$2,'הזנה לתנאי סף'!N233))</f>
        <v>1</v>
      </c>
      <c r="J233" s="213">
        <f>IF($F233="","",INDEX('גיליון עזר לתחום תמיכה ג'!$H$31:$H$330,MATCH(E233,'גיליון עזר לתחום תמיכה ג'!$C$31:$C$330,0)))</f>
        <v>3990706</v>
      </c>
      <c r="K233" s="213">
        <f>IF(OR(F233="",J233=""),"",IF(AND(J233&gt;0,I233=1),J233*'פרמטרים לקריטריונים'!$C$64,$Q$2))</f>
        <v>3990706</v>
      </c>
      <c r="L233" s="227">
        <f>IF(OR(F233="",J233=""),"",IF(J233&gt;0,'תחום תמיכה ב'!AC233/SUMIFS('תחום תמיכה ב'!$AC$31:$AC$500,'תחום תמיכה ב'!$E$31:$E$500,E233,'תחום תמיכה ב'!$S$31:$S$500,"=1"),0))</f>
        <v>4.3700670364444911E-4</v>
      </c>
      <c r="M233" s="213">
        <f t="shared" si="13"/>
        <v>1743.965274274125</v>
      </c>
      <c r="N233" s="227">
        <f t="shared" si="14"/>
        <v>7.9242113799762946E-5</v>
      </c>
      <c r="O233" s="213">
        <f t="shared" si="15"/>
        <v>1743.965274274125</v>
      </c>
    </row>
    <row r="234" spans="1:15" ht="15.75" x14ac:dyDescent="0.2">
      <c r="A234" s="206" t="str">
        <f t="shared" si="12"/>
        <v/>
      </c>
      <c r="B234" s="88" t="str">
        <f>IF($F234="","",'הזנה לתנאי סף'!C234)</f>
        <v/>
      </c>
      <c r="C234" s="88" t="str">
        <f>IF($F234="","",'הזנה לתנאי סף'!D234)</f>
        <v/>
      </c>
      <c r="D234" s="88" t="str">
        <f>IF($F234="","",'הזנה לתנאי סף'!E234)</f>
        <v/>
      </c>
      <c r="E234" s="88" t="str">
        <f>IF($F234="","",'הזנה לתנאי סף'!F234)</f>
        <v/>
      </c>
      <c r="F234" s="88" t="str">
        <f>IF(OR('הזנה לתנאי סף'!G234="",'הזנה לתנאי סף'!BL234&lt;&gt;1,'הזנה לתנאי סף'!Q234&lt;&gt;1,'הזנה לתנאי סף'!N234&lt;&gt;1),"",'הזנה לתנאי סף'!G234)</f>
        <v/>
      </c>
      <c r="G234" s="88" t="str">
        <f>IF($F234="","",'הזנה לתנאי סף'!H234)</f>
        <v/>
      </c>
      <c r="H234" s="88" t="str">
        <f>IF($F234="","",'הזנה לתנאי סף'!I234)</f>
        <v/>
      </c>
      <c r="I234" s="88" t="str">
        <f>IF($F234="","",IF(AND('הזנה לתנאי סף'!N234=0,J234&gt;0),$Q$2,'הזנה לתנאי סף'!N234))</f>
        <v/>
      </c>
      <c r="J234" s="213" t="str">
        <f>IF($F234="","",INDEX('גיליון עזר לתחום תמיכה ג'!$H$31:$H$330,MATCH(E234,'גיליון עזר לתחום תמיכה ג'!$C$31:$C$330,0)))</f>
        <v/>
      </c>
      <c r="K234" s="213" t="str">
        <f>IF(OR(F234="",J234=""),"",IF(AND(J234&gt;0,I234=1),J234*'פרמטרים לקריטריונים'!$C$64,$Q$2))</f>
        <v/>
      </c>
      <c r="L234" s="227" t="str">
        <f>IF(OR(F234="",J234=""),"",IF(J234&gt;0,'תחום תמיכה ב'!AC234/SUMIFS('תחום תמיכה ב'!$AC$31:$AC$500,'תחום תמיכה ב'!$E$31:$E$500,E234,'תחום תמיכה ב'!$S$31:$S$500,"=1"),0))</f>
        <v/>
      </c>
      <c r="M234" s="213" t="str">
        <f t="shared" si="13"/>
        <v/>
      </c>
      <c r="N234" s="227" t="str">
        <f t="shared" si="14"/>
        <v/>
      </c>
      <c r="O234" s="213" t="str">
        <f t="shared" si="15"/>
        <v/>
      </c>
    </row>
    <row r="235" spans="1:15" ht="15.75" x14ac:dyDescent="0.2">
      <c r="A235" s="206">
        <f t="shared" si="12"/>
        <v>205</v>
      </c>
      <c r="B235" s="88">
        <f>IF($F235="","",'הזנה לתנאי סף'!C235)</f>
        <v>1001347304</v>
      </c>
      <c r="C235" s="88">
        <f>IF($F235="","",'הזנה לתנאי סף'!D235)</f>
        <v>1001272196</v>
      </c>
      <c r="D235" s="88">
        <f>IF($F235="","",'הזנה לתנאי סף'!E235)</f>
        <v>40578853</v>
      </c>
      <c r="E235" s="88">
        <f>IF($F235="","",'הזנה לתנאי סף'!F235)</f>
        <v>20000159</v>
      </c>
      <c r="F235" s="88" t="str">
        <f>IF(OR('הזנה לתנאי סף'!G235="",'הזנה לתנאי סף'!BL235&lt;&gt;1,'הזנה לתנאי סף'!Q235&lt;&gt;1,'הזנה לתנאי סף'!N235&lt;&gt;1),"",'הזנה לתנאי סף'!G235)</f>
        <v>ירושלים</v>
      </c>
      <c r="G235" s="88" t="str">
        <f>IF($F235="","",'הזנה לתנאי סף'!H235)</f>
        <v>להקת הפלמנקו רמנגאר בע"מ חברה לתועל</v>
      </c>
      <c r="H235" s="88" t="str">
        <f>IF($F235="","",'הזנה לתנאי סף'!I235)</f>
        <v>אחר</v>
      </c>
      <c r="I235" s="88">
        <f>IF($F235="","",IF(AND('הזנה לתנאי סף'!N235=0,J235&gt;0),$Q$2,'הזנה לתנאי סף'!N235))</f>
        <v>1</v>
      </c>
      <c r="J235" s="213">
        <f>IF($F235="","",INDEX('גיליון עזר לתחום תמיכה ג'!$H$31:$H$330,MATCH(E235,'גיליון עזר לתחום תמיכה ג'!$C$31:$C$330,0)))</f>
        <v>3990706</v>
      </c>
      <c r="K235" s="213">
        <f>IF(OR(F235="",J235=""),"",IF(AND(J235&gt;0,I235=1),J235*'פרמטרים לקריטריונים'!$C$64,$Q$2))</f>
        <v>3990706</v>
      </c>
      <c r="L235" s="227">
        <f>IF(OR(F235="",J235=""),"",IF(J235&gt;0,'תחום תמיכה ב'!AC235/SUMIFS('תחום תמיכה ב'!$AC$31:$AC$500,'תחום תמיכה ב'!$E$31:$E$500,E235,'תחום תמיכה ב'!$S$31:$S$500,"=1"),0))</f>
        <v>1.0969526682260032E-3</v>
      </c>
      <c r="M235" s="213">
        <f t="shared" si="13"/>
        <v>4377.6155948055202</v>
      </c>
      <c r="N235" s="227">
        <f t="shared" si="14"/>
        <v>1.989096447345143E-4</v>
      </c>
      <c r="O235" s="213">
        <f t="shared" si="15"/>
        <v>4377.6155948055202</v>
      </c>
    </row>
    <row r="236" spans="1:15" ht="15.75" x14ac:dyDescent="0.2">
      <c r="A236" s="206">
        <f t="shared" si="12"/>
        <v>206</v>
      </c>
      <c r="B236" s="88">
        <f>IF($F236="","",'הזנה לתנאי סף'!C236)</f>
        <v>1001346679</v>
      </c>
      <c r="C236" s="88">
        <f>IF($F236="","",'הזנה לתנאי סף'!D236)</f>
        <v>1001266776</v>
      </c>
      <c r="D236" s="88">
        <f>IF($F236="","",'הזנה לתנאי סף'!E236)</f>
        <v>40819694</v>
      </c>
      <c r="E236" s="88">
        <f>IF($F236="","",'הזנה לתנאי סף'!F236)</f>
        <v>20000182</v>
      </c>
      <c r="F236" s="88" t="str">
        <f>IF(OR('הזנה לתנאי סף'!G236="",'הזנה לתנאי סף'!BL236&lt;&gt;1,'הזנה לתנאי סף'!Q236&lt;&gt;1,'הזנה לתנאי סף'!N236&lt;&gt;1),"",'הזנה לתנאי סף'!G236)</f>
        <v>חיפה</v>
      </c>
      <c r="G236" s="88" t="str">
        <f>IF($F236="","",'הזנה לתנאי סף'!H236)</f>
        <v>בית 9 - בית ספר ובית יוצר לתיאטרון</v>
      </c>
      <c r="H236" s="88" t="str">
        <f>IF($F236="","",'הזנה לתנאי סף'!I236)</f>
        <v>בתי ספר לבובות</v>
      </c>
      <c r="I236" s="88">
        <f>IF($F236="","",IF(AND('הזנה לתנאי סף'!N236=0,J236&gt;0),$Q$2,'הזנה לתנאי סף'!N236))</f>
        <v>1</v>
      </c>
      <c r="J236" s="213">
        <f>IF($F236="","",INDEX('גיליון עזר לתחום תמיכה ג'!$H$31:$H$330,MATCH(E236,'גיליון עזר לתחום תמיכה ג'!$C$31:$C$330,0)))</f>
        <v>894484</v>
      </c>
      <c r="K236" s="213">
        <f>IF(OR(F236="",J236=""),"",IF(AND(J236&gt;0,I236=1),J236*'פרמטרים לקריטריונים'!$C$64,$Q$2))</f>
        <v>894484</v>
      </c>
      <c r="L236" s="227">
        <f>IF(OR(F236="",J236=""),"",IF(J236&gt;0,'תחום תמיכה ב'!AC236/SUMIFS('תחום תמיכה ב'!$AC$31:$AC$500,'תחום תמיכה ב'!$E$31:$E$500,E236,'תחום תמיכה ב'!$S$31:$S$500,"=1"),0))</f>
        <v>5.4849593043831742E-3</v>
      </c>
      <c r="M236" s="213">
        <f t="shared" si="13"/>
        <v>4906.2083384218795</v>
      </c>
      <c r="N236" s="227">
        <f t="shared" si="14"/>
        <v>2.2292778716043537E-4</v>
      </c>
      <c r="O236" s="213">
        <f t="shared" si="15"/>
        <v>4906.2083384218795</v>
      </c>
    </row>
    <row r="237" spans="1:15" ht="15.75" x14ac:dyDescent="0.2">
      <c r="A237" s="206" t="str">
        <f t="shared" si="12"/>
        <v/>
      </c>
      <c r="B237" s="88" t="str">
        <f>IF($F237="","",'הזנה לתנאי סף'!C237)</f>
        <v/>
      </c>
      <c r="C237" s="88" t="str">
        <f>IF($F237="","",'הזנה לתנאי סף'!D237)</f>
        <v/>
      </c>
      <c r="D237" s="88" t="str">
        <f>IF($F237="","",'הזנה לתנאי סף'!E237)</f>
        <v/>
      </c>
      <c r="E237" s="88" t="str">
        <f>IF($F237="","",'הזנה לתנאי סף'!F237)</f>
        <v/>
      </c>
      <c r="F237" s="88" t="str">
        <f>IF(OR('הזנה לתנאי סף'!G237="",'הזנה לתנאי סף'!BL237&lt;&gt;1,'הזנה לתנאי סף'!Q237&lt;&gt;1,'הזנה לתנאי סף'!N237&lt;&gt;1),"",'הזנה לתנאי סף'!G237)</f>
        <v/>
      </c>
      <c r="G237" s="88" t="str">
        <f>IF($F237="","",'הזנה לתנאי סף'!H237)</f>
        <v/>
      </c>
      <c r="H237" s="88" t="str">
        <f>IF($F237="","",'הזנה לתנאי סף'!I237)</f>
        <v/>
      </c>
      <c r="I237" s="88" t="str">
        <f>IF($F237="","",IF(AND('הזנה לתנאי סף'!N237=0,J237&gt;0),$Q$2,'הזנה לתנאי סף'!N237))</f>
        <v/>
      </c>
      <c r="J237" s="213" t="str">
        <f>IF($F237="","",INDEX('גיליון עזר לתחום תמיכה ג'!$H$31:$H$330,MATCH(E237,'גיליון עזר לתחום תמיכה ג'!$C$31:$C$330,0)))</f>
        <v/>
      </c>
      <c r="K237" s="213" t="str">
        <f>IF(OR(F237="",J237=""),"",IF(AND(J237&gt;0,I237=1),J237*'פרמטרים לקריטריונים'!$C$64,$Q$2))</f>
        <v/>
      </c>
      <c r="L237" s="227" t="str">
        <f>IF(OR(F237="",J237=""),"",IF(J237&gt;0,'תחום תמיכה ב'!AC237/SUMIFS('תחום תמיכה ב'!$AC$31:$AC$500,'תחום תמיכה ב'!$E$31:$E$500,E237,'תחום תמיכה ב'!$S$31:$S$500,"=1"),0))</f>
        <v/>
      </c>
      <c r="M237" s="213" t="str">
        <f t="shared" si="13"/>
        <v/>
      </c>
      <c r="N237" s="227" t="str">
        <f t="shared" si="14"/>
        <v/>
      </c>
      <c r="O237" s="213" t="str">
        <f t="shared" si="15"/>
        <v/>
      </c>
    </row>
    <row r="238" spans="1:15" ht="15.75" x14ac:dyDescent="0.2">
      <c r="A238" s="206" t="str">
        <f t="shared" si="12"/>
        <v/>
      </c>
      <c r="B238" s="88" t="str">
        <f>IF($F238="","",'הזנה לתנאי סף'!C238)</f>
        <v/>
      </c>
      <c r="C238" s="88" t="str">
        <f>IF($F238="","",'הזנה לתנאי סף'!D238)</f>
        <v/>
      </c>
      <c r="D238" s="88" t="str">
        <f>IF($F238="","",'הזנה לתנאי סף'!E238)</f>
        <v/>
      </c>
      <c r="E238" s="88" t="str">
        <f>IF($F238="","",'הזנה לתנאי סף'!F238)</f>
        <v/>
      </c>
      <c r="F238" s="88" t="str">
        <f>IF(OR('הזנה לתנאי סף'!G238="",'הזנה לתנאי סף'!BL238&lt;&gt;1,'הזנה לתנאי סף'!Q238&lt;&gt;1,'הזנה לתנאי סף'!N238&lt;&gt;1),"",'הזנה לתנאי סף'!G238)</f>
        <v/>
      </c>
      <c r="G238" s="88" t="str">
        <f>IF($F238="","",'הזנה לתנאי סף'!H238)</f>
        <v/>
      </c>
      <c r="H238" s="88" t="str">
        <f>IF($F238="","",'הזנה לתנאי סף'!I238)</f>
        <v/>
      </c>
      <c r="I238" s="88" t="str">
        <f>IF($F238="","",IF(AND('הזנה לתנאי סף'!N238=0,J238&gt;0),$Q$2,'הזנה לתנאי סף'!N238))</f>
        <v/>
      </c>
      <c r="J238" s="213" t="str">
        <f>IF($F238="","",INDEX('גיליון עזר לתחום תמיכה ג'!$H$31:$H$330,MATCH(E238,'גיליון עזר לתחום תמיכה ג'!$C$31:$C$330,0)))</f>
        <v/>
      </c>
      <c r="K238" s="213" t="str">
        <f>IF(OR(F238="",J238=""),"",IF(AND(J238&gt;0,I238=1),J238*'פרמטרים לקריטריונים'!$C$64,$Q$2))</f>
        <v/>
      </c>
      <c r="L238" s="227" t="str">
        <f>IF(OR(F238="",J238=""),"",IF(J238&gt;0,'תחום תמיכה ב'!AC238/SUMIFS('תחום תמיכה ב'!$AC$31:$AC$500,'תחום תמיכה ב'!$E$31:$E$500,E238,'תחום תמיכה ב'!$S$31:$S$500,"=1"),0))</f>
        <v/>
      </c>
      <c r="M238" s="213" t="str">
        <f t="shared" si="13"/>
        <v/>
      </c>
      <c r="N238" s="227" t="str">
        <f t="shared" si="14"/>
        <v/>
      </c>
      <c r="O238" s="213" t="str">
        <f t="shared" si="15"/>
        <v/>
      </c>
    </row>
    <row r="239" spans="1:15" ht="15.75" x14ac:dyDescent="0.2">
      <c r="A239" s="206">
        <f t="shared" si="12"/>
        <v>209</v>
      </c>
      <c r="B239" s="88">
        <f>IF($F239="","",'הזנה לתנאי סף'!C239)</f>
        <v>1001350449</v>
      </c>
      <c r="C239" s="88">
        <f>IF($F239="","",'הזנה לתנאי סף'!D239)</f>
        <v>1001280646</v>
      </c>
      <c r="D239" s="88">
        <f>IF($F239="","",'הזנה לתנאי סף'!E239)</f>
        <v>41090413</v>
      </c>
      <c r="E239" s="88">
        <f>IF($F239="","",'הזנה לתנאי סף'!F239)</f>
        <v>20000159</v>
      </c>
      <c r="F239" s="88" t="str">
        <f>IF(OR('הזנה לתנאי סף'!G239="",'הזנה לתנאי סף'!BL239&lt;&gt;1,'הזנה לתנאי סף'!Q239&lt;&gt;1,'הזנה לתנאי סף'!N239&lt;&gt;1),"",'הזנה לתנאי סף'!G239)</f>
        <v>ירושלים</v>
      </c>
      <c r="G239" s="88" t="str">
        <f>IF($F239="","",'הזנה לתנאי סף'!H239)</f>
        <v>תיאטרון נקודה טובה (ע"ר)</v>
      </c>
      <c r="H239" s="88" t="str">
        <f>IF($F239="","",'הזנה לתנאי סף'!I239)</f>
        <v>תיאטרון</v>
      </c>
      <c r="I239" s="88">
        <f>IF($F239="","",IF(AND('הזנה לתנאי סף'!N239=0,J239&gt;0),$Q$2,'הזנה לתנאי סף'!N239))</f>
        <v>1</v>
      </c>
      <c r="J239" s="213">
        <f>IF($F239="","",INDEX('גיליון עזר לתחום תמיכה ג'!$H$31:$H$330,MATCH(E239,'גיליון עזר לתחום תמיכה ג'!$C$31:$C$330,0)))</f>
        <v>3990706</v>
      </c>
      <c r="K239" s="213">
        <f>IF(OR(F239="",J239=""),"",IF(AND(J239&gt;0,I239=1),J239*'פרמטרים לקריטריונים'!$C$64,$Q$2))</f>
        <v>3990706</v>
      </c>
      <c r="L239" s="227">
        <f>IF(OR(F239="",J239=""),"",IF(J239&gt;0,'תחום תמיכה ב'!AC239/SUMIFS('תחום תמיכה ב'!$AC$31:$AC$500,'תחום תמיכה ב'!$E$31:$E$500,E239,'תחום תמיכה ב'!$S$31:$S$500,"=1"),0))</f>
        <v>1.0358179843482257E-2</v>
      </c>
      <c r="M239" s="213">
        <f t="shared" si="13"/>
        <v>41336.450450463701</v>
      </c>
      <c r="N239" s="227">
        <f t="shared" si="14"/>
        <v>1.8782413612204953E-3</v>
      </c>
      <c r="O239" s="213">
        <f t="shared" si="15"/>
        <v>41336.450450463701</v>
      </c>
    </row>
    <row r="240" spans="1:15" ht="15.75" x14ac:dyDescent="0.2">
      <c r="A240" s="206">
        <f t="shared" si="12"/>
        <v>210</v>
      </c>
      <c r="B240" s="88">
        <f>IF($F240="","",'הזנה לתנאי סף'!C240)</f>
        <v>1001347310</v>
      </c>
      <c r="C240" s="88">
        <f>IF($F240="","",'הזנה לתנאי סף'!D240)</f>
        <v>1001270285</v>
      </c>
      <c r="D240" s="88">
        <f>IF($F240="","",'הזנה לתנאי סף'!E240)</f>
        <v>41107963</v>
      </c>
      <c r="E240" s="88">
        <f>IF($F240="","",'הזנה לתנאי סף'!F240)</f>
        <v>20000201</v>
      </c>
      <c r="F240" s="88" t="str">
        <f>IF(OR('הזנה לתנאי סף'!G240="",'הזנה לתנאי סף'!BL240&lt;&gt;1,'הזנה לתנאי סף'!Q240&lt;&gt;1,'הזנה לתנאי סף'!N240&lt;&gt;1),"",'הזנה לתנאי סף'!G240)</f>
        <v>תל אביב -יפו</v>
      </c>
      <c r="G240" s="88" t="str">
        <f>IF($F240="","",'הזנה לתנאי סף'!H240)</f>
        <v>עלילה מקומית, עמותה רשומה</v>
      </c>
      <c r="H240" s="88" t="str">
        <f>IF($F240="","",'הזנה לתנאי סף'!I240)</f>
        <v>תיאטרון</v>
      </c>
      <c r="I240" s="88">
        <f>IF($F240="","",IF(AND('הזנה לתנאי סף'!N240=0,J240&gt;0),$Q$2,'הזנה לתנאי סף'!N240))</f>
        <v>1</v>
      </c>
      <c r="J240" s="213">
        <f>IF($F240="","",INDEX('גיליון עזר לתחום תמיכה ג'!$H$31:$H$330,MATCH(E240,'גיליון עזר לתחום תמיכה ג'!$C$31:$C$330,0)))</f>
        <v>15995126</v>
      </c>
      <c r="K240" s="213">
        <f>IF(OR(F240="",J240=""),"",IF(AND(J240&gt;0,I240=1),J240*'פרמטרים לקריטריונים'!$C$64,$Q$2))</f>
        <v>15995126</v>
      </c>
      <c r="L240" s="227">
        <f>IF(OR(F240="",J240=""),"",IF(J240&gt;0,'תחום תמיכה ב'!AC240/SUMIFS('תחום תמיכה ב'!$AC$31:$AC$500,'תחום תמיכה ב'!$E$31:$E$500,E240,'תחום תמיכה ב'!$S$31:$S$500,"=1"),0))</f>
        <v>5.2347554700590934E-4</v>
      </c>
      <c r="M240" s="213">
        <f t="shared" si="13"/>
        <v>8373.0573322784421</v>
      </c>
      <c r="N240" s="227">
        <f t="shared" si="14"/>
        <v>3.8045411325779405E-4</v>
      </c>
      <c r="O240" s="213">
        <f t="shared" si="15"/>
        <v>8373.0573322784421</v>
      </c>
    </row>
    <row r="241" spans="1:15" ht="15.75" x14ac:dyDescent="0.2">
      <c r="A241" s="206">
        <f t="shared" si="12"/>
        <v>211</v>
      </c>
      <c r="B241" s="88">
        <f>IF($F241="","",'הזנה לתנאי סף'!C241)</f>
        <v>1001350115</v>
      </c>
      <c r="C241" s="88">
        <f>IF($F241="","",'הזנה לתנאי סף'!D241)</f>
        <v>1001272277</v>
      </c>
      <c r="D241" s="88">
        <f>IF($F241="","",'הזנה לתנאי סף'!E241)</f>
        <v>41109519</v>
      </c>
      <c r="E241" s="88">
        <f>IF($F241="","",'הזנה לתנאי סף'!F241)</f>
        <v>20000159</v>
      </c>
      <c r="F241" s="88" t="str">
        <f>IF(OR('הזנה לתנאי סף'!G241="",'הזנה לתנאי סף'!BL241&lt;&gt;1,'הזנה לתנאי סף'!Q241&lt;&gt;1,'הזנה לתנאי סף'!N241&lt;&gt;1),"",'הזנה לתנאי סף'!G241)</f>
        <v>ירושלים</v>
      </c>
      <c r="G241" s="88" t="str">
        <f>IF($F241="","",'הזנה לתנאי סף'!H241)</f>
        <v>עמותת תיאטרון קומקום (ע"ר)</v>
      </c>
      <c r="H241" s="88" t="str">
        <f>IF($F241="","",'הזנה לתנאי סף'!I241)</f>
        <v>תיאטרון</v>
      </c>
      <c r="I241" s="88">
        <f>IF($F241="","",IF(AND('הזנה לתנאי סף'!N241=0,J241&gt;0),$Q$2,'הזנה לתנאי סף'!N241))</f>
        <v>1</v>
      </c>
      <c r="J241" s="213">
        <f>IF($F241="","",INDEX('גיליון עזר לתחום תמיכה ג'!$H$31:$H$330,MATCH(E241,'גיליון עזר לתחום תמיכה ג'!$C$31:$C$330,0)))</f>
        <v>3990706</v>
      </c>
      <c r="K241" s="213">
        <f>IF(OR(F241="",J241=""),"",IF(AND(J241&gt;0,I241=1),J241*'פרמטרים לקריטריונים'!$C$64,$Q$2))</f>
        <v>3990706</v>
      </c>
      <c r="L241" s="227">
        <f>IF(OR(F241="",J241=""),"",IF(J241&gt;0,'תחום תמיכה ב'!AC241/SUMIFS('תחום תמיכה ב'!$AC$31:$AC$500,'תחום תמיכה ב'!$E$31:$E$500,E241,'תחום תמיכה ב'!$S$31:$S$500,"=1"),0))</f>
        <v>1.6548424344070291E-3</v>
      </c>
      <c r="M241" s="213">
        <f t="shared" si="13"/>
        <v>6603.9896320427379</v>
      </c>
      <c r="N241" s="227">
        <f t="shared" si="14"/>
        <v>3.0007139802287611E-4</v>
      </c>
      <c r="O241" s="213">
        <f t="shared" si="15"/>
        <v>6603.9896320427379</v>
      </c>
    </row>
    <row r="242" spans="1:15" ht="15.75" x14ac:dyDescent="0.2">
      <c r="A242" s="206">
        <f t="shared" si="12"/>
        <v>212</v>
      </c>
      <c r="B242" s="88">
        <f>IF($F242="","",'הזנה לתנאי סף'!C242)</f>
        <v>1001348412</v>
      </c>
      <c r="C242" s="88">
        <f>IF($F242="","",'הזנה לתנאי סף'!D242)</f>
        <v>1001275936</v>
      </c>
      <c r="D242" s="88">
        <f>IF($F242="","",'הזנה לתנאי סף'!E242)</f>
        <v>41375155</v>
      </c>
      <c r="E242" s="88">
        <f>IF($F242="","",'הזנה לתנאי סף'!F242)</f>
        <v>20000159</v>
      </c>
      <c r="F242" s="88" t="str">
        <f>IF(OR('הזנה לתנאי סף'!G242="",'הזנה לתנאי סף'!BL242&lt;&gt;1,'הזנה לתנאי סף'!Q242&lt;&gt;1,'הזנה לתנאי סף'!N242&lt;&gt;1),"",'הזנה לתנאי סף'!G242)</f>
        <v>ירושלים</v>
      </c>
      <c r="G242" s="88" t="str">
        <f>IF($F242="","",'הזנה לתנאי סף'!H242)</f>
        <v>כביש אחד (ע"ר)</v>
      </c>
      <c r="H242" s="88" t="str">
        <f>IF($F242="","",'הזנה לתנאי סף'!I242)</f>
        <v>ספרות</v>
      </c>
      <c r="I242" s="88">
        <f>IF($F242="","",IF(AND('הזנה לתנאי סף'!N242=0,J242&gt;0),$Q$2,'הזנה לתנאי סף'!N242))</f>
        <v>1</v>
      </c>
      <c r="J242" s="213">
        <f>IF($F242="","",INDEX('גיליון עזר לתחום תמיכה ג'!$H$31:$H$330,MATCH(E242,'גיליון עזר לתחום תמיכה ג'!$C$31:$C$330,0)))</f>
        <v>3990706</v>
      </c>
      <c r="K242" s="213">
        <f>IF(OR(F242="",J242=""),"",IF(AND(J242&gt;0,I242=1),J242*'פרמטרים לקריטריונים'!$C$64,$Q$2))</f>
        <v>3990706</v>
      </c>
      <c r="L242" s="227">
        <f>IF(OR(F242="",J242=""),"",IF(J242&gt;0,'תחום תמיכה ב'!AC242/SUMIFS('תחום תמיכה ב'!$AC$31:$AC$500,'תחום תמיכה ב'!$E$31:$E$500,E242,'תחום תמיכה ב'!$S$31:$S$500,"=1"),0))</f>
        <v>1.6488681674082687E-4</v>
      </c>
      <c r="M242" s="213">
        <f t="shared" si="13"/>
        <v>658.01480888851825</v>
      </c>
      <c r="N242" s="227">
        <f t="shared" si="14"/>
        <v>2.9898808845019019E-5</v>
      </c>
      <c r="O242" s="213">
        <f t="shared" si="15"/>
        <v>658.01480888851825</v>
      </c>
    </row>
    <row r="243" spans="1:15" ht="15.75" x14ac:dyDescent="0.2">
      <c r="A243" s="206">
        <f t="shared" si="12"/>
        <v>213</v>
      </c>
      <c r="B243" s="88">
        <f>IF($F243="","",'הזנה לתנאי סף'!C243)</f>
        <v>1001348413</v>
      </c>
      <c r="C243" s="88">
        <f>IF($F243="","",'הזנה לתנאי סף'!D243)</f>
        <v>1001275127</v>
      </c>
      <c r="D243" s="88">
        <f>IF($F243="","",'הזנה לתנאי סף'!E243)</f>
        <v>41375155</v>
      </c>
      <c r="E243" s="88">
        <f>IF($F243="","",'הזנה לתנאי סף'!F243)</f>
        <v>20000159</v>
      </c>
      <c r="F243" s="88" t="str">
        <f>IF(OR('הזנה לתנאי סף'!G243="",'הזנה לתנאי סף'!BL243&lt;&gt;1,'הזנה לתנאי סף'!Q243&lt;&gt;1,'הזנה לתנאי סף'!N243&lt;&gt;1),"",'הזנה לתנאי סף'!G243)</f>
        <v>ירושלים</v>
      </c>
      <c r="G243" s="88" t="str">
        <f>IF($F243="","",'הזנה לתנאי סף'!H243)</f>
        <v>כביש אחד (ע"ר)</v>
      </c>
      <c r="H243" s="88" t="str">
        <f>IF($F243="","",'הזנה לתנאי סף'!I243)</f>
        <v>אחר</v>
      </c>
      <c r="I243" s="88">
        <f>IF($F243="","",IF(AND('הזנה לתנאי סף'!N243=0,J243&gt;0),$Q$2,'הזנה לתנאי סף'!N243))</f>
        <v>1</v>
      </c>
      <c r="J243" s="213">
        <f>IF($F243="","",INDEX('גיליון עזר לתחום תמיכה ג'!$H$31:$H$330,MATCH(E243,'גיליון עזר לתחום תמיכה ג'!$C$31:$C$330,0)))</f>
        <v>3990706</v>
      </c>
      <c r="K243" s="213">
        <f>IF(OR(F243="",J243=""),"",IF(AND(J243&gt;0,I243=1),J243*'פרמטרים לקריטריונים'!$C$64,$Q$2))</f>
        <v>3990706</v>
      </c>
      <c r="L243" s="227">
        <f>IF(OR(F243="",J243=""),"",IF(J243&gt;0,'תחום תמיכה ב'!AC243/SUMIFS('תחום תמיכה ב'!$AC$31:$AC$500,'תחום תמיכה ב'!$E$31:$E$500,E243,'תחום תמיכה ב'!$S$31:$S$500,"=1"),0))</f>
        <v>2.9465633850045712E-4</v>
      </c>
      <c r="M243" s="213">
        <f t="shared" si="13"/>
        <v>1175.8868179918052</v>
      </c>
      <c r="N243" s="227">
        <f t="shared" si="14"/>
        <v>5.3429823644700226E-5</v>
      </c>
      <c r="O243" s="213">
        <f t="shared" si="15"/>
        <v>1175.8868179918052</v>
      </c>
    </row>
    <row r="244" spans="1:15" ht="15.75" x14ac:dyDescent="0.2">
      <c r="A244" s="206" t="str">
        <f t="shared" si="12"/>
        <v/>
      </c>
      <c r="B244" s="88" t="str">
        <f>IF($F244="","",'הזנה לתנאי סף'!C244)</f>
        <v/>
      </c>
      <c r="C244" s="88" t="str">
        <f>IF($F244="","",'הזנה לתנאי סף'!D244)</f>
        <v/>
      </c>
      <c r="D244" s="88" t="str">
        <f>IF($F244="","",'הזנה לתנאי סף'!E244)</f>
        <v/>
      </c>
      <c r="E244" s="88" t="str">
        <f>IF($F244="","",'הזנה לתנאי סף'!F244)</f>
        <v/>
      </c>
      <c r="F244" s="88" t="str">
        <f>IF(OR('הזנה לתנאי סף'!G244="",'הזנה לתנאי סף'!BL244&lt;&gt;1,'הזנה לתנאי סף'!Q244&lt;&gt;1,'הזנה לתנאי סף'!N244&lt;&gt;1),"",'הזנה לתנאי סף'!G244)</f>
        <v/>
      </c>
      <c r="G244" s="88" t="str">
        <f>IF($F244="","",'הזנה לתנאי סף'!H244)</f>
        <v/>
      </c>
      <c r="H244" s="88" t="str">
        <f>IF($F244="","",'הזנה לתנאי סף'!I244)</f>
        <v/>
      </c>
      <c r="I244" s="88" t="str">
        <f>IF($F244="","",IF(AND('הזנה לתנאי סף'!N244=0,J244&gt;0),$Q$2,'הזנה לתנאי סף'!N244))</f>
        <v/>
      </c>
      <c r="J244" s="213" t="str">
        <f>IF($F244="","",INDEX('גיליון עזר לתחום תמיכה ג'!$H$31:$H$330,MATCH(E244,'גיליון עזר לתחום תמיכה ג'!$C$31:$C$330,0)))</f>
        <v/>
      </c>
      <c r="K244" s="213" t="str">
        <f>IF(OR(F244="",J244=""),"",IF(AND(J244&gt;0,I244=1),J244*'פרמטרים לקריטריונים'!$C$64,$Q$2))</f>
        <v/>
      </c>
      <c r="L244" s="227" t="str">
        <f>IF(OR(F244="",J244=""),"",IF(J244&gt;0,'תחום תמיכה ב'!AC244/SUMIFS('תחום תמיכה ב'!$AC$31:$AC$500,'תחום תמיכה ב'!$E$31:$E$500,E244,'תחום תמיכה ב'!$S$31:$S$500,"=1"),0))</f>
        <v/>
      </c>
      <c r="M244" s="213" t="str">
        <f t="shared" si="13"/>
        <v/>
      </c>
      <c r="N244" s="227" t="str">
        <f t="shared" si="14"/>
        <v/>
      </c>
      <c r="O244" s="213" t="str">
        <f t="shared" si="15"/>
        <v/>
      </c>
    </row>
    <row r="245" spans="1:15" ht="15.75" x14ac:dyDescent="0.2">
      <c r="A245" s="206" t="str">
        <f t="shared" si="12"/>
        <v/>
      </c>
      <c r="B245" s="88" t="str">
        <f>IF($F245="","",'הזנה לתנאי סף'!C245)</f>
        <v/>
      </c>
      <c r="C245" s="88" t="str">
        <f>IF($F245="","",'הזנה לתנאי סף'!D245)</f>
        <v/>
      </c>
      <c r="D245" s="88" t="str">
        <f>IF($F245="","",'הזנה לתנאי סף'!E245)</f>
        <v/>
      </c>
      <c r="E245" s="88" t="str">
        <f>IF($F245="","",'הזנה לתנאי סף'!F245)</f>
        <v/>
      </c>
      <c r="F245" s="88" t="str">
        <f>IF(OR('הזנה לתנאי סף'!G245="",'הזנה לתנאי סף'!BL245&lt;&gt;1,'הזנה לתנאי סף'!Q245&lt;&gt;1,'הזנה לתנאי סף'!N245&lt;&gt;1),"",'הזנה לתנאי סף'!G245)</f>
        <v/>
      </c>
      <c r="G245" s="88" t="str">
        <f>IF($F245="","",'הזנה לתנאי סף'!H245)</f>
        <v/>
      </c>
      <c r="H245" s="88" t="str">
        <f>IF($F245="","",'הזנה לתנאי סף'!I245)</f>
        <v/>
      </c>
      <c r="I245" s="88" t="str">
        <f>IF($F245="","",IF(AND('הזנה לתנאי סף'!N245=0,J245&gt;0),$Q$2,'הזנה לתנאי סף'!N245))</f>
        <v/>
      </c>
      <c r="J245" s="213" t="str">
        <f>IF($F245="","",INDEX('גיליון עזר לתחום תמיכה ג'!$H$31:$H$330,MATCH(E245,'גיליון עזר לתחום תמיכה ג'!$C$31:$C$330,0)))</f>
        <v/>
      </c>
      <c r="K245" s="213" t="str">
        <f>IF(OR(F245="",J245=""),"",IF(AND(J245&gt;0,I245=1),J245*'פרמטרים לקריטריונים'!$C$64,$Q$2))</f>
        <v/>
      </c>
      <c r="L245" s="227" t="str">
        <f>IF(OR(F245="",J245=""),"",IF(J245&gt;0,'תחום תמיכה ב'!AC245/SUMIFS('תחום תמיכה ב'!$AC$31:$AC$500,'תחום תמיכה ב'!$E$31:$E$500,E245,'תחום תמיכה ב'!$S$31:$S$500,"=1"),0))</f>
        <v/>
      </c>
      <c r="M245" s="213" t="str">
        <f t="shared" si="13"/>
        <v/>
      </c>
      <c r="N245" s="227" t="str">
        <f t="shared" si="14"/>
        <v/>
      </c>
      <c r="O245" s="213" t="str">
        <f t="shared" si="15"/>
        <v/>
      </c>
    </row>
    <row r="246" spans="1:15" ht="15.75" x14ac:dyDescent="0.2">
      <c r="A246" s="206" t="str">
        <f t="shared" si="12"/>
        <v/>
      </c>
      <c r="B246" s="88" t="str">
        <f>IF($F246="","",'הזנה לתנאי סף'!C246)</f>
        <v/>
      </c>
      <c r="C246" s="88" t="str">
        <f>IF($F246="","",'הזנה לתנאי סף'!D246)</f>
        <v/>
      </c>
      <c r="D246" s="88" t="str">
        <f>IF($F246="","",'הזנה לתנאי סף'!E246)</f>
        <v/>
      </c>
      <c r="E246" s="88" t="str">
        <f>IF($F246="","",'הזנה לתנאי סף'!F246)</f>
        <v/>
      </c>
      <c r="F246" s="88" t="str">
        <f>IF(OR('הזנה לתנאי סף'!G246="",'הזנה לתנאי סף'!BL246&lt;&gt;1,'הזנה לתנאי סף'!Q246&lt;&gt;1,'הזנה לתנאי סף'!N246&lt;&gt;1),"",'הזנה לתנאי סף'!G246)</f>
        <v/>
      </c>
      <c r="G246" s="88" t="str">
        <f>IF($F246="","",'הזנה לתנאי סף'!H246)</f>
        <v/>
      </c>
      <c r="H246" s="88" t="str">
        <f>IF($F246="","",'הזנה לתנאי סף'!I246)</f>
        <v/>
      </c>
      <c r="I246" s="88" t="str">
        <f>IF($F246="","",IF(AND('הזנה לתנאי סף'!N246=0,J246&gt;0),$Q$2,'הזנה לתנאי סף'!N246))</f>
        <v/>
      </c>
      <c r="J246" s="213" t="str">
        <f>IF($F246="","",INDEX('גיליון עזר לתחום תמיכה ג'!$H$31:$H$330,MATCH(E246,'גיליון עזר לתחום תמיכה ג'!$C$31:$C$330,0)))</f>
        <v/>
      </c>
      <c r="K246" s="213" t="str">
        <f>IF(OR(F246="",J246=""),"",IF(AND(J246&gt;0,I246=1),J246*'פרמטרים לקריטריונים'!$C$64,$Q$2))</f>
        <v/>
      </c>
      <c r="L246" s="227" t="str">
        <f>IF(OR(F246="",J246=""),"",IF(J246&gt;0,'תחום תמיכה ב'!AC246/SUMIFS('תחום תמיכה ב'!$AC$31:$AC$500,'תחום תמיכה ב'!$E$31:$E$500,E246,'תחום תמיכה ב'!$S$31:$S$500,"=1"),0))</f>
        <v/>
      </c>
      <c r="M246" s="213" t="str">
        <f t="shared" si="13"/>
        <v/>
      </c>
      <c r="N246" s="227" t="str">
        <f t="shared" si="14"/>
        <v/>
      </c>
      <c r="O246" s="213" t="str">
        <f t="shared" si="15"/>
        <v/>
      </c>
    </row>
    <row r="247" spans="1:15" ht="15.75" x14ac:dyDescent="0.2">
      <c r="A247" s="206" t="str">
        <f t="shared" si="12"/>
        <v/>
      </c>
      <c r="B247" s="88" t="str">
        <f>IF($F247="","",'הזנה לתנאי סף'!C247)</f>
        <v/>
      </c>
      <c r="C247" s="88" t="str">
        <f>IF($F247="","",'הזנה לתנאי סף'!D247)</f>
        <v/>
      </c>
      <c r="D247" s="88" t="str">
        <f>IF($F247="","",'הזנה לתנאי סף'!E247)</f>
        <v/>
      </c>
      <c r="E247" s="88" t="str">
        <f>IF($F247="","",'הזנה לתנאי סף'!F247)</f>
        <v/>
      </c>
      <c r="F247" s="88" t="str">
        <f>IF(OR('הזנה לתנאי סף'!G247="",'הזנה לתנאי סף'!BL247&lt;&gt;1,'הזנה לתנאי סף'!Q247&lt;&gt;1,'הזנה לתנאי סף'!N247&lt;&gt;1),"",'הזנה לתנאי סף'!G247)</f>
        <v/>
      </c>
      <c r="G247" s="88" t="str">
        <f>IF($F247="","",'הזנה לתנאי סף'!H247)</f>
        <v/>
      </c>
      <c r="H247" s="88" t="str">
        <f>IF($F247="","",'הזנה לתנאי סף'!I247)</f>
        <v/>
      </c>
      <c r="I247" s="88" t="str">
        <f>IF($F247="","",IF(AND('הזנה לתנאי סף'!N247=0,J247&gt;0),$Q$2,'הזנה לתנאי סף'!N247))</f>
        <v/>
      </c>
      <c r="J247" s="213" t="str">
        <f>IF($F247="","",INDEX('גיליון עזר לתחום תמיכה ג'!$H$31:$H$330,MATCH(E247,'גיליון עזר לתחום תמיכה ג'!$C$31:$C$330,0)))</f>
        <v/>
      </c>
      <c r="K247" s="213" t="str">
        <f>IF(OR(F247="",J247=""),"",IF(AND(J247&gt;0,I247=1),J247*'פרמטרים לקריטריונים'!$C$64,$Q$2))</f>
        <v/>
      </c>
      <c r="L247" s="227" t="str">
        <f>IF(OR(F247="",J247=""),"",IF(J247&gt;0,'תחום תמיכה ב'!AC247/SUMIFS('תחום תמיכה ב'!$AC$31:$AC$500,'תחום תמיכה ב'!$E$31:$E$500,E247,'תחום תמיכה ב'!$S$31:$S$500,"=1"),0))</f>
        <v/>
      </c>
      <c r="M247" s="213" t="str">
        <f t="shared" si="13"/>
        <v/>
      </c>
      <c r="N247" s="227" t="str">
        <f t="shared" si="14"/>
        <v/>
      </c>
      <c r="O247" s="213" t="str">
        <f t="shared" si="15"/>
        <v/>
      </c>
    </row>
    <row r="248" spans="1:15" ht="15.75" x14ac:dyDescent="0.2">
      <c r="A248" s="206" t="str">
        <f t="shared" si="12"/>
        <v/>
      </c>
      <c r="B248" s="88" t="str">
        <f>IF($F248="","",'הזנה לתנאי סף'!C248)</f>
        <v/>
      </c>
      <c r="C248" s="88" t="str">
        <f>IF($F248="","",'הזנה לתנאי סף'!D248)</f>
        <v/>
      </c>
      <c r="D248" s="88" t="str">
        <f>IF($F248="","",'הזנה לתנאי סף'!E248)</f>
        <v/>
      </c>
      <c r="E248" s="88" t="str">
        <f>IF($F248="","",'הזנה לתנאי סף'!F248)</f>
        <v/>
      </c>
      <c r="F248" s="88" t="str">
        <f>IF(OR('הזנה לתנאי סף'!G248="",'הזנה לתנאי סף'!BL248&lt;&gt;1,'הזנה לתנאי סף'!Q248&lt;&gt;1,'הזנה לתנאי סף'!N248&lt;&gt;1),"",'הזנה לתנאי סף'!G248)</f>
        <v/>
      </c>
      <c r="G248" s="88" t="str">
        <f>IF($F248="","",'הזנה לתנאי סף'!H248)</f>
        <v/>
      </c>
      <c r="H248" s="88" t="str">
        <f>IF($F248="","",'הזנה לתנאי סף'!I248)</f>
        <v/>
      </c>
      <c r="I248" s="88" t="str">
        <f>IF($F248="","",IF(AND('הזנה לתנאי סף'!N248=0,J248&gt;0),$Q$2,'הזנה לתנאי סף'!N248))</f>
        <v/>
      </c>
      <c r="J248" s="213" t="str">
        <f>IF($F248="","",INDEX('גיליון עזר לתחום תמיכה ג'!$H$31:$H$330,MATCH(E248,'גיליון עזר לתחום תמיכה ג'!$C$31:$C$330,0)))</f>
        <v/>
      </c>
      <c r="K248" s="213" t="str">
        <f>IF(OR(F248="",J248=""),"",IF(AND(J248&gt;0,I248=1),J248*'פרמטרים לקריטריונים'!$C$64,$Q$2))</f>
        <v/>
      </c>
      <c r="L248" s="227" t="str">
        <f>IF(OR(F248="",J248=""),"",IF(J248&gt;0,'תחום תמיכה ב'!AC248/SUMIFS('תחום תמיכה ב'!$AC$31:$AC$500,'תחום תמיכה ב'!$E$31:$E$500,E248,'תחום תמיכה ב'!$S$31:$S$500,"=1"),0))</f>
        <v/>
      </c>
      <c r="M248" s="213" t="str">
        <f t="shared" si="13"/>
        <v/>
      </c>
      <c r="N248" s="227" t="str">
        <f t="shared" si="14"/>
        <v/>
      </c>
      <c r="O248" s="213" t="str">
        <f t="shared" si="15"/>
        <v/>
      </c>
    </row>
    <row r="249" spans="1:15" ht="15.75" x14ac:dyDescent="0.2">
      <c r="A249" s="206" t="str">
        <f t="shared" si="12"/>
        <v/>
      </c>
      <c r="B249" s="88" t="str">
        <f>IF($F249="","",'הזנה לתנאי סף'!C249)</f>
        <v/>
      </c>
      <c r="C249" s="88" t="str">
        <f>IF($F249="","",'הזנה לתנאי סף'!D249)</f>
        <v/>
      </c>
      <c r="D249" s="88" t="str">
        <f>IF($F249="","",'הזנה לתנאי סף'!E249)</f>
        <v/>
      </c>
      <c r="E249" s="88" t="str">
        <f>IF($F249="","",'הזנה לתנאי סף'!F249)</f>
        <v/>
      </c>
      <c r="F249" s="88" t="str">
        <f>IF(OR('הזנה לתנאי סף'!G249="",'הזנה לתנאי סף'!BL249&lt;&gt;1,'הזנה לתנאי סף'!Q249&lt;&gt;1,'הזנה לתנאי סף'!N249&lt;&gt;1),"",'הזנה לתנאי סף'!G249)</f>
        <v/>
      </c>
      <c r="G249" s="88" t="str">
        <f>IF($F249="","",'הזנה לתנאי סף'!H249)</f>
        <v/>
      </c>
      <c r="H249" s="88" t="str">
        <f>IF($F249="","",'הזנה לתנאי סף'!I249)</f>
        <v/>
      </c>
      <c r="I249" s="88" t="str">
        <f>IF($F249="","",IF(AND('הזנה לתנאי סף'!N249=0,J249&gt;0),$Q$2,'הזנה לתנאי סף'!N249))</f>
        <v/>
      </c>
      <c r="J249" s="213" t="str">
        <f>IF($F249="","",INDEX('גיליון עזר לתחום תמיכה ג'!$H$31:$H$330,MATCH(E249,'גיליון עזר לתחום תמיכה ג'!$C$31:$C$330,0)))</f>
        <v/>
      </c>
      <c r="K249" s="213" t="str">
        <f>IF(OR(F249="",J249=""),"",IF(AND(J249&gt;0,I249=1),J249*'פרמטרים לקריטריונים'!$C$64,$Q$2))</f>
        <v/>
      </c>
      <c r="L249" s="227" t="str">
        <f>IF(OR(F249="",J249=""),"",IF(J249&gt;0,'תחום תמיכה ב'!AC249/SUMIFS('תחום תמיכה ב'!$AC$31:$AC$500,'תחום תמיכה ב'!$E$31:$E$500,E249,'תחום תמיכה ב'!$S$31:$S$500,"=1"),0))</f>
        <v/>
      </c>
      <c r="M249" s="213" t="str">
        <f t="shared" si="13"/>
        <v/>
      </c>
      <c r="N249" s="227" t="str">
        <f t="shared" si="14"/>
        <v/>
      </c>
      <c r="O249" s="213" t="str">
        <f t="shared" si="15"/>
        <v/>
      </c>
    </row>
    <row r="250" spans="1:15" ht="15.75" x14ac:dyDescent="0.2">
      <c r="A250" s="206">
        <f t="shared" si="12"/>
        <v>220</v>
      </c>
      <c r="B250" s="88">
        <f>IF($F250="","",'הזנה לתנאי סף'!C250)</f>
        <v>1001346668</v>
      </c>
      <c r="C250" s="88">
        <f>IF($F250="","",'הזנה לתנאי סף'!D250)</f>
        <v>1001265550</v>
      </c>
      <c r="D250" s="88">
        <f>IF($F250="","",'הזנה לתנאי סף'!E250)</f>
        <v>41457607</v>
      </c>
      <c r="E250" s="88">
        <f>IF($F250="","",'הזנה לתנאי סף'!F250)</f>
        <v>20000201</v>
      </c>
      <c r="F250" s="88" t="str">
        <f>IF(OR('הזנה לתנאי סף'!G250="",'הזנה לתנאי סף'!BL250&lt;&gt;1,'הזנה לתנאי סף'!Q250&lt;&gt;1,'הזנה לתנאי סף'!N250&lt;&gt;1),"",'הזנה לתנאי סף'!G250)</f>
        <v>תל אביב -יפו</v>
      </c>
      <c r="G250" s="88" t="str">
        <f>IF($F250="","",'הזנה לתנאי סף'!H250)</f>
        <v>להקת המחול פרסקו (ע"ר)</v>
      </c>
      <c r="H250" s="88" t="str">
        <f>IF($F250="","",'הזנה לתנאי סף'!I250)</f>
        <v>מחול</v>
      </c>
      <c r="I250" s="88">
        <f>IF($F250="","",IF(AND('הזנה לתנאי סף'!N250=0,J250&gt;0),$Q$2,'הזנה לתנאי סף'!N250))</f>
        <v>1</v>
      </c>
      <c r="J250" s="213">
        <f>IF($F250="","",INDEX('גיליון עזר לתחום תמיכה ג'!$H$31:$H$330,MATCH(E250,'גיליון עזר לתחום תמיכה ג'!$C$31:$C$330,0)))</f>
        <v>15995126</v>
      </c>
      <c r="K250" s="213">
        <f>IF(OR(F250="",J250=""),"",IF(AND(J250&gt;0,I250=1),J250*'פרמטרים לקריטריונים'!$C$64,$Q$2))</f>
        <v>15995126</v>
      </c>
      <c r="L250" s="227">
        <f>IF(OR(F250="",J250=""),"",IF(J250&gt;0,'תחום תמיכה ב'!AC250/SUMIFS('תחום תמיכה ב'!$AC$31:$AC$500,'תחום תמיכה ב'!$E$31:$E$500,E250,'תחום תמיכה ב'!$S$31:$S$500,"=1"),0))</f>
        <v>2.9425807249063882E-3</v>
      </c>
      <c r="M250" s="213">
        <f t="shared" si="13"/>
        <v>47066.949460049014</v>
      </c>
      <c r="N250" s="227">
        <f t="shared" si="14"/>
        <v>2.1386231826624347E-3</v>
      </c>
      <c r="O250" s="213">
        <f t="shared" si="15"/>
        <v>47066.949460049014</v>
      </c>
    </row>
    <row r="251" spans="1:15" ht="15.75" x14ac:dyDescent="0.2">
      <c r="A251" s="206">
        <f t="shared" si="12"/>
        <v>221</v>
      </c>
      <c r="B251" s="88">
        <f>IF($F251="","",'הזנה לתנאי סף'!C251)</f>
        <v>1001348185</v>
      </c>
      <c r="C251" s="88">
        <f>IF($F251="","",'הזנה לתנאי סף'!D251)</f>
        <v>1001265555</v>
      </c>
      <c r="D251" s="88">
        <f>IF($F251="","",'הזנה לתנאי סף'!E251)</f>
        <v>41457607</v>
      </c>
      <c r="E251" s="88">
        <f>IF($F251="","",'הזנה לתנאי סף'!F251)</f>
        <v>20000201</v>
      </c>
      <c r="F251" s="88" t="str">
        <f>IF(OR('הזנה לתנאי סף'!G251="",'הזנה לתנאי סף'!BL251&lt;&gt;1,'הזנה לתנאי סף'!Q251&lt;&gt;1,'הזנה לתנאי סף'!N251&lt;&gt;1),"",'הזנה לתנאי סף'!G251)</f>
        <v>תל אביב -יפו</v>
      </c>
      <c r="G251" s="88" t="str">
        <f>IF($F251="","",'הזנה לתנאי סף'!H251)</f>
        <v>להקת המחול פרסקו (ע"ר)</v>
      </c>
      <c r="H251" s="88" t="str">
        <f>IF($F251="","",'הזנה לתנאי סף'!I251)</f>
        <v>מחול</v>
      </c>
      <c r="I251" s="88">
        <f>IF($F251="","",IF(AND('הזנה לתנאי סף'!N251=0,J251&gt;0),$Q$2,'הזנה לתנאי סף'!N251))</f>
        <v>1</v>
      </c>
      <c r="J251" s="213">
        <f>IF($F251="","",INDEX('גיליון עזר לתחום תמיכה ג'!$H$31:$H$330,MATCH(E251,'גיליון עזר לתחום תמיכה ג'!$C$31:$C$330,0)))</f>
        <v>15995126</v>
      </c>
      <c r="K251" s="213">
        <f>IF(OR(F251="",J251=""),"",IF(AND(J251&gt;0,I251=1),J251*'פרמטרים לקריטריונים'!$C$64,$Q$2))</f>
        <v>15995126</v>
      </c>
      <c r="L251" s="227">
        <f>IF(OR(F251="",J251=""),"",IF(J251&gt;0,'תחום תמיכה ב'!AC251/SUMIFS('תחום תמיכה ב'!$AC$31:$AC$500,'תחום תמיכה ב'!$E$31:$E$500,E251,'תחום תמיכה ב'!$S$31:$S$500,"=1"),0))</f>
        <v>4.1851257798411874E-4</v>
      </c>
      <c r="M251" s="213">
        <f t="shared" si="13"/>
        <v>6694.1614174408051</v>
      </c>
      <c r="N251" s="227">
        <f t="shared" si="14"/>
        <v>3.0416861428368469E-4</v>
      </c>
      <c r="O251" s="213">
        <f t="shared" si="15"/>
        <v>6694.1614174408051</v>
      </c>
    </row>
    <row r="252" spans="1:15" ht="15.75" x14ac:dyDescent="0.2">
      <c r="A252" s="206" t="str">
        <f t="shared" si="12"/>
        <v/>
      </c>
      <c r="B252" s="88" t="str">
        <f>IF($F252="","",'הזנה לתנאי סף'!C252)</f>
        <v/>
      </c>
      <c r="C252" s="88" t="str">
        <f>IF($F252="","",'הזנה לתנאי סף'!D252)</f>
        <v/>
      </c>
      <c r="D252" s="88" t="str">
        <f>IF($F252="","",'הזנה לתנאי סף'!E252)</f>
        <v/>
      </c>
      <c r="E252" s="88" t="str">
        <f>IF($F252="","",'הזנה לתנאי סף'!F252)</f>
        <v/>
      </c>
      <c r="F252" s="88" t="str">
        <f>IF(OR('הזנה לתנאי סף'!G252="",'הזנה לתנאי סף'!BL252&lt;&gt;1,'הזנה לתנאי סף'!Q252&lt;&gt;1,'הזנה לתנאי סף'!N252&lt;&gt;1),"",'הזנה לתנאי סף'!G252)</f>
        <v/>
      </c>
      <c r="G252" s="88" t="str">
        <f>IF($F252="","",'הזנה לתנאי סף'!H252)</f>
        <v/>
      </c>
      <c r="H252" s="88" t="str">
        <f>IF($F252="","",'הזנה לתנאי סף'!I252)</f>
        <v/>
      </c>
      <c r="I252" s="88" t="str">
        <f>IF($F252="","",IF(AND('הזנה לתנאי סף'!N252=0,J252&gt;0),$Q$2,'הזנה לתנאי סף'!N252))</f>
        <v/>
      </c>
      <c r="J252" s="213" t="str">
        <f>IF($F252="","",INDEX('גיליון עזר לתחום תמיכה ג'!$H$31:$H$330,MATCH(E252,'גיליון עזר לתחום תמיכה ג'!$C$31:$C$330,0)))</f>
        <v/>
      </c>
      <c r="K252" s="213" t="str">
        <f>IF(OR(F252="",J252=""),"",IF(AND(J252&gt;0,I252=1),J252*'פרמטרים לקריטריונים'!$C$64,$Q$2))</f>
        <v/>
      </c>
      <c r="L252" s="227" t="str">
        <f>IF(OR(F252="",J252=""),"",IF(J252&gt;0,'תחום תמיכה ב'!AC252/SUMIFS('תחום תמיכה ב'!$AC$31:$AC$500,'תחום תמיכה ב'!$E$31:$E$500,E252,'תחום תמיכה ב'!$S$31:$S$500,"=1"),0))</f>
        <v/>
      </c>
      <c r="M252" s="213" t="str">
        <f t="shared" si="13"/>
        <v/>
      </c>
      <c r="N252" s="227" t="str">
        <f t="shared" si="14"/>
        <v/>
      </c>
      <c r="O252" s="213" t="str">
        <f t="shared" si="15"/>
        <v/>
      </c>
    </row>
    <row r="253" spans="1:15" ht="15.75" x14ac:dyDescent="0.2">
      <c r="A253" s="206">
        <f t="shared" si="12"/>
        <v>223</v>
      </c>
      <c r="B253" s="88">
        <f>IF($F253="","",'הזנה לתנאי סף'!C253)</f>
        <v>1001350854</v>
      </c>
      <c r="C253" s="88">
        <f>IF($F253="","",'הזנה לתנאי סף'!D253)</f>
        <v>1001311678</v>
      </c>
      <c r="D253" s="88">
        <f>IF($F253="","",'הזנה לתנאי סף'!E253)</f>
        <v>41378459</v>
      </c>
      <c r="E253" s="88">
        <f>IF($F253="","",'הזנה לתנאי סף'!F253)</f>
        <v>20000201</v>
      </c>
      <c r="F253" s="88" t="str">
        <f>IF(OR('הזנה לתנאי סף'!G253="",'הזנה לתנאי סף'!BL253&lt;&gt;1,'הזנה לתנאי סף'!Q253&lt;&gt;1,'הזנה לתנאי סף'!N253&lt;&gt;1),"",'הזנה לתנאי סף'!G253)</f>
        <v>תל אביב -יפו</v>
      </c>
      <c r="G253" s="88" t="str">
        <f>IF($F253="","",'הזנה לתנאי סף'!H253)</f>
        <v>עמותת תיאטרון גלבוע</v>
      </c>
      <c r="H253" s="88" t="str">
        <f>IF($F253="","",'הזנה לתנאי סף'!I253)</f>
        <v>אחר</v>
      </c>
      <c r="I253" s="88">
        <f>IF($F253="","",IF(AND('הזנה לתנאי סף'!N253=0,J253&gt;0),$Q$2,'הזנה לתנאי סף'!N253))</f>
        <v>1</v>
      </c>
      <c r="J253" s="213">
        <f>IF($F253="","",INDEX('גיליון עזר לתחום תמיכה ג'!$H$31:$H$330,MATCH(E253,'גיליון עזר לתחום תמיכה ג'!$C$31:$C$330,0)))</f>
        <v>15995126</v>
      </c>
      <c r="K253" s="213">
        <f>IF(OR(F253="",J253=""),"",IF(AND(J253&gt;0,I253=1),J253*'פרמטרים לקריטריונים'!$C$64,$Q$2))</f>
        <v>15995126</v>
      </c>
      <c r="L253" s="227">
        <f>IF(OR(F253="",J253=""),"",IF(J253&gt;0,'תחום תמיכה ב'!AC253/SUMIFS('תחום תמיכה ב'!$AC$31:$AC$500,'תחום תמיכה ב'!$E$31:$E$500,E253,'תחום תמיכה ב'!$S$31:$S$500,"=1"),0))</f>
        <v>4.705884777526014E-4</v>
      </c>
      <c r="M253" s="213">
        <f t="shared" si="13"/>
        <v>7527.1219958010561</v>
      </c>
      <c r="N253" s="227">
        <f t="shared" si="14"/>
        <v>3.4201659091189607E-4</v>
      </c>
      <c r="O253" s="213">
        <f t="shared" si="15"/>
        <v>7527.1219958010561</v>
      </c>
    </row>
    <row r="254" spans="1:15" ht="15.75" x14ac:dyDescent="0.2">
      <c r="A254" s="206" t="str">
        <f t="shared" si="12"/>
        <v/>
      </c>
      <c r="B254" s="88" t="str">
        <f>IF($F254="","",'הזנה לתנאי סף'!C254)</f>
        <v/>
      </c>
      <c r="C254" s="88" t="str">
        <f>IF($F254="","",'הזנה לתנאי סף'!D254)</f>
        <v/>
      </c>
      <c r="D254" s="88" t="str">
        <f>IF($F254="","",'הזנה לתנאי סף'!E254)</f>
        <v/>
      </c>
      <c r="E254" s="88" t="str">
        <f>IF($F254="","",'הזנה לתנאי סף'!F254)</f>
        <v/>
      </c>
      <c r="F254" s="88" t="str">
        <f>IF(OR('הזנה לתנאי סף'!G254="",'הזנה לתנאי סף'!BL254&lt;&gt;1,'הזנה לתנאי סף'!Q254&lt;&gt;1,'הזנה לתנאי סף'!N254&lt;&gt;1),"",'הזנה לתנאי סף'!G254)</f>
        <v/>
      </c>
      <c r="G254" s="88" t="str">
        <f>IF($F254="","",'הזנה לתנאי סף'!H254)</f>
        <v/>
      </c>
      <c r="H254" s="88" t="str">
        <f>IF($F254="","",'הזנה לתנאי סף'!I254)</f>
        <v/>
      </c>
      <c r="I254" s="88" t="str">
        <f>IF($F254="","",IF(AND('הזנה לתנאי סף'!N254=0,J254&gt;0),$Q$2,'הזנה לתנאי סף'!N254))</f>
        <v/>
      </c>
      <c r="J254" s="213" t="str">
        <f>IF($F254="","",INDEX('גיליון עזר לתחום תמיכה ג'!$H$31:$H$330,MATCH(E254,'גיליון עזר לתחום תמיכה ג'!$C$31:$C$330,0)))</f>
        <v/>
      </c>
      <c r="K254" s="213" t="str">
        <f>IF(OR(F254="",J254=""),"",IF(AND(J254&gt;0,I254=1),J254*'פרמטרים לקריטריונים'!$C$64,$Q$2))</f>
        <v/>
      </c>
      <c r="L254" s="227" t="str">
        <f>IF(OR(F254="",J254=""),"",IF(J254&gt;0,'תחום תמיכה ב'!AC254/SUMIFS('תחום תמיכה ב'!$AC$31:$AC$500,'תחום תמיכה ב'!$E$31:$E$500,E254,'תחום תמיכה ב'!$S$31:$S$500,"=1"),0))</f>
        <v/>
      </c>
      <c r="M254" s="213" t="str">
        <f t="shared" si="13"/>
        <v/>
      </c>
      <c r="N254" s="227" t="str">
        <f t="shared" si="14"/>
        <v/>
      </c>
      <c r="O254" s="213" t="str">
        <f t="shared" si="15"/>
        <v/>
      </c>
    </row>
    <row r="255" spans="1:15" ht="15.75" x14ac:dyDescent="0.2">
      <c r="A255" s="206" t="str">
        <f t="shared" si="12"/>
        <v/>
      </c>
      <c r="B255" s="88" t="str">
        <f>IF($F255="","",'הזנה לתנאי סף'!C255)</f>
        <v/>
      </c>
      <c r="C255" s="88" t="str">
        <f>IF($F255="","",'הזנה לתנאי סף'!D255)</f>
        <v/>
      </c>
      <c r="D255" s="88" t="str">
        <f>IF($F255="","",'הזנה לתנאי סף'!E255)</f>
        <v/>
      </c>
      <c r="E255" s="88" t="str">
        <f>IF($F255="","",'הזנה לתנאי סף'!F255)</f>
        <v/>
      </c>
      <c r="F255" s="88" t="str">
        <f>IF(OR('הזנה לתנאי סף'!G255="",'הזנה לתנאי סף'!BL255&lt;&gt;1,'הזנה לתנאי סף'!Q255&lt;&gt;1,'הזנה לתנאי סף'!N255&lt;&gt;1),"",'הזנה לתנאי סף'!G255)</f>
        <v/>
      </c>
      <c r="G255" s="88" t="str">
        <f>IF($F255="","",'הזנה לתנאי סף'!H255)</f>
        <v/>
      </c>
      <c r="H255" s="88" t="str">
        <f>IF($F255="","",'הזנה לתנאי סף'!I255)</f>
        <v/>
      </c>
      <c r="I255" s="88" t="str">
        <f>IF($F255="","",IF(AND('הזנה לתנאי סף'!N255=0,J255&gt;0),$Q$2,'הזנה לתנאי סף'!N255))</f>
        <v/>
      </c>
      <c r="J255" s="213" t="str">
        <f>IF($F255="","",INDEX('גיליון עזר לתחום תמיכה ג'!$H$31:$H$330,MATCH(E255,'גיליון עזר לתחום תמיכה ג'!$C$31:$C$330,0)))</f>
        <v/>
      </c>
      <c r="K255" s="213" t="str">
        <f>IF(OR(F255="",J255=""),"",IF(AND(J255&gt;0,I255=1),J255*'פרמטרים לקריטריונים'!$C$64,$Q$2))</f>
        <v/>
      </c>
      <c r="L255" s="227" t="str">
        <f>IF(OR(F255="",J255=""),"",IF(J255&gt;0,'תחום תמיכה ב'!AC255/SUMIFS('תחום תמיכה ב'!$AC$31:$AC$500,'תחום תמיכה ב'!$E$31:$E$500,E255,'תחום תמיכה ב'!$S$31:$S$500,"=1"),0))</f>
        <v/>
      </c>
      <c r="M255" s="213" t="str">
        <f t="shared" si="13"/>
        <v/>
      </c>
      <c r="N255" s="227" t="str">
        <f t="shared" si="14"/>
        <v/>
      </c>
      <c r="O255" s="213" t="str">
        <f t="shared" si="15"/>
        <v/>
      </c>
    </row>
    <row r="256" spans="1:15" ht="15.75" x14ac:dyDescent="0.2">
      <c r="A256" s="206">
        <f t="shared" si="12"/>
        <v>226</v>
      </c>
      <c r="B256" s="88">
        <f>IF($F256="","",'הזנה לתנאי סף'!C256)</f>
        <v>1001347595</v>
      </c>
      <c r="C256" s="88">
        <f>IF($F256="","",'הזנה לתנאי סף'!D256)</f>
        <v>1001267946</v>
      </c>
      <c r="D256" s="88">
        <f>IF($F256="","",'הזנה לתנאי סף'!E256)</f>
        <v>40000345</v>
      </c>
      <c r="E256" s="88">
        <f>IF($F256="","",'הזנה לתנאי סף'!F256)</f>
        <v>20000159</v>
      </c>
      <c r="F256" s="88" t="str">
        <f>IF(OR('הזנה לתנאי סף'!G256="",'הזנה לתנאי סף'!BL256&lt;&gt;1,'הזנה לתנאי סף'!Q256&lt;&gt;1,'הזנה לתנאי סף'!N256&lt;&gt;1),"",'הזנה לתנאי סף'!G256)</f>
        <v>ירושלים</v>
      </c>
      <c r="G256" s="88" t="str">
        <f>IF($F256="","",'הזנה לתנאי סף'!H256)</f>
        <v>מגדל דוד- מוזיאון לתולדות י-ם</v>
      </c>
      <c r="H256" s="88" t="str">
        <f>IF($F256="","",'הזנה לתנאי סף'!I256)</f>
        <v>מוזיאונים</v>
      </c>
      <c r="I256" s="88">
        <f>IF($F256="","",IF(AND('הזנה לתנאי סף'!N256=0,J256&gt;0),$Q$2,'הזנה לתנאי סף'!N256))</f>
        <v>1</v>
      </c>
      <c r="J256" s="213">
        <f>IF($F256="","",INDEX('גיליון עזר לתחום תמיכה ג'!$H$31:$H$330,MATCH(E256,'גיליון עזר לתחום תמיכה ג'!$C$31:$C$330,0)))</f>
        <v>3990706</v>
      </c>
      <c r="K256" s="213">
        <f>IF(OR(F256="",J256=""),"",IF(AND(J256&gt;0,I256=1),J256*'פרמטרים לקריטריונים'!$C$64,$Q$2))</f>
        <v>3990706</v>
      </c>
      <c r="L256" s="227">
        <f>IF(OR(F256="",J256=""),"",IF(J256&gt;0,'תחום תמיכה ב'!AC256/SUMIFS('תחום תמיכה ב'!$AC$31:$AC$500,'תחום תמיכה ב'!$E$31:$E$500,E256,'תחום תמיכה ב'!$S$31:$S$500,"=1"),0))</f>
        <v>9.3049060650293114E-2</v>
      </c>
      <c r="M256" s="213">
        <f t="shared" si="13"/>
        <v>371331.44463148864</v>
      </c>
      <c r="N256" s="227">
        <f t="shared" si="14"/>
        <v>1.6872519784068601E-2</v>
      </c>
      <c r="O256" s="213">
        <f t="shared" si="15"/>
        <v>371331.44463148864</v>
      </c>
    </row>
    <row r="257" spans="1:15" ht="15.75" x14ac:dyDescent="0.2">
      <c r="A257" s="206">
        <f t="shared" si="12"/>
        <v>227</v>
      </c>
      <c r="B257" s="88">
        <f>IF($F257="","",'הזנה לתנאי סף'!C257)</f>
        <v>1001346662</v>
      </c>
      <c r="C257" s="88">
        <f>IF($F257="","",'הזנה לתנאי סף'!D257)</f>
        <v>1001278692</v>
      </c>
      <c r="D257" s="88">
        <f>IF($F257="","",'הזנה לתנאי סף'!E257)</f>
        <v>40000362</v>
      </c>
      <c r="E257" s="88">
        <f>IF($F257="","",'הזנה לתנאי סף'!F257)</f>
        <v>20000159</v>
      </c>
      <c r="F257" s="88" t="str">
        <f>IF(OR('הזנה לתנאי סף'!G257="",'הזנה לתנאי סף'!BL257&lt;&gt;1,'הזנה לתנאי סף'!Q257&lt;&gt;1,'הזנה לתנאי סף'!N257&lt;&gt;1),"",'הזנה לתנאי סף'!G257)</f>
        <v>ירושלים</v>
      </c>
      <c r="G257" s="88" t="str">
        <f>IF($F257="","",'הזנה לתנאי סף'!H257)</f>
        <v>מרכז עדן תמיר למוסיקה</v>
      </c>
      <c r="H257" s="88" t="str">
        <f>IF($F257="","",'הזנה לתנאי סף'!I257)</f>
        <v>מרכזי מוסיקה</v>
      </c>
      <c r="I257" s="88">
        <f>IF($F257="","",IF(AND('הזנה לתנאי סף'!N257=0,J257&gt;0),$Q$2,'הזנה לתנאי סף'!N257))</f>
        <v>1</v>
      </c>
      <c r="J257" s="213">
        <f>IF($F257="","",INDEX('גיליון עזר לתחום תמיכה ג'!$H$31:$H$330,MATCH(E257,'גיליון עזר לתחום תמיכה ג'!$C$31:$C$330,0)))</f>
        <v>3990706</v>
      </c>
      <c r="K257" s="213">
        <f>IF(OR(F257="",J257=""),"",IF(AND(J257&gt;0,I257=1),J257*'פרמטרים לקריטריונים'!$C$64,$Q$2))</f>
        <v>3990706</v>
      </c>
      <c r="L257" s="227">
        <f>IF(OR(F257="",J257=""),"",IF(J257&gt;0,'תחום תמיכה ב'!AC257/SUMIFS('תחום תמיכה ב'!$AC$31:$AC$500,'תחום תמיכה ב'!$E$31:$E$500,E257,'תחום תמיכה ב'!$S$31:$S$500,"=1"),0))</f>
        <v>1.4163855705953156E-3</v>
      </c>
      <c r="M257" s="213">
        <f t="shared" si="13"/>
        <v>5652.3783948881492</v>
      </c>
      <c r="N257" s="227">
        <f t="shared" si="14"/>
        <v>2.568321850293012E-4</v>
      </c>
      <c r="O257" s="213">
        <f t="shared" si="15"/>
        <v>5652.3783948881492</v>
      </c>
    </row>
    <row r="258" spans="1:15" ht="15.75" x14ac:dyDescent="0.2">
      <c r="A258" s="206" t="str">
        <f t="shared" si="12"/>
        <v/>
      </c>
      <c r="B258" s="88" t="str">
        <f>IF($F258="","",'הזנה לתנאי סף'!C258)</f>
        <v/>
      </c>
      <c r="C258" s="88" t="str">
        <f>IF($F258="","",'הזנה לתנאי סף'!D258)</f>
        <v/>
      </c>
      <c r="D258" s="88" t="str">
        <f>IF($F258="","",'הזנה לתנאי סף'!E258)</f>
        <v/>
      </c>
      <c r="E258" s="88" t="str">
        <f>IF($F258="","",'הזנה לתנאי סף'!F258)</f>
        <v/>
      </c>
      <c r="F258" s="88" t="str">
        <f>IF(OR('הזנה לתנאי סף'!G258="",'הזנה לתנאי סף'!BL258&lt;&gt;1,'הזנה לתנאי סף'!Q258&lt;&gt;1,'הזנה לתנאי סף'!N258&lt;&gt;1),"",'הזנה לתנאי סף'!G258)</f>
        <v/>
      </c>
      <c r="G258" s="88" t="str">
        <f>IF($F258="","",'הזנה לתנאי סף'!H258)</f>
        <v/>
      </c>
      <c r="H258" s="88" t="str">
        <f>IF($F258="","",'הזנה לתנאי סף'!I258)</f>
        <v/>
      </c>
      <c r="I258" s="88" t="str">
        <f>IF($F258="","",IF(AND('הזנה לתנאי סף'!N258=0,J258&gt;0),$Q$2,'הזנה לתנאי סף'!N258))</f>
        <v/>
      </c>
      <c r="J258" s="213" t="str">
        <f>IF($F258="","",INDEX('גיליון עזר לתחום תמיכה ג'!$H$31:$H$330,MATCH(E258,'גיליון עזר לתחום תמיכה ג'!$C$31:$C$330,0)))</f>
        <v/>
      </c>
      <c r="K258" s="213" t="str">
        <f>IF(OR(F258="",J258=""),"",IF(AND(J258&gt;0,I258=1),J258*'פרמטרים לקריטריונים'!$C$64,$Q$2))</f>
        <v/>
      </c>
      <c r="L258" s="227" t="str">
        <f>IF(OR(F258="",J258=""),"",IF(J258&gt;0,'תחום תמיכה ב'!AC258/SUMIFS('תחום תמיכה ב'!$AC$31:$AC$500,'תחום תמיכה ב'!$E$31:$E$500,E258,'תחום תמיכה ב'!$S$31:$S$500,"=1"),0))</f>
        <v/>
      </c>
      <c r="M258" s="213" t="str">
        <f t="shared" si="13"/>
        <v/>
      </c>
      <c r="N258" s="227" t="str">
        <f t="shared" si="14"/>
        <v/>
      </c>
      <c r="O258" s="213" t="str">
        <f t="shared" si="15"/>
        <v/>
      </c>
    </row>
    <row r="259" spans="1:15" ht="15.75" x14ac:dyDescent="0.2">
      <c r="A259" s="206" t="str">
        <f t="shared" si="12"/>
        <v/>
      </c>
      <c r="B259" s="88" t="str">
        <f>IF($F259="","",'הזנה לתנאי סף'!C259)</f>
        <v/>
      </c>
      <c r="C259" s="88" t="str">
        <f>IF($F259="","",'הזנה לתנאי סף'!D259)</f>
        <v/>
      </c>
      <c r="D259" s="88" t="str">
        <f>IF($F259="","",'הזנה לתנאי סף'!E259)</f>
        <v/>
      </c>
      <c r="E259" s="88" t="str">
        <f>IF($F259="","",'הזנה לתנאי סף'!F259)</f>
        <v/>
      </c>
      <c r="F259" s="88" t="str">
        <f>IF(OR('הזנה לתנאי סף'!G259="",'הזנה לתנאי סף'!BL259&lt;&gt;1,'הזנה לתנאי סף'!Q259&lt;&gt;1,'הזנה לתנאי סף'!N259&lt;&gt;1),"",'הזנה לתנאי סף'!G259)</f>
        <v/>
      </c>
      <c r="G259" s="88" t="str">
        <f>IF($F259="","",'הזנה לתנאי סף'!H259)</f>
        <v/>
      </c>
      <c r="H259" s="88" t="str">
        <f>IF($F259="","",'הזנה לתנאי סף'!I259)</f>
        <v/>
      </c>
      <c r="I259" s="88" t="str">
        <f>IF($F259="","",IF(AND('הזנה לתנאי סף'!N259=0,J259&gt;0),$Q$2,'הזנה לתנאי סף'!N259))</f>
        <v/>
      </c>
      <c r="J259" s="213" t="str">
        <f>IF($F259="","",INDEX('גיליון עזר לתחום תמיכה ג'!$H$31:$H$330,MATCH(E259,'גיליון עזר לתחום תמיכה ג'!$C$31:$C$330,0)))</f>
        <v/>
      </c>
      <c r="K259" s="213" t="str">
        <f>IF(OR(F259="",J259=""),"",IF(AND(J259&gt;0,I259=1),J259*'פרמטרים לקריטריונים'!$C$64,$Q$2))</f>
        <v/>
      </c>
      <c r="L259" s="227" t="str">
        <f>IF(OR(F259="",J259=""),"",IF(J259&gt;0,'תחום תמיכה ב'!AC259/SUMIFS('תחום תמיכה ב'!$AC$31:$AC$500,'תחום תמיכה ב'!$E$31:$E$500,E259,'תחום תמיכה ב'!$S$31:$S$500,"=1"),0))</f>
        <v/>
      </c>
      <c r="M259" s="213" t="str">
        <f t="shared" si="13"/>
        <v/>
      </c>
      <c r="N259" s="227" t="str">
        <f t="shared" si="14"/>
        <v/>
      </c>
      <c r="O259" s="213" t="str">
        <f t="shared" si="15"/>
        <v/>
      </c>
    </row>
    <row r="260" spans="1:15" ht="15.75" x14ac:dyDescent="0.2">
      <c r="A260" s="206" t="str">
        <f t="shared" si="12"/>
        <v/>
      </c>
      <c r="B260" s="88" t="str">
        <f>IF($F260="","",'הזנה לתנאי סף'!C260)</f>
        <v/>
      </c>
      <c r="C260" s="88" t="str">
        <f>IF($F260="","",'הזנה לתנאי סף'!D260)</f>
        <v/>
      </c>
      <c r="D260" s="88" t="str">
        <f>IF($F260="","",'הזנה לתנאי סף'!E260)</f>
        <v/>
      </c>
      <c r="E260" s="88" t="str">
        <f>IF($F260="","",'הזנה לתנאי סף'!F260)</f>
        <v/>
      </c>
      <c r="F260" s="88" t="str">
        <f>IF(OR('הזנה לתנאי סף'!G260="",'הזנה לתנאי סף'!BL260&lt;&gt;1,'הזנה לתנאי סף'!Q260&lt;&gt;1,'הזנה לתנאי סף'!N260&lt;&gt;1),"",'הזנה לתנאי סף'!G260)</f>
        <v/>
      </c>
      <c r="G260" s="88" t="str">
        <f>IF($F260="","",'הזנה לתנאי סף'!H260)</f>
        <v/>
      </c>
      <c r="H260" s="88" t="str">
        <f>IF($F260="","",'הזנה לתנאי סף'!I260)</f>
        <v/>
      </c>
      <c r="I260" s="88" t="str">
        <f>IF($F260="","",IF(AND('הזנה לתנאי סף'!N260=0,J260&gt;0),$Q$2,'הזנה לתנאי סף'!N260))</f>
        <v/>
      </c>
      <c r="J260" s="213" t="str">
        <f>IF($F260="","",INDEX('גיליון עזר לתחום תמיכה ג'!$H$31:$H$330,MATCH(E260,'גיליון עזר לתחום תמיכה ג'!$C$31:$C$330,0)))</f>
        <v/>
      </c>
      <c r="K260" s="213" t="str">
        <f>IF(OR(F260="",J260=""),"",IF(AND(J260&gt;0,I260=1),J260*'פרמטרים לקריטריונים'!$C$64,$Q$2))</f>
        <v/>
      </c>
      <c r="L260" s="227" t="str">
        <f>IF(OR(F260="",J260=""),"",IF(J260&gt;0,'תחום תמיכה ב'!AC260/SUMIFS('תחום תמיכה ב'!$AC$31:$AC$500,'תחום תמיכה ב'!$E$31:$E$500,E260,'תחום תמיכה ב'!$S$31:$S$500,"=1"),0))</f>
        <v/>
      </c>
      <c r="M260" s="213" t="str">
        <f t="shared" si="13"/>
        <v/>
      </c>
      <c r="N260" s="227" t="str">
        <f t="shared" si="14"/>
        <v/>
      </c>
      <c r="O260" s="213" t="str">
        <f t="shared" si="15"/>
        <v/>
      </c>
    </row>
    <row r="261" spans="1:15" ht="15.75" x14ac:dyDescent="0.2">
      <c r="A261" s="206">
        <f t="shared" si="12"/>
        <v>231</v>
      </c>
      <c r="B261" s="88">
        <f>IF($F261="","",'הזנה לתנאי סף'!C261)</f>
        <v>1001347151</v>
      </c>
      <c r="C261" s="88">
        <f>IF($F261="","",'הזנה לתנאי סף'!D261)</f>
        <v>1001273224</v>
      </c>
      <c r="D261" s="88">
        <f>IF($F261="","",'הזנה לתנאי סף'!E261)</f>
        <v>41072447</v>
      </c>
      <c r="E261" s="88">
        <f>IF($F261="","",'הזנה לתנאי סף'!F261)</f>
        <v>20000159</v>
      </c>
      <c r="F261" s="88" t="str">
        <f>IF(OR('הזנה לתנאי סף'!G261="",'הזנה לתנאי סף'!BL261&lt;&gt;1,'הזנה לתנאי סף'!Q261&lt;&gt;1,'הזנה לתנאי סף'!N261&lt;&gt;1),"",'הזנה לתנאי סף'!G261)</f>
        <v>ירושלים</v>
      </c>
      <c r="G261" s="88" t="str">
        <f>IF($F261="","",'הזנה לתנאי סף'!H261)</f>
        <v>מחול שלם - בית עכשווי למחול (ע"ר)</v>
      </c>
      <c r="H261" s="88" t="str">
        <f>IF($F261="","",'הזנה לתנאי סף'!I261)</f>
        <v>מרכזי מחול</v>
      </c>
      <c r="I261" s="88">
        <f>IF($F261="","",IF(AND('הזנה לתנאי סף'!N261=0,J261&gt;0),$Q$2,'הזנה לתנאי סף'!N261))</f>
        <v>1</v>
      </c>
      <c r="J261" s="213">
        <f>IF($F261="","",INDEX('גיליון עזר לתחום תמיכה ג'!$H$31:$H$330,MATCH(E261,'גיליון עזר לתחום תמיכה ג'!$C$31:$C$330,0)))</f>
        <v>3990706</v>
      </c>
      <c r="K261" s="213">
        <f>IF(OR(F261="",J261=""),"",IF(AND(J261&gt;0,I261=1),J261*'פרמטרים לקריטריונים'!$C$64,$Q$2))</f>
        <v>3990706</v>
      </c>
      <c r="L261" s="227">
        <f>IF(OR(F261="",J261=""),"",IF(J261&gt;0,'תחום תמיכה ב'!AC261/SUMIFS('תחום תמיכה ב'!$AC$31:$AC$500,'תחום תמיכה ב'!$E$31:$E$500,E261,'תחום תמיכה ב'!$S$31:$S$500,"=1"),0))</f>
        <v>2.4439723868893417E-3</v>
      </c>
      <c r="M261" s="213">
        <f t="shared" si="13"/>
        <v>9753.1752681936177</v>
      </c>
      <c r="N261" s="227">
        <f t="shared" si="14"/>
        <v>4.4316376932041472E-4</v>
      </c>
      <c r="O261" s="213">
        <f t="shared" si="15"/>
        <v>9753.1752681936177</v>
      </c>
    </row>
    <row r="262" spans="1:15" ht="15.75" x14ac:dyDescent="0.2">
      <c r="A262" s="206">
        <f t="shared" si="12"/>
        <v>232</v>
      </c>
      <c r="B262" s="88">
        <f>IF($F262="","",'הזנה לתנאי סף'!C262)</f>
        <v>1001347854</v>
      </c>
      <c r="C262" s="88">
        <f>IF($F262="","",'הזנה לתנאי סף'!D262)</f>
        <v>1001302179</v>
      </c>
      <c r="D262" s="88">
        <f>IF($F262="","",'הזנה לתנאי סף'!E262)</f>
        <v>41072447</v>
      </c>
      <c r="E262" s="88">
        <f>IF($F262="","",'הזנה לתנאי סף'!F262)</f>
        <v>20000159</v>
      </c>
      <c r="F262" s="88" t="str">
        <f>IF(OR('הזנה לתנאי סף'!G262="",'הזנה לתנאי סף'!BL262&lt;&gt;1,'הזנה לתנאי סף'!Q262&lt;&gt;1,'הזנה לתנאי סף'!N262&lt;&gt;1),"",'הזנה לתנאי סף'!G262)</f>
        <v>ירושלים</v>
      </c>
      <c r="G262" s="88" t="str">
        <f>IF($F262="","",'הזנה לתנאי סף'!H262)</f>
        <v>מחול שלם - בית עכשווי למחול (ע"ר)</v>
      </c>
      <c r="H262" s="88" t="str">
        <f>IF($F262="","",'הזנה לתנאי סף'!I262)</f>
        <v>מחול</v>
      </c>
      <c r="I262" s="88">
        <f>IF($F262="","",IF(AND('הזנה לתנאי סף'!N262=0,J262&gt;0),$Q$2,'הזנה לתנאי סף'!N262))</f>
        <v>1</v>
      </c>
      <c r="J262" s="213">
        <f>IF($F262="","",INDEX('גיליון עזר לתחום תמיכה ג'!$H$31:$H$330,MATCH(E262,'גיליון עזר לתחום תמיכה ג'!$C$31:$C$330,0)))</f>
        <v>3990706</v>
      </c>
      <c r="K262" s="213">
        <f>IF(OR(F262="",J262=""),"",IF(AND(J262&gt;0,I262=1),J262*'פרמטרים לקריטריונים'!$C$64,$Q$2))</f>
        <v>3990706</v>
      </c>
      <c r="L262" s="227">
        <f>IF(OR(F262="",J262=""),"",IF(J262&gt;0,'תחום תמיכה ב'!AC262/SUMIFS('תחום תמיכה ב'!$AC$31:$AC$500,'תחום תמיכה ב'!$E$31:$E$500,E262,'תחום תמיכה ב'!$S$31:$S$500,"=1"),0))</f>
        <v>4.3193341195638601E-4</v>
      </c>
      <c r="M262" s="213">
        <f t="shared" si="13"/>
        <v>1723.7192586948213</v>
      </c>
      <c r="N262" s="227">
        <f t="shared" si="14"/>
        <v>7.8322177437386276E-5</v>
      </c>
      <c r="O262" s="213">
        <f t="shared" si="15"/>
        <v>1723.7192586948213</v>
      </c>
    </row>
    <row r="263" spans="1:15" ht="15.75" x14ac:dyDescent="0.2">
      <c r="A263" s="206" t="str">
        <f t="shared" si="12"/>
        <v/>
      </c>
      <c r="B263" s="88" t="str">
        <f>IF($F263="","",'הזנה לתנאי סף'!C263)</f>
        <v/>
      </c>
      <c r="C263" s="88" t="str">
        <f>IF($F263="","",'הזנה לתנאי סף'!D263)</f>
        <v/>
      </c>
      <c r="D263" s="88" t="str">
        <f>IF($F263="","",'הזנה לתנאי סף'!E263)</f>
        <v/>
      </c>
      <c r="E263" s="88" t="str">
        <f>IF($F263="","",'הזנה לתנאי סף'!F263)</f>
        <v/>
      </c>
      <c r="F263" s="88" t="str">
        <f>IF(OR('הזנה לתנאי סף'!G263="",'הזנה לתנאי סף'!BL263&lt;&gt;1,'הזנה לתנאי סף'!Q263&lt;&gt;1,'הזנה לתנאי סף'!N263&lt;&gt;1),"",'הזנה לתנאי סף'!G263)</f>
        <v/>
      </c>
      <c r="G263" s="88" t="str">
        <f>IF($F263="","",'הזנה לתנאי סף'!H263)</f>
        <v/>
      </c>
      <c r="H263" s="88" t="str">
        <f>IF($F263="","",'הזנה לתנאי סף'!I263)</f>
        <v/>
      </c>
      <c r="I263" s="88" t="str">
        <f>IF($F263="","",IF(AND('הזנה לתנאי סף'!N263=0,J263&gt;0),$Q$2,'הזנה לתנאי סף'!N263))</f>
        <v/>
      </c>
      <c r="J263" s="213" t="str">
        <f>IF($F263="","",INDEX('גיליון עזר לתחום תמיכה ג'!$H$31:$H$330,MATCH(E263,'גיליון עזר לתחום תמיכה ג'!$C$31:$C$330,0)))</f>
        <v/>
      </c>
      <c r="K263" s="213" t="str">
        <f>IF(OR(F263="",J263=""),"",IF(AND(J263&gt;0,I263=1),J263*'פרמטרים לקריטריונים'!$C$64,$Q$2))</f>
        <v/>
      </c>
      <c r="L263" s="227" t="str">
        <f>IF(OR(F263="",J263=""),"",IF(J263&gt;0,'תחום תמיכה ב'!AC263/SUMIFS('תחום תמיכה ב'!$AC$31:$AC$500,'תחום תמיכה ב'!$E$31:$E$500,E263,'תחום תמיכה ב'!$S$31:$S$500,"=1"),0))</f>
        <v/>
      </c>
      <c r="M263" s="213" t="str">
        <f t="shared" si="13"/>
        <v/>
      </c>
      <c r="N263" s="227" t="str">
        <f t="shared" si="14"/>
        <v/>
      </c>
      <c r="O263" s="213" t="str">
        <f t="shared" si="15"/>
        <v/>
      </c>
    </row>
    <row r="264" spans="1:15" ht="15.75" x14ac:dyDescent="0.2">
      <c r="A264" s="206">
        <f t="shared" si="12"/>
        <v>234</v>
      </c>
      <c r="B264" s="88">
        <f>IF($F264="","",'הזנה לתנאי סף'!C264)</f>
        <v>1001347315</v>
      </c>
      <c r="C264" s="88">
        <f>IF($F264="","",'הזנה לתנאי סף'!D264)</f>
        <v>1001270643</v>
      </c>
      <c r="D264" s="88">
        <f>IF($F264="","",'הזנה לתנאי סף'!E264)</f>
        <v>40000252</v>
      </c>
      <c r="E264" s="88">
        <f>IF($F264="","",'הזנה לתנאי סף'!F264)</f>
        <v>20000182</v>
      </c>
      <c r="F264" s="88" t="str">
        <f>IF(OR('הזנה לתנאי סף'!G264="",'הזנה לתנאי סף'!BL264&lt;&gt;1,'הזנה לתנאי סף'!Q264&lt;&gt;1,'הזנה לתנאי סף'!N264&lt;&gt;1),"",'הזנה לתנאי סף'!G264)</f>
        <v>חיפה</v>
      </c>
      <c r="G264" s="88" t="str">
        <f>IF($F264="","",'הזנה לתנאי סף'!H264)</f>
        <v>אתו"ס - החברה לאומנות תרבות וספורט</v>
      </c>
      <c r="H264" s="88" t="str">
        <f>IF($F264="","",'הזנה לתנאי סף'!I264)</f>
        <v>אחר</v>
      </c>
      <c r="I264" s="88">
        <f>IF($F264="","",IF(AND('הזנה לתנאי סף'!N264=0,J264&gt;0),$Q$2,'הזנה לתנאי סף'!N264))</f>
        <v>1</v>
      </c>
      <c r="J264" s="213">
        <f>IF($F264="","",INDEX('גיליון עזר לתחום תמיכה ג'!$H$31:$H$330,MATCH(E264,'גיליון עזר לתחום תמיכה ג'!$C$31:$C$330,0)))</f>
        <v>894484</v>
      </c>
      <c r="K264" s="213">
        <f>IF(OR(F264="",J264=""),"",IF(AND(J264&gt;0,I264=1),J264*'פרמטרים לקריטריונים'!$C$64,$Q$2))</f>
        <v>894484</v>
      </c>
      <c r="L264" s="227">
        <f>IF(OR(F264="",J264=""),"",IF(J264&gt;0,'תחום תמיכה ב'!AC264/SUMIFS('תחום תמיכה ב'!$AC$31:$AC$500,'תחום תמיכה ב'!$E$31:$E$500,E264,'תחום תמיכה ב'!$S$31:$S$500,"=1"),0))</f>
        <v>2.1861012235588196E-3</v>
      </c>
      <c r="M264" s="213">
        <f t="shared" si="13"/>
        <v>1955.4325668537872</v>
      </c>
      <c r="N264" s="227">
        <f t="shared" si="14"/>
        <v>8.8850742773467724E-5</v>
      </c>
      <c r="O264" s="213">
        <f t="shared" si="15"/>
        <v>1955.4325668537872</v>
      </c>
    </row>
    <row r="265" spans="1:15" ht="15.75" x14ac:dyDescent="0.2">
      <c r="A265" s="206">
        <f t="shared" si="12"/>
        <v>235</v>
      </c>
      <c r="B265" s="88">
        <f>IF($F265="","",'הזנה לתנאי סף'!C265)</f>
        <v>1001347608</v>
      </c>
      <c r="C265" s="88">
        <f>IF($F265="","",'הזנה לתנאי סף'!D265)</f>
        <v>1001270721</v>
      </c>
      <c r="D265" s="88">
        <f>IF($F265="","",'הזנה לתנאי סף'!E265)</f>
        <v>40000252</v>
      </c>
      <c r="E265" s="88">
        <f>IF($F265="","",'הזנה לתנאי סף'!F265)</f>
        <v>20000182</v>
      </c>
      <c r="F265" s="88" t="str">
        <f>IF(OR('הזנה לתנאי סף'!G265="",'הזנה לתנאי סף'!BL265&lt;&gt;1,'הזנה לתנאי סף'!Q265&lt;&gt;1,'הזנה לתנאי סף'!N265&lt;&gt;1),"",'הזנה לתנאי סף'!G265)</f>
        <v>חיפה</v>
      </c>
      <c r="G265" s="88" t="str">
        <f>IF($F265="","",'הזנה לתנאי סף'!H265)</f>
        <v>אתו"ס - החברה לאומנות תרבות וספורט</v>
      </c>
      <c r="H265" s="88" t="str">
        <f>IF($F265="","",'הזנה לתנאי סף'!I265)</f>
        <v>סינמטקים ופסטיבלים</v>
      </c>
      <c r="I265" s="88">
        <f>IF($F265="","",IF(AND('הזנה לתנאי סף'!N265=0,J265&gt;0),$Q$2,'הזנה לתנאי סף'!N265))</f>
        <v>1</v>
      </c>
      <c r="J265" s="213">
        <f>IF($F265="","",INDEX('גיליון עזר לתחום תמיכה ג'!$H$31:$H$330,MATCH(E265,'גיליון עזר לתחום תמיכה ג'!$C$31:$C$330,0)))</f>
        <v>894484</v>
      </c>
      <c r="K265" s="213">
        <f>IF(OR(F265="",J265=""),"",IF(AND(J265&gt;0,I265=1),J265*'פרמטרים לקריטריונים'!$C$64,$Q$2))</f>
        <v>894484</v>
      </c>
      <c r="L265" s="227">
        <f>IF(OR(F265="",J265=""),"",IF(J265&gt;0,'תחום תמיכה ב'!AC265/SUMIFS('תחום תמיכה ב'!$AC$31:$AC$500,'תחום תמיכה ב'!$E$31:$E$500,E265,'תחום תמיכה ב'!$S$31:$S$500,"=1"),0))</f>
        <v>6.3549089211286172E-2</v>
      </c>
      <c r="M265" s="213">
        <f t="shared" si="13"/>
        <v>56843.643514068099</v>
      </c>
      <c r="N265" s="227">
        <f t="shared" si="14"/>
        <v>2.5828555961412542E-3</v>
      </c>
      <c r="O265" s="213">
        <f t="shared" si="15"/>
        <v>56843.643514068099</v>
      </c>
    </row>
    <row r="266" spans="1:15" ht="15.75" x14ac:dyDescent="0.2">
      <c r="A266" s="206">
        <f t="shared" si="12"/>
        <v>236</v>
      </c>
      <c r="B266" s="88">
        <f>IF($F266="","",'הזנה לתנאי סף'!C266)</f>
        <v>1001347621</v>
      </c>
      <c r="C266" s="88">
        <f>IF($F266="","",'הזנה לתנאי סף'!D266)</f>
        <v>1001270688</v>
      </c>
      <c r="D266" s="88">
        <f>IF($F266="","",'הזנה לתנאי סף'!E266)</f>
        <v>40000252</v>
      </c>
      <c r="E266" s="88">
        <f>IF($F266="","",'הזנה לתנאי סף'!F266)</f>
        <v>20000182</v>
      </c>
      <c r="F266" s="88" t="str">
        <f>IF(OR('הזנה לתנאי סף'!G266="",'הזנה לתנאי סף'!BL266&lt;&gt;1,'הזנה לתנאי סף'!Q266&lt;&gt;1,'הזנה לתנאי סף'!N266&lt;&gt;1),"",'הזנה לתנאי סף'!G266)</f>
        <v>חיפה</v>
      </c>
      <c r="G266" s="88" t="str">
        <f>IF($F266="","",'הזנה לתנאי סף'!H266)</f>
        <v>אתו"ס - החברה לאומנות תרבות וספורט</v>
      </c>
      <c r="H266" s="88" t="str">
        <f>IF($F266="","",'הזנה לתנאי סף'!I266)</f>
        <v>סינמטקים ופסטיבלים</v>
      </c>
      <c r="I266" s="88">
        <f>IF($F266="","",IF(AND('הזנה לתנאי סף'!N266=0,J266&gt;0),$Q$2,'הזנה לתנאי סף'!N266))</f>
        <v>1</v>
      </c>
      <c r="J266" s="213">
        <f>IF($F266="","",INDEX('גיליון עזר לתחום תמיכה ג'!$H$31:$H$330,MATCH(E266,'גיליון עזר לתחום תמיכה ג'!$C$31:$C$330,0)))</f>
        <v>894484</v>
      </c>
      <c r="K266" s="213">
        <f>IF(OR(F266="",J266=""),"",IF(AND(J266&gt;0,I266=1),J266*'פרמטרים לקריטריונים'!$C$64,$Q$2))</f>
        <v>894484</v>
      </c>
      <c r="L266" s="227">
        <f>IF(OR(F266="",J266=""),"",IF(J266&gt;0,'תחום תמיכה ב'!AC266/SUMIFS('תחום תמיכה ב'!$AC$31:$AC$500,'תחום תמיכה ב'!$E$31:$E$500,E266,'תחום תמיכה ב'!$S$31:$S$500,"=1"),0))</f>
        <v>1.8823309632078164E-2</v>
      </c>
      <c r="M266" s="213">
        <f t="shared" si="13"/>
        <v>16837.149292939805</v>
      </c>
      <c r="N266" s="227">
        <f t="shared" si="14"/>
        <v>7.650446485467212E-4</v>
      </c>
      <c r="O266" s="213">
        <f t="shared" si="15"/>
        <v>16837.149292939805</v>
      </c>
    </row>
    <row r="267" spans="1:15" ht="15.75" x14ac:dyDescent="0.2">
      <c r="A267" s="206">
        <f t="shared" si="12"/>
        <v>237</v>
      </c>
      <c r="B267" s="88">
        <f>IF($F267="","",'הזנה לתנאי סף'!C267)</f>
        <v>1001342867</v>
      </c>
      <c r="C267" s="88">
        <f>IF($F267="","",'הזנה לתנאי סף'!D267)</f>
        <v>1001274259</v>
      </c>
      <c r="D267" s="88">
        <f>IF($F267="","",'הזנה לתנאי סף'!E267)</f>
        <v>40000254</v>
      </c>
      <c r="E267" s="88">
        <f>IF($F267="","",'הזנה לתנאי סף'!F267)</f>
        <v>20000182</v>
      </c>
      <c r="F267" s="88" t="str">
        <f>IF(OR('הזנה לתנאי סף'!G267="",'הזנה לתנאי סף'!BL267&lt;&gt;1,'הזנה לתנאי סף'!Q267&lt;&gt;1,'הזנה לתנאי סף'!N267&lt;&gt;1),"",'הזנה לתנאי סף'!G267)</f>
        <v>חיפה</v>
      </c>
      <c r="G267" s="88" t="str">
        <f>IF($F267="","",'הזנה לתנאי סף'!H267)</f>
        <v>תיאטרון עירוני חיפה בע"מ (חל"צ)</v>
      </c>
      <c r="H267" s="88" t="str">
        <f>IF($F267="","",'הזנה לתנאי סף'!I267)</f>
        <v>תיאטרון</v>
      </c>
      <c r="I267" s="88">
        <f>IF($F267="","",IF(AND('הזנה לתנאי סף'!N267=0,J267&gt;0),$Q$2,'הזנה לתנאי סף'!N267))</f>
        <v>1</v>
      </c>
      <c r="J267" s="213">
        <f>IF($F267="","",INDEX('גיליון עזר לתחום תמיכה ג'!$H$31:$H$330,MATCH(E267,'גיליון עזר לתחום תמיכה ג'!$C$31:$C$330,0)))</f>
        <v>894484</v>
      </c>
      <c r="K267" s="213">
        <f>IF(OR(F267="",J267=""),"",IF(AND(J267&gt;0,I267=1),J267*'פרמטרים לקריטריונים'!$C$64,$Q$2))</f>
        <v>894484</v>
      </c>
      <c r="L267" s="227">
        <f>IF(OR(F267="",J267=""),"",IF(J267&gt;0,'תחום תמיכה ב'!AC267/SUMIFS('תחום תמיכה ב'!$AC$31:$AC$500,'תחום תמיכה ב'!$E$31:$E$500,E267,'תחום תמיכה ב'!$S$31:$S$500,"=1"),0))</f>
        <v>0.16073569815698308</v>
      </c>
      <c r="M267" s="213">
        <f t="shared" si="13"/>
        <v>143775.51023025086</v>
      </c>
      <c r="N267" s="227">
        <f t="shared" si="14"/>
        <v>6.5328567669024019E-3</v>
      </c>
      <c r="O267" s="213">
        <f t="shared" si="15"/>
        <v>143775.51023025086</v>
      </c>
    </row>
    <row r="268" spans="1:15" ht="15.75" x14ac:dyDescent="0.2">
      <c r="A268" s="206">
        <f t="shared" si="12"/>
        <v>238</v>
      </c>
      <c r="B268" s="88">
        <f>IF($F268="","",'הזנה לתנאי סף'!C268)</f>
        <v>1001342869</v>
      </c>
      <c r="C268" s="88">
        <f>IF($F268="","",'הזנה לתנאי סף'!D268)</f>
        <v>1001274254</v>
      </c>
      <c r="D268" s="88">
        <f>IF($F268="","",'הזנה לתנאי סף'!E268)</f>
        <v>40000254</v>
      </c>
      <c r="E268" s="88">
        <f>IF($F268="","",'הזנה לתנאי סף'!F268)</f>
        <v>20000182</v>
      </c>
      <c r="F268" s="88" t="str">
        <f>IF(OR('הזנה לתנאי סף'!G268="",'הזנה לתנאי סף'!BL268&lt;&gt;1,'הזנה לתנאי סף'!Q268&lt;&gt;1,'הזנה לתנאי סף'!N268&lt;&gt;1),"",'הזנה לתנאי סף'!G268)</f>
        <v>חיפה</v>
      </c>
      <c r="G268" s="88" t="str">
        <f>IF($F268="","",'הזנה לתנאי סף'!H268)</f>
        <v>תיאטרון עירוני חיפה בע"מ (חל"צ)</v>
      </c>
      <c r="H268" s="88" t="str">
        <f>IF($F268="","",'הזנה לתנאי סף'!I268)</f>
        <v>סינמטקים ופסטיבלים</v>
      </c>
      <c r="I268" s="88">
        <f>IF($F268="","",IF(AND('הזנה לתנאי סף'!N268=0,J268&gt;0),$Q$2,'הזנה לתנאי סף'!N268))</f>
        <v>1</v>
      </c>
      <c r="J268" s="213">
        <f>IF($F268="","",INDEX('גיליון עזר לתחום תמיכה ג'!$H$31:$H$330,MATCH(E268,'גיליון עזר לתחום תמיכה ג'!$C$31:$C$330,0)))</f>
        <v>894484</v>
      </c>
      <c r="K268" s="213">
        <f>IF(OR(F268="",J268=""),"",IF(AND(J268&gt;0,I268=1),J268*'פרמטרים לקריטריונים'!$C$64,$Q$2))</f>
        <v>894484</v>
      </c>
      <c r="L268" s="227">
        <f>IF(OR(F268="",J268=""),"",IF(J268&gt;0,'תחום תמיכה ב'!AC268/SUMIFS('תחום תמיכה ב'!$AC$31:$AC$500,'תחום תמיכה ב'!$E$31:$E$500,E268,'תחום תמיכה ב'!$S$31:$S$500,"=1"),0))</f>
        <v>1.2900565898284496E-2</v>
      </c>
      <c r="M268" s="213">
        <f t="shared" si="13"/>
        <v>11539.349786961109</v>
      </c>
      <c r="N268" s="227">
        <f t="shared" si="14"/>
        <v>5.2432378240686937E-4</v>
      </c>
      <c r="O268" s="213">
        <f t="shared" si="15"/>
        <v>11539.349786961109</v>
      </c>
    </row>
    <row r="269" spans="1:15" ht="15.75" x14ac:dyDescent="0.2">
      <c r="A269" s="206">
        <f t="shared" si="12"/>
        <v>239</v>
      </c>
      <c r="B269" s="88">
        <f>IF($F269="","",'הזנה לתנאי סף'!C269)</f>
        <v>1001347742</v>
      </c>
      <c r="C269" s="88">
        <f>IF($F269="","",'הזנה לתנאי סף'!D269)</f>
        <v>1001266912</v>
      </c>
      <c r="D269" s="88">
        <f>IF($F269="","",'הזנה לתנאי סף'!E269)</f>
        <v>40474818</v>
      </c>
      <c r="E269" s="88">
        <f>IF($F269="","",'הזנה לתנאי סף'!F269)</f>
        <v>20000201</v>
      </c>
      <c r="F269" s="88" t="str">
        <f>IF(OR('הזנה לתנאי סף'!G269="",'הזנה לתנאי סף'!BL269&lt;&gt;1,'הזנה לתנאי סף'!Q269&lt;&gt;1,'הזנה לתנאי סף'!N269&lt;&gt;1),"",'הזנה לתנאי סף'!G269)</f>
        <v>תל אביב -יפו</v>
      </c>
      <c r="G269" s="88" t="str">
        <f>IF($F269="","",'הזנה לתנאי סף'!H269)</f>
        <v>צוותא לתרבות מתקדמת בע"מ (חל"צ)</v>
      </c>
      <c r="H269" s="88" t="str">
        <f>IF($F269="","",'הזנה לתנאי סף'!I269)</f>
        <v>ספרות</v>
      </c>
      <c r="I269" s="88">
        <f>IF($F269="","",IF(AND('הזנה לתנאי סף'!N269=0,J269&gt;0),$Q$2,'הזנה לתנאי סף'!N269))</f>
        <v>1</v>
      </c>
      <c r="J269" s="213">
        <f>IF($F269="","",INDEX('גיליון עזר לתחום תמיכה ג'!$H$31:$H$330,MATCH(E269,'גיליון עזר לתחום תמיכה ג'!$C$31:$C$330,0)))</f>
        <v>15995126</v>
      </c>
      <c r="K269" s="213">
        <f>IF(OR(F269="",J269=""),"",IF(AND(J269&gt;0,I269=1),J269*'פרמטרים לקריטריונים'!$C$64,$Q$2))</f>
        <v>15995126</v>
      </c>
      <c r="L269" s="227">
        <f>IF(OR(F269="",J269=""),"",IF(J269&gt;0,'תחום תמיכה ב'!AC269/SUMIFS('תחום תמיכה ב'!$AC$31:$AC$500,'תחום תמיכה ב'!$E$31:$E$500,E269,'תחום תמיכה ב'!$S$31:$S$500,"=1"),0))</f>
        <v>3.5048131489995944E-4</v>
      </c>
      <c r="M269" s="213">
        <f t="shared" si="13"/>
        <v>5605.9927924705289</v>
      </c>
      <c r="N269" s="227">
        <f t="shared" si="14"/>
        <v>2.547245208230988E-4</v>
      </c>
      <c r="O269" s="213">
        <f t="shared" si="15"/>
        <v>5605.9927924705289</v>
      </c>
    </row>
    <row r="270" spans="1:15" ht="15.75" x14ac:dyDescent="0.2">
      <c r="A270" s="206">
        <f t="shared" si="12"/>
        <v>240</v>
      </c>
      <c r="B270" s="88">
        <f>IF($F270="","",'הזנה לתנאי סף'!C270)</f>
        <v>1001349320</v>
      </c>
      <c r="C270" s="88">
        <f>IF($F270="","",'הזנה לתנאי סף'!D270)</f>
        <v>1001266968</v>
      </c>
      <c r="D270" s="88">
        <f>IF($F270="","",'הזנה לתנאי סף'!E270)</f>
        <v>40474818</v>
      </c>
      <c r="E270" s="88">
        <f>IF($F270="","",'הזנה לתנאי סף'!F270)</f>
        <v>20000201</v>
      </c>
      <c r="F270" s="88" t="str">
        <f>IF(OR('הזנה לתנאי סף'!G270="",'הזנה לתנאי סף'!BL270&lt;&gt;1,'הזנה לתנאי סף'!Q270&lt;&gt;1,'הזנה לתנאי סף'!N270&lt;&gt;1),"",'הזנה לתנאי סף'!G270)</f>
        <v>תל אביב -יפו</v>
      </c>
      <c r="G270" s="88" t="str">
        <f>IF($F270="","",'הזנה לתנאי סף'!H270)</f>
        <v>צוותא לתרבות מתקדמת בע"מ (חל"צ)</v>
      </c>
      <c r="H270" s="88" t="str">
        <f>IF($F270="","",'הזנה לתנאי סף'!I270)</f>
        <v>מרכזי פרינג'</v>
      </c>
      <c r="I270" s="88">
        <f>IF($F270="","",IF(AND('הזנה לתנאי סף'!N270=0,J270&gt;0),$Q$2,'הזנה לתנאי סף'!N270))</f>
        <v>1</v>
      </c>
      <c r="J270" s="213">
        <f>IF($F270="","",INDEX('גיליון עזר לתחום תמיכה ג'!$H$31:$H$330,MATCH(E270,'גיליון עזר לתחום תמיכה ג'!$C$31:$C$330,0)))</f>
        <v>15995126</v>
      </c>
      <c r="K270" s="213">
        <f>IF(OR(F270="",J270=""),"",IF(AND(J270&gt;0,I270=1),J270*'פרמטרים לקריטריונים'!$C$64,$Q$2))</f>
        <v>15995126</v>
      </c>
      <c r="L270" s="227">
        <f>IF(OR(F270="",J270=""),"",IF(J270&gt;0,'תחום תמיכה ב'!AC270/SUMIFS('תחום תמיכה ב'!$AC$31:$AC$500,'תחום תמיכה ב'!$E$31:$E$500,E270,'תחום תמיכה ב'!$S$31:$S$500,"=1"),0))</f>
        <v>1.8917781933911295E-3</v>
      </c>
      <c r="M270" s="213">
        <f t="shared" si="13"/>
        <v>30259.230567343482</v>
      </c>
      <c r="N270" s="227">
        <f t="shared" si="14"/>
        <v>1.374915789598342E-3</v>
      </c>
      <c r="O270" s="213">
        <f t="shared" si="15"/>
        <v>30259.230567343482</v>
      </c>
    </row>
    <row r="271" spans="1:15" ht="15.75" x14ac:dyDescent="0.2">
      <c r="A271" s="206">
        <f t="shared" si="12"/>
        <v>241</v>
      </c>
      <c r="B271" s="88">
        <f>IF($F271="","",'הזנה לתנאי סף'!C271)</f>
        <v>1001349321</v>
      </c>
      <c r="C271" s="88">
        <f>IF($F271="","",'הזנה לתנאי סף'!D271)</f>
        <v>1001269429</v>
      </c>
      <c r="D271" s="88">
        <f>IF($F271="","",'הזנה לתנאי סף'!E271)</f>
        <v>40474818</v>
      </c>
      <c r="E271" s="88">
        <f>IF($F271="","",'הזנה לתנאי סף'!F271)</f>
        <v>20000201</v>
      </c>
      <c r="F271" s="88" t="str">
        <f>IF(OR('הזנה לתנאי סף'!G271="",'הזנה לתנאי סף'!BL271&lt;&gt;1,'הזנה לתנאי סף'!Q271&lt;&gt;1,'הזנה לתנאי סף'!N271&lt;&gt;1),"",'הזנה לתנאי סף'!G271)</f>
        <v>תל אביב -יפו</v>
      </c>
      <c r="G271" s="88" t="str">
        <f>IF($F271="","",'הזנה לתנאי סף'!H271)</f>
        <v>צוותא לתרבות מתקדמת בע"מ (חל"צ)</v>
      </c>
      <c r="H271" s="88" t="str">
        <f>IF($F271="","",'הזנה לתנאי סף'!I271)</f>
        <v>אחר</v>
      </c>
      <c r="I271" s="88">
        <f>IF($F271="","",IF(AND('הזנה לתנאי סף'!N271=0,J271&gt;0),$Q$2,'הזנה לתנאי סף'!N271))</f>
        <v>1</v>
      </c>
      <c r="J271" s="213">
        <f>IF($F271="","",INDEX('גיליון עזר לתחום תמיכה ג'!$H$31:$H$330,MATCH(E271,'גיליון עזר לתחום תמיכה ג'!$C$31:$C$330,0)))</f>
        <v>15995126</v>
      </c>
      <c r="K271" s="213">
        <f>IF(OR(F271="",J271=""),"",IF(AND(J271&gt;0,I271=1),J271*'פרמטרים לקריטריונים'!$C$64,$Q$2))</f>
        <v>15995126</v>
      </c>
      <c r="L271" s="227">
        <f>IF(OR(F271="",J271=""),"",IF(J271&gt;0,'תחום תמיכה ב'!AC271/SUMIFS('תחום תמיכה ב'!$AC$31:$AC$500,'תחום תמיכה ב'!$E$31:$E$500,E271,'תחום תמיכה ב'!$S$31:$S$500,"=1"),0))</f>
        <v>1.2788505493547183E-4</v>
      </c>
      <c r="M271" s="213">
        <f t="shared" si="13"/>
        <v>2045.5375672097939</v>
      </c>
      <c r="N271" s="227">
        <f t="shared" si="14"/>
        <v>9.2944924462440989E-5</v>
      </c>
      <c r="O271" s="213">
        <f t="shared" si="15"/>
        <v>2045.5375672097939</v>
      </c>
    </row>
    <row r="272" spans="1:15" ht="15.75" x14ac:dyDescent="0.2">
      <c r="A272" s="206">
        <f t="shared" si="12"/>
        <v>242</v>
      </c>
      <c r="B272" s="88">
        <f>IF($F272="","",'הזנה לתנאי סף'!C272)</f>
        <v>1001349324</v>
      </c>
      <c r="C272" s="88">
        <f>IF($F272="","",'הזנה לתנאי סף'!D272)</f>
        <v>1001269399</v>
      </c>
      <c r="D272" s="88">
        <f>IF($F272="","",'הזנה לתנאי סף'!E272)</f>
        <v>40474818</v>
      </c>
      <c r="E272" s="88">
        <f>IF($F272="","",'הזנה לתנאי סף'!F272)</f>
        <v>20000201</v>
      </c>
      <c r="F272" s="88" t="str">
        <f>IF(OR('הזנה לתנאי סף'!G272="",'הזנה לתנאי סף'!BL272&lt;&gt;1,'הזנה לתנאי סף'!Q272&lt;&gt;1,'הזנה לתנאי סף'!N272&lt;&gt;1),"",'הזנה לתנאי סף'!G272)</f>
        <v>תל אביב -יפו</v>
      </c>
      <c r="G272" s="88" t="str">
        <f>IF($F272="","",'הזנה לתנאי סף'!H272)</f>
        <v>צוותא לתרבות מתקדמת בע"מ (חל"צ)</v>
      </c>
      <c r="H272" s="88" t="str">
        <f>IF($F272="","",'הזנה לתנאי סף'!I272)</f>
        <v>סינמטקים ופסטיבלים</v>
      </c>
      <c r="I272" s="88">
        <f>IF($F272="","",IF(AND('הזנה לתנאי סף'!N272=0,J272&gt;0),$Q$2,'הזנה לתנאי סף'!N272))</f>
        <v>1</v>
      </c>
      <c r="J272" s="213">
        <f>IF($F272="","",INDEX('גיליון עזר לתחום תמיכה ג'!$H$31:$H$330,MATCH(E272,'גיליון עזר לתחום תמיכה ג'!$C$31:$C$330,0)))</f>
        <v>15995126</v>
      </c>
      <c r="K272" s="213">
        <f>IF(OR(F272="",J272=""),"",IF(AND(J272&gt;0,I272=1),J272*'פרמטרים לקריטריונים'!$C$64,$Q$2))</f>
        <v>15995126</v>
      </c>
      <c r="L272" s="227">
        <f>IF(OR(F272="",J272=""),"",IF(J272&gt;0,'תחום תמיכה ב'!AC272/SUMIFS('תחום תמיכה ב'!$AC$31:$AC$500,'תחום תמיכה ב'!$E$31:$E$500,E272,'תחום תמיכה ב'!$S$31:$S$500,"=1"),0))</f>
        <v>3.1642590181980818E-4</v>
      </c>
      <c r="M272" s="213">
        <f t="shared" si="13"/>
        <v>5061.2721692714613</v>
      </c>
      <c r="N272" s="227">
        <f t="shared" si="14"/>
        <v>2.2997356147238325E-4</v>
      </c>
      <c r="O272" s="213">
        <f t="shared" si="15"/>
        <v>5061.2721692714613</v>
      </c>
    </row>
    <row r="273" spans="1:15" ht="15.75" x14ac:dyDescent="0.2">
      <c r="A273" s="206">
        <f t="shared" si="12"/>
        <v>243</v>
      </c>
      <c r="B273" s="88">
        <f>IF($F273="","",'הזנה לתנאי סף'!C273)</f>
        <v>1001349326</v>
      </c>
      <c r="C273" s="88">
        <f>IF($F273="","",'הזנה לתנאי סף'!D273)</f>
        <v>1001268650</v>
      </c>
      <c r="D273" s="88">
        <f>IF($F273="","",'הזנה לתנאי סף'!E273)</f>
        <v>40474818</v>
      </c>
      <c r="E273" s="88">
        <f>IF($F273="","",'הזנה לתנאי סף'!F273)</f>
        <v>20000201</v>
      </c>
      <c r="F273" s="88" t="str">
        <f>IF(OR('הזנה לתנאי סף'!G273="",'הזנה לתנאי סף'!BL273&lt;&gt;1,'הזנה לתנאי סף'!Q273&lt;&gt;1,'הזנה לתנאי סף'!N273&lt;&gt;1),"",'הזנה לתנאי סף'!G273)</f>
        <v>תל אביב -יפו</v>
      </c>
      <c r="G273" s="88" t="str">
        <f>IF($F273="","",'הזנה לתנאי סף'!H273)</f>
        <v>צוותא לתרבות מתקדמת בע"מ (חל"צ)</v>
      </c>
      <c r="H273" s="88" t="str">
        <f>IF($F273="","",'הזנה לתנאי סף'!I273)</f>
        <v>סינמטקים ופסטיבלים</v>
      </c>
      <c r="I273" s="88">
        <f>IF($F273="","",IF(AND('הזנה לתנאי סף'!N273=0,J273&gt;0),$Q$2,'הזנה לתנאי סף'!N273))</f>
        <v>1</v>
      </c>
      <c r="J273" s="213">
        <f>IF($F273="","",INDEX('גיליון עזר לתחום תמיכה ג'!$H$31:$H$330,MATCH(E273,'גיליון עזר לתחום תמיכה ג'!$C$31:$C$330,0)))</f>
        <v>15995126</v>
      </c>
      <c r="K273" s="213">
        <f>IF(OR(F273="",J273=""),"",IF(AND(J273&gt;0,I273=1),J273*'פרמטרים לקריטריונים'!$C$64,$Q$2))</f>
        <v>15995126</v>
      </c>
      <c r="L273" s="227">
        <f>IF(OR(F273="",J273=""),"",IF(J273&gt;0,'תחום תמיכה ב'!AC273/SUMIFS('תחום תמיכה ב'!$AC$31:$AC$500,'תחום תמיכה ב'!$E$31:$E$500,E273,'תחום תמיכה ב'!$S$31:$S$500,"=1"),0))</f>
        <v>9.863773009637449E-4</v>
      </c>
      <c r="M273" s="213">
        <f t="shared" si="13"/>
        <v>15777.22921245502</v>
      </c>
      <c r="N273" s="227">
        <f t="shared" si="14"/>
        <v>7.1688410952945917E-4</v>
      </c>
      <c r="O273" s="213">
        <f t="shared" si="15"/>
        <v>15777.22921245502</v>
      </c>
    </row>
    <row r="274" spans="1:15" ht="15.75" x14ac:dyDescent="0.2">
      <c r="A274" s="206">
        <f t="shared" si="12"/>
        <v>244</v>
      </c>
      <c r="B274" s="88">
        <f>IF($F274="","",'הזנה לתנאי סף'!C274)</f>
        <v>1001347844</v>
      </c>
      <c r="C274" s="88">
        <f>IF($F274="","",'הזנה לתנאי סף'!D274)</f>
        <v>1001265161</v>
      </c>
      <c r="D274" s="88">
        <f>IF($F274="","",'הזנה לתנאי סף'!E274)</f>
        <v>40000054</v>
      </c>
      <c r="E274" s="88">
        <f>IF($F274="","",'הזנה לתנאי סף'!F274)</f>
        <v>20000159</v>
      </c>
      <c r="F274" s="88" t="str">
        <f>IF(OR('הזנה לתנאי סף'!G274="",'הזנה לתנאי סף'!BL274&lt;&gt;1,'הזנה לתנאי סף'!Q274&lt;&gt;1,'הזנה לתנאי סף'!N274&lt;&gt;1),"",'הזנה לתנאי סף'!G274)</f>
        <v>ירושלים</v>
      </c>
      <c r="G274" s="88" t="str">
        <f>IF($F274="","",'הזנה לתנאי סף'!H274)</f>
        <v>פסטיבל ישראל ירושלים</v>
      </c>
      <c r="H274" s="88" t="str">
        <f>IF($F274="","",'הזנה לתנאי סף'!I274)</f>
        <v>סינמטקים ופסטיבלים</v>
      </c>
      <c r="I274" s="88">
        <f>IF($F274="","",IF(AND('הזנה לתנאי סף'!N274=0,J274&gt;0),$Q$2,'הזנה לתנאי סף'!N274))</f>
        <v>1</v>
      </c>
      <c r="J274" s="213">
        <f>IF($F274="","",INDEX('גיליון עזר לתחום תמיכה ג'!$H$31:$H$330,MATCH(E274,'גיליון עזר לתחום תמיכה ג'!$C$31:$C$330,0)))</f>
        <v>3990706</v>
      </c>
      <c r="K274" s="213">
        <f>IF(OR(F274="",J274=""),"",IF(AND(J274&gt;0,I274=1),J274*'פרמטרים לקריטריונים'!$C$64,$Q$2))</f>
        <v>3990706</v>
      </c>
      <c r="L274" s="227">
        <f>IF(OR(F274="",J274=""),"",IF(J274&gt;0,'תחום תמיכה ב'!AC274/SUMIFS('תחום תמיכה ב'!$AC$31:$AC$500,'תחום תמיכה ב'!$E$31:$E$500,E274,'תחום תמיכה ב'!$S$31:$S$500,"=1"),0))</f>
        <v>5.4694414357950296E-3</v>
      </c>
      <c r="M274" s="213">
        <f t="shared" si="13"/>
        <v>21826.932754475838</v>
      </c>
      <c r="N274" s="227">
        <f t="shared" si="14"/>
        <v>9.9176991350922897E-4</v>
      </c>
      <c r="O274" s="213">
        <f t="shared" si="15"/>
        <v>21826.932754475838</v>
      </c>
    </row>
    <row r="275" spans="1:15" ht="15.75" x14ac:dyDescent="0.2">
      <c r="A275" s="206" t="str">
        <f t="shared" si="12"/>
        <v/>
      </c>
      <c r="B275" s="88" t="str">
        <f>IF($F275="","",'הזנה לתנאי סף'!C275)</f>
        <v/>
      </c>
      <c r="C275" s="88" t="str">
        <f>IF($F275="","",'הזנה לתנאי סף'!D275)</f>
        <v/>
      </c>
      <c r="D275" s="88" t="str">
        <f>IF($F275="","",'הזנה לתנאי סף'!E275)</f>
        <v/>
      </c>
      <c r="E275" s="88" t="str">
        <f>IF($F275="","",'הזנה לתנאי סף'!F275)</f>
        <v/>
      </c>
      <c r="F275" s="88" t="str">
        <f>IF(OR('הזנה לתנאי סף'!G275="",'הזנה לתנאי סף'!BL275&lt;&gt;1,'הזנה לתנאי סף'!Q275&lt;&gt;1,'הזנה לתנאי סף'!N275&lt;&gt;1),"",'הזנה לתנאי סף'!G275)</f>
        <v/>
      </c>
      <c r="G275" s="88" t="str">
        <f>IF($F275="","",'הזנה לתנאי סף'!H275)</f>
        <v/>
      </c>
      <c r="H275" s="88" t="str">
        <f>IF($F275="","",'הזנה לתנאי סף'!I275)</f>
        <v/>
      </c>
      <c r="I275" s="88" t="str">
        <f>IF($F275="","",IF(AND('הזנה לתנאי סף'!N275=0,J275&gt;0),$Q$2,'הזנה לתנאי סף'!N275))</f>
        <v/>
      </c>
      <c r="J275" s="213" t="str">
        <f>IF($F275="","",INDEX('גיליון עזר לתחום תמיכה ג'!$H$31:$H$330,MATCH(E275,'גיליון עזר לתחום תמיכה ג'!$C$31:$C$330,0)))</f>
        <v/>
      </c>
      <c r="K275" s="213" t="str">
        <f>IF(OR(F275="",J275=""),"",IF(AND(J275&gt;0,I275=1),J275*'פרמטרים לקריטריונים'!$C$64,$Q$2))</f>
        <v/>
      </c>
      <c r="L275" s="227" t="str">
        <f>IF(OR(F275="",J275=""),"",IF(J275&gt;0,'תחום תמיכה ב'!AC275/SUMIFS('תחום תמיכה ב'!$AC$31:$AC$500,'תחום תמיכה ב'!$E$31:$E$500,E275,'תחום תמיכה ב'!$S$31:$S$500,"=1"),0))</f>
        <v/>
      </c>
      <c r="M275" s="213" t="str">
        <f t="shared" si="13"/>
        <v/>
      </c>
      <c r="N275" s="227" t="str">
        <f t="shared" si="14"/>
        <v/>
      </c>
      <c r="O275" s="213" t="str">
        <f t="shared" si="15"/>
        <v/>
      </c>
    </row>
    <row r="276" spans="1:15" ht="15.75" x14ac:dyDescent="0.2">
      <c r="A276" s="206">
        <f t="shared" si="12"/>
        <v>246</v>
      </c>
      <c r="B276" s="88">
        <f>IF($F276="","",'הזנה לתנאי סף'!C276)</f>
        <v>1001346748</v>
      </c>
      <c r="C276" s="88">
        <f>IF($F276="","",'הזנה לתנאי סף'!D276)</f>
        <v>1001272517</v>
      </c>
      <c r="D276" s="88">
        <f>IF($F276="","",'הזנה לתנאי סף'!E276)</f>
        <v>40000171</v>
      </c>
      <c r="E276" s="88">
        <f>IF($F276="","",'הזנה לתנאי סף'!F276)</f>
        <v>20000201</v>
      </c>
      <c r="F276" s="88" t="str">
        <f>IF(OR('הזנה לתנאי סף'!G276="",'הזנה לתנאי סף'!BL276&lt;&gt;1,'הזנה לתנאי סף'!Q276&lt;&gt;1,'הזנה לתנאי סף'!N276&lt;&gt;1),"",'הזנה לתנאי סף'!G276)</f>
        <v>תל אביב -יפו</v>
      </c>
      <c r="G276" s="88" t="str">
        <f>IF($F276="","",'הזנה לתנאי סף'!H276)</f>
        <v>תיאטרון "גשר"</v>
      </c>
      <c r="H276" s="88" t="str">
        <f>IF($F276="","",'הזנה לתנאי סף'!I276)</f>
        <v>תיאטרון</v>
      </c>
      <c r="I276" s="88">
        <f>IF($F276="","",IF(AND('הזנה לתנאי סף'!N276=0,J276&gt;0),$Q$2,'הזנה לתנאי סף'!N276))</f>
        <v>1</v>
      </c>
      <c r="J276" s="213">
        <f>IF($F276="","",INDEX('גיליון עזר לתחום תמיכה ג'!$H$31:$H$330,MATCH(E276,'גיליון עזר לתחום תמיכה ג'!$C$31:$C$330,0)))</f>
        <v>15995126</v>
      </c>
      <c r="K276" s="213">
        <f>IF(OR(F276="",J276=""),"",IF(AND(J276&gt;0,I276=1),J276*'פרמטרים לקריטריונים'!$C$64,$Q$2))</f>
        <v>15995126</v>
      </c>
      <c r="L276" s="227">
        <f>IF(OR(F276="",J276=""),"",IF(J276&gt;0,'תחום תמיכה ב'!AC276/SUMIFS('תחום תמיכה ב'!$AC$31:$AC$500,'תחום תמיכה ב'!$E$31:$E$500,E276,'תחום תמיכה ב'!$S$31:$S$500,"=1"),0))</f>
        <v>5.1601959441593584E-2</v>
      </c>
      <c r="M276" s="213">
        <f t="shared" si="13"/>
        <v>825379.84311517898</v>
      </c>
      <c r="N276" s="227">
        <f t="shared" si="14"/>
        <v>3.7503523964022949E-2</v>
      </c>
      <c r="O276" s="213">
        <f t="shared" si="15"/>
        <v>825379.84311517898</v>
      </c>
    </row>
    <row r="277" spans="1:15" ht="15.75" x14ac:dyDescent="0.2">
      <c r="A277" s="206">
        <f t="shared" si="12"/>
        <v>247</v>
      </c>
      <c r="B277" s="88">
        <f>IF($F277="","",'הזנה לתנאי סף'!C277)</f>
        <v>1001346760</v>
      </c>
      <c r="C277" s="88">
        <f>IF($F277="","",'הזנה לתנאי סף'!D277)</f>
        <v>1001272518</v>
      </c>
      <c r="D277" s="88">
        <f>IF($F277="","",'הזנה לתנאי סף'!E277)</f>
        <v>40000171</v>
      </c>
      <c r="E277" s="88">
        <f>IF($F277="","",'הזנה לתנאי סף'!F277)</f>
        <v>20000201</v>
      </c>
      <c r="F277" s="88" t="str">
        <f>IF(OR('הזנה לתנאי סף'!G277="",'הזנה לתנאי סף'!BL277&lt;&gt;1,'הזנה לתנאי סף'!Q277&lt;&gt;1,'הזנה לתנאי סף'!N277&lt;&gt;1),"",'הזנה לתנאי סף'!G277)</f>
        <v>תל אביב -יפו</v>
      </c>
      <c r="G277" s="88" t="str">
        <f>IF($F277="","",'הזנה לתנאי סף'!H277)</f>
        <v>תיאטרון "גשר"</v>
      </c>
      <c r="H277" s="88" t="str">
        <f>IF($F277="","",'הזנה לתנאי סף'!I277)</f>
        <v>סינמטקים ופסטיבלים</v>
      </c>
      <c r="I277" s="88">
        <f>IF($F277="","",IF(AND('הזנה לתנאי סף'!N277=0,J277&gt;0),$Q$2,'הזנה לתנאי סף'!N277))</f>
        <v>1</v>
      </c>
      <c r="J277" s="213">
        <f>IF($F277="","",INDEX('גיליון עזר לתחום תמיכה ג'!$H$31:$H$330,MATCH(E277,'גיליון עזר לתחום תמיכה ג'!$C$31:$C$330,0)))</f>
        <v>15995126</v>
      </c>
      <c r="K277" s="213">
        <f>IF(OR(F277="",J277=""),"",IF(AND(J277&gt;0,I277=1),J277*'פרמטרים לקריטריונים'!$C$64,$Q$2))</f>
        <v>15995126</v>
      </c>
      <c r="L277" s="227">
        <f>IF(OR(F277="",J277=""),"",IF(J277&gt;0,'תחום תמיכה ב'!AC277/SUMIFS('תחום תמיכה ב'!$AC$31:$AC$500,'תחום תמיכה ב'!$E$31:$E$500,E277,'תחום תמיכה ב'!$S$31:$S$500,"=1"),0))</f>
        <v>3.0886245087646965E-3</v>
      </c>
      <c r="M277" s="213">
        <f t="shared" si="13"/>
        <v>49402.938184379425</v>
      </c>
      <c r="N277" s="227">
        <f t="shared" si="14"/>
        <v>2.2447655967683575E-3</v>
      </c>
      <c r="O277" s="213">
        <f t="shared" si="15"/>
        <v>49402.938184379425</v>
      </c>
    </row>
    <row r="278" spans="1:15" ht="15.75" x14ac:dyDescent="0.2">
      <c r="A278" s="206" t="str">
        <f t="shared" si="12"/>
        <v/>
      </c>
      <c r="B278" s="88" t="str">
        <f>IF($F278="","",'הזנה לתנאי סף'!C278)</f>
        <v/>
      </c>
      <c r="C278" s="88" t="str">
        <f>IF($F278="","",'הזנה לתנאי סף'!D278)</f>
        <v/>
      </c>
      <c r="D278" s="88" t="str">
        <f>IF($F278="","",'הזנה לתנאי סף'!E278)</f>
        <v/>
      </c>
      <c r="E278" s="88" t="str">
        <f>IF($F278="","",'הזנה לתנאי סף'!F278)</f>
        <v/>
      </c>
      <c r="F278" s="88" t="str">
        <f>IF(OR('הזנה לתנאי סף'!G278="",'הזנה לתנאי סף'!BL278&lt;&gt;1,'הזנה לתנאי סף'!Q278&lt;&gt;1,'הזנה לתנאי סף'!N278&lt;&gt;1),"",'הזנה לתנאי סף'!G278)</f>
        <v/>
      </c>
      <c r="G278" s="88" t="str">
        <f>IF($F278="","",'הזנה לתנאי סף'!H278)</f>
        <v/>
      </c>
      <c r="H278" s="88" t="str">
        <f>IF($F278="","",'הזנה לתנאי סף'!I278)</f>
        <v/>
      </c>
      <c r="I278" s="88" t="str">
        <f>IF($F278="","",IF(AND('הזנה לתנאי סף'!N278=0,J278&gt;0),$Q$2,'הזנה לתנאי סף'!N278))</f>
        <v/>
      </c>
      <c r="J278" s="213" t="str">
        <f>IF($F278="","",INDEX('גיליון עזר לתחום תמיכה ג'!$H$31:$H$330,MATCH(E278,'גיליון עזר לתחום תמיכה ג'!$C$31:$C$330,0)))</f>
        <v/>
      </c>
      <c r="K278" s="213" t="str">
        <f>IF(OR(F278="",J278=""),"",IF(AND(J278&gt;0,I278=1),J278*'פרמטרים לקריטריונים'!$C$64,$Q$2))</f>
        <v/>
      </c>
      <c r="L278" s="227" t="str">
        <f>IF(OR(F278="",J278=""),"",IF(J278&gt;0,'תחום תמיכה ב'!AC278/SUMIFS('תחום תמיכה ב'!$AC$31:$AC$500,'תחום תמיכה ב'!$E$31:$E$500,E278,'תחום תמיכה ב'!$S$31:$S$500,"=1"),0))</f>
        <v/>
      </c>
      <c r="M278" s="213" t="str">
        <f t="shared" si="13"/>
        <v/>
      </c>
      <c r="N278" s="227" t="str">
        <f t="shared" si="14"/>
        <v/>
      </c>
      <c r="O278" s="213" t="str">
        <f t="shared" si="15"/>
        <v/>
      </c>
    </row>
    <row r="279" spans="1:15" ht="15.75" x14ac:dyDescent="0.2">
      <c r="A279" s="206">
        <f t="shared" si="12"/>
        <v>249</v>
      </c>
      <c r="B279" s="88">
        <f>IF($F279="","",'הזנה לתנאי סף'!C279)</f>
        <v>1001348971</v>
      </c>
      <c r="C279" s="88">
        <f>IF($F279="","",'הזנה לתנאי סף'!D279)</f>
        <v>1001274750</v>
      </c>
      <c r="D279" s="88">
        <f>IF($F279="","",'הזנה לתנאי סף'!E279)</f>
        <v>40000174</v>
      </c>
      <c r="E279" s="88">
        <f>IF($F279="","",'הזנה לתנאי סף'!F279)</f>
        <v>20000201</v>
      </c>
      <c r="F279" s="88" t="str">
        <f>IF(OR('הזנה לתנאי סף'!G279="",'הזנה לתנאי סף'!BL279&lt;&gt;1,'הזנה לתנאי סף'!Q279&lt;&gt;1,'הזנה לתנאי סף'!N279&lt;&gt;1),"",'הזנה לתנאי סף'!G279)</f>
        <v>תל אביב -יפו</v>
      </c>
      <c r="G279" s="88" t="str">
        <f>IF($F279="","",'הזנה לתנאי סף'!H279)</f>
        <v>פרויקטים במחול - שליד תיאטרון מחול</v>
      </c>
      <c r="H279" s="88" t="str">
        <f>IF($F279="","",'הזנה לתנאי סף'!I279)</f>
        <v>מחול</v>
      </c>
      <c r="I279" s="88">
        <f>IF($F279="","",IF(AND('הזנה לתנאי סף'!N279=0,J279&gt;0),$Q$2,'הזנה לתנאי סף'!N279))</f>
        <v>1</v>
      </c>
      <c r="J279" s="213">
        <f>IF($F279="","",INDEX('גיליון עזר לתחום תמיכה ג'!$H$31:$H$330,MATCH(E279,'גיליון עזר לתחום תמיכה ג'!$C$31:$C$330,0)))</f>
        <v>15995126</v>
      </c>
      <c r="K279" s="213">
        <f>IF(OR(F279="",J279=""),"",IF(AND(J279&gt;0,I279=1),J279*'פרמטרים לקריטריונים'!$C$64,$Q$2))</f>
        <v>15995126</v>
      </c>
      <c r="L279" s="227">
        <f>IF(OR(F279="",J279=""),"",IF(J279&gt;0,'תחום תמיכה ב'!AC279/SUMIFS('תחום תמיכה ב'!$AC$31:$AC$500,'תחום תמיכה ב'!$E$31:$E$500,E279,'תחום תמיכה ב'!$S$31:$S$500,"=1"),0))</f>
        <v>5.0531910473443202E-4</v>
      </c>
      <c r="M279" s="213">
        <f t="shared" si="13"/>
        <v>8082.6427504344365</v>
      </c>
      <c r="N279" s="227">
        <f t="shared" si="14"/>
        <v>3.6725828551794888E-4</v>
      </c>
      <c r="O279" s="213">
        <f t="shared" si="15"/>
        <v>8082.6427504344365</v>
      </c>
    </row>
    <row r="280" spans="1:15" ht="15.75" x14ac:dyDescent="0.2">
      <c r="A280" s="206">
        <f t="shared" si="12"/>
        <v>250</v>
      </c>
      <c r="B280" s="88">
        <f>IF($F280="","",'הזנה לתנאי סף'!C280)</f>
        <v>1001350351</v>
      </c>
      <c r="C280" s="88">
        <f>IF($F280="","",'הזנה לתנאי סף'!D280)</f>
        <v>1001269665</v>
      </c>
      <c r="D280" s="88">
        <f>IF($F280="","",'הזנה לתנאי סף'!E280)</f>
        <v>40000176</v>
      </c>
      <c r="E280" s="88">
        <f>IF($F280="","",'הזנה לתנאי סף'!F280)</f>
        <v>20000201</v>
      </c>
      <c r="F280" s="88" t="str">
        <f>IF(OR('הזנה לתנאי סף'!G280="",'הזנה לתנאי סף'!BL280&lt;&gt;1,'הזנה לתנאי סף'!Q280&lt;&gt;1,'הזנה לתנאי סף'!N280&lt;&gt;1),"",'הזנה לתנאי סף'!G280)</f>
        <v>תל אביב -יפו</v>
      </c>
      <c r="G280" s="88" t="str">
        <f>IF($F280="","",'הזנה לתנאי סף'!H280)</f>
        <v>אנסמבל עתים</v>
      </c>
      <c r="H280" s="88" t="str">
        <f>IF($F280="","",'הזנה לתנאי סף'!I280)</f>
        <v>תיאטרון</v>
      </c>
      <c r="I280" s="88">
        <f>IF($F280="","",IF(AND('הזנה לתנאי סף'!N280=0,J280&gt;0),$Q$2,'הזנה לתנאי סף'!N280))</f>
        <v>1</v>
      </c>
      <c r="J280" s="213">
        <f>IF($F280="","",INDEX('גיליון עזר לתחום תמיכה ג'!$H$31:$H$330,MATCH(E280,'גיליון עזר לתחום תמיכה ג'!$C$31:$C$330,0)))</f>
        <v>15995126</v>
      </c>
      <c r="K280" s="213">
        <f>IF(OR(F280="",J280=""),"",IF(AND(J280&gt;0,I280=1),J280*'פרמטרים לקריטריונים'!$C$64,$Q$2))</f>
        <v>15995126</v>
      </c>
      <c r="L280" s="227">
        <f>IF(OR(F280="",J280=""),"",IF(J280&gt;0,'תחום תמיכה ב'!AC280/SUMIFS('תחום תמיכה ב'!$AC$31:$AC$500,'תחום תמיכה ב'!$E$31:$E$500,E280,'תחום תמיכה ב'!$S$31:$S$500,"=1"),0))</f>
        <v>3.4072347978006802E-4</v>
      </c>
      <c r="M280" s="213">
        <f t="shared" si="13"/>
        <v>5449.9149902406407</v>
      </c>
      <c r="N280" s="227">
        <f t="shared" si="14"/>
        <v>2.4763267378442107E-4</v>
      </c>
      <c r="O280" s="213">
        <f t="shared" si="15"/>
        <v>5449.9149902406407</v>
      </c>
    </row>
    <row r="281" spans="1:15" ht="15.75" x14ac:dyDescent="0.2">
      <c r="A281" s="206">
        <f t="shared" si="12"/>
        <v>251</v>
      </c>
      <c r="B281" s="88">
        <f>IF($F281="","",'הזנה לתנאי סף'!C281)</f>
        <v>1001348862</v>
      </c>
      <c r="C281" s="88">
        <f>IF($F281="","",'הזנה לתנאי סף'!D281)</f>
        <v>1001270324</v>
      </c>
      <c r="D281" s="88">
        <f>IF($F281="","",'הזנה לתנאי סף'!E281)</f>
        <v>40000179</v>
      </c>
      <c r="E281" s="88">
        <f>IF($F281="","",'הזנה לתנאי סף'!F281)</f>
        <v>20000201</v>
      </c>
      <c r="F281" s="88" t="str">
        <f>IF(OR('הזנה לתנאי סף'!G281="",'הזנה לתנאי סף'!BL281&lt;&gt;1,'הזנה לתנאי סף'!Q281&lt;&gt;1,'הזנה לתנאי סף'!N281&lt;&gt;1),"",'הזנה לתנאי סף'!G281)</f>
        <v>תל אביב -יפו</v>
      </c>
      <c r="G281" s="88" t="str">
        <f>IF($F281="","",'הזנה לתנאי סף'!H281)</f>
        <v>מקשב</v>
      </c>
      <c r="H281" s="88" t="str">
        <f>IF($F281="","",'הזנה לתנאי סף'!I281)</f>
        <v>מרכזי מוסיקה</v>
      </c>
      <c r="I281" s="88">
        <f>IF($F281="","",IF(AND('הזנה לתנאי סף'!N281=0,J281&gt;0),$Q$2,'הזנה לתנאי סף'!N281))</f>
        <v>1</v>
      </c>
      <c r="J281" s="213">
        <f>IF($F281="","",INDEX('גיליון עזר לתחום תמיכה ג'!$H$31:$H$330,MATCH(E281,'גיליון עזר לתחום תמיכה ג'!$C$31:$C$330,0)))</f>
        <v>15995126</v>
      </c>
      <c r="K281" s="213">
        <f>IF(OR(F281="",J281=""),"",IF(AND(J281&gt;0,I281=1),J281*'פרמטרים לקריטריונים'!$C$64,$Q$2))</f>
        <v>15995126</v>
      </c>
      <c r="L281" s="227">
        <f>IF(OR(F281="",J281=""),"",IF(J281&gt;0,'תחום תמיכה ב'!AC281/SUMIFS('תחום תמיכה ב'!$AC$31:$AC$500,'תחום תמיכה ב'!$E$31:$E$500,E281,'תחום תמיכה ב'!$S$31:$S$500,"=1"),0))</f>
        <v>1.3717957193265764E-4</v>
      </c>
      <c r="M281" s="213">
        <f t="shared" si="13"/>
        <v>2194.2045376889223</v>
      </c>
      <c r="N281" s="227">
        <f t="shared" si="14"/>
        <v>9.9700038894336127E-5</v>
      </c>
      <c r="O281" s="213">
        <f t="shared" si="15"/>
        <v>2194.2045376889223</v>
      </c>
    </row>
    <row r="282" spans="1:15" ht="15.75" x14ac:dyDescent="0.2">
      <c r="A282" s="206" t="str">
        <f t="shared" si="12"/>
        <v/>
      </c>
      <c r="B282" s="88" t="str">
        <f>IF($F282="","",'הזנה לתנאי סף'!C282)</f>
        <v/>
      </c>
      <c r="C282" s="88" t="str">
        <f>IF($F282="","",'הזנה לתנאי סף'!D282)</f>
        <v/>
      </c>
      <c r="D282" s="88" t="str">
        <f>IF($F282="","",'הזנה לתנאי סף'!E282)</f>
        <v/>
      </c>
      <c r="E282" s="88" t="str">
        <f>IF($F282="","",'הזנה לתנאי סף'!F282)</f>
        <v/>
      </c>
      <c r="F282" s="88" t="str">
        <f>IF(OR('הזנה לתנאי סף'!G282="",'הזנה לתנאי סף'!BL282&lt;&gt;1,'הזנה לתנאי סף'!Q282&lt;&gt;1,'הזנה לתנאי סף'!N282&lt;&gt;1),"",'הזנה לתנאי סף'!G282)</f>
        <v/>
      </c>
      <c r="G282" s="88" t="str">
        <f>IF($F282="","",'הזנה לתנאי סף'!H282)</f>
        <v/>
      </c>
      <c r="H282" s="88" t="str">
        <f>IF($F282="","",'הזנה לתנאי סף'!I282)</f>
        <v/>
      </c>
      <c r="I282" s="88" t="str">
        <f>IF($F282="","",IF(AND('הזנה לתנאי סף'!N282=0,J282&gt;0),$Q$2,'הזנה לתנאי סף'!N282))</f>
        <v/>
      </c>
      <c r="J282" s="213" t="str">
        <f>IF($F282="","",INDEX('גיליון עזר לתחום תמיכה ג'!$H$31:$H$330,MATCH(E282,'גיליון עזר לתחום תמיכה ג'!$C$31:$C$330,0)))</f>
        <v/>
      </c>
      <c r="K282" s="213" t="str">
        <f>IF(OR(F282="",J282=""),"",IF(AND(J282&gt;0,I282=1),J282*'פרמטרים לקריטריונים'!$C$64,$Q$2))</f>
        <v/>
      </c>
      <c r="L282" s="227" t="str">
        <f>IF(OR(F282="",J282=""),"",IF(J282&gt;0,'תחום תמיכה ב'!AC282/SUMIFS('תחום תמיכה ב'!$AC$31:$AC$500,'תחום תמיכה ב'!$E$31:$E$500,E282,'תחום תמיכה ב'!$S$31:$S$500,"=1"),0))</f>
        <v/>
      </c>
      <c r="M282" s="213" t="str">
        <f t="shared" si="13"/>
        <v/>
      </c>
      <c r="N282" s="227" t="str">
        <f t="shared" si="14"/>
        <v/>
      </c>
      <c r="O282" s="213" t="str">
        <f t="shared" si="15"/>
        <v/>
      </c>
    </row>
    <row r="283" spans="1:15" ht="15.75" x14ac:dyDescent="0.2">
      <c r="A283" s="206" t="str">
        <f t="shared" si="12"/>
        <v/>
      </c>
      <c r="B283" s="88" t="str">
        <f>IF($F283="","",'הזנה לתנאי סף'!C283)</f>
        <v/>
      </c>
      <c r="C283" s="88" t="str">
        <f>IF($F283="","",'הזנה לתנאי סף'!D283)</f>
        <v/>
      </c>
      <c r="D283" s="88" t="str">
        <f>IF($F283="","",'הזנה לתנאי סף'!E283)</f>
        <v/>
      </c>
      <c r="E283" s="88" t="str">
        <f>IF($F283="","",'הזנה לתנאי סף'!F283)</f>
        <v/>
      </c>
      <c r="F283" s="88" t="str">
        <f>IF(OR('הזנה לתנאי סף'!G283="",'הזנה לתנאי סף'!BL283&lt;&gt;1,'הזנה לתנאי סף'!Q283&lt;&gt;1,'הזנה לתנאי סף'!N283&lt;&gt;1),"",'הזנה לתנאי סף'!G283)</f>
        <v/>
      </c>
      <c r="G283" s="88" t="str">
        <f>IF($F283="","",'הזנה לתנאי סף'!H283)</f>
        <v/>
      </c>
      <c r="H283" s="88" t="str">
        <f>IF($F283="","",'הזנה לתנאי סף'!I283)</f>
        <v/>
      </c>
      <c r="I283" s="88" t="str">
        <f>IF($F283="","",IF(AND('הזנה לתנאי סף'!N283=0,J283&gt;0),$Q$2,'הזנה לתנאי סף'!N283))</f>
        <v/>
      </c>
      <c r="J283" s="213" t="str">
        <f>IF($F283="","",INDEX('גיליון עזר לתחום תמיכה ג'!$H$31:$H$330,MATCH(E283,'גיליון עזר לתחום תמיכה ג'!$C$31:$C$330,0)))</f>
        <v/>
      </c>
      <c r="K283" s="213" t="str">
        <f>IF(OR(F283="",J283=""),"",IF(AND(J283&gt;0,I283=1),J283*'פרמטרים לקריטריונים'!$C$64,$Q$2))</f>
        <v/>
      </c>
      <c r="L283" s="227" t="str">
        <f>IF(OR(F283="",J283=""),"",IF(J283&gt;0,'תחום תמיכה ב'!AC283/SUMIFS('תחום תמיכה ב'!$AC$31:$AC$500,'תחום תמיכה ב'!$E$31:$E$500,E283,'תחום תמיכה ב'!$S$31:$S$500,"=1"),0))</f>
        <v/>
      </c>
      <c r="M283" s="213" t="str">
        <f t="shared" si="13"/>
        <v/>
      </c>
      <c r="N283" s="227" t="str">
        <f t="shared" si="14"/>
        <v/>
      </c>
      <c r="O283" s="213" t="str">
        <f t="shared" si="15"/>
        <v/>
      </c>
    </row>
    <row r="284" spans="1:15" ht="15.75" x14ac:dyDescent="0.2">
      <c r="A284" s="206" t="str">
        <f t="shared" si="12"/>
        <v/>
      </c>
      <c r="B284" s="88" t="str">
        <f>IF($F284="","",'הזנה לתנאי סף'!C284)</f>
        <v/>
      </c>
      <c r="C284" s="88" t="str">
        <f>IF($F284="","",'הזנה לתנאי סף'!D284)</f>
        <v/>
      </c>
      <c r="D284" s="88" t="str">
        <f>IF($F284="","",'הזנה לתנאי סף'!E284)</f>
        <v/>
      </c>
      <c r="E284" s="88" t="str">
        <f>IF($F284="","",'הזנה לתנאי סף'!F284)</f>
        <v/>
      </c>
      <c r="F284" s="88" t="str">
        <f>IF(OR('הזנה לתנאי סף'!G284="",'הזנה לתנאי סף'!BL284&lt;&gt;1,'הזנה לתנאי סף'!Q284&lt;&gt;1,'הזנה לתנאי סף'!N284&lt;&gt;1),"",'הזנה לתנאי סף'!G284)</f>
        <v/>
      </c>
      <c r="G284" s="88" t="str">
        <f>IF($F284="","",'הזנה לתנאי סף'!H284)</f>
        <v/>
      </c>
      <c r="H284" s="88" t="str">
        <f>IF($F284="","",'הזנה לתנאי סף'!I284)</f>
        <v/>
      </c>
      <c r="I284" s="88" t="str">
        <f>IF($F284="","",IF(AND('הזנה לתנאי סף'!N284=0,J284&gt;0),$Q$2,'הזנה לתנאי סף'!N284))</f>
        <v/>
      </c>
      <c r="J284" s="213" t="str">
        <f>IF($F284="","",INDEX('גיליון עזר לתחום תמיכה ג'!$H$31:$H$330,MATCH(E284,'גיליון עזר לתחום תמיכה ג'!$C$31:$C$330,0)))</f>
        <v/>
      </c>
      <c r="K284" s="213" t="str">
        <f>IF(OR(F284="",J284=""),"",IF(AND(J284&gt;0,I284=1),J284*'פרמטרים לקריטריונים'!$C$64,$Q$2))</f>
        <v/>
      </c>
      <c r="L284" s="227" t="str">
        <f>IF(OR(F284="",J284=""),"",IF(J284&gt;0,'תחום תמיכה ב'!AC284/SUMIFS('תחום תמיכה ב'!$AC$31:$AC$500,'תחום תמיכה ב'!$E$31:$E$500,E284,'תחום תמיכה ב'!$S$31:$S$500,"=1"),0))</f>
        <v/>
      </c>
      <c r="M284" s="213" t="str">
        <f t="shared" si="13"/>
        <v/>
      </c>
      <c r="N284" s="227" t="str">
        <f t="shared" si="14"/>
        <v/>
      </c>
      <c r="O284" s="213" t="str">
        <f t="shared" si="15"/>
        <v/>
      </c>
    </row>
    <row r="285" spans="1:15" ht="15.75" x14ac:dyDescent="0.2">
      <c r="A285" s="206" t="str">
        <f t="shared" si="12"/>
        <v/>
      </c>
      <c r="B285" s="88" t="str">
        <f>IF($F285="","",'הזנה לתנאי סף'!C285)</f>
        <v/>
      </c>
      <c r="C285" s="88" t="str">
        <f>IF($F285="","",'הזנה לתנאי סף'!D285)</f>
        <v/>
      </c>
      <c r="D285" s="88" t="str">
        <f>IF($F285="","",'הזנה לתנאי סף'!E285)</f>
        <v/>
      </c>
      <c r="E285" s="88" t="str">
        <f>IF($F285="","",'הזנה לתנאי סף'!F285)</f>
        <v/>
      </c>
      <c r="F285" s="88" t="str">
        <f>IF(OR('הזנה לתנאי סף'!G285="",'הזנה לתנאי סף'!BL285&lt;&gt;1,'הזנה לתנאי סף'!Q285&lt;&gt;1,'הזנה לתנאי סף'!N285&lt;&gt;1),"",'הזנה לתנאי סף'!G285)</f>
        <v/>
      </c>
      <c r="G285" s="88" t="str">
        <f>IF($F285="","",'הזנה לתנאי סף'!H285)</f>
        <v/>
      </c>
      <c r="H285" s="88" t="str">
        <f>IF($F285="","",'הזנה לתנאי סף'!I285)</f>
        <v/>
      </c>
      <c r="I285" s="88" t="str">
        <f>IF($F285="","",IF(AND('הזנה לתנאי סף'!N285=0,J285&gt;0),$Q$2,'הזנה לתנאי סף'!N285))</f>
        <v/>
      </c>
      <c r="J285" s="213" t="str">
        <f>IF($F285="","",INDEX('גיליון עזר לתחום תמיכה ג'!$H$31:$H$330,MATCH(E285,'גיליון עזר לתחום תמיכה ג'!$C$31:$C$330,0)))</f>
        <v/>
      </c>
      <c r="K285" s="213" t="str">
        <f>IF(OR(F285="",J285=""),"",IF(AND(J285&gt;0,I285=1),J285*'פרמטרים לקריטריונים'!$C$64,$Q$2))</f>
        <v/>
      </c>
      <c r="L285" s="227" t="str">
        <f>IF(OR(F285="",J285=""),"",IF(J285&gt;0,'תחום תמיכה ב'!AC285/SUMIFS('תחום תמיכה ב'!$AC$31:$AC$500,'תחום תמיכה ב'!$E$31:$E$500,E285,'תחום תמיכה ב'!$S$31:$S$500,"=1"),0))</f>
        <v/>
      </c>
      <c r="M285" s="213" t="str">
        <f t="shared" si="13"/>
        <v/>
      </c>
      <c r="N285" s="227" t="str">
        <f t="shared" si="14"/>
        <v/>
      </c>
      <c r="O285" s="213" t="str">
        <f t="shared" si="15"/>
        <v/>
      </c>
    </row>
    <row r="286" spans="1:15" ht="15.75" x14ac:dyDescent="0.2">
      <c r="A286" s="206" t="str">
        <f t="shared" si="12"/>
        <v/>
      </c>
      <c r="B286" s="88" t="str">
        <f>IF($F286="","",'הזנה לתנאי סף'!C286)</f>
        <v/>
      </c>
      <c r="C286" s="88" t="str">
        <f>IF($F286="","",'הזנה לתנאי סף'!D286)</f>
        <v/>
      </c>
      <c r="D286" s="88" t="str">
        <f>IF($F286="","",'הזנה לתנאי סף'!E286)</f>
        <v/>
      </c>
      <c r="E286" s="88" t="str">
        <f>IF($F286="","",'הזנה לתנאי סף'!F286)</f>
        <v/>
      </c>
      <c r="F286" s="88" t="str">
        <f>IF(OR('הזנה לתנאי סף'!G286="",'הזנה לתנאי סף'!BL286&lt;&gt;1,'הזנה לתנאי סף'!Q286&lt;&gt;1,'הזנה לתנאי סף'!N286&lt;&gt;1),"",'הזנה לתנאי סף'!G286)</f>
        <v/>
      </c>
      <c r="G286" s="88" t="str">
        <f>IF($F286="","",'הזנה לתנאי סף'!H286)</f>
        <v/>
      </c>
      <c r="H286" s="88" t="str">
        <f>IF($F286="","",'הזנה לתנאי סף'!I286)</f>
        <v/>
      </c>
      <c r="I286" s="88" t="str">
        <f>IF($F286="","",IF(AND('הזנה לתנאי סף'!N286=0,J286&gt;0),$Q$2,'הזנה לתנאי סף'!N286))</f>
        <v/>
      </c>
      <c r="J286" s="213" t="str">
        <f>IF($F286="","",INDEX('גיליון עזר לתחום תמיכה ג'!$H$31:$H$330,MATCH(E286,'גיליון עזר לתחום תמיכה ג'!$C$31:$C$330,0)))</f>
        <v/>
      </c>
      <c r="K286" s="213" t="str">
        <f>IF(OR(F286="",J286=""),"",IF(AND(J286&gt;0,I286=1),J286*'פרמטרים לקריטריונים'!$C$64,$Q$2))</f>
        <v/>
      </c>
      <c r="L286" s="227" t="str">
        <f>IF(OR(F286="",J286=""),"",IF(J286&gt;0,'תחום תמיכה ב'!AC286/SUMIFS('תחום תמיכה ב'!$AC$31:$AC$500,'תחום תמיכה ב'!$E$31:$E$500,E286,'תחום תמיכה ב'!$S$31:$S$500,"=1"),0))</f>
        <v/>
      </c>
      <c r="M286" s="213" t="str">
        <f t="shared" si="13"/>
        <v/>
      </c>
      <c r="N286" s="227" t="str">
        <f t="shared" si="14"/>
        <v/>
      </c>
      <c r="O286" s="213" t="str">
        <f t="shared" si="15"/>
        <v/>
      </c>
    </row>
    <row r="287" spans="1:15" ht="15.75" x14ac:dyDescent="0.2">
      <c r="A287" s="206" t="str">
        <f t="shared" si="12"/>
        <v/>
      </c>
      <c r="B287" s="88" t="str">
        <f>IF($F287="","",'הזנה לתנאי סף'!C287)</f>
        <v/>
      </c>
      <c r="C287" s="88" t="str">
        <f>IF($F287="","",'הזנה לתנאי סף'!D287)</f>
        <v/>
      </c>
      <c r="D287" s="88" t="str">
        <f>IF($F287="","",'הזנה לתנאי סף'!E287)</f>
        <v/>
      </c>
      <c r="E287" s="88" t="str">
        <f>IF($F287="","",'הזנה לתנאי סף'!F287)</f>
        <v/>
      </c>
      <c r="F287" s="88" t="str">
        <f>IF(OR('הזנה לתנאי סף'!G287="",'הזנה לתנאי סף'!BL287&lt;&gt;1,'הזנה לתנאי סף'!Q287&lt;&gt;1,'הזנה לתנאי סף'!N287&lt;&gt;1),"",'הזנה לתנאי סף'!G287)</f>
        <v/>
      </c>
      <c r="G287" s="88" t="str">
        <f>IF($F287="","",'הזנה לתנאי סף'!H287)</f>
        <v/>
      </c>
      <c r="H287" s="88" t="str">
        <f>IF($F287="","",'הזנה לתנאי סף'!I287)</f>
        <v/>
      </c>
      <c r="I287" s="88" t="str">
        <f>IF($F287="","",IF(AND('הזנה לתנאי סף'!N287=0,J287&gt;0),$Q$2,'הזנה לתנאי סף'!N287))</f>
        <v/>
      </c>
      <c r="J287" s="213" t="str">
        <f>IF($F287="","",INDEX('גיליון עזר לתחום תמיכה ג'!$H$31:$H$330,MATCH(E287,'גיליון עזר לתחום תמיכה ג'!$C$31:$C$330,0)))</f>
        <v/>
      </c>
      <c r="K287" s="213" t="str">
        <f>IF(OR(F287="",J287=""),"",IF(AND(J287&gt;0,I287=1),J287*'פרמטרים לקריטריונים'!$C$64,$Q$2))</f>
        <v/>
      </c>
      <c r="L287" s="227" t="str">
        <f>IF(OR(F287="",J287=""),"",IF(J287&gt;0,'תחום תמיכה ב'!AC287/SUMIFS('תחום תמיכה ב'!$AC$31:$AC$500,'תחום תמיכה ב'!$E$31:$E$500,E287,'תחום תמיכה ב'!$S$31:$S$500,"=1"),0))</f>
        <v/>
      </c>
      <c r="M287" s="213" t="str">
        <f t="shared" si="13"/>
        <v/>
      </c>
      <c r="N287" s="227" t="str">
        <f t="shared" si="14"/>
        <v/>
      </c>
      <c r="O287" s="213" t="str">
        <f t="shared" si="15"/>
        <v/>
      </c>
    </row>
    <row r="288" spans="1:15" ht="15.75" x14ac:dyDescent="0.2">
      <c r="A288" s="206" t="str">
        <f t="shared" ref="A288:A329" si="16">IF(F288="","",ROW()-30)</f>
        <v/>
      </c>
      <c r="B288" s="88" t="str">
        <f>IF($F288="","",'הזנה לתנאי סף'!C288)</f>
        <v/>
      </c>
      <c r="C288" s="88" t="str">
        <f>IF($F288="","",'הזנה לתנאי סף'!D288)</f>
        <v/>
      </c>
      <c r="D288" s="88" t="str">
        <f>IF($F288="","",'הזנה לתנאי סף'!E288)</f>
        <v/>
      </c>
      <c r="E288" s="88" t="str">
        <f>IF($F288="","",'הזנה לתנאי סף'!F288)</f>
        <v/>
      </c>
      <c r="F288" s="88" t="str">
        <f>IF(OR('הזנה לתנאי סף'!G288="",'הזנה לתנאי סף'!BL288&lt;&gt;1,'הזנה לתנאי סף'!Q288&lt;&gt;1,'הזנה לתנאי סף'!N288&lt;&gt;1),"",'הזנה לתנאי סף'!G288)</f>
        <v/>
      </c>
      <c r="G288" s="88" t="str">
        <f>IF($F288="","",'הזנה לתנאי סף'!H288)</f>
        <v/>
      </c>
      <c r="H288" s="88" t="str">
        <f>IF($F288="","",'הזנה לתנאי סף'!I288)</f>
        <v/>
      </c>
      <c r="I288" s="88" t="str">
        <f>IF($F288="","",IF(AND('הזנה לתנאי סף'!N288=0,J288&gt;0),$Q$2,'הזנה לתנאי סף'!N288))</f>
        <v/>
      </c>
      <c r="J288" s="213" t="str">
        <f>IF($F288="","",INDEX('גיליון עזר לתחום תמיכה ג'!$H$31:$H$330,MATCH(E288,'גיליון עזר לתחום תמיכה ג'!$C$31:$C$330,0)))</f>
        <v/>
      </c>
      <c r="K288" s="213" t="str">
        <f>IF(OR(F288="",J288=""),"",IF(AND(J288&gt;0,I288=1),J288*'פרמטרים לקריטריונים'!$C$64,$Q$2))</f>
        <v/>
      </c>
      <c r="L288" s="227" t="str">
        <f>IF(OR(F288="",J288=""),"",IF(J288&gt;0,'תחום תמיכה ב'!AC288/SUMIFS('תחום תמיכה ב'!$AC$31:$AC$500,'תחום תמיכה ב'!$E$31:$E$500,E288,'תחום תמיכה ב'!$S$31:$S$500,"=1"),0))</f>
        <v/>
      </c>
      <c r="M288" s="213" t="str">
        <f t="shared" ref="M288:M329" si="17">IF(OR(F288="",J288=""),"",IFERROR(K288*L288,$Q$2))</f>
        <v/>
      </c>
      <c r="N288" s="227" t="str">
        <f t="shared" ref="N288:N329" si="18">IF(OR(F288="",J288=""),"",IFERROR(M288/$M$501,$Q$2))</f>
        <v/>
      </c>
      <c r="O288" s="213" t="str">
        <f t="shared" ref="O288:O329" si="19">IF(N288="","",IF($M$501&lt;$F$4,M288,N288*$F$4))</f>
        <v/>
      </c>
    </row>
    <row r="289" spans="1:15" ht="15.75" x14ac:dyDescent="0.2">
      <c r="A289" s="206" t="str">
        <f t="shared" si="16"/>
        <v/>
      </c>
      <c r="B289" s="88" t="str">
        <f>IF($F289="","",'הזנה לתנאי סף'!C289)</f>
        <v/>
      </c>
      <c r="C289" s="88" t="str">
        <f>IF($F289="","",'הזנה לתנאי סף'!D289)</f>
        <v/>
      </c>
      <c r="D289" s="88" t="str">
        <f>IF($F289="","",'הזנה לתנאי סף'!E289)</f>
        <v/>
      </c>
      <c r="E289" s="88" t="str">
        <f>IF($F289="","",'הזנה לתנאי סף'!F289)</f>
        <v/>
      </c>
      <c r="F289" s="88" t="str">
        <f>IF(OR('הזנה לתנאי סף'!G289="",'הזנה לתנאי סף'!BL289&lt;&gt;1,'הזנה לתנאי סף'!Q289&lt;&gt;1,'הזנה לתנאי סף'!N289&lt;&gt;1),"",'הזנה לתנאי סף'!G289)</f>
        <v/>
      </c>
      <c r="G289" s="88" t="str">
        <f>IF($F289="","",'הזנה לתנאי סף'!H289)</f>
        <v/>
      </c>
      <c r="H289" s="88" t="str">
        <f>IF($F289="","",'הזנה לתנאי סף'!I289)</f>
        <v/>
      </c>
      <c r="I289" s="88" t="str">
        <f>IF($F289="","",IF(AND('הזנה לתנאי סף'!N289=0,J289&gt;0),$Q$2,'הזנה לתנאי סף'!N289))</f>
        <v/>
      </c>
      <c r="J289" s="213" t="str">
        <f>IF($F289="","",INDEX('גיליון עזר לתחום תמיכה ג'!$H$31:$H$330,MATCH(E289,'גיליון עזר לתחום תמיכה ג'!$C$31:$C$330,0)))</f>
        <v/>
      </c>
      <c r="K289" s="213" t="str">
        <f>IF(OR(F289="",J289=""),"",IF(AND(J289&gt;0,I289=1),J289*'פרמטרים לקריטריונים'!$C$64,$Q$2))</f>
        <v/>
      </c>
      <c r="L289" s="227" t="str">
        <f>IF(OR(F289="",J289=""),"",IF(J289&gt;0,'תחום תמיכה ב'!AC289/SUMIFS('תחום תמיכה ב'!$AC$31:$AC$500,'תחום תמיכה ב'!$E$31:$E$500,E289,'תחום תמיכה ב'!$S$31:$S$500,"=1"),0))</f>
        <v/>
      </c>
      <c r="M289" s="213" t="str">
        <f t="shared" si="17"/>
        <v/>
      </c>
      <c r="N289" s="227" t="str">
        <f t="shared" si="18"/>
        <v/>
      </c>
      <c r="O289" s="213" t="str">
        <f t="shared" si="19"/>
        <v/>
      </c>
    </row>
    <row r="290" spans="1:15" ht="15.75" x14ac:dyDescent="0.2">
      <c r="A290" s="206" t="str">
        <f t="shared" si="16"/>
        <v/>
      </c>
      <c r="B290" s="88" t="str">
        <f>IF($F290="","",'הזנה לתנאי סף'!C290)</f>
        <v/>
      </c>
      <c r="C290" s="88" t="str">
        <f>IF($F290="","",'הזנה לתנאי סף'!D290)</f>
        <v/>
      </c>
      <c r="D290" s="88" t="str">
        <f>IF($F290="","",'הזנה לתנאי סף'!E290)</f>
        <v/>
      </c>
      <c r="E290" s="88" t="str">
        <f>IF($F290="","",'הזנה לתנאי סף'!F290)</f>
        <v/>
      </c>
      <c r="F290" s="88" t="str">
        <f>IF(OR('הזנה לתנאי סף'!G290="",'הזנה לתנאי סף'!BL290&lt;&gt;1,'הזנה לתנאי סף'!Q290&lt;&gt;1,'הזנה לתנאי סף'!N290&lt;&gt;1),"",'הזנה לתנאי סף'!G290)</f>
        <v/>
      </c>
      <c r="G290" s="88" t="str">
        <f>IF($F290="","",'הזנה לתנאי סף'!H290)</f>
        <v/>
      </c>
      <c r="H290" s="88" t="str">
        <f>IF($F290="","",'הזנה לתנאי סף'!I290)</f>
        <v/>
      </c>
      <c r="I290" s="88" t="str">
        <f>IF($F290="","",IF(AND('הזנה לתנאי סף'!N290=0,J290&gt;0),$Q$2,'הזנה לתנאי סף'!N290))</f>
        <v/>
      </c>
      <c r="J290" s="213" t="str">
        <f>IF($F290="","",INDEX('גיליון עזר לתחום תמיכה ג'!$H$31:$H$330,MATCH(E290,'גיליון עזר לתחום תמיכה ג'!$C$31:$C$330,0)))</f>
        <v/>
      </c>
      <c r="K290" s="213" t="str">
        <f>IF(OR(F290="",J290=""),"",IF(AND(J290&gt;0,I290=1),J290*'פרמטרים לקריטריונים'!$C$64,$Q$2))</f>
        <v/>
      </c>
      <c r="L290" s="227" t="str">
        <f>IF(OR(F290="",J290=""),"",IF(J290&gt;0,'תחום תמיכה ב'!AC290/SUMIFS('תחום תמיכה ב'!$AC$31:$AC$500,'תחום תמיכה ב'!$E$31:$E$500,E290,'תחום תמיכה ב'!$S$31:$S$500,"=1"),0))</f>
        <v/>
      </c>
      <c r="M290" s="213" t="str">
        <f t="shared" si="17"/>
        <v/>
      </c>
      <c r="N290" s="227" t="str">
        <f t="shared" si="18"/>
        <v/>
      </c>
      <c r="O290" s="213" t="str">
        <f t="shared" si="19"/>
        <v/>
      </c>
    </row>
    <row r="291" spans="1:15" ht="15.75" x14ac:dyDescent="0.2">
      <c r="A291" s="206" t="str">
        <f t="shared" si="16"/>
        <v/>
      </c>
      <c r="B291" s="88" t="str">
        <f>IF($F291="","",'הזנה לתנאי סף'!C291)</f>
        <v/>
      </c>
      <c r="C291" s="88" t="str">
        <f>IF($F291="","",'הזנה לתנאי סף'!D291)</f>
        <v/>
      </c>
      <c r="D291" s="88" t="str">
        <f>IF($F291="","",'הזנה לתנאי סף'!E291)</f>
        <v/>
      </c>
      <c r="E291" s="88" t="str">
        <f>IF($F291="","",'הזנה לתנאי סף'!F291)</f>
        <v/>
      </c>
      <c r="F291" s="88" t="str">
        <f>IF(OR('הזנה לתנאי סף'!G291="",'הזנה לתנאי סף'!BL291&lt;&gt;1,'הזנה לתנאי סף'!Q291&lt;&gt;1,'הזנה לתנאי סף'!N291&lt;&gt;1),"",'הזנה לתנאי סף'!G291)</f>
        <v/>
      </c>
      <c r="G291" s="88" t="str">
        <f>IF($F291="","",'הזנה לתנאי סף'!H291)</f>
        <v/>
      </c>
      <c r="H291" s="88" t="str">
        <f>IF($F291="","",'הזנה לתנאי סף'!I291)</f>
        <v/>
      </c>
      <c r="I291" s="88" t="str">
        <f>IF($F291="","",IF(AND('הזנה לתנאי סף'!N291=0,J291&gt;0),$Q$2,'הזנה לתנאי סף'!N291))</f>
        <v/>
      </c>
      <c r="J291" s="213" t="str">
        <f>IF($F291="","",INDEX('גיליון עזר לתחום תמיכה ג'!$H$31:$H$330,MATCH(E291,'גיליון עזר לתחום תמיכה ג'!$C$31:$C$330,0)))</f>
        <v/>
      </c>
      <c r="K291" s="213" t="str">
        <f>IF(OR(F291="",J291=""),"",IF(AND(J291&gt;0,I291=1),J291*'פרמטרים לקריטריונים'!$C$64,$Q$2))</f>
        <v/>
      </c>
      <c r="L291" s="227" t="str">
        <f>IF(OR(F291="",J291=""),"",IF(J291&gt;0,'תחום תמיכה ב'!AC291/SUMIFS('תחום תמיכה ב'!$AC$31:$AC$500,'תחום תמיכה ב'!$E$31:$E$500,E291,'תחום תמיכה ב'!$S$31:$S$500,"=1"),0))</f>
        <v/>
      </c>
      <c r="M291" s="213" t="str">
        <f t="shared" si="17"/>
        <v/>
      </c>
      <c r="N291" s="227" t="str">
        <f t="shared" si="18"/>
        <v/>
      </c>
      <c r="O291" s="213" t="str">
        <f t="shared" si="19"/>
        <v/>
      </c>
    </row>
    <row r="292" spans="1:15" ht="15.75" x14ac:dyDescent="0.2">
      <c r="A292" s="206" t="str">
        <f t="shared" si="16"/>
        <v/>
      </c>
      <c r="B292" s="88" t="str">
        <f>IF($F292="","",'הזנה לתנאי סף'!C292)</f>
        <v/>
      </c>
      <c r="C292" s="88" t="str">
        <f>IF($F292="","",'הזנה לתנאי סף'!D292)</f>
        <v/>
      </c>
      <c r="D292" s="88" t="str">
        <f>IF($F292="","",'הזנה לתנאי סף'!E292)</f>
        <v/>
      </c>
      <c r="E292" s="88" t="str">
        <f>IF($F292="","",'הזנה לתנאי סף'!F292)</f>
        <v/>
      </c>
      <c r="F292" s="88" t="str">
        <f>IF(OR('הזנה לתנאי סף'!G292="",'הזנה לתנאי סף'!BL292&lt;&gt;1,'הזנה לתנאי סף'!Q292&lt;&gt;1,'הזנה לתנאי סף'!N292&lt;&gt;1),"",'הזנה לתנאי סף'!G292)</f>
        <v/>
      </c>
      <c r="G292" s="88" t="str">
        <f>IF($F292="","",'הזנה לתנאי סף'!H292)</f>
        <v/>
      </c>
      <c r="H292" s="88" t="str">
        <f>IF($F292="","",'הזנה לתנאי סף'!I292)</f>
        <v/>
      </c>
      <c r="I292" s="88" t="str">
        <f>IF($F292="","",IF(AND('הזנה לתנאי סף'!N292=0,J292&gt;0),$Q$2,'הזנה לתנאי סף'!N292))</f>
        <v/>
      </c>
      <c r="J292" s="213" t="str">
        <f>IF($F292="","",INDEX('גיליון עזר לתחום תמיכה ג'!$H$31:$H$330,MATCH(E292,'גיליון עזר לתחום תמיכה ג'!$C$31:$C$330,0)))</f>
        <v/>
      </c>
      <c r="K292" s="213" t="str">
        <f>IF(OR(F292="",J292=""),"",IF(AND(J292&gt;0,I292=1),J292*'פרמטרים לקריטריונים'!$C$64,$Q$2))</f>
        <v/>
      </c>
      <c r="L292" s="227" t="str">
        <f>IF(OR(F292="",J292=""),"",IF(J292&gt;0,'תחום תמיכה ב'!AC292/SUMIFS('תחום תמיכה ב'!$AC$31:$AC$500,'תחום תמיכה ב'!$E$31:$E$500,E292,'תחום תמיכה ב'!$S$31:$S$500,"=1"),0))</f>
        <v/>
      </c>
      <c r="M292" s="213" t="str">
        <f t="shared" si="17"/>
        <v/>
      </c>
      <c r="N292" s="227" t="str">
        <f t="shared" si="18"/>
        <v/>
      </c>
      <c r="O292" s="213" t="str">
        <f t="shared" si="19"/>
        <v/>
      </c>
    </row>
    <row r="293" spans="1:15" ht="15.75" x14ac:dyDescent="0.2">
      <c r="A293" s="206" t="str">
        <f t="shared" si="16"/>
        <v/>
      </c>
      <c r="B293" s="88" t="str">
        <f>IF($F293="","",'הזנה לתנאי סף'!C293)</f>
        <v/>
      </c>
      <c r="C293" s="88" t="str">
        <f>IF($F293="","",'הזנה לתנאי סף'!D293)</f>
        <v/>
      </c>
      <c r="D293" s="88" t="str">
        <f>IF($F293="","",'הזנה לתנאי סף'!E293)</f>
        <v/>
      </c>
      <c r="E293" s="88" t="str">
        <f>IF($F293="","",'הזנה לתנאי סף'!F293)</f>
        <v/>
      </c>
      <c r="F293" s="88" t="str">
        <f>IF(OR('הזנה לתנאי סף'!G293="",'הזנה לתנאי סף'!BL293&lt;&gt;1,'הזנה לתנאי סף'!Q293&lt;&gt;1,'הזנה לתנאי סף'!N293&lt;&gt;1),"",'הזנה לתנאי סף'!G293)</f>
        <v/>
      </c>
      <c r="G293" s="88" t="str">
        <f>IF($F293="","",'הזנה לתנאי סף'!H293)</f>
        <v/>
      </c>
      <c r="H293" s="88" t="str">
        <f>IF($F293="","",'הזנה לתנאי סף'!I293)</f>
        <v/>
      </c>
      <c r="I293" s="88" t="str">
        <f>IF($F293="","",IF(AND('הזנה לתנאי סף'!N293=0,J293&gt;0),$Q$2,'הזנה לתנאי סף'!N293))</f>
        <v/>
      </c>
      <c r="J293" s="213" t="str">
        <f>IF($F293="","",INDEX('גיליון עזר לתחום תמיכה ג'!$H$31:$H$330,MATCH(E293,'גיליון עזר לתחום תמיכה ג'!$C$31:$C$330,0)))</f>
        <v/>
      </c>
      <c r="K293" s="213" t="str">
        <f>IF(OR(F293="",J293=""),"",IF(AND(J293&gt;0,I293=1),J293*'פרמטרים לקריטריונים'!$C$64,$Q$2))</f>
        <v/>
      </c>
      <c r="L293" s="227" t="str">
        <f>IF(OR(F293="",J293=""),"",IF(J293&gt;0,'תחום תמיכה ב'!AC293/SUMIFS('תחום תמיכה ב'!$AC$31:$AC$500,'תחום תמיכה ב'!$E$31:$E$500,E293,'תחום תמיכה ב'!$S$31:$S$500,"=1"),0))</f>
        <v/>
      </c>
      <c r="M293" s="213" t="str">
        <f t="shared" si="17"/>
        <v/>
      </c>
      <c r="N293" s="227" t="str">
        <f t="shared" si="18"/>
        <v/>
      </c>
      <c r="O293" s="213" t="str">
        <f t="shared" si="19"/>
        <v/>
      </c>
    </row>
    <row r="294" spans="1:15" ht="15.75" x14ac:dyDescent="0.2">
      <c r="A294" s="206" t="str">
        <f t="shared" si="16"/>
        <v/>
      </c>
      <c r="B294" s="88" t="str">
        <f>IF($F294="","",'הזנה לתנאי סף'!C294)</f>
        <v/>
      </c>
      <c r="C294" s="88" t="str">
        <f>IF($F294="","",'הזנה לתנאי סף'!D294)</f>
        <v/>
      </c>
      <c r="D294" s="88" t="str">
        <f>IF($F294="","",'הזנה לתנאי סף'!E294)</f>
        <v/>
      </c>
      <c r="E294" s="88" t="str">
        <f>IF($F294="","",'הזנה לתנאי סף'!F294)</f>
        <v/>
      </c>
      <c r="F294" s="88" t="str">
        <f>IF(OR('הזנה לתנאי סף'!G294="",'הזנה לתנאי סף'!BL294&lt;&gt;1,'הזנה לתנאי סף'!Q294&lt;&gt;1,'הזנה לתנאי סף'!N294&lt;&gt;1),"",'הזנה לתנאי סף'!G294)</f>
        <v/>
      </c>
      <c r="G294" s="88" t="str">
        <f>IF($F294="","",'הזנה לתנאי סף'!H294)</f>
        <v/>
      </c>
      <c r="H294" s="88" t="str">
        <f>IF($F294="","",'הזנה לתנאי סף'!I294)</f>
        <v/>
      </c>
      <c r="I294" s="88" t="str">
        <f>IF($F294="","",IF(AND('הזנה לתנאי סף'!N294=0,J294&gt;0),$Q$2,'הזנה לתנאי סף'!N294))</f>
        <v/>
      </c>
      <c r="J294" s="213" t="str">
        <f>IF($F294="","",INDEX('גיליון עזר לתחום תמיכה ג'!$H$31:$H$330,MATCH(E294,'גיליון עזר לתחום תמיכה ג'!$C$31:$C$330,0)))</f>
        <v/>
      </c>
      <c r="K294" s="213" t="str">
        <f>IF(OR(F294="",J294=""),"",IF(AND(J294&gt;0,I294=1),J294*'פרמטרים לקריטריונים'!$C$64,$Q$2))</f>
        <v/>
      </c>
      <c r="L294" s="227" t="str">
        <f>IF(OR(F294="",J294=""),"",IF(J294&gt;0,'תחום תמיכה ב'!AC294/SUMIFS('תחום תמיכה ב'!$AC$31:$AC$500,'תחום תמיכה ב'!$E$31:$E$500,E294,'תחום תמיכה ב'!$S$31:$S$500,"=1"),0))</f>
        <v/>
      </c>
      <c r="M294" s="213" t="str">
        <f t="shared" si="17"/>
        <v/>
      </c>
      <c r="N294" s="227" t="str">
        <f t="shared" si="18"/>
        <v/>
      </c>
      <c r="O294" s="213" t="str">
        <f t="shared" si="19"/>
        <v/>
      </c>
    </row>
    <row r="295" spans="1:15" ht="15.75" x14ac:dyDescent="0.2">
      <c r="A295" s="206" t="str">
        <f t="shared" si="16"/>
        <v/>
      </c>
      <c r="B295" s="88" t="str">
        <f>IF($F295="","",'הזנה לתנאי סף'!C295)</f>
        <v/>
      </c>
      <c r="C295" s="88" t="str">
        <f>IF($F295="","",'הזנה לתנאי סף'!D295)</f>
        <v/>
      </c>
      <c r="D295" s="88" t="str">
        <f>IF($F295="","",'הזנה לתנאי סף'!E295)</f>
        <v/>
      </c>
      <c r="E295" s="88" t="str">
        <f>IF($F295="","",'הזנה לתנאי סף'!F295)</f>
        <v/>
      </c>
      <c r="F295" s="88" t="str">
        <f>IF(OR('הזנה לתנאי סף'!G295="",'הזנה לתנאי סף'!BL295&lt;&gt;1,'הזנה לתנאי סף'!Q295&lt;&gt;1,'הזנה לתנאי סף'!N295&lt;&gt;1),"",'הזנה לתנאי סף'!G295)</f>
        <v/>
      </c>
      <c r="G295" s="88" t="str">
        <f>IF($F295="","",'הזנה לתנאי סף'!H295)</f>
        <v/>
      </c>
      <c r="H295" s="88" t="str">
        <f>IF($F295="","",'הזנה לתנאי סף'!I295)</f>
        <v/>
      </c>
      <c r="I295" s="88" t="str">
        <f>IF($F295="","",IF(AND('הזנה לתנאי סף'!N295=0,J295&gt;0),$Q$2,'הזנה לתנאי סף'!N295))</f>
        <v/>
      </c>
      <c r="J295" s="213" t="str">
        <f>IF($F295="","",INDEX('גיליון עזר לתחום תמיכה ג'!$H$31:$H$330,MATCH(E295,'גיליון עזר לתחום תמיכה ג'!$C$31:$C$330,0)))</f>
        <v/>
      </c>
      <c r="K295" s="213" t="str">
        <f>IF(OR(F295="",J295=""),"",IF(AND(J295&gt;0,I295=1),J295*'פרמטרים לקריטריונים'!$C$64,$Q$2))</f>
        <v/>
      </c>
      <c r="L295" s="227" t="str">
        <f>IF(OR(F295="",J295=""),"",IF(J295&gt;0,'תחום תמיכה ב'!AC295/SUMIFS('תחום תמיכה ב'!$AC$31:$AC$500,'תחום תמיכה ב'!$E$31:$E$500,E295,'תחום תמיכה ב'!$S$31:$S$500,"=1"),0))</f>
        <v/>
      </c>
      <c r="M295" s="213" t="str">
        <f t="shared" si="17"/>
        <v/>
      </c>
      <c r="N295" s="227" t="str">
        <f t="shared" si="18"/>
        <v/>
      </c>
      <c r="O295" s="213" t="str">
        <f t="shared" si="19"/>
        <v/>
      </c>
    </row>
    <row r="296" spans="1:15" ht="15.75" x14ac:dyDescent="0.2">
      <c r="A296" s="206" t="str">
        <f t="shared" si="16"/>
        <v/>
      </c>
      <c r="B296" s="88" t="str">
        <f>IF($F296="","",'הזנה לתנאי סף'!C296)</f>
        <v/>
      </c>
      <c r="C296" s="88" t="str">
        <f>IF($F296="","",'הזנה לתנאי סף'!D296)</f>
        <v/>
      </c>
      <c r="D296" s="88" t="str">
        <f>IF($F296="","",'הזנה לתנאי סף'!E296)</f>
        <v/>
      </c>
      <c r="E296" s="88" t="str">
        <f>IF($F296="","",'הזנה לתנאי סף'!F296)</f>
        <v/>
      </c>
      <c r="F296" s="88" t="str">
        <f>IF(OR('הזנה לתנאי סף'!G296="",'הזנה לתנאי סף'!BL296&lt;&gt;1,'הזנה לתנאי סף'!Q296&lt;&gt;1,'הזנה לתנאי סף'!N296&lt;&gt;1),"",'הזנה לתנאי סף'!G296)</f>
        <v/>
      </c>
      <c r="G296" s="88" t="str">
        <f>IF($F296="","",'הזנה לתנאי סף'!H296)</f>
        <v/>
      </c>
      <c r="H296" s="88" t="str">
        <f>IF($F296="","",'הזנה לתנאי סף'!I296)</f>
        <v/>
      </c>
      <c r="I296" s="88" t="str">
        <f>IF($F296="","",IF(AND('הזנה לתנאי סף'!N296=0,J296&gt;0),$Q$2,'הזנה לתנאי סף'!N296))</f>
        <v/>
      </c>
      <c r="J296" s="213" t="str">
        <f>IF($F296="","",INDEX('גיליון עזר לתחום תמיכה ג'!$H$31:$H$330,MATCH(E296,'גיליון עזר לתחום תמיכה ג'!$C$31:$C$330,0)))</f>
        <v/>
      </c>
      <c r="K296" s="213" t="str">
        <f>IF(OR(F296="",J296=""),"",IF(AND(J296&gt;0,I296=1),J296*'פרמטרים לקריטריונים'!$C$64,$Q$2))</f>
        <v/>
      </c>
      <c r="L296" s="227" t="str">
        <f>IF(OR(F296="",J296=""),"",IF(J296&gt;0,'תחום תמיכה ב'!AC296/SUMIFS('תחום תמיכה ב'!$AC$31:$AC$500,'תחום תמיכה ב'!$E$31:$E$500,E296,'תחום תמיכה ב'!$S$31:$S$500,"=1"),0))</f>
        <v/>
      </c>
      <c r="M296" s="213" t="str">
        <f t="shared" si="17"/>
        <v/>
      </c>
      <c r="N296" s="227" t="str">
        <f t="shared" si="18"/>
        <v/>
      </c>
      <c r="O296" s="213" t="str">
        <f t="shared" si="19"/>
        <v/>
      </c>
    </row>
    <row r="297" spans="1:15" ht="15.75" x14ac:dyDescent="0.2">
      <c r="A297" s="206" t="str">
        <f t="shared" si="16"/>
        <v/>
      </c>
      <c r="B297" s="88" t="str">
        <f>IF($F297="","",'הזנה לתנאי סף'!C297)</f>
        <v/>
      </c>
      <c r="C297" s="88" t="str">
        <f>IF($F297="","",'הזנה לתנאי סף'!D297)</f>
        <v/>
      </c>
      <c r="D297" s="88" t="str">
        <f>IF($F297="","",'הזנה לתנאי סף'!E297)</f>
        <v/>
      </c>
      <c r="E297" s="88" t="str">
        <f>IF($F297="","",'הזנה לתנאי סף'!F297)</f>
        <v/>
      </c>
      <c r="F297" s="88" t="str">
        <f>IF(OR('הזנה לתנאי סף'!G297="",'הזנה לתנאי סף'!BL297&lt;&gt;1,'הזנה לתנאי סף'!Q297&lt;&gt;1,'הזנה לתנאי סף'!N297&lt;&gt;1),"",'הזנה לתנאי סף'!G297)</f>
        <v/>
      </c>
      <c r="G297" s="88" t="str">
        <f>IF($F297="","",'הזנה לתנאי סף'!H297)</f>
        <v/>
      </c>
      <c r="H297" s="88" t="str">
        <f>IF($F297="","",'הזנה לתנאי סף'!I297)</f>
        <v/>
      </c>
      <c r="I297" s="88" t="str">
        <f>IF($F297="","",IF(AND('הזנה לתנאי סף'!N297=0,J297&gt;0),$Q$2,'הזנה לתנאי סף'!N297))</f>
        <v/>
      </c>
      <c r="J297" s="213" t="str">
        <f>IF($F297="","",INDEX('גיליון עזר לתחום תמיכה ג'!$H$31:$H$330,MATCH(E297,'גיליון עזר לתחום תמיכה ג'!$C$31:$C$330,0)))</f>
        <v/>
      </c>
      <c r="K297" s="213" t="str">
        <f>IF(OR(F297="",J297=""),"",IF(AND(J297&gt;0,I297=1),J297*'פרמטרים לקריטריונים'!$C$64,$Q$2))</f>
        <v/>
      </c>
      <c r="L297" s="227" t="str">
        <f>IF(OR(F297="",J297=""),"",IF(J297&gt;0,'תחום תמיכה ב'!AC297/SUMIFS('תחום תמיכה ב'!$AC$31:$AC$500,'תחום תמיכה ב'!$E$31:$E$500,E297,'תחום תמיכה ב'!$S$31:$S$500,"=1"),0))</f>
        <v/>
      </c>
      <c r="M297" s="213" t="str">
        <f t="shared" si="17"/>
        <v/>
      </c>
      <c r="N297" s="227" t="str">
        <f t="shared" si="18"/>
        <v/>
      </c>
      <c r="O297" s="213" t="str">
        <f t="shared" si="19"/>
        <v/>
      </c>
    </row>
    <row r="298" spans="1:15" ht="15.75" x14ac:dyDescent="0.2">
      <c r="A298" s="206" t="str">
        <f t="shared" si="16"/>
        <v/>
      </c>
      <c r="B298" s="88" t="str">
        <f>IF($F298="","",'הזנה לתנאי סף'!C298)</f>
        <v/>
      </c>
      <c r="C298" s="88" t="str">
        <f>IF($F298="","",'הזנה לתנאי סף'!D298)</f>
        <v/>
      </c>
      <c r="D298" s="88" t="str">
        <f>IF($F298="","",'הזנה לתנאי סף'!E298)</f>
        <v/>
      </c>
      <c r="E298" s="88" t="str">
        <f>IF($F298="","",'הזנה לתנאי סף'!F298)</f>
        <v/>
      </c>
      <c r="F298" s="88" t="str">
        <f>IF(OR('הזנה לתנאי סף'!G298="",'הזנה לתנאי סף'!BL298&lt;&gt;1,'הזנה לתנאי סף'!Q298&lt;&gt;1,'הזנה לתנאי סף'!N298&lt;&gt;1),"",'הזנה לתנאי סף'!G298)</f>
        <v/>
      </c>
      <c r="G298" s="88" t="str">
        <f>IF($F298="","",'הזנה לתנאי סף'!H298)</f>
        <v/>
      </c>
      <c r="H298" s="88" t="str">
        <f>IF($F298="","",'הזנה לתנאי סף'!I298)</f>
        <v/>
      </c>
      <c r="I298" s="88" t="str">
        <f>IF($F298="","",IF(AND('הזנה לתנאי סף'!N298=0,J298&gt;0),$Q$2,'הזנה לתנאי סף'!N298))</f>
        <v/>
      </c>
      <c r="J298" s="213" t="str">
        <f>IF($F298="","",INDEX('גיליון עזר לתחום תמיכה ג'!$H$31:$H$330,MATCH(E298,'גיליון עזר לתחום תמיכה ג'!$C$31:$C$330,0)))</f>
        <v/>
      </c>
      <c r="K298" s="213" t="str">
        <f>IF(OR(F298="",J298=""),"",IF(AND(J298&gt;0,I298=1),J298*'פרמטרים לקריטריונים'!$C$64,$Q$2))</f>
        <v/>
      </c>
      <c r="L298" s="227" t="str">
        <f>IF(OR(F298="",J298=""),"",IF(J298&gt;0,'תחום תמיכה ב'!AC298/SUMIFS('תחום תמיכה ב'!$AC$31:$AC$500,'תחום תמיכה ב'!$E$31:$E$500,E298,'תחום תמיכה ב'!$S$31:$S$500,"=1"),0))</f>
        <v/>
      </c>
      <c r="M298" s="213" t="str">
        <f t="shared" si="17"/>
        <v/>
      </c>
      <c r="N298" s="227" t="str">
        <f t="shared" si="18"/>
        <v/>
      </c>
      <c r="O298" s="213" t="str">
        <f t="shared" si="19"/>
        <v/>
      </c>
    </row>
    <row r="299" spans="1:15" ht="15.75" x14ac:dyDescent="0.2">
      <c r="A299" s="206" t="str">
        <f t="shared" si="16"/>
        <v/>
      </c>
      <c r="B299" s="88" t="str">
        <f>IF($F299="","",'הזנה לתנאי סף'!C299)</f>
        <v/>
      </c>
      <c r="C299" s="88" t="str">
        <f>IF($F299="","",'הזנה לתנאי סף'!D299)</f>
        <v/>
      </c>
      <c r="D299" s="88" t="str">
        <f>IF($F299="","",'הזנה לתנאי סף'!E299)</f>
        <v/>
      </c>
      <c r="E299" s="88" t="str">
        <f>IF($F299="","",'הזנה לתנאי סף'!F299)</f>
        <v/>
      </c>
      <c r="F299" s="88" t="str">
        <f>IF(OR('הזנה לתנאי סף'!G299="",'הזנה לתנאי סף'!BL299&lt;&gt;1,'הזנה לתנאי סף'!Q299&lt;&gt;1,'הזנה לתנאי סף'!N299&lt;&gt;1),"",'הזנה לתנאי סף'!G299)</f>
        <v/>
      </c>
      <c r="G299" s="88" t="str">
        <f>IF($F299="","",'הזנה לתנאי סף'!H299)</f>
        <v/>
      </c>
      <c r="H299" s="88" t="str">
        <f>IF($F299="","",'הזנה לתנאי סף'!I299)</f>
        <v/>
      </c>
      <c r="I299" s="88" t="str">
        <f>IF($F299="","",IF(AND('הזנה לתנאי סף'!N299=0,J299&gt;0),$Q$2,'הזנה לתנאי סף'!N299))</f>
        <v/>
      </c>
      <c r="J299" s="213" t="str">
        <f>IF($F299="","",INDEX('גיליון עזר לתחום תמיכה ג'!$H$31:$H$330,MATCH(E299,'גיליון עזר לתחום תמיכה ג'!$C$31:$C$330,0)))</f>
        <v/>
      </c>
      <c r="K299" s="213" t="str">
        <f>IF(OR(F299="",J299=""),"",IF(AND(J299&gt;0,I299=1),J299*'פרמטרים לקריטריונים'!$C$64,$Q$2))</f>
        <v/>
      </c>
      <c r="L299" s="227" t="str">
        <f>IF(OR(F299="",J299=""),"",IF(J299&gt;0,'תחום תמיכה ב'!AC299/SUMIFS('תחום תמיכה ב'!$AC$31:$AC$500,'תחום תמיכה ב'!$E$31:$E$500,E299,'תחום תמיכה ב'!$S$31:$S$500,"=1"),0))</f>
        <v/>
      </c>
      <c r="M299" s="213" t="str">
        <f t="shared" si="17"/>
        <v/>
      </c>
      <c r="N299" s="227" t="str">
        <f t="shared" si="18"/>
        <v/>
      </c>
      <c r="O299" s="213" t="str">
        <f t="shared" si="19"/>
        <v/>
      </c>
    </row>
    <row r="300" spans="1:15" ht="15.75" x14ac:dyDescent="0.2">
      <c r="A300" s="206" t="str">
        <f t="shared" si="16"/>
        <v/>
      </c>
      <c r="B300" s="88" t="str">
        <f>IF($F300="","",'הזנה לתנאי סף'!C300)</f>
        <v/>
      </c>
      <c r="C300" s="88" t="str">
        <f>IF($F300="","",'הזנה לתנאי סף'!D300)</f>
        <v/>
      </c>
      <c r="D300" s="88" t="str">
        <f>IF($F300="","",'הזנה לתנאי סף'!E300)</f>
        <v/>
      </c>
      <c r="E300" s="88" t="str">
        <f>IF($F300="","",'הזנה לתנאי סף'!F300)</f>
        <v/>
      </c>
      <c r="F300" s="88" t="str">
        <f>IF(OR('הזנה לתנאי סף'!G300="",'הזנה לתנאי סף'!BL300&lt;&gt;1,'הזנה לתנאי סף'!Q300&lt;&gt;1,'הזנה לתנאי סף'!N300&lt;&gt;1),"",'הזנה לתנאי סף'!G300)</f>
        <v/>
      </c>
      <c r="G300" s="88" t="str">
        <f>IF($F300="","",'הזנה לתנאי סף'!H300)</f>
        <v/>
      </c>
      <c r="H300" s="88" t="str">
        <f>IF($F300="","",'הזנה לתנאי סף'!I300)</f>
        <v/>
      </c>
      <c r="I300" s="88" t="str">
        <f>IF($F300="","",IF(AND('הזנה לתנאי סף'!N300=0,J300&gt;0),$Q$2,'הזנה לתנאי סף'!N300))</f>
        <v/>
      </c>
      <c r="J300" s="213" t="str">
        <f>IF($F300="","",INDEX('גיליון עזר לתחום תמיכה ג'!$H$31:$H$330,MATCH(E300,'גיליון עזר לתחום תמיכה ג'!$C$31:$C$330,0)))</f>
        <v/>
      </c>
      <c r="K300" s="213" t="str">
        <f>IF(OR(F300="",J300=""),"",IF(AND(J300&gt;0,I300=1),J300*'פרמטרים לקריטריונים'!$C$64,$Q$2))</f>
        <v/>
      </c>
      <c r="L300" s="227" t="str">
        <f>IF(OR(F300="",J300=""),"",IF(J300&gt;0,'תחום תמיכה ב'!AC300/SUMIFS('תחום תמיכה ב'!$AC$31:$AC$500,'תחום תמיכה ב'!$E$31:$E$500,E300,'תחום תמיכה ב'!$S$31:$S$500,"=1"),0))</f>
        <v/>
      </c>
      <c r="M300" s="213" t="str">
        <f t="shared" si="17"/>
        <v/>
      </c>
      <c r="N300" s="227" t="str">
        <f t="shared" si="18"/>
        <v/>
      </c>
      <c r="O300" s="213" t="str">
        <f t="shared" si="19"/>
        <v/>
      </c>
    </row>
    <row r="301" spans="1:15" ht="15.75" x14ac:dyDescent="0.2">
      <c r="A301" s="206" t="str">
        <f t="shared" si="16"/>
        <v/>
      </c>
      <c r="B301" s="88" t="str">
        <f>IF($F301="","",'הזנה לתנאי סף'!C301)</f>
        <v/>
      </c>
      <c r="C301" s="88" t="str">
        <f>IF($F301="","",'הזנה לתנאי סף'!D301)</f>
        <v/>
      </c>
      <c r="D301" s="88" t="str">
        <f>IF($F301="","",'הזנה לתנאי סף'!E301)</f>
        <v/>
      </c>
      <c r="E301" s="88" t="str">
        <f>IF($F301="","",'הזנה לתנאי סף'!F301)</f>
        <v/>
      </c>
      <c r="F301" s="88" t="str">
        <f>IF(OR('הזנה לתנאי סף'!G301="",'הזנה לתנאי סף'!BL301&lt;&gt;1,'הזנה לתנאי סף'!Q301&lt;&gt;1,'הזנה לתנאי סף'!N301&lt;&gt;1),"",'הזנה לתנאי סף'!G301)</f>
        <v/>
      </c>
      <c r="G301" s="88" t="str">
        <f>IF($F301="","",'הזנה לתנאי סף'!H301)</f>
        <v/>
      </c>
      <c r="H301" s="88" t="str">
        <f>IF($F301="","",'הזנה לתנאי סף'!I301)</f>
        <v/>
      </c>
      <c r="I301" s="88" t="str">
        <f>IF($F301="","",IF(AND('הזנה לתנאי סף'!N301=0,J301&gt;0),$Q$2,'הזנה לתנאי סף'!N301))</f>
        <v/>
      </c>
      <c r="J301" s="213" t="str">
        <f>IF($F301="","",INDEX('גיליון עזר לתחום תמיכה ג'!$H$31:$H$330,MATCH(E301,'גיליון עזר לתחום תמיכה ג'!$C$31:$C$330,0)))</f>
        <v/>
      </c>
      <c r="K301" s="213" t="str">
        <f>IF(OR(F301="",J301=""),"",IF(AND(J301&gt;0,I301=1),J301*'פרמטרים לקריטריונים'!$C$64,$Q$2))</f>
        <v/>
      </c>
      <c r="L301" s="227" t="str">
        <f>IF(OR(F301="",J301=""),"",IF(J301&gt;0,'תחום תמיכה ב'!AC301/SUMIFS('תחום תמיכה ב'!$AC$31:$AC$500,'תחום תמיכה ב'!$E$31:$E$500,E301,'תחום תמיכה ב'!$S$31:$S$500,"=1"),0))</f>
        <v/>
      </c>
      <c r="M301" s="213" t="str">
        <f t="shared" si="17"/>
        <v/>
      </c>
      <c r="N301" s="227" t="str">
        <f t="shared" si="18"/>
        <v/>
      </c>
      <c r="O301" s="213" t="str">
        <f t="shared" si="19"/>
        <v/>
      </c>
    </row>
    <row r="302" spans="1:15" ht="15.75" x14ac:dyDescent="0.2">
      <c r="A302" s="206" t="str">
        <f t="shared" si="16"/>
        <v/>
      </c>
      <c r="B302" s="88" t="str">
        <f>IF($F302="","",'הזנה לתנאי סף'!C302)</f>
        <v/>
      </c>
      <c r="C302" s="88" t="str">
        <f>IF($F302="","",'הזנה לתנאי סף'!D302)</f>
        <v/>
      </c>
      <c r="D302" s="88" t="str">
        <f>IF($F302="","",'הזנה לתנאי סף'!E302)</f>
        <v/>
      </c>
      <c r="E302" s="88" t="str">
        <f>IF($F302="","",'הזנה לתנאי סף'!F302)</f>
        <v/>
      </c>
      <c r="F302" s="88" t="str">
        <f>IF(OR('הזנה לתנאי סף'!G302="",'הזנה לתנאי סף'!BL302&lt;&gt;1,'הזנה לתנאי סף'!Q302&lt;&gt;1,'הזנה לתנאי סף'!N302&lt;&gt;1),"",'הזנה לתנאי סף'!G302)</f>
        <v/>
      </c>
      <c r="G302" s="88" t="str">
        <f>IF($F302="","",'הזנה לתנאי סף'!H302)</f>
        <v/>
      </c>
      <c r="H302" s="88" t="str">
        <f>IF($F302="","",'הזנה לתנאי סף'!I302)</f>
        <v/>
      </c>
      <c r="I302" s="88" t="str">
        <f>IF($F302="","",IF(AND('הזנה לתנאי סף'!N302=0,J302&gt;0),$Q$2,'הזנה לתנאי סף'!N302))</f>
        <v/>
      </c>
      <c r="J302" s="213" t="str">
        <f>IF($F302="","",INDEX('גיליון עזר לתחום תמיכה ג'!$H$31:$H$330,MATCH(E302,'גיליון עזר לתחום תמיכה ג'!$C$31:$C$330,0)))</f>
        <v/>
      </c>
      <c r="K302" s="213" t="str">
        <f>IF(OR(F302="",J302=""),"",IF(AND(J302&gt;0,I302=1),J302*'פרמטרים לקריטריונים'!$C$64,$Q$2))</f>
        <v/>
      </c>
      <c r="L302" s="227" t="str">
        <f>IF(OR(F302="",J302=""),"",IF(J302&gt;0,'תחום תמיכה ב'!AC302/SUMIFS('תחום תמיכה ב'!$AC$31:$AC$500,'תחום תמיכה ב'!$E$31:$E$500,E302,'תחום תמיכה ב'!$S$31:$S$500,"=1"),0))</f>
        <v/>
      </c>
      <c r="M302" s="213" t="str">
        <f t="shared" si="17"/>
        <v/>
      </c>
      <c r="N302" s="227" t="str">
        <f t="shared" si="18"/>
        <v/>
      </c>
      <c r="O302" s="213" t="str">
        <f t="shared" si="19"/>
        <v/>
      </c>
    </row>
    <row r="303" spans="1:15" ht="15.75" x14ac:dyDescent="0.2">
      <c r="A303" s="206" t="str">
        <f t="shared" si="16"/>
        <v/>
      </c>
      <c r="B303" s="88" t="str">
        <f>IF($F303="","",'הזנה לתנאי סף'!C303)</f>
        <v/>
      </c>
      <c r="C303" s="88" t="str">
        <f>IF($F303="","",'הזנה לתנאי סף'!D303)</f>
        <v/>
      </c>
      <c r="D303" s="88" t="str">
        <f>IF($F303="","",'הזנה לתנאי סף'!E303)</f>
        <v/>
      </c>
      <c r="E303" s="88" t="str">
        <f>IF($F303="","",'הזנה לתנאי סף'!F303)</f>
        <v/>
      </c>
      <c r="F303" s="88" t="str">
        <f>IF(OR('הזנה לתנאי סף'!G303="",'הזנה לתנאי סף'!BL303&lt;&gt;1,'הזנה לתנאי סף'!Q303&lt;&gt;1,'הזנה לתנאי סף'!N303&lt;&gt;1),"",'הזנה לתנאי סף'!G303)</f>
        <v/>
      </c>
      <c r="G303" s="88" t="str">
        <f>IF($F303="","",'הזנה לתנאי סף'!H303)</f>
        <v/>
      </c>
      <c r="H303" s="88" t="str">
        <f>IF($F303="","",'הזנה לתנאי סף'!I303)</f>
        <v/>
      </c>
      <c r="I303" s="88" t="str">
        <f>IF($F303="","",IF(AND('הזנה לתנאי סף'!N303=0,J303&gt;0),$Q$2,'הזנה לתנאי סף'!N303))</f>
        <v/>
      </c>
      <c r="J303" s="213" t="str">
        <f>IF($F303="","",INDEX('גיליון עזר לתחום תמיכה ג'!$H$31:$H$330,MATCH(E303,'גיליון עזר לתחום תמיכה ג'!$C$31:$C$330,0)))</f>
        <v/>
      </c>
      <c r="K303" s="213" t="str">
        <f>IF(OR(F303="",J303=""),"",IF(AND(J303&gt;0,I303=1),J303*'פרמטרים לקריטריונים'!$C$64,$Q$2))</f>
        <v/>
      </c>
      <c r="L303" s="227" t="str">
        <f>IF(OR(F303="",J303=""),"",IF(J303&gt;0,'תחום תמיכה ב'!AC303/SUMIFS('תחום תמיכה ב'!$AC$31:$AC$500,'תחום תמיכה ב'!$E$31:$E$500,E303,'תחום תמיכה ב'!$S$31:$S$500,"=1"),0))</f>
        <v/>
      </c>
      <c r="M303" s="213" t="str">
        <f t="shared" si="17"/>
        <v/>
      </c>
      <c r="N303" s="227" t="str">
        <f t="shared" si="18"/>
        <v/>
      </c>
      <c r="O303" s="213" t="str">
        <f t="shared" si="19"/>
        <v/>
      </c>
    </row>
    <row r="304" spans="1:15" ht="15.75" x14ac:dyDescent="0.2">
      <c r="A304" s="206" t="str">
        <f t="shared" si="16"/>
        <v/>
      </c>
      <c r="B304" s="88" t="str">
        <f>IF($F304="","",'הזנה לתנאי סף'!C304)</f>
        <v/>
      </c>
      <c r="C304" s="88" t="str">
        <f>IF($F304="","",'הזנה לתנאי סף'!D304)</f>
        <v/>
      </c>
      <c r="D304" s="88" t="str">
        <f>IF($F304="","",'הזנה לתנאי סף'!E304)</f>
        <v/>
      </c>
      <c r="E304" s="88" t="str">
        <f>IF($F304="","",'הזנה לתנאי סף'!F304)</f>
        <v/>
      </c>
      <c r="F304" s="88" t="str">
        <f>IF(OR('הזנה לתנאי סף'!G304="",'הזנה לתנאי סף'!BL304&lt;&gt;1,'הזנה לתנאי סף'!Q304&lt;&gt;1,'הזנה לתנאי סף'!N304&lt;&gt;1),"",'הזנה לתנאי סף'!G304)</f>
        <v/>
      </c>
      <c r="G304" s="88" t="str">
        <f>IF($F304="","",'הזנה לתנאי סף'!H304)</f>
        <v/>
      </c>
      <c r="H304" s="88" t="str">
        <f>IF($F304="","",'הזנה לתנאי סף'!I304)</f>
        <v/>
      </c>
      <c r="I304" s="88" t="str">
        <f>IF($F304="","",IF(AND('הזנה לתנאי סף'!N304=0,J304&gt;0),$Q$2,'הזנה לתנאי סף'!N304))</f>
        <v/>
      </c>
      <c r="J304" s="213" t="str">
        <f>IF($F304="","",INDEX('גיליון עזר לתחום תמיכה ג'!$H$31:$H$330,MATCH(E304,'גיליון עזר לתחום תמיכה ג'!$C$31:$C$330,0)))</f>
        <v/>
      </c>
      <c r="K304" s="213" t="str">
        <f>IF(OR(F304="",J304=""),"",IF(AND(J304&gt;0,I304=1),J304*'פרמטרים לקריטריונים'!$C$64,$Q$2))</f>
        <v/>
      </c>
      <c r="L304" s="227" t="str">
        <f>IF(OR(F304="",J304=""),"",IF(J304&gt;0,'תחום תמיכה ב'!AC304/SUMIFS('תחום תמיכה ב'!$AC$31:$AC$500,'תחום תמיכה ב'!$E$31:$E$500,E304,'תחום תמיכה ב'!$S$31:$S$500,"=1"),0))</f>
        <v/>
      </c>
      <c r="M304" s="213" t="str">
        <f t="shared" si="17"/>
        <v/>
      </c>
      <c r="N304" s="227" t="str">
        <f t="shared" si="18"/>
        <v/>
      </c>
      <c r="O304" s="213" t="str">
        <f t="shared" si="19"/>
        <v/>
      </c>
    </row>
    <row r="305" spans="1:15" ht="15.75" x14ac:dyDescent="0.2">
      <c r="A305" s="206" t="str">
        <f t="shared" si="16"/>
        <v/>
      </c>
      <c r="B305" s="88" t="str">
        <f>IF($F305="","",'הזנה לתנאי סף'!C305)</f>
        <v/>
      </c>
      <c r="C305" s="88" t="str">
        <f>IF($F305="","",'הזנה לתנאי סף'!D305)</f>
        <v/>
      </c>
      <c r="D305" s="88" t="str">
        <f>IF($F305="","",'הזנה לתנאי סף'!E305)</f>
        <v/>
      </c>
      <c r="E305" s="88" t="str">
        <f>IF($F305="","",'הזנה לתנאי סף'!F305)</f>
        <v/>
      </c>
      <c r="F305" s="88" t="str">
        <f>IF(OR('הזנה לתנאי סף'!G305="",'הזנה לתנאי סף'!BL305&lt;&gt;1,'הזנה לתנאי סף'!Q305&lt;&gt;1,'הזנה לתנאי סף'!N305&lt;&gt;1),"",'הזנה לתנאי סף'!G305)</f>
        <v/>
      </c>
      <c r="G305" s="88" t="str">
        <f>IF($F305="","",'הזנה לתנאי סף'!H305)</f>
        <v/>
      </c>
      <c r="H305" s="88" t="str">
        <f>IF($F305="","",'הזנה לתנאי סף'!I305)</f>
        <v/>
      </c>
      <c r="I305" s="88" t="str">
        <f>IF($F305="","",IF(AND('הזנה לתנאי סף'!N305=0,J305&gt;0),$Q$2,'הזנה לתנאי סף'!N305))</f>
        <v/>
      </c>
      <c r="J305" s="213" t="str">
        <f>IF($F305="","",INDEX('גיליון עזר לתחום תמיכה ג'!$H$31:$H$330,MATCH(E305,'גיליון עזר לתחום תמיכה ג'!$C$31:$C$330,0)))</f>
        <v/>
      </c>
      <c r="K305" s="213" t="str">
        <f>IF(OR(F305="",J305=""),"",IF(AND(J305&gt;0,I305=1),J305*'פרמטרים לקריטריונים'!$C$64,$Q$2))</f>
        <v/>
      </c>
      <c r="L305" s="227" t="str">
        <f>IF(OR(F305="",J305=""),"",IF(J305&gt;0,'תחום תמיכה ב'!AC305/SUMIFS('תחום תמיכה ב'!$AC$31:$AC$500,'תחום תמיכה ב'!$E$31:$E$500,E305,'תחום תמיכה ב'!$S$31:$S$500,"=1"),0))</f>
        <v/>
      </c>
      <c r="M305" s="213" t="str">
        <f t="shared" si="17"/>
        <v/>
      </c>
      <c r="N305" s="227" t="str">
        <f t="shared" si="18"/>
        <v/>
      </c>
      <c r="O305" s="213" t="str">
        <f t="shared" si="19"/>
        <v/>
      </c>
    </row>
    <row r="306" spans="1:15" ht="15.75" x14ac:dyDescent="0.2">
      <c r="A306" s="206" t="str">
        <f t="shared" si="16"/>
        <v/>
      </c>
      <c r="B306" s="88" t="str">
        <f>IF($F306="","",'הזנה לתנאי סף'!C306)</f>
        <v/>
      </c>
      <c r="C306" s="88" t="str">
        <f>IF($F306="","",'הזנה לתנאי סף'!D306)</f>
        <v/>
      </c>
      <c r="D306" s="88" t="str">
        <f>IF($F306="","",'הזנה לתנאי סף'!E306)</f>
        <v/>
      </c>
      <c r="E306" s="88" t="str">
        <f>IF($F306="","",'הזנה לתנאי סף'!F306)</f>
        <v/>
      </c>
      <c r="F306" s="88" t="str">
        <f>IF(OR('הזנה לתנאי סף'!G306="",'הזנה לתנאי סף'!BL306&lt;&gt;1,'הזנה לתנאי סף'!Q306&lt;&gt;1,'הזנה לתנאי סף'!N306&lt;&gt;1),"",'הזנה לתנאי סף'!G306)</f>
        <v/>
      </c>
      <c r="G306" s="88" t="str">
        <f>IF($F306="","",'הזנה לתנאי סף'!H306)</f>
        <v/>
      </c>
      <c r="H306" s="88" t="str">
        <f>IF($F306="","",'הזנה לתנאי סף'!I306)</f>
        <v/>
      </c>
      <c r="I306" s="88" t="str">
        <f>IF($F306="","",IF(AND('הזנה לתנאי סף'!N306=0,J306&gt;0),$Q$2,'הזנה לתנאי סף'!N306))</f>
        <v/>
      </c>
      <c r="J306" s="213" t="str">
        <f>IF($F306="","",INDEX('גיליון עזר לתחום תמיכה ג'!$H$31:$H$330,MATCH(E306,'גיליון עזר לתחום תמיכה ג'!$C$31:$C$330,0)))</f>
        <v/>
      </c>
      <c r="K306" s="213" t="str">
        <f>IF(OR(F306="",J306=""),"",IF(AND(J306&gt;0,I306=1),J306*'פרמטרים לקריטריונים'!$C$64,$Q$2))</f>
        <v/>
      </c>
      <c r="L306" s="227" t="str">
        <f>IF(OR(F306="",J306=""),"",IF(J306&gt;0,'תחום תמיכה ב'!AC306/SUMIFS('תחום תמיכה ב'!$AC$31:$AC$500,'תחום תמיכה ב'!$E$31:$E$500,E306,'תחום תמיכה ב'!$S$31:$S$500,"=1"),0))</f>
        <v/>
      </c>
      <c r="M306" s="213" t="str">
        <f t="shared" si="17"/>
        <v/>
      </c>
      <c r="N306" s="227" t="str">
        <f t="shared" si="18"/>
        <v/>
      </c>
      <c r="O306" s="213" t="str">
        <f t="shared" si="19"/>
        <v/>
      </c>
    </row>
    <row r="307" spans="1:15" ht="15.75" x14ac:dyDescent="0.2">
      <c r="A307" s="206" t="str">
        <f t="shared" si="16"/>
        <v/>
      </c>
      <c r="B307" s="88" t="str">
        <f>IF($F307="","",'הזנה לתנאי סף'!C307)</f>
        <v/>
      </c>
      <c r="C307" s="88" t="str">
        <f>IF($F307="","",'הזנה לתנאי סף'!D307)</f>
        <v/>
      </c>
      <c r="D307" s="88" t="str">
        <f>IF($F307="","",'הזנה לתנאי סף'!E307)</f>
        <v/>
      </c>
      <c r="E307" s="88" t="str">
        <f>IF($F307="","",'הזנה לתנאי סף'!F307)</f>
        <v/>
      </c>
      <c r="F307" s="88" t="str">
        <f>IF(OR('הזנה לתנאי סף'!G307="",'הזנה לתנאי סף'!BL307&lt;&gt;1,'הזנה לתנאי סף'!Q307&lt;&gt;1,'הזנה לתנאי סף'!N307&lt;&gt;1),"",'הזנה לתנאי סף'!G307)</f>
        <v/>
      </c>
      <c r="G307" s="88" t="str">
        <f>IF($F307="","",'הזנה לתנאי סף'!H307)</f>
        <v/>
      </c>
      <c r="H307" s="88" t="str">
        <f>IF($F307="","",'הזנה לתנאי סף'!I307)</f>
        <v/>
      </c>
      <c r="I307" s="88" t="str">
        <f>IF($F307="","",IF(AND('הזנה לתנאי סף'!N307=0,J307&gt;0),$Q$2,'הזנה לתנאי סף'!N307))</f>
        <v/>
      </c>
      <c r="J307" s="213" t="str">
        <f>IF($F307="","",INDEX('גיליון עזר לתחום תמיכה ג'!$H$31:$H$330,MATCH(E307,'גיליון עזר לתחום תמיכה ג'!$C$31:$C$330,0)))</f>
        <v/>
      </c>
      <c r="K307" s="213" t="str">
        <f>IF(OR(F307="",J307=""),"",IF(AND(J307&gt;0,I307=1),J307*'פרמטרים לקריטריונים'!$C$64,$Q$2))</f>
        <v/>
      </c>
      <c r="L307" s="227" t="str">
        <f>IF(OR(F307="",J307=""),"",IF(J307&gt;0,'תחום תמיכה ב'!AC307/SUMIFS('תחום תמיכה ב'!$AC$31:$AC$500,'תחום תמיכה ב'!$E$31:$E$500,E307,'תחום תמיכה ב'!$S$31:$S$500,"=1"),0))</f>
        <v/>
      </c>
      <c r="M307" s="213" t="str">
        <f t="shared" si="17"/>
        <v/>
      </c>
      <c r="N307" s="227" t="str">
        <f t="shared" si="18"/>
        <v/>
      </c>
      <c r="O307" s="213" t="str">
        <f t="shared" si="19"/>
        <v/>
      </c>
    </row>
    <row r="308" spans="1:15" ht="15.75" x14ac:dyDescent="0.2">
      <c r="A308" s="206" t="str">
        <f t="shared" si="16"/>
        <v/>
      </c>
      <c r="B308" s="88" t="str">
        <f>IF($F308="","",'הזנה לתנאי סף'!C308)</f>
        <v/>
      </c>
      <c r="C308" s="88" t="str">
        <f>IF($F308="","",'הזנה לתנאי סף'!D308)</f>
        <v/>
      </c>
      <c r="D308" s="88" t="str">
        <f>IF($F308="","",'הזנה לתנאי סף'!E308)</f>
        <v/>
      </c>
      <c r="E308" s="88" t="str">
        <f>IF($F308="","",'הזנה לתנאי סף'!F308)</f>
        <v/>
      </c>
      <c r="F308" s="88" t="str">
        <f>IF(OR('הזנה לתנאי סף'!G308="",'הזנה לתנאי סף'!BL308&lt;&gt;1,'הזנה לתנאי סף'!Q308&lt;&gt;1,'הזנה לתנאי סף'!N308&lt;&gt;1),"",'הזנה לתנאי סף'!G308)</f>
        <v/>
      </c>
      <c r="G308" s="88" t="str">
        <f>IF($F308="","",'הזנה לתנאי סף'!H308)</f>
        <v/>
      </c>
      <c r="H308" s="88" t="str">
        <f>IF($F308="","",'הזנה לתנאי סף'!I308)</f>
        <v/>
      </c>
      <c r="I308" s="88" t="str">
        <f>IF($F308="","",IF(AND('הזנה לתנאי סף'!N308=0,J308&gt;0),$Q$2,'הזנה לתנאי סף'!N308))</f>
        <v/>
      </c>
      <c r="J308" s="213" t="str">
        <f>IF($F308="","",INDEX('גיליון עזר לתחום תמיכה ג'!$H$31:$H$330,MATCH(E308,'גיליון עזר לתחום תמיכה ג'!$C$31:$C$330,0)))</f>
        <v/>
      </c>
      <c r="K308" s="213" t="str">
        <f>IF(OR(F308="",J308=""),"",IF(AND(J308&gt;0,I308=1),J308*'פרמטרים לקריטריונים'!$C$64,$Q$2))</f>
        <v/>
      </c>
      <c r="L308" s="227" t="str">
        <f>IF(OR(F308="",J308=""),"",IF(J308&gt;0,'תחום תמיכה ב'!AC308/SUMIFS('תחום תמיכה ב'!$AC$31:$AC$500,'תחום תמיכה ב'!$E$31:$E$500,E308,'תחום תמיכה ב'!$S$31:$S$500,"=1"),0))</f>
        <v/>
      </c>
      <c r="M308" s="213" t="str">
        <f t="shared" si="17"/>
        <v/>
      </c>
      <c r="N308" s="227" t="str">
        <f t="shared" si="18"/>
        <v/>
      </c>
      <c r="O308" s="213" t="str">
        <f t="shared" si="19"/>
        <v/>
      </c>
    </row>
    <row r="309" spans="1:15" ht="15.75" x14ac:dyDescent="0.2">
      <c r="A309" s="206" t="str">
        <f t="shared" si="16"/>
        <v/>
      </c>
      <c r="B309" s="88" t="str">
        <f>IF($F309="","",'הזנה לתנאי סף'!C309)</f>
        <v/>
      </c>
      <c r="C309" s="88" t="str">
        <f>IF($F309="","",'הזנה לתנאי סף'!D309)</f>
        <v/>
      </c>
      <c r="D309" s="88" t="str">
        <f>IF($F309="","",'הזנה לתנאי סף'!E309)</f>
        <v/>
      </c>
      <c r="E309" s="88" t="str">
        <f>IF($F309="","",'הזנה לתנאי סף'!F309)</f>
        <v/>
      </c>
      <c r="F309" s="88" t="str">
        <f>IF(OR('הזנה לתנאי סף'!G309="",'הזנה לתנאי סף'!BL309&lt;&gt;1,'הזנה לתנאי סף'!Q309&lt;&gt;1,'הזנה לתנאי סף'!N309&lt;&gt;1),"",'הזנה לתנאי סף'!G309)</f>
        <v/>
      </c>
      <c r="G309" s="88" t="str">
        <f>IF($F309="","",'הזנה לתנאי סף'!H309)</f>
        <v/>
      </c>
      <c r="H309" s="88" t="str">
        <f>IF($F309="","",'הזנה לתנאי סף'!I309)</f>
        <v/>
      </c>
      <c r="I309" s="88" t="str">
        <f>IF($F309="","",IF(AND('הזנה לתנאי סף'!N309=0,J309&gt;0),$Q$2,'הזנה לתנאי סף'!N309))</f>
        <v/>
      </c>
      <c r="J309" s="213" t="str">
        <f>IF($F309="","",INDEX('גיליון עזר לתחום תמיכה ג'!$H$31:$H$330,MATCH(E309,'גיליון עזר לתחום תמיכה ג'!$C$31:$C$330,0)))</f>
        <v/>
      </c>
      <c r="K309" s="213" t="str">
        <f>IF(OR(F309="",J309=""),"",IF(AND(J309&gt;0,I309=1),J309*'פרמטרים לקריטריונים'!$C$64,$Q$2))</f>
        <v/>
      </c>
      <c r="L309" s="227" t="str">
        <f>IF(OR(F309="",J309=""),"",IF(J309&gt;0,'תחום תמיכה ב'!AC309/SUMIFS('תחום תמיכה ב'!$AC$31:$AC$500,'תחום תמיכה ב'!$E$31:$E$500,E309,'תחום תמיכה ב'!$S$31:$S$500,"=1"),0))</f>
        <v/>
      </c>
      <c r="M309" s="213" t="str">
        <f t="shared" si="17"/>
        <v/>
      </c>
      <c r="N309" s="227" t="str">
        <f t="shared" si="18"/>
        <v/>
      </c>
      <c r="O309" s="213" t="str">
        <f t="shared" si="19"/>
        <v/>
      </c>
    </row>
    <row r="310" spans="1:15" ht="15.75" x14ac:dyDescent="0.2">
      <c r="A310" s="206" t="str">
        <f t="shared" si="16"/>
        <v/>
      </c>
      <c r="B310" s="88" t="str">
        <f>IF($F310="","",'הזנה לתנאי סף'!C310)</f>
        <v/>
      </c>
      <c r="C310" s="88" t="str">
        <f>IF($F310="","",'הזנה לתנאי סף'!D310)</f>
        <v/>
      </c>
      <c r="D310" s="88" t="str">
        <f>IF($F310="","",'הזנה לתנאי סף'!E310)</f>
        <v/>
      </c>
      <c r="E310" s="88" t="str">
        <f>IF($F310="","",'הזנה לתנאי סף'!F310)</f>
        <v/>
      </c>
      <c r="F310" s="88" t="str">
        <f>IF(OR('הזנה לתנאי סף'!G310="",'הזנה לתנאי סף'!BL310&lt;&gt;1,'הזנה לתנאי סף'!Q310&lt;&gt;1,'הזנה לתנאי סף'!N310&lt;&gt;1),"",'הזנה לתנאי סף'!G310)</f>
        <v/>
      </c>
      <c r="G310" s="88" t="str">
        <f>IF($F310="","",'הזנה לתנאי סף'!H310)</f>
        <v/>
      </c>
      <c r="H310" s="88" t="str">
        <f>IF($F310="","",'הזנה לתנאי סף'!I310)</f>
        <v/>
      </c>
      <c r="I310" s="88" t="str">
        <f>IF($F310="","",IF(AND('הזנה לתנאי סף'!N310=0,J310&gt;0),$Q$2,'הזנה לתנאי סף'!N310))</f>
        <v/>
      </c>
      <c r="J310" s="213" t="str">
        <f>IF($F310="","",INDEX('גיליון עזר לתחום תמיכה ג'!$H$31:$H$330,MATCH(E310,'גיליון עזר לתחום תמיכה ג'!$C$31:$C$330,0)))</f>
        <v/>
      </c>
      <c r="K310" s="213" t="str">
        <f>IF(OR(F310="",J310=""),"",IF(AND(J310&gt;0,I310=1),J310*'פרמטרים לקריטריונים'!$C$64,$Q$2))</f>
        <v/>
      </c>
      <c r="L310" s="227" t="str">
        <f>IF(OR(F310="",J310=""),"",IF(J310&gt;0,'תחום תמיכה ב'!AC310/SUMIFS('תחום תמיכה ב'!$AC$31:$AC$500,'תחום תמיכה ב'!$E$31:$E$500,E310,'תחום תמיכה ב'!$S$31:$S$500,"=1"),0))</f>
        <v/>
      </c>
      <c r="M310" s="213" t="str">
        <f t="shared" si="17"/>
        <v/>
      </c>
      <c r="N310" s="227" t="str">
        <f t="shared" si="18"/>
        <v/>
      </c>
      <c r="O310" s="213" t="str">
        <f t="shared" si="19"/>
        <v/>
      </c>
    </row>
    <row r="311" spans="1:15" ht="15.75" x14ac:dyDescent="0.2">
      <c r="A311" s="206" t="str">
        <f t="shared" si="16"/>
        <v/>
      </c>
      <c r="B311" s="88" t="str">
        <f>IF($F311="","",'הזנה לתנאי סף'!C311)</f>
        <v/>
      </c>
      <c r="C311" s="88" t="str">
        <f>IF($F311="","",'הזנה לתנאי סף'!D311)</f>
        <v/>
      </c>
      <c r="D311" s="88" t="str">
        <f>IF($F311="","",'הזנה לתנאי סף'!E311)</f>
        <v/>
      </c>
      <c r="E311" s="88" t="str">
        <f>IF($F311="","",'הזנה לתנאי סף'!F311)</f>
        <v/>
      </c>
      <c r="F311" s="88" t="str">
        <f>IF(OR('הזנה לתנאי סף'!G311="",'הזנה לתנאי סף'!BL311&lt;&gt;1,'הזנה לתנאי סף'!Q311&lt;&gt;1,'הזנה לתנאי סף'!N311&lt;&gt;1),"",'הזנה לתנאי סף'!G311)</f>
        <v/>
      </c>
      <c r="G311" s="88" t="str">
        <f>IF($F311="","",'הזנה לתנאי סף'!H311)</f>
        <v/>
      </c>
      <c r="H311" s="88" t="str">
        <f>IF($F311="","",'הזנה לתנאי סף'!I311)</f>
        <v/>
      </c>
      <c r="I311" s="88" t="str">
        <f>IF($F311="","",IF(AND('הזנה לתנאי סף'!N311=0,J311&gt;0),$Q$2,'הזנה לתנאי סף'!N311))</f>
        <v/>
      </c>
      <c r="J311" s="213" t="str">
        <f>IF($F311="","",INDEX('גיליון עזר לתחום תמיכה ג'!$H$31:$H$330,MATCH(E311,'גיליון עזר לתחום תמיכה ג'!$C$31:$C$330,0)))</f>
        <v/>
      </c>
      <c r="K311" s="213" t="str">
        <f>IF(OR(F311="",J311=""),"",IF(AND(J311&gt;0,I311=1),J311*'פרמטרים לקריטריונים'!$C$64,$Q$2))</f>
        <v/>
      </c>
      <c r="L311" s="227" t="str">
        <f>IF(OR(F311="",J311=""),"",IF(J311&gt;0,'תחום תמיכה ב'!AC311/SUMIFS('תחום תמיכה ב'!$AC$31:$AC$500,'תחום תמיכה ב'!$E$31:$E$500,E311,'תחום תמיכה ב'!$S$31:$S$500,"=1"),0))</f>
        <v/>
      </c>
      <c r="M311" s="213" t="str">
        <f t="shared" si="17"/>
        <v/>
      </c>
      <c r="N311" s="227" t="str">
        <f t="shared" si="18"/>
        <v/>
      </c>
      <c r="O311" s="213" t="str">
        <f t="shared" si="19"/>
        <v/>
      </c>
    </row>
    <row r="312" spans="1:15" ht="15.75" x14ac:dyDescent="0.2">
      <c r="A312" s="206" t="str">
        <f t="shared" si="16"/>
        <v/>
      </c>
      <c r="B312" s="88" t="str">
        <f>IF($F312="","",'הזנה לתנאי סף'!C312)</f>
        <v/>
      </c>
      <c r="C312" s="88" t="str">
        <f>IF($F312="","",'הזנה לתנאי סף'!D312)</f>
        <v/>
      </c>
      <c r="D312" s="88" t="str">
        <f>IF($F312="","",'הזנה לתנאי סף'!E312)</f>
        <v/>
      </c>
      <c r="E312" s="88" t="str">
        <f>IF($F312="","",'הזנה לתנאי סף'!F312)</f>
        <v/>
      </c>
      <c r="F312" s="88" t="str">
        <f>IF(OR('הזנה לתנאי סף'!G312="",'הזנה לתנאי סף'!BL312&lt;&gt;1,'הזנה לתנאי סף'!Q312&lt;&gt;1,'הזנה לתנאי סף'!N312&lt;&gt;1),"",'הזנה לתנאי סף'!G312)</f>
        <v/>
      </c>
      <c r="G312" s="88" t="str">
        <f>IF($F312="","",'הזנה לתנאי סף'!H312)</f>
        <v/>
      </c>
      <c r="H312" s="88" t="str">
        <f>IF($F312="","",'הזנה לתנאי סף'!I312)</f>
        <v/>
      </c>
      <c r="I312" s="88" t="str">
        <f>IF($F312="","",IF(AND('הזנה לתנאי סף'!N312=0,J312&gt;0),$Q$2,'הזנה לתנאי סף'!N312))</f>
        <v/>
      </c>
      <c r="J312" s="213" t="str">
        <f>IF($F312="","",INDEX('גיליון עזר לתחום תמיכה ג'!$H$31:$H$330,MATCH(E312,'גיליון עזר לתחום תמיכה ג'!$C$31:$C$330,0)))</f>
        <v/>
      </c>
      <c r="K312" s="213" t="str">
        <f>IF(OR(F312="",J312=""),"",IF(AND(J312&gt;0,I312=1),J312*'פרמטרים לקריטריונים'!$C$64,$Q$2))</f>
        <v/>
      </c>
      <c r="L312" s="227" t="str">
        <f>IF(OR(F312="",J312=""),"",IF(J312&gt;0,'תחום תמיכה ב'!AC312/SUMIFS('תחום תמיכה ב'!$AC$31:$AC$500,'תחום תמיכה ב'!$E$31:$E$500,E312,'תחום תמיכה ב'!$S$31:$S$500,"=1"),0))</f>
        <v/>
      </c>
      <c r="M312" s="213" t="str">
        <f t="shared" si="17"/>
        <v/>
      </c>
      <c r="N312" s="227" t="str">
        <f t="shared" si="18"/>
        <v/>
      </c>
      <c r="O312" s="213" t="str">
        <f t="shared" si="19"/>
        <v/>
      </c>
    </row>
    <row r="313" spans="1:15" ht="15.75" x14ac:dyDescent="0.2">
      <c r="A313" s="206" t="str">
        <f t="shared" si="16"/>
        <v/>
      </c>
      <c r="B313" s="88" t="str">
        <f>IF($F313="","",'הזנה לתנאי סף'!C313)</f>
        <v/>
      </c>
      <c r="C313" s="88" t="str">
        <f>IF($F313="","",'הזנה לתנאי סף'!D313)</f>
        <v/>
      </c>
      <c r="D313" s="88" t="str">
        <f>IF($F313="","",'הזנה לתנאי סף'!E313)</f>
        <v/>
      </c>
      <c r="E313" s="88" t="str">
        <f>IF($F313="","",'הזנה לתנאי סף'!F313)</f>
        <v/>
      </c>
      <c r="F313" s="88" t="str">
        <f>IF(OR('הזנה לתנאי סף'!G313="",'הזנה לתנאי סף'!BL313&lt;&gt;1,'הזנה לתנאי סף'!Q313&lt;&gt;1,'הזנה לתנאי סף'!N313&lt;&gt;1),"",'הזנה לתנאי סף'!G313)</f>
        <v/>
      </c>
      <c r="G313" s="88" t="str">
        <f>IF($F313="","",'הזנה לתנאי סף'!H313)</f>
        <v/>
      </c>
      <c r="H313" s="88" t="str">
        <f>IF($F313="","",'הזנה לתנאי סף'!I313)</f>
        <v/>
      </c>
      <c r="I313" s="88" t="str">
        <f>IF($F313="","",IF(AND('הזנה לתנאי סף'!N313=0,J313&gt;0),$Q$2,'הזנה לתנאי סף'!N313))</f>
        <v/>
      </c>
      <c r="J313" s="213" t="str">
        <f>IF($F313="","",INDEX('גיליון עזר לתחום תמיכה ג'!$H$31:$H$330,MATCH(E313,'גיליון עזר לתחום תמיכה ג'!$C$31:$C$330,0)))</f>
        <v/>
      </c>
      <c r="K313" s="213" t="str">
        <f>IF(OR(F313="",J313=""),"",IF(AND(J313&gt;0,I313=1),J313*'פרמטרים לקריטריונים'!$C$64,$Q$2))</f>
        <v/>
      </c>
      <c r="L313" s="227" t="str">
        <f>IF(OR(F313="",J313=""),"",IF(J313&gt;0,'תחום תמיכה ב'!AC313/SUMIFS('תחום תמיכה ב'!$AC$31:$AC$500,'תחום תמיכה ב'!$E$31:$E$500,E313,'תחום תמיכה ב'!$S$31:$S$500,"=1"),0))</f>
        <v/>
      </c>
      <c r="M313" s="213" t="str">
        <f t="shared" si="17"/>
        <v/>
      </c>
      <c r="N313" s="227" t="str">
        <f t="shared" si="18"/>
        <v/>
      </c>
      <c r="O313" s="213" t="str">
        <f t="shared" si="19"/>
        <v/>
      </c>
    </row>
    <row r="314" spans="1:15" ht="15.75" x14ac:dyDescent="0.2">
      <c r="A314" s="206" t="str">
        <f t="shared" si="16"/>
        <v/>
      </c>
      <c r="B314" s="88" t="str">
        <f>IF($F314="","",'הזנה לתנאי סף'!C314)</f>
        <v/>
      </c>
      <c r="C314" s="88" t="str">
        <f>IF($F314="","",'הזנה לתנאי סף'!D314)</f>
        <v/>
      </c>
      <c r="D314" s="88" t="str">
        <f>IF($F314="","",'הזנה לתנאי סף'!E314)</f>
        <v/>
      </c>
      <c r="E314" s="88" t="str">
        <f>IF($F314="","",'הזנה לתנאי סף'!F314)</f>
        <v/>
      </c>
      <c r="F314" s="88" t="str">
        <f>IF(OR('הזנה לתנאי סף'!G314="",'הזנה לתנאי סף'!BL314&lt;&gt;1,'הזנה לתנאי סף'!Q314&lt;&gt;1,'הזנה לתנאי סף'!N314&lt;&gt;1),"",'הזנה לתנאי סף'!G314)</f>
        <v/>
      </c>
      <c r="G314" s="88" t="str">
        <f>IF($F314="","",'הזנה לתנאי סף'!H314)</f>
        <v/>
      </c>
      <c r="H314" s="88" t="str">
        <f>IF($F314="","",'הזנה לתנאי סף'!I314)</f>
        <v/>
      </c>
      <c r="I314" s="88" t="str">
        <f>IF($F314="","",IF(AND('הזנה לתנאי סף'!N314=0,J314&gt;0),$Q$2,'הזנה לתנאי סף'!N314))</f>
        <v/>
      </c>
      <c r="J314" s="213" t="str">
        <f>IF($F314="","",INDEX('גיליון עזר לתחום תמיכה ג'!$H$31:$H$330,MATCH(E314,'גיליון עזר לתחום תמיכה ג'!$C$31:$C$330,0)))</f>
        <v/>
      </c>
      <c r="K314" s="213" t="str">
        <f>IF(OR(F314="",J314=""),"",IF(AND(J314&gt;0,I314=1),J314*'פרמטרים לקריטריונים'!$C$64,$Q$2))</f>
        <v/>
      </c>
      <c r="L314" s="227" t="str">
        <f>IF(OR(F314="",J314=""),"",IF(J314&gt;0,'תחום תמיכה ב'!AC314/SUMIFS('תחום תמיכה ב'!$AC$31:$AC$500,'תחום תמיכה ב'!$E$31:$E$500,E314,'תחום תמיכה ב'!$S$31:$S$500,"=1"),0))</f>
        <v/>
      </c>
      <c r="M314" s="213" t="str">
        <f t="shared" si="17"/>
        <v/>
      </c>
      <c r="N314" s="227" t="str">
        <f t="shared" si="18"/>
        <v/>
      </c>
      <c r="O314" s="213" t="str">
        <f t="shared" si="19"/>
        <v/>
      </c>
    </row>
    <row r="315" spans="1:15" ht="15.75" x14ac:dyDescent="0.2">
      <c r="A315" s="206" t="str">
        <f t="shared" si="16"/>
        <v/>
      </c>
      <c r="B315" s="88" t="str">
        <f>IF($F315="","",'הזנה לתנאי סף'!C315)</f>
        <v/>
      </c>
      <c r="C315" s="88" t="str">
        <f>IF($F315="","",'הזנה לתנאי סף'!D315)</f>
        <v/>
      </c>
      <c r="D315" s="88" t="str">
        <f>IF($F315="","",'הזנה לתנאי סף'!E315)</f>
        <v/>
      </c>
      <c r="E315" s="88" t="str">
        <f>IF($F315="","",'הזנה לתנאי סף'!F315)</f>
        <v/>
      </c>
      <c r="F315" s="88" t="str">
        <f>IF(OR('הזנה לתנאי סף'!G315="",'הזנה לתנאי סף'!BL315&lt;&gt;1,'הזנה לתנאי סף'!Q315&lt;&gt;1,'הזנה לתנאי סף'!N315&lt;&gt;1),"",'הזנה לתנאי סף'!G315)</f>
        <v/>
      </c>
      <c r="G315" s="88" t="str">
        <f>IF($F315="","",'הזנה לתנאי סף'!H315)</f>
        <v/>
      </c>
      <c r="H315" s="88" t="str">
        <f>IF($F315="","",'הזנה לתנאי סף'!I315)</f>
        <v/>
      </c>
      <c r="I315" s="88" t="str">
        <f>IF($F315="","",IF(AND('הזנה לתנאי סף'!N315=0,J315&gt;0),$Q$2,'הזנה לתנאי סף'!N315))</f>
        <v/>
      </c>
      <c r="J315" s="213" t="str">
        <f>IF($F315="","",INDEX('גיליון עזר לתחום תמיכה ג'!$H$31:$H$330,MATCH(E315,'גיליון עזר לתחום תמיכה ג'!$C$31:$C$330,0)))</f>
        <v/>
      </c>
      <c r="K315" s="213" t="str">
        <f>IF(OR(F315="",J315=""),"",IF(AND(J315&gt;0,I315=1),J315*'פרמטרים לקריטריונים'!$C$64,$Q$2))</f>
        <v/>
      </c>
      <c r="L315" s="227" t="str">
        <f>IF(OR(F315="",J315=""),"",IF(J315&gt;0,'תחום תמיכה ב'!AC315/SUMIFS('תחום תמיכה ב'!$AC$31:$AC$500,'תחום תמיכה ב'!$E$31:$E$500,E315,'תחום תמיכה ב'!$S$31:$S$500,"=1"),0))</f>
        <v/>
      </c>
      <c r="M315" s="213" t="str">
        <f t="shared" si="17"/>
        <v/>
      </c>
      <c r="N315" s="227" t="str">
        <f t="shared" si="18"/>
        <v/>
      </c>
      <c r="O315" s="213" t="str">
        <f t="shared" si="19"/>
        <v/>
      </c>
    </row>
    <row r="316" spans="1:15" ht="15.75" x14ac:dyDescent="0.2">
      <c r="A316" s="206" t="str">
        <f t="shared" si="16"/>
        <v/>
      </c>
      <c r="B316" s="88" t="str">
        <f>IF($F316="","",'הזנה לתנאי סף'!C316)</f>
        <v/>
      </c>
      <c r="C316" s="88" t="str">
        <f>IF($F316="","",'הזנה לתנאי סף'!D316)</f>
        <v/>
      </c>
      <c r="D316" s="88" t="str">
        <f>IF($F316="","",'הזנה לתנאי סף'!E316)</f>
        <v/>
      </c>
      <c r="E316" s="88" t="str">
        <f>IF($F316="","",'הזנה לתנאי סף'!F316)</f>
        <v/>
      </c>
      <c r="F316" s="88" t="str">
        <f>IF(OR('הזנה לתנאי סף'!G316="",'הזנה לתנאי סף'!BL316&lt;&gt;1,'הזנה לתנאי סף'!Q316&lt;&gt;1,'הזנה לתנאי סף'!N316&lt;&gt;1),"",'הזנה לתנאי סף'!G316)</f>
        <v/>
      </c>
      <c r="G316" s="88" t="str">
        <f>IF($F316="","",'הזנה לתנאי סף'!H316)</f>
        <v/>
      </c>
      <c r="H316" s="88" t="str">
        <f>IF($F316="","",'הזנה לתנאי סף'!I316)</f>
        <v/>
      </c>
      <c r="I316" s="88" t="str">
        <f>IF($F316="","",IF(AND('הזנה לתנאי סף'!N316=0,J316&gt;0),$Q$2,'הזנה לתנאי סף'!N316))</f>
        <v/>
      </c>
      <c r="J316" s="213" t="str">
        <f>IF($F316="","",INDEX('גיליון עזר לתחום תמיכה ג'!$H$31:$H$330,MATCH(E316,'גיליון עזר לתחום תמיכה ג'!$C$31:$C$330,0)))</f>
        <v/>
      </c>
      <c r="K316" s="213" t="str">
        <f>IF(OR(F316="",J316=""),"",IF(AND(J316&gt;0,I316=1),J316*'פרמטרים לקריטריונים'!$C$64,$Q$2))</f>
        <v/>
      </c>
      <c r="L316" s="227" t="str">
        <f>IF(OR(F316="",J316=""),"",IF(J316&gt;0,'תחום תמיכה ב'!AC316/SUMIFS('תחום תמיכה ב'!$AC$31:$AC$500,'תחום תמיכה ב'!$E$31:$E$500,E316,'תחום תמיכה ב'!$S$31:$S$500,"=1"),0))</f>
        <v/>
      </c>
      <c r="M316" s="213" t="str">
        <f t="shared" si="17"/>
        <v/>
      </c>
      <c r="N316" s="227" t="str">
        <f t="shared" si="18"/>
        <v/>
      </c>
      <c r="O316" s="213" t="str">
        <f t="shared" si="19"/>
        <v/>
      </c>
    </row>
    <row r="317" spans="1:15" ht="15.75" x14ac:dyDescent="0.2">
      <c r="A317" s="206" t="str">
        <f t="shared" si="16"/>
        <v/>
      </c>
      <c r="B317" s="88" t="str">
        <f>IF($F317="","",'הזנה לתנאי סף'!C317)</f>
        <v/>
      </c>
      <c r="C317" s="88" t="str">
        <f>IF($F317="","",'הזנה לתנאי סף'!D317)</f>
        <v/>
      </c>
      <c r="D317" s="88" t="str">
        <f>IF($F317="","",'הזנה לתנאי סף'!E317)</f>
        <v/>
      </c>
      <c r="E317" s="88" t="str">
        <f>IF($F317="","",'הזנה לתנאי סף'!F317)</f>
        <v/>
      </c>
      <c r="F317" s="88" t="str">
        <f>IF(OR('הזנה לתנאי סף'!G317="",'הזנה לתנאי סף'!BL317&lt;&gt;1,'הזנה לתנאי סף'!Q317&lt;&gt;1,'הזנה לתנאי סף'!N317&lt;&gt;1),"",'הזנה לתנאי סף'!G317)</f>
        <v/>
      </c>
      <c r="G317" s="88" t="str">
        <f>IF($F317="","",'הזנה לתנאי סף'!H317)</f>
        <v/>
      </c>
      <c r="H317" s="88" t="str">
        <f>IF($F317="","",'הזנה לתנאי סף'!I317)</f>
        <v/>
      </c>
      <c r="I317" s="88" t="str">
        <f>IF($F317="","",IF(AND('הזנה לתנאי סף'!N317=0,J317&gt;0),$Q$2,'הזנה לתנאי סף'!N317))</f>
        <v/>
      </c>
      <c r="J317" s="213" t="str">
        <f>IF($F317="","",INDEX('גיליון עזר לתחום תמיכה ג'!$H$31:$H$330,MATCH(E317,'גיליון עזר לתחום תמיכה ג'!$C$31:$C$330,0)))</f>
        <v/>
      </c>
      <c r="K317" s="213" t="str">
        <f>IF(OR(F317="",J317=""),"",IF(AND(J317&gt;0,I317=1),J317*'פרמטרים לקריטריונים'!$C$64,$Q$2))</f>
        <v/>
      </c>
      <c r="L317" s="227" t="str">
        <f>IF(OR(F317="",J317=""),"",IF(J317&gt;0,'תחום תמיכה ב'!AC317/SUMIFS('תחום תמיכה ב'!$AC$31:$AC$500,'תחום תמיכה ב'!$E$31:$E$500,E317,'תחום תמיכה ב'!$S$31:$S$500,"=1"),0))</f>
        <v/>
      </c>
      <c r="M317" s="213" t="str">
        <f t="shared" si="17"/>
        <v/>
      </c>
      <c r="N317" s="227" t="str">
        <f t="shared" si="18"/>
        <v/>
      </c>
      <c r="O317" s="213" t="str">
        <f t="shared" si="19"/>
        <v/>
      </c>
    </row>
    <row r="318" spans="1:15" ht="15.75" x14ac:dyDescent="0.2">
      <c r="A318" s="206" t="str">
        <f t="shared" si="16"/>
        <v/>
      </c>
      <c r="B318" s="88" t="str">
        <f>IF($F318="","",'הזנה לתנאי סף'!C318)</f>
        <v/>
      </c>
      <c r="C318" s="88" t="str">
        <f>IF($F318="","",'הזנה לתנאי סף'!D318)</f>
        <v/>
      </c>
      <c r="D318" s="88" t="str">
        <f>IF($F318="","",'הזנה לתנאי סף'!E318)</f>
        <v/>
      </c>
      <c r="E318" s="88" t="str">
        <f>IF($F318="","",'הזנה לתנאי סף'!F318)</f>
        <v/>
      </c>
      <c r="F318" s="88" t="str">
        <f>IF(OR('הזנה לתנאי סף'!G318="",'הזנה לתנאי סף'!BL318&lt;&gt;1,'הזנה לתנאי סף'!Q318&lt;&gt;1,'הזנה לתנאי סף'!N318&lt;&gt;1),"",'הזנה לתנאי סף'!G318)</f>
        <v/>
      </c>
      <c r="G318" s="88" t="str">
        <f>IF($F318="","",'הזנה לתנאי סף'!H318)</f>
        <v/>
      </c>
      <c r="H318" s="88" t="str">
        <f>IF($F318="","",'הזנה לתנאי סף'!I318)</f>
        <v/>
      </c>
      <c r="I318" s="88" t="str">
        <f>IF($F318="","",IF(AND('הזנה לתנאי סף'!N318=0,J318&gt;0),$Q$2,'הזנה לתנאי סף'!N318))</f>
        <v/>
      </c>
      <c r="J318" s="213" t="str">
        <f>IF($F318="","",INDEX('גיליון עזר לתחום תמיכה ג'!$H$31:$H$330,MATCH(E318,'גיליון עזר לתחום תמיכה ג'!$C$31:$C$330,0)))</f>
        <v/>
      </c>
      <c r="K318" s="213" t="str">
        <f>IF(OR(F318="",J318=""),"",IF(AND(J318&gt;0,I318=1),J318*'פרמטרים לקריטריונים'!$C$64,$Q$2))</f>
        <v/>
      </c>
      <c r="L318" s="227" t="str">
        <f>IF(OR(F318="",J318=""),"",IF(J318&gt;0,'תחום תמיכה ב'!AC318/SUMIFS('תחום תמיכה ב'!$AC$31:$AC$500,'תחום תמיכה ב'!$E$31:$E$500,E318,'תחום תמיכה ב'!$S$31:$S$500,"=1"),0))</f>
        <v/>
      </c>
      <c r="M318" s="213" t="str">
        <f t="shared" si="17"/>
        <v/>
      </c>
      <c r="N318" s="227" t="str">
        <f t="shared" si="18"/>
        <v/>
      </c>
      <c r="O318" s="213" t="str">
        <f t="shared" si="19"/>
        <v/>
      </c>
    </row>
    <row r="319" spans="1:15" ht="15.75" x14ac:dyDescent="0.2">
      <c r="A319" s="206" t="str">
        <f t="shared" si="16"/>
        <v/>
      </c>
      <c r="B319" s="88" t="str">
        <f>IF($F319="","",'הזנה לתנאי סף'!C319)</f>
        <v/>
      </c>
      <c r="C319" s="88" t="str">
        <f>IF($F319="","",'הזנה לתנאי סף'!D319)</f>
        <v/>
      </c>
      <c r="D319" s="88" t="str">
        <f>IF($F319="","",'הזנה לתנאי סף'!E319)</f>
        <v/>
      </c>
      <c r="E319" s="88" t="str">
        <f>IF($F319="","",'הזנה לתנאי סף'!F319)</f>
        <v/>
      </c>
      <c r="F319" s="88" t="str">
        <f>IF(OR('הזנה לתנאי סף'!G319="",'הזנה לתנאי סף'!BL319&lt;&gt;1,'הזנה לתנאי סף'!Q319&lt;&gt;1,'הזנה לתנאי סף'!N319&lt;&gt;1),"",'הזנה לתנאי סף'!G319)</f>
        <v/>
      </c>
      <c r="G319" s="88" t="str">
        <f>IF($F319="","",'הזנה לתנאי סף'!H319)</f>
        <v/>
      </c>
      <c r="H319" s="88" t="str">
        <f>IF($F319="","",'הזנה לתנאי סף'!I319)</f>
        <v/>
      </c>
      <c r="I319" s="88" t="str">
        <f>IF($F319="","",IF(AND('הזנה לתנאי סף'!N319=0,J319&gt;0),$Q$2,'הזנה לתנאי סף'!N319))</f>
        <v/>
      </c>
      <c r="J319" s="213" t="str">
        <f>IF($F319="","",INDEX('גיליון עזר לתחום תמיכה ג'!$H$31:$H$330,MATCH(E319,'גיליון עזר לתחום תמיכה ג'!$C$31:$C$330,0)))</f>
        <v/>
      </c>
      <c r="K319" s="213" t="str">
        <f>IF(OR(F319="",J319=""),"",IF(AND(J319&gt;0,I319=1),J319*'פרמטרים לקריטריונים'!$C$64,$Q$2))</f>
        <v/>
      </c>
      <c r="L319" s="227" t="str">
        <f>IF(OR(F319="",J319=""),"",IF(J319&gt;0,'תחום תמיכה ב'!AC319/SUMIFS('תחום תמיכה ב'!$AC$31:$AC$500,'תחום תמיכה ב'!$E$31:$E$500,E319,'תחום תמיכה ב'!$S$31:$S$500,"=1"),0))</f>
        <v/>
      </c>
      <c r="M319" s="213" t="str">
        <f t="shared" si="17"/>
        <v/>
      </c>
      <c r="N319" s="227" t="str">
        <f t="shared" si="18"/>
        <v/>
      </c>
      <c r="O319" s="213" t="str">
        <f t="shared" si="19"/>
        <v/>
      </c>
    </row>
    <row r="320" spans="1:15" ht="15.75" x14ac:dyDescent="0.2">
      <c r="A320" s="206" t="str">
        <f t="shared" si="16"/>
        <v/>
      </c>
      <c r="B320" s="88" t="str">
        <f>IF($F320="","",'הזנה לתנאי סף'!C320)</f>
        <v/>
      </c>
      <c r="C320" s="88" t="str">
        <f>IF($F320="","",'הזנה לתנאי סף'!D320)</f>
        <v/>
      </c>
      <c r="D320" s="88" t="str">
        <f>IF($F320="","",'הזנה לתנאי סף'!E320)</f>
        <v/>
      </c>
      <c r="E320" s="88" t="str">
        <f>IF($F320="","",'הזנה לתנאי סף'!F320)</f>
        <v/>
      </c>
      <c r="F320" s="88" t="str">
        <f>IF(OR('הזנה לתנאי סף'!G320="",'הזנה לתנאי סף'!BL320&lt;&gt;1,'הזנה לתנאי סף'!Q320&lt;&gt;1,'הזנה לתנאי סף'!N320&lt;&gt;1),"",'הזנה לתנאי סף'!G320)</f>
        <v/>
      </c>
      <c r="G320" s="88" t="str">
        <f>IF($F320="","",'הזנה לתנאי סף'!H320)</f>
        <v/>
      </c>
      <c r="H320" s="88" t="str">
        <f>IF($F320="","",'הזנה לתנאי סף'!I320)</f>
        <v/>
      </c>
      <c r="I320" s="88" t="str">
        <f>IF($F320="","",IF(AND('הזנה לתנאי סף'!N320=0,J320&gt;0),$Q$2,'הזנה לתנאי סף'!N320))</f>
        <v/>
      </c>
      <c r="J320" s="213" t="str">
        <f>IF($F320="","",INDEX('גיליון עזר לתחום תמיכה ג'!$H$31:$H$330,MATCH(E320,'גיליון עזר לתחום תמיכה ג'!$C$31:$C$330,0)))</f>
        <v/>
      </c>
      <c r="K320" s="213" t="str">
        <f>IF(OR(F320="",J320=""),"",IF(AND(J320&gt;0,I320=1),J320*'פרמטרים לקריטריונים'!$C$64,$Q$2))</f>
        <v/>
      </c>
      <c r="L320" s="227" t="str">
        <f>IF(OR(F320="",J320=""),"",IF(J320&gt;0,'תחום תמיכה ב'!AC320/SUMIFS('תחום תמיכה ב'!$AC$31:$AC$500,'תחום תמיכה ב'!$E$31:$E$500,E320,'תחום תמיכה ב'!$S$31:$S$500,"=1"),0))</f>
        <v/>
      </c>
      <c r="M320" s="213" t="str">
        <f t="shared" si="17"/>
        <v/>
      </c>
      <c r="N320" s="227" t="str">
        <f t="shared" si="18"/>
        <v/>
      </c>
      <c r="O320" s="213" t="str">
        <f t="shared" si="19"/>
        <v/>
      </c>
    </row>
    <row r="321" spans="1:15" ht="15.75" x14ac:dyDescent="0.2">
      <c r="A321" s="206" t="str">
        <f t="shared" si="16"/>
        <v/>
      </c>
      <c r="B321" s="88" t="str">
        <f>IF($F321="","",'הזנה לתנאי סף'!C321)</f>
        <v/>
      </c>
      <c r="C321" s="88" t="str">
        <f>IF($F321="","",'הזנה לתנאי סף'!D321)</f>
        <v/>
      </c>
      <c r="D321" s="88" t="str">
        <f>IF($F321="","",'הזנה לתנאי סף'!E321)</f>
        <v/>
      </c>
      <c r="E321" s="88" t="str">
        <f>IF($F321="","",'הזנה לתנאי סף'!F321)</f>
        <v/>
      </c>
      <c r="F321" s="88" t="str">
        <f>IF(OR('הזנה לתנאי סף'!G321="",'הזנה לתנאי סף'!BL321&lt;&gt;1,'הזנה לתנאי סף'!Q321&lt;&gt;1,'הזנה לתנאי סף'!N321&lt;&gt;1),"",'הזנה לתנאי סף'!G321)</f>
        <v/>
      </c>
      <c r="G321" s="88" t="str">
        <f>IF($F321="","",'הזנה לתנאי סף'!H321)</f>
        <v/>
      </c>
      <c r="H321" s="88" t="str">
        <f>IF($F321="","",'הזנה לתנאי סף'!I321)</f>
        <v/>
      </c>
      <c r="I321" s="88" t="str">
        <f>IF($F321="","",IF(AND('הזנה לתנאי סף'!N321=0,J321&gt;0),$Q$2,'הזנה לתנאי סף'!N321))</f>
        <v/>
      </c>
      <c r="J321" s="213" t="str">
        <f>IF($F321="","",INDEX('גיליון עזר לתחום תמיכה ג'!$H$31:$H$330,MATCH(E321,'גיליון עזר לתחום תמיכה ג'!$C$31:$C$330,0)))</f>
        <v/>
      </c>
      <c r="K321" s="213" t="str">
        <f>IF(OR(F321="",J321=""),"",IF(AND(J321&gt;0,I321=1),J321*'פרמטרים לקריטריונים'!$C$64,$Q$2))</f>
        <v/>
      </c>
      <c r="L321" s="227" t="str">
        <f>IF(OR(F321="",J321=""),"",IF(J321&gt;0,'תחום תמיכה ב'!AC321/SUMIFS('תחום תמיכה ב'!$AC$31:$AC$500,'תחום תמיכה ב'!$E$31:$E$500,E321,'תחום תמיכה ב'!$S$31:$S$500,"=1"),0))</f>
        <v/>
      </c>
      <c r="M321" s="213" t="str">
        <f t="shared" si="17"/>
        <v/>
      </c>
      <c r="N321" s="227" t="str">
        <f t="shared" si="18"/>
        <v/>
      </c>
      <c r="O321" s="213" t="str">
        <f t="shared" si="19"/>
        <v/>
      </c>
    </row>
    <row r="322" spans="1:15" ht="15.75" x14ac:dyDescent="0.2">
      <c r="A322" s="206" t="str">
        <f t="shared" si="16"/>
        <v/>
      </c>
      <c r="B322" s="88" t="str">
        <f>IF($F322="","",'הזנה לתנאי סף'!C322)</f>
        <v/>
      </c>
      <c r="C322" s="88" t="str">
        <f>IF($F322="","",'הזנה לתנאי סף'!D322)</f>
        <v/>
      </c>
      <c r="D322" s="88" t="str">
        <f>IF($F322="","",'הזנה לתנאי סף'!E322)</f>
        <v/>
      </c>
      <c r="E322" s="88" t="str">
        <f>IF($F322="","",'הזנה לתנאי סף'!F322)</f>
        <v/>
      </c>
      <c r="F322" s="88" t="str">
        <f>IF(OR('הזנה לתנאי סף'!G322="",'הזנה לתנאי סף'!BL322&lt;&gt;1,'הזנה לתנאי סף'!Q322&lt;&gt;1,'הזנה לתנאי סף'!N322&lt;&gt;1),"",'הזנה לתנאי סף'!G322)</f>
        <v/>
      </c>
      <c r="G322" s="88" t="str">
        <f>IF($F322="","",'הזנה לתנאי סף'!H322)</f>
        <v/>
      </c>
      <c r="H322" s="88" t="str">
        <f>IF($F322="","",'הזנה לתנאי סף'!I322)</f>
        <v/>
      </c>
      <c r="I322" s="88" t="str">
        <f>IF($F322="","",IF(AND('הזנה לתנאי סף'!N322=0,J322&gt;0),$Q$2,'הזנה לתנאי סף'!N322))</f>
        <v/>
      </c>
      <c r="J322" s="213" t="str">
        <f>IF($F322="","",INDEX('גיליון עזר לתחום תמיכה ג'!$H$31:$H$330,MATCH(E322,'גיליון עזר לתחום תמיכה ג'!$C$31:$C$330,0)))</f>
        <v/>
      </c>
      <c r="K322" s="213" t="str">
        <f>IF(OR(F322="",J322=""),"",IF(AND(J322&gt;0,I322=1),J322*'פרמטרים לקריטריונים'!$C$64,$Q$2))</f>
        <v/>
      </c>
      <c r="L322" s="227" t="str">
        <f>IF(OR(F322="",J322=""),"",IF(J322&gt;0,'תחום תמיכה ב'!AC322/SUMIFS('תחום תמיכה ב'!$AC$31:$AC$500,'תחום תמיכה ב'!$E$31:$E$500,E322,'תחום תמיכה ב'!$S$31:$S$500,"=1"),0))</f>
        <v/>
      </c>
      <c r="M322" s="213" t="str">
        <f t="shared" si="17"/>
        <v/>
      </c>
      <c r="N322" s="227" t="str">
        <f t="shared" si="18"/>
        <v/>
      </c>
      <c r="O322" s="213" t="str">
        <f t="shared" si="19"/>
        <v/>
      </c>
    </row>
    <row r="323" spans="1:15" ht="15.75" x14ac:dyDescent="0.2">
      <c r="A323" s="206" t="str">
        <f t="shared" si="16"/>
        <v/>
      </c>
      <c r="B323" s="88" t="str">
        <f>IF($F323="","",'הזנה לתנאי סף'!C323)</f>
        <v/>
      </c>
      <c r="C323" s="88" t="str">
        <f>IF($F323="","",'הזנה לתנאי סף'!D323)</f>
        <v/>
      </c>
      <c r="D323" s="88" t="str">
        <f>IF($F323="","",'הזנה לתנאי סף'!E323)</f>
        <v/>
      </c>
      <c r="E323" s="88" t="str">
        <f>IF($F323="","",'הזנה לתנאי סף'!F323)</f>
        <v/>
      </c>
      <c r="F323" s="88" t="str">
        <f>IF(OR('הזנה לתנאי סף'!G323="",'הזנה לתנאי סף'!BL323&lt;&gt;1,'הזנה לתנאי סף'!Q323&lt;&gt;1,'הזנה לתנאי סף'!N323&lt;&gt;1),"",'הזנה לתנאי סף'!G323)</f>
        <v/>
      </c>
      <c r="G323" s="88" t="str">
        <f>IF($F323="","",'הזנה לתנאי סף'!H323)</f>
        <v/>
      </c>
      <c r="H323" s="88" t="str">
        <f>IF($F323="","",'הזנה לתנאי סף'!I323)</f>
        <v/>
      </c>
      <c r="I323" s="88" t="str">
        <f>IF($F323="","",IF(AND('הזנה לתנאי סף'!N323=0,J323&gt;0),$Q$2,'הזנה לתנאי סף'!N323))</f>
        <v/>
      </c>
      <c r="J323" s="213" t="str">
        <f>IF($F323="","",INDEX('גיליון עזר לתחום תמיכה ג'!$H$31:$H$330,MATCH(E323,'גיליון עזר לתחום תמיכה ג'!$C$31:$C$330,0)))</f>
        <v/>
      </c>
      <c r="K323" s="213" t="str">
        <f>IF(OR(F323="",J323=""),"",IF(AND(J323&gt;0,I323=1),J323*'פרמטרים לקריטריונים'!$C$64,$Q$2))</f>
        <v/>
      </c>
      <c r="L323" s="227" t="str">
        <f>IF(OR(F323="",J323=""),"",IF(J323&gt;0,'תחום תמיכה ב'!AC323/SUMIFS('תחום תמיכה ב'!$AC$31:$AC$500,'תחום תמיכה ב'!$E$31:$E$500,E323,'תחום תמיכה ב'!$S$31:$S$500,"=1"),0))</f>
        <v/>
      </c>
      <c r="M323" s="213" t="str">
        <f t="shared" si="17"/>
        <v/>
      </c>
      <c r="N323" s="227" t="str">
        <f t="shared" si="18"/>
        <v/>
      </c>
      <c r="O323" s="213" t="str">
        <f t="shared" si="19"/>
        <v/>
      </c>
    </row>
    <row r="324" spans="1:15" ht="15.75" x14ac:dyDescent="0.2">
      <c r="A324" s="206" t="str">
        <f t="shared" si="16"/>
        <v/>
      </c>
      <c r="B324" s="88" t="str">
        <f>IF($F324="","",'הזנה לתנאי סף'!C324)</f>
        <v/>
      </c>
      <c r="C324" s="88" t="str">
        <f>IF($F324="","",'הזנה לתנאי סף'!D324)</f>
        <v/>
      </c>
      <c r="D324" s="88" t="str">
        <f>IF($F324="","",'הזנה לתנאי סף'!E324)</f>
        <v/>
      </c>
      <c r="E324" s="88" t="str">
        <f>IF($F324="","",'הזנה לתנאי סף'!F324)</f>
        <v/>
      </c>
      <c r="F324" s="88" t="str">
        <f>IF(OR('הזנה לתנאי סף'!G324="",'הזנה לתנאי סף'!BL324&lt;&gt;1,'הזנה לתנאי סף'!Q324&lt;&gt;1,'הזנה לתנאי סף'!N324&lt;&gt;1),"",'הזנה לתנאי סף'!G324)</f>
        <v/>
      </c>
      <c r="G324" s="88" t="str">
        <f>IF($F324="","",'הזנה לתנאי סף'!H324)</f>
        <v/>
      </c>
      <c r="H324" s="88" t="str">
        <f>IF($F324="","",'הזנה לתנאי סף'!I324)</f>
        <v/>
      </c>
      <c r="I324" s="88" t="str">
        <f>IF($F324="","",IF(AND('הזנה לתנאי סף'!N324=0,J324&gt;0),$Q$2,'הזנה לתנאי סף'!N324))</f>
        <v/>
      </c>
      <c r="J324" s="213" t="str">
        <f>IF($F324="","",INDEX('גיליון עזר לתחום תמיכה ג'!$H$31:$H$330,MATCH(E324,'גיליון עזר לתחום תמיכה ג'!$C$31:$C$330,0)))</f>
        <v/>
      </c>
      <c r="K324" s="213" t="str">
        <f>IF(OR(F324="",J324=""),"",IF(AND(J324&gt;0,I324=1),J324*'פרמטרים לקריטריונים'!$C$64,$Q$2))</f>
        <v/>
      </c>
      <c r="L324" s="227" t="str">
        <f>IF(OR(F324="",J324=""),"",IF(J324&gt;0,'תחום תמיכה ב'!AC324/SUMIFS('תחום תמיכה ב'!$AC$31:$AC$500,'תחום תמיכה ב'!$E$31:$E$500,E324,'תחום תמיכה ב'!$S$31:$S$500,"=1"),0))</f>
        <v/>
      </c>
      <c r="M324" s="213" t="str">
        <f t="shared" si="17"/>
        <v/>
      </c>
      <c r="N324" s="227" t="str">
        <f t="shared" si="18"/>
        <v/>
      </c>
      <c r="O324" s="213" t="str">
        <f t="shared" si="19"/>
        <v/>
      </c>
    </row>
    <row r="325" spans="1:15" ht="15.75" x14ac:dyDescent="0.2">
      <c r="A325" s="206" t="str">
        <f t="shared" si="16"/>
        <v/>
      </c>
      <c r="B325" s="88" t="str">
        <f>IF($F325="","",'הזנה לתנאי סף'!C325)</f>
        <v/>
      </c>
      <c r="C325" s="88" t="str">
        <f>IF($F325="","",'הזנה לתנאי סף'!D325)</f>
        <v/>
      </c>
      <c r="D325" s="88" t="str">
        <f>IF($F325="","",'הזנה לתנאי סף'!E325)</f>
        <v/>
      </c>
      <c r="E325" s="88" t="str">
        <f>IF($F325="","",'הזנה לתנאי סף'!F325)</f>
        <v/>
      </c>
      <c r="F325" s="88" t="str">
        <f>IF(OR('הזנה לתנאי סף'!G325="",'הזנה לתנאי סף'!BL325&lt;&gt;1,'הזנה לתנאי סף'!Q325&lt;&gt;1,'הזנה לתנאי סף'!N325&lt;&gt;1),"",'הזנה לתנאי סף'!G325)</f>
        <v/>
      </c>
      <c r="G325" s="88" t="str">
        <f>IF($F325="","",'הזנה לתנאי סף'!H325)</f>
        <v/>
      </c>
      <c r="H325" s="88" t="str">
        <f>IF($F325="","",'הזנה לתנאי סף'!I325)</f>
        <v/>
      </c>
      <c r="I325" s="88" t="str">
        <f>IF($F325="","",IF(AND('הזנה לתנאי סף'!N325=0,J325&gt;0),$Q$2,'הזנה לתנאי סף'!N325))</f>
        <v/>
      </c>
      <c r="J325" s="213" t="str">
        <f>IF($F325="","",INDEX('גיליון עזר לתחום תמיכה ג'!$H$31:$H$330,MATCH(E325,'גיליון עזר לתחום תמיכה ג'!$C$31:$C$330,0)))</f>
        <v/>
      </c>
      <c r="K325" s="213" t="str">
        <f>IF(OR(F325="",J325=""),"",IF(AND(J325&gt;0,I325=1),J325*'פרמטרים לקריטריונים'!$C$64,$Q$2))</f>
        <v/>
      </c>
      <c r="L325" s="227" t="str">
        <f>IF(OR(F325="",J325=""),"",IF(J325&gt;0,'תחום תמיכה ב'!AC325/SUMIFS('תחום תמיכה ב'!$AC$31:$AC$500,'תחום תמיכה ב'!$E$31:$E$500,E325,'תחום תמיכה ב'!$S$31:$S$500,"=1"),0))</f>
        <v/>
      </c>
      <c r="M325" s="213" t="str">
        <f t="shared" si="17"/>
        <v/>
      </c>
      <c r="N325" s="227" t="str">
        <f t="shared" si="18"/>
        <v/>
      </c>
      <c r="O325" s="213" t="str">
        <f t="shared" si="19"/>
        <v/>
      </c>
    </row>
    <row r="326" spans="1:15" ht="15.75" x14ac:dyDescent="0.2">
      <c r="A326" s="206" t="str">
        <f t="shared" si="16"/>
        <v/>
      </c>
      <c r="B326" s="88" t="str">
        <f>IF($F326="","",'הזנה לתנאי סף'!C326)</f>
        <v/>
      </c>
      <c r="C326" s="88" t="str">
        <f>IF($F326="","",'הזנה לתנאי סף'!D326)</f>
        <v/>
      </c>
      <c r="D326" s="88" t="str">
        <f>IF($F326="","",'הזנה לתנאי סף'!E326)</f>
        <v/>
      </c>
      <c r="E326" s="88" t="str">
        <f>IF($F326="","",'הזנה לתנאי סף'!F326)</f>
        <v/>
      </c>
      <c r="F326" s="88" t="str">
        <f>IF(OR('הזנה לתנאי סף'!G326="",'הזנה לתנאי סף'!BL326&lt;&gt;1,'הזנה לתנאי סף'!Q326&lt;&gt;1,'הזנה לתנאי סף'!N326&lt;&gt;1),"",'הזנה לתנאי סף'!G326)</f>
        <v/>
      </c>
      <c r="G326" s="88" t="str">
        <f>IF($F326="","",'הזנה לתנאי סף'!H326)</f>
        <v/>
      </c>
      <c r="H326" s="88" t="str">
        <f>IF($F326="","",'הזנה לתנאי סף'!I326)</f>
        <v/>
      </c>
      <c r="I326" s="88" t="str">
        <f>IF($F326="","",IF(AND('הזנה לתנאי סף'!N326=0,J326&gt;0),$Q$2,'הזנה לתנאי סף'!N326))</f>
        <v/>
      </c>
      <c r="J326" s="213" t="str">
        <f>IF($F326="","",INDEX('גיליון עזר לתחום תמיכה ג'!$H$31:$H$330,MATCH(E326,'גיליון עזר לתחום תמיכה ג'!$C$31:$C$330,0)))</f>
        <v/>
      </c>
      <c r="K326" s="213" t="str">
        <f>IF(OR(F326="",J326=""),"",IF(AND(J326&gt;0,I326=1),J326*'פרמטרים לקריטריונים'!$C$64,$Q$2))</f>
        <v/>
      </c>
      <c r="L326" s="227" t="str">
        <f>IF(OR(F326="",J326=""),"",IF(J326&gt;0,'תחום תמיכה ב'!AC326/SUMIFS('תחום תמיכה ב'!$AC$31:$AC$500,'תחום תמיכה ב'!$E$31:$E$500,E326,'תחום תמיכה ב'!$S$31:$S$500,"=1"),0))</f>
        <v/>
      </c>
      <c r="M326" s="213" t="str">
        <f t="shared" si="17"/>
        <v/>
      </c>
      <c r="N326" s="227" t="str">
        <f t="shared" si="18"/>
        <v/>
      </c>
      <c r="O326" s="213" t="str">
        <f t="shared" si="19"/>
        <v/>
      </c>
    </row>
    <row r="327" spans="1:15" ht="15.75" x14ac:dyDescent="0.2">
      <c r="A327" s="206" t="str">
        <f t="shared" si="16"/>
        <v/>
      </c>
      <c r="B327" s="88" t="str">
        <f>IF($F327="","",'הזנה לתנאי סף'!C327)</f>
        <v/>
      </c>
      <c r="C327" s="88" t="str">
        <f>IF($F327="","",'הזנה לתנאי סף'!D327)</f>
        <v/>
      </c>
      <c r="D327" s="88" t="str">
        <f>IF($F327="","",'הזנה לתנאי סף'!E327)</f>
        <v/>
      </c>
      <c r="E327" s="88" t="str">
        <f>IF($F327="","",'הזנה לתנאי סף'!F327)</f>
        <v/>
      </c>
      <c r="F327" s="88" t="str">
        <f>IF(OR('הזנה לתנאי סף'!G327="",'הזנה לתנאי סף'!BL327&lt;&gt;1,'הזנה לתנאי סף'!Q327&lt;&gt;1,'הזנה לתנאי סף'!N327&lt;&gt;1),"",'הזנה לתנאי סף'!G327)</f>
        <v/>
      </c>
      <c r="G327" s="88" t="str">
        <f>IF($F327="","",'הזנה לתנאי סף'!H327)</f>
        <v/>
      </c>
      <c r="H327" s="88" t="str">
        <f>IF($F327="","",'הזנה לתנאי סף'!I327)</f>
        <v/>
      </c>
      <c r="I327" s="88" t="str">
        <f>IF($F327="","",IF(AND('הזנה לתנאי סף'!N327=0,J327&gt;0),$Q$2,'הזנה לתנאי סף'!N327))</f>
        <v/>
      </c>
      <c r="J327" s="213" t="str">
        <f>IF($F327="","",INDEX('גיליון עזר לתחום תמיכה ג'!$H$31:$H$330,MATCH(E327,'גיליון עזר לתחום תמיכה ג'!$C$31:$C$330,0)))</f>
        <v/>
      </c>
      <c r="K327" s="213" t="str">
        <f>IF(OR(F327="",J327=""),"",IF(AND(J327&gt;0,I327=1),J327*'פרמטרים לקריטריונים'!$C$64,$Q$2))</f>
        <v/>
      </c>
      <c r="L327" s="227" t="str">
        <f>IF(OR(F327="",J327=""),"",IF(J327&gt;0,'תחום תמיכה ב'!AC327/SUMIFS('תחום תמיכה ב'!$AC$31:$AC$500,'תחום תמיכה ב'!$E$31:$E$500,E327,'תחום תמיכה ב'!$S$31:$S$500,"=1"),0))</f>
        <v/>
      </c>
      <c r="M327" s="213" t="str">
        <f t="shared" si="17"/>
        <v/>
      </c>
      <c r="N327" s="227" t="str">
        <f t="shared" si="18"/>
        <v/>
      </c>
      <c r="O327" s="213" t="str">
        <f t="shared" si="19"/>
        <v/>
      </c>
    </row>
    <row r="328" spans="1:15" ht="15.75" x14ac:dyDescent="0.2">
      <c r="A328" s="206" t="str">
        <f t="shared" si="16"/>
        <v/>
      </c>
      <c r="B328" s="88" t="str">
        <f>IF($F328="","",'הזנה לתנאי סף'!C328)</f>
        <v/>
      </c>
      <c r="C328" s="88" t="str">
        <f>IF($F328="","",'הזנה לתנאי סף'!D328)</f>
        <v/>
      </c>
      <c r="D328" s="88" t="str">
        <f>IF($F328="","",'הזנה לתנאי סף'!E328)</f>
        <v/>
      </c>
      <c r="E328" s="88" t="str">
        <f>IF($F328="","",'הזנה לתנאי סף'!F328)</f>
        <v/>
      </c>
      <c r="F328" s="88" t="str">
        <f>IF(OR('הזנה לתנאי סף'!G328="",'הזנה לתנאי סף'!BL328&lt;&gt;1,'הזנה לתנאי סף'!Q328&lt;&gt;1,'הזנה לתנאי סף'!N328&lt;&gt;1),"",'הזנה לתנאי סף'!G328)</f>
        <v/>
      </c>
      <c r="G328" s="88" t="str">
        <f>IF($F328="","",'הזנה לתנאי סף'!H328)</f>
        <v/>
      </c>
      <c r="H328" s="88" t="str">
        <f>IF($F328="","",'הזנה לתנאי סף'!I328)</f>
        <v/>
      </c>
      <c r="I328" s="88" t="str">
        <f>IF($F328="","",IF(AND('הזנה לתנאי סף'!N328=0,J328&gt;0),$Q$2,'הזנה לתנאי סף'!N328))</f>
        <v/>
      </c>
      <c r="J328" s="213" t="str">
        <f>IF($F328="","",INDEX('גיליון עזר לתחום תמיכה ג'!$H$31:$H$330,MATCH(E328,'גיליון עזר לתחום תמיכה ג'!$C$31:$C$330,0)))</f>
        <v/>
      </c>
      <c r="K328" s="213" t="str">
        <f>IF(OR(F328="",J328=""),"",IF(AND(J328&gt;0,I328=1),J328*'פרמטרים לקריטריונים'!$C$64,$Q$2))</f>
        <v/>
      </c>
      <c r="L328" s="227" t="str">
        <f>IF(OR(F328="",J328=""),"",IF(J328&gt;0,'תחום תמיכה ב'!AC328/SUMIFS('תחום תמיכה ב'!$AC$31:$AC$500,'תחום תמיכה ב'!$E$31:$E$500,E328,'תחום תמיכה ב'!$S$31:$S$500,"=1"),0))</f>
        <v/>
      </c>
      <c r="M328" s="213" t="str">
        <f t="shared" si="17"/>
        <v/>
      </c>
      <c r="N328" s="227" t="str">
        <f t="shared" si="18"/>
        <v/>
      </c>
      <c r="O328" s="213" t="str">
        <f t="shared" si="19"/>
        <v/>
      </c>
    </row>
    <row r="329" spans="1:15" ht="15.75" x14ac:dyDescent="0.2">
      <c r="A329" s="206" t="str">
        <f t="shared" si="16"/>
        <v/>
      </c>
      <c r="B329" s="88" t="str">
        <f>IF($F329="","",'הזנה לתנאי סף'!C329)</f>
        <v/>
      </c>
      <c r="C329" s="88" t="str">
        <f>IF($F329="","",'הזנה לתנאי סף'!D329)</f>
        <v/>
      </c>
      <c r="D329" s="88" t="str">
        <f>IF($F329="","",'הזנה לתנאי סף'!E329)</f>
        <v/>
      </c>
      <c r="E329" s="88" t="str">
        <f>IF($F329="","",'הזנה לתנאי סף'!F329)</f>
        <v/>
      </c>
      <c r="F329" s="88" t="str">
        <f>IF(OR('הזנה לתנאי סף'!G329="",'הזנה לתנאי סף'!BL329&lt;&gt;1,'הזנה לתנאי סף'!Q329&lt;&gt;1,'הזנה לתנאי סף'!N329&lt;&gt;1),"",'הזנה לתנאי סף'!G329)</f>
        <v/>
      </c>
      <c r="G329" s="88" t="str">
        <f>IF($F329="","",'הזנה לתנאי סף'!H329)</f>
        <v/>
      </c>
      <c r="H329" s="88" t="str">
        <f>IF($F329="","",'הזנה לתנאי סף'!I329)</f>
        <v/>
      </c>
      <c r="I329" s="88" t="str">
        <f>IF($F329="","",IF(AND('הזנה לתנאי סף'!N329=0,J329&gt;0),$Q$2,'הזנה לתנאי סף'!N329))</f>
        <v/>
      </c>
      <c r="J329" s="213" t="str">
        <f>IF($F329="","",INDEX('גיליון עזר לתחום תמיכה ג'!$H$31:$H$330,MATCH(E329,'גיליון עזר לתחום תמיכה ג'!$C$31:$C$330,0)))</f>
        <v/>
      </c>
      <c r="K329" s="213" t="str">
        <f>IF(OR(F329="",J329=""),"",IF(AND(J329&gt;0,I329=1),J329*'פרמטרים לקריטריונים'!$C$64,$Q$2))</f>
        <v/>
      </c>
      <c r="L329" s="227" t="str">
        <f>IF(OR(F329="",J329=""),"",IF(J329&gt;0,'תחום תמיכה ב'!AC329/SUMIFS('תחום תמיכה ב'!$AC$31:$AC$500,'תחום תמיכה ב'!$E$31:$E$500,E329,'תחום תמיכה ב'!$S$31:$S$500,"=1"),0))</f>
        <v/>
      </c>
      <c r="M329" s="213" t="str">
        <f t="shared" si="17"/>
        <v/>
      </c>
      <c r="N329" s="227" t="str">
        <f t="shared" si="18"/>
        <v/>
      </c>
      <c r="O329" s="213" t="str">
        <f t="shared" si="19"/>
        <v/>
      </c>
    </row>
    <row r="330" spans="1:15" ht="15.75" x14ac:dyDescent="0.2">
      <c r="A330" s="206" t="str">
        <f t="shared" ref="A330:A393" si="20">IF(F330="","",ROW()-30)</f>
        <v/>
      </c>
      <c r="B330" s="88" t="str">
        <f>IF($F330="","",'הזנה לתנאי סף'!C330)</f>
        <v/>
      </c>
      <c r="C330" s="88" t="str">
        <f>IF($F330="","",'הזנה לתנאי סף'!D330)</f>
        <v/>
      </c>
      <c r="D330" s="88" t="str">
        <f>IF($F330="","",'הזנה לתנאי סף'!E330)</f>
        <v/>
      </c>
      <c r="E330" s="88" t="str">
        <f>IF($F330="","",'הזנה לתנאי סף'!F330)</f>
        <v/>
      </c>
      <c r="F330" s="88" t="str">
        <f>IF(OR('הזנה לתנאי סף'!G330="",'הזנה לתנאי סף'!BL330&lt;&gt;1,'הזנה לתנאי סף'!Q330&lt;&gt;1,'הזנה לתנאי סף'!N330&lt;&gt;1),"",'הזנה לתנאי סף'!G330)</f>
        <v/>
      </c>
      <c r="G330" s="88" t="str">
        <f>IF($F330="","",'הזנה לתנאי סף'!H330)</f>
        <v/>
      </c>
      <c r="H330" s="88" t="str">
        <f>IF($F330="","",'הזנה לתנאי סף'!I330)</f>
        <v/>
      </c>
      <c r="I330" s="88" t="str">
        <f>IF($F330="","",IF(AND('הזנה לתנאי סף'!N330=0,J330&gt;0),$Q$2,'הזנה לתנאי סף'!N330))</f>
        <v/>
      </c>
      <c r="J330" s="213" t="str">
        <f>IF($F330="","",INDEX('גיליון עזר לתחום תמיכה ג'!$H$31:$H$330,MATCH(E330,'גיליון עזר לתחום תמיכה ג'!$C$31:$C$330,0)))</f>
        <v/>
      </c>
      <c r="K330" s="213" t="str">
        <f>IF(OR(F330="",J330=""),"",IF(AND(J330&gt;0,I330=1),J330*'פרמטרים לקריטריונים'!$C$64,$Q$2))</f>
        <v/>
      </c>
      <c r="L330" s="227" t="str">
        <f>IF(OR(F330="",J330=""),"",IF(J330&gt;0,'תחום תמיכה ב'!AC330/SUMIFS('תחום תמיכה ב'!$AC$31:$AC$500,'תחום תמיכה ב'!$E$31:$E$500,E330,'תחום תמיכה ב'!$S$31:$S$500,"=1"),0))</f>
        <v/>
      </c>
      <c r="M330" s="213" t="str">
        <f t="shared" ref="M330:M393" si="21">IF(OR(F330="",J330=""),"",IFERROR(K330*L330,$Q$2))</f>
        <v/>
      </c>
      <c r="N330" s="227" t="str">
        <f t="shared" ref="N330:N393" si="22">IF(OR(F330="",J330=""),"",IFERROR(M330/$M$501,$Q$2))</f>
        <v/>
      </c>
      <c r="O330" s="213" t="str">
        <f t="shared" ref="O330:O393" si="23">IF(N330="","",IF($M$501&lt;$F$4,M330,N330*$F$4))</f>
        <v/>
      </c>
    </row>
    <row r="331" spans="1:15" ht="15.75" x14ac:dyDescent="0.2">
      <c r="A331" s="206" t="str">
        <f t="shared" si="20"/>
        <v/>
      </c>
      <c r="B331" s="88" t="str">
        <f>IF($F331="","",'הזנה לתנאי סף'!C331)</f>
        <v/>
      </c>
      <c r="C331" s="88" t="str">
        <f>IF($F331="","",'הזנה לתנאי סף'!D331)</f>
        <v/>
      </c>
      <c r="D331" s="88" t="str">
        <f>IF($F331="","",'הזנה לתנאי סף'!E331)</f>
        <v/>
      </c>
      <c r="E331" s="88" t="str">
        <f>IF($F331="","",'הזנה לתנאי סף'!F331)</f>
        <v/>
      </c>
      <c r="F331" s="88" t="str">
        <f>IF(OR('הזנה לתנאי סף'!G331="",'הזנה לתנאי סף'!BL331&lt;&gt;1,'הזנה לתנאי סף'!Q331&lt;&gt;1,'הזנה לתנאי סף'!N331&lt;&gt;1),"",'הזנה לתנאי סף'!G331)</f>
        <v/>
      </c>
      <c r="G331" s="88" t="str">
        <f>IF($F331="","",'הזנה לתנאי סף'!H331)</f>
        <v/>
      </c>
      <c r="H331" s="88" t="str">
        <f>IF($F331="","",'הזנה לתנאי סף'!I331)</f>
        <v/>
      </c>
      <c r="I331" s="88" t="str">
        <f>IF($F331="","",IF(AND('הזנה לתנאי סף'!N331=0,J331&gt;0),$Q$2,'הזנה לתנאי סף'!N331))</f>
        <v/>
      </c>
      <c r="J331" s="213" t="str">
        <f>IF($F331="","",INDEX('גיליון עזר לתחום תמיכה ג'!$H$31:$H$330,MATCH(E331,'גיליון עזר לתחום תמיכה ג'!$C$31:$C$330,0)))</f>
        <v/>
      </c>
      <c r="K331" s="213" t="str">
        <f>IF(OR(F331="",J331=""),"",IF(AND(J331&gt;0,I331=1),J331*'פרמטרים לקריטריונים'!$C$64,$Q$2))</f>
        <v/>
      </c>
      <c r="L331" s="227" t="str">
        <f>IF(OR(F331="",J331=""),"",IF(J331&gt;0,'תחום תמיכה ב'!AC331/SUMIFS('תחום תמיכה ב'!$AC$31:$AC$500,'תחום תמיכה ב'!$E$31:$E$500,E331,'תחום תמיכה ב'!$S$31:$S$500,"=1"),0))</f>
        <v/>
      </c>
      <c r="M331" s="213" t="str">
        <f t="shared" si="21"/>
        <v/>
      </c>
      <c r="N331" s="227" t="str">
        <f t="shared" si="22"/>
        <v/>
      </c>
      <c r="O331" s="213" t="str">
        <f t="shared" si="23"/>
        <v/>
      </c>
    </row>
    <row r="332" spans="1:15" ht="15.75" x14ac:dyDescent="0.2">
      <c r="A332" s="206" t="str">
        <f t="shared" si="20"/>
        <v/>
      </c>
      <c r="B332" s="88" t="str">
        <f>IF($F332="","",'הזנה לתנאי סף'!C332)</f>
        <v/>
      </c>
      <c r="C332" s="88" t="str">
        <f>IF($F332="","",'הזנה לתנאי סף'!D332)</f>
        <v/>
      </c>
      <c r="D332" s="88" t="str">
        <f>IF($F332="","",'הזנה לתנאי סף'!E332)</f>
        <v/>
      </c>
      <c r="E332" s="88" t="str">
        <f>IF($F332="","",'הזנה לתנאי סף'!F332)</f>
        <v/>
      </c>
      <c r="F332" s="88" t="str">
        <f>IF(OR('הזנה לתנאי סף'!G332="",'הזנה לתנאי סף'!BL332&lt;&gt;1,'הזנה לתנאי סף'!Q332&lt;&gt;1,'הזנה לתנאי סף'!N332&lt;&gt;1),"",'הזנה לתנאי סף'!G332)</f>
        <v/>
      </c>
      <c r="G332" s="88" t="str">
        <f>IF($F332="","",'הזנה לתנאי סף'!H332)</f>
        <v/>
      </c>
      <c r="H332" s="88" t="str">
        <f>IF($F332="","",'הזנה לתנאי סף'!I332)</f>
        <v/>
      </c>
      <c r="I332" s="88" t="str">
        <f>IF($F332="","",IF(AND('הזנה לתנאי סף'!N332=0,J332&gt;0),$Q$2,'הזנה לתנאי סף'!N332))</f>
        <v/>
      </c>
      <c r="J332" s="213" t="str">
        <f>IF($F332="","",INDEX('גיליון עזר לתחום תמיכה ג'!$H$31:$H$330,MATCH(E332,'גיליון עזר לתחום תמיכה ג'!$C$31:$C$330,0)))</f>
        <v/>
      </c>
      <c r="K332" s="213" t="str">
        <f>IF(OR(F332="",J332=""),"",IF(AND(J332&gt;0,I332=1),J332*'פרמטרים לקריטריונים'!$C$64,$Q$2))</f>
        <v/>
      </c>
      <c r="L332" s="227" t="str">
        <f>IF(OR(F332="",J332=""),"",IF(J332&gt;0,'תחום תמיכה ב'!AC332/SUMIFS('תחום תמיכה ב'!$AC$31:$AC$500,'תחום תמיכה ב'!$E$31:$E$500,E332,'תחום תמיכה ב'!$S$31:$S$500,"=1"),0))</f>
        <v/>
      </c>
      <c r="M332" s="213" t="str">
        <f t="shared" si="21"/>
        <v/>
      </c>
      <c r="N332" s="227" t="str">
        <f t="shared" si="22"/>
        <v/>
      </c>
      <c r="O332" s="213" t="str">
        <f t="shared" si="23"/>
        <v/>
      </c>
    </row>
    <row r="333" spans="1:15" ht="15.75" x14ac:dyDescent="0.2">
      <c r="A333" s="206" t="str">
        <f t="shared" si="20"/>
        <v/>
      </c>
      <c r="B333" s="88" t="str">
        <f>IF($F333="","",'הזנה לתנאי סף'!C333)</f>
        <v/>
      </c>
      <c r="C333" s="88" t="str">
        <f>IF($F333="","",'הזנה לתנאי סף'!D333)</f>
        <v/>
      </c>
      <c r="D333" s="88" t="str">
        <f>IF($F333="","",'הזנה לתנאי סף'!E333)</f>
        <v/>
      </c>
      <c r="E333" s="88" t="str">
        <f>IF($F333="","",'הזנה לתנאי סף'!F333)</f>
        <v/>
      </c>
      <c r="F333" s="88" t="str">
        <f>IF(OR('הזנה לתנאי סף'!G333="",'הזנה לתנאי סף'!BL333&lt;&gt;1,'הזנה לתנאי סף'!Q333&lt;&gt;1,'הזנה לתנאי סף'!N333&lt;&gt;1),"",'הזנה לתנאי סף'!G333)</f>
        <v/>
      </c>
      <c r="G333" s="88" t="str">
        <f>IF($F333="","",'הזנה לתנאי סף'!H333)</f>
        <v/>
      </c>
      <c r="H333" s="88" t="str">
        <f>IF($F333="","",'הזנה לתנאי סף'!I333)</f>
        <v/>
      </c>
      <c r="I333" s="88" t="str">
        <f>IF($F333="","",IF(AND('הזנה לתנאי סף'!N333=0,J333&gt;0),$Q$2,'הזנה לתנאי סף'!N333))</f>
        <v/>
      </c>
      <c r="J333" s="213" t="str">
        <f>IF($F333="","",INDEX('גיליון עזר לתחום תמיכה ג'!$H$31:$H$330,MATCH(E333,'גיליון עזר לתחום תמיכה ג'!$C$31:$C$330,0)))</f>
        <v/>
      </c>
      <c r="K333" s="213" t="str">
        <f>IF(OR(F333="",J333=""),"",IF(AND(J333&gt;0,I333=1),J333*'פרמטרים לקריטריונים'!$C$64,$Q$2))</f>
        <v/>
      </c>
      <c r="L333" s="227" t="str">
        <f>IF(OR(F333="",J333=""),"",IF(J333&gt;0,'תחום תמיכה ב'!AC333/SUMIFS('תחום תמיכה ב'!$AC$31:$AC$500,'תחום תמיכה ב'!$E$31:$E$500,E333,'תחום תמיכה ב'!$S$31:$S$500,"=1"),0))</f>
        <v/>
      </c>
      <c r="M333" s="213" t="str">
        <f t="shared" si="21"/>
        <v/>
      </c>
      <c r="N333" s="227" t="str">
        <f t="shared" si="22"/>
        <v/>
      </c>
      <c r="O333" s="213" t="str">
        <f t="shared" si="23"/>
        <v/>
      </c>
    </row>
    <row r="334" spans="1:15" ht="15.75" x14ac:dyDescent="0.2">
      <c r="A334" s="206" t="str">
        <f t="shared" si="20"/>
        <v/>
      </c>
      <c r="B334" s="88" t="str">
        <f>IF($F334="","",'הזנה לתנאי סף'!C334)</f>
        <v/>
      </c>
      <c r="C334" s="88" t="str">
        <f>IF($F334="","",'הזנה לתנאי סף'!D334)</f>
        <v/>
      </c>
      <c r="D334" s="88" t="str">
        <f>IF($F334="","",'הזנה לתנאי סף'!E334)</f>
        <v/>
      </c>
      <c r="E334" s="88" t="str">
        <f>IF($F334="","",'הזנה לתנאי סף'!F334)</f>
        <v/>
      </c>
      <c r="F334" s="88" t="str">
        <f>IF(OR('הזנה לתנאי סף'!G334="",'הזנה לתנאי סף'!BL334&lt;&gt;1,'הזנה לתנאי סף'!Q334&lt;&gt;1,'הזנה לתנאי סף'!N334&lt;&gt;1),"",'הזנה לתנאי סף'!G334)</f>
        <v/>
      </c>
      <c r="G334" s="88" t="str">
        <f>IF($F334="","",'הזנה לתנאי סף'!H334)</f>
        <v/>
      </c>
      <c r="H334" s="88" t="str">
        <f>IF($F334="","",'הזנה לתנאי סף'!I334)</f>
        <v/>
      </c>
      <c r="I334" s="88" t="str">
        <f>IF($F334="","",IF(AND('הזנה לתנאי סף'!N334=0,J334&gt;0),$Q$2,'הזנה לתנאי סף'!N334))</f>
        <v/>
      </c>
      <c r="J334" s="213" t="str">
        <f>IF($F334="","",INDEX('גיליון עזר לתחום תמיכה ג'!$H$31:$H$330,MATCH(E334,'גיליון עזר לתחום תמיכה ג'!$C$31:$C$330,0)))</f>
        <v/>
      </c>
      <c r="K334" s="213" t="str">
        <f>IF(OR(F334="",J334=""),"",IF(AND(J334&gt;0,I334=1),J334*'פרמטרים לקריטריונים'!$C$64,$Q$2))</f>
        <v/>
      </c>
      <c r="L334" s="227" t="str">
        <f>IF(OR(F334="",J334=""),"",IF(J334&gt;0,'תחום תמיכה ב'!AC334/SUMIFS('תחום תמיכה ב'!$AC$31:$AC$500,'תחום תמיכה ב'!$E$31:$E$500,E334,'תחום תמיכה ב'!$S$31:$S$500,"=1"),0))</f>
        <v/>
      </c>
      <c r="M334" s="213" t="str">
        <f t="shared" si="21"/>
        <v/>
      </c>
      <c r="N334" s="227" t="str">
        <f t="shared" si="22"/>
        <v/>
      </c>
      <c r="O334" s="213" t="str">
        <f t="shared" si="23"/>
        <v/>
      </c>
    </row>
    <row r="335" spans="1:15" ht="15.75" x14ac:dyDescent="0.2">
      <c r="A335" s="206" t="str">
        <f t="shared" si="20"/>
        <v/>
      </c>
      <c r="B335" s="88" t="str">
        <f>IF($F335="","",'הזנה לתנאי סף'!C335)</f>
        <v/>
      </c>
      <c r="C335" s="88" t="str">
        <f>IF($F335="","",'הזנה לתנאי סף'!D335)</f>
        <v/>
      </c>
      <c r="D335" s="88" t="str">
        <f>IF($F335="","",'הזנה לתנאי סף'!E335)</f>
        <v/>
      </c>
      <c r="E335" s="88" t="str">
        <f>IF($F335="","",'הזנה לתנאי סף'!F335)</f>
        <v/>
      </c>
      <c r="F335" s="88" t="str">
        <f>IF(OR('הזנה לתנאי סף'!G335="",'הזנה לתנאי סף'!BL335&lt;&gt;1,'הזנה לתנאי סף'!Q335&lt;&gt;1,'הזנה לתנאי סף'!N335&lt;&gt;1),"",'הזנה לתנאי סף'!G335)</f>
        <v/>
      </c>
      <c r="G335" s="88" t="str">
        <f>IF($F335="","",'הזנה לתנאי סף'!H335)</f>
        <v/>
      </c>
      <c r="H335" s="88" t="str">
        <f>IF($F335="","",'הזנה לתנאי סף'!I335)</f>
        <v/>
      </c>
      <c r="I335" s="88" t="str">
        <f>IF($F335="","",IF(AND('הזנה לתנאי סף'!N335=0,J335&gt;0),$Q$2,'הזנה לתנאי סף'!N335))</f>
        <v/>
      </c>
      <c r="J335" s="213" t="str">
        <f>IF($F335="","",INDEX('גיליון עזר לתחום תמיכה ג'!$H$31:$H$330,MATCH(E335,'גיליון עזר לתחום תמיכה ג'!$C$31:$C$330,0)))</f>
        <v/>
      </c>
      <c r="K335" s="213" t="str">
        <f>IF(OR(F335="",J335=""),"",IF(AND(J335&gt;0,I335=1),J335*'פרמטרים לקריטריונים'!$C$64,$Q$2))</f>
        <v/>
      </c>
      <c r="L335" s="227" t="str">
        <f>IF(OR(F335="",J335=""),"",IF(J335&gt;0,'תחום תמיכה ב'!AC335/SUMIFS('תחום תמיכה ב'!$AC$31:$AC$500,'תחום תמיכה ב'!$E$31:$E$500,E335,'תחום תמיכה ב'!$S$31:$S$500,"=1"),0))</f>
        <v/>
      </c>
      <c r="M335" s="213" t="str">
        <f t="shared" si="21"/>
        <v/>
      </c>
      <c r="N335" s="227" t="str">
        <f t="shared" si="22"/>
        <v/>
      </c>
      <c r="O335" s="213" t="str">
        <f t="shared" si="23"/>
        <v/>
      </c>
    </row>
    <row r="336" spans="1:15" ht="15.75" x14ac:dyDescent="0.2">
      <c r="A336" s="206" t="str">
        <f t="shared" si="20"/>
        <v/>
      </c>
      <c r="B336" s="88" t="str">
        <f>IF($F336="","",'הזנה לתנאי סף'!C336)</f>
        <v/>
      </c>
      <c r="C336" s="88" t="str">
        <f>IF($F336="","",'הזנה לתנאי סף'!D336)</f>
        <v/>
      </c>
      <c r="D336" s="88" t="str">
        <f>IF($F336="","",'הזנה לתנאי סף'!E336)</f>
        <v/>
      </c>
      <c r="E336" s="88" t="str">
        <f>IF($F336="","",'הזנה לתנאי סף'!F336)</f>
        <v/>
      </c>
      <c r="F336" s="88" t="str">
        <f>IF(OR('הזנה לתנאי סף'!G336="",'הזנה לתנאי סף'!BL336&lt;&gt;1,'הזנה לתנאי סף'!Q336&lt;&gt;1,'הזנה לתנאי סף'!N336&lt;&gt;1),"",'הזנה לתנאי סף'!G336)</f>
        <v/>
      </c>
      <c r="G336" s="88" t="str">
        <f>IF($F336="","",'הזנה לתנאי סף'!H336)</f>
        <v/>
      </c>
      <c r="H336" s="88" t="str">
        <f>IF($F336="","",'הזנה לתנאי סף'!I336)</f>
        <v/>
      </c>
      <c r="I336" s="88" t="str">
        <f>IF($F336="","",IF(AND('הזנה לתנאי סף'!N336=0,J336&gt;0),$Q$2,'הזנה לתנאי סף'!N336))</f>
        <v/>
      </c>
      <c r="J336" s="213" t="str">
        <f>IF($F336="","",INDEX('גיליון עזר לתחום תמיכה ג'!$H$31:$H$330,MATCH(E336,'גיליון עזר לתחום תמיכה ג'!$C$31:$C$330,0)))</f>
        <v/>
      </c>
      <c r="K336" s="213" t="str">
        <f>IF(OR(F336="",J336=""),"",IF(AND(J336&gt;0,I336=1),J336*'פרמטרים לקריטריונים'!$C$64,$Q$2))</f>
        <v/>
      </c>
      <c r="L336" s="227" t="str">
        <f>IF(OR(F336="",J336=""),"",IF(J336&gt;0,'תחום תמיכה ב'!AC336/SUMIFS('תחום תמיכה ב'!$AC$31:$AC$500,'תחום תמיכה ב'!$E$31:$E$500,E336,'תחום תמיכה ב'!$S$31:$S$500,"=1"),0))</f>
        <v/>
      </c>
      <c r="M336" s="213" t="str">
        <f t="shared" si="21"/>
        <v/>
      </c>
      <c r="N336" s="227" t="str">
        <f t="shared" si="22"/>
        <v/>
      </c>
      <c r="O336" s="213" t="str">
        <f t="shared" si="23"/>
        <v/>
      </c>
    </row>
    <row r="337" spans="1:15" ht="15.75" x14ac:dyDescent="0.2">
      <c r="A337" s="206" t="str">
        <f t="shared" si="20"/>
        <v/>
      </c>
      <c r="B337" s="88" t="str">
        <f>IF($F337="","",'הזנה לתנאי סף'!C337)</f>
        <v/>
      </c>
      <c r="C337" s="88" t="str">
        <f>IF($F337="","",'הזנה לתנאי סף'!D337)</f>
        <v/>
      </c>
      <c r="D337" s="88" t="str">
        <f>IF($F337="","",'הזנה לתנאי סף'!E337)</f>
        <v/>
      </c>
      <c r="E337" s="88" t="str">
        <f>IF($F337="","",'הזנה לתנאי סף'!F337)</f>
        <v/>
      </c>
      <c r="F337" s="88" t="str">
        <f>IF(OR('הזנה לתנאי סף'!G337="",'הזנה לתנאי סף'!BL337&lt;&gt;1,'הזנה לתנאי סף'!Q337&lt;&gt;1,'הזנה לתנאי סף'!N337&lt;&gt;1),"",'הזנה לתנאי סף'!G337)</f>
        <v/>
      </c>
      <c r="G337" s="88" t="str">
        <f>IF($F337="","",'הזנה לתנאי סף'!H337)</f>
        <v/>
      </c>
      <c r="H337" s="88" t="str">
        <f>IF($F337="","",'הזנה לתנאי סף'!I337)</f>
        <v/>
      </c>
      <c r="I337" s="88" t="str">
        <f>IF($F337="","",IF(AND('הזנה לתנאי סף'!N337=0,J337&gt;0),$Q$2,'הזנה לתנאי סף'!N337))</f>
        <v/>
      </c>
      <c r="J337" s="213" t="str">
        <f>IF($F337="","",INDEX('גיליון עזר לתחום תמיכה ג'!$H$31:$H$330,MATCH(E337,'גיליון עזר לתחום תמיכה ג'!$C$31:$C$330,0)))</f>
        <v/>
      </c>
      <c r="K337" s="213" t="str">
        <f>IF(OR(F337="",J337=""),"",IF(AND(J337&gt;0,I337=1),J337*'פרמטרים לקריטריונים'!$C$64,$Q$2))</f>
        <v/>
      </c>
      <c r="L337" s="227" t="str">
        <f>IF(OR(F337="",J337=""),"",IF(J337&gt;0,'תחום תמיכה ב'!AC337/SUMIFS('תחום תמיכה ב'!$AC$31:$AC$500,'תחום תמיכה ב'!$E$31:$E$500,E337,'תחום תמיכה ב'!$S$31:$S$500,"=1"),0))</f>
        <v/>
      </c>
      <c r="M337" s="213" t="str">
        <f t="shared" si="21"/>
        <v/>
      </c>
      <c r="N337" s="227" t="str">
        <f t="shared" si="22"/>
        <v/>
      </c>
      <c r="O337" s="213" t="str">
        <f t="shared" si="23"/>
        <v/>
      </c>
    </row>
    <row r="338" spans="1:15" ht="15.75" x14ac:dyDescent="0.2">
      <c r="A338" s="206" t="str">
        <f t="shared" si="20"/>
        <v/>
      </c>
      <c r="B338" s="88" t="str">
        <f>IF($F338="","",'הזנה לתנאי סף'!C338)</f>
        <v/>
      </c>
      <c r="C338" s="88" t="str">
        <f>IF($F338="","",'הזנה לתנאי סף'!D338)</f>
        <v/>
      </c>
      <c r="D338" s="88" t="str">
        <f>IF($F338="","",'הזנה לתנאי סף'!E338)</f>
        <v/>
      </c>
      <c r="E338" s="88" t="str">
        <f>IF($F338="","",'הזנה לתנאי סף'!F338)</f>
        <v/>
      </c>
      <c r="F338" s="88" t="str">
        <f>IF(OR('הזנה לתנאי סף'!G338="",'הזנה לתנאי סף'!BL338&lt;&gt;1,'הזנה לתנאי סף'!Q338&lt;&gt;1,'הזנה לתנאי סף'!N338&lt;&gt;1),"",'הזנה לתנאי סף'!G338)</f>
        <v/>
      </c>
      <c r="G338" s="88" t="str">
        <f>IF($F338="","",'הזנה לתנאי סף'!H338)</f>
        <v/>
      </c>
      <c r="H338" s="88" t="str">
        <f>IF($F338="","",'הזנה לתנאי סף'!I338)</f>
        <v/>
      </c>
      <c r="I338" s="88" t="str">
        <f>IF($F338="","",IF(AND('הזנה לתנאי סף'!N338=0,J338&gt;0),$Q$2,'הזנה לתנאי סף'!N338))</f>
        <v/>
      </c>
      <c r="J338" s="213" t="str">
        <f>IF($F338="","",INDEX('גיליון עזר לתחום תמיכה ג'!$H$31:$H$330,MATCH(E338,'גיליון עזר לתחום תמיכה ג'!$C$31:$C$330,0)))</f>
        <v/>
      </c>
      <c r="K338" s="213" t="str">
        <f>IF(OR(F338="",J338=""),"",IF(AND(J338&gt;0,I338=1),J338*'פרמטרים לקריטריונים'!$C$64,$Q$2))</f>
        <v/>
      </c>
      <c r="L338" s="227" t="str">
        <f>IF(OR(F338="",J338=""),"",IF(J338&gt;0,'תחום תמיכה ב'!AC338/SUMIFS('תחום תמיכה ב'!$AC$31:$AC$500,'תחום תמיכה ב'!$E$31:$E$500,E338,'תחום תמיכה ב'!$S$31:$S$500,"=1"),0))</f>
        <v/>
      </c>
      <c r="M338" s="213" t="str">
        <f t="shared" si="21"/>
        <v/>
      </c>
      <c r="N338" s="227" t="str">
        <f t="shared" si="22"/>
        <v/>
      </c>
      <c r="O338" s="213" t="str">
        <f t="shared" si="23"/>
        <v/>
      </c>
    </row>
    <row r="339" spans="1:15" ht="15.75" x14ac:dyDescent="0.2">
      <c r="A339" s="206" t="str">
        <f t="shared" si="20"/>
        <v/>
      </c>
      <c r="B339" s="88" t="str">
        <f>IF($F339="","",'הזנה לתנאי סף'!C339)</f>
        <v/>
      </c>
      <c r="C339" s="88" t="str">
        <f>IF($F339="","",'הזנה לתנאי סף'!D339)</f>
        <v/>
      </c>
      <c r="D339" s="88" t="str">
        <f>IF($F339="","",'הזנה לתנאי סף'!E339)</f>
        <v/>
      </c>
      <c r="E339" s="88" t="str">
        <f>IF($F339="","",'הזנה לתנאי סף'!F339)</f>
        <v/>
      </c>
      <c r="F339" s="88" t="str">
        <f>IF(OR('הזנה לתנאי סף'!G339="",'הזנה לתנאי סף'!BL339&lt;&gt;1,'הזנה לתנאי סף'!Q339&lt;&gt;1,'הזנה לתנאי סף'!N339&lt;&gt;1),"",'הזנה לתנאי סף'!G339)</f>
        <v/>
      </c>
      <c r="G339" s="88" t="str">
        <f>IF($F339="","",'הזנה לתנאי סף'!H339)</f>
        <v/>
      </c>
      <c r="H339" s="88" t="str">
        <f>IF($F339="","",'הזנה לתנאי סף'!I339)</f>
        <v/>
      </c>
      <c r="I339" s="88" t="str">
        <f>IF($F339="","",IF(AND('הזנה לתנאי סף'!N339=0,J339&gt;0),$Q$2,'הזנה לתנאי סף'!N339))</f>
        <v/>
      </c>
      <c r="J339" s="213" t="str">
        <f>IF($F339="","",INDEX('גיליון עזר לתחום תמיכה ג'!$H$31:$H$330,MATCH(E339,'גיליון עזר לתחום תמיכה ג'!$C$31:$C$330,0)))</f>
        <v/>
      </c>
      <c r="K339" s="213" t="str">
        <f>IF(OR(F339="",J339=""),"",IF(AND(J339&gt;0,I339=1),J339*'פרמטרים לקריטריונים'!$C$64,$Q$2))</f>
        <v/>
      </c>
      <c r="L339" s="227" t="str">
        <f>IF(OR(F339="",J339=""),"",IF(J339&gt;0,'תחום תמיכה ב'!AC339/SUMIFS('תחום תמיכה ב'!$AC$31:$AC$500,'תחום תמיכה ב'!$E$31:$E$500,E339,'תחום תמיכה ב'!$S$31:$S$500,"=1"),0))</f>
        <v/>
      </c>
      <c r="M339" s="213" t="str">
        <f t="shared" si="21"/>
        <v/>
      </c>
      <c r="N339" s="227" t="str">
        <f t="shared" si="22"/>
        <v/>
      </c>
      <c r="O339" s="213" t="str">
        <f t="shared" si="23"/>
        <v/>
      </c>
    </row>
    <row r="340" spans="1:15" ht="15.75" x14ac:dyDescent="0.2">
      <c r="A340" s="206" t="str">
        <f t="shared" si="20"/>
        <v/>
      </c>
      <c r="B340" s="88" t="str">
        <f>IF($F340="","",'הזנה לתנאי סף'!C340)</f>
        <v/>
      </c>
      <c r="C340" s="88" t="str">
        <f>IF($F340="","",'הזנה לתנאי סף'!D340)</f>
        <v/>
      </c>
      <c r="D340" s="88" t="str">
        <f>IF($F340="","",'הזנה לתנאי סף'!E340)</f>
        <v/>
      </c>
      <c r="E340" s="88" t="str">
        <f>IF($F340="","",'הזנה לתנאי סף'!F340)</f>
        <v/>
      </c>
      <c r="F340" s="88" t="str">
        <f>IF(OR('הזנה לתנאי סף'!G340="",'הזנה לתנאי סף'!BL340&lt;&gt;1,'הזנה לתנאי סף'!Q340&lt;&gt;1,'הזנה לתנאי סף'!N340&lt;&gt;1),"",'הזנה לתנאי סף'!G340)</f>
        <v/>
      </c>
      <c r="G340" s="88" t="str">
        <f>IF($F340="","",'הזנה לתנאי סף'!H340)</f>
        <v/>
      </c>
      <c r="H340" s="88" t="str">
        <f>IF($F340="","",'הזנה לתנאי סף'!I340)</f>
        <v/>
      </c>
      <c r="I340" s="88" t="str">
        <f>IF($F340="","",IF(AND('הזנה לתנאי סף'!N340=0,J340&gt;0),$Q$2,'הזנה לתנאי סף'!N340))</f>
        <v/>
      </c>
      <c r="J340" s="213" t="str">
        <f>IF($F340="","",INDEX('גיליון עזר לתחום תמיכה ג'!$H$31:$H$330,MATCH(E340,'גיליון עזר לתחום תמיכה ג'!$C$31:$C$330,0)))</f>
        <v/>
      </c>
      <c r="K340" s="213" t="str">
        <f>IF(OR(F340="",J340=""),"",IF(AND(J340&gt;0,I340=1),J340*'פרמטרים לקריטריונים'!$C$64,$Q$2))</f>
        <v/>
      </c>
      <c r="L340" s="227" t="str">
        <f>IF(OR(F340="",J340=""),"",IF(J340&gt;0,'תחום תמיכה ב'!AC340/SUMIFS('תחום תמיכה ב'!$AC$31:$AC$500,'תחום תמיכה ב'!$E$31:$E$500,E340,'תחום תמיכה ב'!$S$31:$S$500,"=1"),0))</f>
        <v/>
      </c>
      <c r="M340" s="213" t="str">
        <f t="shared" si="21"/>
        <v/>
      </c>
      <c r="N340" s="227" t="str">
        <f t="shared" si="22"/>
        <v/>
      </c>
      <c r="O340" s="213" t="str">
        <f t="shared" si="23"/>
        <v/>
      </c>
    </row>
    <row r="341" spans="1:15" ht="15.75" x14ac:dyDescent="0.2">
      <c r="A341" s="206" t="str">
        <f t="shared" si="20"/>
        <v/>
      </c>
      <c r="B341" s="88" t="str">
        <f>IF($F341="","",'הזנה לתנאי סף'!C341)</f>
        <v/>
      </c>
      <c r="C341" s="88" t="str">
        <f>IF($F341="","",'הזנה לתנאי סף'!D341)</f>
        <v/>
      </c>
      <c r="D341" s="88" t="str">
        <f>IF($F341="","",'הזנה לתנאי סף'!E341)</f>
        <v/>
      </c>
      <c r="E341" s="88" t="str">
        <f>IF($F341="","",'הזנה לתנאי סף'!F341)</f>
        <v/>
      </c>
      <c r="F341" s="88" t="str">
        <f>IF(OR('הזנה לתנאי סף'!G341="",'הזנה לתנאי סף'!BL341&lt;&gt;1,'הזנה לתנאי סף'!Q341&lt;&gt;1,'הזנה לתנאי סף'!N341&lt;&gt;1),"",'הזנה לתנאי סף'!G341)</f>
        <v/>
      </c>
      <c r="G341" s="88" t="str">
        <f>IF($F341="","",'הזנה לתנאי סף'!H341)</f>
        <v/>
      </c>
      <c r="H341" s="88" t="str">
        <f>IF($F341="","",'הזנה לתנאי סף'!I341)</f>
        <v/>
      </c>
      <c r="I341" s="88" t="str">
        <f>IF($F341="","",IF(AND('הזנה לתנאי סף'!N341=0,J341&gt;0),$Q$2,'הזנה לתנאי סף'!N341))</f>
        <v/>
      </c>
      <c r="J341" s="213" t="str">
        <f>IF($F341="","",INDEX('גיליון עזר לתחום תמיכה ג'!$H$31:$H$330,MATCH(E341,'גיליון עזר לתחום תמיכה ג'!$C$31:$C$330,0)))</f>
        <v/>
      </c>
      <c r="K341" s="213" t="str">
        <f>IF(OR(F341="",J341=""),"",IF(AND(J341&gt;0,I341=1),J341*'פרמטרים לקריטריונים'!$C$64,$Q$2))</f>
        <v/>
      </c>
      <c r="L341" s="227" t="str">
        <f>IF(OR(F341="",J341=""),"",IF(J341&gt;0,'תחום תמיכה ב'!AC341/SUMIFS('תחום תמיכה ב'!$AC$31:$AC$500,'תחום תמיכה ב'!$E$31:$E$500,E341,'תחום תמיכה ב'!$S$31:$S$500,"=1"),0))</f>
        <v/>
      </c>
      <c r="M341" s="213" t="str">
        <f t="shared" si="21"/>
        <v/>
      </c>
      <c r="N341" s="227" t="str">
        <f t="shared" si="22"/>
        <v/>
      </c>
      <c r="O341" s="213" t="str">
        <f t="shared" si="23"/>
        <v/>
      </c>
    </row>
    <row r="342" spans="1:15" ht="15.75" x14ac:dyDescent="0.2">
      <c r="A342" s="206" t="str">
        <f t="shared" si="20"/>
        <v/>
      </c>
      <c r="B342" s="88" t="str">
        <f>IF($F342="","",'הזנה לתנאי סף'!C342)</f>
        <v/>
      </c>
      <c r="C342" s="88" t="str">
        <f>IF($F342="","",'הזנה לתנאי סף'!D342)</f>
        <v/>
      </c>
      <c r="D342" s="88" t="str">
        <f>IF($F342="","",'הזנה לתנאי סף'!E342)</f>
        <v/>
      </c>
      <c r="E342" s="88" t="str">
        <f>IF($F342="","",'הזנה לתנאי סף'!F342)</f>
        <v/>
      </c>
      <c r="F342" s="88" t="str">
        <f>IF(OR('הזנה לתנאי סף'!G342="",'הזנה לתנאי סף'!BL342&lt;&gt;1,'הזנה לתנאי סף'!Q342&lt;&gt;1,'הזנה לתנאי סף'!N342&lt;&gt;1),"",'הזנה לתנאי סף'!G342)</f>
        <v/>
      </c>
      <c r="G342" s="88" t="str">
        <f>IF($F342="","",'הזנה לתנאי סף'!H342)</f>
        <v/>
      </c>
      <c r="H342" s="88" t="str">
        <f>IF($F342="","",'הזנה לתנאי סף'!I342)</f>
        <v/>
      </c>
      <c r="I342" s="88" t="str">
        <f>IF($F342="","",IF(AND('הזנה לתנאי סף'!N342=0,J342&gt;0),$Q$2,'הזנה לתנאי סף'!N342))</f>
        <v/>
      </c>
      <c r="J342" s="213" t="str">
        <f>IF($F342="","",INDEX('גיליון עזר לתחום תמיכה ג'!$H$31:$H$330,MATCH(E342,'גיליון עזר לתחום תמיכה ג'!$C$31:$C$330,0)))</f>
        <v/>
      </c>
      <c r="K342" s="213" t="str">
        <f>IF(OR(F342="",J342=""),"",IF(AND(J342&gt;0,I342=1),J342*'פרמטרים לקריטריונים'!$C$64,$Q$2))</f>
        <v/>
      </c>
      <c r="L342" s="227" t="str">
        <f>IF(OR(F342="",J342=""),"",IF(J342&gt;0,'תחום תמיכה ב'!AC342/SUMIFS('תחום תמיכה ב'!$AC$31:$AC$500,'תחום תמיכה ב'!$E$31:$E$500,E342,'תחום תמיכה ב'!$S$31:$S$500,"=1"),0))</f>
        <v/>
      </c>
      <c r="M342" s="213" t="str">
        <f t="shared" si="21"/>
        <v/>
      </c>
      <c r="N342" s="227" t="str">
        <f t="shared" si="22"/>
        <v/>
      </c>
      <c r="O342" s="213" t="str">
        <f t="shared" si="23"/>
        <v/>
      </c>
    </row>
    <row r="343" spans="1:15" ht="15.75" x14ac:dyDescent="0.2">
      <c r="A343" s="206" t="str">
        <f t="shared" si="20"/>
        <v/>
      </c>
      <c r="B343" s="88" t="str">
        <f>IF($F343="","",'הזנה לתנאי סף'!C343)</f>
        <v/>
      </c>
      <c r="C343" s="88" t="str">
        <f>IF($F343="","",'הזנה לתנאי סף'!D343)</f>
        <v/>
      </c>
      <c r="D343" s="88" t="str">
        <f>IF($F343="","",'הזנה לתנאי סף'!E343)</f>
        <v/>
      </c>
      <c r="E343" s="88" t="str">
        <f>IF($F343="","",'הזנה לתנאי סף'!F343)</f>
        <v/>
      </c>
      <c r="F343" s="88" t="str">
        <f>IF(OR('הזנה לתנאי סף'!G343="",'הזנה לתנאי סף'!BL343&lt;&gt;1,'הזנה לתנאי סף'!Q343&lt;&gt;1,'הזנה לתנאי סף'!N343&lt;&gt;1),"",'הזנה לתנאי סף'!G343)</f>
        <v/>
      </c>
      <c r="G343" s="88" t="str">
        <f>IF($F343="","",'הזנה לתנאי סף'!H343)</f>
        <v/>
      </c>
      <c r="H343" s="88" t="str">
        <f>IF($F343="","",'הזנה לתנאי סף'!I343)</f>
        <v/>
      </c>
      <c r="I343" s="88" t="str">
        <f>IF($F343="","",IF(AND('הזנה לתנאי סף'!N343=0,J343&gt;0),$Q$2,'הזנה לתנאי סף'!N343))</f>
        <v/>
      </c>
      <c r="J343" s="213" t="str">
        <f>IF($F343="","",INDEX('גיליון עזר לתחום תמיכה ג'!$H$31:$H$330,MATCH(E343,'גיליון עזר לתחום תמיכה ג'!$C$31:$C$330,0)))</f>
        <v/>
      </c>
      <c r="K343" s="213" t="str">
        <f>IF(OR(F343="",J343=""),"",IF(AND(J343&gt;0,I343=1),J343*'פרמטרים לקריטריונים'!$C$64,$Q$2))</f>
        <v/>
      </c>
      <c r="L343" s="227" t="str">
        <f>IF(OR(F343="",J343=""),"",IF(J343&gt;0,'תחום תמיכה ב'!AC343/SUMIFS('תחום תמיכה ב'!$AC$31:$AC$500,'תחום תמיכה ב'!$E$31:$E$500,E343,'תחום תמיכה ב'!$S$31:$S$500,"=1"),0))</f>
        <v/>
      </c>
      <c r="M343" s="213" t="str">
        <f t="shared" si="21"/>
        <v/>
      </c>
      <c r="N343" s="227" t="str">
        <f t="shared" si="22"/>
        <v/>
      </c>
      <c r="O343" s="213" t="str">
        <f t="shared" si="23"/>
        <v/>
      </c>
    </row>
    <row r="344" spans="1:15" ht="15.75" x14ac:dyDescent="0.2">
      <c r="A344" s="206" t="str">
        <f t="shared" si="20"/>
        <v/>
      </c>
      <c r="B344" s="88" t="str">
        <f>IF($F344="","",'הזנה לתנאי סף'!C344)</f>
        <v/>
      </c>
      <c r="C344" s="88" t="str">
        <f>IF($F344="","",'הזנה לתנאי סף'!D344)</f>
        <v/>
      </c>
      <c r="D344" s="88" t="str">
        <f>IF($F344="","",'הזנה לתנאי סף'!E344)</f>
        <v/>
      </c>
      <c r="E344" s="88" t="str">
        <f>IF($F344="","",'הזנה לתנאי סף'!F344)</f>
        <v/>
      </c>
      <c r="F344" s="88" t="str">
        <f>IF(OR('הזנה לתנאי סף'!G344="",'הזנה לתנאי סף'!BL344&lt;&gt;1,'הזנה לתנאי סף'!Q344&lt;&gt;1,'הזנה לתנאי סף'!N344&lt;&gt;1),"",'הזנה לתנאי סף'!G344)</f>
        <v/>
      </c>
      <c r="G344" s="88" t="str">
        <f>IF($F344="","",'הזנה לתנאי סף'!H344)</f>
        <v/>
      </c>
      <c r="H344" s="88" t="str">
        <f>IF($F344="","",'הזנה לתנאי סף'!I344)</f>
        <v/>
      </c>
      <c r="I344" s="88" t="str">
        <f>IF($F344="","",IF(AND('הזנה לתנאי סף'!N344=0,J344&gt;0),$Q$2,'הזנה לתנאי סף'!N344))</f>
        <v/>
      </c>
      <c r="J344" s="213" t="str">
        <f>IF($F344="","",INDEX('גיליון עזר לתחום תמיכה ג'!$H$31:$H$330,MATCH(E344,'גיליון עזר לתחום תמיכה ג'!$C$31:$C$330,0)))</f>
        <v/>
      </c>
      <c r="K344" s="213" t="str">
        <f>IF(OR(F344="",J344=""),"",IF(AND(J344&gt;0,I344=1),J344*'פרמטרים לקריטריונים'!$C$64,$Q$2))</f>
        <v/>
      </c>
      <c r="L344" s="227" t="str">
        <f>IF(OR(F344="",J344=""),"",IF(J344&gt;0,'תחום תמיכה ב'!AC344/SUMIFS('תחום תמיכה ב'!$AC$31:$AC$500,'תחום תמיכה ב'!$E$31:$E$500,E344,'תחום תמיכה ב'!$S$31:$S$500,"=1"),0))</f>
        <v/>
      </c>
      <c r="M344" s="213" t="str">
        <f t="shared" si="21"/>
        <v/>
      </c>
      <c r="N344" s="227" t="str">
        <f t="shared" si="22"/>
        <v/>
      </c>
      <c r="O344" s="213" t="str">
        <f t="shared" si="23"/>
        <v/>
      </c>
    </row>
    <row r="345" spans="1:15" ht="15.75" x14ac:dyDescent="0.2">
      <c r="A345" s="206" t="str">
        <f t="shared" si="20"/>
        <v/>
      </c>
      <c r="B345" s="88" t="str">
        <f>IF($F345="","",'הזנה לתנאי סף'!C345)</f>
        <v/>
      </c>
      <c r="C345" s="88" t="str">
        <f>IF($F345="","",'הזנה לתנאי סף'!D345)</f>
        <v/>
      </c>
      <c r="D345" s="88" t="str">
        <f>IF($F345="","",'הזנה לתנאי סף'!E345)</f>
        <v/>
      </c>
      <c r="E345" s="88" t="str">
        <f>IF($F345="","",'הזנה לתנאי סף'!F345)</f>
        <v/>
      </c>
      <c r="F345" s="88" t="str">
        <f>IF(OR('הזנה לתנאי סף'!G345="",'הזנה לתנאי סף'!BL345&lt;&gt;1,'הזנה לתנאי סף'!Q345&lt;&gt;1,'הזנה לתנאי סף'!N345&lt;&gt;1),"",'הזנה לתנאי סף'!G345)</f>
        <v/>
      </c>
      <c r="G345" s="88" t="str">
        <f>IF($F345="","",'הזנה לתנאי סף'!H345)</f>
        <v/>
      </c>
      <c r="H345" s="88" t="str">
        <f>IF($F345="","",'הזנה לתנאי סף'!I345)</f>
        <v/>
      </c>
      <c r="I345" s="88" t="str">
        <f>IF($F345="","",IF(AND('הזנה לתנאי סף'!N345=0,J345&gt;0),$Q$2,'הזנה לתנאי סף'!N345))</f>
        <v/>
      </c>
      <c r="J345" s="213" t="str">
        <f>IF($F345="","",INDEX('גיליון עזר לתחום תמיכה ג'!$H$31:$H$330,MATCH(E345,'גיליון עזר לתחום תמיכה ג'!$C$31:$C$330,0)))</f>
        <v/>
      </c>
      <c r="K345" s="213" t="str">
        <f>IF(OR(F345="",J345=""),"",IF(AND(J345&gt;0,I345=1),J345*'פרמטרים לקריטריונים'!$C$64,$Q$2))</f>
        <v/>
      </c>
      <c r="L345" s="227" t="str">
        <f>IF(OR(F345="",J345=""),"",IF(J345&gt;0,'תחום תמיכה ב'!AC345/SUMIFS('תחום תמיכה ב'!$AC$31:$AC$500,'תחום תמיכה ב'!$E$31:$E$500,E345,'תחום תמיכה ב'!$S$31:$S$500,"=1"),0))</f>
        <v/>
      </c>
      <c r="M345" s="213" t="str">
        <f t="shared" si="21"/>
        <v/>
      </c>
      <c r="N345" s="227" t="str">
        <f t="shared" si="22"/>
        <v/>
      </c>
      <c r="O345" s="213" t="str">
        <f t="shared" si="23"/>
        <v/>
      </c>
    </row>
    <row r="346" spans="1:15" ht="15.75" x14ac:dyDescent="0.2">
      <c r="A346" s="206" t="str">
        <f t="shared" si="20"/>
        <v/>
      </c>
      <c r="B346" s="88" t="str">
        <f>IF($F346="","",'הזנה לתנאי סף'!C346)</f>
        <v/>
      </c>
      <c r="C346" s="88" t="str">
        <f>IF($F346="","",'הזנה לתנאי סף'!D346)</f>
        <v/>
      </c>
      <c r="D346" s="88" t="str">
        <f>IF($F346="","",'הזנה לתנאי סף'!E346)</f>
        <v/>
      </c>
      <c r="E346" s="88" t="str">
        <f>IF($F346="","",'הזנה לתנאי סף'!F346)</f>
        <v/>
      </c>
      <c r="F346" s="88" t="str">
        <f>IF(OR('הזנה לתנאי סף'!G346="",'הזנה לתנאי סף'!BL346&lt;&gt;1,'הזנה לתנאי סף'!Q346&lt;&gt;1,'הזנה לתנאי סף'!N346&lt;&gt;1),"",'הזנה לתנאי סף'!G346)</f>
        <v/>
      </c>
      <c r="G346" s="88" t="str">
        <f>IF($F346="","",'הזנה לתנאי סף'!H346)</f>
        <v/>
      </c>
      <c r="H346" s="88" t="str">
        <f>IF($F346="","",'הזנה לתנאי סף'!I346)</f>
        <v/>
      </c>
      <c r="I346" s="88" t="str">
        <f>IF($F346="","",IF(AND('הזנה לתנאי סף'!N346=0,J346&gt;0),$Q$2,'הזנה לתנאי סף'!N346))</f>
        <v/>
      </c>
      <c r="J346" s="213" t="str">
        <f>IF($F346="","",INDEX('גיליון עזר לתחום תמיכה ג'!$H$31:$H$330,MATCH(E346,'גיליון עזר לתחום תמיכה ג'!$C$31:$C$330,0)))</f>
        <v/>
      </c>
      <c r="K346" s="213" t="str">
        <f>IF(OR(F346="",J346=""),"",IF(AND(J346&gt;0,I346=1),J346*'פרמטרים לקריטריונים'!$C$64,$Q$2))</f>
        <v/>
      </c>
      <c r="L346" s="227" t="str">
        <f>IF(OR(F346="",J346=""),"",IF(J346&gt;0,'תחום תמיכה ב'!AC346/SUMIFS('תחום תמיכה ב'!$AC$31:$AC$500,'תחום תמיכה ב'!$E$31:$E$500,E346,'תחום תמיכה ב'!$S$31:$S$500,"=1"),0))</f>
        <v/>
      </c>
      <c r="M346" s="213" t="str">
        <f t="shared" si="21"/>
        <v/>
      </c>
      <c r="N346" s="227" t="str">
        <f t="shared" si="22"/>
        <v/>
      </c>
      <c r="O346" s="213" t="str">
        <f t="shared" si="23"/>
        <v/>
      </c>
    </row>
    <row r="347" spans="1:15" ht="15.75" x14ac:dyDescent="0.2">
      <c r="A347" s="206" t="str">
        <f t="shared" si="20"/>
        <v/>
      </c>
      <c r="B347" s="88" t="str">
        <f>IF($F347="","",'הזנה לתנאי סף'!C347)</f>
        <v/>
      </c>
      <c r="C347" s="88" t="str">
        <f>IF($F347="","",'הזנה לתנאי סף'!D347)</f>
        <v/>
      </c>
      <c r="D347" s="88" t="str">
        <f>IF($F347="","",'הזנה לתנאי סף'!E347)</f>
        <v/>
      </c>
      <c r="E347" s="88" t="str">
        <f>IF($F347="","",'הזנה לתנאי סף'!F347)</f>
        <v/>
      </c>
      <c r="F347" s="88" t="str">
        <f>IF(OR('הזנה לתנאי סף'!G347="",'הזנה לתנאי סף'!BL347&lt;&gt;1,'הזנה לתנאי סף'!Q347&lt;&gt;1,'הזנה לתנאי סף'!N347&lt;&gt;1),"",'הזנה לתנאי סף'!G347)</f>
        <v/>
      </c>
      <c r="G347" s="88" t="str">
        <f>IF($F347="","",'הזנה לתנאי סף'!H347)</f>
        <v/>
      </c>
      <c r="H347" s="88" t="str">
        <f>IF($F347="","",'הזנה לתנאי סף'!I347)</f>
        <v/>
      </c>
      <c r="I347" s="88" t="str">
        <f>IF($F347="","",IF(AND('הזנה לתנאי סף'!N347=0,J347&gt;0),$Q$2,'הזנה לתנאי סף'!N347))</f>
        <v/>
      </c>
      <c r="J347" s="213" t="str">
        <f>IF($F347="","",INDEX('גיליון עזר לתחום תמיכה ג'!$H$31:$H$330,MATCH(E347,'גיליון עזר לתחום תמיכה ג'!$C$31:$C$330,0)))</f>
        <v/>
      </c>
      <c r="K347" s="213" t="str">
        <f>IF(OR(F347="",J347=""),"",IF(AND(J347&gt;0,I347=1),J347*'פרמטרים לקריטריונים'!$C$64,$Q$2))</f>
        <v/>
      </c>
      <c r="L347" s="227" t="str">
        <f>IF(OR(F347="",J347=""),"",IF(J347&gt;0,'תחום תמיכה ב'!AC347/SUMIFS('תחום תמיכה ב'!$AC$31:$AC$500,'תחום תמיכה ב'!$E$31:$E$500,E347,'תחום תמיכה ב'!$S$31:$S$500,"=1"),0))</f>
        <v/>
      </c>
      <c r="M347" s="213" t="str">
        <f t="shared" si="21"/>
        <v/>
      </c>
      <c r="N347" s="227" t="str">
        <f t="shared" si="22"/>
        <v/>
      </c>
      <c r="O347" s="213" t="str">
        <f t="shared" si="23"/>
        <v/>
      </c>
    </row>
    <row r="348" spans="1:15" ht="15.75" x14ac:dyDescent="0.2">
      <c r="A348" s="206" t="str">
        <f t="shared" si="20"/>
        <v/>
      </c>
      <c r="B348" s="88" t="str">
        <f>IF($F348="","",'הזנה לתנאי סף'!C348)</f>
        <v/>
      </c>
      <c r="C348" s="88" t="str">
        <f>IF($F348="","",'הזנה לתנאי סף'!D348)</f>
        <v/>
      </c>
      <c r="D348" s="88" t="str">
        <f>IF($F348="","",'הזנה לתנאי סף'!E348)</f>
        <v/>
      </c>
      <c r="E348" s="88" t="str">
        <f>IF($F348="","",'הזנה לתנאי סף'!F348)</f>
        <v/>
      </c>
      <c r="F348" s="88" t="str">
        <f>IF(OR('הזנה לתנאי סף'!G348="",'הזנה לתנאי סף'!BL348&lt;&gt;1,'הזנה לתנאי סף'!Q348&lt;&gt;1,'הזנה לתנאי סף'!N348&lt;&gt;1),"",'הזנה לתנאי סף'!G348)</f>
        <v/>
      </c>
      <c r="G348" s="88" t="str">
        <f>IF($F348="","",'הזנה לתנאי סף'!H348)</f>
        <v/>
      </c>
      <c r="H348" s="88" t="str">
        <f>IF($F348="","",'הזנה לתנאי סף'!I348)</f>
        <v/>
      </c>
      <c r="I348" s="88" t="str">
        <f>IF($F348="","",IF(AND('הזנה לתנאי סף'!N348=0,J348&gt;0),$Q$2,'הזנה לתנאי סף'!N348))</f>
        <v/>
      </c>
      <c r="J348" s="213" t="str">
        <f>IF($F348="","",INDEX('גיליון עזר לתחום תמיכה ג'!$H$31:$H$330,MATCH(E348,'גיליון עזר לתחום תמיכה ג'!$C$31:$C$330,0)))</f>
        <v/>
      </c>
      <c r="K348" s="213" t="str">
        <f>IF(OR(F348="",J348=""),"",IF(AND(J348&gt;0,I348=1),J348*'פרמטרים לקריטריונים'!$C$64,$Q$2))</f>
        <v/>
      </c>
      <c r="L348" s="227" t="str">
        <f>IF(OR(F348="",J348=""),"",IF(J348&gt;0,'תחום תמיכה ב'!AC348/SUMIFS('תחום תמיכה ב'!$AC$31:$AC$500,'תחום תמיכה ב'!$E$31:$E$500,E348,'תחום תמיכה ב'!$S$31:$S$500,"=1"),0))</f>
        <v/>
      </c>
      <c r="M348" s="213" t="str">
        <f t="shared" si="21"/>
        <v/>
      </c>
      <c r="N348" s="227" t="str">
        <f t="shared" si="22"/>
        <v/>
      </c>
      <c r="O348" s="213" t="str">
        <f t="shared" si="23"/>
        <v/>
      </c>
    </row>
    <row r="349" spans="1:15" ht="15.75" x14ac:dyDescent="0.2">
      <c r="A349" s="206">
        <f t="shared" si="20"/>
        <v>319</v>
      </c>
      <c r="B349" s="88">
        <f>IF($F349="","",'הזנה לתנאי סף'!C349)</f>
        <v>1001349487</v>
      </c>
      <c r="C349" s="88">
        <f>IF($F349="","",'הזנה לתנאי סף'!D349)</f>
        <v>1001263329</v>
      </c>
      <c r="D349" s="88">
        <f>IF($F349="","",'הזנה לתנאי סף'!E349)</f>
        <v>40000567</v>
      </c>
      <c r="E349" s="88">
        <f>IF($F349="","",'הזנה לתנאי סף'!F349)</f>
        <v>20000201</v>
      </c>
      <c r="F349" s="88" t="str">
        <f>IF(OR('הזנה לתנאי סף'!G349="",'הזנה לתנאי סף'!BL349&lt;&gt;1,'הזנה לתנאי סף'!Q349&lt;&gt;1,'הזנה לתנאי סף'!N349&lt;&gt;1),"",'הזנה לתנאי סף'!G349)</f>
        <v>תל אביב -יפו</v>
      </c>
      <c r="G349" s="88" t="str">
        <f>IF($F349="","",'הזנה לתנאי סף'!H349)</f>
        <v>תיאטרון ארצי לילדים ונוער (ע"ר)</v>
      </c>
      <c r="H349" s="88" t="str">
        <f>IF($F349="","",'הזנה לתנאי סף'!I349)</f>
        <v>תיאטרון</v>
      </c>
      <c r="I349" s="88">
        <f>IF($F349="","",IF(AND('הזנה לתנאי סף'!N349=0,J349&gt;0),$Q$2,'הזנה לתנאי סף'!N349))</f>
        <v>1</v>
      </c>
      <c r="J349" s="213">
        <f>IF($F349="","",INDEX('גיליון עזר לתחום תמיכה ג'!$H$31:$H$330,MATCH(E349,'גיליון עזר לתחום תמיכה ג'!$C$31:$C$330,0)))</f>
        <v>15995126</v>
      </c>
      <c r="K349" s="213">
        <f>IF(OR(F349="",J349=""),"",IF(AND(J349&gt;0,I349=1),J349*'פרמטרים לקריטריונים'!$C$64,$Q$2))</f>
        <v>15995126</v>
      </c>
      <c r="L349" s="227">
        <f>IF(OR(F349="",J349=""),"",IF(J349&gt;0,'תחום תמיכה ב'!AC349/SUMIFS('תחום תמיכה ב'!$AC$31:$AC$500,'תחום תמיכה ב'!$E$31:$E$500,E349,'תחום תמיכה ב'!$S$31:$S$500,"=1"),0))</f>
        <v>3.2713433008159466E-2</v>
      </c>
      <c r="M349" s="213">
        <f t="shared" si="21"/>
        <v>523255.48285806971</v>
      </c>
      <c r="N349" s="227">
        <f t="shared" si="22"/>
        <v>2.3775628523479177E-2</v>
      </c>
      <c r="O349" s="213">
        <f t="shared" si="23"/>
        <v>523255.48285806971</v>
      </c>
    </row>
    <row r="350" spans="1:15" ht="15.75" x14ac:dyDescent="0.2">
      <c r="A350" s="206">
        <f t="shared" si="20"/>
        <v>320</v>
      </c>
      <c r="B350" s="88">
        <f>IF($F350="","",'הזנה לתנאי סף'!C350)</f>
        <v>1001347578</v>
      </c>
      <c r="C350" s="88">
        <f>IF($F350="","",'הזנה לתנאי סף'!D350)</f>
        <v>1001275925</v>
      </c>
      <c r="D350" s="88">
        <f>IF($F350="","",'הזנה לתנאי סף'!E350)</f>
        <v>40000632</v>
      </c>
      <c r="E350" s="88">
        <f>IF($F350="","",'הזנה לתנאי סף'!F350)</f>
        <v>20000201</v>
      </c>
      <c r="F350" s="88" t="str">
        <f>IF(OR('הזנה לתנאי סף'!G350="",'הזנה לתנאי סף'!BL350&lt;&gt;1,'הזנה לתנאי סף'!Q350&lt;&gt;1,'הזנה לתנאי סף'!N350&lt;&gt;1),"",'הזנה לתנאי סף'!G350)</f>
        <v>תל אביב -יפו</v>
      </c>
      <c r="G350" s="88" t="str">
        <f>IF($F350="","",'הזנה לתנאי סף'!H350)</f>
        <v>האנסמבל הקולי הישראלי (1995) (ע"ר)</v>
      </c>
      <c r="H350" s="88" t="str">
        <f>IF($F350="","",'הזנה לתנאי סף'!I350)</f>
        <v>אחר</v>
      </c>
      <c r="I350" s="88">
        <f>IF($F350="","",IF(AND('הזנה לתנאי סף'!N350=0,J350&gt;0),$Q$2,'הזנה לתנאי סף'!N350))</f>
        <v>1</v>
      </c>
      <c r="J350" s="213">
        <f>IF($F350="","",INDEX('גיליון עזר לתחום תמיכה ג'!$H$31:$H$330,MATCH(E350,'גיליון עזר לתחום תמיכה ג'!$C$31:$C$330,0)))</f>
        <v>15995126</v>
      </c>
      <c r="K350" s="213">
        <f>IF(OR(F350="",J350=""),"",IF(AND(J350&gt;0,I350=1),J350*'פרמטרים לקריטריונים'!$C$64,$Q$2))</f>
        <v>15995126</v>
      </c>
      <c r="L350" s="227">
        <f>IF(OR(F350="",J350=""),"",IF(J350&gt;0,'תחום תמיכה ב'!AC350/SUMIFS('תחום תמיכה ב'!$AC$31:$AC$500,'תחום תמיכה ב'!$E$31:$E$500,E350,'תחום תמיכה ב'!$S$31:$S$500,"=1"),0))</f>
        <v>1.3147669955528654E-3</v>
      </c>
      <c r="M350" s="213">
        <f t="shared" si="21"/>
        <v>21029.863754509523</v>
      </c>
      <c r="N350" s="227">
        <f t="shared" si="22"/>
        <v>9.5555277470875421E-4</v>
      </c>
      <c r="O350" s="213">
        <f t="shared" si="23"/>
        <v>21029.863754509523</v>
      </c>
    </row>
    <row r="351" spans="1:15" ht="15.75" x14ac:dyDescent="0.2">
      <c r="A351" s="206" t="str">
        <f t="shared" si="20"/>
        <v/>
      </c>
      <c r="B351" s="88" t="str">
        <f>IF($F351="","",'הזנה לתנאי סף'!C351)</f>
        <v/>
      </c>
      <c r="C351" s="88" t="str">
        <f>IF($F351="","",'הזנה לתנאי סף'!D351)</f>
        <v/>
      </c>
      <c r="D351" s="88" t="str">
        <f>IF($F351="","",'הזנה לתנאי סף'!E351)</f>
        <v/>
      </c>
      <c r="E351" s="88" t="str">
        <f>IF($F351="","",'הזנה לתנאי סף'!F351)</f>
        <v/>
      </c>
      <c r="F351" s="88" t="str">
        <f>IF(OR('הזנה לתנאי סף'!G351="",'הזנה לתנאי סף'!BL351&lt;&gt;1,'הזנה לתנאי סף'!Q351&lt;&gt;1,'הזנה לתנאי סף'!N351&lt;&gt;1),"",'הזנה לתנאי סף'!G351)</f>
        <v/>
      </c>
      <c r="G351" s="88" t="str">
        <f>IF($F351="","",'הזנה לתנאי סף'!H351)</f>
        <v/>
      </c>
      <c r="H351" s="88" t="str">
        <f>IF($F351="","",'הזנה לתנאי סף'!I351)</f>
        <v/>
      </c>
      <c r="I351" s="88" t="str">
        <f>IF($F351="","",IF(AND('הזנה לתנאי סף'!N351=0,J351&gt;0),$Q$2,'הזנה לתנאי סף'!N351))</f>
        <v/>
      </c>
      <c r="J351" s="213" t="str">
        <f>IF($F351="","",INDEX('גיליון עזר לתחום תמיכה ג'!$H$31:$H$330,MATCH(E351,'גיליון עזר לתחום תמיכה ג'!$C$31:$C$330,0)))</f>
        <v/>
      </c>
      <c r="K351" s="213" t="str">
        <f>IF(OR(F351="",J351=""),"",IF(AND(J351&gt;0,I351=1),J351*'פרמטרים לקריטריונים'!$C$64,$Q$2))</f>
        <v/>
      </c>
      <c r="L351" s="227" t="str">
        <f>IF(OR(F351="",J351=""),"",IF(J351&gt;0,'תחום תמיכה ב'!AC351/SUMIFS('תחום תמיכה ב'!$AC$31:$AC$500,'תחום תמיכה ב'!$E$31:$E$500,E351,'תחום תמיכה ב'!$S$31:$S$500,"=1"),0))</f>
        <v/>
      </c>
      <c r="M351" s="213" t="str">
        <f t="shared" si="21"/>
        <v/>
      </c>
      <c r="N351" s="227" t="str">
        <f t="shared" si="22"/>
        <v/>
      </c>
      <c r="O351" s="213" t="str">
        <f t="shared" si="23"/>
        <v/>
      </c>
    </row>
    <row r="352" spans="1:15" ht="15.75" x14ac:dyDescent="0.2">
      <c r="A352" s="206">
        <f t="shared" si="20"/>
        <v>322</v>
      </c>
      <c r="B352" s="88">
        <f>IF($F352="","",'הזנה לתנאי סף'!C352)</f>
        <v>1001348981</v>
      </c>
      <c r="C352" s="88">
        <f>IF($F352="","",'הזנה לתנאי סף'!D352)</f>
        <v>1001276716</v>
      </c>
      <c r="D352" s="88">
        <f>IF($F352="","",'הזנה לתנאי סף'!E352)</f>
        <v>40000644</v>
      </c>
      <c r="E352" s="88">
        <f>IF($F352="","",'הזנה לתנאי סף'!F352)</f>
        <v>20000201</v>
      </c>
      <c r="F352" s="88" t="str">
        <f>IF(OR('הזנה לתנאי סף'!G352="",'הזנה לתנאי סף'!BL352&lt;&gt;1,'הזנה לתנאי סף'!Q352&lt;&gt;1,'הזנה לתנאי סף'!N352&lt;&gt;1),"",'הזנה לתנאי סף'!G352)</f>
        <v>תל אביב -יפו</v>
      </c>
      <c r="G352" s="88" t="str">
        <f>IF($F352="","",'הזנה לתנאי סף'!H352)</f>
        <v>תיאטרון השעה הישראלי (ע"ר)</v>
      </c>
      <c r="H352" s="88" t="str">
        <f>IF($F352="","",'הזנה לתנאי סף'!I352)</f>
        <v>תיאטרון</v>
      </c>
      <c r="I352" s="88">
        <f>IF($F352="","",IF(AND('הזנה לתנאי סף'!N352=0,J352&gt;0),$Q$2,'הזנה לתנאי סף'!N352))</f>
        <v>1</v>
      </c>
      <c r="J352" s="213">
        <f>IF($F352="","",INDEX('גיליון עזר לתחום תמיכה ג'!$H$31:$H$330,MATCH(E352,'גיליון עזר לתחום תמיכה ג'!$C$31:$C$330,0)))</f>
        <v>15995126</v>
      </c>
      <c r="K352" s="213">
        <f>IF(OR(F352="",J352=""),"",IF(AND(J352&gt;0,I352=1),J352*'פרמטרים לקריטריונים'!$C$64,$Q$2))</f>
        <v>15995126</v>
      </c>
      <c r="L352" s="227">
        <f>IF(OR(F352="",J352=""),"",IF(J352&gt;0,'תחום תמיכה ב'!AC352/SUMIFS('תחום תמיכה ב'!$AC$31:$AC$500,'תחום תמיכה ב'!$E$31:$E$500,E352,'תחום תמיכה ב'!$S$31:$S$500,"=1"),0))</f>
        <v>5.9360335947442083E-2</v>
      </c>
      <c r="M352" s="213">
        <f t="shared" si="21"/>
        <v>949476.05288166553</v>
      </c>
      <c r="N352" s="227">
        <f t="shared" si="22"/>
        <v>4.314219471136805E-2</v>
      </c>
      <c r="O352" s="213">
        <f t="shared" si="23"/>
        <v>949476.05288166553</v>
      </c>
    </row>
    <row r="353" spans="1:15" ht="15.75" x14ac:dyDescent="0.2">
      <c r="A353" s="206" t="str">
        <f t="shared" si="20"/>
        <v/>
      </c>
      <c r="B353" s="88" t="str">
        <f>IF($F353="","",'הזנה לתנאי סף'!C353)</f>
        <v/>
      </c>
      <c r="C353" s="88" t="str">
        <f>IF($F353="","",'הזנה לתנאי סף'!D353)</f>
        <v/>
      </c>
      <c r="D353" s="88" t="str">
        <f>IF($F353="","",'הזנה לתנאי סף'!E353)</f>
        <v/>
      </c>
      <c r="E353" s="88" t="str">
        <f>IF($F353="","",'הזנה לתנאי סף'!F353)</f>
        <v/>
      </c>
      <c r="F353" s="88" t="str">
        <f>IF(OR('הזנה לתנאי סף'!G353="",'הזנה לתנאי סף'!BL353&lt;&gt;1,'הזנה לתנאי סף'!Q353&lt;&gt;1,'הזנה לתנאי סף'!N353&lt;&gt;1),"",'הזנה לתנאי סף'!G353)</f>
        <v/>
      </c>
      <c r="G353" s="88" t="str">
        <f>IF($F353="","",'הזנה לתנאי סף'!H353)</f>
        <v/>
      </c>
      <c r="H353" s="88" t="str">
        <f>IF($F353="","",'הזנה לתנאי סף'!I353)</f>
        <v/>
      </c>
      <c r="I353" s="88" t="str">
        <f>IF($F353="","",IF(AND('הזנה לתנאי סף'!N353=0,J353&gt;0),$Q$2,'הזנה לתנאי סף'!N353))</f>
        <v/>
      </c>
      <c r="J353" s="213" t="str">
        <f>IF($F353="","",INDEX('גיליון עזר לתחום תמיכה ג'!$H$31:$H$330,MATCH(E353,'גיליון עזר לתחום תמיכה ג'!$C$31:$C$330,0)))</f>
        <v/>
      </c>
      <c r="K353" s="213" t="str">
        <f>IF(OR(F353="",J353=""),"",IF(AND(J353&gt;0,I353=1),J353*'פרמטרים לקריטריונים'!$C$64,$Q$2))</f>
        <v/>
      </c>
      <c r="L353" s="227" t="str">
        <f>IF(OR(F353="",J353=""),"",IF(J353&gt;0,'תחום תמיכה ב'!AC353/SUMIFS('תחום תמיכה ב'!$AC$31:$AC$500,'תחום תמיכה ב'!$E$31:$E$500,E353,'תחום תמיכה ב'!$S$31:$S$500,"=1"),0))</f>
        <v/>
      </c>
      <c r="M353" s="213" t="str">
        <f t="shared" si="21"/>
        <v/>
      </c>
      <c r="N353" s="227" t="str">
        <f t="shared" si="22"/>
        <v/>
      </c>
      <c r="O353" s="213" t="str">
        <f t="shared" si="23"/>
        <v/>
      </c>
    </row>
    <row r="354" spans="1:15" ht="15.75" x14ac:dyDescent="0.2">
      <c r="A354" s="206" t="str">
        <f t="shared" si="20"/>
        <v/>
      </c>
      <c r="B354" s="88" t="str">
        <f>IF($F354="","",'הזנה לתנאי סף'!C354)</f>
        <v/>
      </c>
      <c r="C354" s="88" t="str">
        <f>IF($F354="","",'הזנה לתנאי סף'!D354)</f>
        <v/>
      </c>
      <c r="D354" s="88" t="str">
        <f>IF($F354="","",'הזנה לתנאי סף'!E354)</f>
        <v/>
      </c>
      <c r="E354" s="88" t="str">
        <f>IF($F354="","",'הזנה לתנאי סף'!F354)</f>
        <v/>
      </c>
      <c r="F354" s="88" t="str">
        <f>IF(OR('הזנה לתנאי סף'!G354="",'הזנה לתנאי סף'!BL354&lt;&gt;1,'הזנה לתנאי סף'!Q354&lt;&gt;1,'הזנה לתנאי סף'!N354&lt;&gt;1),"",'הזנה לתנאי סף'!G354)</f>
        <v/>
      </c>
      <c r="G354" s="88" t="str">
        <f>IF($F354="","",'הזנה לתנאי סף'!H354)</f>
        <v/>
      </c>
      <c r="H354" s="88" t="str">
        <f>IF($F354="","",'הזנה לתנאי סף'!I354)</f>
        <v/>
      </c>
      <c r="I354" s="88" t="str">
        <f>IF($F354="","",IF(AND('הזנה לתנאי סף'!N354=0,J354&gt;0),$Q$2,'הזנה לתנאי סף'!N354))</f>
        <v/>
      </c>
      <c r="J354" s="213" t="str">
        <f>IF($F354="","",INDEX('גיליון עזר לתחום תמיכה ג'!$H$31:$H$330,MATCH(E354,'גיליון עזר לתחום תמיכה ג'!$C$31:$C$330,0)))</f>
        <v/>
      </c>
      <c r="K354" s="213" t="str">
        <f>IF(OR(F354="",J354=""),"",IF(AND(J354&gt;0,I354=1),J354*'פרמטרים לקריטריונים'!$C$64,$Q$2))</f>
        <v/>
      </c>
      <c r="L354" s="227" t="str">
        <f>IF(OR(F354="",J354=""),"",IF(J354&gt;0,'תחום תמיכה ב'!AC354/SUMIFS('תחום תמיכה ב'!$AC$31:$AC$500,'תחום תמיכה ב'!$E$31:$E$500,E354,'תחום תמיכה ב'!$S$31:$S$500,"=1"),0))</f>
        <v/>
      </c>
      <c r="M354" s="213" t="str">
        <f t="shared" si="21"/>
        <v/>
      </c>
      <c r="N354" s="227" t="str">
        <f t="shared" si="22"/>
        <v/>
      </c>
      <c r="O354" s="213" t="str">
        <f t="shared" si="23"/>
        <v/>
      </c>
    </row>
    <row r="355" spans="1:15" ht="15.75" x14ac:dyDescent="0.2">
      <c r="A355" s="206">
        <f t="shared" si="20"/>
        <v>325</v>
      </c>
      <c r="B355" s="88">
        <f>IF($F355="","",'הזנה לתנאי סף'!C355)</f>
        <v>1001347016</v>
      </c>
      <c r="C355" s="88">
        <f>IF($F355="","",'הזנה לתנאי סף'!D355)</f>
        <v>1001288832</v>
      </c>
      <c r="D355" s="88">
        <f>IF($F355="","",'הזנה לתנאי סף'!E355)</f>
        <v>40000665</v>
      </c>
      <c r="E355" s="88">
        <f>IF($F355="","",'הזנה לתנאי סף'!F355)</f>
        <v>20000201</v>
      </c>
      <c r="F355" s="88" t="str">
        <f>IF(OR('הזנה לתנאי סף'!G355="",'הזנה לתנאי סף'!BL355&lt;&gt;1,'הזנה לתנאי סף'!Q355&lt;&gt;1,'הזנה לתנאי סף'!N355&lt;&gt;1),"",'הזנה לתנאי סף'!G355)</f>
        <v>תל אביב -יפו</v>
      </c>
      <c r="G355" s="88" t="str">
        <f>IF($F355="","",'הזנה לתנאי סף'!H355)</f>
        <v>תיאטרון "אלסראיא" הערבי - יפו (ע"ר)</v>
      </c>
      <c r="H355" s="88" t="str">
        <f>IF($F355="","",'הזנה לתנאי סף'!I355)</f>
        <v>תיאטרון</v>
      </c>
      <c r="I355" s="88">
        <f>IF($F355="","",IF(AND('הזנה לתנאי סף'!N355=0,J355&gt;0),$Q$2,'הזנה לתנאי סף'!N355))</f>
        <v>1</v>
      </c>
      <c r="J355" s="213">
        <f>IF($F355="","",INDEX('גיליון עזר לתחום תמיכה ג'!$H$31:$H$330,MATCH(E355,'גיליון עזר לתחום תמיכה ג'!$C$31:$C$330,0)))</f>
        <v>15995126</v>
      </c>
      <c r="K355" s="213">
        <f>IF(OR(F355="",J355=""),"",IF(AND(J355&gt;0,I355=1),J355*'פרמטרים לקריטריונים'!$C$64,$Q$2))</f>
        <v>15995126</v>
      </c>
      <c r="L355" s="227">
        <f>IF(OR(F355="",J355=""),"",IF(J355&gt;0,'תחום תמיכה ב'!AC355/SUMIFS('תחום תמיכה ב'!$AC$31:$AC$500,'תחום תמיכה ב'!$E$31:$E$500,E355,'תחום תמיכה ב'!$S$31:$S$500,"=1"),0))</f>
        <v>5.2298864377550605E-4</v>
      </c>
      <c r="M355" s="213">
        <f t="shared" si="21"/>
        <v>8365.2692537583353</v>
      </c>
      <c r="N355" s="227">
        <f t="shared" si="22"/>
        <v>3.8010023935131467E-4</v>
      </c>
      <c r="O355" s="213">
        <f t="shared" si="23"/>
        <v>8365.2692537583353</v>
      </c>
    </row>
    <row r="356" spans="1:15" ht="15.75" x14ac:dyDescent="0.2">
      <c r="A356" s="206" t="str">
        <f t="shared" si="20"/>
        <v/>
      </c>
      <c r="B356" s="88" t="str">
        <f>IF($F356="","",'הזנה לתנאי סף'!C356)</f>
        <v/>
      </c>
      <c r="C356" s="88" t="str">
        <f>IF($F356="","",'הזנה לתנאי סף'!D356)</f>
        <v/>
      </c>
      <c r="D356" s="88" t="str">
        <f>IF($F356="","",'הזנה לתנאי סף'!E356)</f>
        <v/>
      </c>
      <c r="E356" s="88" t="str">
        <f>IF($F356="","",'הזנה לתנאי סף'!F356)</f>
        <v/>
      </c>
      <c r="F356" s="88" t="str">
        <f>IF(OR('הזנה לתנאי סף'!G356="",'הזנה לתנאי סף'!BL356&lt;&gt;1,'הזנה לתנאי סף'!Q356&lt;&gt;1,'הזנה לתנאי סף'!N356&lt;&gt;1),"",'הזנה לתנאי סף'!G356)</f>
        <v/>
      </c>
      <c r="G356" s="88" t="str">
        <f>IF($F356="","",'הזנה לתנאי סף'!H356)</f>
        <v/>
      </c>
      <c r="H356" s="88" t="str">
        <f>IF($F356="","",'הזנה לתנאי סף'!I356)</f>
        <v/>
      </c>
      <c r="I356" s="88" t="str">
        <f>IF($F356="","",IF(AND('הזנה לתנאי סף'!N356=0,J356&gt;0),$Q$2,'הזנה לתנאי סף'!N356))</f>
        <v/>
      </c>
      <c r="J356" s="213" t="str">
        <f>IF($F356="","",INDEX('גיליון עזר לתחום תמיכה ג'!$H$31:$H$330,MATCH(E356,'גיליון עזר לתחום תמיכה ג'!$C$31:$C$330,0)))</f>
        <v/>
      </c>
      <c r="K356" s="213" t="str">
        <f>IF(OR(F356="",J356=""),"",IF(AND(J356&gt;0,I356=1),J356*'פרמטרים לקריטריונים'!$C$64,$Q$2))</f>
        <v/>
      </c>
      <c r="L356" s="227" t="str">
        <f>IF(OR(F356="",J356=""),"",IF(J356&gt;0,'תחום תמיכה ב'!AC356/SUMIFS('תחום תמיכה ב'!$AC$31:$AC$500,'תחום תמיכה ב'!$E$31:$E$500,E356,'תחום תמיכה ב'!$S$31:$S$500,"=1"),0))</f>
        <v/>
      </c>
      <c r="M356" s="213" t="str">
        <f t="shared" si="21"/>
        <v/>
      </c>
      <c r="N356" s="227" t="str">
        <f t="shared" si="22"/>
        <v/>
      </c>
      <c r="O356" s="213" t="str">
        <f t="shared" si="23"/>
        <v/>
      </c>
    </row>
    <row r="357" spans="1:15" ht="15.75" x14ac:dyDescent="0.2">
      <c r="A357" s="206">
        <f t="shared" si="20"/>
        <v>327</v>
      </c>
      <c r="B357" s="88">
        <f>IF($F357="","",'הזנה לתנאי סף'!C357)</f>
        <v>1001348825</v>
      </c>
      <c r="C357" s="88">
        <f>IF($F357="","",'הזנה לתנאי סף'!D357)</f>
        <v>1001270277</v>
      </c>
      <c r="D357" s="88">
        <f>IF($F357="","",'הזנה לתנאי סף'!E357)</f>
        <v>40000678</v>
      </c>
      <c r="E357" s="88">
        <f>IF($F357="","",'הזנה לתנאי סף'!F357)</f>
        <v>20000201</v>
      </c>
      <c r="F357" s="88" t="str">
        <f>IF(OR('הזנה לתנאי סף'!G357="",'הזנה לתנאי סף'!BL357&lt;&gt;1,'הזנה לתנאי סף'!Q357&lt;&gt;1,'הזנה לתנאי סף'!N357&lt;&gt;1),"",'הזנה לתנאי סף'!G357)</f>
        <v>תל אביב -יפו</v>
      </c>
      <c r="G357" s="88" t="str">
        <f>IF($F357="","",'הזנה לתנאי סף'!H357)</f>
        <v>תיאטרון מחול קליפה (ע"ר)</v>
      </c>
      <c r="H357" s="88" t="str">
        <f>IF($F357="","",'הזנה לתנאי סף'!I357)</f>
        <v>תיאטרון</v>
      </c>
      <c r="I357" s="88">
        <f>IF($F357="","",IF(AND('הזנה לתנאי סף'!N357=0,J357&gt;0),$Q$2,'הזנה לתנאי סף'!N357))</f>
        <v>1</v>
      </c>
      <c r="J357" s="213">
        <f>IF($F357="","",INDEX('גיליון עזר לתחום תמיכה ג'!$H$31:$H$330,MATCH(E357,'גיליון עזר לתחום תמיכה ג'!$C$31:$C$330,0)))</f>
        <v>15995126</v>
      </c>
      <c r="K357" s="213">
        <f>IF(OR(F357="",J357=""),"",IF(AND(J357&gt;0,I357=1),J357*'פרמטרים לקריטריונים'!$C$64,$Q$2))</f>
        <v>15995126</v>
      </c>
      <c r="L357" s="227">
        <f>IF(OR(F357="",J357=""),"",IF(J357&gt;0,'תחום תמיכה ב'!AC357/SUMIFS('תחום תמיכה ב'!$AC$31:$AC$500,'תחום תמיכה ב'!$E$31:$E$500,E357,'תחום תמיכה ב'!$S$31:$S$500,"=1"),0))</f>
        <v>1.1153985456004852E-3</v>
      </c>
      <c r="M357" s="213">
        <f t="shared" si="21"/>
        <v>17840.940277096506</v>
      </c>
      <c r="N357" s="227">
        <f t="shared" si="22"/>
        <v>8.1065479948899189E-4</v>
      </c>
      <c r="O357" s="213">
        <f t="shared" si="23"/>
        <v>17840.940277096506</v>
      </c>
    </row>
    <row r="358" spans="1:15" ht="15.75" x14ac:dyDescent="0.2">
      <c r="A358" s="206">
        <f t="shared" si="20"/>
        <v>328</v>
      </c>
      <c r="B358" s="88">
        <f>IF($F358="","",'הזנה לתנאי סף'!C358)</f>
        <v>1001346996</v>
      </c>
      <c r="C358" s="88">
        <f>IF($F358="","",'הזנה לתנאי סף'!D358)</f>
        <v>1001262285</v>
      </c>
      <c r="D358" s="88">
        <f>IF($F358="","",'הזנה לתנאי סף'!E358)</f>
        <v>40000234</v>
      </c>
      <c r="E358" s="88">
        <f>IF($F358="","",'הזנה לתנאי סף'!F358)</f>
        <v>20000159</v>
      </c>
      <c r="F358" s="88" t="str">
        <f>IF(OR('הזנה לתנאי סף'!G358="",'הזנה לתנאי סף'!BL358&lt;&gt;1,'הזנה לתנאי סף'!Q358&lt;&gt;1,'הזנה לתנאי סף'!N358&lt;&gt;1),"",'הזנה לתנאי סף'!G358)</f>
        <v>ירושלים</v>
      </c>
      <c r="G358" s="88" t="str">
        <f>IF($F358="","",'הזנה לתנאי סף'!H358)</f>
        <v>עמותת ורטיגו למחול - ירושלים (ע"ר)</v>
      </c>
      <c r="H358" s="88" t="str">
        <f>IF($F358="","",'הזנה לתנאי סף'!I358)</f>
        <v>מחול</v>
      </c>
      <c r="I358" s="88">
        <f>IF($F358="","",IF(AND('הזנה לתנאי סף'!N358=0,J358&gt;0),$Q$2,'הזנה לתנאי סף'!N358))</f>
        <v>1</v>
      </c>
      <c r="J358" s="213">
        <f>IF($F358="","",INDEX('גיליון עזר לתחום תמיכה ג'!$H$31:$H$330,MATCH(E358,'גיליון עזר לתחום תמיכה ג'!$C$31:$C$330,0)))</f>
        <v>3990706</v>
      </c>
      <c r="K358" s="213">
        <f>IF(OR(F358="",J358=""),"",IF(AND(J358&gt;0,I358=1),J358*'פרמטרים לקריטריונים'!$C$64,$Q$2))</f>
        <v>3990706</v>
      </c>
      <c r="L358" s="227">
        <f>IF(OR(F358="",J358=""),"",IF(J358&gt;0,'תחום תמיכה ב'!AC358/SUMIFS('תחום תמיכה ב'!$AC$31:$AC$500,'תחום תמיכה ב'!$E$31:$E$500,E358,'תחום תמיכה ב'!$S$31:$S$500,"=1"),0))</f>
        <v>1.5671009659592103E-2</v>
      </c>
      <c r="M358" s="213">
        <f t="shared" si="21"/>
        <v>62538.392274592159</v>
      </c>
      <c r="N358" s="227">
        <f t="shared" si="22"/>
        <v>2.8416130014630617E-3</v>
      </c>
      <c r="O358" s="213">
        <f t="shared" si="23"/>
        <v>62538.392274592159</v>
      </c>
    </row>
    <row r="359" spans="1:15" ht="15.75" x14ac:dyDescent="0.2">
      <c r="A359" s="206" t="str">
        <f t="shared" si="20"/>
        <v/>
      </c>
      <c r="B359" s="88" t="str">
        <f>IF($F359="","",'הזנה לתנאי סף'!C359)</f>
        <v/>
      </c>
      <c r="C359" s="88" t="str">
        <f>IF($F359="","",'הזנה לתנאי סף'!D359)</f>
        <v/>
      </c>
      <c r="D359" s="88" t="str">
        <f>IF($F359="","",'הזנה לתנאי סף'!E359)</f>
        <v/>
      </c>
      <c r="E359" s="88" t="str">
        <f>IF($F359="","",'הזנה לתנאי סף'!F359)</f>
        <v/>
      </c>
      <c r="F359" s="88" t="str">
        <f>IF(OR('הזנה לתנאי סף'!G359="",'הזנה לתנאי סף'!BL359&lt;&gt;1,'הזנה לתנאי סף'!Q359&lt;&gt;1,'הזנה לתנאי סף'!N359&lt;&gt;1),"",'הזנה לתנאי סף'!G359)</f>
        <v/>
      </c>
      <c r="G359" s="88" t="str">
        <f>IF($F359="","",'הזנה לתנאי סף'!H359)</f>
        <v/>
      </c>
      <c r="H359" s="88" t="str">
        <f>IF($F359="","",'הזנה לתנאי סף'!I359)</f>
        <v/>
      </c>
      <c r="I359" s="88" t="str">
        <f>IF($F359="","",IF(AND('הזנה לתנאי סף'!N359=0,J359&gt;0),$Q$2,'הזנה לתנאי סף'!N359))</f>
        <v/>
      </c>
      <c r="J359" s="213" t="str">
        <f>IF($F359="","",INDEX('גיליון עזר לתחום תמיכה ג'!$H$31:$H$330,MATCH(E359,'גיליון עזר לתחום תמיכה ג'!$C$31:$C$330,0)))</f>
        <v/>
      </c>
      <c r="K359" s="213" t="str">
        <f>IF(OR(F359="",J359=""),"",IF(AND(J359&gt;0,I359=1),J359*'פרמטרים לקריטריונים'!$C$64,$Q$2))</f>
        <v/>
      </c>
      <c r="L359" s="227" t="str">
        <f>IF(OR(F359="",J359=""),"",IF(J359&gt;0,'תחום תמיכה ב'!AC359/SUMIFS('תחום תמיכה ב'!$AC$31:$AC$500,'תחום תמיכה ב'!$E$31:$E$500,E359,'תחום תמיכה ב'!$S$31:$S$500,"=1"),0))</f>
        <v/>
      </c>
      <c r="M359" s="213" t="str">
        <f t="shared" si="21"/>
        <v/>
      </c>
      <c r="N359" s="227" t="str">
        <f t="shared" si="22"/>
        <v/>
      </c>
      <c r="O359" s="213" t="str">
        <f t="shared" si="23"/>
        <v/>
      </c>
    </row>
    <row r="360" spans="1:15" ht="15.75" x14ac:dyDescent="0.2">
      <c r="A360" s="206">
        <f t="shared" si="20"/>
        <v>330</v>
      </c>
      <c r="B360" s="88">
        <f>IF($F360="","",'הזנה לתנאי סף'!C360)</f>
        <v>1001348126</v>
      </c>
      <c r="C360" s="88">
        <f>IF($F360="","",'הזנה לתנאי סף'!D360)</f>
        <v>1001263224</v>
      </c>
      <c r="D360" s="88">
        <f>IF($F360="","",'הזנה לתנאי סף'!E360)</f>
        <v>40000681</v>
      </c>
      <c r="E360" s="88">
        <f>IF($F360="","",'הזנה לתנאי סף'!F360)</f>
        <v>20000201</v>
      </c>
      <c r="F360" s="88" t="str">
        <f>IF(OR('הזנה לתנאי סף'!G360="",'הזנה לתנאי סף'!BL360&lt;&gt;1,'הזנה לתנאי סף'!Q360&lt;&gt;1,'הזנה לתנאי סף'!N360&lt;&gt;1),"",'הזנה לתנאי סף'!G360)</f>
        <v>תל אביב -יפו</v>
      </c>
      <c r="G360" s="88" t="str">
        <f>IF($F360="","",'הזנה לתנאי סף'!H360)</f>
        <v>דוקאביב - העמותה לקידום הסרט הדוקומ</v>
      </c>
      <c r="H360" s="88" t="str">
        <f>IF($F360="","",'הזנה לתנאי סף'!I360)</f>
        <v>סינמטקים ופסטיבלים</v>
      </c>
      <c r="I360" s="88">
        <f>IF($F360="","",IF(AND('הזנה לתנאי סף'!N360=0,J360&gt;0),$Q$2,'הזנה לתנאי סף'!N360))</f>
        <v>1</v>
      </c>
      <c r="J360" s="213">
        <f>IF($F360="","",INDEX('גיליון עזר לתחום תמיכה ג'!$H$31:$H$330,MATCH(E360,'גיליון עזר לתחום תמיכה ג'!$C$31:$C$330,0)))</f>
        <v>15995126</v>
      </c>
      <c r="K360" s="213">
        <f>IF(OR(F360="",J360=""),"",IF(AND(J360&gt;0,I360=1),J360*'פרמטרים לקריטריונים'!$C$64,$Q$2))</f>
        <v>15995126</v>
      </c>
      <c r="L360" s="227">
        <f>IF(OR(F360="",J360=""),"",IF(J360&gt;0,'תחום תמיכה ב'!AC360/SUMIFS('תחום תמיכה ב'!$AC$31:$AC$500,'תחום תמיכה ב'!$E$31:$E$500,E360,'תחום תמיכה ב'!$S$31:$S$500,"=1"),0))</f>
        <v>1.1953568457310529E-2</v>
      </c>
      <c r="M360" s="213">
        <f t="shared" si="21"/>
        <v>191198.83362430753</v>
      </c>
      <c r="N360" s="227">
        <f t="shared" si="22"/>
        <v>8.6876728315278436E-3</v>
      </c>
      <c r="O360" s="213">
        <f t="shared" si="23"/>
        <v>191198.83362430753</v>
      </c>
    </row>
    <row r="361" spans="1:15" ht="15.75" x14ac:dyDescent="0.2">
      <c r="A361" s="206" t="str">
        <f t="shared" si="20"/>
        <v/>
      </c>
      <c r="B361" s="88" t="str">
        <f>IF($F361="","",'הזנה לתנאי סף'!C361)</f>
        <v/>
      </c>
      <c r="C361" s="88" t="str">
        <f>IF($F361="","",'הזנה לתנאי סף'!D361)</f>
        <v/>
      </c>
      <c r="D361" s="88" t="str">
        <f>IF($F361="","",'הזנה לתנאי סף'!E361)</f>
        <v/>
      </c>
      <c r="E361" s="88" t="str">
        <f>IF($F361="","",'הזנה לתנאי סף'!F361)</f>
        <v/>
      </c>
      <c r="F361" s="88" t="str">
        <f>IF(OR('הזנה לתנאי סף'!G361="",'הזנה לתנאי סף'!BL361&lt;&gt;1,'הזנה לתנאי סף'!Q361&lt;&gt;1,'הזנה לתנאי סף'!N361&lt;&gt;1),"",'הזנה לתנאי סף'!G361)</f>
        <v/>
      </c>
      <c r="G361" s="88" t="str">
        <f>IF($F361="","",'הזנה לתנאי סף'!H361)</f>
        <v/>
      </c>
      <c r="H361" s="88" t="str">
        <f>IF($F361="","",'הזנה לתנאי סף'!I361)</f>
        <v/>
      </c>
      <c r="I361" s="88" t="str">
        <f>IF($F361="","",IF(AND('הזנה לתנאי סף'!N361=0,J361&gt;0),$Q$2,'הזנה לתנאי סף'!N361))</f>
        <v/>
      </c>
      <c r="J361" s="213" t="str">
        <f>IF($F361="","",INDEX('גיליון עזר לתחום תמיכה ג'!$H$31:$H$330,MATCH(E361,'גיליון עזר לתחום תמיכה ג'!$C$31:$C$330,0)))</f>
        <v/>
      </c>
      <c r="K361" s="213" t="str">
        <f>IF(OR(F361="",J361=""),"",IF(AND(J361&gt;0,I361=1),J361*'פרמטרים לקריטריונים'!$C$64,$Q$2))</f>
        <v/>
      </c>
      <c r="L361" s="227" t="str">
        <f>IF(OR(F361="",J361=""),"",IF(J361&gt;0,'תחום תמיכה ב'!AC361/SUMIFS('תחום תמיכה ב'!$AC$31:$AC$500,'תחום תמיכה ב'!$E$31:$E$500,E361,'תחום תמיכה ב'!$S$31:$S$500,"=1"),0))</f>
        <v/>
      </c>
      <c r="M361" s="213" t="str">
        <f t="shared" si="21"/>
        <v/>
      </c>
      <c r="N361" s="227" t="str">
        <f t="shared" si="22"/>
        <v/>
      </c>
      <c r="O361" s="213" t="str">
        <f t="shared" si="23"/>
        <v/>
      </c>
    </row>
    <row r="362" spans="1:15" ht="15.75" x14ac:dyDescent="0.2">
      <c r="A362" s="206" t="str">
        <f t="shared" si="20"/>
        <v/>
      </c>
      <c r="B362" s="88" t="str">
        <f>IF($F362="","",'הזנה לתנאי סף'!C362)</f>
        <v/>
      </c>
      <c r="C362" s="88" t="str">
        <f>IF($F362="","",'הזנה לתנאי סף'!D362)</f>
        <v/>
      </c>
      <c r="D362" s="88" t="str">
        <f>IF($F362="","",'הזנה לתנאי סף'!E362)</f>
        <v/>
      </c>
      <c r="E362" s="88" t="str">
        <f>IF($F362="","",'הזנה לתנאי סף'!F362)</f>
        <v/>
      </c>
      <c r="F362" s="88" t="str">
        <f>IF(OR('הזנה לתנאי סף'!G362="",'הזנה לתנאי סף'!BL362&lt;&gt;1,'הזנה לתנאי סף'!Q362&lt;&gt;1,'הזנה לתנאי סף'!N362&lt;&gt;1),"",'הזנה לתנאי סף'!G362)</f>
        <v/>
      </c>
      <c r="G362" s="88" t="str">
        <f>IF($F362="","",'הזנה לתנאי סף'!H362)</f>
        <v/>
      </c>
      <c r="H362" s="88" t="str">
        <f>IF($F362="","",'הזנה לתנאי סף'!I362)</f>
        <v/>
      </c>
      <c r="I362" s="88" t="str">
        <f>IF($F362="","",IF(AND('הזנה לתנאי סף'!N362=0,J362&gt;0),$Q$2,'הזנה לתנאי סף'!N362))</f>
        <v/>
      </c>
      <c r="J362" s="213" t="str">
        <f>IF($F362="","",INDEX('גיליון עזר לתחום תמיכה ג'!$H$31:$H$330,MATCH(E362,'גיליון עזר לתחום תמיכה ג'!$C$31:$C$330,0)))</f>
        <v/>
      </c>
      <c r="K362" s="213" t="str">
        <f>IF(OR(F362="",J362=""),"",IF(AND(J362&gt;0,I362=1),J362*'פרמטרים לקריטריונים'!$C$64,$Q$2))</f>
        <v/>
      </c>
      <c r="L362" s="227" t="str">
        <f>IF(OR(F362="",J362=""),"",IF(J362&gt;0,'תחום תמיכה ב'!AC362/SUMIFS('תחום תמיכה ב'!$AC$31:$AC$500,'תחום תמיכה ב'!$E$31:$E$500,E362,'תחום תמיכה ב'!$S$31:$S$500,"=1"),0))</f>
        <v/>
      </c>
      <c r="M362" s="213" t="str">
        <f t="shared" si="21"/>
        <v/>
      </c>
      <c r="N362" s="227" t="str">
        <f t="shared" si="22"/>
        <v/>
      </c>
      <c r="O362" s="213" t="str">
        <f t="shared" si="23"/>
        <v/>
      </c>
    </row>
    <row r="363" spans="1:15" ht="15.75" x14ac:dyDescent="0.2">
      <c r="A363" s="206">
        <f t="shared" si="20"/>
        <v>333</v>
      </c>
      <c r="B363" s="88">
        <f>IF($F363="","",'הזנה לתנאי סף'!C363)</f>
        <v>1001348103</v>
      </c>
      <c r="C363" s="88">
        <f>IF($F363="","",'הזנה לתנאי סף'!D363)</f>
        <v>1001263126</v>
      </c>
      <c r="D363" s="88">
        <f>IF($F363="","",'הזנה לתנאי סף'!E363)</f>
        <v>40000242</v>
      </c>
      <c r="E363" s="88">
        <f>IF($F363="","",'הזנה לתנאי סף'!F363)</f>
        <v>20000159</v>
      </c>
      <c r="F363" s="88" t="str">
        <f>IF(OR('הזנה לתנאי סף'!G363="",'הזנה לתנאי סף'!BL363&lt;&gt;1,'הזנה לתנאי סף'!Q363&lt;&gt;1,'הזנה לתנאי סף'!N363&lt;&gt;1),"",'הזנה לתנאי סף'!G363)</f>
        <v>ירושלים</v>
      </c>
      <c r="G363" s="88" t="str">
        <f>IF($F363="","",'הזנה לתנאי סף'!H363)</f>
        <v>הזירה הבין-תחומית (ע"ר)</v>
      </c>
      <c r="H363" s="88" t="str">
        <f>IF($F363="","",'הזנה לתנאי סף'!I363)</f>
        <v>תיאטרון</v>
      </c>
      <c r="I363" s="88">
        <f>IF($F363="","",IF(AND('הזנה לתנאי סף'!N363=0,J363&gt;0),$Q$2,'הזנה לתנאי סף'!N363))</f>
        <v>1</v>
      </c>
      <c r="J363" s="213">
        <f>IF($F363="","",INDEX('גיליון עזר לתחום תמיכה ג'!$H$31:$H$330,MATCH(E363,'גיליון עזר לתחום תמיכה ג'!$C$31:$C$330,0)))</f>
        <v>3990706</v>
      </c>
      <c r="K363" s="213">
        <f>IF(OR(F363="",J363=""),"",IF(AND(J363&gt;0,I363=1),J363*'פרמטרים לקריטריונים'!$C$64,$Q$2))</f>
        <v>3990706</v>
      </c>
      <c r="L363" s="227">
        <f>IF(OR(F363="",J363=""),"",IF(J363&gt;0,'תחום תמיכה ב'!AC363/SUMIFS('תחום תמיכה ב'!$AC$31:$AC$500,'תחום תמיכה ב'!$E$31:$E$500,E363,'תחום תמיכה ב'!$S$31:$S$500,"=1"),0))</f>
        <v>2.7387373564918714E-3</v>
      </c>
      <c r="M363" s="213">
        <f t="shared" si="21"/>
        <v>10929.49560097625</v>
      </c>
      <c r="N363" s="227">
        <f t="shared" si="22"/>
        <v>4.9661329096535351E-4</v>
      </c>
      <c r="O363" s="213">
        <f t="shared" si="23"/>
        <v>10929.49560097625</v>
      </c>
    </row>
    <row r="364" spans="1:15" ht="15.75" x14ac:dyDescent="0.2">
      <c r="A364" s="206">
        <f t="shared" si="20"/>
        <v>334</v>
      </c>
      <c r="B364" s="88">
        <f>IF($F364="","",'הזנה לתנאי סף'!C364)</f>
        <v>1001348542</v>
      </c>
      <c r="C364" s="88">
        <f>IF($F364="","",'הזנה לתנאי סף'!D364)</f>
        <v>1001268714</v>
      </c>
      <c r="D364" s="88">
        <f>IF($F364="","",'הזנה לתנאי סף'!E364)</f>
        <v>40000242</v>
      </c>
      <c r="E364" s="88">
        <f>IF($F364="","",'הזנה לתנאי סף'!F364)</f>
        <v>20000159</v>
      </c>
      <c r="F364" s="88" t="str">
        <f>IF(OR('הזנה לתנאי סף'!G364="",'הזנה לתנאי סף'!BL364&lt;&gt;1,'הזנה לתנאי סף'!Q364&lt;&gt;1,'הזנה לתנאי סף'!N364&lt;&gt;1),"",'הזנה לתנאי סף'!G364)</f>
        <v>ירושלים</v>
      </c>
      <c r="G364" s="88" t="str">
        <f>IF($F364="","",'הזנה לתנאי סף'!H364)</f>
        <v>הזירה הבין-תחומית (ע"ר)</v>
      </c>
      <c r="H364" s="88" t="str">
        <f>IF($F364="","",'הזנה לתנאי סף'!I364)</f>
        <v>אחר</v>
      </c>
      <c r="I364" s="88">
        <f>IF($F364="","",IF(AND('הזנה לתנאי סף'!N364=0,J364&gt;0),$Q$2,'הזנה לתנאי סף'!N364))</f>
        <v>1</v>
      </c>
      <c r="J364" s="213">
        <f>IF($F364="","",INDEX('גיליון עזר לתחום תמיכה ג'!$H$31:$H$330,MATCH(E364,'גיליון עזר לתחום תמיכה ג'!$C$31:$C$330,0)))</f>
        <v>3990706</v>
      </c>
      <c r="K364" s="213">
        <f>IF(OR(F364="",J364=""),"",IF(AND(J364&gt;0,I364=1),J364*'פרמטרים לקריטריונים'!$C$64,$Q$2))</f>
        <v>3990706</v>
      </c>
      <c r="L364" s="227">
        <f>IF(OR(F364="",J364=""),"",IF(J364&gt;0,'תחום תמיכה ב'!AC364/SUMIFS('תחום תמיכה ב'!$AC$31:$AC$500,'תחום תמיכה ב'!$E$31:$E$500,E364,'תחום תמיכה ב'!$S$31:$S$500,"=1"),0))</f>
        <v>4.9370422428005272E-5</v>
      </c>
      <c r="M364" s="213">
        <f t="shared" si="21"/>
        <v>197.02284100597521</v>
      </c>
      <c r="N364" s="227">
        <f t="shared" si="22"/>
        <v>8.9523034767113359E-6</v>
      </c>
      <c r="O364" s="213">
        <f t="shared" si="23"/>
        <v>197.02284100597521</v>
      </c>
    </row>
    <row r="365" spans="1:15" ht="15.75" x14ac:dyDescent="0.2">
      <c r="A365" s="206" t="str">
        <f t="shared" si="20"/>
        <v/>
      </c>
      <c r="B365" s="88" t="str">
        <f>IF($F365="","",'הזנה לתנאי סף'!C365)</f>
        <v/>
      </c>
      <c r="C365" s="88" t="str">
        <f>IF($F365="","",'הזנה לתנאי סף'!D365)</f>
        <v/>
      </c>
      <c r="D365" s="88" t="str">
        <f>IF($F365="","",'הזנה לתנאי סף'!E365)</f>
        <v/>
      </c>
      <c r="E365" s="88" t="str">
        <f>IF($F365="","",'הזנה לתנאי סף'!F365)</f>
        <v/>
      </c>
      <c r="F365" s="88" t="str">
        <f>IF(OR('הזנה לתנאי סף'!G365="",'הזנה לתנאי סף'!BL365&lt;&gt;1,'הזנה לתנאי סף'!Q365&lt;&gt;1,'הזנה לתנאי סף'!N365&lt;&gt;1),"",'הזנה לתנאי סף'!G365)</f>
        <v/>
      </c>
      <c r="G365" s="88" t="str">
        <f>IF($F365="","",'הזנה לתנאי סף'!H365)</f>
        <v/>
      </c>
      <c r="H365" s="88" t="str">
        <f>IF($F365="","",'הזנה לתנאי סף'!I365)</f>
        <v/>
      </c>
      <c r="I365" s="88" t="str">
        <f>IF($F365="","",IF(AND('הזנה לתנאי סף'!N365=0,J365&gt;0),$Q$2,'הזנה לתנאי סף'!N365))</f>
        <v/>
      </c>
      <c r="J365" s="213" t="str">
        <f>IF($F365="","",INDEX('גיליון עזר לתחום תמיכה ג'!$H$31:$H$330,MATCH(E365,'גיליון עזר לתחום תמיכה ג'!$C$31:$C$330,0)))</f>
        <v/>
      </c>
      <c r="K365" s="213" t="str">
        <f>IF(OR(F365="",J365=""),"",IF(AND(J365&gt;0,I365=1),J365*'פרמטרים לקריטריונים'!$C$64,$Q$2))</f>
        <v/>
      </c>
      <c r="L365" s="227" t="str">
        <f>IF(OR(F365="",J365=""),"",IF(J365&gt;0,'תחום תמיכה ב'!AC365/SUMIFS('תחום תמיכה ב'!$AC$31:$AC$500,'תחום תמיכה ב'!$E$31:$E$500,E365,'תחום תמיכה ב'!$S$31:$S$500,"=1"),0))</f>
        <v/>
      </c>
      <c r="M365" s="213" t="str">
        <f t="shared" si="21"/>
        <v/>
      </c>
      <c r="N365" s="227" t="str">
        <f t="shared" si="22"/>
        <v/>
      </c>
      <c r="O365" s="213" t="str">
        <f t="shared" si="23"/>
        <v/>
      </c>
    </row>
    <row r="366" spans="1:15" ht="15.75" x14ac:dyDescent="0.2">
      <c r="A366" s="206" t="str">
        <f t="shared" si="20"/>
        <v/>
      </c>
      <c r="B366" s="88" t="str">
        <f>IF($F366="","",'הזנה לתנאי סף'!C366)</f>
        <v/>
      </c>
      <c r="C366" s="88" t="str">
        <f>IF($F366="","",'הזנה לתנאי סף'!D366)</f>
        <v/>
      </c>
      <c r="D366" s="88" t="str">
        <f>IF($F366="","",'הזנה לתנאי סף'!E366)</f>
        <v/>
      </c>
      <c r="E366" s="88" t="str">
        <f>IF($F366="","",'הזנה לתנאי סף'!F366)</f>
        <v/>
      </c>
      <c r="F366" s="88" t="str">
        <f>IF(OR('הזנה לתנאי סף'!G366="",'הזנה לתנאי סף'!BL366&lt;&gt;1,'הזנה לתנאי סף'!Q366&lt;&gt;1,'הזנה לתנאי סף'!N366&lt;&gt;1),"",'הזנה לתנאי סף'!G366)</f>
        <v/>
      </c>
      <c r="G366" s="88" t="str">
        <f>IF($F366="","",'הזנה לתנאי סף'!H366)</f>
        <v/>
      </c>
      <c r="H366" s="88" t="str">
        <f>IF($F366="","",'הזנה לתנאי סף'!I366)</f>
        <v/>
      </c>
      <c r="I366" s="88" t="str">
        <f>IF($F366="","",IF(AND('הזנה לתנאי סף'!N366=0,J366&gt;0),$Q$2,'הזנה לתנאי סף'!N366))</f>
        <v/>
      </c>
      <c r="J366" s="213" t="str">
        <f>IF($F366="","",INDEX('גיליון עזר לתחום תמיכה ג'!$H$31:$H$330,MATCH(E366,'גיליון עזר לתחום תמיכה ג'!$C$31:$C$330,0)))</f>
        <v/>
      </c>
      <c r="K366" s="213" t="str">
        <f>IF(OR(F366="",J366=""),"",IF(AND(J366&gt;0,I366=1),J366*'פרמטרים לקריטריונים'!$C$64,$Q$2))</f>
        <v/>
      </c>
      <c r="L366" s="227" t="str">
        <f>IF(OR(F366="",J366=""),"",IF(J366&gt;0,'תחום תמיכה ב'!AC366/SUMIFS('תחום תמיכה ב'!$AC$31:$AC$500,'תחום תמיכה ב'!$E$31:$E$500,E366,'תחום תמיכה ב'!$S$31:$S$500,"=1"),0))</f>
        <v/>
      </c>
      <c r="M366" s="213" t="str">
        <f t="shared" si="21"/>
        <v/>
      </c>
      <c r="N366" s="227" t="str">
        <f t="shared" si="22"/>
        <v/>
      </c>
      <c r="O366" s="213" t="str">
        <f t="shared" si="23"/>
        <v/>
      </c>
    </row>
    <row r="367" spans="1:15" ht="15.75" x14ac:dyDescent="0.2">
      <c r="A367" s="206">
        <f t="shared" si="20"/>
        <v>337</v>
      </c>
      <c r="B367" s="88">
        <f>IF($F367="","",'הזנה לתנאי סף'!C367)</f>
        <v>1001349557</v>
      </c>
      <c r="C367" s="88">
        <f>IF($F367="","",'הזנה לתנאי סף'!D367)</f>
        <v>1001262290</v>
      </c>
      <c r="D367" s="88">
        <f>IF($F367="","",'הזנה לתנאי סף'!E367)</f>
        <v>41099000</v>
      </c>
      <c r="E367" s="88">
        <f>IF($F367="","",'הזנה לתנאי סף'!F367)</f>
        <v>20000159</v>
      </c>
      <c r="F367" s="88" t="str">
        <f>IF(OR('הזנה לתנאי סף'!G367="",'הזנה לתנאי סף'!BL367&lt;&gt;1,'הזנה לתנאי סף'!Q367&lt;&gt;1,'הזנה לתנאי סף'!N367&lt;&gt;1),"",'הזנה לתנאי סף'!G367)</f>
        <v>ירושלים</v>
      </c>
      <c r="G367" s="88" t="str">
        <f>IF($F367="","",'הזנה לתנאי סף'!H367)</f>
        <v>בר-קיימא לתרבות, אמנות, מוסיקה ושלו</v>
      </c>
      <c r="H367" s="88" t="str">
        <f>IF($F367="","",'הזנה לתנאי סף'!I367)</f>
        <v>אחר</v>
      </c>
      <c r="I367" s="88">
        <f>IF($F367="","",IF(AND('הזנה לתנאי סף'!N367=0,J367&gt;0),$Q$2,'הזנה לתנאי סף'!N367))</f>
        <v>1</v>
      </c>
      <c r="J367" s="213">
        <f>IF($F367="","",INDEX('גיליון עזר לתחום תמיכה ג'!$H$31:$H$330,MATCH(E367,'גיליון עזר לתחום תמיכה ג'!$C$31:$C$330,0)))</f>
        <v>3990706</v>
      </c>
      <c r="K367" s="213">
        <f>IF(OR(F367="",J367=""),"",IF(AND(J367&gt;0,I367=1),J367*'פרמטרים לקריטריונים'!$C$64,$Q$2))</f>
        <v>3990706</v>
      </c>
      <c r="L367" s="227">
        <f>IF(OR(F367="",J367=""),"",IF(J367&gt;0,'תחום תמיכה ב'!AC367/SUMIFS('תחום תמיכה ב'!$AC$31:$AC$500,'תחום תמיכה ב'!$E$31:$E$500,E367,'תחום תמיכה ב'!$S$31:$S$500,"=1"),0))</f>
        <v>1.0810884925971519E-3</v>
      </c>
      <c r="M367" s="213">
        <f t="shared" si="21"/>
        <v>4314.3063339384098</v>
      </c>
      <c r="N367" s="227">
        <f t="shared" si="22"/>
        <v>1.9603300508565518E-4</v>
      </c>
      <c r="O367" s="213">
        <f t="shared" si="23"/>
        <v>4314.3063339384098</v>
      </c>
    </row>
    <row r="368" spans="1:15" ht="15.75" x14ac:dyDescent="0.2">
      <c r="A368" s="206">
        <f t="shared" si="20"/>
        <v>338</v>
      </c>
      <c r="B368" s="88">
        <f>IF($F368="","",'הזנה לתנאי סף'!C368)</f>
        <v>1001349558</v>
      </c>
      <c r="C368" s="88">
        <f>IF($F368="","",'הזנה לתנאי סף'!D368)</f>
        <v>1001262294</v>
      </c>
      <c r="D368" s="88">
        <f>IF($F368="","",'הזנה לתנאי סף'!E368)</f>
        <v>41099000</v>
      </c>
      <c r="E368" s="88">
        <f>IF($F368="","",'הזנה לתנאי סף'!F368)</f>
        <v>20000159</v>
      </c>
      <c r="F368" s="88" t="str">
        <f>IF(OR('הזנה לתנאי סף'!G368="",'הזנה לתנאי סף'!BL368&lt;&gt;1,'הזנה לתנאי סף'!Q368&lt;&gt;1,'הזנה לתנאי סף'!N368&lt;&gt;1),"",'הזנה לתנאי סף'!G368)</f>
        <v>ירושלים</v>
      </c>
      <c r="G368" s="88" t="str">
        <f>IF($F368="","",'הזנה לתנאי סף'!H368)</f>
        <v>בר-קיימא לתרבות, אמנות, מוסיקה ושלו</v>
      </c>
      <c r="H368" s="88" t="str">
        <f>IF($F368="","",'הזנה לתנאי סף'!I368)</f>
        <v>אחר</v>
      </c>
      <c r="I368" s="88">
        <f>IF($F368="","",IF(AND('הזנה לתנאי סף'!N368=0,J368&gt;0),$Q$2,'הזנה לתנאי סף'!N368))</f>
        <v>1</v>
      </c>
      <c r="J368" s="213">
        <f>IF($F368="","",INDEX('גיליון עזר לתחום תמיכה ג'!$H$31:$H$330,MATCH(E368,'גיליון עזר לתחום תמיכה ג'!$C$31:$C$330,0)))</f>
        <v>3990706</v>
      </c>
      <c r="K368" s="213">
        <f>IF(OR(F368="",J368=""),"",IF(AND(J368&gt;0,I368=1),J368*'פרמטרים לקריטריונים'!$C$64,$Q$2))</f>
        <v>3990706</v>
      </c>
      <c r="L368" s="227">
        <f>IF(OR(F368="",J368=""),"",IF(J368&gt;0,'תחום תמיכה ב'!AC368/SUMIFS('תחום תמיכה ב'!$AC$31:$AC$500,'תחום תמיכה ב'!$E$31:$E$500,E368,'תחום תמיכה ב'!$S$31:$S$500,"=1"),0))</f>
        <v>1.0869146431772491E-3</v>
      </c>
      <c r="M368" s="213">
        <f t="shared" si="21"/>
        <v>4337.5567880153067</v>
      </c>
      <c r="N368" s="227">
        <f t="shared" si="22"/>
        <v>1.97089456813815E-4</v>
      </c>
      <c r="O368" s="213">
        <f t="shared" si="23"/>
        <v>4337.5567880153067</v>
      </c>
    </row>
    <row r="369" spans="1:15" ht="15.75" x14ac:dyDescent="0.2">
      <c r="A369" s="206" t="str">
        <f t="shared" si="20"/>
        <v/>
      </c>
      <c r="B369" s="88" t="str">
        <f>IF($F369="","",'הזנה לתנאי סף'!C369)</f>
        <v/>
      </c>
      <c r="C369" s="88" t="str">
        <f>IF($F369="","",'הזנה לתנאי סף'!D369)</f>
        <v/>
      </c>
      <c r="D369" s="88" t="str">
        <f>IF($F369="","",'הזנה לתנאי סף'!E369)</f>
        <v/>
      </c>
      <c r="E369" s="88" t="str">
        <f>IF($F369="","",'הזנה לתנאי סף'!F369)</f>
        <v/>
      </c>
      <c r="F369" s="88" t="str">
        <f>IF(OR('הזנה לתנאי סף'!G369="",'הזנה לתנאי סף'!BL369&lt;&gt;1,'הזנה לתנאי סף'!Q369&lt;&gt;1,'הזנה לתנאי סף'!N369&lt;&gt;1),"",'הזנה לתנאי סף'!G369)</f>
        <v/>
      </c>
      <c r="G369" s="88" t="str">
        <f>IF($F369="","",'הזנה לתנאי סף'!H369)</f>
        <v/>
      </c>
      <c r="H369" s="88" t="str">
        <f>IF($F369="","",'הזנה לתנאי סף'!I369)</f>
        <v/>
      </c>
      <c r="I369" s="88" t="str">
        <f>IF($F369="","",IF(AND('הזנה לתנאי סף'!N369=0,J369&gt;0),$Q$2,'הזנה לתנאי סף'!N369))</f>
        <v/>
      </c>
      <c r="J369" s="213" t="str">
        <f>IF($F369="","",INDEX('גיליון עזר לתחום תמיכה ג'!$H$31:$H$330,MATCH(E369,'גיליון עזר לתחום תמיכה ג'!$C$31:$C$330,0)))</f>
        <v/>
      </c>
      <c r="K369" s="213" t="str">
        <f>IF(OR(F369="",J369=""),"",IF(AND(J369&gt;0,I369=1),J369*'פרמטרים לקריטריונים'!$C$64,$Q$2))</f>
        <v/>
      </c>
      <c r="L369" s="227" t="str">
        <f>IF(OR(F369="",J369=""),"",IF(J369&gt;0,'תחום תמיכה ב'!AC369/SUMIFS('תחום תמיכה ב'!$AC$31:$AC$500,'תחום תמיכה ב'!$E$31:$E$500,E369,'תחום תמיכה ב'!$S$31:$S$500,"=1"),0))</f>
        <v/>
      </c>
      <c r="M369" s="213" t="str">
        <f t="shared" si="21"/>
        <v/>
      </c>
      <c r="N369" s="227" t="str">
        <f t="shared" si="22"/>
        <v/>
      </c>
      <c r="O369" s="213" t="str">
        <f t="shared" si="23"/>
        <v/>
      </c>
    </row>
    <row r="370" spans="1:15" ht="15.75" x14ac:dyDescent="0.2">
      <c r="A370" s="206" t="str">
        <f t="shared" si="20"/>
        <v/>
      </c>
      <c r="B370" s="88" t="str">
        <f>IF($F370="","",'הזנה לתנאי סף'!C370)</f>
        <v/>
      </c>
      <c r="C370" s="88" t="str">
        <f>IF($F370="","",'הזנה לתנאי סף'!D370)</f>
        <v/>
      </c>
      <c r="D370" s="88" t="str">
        <f>IF($F370="","",'הזנה לתנאי סף'!E370)</f>
        <v/>
      </c>
      <c r="E370" s="88" t="str">
        <f>IF($F370="","",'הזנה לתנאי סף'!F370)</f>
        <v/>
      </c>
      <c r="F370" s="88" t="str">
        <f>IF(OR('הזנה לתנאי סף'!G370="",'הזנה לתנאי סף'!BL370&lt;&gt;1,'הזנה לתנאי סף'!Q370&lt;&gt;1,'הזנה לתנאי סף'!N370&lt;&gt;1),"",'הזנה לתנאי סף'!G370)</f>
        <v/>
      </c>
      <c r="G370" s="88" t="str">
        <f>IF($F370="","",'הזנה לתנאי סף'!H370)</f>
        <v/>
      </c>
      <c r="H370" s="88" t="str">
        <f>IF($F370="","",'הזנה לתנאי סף'!I370)</f>
        <v/>
      </c>
      <c r="I370" s="88" t="str">
        <f>IF($F370="","",IF(AND('הזנה לתנאי סף'!N370=0,J370&gt;0),$Q$2,'הזנה לתנאי סף'!N370))</f>
        <v/>
      </c>
      <c r="J370" s="213" t="str">
        <f>IF($F370="","",INDEX('גיליון עזר לתחום תמיכה ג'!$H$31:$H$330,MATCH(E370,'גיליון עזר לתחום תמיכה ג'!$C$31:$C$330,0)))</f>
        <v/>
      </c>
      <c r="K370" s="213" t="str">
        <f>IF(OR(F370="",J370=""),"",IF(AND(J370&gt;0,I370=1),J370*'פרמטרים לקריטריונים'!$C$64,$Q$2))</f>
        <v/>
      </c>
      <c r="L370" s="227" t="str">
        <f>IF(OR(F370="",J370=""),"",IF(J370&gt;0,'תחום תמיכה ב'!AC370/SUMIFS('תחום תמיכה ב'!$AC$31:$AC$500,'תחום תמיכה ב'!$E$31:$E$500,E370,'תחום תמיכה ב'!$S$31:$S$500,"=1"),0))</f>
        <v/>
      </c>
      <c r="M370" s="213" t="str">
        <f t="shared" si="21"/>
        <v/>
      </c>
      <c r="N370" s="227" t="str">
        <f t="shared" si="22"/>
        <v/>
      </c>
      <c r="O370" s="213" t="str">
        <f t="shared" si="23"/>
        <v/>
      </c>
    </row>
    <row r="371" spans="1:15" ht="15.75" x14ac:dyDescent="0.2">
      <c r="A371" s="206" t="str">
        <f t="shared" si="20"/>
        <v/>
      </c>
      <c r="B371" s="88" t="str">
        <f>IF($F371="","",'הזנה לתנאי סף'!C371)</f>
        <v/>
      </c>
      <c r="C371" s="88" t="str">
        <f>IF($F371="","",'הזנה לתנאי סף'!D371)</f>
        <v/>
      </c>
      <c r="D371" s="88" t="str">
        <f>IF($F371="","",'הזנה לתנאי סף'!E371)</f>
        <v/>
      </c>
      <c r="E371" s="88" t="str">
        <f>IF($F371="","",'הזנה לתנאי סף'!F371)</f>
        <v/>
      </c>
      <c r="F371" s="88" t="str">
        <f>IF(OR('הזנה לתנאי סף'!G371="",'הזנה לתנאי סף'!BL371&lt;&gt;1,'הזנה לתנאי סף'!Q371&lt;&gt;1,'הזנה לתנאי סף'!N371&lt;&gt;1),"",'הזנה לתנאי סף'!G371)</f>
        <v/>
      </c>
      <c r="G371" s="88" t="str">
        <f>IF($F371="","",'הזנה לתנאי סף'!H371)</f>
        <v/>
      </c>
      <c r="H371" s="88" t="str">
        <f>IF($F371="","",'הזנה לתנאי סף'!I371)</f>
        <v/>
      </c>
      <c r="I371" s="88" t="str">
        <f>IF($F371="","",IF(AND('הזנה לתנאי סף'!N371=0,J371&gt;0),$Q$2,'הזנה לתנאי סף'!N371))</f>
        <v/>
      </c>
      <c r="J371" s="213" t="str">
        <f>IF($F371="","",INDEX('גיליון עזר לתחום תמיכה ג'!$H$31:$H$330,MATCH(E371,'גיליון עזר לתחום תמיכה ג'!$C$31:$C$330,0)))</f>
        <v/>
      </c>
      <c r="K371" s="213" t="str">
        <f>IF(OR(F371="",J371=""),"",IF(AND(J371&gt;0,I371=1),J371*'פרמטרים לקריטריונים'!$C$64,$Q$2))</f>
        <v/>
      </c>
      <c r="L371" s="227" t="str">
        <f>IF(OR(F371="",J371=""),"",IF(J371&gt;0,'תחום תמיכה ב'!AC371/SUMIFS('תחום תמיכה ב'!$AC$31:$AC$500,'תחום תמיכה ב'!$E$31:$E$500,E371,'תחום תמיכה ב'!$S$31:$S$500,"=1"),0))</f>
        <v/>
      </c>
      <c r="M371" s="213" t="str">
        <f t="shared" si="21"/>
        <v/>
      </c>
      <c r="N371" s="227" t="str">
        <f t="shared" si="22"/>
        <v/>
      </c>
      <c r="O371" s="213" t="str">
        <f t="shared" si="23"/>
        <v/>
      </c>
    </row>
    <row r="372" spans="1:15" ht="15.75" x14ac:dyDescent="0.2">
      <c r="A372" s="206">
        <f t="shared" si="20"/>
        <v>342</v>
      </c>
      <c r="B372" s="88">
        <f>IF($F372="","",'הזנה לתנאי סף'!C372)</f>
        <v>1001349210</v>
      </c>
      <c r="C372" s="88">
        <f>IF($F372="","",'הזנה לתנאי סף'!D372)</f>
        <v>1001288841</v>
      </c>
      <c r="D372" s="88">
        <f>IF($F372="","",'הזנה לתנאי סף'!E372)</f>
        <v>40465932</v>
      </c>
      <c r="E372" s="88">
        <f>IF($F372="","",'הזנה לתנאי סף'!F372)</f>
        <v>20000159</v>
      </c>
      <c r="F372" s="88" t="str">
        <f>IF(OR('הזנה לתנאי סף'!G372="",'הזנה לתנאי סף'!BL372&lt;&gt;1,'הזנה לתנאי סף'!Q372&lt;&gt;1,'הזנה לתנאי סף'!N372&lt;&gt;1),"",'הזנה לתנאי סף'!G372)</f>
        <v>ירושלים</v>
      </c>
      <c r="G372" s="88" t="str">
        <f>IF($F372="","",'הזנה לתנאי סף'!H372)</f>
        <v>תיאטרון האינקובטור (ע"ר)</v>
      </c>
      <c r="H372" s="88" t="str">
        <f>IF($F372="","",'הזנה לתנאי סף'!I372)</f>
        <v>תיאטרון</v>
      </c>
      <c r="I372" s="88">
        <f>IF($F372="","",IF(AND('הזנה לתנאי סף'!N372=0,J372&gt;0),$Q$2,'הזנה לתנאי סף'!N372))</f>
        <v>1</v>
      </c>
      <c r="J372" s="213">
        <f>IF($F372="","",INDEX('גיליון עזר לתחום תמיכה ג'!$H$31:$H$330,MATCH(E372,'גיליון עזר לתחום תמיכה ג'!$C$31:$C$330,0)))</f>
        <v>3990706</v>
      </c>
      <c r="K372" s="213">
        <f>IF(OR(F372="",J372=""),"",IF(AND(J372&gt;0,I372=1),J372*'פרמטרים לקריטריונים'!$C$64,$Q$2))</f>
        <v>3990706</v>
      </c>
      <c r="L372" s="227">
        <f>IF(OR(F372="",J372=""),"",IF(J372&gt;0,'תחום תמיכה ב'!AC372/SUMIFS('תחום תמיכה ב'!$AC$31:$AC$500,'תחום תמיכה ב'!$E$31:$E$500,E372,'תחום תמיכה ב'!$S$31:$S$500,"=1"),0))</f>
        <v>8.6747480987511127E-3</v>
      </c>
      <c r="M372" s="213">
        <f t="shared" si="21"/>
        <v>34618.36928617466</v>
      </c>
      <c r="N372" s="227">
        <f t="shared" si="22"/>
        <v>1.5729858839529142E-3</v>
      </c>
      <c r="O372" s="213">
        <f t="shared" si="23"/>
        <v>34618.36928617466</v>
      </c>
    </row>
    <row r="373" spans="1:15" ht="15.75" x14ac:dyDescent="0.2">
      <c r="A373" s="206">
        <f t="shared" si="20"/>
        <v>343</v>
      </c>
      <c r="B373" s="88">
        <f>IF($F373="","",'הזנה לתנאי סף'!C373)</f>
        <v>1001349220</v>
      </c>
      <c r="C373" s="88">
        <f>IF($F373="","",'הזנה לתנאי סף'!D373)</f>
        <v>1001280749</v>
      </c>
      <c r="D373" s="88">
        <f>IF($F373="","",'הזנה לתנאי סף'!E373)</f>
        <v>40465932</v>
      </c>
      <c r="E373" s="88">
        <f>IF($F373="","",'הזנה לתנאי סף'!F373)</f>
        <v>20000159</v>
      </c>
      <c r="F373" s="88" t="str">
        <f>IF(OR('הזנה לתנאי סף'!G373="",'הזנה לתנאי סף'!BL373&lt;&gt;1,'הזנה לתנאי סף'!Q373&lt;&gt;1,'הזנה לתנאי סף'!N373&lt;&gt;1),"",'הזנה לתנאי סף'!G373)</f>
        <v>ירושלים</v>
      </c>
      <c r="G373" s="88" t="str">
        <f>IF($F373="","",'הזנה לתנאי סף'!H373)</f>
        <v>תיאטרון האינקובטור (ע"ר)</v>
      </c>
      <c r="H373" s="88" t="str">
        <f>IF($F373="","",'הזנה לתנאי סף'!I373)</f>
        <v>ספרות</v>
      </c>
      <c r="I373" s="88">
        <f>IF($F373="","",IF(AND('הזנה לתנאי סף'!N373=0,J373&gt;0),$Q$2,'הזנה לתנאי סף'!N373))</f>
        <v>1</v>
      </c>
      <c r="J373" s="213">
        <f>IF($F373="","",INDEX('גיליון עזר לתחום תמיכה ג'!$H$31:$H$330,MATCH(E373,'גיליון עזר לתחום תמיכה ג'!$C$31:$C$330,0)))</f>
        <v>3990706</v>
      </c>
      <c r="K373" s="213">
        <f>IF(OR(F373="",J373=""),"",IF(AND(J373&gt;0,I373=1),J373*'פרמטרים לקריטריונים'!$C$64,$Q$2))</f>
        <v>3990706</v>
      </c>
      <c r="L373" s="227">
        <f>IF(OR(F373="",J373=""),"",IF(J373&gt;0,'תחום תמיכה ב'!AC373/SUMIFS('תחום תמיכה ב'!$AC$31:$AC$500,'תחום תמיכה ב'!$E$31:$E$500,E373,'תחום תמיכה ב'!$S$31:$S$500,"=1"),0))</f>
        <v>9.4708323260324929E-3</v>
      </c>
      <c r="M373" s="213">
        <f t="shared" si="21"/>
        <v>37795.307388491827</v>
      </c>
      <c r="N373" s="227">
        <f t="shared" si="22"/>
        <v>1.717339268938405E-3</v>
      </c>
      <c r="O373" s="213">
        <f t="shared" si="23"/>
        <v>37795.307388491827</v>
      </c>
    </row>
    <row r="374" spans="1:15" ht="15.75" x14ac:dyDescent="0.2">
      <c r="A374" s="206">
        <f t="shared" si="20"/>
        <v>344</v>
      </c>
      <c r="B374" s="88">
        <f>IF($F374="","",'הזנה לתנאי סף'!C374)</f>
        <v>1001350587</v>
      </c>
      <c r="C374" s="88">
        <f>IF($F374="","",'הזנה לתנאי סף'!D374)</f>
        <v>1001302052</v>
      </c>
      <c r="D374" s="88">
        <f>IF($F374="","",'הזנה לתנאי סף'!E374)</f>
        <v>40822203</v>
      </c>
      <c r="E374" s="88">
        <f>IF($F374="","",'הזנה לתנאי סף'!F374)</f>
        <v>20000159</v>
      </c>
      <c r="F374" s="88" t="str">
        <f>IF(OR('הזנה לתנאי סף'!G374="",'הזנה לתנאי סף'!BL374&lt;&gt;1,'הזנה לתנאי סף'!Q374&lt;&gt;1,'הזנה לתנאי סף'!N374&lt;&gt;1),"",'הזנה לתנאי סף'!G374)</f>
        <v>ירושלים</v>
      </c>
      <c r="G374" s="88" t="str">
        <f>IF($F374="","",'הזנה לתנאי סף'!H374)</f>
        <v>הערת שוליים (ע"ר)</v>
      </c>
      <c r="H374" s="88" t="str">
        <f>IF($F374="","",'הזנה לתנאי סף'!I374)</f>
        <v>מקהלות</v>
      </c>
      <c r="I374" s="88">
        <f>IF($F374="","",IF(AND('הזנה לתנאי סף'!N374=0,J374&gt;0),$Q$2,'הזנה לתנאי סף'!N374))</f>
        <v>1</v>
      </c>
      <c r="J374" s="213">
        <f>IF($F374="","",INDEX('גיליון עזר לתחום תמיכה ג'!$H$31:$H$330,MATCH(E374,'גיליון עזר לתחום תמיכה ג'!$C$31:$C$330,0)))</f>
        <v>3990706</v>
      </c>
      <c r="K374" s="213">
        <f>IF(OR(F374="",J374=""),"",IF(AND(J374&gt;0,I374=1),J374*'פרמטרים לקריטריונים'!$C$64,$Q$2))</f>
        <v>3990706</v>
      </c>
      <c r="L374" s="227">
        <f>IF(OR(F374="",J374=""),"",IF(J374&gt;0,'תחום תמיכה ב'!AC374/SUMIFS('תחום תמיכה ב'!$AC$31:$AC$500,'תחום תמיכה ב'!$E$31:$E$500,E374,'תחום תמיכה ב'!$S$31:$S$500,"=1"),0))</f>
        <v>1.4099508039266089E-4</v>
      </c>
      <c r="M374" s="213">
        <f t="shared" si="21"/>
        <v>562.66991329347411</v>
      </c>
      <c r="N374" s="227">
        <f t="shared" si="22"/>
        <v>2.5566537337999656E-5</v>
      </c>
      <c r="O374" s="213">
        <f t="shared" si="23"/>
        <v>562.66991329347411</v>
      </c>
    </row>
    <row r="375" spans="1:15" ht="15.75" x14ac:dyDescent="0.2">
      <c r="A375" s="206">
        <f t="shared" si="20"/>
        <v>345</v>
      </c>
      <c r="B375" s="88">
        <f>IF($F375="","",'הזנה לתנאי סף'!C375)</f>
        <v>1001347740</v>
      </c>
      <c r="C375" s="88">
        <f>IF($F375="","",'הזנה לתנאי סף'!D375)</f>
        <v>1001265444</v>
      </c>
      <c r="D375" s="88">
        <f>IF($F375="","",'הזנה לתנאי סף'!E375)</f>
        <v>41376759</v>
      </c>
      <c r="E375" s="88">
        <f>IF($F375="","",'הזנה לתנאי סף'!F375)</f>
        <v>20000159</v>
      </c>
      <c r="F375" s="88" t="str">
        <f>IF(OR('הזנה לתנאי סף'!G375="",'הזנה לתנאי סף'!BL375&lt;&gt;1,'הזנה לתנאי סף'!Q375&lt;&gt;1,'הזנה לתנאי סף'!N375&lt;&gt;1),"",'הזנה לתנאי סף'!G375)</f>
        <v>ירושלים</v>
      </c>
      <c r="G375" s="88" t="str">
        <f>IF($F375="","",'הזנה לתנאי סף'!H375)</f>
        <v>בין שמיים לארץ (ע"ר)</v>
      </c>
      <c r="H375" s="88" t="str">
        <f>IF($F375="","",'הזנה לתנאי סף'!I375)</f>
        <v>מחול</v>
      </c>
      <c r="I375" s="88">
        <f>IF($F375="","",IF(AND('הזנה לתנאי סף'!N375=0,J375&gt;0),$Q$2,'הזנה לתנאי סף'!N375))</f>
        <v>1</v>
      </c>
      <c r="J375" s="213">
        <f>IF($F375="","",INDEX('גיליון עזר לתחום תמיכה ג'!$H$31:$H$330,MATCH(E375,'גיליון עזר לתחום תמיכה ג'!$C$31:$C$330,0)))</f>
        <v>3990706</v>
      </c>
      <c r="K375" s="213">
        <f>IF(OR(F375="",J375=""),"",IF(AND(J375&gt;0,I375=1),J375*'פרמטרים לקריטריונים'!$C$64,$Q$2))</f>
        <v>3990706</v>
      </c>
      <c r="L375" s="227">
        <f>IF(OR(F375="",J375=""),"",IF(J375&gt;0,'תחום תמיכה ב'!AC375/SUMIFS('תחום תמיכה ב'!$AC$31:$AC$500,'תחום תמיכה ב'!$E$31:$E$500,E375,'תחום תמיכה ב'!$S$31:$S$500,"=1"),0))</f>
        <v>2.1768919682278215E-3</v>
      </c>
      <c r="M375" s="213">
        <f t="shared" si="21"/>
        <v>8687.3358389585774</v>
      </c>
      <c r="N375" s="227">
        <f t="shared" si="22"/>
        <v>3.9473426754672191E-4</v>
      </c>
      <c r="O375" s="213">
        <f t="shared" si="23"/>
        <v>8687.3358389585774</v>
      </c>
    </row>
    <row r="376" spans="1:15" ht="15.75" x14ac:dyDescent="0.2">
      <c r="A376" s="206">
        <f t="shared" si="20"/>
        <v>346</v>
      </c>
      <c r="B376" s="88">
        <f>IF($F376="","",'הזנה לתנאי סף'!C376)</f>
        <v>1001348720</v>
      </c>
      <c r="C376" s="88">
        <f>IF($F376="","",'הזנה לתנאי סף'!D376)</f>
        <v>1001266717</v>
      </c>
      <c r="D376" s="88">
        <f>IF($F376="","",'הזנה לתנאי סף'!E376)</f>
        <v>41376759</v>
      </c>
      <c r="E376" s="88">
        <f>IF($F376="","",'הזנה לתנאי סף'!F376)</f>
        <v>20000159</v>
      </c>
      <c r="F376" s="88" t="str">
        <f>IF(OR('הזנה לתנאי סף'!G376="",'הזנה לתנאי סף'!BL376&lt;&gt;1,'הזנה לתנאי סף'!Q376&lt;&gt;1,'הזנה לתנאי סף'!N376&lt;&gt;1),"",'הזנה לתנאי סף'!G376)</f>
        <v>ירושלים</v>
      </c>
      <c r="G376" s="88" t="str">
        <f>IF($F376="","",'הזנה לתנאי סף'!H376)</f>
        <v>בין שמיים לארץ (ע"ר)</v>
      </c>
      <c r="H376" s="88" t="str">
        <f>IF($F376="","",'הזנה לתנאי סף'!I376)</f>
        <v>יוצרים עצמאיים במחול</v>
      </c>
      <c r="I376" s="88">
        <f>IF($F376="","",IF(AND('הזנה לתנאי סף'!N376=0,J376&gt;0),$Q$2,'הזנה לתנאי סף'!N376))</f>
        <v>1</v>
      </c>
      <c r="J376" s="213">
        <f>IF($F376="","",INDEX('גיליון עזר לתחום תמיכה ג'!$H$31:$H$330,MATCH(E376,'גיליון עזר לתחום תמיכה ג'!$C$31:$C$330,0)))</f>
        <v>3990706</v>
      </c>
      <c r="K376" s="213">
        <f>IF(OR(F376="",J376=""),"",IF(AND(J376&gt;0,I376=1),J376*'פרמטרים לקריטריונים'!$C$64,$Q$2))</f>
        <v>3990706</v>
      </c>
      <c r="L376" s="227">
        <f>IF(OR(F376="",J376=""),"",IF(J376&gt;0,'תחום תמיכה ב'!AC376/SUMIFS('תחום תמיכה ב'!$AC$31:$AC$500,'תחום תמיכה ב'!$E$31:$E$500,E376,'תחום תמיכה ב'!$S$31:$S$500,"=1"),0))</f>
        <v>2.9779904533658134E-4</v>
      </c>
      <c r="M376" s="213">
        <f t="shared" si="21"/>
        <v>1188.4284370189671</v>
      </c>
      <c r="N376" s="227">
        <f t="shared" si="22"/>
        <v>5.3999688433204855E-5</v>
      </c>
      <c r="O376" s="213">
        <f t="shared" si="23"/>
        <v>1188.4284370189671</v>
      </c>
    </row>
    <row r="377" spans="1:15" ht="15.75" x14ac:dyDescent="0.2">
      <c r="A377" s="206">
        <f t="shared" si="20"/>
        <v>347</v>
      </c>
      <c r="B377" s="88">
        <f>IF($F377="","",'הזנה לתנאי סף'!C377)</f>
        <v>1001348726</v>
      </c>
      <c r="C377" s="88">
        <f>IF($F377="","",'הזנה לתנאי סף'!D377)</f>
        <v>1001266714</v>
      </c>
      <c r="D377" s="88">
        <f>IF($F377="","",'הזנה לתנאי סף'!E377)</f>
        <v>41376759</v>
      </c>
      <c r="E377" s="88">
        <f>IF($F377="","",'הזנה לתנאי סף'!F377)</f>
        <v>20000159</v>
      </c>
      <c r="F377" s="88" t="str">
        <f>IF(OR('הזנה לתנאי סף'!G377="",'הזנה לתנאי סף'!BL377&lt;&gt;1,'הזנה לתנאי סף'!Q377&lt;&gt;1,'הזנה לתנאי סף'!N377&lt;&gt;1),"",'הזנה לתנאי סף'!G377)</f>
        <v>ירושלים</v>
      </c>
      <c r="G377" s="88" t="str">
        <f>IF($F377="","",'הזנה לתנאי סף'!H377)</f>
        <v>בין שמיים לארץ (ע"ר)</v>
      </c>
      <c r="H377" s="88" t="str">
        <f>IF($F377="","",'הזנה לתנאי סף'!I377)</f>
        <v>סינמטקים ופסטיבלים</v>
      </c>
      <c r="I377" s="88">
        <f>IF($F377="","",IF(AND('הזנה לתנאי סף'!N377=0,J377&gt;0),$Q$2,'הזנה לתנאי סף'!N377))</f>
        <v>1</v>
      </c>
      <c r="J377" s="213">
        <f>IF($F377="","",INDEX('גיליון עזר לתחום תמיכה ג'!$H$31:$H$330,MATCH(E377,'גיליון עזר לתחום תמיכה ג'!$C$31:$C$330,0)))</f>
        <v>3990706</v>
      </c>
      <c r="K377" s="213">
        <f>IF(OR(F377="",J377=""),"",IF(AND(J377&gt;0,I377=1),J377*'פרמטרים לקריטריונים'!$C$64,$Q$2))</f>
        <v>3990706</v>
      </c>
      <c r="L377" s="227">
        <f>IF(OR(F377="",J377=""),"",IF(J377&gt;0,'תחום תמיכה ב'!AC377/SUMIFS('תחום תמיכה ב'!$AC$31:$AC$500,'תחום תמיכה ב'!$E$31:$E$500,E377,'תחום תמיכה ב'!$S$31:$S$500,"=1"),0))</f>
        <v>7.8929233681803248E-4</v>
      </c>
      <c r="M377" s="213">
        <f t="shared" si="21"/>
        <v>3149.8336642937429</v>
      </c>
      <c r="N377" s="227">
        <f t="shared" si="22"/>
        <v>1.4312181633328543E-4</v>
      </c>
      <c r="O377" s="213">
        <f t="shared" si="23"/>
        <v>3149.8336642937429</v>
      </c>
    </row>
    <row r="378" spans="1:15" ht="15.75" x14ac:dyDescent="0.2">
      <c r="A378" s="206">
        <f t="shared" si="20"/>
        <v>348</v>
      </c>
      <c r="B378" s="88">
        <f>IF($F378="","",'הזנה לתנאי סף'!C378)</f>
        <v>1001348730</v>
      </c>
      <c r="C378" s="88">
        <f>IF($F378="","",'הזנה לתנאי סף'!D378)</f>
        <v>1001266783</v>
      </c>
      <c r="D378" s="88">
        <f>IF($F378="","",'הזנה לתנאי סף'!E378)</f>
        <v>41376759</v>
      </c>
      <c r="E378" s="88">
        <f>IF($F378="","",'הזנה לתנאי סף'!F378)</f>
        <v>20000159</v>
      </c>
      <c r="F378" s="88" t="str">
        <f>IF(OR('הזנה לתנאי סף'!G378="",'הזנה לתנאי סף'!BL378&lt;&gt;1,'הזנה לתנאי סף'!Q378&lt;&gt;1,'הזנה לתנאי סף'!N378&lt;&gt;1),"",'הזנה לתנאי סף'!G378)</f>
        <v>ירושלים</v>
      </c>
      <c r="G378" s="88" t="str">
        <f>IF($F378="","",'הזנה לתנאי סף'!H378)</f>
        <v>בין שמיים לארץ (ע"ר)</v>
      </c>
      <c r="H378" s="88" t="str">
        <f>IF($F378="","",'הזנה לתנאי סף'!I378)</f>
        <v>אחר</v>
      </c>
      <c r="I378" s="88">
        <f>IF($F378="","",IF(AND('הזנה לתנאי סף'!N378=0,J378&gt;0),$Q$2,'הזנה לתנאי סף'!N378))</f>
        <v>1</v>
      </c>
      <c r="J378" s="213">
        <f>IF($F378="","",INDEX('גיליון עזר לתחום תמיכה ג'!$H$31:$H$330,MATCH(E378,'גיליון עזר לתחום תמיכה ג'!$C$31:$C$330,0)))</f>
        <v>3990706</v>
      </c>
      <c r="K378" s="213">
        <f>IF(OR(F378="",J378=""),"",IF(AND(J378&gt;0,I378=1),J378*'פרמטרים לקריטריונים'!$C$64,$Q$2))</f>
        <v>3990706</v>
      </c>
      <c r="L378" s="227">
        <f>IF(OR(F378="",J378=""),"",IF(J378&gt;0,'תחום תמיכה ב'!AC378/SUMIFS('תחום תמיכה ב'!$AC$31:$AC$500,'תחום תמיכה ב'!$E$31:$E$500,E378,'תחום תמיכה ב'!$S$31:$S$500,"=1"),0))</f>
        <v>1.1434468095597035E-4</v>
      </c>
      <c r="M378" s="213">
        <f t="shared" si="21"/>
        <v>456.3160043590766</v>
      </c>
      <c r="N378" s="227">
        <f t="shared" si="22"/>
        <v>2.0734039421240996E-5</v>
      </c>
      <c r="O378" s="213">
        <f t="shared" si="23"/>
        <v>456.3160043590766</v>
      </c>
    </row>
    <row r="379" spans="1:15" ht="15.75" x14ac:dyDescent="0.2">
      <c r="A379" s="206">
        <f t="shared" si="20"/>
        <v>349</v>
      </c>
      <c r="B379" s="88">
        <f>IF($F379="","",'הזנה לתנאי סף'!C379)</f>
        <v>1001350095</v>
      </c>
      <c r="C379" s="88">
        <f>IF($F379="","",'הזנה לתנאי סף'!D379)</f>
        <v>1001271678</v>
      </c>
      <c r="D379" s="88">
        <f>IF($F379="","",'הזנה לתנאי סף'!E379)</f>
        <v>41556504</v>
      </c>
      <c r="E379" s="88">
        <f>IF($F379="","",'הזנה לתנאי סף'!F379)</f>
        <v>20000254</v>
      </c>
      <c r="F379" s="88" t="str">
        <f>IF(OR('הזנה לתנאי סף'!G379="",'הזנה לתנאי סף'!BL379&lt;&gt;1,'הזנה לתנאי סף'!Q379&lt;&gt;1,'הזנה לתנאי סף'!N379&lt;&gt;1),"",'הזנה לתנאי סף'!G379)</f>
        <v>באר שבע</v>
      </c>
      <c r="G379" s="88" t="str">
        <f>IF($F379="","",'הזנה לתנאי סף'!H379)</f>
        <v>תיאטרון לילדים ולנוער באר - שבע (ע"</v>
      </c>
      <c r="H379" s="88" t="str">
        <f>IF($F379="","",'הזנה לתנאי סף'!I379)</f>
        <v>תיאטרון</v>
      </c>
      <c r="I379" s="88">
        <f>IF($F379="","",IF(AND('הזנה לתנאי סף'!N379=0,J379&gt;0),$Q$2,'הזנה לתנאי סף'!N379))</f>
        <v>1</v>
      </c>
      <c r="J379" s="213">
        <f>IF($F379="","",INDEX('גיליון עזר לתחום תמיכה ג'!$H$31:$H$330,MATCH(E379,'גיליון עזר לתחום תמיכה ג'!$C$31:$C$330,0)))</f>
        <v>43906</v>
      </c>
      <c r="K379" s="213">
        <f>IF(OR(F379="",J379=""),"",IF(AND(J379&gt;0,I379=1),J379*'פרמטרים לקריטריונים'!$C$64,$Q$2))</f>
        <v>43906</v>
      </c>
      <c r="L379" s="227">
        <f>IF(OR(F379="",J379=""),"",IF(J379&gt;0,'תחום תמיכה ב'!AC379/SUMIFS('תחום תמיכה ב'!$AC$31:$AC$500,'תחום תמיכה ב'!$E$31:$E$500,E379,'תחום תמיכה ב'!$S$31:$S$500,"=1"),0))</f>
        <v>0.14567511607000808</v>
      </c>
      <c r="M379" s="213">
        <f t="shared" si="21"/>
        <v>6396.0116461697744</v>
      </c>
      <c r="N379" s="227">
        <f t="shared" si="22"/>
        <v>2.9062131580650261E-4</v>
      </c>
      <c r="O379" s="213">
        <f t="shared" si="23"/>
        <v>6396.0116461697744</v>
      </c>
    </row>
    <row r="380" spans="1:15" ht="15.75" x14ac:dyDescent="0.2">
      <c r="A380" s="206" t="str">
        <f t="shared" si="20"/>
        <v/>
      </c>
      <c r="B380" s="88" t="str">
        <f>IF($F380="","",'הזנה לתנאי סף'!C380)</f>
        <v/>
      </c>
      <c r="C380" s="88" t="str">
        <f>IF($F380="","",'הזנה לתנאי סף'!D380)</f>
        <v/>
      </c>
      <c r="D380" s="88" t="str">
        <f>IF($F380="","",'הזנה לתנאי סף'!E380)</f>
        <v/>
      </c>
      <c r="E380" s="88" t="str">
        <f>IF($F380="","",'הזנה לתנאי סף'!F380)</f>
        <v/>
      </c>
      <c r="F380" s="88" t="str">
        <f>IF(OR('הזנה לתנאי סף'!G380="",'הזנה לתנאי סף'!BL380&lt;&gt;1,'הזנה לתנאי סף'!Q380&lt;&gt;1,'הזנה לתנאי סף'!N380&lt;&gt;1),"",'הזנה לתנאי סף'!G380)</f>
        <v/>
      </c>
      <c r="G380" s="88" t="str">
        <f>IF($F380="","",'הזנה לתנאי סף'!H380)</f>
        <v/>
      </c>
      <c r="H380" s="88" t="str">
        <f>IF($F380="","",'הזנה לתנאי סף'!I380)</f>
        <v/>
      </c>
      <c r="I380" s="88" t="str">
        <f>IF($F380="","",IF(AND('הזנה לתנאי סף'!N380=0,J380&gt;0),$Q$2,'הזנה לתנאי סף'!N380))</f>
        <v/>
      </c>
      <c r="J380" s="213" t="str">
        <f>IF($F380="","",INDEX('גיליון עזר לתחום תמיכה ג'!$H$31:$H$330,MATCH(E380,'גיליון עזר לתחום תמיכה ג'!$C$31:$C$330,0)))</f>
        <v/>
      </c>
      <c r="K380" s="213" t="str">
        <f>IF(OR(F380="",J380=""),"",IF(AND(J380&gt;0,I380=1),J380*'פרמטרים לקריטריונים'!$C$64,$Q$2))</f>
        <v/>
      </c>
      <c r="L380" s="227" t="str">
        <f>IF(OR(F380="",J380=""),"",IF(J380&gt;0,'תחום תמיכה ב'!AC380/SUMIFS('תחום תמיכה ב'!$AC$31:$AC$500,'תחום תמיכה ב'!$E$31:$E$500,E380,'תחום תמיכה ב'!$S$31:$S$500,"=1"),0))</f>
        <v/>
      </c>
      <c r="M380" s="213" t="str">
        <f t="shared" si="21"/>
        <v/>
      </c>
      <c r="N380" s="227" t="str">
        <f t="shared" si="22"/>
        <v/>
      </c>
      <c r="O380" s="213" t="str">
        <f t="shared" si="23"/>
        <v/>
      </c>
    </row>
    <row r="381" spans="1:15" ht="15.75" x14ac:dyDescent="0.2">
      <c r="A381" s="206" t="str">
        <f t="shared" si="20"/>
        <v/>
      </c>
      <c r="B381" s="88" t="str">
        <f>IF($F381="","",'הזנה לתנאי סף'!C381)</f>
        <v/>
      </c>
      <c r="C381" s="88" t="str">
        <f>IF($F381="","",'הזנה לתנאי סף'!D381)</f>
        <v/>
      </c>
      <c r="D381" s="88" t="str">
        <f>IF($F381="","",'הזנה לתנאי סף'!E381)</f>
        <v/>
      </c>
      <c r="E381" s="88" t="str">
        <f>IF($F381="","",'הזנה לתנאי סף'!F381)</f>
        <v/>
      </c>
      <c r="F381" s="88" t="str">
        <f>IF(OR('הזנה לתנאי סף'!G381="",'הזנה לתנאי סף'!BL381&lt;&gt;1,'הזנה לתנאי סף'!Q381&lt;&gt;1,'הזנה לתנאי סף'!N381&lt;&gt;1),"",'הזנה לתנאי סף'!G381)</f>
        <v/>
      </c>
      <c r="G381" s="88" t="str">
        <f>IF($F381="","",'הזנה לתנאי סף'!H381)</f>
        <v/>
      </c>
      <c r="H381" s="88" t="str">
        <f>IF($F381="","",'הזנה לתנאי סף'!I381)</f>
        <v/>
      </c>
      <c r="I381" s="88" t="str">
        <f>IF($F381="","",IF(AND('הזנה לתנאי סף'!N381=0,J381&gt;0),$Q$2,'הזנה לתנאי סף'!N381))</f>
        <v/>
      </c>
      <c r="J381" s="213" t="str">
        <f>IF($F381="","",INDEX('גיליון עזר לתחום תמיכה ג'!$H$31:$H$330,MATCH(E381,'גיליון עזר לתחום תמיכה ג'!$C$31:$C$330,0)))</f>
        <v/>
      </c>
      <c r="K381" s="213" t="str">
        <f>IF(OR(F381="",J381=""),"",IF(AND(J381&gt;0,I381=1),J381*'פרמטרים לקריטריונים'!$C$64,$Q$2))</f>
        <v/>
      </c>
      <c r="L381" s="227" t="str">
        <f>IF(OR(F381="",J381=""),"",IF(J381&gt;0,'תחום תמיכה ב'!AC381/SUMIFS('תחום תמיכה ב'!$AC$31:$AC$500,'תחום תמיכה ב'!$E$31:$E$500,E381,'תחום תמיכה ב'!$S$31:$S$500,"=1"),0))</f>
        <v/>
      </c>
      <c r="M381" s="213" t="str">
        <f t="shared" si="21"/>
        <v/>
      </c>
      <c r="N381" s="227" t="str">
        <f t="shared" si="22"/>
        <v/>
      </c>
      <c r="O381" s="213" t="str">
        <f t="shared" si="23"/>
        <v/>
      </c>
    </row>
    <row r="382" spans="1:15" ht="15.75" x14ac:dyDescent="0.2">
      <c r="A382" s="206" t="str">
        <f t="shared" si="20"/>
        <v/>
      </c>
      <c r="B382" s="88" t="str">
        <f>IF($F382="","",'הזנה לתנאי סף'!C382)</f>
        <v/>
      </c>
      <c r="C382" s="88" t="str">
        <f>IF($F382="","",'הזנה לתנאי סף'!D382)</f>
        <v/>
      </c>
      <c r="D382" s="88" t="str">
        <f>IF($F382="","",'הזנה לתנאי סף'!E382)</f>
        <v/>
      </c>
      <c r="E382" s="88" t="str">
        <f>IF($F382="","",'הזנה לתנאי סף'!F382)</f>
        <v/>
      </c>
      <c r="F382" s="88" t="str">
        <f>IF(OR('הזנה לתנאי סף'!G382="",'הזנה לתנאי סף'!BL382&lt;&gt;1,'הזנה לתנאי סף'!Q382&lt;&gt;1,'הזנה לתנאי סף'!N382&lt;&gt;1),"",'הזנה לתנאי סף'!G382)</f>
        <v/>
      </c>
      <c r="G382" s="88" t="str">
        <f>IF($F382="","",'הזנה לתנאי סף'!H382)</f>
        <v/>
      </c>
      <c r="H382" s="88" t="str">
        <f>IF($F382="","",'הזנה לתנאי סף'!I382)</f>
        <v/>
      </c>
      <c r="I382" s="88" t="str">
        <f>IF($F382="","",IF(AND('הזנה לתנאי סף'!N382=0,J382&gt;0),$Q$2,'הזנה לתנאי סף'!N382))</f>
        <v/>
      </c>
      <c r="J382" s="213" t="str">
        <f>IF($F382="","",INDEX('גיליון עזר לתחום תמיכה ג'!$H$31:$H$330,MATCH(E382,'גיליון עזר לתחום תמיכה ג'!$C$31:$C$330,0)))</f>
        <v/>
      </c>
      <c r="K382" s="213" t="str">
        <f>IF(OR(F382="",J382=""),"",IF(AND(J382&gt;0,I382=1),J382*'פרמטרים לקריטריונים'!$C$64,$Q$2))</f>
        <v/>
      </c>
      <c r="L382" s="227" t="str">
        <f>IF(OR(F382="",J382=""),"",IF(J382&gt;0,'תחום תמיכה ב'!AC382/SUMIFS('תחום תמיכה ב'!$AC$31:$AC$500,'תחום תמיכה ב'!$E$31:$E$500,E382,'תחום תמיכה ב'!$S$31:$S$500,"=1"),0))</f>
        <v/>
      </c>
      <c r="M382" s="213" t="str">
        <f t="shared" si="21"/>
        <v/>
      </c>
      <c r="N382" s="227" t="str">
        <f t="shared" si="22"/>
        <v/>
      </c>
      <c r="O382" s="213" t="str">
        <f t="shared" si="23"/>
        <v/>
      </c>
    </row>
    <row r="383" spans="1:15" ht="15.75" x14ac:dyDescent="0.2">
      <c r="A383" s="206" t="str">
        <f t="shared" si="20"/>
        <v/>
      </c>
      <c r="B383" s="88" t="str">
        <f>IF($F383="","",'הזנה לתנאי סף'!C383)</f>
        <v/>
      </c>
      <c r="C383" s="88" t="str">
        <f>IF($F383="","",'הזנה לתנאי סף'!D383)</f>
        <v/>
      </c>
      <c r="D383" s="88" t="str">
        <f>IF($F383="","",'הזנה לתנאי סף'!E383)</f>
        <v/>
      </c>
      <c r="E383" s="88" t="str">
        <f>IF($F383="","",'הזנה לתנאי סף'!F383)</f>
        <v/>
      </c>
      <c r="F383" s="88" t="str">
        <f>IF(OR('הזנה לתנאי סף'!G383="",'הזנה לתנאי סף'!BL383&lt;&gt;1,'הזנה לתנאי סף'!Q383&lt;&gt;1,'הזנה לתנאי סף'!N383&lt;&gt;1),"",'הזנה לתנאי סף'!G383)</f>
        <v/>
      </c>
      <c r="G383" s="88" t="str">
        <f>IF($F383="","",'הזנה לתנאי סף'!H383)</f>
        <v/>
      </c>
      <c r="H383" s="88" t="str">
        <f>IF($F383="","",'הזנה לתנאי סף'!I383)</f>
        <v/>
      </c>
      <c r="I383" s="88" t="str">
        <f>IF($F383="","",IF(AND('הזנה לתנאי סף'!N383=0,J383&gt;0),$Q$2,'הזנה לתנאי סף'!N383))</f>
        <v/>
      </c>
      <c r="J383" s="213" t="str">
        <f>IF($F383="","",INDEX('גיליון עזר לתחום תמיכה ג'!$H$31:$H$330,MATCH(E383,'גיליון עזר לתחום תמיכה ג'!$C$31:$C$330,0)))</f>
        <v/>
      </c>
      <c r="K383" s="213" t="str">
        <f>IF(OR(F383="",J383=""),"",IF(AND(J383&gt;0,I383=1),J383*'פרמטרים לקריטריונים'!$C$64,$Q$2))</f>
        <v/>
      </c>
      <c r="L383" s="227" t="str">
        <f>IF(OR(F383="",J383=""),"",IF(J383&gt;0,'תחום תמיכה ב'!AC383/SUMIFS('תחום תמיכה ב'!$AC$31:$AC$500,'תחום תמיכה ב'!$E$31:$E$500,E383,'תחום תמיכה ב'!$S$31:$S$500,"=1"),0))</f>
        <v/>
      </c>
      <c r="M383" s="213" t="str">
        <f t="shared" si="21"/>
        <v/>
      </c>
      <c r="N383" s="227" t="str">
        <f t="shared" si="22"/>
        <v/>
      </c>
      <c r="O383" s="213" t="str">
        <f t="shared" si="23"/>
        <v/>
      </c>
    </row>
    <row r="384" spans="1:15" ht="15.75" x14ac:dyDescent="0.2">
      <c r="A384" s="206" t="str">
        <f t="shared" si="20"/>
        <v/>
      </c>
      <c r="B384" s="88" t="str">
        <f>IF($F384="","",'הזנה לתנאי סף'!C384)</f>
        <v/>
      </c>
      <c r="C384" s="88" t="str">
        <f>IF($F384="","",'הזנה לתנאי סף'!D384)</f>
        <v/>
      </c>
      <c r="D384" s="88" t="str">
        <f>IF($F384="","",'הזנה לתנאי סף'!E384)</f>
        <v/>
      </c>
      <c r="E384" s="88" t="str">
        <f>IF($F384="","",'הזנה לתנאי סף'!F384)</f>
        <v/>
      </c>
      <c r="F384" s="88" t="str">
        <f>IF(OR('הזנה לתנאי סף'!G384="",'הזנה לתנאי סף'!BL384&lt;&gt;1,'הזנה לתנאי סף'!Q384&lt;&gt;1,'הזנה לתנאי סף'!N384&lt;&gt;1),"",'הזנה לתנאי סף'!G384)</f>
        <v/>
      </c>
      <c r="G384" s="88" t="str">
        <f>IF($F384="","",'הזנה לתנאי סף'!H384)</f>
        <v/>
      </c>
      <c r="H384" s="88" t="str">
        <f>IF($F384="","",'הזנה לתנאי סף'!I384)</f>
        <v/>
      </c>
      <c r="I384" s="88" t="str">
        <f>IF($F384="","",IF(AND('הזנה לתנאי סף'!N384=0,J384&gt;0),$Q$2,'הזנה לתנאי סף'!N384))</f>
        <v/>
      </c>
      <c r="J384" s="213" t="str">
        <f>IF($F384="","",INDEX('גיליון עזר לתחום תמיכה ג'!$H$31:$H$330,MATCH(E384,'גיליון עזר לתחום תמיכה ג'!$C$31:$C$330,0)))</f>
        <v/>
      </c>
      <c r="K384" s="213" t="str">
        <f>IF(OR(F384="",J384=""),"",IF(AND(J384&gt;0,I384=1),J384*'פרמטרים לקריטריונים'!$C$64,$Q$2))</f>
        <v/>
      </c>
      <c r="L384" s="227" t="str">
        <f>IF(OR(F384="",J384=""),"",IF(J384&gt;0,'תחום תמיכה ב'!AC384/SUMIFS('תחום תמיכה ב'!$AC$31:$AC$500,'תחום תמיכה ב'!$E$31:$E$500,E384,'תחום תמיכה ב'!$S$31:$S$500,"=1"),0))</f>
        <v/>
      </c>
      <c r="M384" s="213" t="str">
        <f t="shared" si="21"/>
        <v/>
      </c>
      <c r="N384" s="227" t="str">
        <f t="shared" si="22"/>
        <v/>
      </c>
      <c r="O384" s="213" t="str">
        <f t="shared" si="23"/>
        <v/>
      </c>
    </row>
    <row r="385" spans="1:15" ht="15.75" x14ac:dyDescent="0.2">
      <c r="A385" s="206">
        <f t="shared" si="20"/>
        <v>355</v>
      </c>
      <c r="B385" s="88">
        <f>IF($F385="","",'הזנה לתנאי סף'!C385)</f>
        <v>1001347018</v>
      </c>
      <c r="C385" s="88">
        <f>IF($F385="","",'הזנה לתנאי סף'!D385)</f>
        <v>1001271538</v>
      </c>
      <c r="D385" s="88">
        <f>IF($F385="","",'הזנה לתנאי סף'!E385)</f>
        <v>41627319</v>
      </c>
      <c r="E385" s="88">
        <f>IF($F385="","",'הזנה לתנאי סף'!F385)</f>
        <v>20000159</v>
      </c>
      <c r="F385" s="88" t="str">
        <f>IF(OR('הזנה לתנאי סף'!G385="",'הזנה לתנאי סף'!BL385&lt;&gt;1,'הזנה לתנאי סף'!Q385&lt;&gt;1,'הזנה לתנאי סף'!N385&lt;&gt;1),"",'הזנה לתנאי סף'!G385)</f>
        <v>ירושלים</v>
      </c>
      <c r="G385" s="88" t="str">
        <f>IF($F385="","",'הזנה לתנאי סף'!H385)</f>
        <v>ק.ט.מ.ו.ן - קבוצת מחול בירושלים (ע'</v>
      </c>
      <c r="H385" s="88" t="str">
        <f>IF($F385="","",'הזנה לתנאי סף'!I385)</f>
        <v>מחול</v>
      </c>
      <c r="I385" s="88">
        <f>IF($F385="","",IF(AND('הזנה לתנאי סף'!N385=0,J385&gt;0),$Q$2,'הזנה לתנאי סף'!N385))</f>
        <v>1</v>
      </c>
      <c r="J385" s="213">
        <f>IF($F385="","",INDEX('גיליון עזר לתחום תמיכה ג'!$H$31:$H$330,MATCH(E385,'גיליון עזר לתחום תמיכה ג'!$C$31:$C$330,0)))</f>
        <v>3990706</v>
      </c>
      <c r="K385" s="213">
        <f>IF(OR(F385="",J385=""),"",IF(AND(J385&gt;0,I385=1),J385*'פרמטרים לקריטריונים'!$C$64,$Q$2))</f>
        <v>3990706</v>
      </c>
      <c r="L385" s="227">
        <f>IF(OR(F385="",J385=""),"",IF(J385&gt;0,'תחום תמיכה ב'!AC385/SUMIFS('תחום תמיכה ב'!$AC$31:$AC$500,'תחום תמיכה ב'!$E$31:$E$500,E385,'תחום תמיכה ב'!$S$31:$S$500,"=1"),0))</f>
        <v>8.443391906777229E-4</v>
      </c>
      <c r="M385" s="213">
        <f t="shared" si="21"/>
        <v>3369.5094742727329</v>
      </c>
      <c r="N385" s="227">
        <f t="shared" si="22"/>
        <v>1.5310342307178868E-4</v>
      </c>
      <c r="O385" s="213">
        <f t="shared" si="23"/>
        <v>3369.5094742727329</v>
      </c>
    </row>
    <row r="386" spans="1:15" ht="15.75" x14ac:dyDescent="0.2">
      <c r="A386" s="206" t="str">
        <f t="shared" si="20"/>
        <v/>
      </c>
      <c r="B386" s="88" t="str">
        <f>IF($F386="","",'הזנה לתנאי סף'!C386)</f>
        <v/>
      </c>
      <c r="C386" s="88" t="str">
        <f>IF($F386="","",'הזנה לתנאי סף'!D386)</f>
        <v/>
      </c>
      <c r="D386" s="88" t="str">
        <f>IF($F386="","",'הזנה לתנאי סף'!E386)</f>
        <v/>
      </c>
      <c r="E386" s="88" t="str">
        <f>IF($F386="","",'הזנה לתנאי סף'!F386)</f>
        <v/>
      </c>
      <c r="F386" s="88" t="str">
        <f>IF(OR('הזנה לתנאי סף'!G386="",'הזנה לתנאי סף'!BL386&lt;&gt;1,'הזנה לתנאי סף'!Q386&lt;&gt;1,'הזנה לתנאי סף'!N386&lt;&gt;1),"",'הזנה לתנאי סף'!G386)</f>
        <v/>
      </c>
      <c r="G386" s="88" t="str">
        <f>IF($F386="","",'הזנה לתנאי סף'!H386)</f>
        <v/>
      </c>
      <c r="H386" s="88" t="str">
        <f>IF($F386="","",'הזנה לתנאי סף'!I386)</f>
        <v/>
      </c>
      <c r="I386" s="88" t="str">
        <f>IF($F386="","",IF(AND('הזנה לתנאי סף'!N386=0,J386&gt;0),$Q$2,'הזנה לתנאי סף'!N386))</f>
        <v/>
      </c>
      <c r="J386" s="213" t="str">
        <f>IF($F386="","",INDEX('גיליון עזר לתחום תמיכה ג'!$H$31:$H$330,MATCH(E386,'גיליון עזר לתחום תמיכה ג'!$C$31:$C$330,0)))</f>
        <v/>
      </c>
      <c r="K386" s="213" t="str">
        <f>IF(OR(F386="",J386=""),"",IF(AND(J386&gt;0,I386=1),J386*'פרמטרים לקריטריונים'!$C$64,$Q$2))</f>
        <v/>
      </c>
      <c r="L386" s="227" t="str">
        <f>IF(OR(F386="",J386=""),"",IF(J386&gt;0,'תחום תמיכה ב'!AC386/SUMIFS('תחום תמיכה ב'!$AC$31:$AC$500,'תחום תמיכה ב'!$E$31:$E$500,E386,'תחום תמיכה ב'!$S$31:$S$500,"=1"),0))</f>
        <v/>
      </c>
      <c r="M386" s="213" t="str">
        <f t="shared" si="21"/>
        <v/>
      </c>
      <c r="N386" s="227" t="str">
        <f t="shared" si="22"/>
        <v/>
      </c>
      <c r="O386" s="213" t="str">
        <f t="shared" si="23"/>
        <v/>
      </c>
    </row>
    <row r="387" spans="1:15" ht="15.75" x14ac:dyDescent="0.2">
      <c r="A387" s="206" t="str">
        <f t="shared" si="20"/>
        <v/>
      </c>
      <c r="B387" s="88" t="str">
        <f>IF($F387="","",'הזנה לתנאי סף'!C387)</f>
        <v/>
      </c>
      <c r="C387" s="88" t="str">
        <f>IF($F387="","",'הזנה לתנאי סף'!D387)</f>
        <v/>
      </c>
      <c r="D387" s="88" t="str">
        <f>IF($F387="","",'הזנה לתנאי סף'!E387)</f>
        <v/>
      </c>
      <c r="E387" s="88" t="str">
        <f>IF($F387="","",'הזנה לתנאי סף'!F387)</f>
        <v/>
      </c>
      <c r="F387" s="88" t="str">
        <f>IF(OR('הזנה לתנאי סף'!G387="",'הזנה לתנאי סף'!BL387&lt;&gt;1,'הזנה לתנאי סף'!Q387&lt;&gt;1,'הזנה לתנאי סף'!N387&lt;&gt;1),"",'הזנה לתנאי סף'!G387)</f>
        <v/>
      </c>
      <c r="G387" s="88" t="str">
        <f>IF($F387="","",'הזנה לתנאי סף'!H387)</f>
        <v/>
      </c>
      <c r="H387" s="88" t="str">
        <f>IF($F387="","",'הזנה לתנאי סף'!I387)</f>
        <v/>
      </c>
      <c r="I387" s="88" t="str">
        <f>IF($F387="","",IF(AND('הזנה לתנאי סף'!N387=0,J387&gt;0),$Q$2,'הזנה לתנאי סף'!N387))</f>
        <v/>
      </c>
      <c r="J387" s="213" t="str">
        <f>IF($F387="","",INDEX('גיליון עזר לתחום תמיכה ג'!$H$31:$H$330,MATCH(E387,'גיליון עזר לתחום תמיכה ג'!$C$31:$C$330,0)))</f>
        <v/>
      </c>
      <c r="K387" s="213" t="str">
        <f>IF(OR(F387="",J387=""),"",IF(AND(J387&gt;0,I387=1),J387*'פרמטרים לקריטריונים'!$C$64,$Q$2))</f>
        <v/>
      </c>
      <c r="L387" s="227" t="str">
        <f>IF(OR(F387="",J387=""),"",IF(J387&gt;0,'תחום תמיכה ב'!AC387/SUMIFS('תחום תמיכה ב'!$AC$31:$AC$500,'תחום תמיכה ב'!$E$31:$E$500,E387,'תחום תמיכה ב'!$S$31:$S$500,"=1"),0))</f>
        <v/>
      </c>
      <c r="M387" s="213" t="str">
        <f t="shared" si="21"/>
        <v/>
      </c>
      <c r="N387" s="227" t="str">
        <f t="shared" si="22"/>
        <v/>
      </c>
      <c r="O387" s="213" t="str">
        <f t="shared" si="23"/>
        <v/>
      </c>
    </row>
    <row r="388" spans="1:15" ht="15.75" x14ac:dyDescent="0.2">
      <c r="A388" s="206" t="str">
        <f t="shared" si="20"/>
        <v/>
      </c>
      <c r="B388" s="88" t="str">
        <f>IF($F388="","",'הזנה לתנאי סף'!C388)</f>
        <v/>
      </c>
      <c r="C388" s="88" t="str">
        <f>IF($F388="","",'הזנה לתנאי סף'!D388)</f>
        <v/>
      </c>
      <c r="D388" s="88" t="str">
        <f>IF($F388="","",'הזנה לתנאי סף'!E388)</f>
        <v/>
      </c>
      <c r="E388" s="88" t="str">
        <f>IF($F388="","",'הזנה לתנאי סף'!F388)</f>
        <v/>
      </c>
      <c r="F388" s="88" t="str">
        <f>IF(OR('הזנה לתנאי סף'!G388="",'הזנה לתנאי סף'!BL388&lt;&gt;1,'הזנה לתנאי סף'!Q388&lt;&gt;1,'הזנה לתנאי סף'!N388&lt;&gt;1),"",'הזנה לתנאי סף'!G388)</f>
        <v/>
      </c>
      <c r="G388" s="88" t="str">
        <f>IF($F388="","",'הזנה לתנאי סף'!H388)</f>
        <v/>
      </c>
      <c r="H388" s="88" t="str">
        <f>IF($F388="","",'הזנה לתנאי סף'!I388)</f>
        <v/>
      </c>
      <c r="I388" s="88" t="str">
        <f>IF($F388="","",IF(AND('הזנה לתנאי סף'!N388=0,J388&gt;0),$Q$2,'הזנה לתנאי סף'!N388))</f>
        <v/>
      </c>
      <c r="J388" s="213" t="str">
        <f>IF($F388="","",INDEX('גיליון עזר לתחום תמיכה ג'!$H$31:$H$330,MATCH(E388,'גיליון עזר לתחום תמיכה ג'!$C$31:$C$330,0)))</f>
        <v/>
      </c>
      <c r="K388" s="213" t="str">
        <f>IF(OR(F388="",J388=""),"",IF(AND(J388&gt;0,I388=1),J388*'פרמטרים לקריטריונים'!$C$64,$Q$2))</f>
        <v/>
      </c>
      <c r="L388" s="227" t="str">
        <f>IF(OR(F388="",J388=""),"",IF(J388&gt;0,'תחום תמיכה ב'!AC388/SUMIFS('תחום תמיכה ב'!$AC$31:$AC$500,'תחום תמיכה ב'!$E$31:$E$500,E388,'תחום תמיכה ב'!$S$31:$S$500,"=1"),0))</f>
        <v/>
      </c>
      <c r="M388" s="213" t="str">
        <f t="shared" si="21"/>
        <v/>
      </c>
      <c r="N388" s="227" t="str">
        <f t="shared" si="22"/>
        <v/>
      </c>
      <c r="O388" s="213" t="str">
        <f t="shared" si="23"/>
        <v/>
      </c>
    </row>
    <row r="389" spans="1:15" ht="15.75" x14ac:dyDescent="0.2">
      <c r="A389" s="206" t="str">
        <f t="shared" si="20"/>
        <v/>
      </c>
      <c r="B389" s="88" t="str">
        <f>IF($F389="","",'הזנה לתנאי סף'!C389)</f>
        <v/>
      </c>
      <c r="C389" s="88" t="str">
        <f>IF($F389="","",'הזנה לתנאי סף'!D389)</f>
        <v/>
      </c>
      <c r="D389" s="88" t="str">
        <f>IF($F389="","",'הזנה לתנאי סף'!E389)</f>
        <v/>
      </c>
      <c r="E389" s="88" t="str">
        <f>IF($F389="","",'הזנה לתנאי סף'!F389)</f>
        <v/>
      </c>
      <c r="F389" s="88" t="str">
        <f>IF(OR('הזנה לתנאי סף'!G389="",'הזנה לתנאי סף'!BL389&lt;&gt;1,'הזנה לתנאי סף'!Q389&lt;&gt;1,'הזנה לתנאי סף'!N389&lt;&gt;1),"",'הזנה לתנאי סף'!G389)</f>
        <v/>
      </c>
      <c r="G389" s="88" t="str">
        <f>IF($F389="","",'הזנה לתנאי סף'!H389)</f>
        <v/>
      </c>
      <c r="H389" s="88" t="str">
        <f>IF($F389="","",'הזנה לתנאי סף'!I389)</f>
        <v/>
      </c>
      <c r="I389" s="88" t="str">
        <f>IF($F389="","",IF(AND('הזנה לתנאי סף'!N389=0,J389&gt;0),$Q$2,'הזנה לתנאי סף'!N389))</f>
        <v/>
      </c>
      <c r="J389" s="213" t="str">
        <f>IF($F389="","",INDEX('גיליון עזר לתחום תמיכה ג'!$H$31:$H$330,MATCH(E389,'גיליון עזר לתחום תמיכה ג'!$C$31:$C$330,0)))</f>
        <v/>
      </c>
      <c r="K389" s="213" t="str">
        <f>IF(OR(F389="",J389=""),"",IF(AND(J389&gt;0,I389=1),J389*'פרמטרים לקריטריונים'!$C$64,$Q$2))</f>
        <v/>
      </c>
      <c r="L389" s="227" t="str">
        <f>IF(OR(F389="",J389=""),"",IF(J389&gt;0,'תחום תמיכה ב'!AC389/SUMIFS('תחום תמיכה ב'!$AC$31:$AC$500,'תחום תמיכה ב'!$E$31:$E$500,E389,'תחום תמיכה ב'!$S$31:$S$500,"=1"),0))</f>
        <v/>
      </c>
      <c r="M389" s="213" t="str">
        <f t="shared" si="21"/>
        <v/>
      </c>
      <c r="N389" s="227" t="str">
        <f t="shared" si="22"/>
        <v/>
      </c>
      <c r="O389" s="213" t="str">
        <f t="shared" si="23"/>
        <v/>
      </c>
    </row>
    <row r="390" spans="1:15" ht="15.75" x14ac:dyDescent="0.2">
      <c r="A390" s="206" t="str">
        <f t="shared" si="20"/>
        <v/>
      </c>
      <c r="B390" s="88" t="str">
        <f>IF($F390="","",'הזנה לתנאי סף'!C390)</f>
        <v/>
      </c>
      <c r="C390" s="88" t="str">
        <f>IF($F390="","",'הזנה לתנאי סף'!D390)</f>
        <v/>
      </c>
      <c r="D390" s="88" t="str">
        <f>IF($F390="","",'הזנה לתנאי סף'!E390)</f>
        <v/>
      </c>
      <c r="E390" s="88" t="str">
        <f>IF($F390="","",'הזנה לתנאי סף'!F390)</f>
        <v/>
      </c>
      <c r="F390" s="88" t="str">
        <f>IF(OR('הזנה לתנאי סף'!G390="",'הזנה לתנאי סף'!BL390&lt;&gt;1,'הזנה לתנאי סף'!Q390&lt;&gt;1,'הזנה לתנאי סף'!N390&lt;&gt;1),"",'הזנה לתנאי סף'!G390)</f>
        <v/>
      </c>
      <c r="G390" s="88" t="str">
        <f>IF($F390="","",'הזנה לתנאי סף'!H390)</f>
        <v/>
      </c>
      <c r="H390" s="88" t="str">
        <f>IF($F390="","",'הזנה לתנאי סף'!I390)</f>
        <v/>
      </c>
      <c r="I390" s="88" t="str">
        <f>IF($F390="","",IF(AND('הזנה לתנאי סף'!N390=0,J390&gt;0),$Q$2,'הזנה לתנאי סף'!N390))</f>
        <v/>
      </c>
      <c r="J390" s="213" t="str">
        <f>IF($F390="","",INDEX('גיליון עזר לתחום תמיכה ג'!$H$31:$H$330,MATCH(E390,'גיליון עזר לתחום תמיכה ג'!$C$31:$C$330,0)))</f>
        <v/>
      </c>
      <c r="K390" s="213" t="str">
        <f>IF(OR(F390="",J390=""),"",IF(AND(J390&gt;0,I390=1),J390*'פרמטרים לקריטריונים'!$C$64,$Q$2))</f>
        <v/>
      </c>
      <c r="L390" s="227" t="str">
        <f>IF(OR(F390="",J390=""),"",IF(J390&gt;0,'תחום תמיכה ב'!AC390/SUMIFS('תחום תמיכה ב'!$AC$31:$AC$500,'תחום תמיכה ב'!$E$31:$E$500,E390,'תחום תמיכה ב'!$S$31:$S$500,"=1"),0))</f>
        <v/>
      </c>
      <c r="M390" s="213" t="str">
        <f t="shared" si="21"/>
        <v/>
      </c>
      <c r="N390" s="227" t="str">
        <f t="shared" si="22"/>
        <v/>
      </c>
      <c r="O390" s="213" t="str">
        <f t="shared" si="23"/>
        <v/>
      </c>
    </row>
    <row r="391" spans="1:15" ht="15.75" x14ac:dyDescent="0.2">
      <c r="A391" s="206">
        <f t="shared" si="20"/>
        <v>361</v>
      </c>
      <c r="B391" s="88">
        <f>IF($F391="","",'הזנה לתנאי סף'!C391)</f>
        <v>1001349845</v>
      </c>
      <c r="C391" s="88">
        <f>IF($F391="","",'הזנה לתנאי סף'!D391)</f>
        <v>1001302427</v>
      </c>
      <c r="D391" s="88">
        <f>IF($F391="","",'הזנה לתנאי סף'!E391)</f>
        <v>40000242</v>
      </c>
      <c r="E391" s="88">
        <f>IF($F391="","",'הזנה לתנאי סף'!F391)</f>
        <v>20000159</v>
      </c>
      <c r="F391" s="88" t="str">
        <f>IF(OR('הזנה לתנאי סף'!G391="",'הזנה לתנאי סף'!BL391&lt;&gt;1,'הזנה לתנאי סף'!Q391&lt;&gt;1,'הזנה לתנאי סף'!N391&lt;&gt;1),"",'הזנה לתנאי סף'!G391)</f>
        <v>ירושלים</v>
      </c>
      <c r="G391" s="88" t="str">
        <f>IF($F391="","",'הזנה לתנאי סף'!H391)</f>
        <v>הזירה הבין-תחומית (ע"ר)</v>
      </c>
      <c r="H391" s="88" t="str">
        <f>IF($F391="","",'הזנה לתנאי סף'!I391)</f>
        <v>ספרות</v>
      </c>
      <c r="I391" s="88">
        <f>IF($F391="","",IF(AND('הזנה לתנאי סף'!N391=0,J391&gt;0),$Q$2,'הזנה לתנאי סף'!N391))</f>
        <v>1</v>
      </c>
      <c r="J391" s="213">
        <f>IF($F391="","",INDEX('גיליון עזר לתחום תמיכה ג'!$H$31:$H$330,MATCH(E391,'גיליון עזר לתחום תמיכה ג'!$C$31:$C$330,0)))</f>
        <v>3990706</v>
      </c>
      <c r="K391" s="213">
        <f>IF(OR(F391="",J391=""),"",IF(AND(J391&gt;0,I391=1),J391*'פרמטרים לקריטריונים'!$C$64,$Q$2))</f>
        <v>3990706</v>
      </c>
      <c r="L391" s="227">
        <f>IF(OR(F391="",J391=""),"",IF(J391&gt;0,'תחום תמיכה ב'!AC391/SUMIFS('תחום תמיכה ב'!$AC$31:$AC$500,'תחום תמיכה ב'!$E$31:$E$500,E391,'תחום תמיכה ב'!$S$31:$S$500,"=1"),0))</f>
        <v>4.1090829489743834E-5</v>
      </c>
      <c r="M391" s="213">
        <f t="shared" si="21"/>
        <v>163.98141978969767</v>
      </c>
      <c r="N391" s="227">
        <f t="shared" si="22"/>
        <v>7.4509707960959229E-6</v>
      </c>
      <c r="O391" s="213">
        <f t="shared" si="23"/>
        <v>163.98141978969767</v>
      </c>
    </row>
    <row r="392" spans="1:15" ht="15.75" x14ac:dyDescent="0.2">
      <c r="A392" s="206">
        <f t="shared" si="20"/>
        <v>362</v>
      </c>
      <c r="B392" s="88">
        <f>IF($F392="","",'הזנה לתנאי סף'!C392)</f>
        <v>1001350439</v>
      </c>
      <c r="C392" s="88">
        <f>IF($F392="","",'הזנה לתנאי סף'!D392)</f>
        <v>1001290693</v>
      </c>
      <c r="D392" s="88">
        <f>IF($F392="","",'הזנה לתנאי סף'!E392)</f>
        <v>40822203</v>
      </c>
      <c r="E392" s="88">
        <f>IF($F392="","",'הזנה לתנאי סף'!F392)</f>
        <v>20000159</v>
      </c>
      <c r="F392" s="88" t="str">
        <f>IF(OR('הזנה לתנאי סף'!G392="",'הזנה לתנאי סף'!BL392&lt;&gt;1,'הזנה לתנאי סף'!Q392&lt;&gt;1,'הזנה לתנאי סף'!N392&lt;&gt;1),"",'הזנה לתנאי סף'!G392)</f>
        <v>ירושלים</v>
      </c>
      <c r="G392" s="88" t="str">
        <f>IF($F392="","",'הזנה לתנאי סף'!H392)</f>
        <v>הערת שוליים (ע"ר)</v>
      </c>
      <c r="H392" s="88" t="str">
        <f>IF($F392="","",'הזנה לתנאי סף'!I392)</f>
        <v>אחר</v>
      </c>
      <c r="I392" s="88">
        <f>IF($F392="","",IF(AND('הזנה לתנאי סף'!N392=0,J392&gt;0),$Q$2,'הזנה לתנאי סף'!N392))</f>
        <v>1</v>
      </c>
      <c r="J392" s="213">
        <f>IF($F392="","",INDEX('גיליון עזר לתחום תמיכה ג'!$H$31:$H$330,MATCH(E392,'גיליון עזר לתחום תמיכה ג'!$C$31:$C$330,0)))</f>
        <v>3990706</v>
      </c>
      <c r="K392" s="213">
        <f>IF(OR(F392="",J392=""),"",IF(AND(J392&gt;0,I392=1),J392*'פרמטרים לקריטריונים'!$C$64,$Q$2))</f>
        <v>3990706</v>
      </c>
      <c r="L392" s="227">
        <f>IF(OR(F392="",J392=""),"",IF(J392&gt;0,'תחום תמיכה ב'!AC392/SUMIFS('תחום תמיכה ב'!$AC$31:$AC$500,'תחום תמיכה ב'!$E$31:$E$500,E392,'תחום תמיכה ב'!$S$31:$S$500,"=1"),0))</f>
        <v>3.6661823629122907E-4</v>
      </c>
      <c r="M392" s="213">
        <f t="shared" si="21"/>
        <v>1463.0655952768257</v>
      </c>
      <c r="N392" s="227">
        <f t="shared" si="22"/>
        <v>6.6478623231588891E-5</v>
      </c>
      <c r="O392" s="213">
        <f t="shared" si="23"/>
        <v>1463.0655952768257</v>
      </c>
    </row>
    <row r="393" spans="1:15" ht="15.75" x14ac:dyDescent="0.2">
      <c r="A393" s="206">
        <f t="shared" si="20"/>
        <v>363</v>
      </c>
      <c r="B393" s="88">
        <f>IF($F393="","",'הזנה לתנאי סף'!C393)</f>
        <v>1001349364</v>
      </c>
      <c r="C393" s="88">
        <f>IF($F393="","",'הזנה לתנאי סף'!D393)</f>
        <v>1001264263</v>
      </c>
      <c r="D393" s="88">
        <f>IF($F393="","",'הזנה לתנאי סף'!E393)</f>
        <v>40000712</v>
      </c>
      <c r="E393" s="88">
        <f>IF($F393="","",'הזנה לתנאי סף'!F393)</f>
        <v>20000201</v>
      </c>
      <c r="F393" s="88" t="str">
        <f>IF(OR('הזנה לתנאי סף'!G393="",'הזנה לתנאי סף'!BL393&lt;&gt;1,'הזנה לתנאי סף'!Q393&lt;&gt;1,'הזנה לתנאי סף'!N393&lt;&gt;1),"",'הזנה לתנאי סף'!G393)</f>
        <v>תל אביב -יפו</v>
      </c>
      <c r="G393" s="88" t="str">
        <f>IF($F393="","",'הזנה לתנאי סף'!H393)</f>
        <v>התיאטרון הקאמרי של תל אביב</v>
      </c>
      <c r="H393" s="88" t="str">
        <f>IF($F393="","",'הזנה לתנאי סף'!I393)</f>
        <v>תיאטרון</v>
      </c>
      <c r="I393" s="88">
        <f>IF($F393="","",IF(AND('הזנה לתנאי סף'!N393=0,J393&gt;0),$Q$2,'הזנה לתנאי סף'!N393))</f>
        <v>1</v>
      </c>
      <c r="J393" s="213">
        <f>IF($F393="","",INDEX('גיליון עזר לתחום תמיכה ג'!$H$31:$H$330,MATCH(E393,'גיליון עזר לתחום תמיכה ג'!$C$31:$C$330,0)))</f>
        <v>15995126</v>
      </c>
      <c r="K393" s="213">
        <f>IF(OR(F393="",J393=""),"",IF(AND(J393&gt;0,I393=1),J393*'פרמטרים לקריטריונים'!$C$64,$Q$2))</f>
        <v>15995126</v>
      </c>
      <c r="L393" s="227">
        <f>IF(OR(F393="",J393=""),"",IF(J393&gt;0,'תחום תמיכה ב'!AC393/SUMIFS('תחום תמיכה ב'!$AC$31:$AC$500,'תחום תמיכה ב'!$E$31:$E$500,E393,'תחום תמיכה ב'!$S$31:$S$500,"=1"),0))</f>
        <v>0.16160170888163605</v>
      </c>
      <c r="M393" s="213">
        <f t="shared" si="21"/>
        <v>2584839.6953770877</v>
      </c>
      <c r="N393" s="227">
        <f t="shared" si="22"/>
        <v>0.11744967879619596</v>
      </c>
      <c r="O393" s="213">
        <f t="shared" si="23"/>
        <v>2584839.6953770877</v>
      </c>
    </row>
    <row r="394" spans="1:15" ht="15.75" x14ac:dyDescent="0.2">
      <c r="A394" s="206">
        <f t="shared" ref="A394:A457" si="24">IF(F394="","",ROW()-30)</f>
        <v>364</v>
      </c>
      <c r="B394" s="88">
        <f>IF($F394="","",'הזנה לתנאי סף'!C394)</f>
        <v>1001349371</v>
      </c>
      <c r="C394" s="88">
        <f>IF($F394="","",'הזנה לתנאי סף'!D394)</f>
        <v>1001264795</v>
      </c>
      <c r="D394" s="88">
        <f>IF($F394="","",'הזנה לתנאי סף'!E394)</f>
        <v>40000712</v>
      </c>
      <c r="E394" s="88">
        <f>IF($F394="","",'הזנה לתנאי סף'!F394)</f>
        <v>20000201</v>
      </c>
      <c r="F394" s="88" t="str">
        <f>IF(OR('הזנה לתנאי סף'!G394="",'הזנה לתנאי סף'!BL394&lt;&gt;1,'הזנה לתנאי סף'!Q394&lt;&gt;1,'הזנה לתנאי סף'!N394&lt;&gt;1),"",'הזנה לתנאי סף'!G394)</f>
        <v>תל אביב -יפו</v>
      </c>
      <c r="G394" s="88" t="str">
        <f>IF($F394="","",'הזנה לתנאי סף'!H394)</f>
        <v>התיאטרון הקאמרי של תל אביב</v>
      </c>
      <c r="H394" s="88" t="str">
        <f>IF($F394="","",'הזנה לתנאי סף'!I394)</f>
        <v>סינמטקים ופסטיבלים</v>
      </c>
      <c r="I394" s="88">
        <f>IF($F394="","",IF(AND('הזנה לתנאי סף'!N394=0,J394&gt;0),$Q$2,'הזנה לתנאי סף'!N394))</f>
        <v>1</v>
      </c>
      <c r="J394" s="213">
        <f>IF($F394="","",INDEX('גיליון עזר לתחום תמיכה ג'!$H$31:$H$330,MATCH(E394,'גיליון עזר לתחום תמיכה ג'!$C$31:$C$330,0)))</f>
        <v>15995126</v>
      </c>
      <c r="K394" s="213">
        <f>IF(OR(F394="",J394=""),"",IF(AND(J394&gt;0,I394=1),J394*'פרמטרים לקריטריונים'!$C$64,$Q$2))</f>
        <v>15995126</v>
      </c>
      <c r="L394" s="227">
        <f>IF(OR(F394="",J394=""),"",IF(J394&gt;0,'תחום תמיכה ב'!AC394/SUMIFS('תחום תמיכה ב'!$AC$31:$AC$500,'תחום תמיכה ב'!$E$31:$E$500,E394,'תחום תמיכה ב'!$S$31:$S$500,"=1"),0))</f>
        <v>1.6570629110813789E-3</v>
      </c>
      <c r="M394" s="213">
        <f t="shared" ref="M394:M457" si="25">IF(OR(F394="",J394=""),"",IFERROR(K394*L394,$Q$2))</f>
        <v>26504.930052673451</v>
      </c>
      <c r="N394" s="227">
        <f t="shared" ref="N394:N457" si="26">IF(OR(F394="",J394=""),"",IFERROR(M394/$M$501,$Q$2))</f>
        <v>1.2043282710218518E-3</v>
      </c>
      <c r="O394" s="213">
        <f t="shared" ref="O394:O457" si="27">IF(N394="","",IF($M$501&lt;$F$4,M394,N394*$F$4))</f>
        <v>26504.930052673451</v>
      </c>
    </row>
    <row r="395" spans="1:15" ht="15.75" x14ac:dyDescent="0.2">
      <c r="A395" s="206" t="str">
        <f t="shared" si="24"/>
        <v/>
      </c>
      <c r="B395" s="88" t="str">
        <f>IF($F395="","",'הזנה לתנאי סף'!C395)</f>
        <v/>
      </c>
      <c r="C395" s="88" t="str">
        <f>IF($F395="","",'הזנה לתנאי סף'!D395)</f>
        <v/>
      </c>
      <c r="D395" s="88" t="str">
        <f>IF($F395="","",'הזנה לתנאי סף'!E395)</f>
        <v/>
      </c>
      <c r="E395" s="88" t="str">
        <f>IF($F395="","",'הזנה לתנאי סף'!F395)</f>
        <v/>
      </c>
      <c r="F395" s="88" t="str">
        <f>IF(OR('הזנה לתנאי סף'!G395="",'הזנה לתנאי סף'!BL395&lt;&gt;1,'הזנה לתנאי סף'!Q395&lt;&gt;1,'הזנה לתנאי סף'!N395&lt;&gt;1),"",'הזנה לתנאי סף'!G395)</f>
        <v/>
      </c>
      <c r="G395" s="88" t="str">
        <f>IF($F395="","",'הזנה לתנאי סף'!H395)</f>
        <v/>
      </c>
      <c r="H395" s="88" t="str">
        <f>IF($F395="","",'הזנה לתנאי סף'!I395)</f>
        <v/>
      </c>
      <c r="I395" s="88" t="str">
        <f>IF($F395="","",IF(AND('הזנה לתנאי סף'!N395=0,J395&gt;0),$Q$2,'הזנה לתנאי סף'!N395))</f>
        <v/>
      </c>
      <c r="J395" s="213" t="str">
        <f>IF($F395="","",INDEX('גיליון עזר לתחום תמיכה ג'!$H$31:$H$330,MATCH(E395,'גיליון עזר לתחום תמיכה ג'!$C$31:$C$330,0)))</f>
        <v/>
      </c>
      <c r="K395" s="213" t="str">
        <f>IF(OR(F395="",J395=""),"",IF(AND(J395&gt;0,I395=1),J395*'פרמטרים לקריטריונים'!$C$64,$Q$2))</f>
        <v/>
      </c>
      <c r="L395" s="227" t="str">
        <f>IF(OR(F395="",J395=""),"",IF(J395&gt;0,'תחום תמיכה ב'!AC395/SUMIFS('תחום תמיכה ב'!$AC$31:$AC$500,'תחום תמיכה ב'!$E$31:$E$500,E395,'תחום תמיכה ב'!$S$31:$S$500,"=1"),0))</f>
        <v/>
      </c>
      <c r="M395" s="213" t="str">
        <f t="shared" si="25"/>
        <v/>
      </c>
      <c r="N395" s="227" t="str">
        <f t="shared" si="26"/>
        <v/>
      </c>
      <c r="O395" s="213" t="str">
        <f t="shared" si="27"/>
        <v/>
      </c>
    </row>
    <row r="396" spans="1:15" ht="15.75" x14ac:dyDescent="0.2">
      <c r="A396" s="206" t="str">
        <f t="shared" si="24"/>
        <v/>
      </c>
      <c r="B396" s="88" t="str">
        <f>IF($F396="","",'הזנה לתנאי סף'!C396)</f>
        <v/>
      </c>
      <c r="C396" s="88" t="str">
        <f>IF($F396="","",'הזנה לתנאי סף'!D396)</f>
        <v/>
      </c>
      <c r="D396" s="88" t="str">
        <f>IF($F396="","",'הזנה לתנאי סף'!E396)</f>
        <v/>
      </c>
      <c r="E396" s="88" t="str">
        <f>IF($F396="","",'הזנה לתנאי סף'!F396)</f>
        <v/>
      </c>
      <c r="F396" s="88" t="str">
        <f>IF(OR('הזנה לתנאי סף'!G396="",'הזנה לתנאי סף'!BL396&lt;&gt;1,'הזנה לתנאי סף'!Q396&lt;&gt;1,'הזנה לתנאי סף'!N396&lt;&gt;1),"",'הזנה לתנאי סף'!G396)</f>
        <v/>
      </c>
      <c r="G396" s="88" t="str">
        <f>IF($F396="","",'הזנה לתנאי סף'!H396)</f>
        <v/>
      </c>
      <c r="H396" s="88" t="str">
        <f>IF($F396="","",'הזנה לתנאי סף'!I396)</f>
        <v/>
      </c>
      <c r="I396" s="88" t="str">
        <f>IF($F396="","",IF(AND('הזנה לתנאי סף'!N396=0,J396&gt;0),$Q$2,'הזנה לתנאי סף'!N396))</f>
        <v/>
      </c>
      <c r="J396" s="213" t="str">
        <f>IF($F396="","",INDEX('גיליון עזר לתחום תמיכה ג'!$H$31:$H$330,MATCH(E396,'גיליון עזר לתחום תמיכה ג'!$C$31:$C$330,0)))</f>
        <v/>
      </c>
      <c r="K396" s="213" t="str">
        <f>IF(OR(F396="",J396=""),"",IF(AND(J396&gt;0,I396=1),J396*'פרמטרים לקריטריונים'!$C$64,$Q$2))</f>
        <v/>
      </c>
      <c r="L396" s="227" t="str">
        <f>IF(OR(F396="",J396=""),"",IF(J396&gt;0,'תחום תמיכה ב'!AC396/SUMIFS('תחום תמיכה ב'!$AC$31:$AC$500,'תחום תמיכה ב'!$E$31:$E$500,E396,'תחום תמיכה ב'!$S$31:$S$500,"=1"),0))</f>
        <v/>
      </c>
      <c r="M396" s="213" t="str">
        <f t="shared" si="25"/>
        <v/>
      </c>
      <c r="N396" s="227" t="str">
        <f t="shared" si="26"/>
        <v/>
      </c>
      <c r="O396" s="213" t="str">
        <f t="shared" si="27"/>
        <v/>
      </c>
    </row>
    <row r="397" spans="1:15" ht="15.75" x14ac:dyDescent="0.2">
      <c r="A397" s="206" t="str">
        <f t="shared" si="24"/>
        <v/>
      </c>
      <c r="B397" s="88" t="str">
        <f>IF($F397="","",'הזנה לתנאי סף'!C397)</f>
        <v/>
      </c>
      <c r="C397" s="88" t="str">
        <f>IF($F397="","",'הזנה לתנאי סף'!D397)</f>
        <v/>
      </c>
      <c r="D397" s="88" t="str">
        <f>IF($F397="","",'הזנה לתנאי סף'!E397)</f>
        <v/>
      </c>
      <c r="E397" s="88" t="str">
        <f>IF($F397="","",'הזנה לתנאי סף'!F397)</f>
        <v/>
      </c>
      <c r="F397" s="88" t="str">
        <f>IF(OR('הזנה לתנאי סף'!G397="",'הזנה לתנאי סף'!BL397&lt;&gt;1,'הזנה לתנאי סף'!Q397&lt;&gt;1,'הזנה לתנאי סף'!N397&lt;&gt;1),"",'הזנה לתנאי סף'!G397)</f>
        <v/>
      </c>
      <c r="G397" s="88" t="str">
        <f>IF($F397="","",'הזנה לתנאי סף'!H397)</f>
        <v/>
      </c>
      <c r="H397" s="88" t="str">
        <f>IF($F397="","",'הזנה לתנאי סף'!I397)</f>
        <v/>
      </c>
      <c r="I397" s="88" t="str">
        <f>IF($F397="","",IF(AND('הזנה לתנאי סף'!N397=0,J397&gt;0),$Q$2,'הזנה לתנאי סף'!N397))</f>
        <v/>
      </c>
      <c r="J397" s="213" t="str">
        <f>IF($F397="","",INDEX('גיליון עזר לתחום תמיכה ג'!$H$31:$H$330,MATCH(E397,'גיליון עזר לתחום תמיכה ג'!$C$31:$C$330,0)))</f>
        <v/>
      </c>
      <c r="K397" s="213" t="str">
        <f>IF(OR(F397="",J397=""),"",IF(AND(J397&gt;0,I397=1),J397*'פרמטרים לקריטריונים'!$C$64,$Q$2))</f>
        <v/>
      </c>
      <c r="L397" s="227" t="str">
        <f>IF(OR(F397="",J397=""),"",IF(J397&gt;0,'תחום תמיכה ב'!AC397/SUMIFS('תחום תמיכה ב'!$AC$31:$AC$500,'תחום תמיכה ב'!$E$31:$E$500,E397,'תחום תמיכה ב'!$S$31:$S$500,"=1"),0))</f>
        <v/>
      </c>
      <c r="M397" s="213" t="str">
        <f t="shared" si="25"/>
        <v/>
      </c>
      <c r="N397" s="227" t="str">
        <f t="shared" si="26"/>
        <v/>
      </c>
      <c r="O397" s="213" t="str">
        <f t="shared" si="27"/>
        <v/>
      </c>
    </row>
    <row r="398" spans="1:15" ht="15.75" x14ac:dyDescent="0.2">
      <c r="A398" s="206" t="str">
        <f t="shared" si="24"/>
        <v/>
      </c>
      <c r="B398" s="88" t="str">
        <f>IF($F398="","",'הזנה לתנאי סף'!C398)</f>
        <v/>
      </c>
      <c r="C398" s="88" t="str">
        <f>IF($F398="","",'הזנה לתנאי סף'!D398)</f>
        <v/>
      </c>
      <c r="D398" s="88" t="str">
        <f>IF($F398="","",'הזנה לתנאי סף'!E398)</f>
        <v/>
      </c>
      <c r="E398" s="88" t="str">
        <f>IF($F398="","",'הזנה לתנאי סף'!F398)</f>
        <v/>
      </c>
      <c r="F398" s="88" t="str">
        <f>IF(OR('הזנה לתנאי סף'!G398="",'הזנה לתנאי סף'!BL398&lt;&gt;1,'הזנה לתנאי סף'!Q398&lt;&gt;1,'הזנה לתנאי סף'!N398&lt;&gt;1),"",'הזנה לתנאי סף'!G398)</f>
        <v/>
      </c>
      <c r="G398" s="88" t="str">
        <f>IF($F398="","",'הזנה לתנאי סף'!H398)</f>
        <v/>
      </c>
      <c r="H398" s="88" t="str">
        <f>IF($F398="","",'הזנה לתנאי סף'!I398)</f>
        <v/>
      </c>
      <c r="I398" s="88" t="str">
        <f>IF($F398="","",IF(AND('הזנה לתנאי סף'!N398=0,J398&gt;0),$Q$2,'הזנה לתנאי סף'!N398))</f>
        <v/>
      </c>
      <c r="J398" s="213" t="str">
        <f>IF($F398="","",INDEX('גיליון עזר לתחום תמיכה ג'!$H$31:$H$330,MATCH(E398,'גיליון עזר לתחום תמיכה ג'!$C$31:$C$330,0)))</f>
        <v/>
      </c>
      <c r="K398" s="213" t="str">
        <f>IF(OR(F398="",J398=""),"",IF(AND(J398&gt;0,I398=1),J398*'פרמטרים לקריטריונים'!$C$64,$Q$2))</f>
        <v/>
      </c>
      <c r="L398" s="227" t="str">
        <f>IF(OR(F398="",J398=""),"",IF(J398&gt;0,'תחום תמיכה ב'!AC398/SUMIFS('תחום תמיכה ב'!$AC$31:$AC$500,'תחום תמיכה ב'!$E$31:$E$500,E398,'תחום תמיכה ב'!$S$31:$S$500,"=1"),0))</f>
        <v/>
      </c>
      <c r="M398" s="213" t="str">
        <f t="shared" si="25"/>
        <v/>
      </c>
      <c r="N398" s="227" t="str">
        <f t="shared" si="26"/>
        <v/>
      </c>
      <c r="O398" s="213" t="str">
        <f t="shared" si="27"/>
        <v/>
      </c>
    </row>
    <row r="399" spans="1:15" ht="15.75" x14ac:dyDescent="0.2">
      <c r="A399" s="206" t="str">
        <f t="shared" si="24"/>
        <v/>
      </c>
      <c r="B399" s="88" t="str">
        <f>IF($F399="","",'הזנה לתנאי סף'!C399)</f>
        <v/>
      </c>
      <c r="C399" s="88" t="str">
        <f>IF($F399="","",'הזנה לתנאי סף'!D399)</f>
        <v/>
      </c>
      <c r="D399" s="88" t="str">
        <f>IF($F399="","",'הזנה לתנאי סף'!E399)</f>
        <v/>
      </c>
      <c r="E399" s="88" t="str">
        <f>IF($F399="","",'הזנה לתנאי סף'!F399)</f>
        <v/>
      </c>
      <c r="F399" s="88" t="str">
        <f>IF(OR('הזנה לתנאי סף'!G399="",'הזנה לתנאי סף'!BL399&lt;&gt;1,'הזנה לתנאי סף'!Q399&lt;&gt;1,'הזנה לתנאי סף'!N399&lt;&gt;1),"",'הזנה לתנאי סף'!G399)</f>
        <v/>
      </c>
      <c r="G399" s="88" t="str">
        <f>IF($F399="","",'הזנה לתנאי סף'!H399)</f>
        <v/>
      </c>
      <c r="H399" s="88" t="str">
        <f>IF($F399="","",'הזנה לתנאי סף'!I399)</f>
        <v/>
      </c>
      <c r="I399" s="88" t="str">
        <f>IF($F399="","",IF(AND('הזנה לתנאי סף'!N399=0,J399&gt;0),$Q$2,'הזנה לתנאי סף'!N399))</f>
        <v/>
      </c>
      <c r="J399" s="213" t="str">
        <f>IF($F399="","",INDEX('גיליון עזר לתחום תמיכה ג'!$H$31:$H$330,MATCH(E399,'גיליון עזר לתחום תמיכה ג'!$C$31:$C$330,0)))</f>
        <v/>
      </c>
      <c r="K399" s="213" t="str">
        <f>IF(OR(F399="",J399=""),"",IF(AND(J399&gt;0,I399=1),J399*'פרמטרים לקריטריונים'!$C$64,$Q$2))</f>
        <v/>
      </c>
      <c r="L399" s="227" t="str">
        <f>IF(OR(F399="",J399=""),"",IF(J399&gt;0,'תחום תמיכה ב'!AC399/SUMIFS('תחום תמיכה ב'!$AC$31:$AC$500,'תחום תמיכה ב'!$E$31:$E$500,E399,'תחום תמיכה ב'!$S$31:$S$500,"=1"),0))</f>
        <v/>
      </c>
      <c r="M399" s="213" t="str">
        <f t="shared" si="25"/>
        <v/>
      </c>
      <c r="N399" s="227" t="str">
        <f t="shared" si="26"/>
        <v/>
      </c>
      <c r="O399" s="213" t="str">
        <f t="shared" si="27"/>
        <v/>
      </c>
    </row>
    <row r="400" spans="1:15" ht="15.75" x14ac:dyDescent="0.2">
      <c r="A400" s="206" t="str">
        <f t="shared" si="24"/>
        <v/>
      </c>
      <c r="B400" s="88" t="str">
        <f>IF($F400="","",'הזנה לתנאי סף'!C400)</f>
        <v/>
      </c>
      <c r="C400" s="88" t="str">
        <f>IF($F400="","",'הזנה לתנאי סף'!D400)</f>
        <v/>
      </c>
      <c r="D400" s="88" t="str">
        <f>IF($F400="","",'הזנה לתנאי סף'!E400)</f>
        <v/>
      </c>
      <c r="E400" s="88" t="str">
        <f>IF($F400="","",'הזנה לתנאי סף'!F400)</f>
        <v/>
      </c>
      <c r="F400" s="88" t="str">
        <f>IF(OR('הזנה לתנאי סף'!G400="",'הזנה לתנאי סף'!BL400&lt;&gt;1,'הזנה לתנאי סף'!Q400&lt;&gt;1,'הזנה לתנאי סף'!N400&lt;&gt;1),"",'הזנה לתנאי סף'!G400)</f>
        <v/>
      </c>
      <c r="G400" s="88" t="str">
        <f>IF($F400="","",'הזנה לתנאי סף'!H400)</f>
        <v/>
      </c>
      <c r="H400" s="88" t="str">
        <f>IF($F400="","",'הזנה לתנאי סף'!I400)</f>
        <v/>
      </c>
      <c r="I400" s="88" t="str">
        <f>IF($F400="","",IF(AND('הזנה לתנאי סף'!N400=0,J400&gt;0),$Q$2,'הזנה לתנאי סף'!N400))</f>
        <v/>
      </c>
      <c r="J400" s="213" t="str">
        <f>IF($F400="","",INDEX('גיליון עזר לתחום תמיכה ג'!$H$31:$H$330,MATCH(E400,'גיליון עזר לתחום תמיכה ג'!$C$31:$C$330,0)))</f>
        <v/>
      </c>
      <c r="K400" s="213" t="str">
        <f>IF(OR(F400="",J400=""),"",IF(AND(J400&gt;0,I400=1),J400*'פרמטרים לקריטריונים'!$C$64,$Q$2))</f>
        <v/>
      </c>
      <c r="L400" s="227" t="str">
        <f>IF(OR(F400="",J400=""),"",IF(J400&gt;0,'תחום תמיכה ב'!AC400/SUMIFS('תחום תמיכה ב'!$AC$31:$AC$500,'תחום תמיכה ב'!$E$31:$E$500,E400,'תחום תמיכה ב'!$S$31:$S$500,"=1"),0))</f>
        <v/>
      </c>
      <c r="M400" s="213" t="str">
        <f t="shared" si="25"/>
        <v/>
      </c>
      <c r="N400" s="227" t="str">
        <f t="shared" si="26"/>
        <v/>
      </c>
      <c r="O400" s="213" t="str">
        <f t="shared" si="27"/>
        <v/>
      </c>
    </row>
    <row r="401" spans="1:15" ht="15.75" x14ac:dyDescent="0.2">
      <c r="A401" s="206" t="str">
        <f t="shared" si="24"/>
        <v/>
      </c>
      <c r="B401" s="88" t="str">
        <f>IF($F401="","",'הזנה לתנאי סף'!C401)</f>
        <v/>
      </c>
      <c r="C401" s="88" t="str">
        <f>IF($F401="","",'הזנה לתנאי סף'!D401)</f>
        <v/>
      </c>
      <c r="D401" s="88" t="str">
        <f>IF($F401="","",'הזנה לתנאי סף'!E401)</f>
        <v/>
      </c>
      <c r="E401" s="88" t="str">
        <f>IF($F401="","",'הזנה לתנאי סף'!F401)</f>
        <v/>
      </c>
      <c r="F401" s="88" t="str">
        <f>IF(OR('הזנה לתנאי סף'!G401="",'הזנה לתנאי סף'!BL401&lt;&gt;1,'הזנה לתנאי סף'!Q401&lt;&gt;1,'הזנה לתנאי סף'!N401&lt;&gt;1),"",'הזנה לתנאי סף'!G401)</f>
        <v/>
      </c>
      <c r="G401" s="88" t="str">
        <f>IF($F401="","",'הזנה לתנאי סף'!H401)</f>
        <v/>
      </c>
      <c r="H401" s="88" t="str">
        <f>IF($F401="","",'הזנה לתנאי סף'!I401)</f>
        <v/>
      </c>
      <c r="I401" s="88" t="str">
        <f>IF($F401="","",IF(AND('הזנה לתנאי סף'!N401=0,J401&gt;0),$Q$2,'הזנה לתנאי סף'!N401))</f>
        <v/>
      </c>
      <c r="J401" s="213" t="str">
        <f>IF($F401="","",INDEX('גיליון עזר לתחום תמיכה ג'!$H$31:$H$330,MATCH(E401,'גיליון עזר לתחום תמיכה ג'!$C$31:$C$330,0)))</f>
        <v/>
      </c>
      <c r="K401" s="213" t="str">
        <f>IF(OR(F401="",J401=""),"",IF(AND(J401&gt;0,I401=1),J401*'פרמטרים לקריטריונים'!$C$64,$Q$2))</f>
        <v/>
      </c>
      <c r="L401" s="227" t="str">
        <f>IF(OR(F401="",J401=""),"",IF(J401&gt;0,'תחום תמיכה ב'!AC401/SUMIFS('תחום תמיכה ב'!$AC$31:$AC$500,'תחום תמיכה ב'!$E$31:$E$500,E401,'תחום תמיכה ב'!$S$31:$S$500,"=1"),0))</f>
        <v/>
      </c>
      <c r="M401" s="213" t="str">
        <f t="shared" si="25"/>
        <v/>
      </c>
      <c r="N401" s="227" t="str">
        <f t="shared" si="26"/>
        <v/>
      </c>
      <c r="O401" s="213" t="str">
        <f t="shared" si="27"/>
        <v/>
      </c>
    </row>
    <row r="402" spans="1:15" ht="15.75" x14ac:dyDescent="0.2">
      <c r="A402" s="206" t="str">
        <f t="shared" si="24"/>
        <v/>
      </c>
      <c r="B402" s="88" t="str">
        <f>IF($F402="","",'הזנה לתנאי סף'!C402)</f>
        <v/>
      </c>
      <c r="C402" s="88" t="str">
        <f>IF($F402="","",'הזנה לתנאי סף'!D402)</f>
        <v/>
      </c>
      <c r="D402" s="88" t="str">
        <f>IF($F402="","",'הזנה לתנאי סף'!E402)</f>
        <v/>
      </c>
      <c r="E402" s="88" t="str">
        <f>IF($F402="","",'הזנה לתנאי סף'!F402)</f>
        <v/>
      </c>
      <c r="F402" s="88" t="str">
        <f>IF(OR('הזנה לתנאי סף'!G402="",'הזנה לתנאי סף'!BL402&lt;&gt;1,'הזנה לתנאי סף'!Q402&lt;&gt;1,'הזנה לתנאי סף'!N402&lt;&gt;1),"",'הזנה לתנאי סף'!G402)</f>
        <v/>
      </c>
      <c r="G402" s="88" t="str">
        <f>IF($F402="","",'הזנה לתנאי סף'!H402)</f>
        <v/>
      </c>
      <c r="H402" s="88" t="str">
        <f>IF($F402="","",'הזנה לתנאי סף'!I402)</f>
        <v/>
      </c>
      <c r="I402" s="88" t="str">
        <f>IF($F402="","",IF(AND('הזנה לתנאי סף'!N402=0,J402&gt;0),$Q$2,'הזנה לתנאי סף'!N402))</f>
        <v/>
      </c>
      <c r="J402" s="213" t="str">
        <f>IF($F402="","",INDEX('גיליון עזר לתחום תמיכה ג'!$H$31:$H$330,MATCH(E402,'גיליון עזר לתחום תמיכה ג'!$C$31:$C$330,0)))</f>
        <v/>
      </c>
      <c r="K402" s="213" t="str">
        <f>IF(OR(F402="",J402=""),"",IF(AND(J402&gt;0,I402=1),J402*'פרמטרים לקריטריונים'!$C$64,$Q$2))</f>
        <v/>
      </c>
      <c r="L402" s="227" t="str">
        <f>IF(OR(F402="",J402=""),"",IF(J402&gt;0,'תחום תמיכה ב'!AC402/SUMIFS('תחום תמיכה ב'!$AC$31:$AC$500,'תחום תמיכה ב'!$E$31:$E$500,E402,'תחום תמיכה ב'!$S$31:$S$500,"=1"),0))</f>
        <v/>
      </c>
      <c r="M402" s="213" t="str">
        <f t="shared" si="25"/>
        <v/>
      </c>
      <c r="N402" s="227" t="str">
        <f t="shared" si="26"/>
        <v/>
      </c>
      <c r="O402" s="213" t="str">
        <f t="shared" si="27"/>
        <v/>
      </c>
    </row>
    <row r="403" spans="1:15" ht="15.75" x14ac:dyDescent="0.2">
      <c r="A403" s="206" t="str">
        <f t="shared" si="24"/>
        <v/>
      </c>
      <c r="B403" s="88" t="str">
        <f>IF($F403="","",'הזנה לתנאי סף'!C403)</f>
        <v/>
      </c>
      <c r="C403" s="88" t="str">
        <f>IF($F403="","",'הזנה לתנאי סף'!D403)</f>
        <v/>
      </c>
      <c r="D403" s="88" t="str">
        <f>IF($F403="","",'הזנה לתנאי סף'!E403)</f>
        <v/>
      </c>
      <c r="E403" s="88" t="str">
        <f>IF($F403="","",'הזנה לתנאי סף'!F403)</f>
        <v/>
      </c>
      <c r="F403" s="88" t="str">
        <f>IF(OR('הזנה לתנאי סף'!G403="",'הזנה לתנאי סף'!BL403&lt;&gt;1,'הזנה לתנאי סף'!Q403&lt;&gt;1,'הזנה לתנאי סף'!N403&lt;&gt;1),"",'הזנה לתנאי סף'!G403)</f>
        <v/>
      </c>
      <c r="G403" s="88" t="str">
        <f>IF($F403="","",'הזנה לתנאי סף'!H403)</f>
        <v/>
      </c>
      <c r="H403" s="88" t="str">
        <f>IF($F403="","",'הזנה לתנאי סף'!I403)</f>
        <v/>
      </c>
      <c r="I403" s="88" t="str">
        <f>IF($F403="","",IF(AND('הזנה לתנאי סף'!N403=0,J403&gt;0),$Q$2,'הזנה לתנאי סף'!N403))</f>
        <v/>
      </c>
      <c r="J403" s="213" t="str">
        <f>IF($F403="","",INDEX('גיליון עזר לתחום תמיכה ג'!$H$31:$H$330,MATCH(E403,'גיליון עזר לתחום תמיכה ג'!$C$31:$C$330,0)))</f>
        <v/>
      </c>
      <c r="K403" s="213" t="str">
        <f>IF(OR(F403="",J403=""),"",IF(AND(J403&gt;0,I403=1),J403*'פרמטרים לקריטריונים'!$C$64,$Q$2))</f>
        <v/>
      </c>
      <c r="L403" s="227" t="str">
        <f>IF(OR(F403="",J403=""),"",IF(J403&gt;0,'תחום תמיכה ב'!AC403/SUMIFS('תחום תמיכה ב'!$AC$31:$AC$500,'תחום תמיכה ב'!$E$31:$E$500,E403,'תחום תמיכה ב'!$S$31:$S$500,"=1"),0))</f>
        <v/>
      </c>
      <c r="M403" s="213" t="str">
        <f t="shared" si="25"/>
        <v/>
      </c>
      <c r="N403" s="227" t="str">
        <f t="shared" si="26"/>
        <v/>
      </c>
      <c r="O403" s="213" t="str">
        <f t="shared" si="27"/>
        <v/>
      </c>
    </row>
    <row r="404" spans="1:15" ht="15.75" x14ac:dyDescent="0.2">
      <c r="A404" s="206" t="str">
        <f t="shared" si="24"/>
        <v/>
      </c>
      <c r="B404" s="88" t="str">
        <f>IF($F404="","",'הזנה לתנאי סף'!C404)</f>
        <v/>
      </c>
      <c r="C404" s="88" t="str">
        <f>IF($F404="","",'הזנה לתנאי סף'!D404)</f>
        <v/>
      </c>
      <c r="D404" s="88" t="str">
        <f>IF($F404="","",'הזנה לתנאי סף'!E404)</f>
        <v/>
      </c>
      <c r="E404" s="88" t="str">
        <f>IF($F404="","",'הזנה לתנאי סף'!F404)</f>
        <v/>
      </c>
      <c r="F404" s="88" t="str">
        <f>IF(OR('הזנה לתנאי סף'!G404="",'הזנה לתנאי סף'!BL404&lt;&gt;1,'הזנה לתנאי סף'!Q404&lt;&gt;1,'הזנה לתנאי סף'!N404&lt;&gt;1),"",'הזנה לתנאי סף'!G404)</f>
        <v/>
      </c>
      <c r="G404" s="88" t="str">
        <f>IF($F404="","",'הזנה לתנאי סף'!H404)</f>
        <v/>
      </c>
      <c r="H404" s="88" t="str">
        <f>IF($F404="","",'הזנה לתנאי סף'!I404)</f>
        <v/>
      </c>
      <c r="I404" s="88" t="str">
        <f>IF($F404="","",IF(AND('הזנה לתנאי סף'!N404=0,J404&gt;0),$Q$2,'הזנה לתנאי סף'!N404))</f>
        <v/>
      </c>
      <c r="J404" s="213" t="str">
        <f>IF($F404="","",INDEX('גיליון עזר לתחום תמיכה ג'!$H$31:$H$330,MATCH(E404,'גיליון עזר לתחום תמיכה ג'!$C$31:$C$330,0)))</f>
        <v/>
      </c>
      <c r="K404" s="213" t="str">
        <f>IF(OR(F404="",J404=""),"",IF(AND(J404&gt;0,I404=1),J404*'פרמטרים לקריטריונים'!$C$64,$Q$2))</f>
        <v/>
      </c>
      <c r="L404" s="227" t="str">
        <f>IF(OR(F404="",J404=""),"",IF(J404&gt;0,'תחום תמיכה ב'!AC404/SUMIFS('תחום תמיכה ב'!$AC$31:$AC$500,'תחום תמיכה ב'!$E$31:$E$500,E404,'תחום תמיכה ב'!$S$31:$S$500,"=1"),0))</f>
        <v/>
      </c>
      <c r="M404" s="213" t="str">
        <f t="shared" si="25"/>
        <v/>
      </c>
      <c r="N404" s="227" t="str">
        <f t="shared" si="26"/>
        <v/>
      </c>
      <c r="O404" s="213" t="str">
        <f t="shared" si="27"/>
        <v/>
      </c>
    </row>
    <row r="405" spans="1:15" ht="15.75" x14ac:dyDescent="0.2">
      <c r="A405" s="206" t="str">
        <f t="shared" si="24"/>
        <v/>
      </c>
      <c r="B405" s="88" t="str">
        <f>IF($F405="","",'הזנה לתנאי סף'!C405)</f>
        <v/>
      </c>
      <c r="C405" s="88" t="str">
        <f>IF($F405="","",'הזנה לתנאי סף'!D405)</f>
        <v/>
      </c>
      <c r="D405" s="88" t="str">
        <f>IF($F405="","",'הזנה לתנאי סף'!E405)</f>
        <v/>
      </c>
      <c r="E405" s="88" t="str">
        <f>IF($F405="","",'הזנה לתנאי סף'!F405)</f>
        <v/>
      </c>
      <c r="F405" s="88" t="str">
        <f>IF(OR('הזנה לתנאי סף'!G405="",'הזנה לתנאי סף'!BL405&lt;&gt;1,'הזנה לתנאי סף'!Q405&lt;&gt;1,'הזנה לתנאי סף'!N405&lt;&gt;1),"",'הזנה לתנאי סף'!G405)</f>
        <v/>
      </c>
      <c r="G405" s="88" t="str">
        <f>IF($F405="","",'הזנה לתנאי סף'!H405)</f>
        <v/>
      </c>
      <c r="H405" s="88" t="str">
        <f>IF($F405="","",'הזנה לתנאי סף'!I405)</f>
        <v/>
      </c>
      <c r="I405" s="88" t="str">
        <f>IF($F405="","",IF(AND('הזנה לתנאי סף'!N405=0,J405&gt;0),$Q$2,'הזנה לתנאי סף'!N405))</f>
        <v/>
      </c>
      <c r="J405" s="213" t="str">
        <f>IF($F405="","",INDEX('גיליון עזר לתחום תמיכה ג'!$H$31:$H$330,MATCH(E405,'גיליון עזר לתחום תמיכה ג'!$C$31:$C$330,0)))</f>
        <v/>
      </c>
      <c r="K405" s="213" t="str">
        <f>IF(OR(F405="",J405=""),"",IF(AND(J405&gt;0,I405=1),J405*'פרמטרים לקריטריונים'!$C$64,$Q$2))</f>
        <v/>
      </c>
      <c r="L405" s="227" t="str">
        <f>IF(OR(F405="",J405=""),"",IF(J405&gt;0,'תחום תמיכה ב'!AC405/SUMIFS('תחום תמיכה ב'!$AC$31:$AC$500,'תחום תמיכה ב'!$E$31:$E$500,E405,'תחום תמיכה ב'!$S$31:$S$500,"=1"),0))</f>
        <v/>
      </c>
      <c r="M405" s="213" t="str">
        <f t="shared" si="25"/>
        <v/>
      </c>
      <c r="N405" s="227" t="str">
        <f t="shared" si="26"/>
        <v/>
      </c>
      <c r="O405" s="213" t="str">
        <f t="shared" si="27"/>
        <v/>
      </c>
    </row>
    <row r="406" spans="1:15" ht="15.75" x14ac:dyDescent="0.2">
      <c r="A406" s="206" t="str">
        <f t="shared" si="24"/>
        <v/>
      </c>
      <c r="B406" s="88" t="str">
        <f>IF($F406="","",'הזנה לתנאי סף'!C406)</f>
        <v/>
      </c>
      <c r="C406" s="88" t="str">
        <f>IF($F406="","",'הזנה לתנאי סף'!D406)</f>
        <v/>
      </c>
      <c r="D406" s="88" t="str">
        <f>IF($F406="","",'הזנה לתנאי סף'!E406)</f>
        <v/>
      </c>
      <c r="E406" s="88" t="str">
        <f>IF($F406="","",'הזנה לתנאי סף'!F406)</f>
        <v/>
      </c>
      <c r="F406" s="88" t="str">
        <f>IF(OR('הזנה לתנאי סף'!G406="",'הזנה לתנאי סף'!BL406&lt;&gt;1,'הזנה לתנאי סף'!Q406&lt;&gt;1,'הזנה לתנאי סף'!N406&lt;&gt;1),"",'הזנה לתנאי סף'!G406)</f>
        <v/>
      </c>
      <c r="G406" s="88" t="str">
        <f>IF($F406="","",'הזנה לתנאי סף'!H406)</f>
        <v/>
      </c>
      <c r="H406" s="88" t="str">
        <f>IF($F406="","",'הזנה לתנאי סף'!I406)</f>
        <v/>
      </c>
      <c r="I406" s="88" t="str">
        <f>IF($F406="","",IF(AND('הזנה לתנאי סף'!N406=0,J406&gt;0),$Q$2,'הזנה לתנאי סף'!N406))</f>
        <v/>
      </c>
      <c r="J406" s="213" t="str">
        <f>IF($F406="","",INDEX('גיליון עזר לתחום תמיכה ג'!$H$31:$H$330,MATCH(E406,'גיליון עזר לתחום תמיכה ג'!$C$31:$C$330,0)))</f>
        <v/>
      </c>
      <c r="K406" s="213" t="str">
        <f>IF(OR(F406="",J406=""),"",IF(AND(J406&gt;0,I406=1),J406*'פרמטרים לקריטריונים'!$C$64,$Q$2))</f>
        <v/>
      </c>
      <c r="L406" s="227" t="str">
        <f>IF(OR(F406="",J406=""),"",IF(J406&gt;0,'תחום תמיכה ב'!AC406/SUMIFS('תחום תמיכה ב'!$AC$31:$AC$500,'תחום תמיכה ב'!$E$31:$E$500,E406,'תחום תמיכה ב'!$S$31:$S$500,"=1"),0))</f>
        <v/>
      </c>
      <c r="M406" s="213" t="str">
        <f t="shared" si="25"/>
        <v/>
      </c>
      <c r="N406" s="227" t="str">
        <f t="shared" si="26"/>
        <v/>
      </c>
      <c r="O406" s="213" t="str">
        <f t="shared" si="27"/>
        <v/>
      </c>
    </row>
    <row r="407" spans="1:15" ht="15.75" x14ac:dyDescent="0.2">
      <c r="A407" s="206">
        <f t="shared" si="24"/>
        <v>377</v>
      </c>
      <c r="B407" s="88">
        <f>IF($F407="","",'הזנה לתנאי סף'!C407)</f>
        <v>1001350994</v>
      </c>
      <c r="C407" s="88">
        <f>IF($F407="","",'הזנה לתנאי סף'!D407)</f>
        <v>1001268790</v>
      </c>
      <c r="D407" s="88">
        <f>IF($F407="","",'הזנה לתנאי סף'!E407)</f>
        <v>40000023</v>
      </c>
      <c r="E407" s="88">
        <f>IF($F407="","",'הזנה לתנאי סף'!F407)</f>
        <v>20000201</v>
      </c>
      <c r="F407" s="88" t="str">
        <f>IF(OR('הזנה לתנאי סף'!G407="",'הזנה לתנאי סף'!BL407&lt;&gt;1,'הזנה לתנאי סף'!Q407&lt;&gt;1,'הזנה לתנאי סף'!N407&lt;&gt;1),"",'הזנה לתנאי סף'!G407)</f>
        <v>תל אביב -יפו</v>
      </c>
      <c r="G407" s="88" t="str">
        <f>IF($F407="","",'הזנה לתנאי סף'!H407)</f>
        <v>קרן מוזיאון רובין</v>
      </c>
      <c r="H407" s="88" t="str">
        <f>IF($F407="","",'הזנה לתנאי סף'!I407)</f>
        <v>מוזיאונים</v>
      </c>
      <c r="I407" s="88">
        <f>IF($F407="","",IF(AND('הזנה לתנאי סף'!N407=0,J407&gt;0),$Q$2,'הזנה לתנאי סף'!N407))</f>
        <v>1</v>
      </c>
      <c r="J407" s="213">
        <f>IF($F407="","",INDEX('גיליון עזר לתחום תמיכה ג'!$H$31:$H$330,MATCH(E407,'גיליון עזר לתחום תמיכה ג'!$C$31:$C$330,0)))</f>
        <v>15995126</v>
      </c>
      <c r="K407" s="213">
        <f>IF(OR(F407="",J407=""),"",IF(AND(J407&gt;0,I407=1),J407*'פרמטרים לקריטריונים'!$C$64,$Q$2))</f>
        <v>15995126</v>
      </c>
      <c r="L407" s="227">
        <f>IF(OR(F407="",J407=""),"",IF(J407&gt;0,'תחום תמיכה ב'!AC407/SUMIFS('תחום תמיכה ב'!$AC$31:$AC$500,'תחום תמיכה ב'!$E$31:$E$500,E407,'תחום תמיכה ב'!$S$31:$S$500,"=1"),0))</f>
        <v>1.9215349245875735E-3</v>
      </c>
      <c r="M407" s="213">
        <f t="shared" si="25"/>
        <v>30735.193232178735</v>
      </c>
      <c r="N407" s="227">
        <f t="shared" si="26"/>
        <v>1.3965425319467594E-3</v>
      </c>
      <c r="O407" s="213">
        <f t="shared" si="27"/>
        <v>30735.193232178735</v>
      </c>
    </row>
    <row r="408" spans="1:15" ht="15.75" x14ac:dyDescent="0.2">
      <c r="A408" s="206" t="str">
        <f t="shared" si="24"/>
        <v/>
      </c>
      <c r="B408" s="88" t="str">
        <f>IF($F408="","",'הזנה לתנאי סף'!C408)</f>
        <v/>
      </c>
      <c r="C408" s="88" t="str">
        <f>IF($F408="","",'הזנה לתנאי סף'!D408)</f>
        <v/>
      </c>
      <c r="D408" s="88" t="str">
        <f>IF($F408="","",'הזנה לתנאי סף'!E408)</f>
        <v/>
      </c>
      <c r="E408" s="88" t="str">
        <f>IF($F408="","",'הזנה לתנאי סף'!F408)</f>
        <v/>
      </c>
      <c r="F408" s="88" t="str">
        <f>IF(OR('הזנה לתנאי סף'!G408="",'הזנה לתנאי סף'!BL408&lt;&gt;1,'הזנה לתנאי סף'!Q408&lt;&gt;1,'הזנה לתנאי סף'!N408&lt;&gt;1),"",'הזנה לתנאי סף'!G408)</f>
        <v/>
      </c>
      <c r="G408" s="88" t="str">
        <f>IF($F408="","",'הזנה לתנאי סף'!H408)</f>
        <v/>
      </c>
      <c r="H408" s="88" t="str">
        <f>IF($F408="","",'הזנה לתנאי סף'!I408)</f>
        <v/>
      </c>
      <c r="I408" s="88" t="str">
        <f>IF($F408="","",IF(AND('הזנה לתנאי סף'!N408=0,J408&gt;0),$Q$2,'הזנה לתנאי סף'!N408))</f>
        <v/>
      </c>
      <c r="J408" s="213" t="str">
        <f>IF($F408="","",INDEX('גיליון עזר לתחום תמיכה ג'!$H$31:$H$330,MATCH(E408,'גיליון עזר לתחום תמיכה ג'!$C$31:$C$330,0)))</f>
        <v/>
      </c>
      <c r="K408" s="213" t="str">
        <f>IF(OR(F408="",J408=""),"",IF(AND(J408&gt;0,I408=1),J408*'פרמטרים לקריטריונים'!$C$64,$Q$2))</f>
        <v/>
      </c>
      <c r="L408" s="227" t="str">
        <f>IF(OR(F408="",J408=""),"",IF(J408&gt;0,'תחום תמיכה ב'!AC408/SUMIFS('תחום תמיכה ב'!$AC$31:$AC$500,'תחום תמיכה ב'!$E$31:$E$500,E408,'תחום תמיכה ב'!$S$31:$S$500,"=1"),0))</f>
        <v/>
      </c>
      <c r="M408" s="213" t="str">
        <f t="shared" si="25"/>
        <v/>
      </c>
      <c r="N408" s="227" t="str">
        <f t="shared" si="26"/>
        <v/>
      </c>
      <c r="O408" s="213" t="str">
        <f t="shared" si="27"/>
        <v/>
      </c>
    </row>
    <row r="409" spans="1:15" ht="15.75" x14ac:dyDescent="0.2">
      <c r="A409" s="206" t="str">
        <f t="shared" si="24"/>
        <v/>
      </c>
      <c r="B409" s="88" t="str">
        <f>IF($F409="","",'הזנה לתנאי סף'!C409)</f>
        <v/>
      </c>
      <c r="C409" s="88" t="str">
        <f>IF($F409="","",'הזנה לתנאי סף'!D409)</f>
        <v/>
      </c>
      <c r="D409" s="88" t="str">
        <f>IF($F409="","",'הזנה לתנאי סף'!E409)</f>
        <v/>
      </c>
      <c r="E409" s="88" t="str">
        <f>IF($F409="","",'הזנה לתנאי סף'!F409)</f>
        <v/>
      </c>
      <c r="F409" s="88" t="str">
        <f>IF(OR('הזנה לתנאי סף'!G409="",'הזנה לתנאי סף'!BL409&lt;&gt;1,'הזנה לתנאי סף'!Q409&lt;&gt;1,'הזנה לתנאי סף'!N409&lt;&gt;1),"",'הזנה לתנאי סף'!G409)</f>
        <v/>
      </c>
      <c r="G409" s="88" t="str">
        <f>IF($F409="","",'הזנה לתנאי סף'!H409)</f>
        <v/>
      </c>
      <c r="H409" s="88" t="str">
        <f>IF($F409="","",'הזנה לתנאי סף'!I409)</f>
        <v/>
      </c>
      <c r="I409" s="88" t="str">
        <f>IF($F409="","",IF(AND('הזנה לתנאי סף'!N409=0,J409&gt;0),$Q$2,'הזנה לתנאי סף'!N409))</f>
        <v/>
      </c>
      <c r="J409" s="213" t="str">
        <f>IF($F409="","",INDEX('גיליון עזר לתחום תמיכה ג'!$H$31:$H$330,MATCH(E409,'גיליון עזר לתחום תמיכה ג'!$C$31:$C$330,0)))</f>
        <v/>
      </c>
      <c r="K409" s="213" t="str">
        <f>IF(OR(F409="",J409=""),"",IF(AND(J409&gt;0,I409=1),J409*'פרמטרים לקריטריונים'!$C$64,$Q$2))</f>
        <v/>
      </c>
      <c r="L409" s="227" t="str">
        <f>IF(OR(F409="",J409=""),"",IF(J409&gt;0,'תחום תמיכה ב'!AC409/SUMIFS('תחום תמיכה ב'!$AC$31:$AC$500,'תחום תמיכה ב'!$E$31:$E$500,E409,'תחום תמיכה ב'!$S$31:$S$500,"=1"),0))</f>
        <v/>
      </c>
      <c r="M409" s="213" t="str">
        <f t="shared" si="25"/>
        <v/>
      </c>
      <c r="N409" s="227" t="str">
        <f t="shared" si="26"/>
        <v/>
      </c>
      <c r="O409" s="213" t="str">
        <f t="shared" si="27"/>
        <v/>
      </c>
    </row>
    <row r="410" spans="1:15" ht="15.75" x14ac:dyDescent="0.2">
      <c r="A410" s="206" t="str">
        <f t="shared" si="24"/>
        <v/>
      </c>
      <c r="B410" s="88" t="str">
        <f>IF($F410="","",'הזנה לתנאי סף'!C410)</f>
        <v/>
      </c>
      <c r="C410" s="88" t="str">
        <f>IF($F410="","",'הזנה לתנאי סף'!D410)</f>
        <v/>
      </c>
      <c r="D410" s="88" t="str">
        <f>IF($F410="","",'הזנה לתנאי סף'!E410)</f>
        <v/>
      </c>
      <c r="E410" s="88" t="str">
        <f>IF($F410="","",'הזנה לתנאי סף'!F410)</f>
        <v/>
      </c>
      <c r="F410" s="88" t="str">
        <f>IF(OR('הזנה לתנאי סף'!G410="",'הזנה לתנאי סף'!BL410&lt;&gt;1,'הזנה לתנאי סף'!Q410&lt;&gt;1,'הזנה לתנאי סף'!N410&lt;&gt;1),"",'הזנה לתנאי סף'!G410)</f>
        <v/>
      </c>
      <c r="G410" s="88" t="str">
        <f>IF($F410="","",'הזנה לתנאי סף'!H410)</f>
        <v/>
      </c>
      <c r="H410" s="88" t="str">
        <f>IF($F410="","",'הזנה לתנאי סף'!I410)</f>
        <v/>
      </c>
      <c r="I410" s="88" t="str">
        <f>IF($F410="","",IF(AND('הזנה לתנאי סף'!N410=0,J410&gt;0),$Q$2,'הזנה לתנאי סף'!N410))</f>
        <v/>
      </c>
      <c r="J410" s="213" t="str">
        <f>IF($F410="","",INDEX('גיליון עזר לתחום תמיכה ג'!$H$31:$H$330,MATCH(E410,'גיליון עזר לתחום תמיכה ג'!$C$31:$C$330,0)))</f>
        <v/>
      </c>
      <c r="K410" s="213" t="str">
        <f>IF(OR(F410="",J410=""),"",IF(AND(J410&gt;0,I410=1),J410*'פרמטרים לקריטריונים'!$C$64,$Q$2))</f>
        <v/>
      </c>
      <c r="L410" s="227" t="str">
        <f>IF(OR(F410="",J410=""),"",IF(J410&gt;0,'תחום תמיכה ב'!AC410/SUMIFS('תחום תמיכה ב'!$AC$31:$AC$500,'תחום תמיכה ב'!$E$31:$E$500,E410,'תחום תמיכה ב'!$S$31:$S$500,"=1"),0))</f>
        <v/>
      </c>
      <c r="M410" s="213" t="str">
        <f t="shared" si="25"/>
        <v/>
      </c>
      <c r="N410" s="227" t="str">
        <f t="shared" si="26"/>
        <v/>
      </c>
      <c r="O410" s="213" t="str">
        <f t="shared" si="27"/>
        <v/>
      </c>
    </row>
    <row r="411" spans="1:15" ht="15.75" x14ac:dyDescent="0.2">
      <c r="A411" s="206" t="str">
        <f t="shared" si="24"/>
        <v/>
      </c>
      <c r="B411" s="88" t="str">
        <f>IF($F411="","",'הזנה לתנאי סף'!C411)</f>
        <v/>
      </c>
      <c r="C411" s="88" t="str">
        <f>IF($F411="","",'הזנה לתנאי סף'!D411)</f>
        <v/>
      </c>
      <c r="D411" s="88" t="str">
        <f>IF($F411="","",'הזנה לתנאי סף'!E411)</f>
        <v/>
      </c>
      <c r="E411" s="88" t="str">
        <f>IF($F411="","",'הזנה לתנאי סף'!F411)</f>
        <v/>
      </c>
      <c r="F411" s="88" t="str">
        <f>IF(OR('הזנה לתנאי סף'!G411="",'הזנה לתנאי סף'!BL411&lt;&gt;1,'הזנה לתנאי סף'!Q411&lt;&gt;1,'הזנה לתנאי סף'!N411&lt;&gt;1),"",'הזנה לתנאי סף'!G411)</f>
        <v/>
      </c>
      <c r="G411" s="88" t="str">
        <f>IF($F411="","",'הזנה לתנאי סף'!H411)</f>
        <v/>
      </c>
      <c r="H411" s="88" t="str">
        <f>IF($F411="","",'הזנה לתנאי סף'!I411)</f>
        <v/>
      </c>
      <c r="I411" s="88" t="str">
        <f>IF($F411="","",IF(AND('הזנה לתנאי סף'!N411=0,J411&gt;0),$Q$2,'הזנה לתנאי סף'!N411))</f>
        <v/>
      </c>
      <c r="J411" s="213" t="str">
        <f>IF($F411="","",INDEX('גיליון עזר לתחום תמיכה ג'!$H$31:$H$330,MATCH(E411,'גיליון עזר לתחום תמיכה ג'!$C$31:$C$330,0)))</f>
        <v/>
      </c>
      <c r="K411" s="213" t="str">
        <f>IF(OR(F411="",J411=""),"",IF(AND(J411&gt;0,I411=1),J411*'פרמטרים לקריטריונים'!$C$64,$Q$2))</f>
        <v/>
      </c>
      <c r="L411" s="227" t="str">
        <f>IF(OR(F411="",J411=""),"",IF(J411&gt;0,'תחום תמיכה ב'!AC411/SUMIFS('תחום תמיכה ב'!$AC$31:$AC$500,'תחום תמיכה ב'!$E$31:$E$500,E411,'תחום תמיכה ב'!$S$31:$S$500,"=1"),0))</f>
        <v/>
      </c>
      <c r="M411" s="213" t="str">
        <f t="shared" si="25"/>
        <v/>
      </c>
      <c r="N411" s="227" t="str">
        <f t="shared" si="26"/>
        <v/>
      </c>
      <c r="O411" s="213" t="str">
        <f t="shared" si="27"/>
        <v/>
      </c>
    </row>
    <row r="412" spans="1:15" ht="15.75" x14ac:dyDescent="0.2">
      <c r="A412" s="206" t="str">
        <f t="shared" si="24"/>
        <v/>
      </c>
      <c r="B412" s="88" t="str">
        <f>IF($F412="","",'הזנה לתנאי סף'!C412)</f>
        <v/>
      </c>
      <c r="C412" s="88" t="str">
        <f>IF($F412="","",'הזנה לתנאי סף'!D412)</f>
        <v/>
      </c>
      <c r="D412" s="88" t="str">
        <f>IF($F412="","",'הזנה לתנאי סף'!E412)</f>
        <v/>
      </c>
      <c r="E412" s="88" t="str">
        <f>IF($F412="","",'הזנה לתנאי סף'!F412)</f>
        <v/>
      </c>
      <c r="F412" s="88" t="str">
        <f>IF(OR('הזנה לתנאי סף'!G412="",'הזנה לתנאי סף'!BL412&lt;&gt;1,'הזנה לתנאי סף'!Q412&lt;&gt;1,'הזנה לתנאי סף'!N412&lt;&gt;1),"",'הזנה לתנאי סף'!G412)</f>
        <v/>
      </c>
      <c r="G412" s="88" t="str">
        <f>IF($F412="","",'הזנה לתנאי סף'!H412)</f>
        <v/>
      </c>
      <c r="H412" s="88" t="str">
        <f>IF($F412="","",'הזנה לתנאי סף'!I412)</f>
        <v/>
      </c>
      <c r="I412" s="88" t="str">
        <f>IF($F412="","",IF(AND('הזנה לתנאי סף'!N412=0,J412&gt;0),$Q$2,'הזנה לתנאי סף'!N412))</f>
        <v/>
      </c>
      <c r="J412" s="213" t="str">
        <f>IF($F412="","",INDEX('גיליון עזר לתחום תמיכה ג'!$H$31:$H$330,MATCH(E412,'גיליון עזר לתחום תמיכה ג'!$C$31:$C$330,0)))</f>
        <v/>
      </c>
      <c r="K412" s="213" t="str">
        <f>IF(OR(F412="",J412=""),"",IF(AND(J412&gt;0,I412=1),J412*'פרמטרים לקריטריונים'!$C$64,$Q$2))</f>
        <v/>
      </c>
      <c r="L412" s="227" t="str">
        <f>IF(OR(F412="",J412=""),"",IF(J412&gt;0,'תחום תמיכה ב'!AC412/SUMIFS('תחום תמיכה ב'!$AC$31:$AC$500,'תחום תמיכה ב'!$E$31:$E$500,E412,'תחום תמיכה ב'!$S$31:$S$500,"=1"),0))</f>
        <v/>
      </c>
      <c r="M412" s="213" t="str">
        <f t="shared" si="25"/>
        <v/>
      </c>
      <c r="N412" s="227" t="str">
        <f t="shared" si="26"/>
        <v/>
      </c>
      <c r="O412" s="213" t="str">
        <f t="shared" si="27"/>
        <v/>
      </c>
    </row>
    <row r="413" spans="1:15" ht="15.75" x14ac:dyDescent="0.2">
      <c r="A413" s="206" t="str">
        <f t="shared" si="24"/>
        <v/>
      </c>
      <c r="B413" s="88" t="str">
        <f>IF($F413="","",'הזנה לתנאי סף'!C413)</f>
        <v/>
      </c>
      <c r="C413" s="88" t="str">
        <f>IF($F413="","",'הזנה לתנאי סף'!D413)</f>
        <v/>
      </c>
      <c r="D413" s="88" t="str">
        <f>IF($F413="","",'הזנה לתנאי סף'!E413)</f>
        <v/>
      </c>
      <c r="E413" s="88" t="str">
        <f>IF($F413="","",'הזנה לתנאי סף'!F413)</f>
        <v/>
      </c>
      <c r="F413" s="88" t="str">
        <f>IF(OR('הזנה לתנאי סף'!G413="",'הזנה לתנאי סף'!BL413&lt;&gt;1,'הזנה לתנאי סף'!Q413&lt;&gt;1,'הזנה לתנאי סף'!N413&lt;&gt;1),"",'הזנה לתנאי סף'!G413)</f>
        <v/>
      </c>
      <c r="G413" s="88" t="str">
        <f>IF($F413="","",'הזנה לתנאי סף'!H413)</f>
        <v/>
      </c>
      <c r="H413" s="88" t="str">
        <f>IF($F413="","",'הזנה לתנאי סף'!I413)</f>
        <v/>
      </c>
      <c r="I413" s="88" t="str">
        <f>IF($F413="","",IF(AND('הזנה לתנאי סף'!N413=0,J413&gt;0),$Q$2,'הזנה לתנאי סף'!N413))</f>
        <v/>
      </c>
      <c r="J413" s="213" t="str">
        <f>IF($F413="","",INDEX('גיליון עזר לתחום תמיכה ג'!$H$31:$H$330,MATCH(E413,'גיליון עזר לתחום תמיכה ג'!$C$31:$C$330,0)))</f>
        <v/>
      </c>
      <c r="K413" s="213" t="str">
        <f>IF(OR(F413="",J413=""),"",IF(AND(J413&gt;0,I413=1),J413*'פרמטרים לקריטריונים'!$C$64,$Q$2))</f>
        <v/>
      </c>
      <c r="L413" s="227" t="str">
        <f>IF(OR(F413="",J413=""),"",IF(J413&gt;0,'תחום תמיכה ב'!AC413/SUMIFS('תחום תמיכה ב'!$AC$31:$AC$500,'תחום תמיכה ב'!$E$31:$E$500,E413,'תחום תמיכה ב'!$S$31:$S$500,"=1"),0))</f>
        <v/>
      </c>
      <c r="M413" s="213" t="str">
        <f t="shared" si="25"/>
        <v/>
      </c>
      <c r="N413" s="227" t="str">
        <f t="shared" si="26"/>
        <v/>
      </c>
      <c r="O413" s="213" t="str">
        <f t="shared" si="27"/>
        <v/>
      </c>
    </row>
    <row r="414" spans="1:15" ht="15.75" x14ac:dyDescent="0.2">
      <c r="A414" s="206" t="str">
        <f t="shared" si="24"/>
        <v/>
      </c>
      <c r="B414" s="88" t="str">
        <f>IF($F414="","",'הזנה לתנאי סף'!C414)</f>
        <v/>
      </c>
      <c r="C414" s="88" t="str">
        <f>IF($F414="","",'הזנה לתנאי סף'!D414)</f>
        <v/>
      </c>
      <c r="D414" s="88" t="str">
        <f>IF($F414="","",'הזנה לתנאי סף'!E414)</f>
        <v/>
      </c>
      <c r="E414" s="88" t="str">
        <f>IF($F414="","",'הזנה לתנאי סף'!F414)</f>
        <v/>
      </c>
      <c r="F414" s="88" t="str">
        <f>IF(OR('הזנה לתנאי סף'!G414="",'הזנה לתנאי סף'!BL414&lt;&gt;1,'הזנה לתנאי סף'!Q414&lt;&gt;1,'הזנה לתנאי סף'!N414&lt;&gt;1),"",'הזנה לתנאי סף'!G414)</f>
        <v/>
      </c>
      <c r="G414" s="88" t="str">
        <f>IF($F414="","",'הזנה לתנאי סף'!H414)</f>
        <v/>
      </c>
      <c r="H414" s="88" t="str">
        <f>IF($F414="","",'הזנה לתנאי סף'!I414)</f>
        <v/>
      </c>
      <c r="I414" s="88" t="str">
        <f>IF($F414="","",IF(AND('הזנה לתנאי סף'!N414=0,J414&gt;0),$Q$2,'הזנה לתנאי סף'!N414))</f>
        <v/>
      </c>
      <c r="J414" s="213" t="str">
        <f>IF($F414="","",INDEX('גיליון עזר לתחום תמיכה ג'!$H$31:$H$330,MATCH(E414,'גיליון עזר לתחום תמיכה ג'!$C$31:$C$330,0)))</f>
        <v/>
      </c>
      <c r="K414" s="213" t="str">
        <f>IF(OR(F414="",J414=""),"",IF(AND(J414&gt;0,I414=1),J414*'פרמטרים לקריטריונים'!$C$64,$Q$2))</f>
        <v/>
      </c>
      <c r="L414" s="227" t="str">
        <f>IF(OR(F414="",J414=""),"",IF(J414&gt;0,'תחום תמיכה ב'!AC414/SUMIFS('תחום תמיכה ב'!$AC$31:$AC$500,'תחום תמיכה ב'!$E$31:$E$500,E414,'תחום תמיכה ב'!$S$31:$S$500,"=1"),0))</f>
        <v/>
      </c>
      <c r="M414" s="213" t="str">
        <f t="shared" si="25"/>
        <v/>
      </c>
      <c r="N414" s="227" t="str">
        <f t="shared" si="26"/>
        <v/>
      </c>
      <c r="O414" s="213" t="str">
        <f t="shared" si="27"/>
        <v/>
      </c>
    </row>
    <row r="415" spans="1:15" ht="15.75" x14ac:dyDescent="0.2">
      <c r="A415" s="206" t="str">
        <f t="shared" si="24"/>
        <v/>
      </c>
      <c r="B415" s="88" t="str">
        <f>IF($F415="","",'הזנה לתנאי סף'!C415)</f>
        <v/>
      </c>
      <c r="C415" s="88" t="str">
        <f>IF($F415="","",'הזנה לתנאי סף'!D415)</f>
        <v/>
      </c>
      <c r="D415" s="88" t="str">
        <f>IF($F415="","",'הזנה לתנאי סף'!E415)</f>
        <v/>
      </c>
      <c r="E415" s="88" t="str">
        <f>IF($F415="","",'הזנה לתנאי סף'!F415)</f>
        <v/>
      </c>
      <c r="F415" s="88" t="str">
        <f>IF(OR('הזנה לתנאי סף'!G415="",'הזנה לתנאי סף'!BL415&lt;&gt;1,'הזנה לתנאי סף'!Q415&lt;&gt;1,'הזנה לתנאי סף'!N415&lt;&gt;1),"",'הזנה לתנאי סף'!G415)</f>
        <v/>
      </c>
      <c r="G415" s="88" t="str">
        <f>IF($F415="","",'הזנה לתנאי סף'!H415)</f>
        <v/>
      </c>
      <c r="H415" s="88" t="str">
        <f>IF($F415="","",'הזנה לתנאי סף'!I415)</f>
        <v/>
      </c>
      <c r="I415" s="88" t="str">
        <f>IF($F415="","",IF(AND('הזנה לתנאי סף'!N415=0,J415&gt;0),$Q$2,'הזנה לתנאי סף'!N415))</f>
        <v/>
      </c>
      <c r="J415" s="213" t="str">
        <f>IF($F415="","",INDEX('גיליון עזר לתחום תמיכה ג'!$H$31:$H$330,MATCH(E415,'גיליון עזר לתחום תמיכה ג'!$C$31:$C$330,0)))</f>
        <v/>
      </c>
      <c r="K415" s="213" t="str">
        <f>IF(OR(F415="",J415=""),"",IF(AND(J415&gt;0,I415=1),J415*'פרמטרים לקריטריונים'!$C$64,$Q$2))</f>
        <v/>
      </c>
      <c r="L415" s="227" t="str">
        <f>IF(OR(F415="",J415=""),"",IF(J415&gt;0,'תחום תמיכה ב'!AC415/SUMIFS('תחום תמיכה ב'!$AC$31:$AC$500,'תחום תמיכה ב'!$E$31:$E$500,E415,'תחום תמיכה ב'!$S$31:$S$500,"=1"),0))</f>
        <v/>
      </c>
      <c r="M415" s="213" t="str">
        <f t="shared" si="25"/>
        <v/>
      </c>
      <c r="N415" s="227" t="str">
        <f t="shared" si="26"/>
        <v/>
      </c>
      <c r="O415" s="213" t="str">
        <f t="shared" si="27"/>
        <v/>
      </c>
    </row>
    <row r="416" spans="1:15" ht="15.75" x14ac:dyDescent="0.2">
      <c r="A416" s="206" t="str">
        <f t="shared" si="24"/>
        <v/>
      </c>
      <c r="B416" s="88" t="str">
        <f>IF($F416="","",'הזנה לתנאי סף'!C416)</f>
        <v/>
      </c>
      <c r="C416" s="88" t="str">
        <f>IF($F416="","",'הזנה לתנאי סף'!D416)</f>
        <v/>
      </c>
      <c r="D416" s="88" t="str">
        <f>IF($F416="","",'הזנה לתנאי סף'!E416)</f>
        <v/>
      </c>
      <c r="E416" s="88" t="str">
        <f>IF($F416="","",'הזנה לתנאי סף'!F416)</f>
        <v/>
      </c>
      <c r="F416" s="88" t="str">
        <f>IF(OR('הזנה לתנאי סף'!G416="",'הזנה לתנאי סף'!BL416&lt;&gt;1,'הזנה לתנאי סף'!Q416&lt;&gt;1,'הזנה לתנאי סף'!N416&lt;&gt;1),"",'הזנה לתנאי סף'!G416)</f>
        <v/>
      </c>
      <c r="G416" s="88" t="str">
        <f>IF($F416="","",'הזנה לתנאי סף'!H416)</f>
        <v/>
      </c>
      <c r="H416" s="88" t="str">
        <f>IF($F416="","",'הזנה לתנאי סף'!I416)</f>
        <v/>
      </c>
      <c r="I416" s="88" t="str">
        <f>IF($F416="","",IF(AND('הזנה לתנאי סף'!N416=0,J416&gt;0),$Q$2,'הזנה לתנאי סף'!N416))</f>
        <v/>
      </c>
      <c r="J416" s="213" t="str">
        <f>IF($F416="","",INDEX('גיליון עזר לתחום תמיכה ג'!$H$31:$H$330,MATCH(E416,'גיליון עזר לתחום תמיכה ג'!$C$31:$C$330,0)))</f>
        <v/>
      </c>
      <c r="K416" s="213" t="str">
        <f>IF(OR(F416="",J416=""),"",IF(AND(J416&gt;0,I416=1),J416*'פרמטרים לקריטריונים'!$C$64,$Q$2))</f>
        <v/>
      </c>
      <c r="L416" s="227" t="str">
        <f>IF(OR(F416="",J416=""),"",IF(J416&gt;0,'תחום תמיכה ב'!AC416/SUMIFS('תחום תמיכה ב'!$AC$31:$AC$500,'תחום תמיכה ב'!$E$31:$E$500,E416,'תחום תמיכה ב'!$S$31:$S$500,"=1"),0))</f>
        <v/>
      </c>
      <c r="M416" s="213" t="str">
        <f t="shared" si="25"/>
        <v/>
      </c>
      <c r="N416" s="227" t="str">
        <f t="shared" si="26"/>
        <v/>
      </c>
      <c r="O416" s="213" t="str">
        <f t="shared" si="27"/>
        <v/>
      </c>
    </row>
    <row r="417" spans="1:15" ht="15.75" x14ac:dyDescent="0.2">
      <c r="A417" s="206" t="str">
        <f t="shared" si="24"/>
        <v/>
      </c>
      <c r="B417" s="88" t="str">
        <f>IF($F417="","",'הזנה לתנאי סף'!C417)</f>
        <v/>
      </c>
      <c r="C417" s="88" t="str">
        <f>IF($F417="","",'הזנה לתנאי סף'!D417)</f>
        <v/>
      </c>
      <c r="D417" s="88" t="str">
        <f>IF($F417="","",'הזנה לתנאי סף'!E417)</f>
        <v/>
      </c>
      <c r="E417" s="88" t="str">
        <f>IF($F417="","",'הזנה לתנאי סף'!F417)</f>
        <v/>
      </c>
      <c r="F417" s="88" t="str">
        <f>IF(OR('הזנה לתנאי סף'!G417="",'הזנה לתנאי סף'!BL417&lt;&gt;1,'הזנה לתנאי סף'!Q417&lt;&gt;1,'הזנה לתנאי סף'!N417&lt;&gt;1),"",'הזנה לתנאי סף'!G417)</f>
        <v/>
      </c>
      <c r="G417" s="88" t="str">
        <f>IF($F417="","",'הזנה לתנאי סף'!H417)</f>
        <v/>
      </c>
      <c r="H417" s="88" t="str">
        <f>IF($F417="","",'הזנה לתנאי סף'!I417)</f>
        <v/>
      </c>
      <c r="I417" s="88" t="str">
        <f>IF($F417="","",IF(AND('הזנה לתנאי סף'!N417=0,J417&gt;0),$Q$2,'הזנה לתנאי סף'!N417))</f>
        <v/>
      </c>
      <c r="J417" s="213" t="str">
        <f>IF($F417="","",INDEX('גיליון עזר לתחום תמיכה ג'!$H$31:$H$330,MATCH(E417,'גיליון עזר לתחום תמיכה ג'!$C$31:$C$330,0)))</f>
        <v/>
      </c>
      <c r="K417" s="213" t="str">
        <f>IF(OR(F417="",J417=""),"",IF(AND(J417&gt;0,I417=1),J417*'פרמטרים לקריטריונים'!$C$64,$Q$2))</f>
        <v/>
      </c>
      <c r="L417" s="227" t="str">
        <f>IF(OR(F417="",J417=""),"",IF(J417&gt;0,'תחום תמיכה ב'!AC417/SUMIFS('תחום תמיכה ב'!$AC$31:$AC$500,'תחום תמיכה ב'!$E$31:$E$500,E417,'תחום תמיכה ב'!$S$31:$S$500,"=1"),0))</f>
        <v/>
      </c>
      <c r="M417" s="213" t="str">
        <f t="shared" si="25"/>
        <v/>
      </c>
      <c r="N417" s="227" t="str">
        <f t="shared" si="26"/>
        <v/>
      </c>
      <c r="O417" s="213" t="str">
        <f t="shared" si="27"/>
        <v/>
      </c>
    </row>
    <row r="418" spans="1:15" ht="15.75" x14ac:dyDescent="0.2">
      <c r="A418" s="206" t="str">
        <f t="shared" si="24"/>
        <v/>
      </c>
      <c r="B418" s="88" t="str">
        <f>IF($F418="","",'הזנה לתנאי סף'!C418)</f>
        <v/>
      </c>
      <c r="C418" s="88" t="str">
        <f>IF($F418="","",'הזנה לתנאי סף'!D418)</f>
        <v/>
      </c>
      <c r="D418" s="88" t="str">
        <f>IF($F418="","",'הזנה לתנאי סף'!E418)</f>
        <v/>
      </c>
      <c r="E418" s="88" t="str">
        <f>IF($F418="","",'הזנה לתנאי סף'!F418)</f>
        <v/>
      </c>
      <c r="F418" s="88" t="str">
        <f>IF(OR('הזנה לתנאי סף'!G418="",'הזנה לתנאי סף'!BL418&lt;&gt;1,'הזנה לתנאי סף'!Q418&lt;&gt;1,'הזנה לתנאי סף'!N418&lt;&gt;1),"",'הזנה לתנאי סף'!G418)</f>
        <v/>
      </c>
      <c r="G418" s="88" t="str">
        <f>IF($F418="","",'הזנה לתנאי סף'!H418)</f>
        <v/>
      </c>
      <c r="H418" s="88" t="str">
        <f>IF($F418="","",'הזנה לתנאי סף'!I418)</f>
        <v/>
      </c>
      <c r="I418" s="88" t="str">
        <f>IF($F418="","",IF(AND('הזנה לתנאי סף'!N418=0,J418&gt;0),$Q$2,'הזנה לתנאי סף'!N418))</f>
        <v/>
      </c>
      <c r="J418" s="213" t="str">
        <f>IF($F418="","",INDEX('גיליון עזר לתחום תמיכה ג'!$H$31:$H$330,MATCH(E418,'גיליון עזר לתחום תמיכה ג'!$C$31:$C$330,0)))</f>
        <v/>
      </c>
      <c r="K418" s="213" t="str">
        <f>IF(OR(F418="",J418=""),"",IF(AND(J418&gt;0,I418=1),J418*'פרמטרים לקריטריונים'!$C$64,$Q$2))</f>
        <v/>
      </c>
      <c r="L418" s="227" t="str">
        <f>IF(OR(F418="",J418=""),"",IF(J418&gt;0,'תחום תמיכה ב'!AC418/SUMIFS('תחום תמיכה ב'!$AC$31:$AC$500,'תחום תמיכה ב'!$E$31:$E$500,E418,'תחום תמיכה ב'!$S$31:$S$500,"=1"),0))</f>
        <v/>
      </c>
      <c r="M418" s="213" t="str">
        <f t="shared" si="25"/>
        <v/>
      </c>
      <c r="N418" s="227" t="str">
        <f t="shared" si="26"/>
        <v/>
      </c>
      <c r="O418" s="213" t="str">
        <f t="shared" si="27"/>
        <v/>
      </c>
    </row>
    <row r="419" spans="1:15" ht="15.75" x14ac:dyDescent="0.2">
      <c r="A419" s="206" t="str">
        <f t="shared" si="24"/>
        <v/>
      </c>
      <c r="B419" s="88" t="str">
        <f>IF($F419="","",'הזנה לתנאי סף'!C419)</f>
        <v/>
      </c>
      <c r="C419" s="88" t="str">
        <f>IF($F419="","",'הזנה לתנאי סף'!D419)</f>
        <v/>
      </c>
      <c r="D419" s="88" t="str">
        <f>IF($F419="","",'הזנה לתנאי סף'!E419)</f>
        <v/>
      </c>
      <c r="E419" s="88" t="str">
        <f>IF($F419="","",'הזנה לתנאי סף'!F419)</f>
        <v/>
      </c>
      <c r="F419" s="88" t="str">
        <f>IF(OR('הזנה לתנאי סף'!G419="",'הזנה לתנאי סף'!BL419&lt;&gt;1,'הזנה לתנאי סף'!Q419&lt;&gt;1,'הזנה לתנאי סף'!N419&lt;&gt;1),"",'הזנה לתנאי סף'!G419)</f>
        <v/>
      </c>
      <c r="G419" s="88" t="str">
        <f>IF($F419="","",'הזנה לתנאי סף'!H419)</f>
        <v/>
      </c>
      <c r="H419" s="88" t="str">
        <f>IF($F419="","",'הזנה לתנאי סף'!I419)</f>
        <v/>
      </c>
      <c r="I419" s="88" t="str">
        <f>IF($F419="","",IF(AND('הזנה לתנאי סף'!N419=0,J419&gt;0),$Q$2,'הזנה לתנאי סף'!N419))</f>
        <v/>
      </c>
      <c r="J419" s="213" t="str">
        <f>IF($F419="","",INDEX('גיליון עזר לתחום תמיכה ג'!$H$31:$H$330,MATCH(E419,'גיליון עזר לתחום תמיכה ג'!$C$31:$C$330,0)))</f>
        <v/>
      </c>
      <c r="K419" s="213" t="str">
        <f>IF(OR(F419="",J419=""),"",IF(AND(J419&gt;0,I419=1),J419*'פרמטרים לקריטריונים'!$C$64,$Q$2))</f>
        <v/>
      </c>
      <c r="L419" s="227" t="str">
        <f>IF(OR(F419="",J419=""),"",IF(J419&gt;0,'תחום תמיכה ב'!AC419/SUMIFS('תחום תמיכה ב'!$AC$31:$AC$500,'תחום תמיכה ב'!$E$31:$E$500,E419,'תחום תמיכה ב'!$S$31:$S$500,"=1"),0))</f>
        <v/>
      </c>
      <c r="M419" s="213" t="str">
        <f t="shared" si="25"/>
        <v/>
      </c>
      <c r="N419" s="227" t="str">
        <f t="shared" si="26"/>
        <v/>
      </c>
      <c r="O419" s="213" t="str">
        <f t="shared" si="27"/>
        <v/>
      </c>
    </row>
    <row r="420" spans="1:15" ht="15.75" x14ac:dyDescent="0.2">
      <c r="A420" s="206" t="str">
        <f t="shared" si="24"/>
        <v/>
      </c>
      <c r="B420" s="88" t="str">
        <f>IF($F420="","",'הזנה לתנאי סף'!C420)</f>
        <v/>
      </c>
      <c r="C420" s="88" t="str">
        <f>IF($F420="","",'הזנה לתנאי סף'!D420)</f>
        <v/>
      </c>
      <c r="D420" s="88" t="str">
        <f>IF($F420="","",'הזנה לתנאי סף'!E420)</f>
        <v/>
      </c>
      <c r="E420" s="88" t="str">
        <f>IF($F420="","",'הזנה לתנאי סף'!F420)</f>
        <v/>
      </c>
      <c r="F420" s="88" t="str">
        <f>IF(OR('הזנה לתנאי סף'!G420="",'הזנה לתנאי סף'!BL420&lt;&gt;1,'הזנה לתנאי סף'!Q420&lt;&gt;1,'הזנה לתנאי סף'!N420&lt;&gt;1),"",'הזנה לתנאי סף'!G420)</f>
        <v/>
      </c>
      <c r="G420" s="88" t="str">
        <f>IF($F420="","",'הזנה לתנאי סף'!H420)</f>
        <v/>
      </c>
      <c r="H420" s="88" t="str">
        <f>IF($F420="","",'הזנה לתנאי סף'!I420)</f>
        <v/>
      </c>
      <c r="I420" s="88" t="str">
        <f>IF($F420="","",IF(AND('הזנה לתנאי סף'!N420=0,J420&gt;0),$Q$2,'הזנה לתנאי סף'!N420))</f>
        <v/>
      </c>
      <c r="J420" s="213" t="str">
        <f>IF($F420="","",INDEX('גיליון עזר לתחום תמיכה ג'!$H$31:$H$330,MATCH(E420,'גיליון עזר לתחום תמיכה ג'!$C$31:$C$330,0)))</f>
        <v/>
      </c>
      <c r="K420" s="213" t="str">
        <f>IF(OR(F420="",J420=""),"",IF(AND(J420&gt;0,I420=1),J420*'פרמטרים לקריטריונים'!$C$64,$Q$2))</f>
        <v/>
      </c>
      <c r="L420" s="227" t="str">
        <f>IF(OR(F420="",J420=""),"",IF(J420&gt;0,'תחום תמיכה ב'!AC420/SUMIFS('תחום תמיכה ב'!$AC$31:$AC$500,'תחום תמיכה ב'!$E$31:$E$500,E420,'תחום תמיכה ב'!$S$31:$S$500,"=1"),0))</f>
        <v/>
      </c>
      <c r="M420" s="213" t="str">
        <f t="shared" si="25"/>
        <v/>
      </c>
      <c r="N420" s="227" t="str">
        <f t="shared" si="26"/>
        <v/>
      </c>
      <c r="O420" s="213" t="str">
        <f t="shared" si="27"/>
        <v/>
      </c>
    </row>
    <row r="421" spans="1:15" ht="15.75" x14ac:dyDescent="0.2">
      <c r="A421" s="206" t="str">
        <f t="shared" si="24"/>
        <v/>
      </c>
      <c r="B421" s="88" t="str">
        <f>IF($F421="","",'הזנה לתנאי סף'!C421)</f>
        <v/>
      </c>
      <c r="C421" s="88" t="str">
        <f>IF($F421="","",'הזנה לתנאי סף'!D421)</f>
        <v/>
      </c>
      <c r="D421" s="88" t="str">
        <f>IF($F421="","",'הזנה לתנאי סף'!E421)</f>
        <v/>
      </c>
      <c r="E421" s="88" t="str">
        <f>IF($F421="","",'הזנה לתנאי סף'!F421)</f>
        <v/>
      </c>
      <c r="F421" s="88" t="str">
        <f>IF(OR('הזנה לתנאי סף'!G421="",'הזנה לתנאי סף'!BL421&lt;&gt;1,'הזנה לתנאי סף'!Q421&lt;&gt;1,'הזנה לתנאי סף'!N421&lt;&gt;1),"",'הזנה לתנאי סף'!G421)</f>
        <v/>
      </c>
      <c r="G421" s="88" t="str">
        <f>IF($F421="","",'הזנה לתנאי סף'!H421)</f>
        <v/>
      </c>
      <c r="H421" s="88" t="str">
        <f>IF($F421="","",'הזנה לתנאי סף'!I421)</f>
        <v/>
      </c>
      <c r="I421" s="88" t="str">
        <f>IF($F421="","",IF(AND('הזנה לתנאי סף'!N421=0,J421&gt;0),$Q$2,'הזנה לתנאי סף'!N421))</f>
        <v/>
      </c>
      <c r="J421" s="213" t="str">
        <f>IF($F421="","",INDEX('גיליון עזר לתחום תמיכה ג'!$H$31:$H$330,MATCH(E421,'גיליון עזר לתחום תמיכה ג'!$C$31:$C$330,0)))</f>
        <v/>
      </c>
      <c r="K421" s="213" t="str">
        <f>IF(OR(F421="",J421=""),"",IF(AND(J421&gt;0,I421=1),J421*'פרמטרים לקריטריונים'!$C$64,$Q$2))</f>
        <v/>
      </c>
      <c r="L421" s="227" t="str">
        <f>IF(OR(F421="",J421=""),"",IF(J421&gt;0,'תחום תמיכה ב'!AC421/SUMIFS('תחום תמיכה ב'!$AC$31:$AC$500,'תחום תמיכה ב'!$E$31:$E$500,E421,'תחום תמיכה ב'!$S$31:$S$500,"=1"),0))</f>
        <v/>
      </c>
      <c r="M421" s="213" t="str">
        <f t="shared" si="25"/>
        <v/>
      </c>
      <c r="N421" s="227" t="str">
        <f t="shared" si="26"/>
        <v/>
      </c>
      <c r="O421" s="213" t="str">
        <f t="shared" si="27"/>
        <v/>
      </c>
    </row>
    <row r="422" spans="1:15" ht="15.75" x14ac:dyDescent="0.2">
      <c r="A422" s="206" t="str">
        <f t="shared" si="24"/>
        <v/>
      </c>
      <c r="B422" s="88" t="str">
        <f>IF($F422="","",'הזנה לתנאי סף'!C422)</f>
        <v/>
      </c>
      <c r="C422" s="88" t="str">
        <f>IF($F422="","",'הזנה לתנאי סף'!D422)</f>
        <v/>
      </c>
      <c r="D422" s="88" t="str">
        <f>IF($F422="","",'הזנה לתנאי סף'!E422)</f>
        <v/>
      </c>
      <c r="E422" s="88" t="str">
        <f>IF($F422="","",'הזנה לתנאי סף'!F422)</f>
        <v/>
      </c>
      <c r="F422" s="88" t="str">
        <f>IF(OR('הזנה לתנאי סף'!G422="",'הזנה לתנאי סף'!BL422&lt;&gt;1,'הזנה לתנאי סף'!Q422&lt;&gt;1,'הזנה לתנאי סף'!N422&lt;&gt;1),"",'הזנה לתנאי סף'!G422)</f>
        <v/>
      </c>
      <c r="G422" s="88" t="str">
        <f>IF($F422="","",'הזנה לתנאי סף'!H422)</f>
        <v/>
      </c>
      <c r="H422" s="88" t="str">
        <f>IF($F422="","",'הזנה לתנאי סף'!I422)</f>
        <v/>
      </c>
      <c r="I422" s="88" t="str">
        <f>IF($F422="","",IF(AND('הזנה לתנאי סף'!N422=0,J422&gt;0),$Q$2,'הזנה לתנאי סף'!N422))</f>
        <v/>
      </c>
      <c r="J422" s="213" t="str">
        <f>IF($F422="","",INDEX('גיליון עזר לתחום תמיכה ג'!$H$31:$H$330,MATCH(E422,'גיליון עזר לתחום תמיכה ג'!$C$31:$C$330,0)))</f>
        <v/>
      </c>
      <c r="K422" s="213" t="str">
        <f>IF(OR(F422="",J422=""),"",IF(AND(J422&gt;0,I422=1),J422*'פרמטרים לקריטריונים'!$C$64,$Q$2))</f>
        <v/>
      </c>
      <c r="L422" s="227" t="str">
        <f>IF(OR(F422="",J422=""),"",IF(J422&gt;0,'תחום תמיכה ב'!AC422/SUMIFS('תחום תמיכה ב'!$AC$31:$AC$500,'תחום תמיכה ב'!$E$31:$E$500,E422,'תחום תמיכה ב'!$S$31:$S$500,"=1"),0))</f>
        <v/>
      </c>
      <c r="M422" s="213" t="str">
        <f t="shared" si="25"/>
        <v/>
      </c>
      <c r="N422" s="227" t="str">
        <f t="shared" si="26"/>
        <v/>
      </c>
      <c r="O422" s="213" t="str">
        <f t="shared" si="27"/>
        <v/>
      </c>
    </row>
    <row r="423" spans="1:15" ht="15.75" x14ac:dyDescent="0.2">
      <c r="A423" s="206" t="str">
        <f t="shared" si="24"/>
        <v/>
      </c>
      <c r="B423" s="88" t="str">
        <f>IF($F423="","",'הזנה לתנאי סף'!C423)</f>
        <v/>
      </c>
      <c r="C423" s="88" t="str">
        <f>IF($F423="","",'הזנה לתנאי סף'!D423)</f>
        <v/>
      </c>
      <c r="D423" s="88" t="str">
        <f>IF($F423="","",'הזנה לתנאי סף'!E423)</f>
        <v/>
      </c>
      <c r="E423" s="88" t="str">
        <f>IF($F423="","",'הזנה לתנאי סף'!F423)</f>
        <v/>
      </c>
      <c r="F423" s="88" t="str">
        <f>IF(OR('הזנה לתנאי סף'!G423="",'הזנה לתנאי סף'!BL423&lt;&gt;1,'הזנה לתנאי סף'!Q423&lt;&gt;1,'הזנה לתנאי סף'!N423&lt;&gt;1),"",'הזנה לתנאי סף'!G423)</f>
        <v/>
      </c>
      <c r="G423" s="88" t="str">
        <f>IF($F423="","",'הזנה לתנאי סף'!H423)</f>
        <v/>
      </c>
      <c r="H423" s="88" t="str">
        <f>IF($F423="","",'הזנה לתנאי סף'!I423)</f>
        <v/>
      </c>
      <c r="I423" s="88" t="str">
        <f>IF($F423="","",IF(AND('הזנה לתנאי סף'!N423=0,J423&gt;0),$Q$2,'הזנה לתנאי סף'!N423))</f>
        <v/>
      </c>
      <c r="J423" s="213" t="str">
        <f>IF($F423="","",INDEX('גיליון עזר לתחום תמיכה ג'!$H$31:$H$330,MATCH(E423,'גיליון עזר לתחום תמיכה ג'!$C$31:$C$330,0)))</f>
        <v/>
      </c>
      <c r="K423" s="213" t="str">
        <f>IF(OR(F423="",J423=""),"",IF(AND(J423&gt;0,I423=1),J423*'פרמטרים לקריטריונים'!$C$64,$Q$2))</f>
        <v/>
      </c>
      <c r="L423" s="227" t="str">
        <f>IF(OR(F423="",J423=""),"",IF(J423&gt;0,'תחום תמיכה ב'!AC423/SUMIFS('תחום תמיכה ב'!$AC$31:$AC$500,'תחום תמיכה ב'!$E$31:$E$500,E423,'תחום תמיכה ב'!$S$31:$S$500,"=1"),0))</f>
        <v/>
      </c>
      <c r="M423" s="213" t="str">
        <f t="shared" si="25"/>
        <v/>
      </c>
      <c r="N423" s="227" t="str">
        <f t="shared" si="26"/>
        <v/>
      </c>
      <c r="O423" s="213" t="str">
        <f t="shared" si="27"/>
        <v/>
      </c>
    </row>
    <row r="424" spans="1:15" ht="15.75" x14ac:dyDescent="0.2">
      <c r="A424" s="206" t="str">
        <f t="shared" si="24"/>
        <v/>
      </c>
      <c r="B424" s="88" t="str">
        <f>IF($F424="","",'הזנה לתנאי סף'!C424)</f>
        <v/>
      </c>
      <c r="C424" s="88" t="str">
        <f>IF($F424="","",'הזנה לתנאי סף'!D424)</f>
        <v/>
      </c>
      <c r="D424" s="88" t="str">
        <f>IF($F424="","",'הזנה לתנאי סף'!E424)</f>
        <v/>
      </c>
      <c r="E424" s="88" t="str">
        <f>IF($F424="","",'הזנה לתנאי סף'!F424)</f>
        <v/>
      </c>
      <c r="F424" s="88" t="str">
        <f>IF(OR('הזנה לתנאי סף'!G424="",'הזנה לתנאי סף'!BL424&lt;&gt;1,'הזנה לתנאי סף'!Q424&lt;&gt;1,'הזנה לתנאי סף'!N424&lt;&gt;1),"",'הזנה לתנאי סף'!G424)</f>
        <v/>
      </c>
      <c r="G424" s="88" t="str">
        <f>IF($F424="","",'הזנה לתנאי סף'!H424)</f>
        <v/>
      </c>
      <c r="H424" s="88" t="str">
        <f>IF($F424="","",'הזנה לתנאי סף'!I424)</f>
        <v/>
      </c>
      <c r="I424" s="88" t="str">
        <f>IF($F424="","",IF(AND('הזנה לתנאי סף'!N424=0,J424&gt;0),$Q$2,'הזנה לתנאי סף'!N424))</f>
        <v/>
      </c>
      <c r="J424" s="213" t="str">
        <f>IF($F424="","",INDEX('גיליון עזר לתחום תמיכה ג'!$H$31:$H$330,MATCH(E424,'גיליון עזר לתחום תמיכה ג'!$C$31:$C$330,0)))</f>
        <v/>
      </c>
      <c r="K424" s="213" t="str">
        <f>IF(OR(F424="",J424=""),"",IF(AND(J424&gt;0,I424=1),J424*'פרמטרים לקריטריונים'!$C$64,$Q$2))</f>
        <v/>
      </c>
      <c r="L424" s="227" t="str">
        <f>IF(OR(F424="",J424=""),"",IF(J424&gt;0,'תחום תמיכה ב'!AC424/SUMIFS('תחום תמיכה ב'!$AC$31:$AC$500,'תחום תמיכה ב'!$E$31:$E$500,E424,'תחום תמיכה ב'!$S$31:$S$500,"=1"),0))</f>
        <v/>
      </c>
      <c r="M424" s="213" t="str">
        <f t="shared" si="25"/>
        <v/>
      </c>
      <c r="N424" s="227" t="str">
        <f t="shared" si="26"/>
        <v/>
      </c>
      <c r="O424" s="213" t="str">
        <f t="shared" si="27"/>
        <v/>
      </c>
    </row>
    <row r="425" spans="1:15" ht="15.75" x14ac:dyDescent="0.2">
      <c r="A425" s="206" t="str">
        <f t="shared" si="24"/>
        <v/>
      </c>
      <c r="B425" s="88" t="str">
        <f>IF($F425="","",'הזנה לתנאי סף'!C425)</f>
        <v/>
      </c>
      <c r="C425" s="88" t="str">
        <f>IF($F425="","",'הזנה לתנאי סף'!D425)</f>
        <v/>
      </c>
      <c r="D425" s="88" t="str">
        <f>IF($F425="","",'הזנה לתנאי סף'!E425)</f>
        <v/>
      </c>
      <c r="E425" s="88" t="str">
        <f>IF($F425="","",'הזנה לתנאי סף'!F425)</f>
        <v/>
      </c>
      <c r="F425" s="88" t="str">
        <f>IF(OR('הזנה לתנאי סף'!G425="",'הזנה לתנאי סף'!BL425&lt;&gt;1,'הזנה לתנאי סף'!Q425&lt;&gt;1,'הזנה לתנאי סף'!N425&lt;&gt;1),"",'הזנה לתנאי סף'!G425)</f>
        <v/>
      </c>
      <c r="G425" s="88" t="str">
        <f>IF($F425="","",'הזנה לתנאי סף'!H425)</f>
        <v/>
      </c>
      <c r="H425" s="88" t="str">
        <f>IF($F425="","",'הזנה לתנאי סף'!I425)</f>
        <v/>
      </c>
      <c r="I425" s="88" t="str">
        <f>IF($F425="","",IF(AND('הזנה לתנאי סף'!N425=0,J425&gt;0),$Q$2,'הזנה לתנאי סף'!N425))</f>
        <v/>
      </c>
      <c r="J425" s="213" t="str">
        <f>IF($F425="","",INDEX('גיליון עזר לתחום תמיכה ג'!$H$31:$H$330,MATCH(E425,'גיליון עזר לתחום תמיכה ג'!$C$31:$C$330,0)))</f>
        <v/>
      </c>
      <c r="K425" s="213" t="str">
        <f>IF(OR(F425="",J425=""),"",IF(AND(J425&gt;0,I425=1),J425*'פרמטרים לקריטריונים'!$C$64,$Q$2))</f>
        <v/>
      </c>
      <c r="L425" s="227" t="str">
        <f>IF(OR(F425="",J425=""),"",IF(J425&gt;0,'תחום תמיכה ב'!AC425/SUMIFS('תחום תמיכה ב'!$AC$31:$AC$500,'תחום תמיכה ב'!$E$31:$E$500,E425,'תחום תמיכה ב'!$S$31:$S$500,"=1"),0))</f>
        <v/>
      </c>
      <c r="M425" s="213" t="str">
        <f t="shared" si="25"/>
        <v/>
      </c>
      <c r="N425" s="227" t="str">
        <f t="shared" si="26"/>
        <v/>
      </c>
      <c r="O425" s="213" t="str">
        <f t="shared" si="27"/>
        <v/>
      </c>
    </row>
    <row r="426" spans="1:15" ht="15.75" x14ac:dyDescent="0.2">
      <c r="A426" s="206" t="str">
        <f t="shared" si="24"/>
        <v/>
      </c>
      <c r="B426" s="88" t="str">
        <f>IF($F426="","",'הזנה לתנאי סף'!C426)</f>
        <v/>
      </c>
      <c r="C426" s="88" t="str">
        <f>IF($F426="","",'הזנה לתנאי סף'!D426)</f>
        <v/>
      </c>
      <c r="D426" s="88" t="str">
        <f>IF($F426="","",'הזנה לתנאי סף'!E426)</f>
        <v/>
      </c>
      <c r="E426" s="88" t="str">
        <f>IF($F426="","",'הזנה לתנאי סף'!F426)</f>
        <v/>
      </c>
      <c r="F426" s="88" t="str">
        <f>IF(OR('הזנה לתנאי סף'!G426="",'הזנה לתנאי סף'!BL426&lt;&gt;1,'הזנה לתנאי סף'!Q426&lt;&gt;1,'הזנה לתנאי סף'!N426&lt;&gt;1),"",'הזנה לתנאי סף'!G426)</f>
        <v/>
      </c>
      <c r="G426" s="88" t="str">
        <f>IF($F426="","",'הזנה לתנאי סף'!H426)</f>
        <v/>
      </c>
      <c r="H426" s="88" t="str">
        <f>IF($F426="","",'הזנה לתנאי סף'!I426)</f>
        <v/>
      </c>
      <c r="I426" s="88" t="str">
        <f>IF($F426="","",IF(AND('הזנה לתנאי סף'!N426=0,J426&gt;0),$Q$2,'הזנה לתנאי סף'!N426))</f>
        <v/>
      </c>
      <c r="J426" s="213" t="str">
        <f>IF($F426="","",INDEX('גיליון עזר לתחום תמיכה ג'!$H$31:$H$330,MATCH(E426,'גיליון עזר לתחום תמיכה ג'!$C$31:$C$330,0)))</f>
        <v/>
      </c>
      <c r="K426" s="213" t="str">
        <f>IF(OR(F426="",J426=""),"",IF(AND(J426&gt;0,I426=1),J426*'פרמטרים לקריטריונים'!$C$64,$Q$2))</f>
        <v/>
      </c>
      <c r="L426" s="227" t="str">
        <f>IF(OR(F426="",J426=""),"",IF(J426&gt;0,'תחום תמיכה ב'!AC426/SUMIFS('תחום תמיכה ב'!$AC$31:$AC$500,'תחום תמיכה ב'!$E$31:$E$500,E426,'תחום תמיכה ב'!$S$31:$S$500,"=1"),0))</f>
        <v/>
      </c>
      <c r="M426" s="213" t="str">
        <f t="shared" si="25"/>
        <v/>
      </c>
      <c r="N426" s="227" t="str">
        <f t="shared" si="26"/>
        <v/>
      </c>
      <c r="O426" s="213" t="str">
        <f t="shared" si="27"/>
        <v/>
      </c>
    </row>
    <row r="427" spans="1:15" ht="15.75" x14ac:dyDescent="0.2">
      <c r="A427" s="206" t="str">
        <f t="shared" si="24"/>
        <v/>
      </c>
      <c r="B427" s="88" t="str">
        <f>IF($F427="","",'הזנה לתנאי סף'!C427)</f>
        <v/>
      </c>
      <c r="C427" s="88" t="str">
        <f>IF($F427="","",'הזנה לתנאי סף'!D427)</f>
        <v/>
      </c>
      <c r="D427" s="88" t="str">
        <f>IF($F427="","",'הזנה לתנאי סף'!E427)</f>
        <v/>
      </c>
      <c r="E427" s="88" t="str">
        <f>IF($F427="","",'הזנה לתנאי סף'!F427)</f>
        <v/>
      </c>
      <c r="F427" s="88" t="str">
        <f>IF(OR('הזנה לתנאי סף'!G427="",'הזנה לתנאי סף'!BL427&lt;&gt;1,'הזנה לתנאי סף'!Q427&lt;&gt;1,'הזנה לתנאי סף'!N427&lt;&gt;1),"",'הזנה לתנאי סף'!G427)</f>
        <v/>
      </c>
      <c r="G427" s="88" t="str">
        <f>IF($F427="","",'הזנה לתנאי סף'!H427)</f>
        <v/>
      </c>
      <c r="H427" s="88" t="str">
        <f>IF($F427="","",'הזנה לתנאי סף'!I427)</f>
        <v/>
      </c>
      <c r="I427" s="88" t="str">
        <f>IF($F427="","",IF(AND('הזנה לתנאי סף'!N427=0,J427&gt;0),$Q$2,'הזנה לתנאי סף'!N427))</f>
        <v/>
      </c>
      <c r="J427" s="213" t="str">
        <f>IF($F427="","",INDEX('גיליון עזר לתחום תמיכה ג'!$H$31:$H$330,MATCH(E427,'גיליון עזר לתחום תמיכה ג'!$C$31:$C$330,0)))</f>
        <v/>
      </c>
      <c r="K427" s="213" t="str">
        <f>IF(OR(F427="",J427=""),"",IF(AND(J427&gt;0,I427=1),J427*'פרמטרים לקריטריונים'!$C$64,$Q$2))</f>
        <v/>
      </c>
      <c r="L427" s="227" t="str">
        <f>IF(OR(F427="",J427=""),"",IF(J427&gt;0,'תחום תמיכה ב'!AC427/SUMIFS('תחום תמיכה ב'!$AC$31:$AC$500,'תחום תמיכה ב'!$E$31:$E$500,E427,'תחום תמיכה ב'!$S$31:$S$500,"=1"),0))</f>
        <v/>
      </c>
      <c r="M427" s="213" t="str">
        <f t="shared" si="25"/>
        <v/>
      </c>
      <c r="N427" s="227" t="str">
        <f t="shared" si="26"/>
        <v/>
      </c>
      <c r="O427" s="213" t="str">
        <f t="shared" si="27"/>
        <v/>
      </c>
    </row>
    <row r="428" spans="1:15" ht="15.75" x14ac:dyDescent="0.2">
      <c r="A428" s="206" t="str">
        <f t="shared" si="24"/>
        <v/>
      </c>
      <c r="B428" s="88" t="str">
        <f>IF($F428="","",'הזנה לתנאי סף'!C428)</f>
        <v/>
      </c>
      <c r="C428" s="88" t="str">
        <f>IF($F428="","",'הזנה לתנאי סף'!D428)</f>
        <v/>
      </c>
      <c r="D428" s="88" t="str">
        <f>IF($F428="","",'הזנה לתנאי סף'!E428)</f>
        <v/>
      </c>
      <c r="E428" s="88" t="str">
        <f>IF($F428="","",'הזנה לתנאי סף'!F428)</f>
        <v/>
      </c>
      <c r="F428" s="88" t="str">
        <f>IF(OR('הזנה לתנאי סף'!G428="",'הזנה לתנאי סף'!BL428&lt;&gt;1,'הזנה לתנאי סף'!Q428&lt;&gt;1,'הזנה לתנאי סף'!N428&lt;&gt;1),"",'הזנה לתנאי סף'!G428)</f>
        <v/>
      </c>
      <c r="G428" s="88" t="str">
        <f>IF($F428="","",'הזנה לתנאי סף'!H428)</f>
        <v/>
      </c>
      <c r="H428" s="88" t="str">
        <f>IF($F428="","",'הזנה לתנאי סף'!I428)</f>
        <v/>
      </c>
      <c r="I428" s="88" t="str">
        <f>IF($F428="","",IF(AND('הזנה לתנאי סף'!N428=0,J428&gt;0),$Q$2,'הזנה לתנאי סף'!N428))</f>
        <v/>
      </c>
      <c r="J428" s="213" t="str">
        <f>IF($F428="","",INDEX('גיליון עזר לתחום תמיכה ג'!$H$31:$H$330,MATCH(E428,'גיליון עזר לתחום תמיכה ג'!$C$31:$C$330,0)))</f>
        <v/>
      </c>
      <c r="K428" s="213" t="str">
        <f>IF(OR(F428="",J428=""),"",IF(AND(J428&gt;0,I428=1),J428*'פרמטרים לקריטריונים'!$C$64,$Q$2))</f>
        <v/>
      </c>
      <c r="L428" s="227" t="str">
        <f>IF(OR(F428="",J428=""),"",IF(J428&gt;0,'תחום תמיכה ב'!AC428/SUMIFS('תחום תמיכה ב'!$AC$31:$AC$500,'תחום תמיכה ב'!$E$31:$E$500,E428,'תחום תמיכה ב'!$S$31:$S$500,"=1"),0))</f>
        <v/>
      </c>
      <c r="M428" s="213" t="str">
        <f t="shared" si="25"/>
        <v/>
      </c>
      <c r="N428" s="227" t="str">
        <f t="shared" si="26"/>
        <v/>
      </c>
      <c r="O428" s="213" t="str">
        <f t="shared" si="27"/>
        <v/>
      </c>
    </row>
    <row r="429" spans="1:15" ht="15.75" x14ac:dyDescent="0.2">
      <c r="A429" s="206" t="str">
        <f t="shared" si="24"/>
        <v/>
      </c>
      <c r="B429" s="88" t="str">
        <f>IF($F429="","",'הזנה לתנאי סף'!C429)</f>
        <v/>
      </c>
      <c r="C429" s="88" t="str">
        <f>IF($F429="","",'הזנה לתנאי סף'!D429)</f>
        <v/>
      </c>
      <c r="D429" s="88" t="str">
        <f>IF($F429="","",'הזנה לתנאי סף'!E429)</f>
        <v/>
      </c>
      <c r="E429" s="88" t="str">
        <f>IF($F429="","",'הזנה לתנאי סף'!F429)</f>
        <v/>
      </c>
      <c r="F429" s="88" t="str">
        <f>IF(OR('הזנה לתנאי סף'!G429="",'הזנה לתנאי סף'!BL429&lt;&gt;1,'הזנה לתנאי סף'!Q429&lt;&gt;1,'הזנה לתנאי סף'!N429&lt;&gt;1),"",'הזנה לתנאי סף'!G429)</f>
        <v/>
      </c>
      <c r="G429" s="88" t="str">
        <f>IF($F429="","",'הזנה לתנאי סף'!H429)</f>
        <v/>
      </c>
      <c r="H429" s="88" t="str">
        <f>IF($F429="","",'הזנה לתנאי סף'!I429)</f>
        <v/>
      </c>
      <c r="I429" s="88" t="str">
        <f>IF($F429="","",IF(AND('הזנה לתנאי סף'!N429=0,J429&gt;0),$Q$2,'הזנה לתנאי סף'!N429))</f>
        <v/>
      </c>
      <c r="J429" s="213" t="str">
        <f>IF($F429="","",INDEX('גיליון עזר לתחום תמיכה ג'!$H$31:$H$330,MATCH(E429,'גיליון עזר לתחום תמיכה ג'!$C$31:$C$330,0)))</f>
        <v/>
      </c>
      <c r="K429" s="213" t="str">
        <f>IF(OR(F429="",J429=""),"",IF(AND(J429&gt;0,I429=1),J429*'פרמטרים לקריטריונים'!$C$64,$Q$2))</f>
        <v/>
      </c>
      <c r="L429" s="227" t="str">
        <f>IF(OR(F429="",J429=""),"",IF(J429&gt;0,'תחום תמיכה ב'!AC429/SUMIFS('תחום תמיכה ב'!$AC$31:$AC$500,'תחום תמיכה ב'!$E$31:$E$500,E429,'תחום תמיכה ב'!$S$31:$S$500,"=1"),0))</f>
        <v/>
      </c>
      <c r="M429" s="213" t="str">
        <f t="shared" si="25"/>
        <v/>
      </c>
      <c r="N429" s="227" t="str">
        <f t="shared" si="26"/>
        <v/>
      </c>
      <c r="O429" s="213" t="str">
        <f t="shared" si="27"/>
        <v/>
      </c>
    </row>
    <row r="430" spans="1:15" ht="15.75" x14ac:dyDescent="0.2">
      <c r="A430" s="206" t="str">
        <f t="shared" si="24"/>
        <v/>
      </c>
      <c r="B430" s="88" t="str">
        <f>IF($F430="","",'הזנה לתנאי סף'!C430)</f>
        <v/>
      </c>
      <c r="C430" s="88" t="str">
        <f>IF($F430="","",'הזנה לתנאי סף'!D430)</f>
        <v/>
      </c>
      <c r="D430" s="88" t="str">
        <f>IF($F430="","",'הזנה לתנאי סף'!E430)</f>
        <v/>
      </c>
      <c r="E430" s="88" t="str">
        <f>IF($F430="","",'הזנה לתנאי סף'!F430)</f>
        <v/>
      </c>
      <c r="F430" s="88" t="str">
        <f>IF(OR('הזנה לתנאי סף'!G430="",'הזנה לתנאי סף'!BL430&lt;&gt;1,'הזנה לתנאי סף'!Q430&lt;&gt;1,'הזנה לתנאי סף'!N430&lt;&gt;1),"",'הזנה לתנאי סף'!G430)</f>
        <v/>
      </c>
      <c r="G430" s="88" t="str">
        <f>IF($F430="","",'הזנה לתנאי סף'!H430)</f>
        <v/>
      </c>
      <c r="H430" s="88" t="str">
        <f>IF($F430="","",'הזנה לתנאי סף'!I430)</f>
        <v/>
      </c>
      <c r="I430" s="88" t="str">
        <f>IF($F430="","",IF(AND('הזנה לתנאי סף'!N430=0,J430&gt;0),$Q$2,'הזנה לתנאי סף'!N430))</f>
        <v/>
      </c>
      <c r="J430" s="213" t="str">
        <f>IF($F430="","",INDEX('גיליון עזר לתחום תמיכה ג'!$H$31:$H$330,MATCH(E430,'גיליון עזר לתחום תמיכה ג'!$C$31:$C$330,0)))</f>
        <v/>
      </c>
      <c r="K430" s="213" t="str">
        <f>IF(OR(F430="",J430=""),"",IF(AND(J430&gt;0,I430=1),J430*'פרמטרים לקריטריונים'!$C$64,$Q$2))</f>
        <v/>
      </c>
      <c r="L430" s="227" t="str">
        <f>IF(OR(F430="",J430=""),"",IF(J430&gt;0,'תחום תמיכה ב'!AC430/SUMIFS('תחום תמיכה ב'!$AC$31:$AC$500,'תחום תמיכה ב'!$E$31:$E$500,E430,'תחום תמיכה ב'!$S$31:$S$500,"=1"),0))</f>
        <v/>
      </c>
      <c r="M430" s="213" t="str">
        <f t="shared" si="25"/>
        <v/>
      </c>
      <c r="N430" s="227" t="str">
        <f t="shared" si="26"/>
        <v/>
      </c>
      <c r="O430" s="213" t="str">
        <f t="shared" si="27"/>
        <v/>
      </c>
    </row>
    <row r="431" spans="1:15" ht="15.75" x14ac:dyDescent="0.2">
      <c r="A431" s="206" t="str">
        <f t="shared" si="24"/>
        <v/>
      </c>
      <c r="B431" s="88" t="str">
        <f>IF($F431="","",'הזנה לתנאי סף'!C431)</f>
        <v/>
      </c>
      <c r="C431" s="88" t="str">
        <f>IF($F431="","",'הזנה לתנאי סף'!D431)</f>
        <v/>
      </c>
      <c r="D431" s="88" t="str">
        <f>IF($F431="","",'הזנה לתנאי סף'!E431)</f>
        <v/>
      </c>
      <c r="E431" s="88" t="str">
        <f>IF($F431="","",'הזנה לתנאי סף'!F431)</f>
        <v/>
      </c>
      <c r="F431" s="88" t="str">
        <f>IF(OR('הזנה לתנאי סף'!G431="",'הזנה לתנאי סף'!BL431&lt;&gt;1,'הזנה לתנאי סף'!Q431&lt;&gt;1,'הזנה לתנאי סף'!N431&lt;&gt;1),"",'הזנה לתנאי סף'!G431)</f>
        <v/>
      </c>
      <c r="G431" s="88" t="str">
        <f>IF($F431="","",'הזנה לתנאי סף'!H431)</f>
        <v/>
      </c>
      <c r="H431" s="88" t="str">
        <f>IF($F431="","",'הזנה לתנאי סף'!I431)</f>
        <v/>
      </c>
      <c r="I431" s="88" t="str">
        <f>IF($F431="","",IF(AND('הזנה לתנאי סף'!N431=0,J431&gt;0),$Q$2,'הזנה לתנאי סף'!N431))</f>
        <v/>
      </c>
      <c r="J431" s="213" t="str">
        <f>IF($F431="","",INDEX('גיליון עזר לתחום תמיכה ג'!$H$31:$H$330,MATCH(E431,'גיליון עזר לתחום תמיכה ג'!$C$31:$C$330,0)))</f>
        <v/>
      </c>
      <c r="K431" s="213" t="str">
        <f>IF(OR(F431="",J431=""),"",IF(AND(J431&gt;0,I431=1),J431*'פרמטרים לקריטריונים'!$C$64,$Q$2))</f>
        <v/>
      </c>
      <c r="L431" s="227" t="str">
        <f>IF(OR(F431="",J431=""),"",IF(J431&gt;0,'תחום תמיכה ב'!AC431/SUMIFS('תחום תמיכה ב'!$AC$31:$AC$500,'תחום תמיכה ב'!$E$31:$E$500,E431,'תחום תמיכה ב'!$S$31:$S$500,"=1"),0))</f>
        <v/>
      </c>
      <c r="M431" s="213" t="str">
        <f t="shared" si="25"/>
        <v/>
      </c>
      <c r="N431" s="227" t="str">
        <f t="shared" si="26"/>
        <v/>
      </c>
      <c r="O431" s="213" t="str">
        <f t="shared" si="27"/>
        <v/>
      </c>
    </row>
    <row r="432" spans="1:15" ht="15.75" x14ac:dyDescent="0.2">
      <c r="A432" s="206" t="str">
        <f t="shared" si="24"/>
        <v/>
      </c>
      <c r="B432" s="88" t="str">
        <f>IF($F432="","",'הזנה לתנאי סף'!C432)</f>
        <v/>
      </c>
      <c r="C432" s="88" t="str">
        <f>IF($F432="","",'הזנה לתנאי סף'!D432)</f>
        <v/>
      </c>
      <c r="D432" s="88" t="str">
        <f>IF($F432="","",'הזנה לתנאי סף'!E432)</f>
        <v/>
      </c>
      <c r="E432" s="88" t="str">
        <f>IF($F432="","",'הזנה לתנאי סף'!F432)</f>
        <v/>
      </c>
      <c r="F432" s="88" t="str">
        <f>IF(OR('הזנה לתנאי סף'!G432="",'הזנה לתנאי סף'!BL432&lt;&gt;1,'הזנה לתנאי סף'!Q432&lt;&gt;1,'הזנה לתנאי סף'!N432&lt;&gt;1),"",'הזנה לתנאי סף'!G432)</f>
        <v/>
      </c>
      <c r="G432" s="88" t="str">
        <f>IF($F432="","",'הזנה לתנאי סף'!H432)</f>
        <v/>
      </c>
      <c r="H432" s="88" t="str">
        <f>IF($F432="","",'הזנה לתנאי סף'!I432)</f>
        <v/>
      </c>
      <c r="I432" s="88" t="str">
        <f>IF($F432="","",IF(AND('הזנה לתנאי סף'!N432=0,J432&gt;0),$Q$2,'הזנה לתנאי סף'!N432))</f>
        <v/>
      </c>
      <c r="J432" s="213" t="str">
        <f>IF($F432="","",INDEX('גיליון עזר לתחום תמיכה ג'!$H$31:$H$330,MATCH(E432,'גיליון עזר לתחום תמיכה ג'!$C$31:$C$330,0)))</f>
        <v/>
      </c>
      <c r="K432" s="213" t="str">
        <f>IF(OR(F432="",J432=""),"",IF(AND(J432&gt;0,I432=1),J432*'פרמטרים לקריטריונים'!$C$64,$Q$2))</f>
        <v/>
      </c>
      <c r="L432" s="227" t="str">
        <f>IF(OR(F432="",J432=""),"",IF(J432&gt;0,'תחום תמיכה ב'!AC432/SUMIFS('תחום תמיכה ב'!$AC$31:$AC$500,'תחום תמיכה ב'!$E$31:$E$500,E432,'תחום תמיכה ב'!$S$31:$S$500,"=1"),0))</f>
        <v/>
      </c>
      <c r="M432" s="213" t="str">
        <f t="shared" si="25"/>
        <v/>
      </c>
      <c r="N432" s="227" t="str">
        <f t="shared" si="26"/>
        <v/>
      </c>
      <c r="O432" s="213" t="str">
        <f t="shared" si="27"/>
        <v/>
      </c>
    </row>
    <row r="433" spans="1:15" ht="15.75" x14ac:dyDescent="0.2">
      <c r="A433" s="206" t="str">
        <f t="shared" si="24"/>
        <v/>
      </c>
      <c r="B433" s="88" t="str">
        <f>IF($F433="","",'הזנה לתנאי סף'!C433)</f>
        <v/>
      </c>
      <c r="C433" s="88" t="str">
        <f>IF($F433="","",'הזנה לתנאי סף'!D433)</f>
        <v/>
      </c>
      <c r="D433" s="88" t="str">
        <f>IF($F433="","",'הזנה לתנאי סף'!E433)</f>
        <v/>
      </c>
      <c r="E433" s="88" t="str">
        <f>IF($F433="","",'הזנה לתנאי סף'!F433)</f>
        <v/>
      </c>
      <c r="F433" s="88" t="str">
        <f>IF(OR('הזנה לתנאי סף'!G433="",'הזנה לתנאי סף'!BL433&lt;&gt;1,'הזנה לתנאי סף'!Q433&lt;&gt;1,'הזנה לתנאי סף'!N433&lt;&gt;1),"",'הזנה לתנאי סף'!G433)</f>
        <v/>
      </c>
      <c r="G433" s="88" t="str">
        <f>IF($F433="","",'הזנה לתנאי סף'!H433)</f>
        <v/>
      </c>
      <c r="H433" s="88" t="str">
        <f>IF($F433="","",'הזנה לתנאי סף'!I433)</f>
        <v/>
      </c>
      <c r="I433" s="88" t="str">
        <f>IF($F433="","",IF(AND('הזנה לתנאי סף'!N433=0,J433&gt;0),$Q$2,'הזנה לתנאי סף'!N433))</f>
        <v/>
      </c>
      <c r="J433" s="213" t="str">
        <f>IF($F433="","",INDEX('גיליון עזר לתחום תמיכה ג'!$H$31:$H$330,MATCH(E433,'גיליון עזר לתחום תמיכה ג'!$C$31:$C$330,0)))</f>
        <v/>
      </c>
      <c r="K433" s="213" t="str">
        <f>IF(OR(F433="",J433=""),"",IF(AND(J433&gt;0,I433=1),J433*'פרמטרים לקריטריונים'!$C$64,$Q$2))</f>
        <v/>
      </c>
      <c r="L433" s="227" t="str">
        <f>IF(OR(F433="",J433=""),"",IF(J433&gt;0,'תחום תמיכה ב'!AC433/SUMIFS('תחום תמיכה ב'!$AC$31:$AC$500,'תחום תמיכה ב'!$E$31:$E$500,E433,'תחום תמיכה ב'!$S$31:$S$500,"=1"),0))</f>
        <v/>
      </c>
      <c r="M433" s="213" t="str">
        <f t="shared" si="25"/>
        <v/>
      </c>
      <c r="N433" s="227" t="str">
        <f t="shared" si="26"/>
        <v/>
      </c>
      <c r="O433" s="213" t="str">
        <f t="shared" si="27"/>
        <v/>
      </c>
    </row>
    <row r="434" spans="1:15" ht="15.75" x14ac:dyDescent="0.2">
      <c r="A434" s="206" t="str">
        <f t="shared" si="24"/>
        <v/>
      </c>
      <c r="B434" s="88" t="str">
        <f>IF($F434="","",'הזנה לתנאי סף'!C434)</f>
        <v/>
      </c>
      <c r="C434" s="88" t="str">
        <f>IF($F434="","",'הזנה לתנאי סף'!D434)</f>
        <v/>
      </c>
      <c r="D434" s="88" t="str">
        <f>IF($F434="","",'הזנה לתנאי סף'!E434)</f>
        <v/>
      </c>
      <c r="E434" s="88" t="str">
        <f>IF($F434="","",'הזנה לתנאי סף'!F434)</f>
        <v/>
      </c>
      <c r="F434" s="88" t="str">
        <f>IF(OR('הזנה לתנאי סף'!G434="",'הזנה לתנאי סף'!BL434&lt;&gt;1,'הזנה לתנאי סף'!Q434&lt;&gt;1,'הזנה לתנאי סף'!N434&lt;&gt;1),"",'הזנה לתנאי סף'!G434)</f>
        <v/>
      </c>
      <c r="G434" s="88" t="str">
        <f>IF($F434="","",'הזנה לתנאי סף'!H434)</f>
        <v/>
      </c>
      <c r="H434" s="88" t="str">
        <f>IF($F434="","",'הזנה לתנאי סף'!I434)</f>
        <v/>
      </c>
      <c r="I434" s="88" t="str">
        <f>IF($F434="","",IF(AND('הזנה לתנאי סף'!N434=0,J434&gt;0),$Q$2,'הזנה לתנאי סף'!N434))</f>
        <v/>
      </c>
      <c r="J434" s="213" t="str">
        <f>IF($F434="","",INDEX('גיליון עזר לתחום תמיכה ג'!$H$31:$H$330,MATCH(E434,'גיליון עזר לתחום תמיכה ג'!$C$31:$C$330,0)))</f>
        <v/>
      </c>
      <c r="K434" s="213" t="str">
        <f>IF(OR(F434="",J434=""),"",IF(AND(J434&gt;0,I434=1),J434*'פרמטרים לקריטריונים'!$C$64,$Q$2))</f>
        <v/>
      </c>
      <c r="L434" s="227" t="str">
        <f>IF(OR(F434="",J434=""),"",IF(J434&gt;0,'תחום תמיכה ב'!AC434/SUMIFS('תחום תמיכה ב'!$AC$31:$AC$500,'תחום תמיכה ב'!$E$31:$E$500,E434,'תחום תמיכה ב'!$S$31:$S$500,"=1"),0))</f>
        <v/>
      </c>
      <c r="M434" s="213" t="str">
        <f t="shared" si="25"/>
        <v/>
      </c>
      <c r="N434" s="227" t="str">
        <f t="shared" si="26"/>
        <v/>
      </c>
      <c r="O434" s="213" t="str">
        <f t="shared" si="27"/>
        <v/>
      </c>
    </row>
    <row r="435" spans="1:15" ht="15.75" x14ac:dyDescent="0.2">
      <c r="A435" s="206" t="str">
        <f t="shared" si="24"/>
        <v/>
      </c>
      <c r="B435" s="88" t="str">
        <f>IF($F435="","",'הזנה לתנאי סף'!C435)</f>
        <v/>
      </c>
      <c r="C435" s="88" t="str">
        <f>IF($F435="","",'הזנה לתנאי סף'!D435)</f>
        <v/>
      </c>
      <c r="D435" s="88" t="str">
        <f>IF($F435="","",'הזנה לתנאי סף'!E435)</f>
        <v/>
      </c>
      <c r="E435" s="88" t="str">
        <f>IF($F435="","",'הזנה לתנאי סף'!F435)</f>
        <v/>
      </c>
      <c r="F435" s="88" t="str">
        <f>IF(OR('הזנה לתנאי סף'!G435="",'הזנה לתנאי סף'!BL435&lt;&gt;1,'הזנה לתנאי סף'!Q435&lt;&gt;1,'הזנה לתנאי סף'!N435&lt;&gt;1),"",'הזנה לתנאי סף'!G435)</f>
        <v/>
      </c>
      <c r="G435" s="88" t="str">
        <f>IF($F435="","",'הזנה לתנאי סף'!H435)</f>
        <v/>
      </c>
      <c r="H435" s="88" t="str">
        <f>IF($F435="","",'הזנה לתנאי סף'!I435)</f>
        <v/>
      </c>
      <c r="I435" s="88" t="str">
        <f>IF($F435="","",IF(AND('הזנה לתנאי סף'!N435=0,J435&gt;0),$Q$2,'הזנה לתנאי סף'!N435))</f>
        <v/>
      </c>
      <c r="J435" s="213" t="str">
        <f>IF($F435="","",INDEX('גיליון עזר לתחום תמיכה ג'!$H$31:$H$330,MATCH(E435,'גיליון עזר לתחום תמיכה ג'!$C$31:$C$330,0)))</f>
        <v/>
      </c>
      <c r="K435" s="213" t="str">
        <f>IF(OR(F435="",J435=""),"",IF(AND(J435&gt;0,I435=1),J435*'פרמטרים לקריטריונים'!$C$64,$Q$2))</f>
        <v/>
      </c>
      <c r="L435" s="227" t="str">
        <f>IF(OR(F435="",J435=""),"",IF(J435&gt;0,'תחום תמיכה ב'!AC435/SUMIFS('תחום תמיכה ב'!$AC$31:$AC$500,'תחום תמיכה ב'!$E$31:$E$500,E435,'תחום תמיכה ב'!$S$31:$S$500,"=1"),0))</f>
        <v/>
      </c>
      <c r="M435" s="213" t="str">
        <f t="shared" si="25"/>
        <v/>
      </c>
      <c r="N435" s="227" t="str">
        <f t="shared" si="26"/>
        <v/>
      </c>
      <c r="O435" s="213" t="str">
        <f t="shared" si="27"/>
        <v/>
      </c>
    </row>
    <row r="436" spans="1:15" ht="15.75" x14ac:dyDescent="0.2">
      <c r="A436" s="206" t="str">
        <f t="shared" si="24"/>
        <v/>
      </c>
      <c r="B436" s="88" t="str">
        <f>IF($F436="","",'הזנה לתנאי סף'!C436)</f>
        <v/>
      </c>
      <c r="C436" s="88" t="str">
        <f>IF($F436="","",'הזנה לתנאי סף'!D436)</f>
        <v/>
      </c>
      <c r="D436" s="88" t="str">
        <f>IF($F436="","",'הזנה לתנאי סף'!E436)</f>
        <v/>
      </c>
      <c r="E436" s="88" t="str">
        <f>IF($F436="","",'הזנה לתנאי סף'!F436)</f>
        <v/>
      </c>
      <c r="F436" s="88" t="str">
        <f>IF(OR('הזנה לתנאי סף'!G436="",'הזנה לתנאי סף'!BL436&lt;&gt;1,'הזנה לתנאי סף'!Q436&lt;&gt;1,'הזנה לתנאי סף'!N436&lt;&gt;1),"",'הזנה לתנאי סף'!G436)</f>
        <v/>
      </c>
      <c r="G436" s="88" t="str">
        <f>IF($F436="","",'הזנה לתנאי סף'!H436)</f>
        <v/>
      </c>
      <c r="H436" s="88" t="str">
        <f>IF($F436="","",'הזנה לתנאי סף'!I436)</f>
        <v/>
      </c>
      <c r="I436" s="88" t="str">
        <f>IF($F436="","",IF(AND('הזנה לתנאי סף'!N436=0,J436&gt;0),$Q$2,'הזנה לתנאי סף'!N436))</f>
        <v/>
      </c>
      <c r="J436" s="213" t="str">
        <f>IF($F436="","",INDEX('גיליון עזר לתחום תמיכה ג'!$H$31:$H$330,MATCH(E436,'גיליון עזר לתחום תמיכה ג'!$C$31:$C$330,0)))</f>
        <v/>
      </c>
      <c r="K436" s="213" t="str">
        <f>IF(OR(F436="",J436=""),"",IF(AND(J436&gt;0,I436=1),J436*'פרמטרים לקריטריונים'!$C$64,$Q$2))</f>
        <v/>
      </c>
      <c r="L436" s="227" t="str">
        <f>IF(OR(F436="",J436=""),"",IF(J436&gt;0,'תחום תמיכה ב'!AC436/SUMIFS('תחום תמיכה ב'!$AC$31:$AC$500,'תחום תמיכה ב'!$E$31:$E$500,E436,'תחום תמיכה ב'!$S$31:$S$500,"=1"),0))</f>
        <v/>
      </c>
      <c r="M436" s="213" t="str">
        <f t="shared" si="25"/>
        <v/>
      </c>
      <c r="N436" s="227" t="str">
        <f t="shared" si="26"/>
        <v/>
      </c>
      <c r="O436" s="213" t="str">
        <f t="shared" si="27"/>
        <v/>
      </c>
    </row>
    <row r="437" spans="1:15" ht="15.75" x14ac:dyDescent="0.2">
      <c r="A437" s="206" t="str">
        <f t="shared" si="24"/>
        <v/>
      </c>
      <c r="B437" s="88" t="str">
        <f>IF($F437="","",'הזנה לתנאי סף'!C437)</f>
        <v/>
      </c>
      <c r="C437" s="88" t="str">
        <f>IF($F437="","",'הזנה לתנאי סף'!D437)</f>
        <v/>
      </c>
      <c r="D437" s="88" t="str">
        <f>IF($F437="","",'הזנה לתנאי סף'!E437)</f>
        <v/>
      </c>
      <c r="E437" s="88" t="str">
        <f>IF($F437="","",'הזנה לתנאי סף'!F437)</f>
        <v/>
      </c>
      <c r="F437" s="88" t="str">
        <f>IF(OR('הזנה לתנאי סף'!G437="",'הזנה לתנאי סף'!BL437&lt;&gt;1,'הזנה לתנאי סף'!Q437&lt;&gt;1,'הזנה לתנאי סף'!N437&lt;&gt;1),"",'הזנה לתנאי סף'!G437)</f>
        <v/>
      </c>
      <c r="G437" s="88" t="str">
        <f>IF($F437="","",'הזנה לתנאי סף'!H437)</f>
        <v/>
      </c>
      <c r="H437" s="88" t="str">
        <f>IF($F437="","",'הזנה לתנאי סף'!I437)</f>
        <v/>
      </c>
      <c r="I437" s="88" t="str">
        <f>IF($F437="","",IF(AND('הזנה לתנאי סף'!N437=0,J437&gt;0),$Q$2,'הזנה לתנאי סף'!N437))</f>
        <v/>
      </c>
      <c r="J437" s="213" t="str">
        <f>IF($F437="","",INDEX('גיליון עזר לתחום תמיכה ג'!$H$31:$H$330,MATCH(E437,'גיליון עזר לתחום תמיכה ג'!$C$31:$C$330,0)))</f>
        <v/>
      </c>
      <c r="K437" s="213" t="str">
        <f>IF(OR(F437="",J437=""),"",IF(AND(J437&gt;0,I437=1),J437*'פרמטרים לקריטריונים'!$C$64,$Q$2))</f>
        <v/>
      </c>
      <c r="L437" s="227" t="str">
        <f>IF(OR(F437="",J437=""),"",IF(J437&gt;0,'תחום תמיכה ב'!AC437/SUMIFS('תחום תמיכה ב'!$AC$31:$AC$500,'תחום תמיכה ב'!$E$31:$E$500,E437,'תחום תמיכה ב'!$S$31:$S$500,"=1"),0))</f>
        <v/>
      </c>
      <c r="M437" s="213" t="str">
        <f t="shared" si="25"/>
        <v/>
      </c>
      <c r="N437" s="227" t="str">
        <f t="shared" si="26"/>
        <v/>
      </c>
      <c r="O437" s="213" t="str">
        <f t="shared" si="27"/>
        <v/>
      </c>
    </row>
    <row r="438" spans="1:15" ht="15.75" x14ac:dyDescent="0.2">
      <c r="A438" s="206" t="str">
        <f t="shared" si="24"/>
        <v/>
      </c>
      <c r="B438" s="88" t="str">
        <f>IF($F438="","",'הזנה לתנאי סף'!C438)</f>
        <v/>
      </c>
      <c r="C438" s="88" t="str">
        <f>IF($F438="","",'הזנה לתנאי סף'!D438)</f>
        <v/>
      </c>
      <c r="D438" s="88" t="str">
        <f>IF($F438="","",'הזנה לתנאי סף'!E438)</f>
        <v/>
      </c>
      <c r="E438" s="88" t="str">
        <f>IF($F438="","",'הזנה לתנאי סף'!F438)</f>
        <v/>
      </c>
      <c r="F438" s="88" t="str">
        <f>IF(OR('הזנה לתנאי סף'!G438="",'הזנה לתנאי סף'!BL438&lt;&gt;1,'הזנה לתנאי סף'!Q438&lt;&gt;1,'הזנה לתנאי סף'!N438&lt;&gt;1),"",'הזנה לתנאי סף'!G438)</f>
        <v/>
      </c>
      <c r="G438" s="88" t="str">
        <f>IF($F438="","",'הזנה לתנאי סף'!H438)</f>
        <v/>
      </c>
      <c r="H438" s="88" t="str">
        <f>IF($F438="","",'הזנה לתנאי סף'!I438)</f>
        <v/>
      </c>
      <c r="I438" s="88" t="str">
        <f>IF($F438="","",IF(AND('הזנה לתנאי סף'!N438=0,J438&gt;0),$Q$2,'הזנה לתנאי סף'!N438))</f>
        <v/>
      </c>
      <c r="J438" s="213" t="str">
        <f>IF($F438="","",INDEX('גיליון עזר לתחום תמיכה ג'!$H$31:$H$330,MATCH(E438,'גיליון עזר לתחום תמיכה ג'!$C$31:$C$330,0)))</f>
        <v/>
      </c>
      <c r="K438" s="213" t="str">
        <f>IF(OR(F438="",J438=""),"",IF(AND(J438&gt;0,I438=1),J438*'פרמטרים לקריטריונים'!$C$64,$Q$2))</f>
        <v/>
      </c>
      <c r="L438" s="227" t="str">
        <f>IF(OR(F438="",J438=""),"",IF(J438&gt;0,'תחום תמיכה ב'!AC438/SUMIFS('תחום תמיכה ב'!$AC$31:$AC$500,'תחום תמיכה ב'!$E$31:$E$500,E438,'תחום תמיכה ב'!$S$31:$S$500,"=1"),0))</f>
        <v/>
      </c>
      <c r="M438" s="213" t="str">
        <f t="shared" si="25"/>
        <v/>
      </c>
      <c r="N438" s="227" t="str">
        <f t="shared" si="26"/>
        <v/>
      </c>
      <c r="O438" s="213" t="str">
        <f t="shared" si="27"/>
        <v/>
      </c>
    </row>
    <row r="439" spans="1:15" ht="15.75" x14ac:dyDescent="0.2">
      <c r="A439" s="206" t="str">
        <f t="shared" si="24"/>
        <v/>
      </c>
      <c r="B439" s="88" t="str">
        <f>IF($F439="","",'הזנה לתנאי סף'!C439)</f>
        <v/>
      </c>
      <c r="C439" s="88" t="str">
        <f>IF($F439="","",'הזנה לתנאי סף'!D439)</f>
        <v/>
      </c>
      <c r="D439" s="88" t="str">
        <f>IF($F439="","",'הזנה לתנאי סף'!E439)</f>
        <v/>
      </c>
      <c r="E439" s="88" t="str">
        <f>IF($F439="","",'הזנה לתנאי סף'!F439)</f>
        <v/>
      </c>
      <c r="F439" s="88" t="str">
        <f>IF(OR('הזנה לתנאי סף'!G439="",'הזנה לתנאי סף'!BL439&lt;&gt;1,'הזנה לתנאי סף'!Q439&lt;&gt;1,'הזנה לתנאי סף'!N439&lt;&gt;1),"",'הזנה לתנאי סף'!G439)</f>
        <v/>
      </c>
      <c r="G439" s="88" t="str">
        <f>IF($F439="","",'הזנה לתנאי סף'!H439)</f>
        <v/>
      </c>
      <c r="H439" s="88" t="str">
        <f>IF($F439="","",'הזנה לתנאי סף'!I439)</f>
        <v/>
      </c>
      <c r="I439" s="88" t="str">
        <f>IF($F439="","",IF(AND('הזנה לתנאי סף'!N439=0,J439&gt;0),$Q$2,'הזנה לתנאי סף'!N439))</f>
        <v/>
      </c>
      <c r="J439" s="213" t="str">
        <f>IF($F439="","",INDEX('גיליון עזר לתחום תמיכה ג'!$H$31:$H$330,MATCH(E439,'גיליון עזר לתחום תמיכה ג'!$C$31:$C$330,0)))</f>
        <v/>
      </c>
      <c r="K439" s="213" t="str">
        <f>IF(OR(F439="",J439=""),"",IF(AND(J439&gt;0,I439=1),J439*'פרמטרים לקריטריונים'!$C$64,$Q$2))</f>
        <v/>
      </c>
      <c r="L439" s="227" t="str">
        <f>IF(OR(F439="",J439=""),"",IF(J439&gt;0,'תחום תמיכה ב'!AC439/SUMIFS('תחום תמיכה ב'!$AC$31:$AC$500,'תחום תמיכה ב'!$E$31:$E$500,E439,'תחום תמיכה ב'!$S$31:$S$500,"=1"),0))</f>
        <v/>
      </c>
      <c r="M439" s="213" t="str">
        <f t="shared" si="25"/>
        <v/>
      </c>
      <c r="N439" s="227" t="str">
        <f t="shared" si="26"/>
        <v/>
      </c>
      <c r="O439" s="213" t="str">
        <f t="shared" si="27"/>
        <v/>
      </c>
    </row>
    <row r="440" spans="1:15" ht="15.75" x14ac:dyDescent="0.2">
      <c r="A440" s="206" t="str">
        <f t="shared" si="24"/>
        <v/>
      </c>
      <c r="B440" s="88" t="str">
        <f>IF($F440="","",'הזנה לתנאי סף'!C440)</f>
        <v/>
      </c>
      <c r="C440" s="88" t="str">
        <f>IF($F440="","",'הזנה לתנאי סף'!D440)</f>
        <v/>
      </c>
      <c r="D440" s="88" t="str">
        <f>IF($F440="","",'הזנה לתנאי סף'!E440)</f>
        <v/>
      </c>
      <c r="E440" s="88" t="str">
        <f>IF($F440="","",'הזנה לתנאי סף'!F440)</f>
        <v/>
      </c>
      <c r="F440" s="88" t="str">
        <f>IF(OR('הזנה לתנאי סף'!G440="",'הזנה לתנאי סף'!BL440&lt;&gt;1,'הזנה לתנאי סף'!Q440&lt;&gt;1,'הזנה לתנאי סף'!N440&lt;&gt;1),"",'הזנה לתנאי סף'!G440)</f>
        <v/>
      </c>
      <c r="G440" s="88" t="str">
        <f>IF($F440="","",'הזנה לתנאי סף'!H440)</f>
        <v/>
      </c>
      <c r="H440" s="88" t="str">
        <f>IF($F440="","",'הזנה לתנאי סף'!I440)</f>
        <v/>
      </c>
      <c r="I440" s="88" t="str">
        <f>IF($F440="","",IF(AND('הזנה לתנאי סף'!N440=0,J440&gt;0),$Q$2,'הזנה לתנאי סף'!N440))</f>
        <v/>
      </c>
      <c r="J440" s="213" t="str">
        <f>IF($F440="","",INDEX('גיליון עזר לתחום תמיכה ג'!$H$31:$H$330,MATCH(E440,'גיליון עזר לתחום תמיכה ג'!$C$31:$C$330,0)))</f>
        <v/>
      </c>
      <c r="K440" s="213" t="str">
        <f>IF(OR(F440="",J440=""),"",IF(AND(J440&gt;0,I440=1),J440*'פרמטרים לקריטריונים'!$C$64,$Q$2))</f>
        <v/>
      </c>
      <c r="L440" s="227" t="str">
        <f>IF(OR(F440="",J440=""),"",IF(J440&gt;0,'תחום תמיכה ב'!AC440/SUMIFS('תחום תמיכה ב'!$AC$31:$AC$500,'תחום תמיכה ב'!$E$31:$E$500,E440,'תחום תמיכה ב'!$S$31:$S$500,"=1"),0))</f>
        <v/>
      </c>
      <c r="M440" s="213" t="str">
        <f t="shared" si="25"/>
        <v/>
      </c>
      <c r="N440" s="227" t="str">
        <f t="shared" si="26"/>
        <v/>
      </c>
      <c r="O440" s="213" t="str">
        <f t="shared" si="27"/>
        <v/>
      </c>
    </row>
    <row r="441" spans="1:15" ht="15.75" x14ac:dyDescent="0.2">
      <c r="A441" s="206" t="str">
        <f t="shared" si="24"/>
        <v/>
      </c>
      <c r="B441" s="88" t="str">
        <f>IF($F441="","",'הזנה לתנאי סף'!C441)</f>
        <v/>
      </c>
      <c r="C441" s="88" t="str">
        <f>IF($F441="","",'הזנה לתנאי סף'!D441)</f>
        <v/>
      </c>
      <c r="D441" s="88" t="str">
        <f>IF($F441="","",'הזנה לתנאי סף'!E441)</f>
        <v/>
      </c>
      <c r="E441" s="88" t="str">
        <f>IF($F441="","",'הזנה לתנאי סף'!F441)</f>
        <v/>
      </c>
      <c r="F441" s="88" t="str">
        <f>IF(OR('הזנה לתנאי סף'!G441="",'הזנה לתנאי סף'!BL441&lt;&gt;1,'הזנה לתנאי סף'!Q441&lt;&gt;1,'הזנה לתנאי סף'!N441&lt;&gt;1),"",'הזנה לתנאי סף'!G441)</f>
        <v/>
      </c>
      <c r="G441" s="88" t="str">
        <f>IF($F441="","",'הזנה לתנאי סף'!H441)</f>
        <v/>
      </c>
      <c r="H441" s="88" t="str">
        <f>IF($F441="","",'הזנה לתנאי סף'!I441)</f>
        <v/>
      </c>
      <c r="I441" s="88" t="str">
        <f>IF($F441="","",IF(AND('הזנה לתנאי סף'!N441=0,J441&gt;0),$Q$2,'הזנה לתנאי סף'!N441))</f>
        <v/>
      </c>
      <c r="J441" s="213" t="str">
        <f>IF($F441="","",INDEX('גיליון עזר לתחום תמיכה ג'!$H$31:$H$330,MATCH(E441,'גיליון עזר לתחום תמיכה ג'!$C$31:$C$330,0)))</f>
        <v/>
      </c>
      <c r="K441" s="213" t="str">
        <f>IF(OR(F441="",J441=""),"",IF(AND(J441&gt;0,I441=1),J441*'פרמטרים לקריטריונים'!$C$64,$Q$2))</f>
        <v/>
      </c>
      <c r="L441" s="227" t="str">
        <f>IF(OR(F441="",J441=""),"",IF(J441&gt;0,'תחום תמיכה ב'!AC441/SUMIFS('תחום תמיכה ב'!$AC$31:$AC$500,'תחום תמיכה ב'!$E$31:$E$500,E441,'תחום תמיכה ב'!$S$31:$S$500,"=1"),0))</f>
        <v/>
      </c>
      <c r="M441" s="213" t="str">
        <f t="shared" si="25"/>
        <v/>
      </c>
      <c r="N441" s="227" t="str">
        <f t="shared" si="26"/>
        <v/>
      </c>
      <c r="O441" s="213" t="str">
        <f t="shared" si="27"/>
        <v/>
      </c>
    </row>
    <row r="442" spans="1:15" ht="15.75" x14ac:dyDescent="0.2">
      <c r="A442" s="206" t="str">
        <f t="shared" si="24"/>
        <v/>
      </c>
      <c r="B442" s="88" t="str">
        <f>IF($F442="","",'הזנה לתנאי סף'!C442)</f>
        <v/>
      </c>
      <c r="C442" s="88" t="str">
        <f>IF($F442="","",'הזנה לתנאי סף'!D442)</f>
        <v/>
      </c>
      <c r="D442" s="88" t="str">
        <f>IF($F442="","",'הזנה לתנאי סף'!E442)</f>
        <v/>
      </c>
      <c r="E442" s="88" t="str">
        <f>IF($F442="","",'הזנה לתנאי סף'!F442)</f>
        <v/>
      </c>
      <c r="F442" s="88" t="str">
        <f>IF(OR('הזנה לתנאי סף'!G442="",'הזנה לתנאי סף'!BL442&lt;&gt;1,'הזנה לתנאי סף'!Q442&lt;&gt;1,'הזנה לתנאי סף'!N442&lt;&gt;1),"",'הזנה לתנאי סף'!G442)</f>
        <v/>
      </c>
      <c r="G442" s="88" t="str">
        <f>IF($F442="","",'הזנה לתנאי סף'!H442)</f>
        <v/>
      </c>
      <c r="H442" s="88" t="str">
        <f>IF($F442="","",'הזנה לתנאי סף'!I442)</f>
        <v/>
      </c>
      <c r="I442" s="88" t="str">
        <f>IF($F442="","",IF(AND('הזנה לתנאי סף'!N442=0,J442&gt;0),$Q$2,'הזנה לתנאי סף'!N442))</f>
        <v/>
      </c>
      <c r="J442" s="213" t="str">
        <f>IF($F442="","",INDEX('גיליון עזר לתחום תמיכה ג'!$H$31:$H$330,MATCH(E442,'גיליון עזר לתחום תמיכה ג'!$C$31:$C$330,0)))</f>
        <v/>
      </c>
      <c r="K442" s="213" t="str">
        <f>IF(OR(F442="",J442=""),"",IF(AND(J442&gt;0,I442=1),J442*'פרמטרים לקריטריונים'!$C$64,$Q$2))</f>
        <v/>
      </c>
      <c r="L442" s="227" t="str">
        <f>IF(OR(F442="",J442=""),"",IF(J442&gt;0,'תחום תמיכה ב'!AC442/SUMIFS('תחום תמיכה ב'!$AC$31:$AC$500,'תחום תמיכה ב'!$E$31:$E$500,E442,'תחום תמיכה ב'!$S$31:$S$500,"=1"),0))</f>
        <v/>
      </c>
      <c r="M442" s="213" t="str">
        <f t="shared" si="25"/>
        <v/>
      </c>
      <c r="N442" s="227" t="str">
        <f t="shared" si="26"/>
        <v/>
      </c>
      <c r="O442" s="213" t="str">
        <f t="shared" si="27"/>
        <v/>
      </c>
    </row>
    <row r="443" spans="1:15" ht="15.75" x14ac:dyDescent="0.2">
      <c r="A443" s="206" t="str">
        <f t="shared" si="24"/>
        <v/>
      </c>
      <c r="B443" s="88" t="str">
        <f>IF($F443="","",'הזנה לתנאי סף'!C443)</f>
        <v/>
      </c>
      <c r="C443" s="88" t="str">
        <f>IF($F443="","",'הזנה לתנאי סף'!D443)</f>
        <v/>
      </c>
      <c r="D443" s="88" t="str">
        <f>IF($F443="","",'הזנה לתנאי סף'!E443)</f>
        <v/>
      </c>
      <c r="E443" s="88" t="str">
        <f>IF($F443="","",'הזנה לתנאי סף'!F443)</f>
        <v/>
      </c>
      <c r="F443" s="88" t="str">
        <f>IF(OR('הזנה לתנאי סף'!G443="",'הזנה לתנאי סף'!BL443&lt;&gt;1,'הזנה לתנאי סף'!Q443&lt;&gt;1,'הזנה לתנאי סף'!N443&lt;&gt;1),"",'הזנה לתנאי סף'!G443)</f>
        <v/>
      </c>
      <c r="G443" s="88" t="str">
        <f>IF($F443="","",'הזנה לתנאי סף'!H443)</f>
        <v/>
      </c>
      <c r="H443" s="88" t="str">
        <f>IF($F443="","",'הזנה לתנאי סף'!I443)</f>
        <v/>
      </c>
      <c r="I443" s="88" t="str">
        <f>IF($F443="","",IF(AND('הזנה לתנאי סף'!N443=0,J443&gt;0),$Q$2,'הזנה לתנאי סף'!N443))</f>
        <v/>
      </c>
      <c r="J443" s="213" t="str">
        <f>IF($F443="","",INDEX('גיליון עזר לתחום תמיכה ג'!$H$31:$H$330,MATCH(E443,'גיליון עזר לתחום תמיכה ג'!$C$31:$C$330,0)))</f>
        <v/>
      </c>
      <c r="K443" s="213" t="str">
        <f>IF(OR(F443="",J443=""),"",IF(AND(J443&gt;0,I443=1),J443*'פרמטרים לקריטריונים'!$C$64,$Q$2))</f>
        <v/>
      </c>
      <c r="L443" s="227" t="str">
        <f>IF(OR(F443="",J443=""),"",IF(J443&gt;0,'תחום תמיכה ב'!AC443/SUMIFS('תחום תמיכה ב'!$AC$31:$AC$500,'תחום תמיכה ב'!$E$31:$E$500,E443,'תחום תמיכה ב'!$S$31:$S$500,"=1"),0))</f>
        <v/>
      </c>
      <c r="M443" s="213" t="str">
        <f t="shared" si="25"/>
        <v/>
      </c>
      <c r="N443" s="227" t="str">
        <f t="shared" si="26"/>
        <v/>
      </c>
      <c r="O443" s="213" t="str">
        <f t="shared" si="27"/>
        <v/>
      </c>
    </row>
    <row r="444" spans="1:15" ht="15.75" x14ac:dyDescent="0.2">
      <c r="A444" s="206" t="str">
        <f t="shared" si="24"/>
        <v/>
      </c>
      <c r="B444" s="88" t="str">
        <f>IF($F444="","",'הזנה לתנאי סף'!C444)</f>
        <v/>
      </c>
      <c r="C444" s="88" t="str">
        <f>IF($F444="","",'הזנה לתנאי סף'!D444)</f>
        <v/>
      </c>
      <c r="D444" s="88" t="str">
        <f>IF($F444="","",'הזנה לתנאי סף'!E444)</f>
        <v/>
      </c>
      <c r="E444" s="88" t="str">
        <f>IF($F444="","",'הזנה לתנאי סף'!F444)</f>
        <v/>
      </c>
      <c r="F444" s="88" t="str">
        <f>IF(OR('הזנה לתנאי סף'!G444="",'הזנה לתנאי סף'!BL444&lt;&gt;1,'הזנה לתנאי סף'!Q444&lt;&gt;1,'הזנה לתנאי סף'!N444&lt;&gt;1),"",'הזנה לתנאי סף'!G444)</f>
        <v/>
      </c>
      <c r="G444" s="88" t="str">
        <f>IF($F444="","",'הזנה לתנאי סף'!H444)</f>
        <v/>
      </c>
      <c r="H444" s="88" t="str">
        <f>IF($F444="","",'הזנה לתנאי סף'!I444)</f>
        <v/>
      </c>
      <c r="I444" s="88" t="str">
        <f>IF($F444="","",IF(AND('הזנה לתנאי סף'!N444=0,J444&gt;0),$Q$2,'הזנה לתנאי סף'!N444))</f>
        <v/>
      </c>
      <c r="J444" s="213" t="str">
        <f>IF($F444="","",INDEX('גיליון עזר לתחום תמיכה ג'!$H$31:$H$330,MATCH(E444,'גיליון עזר לתחום תמיכה ג'!$C$31:$C$330,0)))</f>
        <v/>
      </c>
      <c r="K444" s="213" t="str">
        <f>IF(OR(F444="",J444=""),"",IF(AND(J444&gt;0,I444=1),J444*'פרמטרים לקריטריונים'!$C$64,$Q$2))</f>
        <v/>
      </c>
      <c r="L444" s="227" t="str">
        <f>IF(OR(F444="",J444=""),"",IF(J444&gt;0,'תחום תמיכה ב'!AC444/SUMIFS('תחום תמיכה ב'!$AC$31:$AC$500,'תחום תמיכה ב'!$E$31:$E$500,E444,'תחום תמיכה ב'!$S$31:$S$500,"=1"),0))</f>
        <v/>
      </c>
      <c r="M444" s="213" t="str">
        <f t="shared" si="25"/>
        <v/>
      </c>
      <c r="N444" s="227" t="str">
        <f t="shared" si="26"/>
        <v/>
      </c>
      <c r="O444" s="213" t="str">
        <f t="shared" si="27"/>
        <v/>
      </c>
    </row>
    <row r="445" spans="1:15" ht="15.75" x14ac:dyDescent="0.2">
      <c r="A445" s="206" t="str">
        <f t="shared" si="24"/>
        <v/>
      </c>
      <c r="B445" s="88" t="str">
        <f>IF($F445="","",'הזנה לתנאי סף'!C445)</f>
        <v/>
      </c>
      <c r="C445" s="88" t="str">
        <f>IF($F445="","",'הזנה לתנאי סף'!D445)</f>
        <v/>
      </c>
      <c r="D445" s="88" t="str">
        <f>IF($F445="","",'הזנה לתנאי סף'!E445)</f>
        <v/>
      </c>
      <c r="E445" s="88" t="str">
        <f>IF($F445="","",'הזנה לתנאי סף'!F445)</f>
        <v/>
      </c>
      <c r="F445" s="88" t="str">
        <f>IF(OR('הזנה לתנאי סף'!G445="",'הזנה לתנאי סף'!BL445&lt;&gt;1,'הזנה לתנאי סף'!Q445&lt;&gt;1,'הזנה לתנאי סף'!N445&lt;&gt;1),"",'הזנה לתנאי סף'!G445)</f>
        <v/>
      </c>
      <c r="G445" s="88" t="str">
        <f>IF($F445="","",'הזנה לתנאי סף'!H445)</f>
        <v/>
      </c>
      <c r="H445" s="88" t="str">
        <f>IF($F445="","",'הזנה לתנאי סף'!I445)</f>
        <v/>
      </c>
      <c r="I445" s="88" t="str">
        <f>IF($F445="","",IF(AND('הזנה לתנאי סף'!N445=0,J445&gt;0),$Q$2,'הזנה לתנאי סף'!N445))</f>
        <v/>
      </c>
      <c r="J445" s="213" t="str">
        <f>IF($F445="","",INDEX('גיליון עזר לתחום תמיכה ג'!$H$31:$H$330,MATCH(E445,'גיליון עזר לתחום תמיכה ג'!$C$31:$C$330,0)))</f>
        <v/>
      </c>
      <c r="K445" s="213" t="str">
        <f>IF(OR(F445="",J445=""),"",IF(AND(J445&gt;0,I445=1),J445*'פרמטרים לקריטריונים'!$C$64,$Q$2))</f>
        <v/>
      </c>
      <c r="L445" s="227" t="str">
        <f>IF(OR(F445="",J445=""),"",IF(J445&gt;0,'תחום תמיכה ב'!AC445/SUMIFS('תחום תמיכה ב'!$AC$31:$AC$500,'תחום תמיכה ב'!$E$31:$E$500,E445,'תחום תמיכה ב'!$S$31:$S$500,"=1"),0))</f>
        <v/>
      </c>
      <c r="M445" s="213" t="str">
        <f t="shared" si="25"/>
        <v/>
      </c>
      <c r="N445" s="227" t="str">
        <f t="shared" si="26"/>
        <v/>
      </c>
      <c r="O445" s="213" t="str">
        <f t="shared" si="27"/>
        <v/>
      </c>
    </row>
    <row r="446" spans="1:15" ht="15.75" x14ac:dyDescent="0.2">
      <c r="A446" s="206" t="str">
        <f t="shared" si="24"/>
        <v/>
      </c>
      <c r="B446" s="88" t="str">
        <f>IF($F446="","",'הזנה לתנאי סף'!C446)</f>
        <v/>
      </c>
      <c r="C446" s="88" t="str">
        <f>IF($F446="","",'הזנה לתנאי סף'!D446)</f>
        <v/>
      </c>
      <c r="D446" s="88" t="str">
        <f>IF($F446="","",'הזנה לתנאי סף'!E446)</f>
        <v/>
      </c>
      <c r="E446" s="88" t="str">
        <f>IF($F446="","",'הזנה לתנאי סף'!F446)</f>
        <v/>
      </c>
      <c r="F446" s="88" t="str">
        <f>IF(OR('הזנה לתנאי סף'!G446="",'הזנה לתנאי סף'!BL446&lt;&gt;1,'הזנה לתנאי סף'!Q446&lt;&gt;1,'הזנה לתנאי סף'!N446&lt;&gt;1),"",'הזנה לתנאי סף'!G446)</f>
        <v/>
      </c>
      <c r="G446" s="88" t="str">
        <f>IF($F446="","",'הזנה לתנאי סף'!H446)</f>
        <v/>
      </c>
      <c r="H446" s="88" t="str">
        <f>IF($F446="","",'הזנה לתנאי סף'!I446)</f>
        <v/>
      </c>
      <c r="I446" s="88" t="str">
        <f>IF($F446="","",IF(AND('הזנה לתנאי סף'!N446=0,J446&gt;0),$Q$2,'הזנה לתנאי סף'!N446))</f>
        <v/>
      </c>
      <c r="J446" s="213" t="str">
        <f>IF($F446="","",INDEX('גיליון עזר לתחום תמיכה ג'!$H$31:$H$330,MATCH(E446,'גיליון עזר לתחום תמיכה ג'!$C$31:$C$330,0)))</f>
        <v/>
      </c>
      <c r="K446" s="213" t="str">
        <f>IF(OR(F446="",J446=""),"",IF(AND(J446&gt;0,I446=1),J446*'פרמטרים לקריטריונים'!$C$64,$Q$2))</f>
        <v/>
      </c>
      <c r="L446" s="227" t="str">
        <f>IF(OR(F446="",J446=""),"",IF(J446&gt;0,'תחום תמיכה ב'!AC446/SUMIFS('תחום תמיכה ב'!$AC$31:$AC$500,'תחום תמיכה ב'!$E$31:$E$500,E446,'תחום תמיכה ב'!$S$31:$S$500,"=1"),0))</f>
        <v/>
      </c>
      <c r="M446" s="213" t="str">
        <f t="shared" si="25"/>
        <v/>
      </c>
      <c r="N446" s="227" t="str">
        <f t="shared" si="26"/>
        <v/>
      </c>
      <c r="O446" s="213" t="str">
        <f t="shared" si="27"/>
        <v/>
      </c>
    </row>
    <row r="447" spans="1:15" ht="15.75" x14ac:dyDescent="0.2">
      <c r="A447" s="206" t="str">
        <f t="shared" si="24"/>
        <v/>
      </c>
      <c r="B447" s="88" t="str">
        <f>IF($F447="","",'הזנה לתנאי סף'!C447)</f>
        <v/>
      </c>
      <c r="C447" s="88" t="str">
        <f>IF($F447="","",'הזנה לתנאי סף'!D447)</f>
        <v/>
      </c>
      <c r="D447" s="88" t="str">
        <f>IF($F447="","",'הזנה לתנאי סף'!E447)</f>
        <v/>
      </c>
      <c r="E447" s="88" t="str">
        <f>IF($F447="","",'הזנה לתנאי סף'!F447)</f>
        <v/>
      </c>
      <c r="F447" s="88" t="str">
        <f>IF(OR('הזנה לתנאי סף'!G447="",'הזנה לתנאי סף'!BL447&lt;&gt;1,'הזנה לתנאי סף'!Q447&lt;&gt;1,'הזנה לתנאי סף'!N447&lt;&gt;1),"",'הזנה לתנאי סף'!G447)</f>
        <v/>
      </c>
      <c r="G447" s="88" t="str">
        <f>IF($F447="","",'הזנה לתנאי סף'!H447)</f>
        <v/>
      </c>
      <c r="H447" s="88" t="str">
        <f>IF($F447="","",'הזנה לתנאי סף'!I447)</f>
        <v/>
      </c>
      <c r="I447" s="88" t="str">
        <f>IF($F447="","",IF(AND('הזנה לתנאי סף'!N447=0,J447&gt;0),$Q$2,'הזנה לתנאי סף'!N447))</f>
        <v/>
      </c>
      <c r="J447" s="213" t="str">
        <f>IF($F447="","",INDEX('גיליון עזר לתחום תמיכה ג'!$H$31:$H$330,MATCH(E447,'גיליון עזר לתחום תמיכה ג'!$C$31:$C$330,0)))</f>
        <v/>
      </c>
      <c r="K447" s="213" t="str">
        <f>IF(OR(F447="",J447=""),"",IF(AND(J447&gt;0,I447=1),J447*'פרמטרים לקריטריונים'!$C$64,$Q$2))</f>
        <v/>
      </c>
      <c r="L447" s="227" t="str">
        <f>IF(OR(F447="",J447=""),"",IF(J447&gt;0,'תחום תמיכה ב'!AC447/SUMIFS('תחום תמיכה ב'!$AC$31:$AC$500,'תחום תמיכה ב'!$E$31:$E$500,E447,'תחום תמיכה ב'!$S$31:$S$500,"=1"),0))</f>
        <v/>
      </c>
      <c r="M447" s="213" t="str">
        <f t="shared" si="25"/>
        <v/>
      </c>
      <c r="N447" s="227" t="str">
        <f t="shared" si="26"/>
        <v/>
      </c>
      <c r="O447" s="213" t="str">
        <f t="shared" si="27"/>
        <v/>
      </c>
    </row>
    <row r="448" spans="1:15" ht="15.75" x14ac:dyDescent="0.2">
      <c r="A448" s="206" t="str">
        <f t="shared" si="24"/>
        <v/>
      </c>
      <c r="B448" s="88" t="str">
        <f>IF($F448="","",'הזנה לתנאי סף'!C448)</f>
        <v/>
      </c>
      <c r="C448" s="88" t="str">
        <f>IF($F448="","",'הזנה לתנאי סף'!D448)</f>
        <v/>
      </c>
      <c r="D448" s="88" t="str">
        <f>IF($F448="","",'הזנה לתנאי סף'!E448)</f>
        <v/>
      </c>
      <c r="E448" s="88" t="str">
        <f>IF($F448="","",'הזנה לתנאי סף'!F448)</f>
        <v/>
      </c>
      <c r="F448" s="88" t="str">
        <f>IF(OR('הזנה לתנאי סף'!G448="",'הזנה לתנאי סף'!BL448&lt;&gt;1,'הזנה לתנאי סף'!Q448&lt;&gt;1,'הזנה לתנאי סף'!N448&lt;&gt;1),"",'הזנה לתנאי סף'!G448)</f>
        <v/>
      </c>
      <c r="G448" s="88" t="str">
        <f>IF($F448="","",'הזנה לתנאי סף'!H448)</f>
        <v/>
      </c>
      <c r="H448" s="88" t="str">
        <f>IF($F448="","",'הזנה לתנאי סף'!I448)</f>
        <v/>
      </c>
      <c r="I448" s="88" t="str">
        <f>IF($F448="","",IF(AND('הזנה לתנאי סף'!N448=0,J448&gt;0),$Q$2,'הזנה לתנאי סף'!N448))</f>
        <v/>
      </c>
      <c r="J448" s="213" t="str">
        <f>IF($F448="","",INDEX('גיליון עזר לתחום תמיכה ג'!$H$31:$H$330,MATCH(E448,'גיליון עזר לתחום תמיכה ג'!$C$31:$C$330,0)))</f>
        <v/>
      </c>
      <c r="K448" s="213" t="str">
        <f>IF(OR(F448="",J448=""),"",IF(AND(J448&gt;0,I448=1),J448*'פרמטרים לקריטריונים'!$C$64,$Q$2))</f>
        <v/>
      </c>
      <c r="L448" s="227" t="str">
        <f>IF(OR(F448="",J448=""),"",IF(J448&gt;0,'תחום תמיכה ב'!AC448/SUMIFS('תחום תמיכה ב'!$AC$31:$AC$500,'תחום תמיכה ב'!$E$31:$E$500,E448,'תחום תמיכה ב'!$S$31:$S$500,"=1"),0))</f>
        <v/>
      </c>
      <c r="M448" s="213" t="str">
        <f t="shared" si="25"/>
        <v/>
      </c>
      <c r="N448" s="227" t="str">
        <f t="shared" si="26"/>
        <v/>
      </c>
      <c r="O448" s="213" t="str">
        <f t="shared" si="27"/>
        <v/>
      </c>
    </row>
    <row r="449" spans="1:15" ht="15.75" x14ac:dyDescent="0.2">
      <c r="A449" s="206" t="str">
        <f t="shared" si="24"/>
        <v/>
      </c>
      <c r="B449" s="88" t="str">
        <f>IF($F449="","",'הזנה לתנאי סף'!C449)</f>
        <v/>
      </c>
      <c r="C449" s="88" t="str">
        <f>IF($F449="","",'הזנה לתנאי סף'!D449)</f>
        <v/>
      </c>
      <c r="D449" s="88" t="str">
        <f>IF($F449="","",'הזנה לתנאי סף'!E449)</f>
        <v/>
      </c>
      <c r="E449" s="88" t="str">
        <f>IF($F449="","",'הזנה לתנאי סף'!F449)</f>
        <v/>
      </c>
      <c r="F449" s="88" t="str">
        <f>IF(OR('הזנה לתנאי סף'!G449="",'הזנה לתנאי סף'!BL449&lt;&gt;1,'הזנה לתנאי סף'!Q449&lt;&gt;1,'הזנה לתנאי סף'!N449&lt;&gt;1),"",'הזנה לתנאי סף'!G449)</f>
        <v/>
      </c>
      <c r="G449" s="88" t="str">
        <f>IF($F449="","",'הזנה לתנאי סף'!H449)</f>
        <v/>
      </c>
      <c r="H449" s="88" t="str">
        <f>IF($F449="","",'הזנה לתנאי סף'!I449)</f>
        <v/>
      </c>
      <c r="I449" s="88" t="str">
        <f>IF($F449="","",IF(AND('הזנה לתנאי סף'!N449=0,J449&gt;0),$Q$2,'הזנה לתנאי סף'!N449))</f>
        <v/>
      </c>
      <c r="J449" s="213" t="str">
        <f>IF($F449="","",INDEX('גיליון עזר לתחום תמיכה ג'!$H$31:$H$330,MATCH(E449,'גיליון עזר לתחום תמיכה ג'!$C$31:$C$330,0)))</f>
        <v/>
      </c>
      <c r="K449" s="213" t="str">
        <f>IF(OR(F449="",J449=""),"",IF(AND(J449&gt;0,I449=1),J449*'פרמטרים לקריטריונים'!$C$64,$Q$2))</f>
        <v/>
      </c>
      <c r="L449" s="227" t="str">
        <f>IF(OR(F449="",J449=""),"",IF(J449&gt;0,'תחום תמיכה ב'!AC449/SUMIFS('תחום תמיכה ב'!$AC$31:$AC$500,'תחום תמיכה ב'!$E$31:$E$500,E449,'תחום תמיכה ב'!$S$31:$S$500,"=1"),0))</f>
        <v/>
      </c>
      <c r="M449" s="213" t="str">
        <f t="shared" si="25"/>
        <v/>
      </c>
      <c r="N449" s="227" t="str">
        <f t="shared" si="26"/>
        <v/>
      </c>
      <c r="O449" s="213" t="str">
        <f t="shared" si="27"/>
        <v/>
      </c>
    </row>
    <row r="450" spans="1:15" ht="15.75" x14ac:dyDescent="0.2">
      <c r="A450" s="206" t="str">
        <f t="shared" si="24"/>
        <v/>
      </c>
      <c r="B450" s="88" t="str">
        <f>IF($F450="","",'הזנה לתנאי סף'!C450)</f>
        <v/>
      </c>
      <c r="C450" s="88" t="str">
        <f>IF($F450="","",'הזנה לתנאי סף'!D450)</f>
        <v/>
      </c>
      <c r="D450" s="88" t="str">
        <f>IF($F450="","",'הזנה לתנאי סף'!E450)</f>
        <v/>
      </c>
      <c r="E450" s="88" t="str">
        <f>IF($F450="","",'הזנה לתנאי סף'!F450)</f>
        <v/>
      </c>
      <c r="F450" s="88" t="str">
        <f>IF(OR('הזנה לתנאי סף'!G450="",'הזנה לתנאי סף'!BL450&lt;&gt;1,'הזנה לתנאי סף'!Q450&lt;&gt;1,'הזנה לתנאי סף'!N450&lt;&gt;1),"",'הזנה לתנאי סף'!G450)</f>
        <v/>
      </c>
      <c r="G450" s="88" t="str">
        <f>IF($F450="","",'הזנה לתנאי סף'!H450)</f>
        <v/>
      </c>
      <c r="H450" s="88" t="str">
        <f>IF($F450="","",'הזנה לתנאי סף'!I450)</f>
        <v/>
      </c>
      <c r="I450" s="88" t="str">
        <f>IF($F450="","",IF(AND('הזנה לתנאי סף'!N450=0,J450&gt;0),$Q$2,'הזנה לתנאי סף'!N450))</f>
        <v/>
      </c>
      <c r="J450" s="213" t="str">
        <f>IF($F450="","",INDEX('גיליון עזר לתחום תמיכה ג'!$H$31:$H$330,MATCH(E450,'גיליון עזר לתחום תמיכה ג'!$C$31:$C$330,0)))</f>
        <v/>
      </c>
      <c r="K450" s="213" t="str">
        <f>IF(OR(F450="",J450=""),"",IF(AND(J450&gt;0,I450=1),J450*'פרמטרים לקריטריונים'!$C$64,$Q$2))</f>
        <v/>
      </c>
      <c r="L450" s="227" t="str">
        <f>IF(OR(F450="",J450=""),"",IF(J450&gt;0,'תחום תמיכה ב'!AC450/SUMIFS('תחום תמיכה ב'!$AC$31:$AC$500,'תחום תמיכה ב'!$E$31:$E$500,E450,'תחום תמיכה ב'!$S$31:$S$500,"=1"),0))</f>
        <v/>
      </c>
      <c r="M450" s="213" t="str">
        <f t="shared" si="25"/>
        <v/>
      </c>
      <c r="N450" s="227" t="str">
        <f t="shared" si="26"/>
        <v/>
      </c>
      <c r="O450" s="213" t="str">
        <f t="shared" si="27"/>
        <v/>
      </c>
    </row>
    <row r="451" spans="1:15" ht="15.75" x14ac:dyDescent="0.2">
      <c r="A451" s="206" t="str">
        <f t="shared" si="24"/>
        <v/>
      </c>
      <c r="B451" s="88" t="str">
        <f>IF($F451="","",'הזנה לתנאי סף'!C451)</f>
        <v/>
      </c>
      <c r="C451" s="88" t="str">
        <f>IF($F451="","",'הזנה לתנאי סף'!D451)</f>
        <v/>
      </c>
      <c r="D451" s="88" t="str">
        <f>IF($F451="","",'הזנה לתנאי סף'!E451)</f>
        <v/>
      </c>
      <c r="E451" s="88" t="str">
        <f>IF($F451="","",'הזנה לתנאי סף'!F451)</f>
        <v/>
      </c>
      <c r="F451" s="88" t="str">
        <f>IF(OR('הזנה לתנאי סף'!G451="",'הזנה לתנאי סף'!BL451&lt;&gt;1,'הזנה לתנאי סף'!Q451&lt;&gt;1,'הזנה לתנאי סף'!N451&lt;&gt;1),"",'הזנה לתנאי סף'!G451)</f>
        <v/>
      </c>
      <c r="G451" s="88" t="str">
        <f>IF($F451="","",'הזנה לתנאי סף'!H451)</f>
        <v/>
      </c>
      <c r="H451" s="88" t="str">
        <f>IF($F451="","",'הזנה לתנאי סף'!I451)</f>
        <v/>
      </c>
      <c r="I451" s="88" t="str">
        <f>IF($F451="","",IF(AND('הזנה לתנאי סף'!N451=0,J451&gt;0),$Q$2,'הזנה לתנאי סף'!N451))</f>
        <v/>
      </c>
      <c r="J451" s="213" t="str">
        <f>IF($F451="","",INDEX('גיליון עזר לתחום תמיכה ג'!$H$31:$H$330,MATCH(E451,'גיליון עזר לתחום תמיכה ג'!$C$31:$C$330,0)))</f>
        <v/>
      </c>
      <c r="K451" s="213" t="str">
        <f>IF(OR(F451="",J451=""),"",IF(AND(J451&gt;0,I451=1),J451*'פרמטרים לקריטריונים'!$C$64,$Q$2))</f>
        <v/>
      </c>
      <c r="L451" s="227" t="str">
        <f>IF(OR(F451="",J451=""),"",IF(J451&gt;0,'תחום תמיכה ב'!AC451/SUMIFS('תחום תמיכה ב'!$AC$31:$AC$500,'תחום תמיכה ב'!$E$31:$E$500,E451,'תחום תמיכה ב'!$S$31:$S$500,"=1"),0))</f>
        <v/>
      </c>
      <c r="M451" s="213" t="str">
        <f t="shared" si="25"/>
        <v/>
      </c>
      <c r="N451" s="227" t="str">
        <f t="shared" si="26"/>
        <v/>
      </c>
      <c r="O451" s="213" t="str">
        <f t="shared" si="27"/>
        <v/>
      </c>
    </row>
    <row r="452" spans="1:15" ht="15.75" x14ac:dyDescent="0.2">
      <c r="A452" s="206" t="str">
        <f t="shared" si="24"/>
        <v/>
      </c>
      <c r="B452" s="88" t="str">
        <f>IF($F452="","",'הזנה לתנאי סף'!C452)</f>
        <v/>
      </c>
      <c r="C452" s="88" t="str">
        <f>IF($F452="","",'הזנה לתנאי סף'!D452)</f>
        <v/>
      </c>
      <c r="D452" s="88" t="str">
        <f>IF($F452="","",'הזנה לתנאי סף'!E452)</f>
        <v/>
      </c>
      <c r="E452" s="88" t="str">
        <f>IF($F452="","",'הזנה לתנאי סף'!F452)</f>
        <v/>
      </c>
      <c r="F452" s="88" t="str">
        <f>IF(OR('הזנה לתנאי סף'!G452="",'הזנה לתנאי סף'!BL452&lt;&gt;1,'הזנה לתנאי סף'!Q452&lt;&gt;1,'הזנה לתנאי סף'!N452&lt;&gt;1),"",'הזנה לתנאי סף'!G452)</f>
        <v/>
      </c>
      <c r="G452" s="88" t="str">
        <f>IF($F452="","",'הזנה לתנאי סף'!H452)</f>
        <v/>
      </c>
      <c r="H452" s="88" t="str">
        <f>IF($F452="","",'הזנה לתנאי סף'!I452)</f>
        <v/>
      </c>
      <c r="I452" s="88" t="str">
        <f>IF($F452="","",IF(AND('הזנה לתנאי סף'!N452=0,J452&gt;0),$Q$2,'הזנה לתנאי סף'!N452))</f>
        <v/>
      </c>
      <c r="J452" s="213" t="str">
        <f>IF($F452="","",INDEX('גיליון עזר לתחום תמיכה ג'!$H$31:$H$330,MATCH(E452,'גיליון עזר לתחום תמיכה ג'!$C$31:$C$330,0)))</f>
        <v/>
      </c>
      <c r="K452" s="213" t="str">
        <f>IF(OR(F452="",J452=""),"",IF(AND(J452&gt;0,I452=1),J452*'פרמטרים לקריטריונים'!$C$64,$Q$2))</f>
        <v/>
      </c>
      <c r="L452" s="227" t="str">
        <f>IF(OR(F452="",J452=""),"",IF(J452&gt;0,'תחום תמיכה ב'!AC452/SUMIFS('תחום תמיכה ב'!$AC$31:$AC$500,'תחום תמיכה ב'!$E$31:$E$500,E452,'תחום תמיכה ב'!$S$31:$S$500,"=1"),0))</f>
        <v/>
      </c>
      <c r="M452" s="213" t="str">
        <f t="shared" si="25"/>
        <v/>
      </c>
      <c r="N452" s="227" t="str">
        <f t="shared" si="26"/>
        <v/>
      </c>
      <c r="O452" s="213" t="str">
        <f t="shared" si="27"/>
        <v/>
      </c>
    </row>
    <row r="453" spans="1:15" ht="15.75" x14ac:dyDescent="0.2">
      <c r="A453" s="206" t="str">
        <f t="shared" si="24"/>
        <v/>
      </c>
      <c r="B453" s="88" t="str">
        <f>IF($F453="","",'הזנה לתנאי סף'!C453)</f>
        <v/>
      </c>
      <c r="C453" s="88" t="str">
        <f>IF($F453="","",'הזנה לתנאי סף'!D453)</f>
        <v/>
      </c>
      <c r="D453" s="88" t="str">
        <f>IF($F453="","",'הזנה לתנאי סף'!E453)</f>
        <v/>
      </c>
      <c r="E453" s="88" t="str">
        <f>IF($F453="","",'הזנה לתנאי סף'!F453)</f>
        <v/>
      </c>
      <c r="F453" s="88" t="str">
        <f>IF(OR('הזנה לתנאי סף'!G453="",'הזנה לתנאי סף'!BL453&lt;&gt;1,'הזנה לתנאי סף'!Q453&lt;&gt;1,'הזנה לתנאי סף'!N453&lt;&gt;1),"",'הזנה לתנאי סף'!G453)</f>
        <v/>
      </c>
      <c r="G453" s="88" t="str">
        <f>IF($F453="","",'הזנה לתנאי סף'!H453)</f>
        <v/>
      </c>
      <c r="H453" s="88" t="str">
        <f>IF($F453="","",'הזנה לתנאי סף'!I453)</f>
        <v/>
      </c>
      <c r="I453" s="88" t="str">
        <f>IF($F453="","",IF(AND('הזנה לתנאי סף'!N453=0,J453&gt;0),$Q$2,'הזנה לתנאי סף'!N453))</f>
        <v/>
      </c>
      <c r="J453" s="213" t="str">
        <f>IF($F453="","",INDEX('גיליון עזר לתחום תמיכה ג'!$H$31:$H$330,MATCH(E453,'גיליון עזר לתחום תמיכה ג'!$C$31:$C$330,0)))</f>
        <v/>
      </c>
      <c r="K453" s="213" t="str">
        <f>IF(OR(F453="",J453=""),"",IF(AND(J453&gt;0,I453=1),J453*'פרמטרים לקריטריונים'!$C$64,$Q$2))</f>
        <v/>
      </c>
      <c r="L453" s="227" t="str">
        <f>IF(OR(F453="",J453=""),"",IF(J453&gt;0,'תחום תמיכה ב'!AC453/SUMIFS('תחום תמיכה ב'!$AC$31:$AC$500,'תחום תמיכה ב'!$E$31:$E$500,E453,'תחום תמיכה ב'!$S$31:$S$500,"=1"),0))</f>
        <v/>
      </c>
      <c r="M453" s="213" t="str">
        <f t="shared" si="25"/>
        <v/>
      </c>
      <c r="N453" s="227" t="str">
        <f t="shared" si="26"/>
        <v/>
      </c>
      <c r="O453" s="213" t="str">
        <f t="shared" si="27"/>
        <v/>
      </c>
    </row>
    <row r="454" spans="1:15" ht="15.75" x14ac:dyDescent="0.2">
      <c r="A454" s="206" t="str">
        <f t="shared" si="24"/>
        <v/>
      </c>
      <c r="B454" s="88" t="str">
        <f>IF($F454="","",'הזנה לתנאי סף'!C454)</f>
        <v/>
      </c>
      <c r="C454" s="88" t="str">
        <f>IF($F454="","",'הזנה לתנאי סף'!D454)</f>
        <v/>
      </c>
      <c r="D454" s="88" t="str">
        <f>IF($F454="","",'הזנה לתנאי סף'!E454)</f>
        <v/>
      </c>
      <c r="E454" s="88" t="str">
        <f>IF($F454="","",'הזנה לתנאי סף'!F454)</f>
        <v/>
      </c>
      <c r="F454" s="88" t="str">
        <f>IF(OR('הזנה לתנאי סף'!G454="",'הזנה לתנאי סף'!BL454&lt;&gt;1,'הזנה לתנאי סף'!Q454&lt;&gt;1,'הזנה לתנאי סף'!N454&lt;&gt;1),"",'הזנה לתנאי סף'!G454)</f>
        <v/>
      </c>
      <c r="G454" s="88" t="str">
        <f>IF($F454="","",'הזנה לתנאי סף'!H454)</f>
        <v/>
      </c>
      <c r="H454" s="88" t="str">
        <f>IF($F454="","",'הזנה לתנאי סף'!I454)</f>
        <v/>
      </c>
      <c r="I454" s="88" t="str">
        <f>IF($F454="","",IF(AND('הזנה לתנאי סף'!N454=0,J454&gt;0),$Q$2,'הזנה לתנאי סף'!N454))</f>
        <v/>
      </c>
      <c r="J454" s="213" t="str">
        <f>IF($F454="","",INDEX('גיליון עזר לתחום תמיכה ג'!$H$31:$H$330,MATCH(E454,'גיליון עזר לתחום תמיכה ג'!$C$31:$C$330,0)))</f>
        <v/>
      </c>
      <c r="K454" s="213" t="str">
        <f>IF(OR(F454="",J454=""),"",IF(AND(J454&gt;0,I454=1),J454*'פרמטרים לקריטריונים'!$C$64,$Q$2))</f>
        <v/>
      </c>
      <c r="L454" s="227" t="str">
        <f>IF(OR(F454="",J454=""),"",IF(J454&gt;0,'תחום תמיכה ב'!AC454/SUMIFS('תחום תמיכה ב'!$AC$31:$AC$500,'תחום תמיכה ב'!$E$31:$E$500,E454,'תחום תמיכה ב'!$S$31:$S$500,"=1"),0))</f>
        <v/>
      </c>
      <c r="M454" s="213" t="str">
        <f t="shared" si="25"/>
        <v/>
      </c>
      <c r="N454" s="227" t="str">
        <f t="shared" si="26"/>
        <v/>
      </c>
      <c r="O454" s="213" t="str">
        <f t="shared" si="27"/>
        <v/>
      </c>
    </row>
    <row r="455" spans="1:15" ht="15.75" x14ac:dyDescent="0.2">
      <c r="A455" s="206" t="str">
        <f t="shared" si="24"/>
        <v/>
      </c>
      <c r="B455" s="88" t="str">
        <f>IF($F455="","",'הזנה לתנאי סף'!C455)</f>
        <v/>
      </c>
      <c r="C455" s="88" t="str">
        <f>IF($F455="","",'הזנה לתנאי סף'!D455)</f>
        <v/>
      </c>
      <c r="D455" s="88" t="str">
        <f>IF($F455="","",'הזנה לתנאי סף'!E455)</f>
        <v/>
      </c>
      <c r="E455" s="88" t="str">
        <f>IF($F455="","",'הזנה לתנאי סף'!F455)</f>
        <v/>
      </c>
      <c r="F455" s="88" t="str">
        <f>IF(OR('הזנה לתנאי סף'!G455="",'הזנה לתנאי סף'!BL455&lt;&gt;1,'הזנה לתנאי סף'!Q455&lt;&gt;1,'הזנה לתנאי סף'!N455&lt;&gt;1),"",'הזנה לתנאי סף'!G455)</f>
        <v/>
      </c>
      <c r="G455" s="88" t="str">
        <f>IF($F455="","",'הזנה לתנאי סף'!H455)</f>
        <v/>
      </c>
      <c r="H455" s="88" t="str">
        <f>IF($F455="","",'הזנה לתנאי סף'!I455)</f>
        <v/>
      </c>
      <c r="I455" s="88" t="str">
        <f>IF($F455="","",IF(AND('הזנה לתנאי סף'!N455=0,J455&gt;0),$Q$2,'הזנה לתנאי סף'!N455))</f>
        <v/>
      </c>
      <c r="J455" s="213" t="str">
        <f>IF($F455="","",INDEX('גיליון עזר לתחום תמיכה ג'!$H$31:$H$330,MATCH(E455,'גיליון עזר לתחום תמיכה ג'!$C$31:$C$330,0)))</f>
        <v/>
      </c>
      <c r="K455" s="213" t="str">
        <f>IF(OR(F455="",J455=""),"",IF(AND(J455&gt;0,I455=1),J455*'פרמטרים לקריטריונים'!$C$64,$Q$2))</f>
        <v/>
      </c>
      <c r="L455" s="227" t="str">
        <f>IF(OR(F455="",J455=""),"",IF(J455&gt;0,'תחום תמיכה ב'!AC455/SUMIFS('תחום תמיכה ב'!$AC$31:$AC$500,'תחום תמיכה ב'!$E$31:$E$500,E455,'תחום תמיכה ב'!$S$31:$S$500,"=1"),0))</f>
        <v/>
      </c>
      <c r="M455" s="213" t="str">
        <f t="shared" si="25"/>
        <v/>
      </c>
      <c r="N455" s="227" t="str">
        <f t="shared" si="26"/>
        <v/>
      </c>
      <c r="O455" s="213" t="str">
        <f t="shared" si="27"/>
        <v/>
      </c>
    </row>
    <row r="456" spans="1:15" ht="15.75" x14ac:dyDescent="0.2">
      <c r="A456" s="206" t="str">
        <f t="shared" si="24"/>
        <v/>
      </c>
      <c r="B456" s="88" t="str">
        <f>IF($F456="","",'הזנה לתנאי סף'!C456)</f>
        <v/>
      </c>
      <c r="C456" s="88" t="str">
        <f>IF($F456="","",'הזנה לתנאי סף'!D456)</f>
        <v/>
      </c>
      <c r="D456" s="88" t="str">
        <f>IF($F456="","",'הזנה לתנאי סף'!E456)</f>
        <v/>
      </c>
      <c r="E456" s="88" t="str">
        <f>IF($F456="","",'הזנה לתנאי סף'!F456)</f>
        <v/>
      </c>
      <c r="F456" s="88" t="str">
        <f>IF(OR('הזנה לתנאי סף'!G456="",'הזנה לתנאי סף'!BL456&lt;&gt;1,'הזנה לתנאי סף'!Q456&lt;&gt;1,'הזנה לתנאי סף'!N456&lt;&gt;1),"",'הזנה לתנאי סף'!G456)</f>
        <v/>
      </c>
      <c r="G456" s="88" t="str">
        <f>IF($F456="","",'הזנה לתנאי סף'!H456)</f>
        <v/>
      </c>
      <c r="H456" s="88" t="str">
        <f>IF($F456="","",'הזנה לתנאי סף'!I456)</f>
        <v/>
      </c>
      <c r="I456" s="88" t="str">
        <f>IF($F456="","",IF(AND('הזנה לתנאי סף'!N456=0,J456&gt;0),$Q$2,'הזנה לתנאי סף'!N456))</f>
        <v/>
      </c>
      <c r="J456" s="213" t="str">
        <f>IF($F456="","",INDEX('גיליון עזר לתחום תמיכה ג'!$H$31:$H$330,MATCH(E456,'גיליון עזר לתחום תמיכה ג'!$C$31:$C$330,0)))</f>
        <v/>
      </c>
      <c r="K456" s="213" t="str">
        <f>IF(OR(F456="",J456=""),"",IF(AND(J456&gt;0,I456=1),J456*'פרמטרים לקריטריונים'!$C$64,$Q$2))</f>
        <v/>
      </c>
      <c r="L456" s="227" t="str">
        <f>IF(OR(F456="",J456=""),"",IF(J456&gt;0,'תחום תמיכה ב'!AC456/SUMIFS('תחום תמיכה ב'!$AC$31:$AC$500,'תחום תמיכה ב'!$E$31:$E$500,E456,'תחום תמיכה ב'!$S$31:$S$500,"=1"),0))</f>
        <v/>
      </c>
      <c r="M456" s="213" t="str">
        <f t="shared" si="25"/>
        <v/>
      </c>
      <c r="N456" s="227" t="str">
        <f t="shared" si="26"/>
        <v/>
      </c>
      <c r="O456" s="213" t="str">
        <f t="shared" si="27"/>
        <v/>
      </c>
    </row>
    <row r="457" spans="1:15" ht="15.75" x14ac:dyDescent="0.2">
      <c r="A457" s="206" t="str">
        <f t="shared" si="24"/>
        <v/>
      </c>
      <c r="B457" s="88" t="str">
        <f>IF($F457="","",'הזנה לתנאי סף'!C457)</f>
        <v/>
      </c>
      <c r="C457" s="88" t="str">
        <f>IF($F457="","",'הזנה לתנאי סף'!D457)</f>
        <v/>
      </c>
      <c r="D457" s="88" t="str">
        <f>IF($F457="","",'הזנה לתנאי סף'!E457)</f>
        <v/>
      </c>
      <c r="E457" s="88" t="str">
        <f>IF($F457="","",'הזנה לתנאי סף'!F457)</f>
        <v/>
      </c>
      <c r="F457" s="88" t="str">
        <f>IF(OR('הזנה לתנאי סף'!G457="",'הזנה לתנאי סף'!BL457&lt;&gt;1,'הזנה לתנאי סף'!Q457&lt;&gt;1,'הזנה לתנאי סף'!N457&lt;&gt;1),"",'הזנה לתנאי סף'!G457)</f>
        <v/>
      </c>
      <c r="G457" s="88" t="str">
        <f>IF($F457="","",'הזנה לתנאי סף'!H457)</f>
        <v/>
      </c>
      <c r="H457" s="88" t="str">
        <f>IF($F457="","",'הזנה לתנאי סף'!I457)</f>
        <v/>
      </c>
      <c r="I457" s="88" t="str">
        <f>IF($F457="","",IF(AND('הזנה לתנאי סף'!N457=0,J457&gt;0),$Q$2,'הזנה לתנאי סף'!N457))</f>
        <v/>
      </c>
      <c r="J457" s="213" t="str">
        <f>IF($F457="","",INDEX('גיליון עזר לתחום תמיכה ג'!$H$31:$H$330,MATCH(E457,'גיליון עזר לתחום תמיכה ג'!$C$31:$C$330,0)))</f>
        <v/>
      </c>
      <c r="K457" s="213" t="str">
        <f>IF(OR(F457="",J457=""),"",IF(AND(J457&gt;0,I457=1),J457*'פרמטרים לקריטריונים'!$C$64,$Q$2))</f>
        <v/>
      </c>
      <c r="L457" s="227" t="str">
        <f>IF(OR(F457="",J457=""),"",IF(J457&gt;0,'תחום תמיכה ב'!AC457/SUMIFS('תחום תמיכה ב'!$AC$31:$AC$500,'תחום תמיכה ב'!$E$31:$E$500,E457,'תחום תמיכה ב'!$S$31:$S$500,"=1"),0))</f>
        <v/>
      </c>
      <c r="M457" s="213" t="str">
        <f t="shared" si="25"/>
        <v/>
      </c>
      <c r="N457" s="227" t="str">
        <f t="shared" si="26"/>
        <v/>
      </c>
      <c r="O457" s="213" t="str">
        <f t="shared" si="27"/>
        <v/>
      </c>
    </row>
    <row r="458" spans="1:15" ht="15.75" x14ac:dyDescent="0.2">
      <c r="A458" s="206" t="str">
        <f t="shared" ref="A458:A500" si="28">IF(F458="","",ROW()-30)</f>
        <v/>
      </c>
      <c r="B458" s="88" t="str">
        <f>IF($F458="","",'הזנה לתנאי סף'!C458)</f>
        <v/>
      </c>
      <c r="C458" s="88" t="str">
        <f>IF($F458="","",'הזנה לתנאי סף'!D458)</f>
        <v/>
      </c>
      <c r="D458" s="88" t="str">
        <f>IF($F458="","",'הזנה לתנאי סף'!E458)</f>
        <v/>
      </c>
      <c r="E458" s="88" t="str">
        <f>IF($F458="","",'הזנה לתנאי סף'!F458)</f>
        <v/>
      </c>
      <c r="F458" s="88" t="str">
        <f>IF(OR('הזנה לתנאי סף'!G458="",'הזנה לתנאי סף'!BL458&lt;&gt;1,'הזנה לתנאי סף'!Q458&lt;&gt;1,'הזנה לתנאי סף'!N458&lt;&gt;1),"",'הזנה לתנאי סף'!G458)</f>
        <v/>
      </c>
      <c r="G458" s="88" t="str">
        <f>IF($F458="","",'הזנה לתנאי סף'!H458)</f>
        <v/>
      </c>
      <c r="H458" s="88" t="str">
        <f>IF($F458="","",'הזנה לתנאי סף'!I458)</f>
        <v/>
      </c>
      <c r="I458" s="88" t="str">
        <f>IF($F458="","",IF(AND('הזנה לתנאי סף'!N458=0,J458&gt;0),$Q$2,'הזנה לתנאי סף'!N458))</f>
        <v/>
      </c>
      <c r="J458" s="213" t="str">
        <f>IF($F458="","",INDEX('גיליון עזר לתחום תמיכה ג'!$H$31:$H$330,MATCH(E458,'גיליון עזר לתחום תמיכה ג'!$C$31:$C$330,0)))</f>
        <v/>
      </c>
      <c r="K458" s="213" t="str">
        <f>IF(OR(F458="",J458=""),"",IF(AND(J458&gt;0,I458=1),J458*'פרמטרים לקריטריונים'!$C$64,$Q$2))</f>
        <v/>
      </c>
      <c r="L458" s="227" t="str">
        <f>IF(OR(F458="",J458=""),"",IF(J458&gt;0,'תחום תמיכה ב'!AC458/SUMIFS('תחום תמיכה ב'!$AC$31:$AC$500,'תחום תמיכה ב'!$E$31:$E$500,E458,'תחום תמיכה ב'!$S$31:$S$500,"=1"),0))</f>
        <v/>
      </c>
      <c r="M458" s="213" t="str">
        <f t="shared" ref="M458:M500" si="29">IF(OR(F458="",J458=""),"",IFERROR(K458*L458,$Q$2))</f>
        <v/>
      </c>
      <c r="N458" s="227" t="str">
        <f t="shared" ref="N458:N500" si="30">IF(OR(F458="",J458=""),"",IFERROR(M458/$M$501,$Q$2))</f>
        <v/>
      </c>
      <c r="O458" s="213" t="str">
        <f t="shared" ref="O458:O500" si="31">IF(N458="","",IF($M$501&lt;$F$4,M458,N458*$F$4))</f>
        <v/>
      </c>
    </row>
    <row r="459" spans="1:15" ht="15.75" x14ac:dyDescent="0.2">
      <c r="A459" s="206" t="str">
        <f t="shared" si="28"/>
        <v/>
      </c>
      <c r="B459" s="88" t="str">
        <f>IF($F459="","",'הזנה לתנאי סף'!C459)</f>
        <v/>
      </c>
      <c r="C459" s="88" t="str">
        <f>IF($F459="","",'הזנה לתנאי סף'!D459)</f>
        <v/>
      </c>
      <c r="D459" s="88" t="str">
        <f>IF($F459="","",'הזנה לתנאי סף'!E459)</f>
        <v/>
      </c>
      <c r="E459" s="88" t="str">
        <f>IF($F459="","",'הזנה לתנאי סף'!F459)</f>
        <v/>
      </c>
      <c r="F459" s="88" t="str">
        <f>IF(OR('הזנה לתנאי סף'!G459="",'הזנה לתנאי סף'!BL459&lt;&gt;1,'הזנה לתנאי סף'!Q459&lt;&gt;1,'הזנה לתנאי סף'!N459&lt;&gt;1),"",'הזנה לתנאי סף'!G459)</f>
        <v/>
      </c>
      <c r="G459" s="88" t="str">
        <f>IF($F459="","",'הזנה לתנאי סף'!H459)</f>
        <v/>
      </c>
      <c r="H459" s="88" t="str">
        <f>IF($F459="","",'הזנה לתנאי סף'!I459)</f>
        <v/>
      </c>
      <c r="I459" s="88" t="str">
        <f>IF($F459="","",IF(AND('הזנה לתנאי סף'!N459=0,J459&gt;0),$Q$2,'הזנה לתנאי סף'!N459))</f>
        <v/>
      </c>
      <c r="J459" s="213" t="str">
        <f>IF($F459="","",INDEX('גיליון עזר לתחום תמיכה ג'!$H$31:$H$330,MATCH(E459,'גיליון עזר לתחום תמיכה ג'!$C$31:$C$330,0)))</f>
        <v/>
      </c>
      <c r="K459" s="213" t="str">
        <f>IF(OR(F459="",J459=""),"",IF(AND(J459&gt;0,I459=1),J459*'פרמטרים לקריטריונים'!$C$64,$Q$2))</f>
        <v/>
      </c>
      <c r="L459" s="227" t="str">
        <f>IF(OR(F459="",J459=""),"",IF(J459&gt;0,'תחום תמיכה ב'!AC459/SUMIFS('תחום תמיכה ב'!$AC$31:$AC$500,'תחום תמיכה ב'!$E$31:$E$500,E459,'תחום תמיכה ב'!$S$31:$S$500,"=1"),0))</f>
        <v/>
      </c>
      <c r="M459" s="213" t="str">
        <f t="shared" si="29"/>
        <v/>
      </c>
      <c r="N459" s="227" t="str">
        <f t="shared" si="30"/>
        <v/>
      </c>
      <c r="O459" s="213" t="str">
        <f t="shared" si="31"/>
        <v/>
      </c>
    </row>
    <row r="460" spans="1:15" ht="15.75" x14ac:dyDescent="0.2">
      <c r="A460" s="206" t="str">
        <f t="shared" si="28"/>
        <v/>
      </c>
      <c r="B460" s="88" t="str">
        <f>IF($F460="","",'הזנה לתנאי סף'!C460)</f>
        <v/>
      </c>
      <c r="C460" s="88" t="str">
        <f>IF($F460="","",'הזנה לתנאי סף'!D460)</f>
        <v/>
      </c>
      <c r="D460" s="88" t="str">
        <f>IF($F460="","",'הזנה לתנאי סף'!E460)</f>
        <v/>
      </c>
      <c r="E460" s="88" t="str">
        <f>IF($F460="","",'הזנה לתנאי סף'!F460)</f>
        <v/>
      </c>
      <c r="F460" s="88" t="str">
        <f>IF(OR('הזנה לתנאי סף'!G460="",'הזנה לתנאי סף'!BL460&lt;&gt;1,'הזנה לתנאי סף'!Q460&lt;&gt;1,'הזנה לתנאי סף'!N460&lt;&gt;1),"",'הזנה לתנאי סף'!G460)</f>
        <v/>
      </c>
      <c r="G460" s="88" t="str">
        <f>IF($F460="","",'הזנה לתנאי סף'!H460)</f>
        <v/>
      </c>
      <c r="H460" s="88" t="str">
        <f>IF($F460="","",'הזנה לתנאי סף'!I460)</f>
        <v/>
      </c>
      <c r="I460" s="88" t="str">
        <f>IF($F460="","",IF(AND('הזנה לתנאי סף'!N460=0,J460&gt;0),$Q$2,'הזנה לתנאי סף'!N460))</f>
        <v/>
      </c>
      <c r="J460" s="213" t="str">
        <f>IF($F460="","",INDEX('גיליון עזר לתחום תמיכה ג'!$H$31:$H$330,MATCH(E460,'גיליון עזר לתחום תמיכה ג'!$C$31:$C$330,0)))</f>
        <v/>
      </c>
      <c r="K460" s="213" t="str">
        <f>IF(OR(F460="",J460=""),"",IF(AND(J460&gt;0,I460=1),J460*'פרמטרים לקריטריונים'!$C$64,$Q$2))</f>
        <v/>
      </c>
      <c r="L460" s="227" t="str">
        <f>IF(OR(F460="",J460=""),"",IF(J460&gt;0,'תחום תמיכה ב'!AC460/SUMIFS('תחום תמיכה ב'!$AC$31:$AC$500,'תחום תמיכה ב'!$E$31:$E$500,E460,'תחום תמיכה ב'!$S$31:$S$500,"=1"),0))</f>
        <v/>
      </c>
      <c r="M460" s="213" t="str">
        <f t="shared" si="29"/>
        <v/>
      </c>
      <c r="N460" s="227" t="str">
        <f t="shared" si="30"/>
        <v/>
      </c>
      <c r="O460" s="213" t="str">
        <f t="shared" si="31"/>
        <v/>
      </c>
    </row>
    <row r="461" spans="1:15" ht="15.75" x14ac:dyDescent="0.2">
      <c r="A461" s="206" t="str">
        <f t="shared" si="28"/>
        <v/>
      </c>
      <c r="B461" s="88" t="str">
        <f>IF($F461="","",'הזנה לתנאי סף'!C461)</f>
        <v/>
      </c>
      <c r="C461" s="88" t="str">
        <f>IF($F461="","",'הזנה לתנאי סף'!D461)</f>
        <v/>
      </c>
      <c r="D461" s="88" t="str">
        <f>IF($F461="","",'הזנה לתנאי סף'!E461)</f>
        <v/>
      </c>
      <c r="E461" s="88" t="str">
        <f>IF($F461="","",'הזנה לתנאי סף'!F461)</f>
        <v/>
      </c>
      <c r="F461" s="88" t="str">
        <f>IF(OR('הזנה לתנאי סף'!G461="",'הזנה לתנאי סף'!BL461&lt;&gt;1,'הזנה לתנאי סף'!Q461&lt;&gt;1,'הזנה לתנאי סף'!N461&lt;&gt;1),"",'הזנה לתנאי סף'!G461)</f>
        <v/>
      </c>
      <c r="G461" s="88" t="str">
        <f>IF($F461="","",'הזנה לתנאי סף'!H461)</f>
        <v/>
      </c>
      <c r="H461" s="88" t="str">
        <f>IF($F461="","",'הזנה לתנאי סף'!I461)</f>
        <v/>
      </c>
      <c r="I461" s="88" t="str">
        <f>IF($F461="","",IF(AND('הזנה לתנאי סף'!N461=0,J461&gt;0),$Q$2,'הזנה לתנאי סף'!N461))</f>
        <v/>
      </c>
      <c r="J461" s="213" t="str">
        <f>IF($F461="","",INDEX('גיליון עזר לתחום תמיכה ג'!$H$31:$H$330,MATCH(E461,'גיליון עזר לתחום תמיכה ג'!$C$31:$C$330,0)))</f>
        <v/>
      </c>
      <c r="K461" s="213" t="str">
        <f>IF(OR(F461="",J461=""),"",IF(AND(J461&gt;0,I461=1),J461*'פרמטרים לקריטריונים'!$C$64,$Q$2))</f>
        <v/>
      </c>
      <c r="L461" s="227" t="str">
        <f>IF(OR(F461="",J461=""),"",IF(J461&gt;0,'תחום תמיכה ב'!AC461/SUMIFS('תחום תמיכה ב'!$AC$31:$AC$500,'תחום תמיכה ב'!$E$31:$E$500,E461,'תחום תמיכה ב'!$S$31:$S$500,"=1"),0))</f>
        <v/>
      </c>
      <c r="M461" s="213" t="str">
        <f t="shared" si="29"/>
        <v/>
      </c>
      <c r="N461" s="227" t="str">
        <f t="shared" si="30"/>
        <v/>
      </c>
      <c r="O461" s="213" t="str">
        <f t="shared" si="31"/>
        <v/>
      </c>
    </row>
    <row r="462" spans="1:15" ht="15.75" x14ac:dyDescent="0.2">
      <c r="A462" s="206" t="str">
        <f t="shared" si="28"/>
        <v/>
      </c>
      <c r="B462" s="88" t="str">
        <f>IF($F462="","",'הזנה לתנאי סף'!C462)</f>
        <v/>
      </c>
      <c r="C462" s="88" t="str">
        <f>IF($F462="","",'הזנה לתנאי סף'!D462)</f>
        <v/>
      </c>
      <c r="D462" s="88" t="str">
        <f>IF($F462="","",'הזנה לתנאי סף'!E462)</f>
        <v/>
      </c>
      <c r="E462" s="88" t="str">
        <f>IF($F462="","",'הזנה לתנאי סף'!F462)</f>
        <v/>
      </c>
      <c r="F462" s="88" t="str">
        <f>IF(OR('הזנה לתנאי סף'!G462="",'הזנה לתנאי סף'!BL462&lt;&gt;1,'הזנה לתנאי סף'!Q462&lt;&gt;1,'הזנה לתנאי סף'!N462&lt;&gt;1),"",'הזנה לתנאי סף'!G462)</f>
        <v/>
      </c>
      <c r="G462" s="88" t="str">
        <f>IF($F462="","",'הזנה לתנאי סף'!H462)</f>
        <v/>
      </c>
      <c r="H462" s="88" t="str">
        <f>IF($F462="","",'הזנה לתנאי סף'!I462)</f>
        <v/>
      </c>
      <c r="I462" s="88" t="str">
        <f>IF($F462="","",IF(AND('הזנה לתנאי סף'!N462=0,J462&gt;0),$Q$2,'הזנה לתנאי סף'!N462))</f>
        <v/>
      </c>
      <c r="J462" s="213" t="str">
        <f>IF($F462="","",INDEX('גיליון עזר לתחום תמיכה ג'!$H$31:$H$330,MATCH(E462,'גיליון עזר לתחום תמיכה ג'!$C$31:$C$330,0)))</f>
        <v/>
      </c>
      <c r="K462" s="213" t="str">
        <f>IF(OR(F462="",J462=""),"",IF(AND(J462&gt;0,I462=1),J462*'פרמטרים לקריטריונים'!$C$64,$Q$2))</f>
        <v/>
      </c>
      <c r="L462" s="227" t="str">
        <f>IF(OR(F462="",J462=""),"",IF(J462&gt;0,'תחום תמיכה ב'!AC462/SUMIFS('תחום תמיכה ב'!$AC$31:$AC$500,'תחום תמיכה ב'!$E$31:$E$500,E462,'תחום תמיכה ב'!$S$31:$S$500,"=1"),0))</f>
        <v/>
      </c>
      <c r="M462" s="213" t="str">
        <f t="shared" si="29"/>
        <v/>
      </c>
      <c r="N462" s="227" t="str">
        <f t="shared" si="30"/>
        <v/>
      </c>
      <c r="O462" s="213" t="str">
        <f t="shared" si="31"/>
        <v/>
      </c>
    </row>
    <row r="463" spans="1:15" ht="15.75" x14ac:dyDescent="0.2">
      <c r="A463" s="206" t="str">
        <f t="shared" si="28"/>
        <v/>
      </c>
      <c r="B463" s="88" t="str">
        <f>IF($F463="","",'הזנה לתנאי סף'!C463)</f>
        <v/>
      </c>
      <c r="C463" s="88" t="str">
        <f>IF($F463="","",'הזנה לתנאי סף'!D463)</f>
        <v/>
      </c>
      <c r="D463" s="88" t="str">
        <f>IF($F463="","",'הזנה לתנאי סף'!E463)</f>
        <v/>
      </c>
      <c r="E463" s="88" t="str">
        <f>IF($F463="","",'הזנה לתנאי סף'!F463)</f>
        <v/>
      </c>
      <c r="F463" s="88" t="str">
        <f>IF(OR('הזנה לתנאי סף'!G463="",'הזנה לתנאי סף'!BL463&lt;&gt;1,'הזנה לתנאי סף'!Q463&lt;&gt;1,'הזנה לתנאי סף'!N463&lt;&gt;1),"",'הזנה לתנאי סף'!G463)</f>
        <v/>
      </c>
      <c r="G463" s="88" t="str">
        <f>IF($F463="","",'הזנה לתנאי סף'!H463)</f>
        <v/>
      </c>
      <c r="H463" s="88" t="str">
        <f>IF($F463="","",'הזנה לתנאי סף'!I463)</f>
        <v/>
      </c>
      <c r="I463" s="88" t="str">
        <f>IF($F463="","",IF(AND('הזנה לתנאי סף'!N463=0,J463&gt;0),$Q$2,'הזנה לתנאי סף'!N463))</f>
        <v/>
      </c>
      <c r="J463" s="213" t="str">
        <f>IF($F463="","",INDEX('גיליון עזר לתחום תמיכה ג'!$H$31:$H$330,MATCH(E463,'גיליון עזר לתחום תמיכה ג'!$C$31:$C$330,0)))</f>
        <v/>
      </c>
      <c r="K463" s="213" t="str">
        <f>IF(OR(F463="",J463=""),"",IF(AND(J463&gt;0,I463=1),J463*'פרמטרים לקריטריונים'!$C$64,$Q$2))</f>
        <v/>
      </c>
      <c r="L463" s="227" t="str">
        <f>IF(OR(F463="",J463=""),"",IF(J463&gt;0,'תחום תמיכה ב'!AC463/SUMIFS('תחום תמיכה ב'!$AC$31:$AC$500,'תחום תמיכה ב'!$E$31:$E$500,E463,'תחום תמיכה ב'!$S$31:$S$500,"=1"),0))</f>
        <v/>
      </c>
      <c r="M463" s="213" t="str">
        <f t="shared" si="29"/>
        <v/>
      </c>
      <c r="N463" s="227" t="str">
        <f t="shared" si="30"/>
        <v/>
      </c>
      <c r="O463" s="213" t="str">
        <f t="shared" si="31"/>
        <v/>
      </c>
    </row>
    <row r="464" spans="1:15" ht="15.75" x14ac:dyDescent="0.2">
      <c r="A464" s="206" t="str">
        <f t="shared" si="28"/>
        <v/>
      </c>
      <c r="B464" s="88" t="str">
        <f>IF($F464="","",'הזנה לתנאי סף'!C464)</f>
        <v/>
      </c>
      <c r="C464" s="88" t="str">
        <f>IF($F464="","",'הזנה לתנאי סף'!D464)</f>
        <v/>
      </c>
      <c r="D464" s="88" t="str">
        <f>IF($F464="","",'הזנה לתנאי סף'!E464)</f>
        <v/>
      </c>
      <c r="E464" s="88" t="str">
        <f>IF($F464="","",'הזנה לתנאי סף'!F464)</f>
        <v/>
      </c>
      <c r="F464" s="88" t="str">
        <f>IF(OR('הזנה לתנאי סף'!G464="",'הזנה לתנאי סף'!BL464&lt;&gt;1,'הזנה לתנאי סף'!Q464&lt;&gt;1,'הזנה לתנאי סף'!N464&lt;&gt;1),"",'הזנה לתנאי סף'!G464)</f>
        <v/>
      </c>
      <c r="G464" s="88" t="str">
        <f>IF($F464="","",'הזנה לתנאי סף'!H464)</f>
        <v/>
      </c>
      <c r="H464" s="88" t="str">
        <f>IF($F464="","",'הזנה לתנאי סף'!I464)</f>
        <v/>
      </c>
      <c r="I464" s="88" t="str">
        <f>IF($F464="","",IF(AND('הזנה לתנאי סף'!N464=0,J464&gt;0),$Q$2,'הזנה לתנאי סף'!N464))</f>
        <v/>
      </c>
      <c r="J464" s="213" t="str">
        <f>IF($F464="","",INDEX('גיליון עזר לתחום תמיכה ג'!$H$31:$H$330,MATCH(E464,'גיליון עזר לתחום תמיכה ג'!$C$31:$C$330,0)))</f>
        <v/>
      </c>
      <c r="K464" s="213" t="str">
        <f>IF(OR(F464="",J464=""),"",IF(AND(J464&gt;0,I464=1),J464*'פרמטרים לקריטריונים'!$C$64,$Q$2))</f>
        <v/>
      </c>
      <c r="L464" s="227" t="str">
        <f>IF(OR(F464="",J464=""),"",IF(J464&gt;0,'תחום תמיכה ב'!AC464/SUMIFS('תחום תמיכה ב'!$AC$31:$AC$500,'תחום תמיכה ב'!$E$31:$E$500,E464,'תחום תמיכה ב'!$S$31:$S$500,"=1"),0))</f>
        <v/>
      </c>
      <c r="M464" s="213" t="str">
        <f t="shared" si="29"/>
        <v/>
      </c>
      <c r="N464" s="227" t="str">
        <f t="shared" si="30"/>
        <v/>
      </c>
      <c r="O464" s="213" t="str">
        <f t="shared" si="31"/>
        <v/>
      </c>
    </row>
    <row r="465" spans="1:15" ht="15.75" x14ac:dyDescent="0.2">
      <c r="A465" s="206" t="str">
        <f t="shared" si="28"/>
        <v/>
      </c>
      <c r="B465" s="88" t="str">
        <f>IF($F465="","",'הזנה לתנאי סף'!C465)</f>
        <v/>
      </c>
      <c r="C465" s="88" t="str">
        <f>IF($F465="","",'הזנה לתנאי סף'!D465)</f>
        <v/>
      </c>
      <c r="D465" s="88" t="str">
        <f>IF($F465="","",'הזנה לתנאי סף'!E465)</f>
        <v/>
      </c>
      <c r="E465" s="88" t="str">
        <f>IF($F465="","",'הזנה לתנאי סף'!F465)</f>
        <v/>
      </c>
      <c r="F465" s="88" t="str">
        <f>IF(OR('הזנה לתנאי סף'!G465="",'הזנה לתנאי סף'!BL465&lt;&gt;1,'הזנה לתנאי סף'!Q465&lt;&gt;1,'הזנה לתנאי סף'!N465&lt;&gt;1),"",'הזנה לתנאי סף'!G465)</f>
        <v/>
      </c>
      <c r="G465" s="88" t="str">
        <f>IF($F465="","",'הזנה לתנאי סף'!H465)</f>
        <v/>
      </c>
      <c r="H465" s="88" t="str">
        <f>IF($F465="","",'הזנה לתנאי סף'!I465)</f>
        <v/>
      </c>
      <c r="I465" s="88" t="str">
        <f>IF($F465="","",IF(AND('הזנה לתנאי סף'!N465=0,J465&gt;0),$Q$2,'הזנה לתנאי סף'!N465))</f>
        <v/>
      </c>
      <c r="J465" s="213" t="str">
        <f>IF($F465="","",INDEX('גיליון עזר לתחום תמיכה ג'!$H$31:$H$330,MATCH(E465,'גיליון עזר לתחום תמיכה ג'!$C$31:$C$330,0)))</f>
        <v/>
      </c>
      <c r="K465" s="213" t="str">
        <f>IF(OR(F465="",J465=""),"",IF(AND(J465&gt;0,I465=1),J465*'פרמטרים לקריטריונים'!$C$64,$Q$2))</f>
        <v/>
      </c>
      <c r="L465" s="227" t="str">
        <f>IF(OR(F465="",J465=""),"",IF(J465&gt;0,'תחום תמיכה ב'!AC465/SUMIFS('תחום תמיכה ב'!$AC$31:$AC$500,'תחום תמיכה ב'!$E$31:$E$500,E465,'תחום תמיכה ב'!$S$31:$S$500,"=1"),0))</f>
        <v/>
      </c>
      <c r="M465" s="213" t="str">
        <f t="shared" si="29"/>
        <v/>
      </c>
      <c r="N465" s="227" t="str">
        <f t="shared" si="30"/>
        <v/>
      </c>
      <c r="O465" s="213" t="str">
        <f t="shared" si="31"/>
        <v/>
      </c>
    </row>
    <row r="466" spans="1:15" ht="15.75" x14ac:dyDescent="0.2">
      <c r="A466" s="206" t="str">
        <f t="shared" si="28"/>
        <v/>
      </c>
      <c r="B466" s="88" t="str">
        <f>IF($F466="","",'הזנה לתנאי סף'!C466)</f>
        <v/>
      </c>
      <c r="C466" s="88" t="str">
        <f>IF($F466="","",'הזנה לתנאי סף'!D466)</f>
        <v/>
      </c>
      <c r="D466" s="88" t="str">
        <f>IF($F466="","",'הזנה לתנאי סף'!E466)</f>
        <v/>
      </c>
      <c r="E466" s="88" t="str">
        <f>IF($F466="","",'הזנה לתנאי סף'!F466)</f>
        <v/>
      </c>
      <c r="F466" s="88" t="str">
        <f>IF(OR('הזנה לתנאי סף'!G466="",'הזנה לתנאי סף'!BL466&lt;&gt;1,'הזנה לתנאי סף'!Q466&lt;&gt;1,'הזנה לתנאי סף'!N466&lt;&gt;1),"",'הזנה לתנאי סף'!G466)</f>
        <v/>
      </c>
      <c r="G466" s="88" t="str">
        <f>IF($F466="","",'הזנה לתנאי סף'!H466)</f>
        <v/>
      </c>
      <c r="H466" s="88" t="str">
        <f>IF($F466="","",'הזנה לתנאי סף'!I466)</f>
        <v/>
      </c>
      <c r="I466" s="88" t="str">
        <f>IF($F466="","",IF(AND('הזנה לתנאי סף'!N466=0,J466&gt;0),$Q$2,'הזנה לתנאי סף'!N466))</f>
        <v/>
      </c>
      <c r="J466" s="213" t="str">
        <f>IF($F466="","",INDEX('גיליון עזר לתחום תמיכה ג'!$H$31:$H$330,MATCH(E466,'גיליון עזר לתחום תמיכה ג'!$C$31:$C$330,0)))</f>
        <v/>
      </c>
      <c r="K466" s="213" t="str">
        <f>IF(OR(F466="",J466=""),"",IF(AND(J466&gt;0,I466=1),J466*'פרמטרים לקריטריונים'!$C$64,$Q$2))</f>
        <v/>
      </c>
      <c r="L466" s="227" t="str">
        <f>IF(OR(F466="",J466=""),"",IF(J466&gt;0,'תחום תמיכה ב'!AC466/SUMIFS('תחום תמיכה ב'!$AC$31:$AC$500,'תחום תמיכה ב'!$E$31:$E$500,E466,'תחום תמיכה ב'!$S$31:$S$500,"=1"),0))</f>
        <v/>
      </c>
      <c r="M466" s="213" t="str">
        <f t="shared" si="29"/>
        <v/>
      </c>
      <c r="N466" s="227" t="str">
        <f t="shared" si="30"/>
        <v/>
      </c>
      <c r="O466" s="213" t="str">
        <f t="shared" si="31"/>
        <v/>
      </c>
    </row>
    <row r="467" spans="1:15" ht="15.75" x14ac:dyDescent="0.2">
      <c r="A467" s="206" t="str">
        <f t="shared" si="28"/>
        <v/>
      </c>
      <c r="B467" s="88" t="str">
        <f>IF($F467="","",'הזנה לתנאי סף'!C467)</f>
        <v/>
      </c>
      <c r="C467" s="88" t="str">
        <f>IF($F467="","",'הזנה לתנאי סף'!D467)</f>
        <v/>
      </c>
      <c r="D467" s="88" t="str">
        <f>IF($F467="","",'הזנה לתנאי סף'!E467)</f>
        <v/>
      </c>
      <c r="E467" s="88" t="str">
        <f>IF($F467="","",'הזנה לתנאי סף'!F467)</f>
        <v/>
      </c>
      <c r="F467" s="88" t="str">
        <f>IF(OR('הזנה לתנאי סף'!G467="",'הזנה לתנאי סף'!BL467&lt;&gt;1,'הזנה לתנאי סף'!Q467&lt;&gt;1,'הזנה לתנאי סף'!N467&lt;&gt;1),"",'הזנה לתנאי סף'!G467)</f>
        <v/>
      </c>
      <c r="G467" s="88" t="str">
        <f>IF($F467="","",'הזנה לתנאי סף'!H467)</f>
        <v/>
      </c>
      <c r="H467" s="88" t="str">
        <f>IF($F467="","",'הזנה לתנאי סף'!I467)</f>
        <v/>
      </c>
      <c r="I467" s="88" t="str">
        <f>IF($F467="","",IF(AND('הזנה לתנאי סף'!N467=0,J467&gt;0),$Q$2,'הזנה לתנאי סף'!N467))</f>
        <v/>
      </c>
      <c r="J467" s="213" t="str">
        <f>IF($F467="","",INDEX('גיליון עזר לתחום תמיכה ג'!$H$31:$H$330,MATCH(E467,'גיליון עזר לתחום תמיכה ג'!$C$31:$C$330,0)))</f>
        <v/>
      </c>
      <c r="K467" s="213" t="str">
        <f>IF(OR(F467="",J467=""),"",IF(AND(J467&gt;0,I467=1),J467*'פרמטרים לקריטריונים'!$C$64,$Q$2))</f>
        <v/>
      </c>
      <c r="L467" s="227" t="str">
        <f>IF(OR(F467="",J467=""),"",IF(J467&gt;0,'תחום תמיכה ב'!AC467/SUMIFS('תחום תמיכה ב'!$AC$31:$AC$500,'תחום תמיכה ב'!$E$31:$E$500,E467,'תחום תמיכה ב'!$S$31:$S$500,"=1"),0))</f>
        <v/>
      </c>
      <c r="M467" s="213" t="str">
        <f t="shared" si="29"/>
        <v/>
      </c>
      <c r="N467" s="227" t="str">
        <f t="shared" si="30"/>
        <v/>
      </c>
      <c r="O467" s="213" t="str">
        <f t="shared" si="31"/>
        <v/>
      </c>
    </row>
    <row r="468" spans="1:15" ht="15.75" x14ac:dyDescent="0.2">
      <c r="A468" s="206" t="str">
        <f t="shared" si="28"/>
        <v/>
      </c>
      <c r="B468" s="88" t="str">
        <f>IF($F468="","",'הזנה לתנאי סף'!C468)</f>
        <v/>
      </c>
      <c r="C468" s="88" t="str">
        <f>IF($F468="","",'הזנה לתנאי סף'!D468)</f>
        <v/>
      </c>
      <c r="D468" s="88" t="str">
        <f>IF($F468="","",'הזנה לתנאי סף'!E468)</f>
        <v/>
      </c>
      <c r="E468" s="88" t="str">
        <f>IF($F468="","",'הזנה לתנאי סף'!F468)</f>
        <v/>
      </c>
      <c r="F468" s="88" t="str">
        <f>IF(OR('הזנה לתנאי סף'!G468="",'הזנה לתנאי סף'!BL468&lt;&gt;1,'הזנה לתנאי סף'!Q468&lt;&gt;1,'הזנה לתנאי סף'!N468&lt;&gt;1),"",'הזנה לתנאי סף'!G468)</f>
        <v/>
      </c>
      <c r="G468" s="88" t="str">
        <f>IF($F468="","",'הזנה לתנאי סף'!H468)</f>
        <v/>
      </c>
      <c r="H468" s="88" t="str">
        <f>IF($F468="","",'הזנה לתנאי סף'!I468)</f>
        <v/>
      </c>
      <c r="I468" s="88" t="str">
        <f>IF($F468="","",IF(AND('הזנה לתנאי סף'!N468=0,J468&gt;0),$Q$2,'הזנה לתנאי סף'!N468))</f>
        <v/>
      </c>
      <c r="J468" s="213" t="str">
        <f>IF($F468="","",INDEX('גיליון עזר לתחום תמיכה ג'!$H$31:$H$330,MATCH(E468,'גיליון עזר לתחום תמיכה ג'!$C$31:$C$330,0)))</f>
        <v/>
      </c>
      <c r="K468" s="213" t="str">
        <f>IF(OR(F468="",J468=""),"",IF(AND(J468&gt;0,I468=1),J468*'פרמטרים לקריטריונים'!$C$64,$Q$2))</f>
        <v/>
      </c>
      <c r="L468" s="227" t="str">
        <f>IF(OR(F468="",J468=""),"",IF(J468&gt;0,'תחום תמיכה ב'!AC468/SUMIFS('תחום תמיכה ב'!$AC$31:$AC$500,'תחום תמיכה ב'!$E$31:$E$500,E468,'תחום תמיכה ב'!$S$31:$S$500,"=1"),0))</f>
        <v/>
      </c>
      <c r="M468" s="213" t="str">
        <f t="shared" si="29"/>
        <v/>
      </c>
      <c r="N468" s="227" t="str">
        <f t="shared" si="30"/>
        <v/>
      </c>
      <c r="O468" s="213" t="str">
        <f t="shared" si="31"/>
        <v/>
      </c>
    </row>
    <row r="469" spans="1:15" ht="15.75" x14ac:dyDescent="0.2">
      <c r="A469" s="206" t="str">
        <f t="shared" si="28"/>
        <v/>
      </c>
      <c r="B469" s="88" t="str">
        <f>IF($F469="","",'הזנה לתנאי סף'!C469)</f>
        <v/>
      </c>
      <c r="C469" s="88" t="str">
        <f>IF($F469="","",'הזנה לתנאי סף'!D469)</f>
        <v/>
      </c>
      <c r="D469" s="88" t="str">
        <f>IF($F469="","",'הזנה לתנאי סף'!E469)</f>
        <v/>
      </c>
      <c r="E469" s="88" t="str">
        <f>IF($F469="","",'הזנה לתנאי סף'!F469)</f>
        <v/>
      </c>
      <c r="F469" s="88" t="str">
        <f>IF(OR('הזנה לתנאי סף'!G469="",'הזנה לתנאי סף'!BL469&lt;&gt;1,'הזנה לתנאי סף'!Q469&lt;&gt;1,'הזנה לתנאי סף'!N469&lt;&gt;1),"",'הזנה לתנאי סף'!G469)</f>
        <v/>
      </c>
      <c r="G469" s="88" t="str">
        <f>IF($F469="","",'הזנה לתנאי סף'!H469)</f>
        <v/>
      </c>
      <c r="H469" s="88" t="str">
        <f>IF($F469="","",'הזנה לתנאי סף'!I469)</f>
        <v/>
      </c>
      <c r="I469" s="88" t="str">
        <f>IF($F469="","",IF(AND('הזנה לתנאי סף'!N469=0,J469&gt;0),$Q$2,'הזנה לתנאי סף'!N469))</f>
        <v/>
      </c>
      <c r="J469" s="213" t="str">
        <f>IF($F469="","",INDEX('גיליון עזר לתחום תמיכה ג'!$H$31:$H$330,MATCH(E469,'גיליון עזר לתחום תמיכה ג'!$C$31:$C$330,0)))</f>
        <v/>
      </c>
      <c r="K469" s="213" t="str">
        <f>IF(OR(F469="",J469=""),"",IF(AND(J469&gt;0,I469=1),J469*'פרמטרים לקריטריונים'!$C$64,$Q$2))</f>
        <v/>
      </c>
      <c r="L469" s="227" t="str">
        <f>IF(OR(F469="",J469=""),"",IF(J469&gt;0,'תחום תמיכה ב'!AC469/SUMIFS('תחום תמיכה ב'!$AC$31:$AC$500,'תחום תמיכה ב'!$E$31:$E$500,E469,'תחום תמיכה ב'!$S$31:$S$500,"=1"),0))</f>
        <v/>
      </c>
      <c r="M469" s="213" t="str">
        <f t="shared" si="29"/>
        <v/>
      </c>
      <c r="N469" s="227" t="str">
        <f t="shared" si="30"/>
        <v/>
      </c>
      <c r="O469" s="213" t="str">
        <f t="shared" si="31"/>
        <v/>
      </c>
    </row>
    <row r="470" spans="1:15" ht="15.75" x14ac:dyDescent="0.2">
      <c r="A470" s="206" t="str">
        <f t="shared" si="28"/>
        <v/>
      </c>
      <c r="B470" s="88" t="str">
        <f>IF($F470="","",'הזנה לתנאי סף'!C470)</f>
        <v/>
      </c>
      <c r="C470" s="88" t="str">
        <f>IF($F470="","",'הזנה לתנאי סף'!D470)</f>
        <v/>
      </c>
      <c r="D470" s="88" t="str">
        <f>IF($F470="","",'הזנה לתנאי סף'!E470)</f>
        <v/>
      </c>
      <c r="E470" s="88" t="str">
        <f>IF($F470="","",'הזנה לתנאי סף'!F470)</f>
        <v/>
      </c>
      <c r="F470" s="88" t="str">
        <f>IF(OR('הזנה לתנאי סף'!G470="",'הזנה לתנאי סף'!BL470&lt;&gt;1,'הזנה לתנאי סף'!Q470&lt;&gt;1,'הזנה לתנאי סף'!N470&lt;&gt;1),"",'הזנה לתנאי סף'!G470)</f>
        <v/>
      </c>
      <c r="G470" s="88" t="str">
        <f>IF($F470="","",'הזנה לתנאי סף'!H470)</f>
        <v/>
      </c>
      <c r="H470" s="88" t="str">
        <f>IF($F470="","",'הזנה לתנאי סף'!I470)</f>
        <v/>
      </c>
      <c r="I470" s="88" t="str">
        <f>IF($F470="","",IF(AND('הזנה לתנאי סף'!N470=0,J470&gt;0),$Q$2,'הזנה לתנאי סף'!N470))</f>
        <v/>
      </c>
      <c r="J470" s="213" t="str">
        <f>IF($F470="","",INDEX('גיליון עזר לתחום תמיכה ג'!$H$31:$H$330,MATCH(E470,'גיליון עזר לתחום תמיכה ג'!$C$31:$C$330,0)))</f>
        <v/>
      </c>
      <c r="K470" s="213" t="str">
        <f>IF(OR(F470="",J470=""),"",IF(AND(J470&gt;0,I470=1),J470*'פרמטרים לקריטריונים'!$C$64,$Q$2))</f>
        <v/>
      </c>
      <c r="L470" s="227" t="str">
        <f>IF(OR(F470="",J470=""),"",IF(J470&gt;0,'תחום תמיכה ב'!AC470/SUMIFS('תחום תמיכה ב'!$AC$31:$AC$500,'תחום תמיכה ב'!$E$31:$E$500,E470,'תחום תמיכה ב'!$S$31:$S$500,"=1"),0))</f>
        <v/>
      </c>
      <c r="M470" s="213" t="str">
        <f t="shared" si="29"/>
        <v/>
      </c>
      <c r="N470" s="227" t="str">
        <f t="shared" si="30"/>
        <v/>
      </c>
      <c r="O470" s="213" t="str">
        <f t="shared" si="31"/>
        <v/>
      </c>
    </row>
    <row r="471" spans="1:15" ht="15.75" x14ac:dyDescent="0.2">
      <c r="A471" s="206" t="str">
        <f t="shared" si="28"/>
        <v/>
      </c>
      <c r="B471" s="88" t="str">
        <f>IF($F471="","",'הזנה לתנאי סף'!C471)</f>
        <v/>
      </c>
      <c r="C471" s="88" t="str">
        <f>IF($F471="","",'הזנה לתנאי סף'!D471)</f>
        <v/>
      </c>
      <c r="D471" s="88" t="str">
        <f>IF($F471="","",'הזנה לתנאי סף'!E471)</f>
        <v/>
      </c>
      <c r="E471" s="88" t="str">
        <f>IF($F471="","",'הזנה לתנאי סף'!F471)</f>
        <v/>
      </c>
      <c r="F471" s="88" t="str">
        <f>IF(OR('הזנה לתנאי סף'!G471="",'הזנה לתנאי סף'!BL471&lt;&gt;1,'הזנה לתנאי סף'!Q471&lt;&gt;1,'הזנה לתנאי סף'!N471&lt;&gt;1),"",'הזנה לתנאי סף'!G471)</f>
        <v/>
      </c>
      <c r="G471" s="88" t="str">
        <f>IF($F471="","",'הזנה לתנאי סף'!H471)</f>
        <v/>
      </c>
      <c r="H471" s="88" t="str">
        <f>IF($F471="","",'הזנה לתנאי סף'!I471)</f>
        <v/>
      </c>
      <c r="I471" s="88" t="str">
        <f>IF($F471="","",IF(AND('הזנה לתנאי סף'!N471=0,J471&gt;0),$Q$2,'הזנה לתנאי סף'!N471))</f>
        <v/>
      </c>
      <c r="J471" s="213" t="str">
        <f>IF($F471="","",INDEX('גיליון עזר לתחום תמיכה ג'!$H$31:$H$330,MATCH(E471,'גיליון עזר לתחום תמיכה ג'!$C$31:$C$330,0)))</f>
        <v/>
      </c>
      <c r="K471" s="213" t="str">
        <f>IF(OR(F471="",J471=""),"",IF(AND(J471&gt;0,I471=1),J471*'פרמטרים לקריטריונים'!$C$64,$Q$2))</f>
        <v/>
      </c>
      <c r="L471" s="227" t="str">
        <f>IF(OR(F471="",J471=""),"",IF(J471&gt;0,'תחום תמיכה ב'!AC471/SUMIFS('תחום תמיכה ב'!$AC$31:$AC$500,'תחום תמיכה ב'!$E$31:$E$500,E471,'תחום תמיכה ב'!$S$31:$S$500,"=1"),0))</f>
        <v/>
      </c>
      <c r="M471" s="213" t="str">
        <f t="shared" si="29"/>
        <v/>
      </c>
      <c r="N471" s="227" t="str">
        <f t="shared" si="30"/>
        <v/>
      </c>
      <c r="O471" s="213" t="str">
        <f t="shared" si="31"/>
        <v/>
      </c>
    </row>
    <row r="472" spans="1:15" ht="15.75" x14ac:dyDescent="0.2">
      <c r="A472" s="206" t="str">
        <f t="shared" si="28"/>
        <v/>
      </c>
      <c r="B472" s="88" t="str">
        <f>IF($F472="","",'הזנה לתנאי סף'!C472)</f>
        <v/>
      </c>
      <c r="C472" s="88" t="str">
        <f>IF($F472="","",'הזנה לתנאי סף'!D472)</f>
        <v/>
      </c>
      <c r="D472" s="88" t="str">
        <f>IF($F472="","",'הזנה לתנאי סף'!E472)</f>
        <v/>
      </c>
      <c r="E472" s="88" t="str">
        <f>IF($F472="","",'הזנה לתנאי סף'!F472)</f>
        <v/>
      </c>
      <c r="F472" s="88" t="str">
        <f>IF(OR('הזנה לתנאי סף'!G472="",'הזנה לתנאי סף'!BL472&lt;&gt;1,'הזנה לתנאי סף'!Q472&lt;&gt;1,'הזנה לתנאי סף'!N472&lt;&gt;1),"",'הזנה לתנאי סף'!G472)</f>
        <v/>
      </c>
      <c r="G472" s="88" t="str">
        <f>IF($F472="","",'הזנה לתנאי סף'!H472)</f>
        <v/>
      </c>
      <c r="H472" s="88" t="str">
        <f>IF($F472="","",'הזנה לתנאי סף'!I472)</f>
        <v/>
      </c>
      <c r="I472" s="88" t="str">
        <f>IF($F472="","",IF(AND('הזנה לתנאי סף'!N472=0,J472&gt;0),$Q$2,'הזנה לתנאי סף'!N472))</f>
        <v/>
      </c>
      <c r="J472" s="213" t="str">
        <f>IF($F472="","",INDEX('גיליון עזר לתחום תמיכה ג'!$H$31:$H$330,MATCH(E472,'גיליון עזר לתחום תמיכה ג'!$C$31:$C$330,0)))</f>
        <v/>
      </c>
      <c r="K472" s="213" t="str">
        <f>IF(OR(F472="",J472=""),"",IF(AND(J472&gt;0,I472=1),J472*'פרמטרים לקריטריונים'!$C$64,$Q$2))</f>
        <v/>
      </c>
      <c r="L472" s="227" t="str">
        <f>IF(OR(F472="",J472=""),"",IF(J472&gt;0,'תחום תמיכה ב'!AC472/SUMIFS('תחום תמיכה ב'!$AC$31:$AC$500,'תחום תמיכה ב'!$E$31:$E$500,E472,'תחום תמיכה ב'!$S$31:$S$500,"=1"),0))</f>
        <v/>
      </c>
      <c r="M472" s="213" t="str">
        <f t="shared" si="29"/>
        <v/>
      </c>
      <c r="N472" s="227" t="str">
        <f t="shared" si="30"/>
        <v/>
      </c>
      <c r="O472" s="213" t="str">
        <f t="shared" si="31"/>
        <v/>
      </c>
    </row>
    <row r="473" spans="1:15" ht="15.75" x14ac:dyDescent="0.2">
      <c r="A473" s="206" t="str">
        <f t="shared" si="28"/>
        <v/>
      </c>
      <c r="B473" s="88" t="str">
        <f>IF($F473="","",'הזנה לתנאי סף'!C473)</f>
        <v/>
      </c>
      <c r="C473" s="88" t="str">
        <f>IF($F473="","",'הזנה לתנאי סף'!D473)</f>
        <v/>
      </c>
      <c r="D473" s="88" t="str">
        <f>IF($F473="","",'הזנה לתנאי סף'!E473)</f>
        <v/>
      </c>
      <c r="E473" s="88" t="str">
        <f>IF($F473="","",'הזנה לתנאי סף'!F473)</f>
        <v/>
      </c>
      <c r="F473" s="88" t="str">
        <f>IF(OR('הזנה לתנאי סף'!G473="",'הזנה לתנאי סף'!BL473&lt;&gt;1,'הזנה לתנאי סף'!Q473&lt;&gt;1,'הזנה לתנאי סף'!N473&lt;&gt;1),"",'הזנה לתנאי סף'!G473)</f>
        <v/>
      </c>
      <c r="G473" s="88" t="str">
        <f>IF($F473="","",'הזנה לתנאי סף'!H473)</f>
        <v/>
      </c>
      <c r="H473" s="88" t="str">
        <f>IF($F473="","",'הזנה לתנאי סף'!I473)</f>
        <v/>
      </c>
      <c r="I473" s="88" t="str">
        <f>IF($F473="","",IF(AND('הזנה לתנאי סף'!N473=0,J473&gt;0),$Q$2,'הזנה לתנאי סף'!N473))</f>
        <v/>
      </c>
      <c r="J473" s="213" t="str">
        <f>IF($F473="","",INDEX('גיליון עזר לתחום תמיכה ג'!$H$31:$H$330,MATCH(E473,'גיליון עזר לתחום תמיכה ג'!$C$31:$C$330,0)))</f>
        <v/>
      </c>
      <c r="K473" s="213" t="str">
        <f>IF(OR(F473="",J473=""),"",IF(AND(J473&gt;0,I473=1),J473*'פרמטרים לקריטריונים'!$C$64,$Q$2))</f>
        <v/>
      </c>
      <c r="L473" s="227" t="str">
        <f>IF(OR(F473="",J473=""),"",IF(J473&gt;0,'תחום תמיכה ב'!AC473/SUMIFS('תחום תמיכה ב'!$AC$31:$AC$500,'תחום תמיכה ב'!$E$31:$E$500,E473,'תחום תמיכה ב'!$S$31:$S$500,"=1"),0))</f>
        <v/>
      </c>
      <c r="M473" s="213" t="str">
        <f t="shared" si="29"/>
        <v/>
      </c>
      <c r="N473" s="227" t="str">
        <f t="shared" si="30"/>
        <v/>
      </c>
      <c r="O473" s="213" t="str">
        <f t="shared" si="31"/>
        <v/>
      </c>
    </row>
    <row r="474" spans="1:15" ht="15.75" x14ac:dyDescent="0.2">
      <c r="A474" s="206" t="str">
        <f t="shared" si="28"/>
        <v/>
      </c>
      <c r="B474" s="88" t="str">
        <f>IF($F474="","",'הזנה לתנאי סף'!C474)</f>
        <v/>
      </c>
      <c r="C474" s="88" t="str">
        <f>IF($F474="","",'הזנה לתנאי סף'!D474)</f>
        <v/>
      </c>
      <c r="D474" s="88" t="str">
        <f>IF($F474="","",'הזנה לתנאי סף'!E474)</f>
        <v/>
      </c>
      <c r="E474" s="88" t="str">
        <f>IF($F474="","",'הזנה לתנאי סף'!F474)</f>
        <v/>
      </c>
      <c r="F474" s="88" t="str">
        <f>IF(OR('הזנה לתנאי סף'!G474="",'הזנה לתנאי סף'!BL474&lt;&gt;1,'הזנה לתנאי סף'!Q474&lt;&gt;1,'הזנה לתנאי סף'!N474&lt;&gt;1),"",'הזנה לתנאי סף'!G474)</f>
        <v/>
      </c>
      <c r="G474" s="88" t="str">
        <f>IF($F474="","",'הזנה לתנאי סף'!H474)</f>
        <v/>
      </c>
      <c r="H474" s="88" t="str">
        <f>IF($F474="","",'הזנה לתנאי סף'!I474)</f>
        <v/>
      </c>
      <c r="I474" s="88" t="str">
        <f>IF($F474="","",IF(AND('הזנה לתנאי סף'!N474=0,J474&gt;0),$Q$2,'הזנה לתנאי סף'!N474))</f>
        <v/>
      </c>
      <c r="J474" s="213" t="str">
        <f>IF($F474="","",INDEX('גיליון עזר לתחום תמיכה ג'!$H$31:$H$330,MATCH(E474,'גיליון עזר לתחום תמיכה ג'!$C$31:$C$330,0)))</f>
        <v/>
      </c>
      <c r="K474" s="213" t="str">
        <f>IF(OR(F474="",J474=""),"",IF(AND(J474&gt;0,I474=1),J474*'פרמטרים לקריטריונים'!$C$64,$Q$2))</f>
        <v/>
      </c>
      <c r="L474" s="227" t="str">
        <f>IF(OR(F474="",J474=""),"",IF(J474&gt;0,'תחום תמיכה ב'!AC474/SUMIFS('תחום תמיכה ב'!$AC$31:$AC$500,'תחום תמיכה ב'!$E$31:$E$500,E474,'תחום תמיכה ב'!$S$31:$S$500,"=1"),0))</f>
        <v/>
      </c>
      <c r="M474" s="213" t="str">
        <f t="shared" si="29"/>
        <v/>
      </c>
      <c r="N474" s="227" t="str">
        <f t="shared" si="30"/>
        <v/>
      </c>
      <c r="O474" s="213" t="str">
        <f t="shared" si="31"/>
        <v/>
      </c>
    </row>
    <row r="475" spans="1:15" ht="15.75" x14ac:dyDescent="0.2">
      <c r="A475" s="206" t="str">
        <f t="shared" si="28"/>
        <v/>
      </c>
      <c r="B475" s="88" t="str">
        <f>IF($F475="","",'הזנה לתנאי סף'!C475)</f>
        <v/>
      </c>
      <c r="C475" s="88" t="str">
        <f>IF($F475="","",'הזנה לתנאי סף'!D475)</f>
        <v/>
      </c>
      <c r="D475" s="88" t="str">
        <f>IF($F475="","",'הזנה לתנאי סף'!E475)</f>
        <v/>
      </c>
      <c r="E475" s="88" t="str">
        <f>IF($F475="","",'הזנה לתנאי סף'!F475)</f>
        <v/>
      </c>
      <c r="F475" s="88" t="str">
        <f>IF(OR('הזנה לתנאי סף'!G475="",'הזנה לתנאי סף'!BL475&lt;&gt;1,'הזנה לתנאי סף'!Q475&lt;&gt;1,'הזנה לתנאי סף'!N475&lt;&gt;1),"",'הזנה לתנאי סף'!G475)</f>
        <v/>
      </c>
      <c r="G475" s="88" t="str">
        <f>IF($F475="","",'הזנה לתנאי סף'!H475)</f>
        <v/>
      </c>
      <c r="H475" s="88" t="str">
        <f>IF($F475="","",'הזנה לתנאי סף'!I475)</f>
        <v/>
      </c>
      <c r="I475" s="88" t="str">
        <f>IF($F475="","",IF(AND('הזנה לתנאי סף'!N475=0,J475&gt;0),$Q$2,'הזנה לתנאי סף'!N475))</f>
        <v/>
      </c>
      <c r="J475" s="213" t="str">
        <f>IF($F475="","",INDEX('גיליון עזר לתחום תמיכה ג'!$H$31:$H$330,MATCH(E475,'גיליון עזר לתחום תמיכה ג'!$C$31:$C$330,0)))</f>
        <v/>
      </c>
      <c r="K475" s="213" t="str">
        <f>IF(OR(F475="",J475=""),"",IF(AND(J475&gt;0,I475=1),J475*'פרמטרים לקריטריונים'!$C$64,$Q$2))</f>
        <v/>
      </c>
      <c r="L475" s="227" t="str">
        <f>IF(OR(F475="",J475=""),"",IF(J475&gt;0,'תחום תמיכה ב'!AC475/SUMIFS('תחום תמיכה ב'!$AC$31:$AC$500,'תחום תמיכה ב'!$E$31:$E$500,E475,'תחום תמיכה ב'!$S$31:$S$500,"=1"),0))</f>
        <v/>
      </c>
      <c r="M475" s="213" t="str">
        <f t="shared" si="29"/>
        <v/>
      </c>
      <c r="N475" s="227" t="str">
        <f t="shared" si="30"/>
        <v/>
      </c>
      <c r="O475" s="213" t="str">
        <f t="shared" si="31"/>
        <v/>
      </c>
    </row>
    <row r="476" spans="1:15" ht="15.75" x14ac:dyDescent="0.2">
      <c r="A476" s="206" t="str">
        <f t="shared" si="28"/>
        <v/>
      </c>
      <c r="B476" s="88" t="str">
        <f>IF($F476="","",'הזנה לתנאי סף'!C476)</f>
        <v/>
      </c>
      <c r="C476" s="88" t="str">
        <f>IF($F476="","",'הזנה לתנאי סף'!D476)</f>
        <v/>
      </c>
      <c r="D476" s="88" t="str">
        <f>IF($F476="","",'הזנה לתנאי סף'!E476)</f>
        <v/>
      </c>
      <c r="E476" s="88" t="str">
        <f>IF($F476="","",'הזנה לתנאי סף'!F476)</f>
        <v/>
      </c>
      <c r="F476" s="88" t="str">
        <f>IF(OR('הזנה לתנאי סף'!G476="",'הזנה לתנאי סף'!BL476&lt;&gt;1,'הזנה לתנאי סף'!Q476&lt;&gt;1,'הזנה לתנאי סף'!N476&lt;&gt;1),"",'הזנה לתנאי סף'!G476)</f>
        <v/>
      </c>
      <c r="G476" s="88" t="str">
        <f>IF($F476="","",'הזנה לתנאי סף'!H476)</f>
        <v/>
      </c>
      <c r="H476" s="88" t="str">
        <f>IF($F476="","",'הזנה לתנאי סף'!I476)</f>
        <v/>
      </c>
      <c r="I476" s="88" t="str">
        <f>IF($F476="","",IF(AND('הזנה לתנאי סף'!N476=0,J476&gt;0),$Q$2,'הזנה לתנאי סף'!N476))</f>
        <v/>
      </c>
      <c r="J476" s="213" t="str">
        <f>IF($F476="","",INDEX('גיליון עזר לתחום תמיכה ג'!$H$31:$H$330,MATCH(E476,'גיליון עזר לתחום תמיכה ג'!$C$31:$C$330,0)))</f>
        <v/>
      </c>
      <c r="K476" s="213" t="str">
        <f>IF(OR(F476="",J476=""),"",IF(AND(J476&gt;0,I476=1),J476*'פרמטרים לקריטריונים'!$C$64,$Q$2))</f>
        <v/>
      </c>
      <c r="L476" s="227" t="str">
        <f>IF(OR(F476="",J476=""),"",IF(J476&gt;0,'תחום תמיכה ב'!AC476/SUMIFS('תחום תמיכה ב'!$AC$31:$AC$500,'תחום תמיכה ב'!$E$31:$E$500,E476,'תחום תמיכה ב'!$S$31:$S$500,"=1"),0))</f>
        <v/>
      </c>
      <c r="M476" s="213" t="str">
        <f t="shared" si="29"/>
        <v/>
      </c>
      <c r="N476" s="227" t="str">
        <f t="shared" si="30"/>
        <v/>
      </c>
      <c r="O476" s="213" t="str">
        <f t="shared" si="31"/>
        <v/>
      </c>
    </row>
    <row r="477" spans="1:15" ht="15.75" x14ac:dyDescent="0.2">
      <c r="A477" s="206" t="str">
        <f t="shared" si="28"/>
        <v/>
      </c>
      <c r="B477" s="88" t="str">
        <f>IF($F477="","",'הזנה לתנאי סף'!C477)</f>
        <v/>
      </c>
      <c r="C477" s="88" t="str">
        <f>IF($F477="","",'הזנה לתנאי סף'!D477)</f>
        <v/>
      </c>
      <c r="D477" s="88" t="str">
        <f>IF($F477="","",'הזנה לתנאי סף'!E477)</f>
        <v/>
      </c>
      <c r="E477" s="88" t="str">
        <f>IF($F477="","",'הזנה לתנאי סף'!F477)</f>
        <v/>
      </c>
      <c r="F477" s="88" t="str">
        <f>IF(OR('הזנה לתנאי סף'!G477="",'הזנה לתנאי סף'!BL477&lt;&gt;1,'הזנה לתנאי סף'!Q477&lt;&gt;1,'הזנה לתנאי סף'!N477&lt;&gt;1),"",'הזנה לתנאי סף'!G477)</f>
        <v/>
      </c>
      <c r="G477" s="88" t="str">
        <f>IF($F477="","",'הזנה לתנאי סף'!H477)</f>
        <v/>
      </c>
      <c r="H477" s="88" t="str">
        <f>IF($F477="","",'הזנה לתנאי סף'!I477)</f>
        <v/>
      </c>
      <c r="I477" s="88" t="str">
        <f>IF($F477="","",IF(AND('הזנה לתנאי סף'!N477=0,J477&gt;0),$Q$2,'הזנה לתנאי סף'!N477))</f>
        <v/>
      </c>
      <c r="J477" s="213" t="str">
        <f>IF($F477="","",INDEX('גיליון עזר לתחום תמיכה ג'!$H$31:$H$330,MATCH(E477,'גיליון עזר לתחום תמיכה ג'!$C$31:$C$330,0)))</f>
        <v/>
      </c>
      <c r="K477" s="213" t="str">
        <f>IF(OR(F477="",J477=""),"",IF(AND(J477&gt;0,I477=1),J477*'פרמטרים לקריטריונים'!$C$64,$Q$2))</f>
        <v/>
      </c>
      <c r="L477" s="227" t="str">
        <f>IF(OR(F477="",J477=""),"",IF(J477&gt;0,'תחום תמיכה ב'!AC477/SUMIFS('תחום תמיכה ב'!$AC$31:$AC$500,'תחום תמיכה ב'!$E$31:$E$500,E477,'תחום תמיכה ב'!$S$31:$S$500,"=1"),0))</f>
        <v/>
      </c>
      <c r="M477" s="213" t="str">
        <f t="shared" si="29"/>
        <v/>
      </c>
      <c r="N477" s="227" t="str">
        <f t="shared" si="30"/>
        <v/>
      </c>
      <c r="O477" s="213" t="str">
        <f t="shared" si="31"/>
        <v/>
      </c>
    </row>
    <row r="478" spans="1:15" ht="15.75" x14ac:dyDescent="0.2">
      <c r="A478" s="206" t="str">
        <f t="shared" si="28"/>
        <v/>
      </c>
      <c r="B478" s="88" t="str">
        <f>IF($F478="","",'הזנה לתנאי סף'!C478)</f>
        <v/>
      </c>
      <c r="C478" s="88" t="str">
        <f>IF($F478="","",'הזנה לתנאי סף'!D478)</f>
        <v/>
      </c>
      <c r="D478" s="88" t="str">
        <f>IF($F478="","",'הזנה לתנאי סף'!E478)</f>
        <v/>
      </c>
      <c r="E478" s="88" t="str">
        <f>IF($F478="","",'הזנה לתנאי סף'!F478)</f>
        <v/>
      </c>
      <c r="F478" s="88" t="str">
        <f>IF(OR('הזנה לתנאי סף'!G478="",'הזנה לתנאי סף'!BL478&lt;&gt;1,'הזנה לתנאי סף'!Q478&lt;&gt;1,'הזנה לתנאי סף'!N478&lt;&gt;1),"",'הזנה לתנאי סף'!G478)</f>
        <v/>
      </c>
      <c r="G478" s="88" t="str">
        <f>IF($F478="","",'הזנה לתנאי סף'!H478)</f>
        <v/>
      </c>
      <c r="H478" s="88" t="str">
        <f>IF($F478="","",'הזנה לתנאי סף'!I478)</f>
        <v/>
      </c>
      <c r="I478" s="88" t="str">
        <f>IF($F478="","",IF(AND('הזנה לתנאי סף'!N478=0,J478&gt;0),$Q$2,'הזנה לתנאי סף'!N478))</f>
        <v/>
      </c>
      <c r="J478" s="213" t="str">
        <f>IF($F478="","",INDEX('גיליון עזר לתחום תמיכה ג'!$H$31:$H$330,MATCH(E478,'גיליון עזר לתחום תמיכה ג'!$C$31:$C$330,0)))</f>
        <v/>
      </c>
      <c r="K478" s="213" t="str">
        <f>IF(OR(F478="",J478=""),"",IF(AND(J478&gt;0,I478=1),J478*'פרמטרים לקריטריונים'!$C$64,$Q$2))</f>
        <v/>
      </c>
      <c r="L478" s="227" t="str">
        <f>IF(OR(F478="",J478=""),"",IF(J478&gt;0,'תחום תמיכה ב'!AC478/SUMIFS('תחום תמיכה ב'!$AC$31:$AC$500,'תחום תמיכה ב'!$E$31:$E$500,E478,'תחום תמיכה ב'!$S$31:$S$500,"=1"),0))</f>
        <v/>
      </c>
      <c r="M478" s="213" t="str">
        <f t="shared" si="29"/>
        <v/>
      </c>
      <c r="N478" s="227" t="str">
        <f t="shared" si="30"/>
        <v/>
      </c>
      <c r="O478" s="213" t="str">
        <f t="shared" si="31"/>
        <v/>
      </c>
    </row>
    <row r="479" spans="1:15" ht="15.75" x14ac:dyDescent="0.2">
      <c r="A479" s="206" t="str">
        <f t="shared" si="28"/>
        <v/>
      </c>
      <c r="B479" s="88" t="str">
        <f>IF($F479="","",'הזנה לתנאי סף'!C479)</f>
        <v/>
      </c>
      <c r="C479" s="88" t="str">
        <f>IF($F479="","",'הזנה לתנאי סף'!D479)</f>
        <v/>
      </c>
      <c r="D479" s="88" t="str">
        <f>IF($F479="","",'הזנה לתנאי סף'!E479)</f>
        <v/>
      </c>
      <c r="E479" s="88" t="str">
        <f>IF($F479="","",'הזנה לתנאי סף'!F479)</f>
        <v/>
      </c>
      <c r="F479" s="88" t="str">
        <f>IF(OR('הזנה לתנאי סף'!G479="",'הזנה לתנאי סף'!BL479&lt;&gt;1,'הזנה לתנאי סף'!Q479&lt;&gt;1,'הזנה לתנאי סף'!N479&lt;&gt;1),"",'הזנה לתנאי סף'!G479)</f>
        <v/>
      </c>
      <c r="G479" s="88" t="str">
        <f>IF($F479="","",'הזנה לתנאי סף'!H479)</f>
        <v/>
      </c>
      <c r="H479" s="88" t="str">
        <f>IF($F479="","",'הזנה לתנאי סף'!I479)</f>
        <v/>
      </c>
      <c r="I479" s="88" t="str">
        <f>IF($F479="","",IF(AND('הזנה לתנאי סף'!N479=0,J479&gt;0),$Q$2,'הזנה לתנאי סף'!N479))</f>
        <v/>
      </c>
      <c r="J479" s="213" t="str">
        <f>IF($F479="","",INDEX('גיליון עזר לתחום תמיכה ג'!$H$31:$H$330,MATCH(E479,'גיליון עזר לתחום תמיכה ג'!$C$31:$C$330,0)))</f>
        <v/>
      </c>
      <c r="K479" s="213" t="str">
        <f>IF(OR(F479="",J479=""),"",IF(AND(J479&gt;0,I479=1),J479*'פרמטרים לקריטריונים'!$C$64,$Q$2))</f>
        <v/>
      </c>
      <c r="L479" s="227" t="str">
        <f>IF(OR(F479="",J479=""),"",IF(J479&gt;0,'תחום תמיכה ב'!AC479/SUMIFS('תחום תמיכה ב'!$AC$31:$AC$500,'תחום תמיכה ב'!$E$31:$E$500,E479,'תחום תמיכה ב'!$S$31:$S$500,"=1"),0))</f>
        <v/>
      </c>
      <c r="M479" s="213" t="str">
        <f t="shared" si="29"/>
        <v/>
      </c>
      <c r="N479" s="227" t="str">
        <f t="shared" si="30"/>
        <v/>
      </c>
      <c r="O479" s="213" t="str">
        <f t="shared" si="31"/>
        <v/>
      </c>
    </row>
    <row r="480" spans="1:15" ht="15.75" x14ac:dyDescent="0.2">
      <c r="A480" s="206" t="str">
        <f t="shared" si="28"/>
        <v/>
      </c>
      <c r="B480" s="88" t="str">
        <f>IF($F480="","",'הזנה לתנאי סף'!C480)</f>
        <v/>
      </c>
      <c r="C480" s="88" t="str">
        <f>IF($F480="","",'הזנה לתנאי סף'!D480)</f>
        <v/>
      </c>
      <c r="D480" s="88" t="str">
        <f>IF($F480="","",'הזנה לתנאי סף'!E480)</f>
        <v/>
      </c>
      <c r="E480" s="88" t="str">
        <f>IF($F480="","",'הזנה לתנאי סף'!F480)</f>
        <v/>
      </c>
      <c r="F480" s="88" t="str">
        <f>IF(OR('הזנה לתנאי סף'!G480="",'הזנה לתנאי סף'!BL480&lt;&gt;1,'הזנה לתנאי סף'!Q480&lt;&gt;1,'הזנה לתנאי סף'!N480&lt;&gt;1),"",'הזנה לתנאי סף'!G480)</f>
        <v/>
      </c>
      <c r="G480" s="88" t="str">
        <f>IF($F480="","",'הזנה לתנאי סף'!H480)</f>
        <v/>
      </c>
      <c r="H480" s="88" t="str">
        <f>IF($F480="","",'הזנה לתנאי סף'!I480)</f>
        <v/>
      </c>
      <c r="I480" s="88" t="str">
        <f>IF($F480="","",IF(AND('הזנה לתנאי סף'!N480=0,J480&gt;0),$Q$2,'הזנה לתנאי סף'!N480))</f>
        <v/>
      </c>
      <c r="J480" s="213" t="str">
        <f>IF($F480="","",INDEX('גיליון עזר לתחום תמיכה ג'!$H$31:$H$330,MATCH(E480,'גיליון עזר לתחום תמיכה ג'!$C$31:$C$330,0)))</f>
        <v/>
      </c>
      <c r="K480" s="213" t="str">
        <f>IF(OR(F480="",J480=""),"",IF(AND(J480&gt;0,I480=1),J480*'פרמטרים לקריטריונים'!$C$64,$Q$2))</f>
        <v/>
      </c>
      <c r="L480" s="227" t="str">
        <f>IF(OR(F480="",J480=""),"",IF(J480&gt;0,'תחום תמיכה ב'!AC480/SUMIFS('תחום תמיכה ב'!$AC$31:$AC$500,'תחום תמיכה ב'!$E$31:$E$500,E480,'תחום תמיכה ב'!$S$31:$S$500,"=1"),0))</f>
        <v/>
      </c>
      <c r="M480" s="213" t="str">
        <f t="shared" si="29"/>
        <v/>
      </c>
      <c r="N480" s="227" t="str">
        <f t="shared" si="30"/>
        <v/>
      </c>
      <c r="O480" s="213" t="str">
        <f t="shared" si="31"/>
        <v/>
      </c>
    </row>
    <row r="481" spans="1:15" ht="15.75" x14ac:dyDescent="0.2">
      <c r="A481" s="206" t="str">
        <f t="shared" si="28"/>
        <v/>
      </c>
      <c r="B481" s="88" t="str">
        <f>IF($F481="","",'הזנה לתנאי סף'!C481)</f>
        <v/>
      </c>
      <c r="C481" s="88" t="str">
        <f>IF($F481="","",'הזנה לתנאי סף'!D481)</f>
        <v/>
      </c>
      <c r="D481" s="88" t="str">
        <f>IF($F481="","",'הזנה לתנאי סף'!E481)</f>
        <v/>
      </c>
      <c r="E481" s="88" t="str">
        <f>IF($F481="","",'הזנה לתנאי סף'!F481)</f>
        <v/>
      </c>
      <c r="F481" s="88" t="str">
        <f>IF(OR('הזנה לתנאי סף'!G481="",'הזנה לתנאי סף'!BL481&lt;&gt;1,'הזנה לתנאי סף'!Q481&lt;&gt;1,'הזנה לתנאי סף'!N481&lt;&gt;1),"",'הזנה לתנאי סף'!G481)</f>
        <v/>
      </c>
      <c r="G481" s="88" t="str">
        <f>IF($F481="","",'הזנה לתנאי סף'!H481)</f>
        <v/>
      </c>
      <c r="H481" s="88" t="str">
        <f>IF($F481="","",'הזנה לתנאי סף'!I481)</f>
        <v/>
      </c>
      <c r="I481" s="88" t="str">
        <f>IF($F481="","",IF(AND('הזנה לתנאי סף'!N481=0,J481&gt;0),$Q$2,'הזנה לתנאי סף'!N481))</f>
        <v/>
      </c>
      <c r="J481" s="213" t="str">
        <f>IF($F481="","",INDEX('גיליון עזר לתחום תמיכה ג'!$H$31:$H$330,MATCH(E481,'גיליון עזר לתחום תמיכה ג'!$C$31:$C$330,0)))</f>
        <v/>
      </c>
      <c r="K481" s="213" t="str">
        <f>IF(OR(F481="",J481=""),"",IF(AND(J481&gt;0,I481=1),J481*'פרמטרים לקריטריונים'!$C$64,$Q$2))</f>
        <v/>
      </c>
      <c r="L481" s="227" t="str">
        <f>IF(OR(F481="",J481=""),"",IF(J481&gt;0,'תחום תמיכה ב'!AC481/SUMIFS('תחום תמיכה ב'!$AC$31:$AC$500,'תחום תמיכה ב'!$E$31:$E$500,E481,'תחום תמיכה ב'!$S$31:$S$500,"=1"),0))</f>
        <v/>
      </c>
      <c r="M481" s="213" t="str">
        <f t="shared" si="29"/>
        <v/>
      </c>
      <c r="N481" s="227" t="str">
        <f t="shared" si="30"/>
        <v/>
      </c>
      <c r="O481" s="213" t="str">
        <f t="shared" si="31"/>
        <v/>
      </c>
    </row>
    <row r="482" spans="1:15" ht="15.75" x14ac:dyDescent="0.2">
      <c r="A482" s="206" t="str">
        <f t="shared" si="28"/>
        <v/>
      </c>
      <c r="B482" s="88" t="str">
        <f>IF($F482="","",'הזנה לתנאי סף'!C482)</f>
        <v/>
      </c>
      <c r="C482" s="88" t="str">
        <f>IF($F482="","",'הזנה לתנאי סף'!D482)</f>
        <v/>
      </c>
      <c r="D482" s="88" t="str">
        <f>IF($F482="","",'הזנה לתנאי סף'!E482)</f>
        <v/>
      </c>
      <c r="E482" s="88" t="str">
        <f>IF($F482="","",'הזנה לתנאי סף'!F482)</f>
        <v/>
      </c>
      <c r="F482" s="88" t="str">
        <f>IF(OR('הזנה לתנאי סף'!G482="",'הזנה לתנאי סף'!BL482&lt;&gt;1,'הזנה לתנאי סף'!Q482&lt;&gt;1,'הזנה לתנאי סף'!N482&lt;&gt;1),"",'הזנה לתנאי סף'!G482)</f>
        <v/>
      </c>
      <c r="G482" s="88" t="str">
        <f>IF($F482="","",'הזנה לתנאי סף'!H482)</f>
        <v/>
      </c>
      <c r="H482" s="88" t="str">
        <f>IF($F482="","",'הזנה לתנאי סף'!I482)</f>
        <v/>
      </c>
      <c r="I482" s="88" t="str">
        <f>IF($F482="","",IF(AND('הזנה לתנאי סף'!N482=0,J482&gt;0),$Q$2,'הזנה לתנאי סף'!N482))</f>
        <v/>
      </c>
      <c r="J482" s="213" t="str">
        <f>IF($F482="","",INDEX('גיליון עזר לתחום תמיכה ג'!$H$31:$H$330,MATCH(E482,'גיליון עזר לתחום תמיכה ג'!$C$31:$C$330,0)))</f>
        <v/>
      </c>
      <c r="K482" s="213" t="str">
        <f>IF(OR(F482="",J482=""),"",IF(AND(J482&gt;0,I482=1),J482*'פרמטרים לקריטריונים'!$C$64,$Q$2))</f>
        <v/>
      </c>
      <c r="L482" s="227" t="str">
        <f>IF(OR(F482="",J482=""),"",IF(J482&gt;0,'תחום תמיכה ב'!AC482/SUMIFS('תחום תמיכה ב'!$AC$31:$AC$500,'תחום תמיכה ב'!$E$31:$E$500,E482,'תחום תמיכה ב'!$S$31:$S$500,"=1"),0))</f>
        <v/>
      </c>
      <c r="M482" s="213" t="str">
        <f t="shared" si="29"/>
        <v/>
      </c>
      <c r="N482" s="227" t="str">
        <f t="shared" si="30"/>
        <v/>
      </c>
      <c r="O482" s="213" t="str">
        <f t="shared" si="31"/>
        <v/>
      </c>
    </row>
    <row r="483" spans="1:15" ht="15.75" x14ac:dyDescent="0.2">
      <c r="A483" s="206" t="str">
        <f t="shared" si="28"/>
        <v/>
      </c>
      <c r="B483" s="88" t="str">
        <f>IF($F483="","",'הזנה לתנאי סף'!C483)</f>
        <v/>
      </c>
      <c r="C483" s="88" t="str">
        <f>IF($F483="","",'הזנה לתנאי סף'!D483)</f>
        <v/>
      </c>
      <c r="D483" s="88" t="str">
        <f>IF($F483="","",'הזנה לתנאי סף'!E483)</f>
        <v/>
      </c>
      <c r="E483" s="88" t="str">
        <f>IF($F483="","",'הזנה לתנאי סף'!F483)</f>
        <v/>
      </c>
      <c r="F483" s="88" t="str">
        <f>IF(OR('הזנה לתנאי סף'!G483="",'הזנה לתנאי סף'!BL483&lt;&gt;1,'הזנה לתנאי סף'!Q483&lt;&gt;1,'הזנה לתנאי סף'!N483&lt;&gt;1),"",'הזנה לתנאי סף'!G483)</f>
        <v/>
      </c>
      <c r="G483" s="88" t="str">
        <f>IF($F483="","",'הזנה לתנאי סף'!H483)</f>
        <v/>
      </c>
      <c r="H483" s="88" t="str">
        <f>IF($F483="","",'הזנה לתנאי סף'!I483)</f>
        <v/>
      </c>
      <c r="I483" s="88" t="str">
        <f>IF($F483="","",IF(AND('הזנה לתנאי סף'!N483=0,J483&gt;0),$Q$2,'הזנה לתנאי סף'!N483))</f>
        <v/>
      </c>
      <c r="J483" s="213" t="str">
        <f>IF($F483="","",INDEX('גיליון עזר לתחום תמיכה ג'!$H$31:$H$330,MATCH(E483,'גיליון עזר לתחום תמיכה ג'!$C$31:$C$330,0)))</f>
        <v/>
      </c>
      <c r="K483" s="213" t="str">
        <f>IF(OR(F483="",J483=""),"",IF(AND(J483&gt;0,I483=1),J483*'פרמטרים לקריטריונים'!$C$64,$Q$2))</f>
        <v/>
      </c>
      <c r="L483" s="227" t="str">
        <f>IF(OR(F483="",J483=""),"",IF(J483&gt;0,'תחום תמיכה ב'!AC483/SUMIFS('תחום תמיכה ב'!$AC$31:$AC$500,'תחום תמיכה ב'!$E$31:$E$500,E483,'תחום תמיכה ב'!$S$31:$S$500,"=1"),0))</f>
        <v/>
      </c>
      <c r="M483" s="213" t="str">
        <f t="shared" si="29"/>
        <v/>
      </c>
      <c r="N483" s="227" t="str">
        <f t="shared" si="30"/>
        <v/>
      </c>
      <c r="O483" s="213" t="str">
        <f t="shared" si="31"/>
        <v/>
      </c>
    </row>
    <row r="484" spans="1:15" ht="15.75" x14ac:dyDescent="0.2">
      <c r="A484" s="206" t="str">
        <f t="shared" si="28"/>
        <v/>
      </c>
      <c r="B484" s="88" t="str">
        <f>IF($F484="","",'הזנה לתנאי סף'!C484)</f>
        <v/>
      </c>
      <c r="C484" s="88" t="str">
        <f>IF($F484="","",'הזנה לתנאי סף'!D484)</f>
        <v/>
      </c>
      <c r="D484" s="88" t="str">
        <f>IF($F484="","",'הזנה לתנאי סף'!E484)</f>
        <v/>
      </c>
      <c r="E484" s="88" t="str">
        <f>IF($F484="","",'הזנה לתנאי סף'!F484)</f>
        <v/>
      </c>
      <c r="F484" s="88" t="str">
        <f>IF(OR('הזנה לתנאי סף'!G484="",'הזנה לתנאי סף'!BL484&lt;&gt;1,'הזנה לתנאי סף'!Q484&lt;&gt;1,'הזנה לתנאי סף'!N484&lt;&gt;1),"",'הזנה לתנאי סף'!G484)</f>
        <v/>
      </c>
      <c r="G484" s="88" t="str">
        <f>IF($F484="","",'הזנה לתנאי סף'!H484)</f>
        <v/>
      </c>
      <c r="H484" s="88" t="str">
        <f>IF($F484="","",'הזנה לתנאי סף'!I484)</f>
        <v/>
      </c>
      <c r="I484" s="88" t="str">
        <f>IF($F484="","",IF(AND('הזנה לתנאי סף'!N484=0,J484&gt;0),$Q$2,'הזנה לתנאי סף'!N484))</f>
        <v/>
      </c>
      <c r="J484" s="213" t="str">
        <f>IF($F484="","",INDEX('גיליון עזר לתחום תמיכה ג'!$H$31:$H$330,MATCH(E484,'גיליון עזר לתחום תמיכה ג'!$C$31:$C$330,0)))</f>
        <v/>
      </c>
      <c r="K484" s="213" t="str">
        <f>IF(OR(F484="",J484=""),"",IF(AND(J484&gt;0,I484=1),J484*'פרמטרים לקריטריונים'!$C$64,$Q$2))</f>
        <v/>
      </c>
      <c r="L484" s="227" t="str">
        <f>IF(OR(F484="",J484=""),"",IF(J484&gt;0,'תחום תמיכה ב'!AC484/SUMIFS('תחום תמיכה ב'!$AC$31:$AC$500,'תחום תמיכה ב'!$E$31:$E$500,E484,'תחום תמיכה ב'!$S$31:$S$500,"=1"),0))</f>
        <v/>
      </c>
      <c r="M484" s="213" t="str">
        <f t="shared" si="29"/>
        <v/>
      </c>
      <c r="N484" s="227" t="str">
        <f t="shared" si="30"/>
        <v/>
      </c>
      <c r="O484" s="213" t="str">
        <f t="shared" si="31"/>
        <v/>
      </c>
    </row>
    <row r="485" spans="1:15" ht="15.75" x14ac:dyDescent="0.2">
      <c r="A485" s="206" t="str">
        <f t="shared" si="28"/>
        <v/>
      </c>
      <c r="B485" s="88" t="str">
        <f>IF($F485="","",'הזנה לתנאי סף'!C485)</f>
        <v/>
      </c>
      <c r="C485" s="88" t="str">
        <f>IF($F485="","",'הזנה לתנאי סף'!D485)</f>
        <v/>
      </c>
      <c r="D485" s="88" t="str">
        <f>IF($F485="","",'הזנה לתנאי סף'!E485)</f>
        <v/>
      </c>
      <c r="E485" s="88" t="str">
        <f>IF($F485="","",'הזנה לתנאי סף'!F485)</f>
        <v/>
      </c>
      <c r="F485" s="88" t="str">
        <f>IF(OR('הזנה לתנאי סף'!G485="",'הזנה לתנאי סף'!BL485&lt;&gt;1,'הזנה לתנאי סף'!Q485&lt;&gt;1,'הזנה לתנאי סף'!N485&lt;&gt;1),"",'הזנה לתנאי סף'!G485)</f>
        <v/>
      </c>
      <c r="G485" s="88" t="str">
        <f>IF($F485="","",'הזנה לתנאי סף'!H485)</f>
        <v/>
      </c>
      <c r="H485" s="88" t="str">
        <f>IF($F485="","",'הזנה לתנאי סף'!I485)</f>
        <v/>
      </c>
      <c r="I485" s="88" t="str">
        <f>IF($F485="","",IF(AND('הזנה לתנאי סף'!N485=0,J485&gt;0),$Q$2,'הזנה לתנאי סף'!N485))</f>
        <v/>
      </c>
      <c r="J485" s="213" t="str">
        <f>IF($F485="","",INDEX('גיליון עזר לתחום תמיכה ג'!$H$31:$H$330,MATCH(E485,'גיליון עזר לתחום תמיכה ג'!$C$31:$C$330,0)))</f>
        <v/>
      </c>
      <c r="K485" s="213" t="str">
        <f>IF(OR(F485="",J485=""),"",IF(AND(J485&gt;0,I485=1),J485*'פרמטרים לקריטריונים'!$C$64,$Q$2))</f>
        <v/>
      </c>
      <c r="L485" s="227" t="str">
        <f>IF(OR(F485="",J485=""),"",IF(J485&gt;0,'תחום תמיכה ב'!AC485/SUMIFS('תחום תמיכה ב'!$AC$31:$AC$500,'תחום תמיכה ב'!$E$31:$E$500,E485,'תחום תמיכה ב'!$S$31:$S$500,"=1"),0))</f>
        <v/>
      </c>
      <c r="M485" s="213" t="str">
        <f t="shared" si="29"/>
        <v/>
      </c>
      <c r="N485" s="227" t="str">
        <f t="shared" si="30"/>
        <v/>
      </c>
      <c r="O485" s="213" t="str">
        <f t="shared" si="31"/>
        <v/>
      </c>
    </row>
    <row r="486" spans="1:15" ht="15.75" x14ac:dyDescent="0.2">
      <c r="A486" s="206" t="str">
        <f t="shared" si="28"/>
        <v/>
      </c>
      <c r="B486" s="88" t="str">
        <f>IF($F486="","",'הזנה לתנאי סף'!C486)</f>
        <v/>
      </c>
      <c r="C486" s="88" t="str">
        <f>IF($F486="","",'הזנה לתנאי סף'!D486)</f>
        <v/>
      </c>
      <c r="D486" s="88" t="str">
        <f>IF($F486="","",'הזנה לתנאי סף'!E486)</f>
        <v/>
      </c>
      <c r="E486" s="88" t="str">
        <f>IF($F486="","",'הזנה לתנאי סף'!F486)</f>
        <v/>
      </c>
      <c r="F486" s="88" t="str">
        <f>IF(OR('הזנה לתנאי סף'!G486="",'הזנה לתנאי סף'!BL486&lt;&gt;1,'הזנה לתנאי סף'!Q486&lt;&gt;1,'הזנה לתנאי סף'!N486&lt;&gt;1),"",'הזנה לתנאי סף'!G486)</f>
        <v/>
      </c>
      <c r="G486" s="88" t="str">
        <f>IF($F486="","",'הזנה לתנאי סף'!H486)</f>
        <v/>
      </c>
      <c r="H486" s="88" t="str">
        <f>IF($F486="","",'הזנה לתנאי סף'!I486)</f>
        <v/>
      </c>
      <c r="I486" s="88" t="str">
        <f>IF($F486="","",IF(AND('הזנה לתנאי סף'!N486=0,J486&gt;0),$Q$2,'הזנה לתנאי סף'!N486))</f>
        <v/>
      </c>
      <c r="J486" s="213" t="str">
        <f>IF($F486="","",INDEX('גיליון עזר לתחום תמיכה ג'!$H$31:$H$330,MATCH(E486,'גיליון עזר לתחום תמיכה ג'!$C$31:$C$330,0)))</f>
        <v/>
      </c>
      <c r="K486" s="213" t="str">
        <f>IF(OR(F486="",J486=""),"",IF(AND(J486&gt;0,I486=1),J486*'פרמטרים לקריטריונים'!$C$64,$Q$2))</f>
        <v/>
      </c>
      <c r="L486" s="227" t="str">
        <f>IF(OR(F486="",J486=""),"",IF(J486&gt;0,'תחום תמיכה ב'!AC486/SUMIFS('תחום תמיכה ב'!$AC$31:$AC$500,'תחום תמיכה ב'!$E$31:$E$500,E486,'תחום תמיכה ב'!$S$31:$S$500,"=1"),0))</f>
        <v/>
      </c>
      <c r="M486" s="213" t="str">
        <f t="shared" si="29"/>
        <v/>
      </c>
      <c r="N486" s="227" t="str">
        <f t="shared" si="30"/>
        <v/>
      </c>
      <c r="O486" s="213" t="str">
        <f t="shared" si="31"/>
        <v/>
      </c>
    </row>
    <row r="487" spans="1:15" ht="15.75" x14ac:dyDescent="0.2">
      <c r="A487" s="206" t="str">
        <f t="shared" si="28"/>
        <v/>
      </c>
      <c r="B487" s="88" t="str">
        <f>IF($F487="","",'הזנה לתנאי סף'!C487)</f>
        <v/>
      </c>
      <c r="C487" s="88" t="str">
        <f>IF($F487="","",'הזנה לתנאי סף'!D487)</f>
        <v/>
      </c>
      <c r="D487" s="88" t="str">
        <f>IF($F487="","",'הזנה לתנאי סף'!E487)</f>
        <v/>
      </c>
      <c r="E487" s="88" t="str">
        <f>IF($F487="","",'הזנה לתנאי סף'!F487)</f>
        <v/>
      </c>
      <c r="F487" s="88" t="str">
        <f>IF(OR('הזנה לתנאי סף'!G487="",'הזנה לתנאי סף'!BL487&lt;&gt;1,'הזנה לתנאי סף'!Q487&lt;&gt;1,'הזנה לתנאי סף'!N487&lt;&gt;1),"",'הזנה לתנאי סף'!G487)</f>
        <v/>
      </c>
      <c r="G487" s="88" t="str">
        <f>IF($F487="","",'הזנה לתנאי סף'!H487)</f>
        <v/>
      </c>
      <c r="H487" s="88" t="str">
        <f>IF($F487="","",'הזנה לתנאי סף'!I487)</f>
        <v/>
      </c>
      <c r="I487" s="88" t="str">
        <f>IF($F487="","",IF(AND('הזנה לתנאי סף'!N487=0,J487&gt;0),$Q$2,'הזנה לתנאי סף'!N487))</f>
        <v/>
      </c>
      <c r="J487" s="213" t="str">
        <f>IF($F487="","",INDEX('גיליון עזר לתחום תמיכה ג'!$H$31:$H$330,MATCH(E487,'גיליון עזר לתחום תמיכה ג'!$C$31:$C$330,0)))</f>
        <v/>
      </c>
      <c r="K487" s="213" t="str">
        <f>IF(OR(F487="",J487=""),"",IF(AND(J487&gt;0,I487=1),J487*'פרמטרים לקריטריונים'!$C$64,$Q$2))</f>
        <v/>
      </c>
      <c r="L487" s="227" t="str">
        <f>IF(OR(F487="",J487=""),"",IF(J487&gt;0,'תחום תמיכה ב'!AC487/SUMIFS('תחום תמיכה ב'!$AC$31:$AC$500,'תחום תמיכה ב'!$E$31:$E$500,E487,'תחום תמיכה ב'!$S$31:$S$500,"=1"),0))</f>
        <v/>
      </c>
      <c r="M487" s="213" t="str">
        <f t="shared" si="29"/>
        <v/>
      </c>
      <c r="N487" s="227" t="str">
        <f t="shared" si="30"/>
        <v/>
      </c>
      <c r="O487" s="213" t="str">
        <f t="shared" si="31"/>
        <v/>
      </c>
    </row>
    <row r="488" spans="1:15" ht="15.75" x14ac:dyDescent="0.2">
      <c r="A488" s="206" t="str">
        <f t="shared" si="28"/>
        <v/>
      </c>
      <c r="B488" s="88" t="str">
        <f>IF($F488="","",'הזנה לתנאי סף'!C488)</f>
        <v/>
      </c>
      <c r="C488" s="88" t="str">
        <f>IF($F488="","",'הזנה לתנאי סף'!D488)</f>
        <v/>
      </c>
      <c r="D488" s="88" t="str">
        <f>IF($F488="","",'הזנה לתנאי סף'!E488)</f>
        <v/>
      </c>
      <c r="E488" s="88" t="str">
        <f>IF($F488="","",'הזנה לתנאי סף'!F488)</f>
        <v/>
      </c>
      <c r="F488" s="88" t="str">
        <f>IF(OR('הזנה לתנאי סף'!G488="",'הזנה לתנאי סף'!BL488&lt;&gt;1,'הזנה לתנאי סף'!Q488&lt;&gt;1,'הזנה לתנאי סף'!N488&lt;&gt;1),"",'הזנה לתנאי סף'!G488)</f>
        <v/>
      </c>
      <c r="G488" s="88" t="str">
        <f>IF($F488="","",'הזנה לתנאי סף'!H488)</f>
        <v/>
      </c>
      <c r="H488" s="88" t="str">
        <f>IF($F488="","",'הזנה לתנאי סף'!I488)</f>
        <v/>
      </c>
      <c r="I488" s="88" t="str">
        <f>IF($F488="","",IF(AND('הזנה לתנאי סף'!N488=0,J488&gt;0),$Q$2,'הזנה לתנאי סף'!N488))</f>
        <v/>
      </c>
      <c r="J488" s="213" t="str">
        <f>IF($F488="","",INDEX('גיליון עזר לתחום תמיכה ג'!$H$31:$H$330,MATCH(E488,'גיליון עזר לתחום תמיכה ג'!$C$31:$C$330,0)))</f>
        <v/>
      </c>
      <c r="K488" s="213" t="str">
        <f>IF(OR(F488="",J488=""),"",IF(AND(J488&gt;0,I488=1),J488*'פרמטרים לקריטריונים'!$C$64,$Q$2))</f>
        <v/>
      </c>
      <c r="L488" s="227" t="str">
        <f>IF(OR(F488="",J488=""),"",IF(J488&gt;0,'תחום תמיכה ב'!AC488/SUMIFS('תחום תמיכה ב'!$AC$31:$AC$500,'תחום תמיכה ב'!$E$31:$E$500,E488,'תחום תמיכה ב'!$S$31:$S$500,"=1"),0))</f>
        <v/>
      </c>
      <c r="M488" s="213" t="str">
        <f t="shared" si="29"/>
        <v/>
      </c>
      <c r="N488" s="227" t="str">
        <f t="shared" si="30"/>
        <v/>
      </c>
      <c r="O488" s="213" t="str">
        <f t="shared" si="31"/>
        <v/>
      </c>
    </row>
    <row r="489" spans="1:15" ht="15.75" x14ac:dyDescent="0.2">
      <c r="A489" s="206" t="str">
        <f t="shared" si="28"/>
        <v/>
      </c>
      <c r="B489" s="88" t="str">
        <f>IF($F489="","",'הזנה לתנאי סף'!C489)</f>
        <v/>
      </c>
      <c r="C489" s="88" t="str">
        <f>IF($F489="","",'הזנה לתנאי סף'!D489)</f>
        <v/>
      </c>
      <c r="D489" s="88" t="str">
        <f>IF($F489="","",'הזנה לתנאי סף'!E489)</f>
        <v/>
      </c>
      <c r="E489" s="88" t="str">
        <f>IF($F489="","",'הזנה לתנאי סף'!F489)</f>
        <v/>
      </c>
      <c r="F489" s="88" t="str">
        <f>IF(OR('הזנה לתנאי סף'!G489="",'הזנה לתנאי סף'!BL489&lt;&gt;1,'הזנה לתנאי סף'!Q489&lt;&gt;1,'הזנה לתנאי סף'!N489&lt;&gt;1),"",'הזנה לתנאי סף'!G489)</f>
        <v/>
      </c>
      <c r="G489" s="88" t="str">
        <f>IF($F489="","",'הזנה לתנאי סף'!H489)</f>
        <v/>
      </c>
      <c r="H489" s="88" t="str">
        <f>IF($F489="","",'הזנה לתנאי סף'!I489)</f>
        <v/>
      </c>
      <c r="I489" s="88" t="str">
        <f>IF($F489="","",IF(AND('הזנה לתנאי סף'!N489=0,J489&gt;0),$Q$2,'הזנה לתנאי סף'!N489))</f>
        <v/>
      </c>
      <c r="J489" s="213" t="str">
        <f>IF($F489="","",INDEX('גיליון עזר לתחום תמיכה ג'!$H$31:$H$330,MATCH(E489,'גיליון עזר לתחום תמיכה ג'!$C$31:$C$330,0)))</f>
        <v/>
      </c>
      <c r="K489" s="213" t="str">
        <f>IF(OR(F489="",J489=""),"",IF(AND(J489&gt;0,I489=1),J489*'פרמטרים לקריטריונים'!$C$64,$Q$2))</f>
        <v/>
      </c>
      <c r="L489" s="227" t="str">
        <f>IF(OR(F489="",J489=""),"",IF(J489&gt;0,'תחום תמיכה ב'!AC489/SUMIFS('תחום תמיכה ב'!$AC$31:$AC$500,'תחום תמיכה ב'!$E$31:$E$500,E489,'תחום תמיכה ב'!$S$31:$S$500,"=1"),0))</f>
        <v/>
      </c>
      <c r="M489" s="213" t="str">
        <f t="shared" si="29"/>
        <v/>
      </c>
      <c r="N489" s="227" t="str">
        <f t="shared" si="30"/>
        <v/>
      </c>
      <c r="O489" s="213" t="str">
        <f t="shared" si="31"/>
        <v/>
      </c>
    </row>
    <row r="490" spans="1:15" ht="15.75" x14ac:dyDescent="0.2">
      <c r="A490" s="206" t="str">
        <f t="shared" si="28"/>
        <v/>
      </c>
      <c r="B490" s="88" t="str">
        <f>IF($F490="","",'הזנה לתנאי סף'!C490)</f>
        <v/>
      </c>
      <c r="C490" s="88" t="str">
        <f>IF($F490="","",'הזנה לתנאי סף'!D490)</f>
        <v/>
      </c>
      <c r="D490" s="88" t="str">
        <f>IF($F490="","",'הזנה לתנאי סף'!E490)</f>
        <v/>
      </c>
      <c r="E490" s="88" t="str">
        <f>IF($F490="","",'הזנה לתנאי סף'!F490)</f>
        <v/>
      </c>
      <c r="F490" s="88" t="str">
        <f>IF(OR('הזנה לתנאי סף'!G490="",'הזנה לתנאי סף'!BL490&lt;&gt;1,'הזנה לתנאי סף'!Q490&lt;&gt;1,'הזנה לתנאי סף'!N490&lt;&gt;1),"",'הזנה לתנאי סף'!G490)</f>
        <v/>
      </c>
      <c r="G490" s="88" t="str">
        <f>IF($F490="","",'הזנה לתנאי סף'!H490)</f>
        <v/>
      </c>
      <c r="H490" s="88" t="str">
        <f>IF($F490="","",'הזנה לתנאי סף'!I490)</f>
        <v/>
      </c>
      <c r="I490" s="88" t="str">
        <f>IF($F490="","",IF(AND('הזנה לתנאי סף'!N490=0,J490&gt;0),$Q$2,'הזנה לתנאי סף'!N490))</f>
        <v/>
      </c>
      <c r="J490" s="213" t="str">
        <f>IF($F490="","",INDEX('גיליון עזר לתחום תמיכה ג'!$H$31:$H$330,MATCH(E490,'גיליון עזר לתחום תמיכה ג'!$C$31:$C$330,0)))</f>
        <v/>
      </c>
      <c r="K490" s="213" t="str">
        <f>IF(OR(F490="",J490=""),"",IF(AND(J490&gt;0,I490=1),J490*'פרמטרים לקריטריונים'!$C$64,$Q$2))</f>
        <v/>
      </c>
      <c r="L490" s="227" t="str">
        <f>IF(OR(F490="",J490=""),"",IF(J490&gt;0,'תחום תמיכה ב'!AC490/SUMIFS('תחום תמיכה ב'!$AC$31:$AC$500,'תחום תמיכה ב'!$E$31:$E$500,E490,'תחום תמיכה ב'!$S$31:$S$500,"=1"),0))</f>
        <v/>
      </c>
      <c r="M490" s="213" t="str">
        <f t="shared" si="29"/>
        <v/>
      </c>
      <c r="N490" s="227" t="str">
        <f t="shared" si="30"/>
        <v/>
      </c>
      <c r="O490" s="213" t="str">
        <f t="shared" si="31"/>
        <v/>
      </c>
    </row>
    <row r="491" spans="1:15" ht="15.75" x14ac:dyDescent="0.2">
      <c r="A491" s="206" t="str">
        <f t="shared" si="28"/>
        <v/>
      </c>
      <c r="B491" s="88" t="str">
        <f>IF($F491="","",'הזנה לתנאי סף'!C491)</f>
        <v/>
      </c>
      <c r="C491" s="88" t="str">
        <f>IF($F491="","",'הזנה לתנאי סף'!D491)</f>
        <v/>
      </c>
      <c r="D491" s="88" t="str">
        <f>IF($F491="","",'הזנה לתנאי סף'!E491)</f>
        <v/>
      </c>
      <c r="E491" s="88" t="str">
        <f>IF($F491="","",'הזנה לתנאי סף'!F491)</f>
        <v/>
      </c>
      <c r="F491" s="88" t="str">
        <f>IF(OR('הזנה לתנאי סף'!G491="",'הזנה לתנאי סף'!BL491&lt;&gt;1,'הזנה לתנאי סף'!Q491&lt;&gt;1,'הזנה לתנאי סף'!N491&lt;&gt;1),"",'הזנה לתנאי סף'!G491)</f>
        <v/>
      </c>
      <c r="G491" s="88" t="str">
        <f>IF($F491="","",'הזנה לתנאי סף'!H491)</f>
        <v/>
      </c>
      <c r="H491" s="88" t="str">
        <f>IF($F491="","",'הזנה לתנאי סף'!I491)</f>
        <v/>
      </c>
      <c r="I491" s="88" t="str">
        <f>IF($F491="","",IF(AND('הזנה לתנאי סף'!N491=0,J491&gt;0),$Q$2,'הזנה לתנאי סף'!N491))</f>
        <v/>
      </c>
      <c r="J491" s="213" t="str">
        <f>IF($F491="","",INDEX('גיליון עזר לתחום תמיכה ג'!$H$31:$H$330,MATCH(E491,'גיליון עזר לתחום תמיכה ג'!$C$31:$C$330,0)))</f>
        <v/>
      </c>
      <c r="K491" s="213" t="str">
        <f>IF(OR(F491="",J491=""),"",IF(AND(J491&gt;0,I491=1),J491*'פרמטרים לקריטריונים'!$C$64,$Q$2))</f>
        <v/>
      </c>
      <c r="L491" s="227" t="str">
        <f>IF(OR(F491="",J491=""),"",IF(J491&gt;0,'תחום תמיכה ב'!AC491/SUMIFS('תחום תמיכה ב'!$AC$31:$AC$500,'תחום תמיכה ב'!$E$31:$E$500,E491,'תחום תמיכה ב'!$S$31:$S$500,"=1"),0))</f>
        <v/>
      </c>
      <c r="M491" s="213" t="str">
        <f t="shared" si="29"/>
        <v/>
      </c>
      <c r="N491" s="227" t="str">
        <f t="shared" si="30"/>
        <v/>
      </c>
      <c r="O491" s="213" t="str">
        <f t="shared" si="31"/>
        <v/>
      </c>
    </row>
    <row r="492" spans="1:15" ht="15.75" x14ac:dyDescent="0.2">
      <c r="A492" s="206" t="str">
        <f t="shared" si="28"/>
        <v/>
      </c>
      <c r="B492" s="88" t="str">
        <f>IF($F492="","",'הזנה לתנאי סף'!C492)</f>
        <v/>
      </c>
      <c r="C492" s="88" t="str">
        <f>IF($F492="","",'הזנה לתנאי סף'!D492)</f>
        <v/>
      </c>
      <c r="D492" s="88" t="str">
        <f>IF($F492="","",'הזנה לתנאי סף'!E492)</f>
        <v/>
      </c>
      <c r="E492" s="88" t="str">
        <f>IF($F492="","",'הזנה לתנאי סף'!F492)</f>
        <v/>
      </c>
      <c r="F492" s="88" t="str">
        <f>IF(OR('הזנה לתנאי סף'!G492="",'הזנה לתנאי סף'!BL492&lt;&gt;1,'הזנה לתנאי סף'!Q492&lt;&gt;1,'הזנה לתנאי סף'!N492&lt;&gt;1),"",'הזנה לתנאי סף'!G492)</f>
        <v/>
      </c>
      <c r="G492" s="88" t="str">
        <f>IF($F492="","",'הזנה לתנאי סף'!H492)</f>
        <v/>
      </c>
      <c r="H492" s="88" t="str">
        <f>IF($F492="","",'הזנה לתנאי סף'!I492)</f>
        <v/>
      </c>
      <c r="I492" s="88" t="str">
        <f>IF($F492="","",IF(AND('הזנה לתנאי סף'!N492=0,J492&gt;0),$Q$2,'הזנה לתנאי סף'!N492))</f>
        <v/>
      </c>
      <c r="J492" s="213" t="str">
        <f>IF($F492="","",INDEX('גיליון עזר לתחום תמיכה ג'!$H$31:$H$330,MATCH(E492,'גיליון עזר לתחום תמיכה ג'!$C$31:$C$330,0)))</f>
        <v/>
      </c>
      <c r="K492" s="213" t="str">
        <f>IF(OR(F492="",J492=""),"",IF(AND(J492&gt;0,I492=1),J492*'פרמטרים לקריטריונים'!$C$64,$Q$2))</f>
        <v/>
      </c>
      <c r="L492" s="227" t="str">
        <f>IF(OR(F492="",J492=""),"",IF(J492&gt;0,'תחום תמיכה ב'!AC492/SUMIFS('תחום תמיכה ב'!$AC$31:$AC$500,'תחום תמיכה ב'!$E$31:$E$500,E492,'תחום תמיכה ב'!$S$31:$S$500,"=1"),0))</f>
        <v/>
      </c>
      <c r="M492" s="213" t="str">
        <f t="shared" si="29"/>
        <v/>
      </c>
      <c r="N492" s="227" t="str">
        <f t="shared" si="30"/>
        <v/>
      </c>
      <c r="O492" s="213" t="str">
        <f t="shared" si="31"/>
        <v/>
      </c>
    </row>
    <row r="493" spans="1:15" ht="15.75" x14ac:dyDescent="0.2">
      <c r="A493" s="206" t="str">
        <f t="shared" si="28"/>
        <v/>
      </c>
      <c r="B493" s="88" t="str">
        <f>IF($F493="","",'הזנה לתנאי סף'!C493)</f>
        <v/>
      </c>
      <c r="C493" s="88" t="str">
        <f>IF($F493="","",'הזנה לתנאי סף'!D493)</f>
        <v/>
      </c>
      <c r="D493" s="88" t="str">
        <f>IF($F493="","",'הזנה לתנאי סף'!E493)</f>
        <v/>
      </c>
      <c r="E493" s="88" t="str">
        <f>IF($F493="","",'הזנה לתנאי סף'!F493)</f>
        <v/>
      </c>
      <c r="F493" s="88" t="str">
        <f>IF(OR('הזנה לתנאי סף'!G493="",'הזנה לתנאי סף'!BL493&lt;&gt;1,'הזנה לתנאי סף'!Q493&lt;&gt;1,'הזנה לתנאי סף'!N493&lt;&gt;1),"",'הזנה לתנאי סף'!G493)</f>
        <v/>
      </c>
      <c r="G493" s="88" t="str">
        <f>IF($F493="","",'הזנה לתנאי סף'!H493)</f>
        <v/>
      </c>
      <c r="H493" s="88" t="str">
        <f>IF($F493="","",'הזנה לתנאי סף'!I493)</f>
        <v/>
      </c>
      <c r="I493" s="88" t="str">
        <f>IF($F493="","",IF(AND('הזנה לתנאי סף'!N493=0,J493&gt;0),$Q$2,'הזנה לתנאי סף'!N493))</f>
        <v/>
      </c>
      <c r="J493" s="213" t="str">
        <f>IF($F493="","",INDEX('גיליון עזר לתחום תמיכה ג'!$H$31:$H$330,MATCH(E493,'גיליון עזר לתחום תמיכה ג'!$C$31:$C$330,0)))</f>
        <v/>
      </c>
      <c r="K493" s="213" t="str">
        <f>IF(OR(F493="",J493=""),"",IF(AND(J493&gt;0,I493=1),J493*'פרמטרים לקריטריונים'!$C$64,$Q$2))</f>
        <v/>
      </c>
      <c r="L493" s="227" t="str">
        <f>IF(OR(F493="",J493=""),"",IF(J493&gt;0,'תחום תמיכה ב'!AC493/SUMIFS('תחום תמיכה ב'!$AC$31:$AC$500,'תחום תמיכה ב'!$E$31:$E$500,E493,'תחום תמיכה ב'!$S$31:$S$500,"=1"),0))</f>
        <v/>
      </c>
      <c r="M493" s="213" t="str">
        <f t="shared" si="29"/>
        <v/>
      </c>
      <c r="N493" s="227" t="str">
        <f t="shared" si="30"/>
        <v/>
      </c>
      <c r="O493" s="213" t="str">
        <f t="shared" si="31"/>
        <v/>
      </c>
    </row>
    <row r="494" spans="1:15" ht="15.75" x14ac:dyDescent="0.2">
      <c r="A494" s="206" t="str">
        <f t="shared" si="28"/>
        <v/>
      </c>
      <c r="B494" s="88" t="str">
        <f>IF($F494="","",'הזנה לתנאי סף'!C494)</f>
        <v/>
      </c>
      <c r="C494" s="88" t="str">
        <f>IF($F494="","",'הזנה לתנאי סף'!D494)</f>
        <v/>
      </c>
      <c r="D494" s="88" t="str">
        <f>IF($F494="","",'הזנה לתנאי סף'!E494)</f>
        <v/>
      </c>
      <c r="E494" s="88" t="str">
        <f>IF($F494="","",'הזנה לתנאי סף'!F494)</f>
        <v/>
      </c>
      <c r="F494" s="88" t="str">
        <f>IF(OR('הזנה לתנאי סף'!G494="",'הזנה לתנאי סף'!BL494&lt;&gt;1,'הזנה לתנאי סף'!Q494&lt;&gt;1,'הזנה לתנאי סף'!N494&lt;&gt;1),"",'הזנה לתנאי סף'!G494)</f>
        <v/>
      </c>
      <c r="G494" s="88" t="str">
        <f>IF($F494="","",'הזנה לתנאי סף'!H494)</f>
        <v/>
      </c>
      <c r="H494" s="88" t="str">
        <f>IF($F494="","",'הזנה לתנאי סף'!I494)</f>
        <v/>
      </c>
      <c r="I494" s="88" t="str">
        <f>IF($F494="","",IF(AND('הזנה לתנאי סף'!N494=0,J494&gt;0),$Q$2,'הזנה לתנאי סף'!N494))</f>
        <v/>
      </c>
      <c r="J494" s="213" t="str">
        <f>IF($F494="","",INDEX('גיליון עזר לתחום תמיכה ג'!$H$31:$H$330,MATCH(E494,'גיליון עזר לתחום תמיכה ג'!$C$31:$C$330,0)))</f>
        <v/>
      </c>
      <c r="K494" s="213" t="str">
        <f>IF(OR(F494="",J494=""),"",IF(AND(J494&gt;0,I494=1),J494*'פרמטרים לקריטריונים'!$C$64,$Q$2))</f>
        <v/>
      </c>
      <c r="L494" s="227" t="str">
        <f>IF(OR(F494="",J494=""),"",IF(J494&gt;0,'תחום תמיכה ב'!AC494/SUMIFS('תחום תמיכה ב'!$AC$31:$AC$500,'תחום תמיכה ב'!$E$31:$E$500,E494,'תחום תמיכה ב'!$S$31:$S$500,"=1"),0))</f>
        <v/>
      </c>
      <c r="M494" s="213" t="str">
        <f t="shared" si="29"/>
        <v/>
      </c>
      <c r="N494" s="227" t="str">
        <f t="shared" si="30"/>
        <v/>
      </c>
      <c r="O494" s="213" t="str">
        <f t="shared" si="31"/>
        <v/>
      </c>
    </row>
    <row r="495" spans="1:15" ht="15.75" x14ac:dyDescent="0.2">
      <c r="A495" s="206" t="str">
        <f t="shared" si="28"/>
        <v/>
      </c>
      <c r="B495" s="88" t="str">
        <f>IF($F495="","",'הזנה לתנאי סף'!C495)</f>
        <v/>
      </c>
      <c r="C495" s="88" t="str">
        <f>IF($F495="","",'הזנה לתנאי סף'!D495)</f>
        <v/>
      </c>
      <c r="D495" s="88" t="str">
        <f>IF($F495="","",'הזנה לתנאי סף'!E495)</f>
        <v/>
      </c>
      <c r="E495" s="88" t="str">
        <f>IF($F495="","",'הזנה לתנאי סף'!F495)</f>
        <v/>
      </c>
      <c r="F495" s="88" t="str">
        <f>IF(OR('הזנה לתנאי סף'!G495="",'הזנה לתנאי סף'!BL495&lt;&gt;1,'הזנה לתנאי סף'!Q495&lt;&gt;1,'הזנה לתנאי סף'!N495&lt;&gt;1),"",'הזנה לתנאי סף'!G495)</f>
        <v/>
      </c>
      <c r="G495" s="88" t="str">
        <f>IF($F495="","",'הזנה לתנאי סף'!H495)</f>
        <v/>
      </c>
      <c r="H495" s="88" t="str">
        <f>IF($F495="","",'הזנה לתנאי סף'!I495)</f>
        <v/>
      </c>
      <c r="I495" s="88" t="str">
        <f>IF($F495="","",IF(AND('הזנה לתנאי סף'!N495=0,J495&gt;0),$Q$2,'הזנה לתנאי סף'!N495))</f>
        <v/>
      </c>
      <c r="J495" s="213" t="str">
        <f>IF($F495="","",INDEX('גיליון עזר לתחום תמיכה ג'!$H$31:$H$330,MATCH(E495,'גיליון עזר לתחום תמיכה ג'!$C$31:$C$330,0)))</f>
        <v/>
      </c>
      <c r="K495" s="213" t="str">
        <f>IF(OR(F495="",J495=""),"",IF(AND(J495&gt;0,I495=1),J495*'פרמטרים לקריטריונים'!$C$64,$Q$2))</f>
        <v/>
      </c>
      <c r="L495" s="227" t="str">
        <f>IF(OR(F495="",J495=""),"",IF(J495&gt;0,'תחום תמיכה ב'!AC495/SUMIFS('תחום תמיכה ב'!$AC$31:$AC$500,'תחום תמיכה ב'!$E$31:$E$500,E495,'תחום תמיכה ב'!$S$31:$S$500,"=1"),0))</f>
        <v/>
      </c>
      <c r="M495" s="213" t="str">
        <f t="shared" si="29"/>
        <v/>
      </c>
      <c r="N495" s="227" t="str">
        <f t="shared" si="30"/>
        <v/>
      </c>
      <c r="O495" s="213" t="str">
        <f t="shared" si="31"/>
        <v/>
      </c>
    </row>
    <row r="496" spans="1:15" ht="15.75" x14ac:dyDescent="0.2">
      <c r="A496" s="206" t="str">
        <f t="shared" si="28"/>
        <v/>
      </c>
      <c r="B496" s="88" t="str">
        <f>IF($F496="","",'הזנה לתנאי סף'!C496)</f>
        <v/>
      </c>
      <c r="C496" s="88" t="str">
        <f>IF($F496="","",'הזנה לתנאי סף'!D496)</f>
        <v/>
      </c>
      <c r="D496" s="88" t="str">
        <f>IF($F496="","",'הזנה לתנאי סף'!E496)</f>
        <v/>
      </c>
      <c r="E496" s="88" t="str">
        <f>IF($F496="","",'הזנה לתנאי סף'!F496)</f>
        <v/>
      </c>
      <c r="F496" s="88" t="str">
        <f>IF(OR('הזנה לתנאי סף'!G496="",'הזנה לתנאי סף'!BL496&lt;&gt;1,'הזנה לתנאי סף'!Q496&lt;&gt;1,'הזנה לתנאי סף'!N496&lt;&gt;1),"",'הזנה לתנאי סף'!G496)</f>
        <v/>
      </c>
      <c r="G496" s="88" t="str">
        <f>IF($F496="","",'הזנה לתנאי סף'!H496)</f>
        <v/>
      </c>
      <c r="H496" s="88" t="str">
        <f>IF($F496="","",'הזנה לתנאי סף'!I496)</f>
        <v/>
      </c>
      <c r="I496" s="88" t="str">
        <f>IF($F496="","",IF(AND('הזנה לתנאי סף'!N496=0,J496&gt;0),$Q$2,'הזנה לתנאי סף'!N496))</f>
        <v/>
      </c>
      <c r="J496" s="213" t="str">
        <f>IF($F496="","",INDEX('גיליון עזר לתחום תמיכה ג'!$H$31:$H$330,MATCH(E496,'גיליון עזר לתחום תמיכה ג'!$C$31:$C$330,0)))</f>
        <v/>
      </c>
      <c r="K496" s="213" t="str">
        <f>IF(OR(F496="",J496=""),"",IF(AND(J496&gt;0,I496=1),J496*'פרמטרים לקריטריונים'!$C$64,$Q$2))</f>
        <v/>
      </c>
      <c r="L496" s="227" t="str">
        <f>IF(OR(F496="",J496=""),"",IF(J496&gt;0,'תחום תמיכה ב'!AC496/SUMIFS('תחום תמיכה ב'!$AC$31:$AC$500,'תחום תמיכה ב'!$E$31:$E$500,E496,'תחום תמיכה ב'!$S$31:$S$500,"=1"),0))</f>
        <v/>
      </c>
      <c r="M496" s="213" t="str">
        <f t="shared" si="29"/>
        <v/>
      </c>
      <c r="N496" s="227" t="str">
        <f t="shared" si="30"/>
        <v/>
      </c>
      <c r="O496" s="213" t="str">
        <f t="shared" si="31"/>
        <v/>
      </c>
    </row>
    <row r="497" spans="1:15" ht="15.75" x14ac:dyDescent="0.2">
      <c r="A497" s="206" t="str">
        <f t="shared" si="28"/>
        <v/>
      </c>
      <c r="B497" s="88" t="str">
        <f>IF($F497="","",'הזנה לתנאי סף'!C497)</f>
        <v/>
      </c>
      <c r="C497" s="88" t="str">
        <f>IF($F497="","",'הזנה לתנאי סף'!D497)</f>
        <v/>
      </c>
      <c r="D497" s="88" t="str">
        <f>IF($F497="","",'הזנה לתנאי סף'!E497)</f>
        <v/>
      </c>
      <c r="E497" s="88" t="str">
        <f>IF($F497="","",'הזנה לתנאי סף'!F497)</f>
        <v/>
      </c>
      <c r="F497" s="88" t="str">
        <f>IF(OR('הזנה לתנאי סף'!G497="",'הזנה לתנאי סף'!BL497&lt;&gt;1,'הזנה לתנאי סף'!Q497&lt;&gt;1,'הזנה לתנאי סף'!N497&lt;&gt;1),"",'הזנה לתנאי סף'!G497)</f>
        <v/>
      </c>
      <c r="G497" s="88" t="str">
        <f>IF($F497="","",'הזנה לתנאי סף'!H497)</f>
        <v/>
      </c>
      <c r="H497" s="88" t="str">
        <f>IF($F497="","",'הזנה לתנאי סף'!I497)</f>
        <v/>
      </c>
      <c r="I497" s="88" t="str">
        <f>IF($F497="","",IF(AND('הזנה לתנאי סף'!N497=0,J497&gt;0),$Q$2,'הזנה לתנאי סף'!N497))</f>
        <v/>
      </c>
      <c r="J497" s="213" t="str">
        <f>IF($F497="","",INDEX('גיליון עזר לתחום תמיכה ג'!$H$31:$H$330,MATCH(E497,'גיליון עזר לתחום תמיכה ג'!$C$31:$C$330,0)))</f>
        <v/>
      </c>
      <c r="K497" s="213" t="str">
        <f>IF(OR(F497="",J497=""),"",IF(AND(J497&gt;0,I497=1),J497*'פרמטרים לקריטריונים'!$C$64,$Q$2))</f>
        <v/>
      </c>
      <c r="L497" s="227" t="str">
        <f>IF(OR(F497="",J497=""),"",IF(J497&gt;0,'תחום תמיכה ב'!AC497/SUMIFS('תחום תמיכה ב'!$AC$31:$AC$500,'תחום תמיכה ב'!$E$31:$E$500,E497,'תחום תמיכה ב'!$S$31:$S$500,"=1"),0))</f>
        <v/>
      </c>
      <c r="M497" s="213" t="str">
        <f t="shared" si="29"/>
        <v/>
      </c>
      <c r="N497" s="227" t="str">
        <f t="shared" si="30"/>
        <v/>
      </c>
      <c r="O497" s="213" t="str">
        <f t="shared" si="31"/>
        <v/>
      </c>
    </row>
    <row r="498" spans="1:15" ht="15.75" x14ac:dyDescent="0.2">
      <c r="A498" s="206" t="str">
        <f t="shared" si="28"/>
        <v/>
      </c>
      <c r="B498" s="88" t="str">
        <f>IF($F498="","",'הזנה לתנאי סף'!C498)</f>
        <v/>
      </c>
      <c r="C498" s="88" t="str">
        <f>IF($F498="","",'הזנה לתנאי סף'!D498)</f>
        <v/>
      </c>
      <c r="D498" s="88" t="str">
        <f>IF($F498="","",'הזנה לתנאי סף'!E498)</f>
        <v/>
      </c>
      <c r="E498" s="88" t="str">
        <f>IF($F498="","",'הזנה לתנאי סף'!F498)</f>
        <v/>
      </c>
      <c r="F498" s="88" t="str">
        <f>IF(OR('הזנה לתנאי סף'!G498="",'הזנה לתנאי סף'!BL498&lt;&gt;1,'הזנה לתנאי סף'!Q498&lt;&gt;1,'הזנה לתנאי סף'!N498&lt;&gt;1),"",'הזנה לתנאי סף'!G498)</f>
        <v/>
      </c>
      <c r="G498" s="88" t="str">
        <f>IF($F498="","",'הזנה לתנאי סף'!H498)</f>
        <v/>
      </c>
      <c r="H498" s="88" t="str">
        <f>IF($F498="","",'הזנה לתנאי סף'!I498)</f>
        <v/>
      </c>
      <c r="I498" s="88" t="str">
        <f>IF($F498="","",IF(AND('הזנה לתנאי סף'!N498=0,J498&gt;0),$Q$2,'הזנה לתנאי סף'!N498))</f>
        <v/>
      </c>
      <c r="J498" s="213" t="str">
        <f>IF($F498="","",INDEX('גיליון עזר לתחום תמיכה ג'!$H$31:$H$330,MATCH(E498,'גיליון עזר לתחום תמיכה ג'!$C$31:$C$330,0)))</f>
        <v/>
      </c>
      <c r="K498" s="213" t="str">
        <f>IF(OR(F498="",J498=""),"",IF(AND(J498&gt;0,I498=1),J498*'פרמטרים לקריטריונים'!$C$64,$Q$2))</f>
        <v/>
      </c>
      <c r="L498" s="227" t="str">
        <f>IF(OR(F498="",J498=""),"",IF(J498&gt;0,'תחום תמיכה ב'!AC498/SUMIFS('תחום תמיכה ב'!$AC$31:$AC$500,'תחום תמיכה ב'!$E$31:$E$500,E498,'תחום תמיכה ב'!$S$31:$S$500,"=1"),0))</f>
        <v/>
      </c>
      <c r="M498" s="213" t="str">
        <f t="shared" si="29"/>
        <v/>
      </c>
      <c r="N498" s="227" t="str">
        <f t="shared" si="30"/>
        <v/>
      </c>
      <c r="O498" s="213" t="str">
        <f t="shared" si="31"/>
        <v/>
      </c>
    </row>
    <row r="499" spans="1:15" ht="15.75" x14ac:dyDescent="0.2">
      <c r="A499" s="206" t="str">
        <f t="shared" si="28"/>
        <v/>
      </c>
      <c r="B499" s="88" t="str">
        <f>IF($F499="","",'הזנה לתנאי סף'!C499)</f>
        <v/>
      </c>
      <c r="C499" s="88" t="str">
        <f>IF($F499="","",'הזנה לתנאי סף'!D499)</f>
        <v/>
      </c>
      <c r="D499" s="88" t="str">
        <f>IF($F499="","",'הזנה לתנאי סף'!E499)</f>
        <v/>
      </c>
      <c r="E499" s="88" t="str">
        <f>IF($F499="","",'הזנה לתנאי סף'!F499)</f>
        <v/>
      </c>
      <c r="F499" s="88" t="str">
        <f>IF(OR('הזנה לתנאי סף'!G499="",'הזנה לתנאי סף'!BL499&lt;&gt;1,'הזנה לתנאי סף'!Q499&lt;&gt;1,'הזנה לתנאי סף'!N499&lt;&gt;1),"",'הזנה לתנאי סף'!G499)</f>
        <v/>
      </c>
      <c r="G499" s="88" t="str">
        <f>IF($F499="","",'הזנה לתנאי סף'!H499)</f>
        <v/>
      </c>
      <c r="H499" s="88" t="str">
        <f>IF($F499="","",'הזנה לתנאי סף'!I499)</f>
        <v/>
      </c>
      <c r="I499" s="88" t="str">
        <f>IF($F499="","",IF(AND('הזנה לתנאי סף'!N499=0,J499&gt;0),$Q$2,'הזנה לתנאי סף'!N499))</f>
        <v/>
      </c>
      <c r="J499" s="213" t="str">
        <f>IF($F499="","",INDEX('גיליון עזר לתחום תמיכה ג'!$H$31:$H$330,MATCH(E499,'גיליון עזר לתחום תמיכה ג'!$C$31:$C$330,0)))</f>
        <v/>
      </c>
      <c r="K499" s="213" t="str">
        <f>IF(OR(F499="",J499=""),"",IF(AND(J499&gt;0,I499=1),J499*'פרמטרים לקריטריונים'!$C$64,$Q$2))</f>
        <v/>
      </c>
      <c r="L499" s="227" t="str">
        <f>IF(OR(F499="",J499=""),"",IF(J499&gt;0,'תחום תמיכה ב'!AC499/SUMIFS('תחום תמיכה ב'!$AC$31:$AC$500,'תחום תמיכה ב'!$E$31:$E$500,E499,'תחום תמיכה ב'!$S$31:$S$500,"=1"),0))</f>
        <v/>
      </c>
      <c r="M499" s="213" t="str">
        <f t="shared" si="29"/>
        <v/>
      </c>
      <c r="N499" s="227" t="str">
        <f t="shared" si="30"/>
        <v/>
      </c>
      <c r="O499" s="213" t="str">
        <f t="shared" si="31"/>
        <v/>
      </c>
    </row>
    <row r="500" spans="1:15" ht="16.5" thickBot="1" x14ac:dyDescent="0.25">
      <c r="A500" s="206" t="str">
        <f t="shared" si="28"/>
        <v/>
      </c>
      <c r="B500" s="88" t="str">
        <f>IF($F500="","",'הזנה לתנאי סף'!C500)</f>
        <v/>
      </c>
      <c r="C500" s="88" t="str">
        <f>IF($F500="","",'הזנה לתנאי סף'!D500)</f>
        <v/>
      </c>
      <c r="D500" s="88" t="str">
        <f>IF($F500="","",'הזנה לתנאי סף'!E500)</f>
        <v/>
      </c>
      <c r="E500" s="88" t="str">
        <f>IF($F500="","",'הזנה לתנאי סף'!F500)</f>
        <v/>
      </c>
      <c r="F500" s="88" t="str">
        <f>IF(OR('הזנה לתנאי סף'!G500="",'הזנה לתנאי סף'!BL500&lt;&gt;1,'הזנה לתנאי סף'!Q500&lt;&gt;1,'הזנה לתנאי סף'!N500&lt;&gt;1),"",'הזנה לתנאי סף'!G500)</f>
        <v/>
      </c>
      <c r="G500" s="88" t="str">
        <f>IF($F500="","",'הזנה לתנאי סף'!H500)</f>
        <v/>
      </c>
      <c r="H500" s="88" t="str">
        <f>IF($F500="","",'הזנה לתנאי סף'!I500)</f>
        <v/>
      </c>
      <c r="I500" s="88" t="str">
        <f>IF($F500="","",IF(AND('הזנה לתנאי סף'!N500=0,J500&gt;0),$Q$2,'הזנה לתנאי סף'!N500))</f>
        <v/>
      </c>
      <c r="J500" s="213" t="str">
        <f>IF($F500="","",INDEX('גיליון עזר לתחום תמיכה ג'!$H$31:$H$330,MATCH(E500,'גיליון עזר לתחום תמיכה ג'!$C$31:$C$330,0)))</f>
        <v/>
      </c>
      <c r="K500" s="213" t="str">
        <f>IF(OR(F500="",J500=""),"",IF(AND(J500&gt;0,I500=1),J500*'פרמטרים לקריטריונים'!$C$64,$Q$2))</f>
        <v/>
      </c>
      <c r="L500" s="227" t="str">
        <f>IF(OR(F500="",J500=""),"",IF(J500&gt;0,'תחום תמיכה ב'!AC500/SUMIFS('תחום תמיכה ב'!$AC$31:$AC$500,'תחום תמיכה ב'!$E$31:$E$500,E500,'תחום תמיכה ב'!$S$31:$S$500,"=1"),0))</f>
        <v/>
      </c>
      <c r="M500" s="213" t="str">
        <f t="shared" si="29"/>
        <v/>
      </c>
      <c r="N500" s="227" t="str">
        <f t="shared" si="30"/>
        <v/>
      </c>
      <c r="O500" s="213" t="str">
        <f t="shared" si="31"/>
        <v/>
      </c>
    </row>
    <row r="501" spans="1:15" ht="19.5" thickBot="1" x14ac:dyDescent="0.35">
      <c r="A501" s="415" t="s">
        <v>0</v>
      </c>
      <c r="B501" s="416"/>
      <c r="C501" s="416"/>
      <c r="D501" s="416"/>
      <c r="E501" s="416"/>
      <c r="F501" s="416"/>
      <c r="G501" s="416"/>
      <c r="H501" s="416"/>
      <c r="I501" s="232"/>
      <c r="J501" s="221"/>
      <c r="K501" s="221"/>
      <c r="L501" s="221"/>
      <c r="M501" s="221">
        <f>SUM(M31:M500)</f>
        <v>22008061.000000004</v>
      </c>
      <c r="N501" s="221"/>
      <c r="O501" s="221">
        <f>SUM(O31:O500)</f>
        <v>22008061.000000004</v>
      </c>
    </row>
  </sheetData>
  <sheetProtection password="CCB7" sheet="1" objects="1" scenarios="1" formatColumns="0" formatRows="0" autoFilter="0"/>
  <mergeCells count="10">
    <mergeCell ref="A501:H501"/>
    <mergeCell ref="A1:O1"/>
    <mergeCell ref="A28:E28"/>
    <mergeCell ref="H4:O4"/>
    <mergeCell ref="B29:B30"/>
    <mergeCell ref="C29:C30"/>
    <mergeCell ref="D29:D30"/>
    <mergeCell ref="E29:E30"/>
    <mergeCell ref="F29:F30"/>
    <mergeCell ref="G29:G30"/>
  </mergeCells>
  <conditionalFormatting sqref="A32:A500">
    <cfRule type="containsBlanks" dxfId="268" priority="90">
      <formula>LEN(TRIM(A32))=0</formula>
    </cfRule>
  </conditionalFormatting>
  <conditionalFormatting sqref="G31:I500">
    <cfRule type="containsBlanks" dxfId="267" priority="89">
      <formula>LEN(TRIM(G31))=0</formula>
    </cfRule>
  </conditionalFormatting>
  <conditionalFormatting sqref="G31:I500">
    <cfRule type="containsBlanks" dxfId="266" priority="88">
      <formula>LEN(TRIM(G31))=0</formula>
    </cfRule>
  </conditionalFormatting>
  <conditionalFormatting sqref="G31:I500">
    <cfRule type="containsBlanks" dxfId="265" priority="87">
      <formula>LEN(TRIM(G31))=0</formula>
    </cfRule>
  </conditionalFormatting>
  <conditionalFormatting sqref="F31:F500">
    <cfRule type="containsBlanks" dxfId="264" priority="86">
      <formula>LEN(TRIM(F31))=0</formula>
    </cfRule>
  </conditionalFormatting>
  <conditionalFormatting sqref="F31:F500">
    <cfRule type="containsBlanks" dxfId="263" priority="85">
      <formula>LEN(TRIM(F31))=0</formula>
    </cfRule>
  </conditionalFormatting>
  <conditionalFormatting sqref="F31:F500">
    <cfRule type="containsBlanks" dxfId="262" priority="84">
      <formula>LEN(TRIM(F31))=0</formula>
    </cfRule>
  </conditionalFormatting>
  <conditionalFormatting sqref="B31:E500">
    <cfRule type="containsErrors" dxfId="261" priority="82">
      <formula>ISERROR(B31)</formula>
    </cfRule>
    <cfRule type="containsBlanks" dxfId="260" priority="83">
      <formula>LEN(TRIM(B31))=0</formula>
    </cfRule>
  </conditionalFormatting>
  <conditionalFormatting sqref="B31:E500">
    <cfRule type="containsErrors" dxfId="259" priority="80">
      <formula>ISERROR(B31)</formula>
    </cfRule>
    <cfRule type="containsBlanks" dxfId="258" priority="81">
      <formula>LEN(TRIM(B31))=0</formula>
    </cfRule>
  </conditionalFormatting>
  <conditionalFormatting sqref="A31:A500">
    <cfRule type="containsBlanks" dxfId="257" priority="79">
      <formula>LEN(TRIM(A31))=0</formula>
    </cfRule>
  </conditionalFormatting>
  <conditionalFormatting sqref="F31:F500">
    <cfRule type="containsBlanks" dxfId="256" priority="78">
      <formula>LEN(TRIM(F31))=0</formula>
    </cfRule>
  </conditionalFormatting>
  <conditionalFormatting sqref="F31:F500">
    <cfRule type="containsBlanks" dxfId="255" priority="77">
      <formula>LEN(TRIM(F31))=0</formula>
    </cfRule>
  </conditionalFormatting>
  <conditionalFormatting sqref="F31:F500">
    <cfRule type="containsBlanks" dxfId="254" priority="76">
      <formula>LEN(TRIM(F31))=0</formula>
    </cfRule>
  </conditionalFormatting>
  <conditionalFormatting sqref="B31:E500">
    <cfRule type="containsBlanks" dxfId="253" priority="75">
      <formula>LEN(TRIM(B31))=0</formula>
    </cfRule>
  </conditionalFormatting>
  <conditionalFormatting sqref="B31:E500">
    <cfRule type="containsBlanks" dxfId="252" priority="74">
      <formula>LEN(TRIM(B31))=0</formula>
    </cfRule>
  </conditionalFormatting>
  <conditionalFormatting sqref="B31:E500">
    <cfRule type="containsBlanks" dxfId="251" priority="73">
      <formula>LEN(TRIM(B31))=0</formula>
    </cfRule>
  </conditionalFormatting>
  <conditionalFormatting sqref="J31:J500">
    <cfRule type="containsBlanks" dxfId="250" priority="69">
      <formula>LEN(TRIM(J31))=0</formula>
    </cfRule>
  </conditionalFormatting>
  <conditionalFormatting sqref="J31:J500">
    <cfRule type="containsBlanks" dxfId="249" priority="68">
      <formula>LEN(TRIM(J31))=0</formula>
    </cfRule>
  </conditionalFormatting>
  <conditionalFormatting sqref="J31:J500">
    <cfRule type="containsBlanks" dxfId="248" priority="67">
      <formula>LEN(TRIM(J31))=0</formula>
    </cfRule>
  </conditionalFormatting>
  <conditionalFormatting sqref="K31:K500">
    <cfRule type="containsBlanks" dxfId="247" priority="14">
      <formula>LEN(TRIM(K31))=0</formula>
    </cfRule>
  </conditionalFormatting>
  <conditionalFormatting sqref="K31:K500">
    <cfRule type="containsBlanks" dxfId="246" priority="13">
      <formula>LEN(TRIM(K31))=0</formula>
    </cfRule>
  </conditionalFormatting>
  <conditionalFormatting sqref="K31:K500">
    <cfRule type="containsBlanks" dxfId="245" priority="12">
      <formula>LEN(TRIM(K31))=0</formula>
    </cfRule>
  </conditionalFormatting>
  <conditionalFormatting sqref="L31:L500">
    <cfRule type="containsBlanks" dxfId="244" priority="11">
      <formula>LEN(TRIM(L31))=0</formula>
    </cfRule>
  </conditionalFormatting>
  <conditionalFormatting sqref="L31:L500">
    <cfRule type="containsBlanks" dxfId="243" priority="10">
      <formula>LEN(TRIM(L31))=0</formula>
    </cfRule>
  </conditionalFormatting>
  <conditionalFormatting sqref="L31:L500">
    <cfRule type="containsBlanks" dxfId="242" priority="9">
      <formula>LEN(TRIM(L31))=0</formula>
    </cfRule>
  </conditionalFormatting>
  <conditionalFormatting sqref="M31:O500">
    <cfRule type="containsBlanks" dxfId="241" priority="8">
      <formula>LEN(TRIM(M31))=0</formula>
    </cfRule>
  </conditionalFormatting>
  <conditionalFormatting sqref="M31:O500">
    <cfRule type="containsBlanks" dxfId="240" priority="7">
      <formula>LEN(TRIM(M31))=0</formula>
    </cfRule>
  </conditionalFormatting>
  <conditionalFormatting sqref="M31:O500">
    <cfRule type="containsBlanks" dxfId="239" priority="6">
      <formula>LEN(TRIM(M31))=0</formula>
    </cfRule>
  </conditionalFormatting>
  <pageMargins left="0.7" right="0.7" top="0.75" bottom="0.75" header="0.3" footer="0.3"/>
  <pageSetup paperSize="9" scale="4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15</vt:i4>
      </vt:variant>
      <vt:variant>
        <vt:lpstr>טווחים בעלי שם</vt:lpstr>
      </vt:variant>
      <vt:variant>
        <vt:i4>14</vt:i4>
      </vt:variant>
    </vt:vector>
  </HeadingPairs>
  <TitlesOfParts>
    <vt:vector size="29" baseType="lpstr">
      <vt:lpstr>הדרכה למשתמש</vt:lpstr>
      <vt:lpstr>פרמטרים לקריטריונים</vt:lpstr>
      <vt:lpstr>הזנה לסיווג רשויות</vt:lpstr>
      <vt:lpstr>הזנה לתנאי סף</vt:lpstr>
      <vt:lpstr>תחום תמיכה א</vt:lpstr>
      <vt:lpstr>תחום תמיכה ב</vt:lpstr>
      <vt:lpstr>גיליון עזר לתחום תמיכה ג</vt:lpstr>
      <vt:lpstr>תחום תמיכה ג</vt:lpstr>
      <vt:lpstr>הזנה לקריטריונים-ארועי תרבות</vt:lpstr>
      <vt:lpstr>גיליון1</vt:lpstr>
      <vt:lpstr>סיכום לוועדה</vt:lpstr>
      <vt:lpstr>החלטת ועדת תמיכות</vt:lpstr>
      <vt:lpstr>הגבלה לסכום מבוקש </vt:lpstr>
      <vt:lpstr>סיכום לוועדה הצגה</vt:lpstr>
      <vt:lpstr>בקשות שאושרו</vt:lpstr>
      <vt:lpstr>'הגבלה לסכום מבוקש '!WPrint_Area_W</vt:lpstr>
      <vt:lpstr>'הדרכה למשתמש'!WPrint_Area_W</vt:lpstr>
      <vt:lpstr>'הזנה לסיווג רשויות'!WPrint_Area_W</vt:lpstr>
      <vt:lpstr>'הזנה לתנאי סף'!WPrint_Area_W</vt:lpstr>
      <vt:lpstr>'החלטת ועדת תמיכות'!WPrint_Area_W</vt:lpstr>
      <vt:lpstr>'סיכום לוועדה'!WPrint_Area_W</vt:lpstr>
      <vt:lpstr>'סיכום לוועדה הצגה'!WPrint_Area_W</vt:lpstr>
      <vt:lpstr>'פרמטרים לקריטריונים'!WPrint_Area_W</vt:lpstr>
      <vt:lpstr>'תחום תמיכה א'!WPrint_Area_W</vt:lpstr>
      <vt:lpstr>'הגבלה לסכום מבוקש '!WPrint_TitlesW</vt:lpstr>
      <vt:lpstr>'הזנה לתנאי סף'!WPrint_TitlesW</vt:lpstr>
      <vt:lpstr>'החלטת ועדת תמיכות'!WPrint_TitlesW</vt:lpstr>
      <vt:lpstr>'סיכום לוועדה'!WPrint_TitlesW</vt:lpstr>
      <vt:lpstr>'סיכום לוועדה הצגה'!WPrint_TitlesW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 חפץ ושות</dc:creator>
  <cp:lastModifiedBy>Naama Vahab Daniel</cp:lastModifiedBy>
  <cp:lastPrinted>2017-10-24T09:02:45Z</cp:lastPrinted>
  <dcterms:created xsi:type="dcterms:W3CDTF">2016-01-11T12:37:34Z</dcterms:created>
  <dcterms:modified xsi:type="dcterms:W3CDTF">2020-11-17T11:02:38Z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S_WORKBOOK_UID">
    <vt:lpwstr>e1aa0ca8140d4e47bdd0fd09d7eb8c55</vt:lpwstr>
  </property>
</Properties>
</file>